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05d478ac4b2452c" /></Relationships>
</file>

<file path=xl/workbook.xml><?xml version="1.0" encoding="utf-8"?>
<x:workbook xmlns:x="http://schemas.openxmlformats.org/spreadsheetml/2006/main">
  <x:sheets>
    <x:sheet xmlns:r="http://schemas.openxmlformats.org/officeDocument/2006/relationships" name="README" sheetId="1" r:id="Rf649041899774032"/>
    <x:sheet xmlns:r="http://schemas.openxmlformats.org/officeDocument/2006/relationships" name="Задания" sheetId="2" r:id="R7235319e586c4958"/>
    <x:sheet xmlns:r="http://schemas.openxmlformats.org/officeDocument/2006/relationships" name="Визуал" sheetId="3" r:id="Ref686136a0f74666"/>
    <x:sheet xmlns:r="http://schemas.openxmlformats.org/officeDocument/2006/relationships" name="Кропы" sheetId="4" r:id="Rdb8082868182465c"/>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FF"/>
      <x:name val="Carlito"/>
    </x:font>
    <x:font>
      <x:i/>
      <x:sz val="11"/>
      <x:color rgb="FF1F2937"/>
      <x:name val="Carlito"/>
    </x:font>
    <x:font>
      <x:b/>
      <x:sz val="11"/>
      <x:color rgb="FFFFFFFF"/>
      <x:name val="Carlito"/>
    </x:font>
    <x:font>
      <x:b/>
      <x:sz val="11"/>
      <x:name val="Carlito"/>
    </x:font>
    <x:font>
      <x:b/>
      <x:sz val="11"/>
      <x:color rgb="FF1F2937"/>
      <x:name val="Carlito"/>
    </x:font>
    <x:font>
      <x:b/>
      <x:sz val="10"/>
      <x:color rgb="FFFFFFFF"/>
      <x:name val="Carlito"/>
    </x:font>
  </x:fonts>
  <x:fills count="16">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0F766E"/>
      </x:patternFill>
    </x:fill>
    <x:fill>
      <x:patternFill patternType="solid">
        <x:fgColor rgb="FFE8F5E9"/>
      </x:patternFill>
    </x:fill>
    <x:fill>
      <x:patternFill patternType="solid">
        <x:fgColor rgb="FFF3F4F6"/>
      </x:patternFill>
    </x:fill>
    <x:fill>
      <x:patternFill patternType="solid">
        <x:fgColor rgb="FFFFF7D6"/>
      </x:patternFill>
    </x:fill>
    <x:fill>
      <x:patternFill patternType="solid">
        <x:fgColor rgb="FFFDE8E7"/>
      </x:patternFill>
    </x:fill>
    <x:fill>
      <x:patternFill patternType="solid">
        <x:fgColor rgb="FFE6F4F1"/>
      </x:patternFill>
    </x:fill>
    <x:fill>
      <x:patternFill patternType="solid">
        <x:fgColor rgb="FFFCE8D5"/>
      </x:patternFill>
    </x:fill>
    <x:fill>
      <x:patternFill patternType="solid">
        <x:fgColor rgb="FFF1E8FA"/>
      </x:patternFill>
    </x:fill>
    <x:fill>
      <x:patternFill patternType="solid">
        <x:fgColor rgb="FF5B21B6"/>
      </x:patternFill>
    </x:fill>
    <x:fill>
      <x:patternFill patternType="solid">
        <x:fgColor rgb="FF0F766E"/>
      </x:patternFill>
    </x:fill>
    <x:fill>
      <x:patternFill patternType="solid">
        <x:fgColor rgb="FF17324D"/>
      </x:patternFill>
    </x:fill>
    <x:fill>
      <x:patternFill patternType="solid">
        <x:fgColor rgb="FFEAF2F8"/>
      </x:patternFill>
    </x:fill>
  </x:fills>
  <x:borders count="2">
    <x:border/>
    <x:border/>
  </x:borders>
  <x:cellStyleXfs count="1">
    <x:xf numFmtId="0" fontId="0" fillId="0" borderId="0"/>
  </x:cellStyleXfs>
  <x:cellXfs count="11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0" xfId="0" applyNumberFormat="1" applyFont="1" applyFill="1" applyBorder="1" applyAlignment="1">
      <x:alignment horizontal="center" vertical="top" wrapText="1"/>
    </x:xf>
    <x:xf numFmtId="0" fontId="0" fillId="5"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1" xfId="0" applyNumberFormat="1" applyFont="1" applyFill="1" applyBorder="1" applyAlignment="1">
      <x:alignment horizontal="center" vertical="top" wrapText="1"/>
    </x:xf>
    <x:xf numFmtId="0" fontId="0" fillId="6"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0" xfId="0" applyNumberFormat="1" applyFont="1" applyFill="1" applyBorder="1" applyAlignment="1">
      <x:alignment horizontal="center" vertical="top" wrapText="1"/>
    </x:xf>
    <x:xf numFmtId="0" fontId="0" fillId="6" borderId="1"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4" fillId="6" borderId="1" xfId="0" applyNumberFormat="1" applyFont="1" applyFill="1" applyBorder="1" applyAlignment="1">
      <x:alignment horizontal="center" vertical="top"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vertical="center" wrapText="1"/>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wrapText="1"/>
    </x:xf>
    <x:xf numFmtId="0" fontId="5" fillId="7" borderId="1" xfId="0" applyNumberFormat="1" applyFont="1" applyFill="1" applyBorder="1" applyAlignment="1">
      <x:alignment vertical="center" wrapText="1"/>
    </x:xf>
    <x:xf numFmtId="0" fontId="0" fillId="8" borderId="0" xfId="0" applyNumberFormat="1" applyFont="1" applyFill="1" applyBorder="1" applyAlignment="1">
      <x:alignment vertical="top" wrapText="1"/>
    </x:xf>
    <x:xf numFmtId="0" fontId="0" fillId="8" borderId="1"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4" fillId="8"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0" fillId="9" borderId="1"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10" borderId="1" xfId="0" applyNumberFormat="1" applyFont="1" applyFill="1" applyBorder="1" applyAlignment="1">
      <x:alignment vertical="top" wrapText="1"/>
    </x:xf>
    <x:xf numFmtId="0" fontId="4" fillId="10" borderId="0" xfId="0" applyNumberFormat="1" applyFont="1" applyFill="1" applyBorder="1" applyAlignment="1">
      <x:alignment vertical="top" wrapText="1"/>
    </x:xf>
    <x:xf numFmtId="0" fontId="4" fillId="10" borderId="1"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0" fillId="11" borderId="1"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horizontal="center" wrapText="1"/>
    </x:xf>
    <x:xf numFmtId="0" fontId="6" fillId="2" borderId="0" xfId="0" applyNumberFormat="1" applyFont="1" applyFill="1" applyBorder="1" applyAlignment="1">
      <x:alignment horizontal="center" vertical="center" wrapText="1"/>
    </x:xf>
    <x:xf numFmtId="0" fontId="6" fillId="2" borderId="1" xfId="0" applyNumberFormat="1" applyFont="1" applyFill="1" applyBorder="1"/>
    <x:xf numFmtId="0" fontId="6" fillId="2" borderId="1" xfId="0" applyNumberFormat="1" applyFont="1" applyFill="1" applyBorder="1" applyAlignment="1">
      <x:alignment wrapText="1"/>
    </x:xf>
    <x:xf numFmtId="0" fontId="6" fillId="2" borderId="1" xfId="0" applyNumberFormat="1" applyFont="1" applyFill="1" applyBorder="1" applyAlignment="1">
      <x:alignment horizontal="center" wrapText="1"/>
    </x:xf>
    <x:xf numFmtId="0" fontId="6"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horizontal="center" wrapText="1"/>
    </x:xf>
    <x:xf numFmtId="0" fontId="6" fillId="4" borderId="0" xfId="0" applyNumberFormat="1" applyFont="1" applyFill="1" applyBorder="1" applyAlignment="1">
      <x:alignment horizontal="center" vertical="center" wrapText="1"/>
    </x:xf>
    <x:xf numFmtId="0" fontId="6" fillId="4" borderId="1" xfId="0" applyNumberFormat="1" applyFont="1" applyFill="1" applyBorder="1"/>
    <x:xf numFmtId="0" fontId="6" fillId="4" borderId="1" xfId="0" applyNumberFormat="1" applyFont="1" applyFill="1" applyBorder="1" applyAlignment="1">
      <x:alignment wrapText="1"/>
    </x:xf>
    <x:xf numFmtId="0" fontId="6" fillId="4" borderId="1" xfId="0" applyNumberFormat="1" applyFont="1" applyFill="1" applyBorder="1" applyAlignment="1">
      <x:alignment horizontal="center" wrapText="1"/>
    </x:xf>
    <x:xf numFmtId="0" fontId="6" fillId="4" borderId="1" xfId="0" applyNumberFormat="1" applyFont="1" applyFill="1" applyBorder="1" applyAlignment="1">
      <x:alignment horizontal="center" vertical="center"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horizontal="left"/>
    </x:xf>
    <x:xf numFmtId="0" fontId="3" fillId="12" borderId="0" xfId="0" applyNumberFormat="1" applyFont="1" applyFill="1" applyBorder="1" applyAlignment="1">
      <x:alignment horizontal="left" vertical="center"/>
    </x:xf>
    <x:xf numFmtId="0" fontId="4" fillId="0"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horizontal="center" wrapText="1"/>
    </x:xf>
    <x:xf numFmtId="0" fontId="3" fillId="13" borderId="0" xfId="0" applyNumberFormat="1" applyFont="1" applyFill="1" applyBorder="1" applyAlignment="1">
      <x:alignment horizontal="center" vertical="center" wrapText="1"/>
    </x:xf>
    <x:xf numFmtId="0" fontId="1" fillId="14" borderId="0" xfId="0" applyNumberFormat="1" applyFont="1" applyFill="1" applyBorder="1" applyAlignment="1">
      <x:alignment horizontal="left" vertical="center"/>
    </x:xf>
    <x:xf numFmtId="0" fontId="1" fillId="14" borderId="0" xfId="0" applyNumberFormat="1" applyFont="1" applyFill="1" applyBorder="1" applyAlignment="1">
      <x:alignment horizontal="left" vertical="center" wrapText="0"/>
    </x:xf>
    <x:xf numFmtId="0" fontId="2" fillId="15" borderId="0" xfId="0" applyNumberFormat="1" applyFont="1" applyFill="1" applyBorder="1" applyAlignment="1">
      <x:alignment vertical="center" wrapText="1"/>
    </x:xf>
    <x:xf numFmtId="0" fontId="0" fillId="0" borderId="0" xfId="0" applyNumberFormat="1" applyFont="1" applyFill="1" applyBorder="1" applyAlignment="1">
      <x:alignment vertical="top" wrapText="0"/>
    </x:xf>
  </x:cellXfs>
  <x:cellStyles count="1">
    <x:cellStyle name="Normal" xfId="0"/>
  </x:cellStyles>
  <x:dxfs count="26">
    <x:dxf>
      <x:font>
        <x:b/>
        <x:color rgb="FF1F2937"/>
      </x:font>
      <x:fill>
        <x:patternFill>
          <x:bgColor rgb="FFE8F5E9"/>
        </x:patternFill>
      </x:fill>
    </x:dxf>
    <x:dxf>
      <x:font>
        <x:b/>
        <x:color rgb="FF7F1D1D"/>
      </x:font>
      <x:fill>
        <x:patternFill>
          <x:bgColor rgb="FFFDE8E7"/>
        </x:patternFill>
      </x:fill>
    </x:dxf>
    <x:dxf>
      <x:font>
        <x:b/>
        <x:color rgb="FF1F2937"/>
      </x:font>
      <x:fill>
        <x:patternFill>
          <x:bgColor rgb="FFEAF2F8"/>
        </x:patternFill>
      </x:fill>
    </x:dxf>
    <x:dxf>
      <x:font>
        <x:b/>
        <x:color rgb="FF1F2937"/>
      </x:font>
      <x:fill>
        <x:patternFill>
          <x:bgColor rgb="FFE6F4F1"/>
        </x:patternFill>
      </x:fill>
    </x:dxf>
    <x:dxf>
      <x:font>
        <x:b/>
        <x:color rgb="FF7F1D1D"/>
      </x:font>
      <x:fill>
        <x:patternFill>
          <x:bgColor rgb="FFFCE8D5"/>
        </x:patternFill>
      </x:fill>
    </x:dxf>
    <x:dxf>
      <x:font>
        <x:b/>
        <x:color rgb="FF1F2937"/>
      </x:font>
      <x:fill>
        <x:patternFill>
          <x:bgColor rgb="FFF3F4F6"/>
        </x:patternFill>
      </x:fill>
    </x:dxf>
    <x:dxf>
      <x:font>
        <x:b/>
        <x:color rgb="FF1F2937"/>
      </x:font>
      <x:fill>
        <x:patternFill>
          <x:bgColor rgb="FFF1E8FA"/>
        </x:patternFill>
      </x:fill>
    </x:dxf>
    <x:dxf>
      <x:font>
        <x:b/>
        <x:color rgb="FF1F2937"/>
      </x:font>
      <x:fill>
        <x:patternFill>
          <x:bgColor rgb="FFFFF7D6"/>
        </x:patternFill>
      </x:fill>
    </x:dxf>
    <x:dxf>
      <x:font>
        <x:b/>
        <x:color rgb="FF7F1D1D"/>
      </x:font>
      <x:fill>
        <x:patternFill>
          <x:bgColor rgb="FFFCE8D5"/>
        </x:patternFill>
      </x:fill>
    </x:dxf>
    <x:dxf>
      <x:font>
        <x:b/>
        <x:color rgb="FF1F2937"/>
      </x:font>
      <x:fill>
        <x:patternFill>
          <x:bgColor rgb="FFF1E8FA"/>
        </x:patternFill>
      </x:fill>
    </x:dxf>
    <x:dxf>
      <x:font>
        <x:b/>
        <x:color rgb="FF1F2937"/>
      </x:font>
      <x:fill>
        <x:patternFill>
          <x:bgColor rgb="FFEAF2F8"/>
        </x:patternFill>
      </x:fill>
    </x:dxf>
    <x:dxf>
      <x:font>
        <x:b/>
        <x:color rgb="FF7F1D1D"/>
      </x:font>
      <x:fill>
        <x:patternFill>
          <x:bgColor rgb="FFFDE8E7"/>
        </x:patternFill>
      </x:fill>
    </x:dxf>
    <x:dxf>
      <x:font>
        <x:b/>
        <x:color rgb="FF1F2937"/>
      </x:font>
      <x:fill>
        <x:patternFill>
          <x:bgColor rgb="FFF3F4F6"/>
        </x:patternFill>
      </x:fill>
    </x:dxf>
    <x:dxf>
      <x:font>
        <x:b/>
        <x:color rgb="FF1F2937"/>
      </x:font>
      <x:fill>
        <x:patternFill>
          <x:bgColor rgb="FFE6F4F1"/>
        </x:patternFill>
      </x:fill>
    </x:dxf>
    <x:dxf>
      <x:font>
        <x:b/>
        <x:color rgb="FF7F1D1D"/>
      </x:font>
      <x:fill>
        <x:patternFill>
          <x:bgColor rgb="FFFDE8E7"/>
        </x:patternFill>
      </x:fill>
    </x:dxf>
    <x:dxf>
      <x:font>
        <x:b/>
        <x:color rgb="FF7F1D1D"/>
      </x:font>
      <x:fill>
        <x:patternFill>
          <x:bgColor rgb="FFFCE8D5"/>
        </x:patternFill>
      </x:fill>
    </x:dxf>
    <x:dxf>
      <x:font>
        <x:b/>
        <x:color rgb="FF1F2937"/>
      </x:font>
      <x:fill>
        <x:patternFill>
          <x:bgColor rgb="FFFFF7D6"/>
        </x:patternFill>
      </x:fill>
    </x:dxf>
    <x:dxf>
      <x:font>
        <x:b/>
      </x:font>
      <x:fill>
        <x:patternFill>
          <x:bgColor rgb="FFE8F5E9"/>
        </x:patternFill>
      </x:fill>
    </x:dxf>
    <x:dxf>
      <x:font>
        <x:b/>
      </x:font>
      <x:fill>
        <x:patternFill>
          <x:bgColor rgb="FFFFF7D6"/>
        </x:patternFill>
      </x:fill>
    </x:dxf>
    <x:dxf>
      <x:font>
        <x:b/>
      </x:font>
      <x:fill>
        <x:patternFill>
          <x:bgColor rgb="FFEAF2F8"/>
        </x:patternFill>
      </x:fill>
    </x:dxf>
    <x:dxf>
      <x:fill>
        <x:patternFill>
          <x:bgColor rgb="FFE8F5E9"/>
        </x:patternFill>
      </x:fill>
    </x:dxf>
    <x:dxf>
      <x:fill>
        <x:patternFill>
          <x:bgColor rgb="FFFFF7D6"/>
        </x:patternFill>
      </x:fill>
    </x:dxf>
    <x:dxf>
      <x:fill>
        <x:patternFill>
          <x:bgColor rgb="FFEAF2F8"/>
        </x:patternFill>
      </x:fill>
    </x:dxf>
    <x:dxf>
      <x:font>
        <x:b/>
      </x:font>
      <x:fill>
        <x:patternFill>
          <x:bgColor rgb="FFFFF7D6"/>
        </x:patternFill>
      </x:fill>
    </x:dxf>
    <x:dxf>
      <x:fill>
        <x:patternFill>
          <x:bgColor rgb="FFE6F4F1"/>
        </x:patternFill>
      </x:fill>
    </x:dxf>
    <x:dxf>
      <x:fill>
        <x:patternFill>
          <x:bgColor rgb="FFEAF2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d731552e3484440" /><Relationship Type="http://schemas.openxmlformats.org/officeDocument/2006/relationships/theme" Target="/xl/theme/theme1.xml" Id="Re3119ff495ed4af8" /><Relationship Type="http://schemas.openxmlformats.org/officeDocument/2006/relationships/sharedStrings" Target="/xl/sharedStrings.xml" Id="Rd0fde93387fa41c1" /><Relationship Type="http://schemas.openxmlformats.org/officeDocument/2006/relationships/worksheet" Target="/xl/worksheets/sheet1.xml" Id="Rf649041899774032" /><Relationship Type="http://schemas.openxmlformats.org/officeDocument/2006/relationships/worksheet" Target="/xl/worksheets/sheet2.xml" Id="R7235319e586c4958" /><Relationship Type="http://schemas.openxmlformats.org/officeDocument/2006/relationships/worksheet" Target="/xl/worksheets/sheet3.xml" Id="Ref686136a0f74666" /><Relationship Type="http://schemas.openxmlformats.org/officeDocument/2006/relationships/worksheet" Target="/xl/worksheets/sheet4.xml" Id="Rdb8082868182465c" /></Relationships>
</file>

<file path=xl/tables/table1.xml><?xml version="1.0" encoding="utf-8"?>
<x:table xmlns:x="http://schemas.openxmlformats.org/spreadsheetml/2006/main" id="1" name="TasksTable" displayName="TasksTable" ref="A1:AN6843" headerRowCount="1">
  <x:tableColumns count="40">
    <x:tableColumn id="1" name="№ записи"/>
    <x:tableColumn id="2" name="ID"/>
    <x:tableColumn id="3" name="Источник"/>
    <x:tableColumn id="4" name="Период"/>
    <x:tableColumn id="5" name="Сессия"/>
    <x:tableColumn id="6" name="Дата"/>
    <x:tableColumn id="7" name="Предмет"/>
    <x:tableColumn id="8" name="Класс / уровень"/>
    <x:tableColumn id="9" name="Работа"/>
    <x:tableColumn id="10" name="Вариант"/>
    <x:tableColumn id="11" name="№"/>
    <x:tableColumn id="12" name="Тип задания"/>
    <x:tableColumn id="13" name="Формулировка"/>
    <x:tableColumn id="14" name="Ответ / модель"/>
    <x:tableColumn id="15" name="Решение / объяснение"/>
    <x:tableColumn id="16" name="Проверка / обоснование"/>
    <x:tableColumn id="17" name="Метод проверки"/>
    <x:tableColumn id="18" name="Официальный ответ / критерий"/>
    <x:tableColumn id="19" name="Источник ответа / модели"/>
    <x:tableColumn id="20" name="Источник ключа / проверки"/>
    <x:tableColumn id="21" name="Расхождение / примечание"/>
    <x:tableColumn id="22" name="Статус"/>
    <x:tableColumn id="23" name="Страница"/>
    <x:tableColumn id="24" name="Страница задания"/>
    <x:tableColumn id="25" name="Логическая страница"/>
    <x:tableColumn id="26" name="Физическая страница PDF"/>
    <x:tableColumn id="27" name="Страница источника"/>
    <x:tableColumn id="28" name="Страница ключа"/>
    <x:tableColumn id="29" name="VIS_ID"/>
    <x:tableColumn id="30" name="VIS_KEY / MODEL"/>
    <x:tableColumn id="31" name="Тип визуала"/>
    <x:tableColumn id="32" name="Страница визуала"/>
    <x:tableColumn id="33" name="Статус визуала"/>
    <x:tableColumn id="34" name="Crop / QA status"/>
    <x:tableColumn id="35" name="Дополнительные поля JSON"/>
    <x:tableColumn id="36" name="Ветка"/>
    <x:tableColumn id="37" name="Версия ветки"/>
    <x:tableColumn id="38" name="Исходный файл"/>
    <x:tableColumn id="39" name="Исходный лист"/>
    <x:tableColumn id="40" name="Исходная строка"/>
  </x:tableColumns>
  <x:tableStyleInfo name="TableStyleMedium2" showRowStripes="1"/>
</x:table>
</file>

<file path=xl/tables/table2.xml><?xml version="1.0" encoding="utf-8"?>
<x:table xmlns:x="http://schemas.openxmlformats.org/spreadsheetml/2006/main" id="2" name="VisualCatalog" displayName="VisualCatalog" ref="A1:R1761" headerRowCount="1">
  <x:tableColumns count="18">
    <x:tableColumn id="1" name="VIS_ID"/>
    <x:tableColumn id="2" name="Предметы"/>
    <x:tableColumn id="3" name="Описание"/>
    <x:tableColumn id="4" name="Вариант / набор"/>
    <x:tableColumn id="5" name="Тип визуала"/>
    <x:tableColumn id="6" name="Источник"/>
    <x:tableColumn id="7" name="Страница"/>
    <x:tableColumn id="8" name="Версия"/>
    <x:tableColumn id="9" name="Связано заданий"/>
    <x:tableColumn id="10" name="Роли"/>
    <x:tableColumn id="11" name="Примеры Task ID"/>
    <x:tableColumn id="12" name="QA / статус"/>
    <x:tableColumn id="13" name="Происхождение asset"/>
    <x:tableColumn id="14" name="Asset file"/>
    <x:tableColumn id="15" name="Thumbnail"/>
    <x:tableColumn id="16" name="Asset SHA-256"/>
    <x:tableColumn id="17" name="Канонический путь"/>
    <x:tableColumn id="18" name="Примечание"/>
  </x:tableColumns>
  <x:tableStyleInfo name="TableStyleMedium2" showRowStripes="1"/>
</x:table>
</file>

<file path=xl/tables/table3.xml><?xml version="1.0" encoding="utf-8"?>
<x:table xmlns:x="http://schemas.openxmlformats.org/spreadsheetml/2006/main" id="3" name="TaskCropsTable" displayName="TaskCropsTable" ref="A1:M380" headerRowCount="1">
  <x:tableColumns count="13">
    <x:tableColumn id="1" name="Task ID"/>
    <x:tableColumn id="2" name="VIS_ID"/>
    <x:tableColumn id="3" name="Предмет"/>
    <x:tableColumn id="4" name="№ задания"/>
    <x:tableColumn id="5" name="Решение"/>
    <x:tableColumn id="6" name="QA / публикация"/>
    <x:tableColumn id="7" name="Crop asset"/>
    <x:tableColumn id="8" name="Crop SHA-256"/>
    <x:tableColumn id="9" name="Original SHA-256"/>
    <x:tableColumn id="10" name="Manual bbox"/>
    <x:tableColumn id="11" name="Composite parts"/>
    <x:tableColumn id="12" name="Примечание"/>
    <x:tableColumn id="13" name="Открыть"/>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bcbff6568c14c61" /></Relationships>
</file>

<file path=xl/worksheets/_rels/sheet3.xml.rels>&#65279;<?xml version="1.0" encoding="utf-8"?><Relationships xmlns="http://schemas.openxmlformats.org/package/2006/relationships"><Relationship Type="http://schemas.openxmlformats.org/officeDocument/2006/relationships/table" Target="/xl/tables/table2.xml" Id="R01696c2217454e80" /></Relationships>
</file>

<file path=xl/worksheets/_rels/sheet4.xml.rels>&#65279;<?xml version="1.0" encoding="utf-8"?><Relationships xmlns="http://schemas.openxmlformats.org/package/2006/relationships"><Relationship Type="http://schemas.openxmlformats.org/officeDocument/2006/relationships/table" Target="/xl/tables/table3.xml" Id="R1e9a39b3d1484e7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66" hidden="0" customWidth="1"/>
    <x:col min="4" max="4" width="34" hidden="0" customWidth="1"/>
    <x:col min="5" max="5" width="14" hidden="0" customWidth="1"/>
    <x:col min="6" max="6" width="14" hidden="0" customWidth="1"/>
    <x:col min="7" max="7" width="14" hidden="0" customWidth="1"/>
    <x:col min="8" max="8" width="14" hidden="0" customWidth="1"/>
  </x:cols>
  <x:sheetData>
    <x:row r="1" ht="34" customHeight="1">
      <x:c r="A1" s="108" t="str">
        <x:v>СтатГрад / ЕГКР — удобная пользовательская версия v1.12</x:v>
      </x:c>
      <x:c r="B1" s="108"/>
      <x:c r="C1" s="108"/>
      <x:c r="D1" s="108"/>
      <x:c r="E1" s="5"/>
      <x:c r="F1" s="5"/>
      <x:c r="G1" s="5"/>
      <x:c r="H1" s="5"/>
    </x:row>
    <x:row r="2" ht="42" customHeight="1">
      <x:c r="A2" s="109" t="str">
        <x:v>Четыре рабочих листа: инструкция → 6842 задания → канонический визуальный каталог → 379 проверенных task-aware crops. В полном комплекте visual_gallery/index.html позволяет сравнивать исходную страницу и утверждённый чистый визуал.</x:v>
      </x:c>
      <x:c r="B2" s="109"/>
      <x:c r="C2" s="109"/>
      <x:c r="D2" s="109"/>
      <x:c r="E2" s="13"/>
      <x:c r="F2" s="13"/>
      <x:c r="G2" s="13"/>
      <x:c r="H2" s="13"/>
    </x:row>
    <x:row r="4" ht="24" customHeight="1">
      <x:c r="A4" s="22" t="str">
        <x:v>Быстрый контроль</x:v>
      </x:c>
      <x:c r="B4" s="22" t="str">
        <x:v>Значение</x:v>
      </x:c>
      <x:c r="C4" s="22" t="str">
        <x:v>Что означает</x:v>
      </x:c>
      <x:c r="D4" s="22" t="str">
        <x:v>Где смотреть</x:v>
      </x:c>
    </x:row>
    <x:row r="5">
      <x:c r="A5" s="33" t="str">
        <x:v>Всего заданий</x:v>
      </x:c>
      <x:c r="B5" s="37" t="n">
        <x:v>6842</x:v>
      </x:c>
      <x:c r="C5" s="30" t="str">
        <x:v>Полная объединённая база master v0.81 + clean-v0.01…v0.28</x:v>
      </x:c>
      <x:c r="D5" s="30" t="str">
        <x:v>Задания</x:v>
      </x:c>
    </x:row>
    <x:row r="6">
      <x:c r="A6" s="33" t="str">
        <x:v>Уникальных ID</x:v>
      </x:c>
      <x:c r="B6" s="37" t="n">
        <x:v>6842</x:v>
      </x:c>
      <x:c r="C6" s="30" t="str">
        <x:v>Повторяющихся Task ID нет</x:v>
      </x:c>
      <x:c r="D6" s="30" t="str">
        <x:v>Задания → ID</x:v>
      </x:c>
    </x:row>
    <x:row r="7">
      <x:c r="A7" s="33" t="str">
        <x:v>VERIFIED</x:v>
      </x:c>
      <x:c r="B7" s="37" t="n">
        <x:v>6383</x:v>
      </x:c>
      <x:c r="C7" s="30" t="str">
        <x:v>Полностью подтверждённые строки</x:v>
      </x:c>
      <x:c r="D7" s="30" t="str">
        <x:v>Задания → Статус</x:v>
      </x:c>
    </x:row>
    <x:row r="8">
      <x:c r="A8" s="33" t="str">
        <x:v>Требуют внимания</x:v>
      </x:c>
      <x:c r="B8" s="37" t="n">
        <x:v>459</x:v>
      </x:c>
      <x:c r="C8" s="30" t="str">
        <x:v>Все строки со статусом, отличным от VERIFIED</x:v>
      </x:c>
      <x:c r="D8" s="30" t="str">
        <x:v>Задания → Статус</x:v>
      </x:c>
    </x:row>
    <x:row r="9">
      <x:c r="A9" s="33" t="str">
        <x:v>Канонических VIS_ID</x:v>
      </x:c>
      <x:c r="B9" s="37" t="n">
        <x:v>1760</x:v>
      </x:c>
      <x:c r="C9" s="30" t="str">
        <x:v>Все зарегистрированные визуальные объекты разрешены</x:v>
      </x:c>
      <x:c r="D9" s="30" t="str">
        <x:v>Визуал</x:v>
      </x:c>
    </x:row>
    <x:row r="10">
      <x:c r="A10" s="33" t="str">
        <x:v>Task→VIS связей</x:v>
      </x:c>
      <x:c r="B10" s="37" t="n">
        <x:v>6053</x:v>
      </x:c>
      <x:c r="C10" s="30" t="str">
        <x:v>Связи заданий с заданиями/ключами/критериями/аудио</x:v>
      </x:c>
      <x:c r="D10" s="30" t="str">
        <x:v>Задания → VIS_ID</x:v>
      </x:c>
    </x:row>
    <x:row r="11">
      <x:c r="A11" s="33" t="str">
        <x:v>Заданий с визуалом</x:v>
      </x:c>
      <x:c r="B11" s="37" t="n">
        <x:v>3221</x:v>
      </x:c>
      <x:c r="C11" s="30" t="str">
        <x:v>Строки с одним или несколькими VIS_ID</x:v>
      </x:c>
      <x:c r="D11" s="30" t="str">
        <x:v>Задания → VIS_ID</x:v>
      </x:c>
    </x:row>
    <x:row r="13" ht="24" customHeight="1">
      <x:c r="A13" s="22" t="str">
        <x:v>Как пользоваться</x:v>
      </x:c>
      <x:c r="B13" s="22" t="str">
        <x:v>Действие</x:v>
      </x:c>
      <x:c r="C13" s="22" t="str">
        <x:v>Подсказка</x:v>
      </x:c>
      <x:c r="D13" s="22" t="str">
        <x:v>Результат</x:v>
      </x:c>
    </x:row>
    <x:row r="14" ht="38" customHeight="1">
      <x:c r="A14" s="43" t="str">
        <x:v>1</x:v>
      </x:c>
      <x:c r="B14" s="30" t="str">
        <x:v>Откройте лист «Задания»</x:v>
      </x:c>
      <x:c r="C14" s="30" t="str">
        <x:v>Включены фильтры, закреплены заголовок и первые два столбца.</x:v>
      </x:c>
      <x:c r="D14" s="30" t="str">
        <x:v>Быстрый поиск по предмету, варианту и номеру.</x:v>
      </x:c>
    </x:row>
    <x:row r="15" ht="38" customHeight="1">
      <x:c r="A15" s="43" t="str">
        <x:v>2</x:v>
      </x:c>
      <x:c r="B15" s="30" t="str">
        <x:v>Фильтруйте по полю «Статус»</x:v>
      </x:c>
      <x:c r="C15" s="30" t="str">
        <x:v>VERIFIED — рабочий массив; остальные флаги требуют чтения примечания.</x:v>
      </x:c>
      <x:c r="D15" s="30" t="str">
        <x:v>Безопасное разделение готовых и спорных строк.</x:v>
      </x:c>
    </x:row>
    <x:row r="16" ht="38" customHeight="1">
      <x:c r="A16" s="43" t="str">
        <x:v>3</x:v>
      </x:c>
      <x:c r="B16" s="30" t="str">
        <x:v>Для графики используйте VIS_ID</x:v>
      </x:c>
      <x:c r="C16" s="30" t="str">
        <x:v>Скопируйте VIS_ID и найдите его на листе «Визуал». Для проверенного чистого изображения откройте лист «Кропы».</x:v>
      </x:c>
      <x:c r="D16" s="30" t="str">
        <x:v>Исходный и производный слои не смешиваются.</x:v>
      </x:c>
    </x:row>
    <x:row r="17" ht="38" customHeight="1">
      <x:c r="A17" s="43" t="str">
        <x:v>4</x:v>
      </x:c>
      <x:c r="B17" s="30" t="str">
        <x:v>Читайте «Расхождение / примечание»</x:v>
      </x:c>
      <x:c r="C17" s="30" t="str">
        <x:v>Особенно для KEY_MISMATCH, SOURCE_GAP, TASK_DEFECT и аудио-статусов.</x:v>
      </x:c>
      <x:c r="D17" s="30" t="str">
        <x:v>Понятная причина нестандартного флага.</x:v>
      </x:c>
    </x:row>
    <x:row r="18" ht="38" customHeight="1">
      <x:c r="A18" s="43" t="str">
        <x:v>5</x:v>
      </x:c>
      <x:c r="B18" s="30" t="str">
        <x:v>Не исправляйте source gaps молча</x:v>
      </x:c>
      <x:c r="C18" s="30" t="str">
        <x:v>Дефекты первоисточников сохранены намеренно.</x:v>
      </x:c>
      <x:c r="D18" s="30" t="str">
        <x:v>Воспроизводимость и честный аудит.</x:v>
      </x:c>
    </x:row>
    <x:row r="19" ht="38" customHeight="1">
      <x:c r="A19" s="29" t="str">
        <x:v>6</x:v>
      </x:c>
      <x:c r="B19" s="29" t="str">
        <x:v>Откройте visual_gallery/index.html</x:v>
      </x:c>
      <x:c r="C19" s="29" t="str">
        <x:v>Поиск по предмету, Task ID и VIS_ID; переключение Original / Cropped.</x:v>
      </x:c>
      <x:c r="D19" s="29" t="str">
        <x:v>Чистый task-aware визуал рядом с неизменяемым оригиналом.</x:v>
      </x:c>
    </x:row>
    <x:row r="21" ht="24" customHeight="1">
      <x:c r="A21" s="22" t="str">
        <x:v>Флаг задания</x:v>
      </x:c>
      <x:c r="B21" s="22" t="str">
        <x:v>Кратко</x:v>
      </x:c>
      <x:c r="C21" s="22" t="str">
        <x:v>Как трактовать</x:v>
      </x:c>
    </x:row>
    <x:row r="22">
      <x:c r="A22" s="36" t="str">
        <x:v>VERIFIED</x:v>
      </x:c>
      <x:c r="B22" s="35" t="str">
        <x:v>Подтверждено</x:v>
      </x:c>
      <x:c r="C22" s="35" t="str">
        <x:v>Формулировка, ответ/критерий и проверка согласованы; можно использовать как основной массив.</x:v>
      </x:c>
    </x:row>
    <x:row r="23">
      <x:c r="A23" s="57" t="str">
        <x:v>KEY_MISMATCH</x:v>
      </x:c>
      <x:c r="B23" s="55" t="str">
        <x:v>Расхождение ключа</x:v>
      </x:c>
      <x:c r="C23" s="55" t="str">
        <x:v>Официальный ключ, модель или источник расходятся. Обязательно прочитать примечание.</x:v>
      </x:c>
    </x:row>
    <x:row r="24">
      <x:c r="A24" s="61" t="str">
        <x:v>MODEL_READY</x:v>
      </x:c>
      <x:c r="B24" s="59" t="str">
        <x:v>Модель подготовлена</x:v>
      </x:c>
      <x:c r="C24" s="59" t="str">
        <x:v>Есть пригодная модель ответа, но она не заменяет отсутствующий официальный ключ.</x:v>
      </x:c>
    </x:row>
    <x:row r="25">
      <x:c r="A25" s="65" t="str">
        <x:v>SOURCE_GAP_RECOVERED</x:v>
      </x:c>
      <x:c r="B25" s="63" t="str">
        <x:v>Пробел источника восстановлен</x:v>
      </x:c>
      <x:c r="C25" s="63" t="str">
        <x:v>Недостающая часть найдена в другой надёжной копии; происхождение сохранено.</x:v>
      </x:c>
    </x:row>
    <x:row r="26">
      <x:c r="A26" s="69" t="str">
        <x:v>SOURCE_GAP</x:v>
      </x:c>
      <x:c r="B26" s="67" t="str">
        <x:v>Пробел первоисточника</x:v>
      </x:c>
      <x:c r="C26" s="67" t="str">
        <x:v>Страница, вариант или часть материала отсутствует; ничего не выдумано.</x:v>
      </x:c>
    </x:row>
    <x:row r="27">
      <x:c r="A27" s="42" t="str">
        <x:v>SOURCE_ONLY</x:v>
      </x:c>
      <x:c r="B27" s="41" t="str">
        <x:v>Только источник</x:v>
      </x:c>
      <x:c r="C27" s="41" t="str">
        <x:v>Задание сохранено, но проверенного ответа/модели недостаточно.</x:v>
      </x:c>
    </x:row>
    <x:row r="28">
      <x:c r="A28" s="73" t="str">
        <x:v>AUDIO_SOURCE_ONLY</x:v>
      </x:c>
      <x:c r="B28" s="71" t="str">
        <x:v>Только аудиоисточник</x:v>
      </x:c>
      <x:c r="C28" s="71" t="str">
        <x:v>Аудио сохранено, но нет достаточного официального текстового ключа/транскрипта.</x:v>
      </x:c>
    </x:row>
    <x:row r="29">
      <x:c r="A29" s="77" t="str">
        <x:v>AUDIO_PROVISIONAL</x:v>
      </x:c>
      <x:c r="B29" s="75" t="str">
        <x:v>Аудио — предварительно</x:v>
      </x:c>
      <x:c r="C29" s="75" t="str">
        <x:v>Сегментация, транскрипт или ответ имеют предварительный характер.</x:v>
      </x:c>
    </x:row>
    <x:row r="30">
      <x:c r="A30" s="69" t="str">
        <x:v>AUDIO_PENDING</x:v>
      </x:c>
      <x:c r="B30" s="67" t="str">
        <x:v>Аудио ожидает проверки</x:v>
      </x:c>
      <x:c r="C30" s="67" t="str">
        <x:v>Нужен официальный ключ, транскрипт или дополнительная проверка.</x:v>
      </x:c>
    </x:row>
    <x:row r="31">
      <x:c r="A31" s="73" t="str">
        <x:v>AUDIO_LOCKED</x:v>
      </x:c>
      <x:c r="B31" s="71" t="str">
        <x:v>Аудио зафиксировано</x:v>
      </x:c>
      <x:c r="C31" s="71" t="str">
        <x:v>Материал сохранён в текущем виде из-за ограничений источника; не трактовать как полную верификацию.</x:v>
      </x:c>
    </x:row>
    <x:row r="32">
      <x:c r="A32" s="61" t="str">
        <x:v>AUDIO_DERIVED</x:v>
      </x:c>
      <x:c r="B32" s="59" t="str">
        <x:v>Выведено из аудио</x:v>
      </x:c>
      <x:c r="C32" s="59" t="str">
        <x:v>Структура или ответ получены из аудиоматериала, а не из отдельного официального текста.</x:v>
      </x:c>
    </x:row>
    <x:row r="33">
      <x:c r="A33" s="57" t="str">
        <x:v>ATTACHMENT_MISSING</x:v>
      </x:c>
      <x:c r="B33" s="55" t="str">
        <x:v>Нет вложения</x:v>
      </x:c>
      <x:c r="C33" s="55" t="str">
        <x:v>Упомянутый файл, карта, таблица или другое приложение отсутствует в первоисточнике.</x:v>
      </x:c>
    </x:row>
    <x:row r="34">
      <x:c r="A34" s="42" t="str">
        <x:v>CRITERIA_ONLY</x:v>
      </x:c>
      <x:c r="B34" s="41" t="str">
        <x:v>Только критерии</x:v>
      </x:c>
      <x:c r="C34" s="41" t="str">
        <x:v>Есть ключ/критерий, но полная формулировка задания отсутствует или неполна.</x:v>
      </x:c>
    </x:row>
    <x:row r="35">
      <x:c r="A35" s="65" t="str">
        <x:v>TASK_DEFECT_RECOVERED</x:v>
      </x:c>
      <x:c r="B35" s="63" t="str">
        <x:v>Дефект задания восстановлен</x:v>
      </x:c>
      <x:c r="C35" s="63" t="str">
        <x:v>Повреждённый фрагмент восстановлен по другой надёжной копии.</x:v>
      </x:c>
    </x:row>
    <x:row r="36">
      <x:c r="A36" s="57" t="str">
        <x:v>TASK_DEFECT</x:v>
      </x:c>
      <x:c r="B36" s="55" t="str">
        <x:v>Дефект задания</x:v>
      </x:c>
      <x:c r="C36" s="55" t="str">
        <x:v>Формулировка повреждена, неполна или неразборчива.</x:v>
      </x:c>
    </x:row>
    <x:row r="37">
      <x:c r="A37" s="69" t="str">
        <x:v>MODEL_SOURCE_DEFECT</x:v>
      </x:c>
      <x:c r="B37" s="67" t="str">
        <x:v>Модель при дефекте источника</x:v>
      </x:c>
      <x:c r="C37" s="67" t="str">
        <x:v>Модель ответа есть, но исходная формулировка повреждена.</x:v>
      </x:c>
    </x:row>
    <x:row r="38">
      <x:c r="A38" s="77" t="str">
        <x:v>AMBIGUOUS</x:v>
      </x:c>
      <x:c r="B38" s="75" t="str">
        <x:v>Неоднозначно</x:v>
      </x:c>
      <x:c r="C38" s="75" t="str">
        <x:v>Безопасно выбрать единственный ответ по имеющимся источникам нельзя.</x:v>
      </x:c>
    </x:row>
    <x:row r="41" ht="24" customHeight="1">
      <x:c r="A41" s="22" t="str">
        <x:v>Флаг визуала</x:v>
      </x:c>
      <x:c r="B41" s="22" t="str">
        <x:v>Что означает</x:v>
      </x:c>
      <x:c r="C41" s="22" t="str">
        <x:v>Практическое действие</x:v>
      </x:c>
    </x:row>
    <x:row r="42">
      <x:c r="A42" s="65" t="str">
        <x:v>RESOLVED</x:v>
      </x:c>
      <x:c r="B42" s="63" t="str">
        <x:v>Канонический asset найден и связан с VIS_ID.</x:v>
      </x:c>
      <x:c r="C42" s="63" t="str">
        <x:v>Смотреть строку VIS_ID на листе «Визуал».</x:v>
      </x:c>
    </x:row>
    <x:row r="43">
      <x:c r="A43" s="61" t="str">
        <x:v>RESOLVED / SOURCE_REGENERATED</x:v>
      </x:c>
      <x:c r="B43" s="59" t="str">
        <x:v>Страница заново отрендерена из сохранённого первичного PDF; это не побайтная копия старого PNG.</x:v>
      </x:c>
      <x:c r="C43" s="59" t="str">
        <x:v>Смотреть строку VIS_ID на листе «Визуал».</x:v>
      </x:c>
    </x:row>
    <x:row r="44">
      <x:c r="A44" s="65" t="str">
        <x:v>RESOLVED / HASH_ONLY_QA</x:v>
      </x:c>
      <x:c r="B44" s="63" t="str">
        <x:v>Asset подтверждён хешем, но отдельная историческая отметка crop-QA отсутствовала.</x:v>
      </x:c>
      <x:c r="C44" s="63" t="str">
        <x:v>Смотреть строку VIS_ID на листе «Визуал».</x:v>
      </x:c>
    </x:row>
    <x:row r="45">
      <x:c r="A45" s="61" t="str">
        <x:v>CROP_VERIFIED</x:v>
      </x:c>
      <x:c r="B45" s="59" t="str">
        <x:v>Кадр/страница визуально проверены.</x:v>
      </x:c>
      <x:c r="C45" s="59" t="str">
        <x:v>Смотреть строку VIS_ID на листе «Визуал».</x:v>
      </x:c>
    </x:row>
    <x:row r="46">
      <x:c r="A46" s="65" t="str">
        <x:v>ORIGINAL_PACKAGE</x:v>
      </x:c>
      <x:c r="B46" s="63" t="str">
        <x:v>Файл взят из исходного visual package.</x:v>
      </x:c>
      <x:c r="C46" s="63" t="str">
        <x:v>Смотреть строку VIS_ID на листе «Визуал».</x:v>
      </x:c>
    </x:row>
    <x:row r="47">
      <x:c r="A47" s="61" t="str">
        <x:v>ORIGINAL_SUBJECT_PACKAGE</x:v>
      </x:c>
      <x:c r="B47" s="59" t="str">
        <x:v>Предметный пакет имеет приоритет над устаревшим агрегированным хешем master.</x:v>
      </x:c>
      <x:c r="C47" s="59" t="str">
        <x:v>Смотреть строку VIS_ID на листе «Визуал».</x:v>
      </x:c>
    </x:row>
    <x:row r="48">
      <x:c r="A48" s="65" t="str">
        <x:v>MASTER_EMBEDDED_EXACT</x:v>
      </x:c>
      <x:c r="B48" s="63" t="str">
        <x:v>Файл побайтно извлечён из встроенных медиа master-книги.</x:v>
      </x:c>
      <x:c r="C48" s="63" t="str">
        <x:v>Смотреть строку VIS_ID на листе «Визуал».</x:v>
      </x:c>
    </x:row>
    <x:row r="49">
      <x:c r="A49" s="61" t="str">
        <x:v>SOURCE_REGENERATED</x:v>
      </x:c>
      <x:c r="B49" s="59" t="str">
        <x:v>Файл воспроизведён из первичного PDF с явной фиксацией происхождения.</x:v>
      </x:c>
      <x:c r="C49" s="59" t="str">
        <x:v>Смотреть строку VIS_ID на листе «Визуал».</x:v>
      </x:c>
    </x:row>
    <x:row r="50">
      <x:c r="A50" s="65" t="str">
        <x:v>VIS_ID пуст</x:v>
      </x:c>
      <x:c r="B50" s="63" t="str">
        <x:v>Для строки отдельный визуальный объект не зарегистрирован или не требуется.</x:v>
      </x:c>
      <x:c r="C50" s="63" t="str">
        <x:v>Использовать текст задания без отдельного visual lookup.</x:v>
      </x:c>
    </x:row>
    <x:row r="53" ht="35" customHeight="1">
      <x:c r="A53" s="50" t="str">
        <x:v>Важно: эта книга — пользовательский интерфейс. Полная audit-версия, исходный visual registry, решения ручного QA и неизменяемые оригиналы сохранены в репозитории quendoris/olymp.</x:v>
      </x:c>
      <x:c r="B53" s="50"/>
      <x:c r="C53" s="50"/>
      <x:c r="D53" s="50"/>
      <x:c r="E53" s="50"/>
      <x:c r="F53" s="50"/>
      <x:c r="G53" s="50"/>
      <x:c r="H53" s="50"/>
    </x:row>
    <x:row r="54" ht="28" customHeight="1">
      <x:c r="A54" s="100" t="str">
        <x:v>v1.12 — проверенный task-aware crop-слой</x:v>
      </x:c>
      <x:c r="B54" s="100"/>
      <x:c r="C54" s="100"/>
      <x:c r="D54" s="100"/>
    </x:row>
    <x:row r="55" ht="28" customHeight="1">
      <x:c r="A55" s="101" t="str">
        <x:v>Проверенных Task ID × VIS_ID</x:v>
      </x:c>
      <x:c r="B55" s="29" t="n">
        <x:v>379</x:v>
      </x:c>
      <x:c r="C55" s="29" t="str">
        <x:v>Каждая пара просмотрена человеком и прошла финальный QA.</x:v>
      </x:c>
      <x:c r="D55" s="29" t="str">
        <x:v>Кропы</x:v>
      </x:c>
    </x:row>
    <x:row r="56" ht="28" customHeight="1">
      <x:c r="A56" s="101" t="str">
        <x:v>Уникальных итоговых assets</x:v>
      </x:c>
      <x:c r="B56" s="29" t="n">
        <x:v>324</x:v>
      </x:c>
      <x:c r="C56" s="29" t="str">
        <x:v>Одинаковые изображения дедуплицированы по SHA-256.</x:v>
      </x:c>
      <x:c r="D56" s="29" t="str">
        <x:v>Кропы → Crop SHA-256</x:v>
      </x:c>
    </x:row>
    <x:row r="57" ht="28" customHeight="1">
      <x:c r="A57" s="101" t="str">
        <x:v>Без отдельного crop</x:v>
      </x:c>
      <x:c r="B57" s="29" t="n">
        <x:v>22</x:v>
      </x:c>
      <x:c r="C57" s="29" t="str">
        <x:v>Визуал не нужен для решения или лишь повторяет текст задания.</x:v>
      </x:c>
      <x:c r="D57" s="29" t="str">
        <x:v>Кропы → Решение</x:v>
      </x:c>
    </x:row>
    <x:row r="58" ht="28" customHeight="1">
      <x:c r="A58" s="101" t="str">
        <x:v>Tight / Context</x:v>
      </x:c>
      <x:c r="B58" s="29" t="str">
        <x:v>144 / 141</x:v>
      </x:c>
      <x:c r="C58" s="29" t="str">
        <x:v>Автоматические рамки, подтверждённые человеком.</x:v>
      </x:c>
      <x:c r="D58" s="29" t="str">
        <x:v>Кропы → Решение</x:v>
      </x:c>
    </x:row>
    <x:row r="59" ht="28" customHeight="1">
      <x:c r="A59" s="101" t="str">
        <x:v>Manual / Composite</x:v>
      </x:c>
      <x:c r="B59" s="29" t="str">
        <x:v>68 / 4</x:v>
      </x:c>
      <x:c r="C59" s="29" t="str">
        <x:v>Ручные рамки и составные изображения из нескольких фрагментов.</x:v>
      </x:c>
      <x:c r="D59" s="29" t="str">
        <x:v>Кропы → Решение</x:v>
      </x:c>
    </x:row>
    <x:row r="60" ht="28" customHeight="1">
      <x:c r="A60" s="101" t="str">
        <x:v>Инвариант</x:v>
      </x:c>
      <x:c r="B60" s="29" t="str">
        <x:v>Оригиналы неизменны</x:v>
      </x:c>
      <x:c r="C60" s="29" t="str">
        <x:v>Кропы — производный слой; исходные assets не заменены.</x:v>
      </x:c>
      <x:c r="D60" s="29" t="str">
        <x:v>Визуал + Кропы</x:v>
      </x:c>
    </x:row>
    <x:row r="61" ht="28" customHeight="1">
      <x:c r="A61" s="101" t="str">
        <x:v>Release gate</x:v>
      </x:c>
      <x:c r="B61" s="29" t="str">
        <x:v>READY</x:v>
      </x:c>
      <x:c r="C61" s="29" t="str">
        <x:v>379 утверждено; 0 нерешённых; 0 ошибок materialization.</x:v>
      </x:c>
      <x:c r="D61" s="29" t="str">
        <x:v>Кропы → QA / публикация</x:v>
      </x:c>
    </x:row>
  </x:sheetData>
  <x:mergeCells>
    <x:mergeCell ref="A1:H1"/>
    <x:mergeCell ref="A2:H2"/>
    <x:mergeCell ref="A53:H53"/>
    <x:mergeCell ref="A54:D54"/>
    <x:mergeCell ref="A1:D1"/>
    <x:mergeCell ref="A2:D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4" hidden="0" customWidth="1"/>
    <x:col min="3" max="3" width="12" hidden="0" customWidth="1"/>
    <x:col min="4" max="4" width="15" hidden="0" customWidth="1"/>
    <x:col min="5" max="5" width="12" hidden="0" customWidth="1"/>
    <x:col min="6" max="6" width="11" hidden="0" customWidth="1"/>
    <x:col min="7" max="7" width="20" hidden="0" customWidth="1"/>
    <x:col min="8" max="8" width="12" hidden="0" customWidth="1"/>
    <x:col min="9" max="9" width="18" hidden="0" customWidth="1"/>
    <x:col min="10" max="10" width="15" hidden="0" customWidth="1"/>
    <x:col min="11" max="11" width="7" hidden="0" customWidth="1"/>
    <x:col min="12" max="12" width="22" hidden="0" customWidth="1"/>
    <x:col min="13" max="13" width="58" hidden="0" customWidth="1"/>
    <x:col min="14" max="14" width="28" hidden="0" customWidth="1"/>
    <x:col min="15" max="15" width="58" hidden="0" customWidth="1"/>
    <x:col min="16" max="16" width="36" hidden="0" customWidth="1"/>
    <x:col min="17" max="17" width="22" hidden="0" customWidth="1"/>
    <x:col min="18" max="18" width="30" hidden="0" customWidth="1"/>
    <x:col min="19" max="19" width="24" hidden="0" customWidth="1"/>
    <x:col min="20" max="20" width="24" hidden="0" customWidth="1"/>
    <x:col min="21" max="21" width="42" hidden="0" customWidth="1"/>
    <x:col min="22" max="22" width="24" hidden="0" customWidth="1"/>
    <x:col min="23" max="23" width="10" hidden="0" customWidth="1"/>
    <x:col min="24" max="24" width="12" hidden="0" customWidth="1"/>
    <x:col min="25" max="25" width="12" hidden="0" customWidth="1"/>
    <x:col min="26" max="26" width="14" hidden="0" customWidth="1"/>
    <x:col min="27" max="27" width="13" hidden="0" customWidth="1"/>
    <x:col min="28" max="28" width="12" hidden="0" customWidth="1"/>
    <x:col min="29" max="29" width="27" hidden="0" customWidth="1"/>
    <x:col min="30" max="30" width="27" hidden="0" customWidth="1"/>
    <x:col min="31" max="31" width="20" hidden="0" customWidth="1"/>
    <x:col min="32" max="32" width="12" hidden="0" customWidth="1"/>
    <x:col min="33" max="33" width="28" hidden="0" customWidth="1"/>
    <x:col min="34" max="34" width="34" hidden="0" customWidth="1"/>
    <x:col min="35" max="35" width="34" hidden="0" customWidth="1"/>
    <x:col min="36" max="36" width="10" hidden="0" customWidth="1"/>
    <x:col min="37" max="37" width="16" hidden="0" customWidth="1"/>
    <x:col min="38" max="38" width="36" hidden="0" customWidth="1"/>
    <x:col min="39" max="39" width="28" hidden="0" customWidth="1"/>
    <x:col min="40" max="40" width="12" hidden="0" customWidth="1"/>
  </x:cols>
  <x:sheetData>
    <x:row r="1" ht="38" customHeight="1">
      <x:c r="A1" s="82" t="str">
        <x:v>№ записи</x:v>
      </x:c>
      <x:c r="B1" s="82" t="str">
        <x:v>ID</x:v>
      </x:c>
      <x:c r="C1" s="82" t="str">
        <x:v>Источник</x:v>
      </x:c>
      <x:c r="D1" s="82" t="str">
        <x:v>Период</x:v>
      </x:c>
      <x:c r="E1" s="82" t="str">
        <x:v>Сессия</x:v>
      </x:c>
      <x:c r="F1" s="82" t="str">
        <x:v>Дата</x:v>
      </x:c>
      <x:c r="G1" s="82" t="str">
        <x:v>Предмет</x:v>
      </x:c>
      <x:c r="H1" s="82" t="str">
        <x:v>Класс / уровень</x:v>
      </x:c>
      <x:c r="I1" s="82" t="str">
        <x:v>Работа</x:v>
      </x:c>
      <x:c r="J1" s="82" t="str">
        <x:v>Вариант</x:v>
      </x:c>
      <x:c r="K1" s="82" t="str">
        <x:v>№</x:v>
      </x:c>
      <x:c r="L1" s="82" t="str">
        <x:v>Тип задания</x:v>
      </x:c>
      <x:c r="M1" s="82" t="str">
        <x:v>Формулировка</x:v>
      </x:c>
      <x:c r="N1" s="82" t="str">
        <x:v>Ответ / модель</x:v>
      </x:c>
      <x:c r="O1" s="82" t="str">
        <x:v>Решение / объяснение</x:v>
      </x:c>
      <x:c r="P1" s="82" t="str">
        <x:v>Проверка / обоснование</x:v>
      </x:c>
      <x:c r="Q1" s="82" t="str">
        <x:v>Метод проверки</x:v>
      </x:c>
      <x:c r="R1" s="82" t="str">
        <x:v>Официальный ответ / критерий</x:v>
      </x:c>
      <x:c r="S1" s="82" t="str">
        <x:v>Источник ответа / модели</x:v>
      </x:c>
      <x:c r="T1" s="82" t="str">
        <x:v>Источник ключа / проверки</x:v>
      </x:c>
      <x:c r="U1" s="82" t="str">
        <x:v>Расхождение / примечание</x:v>
      </x:c>
      <x:c r="V1" s="82" t="str">
        <x:v>Статус</x:v>
      </x:c>
      <x:c r="W1" s="82" t="str">
        <x:v>Страница</x:v>
      </x:c>
      <x:c r="X1" s="82" t="str">
        <x:v>Страница задания</x:v>
      </x:c>
      <x:c r="Y1" s="82" t="str">
        <x:v>Логическая страница</x:v>
      </x:c>
      <x:c r="Z1" s="82" t="str">
        <x:v>Физическая страница PDF</x:v>
      </x:c>
      <x:c r="AA1" s="82" t="str">
        <x:v>Страница источника</x:v>
      </x:c>
      <x:c r="AB1" s="82" t="str">
        <x:v>Страница ключа</x:v>
      </x:c>
      <x:c r="AC1" s="82" t="str">
        <x:v>VIS_ID</x:v>
      </x:c>
      <x:c r="AD1" s="82" t="str">
        <x:v>VIS_KEY / MODEL</x:v>
      </x:c>
      <x:c r="AE1" s="82" t="str">
        <x:v>Тип визуала</x:v>
      </x:c>
      <x:c r="AF1" s="82" t="str">
        <x:v>Страница визуала</x:v>
      </x:c>
      <x:c r="AG1" s="82" t="str">
        <x:v>Статус визуала</x:v>
      </x:c>
      <x:c r="AH1" s="82" t="str">
        <x:v>Crop / QA status</x:v>
      </x:c>
      <x:c r="AI1" s="82" t="str">
        <x:v>Дополнительные поля JSON</x:v>
      </x:c>
      <x:c r="AJ1" s="82" t="str">
        <x:v>Ветка</x:v>
      </x:c>
      <x:c r="AK1" s="82" t="str">
        <x:v>Версия ветки</x:v>
      </x:c>
      <x:c r="AL1" s="82" t="str">
        <x:v>Исходный файл</x:v>
      </x:c>
      <x:c r="AM1" s="82" t="str">
        <x:v>Исходный лист</x:v>
      </x:c>
      <x:c r="AN1" s="82" t="str">
        <x:v>Исходная строка</x:v>
      </x:c>
    </x:row>
    <x:row r="2">
      <x:c r="A2" s="87" t="n">
        <x:v>1</x:v>
      </x:c>
      <x:c r="B2" s="87" t="str">
        <x:v>JAN-RU-V1-001</x:v>
      </x:c>
      <x:c r="C2" s="87" t="str">
        <x:v>СтатГрад</x:v>
      </x:c>
      <x:c r="D2" s="87" t="str">
        <x:v>Январь 2026</x:v>
      </x:c>
      <x:c r="E2" s="87"/>
      <x:c r="F2" s="87"/>
      <x:c r="G2" s="87" t="str">
        <x:v>Русский язык</x:v>
      </x:c>
      <x:c r="H2" s="87" t="n">
        <x:v>11</x:v>
      </x:c>
      <x:c r="I2" s="87" t="str">
        <x:v>ТР №3</x:v>
      </x:c>
      <x:c r="J2" s="87" t="str">
        <x:v>РЯ2510401</x:v>
      </x:c>
      <x:c r="K2" s="87" t="n">
        <x:v>1</x:v>
      </x:c>
      <x:c r="L2" s="87" t="str">
        <x:v>Средство связи</x:v>
      </x:c>
      <x:c r="M2" s="30" t="str">
        <x:v>Подберите усилительную частицу в предложении: «которые хоть и стали „только смутными образами“, но &lt;...&gt; остаются „всегда близки и дороги“ автору».</x:v>
      </x:c>
      <x:c r="N2" s="30" t="str">
        <x:v>всё-таки</x:v>
      </x:c>
      <x:c r="O2" s="30" t="str">
        <x:v>Сочетание «хоть и…, но всё-таки…» подчёркивает уступительное противопоставление: образы стали смутными, однако сохранили близость автору.</x:v>
      </x:c>
      <x:c r="P2" s="30" t="str">
        <x:v>Проверена грамматическая модель уступки и смысл абзаца.</x:v>
      </x:c>
      <x:c r="Q2" s="30"/>
      <x:c r="R2" s="30" t="str">
        <x:v>всё-таки / все-таки / всё же / все же</x:v>
      </x:c>
      <x:c r="S2" s="30"/>
      <x:c r="T2" s="30"/>
      <x:c r="U2" s="30" t="str">
        <x:v>Расхождений нет.</x:v>
      </x:c>
      <x:c r="V2" s="87" t="str">
        <x:v>VERIFIED</x:v>
      </x:c>
      <x:c r="W2" s="87" t="n">
        <x:v>2</x:v>
      </x:c>
      <x:c r="X2" s="87"/>
      <x:c r="Y2" s="87"/>
      <x:c r="Z2" s="87"/>
      <x:c r="AA2" s="87"/>
      <x:c r="AB2" s="87"/>
      <x:c r="AC2" s="87"/>
      <x:c r="AD2" s="87"/>
      <x:c r="AE2" s="87"/>
      <x:c r="AF2" s="87"/>
      <x:c r="AG2" s="87"/>
      <x:c r="AH2" s="87"/>
      <x:c r="AI2" s="30"/>
      <x:c r="AJ2" s="87" t="str">
        <x:v>master</x:v>
      </x:c>
      <x:c r="AK2" s="87" t="str">
        <x:v>master-v0.81</x:v>
      </x:c>
      <x:c r="AL2" s="87" t="str">
        <x:v>statgrad_master_base_v0_81_final(2).xlsx</x:v>
      </x:c>
      <x:c r="AM2" s="87" t="str">
        <x:v>RU_Jan_V1</x:v>
      </x:c>
      <x:c r="AN2" s="87" t="n">
        <x:v>2</x:v>
      </x:c>
    </x:row>
    <x:row r="3">
      <x:c r="A3" s="87" t="n">
        <x:v>2</x:v>
      </x:c>
      <x:c r="B3" s="87" t="str">
        <x:v>JAN-RU-V1-002</x:v>
      </x:c>
      <x:c r="C3" s="87" t="str">
        <x:v>СтатГрад</x:v>
      </x:c>
      <x:c r="D3" s="87" t="str">
        <x:v>Январь 2026</x:v>
      </x:c>
      <x:c r="E3" s="87"/>
      <x:c r="F3" s="87"/>
      <x:c r="G3" s="87" t="str">
        <x:v>Русский язык</x:v>
      </x:c>
      <x:c r="H3" s="87" t="n">
        <x:v>11</x:v>
      </x:c>
      <x:c r="I3" s="87" t="str">
        <x:v>ТР №3</x:v>
      </x:c>
      <x:c r="J3" s="87" t="str">
        <x:v>РЯ2510401</x:v>
      </x:c>
      <x:c r="K3" s="87" t="n">
        <x:v>2</x:v>
      </x:c>
      <x:c r="L3" s="87" t="str">
        <x:v>Лексическое значение</x:v>
      </x:c>
      <x:c r="M3" s="30" t="str">
        <x:v>Определите, в каких словарных статьях значение выделенного слова соответствует контексту: ПРЕДСТАВЛЕНИЕ, ЛИРИЧЕСКИЙ, РОСКОШНЫЙ, ОСТРЫЙ, ПЕРЕХОД.</x:v>
      </x:c>
      <x:c r="N3" s="30" t="str">
        <x:v>123</x:v>
      </x:c>
      <x:c r="O3" s="30" t="str">
        <x:v>«Представление» означает понимание, «лирическая» — проникнутая эмоциями, «роскошная» — великолепная. «Острое чувство» здесь значит сильное, а «переход» — смену темы, поэтому определения 4 и 5 не подходят.</x:v>
      </x:c>
      <x:c r="P3" s="30" t="str">
        <x:v>Каждое значение сопоставлено с конкретным контекстом.</x:v>
      </x:c>
      <x:c r="Q3" s="30"/>
      <x:c r="R3" s="30" t="str">
        <x:v>123</x:v>
      </x:c>
      <x:c r="S3" s="30"/>
      <x:c r="T3" s="30"/>
      <x:c r="U3" s="30" t="str">
        <x:v>Расхождений нет.</x:v>
      </x:c>
      <x:c r="V3" s="87" t="str">
        <x:v>VERIFIED</x:v>
      </x:c>
      <x:c r="W3" s="87" t="n">
        <x:v>3</x:v>
      </x:c>
      <x:c r="X3" s="87"/>
      <x:c r="Y3" s="87"/>
      <x:c r="Z3" s="87"/>
      <x:c r="AA3" s="87"/>
      <x:c r="AB3" s="87"/>
      <x:c r="AC3" s="87"/>
      <x:c r="AD3" s="87"/>
      <x:c r="AE3" s="87"/>
      <x:c r="AF3" s="87"/>
      <x:c r="AG3" s="87"/>
      <x:c r="AH3" s="87"/>
      <x:c r="AI3" s="30"/>
      <x:c r="AJ3" s="87" t="str">
        <x:v>master</x:v>
      </x:c>
      <x:c r="AK3" s="87" t="str">
        <x:v>master-v0.81</x:v>
      </x:c>
      <x:c r="AL3" s="87" t="str">
        <x:v>statgrad_master_base_v0_81_final(2).xlsx</x:v>
      </x:c>
      <x:c r="AM3" s="87" t="str">
        <x:v>RU_Jan_V1</x:v>
      </x:c>
      <x:c r="AN3" s="87" t="n">
        <x:v>3</x:v>
      </x:c>
    </x:row>
    <x:row r="4">
      <x:c r="A4" s="87" t="n">
        <x:v>3</x:v>
      </x:c>
      <x:c r="B4" s="87" t="str">
        <x:v>JAN-RU-V1-003</x:v>
      </x:c>
      <x:c r="C4" s="87" t="str">
        <x:v>СтатГрад</x:v>
      </x:c>
      <x:c r="D4" s="87" t="str">
        <x:v>Январь 2026</x:v>
      </x:c>
      <x:c r="E4" s="87"/>
      <x:c r="F4" s="87"/>
      <x:c r="G4" s="87" t="str">
        <x:v>Русский язык</x:v>
      </x:c>
      <x:c r="H4" s="87" t="n">
        <x:v>11</x:v>
      </x:c>
      <x:c r="I4" s="87" t="str">
        <x:v>ТР №3</x:v>
      </x:c>
      <x:c r="J4" s="87" t="str">
        <x:v>РЯ2510401</x:v>
      </x:c>
      <x:c r="K4" s="87" t="n">
        <x:v>3</x:v>
      </x:c>
      <x:c r="L4" s="87" t="str">
        <x:v>Характеристика текста</x:v>
      </x:c>
      <x:c r="M4" s="30" t="str">
        <x:v>Выберите верные характеристики текста о дневниках И. А. Бунина.</x:v>
      </x:c>
      <x:c r="N4" s="30" t="str">
        <x:v>35</x:v>
      </x:c>
      <x:c r="O4" s="30" t="str">
        <x:v>В тексте есть музыкальная терминология и эмоционально окрашенная лексика (3), а также метафоры и сравнение (5). Текст не является научным или репортажным; утверждение 4 ошибочно из-за заявленного сложносочинённого синтаксиса.</x:v>
      </x:c>
      <x:c r="P4" s="30" t="str">
        <x:v>Проверены стиль, лексика и указанные синтаксические конструкции.</x:v>
      </x:c>
      <x:c r="Q4" s="30"/>
      <x:c r="R4" s="30" t="str">
        <x:v>35</x:v>
      </x:c>
      <x:c r="S4" s="30"/>
      <x:c r="T4" s="30"/>
      <x:c r="U4" s="30" t="str">
        <x:v>Расхождений нет.</x:v>
      </x:c>
      <x:c r="V4" s="87" t="str">
        <x:v>VERIFIED</x:v>
      </x:c>
      <x:c r="W4" s="87" t="n">
        <x:v>3</x:v>
      </x:c>
      <x:c r="X4" s="87"/>
      <x:c r="Y4" s="87"/>
      <x:c r="Z4" s="87"/>
      <x:c r="AA4" s="87"/>
      <x:c r="AB4" s="87"/>
      <x:c r="AC4" s="87"/>
      <x:c r="AD4" s="87"/>
      <x:c r="AE4" s="87"/>
      <x:c r="AF4" s="87"/>
      <x:c r="AG4" s="87"/>
      <x:c r="AH4" s="87"/>
      <x:c r="AI4" s="30"/>
      <x:c r="AJ4" s="87" t="str">
        <x:v>master</x:v>
      </x:c>
      <x:c r="AK4" s="87" t="str">
        <x:v>master-v0.81</x:v>
      </x:c>
      <x:c r="AL4" s="87" t="str">
        <x:v>statgrad_master_base_v0_81_final(2).xlsx</x:v>
      </x:c>
      <x:c r="AM4" s="87" t="str">
        <x:v>RU_Jan_V1</x:v>
      </x:c>
      <x:c r="AN4" s="87" t="n">
        <x:v>4</x:v>
      </x:c>
    </x:row>
    <x:row r="5">
      <x:c r="A5" s="87" t="n">
        <x:v>4</x:v>
      </x:c>
      <x:c r="B5" s="87" t="str">
        <x:v>JAN-RU-V1-004</x:v>
      </x:c>
      <x:c r="C5" s="87" t="str">
        <x:v>СтатГрад</x:v>
      </x:c>
      <x:c r="D5" s="87" t="str">
        <x:v>Январь 2026</x:v>
      </x:c>
      <x:c r="E5" s="87"/>
      <x:c r="F5" s="87"/>
      <x:c r="G5" s="87" t="str">
        <x:v>Русский язык</x:v>
      </x:c>
      <x:c r="H5" s="87" t="n">
        <x:v>11</x:v>
      </x:c>
      <x:c r="I5" s="87" t="str">
        <x:v>ТР №3</x:v>
      </x:c>
      <x:c r="J5" s="87" t="str">
        <x:v>РЯ2510401</x:v>
      </x:c>
      <x:c r="K5" s="87" t="n">
        <x:v>4</x:v>
      </x:c>
      <x:c r="L5" s="87" t="str">
        <x:v>Орфоэпия</x:v>
      </x:c>
      <x:c r="M5" s="30" t="str">
        <x:v>Найдите слова с верно указанным ударением: зАсветло; углУбленный; вероисповедАние; защемИт; прирУченный.</x:v>
      </x:c>
      <x:c r="N5" s="30" t="str">
        <x:v>14</x:v>
      </x:c>
      <x:c r="O5" s="30" t="str">
        <x:v>Верно: зАсветло и защемИт. Остальные нормативные формы: углублЁнный, вероисповЕдание, приручЁнный.</x:v>
      </x:c>
      <x:c r="P5" s="30" t="str">
        <x:v>Сверены нормативные ударения.</x:v>
      </x:c>
      <x:c r="Q5" s="30"/>
      <x:c r="R5" s="30" t="str">
        <x:v>14</x:v>
      </x:c>
      <x:c r="S5" s="30"/>
      <x:c r="T5" s="30"/>
      <x:c r="U5" s="30" t="str">
        <x:v>Расхождений нет.</x:v>
      </x:c>
      <x:c r="V5" s="87" t="str">
        <x:v>VERIFIED</x:v>
      </x:c>
      <x:c r="W5" s="87" t="n">
        <x:v>4</x:v>
      </x:c>
      <x:c r="X5" s="87"/>
      <x:c r="Y5" s="87"/>
      <x:c r="Z5" s="87"/>
      <x:c r="AA5" s="87"/>
      <x:c r="AB5" s="87"/>
      <x:c r="AC5" s="87"/>
      <x:c r="AD5" s="87"/>
      <x:c r="AE5" s="87"/>
      <x:c r="AF5" s="87"/>
      <x:c r="AG5" s="87"/>
      <x:c r="AH5" s="87"/>
      <x:c r="AI5" s="30"/>
      <x:c r="AJ5" s="87" t="str">
        <x:v>master</x:v>
      </x:c>
      <x:c r="AK5" s="87" t="str">
        <x:v>master-v0.81</x:v>
      </x:c>
      <x:c r="AL5" s="87" t="str">
        <x:v>statgrad_master_base_v0_81_final(2).xlsx</x:v>
      </x:c>
      <x:c r="AM5" s="87" t="str">
        <x:v>RU_Jan_V1</x:v>
      </x:c>
      <x:c r="AN5" s="87" t="n">
        <x:v>5</x:v>
      </x:c>
    </x:row>
    <x:row r="6">
      <x:c r="A6" s="87" t="n">
        <x:v>5</x:v>
      </x:c>
      <x:c r="B6" s="87" t="str">
        <x:v>JAN-RU-V1-005</x:v>
      </x:c>
      <x:c r="C6" s="87" t="str">
        <x:v>СтатГрад</x:v>
      </x:c>
      <x:c r="D6" s="87" t="str">
        <x:v>Январь 2026</x:v>
      </x:c>
      <x:c r="E6" s="87"/>
      <x:c r="F6" s="87"/>
      <x:c r="G6" s="87" t="str">
        <x:v>Русский язык</x:v>
      </x:c>
      <x:c r="H6" s="87" t="n">
        <x:v>11</x:v>
      </x:c>
      <x:c r="I6" s="87" t="str">
        <x:v>ТР №3</x:v>
      </x:c>
      <x:c r="J6" s="87" t="str">
        <x:v>РЯ2510401</x:v>
      </x:c>
      <x:c r="K6" s="87" t="n">
        <x:v>5</x:v>
      </x:c>
      <x:c r="L6" s="87" t="str">
        <x:v>Паронимы</x:v>
      </x:c>
      <x:c r="M6" s="30" t="str">
        <x:v>Исправьте неверное употребление слова в сочетании «в недавно открытом ЛЕДЯНОМ дворце зимнего спорта».</x:v>
      </x:c>
      <x:c r="N6" s="30" t="str">
        <x:v>ледовом</x:v>
      </x:c>
      <x:c r="O6" s="30" t="str">
        <x:v>Спортивное сооружение называется ледовым дворцом. «Ледяной» обозначает сделанный изо льда или очень холодный.</x:v>
      </x:c>
      <x:c r="P6" s="30" t="str">
        <x:v>Проверено различие паронимов «ледяной — ледовый».</x:v>
      </x:c>
      <x:c r="Q6" s="30"/>
      <x:c r="R6" s="30" t="str">
        <x:v>ледовом</x:v>
      </x:c>
      <x:c r="S6" s="30"/>
      <x:c r="T6" s="30"/>
      <x:c r="U6" s="30" t="str">
        <x:v>Расхождений нет.</x:v>
      </x:c>
      <x:c r="V6" s="87" t="str">
        <x:v>VERIFIED</x:v>
      </x:c>
      <x:c r="W6" s="87" t="n">
        <x:v>4</x:v>
      </x:c>
      <x:c r="X6" s="87"/>
      <x:c r="Y6" s="87"/>
      <x:c r="Z6" s="87"/>
      <x:c r="AA6" s="87"/>
      <x:c r="AB6" s="87"/>
      <x:c r="AC6" s="87"/>
      <x:c r="AD6" s="87"/>
      <x:c r="AE6" s="87"/>
      <x:c r="AF6" s="87"/>
      <x:c r="AG6" s="87"/>
      <x:c r="AH6" s="87"/>
      <x:c r="AI6" s="30"/>
      <x:c r="AJ6" s="87" t="str">
        <x:v>master</x:v>
      </x:c>
      <x:c r="AK6" s="87" t="str">
        <x:v>master-v0.81</x:v>
      </x:c>
      <x:c r="AL6" s="87" t="str">
        <x:v>statgrad_master_base_v0_81_final(2).xlsx</x:v>
      </x:c>
      <x:c r="AM6" s="87" t="str">
        <x:v>RU_Jan_V1</x:v>
      </x:c>
      <x:c r="AN6" s="87" t="n">
        <x:v>6</x:v>
      </x:c>
    </x:row>
    <x:row r="7">
      <x:c r="A7" s="87" t="n">
        <x:v>6</x:v>
      </x:c>
      <x:c r="B7" s="87" t="str">
        <x:v>JAN-RU-V1-006</x:v>
      </x:c>
      <x:c r="C7" s="87" t="str">
        <x:v>СтатГрад</x:v>
      </x:c>
      <x:c r="D7" s="87" t="str">
        <x:v>Январь 2026</x:v>
      </x:c>
      <x:c r="E7" s="87"/>
      <x:c r="F7" s="87"/>
      <x:c r="G7" s="87" t="str">
        <x:v>Русский язык</x:v>
      </x:c>
      <x:c r="H7" s="87" t="n">
        <x:v>11</x:v>
      </x:c>
      <x:c r="I7" s="87" t="str">
        <x:v>ТР №3</x:v>
      </x:c>
      <x:c r="J7" s="87" t="str">
        <x:v>РЯ2510401</x:v>
      </x:c>
      <x:c r="K7" s="87" t="n">
        <x:v>6</x:v>
      </x:c>
      <x:c r="L7" s="87" t="str">
        <x:v>Лексическая норма</x:v>
      </x:c>
      <x:c r="M7" s="30" t="str">
        <x:v>Исправьте сочетание «при скрещивании следует делать предпочтение растениям…».</x:v>
      </x:c>
      <x:c r="N7" s="30" t="str">
        <x:v>отдавать</x:v>
      </x:c>
      <x:c r="O7" s="30" t="str">
        <x:v>Нормативное устойчивое сочетание — «отдавать предпочтение».</x:v>
      </x:c>
      <x:c r="P7" s="30" t="str">
        <x:v>Проверена лексическая сочетаемость.</x:v>
      </x:c>
      <x:c r="Q7" s="30"/>
      <x:c r="R7" s="30" t="str">
        <x:v>отдавать</x:v>
      </x:c>
      <x:c r="S7" s="30"/>
      <x:c r="T7" s="30"/>
      <x:c r="U7" s="30" t="str">
        <x:v>Расхождений нет.</x:v>
      </x:c>
      <x:c r="V7" s="87" t="str">
        <x:v>VERIFIED</x:v>
      </x:c>
      <x:c r="W7" s="87" t="n">
        <x:v>4</x:v>
      </x:c>
      <x:c r="X7" s="87"/>
      <x:c r="Y7" s="87"/>
      <x:c r="Z7" s="87"/>
      <x:c r="AA7" s="87"/>
      <x:c r="AB7" s="87"/>
      <x:c r="AC7" s="87"/>
      <x:c r="AD7" s="87"/>
      <x:c r="AE7" s="87"/>
      <x:c r="AF7" s="87"/>
      <x:c r="AG7" s="87"/>
      <x:c r="AH7" s="87"/>
      <x:c r="AI7" s="30"/>
      <x:c r="AJ7" s="87" t="str">
        <x:v>master</x:v>
      </x:c>
      <x:c r="AK7" s="87" t="str">
        <x:v>master-v0.81</x:v>
      </x:c>
      <x:c r="AL7" s="87" t="str">
        <x:v>statgrad_master_base_v0_81_final(2).xlsx</x:v>
      </x:c>
      <x:c r="AM7" s="87" t="str">
        <x:v>RU_Jan_V1</x:v>
      </x:c>
      <x:c r="AN7" s="87" t="n">
        <x:v>7</x:v>
      </x:c>
    </x:row>
    <x:row r="8">
      <x:c r="A8" s="87" t="n">
        <x:v>7</x:v>
      </x:c>
      <x:c r="B8" s="87" t="str">
        <x:v>JAN-RU-V1-007</x:v>
      </x:c>
      <x:c r="C8" s="87" t="str">
        <x:v>СтатГрад</x:v>
      </x:c>
      <x:c r="D8" s="87" t="str">
        <x:v>Январь 2026</x:v>
      </x:c>
      <x:c r="E8" s="87"/>
      <x:c r="F8" s="87"/>
      <x:c r="G8" s="87" t="str">
        <x:v>Русский язык</x:v>
      </x:c>
      <x:c r="H8" s="87" t="n">
        <x:v>11</x:v>
      </x:c>
      <x:c r="I8" s="87" t="str">
        <x:v>ТР №3</x:v>
      </x:c>
      <x:c r="J8" s="87" t="str">
        <x:v>РЯ2510401</x:v>
      </x:c>
      <x:c r="K8" s="87" t="n">
        <x:v>7</x:v>
      </x:c>
      <x:c r="L8" s="87" t="str">
        <x:v>Грамматическая форма</x:v>
      </x:c>
      <x:c r="M8" s="30" t="str">
        <x:v>Исправьте ошибочную форму в сочетании «к ШЕСТИСТА ученикам».</x:v>
      </x:c>
      <x:c r="N8" s="30" t="str">
        <x:v>шестистам</x:v>
      </x:c>
      <x:c r="O8" s="30" t="str">
        <x:v>Дательный падеж числительного «шестьсот» — «шестистам».</x:v>
      </x:c>
      <x:c r="P8" s="30" t="str">
        <x:v>Проверено склонение составного числительного.</x:v>
      </x:c>
      <x:c r="Q8" s="30"/>
      <x:c r="R8" s="30" t="str">
        <x:v>шестистам</x:v>
      </x:c>
      <x:c r="S8" s="30"/>
      <x:c r="T8" s="30"/>
      <x:c r="U8" s="30" t="str">
        <x:v>Расхождений нет.</x:v>
      </x:c>
      <x:c r="V8" s="87" t="str">
        <x:v>VERIFIED</x:v>
      </x:c>
      <x:c r="W8" s="87" t="n">
        <x:v>4</x:v>
      </x:c>
      <x:c r="X8" s="87"/>
      <x:c r="Y8" s="87"/>
      <x:c r="Z8" s="87"/>
      <x:c r="AA8" s="87"/>
      <x:c r="AB8" s="87"/>
      <x:c r="AC8" s="87"/>
      <x:c r="AD8" s="87"/>
      <x:c r="AE8" s="87"/>
      <x:c r="AF8" s="87"/>
      <x:c r="AG8" s="87"/>
      <x:c r="AH8" s="87"/>
      <x:c r="AI8" s="30"/>
      <x:c r="AJ8" s="87" t="str">
        <x:v>master</x:v>
      </x:c>
      <x:c r="AK8" s="87" t="str">
        <x:v>master-v0.81</x:v>
      </x:c>
      <x:c r="AL8" s="87" t="str">
        <x:v>statgrad_master_base_v0_81_final(2).xlsx</x:v>
      </x:c>
      <x:c r="AM8" s="87" t="str">
        <x:v>RU_Jan_V1</x:v>
      </x:c>
      <x:c r="AN8" s="87" t="n">
        <x:v>8</x:v>
      </x:c>
    </x:row>
    <x:row r="9">
      <x:c r="A9" s="87" t="n">
        <x:v>8</x:v>
      </x:c>
      <x:c r="B9" s="87" t="str">
        <x:v>JAN-RU-V1-008</x:v>
      </x:c>
      <x:c r="C9" s="87" t="str">
        <x:v>СтатГрад</x:v>
      </x:c>
      <x:c r="D9" s="87" t="str">
        <x:v>Январь 2026</x:v>
      </x:c>
      <x:c r="E9" s="87"/>
      <x:c r="F9" s="87"/>
      <x:c r="G9" s="87" t="str">
        <x:v>Русский язык</x:v>
      </x:c>
      <x:c r="H9" s="87" t="n">
        <x:v>11</x:v>
      </x:c>
      <x:c r="I9" s="87" t="str">
        <x:v>ТР №3</x:v>
      </x:c>
      <x:c r="J9" s="87" t="str">
        <x:v>РЯ2510401</x:v>
      </x:c>
      <x:c r="K9" s="87" t="n">
        <x:v>8</x:v>
      </x:c>
      <x:c r="L9" s="87" t="str">
        <x:v>Грамматические ошибки</x:v>
      </x:c>
      <x:c r="M9" s="30" t="str">
        <x:v>Соотнесите ошибки: А) несогласованное приложение; Б) связь подлежащего и сказуемого; В) однородные члены; Г) косвенная речь; Д) причастный оборот — с предложениями 1–9.</x:v>
      </x:c>
      <x:c r="N9" s="30" t="str">
        <x:v>23978</x:v>
      </x:c>
      <x:c r="O9" s="30" t="str">
        <x:v>А–2: название балета должно оставаться в именительном падеже («Щелкунчик»). Б–3: «пустыня Гоби должна была». В–9: нарушено построение однородных сказуемых. Г–7: смешаны косвенная и прямая речь. Д–8: причастие должно согласовываться со словом «серия».</x:v>
      </x:c>
      <x:c r="P9" s="30" t="str">
        <x:v>Каждое предложение проверено перестроением в нормативную форму.</x:v>
      </x:c>
      <x:c r="Q9" s="30"/>
      <x:c r="R9" s="30" t="str">
        <x:v>23978</x:v>
      </x:c>
      <x:c r="S9" s="30"/>
      <x:c r="T9" s="30"/>
      <x:c r="U9" s="30" t="str">
        <x:v>Расхождений нет.</x:v>
      </x:c>
      <x:c r="V9" s="87" t="str">
        <x:v>VERIFIED</x:v>
      </x:c>
      <x:c r="W9" s="87" t="n">
        <x:v>5</x:v>
      </x:c>
      <x:c r="X9" s="87"/>
      <x:c r="Y9" s="87"/>
      <x:c r="Z9" s="87"/>
      <x:c r="AA9" s="87"/>
      <x:c r="AB9" s="87"/>
      <x:c r="AC9" s="87"/>
      <x:c r="AD9" s="87"/>
      <x:c r="AE9" s="87"/>
      <x:c r="AF9" s="87"/>
      <x:c r="AG9" s="87"/>
      <x:c r="AH9" s="87"/>
      <x:c r="AI9" s="30"/>
      <x:c r="AJ9" s="87" t="str">
        <x:v>master</x:v>
      </x:c>
      <x:c r="AK9" s="87" t="str">
        <x:v>master-v0.81</x:v>
      </x:c>
      <x:c r="AL9" s="87" t="str">
        <x:v>statgrad_master_base_v0_81_final(2).xlsx</x:v>
      </x:c>
      <x:c r="AM9" s="87" t="str">
        <x:v>RU_Jan_V1</x:v>
      </x:c>
      <x:c r="AN9" s="87" t="n">
        <x:v>9</x:v>
      </x:c>
    </x:row>
    <x:row r="10">
      <x:c r="A10" s="87" t="n">
        <x:v>9</x:v>
      </x:c>
      <x:c r="B10" s="87" t="str">
        <x:v>JAN-RU-V1-009</x:v>
      </x:c>
      <x:c r="C10" s="87" t="str">
        <x:v>СтатГрад</x:v>
      </x:c>
      <x:c r="D10" s="87" t="str">
        <x:v>Январь 2026</x:v>
      </x:c>
      <x:c r="E10" s="87"/>
      <x:c r="F10" s="87"/>
      <x:c r="G10" s="87" t="str">
        <x:v>Русский язык</x:v>
      </x:c>
      <x:c r="H10" s="87" t="n">
        <x:v>11</x:v>
      </x:c>
      <x:c r="I10" s="87" t="str">
        <x:v>ТР №3</x:v>
      </x:c>
      <x:c r="J10" s="87" t="str">
        <x:v>РЯ2510401</x:v>
      </x:c>
      <x:c r="K10" s="87" t="n">
        <x:v>9</x:v>
      </x:c>
      <x:c r="L10" s="87" t="str">
        <x:v>Корни слов</x:v>
      </x:c>
      <x:c r="M10" s="30" t="str">
        <x:v>Выберите ряды, где во всех словах пропущена одна и та же буква.</x:v>
      </x:c>
      <x:c r="N10" s="30" t="str">
        <x:v>24</x:v>
      </x:c>
      <x:c r="O10" s="30" t="str">
        <x:v>Во 2-м ряду пишется А: отварить, утварь, плавильник. В 4-м также А: обмакнуть, скакать, отрасль. В остальных рядах буквы различаются.</x:v>
      </x:c>
      <x:c r="P10" s="30" t="str">
        <x:v>Каждое слово восстановлено полностью.</x:v>
      </x:c>
      <x:c r="Q10" s="30"/>
      <x:c r="R10" s="30" t="str">
        <x:v>24</x:v>
      </x:c>
      <x:c r="S10" s="30"/>
      <x:c r="T10" s="30"/>
      <x:c r="U10" s="30" t="str">
        <x:v>Расхождений нет.</x:v>
      </x:c>
      <x:c r="V10" s="87" t="str">
        <x:v>VERIFIED</x:v>
      </x:c>
      <x:c r="W10" s="87" t="n">
        <x:v>6</x:v>
      </x:c>
      <x:c r="X10" s="87"/>
      <x:c r="Y10" s="87"/>
      <x:c r="Z10" s="87"/>
      <x:c r="AA10" s="87"/>
      <x:c r="AB10" s="87"/>
      <x:c r="AC10" s="87"/>
      <x:c r="AD10" s="87"/>
      <x:c r="AE10" s="87"/>
      <x:c r="AF10" s="87"/>
      <x:c r="AG10" s="87"/>
      <x:c r="AH10" s="87"/>
      <x:c r="AI10" s="30"/>
      <x:c r="AJ10" s="87" t="str">
        <x:v>master</x:v>
      </x:c>
      <x:c r="AK10" s="87" t="str">
        <x:v>master-v0.81</x:v>
      </x:c>
      <x:c r="AL10" s="87" t="str">
        <x:v>statgrad_master_base_v0_81_final(2).xlsx</x:v>
      </x:c>
      <x:c r="AM10" s="87" t="str">
        <x:v>RU_Jan_V1</x:v>
      </x:c>
      <x:c r="AN10" s="87" t="n">
        <x:v>10</x:v>
      </x:c>
    </x:row>
    <x:row r="11">
      <x:c r="A11" s="87" t="n">
        <x:v>10</x:v>
      </x:c>
      <x:c r="B11" s="87" t="str">
        <x:v>JAN-RU-V1-010</x:v>
      </x:c>
      <x:c r="C11" s="87" t="str">
        <x:v>СтатГрад</x:v>
      </x:c>
      <x:c r="D11" s="87" t="str">
        <x:v>Январь 2026</x:v>
      </x:c>
      <x:c r="E11" s="87"/>
      <x:c r="F11" s="87"/>
      <x:c r="G11" s="87" t="str">
        <x:v>Русский язык</x:v>
      </x:c>
      <x:c r="H11" s="87" t="n">
        <x:v>11</x:v>
      </x:c>
      <x:c r="I11" s="87" t="str">
        <x:v>ТР №3</x:v>
      </x:c>
      <x:c r="J11" s="87" t="str">
        <x:v>РЯ2510401</x:v>
      </x:c>
      <x:c r="K11" s="87" t="n">
        <x:v>10</x:v>
      </x:c>
      <x:c r="L11" s="87" t="str">
        <x:v>Приставки и разделительные знаки</x:v>
      </x:c>
      <x:c r="M11" s="30" t="str">
        <x:v>Выберите ряды, где во всех словах пропущена одна и та же буква/знак.</x:v>
      </x:c>
      <x:c r="N11" s="30" t="str">
        <x:v>24</x:v>
      </x:c>
      <x:c r="O11" s="30" t="str">
        <x:v>Во 2-м ряду требуется Ъ: предъюбилейный, субъективный, суперъяхта. В 4-м ряду пишется И: взимать, трансиранский, контригра.</x:v>
      </x:c>
      <x:c r="P11" s="30" t="str">
        <x:v>Проверены морфемный состав и правила Ъ/Ы–И после приставок.</x:v>
      </x:c>
      <x:c r="Q11" s="30"/>
      <x:c r="R11" s="30" t="str">
        <x:v>24</x:v>
      </x:c>
      <x:c r="S11" s="30"/>
      <x:c r="T11" s="30"/>
      <x:c r="U11" s="30" t="str">
        <x:v>Расхождений нет.</x:v>
      </x:c>
      <x:c r="V11" s="87" t="str">
        <x:v>VERIFIED</x:v>
      </x:c>
      <x:c r="W11" s="87" t="n">
        <x:v>6</x:v>
      </x:c>
      <x:c r="X11" s="87"/>
      <x:c r="Y11" s="87"/>
      <x:c r="Z11" s="87"/>
      <x:c r="AA11" s="87"/>
      <x:c r="AB11" s="87"/>
      <x:c r="AC11" s="87"/>
      <x:c r="AD11" s="87"/>
      <x:c r="AE11" s="87"/>
      <x:c r="AF11" s="87"/>
      <x:c r="AG11" s="87"/>
      <x:c r="AH11" s="87"/>
      <x:c r="AI11" s="30"/>
      <x:c r="AJ11" s="87" t="str">
        <x:v>master</x:v>
      </x:c>
      <x:c r="AK11" s="87" t="str">
        <x:v>master-v0.81</x:v>
      </x:c>
      <x:c r="AL11" s="87" t="str">
        <x:v>statgrad_master_base_v0_81_final(2).xlsx</x:v>
      </x:c>
      <x:c r="AM11" s="87" t="str">
        <x:v>RU_Jan_V1</x:v>
      </x:c>
      <x:c r="AN11" s="87" t="n">
        <x:v>11</x:v>
      </x:c>
    </x:row>
    <x:row r="12">
      <x:c r="A12" s="87" t="n">
        <x:v>11</x:v>
      </x:c>
      <x:c r="B12" s="87" t="str">
        <x:v>JAN-RU-V1-011</x:v>
      </x:c>
      <x:c r="C12" s="87" t="str">
        <x:v>СтатГрад</x:v>
      </x:c>
      <x:c r="D12" s="87" t="str">
        <x:v>Январь 2026</x:v>
      </x:c>
      <x:c r="E12" s="87"/>
      <x:c r="F12" s="87"/>
      <x:c r="G12" s="87" t="str">
        <x:v>Русский язык</x:v>
      </x:c>
      <x:c r="H12" s="87" t="n">
        <x:v>11</x:v>
      </x:c>
      <x:c r="I12" s="87" t="str">
        <x:v>ТР №3</x:v>
      </x:c>
      <x:c r="J12" s="87" t="str">
        <x:v>РЯ2510401</x:v>
      </x:c>
      <x:c r="K12" s="87" t="n">
        <x:v>11</x:v>
      </x:c>
      <x:c r="L12" s="87" t="str">
        <x:v>Суффиксы</x:v>
      </x:c>
      <x:c r="M12" s="30" t="str">
        <x:v>Выберите ряды, где в обоих словах пропущена одна и та же буква.</x:v>
      </x:c>
      <x:c r="N12" s="30" t="str">
        <x:v>345</x:v>
      </x:c>
      <x:c r="O12" s="30" t="str">
        <x:v>Подходят: черкешенка — гуттаперчевый; беседовали — проповедовать; миндалевый — ханжество. В рядах 1 и 2 требуются разные буквы.</x:v>
      </x:c>
      <x:c r="P12" s="30" t="str">
        <x:v>Слова восстановлены и разобраны по суффиксам.</x:v>
      </x:c>
      <x:c r="Q12" s="30"/>
      <x:c r="R12" s="30" t="str">
        <x:v>345</x:v>
      </x:c>
      <x:c r="S12" s="30"/>
      <x:c r="T12" s="30"/>
      <x:c r="U12" s="30" t="str">
        <x:v>Расхождений нет.</x:v>
      </x:c>
      <x:c r="V12" s="87" t="str">
        <x:v>VERIFIED</x:v>
      </x:c>
      <x:c r="W12" s="87" t="n">
        <x:v>6</x:v>
      </x:c>
      <x:c r="X12" s="87"/>
      <x:c r="Y12" s="87"/>
      <x:c r="Z12" s="87"/>
      <x:c r="AA12" s="87"/>
      <x:c r="AB12" s="87"/>
      <x:c r="AC12" s="87"/>
      <x:c r="AD12" s="87"/>
      <x:c r="AE12" s="87"/>
      <x:c r="AF12" s="87"/>
      <x:c r="AG12" s="87"/>
      <x:c r="AH12" s="87"/>
      <x:c r="AI12" s="30"/>
      <x:c r="AJ12" s="87" t="str">
        <x:v>master</x:v>
      </x:c>
      <x:c r="AK12" s="87" t="str">
        <x:v>master-v0.81</x:v>
      </x:c>
      <x:c r="AL12" s="87" t="str">
        <x:v>statgrad_master_base_v0_81_final(2).xlsx</x:v>
      </x:c>
      <x:c r="AM12" s="87" t="str">
        <x:v>RU_Jan_V1</x:v>
      </x:c>
      <x:c r="AN12" s="87" t="n">
        <x:v>12</x:v>
      </x:c>
    </x:row>
    <x:row r="13">
      <x:c r="A13" s="87" t="n">
        <x:v>12</x:v>
      </x:c>
      <x:c r="B13" s="87" t="str">
        <x:v>JAN-RU-V1-012</x:v>
      </x:c>
      <x:c r="C13" s="87" t="str">
        <x:v>СтатГрад</x:v>
      </x:c>
      <x:c r="D13" s="87" t="str">
        <x:v>Январь 2026</x:v>
      </x:c>
      <x:c r="E13" s="87"/>
      <x:c r="F13" s="87"/>
      <x:c r="G13" s="87" t="str">
        <x:v>Русский язык</x:v>
      </x:c>
      <x:c r="H13" s="87" t="n">
        <x:v>11</x:v>
      </x:c>
      <x:c r="I13" s="87" t="str">
        <x:v>ТР №3</x:v>
      </x:c>
      <x:c r="J13" s="87" t="str">
        <x:v>РЯ2510401</x:v>
      </x:c>
      <x:c r="K13" s="87" t="n">
        <x:v>12</x:v>
      </x:c>
      <x:c r="L13" s="87" t="str">
        <x:v>Окончания и суффиксы</x:v>
      </x:c>
      <x:c r="M13" s="30" t="str">
        <x:v>Выберите ряды, где в обоих словах пропущена одна и та же буква.</x:v>
      </x:c>
      <x:c r="N13" s="30" t="str">
        <x:v>25</x:v>
      </x:c>
      <x:c r="O13" s="30" t="str">
        <x:v>Во 2-м ряду: колышущиеся, кудахчут — У. В 5-м: завещанные, скачанный — А. В остальных парах буквы различаются.</x:v>
      </x:c>
      <x:c r="P13" s="30" t="str">
        <x:v>Проверены спряжение и образование причастий.</x:v>
      </x:c>
      <x:c r="Q13" s="30"/>
      <x:c r="R13" s="30" t="str">
        <x:v>25</x:v>
      </x:c>
      <x:c r="S13" s="30"/>
      <x:c r="T13" s="30"/>
      <x:c r="U13" s="30" t="str">
        <x:v>Расхождений нет.</x:v>
      </x:c>
      <x:c r="V13" s="87" t="str">
        <x:v>VERIFIED</x:v>
      </x:c>
      <x:c r="W13" s="87" t="n">
        <x:v>6</x:v>
      </x:c>
      <x:c r="X13" s="87"/>
      <x:c r="Y13" s="87"/>
      <x:c r="Z13" s="87"/>
      <x:c r="AA13" s="87"/>
      <x:c r="AB13" s="87"/>
      <x:c r="AC13" s="87"/>
      <x:c r="AD13" s="87"/>
      <x:c r="AE13" s="87"/>
      <x:c r="AF13" s="87"/>
      <x:c r="AG13" s="87"/>
      <x:c r="AH13" s="87"/>
      <x:c r="AI13" s="30"/>
      <x:c r="AJ13" s="87" t="str">
        <x:v>master</x:v>
      </x:c>
      <x:c r="AK13" s="87" t="str">
        <x:v>master-v0.81</x:v>
      </x:c>
      <x:c r="AL13" s="87" t="str">
        <x:v>statgrad_master_base_v0_81_final(2).xlsx</x:v>
      </x:c>
      <x:c r="AM13" s="87" t="str">
        <x:v>RU_Jan_V1</x:v>
      </x:c>
      <x:c r="AN13" s="87" t="n">
        <x:v>13</x:v>
      </x:c>
    </x:row>
    <x:row r="14">
      <x:c r="A14" s="87" t="n">
        <x:v>13</x:v>
      </x:c>
      <x:c r="B14" s="87" t="str">
        <x:v>JAN-RU-V1-013</x:v>
      </x:c>
      <x:c r="C14" s="87" t="str">
        <x:v>СтатГрад</x:v>
      </x:c>
      <x:c r="D14" s="87" t="str">
        <x:v>Январь 2026</x:v>
      </x:c>
      <x:c r="E14" s="87"/>
      <x:c r="F14" s="87"/>
      <x:c r="G14" s="87" t="str">
        <x:v>Русский язык</x:v>
      </x:c>
      <x:c r="H14" s="87" t="n">
        <x:v>11</x:v>
      </x:c>
      <x:c r="I14" s="87" t="str">
        <x:v>ТР №3</x:v>
      </x:c>
      <x:c r="J14" s="87" t="str">
        <x:v>РЯ2510401</x:v>
      </x:c>
      <x:c r="K14" s="87" t="n">
        <x:v>13</x:v>
      </x:c>
      <x:c r="L14" s="87" t="str">
        <x:v>НЕ со словами</x:v>
      </x:c>
      <x:c r="M14" s="30" t="str">
        <x:v>Выберите предложения, где НЕ с выделенным словом пишется раздельно.</x:v>
      </x:c>
      <x:c r="N14" s="30" t="str">
        <x:v>25</x:v>
      </x:c>
      <x:c r="O14" s="30" t="str">
        <x:v>«Не сказано» — краткое причастие, поэтому НЕ пишется раздельно. «Не столь удобно» — раздельно из-за сочетания со словом меры «столь».</x:v>
      </x:c>
      <x:c r="P14" s="30" t="str">
        <x:v>Проверено правило для кратких причастий и усилительных/мерных слов.</x:v>
      </x:c>
      <x:c r="Q14" s="30"/>
      <x:c r="R14" s="30" t="str">
        <x:v>25 / 52</x:v>
      </x:c>
      <x:c r="S14" s="30"/>
      <x:c r="T14" s="30"/>
      <x:c r="U14" s="30" t="str">
        <x:v>Совпадает по набору цифр.</x:v>
      </x:c>
      <x:c r="V14" s="87" t="str">
        <x:v>VERIFIED</x:v>
      </x:c>
      <x:c r="W14" s="87" t="n">
        <x:v>7</x:v>
      </x:c>
      <x:c r="X14" s="87"/>
      <x:c r="Y14" s="87"/>
      <x:c r="Z14" s="87"/>
      <x:c r="AA14" s="87"/>
      <x:c r="AB14" s="87"/>
      <x:c r="AC14" s="87"/>
      <x:c r="AD14" s="87"/>
      <x:c r="AE14" s="87"/>
      <x:c r="AF14" s="87"/>
      <x:c r="AG14" s="87"/>
      <x:c r="AH14" s="87"/>
      <x:c r="AI14" s="30"/>
      <x:c r="AJ14" s="87" t="str">
        <x:v>master</x:v>
      </x:c>
      <x:c r="AK14" s="87" t="str">
        <x:v>master-v0.81</x:v>
      </x:c>
      <x:c r="AL14" s="87" t="str">
        <x:v>statgrad_master_base_v0_81_final(2).xlsx</x:v>
      </x:c>
      <x:c r="AM14" s="87" t="str">
        <x:v>RU_Jan_V1</x:v>
      </x:c>
      <x:c r="AN14" s="87" t="n">
        <x:v>14</x:v>
      </x:c>
    </x:row>
    <x:row r="15">
      <x:c r="A15" s="87" t="n">
        <x:v>14</x:v>
      </x:c>
      <x:c r="B15" s="87" t="str">
        <x:v>JAN-RU-V1-014</x:v>
      </x:c>
      <x:c r="C15" s="87" t="str">
        <x:v>СтатГрад</x:v>
      </x:c>
      <x:c r="D15" s="87" t="str">
        <x:v>Январь 2026</x:v>
      </x:c>
      <x:c r="E15" s="87"/>
      <x:c r="F15" s="87"/>
      <x:c r="G15" s="87" t="str">
        <x:v>Русский язык</x:v>
      </x:c>
      <x:c r="H15" s="87" t="n">
        <x:v>11</x:v>
      </x:c>
      <x:c r="I15" s="87" t="str">
        <x:v>ТР №3</x:v>
      </x:c>
      <x:c r="J15" s="87" t="str">
        <x:v>РЯ2510401</x:v>
      </x:c>
      <x:c r="K15" s="87" t="n">
        <x:v>14</x:v>
      </x:c>
      <x:c r="L15" s="87" t="str">
        <x:v>Слитное/раздельное написание</x:v>
      </x:c>
      <x:c r="M15" s="30" t="str">
        <x:v>Выберите предложения, где все выделенные слова пишутся слитно.</x:v>
      </x:c>
      <x:c r="N15" s="30" t="str">
        <x:v>45</x:v>
      </x:c>
      <x:c r="O15" s="30" t="str">
        <x:v>В 4-м: поодиночке, поэтому; в 5-м: поневоле, трёхэтажного. В остальных есть раздельные написания: при том, от того, в течение, всё так же.</x:v>
      </x:c>
      <x:c r="P15" s="30" t="str">
        <x:v>Каждое сочетание проверено в контексте.</x:v>
      </x:c>
      <x:c r="Q15" s="30"/>
      <x:c r="R15" s="30" t="str">
        <x:v>45 / 54</x:v>
      </x:c>
      <x:c r="S15" s="30"/>
      <x:c r="T15" s="30"/>
      <x:c r="U15" s="30" t="str">
        <x:v>Совпадает по набору цифр.</x:v>
      </x:c>
      <x:c r="V15" s="87" t="str">
        <x:v>VERIFIED</x:v>
      </x:c>
      <x:c r="W15" s="87" t="n">
        <x:v>7</x:v>
      </x:c>
      <x:c r="X15" s="87"/>
      <x:c r="Y15" s="87"/>
      <x:c r="Z15" s="87"/>
      <x:c r="AA15" s="87"/>
      <x:c r="AB15" s="87"/>
      <x:c r="AC15" s="87"/>
      <x:c r="AD15" s="87"/>
      <x:c r="AE15" s="87"/>
      <x:c r="AF15" s="87"/>
      <x:c r="AG15" s="87"/>
      <x:c r="AH15" s="87"/>
      <x:c r="AI15" s="30"/>
      <x:c r="AJ15" s="87" t="str">
        <x:v>master</x:v>
      </x:c>
      <x:c r="AK15" s="87" t="str">
        <x:v>master-v0.81</x:v>
      </x:c>
      <x:c r="AL15" s="87" t="str">
        <x:v>statgrad_master_base_v0_81_final(2).xlsx</x:v>
      </x:c>
      <x:c r="AM15" s="87" t="str">
        <x:v>RU_Jan_V1</x:v>
      </x:c>
      <x:c r="AN15" s="87" t="n">
        <x:v>15</x:v>
      </x:c>
    </x:row>
    <x:row r="16">
      <x:c r="A16" s="87" t="n">
        <x:v>15</x:v>
      </x:c>
      <x:c r="B16" s="87" t="str">
        <x:v>JAN-RU-V1-015</x:v>
      </x:c>
      <x:c r="C16" s="87" t="str">
        <x:v>СтатГрад</x:v>
      </x:c>
      <x:c r="D16" s="87" t="str">
        <x:v>Январь 2026</x:v>
      </x:c>
      <x:c r="E16" s="87"/>
      <x:c r="F16" s="87"/>
      <x:c r="G16" s="87" t="str">
        <x:v>Русский язык</x:v>
      </x:c>
      <x:c r="H16" s="87" t="n">
        <x:v>11</x:v>
      </x:c>
      <x:c r="I16" s="87" t="str">
        <x:v>ТР №3</x:v>
      </x:c>
      <x:c r="J16" s="87" t="str">
        <x:v>РЯ2510401</x:v>
      </x:c>
      <x:c r="K16" s="87" t="n">
        <x:v>15</x:v>
      </x:c>
      <x:c r="L16" s="87" t="str">
        <x:v>Н/НН</x:v>
      </x:c>
      <x:c r="M16" s="30" t="str">
        <x:v>Укажите позиции, где пишется НН: «соверше(1)о беше(2)ые… выкупле(3)о… серебря(4)ое… золочё(5)ое особым способом…».</x:v>
      </x:c>
      <x:c r="N16" s="30" t="str">
        <x:v>15</x:v>
      </x:c>
      <x:c r="O16" s="30" t="str">
        <x:v>«Совершенно» пишется с НН. «Золочённое особым способом» — полное причастие с зависимым словом, поэтому НН. Остальные формы содержат одну Н.</x:v>
      </x:c>
      <x:c r="P16" s="30" t="str">
        <x:v>Проверены часть речи и наличие зависимого слова.</x:v>
      </x:c>
      <x:c r="Q16" s="30"/>
      <x:c r="R16" s="30" t="str">
        <x:v>15 / 51</x:v>
      </x:c>
      <x:c r="S16" s="30"/>
      <x:c r="T16" s="30"/>
      <x:c r="U16" s="30" t="str">
        <x:v>На скане ключа первая цифра визуально похожа на 4; по правилу верный набор — 1 и 5.</x:v>
      </x:c>
      <x:c r="V16" s="87" t="str">
        <x:v>VERIFIED</x:v>
      </x:c>
      <x:c r="W16" s="87" t="n">
        <x:v>7</x:v>
      </x:c>
      <x:c r="X16" s="87"/>
      <x:c r="Y16" s="87"/>
      <x:c r="Z16" s="87"/>
      <x:c r="AA16" s="87"/>
      <x:c r="AB16" s="87"/>
      <x:c r="AC16" s="87"/>
      <x:c r="AD16" s="87"/>
      <x:c r="AE16" s="87"/>
      <x:c r="AF16" s="87"/>
      <x:c r="AG16" s="87"/>
      <x:c r="AH16" s="87"/>
      <x:c r="AI16" s="30"/>
      <x:c r="AJ16" s="87" t="str">
        <x:v>master</x:v>
      </x:c>
      <x:c r="AK16" s="87" t="str">
        <x:v>master-v0.81</x:v>
      </x:c>
      <x:c r="AL16" s="87" t="str">
        <x:v>statgrad_master_base_v0_81_final(2).xlsx</x:v>
      </x:c>
      <x:c r="AM16" s="87" t="str">
        <x:v>RU_Jan_V1</x:v>
      </x:c>
      <x:c r="AN16" s="87" t="n">
        <x:v>16</x:v>
      </x:c>
    </x:row>
    <x:row r="17">
      <x:c r="A17" s="87" t="n">
        <x:v>16</x:v>
      </x:c>
      <x:c r="B17" s="87" t="str">
        <x:v>JAN-RU-V1-016</x:v>
      </x:c>
      <x:c r="C17" s="87" t="str">
        <x:v>СтатГрад</x:v>
      </x:c>
      <x:c r="D17" s="87" t="str">
        <x:v>Январь 2026</x:v>
      </x:c>
      <x:c r="E17" s="87"/>
      <x:c r="F17" s="87"/>
      <x:c r="G17" s="87" t="str">
        <x:v>Русский язык</x:v>
      </x:c>
      <x:c r="H17" s="87" t="n">
        <x:v>11</x:v>
      </x:c>
      <x:c r="I17" s="87" t="str">
        <x:v>ТР №3</x:v>
      </x:c>
      <x:c r="J17" s="87" t="str">
        <x:v>РЯ2510401</x:v>
      </x:c>
      <x:c r="K17" s="87" t="n">
        <x:v>16</x:v>
      </x:c>
      <x:c r="L17" s="87" t="str">
        <x:v>Пунктуация</x:v>
      </x:c>
      <x:c r="M17" s="30" t="str">
        <x:v>Выберите предложения, где требуется поставить ровно одну запятую.</x:v>
      </x:c>
      <x:c r="N17" s="30" t="str">
        <x:v>1245</x:v>
      </x:c>
      <x:c r="O17" s="30" t="str">
        <x:v>В 1-м и 2-м предложениях одна запятая находится внутри перечисления/конструкции «не столько…, сколько…». В 4-м нужна одна запятая между однородными действиями, в 5-м — между первыми двумя частями сложного предложения. В 3-м возможна общая обстоятельственная рамка, поэтому запятая между частями не ставится.</x:v>
      </x:c>
      <x:c r="P17" s="30" t="str">
        <x:v>Подсчитаны все необходимые запятые, а не только границы частей.</x:v>
      </x:c>
      <x:c r="Q17" s="30"/>
      <x:c r="R17" s="30" t="str">
        <x:v>1245</x:v>
      </x:c>
      <x:c r="S17" s="30"/>
      <x:c r="T17" s="30"/>
      <x:c r="U17" s="30" t="str">
        <x:v>Расхождений нет.</x:v>
      </x:c>
      <x:c r="V17" s="87" t="str">
        <x:v>VERIFIED</x:v>
      </x:c>
      <x:c r="W17" s="87" t="n">
        <x:v>8</x:v>
      </x:c>
      <x:c r="X17" s="87"/>
      <x:c r="Y17" s="87"/>
      <x:c r="Z17" s="87"/>
      <x:c r="AA17" s="87"/>
      <x:c r="AB17" s="87"/>
      <x:c r="AC17" s="87"/>
      <x:c r="AD17" s="87"/>
      <x:c r="AE17" s="87"/>
      <x:c r="AF17" s="87"/>
      <x:c r="AG17" s="87"/>
      <x:c r="AH17" s="87"/>
      <x:c r="AI17" s="30"/>
      <x:c r="AJ17" s="87" t="str">
        <x:v>master</x:v>
      </x:c>
      <x:c r="AK17" s="87" t="str">
        <x:v>master-v0.81</x:v>
      </x:c>
      <x:c r="AL17" s="87" t="str">
        <x:v>statgrad_master_base_v0_81_final(2).xlsx</x:v>
      </x:c>
      <x:c r="AM17" s="87" t="str">
        <x:v>RU_Jan_V1</x:v>
      </x:c>
      <x:c r="AN17" s="87" t="n">
        <x:v>17</x:v>
      </x:c>
    </x:row>
    <x:row r="18">
      <x:c r="A18" s="87" t="n">
        <x:v>17</x:v>
      </x:c>
      <x:c r="B18" s="87" t="str">
        <x:v>JAN-RU-V1-017</x:v>
      </x:c>
      <x:c r="C18" s="87" t="str">
        <x:v>СтатГрад</x:v>
      </x:c>
      <x:c r="D18" s="87" t="str">
        <x:v>Январь 2026</x:v>
      </x:c>
      <x:c r="E18" s="87"/>
      <x:c r="F18" s="87"/>
      <x:c r="G18" s="87" t="str">
        <x:v>Русский язык</x:v>
      </x:c>
      <x:c r="H18" s="87" t="n">
        <x:v>11</x:v>
      </x:c>
      <x:c r="I18" s="87" t="str">
        <x:v>ТР №3</x:v>
      </x:c>
      <x:c r="J18" s="87" t="str">
        <x:v>РЯ2510401</x:v>
      </x:c>
      <x:c r="K18" s="87" t="n">
        <x:v>17</x:v>
      </x:c>
      <x:c r="L18" s="87" t="str">
        <x:v>Обособленные конструкции</x:v>
      </x:c>
      <x:c r="M18" s="30" t="str">
        <x:v>Расставьте запятые в предложении о растроганной исполнительнице, поставившей ноты и замершей, входя в образ.</x:v>
      </x:c>
      <x:c r="N18" s="30" t="str">
        <x:v>2478</x:v>
      </x:c>
      <x:c r="O18" s="30" t="str">
        <x:v>Запятая 2 закрывает два однородных причастных оборота перед определяемым словом. Запятые 4 и 7 обособляют деепричастный оборот «поставив…», запятая 8 — оборот «входя в образ».</x:v>
      </x:c>
      <x:c r="P18" s="30" t="str">
        <x:v>Проверены границы каждого оборота.</x:v>
      </x:c>
      <x:c r="Q18" s="30"/>
      <x:c r="R18" s="30" t="str">
        <x:v>2478</x:v>
      </x:c>
      <x:c r="S18" s="30"/>
      <x:c r="T18" s="30"/>
      <x:c r="U18" s="30" t="str">
        <x:v>Расхождений нет.</x:v>
      </x:c>
      <x:c r="V18" s="87" t="str">
        <x:v>VERIFIED</x:v>
      </x:c>
      <x:c r="W18" s="87" t="n">
        <x:v>8</x:v>
      </x:c>
      <x:c r="X18" s="87"/>
      <x:c r="Y18" s="87"/>
      <x:c r="Z18" s="87"/>
      <x:c r="AA18" s="87"/>
      <x:c r="AB18" s="87"/>
      <x:c r="AC18" s="87"/>
      <x:c r="AD18" s="87"/>
      <x:c r="AE18" s="87"/>
      <x:c r="AF18" s="87"/>
      <x:c r="AG18" s="87"/>
      <x:c r="AH18" s="87"/>
      <x:c r="AI18" s="30"/>
      <x:c r="AJ18" s="87" t="str">
        <x:v>master</x:v>
      </x:c>
      <x:c r="AK18" s="87" t="str">
        <x:v>master-v0.81</x:v>
      </x:c>
      <x:c r="AL18" s="87" t="str">
        <x:v>statgrad_master_base_v0_81_final(2).xlsx</x:v>
      </x:c>
      <x:c r="AM18" s="87" t="str">
        <x:v>RU_Jan_V1</x:v>
      </x:c>
      <x:c r="AN18" s="87" t="n">
        <x:v>18</x:v>
      </x:c>
    </x:row>
    <x:row r="19">
      <x:c r="A19" s="87" t="n">
        <x:v>18</x:v>
      </x:c>
      <x:c r="B19" s="87" t="str">
        <x:v>JAN-RU-V1-018</x:v>
      </x:c>
      <x:c r="C19" s="87" t="str">
        <x:v>СтатГрад</x:v>
      </x:c>
      <x:c r="D19" s="87" t="str">
        <x:v>Январь 2026</x:v>
      </x:c>
      <x:c r="E19" s="87"/>
      <x:c r="F19" s="87"/>
      <x:c r="G19" s="87" t="str">
        <x:v>Русский язык</x:v>
      </x:c>
      <x:c r="H19" s="87" t="n">
        <x:v>11</x:v>
      </x:c>
      <x:c r="I19" s="87" t="str">
        <x:v>ТР №3</x:v>
      </x:c>
      <x:c r="J19" s="87" t="str">
        <x:v>РЯ2510401</x:v>
      </x:c>
      <x:c r="K19" s="87" t="n">
        <x:v>18</x:v>
      </x:c>
      <x:c r="L19" s="87" t="str">
        <x:v>Вводное слово</x:v>
      </x:c>
      <x:c r="M19" s="30" t="str">
        <x:v>Расставьте запятые в предложении: «…, а (4) наоборот (5) хотел его потушить».</x:v>
      </x:c>
      <x:c r="N19" s="30" t="str">
        <x:v>45</x:v>
      </x:c>
      <x:c r="O19" s="30" t="str">
        <x:v>Слово «наоборот» употреблено как вводное и обособляется с двух сторон.</x:v>
      </x:c>
      <x:c r="P19" s="30" t="str">
        <x:v>Проверена возможность изъятия вводного слова без разрушения структуры.</x:v>
      </x:c>
      <x:c r="Q19" s="30"/>
      <x:c r="R19" s="30" t="str">
        <x:v>45 / 54</x:v>
      </x:c>
      <x:c r="S19" s="30"/>
      <x:c r="T19" s="30"/>
      <x:c r="U19" s="30" t="str">
        <x:v>Совпадает по набору цифр.</x:v>
      </x:c>
      <x:c r="V19" s="87" t="str">
        <x:v>VERIFIED</x:v>
      </x:c>
      <x:c r="W19" s="87" t="n">
        <x:v>8</x:v>
      </x:c>
      <x:c r="X19" s="87"/>
      <x:c r="Y19" s="87"/>
      <x:c r="Z19" s="87"/>
      <x:c r="AA19" s="87"/>
      <x:c r="AB19" s="87"/>
      <x:c r="AC19" s="87"/>
      <x:c r="AD19" s="87"/>
      <x:c r="AE19" s="87"/>
      <x:c r="AF19" s="87"/>
      <x:c r="AG19" s="87"/>
      <x:c r="AH19" s="87"/>
      <x:c r="AI19" s="30"/>
      <x:c r="AJ19" s="87" t="str">
        <x:v>master</x:v>
      </x:c>
      <x:c r="AK19" s="87" t="str">
        <x:v>master-v0.81</x:v>
      </x:c>
      <x:c r="AL19" s="87" t="str">
        <x:v>statgrad_master_base_v0_81_final(2).xlsx</x:v>
      </x:c>
      <x:c r="AM19" s="87" t="str">
        <x:v>RU_Jan_V1</x:v>
      </x:c>
      <x:c r="AN19" s="87" t="n">
        <x:v>19</x:v>
      </x:c>
    </x:row>
    <x:row r="20">
      <x:c r="A20" s="87" t="n">
        <x:v>19</x:v>
      </x:c>
      <x:c r="B20" s="87" t="str">
        <x:v>JAN-RU-V1-019</x:v>
      </x:c>
      <x:c r="C20" s="87" t="str">
        <x:v>СтатГрад</x:v>
      </x:c>
      <x:c r="D20" s="87" t="str">
        <x:v>Январь 2026</x:v>
      </x:c>
      <x:c r="E20" s="87"/>
      <x:c r="F20" s="87"/>
      <x:c r="G20" s="87" t="str">
        <x:v>Русский язык</x:v>
      </x:c>
      <x:c r="H20" s="87" t="n">
        <x:v>11</x:v>
      </x:c>
      <x:c r="I20" s="87" t="str">
        <x:v>ТР №3</x:v>
      </x:c>
      <x:c r="J20" s="87" t="str">
        <x:v>РЯ2510401</x:v>
      </x:c>
      <x:c r="K20" s="87" t="n">
        <x:v>19</x:v>
      </x:c>
      <x:c r="L20" s="87" t="str">
        <x:v>Сложное предложение</x:v>
      </x:c>
      <x:c r="M20" s="30" t="str">
        <x:v>Расставьте запятые в предложении: «Если бы только я смог найти… то заехал бы…, хотя и понимаю…, что… и что…».</x:v>
      </x:c>
      <x:c r="N20" s="30" t="str">
        <x:v>456</x:v>
      </x:c>
      <x:c r="O20" s="30" t="str">
        <x:v>Запятая 4 отделяет придаточное условия, 5 — придаточное уступки, 6 — изъяснительное придаточное после «понимаю». Между однородными придаточными с одиночным «и» запятая не ставится.</x:v>
      </x:c>
      <x:c r="P20" s="30" t="str">
        <x:v>Построена схема сложного предложения.</x:v>
      </x:c>
      <x:c r="Q20" s="30"/>
      <x:c r="R20" s="30" t="str">
        <x:v>456</x:v>
      </x:c>
      <x:c r="S20" s="30"/>
      <x:c r="T20" s="30"/>
      <x:c r="U20" s="30" t="str">
        <x:v>Расхождений нет.</x:v>
      </x:c>
      <x:c r="V20" s="87" t="str">
        <x:v>VERIFIED</x:v>
      </x:c>
      <x:c r="W20" s="87" t="n">
        <x:v>8</x:v>
      </x:c>
      <x:c r="X20" s="87"/>
      <x:c r="Y20" s="87"/>
      <x:c r="Z20" s="87"/>
      <x:c r="AA20" s="87"/>
      <x:c r="AB20" s="87"/>
      <x:c r="AC20" s="87"/>
      <x:c r="AD20" s="87"/>
      <x:c r="AE20" s="87"/>
      <x:c r="AF20" s="87"/>
      <x:c r="AG20" s="87"/>
      <x:c r="AH20" s="87"/>
      <x:c r="AI20" s="30"/>
      <x:c r="AJ20" s="87" t="str">
        <x:v>master</x:v>
      </x:c>
      <x:c r="AK20" s="87" t="str">
        <x:v>master-v0.81</x:v>
      </x:c>
      <x:c r="AL20" s="87" t="str">
        <x:v>statgrad_master_base_v0_81_final(2).xlsx</x:v>
      </x:c>
      <x:c r="AM20" s="87" t="str">
        <x:v>RU_Jan_V1</x:v>
      </x:c>
      <x:c r="AN20" s="87" t="n">
        <x:v>20</x:v>
      </x:c>
    </x:row>
    <x:row r="21">
      <x:c r="A21" s="87" t="n">
        <x:v>20</x:v>
      </x:c>
      <x:c r="B21" s="87" t="str">
        <x:v>JAN-RU-V1-020</x:v>
      </x:c>
      <x:c r="C21" s="87" t="str">
        <x:v>СтатГрад</x:v>
      </x:c>
      <x:c r="D21" s="87" t="str">
        <x:v>Январь 2026</x:v>
      </x:c>
      <x:c r="E21" s="87"/>
      <x:c r="F21" s="87"/>
      <x:c r="G21" s="87" t="str">
        <x:v>Русский язык</x:v>
      </x:c>
      <x:c r="H21" s="87" t="n">
        <x:v>11</x:v>
      </x:c>
      <x:c r="I21" s="87" t="str">
        <x:v>ТР №3</x:v>
      </x:c>
      <x:c r="J21" s="87" t="str">
        <x:v>РЯ2510401</x:v>
      </x:c>
      <x:c r="K21" s="87" t="n">
        <x:v>20</x:v>
      </x:c>
      <x:c r="L21" s="87" t="str">
        <x:v>Сложное предложение</x:v>
      </x:c>
      <x:c r="M21" s="30" t="str">
        <x:v>Расставьте запятые в предложении об Иване, несостоявшемся путешествии, мысли, «которая крутилась», и недосыпе.</x:v>
      </x:c>
      <x:c r="N21" s="30" t="str">
        <x:v>1378</x:v>
      </x:c>
      <x:c r="O21" s="30" t="str">
        <x:v>Запятые 1 и 3 оформляют конструкцию с союзами «и, хотя…, но…». Запятая 7 закрывает придаточные определения при слове «мысль», а 8 вводит придаточное со словом «что».</x:v>
      </x:c>
      <x:c r="P21" s="30" t="str">
        <x:v>Проверена вложенность придаточных и союзная конструкция.</x:v>
      </x:c>
      <x:c r="Q21" s="30"/>
      <x:c r="R21" s="30" t="str">
        <x:v>1378</x:v>
      </x:c>
      <x:c r="S21" s="30"/>
      <x:c r="T21" s="30"/>
      <x:c r="U21" s="30" t="str">
        <x:v>Расхождений нет.</x:v>
      </x:c>
      <x:c r="V21" s="87" t="str">
        <x:v>VERIFIED</x:v>
      </x:c>
      <x:c r="W21" s="87" t="n">
        <x:v>9</x:v>
      </x:c>
      <x:c r="X21" s="87"/>
      <x:c r="Y21" s="87"/>
      <x:c r="Z21" s="87"/>
      <x:c r="AA21" s="87"/>
      <x:c r="AB21" s="87"/>
      <x:c r="AC21" s="87"/>
      <x:c r="AD21" s="87"/>
      <x:c r="AE21" s="87"/>
      <x:c r="AF21" s="87"/>
      <x:c r="AG21" s="87"/>
      <x:c r="AH21" s="87"/>
      <x:c r="AI21" s="30"/>
      <x:c r="AJ21" s="87" t="str">
        <x:v>master</x:v>
      </x:c>
      <x:c r="AK21" s="87" t="str">
        <x:v>master-v0.81</x:v>
      </x:c>
      <x:c r="AL21" s="87" t="str">
        <x:v>statgrad_master_base_v0_81_final(2).xlsx</x:v>
      </x:c>
      <x:c r="AM21" s="87" t="str">
        <x:v>RU_Jan_V1</x:v>
      </x:c>
      <x:c r="AN21" s="87" t="n">
        <x:v>21</x:v>
      </x:c>
    </x:row>
    <x:row r="22">
      <x:c r="A22" s="87" t="n">
        <x:v>21</x:v>
      </x:c>
      <x:c r="B22" s="87" t="str">
        <x:v>JAN-RU-V1-021</x:v>
      </x:c>
      <x:c r="C22" s="87" t="str">
        <x:v>СтатГрад</x:v>
      </x:c>
      <x:c r="D22" s="87" t="str">
        <x:v>Январь 2026</x:v>
      </x:c>
      <x:c r="E22" s="87"/>
      <x:c r="F22" s="87"/>
      <x:c r="G22" s="87" t="str">
        <x:v>Русский язык</x:v>
      </x:c>
      <x:c r="H22" s="87" t="n">
        <x:v>11</x:v>
      </x:c>
      <x:c r="I22" s="87" t="str">
        <x:v>ТР №3</x:v>
      </x:c>
      <x:c r="J22" s="87" t="str">
        <x:v>РЯ2510401</x:v>
      </x:c>
      <x:c r="K22" s="87" t="n">
        <x:v>21</x:v>
      </x:c>
      <x:c r="L22" s="87" t="str">
        <x:v>Тире</x:v>
      </x:c>
      <x:c r="M22" s="30" t="str">
        <x:v>Найдите предложения, где тире ставится по одному и тому же правилу, в тексте о московских улицах.</x:v>
      </x:c>
      <x:c r="N22" s="30" t="str">
        <x:v>48</x:v>
      </x:c>
      <x:c r="O22" s="30" t="str">
        <x:v>В предложениях 4 и 8 тире отделяет распространённую группу подлежащего от сказуемой/обобщающей части. Внутреннее перечисление делает паузу особенно необходимой.</x:v>
      </x:c>
      <x:c r="P22" s="30" t="str">
        <x:v>Сопоставлена синтаксическая функция тире.</x:v>
      </x:c>
      <x:c r="Q22" s="30"/>
      <x:c r="R22" s="30" t="str">
        <x:v>48 / 84</x:v>
      </x:c>
      <x:c r="S22" s="30"/>
      <x:c r="T22" s="30"/>
      <x:c r="U22" s="30" t="str">
        <x:v>Совпадает по набору цифр.</x:v>
      </x:c>
      <x:c r="V22" s="87" t="str">
        <x:v>VERIFIED</x:v>
      </x:c>
      <x:c r="W22" s="87" t="n">
        <x:v>9</x:v>
      </x:c>
      <x:c r="X22" s="87"/>
      <x:c r="Y22" s="87"/>
      <x:c r="Z22" s="87"/>
      <x:c r="AA22" s="87"/>
      <x:c r="AB22" s="87"/>
      <x:c r="AC22" s="87"/>
      <x:c r="AD22" s="87"/>
      <x:c r="AE22" s="87"/>
      <x:c r="AF22" s="87"/>
      <x:c r="AG22" s="87"/>
      <x:c r="AH22" s="87"/>
      <x:c r="AI22" s="30"/>
      <x:c r="AJ22" s="87" t="str">
        <x:v>master</x:v>
      </x:c>
      <x:c r="AK22" s="87" t="str">
        <x:v>master-v0.81</x:v>
      </x:c>
      <x:c r="AL22" s="87" t="str">
        <x:v>statgrad_master_base_v0_81_final(2).xlsx</x:v>
      </x:c>
      <x:c r="AM22" s="87" t="str">
        <x:v>RU_Jan_V1</x:v>
      </x:c>
      <x:c r="AN22" s="87" t="n">
        <x:v>22</x:v>
      </x:c>
    </x:row>
    <x:row r="23">
      <x:c r="A23" s="87" t="n">
        <x:v>22</x:v>
      </x:c>
      <x:c r="B23" s="87" t="str">
        <x:v>JAN-RU-V1-022</x:v>
      </x:c>
      <x:c r="C23" s="87" t="str">
        <x:v>СтатГрад</x:v>
      </x:c>
      <x:c r="D23" s="87" t="str">
        <x:v>Январь 2026</x:v>
      </x:c>
      <x:c r="E23" s="87"/>
      <x:c r="F23" s="87"/>
      <x:c r="G23" s="87" t="str">
        <x:v>Русский язык</x:v>
      </x:c>
      <x:c r="H23" s="87" t="n">
        <x:v>11</x:v>
      </x:c>
      <x:c r="I23" s="87" t="str">
        <x:v>ТР №3</x:v>
      </x:c>
      <x:c r="J23" s="87" t="str">
        <x:v>РЯ2510401</x:v>
      </x:c>
      <x:c r="K23" s="87" t="n">
        <x:v>22</x:v>
      </x:c>
      <x:c r="L23" s="87" t="str">
        <x:v>Средства выразительности</x:v>
      </x:c>
      <x:c r="M23" s="30" t="str">
        <x:v>Соотнесите фрагменты А–Д со средствами: эпифора, парцелляция, анафора, гипербола, риторическое обращение, вопросно-ответная форма, литота, риторический вопрос, синтаксический параллелизм.</x:v>
      </x:c>
      <x:c r="N23" s="30" t="str">
        <x:v>84236</x:v>
      </x:c>
      <x:c r="O23" s="30" t="str">
        <x:v>А — риторический вопрос (8); Б — гипербола (4); В — парцелляция (2); Г — анафора (3); Д — вопросно-ответная форма (6).</x:v>
      </x:c>
      <x:c r="P23" s="30" t="str">
        <x:v>Каждый приём подтверждён формальным признаком в цитате.</x:v>
      </x:c>
      <x:c r="Q23" s="30"/>
      <x:c r="R23" s="30" t="str">
        <x:v>84236</x:v>
      </x:c>
      <x:c r="S23" s="30"/>
      <x:c r="T23" s="30"/>
      <x:c r="U23" s="30" t="str">
        <x:v>Расхождений нет.</x:v>
      </x:c>
      <x:c r="V23" s="87" t="str">
        <x:v>VERIFIED</x:v>
      </x:c>
      <x:c r="W23" s="87" t="n">
        <x:v>10</x:v>
      </x:c>
      <x:c r="X23" s="87"/>
      <x:c r="Y23" s="87"/>
      <x:c r="Z23" s="87"/>
      <x:c r="AA23" s="87"/>
      <x:c r="AB23" s="87"/>
      <x:c r="AC23" s="87"/>
      <x:c r="AD23" s="87"/>
      <x:c r="AE23" s="87"/>
      <x:c r="AF23" s="87"/>
      <x:c r="AG23" s="87"/>
      <x:c r="AH23" s="87"/>
      <x:c r="AI23" s="30"/>
      <x:c r="AJ23" s="87" t="str">
        <x:v>master</x:v>
      </x:c>
      <x:c r="AK23" s="87" t="str">
        <x:v>master-v0.81</x:v>
      </x:c>
      <x:c r="AL23" s="87" t="str">
        <x:v>statgrad_master_base_v0_81_final(2).xlsx</x:v>
      </x:c>
      <x:c r="AM23" s="87" t="str">
        <x:v>RU_Jan_V1</x:v>
      </x:c>
      <x:c r="AN23" s="87" t="n">
        <x:v>23</x:v>
      </x:c>
    </x:row>
    <x:row r="24">
      <x:c r="A24" s="87" t="n">
        <x:v>23</x:v>
      </x:c>
      <x:c r="B24" s="87" t="str">
        <x:v>JAN-RU-V1-023</x:v>
      </x:c>
      <x:c r="C24" s="87" t="str">
        <x:v>СтатГрад</x:v>
      </x:c>
      <x:c r="D24" s="87" t="str">
        <x:v>Январь 2026</x:v>
      </x:c>
      <x:c r="E24" s="87"/>
      <x:c r="F24" s="87"/>
      <x:c r="G24" s="87" t="str">
        <x:v>Русский язык</x:v>
      </x:c>
      <x:c r="H24" s="87" t="n">
        <x:v>11</x:v>
      </x:c>
      <x:c r="I24" s="87" t="str">
        <x:v>ТР №3</x:v>
      </x:c>
      <x:c r="J24" s="87" t="str">
        <x:v>РЯ2510401</x:v>
      </x:c>
      <x:c r="K24" s="87" t="n">
        <x:v>23</x:v>
      </x:c>
      <x:c r="L24" s="87" t="str">
        <x:v>Содержание текста</x:v>
      </x:c>
      <x:c r="M24" s="30" t="str">
        <x:v>Выберите верные утверждения по пьесе о Ланцелоте, Драконе и Шарлемане.</x:v>
      </x:c>
      <x:c r="N24" s="30" t="str">
        <x:v>35</x:v>
      </x:c>
      <x:c r="O24" s="30" t="str">
        <x:v>Дракон действительно пытается запугать Ланцелота (3). По документу он не вправе сам назначить день поединка (5). Остальные утверждения противоречат репликам или сценическим ремаркам.</x:v>
      </x:c>
      <x:c r="P24" s="30" t="str">
        <x:v>Каждое утверждение сверено с соответствующими предложениями текста.</x:v>
      </x:c>
      <x:c r="Q24" s="30"/>
      <x:c r="R24" s="30" t="str">
        <x:v>35</x:v>
      </x:c>
      <x:c r="S24" s="30"/>
      <x:c r="T24" s="30"/>
      <x:c r="U24" s="30" t="str">
        <x:v>Расхождений нет.</x:v>
      </x:c>
      <x:c r="V24" s="87" t="str">
        <x:v>VERIFIED</x:v>
      </x:c>
      <x:c r="W24" s="87" t="n">
        <x:v>13</x:v>
      </x:c>
      <x:c r="X24" s="87"/>
      <x:c r="Y24" s="87"/>
      <x:c r="Z24" s="87"/>
      <x:c r="AA24" s="87"/>
      <x:c r="AB24" s="87"/>
      <x:c r="AC24" s="87"/>
      <x:c r="AD24" s="87"/>
      <x:c r="AE24" s="87"/>
      <x:c r="AF24" s="87"/>
      <x:c r="AG24" s="87"/>
      <x:c r="AH24" s="87"/>
      <x:c r="AI24" s="30"/>
      <x:c r="AJ24" s="87" t="str">
        <x:v>master</x:v>
      </x:c>
      <x:c r="AK24" s="87" t="str">
        <x:v>master-v0.81</x:v>
      </x:c>
      <x:c r="AL24" s="87" t="str">
        <x:v>statgrad_master_base_v0_81_final(2).xlsx</x:v>
      </x:c>
      <x:c r="AM24" s="87" t="str">
        <x:v>RU_Jan_V1</x:v>
      </x:c>
      <x:c r="AN24" s="87" t="n">
        <x:v>24</x:v>
      </x:c>
    </x:row>
    <x:row r="25">
      <x:c r="A25" s="87" t="n">
        <x:v>24</x:v>
      </x:c>
      <x:c r="B25" s="87" t="str">
        <x:v>JAN-RU-V1-024</x:v>
      </x:c>
      <x:c r="C25" s="87" t="str">
        <x:v>СтатГрад</x:v>
      </x:c>
      <x:c r="D25" s="87" t="str">
        <x:v>Январь 2026</x:v>
      </x:c>
      <x:c r="E25" s="87"/>
      <x:c r="F25" s="87"/>
      <x:c r="G25" s="87" t="str">
        <x:v>Русский язык</x:v>
      </x:c>
      <x:c r="H25" s="87" t="n">
        <x:v>11</x:v>
      </x:c>
      <x:c r="I25" s="87" t="str">
        <x:v>ТР №3</x:v>
      </x:c>
      <x:c r="J25" s="87" t="str">
        <x:v>РЯ2510401</x:v>
      </x:c>
      <x:c r="K25" s="87" t="n">
        <x:v>24</x:v>
      </x:c>
      <x:c r="L25" s="87" t="str">
        <x:v>Типы речи и смысловые отношения</x:v>
      </x:c>
      <x:c r="M25" s="30" t="str">
        <x:v>Выберите верные утверждения о типах речи и связях между предложениями пьесы.</x:v>
      </x:c>
      <x:c r="N25" s="30" t="str">
        <x:v>34</x:v>
      </x:c>
      <x:c r="O25" s="30" t="str">
        <x:v>В предложениях 24–25 дана характеристика рёва, то есть описание (3). В предложениях 48–49 последовательно сообщаются изменения после битвы, поэтому присутствует повествование (4).</x:v>
      </x:c>
      <x:c r="P25" s="30" t="str">
        <x:v>Проверены содержание и динамика каждого фрагмента.</x:v>
      </x:c>
      <x:c r="Q25" s="30"/>
      <x:c r="R25" s="30" t="str">
        <x:v>34 / 43</x:v>
      </x:c>
      <x:c r="S25" s="30"/>
      <x:c r="T25" s="30"/>
      <x:c r="U25" s="30" t="str">
        <x:v>Совпадает по набору цифр.</x:v>
      </x:c>
      <x:c r="V25" s="87" t="str">
        <x:v>VERIFIED</x:v>
      </x:c>
      <x:c r="W25" s="87" t="n">
        <x:v>14</x:v>
      </x:c>
      <x:c r="X25" s="87"/>
      <x:c r="Y25" s="87"/>
      <x:c r="Z25" s="87"/>
      <x:c r="AA25" s="87"/>
      <x:c r="AB25" s="87"/>
      <x:c r="AC25" s="87"/>
      <x:c r="AD25" s="87"/>
      <x:c r="AE25" s="87"/>
      <x:c r="AF25" s="87"/>
      <x:c r="AG25" s="87"/>
      <x:c r="AH25" s="87"/>
      <x:c r="AI25" s="30"/>
      <x:c r="AJ25" s="87" t="str">
        <x:v>master</x:v>
      </x:c>
      <x:c r="AK25" s="87" t="str">
        <x:v>master-v0.81</x:v>
      </x:c>
      <x:c r="AL25" s="87" t="str">
        <x:v>statgrad_master_base_v0_81_final(2).xlsx</x:v>
      </x:c>
      <x:c r="AM25" s="87" t="str">
        <x:v>RU_Jan_V1</x:v>
      </x:c>
      <x:c r="AN25" s="87" t="n">
        <x:v>25</x:v>
      </x:c>
    </x:row>
    <x:row r="26">
      <x:c r="A26" s="87" t="n">
        <x:v>25</x:v>
      </x:c>
      <x:c r="B26" s="87" t="str">
        <x:v>JAN-RU-V1-025</x:v>
      </x:c>
      <x:c r="C26" s="87" t="str">
        <x:v>СтатГрад</x:v>
      </x:c>
      <x:c r="D26" s="87" t="str">
        <x:v>Январь 2026</x:v>
      </x:c>
      <x:c r="E26" s="87"/>
      <x:c r="F26" s="87"/>
      <x:c r="G26" s="87" t="str">
        <x:v>Русский язык</x:v>
      </x:c>
      <x:c r="H26" s="87" t="n">
        <x:v>11</x:v>
      </x:c>
      <x:c r="I26" s="87" t="str">
        <x:v>ТР №3</x:v>
      </x:c>
      <x:c r="J26" s="87" t="str">
        <x:v>РЯ2510401</x:v>
      </x:c>
      <x:c r="K26" s="87" t="n">
        <x:v>25</x:v>
      </x:c>
      <x:c r="L26" s="87" t="str">
        <x:v>Фразеология</x:v>
      </x:c>
      <x:c r="M26" s="30" t="str">
        <x:v>Из предложений 1–10 выпишите один фразеологизм.</x:v>
      </x:c>
      <x:c r="N26" s="30" t="str">
        <x:v>друг друга</x:v>
      </x:c>
      <x:c r="O26" s="30" t="str">
        <x:v>В приложенном ключе допускаются «друг друга» и «более чем». Однако оба сочетания спорно считать полноценными фразеологизмами: первое является взаимным местоимением, второе — устойчивым служебным сочетанием.</x:v>
      </x:c>
      <x:c r="P26" s="30" t="str">
        <x:v>Проведена отдельная лингвистическая проверка статуса сочетаний.</x:v>
      </x:c>
      <x:c r="Q26" s="30"/>
      <x:c r="R26" s="30" t="str">
        <x:v>друг друга / более чем</x:v>
      </x:c>
      <x:c r="S26" s="30"/>
      <x:c r="T26" s="30"/>
      <x:c r="U26" s="30" t="str">
        <x:v>Задание и ключ терминологически неоднозначны; ответ сохранён по ключу с предупреждением.</x:v>
      </x:c>
      <x:c r="V26" s="87" t="str">
        <x:v>AMBIGUOUS</x:v>
      </x:c>
      <x:c r="W26" s="87" t="n">
        <x:v>14</x:v>
      </x:c>
      <x:c r="X26" s="87"/>
      <x:c r="Y26" s="87"/>
      <x:c r="Z26" s="87"/>
      <x:c r="AA26" s="87"/>
      <x:c r="AB26" s="87"/>
      <x:c r="AC26" s="87"/>
      <x:c r="AD26" s="87"/>
      <x:c r="AE26" s="87"/>
      <x:c r="AF26" s="87"/>
      <x:c r="AG26" s="87"/>
      <x:c r="AH26" s="87"/>
      <x:c r="AI26" s="30"/>
      <x:c r="AJ26" s="87" t="str">
        <x:v>master</x:v>
      </x:c>
      <x:c r="AK26" s="87" t="str">
        <x:v>master-v0.81</x:v>
      </x:c>
      <x:c r="AL26" s="87" t="str">
        <x:v>statgrad_master_base_v0_81_final(2).xlsx</x:v>
      </x:c>
      <x:c r="AM26" s="87" t="str">
        <x:v>RU_Jan_V1</x:v>
      </x:c>
      <x:c r="AN26" s="87" t="n">
        <x:v>26</x:v>
      </x:c>
    </x:row>
    <x:row r="27">
      <x:c r="A27" s="87" t="n">
        <x:v>26</x:v>
      </x:c>
      <x:c r="B27" s="87" t="str">
        <x:v>JAN-RU-V1-026</x:v>
      </x:c>
      <x:c r="C27" s="87" t="str">
        <x:v>СтатГрад</x:v>
      </x:c>
      <x:c r="D27" s="87" t="str">
        <x:v>Январь 2026</x:v>
      </x:c>
      <x:c r="E27" s="87"/>
      <x:c r="F27" s="87"/>
      <x:c r="G27" s="87" t="str">
        <x:v>Русский язык</x:v>
      </x:c>
      <x:c r="H27" s="87" t="n">
        <x:v>11</x:v>
      </x:c>
      <x:c r="I27" s="87" t="str">
        <x:v>ТР №3</x:v>
      </x:c>
      <x:c r="J27" s="87" t="str">
        <x:v>РЯ2510401</x:v>
      </x:c>
      <x:c r="K27" s="87" t="n">
        <x:v>26</x:v>
      </x:c>
      <x:c r="L27" s="87" t="str">
        <x:v>Связь предложений</x:v>
      </x:c>
      <x:c r="M27" s="30" t="str">
        <x:v>Среди предложений 5–12 найдите предложения, связанные с предыдущим при помощи лексического повтора и однокоренных слов.</x:v>
      </x:c>
      <x:c r="N27" s="30" t="str">
        <x:v>7, 9</x:v>
      </x:c>
      <x:c r="O27" s="30" t="str">
        <x:v>Ключ указывает предложения 7 и 9. Связь строится на повторе наименования персонажа/реплик и словах с корнем «друг-» в ближайшем контексте, однако формулировка о двух средствах связи допускает спор.</x:v>
      </x:c>
      <x:c r="P27" s="30" t="str">
        <x:v>Проверены лексические цепочки в предложениях 5–12.</x:v>
      </x:c>
      <x:c r="Q27" s="30"/>
      <x:c r="R27" s="30" t="str">
        <x:v>7, 9</x:v>
      </x:c>
      <x:c r="S27" s="30"/>
      <x:c r="T27" s="30"/>
      <x:c r="U27" s="30" t="str">
        <x:v>Требуется ручная экспертная перепроверка формулировки критерия связи.</x:v>
      </x:c>
      <x:c r="V27" s="87" t="str">
        <x:v>AMBIGUOUS</x:v>
      </x:c>
      <x:c r="W27" s="87" t="n">
        <x:v>14</x:v>
      </x:c>
      <x:c r="X27" s="87"/>
      <x:c r="Y27" s="87"/>
      <x:c r="Z27" s="87"/>
      <x:c r="AA27" s="87"/>
      <x:c r="AB27" s="87"/>
      <x:c r="AC27" s="87"/>
      <x:c r="AD27" s="87"/>
      <x:c r="AE27" s="87"/>
      <x:c r="AF27" s="87"/>
      <x:c r="AG27" s="87"/>
      <x:c r="AH27" s="87"/>
      <x:c r="AI27" s="30"/>
      <x:c r="AJ27" s="87" t="str">
        <x:v>master</x:v>
      </x:c>
      <x:c r="AK27" s="87" t="str">
        <x:v>master-v0.81</x:v>
      </x:c>
      <x:c r="AL27" s="87" t="str">
        <x:v>statgrad_master_base_v0_81_final(2).xlsx</x:v>
      </x:c>
      <x:c r="AM27" s="87" t="str">
        <x:v>RU_Jan_V1</x:v>
      </x:c>
      <x:c r="AN27" s="87" t="n">
        <x:v>27</x:v>
      </x:c>
    </x:row>
    <x:row r="28">
      <x:c r="A28" s="87" t="n">
        <x:v>27</x:v>
      </x:c>
      <x:c r="B28" s="87" t="str">
        <x:v>JAN-RU-V1-027</x:v>
      </x:c>
      <x:c r="C28" s="87" t="str">
        <x:v>СтатГрад</x:v>
      </x:c>
      <x:c r="D28" s="87" t="str">
        <x:v>Январь 2026</x:v>
      </x:c>
      <x:c r="E28" s="87"/>
      <x:c r="F28" s="87"/>
      <x:c r="G28" s="87" t="str">
        <x:v>Русский язык</x:v>
      </x:c>
      <x:c r="H28" s="87" t="n">
        <x:v>11</x:v>
      </x:c>
      <x:c r="I28" s="87" t="str">
        <x:v>ТР №3</x:v>
      </x:c>
      <x:c r="J28" s="87" t="str">
        <x:v>РЯ2510401</x:v>
      </x:c>
      <x:c r="K28" s="87" t="n">
        <x:v>27</x:v>
      </x:c>
      <x:c r="L28" s="87" t="str">
        <x:v>Сочинение</x:v>
      </x:c>
      <x:c r="M28" s="30" t="str">
        <x:v>Напишите сочинение-рассуждение по проблеме «В чём проявляется лицемерие?». Критерии задания должны сохраняться без изменений.</x:v>
      </x:c>
      <x:c r="N28" s="30" t="str">
        <x:v>Авторская позиция: лицемерие проявляется в стремлении скрыть свою истинную натуру под какой-либо маской, личиной.</x:v>
      </x:c>
      <x:c r="O28" s="30" t="str">
        <x:v>Дракон изображает дружелюбие и вежливость, хотя намерен уничтожить Ланцелота; его внешняя обходительность скрывает жестокую сущность. Контраст слов, поведения и истинных намерений раскрывает лицемерие.</x:v>
      </x:c>
      <x:c r="P28" s="30" t="str">
        <x:v>Позиция сверена с таблицей «Информация о тексте» в критериях.</x:v>
      </x:c>
      <x:c r="Q28" s="30"/>
      <x:c r="R28" s="30" t="str">
        <x:v>Критерии + авторская позиция</x:v>
      </x:c>
      <x:c r="S28" s="30"/>
      <x:c r="T28" s="30"/>
      <x:c r="U28" s="30" t="str">
        <x:v>Критерии перенесены на отдельный лист без редактирования.</x:v>
      </x:c>
      <x:c r="V28" s="87" t="str">
        <x:v>VERIFIED</x:v>
      </x:c>
      <x:c r="W28" s="87" t="n">
        <x:v>14</x:v>
      </x:c>
      <x:c r="X28" s="87"/>
      <x:c r="Y28" s="87"/>
      <x:c r="Z28" s="87"/>
      <x:c r="AA28" s="87"/>
      <x:c r="AB28" s="87"/>
      <x:c r="AC28" s="87"/>
      <x:c r="AD28" s="87"/>
      <x:c r="AE28" s="87"/>
      <x:c r="AF28" s="87"/>
      <x:c r="AG28" s="87"/>
      <x:c r="AH28" s="87"/>
      <x:c r="AI28" s="30"/>
      <x:c r="AJ28" s="87" t="str">
        <x:v>master</x:v>
      </x:c>
      <x:c r="AK28" s="87" t="str">
        <x:v>master-v0.81</x:v>
      </x:c>
      <x:c r="AL28" s="87" t="str">
        <x:v>statgrad_master_base_v0_81_final(2).xlsx</x:v>
      </x:c>
      <x:c r="AM28" s="87" t="str">
        <x:v>RU_Jan_V1</x:v>
      </x:c>
      <x:c r="AN28" s="87" t="n">
        <x:v>28</x:v>
      </x:c>
    </x:row>
    <x:row r="29">
      <x:c r="A29" s="87" t="n">
        <x:v>28</x:v>
      </x:c>
      <x:c r="B29" s="87" t="str">
        <x:v>JAN-RU-V2-001</x:v>
      </x:c>
      <x:c r="C29" s="87" t="str">
        <x:v>СтатГрад</x:v>
      </x:c>
      <x:c r="D29" s="87" t="str">
        <x:v>Январь 2026</x:v>
      </x:c>
      <x:c r="E29" s="87"/>
      <x:c r="F29" s="87"/>
      <x:c r="G29" s="87" t="str">
        <x:v>Русский язык</x:v>
      </x:c>
      <x:c r="H29" s="87" t="n">
        <x:v>11</x:v>
      </x:c>
      <x:c r="I29" s="87" t="str">
        <x:v>ТР №3</x:v>
      </x:c>
      <x:c r="J29" s="87" t="str">
        <x:v>РЯ2510402</x:v>
      </x:c>
      <x:c r="K29" s="87" t="n">
        <x:v>1</x:v>
      </x:c>
      <x:c r="L29" s="87" t="str">
        <x:v>Средство связи</x:v>
      </x:c>
      <x:c r="M29" s="30" t="str">
        <x:v>Подберите производный составной предлог: «вам ведь придётся &lt;…&gt; этой темой говорить детишкам о льдах Арктики…».</x:v>
      </x:c>
      <x:c r="N29" s="30" t="str">
        <x:v>в связи с</x:v>
      </x:c>
      <x:c r="O29" s="30" t="str">
        <x:v>Предлог «в связи с» вводит обстоятельственное отношение: разговор о природных явлениях потребуется именно в связи с темой произведения.</x:v>
      </x:c>
      <x:c r="P29" s="30" t="str">
        <x:v>Проверены управление творительным падежом и смысл предложения.</x:v>
      </x:c>
      <x:c r="Q29" s="30"/>
      <x:c r="R29" s="30" t="str">
        <x:v>в связи с / в соответствии с / наряду с</x:v>
      </x:c>
      <x:c r="S29" s="30"/>
      <x:c r="T29" s="30"/>
      <x:c r="U29" s="30" t="str">
        <x:v>Ключ допускает несколько контекстно возможных составных предлогов; выбран наиболее естественный.</x:v>
      </x:c>
      <x:c r="V29" s="87" t="str">
        <x:v>VERIFIED</x:v>
      </x:c>
      <x:c r="W29" s="87" t="n">
        <x:v>2</x:v>
      </x:c>
      <x:c r="X29" s="87"/>
      <x:c r="Y29" s="87"/>
      <x:c r="Z29" s="87"/>
      <x:c r="AA29" s="87"/>
      <x:c r="AB29" s="87"/>
      <x:c r="AC29" s="87"/>
      <x:c r="AD29" s="87"/>
      <x:c r="AE29" s="87"/>
      <x:c r="AF29" s="87"/>
      <x:c r="AG29" s="87"/>
      <x:c r="AH29" s="87"/>
      <x:c r="AI29" s="30"/>
      <x:c r="AJ29" s="87" t="str">
        <x:v>master</x:v>
      </x:c>
      <x:c r="AK29" s="87" t="str">
        <x:v>master-v0.81</x:v>
      </x:c>
      <x:c r="AL29" s="87" t="str">
        <x:v>statgrad_master_base_v0_81_final(2).xlsx</x:v>
      </x:c>
      <x:c r="AM29" s="87" t="str">
        <x:v>RU_Jan_V2</x:v>
      </x:c>
      <x:c r="AN29" s="87" t="n">
        <x:v>2</x:v>
      </x:c>
    </x:row>
    <x:row r="30">
      <x:c r="A30" s="87" t="n">
        <x:v>29</x:v>
      </x:c>
      <x:c r="B30" s="87" t="str">
        <x:v>JAN-RU-V2-002</x:v>
      </x:c>
      <x:c r="C30" s="87" t="str">
        <x:v>СтатГрад</x:v>
      </x:c>
      <x:c r="D30" s="87" t="str">
        <x:v>Январь 2026</x:v>
      </x:c>
      <x:c r="E30" s="87"/>
      <x:c r="F30" s="87"/>
      <x:c r="G30" s="87" t="str">
        <x:v>Русский язык</x:v>
      </x:c>
      <x:c r="H30" s="87" t="n">
        <x:v>11</x:v>
      </x:c>
      <x:c r="I30" s="87" t="str">
        <x:v>ТР №3</x:v>
      </x:c>
      <x:c r="J30" s="87" t="str">
        <x:v>РЯ2510402</x:v>
      </x:c>
      <x:c r="K30" s="87" t="n">
        <x:v>2</x:v>
      </x:c>
      <x:c r="L30" s="87" t="str">
        <x:v>Лексическое значение</x:v>
      </x:c>
      <x:c r="M30" s="30" t="str">
        <x:v>Определите, в каких словарных статьях значение выделенного слова соответствует контексту: ФАНТАСТИЧЕСКИЙ, УПРАВЛЯТЬ, ДЕЛО, АТМОСФЕРА, ПОСЛЕДНИЙ.</x:v>
      </x:c>
      <x:c r="N30" s="30" t="str">
        <x:v>145</x:v>
      </x:c>
      <x:c r="O30" s="30" t="str">
        <x:v>«Фантастическая повесть» основана на фантастике; «атмосфера» обозначает газовую оболочку Земли; «сия последняя» значит «только что упомянутая». В контексте «управлять погодой» и «подходить к делу» приведённые узкие определения не подходят.</x:v>
      </x:c>
      <x:c r="P30" s="30" t="str">
        <x:v>Каждое словарное значение сопоставлено с конкретным употреблением.</x:v>
      </x:c>
      <x:c r="Q30" s="30"/>
      <x:c r="R30" s="30" t="str">
        <x:v>145</x:v>
      </x:c>
      <x:c r="S30" s="30"/>
      <x:c r="T30" s="30"/>
      <x:c r="U30" s="30" t="str">
        <x:v>Расхождений нет.</x:v>
      </x:c>
      <x:c r="V30" s="87" t="str">
        <x:v>VERIFIED</x:v>
      </x:c>
      <x:c r="W30" s="87" t="n">
        <x:v>3</x:v>
      </x:c>
      <x:c r="X30" s="87"/>
      <x:c r="Y30" s="87"/>
      <x:c r="Z30" s="87"/>
      <x:c r="AA30" s="87"/>
      <x:c r="AB30" s="87"/>
      <x:c r="AC30" s="87"/>
      <x:c r="AD30" s="87"/>
      <x:c r="AE30" s="87"/>
      <x:c r="AF30" s="87"/>
      <x:c r="AG30" s="87"/>
      <x:c r="AH30" s="87"/>
      <x:c r="AI30" s="30"/>
      <x:c r="AJ30" s="87" t="str">
        <x:v>master</x:v>
      </x:c>
      <x:c r="AK30" s="87" t="str">
        <x:v>master-v0.81</x:v>
      </x:c>
      <x:c r="AL30" s="87" t="str">
        <x:v>statgrad_master_base_v0_81_final(2).xlsx</x:v>
      </x:c>
      <x:c r="AM30" s="87" t="str">
        <x:v>RU_Jan_V2</x:v>
      </x:c>
      <x:c r="AN30" s="87" t="n">
        <x:v>3</x:v>
      </x:c>
    </x:row>
    <x:row r="31">
      <x:c r="A31" s="87" t="n">
        <x:v>30</x:v>
      </x:c>
      <x:c r="B31" s="87" t="str">
        <x:v>JAN-RU-V2-003</x:v>
      </x:c>
      <x:c r="C31" s="87" t="str">
        <x:v>СтатГрад</x:v>
      </x:c>
      <x:c r="D31" s="87" t="str">
        <x:v>Январь 2026</x:v>
      </x:c>
      <x:c r="E31" s="87"/>
      <x:c r="F31" s="87"/>
      <x:c r="G31" s="87" t="str">
        <x:v>Русский язык</x:v>
      </x:c>
      <x:c r="H31" s="87" t="n">
        <x:v>11</x:v>
      </x:c>
      <x:c r="I31" s="87" t="str">
        <x:v>ТР №3</x:v>
      </x:c>
      <x:c r="J31" s="87" t="str">
        <x:v>РЯ2510402</x:v>
      </x:c>
      <x:c r="K31" s="87" t="n">
        <x:v>3</x:v>
      </x:c>
      <x:c r="L31" s="87" t="str">
        <x:v>Характеристика текста</x:v>
      </x:c>
      <x:c r="M31" s="30" t="str">
        <x:v>Выберите верные характеристики письма А. Пешкова К. И. Чуковскому.</x:v>
      </x:c>
      <x:c r="N31" s="30" t="str">
        <x:v>245</x:v>
      </x:c>
      <x:c r="O31" s="30" t="str">
        <x:v>Текст относится к эпистолярному жанру и содержит рассуждения автора о замысле адресата (2). В нём представлены разнообразные сложные и вставные конструкции (4), а также эмоционально окрашенные слова и эпитеты (5).</x:v>
      </x:c>
      <x:c r="P31" s="30" t="str">
        <x:v>Проверены жанр, синтаксис и лексические средства текста.</x:v>
      </x:c>
      <x:c r="Q31" s="30"/>
      <x:c r="R31" s="30" t="str">
        <x:v>245</x:v>
      </x:c>
      <x:c r="S31" s="30"/>
      <x:c r="T31" s="30"/>
      <x:c r="U31" s="30" t="str">
        <x:v>Расхождений нет.</x:v>
      </x:c>
      <x:c r="V31" s="87" t="str">
        <x:v>VERIFIED</x:v>
      </x:c>
      <x:c r="W31" s="87" t="n">
        <x:v>3</x:v>
      </x:c>
      <x:c r="X31" s="87"/>
      <x:c r="Y31" s="87"/>
      <x:c r="Z31" s="87"/>
      <x:c r="AA31" s="87"/>
      <x:c r="AB31" s="87"/>
      <x:c r="AC31" s="87"/>
      <x:c r="AD31" s="87"/>
      <x:c r="AE31" s="87"/>
      <x:c r="AF31" s="87"/>
      <x:c r="AG31" s="87"/>
      <x:c r="AH31" s="87"/>
      <x:c r="AI31" s="30"/>
      <x:c r="AJ31" s="87" t="str">
        <x:v>master</x:v>
      </x:c>
      <x:c r="AK31" s="87" t="str">
        <x:v>master-v0.81</x:v>
      </x:c>
      <x:c r="AL31" s="87" t="str">
        <x:v>statgrad_master_base_v0_81_final(2).xlsx</x:v>
      </x:c>
      <x:c r="AM31" s="87" t="str">
        <x:v>RU_Jan_V2</x:v>
      </x:c>
      <x:c r="AN31" s="87" t="n">
        <x:v>4</x:v>
      </x:c>
    </x:row>
    <x:row r="32">
      <x:c r="A32" s="87" t="n">
        <x:v>31</x:v>
      </x:c>
      <x:c r="B32" s="87" t="str">
        <x:v>JAN-RU-V2-004</x:v>
      </x:c>
      <x:c r="C32" s="87" t="str">
        <x:v>СтатГрад</x:v>
      </x:c>
      <x:c r="D32" s="87" t="str">
        <x:v>Январь 2026</x:v>
      </x:c>
      <x:c r="E32" s="87"/>
      <x:c r="F32" s="87"/>
      <x:c r="G32" s="87" t="str">
        <x:v>Русский язык</x:v>
      </x:c>
      <x:c r="H32" s="87" t="n">
        <x:v>11</x:v>
      </x:c>
      <x:c r="I32" s="87" t="str">
        <x:v>ТР №3</x:v>
      </x:c>
      <x:c r="J32" s="87" t="str">
        <x:v>РЯ2510402</x:v>
      </x:c>
      <x:c r="K32" s="87" t="n">
        <x:v>4</x:v>
      </x:c>
      <x:c r="L32" s="87" t="str">
        <x:v>Орфоэпия</x:v>
      </x:c>
      <x:c r="M32" s="30" t="str">
        <x:v>Найдите слова с верно указанным ударением: дозИровать; корЫсть; нАживший; начАтый; жалюзИ.</x:v>
      </x:c>
      <x:c r="N32" s="30" t="str">
        <x:v>125</x:v>
      </x:c>
      <x:c r="O32" s="30" t="str">
        <x:v>Верно: дозИровать, корЫсть, жалюзИ. Нормативные формы остальных слов: нажИвший, нАчатый.</x:v>
      </x:c>
      <x:c r="P32" s="30" t="str">
        <x:v>Ударения повторно сверены по нормативным формам.</x:v>
      </x:c>
      <x:c r="Q32" s="30"/>
      <x:c r="R32" s="30" t="str">
        <x:v>125</x:v>
      </x:c>
      <x:c r="S32" s="30"/>
      <x:c r="T32" s="30"/>
      <x:c r="U32" s="30" t="str">
        <x:v>Расхождений нет.</x:v>
      </x:c>
      <x:c r="V32" s="87" t="str">
        <x:v>VERIFIED</x:v>
      </x:c>
      <x:c r="W32" s="87" t="n">
        <x:v>4</x:v>
      </x:c>
      <x:c r="X32" s="87"/>
      <x:c r="Y32" s="87"/>
      <x:c r="Z32" s="87"/>
      <x:c r="AA32" s="87"/>
      <x:c r="AB32" s="87"/>
      <x:c r="AC32" s="87"/>
      <x:c r="AD32" s="87"/>
      <x:c r="AE32" s="87"/>
      <x:c r="AF32" s="87"/>
      <x:c r="AG32" s="87"/>
      <x:c r="AH32" s="87"/>
      <x:c r="AI32" s="30"/>
      <x:c r="AJ32" s="87" t="str">
        <x:v>master</x:v>
      </x:c>
      <x:c r="AK32" s="87" t="str">
        <x:v>master-v0.81</x:v>
      </x:c>
      <x:c r="AL32" s="87" t="str">
        <x:v>statgrad_master_base_v0_81_final(2).xlsx</x:v>
      </x:c>
      <x:c r="AM32" s="87" t="str">
        <x:v>RU_Jan_V2</x:v>
      </x:c>
      <x:c r="AN32" s="87" t="n">
        <x:v>5</x:v>
      </x:c>
    </x:row>
    <x:row r="33">
      <x:c r="A33" s="87" t="n">
        <x:v>32</x:v>
      </x:c>
      <x:c r="B33" s="87" t="str">
        <x:v>JAN-RU-V2-005</x:v>
      </x:c>
      <x:c r="C33" s="87" t="str">
        <x:v>СтатГрад</x:v>
      </x:c>
      <x:c r="D33" s="87" t="str">
        <x:v>Январь 2026</x:v>
      </x:c>
      <x:c r="E33" s="87"/>
      <x:c r="F33" s="87"/>
      <x:c r="G33" s="87" t="str">
        <x:v>Русский язык</x:v>
      </x:c>
      <x:c r="H33" s="87" t="n">
        <x:v>11</x:v>
      </x:c>
      <x:c r="I33" s="87" t="str">
        <x:v>ТР №3</x:v>
      </x:c>
      <x:c r="J33" s="87" t="str">
        <x:v>РЯ2510402</x:v>
      </x:c>
      <x:c r="K33" s="87" t="n">
        <x:v>5</x:v>
      </x:c>
      <x:c r="L33" s="87" t="str">
        <x:v>Паронимы</x:v>
      </x:c>
      <x:c r="M33" s="30" t="str">
        <x:v>Исправьте неверное употребление слова в сочетании «основа ИСКУСНОГО газона».</x:v>
      </x:c>
      <x:c r="N33" s="30" t="str">
        <x:v>искусственного</x:v>
      </x:c>
      <x:c r="O33" s="30" t="str">
        <x:v>Газон является искусственным, то есть созданным человеком. «Искусный» означает умелый, мастерский и к газону не относится.</x:v>
      </x:c>
      <x:c r="P33" s="30" t="str">
        <x:v>Проверено различие паронимов «искусный — искусственный».</x:v>
      </x:c>
      <x:c r="Q33" s="30"/>
      <x:c r="R33" s="30" t="str">
        <x:v>искусственного</x:v>
      </x:c>
      <x:c r="S33" s="30"/>
      <x:c r="T33" s="30"/>
      <x:c r="U33" s="30" t="str">
        <x:v>Расхождений нет.</x:v>
      </x:c>
      <x:c r="V33" s="87" t="str">
        <x:v>VERIFIED</x:v>
      </x:c>
      <x:c r="W33" s="87" t="n">
        <x:v>4</x:v>
      </x:c>
      <x:c r="X33" s="87"/>
      <x:c r="Y33" s="87"/>
      <x:c r="Z33" s="87"/>
      <x:c r="AA33" s="87"/>
      <x:c r="AB33" s="87"/>
      <x:c r="AC33" s="87"/>
      <x:c r="AD33" s="87"/>
      <x:c r="AE33" s="87"/>
      <x:c r="AF33" s="87"/>
      <x:c r="AG33" s="87"/>
      <x:c r="AH33" s="87"/>
      <x:c r="AI33" s="30"/>
      <x:c r="AJ33" s="87" t="str">
        <x:v>master</x:v>
      </x:c>
      <x:c r="AK33" s="87" t="str">
        <x:v>master-v0.81</x:v>
      </x:c>
      <x:c r="AL33" s="87" t="str">
        <x:v>statgrad_master_base_v0_81_final(2).xlsx</x:v>
      </x:c>
      <x:c r="AM33" s="87" t="str">
        <x:v>RU_Jan_V2</x:v>
      </x:c>
      <x:c r="AN33" s="87" t="n">
        <x:v>6</x:v>
      </x:c>
    </x:row>
    <x:row r="34">
      <x:c r="A34" s="87" t="n">
        <x:v>33</x:v>
      </x:c>
      <x:c r="B34" s="87" t="str">
        <x:v>JAN-RU-V2-006</x:v>
      </x:c>
      <x:c r="C34" s="87" t="str">
        <x:v>СтатГрад</x:v>
      </x:c>
      <x:c r="D34" s="87" t="str">
        <x:v>Январь 2026</x:v>
      </x:c>
      <x:c r="E34" s="87"/>
      <x:c r="F34" s="87"/>
      <x:c r="G34" s="87" t="str">
        <x:v>Русский язык</x:v>
      </x:c>
      <x:c r="H34" s="87" t="n">
        <x:v>11</x:v>
      </x:c>
      <x:c r="I34" s="87" t="str">
        <x:v>ТР №3</x:v>
      </x:c>
      <x:c r="J34" s="87" t="str">
        <x:v>РЯ2510402</x:v>
      </x:c>
      <x:c r="K34" s="87" t="n">
        <x:v>6</x:v>
      </x:c>
      <x:c r="L34" s="87" t="str">
        <x:v>Лексическая норма</x:v>
      </x:c>
      <x:c r="M34" s="30" t="str">
        <x:v>Исправьте сочетание «получить мнение об искренности всех его высказываний».</x:v>
      </x:c>
      <x:c r="N34" s="30" t="str">
        <x:v>составить</x:v>
      </x:c>
      <x:c r="O34" s="30" t="str">
        <x:v>Мнение не «получают», а составляют или формируют на основании услышанного.</x:v>
      </x:c>
      <x:c r="P34" s="30" t="str">
        <x:v>Проверена нормативная лексическая сочетаемость.</x:v>
      </x:c>
      <x:c r="Q34" s="30"/>
      <x:c r="R34" s="30" t="str">
        <x:v>составить / сформировать / представить</x:v>
      </x:c>
      <x:c r="S34" s="30"/>
      <x:c r="T34" s="30"/>
      <x:c r="U34" s="30" t="str">
        <x:v>Выбран нейтральный нормативный вариант «составить мнение».</x:v>
      </x:c>
      <x:c r="V34" s="87" t="str">
        <x:v>VERIFIED</x:v>
      </x:c>
      <x:c r="W34" s="87" t="n">
        <x:v>4</x:v>
      </x:c>
      <x:c r="X34" s="87"/>
      <x:c r="Y34" s="87"/>
      <x:c r="Z34" s="87"/>
      <x:c r="AA34" s="87"/>
      <x:c r="AB34" s="87"/>
      <x:c r="AC34" s="87"/>
      <x:c r="AD34" s="87"/>
      <x:c r="AE34" s="87"/>
      <x:c r="AF34" s="87"/>
      <x:c r="AG34" s="87"/>
      <x:c r="AH34" s="87"/>
      <x:c r="AI34" s="30"/>
      <x:c r="AJ34" s="87" t="str">
        <x:v>master</x:v>
      </x:c>
      <x:c r="AK34" s="87" t="str">
        <x:v>master-v0.81</x:v>
      </x:c>
      <x:c r="AL34" s="87" t="str">
        <x:v>statgrad_master_base_v0_81_final(2).xlsx</x:v>
      </x:c>
      <x:c r="AM34" s="87" t="str">
        <x:v>RU_Jan_V2</x:v>
      </x:c>
      <x:c r="AN34" s="87" t="n">
        <x:v>7</x:v>
      </x:c>
    </x:row>
    <x:row r="35">
      <x:c r="A35" s="87" t="n">
        <x:v>34</x:v>
      </x:c>
      <x:c r="B35" s="87" t="str">
        <x:v>JAN-RU-V2-007</x:v>
      </x:c>
      <x:c r="C35" s="87" t="str">
        <x:v>СтатГрад</x:v>
      </x:c>
      <x:c r="D35" s="87" t="str">
        <x:v>Январь 2026</x:v>
      </x:c>
      <x:c r="E35" s="87"/>
      <x:c r="F35" s="87"/>
      <x:c r="G35" s="87" t="str">
        <x:v>Русский язык</x:v>
      </x:c>
      <x:c r="H35" s="87" t="n">
        <x:v>11</x:v>
      </x:c>
      <x:c r="I35" s="87" t="str">
        <x:v>ТР №3</x:v>
      </x:c>
      <x:c r="J35" s="87" t="str">
        <x:v>РЯ2510402</x:v>
      </x:c>
      <x:c r="K35" s="87" t="n">
        <x:v>7</x:v>
      </x:c>
      <x:c r="L35" s="87" t="str">
        <x:v>Грамматическая форма</x:v>
      </x:c>
      <x:c r="M35" s="30" t="str">
        <x:v>Исправьте ошибочную форму в сочетании «УСЛЫША звук».</x:v>
      </x:c>
      <x:c r="N35" s="30" t="str">
        <x:v>услышав</x:v>
      </x:c>
      <x:c r="O35" s="30" t="str">
        <x:v>Нормативное деепричастие прошедшего времени от глагола «услышать» — «услышав»: «услышав звук».</x:v>
      </x:c>
      <x:c r="P35" s="30" t="str">
        <x:v>Форма проверена по Метасловарю Грамоты: https://gramota.ru/meta/uslyshat</x:v>
      </x:c>
      <x:c r="Q35" s="30"/>
      <x:c r="R35" s="30" t="str">
        <x:v>услышал</x:v>
      </x:c>
      <x:c r="S35" s="30"/>
      <x:c r="T35" s="30"/>
      <x:c r="U35" s="30" t="str">
        <x:v>Ключ меняет деепричастие на личную форму глагола. Прямая коррекция ошибочной формы — «услышав».</x:v>
      </x:c>
      <x:c r="V35" s="87" t="str">
        <x:v>KEY_MISMATCH</x:v>
      </x:c>
      <x:c r="W35" s="87" t="n">
        <x:v>4</x:v>
      </x:c>
      <x:c r="X35" s="87"/>
      <x:c r="Y35" s="87"/>
      <x:c r="Z35" s="87"/>
      <x:c r="AA35" s="87"/>
      <x:c r="AB35" s="87"/>
      <x:c r="AC35" s="87"/>
      <x:c r="AD35" s="87"/>
      <x:c r="AE35" s="87"/>
      <x:c r="AF35" s="87"/>
      <x:c r="AG35" s="87"/>
      <x:c r="AH35" s="87"/>
      <x:c r="AI35" s="30"/>
      <x:c r="AJ35" s="87" t="str">
        <x:v>master</x:v>
      </x:c>
      <x:c r="AK35" s="87" t="str">
        <x:v>master-v0.81</x:v>
      </x:c>
      <x:c r="AL35" s="87" t="str">
        <x:v>statgrad_master_base_v0_81_final(2).xlsx</x:v>
      </x:c>
      <x:c r="AM35" s="87" t="str">
        <x:v>RU_Jan_V2</x:v>
      </x:c>
      <x:c r="AN35" s="87" t="n">
        <x:v>8</x:v>
      </x:c>
    </x:row>
    <x:row r="36">
      <x:c r="A36" s="87" t="n">
        <x:v>35</x:v>
      </x:c>
      <x:c r="B36" s="87" t="str">
        <x:v>JAN-RU-V2-008</x:v>
      </x:c>
      <x:c r="C36" s="87" t="str">
        <x:v>СтатГрад</x:v>
      </x:c>
      <x:c r="D36" s="87" t="str">
        <x:v>Январь 2026</x:v>
      </x:c>
      <x:c r="E36" s="87"/>
      <x:c r="F36" s="87"/>
      <x:c r="G36" s="87" t="str">
        <x:v>Русский язык</x:v>
      </x:c>
      <x:c r="H36" s="87" t="n">
        <x:v>11</x:v>
      </x:c>
      <x:c r="I36" s="87" t="str">
        <x:v>ТР №3</x:v>
      </x:c>
      <x:c r="J36" s="87" t="str">
        <x:v>РЯ2510402</x:v>
      </x:c>
      <x:c r="K36" s="87" t="n">
        <x:v>8</x:v>
      </x:c>
      <x:c r="L36" s="87" t="str">
        <x:v>Грамматические ошибки</x:v>
      </x:c>
      <x:c r="M36" s="30" t="str">
        <x:v>Соотнесите пять типов грамматических ошибок с предложениями 1–9.</x:v>
      </x:c>
      <x:c r="N36" s="30" t="str">
        <x:v>82159</x:v>
      </x:c>
      <x:c r="O36" s="30" t="str">
        <x:v>А–8: «кольраби … не подавалась». Б–2: нельзя соединять как однородные причастный оборот и придаточное. В–1: придаточное ошибочно относится к слову «лопастей». Г–5: нормативно «по выходе в прокат». Д–9: действие «являясь» не соотнесено с производителем действия сказуемого «считают».</x:v>
      </x:c>
      <x:c r="P36" s="30" t="str">
        <x:v>Каждое предложение перестроено в нормативную конструкцию.</x:v>
      </x:c>
      <x:c r="Q36" s="30"/>
      <x:c r="R36" s="30" t="str">
        <x:v>82159</x:v>
      </x:c>
      <x:c r="S36" s="30"/>
      <x:c r="T36" s="30"/>
      <x:c r="U36" s="30" t="str">
        <x:v>Расхождений нет.</x:v>
      </x:c>
      <x:c r="V36" s="87" t="str">
        <x:v>VERIFIED</x:v>
      </x:c>
      <x:c r="W36" s="87" t="n">
        <x:v>5</x:v>
      </x:c>
      <x:c r="X36" s="87"/>
      <x:c r="Y36" s="87"/>
      <x:c r="Z36" s="87"/>
      <x:c r="AA36" s="87"/>
      <x:c r="AB36" s="87"/>
      <x:c r="AC36" s="87"/>
      <x:c r="AD36" s="87"/>
      <x:c r="AE36" s="87"/>
      <x:c r="AF36" s="87"/>
      <x:c r="AG36" s="87"/>
      <x:c r="AH36" s="87"/>
      <x:c r="AI36" s="30"/>
      <x:c r="AJ36" s="87" t="str">
        <x:v>master</x:v>
      </x:c>
      <x:c r="AK36" s="87" t="str">
        <x:v>master-v0.81</x:v>
      </x:c>
      <x:c r="AL36" s="87" t="str">
        <x:v>statgrad_master_base_v0_81_final(2).xlsx</x:v>
      </x:c>
      <x:c r="AM36" s="87" t="str">
        <x:v>RU_Jan_V2</x:v>
      </x:c>
      <x:c r="AN36" s="87" t="n">
        <x:v>9</x:v>
      </x:c>
    </x:row>
    <x:row r="37">
      <x:c r="A37" s="87" t="n">
        <x:v>36</x:v>
      </x:c>
      <x:c r="B37" s="87" t="str">
        <x:v>JAN-RU-V2-009</x:v>
      </x:c>
      <x:c r="C37" s="87" t="str">
        <x:v>СтатГрад</x:v>
      </x:c>
      <x:c r="D37" s="87" t="str">
        <x:v>Январь 2026</x:v>
      </x:c>
      <x:c r="E37" s="87"/>
      <x:c r="F37" s="87"/>
      <x:c r="G37" s="87" t="str">
        <x:v>Русский язык</x:v>
      </x:c>
      <x:c r="H37" s="87" t="n">
        <x:v>11</x:v>
      </x:c>
      <x:c r="I37" s="87" t="str">
        <x:v>ТР №3</x:v>
      </x:c>
      <x:c r="J37" s="87" t="str">
        <x:v>РЯ2510402</x:v>
      </x:c>
      <x:c r="K37" s="87" t="n">
        <x:v>9</x:v>
      </x:c>
      <x:c r="L37" s="87" t="str">
        <x:v>Корни слов</x:v>
      </x:c>
      <x:c r="M37" s="30" t="str">
        <x:v>Выберите ряды, где во всех словах пропущена одна и та же буква.</x:v>
      </x:c>
      <x:c r="N37" s="30" t="str">
        <x:v>13</x:v>
      </x:c>
      <x:c r="O37" s="30" t="str">
        <x:v>В 1-м ряду пишется О: полог, укротитель, благословение. В 3-м — Е: проредить всходы, спешите на поезд, скрепя сердце.</x:v>
      </x:c>
      <x:c r="P37" s="30" t="str">
        <x:v>Все слова восстановлены полностью.</x:v>
      </x:c>
      <x:c r="Q37" s="30"/>
      <x:c r="R37" s="30" t="str">
        <x:v>13</x:v>
      </x:c>
      <x:c r="S37" s="30"/>
      <x:c r="T37" s="30"/>
      <x:c r="U37" s="30" t="str">
        <x:v>Расхождений нет.</x:v>
      </x:c>
      <x:c r="V37" s="87" t="str">
        <x:v>VERIFIED</x:v>
      </x:c>
      <x:c r="W37" s="87" t="n">
        <x:v>6</x:v>
      </x:c>
      <x:c r="X37" s="87"/>
      <x:c r="Y37" s="87"/>
      <x:c r="Z37" s="87"/>
      <x:c r="AA37" s="87"/>
      <x:c r="AB37" s="87"/>
      <x:c r="AC37" s="87"/>
      <x:c r="AD37" s="87"/>
      <x:c r="AE37" s="87"/>
      <x:c r="AF37" s="87"/>
      <x:c r="AG37" s="87"/>
      <x:c r="AH37" s="87"/>
      <x:c r="AI37" s="30"/>
      <x:c r="AJ37" s="87" t="str">
        <x:v>master</x:v>
      </x:c>
      <x:c r="AK37" s="87" t="str">
        <x:v>master-v0.81</x:v>
      </x:c>
      <x:c r="AL37" s="87" t="str">
        <x:v>statgrad_master_base_v0_81_final(2).xlsx</x:v>
      </x:c>
      <x:c r="AM37" s="87" t="str">
        <x:v>RU_Jan_V2</x:v>
      </x:c>
      <x:c r="AN37" s="87" t="n">
        <x:v>10</x:v>
      </x:c>
    </x:row>
    <x:row r="38">
      <x:c r="A38" s="87" t="n">
        <x:v>37</x:v>
      </x:c>
      <x:c r="B38" s="87" t="str">
        <x:v>JAN-RU-V2-010</x:v>
      </x:c>
      <x:c r="C38" s="87" t="str">
        <x:v>СтатГрад</x:v>
      </x:c>
      <x:c r="D38" s="87" t="str">
        <x:v>Январь 2026</x:v>
      </x:c>
      <x:c r="E38" s="87"/>
      <x:c r="F38" s="87"/>
      <x:c r="G38" s="87" t="str">
        <x:v>Русский язык</x:v>
      </x:c>
      <x:c r="H38" s="87" t="n">
        <x:v>11</x:v>
      </x:c>
      <x:c r="I38" s="87" t="str">
        <x:v>ТР №3</x:v>
      </x:c>
      <x:c r="J38" s="87" t="str">
        <x:v>РЯ2510402</x:v>
      </x:c>
      <x:c r="K38" s="87" t="n">
        <x:v>10</x:v>
      </x:c>
      <x:c r="L38" s="87" t="str">
        <x:v>Приставки и разделительные знаки</x:v>
      </x:c>
      <x:c r="M38" s="30" t="str">
        <x:v>Выберите ряды, где во всех словах пропущена одна и та же буква.</x:v>
      </x:c>
      <x:c r="N38" s="30" t="str">
        <x:v>15</x:v>
      </x:c>
      <x:c r="O38" s="30" t="str">
        <x:v>В 1-м ряду пишется Ы: предынфарктный, взыскать, подыгрывать. В 5-м — А: разыграть, прародители, предначертание.</x:v>
      </x:c>
      <x:c r="P38" s="30" t="str">
        <x:v>Проверены правила Ы/И после приставок и написание приставок.</x:v>
      </x:c>
      <x:c r="Q38" s="30"/>
      <x:c r="R38" s="30" t="str">
        <x:v>15</x:v>
      </x:c>
      <x:c r="S38" s="30"/>
      <x:c r="T38" s="30"/>
      <x:c r="U38" s="30" t="str">
        <x:v>Расхождений нет.</x:v>
      </x:c>
      <x:c r="V38" s="87" t="str">
        <x:v>VERIFIED</x:v>
      </x:c>
      <x:c r="W38" s="87" t="n">
        <x:v>6</x:v>
      </x:c>
      <x:c r="X38" s="87"/>
      <x:c r="Y38" s="87"/>
      <x:c r="Z38" s="87"/>
      <x:c r="AA38" s="87"/>
      <x:c r="AB38" s="87"/>
      <x:c r="AC38" s="87"/>
      <x:c r="AD38" s="87"/>
      <x:c r="AE38" s="87"/>
      <x:c r="AF38" s="87"/>
      <x:c r="AG38" s="87"/>
      <x:c r="AH38" s="87"/>
      <x:c r="AI38" s="30"/>
      <x:c r="AJ38" s="87" t="str">
        <x:v>master</x:v>
      </x:c>
      <x:c r="AK38" s="87" t="str">
        <x:v>master-v0.81</x:v>
      </x:c>
      <x:c r="AL38" s="87" t="str">
        <x:v>statgrad_master_base_v0_81_final(2).xlsx</x:v>
      </x:c>
      <x:c r="AM38" s="87" t="str">
        <x:v>RU_Jan_V2</x:v>
      </x:c>
      <x:c r="AN38" s="87" t="n">
        <x:v>11</x:v>
      </x:c>
    </x:row>
    <x:row r="39">
      <x:c r="A39" s="87" t="n">
        <x:v>38</x:v>
      </x:c>
      <x:c r="B39" s="87" t="str">
        <x:v>JAN-RU-V2-011</x:v>
      </x:c>
      <x:c r="C39" s="87" t="str">
        <x:v>СтатГрад</x:v>
      </x:c>
      <x:c r="D39" s="87" t="str">
        <x:v>Январь 2026</x:v>
      </x:c>
      <x:c r="E39" s="87"/>
      <x:c r="F39" s="87"/>
      <x:c r="G39" s="87" t="str">
        <x:v>Русский язык</x:v>
      </x:c>
      <x:c r="H39" s="87" t="n">
        <x:v>11</x:v>
      </x:c>
      <x:c r="I39" s="87" t="str">
        <x:v>ТР №3</x:v>
      </x:c>
      <x:c r="J39" s="87" t="str">
        <x:v>РЯ2510402</x:v>
      </x:c>
      <x:c r="K39" s="87" t="n">
        <x:v>11</x:v>
      </x:c>
      <x:c r="L39" s="87" t="str">
        <x:v>Суффиксы</x:v>
      </x:c>
      <x:c r="M39" s="30" t="str">
        <x:v>Выберите ряды, где в обоих словах пропущена одна и та же буква.</x:v>
      </x:c>
      <x:c r="N39" s="30" t="str">
        <x:v>34</x:v>
      </x:c>
      <x:c r="O39" s="30" t="str">
        <x:v>В 3-м ряду пишется Е: ливневый, подразумевающий. В 4-м — Ы: наведываться, разведывать.</x:v>
      </x:c>
      <x:c r="P39" s="30" t="str">
        <x:v>Слова разобраны по словообразовательным моделям.</x:v>
      </x:c>
      <x:c r="Q39" s="30"/>
      <x:c r="R39" s="30" t="str">
        <x:v>34</x:v>
      </x:c>
      <x:c r="S39" s="30"/>
      <x:c r="T39" s="30"/>
      <x:c r="U39" s="30" t="str">
        <x:v>Расхождений нет.</x:v>
      </x:c>
      <x:c r="V39" s="87" t="str">
        <x:v>VERIFIED</x:v>
      </x:c>
      <x:c r="W39" s="87" t="n">
        <x:v>6</x:v>
      </x:c>
      <x:c r="X39" s="87"/>
      <x:c r="Y39" s="87"/>
      <x:c r="Z39" s="87"/>
      <x:c r="AA39" s="87"/>
      <x:c r="AB39" s="87"/>
      <x:c r="AC39" s="87"/>
      <x:c r="AD39" s="87"/>
      <x:c r="AE39" s="87"/>
      <x:c r="AF39" s="87"/>
      <x:c r="AG39" s="87"/>
      <x:c r="AH39" s="87"/>
      <x:c r="AI39" s="30"/>
      <x:c r="AJ39" s="87" t="str">
        <x:v>master</x:v>
      </x:c>
      <x:c r="AK39" s="87" t="str">
        <x:v>master-v0.81</x:v>
      </x:c>
      <x:c r="AL39" s="87" t="str">
        <x:v>statgrad_master_base_v0_81_final(2).xlsx</x:v>
      </x:c>
      <x:c r="AM39" s="87" t="str">
        <x:v>RU_Jan_V2</x:v>
      </x:c>
      <x:c r="AN39" s="87" t="n">
        <x:v>12</x:v>
      </x:c>
    </x:row>
    <x:row r="40">
      <x:c r="A40" s="87" t="n">
        <x:v>39</x:v>
      </x:c>
      <x:c r="B40" s="87" t="str">
        <x:v>JAN-RU-V2-012</x:v>
      </x:c>
      <x:c r="C40" s="87" t="str">
        <x:v>СтатГрад</x:v>
      </x:c>
      <x:c r="D40" s="87" t="str">
        <x:v>Январь 2026</x:v>
      </x:c>
      <x:c r="E40" s="87"/>
      <x:c r="F40" s="87"/>
      <x:c r="G40" s="87" t="str">
        <x:v>Русский язык</x:v>
      </x:c>
      <x:c r="H40" s="87" t="n">
        <x:v>11</x:v>
      </x:c>
      <x:c r="I40" s="87" t="str">
        <x:v>ТР №3</x:v>
      </x:c>
      <x:c r="J40" s="87" t="str">
        <x:v>РЯ2510402</x:v>
      </x:c>
      <x:c r="K40" s="87" t="n">
        <x:v>12</x:v>
      </x:c>
      <x:c r="L40" s="87" t="str">
        <x:v>Окончания и суффиксы</x:v>
      </x:c>
      <x:c r="M40" s="30" t="str">
        <x:v>Выберите ряды, где в обоих словах пропущена одна и та же буква.</x:v>
      </x:c>
      <x:c r="N40" s="30" t="str">
        <x:v>234</x:v>
      </x:c>
      <x:c r="O40" s="30" t="str">
        <x:v>Подходят: растают — заблеют; мурлычут — движущаяся; зыблющийся — стелющийся. В рядах 1 и 5 требуются разные буквы.</x:v>
      </x:c>
      <x:c r="P40" s="30" t="str">
        <x:v>Проверены спряжение глаголов и образование причастий.</x:v>
      </x:c>
      <x:c r="Q40" s="30"/>
      <x:c r="R40" s="30" t="str">
        <x:v>234</x:v>
      </x:c>
      <x:c r="S40" s="30"/>
      <x:c r="T40" s="30"/>
      <x:c r="U40" s="30" t="str">
        <x:v>Расхождений нет.</x:v>
      </x:c>
      <x:c r="V40" s="87" t="str">
        <x:v>VERIFIED</x:v>
      </x:c>
      <x:c r="W40" s="87" t="n">
        <x:v>6</x:v>
      </x:c>
      <x:c r="X40" s="87"/>
      <x:c r="Y40" s="87"/>
      <x:c r="Z40" s="87"/>
      <x:c r="AA40" s="87"/>
      <x:c r="AB40" s="87"/>
      <x:c r="AC40" s="87"/>
      <x:c r="AD40" s="87"/>
      <x:c r="AE40" s="87"/>
      <x:c r="AF40" s="87"/>
      <x:c r="AG40" s="87"/>
      <x:c r="AH40" s="87"/>
      <x:c r="AI40" s="30"/>
      <x:c r="AJ40" s="87" t="str">
        <x:v>master</x:v>
      </x:c>
      <x:c r="AK40" s="87" t="str">
        <x:v>master-v0.81</x:v>
      </x:c>
      <x:c r="AL40" s="87" t="str">
        <x:v>statgrad_master_base_v0_81_final(2).xlsx</x:v>
      </x:c>
      <x:c r="AM40" s="87" t="str">
        <x:v>RU_Jan_V2</x:v>
      </x:c>
      <x:c r="AN40" s="87" t="n">
        <x:v>13</x:v>
      </x:c>
    </x:row>
    <x:row r="41">
      <x:c r="A41" s="87" t="n">
        <x:v>40</x:v>
      </x:c>
      <x:c r="B41" s="87" t="str">
        <x:v>JAN-RU-V2-013</x:v>
      </x:c>
      <x:c r="C41" s="87" t="str">
        <x:v>СтатГрад</x:v>
      </x:c>
      <x:c r="D41" s="87" t="str">
        <x:v>Январь 2026</x:v>
      </x:c>
      <x:c r="E41" s="87"/>
      <x:c r="F41" s="87"/>
      <x:c r="G41" s="87" t="str">
        <x:v>Русский язык</x:v>
      </x:c>
      <x:c r="H41" s="87" t="n">
        <x:v>11</x:v>
      </x:c>
      <x:c r="I41" s="87" t="str">
        <x:v>ТР №3</x:v>
      </x:c>
      <x:c r="J41" s="87" t="str">
        <x:v>РЯ2510402</x:v>
      </x:c>
      <x:c r="K41" s="87" t="n">
        <x:v>13</x:v>
      </x:c>
      <x:c r="L41" s="87" t="str">
        <x:v>НЕ/НИ со словами</x:v>
      </x:c>
      <x:c r="M41" s="30" t="str">
        <x:v>Выберите предложения, где НЕ (НИ) с выделенным словом пишется слитно.</x:v>
      </x:c>
      <x:c r="N41" s="30" t="str">
        <x:v>34</x:v>
      </x:c>
      <x:c r="O41" s="30" t="str">
        <x:v>«Нисколько» и «нечего» являются цельными отрицательными местоименно-наречными формами и пишутся слитно. «Не то», «не совсем» и «ни разу» пишутся раздельно.</x:v>
      </x:c>
      <x:c r="P41" s="30" t="str">
        <x:v>Проверено значение и грамматический статус каждой формы.</x:v>
      </x:c>
      <x:c r="Q41" s="30"/>
      <x:c r="R41" s="30" t="str">
        <x:v>34</x:v>
      </x:c>
      <x:c r="S41" s="30"/>
      <x:c r="T41" s="30"/>
      <x:c r="U41" s="30" t="str">
        <x:v>Расхождений нет.</x:v>
      </x:c>
      <x:c r="V41" s="87" t="str">
        <x:v>VERIFIED</x:v>
      </x:c>
      <x:c r="W41" s="87" t="n">
        <x:v>7</x:v>
      </x:c>
      <x:c r="X41" s="87"/>
      <x:c r="Y41" s="87"/>
      <x:c r="Z41" s="87"/>
      <x:c r="AA41" s="87"/>
      <x:c r="AB41" s="87"/>
      <x:c r="AC41" s="87"/>
      <x:c r="AD41" s="87"/>
      <x:c r="AE41" s="87"/>
      <x:c r="AF41" s="87"/>
      <x:c r="AG41" s="87"/>
      <x:c r="AH41" s="87"/>
      <x:c r="AI41" s="30"/>
      <x:c r="AJ41" s="87" t="str">
        <x:v>master</x:v>
      </x:c>
      <x:c r="AK41" s="87" t="str">
        <x:v>master-v0.81</x:v>
      </x:c>
      <x:c r="AL41" s="87" t="str">
        <x:v>statgrad_master_base_v0_81_final(2).xlsx</x:v>
      </x:c>
      <x:c r="AM41" s="87" t="str">
        <x:v>RU_Jan_V2</x:v>
      </x:c>
      <x:c r="AN41" s="87" t="n">
        <x:v>14</x:v>
      </x:c>
    </x:row>
    <x:row r="42">
      <x:c r="A42" s="87" t="n">
        <x:v>41</x:v>
      </x:c>
      <x:c r="B42" s="87" t="str">
        <x:v>JAN-RU-V2-014</x:v>
      </x:c>
      <x:c r="C42" s="87" t="str">
        <x:v>СтатГрад</x:v>
      </x:c>
      <x:c r="D42" s="87" t="str">
        <x:v>Январь 2026</x:v>
      </x:c>
      <x:c r="E42" s="87"/>
      <x:c r="F42" s="87"/>
      <x:c r="G42" s="87" t="str">
        <x:v>Русский язык</x:v>
      </x:c>
      <x:c r="H42" s="87" t="n">
        <x:v>11</x:v>
      </x:c>
      <x:c r="I42" s="87" t="str">
        <x:v>ТР №3</x:v>
      </x:c>
      <x:c r="J42" s="87" t="str">
        <x:v>РЯ2510402</x:v>
      </x:c>
      <x:c r="K42" s="87" t="n">
        <x:v>14</x:v>
      </x:c>
      <x:c r="L42" s="87" t="str">
        <x:v>Дефисное написание</x:v>
      </x:c>
      <x:c r="M42" s="30" t="str">
        <x:v>Выберите предложения, где все выделенные слова пишутся через дефис.</x:v>
      </x:c>
      <x:c r="N42" s="30" t="str">
        <x:v>12</x:v>
      </x:c>
      <x:c r="O42" s="30" t="str">
        <x:v>В 1-м: откуда-то, по-весеннему. Во 2-м: штабс-капитан, пол-улицы. В остальных вариантах хотя бы одно слово пишется слитно или раздельно.</x:v>
      </x:c>
      <x:c r="P42" s="30" t="str">
        <x:v>Каждая форма восстановлена в контексте.</x:v>
      </x:c>
      <x:c r="Q42" s="30"/>
      <x:c r="R42" s="30" t="str">
        <x:v>12</x:v>
      </x:c>
      <x:c r="S42" s="30"/>
      <x:c r="T42" s="30"/>
      <x:c r="U42" s="30" t="str">
        <x:v>Расхождений нет.</x:v>
      </x:c>
      <x:c r="V42" s="87" t="str">
        <x:v>VERIFIED</x:v>
      </x:c>
      <x:c r="W42" s="87" t="n">
        <x:v>7</x:v>
      </x:c>
      <x:c r="X42" s="87"/>
      <x:c r="Y42" s="87"/>
      <x:c r="Z42" s="87"/>
      <x:c r="AA42" s="87"/>
      <x:c r="AB42" s="87"/>
      <x:c r="AC42" s="87"/>
      <x:c r="AD42" s="87"/>
      <x:c r="AE42" s="87"/>
      <x:c r="AF42" s="87"/>
      <x:c r="AG42" s="87"/>
      <x:c r="AH42" s="87"/>
      <x:c r="AI42" s="30"/>
      <x:c r="AJ42" s="87" t="str">
        <x:v>master</x:v>
      </x:c>
      <x:c r="AK42" s="87" t="str">
        <x:v>master-v0.81</x:v>
      </x:c>
      <x:c r="AL42" s="87" t="str">
        <x:v>statgrad_master_base_v0_81_final(2).xlsx</x:v>
      </x:c>
      <x:c r="AM42" s="87" t="str">
        <x:v>RU_Jan_V2</x:v>
      </x:c>
      <x:c r="AN42" s="87" t="n">
        <x:v>15</x:v>
      </x:c>
    </x:row>
    <x:row r="43">
      <x:c r="A43" s="87" t="n">
        <x:v>42</x:v>
      </x:c>
      <x:c r="B43" s="87" t="str">
        <x:v>JAN-RU-V2-015</x:v>
      </x:c>
      <x:c r="C43" s="87" t="str">
        <x:v>СтатГрад</x:v>
      </x:c>
      <x:c r="D43" s="87" t="str">
        <x:v>Январь 2026</x:v>
      </x:c>
      <x:c r="E43" s="87"/>
      <x:c r="F43" s="87"/>
      <x:c r="G43" s="87" t="str">
        <x:v>Русский язык</x:v>
      </x:c>
      <x:c r="H43" s="87" t="n">
        <x:v>11</x:v>
      </x:c>
      <x:c r="I43" s="87" t="str">
        <x:v>ТР №3</x:v>
      </x:c>
      <x:c r="J43" s="87" t="str">
        <x:v>РЯ2510402</x:v>
      </x:c>
      <x:c r="K43" s="87" t="n">
        <x:v>15</x:v>
      </x:c>
      <x:c r="L43" s="87" t="str">
        <x:v>Н/НН</x:v>
      </x:c>
      <x:c r="M43" s="30" t="str">
        <x:v>Укажите позиции с одной Н в тексте о бесприданнице Дарьюшке.</x:v>
      </x:c>
      <x:c r="N43" s="30" t="str">
        <x:v>234567</x:v>
      </x:c>
      <x:c r="O43" s="30" t="str">
        <x:v>Одна Н пишется в формах «не избалована», «без приданого», «собраны», «заранее», «отданы», «посажёному отцу». В слове «бесприданница» пишется НН.</x:v>
      </x:c>
      <x:c r="P43" s="30" t="str">
        <x:v>Проверены краткие причастия, словарные слова и исключение «посажёный отец».</x:v>
      </x:c>
      <x:c r="Q43" s="30"/>
      <x:c r="R43" s="30" t="str">
        <x:v>234567</x:v>
      </x:c>
      <x:c r="S43" s="30"/>
      <x:c r="T43" s="30"/>
      <x:c r="U43" s="30" t="str">
        <x:v>Расхождений нет.</x:v>
      </x:c>
      <x:c r="V43" s="87" t="str">
        <x:v>VERIFIED</x:v>
      </x:c>
      <x:c r="W43" s="87" t="n">
        <x:v>7</x:v>
      </x:c>
      <x:c r="X43" s="87"/>
      <x:c r="Y43" s="87"/>
      <x:c r="Z43" s="87"/>
      <x:c r="AA43" s="87"/>
      <x:c r="AB43" s="87"/>
      <x:c r="AC43" s="87"/>
      <x:c r="AD43" s="87"/>
      <x:c r="AE43" s="87"/>
      <x:c r="AF43" s="87"/>
      <x:c r="AG43" s="87"/>
      <x:c r="AH43" s="87"/>
      <x:c r="AI43" s="30"/>
      <x:c r="AJ43" s="87" t="str">
        <x:v>master</x:v>
      </x:c>
      <x:c r="AK43" s="87" t="str">
        <x:v>master-v0.81</x:v>
      </x:c>
      <x:c r="AL43" s="87" t="str">
        <x:v>statgrad_master_base_v0_81_final(2).xlsx</x:v>
      </x:c>
      <x:c r="AM43" s="87" t="str">
        <x:v>RU_Jan_V2</x:v>
      </x:c>
      <x:c r="AN43" s="87" t="n">
        <x:v>16</x:v>
      </x:c>
    </x:row>
    <x:row r="44">
      <x:c r="A44" s="87" t="n">
        <x:v>43</x:v>
      </x:c>
      <x:c r="B44" s="87" t="str">
        <x:v>JAN-RU-V2-016</x:v>
      </x:c>
      <x:c r="C44" s="87" t="str">
        <x:v>СтатГрад</x:v>
      </x:c>
      <x:c r="D44" s="87" t="str">
        <x:v>Январь 2026</x:v>
      </x:c>
      <x:c r="E44" s="87"/>
      <x:c r="F44" s="87"/>
      <x:c r="G44" s="87" t="str">
        <x:v>Русский язык</x:v>
      </x:c>
      <x:c r="H44" s="87" t="n">
        <x:v>11</x:v>
      </x:c>
      <x:c r="I44" s="87" t="str">
        <x:v>ТР №3</x:v>
      </x:c>
      <x:c r="J44" s="87" t="str">
        <x:v>РЯ2510402</x:v>
      </x:c>
      <x:c r="K44" s="87" t="n">
        <x:v>16</x:v>
      </x:c>
      <x:c r="L44" s="87" t="str">
        <x:v>Пунктуация</x:v>
      </x:c>
      <x:c r="M44" s="30" t="str">
        <x:v>Выберите предложения, где требуется поставить ровно одну запятую.</x:v>
      </x:c>
      <x:c r="N44" s="30" t="str">
        <x:v>345</x:v>
      </x:c>
      <x:c r="O44" s="30" t="str">
        <x:v>В 3-м, 4-м и 5-м предложениях по одной запятой разделяет части парных союзов или однородные члены. В 1-м действует общая вопросительная интонация, а во 2-м обе части имеют общий член «на верёвке».</x:v>
      </x:c>
      <x:c r="P44" s="30" t="str">
        <x:v>В каждом предложении подсчитано полное число требуемых запятых.</x:v>
      </x:c>
      <x:c r="Q44" s="30"/>
      <x:c r="R44" s="30" t="str">
        <x:v>345</x:v>
      </x:c>
      <x:c r="S44" s="30"/>
      <x:c r="T44" s="30"/>
      <x:c r="U44" s="30" t="str">
        <x:v>Расхождений нет.</x:v>
      </x:c>
      <x:c r="V44" s="87" t="str">
        <x:v>VERIFIED</x:v>
      </x:c>
      <x:c r="W44" s="87" t="n">
        <x:v>8</x:v>
      </x:c>
      <x:c r="X44" s="87"/>
      <x:c r="Y44" s="87"/>
      <x:c r="Z44" s="87"/>
      <x:c r="AA44" s="87"/>
      <x:c r="AB44" s="87"/>
      <x:c r="AC44" s="87"/>
      <x:c r="AD44" s="87"/>
      <x:c r="AE44" s="87"/>
      <x:c r="AF44" s="87"/>
      <x:c r="AG44" s="87"/>
      <x:c r="AH44" s="87"/>
      <x:c r="AI44" s="30"/>
      <x:c r="AJ44" s="87" t="str">
        <x:v>master</x:v>
      </x:c>
      <x:c r="AK44" s="87" t="str">
        <x:v>master-v0.81</x:v>
      </x:c>
      <x:c r="AL44" s="87" t="str">
        <x:v>statgrad_master_base_v0_81_final(2).xlsx</x:v>
      </x:c>
      <x:c r="AM44" s="87" t="str">
        <x:v>RU_Jan_V2</x:v>
      </x:c>
      <x:c r="AN44" s="87" t="n">
        <x:v>17</x:v>
      </x:c>
    </x:row>
    <x:row r="45">
      <x:c r="A45" s="87" t="n">
        <x:v>44</x:v>
      </x:c>
      <x:c r="B45" s="87" t="str">
        <x:v>JAN-RU-V2-017</x:v>
      </x:c>
      <x:c r="C45" s="87" t="str">
        <x:v>СтатГрад</x:v>
      </x:c>
      <x:c r="D45" s="87" t="str">
        <x:v>Январь 2026</x:v>
      </x:c>
      <x:c r="E45" s="87"/>
      <x:c r="F45" s="87"/>
      <x:c r="G45" s="87" t="str">
        <x:v>Русский язык</x:v>
      </x:c>
      <x:c r="H45" s="87" t="n">
        <x:v>11</x:v>
      </x:c>
      <x:c r="I45" s="87" t="str">
        <x:v>ТР №3</x:v>
      </x:c>
      <x:c r="J45" s="87" t="str">
        <x:v>РЯ2510402</x:v>
      </x:c>
      <x:c r="K45" s="87" t="n">
        <x:v>17</x:v>
      </x:c>
      <x:c r="L45" s="87" t="str">
        <x:v>Обособленные конструкции</x:v>
      </x:c>
      <x:c r="M45" s="30" t="str">
        <x:v>Расставьте запятые в предложении о припорошенных снегом соснах и ветре.</x:v>
      </x:c>
      <x:c r="N45" s="30" t="str">
        <x:v>134</x:v>
      </x:c>
      <x:c r="O45" s="30" t="str">
        <x:v>Запятая 1 обособляет определительный оборот, отделённый сказуемым от определяемого слова «сосны». Запятые 3 и 4 выделяют деепричастный оборот «налетая порывами».</x:v>
      </x:c>
      <x:c r="P45" s="30" t="str">
        <x:v>Проверены границы оборотов и инверсия подлежащего.</x:v>
      </x:c>
      <x:c r="Q45" s="30"/>
      <x:c r="R45" s="30" t="str">
        <x:v>134</x:v>
      </x:c>
      <x:c r="S45" s="30"/>
      <x:c r="T45" s="30"/>
      <x:c r="U45" s="30" t="str">
        <x:v>Расхождений нет.</x:v>
      </x:c>
      <x:c r="V45" s="87" t="str">
        <x:v>VERIFIED</x:v>
      </x:c>
      <x:c r="W45" s="87" t="n">
        <x:v>8</x:v>
      </x:c>
      <x:c r="X45" s="87"/>
      <x:c r="Y45" s="87"/>
      <x:c r="Z45" s="87"/>
      <x:c r="AA45" s="87"/>
      <x:c r="AB45" s="87"/>
      <x:c r="AC45" s="87"/>
      <x:c r="AD45" s="87"/>
      <x:c r="AE45" s="87"/>
      <x:c r="AF45" s="87"/>
      <x:c r="AG45" s="87"/>
      <x:c r="AH45" s="87"/>
      <x:c r="AI45" s="30"/>
      <x:c r="AJ45" s="87" t="str">
        <x:v>master</x:v>
      </x:c>
      <x:c r="AK45" s="87" t="str">
        <x:v>master-v0.81</x:v>
      </x:c>
      <x:c r="AL45" s="87" t="str">
        <x:v>statgrad_master_base_v0_81_final(2).xlsx</x:v>
      </x:c>
      <x:c r="AM45" s="87" t="str">
        <x:v>RU_Jan_V2</x:v>
      </x:c>
      <x:c r="AN45" s="87" t="n">
        <x:v>18</x:v>
      </x:c>
    </x:row>
    <x:row r="46">
      <x:c r="A46" s="87" t="n">
        <x:v>45</x:v>
      </x:c>
      <x:c r="B46" s="87" t="str">
        <x:v>JAN-RU-V2-018</x:v>
      </x:c>
      <x:c r="C46" s="87" t="str">
        <x:v>СтатГрад</x:v>
      </x:c>
      <x:c r="D46" s="87" t="str">
        <x:v>Январь 2026</x:v>
      </x:c>
      <x:c r="E46" s="87"/>
      <x:c r="F46" s="87"/>
      <x:c r="G46" s="87" t="str">
        <x:v>Русский язык</x:v>
      </x:c>
      <x:c r="H46" s="87" t="n">
        <x:v>11</x:v>
      </x:c>
      <x:c r="I46" s="87" t="str">
        <x:v>ТР №3</x:v>
      </x:c>
      <x:c r="J46" s="87" t="str">
        <x:v>РЯ2510402</x:v>
      </x:c>
      <x:c r="K46" s="87" t="n">
        <x:v>18</x:v>
      </x:c>
      <x:c r="L46" s="87" t="str">
        <x:v>Вводное слово</x:v>
      </x:c>
      <x:c r="M46" s="30" t="str">
        <x:v>Расставьте запятые в предложении: «Одет он (1) может (2) и кое-как…».</x:v>
      </x:c>
      <x:c r="N46" s="30" t="str">
        <x:v>12</x:v>
      </x:c>
      <x:c r="O46" s="30" t="str">
        <x:v>Слово «может» имеет значение предположения и является вводным, поэтому обособляется с двух сторон. «Между тем», «как-то раз» и «тут же» вводными не являются.</x:v>
      </x:c>
      <x:c r="P46" s="30" t="str">
        <x:v>Проверена возможность убрать вводное слово без изменения грамматической основы.</x:v>
      </x:c>
      <x:c r="Q46" s="30"/>
      <x:c r="R46" s="30" t="str">
        <x:v>12</x:v>
      </x:c>
      <x:c r="S46" s="30"/>
      <x:c r="T46" s="30"/>
      <x:c r="U46" s="30" t="str">
        <x:v>Расхождений нет.</x:v>
      </x:c>
      <x:c r="V46" s="87" t="str">
        <x:v>VERIFIED</x:v>
      </x:c>
      <x:c r="W46" s="87" t="n">
        <x:v>8</x:v>
      </x:c>
      <x:c r="X46" s="87"/>
      <x:c r="Y46" s="87"/>
      <x:c r="Z46" s="87"/>
      <x:c r="AA46" s="87"/>
      <x:c r="AB46" s="87"/>
      <x:c r="AC46" s="87"/>
      <x:c r="AD46" s="87"/>
      <x:c r="AE46" s="87"/>
      <x:c r="AF46" s="87"/>
      <x:c r="AG46" s="87"/>
      <x:c r="AH46" s="87"/>
      <x:c r="AI46" s="30"/>
      <x:c r="AJ46" s="87" t="str">
        <x:v>master</x:v>
      </x:c>
      <x:c r="AK46" s="87" t="str">
        <x:v>master-v0.81</x:v>
      </x:c>
      <x:c r="AL46" s="87" t="str">
        <x:v>statgrad_master_base_v0_81_final(2).xlsx</x:v>
      </x:c>
      <x:c r="AM46" s="87" t="str">
        <x:v>RU_Jan_V2</x:v>
      </x:c>
      <x:c r="AN46" s="87" t="n">
        <x:v>19</x:v>
      </x:c>
    </x:row>
    <x:row r="47">
      <x:c r="A47" s="87" t="n">
        <x:v>46</x:v>
      </x:c>
      <x:c r="B47" s="87" t="str">
        <x:v>JAN-RU-V2-019</x:v>
      </x:c>
      <x:c r="C47" s="87" t="str">
        <x:v>СтатГрад</x:v>
      </x:c>
      <x:c r="D47" s="87" t="str">
        <x:v>Январь 2026</x:v>
      </x:c>
      <x:c r="E47" s="87"/>
      <x:c r="F47" s="87"/>
      <x:c r="G47" s="87" t="str">
        <x:v>Русский язык</x:v>
      </x:c>
      <x:c r="H47" s="87" t="n">
        <x:v>11</x:v>
      </x:c>
      <x:c r="I47" s="87" t="str">
        <x:v>ТР №3</x:v>
      </x:c>
      <x:c r="J47" s="87" t="str">
        <x:v>РЯ2510402</x:v>
      </x:c>
      <x:c r="K47" s="87" t="n">
        <x:v>19</x:v>
      </x:c>
      <x:c r="L47" s="87" t="str">
        <x:v>Сложное предложение</x:v>
      </x:c>
      <x:c r="M47" s="30" t="str">
        <x:v>Расставьте запятые в предложении о поломке конвейера и невозможности оперативно принять меры.</x:v>
      </x:c>
      <x:c r="N47" s="30" t="str">
        <x:v>123678</x:v>
      </x:c>
      <x:c r="O47" s="30" t="str">
        <x:v>Запятые 1 и 2 вводят изъяснительное и вложенное уступительное придаточные. Запятые 3 и 6 обособляют придаточное со словом «которой». Запятые 7 и 8 выделяют сравнительное придаточное «чем ожидалось».</x:v>
      </x:c>
      <x:c r="P47" s="30" t="str">
        <x:v>Построена схема вложенного сложноподчинённого предложения.</x:v>
      </x:c>
      <x:c r="Q47" s="30"/>
      <x:c r="R47" s="30" t="str">
        <x:v>123678</x:v>
      </x:c>
      <x:c r="S47" s="30"/>
      <x:c r="T47" s="30"/>
      <x:c r="U47" s="30" t="str">
        <x:v>Расхождений нет.</x:v>
      </x:c>
      <x:c r="V47" s="87" t="str">
        <x:v>VERIFIED</x:v>
      </x:c>
      <x:c r="W47" s="87" t="n">
        <x:v>8</x:v>
      </x:c>
      <x:c r="X47" s="87"/>
      <x:c r="Y47" s="87"/>
      <x:c r="Z47" s="87"/>
      <x:c r="AA47" s="87"/>
      <x:c r="AB47" s="87"/>
      <x:c r="AC47" s="87"/>
      <x:c r="AD47" s="87"/>
      <x:c r="AE47" s="87"/>
      <x:c r="AF47" s="87"/>
      <x:c r="AG47" s="87"/>
      <x:c r="AH47" s="87"/>
      <x:c r="AI47" s="30"/>
      <x:c r="AJ47" s="87" t="str">
        <x:v>master</x:v>
      </x:c>
      <x:c r="AK47" s="87" t="str">
        <x:v>master-v0.81</x:v>
      </x:c>
      <x:c r="AL47" s="87" t="str">
        <x:v>statgrad_master_base_v0_81_final(2).xlsx</x:v>
      </x:c>
      <x:c r="AM47" s="87" t="str">
        <x:v>RU_Jan_V2</x:v>
      </x:c>
      <x:c r="AN47" s="87" t="n">
        <x:v>20</x:v>
      </x:c>
    </x:row>
    <x:row r="48">
      <x:c r="A48" s="87" t="n">
        <x:v>47</x:v>
      </x:c>
      <x:c r="B48" s="87" t="str">
        <x:v>JAN-RU-V2-020</x:v>
      </x:c>
      <x:c r="C48" s="87" t="str">
        <x:v>СтатГрад</x:v>
      </x:c>
      <x:c r="D48" s="87" t="str">
        <x:v>Январь 2026</x:v>
      </x:c>
      <x:c r="E48" s="87"/>
      <x:c r="F48" s="87"/>
      <x:c r="G48" s="87" t="str">
        <x:v>Русский язык</x:v>
      </x:c>
      <x:c r="H48" s="87" t="n">
        <x:v>11</x:v>
      </x:c>
      <x:c r="I48" s="87" t="str">
        <x:v>ТР №3</x:v>
      </x:c>
      <x:c r="J48" s="87" t="str">
        <x:v>РЯ2510402</x:v>
      </x:c>
      <x:c r="K48" s="87" t="n">
        <x:v>20</x:v>
      </x:c>
      <x:c r="L48" s="87" t="str">
        <x:v>Сложное предложение</x:v>
      </x:c>
      <x:c r="M48" s="30" t="str">
        <x:v>Расставьте запятые в предложении о возвращении из заповедника.</x:v>
      </x:c>
      <x:c r="N48" s="30" t="str">
        <x:v>1369</x:v>
      </x:c>
      <x:c r="O48" s="30" t="str">
        <x:v>Запятая 1 разделяет части сложного предложения перед «и хоть». Запятая 3 вводит придаточное после «уверяли», 6 ставится перед «но», а 9 закрывает два однородных уступительных придаточных.</x:v>
      </x:c>
      <x:c r="P48" s="30" t="str">
        <x:v>Проверена структура союзов «хоть…, но…» и «как бы ни… и какие бы ни…».</x:v>
      </x:c>
      <x:c r="Q48" s="30"/>
      <x:c r="R48" s="30" t="str">
        <x:v>1369</x:v>
      </x:c>
      <x:c r="S48" s="30"/>
      <x:c r="T48" s="30"/>
      <x:c r="U48" s="30" t="str">
        <x:v>Расхождений нет.</x:v>
      </x:c>
      <x:c r="V48" s="87" t="str">
        <x:v>VERIFIED</x:v>
      </x:c>
      <x:c r="W48" s="87" t="n">
        <x:v>9</x:v>
      </x:c>
      <x:c r="X48" s="87"/>
      <x:c r="Y48" s="87"/>
      <x:c r="Z48" s="87"/>
      <x:c r="AA48" s="87"/>
      <x:c r="AB48" s="87"/>
      <x:c r="AC48" s="87"/>
      <x:c r="AD48" s="87"/>
      <x:c r="AE48" s="87"/>
      <x:c r="AF48" s="87"/>
      <x:c r="AG48" s="87"/>
      <x:c r="AH48" s="87"/>
      <x:c r="AI48" s="30"/>
      <x:c r="AJ48" s="87" t="str">
        <x:v>master</x:v>
      </x:c>
      <x:c r="AK48" s="87" t="str">
        <x:v>master-v0.81</x:v>
      </x:c>
      <x:c r="AL48" s="87" t="str">
        <x:v>statgrad_master_base_v0_81_final(2).xlsx</x:v>
      </x:c>
      <x:c r="AM48" s="87" t="str">
        <x:v>RU_Jan_V2</x:v>
      </x:c>
      <x:c r="AN48" s="87" t="n">
        <x:v>21</x:v>
      </x:c>
    </x:row>
    <x:row r="49">
      <x:c r="A49" s="87" t="n">
        <x:v>48</x:v>
      </x:c>
      <x:c r="B49" s="87" t="str">
        <x:v>JAN-RU-V2-021</x:v>
      </x:c>
      <x:c r="C49" s="87" t="str">
        <x:v>СтатГрад</x:v>
      </x:c>
      <x:c r="D49" s="87" t="str">
        <x:v>Январь 2026</x:v>
      </x:c>
      <x:c r="E49" s="87"/>
      <x:c r="F49" s="87"/>
      <x:c r="G49" s="87" t="str">
        <x:v>Русский язык</x:v>
      </x:c>
      <x:c r="H49" s="87" t="n">
        <x:v>11</x:v>
      </x:c>
      <x:c r="I49" s="87" t="str">
        <x:v>ТР №3</x:v>
      </x:c>
      <x:c r="J49" s="87" t="str">
        <x:v>РЯ2510402</x:v>
      </x:c>
      <x:c r="K49" s="87" t="n">
        <x:v>21</x:v>
      </x:c>
      <x:c r="L49" s="87" t="str">
        <x:v>Правила постановки запятых</x:v>
      </x:c>
      <x:c r="M49" s="30" t="str">
        <x:v>Найдите предложения, в которых запятые ставятся по одному и тому же правилу, в тексте об освоении Арктики.</x:v>
      </x:c>
      <x:c r="N49" s="30" t="str">
        <x:v>1489</x:v>
      </x:c>
      <x:c r="O49" s="30" t="str">
        <x:v>Предложения 1 и 9 содержат обособленные определения; предложения 4 и 8 — запятую между частями сложносочинённого предложения перед противительными союзами. Поэтому в задании фактически обнаруживаются две самостоятельные пары.</x:v>
      </x:c>
      <x:c r="P49" s="30" t="str">
        <x:v>Правило каждой запятой классифицировано отдельно.</x:v>
      </x:c>
      <x:c r="Q49" s="30"/>
      <x:c r="R49" s="30" t="str">
        <x:v>1489</x:v>
      </x:c>
      <x:c r="S49" s="30"/>
      <x:c r="T49" s="30"/>
      <x:c r="U49" s="30" t="str">
        <x:v>Формулировка требует одного общего правила, но ключ объединяет две разные пары: 1–9 и 4–8.</x:v>
      </x:c>
      <x:c r="V49" s="87" t="str">
        <x:v>AMBIGUOUS</x:v>
      </x:c>
      <x:c r="W49" s="87" t="n">
        <x:v>9</x:v>
      </x:c>
      <x:c r="X49" s="87"/>
      <x:c r="Y49" s="87"/>
      <x:c r="Z49" s="87"/>
      <x:c r="AA49" s="87"/>
      <x:c r="AB49" s="87"/>
      <x:c r="AC49" s="87"/>
      <x:c r="AD49" s="87"/>
      <x:c r="AE49" s="87"/>
      <x:c r="AF49" s="87"/>
      <x:c r="AG49" s="87"/>
      <x:c r="AH49" s="87"/>
      <x:c r="AI49" s="30"/>
      <x:c r="AJ49" s="87" t="str">
        <x:v>master</x:v>
      </x:c>
      <x:c r="AK49" s="87" t="str">
        <x:v>master-v0.81</x:v>
      </x:c>
      <x:c r="AL49" s="87" t="str">
        <x:v>statgrad_master_base_v0_81_final(2).xlsx</x:v>
      </x:c>
      <x:c r="AM49" s="87" t="str">
        <x:v>RU_Jan_V2</x:v>
      </x:c>
      <x:c r="AN49" s="87" t="n">
        <x:v>22</x:v>
      </x:c>
    </x:row>
    <x:row r="50">
      <x:c r="A50" s="87" t="n">
        <x:v>49</x:v>
      </x:c>
      <x:c r="B50" s="87" t="str">
        <x:v>JAN-RU-V2-022</x:v>
      </x:c>
      <x:c r="C50" s="87" t="str">
        <x:v>СтатГрад</x:v>
      </x:c>
      <x:c r="D50" s="87" t="str">
        <x:v>Январь 2026</x:v>
      </x:c>
      <x:c r="E50" s="87"/>
      <x:c r="F50" s="87"/>
      <x:c r="G50" s="87" t="str">
        <x:v>Русский язык</x:v>
      </x:c>
      <x:c r="H50" s="87" t="n">
        <x:v>11</x:v>
      </x:c>
      <x:c r="I50" s="87" t="str">
        <x:v>ТР №3</x:v>
      </x:c>
      <x:c r="J50" s="87" t="str">
        <x:v>РЯ2510402</x:v>
      </x:c>
      <x:c r="K50" s="87" t="n">
        <x:v>22</x:v>
      </x:c>
      <x:c r="L50" s="87" t="str">
        <x:v>Средства выразительности</x:v>
      </x:c>
      <x:c r="M50" s="30" t="str">
        <x:v>Соотнесите фрагменты А–Д со средствами выразительности.</x:v>
      </x:c>
      <x:c r="N50" s="30" t="str">
        <x:v>34576</x:v>
      </x:c>
      <x:c r="O50" s="30" t="str">
        <x:v>А — синтаксический параллелизм (3); Б — метонимия «в чернобурой лисе» (4); В — аллитерация (5); Г — сравнение (7); Д — гипербола (6).</x:v>
      </x:c>
      <x:c r="P50" s="30" t="str">
        <x:v>Каждый приём подтверждён формальным признаком в цитате.</x:v>
      </x:c>
      <x:c r="Q50" s="30"/>
      <x:c r="R50" s="30" t="str">
        <x:v>34576</x:v>
      </x:c>
      <x:c r="S50" s="30"/>
      <x:c r="T50" s="30"/>
      <x:c r="U50" s="30" t="str">
        <x:v>Расхождений нет.</x:v>
      </x:c>
      <x:c r="V50" s="87" t="str">
        <x:v>VERIFIED</x:v>
      </x:c>
      <x:c r="W50" s="87" t="n">
        <x:v>10</x:v>
      </x:c>
      <x:c r="X50" s="87"/>
      <x:c r="Y50" s="87"/>
      <x:c r="Z50" s="87"/>
      <x:c r="AA50" s="87"/>
      <x:c r="AB50" s="87"/>
      <x:c r="AC50" s="87"/>
      <x:c r="AD50" s="87"/>
      <x:c r="AE50" s="87"/>
      <x:c r="AF50" s="87"/>
      <x:c r="AG50" s="87"/>
      <x:c r="AH50" s="87"/>
      <x:c r="AI50" s="30"/>
      <x:c r="AJ50" s="87" t="str">
        <x:v>master</x:v>
      </x:c>
      <x:c r="AK50" s="87" t="str">
        <x:v>master-v0.81</x:v>
      </x:c>
      <x:c r="AL50" s="87" t="str">
        <x:v>statgrad_master_base_v0_81_final(2).xlsx</x:v>
      </x:c>
      <x:c r="AM50" s="87" t="str">
        <x:v>RU_Jan_V2</x:v>
      </x:c>
      <x:c r="AN50" s="87" t="n">
        <x:v>23</x:v>
      </x:c>
    </x:row>
    <x:row r="51">
      <x:c r="A51" s="87" t="n">
        <x:v>50</x:v>
      </x:c>
      <x:c r="B51" s="87" t="str">
        <x:v>JAN-RU-V2-023</x:v>
      </x:c>
      <x:c r="C51" s="87" t="str">
        <x:v>СтатГрад</x:v>
      </x:c>
      <x:c r="D51" s="87" t="str">
        <x:v>Январь 2026</x:v>
      </x:c>
      <x:c r="E51" s="87"/>
      <x:c r="F51" s="87"/>
      <x:c r="G51" s="87" t="str">
        <x:v>Русский язык</x:v>
      </x:c>
      <x:c r="H51" s="87" t="n">
        <x:v>11</x:v>
      </x:c>
      <x:c r="I51" s="87" t="str">
        <x:v>ТР №3</x:v>
      </x:c>
      <x:c r="J51" s="87" t="str">
        <x:v>РЯ2510402</x:v>
      </x:c>
      <x:c r="K51" s="87" t="n">
        <x:v>23</x:v>
      </x:c>
      <x:c r="L51" s="87" t="str">
        <x:v>Содержание текста</x:v>
      </x:c>
      <x:c r="M51" s="30" t="str">
        <x:v>Выберите высказывания, которые не соответствуют содержанию сцены из пьесы Е. Л. Шварца.</x:v>
      </x:c>
      <x:c r="N51" s="30" t="str">
        <x:v>125</x:v>
      </x:c>
      <x:c r="O51" s="30" t="str">
        <x:v>Ланцелот узнаёт о давней дружбе от самого Дракона, а не от Шарлеманя (1). В показанной сцене Дракон не выступает во всех трёх обличиях (2). Документ напоминает Дракону Шарлемань, поэтому утверждение 5 также неверно.</x:v>
      </x:c>
      <x:c r="P51" s="30" t="str">
        <x:v>Каждое утверждение сверено с соответствующими репликами и ремарками.</x:v>
      </x:c>
      <x:c r="Q51" s="30"/>
      <x:c r="R51" s="30" t="str">
        <x:v>125</x:v>
      </x:c>
      <x:c r="S51" s="30"/>
      <x:c r="T51" s="30"/>
      <x:c r="U51" s="30" t="str">
        <x:v>Расхождений нет.</x:v>
      </x:c>
      <x:c r="V51" s="87" t="str">
        <x:v>VERIFIED</x:v>
      </x:c>
      <x:c r="W51" s="87" t="n">
        <x:v>13</x:v>
      </x:c>
      <x:c r="X51" s="87"/>
      <x:c r="Y51" s="87"/>
      <x:c r="Z51" s="87"/>
      <x:c r="AA51" s="87"/>
      <x:c r="AB51" s="87"/>
      <x:c r="AC51" s="87"/>
      <x:c r="AD51" s="87"/>
      <x:c r="AE51" s="87"/>
      <x:c r="AF51" s="87"/>
      <x:c r="AG51" s="87"/>
      <x:c r="AH51" s="87"/>
      <x:c r="AI51" s="30"/>
      <x:c r="AJ51" s="87" t="str">
        <x:v>master</x:v>
      </x:c>
      <x:c r="AK51" s="87" t="str">
        <x:v>master-v0.81</x:v>
      </x:c>
      <x:c r="AL51" s="87" t="str">
        <x:v>statgrad_master_base_v0_81_final(2).xlsx</x:v>
      </x:c>
      <x:c r="AM51" s="87" t="str">
        <x:v>RU_Jan_V2</x:v>
      </x:c>
      <x:c r="AN51" s="87" t="n">
        <x:v>24</x:v>
      </x:c>
    </x:row>
    <x:row r="52">
      <x:c r="A52" s="87" t="n">
        <x:v>51</x:v>
      </x:c>
      <x:c r="B52" s="87" t="str">
        <x:v>JAN-RU-V2-024</x:v>
      </x:c>
      <x:c r="C52" s="87" t="str">
        <x:v>СтатГрад</x:v>
      </x:c>
      <x:c r="D52" s="87" t="str">
        <x:v>Январь 2026</x:v>
      </x:c>
      <x:c r="E52" s="87"/>
      <x:c r="F52" s="87"/>
      <x:c r="G52" s="87" t="str">
        <x:v>Русский язык</x:v>
      </x:c>
      <x:c r="H52" s="87" t="n">
        <x:v>11</x:v>
      </x:c>
      <x:c r="I52" s="87" t="str">
        <x:v>ТР №3</x:v>
      </x:c>
      <x:c r="J52" s="87" t="str">
        <x:v>РЯ2510402</x:v>
      </x:c>
      <x:c r="K52" s="87" t="n">
        <x:v>24</x:v>
      </x:c>
      <x:c r="L52" s="87" t="str">
        <x:v>Типы речи и смысловые отношения</x:v>
      </x:c>
      <x:c r="M52" s="30" t="str">
        <x:v>Выберите ошибочные утверждения о типах речи и отношениях между предложениями пьесы.</x:v>
      </x:c>
      <x:c r="N52" s="30" t="str">
        <x:v>125</x:v>
      </x:c>
      <x:c r="O52" s="30" t="str">
        <x:v>Предложения 15–16 представляют диалог, а не повествование (1). В 24–25 описываются действия и рёв Дракона, а не строится рассуждение (2). Предложения 80 и 81 не противопоставлены: реплика Ланцелота является ответом на угрозу Дракона (5).</x:v>
      </x:c>
      <x:c r="P52" s="30" t="str">
        <x:v>Фрагменты проверены по содержанию и функции реплик/ремарок.</x:v>
      </x:c>
      <x:c r="Q52" s="30"/>
      <x:c r="R52" s="30" t="str">
        <x:v>125</x:v>
      </x:c>
      <x:c r="S52" s="30"/>
      <x:c r="T52" s="30"/>
      <x:c r="U52" s="30" t="str">
        <x:v>Расхождений нет.</x:v>
      </x:c>
      <x:c r="V52" s="87" t="str">
        <x:v>VERIFIED</x:v>
      </x:c>
      <x:c r="W52" s="87" t="n">
        <x:v>14</x:v>
      </x:c>
      <x:c r="X52" s="87"/>
      <x:c r="Y52" s="87"/>
      <x:c r="Z52" s="87"/>
      <x:c r="AA52" s="87"/>
      <x:c r="AB52" s="87"/>
      <x:c r="AC52" s="87"/>
      <x:c r="AD52" s="87"/>
      <x:c r="AE52" s="87"/>
      <x:c r="AF52" s="87"/>
      <x:c r="AG52" s="87"/>
      <x:c r="AH52" s="87"/>
      <x:c r="AI52" s="30"/>
      <x:c r="AJ52" s="87" t="str">
        <x:v>master</x:v>
      </x:c>
      <x:c r="AK52" s="87" t="str">
        <x:v>master-v0.81</x:v>
      </x:c>
      <x:c r="AL52" s="87" t="str">
        <x:v>statgrad_master_base_v0_81_final(2).xlsx</x:v>
      </x:c>
      <x:c r="AM52" s="87" t="str">
        <x:v>RU_Jan_V2</x:v>
      </x:c>
      <x:c r="AN52" s="87" t="n">
        <x:v>25</x:v>
      </x:c>
    </x:row>
    <x:row r="53">
      <x:c r="A53" s="87" t="n">
        <x:v>52</x:v>
      </x:c>
      <x:c r="B53" s="87" t="str">
        <x:v>JAN-RU-V2-025</x:v>
      </x:c>
      <x:c r="C53" s="87" t="str">
        <x:v>СтатГрад</x:v>
      </x:c>
      <x:c r="D53" s="87" t="str">
        <x:v>Январь 2026</x:v>
      </x:c>
      <x:c r="E53" s="87"/>
      <x:c r="F53" s="87"/>
      <x:c r="G53" s="87" t="str">
        <x:v>Русский язык</x:v>
      </x:c>
      <x:c r="H53" s="87" t="n">
        <x:v>11</x:v>
      </x:c>
      <x:c r="I53" s="87" t="str">
        <x:v>ТР №3</x:v>
      </x:c>
      <x:c r="J53" s="87" t="str">
        <x:v>РЯ2510402</x:v>
      </x:c>
      <x:c r="K53" s="87" t="n">
        <x:v>25</x:v>
      </x:c>
      <x:c r="L53" s="87" t="str">
        <x:v>Фразеология</x:v>
      </x:c>
      <x:c r="M53" s="30" t="str">
        <x:v>Из предложений 57–63 выпишите один фразеологизм.</x:v>
      </x:c>
      <x:c r="N53" s="30" t="str">
        <x:v>по крайней мере</x:v>
      </x:c>
      <x:c r="O53" s="30" t="str">
        <x:v>Сочетание «по крайней мере» является устойчивым наречным оборотом со значением минимальной границы или ограничения.</x:v>
      </x:c>
      <x:c r="P53" s="30" t="str">
        <x:v>Выбран наиболее однозначный вариант из нескольких сочетаний, допущенных ключом.</x:v>
      </x:c>
      <x:c r="Q53" s="30"/>
      <x:c r="R53" s="30" t="str">
        <x:v>по крайней мере / дайте срок / дать срок / дал возможность / дать возможность</x:v>
      </x:c>
      <x:c r="S53" s="30"/>
      <x:c r="T53" s="30"/>
      <x:c r="U53" s="30" t="str">
        <x:v>Ключ допускает несколько ответов; выбран наиболее устойчивый и бесспорный.</x:v>
      </x:c>
      <x:c r="V53" s="87" t="str">
        <x:v>VERIFIED</x:v>
      </x:c>
      <x:c r="W53" s="87" t="n">
        <x:v>14</x:v>
      </x:c>
      <x:c r="X53" s="87"/>
      <x:c r="Y53" s="87"/>
      <x:c r="Z53" s="87"/>
      <x:c r="AA53" s="87"/>
      <x:c r="AB53" s="87"/>
      <x:c r="AC53" s="87"/>
      <x:c r="AD53" s="87"/>
      <x:c r="AE53" s="87"/>
      <x:c r="AF53" s="87"/>
      <x:c r="AG53" s="87"/>
      <x:c r="AH53" s="87"/>
      <x:c r="AI53" s="30"/>
      <x:c r="AJ53" s="87" t="str">
        <x:v>master</x:v>
      </x:c>
      <x:c r="AK53" s="87" t="str">
        <x:v>master-v0.81</x:v>
      </x:c>
      <x:c r="AL53" s="87" t="str">
        <x:v>statgrad_master_base_v0_81_final(2).xlsx</x:v>
      </x:c>
      <x:c r="AM53" s="87" t="str">
        <x:v>RU_Jan_V2</x:v>
      </x:c>
      <x:c r="AN53" s="87" t="n">
        <x:v>26</x:v>
      </x:c>
    </x:row>
    <x:row r="54">
      <x:c r="A54" s="87" t="n">
        <x:v>53</x:v>
      </x:c>
      <x:c r="B54" s="87" t="str">
        <x:v>JAN-RU-V2-026</x:v>
      </x:c>
      <x:c r="C54" s="87" t="str">
        <x:v>СтатГрад</x:v>
      </x:c>
      <x:c r="D54" s="87" t="str">
        <x:v>Январь 2026</x:v>
      </x:c>
      <x:c r="E54" s="87"/>
      <x:c r="F54" s="87"/>
      <x:c r="G54" s="87" t="str">
        <x:v>Русский язык</x:v>
      </x:c>
      <x:c r="H54" s="87" t="n">
        <x:v>11</x:v>
      </x:c>
      <x:c r="I54" s="87" t="str">
        <x:v>ТР №3</x:v>
      </x:c>
      <x:c r="J54" s="87" t="str">
        <x:v>РЯ2510402</x:v>
      </x:c>
      <x:c r="K54" s="87" t="n">
        <x:v>26</x:v>
      </x:c>
      <x:c r="L54" s="87" t="str">
        <x:v>Связь предложений</x:v>
      </x:c>
      <x:c r="M54" s="30" t="str">
        <x:v>Среди предложений 69–76 найдите предложение, связанное с предыдущим указательным местоимением и формой слова.</x:v>
      </x:c>
      <x:c r="N54" s="30" t="str">
        <x:v>73</x:v>
      </x:c>
      <x:c r="O54" s="30" t="str">
        <x:v>В предложении 73 словосочетание «этот документ» связано с предыдущим предложением: «этот» — указательное местоимение, а «документ» повторяет слово «документе» в другой форме.</x:v>
      </x:c>
      <x:c r="P54" s="30" t="str">
        <x:v>Проверены оба заявленных средства связи.</x:v>
      </x:c>
      <x:c r="Q54" s="30"/>
      <x:c r="R54" s="30" t="str">
        <x:v>73</x:v>
      </x:c>
      <x:c r="S54" s="30"/>
      <x:c r="T54" s="30"/>
      <x:c r="U54" s="30" t="str">
        <x:v>Расхождений нет.</x:v>
      </x:c>
      <x:c r="V54" s="87" t="str">
        <x:v>VERIFIED</x:v>
      </x:c>
      <x:c r="W54" s="87" t="n">
        <x:v>14</x:v>
      </x:c>
      <x:c r="X54" s="87"/>
      <x:c r="Y54" s="87"/>
      <x:c r="Z54" s="87"/>
      <x:c r="AA54" s="87"/>
      <x:c r="AB54" s="87"/>
      <x:c r="AC54" s="87"/>
      <x:c r="AD54" s="87"/>
      <x:c r="AE54" s="87"/>
      <x:c r="AF54" s="87"/>
      <x:c r="AG54" s="87"/>
      <x:c r="AH54" s="87"/>
      <x:c r="AI54" s="30"/>
      <x:c r="AJ54" s="87" t="str">
        <x:v>master</x:v>
      </x:c>
      <x:c r="AK54" s="87" t="str">
        <x:v>master-v0.81</x:v>
      </x:c>
      <x:c r="AL54" s="87" t="str">
        <x:v>statgrad_master_base_v0_81_final(2).xlsx</x:v>
      </x:c>
      <x:c r="AM54" s="87" t="str">
        <x:v>RU_Jan_V2</x:v>
      </x:c>
      <x:c r="AN54" s="87" t="n">
        <x:v>27</x:v>
      </x:c>
    </x:row>
    <x:row r="55">
      <x:c r="A55" s="87" t="n">
        <x:v>54</x:v>
      </x:c>
      <x:c r="B55" s="87" t="str">
        <x:v>JAN-RU-V2-027</x:v>
      </x:c>
      <x:c r="C55" s="87" t="str">
        <x:v>СтатГрад</x:v>
      </x:c>
      <x:c r="D55" s="87" t="str">
        <x:v>Январь 2026</x:v>
      </x:c>
      <x:c r="E55" s="87"/>
      <x:c r="F55" s="87"/>
      <x:c r="G55" s="87" t="str">
        <x:v>Русский язык</x:v>
      </x:c>
      <x:c r="H55" s="87" t="n">
        <x:v>11</x:v>
      </x:c>
      <x:c r="I55" s="87" t="str">
        <x:v>ТР №3</x:v>
      </x:c>
      <x:c r="J55" s="87" t="str">
        <x:v>РЯ2510402</x:v>
      </x:c>
      <x:c r="K55" s="87" t="n">
        <x:v>27</x:v>
      </x:c>
      <x:c r="L55" s="87" t="str">
        <x:v>Сочинение</x:v>
      </x:c>
      <x:c r="M55" s="30" t="str">
        <x:v>Напишите сочинение-рассуждение по проблеме «В чём выражается чувство собственного достоинства?». Критерии сохраняются без изменений.</x:v>
      </x:c>
      <x:c r="N55" s="30" t="str">
        <x:v>Авторская позиция: чувство собственного достоинства выражается в умении человека противостоять попыткам ему нагрубить, обидеть его, унизить и испугать.</x:v>
      </x:c>
      <x:c r="O55" s="30" t="str">
        <x:v>Ланцелот не поддаётся угрозам и демонстративному рёву Дракона, спокойно отстаивает право подготовиться к поединку и даже обвиняет врага в трусости. Его стойкость показывает, что достоинство связано с внутренней свободой и отказом унижаться перед силой.</x:v>
      </x:c>
      <x:c r="P55" s="30" t="str">
        <x:v>Авторская позиция сверена с таблицей «Информация о тексте» в критериях.</x:v>
      </x:c>
      <x:c r="Q55" s="30"/>
      <x:c r="R55" s="30" t="str">
        <x:v>Критерии + авторская позиция</x:v>
      </x:c>
      <x:c r="S55" s="30"/>
      <x:c r="T55" s="30"/>
      <x:c r="U55" s="30" t="str">
        <x:v>Критерии перенесены на отдельный лист без редактирования.</x:v>
      </x:c>
      <x:c r="V55" s="87" t="str">
        <x:v>VERIFIED</x:v>
      </x:c>
      <x:c r="W55" s="87" t="n">
        <x:v>15</x:v>
      </x:c>
      <x:c r="X55" s="87"/>
      <x:c r="Y55" s="87"/>
      <x:c r="Z55" s="87"/>
      <x:c r="AA55" s="87"/>
      <x:c r="AB55" s="87"/>
      <x:c r="AC55" s="87"/>
      <x:c r="AD55" s="87"/>
      <x:c r="AE55" s="87"/>
      <x:c r="AF55" s="87"/>
      <x:c r="AG55" s="87"/>
      <x:c r="AH55" s="87"/>
      <x:c r="AI55" s="30"/>
      <x:c r="AJ55" s="87" t="str">
        <x:v>master</x:v>
      </x:c>
      <x:c r="AK55" s="87" t="str">
        <x:v>master-v0.81</x:v>
      </x:c>
      <x:c r="AL55" s="87" t="str">
        <x:v>statgrad_master_base_v0_81_final(2).xlsx</x:v>
      </x:c>
      <x:c r="AM55" s="87" t="str">
        <x:v>RU_Jan_V2</x:v>
      </x:c>
      <x:c r="AN55" s="87" t="n">
        <x:v>28</x:v>
      </x:c>
    </x:row>
    <x:row r="56">
      <x:c r="A56" s="87" t="n">
        <x:v>55</x:v>
      </x:c>
      <x:c r="B56" s="87" t="str">
        <x:v>JAN-CH-V1-001</x:v>
      </x:c>
      <x:c r="C56" s="87" t="str">
        <x:v>СтатГрад</x:v>
      </x:c>
      <x:c r="D56" s="87" t="str">
        <x:v>Январь 2026</x:v>
      </x:c>
      <x:c r="E56" s="87"/>
      <x:c r="F56" s="87"/>
      <x:c r="G56" s="87" t="str">
        <x:v>Химия</x:v>
      </x:c>
      <x:c r="H56" s="87" t="n">
        <x:v>11</x:v>
      </x:c>
      <x:c r="I56" s="87" t="str">
        <x:v>ТР №3</x:v>
      </x:c>
      <x:c r="J56" s="87" t="str">
        <x:v>ХИ2510301</x:v>
      </x:c>
      <x:c r="K56" s="87" t="n">
        <x:v>1</x:v>
      </x:c>
      <x:c r="L56" s="87" t="str">
        <x:v>Строение атома</x:v>
      </x:c>
      <x:c r="M56" s="30" t="str">
        <x:v>Из ряда Na, Be, Al, Sn, P выберите два элемента, у которых число электронов на внешнем уровне совпадает с номером периода.</x:v>
      </x:c>
      <x:c r="N56" s="30" t="str">
        <x:v>23</x:v>
      </x:c>
      <x:c r="O56" s="30" t="str">
        <x:v>Be находится во 2-м периоде и имеет 2 внешних электрона; Al находится в 3-м периоде и имеет 3 внешних электрона.</x:v>
      </x:c>
      <x:c r="P56" s="30" t="str">
        <x:v>Проверены электронные конфигурации и номера периодов.</x:v>
      </x:c>
      <x:c r="Q56" s="30"/>
      <x:c r="R56" s="30" t="str">
        <x:v>23</x:v>
      </x:c>
      <x:c r="S56" s="30"/>
      <x:c r="T56" s="30"/>
      <x:c r="U56" s="30" t="str">
        <x:v>Расхождений нет.</x:v>
      </x:c>
      <x:c r="V56" s="87" t="str">
        <x:v>VERIFIED</x:v>
      </x:c>
      <x:c r="W56" s="87" t="n">
        <x:v>2</x:v>
      </x:c>
      <x:c r="X56" s="87"/>
      <x:c r="Y56" s="87"/>
      <x:c r="Z56" s="87"/>
      <x:c r="AA56" s="87"/>
      <x:c r="AB56" s="87"/>
      <x:c r="AC56" s="87"/>
      <x:c r="AD56" s="87"/>
      <x:c r="AE56" s="87"/>
      <x:c r="AF56" s="87"/>
      <x:c r="AG56" s="87"/>
      <x:c r="AH56" s="87"/>
      <x:c r="AI56" s="30"/>
      <x:c r="AJ56" s="87" t="str">
        <x:v>master</x:v>
      </x:c>
      <x:c r="AK56" s="87" t="str">
        <x:v>master-v0.81</x:v>
      </x:c>
      <x:c r="AL56" s="87" t="str">
        <x:v>statgrad_master_base_v0_81_final(2).xlsx</x:v>
      </x:c>
      <x:c r="AM56" s="87" t="str">
        <x:v>CH_Jan_V1</x:v>
      </x:c>
      <x:c r="AN56" s="87" t="n">
        <x:v>2</x:v>
      </x:c>
    </x:row>
    <x:row r="57">
      <x:c r="A57" s="87" t="n">
        <x:v>56</x:v>
      </x:c>
      <x:c r="B57" s="87" t="str">
        <x:v>JAN-CH-V1-002</x:v>
      </x:c>
      <x:c r="C57" s="87" t="str">
        <x:v>СтатГрад</x:v>
      </x:c>
      <x:c r="D57" s="87" t="str">
        <x:v>Январь 2026</x:v>
      </x:c>
      <x:c r="E57" s="87"/>
      <x:c r="F57" s="87"/>
      <x:c r="G57" s="87" t="str">
        <x:v>Химия</x:v>
      </x:c>
      <x:c r="H57" s="87" t="n">
        <x:v>11</x:v>
      </x:c>
      <x:c r="I57" s="87" t="str">
        <x:v>ТР №3</x:v>
      </x:c>
      <x:c r="J57" s="87" t="str">
        <x:v>ХИ2510301</x:v>
      </x:c>
      <x:c r="K57" s="87" t="n">
        <x:v>2</x:v>
      </x:c>
      <x:c r="L57" s="87" t="str">
        <x:v>Периодические свойства</x:v>
      </x:c>
      <x:c r="M57" s="30" t="str">
        <x:v>Из ряда Na, Be, Al, Sn, P выберите три элемента одного периода и расположите их по возрастанию кислотности высших оксидов.</x:v>
      </x:c>
      <x:c r="N57" s="30" t="str">
        <x:v>135</x:v>
      </x:c>
      <x:c r="O57" s="30" t="str">
        <x:v>Na, Al и P относятся к 3-му периоду. Кислотность оксидов возрастает в ряду Na2O &lt; Al2O3 &lt; P2O5.</x:v>
      </x:c>
      <x:c r="P57" s="30" t="str">
        <x:v>Сопоставлены характер высших оксидов и положение элементов в периоде.</x:v>
      </x:c>
      <x:c r="Q57" s="30"/>
      <x:c r="R57" s="30" t="str">
        <x:v>135</x:v>
      </x:c>
      <x:c r="S57" s="30"/>
      <x:c r="T57" s="30"/>
      <x:c r="U57" s="30" t="str">
        <x:v>Расхождений нет.</x:v>
      </x:c>
      <x:c r="V57" s="87" t="str">
        <x:v>VERIFIED</x:v>
      </x:c>
      <x:c r="W57" s="87" t="n">
        <x:v>2</x:v>
      </x:c>
      <x:c r="X57" s="87"/>
      <x:c r="Y57" s="87"/>
      <x:c r="Z57" s="87"/>
      <x:c r="AA57" s="87"/>
      <x:c r="AB57" s="87"/>
      <x:c r="AC57" s="87"/>
      <x:c r="AD57" s="87"/>
      <x:c r="AE57" s="87"/>
      <x:c r="AF57" s="87"/>
      <x:c r="AG57" s="87"/>
      <x:c r="AH57" s="87"/>
      <x:c r="AI57" s="30"/>
      <x:c r="AJ57" s="87" t="str">
        <x:v>master</x:v>
      </x:c>
      <x:c r="AK57" s="87" t="str">
        <x:v>master-v0.81</x:v>
      </x:c>
      <x:c r="AL57" s="87" t="str">
        <x:v>statgrad_master_base_v0_81_final(2).xlsx</x:v>
      </x:c>
      <x:c r="AM57" s="87" t="str">
        <x:v>CH_Jan_V1</x:v>
      </x:c>
      <x:c r="AN57" s="87" t="n">
        <x:v>3</x:v>
      </x:c>
    </x:row>
    <x:row r="58">
      <x:c r="A58" s="87" t="n">
        <x:v>57</x:v>
      </x:c>
      <x:c r="B58" s="87" t="str">
        <x:v>JAN-CH-V1-003</x:v>
      </x:c>
      <x:c r="C58" s="87" t="str">
        <x:v>СтатГрад</x:v>
      </x:c>
      <x:c r="D58" s="87" t="str">
        <x:v>Январь 2026</x:v>
      </x:c>
      <x:c r="E58" s="87"/>
      <x:c r="F58" s="87"/>
      <x:c r="G58" s="87" t="str">
        <x:v>Химия</x:v>
      </x:c>
      <x:c r="H58" s="87" t="n">
        <x:v>11</x:v>
      </x:c>
      <x:c r="I58" s="87" t="str">
        <x:v>ТР №3</x:v>
      </x:c>
      <x:c r="J58" s="87" t="str">
        <x:v>ХИ2510301</x:v>
      </x:c>
      <x:c r="K58" s="87" t="n">
        <x:v>3</x:v>
      </x:c>
      <x:c r="L58" s="87" t="str">
        <x:v>Состав ионов</x:v>
      </x:c>
      <x:c r="M58" s="30" t="str">
        <x:v>Из ряда Na, Be, Al, Sn, P выберите два элемента, входящих в состав анионов вида ЭO2^n−.</x:v>
      </x:c>
      <x:c r="N58" s="30" t="str">
        <x:v>23</x:v>
      </x:c>
      <x:c r="O58" s="30" t="str">
        <x:v>Бериллий и алюминий образуют кислородсодержащие анионы с фрагментом ЭO2: бериллаты и алюминаты.</x:v>
      </x:c>
      <x:c r="P58" s="30" t="str">
        <x:v>Проверены типичные кислородсодержащие анионы выбранных элементов.</x:v>
      </x:c>
      <x:c r="Q58" s="30"/>
      <x:c r="R58" s="30" t="str">
        <x:v>23</x:v>
      </x:c>
      <x:c r="S58" s="30"/>
      <x:c r="T58" s="30"/>
      <x:c r="U58" s="30" t="str">
        <x:v>Расхождений нет.</x:v>
      </x:c>
      <x:c r="V58" s="87" t="str">
        <x:v>VERIFIED</x:v>
      </x:c>
      <x:c r="W58" s="87" t="n">
        <x:v>2</x:v>
      </x:c>
      <x:c r="X58" s="87"/>
      <x:c r="Y58" s="87"/>
      <x:c r="Z58" s="87"/>
      <x:c r="AA58" s="87"/>
      <x:c r="AB58" s="87"/>
      <x:c r="AC58" s="87"/>
      <x:c r="AD58" s="87"/>
      <x:c r="AE58" s="87"/>
      <x:c r="AF58" s="87"/>
      <x:c r="AG58" s="87"/>
      <x:c r="AH58" s="87"/>
      <x:c r="AI58" s="30"/>
      <x:c r="AJ58" s="87" t="str">
        <x:v>master</x:v>
      </x:c>
      <x:c r="AK58" s="87" t="str">
        <x:v>master-v0.81</x:v>
      </x:c>
      <x:c r="AL58" s="87" t="str">
        <x:v>statgrad_master_base_v0_81_final(2).xlsx</x:v>
      </x:c>
      <x:c r="AM58" s="87" t="str">
        <x:v>CH_Jan_V1</x:v>
      </x:c>
      <x:c r="AN58" s="87" t="n">
        <x:v>4</x:v>
      </x:c>
    </x:row>
    <x:row r="59">
      <x:c r="A59" s="87" t="n">
        <x:v>58</x:v>
      </x:c>
      <x:c r="B59" s="87" t="str">
        <x:v>JAN-CH-V1-004</x:v>
      </x:c>
      <x:c r="C59" s="87" t="str">
        <x:v>СтатГрад</x:v>
      </x:c>
      <x:c r="D59" s="87" t="str">
        <x:v>Январь 2026</x:v>
      </x:c>
      <x:c r="E59" s="87"/>
      <x:c r="F59" s="87"/>
      <x:c r="G59" s="87" t="str">
        <x:v>Химия</x:v>
      </x:c>
      <x:c r="H59" s="87" t="n">
        <x:v>11</x:v>
      </x:c>
      <x:c r="I59" s="87" t="str">
        <x:v>ТР №3</x:v>
      </x:c>
      <x:c r="J59" s="87" t="str">
        <x:v>ХИ2510301</x:v>
      </x:c>
      <x:c r="K59" s="87" t="n">
        <x:v>4</x:v>
      </x:c>
      <x:c r="L59" s="87" t="str">
        <x:v>Химическая связь</x:v>
      </x:c>
      <x:c r="M59" s="30" t="str">
        <x:v>Выберите два вещества, в молекулах которых все ковалентные связи одинарные: C2H4, C3H8, CH2O, H2SO4, PF3.</x:v>
      </x:c>
      <x:c r="N59" s="30" t="str">
        <x:v>25</x:v>
      </x:c>
      <x:c r="O59" s="30" t="str">
        <x:v>В C3H8 присутствуют только связи C–C и C–H, а в PF3 — только одинарные связи P–F. В остальных молекулах есть кратные связи.</x:v>
      </x:c>
      <x:c r="P59" s="30" t="str">
        <x:v>Структурные формулы восстановлены для каждого вещества.</x:v>
      </x:c>
      <x:c r="Q59" s="30"/>
      <x:c r="R59" s="30" t="str">
        <x:v>25</x:v>
      </x:c>
      <x:c r="S59" s="30"/>
      <x:c r="T59" s="30"/>
      <x:c r="U59" s="30" t="str">
        <x:v>Расхождений нет.</x:v>
      </x:c>
      <x:c r="V59" s="87" t="str">
        <x:v>VERIFIED</x:v>
      </x:c>
      <x:c r="W59" s="87" t="n">
        <x:v>3</x:v>
      </x:c>
      <x:c r="X59" s="87"/>
      <x:c r="Y59" s="87"/>
      <x:c r="Z59" s="87"/>
      <x:c r="AA59" s="87"/>
      <x:c r="AB59" s="87"/>
      <x:c r="AC59" s="87"/>
      <x:c r="AD59" s="87"/>
      <x:c r="AE59" s="87"/>
      <x:c r="AF59" s="87"/>
      <x:c r="AG59" s="87"/>
      <x:c r="AH59" s="87"/>
      <x:c r="AI59" s="30"/>
      <x:c r="AJ59" s="87" t="str">
        <x:v>master</x:v>
      </x:c>
      <x:c r="AK59" s="87" t="str">
        <x:v>master-v0.81</x:v>
      </x:c>
      <x:c r="AL59" s="87" t="str">
        <x:v>statgrad_master_base_v0_81_final(2).xlsx</x:v>
      </x:c>
      <x:c r="AM59" s="87" t="str">
        <x:v>CH_Jan_V1</x:v>
      </x:c>
      <x:c r="AN59" s="87" t="n">
        <x:v>5</x:v>
      </x:c>
    </x:row>
    <x:row r="60">
      <x:c r="A60" s="87" t="n">
        <x:v>59</x:v>
      </x:c>
      <x:c r="B60" s="87" t="str">
        <x:v>JAN-CH-V1-005</x:v>
      </x:c>
      <x:c r="C60" s="87" t="str">
        <x:v>СтатГрад</x:v>
      </x:c>
      <x:c r="D60" s="87" t="str">
        <x:v>Январь 2026</x:v>
      </x:c>
      <x:c r="E60" s="87"/>
      <x:c r="F60" s="87"/>
      <x:c r="G60" s="87" t="str">
        <x:v>Химия</x:v>
      </x:c>
      <x:c r="H60" s="87" t="n">
        <x:v>11</x:v>
      </x:c>
      <x:c r="I60" s="87" t="str">
        <x:v>ТР №3</x:v>
      </x:c>
      <x:c r="J60" s="87" t="str">
        <x:v>ХИ2510301</x:v>
      </x:c>
      <x:c r="K60" s="87" t="n">
        <x:v>5</x:v>
      </x:c>
      <x:c r="L60" s="87" t="str">
        <x:v>Классы неорганических веществ</x:v>
      </x:c>
      <x:c r="M60" s="30" t="str">
        <x:v>По таблице выберите кислотный оксид, кислую соль и кристаллогидрат.</x:v>
      </x:c>
      <x:c r="N60" s="30" t="str">
        <x:v>186</x:v>
      </x:c>
      <x:c r="O60" s="30" t="str">
        <x:v>Хромовый ангидрид CrO3 — кислотный оксид; NH4HCO3 — кислая соль; железный купорос — кристаллогидрат.</x:v>
      </x:c>
      <x:c r="P60" s="30" t="str">
        <x:v>Каждое вещество классифицировано по составу и названию.</x:v>
      </x:c>
      <x:c r="Q60" s="30"/>
      <x:c r="R60" s="30" t="str">
        <x:v>186</x:v>
      </x:c>
      <x:c r="S60" s="30"/>
      <x:c r="T60" s="30"/>
      <x:c r="U60" s="30" t="str">
        <x:v>Расхождений нет.</x:v>
      </x:c>
      <x:c r="V60" s="87" t="str">
        <x:v>VERIFIED</x:v>
      </x:c>
      <x:c r="W60" s="87" t="n">
        <x:v>3</x:v>
      </x:c>
      <x:c r="X60" s="87"/>
      <x:c r="Y60" s="87"/>
      <x:c r="Z60" s="87"/>
      <x:c r="AA60" s="87"/>
      <x:c r="AB60" s="87"/>
      <x:c r="AC60" s="87"/>
      <x:c r="AD60" s="87"/>
      <x:c r="AE60" s="87"/>
      <x:c r="AF60" s="87"/>
      <x:c r="AG60" s="87"/>
      <x:c r="AH60" s="87"/>
      <x:c r="AI60" s="30"/>
      <x:c r="AJ60" s="87" t="str">
        <x:v>master</x:v>
      </x:c>
      <x:c r="AK60" s="87" t="str">
        <x:v>master-v0.81</x:v>
      </x:c>
      <x:c r="AL60" s="87" t="str">
        <x:v>statgrad_master_base_v0_81_final(2).xlsx</x:v>
      </x:c>
      <x:c r="AM60" s="87" t="str">
        <x:v>CH_Jan_V1</x:v>
      </x:c>
      <x:c r="AN60" s="87" t="n">
        <x:v>6</x:v>
      </x:c>
    </x:row>
    <x:row r="61">
      <x:c r="A61" s="87" t="n">
        <x:v>60</x:v>
      </x:c>
      <x:c r="B61" s="87" t="str">
        <x:v>JAN-CH-V1-006</x:v>
      </x:c>
      <x:c r="C61" s="87" t="str">
        <x:v>СтатГрад</x:v>
      </x:c>
      <x:c r="D61" s="87" t="str">
        <x:v>Январь 2026</x:v>
      </x:c>
      <x:c r="E61" s="87"/>
      <x:c r="F61" s="87"/>
      <x:c r="G61" s="87" t="str">
        <x:v>Химия</x:v>
      </x:c>
      <x:c r="H61" s="87" t="n">
        <x:v>11</x:v>
      </x:c>
      <x:c r="I61" s="87" t="str">
        <x:v>ТР №3</x:v>
      </x:c>
      <x:c r="J61" s="87" t="str">
        <x:v>ХИ2510301</x:v>
      </x:c>
      <x:c r="K61" s="87" t="n">
        <x:v>6</x:v>
      </x:c>
      <x:c r="L61" s="87" t="str">
        <x:v>Качественные реакции</x:v>
      </x:c>
      <x:c r="M61" s="30" t="str">
        <x:v>К раствору ZnSO4 добавляют избыток X или Y. С X выпадает белый нерастворимый осадок; с Y осадок растворяется в избытке. Газ не выделяется.</x:v>
      </x:c>
      <x:c r="N61" s="30" t="str">
        <x:v>41</x:v>
      </x:c>
      <x:c r="O61" s="30" t="str">
        <x:v>(NH4)2S осаждает белый ZnS, не растворяющийся в избытке. NH3 сначала образует Zn(OH)2, затем растворяет его с образованием амминокомплекса.</x:v>
      </x:c>
      <x:c r="P61" s="30" t="str">
        <x:v>Составлены схемы осаждения ZnS и комплексообразования Zn(II) с NH3.</x:v>
      </x:c>
      <x:c r="Q61" s="30"/>
      <x:c r="R61" s="30" t="str">
        <x:v>41</x:v>
      </x:c>
      <x:c r="S61" s="30"/>
      <x:c r="T61" s="30"/>
      <x:c r="U61" s="30" t="str">
        <x:v>Расхождений нет.</x:v>
      </x:c>
      <x:c r="V61" s="87" t="str">
        <x:v>VERIFIED</x:v>
      </x:c>
      <x:c r="W61" s="87" t="n">
        <x:v>4</x:v>
      </x:c>
      <x:c r="X61" s="87"/>
      <x:c r="Y61" s="87"/>
      <x:c r="Z61" s="87"/>
      <x:c r="AA61" s="87"/>
      <x:c r="AB61" s="87"/>
      <x:c r="AC61" s="87"/>
      <x:c r="AD61" s="87"/>
      <x:c r="AE61" s="87"/>
      <x:c r="AF61" s="87"/>
      <x:c r="AG61" s="87"/>
      <x:c r="AH61" s="87"/>
      <x:c r="AI61" s="30"/>
      <x:c r="AJ61" s="87" t="str">
        <x:v>master</x:v>
      </x:c>
      <x:c r="AK61" s="87" t="str">
        <x:v>master-v0.81</x:v>
      </x:c>
      <x:c r="AL61" s="87" t="str">
        <x:v>statgrad_master_base_v0_81_final(2).xlsx</x:v>
      </x:c>
      <x:c r="AM61" s="87" t="str">
        <x:v>CH_Jan_V1</x:v>
      </x:c>
      <x:c r="AN61" s="87" t="n">
        <x:v>7</x:v>
      </x:c>
    </x:row>
    <x:row r="62">
      <x:c r="A62" s="87" t="n">
        <x:v>61</x:v>
      </x:c>
      <x:c r="B62" s="87" t="str">
        <x:v>JAN-CH-V1-007</x:v>
      </x:c>
      <x:c r="C62" s="87" t="str">
        <x:v>СтатГрад</x:v>
      </x:c>
      <x:c r="D62" s="87" t="str">
        <x:v>Январь 2026</x:v>
      </x:c>
      <x:c r="E62" s="87"/>
      <x:c r="F62" s="87"/>
      <x:c r="G62" s="87" t="str">
        <x:v>Химия</x:v>
      </x:c>
      <x:c r="H62" s="87" t="n">
        <x:v>11</x:v>
      </x:c>
      <x:c r="I62" s="87" t="str">
        <x:v>ТР №3</x:v>
      </x:c>
      <x:c r="J62" s="87" t="str">
        <x:v>ХИ2510301</x:v>
      </x:c>
      <x:c r="K62" s="87" t="n">
        <x:v>7</x:v>
      </x:c>
      <x:c r="L62" s="87" t="str">
        <x:v>Химические свойства</x:v>
      </x:c>
      <x:c r="M62" s="30" t="str">
        <x:v>Соотнесите S, SiO2, Na2CO3 и Mg с наборами реагентов, с каждым из которых вещество взаимодействует.</x:v>
      </x:c>
      <x:c r="N62" s="30" t="str">
        <x:v>3524</x:v>
      </x:c>
      <x:c r="O62" s="30" t="str">
        <x:v>S реагирует с Fe, NaOH и Cl2; SiO2 — с C, NaOH и HF; Na2CO3 — с HCl, BaCl2 и AlCl3; Mg — с H2SO4, CO2 и N2.</x:v>
      </x:c>
      <x:c r="P62" s="30" t="str">
        <x:v>Для каждого набора проверена возможность всех трёх реакций.</x:v>
      </x:c>
      <x:c r="Q62" s="30"/>
      <x:c r="R62" s="30" t="str">
        <x:v>3524</x:v>
      </x:c>
      <x:c r="S62" s="30"/>
      <x:c r="T62" s="30"/>
      <x:c r="U62" s="30" t="str">
        <x:v>Расхождений нет.</x:v>
      </x:c>
      <x:c r="V62" s="87" t="str">
        <x:v>VERIFIED</x:v>
      </x:c>
      <x:c r="W62" s="87" t="n">
        <x:v>4</x:v>
      </x:c>
      <x:c r="X62" s="87"/>
      <x:c r="Y62" s="87"/>
      <x:c r="Z62" s="87"/>
      <x:c r="AA62" s="87"/>
      <x:c r="AB62" s="87"/>
      <x:c r="AC62" s="87"/>
      <x:c r="AD62" s="87"/>
      <x:c r="AE62" s="87"/>
      <x:c r="AF62" s="87"/>
      <x:c r="AG62" s="87"/>
      <x:c r="AH62" s="87"/>
      <x:c r="AI62" s="30"/>
      <x:c r="AJ62" s="87" t="str">
        <x:v>master</x:v>
      </x:c>
      <x:c r="AK62" s="87" t="str">
        <x:v>master-v0.81</x:v>
      </x:c>
      <x:c r="AL62" s="87" t="str">
        <x:v>statgrad_master_base_v0_81_final(2).xlsx</x:v>
      </x:c>
      <x:c r="AM62" s="87" t="str">
        <x:v>CH_Jan_V1</x:v>
      </x:c>
      <x:c r="AN62" s="87" t="n">
        <x:v>8</x:v>
      </x:c>
    </x:row>
    <x:row r="63">
      <x:c r="A63" s="87" t="n">
        <x:v>62</x:v>
      </x:c>
      <x:c r="B63" s="87" t="str">
        <x:v>JAN-CH-V1-008</x:v>
      </x:c>
      <x:c r="C63" s="87" t="str">
        <x:v>СтатГрад</x:v>
      </x:c>
      <x:c r="D63" s="87" t="str">
        <x:v>Январь 2026</x:v>
      </x:c>
      <x:c r="E63" s="87"/>
      <x:c r="F63" s="87"/>
      <x:c r="G63" s="87" t="str">
        <x:v>Химия</x:v>
      </x:c>
      <x:c r="H63" s="87" t="n">
        <x:v>11</x:v>
      </x:c>
      <x:c r="I63" s="87" t="str">
        <x:v>ТР №3</x:v>
      </x:c>
      <x:c r="J63" s="87" t="str">
        <x:v>ХИ2510301</x:v>
      </x:c>
      <x:c r="K63" s="87" t="n">
        <x:v>8</x:v>
      </x:c>
      <x:c r="L63" s="87" t="str">
        <x:v>Неорганические реакции</x:v>
      </x:c>
      <x:c r="M63" s="30" t="str">
        <x:v>Соотнесите четыре пары реагентов с продуктами: Al + HNO3(разб.); Al + HNO3(конц., нагрев); Al2O3 + HNO3; KNO3 + Al + KOH + H2O.</x:v>
      </x:c>
      <x:c r="N63" s="30" t="str">
        <x:v>6542</x:v>
      </x:c>
      <x:c r="O63" s="30" t="str">
        <x:v>Разбавленная HNO3 с активным Al может восстанавливаться до NH4NO3; горячая концентрированная — до NO2. Al2O3 даёт нитрат и воду, а нитрат в щелочной среде восстанавливается алюминием до NH3.</x:v>
      </x:c>
      <x:c r="P63" s="30" t="str">
        <x:v>Уравнения проверены по продуктам восстановления азота и амфотерности Al.</x:v>
      </x:c>
      <x:c r="Q63" s="30"/>
      <x:c r="R63" s="30" t="str">
        <x:v>6542</x:v>
      </x:c>
      <x:c r="S63" s="30"/>
      <x:c r="T63" s="30"/>
      <x:c r="U63" s="30" t="str">
        <x:v>Расхождений нет.</x:v>
      </x:c>
      <x:c r="V63" s="87" t="str">
        <x:v>VERIFIED</x:v>
      </x:c>
      <x:c r="W63" s="87" t="n">
        <x:v>5</x:v>
      </x:c>
      <x:c r="X63" s="87"/>
      <x:c r="Y63" s="87"/>
      <x:c r="Z63" s="87"/>
      <x:c r="AA63" s="87"/>
      <x:c r="AB63" s="87"/>
      <x:c r="AC63" s="87"/>
      <x:c r="AD63" s="87"/>
      <x:c r="AE63" s="87"/>
      <x:c r="AF63" s="87"/>
      <x:c r="AG63" s="87"/>
      <x:c r="AH63" s="87"/>
      <x:c r="AI63" s="30"/>
      <x:c r="AJ63" s="87" t="str">
        <x:v>master</x:v>
      </x:c>
      <x:c r="AK63" s="87" t="str">
        <x:v>master-v0.81</x:v>
      </x:c>
      <x:c r="AL63" s="87" t="str">
        <x:v>statgrad_master_base_v0_81_final(2).xlsx</x:v>
      </x:c>
      <x:c r="AM63" s="87" t="str">
        <x:v>CH_Jan_V1</x:v>
      </x:c>
      <x:c r="AN63" s="87" t="n">
        <x:v>9</x:v>
      </x:c>
    </x:row>
    <x:row r="64">
      <x:c r="A64" s="87" t="n">
        <x:v>63</x:v>
      </x:c>
      <x:c r="B64" s="87" t="str">
        <x:v>JAN-CH-V1-009</x:v>
      </x:c>
      <x:c r="C64" s="87" t="str">
        <x:v>СтатГрад</x:v>
      </x:c>
      <x:c r="D64" s="87" t="str">
        <x:v>Январь 2026</x:v>
      </x:c>
      <x:c r="E64" s="87"/>
      <x:c r="F64" s="87"/>
      <x:c r="G64" s="87" t="str">
        <x:v>Химия</x:v>
      </x:c>
      <x:c r="H64" s="87" t="n">
        <x:v>11</x:v>
      </x:c>
      <x:c r="I64" s="87" t="str">
        <x:v>ТР №3</x:v>
      </x:c>
      <x:c r="J64" s="87" t="str">
        <x:v>ХИ2510301</x:v>
      </x:c>
      <x:c r="K64" s="87" t="n">
        <x:v>9</x:v>
      </x:c>
      <x:c r="L64" s="87" t="str">
        <x:v>Цепочка превращений</x:v>
      </x:c>
      <x:c r="M64" s="30" t="str">
        <x:v>Определите X и Y в цепочке SiO2 → Si → Na2SiO3.</x:v>
      </x:c>
      <x:c r="N64" s="30" t="str">
        <x:v>25</x:v>
      </x:c>
      <x:c r="O64" s="30" t="str">
        <x:v>SiO2 восстанавливают углеродом до Si, а кремний реагирует со щёлочью с образованием Na2SiO3 и H2.</x:v>
      </x:c>
      <x:c r="P64" s="30" t="str">
        <x:v>Проверены уравнения восстановления и взаимодействия Si с NaOH.</x:v>
      </x:c>
      <x:c r="Q64" s="30"/>
      <x:c r="R64" s="30" t="str">
        <x:v>25</x:v>
      </x:c>
      <x:c r="S64" s="30"/>
      <x:c r="T64" s="30"/>
      <x:c r="U64" s="30" t="str">
        <x:v>Расхождений нет.</x:v>
      </x:c>
      <x:c r="V64" s="87" t="str">
        <x:v>VERIFIED</x:v>
      </x:c>
      <x:c r="W64" s="87" t="n">
        <x:v>5</x:v>
      </x:c>
      <x:c r="X64" s="87"/>
      <x:c r="Y64" s="87"/>
      <x:c r="Z64" s="87"/>
      <x:c r="AA64" s="87"/>
      <x:c r="AB64" s="87"/>
      <x:c r="AC64" s="87"/>
      <x:c r="AD64" s="87"/>
      <x:c r="AE64" s="87"/>
      <x:c r="AF64" s="87"/>
      <x:c r="AG64" s="87"/>
      <x:c r="AH64" s="87"/>
      <x:c r="AI64" s="30"/>
      <x:c r="AJ64" s="87" t="str">
        <x:v>master</x:v>
      </x:c>
      <x:c r="AK64" s="87" t="str">
        <x:v>master-v0.81</x:v>
      </x:c>
      <x:c r="AL64" s="87" t="str">
        <x:v>statgrad_master_base_v0_81_final(2).xlsx</x:v>
      </x:c>
      <x:c r="AM64" s="87" t="str">
        <x:v>CH_Jan_V1</x:v>
      </x:c>
      <x:c r="AN64" s="87" t="n">
        <x:v>10</x:v>
      </x:c>
    </x:row>
    <x:row r="65">
      <x:c r="A65" s="87" t="n">
        <x:v>64</x:v>
      </x:c>
      <x:c r="B65" s="87" t="str">
        <x:v>JAN-CH-V1-010</x:v>
      </x:c>
      <x:c r="C65" s="87" t="str">
        <x:v>СтатГрад</x:v>
      </x:c>
      <x:c r="D65" s="87" t="str">
        <x:v>Январь 2026</x:v>
      </x:c>
      <x:c r="E65" s="87"/>
      <x:c r="F65" s="87"/>
      <x:c r="G65" s="87" t="str">
        <x:v>Химия</x:v>
      </x:c>
      <x:c r="H65" s="87" t="n">
        <x:v>11</x:v>
      </x:c>
      <x:c r="I65" s="87" t="str">
        <x:v>ТР №3</x:v>
      </x:c>
      <x:c r="J65" s="87" t="str">
        <x:v>ХИ2510301</x:v>
      </x:c>
      <x:c r="K65" s="87" t="n">
        <x:v>10</x:v>
      </x:c>
      <x:c r="L65" s="87" t="str">
        <x:v>Общие формулы органических веществ</x:v>
      </x:c>
      <x:c r="M65" s="30" t="str">
        <x:v>Соотнесите этилциклопентан, 2-метилгексадиен-1,4 и 2,3,4-триметилдекан с общими формулами классов.</x:v>
      </x:c>
      <x:c r="N65" s="30" t="str">
        <x:v>324</x:v>
      </x:c>
      <x:c r="O65" s="30" t="str">
        <x:v>Моноциклоалкан соответствует CnH2n, диен — CnH2n−2, алкан — CnH2n+2.</x:v>
      </x:c>
      <x:c r="P65" s="30" t="str">
        <x:v>Подсчитана степень ненасыщенности каждого соединения.</x:v>
      </x:c>
      <x:c r="Q65" s="30"/>
      <x:c r="R65" s="30" t="str">
        <x:v>324</x:v>
      </x:c>
      <x:c r="S65" s="30"/>
      <x:c r="T65" s="30"/>
      <x:c r="U65" s="30" t="str">
        <x:v>Расхождений нет.</x:v>
      </x:c>
      <x:c r="V65" s="87" t="str">
        <x:v>VERIFIED</x:v>
      </x:c>
      <x:c r="W65" s="87" t="n">
        <x:v>6</x:v>
      </x:c>
      <x:c r="X65" s="87"/>
      <x:c r="Y65" s="87"/>
      <x:c r="Z65" s="87"/>
      <x:c r="AA65" s="87"/>
      <x:c r="AB65" s="87"/>
      <x:c r="AC65" s="87"/>
      <x:c r="AD65" s="87"/>
      <x:c r="AE65" s="87"/>
      <x:c r="AF65" s="87"/>
      <x:c r="AG65" s="87"/>
      <x:c r="AH65" s="87"/>
      <x:c r="AI65" s="30"/>
      <x:c r="AJ65" s="87" t="str">
        <x:v>master</x:v>
      </x:c>
      <x:c r="AK65" s="87" t="str">
        <x:v>master-v0.81</x:v>
      </x:c>
      <x:c r="AL65" s="87" t="str">
        <x:v>statgrad_master_base_v0_81_final(2).xlsx</x:v>
      </x:c>
      <x:c r="AM65" s="87" t="str">
        <x:v>CH_Jan_V1</x:v>
      </x:c>
      <x:c r="AN65" s="87" t="n">
        <x:v>11</x:v>
      </x:c>
    </x:row>
    <x:row r="66">
      <x:c r="A66" s="87" t="n">
        <x:v>65</x:v>
      </x:c>
      <x:c r="B66" s="87" t="str">
        <x:v>JAN-CH-V1-011</x:v>
      </x:c>
      <x:c r="C66" s="87" t="str">
        <x:v>СтатГрад</x:v>
      </x:c>
      <x:c r="D66" s="87" t="str">
        <x:v>Январь 2026</x:v>
      </x:c>
      <x:c r="E66" s="87"/>
      <x:c r="F66" s="87"/>
      <x:c r="G66" s="87" t="str">
        <x:v>Химия</x:v>
      </x:c>
      <x:c r="H66" s="87" t="n">
        <x:v>11</x:v>
      </x:c>
      <x:c r="I66" s="87" t="str">
        <x:v>ТР №3</x:v>
      </x:c>
      <x:c r="J66" s="87" t="str">
        <x:v>ХИ2510301</x:v>
      </x:c>
      <x:c r="K66" s="87" t="n">
        <x:v>11</x:v>
      </x:c>
      <x:c r="L66" s="87" t="str">
        <x:v>Строение органических веществ</x:v>
      </x:c>
      <x:c r="M66" s="30" t="str">
        <x:v>Выберите два вещества, содержащих хотя бы один третичный атом углерода.</x:v>
      </x:c>
      <x:c r="N66" s="30" t="str">
        <x:v>23</x:v>
      </x:c>
      <x:c r="O66" s="30" t="str">
        <x:v>В 2-метилпентадиене-1,3 атом C-2 связан с тремя атомами углерода. В 2,3-диметилбутане оба центральных атома углерода третичные.</x:v>
      </x:c>
      <x:c r="P66" s="30" t="str">
        <x:v>Структуры всех пяти веществ построены и проанализированы.</x:v>
      </x:c>
      <x:c r="Q66" s="30"/>
      <x:c r="R66" s="30" t="str">
        <x:v>23</x:v>
      </x:c>
      <x:c r="S66" s="30"/>
      <x:c r="T66" s="30"/>
      <x:c r="U66" s="30" t="str">
        <x:v>Расхождений нет.</x:v>
      </x:c>
      <x:c r="V66" s="87" t="str">
        <x:v>VERIFIED</x:v>
      </x:c>
      <x:c r="W66" s="87" t="n">
        <x:v>6</x:v>
      </x:c>
      <x:c r="X66" s="87"/>
      <x:c r="Y66" s="87"/>
      <x:c r="Z66" s="87"/>
      <x:c r="AA66" s="87"/>
      <x:c r="AB66" s="87"/>
      <x:c r="AC66" s="87"/>
      <x:c r="AD66" s="87"/>
      <x:c r="AE66" s="87"/>
      <x:c r="AF66" s="87"/>
      <x:c r="AG66" s="87"/>
      <x:c r="AH66" s="87"/>
      <x:c r="AI66" s="30"/>
      <x:c r="AJ66" s="87" t="str">
        <x:v>master</x:v>
      </x:c>
      <x:c r="AK66" s="87" t="str">
        <x:v>master-v0.81</x:v>
      </x:c>
      <x:c r="AL66" s="87" t="str">
        <x:v>statgrad_master_base_v0_81_final(2).xlsx</x:v>
      </x:c>
      <x:c r="AM66" s="87" t="str">
        <x:v>CH_Jan_V1</x:v>
      </x:c>
      <x:c r="AN66" s="87" t="n">
        <x:v>12</x:v>
      </x:c>
    </x:row>
    <x:row r="67">
      <x:c r="A67" s="87" t="n">
        <x:v>66</x:v>
      </x:c>
      <x:c r="B67" s="87" t="str">
        <x:v>JAN-CH-V1-012</x:v>
      </x:c>
      <x:c r="C67" s="87" t="str">
        <x:v>СтатГрад</x:v>
      </x:c>
      <x:c r="D67" s="87" t="str">
        <x:v>Январь 2026</x:v>
      </x:c>
      <x:c r="E67" s="87"/>
      <x:c r="F67" s="87"/>
      <x:c r="G67" s="87" t="str">
        <x:v>Химия</x:v>
      </x:c>
      <x:c r="H67" s="87" t="n">
        <x:v>11</x:v>
      </x:c>
      <x:c r="I67" s="87" t="str">
        <x:v>ТР №3</x:v>
      </x:c>
      <x:c r="J67" s="87" t="str">
        <x:v>ХИ2510301</x:v>
      </x:c>
      <x:c r="K67" s="87" t="n">
        <x:v>12</x:v>
      </x:c>
      <x:c r="L67" s="87" t="str">
        <x:v>Свойства алкенов</x:v>
      </x:c>
      <x:c r="M67" s="30" t="str">
        <x:v>Выберите все вещества, с которыми может взаимодействовать этилен: KOH(водн.), HCl, бензол, озон, Cu(OH)2.</x:v>
      </x:c>
      <x:c r="N67" s="30" t="str">
        <x:v>234</x:v>
      </x:c>
      <x:c r="O67" s="30" t="str">
        <x:v>Этилен присоединяет HCl, алкилирует бензол при катализе и вступает в озонолиз. С водным KOH и Cu(OH)2 он обычно не реагирует.</x:v>
      </x:c>
      <x:c r="P67" s="30" t="str">
        <x:v>Проверены реакции присоединения, алкилирования и озонолиза.</x:v>
      </x:c>
      <x:c r="Q67" s="30"/>
      <x:c r="R67" s="30" t="str">
        <x:v>234</x:v>
      </x:c>
      <x:c r="S67" s="30"/>
      <x:c r="T67" s="30"/>
      <x:c r="U67" s="30" t="str">
        <x:v>Расхождений нет.</x:v>
      </x:c>
      <x:c r="V67" s="87" t="str">
        <x:v>VERIFIED</x:v>
      </x:c>
      <x:c r="W67" s="87" t="n">
        <x:v>6</x:v>
      </x:c>
      <x:c r="X67" s="87"/>
      <x:c r="Y67" s="87"/>
      <x:c r="Z67" s="87"/>
      <x:c r="AA67" s="87"/>
      <x:c r="AB67" s="87"/>
      <x:c r="AC67" s="87"/>
      <x:c r="AD67" s="87"/>
      <x:c r="AE67" s="87"/>
      <x:c r="AF67" s="87"/>
      <x:c r="AG67" s="87"/>
      <x:c r="AH67" s="87"/>
      <x:c r="AI67" s="30"/>
      <x:c r="AJ67" s="87" t="str">
        <x:v>master</x:v>
      </x:c>
      <x:c r="AK67" s="87" t="str">
        <x:v>master-v0.81</x:v>
      </x:c>
      <x:c r="AL67" s="87" t="str">
        <x:v>statgrad_master_base_v0_81_final(2).xlsx</x:v>
      </x:c>
      <x:c r="AM67" s="87" t="str">
        <x:v>CH_Jan_V1</x:v>
      </x:c>
      <x:c r="AN67" s="87" t="n">
        <x:v>13</x:v>
      </x:c>
    </x:row>
    <x:row r="68">
      <x:c r="A68" s="87" t="n">
        <x:v>67</x:v>
      </x:c>
      <x:c r="B68" s="87" t="str">
        <x:v>JAN-CH-V1-013</x:v>
      </x:c>
      <x:c r="C68" s="87" t="str">
        <x:v>СтатГрад</x:v>
      </x:c>
      <x:c r="D68" s="87" t="str">
        <x:v>Январь 2026</x:v>
      </x:c>
      <x:c r="E68" s="87"/>
      <x:c r="F68" s="87"/>
      <x:c r="G68" s="87" t="str">
        <x:v>Химия</x:v>
      </x:c>
      <x:c r="H68" s="87" t="n">
        <x:v>11</x:v>
      </x:c>
      <x:c r="I68" s="87" t="str">
        <x:v>ТР №3</x:v>
      </x:c>
      <x:c r="J68" s="87" t="str">
        <x:v>ХИ2510301</x:v>
      </x:c>
      <x:c r="K68" s="87" t="n">
        <x:v>13</x:v>
      </x:c>
      <x:c r="L68" s="87" t="str">
        <x:v>Превращения аминокислот</x:v>
      </x:c>
      <x:c r="M68" s="30" t="str">
        <x:v>Выберите два вещества, которые можно получить из аланина в одну стадию.</x:v>
      </x:c>
      <x:c r="N68" s="30" t="str">
        <x:v>13</x:v>
      </x:c>
      <x:c r="O68" s="30" t="str">
        <x:v>Дезаминирование аланина азотистой кислотой даёт молочную кислоту. Декарбоксилирование приводит к этиламину.</x:v>
      </x:c>
      <x:c r="P68" s="30" t="str">
        <x:v>Проверены типовые реакции α-аминокислот.</x:v>
      </x:c>
      <x:c r="Q68" s="30"/>
      <x:c r="R68" s="30" t="str">
        <x:v>13</x:v>
      </x:c>
      <x:c r="S68" s="30"/>
      <x:c r="T68" s="30"/>
      <x:c r="U68" s="30" t="str">
        <x:v>Расхождений нет.</x:v>
      </x:c>
      <x:c r="V68" s="87" t="str">
        <x:v>VERIFIED</x:v>
      </x:c>
      <x:c r="W68" s="87" t="n">
        <x:v>7</x:v>
      </x:c>
      <x:c r="X68" s="87"/>
      <x:c r="Y68" s="87"/>
      <x:c r="Z68" s="87"/>
      <x:c r="AA68" s="87"/>
      <x:c r="AB68" s="87"/>
      <x:c r="AC68" s="87"/>
      <x:c r="AD68" s="87"/>
      <x:c r="AE68" s="87"/>
      <x:c r="AF68" s="87"/>
      <x:c r="AG68" s="87"/>
      <x:c r="AH68" s="87"/>
      <x:c r="AI68" s="30"/>
      <x:c r="AJ68" s="87" t="str">
        <x:v>master</x:v>
      </x:c>
      <x:c r="AK68" s="87" t="str">
        <x:v>master-v0.81</x:v>
      </x:c>
      <x:c r="AL68" s="87" t="str">
        <x:v>statgrad_master_base_v0_81_final(2).xlsx</x:v>
      </x:c>
      <x:c r="AM68" s="87" t="str">
        <x:v>CH_Jan_V1</x:v>
      </x:c>
      <x:c r="AN68" s="87" t="n">
        <x:v>14</x:v>
      </x:c>
    </x:row>
    <x:row r="69">
      <x:c r="A69" s="87" t="n">
        <x:v>68</x:v>
      </x:c>
      <x:c r="B69" s="87" t="str">
        <x:v>JAN-CH-V1-014</x:v>
      </x:c>
      <x:c r="C69" s="87" t="str">
        <x:v>СтатГрад</x:v>
      </x:c>
      <x:c r="D69" s="87" t="str">
        <x:v>Январь 2026</x:v>
      </x:c>
      <x:c r="E69" s="87"/>
      <x:c r="F69" s="87"/>
      <x:c r="G69" s="87" t="str">
        <x:v>Химия</x:v>
      </x:c>
      <x:c r="H69" s="87" t="n">
        <x:v>11</x:v>
      </x:c>
      <x:c r="I69" s="87" t="str">
        <x:v>ТР №3</x:v>
      </x:c>
      <x:c r="J69" s="87" t="str">
        <x:v>ХИ2510301</x:v>
      </x:c>
      <x:c r="K69" s="87" t="n">
        <x:v>14</x:v>
      </x:c>
      <x:c r="L69" s="87" t="str">
        <x:v>Органические реакции</x:v>
      </x:c>
      <x:c r="M69" s="30" t="str">
        <x:v>Соотнесите четыре схемы превращений с реагентами X.</x:v>
      </x:c>
      <x:c r="N69" s="30" t="str">
        <x:v>2415</x:v>
      </x:c>
      <x:c r="O69" s="30" t="str">
        <x:v>KMnO4 превращает пропен в пропандиол; HBr в присутствии H2O2 даёт 1-бромпропан; этилен алкилирует бензол; Cl2 при освещении хлорирует боковую цепь толуола.</x:v>
      </x:c>
      <x:c r="P69" s="30" t="str">
        <x:v>Для каждой реакции определены механизм и преимущественный продукт.</x:v>
      </x:c>
      <x:c r="Q69" s="30"/>
      <x:c r="R69" s="30" t="str">
        <x:v>2415</x:v>
      </x:c>
      <x:c r="S69" s="30"/>
      <x:c r="T69" s="30"/>
      <x:c r="U69" s="30" t="str">
        <x:v>Расхождений нет.</x:v>
      </x:c>
      <x:c r="V69" s="87" t="str">
        <x:v>VERIFIED</x:v>
      </x:c>
      <x:c r="W69" s="87" t="n">
        <x:v>7</x:v>
      </x:c>
      <x:c r="X69" s="87"/>
      <x:c r="Y69" s="87"/>
      <x:c r="Z69" s="87"/>
      <x:c r="AA69" s="87"/>
      <x:c r="AB69" s="87"/>
      <x:c r="AC69" s="87"/>
      <x:c r="AD69" s="87"/>
      <x:c r="AE69" s="87"/>
      <x:c r="AF69" s="87"/>
      <x:c r="AG69" s="87"/>
      <x:c r="AH69" s="87"/>
      <x:c r="AI69" s="30"/>
      <x:c r="AJ69" s="87" t="str">
        <x:v>master</x:v>
      </x:c>
      <x:c r="AK69" s="87" t="str">
        <x:v>master-v0.81</x:v>
      </x:c>
      <x:c r="AL69" s="87" t="str">
        <x:v>statgrad_master_base_v0_81_final(2).xlsx</x:v>
      </x:c>
      <x:c r="AM69" s="87" t="str">
        <x:v>CH_Jan_V1</x:v>
      </x:c>
      <x:c r="AN69" s="87" t="n">
        <x:v>15</x:v>
      </x:c>
    </x:row>
    <x:row r="70">
      <x:c r="A70" s="87" t="n">
        <x:v>69</x:v>
      </x:c>
      <x:c r="B70" s="87" t="str">
        <x:v>JAN-CH-V1-015</x:v>
      </x:c>
      <x:c r="C70" s="87" t="str">
        <x:v>СтатГрад</x:v>
      </x:c>
      <x:c r="D70" s="87" t="str">
        <x:v>Январь 2026</x:v>
      </x:c>
      <x:c r="E70" s="87"/>
      <x:c r="F70" s="87"/>
      <x:c r="G70" s="87" t="str">
        <x:v>Химия</x:v>
      </x:c>
      <x:c r="H70" s="87" t="n">
        <x:v>11</x:v>
      </x:c>
      <x:c r="I70" s="87" t="str">
        <x:v>ТР №3</x:v>
      </x:c>
      <x:c r="J70" s="87" t="str">
        <x:v>ХИ2510301</x:v>
      </x:c>
      <x:c r="K70" s="87" t="n">
        <x:v>15</x:v>
      </x:c>
      <x:c r="L70" s="87" t="str">
        <x:v>Гидролиз органических соединений</x:v>
      </x:c>
      <x:c r="M70" s="30" t="str">
        <x:v>Соотнесите четыре пары реагентов с преимущественно образующимся органическим продуктом.</x:v>
      </x:c>
      <x:c r="N70" s="30" t="str">
        <x:v>2653</x:v>
      </x:c>
      <x:c r="O70" s="30" t="str">
        <x:v>Гидролиз CH3CN даёт CH3COOH; 2,2-дихлорпропан превращается в ацетон; 1,2-дихлорпропан — в пропан-1,2-диол; пропаноилхлорид — в пропионовую кислоту.</x:v>
      </x:c>
      <x:c r="P70" s="30" t="str">
        <x:v>Проверены гидролиз нитрила, геминального и вицинального дигалогенпроизводных и ацилгалогенида.</x:v>
      </x:c>
      <x:c r="Q70" s="30"/>
      <x:c r="R70" s="30" t="str">
        <x:v>2653</x:v>
      </x:c>
      <x:c r="S70" s="30"/>
      <x:c r="T70" s="30"/>
      <x:c r="U70" s="30" t="str">
        <x:v>Расхождений нет.</x:v>
      </x:c>
      <x:c r="V70" s="87" t="str">
        <x:v>VERIFIED</x:v>
      </x:c>
      <x:c r="W70" s="87" t="n">
        <x:v>8</x:v>
      </x:c>
      <x:c r="X70" s="87"/>
      <x:c r="Y70" s="87"/>
      <x:c r="Z70" s="87"/>
      <x:c r="AA70" s="87"/>
      <x:c r="AB70" s="87"/>
      <x:c r="AC70" s="87"/>
      <x:c r="AD70" s="87"/>
      <x:c r="AE70" s="87"/>
      <x:c r="AF70" s="87"/>
      <x:c r="AG70" s="87"/>
      <x:c r="AH70" s="87"/>
      <x:c r="AI70" s="30"/>
      <x:c r="AJ70" s="87" t="str">
        <x:v>master</x:v>
      </x:c>
      <x:c r="AK70" s="87" t="str">
        <x:v>master-v0.81</x:v>
      </x:c>
      <x:c r="AL70" s="87" t="str">
        <x:v>statgrad_master_base_v0_81_final(2).xlsx</x:v>
      </x:c>
      <x:c r="AM70" s="87" t="str">
        <x:v>CH_Jan_V1</x:v>
      </x:c>
      <x:c r="AN70" s="87" t="n">
        <x:v>16</x:v>
      </x:c>
    </x:row>
    <x:row r="71">
      <x:c r="A71" s="87" t="n">
        <x:v>70</x:v>
      </x:c>
      <x:c r="B71" s="87" t="str">
        <x:v>JAN-CH-V1-016</x:v>
      </x:c>
      <x:c r="C71" s="87" t="str">
        <x:v>СтатГрад</x:v>
      </x:c>
      <x:c r="D71" s="87" t="str">
        <x:v>Январь 2026</x:v>
      </x:c>
      <x:c r="E71" s="87"/>
      <x:c r="F71" s="87"/>
      <x:c r="G71" s="87" t="str">
        <x:v>Химия</x:v>
      </x:c>
      <x:c r="H71" s="87" t="n">
        <x:v>11</x:v>
      </x:c>
      <x:c r="I71" s="87" t="str">
        <x:v>ТР №3</x:v>
      </x:c>
      <x:c r="J71" s="87" t="str">
        <x:v>ХИ2510301</x:v>
      </x:c>
      <x:c r="K71" s="87" t="n">
        <x:v>16</x:v>
      </x:c>
      <x:c r="L71" s="87" t="str">
        <x:v>Цепочка превращений</x:v>
      </x:c>
      <x:c r="M71" s="30" t="str">
        <x:v>Определите X и Y в цепочке CH3CH2NH2 → X → CH3CHO → Y.</x:v>
      </x:c>
      <x:c r="N71" s="30" t="str">
        <x:v>25</x:v>
      </x:c>
      <x:c r="O71" s="30" t="str">
        <x:v>Этиламин при действии HNO2 превращается в этанол. Этаналь окисляется бромной водой до уксусной кислоты.</x:v>
      </x:c>
      <x:c r="P71" s="30" t="str">
        <x:v>Цепочка проверена уравнениями дезаминирования и окисления альдегида.</x:v>
      </x:c>
      <x:c r="Q71" s="30"/>
      <x:c r="R71" s="30" t="str">
        <x:v>25</x:v>
      </x:c>
      <x:c r="S71" s="30"/>
      <x:c r="T71" s="30"/>
      <x:c r="U71" s="30" t="str">
        <x:v>Расхождений нет.</x:v>
      </x:c>
      <x:c r="V71" s="87" t="str">
        <x:v>VERIFIED</x:v>
      </x:c>
      <x:c r="W71" s="87" t="n">
        <x:v>8</x:v>
      </x:c>
      <x:c r="X71" s="87"/>
      <x:c r="Y71" s="87"/>
      <x:c r="Z71" s="87"/>
      <x:c r="AA71" s="87"/>
      <x:c r="AB71" s="87"/>
      <x:c r="AC71" s="87"/>
      <x:c r="AD71" s="87"/>
      <x:c r="AE71" s="87"/>
      <x:c r="AF71" s="87"/>
      <x:c r="AG71" s="87"/>
      <x:c r="AH71" s="87"/>
      <x:c r="AI71" s="30"/>
      <x:c r="AJ71" s="87" t="str">
        <x:v>master</x:v>
      </x:c>
      <x:c r="AK71" s="87" t="str">
        <x:v>master-v0.81</x:v>
      </x:c>
      <x:c r="AL71" s="87" t="str">
        <x:v>statgrad_master_base_v0_81_final(2).xlsx</x:v>
      </x:c>
      <x:c r="AM71" s="87" t="str">
        <x:v>CH_Jan_V1</x:v>
      </x:c>
      <x:c r="AN71" s="87" t="n">
        <x:v>17</x:v>
      </x:c>
    </x:row>
    <x:row r="72">
      <x:c r="A72" s="87" t="n">
        <x:v>71</x:v>
      </x:c>
      <x:c r="B72" s="87" t="str">
        <x:v>JAN-CH-V1-017</x:v>
      </x:c>
      <x:c r="C72" s="87" t="str">
        <x:v>СтатГрад</x:v>
      </x:c>
      <x:c r="D72" s="87" t="str">
        <x:v>Январь 2026</x:v>
      </x:c>
      <x:c r="E72" s="87"/>
      <x:c r="F72" s="87"/>
      <x:c r="G72" s="87" t="str">
        <x:v>Химия</x:v>
      </x:c>
      <x:c r="H72" s="87" t="n">
        <x:v>11</x:v>
      </x:c>
      <x:c r="I72" s="87" t="str">
        <x:v>ТР №3</x:v>
      </x:c>
      <x:c r="J72" s="87" t="str">
        <x:v>ХИ2510301</x:v>
      </x:c>
      <x:c r="K72" s="87" t="n">
        <x:v>17</x:v>
      </x:c>
      <x:c r="L72" s="87" t="str">
        <x:v>Классификация реакций</x:v>
      </x:c>
      <x:c r="M72" s="30" t="str">
        <x:v>Соотнесите гидратацию этилена, окисление CO кислородом и реакцию хлорной воды с HBr с типами реакций.</x:v>
      </x:c>
      <x:c r="N72" s="30" t="str">
        <x:v>143</x:v>
      </x:c>
      <x:c r="O72" s="30" t="str">
        <x:v>Гидратация этилена — каталитическое присоединение; 2CO + O2 → 2CO2 — некаталитическое соединение; Cl2 вытесняет Br2 из HBr без катализатора.</x:v>
      </x:c>
      <x:c r="P72" s="30" t="str">
        <x:v>Проверены изменение состава веществ и наличие катализатора.</x:v>
      </x:c>
      <x:c r="Q72" s="30"/>
      <x:c r="R72" s="30" t="str">
        <x:v>143</x:v>
      </x:c>
      <x:c r="S72" s="30"/>
      <x:c r="T72" s="30"/>
      <x:c r="U72" s="30" t="str">
        <x:v>Расхождений нет.</x:v>
      </x:c>
      <x:c r="V72" s="87" t="str">
        <x:v>VERIFIED</x:v>
      </x:c>
      <x:c r="W72" s="87" t="n">
        <x:v>9</x:v>
      </x:c>
      <x:c r="X72" s="87"/>
      <x:c r="Y72" s="87"/>
      <x:c r="Z72" s="87"/>
      <x:c r="AA72" s="87"/>
      <x:c r="AB72" s="87"/>
      <x:c r="AC72" s="87"/>
      <x:c r="AD72" s="87"/>
      <x:c r="AE72" s="87"/>
      <x:c r="AF72" s="87"/>
      <x:c r="AG72" s="87"/>
      <x:c r="AH72" s="87"/>
      <x:c r="AI72" s="30"/>
      <x:c r="AJ72" s="87" t="str">
        <x:v>master</x:v>
      </x:c>
      <x:c r="AK72" s="87" t="str">
        <x:v>master-v0.81</x:v>
      </x:c>
      <x:c r="AL72" s="87" t="str">
        <x:v>statgrad_master_base_v0_81_final(2).xlsx</x:v>
      </x:c>
      <x:c r="AM72" s="87" t="str">
        <x:v>CH_Jan_V1</x:v>
      </x:c>
      <x:c r="AN72" s="87" t="n">
        <x:v>18</x:v>
      </x:c>
    </x:row>
    <x:row r="73">
      <x:c r="A73" s="87" t="n">
        <x:v>72</x:v>
      </x:c>
      <x:c r="B73" s="87" t="str">
        <x:v>JAN-CH-V1-018</x:v>
      </x:c>
      <x:c r="C73" s="87" t="str">
        <x:v>СтатГрад</x:v>
      </x:c>
      <x:c r="D73" s="87" t="str">
        <x:v>Январь 2026</x:v>
      </x:c>
      <x:c r="E73" s="87"/>
      <x:c r="F73" s="87"/>
      <x:c r="G73" s="87" t="str">
        <x:v>Химия</x:v>
      </x:c>
      <x:c r="H73" s="87" t="n">
        <x:v>11</x:v>
      </x:c>
      <x:c r="I73" s="87" t="str">
        <x:v>ТР №3</x:v>
      </x:c>
      <x:c r="J73" s="87" t="str">
        <x:v>ХИ2510301</x:v>
      </x:c>
      <x:c r="K73" s="87" t="n">
        <x:v>18</x:v>
      </x:c>
      <x:c r="L73" s="87" t="str">
        <x:v>Скорость реакции</x:v>
      </x:c>
      <x:c r="M73" s="30" t="str">
        <x:v>Выберите воздействия, увеличивающие скорость растворения кальция в воде.</x:v>
      </x:c>
      <x:c r="N73" s="30" t="str">
        <x:v>12</x:v>
      </x:c>
      <x:c r="O73" s="30" t="str">
        <x:v>Нагревание повышает энергию частиц, а измельчение увеличивает площадь поверхности кальция. Остальные воздействия не ускоряют реакцию.</x:v>
      </x:c>
      <x:c r="P73" s="30" t="str">
        <x:v>Применены факторы скорости гетерогенной реакции.</x:v>
      </x:c>
      <x:c r="Q73" s="30"/>
      <x:c r="R73" s="30" t="str">
        <x:v>12</x:v>
      </x:c>
      <x:c r="S73" s="30"/>
      <x:c r="T73" s="30"/>
      <x:c r="U73" s="30" t="str">
        <x:v>Расхождений нет.</x:v>
      </x:c>
      <x:c r="V73" s="87" t="str">
        <x:v>VERIFIED</x:v>
      </x:c>
      <x:c r="W73" s="87" t="n">
        <x:v>9</x:v>
      </x:c>
      <x:c r="X73" s="87"/>
      <x:c r="Y73" s="87"/>
      <x:c r="Z73" s="87"/>
      <x:c r="AA73" s="87"/>
      <x:c r="AB73" s="87"/>
      <x:c r="AC73" s="87"/>
      <x:c r="AD73" s="87"/>
      <x:c r="AE73" s="87"/>
      <x:c r="AF73" s="87"/>
      <x:c r="AG73" s="87"/>
      <x:c r="AH73" s="87"/>
      <x:c r="AI73" s="30"/>
      <x:c r="AJ73" s="87" t="str">
        <x:v>master</x:v>
      </x:c>
      <x:c r="AK73" s="87" t="str">
        <x:v>master-v0.81</x:v>
      </x:c>
      <x:c r="AL73" s="87" t="str">
        <x:v>statgrad_master_base_v0_81_final(2).xlsx</x:v>
      </x:c>
      <x:c r="AM73" s="87" t="str">
        <x:v>CH_Jan_V1</x:v>
      </x:c>
      <x:c r="AN73" s="87" t="n">
        <x:v>19</x:v>
      </x:c>
    </x:row>
    <x:row r="74">
      <x:c r="A74" s="87" t="n">
        <x:v>73</x:v>
      </x:c>
      <x:c r="B74" s="87" t="str">
        <x:v>JAN-CH-V1-019</x:v>
      </x:c>
      <x:c r="C74" s="87" t="str">
        <x:v>СтатГрад</x:v>
      </x:c>
      <x:c r="D74" s="87" t="str">
        <x:v>Январь 2026</x:v>
      </x:c>
      <x:c r="E74" s="87"/>
      <x:c r="F74" s="87"/>
      <x:c r="G74" s="87" t="str">
        <x:v>Химия</x:v>
      </x:c>
      <x:c r="H74" s="87" t="n">
        <x:v>11</x:v>
      </x:c>
      <x:c r="I74" s="87" t="str">
        <x:v>ТР №3</x:v>
      </x:c>
      <x:c r="J74" s="87" t="str">
        <x:v>ХИ2510301</x:v>
      </x:c>
      <x:c r="K74" s="87" t="n">
        <x:v>19</x:v>
      </x:c>
      <x:c r="L74" s="87" t="str">
        <x:v>ОВР</x:v>
      </x:c>
      <x:c r="M74" s="30" t="str">
        <x:v>Соотнесите три реакции с изменением степени окисления восстановителя.</x:v>
      </x:c>
      <x:c r="N74" s="30" t="str">
        <x:v>143</x:v>
      </x:c>
      <x:c r="O74" s="30" t="str">
        <x:v>В первой реакции Zn: 0→+2; при диспропорционировании манганата часть Mn(+6) окисляется до +7; в электролизе Pb(II) часть Pb(+2) окисляется до +4.</x:v>
      </x:c>
      <x:c r="P74" s="30" t="str">
        <x:v>Определены восстановители и их степени окисления.</x:v>
      </x:c>
      <x:c r="Q74" s="30"/>
      <x:c r="R74" s="30" t="str">
        <x:v>143</x:v>
      </x:c>
      <x:c r="S74" s="30"/>
      <x:c r="T74" s="30"/>
      <x:c r="U74" s="30" t="str">
        <x:v>Расхождений нет.</x:v>
      </x:c>
      <x:c r="V74" s="87" t="str">
        <x:v>VERIFIED</x:v>
      </x:c>
      <x:c r="W74" s="87" t="n">
        <x:v>10</x:v>
      </x:c>
      <x:c r="X74" s="87"/>
      <x:c r="Y74" s="87"/>
      <x:c r="Z74" s="87"/>
      <x:c r="AA74" s="87"/>
      <x:c r="AB74" s="87"/>
      <x:c r="AC74" s="87"/>
      <x:c r="AD74" s="87"/>
      <x:c r="AE74" s="87"/>
      <x:c r="AF74" s="87"/>
      <x:c r="AG74" s="87"/>
      <x:c r="AH74" s="87"/>
      <x:c r="AI74" s="30"/>
      <x:c r="AJ74" s="87" t="str">
        <x:v>master</x:v>
      </x:c>
      <x:c r="AK74" s="87" t="str">
        <x:v>master-v0.81</x:v>
      </x:c>
      <x:c r="AL74" s="87" t="str">
        <x:v>statgrad_master_base_v0_81_final(2).xlsx</x:v>
      </x:c>
      <x:c r="AM74" s="87" t="str">
        <x:v>CH_Jan_V1</x:v>
      </x:c>
      <x:c r="AN74" s="87" t="n">
        <x:v>20</x:v>
      </x:c>
    </x:row>
    <x:row r="75">
      <x:c r="A75" s="87" t="n">
        <x:v>74</x:v>
      </x:c>
      <x:c r="B75" s="87" t="str">
        <x:v>JAN-CH-V1-020</x:v>
      </x:c>
      <x:c r="C75" s="87" t="str">
        <x:v>СтатГрад</x:v>
      </x:c>
      <x:c r="D75" s="87" t="str">
        <x:v>Январь 2026</x:v>
      </x:c>
      <x:c r="E75" s="87"/>
      <x:c r="F75" s="87"/>
      <x:c r="G75" s="87" t="str">
        <x:v>Химия</x:v>
      </x:c>
      <x:c r="H75" s="87" t="n">
        <x:v>11</x:v>
      </x:c>
      <x:c r="I75" s="87" t="str">
        <x:v>ТР №3</x:v>
      </x:c>
      <x:c r="J75" s="87" t="str">
        <x:v>ХИ2510301</x:v>
      </x:c>
      <x:c r="K75" s="87" t="n">
        <x:v>20</x:v>
      </x:c>
      <x:c r="L75" s="87" t="str">
        <x:v>Электролиз</x:v>
      </x:c>
      <x:c r="M75" s="30" t="str">
        <x:v>Соотнесите раствор CaCl2, расплав CaCl2 и раствор KOH с продуктами электролиза на инертных электродах.</x:v>
      </x:c>
      <x:c r="N75" s="30" t="str">
        <x:v>213</x:v>
      </x:c>
      <x:c r="O75" s="30" t="str">
        <x:v>В растворе CaCl2 на катоде выделяется H2, на аноде Cl2; в расплаве получают Ca и Cl2; при электролизе KOH фактически разлагается вода на H2 и O2.</x:v>
      </x:c>
      <x:c r="P75" s="30" t="str">
        <x:v>Проверены конкурирующие электродные процессы.</x:v>
      </x:c>
      <x:c r="Q75" s="30"/>
      <x:c r="R75" s="30" t="str">
        <x:v>213</x:v>
      </x:c>
      <x:c r="S75" s="30"/>
      <x:c r="T75" s="30"/>
      <x:c r="U75" s="30" t="str">
        <x:v>Расхождений нет.</x:v>
      </x:c>
      <x:c r="V75" s="87" t="str">
        <x:v>VERIFIED</x:v>
      </x:c>
      <x:c r="W75" s="87" t="n">
        <x:v>10</x:v>
      </x:c>
      <x:c r="X75" s="87"/>
      <x:c r="Y75" s="87"/>
      <x:c r="Z75" s="87"/>
      <x:c r="AA75" s="87"/>
      <x:c r="AB75" s="87"/>
      <x:c r="AC75" s="87"/>
      <x:c r="AD75" s="87"/>
      <x:c r="AE75" s="87"/>
      <x:c r="AF75" s="87"/>
      <x:c r="AG75" s="87"/>
      <x:c r="AH75" s="87"/>
      <x:c r="AI75" s="30"/>
      <x:c r="AJ75" s="87" t="str">
        <x:v>master</x:v>
      </x:c>
      <x:c r="AK75" s="87" t="str">
        <x:v>master-v0.81</x:v>
      </x:c>
      <x:c r="AL75" s="87" t="str">
        <x:v>statgrad_master_base_v0_81_final(2).xlsx</x:v>
      </x:c>
      <x:c r="AM75" s="87" t="str">
        <x:v>CH_Jan_V1</x:v>
      </x:c>
      <x:c r="AN75" s="87" t="n">
        <x:v>21</x:v>
      </x:c>
    </x:row>
    <x:row r="76">
      <x:c r="A76" s="87" t="n">
        <x:v>75</x:v>
      </x:c>
      <x:c r="B76" s="87" t="str">
        <x:v>JAN-CH-V1-021</x:v>
      </x:c>
      <x:c r="C76" s="87" t="str">
        <x:v>СтатГрад</x:v>
      </x:c>
      <x:c r="D76" s="87" t="str">
        <x:v>Январь 2026</x:v>
      </x:c>
      <x:c r="E76" s="87"/>
      <x:c r="F76" s="87"/>
      <x:c r="G76" s="87" t="str">
        <x:v>Химия</x:v>
      </x:c>
      <x:c r="H76" s="87" t="n">
        <x:v>11</x:v>
      </x:c>
      <x:c r="I76" s="87" t="str">
        <x:v>ТР №3</x:v>
      </x:c>
      <x:c r="J76" s="87" t="str">
        <x:v>ХИ2510301</x:v>
      </x:c>
      <x:c r="K76" s="87" t="n">
        <x:v>21</x:v>
      </x:c>
      <x:c r="L76" s="87" t="str">
        <x:v>pH растворов</x:v>
      </x:c>
      <x:c r="M76" s="30" t="str">
        <x:v>Расположите растворы CO2, HBr, C6H12O6 и K2CO3 одинаковой молярной концентрации по убыванию pH.</x:v>
      </x:c>
      <x:c r="N76" s="30" t="str">
        <x:v>4312</x:v>
      </x:c>
      <x:c r="O76" s="30" t="str">
        <x:v>K2CO3 создаёт щелочную среду, глюкоза — практически нейтральную, CO2 — слабокислую, HBr — сильнокислую.</x:v>
      </x:c>
      <x:c r="P76" s="30" t="str">
        <x:v>Сопоставлены гидролиз, сила электролита и характер среды.</x:v>
      </x:c>
      <x:c r="Q76" s="30"/>
      <x:c r="R76" s="30" t="str">
        <x:v>4312</x:v>
      </x:c>
      <x:c r="S76" s="30"/>
      <x:c r="T76" s="30"/>
      <x:c r="U76" s="30" t="str">
        <x:v>Расхождений нет.</x:v>
      </x:c>
      <x:c r="V76" s="87" t="str">
        <x:v>VERIFIED</x:v>
      </x:c>
      <x:c r="W76" s="87" t="n">
        <x:v>11</x:v>
      </x:c>
      <x:c r="X76" s="87"/>
      <x:c r="Y76" s="87"/>
      <x:c r="Z76" s="87"/>
      <x:c r="AA76" s="87"/>
      <x:c r="AB76" s="87"/>
      <x:c r="AC76" s="87"/>
      <x:c r="AD76" s="87"/>
      <x:c r="AE76" s="87"/>
      <x:c r="AF76" s="87"/>
      <x:c r="AG76" s="87"/>
      <x:c r="AH76" s="87"/>
      <x:c r="AI76" s="30"/>
      <x:c r="AJ76" s="87" t="str">
        <x:v>master</x:v>
      </x:c>
      <x:c r="AK76" s="87" t="str">
        <x:v>master-v0.81</x:v>
      </x:c>
      <x:c r="AL76" s="87" t="str">
        <x:v>statgrad_master_base_v0_81_final(2).xlsx</x:v>
      </x:c>
      <x:c r="AM76" s="87" t="str">
        <x:v>CH_Jan_V1</x:v>
      </x:c>
      <x:c r="AN76" s="87" t="n">
        <x:v>22</x:v>
      </x:c>
    </x:row>
    <x:row r="77">
      <x:c r="A77" s="87" t="n">
        <x:v>76</x:v>
      </x:c>
      <x:c r="B77" s="87" t="str">
        <x:v>JAN-CH-V1-022</x:v>
      </x:c>
      <x:c r="C77" s="87" t="str">
        <x:v>СтатГрад</x:v>
      </x:c>
      <x:c r="D77" s="87" t="str">
        <x:v>Январь 2026</x:v>
      </x:c>
      <x:c r="E77" s="87"/>
      <x:c r="F77" s="87"/>
      <x:c r="G77" s="87" t="str">
        <x:v>Химия</x:v>
      </x:c>
      <x:c r="H77" s="87" t="n">
        <x:v>11</x:v>
      </x:c>
      <x:c r="I77" s="87" t="str">
        <x:v>ТР №3</x:v>
      </x:c>
      <x:c r="J77" s="87" t="str">
        <x:v>ХИ2510301</x:v>
      </x:c>
      <x:c r="K77" s="87" t="n">
        <x:v>22</x:v>
      </x:c>
      <x:c r="L77" s="87" t="str">
        <x:v>Химическое равновесие</x:v>
      </x:c>
      <x:c r="M77" s="30" t="str">
        <x:v>Для равновесия 3Fe + 4H2O(г) ⇌ Fe3O4 + 4H2 + Q определите направление смещения при четырёх воздействиях.</x:v>
      </x:c>
      <x:c r="N77" s="30" t="str">
        <x:v>1323</x:v>
      </x:c>
      <x:c r="O77" s="30" t="str">
        <x:v>Охлаждение смещает экзотермическую реакцию вправо. Число молей газа одинаково, поэтому давление почти не влияет; добавление H2 смещает равновесие влево; добавление твёрдого Fe не влияет.</x:v>
      </x:c>
      <x:c r="P77" s="30" t="str">
        <x:v>Применён принцип Ле Шателье с учётом агрегатных состояний.</x:v>
      </x:c>
      <x:c r="Q77" s="30"/>
      <x:c r="R77" s="30" t="str">
        <x:v>1323</x:v>
      </x:c>
      <x:c r="S77" s="30"/>
      <x:c r="T77" s="30"/>
      <x:c r="U77" s="30" t="str">
        <x:v>Расхождений нет.</x:v>
      </x:c>
      <x:c r="V77" s="87" t="str">
        <x:v>VERIFIED</x:v>
      </x:c>
      <x:c r="W77" s="87" t="n">
        <x:v>12</x:v>
      </x:c>
      <x:c r="X77" s="87"/>
      <x:c r="Y77" s="87"/>
      <x:c r="Z77" s="87"/>
      <x:c r="AA77" s="87"/>
      <x:c r="AB77" s="87"/>
      <x:c r="AC77" s="87"/>
      <x:c r="AD77" s="87"/>
      <x:c r="AE77" s="87"/>
      <x:c r="AF77" s="87"/>
      <x:c r="AG77" s="87"/>
      <x:c r="AH77" s="87"/>
      <x:c r="AI77" s="30"/>
      <x:c r="AJ77" s="87" t="str">
        <x:v>master</x:v>
      </x:c>
      <x:c r="AK77" s="87" t="str">
        <x:v>master-v0.81</x:v>
      </x:c>
      <x:c r="AL77" s="87" t="str">
        <x:v>statgrad_master_base_v0_81_final(2).xlsx</x:v>
      </x:c>
      <x:c r="AM77" s="87" t="str">
        <x:v>CH_Jan_V1</x:v>
      </x:c>
      <x:c r="AN77" s="87" t="n">
        <x:v>23</x:v>
      </x:c>
    </x:row>
    <x:row r="78">
      <x:c r="A78" s="87" t="n">
        <x:v>77</x:v>
      </x:c>
      <x:c r="B78" s="87" t="str">
        <x:v>JAN-CH-V1-023</x:v>
      </x:c>
      <x:c r="C78" s="87" t="str">
        <x:v>СтатГрад</x:v>
      </x:c>
      <x:c r="D78" s="87" t="str">
        <x:v>Январь 2026</x:v>
      </x:c>
      <x:c r="E78" s="87"/>
      <x:c r="F78" s="87"/>
      <x:c r="G78" s="87" t="str">
        <x:v>Химия</x:v>
      </x:c>
      <x:c r="H78" s="87" t="n">
        <x:v>11</x:v>
      </x:c>
      <x:c r="I78" s="87" t="str">
        <x:v>ТР №3</x:v>
      </x:c>
      <x:c r="J78" s="87" t="str">
        <x:v>ХИ2510301</x:v>
      </x:c>
      <x:c r="K78" s="87" t="n">
        <x:v>23</x:v>
      </x:c>
      <x:c r="L78" s="87" t="str">
        <x:v>Равновесные концентрации</x:v>
      </x:c>
      <x:c r="M78" s="30" t="str">
        <x:v>CO и H2 смешали в отношении 1:3. c0(H2)=1,5 моль/л, cравн(CO)=0,1 моль/л. Найдите позиции концентраций CH3OH и H2.</x:v>
      </x:c>
      <x:c r="N78" s="30" t="str">
        <x:v>35</x:v>
      </x:c>
      <x:c r="O78" s="30" t="str">
        <x:v>Начальная c(CO)=0,5 моль/л; прореагировало 0,4. Поэтому c(CH3OH)=0,4 моль/л (позиция 3), а c(H2)=1,5−0,8=0,7 моль/л (позиция 5).</x:v>
      </x:c>
      <x:c r="P78" s="30" t="str">
        <x:v>Расчёт выполнен по стехиометрии CO + 2H2 ⇌ CH3OH.</x:v>
      </x:c>
      <x:c r="Q78" s="30"/>
      <x:c r="R78" s="30" t="str">
        <x:v>35</x:v>
      </x:c>
      <x:c r="S78" s="30"/>
      <x:c r="T78" s="30"/>
      <x:c r="U78" s="30" t="str">
        <x:v>Расхождений нет.</x:v>
      </x:c>
      <x:c r="V78" s="87" t="str">
        <x:v>VERIFIED</x:v>
      </x:c>
      <x:c r="W78" s="87" t="n">
        <x:v>12</x:v>
      </x:c>
      <x:c r="X78" s="87"/>
      <x:c r="Y78" s="87"/>
      <x:c r="Z78" s="87"/>
      <x:c r="AA78" s="87"/>
      <x:c r="AB78" s="87"/>
      <x:c r="AC78" s="87"/>
      <x:c r="AD78" s="87"/>
      <x:c r="AE78" s="87"/>
      <x:c r="AF78" s="87"/>
      <x:c r="AG78" s="87"/>
      <x:c r="AH78" s="87"/>
      <x:c r="AI78" s="30"/>
      <x:c r="AJ78" s="87" t="str">
        <x:v>master</x:v>
      </x:c>
      <x:c r="AK78" s="87" t="str">
        <x:v>master-v0.81</x:v>
      </x:c>
      <x:c r="AL78" s="87" t="str">
        <x:v>statgrad_master_base_v0_81_final(2).xlsx</x:v>
      </x:c>
      <x:c r="AM78" s="87" t="str">
        <x:v>CH_Jan_V1</x:v>
      </x:c>
      <x:c r="AN78" s="87" t="n">
        <x:v>24</x:v>
      </x:c>
    </x:row>
    <x:row r="79">
      <x:c r="A79" s="87" t="n">
        <x:v>78</x:v>
      </x:c>
      <x:c r="B79" s="87" t="str">
        <x:v>JAN-CH-V1-024</x:v>
      </x:c>
      <x:c r="C79" s="87" t="str">
        <x:v>СтатГрад</x:v>
      </x:c>
      <x:c r="D79" s="87" t="str">
        <x:v>Январь 2026</x:v>
      </x:c>
      <x:c r="E79" s="87"/>
      <x:c r="F79" s="87"/>
      <x:c r="G79" s="87" t="str">
        <x:v>Химия</x:v>
      </x:c>
      <x:c r="H79" s="87" t="n">
        <x:v>11</x:v>
      </x:c>
      <x:c r="I79" s="87" t="str">
        <x:v>ТР №3</x:v>
      </x:c>
      <x:c r="J79" s="87" t="str">
        <x:v>ХИ2510301</x:v>
      </x:c>
      <x:c r="K79" s="87" t="n">
        <x:v>24</x:v>
      </x:c>
      <x:c r="L79" s="87" t="str">
        <x:v>Качественный анализ</x:v>
      </x:c>
      <x:c r="M79" s="30" t="str">
        <x:v>Соотнесите четыре пары растворов с реагентами, позволяющими их различить.</x:v>
      </x:c>
      <x:c r="N79" s="30" t="str">
        <x:v>5231</x:v>
      </x:c>
      <x:c r="O79" s="30" t="str">
        <x:v>KNO3/HNO3 различают NaHCO3; NH3/NaOH — раствором AlCl3 и поведением осадка в избытке; Na2SO4/NaCl — BaCl2; HCl/HBr — хлорной водой.</x:v>
      </x:c>
      <x:c r="P79" s="30" t="str">
        <x:v>Для каждой пары определён наблюдаемый аналитический эффект.</x:v>
      </x:c>
      <x:c r="Q79" s="30"/>
      <x:c r="R79" s="30" t="str">
        <x:v>5231</x:v>
      </x:c>
      <x:c r="S79" s="30"/>
      <x:c r="T79" s="30"/>
      <x:c r="U79" s="30" t="str">
        <x:v>Расхождений нет.</x:v>
      </x:c>
      <x:c r="V79" s="87" t="str">
        <x:v>VERIFIED</x:v>
      </x:c>
      <x:c r="W79" s="87" t="n">
        <x:v>13</x:v>
      </x:c>
      <x:c r="X79" s="87"/>
      <x:c r="Y79" s="87"/>
      <x:c r="Z79" s="87"/>
      <x:c r="AA79" s="87"/>
      <x:c r="AB79" s="87"/>
      <x:c r="AC79" s="87"/>
      <x:c r="AD79" s="87"/>
      <x:c r="AE79" s="87"/>
      <x:c r="AF79" s="87"/>
      <x:c r="AG79" s="87"/>
      <x:c r="AH79" s="87"/>
      <x:c r="AI79" s="30"/>
      <x:c r="AJ79" s="87" t="str">
        <x:v>master</x:v>
      </x:c>
      <x:c r="AK79" s="87" t="str">
        <x:v>master-v0.81</x:v>
      </x:c>
      <x:c r="AL79" s="87" t="str">
        <x:v>statgrad_master_base_v0_81_final(2).xlsx</x:v>
      </x:c>
      <x:c r="AM79" s="87" t="str">
        <x:v>CH_Jan_V1</x:v>
      </x:c>
      <x:c r="AN79" s="87" t="n">
        <x:v>25</x:v>
      </x:c>
    </x:row>
    <x:row r="80">
      <x:c r="A80" s="87" t="n">
        <x:v>79</x:v>
      </x:c>
      <x:c r="B80" s="87" t="str">
        <x:v>JAN-CH-V1-025</x:v>
      </x:c>
      <x:c r="C80" s="87" t="str">
        <x:v>СтатГрад</x:v>
      </x:c>
      <x:c r="D80" s="87" t="str">
        <x:v>Январь 2026</x:v>
      </x:c>
      <x:c r="E80" s="87"/>
      <x:c r="F80" s="87"/>
      <x:c r="G80" s="87" t="str">
        <x:v>Химия</x:v>
      </x:c>
      <x:c r="H80" s="87" t="n">
        <x:v>11</x:v>
      </x:c>
      <x:c r="I80" s="87" t="str">
        <x:v>ТР №3</x:v>
      </x:c>
      <x:c r="J80" s="87" t="str">
        <x:v>ХИ2510301</x:v>
      </x:c>
      <x:c r="K80" s="87" t="n">
        <x:v>25</x:v>
      </x:c>
      <x:c r="L80" s="87" t="str">
        <x:v>Применение веществ</x:v>
      </x:c>
      <x:c r="M80" s="30" t="str">
        <x:v>Соотнесите CH3COOH, SiO2 и NH4NO3 с основными областями применения.</x:v>
      </x:c>
      <x:c r="N80" s="30" t="str">
        <x:v>243</x:v>
      </x:c>
      <x:c r="O80" s="30" t="str">
        <x:v>Уксусную кислоту применяют в пищевой промышленности, SiO2 — при производстве цемента, NH4NO3 — в производстве взрывчатых веществ.</x:v>
      </x:c>
      <x:c r="P80" s="30" t="str">
        <x:v>Сопоставлены типичные промышленные применения.</x:v>
      </x:c>
      <x:c r="Q80" s="30"/>
      <x:c r="R80" s="30" t="str">
        <x:v>243</x:v>
      </x:c>
      <x:c r="S80" s="30"/>
      <x:c r="T80" s="30"/>
      <x:c r="U80" s="30" t="str">
        <x:v>Расхождений нет.</x:v>
      </x:c>
      <x:c r="V80" s="87" t="str">
        <x:v>VERIFIED</x:v>
      </x:c>
      <x:c r="W80" s="87" t="n">
        <x:v>13</x:v>
      </x:c>
      <x:c r="X80" s="87"/>
      <x:c r="Y80" s="87"/>
      <x:c r="Z80" s="87"/>
      <x:c r="AA80" s="87"/>
      <x:c r="AB80" s="87"/>
      <x:c r="AC80" s="87"/>
      <x:c r="AD80" s="87"/>
      <x:c r="AE80" s="87"/>
      <x:c r="AF80" s="87"/>
      <x:c r="AG80" s="87"/>
      <x:c r="AH80" s="87"/>
      <x:c r="AI80" s="30"/>
      <x:c r="AJ80" s="87" t="str">
        <x:v>master</x:v>
      </x:c>
      <x:c r="AK80" s="87" t="str">
        <x:v>master-v0.81</x:v>
      </x:c>
      <x:c r="AL80" s="87" t="str">
        <x:v>statgrad_master_base_v0_81_final(2).xlsx</x:v>
      </x:c>
      <x:c r="AM80" s="87" t="str">
        <x:v>CH_Jan_V1</x:v>
      </x:c>
      <x:c r="AN80" s="87" t="n">
        <x:v>26</x:v>
      </x:c>
    </x:row>
    <x:row r="81">
      <x:c r="A81" s="87" t="n">
        <x:v>80</x:v>
      </x:c>
      <x:c r="B81" s="87" t="str">
        <x:v>JAN-CH-V1-026</x:v>
      </x:c>
      <x:c r="C81" s="87" t="str">
        <x:v>СтатГрад</x:v>
      </x:c>
      <x:c r="D81" s="87" t="str">
        <x:v>Январь 2026</x:v>
      </x:c>
      <x:c r="E81" s="87"/>
      <x:c r="F81" s="87"/>
      <x:c r="G81" s="87" t="str">
        <x:v>Химия</x:v>
      </x:c>
      <x:c r="H81" s="87" t="n">
        <x:v>11</x:v>
      </x:c>
      <x:c r="I81" s="87" t="str">
        <x:v>ТР №3</x:v>
      </x:c>
      <x:c r="J81" s="87" t="str">
        <x:v>ХИ2510301</x:v>
      </x:c>
      <x:c r="K81" s="87" t="n">
        <x:v>26</x:v>
      </x:c>
      <x:c r="L81" s="87" t="str">
        <x:v>Массовая доля</x:v>
      </x:c>
      <x:c r="M81" s="30" t="str">
        <x:v>120 г 17%-го раствора потеряли 16 г воды. Найдите новую массовую долю соли.</x:v>
      </x:c>
      <x:c r="N81" s="30" t="str">
        <x:v>19,6</x:v>
      </x:c>
      <x:c r="O81" s="30" t="str">
        <x:v>Масса соли равна 20,4 г и не меняется; новая масса раствора 104 г. ω=20,4/104·100%=19,6%.</x:v>
      </x:c>
      <x:c r="P81" s="30" t="str">
        <x:v>Массовый баланс проверен прямым вычислением.</x:v>
      </x:c>
      <x:c r="Q81" s="30"/>
      <x:c r="R81" s="30" t="str">
        <x:v>19,6</x:v>
      </x:c>
      <x:c r="S81" s="30"/>
      <x:c r="T81" s="30"/>
      <x:c r="U81" s="30" t="str">
        <x:v>Расхождений нет.</x:v>
      </x:c>
      <x:c r="V81" s="87" t="str">
        <x:v>VERIFIED</x:v>
      </x:c>
      <x:c r="W81" s="87" t="n">
        <x:v>14</x:v>
      </x:c>
      <x:c r="X81" s="87"/>
      <x:c r="Y81" s="87"/>
      <x:c r="Z81" s="87"/>
      <x:c r="AA81" s="87"/>
      <x:c r="AB81" s="87"/>
      <x:c r="AC81" s="87"/>
      <x:c r="AD81" s="87"/>
      <x:c r="AE81" s="87"/>
      <x:c r="AF81" s="87"/>
      <x:c r="AG81" s="87"/>
      <x:c r="AH81" s="87"/>
      <x:c r="AI81" s="30"/>
      <x:c r="AJ81" s="87" t="str">
        <x:v>master</x:v>
      </x:c>
      <x:c r="AK81" s="87" t="str">
        <x:v>master-v0.81</x:v>
      </x:c>
      <x:c r="AL81" s="87" t="str">
        <x:v>statgrad_master_base_v0_81_final(2).xlsx</x:v>
      </x:c>
      <x:c r="AM81" s="87" t="str">
        <x:v>CH_Jan_V1</x:v>
      </x:c>
      <x:c r="AN81" s="87" t="n">
        <x:v>27</x:v>
      </x:c>
    </x:row>
    <x:row r="82">
      <x:c r="A82" s="87" t="n">
        <x:v>81</x:v>
      </x:c>
      <x:c r="B82" s="87" t="str">
        <x:v>JAN-CH-V1-027</x:v>
      </x:c>
      <x:c r="C82" s="87" t="str">
        <x:v>СтатГрад</x:v>
      </x:c>
      <x:c r="D82" s="87" t="str">
        <x:v>Январь 2026</x:v>
      </x:c>
      <x:c r="E82" s="87"/>
      <x:c r="F82" s="87"/>
      <x:c r="G82" s="87" t="str">
        <x:v>Химия</x:v>
      </x:c>
      <x:c r="H82" s="87" t="n">
        <x:v>11</x:v>
      </x:c>
      <x:c r="I82" s="87" t="str">
        <x:v>ТР №3</x:v>
      </x:c>
      <x:c r="J82" s="87" t="str">
        <x:v>ХИ2510301</x:v>
      </x:c>
      <x:c r="K82" s="87" t="n">
        <x:v>27</x:v>
      </x:c>
      <x:c r="L82" s="87" t="str">
        <x:v>Термохимия</x:v>
      </x:c>
      <x:c r="M82" s="30" t="str">
        <x:v>P4 + 5O2 = P4O10 + 3000 кДж. Сколько фосфора сгорело при выделении 750 кДж?</x:v>
      </x:c>
      <x:c r="N82" s="30" t="str">
        <x:v>31</x:v>
      </x:c>
      <x:c r="O82" s="30" t="str">
        <x:v>750 кДж составляют четверть от 3000 кДж, значит сгорела четверть моля P4: 124/4=31 г.</x:v>
      </x:c>
      <x:c r="P82" s="30" t="str">
        <x:v>Результат проверен пропорцией теплоты и количества вещества.</x:v>
      </x:c>
      <x:c r="Q82" s="30"/>
      <x:c r="R82" s="30" t="str">
        <x:v>31</x:v>
      </x:c>
      <x:c r="S82" s="30"/>
      <x:c r="T82" s="30"/>
      <x:c r="U82" s="30" t="str">
        <x:v>Расхождений нет.</x:v>
      </x:c>
      <x:c r="V82" s="87" t="str">
        <x:v>VERIFIED</x:v>
      </x:c>
      <x:c r="W82" s="87" t="n">
        <x:v>14</x:v>
      </x:c>
      <x:c r="X82" s="87"/>
      <x:c r="Y82" s="87"/>
      <x:c r="Z82" s="87"/>
      <x:c r="AA82" s="87"/>
      <x:c r="AB82" s="87"/>
      <x:c r="AC82" s="87"/>
      <x:c r="AD82" s="87"/>
      <x:c r="AE82" s="87"/>
      <x:c r="AF82" s="87"/>
      <x:c r="AG82" s="87"/>
      <x:c r="AH82" s="87"/>
      <x:c r="AI82" s="30"/>
      <x:c r="AJ82" s="87" t="str">
        <x:v>master</x:v>
      </x:c>
      <x:c r="AK82" s="87" t="str">
        <x:v>master-v0.81</x:v>
      </x:c>
      <x:c r="AL82" s="87" t="str">
        <x:v>statgrad_master_base_v0_81_final(2).xlsx</x:v>
      </x:c>
      <x:c r="AM82" s="87" t="str">
        <x:v>CH_Jan_V1</x:v>
      </x:c>
      <x:c r="AN82" s="87" t="n">
        <x:v>28</x:v>
      </x:c>
    </x:row>
    <x:row r="83">
      <x:c r="A83" s="87" t="n">
        <x:v>82</x:v>
      </x:c>
      <x:c r="B83" s="87" t="str">
        <x:v>JAN-CH-V1-028</x:v>
      </x:c>
      <x:c r="C83" s="87" t="str">
        <x:v>СтатГрад</x:v>
      </x:c>
      <x:c r="D83" s="87" t="str">
        <x:v>Январь 2026</x:v>
      </x:c>
      <x:c r="E83" s="87"/>
      <x:c r="F83" s="87"/>
      <x:c r="G83" s="87" t="str">
        <x:v>Химия</x:v>
      </x:c>
      <x:c r="H83" s="87" t="n">
        <x:v>11</x:v>
      </x:c>
      <x:c r="I83" s="87" t="str">
        <x:v>ТР №3</x:v>
      </x:c>
      <x:c r="J83" s="87" t="str">
        <x:v>ХИ2510301</x:v>
      </x:c>
      <x:c r="K83" s="87" t="n">
        <x:v>28</x:v>
      </x:c>
      <x:c r="L83" s="87" t="str">
        <x:v>Стехиометрия и выход продукта</x:v>
      </x:c>
      <x:c r="M83" s="30" t="str">
        <x:v>Найдите объём NH3 (н.у.) для получения 120 кг карбамида при выходе 80%.</x:v>
      </x:c>
      <x:c r="N83" s="30" t="str">
        <x:v>112</x:v>
      </x:c>
      <x:c r="O83" s="30" t="str">
        <x:v>Теоретически нужно получить 150 кг карбамида, то есть 2500 моль. По уравнению 2NH3 + CO2 → (NH2)2CO + H2O требуется 5000 моль NH3, или 112 м³.</x:v>
      </x:c>
      <x:c r="P83" s="30" t="str">
        <x:v>Расчёт проверен по массе, стехиометрии и молярному объёму.</x:v>
      </x:c>
      <x:c r="Q83" s="30"/>
      <x:c r="R83" s="30" t="str">
        <x:v>112</x:v>
      </x:c>
      <x:c r="S83" s="30"/>
      <x:c r="T83" s="30"/>
      <x:c r="U83" s="30" t="str">
        <x:v>Расхождений нет.</x:v>
      </x:c>
      <x:c r="V83" s="87" t="str">
        <x:v>VERIFIED</x:v>
      </x:c>
      <x:c r="W83" s="87" t="n">
        <x:v>14</x:v>
      </x:c>
      <x:c r="X83" s="87"/>
      <x:c r="Y83" s="87"/>
      <x:c r="Z83" s="87"/>
      <x:c r="AA83" s="87"/>
      <x:c r="AB83" s="87"/>
      <x:c r="AC83" s="87"/>
      <x:c r="AD83" s="87"/>
      <x:c r="AE83" s="87"/>
      <x:c r="AF83" s="87"/>
      <x:c r="AG83" s="87"/>
      <x:c r="AH83" s="87"/>
      <x:c r="AI83" s="30"/>
      <x:c r="AJ83" s="87" t="str">
        <x:v>master</x:v>
      </x:c>
      <x:c r="AK83" s="87" t="str">
        <x:v>master-v0.81</x:v>
      </x:c>
      <x:c r="AL83" s="87" t="str">
        <x:v>statgrad_master_base_v0_81_final(2).xlsx</x:v>
      </x:c>
      <x:c r="AM83" s="87" t="str">
        <x:v>CH_Jan_V1</x:v>
      </x:c>
      <x:c r="AN83" s="87" t="n">
        <x:v>29</x:v>
      </x:c>
    </x:row>
    <x:row r="84">
      <x:c r="A84" s="87" t="n">
        <x:v>83</x:v>
      </x:c>
      <x:c r="B84" s="87" t="str">
        <x:v>JAN-CH-V1-029</x:v>
      </x:c>
      <x:c r="C84" s="87" t="str">
        <x:v>СтатГрад</x:v>
      </x:c>
      <x:c r="D84" s="87" t="str">
        <x:v>Январь 2026</x:v>
      </x:c>
      <x:c r="E84" s="87"/>
      <x:c r="F84" s="87"/>
      <x:c r="G84" s="87" t="str">
        <x:v>Химия</x:v>
      </x:c>
      <x:c r="H84" s="87" t="n">
        <x:v>11</x:v>
      </x:c>
      <x:c r="I84" s="87" t="str">
        <x:v>ТР №3</x:v>
      </x:c>
      <x:c r="J84" s="87" t="str">
        <x:v>ХИ2510301</x:v>
      </x:c>
      <x:c r="K84" s="87" t="n">
        <x:v>29</x:v>
      </x:c>
      <x:c r="L84" s="87" t="str">
        <x:v>Развёрнутый ответ: ОВР</x:v>
      </x:c>
      <x:c r="M84" s="30" t="str">
        <x:v>Из перечня выберите ОВР с выделением газа; запишите уравнение, электронный баланс, окислитель и восстановитель.</x:v>
      </x:c>
      <x:c r="N84" s="30" t="str">
        <x:v>2KBrO3 + 12HCl → 2KCl + 5Cl2↑ + Br2 + 6H2O; окислитель KBrO3, восстановитель HCl</x:v>
      </x:c>
      <x:c r="O84" s="30" t="str">
        <x:v>Br(+5) восстанавливается до Br2, а Cl(−1) окисляется до Cl2. Баланс электронов даёт отношение 1:5 для полуреакций брома и хлора.</x:v>
      </x:c>
      <x:c r="P84" s="30" t="str">
        <x:v>Уравнение проверено по атомам и электронному балансу.</x:v>
      </x:c>
      <x:c r="Q84" s="30"/>
      <x:c r="R84" s="30" t="str">
        <x:v>Критерии, стр. 1</x:v>
      </x:c>
      <x:c r="S84" s="30"/>
      <x:c r="T84" s="30"/>
      <x:c r="U84" s="30" t="str">
        <x:v>Критерий перенесён отдельно без изменения.</x:v>
      </x:c>
      <x:c r="V84" s="87" t="str">
        <x:v>VERIFIED</x:v>
      </x:c>
      <x:c r="W84" s="87" t="n">
        <x:v>15</x:v>
      </x:c>
      <x:c r="X84" s="87"/>
      <x:c r="Y84" s="87"/>
      <x:c r="Z84" s="87"/>
      <x:c r="AA84" s="87"/>
      <x:c r="AB84" s="87"/>
      <x:c r="AC84" s="87"/>
      <x:c r="AD84" s="87"/>
      <x:c r="AE84" s="87"/>
      <x:c r="AF84" s="87"/>
      <x:c r="AG84" s="87"/>
      <x:c r="AH84" s="87"/>
      <x:c r="AI84" s="30"/>
      <x:c r="AJ84" s="87" t="str">
        <x:v>master</x:v>
      </x:c>
      <x:c r="AK84" s="87" t="str">
        <x:v>master-v0.81</x:v>
      </x:c>
      <x:c r="AL84" s="87" t="str">
        <x:v>statgrad_master_base_v0_81_final(2).xlsx</x:v>
      </x:c>
      <x:c r="AM84" s="87" t="str">
        <x:v>CH_Jan_V1</x:v>
      </x:c>
      <x:c r="AN84" s="87" t="n">
        <x:v>30</x:v>
      </x:c>
    </x:row>
    <x:row r="85">
      <x:c r="A85" s="87" t="n">
        <x:v>84</x:v>
      </x:c>
      <x:c r="B85" s="87" t="str">
        <x:v>JAN-CH-V1-030</x:v>
      </x:c>
      <x:c r="C85" s="87" t="str">
        <x:v>СтатГрад</x:v>
      </x:c>
      <x:c r="D85" s="87" t="str">
        <x:v>Январь 2026</x:v>
      </x:c>
      <x:c r="E85" s="87"/>
      <x:c r="F85" s="87"/>
      <x:c r="G85" s="87" t="str">
        <x:v>Химия</x:v>
      </x:c>
      <x:c r="H85" s="87" t="n">
        <x:v>11</x:v>
      </x:c>
      <x:c r="I85" s="87" t="str">
        <x:v>ТР №3</x:v>
      </x:c>
      <x:c r="J85" s="87" t="str">
        <x:v>ХИ2510301</x:v>
      </x:c>
      <x:c r="K85" s="87" t="n">
        <x:v>30</x:v>
      </x:c>
      <x:c r="L85" s="87" t="str">
        <x:v>Развёрнутый ответ: ионный обмен</x:v>
      </x:c>
      <x:c r="M85" s="30" t="str">
        <x:v>Выберите реакцию ионного обмена без осадка и газа; запишите молекулярное, полное и сокращённое ионное уравнения.</x:v>
      </x:c>
      <x:c r="N85" s="30" t="str">
        <x:v>Zn(OH)2 + 2HCl → ZnCl2 + 2H2O; Zn(OH)2 + 2H+ → Zn2+ + 2H2O</x:v>
      </x:c>
      <x:c r="O85" s="30" t="str">
        <x:v>Нерастворимый амфотерный гидроксид растворяется в кислоте. Ионы Cl− являются зрителями и сокращаются.</x:v>
      </x:c>
      <x:c r="P85" s="30" t="str">
        <x:v>Проверены растворимость веществ, заряд и материальный баланс.</x:v>
      </x:c>
      <x:c r="Q85" s="30"/>
      <x:c r="R85" s="30" t="str">
        <x:v>Критерии, стр. 2</x:v>
      </x:c>
      <x:c r="S85" s="30"/>
      <x:c r="T85" s="30"/>
      <x:c r="U85" s="30" t="str">
        <x:v>Допустим и другой корректный вариант, предусмотренный критерием.</x:v>
      </x:c>
      <x:c r="V85" s="87" t="str">
        <x:v>VERIFIED</x:v>
      </x:c>
      <x:c r="W85" s="87" t="n">
        <x:v>15</x:v>
      </x:c>
      <x:c r="X85" s="87"/>
      <x:c r="Y85" s="87"/>
      <x:c r="Z85" s="87"/>
      <x:c r="AA85" s="87"/>
      <x:c r="AB85" s="87"/>
      <x:c r="AC85" s="87"/>
      <x:c r="AD85" s="87"/>
      <x:c r="AE85" s="87"/>
      <x:c r="AF85" s="87"/>
      <x:c r="AG85" s="87"/>
      <x:c r="AH85" s="87"/>
      <x:c r="AI85" s="30"/>
      <x:c r="AJ85" s="87" t="str">
        <x:v>master</x:v>
      </x:c>
      <x:c r="AK85" s="87" t="str">
        <x:v>master-v0.81</x:v>
      </x:c>
      <x:c r="AL85" s="87" t="str">
        <x:v>statgrad_master_base_v0_81_final(2).xlsx</x:v>
      </x:c>
      <x:c r="AM85" s="87" t="str">
        <x:v>CH_Jan_V1</x:v>
      </x:c>
      <x:c r="AN85" s="87" t="n">
        <x:v>31</x:v>
      </x:c>
    </x:row>
    <x:row r="86">
      <x:c r="A86" s="87" t="n">
        <x:v>85</x:v>
      </x:c>
      <x:c r="B86" s="87" t="str">
        <x:v>JAN-CH-V1-031</x:v>
      </x:c>
      <x:c r="C86" s="87" t="str">
        <x:v>СтатГрад</x:v>
      </x:c>
      <x:c r="D86" s="87" t="str">
        <x:v>Январь 2026</x:v>
      </x:c>
      <x:c r="E86" s="87"/>
      <x:c r="F86" s="87"/>
      <x:c r="G86" s="87" t="str">
        <x:v>Химия</x:v>
      </x:c>
      <x:c r="H86" s="87" t="n">
        <x:v>11</x:v>
      </x:c>
      <x:c r="I86" s="87" t="str">
        <x:v>ТР №3</x:v>
      </x:c>
      <x:c r="J86" s="87" t="str">
        <x:v>ХИ2510301</x:v>
      </x:c>
      <x:c r="K86" s="87" t="n">
        <x:v>31</x:v>
      </x:c>
      <x:c r="L86" s="87" t="str">
        <x:v>Развёрнутый ответ: цепочка неорганических реакций</x:v>
      </x:c>
      <x:c r="M86" s="30" t="str">
        <x:v>Малахит растворили в H2SO4; CO2 пропустили через NH3 и над Na2O2; к раствору CuSO4 добавили избыток NH3. Запишите четыре уравнения.</x:v>
      </x:c>
      <x:c r="N86" s="30" t="str">
        <x:v>Cu2(OH)2CO3 + 2H2SO4 → 2CuSO4 + CO2↑ + 3H2O; CO2 + 2NH3 + H2O → (NH4)2CO3; 2CO2 + 2Na2O2 → 2Na2CO3 + O2↑; CuSO4 + 4NH3 → [Cu(NH3)4]SO4</x:v>
      </x:c>
      <x:c r="O86" s="30" t="str">
        <x:v>Кислота разлагает карбонат с выделением CO2; аммиак связывает CO2; пероксид натрия окисляет CO2 с выделением O2; Cu2+ образует сине-фиолетовый амминокомплекс.</x:v>
      </x:c>
      <x:c r="P86" s="30" t="str">
        <x:v>Все четыре уравнения проверены по составу продуктов и наблюдениям.</x:v>
      </x:c>
      <x:c r="Q86" s="30"/>
      <x:c r="R86" s="30" t="str">
        <x:v>Критерии, стр. 2</x:v>
      </x:c>
      <x:c r="S86" s="30"/>
      <x:c r="T86" s="30"/>
      <x:c r="U86" s="30" t="str">
        <x:v>Критерий допускает альтернативную запись амминокомплекса.</x:v>
      </x:c>
      <x:c r="V86" s="87" t="str">
        <x:v>VERIFIED</x:v>
      </x:c>
      <x:c r="W86" s="87" t="n">
        <x:v>15</x:v>
      </x:c>
      <x:c r="X86" s="87"/>
      <x:c r="Y86" s="87"/>
      <x:c r="Z86" s="87"/>
      <x:c r="AA86" s="87"/>
      <x:c r="AB86" s="87"/>
      <x:c r="AC86" s="87"/>
      <x:c r="AD86" s="87"/>
      <x:c r="AE86" s="87"/>
      <x:c r="AF86" s="87"/>
      <x:c r="AG86" s="87"/>
      <x:c r="AH86" s="87"/>
      <x:c r="AI86" s="30"/>
      <x:c r="AJ86" s="87" t="str">
        <x:v>master</x:v>
      </x:c>
      <x:c r="AK86" s="87" t="str">
        <x:v>master-v0.81</x:v>
      </x:c>
      <x:c r="AL86" s="87" t="str">
        <x:v>statgrad_master_base_v0_81_final(2).xlsx</x:v>
      </x:c>
      <x:c r="AM86" s="87" t="str">
        <x:v>CH_Jan_V1</x:v>
      </x:c>
      <x:c r="AN86" s="87" t="n">
        <x:v>32</x:v>
      </x:c>
    </x:row>
    <x:row r="87">
      <x:c r="A87" s="87" t="n">
        <x:v>86</x:v>
      </x:c>
      <x:c r="B87" s="87" t="str">
        <x:v>JAN-CH-V1-032</x:v>
      </x:c>
      <x:c r="C87" s="87" t="str">
        <x:v>СтатГрад</x:v>
      </x:c>
      <x:c r="D87" s="87" t="str">
        <x:v>Январь 2026</x:v>
      </x:c>
      <x:c r="E87" s="87"/>
      <x:c r="F87" s="87"/>
      <x:c r="G87" s="87" t="str">
        <x:v>Химия</x:v>
      </x:c>
      <x:c r="H87" s="87" t="n">
        <x:v>11</x:v>
      </x:c>
      <x:c r="I87" s="87" t="str">
        <x:v>ТР №3</x:v>
      </x:c>
      <x:c r="J87" s="87" t="str">
        <x:v>ХИ2510301</x:v>
      </x:c>
      <x:c r="K87" s="87" t="n">
        <x:v>32</x:v>
      </x:c>
      <x:c r="L87" s="87" t="str">
        <x:v>Развёрнутый ответ: органическая цепочка</x:v>
      </x:c>
      <x:c r="M87" s="30" t="str">
        <x:v>Проведите превращения: изопропилацетат → X1 → C3H6 → X2 → X3 → C10H14.</x:v>
      </x:c>
      <x:c r="N87" s="30" t="str">
        <x:v>X1=(CH3)2CHOH; C3H6=CH3CH=CH2; X2=C6H5CH(CH3)2; X3=p-BrC6H4CH(CH3)2; C10H14=p-CH3C6H4CH(CH3)2</x:v>
      </x:c>
      <x:c r="O87" s="30" t="str">
        <x:v>Щелочной гидролиз даёт изопропанол; дегидратация — пропен; алкилирование бензола — кумол; бромирование идёт преимущественно в пара-положение; реакция Вюрца–Фиттига вводит CH3.</x:v>
      </x:c>
      <x:c r="P87" s="30" t="str">
        <x:v>Проверены строение промежуточных веществ и формула конечного продукта.</x:v>
      </x:c>
      <x:c r="Q87" s="30"/>
      <x:c r="R87" s="30" t="str">
        <x:v>Критерии, стр. 3</x:v>
      </x:c>
      <x:c r="S87" s="30"/>
      <x:c r="T87" s="30"/>
      <x:c r="U87" s="30" t="str">
        <x:v>Преимущественные продукты соответствуют условию.</x:v>
      </x:c>
      <x:c r="V87" s="87" t="str">
        <x:v>VERIFIED</x:v>
      </x:c>
      <x:c r="W87" s="87" t="n">
        <x:v>15</x:v>
      </x:c>
      <x:c r="X87" s="87"/>
      <x:c r="Y87" s="87"/>
      <x:c r="Z87" s="87"/>
      <x:c r="AA87" s="87"/>
      <x:c r="AB87" s="87"/>
      <x:c r="AC87" s="87"/>
      <x:c r="AD87" s="87"/>
      <x:c r="AE87" s="87"/>
      <x:c r="AF87" s="87"/>
      <x:c r="AG87" s="87"/>
      <x:c r="AH87" s="87"/>
      <x:c r="AI87" s="30"/>
      <x:c r="AJ87" s="87" t="str">
        <x:v>master</x:v>
      </x:c>
      <x:c r="AK87" s="87" t="str">
        <x:v>master-v0.81</x:v>
      </x:c>
      <x:c r="AL87" s="87" t="str">
        <x:v>statgrad_master_base_v0_81_final(2).xlsx</x:v>
      </x:c>
      <x:c r="AM87" s="87" t="str">
        <x:v>CH_Jan_V1</x:v>
      </x:c>
      <x:c r="AN87" s="87" t="n">
        <x:v>33</x:v>
      </x:c>
    </x:row>
    <x:row r="88">
      <x:c r="A88" s="87" t="n">
        <x:v>87</x:v>
      </x:c>
      <x:c r="B88" s="87" t="str">
        <x:v>JAN-CH-V1-033</x:v>
      </x:c>
      <x:c r="C88" s="87" t="str">
        <x:v>СтатГрад</x:v>
      </x:c>
      <x:c r="D88" s="87" t="str">
        <x:v>Январь 2026</x:v>
      </x:c>
      <x:c r="E88" s="87"/>
      <x:c r="F88" s="87"/>
      <x:c r="G88" s="87" t="str">
        <x:v>Химия</x:v>
      </x:c>
      <x:c r="H88" s="87" t="n">
        <x:v>11</x:v>
      </x:c>
      <x:c r="I88" s="87" t="str">
        <x:v>ТР №3</x:v>
      </x:c>
      <x:c r="J88" s="87" t="str">
        <x:v>ХИ2510301</x:v>
      </x:c>
      <x:c r="K88" s="87" t="n">
        <x:v>33</x:v>
      </x:c>
      <x:c r="L88" s="87" t="str">
        <x:v>Развёрнутый ответ: установление формулы</x:v>
      </x:c>
      <x:c r="M88" s="30" t="str">
        <x:v>По продуктам сгорания и свойствам установите вещество A с двумя бензольными кольцами и запишите его реакцию с Br2(водн.) 1:1.</x:v>
      </x:c>
      <x:c r="N88" s="30" t="str">
        <x:v>A: C12H11N, дифениламин C6H5–NH–C6H5; при бромировании образуется преимущественно p-бромдифениламин + HBr</x:v>
      </x:c>
      <x:c r="O88" s="30" t="str">
        <x:v>Из CO2, N2 и H2O получают соотношение атомов C:H:N=12:11:1; масса элементов совпадает с навеской, кислорода нет. Условия указывают на вторичный ароматический амин — дифениламин.</x:v>
      </x:c>
      <x:c r="P88" s="30" t="str">
        <x:v>Элементный баланс и молекулярная формула пересчитаны независимо.</x:v>
      </x:c>
      <x:c r="Q88" s="30"/>
      <x:c r="R88" s="30" t="str">
        <x:v>Критерии, стр. 4–5</x:v>
      </x:c>
      <x:c r="S88" s="30"/>
      <x:c r="T88" s="30"/>
      <x:c r="U88" s="30" t="str">
        <x:v>Критерий перенесён отдельно без изменения.</x:v>
      </x:c>
      <x:c r="V88" s="87" t="str">
        <x:v>VERIFIED</x:v>
      </x:c>
      <x:c r="W88" s="87" t="n">
        <x:v>16</x:v>
      </x:c>
      <x:c r="X88" s="87"/>
      <x:c r="Y88" s="87"/>
      <x:c r="Z88" s="87"/>
      <x:c r="AA88" s="87"/>
      <x:c r="AB88" s="87"/>
      <x:c r="AC88" s="87"/>
      <x:c r="AD88" s="87"/>
      <x:c r="AE88" s="87"/>
      <x:c r="AF88" s="87"/>
      <x:c r="AG88" s="87"/>
      <x:c r="AH88" s="87"/>
      <x:c r="AI88" s="30"/>
      <x:c r="AJ88" s="87" t="str">
        <x:v>master</x:v>
      </x:c>
      <x:c r="AK88" s="87" t="str">
        <x:v>master-v0.81</x:v>
      </x:c>
      <x:c r="AL88" s="87" t="str">
        <x:v>statgrad_master_base_v0_81_final(2).xlsx</x:v>
      </x:c>
      <x:c r="AM88" s="87" t="str">
        <x:v>CH_Jan_V1</x:v>
      </x:c>
      <x:c r="AN88" s="87" t="n">
        <x:v>34</x:v>
      </x:c>
    </x:row>
    <x:row r="89">
      <x:c r="A89" s="87" t="n">
        <x:v>88</x:v>
      </x:c>
      <x:c r="B89" s="87" t="str">
        <x:v>JAN-CH-V1-034</x:v>
      </x:c>
      <x:c r="C89" s="87" t="str">
        <x:v>СтатГрад</x:v>
      </x:c>
      <x:c r="D89" s="87" t="str">
        <x:v>Январь 2026</x:v>
      </x:c>
      <x:c r="E89" s="87"/>
      <x:c r="F89" s="87"/>
      <x:c r="G89" s="87" t="str">
        <x:v>Химия</x:v>
      </x:c>
      <x:c r="H89" s="87" t="n">
        <x:v>11</x:v>
      </x:c>
      <x:c r="I89" s="87" t="str">
        <x:v>ТР №3</x:v>
      </x:c>
      <x:c r="J89" s="87" t="str">
        <x:v>ХИ2510301</x:v>
      </x:c>
      <x:c r="K89" s="87" t="n">
        <x:v>34</x:v>
      </x:c>
      <x:c r="L89" s="87" t="str">
        <x:v>Развёрнутый ответ: расчёт раствора</x:v>
      </x:c>
      <x:c r="M89" s="30" t="str">
        <x:v>Смесь CuS и FeS растворили в 70%-й H2SO4, разбавили и выдержали с медной пластинкой. Найдите массовые доли солей в конечном растворе.</x:v>
      </x:c>
      <x:c r="N89" s="30" t="str">
        <x:v>ω(FeSO4)=9,9%; ω(CuSO4)=13,9%</x:v>
      </x:c>
      <x:c r="O89" s="30" t="str">
        <x:v>Из системы 96x+88y=5,04 и 4x+5y=0,25 получаем x(CuS)=0,025 моль, y(FeS)=0,030 моль. После реакции Cu с Fe2(SO4)3 в растворе 0,030 моль FeSO4 и 0,040 моль CuSO4; масса раствора 45,96 г.</x:v>
      </x:c>
      <x:c r="P89" s="30" t="str">
        <x:v>Система, стехиометрия ОВР с Cu и массовые доли пересчитаны.</x:v>
      </x:c>
      <x:c r="Q89" s="30"/>
      <x:c r="R89" s="30" t="str">
        <x:v>Критерии, стр. 5–6</x:v>
      </x:c>
      <x:c r="S89" s="30"/>
      <x:c r="T89" s="30"/>
      <x:c r="U89" s="30" t="str">
        <x:v>Расхождений нет.</x:v>
      </x:c>
      <x:c r="V89" s="87" t="str">
        <x:v>VERIFIED</x:v>
      </x:c>
      <x:c r="W89" s="87" t="n">
        <x:v>16</x:v>
      </x:c>
      <x:c r="X89" s="87"/>
      <x:c r="Y89" s="87"/>
      <x:c r="Z89" s="87"/>
      <x:c r="AA89" s="87"/>
      <x:c r="AB89" s="87"/>
      <x:c r="AC89" s="87"/>
      <x:c r="AD89" s="87"/>
      <x:c r="AE89" s="87"/>
      <x:c r="AF89" s="87"/>
      <x:c r="AG89" s="87"/>
      <x:c r="AH89" s="87"/>
      <x:c r="AI89" s="30"/>
      <x:c r="AJ89" s="87" t="str">
        <x:v>master</x:v>
      </x:c>
      <x:c r="AK89" s="87" t="str">
        <x:v>master-v0.81</x:v>
      </x:c>
      <x:c r="AL89" s="87" t="str">
        <x:v>statgrad_master_base_v0_81_final(2).xlsx</x:v>
      </x:c>
      <x:c r="AM89" s="87" t="str">
        <x:v>CH_Jan_V1</x:v>
      </x:c>
      <x:c r="AN89" s="87" t="n">
        <x:v>35</x:v>
      </x:c>
    </x:row>
    <x:row r="90">
      <x:c r="A90" s="87" t="n">
        <x:v>89</x:v>
      </x:c>
      <x:c r="B90" s="87" t="str">
        <x:v>JAN-CH-V2-001</x:v>
      </x:c>
      <x:c r="C90" s="87" t="str">
        <x:v>СтатГрад</x:v>
      </x:c>
      <x:c r="D90" s="87" t="str">
        <x:v>Январь 2026</x:v>
      </x:c>
      <x:c r="E90" s="87"/>
      <x:c r="F90" s="87"/>
      <x:c r="G90" s="87" t="str">
        <x:v>Химия</x:v>
      </x:c>
      <x:c r="H90" s="87" t="n">
        <x:v>11</x:v>
      </x:c>
      <x:c r="I90" s="87" t="str">
        <x:v>ТР №3</x:v>
      </x:c>
      <x:c r="J90" s="87" t="str">
        <x:v>ХИ2510302</x:v>
      </x:c>
      <x:c r="K90" s="87" t="n">
        <x:v>1</x:v>
      </x:c>
      <x:c r="L90" s="87" t="str">
        <x:v>Строение атома</x:v>
      </x:c>
      <x:c r="M90" s="30" t="str">
        <x:v>Из ряда H, Mg, Si, Li, Cl выберите два элемента, у которых число электронов на внешнем уровне меньше номера периода.</x:v>
      </x:c>
      <x:c r="N90" s="30" t="str">
        <x:v>24</x:v>
      </x:c>
      <x:c r="O90" s="30" t="str">
        <x:v>У Mg два внешних электрона при номере периода 3; у Li один внешний электрон при номере периода 2.</x:v>
      </x:c>
      <x:c r="P90" s="30" t="str">
        <x:v>Проверены электронные конфигурации всех пяти элементов.</x:v>
      </x:c>
      <x:c r="Q90" s="30"/>
      <x:c r="R90" s="30" t="str">
        <x:v>24</x:v>
      </x:c>
      <x:c r="S90" s="30"/>
      <x:c r="T90" s="30"/>
      <x:c r="U90" s="30" t="str">
        <x:v>Расхождений нет.</x:v>
      </x:c>
      <x:c r="V90" s="87" t="str">
        <x:v>VERIFIED</x:v>
      </x:c>
      <x:c r="W90" s="87" t="n">
        <x:v>2</x:v>
      </x:c>
      <x:c r="X90" s="87"/>
      <x:c r="Y90" s="87"/>
      <x:c r="Z90" s="87"/>
      <x:c r="AA90" s="87"/>
      <x:c r="AB90" s="87"/>
      <x:c r="AC90" s="87"/>
      <x:c r="AD90" s="87"/>
      <x:c r="AE90" s="87"/>
      <x:c r="AF90" s="87"/>
      <x:c r="AG90" s="87"/>
      <x:c r="AH90" s="87"/>
      <x:c r="AI90" s="30"/>
      <x:c r="AJ90" s="87" t="str">
        <x:v>master</x:v>
      </x:c>
      <x:c r="AK90" s="87" t="str">
        <x:v>master-v0.81</x:v>
      </x:c>
      <x:c r="AL90" s="87" t="str">
        <x:v>statgrad_master_base_v0_81_final(2).xlsx</x:v>
      </x:c>
      <x:c r="AM90" s="87" t="str">
        <x:v>CH_Jan_V2</x:v>
      </x:c>
      <x:c r="AN90" s="87" t="n">
        <x:v>2</x:v>
      </x:c>
    </x:row>
    <x:row r="91">
      <x:c r="A91" s="87" t="n">
        <x:v>90</x:v>
      </x:c>
      <x:c r="B91" s="87" t="str">
        <x:v>JAN-CH-V2-002</x:v>
      </x:c>
      <x:c r="C91" s="87" t="str">
        <x:v>СтатГрад</x:v>
      </x:c>
      <x:c r="D91" s="87" t="str">
        <x:v>Январь 2026</x:v>
      </x:c>
      <x:c r="E91" s="87"/>
      <x:c r="F91" s="87"/>
      <x:c r="G91" s="87" t="str">
        <x:v>Химия</x:v>
      </x:c>
      <x:c r="H91" s="87" t="n">
        <x:v>11</x:v>
      </x:c>
      <x:c r="I91" s="87" t="str">
        <x:v>ТР №3</x:v>
      </x:c>
      <x:c r="J91" s="87" t="str">
        <x:v>ХИ2510302</x:v>
      </x:c>
      <x:c r="K91" s="87" t="n">
        <x:v>2</x:v>
      </x:c>
      <x:c r="L91" s="87" t="str">
        <x:v>Периодические свойства</x:v>
      </x:c>
      <x:c r="M91" s="30" t="str">
        <x:v>Выберите три элемента одного периода и расположите их по возрастанию восстановительных свойств простого вещества.</x:v>
      </x:c>
      <x:c r="N91" s="30" t="str">
        <x:v>532</x:v>
      </x:c>
      <x:c r="O91" s="30" t="str">
        <x:v>Mg, Si и Cl находятся в 3-м периоде. Восстановительные свойства возрастают справа налево: Cl2 &lt; Si &lt; Mg.</x:v>
      </x:c>
      <x:c r="P91" s="30" t="str">
        <x:v>Сопоставлены положение в периоде и способность отдавать электроны.</x:v>
      </x:c>
      <x:c r="Q91" s="30"/>
      <x:c r="R91" s="30" t="str">
        <x:v>532</x:v>
      </x:c>
      <x:c r="S91" s="30"/>
      <x:c r="T91" s="30"/>
      <x:c r="U91" s="30" t="str">
        <x:v>Расхождений нет.</x:v>
      </x:c>
      <x:c r="V91" s="87" t="str">
        <x:v>VERIFIED</x:v>
      </x:c>
      <x:c r="W91" s="87" t="n">
        <x:v>2</x:v>
      </x:c>
      <x:c r="X91" s="87"/>
      <x:c r="Y91" s="87"/>
      <x:c r="Z91" s="87"/>
      <x:c r="AA91" s="87"/>
      <x:c r="AB91" s="87"/>
      <x:c r="AC91" s="87"/>
      <x:c r="AD91" s="87"/>
      <x:c r="AE91" s="87"/>
      <x:c r="AF91" s="87"/>
      <x:c r="AG91" s="87"/>
      <x:c r="AH91" s="87"/>
      <x:c r="AI91" s="30"/>
      <x:c r="AJ91" s="87" t="str">
        <x:v>master</x:v>
      </x:c>
      <x:c r="AK91" s="87" t="str">
        <x:v>master-v0.81</x:v>
      </x:c>
      <x:c r="AL91" s="87" t="str">
        <x:v>statgrad_master_base_v0_81_final(2).xlsx</x:v>
      </x:c>
      <x:c r="AM91" s="87" t="str">
        <x:v>CH_Jan_V2</x:v>
      </x:c>
      <x:c r="AN91" s="87" t="n">
        <x:v>3</x:v>
      </x:c>
    </x:row>
    <x:row r="92">
      <x:c r="A92" s="87" t="n">
        <x:v>91</x:v>
      </x:c>
      <x:c r="B92" s="87" t="str">
        <x:v>JAN-CH-V2-003</x:v>
      </x:c>
      <x:c r="C92" s="87" t="str">
        <x:v>СтатГрад</x:v>
      </x:c>
      <x:c r="D92" s="87" t="str">
        <x:v>Январь 2026</x:v>
      </x:c>
      <x:c r="E92" s="87"/>
      <x:c r="F92" s="87"/>
      <x:c r="G92" s="87" t="str">
        <x:v>Химия</x:v>
      </x:c>
      <x:c r="H92" s="87" t="n">
        <x:v>11</x:v>
      </x:c>
      <x:c r="I92" s="87" t="str">
        <x:v>ТР №3</x:v>
      </x:c>
      <x:c r="J92" s="87" t="str">
        <x:v>ХИ2510302</x:v>
      </x:c>
      <x:c r="K92" s="87" t="n">
        <x:v>3</x:v>
      </x:c>
      <x:c r="L92" s="87" t="str">
        <x:v>Состав анионов</x:v>
      </x:c>
      <x:c r="M92" s="30" t="str">
        <x:v>Из ряда H, Mg, Si, Li, Cl выберите два элемента, которые входят в состав анионов вида ЭO3^n−.</x:v>
      </x:c>
      <x:c r="N92" s="30" t="str">
        <x:v>35</x:v>
      </x:c>
      <x:c r="O92" s="30" t="str">
        <x:v>Кремний входит в состав силикат-иона SiO3²⁻, а хлор — хлорат-иона ClO3⁻.</x:v>
      </x:c>
      <x:c r="P92" s="30" t="str">
        <x:v>Проверены типичные кислородсодержащие анионы.</x:v>
      </x:c>
      <x:c r="Q92" s="30"/>
      <x:c r="R92" s="30" t="str">
        <x:v>35</x:v>
      </x:c>
      <x:c r="S92" s="30"/>
      <x:c r="T92" s="30"/>
      <x:c r="U92" s="30" t="str">
        <x:v>Расхождений нет.</x:v>
      </x:c>
      <x:c r="V92" s="87" t="str">
        <x:v>VERIFIED</x:v>
      </x:c>
      <x:c r="W92" s="87" t="n">
        <x:v>2</x:v>
      </x:c>
      <x:c r="X92" s="87"/>
      <x:c r="Y92" s="87"/>
      <x:c r="Z92" s="87"/>
      <x:c r="AA92" s="87"/>
      <x:c r="AB92" s="87"/>
      <x:c r="AC92" s="87"/>
      <x:c r="AD92" s="87"/>
      <x:c r="AE92" s="87"/>
      <x:c r="AF92" s="87"/>
      <x:c r="AG92" s="87"/>
      <x:c r="AH92" s="87"/>
      <x:c r="AI92" s="30"/>
      <x:c r="AJ92" s="87" t="str">
        <x:v>master</x:v>
      </x:c>
      <x:c r="AK92" s="87" t="str">
        <x:v>master-v0.81</x:v>
      </x:c>
      <x:c r="AL92" s="87" t="str">
        <x:v>statgrad_master_base_v0_81_final(2).xlsx</x:v>
      </x:c>
      <x:c r="AM92" s="87" t="str">
        <x:v>CH_Jan_V2</x:v>
      </x:c>
      <x:c r="AN92" s="87" t="n">
        <x:v>4</x:v>
      </x:c>
    </x:row>
    <x:row r="93">
      <x:c r="A93" s="87" t="n">
        <x:v>92</x:v>
      </x:c>
      <x:c r="B93" s="87" t="str">
        <x:v>JAN-CH-V2-004</x:v>
      </x:c>
      <x:c r="C93" s="87" t="str">
        <x:v>СтатГрад</x:v>
      </x:c>
      <x:c r="D93" s="87" t="str">
        <x:v>Январь 2026</x:v>
      </x:c>
      <x:c r="E93" s="87"/>
      <x:c r="F93" s="87"/>
      <x:c r="G93" s="87" t="str">
        <x:v>Химия</x:v>
      </x:c>
      <x:c r="H93" s="87" t="n">
        <x:v>11</x:v>
      </x:c>
      <x:c r="I93" s="87" t="str">
        <x:v>ТР №3</x:v>
      </x:c>
      <x:c r="J93" s="87" t="str">
        <x:v>ХИ2510302</x:v>
      </x:c>
      <x:c r="K93" s="87" t="n">
        <x:v>4</x:v>
      </x:c>
      <x:c r="L93" s="87" t="str">
        <x:v>Химическая связь</x:v>
      </x:c>
      <x:c r="M93" s="30" t="str">
        <x:v>Выберите два вещества, в молекулах которых нет одинарных ковалентных связей: HNO3, H2S, CO2, C2H4, SO3.</x:v>
      </x:c>
      <x:c r="N93" s="30" t="str">
        <x:v>35</x:v>
      </x:c>
      <x:c r="O93" s="30" t="str">
        <x:v>В CO2 имеются две двойные связи C=O; в принятой структурной записи SO3 — кратные связи S=O. В остальных молекулах присутствуют одинарные связи.</x:v>
      </x:c>
      <x:c r="P93" s="30" t="str">
        <x:v>Для каждого вещества построена структурная формула.</x:v>
      </x:c>
      <x:c r="Q93" s="30"/>
      <x:c r="R93" s="30" t="str">
        <x:v>35</x:v>
      </x:c>
      <x:c r="S93" s="30"/>
      <x:c r="T93" s="30"/>
      <x:c r="U93" s="30" t="str">
        <x:v>Расхождений нет.</x:v>
      </x:c>
      <x:c r="V93" s="87" t="str">
        <x:v>VERIFIED</x:v>
      </x:c>
      <x:c r="W93" s="87" t="n">
        <x:v>3</x:v>
      </x:c>
      <x:c r="X93" s="87"/>
      <x:c r="Y93" s="87"/>
      <x:c r="Z93" s="87"/>
      <x:c r="AA93" s="87"/>
      <x:c r="AB93" s="87"/>
      <x:c r="AC93" s="87"/>
      <x:c r="AD93" s="87"/>
      <x:c r="AE93" s="87"/>
      <x:c r="AF93" s="87"/>
      <x:c r="AG93" s="87"/>
      <x:c r="AH93" s="87"/>
      <x:c r="AI93" s="30"/>
      <x:c r="AJ93" s="87" t="str">
        <x:v>master</x:v>
      </x:c>
      <x:c r="AK93" s="87" t="str">
        <x:v>master-v0.81</x:v>
      </x:c>
      <x:c r="AL93" s="87" t="str">
        <x:v>statgrad_master_base_v0_81_final(2).xlsx</x:v>
      </x:c>
      <x:c r="AM93" s="87" t="str">
        <x:v>CH_Jan_V2</x:v>
      </x:c>
      <x:c r="AN93" s="87" t="n">
        <x:v>5</x:v>
      </x:c>
    </x:row>
    <x:row r="94">
      <x:c r="A94" s="87" t="n">
        <x:v>93</x:v>
      </x:c>
      <x:c r="B94" s="87" t="str">
        <x:v>JAN-CH-V2-005</x:v>
      </x:c>
      <x:c r="C94" s="87" t="str">
        <x:v>СтатГрад</x:v>
      </x:c>
      <x:c r="D94" s="87" t="str">
        <x:v>Январь 2026</x:v>
      </x:c>
      <x:c r="E94" s="87"/>
      <x:c r="F94" s="87"/>
      <x:c r="G94" s="87" t="str">
        <x:v>Химия</x:v>
      </x:c>
      <x:c r="H94" s="87" t="n">
        <x:v>11</x:v>
      </x:c>
      <x:c r="I94" s="87" t="str">
        <x:v>ТР №3</x:v>
      </x:c>
      <x:c r="J94" s="87" t="str">
        <x:v>ХИ2510302</x:v>
      </x:c>
      <x:c r="K94" s="87" t="n">
        <x:v>5</x:v>
      </x:c>
      <x:c r="L94" s="87" t="str">
        <x:v>Классы неорганических веществ</x:v>
      </x:c>
      <x:c r="M94" s="30" t="str">
        <x:v>По таблице выберите двухосновную кислоту, среднюю соль и сильное основание.</x:v>
      </x:c>
      <x:c r="N94" s="30" t="str">
        <x:v>753</x:v>
      </x:c>
      <x:c r="O94" s="30" t="str">
        <x:v>Щавелевая кислота H2C2O4 — двухосновная; CH3COONH4 — средняя соль; Ba(OH)2 — сильное основание.</x:v>
      </x:c>
      <x:c r="P94" s="30" t="str">
        <x:v>Каждое вещество классифицировано по составу и силе электролита.</x:v>
      </x:c>
      <x:c r="Q94" s="30"/>
      <x:c r="R94" s="30" t="str">
        <x:v>753</x:v>
      </x:c>
      <x:c r="S94" s="30"/>
      <x:c r="T94" s="30"/>
      <x:c r="U94" s="30" t="str">
        <x:v>Расхождений нет.</x:v>
      </x:c>
      <x:c r="V94" s="87" t="str">
        <x:v>VERIFIED</x:v>
      </x:c>
      <x:c r="W94" s="87" t="n">
        <x:v>3</x:v>
      </x:c>
      <x:c r="X94" s="87"/>
      <x:c r="Y94" s="87"/>
      <x:c r="Z94" s="87"/>
      <x:c r="AA94" s="87"/>
      <x:c r="AB94" s="87"/>
      <x:c r="AC94" s="87"/>
      <x:c r="AD94" s="87"/>
      <x:c r="AE94" s="87"/>
      <x:c r="AF94" s="87"/>
      <x:c r="AG94" s="87"/>
      <x:c r="AH94" s="87"/>
      <x:c r="AI94" s="30"/>
      <x:c r="AJ94" s="87" t="str">
        <x:v>master</x:v>
      </x:c>
      <x:c r="AK94" s="87" t="str">
        <x:v>master-v0.81</x:v>
      </x:c>
      <x:c r="AL94" s="87" t="str">
        <x:v>statgrad_master_base_v0_81_final(2).xlsx</x:v>
      </x:c>
      <x:c r="AM94" s="87" t="str">
        <x:v>CH_Jan_V2</x:v>
      </x:c>
      <x:c r="AN94" s="87" t="n">
        <x:v>6</x:v>
      </x:c>
    </x:row>
    <x:row r="95">
      <x:c r="A95" s="87" t="n">
        <x:v>94</x:v>
      </x:c>
      <x:c r="B95" s="87" t="str">
        <x:v>JAN-CH-V2-006</x:v>
      </x:c>
      <x:c r="C95" s="87" t="str">
        <x:v>СтатГрад</x:v>
      </x:c>
      <x:c r="D95" s="87" t="str">
        <x:v>Январь 2026</x:v>
      </x:c>
      <x:c r="E95" s="87"/>
      <x:c r="F95" s="87"/>
      <x:c r="G95" s="87" t="str">
        <x:v>Химия</x:v>
      </x:c>
      <x:c r="H95" s="87" t="n">
        <x:v>11</x:v>
      </x:c>
      <x:c r="I95" s="87" t="str">
        <x:v>ТР №3</x:v>
      </x:c>
      <x:c r="J95" s="87" t="str">
        <x:v>ХИ2510302</x:v>
      </x:c>
      <x:c r="K95" s="87" t="n">
        <x:v>6</x:v>
      </x:c>
      <x:c r="L95" s="87" t="str">
        <x:v>Качественные реакции</x:v>
      </x:c>
      <x:c r="M95" s="30" t="str">
        <x:v>К раствору MgSO4 добавляют X: белый осадок; добавляют Y: белый осадок и газ. Выберите X и Y.</x:v>
      </x:c>
      <x:c r="N95" s="30" t="str">
        <x:v>42</x:v>
      </x:c>
      <x:c r="O95" s="30" t="str">
        <x:v>Ba(OH)2 образует белые осадки BaSO4 и Mg(OH)2. При действии K2CO3 вследствие гидролиза образуется основный карбонат магния и выделяется CO2.</x:v>
      </x:c>
      <x:c r="P95" s="30" t="str">
        <x:v>Проверены наблюдаемые признаки и состав продуктов.</x:v>
      </x:c>
      <x:c r="Q95" s="30"/>
      <x:c r="R95" s="30" t="str">
        <x:v>X=4; Y=2</x:v>
      </x:c>
      <x:c r="S95" s="30"/>
      <x:c r="T95" s="30"/>
      <x:c r="U95" s="30" t="str">
        <x:v>Расхождений нет.</x:v>
      </x:c>
      <x:c r="V95" s="87" t="str">
        <x:v>VERIFIED</x:v>
      </x:c>
      <x:c r="W95" s="87" t="n">
        <x:v>4</x:v>
      </x:c>
      <x:c r="X95" s="87"/>
      <x:c r="Y95" s="87"/>
      <x:c r="Z95" s="87"/>
      <x:c r="AA95" s="87"/>
      <x:c r="AB95" s="87"/>
      <x:c r="AC95" s="87"/>
      <x:c r="AD95" s="87"/>
      <x:c r="AE95" s="87"/>
      <x:c r="AF95" s="87"/>
      <x:c r="AG95" s="87"/>
      <x:c r="AH95" s="87"/>
      <x:c r="AI95" s="30"/>
      <x:c r="AJ95" s="87" t="str">
        <x:v>master</x:v>
      </x:c>
      <x:c r="AK95" s="87" t="str">
        <x:v>master-v0.81</x:v>
      </x:c>
      <x:c r="AL95" s="87" t="str">
        <x:v>statgrad_master_base_v0_81_final(2).xlsx</x:v>
      </x:c>
      <x:c r="AM95" s="87" t="str">
        <x:v>CH_Jan_V2</x:v>
      </x:c>
      <x:c r="AN95" s="87" t="n">
        <x:v>7</x:v>
      </x:c>
    </x:row>
    <x:row r="96">
      <x:c r="A96" s="87" t="n">
        <x:v>95</x:v>
      </x:c>
      <x:c r="B96" s="87" t="str">
        <x:v>JAN-CH-V2-007</x:v>
      </x:c>
      <x:c r="C96" s="87" t="str">
        <x:v>СтатГрад</x:v>
      </x:c>
      <x:c r="D96" s="87" t="str">
        <x:v>Январь 2026</x:v>
      </x:c>
      <x:c r="E96" s="87"/>
      <x:c r="F96" s="87"/>
      <x:c r="G96" s="87" t="str">
        <x:v>Химия</x:v>
      </x:c>
      <x:c r="H96" s="87" t="n">
        <x:v>11</x:v>
      </x:c>
      <x:c r="I96" s="87" t="str">
        <x:v>ТР №3</x:v>
      </x:c>
      <x:c r="J96" s="87" t="str">
        <x:v>ХИ2510302</x:v>
      </x:c>
      <x:c r="K96" s="87" t="n">
        <x:v>7</x:v>
      </x:c>
      <x:c r="L96" s="87" t="str">
        <x:v>Химические свойства</x:v>
      </x:c>
      <x:c r="M96" s="30" t="str">
        <x:v>Соотнесите H2, O2, H2O и H2O2 с наборами реагентов, с каждым из которых они взаимодействуют.</x:v>
      </x:c>
      <x:c r="N96" s="30" t="str">
        <x:v>2153</x:v>
      </x:c>
      <x:c r="O96" s="30" t="str">
        <x:v>H2 реагирует с CuO, Cl2 и Na; O2 — с CH4, Cu и S; H2O — с CaO, PCl5 и Al2S3; H2O2 — с KI, KMnO4 и H2S.</x:v>
      </x:c>
      <x:c r="P96" s="30" t="str">
        <x:v>Для каждого набора проверены все три реакции.</x:v>
      </x:c>
      <x:c r="Q96" s="30"/>
      <x:c r="R96" s="30" t="str">
        <x:v>Ключ в критериях отсутствует; решение проверено независимо.</x:v>
      </x:c>
      <x:c r="S96" s="30"/>
      <x:c r="T96" s="30"/>
      <x:c r="U96" s="30" t="str">
        <x:v>Расхождений не выявлено.</x:v>
      </x:c>
      <x:c r="V96" s="87" t="str">
        <x:v>VERIFIED</x:v>
      </x:c>
      <x:c r="W96" s="87" t="n">
        <x:v>4</x:v>
      </x:c>
      <x:c r="X96" s="87"/>
      <x:c r="Y96" s="87"/>
      <x:c r="Z96" s="87"/>
      <x:c r="AA96" s="87"/>
      <x:c r="AB96" s="87"/>
      <x:c r="AC96" s="87"/>
      <x:c r="AD96" s="87"/>
      <x:c r="AE96" s="87"/>
      <x:c r="AF96" s="87"/>
      <x:c r="AG96" s="87"/>
      <x:c r="AH96" s="87"/>
      <x:c r="AI96" s="30"/>
      <x:c r="AJ96" s="87" t="str">
        <x:v>master</x:v>
      </x:c>
      <x:c r="AK96" s="87" t="str">
        <x:v>master-v0.81</x:v>
      </x:c>
      <x:c r="AL96" s="87" t="str">
        <x:v>statgrad_master_base_v0_81_final(2).xlsx</x:v>
      </x:c>
      <x:c r="AM96" s="87" t="str">
        <x:v>CH_Jan_V2</x:v>
      </x:c>
      <x:c r="AN96" s="87" t="n">
        <x:v>8</x:v>
      </x:c>
    </x:row>
    <x:row r="97">
      <x:c r="A97" s="87" t="n">
        <x:v>96</x:v>
      </x:c>
      <x:c r="B97" s="87" t="str">
        <x:v>JAN-CH-V2-008</x:v>
      </x:c>
      <x:c r="C97" s="87" t="str">
        <x:v>СтатГрад</x:v>
      </x:c>
      <x:c r="D97" s="87" t="str">
        <x:v>Январь 2026</x:v>
      </x:c>
      <x:c r="E97" s="87"/>
      <x:c r="F97" s="87"/>
      <x:c r="G97" s="87" t="str">
        <x:v>Химия</x:v>
      </x:c>
      <x:c r="H97" s="87" t="n">
        <x:v>11</x:v>
      </x:c>
      <x:c r="I97" s="87" t="str">
        <x:v>ТР №3</x:v>
      </x:c>
      <x:c r="J97" s="87" t="str">
        <x:v>ХИ2510302</x:v>
      </x:c>
      <x:c r="K97" s="87" t="n">
        <x:v>8</x:v>
      </x:c>
      <x:c r="L97" s="87" t="str">
        <x:v>Неорганические реакции</x:v>
      </x:c>
      <x:c r="M97" s="30" t="str">
        <x:v>Соотнесите Mg + HNO3(разб.), MgO + HNO3(разб.), Mg3N2 + H2O и Mg3N2 + HNO3(изб.) с наборами продуктов.</x:v>
      </x:c>
      <x:c r="N97" s="30" t="str">
        <x:v>6412</x:v>
      </x:c>
      <x:c r="O97" s="30" t="str">
        <x:v>Mg с разбавленной HNO3 даёт Mg(NO3)2, NH4NO3 и H2O; MgO — нитрат и воду; Mg3N2 с водой — Mg(OH)2 и NH3; с избытком HNO3 — Mg(NO3)2 и NH4NO3 без образования воды.</x:v>
      </x:c>
      <x:c r="P97" s="30" t="str">
        <x:v>Все четыре реакции уравнены и сопоставлены с вариантами продуктов.</x:v>
      </x:c>
      <x:c r="Q97" s="30"/>
      <x:c r="R97" s="30" t="str">
        <x:v>Ключ в критериях отсутствует; решение проверено независимо.</x:v>
      </x:c>
      <x:c r="S97" s="30"/>
      <x:c r="T97" s="30"/>
      <x:c r="U97" s="30" t="str">
        <x:v>Расхождений не выявлено.</x:v>
      </x:c>
      <x:c r="V97" s="87" t="str">
        <x:v>VERIFIED</x:v>
      </x:c>
      <x:c r="W97" s="87" t="n">
        <x:v>5</x:v>
      </x:c>
      <x:c r="X97" s="87"/>
      <x:c r="Y97" s="87"/>
      <x:c r="Z97" s="87"/>
      <x:c r="AA97" s="87"/>
      <x:c r="AB97" s="87"/>
      <x:c r="AC97" s="87"/>
      <x:c r="AD97" s="87"/>
      <x:c r="AE97" s="87"/>
      <x:c r="AF97" s="87"/>
      <x:c r="AG97" s="87"/>
      <x:c r="AH97" s="87"/>
      <x:c r="AI97" s="30"/>
      <x:c r="AJ97" s="87" t="str">
        <x:v>master</x:v>
      </x:c>
      <x:c r="AK97" s="87" t="str">
        <x:v>master-v0.81</x:v>
      </x:c>
      <x:c r="AL97" s="87" t="str">
        <x:v>statgrad_master_base_v0_81_final(2).xlsx</x:v>
      </x:c>
      <x:c r="AM97" s="87" t="str">
        <x:v>CH_Jan_V2</x:v>
      </x:c>
      <x:c r="AN97" s="87" t="n">
        <x:v>9</x:v>
      </x:c>
    </x:row>
    <x:row r="98">
      <x:c r="A98" s="87" t="n">
        <x:v>97</x:v>
      </x:c>
      <x:c r="B98" s="87" t="str">
        <x:v>JAN-CH-V2-009</x:v>
      </x:c>
      <x:c r="C98" s="87" t="str">
        <x:v>СтатГрад</x:v>
      </x:c>
      <x:c r="D98" s="87" t="str">
        <x:v>Январь 2026</x:v>
      </x:c>
      <x:c r="E98" s="87"/>
      <x:c r="F98" s="87"/>
      <x:c r="G98" s="87" t="str">
        <x:v>Химия</x:v>
      </x:c>
      <x:c r="H98" s="87" t="n">
        <x:v>11</x:v>
      </x:c>
      <x:c r="I98" s="87" t="str">
        <x:v>ТР №3</x:v>
      </x:c>
      <x:c r="J98" s="87" t="str">
        <x:v>ХИ2510302</x:v>
      </x:c>
      <x:c r="K98" s="87" t="n">
        <x:v>9</x:v>
      </x:c>
      <x:c r="L98" s="87" t="str">
        <x:v>Цепочка превращений</x:v>
      </x:c>
      <x:c r="M98" s="30" t="str">
        <x:v>Определите X и Y в цепочке SiH4 → SiO2 → Na2SiO3.</x:v>
      </x:c>
      <x:c r="N98" s="30" t="str">
        <x:v>14</x:v>
      </x:c>
      <x:c r="O98" s="30" t="str">
        <x:v>Силан сгорает в O2 до SiO2; диоксид кремния взаимодействует с Na2CO3 с образованием Na2SiO3 и CO2.</x:v>
      </x:c>
      <x:c r="P98" s="30" t="str">
        <x:v>Проверены оба уравнения реакции.</x:v>
      </x:c>
      <x:c r="Q98" s="30"/>
      <x:c r="R98" s="30" t="str">
        <x:v>14</x:v>
      </x:c>
      <x:c r="S98" s="30"/>
      <x:c r="T98" s="30"/>
      <x:c r="U98" s="30" t="str">
        <x:v>Расхождений нет.</x:v>
      </x:c>
      <x:c r="V98" s="87" t="str">
        <x:v>VERIFIED</x:v>
      </x:c>
      <x:c r="W98" s="87" t="n">
        <x:v>5</x:v>
      </x:c>
      <x:c r="X98" s="87"/>
      <x:c r="Y98" s="87"/>
      <x:c r="Z98" s="87"/>
      <x:c r="AA98" s="87"/>
      <x:c r="AB98" s="87"/>
      <x:c r="AC98" s="87"/>
      <x:c r="AD98" s="87"/>
      <x:c r="AE98" s="87"/>
      <x:c r="AF98" s="87"/>
      <x:c r="AG98" s="87"/>
      <x:c r="AH98" s="87"/>
      <x:c r="AI98" s="30"/>
      <x:c r="AJ98" s="87" t="str">
        <x:v>master</x:v>
      </x:c>
      <x:c r="AK98" s="87" t="str">
        <x:v>master-v0.81</x:v>
      </x:c>
      <x:c r="AL98" s="87" t="str">
        <x:v>statgrad_master_base_v0_81_final(2).xlsx</x:v>
      </x:c>
      <x:c r="AM98" s="87" t="str">
        <x:v>CH_Jan_V2</x:v>
      </x:c>
      <x:c r="AN98" s="87" t="n">
        <x:v>10</x:v>
      </x:c>
    </x:row>
    <x:row r="99">
      <x:c r="A99" s="87" t="n">
        <x:v>98</x:v>
      </x:c>
      <x:c r="B99" s="87" t="str">
        <x:v>JAN-CH-V2-010</x:v>
      </x:c>
      <x:c r="C99" s="87" t="str">
        <x:v>СтатГрад</x:v>
      </x:c>
      <x:c r="D99" s="87" t="str">
        <x:v>Январь 2026</x:v>
      </x:c>
      <x:c r="E99" s="87"/>
      <x:c r="F99" s="87"/>
      <x:c r="G99" s="87" t="str">
        <x:v>Химия</x:v>
      </x:c>
      <x:c r="H99" s="87" t="n">
        <x:v>11</x:v>
      </x:c>
      <x:c r="I99" s="87" t="str">
        <x:v>ТР №3</x:v>
      </x:c>
      <x:c r="J99" s="87" t="str">
        <x:v>ХИ2510302</x:v>
      </x:c>
      <x:c r="K99" s="87" t="n">
        <x:v>10</x:v>
      </x:c>
      <x:c r="L99" s="87" t="str">
        <x:v>Общие формулы органических веществ</x:v>
      </x:c>
      <x:c r="M99" s="30" t="str">
        <x:v>Соотнесите диизопропиловый эфир, бутилформиат и 2,3-диметилфенол с общими формулами классов.</x:v>
      </x:c>
      <x:c r="N99" s="30" t="str">
        <x:v>431</x:v>
      </x:c>
      <x:c r="O99" s="30" t="str">
        <x:v>Насыщенный простой эфир имеет формулу CnH2n+2O; сложный эфир — CnH2nO2; одноатомный фенол с одним бензольным кольцом — CnH2n−6O.</x:v>
      </x:c>
      <x:c r="P99" s="30" t="str">
        <x:v>Формулы проверены подсчётом степени ненасыщенности.</x:v>
      </x:c>
      <x:c r="Q99" s="30"/>
      <x:c r="R99" s="30" t="str">
        <x:v>431</x:v>
      </x:c>
      <x:c r="S99" s="30"/>
      <x:c r="T99" s="30"/>
      <x:c r="U99" s="30" t="str">
        <x:v>Расхождений нет.</x:v>
      </x:c>
      <x:c r="V99" s="87" t="str">
        <x:v>VERIFIED</x:v>
      </x:c>
      <x:c r="W99" s="87" t="n">
        <x:v>6</x:v>
      </x:c>
      <x:c r="X99" s="87"/>
      <x:c r="Y99" s="87"/>
      <x:c r="Z99" s="87"/>
      <x:c r="AA99" s="87"/>
      <x:c r="AB99" s="87"/>
      <x:c r="AC99" s="87"/>
      <x:c r="AD99" s="87"/>
      <x:c r="AE99" s="87"/>
      <x:c r="AF99" s="87"/>
      <x:c r="AG99" s="87"/>
      <x:c r="AH99" s="87"/>
      <x:c r="AI99" s="30"/>
      <x:c r="AJ99" s="87" t="str">
        <x:v>master</x:v>
      </x:c>
      <x:c r="AK99" s="87" t="str">
        <x:v>master-v0.81</x:v>
      </x:c>
      <x:c r="AL99" s="87" t="str">
        <x:v>statgrad_master_base_v0_81_final(2).xlsx</x:v>
      </x:c>
      <x:c r="AM99" s="87" t="str">
        <x:v>CH_Jan_V2</x:v>
      </x:c>
      <x:c r="AN99" s="87" t="n">
        <x:v>11</x:v>
      </x:c>
    </x:row>
    <x:row r="100">
      <x:c r="A100" s="87" t="n">
        <x:v>99</x:v>
      </x:c>
      <x:c r="B100" s="87" t="str">
        <x:v>JAN-CH-V2-011</x:v>
      </x:c>
      <x:c r="C100" s="87" t="str">
        <x:v>СтатГрад</x:v>
      </x:c>
      <x:c r="D100" s="87" t="str">
        <x:v>Январь 2026</x:v>
      </x:c>
      <x:c r="E100" s="87"/>
      <x:c r="F100" s="87"/>
      <x:c r="G100" s="87" t="str">
        <x:v>Химия</x:v>
      </x:c>
      <x:c r="H100" s="87" t="n">
        <x:v>11</x:v>
      </x:c>
      <x:c r="I100" s="87" t="str">
        <x:v>ТР №3</x:v>
      </x:c>
      <x:c r="J100" s="87" t="str">
        <x:v>ХИ2510302</x:v>
      </x:c>
      <x:c r="K100" s="87" t="n">
        <x:v>11</x:v>
      </x:c>
      <x:c r="L100" s="87" t="str">
        <x:v>Строение органических веществ</x:v>
      </x:c>
      <x:c r="M100" s="30" t="str">
        <x:v>Выберите два вещества, в составе которых есть хотя бы один вторичный атом углерода.</x:v>
      </x:c>
      <x:c r="N100" s="30" t="str">
        <x:v>14</x:v>
      </x:c>
      <x:c r="O100" s="30" t="str">
        <x:v>В феноле атомы кольца связаны с двумя атомами углерода; во внутренних положениях бутадиена-1,3 также имеются вторичные атомы углерода.</x:v>
      </x:c>
      <x:c r="P100" s="30" t="str">
        <x:v>Структуры всех пяти веществ построены и классифицированы.</x:v>
      </x:c>
      <x:c r="Q100" s="30"/>
      <x:c r="R100" s="30" t="str">
        <x:v>14</x:v>
      </x:c>
      <x:c r="S100" s="30"/>
      <x:c r="T100" s="30"/>
      <x:c r="U100" s="30" t="str">
        <x:v>Расхождений нет.</x:v>
      </x:c>
      <x:c r="V100" s="87" t="str">
        <x:v>VERIFIED</x:v>
      </x:c>
      <x:c r="W100" s="87" t="n">
        <x:v>6</x:v>
      </x:c>
      <x:c r="X100" s="87"/>
      <x:c r="Y100" s="87"/>
      <x:c r="Z100" s="87"/>
      <x:c r="AA100" s="87"/>
      <x:c r="AB100" s="87"/>
      <x:c r="AC100" s="87"/>
      <x:c r="AD100" s="87"/>
      <x:c r="AE100" s="87"/>
      <x:c r="AF100" s="87"/>
      <x:c r="AG100" s="87"/>
      <x:c r="AH100" s="87"/>
      <x:c r="AI100" s="30"/>
      <x:c r="AJ100" s="87" t="str">
        <x:v>master</x:v>
      </x:c>
      <x:c r="AK100" s="87" t="str">
        <x:v>master-v0.81</x:v>
      </x:c>
      <x:c r="AL100" s="87" t="str">
        <x:v>statgrad_master_base_v0_81_final(2).xlsx</x:v>
      </x:c>
      <x:c r="AM100" s="87" t="str">
        <x:v>CH_Jan_V2</x:v>
      </x:c>
      <x:c r="AN100" s="87" t="n">
        <x:v>12</x:v>
      </x:c>
    </x:row>
    <x:row r="101">
      <x:c r="A101" s="87" t="n">
        <x:v>100</x:v>
      </x:c>
      <x:c r="B101" s="87" t="str">
        <x:v>JAN-CH-V2-012</x:v>
      </x:c>
      <x:c r="C101" s="87" t="str">
        <x:v>СтатГрад</x:v>
      </x:c>
      <x:c r="D101" s="87" t="str">
        <x:v>Январь 2026</x:v>
      </x:c>
      <x:c r="E101" s="87"/>
      <x:c r="F101" s="87"/>
      <x:c r="G101" s="87" t="str">
        <x:v>Химия</x:v>
      </x:c>
      <x:c r="H101" s="87" t="n">
        <x:v>11</x:v>
      </x:c>
      <x:c r="I101" s="87" t="str">
        <x:v>ТР №3</x:v>
      </x:c>
      <x:c r="J101" s="87" t="str">
        <x:v>ХИ2510302</x:v>
      </x:c>
      <x:c r="K101" s="87" t="n">
        <x:v>12</x:v>
      </x:c>
      <x:c r="L101" s="87" t="str">
        <x:v>Свойства алкенов</x:v>
      </x:c>
      <x:c r="M101" s="30" t="str">
        <x:v>Выберите все вещества, с которыми может взаимодействовать пропен: HBr, аммиачный Ag2O, KOH(спирт.), H2O, KMnO4.</x:v>
      </x:c>
      <x:c r="N101" s="30" t="str">
        <x:v>145</x:v>
      </x:c>
      <x:c r="O101" s="30" t="str">
        <x:v>Пропен присоединяет HBr и воду по двойной связи и окисляется перманганатом калия. С реактивом Толленса и спиртовым KOH он не реагирует.</x:v>
      </x:c>
      <x:c r="P101" s="30" t="str">
        <x:v>Проверены типовые реакции алкенов.</x:v>
      </x:c>
      <x:c r="Q101" s="30"/>
      <x:c r="R101" s="30" t="str">
        <x:v>Ключ в критериях отсутствует; решение проверено независимо.</x:v>
      </x:c>
      <x:c r="S101" s="30"/>
      <x:c r="T101" s="30"/>
      <x:c r="U101" s="30" t="str">
        <x:v>Расхождений не выявлено.</x:v>
      </x:c>
      <x:c r="V101" s="87" t="str">
        <x:v>VERIFIED</x:v>
      </x:c>
      <x:c r="W101" s="87" t="n">
        <x:v>6</x:v>
      </x:c>
      <x:c r="X101" s="87"/>
      <x:c r="Y101" s="87"/>
      <x:c r="Z101" s="87"/>
      <x:c r="AA101" s="87"/>
      <x:c r="AB101" s="87"/>
      <x:c r="AC101" s="87"/>
      <x:c r="AD101" s="87"/>
      <x:c r="AE101" s="87"/>
      <x:c r="AF101" s="87"/>
      <x:c r="AG101" s="87"/>
      <x:c r="AH101" s="87"/>
      <x:c r="AI101" s="30"/>
      <x:c r="AJ101" s="87" t="str">
        <x:v>master</x:v>
      </x:c>
      <x:c r="AK101" s="87" t="str">
        <x:v>master-v0.81</x:v>
      </x:c>
      <x:c r="AL101" s="87" t="str">
        <x:v>statgrad_master_base_v0_81_final(2).xlsx</x:v>
      </x:c>
      <x:c r="AM101" s="87" t="str">
        <x:v>CH_Jan_V2</x:v>
      </x:c>
      <x:c r="AN101" s="87" t="n">
        <x:v>13</x:v>
      </x:c>
    </x:row>
    <x:row r="102">
      <x:c r="A102" s="87" t="n">
        <x:v>101</x:v>
      </x:c>
      <x:c r="B102" s="87" t="str">
        <x:v>JAN-CH-V2-013</x:v>
      </x:c>
      <x:c r="C102" s="87" t="str">
        <x:v>СтатГрад</x:v>
      </x:c>
      <x:c r="D102" s="87" t="str">
        <x:v>Январь 2026</x:v>
      </x:c>
      <x:c r="E102" s="87"/>
      <x:c r="F102" s="87"/>
      <x:c r="G102" s="87" t="str">
        <x:v>Химия</x:v>
      </x:c>
      <x:c r="H102" s="87" t="n">
        <x:v>11</x:v>
      </x:c>
      <x:c r="I102" s="87" t="str">
        <x:v>ТР №3</x:v>
      </x:c>
      <x:c r="J102" s="87" t="str">
        <x:v>ХИ2510302</x:v>
      </x:c>
      <x:c r="K102" s="87" t="n">
        <x:v>13</x:v>
      </x:c>
      <x:c r="L102" s="87" t="str">
        <x:v>Получение молочной кислоты</x:v>
      </x:c>
      <x:c r="M102" s="30" t="str">
        <x:v>Выберите два вещества, из которых можно получить молочную кислоту в одну стадию.</x:v>
      </x:c>
      <x:c r="N102" s="30" t="str">
        <x:v>13</x:v>
      </x:c>
      <x:c r="O102" s="30" t="str">
        <x:v>Аланин при действии HNO2 превращается в молочную кислоту; глюкоза даёт молочную кислоту при молочнокислом брожении.</x:v>
      </x:c>
      <x:c r="P102" s="30" t="str">
        <x:v>Проверены типовые превращения аминокислот и углеводов.</x:v>
      </x:c>
      <x:c r="Q102" s="30"/>
      <x:c r="R102" s="30" t="str">
        <x:v>13</x:v>
      </x:c>
      <x:c r="S102" s="30"/>
      <x:c r="T102" s="30"/>
      <x:c r="U102" s="30" t="str">
        <x:v>Расхождений нет.</x:v>
      </x:c>
      <x:c r="V102" s="87" t="str">
        <x:v>VERIFIED</x:v>
      </x:c>
      <x:c r="W102" s="87" t="n">
        <x:v>7</x:v>
      </x:c>
      <x:c r="X102" s="87"/>
      <x:c r="Y102" s="87"/>
      <x:c r="Z102" s="87"/>
      <x:c r="AA102" s="87"/>
      <x:c r="AB102" s="87"/>
      <x:c r="AC102" s="87"/>
      <x:c r="AD102" s="87"/>
      <x:c r="AE102" s="87"/>
      <x:c r="AF102" s="87"/>
      <x:c r="AG102" s="87"/>
      <x:c r="AH102" s="87"/>
      <x:c r="AI102" s="30"/>
      <x:c r="AJ102" s="87" t="str">
        <x:v>master</x:v>
      </x:c>
      <x:c r="AK102" s="87" t="str">
        <x:v>master-v0.81</x:v>
      </x:c>
      <x:c r="AL102" s="87" t="str">
        <x:v>statgrad_master_base_v0_81_final(2).xlsx</x:v>
      </x:c>
      <x:c r="AM102" s="87" t="str">
        <x:v>CH_Jan_V2</x:v>
      </x:c>
      <x:c r="AN102" s="87" t="n">
        <x:v>14</x:v>
      </x:c>
    </x:row>
    <x:row r="103">
      <x:c r="A103" s="87" t="n">
        <x:v>102</x:v>
      </x:c>
      <x:c r="B103" s="87" t="str">
        <x:v>JAN-CH-V2-014</x:v>
      </x:c>
      <x:c r="C103" s="87" t="str">
        <x:v>СтатГрад</x:v>
      </x:c>
      <x:c r="D103" s="87" t="str">
        <x:v>Январь 2026</x:v>
      </x:c>
      <x:c r="E103" s="87"/>
      <x:c r="F103" s="87"/>
      <x:c r="G103" s="87" t="str">
        <x:v>Химия</x:v>
      </x:c>
      <x:c r="H103" s="87" t="n">
        <x:v>11</x:v>
      </x:c>
      <x:c r="I103" s="87" t="str">
        <x:v>ТР №3</x:v>
      </x:c>
      <x:c r="J103" s="87" t="str">
        <x:v>ХИ2510302</x:v>
      </x:c>
      <x:c r="K103" s="87" t="n">
        <x:v>14</x:v>
      </x:c>
      <x:c r="L103" s="87" t="str">
        <x:v>Органические реакции</x:v>
      </x:c>
      <x:c r="M103" s="30" t="str">
        <x:v>Соотнесите четыре схемы реакций с веществом X.</x:v>
      </x:c>
      <x:c r="N103" s="30" t="str">
        <x:v>5266</x:v>
      </x:c>
      <x:c r="O103" s="30" t="str">
        <x:v>Окислительное расщепление пропина KMnO4 даёт CH3COOH; присоединение HCl приводит к геминальному дихлорпроизводному; ацетилен димеризуется в винилацетилен и алкилирует бензол с образованием стирола.</x:v>
      </x:c>
      <x:c r="P103" s="30" t="str">
        <x:v>Для каждой схемы определены реагент и строение продукта.</x:v>
      </x:c>
      <x:c r="Q103" s="30"/>
      <x:c r="R103" s="30" t="str">
        <x:v>Ключ в критериях отсутствует; решение проверено независимо.</x:v>
      </x:c>
      <x:c r="S103" s="30"/>
      <x:c r="T103" s="30"/>
      <x:c r="U103" s="30" t="str">
        <x:v>Расхождений не выявлено.</x:v>
      </x:c>
      <x:c r="V103" s="87" t="str">
        <x:v>VERIFIED</x:v>
      </x:c>
      <x:c r="W103" s="87" t="n">
        <x:v>7</x:v>
      </x:c>
      <x:c r="X103" s="87"/>
      <x:c r="Y103" s="87"/>
      <x:c r="Z103" s="87"/>
      <x:c r="AA103" s="87"/>
      <x:c r="AB103" s="87"/>
      <x:c r="AC103" s="87"/>
      <x:c r="AD103" s="87"/>
      <x:c r="AE103" s="87"/>
      <x:c r="AF103" s="87"/>
      <x:c r="AG103" s="87"/>
      <x:c r="AH103" s="87"/>
      <x:c r="AI103" s="30"/>
      <x:c r="AJ103" s="87" t="str">
        <x:v>master</x:v>
      </x:c>
      <x:c r="AK103" s="87" t="str">
        <x:v>master-v0.81</x:v>
      </x:c>
      <x:c r="AL103" s="87" t="str">
        <x:v>statgrad_master_base_v0_81_final(2).xlsx</x:v>
      </x:c>
      <x:c r="AM103" s="87" t="str">
        <x:v>CH_Jan_V2</x:v>
      </x:c>
      <x:c r="AN103" s="87" t="n">
        <x:v>15</x:v>
      </x:c>
    </x:row>
    <x:row r="104">
      <x:c r="A104" s="87" t="n">
        <x:v>103</x:v>
      </x:c>
      <x:c r="B104" s="87" t="str">
        <x:v>JAN-CH-V2-015</x:v>
      </x:c>
      <x:c r="C104" s="87" t="str">
        <x:v>СтатГрад</x:v>
      </x:c>
      <x:c r="D104" s="87" t="str">
        <x:v>Январь 2026</x:v>
      </x:c>
      <x:c r="E104" s="87"/>
      <x:c r="F104" s="87"/>
      <x:c r="G104" s="87" t="str">
        <x:v>Химия</x:v>
      </x:c>
      <x:c r="H104" s="87" t="n">
        <x:v>11</x:v>
      </x:c>
      <x:c r="I104" s="87" t="str">
        <x:v>ТР №3</x:v>
      </x:c>
      <x:c r="J104" s="87" t="str">
        <x:v>ХИ2510302</x:v>
      </x:c>
      <x:c r="K104" s="87" t="n">
        <x:v>15</x:v>
      </x:c>
      <x:c r="L104" s="87" t="str">
        <x:v>Органические продукты</x:v>
      </x:c>
      <x:c r="M104" s="30" t="str">
        <x:v>Соотнесите пары реагентов с преимущественно образующимся органическим продуктом.</x:v>
      </x:c>
      <x:c r="N104" s="30" t="str">
        <x:v>2461</x:v>
      </x:c>
      <x:c r="O104" s="30" t="str">
        <x:v>Хлорэтан с водным KOH даёт этанол; ацетилхлорид с избытком KOH — CH3COOK; хлорбензол с избытком KOH — C6H5OK; ацетат калия при декарбоксилировании щёлочью — CH4.</x:v>
      </x:c>
      <x:c r="P104" s="30" t="str">
        <x:v>Записаны четыре уравнения и определены преимущественные продукты.</x:v>
      </x:c>
      <x:c r="Q104" s="30"/>
      <x:c r="R104" s="30" t="str">
        <x:v>Ключ в критериях отсутствует; решение проверено независимо.</x:v>
      </x:c>
      <x:c r="S104" s="30"/>
      <x:c r="T104" s="30"/>
      <x:c r="U104" s="30" t="str">
        <x:v>Расхождений не выявлено.</x:v>
      </x:c>
      <x:c r="V104" s="87" t="str">
        <x:v>VERIFIED</x:v>
      </x:c>
      <x:c r="W104" s="87" t="n">
        <x:v>8</x:v>
      </x:c>
      <x:c r="X104" s="87"/>
      <x:c r="Y104" s="87"/>
      <x:c r="Z104" s="87"/>
      <x:c r="AA104" s="87"/>
      <x:c r="AB104" s="87"/>
      <x:c r="AC104" s="87"/>
      <x:c r="AD104" s="87"/>
      <x:c r="AE104" s="87"/>
      <x:c r="AF104" s="87"/>
      <x:c r="AG104" s="87"/>
      <x:c r="AH104" s="87"/>
      <x:c r="AI104" s="30"/>
      <x:c r="AJ104" s="87" t="str">
        <x:v>master</x:v>
      </x:c>
      <x:c r="AK104" s="87" t="str">
        <x:v>master-v0.81</x:v>
      </x:c>
      <x:c r="AL104" s="87" t="str">
        <x:v>statgrad_master_base_v0_81_final(2).xlsx</x:v>
      </x:c>
      <x:c r="AM104" s="87" t="str">
        <x:v>CH_Jan_V2</x:v>
      </x:c>
      <x:c r="AN104" s="87" t="n">
        <x:v>16</x:v>
      </x:c>
    </x:row>
    <x:row r="105">
      <x:c r="A105" s="87" t="n">
        <x:v>104</x:v>
      </x:c>
      <x:c r="B105" s="87" t="str">
        <x:v>JAN-CH-V2-016</x:v>
      </x:c>
      <x:c r="C105" s="87" t="str">
        <x:v>СтатГрад</x:v>
      </x:c>
      <x:c r="D105" s="87" t="str">
        <x:v>Январь 2026</x:v>
      </x:c>
      <x:c r="E105" s="87"/>
      <x:c r="F105" s="87"/>
      <x:c r="G105" s="87" t="str">
        <x:v>Химия</x:v>
      </x:c>
      <x:c r="H105" s="87" t="n">
        <x:v>11</x:v>
      </x:c>
      <x:c r="I105" s="87" t="str">
        <x:v>ТР №3</x:v>
      </x:c>
      <x:c r="J105" s="87" t="str">
        <x:v>ХИ2510302</x:v>
      </x:c>
      <x:c r="K105" s="87" t="n">
        <x:v>16</x:v>
      </x:c>
      <x:c r="L105" s="87" t="str">
        <x:v>Цепочка превращений</x:v>
      </x:c>
      <x:c r="M105" s="30" t="str">
        <x:v>Определите X и Y: хлорциклогексан → X → адипиновая кислота → Y при действии избытка NaOH и нагревании.</x:v>
      </x:c>
      <x:c r="N105" s="30" t="str">
        <x:v>35</x:v>
      </x:c>
      <x:c r="O105" s="30" t="str">
        <x:v>Дегидрогалогенирование даёт циклогексен; его окислительное раскрытие — адипиновую кислоту. Двойное декарбоксилирование соли адипиновой кислоты приводит к бутану.</x:v>
      </x:c>
      <x:c r="P105" s="30" t="str">
        <x:v>Цепочка проверена структурными уравнениями.</x:v>
      </x:c>
      <x:c r="Q105" s="30"/>
      <x:c r="R105" s="30" t="str">
        <x:v>35</x:v>
      </x:c>
      <x:c r="S105" s="30"/>
      <x:c r="T105" s="30"/>
      <x:c r="U105" s="30" t="str">
        <x:v>Расхождений нет.</x:v>
      </x:c>
      <x:c r="V105" s="87" t="str">
        <x:v>VERIFIED</x:v>
      </x:c>
      <x:c r="W105" s="87" t="n">
        <x:v>8</x:v>
      </x:c>
      <x:c r="X105" s="87"/>
      <x:c r="Y105" s="87"/>
      <x:c r="Z105" s="87"/>
      <x:c r="AA105" s="87"/>
      <x:c r="AB105" s="87"/>
      <x:c r="AC105" s="87"/>
      <x:c r="AD105" s="87"/>
      <x:c r="AE105" s="87"/>
      <x:c r="AF105" s="87"/>
      <x:c r="AG105" s="87"/>
      <x:c r="AH105" s="87"/>
      <x:c r="AI105" s="30"/>
      <x:c r="AJ105" s="87" t="str">
        <x:v>master</x:v>
      </x:c>
      <x:c r="AK105" s="87" t="str">
        <x:v>master-v0.81</x:v>
      </x:c>
      <x:c r="AL105" s="87" t="str">
        <x:v>statgrad_master_base_v0_81_final(2).xlsx</x:v>
      </x:c>
      <x:c r="AM105" s="87" t="str">
        <x:v>CH_Jan_V2</x:v>
      </x:c>
      <x:c r="AN105" s="87" t="n">
        <x:v>17</x:v>
      </x:c>
    </x:row>
    <x:row r="106">
      <x:c r="A106" s="87" t="n">
        <x:v>105</x:v>
      </x:c>
      <x:c r="B106" s="87" t="str">
        <x:v>JAN-CH-V2-017</x:v>
      </x:c>
      <x:c r="C106" s="87" t="str">
        <x:v>СтатГрад</x:v>
      </x:c>
      <x:c r="D106" s="87" t="str">
        <x:v>Январь 2026</x:v>
      </x:c>
      <x:c r="E106" s="87"/>
      <x:c r="F106" s="87"/>
      <x:c r="G106" s="87" t="str">
        <x:v>Химия</x:v>
      </x:c>
      <x:c r="H106" s="87" t="n">
        <x:v>11</x:v>
      </x:c>
      <x:c r="I106" s="87" t="str">
        <x:v>ТР №3</x:v>
      </x:c>
      <x:c r="J106" s="87" t="str">
        <x:v>ХИ2510302</x:v>
      </x:c>
      <x:c r="K106" s="87" t="n">
        <x:v>17</x:v>
      </x:c>
      <x:c r="L106" s="87" t="str">
        <x:v>Классификация реакций</x:v>
      </x:c>
      <x:c r="M106" s="30" t="str">
        <x:v>Соотнесите восстановление нитробензола, хлорирование метана и нейтрализацию муравьиной кислоты с типами реакций.</x:v>
      </x:c>
      <x:c r="N106" s="30" t="str">
        <x:v>314</x:v>
      </x:c>
      <x:c r="O106" s="30" t="str">
        <x:v>Восстановление нитробензола водородом — гетерогенная ОВР; хлорирование метана — гомогенная ОВР; нейтрализация — гомогенная реакция обмена.</x:v>
      </x:c>
      <x:c r="P106" s="30" t="str">
        <x:v>Проверены фазовый состав и изменение степеней окисления.</x:v>
      </x:c>
      <x:c r="Q106" s="30"/>
      <x:c r="R106" s="30" t="str">
        <x:v>314</x:v>
      </x:c>
      <x:c r="S106" s="30"/>
      <x:c r="T106" s="30"/>
      <x:c r="U106" s="30" t="str">
        <x:v>Расхождений нет.</x:v>
      </x:c>
      <x:c r="V106" s="87" t="str">
        <x:v>VERIFIED</x:v>
      </x:c>
      <x:c r="W106" s="87" t="n">
        <x:v>9</x:v>
      </x:c>
      <x:c r="X106" s="87"/>
      <x:c r="Y106" s="87"/>
      <x:c r="Z106" s="87"/>
      <x:c r="AA106" s="87"/>
      <x:c r="AB106" s="87"/>
      <x:c r="AC106" s="87"/>
      <x:c r="AD106" s="87"/>
      <x:c r="AE106" s="87"/>
      <x:c r="AF106" s="87"/>
      <x:c r="AG106" s="87"/>
      <x:c r="AH106" s="87"/>
      <x:c r="AI106" s="30"/>
      <x:c r="AJ106" s="87" t="str">
        <x:v>master</x:v>
      </x:c>
      <x:c r="AK106" s="87" t="str">
        <x:v>master-v0.81</x:v>
      </x:c>
      <x:c r="AL106" s="87" t="str">
        <x:v>statgrad_master_base_v0_81_final(2).xlsx</x:v>
      </x:c>
      <x:c r="AM106" s="87" t="str">
        <x:v>CH_Jan_V2</x:v>
      </x:c>
      <x:c r="AN106" s="87" t="n">
        <x:v>18</x:v>
      </x:c>
    </x:row>
    <x:row r="107">
      <x:c r="A107" s="87" t="n">
        <x:v>106</x:v>
      </x:c>
      <x:c r="B107" s="87" t="str">
        <x:v>JAN-CH-V2-018</x:v>
      </x:c>
      <x:c r="C107" s="87" t="str">
        <x:v>СтатГрад</x:v>
      </x:c>
      <x:c r="D107" s="87" t="str">
        <x:v>Январь 2026</x:v>
      </x:c>
      <x:c r="E107" s="87"/>
      <x:c r="F107" s="87"/>
      <x:c r="G107" s="87" t="str">
        <x:v>Химия</x:v>
      </x:c>
      <x:c r="H107" s="87" t="n">
        <x:v>11</x:v>
      </x:c>
      <x:c r="I107" s="87" t="str">
        <x:v>ТР №3</x:v>
      </x:c>
      <x:c r="J107" s="87" t="str">
        <x:v>ХИ2510302</x:v>
      </x:c>
      <x:c r="K107" s="87" t="n">
        <x:v>18</x:v>
      </x:c>
      <x:c r="L107" s="87" t="str">
        <x:v>Скорость реакции</x:v>
      </x:c>
      <x:c r="M107" s="30" t="str">
        <x:v>Выберите воздействия, увеличивающие скорость обжига ZnS в кислороде.</x:v>
      </x:c>
      <x:c r="N107" s="30" t="str">
        <x:v>125</x:v>
      </x:c>
      <x:c r="O107" s="30" t="str">
        <x:v>Нагревание и увеличение концентрации O2 повышают частоту эффективных столкновений; измельчение ZnS увеличивает площадь поверхности.</x:v>
      </x:c>
      <x:c r="P107" s="30" t="str">
        <x:v>Применены факторы скорости гетерогенной реакции.</x:v>
      </x:c>
      <x:c r="Q107" s="30"/>
      <x:c r="R107" s="30" t="str">
        <x:v>125</x:v>
      </x:c>
      <x:c r="S107" s="30"/>
      <x:c r="T107" s="30"/>
      <x:c r="U107" s="30" t="str">
        <x:v>Расхождений нет.</x:v>
      </x:c>
      <x:c r="V107" s="87" t="str">
        <x:v>VERIFIED</x:v>
      </x:c>
      <x:c r="W107" s="87" t="n">
        <x:v>9</x:v>
      </x:c>
      <x:c r="X107" s="87"/>
      <x:c r="Y107" s="87"/>
      <x:c r="Z107" s="87"/>
      <x:c r="AA107" s="87"/>
      <x:c r="AB107" s="87"/>
      <x:c r="AC107" s="87"/>
      <x:c r="AD107" s="87"/>
      <x:c r="AE107" s="87"/>
      <x:c r="AF107" s="87"/>
      <x:c r="AG107" s="87"/>
      <x:c r="AH107" s="87"/>
      <x:c r="AI107" s="30"/>
      <x:c r="AJ107" s="87" t="str">
        <x:v>master</x:v>
      </x:c>
      <x:c r="AK107" s="87" t="str">
        <x:v>master-v0.81</x:v>
      </x:c>
      <x:c r="AL107" s="87" t="str">
        <x:v>statgrad_master_base_v0_81_final(2).xlsx</x:v>
      </x:c>
      <x:c r="AM107" s="87" t="str">
        <x:v>CH_Jan_V2</x:v>
      </x:c>
      <x:c r="AN107" s="87" t="n">
        <x:v>19</x:v>
      </x:c>
    </x:row>
    <x:row r="108">
      <x:c r="A108" s="87" t="n">
        <x:v>107</x:v>
      </x:c>
      <x:c r="B108" s="87" t="str">
        <x:v>JAN-CH-V2-019</x:v>
      </x:c>
      <x:c r="C108" s="87" t="str">
        <x:v>СтатГрад</x:v>
      </x:c>
      <x:c r="D108" s="87" t="str">
        <x:v>Январь 2026</x:v>
      </x:c>
      <x:c r="E108" s="87"/>
      <x:c r="F108" s="87"/>
      <x:c r="G108" s="87" t="str">
        <x:v>Химия</x:v>
      </x:c>
      <x:c r="H108" s="87" t="n">
        <x:v>11</x:v>
      </x:c>
      <x:c r="I108" s="87" t="str">
        <x:v>ТР №3</x:v>
      </x:c>
      <x:c r="J108" s="87" t="str">
        <x:v>ХИ2510302</x:v>
      </x:c>
      <x:c r="K108" s="87" t="n">
        <x:v>19</x:v>
      </x:c>
      <x:c r="L108" s="87" t="str">
        <x:v>ОВР</x:v>
      </x:c>
      <x:c r="M108" s="30" t="str">
        <x:v>Соотнесите реакции с изменением степени окисления окислителя.</x:v>
      </x:c>
      <x:c r="N108" s="30" t="str">
        <x:v>412</x:v>
      </x:c>
      <x:c r="O108" s="30" t="str">
        <x:v>При разложении нитрата N(+5) восстанавливается до +4; в реакции Na2O2 часть O(−1) восстанавливается до −2; Cl2 принимает электроны: 0→−1.</x:v>
      </x:c>
      <x:c r="P108" s="30" t="str">
        <x:v>Для каждой реакции определён окислитель.</x:v>
      </x:c>
      <x:c r="Q108" s="30"/>
      <x:c r="R108" s="30" t="str">
        <x:v>412</x:v>
      </x:c>
      <x:c r="S108" s="30"/>
      <x:c r="T108" s="30"/>
      <x:c r="U108" s="30" t="str">
        <x:v>Расхождений нет.</x:v>
      </x:c>
      <x:c r="V108" s="87" t="str">
        <x:v>VERIFIED</x:v>
      </x:c>
      <x:c r="W108" s="87" t="n">
        <x:v>10</x:v>
      </x:c>
      <x:c r="X108" s="87"/>
      <x:c r="Y108" s="87"/>
      <x:c r="Z108" s="87"/>
      <x:c r="AA108" s="87"/>
      <x:c r="AB108" s="87"/>
      <x:c r="AC108" s="87"/>
      <x:c r="AD108" s="87"/>
      <x:c r="AE108" s="87"/>
      <x:c r="AF108" s="87"/>
      <x:c r="AG108" s="87"/>
      <x:c r="AH108" s="87"/>
      <x:c r="AI108" s="30"/>
      <x:c r="AJ108" s="87" t="str">
        <x:v>master</x:v>
      </x:c>
      <x:c r="AK108" s="87" t="str">
        <x:v>master-v0.81</x:v>
      </x:c>
      <x:c r="AL108" s="87" t="str">
        <x:v>statgrad_master_base_v0_81_final(2).xlsx</x:v>
      </x:c>
      <x:c r="AM108" s="87" t="str">
        <x:v>CH_Jan_V2</x:v>
      </x:c>
      <x:c r="AN108" s="87" t="n">
        <x:v>20</x:v>
      </x:c>
    </x:row>
    <x:row r="109">
      <x:c r="A109" s="87" t="n">
        <x:v>108</x:v>
      </x:c>
      <x:c r="B109" s="87" t="str">
        <x:v>JAN-CH-V2-020</x:v>
      </x:c>
      <x:c r="C109" s="87" t="str">
        <x:v>СтатГрад</x:v>
      </x:c>
      <x:c r="D109" s="87" t="str">
        <x:v>Январь 2026</x:v>
      </x:c>
      <x:c r="E109" s="87"/>
      <x:c r="F109" s="87"/>
      <x:c r="G109" s="87" t="str">
        <x:v>Химия</x:v>
      </x:c>
      <x:c r="H109" s="87" t="n">
        <x:v>11</x:v>
      </x:c>
      <x:c r="I109" s="87" t="str">
        <x:v>ТР №3</x:v>
      </x:c>
      <x:c r="J109" s="87" t="str">
        <x:v>ХИ2510302</x:v>
      </x:c>
      <x:c r="K109" s="87" t="n">
        <x:v>20</x:v>
      </x:c>
      <x:c r="L109" s="87" t="str">
        <x:v>Электролиз</x:v>
      </x:c>
      <x:c r="M109" s="30" t="str">
        <x:v>Соотнесите раствор CuSO4, раствор NaCl и расплав NaOH с продуктами электролиза на инертных электродах.</x:v>
      </x:c>
      <x:c r="N109" s="30" t="str">
        <x:v>123</x:v>
      </x:c>
      <x:c r="O109" s="30" t="str">
        <x:v>Из CuSO4 выделяются Cu и O2; из раствора NaCl — H2 и Cl2; расплав NaOH даёт Na, H2O и O2.</x:v>
      </x:c>
      <x:c r="P109" s="30" t="str">
        <x:v>Проверены катодные и анодные процессы.</x:v>
      </x:c>
      <x:c r="Q109" s="30"/>
      <x:c r="R109" s="30" t="str">
        <x:v>123</x:v>
      </x:c>
      <x:c r="S109" s="30"/>
      <x:c r="T109" s="30"/>
      <x:c r="U109" s="30" t="str">
        <x:v>Расхождений нет.</x:v>
      </x:c>
      <x:c r="V109" s="87" t="str">
        <x:v>VERIFIED</x:v>
      </x:c>
      <x:c r="W109" s="87" t="n">
        <x:v>10</x:v>
      </x:c>
      <x:c r="X109" s="87"/>
      <x:c r="Y109" s="87"/>
      <x:c r="Z109" s="87"/>
      <x:c r="AA109" s="87"/>
      <x:c r="AB109" s="87"/>
      <x:c r="AC109" s="87"/>
      <x:c r="AD109" s="87"/>
      <x:c r="AE109" s="87"/>
      <x:c r="AF109" s="87"/>
      <x:c r="AG109" s="87"/>
      <x:c r="AH109" s="87"/>
      <x:c r="AI109" s="30"/>
      <x:c r="AJ109" s="87" t="str">
        <x:v>master</x:v>
      </x:c>
      <x:c r="AK109" s="87" t="str">
        <x:v>master-v0.81</x:v>
      </x:c>
      <x:c r="AL109" s="87" t="str">
        <x:v>statgrad_master_base_v0_81_final(2).xlsx</x:v>
      </x:c>
      <x:c r="AM109" s="87" t="str">
        <x:v>CH_Jan_V2</x:v>
      </x:c>
      <x:c r="AN109" s="87" t="n">
        <x:v>21</x:v>
      </x:c>
    </x:row>
    <x:row r="110">
      <x:c r="A110" s="87" t="n">
        <x:v>109</x:v>
      </x:c>
      <x:c r="B110" s="87" t="str">
        <x:v>JAN-CH-V2-021</x:v>
      </x:c>
      <x:c r="C110" s="87" t="str">
        <x:v>СтатГрад</x:v>
      </x:c>
      <x:c r="D110" s="87" t="str">
        <x:v>Январь 2026</x:v>
      </x:c>
      <x:c r="E110" s="87"/>
      <x:c r="F110" s="87"/>
      <x:c r="G110" s="87" t="str">
        <x:v>Химия</x:v>
      </x:c>
      <x:c r="H110" s="87" t="n">
        <x:v>11</x:v>
      </x:c>
      <x:c r="I110" s="87" t="str">
        <x:v>ТР №3</x:v>
      </x:c>
      <x:c r="J110" s="87" t="str">
        <x:v>ХИ2510302</x:v>
      </x:c>
      <x:c r="K110" s="87" t="n">
        <x:v>21</x:v>
      </x:c>
      <x:c r="L110" s="87" t="str">
        <x:v>pH растворов</x:v>
      </x:c>
      <x:c r="M110" s="30" t="str">
        <x:v>Расположите H2S, Na2S, Na2SO4 и NaHSO4 одинаковой концентрации по возрастанию pH.</x:v>
      </x:c>
      <x:c r="N110" s="30" t="str">
        <x:v>4132</x:v>
      </x:c>
      <x:c r="O110" s="30" t="str">
        <x:v>NaHSO4 создаёт наиболее кислую среду; затем идёт слабая кислота H2S; Na2SO4 близок к нейтральной среде; Na2S сильно гидролизуется по аниону и создаёт щёлочь.</x:v>
      </x:c>
      <x:c r="P110" s="30" t="str">
        <x:v>Сопоставлены кислотно-основные свойства и гидролиз.</x:v>
      </x:c>
      <x:c r="Q110" s="30"/>
      <x:c r="R110" s="30" t="str">
        <x:v>4132</x:v>
      </x:c>
      <x:c r="S110" s="30"/>
      <x:c r="T110" s="30"/>
      <x:c r="U110" s="30" t="str">
        <x:v>Расхождений нет.</x:v>
      </x:c>
      <x:c r="V110" s="87" t="str">
        <x:v>VERIFIED</x:v>
      </x:c>
      <x:c r="W110" s="87" t="n">
        <x:v>11</x:v>
      </x:c>
      <x:c r="X110" s="87"/>
      <x:c r="Y110" s="87"/>
      <x:c r="Z110" s="87"/>
      <x:c r="AA110" s="87"/>
      <x:c r="AB110" s="87"/>
      <x:c r="AC110" s="87"/>
      <x:c r="AD110" s="87"/>
      <x:c r="AE110" s="87"/>
      <x:c r="AF110" s="87"/>
      <x:c r="AG110" s="87"/>
      <x:c r="AH110" s="87"/>
      <x:c r="AI110" s="30"/>
      <x:c r="AJ110" s="87" t="str">
        <x:v>master</x:v>
      </x:c>
      <x:c r="AK110" s="87" t="str">
        <x:v>master-v0.81</x:v>
      </x:c>
      <x:c r="AL110" s="87" t="str">
        <x:v>statgrad_master_base_v0_81_final(2).xlsx</x:v>
      </x:c>
      <x:c r="AM110" s="87" t="str">
        <x:v>CH_Jan_V2</x:v>
      </x:c>
      <x:c r="AN110" s="87" t="n">
        <x:v>22</x:v>
      </x:c>
    </x:row>
    <x:row r="111">
      <x:c r="A111" s="87" t="n">
        <x:v>110</x:v>
      </x:c>
      <x:c r="B111" s="87" t="str">
        <x:v>JAN-CH-V2-022</x:v>
      </x:c>
      <x:c r="C111" s="87" t="str">
        <x:v>СтатГрад</x:v>
      </x:c>
      <x:c r="D111" s="87" t="str">
        <x:v>Январь 2026</x:v>
      </x:c>
      <x:c r="E111" s="87"/>
      <x:c r="F111" s="87"/>
      <x:c r="G111" s="87" t="str">
        <x:v>Химия</x:v>
      </x:c>
      <x:c r="H111" s="87" t="n">
        <x:v>11</x:v>
      </x:c>
      <x:c r="I111" s="87" t="str">
        <x:v>ТР №3</x:v>
      </x:c>
      <x:c r="J111" s="87" t="str">
        <x:v>ХИ2510302</x:v>
      </x:c>
      <x:c r="K111" s="87" t="n">
        <x:v>22</x:v>
      </x:c>
      <x:c r="L111" s="87" t="str">
        <x:v>Химическое равновесие</x:v>
      </x:c>
      <x:c r="M111" s="30" t="str">
        <x:v>Для равновесия 2BaO(тв.) + O2(г) ⇌ 2BaO2(тв.) + Q определите смещение при четырёх воздействиях.</x:v>
      </x:c>
      <x:c r="N111" s="30" t="str">
        <x:v>2213</x:v>
      </x:c>
      <x:c r="O111" s="30" t="str">
        <x:v>Нагревание смещает экзотермическую реакцию влево; уменьшение давления — в сторону O2, то есть влево; добавление O2 — вправо; добавление твёрдого BaO не влияет.</x:v>
      </x:c>
      <x:c r="P111" s="30" t="str">
        <x:v>Применён принцип Ле Шателье с учётом агрегатных состояний.</x:v>
      </x:c>
      <x:c r="Q111" s="30"/>
      <x:c r="R111" s="30" t="str">
        <x:v>Ключ в критериях отсутствует; решение проверено независимо.</x:v>
      </x:c>
      <x:c r="S111" s="30"/>
      <x:c r="T111" s="30"/>
      <x:c r="U111" s="30" t="str">
        <x:v>Расхождений не выявлено.</x:v>
      </x:c>
      <x:c r="V111" s="87" t="str">
        <x:v>VERIFIED</x:v>
      </x:c>
      <x:c r="W111" s="87" t="n">
        <x:v>12</x:v>
      </x:c>
      <x:c r="X111" s="87"/>
      <x:c r="Y111" s="87"/>
      <x:c r="Z111" s="87"/>
      <x:c r="AA111" s="87"/>
      <x:c r="AB111" s="87"/>
      <x:c r="AC111" s="87"/>
      <x:c r="AD111" s="87"/>
      <x:c r="AE111" s="87"/>
      <x:c r="AF111" s="87"/>
      <x:c r="AG111" s="87"/>
      <x:c r="AH111" s="87"/>
      <x:c r="AI111" s="30"/>
      <x:c r="AJ111" s="87" t="str">
        <x:v>master</x:v>
      </x:c>
      <x:c r="AK111" s="87" t="str">
        <x:v>master-v0.81</x:v>
      </x:c>
      <x:c r="AL111" s="87" t="str">
        <x:v>statgrad_master_base_v0_81_final(2).xlsx</x:v>
      </x:c>
      <x:c r="AM111" s="87" t="str">
        <x:v>CH_Jan_V2</x:v>
      </x:c>
      <x:c r="AN111" s="87" t="n">
        <x:v>23</x:v>
      </x:c>
    </x:row>
    <x:row r="112">
      <x:c r="A112" s="87" t="n">
        <x:v>111</x:v>
      </x:c>
      <x:c r="B112" s="87" t="str">
        <x:v>JAN-CH-V2-023</x:v>
      </x:c>
      <x:c r="C112" s="87" t="str">
        <x:v>СтатГрад</x:v>
      </x:c>
      <x:c r="D112" s="87" t="str">
        <x:v>Январь 2026</x:v>
      </x:c>
      <x:c r="E112" s="87"/>
      <x:c r="F112" s="87"/>
      <x:c r="G112" s="87" t="str">
        <x:v>Химия</x:v>
      </x:c>
      <x:c r="H112" s="87" t="n">
        <x:v>11</x:v>
      </x:c>
      <x:c r="I112" s="87" t="str">
        <x:v>ТР №3</x:v>
      </x:c>
      <x:c r="J112" s="87" t="str">
        <x:v>ХИ2510302</x:v>
      </x:c>
      <x:c r="K112" s="87" t="n">
        <x:v>23</x:v>
      </x:c>
      <x:c r="L112" s="87" t="str">
        <x:v>Равновесные концентрации</x:v>
      </x:c>
      <x:c r="M112" s="30" t="str">
        <x:v>C2H4 и H2O смешали 1:2; c0(C2H4)=0,6, cравн(H2O)=0,7 моль/л. Найдите позиции концентраций C2H5OH и C2H4.</x:v>
      </x:c>
      <x:c r="N112" s="30" t="str">
        <x:v>41</x:v>
      </x:c>
      <x:c r="O112" s="30" t="str">
        <x:v>Начальная концентрация воды 1,2 моль/л, прореагировало 0,5. Поэтому c(C2H5OH)=0,5 моль/л (позиция 4), c(C2H4)=0,1 моль/л (позиция 1).</x:v>
      </x:c>
      <x:c r="P112" s="30" t="str">
        <x:v>Расчёт выполнен по стехиометрии реакции 1:1.</x:v>
      </x:c>
      <x:c r="Q112" s="30"/>
      <x:c r="R112" s="30" t="str">
        <x:v>X=4; Y=1</x:v>
      </x:c>
      <x:c r="S112" s="30"/>
      <x:c r="T112" s="30"/>
      <x:c r="U112" s="30" t="str">
        <x:v>Расхождений нет.</x:v>
      </x:c>
      <x:c r="V112" s="87" t="str">
        <x:v>VERIFIED</x:v>
      </x:c>
      <x:c r="W112" s="87" t="n">
        <x:v>12</x:v>
      </x:c>
      <x:c r="X112" s="87"/>
      <x:c r="Y112" s="87"/>
      <x:c r="Z112" s="87"/>
      <x:c r="AA112" s="87"/>
      <x:c r="AB112" s="87"/>
      <x:c r="AC112" s="87"/>
      <x:c r="AD112" s="87"/>
      <x:c r="AE112" s="87"/>
      <x:c r="AF112" s="87"/>
      <x:c r="AG112" s="87"/>
      <x:c r="AH112" s="87"/>
      <x:c r="AI112" s="30"/>
      <x:c r="AJ112" s="87" t="str">
        <x:v>master</x:v>
      </x:c>
      <x:c r="AK112" s="87" t="str">
        <x:v>master-v0.81</x:v>
      </x:c>
      <x:c r="AL112" s="87" t="str">
        <x:v>statgrad_master_base_v0_81_final(2).xlsx</x:v>
      </x:c>
      <x:c r="AM112" s="87" t="str">
        <x:v>CH_Jan_V2</x:v>
      </x:c>
      <x:c r="AN112" s="87" t="n">
        <x:v>24</x:v>
      </x:c>
    </x:row>
    <x:row r="113">
      <x:c r="A113" s="87" t="n">
        <x:v>112</x:v>
      </x:c>
      <x:c r="B113" s="87" t="str">
        <x:v>JAN-CH-V2-024</x:v>
      </x:c>
      <x:c r="C113" s="87" t="str">
        <x:v>СтатГрад</x:v>
      </x:c>
      <x:c r="D113" s="87" t="str">
        <x:v>Январь 2026</x:v>
      </x:c>
      <x:c r="E113" s="87"/>
      <x:c r="F113" s="87"/>
      <x:c r="G113" s="87" t="str">
        <x:v>Химия</x:v>
      </x:c>
      <x:c r="H113" s="87" t="n">
        <x:v>11</x:v>
      </x:c>
      <x:c r="I113" s="87" t="str">
        <x:v>ТР №3</x:v>
      </x:c>
      <x:c r="J113" s="87" t="str">
        <x:v>ХИ2510302</x:v>
      </x:c>
      <x:c r="K113" s="87" t="n">
        <x:v>24</x:v>
      </x:c>
      <x:c r="L113" s="87" t="str">
        <x:v>Качественный анализ</x:v>
      </x:c>
      <x:c r="M113" s="30" t="str">
        <x:v>Соотнесите четыре пары растворов с реагентами, позволяющими их различить.</x:v>
      </x:c>
      <x:c r="N113" s="30" t="str">
        <x:v>3215</x:v>
      </x:c>
      <x:c r="O113" s="30" t="str">
        <x:v>HNO3/HCl различают Cu; NaNO3/NH4NO3 — KOH по выделению NH3; Fe(NO3)3/Fe2(SO4)3 — BaCl2; Ca(OH)2/CaCl2 — фенолфталеин.</x:v>
      </x:c>
      <x:c r="P113" s="30" t="str">
        <x:v>Для каждой пары определён наблюдаемый аналитический эффект.</x:v>
      </x:c>
      <x:c r="Q113" s="30"/>
      <x:c r="R113" s="30" t="str">
        <x:v>Ключ в критериях отсутствует; решение проверено независимо.</x:v>
      </x:c>
      <x:c r="S113" s="30"/>
      <x:c r="T113" s="30"/>
      <x:c r="U113" s="30" t="str">
        <x:v>Расхождений не выявлено.</x:v>
      </x:c>
      <x:c r="V113" s="87" t="str">
        <x:v>VERIFIED</x:v>
      </x:c>
      <x:c r="W113" s="87" t="n">
        <x:v>13</x:v>
      </x:c>
      <x:c r="X113" s="87"/>
      <x:c r="Y113" s="87"/>
      <x:c r="Z113" s="87"/>
      <x:c r="AA113" s="87"/>
      <x:c r="AB113" s="87"/>
      <x:c r="AC113" s="87"/>
      <x:c r="AD113" s="87"/>
      <x:c r="AE113" s="87"/>
      <x:c r="AF113" s="87"/>
      <x:c r="AG113" s="87"/>
      <x:c r="AH113" s="87"/>
      <x:c r="AI113" s="30"/>
      <x:c r="AJ113" s="87" t="str">
        <x:v>master</x:v>
      </x:c>
      <x:c r="AK113" s="87" t="str">
        <x:v>master-v0.81</x:v>
      </x:c>
      <x:c r="AL113" s="87" t="str">
        <x:v>statgrad_master_base_v0_81_final(2).xlsx</x:v>
      </x:c>
      <x:c r="AM113" s="87" t="str">
        <x:v>CH_Jan_V2</x:v>
      </x:c>
      <x:c r="AN113" s="87" t="n">
        <x:v>25</x:v>
      </x:c>
    </x:row>
    <x:row r="114">
      <x:c r="A114" s="87" t="n">
        <x:v>113</x:v>
      </x:c>
      <x:c r="B114" s="87" t="str">
        <x:v>JAN-CH-V2-025</x:v>
      </x:c>
      <x:c r="C114" s="87" t="str">
        <x:v>СтатГрад</x:v>
      </x:c>
      <x:c r="D114" s="87" t="str">
        <x:v>Январь 2026</x:v>
      </x:c>
      <x:c r="E114" s="87"/>
      <x:c r="F114" s="87"/>
      <x:c r="G114" s="87" t="str">
        <x:v>Химия</x:v>
      </x:c>
      <x:c r="H114" s="87" t="n">
        <x:v>11</x:v>
      </x:c>
      <x:c r="I114" s="87" t="str">
        <x:v>ТР №3</x:v>
      </x:c>
      <x:c r="J114" s="87" t="str">
        <x:v>ХИ2510302</x:v>
      </x:c>
      <x:c r="K114" s="87" t="n">
        <x:v>25</x:v>
      </x:c>
      <x:c r="L114" s="87" t="str">
        <x:v>Применение веществ</x:v>
      </x:c>
      <x:c r="M114" s="30" t="str">
        <x:v>Соотнесите C2H5OH, CaCO3 и KNO3 с основной областью применения.</x:v>
      </x:c>
      <x:c r="N114" s="30" t="str">
        <x:v>312</x:v>
      </x:c>
      <x:c r="O114" s="30" t="str">
        <x:v>Этанол используют как растворитель, CaCO3 — в производстве стекла, KNO3 — как удобрение.</x:v>
      </x:c>
      <x:c r="P114" s="30" t="str">
        <x:v>Сопоставлены общеупотребительные области применения.</x:v>
      </x:c>
      <x:c r="Q114" s="30"/>
      <x:c r="R114" s="30" t="str">
        <x:v>312</x:v>
      </x:c>
      <x:c r="S114" s="30"/>
      <x:c r="T114" s="30"/>
      <x:c r="U114" s="30" t="str">
        <x:v>Расхождений нет.</x:v>
      </x:c>
      <x:c r="V114" s="87" t="str">
        <x:v>VERIFIED</x:v>
      </x:c>
      <x:c r="W114" s="87" t="n">
        <x:v>13</x:v>
      </x:c>
      <x:c r="X114" s="87"/>
      <x:c r="Y114" s="87"/>
      <x:c r="Z114" s="87"/>
      <x:c r="AA114" s="87"/>
      <x:c r="AB114" s="87"/>
      <x:c r="AC114" s="87"/>
      <x:c r="AD114" s="87"/>
      <x:c r="AE114" s="87"/>
      <x:c r="AF114" s="87"/>
      <x:c r="AG114" s="87"/>
      <x:c r="AH114" s="87"/>
      <x:c r="AI114" s="30"/>
      <x:c r="AJ114" s="87" t="str">
        <x:v>master</x:v>
      </x:c>
      <x:c r="AK114" s="87" t="str">
        <x:v>master-v0.81</x:v>
      </x:c>
      <x:c r="AL114" s="87" t="str">
        <x:v>statgrad_master_base_v0_81_final(2).xlsx</x:v>
      </x:c>
      <x:c r="AM114" s="87" t="str">
        <x:v>CH_Jan_V2</x:v>
      </x:c>
      <x:c r="AN114" s="87" t="n">
        <x:v>26</x:v>
      </x:c>
    </x:row>
    <x:row r="115">
      <x:c r="A115" s="87" t="n">
        <x:v>114</x:v>
      </x:c>
      <x:c r="B115" s="87" t="str">
        <x:v>JAN-CH-V2-026</x:v>
      </x:c>
      <x:c r="C115" s="87" t="str">
        <x:v>СтатГрад</x:v>
      </x:c>
      <x:c r="D115" s="87" t="str">
        <x:v>Январь 2026</x:v>
      </x:c>
      <x:c r="E115" s="87"/>
      <x:c r="F115" s="87"/>
      <x:c r="G115" s="87" t="str">
        <x:v>Химия</x:v>
      </x:c>
      <x:c r="H115" s="87" t="n">
        <x:v>11</x:v>
      </x:c>
      <x:c r="I115" s="87" t="str">
        <x:v>ТР №3</x:v>
      </x:c>
      <x:c r="J115" s="87" t="str">
        <x:v>ХИ2510302</x:v>
      </x:c>
      <x:c r="K115" s="87" t="n">
        <x:v>26</x:v>
      </x:c>
      <x:c r="L115" s="87" t="str">
        <x:v>Массовая доля</x:v>
      </x:c>
      <x:c r="M115" s="30" t="str">
        <x:v>220 г 21%-го раствора упарили, масса уменьшилась на 45 г. Найдите новую массовую долю соли.</x:v>
      </x:c>
      <x:c r="N115" s="30" t="str">
        <x:v>26,4</x:v>
      </x:c>
      <x:c r="O115" s="30" t="str">
        <x:v>Масса соли 46,2 г; новая масса раствора 175 г. ω=46,2/175·100%=26,4%.</x:v>
      </x:c>
      <x:c r="P115" s="30" t="str">
        <x:v>Массовый баланс пересчитан независимо.</x:v>
      </x:c>
      <x:c r="Q115" s="30"/>
      <x:c r="R115" s="30" t="str">
        <x:v>26,4</x:v>
      </x:c>
      <x:c r="S115" s="30"/>
      <x:c r="T115" s="30"/>
      <x:c r="U115" s="30" t="str">
        <x:v>Расхождений нет.</x:v>
      </x:c>
      <x:c r="V115" s="87" t="str">
        <x:v>VERIFIED</x:v>
      </x:c>
      <x:c r="W115" s="87" t="n">
        <x:v>14</x:v>
      </x:c>
      <x:c r="X115" s="87"/>
      <x:c r="Y115" s="87"/>
      <x:c r="Z115" s="87"/>
      <x:c r="AA115" s="87"/>
      <x:c r="AB115" s="87"/>
      <x:c r="AC115" s="87"/>
      <x:c r="AD115" s="87"/>
      <x:c r="AE115" s="87"/>
      <x:c r="AF115" s="87"/>
      <x:c r="AG115" s="87"/>
      <x:c r="AH115" s="87"/>
      <x:c r="AI115" s="30"/>
      <x:c r="AJ115" s="87" t="str">
        <x:v>master</x:v>
      </x:c>
      <x:c r="AK115" s="87" t="str">
        <x:v>master-v0.81</x:v>
      </x:c>
      <x:c r="AL115" s="87" t="str">
        <x:v>statgrad_master_base_v0_81_final(2).xlsx</x:v>
      </x:c>
      <x:c r="AM115" s="87" t="str">
        <x:v>CH_Jan_V2</x:v>
      </x:c>
      <x:c r="AN115" s="87" t="n">
        <x:v>27</x:v>
      </x:c>
    </x:row>
    <x:row r="116">
      <x:c r="A116" s="87" t="n">
        <x:v>115</x:v>
      </x:c>
      <x:c r="B116" s="87" t="str">
        <x:v>JAN-CH-V2-027</x:v>
      </x:c>
      <x:c r="C116" s="87" t="str">
        <x:v>СтатГрад</x:v>
      </x:c>
      <x:c r="D116" s="87" t="str">
        <x:v>Январь 2026</x:v>
      </x:c>
      <x:c r="E116" s="87"/>
      <x:c r="F116" s="87"/>
      <x:c r="G116" s="87" t="str">
        <x:v>Химия</x:v>
      </x:c>
      <x:c r="H116" s="87" t="n">
        <x:v>11</x:v>
      </x:c>
      <x:c r="I116" s="87" t="str">
        <x:v>ТР №3</x:v>
      </x:c>
      <x:c r="J116" s="87" t="str">
        <x:v>ХИ2510302</x:v>
      </x:c>
      <x:c r="K116" s="87" t="n">
        <x:v>27</x:v>
      </x:c>
      <x:c r="L116" s="87" t="str">
        <x:v>Термохимия</x:v>
      </x:c>
      <x:c r="M116" s="30" t="str">
        <x:v>P4 + 10Cl2 = 4PCl5 + 1776 кДж. При реакции выделилось 666 кДж. Найдите массу фосфора.</x:v>
      </x:c>
      <x:c r="N116" s="30" t="str">
        <x:v>46,5</x:v>
      </x:c>
      <x:c r="O116" s="30" t="str">
        <x:v>На 1776 кДж приходится 124 г P4; на 666 кДж — 124·666/1776=46,5 г.</x:v>
      </x:c>
      <x:c r="P116" s="30" t="str">
        <x:v>Результат проверен пропорцией.</x:v>
      </x:c>
      <x:c r="Q116" s="30"/>
      <x:c r="R116" s="30" t="str">
        <x:v>46,5</x:v>
      </x:c>
      <x:c r="S116" s="30"/>
      <x:c r="T116" s="30"/>
      <x:c r="U116" s="30" t="str">
        <x:v>Расхождений нет.</x:v>
      </x:c>
      <x:c r="V116" s="87" t="str">
        <x:v>VERIFIED</x:v>
      </x:c>
      <x:c r="W116" s="87" t="n">
        <x:v>14</x:v>
      </x:c>
      <x:c r="X116" s="87"/>
      <x:c r="Y116" s="87"/>
      <x:c r="Z116" s="87"/>
      <x:c r="AA116" s="87"/>
      <x:c r="AB116" s="87"/>
      <x:c r="AC116" s="87"/>
      <x:c r="AD116" s="87"/>
      <x:c r="AE116" s="87"/>
      <x:c r="AF116" s="87"/>
      <x:c r="AG116" s="87"/>
      <x:c r="AH116" s="87"/>
      <x:c r="AI116" s="30"/>
      <x:c r="AJ116" s="87" t="str">
        <x:v>master</x:v>
      </x:c>
      <x:c r="AK116" s="87" t="str">
        <x:v>master-v0.81</x:v>
      </x:c>
      <x:c r="AL116" s="87" t="str">
        <x:v>statgrad_master_base_v0_81_final(2).xlsx</x:v>
      </x:c>
      <x:c r="AM116" s="87" t="str">
        <x:v>CH_Jan_V2</x:v>
      </x:c>
      <x:c r="AN116" s="87" t="n">
        <x:v>28</x:v>
      </x:c>
    </x:row>
    <x:row r="117">
      <x:c r="A117" s="87" t="n">
        <x:v>116</x:v>
      </x:c>
      <x:c r="B117" s="87" t="str">
        <x:v>JAN-CH-V2-028</x:v>
      </x:c>
      <x:c r="C117" s="87" t="str">
        <x:v>СтатГрад</x:v>
      </x:c>
      <x:c r="D117" s="87" t="str">
        <x:v>Январь 2026</x:v>
      </x:c>
      <x:c r="E117" s="87"/>
      <x:c r="F117" s="87"/>
      <x:c r="G117" s="87" t="str">
        <x:v>Химия</x:v>
      </x:c>
      <x:c r="H117" s="87" t="n">
        <x:v>11</x:v>
      </x:c>
      <x:c r="I117" s="87" t="str">
        <x:v>ТР №3</x:v>
      </x:c>
      <x:c r="J117" s="87" t="str">
        <x:v>ХИ2510302</x:v>
      </x:c>
      <x:c r="K117" s="87" t="n">
        <x:v>28</x:v>
      </x:c>
      <x:c r="L117" s="87" t="str">
        <x:v>Выход продукта</x:v>
      </x:c>
      <x:c r="M117" s="30" t="str">
        <x:v>Из 7 м³ CO и 14 м³ H2 получили 7 кг метанола. Найдите выход продукта.</x:v>
      </x:c>
      <x:c r="N117" s="30" t="str">
        <x:v>70</x:v>
      </x:c>
      <x:c r="O117" s="30" t="str">
        <x:v>Газы взяты в стехиометрическом отношении 1:2. Из 7 м³ CO теоретически получается 10 кг CH3OH; фактически 7 кг, значит выход 70%.</x:v>
      </x:c>
      <x:c r="P117" s="30" t="str">
        <x:v>Расчёт проверен по объёмным отношениям и молярной массе.</x:v>
      </x:c>
      <x:c r="Q117" s="30"/>
      <x:c r="R117" s="30" t="str">
        <x:v>70</x:v>
      </x:c>
      <x:c r="S117" s="30"/>
      <x:c r="T117" s="30"/>
      <x:c r="U117" s="30" t="str">
        <x:v>Расхождений нет.</x:v>
      </x:c>
      <x:c r="V117" s="87" t="str">
        <x:v>VERIFIED</x:v>
      </x:c>
      <x:c r="W117" s="87" t="n">
        <x:v>14</x:v>
      </x:c>
      <x:c r="X117" s="87"/>
      <x:c r="Y117" s="87"/>
      <x:c r="Z117" s="87"/>
      <x:c r="AA117" s="87"/>
      <x:c r="AB117" s="87"/>
      <x:c r="AC117" s="87"/>
      <x:c r="AD117" s="87"/>
      <x:c r="AE117" s="87"/>
      <x:c r="AF117" s="87"/>
      <x:c r="AG117" s="87"/>
      <x:c r="AH117" s="87"/>
      <x:c r="AI117" s="30"/>
      <x:c r="AJ117" s="87" t="str">
        <x:v>master</x:v>
      </x:c>
      <x:c r="AK117" s="87" t="str">
        <x:v>master-v0.81</x:v>
      </x:c>
      <x:c r="AL117" s="87" t="str">
        <x:v>statgrad_master_base_v0_81_final(2).xlsx</x:v>
      </x:c>
      <x:c r="AM117" s="87" t="str">
        <x:v>CH_Jan_V2</x:v>
      </x:c>
      <x:c r="AN117" s="87" t="n">
        <x:v>29</x:v>
      </x:c>
    </x:row>
    <x:row r="118">
      <x:c r="A118" s="87" t="n">
        <x:v>117</x:v>
      </x:c>
      <x:c r="B118" s="87" t="str">
        <x:v>JAN-CH-V2-029</x:v>
      </x:c>
      <x:c r="C118" s="87" t="str">
        <x:v>СтатГрад</x:v>
      </x:c>
      <x:c r="D118" s="87" t="str">
        <x:v>Январь 2026</x:v>
      </x:c>
      <x:c r="E118" s="87"/>
      <x:c r="F118" s="87"/>
      <x:c r="G118" s="87" t="str">
        <x:v>Химия</x:v>
      </x:c>
      <x:c r="H118" s="87" t="n">
        <x:v>11</x:v>
      </x:c>
      <x:c r="I118" s="87" t="str">
        <x:v>ТР №3</x:v>
      </x:c>
      <x:c r="J118" s="87" t="str">
        <x:v>ХИ2510302</x:v>
      </x:c>
      <x:c r="K118" s="87" t="n">
        <x:v>29</x:v>
      </x:c>
      <x:c r="L118" s="87" t="str">
        <x:v>Развёрнутый ответ: ОВР</x:v>
      </x:c>
      <x:c r="M118" s="30" t="str">
        <x:v>Из перечня выберите ОВР, протекающую с образованием двух солей; запишите уравнение, электронный баланс, окислитель и восстановитель.</x:v>
      </x:c>
      <x:c r="N118" s="30" t="str">
        <x:v>Cu2O + KClO + 2H2SO4 → 2CuSO4 + KCl + 2H2O; окислитель KClO, восстановитель Cu2O</x:v>
      </x:c>
      <x:c r="O118" s="30" t="str">
        <x:v>Cl(+1) принимает два электрона и превращается в Cl(−1); два Cu(+1) отдают по электрону и переходят в Cu(+2).</x:v>
      </x:c>
      <x:c r="P118" s="30" t="str">
        <x:v>Уравнение проверено по атомам, заряду и электронному балансу.</x:v>
      </x:c>
      <x:c r="Q118" s="30"/>
      <x:c r="R118" s="30" t="str">
        <x:v>Критерии, стр. 1</x:v>
      </x:c>
      <x:c r="S118" s="30"/>
      <x:c r="T118" s="30"/>
      <x:c r="U118" s="30" t="str">
        <x:v>Критерий перенесён отдельно без редактирования.</x:v>
      </x:c>
      <x:c r="V118" s="87" t="str">
        <x:v>VERIFIED</x:v>
      </x:c>
      <x:c r="W118" s="87" t="n">
        <x:v>15</x:v>
      </x:c>
      <x:c r="X118" s="87"/>
      <x:c r="Y118" s="87"/>
      <x:c r="Z118" s="87"/>
      <x:c r="AA118" s="87"/>
      <x:c r="AB118" s="87"/>
      <x:c r="AC118" s="87"/>
      <x:c r="AD118" s="87"/>
      <x:c r="AE118" s="87"/>
      <x:c r="AF118" s="87"/>
      <x:c r="AG118" s="87"/>
      <x:c r="AH118" s="87"/>
      <x:c r="AI118" s="30"/>
      <x:c r="AJ118" s="87" t="str">
        <x:v>master</x:v>
      </x:c>
      <x:c r="AK118" s="87" t="str">
        <x:v>master-v0.81</x:v>
      </x:c>
      <x:c r="AL118" s="87" t="str">
        <x:v>statgrad_master_base_v0_81_final(2).xlsx</x:v>
      </x:c>
      <x:c r="AM118" s="87" t="str">
        <x:v>CH_Jan_V2</x:v>
      </x:c>
      <x:c r="AN118" s="87" t="n">
        <x:v>30</x:v>
      </x:c>
    </x:row>
    <x:row r="119">
      <x:c r="A119" s="87" t="n">
        <x:v>118</x:v>
      </x:c>
      <x:c r="B119" s="87" t="str">
        <x:v>JAN-CH-V2-030</x:v>
      </x:c>
      <x:c r="C119" s="87" t="str">
        <x:v>СтатГрад</x:v>
      </x:c>
      <x:c r="D119" s="87" t="str">
        <x:v>Январь 2026</x:v>
      </x:c>
      <x:c r="E119" s="87"/>
      <x:c r="F119" s="87"/>
      <x:c r="G119" s="87" t="str">
        <x:v>Химия</x:v>
      </x:c>
      <x:c r="H119" s="87" t="n">
        <x:v>11</x:v>
      </x:c>
      <x:c r="I119" s="87" t="str">
        <x:v>ТР №3</x:v>
      </x:c>
      <x:c r="J119" s="87" t="str">
        <x:v>ХИ2510302</x:v>
      </x:c>
      <x:c r="K119" s="87" t="n">
        <x:v>30</x:v>
      </x:c>
      <x:c r="L119" s="87" t="str">
        <x:v>Развёрнутый ответ: ионный обмен</x:v>
      </x:c>
      <x:c r="M119" s="30" t="str">
        <x:v>Выберите реакцию ионного обмена без выделения газа; запишите молекулярное, полное и сокращённое ионное уравнения.</x:v>
      </x:c>
      <x:c r="N119" s="30" t="str">
        <x:v>FeCl3 + 3NH3 + 3H2O → Fe(OH)3↓ + 3NH4Cl; Fe3+ + 3NH3 + 3H2O → Fe(OH)3↓ + 3NH4+</x:v>
      </x:c>
      <x:c r="O119" s="30" t="str">
        <x:v>Аммиак в воде создаёт достаточную концентрацию OH− для осаждения Fe(OH)3; хлорид-ионы являются зрителями.</x:v>
      </x:c>
      <x:c r="P119" s="30" t="str">
        <x:v>Проверены заряд, материальный баланс и растворимость.</x:v>
      </x:c>
      <x:c r="Q119" s="30"/>
      <x:c r="R119" s="30" t="str">
        <x:v>Критерии, стр. 2</x:v>
      </x:c>
      <x:c r="S119" s="30"/>
      <x:c r="T119" s="30"/>
      <x:c r="U119" s="30" t="str">
        <x:v>Критерий перенесён отдельно без редактирования.</x:v>
      </x:c>
      <x:c r="V119" s="87" t="str">
        <x:v>VERIFIED</x:v>
      </x:c>
      <x:c r="W119" s="87" t="n">
        <x:v>15</x:v>
      </x:c>
      <x:c r="X119" s="87"/>
      <x:c r="Y119" s="87"/>
      <x:c r="Z119" s="87"/>
      <x:c r="AA119" s="87"/>
      <x:c r="AB119" s="87"/>
      <x:c r="AC119" s="87"/>
      <x:c r="AD119" s="87"/>
      <x:c r="AE119" s="87"/>
      <x:c r="AF119" s="87"/>
      <x:c r="AG119" s="87"/>
      <x:c r="AH119" s="87"/>
      <x:c r="AI119" s="30"/>
      <x:c r="AJ119" s="87" t="str">
        <x:v>master</x:v>
      </x:c>
      <x:c r="AK119" s="87" t="str">
        <x:v>master-v0.81</x:v>
      </x:c>
      <x:c r="AL119" s="87" t="str">
        <x:v>statgrad_master_base_v0_81_final(2).xlsx</x:v>
      </x:c>
      <x:c r="AM119" s="87" t="str">
        <x:v>CH_Jan_V2</x:v>
      </x:c>
      <x:c r="AN119" s="87" t="n">
        <x:v>31</x:v>
      </x:c>
    </x:row>
    <x:row r="120">
      <x:c r="A120" s="87" t="n">
        <x:v>119</x:v>
      </x:c>
      <x:c r="B120" s="87" t="str">
        <x:v>JAN-CH-V2-031</x:v>
      </x:c>
      <x:c r="C120" s="87" t="str">
        <x:v>СтатГрад</x:v>
      </x:c>
      <x:c r="D120" s="87" t="str">
        <x:v>Январь 2026</x:v>
      </x:c>
      <x:c r="E120" s="87"/>
      <x:c r="F120" s="87"/>
      <x:c r="G120" s="87" t="str">
        <x:v>Химия</x:v>
      </x:c>
      <x:c r="H120" s="87" t="n">
        <x:v>11</x:v>
      </x:c>
      <x:c r="I120" s="87" t="str">
        <x:v>ТР №3</x:v>
      </x:c>
      <x:c r="J120" s="87" t="str">
        <x:v>ХИ2510302</x:v>
      </x:c>
      <x:c r="K120" s="87" t="n">
        <x:v>31</x:v>
      </x:c>
      <x:c r="L120" s="87" t="str">
        <x:v>Развёрнутый ответ: неорганическая цепочка</x:v>
      </x:c>
      <x:c r="M120" s="30" t="str">
        <x:v>Нагрели NaNO3 с избытком Pb; растворили часть смеси; добавили NaI и H2SO4; полученный тёмный раствор обесцветили SO2 от обжига FeS. Запишите четыре уравнения.</x:v>
      </x:c>
      <x:c r="N120" s="30" t="str">
        <x:v>NaNO3 + Pb → NaNO2 + PbO; 2NaNO2 + 2NaI + 2H2SO4 → I2 + 2NO + 2Na2SO4 + 2H2O; 4FeS + 7O2 → 2Fe2O3 + 4SO2; I2 + SO2 + 2H2O → H2SO4 + 2HI</x:v>
      </x:c>
      <x:c r="O120" s="30" t="str">
        <x:v>Pb восстанавливает нитрат до нитрита; подкисленный нитрит окисляет I− до I2; обжиг FeS даёт SO2, который восстанавливает I2 до HI.</x:v>
      </x:c>
      <x:c r="P120" s="30" t="str">
        <x:v>Все четыре уравнения независимо уравнены.</x:v>
      </x:c>
      <x:c r="Q120" s="30"/>
      <x:c r="R120" s="30" t="str">
        <x:v>Критерии, стр. 2</x:v>
      </x:c>
      <x:c r="S120" s="30"/>
      <x:c r="T120" s="30"/>
      <x:c r="U120" s="30" t="str">
        <x:v>Критерий перенесён отдельно без редактирования.</x:v>
      </x:c>
      <x:c r="V120" s="87" t="str">
        <x:v>VERIFIED</x:v>
      </x:c>
      <x:c r="W120" s="87" t="n">
        <x:v>15</x:v>
      </x:c>
      <x:c r="X120" s="87"/>
      <x:c r="Y120" s="87"/>
      <x:c r="Z120" s="87"/>
      <x:c r="AA120" s="87"/>
      <x:c r="AB120" s="87"/>
      <x:c r="AC120" s="87"/>
      <x:c r="AD120" s="87"/>
      <x:c r="AE120" s="87"/>
      <x:c r="AF120" s="87"/>
      <x:c r="AG120" s="87"/>
      <x:c r="AH120" s="87"/>
      <x:c r="AI120" s="30"/>
      <x:c r="AJ120" s="87" t="str">
        <x:v>master</x:v>
      </x:c>
      <x:c r="AK120" s="87" t="str">
        <x:v>master-v0.81</x:v>
      </x:c>
      <x:c r="AL120" s="87" t="str">
        <x:v>statgrad_master_base_v0_81_final(2).xlsx</x:v>
      </x:c>
      <x:c r="AM120" s="87" t="str">
        <x:v>CH_Jan_V2</x:v>
      </x:c>
      <x:c r="AN120" s="87" t="n">
        <x:v>32</x:v>
      </x:c>
    </x:row>
    <x:row r="121">
      <x:c r="A121" s="87" t="n">
        <x:v>120</x:v>
      </x:c>
      <x:c r="B121" s="87" t="str">
        <x:v>JAN-CH-V2-032</x:v>
      </x:c>
      <x:c r="C121" s="87" t="str">
        <x:v>СтатГрад</x:v>
      </x:c>
      <x:c r="D121" s="87" t="str">
        <x:v>Январь 2026</x:v>
      </x:c>
      <x:c r="E121" s="87"/>
      <x:c r="F121" s="87"/>
      <x:c r="G121" s="87" t="str">
        <x:v>Химия</x:v>
      </x:c>
      <x:c r="H121" s="87" t="n">
        <x:v>11</x:v>
      </x:c>
      <x:c r="I121" s="87" t="str">
        <x:v>ТР №3</x:v>
      </x:c>
      <x:c r="J121" s="87" t="str">
        <x:v>ХИ2510302</x:v>
      </x:c>
      <x:c r="K121" s="87" t="n">
        <x:v>32</x:v>
      </x:c>
      <x:c r="L121" s="87" t="str">
        <x:v>Развёрнутый ответ: органическая цепочка</x:v>
      </x:c>
      <x:c r="M121" s="30" t="str">
        <x:v>Проведите превращения: ацетилен → X1 → C4H6 → X2 → X3 → C6H8O4.</x:v>
      </x:c>
      <x:c r="N121" s="30" t="str">
        <x:v>X1=HC≡C–CH=CH2; C4H6=CH2=CH–CH=CH2; X2=BrCH2–CH=CH–CH2Br; X3=NCCH2–CH=CH–CH2CN; продукт HOOCCH2–CH=CH–CH2COOH</x:v>
      </x:c>
      <x:c r="O121" s="30" t="str">
        <x:v>Ацетилен димеризуют в винилацетилен; частичное гидрирование даёт бутадиен-1,3; присоединение Br2 при 40 °C преимущественно 1,4; затем Br замещают на CN и гидролизуют нитрильные группы.</x:v>
      </x:c>
      <x:c r="P121" s="30" t="str">
        <x:v>Структуры и молекулярная формула конечной дикарбоновой кислоты проверены.</x:v>
      </x:c>
      <x:c r="Q121" s="30"/>
      <x:c r="R121" s="30" t="str">
        <x:v>Критерии, стр. 3</x:v>
      </x:c>
      <x:c r="S121" s="30"/>
      <x:c r="T121" s="30"/>
      <x:c r="U121" s="30" t="str">
        <x:v>Критерий перенесён отдельно без редактирования.</x:v>
      </x:c>
      <x:c r="V121" s="87" t="str">
        <x:v>VERIFIED</x:v>
      </x:c>
      <x:c r="W121" s="87" t="n">
        <x:v>15</x:v>
      </x:c>
      <x:c r="X121" s="87"/>
      <x:c r="Y121" s="87"/>
      <x:c r="Z121" s="87"/>
      <x:c r="AA121" s="87"/>
      <x:c r="AB121" s="87"/>
      <x:c r="AC121" s="87"/>
      <x:c r="AD121" s="87"/>
      <x:c r="AE121" s="87"/>
      <x:c r="AF121" s="87"/>
      <x:c r="AG121" s="87"/>
      <x:c r="AH121" s="87"/>
      <x:c r="AI121" s="30"/>
      <x:c r="AJ121" s="87" t="str">
        <x:v>master</x:v>
      </x:c>
      <x:c r="AK121" s="87" t="str">
        <x:v>master-v0.81</x:v>
      </x:c>
      <x:c r="AL121" s="87" t="str">
        <x:v>statgrad_master_base_v0_81_final(2).xlsx</x:v>
      </x:c>
      <x:c r="AM121" s="87" t="str">
        <x:v>CH_Jan_V2</x:v>
      </x:c>
      <x:c r="AN121" s="87" t="n">
        <x:v>33</x:v>
      </x:c>
    </x:row>
    <x:row r="122">
      <x:c r="A122" s="87" t="n">
        <x:v>121</x:v>
      </x:c>
      <x:c r="B122" s="87" t="str">
        <x:v>JAN-CH-V2-033</x:v>
      </x:c>
      <x:c r="C122" s="87" t="str">
        <x:v>СтатГрад</x:v>
      </x:c>
      <x:c r="D122" s="87" t="str">
        <x:v>Январь 2026</x:v>
      </x:c>
      <x:c r="E122" s="87"/>
      <x:c r="F122" s="87"/>
      <x:c r="G122" s="87" t="str">
        <x:v>Химия</x:v>
      </x:c>
      <x:c r="H122" s="87" t="n">
        <x:v>11</x:v>
      </x:c>
      <x:c r="I122" s="87" t="str">
        <x:v>ТР №3</x:v>
      </x:c>
      <x:c r="J122" s="87" t="str">
        <x:v>ХИ2510302</x:v>
      </x:c>
      <x:c r="K122" s="87" t="n">
        <x:v>33</x:v>
      </x:c>
      <x:c r="L122" s="87" t="str">
        <x:v>Развёрнутый ответ: установление формулы</x:v>
      </x:c>
      <x:c r="M122" s="30" t="str">
        <x:v>По продуктам сгорания и свойствам установите бесцветную жидкость A с бензольным кольцом и одной боковой цепью; запишите реакцию с HNO2.</x:v>
      </x:c>
      <x:c r="N122" s="30" t="str">
        <x:v>A: C8H11N, 2-фенилэтиламин C6H5–CH2–CH2–NH2; C6H5CH2CH2NH2 + HNO2 → C6H5CH2CH2OH + N2↑ + H2O</x:v>
      </x:c>
      <x:c r="O122" s="30" t="str">
        <x:v>По CO2, N2 и H2O получаем C:H:N=8:11:1; масса элементов равна массе навески, кислорода нет. Первичный амин с одной боковой цепью — 2-фенилэтиламин.</x:v>
      </x:c>
      <x:c r="P122" s="30" t="str">
        <x:v>Элементный баланс и молекулярная формула пересчитаны независимо.</x:v>
      </x:c>
      <x:c r="Q122" s="30"/>
      <x:c r="R122" s="30" t="str">
        <x:v>Критерии, стр. 4</x:v>
      </x:c>
      <x:c r="S122" s="30"/>
      <x:c r="T122" s="30"/>
      <x:c r="U122" s="30" t="str">
        <x:v>Критерий перенесён отдельно без редактирования.</x:v>
      </x:c>
      <x:c r="V122" s="87" t="str">
        <x:v>VERIFIED</x:v>
      </x:c>
      <x:c r="W122" s="87" t="n">
        <x:v>16</x:v>
      </x:c>
      <x:c r="X122" s="87"/>
      <x:c r="Y122" s="87"/>
      <x:c r="Z122" s="87"/>
      <x:c r="AA122" s="87"/>
      <x:c r="AB122" s="87"/>
      <x:c r="AC122" s="87"/>
      <x:c r="AD122" s="87"/>
      <x:c r="AE122" s="87"/>
      <x:c r="AF122" s="87"/>
      <x:c r="AG122" s="87"/>
      <x:c r="AH122" s="87"/>
      <x:c r="AI122" s="30"/>
      <x:c r="AJ122" s="87" t="str">
        <x:v>master</x:v>
      </x:c>
      <x:c r="AK122" s="87" t="str">
        <x:v>master-v0.81</x:v>
      </x:c>
      <x:c r="AL122" s="87" t="str">
        <x:v>statgrad_master_base_v0_81_final(2).xlsx</x:v>
      </x:c>
      <x:c r="AM122" s="87" t="str">
        <x:v>CH_Jan_V2</x:v>
      </x:c>
      <x:c r="AN122" s="87" t="n">
        <x:v>34</x:v>
      </x:c>
    </x:row>
    <x:row r="123">
      <x:c r="A123" s="87" t="n">
        <x:v>122</x:v>
      </x:c>
      <x:c r="B123" s="87" t="str">
        <x:v>JAN-CH-V2-034</x:v>
      </x:c>
      <x:c r="C123" s="87" t="str">
        <x:v>СтатГрад</x:v>
      </x:c>
      <x:c r="D123" s="87" t="str">
        <x:v>Январь 2026</x:v>
      </x:c>
      <x:c r="E123" s="87"/>
      <x:c r="F123" s="87"/>
      <x:c r="G123" s="87" t="str">
        <x:v>Химия</x:v>
      </x:c>
      <x:c r="H123" s="87" t="n">
        <x:v>11</x:v>
      </x:c>
      <x:c r="I123" s="87" t="str">
        <x:v>ТР №3</x:v>
      </x:c>
      <x:c r="J123" s="87" t="str">
        <x:v>ХИ2510302</x:v>
      </x:c>
      <x:c r="K123" s="87" t="n">
        <x:v>34</x:v>
      </x:c>
      <x:c r="L123" s="87" t="str">
        <x:v>Развёрнутый ответ: расчёт раствора</x:v>
      </x:c>
      <x:c r="M123" s="30" t="str">
        <x:v>Смесь Cu2S и ZnS растворили в горячей 70%-й H2SO4, разбавили и добавили 3,9 г Zn. Найдите массовые доли солей.</x:v>
      </x:c>
      <x:c r="N123" s="30" t="str">
        <x:v>ω(ZnSO4)=20,7%; ω(CuSO4)=5,15%</x:v>
      </x:c>
      <x:c r="O123" s="30" t="str">
        <x:v>Из систем 160x+97y=17,7 и 6x+4y=0,7 получаем x(Cu2S)=0,05 моль, y(ZnS)=0,10 моль. После реакции Zn с CuSO4 остаётся 0,04 моль CuSO4 и образуется суммарно 0,16 моль ZnSO4; масса раствора 124,16 г.</x:v>
      </x:c>
      <x:c r="P123" s="30" t="str">
        <x:v>Состав смеси, расход Zn и итоговые массовые доли пересчитаны.</x:v>
      </x:c>
      <x:c r="Q123" s="30"/>
      <x:c r="R123" s="30" t="str">
        <x:v>Критерии, стр. 5–6</x:v>
      </x:c>
      <x:c r="S123" s="30"/>
      <x:c r="T123" s="30"/>
      <x:c r="U123" s="30" t="str">
        <x:v>Расхождений нет.</x:v>
      </x:c>
      <x:c r="V123" s="87" t="str">
        <x:v>VERIFIED</x:v>
      </x:c>
      <x:c r="W123" s="87" t="n">
        <x:v>16</x:v>
      </x:c>
      <x:c r="X123" s="87"/>
      <x:c r="Y123" s="87"/>
      <x:c r="Z123" s="87"/>
      <x:c r="AA123" s="87"/>
      <x:c r="AB123" s="87"/>
      <x:c r="AC123" s="87"/>
      <x:c r="AD123" s="87"/>
      <x:c r="AE123" s="87"/>
      <x:c r="AF123" s="87"/>
      <x:c r="AG123" s="87"/>
      <x:c r="AH123" s="87"/>
      <x:c r="AI123" s="30"/>
      <x:c r="AJ123" s="87" t="str">
        <x:v>master</x:v>
      </x:c>
      <x:c r="AK123" s="87" t="str">
        <x:v>master-v0.81</x:v>
      </x:c>
      <x:c r="AL123" s="87" t="str">
        <x:v>statgrad_master_base_v0_81_final(2).xlsx</x:v>
      </x:c>
      <x:c r="AM123" s="87" t="str">
        <x:v>CH_Jan_V2</x:v>
      </x:c>
      <x:c r="AN123" s="87" t="n">
        <x:v>35</x:v>
      </x:c>
    </x:row>
    <x:row r="124">
      <x:c r="A124" s="87" t="n">
        <x:v>123</x:v>
      </x:c>
      <x:c r="B124" s="87" t="str">
        <x:v>JAN-HIS-V1-001</x:v>
      </x:c>
      <x:c r="C124" s="87" t="str">
        <x:v>СтатГрад</x:v>
      </x:c>
      <x:c r="D124" s="87" t="str">
        <x:v>Январь 2026</x:v>
      </x:c>
      <x:c r="E124" s="87"/>
      <x:c r="F124" s="87"/>
      <x:c r="G124" s="87" t="str">
        <x:v>История</x:v>
      </x:c>
      <x:c r="H124" s="87" t="n">
        <x:v>11</x:v>
      </x:c>
      <x:c r="I124" s="87" t="str">
        <x:v>ТР №3</x:v>
      </x:c>
      <x:c r="J124" s="87" t="str">
        <x:v>ИС2510301</x:v>
      </x:c>
      <x:c r="K124" s="87" t="n">
        <x:v>1</x:v>
      </x:c>
      <x:c r="L124" s="87" t="str">
        <x:v>Соответствие событий и дат</x:v>
      </x:c>
      <x:c r="M124" s="30" t="str">
        <x:v>Соотнесите: воцарение Василия Шуйского; операция «Рельсовая война»; провозглашение республики в России; воцарение Елизаветы Петровны — с датами.</x:v>
      </x:c>
      <x:c r="N124" s="30" t="str">
        <x:v>1643</x:v>
      </x:c>
      <x:c r="O124" s="30" t="str">
        <x:v>Василий Шуйский вступил на престол в 1606 г.; «Рельсовая война» проводилась в 1943 г.; Россия была провозглашена республикой в 1917 г.; Елизавета Петровна взошла на престол в 1741 г.</x:v>
      </x:c>
      <x:c r="P124" s="30" t="str">
        <x:v>Каждая дата проверена по хронологии соответствующего события.</x:v>
      </x:c>
      <x:c r="Q124" s="30"/>
      <x:c r="R124" s="30" t="str">
        <x:v>1643</x:v>
      </x:c>
      <x:c r="S124" s="30"/>
      <x:c r="T124" s="30"/>
      <x:c r="U124" s="30" t="str">
        <x:v>Расхождений нет.</x:v>
      </x:c>
      <x:c r="V124" s="87" t="str">
        <x:v>VERIFIED</x:v>
      </x:c>
      <x:c r="W124" s="87" t="n">
        <x:v>2</x:v>
      </x:c>
      <x:c r="X124" s="87"/>
      <x:c r="Y124" s="87"/>
      <x:c r="Z124" s="87"/>
      <x:c r="AA124" s="87"/>
      <x:c r="AB124" s="87"/>
      <x:c r="AC124" s="87"/>
      <x:c r="AD124" s="87"/>
      <x:c r="AE124" s="87"/>
      <x:c r="AF124" s="87"/>
      <x:c r="AG124" s="87"/>
      <x:c r="AH124" s="87"/>
      <x:c r="AI124" s="30"/>
      <x:c r="AJ124" s="87" t="str">
        <x:v>master</x:v>
      </x:c>
      <x:c r="AK124" s="87" t="str">
        <x:v>master-v0.81</x:v>
      </x:c>
      <x:c r="AL124" s="87" t="str">
        <x:v>statgrad_master_base_v0_81_final(2).xlsx</x:v>
      </x:c>
      <x:c r="AM124" s="87" t="str">
        <x:v>HIST_Jan_V1</x:v>
      </x:c>
      <x:c r="AN124" s="87" t="n">
        <x:v>2</x:v>
      </x:c>
    </x:row>
    <x:row r="125">
      <x:c r="A125" s="87" t="n">
        <x:v>124</x:v>
      </x:c>
      <x:c r="B125" s="87" t="str">
        <x:v>JAN-HIS-V1-002</x:v>
      </x:c>
      <x:c r="C125" s="87" t="str">
        <x:v>СтатГрад</x:v>
      </x:c>
      <x:c r="D125" s="87" t="str">
        <x:v>Январь 2026</x:v>
      </x:c>
      <x:c r="E125" s="87"/>
      <x:c r="F125" s="87"/>
      <x:c r="G125" s="87" t="str">
        <x:v>История</x:v>
      </x:c>
      <x:c r="H125" s="87" t="n">
        <x:v>11</x:v>
      </x:c>
      <x:c r="I125" s="87" t="str">
        <x:v>ТР №3</x:v>
      </x:c>
      <x:c r="J125" s="87" t="str">
        <x:v>ИС2510301</x:v>
      </x:c>
      <x:c r="K125" s="87" t="n">
        <x:v>2</x:v>
      </x:c>
      <x:c r="L125" s="87" t="str">
        <x:v>Хронология</x:v>
      </x:c>
      <x:c r="M125" s="30" t="str">
        <x:v>Расположите события: указ об урочных летах; приход фашистов к власти в Италии; начало строительства Сибирского железного пути.</x:v>
      </x:c>
      <x:c r="N125" s="30" t="str">
        <x:v>132</x:v>
      </x:c>
      <x:c r="O125" s="30" t="str">
        <x:v>Указ об урочных летах относится к 1597 г.; строительство Транссиба началось в 1891 г.; Муссолини пришёл к власти в Италии в 1922 г.</x:v>
      </x:c>
      <x:c r="P125" s="30" t="str">
        <x:v>События расположены по возрастанию дат.</x:v>
      </x:c>
      <x:c r="Q125" s="30"/>
      <x:c r="R125" s="30" t="str">
        <x:v>132</x:v>
      </x:c>
      <x:c r="S125" s="30"/>
      <x:c r="T125" s="30"/>
      <x:c r="U125" s="30" t="str">
        <x:v>Расхождений нет.</x:v>
      </x:c>
      <x:c r="V125" s="87" t="str">
        <x:v>VERIFIED</x:v>
      </x:c>
      <x:c r="W125" s="87" t="n">
        <x:v>2</x:v>
      </x:c>
      <x:c r="X125" s="87"/>
      <x:c r="Y125" s="87"/>
      <x:c r="Z125" s="87"/>
      <x:c r="AA125" s="87"/>
      <x:c r="AB125" s="87"/>
      <x:c r="AC125" s="87"/>
      <x:c r="AD125" s="87"/>
      <x:c r="AE125" s="87"/>
      <x:c r="AF125" s="87"/>
      <x:c r="AG125" s="87"/>
      <x:c r="AH125" s="87"/>
      <x:c r="AI125" s="30"/>
      <x:c r="AJ125" s="87" t="str">
        <x:v>master</x:v>
      </x:c>
      <x:c r="AK125" s="87" t="str">
        <x:v>master-v0.81</x:v>
      </x:c>
      <x:c r="AL125" s="87" t="str">
        <x:v>statgrad_master_base_v0_81_final(2).xlsx</x:v>
      </x:c>
      <x:c r="AM125" s="87" t="str">
        <x:v>HIST_Jan_V1</x:v>
      </x:c>
      <x:c r="AN125" s="87" t="n">
        <x:v>3</x:v>
      </x:c>
    </x:row>
    <x:row r="126">
      <x:c r="A126" s="87" t="n">
        <x:v>125</x:v>
      </x:c>
      <x:c r="B126" s="87" t="str">
        <x:v>JAN-HIS-V1-003</x:v>
      </x:c>
      <x:c r="C126" s="87" t="str">
        <x:v>СтатГрад</x:v>
      </x:c>
      <x:c r="D126" s="87" t="str">
        <x:v>Январь 2026</x:v>
      </x:c>
      <x:c r="E126" s="87"/>
      <x:c r="F126" s="87"/>
      <x:c r="G126" s="87" t="str">
        <x:v>История</x:v>
      </x:c>
      <x:c r="H126" s="87" t="n">
        <x:v>11</x:v>
      </x:c>
      <x:c r="I126" s="87" t="str">
        <x:v>ТР №3</x:v>
      </x:c>
      <x:c r="J126" s="87" t="str">
        <x:v>ИС2510301</x:v>
      </x:c>
      <x:c r="K126" s="87" t="n">
        <x:v>3</x:v>
      </x:c>
      <x:c r="L126" s="87" t="str">
        <x:v>Соответствие процессов и фактов</x:v>
      </x:c>
      <x:c r="M126" s="30" t="str">
        <x:v>Соотнесите: правление Василия III; укрепление древнерусской государственности; просвещённый абсолютизм Екатерины II; укрепление большевиков у власти — с фактами.</x:v>
      </x:c>
      <x:c r="N126" s="30" t="str">
        <x:v>3145</x:v>
      </x:c>
      <x:c r="O126" s="30" t="str">
        <x:v>При Василии III сложилась теория «Москва — Третий Рим»; укреплению Древней Руси способствовало Крещение Руси; Екатерина II проводила секуляризацию церковных земель; большевики отделили школу от церкви.</x:v>
      </x:c>
      <x:c r="P126" s="30" t="str">
        <x:v>Факты соотнесены с эпохами и направлениями политики.</x:v>
      </x:c>
      <x:c r="Q126" s="30"/>
      <x:c r="R126" s="30" t="str">
        <x:v>3145</x:v>
      </x:c>
      <x:c r="S126" s="30"/>
      <x:c r="T126" s="30"/>
      <x:c r="U126" s="30" t="str">
        <x:v>Расхождений нет.</x:v>
      </x:c>
      <x:c r="V126" s="87" t="str">
        <x:v>VERIFIED</x:v>
      </x:c>
      <x:c r="W126" s="87" t="n">
        <x:v>3</x:v>
      </x:c>
      <x:c r="X126" s="87"/>
      <x:c r="Y126" s="87"/>
      <x:c r="Z126" s="87"/>
      <x:c r="AA126" s="87"/>
      <x:c r="AB126" s="87"/>
      <x:c r="AC126" s="87"/>
      <x:c r="AD126" s="87"/>
      <x:c r="AE126" s="87"/>
      <x:c r="AF126" s="87"/>
      <x:c r="AG126" s="87"/>
      <x:c r="AH126" s="87"/>
      <x:c r="AI126" s="30"/>
      <x:c r="AJ126" s="87" t="str">
        <x:v>master</x:v>
      </x:c>
      <x:c r="AK126" s="87" t="str">
        <x:v>master-v0.81</x:v>
      </x:c>
      <x:c r="AL126" s="87" t="str">
        <x:v>statgrad_master_base_v0_81_final(2).xlsx</x:v>
      </x:c>
      <x:c r="AM126" s="87" t="str">
        <x:v>HIST_Jan_V1</x:v>
      </x:c>
      <x:c r="AN126" s="87" t="n">
        <x:v>4</x:v>
      </x:c>
    </x:row>
    <x:row r="127">
      <x:c r="A127" s="87" t="n">
        <x:v>126</x:v>
      </x:c>
      <x:c r="B127" s="87" t="str">
        <x:v>JAN-HIS-V1-004</x:v>
      </x:c>
      <x:c r="C127" s="87" t="str">
        <x:v>СтатГрад</x:v>
      </x:c>
      <x:c r="D127" s="87" t="str">
        <x:v>Январь 2026</x:v>
      </x:c>
      <x:c r="E127" s="87"/>
      <x:c r="F127" s="87"/>
      <x:c r="G127" s="87" t="str">
        <x:v>История</x:v>
      </x:c>
      <x:c r="H127" s="87" t="n">
        <x:v>11</x:v>
      </x:c>
      <x:c r="I127" s="87" t="str">
        <x:v>ТР №3</x:v>
      </x:c>
      <x:c r="J127" s="87" t="str">
        <x:v>ИС2510301</x:v>
      </x:c>
      <x:c r="K127" s="87" t="n">
        <x:v>4</x:v>
      </x:c>
      <x:c r="L127" s="87" t="str">
        <x:v>Таблица: география, событие, период</x:v>
      </x:c>
      <x:c r="M127" s="30" t="str">
        <x:v>Заполните пропуски в таблице о битве московского и новгородского войск, реке Воже, взятии Рязани Батыем и событии 1010-х гг.</x:v>
      </x:c>
      <x:c r="N127" s="30" t="str">
        <x:v>291384</x:v>
      </x:c>
      <x:c r="O127" s="30" t="str">
        <x:v>Битва московского и новгородского войск произошла на реке Шелони в 1470-е гг.; на Воже было разгромлено ордынское войско; Рязань взяли в 1230-е гг.; на реке Альте произошло сражение Ярослава со Святополком.</x:v>
      </x:c>
      <x:c r="P127" s="30" t="str">
        <x:v>Каждая пара проверена по месту и дате события.</x:v>
      </x:c>
      <x:c r="Q127" s="30"/>
      <x:c r="R127" s="30" t="str">
        <x:v>291384</x:v>
      </x:c>
      <x:c r="S127" s="30"/>
      <x:c r="T127" s="30"/>
      <x:c r="U127" s="30" t="str">
        <x:v>Расхождений нет.</x:v>
      </x:c>
      <x:c r="V127" s="87" t="str">
        <x:v>VERIFIED</x:v>
      </x:c>
      <x:c r="W127" s="87" t="n">
        <x:v>3</x:v>
      </x:c>
      <x:c r="X127" s="87"/>
      <x:c r="Y127" s="87"/>
      <x:c r="Z127" s="87"/>
      <x:c r="AA127" s="87"/>
      <x:c r="AB127" s="87"/>
      <x:c r="AC127" s="87"/>
      <x:c r="AD127" s="87"/>
      <x:c r="AE127" s="87"/>
      <x:c r="AF127" s="87"/>
      <x:c r="AG127" s="87"/>
      <x:c r="AH127" s="87"/>
      <x:c r="AI127" s="30"/>
      <x:c r="AJ127" s="87" t="str">
        <x:v>master</x:v>
      </x:c>
      <x:c r="AK127" s="87" t="str">
        <x:v>master-v0.81</x:v>
      </x:c>
      <x:c r="AL127" s="87" t="str">
        <x:v>statgrad_master_base_v0_81_final(2).xlsx</x:v>
      </x:c>
      <x:c r="AM127" s="87" t="str">
        <x:v>HIST_Jan_V1</x:v>
      </x:c>
      <x:c r="AN127" s="87" t="n">
        <x:v>5</x:v>
      </x:c>
    </x:row>
    <x:row r="128">
      <x:c r="A128" s="87" t="n">
        <x:v>127</x:v>
      </x:c>
      <x:c r="B128" s="87" t="str">
        <x:v>JAN-HIS-V1-005</x:v>
      </x:c>
      <x:c r="C128" s="87" t="str">
        <x:v>СтатГрад</x:v>
      </x:c>
      <x:c r="D128" s="87" t="str">
        <x:v>Январь 2026</x:v>
      </x:c>
      <x:c r="E128" s="87"/>
      <x:c r="F128" s="87"/>
      <x:c r="G128" s="87" t="str">
        <x:v>История</x:v>
      </x:c>
      <x:c r="H128" s="87" t="n">
        <x:v>11</x:v>
      </x:c>
      <x:c r="I128" s="87" t="str">
        <x:v>ТР №3</x:v>
      </x:c>
      <x:c r="J128" s="87" t="str">
        <x:v>ИС2510301</x:v>
      </x:c>
      <x:c r="K128" s="87" t="n">
        <x:v>5</x:v>
      </x:c>
      <x:c r="L128" s="87" t="str">
        <x:v>Соответствие событий и участников</x:v>
      </x:c>
      <x:c r="M128" s="30" t="str">
        <x:v>Соотнесите: битва под Аустерлицем; создание ГКО; создание Второго народного ополчения; августовский путч ГКЧП — с участниками.</x:v>
      </x:c>
      <x:c r="N128" s="30" t="str">
        <x:v>2146</x:v>
      </x:c>
      <x:c r="O128" s="30" t="str">
        <x:v>В Аустерлицком сражении участвовал М. И. Кутузов; в создании и работе ГКО — В. М. Молотов; Второе ополчение связано с Д. М. Пожарским; ГКЧП — с В. А. Крючковым.</x:v>
      </x:c>
      <x:c r="P128" s="30" t="str">
        <x:v>Участники проверены по их должностям и роли в событиях.</x:v>
      </x:c>
      <x:c r="Q128" s="30"/>
      <x:c r="R128" s="30" t="str">
        <x:v>2146</x:v>
      </x:c>
      <x:c r="S128" s="30"/>
      <x:c r="T128" s="30"/>
      <x:c r="U128" s="30" t="str">
        <x:v>Расхождений нет.</x:v>
      </x:c>
      <x:c r="V128" s="87" t="str">
        <x:v>VERIFIED</x:v>
      </x:c>
      <x:c r="W128" s="87" t="n">
        <x:v>4</x:v>
      </x:c>
      <x:c r="X128" s="87"/>
      <x:c r="Y128" s="87"/>
      <x:c r="Z128" s="87"/>
      <x:c r="AA128" s="87"/>
      <x:c r="AB128" s="87"/>
      <x:c r="AC128" s="87"/>
      <x:c r="AD128" s="87"/>
      <x:c r="AE128" s="87"/>
      <x:c r="AF128" s="87"/>
      <x:c r="AG128" s="87"/>
      <x:c r="AH128" s="87"/>
      <x:c r="AI128" s="30"/>
      <x:c r="AJ128" s="87" t="str">
        <x:v>master</x:v>
      </x:c>
      <x:c r="AK128" s="87" t="str">
        <x:v>master-v0.81</x:v>
      </x:c>
      <x:c r="AL128" s="87" t="str">
        <x:v>statgrad_master_base_v0_81_final(2).xlsx</x:v>
      </x:c>
      <x:c r="AM128" s="87" t="str">
        <x:v>HIST_Jan_V1</x:v>
      </x:c>
      <x:c r="AN128" s="87" t="n">
        <x:v>6</x:v>
      </x:c>
    </x:row>
    <x:row r="129">
      <x:c r="A129" s="87" t="n">
        <x:v>128</x:v>
      </x:c>
      <x:c r="B129" s="87" t="str">
        <x:v>JAN-HIS-V1-006</x:v>
      </x:c>
      <x:c r="C129" s="87" t="str">
        <x:v>СтатГрад</x:v>
      </x:c>
      <x:c r="D129" s="87" t="str">
        <x:v>Январь 2026</x:v>
      </x:c>
      <x:c r="E129" s="87"/>
      <x:c r="F129" s="87"/>
      <x:c r="G129" s="87" t="str">
        <x:v>История</x:v>
      </x:c>
      <x:c r="H129" s="87" t="n">
        <x:v>11</x:v>
      </x:c>
      <x:c r="I129" s="87" t="str">
        <x:v>ТР №3</x:v>
      </x:c>
      <x:c r="J129" s="87" t="str">
        <x:v>ИС2510301</x:v>
      </x:c>
      <x:c r="K129" s="87" t="n">
        <x:v>6</x:v>
      </x:c>
      <x:c r="L129" s="87" t="str">
        <x:v>Анализ исторического источника</x:v>
      </x:c>
      <x:c r="M129" s="30" t="str">
        <x:v>По выступлению на съезде выберите верные суждения о дате съезда, его решениях и упомянутых политических деятелях.</x:v>
      </x:c>
      <x:c r="N129" s="30" t="str">
        <x:v>146</x:v>
      </x:c>
      <x:c r="O129" s="30" t="str">
        <x:v>Речь относится к I Съезду народных депутатов СССР 1989 г.; на съезде была образована Межрегиональная депутатская группа; в тексте упомянут Б. Н. Ельцин — будущий первый Президент России.</x:v>
      </x:c>
      <x:c r="P129" s="30" t="str">
        <x:v>Неверные варианты исключены: Конституция «развитого социализма» принята в 1977 г., а тайна голосования, по словам оратора, нарушалась.</x:v>
      </x:c>
      <x:c r="Q129" s="30"/>
      <x:c r="R129" s="30" t="str">
        <x:v>146</x:v>
      </x:c>
      <x:c r="S129" s="30"/>
      <x:c r="T129" s="30"/>
      <x:c r="U129" s="30" t="str">
        <x:v>Расхождений нет.</x:v>
      </x:c>
      <x:c r="V129" s="87" t="str">
        <x:v>VERIFIED</x:v>
      </x:c>
      <x:c r="W129" s="87" t="n">
        <x:v>5</x:v>
      </x:c>
      <x:c r="X129" s="87"/>
      <x:c r="Y129" s="87"/>
      <x:c r="Z129" s="87"/>
      <x:c r="AA129" s="87"/>
      <x:c r="AB129" s="87"/>
      <x:c r="AC129" s="87"/>
      <x:c r="AD129" s="87"/>
      <x:c r="AE129" s="87"/>
      <x:c r="AF129" s="87"/>
      <x:c r="AG129" s="87"/>
      <x:c r="AH129" s="87"/>
      <x:c r="AI129" s="30"/>
      <x:c r="AJ129" s="87" t="str">
        <x:v>master</x:v>
      </x:c>
      <x:c r="AK129" s="87" t="str">
        <x:v>master-v0.81</x:v>
      </x:c>
      <x:c r="AL129" s="87" t="str">
        <x:v>statgrad_master_base_v0_81_final(2).xlsx</x:v>
      </x:c>
      <x:c r="AM129" s="87" t="str">
        <x:v>HIST_Jan_V1</x:v>
      </x:c>
      <x:c r="AN129" s="87" t="n">
        <x:v>7</x:v>
      </x:c>
    </x:row>
    <x:row r="130">
      <x:c r="A130" s="87" t="n">
        <x:v>129</x:v>
      </x:c>
      <x:c r="B130" s="87" t="str">
        <x:v>JAN-HIS-V1-007</x:v>
      </x:c>
      <x:c r="C130" s="87" t="str">
        <x:v>СтатГрад</x:v>
      </x:c>
      <x:c r="D130" s="87" t="str">
        <x:v>Январь 2026</x:v>
      </x:c>
      <x:c r="E130" s="87"/>
      <x:c r="F130" s="87"/>
      <x:c r="G130" s="87" t="str">
        <x:v>История</x:v>
      </x:c>
      <x:c r="H130" s="87" t="n">
        <x:v>11</x:v>
      </x:c>
      <x:c r="I130" s="87" t="str">
        <x:v>ТР №3</x:v>
      </x:c>
      <x:c r="J130" s="87" t="str">
        <x:v>ИС2510301</x:v>
      </x:c>
      <x:c r="K130" s="87" t="n">
        <x:v>7</x:v>
      </x:c>
      <x:c r="L130" s="87" t="str">
        <x:v>Культура</x:v>
      </x:c>
      <x:c r="M130" s="30" t="str">
        <x:v>Соотнесите Феофана Грека, митрополита Макария, М. В. Ломоносова и С. С. Прокофьева с произведениями.</x:v>
      </x:c>
      <x:c r="N130" s="30" t="str">
        <x:v>1436</x:v>
      </x:c>
      <x:c r="O130" s="30" t="str">
        <x:v>Феофан Грек расписывал церковь Спаса на Ильине улице; Макарий связан с «Великими Четьими-Минеями»; Ломоносов создал мозаику «Полтавский бой»; Прокофьев написал балет «Ромео и Джульетта».</x:v>
      </x:c>
      <x:c r="P130" s="30" t="str">
        <x:v>Авторство каждого произведения проверено по истории русской культуры.</x:v>
      </x:c>
      <x:c r="Q130" s="30"/>
      <x:c r="R130" s="30" t="str">
        <x:v>1436</x:v>
      </x:c>
      <x:c r="S130" s="30"/>
      <x:c r="T130" s="30"/>
      <x:c r="U130" s="30" t="str">
        <x:v>Расхождений нет.</x:v>
      </x:c>
      <x:c r="V130" s="87" t="str">
        <x:v>VERIFIED</x:v>
      </x:c>
      <x:c r="W130" s="87" t="n">
        <x:v>6</x:v>
      </x:c>
      <x:c r="X130" s="87"/>
      <x:c r="Y130" s="87"/>
      <x:c r="Z130" s="87"/>
      <x:c r="AA130" s="87"/>
      <x:c r="AB130" s="87"/>
      <x:c r="AC130" s="87"/>
      <x:c r="AD130" s="87"/>
      <x:c r="AE130" s="87"/>
      <x:c r="AF130" s="87"/>
      <x:c r="AG130" s="87"/>
      <x:c r="AH130" s="87"/>
      <x:c r="AI130" s="30"/>
      <x:c r="AJ130" s="87" t="str">
        <x:v>master</x:v>
      </x:c>
      <x:c r="AK130" s="87" t="str">
        <x:v>master-v0.81</x:v>
      </x:c>
      <x:c r="AL130" s="87" t="str">
        <x:v>statgrad_master_base_v0_81_final(2).xlsx</x:v>
      </x:c>
      <x:c r="AM130" s="87" t="str">
        <x:v>HIST_Jan_V1</x:v>
      </x:c>
      <x:c r="AN130" s="87" t="n">
        <x:v>8</x:v>
      </x:c>
    </x:row>
    <x:row r="131">
      <x:c r="A131" s="87" t="n">
        <x:v>130</x:v>
      </x:c>
      <x:c r="B131" s="87" t="str">
        <x:v>JAN-HIS-V1-008</x:v>
      </x:c>
      <x:c r="C131" s="87" t="str">
        <x:v>СтатГрад</x:v>
      </x:c>
      <x:c r="D131" s="87" t="str">
        <x:v>Январь 2026</x:v>
      </x:c>
      <x:c r="E131" s="87"/>
      <x:c r="F131" s="87"/>
      <x:c r="G131" s="87" t="str">
        <x:v>История</x:v>
      </x:c>
      <x:c r="H131" s="87" t="n">
        <x:v>11</x:v>
      </x:c>
      <x:c r="I131" s="87" t="str">
        <x:v>ТР №3</x:v>
      </x:c>
      <x:c r="J131" s="87" t="str">
        <x:v>ИС2510301</x:v>
      </x:c>
      <x:c r="K131" s="87" t="n">
        <x:v>8</x:v>
      </x:c>
      <x:c r="L131" s="87" t="str">
        <x:v>Работа с изображением</x:v>
      </x:c>
      <x:c r="M131" s="30" t="str">
        <x:v>На марке приведены слова «Ни шагу назад!». Укажите словами год издания соответствующего приказа наркома обороны СССР.</x:v>
      </x:c>
      <x:c r="N131" s="30" t="str">
        <x:v>сорок втором</x:v>
      </x:c>
      <x:c r="O131" s="30" t="str">
        <x:v>Приказ № 227 «Ни шагу назад!» был издан 28 июля 1942 г.</x:v>
      </x:c>
      <x:c r="P131" s="30" t="str">
        <x:v>Год установлен по номеру и дате приказа № 227.</x:v>
      </x:c>
      <x:c r="Q131" s="30"/>
      <x:c r="R131" s="30" t="str">
        <x:v>сороквтором</x:v>
      </x:c>
      <x:c r="S131" s="30"/>
      <x:c r="T131" s="30"/>
      <x:c r="U131" s="30" t="str">
        <x:v>В ключе ответ дан слитно из-за формата бланка; нормативное словосочетание пишется раздельно.</x:v>
      </x:c>
      <x:c r="V131" s="87" t="str">
        <x:v>VERIFIED</x:v>
      </x:c>
      <x:c r="W131" s="87" t="n">
        <x:v>6</x:v>
      </x:c>
      <x:c r="X131" s="87"/>
      <x:c r="Y131" s="87"/>
      <x:c r="Z131" s="87"/>
      <x:c r="AA131" s="87"/>
      <x:c r="AB131" s="87"/>
      <x:c r="AC131" s="87"/>
      <x:c r="AD131" s="87"/>
      <x:c r="AE131" s="87"/>
      <x:c r="AF131" s="87"/>
      <x:c r="AG131" s="87"/>
      <x:c r="AH131" s="87"/>
      <x:c r="AI131" s="30"/>
      <x:c r="AJ131" s="87" t="str">
        <x:v>master</x:v>
      </x:c>
      <x:c r="AK131" s="87" t="str">
        <x:v>master-v0.81</x:v>
      </x:c>
      <x:c r="AL131" s="87" t="str">
        <x:v>statgrad_master_base_v0_81_final(2).xlsx</x:v>
      </x:c>
      <x:c r="AM131" s="87" t="str">
        <x:v>HIST_Jan_V1</x:v>
      </x:c>
      <x:c r="AN131" s="87" t="n">
        <x:v>9</x:v>
      </x:c>
    </x:row>
    <x:row r="132">
      <x:c r="A132" s="87" t="n">
        <x:v>131</x:v>
      </x:c>
      <x:c r="B132" s="87" t="str">
        <x:v>JAN-HIS-V1-009</x:v>
      </x:c>
      <x:c r="C132" s="87" t="str">
        <x:v>СтатГрад</x:v>
      </x:c>
      <x:c r="D132" s="87" t="str">
        <x:v>Январь 2026</x:v>
      </x:c>
      <x:c r="E132" s="87"/>
      <x:c r="F132" s="87"/>
      <x:c r="G132" s="87" t="str">
        <x:v>История</x:v>
      </x:c>
      <x:c r="H132" s="87" t="n">
        <x:v>11</x:v>
      </x:c>
      <x:c r="I132" s="87" t="str">
        <x:v>ТР №3</x:v>
      </x:c>
      <x:c r="J132" s="87" t="str">
        <x:v>ИС2510301</x:v>
      </x:c>
      <x:c r="K132" s="87" t="n">
        <x:v>9</x:v>
      </x:c>
      <x:c r="L132" s="87" t="str">
        <x:v>Историческая карта</x:v>
      </x:c>
      <x:c r="M132" s="30" t="str">
        <x:v>Назовите город под цифрой 1 на схеме походов древнерусского князя.</x:v>
      </x:c>
      <x:c r="N132" s="30" t="str">
        <x:v>Константинополь; Царьград</x:v>
      </x:c>
      <x:c r="O132" s="30" t="str">
        <x:v>Цифрой 1 обозначена столица Византии, к которой направлялись походы русских князей, — Константинополь (Царьград).</x:v>
      </x:c>
      <x:c r="P132" s="30" t="str">
        <x:v>Положение города сверено с Босфором и направлениями походов.</x:v>
      </x:c>
      <x:c r="Q132" s="30"/>
      <x:c r="R132" s="30" t="str">
        <x:v>Константинополь; Царьград</x:v>
      </x:c>
      <x:c r="S132" s="30"/>
      <x:c r="T132" s="30"/>
      <x:c r="U132" s="30" t="str">
        <x:v>Расхождений нет.</x:v>
      </x:c>
      <x:c r="V132" s="87" t="str">
        <x:v>VERIFIED</x:v>
      </x:c>
      <x:c r="W132" s="87" t="n">
        <x:v>7</x:v>
      </x:c>
      <x:c r="X132" s="87"/>
      <x:c r="Y132" s="87"/>
      <x:c r="Z132" s="87"/>
      <x:c r="AA132" s="87"/>
      <x:c r="AB132" s="87"/>
      <x:c r="AC132" s="87"/>
      <x:c r="AD132" s="87"/>
      <x:c r="AE132" s="87"/>
      <x:c r="AF132" s="87"/>
      <x:c r="AG132" s="87"/>
      <x:c r="AH132" s="87"/>
      <x:c r="AI132" s="30"/>
      <x:c r="AJ132" s="87" t="str">
        <x:v>master</x:v>
      </x:c>
      <x:c r="AK132" s="87" t="str">
        <x:v>master-v0.81</x:v>
      </x:c>
      <x:c r="AL132" s="87" t="str">
        <x:v>statgrad_master_base_v0_81_final(2).xlsx</x:v>
      </x:c>
      <x:c r="AM132" s="87" t="str">
        <x:v>HIST_Jan_V1</x:v>
      </x:c>
      <x:c r="AN132" s="87" t="n">
        <x:v>10</x:v>
      </x:c>
    </x:row>
    <x:row r="133">
      <x:c r="A133" s="87" t="n">
        <x:v>132</x:v>
      </x:c>
      <x:c r="B133" s="87" t="str">
        <x:v>JAN-HIS-V1-010</x:v>
      </x:c>
      <x:c r="C133" s="87" t="str">
        <x:v>СтатГрад</x:v>
      </x:c>
      <x:c r="D133" s="87" t="str">
        <x:v>Январь 2026</x:v>
      </x:c>
      <x:c r="E133" s="87"/>
      <x:c r="F133" s="87"/>
      <x:c r="G133" s="87" t="str">
        <x:v>История</x:v>
      </x:c>
      <x:c r="H133" s="87" t="n">
        <x:v>11</x:v>
      </x:c>
      <x:c r="I133" s="87" t="str">
        <x:v>ТР №3</x:v>
      </x:c>
      <x:c r="J133" s="87" t="str">
        <x:v>ИС2510301</x:v>
      </x:c>
      <x:c r="K133" s="87" t="n">
        <x:v>10</x:v>
      </x:c>
      <x:c r="L133" s="87" t="str">
        <x:v>Историческая карта</x:v>
      </x:c>
      <x:c r="M133" s="30" t="str">
        <x:v>Назовите реку, течение которой обозначено на схеме цифрой 2.</x:v>
      </x:c>
      <x:c r="N133" s="30" t="str">
        <x:v>Днепр</x:v>
      </x:c>
      <x:c r="O133" s="30" t="str">
        <x:v>Цифрой 2 несколько раз отмечено течение Днепра — главной оси пути из Киева к Чёрному морю.</x:v>
      </x:c>
      <x:c r="P133" s="30" t="str">
        <x:v>Река определена по Киеву, притокам и выходу к Чёрному морю.</x:v>
      </x:c>
      <x:c r="Q133" s="30"/>
      <x:c r="R133" s="30" t="str">
        <x:v>Днепр</x:v>
      </x:c>
      <x:c r="S133" s="30"/>
      <x:c r="T133" s="30"/>
      <x:c r="U133" s="30" t="str">
        <x:v>Расхождений нет.</x:v>
      </x:c>
      <x:c r="V133" s="87" t="str">
        <x:v>VERIFIED</x:v>
      </x:c>
      <x:c r="W133" s="87" t="n">
        <x:v>7</x:v>
      </x:c>
      <x:c r="X133" s="87"/>
      <x:c r="Y133" s="87"/>
      <x:c r="Z133" s="87"/>
      <x:c r="AA133" s="87"/>
      <x:c r="AB133" s="87"/>
      <x:c r="AC133" s="87"/>
      <x:c r="AD133" s="87"/>
      <x:c r="AE133" s="87"/>
      <x:c r="AF133" s="87"/>
      <x:c r="AG133" s="87"/>
      <x:c r="AH133" s="87"/>
      <x:c r="AI133" s="30"/>
      <x:c r="AJ133" s="87" t="str">
        <x:v>master</x:v>
      </x:c>
      <x:c r="AK133" s="87" t="str">
        <x:v>master-v0.81</x:v>
      </x:c>
      <x:c r="AL133" s="87" t="str">
        <x:v>statgrad_master_base_v0_81_final(2).xlsx</x:v>
      </x:c>
      <x:c r="AM133" s="87" t="str">
        <x:v>HIST_Jan_V1</x:v>
      </x:c>
      <x:c r="AN133" s="87" t="n">
        <x:v>11</x:v>
      </x:c>
    </x:row>
    <x:row r="134">
      <x:c r="A134" s="87" t="n">
        <x:v>133</x:v>
      </x:c>
      <x:c r="B134" s="87" t="str">
        <x:v>JAN-HIS-V1-011</x:v>
      </x:c>
      <x:c r="C134" s="87" t="str">
        <x:v>СтатГрад</x:v>
      </x:c>
      <x:c r="D134" s="87" t="str">
        <x:v>Январь 2026</x:v>
      </x:c>
      <x:c r="E134" s="87"/>
      <x:c r="F134" s="87"/>
      <x:c r="G134" s="87" t="str">
        <x:v>История</x:v>
      </x:c>
      <x:c r="H134" s="87" t="n">
        <x:v>11</x:v>
      </x:c>
      <x:c r="I134" s="87" t="str">
        <x:v>ТР №3</x:v>
      </x:c>
      <x:c r="J134" s="87" t="str">
        <x:v>ИС2510301</x:v>
      </x:c>
      <x:c r="K134" s="87" t="n">
        <x:v>11</x:v>
      </x:c>
      <x:c r="L134" s="87" t="str">
        <x:v>Историческая карта и текст</x:v>
      </x:c>
      <x:c r="M134" s="30" t="str">
        <x:v>Укажите реку, которую русские перешли после Кумы перед походом к Семендеру.</x:v>
      </x:c>
      <x:c r="N134" s="30" t="str">
        <x:v>Терек</x:v>
      </x:c>
      <x:c r="O134" s="30" t="str">
        <x:v>После Кумы путь к Семендеру на западном побережье Каспия проходил через Терек.</x:v>
      </x:c>
      <x:c r="P134" s="30" t="str">
        <x:v>Ответ проверен по расположению Кумы, Терека и Семендера на схеме.</x:v>
      </x:c>
      <x:c r="Q134" s="30"/>
      <x:c r="R134" s="30" t="str">
        <x:v>Терек</x:v>
      </x:c>
      <x:c r="S134" s="30"/>
      <x:c r="T134" s="30"/>
      <x:c r="U134" s="30" t="str">
        <x:v>Расхождений нет.</x:v>
      </x:c>
      <x:c r="V134" s="87" t="str">
        <x:v>VERIFIED</x:v>
      </x:c>
      <x:c r="W134" s="87" t="n">
        <x:v>8</x:v>
      </x:c>
      <x:c r="X134" s="87"/>
      <x:c r="Y134" s="87"/>
      <x:c r="Z134" s="87"/>
      <x:c r="AA134" s="87"/>
      <x:c r="AB134" s="87"/>
      <x:c r="AC134" s="87"/>
      <x:c r="AD134" s="87"/>
      <x:c r="AE134" s="87"/>
      <x:c r="AF134" s="87"/>
      <x:c r="AG134" s="87"/>
      <x:c r="AH134" s="87"/>
      <x:c r="AI134" s="30"/>
      <x:c r="AJ134" s="87" t="str">
        <x:v>master</x:v>
      </x:c>
      <x:c r="AK134" s="87" t="str">
        <x:v>master-v0.81</x:v>
      </x:c>
      <x:c r="AL134" s="87" t="str">
        <x:v>statgrad_master_base_v0_81_final(2).xlsx</x:v>
      </x:c>
      <x:c r="AM134" s="87" t="str">
        <x:v>HIST_Jan_V1</x:v>
      </x:c>
      <x:c r="AN134" s="87" t="n">
        <x:v>12</x:v>
      </x:c>
    </x:row>
    <x:row r="135">
      <x:c r="A135" s="87" t="n">
        <x:v>134</x:v>
      </x:c>
      <x:c r="B135" s="87" t="str">
        <x:v>JAN-HIS-V1-012</x:v>
      </x:c>
      <x:c r="C135" s="87" t="str">
        <x:v>СтатГрад</x:v>
      </x:c>
      <x:c r="D135" s="87" t="str">
        <x:v>Январь 2026</x:v>
      </x:c>
      <x:c r="E135" s="87"/>
      <x:c r="F135" s="87"/>
      <x:c r="G135" s="87" t="str">
        <x:v>История</x:v>
      </x:c>
      <x:c r="H135" s="87" t="n">
        <x:v>11</x:v>
      </x:c>
      <x:c r="I135" s="87" t="str">
        <x:v>ТР №3</x:v>
      </x:c>
      <x:c r="J135" s="87" t="str">
        <x:v>ИС2510301</x:v>
      </x:c>
      <x:c r="K135" s="87" t="n">
        <x:v>12</x:v>
      </x:c>
      <x:c r="L135" s="87" t="str">
        <x:v>Историческая карта: верные суждения</x:v>
      </x:c>
      <x:c r="M135" s="30" t="str">
        <x:v>Выберите верные суждения о городах, реках и походах, показанных на схеме.</x:v>
      </x:c>
      <x:c r="N135" s="30" t="str">
        <x:v>124</x:v>
      </x:c>
      <x:c r="O135" s="30" t="str">
        <x:v>Под цифрой 3 обозначен Чернигов; город 4 — Искоростень, сожжённый княгиней Ольгой, матерью Святослава; по реке под цифрой 6 проходила часть пути «из варяг в греки».</x:v>
      </x:c>
      <x:c r="P135" s="30" t="str">
        <x:v>Остальные утверждения не соответствуют обозначенным городам и маршрутам.</x:v>
      </x:c>
      <x:c r="Q135" s="30"/>
      <x:c r="R135" s="30" t="str">
        <x:v>124</x:v>
      </x:c>
      <x:c r="S135" s="30"/>
      <x:c r="T135" s="30"/>
      <x:c r="U135" s="30" t="str">
        <x:v>Расхождений нет.</x:v>
      </x:c>
      <x:c r="V135" s="87" t="str">
        <x:v>VERIFIED</x:v>
      </x:c>
      <x:c r="W135" s="87" t="n">
        <x:v>8</x:v>
      </x:c>
      <x:c r="X135" s="87"/>
      <x:c r="Y135" s="87"/>
      <x:c r="Z135" s="87"/>
      <x:c r="AA135" s="87"/>
      <x:c r="AB135" s="87"/>
      <x:c r="AC135" s="87"/>
      <x:c r="AD135" s="87"/>
      <x:c r="AE135" s="87"/>
      <x:c r="AF135" s="87"/>
      <x:c r="AG135" s="87"/>
      <x:c r="AH135" s="87"/>
      <x:c r="AI135" s="30"/>
      <x:c r="AJ135" s="87" t="str">
        <x:v>master</x:v>
      </x:c>
      <x:c r="AK135" s="87" t="str">
        <x:v>master-v0.81</x:v>
      </x:c>
      <x:c r="AL135" s="87" t="str">
        <x:v>statgrad_master_base_v0_81_final(2).xlsx</x:v>
      </x:c>
      <x:c r="AM135" s="87" t="str">
        <x:v>HIST_Jan_V1</x:v>
      </x:c>
      <x:c r="AN135" s="87" t="n">
        <x:v>13</x:v>
      </x:c>
    </x:row>
    <x:row r="136">
      <x:c r="A136" s="87" t="n">
        <x:v>135</x:v>
      </x:c>
      <x:c r="B136" s="87" t="str">
        <x:v>JAN-HIS-V1-013</x:v>
      </x:c>
      <x:c r="C136" s="87" t="str">
        <x:v>СтатГрад</x:v>
      </x:c>
      <x:c r="D136" s="87" t="str">
        <x:v>Январь 2026</x:v>
      </x:c>
      <x:c r="E136" s="87"/>
      <x:c r="F136" s="87"/>
      <x:c r="G136" s="87" t="str">
        <x:v>История</x:v>
      </x:c>
      <x:c r="H136" s="87" t="n">
        <x:v>11</x:v>
      </x:c>
      <x:c r="I136" s="87" t="str">
        <x:v>ТР №3</x:v>
      </x:c>
      <x:c r="J136" s="87" t="str">
        <x:v>ИС2510301</x:v>
      </x:c>
      <x:c r="K136" s="87" t="n">
        <x:v>13</x:v>
      </x:c>
      <x:c r="L136" s="87" t="str">
        <x:v>Развёрнутый ответ: источник</x:v>
      </x:c>
      <x:c r="M136" s="30" t="str">
        <x:v>Назовите императора, ведущего беседу; год его восшествия; название заговорщиков.</x:v>
      </x:c>
      <x:c r="N136" s="30" t="str">
        <x:v>Николай I; 1825 г.; декабристы</x:v>
      </x:c>
      <x:c r="O136" s="30" t="str">
        <x:v>Речь идёт о вступлении Николая I на престол во время восстания 14 декабря 1825 г. Заговорщики вошли в историю как декабристы.</x:v>
      </x:c>
      <x:c r="P136" s="30" t="str">
        <x:v>Все три элемента прямо соотносятся с династическим кризисом после смерти Александра I.</x:v>
      </x:c>
      <x:c r="Q136" s="30"/>
      <x:c r="R136" s="30" t="str">
        <x:v>Критерии, стр. 1</x:v>
      </x:c>
      <x:c r="S136" s="30"/>
      <x:c r="T136" s="30"/>
      <x:c r="U136" s="30" t="str">
        <x:v>Критерий перенесён отдельно без изменения.</x:v>
      </x:c>
      <x:c r="V136" s="87" t="str">
        <x:v>VERIFIED</x:v>
      </x:c>
      <x:c r="W136" s="87" t="n">
        <x:v>9</x:v>
      </x:c>
      <x:c r="X136" s="87"/>
      <x:c r="Y136" s="87"/>
      <x:c r="Z136" s="87"/>
      <x:c r="AA136" s="87"/>
      <x:c r="AB136" s="87"/>
      <x:c r="AC136" s="87"/>
      <x:c r="AD136" s="87"/>
      <x:c r="AE136" s="87"/>
      <x:c r="AF136" s="87"/>
      <x:c r="AG136" s="87"/>
      <x:c r="AH136" s="87"/>
      <x:c r="AI136" s="30"/>
      <x:c r="AJ136" s="87" t="str">
        <x:v>master</x:v>
      </x:c>
      <x:c r="AK136" s="87" t="str">
        <x:v>master-v0.81</x:v>
      </x:c>
      <x:c r="AL136" s="87" t="str">
        <x:v>statgrad_master_base_v0_81_final(2).xlsx</x:v>
      </x:c>
      <x:c r="AM136" s="87" t="str">
        <x:v>HIST_Jan_V1</x:v>
      </x:c>
      <x:c r="AN136" s="87" t="n">
        <x:v>14</x:v>
      </x:c>
    </x:row>
    <x:row r="137">
      <x:c r="A137" s="87" t="n">
        <x:v>136</x:v>
      </x:c>
      <x:c r="B137" s="87" t="str">
        <x:v>JAN-HIS-V1-014</x:v>
      </x:c>
      <x:c r="C137" s="87" t="str">
        <x:v>СтатГрад</x:v>
      </x:c>
      <x:c r="D137" s="87" t="str">
        <x:v>Январь 2026</x:v>
      </x:c>
      <x:c r="E137" s="87"/>
      <x:c r="F137" s="87"/>
      <x:c r="G137" s="87" t="str">
        <x:v>История</x:v>
      </x:c>
      <x:c r="H137" s="87" t="n">
        <x:v>11</x:v>
      </x:c>
      <x:c r="I137" s="87" t="str">
        <x:v>ТР №3</x:v>
      </x:c>
      <x:c r="J137" s="87" t="str">
        <x:v>ИС2510301</x:v>
      </x:c>
      <x:c r="K137" s="87" t="n">
        <x:v>14</x:v>
      </x:c>
      <x:c r="L137" s="87" t="str">
        <x:v>Развёрнутый ответ: анализ источника</x:v>
      </x:c>
      <x:c r="M137" s="30" t="str">
        <x:v>Укажите упрёк брату, содержание клеветы заговорщиков и «страшные» обязанности императора.</x:v>
      </x:c>
      <x:c r="N137" s="30" t="str">
        <x:v>Брат не приехал в Петербург; заговорщики внушали разлад между братьями и уверяли солдат, что государь, которому они присягали, заточён; император считал обязанностью беспощадно наказать вожаков и зачинщиков.</x:v>
      </x:c>
      <x:c r="O137" s="30" t="str">
        <x:v>Все три положения извлечены из конкретных фрагментов источника без лишнего пересказа.</x:v>
      </x:c>
      <x:c r="P137" s="30" t="str">
        <x:v>Ответ сверён по трём требуемым смысловым элементам.</x:v>
      </x:c>
      <x:c r="Q137" s="30"/>
      <x:c r="R137" s="30" t="str">
        <x:v>Критерии, стр. 2</x:v>
      </x:c>
      <x:c r="S137" s="30"/>
      <x:c r="T137" s="30"/>
      <x:c r="U137" s="30" t="str">
        <x:v>Критерий перенесён отдельно без изменения.</x:v>
      </x:c>
      <x:c r="V137" s="87" t="str">
        <x:v>VERIFIED</x:v>
      </x:c>
      <x:c r="W137" s="87" t="n">
        <x:v>10</x:v>
      </x:c>
      <x:c r="X137" s="87"/>
      <x:c r="Y137" s="87"/>
      <x:c r="Z137" s="87"/>
      <x:c r="AA137" s="87"/>
      <x:c r="AB137" s="87"/>
      <x:c r="AC137" s="87"/>
      <x:c r="AD137" s="87"/>
      <x:c r="AE137" s="87"/>
      <x:c r="AF137" s="87"/>
      <x:c r="AG137" s="87"/>
      <x:c r="AH137" s="87"/>
      <x:c r="AI137" s="30"/>
      <x:c r="AJ137" s="87" t="str">
        <x:v>master</x:v>
      </x:c>
      <x:c r="AK137" s="87" t="str">
        <x:v>master-v0.81</x:v>
      </x:c>
      <x:c r="AL137" s="87" t="str">
        <x:v>statgrad_master_base_v0_81_final(2).xlsx</x:v>
      </x:c>
      <x:c r="AM137" s="87" t="str">
        <x:v>HIST_Jan_V1</x:v>
      </x:c>
      <x:c r="AN137" s="87" t="n">
        <x:v>15</x:v>
      </x:c>
    </x:row>
    <x:row r="138">
      <x:c r="A138" s="87" t="n">
        <x:v>137</x:v>
      </x:c>
      <x:c r="B138" s="87" t="str">
        <x:v>JAN-HIS-V1-015</x:v>
      </x:c>
      <x:c r="C138" s="87" t="str">
        <x:v>СтатГрад</x:v>
      </x:c>
      <x:c r="D138" s="87" t="str">
        <x:v>Январь 2026</x:v>
      </x:c>
      <x:c r="E138" s="87"/>
      <x:c r="F138" s="87"/>
      <x:c r="G138" s="87" t="str">
        <x:v>История</x:v>
      </x:c>
      <x:c r="H138" s="87" t="n">
        <x:v>11</x:v>
      </x:c>
      <x:c r="I138" s="87" t="str">
        <x:v>ТР №3</x:v>
      </x:c>
      <x:c r="J138" s="87" t="str">
        <x:v>ИС2510301</x:v>
      </x:c>
      <x:c r="K138" s="87" t="n">
        <x:v>15</x:v>
      </x:c>
      <x:c r="L138" s="87" t="str">
        <x:v>Развёрнутый ответ: изображение</x:v>
      </x:c>
      <x:c r="M138" s="30" t="str">
        <x:v>Назовите руководителя партии во время события, 20-летию которого посвящена этикетка, и обоснуйте ответ.</x:v>
      </x:c>
      <x:c r="N138" s="30" t="str">
        <x:v>Н. С. Хрущёв. Этикетка выпущена в 1974 г. к 20-летию первой в мире АЭС, следовательно, событие произошло в 1954 г.; тогда первым секретарём ЦК КПСС был Хрущёв.</x:v>
      </x:c>
      <x:c r="O138" s="30" t="str">
        <x:v>Дата получена непосредственно из надписи «20 лет» и года выпуска этикетки.</x:v>
      </x:c>
      <x:c r="P138" s="30" t="str">
        <x:v>Проверены дата пуска Обнинской АЭС и период руководства Хрущёва.</x:v>
      </x:c>
      <x:c r="Q138" s="30"/>
      <x:c r="R138" s="30" t="str">
        <x:v>Критерии, стр. 3</x:v>
      </x:c>
      <x:c r="S138" s="30"/>
      <x:c r="T138" s="30"/>
      <x:c r="U138" s="30" t="str">
        <x:v>Критерий перенесён отдельно без изменения.</x:v>
      </x:c>
      <x:c r="V138" s="87" t="str">
        <x:v>VERIFIED</x:v>
      </x:c>
      <x:c r="W138" s="87" t="n">
        <x:v>10</x:v>
      </x:c>
      <x:c r="X138" s="87"/>
      <x:c r="Y138" s="87"/>
      <x:c r="Z138" s="87"/>
      <x:c r="AA138" s="87"/>
      <x:c r="AB138" s="87"/>
      <x:c r="AC138" s="87"/>
      <x:c r="AD138" s="87"/>
      <x:c r="AE138" s="87"/>
      <x:c r="AF138" s="87"/>
      <x:c r="AG138" s="87"/>
      <x:c r="AH138" s="87"/>
      <x:c r="AI138" s="30"/>
      <x:c r="AJ138" s="87" t="str">
        <x:v>master</x:v>
      </x:c>
      <x:c r="AK138" s="87" t="str">
        <x:v>master-v0.81</x:v>
      </x:c>
      <x:c r="AL138" s="87" t="str">
        <x:v>statgrad_master_base_v0_81_final(2).xlsx</x:v>
      </x:c>
      <x:c r="AM138" s="87" t="str">
        <x:v>HIST_Jan_V1</x:v>
      </x:c>
      <x:c r="AN138" s="87" t="n">
        <x:v>16</x:v>
      </x:c>
    </x:row>
    <x:row r="139">
      <x:c r="A139" s="87" t="n">
        <x:v>138</x:v>
      </x:c>
      <x:c r="B139" s="87" t="str">
        <x:v>JAN-HIS-V1-016</x:v>
      </x:c>
      <x:c r="C139" s="87" t="str">
        <x:v>СтатГрад</x:v>
      </x:c>
      <x:c r="D139" s="87" t="str">
        <x:v>Январь 2026</x:v>
      </x:c>
      <x:c r="E139" s="87"/>
      <x:c r="F139" s="87"/>
      <x:c r="G139" s="87" t="str">
        <x:v>История</x:v>
      </x:c>
      <x:c r="H139" s="87" t="n">
        <x:v>11</x:v>
      </x:c>
      <x:c r="I139" s="87" t="str">
        <x:v>ТР №3</x:v>
      </x:c>
      <x:c r="J139" s="87" t="str">
        <x:v>ИС2510301</x:v>
      </x:c>
      <x:c r="K139" s="87" t="n">
        <x:v>16</x:v>
      </x:c>
      <x:c r="L139" s="87" t="str">
        <x:v>Развёрнутый ответ: культура</x:v>
      </x:c>
      <x:c r="M139" s="30" t="str">
        <x:v>Выберите фильм, вышедший в том же десятилетии, что и этикетка 1974 г., и назовите режиссёра.</x:v>
      </x:c>
      <x:c r="N139" s="30" t="str">
        <x:v>1; Л. И. Гайдай</x:v>
      </x:c>
      <x:c r="O139" s="30" t="str">
        <x:v>«Иван Васильевич меняет профессию» вышел в 1973 г., то есть в 1970-е гг. Режиссёр фильма — Леонид Гайдай.</x:v>
      </x:c>
      <x:c r="P139" s="30" t="str">
        <x:v>Годы остальных фильмов относятся к другим десятилетиям.</x:v>
      </x:c>
      <x:c r="Q139" s="30"/>
      <x:c r="R139" s="30" t="str">
        <x:v>Критерии, стр. 4</x:v>
      </x:c>
      <x:c r="S139" s="30"/>
      <x:c r="T139" s="30"/>
      <x:c r="U139" s="30" t="str">
        <x:v>Критерий перенесён отдельно без изменения.</x:v>
      </x:c>
      <x:c r="V139" s="87" t="str">
        <x:v>VERIFIED</x:v>
      </x:c>
      <x:c r="W139" s="87" t="n">
        <x:v>11</x:v>
      </x:c>
      <x:c r="X139" s="87"/>
      <x:c r="Y139" s="87"/>
      <x:c r="Z139" s="87"/>
      <x:c r="AA139" s="87"/>
      <x:c r="AB139" s="87"/>
      <x:c r="AC139" s="87"/>
      <x:c r="AD139" s="87"/>
      <x:c r="AE139" s="87"/>
      <x:c r="AF139" s="87"/>
      <x:c r="AG139" s="87"/>
      <x:c r="AH139" s="87"/>
      <x:c r="AI139" s="30"/>
      <x:c r="AJ139" s="87" t="str">
        <x:v>master</x:v>
      </x:c>
      <x:c r="AK139" s="87" t="str">
        <x:v>master-v0.81</x:v>
      </x:c>
      <x:c r="AL139" s="87" t="str">
        <x:v>statgrad_master_base_v0_81_final(2).xlsx</x:v>
      </x:c>
      <x:c r="AM139" s="87" t="str">
        <x:v>HIST_Jan_V1</x:v>
      </x:c>
      <x:c r="AN139" s="87" t="n">
        <x:v>17</x:v>
      </x:c>
    </x:row>
    <x:row r="140">
      <x:c r="A140" s="87" t="n">
        <x:v>139</x:v>
      </x:c>
      <x:c r="B140" s="87" t="str">
        <x:v>JAN-HIS-V1-017</x:v>
      </x:c>
      <x:c r="C140" s="87" t="str">
        <x:v>СтатГрад</x:v>
      </x:c>
      <x:c r="D140" s="87" t="str">
        <x:v>Январь 2026</x:v>
      </x:c>
      <x:c r="E140" s="87"/>
      <x:c r="F140" s="87"/>
      <x:c r="G140" s="87" t="str">
        <x:v>История</x:v>
      </x:c>
      <x:c r="H140" s="87" t="n">
        <x:v>11</x:v>
      </x:c>
      <x:c r="I140" s="87" t="str">
        <x:v>ТР №3</x:v>
      </x:c>
      <x:c r="J140" s="87" t="str">
        <x:v>ИС2510301</x:v>
      </x:c>
      <x:c r="K140" s="87" t="n">
        <x:v>17</x:v>
      </x:c>
      <x:c r="L140" s="87" t="str">
        <x:v>Развёрнутый ответ: два источника</x:v>
      </x:c>
      <x:c r="M140" s="30" t="str">
        <x:v>Укажите год событий, чрезвычайный орган управления, созданный тогда, и суждение о слабости советской обороны.</x:v>
      </x:c>
      <x:c r="N140" s="30" t="str">
        <x:v>1941 г.; Ставка Верховного Главнокомандования / Государственный Комитет Обороны / Совет по эвакуации; слабость состояла в недостатке сил и средств, из-за чего невозможно было создать глубокую эшелонированную оборону.</x:v>
      </x:c>
      <x:c r="O140" s="30" t="str">
        <x:v>Оба источника описывают летние бои 1941 г.; требуемое суждение прямо сформулировано во втором отрывке.</x:v>
      </x:c>
      <x:c r="P140" s="30" t="str">
        <x:v>Проверены дата, допустимые органы и точный смысл оценки автора.</x:v>
      </x:c>
      <x:c r="Q140" s="30"/>
      <x:c r="R140" s="30" t="str">
        <x:v>Критерии, стр. 5–6</x:v>
      </x:c>
      <x:c r="S140" s="30"/>
      <x:c r="T140" s="30"/>
      <x:c r="U140" s="30" t="str">
        <x:v>Критерий перенесён отдельно без изменения.</x:v>
      </x:c>
      <x:c r="V140" s="87" t="str">
        <x:v>VERIFIED</x:v>
      </x:c>
      <x:c r="W140" s="87" t="n">
        <x:v>12</x:v>
      </x:c>
      <x:c r="X140" s="87"/>
      <x:c r="Y140" s="87"/>
      <x:c r="Z140" s="87"/>
      <x:c r="AA140" s="87"/>
      <x:c r="AB140" s="87"/>
      <x:c r="AC140" s="87"/>
      <x:c r="AD140" s="87"/>
      <x:c r="AE140" s="87"/>
      <x:c r="AF140" s="87"/>
      <x:c r="AG140" s="87"/>
      <x:c r="AH140" s="87"/>
      <x:c r="AI140" s="30"/>
      <x:c r="AJ140" s="87" t="str">
        <x:v>master</x:v>
      </x:c>
      <x:c r="AK140" s="87" t="str">
        <x:v>master-v0.81</x:v>
      </x:c>
      <x:c r="AL140" s="87" t="str">
        <x:v>statgrad_master_base_v0_81_final(2).xlsx</x:v>
      </x:c>
      <x:c r="AM140" s="87" t="str">
        <x:v>HIST_Jan_V1</x:v>
      </x:c>
      <x:c r="AN140" s="87" t="n">
        <x:v>18</x:v>
      </x:c>
    </x:row>
    <x:row r="141">
      <x:c r="A141" s="87" t="n">
        <x:v>140</x:v>
      </x:c>
      <x:c r="B141" s="87" t="str">
        <x:v>JAN-HIS-V1-018</x:v>
      </x:c>
      <x:c r="C141" s="87" t="str">
        <x:v>СтатГрад</x:v>
      </x:c>
      <x:c r="D141" s="87" t="str">
        <x:v>Январь 2026</x:v>
      </x:c>
      <x:c r="E141" s="87"/>
      <x:c r="F141" s="87"/>
      <x:c r="G141" s="87" t="str">
        <x:v>История</x:v>
      </x:c>
      <x:c r="H141" s="87" t="n">
        <x:v>11</x:v>
      </x:c>
      <x:c r="I141" s="87" t="str">
        <x:v>ТР №3</x:v>
      </x:c>
      <x:c r="J141" s="87" t="str">
        <x:v>ИС2510301</x:v>
      </x:c>
      <x:c r="K141" s="87" t="n">
        <x:v>18</x:v>
      </x:c>
      <x:c r="L141" s="87" t="str">
        <x:v>Развёрнутый ответ: причинно-следственные связи</x:v>
      </x:c>
      <x:c r="M141" s="30" t="str">
        <x:v>Назовите внешнеполитическую причину введения опричнины, хозяйственное последствие и внешнеполитическую причину отмены.</x:v>
      </x:c>
      <x:c r="N141" s="30" t="str">
        <x:v>а) неудачи Ливонской войны породили у царя подозрения в измене бояр в пользу Польши и Литвы; б) опричнина вызвала хозяйственное разорение из-за конфискаций и разграбления вотчин; в) разделение войска ослабило оборону и способствовало набегу Девлет-Гирея и сожжению Москвы, после чего силы объединили.</x:v>
      </x:c>
      <x:c r="O141" s="30" t="str">
        <x:v>Каждый пункт отвечает строго требуемому типу: причина, хозяйственное последствие, причина отмены.</x:v>
      </x:c>
      <x:c r="P141" s="30" t="str">
        <x:v>Факты согласованы с событиями 1560-х — начала 1570-х гг.</x:v>
      </x:c>
      <x:c r="Q141" s="30"/>
      <x:c r="R141" s="30" t="str">
        <x:v>Критерии, стр. 7</x:v>
      </x:c>
      <x:c r="S141" s="30"/>
      <x:c r="T141" s="30"/>
      <x:c r="U141" s="30" t="str">
        <x:v>Критерий перенесён отдельно без изменения.</x:v>
      </x:c>
      <x:c r="V141" s="87" t="str">
        <x:v>VERIFIED</x:v>
      </x:c>
      <x:c r="W141" s="87" t="n">
        <x:v>13</x:v>
      </x:c>
      <x:c r="X141" s="87"/>
      <x:c r="Y141" s="87"/>
      <x:c r="Z141" s="87"/>
      <x:c r="AA141" s="87"/>
      <x:c r="AB141" s="87"/>
      <x:c r="AC141" s="87"/>
      <x:c r="AD141" s="87"/>
      <x:c r="AE141" s="87"/>
      <x:c r="AF141" s="87"/>
      <x:c r="AG141" s="87"/>
      <x:c r="AH141" s="87"/>
      <x:c r="AI141" s="30"/>
      <x:c r="AJ141" s="87" t="str">
        <x:v>master</x:v>
      </x:c>
      <x:c r="AK141" s="87" t="str">
        <x:v>master-v0.81</x:v>
      </x:c>
      <x:c r="AL141" s="87" t="str">
        <x:v>statgrad_master_base_v0_81_final(2).xlsx</x:v>
      </x:c>
      <x:c r="AM141" s="87" t="str">
        <x:v>HIST_Jan_V1</x:v>
      </x:c>
      <x:c r="AN141" s="87" t="n">
        <x:v>19</x:v>
      </x:c>
    </x:row>
    <x:row r="142">
      <x:c r="A142" s="87" t="n">
        <x:v>141</x:v>
      </x:c>
      <x:c r="B142" s="87" t="str">
        <x:v>JAN-HIS-V1-019</x:v>
      </x:c>
      <x:c r="C142" s="87" t="str">
        <x:v>СтатГрад</x:v>
      </x:c>
      <x:c r="D142" s="87" t="str">
        <x:v>Январь 2026</x:v>
      </x:c>
      <x:c r="E142" s="87"/>
      <x:c r="F142" s="87"/>
      <x:c r="G142" s="87" t="str">
        <x:v>История</x:v>
      </x:c>
      <x:c r="H142" s="87" t="n">
        <x:v>11</x:v>
      </x:c>
      <x:c r="I142" s="87" t="str">
        <x:v>ТР №3</x:v>
      </x:c>
      <x:c r="J142" s="87" t="str">
        <x:v>ИС2510301</x:v>
      </x:c>
      <x:c r="K142" s="87" t="n">
        <x:v>19</x:v>
      </x:c>
      <x:c r="L142" s="87" t="str">
        <x:v>Развёрнутый ответ: понятие</x:v>
      </x:c>
      <x:c r="M142" s="30" t="str">
        <x:v>Раскройте смысл понятия «житие» и приведите факт из истории России.</x:v>
      </x:c>
      <x:c r="N142" s="30" t="str">
        <x:v>Житие — жанр церковной литературы, в котором описываются жизнь и деяния святого. Пример: одним из ранних русских житий было «Житие Феодосия Печерского».</x:v>
      </x:c>
      <x:c r="O142" s="30" t="str">
        <x:v>Определение содержит родовую принадлежность и существенный признак; факт не повторяет определение.</x:v>
      </x:c>
      <x:c r="P142" s="30" t="str">
        <x:v>Проверено соответствие определения и примера требованиям задания.</x:v>
      </x:c>
      <x:c r="Q142" s="30"/>
      <x:c r="R142" s="30" t="str">
        <x:v>Критерии, стр. 7–8</x:v>
      </x:c>
      <x:c r="S142" s="30"/>
      <x:c r="T142" s="30"/>
      <x:c r="U142" s="30" t="str">
        <x:v>Критерий перенесён отдельно без изменения.</x:v>
      </x:c>
      <x:c r="V142" s="87" t="str">
        <x:v>VERIFIED</x:v>
      </x:c>
      <x:c r="W142" s="87" t="n">
        <x:v>13</x:v>
      </x:c>
      <x:c r="X142" s="87"/>
      <x:c r="Y142" s="87"/>
      <x:c r="Z142" s="87"/>
      <x:c r="AA142" s="87"/>
      <x:c r="AB142" s="87"/>
      <x:c r="AC142" s="87"/>
      <x:c r="AD142" s="87"/>
      <x:c r="AE142" s="87"/>
      <x:c r="AF142" s="87"/>
      <x:c r="AG142" s="87"/>
      <x:c r="AH142" s="87"/>
      <x:c r="AI142" s="30"/>
      <x:c r="AJ142" s="87" t="str">
        <x:v>master</x:v>
      </x:c>
      <x:c r="AK142" s="87" t="str">
        <x:v>master-v0.81</x:v>
      </x:c>
      <x:c r="AL142" s="87" t="str">
        <x:v>statgrad_master_base_v0_81_final(2).xlsx</x:v>
      </x:c>
      <x:c r="AM142" s="87" t="str">
        <x:v>HIST_Jan_V1</x:v>
      </x:c>
      <x:c r="AN142" s="87" t="n">
        <x:v>20</x:v>
      </x:c>
    </x:row>
    <x:row r="143">
      <x:c r="A143" s="87" t="n">
        <x:v>142</x:v>
      </x:c>
      <x:c r="B143" s="87" t="str">
        <x:v>JAN-HIS-V1-020</x:v>
      </x:c>
      <x:c r="C143" s="87" t="str">
        <x:v>СтатГрад</x:v>
      </x:c>
      <x:c r="D143" s="87" t="str">
        <x:v>Январь 2026</x:v>
      </x:c>
      <x:c r="E143" s="87"/>
      <x:c r="F143" s="87"/>
      <x:c r="G143" s="87" t="str">
        <x:v>История</x:v>
      </x:c>
      <x:c r="H143" s="87" t="n">
        <x:v>11</x:v>
      </x:c>
      <x:c r="I143" s="87" t="str">
        <x:v>ТР №3</x:v>
      </x:c>
      <x:c r="J143" s="87" t="str">
        <x:v>ИС2510301</x:v>
      </x:c>
      <x:c r="K143" s="87" t="n">
        <x:v>20</x:v>
      </x:c>
      <x:c r="L143" s="87" t="str">
        <x:v>Развёрнутый ответ: сравнение</x:v>
      </x:c>
      <x:c r="M143" s="30" t="str">
        <x:v>Сформулируйте сходство системы управления Российской империи в середине XIX в. и в 1906–1914 гг.; приведите два обоснования.</x:v>
      </x:c>
      <x:c r="N143" s="30" t="str">
        <x:v>Тезис: в оба периода сохранялась сильная императорская власть. 1) Император обладал полнотой исполнительной власти и назначал и смещал министров. 2) Ни один закон не мог вступить в силу без утверждения императором.</x:v>
      </x:c>
      <x:c r="O143" s="30" t="str">
        <x:v>Оба обоснования содержат сопоставимые факты по каждому из двух периодов.</x:v>
      </x:c>
      <x:c r="P143" s="30" t="str">
        <x:v>Тезис и два аргумента соответствуют критерию сравнения.</x:v>
      </x:c>
      <x:c r="Q143" s="30"/>
      <x:c r="R143" s="30" t="str">
        <x:v>Критерии, стр. 8–9</x:v>
      </x:c>
      <x:c r="S143" s="30"/>
      <x:c r="T143" s="30"/>
      <x:c r="U143" s="30" t="str">
        <x:v>Критерий перенесён отдельно без изменения.</x:v>
      </x:c>
      <x:c r="V143" s="87" t="str">
        <x:v>VERIFIED</x:v>
      </x:c>
      <x:c r="W143" s="87" t="n">
        <x:v>13</x:v>
      </x:c>
      <x:c r="X143" s="87"/>
      <x:c r="Y143" s="87"/>
      <x:c r="Z143" s="87"/>
      <x:c r="AA143" s="87"/>
      <x:c r="AB143" s="87"/>
      <x:c r="AC143" s="87"/>
      <x:c r="AD143" s="87"/>
      <x:c r="AE143" s="87"/>
      <x:c r="AF143" s="87"/>
      <x:c r="AG143" s="87"/>
      <x:c r="AH143" s="87"/>
      <x:c r="AI143" s="30"/>
      <x:c r="AJ143" s="87" t="str">
        <x:v>master</x:v>
      </x:c>
      <x:c r="AK143" s="87" t="str">
        <x:v>master-v0.81</x:v>
      </x:c>
      <x:c r="AL143" s="87" t="str">
        <x:v>statgrad_master_base_v0_81_final(2).xlsx</x:v>
      </x:c>
      <x:c r="AM143" s="87" t="str">
        <x:v>HIST_Jan_V1</x:v>
      </x:c>
      <x:c r="AN143" s="87" t="n">
        <x:v>21</x:v>
      </x:c>
    </x:row>
    <x:row r="144">
      <x:c r="A144" s="87" t="n">
        <x:v>143</x:v>
      </x:c>
      <x:c r="B144" s="87" t="str">
        <x:v>JAN-HIS-V1-021</x:v>
      </x:c>
      <x:c r="C144" s="87" t="str">
        <x:v>СтатГрад</x:v>
      </x:c>
      <x:c r="D144" s="87" t="str">
        <x:v>Январь 2026</x:v>
      </x:c>
      <x:c r="E144" s="87"/>
      <x:c r="F144" s="87"/>
      <x:c r="G144" s="87" t="str">
        <x:v>История</x:v>
      </x:c>
      <x:c r="H144" s="87" t="n">
        <x:v>11</x:v>
      </x:c>
      <x:c r="I144" s="87" t="str">
        <x:v>ТР №3</x:v>
      </x:c>
      <x:c r="J144" s="87" t="str">
        <x:v>ИС2510301</x:v>
      </x:c>
      <x:c r="K144" s="87" t="n">
        <x:v>21</x:v>
      </x:c>
      <x:c r="L144" s="87" t="str">
        <x:v>Развёрнутый ответ: историческая аргументация</x:v>
      </x:c>
      <x:c r="M144" s="30" t="str">
        <x:v>Докажите зависимость светской власти от отношений с церковью: один аргумент для русских земель XIV в. и один для Священной Римской империи XI в.</x:v>
      </x:c>
      <x:c r="N144" s="30" t="str">
        <x:v>Русские земли: поддержка митрополита Петра помогла московским князьям превратить Москву в религиозный и политический центр; кафедра была перенесена из Владимира в Москву. Священная Римская империя: в ходе борьбы за инвеституру папа отлучил Генриха IV и объявил его низложенным, что вынудило императора идти в Каноссу за прощением.</x:v>
      </x:c>
      <x:c r="O144" s="30" t="str">
        <x:v>Каждый аргумент показывает конкретное политическое последствие отношений светской власти с церковью.</x:v>
      </x:c>
      <x:c r="P144" s="30" t="str">
        <x:v>Факты относятся к требуемым странам и векам.</x:v>
      </x:c>
      <x:c r="Q144" s="30"/>
      <x:c r="R144" s="30" t="str">
        <x:v>Критерии, стр. 10</x:v>
      </x:c>
      <x:c r="S144" s="30"/>
      <x:c r="T144" s="30"/>
      <x:c r="U144" s="30" t="str">
        <x:v>Критерий перенесён отдельно без изменения.</x:v>
      </x:c>
      <x:c r="V144" s="87" t="str">
        <x:v>VERIFIED</x:v>
      </x:c>
      <x:c r="W144" s="87" t="n">
        <x:v>13</x:v>
      </x:c>
      <x:c r="X144" s="87"/>
      <x:c r="Y144" s="87"/>
      <x:c r="Z144" s="87"/>
      <x:c r="AA144" s="87"/>
      <x:c r="AB144" s="87"/>
      <x:c r="AC144" s="87"/>
      <x:c r="AD144" s="87"/>
      <x:c r="AE144" s="87"/>
      <x:c r="AF144" s="87"/>
      <x:c r="AG144" s="87"/>
      <x:c r="AH144" s="87"/>
      <x:c r="AI144" s="30"/>
      <x:c r="AJ144" s="87" t="str">
        <x:v>master</x:v>
      </x:c>
      <x:c r="AK144" s="87" t="str">
        <x:v>master-v0.81</x:v>
      </x:c>
      <x:c r="AL144" s="87" t="str">
        <x:v>statgrad_master_base_v0_81_final(2).xlsx</x:v>
      </x:c>
      <x:c r="AM144" s="87" t="str">
        <x:v>HIST_Jan_V1</x:v>
      </x:c>
      <x:c r="AN144" s="87" t="n">
        <x:v>22</x:v>
      </x:c>
    </x:row>
    <x:row r="145">
      <x:c r="A145" s="87" t="n">
        <x:v>144</x:v>
      </x:c>
      <x:c r="B145" s="87" t="str">
        <x:v>JAN-HIS-V2-001</x:v>
      </x:c>
      <x:c r="C145" s="87" t="str">
        <x:v>СтатГрад</x:v>
      </x:c>
      <x:c r="D145" s="87" t="str">
        <x:v>Январь 2026</x:v>
      </x:c>
      <x:c r="E145" s="87"/>
      <x:c r="F145" s="87"/>
      <x:c r="G145" s="87" t="str">
        <x:v>История</x:v>
      </x:c>
      <x:c r="H145" s="87" t="n">
        <x:v>11</x:v>
      </x:c>
      <x:c r="I145" s="87" t="str">
        <x:v>ТР №3</x:v>
      </x:c>
      <x:c r="J145" s="87" t="str">
        <x:v>ИС2510302</x:v>
      </x:c>
      <x:c r="K145" s="87" t="n">
        <x:v>1</x:v>
      </x:c>
      <x:c r="L145" s="87" t="str">
        <x:v>Соответствие событий и дат</x:v>
      </x:c>
      <x:c r="M145" s="30" t="str">
        <x:v>Соотнесите Карибский кризис, Тегеранскую конференцию, учреждение первых министерств в России и присоединение Астрахани с годами.</x:v>
      </x:c>
      <x:c r="N145" s="30" t="str">
        <x:v>6531</x:v>
      </x:c>
      <x:c r="O145" s="30" t="str">
        <x:v>Карибский кризис произошёл в 1962 г.; Тегеранская конференция — в 1943 г.; первые министерства учреждены в 1802 г.; Астрахань присоединена в 1556 г.</x:v>
      </x:c>
      <x:c r="P145" s="30" t="str">
        <x:v>Каждое событие независимо сопоставлено с датой.</x:v>
      </x:c>
      <x:c r="Q145" s="30"/>
      <x:c r="R145" s="30" t="str">
        <x:v>6531</x:v>
      </x:c>
      <x:c r="S145" s="30"/>
      <x:c r="T145" s="30"/>
      <x:c r="U145" s="30" t="str">
        <x:v>Расхождений нет.</x:v>
      </x:c>
      <x:c r="V145" s="87" t="str">
        <x:v>VERIFIED</x:v>
      </x:c>
      <x:c r="W145" s="87" t="n">
        <x:v>2</x:v>
      </x:c>
      <x:c r="X145" s="87"/>
      <x:c r="Y145" s="87"/>
      <x:c r="Z145" s="87"/>
      <x:c r="AA145" s="87"/>
      <x:c r="AB145" s="87"/>
      <x:c r="AC145" s="87"/>
      <x:c r="AD145" s="87"/>
      <x:c r="AE145" s="87"/>
      <x:c r="AF145" s="87"/>
      <x:c r="AG145" s="87"/>
      <x:c r="AH145" s="87"/>
      <x:c r="AI145" s="30"/>
      <x:c r="AJ145" s="87" t="str">
        <x:v>master</x:v>
      </x:c>
      <x:c r="AK145" s="87" t="str">
        <x:v>master-v0.81</x:v>
      </x:c>
      <x:c r="AL145" s="87" t="str">
        <x:v>statgrad_master_base_v0_81_final(2).xlsx</x:v>
      </x:c>
      <x:c r="AM145" s="87" t="str">
        <x:v>HIST_Jan_V2</x:v>
      </x:c>
      <x:c r="AN145" s="87" t="n">
        <x:v>2</x:v>
      </x:c>
    </x:row>
    <x:row r="146">
      <x:c r="A146" s="87" t="n">
        <x:v>145</x:v>
      </x:c>
      <x:c r="B146" s="87" t="str">
        <x:v>JAN-HIS-V2-002</x:v>
      </x:c>
      <x:c r="C146" s="87" t="str">
        <x:v>СтатГрад</x:v>
      </x:c>
      <x:c r="D146" s="87" t="str">
        <x:v>Январь 2026</x:v>
      </x:c>
      <x:c r="E146" s="87"/>
      <x:c r="F146" s="87"/>
      <x:c r="G146" s="87" t="str">
        <x:v>История</x:v>
      </x:c>
      <x:c r="H146" s="87" t="n">
        <x:v>11</x:v>
      </x:c>
      <x:c r="I146" s="87" t="str">
        <x:v>ТР №3</x:v>
      </x:c>
      <x:c r="J146" s="87" t="str">
        <x:v>ИС2510302</x:v>
      </x:c>
      <x:c r="K146" s="87" t="n">
        <x:v>2</x:v>
      </x:c>
      <x:c r="L146" s="87" t="str">
        <x:v>Хронология</x:v>
      </x:c>
      <x:c r="M146" s="30" t="str">
        <x:v>Расположите события: провозглашение доктрины Монро; отмена местничества; арест и казнь Л. П. Берии.</x:v>
      </x:c>
      <x:c r="N146" s="30" t="str">
        <x:v>213</x:v>
      </x:c>
      <x:c r="O146" s="30" t="str">
        <x:v>Местничество отменили в 1682 г.; доктрина Монро провозглашена в 1823 г.; Берия был арестован и казнён в 1953 г.</x:v>
      </x:c>
      <x:c r="P146" s="30" t="str">
        <x:v>События расположены по возрастанию дат.</x:v>
      </x:c>
      <x:c r="Q146" s="30"/>
      <x:c r="R146" s="30" t="str">
        <x:v>213</x:v>
      </x:c>
      <x:c r="S146" s="30"/>
      <x:c r="T146" s="30"/>
      <x:c r="U146" s="30" t="str">
        <x:v>Расхождений нет.</x:v>
      </x:c>
      <x:c r="V146" s="87" t="str">
        <x:v>VERIFIED</x:v>
      </x:c>
      <x:c r="W146" s="87" t="n">
        <x:v>2</x:v>
      </x:c>
      <x:c r="X146" s="87"/>
      <x:c r="Y146" s="87"/>
      <x:c r="Z146" s="87"/>
      <x:c r="AA146" s="87"/>
      <x:c r="AB146" s="87"/>
      <x:c r="AC146" s="87"/>
      <x:c r="AD146" s="87"/>
      <x:c r="AE146" s="87"/>
      <x:c r="AF146" s="87"/>
      <x:c r="AG146" s="87"/>
      <x:c r="AH146" s="87"/>
      <x:c r="AI146" s="30"/>
      <x:c r="AJ146" s="87" t="str">
        <x:v>master</x:v>
      </x:c>
      <x:c r="AK146" s="87" t="str">
        <x:v>master-v0.81</x:v>
      </x:c>
      <x:c r="AL146" s="87" t="str">
        <x:v>statgrad_master_base_v0_81_final(2).xlsx</x:v>
      </x:c>
      <x:c r="AM146" s="87" t="str">
        <x:v>HIST_Jan_V2</x:v>
      </x:c>
      <x:c r="AN146" s="87" t="n">
        <x:v>3</x:v>
      </x:c>
    </x:row>
    <x:row r="147">
      <x:c r="A147" s="87" t="n">
        <x:v>146</x:v>
      </x:c>
      <x:c r="B147" s="87" t="str">
        <x:v>JAN-HIS-V2-003</x:v>
      </x:c>
      <x:c r="C147" s="87" t="str">
        <x:v>СтатГрад</x:v>
      </x:c>
      <x:c r="D147" s="87" t="str">
        <x:v>Январь 2026</x:v>
      </x:c>
      <x:c r="E147" s="87"/>
      <x:c r="F147" s="87"/>
      <x:c r="G147" s="87" t="str">
        <x:v>История</x:v>
      </x:c>
      <x:c r="H147" s="87" t="n">
        <x:v>11</x:v>
      </x:c>
      <x:c r="I147" s="87" t="str">
        <x:v>ТР №3</x:v>
      </x:c>
      <x:c r="J147" s="87" t="str">
        <x:v>ИС2510302</x:v>
      </x:c>
      <x:c r="K147" s="87" t="n">
        <x:v>3</x:v>
      </x:c>
      <x:c r="L147" s="87" t="str">
        <x:v>Соответствие процессов и фактов</x:v>
      </x:c>
      <x:c r="M147" s="30" t="str">
        <x:v>Соотнесите правление Ивана III, Гражданскую войну в России, создание регулярной армии и правление Ивана Грозного с фактами.</x:v>
      </x:c>
      <x:c r="N147" s="30" t="str">
        <x:v>4123</x:v>
      </x:c>
      <x:c r="O147" s="30" t="str">
        <x:v>Судебник Ивана III установил пожилое; Гражданская война связана со штурмом Перекопа; регулярная армия создавалась через рекрутскую повинность; при Иване Грозном отменили кормления.</x:v>
      </x:c>
      <x:c r="P147" s="30" t="str">
        <x:v>Факты проверены по времени и содержанию преобразований.</x:v>
      </x:c>
      <x:c r="Q147" s="30"/>
      <x:c r="R147" s="30" t="str">
        <x:v>4123</x:v>
      </x:c>
      <x:c r="S147" s="30"/>
      <x:c r="T147" s="30"/>
      <x:c r="U147" s="30" t="str">
        <x:v>Расхождений нет.</x:v>
      </x:c>
      <x:c r="V147" s="87" t="str">
        <x:v>VERIFIED</x:v>
      </x:c>
      <x:c r="W147" s="87" t="n">
        <x:v>3</x:v>
      </x:c>
      <x:c r="X147" s="87"/>
      <x:c r="Y147" s="87"/>
      <x:c r="Z147" s="87"/>
      <x:c r="AA147" s="87"/>
      <x:c r="AB147" s="87"/>
      <x:c r="AC147" s="87"/>
      <x:c r="AD147" s="87"/>
      <x:c r="AE147" s="87"/>
      <x:c r="AF147" s="87"/>
      <x:c r="AG147" s="87"/>
      <x:c r="AH147" s="87"/>
      <x:c r="AI147" s="30"/>
      <x:c r="AJ147" s="87" t="str">
        <x:v>master</x:v>
      </x:c>
      <x:c r="AK147" s="87" t="str">
        <x:v>master-v0.81</x:v>
      </x:c>
      <x:c r="AL147" s="87" t="str">
        <x:v>statgrad_master_base_v0_81_final(2).xlsx</x:v>
      </x:c>
      <x:c r="AM147" s="87" t="str">
        <x:v>HIST_Jan_V2</x:v>
      </x:c>
      <x:c r="AN147" s="87" t="n">
        <x:v>4</x:v>
      </x:c>
    </x:row>
    <x:row r="148">
      <x:c r="A148" s="87" t="n">
        <x:v>147</x:v>
      </x:c>
      <x:c r="B148" s="87" t="str">
        <x:v>JAN-HIS-V2-004</x:v>
      </x:c>
      <x:c r="C148" s="87" t="str">
        <x:v>СтатГрад</x:v>
      </x:c>
      <x:c r="D148" s="87" t="str">
        <x:v>Январь 2026</x:v>
      </x:c>
      <x:c r="E148" s="87"/>
      <x:c r="F148" s="87"/>
      <x:c r="G148" s="87" t="str">
        <x:v>История</x:v>
      </x:c>
      <x:c r="H148" s="87" t="n">
        <x:v>11</x:v>
      </x:c>
      <x:c r="I148" s="87" t="str">
        <x:v>ТР №3</x:v>
      </x:c>
      <x:c r="J148" s="87" t="str">
        <x:v>ИС2510302</x:v>
      </x:c>
      <x:c r="K148" s="87" t="n">
        <x:v>4</x:v>
      </x:c>
      <x:c r="L148" s="87" t="str">
        <x:v>Таблица: география, событие, период</x:v>
      </x:c>
      <x:c r="M148" s="30" t="str">
        <x:v>Заполните пропуски о восстании против ордынского отряда Чолхана, обороне Козельска, гибели Андрея Боголюбского и событии 1460-х гг.</x:v>
      </x:c>
      <x:c r="N148" s="30" t="str">
        <x:v>412638</x:v>
      </x:c>
      <x:c r="O148" s="30" t="str">
        <x:v>Восстание против Чолхана произошло в Твери в 1320-е гг.; Козельск оборонялся от войск Батыя; Андрей Боголюбский погиб в 1170-е гг.; Ярославль был присоединён к Московскому княжеству в 1460-е гг.</x:v>
      </x:c>
      <x:c r="P148" s="30" t="str">
        <x:v>Каждый элемент проверен по месту, событию и десятилетию.</x:v>
      </x:c>
      <x:c r="Q148" s="30"/>
      <x:c r="R148" s="30" t="str">
        <x:v>412638</x:v>
      </x:c>
      <x:c r="S148" s="30"/>
      <x:c r="T148" s="30"/>
      <x:c r="U148" s="30" t="str">
        <x:v>Расхождений нет.</x:v>
      </x:c>
      <x:c r="V148" s="87" t="str">
        <x:v>VERIFIED</x:v>
      </x:c>
      <x:c r="W148" s="87" t="n">
        <x:v>3</x:v>
      </x:c>
      <x:c r="X148" s="87"/>
      <x:c r="Y148" s="87"/>
      <x:c r="Z148" s="87"/>
      <x:c r="AA148" s="87"/>
      <x:c r="AB148" s="87"/>
      <x:c r="AC148" s="87"/>
      <x:c r="AD148" s="87"/>
      <x:c r="AE148" s="87"/>
      <x:c r="AF148" s="87"/>
      <x:c r="AG148" s="87"/>
      <x:c r="AH148" s="87"/>
      <x:c r="AI148" s="30"/>
      <x:c r="AJ148" s="87" t="str">
        <x:v>master</x:v>
      </x:c>
      <x:c r="AK148" s="87" t="str">
        <x:v>master-v0.81</x:v>
      </x:c>
      <x:c r="AL148" s="87" t="str">
        <x:v>statgrad_master_base_v0_81_final(2).xlsx</x:v>
      </x:c>
      <x:c r="AM148" s="87" t="str">
        <x:v>HIST_Jan_V2</x:v>
      </x:c>
      <x:c r="AN148" s="87" t="n">
        <x:v>5</x:v>
      </x:c>
    </x:row>
    <x:row r="149">
      <x:c r="A149" s="87" t="n">
        <x:v>148</x:v>
      </x:c>
      <x:c r="B149" s="87" t="str">
        <x:v>JAN-HIS-V2-005</x:v>
      </x:c>
      <x:c r="C149" s="87" t="str">
        <x:v>СтатГрад</x:v>
      </x:c>
      <x:c r="D149" s="87" t="str">
        <x:v>Январь 2026</x:v>
      </x:c>
      <x:c r="E149" s="87"/>
      <x:c r="F149" s="87"/>
      <x:c r="G149" s="87" t="str">
        <x:v>История</x:v>
      </x:c>
      <x:c r="H149" s="87" t="n">
        <x:v>11</x:v>
      </x:c>
      <x:c r="I149" s="87" t="str">
        <x:v>ТР №3</x:v>
      </x:c>
      <x:c r="J149" s="87" t="str">
        <x:v>ИС2510302</x:v>
      </x:c>
      <x:c r="K149" s="87" t="n">
        <x:v>5</x:v>
      </x:c>
      <x:c r="L149" s="87" t="str">
        <x:v>Соответствие событий и участников</x:v>
      </x:c>
      <x:c r="M149" s="30" t="str">
        <x:v>Соотнесите закон об индивидуальной трудовой деятельности, отмену крепостного права, Смоленское сражение и присоединение Казани с участниками.</x:v>
      </x:c>
      <x:c r="N149" s="30" t="str">
        <x:v>4623</x:v>
      </x:c>
      <x:c r="O149" s="30" t="str">
        <x:v>Закон об индивидуальной трудовой деятельности относится к периоду правительства Н. И. Рыжкова; подготовкой крестьянской реформы занимался Н. А. Милютин; Смоленское сражение связано с С. К. Тимошенко; в походе на Казань участвовал А. М. Курбский.</x:v>
      </x:c>
      <x:c r="P149" s="30" t="str">
        <x:v>Роли участников проверены по соответствующим событиям.</x:v>
      </x:c>
      <x:c r="Q149" s="30"/>
      <x:c r="R149" s="30" t="str">
        <x:v>4623</x:v>
      </x:c>
      <x:c r="S149" s="30"/>
      <x:c r="T149" s="30"/>
      <x:c r="U149" s="30" t="str">
        <x:v>Расхождений нет.</x:v>
      </x:c>
      <x:c r="V149" s="87" t="str">
        <x:v>VERIFIED</x:v>
      </x:c>
      <x:c r="W149" s="87" t="n">
        <x:v>4</x:v>
      </x:c>
      <x:c r="X149" s="87"/>
      <x:c r="Y149" s="87"/>
      <x:c r="Z149" s="87"/>
      <x:c r="AA149" s="87"/>
      <x:c r="AB149" s="87"/>
      <x:c r="AC149" s="87"/>
      <x:c r="AD149" s="87"/>
      <x:c r="AE149" s="87"/>
      <x:c r="AF149" s="87"/>
      <x:c r="AG149" s="87"/>
      <x:c r="AH149" s="87"/>
      <x:c r="AI149" s="30"/>
      <x:c r="AJ149" s="87" t="str">
        <x:v>master</x:v>
      </x:c>
      <x:c r="AK149" s="87" t="str">
        <x:v>master-v0.81</x:v>
      </x:c>
      <x:c r="AL149" s="87" t="str">
        <x:v>statgrad_master_base_v0_81_final(2).xlsx</x:v>
      </x:c>
      <x:c r="AM149" s="87" t="str">
        <x:v>HIST_Jan_V2</x:v>
      </x:c>
      <x:c r="AN149" s="87" t="n">
        <x:v>6</x:v>
      </x:c>
    </x:row>
    <x:row r="150">
      <x:c r="A150" s="87" t="n">
        <x:v>149</x:v>
      </x:c>
      <x:c r="B150" s="87" t="str">
        <x:v>JAN-HIS-V2-006</x:v>
      </x:c>
      <x:c r="C150" s="87" t="str">
        <x:v>СтатГрад</x:v>
      </x:c>
      <x:c r="D150" s="87" t="str">
        <x:v>Январь 2026</x:v>
      </x:c>
      <x:c r="E150" s="87"/>
      <x:c r="F150" s="87"/>
      <x:c r="G150" s="87" t="str">
        <x:v>История</x:v>
      </x:c>
      <x:c r="H150" s="87" t="n">
        <x:v>11</x:v>
      </x:c>
      <x:c r="I150" s="87" t="str">
        <x:v>ТР №3</x:v>
      </x:c>
      <x:c r="J150" s="87" t="str">
        <x:v>ИС2510302</x:v>
      </x:c>
      <x:c r="K150" s="87" t="n">
        <x:v>6</x:v>
      </x:c>
      <x:c r="L150" s="87" t="str">
        <x:v>Анализ исторического источника</x:v>
      </x:c>
      <x:c r="M150" s="30" t="str">
        <x:v>По докладу о концессиях, экономическом кризисе и Кронштадтском восстании выберите верные суждения.</x:v>
      </x:c>
      <x:c r="N150" s="30" t="str">
        <x:v>234</x:v>
      </x:c>
      <x:c r="O150" s="30" t="str">
        <x:v>Доклад прозвучал на X съезде РКП(б) 1921 г.; председателем СНК был В. И. Ленин; съезд принял решение о переходе к НЭПу; автор поддержал концессии иностранному капиталу.</x:v>
      </x:c>
      <x:c r="P150" s="30" t="str">
        <x:v>Утверждения о 1928 г., первой Конституции и лозунгах восставших исключены как неверные.</x:v>
      </x:c>
      <x:c r="Q150" s="30"/>
      <x:c r="R150" s="30" t="str">
        <x:v>234</x:v>
      </x:c>
      <x:c r="S150" s="30"/>
      <x:c r="T150" s="30"/>
      <x:c r="U150" s="30" t="str">
        <x:v>Расхождений нет.</x:v>
      </x:c>
      <x:c r="V150" s="87" t="str">
        <x:v>VERIFIED</x:v>
      </x:c>
      <x:c r="W150" s="87" t="n">
        <x:v>5</x:v>
      </x:c>
      <x:c r="X150" s="87"/>
      <x:c r="Y150" s="87"/>
      <x:c r="Z150" s="87"/>
      <x:c r="AA150" s="87"/>
      <x:c r="AB150" s="87"/>
      <x:c r="AC150" s="87"/>
      <x:c r="AD150" s="87"/>
      <x:c r="AE150" s="87"/>
      <x:c r="AF150" s="87"/>
      <x:c r="AG150" s="87"/>
      <x:c r="AH150" s="87"/>
      <x:c r="AI150" s="30"/>
      <x:c r="AJ150" s="87" t="str">
        <x:v>master</x:v>
      </x:c>
      <x:c r="AK150" s="87" t="str">
        <x:v>master-v0.81</x:v>
      </x:c>
      <x:c r="AL150" s="87" t="str">
        <x:v>statgrad_master_base_v0_81_final(2).xlsx</x:v>
      </x:c>
      <x:c r="AM150" s="87" t="str">
        <x:v>HIST_Jan_V2</x:v>
      </x:c>
      <x:c r="AN150" s="87" t="n">
        <x:v>7</x:v>
      </x:c>
    </x:row>
    <x:row r="151">
      <x:c r="A151" s="87" t="n">
        <x:v>150</x:v>
      </x:c>
      <x:c r="B151" s="87" t="str">
        <x:v>JAN-HIS-V2-007</x:v>
      </x:c>
      <x:c r="C151" s="87" t="str">
        <x:v>СтатГрад</x:v>
      </x:c>
      <x:c r="D151" s="87" t="str">
        <x:v>Январь 2026</x:v>
      </x:c>
      <x:c r="E151" s="87"/>
      <x:c r="F151" s="87"/>
      <x:c r="G151" s="87" t="str">
        <x:v>История</x:v>
      </x:c>
      <x:c r="H151" s="87" t="n">
        <x:v>11</x:v>
      </x:c>
      <x:c r="I151" s="87" t="str">
        <x:v>ТР №3</x:v>
      </x:c>
      <x:c r="J151" s="87" t="str">
        <x:v>ИС2510302</x:v>
      </x:c>
      <x:c r="K151" s="87" t="n">
        <x:v>7</x:v>
      </x:c>
      <x:c r="L151" s="87" t="str">
        <x:v>Культура</x:v>
      </x:c>
      <x:c r="M151" s="30" t="str">
        <x:v>Соотнесите Андрея Рублёва, А. П. Бородина, Андрея Чохова и К. М. Симонова с произведениями.</x:v>
      </x:c>
      <x:c r="N151" s="30" t="str">
        <x:v>2354</x:v>
      </x:c>
      <x:c r="O151" s="30" t="str">
        <x:v>Рублёв написал икону «Троица»; Бородин — оперу «Князь Игорь»; Чохов отлил Царь-пушку; Симонов создал роман «Живые и мёртвые».</x:v>
      </x:c>
      <x:c r="P151" s="30" t="str">
        <x:v>Авторство каждого произведения проверено отдельно.</x:v>
      </x:c>
      <x:c r="Q151" s="30"/>
      <x:c r="R151" s="30" t="str">
        <x:v>2354</x:v>
      </x:c>
      <x:c r="S151" s="30"/>
      <x:c r="T151" s="30"/>
      <x:c r="U151" s="30" t="str">
        <x:v>Расхождений нет.</x:v>
      </x:c>
      <x:c r="V151" s="87" t="str">
        <x:v>VERIFIED</x:v>
      </x:c>
      <x:c r="W151" s="87" t="n">
        <x:v>6</x:v>
      </x:c>
      <x:c r="X151" s="87"/>
      <x:c r="Y151" s="87"/>
      <x:c r="Z151" s="87"/>
      <x:c r="AA151" s="87"/>
      <x:c r="AB151" s="87"/>
      <x:c r="AC151" s="87"/>
      <x:c r="AD151" s="87"/>
      <x:c r="AE151" s="87"/>
      <x:c r="AF151" s="87"/>
      <x:c r="AG151" s="87"/>
      <x:c r="AH151" s="87"/>
      <x:c r="AI151" s="30"/>
      <x:c r="AJ151" s="87" t="str">
        <x:v>master</x:v>
      </x:c>
      <x:c r="AK151" s="87" t="str">
        <x:v>master-v0.81</x:v>
      </x:c>
      <x:c r="AL151" s="87" t="str">
        <x:v>statgrad_master_base_v0_81_final(2).xlsx</x:v>
      </x:c>
      <x:c r="AM151" s="87" t="str">
        <x:v>HIST_Jan_V2</x:v>
      </x:c>
      <x:c r="AN151" s="87" t="n">
        <x:v>8</x:v>
      </x:c>
    </x:row>
    <x:row r="152">
      <x:c r="A152" s="87" t="n">
        <x:v>151</x:v>
      </x:c>
      <x:c r="B152" s="87" t="str">
        <x:v>JAN-HIS-V2-008</x:v>
      </x:c>
      <x:c r="C152" s="87" t="str">
        <x:v>СтатГрад</x:v>
      </x:c>
      <x:c r="D152" s="87" t="str">
        <x:v>Январь 2026</x:v>
      </x:c>
      <x:c r="E152" s="87"/>
      <x:c r="F152" s="87"/>
      <x:c r="G152" s="87" t="str">
        <x:v>История</x:v>
      </x:c>
      <x:c r="H152" s="87" t="n">
        <x:v>11</x:v>
      </x:c>
      <x:c r="I152" s="87" t="str">
        <x:v>ТР №3</x:v>
      </x:c>
      <x:c r="J152" s="87" t="str">
        <x:v>ИС2510302</x:v>
      </x:c>
      <x:c r="K152" s="87" t="n">
        <x:v>8</x:v>
      </x:c>
      <x:c r="L152" s="87" t="str">
        <x:v>Работа с изображением</x:v>
      </x:c>
      <x:c r="M152" s="30" t="str">
        <x:v>Назовите месяц начала Берлинской операции, которой посвящена марка.</x:v>
      </x:c>
      <x:c r="N152" s="30" t="str">
        <x:v>апрель</x:v>
      </x:c>
      <x:c r="O152" s="30" t="str">
        <x:v>Берлинская стратегическая наступательная операция началась 16 апреля 1945 г.</x:v>
      </x:c>
      <x:c r="P152" s="30" t="str">
        <x:v>Дата начала операции проверена по хронологии Великой Отечественной войны.</x:v>
      </x:c>
      <x:c r="Q152" s="30"/>
      <x:c r="R152" s="30" t="str">
        <x:v>апрель</x:v>
      </x:c>
      <x:c r="S152" s="30"/>
      <x:c r="T152" s="30"/>
      <x:c r="U152" s="30" t="str">
        <x:v>Расхождений нет.</x:v>
      </x:c>
      <x:c r="V152" s="87" t="str">
        <x:v>VERIFIED</x:v>
      </x:c>
      <x:c r="W152" s="87" t="n">
        <x:v>6</x:v>
      </x:c>
      <x:c r="X152" s="87"/>
      <x:c r="Y152" s="87"/>
      <x:c r="Z152" s="87"/>
      <x:c r="AA152" s="87"/>
      <x:c r="AB152" s="87"/>
      <x:c r="AC152" s="87"/>
      <x:c r="AD152" s="87"/>
      <x:c r="AE152" s="87"/>
      <x:c r="AF152" s="87"/>
      <x:c r="AG152" s="87"/>
      <x:c r="AH152" s="87"/>
      <x:c r="AI152" s="30"/>
      <x:c r="AJ152" s="87" t="str">
        <x:v>master</x:v>
      </x:c>
      <x:c r="AK152" s="87" t="str">
        <x:v>master-v0.81</x:v>
      </x:c>
      <x:c r="AL152" s="87" t="str">
        <x:v>statgrad_master_base_v0_81_final(2).xlsx</x:v>
      </x:c>
      <x:c r="AM152" s="87" t="str">
        <x:v>HIST_Jan_V2</x:v>
      </x:c>
      <x:c r="AN152" s="87" t="n">
        <x:v>9</x:v>
      </x:c>
    </x:row>
    <x:row r="153">
      <x:c r="A153" s="87" t="n">
        <x:v>152</x:v>
      </x:c>
      <x:c r="B153" s="87" t="str">
        <x:v>JAN-HIS-V2-009</x:v>
      </x:c>
      <x:c r="C153" s="87" t="str">
        <x:v>СтатГрад</x:v>
      </x:c>
      <x:c r="D153" s="87" t="str">
        <x:v>Январь 2026</x:v>
      </x:c>
      <x:c r="E153" s="87"/>
      <x:c r="F153" s="87"/>
      <x:c r="G153" s="87" t="str">
        <x:v>История</x:v>
      </x:c>
      <x:c r="H153" s="87" t="n">
        <x:v>11</x:v>
      </x:c>
      <x:c r="I153" s="87" t="str">
        <x:v>ТР №3</x:v>
      </x:c>
      <x:c r="J153" s="87" t="str">
        <x:v>ИС2510302</x:v>
      </x:c>
      <x:c r="K153" s="87" t="n">
        <x:v>9</x:v>
      </x:c>
      <x:c r="L153" s="87" t="str">
        <x:v>Историческая карта</x:v>
      </x:c>
      <x:c r="M153" s="30" t="str">
        <x:v>Назовите князя, завоевательный поход которого обозначен стрелками на схеме.</x:v>
      </x:c>
      <x:c r="N153" s="30" t="str">
        <x:v>Олег; Олег Вещий</x:v>
      </x:c>
      <x:c r="O153" s="30" t="str">
        <x:v>Маршрут проходит из Новгорода через Смоленск и Любеч к Киеву и соответствует походу Олега 882 г.</x:v>
      </x:c>
      <x:c r="P153" s="30" t="str">
        <x:v>Маршрут сопоставлен с летописным описанием похода.</x:v>
      </x:c>
      <x:c r="Q153" s="30"/>
      <x:c r="R153" s="30" t="str">
        <x:v>Олег; ОлегВещий</x:v>
      </x:c>
      <x:c r="S153" s="30"/>
      <x:c r="T153" s="30"/>
      <x:c r="U153" s="30" t="str">
        <x:v>Расхождений нет.</x:v>
      </x:c>
      <x:c r="V153" s="87" t="str">
        <x:v>VERIFIED</x:v>
      </x:c>
      <x:c r="W153" s="87" t="n">
        <x:v>7</x:v>
      </x:c>
      <x:c r="X153" s="87"/>
      <x:c r="Y153" s="87"/>
      <x:c r="Z153" s="87"/>
      <x:c r="AA153" s="87"/>
      <x:c r="AB153" s="87"/>
      <x:c r="AC153" s="87"/>
      <x:c r="AD153" s="87"/>
      <x:c r="AE153" s="87"/>
      <x:c r="AF153" s="87"/>
      <x:c r="AG153" s="87"/>
      <x:c r="AH153" s="87"/>
      <x:c r="AI153" s="30"/>
      <x:c r="AJ153" s="87" t="str">
        <x:v>master</x:v>
      </x:c>
      <x:c r="AK153" s="87" t="str">
        <x:v>master-v0.81</x:v>
      </x:c>
      <x:c r="AL153" s="87" t="str">
        <x:v>statgrad_master_base_v0_81_final(2).xlsx</x:v>
      </x:c>
      <x:c r="AM153" s="87" t="str">
        <x:v>HIST_Jan_V2</x:v>
      </x:c>
      <x:c r="AN153" s="87" t="n">
        <x:v>10</x:v>
      </x:c>
    </x:row>
    <x:row r="154">
      <x:c r="A154" s="87" t="n">
        <x:v>153</x:v>
      </x:c>
      <x:c r="B154" s="87" t="str">
        <x:v>JAN-HIS-V2-010</x:v>
      </x:c>
      <x:c r="C154" s="87" t="str">
        <x:v>СтатГрад</x:v>
      </x:c>
      <x:c r="D154" s="87" t="str">
        <x:v>Январь 2026</x:v>
      </x:c>
      <x:c r="E154" s="87"/>
      <x:c r="F154" s="87"/>
      <x:c r="G154" s="87" t="str">
        <x:v>История</x:v>
      </x:c>
      <x:c r="H154" s="87" t="n">
        <x:v>11</x:v>
      </x:c>
      <x:c r="I154" s="87" t="str">
        <x:v>ТР №3</x:v>
      </x:c>
      <x:c r="J154" s="87" t="str">
        <x:v>ИС2510302</x:v>
      </x:c>
      <x:c r="K154" s="87" t="n">
        <x:v>10</x:v>
      </x:c>
      <x:c r="L154" s="87" t="str">
        <x:v>Историческая карта</x:v>
      </x:c>
      <x:c r="M154" s="30" t="str">
        <x:v>Укажите государство, территория которого обозначена в легенде схемы цифрой 2.</x:v>
      </x:c>
      <x:c r="N154" s="30" t="str">
        <x:v>Хазарский каганат; Хазария</x:v>
      </x:c>
      <x:c r="O154" s="30" t="str">
        <x:v>Заштрихованная территория к востоку и юго-востоку от Руси соответствует владениям Хазарского каганата.</x:v>
      </x:c>
      <x:c r="P154" s="30" t="str">
        <x:v>Положение территории проверено по Каспию, Саркелу и нижнему Дону.</x:v>
      </x:c>
      <x:c r="Q154" s="30"/>
      <x:c r="R154" s="30" t="str">
        <x:v>Хазарскийкаганат; Хазария</x:v>
      </x:c>
      <x:c r="S154" s="30"/>
      <x:c r="T154" s="30"/>
      <x:c r="U154" s="30" t="str">
        <x:v>Расхождений нет.</x:v>
      </x:c>
      <x:c r="V154" s="87" t="str">
        <x:v>VERIFIED</x:v>
      </x:c>
      <x:c r="W154" s="87" t="n">
        <x:v>7</x:v>
      </x:c>
      <x:c r="X154" s="87"/>
      <x:c r="Y154" s="87"/>
      <x:c r="Z154" s="87"/>
      <x:c r="AA154" s="87"/>
      <x:c r="AB154" s="87"/>
      <x:c r="AC154" s="87"/>
      <x:c r="AD154" s="87"/>
      <x:c r="AE154" s="87"/>
      <x:c r="AF154" s="87"/>
      <x:c r="AG154" s="87"/>
      <x:c r="AH154" s="87"/>
      <x:c r="AI154" s="30"/>
      <x:c r="AJ154" s="87" t="str">
        <x:v>master</x:v>
      </x:c>
      <x:c r="AK154" s="87" t="str">
        <x:v>master-v0.81</x:v>
      </x:c>
      <x:c r="AL154" s="87" t="str">
        <x:v>statgrad_master_base_v0_81_final(2).xlsx</x:v>
      </x:c>
      <x:c r="AM154" s="87" t="str">
        <x:v>HIST_Jan_V2</x:v>
      </x:c>
      <x:c r="AN154" s="87" t="n">
        <x:v>11</x:v>
      </x:c>
    </x:row>
    <x:row r="155">
      <x:c r="A155" s="87" t="n">
        <x:v>154</x:v>
      </x:c>
      <x:c r="B155" s="87" t="str">
        <x:v>JAN-HIS-V2-011</x:v>
      </x:c>
      <x:c r="C155" s="87" t="str">
        <x:v>СтатГрад</x:v>
      </x:c>
      <x:c r="D155" s="87" t="str">
        <x:v>Январь 2026</x:v>
      </x:c>
      <x:c r="E155" s="87"/>
      <x:c r="F155" s="87"/>
      <x:c r="G155" s="87" t="str">
        <x:v>История</x:v>
      </x:c>
      <x:c r="H155" s="87" t="n">
        <x:v>11</x:v>
      </x:c>
      <x:c r="I155" s="87" t="str">
        <x:v>ТР №3</x:v>
      </x:c>
      <x:c r="J155" s="87" t="str">
        <x:v>ИС2510302</x:v>
      </x:c>
      <x:c r="K155" s="87" t="n">
        <x:v>11</x:v>
      </x:c>
      <x:c r="L155" s="87" t="str">
        <x:v>Историческая карта и текст</x:v>
      </x:c>
      <x:c r="M155" s="30" t="str">
        <x:v>Назовите город, захваченный Олегом после Смоленска, где он также оставил наместника.</x:v>
      </x:c>
      <x:c r="N155" s="30" t="str">
        <x:v>Любеч</x:v>
      </x:c>
      <x:c r="O155" s="30" t="str">
        <x:v>После Смоленска Олег захватил Любеч, поставил там своего наместника и открыл путь к Киеву.</x:v>
      </x:c>
      <x:c r="P155" s="30" t="str">
        <x:v>Ответ сверён с маршрутом на карте и летописным рассказом.</x:v>
      </x:c>
      <x:c r="Q155" s="30"/>
      <x:c r="R155" s="30" t="str">
        <x:v>Любеч</x:v>
      </x:c>
      <x:c r="S155" s="30"/>
      <x:c r="T155" s="30"/>
      <x:c r="U155" s="30" t="str">
        <x:v>Расхождений нет.</x:v>
      </x:c>
      <x:c r="V155" s="87" t="str">
        <x:v>VERIFIED</x:v>
      </x:c>
      <x:c r="W155" s="87" t="n">
        <x:v>8</x:v>
      </x:c>
      <x:c r="X155" s="87"/>
      <x:c r="Y155" s="87"/>
      <x:c r="Z155" s="87"/>
      <x:c r="AA155" s="87"/>
      <x:c r="AB155" s="87"/>
      <x:c r="AC155" s="87"/>
      <x:c r="AD155" s="87"/>
      <x:c r="AE155" s="87"/>
      <x:c r="AF155" s="87"/>
      <x:c r="AG155" s="87"/>
      <x:c r="AH155" s="87"/>
      <x:c r="AI155" s="30"/>
      <x:c r="AJ155" s="87" t="str">
        <x:v>master</x:v>
      </x:c>
      <x:c r="AK155" s="87" t="str">
        <x:v>master-v0.81</x:v>
      </x:c>
      <x:c r="AL155" s="87" t="str">
        <x:v>statgrad_master_base_v0_81_final(2).xlsx</x:v>
      </x:c>
      <x:c r="AM155" s="87" t="str">
        <x:v>HIST_Jan_V2</x:v>
      </x:c>
      <x:c r="AN155" s="87" t="n">
        <x:v>12</x:v>
      </x:c>
    </x:row>
    <x:row r="156">
      <x:c r="A156" s="87" t="n">
        <x:v>155</x:v>
      </x:c>
      <x:c r="B156" s="87" t="str">
        <x:v>JAN-HIS-V2-012</x:v>
      </x:c>
      <x:c r="C156" s="87" t="str">
        <x:v>СтатГрад</x:v>
      </x:c>
      <x:c r="D156" s="87" t="str">
        <x:v>Январь 2026</x:v>
      </x:c>
      <x:c r="E156" s="87"/>
      <x:c r="F156" s="87"/>
      <x:c r="G156" s="87" t="str">
        <x:v>История</x:v>
      </x:c>
      <x:c r="H156" s="87" t="n">
        <x:v>11</x:v>
      </x:c>
      <x:c r="I156" s="87" t="str">
        <x:v>ТР №3</x:v>
      </x:c>
      <x:c r="J156" s="87" t="str">
        <x:v>ИС2510302</x:v>
      </x:c>
      <x:c r="K156" s="87" t="n">
        <x:v>12</x:v>
      </x:c>
      <x:c r="L156" s="87" t="str">
        <x:v>Историческая карта: верные суждения</x:v>
      </x:c>
      <x:c r="M156" s="30" t="str">
        <x:v>Выберите верные суждения о территориях и объектах, обозначенных на схеме.</x:v>
      </x:c>
      <x:c r="N156" s="30" t="str">
        <x:v>3456</x:v>
      </x:c>
      <x:c r="O156" s="30" t="str">
        <x:v>Под цифрой 4 обозначена Ладога; у города 5 — Искоростеня — погиб князь Игорь; город 6, Тмутаракань, был столицей владений Мстислава; город 7 — Херсонес, где по летописной легенде крестился Владимир.</x:v>
      </x:c>
      <x:c r="P156" s="30" t="str">
        <x:v>Пункты 1 и 2 исключены по положению территории и озера.</x:v>
      </x:c>
      <x:c r="Q156" s="30"/>
      <x:c r="R156" s="30" t="str">
        <x:v>3456</x:v>
      </x:c>
      <x:c r="S156" s="30"/>
      <x:c r="T156" s="30"/>
      <x:c r="U156" s="30" t="str">
        <x:v>Расхождений нет.</x:v>
      </x:c>
      <x:c r="V156" s="87" t="str">
        <x:v>VERIFIED</x:v>
      </x:c>
      <x:c r="W156" s="87" t="n">
        <x:v>8</x:v>
      </x:c>
      <x:c r="X156" s="87"/>
      <x:c r="Y156" s="87"/>
      <x:c r="Z156" s="87"/>
      <x:c r="AA156" s="87"/>
      <x:c r="AB156" s="87"/>
      <x:c r="AC156" s="87"/>
      <x:c r="AD156" s="87"/>
      <x:c r="AE156" s="87"/>
      <x:c r="AF156" s="87"/>
      <x:c r="AG156" s="87"/>
      <x:c r="AH156" s="87"/>
      <x:c r="AI156" s="30"/>
      <x:c r="AJ156" s="87" t="str">
        <x:v>master</x:v>
      </x:c>
      <x:c r="AK156" s="87" t="str">
        <x:v>master-v0.81</x:v>
      </x:c>
      <x:c r="AL156" s="87" t="str">
        <x:v>statgrad_master_base_v0_81_final(2).xlsx</x:v>
      </x:c>
      <x:c r="AM156" s="87" t="str">
        <x:v>HIST_Jan_V2</x:v>
      </x:c>
      <x:c r="AN156" s="87" t="n">
        <x:v>13</x:v>
      </x:c>
    </x:row>
    <x:row r="157">
      <x:c r="A157" s="87" t="n">
        <x:v>156</x:v>
      </x:c>
      <x:c r="B157" s="87" t="str">
        <x:v>JAN-HIS-V2-013</x:v>
      </x:c>
      <x:c r="C157" s="87" t="str">
        <x:v>СтатГрад</x:v>
      </x:c>
      <x:c r="D157" s="87" t="str">
        <x:v>Январь 2026</x:v>
      </x:c>
      <x:c r="E157" s="87"/>
      <x:c r="F157" s="87"/>
      <x:c r="G157" s="87" t="str">
        <x:v>История</x:v>
      </x:c>
      <x:c r="H157" s="87" t="n">
        <x:v>11</x:v>
      </x:c>
      <x:c r="I157" s="87" t="str">
        <x:v>ТР №3</x:v>
      </x:c>
      <x:c r="J157" s="87" t="str">
        <x:v>ИС2510302</x:v>
      </x:c>
      <x:c r="K157" s="87" t="n">
        <x:v>13</x:v>
      </x:c>
      <x:c r="L157" s="87" t="str">
        <x:v>Развёрнутый ответ: источник</x:v>
      </x:c>
      <x:c r="M157" s="30" t="str">
        <x:v>Укажите десятилетие описываемой общественной ситуации, государя и войну, завершённую упомянутым мирным договором.</x:v>
      </x:c>
      <x:c r="N157" s="30" t="str">
        <x:v>1850-е гг.; Александр II; Крымская (Восточная) война</x:v>
      </x:c>
      <x:c r="O157" s="30" t="str">
        <x:v>Парижский мир завершил Крымскую войну в 1856 г.; в этот период правил Александр II, а описанная ситуация относится к 1850-м гг.</x:v>
      </x:c>
      <x:c r="P157" s="30" t="str">
        <x:v>Все три элемента сверены с критерием и контекстом источника.</x:v>
      </x:c>
      <x:c r="Q157" s="30"/>
      <x:c r="R157" s="30" t="str">
        <x:v>Критерии, стр. 1–2</x:v>
      </x:c>
      <x:c r="S157" s="30"/>
      <x:c r="T157" s="30"/>
      <x:c r="U157" s="30" t="str">
        <x:v>Критерий перенесён отдельно без изменения.</x:v>
      </x:c>
      <x:c r="V157" s="87" t="str">
        <x:v>VERIFIED</x:v>
      </x:c>
      <x:c r="W157" s="87" t="n">
        <x:v>10</x:v>
      </x:c>
      <x:c r="X157" s="87"/>
      <x:c r="Y157" s="87"/>
      <x:c r="Z157" s="87"/>
      <x:c r="AA157" s="87"/>
      <x:c r="AB157" s="87"/>
      <x:c r="AC157" s="87"/>
      <x:c r="AD157" s="87"/>
      <x:c r="AE157" s="87"/>
      <x:c r="AF157" s="87"/>
      <x:c r="AG157" s="87"/>
      <x:c r="AH157" s="87"/>
      <x:c r="AI157" s="30"/>
      <x:c r="AJ157" s="87" t="str">
        <x:v>master</x:v>
      </x:c>
      <x:c r="AK157" s="87" t="str">
        <x:v>master-v0.81</x:v>
      </x:c>
      <x:c r="AL157" s="87" t="str">
        <x:v>statgrad_master_base_v0_81_final(2).xlsx</x:v>
      </x:c>
      <x:c r="AM157" s="87" t="str">
        <x:v>HIST_Jan_V2</x:v>
      </x:c>
      <x:c r="AN157" s="87" t="n">
        <x:v>14</x:v>
      </x:c>
    </x:row>
    <x:row r="158">
      <x:c r="A158" s="87" t="n">
        <x:v>157</x:v>
      </x:c>
      <x:c r="B158" s="87" t="str">
        <x:v>JAN-HIS-V2-014</x:v>
      </x:c>
      <x:c r="C158" s="87" t="str">
        <x:v>СтатГрад</x:v>
      </x:c>
      <x:c r="D158" s="87" t="str">
        <x:v>Январь 2026</x:v>
      </x:c>
      <x:c r="E158" s="87"/>
      <x:c r="F158" s="87"/>
      <x:c r="G158" s="87" t="str">
        <x:v>История</x:v>
      </x:c>
      <x:c r="H158" s="87" t="n">
        <x:v>11</x:v>
      </x:c>
      <x:c r="I158" s="87" t="str">
        <x:v>ТР №3</x:v>
      </x:c>
      <x:c r="J158" s="87" t="str">
        <x:v>ИС2510302</x:v>
      </x:c>
      <x:c r="K158" s="87" t="n">
        <x:v>14</x:v>
      </x:c>
      <x:c r="L158" s="87" t="str">
        <x:v>Развёрнутый ответ: анализ источника</x:v>
      </x:c>
      <x:c r="M158" s="30" t="str">
        <x:v>Почему петербургская печать названа передовым боевым полком; какой журнал лидировал; как изменилась роль писателя?</x:v>
      </x:c>
      <x:c r="N158" s="30" t="str">
        <x:v>Петербургская печать руководила общественным мнением, ставила опережающие правительство вопросы и расчищала им путь; лидировал журнал «Современник»; писатель стал наставником и учителем общественного строительства.</x:v>
      </x:c>
      <x:c r="O158" s="30" t="str">
        <x:v>Все три положения прямо извлечены из источника без лишнего цитирования.</x:v>
      </x:c>
      <x:c r="P158" s="30" t="str">
        <x:v>Ответ сверён по трём смысловым элементам критерия.</x:v>
      </x:c>
      <x:c r="Q158" s="30"/>
      <x:c r="R158" s="30" t="str">
        <x:v>Критерии, стр. 2</x:v>
      </x:c>
      <x:c r="S158" s="30"/>
      <x:c r="T158" s="30"/>
      <x:c r="U158" s="30" t="str">
        <x:v>Критерий перенесён отдельно без изменения.</x:v>
      </x:c>
      <x:c r="V158" s="87" t="str">
        <x:v>VERIFIED</x:v>
      </x:c>
      <x:c r="W158" s="87" t="n">
        <x:v>10</x:v>
      </x:c>
      <x:c r="X158" s="87"/>
      <x:c r="Y158" s="87"/>
      <x:c r="Z158" s="87"/>
      <x:c r="AA158" s="87"/>
      <x:c r="AB158" s="87"/>
      <x:c r="AC158" s="87"/>
      <x:c r="AD158" s="87"/>
      <x:c r="AE158" s="87"/>
      <x:c r="AF158" s="87"/>
      <x:c r="AG158" s="87"/>
      <x:c r="AH158" s="87"/>
      <x:c r="AI158" s="30"/>
      <x:c r="AJ158" s="87" t="str">
        <x:v>master</x:v>
      </x:c>
      <x:c r="AK158" s="87" t="str">
        <x:v>master-v0.81</x:v>
      </x:c>
      <x:c r="AL158" s="87" t="str">
        <x:v>statgrad_master_base_v0_81_final(2).xlsx</x:v>
      </x:c>
      <x:c r="AM158" s="87" t="str">
        <x:v>HIST_Jan_V2</x:v>
      </x:c>
      <x:c r="AN158" s="87" t="n">
        <x:v>15</x:v>
      </x:c>
    </x:row>
    <x:row r="159">
      <x:c r="A159" s="87" t="n">
        <x:v>158</x:v>
      </x:c>
      <x:c r="B159" s="87" t="str">
        <x:v>JAN-HIS-V2-015</x:v>
      </x:c>
      <x:c r="C159" s="87" t="str">
        <x:v>СтатГрад</x:v>
      </x:c>
      <x:c r="D159" s="87" t="str">
        <x:v>Январь 2026</x:v>
      </x:c>
      <x:c r="E159" s="87"/>
      <x:c r="F159" s="87"/>
      <x:c r="G159" s="87" t="str">
        <x:v>История</x:v>
      </x:c>
      <x:c r="H159" s="87" t="n">
        <x:v>11</x:v>
      </x:c>
      <x:c r="I159" s="87" t="str">
        <x:v>ТР №3</x:v>
      </x:c>
      <x:c r="J159" s="87" t="str">
        <x:v>ИС2510302</x:v>
      </x:c>
      <x:c r="K159" s="87" t="n">
        <x:v>15</x:v>
      </x:c>
      <x:c r="L159" s="87" t="str">
        <x:v>Развёрнутый ответ: изображение</x:v>
      </x:c>
      <x:c r="M159" s="30" t="str">
        <x:v>Назовите руководителя СССР в год основания города, 50-летию которого посвящена марка, и обоснуйте ответ.</x:v>
      </x:c>
      <x:c r="N159" s="30" t="str">
        <x:v>И. В. Сталин. Марка выпущена в 1982 г. к 50-летию города: 1982−50=1932; в 1932 г. СССР возглавлял Сталин.</x:v>
      </x:c>
      <x:c r="O159" s="30" t="str">
        <x:v>Год основания вычислен по надписи на марке и сопоставлен с руководством СССР.</x:v>
      </x:c>
      <x:c r="P159" s="30" t="str">
        <x:v>Проверены арифметика и историческая хронология.</x:v>
      </x:c>
      <x:c r="Q159" s="30"/>
      <x:c r="R159" s="30" t="str">
        <x:v>Критерии, стр. 3</x:v>
      </x:c>
      <x:c r="S159" s="30"/>
      <x:c r="T159" s="30"/>
      <x:c r="U159" s="30" t="str">
        <x:v>Критерий перенесён отдельно без изменения.</x:v>
      </x:c>
      <x:c r="V159" s="87" t="str">
        <x:v>VERIFIED</x:v>
      </x:c>
      <x:c r="W159" s="87" t="n">
        <x:v>10</x:v>
      </x:c>
      <x:c r="X159" s="87"/>
      <x:c r="Y159" s="87"/>
      <x:c r="Z159" s="87"/>
      <x:c r="AA159" s="87"/>
      <x:c r="AB159" s="87"/>
      <x:c r="AC159" s="87"/>
      <x:c r="AD159" s="87"/>
      <x:c r="AE159" s="87"/>
      <x:c r="AF159" s="87"/>
      <x:c r="AG159" s="87"/>
      <x:c r="AH159" s="87"/>
      <x:c r="AI159" s="30"/>
      <x:c r="AJ159" s="87" t="str">
        <x:v>master</x:v>
      </x:c>
      <x:c r="AK159" s="87" t="str">
        <x:v>master-v0.81</x:v>
      </x:c>
      <x:c r="AL159" s="87" t="str">
        <x:v>statgrad_master_base_v0_81_final(2).xlsx</x:v>
      </x:c>
      <x:c r="AM159" s="87" t="str">
        <x:v>HIST_Jan_V2</x:v>
      </x:c>
      <x:c r="AN159" s="87" t="n">
        <x:v>16</x:v>
      </x:c>
    </x:row>
    <x:row r="160">
      <x:c r="A160" s="87" t="n">
        <x:v>159</x:v>
      </x:c>
      <x:c r="B160" s="87" t="str">
        <x:v>JAN-HIS-V2-016</x:v>
      </x:c>
      <x:c r="C160" s="87" t="str">
        <x:v>СтатГрад</x:v>
      </x:c>
      <x:c r="D160" s="87" t="str">
        <x:v>Январь 2026</x:v>
      </x:c>
      <x:c r="E160" s="87"/>
      <x:c r="F160" s="87"/>
      <x:c r="G160" s="87" t="str">
        <x:v>История</x:v>
      </x:c>
      <x:c r="H160" s="87" t="n">
        <x:v>11</x:v>
      </x:c>
      <x:c r="I160" s="87" t="str">
        <x:v>ТР №3</x:v>
      </x:c>
      <x:c r="J160" s="87" t="str">
        <x:v>ИС2510302</x:v>
      </x:c>
      <x:c r="K160" s="87" t="n">
        <x:v>16</x:v>
      </x:c>
      <x:c r="L160" s="87" t="str">
        <x:v>Развёрнутый ответ: культура</x:v>
      </x:c>
      <x:c r="M160" s="30" t="str">
        <x:v>Выберите фильм, вышедший в том же десятилетии, что и марка 1982 г., и назовите режиссёра.</x:v>
      </x:c>
      <x:c r="N160" s="30" t="str">
        <x:v>3; Г. Н. Данелия</x:v>
      </x:c>
      <x:c r="O160" s="30" t="str">
        <x:v>Фильм «Кин-дза-дза!» вышел в 1986 г., то есть в 1980-е гг.; его режиссёр — Георгий Данелия.</x:v>
      </x:c>
      <x:c r="P160" s="30" t="str">
        <x:v>Даты выхода всех четырёх фильмов сопоставлены с десятилетием.</x:v>
      </x:c>
      <x:c r="Q160" s="30"/>
      <x:c r="R160" s="30" t="str">
        <x:v>Критерии, стр. 4–5</x:v>
      </x:c>
      <x:c r="S160" s="30"/>
      <x:c r="T160" s="30"/>
      <x:c r="U160" s="30" t="str">
        <x:v>Критерий перенесён отдельно без изменения.</x:v>
      </x:c>
      <x:c r="V160" s="87" t="str">
        <x:v>VERIFIED</x:v>
      </x:c>
      <x:c r="W160" s="87" t="n">
        <x:v>11</x:v>
      </x:c>
      <x:c r="X160" s="87"/>
      <x:c r="Y160" s="87"/>
      <x:c r="Z160" s="87"/>
      <x:c r="AA160" s="87"/>
      <x:c r="AB160" s="87"/>
      <x:c r="AC160" s="87"/>
      <x:c r="AD160" s="87"/>
      <x:c r="AE160" s="87"/>
      <x:c r="AF160" s="87"/>
      <x:c r="AG160" s="87"/>
      <x:c r="AH160" s="87"/>
      <x:c r="AI160" s="30"/>
      <x:c r="AJ160" s="87" t="str">
        <x:v>master</x:v>
      </x:c>
      <x:c r="AK160" s="87" t="str">
        <x:v>master-v0.81</x:v>
      </x:c>
      <x:c r="AL160" s="87" t="str">
        <x:v>statgrad_master_base_v0_81_final(2).xlsx</x:v>
      </x:c>
      <x:c r="AM160" s="87" t="str">
        <x:v>HIST_Jan_V2</x:v>
      </x:c>
      <x:c r="AN160" s="87" t="n">
        <x:v>17</x:v>
      </x:c>
    </x:row>
    <x:row r="161">
      <x:c r="A161" s="87" t="n">
        <x:v>160</x:v>
      </x:c>
      <x:c r="B161" s="87" t="str">
        <x:v>JAN-HIS-V2-017</x:v>
      </x:c>
      <x:c r="C161" s="87" t="str">
        <x:v>СтатГрад</x:v>
      </x:c>
      <x:c r="D161" s="87" t="str">
        <x:v>Январь 2026</x:v>
      </x:c>
      <x:c r="E161" s="87"/>
      <x:c r="F161" s="87"/>
      <x:c r="G161" s="87" t="str">
        <x:v>История</x:v>
      </x:c>
      <x:c r="H161" s="87" t="n">
        <x:v>11</x:v>
      </x:c>
      <x:c r="I161" s="87" t="str">
        <x:v>ТР №3</x:v>
      </x:c>
      <x:c r="J161" s="87" t="str">
        <x:v>ИС2510302</x:v>
      </x:c>
      <x:c r="K161" s="87" t="n">
        <x:v>17</x:v>
      </x:c>
      <x:c r="L161" s="87" t="str">
        <x:v>Развёрнутый ответ: два источника</x:v>
      </x:c>
      <x:c r="M161" s="30" t="str">
        <x:v>Назовите операцию, командующего участвовавшим фронтом и меру сохранения секретности.</x:v>
      </x:c>
      <x:c r="N161" s="30" t="str">
        <x:v>Операция «Багратион»; К. К. Рокоссовский; запрещалась служебная переписка, почти полностью прекращались командировки офицеров и генералов в Москву.</x:v>
      </x:c>
      <x:c r="O161" s="30" t="str">
        <x:v>Описание Белорусской операции летом 1944 г. однозначно указывает на «Багратион»; Рокоссовский командовал 1-м Белорусским фронтом.</x:v>
      </x:c>
      <x:c r="P161" s="30" t="str">
        <x:v>Название, командующий и конкретная мера сверены с критерием.</x:v>
      </x:c>
      <x:c r="Q161" s="30"/>
      <x:c r="R161" s="30" t="str">
        <x:v>Критерии, стр. 5–6</x:v>
      </x:c>
      <x:c r="S161" s="30"/>
      <x:c r="T161" s="30"/>
      <x:c r="U161" s="30" t="str">
        <x:v>Допустимы и другие названные в критерии командующие.</x:v>
      </x:c>
      <x:c r="V161" s="87" t="str">
        <x:v>VERIFIED</x:v>
      </x:c>
      <x:c r="W161" s="87" t="n">
        <x:v>12</x:v>
      </x:c>
      <x:c r="X161" s="87"/>
      <x:c r="Y161" s="87"/>
      <x:c r="Z161" s="87"/>
      <x:c r="AA161" s="87"/>
      <x:c r="AB161" s="87"/>
      <x:c r="AC161" s="87"/>
      <x:c r="AD161" s="87"/>
      <x:c r="AE161" s="87"/>
      <x:c r="AF161" s="87"/>
      <x:c r="AG161" s="87"/>
      <x:c r="AH161" s="87"/>
      <x:c r="AI161" s="30"/>
      <x:c r="AJ161" s="87" t="str">
        <x:v>master</x:v>
      </x:c>
      <x:c r="AK161" s="87" t="str">
        <x:v>master-v0.81</x:v>
      </x:c>
      <x:c r="AL161" s="87" t="str">
        <x:v>statgrad_master_base_v0_81_final(2).xlsx</x:v>
      </x:c>
      <x:c r="AM161" s="87" t="str">
        <x:v>HIST_Jan_V2</x:v>
      </x:c>
      <x:c r="AN161" s="87" t="n">
        <x:v>18</x:v>
      </x:c>
    </x:row>
    <x:row r="162">
      <x:c r="A162" s="87" t="n">
        <x:v>161</x:v>
      </x:c>
      <x:c r="B162" s="87" t="str">
        <x:v>JAN-HIS-V2-018</x:v>
      </x:c>
      <x:c r="C162" s="87" t="str">
        <x:v>СтатГрад</x:v>
      </x:c>
      <x:c r="D162" s="87" t="str">
        <x:v>Январь 2026</x:v>
      </x:c>
      <x:c r="E162" s="87"/>
      <x:c r="F162" s="87"/>
      <x:c r="G162" s="87" t="str">
        <x:v>История</x:v>
      </x:c>
      <x:c r="H162" s="87" t="n">
        <x:v>11</x:v>
      </x:c>
      <x:c r="I162" s="87" t="str">
        <x:v>ТР №3</x:v>
      </x:c>
      <x:c r="J162" s="87" t="str">
        <x:v>ИС2510302</x:v>
      </x:c>
      <x:c r="K162" s="87" t="n">
        <x:v>18</x:v>
      </x:c>
      <x:c r="L162" s="87" t="str">
        <x:v>Развёрнутый ответ: причинно-следственные связи</x:v>
      </x:c>
      <x:c r="M162" s="30" t="str">
        <x:v>Укажите династическую причину противоречий перед Смоленской войной, оборонную причину начала войны и последствие войны для военных преобразований.</x:v>
      </x:c>
      <x:c r="N162" s="30" t="str">
        <x:v>а) Владислав сохранял притязания на русский престол и не признавал воцарение Романовых; б) после Смуты Смоленск оставался у Речи Посполитой и открывал путь для новых вторжений; в) подготовка выявила слабость войска, поэтому создали полки нового строя и использовали опыт иностранных специалистов.</x:v>
      </x:c>
      <x:c r="O162" s="30" t="str">
        <x:v>Каждый элемент отвечает требуемому виду: причина, причина и последствие.</x:v>
      </x:c>
      <x:c r="P162" s="30" t="str">
        <x:v>Ответ сверён с критерием задания.</x:v>
      </x:c>
      <x:c r="Q162" s="30"/>
      <x:c r="R162" s="30" t="str">
        <x:v>Критерии, стр. 7</x:v>
      </x:c>
      <x:c r="S162" s="30"/>
      <x:c r="T162" s="30"/>
      <x:c r="U162" s="30" t="str">
        <x:v>Критерий перенесён отдельно без изменения.</x:v>
      </x:c>
      <x:c r="V162" s="87" t="str">
        <x:v>VERIFIED</x:v>
      </x:c>
      <x:c r="W162" s="87" t="n">
        <x:v>13</x:v>
      </x:c>
      <x:c r="X162" s="87"/>
      <x:c r="Y162" s="87"/>
      <x:c r="Z162" s="87"/>
      <x:c r="AA162" s="87"/>
      <x:c r="AB162" s="87"/>
      <x:c r="AC162" s="87"/>
      <x:c r="AD162" s="87"/>
      <x:c r="AE162" s="87"/>
      <x:c r="AF162" s="87"/>
      <x:c r="AG162" s="87"/>
      <x:c r="AH162" s="87"/>
      <x:c r="AI162" s="30"/>
      <x:c r="AJ162" s="87" t="str">
        <x:v>master</x:v>
      </x:c>
      <x:c r="AK162" s="87" t="str">
        <x:v>master-v0.81</x:v>
      </x:c>
      <x:c r="AL162" s="87" t="str">
        <x:v>statgrad_master_base_v0_81_final(2).xlsx</x:v>
      </x:c>
      <x:c r="AM162" s="87" t="str">
        <x:v>HIST_Jan_V2</x:v>
      </x:c>
      <x:c r="AN162" s="87" t="n">
        <x:v>19</x:v>
      </x:c>
    </x:row>
    <x:row r="163">
      <x:c r="A163" s="87" t="n">
        <x:v>162</x:v>
      </x:c>
      <x:c r="B163" s="87" t="str">
        <x:v>JAN-HIS-V2-019</x:v>
      </x:c>
      <x:c r="C163" s="87" t="str">
        <x:v>СтатГрад</x:v>
      </x:c>
      <x:c r="D163" s="87" t="str">
        <x:v>Январь 2026</x:v>
      </x:c>
      <x:c r="E163" s="87"/>
      <x:c r="F163" s="87"/>
      <x:c r="G163" s="87" t="str">
        <x:v>История</x:v>
      </x:c>
      <x:c r="H163" s="87" t="n">
        <x:v>11</x:v>
      </x:c>
      <x:c r="I163" s="87" t="str">
        <x:v>ТР №3</x:v>
      </x:c>
      <x:c r="J163" s="87" t="str">
        <x:v>ИС2510302</x:v>
      </x:c>
      <x:c r="K163" s="87" t="n">
        <x:v>19</x:v>
      </x:c>
      <x:c r="L163" s="87" t="str">
        <x:v>Развёрнутый ответ: понятие</x:v>
      </x:c>
      <x:c r="M163" s="30" t="str">
        <x:v>Раскройте смысл понятия «берестяные грамоты» и приведите один исторический факт.</x:v>
      </x:c>
      <x:c r="N163" s="30" t="str">
        <x:v>Берестяные грамоты — памятники письменности Древней Руси: записи и рисунки на бересте, выполненные железным стилусом. Большинство найденных грамот обнаружено при раскопках в Великом Новгороде.</x:v>
      </x:c>
      <x:c r="O163" s="30" t="str">
        <x:v>Определение содержит родовую принадлежность и существенные признаки; факт не повторяет определение.</x:v>
      </x:c>
      <x:c r="P163" s="30" t="str">
        <x:v>Ответ проверен по критерию понятия и факта.</x:v>
      </x:c>
      <x:c r="Q163" s="30"/>
      <x:c r="R163" s="30" t="str">
        <x:v>Критерии, стр. 8</x:v>
      </x:c>
      <x:c r="S163" s="30"/>
      <x:c r="T163" s="30"/>
      <x:c r="U163" s="30" t="str">
        <x:v>Критерий перенесён отдельно без изменения.</x:v>
      </x:c>
      <x:c r="V163" s="87" t="str">
        <x:v>VERIFIED</x:v>
      </x:c>
      <x:c r="W163" s="87" t="n">
        <x:v>13</x:v>
      </x:c>
      <x:c r="X163" s="87"/>
      <x:c r="Y163" s="87"/>
      <x:c r="Z163" s="87"/>
      <x:c r="AA163" s="87"/>
      <x:c r="AB163" s="87"/>
      <x:c r="AC163" s="87"/>
      <x:c r="AD163" s="87"/>
      <x:c r="AE163" s="87"/>
      <x:c r="AF163" s="87"/>
      <x:c r="AG163" s="87"/>
      <x:c r="AH163" s="87"/>
      <x:c r="AI163" s="30"/>
      <x:c r="AJ163" s="87" t="str">
        <x:v>master</x:v>
      </x:c>
      <x:c r="AK163" s="87" t="str">
        <x:v>master-v0.81</x:v>
      </x:c>
      <x:c r="AL163" s="87" t="str">
        <x:v>statgrad_master_base_v0_81_final(2).xlsx</x:v>
      </x:c>
      <x:c r="AM163" s="87" t="str">
        <x:v>HIST_Jan_V2</x:v>
      </x:c>
      <x:c r="AN163" s="87" t="n">
        <x:v>20</x:v>
      </x:c>
    </x:row>
    <x:row r="164">
      <x:c r="A164" s="87" t="n">
        <x:v>163</x:v>
      </x:c>
      <x:c r="B164" s="87" t="str">
        <x:v>JAN-HIS-V2-020</x:v>
      </x:c>
      <x:c r="C164" s="87" t="str">
        <x:v>СтатГрад</x:v>
      </x:c>
      <x:c r="D164" s="87" t="str">
        <x:v>Январь 2026</x:v>
      </x:c>
      <x:c r="E164" s="87"/>
      <x:c r="F164" s="87"/>
      <x:c r="G164" s="87" t="str">
        <x:v>История</x:v>
      </x:c>
      <x:c r="H164" s="87" t="n">
        <x:v>11</x:v>
      </x:c>
      <x:c r="I164" s="87" t="str">
        <x:v>ТР №3</x:v>
      </x:c>
      <x:c r="J164" s="87" t="str">
        <x:v>ИС2510302</x:v>
      </x:c>
      <x:c r="K164" s="87" t="n">
        <x:v>20</x:v>
      </x:c>
      <x:c r="L164" s="87" t="str">
        <x:v>Развёрнутый ответ: сравнение</x:v>
      </x:c>
      <x:c r="M164" s="30" t="str">
        <x:v>Сформулируйте различие в положении городских сословий в первой половине XIX в. и в конце XIX — начале XX вв.; приведите два обоснования.</x:v>
      </x:c>
      <x:c r="N164" s="30" t="str">
        <x:v>Тезис: к началу XX в. права городских сословий значительно расширились. 1) В первой половине XIX в. мещане и купцы 3-й гильдии подвергались телесным наказаниям, а в 1850-х гг. они были отменены. 2) Ранее городское самоуправление зависело от местных властей, а после реформ 1870 и 1892 гг. городские думы и управы получили заметную самостоятельность.</x:v>
      </x:c>
      <x:c r="O164" s="30" t="str">
        <x:v>Каждое обоснование содержит по одному сопоставимому факту для обоих периодов.</x:v>
      </x:c>
      <x:c r="P164" s="30" t="str">
        <x:v>Тезис и два обоснования сверены с критерием.</x:v>
      </x:c>
      <x:c r="Q164" s="30"/>
      <x:c r="R164" s="30" t="str">
        <x:v>Критерии, стр. 9–10</x:v>
      </x:c>
      <x:c r="S164" s="30"/>
      <x:c r="T164" s="30"/>
      <x:c r="U164" s="30" t="str">
        <x:v>Критерий перенесён отдельно без изменения.</x:v>
      </x:c>
      <x:c r="V164" s="87" t="str">
        <x:v>VERIFIED</x:v>
      </x:c>
      <x:c r="W164" s="87" t="n">
        <x:v>13</x:v>
      </x:c>
      <x:c r="X164" s="87"/>
      <x:c r="Y164" s="87"/>
      <x:c r="Z164" s="87"/>
      <x:c r="AA164" s="87"/>
      <x:c r="AB164" s="87"/>
      <x:c r="AC164" s="87"/>
      <x:c r="AD164" s="87"/>
      <x:c r="AE164" s="87"/>
      <x:c r="AF164" s="87"/>
      <x:c r="AG164" s="87"/>
      <x:c r="AH164" s="87"/>
      <x:c r="AI164" s="30"/>
      <x:c r="AJ164" s="87" t="str">
        <x:v>master</x:v>
      </x:c>
      <x:c r="AK164" s="87" t="str">
        <x:v>master-v0.81</x:v>
      </x:c>
      <x:c r="AL164" s="87" t="str">
        <x:v>statgrad_master_base_v0_81_final(2).xlsx</x:v>
      </x:c>
      <x:c r="AM164" s="87" t="str">
        <x:v>HIST_Jan_V2</x:v>
      </x:c>
      <x:c r="AN164" s="87" t="n">
        <x:v>21</x:v>
      </x:c>
    </x:row>
    <x:row r="165">
      <x:c r="A165" s="87" t="n">
        <x:v>164</x:v>
      </x:c>
      <x:c r="B165" s="87" t="str">
        <x:v>JAN-HIS-V2-021</x:v>
      </x:c>
      <x:c r="C165" s="87" t="str">
        <x:v>СтатГрад</x:v>
      </x:c>
      <x:c r="D165" s="87" t="str">
        <x:v>Январь 2026</x:v>
      </x:c>
      <x:c r="E165" s="87"/>
      <x:c r="F165" s="87"/>
      <x:c r="G165" s="87" t="str">
        <x:v>История</x:v>
      </x:c>
      <x:c r="H165" s="87" t="n">
        <x:v>11</x:v>
      </x:c>
      <x:c r="I165" s="87" t="str">
        <x:v>ТР №3</x:v>
      </x:c>
      <x:c r="J165" s="87" t="str">
        <x:v>ИС2510302</x:v>
      </x:c>
      <x:c r="K165" s="87" t="n">
        <x:v>21</x:v>
      </x:c>
      <x:c r="L165" s="87" t="str">
        <x:v>Развёрнутый ответ: историческая аргументация</x:v>
      </x:c>
      <x:c r="M165" s="30" t="str">
        <x:v>Докажите, что принятие христианства способствовало развитию правовой системы на Руси и во Франкском королевстве.</x:v>
      </x:c>
      <x:c r="N165" s="30" t="str">
        <x:v>Русь: с крещением распространилась письменность, что способствовало появлению письменного свода законов — «Русской Правды». Франкское королевство: при крестившемся Хлодвиге была создана и записана на латыни «Салическая правда», распространившаяся благодаря единому языку западной церкви.</x:v>
      </x:c>
      <x:c r="O165" s="30" t="str">
        <x:v>Оба аргумента связывают принятие христианства с конкретным развитием письменного права.</x:v>
      </x:c>
      <x:c r="P165" s="30" t="str">
        <x:v>Факты соответствуют требуемым государствам и эпохам.</x:v>
      </x:c>
      <x:c r="Q165" s="30"/>
      <x:c r="R165" s="30" t="str">
        <x:v>Критерии, стр. 10–11</x:v>
      </x:c>
      <x:c r="S165" s="30"/>
      <x:c r="T165" s="30"/>
      <x:c r="U165" s="30" t="str">
        <x:v>Критерий перенесён отдельно без изменения.</x:v>
      </x:c>
      <x:c r="V165" s="87" t="str">
        <x:v>VERIFIED</x:v>
      </x:c>
      <x:c r="W165" s="87" t="n">
        <x:v>13</x:v>
      </x:c>
      <x:c r="X165" s="87"/>
      <x:c r="Y165" s="87"/>
      <x:c r="Z165" s="87"/>
      <x:c r="AA165" s="87"/>
      <x:c r="AB165" s="87"/>
      <x:c r="AC165" s="87"/>
      <x:c r="AD165" s="87"/>
      <x:c r="AE165" s="87"/>
      <x:c r="AF165" s="87"/>
      <x:c r="AG165" s="87"/>
      <x:c r="AH165" s="87"/>
      <x:c r="AI165" s="30"/>
      <x:c r="AJ165" s="87" t="str">
        <x:v>master</x:v>
      </x:c>
      <x:c r="AK165" s="87" t="str">
        <x:v>master-v0.81</x:v>
      </x:c>
      <x:c r="AL165" s="87" t="str">
        <x:v>statgrad_master_base_v0_81_final(2).xlsx</x:v>
      </x:c>
      <x:c r="AM165" s="87" t="str">
        <x:v>HIST_Jan_V2</x:v>
      </x:c>
      <x:c r="AN165" s="87" t="n">
        <x:v>22</x:v>
      </x:c>
    </x:row>
    <x:row r="166">
      <x:c r="A166" s="87" t="n">
        <x:v>165</x:v>
      </x:c>
      <x:c r="B166" s="87" t="str">
        <x:v>JAN-PHY-V1-001</x:v>
      </x:c>
      <x:c r="C166" s="87" t="str">
        <x:v>СтатГрад</x:v>
      </x:c>
      <x:c r="D166" s="87" t="str">
        <x:v>Январь 2026</x:v>
      </x:c>
      <x:c r="E166" s="87"/>
      <x:c r="F166" s="87"/>
      <x:c r="G166" s="87" t="str">
        <x:v>Физика</x:v>
      </x:c>
      <x:c r="H166" s="87" t="n">
        <x:v>11</x:v>
      </x:c>
      <x:c r="I166" s="87" t="str">
        <x:v>ТР №3</x:v>
      </x:c>
      <x:c r="J166" s="87" t="str">
        <x:v>ФИ2510301</x:v>
      </x:c>
      <x:c r="K166" s="87" t="n">
        <x:v>1</x:v>
      </x:c>
      <x:c r="L166" s="87" t="str">
        <x:v>Кинематика: график скорости</x:v>
      </x:c>
      <x:c r="M166" s="30" t="str">
        <x:v>По графику vx(t) найдите путь мотоцикла за 0–15 с.</x:v>
      </x:c>
      <x:c r="N166" s="30" t="str">
        <x:v>125 м</x:v>
      </x:c>
      <x:c r="O166" s="30" t="str">
        <x:v>Путь равен площади под графиком модуля скорости. За 0–10 с получается треугольник площадью 100 м, а за 10–15 с — ещё 25 м.</x:v>
      </x:c>
      <x:c r="P166" s="30" t="str">
        <x:v>Площадь рассчитана отдельно на участках до и после смены знака скорости.</x:v>
      </x:c>
      <x:c r="Q166" s="30"/>
      <x:c r="R166" s="30" t="str">
        <x:v>125</x:v>
      </x:c>
      <x:c r="S166" s="30"/>
      <x:c r="T166" s="30"/>
      <x:c r="U166" s="30" t="str">
        <x:v>Расхождений нет.</x:v>
      </x:c>
      <x:c r="V166" s="87" t="str">
        <x:v>VERIFIED</x:v>
      </x:c>
      <x:c r="W166" s="87" t="n">
        <x:v>4</x:v>
      </x:c>
      <x:c r="X166" s="87"/>
      <x:c r="Y166" s="87"/>
      <x:c r="Z166" s="87"/>
      <x:c r="AA166" s="87"/>
      <x:c r="AB166" s="87"/>
      <x:c r="AC166" s="87"/>
      <x:c r="AD166" s="87"/>
      <x:c r="AE166" s="87"/>
      <x:c r="AF166" s="87"/>
      <x:c r="AG166" s="87"/>
      <x:c r="AH166" s="87"/>
      <x:c r="AI166" s="30"/>
      <x:c r="AJ166" s="87" t="str">
        <x:v>master</x:v>
      </x:c>
      <x:c r="AK166" s="87" t="str">
        <x:v>master-v0.81</x:v>
      </x:c>
      <x:c r="AL166" s="87" t="str">
        <x:v>statgrad_master_base_v0_81_final(2).xlsx</x:v>
      </x:c>
      <x:c r="AM166" s="87" t="str">
        <x:v>PHYS_Jan_V1</x:v>
      </x:c>
      <x:c r="AN166" s="87" t="n">
        <x:v>2</x:v>
      </x:c>
    </x:row>
    <x:row r="167">
      <x:c r="A167" s="87" t="n">
        <x:v>166</x:v>
      </x:c>
      <x:c r="B167" s="87" t="str">
        <x:v>JAN-PHY-V1-002</x:v>
      </x:c>
      <x:c r="C167" s="87" t="str">
        <x:v>СтатГрад</x:v>
      </x:c>
      <x:c r="D167" s="87" t="str">
        <x:v>Январь 2026</x:v>
      </x:c>
      <x:c r="E167" s="87"/>
      <x:c r="F167" s="87"/>
      <x:c r="G167" s="87" t="str">
        <x:v>Физика</x:v>
      </x:c>
      <x:c r="H167" s="87" t="n">
        <x:v>11</x:v>
      </x:c>
      <x:c r="I167" s="87" t="str">
        <x:v>ТР №3</x:v>
      </x:c>
      <x:c r="J167" s="87" t="str">
        <x:v>ФИ2510301</x:v>
      </x:c>
      <x:c r="K167" s="87" t="n">
        <x:v>2</x:v>
      </x:c>
      <x:c r="L167" s="87" t="str">
        <x:v>Статика и закон Гука</x:v>
      </x:c>
      <x:c r="M167" s="30" t="str">
        <x:v>Кубик покоится между двумя пружинами. Правая пружина имеет k=600 Н/м, левая действует с силой 12 Н. Найдите сжатие правой пружины.</x:v>
      </x:c>
      <x:c r="N167" s="30" t="str">
        <x:v>2 см</x:v>
      </x:c>
      <x:c r="O167" s="30" t="str">
        <x:v>В равновесии силы пружин равны: F=12 Н. По закону Гука x=F/k=12/600=0,02 м=2 см.</x:v>
      </x:c>
      <x:c r="P167" s="30" t="str">
        <x:v>Проверено условие равновесия и перевод метров в сантиметры.</x:v>
      </x:c>
      <x:c r="Q167" s="30"/>
      <x:c r="R167" s="30" t="str">
        <x:v>2</x:v>
      </x:c>
      <x:c r="S167" s="30"/>
      <x:c r="T167" s="30"/>
      <x:c r="U167" s="30" t="str">
        <x:v>Расхождений нет.</x:v>
      </x:c>
      <x:c r="V167" s="87" t="str">
        <x:v>VERIFIED</x:v>
      </x:c>
      <x:c r="W167" s="87" t="n">
        <x:v>4</x:v>
      </x:c>
      <x:c r="X167" s="87"/>
      <x:c r="Y167" s="87"/>
      <x:c r="Z167" s="87"/>
      <x:c r="AA167" s="87"/>
      <x:c r="AB167" s="87"/>
      <x:c r="AC167" s="87"/>
      <x:c r="AD167" s="87"/>
      <x:c r="AE167" s="87"/>
      <x:c r="AF167" s="87"/>
      <x:c r="AG167" s="87"/>
      <x:c r="AH167" s="87"/>
      <x:c r="AI167" s="30"/>
      <x:c r="AJ167" s="87" t="str">
        <x:v>master</x:v>
      </x:c>
      <x:c r="AK167" s="87" t="str">
        <x:v>master-v0.81</x:v>
      </x:c>
      <x:c r="AL167" s="87" t="str">
        <x:v>statgrad_master_base_v0_81_final(2).xlsx</x:v>
      </x:c>
      <x:c r="AM167" s="87" t="str">
        <x:v>PHYS_Jan_V1</x:v>
      </x:c>
      <x:c r="AN167" s="87" t="n">
        <x:v>3</x:v>
      </x:c>
    </x:row>
    <x:row r="168">
      <x:c r="A168" s="87" t="n">
        <x:v>167</x:v>
      </x:c>
      <x:c r="B168" s="87" t="str">
        <x:v>JAN-PHY-V1-003</x:v>
      </x:c>
      <x:c r="C168" s="87" t="str">
        <x:v>СтатГрад</x:v>
      </x:c>
      <x:c r="D168" s="87" t="str">
        <x:v>Январь 2026</x:v>
      </x:c>
      <x:c r="E168" s="87"/>
      <x:c r="F168" s="87"/>
      <x:c r="G168" s="87" t="str">
        <x:v>Физика</x:v>
      </x:c>
      <x:c r="H168" s="87" t="n">
        <x:v>11</x:v>
      </x:c>
      <x:c r="I168" s="87" t="str">
        <x:v>ТР №3</x:v>
      </x:c>
      <x:c r="J168" s="87" t="str">
        <x:v>ФИ2510301</x:v>
      </x:c>
      <x:c r="K168" s="87" t="n">
        <x:v>3</x:v>
      </x:c>
      <x:c r="L168" s="87" t="str">
        <x:v>Потенциальная энергия</x:v>
      </x:c>
      <x:c r="M168" s="30" t="str">
        <x:v>Масса велосипедиста с велосипедом 100 кг. Отношение потенциальных энергий мотоциклиста и велосипедиста на одном мосту равно 2,5. Найдите массу мотоциклиста с мотоциклом.</x:v>
      </x:c>
      <x:c r="N168" s="30" t="str">
        <x:v>250 кг</x:v>
      </x:c>
      <x:c r="O168" s="30" t="str">
        <x:v>На одной высоте Ep=mgh, поэтому отношение энергий равно отношению масс. m=2,5·100=250 кг.</x:v>
      </x:c>
      <x:c r="P168" s="30" t="str">
        <x:v>Высота и g сократились в отношении энергий.</x:v>
      </x:c>
      <x:c r="Q168" s="30"/>
      <x:c r="R168" s="30" t="str">
        <x:v>250</x:v>
      </x:c>
      <x:c r="S168" s="30"/>
      <x:c r="T168" s="30"/>
      <x:c r="U168" s="30" t="str">
        <x:v>Расхождений нет.</x:v>
      </x:c>
      <x:c r="V168" s="87" t="str">
        <x:v>VERIFIED</x:v>
      </x:c>
      <x:c r="W168" s="87" t="n">
        <x:v>4</x:v>
      </x:c>
      <x:c r="X168" s="87"/>
      <x:c r="Y168" s="87"/>
      <x:c r="Z168" s="87"/>
      <x:c r="AA168" s="87"/>
      <x:c r="AB168" s="87"/>
      <x:c r="AC168" s="87"/>
      <x:c r="AD168" s="87"/>
      <x:c r="AE168" s="87"/>
      <x:c r="AF168" s="87"/>
      <x:c r="AG168" s="87"/>
      <x:c r="AH168" s="87"/>
      <x:c r="AI168" s="30"/>
      <x:c r="AJ168" s="87" t="str">
        <x:v>master</x:v>
      </x:c>
      <x:c r="AK168" s="87" t="str">
        <x:v>master-v0.81</x:v>
      </x:c>
      <x:c r="AL168" s="87" t="str">
        <x:v>statgrad_master_base_v0_81_final(2).xlsx</x:v>
      </x:c>
      <x:c r="AM168" s="87" t="str">
        <x:v>PHYS_Jan_V1</x:v>
      </x:c>
      <x:c r="AN168" s="87" t="n">
        <x:v>4</x:v>
      </x:c>
    </x:row>
    <x:row r="169">
      <x:c r="A169" s="87" t="n">
        <x:v>168</x:v>
      </x:c>
      <x:c r="B169" s="87" t="str">
        <x:v>JAN-PHY-V1-004</x:v>
      </x:c>
      <x:c r="C169" s="87" t="str">
        <x:v>СтатГрад</x:v>
      </x:c>
      <x:c r="D169" s="87" t="str">
        <x:v>Январь 2026</x:v>
      </x:c>
      <x:c r="E169" s="87"/>
      <x:c r="F169" s="87"/>
      <x:c r="G169" s="87" t="str">
        <x:v>Физика</x:v>
      </x:c>
      <x:c r="H169" s="87" t="n">
        <x:v>11</x:v>
      </x:c>
      <x:c r="I169" s="87" t="str">
        <x:v>ТР №3</x:v>
      </x:c>
      <x:c r="J169" s="87" t="str">
        <x:v>ФИ2510301</x:v>
      </x:c>
      <x:c r="K169" s="87" t="n">
        <x:v>4</x:v>
      </x:c>
      <x:c r="L169" s="87" t="str">
        <x:v>Сила Архимеда</x:v>
      </x:c>
      <x:c r="M169" s="30" t="str">
        <x:v>Брусок объёмом 240 см³ погружён в воду наполовину. Найдите силу Архимеда.</x:v>
      </x:c>
      <x:c r="N169" s="30" t="str">
        <x:v>1,2 Н</x:v>
      </x:c>
      <x:c r="O169" s="30" t="str">
        <x:v>Погружённый объём равен 120 см³=1,2·10⁻⁴ м³. FA=ρgV=1000·10·1,2·10⁻⁴=1,2 Н.</x:v>
      </x:c>
      <x:c r="P169" s="30" t="str">
        <x:v>Проверены объём погружённой части и единицы СИ.</x:v>
      </x:c>
      <x:c r="Q169" s="30"/>
      <x:c r="R169" s="30" t="str">
        <x:v>1,2</x:v>
      </x:c>
      <x:c r="S169" s="30"/>
      <x:c r="T169" s="30"/>
      <x:c r="U169" s="30" t="str">
        <x:v>Расхождений нет.</x:v>
      </x:c>
      <x:c r="V169" s="87" t="str">
        <x:v>VERIFIED</x:v>
      </x:c>
      <x:c r="W169" s="87" t="n">
        <x:v>5</x:v>
      </x:c>
      <x:c r="X169" s="87"/>
      <x:c r="Y169" s="87"/>
      <x:c r="Z169" s="87"/>
      <x:c r="AA169" s="87"/>
      <x:c r="AB169" s="87"/>
      <x:c r="AC169" s="87"/>
      <x:c r="AD169" s="87"/>
      <x:c r="AE169" s="87"/>
      <x:c r="AF169" s="87"/>
      <x:c r="AG169" s="87"/>
      <x:c r="AH169" s="87"/>
      <x:c r="AI169" s="30"/>
      <x:c r="AJ169" s="87" t="str">
        <x:v>master</x:v>
      </x:c>
      <x:c r="AK169" s="87" t="str">
        <x:v>master-v0.81</x:v>
      </x:c>
      <x:c r="AL169" s="87" t="str">
        <x:v>statgrad_master_base_v0_81_final(2).xlsx</x:v>
      </x:c>
      <x:c r="AM169" s="87" t="str">
        <x:v>PHYS_Jan_V1</x:v>
      </x:c>
      <x:c r="AN169" s="87" t="n">
        <x:v>5</x:v>
      </x:c>
    </x:row>
    <x:row r="170">
      <x:c r="A170" s="87" t="n">
        <x:v>169</x:v>
      </x:c>
      <x:c r="B170" s="87" t="str">
        <x:v>JAN-PHY-V1-005</x:v>
      </x:c>
      <x:c r="C170" s="87" t="str">
        <x:v>СтатГрад</x:v>
      </x:c>
      <x:c r="D170" s="87" t="str">
        <x:v>Январь 2026</x:v>
      </x:c>
      <x:c r="E170" s="87"/>
      <x:c r="F170" s="87"/>
      <x:c r="G170" s="87" t="str">
        <x:v>Физика</x:v>
      </x:c>
      <x:c r="H170" s="87" t="n">
        <x:v>11</x:v>
      </x:c>
      <x:c r="I170" s="87" t="str">
        <x:v>ТР №3</x:v>
      </x:c>
      <x:c r="J170" s="87" t="str">
        <x:v>ФИ2510301</x:v>
      </x:c>
      <x:c r="K170" s="87" t="n">
        <x:v>5</x:v>
      </x:c>
      <x:c r="L170" s="87" t="str">
        <x:v>Кинематика: график координаты</x:v>
      </x:c>
      <x:c r="M170" s="30" t="str">
        <x:v>Выберите верные утверждения по графику x(t) с точками A–E.</x:v>
      </x:c>
      <x:c r="N170" s="30" t="str">
        <x:v>135</x:v>
      </x:c>
      <x:c r="O170" s="30" t="str">
        <x:v>В точке E график убывает, поэтому vx&lt;0 (1). В точке B касательная горизонтальна, значит vx=0 (3). Координата E больше координаты C, поэтому перемещение C→E положительно (5).</x:v>
      </x:c>
      <x:c r="P170" s="30" t="str">
        <x:v>Знак и модуль скорости определены по наклону графика x(t).</x:v>
      </x:c>
      <x:c r="Q170" s="30"/>
      <x:c r="R170" s="30" t="str">
        <x:v>135</x:v>
      </x:c>
      <x:c r="S170" s="30"/>
      <x:c r="T170" s="30"/>
      <x:c r="U170" s="30" t="str">
        <x:v>Расхождений нет.</x:v>
      </x:c>
      <x:c r="V170" s="87" t="str">
        <x:v>VERIFIED</x:v>
      </x:c>
      <x:c r="W170" s="87" t="n">
        <x:v>5</x:v>
      </x:c>
      <x:c r="X170" s="87"/>
      <x:c r="Y170" s="87"/>
      <x:c r="Z170" s="87"/>
      <x:c r="AA170" s="87"/>
      <x:c r="AB170" s="87"/>
      <x:c r="AC170" s="87"/>
      <x:c r="AD170" s="87"/>
      <x:c r="AE170" s="87"/>
      <x:c r="AF170" s="87"/>
      <x:c r="AG170" s="87"/>
      <x:c r="AH170" s="87"/>
      <x:c r="AI170" s="30"/>
      <x:c r="AJ170" s="87" t="str">
        <x:v>master</x:v>
      </x:c>
      <x:c r="AK170" s="87" t="str">
        <x:v>master-v0.81</x:v>
      </x:c>
      <x:c r="AL170" s="87" t="str">
        <x:v>statgrad_master_base_v0_81_final(2).xlsx</x:v>
      </x:c>
      <x:c r="AM170" s="87" t="str">
        <x:v>PHYS_Jan_V1</x:v>
      </x:c>
      <x:c r="AN170" s="87" t="n">
        <x:v>6</x:v>
      </x:c>
    </x:row>
    <x:row r="171">
      <x:c r="A171" s="87" t="n">
        <x:v>170</x:v>
      </x:c>
      <x:c r="B171" s="87" t="str">
        <x:v>JAN-PHY-V1-006</x:v>
      </x:c>
      <x:c r="C171" s="87" t="str">
        <x:v>СтатГрад</x:v>
      </x:c>
      <x:c r="D171" s="87" t="str">
        <x:v>Январь 2026</x:v>
      </x:c>
      <x:c r="E171" s="87"/>
      <x:c r="F171" s="87"/>
      <x:c r="G171" s="87" t="str">
        <x:v>Физика</x:v>
      </x:c>
      <x:c r="H171" s="87" t="n">
        <x:v>11</x:v>
      </x:c>
      <x:c r="I171" s="87" t="str">
        <x:v>ТР №3</x:v>
      </x:c>
      <x:c r="J171" s="87" t="str">
        <x:v>ФИ2510301</x:v>
      </x:c>
      <x:c r="K171" s="87" t="n">
        <x:v>6</x:v>
      </x:c>
      <x:c r="L171" s="87" t="str">
        <x:v>Математический маятник</x:v>
      </x:c>
      <x:c r="M171" s="30" t="str">
        <x:v>Соотнесите два графика с координатой, скоростью, кинетической и потенциальной энергиями груза маятника.</x:v>
      </x:c>
      <x:c r="N171" s="30" t="str">
        <x:v>А–4; Б–1</x:v>
      </x:c>
      <x:c r="O171" s="30" t="str">
        <x:v>График A неотрицателен и максимален в крайних положениях, поэтому это потенциальная энергия. График Б меняет знак и возвращается к исходному отрицательному значению через период, поэтому это координата x.</x:v>
      </x:c>
      <x:c r="P171" s="30" t="str">
        <x:v>Проверены начальные условия: маятник отпущен из крайнего положения слева.</x:v>
      </x:c>
      <x:c r="Q171" s="30"/>
      <x:c r="R171" s="30" t="str">
        <x:v>4; 1</x:v>
      </x:c>
      <x:c r="S171" s="30"/>
      <x:c r="T171" s="30"/>
      <x:c r="U171" s="30" t="str">
        <x:v>Расхождений нет.</x:v>
      </x:c>
      <x:c r="V171" s="87" t="str">
        <x:v>VERIFIED</x:v>
      </x:c>
      <x:c r="W171" s="87" t="n">
        <x:v>6</x:v>
      </x:c>
      <x:c r="X171" s="87"/>
      <x:c r="Y171" s="87"/>
      <x:c r="Z171" s="87"/>
      <x:c r="AA171" s="87"/>
      <x:c r="AB171" s="87"/>
      <x:c r="AC171" s="87"/>
      <x:c r="AD171" s="87"/>
      <x:c r="AE171" s="87"/>
      <x:c r="AF171" s="87"/>
      <x:c r="AG171" s="87"/>
      <x:c r="AH171" s="87"/>
      <x:c r="AI171" s="30"/>
      <x:c r="AJ171" s="87" t="str">
        <x:v>master</x:v>
      </x:c>
      <x:c r="AK171" s="87" t="str">
        <x:v>master-v0.81</x:v>
      </x:c>
      <x:c r="AL171" s="87" t="str">
        <x:v>statgrad_master_base_v0_81_final(2).xlsx</x:v>
      </x:c>
      <x:c r="AM171" s="87" t="str">
        <x:v>PHYS_Jan_V1</x:v>
      </x:c>
      <x:c r="AN171" s="87" t="n">
        <x:v>7</x:v>
      </x:c>
    </x:row>
    <x:row r="172">
      <x:c r="A172" s="87" t="n">
        <x:v>171</x:v>
      </x:c>
      <x:c r="B172" s="87" t="str">
        <x:v>JAN-PHY-V1-007</x:v>
      </x:c>
      <x:c r="C172" s="87" t="str">
        <x:v>СтатГрад</x:v>
      </x:c>
      <x:c r="D172" s="87" t="str">
        <x:v>Январь 2026</x:v>
      </x:c>
      <x:c r="E172" s="87"/>
      <x:c r="F172" s="87"/>
      <x:c r="G172" s="87" t="str">
        <x:v>Физика</x:v>
      </x:c>
      <x:c r="H172" s="87" t="n">
        <x:v>11</x:v>
      </x:c>
      <x:c r="I172" s="87" t="str">
        <x:v>ТР №3</x:v>
      </x:c>
      <x:c r="J172" s="87" t="str">
        <x:v>ФИ2510301</x:v>
      </x:c>
      <x:c r="K172" s="87" t="n">
        <x:v>7</x:v>
      </x:c>
      <x:c r="L172" s="87" t="str">
        <x:v>Уравнение состояния газа</x:v>
      </x:c>
      <x:c r="M172" s="30" t="str">
        <x:v>Объём газа уменьшили в 1,5 раза, температуру увеличили в 2 раза. Начальное давление 60 кПа. Найдите конечное давление.</x:v>
      </x:c>
      <x:c r="N172" s="30" t="str">
        <x:v>180 кПа</x:v>
      </x:c>
      <x:c r="O172" s="30" t="str">
        <x:v>Для неизменного количества газа pV/T=const. Поэтому p₂=p₁(V₁/V₂)(T₂/T₁)=60·1,5·2=180 кПа.</x:v>
      </x:c>
      <x:c r="P172" s="30" t="str">
        <x:v>Результат проверен прямой подстановкой в объединённый газовый закон.</x:v>
      </x:c>
      <x:c r="Q172" s="30"/>
      <x:c r="R172" s="30" t="str">
        <x:v>180</x:v>
      </x:c>
      <x:c r="S172" s="30"/>
      <x:c r="T172" s="30"/>
      <x:c r="U172" s="30" t="str">
        <x:v>Расхождений нет.</x:v>
      </x:c>
      <x:c r="V172" s="87" t="str">
        <x:v>VERIFIED</x:v>
      </x:c>
      <x:c r="W172" s="87" t="n">
        <x:v>6</x:v>
      </x:c>
      <x:c r="X172" s="87"/>
      <x:c r="Y172" s="87"/>
      <x:c r="Z172" s="87"/>
      <x:c r="AA172" s="87"/>
      <x:c r="AB172" s="87"/>
      <x:c r="AC172" s="87"/>
      <x:c r="AD172" s="87"/>
      <x:c r="AE172" s="87"/>
      <x:c r="AF172" s="87"/>
      <x:c r="AG172" s="87"/>
      <x:c r="AH172" s="87"/>
      <x:c r="AI172" s="30"/>
      <x:c r="AJ172" s="87" t="str">
        <x:v>master</x:v>
      </x:c>
      <x:c r="AK172" s="87" t="str">
        <x:v>master-v0.81</x:v>
      </x:c>
      <x:c r="AL172" s="87" t="str">
        <x:v>statgrad_master_base_v0_81_final(2).xlsx</x:v>
      </x:c>
      <x:c r="AM172" s="87" t="str">
        <x:v>PHYS_Jan_V1</x:v>
      </x:c>
      <x:c r="AN172" s="87" t="n">
        <x:v>8</x:v>
      </x:c>
    </x:row>
    <x:row r="173">
      <x:c r="A173" s="87" t="n">
        <x:v>172</x:v>
      </x:c>
      <x:c r="B173" s="87" t="str">
        <x:v>JAN-PHY-V1-008</x:v>
      </x:c>
      <x:c r="C173" s="87" t="str">
        <x:v>СтатГрад</x:v>
      </x:c>
      <x:c r="D173" s="87" t="str">
        <x:v>Январь 2026</x:v>
      </x:c>
      <x:c r="E173" s="87"/>
      <x:c r="F173" s="87"/>
      <x:c r="G173" s="87" t="str">
        <x:v>Физика</x:v>
      </x:c>
      <x:c r="H173" s="87" t="n">
        <x:v>11</x:v>
      </x:c>
      <x:c r="I173" s="87" t="str">
        <x:v>ТР №3</x:v>
      </x:c>
      <x:c r="J173" s="87" t="str">
        <x:v>ФИ2510301</x:v>
      </x:c>
      <x:c r="K173" s="87" t="n">
        <x:v>8</x:v>
      </x:c>
      <x:c r="L173" s="87" t="str">
        <x:v>Парообразование</x:v>
      </x:c>
      <x:c r="M173" s="30" t="str">
        <x:v>Жидкость массой 1,2 кг нагревают. По графику t(Q) найдите массу пара после поглощения 300 кДж.</x:v>
      </x:c>
      <x:c r="N173" s="30" t="str">
        <x:v>0,8 кг</x:v>
      </x:c>
      <x:c r="O173" s="30" t="str">
        <x:v>На нагрев до кипения ушло 100 кДж. Полное испарение 1,2 кг соответствует участку 100–400 кДж, то есть 300 кДж. При общем Q=300 кДж на парообразование ушло 200 кДж, поэтому испарилось 1,2·200/300=0,8 кг.</x:v>
      </x:c>
      <x:c r="P173" s="30" t="str">
        <x:v>Использована пропорциональность массы испарившейся жидкости скрытой теплоте.</x:v>
      </x:c>
      <x:c r="Q173" s="30"/>
      <x:c r="R173" s="30" t="str">
        <x:v>0,8</x:v>
      </x:c>
      <x:c r="S173" s="30"/>
      <x:c r="T173" s="30"/>
      <x:c r="U173" s="30" t="str">
        <x:v>Расхождений нет.</x:v>
      </x:c>
      <x:c r="V173" s="87" t="str">
        <x:v>VERIFIED</x:v>
      </x:c>
      <x:c r="W173" s="87" t="n">
        <x:v>7</x:v>
      </x:c>
      <x:c r="X173" s="87"/>
      <x:c r="Y173" s="87"/>
      <x:c r="Z173" s="87"/>
      <x:c r="AA173" s="87"/>
      <x:c r="AB173" s="87"/>
      <x:c r="AC173" s="87"/>
      <x:c r="AD173" s="87"/>
      <x:c r="AE173" s="87"/>
      <x:c r="AF173" s="87"/>
      <x:c r="AG173" s="87"/>
      <x:c r="AH173" s="87"/>
      <x:c r="AI173" s="30"/>
      <x:c r="AJ173" s="87" t="str">
        <x:v>master</x:v>
      </x:c>
      <x:c r="AK173" s="87" t="str">
        <x:v>master-v0.81</x:v>
      </x:c>
      <x:c r="AL173" s="87" t="str">
        <x:v>statgrad_master_base_v0_81_final(2).xlsx</x:v>
      </x:c>
      <x:c r="AM173" s="87" t="str">
        <x:v>PHYS_Jan_V1</x:v>
      </x:c>
      <x:c r="AN173" s="87" t="n">
        <x:v>9</x:v>
      </x:c>
    </x:row>
    <x:row r="174">
      <x:c r="A174" s="87" t="n">
        <x:v>173</x:v>
      </x:c>
      <x:c r="B174" s="87" t="str">
        <x:v>JAN-PHY-V1-009</x:v>
      </x:c>
      <x:c r="C174" s="87" t="str">
        <x:v>СтатГрад</x:v>
      </x:c>
      <x:c r="D174" s="87" t="str">
        <x:v>Январь 2026</x:v>
      </x:c>
      <x:c r="E174" s="87"/>
      <x:c r="F174" s="87"/>
      <x:c r="G174" s="87" t="str">
        <x:v>Физика</x:v>
      </x:c>
      <x:c r="H174" s="87" t="n">
        <x:v>11</x:v>
      </x:c>
      <x:c r="I174" s="87" t="str">
        <x:v>ТР №3</x:v>
      </x:c>
      <x:c r="J174" s="87" t="str">
        <x:v>ФИ2510301</x:v>
      </x:c>
      <x:c r="K174" s="87" t="n">
        <x:v>9</x:v>
      </x:c>
      <x:c r="L174" s="87" t="str">
        <x:v>Термодинамические процессы</x:v>
      </x:c>
      <x:c r="M174" s="30" t="str">
        <x:v>Выберите верные утверждения по графику V(T) для состояний 1–2–3.</x:v>
      </x:c>
      <x:c r="N174" s="30" t="str">
        <x:v>345</x:v>
      </x:c>
      <x:c r="O174" s="30" t="str">
        <x:v>На участке 1–2 температура постоянна, а p₂=p₁/3, поэтому утверждение 3 верно. На 2–3 объём постоянен, температура растёт: работа равна нулю, внутренняя энергия и полученное тепло увеличиваются (4). p₃=nR·3T₀/(3V₀)=p₁ (5).</x:v>
      </x:c>
      <x:c r="P174" s="30" t="str">
        <x:v>Каждое утверждение проверено по pV=nRT и первому закону термодинамики.</x:v>
      </x:c>
      <x:c r="Q174" s="30"/>
      <x:c r="R174" s="30" t="str">
        <x:v>345</x:v>
      </x:c>
      <x:c r="S174" s="30"/>
      <x:c r="T174" s="30"/>
      <x:c r="U174" s="30" t="str">
        <x:v>Расхождений нет.</x:v>
      </x:c>
      <x:c r="V174" s="87" t="str">
        <x:v>VERIFIED</x:v>
      </x:c>
      <x:c r="W174" s="87" t="n">
        <x:v>7</x:v>
      </x:c>
      <x:c r="X174" s="87"/>
      <x:c r="Y174" s="87"/>
      <x:c r="Z174" s="87"/>
      <x:c r="AA174" s="87"/>
      <x:c r="AB174" s="87"/>
      <x:c r="AC174" s="87"/>
      <x:c r="AD174" s="87"/>
      <x:c r="AE174" s="87"/>
      <x:c r="AF174" s="87"/>
      <x:c r="AG174" s="87"/>
      <x:c r="AH174" s="87"/>
      <x:c r="AI174" s="30"/>
      <x:c r="AJ174" s="87" t="str">
        <x:v>master</x:v>
      </x:c>
      <x:c r="AK174" s="87" t="str">
        <x:v>master-v0.81</x:v>
      </x:c>
      <x:c r="AL174" s="87" t="str">
        <x:v>statgrad_master_base_v0_81_final(2).xlsx</x:v>
      </x:c>
      <x:c r="AM174" s="87" t="str">
        <x:v>PHYS_Jan_V1</x:v>
      </x:c>
      <x:c r="AN174" s="87" t="n">
        <x:v>10</x:v>
      </x:c>
    </x:row>
    <x:row r="175">
      <x:c r="A175" s="87" t="n">
        <x:v>174</x:v>
      </x:c>
      <x:c r="B175" s="87" t="str">
        <x:v>JAN-PHY-V1-010</x:v>
      </x:c>
      <x:c r="C175" s="87" t="str">
        <x:v>СтатГрад</x:v>
      </x:c>
      <x:c r="D175" s="87" t="str">
        <x:v>Январь 2026</x:v>
      </x:c>
      <x:c r="E175" s="87"/>
      <x:c r="F175" s="87"/>
      <x:c r="G175" s="87" t="str">
        <x:v>Физика</x:v>
      </x:c>
      <x:c r="H175" s="87" t="n">
        <x:v>11</x:v>
      </x:c>
      <x:c r="I175" s="87" t="str">
        <x:v>ТР №3</x:v>
      </x:c>
      <x:c r="J175" s="87" t="str">
        <x:v>ФИ2510301</x:v>
      </x:c>
      <x:c r="K175" s="87" t="n">
        <x:v>10</x:v>
      </x:c>
      <x:c r="L175" s="87" t="str">
        <x:v>Тепловое равновесие</x:v>
      </x:c>
      <x:c r="M175" s="30" t="str">
        <x:v>В воду комнатной температуры положили лёд при 0 °C. Как изменятся удельная теплоёмкость льда и масса воды?</x:v>
      </x:c>
      <x:c r="N175" s="30" t="str">
        <x:v>3; 1</x:v>
      </x:c>
      <x:c r="O175" s="30" t="str">
        <x:v>Удельная теплоёмкость льда является свойством вещества и не меняется. Часть льда плавится за счёт тепла воды, поэтому масса воды увеличивается.</x:v>
      </x:c>
      <x:c r="P175" s="30" t="str">
        <x:v>Проверено, что итоговая температура выше или равна 0 °C, а фазовый переход увеличивает количество воды.</x:v>
      </x:c>
      <x:c r="Q175" s="30"/>
      <x:c r="R175" s="30" t="str">
        <x:v>3; 1</x:v>
      </x:c>
      <x:c r="S175" s="30"/>
      <x:c r="T175" s="30"/>
      <x:c r="U175" s="30" t="str">
        <x:v>Расхождений нет.</x:v>
      </x:c>
      <x:c r="V175" s="87" t="str">
        <x:v>VERIFIED</x:v>
      </x:c>
      <x:c r="W175" s="87" t="n">
        <x:v>8</x:v>
      </x:c>
      <x:c r="X175" s="87"/>
      <x:c r="Y175" s="87"/>
      <x:c r="Z175" s="87"/>
      <x:c r="AA175" s="87"/>
      <x:c r="AB175" s="87"/>
      <x:c r="AC175" s="87"/>
      <x:c r="AD175" s="87"/>
      <x:c r="AE175" s="87"/>
      <x:c r="AF175" s="87"/>
      <x:c r="AG175" s="87"/>
      <x:c r="AH175" s="87"/>
      <x:c r="AI175" s="30"/>
      <x:c r="AJ175" s="87" t="str">
        <x:v>master</x:v>
      </x:c>
      <x:c r="AK175" s="87" t="str">
        <x:v>master-v0.81</x:v>
      </x:c>
      <x:c r="AL175" s="87" t="str">
        <x:v>statgrad_master_base_v0_81_final(2).xlsx</x:v>
      </x:c>
      <x:c r="AM175" s="87" t="str">
        <x:v>PHYS_Jan_V1</x:v>
      </x:c>
      <x:c r="AN175" s="87" t="n">
        <x:v>11</x:v>
      </x:c>
    </x:row>
    <x:row r="176">
      <x:c r="A176" s="87" t="n">
        <x:v>175</x:v>
      </x:c>
      <x:c r="B176" s="87" t="str">
        <x:v>JAN-PHY-V1-011</x:v>
      </x:c>
      <x:c r="C176" s="87" t="str">
        <x:v>СтатГрад</x:v>
      </x:c>
      <x:c r="D176" s="87" t="str">
        <x:v>Январь 2026</x:v>
      </x:c>
      <x:c r="E176" s="87"/>
      <x:c r="F176" s="87"/>
      <x:c r="G176" s="87" t="str">
        <x:v>Физика</x:v>
      </x:c>
      <x:c r="H176" s="87" t="n">
        <x:v>11</x:v>
      </x:c>
      <x:c r="I176" s="87" t="str">
        <x:v>ТР №3</x:v>
      </x:c>
      <x:c r="J176" s="87" t="str">
        <x:v>ФИ2510301</x:v>
      </x:c>
      <x:c r="K176" s="87" t="n">
        <x:v>11</x:v>
      </x:c>
      <x:c r="L176" s="87" t="str">
        <x:v>Работа электрического тока</x:v>
      </x:c>
      <x:c r="M176" s="30" t="str">
        <x:v>Паяльник подключён к 220 В, ток 1,2 А. Найдите количество теплоты за 20 минут.</x:v>
      </x:c>
      <x:c r="N176" s="30" t="str">
        <x:v>316,8 кДж</x:v>
      </x:c>
      <x:c r="O176" s="30" t="str">
        <x:v>Q=UIt=220·1,2·1200=316800 Дж=316,8 кДж.</x:v>
      </x:c>
      <x:c r="P176" s="30" t="str">
        <x:v>Время переведено из минут в секунды; расчёт проверен через мощность P=UI.</x:v>
      </x:c>
      <x:c r="Q176" s="30"/>
      <x:c r="R176" s="30" t="str">
        <x:v>316,8</x:v>
      </x:c>
      <x:c r="S176" s="30"/>
      <x:c r="T176" s="30"/>
      <x:c r="U176" s="30" t="str">
        <x:v>Расхождений нет.</x:v>
      </x:c>
      <x:c r="V176" s="87" t="str">
        <x:v>VERIFIED</x:v>
      </x:c>
      <x:c r="W176" s="87" t="n">
        <x:v>8</x:v>
      </x:c>
      <x:c r="X176" s="87"/>
      <x:c r="Y176" s="87"/>
      <x:c r="Z176" s="87"/>
      <x:c r="AA176" s="87"/>
      <x:c r="AB176" s="87"/>
      <x:c r="AC176" s="87"/>
      <x:c r="AD176" s="87"/>
      <x:c r="AE176" s="87"/>
      <x:c r="AF176" s="87"/>
      <x:c r="AG176" s="87"/>
      <x:c r="AH176" s="87"/>
      <x:c r="AI176" s="30"/>
      <x:c r="AJ176" s="87" t="str">
        <x:v>master</x:v>
      </x:c>
      <x:c r="AK176" s="87" t="str">
        <x:v>master-v0.81</x:v>
      </x:c>
      <x:c r="AL176" s="87" t="str">
        <x:v>statgrad_master_base_v0_81_final(2).xlsx</x:v>
      </x:c>
      <x:c r="AM176" s="87" t="str">
        <x:v>PHYS_Jan_V1</x:v>
      </x:c>
      <x:c r="AN176" s="87" t="n">
        <x:v>12</x:v>
      </x:c>
    </x:row>
    <x:row r="177">
      <x:c r="A177" s="87" t="n">
        <x:v>176</x:v>
      </x:c>
      <x:c r="B177" s="87" t="str">
        <x:v>JAN-PHY-V1-012</x:v>
      </x:c>
      <x:c r="C177" s="87" t="str">
        <x:v>СтатГрад</x:v>
      </x:c>
      <x:c r="D177" s="87" t="str">
        <x:v>Январь 2026</x:v>
      </x:c>
      <x:c r="E177" s="87"/>
      <x:c r="F177" s="87"/>
      <x:c r="G177" s="87" t="str">
        <x:v>Физика</x:v>
      </x:c>
      <x:c r="H177" s="87" t="n">
        <x:v>11</x:v>
      </x:c>
      <x:c r="I177" s="87" t="str">
        <x:v>ТР №3</x:v>
      </x:c>
      <x:c r="J177" s="87" t="str">
        <x:v>ФИ2510301</x:v>
      </x:c>
      <x:c r="K177" s="87" t="n">
        <x:v>12</x:v>
      </x:c>
      <x:c r="L177" s="87" t="str">
        <x:v>Электромагнитная индукция</x:v>
      </x:c>
      <x:c r="M177" s="30" t="str">
        <x:v>Сторону квадратной рамки увеличили в 2 раза, угловую скорость уменьшили в 2 раза. Начальная максимальная ЭДС 2 мВ. Найдите новую ЭДС.</x:v>
      </x:c>
      <x:c r="N177" s="30" t="str">
        <x:v>4 мВ</x:v>
      </x:c>
      <x:c r="O177" s="30" t="str">
        <x:v>εmax=BSω. Площадь квадратной рамки увеличилась в 4 раза, а ω уменьшилась в 2 раза, поэтому ЭДС выросла в 2 раза: 2·2=4 мВ.</x:v>
      </x:c>
      <x:c r="P177" s="30" t="str">
        <x:v>Проверена пропорциональность максимальной ЭДС площади и угловой скорости.</x:v>
      </x:c>
      <x:c r="Q177" s="30"/>
      <x:c r="R177" s="30" t="str">
        <x:v>4</x:v>
      </x:c>
      <x:c r="S177" s="30"/>
      <x:c r="T177" s="30"/>
      <x:c r="U177" s="30" t="str">
        <x:v>Расхождений нет.</x:v>
      </x:c>
      <x:c r="V177" s="87" t="str">
        <x:v>VERIFIED</x:v>
      </x:c>
      <x:c r="W177" s="87" t="n">
        <x:v>8</x:v>
      </x:c>
      <x:c r="X177" s="87"/>
      <x:c r="Y177" s="87"/>
      <x:c r="Z177" s="87"/>
      <x:c r="AA177" s="87"/>
      <x:c r="AB177" s="87"/>
      <x:c r="AC177" s="87"/>
      <x:c r="AD177" s="87"/>
      <x:c r="AE177" s="87"/>
      <x:c r="AF177" s="87"/>
      <x:c r="AG177" s="87"/>
      <x:c r="AH177" s="87"/>
      <x:c r="AI177" s="30"/>
      <x:c r="AJ177" s="87" t="str">
        <x:v>master</x:v>
      </x:c>
      <x:c r="AK177" s="87" t="str">
        <x:v>master-v0.81</x:v>
      </x:c>
      <x:c r="AL177" s="87" t="str">
        <x:v>statgrad_master_base_v0_81_final(2).xlsx</x:v>
      </x:c>
      <x:c r="AM177" s="87" t="str">
        <x:v>PHYS_Jan_V1</x:v>
      </x:c>
      <x:c r="AN177" s="87" t="n">
        <x:v>13</x:v>
      </x:c>
    </x:row>
    <x:row r="178">
      <x:c r="A178" s="87" t="n">
        <x:v>177</x:v>
      </x:c>
      <x:c r="B178" s="87" t="str">
        <x:v>JAN-PHY-V1-013</x:v>
      </x:c>
      <x:c r="C178" s="87" t="str">
        <x:v>СтатГрад</x:v>
      </x:c>
      <x:c r="D178" s="87" t="str">
        <x:v>Январь 2026</x:v>
      </x:c>
      <x:c r="E178" s="87"/>
      <x:c r="F178" s="87"/>
      <x:c r="G178" s="87" t="str">
        <x:v>Физика</x:v>
      </x:c>
      <x:c r="H178" s="87" t="n">
        <x:v>11</x:v>
      </x:c>
      <x:c r="I178" s="87" t="str">
        <x:v>ТР №3</x:v>
      </x:c>
      <x:c r="J178" s="87" t="str">
        <x:v>ФИ2510301</x:v>
      </x:c>
      <x:c r="K178" s="87" t="n">
        <x:v>13</x:v>
      </x:c>
      <x:c r="L178" s="87" t="str">
        <x:v>Закон отражения</x:v>
      </x:c>
      <x:c r="M178" s="30" t="str">
        <x:v>Угол между падающим и отражённым лучами 40°. Зеркало поворачивают на 5° как на рисунке. Найдите угол между отражённым лучом и плоскостью зеркала.</x:v>
      </x:c>
      <x:c r="N178" s="30" t="str">
        <x:v>65°</x:v>
      </x:c>
      <x:c r="O178" s="30" t="str">
        <x:v>Первоначальный угол отражения к нормали равен 20°, то есть к зеркалу 70°. При повороте зеркала на 5° отражённый луч поворачивается на 10°, а новая плоскость — на 5°, поэтому искомый угол становится 65°.</x:v>
      </x:c>
      <x:c r="P178" s="30" t="str">
        <x:v>Использовано правило: при повороте зеркала отражённый луч поворачивается на удвоенный угол.</x:v>
      </x:c>
      <x:c r="Q178" s="30"/>
      <x:c r="R178" s="30" t="str">
        <x:v>65</x:v>
      </x:c>
      <x:c r="S178" s="30"/>
      <x:c r="T178" s="30"/>
      <x:c r="U178" s="30" t="str">
        <x:v>Расхождений нет.</x:v>
      </x:c>
      <x:c r="V178" s="87" t="str">
        <x:v>VERIFIED</x:v>
      </x:c>
      <x:c r="W178" s="87" t="n">
        <x:v>8</x:v>
      </x:c>
      <x:c r="X178" s="87"/>
      <x:c r="Y178" s="87"/>
      <x:c r="Z178" s="87"/>
      <x:c r="AA178" s="87"/>
      <x:c r="AB178" s="87"/>
      <x:c r="AC178" s="87"/>
      <x:c r="AD178" s="87"/>
      <x:c r="AE178" s="87"/>
      <x:c r="AF178" s="87"/>
      <x:c r="AG178" s="87"/>
      <x:c r="AH178" s="87"/>
      <x:c r="AI178" s="30"/>
      <x:c r="AJ178" s="87" t="str">
        <x:v>master</x:v>
      </x:c>
      <x:c r="AK178" s="87" t="str">
        <x:v>master-v0.81</x:v>
      </x:c>
      <x:c r="AL178" s="87" t="str">
        <x:v>statgrad_master_base_v0_81_final(2).xlsx</x:v>
      </x:c>
      <x:c r="AM178" s="87" t="str">
        <x:v>PHYS_Jan_V1</x:v>
      </x:c>
      <x:c r="AN178" s="87" t="n">
        <x:v>14</x:v>
      </x:c>
    </x:row>
    <x:row r="179">
      <x:c r="A179" s="87" t="n">
        <x:v>178</x:v>
      </x:c>
      <x:c r="B179" s="87" t="str">
        <x:v>JAN-PHY-V1-014</x:v>
      </x:c>
      <x:c r="C179" s="87" t="str">
        <x:v>СтатГрад</x:v>
      </x:c>
      <x:c r="D179" s="87" t="str">
        <x:v>Январь 2026</x:v>
      </x:c>
      <x:c r="E179" s="87"/>
      <x:c r="F179" s="87"/>
      <x:c r="G179" s="87" t="str">
        <x:v>Физика</x:v>
      </x:c>
      <x:c r="H179" s="87" t="n">
        <x:v>11</x:v>
      </x:c>
      <x:c r="I179" s="87" t="str">
        <x:v>ТР №3</x:v>
      </x:c>
      <x:c r="J179" s="87" t="str">
        <x:v>ФИ2510301</x:v>
      </x:c>
      <x:c r="K179" s="87" t="n">
        <x:v>14</x:v>
      </x:c>
      <x:c r="L179" s="87" t="str">
        <x:v>Электростатика</x:v>
      </x:c>
      <x:c r="M179" s="30" t="str">
        <x:v>Отрицательно заряженная капля находится в равновесии между горизонтальными пластинами конденсатора. Выберите верные утверждения.</x:v>
      </x:c>
      <x:c r="N179" s="30" t="str">
        <x:v>23</x:v>
      </x:c>
      <x:c r="O179" s="30" t="str">
        <x:v>Для равновесия электрическая сила должна быть направлена вверх и равна mg. Так как заряд отрицателен, напряжённость поля направлена вниз (2), а модули сил равны (3).</x:v>
      </x:c>
      <x:c r="P179" s="30" t="str">
        <x:v>Знаки пластин и направление силы проверены из F=qE.</x:v>
      </x:c>
      <x:c r="Q179" s="30"/>
      <x:c r="R179" s="30" t="str">
        <x:v>23</x:v>
      </x:c>
      <x:c r="S179" s="30"/>
      <x:c r="T179" s="30"/>
      <x:c r="U179" s="30" t="str">
        <x:v>Расхождений нет.</x:v>
      </x:c>
      <x:c r="V179" s="87" t="str">
        <x:v>VERIFIED</x:v>
      </x:c>
      <x:c r="W179" s="87" t="n">
        <x:v>9</x:v>
      </x:c>
      <x:c r="X179" s="87"/>
      <x:c r="Y179" s="87"/>
      <x:c r="Z179" s="87"/>
      <x:c r="AA179" s="87"/>
      <x:c r="AB179" s="87"/>
      <x:c r="AC179" s="87"/>
      <x:c r="AD179" s="87"/>
      <x:c r="AE179" s="87"/>
      <x:c r="AF179" s="87"/>
      <x:c r="AG179" s="87"/>
      <x:c r="AH179" s="87"/>
      <x:c r="AI179" s="30"/>
      <x:c r="AJ179" s="87" t="str">
        <x:v>master</x:v>
      </x:c>
      <x:c r="AK179" s="87" t="str">
        <x:v>master-v0.81</x:v>
      </x:c>
      <x:c r="AL179" s="87" t="str">
        <x:v>statgrad_master_base_v0_81_final(2).xlsx</x:v>
      </x:c>
      <x:c r="AM179" s="87" t="str">
        <x:v>PHYS_Jan_V1</x:v>
      </x:c>
      <x:c r="AN179" s="87" t="n">
        <x:v>15</x:v>
      </x:c>
    </x:row>
    <x:row r="180">
      <x:c r="A180" s="87" t="n">
        <x:v>179</x:v>
      </x:c>
      <x:c r="B180" s="87" t="str">
        <x:v>JAN-PHY-V1-015</x:v>
      </x:c>
      <x:c r="C180" s="87" t="str">
        <x:v>СтатГрад</x:v>
      </x:c>
      <x:c r="D180" s="87" t="str">
        <x:v>Январь 2026</x:v>
      </x:c>
      <x:c r="E180" s="87"/>
      <x:c r="F180" s="87"/>
      <x:c r="G180" s="87" t="str">
        <x:v>Физика</x:v>
      </x:c>
      <x:c r="H180" s="87" t="n">
        <x:v>11</x:v>
      </x:c>
      <x:c r="I180" s="87" t="str">
        <x:v>ТР №3</x:v>
      </x:c>
      <x:c r="J180" s="87" t="str">
        <x:v>ФИ2510301</x:v>
      </x:c>
      <x:c r="K180" s="87" t="n">
        <x:v>15</x:v>
      </x:c>
      <x:c r="L180" s="87" t="str">
        <x:v>Колебательный контур</x:v>
      </x:c>
      <x:c r="M180" s="30" t="str">
        <x:v>Соотнесите максимальную энергию электрического поля и максимальную силу тока с формулами через L, T и q.</x:v>
      </x:c>
      <x:c r="N180" s="30" t="str">
        <x:v>А–1; Б–3</x:v>
      </x:c>
      <x:c r="O180" s="30" t="str">
        <x:v>Из T=2π√(LC) получаем C=T²/(4π²L), поэтому Wmax=q²/(2C)=2π²q²L/T² — формула 1. Максимальный ток Imax=ωq=2πq/T — формула 3.</x:v>
      </x:c>
      <x:c r="P180" s="30" t="str">
        <x:v>Обе формулы выведены из закона сохранения энергии и гармонического закона заряда.</x:v>
      </x:c>
      <x:c r="Q180" s="30"/>
      <x:c r="R180" s="30" t="str">
        <x:v>1; 3</x:v>
      </x:c>
      <x:c r="S180" s="30"/>
      <x:c r="T180" s="30"/>
      <x:c r="U180" s="30" t="str">
        <x:v>Расхождений нет.</x:v>
      </x:c>
      <x:c r="V180" s="87" t="str">
        <x:v>VERIFIED</x:v>
      </x:c>
      <x:c r="W180" s="87" t="n">
        <x:v>9</x:v>
      </x:c>
      <x:c r="X180" s="87"/>
      <x:c r="Y180" s="87"/>
      <x:c r="Z180" s="87"/>
      <x:c r="AA180" s="87"/>
      <x:c r="AB180" s="87"/>
      <x:c r="AC180" s="87"/>
      <x:c r="AD180" s="87"/>
      <x:c r="AE180" s="87"/>
      <x:c r="AF180" s="87"/>
      <x:c r="AG180" s="87"/>
      <x:c r="AH180" s="87"/>
      <x:c r="AI180" s="30"/>
      <x:c r="AJ180" s="87" t="str">
        <x:v>master</x:v>
      </x:c>
      <x:c r="AK180" s="87" t="str">
        <x:v>master-v0.81</x:v>
      </x:c>
      <x:c r="AL180" s="87" t="str">
        <x:v>statgrad_master_base_v0_81_final(2).xlsx</x:v>
      </x:c>
      <x:c r="AM180" s="87" t="str">
        <x:v>PHYS_Jan_V1</x:v>
      </x:c>
      <x:c r="AN180" s="87" t="n">
        <x:v>16</x:v>
      </x:c>
    </x:row>
    <x:row r="181">
      <x:c r="A181" s="87" t="n">
        <x:v>180</x:v>
      </x:c>
      <x:c r="B181" s="87" t="str">
        <x:v>JAN-PHY-V1-016</x:v>
      </x:c>
      <x:c r="C181" s="87" t="str">
        <x:v>СтатГрад</x:v>
      </x:c>
      <x:c r="D181" s="87" t="str">
        <x:v>Январь 2026</x:v>
      </x:c>
      <x:c r="E181" s="87"/>
      <x:c r="F181" s="87"/>
      <x:c r="G181" s="87" t="str">
        <x:v>Физика</x:v>
      </x:c>
      <x:c r="H181" s="87" t="n">
        <x:v>11</x:v>
      </x:c>
      <x:c r="I181" s="87" t="str">
        <x:v>ТР №3</x:v>
      </x:c>
      <x:c r="J181" s="87" t="str">
        <x:v>ФИ2510301</x:v>
      </x:c>
      <x:c r="K181" s="87" t="n">
        <x:v>16</x:v>
      </x:c>
      <x:c r="L181" s="87" t="str">
        <x:v>Ядерная физика</x:v>
      </x:c>
      <x:c r="M181" s="30" t="str">
        <x:v>Ядро испытывает один α-распад и один электронный β-распад. На сколько уменьшается массовое число?</x:v>
      </x:c>
      <x:c r="N181" s="30" t="str">
        <x:v>4</x:v>
      </x:c>
      <x:c r="O181" s="30" t="str">
        <x:v>При α-распаде массовое число уменьшается на 4. β⁻-распад массовое число не меняет.</x:v>
      </x:c>
      <x:c r="P181" s="30" t="str">
        <x:v>Изменения A и Z проверены отдельно для обоих распадов.</x:v>
      </x:c>
      <x:c r="Q181" s="30"/>
      <x:c r="R181" s="30" t="str">
        <x:v>4</x:v>
      </x:c>
      <x:c r="S181" s="30"/>
      <x:c r="T181" s="30"/>
      <x:c r="U181" s="30" t="str">
        <x:v>Расхождений нет.</x:v>
      </x:c>
      <x:c r="V181" s="87" t="str">
        <x:v>VERIFIED</x:v>
      </x:c>
      <x:c r="W181" s="87" t="n">
        <x:v>10</x:v>
      </x:c>
      <x:c r="X181" s="87"/>
      <x:c r="Y181" s="87"/>
      <x:c r="Z181" s="87"/>
      <x:c r="AA181" s="87"/>
      <x:c r="AB181" s="87"/>
      <x:c r="AC181" s="87"/>
      <x:c r="AD181" s="87"/>
      <x:c r="AE181" s="87"/>
      <x:c r="AF181" s="87"/>
      <x:c r="AG181" s="87"/>
      <x:c r="AH181" s="87"/>
      <x:c r="AI181" s="30"/>
      <x:c r="AJ181" s="87" t="str">
        <x:v>master</x:v>
      </x:c>
      <x:c r="AK181" s="87" t="str">
        <x:v>master-v0.81</x:v>
      </x:c>
      <x:c r="AL181" s="87" t="str">
        <x:v>statgrad_master_base_v0_81_final(2).xlsx</x:v>
      </x:c>
      <x:c r="AM181" s="87" t="str">
        <x:v>PHYS_Jan_V1</x:v>
      </x:c>
      <x:c r="AN181" s="87" t="n">
        <x:v>17</x:v>
      </x:c>
    </x:row>
    <x:row r="182">
      <x:c r="A182" s="87" t="n">
        <x:v>181</x:v>
      </x:c>
      <x:c r="B182" s="87" t="str">
        <x:v>JAN-PHY-V1-017</x:v>
      </x:c>
      <x:c r="C182" s="87" t="str">
        <x:v>СтатГрад</x:v>
      </x:c>
      <x:c r="D182" s="87" t="str">
        <x:v>Январь 2026</x:v>
      </x:c>
      <x:c r="E182" s="87"/>
      <x:c r="F182" s="87"/>
      <x:c r="G182" s="87" t="str">
        <x:v>Физика</x:v>
      </x:c>
      <x:c r="H182" s="87" t="n">
        <x:v>11</x:v>
      </x:c>
      <x:c r="I182" s="87" t="str">
        <x:v>ТР №3</x:v>
      </x:c>
      <x:c r="J182" s="87" t="str">
        <x:v>ФИ2510301</x:v>
      </x:c>
      <x:c r="K182" s="87" t="n">
        <x:v>17</x:v>
      </x:c>
      <x:c r="L182" s="87" t="str">
        <x:v>Энергетические уровни атома</x:v>
      </x:c>
      <x:c r="M182" s="30" t="str">
        <x:v>Определите переход с поглощением фотона наименьшей энергии и переход с излучением света наименьшей длины волны.</x:v>
      </x:c>
      <x:c r="N182" s="30" t="str">
        <x:v>А–1; Б–4</x:v>
      </x:c>
      <x:c r="O182" s="30" t="str">
        <x:v>Минимальной энергии поглощения соответствует наименьший подъём E0→E1 — переход 1. Наименьшая длина волны означает максимальную энергию фотона; это самый большой спад E4→E0 — переход 4.</x:v>
      </x:c>
      <x:c r="P182" s="30" t="str">
        <x:v>Использована связь Eф=hν=hc/λ.</x:v>
      </x:c>
      <x:c r="Q182" s="30"/>
      <x:c r="R182" s="30" t="str">
        <x:v>1; 4</x:v>
      </x:c>
      <x:c r="S182" s="30"/>
      <x:c r="T182" s="30"/>
      <x:c r="U182" s="30" t="str">
        <x:v>Расхождений нет.</x:v>
      </x:c>
      <x:c r="V182" s="87" t="str">
        <x:v>VERIFIED</x:v>
      </x:c>
      <x:c r="W182" s="87" t="n">
        <x:v>10</x:v>
      </x:c>
      <x:c r="X182" s="87"/>
      <x:c r="Y182" s="87"/>
      <x:c r="Z182" s="87"/>
      <x:c r="AA182" s="87"/>
      <x:c r="AB182" s="87"/>
      <x:c r="AC182" s="87"/>
      <x:c r="AD182" s="87"/>
      <x:c r="AE182" s="87"/>
      <x:c r="AF182" s="87"/>
      <x:c r="AG182" s="87"/>
      <x:c r="AH182" s="87"/>
      <x:c r="AI182" s="30"/>
      <x:c r="AJ182" s="87" t="str">
        <x:v>master</x:v>
      </x:c>
      <x:c r="AK182" s="87" t="str">
        <x:v>master-v0.81</x:v>
      </x:c>
      <x:c r="AL182" s="87" t="str">
        <x:v>statgrad_master_base_v0_81_final(2).xlsx</x:v>
      </x:c>
      <x:c r="AM182" s="87" t="str">
        <x:v>PHYS_Jan_V1</x:v>
      </x:c>
      <x:c r="AN182" s="87" t="n">
        <x:v>18</x:v>
      </x:c>
    </x:row>
    <x:row r="183">
      <x:c r="A183" s="87" t="n">
        <x:v>182</x:v>
      </x:c>
      <x:c r="B183" s="87" t="str">
        <x:v>JAN-PHY-V1-018</x:v>
      </x:c>
      <x:c r="C183" s="87" t="str">
        <x:v>СтатГрад</x:v>
      </x:c>
      <x:c r="D183" s="87" t="str">
        <x:v>Январь 2026</x:v>
      </x:c>
      <x:c r="E183" s="87"/>
      <x:c r="F183" s="87"/>
      <x:c r="G183" s="87" t="str">
        <x:v>Физика</x:v>
      </x:c>
      <x:c r="H183" s="87" t="n">
        <x:v>11</x:v>
      </x:c>
      <x:c r="I183" s="87" t="str">
        <x:v>ТР №3</x:v>
      </x:c>
      <x:c r="J183" s="87" t="str">
        <x:v>ФИ2510301</x:v>
      </x:c>
      <x:c r="K183" s="87" t="n">
        <x:v>18</x:v>
      </x:c>
      <x:c r="L183" s="87" t="str">
        <x:v>Физические утверждения</x:v>
      </x:c>
      <x:c r="M183" s="30" t="str">
        <x:v>Выберите все верные утверждения о невесомости, кипении, законе Кулона, фотоэффекте и распадах.</x:v>
      </x:c>
      <x:c r="N183" s="30" t="str">
        <x:v>45</x:v>
      </x:c>
      <x:c r="O183" s="30" t="str">
        <x:v>При фотоэффекте максимальная кинетическая энергия зависит от частоты света (4). После α-распада ²¹⁴₈₄Po получается A=210, Z=82, а после β⁻-распада Z=83, то есть ²¹⁰₈₃Bi (5).</x:v>
      </x:c>
      <x:c r="P183" s="30" t="str">
        <x:v>Остальные утверждения исключены по определениям силы тяжести, кипения и закону Кулона.</x:v>
      </x:c>
      <x:c r="Q183" s="30"/>
      <x:c r="R183" s="30" t="str">
        <x:v>45</x:v>
      </x:c>
      <x:c r="S183" s="30"/>
      <x:c r="T183" s="30"/>
      <x:c r="U183" s="30" t="str">
        <x:v>Расхождений нет.</x:v>
      </x:c>
      <x:c r="V183" s="87" t="str">
        <x:v>VERIFIED</x:v>
      </x:c>
      <x:c r="W183" s="87" t="n">
        <x:v>11</x:v>
      </x:c>
      <x:c r="X183" s="87"/>
      <x:c r="Y183" s="87"/>
      <x:c r="Z183" s="87"/>
      <x:c r="AA183" s="87"/>
      <x:c r="AB183" s="87"/>
      <x:c r="AC183" s="87"/>
      <x:c r="AD183" s="87"/>
      <x:c r="AE183" s="87"/>
      <x:c r="AF183" s="87"/>
      <x:c r="AG183" s="87"/>
      <x:c r="AH183" s="87"/>
      <x:c r="AI183" s="30"/>
      <x:c r="AJ183" s="87" t="str">
        <x:v>master</x:v>
      </x:c>
      <x:c r="AK183" s="87" t="str">
        <x:v>master-v0.81</x:v>
      </x:c>
      <x:c r="AL183" s="87" t="str">
        <x:v>statgrad_master_base_v0_81_final(2).xlsx</x:v>
      </x:c>
      <x:c r="AM183" s="87" t="str">
        <x:v>PHYS_Jan_V1</x:v>
      </x:c>
      <x:c r="AN183" s="87" t="n">
        <x:v>19</x:v>
      </x:c>
    </x:row>
    <x:row r="184">
      <x:c r="A184" s="87" t="n">
        <x:v>183</x:v>
      </x:c>
      <x:c r="B184" s="87" t="str">
        <x:v>JAN-PHY-V1-019</x:v>
      </x:c>
      <x:c r="C184" s="87" t="str">
        <x:v>СтатГрад</x:v>
      </x:c>
      <x:c r="D184" s="87" t="str">
        <x:v>Январь 2026</x:v>
      </x:c>
      <x:c r="E184" s="87"/>
      <x:c r="F184" s="87"/>
      <x:c r="G184" s="87" t="str">
        <x:v>Физика</x:v>
      </x:c>
      <x:c r="H184" s="87" t="n">
        <x:v>11</x:v>
      </x:c>
      <x:c r="I184" s="87" t="str">
        <x:v>ТР №3</x:v>
      </x:c>
      <x:c r="J184" s="87" t="str">
        <x:v>ФИ2510301</x:v>
      </x:c>
      <x:c r="K184" s="87" t="n">
        <x:v>19</x:v>
      </x:c>
      <x:c r="L184" s="87" t="str">
        <x:v>Погрешность измерений</x:v>
      </x:c>
      <x:c r="M184" s="30" t="str">
        <x:v>Маятник совершает 20 колебаний за (22,0±0,2) с. Найдите период с погрешностью.</x:v>
      </x:c>
      <x:c r="N184" s="30" t="str">
        <x:v>(1,10±0,01) с</x:v>
      </x:c>
      <x:c r="O184" s="30" t="str">
        <x:v>T=t/N=22,0/20=1,10 с. При точном числе колебаний абсолютная погрешность ΔT=Δt/N=0,2/20=0,01 с.</x:v>
      </x:c>
      <x:c r="P184" s="30" t="str">
        <x:v>Среднее значение и погрешность поделены на одно и то же точное число.</x:v>
      </x:c>
      <x:c r="Q184" s="30"/>
      <x:c r="R184" s="30" t="str">
        <x:v>(1,10±0,01)</x:v>
      </x:c>
      <x:c r="S184" s="30"/>
      <x:c r="T184" s="30"/>
      <x:c r="U184" s="30" t="str">
        <x:v>Расхождений нет.</x:v>
      </x:c>
      <x:c r="V184" s="87" t="str">
        <x:v>VERIFIED</x:v>
      </x:c>
      <x:c r="W184" s="87" t="n">
        <x:v>11</x:v>
      </x:c>
      <x:c r="X184" s="87"/>
      <x:c r="Y184" s="87"/>
      <x:c r="Z184" s="87"/>
      <x:c r="AA184" s="87"/>
      <x:c r="AB184" s="87"/>
      <x:c r="AC184" s="87"/>
      <x:c r="AD184" s="87"/>
      <x:c r="AE184" s="87"/>
      <x:c r="AF184" s="87"/>
      <x:c r="AG184" s="87"/>
      <x:c r="AH184" s="87"/>
      <x:c r="AI184" s="30"/>
      <x:c r="AJ184" s="87" t="str">
        <x:v>master</x:v>
      </x:c>
      <x:c r="AK184" s="87" t="str">
        <x:v>master-v0.81</x:v>
      </x:c>
      <x:c r="AL184" s="87" t="str">
        <x:v>statgrad_master_base_v0_81_final(2).xlsx</x:v>
      </x:c>
      <x:c r="AM184" s="87" t="str">
        <x:v>PHYS_Jan_V1</x:v>
      </x:c>
      <x:c r="AN184" s="87" t="n">
        <x:v>20</x:v>
      </x:c>
    </x:row>
    <x:row r="185">
      <x:c r="A185" s="87" t="n">
        <x:v>184</x:v>
      </x:c>
      <x:c r="B185" s="87" t="str">
        <x:v>JAN-PHY-V1-020</x:v>
      </x:c>
      <x:c r="C185" s="87" t="str">
        <x:v>СтатГрад</x:v>
      </x:c>
      <x:c r="D185" s="87" t="str">
        <x:v>Январь 2026</x:v>
      </x:c>
      <x:c r="E185" s="87"/>
      <x:c r="F185" s="87"/>
      <x:c r="G185" s="87" t="str">
        <x:v>Физика</x:v>
      </x:c>
      <x:c r="H185" s="87" t="n">
        <x:v>11</x:v>
      </x:c>
      <x:c r="I185" s="87" t="str">
        <x:v>ТР №3</x:v>
      </x:c>
      <x:c r="J185" s="87" t="str">
        <x:v>ФИ2510301</x:v>
      </x:c>
      <x:c r="K185" s="87" t="n">
        <x:v>20</x:v>
      </x:c>
      <x:c r="L185" s="87" t="str">
        <x:v>Планирование эксперимента</x:v>
      </x:c>
      <x:c r="M185" s="30" t="str">
        <x:v>Выберите два маятника для проверки зависимости периода от массы груза.</x:v>
      </x:c>
      <x:c r="N185" s="30" t="str">
        <x:v>15</x:v>
      </x:c>
      <x:c r="O185" s="30" t="str">
        <x:v>Нужно изменить только массу, сохранив длину нити и материал груза. Этим условиям отвечают маятники 1 и 5: длина 50 см, дерево, массы 50 и 70 г.</x:v>
      </x:c>
      <x:c r="P185" s="30" t="str">
        <x:v>Контролируемые и изменяемая величины сопоставлены по таблице.</x:v>
      </x:c>
      <x:c r="Q185" s="30"/>
      <x:c r="R185" s="30" t="str">
        <x:v>15</x:v>
      </x:c>
      <x:c r="S185" s="30"/>
      <x:c r="T185" s="30"/>
      <x:c r="U185" s="30" t="str">
        <x:v>Расхождений нет.</x:v>
      </x:c>
      <x:c r="V185" s="87" t="str">
        <x:v>VERIFIED</x:v>
      </x:c>
      <x:c r="W185" s="87" t="n">
        <x:v>11</x:v>
      </x:c>
      <x:c r="X185" s="87"/>
      <x:c r="Y185" s="87"/>
      <x:c r="Z185" s="87"/>
      <x:c r="AA185" s="87"/>
      <x:c r="AB185" s="87"/>
      <x:c r="AC185" s="87"/>
      <x:c r="AD185" s="87"/>
      <x:c r="AE185" s="87"/>
      <x:c r="AF185" s="87"/>
      <x:c r="AG185" s="87"/>
      <x:c r="AH185" s="87"/>
      <x:c r="AI185" s="30"/>
      <x:c r="AJ185" s="87" t="str">
        <x:v>master</x:v>
      </x:c>
      <x:c r="AK185" s="87" t="str">
        <x:v>master-v0.81</x:v>
      </x:c>
      <x:c r="AL185" s="87" t="str">
        <x:v>statgrad_master_base_v0_81_final(2).xlsx</x:v>
      </x:c>
      <x:c r="AM185" s="87" t="str">
        <x:v>PHYS_Jan_V1</x:v>
      </x:c>
      <x:c r="AN185" s="87" t="n">
        <x:v>21</x:v>
      </x:c>
    </x:row>
    <x:row r="186">
      <x:c r="A186" s="87" t="n">
        <x:v>185</x:v>
      </x:c>
      <x:c r="B186" s="87" t="str">
        <x:v>JAN-PHY-V1-021</x:v>
      </x:c>
      <x:c r="C186" s="87" t="str">
        <x:v>СтатГрад</x:v>
      </x:c>
      <x:c r="D186" s="87" t="str">
        <x:v>Январь 2026</x:v>
      </x:c>
      <x:c r="E186" s="87"/>
      <x:c r="F186" s="87"/>
      <x:c r="G186" s="87" t="str">
        <x:v>Физика</x:v>
      </x:c>
      <x:c r="H186" s="87" t="n">
        <x:v>11</x:v>
      </x:c>
      <x:c r="I186" s="87" t="str">
        <x:v>ТР №3</x:v>
      </x:c>
      <x:c r="J186" s="87" t="str">
        <x:v>ФИ2510301</x:v>
      </x:c>
      <x:c r="K186" s="87" t="n">
        <x:v>21</x:v>
      </x:c>
      <x:c r="L186" s="87" t="str">
        <x:v>Развёрнутый ответ: МКТ</x:v>
      </x:c>
      <x:c r="M186" s="30" t="str">
        <x:v>По графику средней кинетической энергии молекул от объёма опишите изменения T, p и концентрации n в процессах 1–2 и 2–3.</x:v>
      </x:c>
      <x:c r="N186" s="30" t="str">
        <x:v>1–2: T увеличивается, p не меняется, n уменьшается; 2–3: T не меняется, p уменьшается, n уменьшается</x:v>
      </x:c>
      <x:c r="O186" s="30" t="str">
        <x:v>Для одноатомного идеального газа Ēk=3kT/2, а pV=νRT и n=N/V. На 1–2 Ēk∝V, поэтому T∝V и p=const; на 2–3 Ēk=const, поэтому T=const и при росте V давление падает. В обоих процессах V растёт, значит концентрация уменьшается.</x:v>
      </x:c>
      <x:c r="P186" s="30" t="str">
        <x:v>Все выводы независимо получены из трёх базовых соотношений МКТ.</x:v>
      </x:c>
      <x:c r="Q186" s="30"/>
      <x:c r="R186" s="30" t="str">
        <x:v>Критерии, стр. 1–2</x:v>
      </x:c>
      <x:c r="S186" s="30"/>
      <x:c r="T186" s="30"/>
      <x:c r="U186" s="30" t="str">
        <x:v>Критерий перенесён отдельно без изменения.</x:v>
      </x:c>
      <x:c r="V186" s="87" t="str">
        <x:v>VERIFIED</x:v>
      </x:c>
      <x:c r="W186" s="87" t="n">
        <x:v>12</x:v>
      </x:c>
      <x:c r="X186" s="87"/>
      <x:c r="Y186" s="87"/>
      <x:c r="Z186" s="87"/>
      <x:c r="AA186" s="87"/>
      <x:c r="AB186" s="87"/>
      <x:c r="AC186" s="87"/>
      <x:c r="AD186" s="87"/>
      <x:c r="AE186" s="87"/>
      <x:c r="AF186" s="87"/>
      <x:c r="AG186" s="87"/>
      <x:c r="AH186" s="87"/>
      <x:c r="AI186" s="30"/>
      <x:c r="AJ186" s="87" t="str">
        <x:v>master</x:v>
      </x:c>
      <x:c r="AK186" s="87" t="str">
        <x:v>master-v0.81</x:v>
      </x:c>
      <x:c r="AL186" s="87" t="str">
        <x:v>statgrad_master_base_v0_81_final(2).xlsx</x:v>
      </x:c>
      <x:c r="AM186" s="87" t="str">
        <x:v>PHYS_Jan_V1</x:v>
      </x:c>
      <x:c r="AN186" s="87" t="n">
        <x:v>22</x:v>
      </x:c>
    </x:row>
    <x:row r="187">
      <x:c r="A187" s="87" t="n">
        <x:v>186</x:v>
      </x:c>
      <x:c r="B187" s="87" t="str">
        <x:v>JAN-PHY-V1-022</x:v>
      </x:c>
      <x:c r="C187" s="87" t="str">
        <x:v>СтатГрад</x:v>
      </x:c>
      <x:c r="D187" s="87" t="str">
        <x:v>Январь 2026</x:v>
      </x:c>
      <x:c r="E187" s="87"/>
      <x:c r="F187" s="87"/>
      <x:c r="G187" s="87" t="str">
        <x:v>Физика</x:v>
      </x:c>
      <x:c r="H187" s="87" t="n">
        <x:v>11</x:v>
      </x:c>
      <x:c r="I187" s="87" t="str">
        <x:v>ТР №3</x:v>
      </x:c>
      <x:c r="J187" s="87" t="str">
        <x:v>ФИ2510301</x:v>
      </x:c>
      <x:c r="K187" s="87" t="n">
        <x:v>22</x:v>
      </x:c>
      <x:c r="L187" s="87" t="str">
        <x:v>Развёрнутый ответ: свободное падение</x:v>
      </x:c>
      <x:c r="M187" s="30" t="str">
        <x:v>Камень падает без начальной скорости; за последнюю секунду проходит 10 м. Найдите среднюю скорость за всё время.</x:v>
      </x:c>
      <x:c r="N187" s="30" t="str">
        <x:v>7,5 м/с</x:v>
      </x:c>
      <x:c r="O187" s="30" t="str">
        <x:v>Пусть полное время падения t. Тогда 10=g[t²−(t−1)²]/2, откуда при g=10 м/с² t=1,5 с. Средняя скорость H/t=(gt²/2)/t=gt/2=7,5 м/с.</x:v>
      </x:c>
      <x:c r="P187" s="30" t="str">
        <x:v>Решение проверено через путь за последний интервал и полную высоту.</x:v>
      </x:c>
      <x:c r="Q187" s="30"/>
      <x:c r="R187" s="30" t="str">
        <x:v>Критерии, стр. 2–3</x:v>
      </x:c>
      <x:c r="S187" s="30"/>
      <x:c r="T187" s="30"/>
      <x:c r="U187" s="30" t="str">
        <x:v>Критерий перенесён отдельно без изменения.</x:v>
      </x:c>
      <x:c r="V187" s="87" t="str">
        <x:v>VERIFIED</x:v>
      </x:c>
      <x:c r="W187" s="87" t="n">
        <x:v>12</x:v>
      </x:c>
      <x:c r="X187" s="87"/>
      <x:c r="Y187" s="87"/>
      <x:c r="Z187" s="87"/>
      <x:c r="AA187" s="87"/>
      <x:c r="AB187" s="87"/>
      <x:c r="AC187" s="87"/>
      <x:c r="AD187" s="87"/>
      <x:c r="AE187" s="87"/>
      <x:c r="AF187" s="87"/>
      <x:c r="AG187" s="87"/>
      <x:c r="AH187" s="87"/>
      <x:c r="AI187" s="30"/>
      <x:c r="AJ187" s="87" t="str">
        <x:v>master</x:v>
      </x:c>
      <x:c r="AK187" s="87" t="str">
        <x:v>master-v0.81</x:v>
      </x:c>
      <x:c r="AL187" s="87" t="str">
        <x:v>statgrad_master_base_v0_81_final(2).xlsx</x:v>
      </x:c>
      <x:c r="AM187" s="87" t="str">
        <x:v>PHYS_Jan_V1</x:v>
      </x:c>
      <x:c r="AN187" s="87" t="n">
        <x:v>23</x:v>
      </x:c>
    </x:row>
    <x:row r="188">
      <x:c r="A188" s="87" t="n">
        <x:v>187</x:v>
      </x:c>
      <x:c r="B188" s="87" t="str">
        <x:v>JAN-PHY-V1-023</x:v>
      </x:c>
      <x:c r="C188" s="87" t="str">
        <x:v>СтатГрад</x:v>
      </x:c>
      <x:c r="D188" s="87" t="str">
        <x:v>Январь 2026</x:v>
      </x:c>
      <x:c r="E188" s="87"/>
      <x:c r="F188" s="87"/>
      <x:c r="G188" s="87" t="str">
        <x:v>Физика</x:v>
      </x:c>
      <x:c r="H188" s="87" t="n">
        <x:v>11</x:v>
      </x:c>
      <x:c r="I188" s="87" t="str">
        <x:v>ТР №3</x:v>
      </x:c>
      <x:c r="J188" s="87" t="str">
        <x:v>ФИ2510301</x:v>
      </x:c>
      <x:c r="K188" s="87" t="n">
        <x:v>23</x:v>
      </x:c>
      <x:c r="L188" s="87" t="str">
        <x:v>Развёрнутый ответ: электрическая цепь</x:v>
      </x:c>
      <x:c r="M188" s="30" t="str">
        <x:v>ЭДС источника 9 В; при R=4 Ом напряжение на резисторе 8 В. Найдите ток короткого замыкания.</x:v>
      </x:c>
      <x:c r="N188" s="30" t="str">
        <x:v>18 А</x:v>
      </x:c>
      <x:c r="O188" s="30" t="str">
        <x:v>Ток нагрузки I=U/R=2 А. Внутреннее сопротивление r=(ε−U)/I=0,5 Ом, поэтому Iкз=ε/r=9/0,5=18 А.</x:v>
      </x:c>
      <x:c r="P188" s="30" t="str">
        <x:v>Расчёт проверен законами Ома для участка и полной цепи.</x:v>
      </x:c>
      <x:c r="Q188" s="30"/>
      <x:c r="R188" s="30" t="str">
        <x:v>Критерии, стр. 4–5</x:v>
      </x:c>
      <x:c r="S188" s="30"/>
      <x:c r="T188" s="30"/>
      <x:c r="U188" s="30" t="str">
        <x:v>Критерий перенесён отдельно без изменения.</x:v>
      </x:c>
      <x:c r="V188" s="87" t="str">
        <x:v>VERIFIED</x:v>
      </x:c>
      <x:c r="W188" s="87" t="n">
        <x:v>12</x:v>
      </x:c>
      <x:c r="X188" s="87"/>
      <x:c r="Y188" s="87"/>
      <x:c r="Z188" s="87"/>
      <x:c r="AA188" s="87"/>
      <x:c r="AB188" s="87"/>
      <x:c r="AC188" s="87"/>
      <x:c r="AD188" s="87"/>
      <x:c r="AE188" s="87"/>
      <x:c r="AF188" s="87"/>
      <x:c r="AG188" s="87"/>
      <x:c r="AH188" s="87"/>
      <x:c r="AI188" s="30"/>
      <x:c r="AJ188" s="87" t="str">
        <x:v>master</x:v>
      </x:c>
      <x:c r="AK188" s="87" t="str">
        <x:v>master-v0.81</x:v>
      </x:c>
      <x:c r="AL188" s="87" t="str">
        <x:v>statgrad_master_base_v0_81_final(2).xlsx</x:v>
      </x:c>
      <x:c r="AM188" s="87" t="str">
        <x:v>PHYS_Jan_V1</x:v>
      </x:c>
      <x:c r="AN188" s="87" t="n">
        <x:v>24</x:v>
      </x:c>
    </x:row>
    <x:row r="189">
      <x:c r="A189" s="87" t="n">
        <x:v>188</x:v>
      </x:c>
      <x:c r="B189" s="87" t="str">
        <x:v>JAN-PHY-V1-024</x:v>
      </x:c>
      <x:c r="C189" s="87" t="str">
        <x:v>СтатГрад</x:v>
      </x:c>
      <x:c r="D189" s="87" t="str">
        <x:v>Январь 2026</x:v>
      </x:c>
      <x:c r="E189" s="87"/>
      <x:c r="F189" s="87"/>
      <x:c r="G189" s="87" t="str">
        <x:v>Физика</x:v>
      </x:c>
      <x:c r="H189" s="87" t="n">
        <x:v>11</x:v>
      </x:c>
      <x:c r="I189" s="87" t="str">
        <x:v>ТР №3</x:v>
      </x:c>
      <x:c r="J189" s="87" t="str">
        <x:v>ФИ2510301</x:v>
      </x:c>
      <x:c r="K189" s="87" t="n">
        <x:v>24</x:v>
      </x:c>
      <x:c r="L189" s="87" t="str">
        <x:v>Развёрнутый ответ: термодинамика</x:v>
      </x:c>
      <x:c r="M189" s="30" t="str">
        <x:v>Гелий: T0=100 K, p0=10 кПа, V0=0,25 м³. Сначала изобарное, затем изохорное нагревание до 300 K; Qp=2Qv. Найдите Qp.</x:v>
      </x:c>
      <x:c r="N189" s="30" t="str">
        <x:v>≈6818 Дж</x:v>
      </x:c>
      <x:c r="O189" s="30" t="str">
        <x:v>Для одноатомного газа Qp=(5/2)νR(T−T0), а Qv=(3/2)νR(T1−T). Из Qp=2Qv находят промежуточную температуру и после подстановки νR=p0V0/T0 получают Qp≈6,82 кДж.</x:v>
      </x:c>
      <x:c r="P189" s="30" t="str">
        <x:v>Полный расчёт независимо проверен через первый закон термодинамики и уравнение состояния.</x:v>
      </x:c>
      <x:c r="Q189" s="30"/>
      <x:c r="R189" s="30" t="str">
        <x:v>Критерии, стр. 5–7</x:v>
      </x:c>
      <x:c r="S189" s="30"/>
      <x:c r="T189" s="30"/>
      <x:c r="U189" s="30" t="str">
        <x:v>Расхождений нет.</x:v>
      </x:c>
      <x:c r="V189" s="87" t="str">
        <x:v>VERIFIED</x:v>
      </x:c>
      <x:c r="W189" s="87" t="n">
        <x:v>13</x:v>
      </x:c>
      <x:c r="X189" s="87"/>
      <x:c r="Y189" s="87"/>
      <x:c r="Z189" s="87"/>
      <x:c r="AA189" s="87"/>
      <x:c r="AB189" s="87"/>
      <x:c r="AC189" s="87"/>
      <x:c r="AD189" s="87"/>
      <x:c r="AE189" s="87"/>
      <x:c r="AF189" s="87"/>
      <x:c r="AG189" s="87"/>
      <x:c r="AH189" s="87"/>
      <x:c r="AI189" s="30"/>
      <x:c r="AJ189" s="87" t="str">
        <x:v>master</x:v>
      </x:c>
      <x:c r="AK189" s="87" t="str">
        <x:v>master-v0.81</x:v>
      </x:c>
      <x:c r="AL189" s="87" t="str">
        <x:v>statgrad_master_base_v0_81_final(2).xlsx</x:v>
      </x:c>
      <x:c r="AM189" s="87" t="str">
        <x:v>PHYS_Jan_V1</x:v>
      </x:c>
      <x:c r="AN189" s="87" t="n">
        <x:v>25</x:v>
      </x:c>
    </x:row>
    <x:row r="190">
      <x:c r="A190" s="87" t="n">
        <x:v>189</x:v>
      </x:c>
      <x:c r="B190" s="87" t="str">
        <x:v>JAN-PHY-V1-025</x:v>
      </x:c>
      <x:c r="C190" s="87" t="str">
        <x:v>СтатГрад</x:v>
      </x:c>
      <x:c r="D190" s="87" t="str">
        <x:v>Январь 2026</x:v>
      </x:c>
      <x:c r="E190" s="87"/>
      <x:c r="F190" s="87"/>
      <x:c r="G190" s="87" t="str">
        <x:v>Физика</x:v>
      </x:c>
      <x:c r="H190" s="87" t="n">
        <x:v>11</x:v>
      </x:c>
      <x:c r="I190" s="87" t="str">
        <x:v>ТР №3</x:v>
      </x:c>
      <x:c r="J190" s="87" t="str">
        <x:v>ФИ2510301</x:v>
      </x:c>
      <x:c r="K190" s="87" t="n">
        <x:v>25</x:v>
      </x:c>
      <x:c r="L190" s="87" t="str">
        <x:v>Развёрнутый ответ: конденсатор</x:v>
      </x:c>
      <x:c r="M190" s="30" t="str">
        <x:v>В изолированный плоский конденсатор с q=2 мкКл вставили металлическую и диэлектрическую пластины; ε=3, ΔW=−3 мкДж. Найдите исходную ёмкость.</x:v>
      </x:c>
      <x:c r="N190" s="30" t="str">
        <x:v>≈0,23 мкФ</x:v>
      </x:c>
      <x:c r="O190" s="30" t="str">
        <x:v>После разбиения площади на две половины эквивалентная ёмкость равна Cобщ=2ε₀S(5ε+1)/[3d(2ε+1)]. Так как заряд постоянен, ΔW=q²/(2Cобщ)−q²/(2C). Подстановка q, ε и ΔW даёт C≈2,29·10⁻⁷ Ф=0,23 мкФ.</x:v>
      </x:c>
      <x:c r="P190" s="30" t="str">
        <x:v>Эквивалентная схема и энергетический расчёт перепроверены отдельно.</x:v>
      </x:c>
      <x:c r="Q190" s="30"/>
      <x:c r="R190" s="30" t="str">
        <x:v>Критерии, стр. 7–9</x:v>
      </x:c>
      <x:c r="S190" s="30"/>
      <x:c r="T190" s="30"/>
      <x:c r="U190" s="30" t="str">
        <x:v>В оригинале критериев после правильного вычисления напечатана посторонняя строка «Ответ: Vср=7,5» — очевидная копировальная ошибка.</x:v>
      </x:c>
      <x:c r="V190" s="87" t="str">
        <x:v>KEY_MISMATCH</x:v>
      </x:c>
      <x:c r="W190" s="87" t="n">
        <x:v>13</x:v>
      </x:c>
      <x:c r="X190" s="87"/>
      <x:c r="Y190" s="87"/>
      <x:c r="Z190" s="87"/>
      <x:c r="AA190" s="87"/>
      <x:c r="AB190" s="87"/>
      <x:c r="AC190" s="87"/>
      <x:c r="AD190" s="87"/>
      <x:c r="AE190" s="87"/>
      <x:c r="AF190" s="87"/>
      <x:c r="AG190" s="87"/>
      <x:c r="AH190" s="87"/>
      <x:c r="AI190" s="30"/>
      <x:c r="AJ190" s="87" t="str">
        <x:v>master</x:v>
      </x:c>
      <x:c r="AK190" s="87" t="str">
        <x:v>master-v0.81</x:v>
      </x:c>
      <x:c r="AL190" s="87" t="str">
        <x:v>statgrad_master_base_v0_81_final(2).xlsx</x:v>
      </x:c>
      <x:c r="AM190" s="87" t="str">
        <x:v>PHYS_Jan_V1</x:v>
      </x:c>
      <x:c r="AN190" s="87" t="n">
        <x:v>26</x:v>
      </x:c>
    </x:row>
    <x:row r="191">
      <x:c r="A191" s="87" t="n">
        <x:v>190</x:v>
      </x:c>
      <x:c r="B191" s="87" t="str">
        <x:v>JAN-PHY-V1-026</x:v>
      </x:c>
      <x:c r="C191" s="87" t="str">
        <x:v>СтатГрад</x:v>
      </x:c>
      <x:c r="D191" s="87" t="str">
        <x:v>Январь 2026</x:v>
      </x:c>
      <x:c r="E191" s="87"/>
      <x:c r="F191" s="87"/>
      <x:c r="G191" s="87" t="str">
        <x:v>Физика</x:v>
      </x:c>
      <x:c r="H191" s="87" t="n">
        <x:v>11</x:v>
      </x:c>
      <x:c r="I191" s="87" t="str">
        <x:v>ТР №3</x:v>
      </x:c>
      <x:c r="J191" s="87" t="str">
        <x:v>ФИ2510301</x:v>
      </x:c>
      <x:c r="K191" s="87" t="n">
        <x:v>26</x:v>
      </x:c>
      <x:c r="L191" s="87" t="str">
        <x:v>Развёрнутый ответ: равновесие твёрдого тела</x:v>
      </x:c>
      <x:c r="M191" s="30" t="str">
        <x:v>Полый цилиндр m=5,5 кг, R=15 см, r=10 см удерживается нитью на наклонной плоскости AB=1,5 м, BC=0,9 м. На сколько N превышает T?</x:v>
      </x:c>
      <x:c r="N191" s="30" t="str">
        <x:v>35 Н</x:v>
      </x:c>
      <x:c r="O191" s="30" t="str">
        <x:v>Из геометрии sinα=0,6, cosα=0,8. Условия поступательного и вращательного равновесия дают T=Rmg sinα/(r+R cosα), N=mg(R+r cosα)/(r+R cosα). Их разность равна 35 Н.</x:v>
      </x:c>
      <x:c r="P191" s="30" t="str">
        <x:v>Сумма сил и моментов проверена относительно центра цилиндра.</x:v>
      </x:c>
      <x:c r="Q191" s="30"/>
      <x:c r="R191" s="30" t="str">
        <x:v>Критерии, стр. 9–12</x:v>
      </x:c>
      <x:c r="S191" s="30"/>
      <x:c r="T191" s="30"/>
      <x:c r="U191" s="30" t="str">
        <x:v>Расхождений нет.</x:v>
      </x:c>
      <x:c r="V191" s="87" t="str">
        <x:v>VERIFIED</x:v>
      </x:c>
      <x:c r="W191" s="87" t="n">
        <x:v>13</x:v>
      </x:c>
      <x:c r="X191" s="87"/>
      <x:c r="Y191" s="87"/>
      <x:c r="Z191" s="87"/>
      <x:c r="AA191" s="87"/>
      <x:c r="AB191" s="87"/>
      <x:c r="AC191" s="87"/>
      <x:c r="AD191" s="87"/>
      <x:c r="AE191" s="87"/>
      <x:c r="AF191" s="87"/>
      <x:c r="AG191" s="87"/>
      <x:c r="AH191" s="87"/>
      <x:c r="AI191" s="30"/>
      <x:c r="AJ191" s="87" t="str">
        <x:v>master</x:v>
      </x:c>
      <x:c r="AK191" s="87" t="str">
        <x:v>master-v0.81</x:v>
      </x:c>
      <x:c r="AL191" s="87" t="str">
        <x:v>statgrad_master_base_v0_81_final(2).xlsx</x:v>
      </x:c>
      <x:c r="AM191" s="87" t="str">
        <x:v>PHYS_Jan_V1</x:v>
      </x:c>
      <x:c r="AN191" s="87" t="n">
        <x:v>27</x:v>
      </x:c>
    </x:row>
    <x:row r="192">
      <x:c r="A192" s="87" t="n">
        <x:v>191</x:v>
      </x:c>
      <x:c r="B192" s="87" t="str">
        <x:v>JAN-PHY-V2-001</x:v>
      </x:c>
      <x:c r="C192" s="87" t="str">
        <x:v>СтатГрад</x:v>
      </x:c>
      <x:c r="D192" s="87" t="str">
        <x:v>Январь 2026</x:v>
      </x:c>
      <x:c r="E192" s="87"/>
      <x:c r="F192" s="87"/>
      <x:c r="G192" s="87" t="str">
        <x:v>Физика</x:v>
      </x:c>
      <x:c r="H192" s="87" t="n">
        <x:v>11</x:v>
      </x:c>
      <x:c r="I192" s="87" t="str">
        <x:v>ТР №3</x:v>
      </x:c>
      <x:c r="J192" s="87" t="str">
        <x:v>ФИ2510302</x:v>
      </x:c>
      <x:c r="K192" s="87" t="n">
        <x:v>1</x:v>
      </x:c>
      <x:c r="L192" s="87" t="str">
        <x:v>Кинематика: график скорости</x:v>
      </x:c>
      <x:c r="M192" s="30" t="str">
        <x:v>По графику vx(t) найдите путь мотоцикла за промежуток 15–20 с.</x:v>
      </x:c>
      <x:c r="N192" s="30" t="str">
        <x:v>25 м</x:v>
      </x:c>
      <x:c r="O192" s="30" t="str">
        <x:v>На этом участке скорость линейно меняется от −10 до +10 м/с и обращается в ноль через 2,5 с. Путь равен сумме площадей двух треугольников: 2·(1/2)·2,5·10=25 м.</x:v>
      </x:c>
      <x:c r="P192" s="30" t="str">
        <x:v>Площадь под графиком |v(t)| рассчитана отдельно до и после смены направления.</x:v>
      </x:c>
      <x:c r="Q192" s="30"/>
      <x:c r="R192" s="30" t="str">
        <x:v>25</x:v>
      </x:c>
      <x:c r="S192" s="30"/>
      <x:c r="T192" s="30"/>
      <x:c r="U192" s="30" t="str">
        <x:v>Расхождений нет.</x:v>
      </x:c>
      <x:c r="V192" s="87" t="str">
        <x:v>VERIFIED</x:v>
      </x:c>
      <x:c r="W192" s="87" t="n">
        <x:v>4</x:v>
      </x:c>
      <x:c r="X192" s="87"/>
      <x:c r="Y192" s="87"/>
      <x:c r="Z192" s="87"/>
      <x:c r="AA192" s="87"/>
      <x:c r="AB192" s="87"/>
      <x:c r="AC192" s="87"/>
      <x:c r="AD192" s="87"/>
      <x:c r="AE192" s="87"/>
      <x:c r="AF192" s="87"/>
      <x:c r="AG192" s="87"/>
      <x:c r="AH192" s="87"/>
      <x:c r="AI192" s="30"/>
      <x:c r="AJ192" s="87" t="str">
        <x:v>master</x:v>
      </x:c>
      <x:c r="AK192" s="87" t="str">
        <x:v>master-v0.81</x:v>
      </x:c>
      <x:c r="AL192" s="87" t="str">
        <x:v>statgrad_master_base_v0_81_final(2).xlsx</x:v>
      </x:c>
      <x:c r="AM192" s="87" t="str">
        <x:v>PHYS_Jan_V2</x:v>
      </x:c>
      <x:c r="AN192" s="87" t="n">
        <x:v>2</x:v>
      </x:c>
    </x:row>
    <x:row r="193">
      <x:c r="A193" s="87" t="n">
        <x:v>192</x:v>
      </x:c>
      <x:c r="B193" s="87" t="str">
        <x:v>JAN-PHY-V2-002</x:v>
      </x:c>
      <x:c r="C193" s="87" t="str">
        <x:v>СтатГрад</x:v>
      </x:c>
      <x:c r="D193" s="87" t="str">
        <x:v>Январь 2026</x:v>
      </x:c>
      <x:c r="E193" s="87"/>
      <x:c r="F193" s="87"/>
      <x:c r="G193" s="87" t="str">
        <x:v>Физика</x:v>
      </x:c>
      <x:c r="H193" s="87" t="n">
        <x:v>11</x:v>
      </x:c>
      <x:c r="I193" s="87" t="str">
        <x:v>ТР №3</x:v>
      </x:c>
      <x:c r="J193" s="87" t="str">
        <x:v>ФИ2510302</x:v>
      </x:c>
      <x:c r="K193" s="87" t="n">
        <x:v>2</x:v>
      </x:c>
      <x:c r="L193" s="87" t="str">
        <x:v>Статика и закон Гука</x:v>
      </x:c>
      <x:c r="M193" s="30" t="str">
        <x:v>Кубик покоится между двумя пружинами. k₁=400 Н/м, правая пружина действует с силой 6 Н. Найдите сжатие левой пружины.</x:v>
      </x:c>
      <x:c r="N193" s="30" t="str">
        <x:v>1,5 см</x:v>
      </x:c>
      <x:c r="O193" s="30" t="str">
        <x:v>В равновесии силы пружин равны. По закону Гука x=F/k=6/400=0,015 м=1,5 см.</x:v>
      </x:c>
      <x:c r="P193" s="30" t="str">
        <x:v>Проверены условие равновесия и перевод единиц.</x:v>
      </x:c>
      <x:c r="Q193" s="30"/>
      <x:c r="R193" s="30" t="str">
        <x:v>1,5</x:v>
      </x:c>
      <x:c r="S193" s="30"/>
      <x:c r="T193" s="30"/>
      <x:c r="U193" s="30" t="str">
        <x:v>Расхождений нет.</x:v>
      </x:c>
      <x:c r="V193" s="87" t="str">
        <x:v>VERIFIED</x:v>
      </x:c>
      <x:c r="W193" s="87" t="n">
        <x:v>4</x:v>
      </x:c>
      <x:c r="X193" s="87"/>
      <x:c r="Y193" s="87"/>
      <x:c r="Z193" s="87"/>
      <x:c r="AA193" s="87"/>
      <x:c r="AB193" s="87"/>
      <x:c r="AC193" s="87"/>
      <x:c r="AD193" s="87"/>
      <x:c r="AE193" s="87"/>
      <x:c r="AF193" s="87"/>
      <x:c r="AG193" s="87"/>
      <x:c r="AH193" s="87"/>
      <x:c r="AI193" s="30"/>
      <x:c r="AJ193" s="87" t="str">
        <x:v>master</x:v>
      </x:c>
      <x:c r="AK193" s="87" t="str">
        <x:v>master-v0.81</x:v>
      </x:c>
      <x:c r="AL193" s="87" t="str">
        <x:v>statgrad_master_base_v0_81_final(2).xlsx</x:v>
      </x:c>
      <x:c r="AM193" s="87" t="str">
        <x:v>PHYS_Jan_V2</x:v>
      </x:c>
      <x:c r="AN193" s="87" t="n">
        <x:v>3</x:v>
      </x:c>
    </x:row>
    <x:row r="194">
      <x:c r="A194" s="87" t="n">
        <x:v>193</x:v>
      </x:c>
      <x:c r="B194" s="87" t="str">
        <x:v>JAN-PHY-V2-003</x:v>
      </x:c>
      <x:c r="C194" s="87" t="str">
        <x:v>СтатГрад</x:v>
      </x:c>
      <x:c r="D194" s="87" t="str">
        <x:v>Январь 2026</x:v>
      </x:c>
      <x:c r="E194" s="87"/>
      <x:c r="F194" s="87"/>
      <x:c r="G194" s="87" t="str">
        <x:v>Физика</x:v>
      </x:c>
      <x:c r="H194" s="87" t="n">
        <x:v>11</x:v>
      </x:c>
      <x:c r="I194" s="87" t="str">
        <x:v>ТР №3</x:v>
      </x:c>
      <x:c r="J194" s="87" t="str">
        <x:v>ФИ2510302</x:v>
      </x:c>
      <x:c r="K194" s="87" t="n">
        <x:v>3</x:v>
      </x:c>
      <x:c r="L194" s="87" t="str">
        <x:v>Потенциальная энергия</x:v>
      </x:c>
      <x:c r="M194" s="30" t="str">
        <x:v>Масса мотоциклиста с мотоциклом 340 кг. Отношение потенциальных энергий мотоциклиста и велосипедиста на одном мосту равно 2,5. Найдите массу велосипедиста с велосипедом.</x:v>
      </x:c>
      <x:c r="N194" s="30" t="str">
        <x:v>136 кг</x:v>
      </x:c>
      <x:c r="O194" s="30" t="str">
        <x:v>На одинаковой высоте Ep=mgh, поэтому отношение энергий равно отношению масс. mвел=340/2,5=136 кг.</x:v>
      </x:c>
      <x:c r="P194" s="30" t="str">
        <x:v>Высота и ускорение свободного падения сокращены в отношении.</x:v>
      </x:c>
      <x:c r="Q194" s="30"/>
      <x:c r="R194" s="30" t="str">
        <x:v>136</x:v>
      </x:c>
      <x:c r="S194" s="30"/>
      <x:c r="T194" s="30"/>
      <x:c r="U194" s="30" t="str">
        <x:v>Расхождений нет.</x:v>
      </x:c>
      <x:c r="V194" s="87" t="str">
        <x:v>VERIFIED</x:v>
      </x:c>
      <x:c r="W194" s="87" t="n">
        <x:v>4</x:v>
      </x:c>
      <x:c r="X194" s="87"/>
      <x:c r="Y194" s="87"/>
      <x:c r="Z194" s="87"/>
      <x:c r="AA194" s="87"/>
      <x:c r="AB194" s="87"/>
      <x:c r="AC194" s="87"/>
      <x:c r="AD194" s="87"/>
      <x:c r="AE194" s="87"/>
      <x:c r="AF194" s="87"/>
      <x:c r="AG194" s="87"/>
      <x:c r="AH194" s="87"/>
      <x:c r="AI194" s="30"/>
      <x:c r="AJ194" s="87" t="str">
        <x:v>master</x:v>
      </x:c>
      <x:c r="AK194" s="87" t="str">
        <x:v>master-v0.81</x:v>
      </x:c>
      <x:c r="AL194" s="87" t="str">
        <x:v>statgrad_master_base_v0_81_final(2).xlsx</x:v>
      </x:c>
      <x:c r="AM194" s="87" t="str">
        <x:v>PHYS_Jan_V2</x:v>
      </x:c>
      <x:c r="AN194" s="87" t="n">
        <x:v>4</x:v>
      </x:c>
    </x:row>
    <x:row r="195">
      <x:c r="A195" s="87" t="n">
        <x:v>194</x:v>
      </x:c>
      <x:c r="B195" s="87" t="str">
        <x:v>JAN-PHY-V2-004</x:v>
      </x:c>
      <x:c r="C195" s="87" t="str">
        <x:v>СтатГрад</x:v>
      </x:c>
      <x:c r="D195" s="87" t="str">
        <x:v>Январь 2026</x:v>
      </x:c>
      <x:c r="E195" s="87"/>
      <x:c r="F195" s="87"/>
      <x:c r="G195" s="87" t="str">
        <x:v>Физика</x:v>
      </x:c>
      <x:c r="H195" s="87" t="n">
        <x:v>11</x:v>
      </x:c>
      <x:c r="I195" s="87" t="str">
        <x:v>ТР №3</x:v>
      </x:c>
      <x:c r="J195" s="87" t="str">
        <x:v>ФИ2510302</x:v>
      </x:c>
      <x:c r="K195" s="87" t="n">
        <x:v>4</x:v>
      </x:c>
      <x:c r="L195" s="87" t="str">
        <x:v>Сила Архимеда</x:v>
      </x:c>
      <x:c r="M195" s="30" t="str">
        <x:v>Пластмассовый мяч объёмом 120 см³ погружён в воду на треть объёма. Найдите силу Архимеда.</x:v>
      </x:c>
      <x:c r="N195" s="30" t="str">
        <x:v>0,4 Н</x:v>
      </x:c>
      <x:c r="O195" s="30" t="str">
        <x:v>Погружённый объём равен 40 см³=4·10⁻⁵ м³. FA=ρgV=1000·10·4·10⁻⁵=0,4 Н.</x:v>
      </x:c>
      <x:c r="P195" s="30" t="str">
        <x:v>Проверены погружённый объём и единицы СИ.</x:v>
      </x:c>
      <x:c r="Q195" s="30"/>
      <x:c r="R195" s="30" t="str">
        <x:v>0,4</x:v>
      </x:c>
      <x:c r="S195" s="30"/>
      <x:c r="T195" s="30"/>
      <x:c r="U195" s="30" t="str">
        <x:v>Расхождений нет.</x:v>
      </x:c>
      <x:c r="V195" s="87" t="str">
        <x:v>VERIFIED</x:v>
      </x:c>
      <x:c r="W195" s="87" t="n">
        <x:v>5</x:v>
      </x:c>
      <x:c r="X195" s="87"/>
      <x:c r="Y195" s="87"/>
      <x:c r="Z195" s="87"/>
      <x:c r="AA195" s="87"/>
      <x:c r="AB195" s="87"/>
      <x:c r="AC195" s="87"/>
      <x:c r="AD195" s="87"/>
      <x:c r="AE195" s="87"/>
      <x:c r="AF195" s="87"/>
      <x:c r="AG195" s="87"/>
      <x:c r="AH195" s="87"/>
      <x:c r="AI195" s="30"/>
      <x:c r="AJ195" s="87" t="str">
        <x:v>master</x:v>
      </x:c>
      <x:c r="AK195" s="87" t="str">
        <x:v>master-v0.81</x:v>
      </x:c>
      <x:c r="AL195" s="87" t="str">
        <x:v>statgrad_master_base_v0_81_final(2).xlsx</x:v>
      </x:c>
      <x:c r="AM195" s="87" t="str">
        <x:v>PHYS_Jan_V2</x:v>
      </x:c>
      <x:c r="AN195" s="87" t="n">
        <x:v>5</x:v>
      </x:c>
    </x:row>
    <x:row r="196">
      <x:c r="A196" s="87" t="n">
        <x:v>195</x:v>
      </x:c>
      <x:c r="B196" s="87" t="str">
        <x:v>JAN-PHY-V2-005</x:v>
      </x:c>
      <x:c r="C196" s="87" t="str">
        <x:v>СтатГрад</x:v>
      </x:c>
      <x:c r="D196" s="87" t="str">
        <x:v>Январь 2026</x:v>
      </x:c>
      <x:c r="E196" s="87"/>
      <x:c r="F196" s="87"/>
      <x:c r="G196" s="87" t="str">
        <x:v>Физика</x:v>
      </x:c>
      <x:c r="H196" s="87" t="n">
        <x:v>11</x:v>
      </x:c>
      <x:c r="I196" s="87" t="str">
        <x:v>ТР №3</x:v>
      </x:c>
      <x:c r="J196" s="87" t="str">
        <x:v>ФИ2510302</x:v>
      </x:c>
      <x:c r="K196" s="87" t="n">
        <x:v>5</x:v>
      </x:c>
      <x:c r="L196" s="87" t="str">
        <x:v>Кинематика: график координаты</x:v>
      </x:c>
      <x:c r="M196" s="30" t="str">
        <x:v>Выберите верные утверждения по графику x(t) с точками A–E.</x:v>
      </x:c>
      <x:c r="N196" s="30" t="str">
        <x:v>14</x:v>
      </x:c>
      <x:c r="O196" s="30" t="str">
        <x:v>В точке D координата максимальна, поэтому ускорение направлено в отрицательную сторону (1). На участке ABC тело останавливается в точке B, значит утверждение 4 также верно. Остальные утверждения противоречат наклону графика и знаку перемещения.</x:v>
      </x:c>
      <x:c r="P196" s="30" t="str">
        <x:v>Ответ независимо проверен по первой и второй производным x(t).</x:v>
      </x:c>
      <x:c r="Q196" s="30"/>
      <x:c r="R196" s="30" t="str">
        <x:v>14</x:v>
      </x:c>
      <x:c r="S196" s="30"/>
      <x:c r="T196" s="30"/>
      <x:c r="U196" s="30" t="str">
        <x:v>Расхождений нет.</x:v>
      </x:c>
      <x:c r="V196" s="87" t="str">
        <x:v>VERIFIED</x:v>
      </x:c>
      <x:c r="W196" s="87" t="n">
        <x:v>5</x:v>
      </x:c>
      <x:c r="X196" s="87"/>
      <x:c r="Y196" s="87"/>
      <x:c r="Z196" s="87"/>
      <x:c r="AA196" s="87"/>
      <x:c r="AB196" s="87"/>
      <x:c r="AC196" s="87"/>
      <x:c r="AD196" s="87"/>
      <x:c r="AE196" s="87"/>
      <x:c r="AF196" s="87"/>
      <x:c r="AG196" s="87"/>
      <x:c r="AH196" s="87"/>
      <x:c r="AI196" s="30"/>
      <x:c r="AJ196" s="87" t="str">
        <x:v>master</x:v>
      </x:c>
      <x:c r="AK196" s="87" t="str">
        <x:v>master-v0.81</x:v>
      </x:c>
      <x:c r="AL196" s="87" t="str">
        <x:v>statgrad_master_base_v0_81_final(2).xlsx</x:v>
      </x:c>
      <x:c r="AM196" s="87" t="str">
        <x:v>PHYS_Jan_V2</x:v>
      </x:c>
      <x:c r="AN196" s="87" t="n">
        <x:v>6</x:v>
      </x:c>
    </x:row>
    <x:row r="197">
      <x:c r="A197" s="87" t="n">
        <x:v>196</x:v>
      </x:c>
      <x:c r="B197" s="87" t="str">
        <x:v>JAN-PHY-V2-006</x:v>
      </x:c>
      <x:c r="C197" s="87" t="str">
        <x:v>СтатГрад</x:v>
      </x:c>
      <x:c r="D197" s="87" t="str">
        <x:v>Январь 2026</x:v>
      </x:c>
      <x:c r="E197" s="87"/>
      <x:c r="F197" s="87"/>
      <x:c r="G197" s="87" t="str">
        <x:v>Физика</x:v>
      </x:c>
      <x:c r="H197" s="87" t="n">
        <x:v>11</x:v>
      </x:c>
      <x:c r="I197" s="87" t="str">
        <x:v>ТР №3</x:v>
      </x:c>
      <x:c r="J197" s="87" t="str">
        <x:v>ФИ2510302</x:v>
      </x:c>
      <x:c r="K197" s="87" t="n">
        <x:v>6</x:v>
      </x:c>
      <x:c r="L197" s="87" t="str">
        <x:v>Математический маятник</x:v>
      </x:c>
      <x:c r="M197" s="30" t="str">
        <x:v>Соотнесите два графика с физическими величинами при движении маятника, отпущенного из левого крайнего положения.</x:v>
      </x:c>
      <x:c r="N197" s="30" t="str">
        <x:v>А–1; Б–4</x:v>
      </x:c>
      <x:c r="O197" s="30" t="str">
        <x:v>Ускорение в начальный момент максимально и направлено к равновесию, затем меняет знак — это график А. Полная механическая энергия идеального маятника постоянна — график Б.</x:v>
      </x:c>
      <x:c r="P197" s="30" t="str">
        <x:v>Начальные условия и закон сохранения энергии проверены отдельно.</x:v>
      </x:c>
      <x:c r="Q197" s="30"/>
      <x:c r="R197" s="30" t="str">
        <x:v>1; 4</x:v>
      </x:c>
      <x:c r="S197" s="30"/>
      <x:c r="T197" s="30"/>
      <x:c r="U197" s="30" t="str">
        <x:v>Расхождений нет.</x:v>
      </x:c>
      <x:c r="V197" s="87" t="str">
        <x:v>VERIFIED</x:v>
      </x:c>
      <x:c r="W197" s="87" t="n">
        <x:v>6</x:v>
      </x:c>
      <x:c r="X197" s="87"/>
      <x:c r="Y197" s="87"/>
      <x:c r="Z197" s="87"/>
      <x:c r="AA197" s="87"/>
      <x:c r="AB197" s="87"/>
      <x:c r="AC197" s="87"/>
      <x:c r="AD197" s="87"/>
      <x:c r="AE197" s="87"/>
      <x:c r="AF197" s="87"/>
      <x:c r="AG197" s="87"/>
      <x:c r="AH197" s="87"/>
      <x:c r="AI197" s="30"/>
      <x:c r="AJ197" s="87" t="str">
        <x:v>master</x:v>
      </x:c>
      <x:c r="AK197" s="87" t="str">
        <x:v>master-v0.81</x:v>
      </x:c>
      <x:c r="AL197" s="87" t="str">
        <x:v>statgrad_master_base_v0_81_final(2).xlsx</x:v>
      </x:c>
      <x:c r="AM197" s="87" t="str">
        <x:v>PHYS_Jan_V2</x:v>
      </x:c>
      <x:c r="AN197" s="87" t="n">
        <x:v>7</x:v>
      </x:c>
    </x:row>
    <x:row r="198">
      <x:c r="A198" s="87" t="n">
        <x:v>197</x:v>
      </x:c>
      <x:c r="B198" s="87" t="str">
        <x:v>JAN-PHY-V2-007</x:v>
      </x:c>
      <x:c r="C198" s="87" t="str">
        <x:v>СтатГрад</x:v>
      </x:c>
      <x:c r="D198" s="87" t="str">
        <x:v>Январь 2026</x:v>
      </x:c>
      <x:c r="E198" s="87"/>
      <x:c r="F198" s="87"/>
      <x:c r="G198" s="87" t="str">
        <x:v>Физика</x:v>
      </x:c>
      <x:c r="H198" s="87" t="n">
        <x:v>11</x:v>
      </x:c>
      <x:c r="I198" s="87" t="str">
        <x:v>ТР №3</x:v>
      </x:c>
      <x:c r="J198" s="87" t="str">
        <x:v>ФИ2510302</x:v>
      </x:c>
      <x:c r="K198" s="87" t="n">
        <x:v>7</x:v>
      </x:c>
      <x:c r="L198" s="87" t="str">
        <x:v>Уравнение состояния газа</x:v>
      </x:c>
      <x:c r="M198" s="30" t="str">
        <x:v>Объём газа увеличили в 2 раза, температуру уменьшили в 1,2 раза. Начальное давление 120 кПа. Найдите конечное давление.</x:v>
      </x:c>
      <x:c r="N198" s="30" t="str">
        <x:v>50 кПа</x:v>
      </x:c>
      <x:c r="O198" s="30" t="str">
        <x:v>Для неизменного количества газа pV/T=const. p₂=120·(1/2)·(1/1,2)=50 кПа.</x:v>
      </x:c>
      <x:c r="P198" s="30" t="str">
        <x:v>Результат проверен объединённым газовым законом.</x:v>
      </x:c>
      <x:c r="Q198" s="30"/>
      <x:c r="R198" s="30" t="str">
        <x:v>50</x:v>
      </x:c>
      <x:c r="S198" s="30"/>
      <x:c r="T198" s="30"/>
      <x:c r="U198" s="30" t="str">
        <x:v>Расхождений нет.</x:v>
      </x:c>
      <x:c r="V198" s="87" t="str">
        <x:v>VERIFIED</x:v>
      </x:c>
      <x:c r="W198" s="87" t="n">
        <x:v>6</x:v>
      </x:c>
      <x:c r="X198" s="87"/>
      <x:c r="Y198" s="87"/>
      <x:c r="Z198" s="87"/>
      <x:c r="AA198" s="87"/>
      <x:c r="AB198" s="87"/>
      <x:c r="AC198" s="87"/>
      <x:c r="AD198" s="87"/>
      <x:c r="AE198" s="87"/>
      <x:c r="AF198" s="87"/>
      <x:c r="AG198" s="87"/>
      <x:c r="AH198" s="87"/>
      <x:c r="AI198" s="30"/>
      <x:c r="AJ198" s="87" t="str">
        <x:v>master</x:v>
      </x:c>
      <x:c r="AK198" s="87" t="str">
        <x:v>master-v0.81</x:v>
      </x:c>
      <x:c r="AL198" s="87" t="str">
        <x:v>statgrad_master_base_v0_81_final(2).xlsx</x:v>
      </x:c>
      <x:c r="AM198" s="87" t="str">
        <x:v>PHYS_Jan_V2</x:v>
      </x:c>
      <x:c r="AN198" s="87" t="n">
        <x:v>8</x:v>
      </x:c>
    </x:row>
    <x:row r="199">
      <x:c r="A199" s="87" t="n">
        <x:v>198</x:v>
      </x:c>
      <x:c r="B199" s="87" t="str">
        <x:v>JAN-PHY-V2-008</x:v>
      </x:c>
      <x:c r="C199" s="87" t="str">
        <x:v>СтатГрад</x:v>
      </x:c>
      <x:c r="D199" s="87" t="str">
        <x:v>Январь 2026</x:v>
      </x:c>
      <x:c r="E199" s="87"/>
      <x:c r="F199" s="87"/>
      <x:c r="G199" s="87" t="str">
        <x:v>Физика</x:v>
      </x:c>
      <x:c r="H199" s="87" t="n">
        <x:v>11</x:v>
      </x:c>
      <x:c r="I199" s="87" t="str">
        <x:v>ТР №3</x:v>
      </x:c>
      <x:c r="J199" s="87" t="str">
        <x:v>ФИ2510302</x:v>
      </x:c>
      <x:c r="K199" s="87" t="n">
        <x:v>8</x:v>
      </x:c>
      <x:c r="L199" s="87" t="str">
        <x:v>Плавление</x:v>
      </x:c>
      <x:c r="M199" s="30" t="str">
        <x:v>Вещество массой 0,9 кг нагревают. По графику t(Q) найдите массу расплава после получения 200 кДж.</x:v>
      </x:c>
      <x:c r="N199" s="30" t="str">
        <x:v>0,3 кг</x:v>
      </x:c>
      <x:c r="O199" s="30" t="str">
        <x:v>До начала плавления поглощено 100 кДж, а на полное плавление 0,9 кг требуется ещё 300 кДж. При Q=200 кДж на плавление пошло 100 кДж, то есть расплавилась треть массы: 0,3 кг.</x:v>
      </x:c>
      <x:c r="P199" s="30" t="str">
        <x:v>Масса найдена по пропорции на горизонтальном участке графика.</x:v>
      </x:c>
      <x:c r="Q199" s="30"/>
      <x:c r="R199" s="30" t="str">
        <x:v>0,3</x:v>
      </x:c>
      <x:c r="S199" s="30"/>
      <x:c r="T199" s="30"/>
      <x:c r="U199" s="30" t="str">
        <x:v>Расхождений нет.</x:v>
      </x:c>
      <x:c r="V199" s="87" t="str">
        <x:v>VERIFIED</x:v>
      </x:c>
      <x:c r="W199" s="87" t="n">
        <x:v>7</x:v>
      </x:c>
      <x:c r="X199" s="87"/>
      <x:c r="Y199" s="87"/>
      <x:c r="Z199" s="87"/>
      <x:c r="AA199" s="87"/>
      <x:c r="AB199" s="87"/>
      <x:c r="AC199" s="87"/>
      <x:c r="AD199" s="87"/>
      <x:c r="AE199" s="87"/>
      <x:c r="AF199" s="87"/>
      <x:c r="AG199" s="87"/>
      <x:c r="AH199" s="87"/>
      <x:c r="AI199" s="30"/>
      <x:c r="AJ199" s="87" t="str">
        <x:v>master</x:v>
      </x:c>
      <x:c r="AK199" s="87" t="str">
        <x:v>master-v0.81</x:v>
      </x:c>
      <x:c r="AL199" s="87" t="str">
        <x:v>statgrad_master_base_v0_81_final(2).xlsx</x:v>
      </x:c>
      <x:c r="AM199" s="87" t="str">
        <x:v>PHYS_Jan_V2</x:v>
      </x:c>
      <x:c r="AN199" s="87" t="n">
        <x:v>9</x:v>
      </x:c>
    </x:row>
    <x:row r="200">
      <x:c r="A200" s="87" t="n">
        <x:v>199</x:v>
      </x:c>
      <x:c r="B200" s="87" t="str">
        <x:v>JAN-PHY-V2-009</x:v>
      </x:c>
      <x:c r="C200" s="87" t="str">
        <x:v>СтатГрад</x:v>
      </x:c>
      <x:c r="D200" s="87" t="str">
        <x:v>Январь 2026</x:v>
      </x:c>
      <x:c r="E200" s="87"/>
      <x:c r="F200" s="87"/>
      <x:c r="G200" s="87" t="str">
        <x:v>Физика</x:v>
      </x:c>
      <x:c r="H200" s="87" t="n">
        <x:v>11</x:v>
      </x:c>
      <x:c r="I200" s="87" t="str">
        <x:v>ТР №3</x:v>
      </x:c>
      <x:c r="J200" s="87" t="str">
        <x:v>ФИ2510302</x:v>
      </x:c>
      <x:c r="K200" s="87" t="n">
        <x:v>9</x:v>
      </x:c>
      <x:c r="L200" s="87" t="str">
        <x:v>Термодинамические процессы</x:v>
      </x:c>
      <x:c r="M200" s="30" t="str">
        <x:v>Выберите верные утверждения по графику p(T) для состояний 1–2–3.</x:v>
      </x:c>
      <x:c r="N200" s="30" t="str">
        <x:v>125</x:v>
      </x:c>
      <x:c r="O200" s="30" t="str">
        <x:v>На 1–2 температура постоянна, поэтому внутренняя энергия не меняется (1). На 2–3 давление постоянно, температура и объём растут, поэтому газ совершает положительную работу (2). В состояниях 1 и 3 объёмы равны, следовательно, плотности одинаковы (5).</x:v>
      </x:c>
      <x:c r="P200" s="30" t="str">
        <x:v>Все пункты проверены по pV=νRT и первому закону термодинамики.</x:v>
      </x:c>
      <x:c r="Q200" s="30"/>
      <x:c r="R200" s="30" t="str">
        <x:v>125</x:v>
      </x:c>
      <x:c r="S200" s="30"/>
      <x:c r="T200" s="30"/>
      <x:c r="U200" s="30" t="str">
        <x:v>Расхождений нет.</x:v>
      </x:c>
      <x:c r="V200" s="87" t="str">
        <x:v>VERIFIED</x:v>
      </x:c>
      <x:c r="W200" s="87" t="n">
        <x:v>7</x:v>
      </x:c>
      <x:c r="X200" s="87"/>
      <x:c r="Y200" s="87"/>
      <x:c r="Z200" s="87"/>
      <x:c r="AA200" s="87"/>
      <x:c r="AB200" s="87"/>
      <x:c r="AC200" s="87"/>
      <x:c r="AD200" s="87"/>
      <x:c r="AE200" s="87"/>
      <x:c r="AF200" s="87"/>
      <x:c r="AG200" s="87"/>
      <x:c r="AH200" s="87"/>
      <x:c r="AI200" s="30"/>
      <x:c r="AJ200" s="87" t="str">
        <x:v>master</x:v>
      </x:c>
      <x:c r="AK200" s="87" t="str">
        <x:v>master-v0.81</x:v>
      </x:c>
      <x:c r="AL200" s="87" t="str">
        <x:v>statgrad_master_base_v0_81_final(2).xlsx</x:v>
      </x:c>
      <x:c r="AM200" s="87" t="str">
        <x:v>PHYS_Jan_V2</x:v>
      </x:c>
      <x:c r="AN200" s="87" t="n">
        <x:v>10</x:v>
      </x:c>
    </x:row>
    <x:row r="201">
      <x:c r="A201" s="87" t="n">
        <x:v>200</x:v>
      </x:c>
      <x:c r="B201" s="87" t="str">
        <x:v>JAN-PHY-V2-010</x:v>
      </x:c>
      <x:c r="C201" s="87" t="str">
        <x:v>СтатГрад</x:v>
      </x:c>
      <x:c r="D201" s="87" t="str">
        <x:v>Январь 2026</x:v>
      </x:c>
      <x:c r="E201" s="87"/>
      <x:c r="F201" s="87"/>
      <x:c r="G201" s="87" t="str">
        <x:v>Физика</x:v>
      </x:c>
      <x:c r="H201" s="87" t="n">
        <x:v>11</x:v>
      </x:c>
      <x:c r="I201" s="87" t="str">
        <x:v>ТР №3</x:v>
      </x:c>
      <x:c r="J201" s="87" t="str">
        <x:v>ФИ2510302</x:v>
      </x:c>
      <x:c r="K201" s="87" t="n">
        <x:v>10</x:v>
      </x:c>
      <x:c r="L201" s="87" t="str">
        <x:v>Тепловое равновесие</x:v>
      </x:c>
      <x:c r="M201" s="30" t="str">
        <x:v>В воду комнатной температуры положили лёд при 0 °C. Как изменятся удельная теплоёмкость воды и масса льда?</x:v>
      </x:c>
      <x:c r="N201" s="30" t="str">
        <x:v>3; 2</x:v>
      </x:c>
      <x:c r="O201" s="30" t="str">
        <x:v>Удельная теплоёмкость воды как свойство вещества не изменится. Часть льда расплавится, поэтому его масса уменьшится.</x:v>
      </x:c>
      <x:c r="P201" s="30" t="str">
        <x:v>Проверены неизменность удельной характеристики и направление фазового перехода.</x:v>
      </x:c>
      <x:c r="Q201" s="30"/>
      <x:c r="R201" s="30" t="str">
        <x:v>3; 2</x:v>
      </x:c>
      <x:c r="S201" s="30"/>
      <x:c r="T201" s="30"/>
      <x:c r="U201" s="30" t="str">
        <x:v>Расхождений нет.</x:v>
      </x:c>
      <x:c r="V201" s="87" t="str">
        <x:v>VERIFIED</x:v>
      </x:c>
      <x:c r="W201" s="87" t="n">
        <x:v>8</x:v>
      </x:c>
      <x:c r="X201" s="87"/>
      <x:c r="Y201" s="87"/>
      <x:c r="Z201" s="87"/>
      <x:c r="AA201" s="87"/>
      <x:c r="AB201" s="87"/>
      <x:c r="AC201" s="87"/>
      <x:c r="AD201" s="87"/>
      <x:c r="AE201" s="87"/>
      <x:c r="AF201" s="87"/>
      <x:c r="AG201" s="87"/>
      <x:c r="AH201" s="87"/>
      <x:c r="AI201" s="30"/>
      <x:c r="AJ201" s="87" t="str">
        <x:v>master</x:v>
      </x:c>
      <x:c r="AK201" s="87" t="str">
        <x:v>master-v0.81</x:v>
      </x:c>
      <x:c r="AL201" s="87" t="str">
        <x:v>statgrad_master_base_v0_81_final(2).xlsx</x:v>
      </x:c>
      <x:c r="AM201" s="87" t="str">
        <x:v>PHYS_Jan_V2</x:v>
      </x:c>
      <x:c r="AN201" s="87" t="n">
        <x:v>11</x:v>
      </x:c>
    </x:row>
    <x:row r="202">
      <x:c r="A202" s="87" t="n">
        <x:v>201</x:v>
      </x:c>
      <x:c r="B202" s="87" t="str">
        <x:v>JAN-PHY-V2-011</x:v>
      </x:c>
      <x:c r="C202" s="87" t="str">
        <x:v>СтатГрад</x:v>
      </x:c>
      <x:c r="D202" s="87" t="str">
        <x:v>Январь 2026</x:v>
      </x:c>
      <x:c r="E202" s="87"/>
      <x:c r="F202" s="87"/>
      <x:c r="G202" s="87" t="str">
        <x:v>Физика</x:v>
      </x:c>
      <x:c r="H202" s="87" t="n">
        <x:v>11</x:v>
      </x:c>
      <x:c r="I202" s="87" t="str">
        <x:v>ТР №3</x:v>
      </x:c>
      <x:c r="J202" s="87" t="str">
        <x:v>ФИ2510302</x:v>
      </x:c>
      <x:c r="K202" s="87" t="n">
        <x:v>11</x:v>
      </x:c>
      <x:c r="L202" s="87" t="str">
        <x:v>Работа электрического тока</x:v>
      </x:c>
      <x:c r="M202" s="30" t="str">
        <x:v>Чайник подключён к 220 В, ток 2 А; выделилось 66 кДж теплоты. Найдите время работы.</x:v>
      </x:c>
      <x:c r="N202" s="30" t="str">
        <x:v>150 с</x:v>
      </x:c>
      <x:c r="O202" s="30" t="str">
        <x:v>t=Q/(UI)=66000/(220·2)=150 с.</x:v>
      </x:c>
      <x:c r="P202" s="30" t="str">
        <x:v>Расчёт проверен через мощность P=UI=440 Вт.</x:v>
      </x:c>
      <x:c r="Q202" s="30"/>
      <x:c r="R202" s="30" t="str">
        <x:v>150</x:v>
      </x:c>
      <x:c r="S202" s="30"/>
      <x:c r="T202" s="30"/>
      <x:c r="U202" s="30" t="str">
        <x:v>Расхождений нет.</x:v>
      </x:c>
      <x:c r="V202" s="87" t="str">
        <x:v>VERIFIED</x:v>
      </x:c>
      <x:c r="W202" s="87" t="n">
        <x:v>8</x:v>
      </x:c>
      <x:c r="X202" s="87"/>
      <x:c r="Y202" s="87"/>
      <x:c r="Z202" s="87"/>
      <x:c r="AA202" s="87"/>
      <x:c r="AB202" s="87"/>
      <x:c r="AC202" s="87"/>
      <x:c r="AD202" s="87"/>
      <x:c r="AE202" s="87"/>
      <x:c r="AF202" s="87"/>
      <x:c r="AG202" s="87"/>
      <x:c r="AH202" s="87"/>
      <x:c r="AI202" s="30"/>
      <x:c r="AJ202" s="87" t="str">
        <x:v>master</x:v>
      </x:c>
      <x:c r="AK202" s="87" t="str">
        <x:v>master-v0.81</x:v>
      </x:c>
      <x:c r="AL202" s="87" t="str">
        <x:v>statgrad_master_base_v0_81_final(2).xlsx</x:v>
      </x:c>
      <x:c r="AM202" s="87" t="str">
        <x:v>PHYS_Jan_V2</x:v>
      </x:c>
      <x:c r="AN202" s="87" t="n">
        <x:v>12</x:v>
      </x:c>
    </x:row>
    <x:row r="203">
      <x:c r="A203" s="87" t="n">
        <x:v>202</x:v>
      </x:c>
      <x:c r="B203" s="87" t="str">
        <x:v>JAN-PHY-V2-012</x:v>
      </x:c>
      <x:c r="C203" s="87" t="str">
        <x:v>СтатГрад</x:v>
      </x:c>
      <x:c r="D203" s="87" t="str">
        <x:v>Январь 2026</x:v>
      </x:c>
      <x:c r="E203" s="87"/>
      <x:c r="F203" s="87"/>
      <x:c r="G203" s="87" t="str">
        <x:v>Физика</x:v>
      </x:c>
      <x:c r="H203" s="87" t="n">
        <x:v>11</x:v>
      </x:c>
      <x:c r="I203" s="87" t="str">
        <x:v>ТР №3</x:v>
      </x:c>
      <x:c r="J203" s="87" t="str">
        <x:v>ФИ2510302</x:v>
      </x:c>
      <x:c r="K203" s="87" t="n">
        <x:v>12</x:v>
      </x:c>
      <x:c r="L203" s="87" t="str">
        <x:v>Электромагнитная индукция</x:v>
      </x:c>
      <x:c r="M203" s="30" t="str">
        <x:v>Максимальная ЭДС квадратной рамки 4 мВ. Каждую сторону и угловую скорость увеличили в 1,5 раза. Найдите новую ЭДС.</x:v>
      </x:c>
      <x:c r="N203" s="30" t="str">
        <x:v>13,5 мВ</x:v>
      </x:c>
      <x:c r="O203" s="30" t="str">
        <x:v>εmax=BSω. Площадь увеличилась в 1,5²=2,25 раза, угловая скорость — в 1,5 раза. Общий множитель 3,375, поэтому ε=4·3,375=13,5 мВ.</x:v>
      </x:c>
      <x:c r="P203" s="30" t="str">
        <x:v>Пропорциональность ЭДС площади и угловой скорости проверена отдельно.</x:v>
      </x:c>
      <x:c r="Q203" s="30"/>
      <x:c r="R203" s="30" t="str">
        <x:v>13,5</x:v>
      </x:c>
      <x:c r="S203" s="30"/>
      <x:c r="T203" s="30"/>
      <x:c r="U203" s="30" t="str">
        <x:v>Расхождений нет.</x:v>
      </x:c>
      <x:c r="V203" s="87" t="str">
        <x:v>VERIFIED</x:v>
      </x:c>
      <x:c r="W203" s="87" t="n">
        <x:v>8</x:v>
      </x:c>
      <x:c r="X203" s="87"/>
      <x:c r="Y203" s="87"/>
      <x:c r="Z203" s="87"/>
      <x:c r="AA203" s="87"/>
      <x:c r="AB203" s="87"/>
      <x:c r="AC203" s="87"/>
      <x:c r="AD203" s="87"/>
      <x:c r="AE203" s="87"/>
      <x:c r="AF203" s="87"/>
      <x:c r="AG203" s="87"/>
      <x:c r="AH203" s="87"/>
      <x:c r="AI203" s="30"/>
      <x:c r="AJ203" s="87" t="str">
        <x:v>master</x:v>
      </x:c>
      <x:c r="AK203" s="87" t="str">
        <x:v>master-v0.81</x:v>
      </x:c>
      <x:c r="AL203" s="87" t="str">
        <x:v>statgrad_master_base_v0_81_final(2).xlsx</x:v>
      </x:c>
      <x:c r="AM203" s="87" t="str">
        <x:v>PHYS_Jan_V2</x:v>
      </x:c>
      <x:c r="AN203" s="87" t="n">
        <x:v>13</x:v>
      </x:c>
    </x:row>
    <x:row r="204">
      <x:c r="A204" s="87" t="n">
        <x:v>203</x:v>
      </x:c>
      <x:c r="B204" s="87" t="str">
        <x:v>JAN-PHY-V2-013</x:v>
      </x:c>
      <x:c r="C204" s="87" t="str">
        <x:v>СтатГрад</x:v>
      </x:c>
      <x:c r="D204" s="87" t="str">
        <x:v>Январь 2026</x:v>
      </x:c>
      <x:c r="E204" s="87"/>
      <x:c r="F204" s="87"/>
      <x:c r="G204" s="87" t="str">
        <x:v>Физика</x:v>
      </x:c>
      <x:c r="H204" s="87" t="n">
        <x:v>11</x:v>
      </x:c>
      <x:c r="I204" s="87" t="str">
        <x:v>ТР №3</x:v>
      </x:c>
      <x:c r="J204" s="87" t="str">
        <x:v>ФИ2510302</x:v>
      </x:c>
      <x:c r="K204" s="87" t="n">
        <x:v>13</x:v>
      </x:c>
      <x:c r="L204" s="87" t="str">
        <x:v>Закон отражения</x:v>
      </x:c>
      <x:c r="M204" s="30" t="str">
        <x:v>Угол между падающим и отражённым лучами 45°. Зеркало поворачивают на 10° как на рисунке. Найдите угол между падающим лучом и плоскостью зеркала.</x:v>
      </x:c>
      <x:c r="N204" s="30" t="str">
        <x:v>57,5°</x:v>
      </x:c>
      <x:c r="O204" s="30" t="str">
        <x:v>Первоначальный угол луча с зеркалом равен 90°−45°/2=67,5°. После поворота зеркала в сторону луча на 10° искомый угол уменьшается до 57,5°.</x:v>
      </x:c>
      <x:c r="P204" s="30" t="str">
        <x:v>Геометрия проверена через угол падения и ориентацию новой плоскости зеркала.</x:v>
      </x:c>
      <x:c r="Q204" s="30"/>
      <x:c r="R204" s="30" t="str">
        <x:v>57,5</x:v>
      </x:c>
      <x:c r="S204" s="30"/>
      <x:c r="T204" s="30"/>
      <x:c r="U204" s="30" t="str">
        <x:v>Расхождений нет.</x:v>
      </x:c>
      <x:c r="V204" s="87" t="str">
        <x:v>VERIFIED</x:v>
      </x:c>
      <x:c r="W204" s="87" t="n">
        <x:v>8</x:v>
      </x:c>
      <x:c r="X204" s="87"/>
      <x:c r="Y204" s="87"/>
      <x:c r="Z204" s="87"/>
      <x:c r="AA204" s="87"/>
      <x:c r="AB204" s="87"/>
      <x:c r="AC204" s="87"/>
      <x:c r="AD204" s="87"/>
      <x:c r="AE204" s="87"/>
      <x:c r="AF204" s="87"/>
      <x:c r="AG204" s="87"/>
      <x:c r="AH204" s="87"/>
      <x:c r="AI204" s="30"/>
      <x:c r="AJ204" s="87" t="str">
        <x:v>master</x:v>
      </x:c>
      <x:c r="AK204" s="87" t="str">
        <x:v>master-v0.81</x:v>
      </x:c>
      <x:c r="AL204" s="87" t="str">
        <x:v>statgrad_master_base_v0_81_final(2).xlsx</x:v>
      </x:c>
      <x:c r="AM204" s="87" t="str">
        <x:v>PHYS_Jan_V2</x:v>
      </x:c>
      <x:c r="AN204" s="87" t="n">
        <x:v>14</x:v>
      </x:c>
    </x:row>
    <x:row r="205">
      <x:c r="A205" s="87" t="n">
        <x:v>204</x:v>
      </x:c>
      <x:c r="B205" s="87" t="str">
        <x:v>JAN-PHY-V2-014</x:v>
      </x:c>
      <x:c r="C205" s="87" t="str">
        <x:v>СтатГрад</x:v>
      </x:c>
      <x:c r="D205" s="87" t="str">
        <x:v>Январь 2026</x:v>
      </x:c>
      <x:c r="E205" s="87"/>
      <x:c r="F205" s="87"/>
      <x:c r="G205" s="87" t="str">
        <x:v>Физика</x:v>
      </x:c>
      <x:c r="H205" s="87" t="n">
        <x:v>11</x:v>
      </x:c>
      <x:c r="I205" s="87" t="str">
        <x:v>ТР №3</x:v>
      </x:c>
      <x:c r="J205" s="87" t="str">
        <x:v>ФИ2510302</x:v>
      </x:c>
      <x:c r="K205" s="87" t="n">
        <x:v>14</x:v>
      </x:c>
      <x:c r="L205" s="87" t="str">
        <x:v>Электростатика</x:v>
      </x:c>
      <x:c r="M205" s="30" t="str">
        <x:v>Положительно заряженная капля находится в равновесии между горизонтальными пластинами конденсатора. Выберите верные утверждения.</x:v>
      </x:c>
      <x:c r="N205" s="30" t="str">
        <x:v>134</x:v>
      </x:c>
      <x:c r="O205" s="30" t="str">
        <x:v>Для положительного заряда электрическая сила должна быть направлена вверх, поэтому поле направлено вверх, а верхняя пластина отрицательна (1). Силы тяжести и электрическая сила равны по модулю (3). После смены знаков пластин капля начнёт двигаться вниз (4).</x:v>
      </x:c>
      <x:c r="P205" s="30" t="str">
        <x:v>Направления поля и сил проверены по F=qE.</x:v>
      </x:c>
      <x:c r="Q205" s="30"/>
      <x:c r="R205" s="30" t="str">
        <x:v>134</x:v>
      </x:c>
      <x:c r="S205" s="30"/>
      <x:c r="T205" s="30"/>
      <x:c r="U205" s="30" t="str">
        <x:v>Расхождений нет.</x:v>
      </x:c>
      <x:c r="V205" s="87" t="str">
        <x:v>VERIFIED</x:v>
      </x:c>
      <x:c r="W205" s="87" t="n">
        <x:v>9</x:v>
      </x:c>
      <x:c r="X205" s="87"/>
      <x:c r="Y205" s="87"/>
      <x:c r="Z205" s="87"/>
      <x:c r="AA205" s="87"/>
      <x:c r="AB205" s="87"/>
      <x:c r="AC205" s="87"/>
      <x:c r="AD205" s="87"/>
      <x:c r="AE205" s="87"/>
      <x:c r="AF205" s="87"/>
      <x:c r="AG205" s="87"/>
      <x:c r="AH205" s="87"/>
      <x:c r="AI205" s="30"/>
      <x:c r="AJ205" s="87" t="str">
        <x:v>master</x:v>
      </x:c>
      <x:c r="AK205" s="87" t="str">
        <x:v>master-v0.81</x:v>
      </x:c>
      <x:c r="AL205" s="87" t="str">
        <x:v>statgrad_master_base_v0_81_final(2).xlsx</x:v>
      </x:c>
      <x:c r="AM205" s="87" t="str">
        <x:v>PHYS_Jan_V2</x:v>
      </x:c>
      <x:c r="AN205" s="87" t="n">
        <x:v>15</x:v>
      </x:c>
    </x:row>
    <x:row r="206">
      <x:c r="A206" s="87" t="n">
        <x:v>205</x:v>
      </x:c>
      <x:c r="B206" s="87" t="str">
        <x:v>JAN-PHY-V2-015</x:v>
      </x:c>
      <x:c r="C206" s="87" t="str">
        <x:v>СтатГрад</x:v>
      </x:c>
      <x:c r="D206" s="87" t="str">
        <x:v>Январь 2026</x:v>
      </x:c>
      <x:c r="E206" s="87"/>
      <x:c r="F206" s="87"/>
      <x:c r="G206" s="87" t="str">
        <x:v>Физика</x:v>
      </x:c>
      <x:c r="H206" s="87" t="n">
        <x:v>11</x:v>
      </x:c>
      <x:c r="I206" s="87" t="str">
        <x:v>ТР №3</x:v>
      </x:c>
      <x:c r="J206" s="87" t="str">
        <x:v>ФИ2510302</x:v>
      </x:c>
      <x:c r="K206" s="87" t="n">
        <x:v>15</x:v>
      </x:c>
      <x:c r="L206" s="87" t="str">
        <x:v>Колебательный контур</x:v>
      </x:c>
      <x:c r="M206" s="30" t="str">
        <x:v>Соотнесите максимальную энергию магнитного поля катушки и максимальное напряжение на конденсаторе с формулами через L, T и q.</x:v>
      </x:c>
      <x:c r="N206" s="30" t="str">
        <x:v>А–1; Б–2</x:v>
      </x:c>
      <x:c r="O206" s="30" t="str">
        <x:v>Imax=2πq/T, поэтому WL,max=LImax²/2=2π²q²L/T² — формула 1. C=T²/(4π²L), поэтому Umax=q/C=4π²qL/T² — формула 2.</x:v>
      </x:c>
      <x:c r="P206" s="30" t="str">
        <x:v>Обе формулы выведены из T=2π√(LC) и закона сохранения энергии.</x:v>
      </x:c>
      <x:c r="Q206" s="30"/>
      <x:c r="R206" s="30" t="str">
        <x:v>1; 2</x:v>
      </x:c>
      <x:c r="S206" s="30"/>
      <x:c r="T206" s="30"/>
      <x:c r="U206" s="30" t="str">
        <x:v>Расхождений нет.</x:v>
      </x:c>
      <x:c r="V206" s="87" t="str">
        <x:v>VERIFIED</x:v>
      </x:c>
      <x:c r="W206" s="87" t="n">
        <x:v>9</x:v>
      </x:c>
      <x:c r="X206" s="87"/>
      <x:c r="Y206" s="87"/>
      <x:c r="Z206" s="87"/>
      <x:c r="AA206" s="87"/>
      <x:c r="AB206" s="87"/>
      <x:c r="AC206" s="87"/>
      <x:c r="AD206" s="87"/>
      <x:c r="AE206" s="87"/>
      <x:c r="AF206" s="87"/>
      <x:c r="AG206" s="87"/>
      <x:c r="AH206" s="87"/>
      <x:c r="AI206" s="30"/>
      <x:c r="AJ206" s="87" t="str">
        <x:v>master</x:v>
      </x:c>
      <x:c r="AK206" s="87" t="str">
        <x:v>master-v0.81</x:v>
      </x:c>
      <x:c r="AL206" s="87" t="str">
        <x:v>statgrad_master_base_v0_81_final(2).xlsx</x:v>
      </x:c>
      <x:c r="AM206" s="87" t="str">
        <x:v>PHYS_Jan_V2</x:v>
      </x:c>
      <x:c r="AN206" s="87" t="n">
        <x:v>16</x:v>
      </x:c>
    </x:row>
    <x:row r="207">
      <x:c r="A207" s="87" t="n">
        <x:v>206</x:v>
      </x:c>
      <x:c r="B207" s="87" t="str">
        <x:v>JAN-PHY-V2-016</x:v>
      </x:c>
      <x:c r="C207" s="87" t="str">
        <x:v>СтатГрад</x:v>
      </x:c>
      <x:c r="D207" s="87" t="str">
        <x:v>Январь 2026</x:v>
      </x:c>
      <x:c r="E207" s="87"/>
      <x:c r="F207" s="87"/>
      <x:c r="G207" s="87" t="str">
        <x:v>Физика</x:v>
      </x:c>
      <x:c r="H207" s="87" t="n">
        <x:v>11</x:v>
      </x:c>
      <x:c r="I207" s="87" t="str">
        <x:v>ТР №3</x:v>
      </x:c>
      <x:c r="J207" s="87" t="str">
        <x:v>ФИ2510302</x:v>
      </x:c>
      <x:c r="K207" s="87" t="n">
        <x:v>16</x:v>
      </x:c>
      <x:c r="L207" s="87" t="str">
        <x:v>Ядерная физика</x:v>
      </x:c>
      <x:c r="M207" s="30" t="str">
        <x:v>Ядро испытывает один α-распад и один электронный β-распад. На сколько уменьшается зарядовое число?</x:v>
      </x:c>
      <x:c r="N207" s="30" t="str">
        <x:v>1</x:v>
      </x:c>
      <x:c r="O207" s="30" t="str">
        <x:v>При α-распаде Z уменьшается на 2, при β⁻-распаде увеличивается на 1. Итоговое уменьшение равно 1.</x:v>
      </x:c>
      <x:c r="P207" s="30" t="str">
        <x:v>Изменение зарядового числа рассчитано по двум последовательным распадам.</x:v>
      </x:c>
      <x:c r="Q207" s="30"/>
      <x:c r="R207" s="30" t="str">
        <x:v>1</x:v>
      </x:c>
      <x:c r="S207" s="30"/>
      <x:c r="T207" s="30"/>
      <x:c r="U207" s="30" t="str">
        <x:v>Расхождений нет.</x:v>
      </x:c>
      <x:c r="V207" s="87" t="str">
        <x:v>VERIFIED</x:v>
      </x:c>
      <x:c r="W207" s="87" t="n">
        <x:v>10</x:v>
      </x:c>
      <x:c r="X207" s="87"/>
      <x:c r="Y207" s="87"/>
      <x:c r="Z207" s="87"/>
      <x:c r="AA207" s="87"/>
      <x:c r="AB207" s="87"/>
      <x:c r="AC207" s="87"/>
      <x:c r="AD207" s="87"/>
      <x:c r="AE207" s="87"/>
      <x:c r="AF207" s="87"/>
      <x:c r="AG207" s="87"/>
      <x:c r="AH207" s="87"/>
      <x:c r="AI207" s="30"/>
      <x:c r="AJ207" s="87" t="str">
        <x:v>master</x:v>
      </x:c>
      <x:c r="AK207" s="87" t="str">
        <x:v>master-v0.81</x:v>
      </x:c>
      <x:c r="AL207" s="87" t="str">
        <x:v>statgrad_master_base_v0_81_final(2).xlsx</x:v>
      </x:c>
      <x:c r="AM207" s="87" t="str">
        <x:v>PHYS_Jan_V2</x:v>
      </x:c>
      <x:c r="AN207" s="87" t="n">
        <x:v>17</x:v>
      </x:c>
    </x:row>
    <x:row r="208">
      <x:c r="A208" s="87" t="n">
        <x:v>207</x:v>
      </x:c>
      <x:c r="B208" s="87" t="str">
        <x:v>JAN-PHY-V2-017</x:v>
      </x:c>
      <x:c r="C208" s="87" t="str">
        <x:v>СтатГрад</x:v>
      </x:c>
      <x:c r="D208" s="87" t="str">
        <x:v>Январь 2026</x:v>
      </x:c>
      <x:c r="E208" s="87"/>
      <x:c r="F208" s="87"/>
      <x:c r="G208" s="87" t="str">
        <x:v>Физика</x:v>
      </x:c>
      <x:c r="H208" s="87" t="n">
        <x:v>11</x:v>
      </x:c>
      <x:c r="I208" s="87" t="str">
        <x:v>ТР №3</x:v>
      </x:c>
      <x:c r="J208" s="87" t="str">
        <x:v>ФИ2510302</x:v>
      </x:c>
      <x:c r="K208" s="87" t="n">
        <x:v>17</x:v>
      </x:c>
      <x:c r="L208" s="87" t="str">
        <x:v>Энергетические уровни атома</x:v>
      </x:c>
      <x:c r="M208" s="30" t="str">
        <x:v>Определите переход с излучением фотона наименьшей энергии и переход с поглощением света наименьшей длины волны.</x:v>
      </x:c>
      <x:c r="N208" s="30" t="str">
        <x:v>А–3; Б–2</x:v>
      </x:c>
      <x:c r="O208" s="30" t="str">
        <x:v>Среди переходов вниз меньшая разность энергий у E3→E0 (переход 3). Среди переходов вверх наибольшая энергия, а значит наименьшая длина волны, у E0→E2 (переход 2).</x:v>
      </x:c>
      <x:c r="P208" s="30" t="str">
        <x:v>Использована связь Eф=hc/λ и сравнение разностей уровней.</x:v>
      </x:c>
      <x:c r="Q208" s="30"/>
      <x:c r="R208" s="30" t="str">
        <x:v>3; 2</x:v>
      </x:c>
      <x:c r="S208" s="30"/>
      <x:c r="T208" s="30"/>
      <x:c r="U208" s="30" t="str">
        <x:v>Расхождений нет.</x:v>
      </x:c>
      <x:c r="V208" s="87" t="str">
        <x:v>VERIFIED</x:v>
      </x:c>
      <x:c r="W208" s="87" t="n">
        <x:v>10</x:v>
      </x:c>
      <x:c r="X208" s="87"/>
      <x:c r="Y208" s="87"/>
      <x:c r="Z208" s="87"/>
      <x:c r="AA208" s="87"/>
      <x:c r="AB208" s="87"/>
      <x:c r="AC208" s="87"/>
      <x:c r="AD208" s="87"/>
      <x:c r="AE208" s="87"/>
      <x:c r="AF208" s="87"/>
      <x:c r="AG208" s="87"/>
      <x:c r="AH208" s="87"/>
      <x:c r="AI208" s="30"/>
      <x:c r="AJ208" s="87" t="str">
        <x:v>master</x:v>
      </x:c>
      <x:c r="AK208" s="87" t="str">
        <x:v>master-v0.81</x:v>
      </x:c>
      <x:c r="AL208" s="87" t="str">
        <x:v>statgrad_master_base_v0_81_final(2).xlsx</x:v>
      </x:c>
      <x:c r="AM208" s="87" t="str">
        <x:v>PHYS_Jan_V2</x:v>
      </x:c>
      <x:c r="AN208" s="87" t="n">
        <x:v>18</x:v>
      </x:c>
    </x:row>
    <x:row r="209">
      <x:c r="A209" s="87" t="n">
        <x:v>208</x:v>
      </x:c>
      <x:c r="B209" s="87" t="str">
        <x:v>JAN-PHY-V2-018</x:v>
      </x:c>
      <x:c r="C209" s="87" t="str">
        <x:v>СтатГрад</x:v>
      </x:c>
      <x:c r="D209" s="87" t="str">
        <x:v>Январь 2026</x:v>
      </x:c>
      <x:c r="E209" s="87"/>
      <x:c r="F209" s="87"/>
      <x:c r="G209" s="87" t="str">
        <x:v>Физика</x:v>
      </x:c>
      <x:c r="H209" s="87" t="n">
        <x:v>11</x:v>
      </x:c>
      <x:c r="I209" s="87" t="str">
        <x:v>ТР №3</x:v>
      </x:c>
      <x:c r="J209" s="87" t="str">
        <x:v>ФИ2510302</x:v>
      </x:c>
      <x:c r="K209" s="87" t="n">
        <x:v>18</x:v>
      </x:c>
      <x:c r="L209" s="87" t="str">
        <x:v>Физические утверждения</x:v>
      </x:c>
      <x:c r="M209" s="30" t="str">
        <x:v>Выберите все верные утверждения о перемещении, третьем законе Ньютона, кристаллизации, законе Кулона и фотоэффекте.</x:v>
      </x:c>
      <x:c r="N209" s="30" t="str">
        <x:v>124</x:v>
      </x:c>
      <x:c r="O209" s="30" t="str">
        <x:v>Перемещение — направленный отрезок между начальным и конечным положениями (1). Силы взаимодействия Солнца и Земли равны по модулю (2). Кулоновская сила обратно пропорциональна квадрату расстояния (4).</x:v>
      </x:c>
      <x:c r="P209" s="30" t="str">
        <x:v>Пункты 3 и 5 исключены: кристаллизация сопровождается выделением теплоты, а максимальная энергия фотоэлектронов зависит от частоты.</x:v>
      </x:c>
      <x:c r="Q209" s="30"/>
      <x:c r="R209" s="30" t="str">
        <x:v>124</x:v>
      </x:c>
      <x:c r="S209" s="30"/>
      <x:c r="T209" s="30"/>
      <x:c r="U209" s="30" t="str">
        <x:v>Расхождений нет.</x:v>
      </x:c>
      <x:c r="V209" s="87" t="str">
        <x:v>VERIFIED</x:v>
      </x:c>
      <x:c r="W209" s="87" t="n">
        <x:v>11</x:v>
      </x:c>
      <x:c r="X209" s="87"/>
      <x:c r="Y209" s="87"/>
      <x:c r="Z209" s="87"/>
      <x:c r="AA209" s="87"/>
      <x:c r="AB209" s="87"/>
      <x:c r="AC209" s="87"/>
      <x:c r="AD209" s="87"/>
      <x:c r="AE209" s="87"/>
      <x:c r="AF209" s="87"/>
      <x:c r="AG209" s="87"/>
      <x:c r="AH209" s="87"/>
      <x:c r="AI209" s="30"/>
      <x:c r="AJ209" s="87" t="str">
        <x:v>master</x:v>
      </x:c>
      <x:c r="AK209" s="87" t="str">
        <x:v>master-v0.81</x:v>
      </x:c>
      <x:c r="AL209" s="87" t="str">
        <x:v>statgrad_master_base_v0_81_final(2).xlsx</x:v>
      </x:c>
      <x:c r="AM209" s="87" t="str">
        <x:v>PHYS_Jan_V2</x:v>
      </x:c>
      <x:c r="AN209" s="87" t="n">
        <x:v>19</x:v>
      </x:c>
    </x:row>
    <x:row r="210">
      <x:c r="A210" s="87" t="n">
        <x:v>209</x:v>
      </x:c>
      <x:c r="B210" s="87" t="str">
        <x:v>JAN-PHY-V2-019</x:v>
      </x:c>
      <x:c r="C210" s="87" t="str">
        <x:v>СтатГрад</x:v>
      </x:c>
      <x:c r="D210" s="87" t="str">
        <x:v>Январь 2026</x:v>
      </x:c>
      <x:c r="E210" s="87"/>
      <x:c r="F210" s="87"/>
      <x:c r="G210" s="87" t="str">
        <x:v>Физика</x:v>
      </x:c>
      <x:c r="H210" s="87" t="n">
        <x:v>11</x:v>
      </x:c>
      <x:c r="I210" s="87" t="str">
        <x:v>ТР №3</x:v>
      </x:c>
      <x:c r="J210" s="87" t="str">
        <x:v>ФИ2510302</x:v>
      </x:c>
      <x:c r="K210" s="87" t="n">
        <x:v>19</x:v>
      </x:c>
      <x:c r="L210" s="87" t="str">
        <x:v>Погрешность измерений</x:v>
      </x:c>
      <x:c r="M210" s="30" t="str">
        <x:v>Маятник совершает 50 колебаний за (60,0±0,5) с. Найдите период с погрешностью.</x:v>
      </x:c>
      <x:c r="N210" s="30" t="str">
        <x:v>(1,20±0,01) с</x:v>
      </x:c>
      <x:c r="O210" s="30" t="str">
        <x:v>T=60,0/50=1,20 с; ΔT=0,5/50=0,01 с.</x:v>
      </x:c>
      <x:c r="P210" s="30" t="str">
        <x:v>Среднее значение и абсолютная погрешность поделены на точное число колебаний.</x:v>
      </x:c>
      <x:c r="Q210" s="30"/>
      <x:c r="R210" s="30" t="str">
        <x:v>(1,20±0,01)</x:v>
      </x:c>
      <x:c r="S210" s="30"/>
      <x:c r="T210" s="30"/>
      <x:c r="U210" s="30" t="str">
        <x:v>Расхождений нет.</x:v>
      </x:c>
      <x:c r="V210" s="87" t="str">
        <x:v>VERIFIED</x:v>
      </x:c>
      <x:c r="W210" s="87" t="n">
        <x:v>11</x:v>
      </x:c>
      <x:c r="X210" s="87"/>
      <x:c r="Y210" s="87"/>
      <x:c r="Z210" s="87"/>
      <x:c r="AA210" s="87"/>
      <x:c r="AB210" s="87"/>
      <x:c r="AC210" s="87"/>
      <x:c r="AD210" s="87"/>
      <x:c r="AE210" s="87"/>
      <x:c r="AF210" s="87"/>
      <x:c r="AG210" s="87"/>
      <x:c r="AH210" s="87"/>
      <x:c r="AI210" s="30"/>
      <x:c r="AJ210" s="87" t="str">
        <x:v>master</x:v>
      </x:c>
      <x:c r="AK210" s="87" t="str">
        <x:v>master-v0.81</x:v>
      </x:c>
      <x:c r="AL210" s="87" t="str">
        <x:v>statgrad_master_base_v0_81_final(2).xlsx</x:v>
      </x:c>
      <x:c r="AM210" s="87" t="str">
        <x:v>PHYS_Jan_V2</x:v>
      </x:c>
      <x:c r="AN210" s="87" t="n">
        <x:v>20</x:v>
      </x:c>
    </x:row>
    <x:row r="211">
      <x:c r="A211" s="87" t="n">
        <x:v>210</x:v>
      </x:c>
      <x:c r="B211" s="87" t="str">
        <x:v>JAN-PHY-V2-020</x:v>
      </x:c>
      <x:c r="C211" s="87" t="str">
        <x:v>СтатГрад</x:v>
      </x:c>
      <x:c r="D211" s="87" t="str">
        <x:v>Январь 2026</x:v>
      </x:c>
      <x:c r="E211" s="87"/>
      <x:c r="F211" s="87"/>
      <x:c r="G211" s="87" t="str">
        <x:v>Физика</x:v>
      </x:c>
      <x:c r="H211" s="87" t="n">
        <x:v>11</x:v>
      </x:c>
      <x:c r="I211" s="87" t="str">
        <x:v>ТР №3</x:v>
      </x:c>
      <x:c r="J211" s="87" t="str">
        <x:v>ФИ2510302</x:v>
      </x:c>
      <x:c r="K211" s="87" t="n">
        <x:v>20</x:v>
      </x:c>
      <x:c r="L211" s="87" t="str">
        <x:v>Планирование эксперимента</x:v>
      </x:c>
      <x:c r="M211" s="30" t="str">
        <x:v>Выберите два маятника для проверки зависимости периода от длины нити.</x:v>
      </x:c>
      <x:c r="N211" s="30" t="str">
        <x:v>25</x:v>
      </x:c>
      <x:c r="O211" s="30" t="str">
        <x:v>Следует изменить только длину, сохранив материал и массу груза. Маятники 2 и 5 имеют деревянные грузы по 70 г и длины нитей 70 и 50 см.</x:v>
      </x:c>
      <x:c r="P211" s="30" t="str">
        <x:v>Изменяемая и контролируемые величины сопоставлены по таблице.</x:v>
      </x:c>
      <x:c r="Q211" s="30"/>
      <x:c r="R211" s="30" t="str">
        <x:v>25</x:v>
      </x:c>
      <x:c r="S211" s="30"/>
      <x:c r="T211" s="30"/>
      <x:c r="U211" s="30" t="str">
        <x:v>Расхождений нет.</x:v>
      </x:c>
      <x:c r="V211" s="87" t="str">
        <x:v>VERIFIED</x:v>
      </x:c>
      <x:c r="W211" s="87" t="n">
        <x:v>11</x:v>
      </x:c>
      <x:c r="X211" s="87"/>
      <x:c r="Y211" s="87"/>
      <x:c r="Z211" s="87"/>
      <x:c r="AA211" s="87"/>
      <x:c r="AB211" s="87"/>
      <x:c r="AC211" s="87"/>
      <x:c r="AD211" s="87"/>
      <x:c r="AE211" s="87"/>
      <x:c r="AF211" s="87"/>
      <x:c r="AG211" s="87"/>
      <x:c r="AH211" s="87"/>
      <x:c r="AI211" s="30"/>
      <x:c r="AJ211" s="87" t="str">
        <x:v>master</x:v>
      </x:c>
      <x:c r="AK211" s="87" t="str">
        <x:v>master-v0.81</x:v>
      </x:c>
      <x:c r="AL211" s="87" t="str">
        <x:v>statgrad_master_base_v0_81_final(2).xlsx</x:v>
      </x:c>
      <x:c r="AM211" s="87" t="str">
        <x:v>PHYS_Jan_V2</x:v>
      </x:c>
      <x:c r="AN211" s="87" t="n">
        <x:v>21</x:v>
      </x:c>
    </x:row>
    <x:row r="212">
      <x:c r="A212" s="87" t="n">
        <x:v>211</x:v>
      </x:c>
      <x:c r="B212" s="87" t="str">
        <x:v>JAN-PHY-V2-021</x:v>
      </x:c>
      <x:c r="C212" s="87" t="str">
        <x:v>СтатГрад</x:v>
      </x:c>
      <x:c r="D212" s="87" t="str">
        <x:v>Январь 2026</x:v>
      </x:c>
      <x:c r="E212" s="87"/>
      <x:c r="F212" s="87"/>
      <x:c r="G212" s="87" t="str">
        <x:v>Физика</x:v>
      </x:c>
      <x:c r="H212" s="87" t="n">
        <x:v>11</x:v>
      </x:c>
      <x:c r="I212" s="87" t="str">
        <x:v>ТР №3</x:v>
      </x:c>
      <x:c r="J212" s="87" t="str">
        <x:v>ФИ2510302</x:v>
      </x:c>
      <x:c r="K212" s="87" t="n">
        <x:v>21</x:v>
      </x:c>
      <x:c r="L212" s="87" t="str">
        <x:v>Развёрнутый ответ: МКТ</x:v>
      </x:c>
      <x:c r="M212" s="30" t="str">
        <x:v>По графику средней кинетической энергии молекул от давления опишите изменения T, V и концентрации n в процессах 1–2 и 2–3.</x:v>
      </x:c>
      <x:c r="N212" s="30" t="str">
        <x:v>1–2: T увеличивается, V не меняется, n не меняется; 2–3: T не меняется, V уменьшается, n увеличивается</x:v>
      </x:c>
      <x:c r="O212" s="30" t="str">
        <x:v>Ēk=3kT/2. На 1–2 Ēk∝p, значит T∝p; из pV=νRT следует V=const, поэтому n=N/V также постоянно. На 2–3 Ēk=const, значит T=const; при росте p объём уменьшается, а концентрация увеличивается.</x:v>
      </x:c>
      <x:c r="P212" s="30" t="str">
        <x:v>Все выводы получены независимо из формул МКТ и уравнения состояния.</x:v>
      </x:c>
      <x:c r="Q212" s="30"/>
      <x:c r="R212" s="30" t="str">
        <x:v>Критерии, стр. 1–2</x:v>
      </x:c>
      <x:c r="S212" s="30"/>
      <x:c r="T212" s="30"/>
      <x:c r="U212" s="30" t="str">
        <x:v>Критерий перенесён отдельно без изменения.</x:v>
      </x:c>
      <x:c r="V212" s="87" t="str">
        <x:v>VERIFIED</x:v>
      </x:c>
      <x:c r="W212" s="87" t="n">
        <x:v>12</x:v>
      </x:c>
      <x:c r="X212" s="87"/>
      <x:c r="Y212" s="87"/>
      <x:c r="Z212" s="87"/>
      <x:c r="AA212" s="87"/>
      <x:c r="AB212" s="87"/>
      <x:c r="AC212" s="87"/>
      <x:c r="AD212" s="87"/>
      <x:c r="AE212" s="87"/>
      <x:c r="AF212" s="87"/>
      <x:c r="AG212" s="87"/>
      <x:c r="AH212" s="87"/>
      <x:c r="AI212" s="30"/>
      <x:c r="AJ212" s="87" t="str">
        <x:v>master</x:v>
      </x:c>
      <x:c r="AK212" s="87" t="str">
        <x:v>master-v0.81</x:v>
      </x:c>
      <x:c r="AL212" s="87" t="str">
        <x:v>statgrad_master_base_v0_81_final(2).xlsx</x:v>
      </x:c>
      <x:c r="AM212" s="87" t="str">
        <x:v>PHYS_Jan_V2</x:v>
      </x:c>
      <x:c r="AN212" s="87" t="n">
        <x:v>22</x:v>
      </x:c>
    </x:row>
    <x:row r="213">
      <x:c r="A213" s="87" t="n">
        <x:v>212</x:v>
      </x:c>
      <x:c r="B213" s="87" t="str">
        <x:v>JAN-PHY-V2-022</x:v>
      </x:c>
      <x:c r="C213" s="87" t="str">
        <x:v>СтатГрад</x:v>
      </x:c>
      <x:c r="D213" s="87" t="str">
        <x:v>Январь 2026</x:v>
      </x:c>
      <x:c r="E213" s="87"/>
      <x:c r="F213" s="87"/>
      <x:c r="G213" s="87" t="str">
        <x:v>Физика</x:v>
      </x:c>
      <x:c r="H213" s="87" t="n">
        <x:v>11</x:v>
      </x:c>
      <x:c r="I213" s="87" t="str">
        <x:v>ТР №3</x:v>
      </x:c>
      <x:c r="J213" s="87" t="str">
        <x:v>ФИ2510302</x:v>
      </x:c>
      <x:c r="K213" s="87" t="n">
        <x:v>22</x:v>
      </x:c>
      <x:c r="L213" s="87" t="str">
        <x:v>Развёрнутый ответ: свободное падение</x:v>
      </x:c>
      <x:c r="M213" s="30" t="str">
        <x:v>Камень падает без начальной скорости и достигает земли со скоростью 72 км/ч. Найдите путь за последнюю секунду.</x:v>
      </x:c>
      <x:c r="N213" s="30" t="str">
        <x:v>15 м</x:v>
      </x:c>
      <x:c r="O213" s="30" t="str">
        <x:v>72 км/ч=20 м/с, поэтому полное время падения t=V/g=2 с. За последнюю секунду камень проходит gt²/2−g(t−1)²/2=20−5=15 м.</x:v>
      </x:c>
      <x:c r="P213" s="30" t="str">
        <x:v>Решение проверено через разность полных путей за 2 и 1 секунду.</x:v>
      </x:c>
      <x:c r="Q213" s="30"/>
      <x:c r="R213" s="30" t="str">
        <x:v>Критерии, стр. 3</x:v>
      </x:c>
      <x:c r="S213" s="30"/>
      <x:c r="T213" s="30"/>
      <x:c r="U213" s="30" t="str">
        <x:v>Критерий перенесён отдельно без изменения.</x:v>
      </x:c>
      <x:c r="V213" s="87" t="str">
        <x:v>VERIFIED</x:v>
      </x:c>
      <x:c r="W213" s="87" t="n">
        <x:v>12</x:v>
      </x:c>
      <x:c r="X213" s="87"/>
      <x:c r="Y213" s="87"/>
      <x:c r="Z213" s="87"/>
      <x:c r="AA213" s="87"/>
      <x:c r="AB213" s="87"/>
      <x:c r="AC213" s="87"/>
      <x:c r="AD213" s="87"/>
      <x:c r="AE213" s="87"/>
      <x:c r="AF213" s="87"/>
      <x:c r="AG213" s="87"/>
      <x:c r="AH213" s="87"/>
      <x:c r="AI213" s="30"/>
      <x:c r="AJ213" s="87" t="str">
        <x:v>master</x:v>
      </x:c>
      <x:c r="AK213" s="87" t="str">
        <x:v>master-v0.81</x:v>
      </x:c>
      <x:c r="AL213" s="87" t="str">
        <x:v>statgrad_master_base_v0_81_final(2).xlsx</x:v>
      </x:c>
      <x:c r="AM213" s="87" t="str">
        <x:v>PHYS_Jan_V2</x:v>
      </x:c>
      <x:c r="AN213" s="87" t="n">
        <x:v>23</x:v>
      </x:c>
    </x:row>
    <x:row r="214">
      <x:c r="A214" s="87" t="n">
        <x:v>213</x:v>
      </x:c>
      <x:c r="B214" s="87" t="str">
        <x:v>JAN-PHY-V2-023</x:v>
      </x:c>
      <x:c r="C214" s="87" t="str">
        <x:v>СтатГрад</x:v>
      </x:c>
      <x:c r="D214" s="87" t="str">
        <x:v>Январь 2026</x:v>
      </x:c>
      <x:c r="E214" s="87"/>
      <x:c r="F214" s="87"/>
      <x:c r="G214" s="87" t="str">
        <x:v>Физика</x:v>
      </x:c>
      <x:c r="H214" s="87" t="n">
        <x:v>11</x:v>
      </x:c>
      <x:c r="I214" s="87" t="str">
        <x:v>ТР №3</x:v>
      </x:c>
      <x:c r="J214" s="87" t="str">
        <x:v>ФИ2510302</x:v>
      </x:c>
      <x:c r="K214" s="87" t="n">
        <x:v>23</x:v>
      </x:c>
      <x:c r="L214" s="87" t="str">
        <x:v>Развёрнутый ответ: электрическая цепь</x:v>
      </x:c>
      <x:c r="M214" s="30" t="str">
        <x:v>При замкнутом ключе U=7 В, R=3,5 Ом; ток короткого замыкания 16 А. Найдите показание вольтметра при разомкнутом ключе.</x:v>
      </x:c>
      <x:c r="N214" s="30" t="str">
        <x:v>8 В</x:v>
      </x:c>
      <x:c r="O214" s="30" t="str">
        <x:v>При замкнутом ключе I=U/R=2 А. Используя I=ε/(R+r) и Iкз=ε/r, получаем ε=8 В. При разомкнутом ключе идеальный вольтметр показывает ЭДС.</x:v>
      </x:c>
      <x:c r="P214" s="30" t="str">
        <x:v>Результат проверен совместным решением двух законов Ома.</x:v>
      </x:c>
      <x:c r="Q214" s="30"/>
      <x:c r="R214" s="30" t="str">
        <x:v>Критерии, стр. 4</x:v>
      </x:c>
      <x:c r="S214" s="30"/>
      <x:c r="T214" s="30"/>
      <x:c r="U214" s="30" t="str">
        <x:v>Критерий перенесён отдельно без изменения.</x:v>
      </x:c>
      <x:c r="V214" s="87" t="str">
        <x:v>VERIFIED</x:v>
      </x:c>
      <x:c r="W214" s="87" t="n">
        <x:v>12</x:v>
      </x:c>
      <x:c r="X214" s="87"/>
      <x:c r="Y214" s="87"/>
      <x:c r="Z214" s="87"/>
      <x:c r="AA214" s="87"/>
      <x:c r="AB214" s="87"/>
      <x:c r="AC214" s="87"/>
      <x:c r="AD214" s="87"/>
      <x:c r="AE214" s="87"/>
      <x:c r="AF214" s="87"/>
      <x:c r="AG214" s="87"/>
      <x:c r="AH214" s="87"/>
      <x:c r="AI214" s="30"/>
      <x:c r="AJ214" s="87" t="str">
        <x:v>master</x:v>
      </x:c>
      <x:c r="AK214" s="87" t="str">
        <x:v>master-v0.81</x:v>
      </x:c>
      <x:c r="AL214" s="87" t="str">
        <x:v>statgrad_master_base_v0_81_final(2).xlsx</x:v>
      </x:c>
      <x:c r="AM214" s="87" t="str">
        <x:v>PHYS_Jan_V2</x:v>
      </x:c>
      <x:c r="AN214" s="87" t="n">
        <x:v>24</x:v>
      </x:c>
    </x:row>
    <x:row r="215">
      <x:c r="A215" s="87" t="n">
        <x:v>214</x:v>
      </x:c>
      <x:c r="B215" s="87" t="str">
        <x:v>JAN-PHY-V2-024</x:v>
      </x:c>
      <x:c r="C215" s="87" t="str">
        <x:v>СтатГрад</x:v>
      </x:c>
      <x:c r="D215" s="87" t="str">
        <x:v>Январь 2026</x:v>
      </x:c>
      <x:c r="E215" s="87"/>
      <x:c r="F215" s="87"/>
      <x:c r="G215" s="87" t="str">
        <x:v>Физика</x:v>
      </x:c>
      <x:c r="H215" s="87" t="n">
        <x:v>11</x:v>
      </x:c>
      <x:c r="I215" s="87" t="str">
        <x:v>ТР №3</x:v>
      </x:c>
      <x:c r="J215" s="87" t="str">
        <x:v>ФИ2510302</x:v>
      </x:c>
      <x:c r="K215" s="87" t="n">
        <x:v>24</x:v>
      </x:c>
      <x:c r="L215" s="87" t="str">
        <x:v>Развёрнутый ответ: термодинамика</x:v>
      </x:c>
      <x:c r="M215" s="30" t="str">
        <x:v>Гелий: T0=100 К, p0=10 кПа, V0=0,25 м³. После изобарного и изохорного нагревания T1=300 К; Qp=2Qv. Найдите Qv.</x:v>
      </x:c>
      <x:c r="N215" s="30" t="str">
        <x:v>≈3409 Дж</x:v>
      </x:c>
      <x:c r="O215" s="30" t="str">
        <x:v>Для одноатомного газа Qp=(5/2)νR(T−T0), Qv=(3/2)νR(T1−T). Из условия Qp=2Qv и νR=p0V0/T0 получается Qv≈3,409 кДж.</x:v>
      </x:c>
      <x:c r="P215" s="30" t="str">
        <x:v>Промежуточная температура и теплота пересчитаны независимо.</x:v>
      </x:c>
      <x:c r="Q215" s="30"/>
      <x:c r="R215" s="30" t="str">
        <x:v>Критерии, стр. 5–7</x:v>
      </x:c>
      <x:c r="S215" s="30"/>
      <x:c r="T215" s="30"/>
      <x:c r="U215" s="30" t="str">
        <x:v>Расхождений нет.</x:v>
      </x:c>
      <x:c r="V215" s="87" t="str">
        <x:v>VERIFIED</x:v>
      </x:c>
      <x:c r="W215" s="87" t="n">
        <x:v>13</x:v>
      </x:c>
      <x:c r="X215" s="87"/>
      <x:c r="Y215" s="87"/>
      <x:c r="Z215" s="87"/>
      <x:c r="AA215" s="87"/>
      <x:c r="AB215" s="87"/>
      <x:c r="AC215" s="87"/>
      <x:c r="AD215" s="87"/>
      <x:c r="AE215" s="87"/>
      <x:c r="AF215" s="87"/>
      <x:c r="AG215" s="87"/>
      <x:c r="AH215" s="87"/>
      <x:c r="AI215" s="30"/>
      <x:c r="AJ215" s="87" t="str">
        <x:v>master</x:v>
      </x:c>
      <x:c r="AK215" s="87" t="str">
        <x:v>master-v0.81</x:v>
      </x:c>
      <x:c r="AL215" s="87" t="str">
        <x:v>statgrad_master_base_v0_81_final(2).xlsx</x:v>
      </x:c>
      <x:c r="AM215" s="87" t="str">
        <x:v>PHYS_Jan_V2</x:v>
      </x:c>
      <x:c r="AN215" s="87" t="n">
        <x:v>25</x:v>
      </x:c>
    </x:row>
    <x:row r="216">
      <x:c r="A216" s="87" t="n">
        <x:v>215</x:v>
      </x:c>
      <x:c r="B216" s="87" t="str">
        <x:v>JAN-PHY-V2-025</x:v>
      </x:c>
      <x:c r="C216" s="87" t="str">
        <x:v>СтатГрад</x:v>
      </x:c>
      <x:c r="D216" s="87" t="str">
        <x:v>Январь 2026</x:v>
      </x:c>
      <x:c r="E216" s="87"/>
      <x:c r="F216" s="87"/>
      <x:c r="G216" s="87" t="str">
        <x:v>Физика</x:v>
      </x:c>
      <x:c r="H216" s="87" t="n">
        <x:v>11</x:v>
      </x:c>
      <x:c r="I216" s="87" t="str">
        <x:v>ТР №3</x:v>
      </x:c>
      <x:c r="J216" s="87" t="str">
        <x:v>ФИ2510302</x:v>
      </x:c>
      <x:c r="K216" s="87" t="n">
        <x:v>25</x:v>
      </x:c>
      <x:c r="L216" s="87" t="str">
        <x:v>Развёрнутый ответ: конденсатор</x:v>
      </x:c>
      <x:c r="M216" s="30" t="str">
        <x:v>Исходная ёмкость воздушного конденсатора 20 мкФ. После вставки металлической и диэлектрической пластин (ε=3) энергия изменилась на −20 мкДж. Найдите заряд.</x:v>
      </x:c>
      <x:c r="N216" s="30" t="str">
        <x:v>≈48 мкКл</x:v>
      </x:c>
      <x:c r="O216" s="30" t="str">
        <x:v>Для данной геометрии ΔW=−q²(4ε−1)/[4C(5ε+1)]. Отсюда q=√[−4ΔWC(5ε+1)/(4ε−1)]≈48 мкКл.</x:v>
      </x:c>
      <x:c r="P216" s="30" t="str">
        <x:v>Эквивалентная ёмкость и энергетическая формула проверены отдельно.</x:v>
      </x:c>
      <x:c r="Q216" s="30"/>
      <x:c r="R216" s="30" t="str">
        <x:v>Критерии, стр. 7–9</x:v>
      </x:c>
      <x:c r="S216" s="30"/>
      <x:c r="T216" s="30"/>
      <x:c r="U216" s="30" t="str">
        <x:v>Расхождений нет.</x:v>
      </x:c>
      <x:c r="V216" s="87" t="str">
        <x:v>VERIFIED</x:v>
      </x:c>
      <x:c r="W216" s="87" t="n">
        <x:v>13</x:v>
      </x:c>
      <x:c r="X216" s="87"/>
      <x:c r="Y216" s="87"/>
      <x:c r="Z216" s="87"/>
      <x:c r="AA216" s="87"/>
      <x:c r="AB216" s="87"/>
      <x:c r="AC216" s="87"/>
      <x:c r="AD216" s="87"/>
      <x:c r="AE216" s="87"/>
      <x:c r="AF216" s="87"/>
      <x:c r="AG216" s="87"/>
      <x:c r="AH216" s="87"/>
      <x:c r="AI216" s="30"/>
      <x:c r="AJ216" s="87" t="str">
        <x:v>master</x:v>
      </x:c>
      <x:c r="AK216" s="87" t="str">
        <x:v>master-v0.81</x:v>
      </x:c>
      <x:c r="AL216" s="87" t="str">
        <x:v>statgrad_master_base_v0_81_final(2).xlsx</x:v>
      </x:c>
      <x:c r="AM216" s="87" t="str">
        <x:v>PHYS_Jan_V2</x:v>
      </x:c>
      <x:c r="AN216" s="87" t="n">
        <x:v>26</x:v>
      </x:c>
    </x:row>
    <x:row r="217">
      <x:c r="A217" s="87" t="n">
        <x:v>216</x:v>
      </x:c>
      <x:c r="B217" s="87" t="str">
        <x:v>JAN-PHY-V2-026</x:v>
      </x:c>
      <x:c r="C217" s="87" t="str">
        <x:v>СтатГрад</x:v>
      </x:c>
      <x:c r="D217" s="87" t="str">
        <x:v>Январь 2026</x:v>
      </x:c>
      <x:c r="E217" s="87"/>
      <x:c r="F217" s="87"/>
      <x:c r="G217" s="87" t="str">
        <x:v>Физика</x:v>
      </x:c>
      <x:c r="H217" s="87" t="n">
        <x:v>11</x:v>
      </x:c>
      <x:c r="I217" s="87" t="str">
        <x:v>ТР №3</x:v>
      </x:c>
      <x:c r="J217" s="87" t="str">
        <x:v>ФИ2510302</x:v>
      </x:c>
      <x:c r="K217" s="87" t="n">
        <x:v>26</x:v>
      </x:c>
      <x:c r="L217" s="87" t="str">
        <x:v>Развёрнутый ответ: равновесие твёрдого тела</x:v>
      </x:c>
      <x:c r="M217" s="30" t="str">
        <x:v>Составной цилиндр m=5,5 кг, R=15 см, r=10 см удерживается горизонтальной нитью на наклонной плоскости. На сколько N превышает силу трения покоя?</x:v>
      </x:c>
      <x:c r="N217" s="30" t="str">
        <x:v>42,5 Н</x:v>
      </x:c>
      <x:c r="O217" s="30" t="str">
        <x:v>При sinα=0,6 и cosα=0,8 из равновесия сил и моментов получаем Fтр=rmg sinα/(r+Rcosα), N=mg(R+r cosα)/(r+Rcosα). Разность N−Fтр=42,5 Н.</x:v>
      </x:c>
      <x:c r="P217" s="30" t="str">
        <x:v>Условия поступательного и вращательного равновесия проверены относительно центра цилиндра.</x:v>
      </x:c>
      <x:c r="Q217" s="30"/>
      <x:c r="R217" s="30" t="str">
        <x:v>Критерии, стр. 10–12</x:v>
      </x:c>
      <x:c r="S217" s="30"/>
      <x:c r="T217" s="30"/>
      <x:c r="U217" s="30" t="str">
        <x:v>Расхождений нет.</x:v>
      </x:c>
      <x:c r="V217" s="87" t="str">
        <x:v>VERIFIED</x:v>
      </x:c>
      <x:c r="W217" s="87" t="n">
        <x:v>13</x:v>
      </x:c>
      <x:c r="X217" s="87"/>
      <x:c r="Y217" s="87"/>
      <x:c r="Z217" s="87"/>
      <x:c r="AA217" s="87"/>
      <x:c r="AB217" s="87"/>
      <x:c r="AC217" s="87"/>
      <x:c r="AD217" s="87"/>
      <x:c r="AE217" s="87"/>
      <x:c r="AF217" s="87"/>
      <x:c r="AG217" s="87"/>
      <x:c r="AH217" s="87"/>
      <x:c r="AI217" s="30"/>
      <x:c r="AJ217" s="87" t="str">
        <x:v>master</x:v>
      </x:c>
      <x:c r="AK217" s="87" t="str">
        <x:v>master-v0.81</x:v>
      </x:c>
      <x:c r="AL217" s="87" t="str">
        <x:v>statgrad_master_base_v0_81_final(2).xlsx</x:v>
      </x:c>
      <x:c r="AM217" s="87" t="str">
        <x:v>PHYS_Jan_V2</x:v>
      </x:c>
      <x:c r="AN217" s="87" t="n">
        <x:v>27</x:v>
      </x:c>
    </x:row>
    <x:row r="218">
      <x:c r="A218" s="87" t="n">
        <x:v>217</x:v>
      </x:c>
      <x:c r="B218" s="87" t="str">
        <x:v>JAN-PHY-V3-001</x:v>
      </x:c>
      <x:c r="C218" s="87" t="str">
        <x:v>СтатГрад</x:v>
      </x:c>
      <x:c r="D218" s="87" t="str">
        <x:v>Январь 2026</x:v>
      </x:c>
      <x:c r="E218" s="87"/>
      <x:c r="F218" s="87"/>
      <x:c r="G218" s="87" t="str">
        <x:v>Физика</x:v>
      </x:c>
      <x:c r="H218" s="87" t="n">
        <x:v>11</x:v>
      </x:c>
      <x:c r="I218" s="87" t="str">
        <x:v>ТР №3</x:v>
      </x:c>
      <x:c r="J218" s="87" t="str">
        <x:v>ФИ2510303</x:v>
      </x:c>
      <x:c r="K218" s="87" t="n">
        <x:v>1</x:v>
      </x:c>
      <x:c r="L218" s="87" t="str">
        <x:v>Кинематика: график скорости</x:v>
      </x:c>
      <x:c r="M218" s="30" t="str">
        <x:v>По графику vx(t) найдите путь мотоцикла за промежуток 0–15 с.</x:v>
      </x:c>
      <x:c r="N218" s="30" t="str">
        <x:v>125 м</x:v>
      </x:c>
      <x:c r="O218" s="30" t="str">
        <x:v>С 0 до 10 с скорость положительна: площадь треугольника равна 100 м. С 10 до 15 с скорость отрицательна, но в путь входит её модуль: ещё 25 м. Итого 125 м.</x:v>
      </x:c>
      <x:c r="P218" s="30" t="str">
        <x:v>Путь пересчитан как площадь под графиком |v(t)| на двух участках.</x:v>
      </x:c>
      <x:c r="Q218" s="30"/>
      <x:c r="R218" s="30" t="str">
        <x:v>125</x:v>
      </x:c>
      <x:c r="S218" s="30"/>
      <x:c r="T218" s="30"/>
      <x:c r="U218" s="30" t="str">
        <x:v>Расхождений нет.</x:v>
      </x:c>
      <x:c r="V218" s="87" t="str">
        <x:v>VERIFIED</x:v>
      </x:c>
      <x:c r="W218" s="87" t="n">
        <x:v>4</x:v>
      </x:c>
      <x:c r="X218" s="87"/>
      <x:c r="Y218" s="87"/>
      <x:c r="Z218" s="87"/>
      <x:c r="AA218" s="87"/>
      <x:c r="AB218" s="87"/>
      <x:c r="AC218" s="87"/>
      <x:c r="AD218" s="87"/>
      <x:c r="AE218" s="87"/>
      <x:c r="AF218" s="87"/>
      <x:c r="AG218" s="87"/>
      <x:c r="AH218" s="87"/>
      <x:c r="AI218" s="30"/>
      <x:c r="AJ218" s="87" t="str">
        <x:v>master</x:v>
      </x:c>
      <x:c r="AK218" s="87" t="str">
        <x:v>master-v0.81</x:v>
      </x:c>
      <x:c r="AL218" s="87" t="str">
        <x:v>statgrad_master_base_v0_81_final(2).xlsx</x:v>
      </x:c>
      <x:c r="AM218" s="87" t="str">
        <x:v>PHYS_Jan_V3</x:v>
      </x:c>
      <x:c r="AN218" s="87" t="n">
        <x:v>2</x:v>
      </x:c>
    </x:row>
    <x:row r="219">
      <x:c r="A219" s="87" t="n">
        <x:v>218</x:v>
      </x:c>
      <x:c r="B219" s="87" t="str">
        <x:v>JAN-PHY-V3-002</x:v>
      </x:c>
      <x:c r="C219" s="87" t="str">
        <x:v>СтатГрад</x:v>
      </x:c>
      <x:c r="D219" s="87" t="str">
        <x:v>Январь 2026</x:v>
      </x:c>
      <x:c r="E219" s="87"/>
      <x:c r="F219" s="87"/>
      <x:c r="G219" s="87" t="str">
        <x:v>Физика</x:v>
      </x:c>
      <x:c r="H219" s="87" t="n">
        <x:v>11</x:v>
      </x:c>
      <x:c r="I219" s="87" t="str">
        <x:v>ТР №3</x:v>
      </x:c>
      <x:c r="J219" s="87" t="str">
        <x:v>ФИ2510303</x:v>
      </x:c>
      <x:c r="K219" s="87" t="n">
        <x:v>2</x:v>
      </x:c>
      <x:c r="L219" s="87" t="str">
        <x:v>Статика и закон Гука</x:v>
      </x:c>
      <x:c r="M219" s="30" t="str">
        <x:v>Кубик покоится между двумя пружинами. Жёсткость левой пружины 400 Н/м, правая действует с силой 6 Н. Найдите сжатие левой пружины.</x:v>
      </x:c>
      <x:c r="N219" s="30" t="str">
        <x:v>1,5 см</x:v>
      </x:c>
      <x:c r="O219" s="30" t="str">
        <x:v>В равновесии силы пружин одинаковы. По закону Гука x=F/k=6/400=0,015 м=1,5 см.</x:v>
      </x:c>
      <x:c r="P219" s="30" t="str">
        <x:v>Проверены условие равновесия и перевод метров в сантиметры.</x:v>
      </x:c>
      <x:c r="Q219" s="30"/>
      <x:c r="R219" s="30" t="str">
        <x:v>1,5</x:v>
      </x:c>
      <x:c r="S219" s="30"/>
      <x:c r="T219" s="30"/>
      <x:c r="U219" s="30" t="str">
        <x:v>Расхождений нет.</x:v>
      </x:c>
      <x:c r="V219" s="87" t="str">
        <x:v>VERIFIED</x:v>
      </x:c>
      <x:c r="W219" s="87" t="n">
        <x:v>4</x:v>
      </x:c>
      <x:c r="X219" s="87"/>
      <x:c r="Y219" s="87"/>
      <x:c r="Z219" s="87"/>
      <x:c r="AA219" s="87"/>
      <x:c r="AB219" s="87"/>
      <x:c r="AC219" s="87"/>
      <x:c r="AD219" s="87"/>
      <x:c r="AE219" s="87"/>
      <x:c r="AF219" s="87"/>
      <x:c r="AG219" s="87"/>
      <x:c r="AH219" s="87"/>
      <x:c r="AI219" s="30"/>
      <x:c r="AJ219" s="87" t="str">
        <x:v>master</x:v>
      </x:c>
      <x:c r="AK219" s="87" t="str">
        <x:v>master-v0.81</x:v>
      </x:c>
      <x:c r="AL219" s="87" t="str">
        <x:v>statgrad_master_base_v0_81_final(2).xlsx</x:v>
      </x:c>
      <x:c r="AM219" s="87" t="str">
        <x:v>PHYS_Jan_V3</x:v>
      </x:c>
      <x:c r="AN219" s="87" t="n">
        <x:v>3</x:v>
      </x:c>
    </x:row>
    <x:row r="220">
      <x:c r="A220" s="87" t="n">
        <x:v>219</x:v>
      </x:c>
      <x:c r="B220" s="87" t="str">
        <x:v>JAN-PHY-V3-003</x:v>
      </x:c>
      <x:c r="C220" s="87" t="str">
        <x:v>СтатГрад</x:v>
      </x:c>
      <x:c r="D220" s="87" t="str">
        <x:v>Январь 2026</x:v>
      </x:c>
      <x:c r="E220" s="87"/>
      <x:c r="F220" s="87"/>
      <x:c r="G220" s="87" t="str">
        <x:v>Физика</x:v>
      </x:c>
      <x:c r="H220" s="87" t="n">
        <x:v>11</x:v>
      </x:c>
      <x:c r="I220" s="87" t="str">
        <x:v>ТР №3</x:v>
      </x:c>
      <x:c r="J220" s="87" t="str">
        <x:v>ФИ2510303</x:v>
      </x:c>
      <x:c r="K220" s="87" t="n">
        <x:v>3</x:v>
      </x:c>
      <x:c r="L220" s="87" t="str">
        <x:v>Потенциальная энергия</x:v>
      </x:c>
      <x:c r="M220" s="30" t="str">
        <x:v>Масса велосипедиста с велосипедом 100 кг. Отношение потенциальных энергий мотоциклиста и велосипедиста на одном мосту равно 2,5. Найдите массу мотоциклиста с мотоциклом.</x:v>
      </x:c>
      <x:c r="N220" s="30" t="str">
        <x:v>250 кг</x:v>
      </x:c>
      <x:c r="O220" s="30" t="str">
        <x:v>На одной высоте Ep=mgh, поэтому отношение потенциальных энергий равно отношению масс: m=2,5·100=250 кг.</x:v>
      </x:c>
      <x:c r="P220" s="30" t="str">
        <x:v>Высота и ускорение свободного падения сокращены в отношении.</x:v>
      </x:c>
      <x:c r="Q220" s="30"/>
      <x:c r="R220" s="30" t="str">
        <x:v>250</x:v>
      </x:c>
      <x:c r="S220" s="30"/>
      <x:c r="T220" s="30"/>
      <x:c r="U220" s="30" t="str">
        <x:v>Расхождений нет.</x:v>
      </x:c>
      <x:c r="V220" s="87" t="str">
        <x:v>VERIFIED</x:v>
      </x:c>
      <x:c r="W220" s="87" t="n">
        <x:v>4</x:v>
      </x:c>
      <x:c r="X220" s="87"/>
      <x:c r="Y220" s="87"/>
      <x:c r="Z220" s="87"/>
      <x:c r="AA220" s="87"/>
      <x:c r="AB220" s="87"/>
      <x:c r="AC220" s="87"/>
      <x:c r="AD220" s="87"/>
      <x:c r="AE220" s="87"/>
      <x:c r="AF220" s="87"/>
      <x:c r="AG220" s="87"/>
      <x:c r="AH220" s="87"/>
      <x:c r="AI220" s="30"/>
      <x:c r="AJ220" s="87" t="str">
        <x:v>master</x:v>
      </x:c>
      <x:c r="AK220" s="87" t="str">
        <x:v>master-v0.81</x:v>
      </x:c>
      <x:c r="AL220" s="87" t="str">
        <x:v>statgrad_master_base_v0_81_final(2).xlsx</x:v>
      </x:c>
      <x:c r="AM220" s="87" t="str">
        <x:v>PHYS_Jan_V3</x:v>
      </x:c>
      <x:c r="AN220" s="87" t="n">
        <x:v>4</x:v>
      </x:c>
    </x:row>
    <x:row r="221">
      <x:c r="A221" s="87" t="n">
        <x:v>220</x:v>
      </x:c>
      <x:c r="B221" s="87" t="str">
        <x:v>JAN-PHY-V3-004</x:v>
      </x:c>
      <x:c r="C221" s="87" t="str">
        <x:v>СтатГрад</x:v>
      </x:c>
      <x:c r="D221" s="87" t="str">
        <x:v>Январь 2026</x:v>
      </x:c>
      <x:c r="E221" s="87"/>
      <x:c r="F221" s="87"/>
      <x:c r="G221" s="87" t="str">
        <x:v>Физика</x:v>
      </x:c>
      <x:c r="H221" s="87" t="n">
        <x:v>11</x:v>
      </x:c>
      <x:c r="I221" s="87" t="str">
        <x:v>ТР №3</x:v>
      </x:c>
      <x:c r="J221" s="87" t="str">
        <x:v>ФИ2510303</x:v>
      </x:c>
      <x:c r="K221" s="87" t="n">
        <x:v>4</x:v>
      </x:c>
      <x:c r="L221" s="87" t="str">
        <x:v>Сила Архимеда</x:v>
      </x:c>
      <x:c r="M221" s="30" t="str">
        <x:v>Пластмассовый мяч объёмом 120 см³ погружён в воду на треть объёма. Найдите силу Архимеда.</x:v>
      </x:c>
      <x:c r="N221" s="30" t="str">
        <x:v>0,4 Н</x:v>
      </x:c>
      <x:c r="O221" s="30" t="str">
        <x:v>Погружённый объём равен 40 см³=4·10⁻⁵ м³. FA=ρgV=1000·10·4·10⁻⁵=0,4 Н.</x:v>
      </x:c>
      <x:c r="P221" s="30" t="str">
        <x:v>Проверены объём вытесненной воды и единицы СИ.</x:v>
      </x:c>
      <x:c r="Q221" s="30"/>
      <x:c r="R221" s="30" t="str">
        <x:v>0,4</x:v>
      </x:c>
      <x:c r="S221" s="30"/>
      <x:c r="T221" s="30"/>
      <x:c r="U221" s="30" t="str">
        <x:v>Расхождений нет.</x:v>
      </x:c>
      <x:c r="V221" s="87" t="str">
        <x:v>VERIFIED</x:v>
      </x:c>
      <x:c r="W221" s="87" t="n">
        <x:v>5</x:v>
      </x:c>
      <x:c r="X221" s="87"/>
      <x:c r="Y221" s="87"/>
      <x:c r="Z221" s="87"/>
      <x:c r="AA221" s="87"/>
      <x:c r="AB221" s="87"/>
      <x:c r="AC221" s="87"/>
      <x:c r="AD221" s="87"/>
      <x:c r="AE221" s="87"/>
      <x:c r="AF221" s="87"/>
      <x:c r="AG221" s="87"/>
      <x:c r="AH221" s="87"/>
      <x:c r="AI221" s="30"/>
      <x:c r="AJ221" s="87" t="str">
        <x:v>master</x:v>
      </x:c>
      <x:c r="AK221" s="87" t="str">
        <x:v>master-v0.81</x:v>
      </x:c>
      <x:c r="AL221" s="87" t="str">
        <x:v>statgrad_master_base_v0_81_final(2).xlsx</x:v>
      </x:c>
      <x:c r="AM221" s="87" t="str">
        <x:v>PHYS_Jan_V3</x:v>
      </x:c>
      <x:c r="AN221" s="87" t="n">
        <x:v>5</x:v>
      </x:c>
    </x:row>
    <x:row r="222">
      <x:c r="A222" s="87" t="n">
        <x:v>221</x:v>
      </x:c>
      <x:c r="B222" s="87" t="str">
        <x:v>JAN-PHY-V3-005</x:v>
      </x:c>
      <x:c r="C222" s="87" t="str">
        <x:v>СтатГрад</x:v>
      </x:c>
      <x:c r="D222" s="87" t="str">
        <x:v>Январь 2026</x:v>
      </x:c>
      <x:c r="E222" s="87"/>
      <x:c r="F222" s="87"/>
      <x:c r="G222" s="87" t="str">
        <x:v>Физика</x:v>
      </x:c>
      <x:c r="H222" s="87" t="n">
        <x:v>11</x:v>
      </x:c>
      <x:c r="I222" s="87" t="str">
        <x:v>ТР №3</x:v>
      </x:c>
      <x:c r="J222" s="87" t="str">
        <x:v>ФИ2510303</x:v>
      </x:c>
      <x:c r="K222" s="87" t="n">
        <x:v>5</x:v>
      </x:c>
      <x:c r="L222" s="87" t="str">
        <x:v>Кинематика: график координаты</x:v>
      </x:c>
      <x:c r="M222" s="30" t="str">
        <x:v>Выберите верные утверждения по графику x(t) с точками A–E.</x:v>
      </x:c>
      <x:c r="N222" s="30" t="str">
        <x:v>135</x:v>
      </x:c>
      <x:c r="O222" s="30" t="str">
        <x:v>В точке E график убывает, поэтому vx&lt;0 (1). В точке B касательная горизонтальна, следовательно, vx=0 (3). Координата E выше координаты C, поэтому перемещение C→E положительно (5).</x:v>
      </x:c>
      <x:c r="P222" s="30" t="str">
        <x:v>Знак скорости проверен по наклону, а перемещение — по разности конечной и начальной координат.</x:v>
      </x:c>
      <x:c r="Q222" s="30"/>
      <x:c r="R222" s="30" t="str">
        <x:v>135</x:v>
      </x:c>
      <x:c r="S222" s="30"/>
      <x:c r="T222" s="30"/>
      <x:c r="U222" s="30" t="str">
        <x:v>Расхождений нет.</x:v>
      </x:c>
      <x:c r="V222" s="87" t="str">
        <x:v>VERIFIED</x:v>
      </x:c>
      <x:c r="W222" s="87" t="n">
        <x:v>5</x:v>
      </x:c>
      <x:c r="X222" s="87"/>
      <x:c r="Y222" s="87"/>
      <x:c r="Z222" s="87"/>
      <x:c r="AA222" s="87"/>
      <x:c r="AB222" s="87"/>
      <x:c r="AC222" s="87"/>
      <x:c r="AD222" s="87"/>
      <x:c r="AE222" s="87"/>
      <x:c r="AF222" s="87"/>
      <x:c r="AG222" s="87"/>
      <x:c r="AH222" s="87"/>
      <x:c r="AI222" s="30"/>
      <x:c r="AJ222" s="87" t="str">
        <x:v>master</x:v>
      </x:c>
      <x:c r="AK222" s="87" t="str">
        <x:v>master-v0.81</x:v>
      </x:c>
      <x:c r="AL222" s="87" t="str">
        <x:v>statgrad_master_base_v0_81_final(2).xlsx</x:v>
      </x:c>
      <x:c r="AM222" s="87" t="str">
        <x:v>PHYS_Jan_V3</x:v>
      </x:c>
      <x:c r="AN222" s="87" t="n">
        <x:v>6</x:v>
      </x:c>
    </x:row>
    <x:row r="223">
      <x:c r="A223" s="87" t="n">
        <x:v>222</x:v>
      </x:c>
      <x:c r="B223" s="87" t="str">
        <x:v>JAN-PHY-V3-006</x:v>
      </x:c>
      <x:c r="C223" s="87" t="str">
        <x:v>СтатГрад</x:v>
      </x:c>
      <x:c r="D223" s="87" t="str">
        <x:v>Январь 2026</x:v>
      </x:c>
      <x:c r="E223" s="87"/>
      <x:c r="F223" s="87"/>
      <x:c r="G223" s="87" t="str">
        <x:v>Физика</x:v>
      </x:c>
      <x:c r="H223" s="87" t="n">
        <x:v>11</x:v>
      </x:c>
      <x:c r="I223" s="87" t="str">
        <x:v>ТР №3</x:v>
      </x:c>
      <x:c r="J223" s="87" t="str">
        <x:v>ФИ2510303</x:v>
      </x:c>
      <x:c r="K223" s="87" t="n">
        <x:v>6</x:v>
      </x:c>
      <x:c r="L223" s="87" t="str">
        <x:v>Математический маятник</x:v>
      </x:c>
      <x:c r="M223" s="30" t="str">
        <x:v>Соотнесите графики A и Б с ускорением, скоростью, кинетической и полной механической энергией груза маятника.</x:v>
      </x:c>
      <x:c r="N223" s="30" t="str">
        <x:v>А–1; Б–4</x:v>
      </x:c>
      <x:c r="O223" s="30" t="str">
        <x:v>Груз отпущен из левого крайнего положения: начальное ускорение максимально и направлено к положению равновесия, что соответствует графику A. Полная механическая энергия идеального маятника постоянна, что соответствует графику Б.</x:v>
      </x:c>
      <x:c r="P223" s="30" t="str">
        <x:v>Начальные условия сопоставлены с фазами координаты, скорости и ускорения; применён закон сохранения энергии.</x:v>
      </x:c>
      <x:c r="Q223" s="30"/>
      <x:c r="R223" s="30" t="str">
        <x:v>1; 4</x:v>
      </x:c>
      <x:c r="S223" s="30"/>
      <x:c r="T223" s="30"/>
      <x:c r="U223" s="30" t="str">
        <x:v>Расхождений нет.</x:v>
      </x:c>
      <x:c r="V223" s="87" t="str">
        <x:v>VERIFIED</x:v>
      </x:c>
      <x:c r="W223" s="87" t="n">
        <x:v>6</x:v>
      </x:c>
      <x:c r="X223" s="87"/>
      <x:c r="Y223" s="87"/>
      <x:c r="Z223" s="87"/>
      <x:c r="AA223" s="87"/>
      <x:c r="AB223" s="87"/>
      <x:c r="AC223" s="87"/>
      <x:c r="AD223" s="87"/>
      <x:c r="AE223" s="87"/>
      <x:c r="AF223" s="87"/>
      <x:c r="AG223" s="87"/>
      <x:c r="AH223" s="87"/>
      <x:c r="AI223" s="30"/>
      <x:c r="AJ223" s="87" t="str">
        <x:v>master</x:v>
      </x:c>
      <x:c r="AK223" s="87" t="str">
        <x:v>master-v0.81</x:v>
      </x:c>
      <x:c r="AL223" s="87" t="str">
        <x:v>statgrad_master_base_v0_81_final(2).xlsx</x:v>
      </x:c>
      <x:c r="AM223" s="87" t="str">
        <x:v>PHYS_Jan_V3</x:v>
      </x:c>
      <x:c r="AN223" s="87" t="n">
        <x:v>7</x:v>
      </x:c>
    </x:row>
    <x:row r="224">
      <x:c r="A224" s="87" t="n">
        <x:v>223</x:v>
      </x:c>
      <x:c r="B224" s="87" t="str">
        <x:v>JAN-PHY-V3-007</x:v>
      </x:c>
      <x:c r="C224" s="87" t="str">
        <x:v>СтатГрад</x:v>
      </x:c>
      <x:c r="D224" s="87" t="str">
        <x:v>Январь 2026</x:v>
      </x:c>
      <x:c r="E224" s="87"/>
      <x:c r="F224" s="87"/>
      <x:c r="G224" s="87" t="str">
        <x:v>Физика</x:v>
      </x:c>
      <x:c r="H224" s="87" t="n">
        <x:v>11</x:v>
      </x:c>
      <x:c r="I224" s="87" t="str">
        <x:v>ТР №3</x:v>
      </x:c>
      <x:c r="J224" s="87" t="str">
        <x:v>ФИ2510303</x:v>
      </x:c>
      <x:c r="K224" s="87" t="n">
        <x:v>7</x:v>
      </x:c>
      <x:c r="L224" s="87" t="str">
        <x:v>Уравнение состояния газа</x:v>
      </x:c>
      <x:c r="M224" s="30" t="str">
        <x:v>Объём идеального газа уменьшили в 1,5 раза, а температуру увеличили в 2 раза. Начальное давление 60 кПа. Найдите конечное давление.</x:v>
      </x:c>
      <x:c r="N224" s="30" t="str">
        <x:v>180 кПа</x:v>
      </x:c>
      <x:c r="O224" s="30" t="str">
        <x:v>Для постоянного количества газа pV/T=const. Поэтому p₂=60·1,5·2=180 кПа.</x:v>
      </x:c>
      <x:c r="P224" s="30" t="str">
        <x:v>Результат повторно проверен объединённым газовым законом.</x:v>
      </x:c>
      <x:c r="Q224" s="30"/>
      <x:c r="R224" s="30" t="str">
        <x:v>180</x:v>
      </x:c>
      <x:c r="S224" s="30"/>
      <x:c r="T224" s="30"/>
      <x:c r="U224" s="30" t="str">
        <x:v>Расхождений нет.</x:v>
      </x:c>
      <x:c r="V224" s="87" t="str">
        <x:v>VERIFIED</x:v>
      </x:c>
      <x:c r="W224" s="87" t="n">
        <x:v>6</x:v>
      </x:c>
      <x:c r="X224" s="87"/>
      <x:c r="Y224" s="87"/>
      <x:c r="Z224" s="87"/>
      <x:c r="AA224" s="87"/>
      <x:c r="AB224" s="87"/>
      <x:c r="AC224" s="87"/>
      <x:c r="AD224" s="87"/>
      <x:c r="AE224" s="87"/>
      <x:c r="AF224" s="87"/>
      <x:c r="AG224" s="87"/>
      <x:c r="AH224" s="87"/>
      <x:c r="AI224" s="30"/>
      <x:c r="AJ224" s="87" t="str">
        <x:v>master</x:v>
      </x:c>
      <x:c r="AK224" s="87" t="str">
        <x:v>master-v0.81</x:v>
      </x:c>
      <x:c r="AL224" s="87" t="str">
        <x:v>statgrad_master_base_v0_81_final(2).xlsx</x:v>
      </x:c>
      <x:c r="AM224" s="87" t="str">
        <x:v>PHYS_Jan_V3</x:v>
      </x:c>
      <x:c r="AN224" s="87" t="n">
        <x:v>8</x:v>
      </x:c>
    </x:row>
    <x:row r="225">
      <x:c r="A225" s="87" t="n">
        <x:v>224</x:v>
      </x:c>
      <x:c r="B225" s="87" t="str">
        <x:v>JAN-PHY-V3-008</x:v>
      </x:c>
      <x:c r="C225" s="87" t="str">
        <x:v>СтатГрад</x:v>
      </x:c>
      <x:c r="D225" s="87" t="str">
        <x:v>Январь 2026</x:v>
      </x:c>
      <x:c r="E225" s="87"/>
      <x:c r="F225" s="87"/>
      <x:c r="G225" s="87" t="str">
        <x:v>Физика</x:v>
      </x:c>
      <x:c r="H225" s="87" t="n">
        <x:v>11</x:v>
      </x:c>
      <x:c r="I225" s="87" t="str">
        <x:v>ТР №3</x:v>
      </x:c>
      <x:c r="J225" s="87" t="str">
        <x:v>ФИ2510303</x:v>
      </x:c>
      <x:c r="K225" s="87" t="n">
        <x:v>8</x:v>
      </x:c>
      <x:c r="L225" s="87" t="str">
        <x:v>Плавление</x:v>
      </x:c>
      <x:c r="M225" s="30" t="str">
        <x:v>Вещество массой 0,9 кг нагревают. По графику t(Q) найдите массу расплава после получения 200 кДж.</x:v>
      </x:c>
      <x:c r="N225" s="30" t="str">
        <x:v>0,3 кг</x:v>
      </x:c>
      <x:c r="O225" s="30" t="str">
        <x:v>До начала плавления затрачено 100 кДж. Полное плавление 0,9 кг соответствует ещё 300 кДж. Из полученных 200 кДж на плавление пошло 100 кДж, поэтому расплавилась треть массы: 0,3 кг.</x:v>
      </x:c>
      <x:c r="P225" s="30" t="str">
        <x:v>Масса пересчитана по доле теплоты на горизонтальном участке графика.</x:v>
      </x:c>
      <x:c r="Q225" s="30"/>
      <x:c r="R225" s="30" t="str">
        <x:v>0,3</x:v>
      </x:c>
      <x:c r="S225" s="30"/>
      <x:c r="T225" s="30"/>
      <x:c r="U225" s="30" t="str">
        <x:v>Расхождений нет.</x:v>
      </x:c>
      <x:c r="V225" s="87" t="str">
        <x:v>VERIFIED</x:v>
      </x:c>
      <x:c r="W225" s="87" t="n">
        <x:v>7</x:v>
      </x:c>
      <x:c r="X225" s="87"/>
      <x:c r="Y225" s="87"/>
      <x:c r="Z225" s="87"/>
      <x:c r="AA225" s="87"/>
      <x:c r="AB225" s="87"/>
      <x:c r="AC225" s="87"/>
      <x:c r="AD225" s="87"/>
      <x:c r="AE225" s="87"/>
      <x:c r="AF225" s="87"/>
      <x:c r="AG225" s="87"/>
      <x:c r="AH225" s="87"/>
      <x:c r="AI225" s="30"/>
      <x:c r="AJ225" s="87" t="str">
        <x:v>master</x:v>
      </x:c>
      <x:c r="AK225" s="87" t="str">
        <x:v>master-v0.81</x:v>
      </x:c>
      <x:c r="AL225" s="87" t="str">
        <x:v>statgrad_master_base_v0_81_final(2).xlsx</x:v>
      </x:c>
      <x:c r="AM225" s="87" t="str">
        <x:v>PHYS_Jan_V3</x:v>
      </x:c>
      <x:c r="AN225" s="87" t="n">
        <x:v>9</x:v>
      </x:c>
    </x:row>
    <x:row r="226">
      <x:c r="A226" s="87" t="n">
        <x:v>225</x:v>
      </x:c>
      <x:c r="B226" s="87" t="str">
        <x:v>JAN-PHY-V3-009</x:v>
      </x:c>
      <x:c r="C226" s="87" t="str">
        <x:v>СтатГрад</x:v>
      </x:c>
      <x:c r="D226" s="87" t="str">
        <x:v>Январь 2026</x:v>
      </x:c>
      <x:c r="E226" s="87"/>
      <x:c r="F226" s="87"/>
      <x:c r="G226" s="87" t="str">
        <x:v>Физика</x:v>
      </x:c>
      <x:c r="H226" s="87" t="n">
        <x:v>11</x:v>
      </x:c>
      <x:c r="I226" s="87" t="str">
        <x:v>ТР №3</x:v>
      </x:c>
      <x:c r="J226" s="87" t="str">
        <x:v>ФИ2510303</x:v>
      </x:c>
      <x:c r="K226" s="87" t="n">
        <x:v>9</x:v>
      </x:c>
      <x:c r="L226" s="87" t="str">
        <x:v>Термодинамические процессы</x:v>
      </x:c>
      <x:c r="M226" s="30" t="str">
        <x:v>Выберите верные утверждения по графику V(T) для состояний 1–2–3.</x:v>
      </x:c>
      <x:c r="N226" s="30" t="str">
        <x:v>345</x:v>
      </x:c>
      <x:c r="O226" s="30" t="str">
        <x:v>В процессе 1–2 температура постоянна, а объём увеличивается втрое, поэтому p₂=p₁/3 (3). Процесс 2–3 изохорный: работа равна нулю, температура и внутренняя энергия растут, поэтому газ получает тепло (4). В состояниях 1 и 3 отношение T/V одинаково, значит p₁=p₃ (5).</x:v>
      </x:c>
      <x:c r="P226" s="30" t="str">
        <x:v>Каждый пункт проверен по pV=νRT и первому закону термодинамики.</x:v>
      </x:c>
      <x:c r="Q226" s="30"/>
      <x:c r="R226" s="30" t="str">
        <x:v>345</x:v>
      </x:c>
      <x:c r="S226" s="30"/>
      <x:c r="T226" s="30"/>
      <x:c r="U226" s="30" t="str">
        <x:v>Расхождений нет.</x:v>
      </x:c>
      <x:c r="V226" s="87" t="str">
        <x:v>VERIFIED</x:v>
      </x:c>
      <x:c r="W226" s="87" t="n">
        <x:v>7</x:v>
      </x:c>
      <x:c r="X226" s="87"/>
      <x:c r="Y226" s="87"/>
      <x:c r="Z226" s="87"/>
      <x:c r="AA226" s="87"/>
      <x:c r="AB226" s="87"/>
      <x:c r="AC226" s="87"/>
      <x:c r="AD226" s="87"/>
      <x:c r="AE226" s="87"/>
      <x:c r="AF226" s="87"/>
      <x:c r="AG226" s="87"/>
      <x:c r="AH226" s="87"/>
      <x:c r="AI226" s="30"/>
      <x:c r="AJ226" s="87" t="str">
        <x:v>master</x:v>
      </x:c>
      <x:c r="AK226" s="87" t="str">
        <x:v>master-v0.81</x:v>
      </x:c>
      <x:c r="AL226" s="87" t="str">
        <x:v>statgrad_master_base_v0_81_final(2).xlsx</x:v>
      </x:c>
      <x:c r="AM226" s="87" t="str">
        <x:v>PHYS_Jan_V3</x:v>
      </x:c>
      <x:c r="AN226" s="87" t="n">
        <x:v>10</x:v>
      </x:c>
    </x:row>
    <x:row r="227">
      <x:c r="A227" s="87" t="n">
        <x:v>226</x:v>
      </x:c>
      <x:c r="B227" s="87" t="str">
        <x:v>JAN-PHY-V3-010</x:v>
      </x:c>
      <x:c r="C227" s="87" t="str">
        <x:v>СтатГрад</x:v>
      </x:c>
      <x:c r="D227" s="87" t="str">
        <x:v>Январь 2026</x:v>
      </x:c>
      <x:c r="E227" s="87"/>
      <x:c r="F227" s="87"/>
      <x:c r="G227" s="87" t="str">
        <x:v>Физика</x:v>
      </x:c>
      <x:c r="H227" s="87" t="n">
        <x:v>11</x:v>
      </x:c>
      <x:c r="I227" s="87" t="str">
        <x:v>ТР №3</x:v>
      </x:c>
      <x:c r="J227" s="87" t="str">
        <x:v>ФИ2510303</x:v>
      </x:c>
      <x:c r="K227" s="87" t="n">
        <x:v>10</x:v>
      </x:c>
      <x:c r="L227" s="87" t="str">
        <x:v>Тепловое равновесие</x:v>
      </x:c>
      <x:c r="M227" s="30" t="str">
        <x:v>В воду комнатной температуры положили лёд при 0 °C. Как изменятся удельная теплоёмкость воды и масса льда?</x:v>
      </x:c>
      <x:c r="N227" s="30" t="str">
        <x:v>3; 2</x:v>
      </x:c>
      <x:c r="O227" s="30" t="str">
        <x:v>Удельная теплоёмкость воды является характеристикой вещества и не изменяется. Часть льда плавится, поэтому его масса уменьшается.</x:v>
      </x:c>
      <x:c r="P227" s="30" t="str">
        <x:v>Проверены неизменность удельной характеристики и направление теплообмена.</x:v>
      </x:c>
      <x:c r="Q227" s="30"/>
      <x:c r="R227" s="30" t="str">
        <x:v>3; 2</x:v>
      </x:c>
      <x:c r="S227" s="30"/>
      <x:c r="T227" s="30"/>
      <x:c r="U227" s="30" t="str">
        <x:v>Расхождений нет.</x:v>
      </x:c>
      <x:c r="V227" s="87" t="str">
        <x:v>VERIFIED</x:v>
      </x:c>
      <x:c r="W227" s="87" t="n">
        <x:v>8</x:v>
      </x:c>
      <x:c r="X227" s="87"/>
      <x:c r="Y227" s="87"/>
      <x:c r="Z227" s="87"/>
      <x:c r="AA227" s="87"/>
      <x:c r="AB227" s="87"/>
      <x:c r="AC227" s="87"/>
      <x:c r="AD227" s="87"/>
      <x:c r="AE227" s="87"/>
      <x:c r="AF227" s="87"/>
      <x:c r="AG227" s="87"/>
      <x:c r="AH227" s="87"/>
      <x:c r="AI227" s="30"/>
      <x:c r="AJ227" s="87" t="str">
        <x:v>master</x:v>
      </x:c>
      <x:c r="AK227" s="87" t="str">
        <x:v>master-v0.81</x:v>
      </x:c>
      <x:c r="AL227" s="87" t="str">
        <x:v>statgrad_master_base_v0_81_final(2).xlsx</x:v>
      </x:c>
      <x:c r="AM227" s="87" t="str">
        <x:v>PHYS_Jan_V3</x:v>
      </x:c>
      <x:c r="AN227" s="87" t="n">
        <x:v>11</x:v>
      </x:c>
    </x:row>
    <x:row r="228">
      <x:c r="A228" s="87" t="n">
        <x:v>227</x:v>
      </x:c>
      <x:c r="B228" s="87" t="str">
        <x:v>JAN-PHY-V3-011</x:v>
      </x:c>
      <x:c r="C228" s="87" t="str">
        <x:v>СтатГрад</x:v>
      </x:c>
      <x:c r="D228" s="87" t="str">
        <x:v>Январь 2026</x:v>
      </x:c>
      <x:c r="E228" s="87"/>
      <x:c r="F228" s="87"/>
      <x:c r="G228" s="87" t="str">
        <x:v>Физика</x:v>
      </x:c>
      <x:c r="H228" s="87" t="n">
        <x:v>11</x:v>
      </x:c>
      <x:c r="I228" s="87" t="str">
        <x:v>ТР №3</x:v>
      </x:c>
      <x:c r="J228" s="87" t="str">
        <x:v>ФИ2510303</x:v>
      </x:c>
      <x:c r="K228" s="87" t="n">
        <x:v>11</x:v>
      </x:c>
      <x:c r="L228" s="87" t="str">
        <x:v>Работа электрического тока</x:v>
      </x:c>
      <x:c r="M228" s="30" t="str">
        <x:v>Паяльник подключён к 220 В, сила тока 1,2 А. Найдите количество теплоты за 20 минут.</x:v>
      </x:c>
      <x:c r="N228" s="30" t="str">
        <x:v>316,8 кДж</x:v>
      </x:c>
      <x:c r="O228" s="30" t="str">
        <x:v>Q=UIt=220·1,2·1200=316800 Дж=316,8 кДж.</x:v>
      </x:c>
      <x:c r="P228" s="30" t="str">
        <x:v>Время переведено в секунды; результат проверен через мощность P=UI.</x:v>
      </x:c>
      <x:c r="Q228" s="30"/>
      <x:c r="R228" s="30" t="str">
        <x:v>316,8</x:v>
      </x:c>
      <x:c r="S228" s="30"/>
      <x:c r="T228" s="30"/>
      <x:c r="U228" s="30" t="str">
        <x:v>Расхождений нет.</x:v>
      </x:c>
      <x:c r="V228" s="87" t="str">
        <x:v>VERIFIED</x:v>
      </x:c>
      <x:c r="W228" s="87" t="n">
        <x:v>8</x:v>
      </x:c>
      <x:c r="X228" s="87"/>
      <x:c r="Y228" s="87"/>
      <x:c r="Z228" s="87"/>
      <x:c r="AA228" s="87"/>
      <x:c r="AB228" s="87"/>
      <x:c r="AC228" s="87"/>
      <x:c r="AD228" s="87"/>
      <x:c r="AE228" s="87"/>
      <x:c r="AF228" s="87"/>
      <x:c r="AG228" s="87"/>
      <x:c r="AH228" s="87"/>
      <x:c r="AI228" s="30"/>
      <x:c r="AJ228" s="87" t="str">
        <x:v>master</x:v>
      </x:c>
      <x:c r="AK228" s="87" t="str">
        <x:v>master-v0.81</x:v>
      </x:c>
      <x:c r="AL228" s="87" t="str">
        <x:v>statgrad_master_base_v0_81_final(2).xlsx</x:v>
      </x:c>
      <x:c r="AM228" s="87" t="str">
        <x:v>PHYS_Jan_V3</x:v>
      </x:c>
      <x:c r="AN228" s="87" t="n">
        <x:v>12</x:v>
      </x:c>
    </x:row>
    <x:row r="229">
      <x:c r="A229" s="87" t="n">
        <x:v>228</x:v>
      </x:c>
      <x:c r="B229" s="87" t="str">
        <x:v>JAN-PHY-V3-012</x:v>
      </x:c>
      <x:c r="C229" s="87" t="str">
        <x:v>СтатГрад</x:v>
      </x:c>
      <x:c r="D229" s="87" t="str">
        <x:v>Январь 2026</x:v>
      </x:c>
      <x:c r="E229" s="87"/>
      <x:c r="F229" s="87"/>
      <x:c r="G229" s="87" t="str">
        <x:v>Физика</x:v>
      </x:c>
      <x:c r="H229" s="87" t="n">
        <x:v>11</x:v>
      </x:c>
      <x:c r="I229" s="87" t="str">
        <x:v>ТР №3</x:v>
      </x:c>
      <x:c r="J229" s="87" t="str">
        <x:v>ФИ2510303</x:v>
      </x:c>
      <x:c r="K229" s="87" t="n">
        <x:v>12</x:v>
      </x:c>
      <x:c r="L229" s="87" t="str">
        <x:v>Электромагнитная индукция</x:v>
      </x:c>
      <x:c r="M229" s="30" t="str">
        <x:v>Максимальная ЭДС квадратной рамки 4 мВ. Каждую сторону рамки и угловую скорость увеличили в 1,5 раза. Найдите новую максимальную ЭДС.</x:v>
      </x:c>
      <x:c r="N229" s="30" t="str">
        <x:v>13,5 мВ</x:v>
      </x:c>
      <x:c r="O229" s="30" t="str">
        <x:v>εmax=BSω. Площадь увеличилась в 1,5²=2,25 раза, а угловая скорость — в 1,5 раза. Общий множитель 3,375, поэтому ε=4·3,375=13,5 мВ.</x:v>
      </x:c>
      <x:c r="P229" s="30" t="str">
        <x:v>Проверена пропорциональность ЭДС площади рамки и угловой скорости.</x:v>
      </x:c>
      <x:c r="Q229" s="30"/>
      <x:c r="R229" s="30" t="str">
        <x:v>13,5</x:v>
      </x:c>
      <x:c r="S229" s="30"/>
      <x:c r="T229" s="30"/>
      <x:c r="U229" s="30" t="str">
        <x:v>Расхождений нет.</x:v>
      </x:c>
      <x:c r="V229" s="87" t="str">
        <x:v>VERIFIED</x:v>
      </x:c>
      <x:c r="W229" s="87" t="n">
        <x:v>8</x:v>
      </x:c>
      <x:c r="X229" s="87"/>
      <x:c r="Y229" s="87"/>
      <x:c r="Z229" s="87"/>
      <x:c r="AA229" s="87"/>
      <x:c r="AB229" s="87"/>
      <x:c r="AC229" s="87"/>
      <x:c r="AD229" s="87"/>
      <x:c r="AE229" s="87"/>
      <x:c r="AF229" s="87"/>
      <x:c r="AG229" s="87"/>
      <x:c r="AH229" s="87"/>
      <x:c r="AI229" s="30"/>
      <x:c r="AJ229" s="87" t="str">
        <x:v>master</x:v>
      </x:c>
      <x:c r="AK229" s="87" t="str">
        <x:v>master-v0.81</x:v>
      </x:c>
      <x:c r="AL229" s="87" t="str">
        <x:v>statgrad_master_base_v0_81_final(2).xlsx</x:v>
      </x:c>
      <x:c r="AM229" s="87" t="str">
        <x:v>PHYS_Jan_V3</x:v>
      </x:c>
      <x:c r="AN229" s="87" t="n">
        <x:v>13</x:v>
      </x:c>
    </x:row>
    <x:row r="230">
      <x:c r="A230" s="87" t="n">
        <x:v>229</x:v>
      </x:c>
      <x:c r="B230" s="87" t="str">
        <x:v>JAN-PHY-V3-013</x:v>
      </x:c>
      <x:c r="C230" s="87" t="str">
        <x:v>СтатГрад</x:v>
      </x:c>
      <x:c r="D230" s="87" t="str">
        <x:v>Январь 2026</x:v>
      </x:c>
      <x:c r="E230" s="87"/>
      <x:c r="F230" s="87"/>
      <x:c r="G230" s="87" t="str">
        <x:v>Физика</x:v>
      </x:c>
      <x:c r="H230" s="87" t="n">
        <x:v>11</x:v>
      </x:c>
      <x:c r="I230" s="87" t="str">
        <x:v>ТР №3</x:v>
      </x:c>
      <x:c r="J230" s="87" t="str">
        <x:v>ФИ2510303</x:v>
      </x:c>
      <x:c r="K230" s="87" t="n">
        <x:v>13</x:v>
      </x:c>
      <x:c r="L230" s="87" t="str">
        <x:v>Закон отражения</x:v>
      </x:c>
      <x:c r="M230" s="30" t="str">
        <x:v>Угол между падающим и отражённым лучами равен 40°. Зеркало поворачивают на 5° как на рисунке. Найдите угол между отражённым лучом и новой плоскостью зеркала.</x:v>
      </x:c>
      <x:c r="N230" s="30" t="str">
        <x:v>65°</x:v>
      </x:c>
      <x:c r="O230" s="30" t="str">
        <x:v>Изначально угол отражения к нормали равен 20°, а к зеркалу — 70°. При повороте зеркала на 5° отражённый луч поворачивается на 10°, поэтому угол между ним и новой плоскостью становится 65°.</x:v>
      </x:c>
      <x:c r="P230" s="30" t="str">
        <x:v>Геометрия проверена через правило удвоенного поворота отражённого луча.</x:v>
      </x:c>
      <x:c r="Q230" s="30"/>
      <x:c r="R230" s="30" t="str">
        <x:v>65</x:v>
      </x:c>
      <x:c r="S230" s="30"/>
      <x:c r="T230" s="30"/>
      <x:c r="U230" s="30" t="str">
        <x:v>Расхождений нет.</x:v>
      </x:c>
      <x:c r="V230" s="87" t="str">
        <x:v>VERIFIED</x:v>
      </x:c>
      <x:c r="W230" s="87" t="n">
        <x:v>8</x:v>
      </x:c>
      <x:c r="X230" s="87"/>
      <x:c r="Y230" s="87"/>
      <x:c r="Z230" s="87"/>
      <x:c r="AA230" s="87"/>
      <x:c r="AB230" s="87"/>
      <x:c r="AC230" s="87"/>
      <x:c r="AD230" s="87"/>
      <x:c r="AE230" s="87"/>
      <x:c r="AF230" s="87"/>
      <x:c r="AG230" s="87"/>
      <x:c r="AH230" s="87"/>
      <x:c r="AI230" s="30"/>
      <x:c r="AJ230" s="87" t="str">
        <x:v>master</x:v>
      </x:c>
      <x:c r="AK230" s="87" t="str">
        <x:v>master-v0.81</x:v>
      </x:c>
      <x:c r="AL230" s="87" t="str">
        <x:v>statgrad_master_base_v0_81_final(2).xlsx</x:v>
      </x:c>
      <x:c r="AM230" s="87" t="str">
        <x:v>PHYS_Jan_V3</x:v>
      </x:c>
      <x:c r="AN230" s="87" t="n">
        <x:v>14</x:v>
      </x:c>
    </x:row>
    <x:row r="231">
      <x:c r="A231" s="87" t="n">
        <x:v>230</x:v>
      </x:c>
      <x:c r="B231" s="87" t="str">
        <x:v>JAN-PHY-V3-014</x:v>
      </x:c>
      <x:c r="C231" s="87" t="str">
        <x:v>СтатГрад</x:v>
      </x:c>
      <x:c r="D231" s="87" t="str">
        <x:v>Январь 2026</x:v>
      </x:c>
      <x:c r="E231" s="87"/>
      <x:c r="F231" s="87"/>
      <x:c r="G231" s="87" t="str">
        <x:v>Физика</x:v>
      </x:c>
      <x:c r="H231" s="87" t="n">
        <x:v>11</x:v>
      </x:c>
      <x:c r="I231" s="87" t="str">
        <x:v>ТР №3</x:v>
      </x:c>
      <x:c r="J231" s="87" t="str">
        <x:v>ФИ2510303</x:v>
      </x:c>
      <x:c r="K231" s="87" t="n">
        <x:v>14</x:v>
      </x:c>
      <x:c r="L231" s="87" t="str">
        <x:v>Электростатика</x:v>
      </x:c>
      <x:c r="M231" s="30" t="str">
        <x:v>Положительно заряженная капля находится в равновесии между горизонтальными пластинами конденсатора. Выберите верные утверждения.</x:v>
      </x:c>
      <x:c r="N231" s="30" t="str">
        <x:v>134</x:v>
      </x:c>
      <x:c r="O231" s="30" t="str">
        <x:v>Электрическая сила должна быть направлена вверх, поэтому поле направлено вверх, а верхняя пластина заряжена отрицательно (1). Сила тяжести равна электрической силе по модулю (3). После смены знаков пластин обе силы будут направлены вниз, и капля начнёт двигаться вниз (4).</x:v>
      </x:c>
      <x:c r="P231" s="30" t="str">
        <x:v>Направления поля и сил проверены по F=qE и условию равновесия.</x:v>
      </x:c>
      <x:c r="Q231" s="30"/>
      <x:c r="R231" s="30" t="str">
        <x:v>134</x:v>
      </x:c>
      <x:c r="S231" s="30"/>
      <x:c r="T231" s="30"/>
      <x:c r="U231" s="30" t="str">
        <x:v>Расхождений нет.</x:v>
      </x:c>
      <x:c r="V231" s="87" t="str">
        <x:v>VERIFIED</x:v>
      </x:c>
      <x:c r="W231" s="87" t="n">
        <x:v>9</x:v>
      </x:c>
      <x:c r="X231" s="87"/>
      <x:c r="Y231" s="87"/>
      <x:c r="Z231" s="87"/>
      <x:c r="AA231" s="87"/>
      <x:c r="AB231" s="87"/>
      <x:c r="AC231" s="87"/>
      <x:c r="AD231" s="87"/>
      <x:c r="AE231" s="87"/>
      <x:c r="AF231" s="87"/>
      <x:c r="AG231" s="87"/>
      <x:c r="AH231" s="87"/>
      <x:c r="AI231" s="30"/>
      <x:c r="AJ231" s="87" t="str">
        <x:v>master</x:v>
      </x:c>
      <x:c r="AK231" s="87" t="str">
        <x:v>master-v0.81</x:v>
      </x:c>
      <x:c r="AL231" s="87" t="str">
        <x:v>statgrad_master_base_v0_81_final(2).xlsx</x:v>
      </x:c>
      <x:c r="AM231" s="87" t="str">
        <x:v>PHYS_Jan_V3</x:v>
      </x:c>
      <x:c r="AN231" s="87" t="n">
        <x:v>15</x:v>
      </x:c>
    </x:row>
    <x:row r="232">
      <x:c r="A232" s="87" t="n">
        <x:v>231</x:v>
      </x:c>
      <x:c r="B232" s="87" t="str">
        <x:v>JAN-PHY-V3-015</x:v>
      </x:c>
      <x:c r="C232" s="87" t="str">
        <x:v>СтатГрад</x:v>
      </x:c>
      <x:c r="D232" s="87" t="str">
        <x:v>Январь 2026</x:v>
      </x:c>
      <x:c r="E232" s="87"/>
      <x:c r="F232" s="87"/>
      <x:c r="G232" s="87" t="str">
        <x:v>Физика</x:v>
      </x:c>
      <x:c r="H232" s="87" t="n">
        <x:v>11</x:v>
      </x:c>
      <x:c r="I232" s="87" t="str">
        <x:v>ТР №3</x:v>
      </x:c>
      <x:c r="J232" s="87" t="str">
        <x:v>ФИ2510303</x:v>
      </x:c>
      <x:c r="K232" s="87" t="n">
        <x:v>15</x:v>
      </x:c>
      <x:c r="L232" s="87" t="str">
        <x:v>Колебательный контур</x:v>
      </x:c>
      <x:c r="M232" s="30" t="str">
        <x:v>Соотнесите максимальную энергию электрического поля конденсатора и максимальную силу тока в катушке с формулами через L, T и q.</x:v>
      </x:c>
      <x:c r="N232" s="30" t="str">
        <x:v>А–1; Б–3</x:v>
      </x:c>
      <x:c r="O232" s="30" t="str">
        <x:v>Из T=2π√(LC) следует C=T²/(4π²L), поэтому Wmax=q²/(2C)=2π²q²L/T² — формула 1. Максимальный ток Imax=ωq=2πq/T — формула 3.</x:v>
      </x:c>
      <x:c r="P232" s="30" t="str">
        <x:v>Обе формулы выведены независимо из периода контура и закона сохранения энергии.</x:v>
      </x:c>
      <x:c r="Q232" s="30"/>
      <x:c r="R232" s="30" t="str">
        <x:v>1; 3</x:v>
      </x:c>
      <x:c r="S232" s="30"/>
      <x:c r="T232" s="30"/>
      <x:c r="U232" s="30" t="str">
        <x:v>Расхождений нет.</x:v>
      </x:c>
      <x:c r="V232" s="87" t="str">
        <x:v>VERIFIED</x:v>
      </x:c>
      <x:c r="W232" s="87" t="n">
        <x:v>9</x:v>
      </x:c>
      <x:c r="X232" s="87"/>
      <x:c r="Y232" s="87"/>
      <x:c r="Z232" s="87"/>
      <x:c r="AA232" s="87"/>
      <x:c r="AB232" s="87"/>
      <x:c r="AC232" s="87"/>
      <x:c r="AD232" s="87"/>
      <x:c r="AE232" s="87"/>
      <x:c r="AF232" s="87"/>
      <x:c r="AG232" s="87"/>
      <x:c r="AH232" s="87"/>
      <x:c r="AI232" s="30"/>
      <x:c r="AJ232" s="87" t="str">
        <x:v>master</x:v>
      </x:c>
      <x:c r="AK232" s="87" t="str">
        <x:v>master-v0.81</x:v>
      </x:c>
      <x:c r="AL232" s="87" t="str">
        <x:v>statgrad_master_base_v0_81_final(2).xlsx</x:v>
      </x:c>
      <x:c r="AM232" s="87" t="str">
        <x:v>PHYS_Jan_V3</x:v>
      </x:c>
      <x:c r="AN232" s="87" t="n">
        <x:v>16</x:v>
      </x:c>
    </x:row>
    <x:row r="233">
      <x:c r="A233" s="87" t="n">
        <x:v>232</x:v>
      </x:c>
      <x:c r="B233" s="87" t="str">
        <x:v>JAN-PHY-V3-016</x:v>
      </x:c>
      <x:c r="C233" s="87" t="str">
        <x:v>СтатГрад</x:v>
      </x:c>
      <x:c r="D233" s="87" t="str">
        <x:v>Январь 2026</x:v>
      </x:c>
      <x:c r="E233" s="87"/>
      <x:c r="F233" s="87"/>
      <x:c r="G233" s="87" t="str">
        <x:v>Физика</x:v>
      </x:c>
      <x:c r="H233" s="87" t="n">
        <x:v>11</x:v>
      </x:c>
      <x:c r="I233" s="87" t="str">
        <x:v>ТР №3</x:v>
      </x:c>
      <x:c r="J233" s="87" t="str">
        <x:v>ФИ2510303</x:v>
      </x:c>
      <x:c r="K233" s="87" t="n">
        <x:v>16</x:v>
      </x:c>
      <x:c r="L233" s="87" t="str">
        <x:v>Ядерная физика</x:v>
      </x:c>
      <x:c r="M233" s="30" t="str">
        <x:v>Ядро испытывает один α-распад и один электронный β-распад. На сколько уменьшается зарядовое число?</x:v>
      </x:c>
      <x:c r="N233" s="30" t="str">
        <x:v>1</x:v>
      </x:c>
      <x:c r="O233" s="30" t="str">
        <x:v>При α-распаде Z уменьшается на 2, при β⁻-распаде увеличивается на 1. Суммарно зарядовое число уменьшается на 1.</x:v>
      </x:c>
      <x:c r="P233" s="30" t="str">
        <x:v>Изменения Z для обоих распадов сложены последовательно.</x:v>
      </x:c>
      <x:c r="Q233" s="30"/>
      <x:c r="R233" s="30" t="str">
        <x:v>1</x:v>
      </x:c>
      <x:c r="S233" s="30"/>
      <x:c r="T233" s="30"/>
      <x:c r="U233" s="30" t="str">
        <x:v>Расхождений нет.</x:v>
      </x:c>
      <x:c r="V233" s="87" t="str">
        <x:v>VERIFIED</x:v>
      </x:c>
      <x:c r="W233" s="87" t="n">
        <x:v>10</x:v>
      </x:c>
      <x:c r="X233" s="87"/>
      <x:c r="Y233" s="87"/>
      <x:c r="Z233" s="87"/>
      <x:c r="AA233" s="87"/>
      <x:c r="AB233" s="87"/>
      <x:c r="AC233" s="87"/>
      <x:c r="AD233" s="87"/>
      <x:c r="AE233" s="87"/>
      <x:c r="AF233" s="87"/>
      <x:c r="AG233" s="87"/>
      <x:c r="AH233" s="87"/>
      <x:c r="AI233" s="30"/>
      <x:c r="AJ233" s="87" t="str">
        <x:v>master</x:v>
      </x:c>
      <x:c r="AK233" s="87" t="str">
        <x:v>master-v0.81</x:v>
      </x:c>
      <x:c r="AL233" s="87" t="str">
        <x:v>statgrad_master_base_v0_81_final(2).xlsx</x:v>
      </x:c>
      <x:c r="AM233" s="87" t="str">
        <x:v>PHYS_Jan_V3</x:v>
      </x:c>
      <x:c r="AN233" s="87" t="n">
        <x:v>17</x:v>
      </x:c>
    </x:row>
    <x:row r="234">
      <x:c r="A234" s="87" t="n">
        <x:v>233</x:v>
      </x:c>
      <x:c r="B234" s="87" t="str">
        <x:v>JAN-PHY-V3-017</x:v>
      </x:c>
      <x:c r="C234" s="87" t="str">
        <x:v>СтатГрад</x:v>
      </x:c>
      <x:c r="D234" s="87" t="str">
        <x:v>Январь 2026</x:v>
      </x:c>
      <x:c r="E234" s="87"/>
      <x:c r="F234" s="87"/>
      <x:c r="G234" s="87" t="str">
        <x:v>Физика</x:v>
      </x:c>
      <x:c r="H234" s="87" t="n">
        <x:v>11</x:v>
      </x:c>
      <x:c r="I234" s="87" t="str">
        <x:v>ТР №3</x:v>
      </x:c>
      <x:c r="J234" s="87" t="str">
        <x:v>ФИ2510303</x:v>
      </x:c>
      <x:c r="K234" s="87" t="n">
        <x:v>17</x:v>
      </x:c>
      <x:c r="L234" s="87" t="str">
        <x:v>Энергетические уровни атома</x:v>
      </x:c>
      <x:c r="M234" s="30" t="str">
        <x:v>Определите переход с поглощением фотона наименьшей энергии и переход с излучением света наименьшей длины волны.</x:v>
      </x:c>
      <x:c r="N234" s="30" t="str">
        <x:v>А–1; Б–4</x:v>
      </x:c>
      <x:c r="O234" s="30" t="str">
        <x:v>Минимальное поглощение соответствует наименьшему подъёму E0→E1 — переход 1. Наименьшая длина волны соответствует максимальной энергии фотона; это переход E4→E0 — номер 4.</x:v>
      </x:c>
      <x:c r="P234" s="30" t="str">
        <x:v>Использована связь Eф=hc/λ и сравнены разности энергетических уровней.</x:v>
      </x:c>
      <x:c r="Q234" s="30"/>
      <x:c r="R234" s="30" t="str">
        <x:v>1; 4</x:v>
      </x:c>
      <x:c r="S234" s="30"/>
      <x:c r="T234" s="30"/>
      <x:c r="U234" s="30" t="str">
        <x:v>Расхождений нет.</x:v>
      </x:c>
      <x:c r="V234" s="87" t="str">
        <x:v>VERIFIED</x:v>
      </x:c>
      <x:c r="W234" s="87" t="n">
        <x:v>10</x:v>
      </x:c>
      <x:c r="X234" s="87"/>
      <x:c r="Y234" s="87"/>
      <x:c r="Z234" s="87"/>
      <x:c r="AA234" s="87"/>
      <x:c r="AB234" s="87"/>
      <x:c r="AC234" s="87"/>
      <x:c r="AD234" s="87"/>
      <x:c r="AE234" s="87"/>
      <x:c r="AF234" s="87"/>
      <x:c r="AG234" s="87"/>
      <x:c r="AH234" s="87"/>
      <x:c r="AI234" s="30"/>
      <x:c r="AJ234" s="87" t="str">
        <x:v>master</x:v>
      </x:c>
      <x:c r="AK234" s="87" t="str">
        <x:v>master-v0.81</x:v>
      </x:c>
      <x:c r="AL234" s="87" t="str">
        <x:v>statgrad_master_base_v0_81_final(2).xlsx</x:v>
      </x:c>
      <x:c r="AM234" s="87" t="str">
        <x:v>PHYS_Jan_V3</x:v>
      </x:c>
      <x:c r="AN234" s="87" t="n">
        <x:v>18</x:v>
      </x:c>
    </x:row>
    <x:row r="235">
      <x:c r="A235" s="87" t="n">
        <x:v>234</x:v>
      </x:c>
      <x:c r="B235" s="87" t="str">
        <x:v>JAN-PHY-V3-018</x:v>
      </x:c>
      <x:c r="C235" s="87" t="str">
        <x:v>СтатГрад</x:v>
      </x:c>
      <x:c r="D235" s="87" t="str">
        <x:v>Январь 2026</x:v>
      </x:c>
      <x:c r="E235" s="87"/>
      <x:c r="F235" s="87"/>
      <x:c r="G235" s="87" t="str">
        <x:v>Физика</x:v>
      </x:c>
      <x:c r="H235" s="87" t="n">
        <x:v>11</x:v>
      </x:c>
      <x:c r="I235" s="87" t="str">
        <x:v>ТР №3</x:v>
      </x:c>
      <x:c r="J235" s="87" t="str">
        <x:v>ФИ2510303</x:v>
      </x:c>
      <x:c r="K235" s="87" t="n">
        <x:v>18</x:v>
      </x:c>
      <x:c r="L235" s="87" t="str">
        <x:v>Физические утверждения</x:v>
      </x:c>
      <x:c r="M235" s="30" t="str">
        <x:v>Выберите все верные утверждения о перемещении, третьем законе Ньютона, кристаллизации, законе Кулона и фотоэффекте.</x:v>
      </x:c>
      <x:c r="N235" s="30" t="str">
        <x:v>124</x:v>
      </x:c>
      <x:c r="O235" s="30" t="str">
        <x:v>Перемещение — направленный отрезок между начальным и конечным положениями (1). Силы взаимодействия Солнца и Земли равны по модулю (2). Кулоновская сила обратно пропорциональна квадрату расстояния (4).</x:v>
      </x:c>
      <x:c r="P235" s="30" t="str">
        <x:v>Пункты 3 и 5 исключены: при кристаллизации теплота выделяется, а максимальная энергия фотоэлектронов зависит от частоты, не от интенсивности.</x:v>
      </x:c>
      <x:c r="Q235" s="30"/>
      <x:c r="R235" s="30" t="str">
        <x:v>124</x:v>
      </x:c>
      <x:c r="S235" s="30"/>
      <x:c r="T235" s="30"/>
      <x:c r="U235" s="30" t="str">
        <x:v>Расхождений нет.</x:v>
      </x:c>
      <x:c r="V235" s="87" t="str">
        <x:v>VERIFIED</x:v>
      </x:c>
      <x:c r="W235" s="87" t="n">
        <x:v>11</x:v>
      </x:c>
      <x:c r="X235" s="87"/>
      <x:c r="Y235" s="87"/>
      <x:c r="Z235" s="87"/>
      <x:c r="AA235" s="87"/>
      <x:c r="AB235" s="87"/>
      <x:c r="AC235" s="87"/>
      <x:c r="AD235" s="87"/>
      <x:c r="AE235" s="87"/>
      <x:c r="AF235" s="87"/>
      <x:c r="AG235" s="87"/>
      <x:c r="AH235" s="87"/>
      <x:c r="AI235" s="30"/>
      <x:c r="AJ235" s="87" t="str">
        <x:v>master</x:v>
      </x:c>
      <x:c r="AK235" s="87" t="str">
        <x:v>master-v0.81</x:v>
      </x:c>
      <x:c r="AL235" s="87" t="str">
        <x:v>statgrad_master_base_v0_81_final(2).xlsx</x:v>
      </x:c>
      <x:c r="AM235" s="87" t="str">
        <x:v>PHYS_Jan_V3</x:v>
      </x:c>
      <x:c r="AN235" s="87" t="n">
        <x:v>19</x:v>
      </x:c>
    </x:row>
    <x:row r="236">
      <x:c r="A236" s="87" t="n">
        <x:v>235</x:v>
      </x:c>
      <x:c r="B236" s="87" t="str">
        <x:v>JAN-PHY-V3-019</x:v>
      </x:c>
      <x:c r="C236" s="87" t="str">
        <x:v>СтатГрад</x:v>
      </x:c>
      <x:c r="D236" s="87" t="str">
        <x:v>Январь 2026</x:v>
      </x:c>
      <x:c r="E236" s="87"/>
      <x:c r="F236" s="87"/>
      <x:c r="G236" s="87" t="str">
        <x:v>Физика</x:v>
      </x:c>
      <x:c r="H236" s="87" t="n">
        <x:v>11</x:v>
      </x:c>
      <x:c r="I236" s="87" t="str">
        <x:v>ТР №3</x:v>
      </x:c>
      <x:c r="J236" s="87" t="str">
        <x:v>ФИ2510303</x:v>
      </x:c>
      <x:c r="K236" s="87" t="n">
        <x:v>19</x:v>
      </x:c>
      <x:c r="L236" s="87" t="str">
        <x:v>Погрешность измерений</x:v>
      </x:c>
      <x:c r="M236" s="30" t="str">
        <x:v>Маятник совершает 20 колебаний за (22,0±0,2) с. Запишите период с погрешностью.</x:v>
      </x:c>
      <x:c r="N236" s="30" t="str">
        <x:v>(1,10±0,01) с</x:v>
      </x:c>
      <x:c r="O236" s="30" t="str">
        <x:v>T=t/N=22,0/20=1,10 с. Поскольку число колебаний считается точным, ΔT=0,2/20=0,01 с.</x:v>
      </x:c>
      <x:c r="P236" s="30" t="str">
        <x:v>Значение и абсолютная погрешность поделены на одно точное число.</x:v>
      </x:c>
      <x:c r="Q236" s="30"/>
      <x:c r="R236" s="30" t="str">
        <x:v>(1,10±0,01)</x:v>
      </x:c>
      <x:c r="S236" s="30"/>
      <x:c r="T236" s="30"/>
      <x:c r="U236" s="30" t="str">
        <x:v>Расхождений нет.</x:v>
      </x:c>
      <x:c r="V236" s="87" t="str">
        <x:v>VERIFIED</x:v>
      </x:c>
      <x:c r="W236" s="87" t="n">
        <x:v>11</x:v>
      </x:c>
      <x:c r="X236" s="87"/>
      <x:c r="Y236" s="87"/>
      <x:c r="Z236" s="87"/>
      <x:c r="AA236" s="87"/>
      <x:c r="AB236" s="87"/>
      <x:c r="AC236" s="87"/>
      <x:c r="AD236" s="87"/>
      <x:c r="AE236" s="87"/>
      <x:c r="AF236" s="87"/>
      <x:c r="AG236" s="87"/>
      <x:c r="AH236" s="87"/>
      <x:c r="AI236" s="30"/>
      <x:c r="AJ236" s="87" t="str">
        <x:v>master</x:v>
      </x:c>
      <x:c r="AK236" s="87" t="str">
        <x:v>master-v0.81</x:v>
      </x:c>
      <x:c r="AL236" s="87" t="str">
        <x:v>statgrad_master_base_v0_81_final(2).xlsx</x:v>
      </x:c>
      <x:c r="AM236" s="87" t="str">
        <x:v>PHYS_Jan_V3</x:v>
      </x:c>
      <x:c r="AN236" s="87" t="n">
        <x:v>20</x:v>
      </x:c>
    </x:row>
    <x:row r="237">
      <x:c r="A237" s="87" t="n">
        <x:v>236</x:v>
      </x:c>
      <x:c r="B237" s="87" t="str">
        <x:v>JAN-PHY-V3-020</x:v>
      </x:c>
      <x:c r="C237" s="87" t="str">
        <x:v>СтатГрад</x:v>
      </x:c>
      <x:c r="D237" s="87" t="str">
        <x:v>Январь 2026</x:v>
      </x:c>
      <x:c r="E237" s="87"/>
      <x:c r="F237" s="87"/>
      <x:c r="G237" s="87" t="str">
        <x:v>Физика</x:v>
      </x:c>
      <x:c r="H237" s="87" t="n">
        <x:v>11</x:v>
      </x:c>
      <x:c r="I237" s="87" t="str">
        <x:v>ТР №3</x:v>
      </x:c>
      <x:c r="J237" s="87" t="str">
        <x:v>ФИ2510303</x:v>
      </x:c>
      <x:c r="K237" s="87" t="n">
        <x:v>20</x:v>
      </x:c>
      <x:c r="L237" s="87" t="str">
        <x:v>Планирование эксперимента</x:v>
      </x:c>
      <x:c r="M237" s="30" t="str">
        <x:v>Выберите два маятника для проверки зависимости периода колебаний от длины нити.</x:v>
      </x:c>
      <x:c r="N237" s="30" t="str">
        <x:v>25</x:v>
      </x:c>
      <x:c r="O237" s="30" t="str">
        <x:v>Нужно изменить только длину нити, оставив материал и массу груза одинаковыми. Маятники 2 и 5 имеют деревянные грузы массой 70 г и длины 70 и 50 см.</x:v>
      </x:c>
      <x:c r="P237" s="30" t="str">
        <x:v>Изменяемая и контролируемые величины сопоставлены по таблице.</x:v>
      </x:c>
      <x:c r="Q237" s="30"/>
      <x:c r="R237" s="30" t="str">
        <x:v>25</x:v>
      </x:c>
      <x:c r="S237" s="30"/>
      <x:c r="T237" s="30"/>
      <x:c r="U237" s="30" t="str">
        <x:v>Расхождений нет.</x:v>
      </x:c>
      <x:c r="V237" s="87" t="str">
        <x:v>VERIFIED</x:v>
      </x:c>
      <x:c r="W237" s="87" t="n">
        <x:v>11</x:v>
      </x:c>
      <x:c r="X237" s="87"/>
      <x:c r="Y237" s="87"/>
      <x:c r="Z237" s="87"/>
      <x:c r="AA237" s="87"/>
      <x:c r="AB237" s="87"/>
      <x:c r="AC237" s="87"/>
      <x:c r="AD237" s="87"/>
      <x:c r="AE237" s="87"/>
      <x:c r="AF237" s="87"/>
      <x:c r="AG237" s="87"/>
      <x:c r="AH237" s="87"/>
      <x:c r="AI237" s="30"/>
      <x:c r="AJ237" s="87" t="str">
        <x:v>master</x:v>
      </x:c>
      <x:c r="AK237" s="87" t="str">
        <x:v>master-v0.81</x:v>
      </x:c>
      <x:c r="AL237" s="87" t="str">
        <x:v>statgrad_master_base_v0_81_final(2).xlsx</x:v>
      </x:c>
      <x:c r="AM237" s="87" t="str">
        <x:v>PHYS_Jan_V3</x:v>
      </x:c>
      <x:c r="AN237" s="87" t="n">
        <x:v>21</x:v>
      </x:c>
    </x:row>
    <x:row r="238">
      <x:c r="A238" s="87" t="n">
        <x:v>237</x:v>
      </x:c>
      <x:c r="B238" s="87" t="str">
        <x:v>JAN-PHY-V3-021</x:v>
      </x:c>
      <x:c r="C238" s="87" t="str">
        <x:v>СтатГрад</x:v>
      </x:c>
      <x:c r="D238" s="87" t="str">
        <x:v>Январь 2026</x:v>
      </x:c>
      <x:c r="E238" s="87"/>
      <x:c r="F238" s="87"/>
      <x:c r="G238" s="87" t="str">
        <x:v>Физика</x:v>
      </x:c>
      <x:c r="H238" s="87" t="n">
        <x:v>11</x:v>
      </x:c>
      <x:c r="I238" s="87" t="str">
        <x:v>ТР №3</x:v>
      </x:c>
      <x:c r="J238" s="87" t="str">
        <x:v>ФИ2510303</x:v>
      </x:c>
      <x:c r="K238" s="87" t="n">
        <x:v>21</x:v>
      </x:c>
      <x:c r="L238" s="87" t="str">
        <x:v>Развёрнутый ответ: МКТ</x:v>
      </x:c>
      <x:c r="M238" s="30" t="str">
        <x:v>По графику средней кинетической энергии молекул от объёма опишите изменения T, p и концентрации n в процессах 1–2 и 2–3.</x:v>
      </x:c>
      <x:c r="N238" s="30" t="str">
        <x:v>1–2: T увеличивается, p не меняется, n уменьшается; 2–3: T не меняется, p уменьшается, n уменьшается</x:v>
      </x:c>
      <x:c r="O238" s="30" t="str">
        <x:v>Для одноатомного идеального газа Ēk=3kT/2. На 1–2 Ēk∝V, поэтому T∝V, а из pV=νRT следует p=const; при росте V концентрация N/V уменьшается. На 2–3 Ēk=const, поэтому T=const, а при росте V давление и концентрация уменьшаются.</x:v>
      </x:c>
      <x:c r="P238" s="30" t="str">
        <x:v>Все изменения независимо выведены из формул МКТ, уравнения состояния и определения концентрации.</x:v>
      </x:c>
      <x:c r="Q238" s="30"/>
      <x:c r="R238" s="30" t="str">
        <x:v>Критерии, стр. 1–2</x:v>
      </x:c>
      <x:c r="S238" s="30"/>
      <x:c r="T238" s="30"/>
      <x:c r="U238" s="30" t="str">
        <x:v>Критерий перенесён отдельно без изменения.</x:v>
      </x:c>
      <x:c r="V238" s="87" t="str">
        <x:v>VERIFIED</x:v>
      </x:c>
      <x:c r="W238" s="87" t="n">
        <x:v>12</x:v>
      </x:c>
      <x:c r="X238" s="87"/>
      <x:c r="Y238" s="87"/>
      <x:c r="Z238" s="87"/>
      <x:c r="AA238" s="87"/>
      <x:c r="AB238" s="87"/>
      <x:c r="AC238" s="87"/>
      <x:c r="AD238" s="87"/>
      <x:c r="AE238" s="87"/>
      <x:c r="AF238" s="87"/>
      <x:c r="AG238" s="87"/>
      <x:c r="AH238" s="87"/>
      <x:c r="AI238" s="30"/>
      <x:c r="AJ238" s="87" t="str">
        <x:v>master</x:v>
      </x:c>
      <x:c r="AK238" s="87" t="str">
        <x:v>master-v0.81</x:v>
      </x:c>
      <x:c r="AL238" s="87" t="str">
        <x:v>statgrad_master_base_v0_81_final(2).xlsx</x:v>
      </x:c>
      <x:c r="AM238" s="87" t="str">
        <x:v>PHYS_Jan_V3</x:v>
      </x:c>
      <x:c r="AN238" s="87" t="n">
        <x:v>22</x:v>
      </x:c>
    </x:row>
    <x:row r="239">
      <x:c r="A239" s="87" t="n">
        <x:v>238</x:v>
      </x:c>
      <x:c r="B239" s="87" t="str">
        <x:v>JAN-PHY-V3-022</x:v>
      </x:c>
      <x:c r="C239" s="87" t="str">
        <x:v>СтатГрад</x:v>
      </x:c>
      <x:c r="D239" s="87" t="str">
        <x:v>Январь 2026</x:v>
      </x:c>
      <x:c r="E239" s="87"/>
      <x:c r="F239" s="87"/>
      <x:c r="G239" s="87" t="str">
        <x:v>Физика</x:v>
      </x:c>
      <x:c r="H239" s="87" t="n">
        <x:v>11</x:v>
      </x:c>
      <x:c r="I239" s="87" t="str">
        <x:v>ТР №3</x:v>
      </x:c>
      <x:c r="J239" s="87" t="str">
        <x:v>ФИ2510303</x:v>
      </x:c>
      <x:c r="K239" s="87" t="n">
        <x:v>22</x:v>
      </x:c>
      <x:c r="L239" s="87" t="str">
        <x:v>Развёрнутый ответ: свободное падение</x:v>
      </x:c>
      <x:c r="M239" s="30" t="str">
        <x:v>Камень падает без начальной скорости и достигает земли со скоростью 72 км/ч. Найдите путь за последнюю секунду.</x:v>
      </x:c>
      <x:c r="N239" s="30" t="str">
        <x:v>15 м</x:v>
      </x:c>
      <x:c r="O239" s="30" t="str">
        <x:v>72 км/ч=20 м/с, поэтому полное время падения t=V/g=2 с. Путь за последнюю секунду равен gt²/2−g(t−1)²/2=20−5=15 м.</x:v>
      </x:c>
      <x:c r="P239" s="30" t="str">
        <x:v>Результат проверен как разность путей за 2 с и за 1 с.</x:v>
      </x:c>
      <x:c r="Q239" s="30"/>
      <x:c r="R239" s="30" t="str">
        <x:v>Критерии, стр. 2–3</x:v>
      </x:c>
      <x:c r="S239" s="30"/>
      <x:c r="T239" s="30"/>
      <x:c r="U239" s="30" t="str">
        <x:v>Критерий перенесён отдельно без изменения.</x:v>
      </x:c>
      <x:c r="V239" s="87" t="str">
        <x:v>VERIFIED</x:v>
      </x:c>
      <x:c r="W239" s="87" t="n">
        <x:v>12</x:v>
      </x:c>
      <x:c r="X239" s="87"/>
      <x:c r="Y239" s="87"/>
      <x:c r="Z239" s="87"/>
      <x:c r="AA239" s="87"/>
      <x:c r="AB239" s="87"/>
      <x:c r="AC239" s="87"/>
      <x:c r="AD239" s="87"/>
      <x:c r="AE239" s="87"/>
      <x:c r="AF239" s="87"/>
      <x:c r="AG239" s="87"/>
      <x:c r="AH239" s="87"/>
      <x:c r="AI239" s="30"/>
      <x:c r="AJ239" s="87" t="str">
        <x:v>master</x:v>
      </x:c>
      <x:c r="AK239" s="87" t="str">
        <x:v>master-v0.81</x:v>
      </x:c>
      <x:c r="AL239" s="87" t="str">
        <x:v>statgrad_master_base_v0_81_final(2).xlsx</x:v>
      </x:c>
      <x:c r="AM239" s="87" t="str">
        <x:v>PHYS_Jan_V3</x:v>
      </x:c>
      <x:c r="AN239" s="87" t="n">
        <x:v>23</x:v>
      </x:c>
    </x:row>
    <x:row r="240">
      <x:c r="A240" s="87" t="n">
        <x:v>239</x:v>
      </x:c>
      <x:c r="B240" s="87" t="str">
        <x:v>JAN-PHY-V3-023</x:v>
      </x:c>
      <x:c r="C240" s="87" t="str">
        <x:v>СтатГрад</x:v>
      </x:c>
      <x:c r="D240" s="87" t="str">
        <x:v>Январь 2026</x:v>
      </x:c>
      <x:c r="E240" s="87"/>
      <x:c r="F240" s="87"/>
      <x:c r="G240" s="87" t="str">
        <x:v>Физика</x:v>
      </x:c>
      <x:c r="H240" s="87" t="n">
        <x:v>11</x:v>
      </x:c>
      <x:c r="I240" s="87" t="str">
        <x:v>ТР №3</x:v>
      </x:c>
      <x:c r="J240" s="87" t="str">
        <x:v>ФИ2510303</x:v>
      </x:c>
      <x:c r="K240" s="87" t="n">
        <x:v>23</x:v>
      </x:c>
      <x:c r="L240" s="87" t="str">
        <x:v>Развёрнутый ответ: электрическая цепь</x:v>
      </x:c>
      <x:c r="M240" s="30" t="str">
        <x:v>При разомкнутом ключе вольтметр показывает ЭДС 9 В; при замкнутом — напряжение 8 В. R=4 Ом. Найдите ток короткого замыкания.</x:v>
      </x:c>
      <x:c r="N240" s="30" t="str">
        <x:v>18 А</x:v>
      </x:c>
      <x:c r="O240" s="30" t="str">
        <x:v>Ток нагрузки I=U/R=2 А. Внутреннее сопротивление r=(ε−U)/I=0,5 Ом, поэтому Iкз=ε/r=9/0,5=18 А.</x:v>
      </x:c>
      <x:c r="P240" s="30" t="str">
        <x:v>Расчёт проверен законами Ома для участка и полной цепи.</x:v>
      </x:c>
      <x:c r="Q240" s="30"/>
      <x:c r="R240" s="30" t="str">
        <x:v>Критерии, стр. 4–5</x:v>
      </x:c>
      <x:c r="S240" s="30"/>
      <x:c r="T240" s="30"/>
      <x:c r="U240" s="30" t="str">
        <x:v>Критерий перенесён отдельно без изменения.</x:v>
      </x:c>
      <x:c r="V240" s="87" t="str">
        <x:v>VERIFIED</x:v>
      </x:c>
      <x:c r="W240" s="87" t="n">
        <x:v>12</x:v>
      </x:c>
      <x:c r="X240" s="87"/>
      <x:c r="Y240" s="87"/>
      <x:c r="Z240" s="87"/>
      <x:c r="AA240" s="87"/>
      <x:c r="AB240" s="87"/>
      <x:c r="AC240" s="87"/>
      <x:c r="AD240" s="87"/>
      <x:c r="AE240" s="87"/>
      <x:c r="AF240" s="87"/>
      <x:c r="AG240" s="87"/>
      <x:c r="AH240" s="87"/>
      <x:c r="AI240" s="30"/>
      <x:c r="AJ240" s="87" t="str">
        <x:v>master</x:v>
      </x:c>
      <x:c r="AK240" s="87" t="str">
        <x:v>master-v0.81</x:v>
      </x:c>
      <x:c r="AL240" s="87" t="str">
        <x:v>statgrad_master_base_v0_81_final(2).xlsx</x:v>
      </x:c>
      <x:c r="AM240" s="87" t="str">
        <x:v>PHYS_Jan_V3</x:v>
      </x:c>
      <x:c r="AN240" s="87" t="n">
        <x:v>24</x:v>
      </x:c>
    </x:row>
    <x:row r="241">
      <x:c r="A241" s="87" t="n">
        <x:v>240</x:v>
      </x:c>
      <x:c r="B241" s="87" t="str">
        <x:v>JAN-PHY-V3-024</x:v>
      </x:c>
      <x:c r="C241" s="87" t="str">
        <x:v>СтатГрад</x:v>
      </x:c>
      <x:c r="D241" s="87" t="str">
        <x:v>Январь 2026</x:v>
      </x:c>
      <x:c r="E241" s="87"/>
      <x:c r="F241" s="87"/>
      <x:c r="G241" s="87" t="str">
        <x:v>Физика</x:v>
      </x:c>
      <x:c r="H241" s="87" t="n">
        <x:v>11</x:v>
      </x:c>
      <x:c r="I241" s="87" t="str">
        <x:v>ТР №3</x:v>
      </x:c>
      <x:c r="J241" s="87" t="str">
        <x:v>ФИ2510303</x:v>
      </x:c>
      <x:c r="K241" s="87" t="n">
        <x:v>24</x:v>
      </x:c>
      <x:c r="L241" s="87" t="str">
        <x:v>Развёрнутый ответ: термодинамика</x:v>
      </x:c>
      <x:c r="M241" s="30" t="str">
        <x:v>Гелий: T0=100 К, p0=10 кПа, V0=0,25 м³. Газ нагрели изобарно, затем изохорно до 300 К; Qp=2Qv. Найдите Qv.</x:v>
      </x:c>
      <x:c r="N241" s="30" t="str">
        <x:v>≈3409 Дж</x:v>
      </x:c>
      <x:c r="O241" s="30" t="str">
        <x:v>Qp=(5/2)νR(T−T0), Qv=(3/2)νR(T1−T). Из 5(T−100)=6(300−T) получаем T≈209,1 К. Так как νR=p0V0/T0=25 Дж/К, Qv≈(3/2)·25·90,9≈3409 Дж.</x:v>
      </x:c>
      <x:c r="P241" s="30" t="str">
        <x:v>Промежуточная температура и теплота независимо пересчитаны через первый закон термодинамики.</x:v>
      </x:c>
      <x:c r="Q241" s="30"/>
      <x:c r="R241" s="30" t="str">
        <x:v>Критерии, стр. 5–7</x:v>
      </x:c>
      <x:c r="S241" s="30"/>
      <x:c r="T241" s="30"/>
      <x:c r="U241" s="30" t="str">
        <x:v>Расхождений нет.</x:v>
      </x:c>
      <x:c r="V241" s="87" t="str">
        <x:v>VERIFIED</x:v>
      </x:c>
      <x:c r="W241" s="87" t="n">
        <x:v>13</x:v>
      </x:c>
      <x:c r="X241" s="87"/>
      <x:c r="Y241" s="87"/>
      <x:c r="Z241" s="87"/>
      <x:c r="AA241" s="87"/>
      <x:c r="AB241" s="87"/>
      <x:c r="AC241" s="87"/>
      <x:c r="AD241" s="87"/>
      <x:c r="AE241" s="87"/>
      <x:c r="AF241" s="87"/>
      <x:c r="AG241" s="87"/>
      <x:c r="AH241" s="87"/>
      <x:c r="AI241" s="30"/>
      <x:c r="AJ241" s="87" t="str">
        <x:v>master</x:v>
      </x:c>
      <x:c r="AK241" s="87" t="str">
        <x:v>master-v0.81</x:v>
      </x:c>
      <x:c r="AL241" s="87" t="str">
        <x:v>statgrad_master_base_v0_81_final(2).xlsx</x:v>
      </x:c>
      <x:c r="AM241" s="87" t="str">
        <x:v>PHYS_Jan_V3</x:v>
      </x:c>
      <x:c r="AN241" s="87" t="n">
        <x:v>25</x:v>
      </x:c>
    </x:row>
    <x:row r="242">
      <x:c r="A242" s="87" t="n">
        <x:v>241</x:v>
      </x:c>
      <x:c r="B242" s="87" t="str">
        <x:v>JAN-PHY-V3-025</x:v>
      </x:c>
      <x:c r="C242" s="87" t="str">
        <x:v>СтатГрад</x:v>
      </x:c>
      <x:c r="D242" s="87" t="str">
        <x:v>Январь 2026</x:v>
      </x:c>
      <x:c r="E242" s="87"/>
      <x:c r="F242" s="87"/>
      <x:c r="G242" s="87" t="str">
        <x:v>Физика</x:v>
      </x:c>
      <x:c r="H242" s="87" t="n">
        <x:v>11</x:v>
      </x:c>
      <x:c r="I242" s="87" t="str">
        <x:v>ТР №3</x:v>
      </x:c>
      <x:c r="J242" s="87" t="str">
        <x:v>ФИ2510303</x:v>
      </x:c>
      <x:c r="K242" s="87" t="n">
        <x:v>25</x:v>
      </x:c>
      <x:c r="L242" s="87" t="str">
        <x:v>Развёрнутый ответ: конденсатор</x:v>
      </x:c>
      <x:c r="M242" s="30" t="str">
        <x:v>Изолированный воздушный конденсатор имеет заряд 2 мкКл. После вставки металлической и диэлектрической пластин (ε=3) энергия изменилась на −3 мкДж. Найдите исходную ёмкость.</x:v>
      </x:c>
      <x:c r="N242" s="30" t="str">
        <x:v>≈0,23 мкФ</x:v>
      </x:c>
      <x:c r="O242" s="30" t="str">
        <x:v>Для указанной геометрии ΔW=−q²(4ε−1)/[4C(5ε+1)]. Отсюда C=−q²(4ε−1)/[4ΔW(5ε+1)]≈2,29·10⁻⁷ Ф=0,23 мкФ.</x:v>
      </x:c>
      <x:c r="P242" s="30" t="str">
        <x:v>Эквивалентная ёмкость и энергетическое соотношение проверены отдельным выводом.</x:v>
      </x:c>
      <x:c r="Q242" s="30"/>
      <x:c r="R242" s="30" t="str">
        <x:v>Критерии, стр. 7–9</x:v>
      </x:c>
      <x:c r="S242" s="30"/>
      <x:c r="T242" s="30"/>
      <x:c r="U242" s="30" t="str">
        <x:v>В конце возможного решения критериев ошибочно напечатано «Ответ: Vср=7,5»; вычисления в самих критериях дают C≈0,23 мкФ.</x:v>
      </x:c>
      <x:c r="V242" s="87" t="str">
        <x:v>KEY_MISMATCH</x:v>
      </x:c>
      <x:c r="W242" s="87" t="n">
        <x:v>13</x:v>
      </x:c>
      <x:c r="X242" s="87"/>
      <x:c r="Y242" s="87"/>
      <x:c r="Z242" s="87"/>
      <x:c r="AA242" s="87"/>
      <x:c r="AB242" s="87"/>
      <x:c r="AC242" s="87"/>
      <x:c r="AD242" s="87"/>
      <x:c r="AE242" s="87"/>
      <x:c r="AF242" s="87"/>
      <x:c r="AG242" s="87"/>
      <x:c r="AH242" s="87"/>
      <x:c r="AI242" s="30"/>
      <x:c r="AJ242" s="87" t="str">
        <x:v>master</x:v>
      </x:c>
      <x:c r="AK242" s="87" t="str">
        <x:v>master-v0.81</x:v>
      </x:c>
      <x:c r="AL242" s="87" t="str">
        <x:v>statgrad_master_base_v0_81_final(2).xlsx</x:v>
      </x:c>
      <x:c r="AM242" s="87" t="str">
        <x:v>PHYS_Jan_V3</x:v>
      </x:c>
      <x:c r="AN242" s="87" t="n">
        <x:v>26</x:v>
      </x:c>
    </x:row>
    <x:row r="243">
      <x:c r="A243" s="87" t="n">
        <x:v>242</x:v>
      </x:c>
      <x:c r="B243" s="87" t="str">
        <x:v>JAN-PHY-V3-026</x:v>
      </x:c>
      <x:c r="C243" s="87" t="str">
        <x:v>СтатГрад</x:v>
      </x:c>
      <x:c r="D243" s="87" t="str">
        <x:v>Январь 2026</x:v>
      </x:c>
      <x:c r="E243" s="87"/>
      <x:c r="F243" s="87"/>
      <x:c r="G243" s="87" t="str">
        <x:v>Физика</x:v>
      </x:c>
      <x:c r="H243" s="87" t="n">
        <x:v>11</x:v>
      </x:c>
      <x:c r="I243" s="87" t="str">
        <x:v>ТР №3</x:v>
      </x:c>
      <x:c r="J243" s="87" t="str">
        <x:v>ФИ2510303</x:v>
      </x:c>
      <x:c r="K243" s="87" t="n">
        <x:v>26</x:v>
      </x:c>
      <x:c r="L243" s="87" t="str">
        <x:v>Развёрнутый ответ: равновесие твёрдого тела</x:v>
      </x:c>
      <x:c r="M243" s="30" t="str">
        <x:v>Составной цилиндр m=5,5 кг, R=15 см, r=10 см удерживается горизонтальной нитью на наклонной плоскости. На сколько N превышает силу трения покоя?</x:v>
      </x:c>
      <x:c r="N243" s="30" t="str">
        <x:v>42,5 Н</x:v>
      </x:c>
      <x:c r="O243" s="30" t="str">
        <x:v>При sinα=0,6 и cosα=0,8 из равновесия сил и моментов: Fтр=rmg sinα/(r+Rcosα), N=mg(R+r cosα)/(r+Rcosα). Подстановка даёт N−Fтр=42,5 Н.</x:v>
      </x:c>
      <x:c r="P243" s="30" t="str">
        <x:v>Условия поступательного и вращательного равновесия проверены относительно центра цилиндра.</x:v>
      </x:c>
      <x:c r="Q243" s="30"/>
      <x:c r="R243" s="30" t="str">
        <x:v>Критерии, стр. 9–12</x:v>
      </x:c>
      <x:c r="S243" s="30"/>
      <x:c r="T243" s="30"/>
      <x:c r="U243" s="30" t="str">
        <x:v>Расхождений нет.</x:v>
      </x:c>
      <x:c r="V243" s="87" t="str">
        <x:v>VERIFIED</x:v>
      </x:c>
      <x:c r="W243" s="87" t="n">
        <x:v>13</x:v>
      </x:c>
      <x:c r="X243" s="87"/>
      <x:c r="Y243" s="87"/>
      <x:c r="Z243" s="87"/>
      <x:c r="AA243" s="87"/>
      <x:c r="AB243" s="87"/>
      <x:c r="AC243" s="87"/>
      <x:c r="AD243" s="87"/>
      <x:c r="AE243" s="87"/>
      <x:c r="AF243" s="87"/>
      <x:c r="AG243" s="87"/>
      <x:c r="AH243" s="87"/>
      <x:c r="AI243" s="30"/>
      <x:c r="AJ243" s="87" t="str">
        <x:v>master</x:v>
      </x:c>
      <x:c r="AK243" s="87" t="str">
        <x:v>master-v0.81</x:v>
      </x:c>
      <x:c r="AL243" s="87" t="str">
        <x:v>statgrad_master_base_v0_81_final(2).xlsx</x:v>
      </x:c>
      <x:c r="AM243" s="87" t="str">
        <x:v>PHYS_Jan_V3</x:v>
      </x:c>
      <x:c r="AN243" s="87" t="n">
        <x:v>27</x:v>
      </x:c>
    </x:row>
    <x:row r="244">
      <x:c r="A244" s="87" t="n">
        <x:v>243</x:v>
      </x:c>
      <x:c r="B244" s="87" t="str">
        <x:v>JAN-PHY-V4-001</x:v>
      </x:c>
      <x:c r="C244" s="87" t="str">
        <x:v>СтатГрад</x:v>
      </x:c>
      <x:c r="D244" s="87" t="str">
        <x:v>Январь 2026</x:v>
      </x:c>
      <x:c r="E244" s="87"/>
      <x:c r="F244" s="87"/>
      <x:c r="G244" s="87" t="str">
        <x:v>Физика</x:v>
      </x:c>
      <x:c r="H244" s="87" t="n">
        <x:v>11</x:v>
      </x:c>
      <x:c r="I244" s="87" t="str">
        <x:v>ТР №3</x:v>
      </x:c>
      <x:c r="J244" s="87" t="str">
        <x:v>ФИ2510304</x:v>
      </x:c>
      <x:c r="K244" s="87" t="n">
        <x:v>1</x:v>
      </x:c>
      <x:c r="L244" s="87" t="str">
        <x:v>Кинематика: график скорости</x:v>
      </x:c>
      <x:c r="M244" s="30" t="str">
        <x:v>По графику vx(t) найдите путь мотоцикла за промежуток 15–20 с.</x:v>
      </x:c>
      <x:c r="N244" s="30" t="str">
        <x:v>25 м</x:v>
      </x:c>
      <x:c r="O244" s="30" t="str">
        <x:v>Скорость линейно меняется от −10 до +10 м/с и обращается в ноль через 2,5 с. Путь равен сумме площадей двух треугольников: 2·(1/2)·2,5·10=25 м.</x:v>
      </x:c>
      <x:c r="P244" s="30" t="str">
        <x:v>Площадь под графиком |v(t)| рассчитана отдельно до и после смены направления.</x:v>
      </x:c>
      <x:c r="Q244" s="30"/>
      <x:c r="R244" s="30" t="str">
        <x:v>25</x:v>
      </x:c>
      <x:c r="S244" s="30"/>
      <x:c r="T244" s="30"/>
      <x:c r="U244" s="30" t="str">
        <x:v>Расхождений нет.</x:v>
      </x:c>
      <x:c r="V244" s="87" t="str">
        <x:v>VERIFIED</x:v>
      </x:c>
      <x:c r="W244" s="87" t="n">
        <x:v>4</x:v>
      </x:c>
      <x:c r="X244" s="87"/>
      <x:c r="Y244" s="87"/>
      <x:c r="Z244" s="87"/>
      <x:c r="AA244" s="87"/>
      <x:c r="AB244" s="87"/>
      <x:c r="AC244" s="87"/>
      <x:c r="AD244" s="87"/>
      <x:c r="AE244" s="87"/>
      <x:c r="AF244" s="87"/>
      <x:c r="AG244" s="87"/>
      <x:c r="AH244" s="87"/>
      <x:c r="AI244" s="30"/>
      <x:c r="AJ244" s="87" t="str">
        <x:v>master</x:v>
      </x:c>
      <x:c r="AK244" s="87" t="str">
        <x:v>master-v0.81</x:v>
      </x:c>
      <x:c r="AL244" s="87" t="str">
        <x:v>statgrad_master_base_v0_81_final(2).xlsx</x:v>
      </x:c>
      <x:c r="AM244" s="87" t="str">
        <x:v>PHYS_Jan_V4</x:v>
      </x:c>
      <x:c r="AN244" s="87" t="n">
        <x:v>2</x:v>
      </x:c>
    </x:row>
    <x:row r="245">
      <x:c r="A245" s="87" t="n">
        <x:v>244</x:v>
      </x:c>
      <x:c r="B245" s="87" t="str">
        <x:v>JAN-PHY-V4-002</x:v>
      </x:c>
      <x:c r="C245" s="87" t="str">
        <x:v>СтатГрад</x:v>
      </x:c>
      <x:c r="D245" s="87" t="str">
        <x:v>Январь 2026</x:v>
      </x:c>
      <x:c r="E245" s="87"/>
      <x:c r="F245" s="87"/>
      <x:c r="G245" s="87" t="str">
        <x:v>Физика</x:v>
      </x:c>
      <x:c r="H245" s="87" t="n">
        <x:v>11</x:v>
      </x:c>
      <x:c r="I245" s="87" t="str">
        <x:v>ТР №3</x:v>
      </x:c>
      <x:c r="J245" s="87" t="str">
        <x:v>ФИ2510304</x:v>
      </x:c>
      <x:c r="K245" s="87" t="n">
        <x:v>2</x:v>
      </x:c>
      <x:c r="L245" s="87" t="str">
        <x:v>Статика и закон Гука</x:v>
      </x:c>
      <x:c r="M245" s="30" t="str">
        <x:v>Кубик покоится между двумя пружинами. Правая пружина имеет жёсткость 600 Н/м, левая действует с силой 12 Н. Найдите сжатие правой пружины.</x:v>
      </x:c>
      <x:c r="N245" s="30" t="str">
        <x:v>2 см</x:v>
      </x:c>
      <x:c r="O245" s="30" t="str">
        <x:v>В равновесии силы пружин равны. По закону Гука x=F/k=12/600=0,02 м=2 см.</x:v>
      </x:c>
      <x:c r="P245" s="30" t="str">
        <x:v>Проверены условие равновесия и перевод метров в сантиметры.</x:v>
      </x:c>
      <x:c r="Q245" s="30"/>
      <x:c r="R245" s="30" t="str">
        <x:v>2</x:v>
      </x:c>
      <x:c r="S245" s="30"/>
      <x:c r="T245" s="30"/>
      <x:c r="U245" s="30" t="str">
        <x:v>Расхождений нет.</x:v>
      </x:c>
      <x:c r="V245" s="87" t="str">
        <x:v>VERIFIED</x:v>
      </x:c>
      <x:c r="W245" s="87" t="n">
        <x:v>4</x:v>
      </x:c>
      <x:c r="X245" s="87"/>
      <x:c r="Y245" s="87"/>
      <x:c r="Z245" s="87"/>
      <x:c r="AA245" s="87"/>
      <x:c r="AB245" s="87"/>
      <x:c r="AC245" s="87"/>
      <x:c r="AD245" s="87"/>
      <x:c r="AE245" s="87"/>
      <x:c r="AF245" s="87"/>
      <x:c r="AG245" s="87"/>
      <x:c r="AH245" s="87"/>
      <x:c r="AI245" s="30"/>
      <x:c r="AJ245" s="87" t="str">
        <x:v>master</x:v>
      </x:c>
      <x:c r="AK245" s="87" t="str">
        <x:v>master-v0.81</x:v>
      </x:c>
      <x:c r="AL245" s="87" t="str">
        <x:v>statgrad_master_base_v0_81_final(2).xlsx</x:v>
      </x:c>
      <x:c r="AM245" s="87" t="str">
        <x:v>PHYS_Jan_V4</x:v>
      </x:c>
      <x:c r="AN245" s="87" t="n">
        <x:v>3</x:v>
      </x:c>
    </x:row>
    <x:row r="246">
      <x:c r="A246" s="87" t="n">
        <x:v>245</x:v>
      </x:c>
      <x:c r="B246" s="87" t="str">
        <x:v>JAN-PHY-V4-003</x:v>
      </x:c>
      <x:c r="C246" s="87" t="str">
        <x:v>СтатГрад</x:v>
      </x:c>
      <x:c r="D246" s="87" t="str">
        <x:v>Январь 2026</x:v>
      </x:c>
      <x:c r="E246" s="87"/>
      <x:c r="F246" s="87"/>
      <x:c r="G246" s="87" t="str">
        <x:v>Физика</x:v>
      </x:c>
      <x:c r="H246" s="87" t="n">
        <x:v>11</x:v>
      </x:c>
      <x:c r="I246" s="87" t="str">
        <x:v>ТР №3</x:v>
      </x:c>
      <x:c r="J246" s="87" t="str">
        <x:v>ФИ2510304</x:v>
      </x:c>
      <x:c r="K246" s="87" t="n">
        <x:v>3</x:v>
      </x:c>
      <x:c r="L246" s="87" t="str">
        <x:v>Потенциальная энергия</x:v>
      </x:c>
      <x:c r="M246" s="30" t="str">
        <x:v>Масса мотоциклиста с мотоциклом 340 кг. Отношение потенциальных энергий мотоциклиста и велосипедиста на одном мосту равно 2,5. Найдите массу велосипедиста с велосипедом.</x:v>
      </x:c>
      <x:c r="N246" s="30" t="str">
        <x:v>136 кг</x:v>
      </x:c>
      <x:c r="O246" s="30" t="str">
        <x:v>На одинаковой высоте Ep=mgh, поэтому отношение энергий равно отношению масс. mвел=340/2,5=136 кг.</x:v>
      </x:c>
      <x:c r="P246" s="30" t="str">
        <x:v>Высота и ускорение свободного падения сокращены в отношении энергий.</x:v>
      </x:c>
      <x:c r="Q246" s="30"/>
      <x:c r="R246" s="30" t="str">
        <x:v>136</x:v>
      </x:c>
      <x:c r="S246" s="30"/>
      <x:c r="T246" s="30"/>
      <x:c r="U246" s="30" t="str">
        <x:v>Расхождений нет.</x:v>
      </x:c>
      <x:c r="V246" s="87" t="str">
        <x:v>VERIFIED</x:v>
      </x:c>
      <x:c r="W246" s="87" t="n">
        <x:v>4</x:v>
      </x:c>
      <x:c r="X246" s="87"/>
      <x:c r="Y246" s="87"/>
      <x:c r="Z246" s="87"/>
      <x:c r="AA246" s="87"/>
      <x:c r="AB246" s="87"/>
      <x:c r="AC246" s="87"/>
      <x:c r="AD246" s="87"/>
      <x:c r="AE246" s="87"/>
      <x:c r="AF246" s="87"/>
      <x:c r="AG246" s="87"/>
      <x:c r="AH246" s="87"/>
      <x:c r="AI246" s="30"/>
      <x:c r="AJ246" s="87" t="str">
        <x:v>master</x:v>
      </x:c>
      <x:c r="AK246" s="87" t="str">
        <x:v>master-v0.81</x:v>
      </x:c>
      <x:c r="AL246" s="87" t="str">
        <x:v>statgrad_master_base_v0_81_final(2).xlsx</x:v>
      </x:c>
      <x:c r="AM246" s="87" t="str">
        <x:v>PHYS_Jan_V4</x:v>
      </x:c>
      <x:c r="AN246" s="87" t="n">
        <x:v>4</x:v>
      </x:c>
    </x:row>
    <x:row r="247">
      <x:c r="A247" s="87" t="n">
        <x:v>246</x:v>
      </x:c>
      <x:c r="B247" s="87" t="str">
        <x:v>JAN-PHY-V4-004</x:v>
      </x:c>
      <x:c r="C247" s="87" t="str">
        <x:v>СтатГрад</x:v>
      </x:c>
      <x:c r="D247" s="87" t="str">
        <x:v>Январь 2026</x:v>
      </x:c>
      <x:c r="E247" s="87"/>
      <x:c r="F247" s="87"/>
      <x:c r="G247" s="87" t="str">
        <x:v>Физика</x:v>
      </x:c>
      <x:c r="H247" s="87" t="n">
        <x:v>11</x:v>
      </x:c>
      <x:c r="I247" s="87" t="str">
        <x:v>ТР №3</x:v>
      </x:c>
      <x:c r="J247" s="87" t="str">
        <x:v>ФИ2510304</x:v>
      </x:c>
      <x:c r="K247" s="87" t="n">
        <x:v>4</x:v>
      </x:c>
      <x:c r="L247" s="87" t="str">
        <x:v>Сила Архимеда</x:v>
      </x:c>
      <x:c r="M247" s="30" t="str">
        <x:v>Деревянный брусок объёмом 240 см³ погружён в воду наполовину. Найдите силу Архимеда.</x:v>
      </x:c>
      <x:c r="N247" s="30" t="str">
        <x:v>1,2 Н</x:v>
      </x:c>
      <x:c r="O247" s="30" t="str">
        <x:v>Погружённый объём равен 120 см³=1,2·10⁻⁴ м³. FA=ρgV=1000·10·1,2·10⁻⁴=1,2 Н.</x:v>
      </x:c>
      <x:c r="P247" s="30" t="str">
        <x:v>Проверены объём вытесненной воды и единицы СИ.</x:v>
      </x:c>
      <x:c r="Q247" s="30"/>
      <x:c r="R247" s="30" t="str">
        <x:v>1,2</x:v>
      </x:c>
      <x:c r="S247" s="30"/>
      <x:c r="T247" s="30"/>
      <x:c r="U247" s="30" t="str">
        <x:v>Расхождений нет.</x:v>
      </x:c>
      <x:c r="V247" s="87" t="str">
        <x:v>VERIFIED</x:v>
      </x:c>
      <x:c r="W247" s="87" t="n">
        <x:v>5</x:v>
      </x:c>
      <x:c r="X247" s="87"/>
      <x:c r="Y247" s="87"/>
      <x:c r="Z247" s="87"/>
      <x:c r="AA247" s="87"/>
      <x:c r="AB247" s="87"/>
      <x:c r="AC247" s="87"/>
      <x:c r="AD247" s="87"/>
      <x:c r="AE247" s="87"/>
      <x:c r="AF247" s="87"/>
      <x:c r="AG247" s="87"/>
      <x:c r="AH247" s="87"/>
      <x:c r="AI247" s="30"/>
      <x:c r="AJ247" s="87" t="str">
        <x:v>master</x:v>
      </x:c>
      <x:c r="AK247" s="87" t="str">
        <x:v>master-v0.81</x:v>
      </x:c>
      <x:c r="AL247" s="87" t="str">
        <x:v>statgrad_master_base_v0_81_final(2).xlsx</x:v>
      </x:c>
      <x:c r="AM247" s="87" t="str">
        <x:v>PHYS_Jan_V4</x:v>
      </x:c>
      <x:c r="AN247" s="87" t="n">
        <x:v>5</x:v>
      </x:c>
    </x:row>
    <x:row r="248">
      <x:c r="A248" s="87" t="n">
        <x:v>247</x:v>
      </x:c>
      <x:c r="B248" s="87" t="str">
        <x:v>JAN-PHY-V4-005</x:v>
      </x:c>
      <x:c r="C248" s="87" t="str">
        <x:v>СтатГрад</x:v>
      </x:c>
      <x:c r="D248" s="87" t="str">
        <x:v>Январь 2026</x:v>
      </x:c>
      <x:c r="E248" s="87"/>
      <x:c r="F248" s="87"/>
      <x:c r="G248" s="87" t="str">
        <x:v>Физика</x:v>
      </x:c>
      <x:c r="H248" s="87" t="n">
        <x:v>11</x:v>
      </x:c>
      <x:c r="I248" s="87" t="str">
        <x:v>ТР №3</x:v>
      </x:c>
      <x:c r="J248" s="87" t="str">
        <x:v>ФИ2510304</x:v>
      </x:c>
      <x:c r="K248" s="87" t="n">
        <x:v>5</x:v>
      </x:c>
      <x:c r="L248" s="87" t="str">
        <x:v>Кинематика: график координаты</x:v>
      </x:c>
      <x:c r="M248" s="30" t="str">
        <x:v>Выберите верные утверждения по графику x(t) с точками A–E.</x:v>
      </x:c>
      <x:c r="N248" s="30" t="str">
        <x:v>14</x:v>
      </x:c>
      <x:c r="O248" s="30" t="str">
        <x:v>В точке D график имеет максимум и вогнут вниз, поэтому проекция ускорения отрицательна (1). На участке ABC тело останавливается в точке B, где наклон графика равен нулю (4).</x:v>
      </x:c>
      <x:c r="P248" s="30" t="str">
        <x:v>Утверждения проверены по первой и второй производным координаты.</x:v>
      </x:c>
      <x:c r="Q248" s="30"/>
      <x:c r="R248" s="30" t="str">
        <x:v>14</x:v>
      </x:c>
      <x:c r="S248" s="30"/>
      <x:c r="T248" s="30"/>
      <x:c r="U248" s="30" t="str">
        <x:v>Расхождений нет.</x:v>
      </x:c>
      <x:c r="V248" s="87" t="str">
        <x:v>VERIFIED</x:v>
      </x:c>
      <x:c r="W248" s="87" t="n">
        <x:v>5</x:v>
      </x:c>
      <x:c r="X248" s="87"/>
      <x:c r="Y248" s="87"/>
      <x:c r="Z248" s="87"/>
      <x:c r="AA248" s="87"/>
      <x:c r="AB248" s="87"/>
      <x:c r="AC248" s="87"/>
      <x:c r="AD248" s="87"/>
      <x:c r="AE248" s="87"/>
      <x:c r="AF248" s="87"/>
      <x:c r="AG248" s="87"/>
      <x:c r="AH248" s="87"/>
      <x:c r="AI248" s="30"/>
      <x:c r="AJ248" s="87" t="str">
        <x:v>master</x:v>
      </x:c>
      <x:c r="AK248" s="87" t="str">
        <x:v>master-v0.81</x:v>
      </x:c>
      <x:c r="AL248" s="87" t="str">
        <x:v>statgrad_master_base_v0_81_final(2).xlsx</x:v>
      </x:c>
      <x:c r="AM248" s="87" t="str">
        <x:v>PHYS_Jan_V4</x:v>
      </x:c>
      <x:c r="AN248" s="87" t="n">
        <x:v>6</x:v>
      </x:c>
    </x:row>
    <x:row r="249">
      <x:c r="A249" s="87" t="n">
        <x:v>248</x:v>
      </x:c>
      <x:c r="B249" s="87" t="str">
        <x:v>JAN-PHY-V4-006</x:v>
      </x:c>
      <x:c r="C249" s="87" t="str">
        <x:v>СтатГрад</x:v>
      </x:c>
      <x:c r="D249" s="87" t="str">
        <x:v>Январь 2026</x:v>
      </x:c>
      <x:c r="E249" s="87"/>
      <x:c r="F249" s="87"/>
      <x:c r="G249" s="87" t="str">
        <x:v>Физика</x:v>
      </x:c>
      <x:c r="H249" s="87" t="n">
        <x:v>11</x:v>
      </x:c>
      <x:c r="I249" s="87" t="str">
        <x:v>ТР №3</x:v>
      </x:c>
      <x:c r="J249" s="87" t="str">
        <x:v>ФИ2510304</x:v>
      </x:c>
      <x:c r="K249" s="87" t="n">
        <x:v>6</x:v>
      </x:c>
      <x:c r="L249" s="87" t="str">
        <x:v>Математический маятник</x:v>
      </x:c>
      <x:c r="M249" s="30" t="str">
        <x:v>Соотнесите графики A и Б с координатой, скоростью, кинетической и потенциальной энергиями груза маятника.</x:v>
      </x:c>
      <x:c r="N249" s="30" t="str">
        <x:v>А–4; Б–1</x:v>
      </x:c>
      <x:c r="O249" s="30" t="str">
        <x:v>График A всегда неотрицателен и максимален в крайних положениях, поэтому показывает потенциальную энергию. График Б при t=0 отрицателен и через период возвращается к исходному значению, поэтому это координата x.</x:v>
      </x:c>
      <x:c r="P249" s="30" t="str">
        <x:v>Учтено, что маятник отпущен из левого крайнего положения.</x:v>
      </x:c>
      <x:c r="Q249" s="30"/>
      <x:c r="R249" s="30" t="str">
        <x:v>4; 1</x:v>
      </x:c>
      <x:c r="S249" s="30"/>
      <x:c r="T249" s="30"/>
      <x:c r="U249" s="30" t="str">
        <x:v>Расхождений нет.</x:v>
      </x:c>
      <x:c r="V249" s="87" t="str">
        <x:v>VERIFIED</x:v>
      </x:c>
      <x:c r="W249" s="87" t="n">
        <x:v>6</x:v>
      </x:c>
      <x:c r="X249" s="87"/>
      <x:c r="Y249" s="87"/>
      <x:c r="Z249" s="87"/>
      <x:c r="AA249" s="87"/>
      <x:c r="AB249" s="87"/>
      <x:c r="AC249" s="87"/>
      <x:c r="AD249" s="87"/>
      <x:c r="AE249" s="87"/>
      <x:c r="AF249" s="87"/>
      <x:c r="AG249" s="87"/>
      <x:c r="AH249" s="87"/>
      <x:c r="AI249" s="30"/>
      <x:c r="AJ249" s="87" t="str">
        <x:v>master</x:v>
      </x:c>
      <x:c r="AK249" s="87" t="str">
        <x:v>master-v0.81</x:v>
      </x:c>
      <x:c r="AL249" s="87" t="str">
        <x:v>statgrad_master_base_v0_81_final(2).xlsx</x:v>
      </x:c>
      <x:c r="AM249" s="87" t="str">
        <x:v>PHYS_Jan_V4</x:v>
      </x:c>
      <x:c r="AN249" s="87" t="n">
        <x:v>7</x:v>
      </x:c>
    </x:row>
    <x:row r="250">
      <x:c r="A250" s="87" t="n">
        <x:v>249</x:v>
      </x:c>
      <x:c r="B250" s="87" t="str">
        <x:v>JAN-PHY-V4-007</x:v>
      </x:c>
      <x:c r="C250" s="87" t="str">
        <x:v>СтатГрад</x:v>
      </x:c>
      <x:c r="D250" s="87" t="str">
        <x:v>Январь 2026</x:v>
      </x:c>
      <x:c r="E250" s="87"/>
      <x:c r="F250" s="87"/>
      <x:c r="G250" s="87" t="str">
        <x:v>Физика</x:v>
      </x:c>
      <x:c r="H250" s="87" t="n">
        <x:v>11</x:v>
      </x:c>
      <x:c r="I250" s="87" t="str">
        <x:v>ТР №3</x:v>
      </x:c>
      <x:c r="J250" s="87" t="str">
        <x:v>ФИ2510304</x:v>
      </x:c>
      <x:c r="K250" s="87" t="n">
        <x:v>7</x:v>
      </x:c>
      <x:c r="L250" s="87" t="str">
        <x:v>Уравнение состояния газа</x:v>
      </x:c>
      <x:c r="M250" s="30" t="str">
        <x:v>Объём газа увеличили в 2 раза, температуру уменьшили в 1,2 раза. Начальное давление 120 кПа. Найдите конечное давление.</x:v>
      </x:c>
      <x:c r="N250" s="30" t="str">
        <x:v>50 кПа</x:v>
      </x:c>
      <x:c r="O250" s="30" t="str">
        <x:v>Для неизменного количества газа pV/T=const. p₂=120·(1/2)·(1/1,2)=50 кПа.</x:v>
      </x:c>
      <x:c r="P250" s="30" t="str">
        <x:v>Результат проверен объединённым газовым законом.</x:v>
      </x:c>
      <x:c r="Q250" s="30"/>
      <x:c r="R250" s="30" t="str">
        <x:v>50</x:v>
      </x:c>
      <x:c r="S250" s="30"/>
      <x:c r="T250" s="30"/>
      <x:c r="U250" s="30" t="str">
        <x:v>Расхождений нет.</x:v>
      </x:c>
      <x:c r="V250" s="87" t="str">
        <x:v>VERIFIED</x:v>
      </x:c>
      <x:c r="W250" s="87" t="n">
        <x:v>6</x:v>
      </x:c>
      <x:c r="X250" s="87"/>
      <x:c r="Y250" s="87"/>
      <x:c r="Z250" s="87"/>
      <x:c r="AA250" s="87"/>
      <x:c r="AB250" s="87"/>
      <x:c r="AC250" s="87"/>
      <x:c r="AD250" s="87"/>
      <x:c r="AE250" s="87"/>
      <x:c r="AF250" s="87"/>
      <x:c r="AG250" s="87"/>
      <x:c r="AH250" s="87"/>
      <x:c r="AI250" s="30"/>
      <x:c r="AJ250" s="87" t="str">
        <x:v>master</x:v>
      </x:c>
      <x:c r="AK250" s="87" t="str">
        <x:v>master-v0.81</x:v>
      </x:c>
      <x:c r="AL250" s="87" t="str">
        <x:v>statgrad_master_base_v0_81_final(2).xlsx</x:v>
      </x:c>
      <x:c r="AM250" s="87" t="str">
        <x:v>PHYS_Jan_V4</x:v>
      </x:c>
      <x:c r="AN250" s="87" t="n">
        <x:v>8</x:v>
      </x:c>
    </x:row>
    <x:row r="251">
      <x:c r="A251" s="87" t="n">
        <x:v>250</x:v>
      </x:c>
      <x:c r="B251" s="87" t="str">
        <x:v>JAN-PHY-V4-008</x:v>
      </x:c>
      <x:c r="C251" s="87" t="str">
        <x:v>СтатГрад</x:v>
      </x:c>
      <x:c r="D251" s="87" t="str">
        <x:v>Январь 2026</x:v>
      </x:c>
      <x:c r="E251" s="87"/>
      <x:c r="F251" s="87"/>
      <x:c r="G251" s="87" t="str">
        <x:v>Физика</x:v>
      </x:c>
      <x:c r="H251" s="87" t="n">
        <x:v>11</x:v>
      </x:c>
      <x:c r="I251" s="87" t="str">
        <x:v>ТР №3</x:v>
      </x:c>
      <x:c r="J251" s="87" t="str">
        <x:v>ФИ2510304</x:v>
      </x:c>
      <x:c r="K251" s="87" t="n">
        <x:v>8</x:v>
      </x:c>
      <x:c r="L251" s="87" t="str">
        <x:v>Парообразование</x:v>
      </x:c>
      <x:c r="M251" s="30" t="str">
        <x:v>Жидкость массой 1,2 кг нагревают. По графику t(Q) найдите массу пара после поглощения 300 кДж.</x:v>
      </x:c>
      <x:c r="N251" s="30" t="str">
        <x:v>0,8 кг</x:v>
      </x:c>
      <x:c r="O251" s="30" t="str">
        <x:v>На нагрев до кипения ушло 100 кДж, а полное испарение 1,2 кг требует ещё 300 кДж. При общем Q=300 кДж на парообразование приходится 200 кДж, поэтому испарилось 1,2·200/300=0,8 кг.</x:v>
      </x:c>
      <x:c r="P251" s="30" t="str">
        <x:v>Использована пропорциональность массы испарившейся жидкости теплоте парообразования.</x:v>
      </x:c>
      <x:c r="Q251" s="30"/>
      <x:c r="R251" s="30" t="str">
        <x:v>0,8</x:v>
      </x:c>
      <x:c r="S251" s="30"/>
      <x:c r="T251" s="30"/>
      <x:c r="U251" s="30" t="str">
        <x:v>Расхождений нет.</x:v>
      </x:c>
      <x:c r="V251" s="87" t="str">
        <x:v>VERIFIED</x:v>
      </x:c>
      <x:c r="W251" s="87" t="n">
        <x:v>7</x:v>
      </x:c>
      <x:c r="X251" s="87"/>
      <x:c r="Y251" s="87"/>
      <x:c r="Z251" s="87"/>
      <x:c r="AA251" s="87"/>
      <x:c r="AB251" s="87"/>
      <x:c r="AC251" s="87"/>
      <x:c r="AD251" s="87"/>
      <x:c r="AE251" s="87"/>
      <x:c r="AF251" s="87"/>
      <x:c r="AG251" s="87"/>
      <x:c r="AH251" s="87"/>
      <x:c r="AI251" s="30"/>
      <x:c r="AJ251" s="87" t="str">
        <x:v>master</x:v>
      </x:c>
      <x:c r="AK251" s="87" t="str">
        <x:v>master-v0.81</x:v>
      </x:c>
      <x:c r="AL251" s="87" t="str">
        <x:v>statgrad_master_base_v0_81_final(2).xlsx</x:v>
      </x:c>
      <x:c r="AM251" s="87" t="str">
        <x:v>PHYS_Jan_V4</x:v>
      </x:c>
      <x:c r="AN251" s="87" t="n">
        <x:v>9</x:v>
      </x:c>
    </x:row>
    <x:row r="252">
      <x:c r="A252" s="87" t="n">
        <x:v>251</x:v>
      </x:c>
      <x:c r="B252" s="87" t="str">
        <x:v>JAN-PHY-V4-009</x:v>
      </x:c>
      <x:c r="C252" s="87" t="str">
        <x:v>СтатГрад</x:v>
      </x:c>
      <x:c r="D252" s="87" t="str">
        <x:v>Январь 2026</x:v>
      </x:c>
      <x:c r="E252" s="87"/>
      <x:c r="F252" s="87"/>
      <x:c r="G252" s="87" t="str">
        <x:v>Физика</x:v>
      </x:c>
      <x:c r="H252" s="87" t="n">
        <x:v>11</x:v>
      </x:c>
      <x:c r="I252" s="87" t="str">
        <x:v>ТР №3</x:v>
      </x:c>
      <x:c r="J252" s="87" t="str">
        <x:v>ФИ2510304</x:v>
      </x:c>
      <x:c r="K252" s="87" t="n">
        <x:v>9</x:v>
      </x:c>
      <x:c r="L252" s="87" t="str">
        <x:v>Термодинамические процессы</x:v>
      </x:c>
      <x:c r="M252" s="30" t="str">
        <x:v>Выберите верные утверждения по графику p(T) для состояний 1–2–3.</x:v>
      </x:c>
      <x:c r="N252" s="30" t="str">
        <x:v>125</x:v>
      </x:c>
      <x:c r="O252" s="30" t="str">
        <x:v>На 1–2 температура постоянна, поэтому внутренняя энергия не меняется (1). На 2–3 давление постоянно, температура и объём растут, следовательно, газ совершает положительную работу (2). В состояниях 1 и 3 объёмы равны, поэтому плотности одинаковы (5).</x:v>
      </x:c>
      <x:c r="P252" s="30" t="str">
        <x:v>Все утверждения проверены по pV=νRT и первому закону термодинамики.</x:v>
      </x:c>
      <x:c r="Q252" s="30"/>
      <x:c r="R252" s="30" t="str">
        <x:v>125</x:v>
      </x:c>
      <x:c r="S252" s="30"/>
      <x:c r="T252" s="30"/>
      <x:c r="U252" s="30" t="str">
        <x:v>Расхождений нет.</x:v>
      </x:c>
      <x:c r="V252" s="87" t="str">
        <x:v>VERIFIED</x:v>
      </x:c>
      <x:c r="W252" s="87" t="n">
        <x:v>7</x:v>
      </x:c>
      <x:c r="X252" s="87"/>
      <x:c r="Y252" s="87"/>
      <x:c r="Z252" s="87"/>
      <x:c r="AA252" s="87"/>
      <x:c r="AB252" s="87"/>
      <x:c r="AC252" s="87"/>
      <x:c r="AD252" s="87"/>
      <x:c r="AE252" s="87"/>
      <x:c r="AF252" s="87"/>
      <x:c r="AG252" s="87"/>
      <x:c r="AH252" s="87"/>
      <x:c r="AI252" s="30"/>
      <x:c r="AJ252" s="87" t="str">
        <x:v>master</x:v>
      </x:c>
      <x:c r="AK252" s="87" t="str">
        <x:v>master-v0.81</x:v>
      </x:c>
      <x:c r="AL252" s="87" t="str">
        <x:v>statgrad_master_base_v0_81_final(2).xlsx</x:v>
      </x:c>
      <x:c r="AM252" s="87" t="str">
        <x:v>PHYS_Jan_V4</x:v>
      </x:c>
      <x:c r="AN252" s="87" t="n">
        <x:v>10</x:v>
      </x:c>
    </x:row>
    <x:row r="253">
      <x:c r="A253" s="87" t="n">
        <x:v>252</x:v>
      </x:c>
      <x:c r="B253" s="87" t="str">
        <x:v>JAN-PHY-V4-010</x:v>
      </x:c>
      <x:c r="C253" s="87" t="str">
        <x:v>СтатГрад</x:v>
      </x:c>
      <x:c r="D253" s="87" t="str">
        <x:v>Январь 2026</x:v>
      </x:c>
      <x:c r="E253" s="87"/>
      <x:c r="F253" s="87"/>
      <x:c r="G253" s="87" t="str">
        <x:v>Физика</x:v>
      </x:c>
      <x:c r="H253" s="87" t="n">
        <x:v>11</x:v>
      </x:c>
      <x:c r="I253" s="87" t="str">
        <x:v>ТР №3</x:v>
      </x:c>
      <x:c r="J253" s="87" t="str">
        <x:v>ФИ2510304</x:v>
      </x:c>
      <x:c r="K253" s="87" t="n">
        <x:v>10</x:v>
      </x:c>
      <x:c r="L253" s="87" t="str">
        <x:v>Тепловое равновесие</x:v>
      </x:c>
      <x:c r="M253" s="30" t="str">
        <x:v>В воду комнатной температуры положили лёд при 0 °C. Как изменятся удельная теплоёмкость льда и масса воды?</x:v>
      </x:c>
      <x:c r="N253" s="30" t="str">
        <x:v>3; 1</x:v>
      </x:c>
      <x:c r="O253" s="30" t="str">
        <x:v>Удельная теплоёмкость льда является свойством вещества и не меняется. Часть льда плавится, поэтому масса воды увеличивается.</x:v>
      </x:c>
      <x:c r="P253" s="30" t="str">
        <x:v>Проверены неизменность удельной характеристики и направление фазового перехода.</x:v>
      </x:c>
      <x:c r="Q253" s="30"/>
      <x:c r="R253" s="30" t="str">
        <x:v>3; 1</x:v>
      </x:c>
      <x:c r="S253" s="30"/>
      <x:c r="T253" s="30"/>
      <x:c r="U253" s="30" t="str">
        <x:v>Расхождений нет.</x:v>
      </x:c>
      <x:c r="V253" s="87" t="str">
        <x:v>VERIFIED</x:v>
      </x:c>
      <x:c r="W253" s="87" t="n">
        <x:v>8</x:v>
      </x:c>
      <x:c r="X253" s="87"/>
      <x:c r="Y253" s="87"/>
      <x:c r="Z253" s="87"/>
      <x:c r="AA253" s="87"/>
      <x:c r="AB253" s="87"/>
      <x:c r="AC253" s="87"/>
      <x:c r="AD253" s="87"/>
      <x:c r="AE253" s="87"/>
      <x:c r="AF253" s="87"/>
      <x:c r="AG253" s="87"/>
      <x:c r="AH253" s="87"/>
      <x:c r="AI253" s="30"/>
      <x:c r="AJ253" s="87" t="str">
        <x:v>master</x:v>
      </x:c>
      <x:c r="AK253" s="87" t="str">
        <x:v>master-v0.81</x:v>
      </x:c>
      <x:c r="AL253" s="87" t="str">
        <x:v>statgrad_master_base_v0_81_final(2).xlsx</x:v>
      </x:c>
      <x:c r="AM253" s="87" t="str">
        <x:v>PHYS_Jan_V4</x:v>
      </x:c>
      <x:c r="AN253" s="87" t="n">
        <x:v>11</x:v>
      </x:c>
    </x:row>
    <x:row r="254">
      <x:c r="A254" s="87" t="n">
        <x:v>253</x:v>
      </x:c>
      <x:c r="B254" s="87" t="str">
        <x:v>JAN-PHY-V4-011</x:v>
      </x:c>
      <x:c r="C254" s="87" t="str">
        <x:v>СтатГрад</x:v>
      </x:c>
      <x:c r="D254" s="87" t="str">
        <x:v>Январь 2026</x:v>
      </x:c>
      <x:c r="E254" s="87"/>
      <x:c r="F254" s="87"/>
      <x:c r="G254" s="87" t="str">
        <x:v>Физика</x:v>
      </x:c>
      <x:c r="H254" s="87" t="n">
        <x:v>11</x:v>
      </x:c>
      <x:c r="I254" s="87" t="str">
        <x:v>ТР №3</x:v>
      </x:c>
      <x:c r="J254" s="87" t="str">
        <x:v>ФИ2510304</x:v>
      </x:c>
      <x:c r="K254" s="87" t="n">
        <x:v>11</x:v>
      </x:c>
      <x:c r="L254" s="87" t="str">
        <x:v>Работа электрического тока</x:v>
      </x:c>
      <x:c r="M254" s="30" t="str">
        <x:v>Чайник подключён к 220 В, ток равен 2 А; выделилось 66 кДж теплоты. Найдите время работы.</x:v>
      </x:c>
      <x:c r="N254" s="30" t="str">
        <x:v>150 с</x:v>
      </x:c>
      <x:c r="O254" s="30" t="str">
        <x:v>t=Q/(UI)=66000/(220·2)=150 с.</x:v>
      </x:c>
      <x:c r="P254" s="30" t="str">
        <x:v>Расчёт проверен через мощность P=UI=440 Вт.</x:v>
      </x:c>
      <x:c r="Q254" s="30"/>
      <x:c r="R254" s="30" t="str">
        <x:v>150</x:v>
      </x:c>
      <x:c r="S254" s="30"/>
      <x:c r="T254" s="30"/>
      <x:c r="U254" s="30" t="str">
        <x:v>Расхождений нет.</x:v>
      </x:c>
      <x:c r="V254" s="87" t="str">
        <x:v>VERIFIED</x:v>
      </x:c>
      <x:c r="W254" s="87" t="n">
        <x:v>8</x:v>
      </x:c>
      <x:c r="X254" s="87"/>
      <x:c r="Y254" s="87"/>
      <x:c r="Z254" s="87"/>
      <x:c r="AA254" s="87"/>
      <x:c r="AB254" s="87"/>
      <x:c r="AC254" s="87"/>
      <x:c r="AD254" s="87"/>
      <x:c r="AE254" s="87"/>
      <x:c r="AF254" s="87"/>
      <x:c r="AG254" s="87"/>
      <x:c r="AH254" s="87"/>
      <x:c r="AI254" s="30"/>
      <x:c r="AJ254" s="87" t="str">
        <x:v>master</x:v>
      </x:c>
      <x:c r="AK254" s="87" t="str">
        <x:v>master-v0.81</x:v>
      </x:c>
      <x:c r="AL254" s="87" t="str">
        <x:v>statgrad_master_base_v0_81_final(2).xlsx</x:v>
      </x:c>
      <x:c r="AM254" s="87" t="str">
        <x:v>PHYS_Jan_V4</x:v>
      </x:c>
      <x:c r="AN254" s="87" t="n">
        <x:v>12</x:v>
      </x:c>
    </x:row>
    <x:row r="255">
      <x:c r="A255" s="87" t="n">
        <x:v>254</x:v>
      </x:c>
      <x:c r="B255" s="87" t="str">
        <x:v>JAN-PHY-V4-012</x:v>
      </x:c>
      <x:c r="C255" s="87" t="str">
        <x:v>СтатГрад</x:v>
      </x:c>
      <x:c r="D255" s="87" t="str">
        <x:v>Январь 2026</x:v>
      </x:c>
      <x:c r="E255" s="87"/>
      <x:c r="F255" s="87"/>
      <x:c r="G255" s="87" t="str">
        <x:v>Физика</x:v>
      </x:c>
      <x:c r="H255" s="87" t="n">
        <x:v>11</x:v>
      </x:c>
      <x:c r="I255" s="87" t="str">
        <x:v>ТР №3</x:v>
      </x:c>
      <x:c r="J255" s="87" t="str">
        <x:v>ФИ2510304</x:v>
      </x:c>
      <x:c r="K255" s="87" t="n">
        <x:v>12</x:v>
      </x:c>
      <x:c r="L255" s="87" t="str">
        <x:v>Электромагнитная индукция</x:v>
      </x:c>
      <x:c r="M255" s="30" t="str">
        <x:v>Сторону квадратной рамки увеличили в 2 раза, угловую скорость уменьшили в 2 раза. Начальная максимальная ЭДС равна 2 мВ. Найдите новую ЭДС.</x:v>
      </x:c>
      <x:c r="N255" s="30" t="str">
        <x:v>4 мВ</x:v>
      </x:c>
      <x:c r="O255" s="30" t="str">
        <x:v>εmax=BSω. Площадь увеличилась в 4 раза, угловая скорость уменьшилась в 2 раза, поэтому ЭДС выросла в 2 раза: 4 мВ.</x:v>
      </x:c>
      <x:c r="P255" s="30" t="str">
        <x:v>Проверена пропорциональность максимальной ЭДС площади и угловой скорости.</x:v>
      </x:c>
      <x:c r="Q255" s="30"/>
      <x:c r="R255" s="30" t="str">
        <x:v>4</x:v>
      </x:c>
      <x:c r="S255" s="30"/>
      <x:c r="T255" s="30"/>
      <x:c r="U255" s="30" t="str">
        <x:v>Расхождений нет.</x:v>
      </x:c>
      <x:c r="V255" s="87" t="str">
        <x:v>VERIFIED</x:v>
      </x:c>
      <x:c r="W255" s="87" t="n">
        <x:v>8</x:v>
      </x:c>
      <x:c r="X255" s="87"/>
      <x:c r="Y255" s="87"/>
      <x:c r="Z255" s="87"/>
      <x:c r="AA255" s="87"/>
      <x:c r="AB255" s="87"/>
      <x:c r="AC255" s="87"/>
      <x:c r="AD255" s="87"/>
      <x:c r="AE255" s="87"/>
      <x:c r="AF255" s="87"/>
      <x:c r="AG255" s="87"/>
      <x:c r="AH255" s="87"/>
      <x:c r="AI255" s="30"/>
      <x:c r="AJ255" s="87" t="str">
        <x:v>master</x:v>
      </x:c>
      <x:c r="AK255" s="87" t="str">
        <x:v>master-v0.81</x:v>
      </x:c>
      <x:c r="AL255" s="87" t="str">
        <x:v>statgrad_master_base_v0_81_final(2).xlsx</x:v>
      </x:c>
      <x:c r="AM255" s="87" t="str">
        <x:v>PHYS_Jan_V4</x:v>
      </x:c>
      <x:c r="AN255" s="87" t="n">
        <x:v>13</x:v>
      </x:c>
    </x:row>
    <x:row r="256">
      <x:c r="A256" s="87" t="n">
        <x:v>255</x:v>
      </x:c>
      <x:c r="B256" s="87" t="str">
        <x:v>JAN-PHY-V4-013</x:v>
      </x:c>
      <x:c r="C256" s="87" t="str">
        <x:v>СтатГрад</x:v>
      </x:c>
      <x:c r="D256" s="87" t="str">
        <x:v>Январь 2026</x:v>
      </x:c>
      <x:c r="E256" s="87"/>
      <x:c r="F256" s="87"/>
      <x:c r="G256" s="87" t="str">
        <x:v>Физика</x:v>
      </x:c>
      <x:c r="H256" s="87" t="n">
        <x:v>11</x:v>
      </x:c>
      <x:c r="I256" s="87" t="str">
        <x:v>ТР №3</x:v>
      </x:c>
      <x:c r="J256" s="87" t="str">
        <x:v>ФИ2510304</x:v>
      </x:c>
      <x:c r="K256" s="87" t="n">
        <x:v>13</x:v>
      </x:c>
      <x:c r="L256" s="87" t="str">
        <x:v>Закон отражения</x:v>
      </x:c>
      <x:c r="M256" s="30" t="str">
        <x:v>Угол между падающим и отражённым лучами равен 45°. Зеркало поворачивают на 10° как на рисунке. Найдите угол между падающим лучом и новой плоскостью зеркала.</x:v>
      </x:c>
      <x:c r="N256" s="30" t="str">
        <x:v>57,5°</x:v>
      </x:c>
      <x:c r="O256" s="30" t="str">
        <x:v>Изначально угол падения равен 22,5°, поэтому угол падающего луча с зеркалом равен 67,5°. После поворота зеркала в сторону луча на 10° он уменьшается до 57,5°.</x:v>
      </x:c>
      <x:c r="P256" s="30" t="str">
        <x:v>Геометрия проверена через половину угла между падающим и отражённым лучами.</x:v>
      </x:c>
      <x:c r="Q256" s="30"/>
      <x:c r="R256" s="30" t="str">
        <x:v>57,5</x:v>
      </x:c>
      <x:c r="S256" s="30"/>
      <x:c r="T256" s="30"/>
      <x:c r="U256" s="30" t="str">
        <x:v>Расхождений нет.</x:v>
      </x:c>
      <x:c r="V256" s="87" t="str">
        <x:v>VERIFIED</x:v>
      </x:c>
      <x:c r="W256" s="87" t="n">
        <x:v>8</x:v>
      </x:c>
      <x:c r="X256" s="87"/>
      <x:c r="Y256" s="87"/>
      <x:c r="Z256" s="87"/>
      <x:c r="AA256" s="87"/>
      <x:c r="AB256" s="87"/>
      <x:c r="AC256" s="87"/>
      <x:c r="AD256" s="87"/>
      <x:c r="AE256" s="87"/>
      <x:c r="AF256" s="87"/>
      <x:c r="AG256" s="87"/>
      <x:c r="AH256" s="87"/>
      <x:c r="AI256" s="30"/>
      <x:c r="AJ256" s="87" t="str">
        <x:v>master</x:v>
      </x:c>
      <x:c r="AK256" s="87" t="str">
        <x:v>master-v0.81</x:v>
      </x:c>
      <x:c r="AL256" s="87" t="str">
        <x:v>statgrad_master_base_v0_81_final(2).xlsx</x:v>
      </x:c>
      <x:c r="AM256" s="87" t="str">
        <x:v>PHYS_Jan_V4</x:v>
      </x:c>
      <x:c r="AN256" s="87" t="n">
        <x:v>14</x:v>
      </x:c>
    </x:row>
    <x:row r="257">
      <x:c r="A257" s="87" t="n">
        <x:v>256</x:v>
      </x:c>
      <x:c r="B257" s="87" t="str">
        <x:v>JAN-PHY-V4-014</x:v>
      </x:c>
      <x:c r="C257" s="87" t="str">
        <x:v>СтатГрад</x:v>
      </x:c>
      <x:c r="D257" s="87" t="str">
        <x:v>Январь 2026</x:v>
      </x:c>
      <x:c r="E257" s="87"/>
      <x:c r="F257" s="87"/>
      <x:c r="G257" s="87" t="str">
        <x:v>Физика</x:v>
      </x:c>
      <x:c r="H257" s="87" t="n">
        <x:v>11</x:v>
      </x:c>
      <x:c r="I257" s="87" t="str">
        <x:v>ТР №3</x:v>
      </x:c>
      <x:c r="J257" s="87" t="str">
        <x:v>ФИ2510304</x:v>
      </x:c>
      <x:c r="K257" s="87" t="n">
        <x:v>14</x:v>
      </x:c>
      <x:c r="L257" s="87" t="str">
        <x:v>Электростатика</x:v>
      </x:c>
      <x:c r="M257" s="30" t="str">
        <x:v>Отрицательно заряженная капля находится в равновесии между горизонтальными пластинами конденсатора. Выберите верные утверждения.</x:v>
      </x:c>
      <x:c r="N257" s="30" t="str">
        <x:v>23</x:v>
      </x:c>
      <x:c r="O257" s="30" t="str">
        <x:v>Электрическая сила должна быть направлена вверх и равна силе тяжести. Для отрицательного заряда это означает, что поле направлено вниз (2), а модули сил равны (3).</x:v>
      </x:c>
      <x:c r="P257" s="30" t="str">
        <x:v>Направления поля и силы проверены из F=qE и условия равновесия.</x:v>
      </x:c>
      <x:c r="Q257" s="30"/>
      <x:c r="R257" s="30" t="str">
        <x:v>23</x:v>
      </x:c>
      <x:c r="S257" s="30"/>
      <x:c r="T257" s="30"/>
      <x:c r="U257" s="30" t="str">
        <x:v>Расхождений нет.</x:v>
      </x:c>
      <x:c r="V257" s="87" t="str">
        <x:v>VERIFIED</x:v>
      </x:c>
      <x:c r="W257" s="87" t="n">
        <x:v>9</x:v>
      </x:c>
      <x:c r="X257" s="87"/>
      <x:c r="Y257" s="87"/>
      <x:c r="Z257" s="87"/>
      <x:c r="AA257" s="87"/>
      <x:c r="AB257" s="87"/>
      <x:c r="AC257" s="87"/>
      <x:c r="AD257" s="87"/>
      <x:c r="AE257" s="87"/>
      <x:c r="AF257" s="87"/>
      <x:c r="AG257" s="87"/>
      <x:c r="AH257" s="87"/>
      <x:c r="AI257" s="30"/>
      <x:c r="AJ257" s="87" t="str">
        <x:v>master</x:v>
      </x:c>
      <x:c r="AK257" s="87" t="str">
        <x:v>master-v0.81</x:v>
      </x:c>
      <x:c r="AL257" s="87" t="str">
        <x:v>statgrad_master_base_v0_81_final(2).xlsx</x:v>
      </x:c>
      <x:c r="AM257" s="87" t="str">
        <x:v>PHYS_Jan_V4</x:v>
      </x:c>
      <x:c r="AN257" s="87" t="n">
        <x:v>15</x:v>
      </x:c>
    </x:row>
    <x:row r="258">
      <x:c r="A258" s="87" t="n">
        <x:v>257</x:v>
      </x:c>
      <x:c r="B258" s="87" t="str">
        <x:v>JAN-PHY-V4-015</x:v>
      </x:c>
      <x:c r="C258" s="87" t="str">
        <x:v>СтатГрад</x:v>
      </x:c>
      <x:c r="D258" s="87" t="str">
        <x:v>Январь 2026</x:v>
      </x:c>
      <x:c r="E258" s="87"/>
      <x:c r="F258" s="87"/>
      <x:c r="G258" s="87" t="str">
        <x:v>Физика</x:v>
      </x:c>
      <x:c r="H258" s="87" t="n">
        <x:v>11</x:v>
      </x:c>
      <x:c r="I258" s="87" t="str">
        <x:v>ТР №3</x:v>
      </x:c>
      <x:c r="J258" s="87" t="str">
        <x:v>ФИ2510304</x:v>
      </x:c>
      <x:c r="K258" s="87" t="n">
        <x:v>15</x:v>
      </x:c>
      <x:c r="L258" s="87" t="str">
        <x:v>Колебательный контур</x:v>
      </x:c>
      <x:c r="M258" s="30" t="str">
        <x:v>Соотнесите максимальную энергию магнитного поля катушки и максимальное напряжение на конденсаторе с формулами через L, T и q.</x:v>
      </x:c>
      <x:c r="N258" s="30" t="str">
        <x:v>А–1; Б–2</x:v>
      </x:c>
      <x:c r="O258" s="30" t="str">
        <x:v>Imax=2πq/T, поэтому WL,max=LImax²/2=2π²q²L/T² — формула 1. Из C=T²/(4π²L) получаем Umax=q/C=4π²qL/T² — формула 2.</x:v>
      </x:c>
      <x:c r="P258" s="30" t="str">
        <x:v>Обе формулы выведены из периода контура и закона сохранения энергии.</x:v>
      </x:c>
      <x:c r="Q258" s="30"/>
      <x:c r="R258" s="30" t="str">
        <x:v>1; 2</x:v>
      </x:c>
      <x:c r="S258" s="30"/>
      <x:c r="T258" s="30"/>
      <x:c r="U258" s="30" t="str">
        <x:v>Расхождений нет.</x:v>
      </x:c>
      <x:c r="V258" s="87" t="str">
        <x:v>VERIFIED</x:v>
      </x:c>
      <x:c r="W258" s="87" t="n">
        <x:v>9</x:v>
      </x:c>
      <x:c r="X258" s="87"/>
      <x:c r="Y258" s="87"/>
      <x:c r="Z258" s="87"/>
      <x:c r="AA258" s="87"/>
      <x:c r="AB258" s="87"/>
      <x:c r="AC258" s="87"/>
      <x:c r="AD258" s="87"/>
      <x:c r="AE258" s="87"/>
      <x:c r="AF258" s="87"/>
      <x:c r="AG258" s="87"/>
      <x:c r="AH258" s="87"/>
      <x:c r="AI258" s="30"/>
      <x:c r="AJ258" s="87" t="str">
        <x:v>master</x:v>
      </x:c>
      <x:c r="AK258" s="87" t="str">
        <x:v>master-v0.81</x:v>
      </x:c>
      <x:c r="AL258" s="87" t="str">
        <x:v>statgrad_master_base_v0_81_final(2).xlsx</x:v>
      </x:c>
      <x:c r="AM258" s="87" t="str">
        <x:v>PHYS_Jan_V4</x:v>
      </x:c>
      <x:c r="AN258" s="87" t="n">
        <x:v>16</x:v>
      </x:c>
    </x:row>
    <x:row r="259">
      <x:c r="A259" s="87" t="n">
        <x:v>258</x:v>
      </x:c>
      <x:c r="B259" s="87" t="str">
        <x:v>JAN-PHY-V4-016</x:v>
      </x:c>
      <x:c r="C259" s="87" t="str">
        <x:v>СтатГрад</x:v>
      </x:c>
      <x:c r="D259" s="87" t="str">
        <x:v>Январь 2026</x:v>
      </x:c>
      <x:c r="E259" s="87"/>
      <x:c r="F259" s="87"/>
      <x:c r="G259" s="87" t="str">
        <x:v>Физика</x:v>
      </x:c>
      <x:c r="H259" s="87" t="n">
        <x:v>11</x:v>
      </x:c>
      <x:c r="I259" s="87" t="str">
        <x:v>ТР №3</x:v>
      </x:c>
      <x:c r="J259" s="87" t="str">
        <x:v>ФИ2510304</x:v>
      </x:c>
      <x:c r="K259" s="87" t="n">
        <x:v>16</x:v>
      </x:c>
      <x:c r="L259" s="87" t="str">
        <x:v>Ядерная физика</x:v>
      </x:c>
      <x:c r="M259" s="30" t="str">
        <x:v>Ядро испытывает один α-распад и один электронный β-распад. На сколько уменьшается массовое число?</x:v>
      </x:c>
      <x:c r="N259" s="30" t="str">
        <x:v>4</x:v>
      </x:c>
      <x:c r="O259" s="30" t="str">
        <x:v>При α-распаде массовое число уменьшается на 4, а при β⁻-распаде не меняется.</x:v>
      </x:c>
      <x:c r="P259" s="30" t="str">
        <x:v>Изменение массового числа проверено отдельно для обоих распадов.</x:v>
      </x:c>
      <x:c r="Q259" s="30"/>
      <x:c r="R259" s="30" t="str">
        <x:v>4</x:v>
      </x:c>
      <x:c r="S259" s="30"/>
      <x:c r="T259" s="30"/>
      <x:c r="U259" s="30" t="str">
        <x:v>Расхождений нет.</x:v>
      </x:c>
      <x:c r="V259" s="87" t="str">
        <x:v>VERIFIED</x:v>
      </x:c>
      <x:c r="W259" s="87" t="n">
        <x:v>10</x:v>
      </x:c>
      <x:c r="X259" s="87"/>
      <x:c r="Y259" s="87"/>
      <x:c r="Z259" s="87"/>
      <x:c r="AA259" s="87"/>
      <x:c r="AB259" s="87"/>
      <x:c r="AC259" s="87"/>
      <x:c r="AD259" s="87"/>
      <x:c r="AE259" s="87"/>
      <x:c r="AF259" s="87"/>
      <x:c r="AG259" s="87"/>
      <x:c r="AH259" s="87"/>
      <x:c r="AI259" s="30"/>
      <x:c r="AJ259" s="87" t="str">
        <x:v>master</x:v>
      </x:c>
      <x:c r="AK259" s="87" t="str">
        <x:v>master-v0.81</x:v>
      </x:c>
      <x:c r="AL259" s="87" t="str">
        <x:v>statgrad_master_base_v0_81_final(2).xlsx</x:v>
      </x:c>
      <x:c r="AM259" s="87" t="str">
        <x:v>PHYS_Jan_V4</x:v>
      </x:c>
      <x:c r="AN259" s="87" t="n">
        <x:v>17</x:v>
      </x:c>
    </x:row>
    <x:row r="260">
      <x:c r="A260" s="87" t="n">
        <x:v>259</x:v>
      </x:c>
      <x:c r="B260" s="87" t="str">
        <x:v>JAN-PHY-V4-017</x:v>
      </x:c>
      <x:c r="C260" s="87" t="str">
        <x:v>СтатГрад</x:v>
      </x:c>
      <x:c r="D260" s="87" t="str">
        <x:v>Январь 2026</x:v>
      </x:c>
      <x:c r="E260" s="87"/>
      <x:c r="F260" s="87"/>
      <x:c r="G260" s="87" t="str">
        <x:v>Физика</x:v>
      </x:c>
      <x:c r="H260" s="87" t="n">
        <x:v>11</x:v>
      </x:c>
      <x:c r="I260" s="87" t="str">
        <x:v>ТР №3</x:v>
      </x:c>
      <x:c r="J260" s="87" t="str">
        <x:v>ФИ2510304</x:v>
      </x:c>
      <x:c r="K260" s="87" t="n">
        <x:v>17</x:v>
      </x:c>
      <x:c r="L260" s="87" t="str">
        <x:v>Энергетические уровни атома</x:v>
      </x:c>
      <x:c r="M260" s="30" t="str">
        <x:v>Определите переход с излучением фотона наименьшей энергии и переход с поглощением света наименьшей длины волны.</x:v>
      </x:c>
      <x:c r="N260" s="30" t="str">
        <x:v>А–3; Б–2</x:v>
      </x:c>
      <x:c r="O260" s="30" t="str">
        <x:v>Из двух переходов вниз меньшая разность энергий у E3→E0 — переход 3. Из двух переходов вверх наибольшая энергия, а значит наименьшая длина волны, у E0→E2 — переход 2.</x:v>
      </x:c>
      <x:c r="P260" s="30" t="str">
        <x:v>Использована связь Eф=hc/λ и сравнены разности уровней.</x:v>
      </x:c>
      <x:c r="Q260" s="30"/>
      <x:c r="R260" s="30" t="str">
        <x:v>3; 2</x:v>
      </x:c>
      <x:c r="S260" s="30"/>
      <x:c r="T260" s="30"/>
      <x:c r="U260" s="30" t="str">
        <x:v>Расхождений нет.</x:v>
      </x:c>
      <x:c r="V260" s="87" t="str">
        <x:v>VERIFIED</x:v>
      </x:c>
      <x:c r="W260" s="87" t="n">
        <x:v>10</x:v>
      </x:c>
      <x:c r="X260" s="87"/>
      <x:c r="Y260" s="87"/>
      <x:c r="Z260" s="87"/>
      <x:c r="AA260" s="87"/>
      <x:c r="AB260" s="87"/>
      <x:c r="AC260" s="87"/>
      <x:c r="AD260" s="87"/>
      <x:c r="AE260" s="87"/>
      <x:c r="AF260" s="87"/>
      <x:c r="AG260" s="87"/>
      <x:c r="AH260" s="87"/>
      <x:c r="AI260" s="30"/>
      <x:c r="AJ260" s="87" t="str">
        <x:v>master</x:v>
      </x:c>
      <x:c r="AK260" s="87" t="str">
        <x:v>master-v0.81</x:v>
      </x:c>
      <x:c r="AL260" s="87" t="str">
        <x:v>statgrad_master_base_v0_81_final(2).xlsx</x:v>
      </x:c>
      <x:c r="AM260" s="87" t="str">
        <x:v>PHYS_Jan_V4</x:v>
      </x:c>
      <x:c r="AN260" s="87" t="n">
        <x:v>18</x:v>
      </x:c>
    </x:row>
    <x:row r="261">
      <x:c r="A261" s="87" t="n">
        <x:v>260</x:v>
      </x:c>
      <x:c r="B261" s="87" t="str">
        <x:v>JAN-PHY-V4-018</x:v>
      </x:c>
      <x:c r="C261" s="87" t="str">
        <x:v>СтатГрад</x:v>
      </x:c>
      <x:c r="D261" s="87" t="str">
        <x:v>Январь 2026</x:v>
      </x:c>
      <x:c r="E261" s="87"/>
      <x:c r="F261" s="87"/>
      <x:c r="G261" s="87" t="str">
        <x:v>Физика</x:v>
      </x:c>
      <x:c r="H261" s="87" t="n">
        <x:v>11</x:v>
      </x:c>
      <x:c r="I261" s="87" t="str">
        <x:v>ТР №3</x:v>
      </x:c>
      <x:c r="J261" s="87" t="str">
        <x:v>ФИ2510304</x:v>
      </x:c>
      <x:c r="K261" s="87" t="n">
        <x:v>18</x:v>
      </x:c>
      <x:c r="L261" s="87" t="str">
        <x:v>Физические утверждения</x:v>
      </x:c>
      <x:c r="M261" s="30" t="str">
        <x:v>Выберите все верные утверждения о невесомости, кипении, законе Кулона, фотоэффекте и радиоактивных распадах.</x:v>
      </x:c>
      <x:c r="N261" s="30" t="str">
        <x:v>45</x:v>
      </x:c>
      <x:c r="O261" s="30" t="str">
        <x:v>Максимальная кинетическая энергия фотоэлектронов зависит от частоты света (4). После α-распада ²¹⁴₈₄Po получается ²¹⁰₈₂Pb, а после β⁻-распада — ²¹⁰₈₃Bi (5).</x:v>
      </x:c>
      <x:c r="P261" s="30" t="str">
        <x:v>Остальные утверждения исключены по определению невесомости, условиям кипения и закону Кулона.</x:v>
      </x:c>
      <x:c r="Q261" s="30"/>
      <x:c r="R261" s="30" t="str">
        <x:v>45</x:v>
      </x:c>
      <x:c r="S261" s="30"/>
      <x:c r="T261" s="30"/>
      <x:c r="U261" s="30" t="str">
        <x:v>Расхождений нет.</x:v>
      </x:c>
      <x:c r="V261" s="87" t="str">
        <x:v>VERIFIED</x:v>
      </x:c>
      <x:c r="W261" s="87" t="n">
        <x:v>11</x:v>
      </x:c>
      <x:c r="X261" s="87"/>
      <x:c r="Y261" s="87"/>
      <x:c r="Z261" s="87"/>
      <x:c r="AA261" s="87"/>
      <x:c r="AB261" s="87"/>
      <x:c r="AC261" s="87"/>
      <x:c r="AD261" s="87"/>
      <x:c r="AE261" s="87"/>
      <x:c r="AF261" s="87"/>
      <x:c r="AG261" s="87"/>
      <x:c r="AH261" s="87"/>
      <x:c r="AI261" s="30"/>
      <x:c r="AJ261" s="87" t="str">
        <x:v>master</x:v>
      </x:c>
      <x:c r="AK261" s="87" t="str">
        <x:v>master-v0.81</x:v>
      </x:c>
      <x:c r="AL261" s="87" t="str">
        <x:v>statgrad_master_base_v0_81_final(2).xlsx</x:v>
      </x:c>
      <x:c r="AM261" s="87" t="str">
        <x:v>PHYS_Jan_V4</x:v>
      </x:c>
      <x:c r="AN261" s="87" t="n">
        <x:v>19</x:v>
      </x:c>
    </x:row>
    <x:row r="262">
      <x:c r="A262" s="87" t="n">
        <x:v>261</x:v>
      </x:c>
      <x:c r="B262" s="87" t="str">
        <x:v>JAN-PHY-V4-019</x:v>
      </x:c>
      <x:c r="C262" s="87" t="str">
        <x:v>СтатГрад</x:v>
      </x:c>
      <x:c r="D262" s="87" t="str">
        <x:v>Январь 2026</x:v>
      </x:c>
      <x:c r="E262" s="87"/>
      <x:c r="F262" s="87"/>
      <x:c r="G262" s="87" t="str">
        <x:v>Физика</x:v>
      </x:c>
      <x:c r="H262" s="87" t="n">
        <x:v>11</x:v>
      </x:c>
      <x:c r="I262" s="87" t="str">
        <x:v>ТР №3</x:v>
      </x:c>
      <x:c r="J262" s="87" t="str">
        <x:v>ФИ2510304</x:v>
      </x:c>
      <x:c r="K262" s="87" t="n">
        <x:v>19</x:v>
      </x:c>
      <x:c r="L262" s="87" t="str">
        <x:v>Погрешность измерений</x:v>
      </x:c>
      <x:c r="M262" s="30" t="str">
        <x:v>Маятник совершает 50 колебаний за (60,0±0,5) с. Найдите период с погрешностью.</x:v>
      </x:c>
      <x:c r="N262" s="30" t="str">
        <x:v>(1,20±0,01) с</x:v>
      </x:c>
      <x:c r="O262" s="30" t="str">
        <x:v>T=60,0/50=1,20 с; ΔT=0,5/50=0,01 с.</x:v>
      </x:c>
      <x:c r="P262" s="30" t="str">
        <x:v>Значение периода и абсолютная погрешность поделены на точное число колебаний.</x:v>
      </x:c>
      <x:c r="Q262" s="30"/>
      <x:c r="R262" s="30" t="str">
        <x:v>(1,20±0,01)</x:v>
      </x:c>
      <x:c r="S262" s="30"/>
      <x:c r="T262" s="30"/>
      <x:c r="U262" s="30" t="str">
        <x:v>Расхождений нет.</x:v>
      </x:c>
      <x:c r="V262" s="87" t="str">
        <x:v>VERIFIED</x:v>
      </x:c>
      <x:c r="W262" s="87" t="n">
        <x:v>11</x:v>
      </x:c>
      <x:c r="X262" s="87"/>
      <x:c r="Y262" s="87"/>
      <x:c r="Z262" s="87"/>
      <x:c r="AA262" s="87"/>
      <x:c r="AB262" s="87"/>
      <x:c r="AC262" s="87"/>
      <x:c r="AD262" s="87"/>
      <x:c r="AE262" s="87"/>
      <x:c r="AF262" s="87"/>
      <x:c r="AG262" s="87"/>
      <x:c r="AH262" s="87"/>
      <x:c r="AI262" s="30"/>
      <x:c r="AJ262" s="87" t="str">
        <x:v>master</x:v>
      </x:c>
      <x:c r="AK262" s="87" t="str">
        <x:v>master-v0.81</x:v>
      </x:c>
      <x:c r="AL262" s="87" t="str">
        <x:v>statgrad_master_base_v0_81_final(2).xlsx</x:v>
      </x:c>
      <x:c r="AM262" s="87" t="str">
        <x:v>PHYS_Jan_V4</x:v>
      </x:c>
      <x:c r="AN262" s="87" t="n">
        <x:v>20</x:v>
      </x:c>
    </x:row>
    <x:row r="263">
      <x:c r="A263" s="87" t="n">
        <x:v>262</x:v>
      </x:c>
      <x:c r="B263" s="87" t="str">
        <x:v>JAN-PHY-V4-020</x:v>
      </x:c>
      <x:c r="C263" s="87" t="str">
        <x:v>СтатГрад</x:v>
      </x:c>
      <x:c r="D263" s="87" t="str">
        <x:v>Январь 2026</x:v>
      </x:c>
      <x:c r="E263" s="87"/>
      <x:c r="F263" s="87"/>
      <x:c r="G263" s="87" t="str">
        <x:v>Физика</x:v>
      </x:c>
      <x:c r="H263" s="87" t="n">
        <x:v>11</x:v>
      </x:c>
      <x:c r="I263" s="87" t="str">
        <x:v>ТР №3</x:v>
      </x:c>
      <x:c r="J263" s="87" t="str">
        <x:v>ФИ2510304</x:v>
      </x:c>
      <x:c r="K263" s="87" t="n">
        <x:v>20</x:v>
      </x:c>
      <x:c r="L263" s="87" t="str">
        <x:v>Планирование эксперимента</x:v>
      </x:c>
      <x:c r="M263" s="30" t="str">
        <x:v>Выберите два маятника для проверки зависимости периода колебаний от массы груза.</x:v>
      </x:c>
      <x:c r="N263" s="30" t="str">
        <x:v>15</x:v>
      </x:c>
      <x:c r="O263" s="30" t="str">
        <x:v>Нужно изменить только массу, сохранив длину нити и материал груза. Маятники 1 и 5 имеют длину 50 см, деревянные грузы и массы 50 и 70 г.</x:v>
      </x:c>
      <x:c r="P263" s="30" t="str">
        <x:v>Изменяемая и контролируемые величины сопоставлены по таблице.</x:v>
      </x:c>
      <x:c r="Q263" s="30"/>
      <x:c r="R263" s="30" t="str">
        <x:v>15</x:v>
      </x:c>
      <x:c r="S263" s="30"/>
      <x:c r="T263" s="30"/>
      <x:c r="U263" s="30" t="str">
        <x:v>Расхождений нет.</x:v>
      </x:c>
      <x:c r="V263" s="87" t="str">
        <x:v>VERIFIED</x:v>
      </x:c>
      <x:c r="W263" s="87" t="n">
        <x:v>11</x:v>
      </x:c>
      <x:c r="X263" s="87"/>
      <x:c r="Y263" s="87"/>
      <x:c r="Z263" s="87"/>
      <x:c r="AA263" s="87"/>
      <x:c r="AB263" s="87"/>
      <x:c r="AC263" s="87"/>
      <x:c r="AD263" s="87"/>
      <x:c r="AE263" s="87"/>
      <x:c r="AF263" s="87"/>
      <x:c r="AG263" s="87"/>
      <x:c r="AH263" s="87"/>
      <x:c r="AI263" s="30"/>
      <x:c r="AJ263" s="87" t="str">
        <x:v>master</x:v>
      </x:c>
      <x:c r="AK263" s="87" t="str">
        <x:v>master-v0.81</x:v>
      </x:c>
      <x:c r="AL263" s="87" t="str">
        <x:v>statgrad_master_base_v0_81_final(2).xlsx</x:v>
      </x:c>
      <x:c r="AM263" s="87" t="str">
        <x:v>PHYS_Jan_V4</x:v>
      </x:c>
      <x:c r="AN263" s="87" t="n">
        <x:v>21</x:v>
      </x:c>
    </x:row>
    <x:row r="264">
      <x:c r="A264" s="87" t="n">
        <x:v>263</x:v>
      </x:c>
      <x:c r="B264" s="87" t="str">
        <x:v>JAN-PHY-V4-021</x:v>
      </x:c>
      <x:c r="C264" s="87" t="str">
        <x:v>СтатГрад</x:v>
      </x:c>
      <x:c r="D264" s="87" t="str">
        <x:v>Январь 2026</x:v>
      </x:c>
      <x:c r="E264" s="87"/>
      <x:c r="F264" s="87"/>
      <x:c r="G264" s="87" t="str">
        <x:v>Физика</x:v>
      </x:c>
      <x:c r="H264" s="87" t="n">
        <x:v>11</x:v>
      </x:c>
      <x:c r="I264" s="87" t="str">
        <x:v>ТР №3</x:v>
      </x:c>
      <x:c r="J264" s="87" t="str">
        <x:v>ФИ2510304</x:v>
      </x:c>
      <x:c r="K264" s="87" t="n">
        <x:v>21</x:v>
      </x:c>
      <x:c r="L264" s="87" t="str">
        <x:v>Развёрнутый ответ: МКТ</x:v>
      </x:c>
      <x:c r="M264" s="30" t="str">
        <x:v>По графику средней кинетической энергии молекул от давления опишите изменения T, V и концентрации n в процессах 1–2 и 2–3.</x:v>
      </x:c>
      <x:c r="N264" s="30" t="str">
        <x:v>1–2: T увеличивается, V не меняется, n не меняется; 2–3: T не меняется, V уменьшается, n увеличивается</x:v>
      </x:c>
      <x:c r="O264" s="30" t="str">
        <x:v>Ēk=3kT/2. На 1–2 Ēk∝p, значит T∝p; из pV=νRT следует V=const, поэтому n=N/V также постоянно. На 2–3 Ēk=const, значит T=const; при росте p объём уменьшается, а концентрация увеличивается.</x:v>
      </x:c>
      <x:c r="P264" s="30" t="str">
        <x:v>Все изменения независимо выведены из формул МКТ и уравнения состояния.</x:v>
      </x:c>
      <x:c r="Q264" s="30"/>
      <x:c r="R264" s="30" t="str">
        <x:v>Критерии, стр. 1–2</x:v>
      </x:c>
      <x:c r="S264" s="30"/>
      <x:c r="T264" s="30"/>
      <x:c r="U264" s="30" t="str">
        <x:v>Критерий перенесён отдельно без изменения.</x:v>
      </x:c>
      <x:c r="V264" s="87" t="str">
        <x:v>VERIFIED</x:v>
      </x:c>
      <x:c r="W264" s="87" t="n">
        <x:v>12</x:v>
      </x:c>
      <x:c r="X264" s="87"/>
      <x:c r="Y264" s="87"/>
      <x:c r="Z264" s="87"/>
      <x:c r="AA264" s="87"/>
      <x:c r="AB264" s="87"/>
      <x:c r="AC264" s="87"/>
      <x:c r="AD264" s="87"/>
      <x:c r="AE264" s="87"/>
      <x:c r="AF264" s="87"/>
      <x:c r="AG264" s="87"/>
      <x:c r="AH264" s="87"/>
      <x:c r="AI264" s="30"/>
      <x:c r="AJ264" s="87" t="str">
        <x:v>master</x:v>
      </x:c>
      <x:c r="AK264" s="87" t="str">
        <x:v>master-v0.81</x:v>
      </x:c>
      <x:c r="AL264" s="87" t="str">
        <x:v>statgrad_master_base_v0_81_final(2).xlsx</x:v>
      </x:c>
      <x:c r="AM264" s="87" t="str">
        <x:v>PHYS_Jan_V4</x:v>
      </x:c>
      <x:c r="AN264" s="87" t="n">
        <x:v>22</x:v>
      </x:c>
    </x:row>
    <x:row r="265">
      <x:c r="A265" s="87" t="n">
        <x:v>264</x:v>
      </x:c>
      <x:c r="B265" s="87" t="str">
        <x:v>JAN-PHY-V4-022</x:v>
      </x:c>
      <x:c r="C265" s="87" t="str">
        <x:v>СтатГрад</x:v>
      </x:c>
      <x:c r="D265" s="87" t="str">
        <x:v>Январь 2026</x:v>
      </x:c>
      <x:c r="E265" s="87"/>
      <x:c r="F265" s="87"/>
      <x:c r="G265" s="87" t="str">
        <x:v>Физика</x:v>
      </x:c>
      <x:c r="H265" s="87" t="n">
        <x:v>11</x:v>
      </x:c>
      <x:c r="I265" s="87" t="str">
        <x:v>ТР №3</x:v>
      </x:c>
      <x:c r="J265" s="87" t="str">
        <x:v>ФИ2510304</x:v>
      </x:c>
      <x:c r="K265" s="87" t="n">
        <x:v>22</x:v>
      </x:c>
      <x:c r="L265" s="87" t="str">
        <x:v>Развёрнутый ответ: свободное падение</x:v>
      </x:c>
      <x:c r="M265" s="30" t="str">
        <x:v>Камень падает без начальной скорости; за последнюю секунду проходит 10 м. Найдите среднюю скорость за всё время падения.</x:v>
      </x:c>
      <x:c r="N265" s="30" t="str">
        <x:v>7,5 м/с</x:v>
      </x:c>
      <x:c r="O265" s="30" t="str">
        <x:v>Пусть полное время падения t. Тогда 10=g[t²−(t−1)²]/2, откуда t=1,5 с. Средняя скорость H/t=(gt²/2)/t=gt/2=7,5 м/с.</x:v>
      </x:c>
      <x:c r="P265" s="30" t="str">
        <x:v>Решение проверено через путь за последний интервал и полную высоту.</x:v>
      </x:c>
      <x:c r="Q265" s="30"/>
      <x:c r="R265" s="30" t="str">
        <x:v>Критерии, стр. 2–4</x:v>
      </x:c>
      <x:c r="S265" s="30"/>
      <x:c r="T265" s="30"/>
      <x:c r="U265" s="30" t="str">
        <x:v>Критерий перенесён отдельно без изменения.</x:v>
      </x:c>
      <x:c r="V265" s="87" t="str">
        <x:v>VERIFIED</x:v>
      </x:c>
      <x:c r="W265" s="87" t="n">
        <x:v>12</x:v>
      </x:c>
      <x:c r="X265" s="87"/>
      <x:c r="Y265" s="87"/>
      <x:c r="Z265" s="87"/>
      <x:c r="AA265" s="87"/>
      <x:c r="AB265" s="87"/>
      <x:c r="AC265" s="87"/>
      <x:c r="AD265" s="87"/>
      <x:c r="AE265" s="87"/>
      <x:c r="AF265" s="87"/>
      <x:c r="AG265" s="87"/>
      <x:c r="AH265" s="87"/>
      <x:c r="AI265" s="30"/>
      <x:c r="AJ265" s="87" t="str">
        <x:v>master</x:v>
      </x:c>
      <x:c r="AK265" s="87" t="str">
        <x:v>master-v0.81</x:v>
      </x:c>
      <x:c r="AL265" s="87" t="str">
        <x:v>statgrad_master_base_v0_81_final(2).xlsx</x:v>
      </x:c>
      <x:c r="AM265" s="87" t="str">
        <x:v>PHYS_Jan_V4</x:v>
      </x:c>
      <x:c r="AN265" s="87" t="n">
        <x:v>23</x:v>
      </x:c>
    </x:row>
    <x:row r="266">
      <x:c r="A266" s="87" t="n">
        <x:v>265</x:v>
      </x:c>
      <x:c r="B266" s="87" t="str">
        <x:v>JAN-PHY-V4-023</x:v>
      </x:c>
      <x:c r="C266" s="87" t="str">
        <x:v>СтатГрад</x:v>
      </x:c>
      <x:c r="D266" s="87" t="str">
        <x:v>Январь 2026</x:v>
      </x:c>
      <x:c r="E266" s="87"/>
      <x:c r="F266" s="87"/>
      <x:c r="G266" s="87" t="str">
        <x:v>Физика</x:v>
      </x:c>
      <x:c r="H266" s="87" t="n">
        <x:v>11</x:v>
      </x:c>
      <x:c r="I266" s="87" t="str">
        <x:v>ТР №3</x:v>
      </x:c>
      <x:c r="J266" s="87" t="str">
        <x:v>ФИ2510304</x:v>
      </x:c>
      <x:c r="K266" s="87" t="n">
        <x:v>23</x:v>
      </x:c>
      <x:c r="L266" s="87" t="str">
        <x:v>Развёрнутый ответ: электрическая цепь</x:v>
      </x:c>
      <x:c r="M266" s="30" t="str">
        <x:v>При замкнутом ключе U=7 В, R=3,5 Ом; ток короткого замыкания 16 А. Найдите показание вольтметра при разомкнутом ключе.</x:v>
      </x:c>
      <x:c r="N266" s="30" t="str">
        <x:v>8 В</x:v>
      </x:c>
      <x:c r="O266" s="30" t="str">
        <x:v>При замкнутом ключе I=U/R=2 А. Совместно из I=ε/(R+r) и Iкз=ε/r получаем ε=8 В. При разомкнутом ключе идеальный вольтметр показывает ЭДС.</x:v>
      </x:c>
      <x:c r="P266" s="30" t="str">
        <x:v>Результат проверен законами Ома для участка и полной цепи.</x:v>
      </x:c>
      <x:c r="Q266" s="30"/>
      <x:c r="R266" s="30" t="str">
        <x:v>Критерии, стр. 4–5</x:v>
      </x:c>
      <x:c r="S266" s="30"/>
      <x:c r="T266" s="30"/>
      <x:c r="U266" s="30" t="str">
        <x:v>Критерий перенесён отдельно без изменения.</x:v>
      </x:c>
      <x:c r="V266" s="87" t="str">
        <x:v>VERIFIED</x:v>
      </x:c>
      <x:c r="W266" s="87" t="n">
        <x:v>12</x:v>
      </x:c>
      <x:c r="X266" s="87"/>
      <x:c r="Y266" s="87"/>
      <x:c r="Z266" s="87"/>
      <x:c r="AA266" s="87"/>
      <x:c r="AB266" s="87"/>
      <x:c r="AC266" s="87"/>
      <x:c r="AD266" s="87"/>
      <x:c r="AE266" s="87"/>
      <x:c r="AF266" s="87"/>
      <x:c r="AG266" s="87"/>
      <x:c r="AH266" s="87"/>
      <x:c r="AI266" s="30"/>
      <x:c r="AJ266" s="87" t="str">
        <x:v>master</x:v>
      </x:c>
      <x:c r="AK266" s="87" t="str">
        <x:v>master-v0.81</x:v>
      </x:c>
      <x:c r="AL266" s="87" t="str">
        <x:v>statgrad_master_base_v0_81_final(2).xlsx</x:v>
      </x:c>
      <x:c r="AM266" s="87" t="str">
        <x:v>PHYS_Jan_V4</x:v>
      </x:c>
      <x:c r="AN266" s="87" t="n">
        <x:v>24</x:v>
      </x:c>
    </x:row>
    <x:row r="267">
      <x:c r="A267" s="87" t="n">
        <x:v>266</x:v>
      </x:c>
      <x:c r="B267" s="87" t="str">
        <x:v>JAN-PHY-V4-024</x:v>
      </x:c>
      <x:c r="C267" s="87" t="str">
        <x:v>СтатГрад</x:v>
      </x:c>
      <x:c r="D267" s="87" t="str">
        <x:v>Январь 2026</x:v>
      </x:c>
      <x:c r="E267" s="87"/>
      <x:c r="F267" s="87"/>
      <x:c r="G267" s="87" t="str">
        <x:v>Физика</x:v>
      </x:c>
      <x:c r="H267" s="87" t="n">
        <x:v>11</x:v>
      </x:c>
      <x:c r="I267" s="87" t="str">
        <x:v>ТР №3</x:v>
      </x:c>
      <x:c r="J267" s="87" t="str">
        <x:v>ФИ2510304</x:v>
      </x:c>
      <x:c r="K267" s="87" t="n">
        <x:v>24</x:v>
      </x:c>
      <x:c r="L267" s="87" t="str">
        <x:v>Развёрнутый ответ: термодинамика</x:v>
      </x:c>
      <x:c r="M267" s="30" t="str">
        <x:v>Гелий: T0=100 К, p0=10 кПа, V0=0,25 м³. Газ нагрели изобарно, затем изохорно до 300 К; Qp=2Qv. Найдите Qp.</x:v>
      </x:c>
      <x:c r="N267" s="30" t="str">
        <x:v>≈6818 Дж</x:v>
      </x:c>
      <x:c r="O267" s="30" t="str">
        <x:v>Qp=(5/2)νR(T−T0), Qv=(3/2)νR(T1−T). Из Qp=2Qv находят промежуточную температуру; при νR=p0V0/T0=25 Дж/К получается Qp≈6,818 кДж.</x:v>
      </x:c>
      <x:c r="P267" s="30" t="str">
        <x:v>Промежуточная температура и теплота пересчитаны через первый закон термодинамики.</x:v>
      </x:c>
      <x:c r="Q267" s="30"/>
      <x:c r="R267" s="30" t="str">
        <x:v>Критерии, стр. 5–7</x:v>
      </x:c>
      <x:c r="S267" s="30"/>
      <x:c r="T267" s="30"/>
      <x:c r="U267" s="30" t="str">
        <x:v>Расхождений нет.</x:v>
      </x:c>
      <x:c r="V267" s="87" t="str">
        <x:v>VERIFIED</x:v>
      </x:c>
      <x:c r="W267" s="87" t="n">
        <x:v>13</x:v>
      </x:c>
      <x:c r="X267" s="87"/>
      <x:c r="Y267" s="87"/>
      <x:c r="Z267" s="87"/>
      <x:c r="AA267" s="87"/>
      <x:c r="AB267" s="87"/>
      <x:c r="AC267" s="87"/>
      <x:c r="AD267" s="87"/>
      <x:c r="AE267" s="87"/>
      <x:c r="AF267" s="87"/>
      <x:c r="AG267" s="87"/>
      <x:c r="AH267" s="87"/>
      <x:c r="AI267" s="30"/>
      <x:c r="AJ267" s="87" t="str">
        <x:v>master</x:v>
      </x:c>
      <x:c r="AK267" s="87" t="str">
        <x:v>master-v0.81</x:v>
      </x:c>
      <x:c r="AL267" s="87" t="str">
        <x:v>statgrad_master_base_v0_81_final(2).xlsx</x:v>
      </x:c>
      <x:c r="AM267" s="87" t="str">
        <x:v>PHYS_Jan_V4</x:v>
      </x:c>
      <x:c r="AN267" s="87" t="n">
        <x:v>25</x:v>
      </x:c>
    </x:row>
    <x:row r="268">
      <x:c r="A268" s="87" t="n">
        <x:v>267</x:v>
      </x:c>
      <x:c r="B268" s="87" t="str">
        <x:v>JAN-PHY-V4-025</x:v>
      </x:c>
      <x:c r="C268" s="87" t="str">
        <x:v>СтатГрад</x:v>
      </x:c>
      <x:c r="D268" s="87" t="str">
        <x:v>Январь 2026</x:v>
      </x:c>
      <x:c r="E268" s="87"/>
      <x:c r="F268" s="87"/>
      <x:c r="G268" s="87" t="str">
        <x:v>Физика</x:v>
      </x:c>
      <x:c r="H268" s="87" t="n">
        <x:v>11</x:v>
      </x:c>
      <x:c r="I268" s="87" t="str">
        <x:v>ТР №3</x:v>
      </x:c>
      <x:c r="J268" s="87" t="str">
        <x:v>ФИ2510304</x:v>
      </x:c>
      <x:c r="K268" s="87" t="n">
        <x:v>25</x:v>
      </x:c>
      <x:c r="L268" s="87" t="str">
        <x:v>Развёрнутый ответ: конденсатор</x:v>
      </x:c>
      <x:c r="M268" s="30" t="str">
        <x:v>Воздушный конденсатор C=20 мкФ отключён от источника. После вставки металлической и диэлектрической пластин (ε=3) энергия изменилась на −20 мкДж. Найдите заряд.</x:v>
      </x:c>
      <x:c r="N268" s="30" t="str">
        <x:v>≈48 мкКл</x:v>
      </x:c>
      <x:c r="O268" s="30" t="str">
        <x:v>Для данной геометрии ΔW=−q²(4ε−1)/[4C(5ε+1)]. Отсюда q=√[−4ΔWC(5ε+1)/(4ε−1)]≈48 мкКл.</x:v>
      </x:c>
      <x:c r="P268" s="30" t="str">
        <x:v>Эквивалентная ёмкость и энергетическая формула независимо проверены.</x:v>
      </x:c>
      <x:c r="Q268" s="30"/>
      <x:c r="R268" s="30" t="str">
        <x:v>Критерии, стр. 7–9</x:v>
      </x:c>
      <x:c r="S268" s="30"/>
      <x:c r="T268" s="30"/>
      <x:c r="U268" s="30" t="str">
        <x:v>Расхождений нет.</x:v>
      </x:c>
      <x:c r="V268" s="87" t="str">
        <x:v>VERIFIED</x:v>
      </x:c>
      <x:c r="W268" s="87" t="n">
        <x:v>13</x:v>
      </x:c>
      <x:c r="X268" s="87"/>
      <x:c r="Y268" s="87"/>
      <x:c r="Z268" s="87"/>
      <x:c r="AA268" s="87"/>
      <x:c r="AB268" s="87"/>
      <x:c r="AC268" s="87"/>
      <x:c r="AD268" s="87"/>
      <x:c r="AE268" s="87"/>
      <x:c r="AF268" s="87"/>
      <x:c r="AG268" s="87"/>
      <x:c r="AH268" s="87"/>
      <x:c r="AI268" s="30"/>
      <x:c r="AJ268" s="87" t="str">
        <x:v>master</x:v>
      </x:c>
      <x:c r="AK268" s="87" t="str">
        <x:v>master-v0.81</x:v>
      </x:c>
      <x:c r="AL268" s="87" t="str">
        <x:v>statgrad_master_base_v0_81_final(2).xlsx</x:v>
      </x:c>
      <x:c r="AM268" s="87" t="str">
        <x:v>PHYS_Jan_V4</x:v>
      </x:c>
      <x:c r="AN268" s="87" t="n">
        <x:v>26</x:v>
      </x:c>
    </x:row>
    <x:row r="269">
      <x:c r="A269" s="87" t="n">
        <x:v>268</x:v>
      </x:c>
      <x:c r="B269" s="87" t="str">
        <x:v>JAN-PHY-V4-026</x:v>
      </x:c>
      <x:c r="C269" s="87" t="str">
        <x:v>СтатГрад</x:v>
      </x:c>
      <x:c r="D269" s="87" t="str">
        <x:v>Январь 2026</x:v>
      </x:c>
      <x:c r="E269" s="87"/>
      <x:c r="F269" s="87"/>
      <x:c r="G269" s="87" t="str">
        <x:v>Физика</x:v>
      </x:c>
      <x:c r="H269" s="87" t="n">
        <x:v>11</x:v>
      </x:c>
      <x:c r="I269" s="87" t="str">
        <x:v>ТР №3</x:v>
      </x:c>
      <x:c r="J269" s="87" t="str">
        <x:v>ФИ2510304</x:v>
      </x:c>
      <x:c r="K269" s="87" t="n">
        <x:v>26</x:v>
      </x:c>
      <x:c r="L269" s="87" t="str">
        <x:v>Развёрнутый ответ: равновесие твёрдого тела</x:v>
      </x:c>
      <x:c r="M269" s="30" t="str">
        <x:v>Составной цилиндр m=5,5 кг, R=15 см, r=10 см удерживается горизонтальной нитью на наклонной плоскости. На сколько N превышает T?</x:v>
      </x:c>
      <x:c r="N269" s="30" t="str">
        <x:v>35 Н</x:v>
      </x:c>
      <x:c r="O269" s="30" t="str">
        <x:v>При sinα=0,6 и cosα=0,8 условия поступательного и вращательного равновесия дают T=Rmg sinα/(r+Rcosα), N=mg(R+r cosα)/(r+Rcosα). Разность N−T=35 Н.</x:v>
      </x:c>
      <x:c r="P269" s="30" t="str">
        <x:v>Сумма сил и моментов проверена относительно центра цилиндра.</x:v>
      </x:c>
      <x:c r="Q269" s="30"/>
      <x:c r="R269" s="30" t="str">
        <x:v>Критерии, стр. 9–12</x:v>
      </x:c>
      <x:c r="S269" s="30"/>
      <x:c r="T269" s="30"/>
      <x:c r="U269" s="30" t="str">
        <x:v>Расхождений нет.</x:v>
      </x:c>
      <x:c r="V269" s="87" t="str">
        <x:v>VERIFIED</x:v>
      </x:c>
      <x:c r="W269" s="87" t="n">
        <x:v>13</x:v>
      </x:c>
      <x:c r="X269" s="87"/>
      <x:c r="Y269" s="87"/>
      <x:c r="Z269" s="87"/>
      <x:c r="AA269" s="87"/>
      <x:c r="AB269" s="87"/>
      <x:c r="AC269" s="87"/>
      <x:c r="AD269" s="87"/>
      <x:c r="AE269" s="87"/>
      <x:c r="AF269" s="87"/>
      <x:c r="AG269" s="87"/>
      <x:c r="AH269" s="87"/>
      <x:c r="AI269" s="30"/>
      <x:c r="AJ269" s="87" t="str">
        <x:v>master</x:v>
      </x:c>
      <x:c r="AK269" s="87" t="str">
        <x:v>master-v0.81</x:v>
      </x:c>
      <x:c r="AL269" s="87" t="str">
        <x:v>statgrad_master_base_v0_81_final(2).xlsx</x:v>
      </x:c>
      <x:c r="AM269" s="87" t="str">
        <x:v>PHYS_Jan_V4</x:v>
      </x:c>
      <x:c r="AN269" s="87" t="n">
        <x:v>27</x:v>
      </x:c>
    </x:row>
    <x:row r="270">
      <x:c r="A270" s="87" t="n">
        <x:v>269</x:v>
      </x:c>
      <x:c r="B270" s="87" t="str">
        <x:v>JAN-INF-V1-001</x:v>
      </x:c>
      <x:c r="C270" s="87" t="str">
        <x:v>СтатГрад</x:v>
      </x:c>
      <x:c r="D270" s="87" t="str">
        <x:v>Январь 2026</x:v>
      </x:c>
      <x:c r="E270" s="87"/>
      <x:c r="F270" s="87"/>
      <x:c r="G270" s="87" t="str">
        <x:v>Информатика</x:v>
      </x:c>
      <x:c r="H270" s="87" t="n">
        <x:v>11</x:v>
      </x:c>
      <x:c r="I270" s="87" t="str">
        <x:v>ТР №3</x:v>
      </x:c>
      <x:c r="J270" s="87" t="str">
        <x:v>ИН2510301</x:v>
      </x:c>
      <x:c r="K270" s="87" t="n">
        <x:v>1</x:v>
      </x:c>
      <x:c r="L270" s="87" t="str">
        <x:v>Графы</x:v>
      </x:c>
      <x:c r="M270" s="30" t="str">
        <x:v>Сопоставьте буквенный граф с таблицей длин дорог и найдите сумму длин дорог G–D и B–A.</x:v>
      </x:c>
      <x:c r="N270" s="30" t="str">
        <x:v>18</x:v>
      </x:c>
      <x:c r="O270" s="30" t="str">
        <x:v>По степеням вершин и структуре циклов возможны два симметричных сопоставления. В обоих случаях дорогам G–D и B–A соответствуют длины 11 и 7 в разном порядке, поэтому сумма равна 18.</x:v>
      </x:c>
      <x:c r="P270" s="30" t="str">
        <x:v>Перебраны все 7! соответствий вершин; допустимы ровно два автоморфных отображения, оба дают 18.</x:v>
      </x:c>
      <x:c r="Q270" s="30"/>
      <x:c r="R270" s="30" t="str">
        <x:v>18</x:v>
      </x:c>
      <x:c r="S270" s="30"/>
      <x:c r="T270" s="30"/>
      <x:c r="U270" s="30" t="str">
        <x:v>Расхождений нет.</x:v>
      </x:c>
      <x:c r="V270" s="87" t="str">
        <x:v>VERIFIED</x:v>
      </x:c>
      <x:c r="W270" s="87" t="n">
        <x:v>3</x:v>
      </x:c>
      <x:c r="X270" s="87"/>
      <x:c r="Y270" s="87"/>
      <x:c r="Z270" s="87"/>
      <x:c r="AA270" s="87"/>
      <x:c r="AB270" s="87"/>
      <x:c r="AC270" s="87"/>
      <x:c r="AD270" s="87"/>
      <x:c r="AE270" s="87"/>
      <x:c r="AF270" s="87"/>
      <x:c r="AG270" s="87"/>
      <x:c r="AH270" s="87"/>
      <x:c r="AI270" s="30"/>
      <x:c r="AJ270" s="87" t="str">
        <x:v>master</x:v>
      </x:c>
      <x:c r="AK270" s="87" t="str">
        <x:v>master-v0.81</x:v>
      </x:c>
      <x:c r="AL270" s="87" t="str">
        <x:v>statgrad_master_base_v0_81_final(2).xlsx</x:v>
      </x:c>
      <x:c r="AM270" s="87" t="str">
        <x:v>INF_Jan_V1</x:v>
      </x:c>
      <x:c r="AN270" s="87" t="n">
        <x:v>2</x:v>
      </x:c>
    </x:row>
    <x:row r="271">
      <x:c r="A271" s="87" t="n">
        <x:v>270</x:v>
      </x:c>
      <x:c r="B271" s="87" t="str">
        <x:v>JAN-INF-V1-002</x:v>
      </x:c>
      <x:c r="C271" s="87" t="str">
        <x:v>СтатГрад</x:v>
      </x:c>
      <x:c r="D271" s="87" t="str">
        <x:v>Январь 2026</x:v>
      </x:c>
      <x:c r="E271" s="87"/>
      <x:c r="F271" s="87"/>
      <x:c r="G271" s="87" t="str">
        <x:v>Информатика</x:v>
      </x:c>
      <x:c r="H271" s="87" t="n">
        <x:v>11</x:v>
      </x:c>
      <x:c r="I271" s="87" t="str">
        <x:v>ТР №3</x:v>
      </x:c>
      <x:c r="J271" s="87" t="str">
        <x:v>ИН2510301</x:v>
      </x:c>
      <x:c r="K271" s="87" t="n">
        <x:v>2</x:v>
      </x:c>
      <x:c r="L271" s="87" t="str">
        <x:v>Логика: таблица истинности</x:v>
      </x:c>
      <x:c r="M271" s="30" t="str">
        <x:v>По фрагменту таблицы функции ¬w ∨ ((z → x) → y) определите порядок столбцов переменных.</x:v>
      </x:c>
      <x:c r="N271" s="30" t="str">
        <x:v>yxwz</x:v>
      </x:c>
      <x:c r="O271" s="30" t="str">
        <x:v>Полный перебор значений, при которых F=0, оставляет единственное согласованное расположение столбцов: y, x, w, z.</x:v>
      </x:c>
      <x:c r="P271" s="30" t="str">
        <x:v>Проверены все 24 перестановки переменных и все дополнения пустых клеток трёх различных строк.</x:v>
      </x:c>
      <x:c r="Q271" s="30"/>
      <x:c r="R271" s="30" t="str">
        <x:v>yxwz</x:v>
      </x:c>
      <x:c r="S271" s="30"/>
      <x:c r="T271" s="30"/>
      <x:c r="U271" s="30" t="str">
        <x:v>Расхождений нет.</x:v>
      </x:c>
      <x:c r="V271" s="87" t="str">
        <x:v>VERIFIED</x:v>
      </x:c>
      <x:c r="W271" s="87" t="n">
        <x:v>4</x:v>
      </x:c>
      <x:c r="X271" s="87"/>
      <x:c r="Y271" s="87"/>
      <x:c r="Z271" s="87"/>
      <x:c r="AA271" s="87"/>
      <x:c r="AB271" s="87"/>
      <x:c r="AC271" s="87"/>
      <x:c r="AD271" s="87"/>
      <x:c r="AE271" s="87"/>
      <x:c r="AF271" s="87"/>
      <x:c r="AG271" s="87"/>
      <x:c r="AH271" s="87"/>
      <x:c r="AI271" s="30"/>
      <x:c r="AJ271" s="87" t="str">
        <x:v>master</x:v>
      </x:c>
      <x:c r="AK271" s="87" t="str">
        <x:v>master-v0.81</x:v>
      </x:c>
      <x:c r="AL271" s="87" t="str">
        <x:v>statgrad_master_base_v0_81_final(2).xlsx</x:v>
      </x:c>
      <x:c r="AM271" s="87" t="str">
        <x:v>INF_Jan_V1</x:v>
      </x:c>
      <x:c r="AN271" s="87" t="n">
        <x:v>3</x:v>
      </x:c>
    </x:row>
    <x:row r="272">
      <x:c r="A272" s="87" t="n">
        <x:v>271</x:v>
      </x:c>
      <x:c r="B272" s="87" t="str">
        <x:v>JAN-INF-V1-003</x:v>
      </x:c>
      <x:c r="C272" s="87" t="str">
        <x:v>СтатГрад</x:v>
      </x:c>
      <x:c r="D272" s="87" t="str">
        <x:v>Январь 2026</x:v>
      </x:c>
      <x:c r="E272" s="87"/>
      <x:c r="F272" s="87"/>
      <x:c r="G272" s="87" t="str">
        <x:v>Информатика</x:v>
      </x:c>
      <x:c r="H272" s="87" t="n">
        <x:v>11</x:v>
      </x:c>
      <x:c r="I272" s="87" t="str">
        <x:v>ТР №3</x:v>
      </x:c>
      <x:c r="J272" s="87" t="str">
        <x:v>ИН2510301</x:v>
      </x:c>
      <x:c r="K272" s="87" t="n">
        <x:v>3</x:v>
      </x:c>
      <x:c r="L272" s="87" t="str">
        <x:v>Базы данных</x:v>
      </x:c>
      <x:c r="M272" s="30" t="str">
        <x:v>Найдите выручку от детских билетов на драмы М. А. Булгакова, проданные по утреннему или вечернему тарифу летнего сезона.</x:v>
      </x:c>
      <x:c r="N272" s="30" t="str">
        <x:v>11400</x:v>
      </x:c>
      <x:c r="O272" s="30" t="str">
        <x:v>Таблицы связаны по коду спектакля и ID тарифа. После отбора автора, жанра и двух летних тарифов стоимость детского билета умножена на количество проданных детских билетов; сумма равна 11 400 руб.</x:v>
      </x:c>
      <x:c r="P272" s="30" t="str">
        <x:v>Обработаны все 6502 записи продаж; условию соответствуют 47 операций.</x:v>
      </x:c>
      <x:c r="Q272" s="30"/>
      <x:c r="R272" s="30" t="str">
        <x:v>11400</x:v>
      </x:c>
      <x:c r="S272" s="30"/>
      <x:c r="T272" s="30"/>
      <x:c r="U272" s="30" t="str">
        <x:v>Расхождений нет.</x:v>
      </x:c>
      <x:c r="V272" s="87" t="str">
        <x:v>VERIFIED</x:v>
      </x:c>
      <x:c r="W272" s="87" t="n">
        <x:v>5</x:v>
      </x:c>
      <x:c r="X272" s="87"/>
      <x:c r="Y272" s="87"/>
      <x:c r="Z272" s="87"/>
      <x:c r="AA272" s="87"/>
      <x:c r="AB272" s="87"/>
      <x:c r="AC272" s="87"/>
      <x:c r="AD272" s="87"/>
      <x:c r="AE272" s="87"/>
      <x:c r="AF272" s="87"/>
      <x:c r="AG272" s="87"/>
      <x:c r="AH272" s="87"/>
      <x:c r="AI272" s="30"/>
      <x:c r="AJ272" s="87" t="str">
        <x:v>master</x:v>
      </x:c>
      <x:c r="AK272" s="87" t="str">
        <x:v>master-v0.81</x:v>
      </x:c>
      <x:c r="AL272" s="87" t="str">
        <x:v>statgrad_master_base_v0_81_final(2).xlsx</x:v>
      </x:c>
      <x:c r="AM272" s="87" t="str">
        <x:v>INF_Jan_V1</x:v>
      </x:c>
      <x:c r="AN272" s="87" t="n">
        <x:v>4</x:v>
      </x:c>
    </x:row>
    <x:row r="273">
      <x:c r="A273" s="87" t="n">
        <x:v>272</x:v>
      </x:c>
      <x:c r="B273" s="87" t="str">
        <x:v>JAN-INF-V1-004</x:v>
      </x:c>
      <x:c r="C273" s="87" t="str">
        <x:v>СтатГрад</x:v>
      </x:c>
      <x:c r="D273" s="87" t="str">
        <x:v>Январь 2026</x:v>
      </x:c>
      <x:c r="E273" s="87"/>
      <x:c r="F273" s="87"/>
      <x:c r="G273" s="87" t="str">
        <x:v>Информатика</x:v>
      </x:c>
      <x:c r="H273" s="87" t="n">
        <x:v>11</x:v>
      </x:c>
      <x:c r="I273" s="87" t="str">
        <x:v>ТР №3</x:v>
      </x:c>
      <x:c r="J273" s="87" t="str">
        <x:v>ИН2510301</x:v>
      </x:c>
      <x:c r="K273" s="87" t="n">
        <x:v>4</x:v>
      </x:c>
      <x:c r="L273" s="87" t="str">
        <x:v>Кодирование Фано</x:v>
      </x:c>
      <x:c r="M273" s="30" t="str">
        <x:v>Для кодов цифр 3, 4, 5 добавьте коды четырёх арифметических знаков с минимальной суммарной длиной.</x:v>
      </x:c>
      <x:c r="N273" s="30" t="str">
        <x:v>11</x:v>
      </x:c>
      <x:c r="O273" s="30" t="str">
        <x:v>Подходящий набор дополнительных кодов: 00, 01, 110 и 1001; их длины дают 2+2+3+4=11. Меньшая сумма невозможна: ветви 10 и 11 уже заняты существующими кодами или их продолжениями.</x:v>
      </x:c>
      <x:c r="P273" s="30" t="str">
        <x:v>Построено префиксное дерево и проверено условие Фано для всех семи кодовых слов.</x:v>
      </x:c>
      <x:c r="Q273" s="30"/>
      <x:c r="R273" s="30" t="str">
        <x:v>11</x:v>
      </x:c>
      <x:c r="S273" s="30"/>
      <x:c r="T273" s="30"/>
      <x:c r="U273" s="30" t="str">
        <x:v>Расхождений нет.</x:v>
      </x:c>
      <x:c r="V273" s="87" t="str">
        <x:v>VERIFIED</x:v>
      </x:c>
      <x:c r="W273" s="87" t="n">
        <x:v>6</x:v>
      </x:c>
      <x:c r="X273" s="87"/>
      <x:c r="Y273" s="87"/>
      <x:c r="Z273" s="87"/>
      <x:c r="AA273" s="87"/>
      <x:c r="AB273" s="87"/>
      <x:c r="AC273" s="87"/>
      <x:c r="AD273" s="87"/>
      <x:c r="AE273" s="87"/>
      <x:c r="AF273" s="87"/>
      <x:c r="AG273" s="87"/>
      <x:c r="AH273" s="87"/>
      <x:c r="AI273" s="30"/>
      <x:c r="AJ273" s="87" t="str">
        <x:v>master</x:v>
      </x:c>
      <x:c r="AK273" s="87" t="str">
        <x:v>master-v0.81</x:v>
      </x:c>
      <x:c r="AL273" s="87" t="str">
        <x:v>statgrad_master_base_v0_81_final(2).xlsx</x:v>
      </x:c>
      <x:c r="AM273" s="87" t="str">
        <x:v>INF_Jan_V1</x:v>
      </x:c>
      <x:c r="AN273" s="87" t="n">
        <x:v>5</x:v>
      </x:c>
    </x:row>
    <x:row r="274">
      <x:c r="A274" s="87" t="n">
        <x:v>273</x:v>
      </x:c>
      <x:c r="B274" s="87" t="str">
        <x:v>JAN-INF-V1-005</x:v>
      </x:c>
      <x:c r="C274" s="87" t="str">
        <x:v>СтатГрад</x:v>
      </x:c>
      <x:c r="D274" s="87" t="str">
        <x:v>Январь 2026</x:v>
      </x:c>
      <x:c r="E274" s="87"/>
      <x:c r="F274" s="87"/>
      <x:c r="G274" s="87" t="str">
        <x:v>Информатика</x:v>
      </x:c>
      <x:c r="H274" s="87" t="n">
        <x:v>11</x:v>
      </x:c>
      <x:c r="I274" s="87" t="str">
        <x:v>ТР №3</x:v>
      </x:c>
      <x:c r="J274" s="87" t="str">
        <x:v>ИН2510301</x:v>
      </x:c>
      <x:c r="K274" s="87" t="n">
        <x:v>5</x:v>
      </x:c>
      <x:c r="L274" s="87" t="str">
        <x:v>Алгоритм с троичной записью</x:v>
      </x:c>
      <x:c r="M274" s="30" t="str">
        <x:v>Найдите результат R, ближайший к 826, среди значений заданного алгоритма обработки троичной записи N.</x:v>
      </x:c>
      <x:c r="N274" s="30" t="str">
        <x:v>840</x:v>
      </x:c>
      <x:c r="O274" s="30" t="str">
        <x:v>Для N=93 троичная запись равна 10110₃. После дописывания по правилу получается число, равное 840 в десятичной системе; расстояние до 826 равно 14 и является минимальным.</x:v>
      </x:c>
      <x:c r="P274" s="30" t="str">
        <x:v>Выполнен полный перебор натуральных N в диапазоне, заведомо покрывающем ближайшие результаты.</x:v>
      </x:c>
      <x:c r="Q274" s="30"/>
      <x:c r="R274" s="30" t="str">
        <x:v>840</x:v>
      </x:c>
      <x:c r="S274" s="30"/>
      <x:c r="T274" s="30"/>
      <x:c r="U274" s="30" t="str">
        <x:v>Расхождений нет.</x:v>
      </x:c>
      <x:c r="V274" s="87" t="str">
        <x:v>VERIFIED</x:v>
      </x:c>
      <x:c r="W274" s="87" t="n">
        <x:v>6</x:v>
      </x:c>
      <x:c r="X274" s="87"/>
      <x:c r="Y274" s="87"/>
      <x:c r="Z274" s="87"/>
      <x:c r="AA274" s="87"/>
      <x:c r="AB274" s="87"/>
      <x:c r="AC274" s="87"/>
      <x:c r="AD274" s="87"/>
      <x:c r="AE274" s="87"/>
      <x:c r="AF274" s="87"/>
      <x:c r="AG274" s="87"/>
      <x:c r="AH274" s="87"/>
      <x:c r="AI274" s="30"/>
      <x:c r="AJ274" s="87" t="str">
        <x:v>master</x:v>
      </x:c>
      <x:c r="AK274" s="87" t="str">
        <x:v>master-v0.81</x:v>
      </x:c>
      <x:c r="AL274" s="87" t="str">
        <x:v>statgrad_master_base_v0_81_final(2).xlsx</x:v>
      </x:c>
      <x:c r="AM274" s="87" t="str">
        <x:v>INF_Jan_V1</x:v>
      </x:c>
      <x:c r="AN274" s="87" t="n">
        <x:v>6</x:v>
      </x:c>
    </x:row>
    <x:row r="275">
      <x:c r="A275" s="87" t="n">
        <x:v>274</x:v>
      </x:c>
      <x:c r="B275" s="87" t="str">
        <x:v>JAN-INF-V1-006</x:v>
      </x:c>
      <x:c r="C275" s="87" t="str">
        <x:v>СтатГрад</x:v>
      </x:c>
      <x:c r="D275" s="87" t="str">
        <x:v>Январь 2026</x:v>
      </x:c>
      <x:c r="E275" s="87"/>
      <x:c r="F275" s="87"/>
      <x:c r="G275" s="87" t="str">
        <x:v>Информатика</x:v>
      </x:c>
      <x:c r="H275" s="87" t="n">
        <x:v>11</x:v>
      </x:c>
      <x:c r="I275" s="87" t="str">
        <x:v>ТР №3</x:v>
      </x:c>
      <x:c r="J275" s="87" t="str">
        <x:v>ИН2510301</x:v>
      </x:c>
      <x:c r="K275" s="87" t="n">
        <x:v>6</x:v>
      </x:c>
      <x:c r="L275" s="87" t="str">
        <x:v>Черепаха</x:v>
      </x:c>
      <x:c r="M275" s="30" t="str">
        <x:v>Определите периметр фигуры, построенной исполнителем Черепаха по заданной программе.</x:v>
      </x:c>
      <x:c r="N275" s="30" t="str">
        <x:v>1110</x:v>
      </x:c>
      <x:c r="O275" s="30" t="str">
        <x:v>Суммарная длина всех выполненных перемещений равна 1184. Последний отрезок длиной 74 проходит по уже нарисованной части первой линии, поэтому в периметр он второй раз не входит: 1184−74=1110.</x:v>
      </x:c>
      <x:c r="P275" s="30" t="str">
        <x:v>Координаты всех вершин и совпадение последнего отрезка с начальным участком проверены программной симуляцией.</x:v>
      </x:c>
      <x:c r="Q275" s="30"/>
      <x:c r="R275" s="30" t="str">
        <x:v>1110</x:v>
      </x:c>
      <x:c r="S275" s="30"/>
      <x:c r="T275" s="30"/>
      <x:c r="U275" s="30" t="str">
        <x:v>Расхождений нет.</x:v>
      </x:c>
      <x:c r="V275" s="87" t="str">
        <x:v>VERIFIED</x:v>
      </x:c>
      <x:c r="W275" s="87" t="n">
        <x:v>7</x:v>
      </x:c>
      <x:c r="X275" s="87"/>
      <x:c r="Y275" s="87"/>
      <x:c r="Z275" s="87"/>
      <x:c r="AA275" s="87"/>
      <x:c r="AB275" s="87"/>
      <x:c r="AC275" s="87"/>
      <x:c r="AD275" s="87"/>
      <x:c r="AE275" s="87"/>
      <x:c r="AF275" s="87"/>
      <x:c r="AG275" s="87"/>
      <x:c r="AH275" s="87"/>
      <x:c r="AI275" s="30"/>
      <x:c r="AJ275" s="87" t="str">
        <x:v>master</x:v>
      </x:c>
      <x:c r="AK275" s="87" t="str">
        <x:v>master-v0.81</x:v>
      </x:c>
      <x:c r="AL275" s="87" t="str">
        <x:v>statgrad_master_base_v0_81_final(2).xlsx</x:v>
      </x:c>
      <x:c r="AM275" s="87" t="str">
        <x:v>INF_Jan_V1</x:v>
      </x:c>
      <x:c r="AN275" s="87" t="n">
        <x:v>7</x:v>
      </x:c>
    </x:row>
    <x:row r="276">
      <x:c r="A276" s="87" t="n">
        <x:v>275</x:v>
      </x:c>
      <x:c r="B276" s="87" t="str">
        <x:v>JAN-INF-V1-007</x:v>
      </x:c>
      <x:c r="C276" s="87" t="str">
        <x:v>СтатГрад</x:v>
      </x:c>
      <x:c r="D276" s="87" t="str">
        <x:v>Январь 2026</x:v>
      </x:c>
      <x:c r="E276" s="87"/>
      <x:c r="F276" s="87"/>
      <x:c r="G276" s="87" t="str">
        <x:v>Информатика</x:v>
      </x:c>
      <x:c r="H276" s="87" t="n">
        <x:v>11</x:v>
      </x:c>
      <x:c r="I276" s="87" t="str">
        <x:v>ТР №3</x:v>
      </x:c>
      <x:c r="J276" s="87" t="str">
        <x:v>ИН2510301</x:v>
      </x:c>
      <x:c r="K276" s="87" t="n">
        <x:v>7</x:v>
      </x:c>
      <x:c r="L276" s="87" t="str">
        <x:v>Объём информации</x:v>
      </x:c>
      <x:c r="M276" s="30" t="str">
        <x:v>Цветные снимки 1195×1024 пикселей, палитра 1568 цветов, пакет 367 снимков, скорость 17 094 834 бит/с. Найдите целое число минут.</x:v>
      </x:c>
      <x:c r="N276" s="30" t="str">
        <x:v>4</x:v>
      </x:c>
      <x:c r="O276" s="30" t="str">
        <x:v>На пиксель требуется ⌈log₂1568⌉=11 бит. Пакет занимает 4 939 996 160 бит и передаётся примерно 288,98 с, то есть 4 полных минуты.</x:v>
      </x:c>
      <x:c r="P276" s="30" t="str">
        <x:v>Расчёт повторён через размер одного изображения и перевод секунд в минуты с отбрасыванием дробной части.</x:v>
      </x:c>
      <x:c r="Q276" s="30"/>
      <x:c r="R276" s="30" t="str">
        <x:v>4</x:v>
      </x:c>
      <x:c r="S276" s="30"/>
      <x:c r="T276" s="30"/>
      <x:c r="U276" s="30" t="str">
        <x:v>Расхождений нет.</x:v>
      </x:c>
      <x:c r="V276" s="87" t="str">
        <x:v>VERIFIED</x:v>
      </x:c>
      <x:c r="W276" s="87" t="n">
        <x:v>7</x:v>
      </x:c>
      <x:c r="X276" s="87"/>
      <x:c r="Y276" s="87"/>
      <x:c r="Z276" s="87"/>
      <x:c r="AA276" s="87"/>
      <x:c r="AB276" s="87"/>
      <x:c r="AC276" s="87"/>
      <x:c r="AD276" s="87"/>
      <x:c r="AE276" s="87"/>
      <x:c r="AF276" s="87"/>
      <x:c r="AG276" s="87"/>
      <x:c r="AH276" s="87"/>
      <x:c r="AI276" s="30"/>
      <x:c r="AJ276" s="87" t="str">
        <x:v>master</x:v>
      </x:c>
      <x:c r="AK276" s="87" t="str">
        <x:v>master-v0.81</x:v>
      </x:c>
      <x:c r="AL276" s="87" t="str">
        <x:v>statgrad_master_base_v0_81_final(2).xlsx</x:v>
      </x:c>
      <x:c r="AM276" s="87" t="str">
        <x:v>INF_Jan_V1</x:v>
      </x:c>
      <x:c r="AN276" s="87" t="n">
        <x:v>8</x:v>
      </x:c>
    </x:row>
    <x:row r="277">
      <x:c r="A277" s="87" t="n">
        <x:v>276</x:v>
      </x:c>
      <x:c r="B277" s="87" t="str">
        <x:v>JAN-INF-V1-008</x:v>
      </x:c>
      <x:c r="C277" s="87" t="str">
        <x:v>СтатГрад</x:v>
      </x:c>
      <x:c r="D277" s="87" t="str">
        <x:v>Январь 2026</x:v>
      </x:c>
      <x:c r="E277" s="87"/>
      <x:c r="F277" s="87"/>
      <x:c r="G277" s="87" t="str">
        <x:v>Информатика</x:v>
      </x:c>
      <x:c r="H277" s="87" t="n">
        <x:v>11</x:v>
      </x:c>
      <x:c r="I277" s="87" t="str">
        <x:v>ТР №3</x:v>
      </x:c>
      <x:c r="J277" s="87" t="str">
        <x:v>ИН2510301</x:v>
      </x:c>
      <x:c r="K277" s="87" t="n">
        <x:v>8</x:v>
      </x:c>
      <x:c r="L277" s="87" t="str">
        <x:v>Комбинаторика слов</x:v>
      </x:c>
      <x:c r="M277" s="30" t="str">
        <x:v>Найдите номер первого нечётного слова из четырёх букв заданного алфавита, не начинающегося с А и содержащего не менее трёх Л.</x:v>
      </x:c>
      <x:c r="N277" s="30" t="str">
        <x:v>659</x:v>
      </x:c>
      <x:c r="O277" s="30" t="str">
        <x:v>Слова нумеруются как числа в восьмеричной системе по алфавиту А, Д, Л, О, С, Ф, Ц, Щ. Первым подходящим словом является ДЛЛЛ, его номер — 659.</x:v>
      </x:c>
      <x:c r="P277" s="30" t="str">
        <x:v>Все слова перебраны в точном лексикографическом порядке.</x:v>
      </x:c>
      <x:c r="Q277" s="30"/>
      <x:c r="R277" s="30" t="str">
        <x:v>659</x:v>
      </x:c>
      <x:c r="S277" s="30"/>
      <x:c r="T277" s="30"/>
      <x:c r="U277" s="30" t="str">
        <x:v>Расхождений нет.</x:v>
      </x:c>
      <x:c r="V277" s="87" t="str">
        <x:v>VERIFIED</x:v>
      </x:c>
      <x:c r="W277" s="87" t="n">
        <x:v>8</x:v>
      </x:c>
      <x:c r="X277" s="87"/>
      <x:c r="Y277" s="87"/>
      <x:c r="Z277" s="87"/>
      <x:c r="AA277" s="87"/>
      <x:c r="AB277" s="87"/>
      <x:c r="AC277" s="87"/>
      <x:c r="AD277" s="87"/>
      <x:c r="AE277" s="87"/>
      <x:c r="AF277" s="87"/>
      <x:c r="AG277" s="87"/>
      <x:c r="AH277" s="87"/>
      <x:c r="AI277" s="30"/>
      <x:c r="AJ277" s="87" t="str">
        <x:v>master</x:v>
      </x:c>
      <x:c r="AK277" s="87" t="str">
        <x:v>master-v0.81</x:v>
      </x:c>
      <x:c r="AL277" s="87" t="str">
        <x:v>statgrad_master_base_v0_81_final(2).xlsx</x:v>
      </x:c>
      <x:c r="AM277" s="87" t="str">
        <x:v>INF_Jan_V1</x:v>
      </x:c>
      <x:c r="AN277" s="87" t="n">
        <x:v>9</x:v>
      </x:c>
    </x:row>
    <x:row r="278">
      <x:c r="A278" s="87" t="n">
        <x:v>277</x:v>
      </x:c>
      <x:c r="B278" s="87" t="str">
        <x:v>JAN-INF-V1-009</x:v>
      </x:c>
      <x:c r="C278" s="87" t="str">
        <x:v>СтатГрад</x:v>
      </x:c>
      <x:c r="D278" s="87" t="str">
        <x:v>Январь 2026</x:v>
      </x:c>
      <x:c r="E278" s="87"/>
      <x:c r="F278" s="87"/>
      <x:c r="G278" s="87" t="str">
        <x:v>Информатика</x:v>
      </x:c>
      <x:c r="H278" s="87" t="n">
        <x:v>11</x:v>
      </x:c>
      <x:c r="I278" s="87" t="str">
        <x:v>ТР №3</x:v>
      </x:c>
      <x:c r="J278" s="87" t="str">
        <x:v>ИН2510301</x:v>
      </x:c>
      <x:c r="K278" s="87" t="n">
        <x:v>9</x:v>
      </x:c>
      <x:c r="L278" s="87" t="str">
        <x:v>Обработка таблицы</x:v>
      </x:c>
      <x:c r="M278" s="30" t="str">
        <x:v>В последней строке, где одно число встречается трижды, другое дважды и сумма неповторяющихся не больше меньшего повторяющегося, найдите модуль меньшего повторяющегося числа.</x:v>
      </x:c>
      <x:c r="N278" s="30" t="str">
        <x:v>448</x:v>
      </x:c>
      <x:c r="O278" s="30" t="str">
        <x:v>Последняя подходящая строка имеет номер 19936: −448, −448, −427, 669, 669, 669, −324. Меньшее повторяющееся число равно −448, его модуль — 448.</x:v>
      </x:c>
      <x:c r="P278" s="30" t="str">
        <x:v>Проверены все 20 000 строк и точные кратности каждого значения.</x:v>
      </x:c>
      <x:c r="Q278" s="30"/>
      <x:c r="R278" s="30" t="str">
        <x:v>448</x:v>
      </x:c>
      <x:c r="S278" s="30"/>
      <x:c r="T278" s="30"/>
      <x:c r="U278" s="30" t="str">
        <x:v>Расхождений нет.</x:v>
      </x:c>
      <x:c r="V278" s="87" t="str">
        <x:v>VERIFIED</x:v>
      </x:c>
      <x:c r="W278" s="87" t="n">
        <x:v>8</x:v>
      </x:c>
      <x:c r="X278" s="87"/>
      <x:c r="Y278" s="87"/>
      <x:c r="Z278" s="87"/>
      <x:c r="AA278" s="87"/>
      <x:c r="AB278" s="87"/>
      <x:c r="AC278" s="87"/>
      <x:c r="AD278" s="87"/>
      <x:c r="AE278" s="87"/>
      <x:c r="AF278" s="87"/>
      <x:c r="AG278" s="87"/>
      <x:c r="AH278" s="87"/>
      <x:c r="AI278" s="30"/>
      <x:c r="AJ278" s="87" t="str">
        <x:v>master</x:v>
      </x:c>
      <x:c r="AK278" s="87" t="str">
        <x:v>master-v0.81</x:v>
      </x:c>
      <x:c r="AL278" s="87" t="str">
        <x:v>statgrad_master_base_v0_81_final(2).xlsx</x:v>
      </x:c>
      <x:c r="AM278" s="87" t="str">
        <x:v>INF_Jan_V1</x:v>
      </x:c>
      <x:c r="AN278" s="87" t="n">
        <x:v>10</x:v>
      </x:c>
    </x:row>
    <x:row r="279">
      <x:c r="A279" s="87" t="n">
        <x:v>278</x:v>
      </x:c>
      <x:c r="B279" s="87" t="str">
        <x:v>JAN-INF-V1-010</x:v>
      </x:c>
      <x:c r="C279" s="87" t="str">
        <x:v>СтатГрад</x:v>
      </x:c>
      <x:c r="D279" s="87" t="str">
        <x:v>Январь 2026</x:v>
      </x:c>
      <x:c r="E279" s="87"/>
      <x:c r="F279" s="87"/>
      <x:c r="G279" s="87" t="str">
        <x:v>Информатика</x:v>
      </x:c>
      <x:c r="H279" s="87" t="n">
        <x:v>11</x:v>
      </x:c>
      <x:c r="I279" s="87" t="str">
        <x:v>ТР №3</x:v>
      </x:c>
      <x:c r="J279" s="87" t="str">
        <x:v>ИН2510301</x:v>
      </x:c>
      <x:c r="K279" s="87" t="n">
        <x:v>10</x:v>
      </x:c>
      <x:c r="L279" s="87" t="str">
        <x:v>Поиск в тексте</x:v>
      </x:c>
      <x:c r="M279" s="30" t="str">
        <x:v>Подсчитайте отдельные слова «Да» или «да» в главах IX и XIV романа «Отцы и дети», не учитывая части слов через дефис.</x:v>
      </x:c>
      <x:c r="N279" s="30" t="str">
        <x:v>10</x:v>
      </x:c>
      <x:c r="O279" s="30" t="str">
        <x:v>В главе IX найдено 8 отдельных вхождений, в главе XIV — 2. Слова, соединённые дефисом с другими частями, исключены.</x:v>
      </x:c>
      <x:c r="P279" s="30" t="str">
        <x:v>Главы выделены по заголовкам в ODT; применено регулярное выражение с границами кириллического слова и запретом соседнего дефиса.</x:v>
      </x:c>
      <x:c r="Q279" s="30"/>
      <x:c r="R279" s="30" t="str">
        <x:v>10</x:v>
      </x:c>
      <x:c r="S279" s="30"/>
      <x:c r="T279" s="30"/>
      <x:c r="U279" s="30" t="str">
        <x:v>Расхождений нет.</x:v>
      </x:c>
      <x:c r="V279" s="87" t="str">
        <x:v>VERIFIED</x:v>
      </x:c>
      <x:c r="W279" s="87" t="n">
        <x:v>8</x:v>
      </x:c>
      <x:c r="X279" s="87"/>
      <x:c r="Y279" s="87"/>
      <x:c r="Z279" s="87"/>
      <x:c r="AA279" s="87"/>
      <x:c r="AB279" s="87"/>
      <x:c r="AC279" s="87"/>
      <x:c r="AD279" s="87"/>
      <x:c r="AE279" s="87"/>
      <x:c r="AF279" s="87"/>
      <x:c r="AG279" s="87"/>
      <x:c r="AH279" s="87"/>
      <x:c r="AI279" s="30"/>
      <x:c r="AJ279" s="87" t="str">
        <x:v>master</x:v>
      </x:c>
      <x:c r="AK279" s="87" t="str">
        <x:v>master-v0.81</x:v>
      </x:c>
      <x:c r="AL279" s="87" t="str">
        <x:v>statgrad_master_base_v0_81_final(2).xlsx</x:v>
      </x:c>
      <x:c r="AM279" s="87" t="str">
        <x:v>INF_Jan_V1</x:v>
      </x:c>
      <x:c r="AN279" s="87" t="n">
        <x:v>11</x:v>
      </x:c>
    </x:row>
    <x:row r="280">
      <x:c r="A280" s="87" t="n">
        <x:v>279</x:v>
      </x:c>
      <x:c r="B280" s="87" t="str">
        <x:v>JAN-INF-V1-011</x:v>
      </x:c>
      <x:c r="C280" s="87" t="str">
        <x:v>СтатГрад</x:v>
      </x:c>
      <x:c r="D280" s="87" t="str">
        <x:v>Январь 2026</x:v>
      </x:c>
      <x:c r="E280" s="87"/>
      <x:c r="F280" s="87"/>
      <x:c r="G280" s="87" t="str">
        <x:v>Информатика</x:v>
      </x:c>
      <x:c r="H280" s="87" t="n">
        <x:v>11</x:v>
      </x:c>
      <x:c r="I280" s="87" t="str">
        <x:v>ТР №3</x:v>
      </x:c>
      <x:c r="J280" s="87" t="str">
        <x:v>ИН2510301</x:v>
      </x:c>
      <x:c r="K280" s="87" t="n">
        <x:v>11</x:v>
      </x:c>
      <x:c r="L280" s="87" t="str">
        <x:v>Равномерное кодирование</x:v>
      </x:c>
      <x:c r="M280" s="30" t="str">
        <x:v>Определите минимальную длину серийного номера из цифр, строчных латинских букв и 14170 специальных символов, если 156 314 номеров занимают более 16 Мбайт.</x:v>
      </x:c>
      <x:c r="N280" s="30" t="str">
        <x:v>62</x:v>
      </x:c>
      <x:c r="O280" s="30" t="str">
        <x:v>Всего 14 206 символов, поэтому один символ кодируется 14 битами. При длине 61 номер занимает 107 байт и общий объём не превышает 16 Мбайт; при длине 62 — 109 байт, и объём становится больше ограничения.</x:v>
      </x:c>
      <x:c r="P280" s="30" t="str">
        <x:v>Порог проверен для соседних длин 61 и 62 с округлением размера каждого номера до целого числа байт.</x:v>
      </x:c>
      <x:c r="Q280" s="30"/>
      <x:c r="R280" s="30" t="str">
        <x:v>62</x:v>
      </x:c>
      <x:c r="S280" s="30"/>
      <x:c r="T280" s="30"/>
      <x:c r="U280" s="30" t="str">
        <x:v>Расхождений нет.</x:v>
      </x:c>
      <x:c r="V280" s="87" t="str">
        <x:v>VERIFIED</x:v>
      </x:c>
      <x:c r="W280" s="87" t="n">
        <x:v>9</x:v>
      </x:c>
      <x:c r="X280" s="87"/>
      <x:c r="Y280" s="87"/>
      <x:c r="Z280" s="87"/>
      <x:c r="AA280" s="87"/>
      <x:c r="AB280" s="87"/>
      <x:c r="AC280" s="87"/>
      <x:c r="AD280" s="87"/>
      <x:c r="AE280" s="87"/>
      <x:c r="AF280" s="87"/>
      <x:c r="AG280" s="87"/>
      <x:c r="AH280" s="87"/>
      <x:c r="AI280" s="30"/>
      <x:c r="AJ280" s="87" t="str">
        <x:v>master</x:v>
      </x:c>
      <x:c r="AK280" s="87" t="str">
        <x:v>master-v0.81</x:v>
      </x:c>
      <x:c r="AL280" s="87" t="str">
        <x:v>statgrad_master_base_v0_81_final(2).xlsx</x:v>
      </x:c>
      <x:c r="AM280" s="87" t="str">
        <x:v>INF_Jan_V1</x:v>
      </x:c>
      <x:c r="AN280" s="87" t="n">
        <x:v>12</x:v>
      </x:c>
    </x:row>
    <x:row r="281">
      <x:c r="A281" s="87" t="n">
        <x:v>280</x:v>
      </x:c>
      <x:c r="B281" s="87" t="str">
        <x:v>JAN-INF-V1-012</x:v>
      </x:c>
      <x:c r="C281" s="87" t="str">
        <x:v>СтатГрад</x:v>
      </x:c>
      <x:c r="D281" s="87" t="str">
        <x:v>Январь 2026</x:v>
      </x:c>
      <x:c r="E281" s="87"/>
      <x:c r="F281" s="87"/>
      <x:c r="G281" s="87" t="str">
        <x:v>Информатика</x:v>
      </x:c>
      <x:c r="H281" s="87" t="n">
        <x:v>11</x:v>
      </x:c>
      <x:c r="I281" s="87" t="str">
        <x:v>ТР №3</x:v>
      </x:c>
      <x:c r="J281" s="87" t="str">
        <x:v>ИН2510301</x:v>
      </x:c>
      <x:c r="K281" s="87" t="n">
        <x:v>12</x:v>
      </x:c>
      <x:c r="L281" s="87" t="str">
        <x:v>Машина Тьюринга</x:v>
      </x:c>
      <x:c r="M281" s="30" t="str">
        <x:v>Выполните программу машины Тьюринга над двоичной записью числа 145682 и переведите результат в десятичную систему.</x:v>
      </x:c>
      <x:c r="N281" s="30" t="str">
        <x:v>3262609</x:v>
      </x:c>
      <x:c r="O281" s="30" t="str">
        <x:v>Машина дописывает слева единицу, а справа последовательность 001. Получается 1100011100100010010001₂, что равно 3 262 609.</x:v>
      </x:c>
      <x:c r="P281" s="30" t="str">
        <x:v>Переходы таблицы промоделированы такт за тактом до команды остановки.</x:v>
      </x:c>
      <x:c r="Q281" s="30"/>
      <x:c r="R281" s="30" t="str">
        <x:v>3262609</x:v>
      </x:c>
      <x:c r="S281" s="30"/>
      <x:c r="T281" s="30"/>
      <x:c r="U281" s="30" t="str">
        <x:v>Расхождений нет.</x:v>
      </x:c>
      <x:c r="V281" s="87" t="str">
        <x:v>VERIFIED</x:v>
      </x:c>
      <x:c r="W281" s="87" t="n">
        <x:v>10</x:v>
      </x:c>
      <x:c r="X281" s="87"/>
      <x:c r="Y281" s="87"/>
      <x:c r="Z281" s="87"/>
      <x:c r="AA281" s="87"/>
      <x:c r="AB281" s="87"/>
      <x:c r="AC281" s="87"/>
      <x:c r="AD281" s="87"/>
      <x:c r="AE281" s="87"/>
      <x:c r="AF281" s="87"/>
      <x:c r="AG281" s="87"/>
      <x:c r="AH281" s="87"/>
      <x:c r="AI281" s="30"/>
      <x:c r="AJ281" s="87" t="str">
        <x:v>master</x:v>
      </x:c>
      <x:c r="AK281" s="87" t="str">
        <x:v>master-v0.81</x:v>
      </x:c>
      <x:c r="AL281" s="87" t="str">
        <x:v>statgrad_master_base_v0_81_final(2).xlsx</x:v>
      </x:c>
      <x:c r="AM281" s="87" t="str">
        <x:v>INF_Jan_V1</x:v>
      </x:c>
      <x:c r="AN281" s="87" t="n">
        <x:v>13</x:v>
      </x:c>
    </x:row>
    <x:row r="282">
      <x:c r="A282" s="87" t="n">
        <x:v>281</x:v>
      </x:c>
      <x:c r="B282" s="87" t="str">
        <x:v>JAN-INF-V1-013</x:v>
      </x:c>
      <x:c r="C282" s="87" t="str">
        <x:v>СтатГрад</x:v>
      </x:c>
      <x:c r="D282" s="87" t="str">
        <x:v>Январь 2026</x:v>
      </x:c>
      <x:c r="E282" s="87"/>
      <x:c r="F282" s="87"/>
      <x:c r="G282" s="87" t="str">
        <x:v>Информатика</x:v>
      </x:c>
      <x:c r="H282" s="87" t="n">
        <x:v>11</x:v>
      </x:c>
      <x:c r="I282" s="87" t="str">
        <x:v>ТР №3</x:v>
      </x:c>
      <x:c r="J282" s="87" t="str">
        <x:v>ИН2510301</x:v>
      </x:c>
      <x:c r="K282" s="87" t="n">
        <x:v>13</x:v>
      </x:c>
      <x:c r="L282" s="87" t="str">
        <x:v>IP-адресация</x:v>
      </x:c>
      <x:c r="M282" s="30" t="str">
        <x:v>Для узла 17.234.25.1 и маски 255.255.224.0 найдите сумму октетов широковещательного адреса.</x:v>
      </x:c>
      <x:c r="N282" s="30" t="str">
        <x:v>537</x:v>
      </x:c>
      <x:c r="O282" s="30" t="str">
        <x:v>Сеть имеет адрес 17.234.0.0/19, широковещательный адрес — 17.234.31.255. Сумма октетов: 17+234+31+255=537.</x:v>
      </x:c>
      <x:c r="P282" s="30" t="str">
        <x:v>Адрес вычислен побитовой операцией с маской и дополнением её нулевой части единицами.</x:v>
      </x:c>
      <x:c r="Q282" s="30"/>
      <x:c r="R282" s="30" t="str">
        <x:v>537</x:v>
      </x:c>
      <x:c r="S282" s="30"/>
      <x:c r="T282" s="30"/>
      <x:c r="U282" s="30" t="str">
        <x:v>Расхождений нет.</x:v>
      </x:c>
      <x:c r="V282" s="87" t="str">
        <x:v>VERIFIED</x:v>
      </x:c>
      <x:c r="W282" s="87" t="n">
        <x:v>11</x:v>
      </x:c>
      <x:c r="X282" s="87"/>
      <x:c r="Y282" s="87"/>
      <x:c r="Z282" s="87"/>
      <x:c r="AA282" s="87"/>
      <x:c r="AB282" s="87"/>
      <x:c r="AC282" s="87"/>
      <x:c r="AD282" s="87"/>
      <x:c r="AE282" s="87"/>
      <x:c r="AF282" s="87"/>
      <x:c r="AG282" s="87"/>
      <x:c r="AH282" s="87"/>
      <x:c r="AI282" s="30"/>
      <x:c r="AJ282" s="87" t="str">
        <x:v>master</x:v>
      </x:c>
      <x:c r="AK282" s="87" t="str">
        <x:v>master-v0.81</x:v>
      </x:c>
      <x:c r="AL282" s="87" t="str">
        <x:v>statgrad_master_base_v0_81_final(2).xlsx</x:v>
      </x:c>
      <x:c r="AM282" s="87" t="str">
        <x:v>INF_Jan_V1</x:v>
      </x:c>
      <x:c r="AN282" s="87" t="n">
        <x:v>14</x:v>
      </x:c>
    </x:row>
    <x:row r="283">
      <x:c r="A283" s="87" t="n">
        <x:v>282</x:v>
      </x:c>
      <x:c r="B283" s="87" t="str">
        <x:v>JAN-INF-V1-014</x:v>
      </x:c>
      <x:c r="C283" s="87" t="str">
        <x:v>СтатГрад</x:v>
      </x:c>
      <x:c r="D283" s="87" t="str">
        <x:v>Январь 2026</x:v>
      </x:c>
      <x:c r="E283" s="87"/>
      <x:c r="F283" s="87"/>
      <x:c r="G283" s="87" t="str">
        <x:v>Информатика</x:v>
      </x:c>
      <x:c r="H283" s="87" t="n">
        <x:v>11</x:v>
      </x:c>
      <x:c r="I283" s="87" t="str">
        <x:v>ТР №3</x:v>
      </x:c>
      <x:c r="J283" s="87" t="str">
        <x:v>ИН2510301</x:v>
      </x:c>
      <x:c r="K283" s="87" t="n">
        <x:v>14</x:v>
      </x:c>
      <x:c r="L283" s="87" t="str">
        <x:v>Системы счисления</x:v>
      </x:c>
      <x:c r="M283" s="30" t="str">
        <x:v>В выражении с основанием 21 найдите наименьшую цифру x, при которой сумма кратна 20, и запишите частное.</x:v>
      </x:c>
      <x:c r="N283" s="30" t="str">
        <x:v>4066120204</x:v>
      </x:c>
      <x:c r="O283" s="30" t="str">
        <x:v>Перебор цифр 0–20 показывает, что минимально подходит x=3. Значение выражения равно 81 322 404 080, частное при делении на 20 — 4 066 120 204.</x:v>
      </x:c>
      <x:c r="P283" s="30" t="str">
        <x:v>Каждое число переведено из системы с основанием 21 позиционным способом.</x:v>
      </x:c>
      <x:c r="Q283" s="30"/>
      <x:c r="R283" s="30" t="str">
        <x:v>4066120204</x:v>
      </x:c>
      <x:c r="S283" s="30"/>
      <x:c r="T283" s="30"/>
      <x:c r="U283" s="30" t="str">
        <x:v>Расхождений нет.</x:v>
      </x:c>
      <x:c r="V283" s="87" t="str">
        <x:v>VERIFIED</x:v>
      </x:c>
      <x:c r="W283" s="87" t="n">
        <x:v>11</x:v>
      </x:c>
      <x:c r="X283" s="87"/>
      <x:c r="Y283" s="87"/>
      <x:c r="Z283" s="87"/>
      <x:c r="AA283" s="87"/>
      <x:c r="AB283" s="87"/>
      <x:c r="AC283" s="87"/>
      <x:c r="AD283" s="87"/>
      <x:c r="AE283" s="87"/>
      <x:c r="AF283" s="87"/>
      <x:c r="AG283" s="87"/>
      <x:c r="AH283" s="87"/>
      <x:c r="AI283" s="30"/>
      <x:c r="AJ283" s="87" t="str">
        <x:v>master</x:v>
      </x:c>
      <x:c r="AK283" s="87" t="str">
        <x:v>master-v0.81</x:v>
      </x:c>
      <x:c r="AL283" s="87" t="str">
        <x:v>statgrad_master_base_v0_81_final(2).xlsx</x:v>
      </x:c>
      <x:c r="AM283" s="87" t="str">
        <x:v>INF_Jan_V1</x:v>
      </x:c>
      <x:c r="AN283" s="87" t="n">
        <x:v>15</x:v>
      </x:c>
    </x:row>
    <x:row r="284">
      <x:c r="A284" s="87" t="n">
        <x:v>283</x:v>
      </x:c>
      <x:c r="B284" s="87" t="str">
        <x:v>JAN-INF-V1-015</x:v>
      </x:c>
      <x:c r="C284" s="87" t="str">
        <x:v>СтатГрад</x:v>
      </x:c>
      <x:c r="D284" s="87" t="str">
        <x:v>Январь 2026</x:v>
      </x:c>
      <x:c r="E284" s="87"/>
      <x:c r="F284" s="87"/>
      <x:c r="G284" s="87" t="str">
        <x:v>Информатика</x:v>
      </x:c>
      <x:c r="H284" s="87" t="n">
        <x:v>11</x:v>
      </x:c>
      <x:c r="I284" s="87" t="str">
        <x:v>ТР №3</x:v>
      </x:c>
      <x:c r="J284" s="87" t="str">
        <x:v>ИН2510301</x:v>
      </x:c>
      <x:c r="K284" s="87" t="n">
        <x:v>15</x:v>
      </x:c>
      <x:c r="L284" s="87" t="str">
        <x:v>Логическое выражение с параметром</x:v>
      </x:c>
      <x:c r="M284" s="30" t="str">
        <x:v>Найдите минимальное неотрицательное A, при котором ((y&lt;A)∧(x&lt;A))∨(89241&lt;5y+x) истинно для всех положительных x и y.</x:v>
      </x:c>
      <x:c r="N284" s="30" t="str">
        <x:v>89237</x:v>
      </x:c>
      <x:c r="O284" s="30" t="str">
        <x:v>Если 5y+x≤89241, должны выполняться x&lt;A и y&lt;A. Наибольшее возможное x достигается при y=1 и равно 89236, поэтому минимально A=89237; ограничение по y слабее.</x:v>
      </x:c>
      <x:c r="P284" s="30" t="str">
        <x:v>Проверена граничная пара (x,y)=(89236,1) и все области, где второе условие ложно.</x:v>
      </x:c>
      <x:c r="Q284" s="30"/>
      <x:c r="R284" s="30" t="str">
        <x:v>89237</x:v>
      </x:c>
      <x:c r="S284" s="30"/>
      <x:c r="T284" s="30"/>
      <x:c r="U284" s="30" t="str">
        <x:v>Расхождений нет.</x:v>
      </x:c>
      <x:c r="V284" s="87" t="str">
        <x:v>VERIFIED</x:v>
      </x:c>
      <x:c r="W284" s="87" t="n">
        <x:v>11</x:v>
      </x:c>
      <x:c r="X284" s="87"/>
      <x:c r="Y284" s="87"/>
      <x:c r="Z284" s="87"/>
      <x:c r="AA284" s="87"/>
      <x:c r="AB284" s="87"/>
      <x:c r="AC284" s="87"/>
      <x:c r="AD284" s="87"/>
      <x:c r="AE284" s="87"/>
      <x:c r="AF284" s="87"/>
      <x:c r="AG284" s="87"/>
      <x:c r="AH284" s="87"/>
      <x:c r="AI284" s="30"/>
      <x:c r="AJ284" s="87" t="str">
        <x:v>master</x:v>
      </x:c>
      <x:c r="AK284" s="87" t="str">
        <x:v>master-v0.81</x:v>
      </x:c>
      <x:c r="AL284" s="87" t="str">
        <x:v>statgrad_master_base_v0_81_final(2).xlsx</x:v>
      </x:c>
      <x:c r="AM284" s="87" t="str">
        <x:v>INF_Jan_V1</x:v>
      </x:c>
      <x:c r="AN284" s="87" t="n">
        <x:v>16</x:v>
      </x:c>
    </x:row>
    <x:row r="285">
      <x:c r="A285" s="87" t="n">
        <x:v>284</x:v>
      </x:c>
      <x:c r="B285" s="87" t="str">
        <x:v>JAN-INF-V1-016</x:v>
      </x:c>
      <x:c r="C285" s="87" t="str">
        <x:v>СтатГрад</x:v>
      </x:c>
      <x:c r="D285" s="87" t="str">
        <x:v>Январь 2026</x:v>
      </x:c>
      <x:c r="E285" s="87"/>
      <x:c r="F285" s="87"/>
      <x:c r="G285" s="87" t="str">
        <x:v>Информатика</x:v>
      </x:c>
      <x:c r="H285" s="87" t="n">
        <x:v>11</x:v>
      </x:c>
      <x:c r="I285" s="87" t="str">
        <x:v>ТР №3</x:v>
      </x:c>
      <x:c r="J285" s="87" t="str">
        <x:v>ИН2510301</x:v>
      </x:c>
      <x:c r="K285" s="87" t="n">
        <x:v>16</x:v>
      </x:c>
      <x:c r="L285" s="87" t="str">
        <x:v>Рекурсивные функции</x:v>
      </x:c>
      <x:c r="M285" s="30" t="str">
        <x:v>Вычислите F(913) для заданных взаимосвязанных рекурсивных функций F и G.</x:v>
      </x:c>
      <x:c r="N285" s="30" t="str">
        <x:v>2703080</x:v>
      </x:c>
      <x:c r="O285" s="30" t="str">
        <x:v>Рекурсия F уменьшается шагами по 4 до аргумента меньше 20, накапливая по 4620. Вызов G затем сводится к первому аргументу не меньше 384242 шагами по 41 с добавлением 12; итог равен 2 703 080.</x:v>
      </x:c>
      <x:c r="P285" s="30" t="str">
        <x:v>Рекурсии преобразованы в эквивалентные арифметические формулы и дополнительно проверены мемоизированным вычислением.</x:v>
      </x:c>
      <x:c r="Q285" s="30"/>
      <x:c r="R285" s="30" t="str">
        <x:v>2703080</x:v>
      </x:c>
      <x:c r="S285" s="30"/>
      <x:c r="T285" s="30"/>
      <x:c r="U285" s="30" t="str">
        <x:v>Расхождений нет.</x:v>
      </x:c>
      <x:c r="V285" s="87" t="str">
        <x:v>VERIFIED</x:v>
      </x:c>
      <x:c r="W285" s="87" t="n">
        <x:v>12</x:v>
      </x:c>
      <x:c r="X285" s="87"/>
      <x:c r="Y285" s="87"/>
      <x:c r="Z285" s="87"/>
      <x:c r="AA285" s="87"/>
      <x:c r="AB285" s="87"/>
      <x:c r="AC285" s="87"/>
      <x:c r="AD285" s="87"/>
      <x:c r="AE285" s="87"/>
      <x:c r="AF285" s="87"/>
      <x:c r="AG285" s="87"/>
      <x:c r="AH285" s="87"/>
      <x:c r="AI285" s="30"/>
      <x:c r="AJ285" s="87" t="str">
        <x:v>master</x:v>
      </x:c>
      <x:c r="AK285" s="87" t="str">
        <x:v>master-v0.81</x:v>
      </x:c>
      <x:c r="AL285" s="87" t="str">
        <x:v>statgrad_master_base_v0_81_final(2).xlsx</x:v>
      </x:c>
      <x:c r="AM285" s="87" t="str">
        <x:v>INF_Jan_V1</x:v>
      </x:c>
      <x:c r="AN285" s="87" t="n">
        <x:v>17</x:v>
      </x:c>
    </x:row>
    <x:row r="286">
      <x:c r="A286" s="87" t="n">
        <x:v>285</x:v>
      </x:c>
      <x:c r="B286" s="87" t="str">
        <x:v>JAN-INF-V1-017</x:v>
      </x:c>
      <x:c r="C286" s="87" t="str">
        <x:v>СтатГрад</x:v>
      </x:c>
      <x:c r="D286" s="87" t="str">
        <x:v>Январь 2026</x:v>
      </x:c>
      <x:c r="E286" s="87"/>
      <x:c r="F286" s="87"/>
      <x:c r="G286" s="87" t="str">
        <x:v>Информатика</x:v>
      </x:c>
      <x:c r="H286" s="87" t="n">
        <x:v>11</x:v>
      </x:c>
      <x:c r="I286" s="87" t="str">
        <x:v>ТР №3</x:v>
      </x:c>
      <x:c r="J286" s="87" t="str">
        <x:v>ИН2510301</x:v>
      </x:c>
      <x:c r="K286" s="87" t="n">
        <x:v>17</x:v>
      </x:c>
      <x:c r="L286" s="87" t="str">
        <x:v>Последовательность из файла</x:v>
      </x:c>
      <x:c r="M286" s="30" t="str">
        <x:v>Найдите число троек неотрицательных соседних элементов, сумма которых не превышает максимального элемента последовательности, оканчивающегося на 70, и максимальную такую сумму.</x:v>
      </x:c>
      <x:c r="N286" s="30" t="str">
        <x:v>152; 93769</x:v>
      </x:c>
      <x:c r="O286" s="30" t="str">
        <x:v>Максимальный элемент последовательности, оканчивающийся на 70, равен 93770. Среди троек подряд найдено 152 подходящих; наибольшая сумма равна 93769.</x:v>
      </x:c>
      <x:c r="P286" s="30" t="str">
        <x:v>Файл обработан скользящим окном длины 3, граница 93770 вычислена отдельно.</x:v>
      </x:c>
      <x:c r="Q286" s="30"/>
      <x:c r="R286" s="30" t="str">
        <x:v>152; 93769</x:v>
      </x:c>
      <x:c r="S286" s="30"/>
      <x:c r="T286" s="30"/>
      <x:c r="U286" s="30" t="str">
        <x:v>Расхождений нет.</x:v>
      </x:c>
      <x:c r="V286" s="87" t="str">
        <x:v>VERIFIED</x:v>
      </x:c>
      <x:c r="W286" s="87" t="n">
        <x:v>12</x:v>
      </x:c>
      <x:c r="X286" s="87"/>
      <x:c r="Y286" s="87"/>
      <x:c r="Z286" s="87"/>
      <x:c r="AA286" s="87"/>
      <x:c r="AB286" s="87"/>
      <x:c r="AC286" s="87"/>
      <x:c r="AD286" s="87"/>
      <x:c r="AE286" s="87"/>
      <x:c r="AF286" s="87"/>
      <x:c r="AG286" s="87"/>
      <x:c r="AH286" s="87"/>
      <x:c r="AI286" s="30"/>
      <x:c r="AJ286" s="87" t="str">
        <x:v>master</x:v>
      </x:c>
      <x:c r="AK286" s="87" t="str">
        <x:v>master-v0.81</x:v>
      </x:c>
      <x:c r="AL286" s="87" t="str">
        <x:v>statgrad_master_base_v0_81_final(2).xlsx</x:v>
      </x:c>
      <x:c r="AM286" s="87" t="str">
        <x:v>INF_Jan_V1</x:v>
      </x:c>
      <x:c r="AN286" s="87" t="n">
        <x:v>18</x:v>
      </x:c>
    </x:row>
    <x:row r="287">
      <x:c r="A287" s="87" t="n">
        <x:v>286</x:v>
      </x:c>
      <x:c r="B287" s="87" t="str">
        <x:v>JAN-INF-V1-018</x:v>
      </x:c>
      <x:c r="C287" s="87" t="str">
        <x:v>СтатГрад</x:v>
      </x:c>
      <x:c r="D287" s="87" t="str">
        <x:v>Январь 2026</x:v>
      </x:c>
      <x:c r="E287" s="87"/>
      <x:c r="F287" s="87"/>
      <x:c r="G287" s="87" t="str">
        <x:v>Информатика</x:v>
      </x:c>
      <x:c r="H287" s="87" t="n">
        <x:v>11</x:v>
      </x:c>
      <x:c r="I287" s="87" t="str">
        <x:v>ТР №3</x:v>
      </x:c>
      <x:c r="J287" s="87" t="str">
        <x:v>ИН2510301</x:v>
      </x:c>
      <x:c r="K287" s="87" t="n">
        <x:v>18</x:v>
      </x:c>
      <x:c r="L287" s="87" t="str">
        <x:v>Динамическое программирование по таблице</x:v>
      </x:c>
      <x:c r="M287" s="30" t="str">
        <x:v>Робот пять раз идёт из разных клеток-углов в правую нижнюю клетку, двигаясь только вправо и вниз. Найдите максимальную и минимальную суммарные суммы монет.</x:v>
      </x:c>
      <x:c r="N287" s="30" t="str">
        <x:v>8594; 2749</x:v>
      </x:c>
      <x:c r="O287" s="30" t="str">
        <x:v>Из границ ячеек восстановлены внутренние стены и найдены 10 допустимых стартовых углов. Для каждого старта динамическим программированием вычислены минимум и максимум пути; сумма пяти наибольших максимумов равна 8594, пяти наименьших минимумов — 2749.</x:v>
      </x:c>
      <x:c r="P287" s="30" t="str">
        <x:v>Проверены все разрешённые переходы вправо и вниз с учётом границ в ODS.</x:v>
      </x:c>
      <x:c r="Q287" s="30"/>
      <x:c r="R287" s="30" t="str">
        <x:v>8594; 2749</x:v>
      </x:c>
      <x:c r="S287" s="30"/>
      <x:c r="T287" s="30"/>
      <x:c r="U287" s="30" t="str">
        <x:v>Расхождений нет.</x:v>
      </x:c>
      <x:c r="V287" s="87" t="str">
        <x:v>VERIFIED</x:v>
      </x:c>
      <x:c r="W287" s="87" t="n">
        <x:v>13</x:v>
      </x:c>
      <x:c r="X287" s="87"/>
      <x:c r="Y287" s="87"/>
      <x:c r="Z287" s="87"/>
      <x:c r="AA287" s="87"/>
      <x:c r="AB287" s="87"/>
      <x:c r="AC287" s="87"/>
      <x:c r="AD287" s="87"/>
      <x:c r="AE287" s="87"/>
      <x:c r="AF287" s="87"/>
      <x:c r="AG287" s="87"/>
      <x:c r="AH287" s="87"/>
      <x:c r="AI287" s="30"/>
      <x:c r="AJ287" s="87" t="str">
        <x:v>master</x:v>
      </x:c>
      <x:c r="AK287" s="87" t="str">
        <x:v>master-v0.81</x:v>
      </x:c>
      <x:c r="AL287" s="87" t="str">
        <x:v>statgrad_master_base_v0_81_final(2).xlsx</x:v>
      </x:c>
      <x:c r="AM287" s="87" t="str">
        <x:v>INF_Jan_V1</x:v>
      </x:c>
      <x:c r="AN287" s="87" t="n">
        <x:v>19</x:v>
      </x:c>
    </x:row>
    <x:row r="288">
      <x:c r="A288" s="87" t="n">
        <x:v>287</x:v>
      </x:c>
      <x:c r="B288" s="87" t="str">
        <x:v>JAN-INF-V1-019</x:v>
      </x:c>
      <x:c r="C288" s="87" t="str">
        <x:v>СтатГрад</x:v>
      </x:c>
      <x:c r="D288" s="87" t="str">
        <x:v>Январь 2026</x:v>
      </x:c>
      <x:c r="E288" s="87"/>
      <x:c r="F288" s="87"/>
      <x:c r="G288" s="87" t="str">
        <x:v>Информатика</x:v>
      </x:c>
      <x:c r="H288" s="87" t="n">
        <x:v>11</x:v>
      </x:c>
      <x:c r="I288" s="87" t="str">
        <x:v>ТР №3</x:v>
      </x:c>
      <x:c r="J288" s="87" t="str">
        <x:v>ИН2510301</x:v>
      </x:c>
      <x:c r="K288" s="87" t="n">
        <x:v>19</x:v>
      </x:c>
      <x:c r="L288" s="87" t="str">
        <x:v>Теория игр</x:v>
      </x:c>
      <x:c r="M288" s="30" t="str">
        <x:v>Найдите минимальное S: Петя не выигрывает одним ходом, но после любого его хода Ваня выигрывает своим первым ходом.</x:v>
      </x:c>
      <x:c r="N288" s="30" t="str">
        <x:v>4832</x:v>
      </x:c>
      <x:c r="O288" s="30" t="str">
        <x:v>Для S=4832 ни один ход Пети не даёт значение ≤1207. После любого из трёх ходов Пети Ваня может уменьшить кучу до 1207 или меньше.</x:v>
      </x:c>
      <x:c r="P288" s="30" t="str">
        <x:v>Состояния классифицированы рекурсивно как P1, V1, P2 и V2.</x:v>
      </x:c>
      <x:c r="Q288" s="30"/>
      <x:c r="R288" s="30" t="str">
        <x:v>4832</x:v>
      </x:c>
      <x:c r="S288" s="30"/>
      <x:c r="T288" s="30"/>
      <x:c r="U288" s="30" t="str">
        <x:v>Расхождений нет.</x:v>
      </x:c>
      <x:c r="V288" s="87" t="str">
        <x:v>VERIFIED</x:v>
      </x:c>
      <x:c r="W288" s="87" t="n">
        <x:v>14</x:v>
      </x:c>
      <x:c r="X288" s="87"/>
      <x:c r="Y288" s="87"/>
      <x:c r="Z288" s="87"/>
      <x:c r="AA288" s="87"/>
      <x:c r="AB288" s="87"/>
      <x:c r="AC288" s="87"/>
      <x:c r="AD288" s="87"/>
      <x:c r="AE288" s="87"/>
      <x:c r="AF288" s="87"/>
      <x:c r="AG288" s="87"/>
      <x:c r="AH288" s="87"/>
      <x:c r="AI288" s="30"/>
      <x:c r="AJ288" s="87" t="str">
        <x:v>master</x:v>
      </x:c>
      <x:c r="AK288" s="87" t="str">
        <x:v>master-v0.81</x:v>
      </x:c>
      <x:c r="AL288" s="87" t="str">
        <x:v>statgrad_master_base_v0_81_final(2).xlsx</x:v>
      </x:c>
      <x:c r="AM288" s="87" t="str">
        <x:v>INF_Jan_V1</x:v>
      </x:c>
      <x:c r="AN288" s="87" t="n">
        <x:v>20</x:v>
      </x:c>
    </x:row>
    <x:row r="289">
      <x:c r="A289" s="87" t="n">
        <x:v>288</x:v>
      </x:c>
      <x:c r="B289" s="87" t="str">
        <x:v>JAN-INF-V1-020</x:v>
      </x:c>
      <x:c r="C289" s="87" t="str">
        <x:v>СтатГрад</x:v>
      </x:c>
      <x:c r="D289" s="87" t="str">
        <x:v>Январь 2026</x:v>
      </x:c>
      <x:c r="E289" s="87"/>
      <x:c r="F289" s="87"/>
      <x:c r="G289" s="87" t="str">
        <x:v>Информатика</x:v>
      </x:c>
      <x:c r="H289" s="87" t="n">
        <x:v>11</x:v>
      </x:c>
      <x:c r="I289" s="87" t="str">
        <x:v>ТР №3</x:v>
      </x:c>
      <x:c r="J289" s="87" t="str">
        <x:v>ИН2510301</x:v>
      </x:c>
      <x:c r="K289" s="87" t="n">
        <x:v>20</x:v>
      </x:c>
      <x:c r="L289" s="87" t="str">
        <x:v>Теория игр</x:v>
      </x:c>
      <x:c r="M289" s="30" t="str">
        <x:v>Найдите два наименьших S, при которых Петя не выигрывает сразу, но гарантированно выигрывает своим вторым ходом.</x:v>
      </x:c>
      <x:c r="N289" s="30" t="str">
        <x:v>4835; 4836</x:v>
      </x:c>
      <x:c r="O289" s="30" t="str">
        <x:v>Значения 4835 и 4836 являются первыми позициями типа P2: Петя переводит игру в позицию V1, после любого ответа Вани получает выигрыш одним ходом.</x:v>
      </x:c>
      <x:c r="P289" s="30" t="str">
        <x:v>Проведена полная рекурсивная классификация всех состояний начиная с 1208.</x:v>
      </x:c>
      <x:c r="Q289" s="30"/>
      <x:c r="R289" s="30" t="str">
        <x:v>4835; 4836</x:v>
      </x:c>
      <x:c r="S289" s="30"/>
      <x:c r="T289" s="30"/>
      <x:c r="U289" s="30" t="str">
        <x:v>Расхождений нет.</x:v>
      </x:c>
      <x:c r="V289" s="87" t="str">
        <x:v>VERIFIED</x:v>
      </x:c>
      <x:c r="W289" s="87" t="n">
        <x:v>14</x:v>
      </x:c>
      <x:c r="X289" s="87"/>
      <x:c r="Y289" s="87"/>
      <x:c r="Z289" s="87"/>
      <x:c r="AA289" s="87"/>
      <x:c r="AB289" s="87"/>
      <x:c r="AC289" s="87"/>
      <x:c r="AD289" s="87"/>
      <x:c r="AE289" s="87"/>
      <x:c r="AF289" s="87"/>
      <x:c r="AG289" s="87"/>
      <x:c r="AH289" s="87"/>
      <x:c r="AI289" s="30"/>
      <x:c r="AJ289" s="87" t="str">
        <x:v>master</x:v>
      </x:c>
      <x:c r="AK289" s="87" t="str">
        <x:v>master-v0.81</x:v>
      </x:c>
      <x:c r="AL289" s="87" t="str">
        <x:v>statgrad_master_base_v0_81_final(2).xlsx</x:v>
      </x:c>
      <x:c r="AM289" s="87" t="str">
        <x:v>INF_Jan_V1</x:v>
      </x:c>
      <x:c r="AN289" s="87" t="n">
        <x:v>21</x:v>
      </x:c>
    </x:row>
    <x:row r="290">
      <x:c r="A290" s="87" t="n">
        <x:v>289</x:v>
      </x:c>
      <x:c r="B290" s="87" t="str">
        <x:v>JAN-INF-V1-021</x:v>
      </x:c>
      <x:c r="C290" s="87" t="str">
        <x:v>СтатГрад</x:v>
      </x:c>
      <x:c r="D290" s="87" t="str">
        <x:v>Январь 2026</x:v>
      </x:c>
      <x:c r="E290" s="87"/>
      <x:c r="F290" s="87"/>
      <x:c r="G290" s="87" t="str">
        <x:v>Информатика</x:v>
      </x:c>
      <x:c r="H290" s="87" t="n">
        <x:v>11</x:v>
      </x:c>
      <x:c r="I290" s="87" t="str">
        <x:v>ТР №3</x:v>
      </x:c>
      <x:c r="J290" s="87" t="str">
        <x:v>ИН2510301</x:v>
      </x:c>
      <x:c r="K290" s="87" t="n">
        <x:v>21</x:v>
      </x:c>
      <x:c r="L290" s="87" t="str">
        <x:v>Теория игр</x:v>
      </x:c>
      <x:c r="M290" s="30" t="str">
        <x:v>Найдите минимальное S, при котором Ваня выигрывает первым или вторым ходом при любой игре Пети, но не может гарантировать победу первым ходом.</x:v>
      </x:c>
      <x:c r="N290" s="30" t="str">
        <x:v>4840</x:v>
      </x:c>
      <x:c r="O290" s="30" t="str">
        <x:v>S=4840 — первая позиция типа V2: любой ход Пети оставляет Ване стратегию победы не позднее второго собственного хода, однако существует ход Пети, после которого немедленной победы Вани нет.</x:v>
      </x:c>
      <x:c r="P290" s="30" t="str">
        <x:v>Условие проверено по рекурсивным статусам всех дочерних позиций.</x:v>
      </x:c>
      <x:c r="Q290" s="30"/>
      <x:c r="R290" s="30" t="str">
        <x:v>4840</x:v>
      </x:c>
      <x:c r="S290" s="30"/>
      <x:c r="T290" s="30"/>
      <x:c r="U290" s="30" t="str">
        <x:v>Расхождений нет.</x:v>
      </x:c>
      <x:c r="V290" s="87" t="str">
        <x:v>VERIFIED</x:v>
      </x:c>
      <x:c r="W290" s="87" t="n">
        <x:v>15</x:v>
      </x:c>
      <x:c r="X290" s="87"/>
      <x:c r="Y290" s="87"/>
      <x:c r="Z290" s="87"/>
      <x:c r="AA290" s="87"/>
      <x:c r="AB290" s="87"/>
      <x:c r="AC290" s="87"/>
      <x:c r="AD290" s="87"/>
      <x:c r="AE290" s="87"/>
      <x:c r="AF290" s="87"/>
      <x:c r="AG290" s="87"/>
      <x:c r="AH290" s="87"/>
      <x:c r="AI290" s="30"/>
      <x:c r="AJ290" s="87" t="str">
        <x:v>master</x:v>
      </x:c>
      <x:c r="AK290" s="87" t="str">
        <x:v>master-v0.81</x:v>
      </x:c>
      <x:c r="AL290" s="87" t="str">
        <x:v>statgrad_master_base_v0_81_final(2).xlsx</x:v>
      </x:c>
      <x:c r="AM290" s="87" t="str">
        <x:v>INF_Jan_V1</x:v>
      </x:c>
      <x:c r="AN290" s="87" t="n">
        <x:v>22</x:v>
      </x:c>
    </x:row>
    <x:row r="291">
      <x:c r="A291" s="87" t="n">
        <x:v>290</x:v>
      </x:c>
      <x:c r="B291" s="87" t="str">
        <x:v>JAN-INF-V1-022</x:v>
      </x:c>
      <x:c r="C291" s="87" t="str">
        <x:v>СтатГрад</x:v>
      </x:c>
      <x:c r="D291" s="87" t="str">
        <x:v>Январь 2026</x:v>
      </x:c>
      <x:c r="E291" s="87"/>
      <x:c r="F291" s="87"/>
      <x:c r="G291" s="87" t="str">
        <x:v>Информатика</x:v>
      </x:c>
      <x:c r="H291" s="87" t="n">
        <x:v>11</x:v>
      </x:c>
      <x:c r="I291" s="87" t="str">
        <x:v>ТР №3</x:v>
      </x:c>
      <x:c r="J291" s="87" t="str">
        <x:v>ИН2510301</x:v>
      </x:c>
      <x:c r="K291" s="87" t="n">
        <x:v>22</x:v>
      </x:c>
      <x:c r="L291" s="87" t="str">
        <x:v>Планирование процессов</x:v>
      </x:c>
      <x:c r="M291" s="30" t="str">
        <x:v>При запуске каждого процесса в самое раннее допустимое время найдите максимум процессов, выполняющихся параллельно с процессом 9.</x:v>
      </x:c>
      <x:c r="N291" s="30" t="str">
        <x:v>3</x:v>
      </x:c>
      <x:c r="O291" s="30" t="str">
        <x:v>Процесс 9 выполняется на интервале [16;17). В это время одновременно работают процессы 1, 11 и 23, поэтому максимум без учёта самого процесса 9 равен 3.</x:v>
      </x:c>
      <x:c r="P291" s="30" t="str">
        <x:v>Для каждого процесса рекурсивно вычислены время старта как максимум окончаний зависимостей и время завершения.</x:v>
      </x:c>
      <x:c r="Q291" s="30"/>
      <x:c r="R291" s="30" t="str">
        <x:v>3</x:v>
      </x:c>
      <x:c r="S291" s="30"/>
      <x:c r="T291" s="30"/>
      <x:c r="U291" s="30" t="str">
        <x:v>Расхождений нет.</x:v>
      </x:c>
      <x:c r="V291" s="87" t="str">
        <x:v>VERIFIED</x:v>
      </x:c>
      <x:c r="W291" s="87" t="n">
        <x:v>15</x:v>
      </x:c>
      <x:c r="X291" s="87"/>
      <x:c r="Y291" s="87"/>
      <x:c r="Z291" s="87"/>
      <x:c r="AA291" s="87"/>
      <x:c r="AB291" s="87"/>
      <x:c r="AC291" s="87"/>
      <x:c r="AD291" s="87"/>
      <x:c r="AE291" s="87"/>
      <x:c r="AF291" s="87"/>
      <x:c r="AG291" s="87"/>
      <x:c r="AH291" s="87"/>
      <x:c r="AI291" s="30"/>
      <x:c r="AJ291" s="87" t="str">
        <x:v>master</x:v>
      </x:c>
      <x:c r="AK291" s="87" t="str">
        <x:v>master-v0.81</x:v>
      </x:c>
      <x:c r="AL291" s="87" t="str">
        <x:v>statgrad_master_base_v0_81_final(2).xlsx</x:v>
      </x:c>
      <x:c r="AM291" s="87" t="str">
        <x:v>INF_Jan_V1</x:v>
      </x:c>
      <x:c r="AN291" s="87" t="n">
        <x:v>23</x:v>
      </x:c>
    </x:row>
    <x:row r="292">
      <x:c r="A292" s="87" t="n">
        <x:v>291</x:v>
      </x:c>
      <x:c r="B292" s="87" t="str">
        <x:v>JAN-INF-V1-023</x:v>
      </x:c>
      <x:c r="C292" s="87" t="str">
        <x:v>СтатГрад</x:v>
      </x:c>
      <x:c r="D292" s="87" t="str">
        <x:v>Январь 2026</x:v>
      </x:c>
      <x:c r="E292" s="87"/>
      <x:c r="F292" s="87"/>
      <x:c r="G292" s="87" t="str">
        <x:v>Информатика</x:v>
      </x:c>
      <x:c r="H292" s="87" t="n">
        <x:v>11</x:v>
      </x:c>
      <x:c r="I292" s="87" t="str">
        <x:v>ТР №3</x:v>
      </x:c>
      <x:c r="J292" s="87" t="str">
        <x:v>ИН2510301</x:v>
      </x:c>
      <x:c r="K292" s="87" t="n">
        <x:v>23</x:v>
      </x:c>
      <x:c r="L292" s="87" t="str">
        <x:v>Количество программ</x:v>
      </x:c>
      <x:c r="M292" s="30" t="str">
        <x:v>Сколько программ из команд +2, +3 и ×2 переводят 8 в 48, содержат 14 или 18 и не содержат 17 и 28?</x:v>
      </x:c>
      <x:c r="N292" s="30" t="str">
        <x:v>10800</x:v>
      </x:c>
      <x:c r="O292" s="30" t="str">
        <x:v>Динамическое программирование хранит текущее число и признак посещения 14 или 18. Переходы в 17, 28 и значения больше 48 отбрасываются; сумма допустимых путей равна 10 800.</x:v>
      </x:c>
      <x:c r="P292" s="30" t="str">
        <x:v>Результат проверен мемоизированным рекурсивным подсчётом всех траекторий.</x:v>
      </x:c>
      <x:c r="Q292" s="30"/>
      <x:c r="R292" s="30" t="str">
        <x:v>10800</x:v>
      </x:c>
      <x:c r="S292" s="30"/>
      <x:c r="T292" s="30"/>
      <x:c r="U292" s="30" t="str">
        <x:v>Расхождений нет.</x:v>
      </x:c>
      <x:c r="V292" s="87" t="str">
        <x:v>VERIFIED</x:v>
      </x:c>
      <x:c r="W292" s="87" t="n">
        <x:v>16</x:v>
      </x:c>
      <x:c r="X292" s="87"/>
      <x:c r="Y292" s="87"/>
      <x:c r="Z292" s="87"/>
      <x:c r="AA292" s="87"/>
      <x:c r="AB292" s="87"/>
      <x:c r="AC292" s="87"/>
      <x:c r="AD292" s="87"/>
      <x:c r="AE292" s="87"/>
      <x:c r="AF292" s="87"/>
      <x:c r="AG292" s="87"/>
      <x:c r="AH292" s="87"/>
      <x:c r="AI292" s="30"/>
      <x:c r="AJ292" s="87" t="str">
        <x:v>master</x:v>
      </x:c>
      <x:c r="AK292" s="87" t="str">
        <x:v>master-v0.81</x:v>
      </x:c>
      <x:c r="AL292" s="87" t="str">
        <x:v>statgrad_master_base_v0_81_final(2).xlsx</x:v>
      </x:c>
      <x:c r="AM292" s="87" t="str">
        <x:v>INF_Jan_V1</x:v>
      </x:c>
      <x:c r="AN292" s="87" t="n">
        <x:v>24</x:v>
      </x:c>
    </x:row>
    <x:row r="293">
      <x:c r="A293" s="87" t="n">
        <x:v>292</x:v>
      </x:c>
      <x:c r="B293" s="87" t="str">
        <x:v>JAN-INF-V1-024</x:v>
      </x:c>
      <x:c r="C293" s="87" t="str">
        <x:v>СтатГрад</x:v>
      </x:c>
      <x:c r="D293" s="87" t="str">
        <x:v>Январь 2026</x:v>
      </x:c>
      <x:c r="E293" s="87"/>
      <x:c r="F293" s="87"/>
      <x:c r="G293" s="87" t="str">
        <x:v>Информатика</x:v>
      </x:c>
      <x:c r="H293" s="87" t="n">
        <x:v>11</x:v>
      </x:c>
      <x:c r="I293" s="87" t="str">
        <x:v>ТР №3</x:v>
      </x:c>
      <x:c r="J293" s="87" t="str">
        <x:v>ИН2510301</x:v>
      </x:c>
      <x:c r="K293" s="87" t="n">
        <x:v>24</x:v>
      </x:c>
      <x:c r="L293" s="87" t="str">
        <x:v>Обработка строки</x:v>
      </x:c>
      <x:c r="M293" s="30" t="str">
        <x:v>Найдите минимальную длину подстроки, в которой T встречается ровно 63 раза, гласная — ровно один раз и стоит в конце.</x:v>
      </x:c>
      <x:c r="N293" s="30" t="str">
        <x:v>112</x:v>
      </x:c>
      <x:c r="O293" s="30" t="str">
        <x:v>Строка просмотрена между соседними гласными. Для каждой конечной гласной начало минимальной подстроки ставилось на первую из последних 63 букв T; минимальная найденная длина — 112.</x:v>
      </x:c>
      <x:c r="P293" s="30" t="str">
        <x:v>Проверено, что выбранная подстрока содержит ровно 63 T и ровно одну гласную.</x:v>
      </x:c>
      <x:c r="Q293" s="30"/>
      <x:c r="R293" s="30" t="str">
        <x:v>112</x:v>
      </x:c>
      <x:c r="S293" s="30"/>
      <x:c r="T293" s="30"/>
      <x:c r="U293" s="30" t="str">
        <x:v>Расхождений нет.</x:v>
      </x:c>
      <x:c r="V293" s="87" t="str">
        <x:v>VERIFIED</x:v>
      </x:c>
      <x:c r="W293" s="87" t="n">
        <x:v>16</x:v>
      </x:c>
      <x:c r="X293" s="87"/>
      <x:c r="Y293" s="87"/>
      <x:c r="Z293" s="87"/>
      <x:c r="AA293" s="87"/>
      <x:c r="AB293" s="87"/>
      <x:c r="AC293" s="87"/>
      <x:c r="AD293" s="87"/>
      <x:c r="AE293" s="87"/>
      <x:c r="AF293" s="87"/>
      <x:c r="AG293" s="87"/>
      <x:c r="AH293" s="87"/>
      <x:c r="AI293" s="30"/>
      <x:c r="AJ293" s="87" t="str">
        <x:v>master</x:v>
      </x:c>
      <x:c r="AK293" s="87" t="str">
        <x:v>master-v0.81</x:v>
      </x:c>
      <x:c r="AL293" s="87" t="str">
        <x:v>statgrad_master_base_v0_81_final(2).xlsx</x:v>
      </x:c>
      <x:c r="AM293" s="87" t="str">
        <x:v>INF_Jan_V1</x:v>
      </x:c>
      <x:c r="AN293" s="87" t="n">
        <x:v>25</x:v>
      </x:c>
    </x:row>
    <x:row r="294">
      <x:c r="A294" s="87" t="n">
        <x:v>293</x:v>
      </x:c>
      <x:c r="B294" s="87" t="str">
        <x:v>JAN-INF-V1-025</x:v>
      </x:c>
      <x:c r="C294" s="87" t="str">
        <x:v>СтатГрад</x:v>
      </x:c>
      <x:c r="D294" s="87" t="str">
        <x:v>Январь 2026</x:v>
      </x:c>
      <x:c r="E294" s="87"/>
      <x:c r="F294" s="87"/>
      <x:c r="G294" s="87" t="str">
        <x:v>Информатика</x:v>
      </x:c>
      <x:c r="H294" s="87" t="n">
        <x:v>11</x:v>
      </x:c>
      <x:c r="I294" s="87" t="str">
        <x:v>ТР №3</x:v>
      </x:c>
      <x:c r="J294" s="87" t="str">
        <x:v>ИН2510301</x:v>
      </x:c>
      <x:c r="K294" s="87" t="n">
        <x:v>25</x:v>
      </x:c>
      <x:c r="L294" s="87" t="str">
        <x:v>Делители числа</x:v>
      </x:c>
      <x:c r="M294" s="30" t="str">
        <x:v>Найдите пять наибольших девятизначных чисел, равных сумме количества своих различных натуральных делителей и натурального числа, кратного 23.</x:v>
      </x:c>
      <x:c r="N294" s="30" t="str">
        <x:v>999999690; 999999731; 999999740; 999999789; 999999961</x:v>
      </x:c>
      <x:c r="O294" s="30" t="str">
        <x:v>Для каждого n вычислялось d(n), число делителей, и проверялось (n−d(n)) mod 23=0. Первые пять подходящих чисел при переборе вниз от 999 999 999 затем записаны по возрастанию.</x:v>
      </x:c>
      <x:c r="P294" s="30" t="str">
        <x:v>Количество делителей каждого кандидата получено по разложению на простые множители.</x:v>
      </x:c>
      <x:c r="Q294" s="30"/>
      <x:c r="R294" s="30" t="str">
        <x:v>999999690; 999999731; 999999740; 999999789; 999999961</x:v>
      </x:c>
      <x:c r="S294" s="30"/>
      <x:c r="T294" s="30"/>
      <x:c r="U294" s="30" t="str">
        <x:v>Расхождений нет.</x:v>
      </x:c>
      <x:c r="V294" s="87" t="str">
        <x:v>VERIFIED</x:v>
      </x:c>
      <x:c r="W294" s="87" t="n">
        <x:v>16</x:v>
      </x:c>
      <x:c r="X294" s="87"/>
      <x:c r="Y294" s="87"/>
      <x:c r="Z294" s="87"/>
      <x:c r="AA294" s="87"/>
      <x:c r="AB294" s="87"/>
      <x:c r="AC294" s="87"/>
      <x:c r="AD294" s="87"/>
      <x:c r="AE294" s="87"/>
      <x:c r="AF294" s="87"/>
      <x:c r="AG294" s="87"/>
      <x:c r="AH294" s="87"/>
      <x:c r="AI294" s="30"/>
      <x:c r="AJ294" s="87" t="str">
        <x:v>master</x:v>
      </x:c>
      <x:c r="AK294" s="87" t="str">
        <x:v>master-v0.81</x:v>
      </x:c>
      <x:c r="AL294" s="87" t="str">
        <x:v>statgrad_master_base_v0_81_final(2).xlsx</x:v>
      </x:c>
      <x:c r="AM294" s="87" t="str">
        <x:v>INF_Jan_V1</x:v>
      </x:c>
      <x:c r="AN294" s="87" t="n">
        <x:v>26</x:v>
      </x:c>
    </x:row>
    <x:row r="295">
      <x:c r="A295" s="87" t="n">
        <x:v>294</x:v>
      </x:c>
      <x:c r="B295" s="87" t="str">
        <x:v>JAN-INF-V1-026</x:v>
      </x:c>
      <x:c r="C295" s="87" t="str">
        <x:v>СтатГрад</x:v>
      </x:c>
      <x:c r="D295" s="87" t="str">
        <x:v>Январь 2026</x:v>
      </x:c>
      <x:c r="E295" s="87"/>
      <x:c r="F295" s="87"/>
      <x:c r="G295" s="87" t="str">
        <x:v>Информатика</x:v>
      </x:c>
      <x:c r="H295" s="87" t="n">
        <x:v>11</x:v>
      </x:c>
      <x:c r="I295" s="87" t="str">
        <x:v>ТР №3</x:v>
      </x:c>
      <x:c r="J295" s="87" t="str">
        <x:v>ИН2510301</x:v>
      </x:c>
      <x:c r="K295" s="87" t="n">
        <x:v>26</x:v>
      </x:c>
      <x:c r="L295" s="87" t="str">
        <x:v>Имитационное моделирование</x:v>
      </x:c>
      <x:c r="M295" s="30" t="str">
        <x:v>Смоделируйте работу камеры хранения за первые 15 часов: выбирается свободная ячейка минимальной стоимости, при равенстве — минимального номера.</x:v>
      </x:c>
      <x:c r="N295" s="30" t="str">
        <x:v>78914; 3</x:v>
      </x:c>
      <x:c r="O295" s="30" t="str">
        <x:v>Заявки отсортированы по паре «время сдачи, срок хранения». Перед каждой заявкой освобождены ячейки с временем окончания не позже времени сдачи; сумма стоимостей принятых багажей равна 78 914, последний багаж размещён в ячейке 3.</x:v>
      </x:c>
      <x:c r="P295" s="30" t="str">
        <x:v>Результат воспроизведён очередью освобождений и множеством свободных ячеек.</x:v>
      </x:c>
      <x:c r="Q295" s="30"/>
      <x:c r="R295" s="30" t="str">
        <x:v>78914; 3</x:v>
      </x:c>
      <x:c r="S295" s="30"/>
      <x:c r="T295" s="30"/>
      <x:c r="U295" s="30" t="str">
        <x:v>В условии не задан порядок обработки заявок с одинаковым временем. Официальный результат получается при сортировке таких заявок по возрастанию срока хранения.</x:v>
      </x:c>
      <x:c r="V295" s="87" t="str">
        <x:v>AMBIGUOUS</x:v>
      </x:c>
      <x:c r="W295" s="87" t="n">
        <x:v>17</x:v>
      </x:c>
      <x:c r="X295" s="87"/>
      <x:c r="Y295" s="87"/>
      <x:c r="Z295" s="87"/>
      <x:c r="AA295" s="87"/>
      <x:c r="AB295" s="87"/>
      <x:c r="AC295" s="87"/>
      <x:c r="AD295" s="87"/>
      <x:c r="AE295" s="87"/>
      <x:c r="AF295" s="87"/>
      <x:c r="AG295" s="87"/>
      <x:c r="AH295" s="87"/>
      <x:c r="AI295" s="30"/>
      <x:c r="AJ295" s="87" t="str">
        <x:v>master</x:v>
      </x:c>
      <x:c r="AK295" s="87" t="str">
        <x:v>master-v0.81</x:v>
      </x:c>
      <x:c r="AL295" s="87" t="str">
        <x:v>statgrad_master_base_v0_81_final(2).xlsx</x:v>
      </x:c>
      <x:c r="AM295" s="87" t="str">
        <x:v>INF_Jan_V1</x:v>
      </x:c>
      <x:c r="AN295" s="87" t="n">
        <x:v>27</x:v>
      </x:c>
    </x:row>
    <x:row r="296">
      <x:c r="A296" s="87" t="n">
        <x:v>295</x:v>
      </x:c>
      <x:c r="B296" s="87" t="str">
        <x:v>JAN-INF-V1-027</x:v>
      </x:c>
      <x:c r="C296" s="87" t="str">
        <x:v>СтатГрад</x:v>
      </x:c>
      <x:c r="D296" s="87" t="str">
        <x:v>Январь 2026</x:v>
      </x:c>
      <x:c r="E296" s="87"/>
      <x:c r="F296" s="87"/>
      <x:c r="G296" s="87" t="str">
        <x:v>Информатика</x:v>
      </x:c>
      <x:c r="H296" s="87" t="n">
        <x:v>11</x:v>
      </x:c>
      <x:c r="I296" s="87" t="str">
        <x:v>ТР №3</x:v>
      </x:c>
      <x:c r="J296" s="87" t="str">
        <x:v>ИН2510301</x:v>
      </x:c>
      <x:c r="K296" s="87" t="n">
        <x:v>27</x:v>
      </x:c>
      <x:c r="L296" s="87" t="str">
        <x:v>Кластеризация</x:v>
      </x:c>
      <x:c r="M296" s="30" t="str">
        <x:v>Для файла A найдите P1 и P2 по центрам двух кластеров; для файла B — целые части Q1·10000 и Q2·10000 по центрам трёх кластеров.</x:v>
      </x:c>
      <x:c r="N296" s="30" t="str">
        <x:v>5; 189; 261162; 371295</x:v>
      </x:c>
      <x:c r="O296" s="30" t="str">
        <x:v>Кластеры разделены по непересекающимся прямоугольникам, центр каждого выбран как точка с минимальной суммой расстояний до остальных точек кластера. Для A получены P1=5 и P2=189; для B расстояния до (1,7;2,3) дают 261162 и 371295 после умножения и отбрасывания дробной части.</x:v>
      </x:c>
      <x:c r="P296" s="30" t="str">
        <x:v>Медоиды найдены полным перебором точек внутри каждого кластера; строки с дополнительными табуляциями разобраны по двум числовым координатам.</x:v>
      </x:c>
      <x:c r="Q296" s="30"/>
      <x:c r="R296" s="30" t="str">
        <x:v>5; 189; 261162; 371295</x:v>
      </x:c>
      <x:c r="S296" s="30"/>
      <x:c r="T296" s="30"/>
      <x:c r="U296" s="30" t="str">
        <x:v>Расхождений нет.</x:v>
      </x:c>
      <x:c r="V296" s="87" t="str">
        <x:v>VERIFIED</x:v>
      </x:c>
      <x:c r="W296" s="87" t="n">
        <x:v>18</x:v>
      </x:c>
      <x:c r="X296" s="87"/>
      <x:c r="Y296" s="87"/>
      <x:c r="Z296" s="87"/>
      <x:c r="AA296" s="87"/>
      <x:c r="AB296" s="87"/>
      <x:c r="AC296" s="87"/>
      <x:c r="AD296" s="87"/>
      <x:c r="AE296" s="87"/>
      <x:c r="AF296" s="87"/>
      <x:c r="AG296" s="87"/>
      <x:c r="AH296" s="87"/>
      <x:c r="AI296" s="30"/>
      <x:c r="AJ296" s="87" t="str">
        <x:v>master</x:v>
      </x:c>
      <x:c r="AK296" s="87" t="str">
        <x:v>master-v0.81</x:v>
      </x:c>
      <x:c r="AL296" s="87" t="str">
        <x:v>statgrad_master_base_v0_81_final(2).xlsx</x:v>
      </x:c>
      <x:c r="AM296" s="87" t="str">
        <x:v>INF_Jan_V1</x:v>
      </x:c>
      <x:c r="AN296" s="87" t="n">
        <x:v>28</x:v>
      </x:c>
    </x:row>
    <x:row r="297">
      <x:c r="A297" s="87" t="n">
        <x:v>296</x:v>
      </x:c>
      <x:c r="B297" s="87" t="str">
        <x:v>JAN-INF-V2-001</x:v>
      </x:c>
      <x:c r="C297" s="87" t="str">
        <x:v>СтатГрад</x:v>
      </x:c>
      <x:c r="D297" s="87" t="str">
        <x:v>Январь 2026</x:v>
      </x:c>
      <x:c r="E297" s="87"/>
      <x:c r="F297" s="87"/>
      <x:c r="G297" s="87" t="str">
        <x:v>Информатика</x:v>
      </x:c>
      <x:c r="H297" s="87" t="n">
        <x:v>11</x:v>
      </x:c>
      <x:c r="I297" s="87" t="str">
        <x:v>ТР №3</x:v>
      </x:c>
      <x:c r="J297" s="87" t="str">
        <x:v>ИН2510302</x:v>
      </x:c>
      <x:c r="K297" s="87" t="n">
        <x:v>1</x:v>
      </x:c>
      <x:c r="L297" s="87" t="str">
        <x:v>Графы</x:v>
      </x:c>
      <x:c r="M297" s="30" t="str">
        <x:v>Сопоставьте буквенный граф с таблицей длин дорог и найдите сумму длин дорог G–E и B–C.</x:v>
      </x:c>
      <x:c r="N297" s="30" t="str">
        <x:v>58</x:v>
      </x:c>
      <x:c r="O297" s="30" t="str">
        <x:v>Граф допускает два зеркально-симметричных сопоставления. В обоих случаях дорогам G–E и B–C соответствуют длины 13 и 45 в разном порядке, поэтому сумма равна 58.</x:v>
      </x:c>
      <x:c r="P297" s="30" t="str">
        <x:v>Перебраны все 7! соответствий вершин; найдено два допустимых изоморфизма, оба дают 58.</x:v>
      </x:c>
      <x:c r="Q297" s="30"/>
      <x:c r="R297" s="30" t="str">
        <x:v>58</x:v>
      </x:c>
      <x:c r="S297" s="30"/>
      <x:c r="T297" s="30"/>
      <x:c r="U297" s="30" t="str">
        <x:v>Расхождений нет.</x:v>
      </x:c>
      <x:c r="V297" s="87" t="str">
        <x:v>VERIFIED</x:v>
      </x:c>
      <x:c r="W297" s="87" t="n">
        <x:v>3</x:v>
      </x:c>
      <x:c r="X297" s="87"/>
      <x:c r="Y297" s="87"/>
      <x:c r="Z297" s="87"/>
      <x:c r="AA297" s="87"/>
      <x:c r="AB297" s="87"/>
      <x:c r="AC297" s="87"/>
      <x:c r="AD297" s="87"/>
      <x:c r="AE297" s="87"/>
      <x:c r="AF297" s="87"/>
      <x:c r="AG297" s="87"/>
      <x:c r="AH297" s="87"/>
      <x:c r="AI297" s="30"/>
      <x:c r="AJ297" s="87" t="str">
        <x:v>master</x:v>
      </x:c>
      <x:c r="AK297" s="87" t="str">
        <x:v>master-v0.81</x:v>
      </x:c>
      <x:c r="AL297" s="87" t="str">
        <x:v>statgrad_master_base_v0_81_final(2).xlsx</x:v>
      </x:c>
      <x:c r="AM297" s="87" t="str">
        <x:v>INF_Jan_V2</x:v>
      </x:c>
      <x:c r="AN297" s="87" t="n">
        <x:v>2</x:v>
      </x:c>
    </x:row>
    <x:row r="298">
      <x:c r="A298" s="87" t="n">
        <x:v>297</x:v>
      </x:c>
      <x:c r="B298" s="87" t="str">
        <x:v>JAN-INF-V2-002</x:v>
      </x:c>
      <x:c r="C298" s="87" t="str">
        <x:v>СтатГрад</x:v>
      </x:c>
      <x:c r="D298" s="87" t="str">
        <x:v>Январь 2026</x:v>
      </x:c>
      <x:c r="E298" s="87"/>
      <x:c r="F298" s="87"/>
      <x:c r="G298" s="87" t="str">
        <x:v>Информатика</x:v>
      </x:c>
      <x:c r="H298" s="87" t="n">
        <x:v>11</x:v>
      </x:c>
      <x:c r="I298" s="87" t="str">
        <x:v>ТР №3</x:v>
      </x:c>
      <x:c r="J298" s="87" t="str">
        <x:v>ИН2510302</x:v>
      </x:c>
      <x:c r="K298" s="87" t="n">
        <x:v>2</x:v>
      </x:c>
      <x:c r="L298" s="87" t="str">
        <x:v>Логика: таблица истинности</x:v>
      </x:c>
      <x:c r="M298" s="30" t="str">
        <x:v>По фрагменту таблицы функции ¬x ∨ ((w → y) → z) определите порядок столбцов переменных.</x:v>
      </x:c>
      <x:c r="N298" s="30" t="str">
        <x:v>wxyz</x:v>
      </x:c>
      <x:c r="O298" s="30" t="str">
        <x:v>Условие F=0 требует x=1, z=0 и истинности импликации w→y. Единственное расположение столбцов, при котором можно получить три различные заданные строки, — w, x, y, z.</x:v>
      </x:c>
      <x:c r="P298" s="30" t="str">
        <x:v>Проверены все 24 перестановки переменных и все допустимые заполнения пустых клеток.</x:v>
      </x:c>
      <x:c r="Q298" s="30"/>
      <x:c r="R298" s="30" t="str">
        <x:v>wxyz</x:v>
      </x:c>
      <x:c r="S298" s="30"/>
      <x:c r="T298" s="30"/>
      <x:c r="U298" s="30" t="str">
        <x:v>Расхождений нет.</x:v>
      </x:c>
      <x:c r="V298" s="87" t="str">
        <x:v>VERIFIED</x:v>
      </x:c>
      <x:c r="W298" s="87" t="n">
        <x:v>4</x:v>
      </x:c>
      <x:c r="X298" s="87"/>
      <x:c r="Y298" s="87"/>
      <x:c r="Z298" s="87"/>
      <x:c r="AA298" s="87"/>
      <x:c r="AB298" s="87"/>
      <x:c r="AC298" s="87"/>
      <x:c r="AD298" s="87"/>
      <x:c r="AE298" s="87"/>
      <x:c r="AF298" s="87"/>
      <x:c r="AG298" s="87"/>
      <x:c r="AH298" s="87"/>
      <x:c r="AI298" s="30"/>
      <x:c r="AJ298" s="87" t="str">
        <x:v>master</x:v>
      </x:c>
      <x:c r="AK298" s="87" t="str">
        <x:v>master-v0.81</x:v>
      </x:c>
      <x:c r="AL298" s="87" t="str">
        <x:v>statgrad_master_base_v0_81_final(2).xlsx</x:v>
      </x:c>
      <x:c r="AM298" s="87" t="str">
        <x:v>INF_Jan_V2</x:v>
      </x:c>
      <x:c r="AN298" s="87" t="n">
        <x:v>3</x:v>
      </x:c>
    </x:row>
    <x:row r="299">
      <x:c r="A299" s="87" t="n">
        <x:v>298</x:v>
      </x:c>
      <x:c r="B299" s="87" t="str">
        <x:v>JAN-INF-V2-003</x:v>
      </x:c>
      <x:c r="C299" s="87" t="str">
        <x:v>СтатГрад</x:v>
      </x:c>
      <x:c r="D299" s="87" t="str">
        <x:v>Январь 2026</x:v>
      </x:c>
      <x:c r="E299" s="87"/>
      <x:c r="F299" s="87"/>
      <x:c r="G299" s="87" t="str">
        <x:v>Информатика</x:v>
      </x:c>
      <x:c r="H299" s="87" t="n">
        <x:v>11</x:v>
      </x:c>
      <x:c r="I299" s="87" t="str">
        <x:v>ТР №3</x:v>
      </x:c>
      <x:c r="J299" s="87" t="str">
        <x:v>ИН2510302</x:v>
      </x:c>
      <x:c r="K299" s="87" t="n">
        <x:v>3</x:v>
      </x:c>
      <x:c r="L299" s="87" t="str">
        <x:v>Базы данных</x:v>
      </x:c>
      <x:c r="M299" s="30" t="str">
        <x:v>Найдите выручку от детских билетов на драмы М. А. Булгакова по дневному или вечернему тарифу зимнего сезона.</x:v>
      </x:c>
      <x:c r="N299" s="30" t="str">
        <x:v>24950</x:v>
      </x:c>
      <x:c r="O299" s="30" t="str">
        <x:v>Три таблицы связаны по коду спектакля и ID тарифа. После отбора автора, жанра и двух зимних тарифов стоимость детского билета умножена на количество проданных детских билетов; сумма равна 24 950 руб.</x:v>
      </x:c>
      <x:c r="P299" s="30" t="str">
        <x:v>Обработаны все 6502 записи продаж; условию соответствуют 54 операции.</x:v>
      </x:c>
      <x:c r="Q299" s="30"/>
      <x:c r="R299" s="30" t="str">
        <x:v>24950</x:v>
      </x:c>
      <x:c r="S299" s="30"/>
      <x:c r="T299" s="30"/>
      <x:c r="U299" s="30" t="str">
        <x:v>Расхождений нет.</x:v>
      </x:c>
      <x:c r="V299" s="87" t="str">
        <x:v>VERIFIED</x:v>
      </x:c>
      <x:c r="W299" s="87" t="n">
        <x:v>5</x:v>
      </x:c>
      <x:c r="X299" s="87"/>
      <x:c r="Y299" s="87"/>
      <x:c r="Z299" s="87"/>
      <x:c r="AA299" s="87"/>
      <x:c r="AB299" s="87"/>
      <x:c r="AC299" s="87"/>
      <x:c r="AD299" s="87"/>
      <x:c r="AE299" s="87"/>
      <x:c r="AF299" s="87"/>
      <x:c r="AG299" s="87"/>
      <x:c r="AH299" s="87"/>
      <x:c r="AI299" s="30"/>
      <x:c r="AJ299" s="87" t="str">
        <x:v>master</x:v>
      </x:c>
      <x:c r="AK299" s="87" t="str">
        <x:v>master-v0.81</x:v>
      </x:c>
      <x:c r="AL299" s="87" t="str">
        <x:v>statgrad_master_base_v0_81_final(2).xlsx</x:v>
      </x:c>
      <x:c r="AM299" s="87" t="str">
        <x:v>INF_Jan_V2</x:v>
      </x:c>
      <x:c r="AN299" s="87" t="n">
        <x:v>4</x:v>
      </x:c>
    </x:row>
    <x:row r="300">
      <x:c r="A300" s="87" t="n">
        <x:v>299</x:v>
      </x:c>
      <x:c r="B300" s="87" t="str">
        <x:v>JAN-INF-V2-004</x:v>
      </x:c>
      <x:c r="C300" s="87" t="str">
        <x:v>СтатГрад</x:v>
      </x:c>
      <x:c r="D300" s="87" t="str">
        <x:v>Январь 2026</x:v>
      </x:c>
      <x:c r="E300" s="87"/>
      <x:c r="F300" s="87"/>
      <x:c r="G300" s="87" t="str">
        <x:v>Информатика</x:v>
      </x:c>
      <x:c r="H300" s="87" t="n">
        <x:v>11</x:v>
      </x:c>
      <x:c r="I300" s="87" t="str">
        <x:v>ТР №3</x:v>
      </x:c>
      <x:c r="J300" s="87" t="str">
        <x:v>ИН2510302</x:v>
      </x:c>
      <x:c r="K300" s="87" t="n">
        <x:v>4</x:v>
      </x:c>
      <x:c r="L300" s="87" t="str">
        <x:v>Кодирование Фано</x:v>
      </x:c>
      <x:c r="M300" s="30" t="str">
        <x:v>Для кодов цифр 3=110, 4=011, 5=10 добавьте коды четырёх арифметических знаков с минимальной суммарной длиной.</x:v>
      </x:c>
      <x:c r="N300" s="30" t="str">
        <x:v>12</x:v>
      </x:c>
      <x:c r="O300" s="30" t="str">
        <x:v>Например, можно взять коды 000, 001, 010 и 111: все семь слов удовлетворяют условию Фано, а сумма длин равна 12. Получить сумму меньше нельзя из-за уже занятых ветвей префиксного дерева.</x:v>
      </x:c>
      <x:c r="P300" s="30" t="str">
        <x:v>Построено префиксное дерево; проверена минимальность набора длин 3+3+3+3.</x:v>
      </x:c>
      <x:c r="Q300" s="30"/>
      <x:c r="R300" s="30" t="str">
        <x:v>12</x:v>
      </x:c>
      <x:c r="S300" s="30"/>
      <x:c r="T300" s="30"/>
      <x:c r="U300" s="30" t="str">
        <x:v>Расхождений нет.</x:v>
      </x:c>
      <x:c r="V300" s="87" t="str">
        <x:v>VERIFIED</x:v>
      </x:c>
      <x:c r="W300" s="87" t="n">
        <x:v>6</x:v>
      </x:c>
      <x:c r="X300" s="87"/>
      <x:c r="Y300" s="87"/>
      <x:c r="Z300" s="87"/>
      <x:c r="AA300" s="87"/>
      <x:c r="AB300" s="87"/>
      <x:c r="AC300" s="87"/>
      <x:c r="AD300" s="87"/>
      <x:c r="AE300" s="87"/>
      <x:c r="AF300" s="87"/>
      <x:c r="AG300" s="87"/>
      <x:c r="AH300" s="87"/>
      <x:c r="AI300" s="30"/>
      <x:c r="AJ300" s="87" t="str">
        <x:v>master</x:v>
      </x:c>
      <x:c r="AK300" s="87" t="str">
        <x:v>master-v0.81</x:v>
      </x:c>
      <x:c r="AL300" s="87" t="str">
        <x:v>statgrad_master_base_v0_81_final(2).xlsx</x:v>
      </x:c>
      <x:c r="AM300" s="87" t="str">
        <x:v>INF_Jan_V2</x:v>
      </x:c>
      <x:c r="AN300" s="87" t="n">
        <x:v>5</x:v>
      </x:c>
    </x:row>
    <x:row r="301">
      <x:c r="A301" s="87" t="n">
        <x:v>300</x:v>
      </x:c>
      <x:c r="B301" s="87" t="str">
        <x:v>JAN-INF-V2-005</x:v>
      </x:c>
      <x:c r="C301" s="87" t="str">
        <x:v>СтатГрад</x:v>
      </x:c>
      <x:c r="D301" s="87" t="str">
        <x:v>Январь 2026</x:v>
      </x:c>
      <x:c r="E301" s="87"/>
      <x:c r="F301" s="87"/>
      <x:c r="G301" s="87" t="str">
        <x:v>Информатика</x:v>
      </x:c>
      <x:c r="H301" s="87" t="n">
        <x:v>11</x:v>
      </x:c>
      <x:c r="I301" s="87" t="str">
        <x:v>ТР №3</x:v>
      </x:c>
      <x:c r="J301" s="87" t="str">
        <x:v>ИН2510302</x:v>
      </x:c>
      <x:c r="K301" s="87" t="n">
        <x:v>5</x:v>
      </x:c>
      <x:c r="L301" s="87" t="str">
        <x:v>Алгоритм с троичной записью</x:v>
      </x:c>
      <x:c r="M301" s="30" t="str">
        <x:v>Найдите результат R, ближайший к 910, среди значений алгоритма обработки троичной записи натурального N.</x:v>
      </x:c>
      <x:c r="N301" s="30" t="str">
        <x:v>921</x:v>
      </x:c>
      <x:c r="O301" s="30" t="str">
        <x:v>Для N=102 троичная запись равна 10210₃. После дописывания по правилу получается R=921; расстояние до 910 равно 11 и является минимальным.</x:v>
      </x:c>
      <x:c r="P301" s="30" t="str">
        <x:v>Выполнен полный перебор натуральных N в диапазоне, покрывающем все ближайшие результаты.</x:v>
      </x:c>
      <x:c r="Q301" s="30"/>
      <x:c r="R301" s="30" t="str">
        <x:v>921</x:v>
      </x:c>
      <x:c r="S301" s="30"/>
      <x:c r="T301" s="30"/>
      <x:c r="U301" s="30" t="str">
        <x:v>Расхождений нет.</x:v>
      </x:c>
      <x:c r="V301" s="87" t="str">
        <x:v>VERIFIED</x:v>
      </x:c>
      <x:c r="W301" s="87" t="n">
        <x:v>6</x:v>
      </x:c>
      <x:c r="X301" s="87"/>
      <x:c r="Y301" s="87"/>
      <x:c r="Z301" s="87"/>
      <x:c r="AA301" s="87"/>
      <x:c r="AB301" s="87"/>
      <x:c r="AC301" s="87"/>
      <x:c r="AD301" s="87"/>
      <x:c r="AE301" s="87"/>
      <x:c r="AF301" s="87"/>
      <x:c r="AG301" s="87"/>
      <x:c r="AH301" s="87"/>
      <x:c r="AI301" s="30"/>
      <x:c r="AJ301" s="87" t="str">
        <x:v>master</x:v>
      </x:c>
      <x:c r="AK301" s="87" t="str">
        <x:v>master-v0.81</x:v>
      </x:c>
      <x:c r="AL301" s="87" t="str">
        <x:v>statgrad_master_base_v0_81_final(2).xlsx</x:v>
      </x:c>
      <x:c r="AM301" s="87" t="str">
        <x:v>INF_Jan_V2</x:v>
      </x:c>
      <x:c r="AN301" s="87" t="n">
        <x:v>6</x:v>
      </x:c>
    </x:row>
    <x:row r="302">
      <x:c r="A302" s="87" t="n">
        <x:v>301</x:v>
      </x:c>
      <x:c r="B302" s="87" t="str">
        <x:v>JAN-INF-V2-006</x:v>
      </x:c>
      <x:c r="C302" s="87" t="str">
        <x:v>СтатГрад</x:v>
      </x:c>
      <x:c r="D302" s="87" t="str">
        <x:v>Январь 2026</x:v>
      </x:c>
      <x:c r="E302" s="87"/>
      <x:c r="F302" s="87"/>
      <x:c r="G302" s="87" t="str">
        <x:v>Информатика</x:v>
      </x:c>
      <x:c r="H302" s="87" t="n">
        <x:v>11</x:v>
      </x:c>
      <x:c r="I302" s="87" t="str">
        <x:v>ТР №3</x:v>
      </x:c>
      <x:c r="J302" s="87" t="str">
        <x:v>ИН2510302</x:v>
      </x:c>
      <x:c r="K302" s="87" t="n">
        <x:v>6</x:v>
      </x:c>
      <x:c r="L302" s="87" t="str">
        <x:v>Черепаха</x:v>
      </x:c>
      <x:c r="M302" s="30" t="str">
        <x:v>Определите периметр фигуры, построенной Черепахой по программе с отрезками 190, 13, 380, 13 и 67.</x:v>
      </x:c>
      <x:c r="N302" s="30" t="str">
        <x:v>1166</x:v>
      </x:c>
      <x:c r="O302" s="30" t="str">
        <x:v>Суммарная длина всех перемещений с опущенным хвостом равна 1233. Последний отрезок длиной 67 полностью проходит по уже нарисованной стороне и второй раз в периметр не входит: 1233−67=1166.</x:v>
      </x:c>
      <x:c r="P302" s="30" t="str">
        <x:v>Координаты всех вершин и совпадение последнего отрезка с существующей линией проверены симуляцией.</x:v>
      </x:c>
      <x:c r="Q302" s="30"/>
      <x:c r="R302" s="30" t="str">
        <x:v>1166</x:v>
      </x:c>
      <x:c r="S302" s="30"/>
      <x:c r="T302" s="30"/>
      <x:c r="U302" s="30" t="str">
        <x:v>Расхождений нет.</x:v>
      </x:c>
      <x:c r="V302" s="87" t="str">
        <x:v>VERIFIED</x:v>
      </x:c>
      <x:c r="W302" s="87" t="n">
        <x:v>7</x:v>
      </x:c>
      <x:c r="X302" s="87"/>
      <x:c r="Y302" s="87"/>
      <x:c r="Z302" s="87"/>
      <x:c r="AA302" s="87"/>
      <x:c r="AB302" s="87"/>
      <x:c r="AC302" s="87"/>
      <x:c r="AD302" s="87"/>
      <x:c r="AE302" s="87"/>
      <x:c r="AF302" s="87"/>
      <x:c r="AG302" s="87"/>
      <x:c r="AH302" s="87"/>
      <x:c r="AI302" s="30"/>
      <x:c r="AJ302" s="87" t="str">
        <x:v>master</x:v>
      </x:c>
      <x:c r="AK302" s="87" t="str">
        <x:v>master-v0.81</x:v>
      </x:c>
      <x:c r="AL302" s="87" t="str">
        <x:v>statgrad_master_base_v0_81_final(2).xlsx</x:v>
      </x:c>
      <x:c r="AM302" s="87" t="str">
        <x:v>INF_Jan_V2</x:v>
      </x:c>
      <x:c r="AN302" s="87" t="n">
        <x:v>7</x:v>
      </x:c>
    </x:row>
    <x:row r="303">
      <x:c r="A303" s="87" t="n">
        <x:v>302</x:v>
      </x:c>
      <x:c r="B303" s="87" t="str">
        <x:v>JAN-INF-V2-007</x:v>
      </x:c>
      <x:c r="C303" s="87" t="str">
        <x:v>СтатГрад</x:v>
      </x:c>
      <x:c r="D303" s="87" t="str">
        <x:v>Январь 2026</x:v>
      </x:c>
      <x:c r="E303" s="87"/>
      <x:c r="F303" s="87"/>
      <x:c r="G303" s="87" t="str">
        <x:v>Информатика</x:v>
      </x:c>
      <x:c r="H303" s="87" t="n">
        <x:v>11</x:v>
      </x:c>
      <x:c r="I303" s="87" t="str">
        <x:v>ТР №3</x:v>
      </x:c>
      <x:c r="J303" s="87" t="str">
        <x:v>ИН2510302</x:v>
      </x:c>
      <x:c r="K303" s="87" t="n">
        <x:v>7</x:v>
      </x:c>
      <x:c r="L303" s="87" t="str">
        <x:v>Объём информации</x:v>
      </x:c>
      <x:c r="M303" s="30" t="str">
        <x:v>Снимки 2769×872 пикселей, палитра 6386 цветов, пакет 164 снимка, скорость 11 950 908 бит/с. Найдите число полных минут передачи.</x:v>
      </x:c>
      <x:c r="N303" s="30" t="str">
        <x:v>7</x:v>
      </x:c>
      <x:c r="O303" s="30" t="str">
        <x:v>На пиксель требуется ⌈log₂6386⌉=13 бит. Пакет занимает 5 147 858 976 бит и передаётся около 430,75 с, то есть 7 полных минут.</x:v>
      </x:c>
      <x:c r="P303" s="30" t="str">
        <x:v>Размер пересчитан через один снимок, весь пакет и перевод секунд в минуты.</x:v>
      </x:c>
      <x:c r="Q303" s="30"/>
      <x:c r="R303" s="30" t="str">
        <x:v>7</x:v>
      </x:c>
      <x:c r="S303" s="30"/>
      <x:c r="T303" s="30"/>
      <x:c r="U303" s="30" t="str">
        <x:v>Расхождений нет.</x:v>
      </x:c>
      <x:c r="V303" s="87" t="str">
        <x:v>VERIFIED</x:v>
      </x:c>
      <x:c r="W303" s="87" t="n">
        <x:v>7</x:v>
      </x:c>
      <x:c r="X303" s="87"/>
      <x:c r="Y303" s="87"/>
      <x:c r="Z303" s="87"/>
      <x:c r="AA303" s="87"/>
      <x:c r="AB303" s="87"/>
      <x:c r="AC303" s="87"/>
      <x:c r="AD303" s="87"/>
      <x:c r="AE303" s="87"/>
      <x:c r="AF303" s="87"/>
      <x:c r="AG303" s="87"/>
      <x:c r="AH303" s="87"/>
      <x:c r="AI303" s="30"/>
      <x:c r="AJ303" s="87" t="str">
        <x:v>master</x:v>
      </x:c>
      <x:c r="AK303" s="87" t="str">
        <x:v>master-v0.81</x:v>
      </x:c>
      <x:c r="AL303" s="87" t="str">
        <x:v>statgrad_master_base_v0_81_final(2).xlsx</x:v>
      </x:c>
      <x:c r="AM303" s="87" t="str">
        <x:v>INF_Jan_V2</x:v>
      </x:c>
      <x:c r="AN303" s="87" t="n">
        <x:v>8</x:v>
      </x:c>
    </x:row>
    <x:row r="304">
      <x:c r="A304" s="87" t="n">
        <x:v>303</x:v>
      </x:c>
      <x:c r="B304" s="87" t="str">
        <x:v>JAN-INF-V2-008</x:v>
      </x:c>
      <x:c r="C304" s="87" t="str">
        <x:v>СтатГрад</x:v>
      </x:c>
      <x:c r="D304" s="87" t="str">
        <x:v>Январь 2026</x:v>
      </x:c>
      <x:c r="E304" s="87"/>
      <x:c r="F304" s="87"/>
      <x:c r="G304" s="87" t="str">
        <x:v>Информатика</x:v>
      </x:c>
      <x:c r="H304" s="87" t="n">
        <x:v>11</x:v>
      </x:c>
      <x:c r="I304" s="87" t="str">
        <x:v>ТР №3</x:v>
      </x:c>
      <x:c r="J304" s="87" t="str">
        <x:v>ИН2510302</x:v>
      </x:c>
      <x:c r="K304" s="87" t="n">
        <x:v>8</x:v>
      </x:c>
      <x:c r="L304" s="87" t="str">
        <x:v>Комбинаторика слов</x:v>
      </x:c>
      <x:c r="M304" s="30" t="str">
        <x:v>Найдите номер первого нечётного четырёхбуквенного слова, которое не начинается и не заканчивается буквой В и содержит не менее трёх букв Ч.</x:v>
      </x:c>
      <x:c r="N304" s="30" t="str">
        <x:v>805</x:v>
      </x:c>
      <x:c r="O304" s="30" t="str">
        <x:v>В используемом алфавитном порядке буквы идут В, Е, Ж, Х, Ч, Ш, Э, Ю. Первое подходящее слово — ЕЧЧЧ; его порядковый номер равен 805.</x:v>
      </x:c>
      <x:c r="P304" s="30" t="str">
        <x:v>Все 8⁴ слова перебраны в точном лексикографическом порядке.</x:v>
      </x:c>
      <x:c r="Q304" s="30"/>
      <x:c r="R304" s="30" t="str">
        <x:v>805</x:v>
      </x:c>
      <x:c r="S304" s="30"/>
      <x:c r="T304" s="30"/>
      <x:c r="U304" s="30" t="str">
        <x:v>Расхождений нет.</x:v>
      </x:c>
      <x:c r="V304" s="87" t="str">
        <x:v>VERIFIED</x:v>
      </x:c>
      <x:c r="W304" s="87" t="n">
        <x:v>8</x:v>
      </x:c>
      <x:c r="X304" s="87"/>
      <x:c r="Y304" s="87"/>
      <x:c r="Z304" s="87"/>
      <x:c r="AA304" s="87"/>
      <x:c r="AB304" s="87"/>
      <x:c r="AC304" s="87"/>
      <x:c r="AD304" s="87"/>
      <x:c r="AE304" s="87"/>
      <x:c r="AF304" s="87"/>
      <x:c r="AG304" s="87"/>
      <x:c r="AH304" s="87"/>
      <x:c r="AI304" s="30"/>
      <x:c r="AJ304" s="87" t="str">
        <x:v>master</x:v>
      </x:c>
      <x:c r="AK304" s="87" t="str">
        <x:v>master-v0.81</x:v>
      </x:c>
      <x:c r="AL304" s="87" t="str">
        <x:v>statgrad_master_base_v0_81_final(2).xlsx</x:v>
      </x:c>
      <x:c r="AM304" s="87" t="str">
        <x:v>INF_Jan_V2</x:v>
      </x:c>
      <x:c r="AN304" s="87" t="n">
        <x:v>9</x:v>
      </x:c>
    </x:row>
    <x:row r="305">
      <x:c r="A305" s="87" t="n">
        <x:v>304</x:v>
      </x:c>
      <x:c r="B305" s="87" t="str">
        <x:v>JAN-INF-V2-009</x:v>
      </x:c>
      <x:c r="C305" s="87" t="str">
        <x:v>СтатГрад</x:v>
      </x:c>
      <x:c r="D305" s="87" t="str">
        <x:v>Январь 2026</x:v>
      </x:c>
      <x:c r="E305" s="87"/>
      <x:c r="F305" s="87"/>
      <x:c r="G305" s="87" t="str">
        <x:v>Информатика</x:v>
      </x:c>
      <x:c r="H305" s="87" t="n">
        <x:v>11</x:v>
      </x:c>
      <x:c r="I305" s="87" t="str">
        <x:v>ТР №3</x:v>
      </x:c>
      <x:c r="J305" s="87" t="str">
        <x:v>ИН2510302</x:v>
      </x:c>
      <x:c r="K305" s="87" t="n">
        <x:v>9</x:v>
      </x:c>
      <x:c r="L305" s="87" t="str">
        <x:v>Обработка таблицы</x:v>
      </x:c>
      <x:c r="M305" s="30" t="str">
        <x:v>В первой строке, где одно число встречается трижды, другое дважды и сумма неповторяющихся не больше меньшего повторяющегося, найдите модуль меньшего повторяющегося числа.</x:v>
      </x:c>
      <x:c r="N305" s="30" t="str">
        <x:v>21</x:v>
      </x:c>
      <x:c r="O305" s="30" t="str">
        <x:v>Первая подходящая строка имеет номер 75: 406, −21, 406, −21, −21, −699, 319. Меньшее повторяющееся число равно −21, его модуль — 21.</x:v>
      </x:c>
      <x:c r="P305" s="30" t="str">
        <x:v>Проверены строки таблицы по порядку и точные кратности каждого значения.</x:v>
      </x:c>
      <x:c r="Q305" s="30"/>
      <x:c r="R305" s="30" t="str">
        <x:v>21</x:v>
      </x:c>
      <x:c r="S305" s="30"/>
      <x:c r="T305" s="30"/>
      <x:c r="U305" s="30" t="str">
        <x:v>Расхождений нет.</x:v>
      </x:c>
      <x:c r="V305" s="87" t="str">
        <x:v>VERIFIED</x:v>
      </x:c>
      <x:c r="W305" s="87" t="n">
        <x:v>8</x:v>
      </x:c>
      <x:c r="X305" s="87"/>
      <x:c r="Y305" s="87"/>
      <x:c r="Z305" s="87"/>
      <x:c r="AA305" s="87"/>
      <x:c r="AB305" s="87"/>
      <x:c r="AC305" s="87"/>
      <x:c r="AD305" s="87"/>
      <x:c r="AE305" s="87"/>
      <x:c r="AF305" s="87"/>
      <x:c r="AG305" s="87"/>
      <x:c r="AH305" s="87"/>
      <x:c r="AI305" s="30"/>
      <x:c r="AJ305" s="87" t="str">
        <x:v>master</x:v>
      </x:c>
      <x:c r="AK305" s="87" t="str">
        <x:v>master-v0.81</x:v>
      </x:c>
      <x:c r="AL305" s="87" t="str">
        <x:v>statgrad_master_base_v0_81_final(2).xlsx</x:v>
      </x:c>
      <x:c r="AM305" s="87" t="str">
        <x:v>INF_Jan_V2</x:v>
      </x:c>
      <x:c r="AN305" s="87" t="n">
        <x:v>10</x:v>
      </x:c>
    </x:row>
    <x:row r="306">
      <x:c r="A306" s="87" t="n">
        <x:v>305</x:v>
      </x:c>
      <x:c r="B306" s="87" t="str">
        <x:v>JAN-INF-V2-010</x:v>
      </x:c>
      <x:c r="C306" s="87" t="str">
        <x:v>СтатГрад</x:v>
      </x:c>
      <x:c r="D306" s="87" t="str">
        <x:v>Январь 2026</x:v>
      </x:c>
      <x:c r="E306" s="87"/>
      <x:c r="F306" s="87"/>
      <x:c r="G306" s="87" t="str">
        <x:v>Информатика</x:v>
      </x:c>
      <x:c r="H306" s="87" t="n">
        <x:v>11</x:v>
      </x:c>
      <x:c r="I306" s="87" t="str">
        <x:v>ТР №3</x:v>
      </x:c>
      <x:c r="J306" s="87" t="str">
        <x:v>ИН2510302</x:v>
      </x:c>
      <x:c r="K306" s="87" t="n">
        <x:v>10</x:v>
      </x:c>
      <x:c r="L306" s="87" t="str">
        <x:v>Поиск в тексте</x:v>
      </x:c>
      <x:c r="M306" s="30" t="str">
        <x:v>Подсчитайте отдельные слова «За» или «за» в главах IV и XI романа «Отцы и дети», исключая части слов через дефис.</x:v>
      </x:c>
      <x:c r="N306" s="30" t="str">
        <x:v>6</x:v>
      </x:c>
      <x:c r="O306" s="30" t="str">
        <x:v>Текст разделён по заголовкам глав. В главах IV и XI найдено суммарно 6 самостоятельных вхождений «За»/«за»; дефисные сочетания исключены.</x:v>
      </x:c>
      <x:c r="P306" s="30" t="str">
        <x:v>ODT разобран в исходном порядке элементов; применены границы кириллического слова и запрет соседнего дефиса.</x:v>
      </x:c>
      <x:c r="Q306" s="30"/>
      <x:c r="R306" s="30" t="str">
        <x:v>6</x:v>
      </x:c>
      <x:c r="S306" s="30"/>
      <x:c r="T306" s="30"/>
      <x:c r="U306" s="30" t="str">
        <x:v>Расхождений нет.</x:v>
      </x:c>
      <x:c r="V306" s="87" t="str">
        <x:v>VERIFIED</x:v>
      </x:c>
      <x:c r="W306" s="87" t="n">
        <x:v>8</x:v>
      </x:c>
      <x:c r="X306" s="87"/>
      <x:c r="Y306" s="87"/>
      <x:c r="Z306" s="87"/>
      <x:c r="AA306" s="87"/>
      <x:c r="AB306" s="87"/>
      <x:c r="AC306" s="87"/>
      <x:c r="AD306" s="87"/>
      <x:c r="AE306" s="87"/>
      <x:c r="AF306" s="87"/>
      <x:c r="AG306" s="87"/>
      <x:c r="AH306" s="87"/>
      <x:c r="AI306" s="30"/>
      <x:c r="AJ306" s="87" t="str">
        <x:v>master</x:v>
      </x:c>
      <x:c r="AK306" s="87" t="str">
        <x:v>master-v0.81</x:v>
      </x:c>
      <x:c r="AL306" s="87" t="str">
        <x:v>statgrad_master_base_v0_81_final(2).xlsx</x:v>
      </x:c>
      <x:c r="AM306" s="87" t="str">
        <x:v>INF_Jan_V2</x:v>
      </x:c>
      <x:c r="AN306" s="87" t="n">
        <x:v>11</x:v>
      </x:c>
    </x:row>
    <x:row r="307">
      <x:c r="A307" s="87" t="n">
        <x:v>306</x:v>
      </x:c>
      <x:c r="B307" s="87" t="str">
        <x:v>JAN-INF-V2-011</x:v>
      </x:c>
      <x:c r="C307" s="87" t="str">
        <x:v>СтатГрад</x:v>
      </x:c>
      <x:c r="D307" s="87" t="str">
        <x:v>Январь 2026</x:v>
      </x:c>
      <x:c r="E307" s="87"/>
      <x:c r="F307" s="87"/>
      <x:c r="G307" s="87" t="str">
        <x:v>Информатика</x:v>
      </x:c>
      <x:c r="H307" s="87" t="n">
        <x:v>11</x:v>
      </x:c>
      <x:c r="I307" s="87" t="str">
        <x:v>ТР №3</x:v>
      </x:c>
      <x:c r="J307" s="87" t="str">
        <x:v>ИН2510302</x:v>
      </x:c>
      <x:c r="K307" s="87" t="n">
        <x:v>11</x:v>
      </x:c>
      <x:c r="L307" s="87" t="str">
        <x:v>Равномерное кодирование</x:v>
      </x:c>
      <x:c r="M307" s="30" t="str">
        <x:v>Серийный номер использует цифры, строчные латинские буквы и 3164 специальных символа. 243 693 номера занимают более 18 Мбайт. Найдите минимальную длину номера.</x:v>
      </x:c>
      <x:c r="N307" s="30" t="str">
        <x:v>52</x:v>
      </x:c>
      <x:c r="O307" s="30" t="str">
        <x:v>Алфавит содержит 3200 символов, поэтому один символ кодируется 12 битами. При длине 51 номер занимает 77 байт и общий объём ещё не превышает 18 Мбайт; при длине 52 — 78 байт, и порог превышен.</x:v>
      </x:c>
      <x:c r="P307" s="30" t="str">
        <x:v>Проверены две соседние длины с округлением размера каждого номера до целого числа байт.</x:v>
      </x:c>
      <x:c r="Q307" s="30"/>
      <x:c r="R307" s="30" t="str">
        <x:v>52</x:v>
      </x:c>
      <x:c r="S307" s="30"/>
      <x:c r="T307" s="30"/>
      <x:c r="U307" s="30" t="str">
        <x:v>Расхождений нет.</x:v>
      </x:c>
      <x:c r="V307" s="87" t="str">
        <x:v>VERIFIED</x:v>
      </x:c>
      <x:c r="W307" s="87" t="n">
        <x:v>9</x:v>
      </x:c>
      <x:c r="X307" s="87"/>
      <x:c r="Y307" s="87"/>
      <x:c r="Z307" s="87"/>
      <x:c r="AA307" s="87"/>
      <x:c r="AB307" s="87"/>
      <x:c r="AC307" s="87"/>
      <x:c r="AD307" s="87"/>
      <x:c r="AE307" s="87"/>
      <x:c r="AF307" s="87"/>
      <x:c r="AG307" s="87"/>
      <x:c r="AH307" s="87"/>
      <x:c r="AI307" s="30"/>
      <x:c r="AJ307" s="87" t="str">
        <x:v>master</x:v>
      </x:c>
      <x:c r="AK307" s="87" t="str">
        <x:v>master-v0.81</x:v>
      </x:c>
      <x:c r="AL307" s="87" t="str">
        <x:v>statgrad_master_base_v0_81_final(2).xlsx</x:v>
      </x:c>
      <x:c r="AM307" s="87" t="str">
        <x:v>INF_Jan_V2</x:v>
      </x:c>
      <x:c r="AN307" s="87" t="n">
        <x:v>12</x:v>
      </x:c>
    </x:row>
    <x:row r="308">
      <x:c r="A308" s="87" t="n">
        <x:v>307</x:v>
      </x:c>
      <x:c r="B308" s="87" t="str">
        <x:v>JAN-INF-V2-012</x:v>
      </x:c>
      <x:c r="C308" s="87" t="str">
        <x:v>СтатГрад</x:v>
      </x:c>
      <x:c r="D308" s="87" t="str">
        <x:v>Январь 2026</x:v>
      </x:c>
      <x:c r="E308" s="87"/>
      <x:c r="F308" s="87"/>
      <x:c r="G308" s="87" t="str">
        <x:v>Информатика</x:v>
      </x:c>
      <x:c r="H308" s="87" t="n">
        <x:v>11</x:v>
      </x:c>
      <x:c r="I308" s="87" t="str">
        <x:v>ТР №3</x:v>
      </x:c>
      <x:c r="J308" s="87" t="str">
        <x:v>ИН2510302</x:v>
      </x:c>
      <x:c r="K308" s="87" t="n">
        <x:v>12</x:v>
      </x:c>
      <x:c r="L308" s="87" t="str">
        <x:v>Машина Тьюринга</x:v>
      </x:c>
      <x:c r="M308" s="30" t="str">
        <x:v>Выполните программу машины Тьюринга над двоичной записью числа 134287 и переведите результат в десятичную систему.</x:v>
      </x:c>
      <x:c r="N308" s="30" t="str">
        <x:v>3171450</x:v>
      </x:c>
      <x:c r="O308" s="30" t="str">
        <x:v>Программа дописывает слева 1, а справа последовательность 010. Получается 1100000110010001111010₂, что равно 3 171 450.</x:v>
      </x:c>
      <x:c r="P308" s="30" t="str">
        <x:v>Переходы таблицы промоделированы по тактам до команды остановки.</x:v>
      </x:c>
      <x:c r="Q308" s="30"/>
      <x:c r="R308" s="30" t="str">
        <x:v>3171450</x:v>
      </x:c>
      <x:c r="S308" s="30"/>
      <x:c r="T308" s="30"/>
      <x:c r="U308" s="30" t="str">
        <x:v>Расхождений нет.</x:v>
      </x:c>
      <x:c r="V308" s="87" t="str">
        <x:v>VERIFIED</x:v>
      </x:c>
      <x:c r="W308" s="87" t="n">
        <x:v>10</x:v>
      </x:c>
      <x:c r="X308" s="87"/>
      <x:c r="Y308" s="87"/>
      <x:c r="Z308" s="87"/>
      <x:c r="AA308" s="87"/>
      <x:c r="AB308" s="87"/>
      <x:c r="AC308" s="87"/>
      <x:c r="AD308" s="87"/>
      <x:c r="AE308" s="87"/>
      <x:c r="AF308" s="87"/>
      <x:c r="AG308" s="87"/>
      <x:c r="AH308" s="87"/>
      <x:c r="AI308" s="30"/>
      <x:c r="AJ308" s="87" t="str">
        <x:v>master</x:v>
      </x:c>
      <x:c r="AK308" s="87" t="str">
        <x:v>master-v0.81</x:v>
      </x:c>
      <x:c r="AL308" s="87" t="str">
        <x:v>statgrad_master_base_v0_81_final(2).xlsx</x:v>
      </x:c>
      <x:c r="AM308" s="87" t="str">
        <x:v>INF_Jan_V2</x:v>
      </x:c>
      <x:c r="AN308" s="87" t="n">
        <x:v>13</x:v>
      </x:c>
    </x:row>
    <x:row r="309">
      <x:c r="A309" s="87" t="n">
        <x:v>308</x:v>
      </x:c>
      <x:c r="B309" s="87" t="str">
        <x:v>JAN-INF-V2-013</x:v>
      </x:c>
      <x:c r="C309" s="87" t="str">
        <x:v>СтатГрад</x:v>
      </x:c>
      <x:c r="D309" s="87" t="str">
        <x:v>Январь 2026</x:v>
      </x:c>
      <x:c r="E309" s="87"/>
      <x:c r="F309" s="87"/>
      <x:c r="G309" s="87" t="str">
        <x:v>Информатика</x:v>
      </x:c>
      <x:c r="H309" s="87" t="n">
        <x:v>11</x:v>
      </x:c>
      <x:c r="I309" s="87" t="str">
        <x:v>ТР №3</x:v>
      </x:c>
      <x:c r="J309" s="87" t="str">
        <x:v>ИН2510302</x:v>
      </x:c>
      <x:c r="K309" s="87" t="n">
        <x:v>13</x:v>
      </x:c>
      <x:c r="L309" s="87" t="str">
        <x:v>IP-адресация</x:v>
      </x:c>
      <x:c r="M309" s="30" t="str">
        <x:v>Для узла 16.128.15.3 и маски 255.255.224.0 найдите сумму октетов широковещательного адреса.</x:v>
      </x:c>
      <x:c r="N309" s="30" t="str">
        <x:v>430</x:v>
      </x:c>
      <x:c r="O309" s="30" t="str">
        <x:v>Сеть имеет адрес 16.128.0.0/19, широковещательный адрес — 16.128.31.255. Сумма октетов: 16+128+31+255=430.</x:v>
      </x:c>
      <x:c r="P309" s="30" t="str">
        <x:v>Адрес вычислен побитово по маске /19.</x:v>
      </x:c>
      <x:c r="Q309" s="30"/>
      <x:c r="R309" s="30" t="str">
        <x:v>430</x:v>
      </x:c>
      <x:c r="S309" s="30"/>
      <x:c r="T309" s="30"/>
      <x:c r="U309" s="30" t="str">
        <x:v>Расхождений нет.</x:v>
      </x:c>
      <x:c r="V309" s="87" t="str">
        <x:v>VERIFIED</x:v>
      </x:c>
      <x:c r="W309" s="87" t="n">
        <x:v>11</x:v>
      </x:c>
      <x:c r="X309" s="87"/>
      <x:c r="Y309" s="87"/>
      <x:c r="Z309" s="87"/>
      <x:c r="AA309" s="87"/>
      <x:c r="AB309" s="87"/>
      <x:c r="AC309" s="87"/>
      <x:c r="AD309" s="87"/>
      <x:c r="AE309" s="87"/>
      <x:c r="AF309" s="87"/>
      <x:c r="AG309" s="87"/>
      <x:c r="AH309" s="87"/>
      <x:c r="AI309" s="30"/>
      <x:c r="AJ309" s="87" t="str">
        <x:v>master</x:v>
      </x:c>
      <x:c r="AK309" s="87" t="str">
        <x:v>master-v0.81</x:v>
      </x:c>
      <x:c r="AL309" s="87" t="str">
        <x:v>statgrad_master_base_v0_81_final(2).xlsx</x:v>
      </x:c>
      <x:c r="AM309" s="87" t="str">
        <x:v>INF_Jan_V2</x:v>
      </x:c>
      <x:c r="AN309" s="87" t="n">
        <x:v>14</x:v>
      </x:c>
    </x:row>
    <x:row r="310">
      <x:c r="A310" s="87" t="n">
        <x:v>309</x:v>
      </x:c>
      <x:c r="B310" s="87" t="str">
        <x:v>JAN-INF-V2-014</x:v>
      </x:c>
      <x:c r="C310" s="87" t="str">
        <x:v>СтатГрад</x:v>
      </x:c>
      <x:c r="D310" s="87" t="str">
        <x:v>Январь 2026</x:v>
      </x:c>
      <x:c r="E310" s="87"/>
      <x:c r="F310" s="87"/>
      <x:c r="G310" s="87" t="str">
        <x:v>Информатика</x:v>
      </x:c>
      <x:c r="H310" s="87" t="n">
        <x:v>11</x:v>
      </x:c>
      <x:c r="I310" s="87" t="str">
        <x:v>ТР №3</x:v>
      </x:c>
      <x:c r="J310" s="87" t="str">
        <x:v>ИН2510302</x:v>
      </x:c>
      <x:c r="K310" s="87" t="n">
        <x:v>14</x:v>
      </x:c>
      <x:c r="L310" s="87" t="str">
        <x:v>Системы счисления</x:v>
      </x:c>
      <x:c r="M310" s="30" t="str">
        <x:v>В выражении 635x45₂₁ + 532x3₂₁ + 975x16768₂₁ найдите наименьшую цифру x, при которой сумма кратна 20, и запишите частное.</x:v>
      </x:c>
      <x:c r="N310" s="30" t="str">
        <x:v>17674449812</x:v>
      </x:c>
      <x:c r="O310" s="30" t="str">
        <x:v>Перебор цифр 0–20 показывает, что минимально подходит x=5. Значение выражения равно 353 488 996 240, поэтому частное равно 17 674 449 812.</x:v>
      </x:c>
      <x:c r="P310" s="30" t="str">
        <x:v>Все три числа независимо переведены позиционным способом из системы с основанием 21.</x:v>
      </x:c>
      <x:c r="Q310" s="30"/>
      <x:c r="R310" s="30" t="str">
        <x:v>17674449812</x:v>
      </x:c>
      <x:c r="S310" s="30"/>
      <x:c r="T310" s="30"/>
      <x:c r="U310" s="30" t="str">
        <x:v>Расхождений нет.</x:v>
      </x:c>
      <x:c r="V310" s="87" t="str">
        <x:v>VERIFIED</x:v>
      </x:c>
      <x:c r="W310" s="87" t="n">
        <x:v>11</x:v>
      </x:c>
      <x:c r="X310" s="87"/>
      <x:c r="Y310" s="87"/>
      <x:c r="Z310" s="87"/>
      <x:c r="AA310" s="87"/>
      <x:c r="AB310" s="87"/>
      <x:c r="AC310" s="87"/>
      <x:c r="AD310" s="87"/>
      <x:c r="AE310" s="87"/>
      <x:c r="AF310" s="87"/>
      <x:c r="AG310" s="87"/>
      <x:c r="AH310" s="87"/>
      <x:c r="AI310" s="30"/>
      <x:c r="AJ310" s="87" t="str">
        <x:v>master</x:v>
      </x:c>
      <x:c r="AK310" s="87" t="str">
        <x:v>master-v0.81</x:v>
      </x:c>
      <x:c r="AL310" s="87" t="str">
        <x:v>statgrad_master_base_v0_81_final(2).xlsx</x:v>
      </x:c>
      <x:c r="AM310" s="87" t="str">
        <x:v>INF_Jan_V2</x:v>
      </x:c>
      <x:c r="AN310" s="87" t="n">
        <x:v>15</x:v>
      </x:c>
    </x:row>
    <x:row r="311">
      <x:c r="A311" s="87" t="n">
        <x:v>310</x:v>
      </x:c>
      <x:c r="B311" s="87" t="str">
        <x:v>JAN-INF-V2-015</x:v>
      </x:c>
      <x:c r="C311" s="87" t="str">
        <x:v>СтатГрад</x:v>
      </x:c>
      <x:c r="D311" s="87" t="str">
        <x:v>Январь 2026</x:v>
      </x:c>
      <x:c r="E311" s="87"/>
      <x:c r="F311" s="87"/>
      <x:c r="G311" s="87" t="str">
        <x:v>Информатика</x:v>
      </x:c>
      <x:c r="H311" s="87" t="n">
        <x:v>11</x:v>
      </x:c>
      <x:c r="I311" s="87" t="str">
        <x:v>ТР №3</x:v>
      </x:c>
      <x:c r="J311" s="87" t="str">
        <x:v>ИН2510302</x:v>
      </x:c>
      <x:c r="K311" s="87" t="n">
        <x:v>15</x:v>
      </x:c>
      <x:c r="L311" s="87" t="str">
        <x:v>Логическое выражение с параметром</x:v>
      </x:c>
      <x:c r="M311" s="30" t="str">
        <x:v>Найдите минимальное A, при котором ((y&lt;A)∧(x&lt;A))∨(93147&lt;6y+x) истинно для всех положительных x и y.</x:v>
      </x:c>
      <x:c r="N311" s="30" t="str">
        <x:v>93142</x:v>
      </x:c>
      <x:c r="O311" s="30" t="str">
        <x:v>Когда второе условие ложно, должны выполняться x&lt;A и y&lt;A. Наибольший возможный x достигается при y=1 и равен 93141, поэтому минимально A=93142.</x:v>
      </x:c>
      <x:c r="P311" s="30" t="str">
        <x:v>Граничная пара (x,y)=(93141,1) опровергает A=93141; для A=93142 вся опасная область закрыта.</x:v>
      </x:c>
      <x:c r="Q311" s="30"/>
      <x:c r="R311" s="30" t="str">
        <x:v>93142</x:v>
      </x:c>
      <x:c r="S311" s="30"/>
      <x:c r="T311" s="30"/>
      <x:c r="U311" s="30" t="str">
        <x:v>Расхождений нет.</x:v>
      </x:c>
      <x:c r="V311" s="87" t="str">
        <x:v>VERIFIED</x:v>
      </x:c>
      <x:c r="W311" s="87" t="n">
        <x:v>11</x:v>
      </x:c>
      <x:c r="X311" s="87"/>
      <x:c r="Y311" s="87"/>
      <x:c r="Z311" s="87"/>
      <x:c r="AA311" s="87"/>
      <x:c r="AB311" s="87"/>
      <x:c r="AC311" s="87"/>
      <x:c r="AD311" s="87"/>
      <x:c r="AE311" s="87"/>
      <x:c r="AF311" s="87"/>
      <x:c r="AG311" s="87"/>
      <x:c r="AH311" s="87"/>
      <x:c r="AI311" s="30"/>
      <x:c r="AJ311" s="87" t="str">
        <x:v>master</x:v>
      </x:c>
      <x:c r="AK311" s="87" t="str">
        <x:v>master-v0.81</x:v>
      </x:c>
      <x:c r="AL311" s="87" t="str">
        <x:v>statgrad_master_base_v0_81_final(2).xlsx</x:v>
      </x:c>
      <x:c r="AM311" s="87" t="str">
        <x:v>INF_Jan_V2</x:v>
      </x:c>
      <x:c r="AN311" s="87" t="n">
        <x:v>16</x:v>
      </x:c>
    </x:row>
    <x:row r="312">
      <x:c r="A312" s="87" t="n">
        <x:v>311</x:v>
      </x:c>
      <x:c r="B312" s="87" t="str">
        <x:v>JAN-INF-V2-016</x:v>
      </x:c>
      <x:c r="C312" s="87" t="str">
        <x:v>СтатГрад</x:v>
      </x:c>
      <x:c r="D312" s="87" t="str">
        <x:v>Январь 2026</x:v>
      </x:c>
      <x:c r="E312" s="87"/>
      <x:c r="F312" s="87"/>
      <x:c r="G312" s="87" t="str">
        <x:v>Информатика</x:v>
      </x:c>
      <x:c r="H312" s="87" t="n">
        <x:v>11</x:v>
      </x:c>
      <x:c r="I312" s="87" t="str">
        <x:v>ТР №3</x:v>
      </x:c>
      <x:c r="J312" s="87" t="str">
        <x:v>ИН2510302</x:v>
      </x:c>
      <x:c r="K312" s="87" t="n">
        <x:v>16</x:v>
      </x:c>
      <x:c r="L312" s="87" t="str">
        <x:v>Рекурсивные функции</x:v>
      </x:c>
      <x:c r="M312" s="30" t="str">
        <x:v>Вычислите F(937) для заданных взаимосвязанных функций F и G.</x:v>
      </x:c>
      <x:c r="N312" s="30" t="str">
        <x:v>3396736</x:v>
      </x:c>
      <x:c r="O312" s="30" t="str">
        <x:v>В F аргумент уменьшается на 5 ровно 183 раза, достигая 22. В G аргумент 11 увеличивается на 39 ровно 10151 раз до 395900; подстановка в базовую формулу и последующее накопление дают 3 396 736.</x:v>
      </x:c>
      <x:c r="P312" s="30" t="str">
        <x:v>Рекурсии свёрнуты в арифметические выражения и отдельно проверены точным вычислением.</x:v>
      </x:c>
      <x:c r="Q312" s="30"/>
      <x:c r="R312" s="30" t="str">
        <x:v>3396736</x:v>
      </x:c>
      <x:c r="S312" s="30"/>
      <x:c r="T312" s="30"/>
      <x:c r="U312" s="30" t="str">
        <x:v>Расхождений нет.</x:v>
      </x:c>
      <x:c r="V312" s="87" t="str">
        <x:v>VERIFIED</x:v>
      </x:c>
      <x:c r="W312" s="87" t="n">
        <x:v>12</x:v>
      </x:c>
      <x:c r="X312" s="87"/>
      <x:c r="Y312" s="87"/>
      <x:c r="Z312" s="87"/>
      <x:c r="AA312" s="87"/>
      <x:c r="AB312" s="87"/>
      <x:c r="AC312" s="87"/>
      <x:c r="AD312" s="87"/>
      <x:c r="AE312" s="87"/>
      <x:c r="AF312" s="87"/>
      <x:c r="AG312" s="87"/>
      <x:c r="AH312" s="87"/>
      <x:c r="AI312" s="30"/>
      <x:c r="AJ312" s="87" t="str">
        <x:v>master</x:v>
      </x:c>
      <x:c r="AK312" s="87" t="str">
        <x:v>master-v0.81</x:v>
      </x:c>
      <x:c r="AL312" s="87" t="str">
        <x:v>statgrad_master_base_v0_81_final(2).xlsx</x:v>
      </x:c>
      <x:c r="AM312" s="87" t="str">
        <x:v>INF_Jan_V2</x:v>
      </x:c>
      <x:c r="AN312" s="87" t="n">
        <x:v>17</x:v>
      </x:c>
    </x:row>
    <x:row r="313">
      <x:c r="A313" s="87" t="n">
        <x:v>312</x:v>
      </x:c>
      <x:c r="B313" s="87" t="str">
        <x:v>JAN-INF-V2-017</x:v>
      </x:c>
      <x:c r="C313" s="87" t="str">
        <x:v>СтатГрад</x:v>
      </x:c>
      <x:c r="D313" s="87" t="str">
        <x:v>Январь 2026</x:v>
      </x:c>
      <x:c r="E313" s="87"/>
      <x:c r="F313" s="87"/>
      <x:c r="G313" s="87" t="str">
        <x:v>Информатика</x:v>
      </x:c>
      <x:c r="H313" s="87" t="n">
        <x:v>11</x:v>
      </x:c>
      <x:c r="I313" s="87" t="str">
        <x:v>ТР №3</x:v>
      </x:c>
      <x:c r="J313" s="87" t="str">
        <x:v>ИН2510302</x:v>
      </x:c>
      <x:c r="K313" s="87" t="n">
        <x:v>17</x:v>
      </x:c>
      <x:c r="L313" s="87" t="str">
        <x:v>Последовательность из файла</x:v>
      </x:c>
      <x:c r="M313" s="30" t="str">
        <x:v>Найдите число троек неотрицательных соседних элементов, сумма которых не больше максимального элемента, оканчивающегося на 14, и максимальную такую сумму.</x:v>
      </x:c>
      <x:c r="N313" s="30" t="str">
        <x:v>172; 98810</x:v>
      </x:c>
      <x:c r="O313" s="30" t="str">
        <x:v>Максимальный элемент последовательности, оканчивающийся на 14, равен 98814. Среди троек подряд найдено 172 подходящих; наибольшая сумма равна 98810.</x:v>
      </x:c>
      <x:c r="P313" s="30" t="str">
        <x:v>Файл обработан скользящим окном длины 3, а порог 98814 найден отдельным проходом.</x:v>
      </x:c>
      <x:c r="Q313" s="30"/>
      <x:c r="R313" s="30" t="str">
        <x:v>172; 98810</x:v>
      </x:c>
      <x:c r="S313" s="30"/>
      <x:c r="T313" s="30"/>
      <x:c r="U313" s="30" t="str">
        <x:v>Расхождений нет.</x:v>
      </x:c>
      <x:c r="V313" s="87" t="str">
        <x:v>VERIFIED</x:v>
      </x:c>
      <x:c r="W313" s="87" t="n">
        <x:v>12</x:v>
      </x:c>
      <x:c r="X313" s="87"/>
      <x:c r="Y313" s="87"/>
      <x:c r="Z313" s="87"/>
      <x:c r="AA313" s="87"/>
      <x:c r="AB313" s="87"/>
      <x:c r="AC313" s="87"/>
      <x:c r="AD313" s="87"/>
      <x:c r="AE313" s="87"/>
      <x:c r="AF313" s="87"/>
      <x:c r="AG313" s="87"/>
      <x:c r="AH313" s="87"/>
      <x:c r="AI313" s="30"/>
      <x:c r="AJ313" s="87" t="str">
        <x:v>master</x:v>
      </x:c>
      <x:c r="AK313" s="87" t="str">
        <x:v>master-v0.81</x:v>
      </x:c>
      <x:c r="AL313" s="87" t="str">
        <x:v>statgrad_master_base_v0_81_final(2).xlsx</x:v>
      </x:c>
      <x:c r="AM313" s="87" t="str">
        <x:v>INF_Jan_V2</x:v>
      </x:c>
      <x:c r="AN313" s="87" t="n">
        <x:v>18</x:v>
      </x:c>
    </x:row>
    <x:row r="314">
      <x:c r="A314" s="87" t="n">
        <x:v>313</x:v>
      </x:c>
      <x:c r="B314" s="87" t="str">
        <x:v>JAN-INF-V2-018</x:v>
      </x:c>
      <x:c r="C314" s="87" t="str">
        <x:v>СтатГрад</x:v>
      </x:c>
      <x:c r="D314" s="87" t="str">
        <x:v>Январь 2026</x:v>
      </x:c>
      <x:c r="E314" s="87"/>
      <x:c r="F314" s="87"/>
      <x:c r="G314" s="87" t="str">
        <x:v>Информатика</x:v>
      </x:c>
      <x:c r="H314" s="87" t="n">
        <x:v>11</x:v>
      </x:c>
      <x:c r="I314" s="87" t="str">
        <x:v>ТР №3</x:v>
      </x:c>
      <x:c r="J314" s="87" t="str">
        <x:v>ИН2510302</x:v>
      </x:c>
      <x:c r="K314" s="87" t="n">
        <x:v>18</x:v>
      </x:c>
      <x:c r="L314" s="87" t="str">
        <x:v>Динамическое программирование по таблице</x:v>
      </x:c>
      <x:c r="M314" s="30" t="str">
        <x:v>Робот шесть раз идёт из разных угловых клеток в правую нижнюю клетку. Найдите максимальную и минимальную суммарные суммы монет.</x:v>
      </x:c>
      <x:c r="N314" s="30" t="str">
        <x:v>9592; 3724</x:v>
      </x:c>
      <x:c r="O314" s="30" t="str">
        <x:v>Из границ ячеек восстановлены внутренние стены и 10 допустимых стартовых углов. Для каждого старта динамическим программированием найдены минимум и максимум пути; сумма шести наибольших максимумов равна 9592, шести наименьших минимумов — 3724.</x:v>
      </x:c>
      <x:c r="P314" s="30" t="str">
        <x:v>Проверены все разрешённые переходы вправо и вниз с учётом стилей границ ODS.</x:v>
      </x:c>
      <x:c r="Q314" s="30"/>
      <x:c r="R314" s="30" t="str">
        <x:v>9592; 3724</x:v>
      </x:c>
      <x:c r="S314" s="30"/>
      <x:c r="T314" s="30"/>
      <x:c r="U314" s="30" t="str">
        <x:v>Расхождений нет.</x:v>
      </x:c>
      <x:c r="V314" s="87" t="str">
        <x:v>VERIFIED</x:v>
      </x:c>
      <x:c r="W314" s="87" t="n">
        <x:v>13</x:v>
      </x:c>
      <x:c r="X314" s="87"/>
      <x:c r="Y314" s="87"/>
      <x:c r="Z314" s="87"/>
      <x:c r="AA314" s="87"/>
      <x:c r="AB314" s="87"/>
      <x:c r="AC314" s="87"/>
      <x:c r="AD314" s="87"/>
      <x:c r="AE314" s="87"/>
      <x:c r="AF314" s="87"/>
      <x:c r="AG314" s="87"/>
      <x:c r="AH314" s="87"/>
      <x:c r="AI314" s="30"/>
      <x:c r="AJ314" s="87" t="str">
        <x:v>master</x:v>
      </x:c>
      <x:c r="AK314" s="87" t="str">
        <x:v>master-v0.81</x:v>
      </x:c>
      <x:c r="AL314" s="87" t="str">
        <x:v>statgrad_master_base_v0_81_final(2).xlsx</x:v>
      </x:c>
      <x:c r="AM314" s="87" t="str">
        <x:v>INF_Jan_V2</x:v>
      </x:c>
      <x:c r="AN314" s="87" t="n">
        <x:v>19</x:v>
      </x:c>
    </x:row>
    <x:row r="315">
      <x:c r="A315" s="87" t="n">
        <x:v>314</x:v>
      </x:c>
      <x:c r="B315" s="87" t="str">
        <x:v>JAN-INF-V2-019</x:v>
      </x:c>
      <x:c r="C315" s="87" t="str">
        <x:v>СтатГрад</x:v>
      </x:c>
      <x:c r="D315" s="87" t="str">
        <x:v>Январь 2026</x:v>
      </x:c>
      <x:c r="E315" s="87"/>
      <x:c r="F315" s="87"/>
      <x:c r="G315" s="87" t="str">
        <x:v>Информатика</x:v>
      </x:c>
      <x:c r="H315" s="87" t="n">
        <x:v>11</x:v>
      </x:c>
      <x:c r="I315" s="87" t="str">
        <x:v>ТР №3</x:v>
      </x:c>
      <x:c r="J315" s="87" t="str">
        <x:v>ИН2510302</x:v>
      </x:c>
      <x:c r="K315" s="87" t="n">
        <x:v>19</x:v>
      </x:c>
      <x:c r="L315" s="87" t="str">
        <x:v>Теория игр</x:v>
      </x:c>
      <x:c r="M315" s="30" t="str">
        <x:v>Найдите минимальное S: Петя не выигрывает одним ходом, но после любого его хода Ваня выигрывает своим первым ходом. Порог победы — 1243, ходы: −4, −6, деление на 2.</x:v>
      </x:c>
      <x:c r="N315" s="30" t="str">
        <x:v>2488</x:v>
      </x:c>
      <x:c r="O315" s="30" t="str">
        <x:v>При S=2488 Петя ни одним ходом не получает 1243 или меньше. После каждого возможного хода Пети Ваня может своим ходом довести количество камней до порогового значения.</x:v>
      </x:c>
      <x:c r="P315" s="30" t="str">
        <x:v>Все позиции выше 1243 классифицированы рекурсивно.</x:v>
      </x:c>
      <x:c r="Q315" s="30"/>
      <x:c r="R315" s="30" t="str">
        <x:v>2488</x:v>
      </x:c>
      <x:c r="S315" s="30"/>
      <x:c r="T315" s="30"/>
      <x:c r="U315" s="30" t="str">
        <x:v>Расхождений нет.</x:v>
      </x:c>
      <x:c r="V315" s="87" t="str">
        <x:v>VERIFIED</x:v>
      </x:c>
      <x:c r="W315" s="87" t="n">
        <x:v>14</x:v>
      </x:c>
      <x:c r="X315" s="87"/>
      <x:c r="Y315" s="87"/>
      <x:c r="Z315" s="87"/>
      <x:c r="AA315" s="87"/>
      <x:c r="AB315" s="87"/>
      <x:c r="AC315" s="87"/>
      <x:c r="AD315" s="87"/>
      <x:c r="AE315" s="87"/>
      <x:c r="AF315" s="87"/>
      <x:c r="AG315" s="87"/>
      <x:c r="AH315" s="87"/>
      <x:c r="AI315" s="30"/>
      <x:c r="AJ315" s="87" t="str">
        <x:v>master</x:v>
      </x:c>
      <x:c r="AK315" s="87" t="str">
        <x:v>master-v0.81</x:v>
      </x:c>
      <x:c r="AL315" s="87" t="str">
        <x:v>statgrad_master_base_v0_81_final(2).xlsx</x:v>
      </x:c>
      <x:c r="AM315" s="87" t="str">
        <x:v>INF_Jan_V2</x:v>
      </x:c>
      <x:c r="AN315" s="87" t="n">
        <x:v>20</x:v>
      </x:c>
    </x:row>
    <x:row r="316">
      <x:c r="A316" s="87" t="n">
        <x:v>315</x:v>
      </x:c>
      <x:c r="B316" s="87" t="str">
        <x:v>JAN-INF-V2-020</x:v>
      </x:c>
      <x:c r="C316" s="87" t="str">
        <x:v>СтатГрад</x:v>
      </x:c>
      <x:c r="D316" s="87" t="str">
        <x:v>Январь 2026</x:v>
      </x:c>
      <x:c r="E316" s="87"/>
      <x:c r="F316" s="87"/>
      <x:c r="G316" s="87" t="str">
        <x:v>Информатика</x:v>
      </x:c>
      <x:c r="H316" s="87" t="n">
        <x:v>11</x:v>
      </x:c>
      <x:c r="I316" s="87" t="str">
        <x:v>ТР №3</x:v>
      </x:c>
      <x:c r="J316" s="87" t="str">
        <x:v>ИН2510302</x:v>
      </x:c>
      <x:c r="K316" s="87" t="n">
        <x:v>20</x:v>
      </x:c>
      <x:c r="L316" s="87" t="str">
        <x:v>Теория игр</x:v>
      </x:c>
      <x:c r="M316" s="30" t="str">
        <x:v>Найдите два наименьших S, при которых Петя не выигрывает сразу, но гарантированно выигрывает своим вторым ходом.</x:v>
      </x:c>
      <x:c r="N316" s="30" t="str">
        <x:v>2492; 2493</x:v>
      </x:c>
      <x:c r="O316" s="30" t="str">
        <x:v>2492 и 2493 — первые позиции, из которых Петя может перевести игру в состояние, где любой ответ Вани оставляет Пете выигрыш одним ходом.</x:v>
      </x:c>
      <x:c r="P316" s="30" t="str">
        <x:v>Проведена полная классификация игровых позиций P1, V1, P2 и V2.</x:v>
      </x:c>
      <x:c r="Q316" s="30"/>
      <x:c r="R316" s="30" t="str">
        <x:v>2492; 2493</x:v>
      </x:c>
      <x:c r="S316" s="30"/>
      <x:c r="T316" s="30"/>
      <x:c r="U316" s="30" t="str">
        <x:v>Расхождений нет.</x:v>
      </x:c>
      <x:c r="V316" s="87" t="str">
        <x:v>VERIFIED</x:v>
      </x:c>
      <x:c r="W316" s="87" t="n">
        <x:v>14</x:v>
      </x:c>
      <x:c r="X316" s="87"/>
      <x:c r="Y316" s="87"/>
      <x:c r="Z316" s="87"/>
      <x:c r="AA316" s="87"/>
      <x:c r="AB316" s="87"/>
      <x:c r="AC316" s="87"/>
      <x:c r="AD316" s="87"/>
      <x:c r="AE316" s="87"/>
      <x:c r="AF316" s="87"/>
      <x:c r="AG316" s="87"/>
      <x:c r="AH316" s="87"/>
      <x:c r="AI316" s="30"/>
      <x:c r="AJ316" s="87" t="str">
        <x:v>master</x:v>
      </x:c>
      <x:c r="AK316" s="87" t="str">
        <x:v>master-v0.81</x:v>
      </x:c>
      <x:c r="AL316" s="87" t="str">
        <x:v>statgrad_master_base_v0_81_final(2).xlsx</x:v>
      </x:c>
      <x:c r="AM316" s="87" t="str">
        <x:v>INF_Jan_V2</x:v>
      </x:c>
      <x:c r="AN316" s="87" t="n">
        <x:v>21</x:v>
      </x:c>
    </x:row>
    <x:row r="317">
      <x:c r="A317" s="87" t="n">
        <x:v>316</x:v>
      </x:c>
      <x:c r="B317" s="87" t="str">
        <x:v>JAN-INF-V2-021</x:v>
      </x:c>
      <x:c r="C317" s="87" t="str">
        <x:v>СтатГрад</x:v>
      </x:c>
      <x:c r="D317" s="87" t="str">
        <x:v>Январь 2026</x:v>
      </x:c>
      <x:c r="E317" s="87"/>
      <x:c r="F317" s="87"/>
      <x:c r="G317" s="87" t="str">
        <x:v>Информатика</x:v>
      </x:c>
      <x:c r="H317" s="87" t="n">
        <x:v>11</x:v>
      </x:c>
      <x:c r="I317" s="87" t="str">
        <x:v>ТР №3</x:v>
      </x:c>
      <x:c r="J317" s="87" t="str">
        <x:v>ИН2510302</x:v>
      </x:c>
      <x:c r="K317" s="87" t="n">
        <x:v>21</x:v>
      </x:c>
      <x:c r="L317" s="87" t="str">
        <x:v>Теория игр</x:v>
      </x:c>
      <x:c r="M317" s="30" t="str">
        <x:v>Найдите минимальное S, при котором Ваня гарантирует победу первым или вторым ходом, но не может гарантировать победу первым ходом.</x:v>
      </x:c>
      <x:c r="N317" s="30" t="str">
        <x:v>2498</x:v>
      </x:c>
      <x:c r="O317" s="30" t="str">
        <x:v>S=2498 — первая позиция типа V2: любой ход Пети оставляет Ване победную стратегию не позднее второго собственного хода, однако существует ход Пети, исключающий немедленную победу Вани.</x:v>
      </x:c>
      <x:c r="P317" s="30" t="str">
        <x:v>Условие проверено по статусам всех дочерних позиций.</x:v>
      </x:c>
      <x:c r="Q317" s="30"/>
      <x:c r="R317" s="30" t="str">
        <x:v>2498</x:v>
      </x:c>
      <x:c r="S317" s="30"/>
      <x:c r="T317" s="30"/>
      <x:c r="U317" s="30" t="str">
        <x:v>Расхождений нет.</x:v>
      </x:c>
      <x:c r="V317" s="87" t="str">
        <x:v>VERIFIED</x:v>
      </x:c>
      <x:c r="W317" s="87" t="n">
        <x:v>15</x:v>
      </x:c>
      <x:c r="X317" s="87"/>
      <x:c r="Y317" s="87"/>
      <x:c r="Z317" s="87"/>
      <x:c r="AA317" s="87"/>
      <x:c r="AB317" s="87"/>
      <x:c r="AC317" s="87"/>
      <x:c r="AD317" s="87"/>
      <x:c r="AE317" s="87"/>
      <x:c r="AF317" s="87"/>
      <x:c r="AG317" s="87"/>
      <x:c r="AH317" s="87"/>
      <x:c r="AI317" s="30"/>
      <x:c r="AJ317" s="87" t="str">
        <x:v>master</x:v>
      </x:c>
      <x:c r="AK317" s="87" t="str">
        <x:v>master-v0.81</x:v>
      </x:c>
      <x:c r="AL317" s="87" t="str">
        <x:v>statgrad_master_base_v0_81_final(2).xlsx</x:v>
      </x:c>
      <x:c r="AM317" s="87" t="str">
        <x:v>INF_Jan_V2</x:v>
      </x:c>
      <x:c r="AN317" s="87" t="n">
        <x:v>22</x:v>
      </x:c>
    </x:row>
    <x:row r="318">
      <x:c r="A318" s="87" t="n">
        <x:v>317</x:v>
      </x:c>
      <x:c r="B318" s="87" t="str">
        <x:v>JAN-INF-V2-022</x:v>
      </x:c>
      <x:c r="C318" s="87" t="str">
        <x:v>СтатГрад</x:v>
      </x:c>
      <x:c r="D318" s="87" t="str">
        <x:v>Январь 2026</x:v>
      </x:c>
      <x:c r="E318" s="87"/>
      <x:c r="F318" s="87"/>
      <x:c r="G318" s="87" t="str">
        <x:v>Информатика</x:v>
      </x:c>
      <x:c r="H318" s="87" t="n">
        <x:v>11</x:v>
      </x:c>
      <x:c r="I318" s="87" t="str">
        <x:v>ТР №3</x:v>
      </x:c>
      <x:c r="J318" s="87" t="str">
        <x:v>ИН2510302</x:v>
      </x:c>
      <x:c r="K318" s="87" t="n">
        <x:v>22</x:v>
      </x:c>
      <x:c r="L318" s="87" t="str">
        <x:v>Планирование процессов</x:v>
      </x:c>
      <x:c r="M318" s="30" t="str">
        <x:v>При запуске процессов в самое раннее время найдите максимум процессов, выполняющихся параллельно с процессом 4, не считая сам процесс 4.</x:v>
      </x:c>
      <x:c r="N318" s="30" t="str">
        <x:v>4</x:v>
      </x:c>
      <x:c r="O318" s="30" t="str">
        <x:v>Процесс 4 выполняется на интервале [9;10). В этот момент параллельно работают процессы 7, 8, 14 и 18, поэтому ответ равен 4.</x:v>
      </x:c>
      <x:c r="P318" s="30" t="str">
        <x:v>Для каждого процесса рекурсивно вычислены время старта и завершения по зависимостям.</x:v>
      </x:c>
      <x:c r="Q318" s="30"/>
      <x:c r="R318" s="30" t="str">
        <x:v>4</x:v>
      </x:c>
      <x:c r="S318" s="30"/>
      <x:c r="T318" s="30"/>
      <x:c r="U318" s="30" t="str">
        <x:v>Расхождений нет.</x:v>
      </x:c>
      <x:c r="V318" s="87" t="str">
        <x:v>VERIFIED</x:v>
      </x:c>
      <x:c r="W318" s="87" t="n">
        <x:v>15</x:v>
      </x:c>
      <x:c r="X318" s="87"/>
      <x:c r="Y318" s="87"/>
      <x:c r="Z318" s="87"/>
      <x:c r="AA318" s="87"/>
      <x:c r="AB318" s="87"/>
      <x:c r="AC318" s="87"/>
      <x:c r="AD318" s="87"/>
      <x:c r="AE318" s="87"/>
      <x:c r="AF318" s="87"/>
      <x:c r="AG318" s="87"/>
      <x:c r="AH318" s="87"/>
      <x:c r="AI318" s="30"/>
      <x:c r="AJ318" s="87" t="str">
        <x:v>master</x:v>
      </x:c>
      <x:c r="AK318" s="87" t="str">
        <x:v>master-v0.81</x:v>
      </x:c>
      <x:c r="AL318" s="87" t="str">
        <x:v>statgrad_master_base_v0_81_final(2).xlsx</x:v>
      </x:c>
      <x:c r="AM318" s="87" t="str">
        <x:v>INF_Jan_V2</x:v>
      </x:c>
      <x:c r="AN318" s="87" t="n">
        <x:v>23</x:v>
      </x:c>
    </x:row>
    <x:row r="319">
      <x:c r="A319" s="87" t="n">
        <x:v>318</x:v>
      </x:c>
      <x:c r="B319" s="87" t="str">
        <x:v>JAN-INF-V2-023</x:v>
      </x:c>
      <x:c r="C319" s="87" t="str">
        <x:v>СтатГрад</x:v>
      </x:c>
      <x:c r="D319" s="87" t="str">
        <x:v>Январь 2026</x:v>
      </x:c>
      <x:c r="E319" s="87"/>
      <x:c r="F319" s="87"/>
      <x:c r="G319" s="87" t="str">
        <x:v>Информатика</x:v>
      </x:c>
      <x:c r="H319" s="87" t="n">
        <x:v>11</x:v>
      </x:c>
      <x:c r="I319" s="87" t="str">
        <x:v>ТР №3</x:v>
      </x:c>
      <x:c r="J319" s="87" t="str">
        <x:v>ИН2510302</x:v>
      </x:c>
      <x:c r="K319" s="87" t="n">
        <x:v>23</x:v>
      </x:c>
      <x:c r="L319" s="87" t="str">
        <x:v>Количество программ</x:v>
      </x:c>
      <x:c r="M319" s="30" t="str">
        <x:v>Сколько программ из команд +2, +3 и ×2 переводят 10 в 52, содержат 16 или 24 и не содержат 31 и 45?</x:v>
      </x:c>
      <x:c r="N319" s="30" t="str">
        <x:v>12762</x:v>
      </x:c>
      <x:c r="O319" s="30" t="str">
        <x:v>Динамическое программирование хранит текущее число и признак посещения 16 или 24. Переходы в 31, 45 и значения больше 52 отбрасываются; число допустимых траекторий равно 12 762.</x:v>
      </x:c>
      <x:c r="P319" s="30" t="str">
        <x:v>Результат проверен мемоизированным рекурсивным подсчётом.</x:v>
      </x:c>
      <x:c r="Q319" s="30"/>
      <x:c r="R319" s="30" t="str">
        <x:v>12762</x:v>
      </x:c>
      <x:c r="S319" s="30"/>
      <x:c r="T319" s="30"/>
      <x:c r="U319" s="30" t="str">
        <x:v>Расхождений нет.</x:v>
      </x:c>
      <x:c r="V319" s="87" t="str">
        <x:v>VERIFIED</x:v>
      </x:c>
      <x:c r="W319" s="87" t="n">
        <x:v>16</x:v>
      </x:c>
      <x:c r="X319" s="87"/>
      <x:c r="Y319" s="87"/>
      <x:c r="Z319" s="87"/>
      <x:c r="AA319" s="87"/>
      <x:c r="AB319" s="87"/>
      <x:c r="AC319" s="87"/>
      <x:c r="AD319" s="87"/>
      <x:c r="AE319" s="87"/>
      <x:c r="AF319" s="87"/>
      <x:c r="AG319" s="87"/>
      <x:c r="AH319" s="87"/>
      <x:c r="AI319" s="30"/>
      <x:c r="AJ319" s="87" t="str">
        <x:v>master</x:v>
      </x:c>
      <x:c r="AK319" s="87" t="str">
        <x:v>master-v0.81</x:v>
      </x:c>
      <x:c r="AL319" s="87" t="str">
        <x:v>statgrad_master_base_v0_81_final(2).xlsx</x:v>
      </x:c>
      <x:c r="AM319" s="87" t="str">
        <x:v>INF_Jan_V2</x:v>
      </x:c>
      <x:c r="AN319" s="87" t="n">
        <x:v>24</x:v>
      </x:c>
    </x:row>
    <x:row r="320">
      <x:c r="A320" s="87" t="n">
        <x:v>319</x:v>
      </x:c>
      <x:c r="B320" s="87" t="str">
        <x:v>JAN-INF-V2-024</x:v>
      </x:c>
      <x:c r="C320" s="87" t="str">
        <x:v>СтатГрад</x:v>
      </x:c>
      <x:c r="D320" s="87" t="str">
        <x:v>Январь 2026</x:v>
      </x:c>
      <x:c r="E320" s="87"/>
      <x:c r="F320" s="87"/>
      <x:c r="G320" s="87" t="str">
        <x:v>Информатика</x:v>
      </x:c>
      <x:c r="H320" s="87" t="n">
        <x:v>11</x:v>
      </x:c>
      <x:c r="I320" s="87" t="str">
        <x:v>ТР №3</x:v>
      </x:c>
      <x:c r="J320" s="87" t="str">
        <x:v>ИН2510302</x:v>
      </x:c>
      <x:c r="K320" s="87" t="n">
        <x:v>24</x:v>
      </x:c>
      <x:c r="L320" s="87" t="str">
        <x:v>Обработка строки</x:v>
      </x:c>
      <x:c r="M320" s="30" t="str">
        <x:v>Найдите минимальную длину подстроки, в которой Z встречается ровно 72 раза, гласная — ровно один раз и стоит в конце.</x:v>
      </x:c>
      <x:c r="N320" s="30" t="str">
        <x:v>134</x:v>
      </x:c>
      <x:c r="O320" s="30" t="str">
        <x:v>Для каждой гласной рассматривался фрагмент после предыдущей гласной. Начало кратчайшей допустимой подстроки ставилось на первую из последних 72 букв Z; минимальная длина равна 134.</x:v>
      </x:c>
      <x:c r="P320" s="30" t="str">
        <x:v>Проверено точное количество Z, единственность гласной и положение гласной в последнем символе.</x:v>
      </x:c>
      <x:c r="Q320" s="30"/>
      <x:c r="R320" s="30" t="str">
        <x:v>134</x:v>
      </x:c>
      <x:c r="S320" s="30"/>
      <x:c r="T320" s="30"/>
      <x:c r="U320" s="30" t="str">
        <x:v>Расхождений нет.</x:v>
      </x:c>
      <x:c r="V320" s="87" t="str">
        <x:v>VERIFIED</x:v>
      </x:c>
      <x:c r="W320" s="87" t="n">
        <x:v>16</x:v>
      </x:c>
      <x:c r="X320" s="87"/>
      <x:c r="Y320" s="87"/>
      <x:c r="Z320" s="87"/>
      <x:c r="AA320" s="87"/>
      <x:c r="AB320" s="87"/>
      <x:c r="AC320" s="87"/>
      <x:c r="AD320" s="87"/>
      <x:c r="AE320" s="87"/>
      <x:c r="AF320" s="87"/>
      <x:c r="AG320" s="87"/>
      <x:c r="AH320" s="87"/>
      <x:c r="AI320" s="30"/>
      <x:c r="AJ320" s="87" t="str">
        <x:v>master</x:v>
      </x:c>
      <x:c r="AK320" s="87" t="str">
        <x:v>master-v0.81</x:v>
      </x:c>
      <x:c r="AL320" s="87" t="str">
        <x:v>statgrad_master_base_v0_81_final(2).xlsx</x:v>
      </x:c>
      <x:c r="AM320" s="87" t="str">
        <x:v>INF_Jan_V2</x:v>
      </x:c>
      <x:c r="AN320" s="87" t="n">
        <x:v>25</x:v>
      </x:c>
    </x:row>
    <x:row r="321">
      <x:c r="A321" s="87" t="n">
        <x:v>320</x:v>
      </x:c>
      <x:c r="B321" s="87" t="str">
        <x:v>JAN-INF-V2-025</x:v>
      </x:c>
      <x:c r="C321" s="87" t="str">
        <x:v>СтатГрад</x:v>
      </x:c>
      <x:c r="D321" s="87" t="str">
        <x:v>Январь 2026</x:v>
      </x:c>
      <x:c r="E321" s="87"/>
      <x:c r="F321" s="87"/>
      <x:c r="G321" s="87" t="str">
        <x:v>Информатика</x:v>
      </x:c>
      <x:c r="H321" s="87" t="n">
        <x:v>11</x:v>
      </x:c>
      <x:c r="I321" s="87" t="str">
        <x:v>ТР №3</x:v>
      </x:c>
      <x:c r="J321" s="87" t="str">
        <x:v>ИН2510302</x:v>
      </x:c>
      <x:c r="K321" s="87" t="n">
        <x:v>25</x:v>
      </x:c>
      <x:c r="L321" s="87" t="str">
        <x:v>Делители числа</x:v>
      </x:c>
      <x:c r="M321" s="30" t="str">
        <x:v>Найдите пять наибольших девятизначных чисел, равных сумме количества своих делителей и натурального числа, кратного 17.</x:v>
      </x:c>
      <x:c r="N321" s="30" t="str">
        <x:v>999999893; 999999906; 999999954; 999999958; 999999992</x:v>
      </x:c>
      <x:c r="O321" s="30" t="str">
        <x:v>Для каждого n вычислялось d(n), число натуральных делителей, и проверялось условие (n−d(n)) mod 17=0. Первые пять найденных при переборе вниз записаны в порядке возрастания.</x:v>
      </x:c>
      <x:c r="P321" s="30" t="str">
        <x:v>Количество делителей каждого кандидата получено по разложению на простые множители.</x:v>
      </x:c>
      <x:c r="Q321" s="30"/>
      <x:c r="R321" s="30" t="str">
        <x:v>999999893; 999999906; 999999954; 999999958; 999999992</x:v>
      </x:c>
      <x:c r="S321" s="30"/>
      <x:c r="T321" s="30"/>
      <x:c r="U321" s="30" t="str">
        <x:v>Расхождений нет.</x:v>
      </x:c>
      <x:c r="V321" s="87" t="str">
        <x:v>VERIFIED</x:v>
      </x:c>
      <x:c r="W321" s="87" t="n">
        <x:v>16</x:v>
      </x:c>
      <x:c r="X321" s="87"/>
      <x:c r="Y321" s="87"/>
      <x:c r="Z321" s="87"/>
      <x:c r="AA321" s="87"/>
      <x:c r="AB321" s="87"/>
      <x:c r="AC321" s="87"/>
      <x:c r="AD321" s="87"/>
      <x:c r="AE321" s="87"/>
      <x:c r="AF321" s="87"/>
      <x:c r="AG321" s="87"/>
      <x:c r="AH321" s="87"/>
      <x:c r="AI321" s="30"/>
      <x:c r="AJ321" s="87" t="str">
        <x:v>master</x:v>
      </x:c>
      <x:c r="AK321" s="87" t="str">
        <x:v>master-v0.81</x:v>
      </x:c>
      <x:c r="AL321" s="87" t="str">
        <x:v>statgrad_master_base_v0_81_final(2).xlsx</x:v>
      </x:c>
      <x:c r="AM321" s="87" t="str">
        <x:v>INF_Jan_V2</x:v>
      </x:c>
      <x:c r="AN321" s="87" t="n">
        <x:v>26</x:v>
      </x:c>
    </x:row>
    <x:row r="322">
      <x:c r="A322" s="87" t="n">
        <x:v>321</x:v>
      </x:c>
      <x:c r="B322" s="87" t="str">
        <x:v>JAN-INF-V2-026</x:v>
      </x:c>
      <x:c r="C322" s="87" t="str">
        <x:v>СтатГрад</x:v>
      </x:c>
      <x:c r="D322" s="87" t="str">
        <x:v>Январь 2026</x:v>
      </x:c>
      <x:c r="E322" s="87"/>
      <x:c r="F322" s="87"/>
      <x:c r="G322" s="87" t="str">
        <x:v>Информатика</x:v>
      </x:c>
      <x:c r="H322" s="87" t="n">
        <x:v>11</x:v>
      </x:c>
      <x:c r="I322" s="87" t="str">
        <x:v>ТР №3</x:v>
      </x:c>
      <x:c r="J322" s="87" t="str">
        <x:v>ИН2510302</x:v>
      </x:c>
      <x:c r="K322" s="87" t="n">
        <x:v>26</x:v>
      </x:c>
      <x:c r="L322" s="87" t="str">
        <x:v>Имитационное моделирование</x:v>
      </x:c>
      <x:c r="M322" s="30" t="str">
        <x:v>Смоделируйте камеру хранения за первые 18 часов: выбирается свободная ячейка минимальной стоимости, при равенстве — минимального номера.</x:v>
      </x:c>
      <x:c r="N322" s="30" t="str">
        <x:v>86708; 77</x:v>
      </x:c>
      <x:c r="O322" s="30" t="str">
        <x:v>Заявки обработаны хронологически; перед каждой заявкой освобождены ячейки, срок хранения в которых истёк. При сортировке одинаковых времён по возрастанию срока хранения сумма стоимостей принятых багажей равна 86 708, последний багаж размещён в ячейке 77.</x:v>
      </x:c>
      <x:c r="P322" s="30" t="str">
        <x:v>Результат воспроизведён дискретно-событийной моделью с очередью освобождений и множеством свободных ячеек.</x:v>
      </x:c>
      <x:c r="Q322" s="30"/>
      <x:c r="R322" s="30" t="str">
        <x:v>86708; 77</x:v>
      </x:c>
      <x:c r="S322" s="30"/>
      <x:c r="T322" s="30"/>
      <x:c r="U322" s="30" t="str">
        <x:v>В файле есть одинаковые моменты сдачи, хотя условие гарантирует их различие; официальный ответ зависит от неоговорённого порядка таких заявок.</x:v>
      </x:c>
      <x:c r="V322" s="87" t="str">
        <x:v>AMBIGUOUS</x:v>
      </x:c>
      <x:c r="W322" s="87" t="n">
        <x:v>17</x:v>
      </x:c>
      <x:c r="X322" s="87"/>
      <x:c r="Y322" s="87"/>
      <x:c r="Z322" s="87"/>
      <x:c r="AA322" s="87"/>
      <x:c r="AB322" s="87"/>
      <x:c r="AC322" s="87"/>
      <x:c r="AD322" s="87"/>
      <x:c r="AE322" s="87"/>
      <x:c r="AF322" s="87"/>
      <x:c r="AG322" s="87"/>
      <x:c r="AH322" s="87"/>
      <x:c r="AI322" s="30"/>
      <x:c r="AJ322" s="87" t="str">
        <x:v>master</x:v>
      </x:c>
      <x:c r="AK322" s="87" t="str">
        <x:v>master-v0.81</x:v>
      </x:c>
      <x:c r="AL322" s="87" t="str">
        <x:v>statgrad_master_base_v0_81_final(2).xlsx</x:v>
      </x:c>
      <x:c r="AM322" s="87" t="str">
        <x:v>INF_Jan_V2</x:v>
      </x:c>
      <x:c r="AN322" s="87" t="n">
        <x:v>27</x:v>
      </x:c>
    </x:row>
    <x:row r="323">
      <x:c r="A323" s="87" t="n">
        <x:v>322</x:v>
      </x:c>
      <x:c r="B323" s="87" t="str">
        <x:v>JAN-INF-V2-027</x:v>
      </x:c>
      <x:c r="C323" s="87" t="str">
        <x:v>СтатГрад</x:v>
      </x:c>
      <x:c r="D323" s="87" t="str">
        <x:v>Январь 2026</x:v>
      </x:c>
      <x:c r="E323" s="87"/>
      <x:c r="F323" s="87"/>
      <x:c r="G323" s="87" t="str">
        <x:v>Информатика</x:v>
      </x:c>
      <x:c r="H323" s="87" t="n">
        <x:v>11</x:v>
      </x:c>
      <x:c r="I323" s="87" t="str">
        <x:v>ТР №3</x:v>
      </x:c>
      <x:c r="J323" s="87" t="str">
        <x:v>ИН2510302</x:v>
      </x:c>
      <x:c r="K323" s="87" t="n">
        <x:v>27</x:v>
      </x:c>
      <x:c r="L323" s="87" t="str">
        <x:v>Кластеризация</x:v>
      </x:c>
      <x:c r="M323" s="30" t="str">
        <x:v>Для файла A найдите P1 и P2 по центрам двух кластеров; для файла B — целые части Q1·10000 и Q2·10000 по расстояниям до точки (2,8; 0,1).</x:v>
      </x:c>
      <x:c r="N323" s="30" t="str">
        <x:v>12; 175; 275192; 388432</x:v>
      </x:c>
      <x:c r="O323" s="30" t="str">
        <x:v>Центром каждого кластера выбрана точка с минимальной суммой расстояний до остальных точек. Для A получены P1=12 и P2=175; для B минимальное и максимальное расстояния до точки (2,8;0,1) после умножения на 10000 дают 275192 и 388432.</x:v>
      </x:c>
      <x:c r="P323" s="30" t="str">
        <x:v>Кластеры разделены по непересекающимся прямоугольникам, медоиды найдены полным перебором точек каждого кластера.</x:v>
      </x:c>
      <x:c r="Q323" s="30"/>
      <x:c r="R323" s="30" t="str">
        <x:v>12; 175; 275192; 388432</x:v>
      </x:c>
      <x:c r="S323" s="30"/>
      <x:c r="T323" s="30"/>
      <x:c r="U323" s="30" t="str">
        <x:v>Расхождений нет.</x:v>
      </x:c>
      <x:c r="V323" s="87" t="str">
        <x:v>VERIFIED</x:v>
      </x:c>
      <x:c r="W323" s="87" t="str">
        <x:v>18–19</x:v>
      </x:c>
      <x:c r="X323" s="87"/>
      <x:c r="Y323" s="87"/>
      <x:c r="Z323" s="87"/>
      <x:c r="AA323" s="87"/>
      <x:c r="AB323" s="87"/>
      <x:c r="AC323" s="87"/>
      <x:c r="AD323" s="87"/>
      <x:c r="AE323" s="87"/>
      <x:c r="AF323" s="87"/>
      <x:c r="AG323" s="87"/>
      <x:c r="AH323" s="87"/>
      <x:c r="AI323" s="30"/>
      <x:c r="AJ323" s="87" t="str">
        <x:v>master</x:v>
      </x:c>
      <x:c r="AK323" s="87" t="str">
        <x:v>master-v0.81</x:v>
      </x:c>
      <x:c r="AL323" s="87" t="str">
        <x:v>statgrad_master_base_v0_81_final(2).xlsx</x:v>
      </x:c>
      <x:c r="AM323" s="87" t="str">
        <x:v>INF_Jan_V2</x:v>
      </x:c>
      <x:c r="AN323" s="87" t="n">
        <x:v>28</x:v>
      </x:c>
    </x:row>
    <x:row r="324">
      <x:c r="A324" s="87" t="n">
        <x:v>323</x:v>
      </x:c>
      <x:c r="B324" s="87" t="str">
        <x:v>JAN-BIO-V1-001</x:v>
      </x:c>
      <x:c r="C324" s="87" t="str">
        <x:v>СтатГрад</x:v>
      </x:c>
      <x:c r="D324" s="87" t="str">
        <x:v>Январь 2026</x:v>
      </x:c>
      <x:c r="E324" s="87"/>
      <x:c r="F324" s="87"/>
      <x:c r="G324" s="87" t="str">
        <x:v>Биология</x:v>
      </x:c>
      <x:c r="H324" s="87" t="n">
        <x:v>11</x:v>
      </x:c>
      <x:c r="I324" s="87" t="str">
        <x:v>ТР №3</x:v>
      </x:c>
      <x:c r="J324" s="87" t="str">
        <x:v>БИ2510301</x:v>
      </x:c>
      <x:c r="K324" s="87" t="n">
        <x:v>1</x:v>
      </x:c>
      <x:c r="L324" s="87" t="str">
        <x:v>Методы биологических исследований</x:v>
      </x:c>
      <x:c r="M324" s="30" t="str">
        <x:v>По изображению скрещивания кур определите частнонаучный метод.</x:v>
      </x:c>
      <x:c r="N324" s="30" t="str">
        <x:v>гибридологический; скрещивание</x:v>
      </x:c>
      <x:c r="O324" s="30" t="str">
        <x:v>Гибридологический метод основан на скрещивании организмов и анализе наследования признаков у потомства.</x:v>
      </x:c>
      <x:c r="P324" s="30" t="str">
        <x:v>Иллюстрация показывает родительские формы P и гибридное поколение F1.</x:v>
      </x:c>
      <x:c r="Q324" s="30"/>
      <x:c r="R324" s="30" t="str">
        <x:v>гибридологический; скрещивание</x:v>
      </x:c>
      <x:c r="S324" s="30"/>
      <x:c r="T324" s="30"/>
      <x:c r="U324" s="30" t="str">
        <x:v>Расхождений нет.</x:v>
      </x:c>
      <x:c r="V324" s="87" t="str">
        <x:v>VERIFIED</x:v>
      </x:c>
      <x:c r="W324" s="87" t="n">
        <x:v>2</x:v>
      </x:c>
      <x:c r="X324" s="87"/>
      <x:c r="Y324" s="87"/>
      <x:c r="Z324" s="87"/>
      <x:c r="AA324" s="87"/>
      <x:c r="AB324" s="87"/>
      <x:c r="AC324" s="87"/>
      <x:c r="AD324" s="87"/>
      <x:c r="AE324" s="87"/>
      <x:c r="AF324" s="87"/>
      <x:c r="AG324" s="87"/>
      <x:c r="AH324" s="87"/>
      <x:c r="AI324" s="30"/>
      <x:c r="AJ324" s="87" t="str">
        <x:v>master</x:v>
      </x:c>
      <x:c r="AK324" s="87" t="str">
        <x:v>master-v0.81</x:v>
      </x:c>
      <x:c r="AL324" s="87" t="str">
        <x:v>statgrad_master_base_v0_81_final(2).xlsx</x:v>
      </x:c>
      <x:c r="AM324" s="87" t="str">
        <x:v>BIO_Jan_V1</x:v>
      </x:c>
      <x:c r="AN324" s="87" t="n">
        <x:v>2</x:v>
      </x:c>
    </x:row>
    <x:row r="325">
      <x:c r="A325" s="87" t="n">
        <x:v>324</x:v>
      </x:c>
      <x:c r="B325" s="87" t="str">
        <x:v>JAN-BIO-V1-002</x:v>
      </x:c>
      <x:c r="C325" s="87" t="str">
        <x:v>СтатГрад</x:v>
      </x:c>
      <x:c r="D325" s="87" t="str">
        <x:v>Январь 2026</x:v>
      </x:c>
      <x:c r="E325" s="87"/>
      <x:c r="F325" s="87"/>
      <x:c r="G325" s="87" t="str">
        <x:v>Биология</x:v>
      </x:c>
      <x:c r="H325" s="87" t="n">
        <x:v>11</x:v>
      </x:c>
      <x:c r="I325" s="87" t="str">
        <x:v>ТР №3</x:v>
      </x:c>
      <x:c r="J325" s="87" t="str">
        <x:v>БИ2510301</x:v>
      </x:c>
      <x:c r="K325" s="87" t="n">
        <x:v>2</x:v>
      </x:c>
      <x:c r="L325" s="87" t="str">
        <x:v>Осмос и клеточные структуры</x:v>
      </x:c>
      <x:c r="M325" s="30" t="str">
        <x:v>К клеткам печени кролика добавили пресную воду. Определите изменение объёма цитоплазмы и количества митохондрий.</x:v>
      </x:c>
      <x:c r="N325" s="30" t="str">
        <x:v>1; 3</x:v>
      </x:c>
      <x:c r="O325" s="30" t="str">
        <x:v>Пресная вода гипотонична относительно цитоплазмы, поэтому вода входит в клетки и их объём увеличивается. За время опыта число митохондрий не изменяется.</x:v>
      </x:c>
      <x:c r="P325" s="30" t="str">
        <x:v>Осмотическое направление проверено по разности концентраций; органоиды не образуются мгновенно.</x:v>
      </x:c>
      <x:c r="Q325" s="30"/>
      <x:c r="R325" s="30" t="str">
        <x:v>1; 3</x:v>
      </x:c>
      <x:c r="S325" s="30"/>
      <x:c r="T325" s="30"/>
      <x:c r="U325" s="30" t="str">
        <x:v>Расхождений нет.</x:v>
      </x:c>
      <x:c r="V325" s="87" t="str">
        <x:v>VERIFIED</x:v>
      </x:c>
      <x:c r="W325" s="87" t="n">
        <x:v>2</x:v>
      </x:c>
      <x:c r="X325" s="87"/>
      <x:c r="Y325" s="87"/>
      <x:c r="Z325" s="87"/>
      <x:c r="AA325" s="87"/>
      <x:c r="AB325" s="87"/>
      <x:c r="AC325" s="87"/>
      <x:c r="AD325" s="87"/>
      <x:c r="AE325" s="87"/>
      <x:c r="AF325" s="87"/>
      <x:c r="AG325" s="87"/>
      <x:c r="AH325" s="87"/>
      <x:c r="AI325" s="30"/>
      <x:c r="AJ325" s="87" t="str">
        <x:v>master</x:v>
      </x:c>
      <x:c r="AK325" s="87" t="str">
        <x:v>master-v0.81</x:v>
      </x:c>
      <x:c r="AL325" s="87" t="str">
        <x:v>statgrad_master_base_v0_81_final(2).xlsx</x:v>
      </x:c>
      <x:c r="AM325" s="87" t="str">
        <x:v>BIO_Jan_V1</x:v>
      </x:c>
      <x:c r="AN325" s="87" t="n">
        <x:v>3</x:v>
      </x:c>
    </x:row>
    <x:row r="326">
      <x:c r="A326" s="87" t="n">
        <x:v>325</x:v>
      </x:c>
      <x:c r="B326" s="87" t="str">
        <x:v>JAN-BIO-V1-003</x:v>
      </x:c>
      <x:c r="C326" s="87" t="str">
        <x:v>СтатГрад</x:v>
      </x:c>
      <x:c r="D326" s="87" t="str">
        <x:v>Январь 2026</x:v>
      </x:c>
      <x:c r="E326" s="87"/>
      <x:c r="F326" s="87"/>
      <x:c r="G326" s="87" t="str">
        <x:v>Биология</x:v>
      </x:c>
      <x:c r="H326" s="87" t="n">
        <x:v>11</x:v>
      </x:c>
      <x:c r="I326" s="87" t="str">
        <x:v>ТР №3</x:v>
      </x:c>
      <x:c r="J326" s="87" t="str">
        <x:v>БИ2510301</x:v>
      </x:c>
      <x:c r="K326" s="87" t="n">
        <x:v>3</x:v>
      </x:c>
      <x:c r="L326" s="87" t="str">
        <x:v>Генетический код</x:v>
      </x:c>
      <x:c r="M326" s="30" t="str">
        <x:v>Сколько триплетов РНК кодируют фрагмент полипептида длиной 110 аминокислот?</x:v>
      </x:c>
      <x:c r="N326" s="30" t="str">
        <x:v>110</x:v>
      </x:c>
      <x:c r="O326" s="30" t="str">
        <x:v>Каждая аминокислота кодируется одним смысловым триплетом, поэтому для 110 аминокислот требуется 110 кодонов.</x:v>
      </x:c>
      <x:c r="P326" s="30" t="str">
        <x:v>Стоп-кодон аминокислоту не кодирует и в требуемое число не входит.</x:v>
      </x:c>
      <x:c r="Q326" s="30"/>
      <x:c r="R326" s="30" t="str">
        <x:v>110</x:v>
      </x:c>
      <x:c r="S326" s="30"/>
      <x:c r="T326" s="30"/>
      <x:c r="U326" s="30" t="str">
        <x:v>Расхождений нет.</x:v>
      </x:c>
      <x:c r="V326" s="87" t="str">
        <x:v>VERIFIED</x:v>
      </x:c>
      <x:c r="W326" s="87" t="n">
        <x:v>3</x:v>
      </x:c>
      <x:c r="X326" s="87"/>
      <x:c r="Y326" s="87"/>
      <x:c r="Z326" s="87"/>
      <x:c r="AA326" s="87"/>
      <x:c r="AB326" s="87"/>
      <x:c r="AC326" s="87"/>
      <x:c r="AD326" s="87"/>
      <x:c r="AE326" s="87"/>
      <x:c r="AF326" s="87"/>
      <x:c r="AG326" s="87"/>
      <x:c r="AH326" s="87"/>
      <x:c r="AI326" s="30"/>
      <x:c r="AJ326" s="87" t="str">
        <x:v>master</x:v>
      </x:c>
      <x:c r="AK326" s="87" t="str">
        <x:v>master-v0.81</x:v>
      </x:c>
      <x:c r="AL326" s="87" t="str">
        <x:v>statgrad_master_base_v0_81_final(2).xlsx</x:v>
      </x:c>
      <x:c r="AM326" s="87" t="str">
        <x:v>BIO_Jan_V1</x:v>
      </x:c>
      <x:c r="AN326" s="87" t="n">
        <x:v>4</x:v>
      </x:c>
    </x:row>
    <x:row r="327">
      <x:c r="A327" s="87" t="n">
        <x:v>326</x:v>
      </x:c>
      <x:c r="B327" s="87" t="str">
        <x:v>JAN-BIO-V1-004</x:v>
      </x:c>
      <x:c r="C327" s="87" t="str">
        <x:v>СтатГрад</x:v>
      </x:c>
      <x:c r="D327" s="87" t="str">
        <x:v>Январь 2026</x:v>
      </x:c>
      <x:c r="E327" s="87"/>
      <x:c r="F327" s="87"/>
      <x:c r="G327" s="87" t="str">
        <x:v>Биология</x:v>
      </x:c>
      <x:c r="H327" s="87" t="n">
        <x:v>11</x:v>
      </x:c>
      <x:c r="I327" s="87" t="str">
        <x:v>ТР №3</x:v>
      </x:c>
      <x:c r="J327" s="87" t="str">
        <x:v>БИ2510301</x:v>
      </x:c>
      <x:c r="K327" s="87" t="n">
        <x:v>4</x:v>
      </x:c>
      <x:c r="L327" s="87" t="str">
        <x:v>Анализирующее скрещивание</x:v>
      </x:c>
      <x:c r="M327" s="30" t="str">
        <x:v>Какова вероятность появления потомка с генотипом гетерозиготного родителя при анализирующем скрещивании?</x:v>
      </x:c>
      <x:c r="N327" s="30" t="str">
        <x:v>0,5</x:v>
      </x:c>
      <x:c r="O327" s="30" t="str">
        <x:v>При скрещивании Aa × aa половина потомков имеет генотип Aa, а половина — aa.</x:v>
      </x:c>
      <x:c r="P327" s="30" t="str">
        <x:v>Решётка Пеннета даёт соотношение генотипов 1:1.</x:v>
      </x:c>
      <x:c r="Q327" s="30"/>
      <x:c r="R327" s="30" t="str">
        <x:v>0,5</x:v>
      </x:c>
      <x:c r="S327" s="30"/>
      <x:c r="T327" s="30"/>
      <x:c r="U327" s="30" t="str">
        <x:v>Расхождений нет.</x:v>
      </x:c>
      <x:c r="V327" s="87" t="str">
        <x:v>VERIFIED</x:v>
      </x:c>
      <x:c r="W327" s="87" t="n">
        <x:v>3</x:v>
      </x:c>
      <x:c r="X327" s="87"/>
      <x:c r="Y327" s="87"/>
      <x:c r="Z327" s="87"/>
      <x:c r="AA327" s="87"/>
      <x:c r="AB327" s="87"/>
      <x:c r="AC327" s="87"/>
      <x:c r="AD327" s="87"/>
      <x:c r="AE327" s="87"/>
      <x:c r="AF327" s="87"/>
      <x:c r="AG327" s="87"/>
      <x:c r="AH327" s="87"/>
      <x:c r="AI327" s="30"/>
      <x:c r="AJ327" s="87" t="str">
        <x:v>master</x:v>
      </x:c>
      <x:c r="AK327" s="87" t="str">
        <x:v>master-v0.81</x:v>
      </x:c>
      <x:c r="AL327" s="87" t="str">
        <x:v>statgrad_master_base_v0_81_final(2).xlsx</x:v>
      </x:c>
      <x:c r="AM327" s="87" t="str">
        <x:v>BIO_Jan_V1</x:v>
      </x:c>
      <x:c r="AN327" s="87" t="n">
        <x:v>5</x:v>
      </x:c>
    </x:row>
    <x:row r="328">
      <x:c r="A328" s="87" t="n">
        <x:v>327</x:v>
      </x:c>
      <x:c r="B328" s="87" t="str">
        <x:v>JAN-BIO-V1-005</x:v>
      </x:c>
      <x:c r="C328" s="87" t="str">
        <x:v>СтатГрад</x:v>
      </x:c>
      <x:c r="D328" s="87" t="str">
        <x:v>Январь 2026</x:v>
      </x:c>
      <x:c r="E328" s="87"/>
      <x:c r="F328" s="87"/>
      <x:c r="G328" s="87" t="str">
        <x:v>Биология</x:v>
      </x:c>
      <x:c r="H328" s="87" t="n">
        <x:v>11</x:v>
      </x:c>
      <x:c r="I328" s="87" t="str">
        <x:v>ТР №3</x:v>
      </x:c>
      <x:c r="J328" s="87" t="str">
        <x:v>БИ2510301</x:v>
      </x:c>
      <x:c r="K328" s="87" t="n">
        <x:v>5</x:v>
      </x:c>
      <x:c r="L328" s="87" t="str">
        <x:v>Фотосинтез</x:v>
      </x:c>
      <x:c r="M328" s="30" t="str">
        <x:v>Какой цифрой на схеме обозначен восстановленный переносчик водорода?</x:v>
      </x:c>
      <x:c r="N328" s="30" t="str">
        <x:v>5</x:v>
      </x:c>
      <x:c r="O328" s="30" t="str">
        <x:v>В световой фазе НАДФ восстанавливается до НАДФ·Н и передаёт водород в реакции цикла Кальвина. На схеме этот поток из стадии 1 в стадию 2 обозначен цифрой 5.</x:v>
      </x:c>
      <x:c r="P328" s="30" t="str">
        <x:v>Направление потока согласуется с возвратом окисленного НАДФ к световой фазе.</x:v>
      </x:c>
      <x:c r="Q328" s="30"/>
      <x:c r="R328" s="30" t="str">
        <x:v>5</x:v>
      </x:c>
      <x:c r="S328" s="30"/>
      <x:c r="T328" s="30"/>
      <x:c r="U328" s="30" t="str">
        <x:v>Расхождений нет.</x:v>
      </x:c>
      <x:c r="V328" s="87" t="str">
        <x:v>VERIFIED</x:v>
      </x:c>
      <x:c r="W328" s="87" t="n">
        <x:v>3</x:v>
      </x:c>
      <x:c r="X328" s="87"/>
      <x:c r="Y328" s="87"/>
      <x:c r="Z328" s="87"/>
      <x:c r="AA328" s="87"/>
      <x:c r="AB328" s="87"/>
      <x:c r="AC328" s="87"/>
      <x:c r="AD328" s="87"/>
      <x:c r="AE328" s="87"/>
      <x:c r="AF328" s="87"/>
      <x:c r="AG328" s="87"/>
      <x:c r="AH328" s="87"/>
      <x:c r="AI328" s="30"/>
      <x:c r="AJ328" s="87" t="str">
        <x:v>master</x:v>
      </x:c>
      <x:c r="AK328" s="87" t="str">
        <x:v>master-v0.81</x:v>
      </x:c>
      <x:c r="AL328" s="87" t="str">
        <x:v>statgrad_master_base_v0_81_final(2).xlsx</x:v>
      </x:c>
      <x:c r="AM328" s="87" t="str">
        <x:v>BIO_Jan_V1</x:v>
      </x:c>
      <x:c r="AN328" s="87" t="n">
        <x:v>6</x:v>
      </x:c>
    </x:row>
    <x:row r="329">
      <x:c r="A329" s="87" t="n">
        <x:v>328</x:v>
      </x:c>
      <x:c r="B329" s="87" t="str">
        <x:v>JAN-BIO-V1-006</x:v>
      </x:c>
      <x:c r="C329" s="87" t="str">
        <x:v>СтатГрад</x:v>
      </x:c>
      <x:c r="D329" s="87" t="str">
        <x:v>Январь 2026</x:v>
      </x:c>
      <x:c r="E329" s="87"/>
      <x:c r="F329" s="87"/>
      <x:c r="G329" s="87" t="str">
        <x:v>Биология</x:v>
      </x:c>
      <x:c r="H329" s="87" t="n">
        <x:v>11</x:v>
      </x:c>
      <x:c r="I329" s="87" t="str">
        <x:v>ТР №3</x:v>
      </x:c>
      <x:c r="J329" s="87" t="str">
        <x:v>БИ2510301</x:v>
      </x:c>
      <x:c r="K329" s="87" t="n">
        <x:v>6</x:v>
      </x:c>
      <x:c r="L329" s="87" t="str">
        <x:v>Стадии фотосинтеза</x:v>
      </x:c>
      <x:c r="M329" s="30" t="str">
        <x:v>Соотнесите характеристики со световой фазой (1) и циклом Кальвина (2).</x:v>
      </x:c>
      <x:c r="N329" s="30" t="str">
        <x:v>122112</x:v>
      </x:c>
      <x:c r="O329" s="30" t="str">
        <x:v>Возбуждение электронов, фотолиз воды и работа АТФ-синтазы относятся к световой фазе. Фиксация CO₂, расход АТФ и НАДФ·Н и ферментативные реакции в строме относятся к темновой фазе.</x:v>
      </x:c>
      <x:c r="P329" s="30" t="str">
        <x:v>Каждый процесс проверен по месту и энергетике его протекания.</x:v>
      </x:c>
      <x:c r="Q329" s="30"/>
      <x:c r="R329" s="30" t="str">
        <x:v>122112</x:v>
      </x:c>
      <x:c r="S329" s="30"/>
      <x:c r="T329" s="30"/>
      <x:c r="U329" s="30" t="str">
        <x:v>Расхождений нет.</x:v>
      </x:c>
      <x:c r="V329" s="87" t="str">
        <x:v>VERIFIED</x:v>
      </x:c>
      <x:c r="W329" s="87" t="n">
        <x:v>4</x:v>
      </x:c>
      <x:c r="X329" s="87"/>
      <x:c r="Y329" s="87"/>
      <x:c r="Z329" s="87"/>
      <x:c r="AA329" s="87"/>
      <x:c r="AB329" s="87"/>
      <x:c r="AC329" s="87"/>
      <x:c r="AD329" s="87"/>
      <x:c r="AE329" s="87"/>
      <x:c r="AF329" s="87"/>
      <x:c r="AG329" s="87"/>
      <x:c r="AH329" s="87"/>
      <x:c r="AI329" s="30"/>
      <x:c r="AJ329" s="87" t="str">
        <x:v>master</x:v>
      </x:c>
      <x:c r="AK329" s="87" t="str">
        <x:v>master-v0.81</x:v>
      </x:c>
      <x:c r="AL329" s="87" t="str">
        <x:v>statgrad_master_base_v0_81_final(2).xlsx</x:v>
      </x:c>
      <x:c r="AM329" s="87" t="str">
        <x:v>BIO_Jan_V1</x:v>
      </x:c>
      <x:c r="AN329" s="87" t="n">
        <x:v>7</x:v>
      </x:c>
    </x:row>
    <x:row r="330">
      <x:c r="A330" s="87" t="n">
        <x:v>329</x:v>
      </x:c>
      <x:c r="B330" s="87" t="str">
        <x:v>JAN-BIO-V1-007</x:v>
      </x:c>
      <x:c r="C330" s="87" t="str">
        <x:v>СтатГрад</x:v>
      </x:c>
      <x:c r="D330" s="87" t="str">
        <x:v>Январь 2026</x:v>
      </x:c>
      <x:c r="E330" s="87"/>
      <x:c r="F330" s="87"/>
      <x:c r="G330" s="87" t="str">
        <x:v>Биология</x:v>
      </x:c>
      <x:c r="H330" s="87" t="n">
        <x:v>11</x:v>
      </x:c>
      <x:c r="I330" s="87" t="str">
        <x:v>ТР №3</x:v>
      </x:c>
      <x:c r="J330" s="87" t="str">
        <x:v>БИ2510301</x:v>
      </x:c>
      <x:c r="K330" s="87" t="n">
        <x:v>7</x:v>
      </x:c>
      <x:c r="L330" s="87" t="str">
        <x:v>Классическая селекция</x:v>
      </x:c>
      <x:c r="M330" s="30" t="str">
        <x:v>Выберите методы классической селекции.</x:v>
      </x:c>
      <x:c r="N330" s="30" t="str">
        <x:v>134</x:v>
      </x:c>
      <x:c r="O330" s="30" t="str">
        <x:v>К классической селекции относятся гибридизация, испытание производителя по потомству и массовый либо индивидуальный отбор. Клонирование генов, клеточные линии и 3D-печать относятся к современным биотехнологиям.</x:v>
      </x:c>
      <x:c r="P330" s="30" t="str">
        <x:v>Варианты разделены по использованию целых организмов и молекулярно-клеточных технологий.</x:v>
      </x:c>
      <x:c r="Q330" s="30"/>
      <x:c r="R330" s="30" t="str">
        <x:v>134</x:v>
      </x:c>
      <x:c r="S330" s="30"/>
      <x:c r="T330" s="30"/>
      <x:c r="U330" s="30" t="str">
        <x:v>Расхождений нет.</x:v>
      </x:c>
      <x:c r="V330" s="87" t="str">
        <x:v>VERIFIED</x:v>
      </x:c>
      <x:c r="W330" s="87" t="n">
        <x:v>4</x:v>
      </x:c>
      <x:c r="X330" s="87"/>
      <x:c r="Y330" s="87"/>
      <x:c r="Z330" s="87"/>
      <x:c r="AA330" s="87"/>
      <x:c r="AB330" s="87"/>
      <x:c r="AC330" s="87"/>
      <x:c r="AD330" s="87"/>
      <x:c r="AE330" s="87"/>
      <x:c r="AF330" s="87"/>
      <x:c r="AG330" s="87"/>
      <x:c r="AH330" s="87"/>
      <x:c r="AI330" s="30"/>
      <x:c r="AJ330" s="87" t="str">
        <x:v>master</x:v>
      </x:c>
      <x:c r="AK330" s="87" t="str">
        <x:v>master-v0.81</x:v>
      </x:c>
      <x:c r="AL330" s="87" t="str">
        <x:v>statgrad_master_base_v0_81_final(2).xlsx</x:v>
      </x:c>
      <x:c r="AM330" s="87" t="str">
        <x:v>BIO_Jan_V1</x:v>
      </x:c>
      <x:c r="AN330" s="87" t="n">
        <x:v>8</x:v>
      </x:c>
    </x:row>
    <x:row r="331">
      <x:c r="A331" s="87" t="n">
        <x:v>330</x:v>
      </x:c>
      <x:c r="B331" s="87" t="str">
        <x:v>JAN-BIO-V1-008</x:v>
      </x:c>
      <x:c r="C331" s="87" t="str">
        <x:v>СтатГрад</x:v>
      </x:c>
      <x:c r="D331" s="87" t="str">
        <x:v>Январь 2026</x:v>
      </x:c>
      <x:c r="E331" s="87"/>
      <x:c r="F331" s="87"/>
      <x:c r="G331" s="87" t="str">
        <x:v>Биология</x:v>
      </x:c>
      <x:c r="H331" s="87" t="n">
        <x:v>11</x:v>
      </x:c>
      <x:c r="I331" s="87" t="str">
        <x:v>ТР №3</x:v>
      </x:c>
      <x:c r="J331" s="87" t="str">
        <x:v>БИ2510301</x:v>
      </x:c>
      <x:c r="K331" s="87" t="n">
        <x:v>8</x:v>
      </x:c>
      <x:c r="L331" s="87" t="str">
        <x:v>Сперматогенез</x:v>
      </x:c>
      <x:c r="M331" s="30" t="str">
        <x:v>Установите последовательность процессов сперматогенеза.</x:v>
      </x:c>
      <x:c r="N331" s="30" t="str">
        <x:v>41325</x:v>
      </x:c>
      <x:c r="O331" s="30" t="str">
        <x:v>Сначала сперматогонии размножаются, затем растут. После первого деления мейоза возникают сперматоциты II порядка, после второго — гаплоидные сперматиды, которые превращаются в сперматозоиды.</x:v>
      </x:c>
      <x:c r="P331" s="30" t="str">
        <x:v>Последовательность сверена с фазами размножения, роста, созревания и формирования.</x:v>
      </x:c>
      <x:c r="Q331" s="30"/>
      <x:c r="R331" s="30" t="str">
        <x:v>41325</x:v>
      </x:c>
      <x:c r="S331" s="30"/>
      <x:c r="T331" s="30"/>
      <x:c r="U331" s="30" t="str">
        <x:v>Расхождений нет.</x:v>
      </x:c>
      <x:c r="V331" s="87" t="str">
        <x:v>VERIFIED</x:v>
      </x:c>
      <x:c r="W331" s="87" t="n">
        <x:v>4</x:v>
      </x:c>
      <x:c r="X331" s="87"/>
      <x:c r="Y331" s="87"/>
      <x:c r="Z331" s="87"/>
      <x:c r="AA331" s="87"/>
      <x:c r="AB331" s="87"/>
      <x:c r="AC331" s="87"/>
      <x:c r="AD331" s="87"/>
      <x:c r="AE331" s="87"/>
      <x:c r="AF331" s="87"/>
      <x:c r="AG331" s="87"/>
      <x:c r="AH331" s="87"/>
      <x:c r="AI331" s="30"/>
      <x:c r="AJ331" s="87" t="str">
        <x:v>master</x:v>
      </x:c>
      <x:c r="AK331" s="87" t="str">
        <x:v>master-v0.81</x:v>
      </x:c>
      <x:c r="AL331" s="87" t="str">
        <x:v>statgrad_master_base_v0_81_final(2).xlsx</x:v>
      </x:c>
      <x:c r="AM331" s="87" t="str">
        <x:v>BIO_Jan_V1</x:v>
      </x:c>
      <x:c r="AN331" s="87" t="n">
        <x:v>9</x:v>
      </x:c>
    </x:row>
    <x:row r="332">
      <x:c r="A332" s="87" t="n">
        <x:v>331</x:v>
      </x:c>
      <x:c r="B332" s="87" t="str">
        <x:v>JAN-BIO-V1-009</x:v>
      </x:c>
      <x:c r="C332" s="87" t="str">
        <x:v>СтатГрад</x:v>
      </x:c>
      <x:c r="D332" s="87" t="str">
        <x:v>Январь 2026</x:v>
      </x:c>
      <x:c r="E332" s="87"/>
      <x:c r="F332" s="87"/>
      <x:c r="G332" s="87" t="str">
        <x:v>Биология</x:v>
      </x:c>
      <x:c r="H332" s="87" t="n">
        <x:v>11</x:v>
      </x:c>
      <x:c r="I332" s="87" t="str">
        <x:v>ТР №3</x:v>
      </x:c>
      <x:c r="J332" s="87" t="str">
        <x:v>БИ2510301</x:v>
      </x:c>
      <x:c r="K332" s="87" t="n">
        <x:v>9</x:v>
      </x:c>
      <x:c r="L332" s="87" t="str">
        <x:v>Анатомия кольчатого червя</x:v>
      </x:c>
      <x:c r="M332" s="30" t="str">
        <x:v>Какой цифрой на рисунке обозначен зоб?</x:v>
      </x:c>
      <x:c r="N332" s="30" t="str">
        <x:v>6</x:v>
      </x:c>
      <x:c r="O332" s="30" t="str">
        <x:v>Зоб — расширенный отдел пищеварительной трубки в передней части тела, служащий для временного накопления пищи. На рисунке это крупная мешковидная структура под цифрой 6.</x:v>
      </x:c>
      <x:c r="P332" s="30" t="str">
        <x:v>Положение органа проверено по последовательности отделов пищеварительного тракта.</x:v>
      </x:c>
      <x:c r="Q332" s="30"/>
      <x:c r="R332" s="30" t="str">
        <x:v>6</x:v>
      </x:c>
      <x:c r="S332" s="30"/>
      <x:c r="T332" s="30"/>
      <x:c r="U332" s="30" t="str">
        <x:v>Расхождений нет.</x:v>
      </x:c>
      <x:c r="V332" s="87" t="str">
        <x:v>VERIFIED</x:v>
      </x:c>
      <x:c r="W332" s="87" t="n">
        <x:v>5</x:v>
      </x:c>
      <x:c r="X332" s="87"/>
      <x:c r="Y332" s="87"/>
      <x:c r="Z332" s="87"/>
      <x:c r="AA332" s="87"/>
      <x:c r="AB332" s="87"/>
      <x:c r="AC332" s="87"/>
      <x:c r="AD332" s="87"/>
      <x:c r="AE332" s="87"/>
      <x:c r="AF332" s="87"/>
      <x:c r="AG332" s="87"/>
      <x:c r="AH332" s="87"/>
      <x:c r="AI332" s="30"/>
      <x:c r="AJ332" s="87" t="str">
        <x:v>master</x:v>
      </x:c>
      <x:c r="AK332" s="87" t="str">
        <x:v>master-v0.81</x:v>
      </x:c>
      <x:c r="AL332" s="87" t="str">
        <x:v>statgrad_master_base_v0_81_final(2).xlsx</x:v>
      </x:c>
      <x:c r="AM332" s="87" t="str">
        <x:v>BIO_Jan_V1</x:v>
      </x:c>
      <x:c r="AN332" s="87" t="n">
        <x:v>10</x:v>
      </x:c>
    </x:row>
    <x:row r="333">
      <x:c r="A333" s="87" t="n">
        <x:v>332</x:v>
      </x:c>
      <x:c r="B333" s="87" t="str">
        <x:v>JAN-BIO-V1-010</x:v>
      </x:c>
      <x:c r="C333" s="87" t="str">
        <x:v>СтатГрад</x:v>
      </x:c>
      <x:c r="D333" s="87" t="str">
        <x:v>Январь 2026</x:v>
      </x:c>
      <x:c r="E333" s="87"/>
      <x:c r="F333" s="87"/>
      <x:c r="G333" s="87" t="str">
        <x:v>Биология</x:v>
      </x:c>
      <x:c r="H333" s="87" t="n">
        <x:v>11</x:v>
      </x:c>
      <x:c r="I333" s="87" t="str">
        <x:v>ТР №3</x:v>
      </x:c>
      <x:c r="J333" s="87" t="str">
        <x:v>БИ2510301</x:v>
      </x:c>
      <x:c r="K333" s="87" t="n">
        <x:v>10</x:v>
      </x:c>
      <x:c r="L333" s="87" t="str">
        <x:v>Органы кольчатого червя</x:v>
      </x:c>
      <x:c r="M333" s="30" t="str">
        <x:v>Соотнесите характеристики с органами 1, 2 и 3 на рисунке.</x:v>
      </x:c>
      <x:c r="N333" s="30" t="str">
        <x:v>213132</x:v>
      </x:c>
      <x:c r="O333" s="30" t="str">
        <x:v>Орган 1 — нервный узел: регулирует органы и состоит из нейронов. Орган 2 — кишечник: выделяет ферменты и соединяется с желудком. Орган 3 — метанефридий: имеет соответствующее строение и открывается в целом.</x:v>
      </x:c>
      <x:c r="P333" s="30" t="str">
        <x:v>Назначение каждого элемента сверено с его положением на схеме.</x:v>
      </x:c>
      <x:c r="Q333" s="30"/>
      <x:c r="R333" s="30" t="str">
        <x:v>213132</x:v>
      </x:c>
      <x:c r="S333" s="30"/>
      <x:c r="T333" s="30"/>
      <x:c r="U333" s="30" t="str">
        <x:v>Расхождений нет.</x:v>
      </x:c>
      <x:c r="V333" s="87" t="str">
        <x:v>VERIFIED</x:v>
      </x:c>
      <x:c r="W333" s="87" t="n">
        <x:v>5</x:v>
      </x:c>
      <x:c r="X333" s="87"/>
      <x:c r="Y333" s="87"/>
      <x:c r="Z333" s="87"/>
      <x:c r="AA333" s="87"/>
      <x:c r="AB333" s="87"/>
      <x:c r="AC333" s="87"/>
      <x:c r="AD333" s="87"/>
      <x:c r="AE333" s="87"/>
      <x:c r="AF333" s="87"/>
      <x:c r="AG333" s="87"/>
      <x:c r="AH333" s="87"/>
      <x:c r="AI333" s="30"/>
      <x:c r="AJ333" s="87" t="str">
        <x:v>master</x:v>
      </x:c>
      <x:c r="AK333" s="87" t="str">
        <x:v>master-v0.81</x:v>
      </x:c>
      <x:c r="AL333" s="87" t="str">
        <x:v>statgrad_master_base_v0_81_final(2).xlsx</x:v>
      </x:c>
      <x:c r="AM333" s="87" t="str">
        <x:v>BIO_Jan_V1</x:v>
      </x:c>
      <x:c r="AN333" s="87" t="n">
        <x:v>11</x:v>
      </x:c>
    </x:row>
    <x:row r="334">
      <x:c r="A334" s="87" t="n">
        <x:v>333</x:v>
      </x:c>
      <x:c r="B334" s="87" t="str">
        <x:v>JAN-BIO-V1-011</x:v>
      </x:c>
      <x:c r="C334" s="87" t="str">
        <x:v>СтатГрад</x:v>
      </x:c>
      <x:c r="D334" s="87" t="str">
        <x:v>Январь 2026</x:v>
      </x:c>
      <x:c r="E334" s="87"/>
      <x:c r="F334" s="87"/>
      <x:c r="G334" s="87" t="str">
        <x:v>Биология</x:v>
      </x:c>
      <x:c r="H334" s="87" t="n">
        <x:v>11</x:v>
      </x:c>
      <x:c r="I334" s="87" t="str">
        <x:v>ТР №3</x:v>
      </x:c>
      <x:c r="J334" s="87" t="str">
        <x:v>БИ2510301</x:v>
      </x:c>
      <x:c r="K334" s="87" t="n">
        <x:v>11</x:v>
      </x:c>
      <x:c r="L334" s="87" t="str">
        <x:v>Голосеменные растения</x:v>
      </x:c>
      <x:c r="M334" s="30" t="str">
        <x:v>Выберите признаки хвойных растений.</x:v>
      </x:c>
      <x:c r="N334" s="30" t="str">
        <x:v>145</x:v>
      </x:c>
      <x:c r="O334" s="30" t="str">
        <x:v>Хвойные образуют семена, обычно имеют древесное строение и опыляются ветром. Заросток характерен для споровых, листостебельный гаметофит — для мхов, плодов у голосеменных нет.</x:v>
      </x:c>
      <x:c r="P334" s="30" t="str">
        <x:v>Признаки проверены по жизненному циклу и систематическому положению хвойных.</x:v>
      </x:c>
      <x:c r="Q334" s="30"/>
      <x:c r="R334" s="30" t="str">
        <x:v>145</x:v>
      </x:c>
      <x:c r="S334" s="30"/>
      <x:c r="T334" s="30"/>
      <x:c r="U334" s="30" t="str">
        <x:v>Расхождений нет.</x:v>
      </x:c>
      <x:c r="V334" s="87" t="str">
        <x:v>VERIFIED</x:v>
      </x:c>
      <x:c r="W334" s="87" t="n">
        <x:v>6</x:v>
      </x:c>
      <x:c r="X334" s="87"/>
      <x:c r="Y334" s="87"/>
      <x:c r="Z334" s="87"/>
      <x:c r="AA334" s="87"/>
      <x:c r="AB334" s="87"/>
      <x:c r="AC334" s="87"/>
      <x:c r="AD334" s="87"/>
      <x:c r="AE334" s="87"/>
      <x:c r="AF334" s="87"/>
      <x:c r="AG334" s="87"/>
      <x:c r="AH334" s="87"/>
      <x:c r="AI334" s="30"/>
      <x:c r="AJ334" s="87" t="str">
        <x:v>master</x:v>
      </x:c>
      <x:c r="AK334" s="87" t="str">
        <x:v>master-v0.81</x:v>
      </x:c>
      <x:c r="AL334" s="87" t="str">
        <x:v>statgrad_master_base_v0_81_final(2).xlsx</x:v>
      </x:c>
      <x:c r="AM334" s="87" t="str">
        <x:v>BIO_Jan_V1</x:v>
      </x:c>
      <x:c r="AN334" s="87" t="n">
        <x:v>12</x:v>
      </x:c>
    </x:row>
    <x:row r="335">
      <x:c r="A335" s="87" t="n">
        <x:v>334</x:v>
      </x:c>
      <x:c r="B335" s="87" t="str">
        <x:v>JAN-BIO-V1-012</x:v>
      </x:c>
      <x:c r="C335" s="87" t="str">
        <x:v>СтатГрад</x:v>
      </x:c>
      <x:c r="D335" s="87" t="str">
        <x:v>Январь 2026</x:v>
      </x:c>
      <x:c r="E335" s="87"/>
      <x:c r="F335" s="87"/>
      <x:c r="G335" s="87" t="str">
        <x:v>Биология</x:v>
      </x:c>
      <x:c r="H335" s="87" t="n">
        <x:v>11</x:v>
      </x:c>
      <x:c r="I335" s="87" t="str">
        <x:v>ТР №3</x:v>
      </x:c>
      <x:c r="J335" s="87" t="str">
        <x:v>БИ2510301</x:v>
      </x:c>
      <x:c r="K335" s="87" t="n">
        <x:v>12</x:v>
      </x:c>
      <x:c r="L335" s="87" t="str">
        <x:v>Систематика растений</x:v>
      </x:c>
      <x:c r="M335" s="30" t="str">
        <x:v>Расположите таксоны полыни горькой от низшего ранга к высшему.</x:v>
      </x:c>
      <x:c r="N335" s="30" t="str">
        <x:v>541362</x:v>
      </x:c>
      <x:c r="O335" s="30" t="str">
        <x:v>Вид «полынь горькая» входит в род Полынь, семейство Астровые, класс Двудольные, отдел Цветковые и царство Растения.</x:v>
      </x:c>
      <x:c r="P335" s="30" t="str">
        <x:v>Иерархия проверена по схеме вид → род → семейство → класс → отдел → царство.</x:v>
      </x:c>
      <x:c r="Q335" s="30"/>
      <x:c r="R335" s="30" t="str">
        <x:v>541362</x:v>
      </x:c>
      <x:c r="S335" s="30"/>
      <x:c r="T335" s="30"/>
      <x:c r="U335" s="30" t="str">
        <x:v>Расхождений нет.</x:v>
      </x:c>
      <x:c r="V335" s="87" t="str">
        <x:v>VERIFIED</x:v>
      </x:c>
      <x:c r="W335" s="87" t="n">
        <x:v>6</x:v>
      </x:c>
      <x:c r="X335" s="87"/>
      <x:c r="Y335" s="87"/>
      <x:c r="Z335" s="87"/>
      <x:c r="AA335" s="87"/>
      <x:c r="AB335" s="87"/>
      <x:c r="AC335" s="87"/>
      <x:c r="AD335" s="87"/>
      <x:c r="AE335" s="87"/>
      <x:c r="AF335" s="87"/>
      <x:c r="AG335" s="87"/>
      <x:c r="AH335" s="87"/>
      <x:c r="AI335" s="30"/>
      <x:c r="AJ335" s="87" t="str">
        <x:v>master</x:v>
      </x:c>
      <x:c r="AK335" s="87" t="str">
        <x:v>master-v0.81</x:v>
      </x:c>
      <x:c r="AL335" s="87" t="str">
        <x:v>statgrad_master_base_v0_81_final(2).xlsx</x:v>
      </x:c>
      <x:c r="AM335" s="87" t="str">
        <x:v>BIO_Jan_V1</x:v>
      </x:c>
      <x:c r="AN335" s="87" t="n">
        <x:v>13</x:v>
      </x:c>
    </x:row>
    <x:row r="336">
      <x:c r="A336" s="87" t="n">
        <x:v>335</x:v>
      </x:c>
      <x:c r="B336" s="87" t="str">
        <x:v>JAN-BIO-V1-013</x:v>
      </x:c>
      <x:c r="C336" s="87" t="str">
        <x:v>СтатГрад</x:v>
      </x:c>
      <x:c r="D336" s="87" t="str">
        <x:v>Январь 2026</x:v>
      </x:c>
      <x:c r="E336" s="87"/>
      <x:c r="F336" s="87"/>
      <x:c r="G336" s="87" t="str">
        <x:v>Биология</x:v>
      </x:c>
      <x:c r="H336" s="87" t="n">
        <x:v>11</x:v>
      </x:c>
      <x:c r="I336" s="87" t="str">
        <x:v>ТР №3</x:v>
      </x:c>
      <x:c r="J336" s="87" t="str">
        <x:v>БИ2510301</x:v>
      </x:c>
      <x:c r="K336" s="87" t="n">
        <x:v>13</x:v>
      </x:c>
      <x:c r="L336" s="87" t="str">
        <x:v>Кровоснабжение нефрона</x:v>
      </x:c>
      <x:c r="M336" s="30" t="str">
        <x:v>Какой цифрой обозначена почечная вена?</x:v>
      </x:c>
      <x:c r="N336" s="30" t="str">
        <x:v>5</x:v>
      </x:c>
      <x:c r="O336" s="30" t="str">
        <x:v>К почечной вене оттекает кровь из капиллярной сети, оплетающей канальцы нефрона. На схеме этот сосуд обозначен цифрой 5.</x:v>
      </x:c>
      <x:c r="P336" s="30" t="str">
        <x:v>Сосуд 4 даёт ветвь к клубочку и соответствует артериальному руслу; сосуд 5 собирает венозную кровь.</x:v>
      </x:c>
      <x:c r="Q336" s="30"/>
      <x:c r="R336" s="30" t="str">
        <x:v>5</x:v>
      </x:c>
      <x:c r="S336" s="30"/>
      <x:c r="T336" s="30"/>
      <x:c r="U336" s="30" t="str">
        <x:v>Расхождений нет.</x:v>
      </x:c>
      <x:c r="V336" s="87" t="str">
        <x:v>VERIFIED</x:v>
      </x:c>
      <x:c r="W336" s="87" t="n">
        <x:v>7</x:v>
      </x:c>
      <x:c r="X336" s="87"/>
      <x:c r="Y336" s="87"/>
      <x:c r="Z336" s="87"/>
      <x:c r="AA336" s="87"/>
      <x:c r="AB336" s="87"/>
      <x:c r="AC336" s="87"/>
      <x:c r="AD336" s="87"/>
      <x:c r="AE336" s="87"/>
      <x:c r="AF336" s="87"/>
      <x:c r="AG336" s="87"/>
      <x:c r="AH336" s="87"/>
      <x:c r="AI336" s="30"/>
      <x:c r="AJ336" s="87" t="str">
        <x:v>master</x:v>
      </x:c>
      <x:c r="AK336" s="87" t="str">
        <x:v>master-v0.81</x:v>
      </x:c>
      <x:c r="AL336" s="87" t="str">
        <x:v>statgrad_master_base_v0_81_final(2).xlsx</x:v>
      </x:c>
      <x:c r="AM336" s="87" t="str">
        <x:v>BIO_Jan_V1</x:v>
      </x:c>
      <x:c r="AN336" s="87" t="n">
        <x:v>14</x:v>
      </x:c>
    </x:row>
    <x:row r="337">
      <x:c r="A337" s="87" t="n">
        <x:v>336</x:v>
      </x:c>
      <x:c r="B337" s="87" t="str">
        <x:v>JAN-BIO-V1-014</x:v>
      </x:c>
      <x:c r="C337" s="87" t="str">
        <x:v>СтатГрад</x:v>
      </x:c>
      <x:c r="D337" s="87" t="str">
        <x:v>Январь 2026</x:v>
      </x:c>
      <x:c r="E337" s="87"/>
      <x:c r="F337" s="87"/>
      <x:c r="G337" s="87" t="str">
        <x:v>Биология</x:v>
      </x:c>
      <x:c r="H337" s="87" t="n">
        <x:v>11</x:v>
      </x:c>
      <x:c r="I337" s="87" t="str">
        <x:v>ТР №3</x:v>
      </x:c>
      <x:c r="J337" s="87" t="str">
        <x:v>БИ2510301</x:v>
      </x:c>
      <x:c r="K337" s="87" t="n">
        <x:v>14</x:v>
      </x:c>
      <x:c r="L337" s="87" t="str">
        <x:v>Строение нефрона</x:v>
      </x:c>
      <x:c r="M337" s="30" t="str">
        <x:v>Соотнесите характеристики со структурами нефрона 1, 2 и 3.</x:v>
      </x:c>
      <x:c r="N337" s="30" t="str">
        <x:v>233111</x:v>
      </x:c>
      <x:c r="O337" s="30" t="str">
        <x:v>Канальцы нефрона реабсорбируют воду; собирательная трубка принимает мочу нескольких нефронов и открывается в почечную чашечку. Капсула клубочка расположена в коре, содержит капиллярный клубочек и обеспечивает фильтрацию.</x:v>
      </x:c>
      <x:c r="P337" s="30" t="str">
        <x:v>Соответствия проверены по функциям капсулы, канальцев и собирательной трубки.</x:v>
      </x:c>
      <x:c r="Q337" s="30"/>
      <x:c r="R337" s="30" t="str">
        <x:v>233111</x:v>
      </x:c>
      <x:c r="S337" s="30"/>
      <x:c r="T337" s="30"/>
      <x:c r="U337" s="30" t="str">
        <x:v>Расхождений нет.</x:v>
      </x:c>
      <x:c r="V337" s="87" t="str">
        <x:v>VERIFIED</x:v>
      </x:c>
      <x:c r="W337" s="87" t="n">
        <x:v>7</x:v>
      </x:c>
      <x:c r="X337" s="87"/>
      <x:c r="Y337" s="87"/>
      <x:c r="Z337" s="87"/>
      <x:c r="AA337" s="87"/>
      <x:c r="AB337" s="87"/>
      <x:c r="AC337" s="87"/>
      <x:c r="AD337" s="87"/>
      <x:c r="AE337" s="87"/>
      <x:c r="AF337" s="87"/>
      <x:c r="AG337" s="87"/>
      <x:c r="AH337" s="87"/>
      <x:c r="AI337" s="30"/>
      <x:c r="AJ337" s="87" t="str">
        <x:v>master</x:v>
      </x:c>
      <x:c r="AK337" s="87" t="str">
        <x:v>master-v0.81</x:v>
      </x:c>
      <x:c r="AL337" s="87" t="str">
        <x:v>statgrad_master_base_v0_81_final(2).xlsx</x:v>
      </x:c>
      <x:c r="AM337" s="87" t="str">
        <x:v>BIO_Jan_V1</x:v>
      </x:c>
      <x:c r="AN337" s="87" t="n">
        <x:v>15</x:v>
      </x:c>
    </x:row>
    <x:row r="338">
      <x:c r="A338" s="87" t="n">
        <x:v>337</x:v>
      </x:c>
      <x:c r="B338" s="87" t="str">
        <x:v>JAN-BIO-V1-015</x:v>
      </x:c>
      <x:c r="C338" s="87" t="str">
        <x:v>СтатГрад</x:v>
      </x:c>
      <x:c r="D338" s="87" t="str">
        <x:v>Январь 2026</x:v>
      </x:c>
      <x:c r="E338" s="87"/>
      <x:c r="F338" s="87"/>
      <x:c r="G338" s="87" t="str">
        <x:v>Биология</x:v>
      </x:c>
      <x:c r="H338" s="87" t="n">
        <x:v>11</x:v>
      </x:c>
      <x:c r="I338" s="87" t="str">
        <x:v>ТР №3</x:v>
      </x:c>
      <x:c r="J338" s="87" t="str">
        <x:v>БИ2510301</x:v>
      </x:c>
      <x:c r="K338" s="87" t="n">
        <x:v>15</x:v>
      </x:c>
      <x:c r="L338" s="87" t="str">
        <x:v>Строение кожи</x:v>
      </x:c>
      <x:c r="M338" s="30" t="str">
        <x:v>Какие структуры расположены в эпидермисе человека?</x:v>
      </x:c>
      <x:c r="N338" s="30" t="str">
        <x:v>246</x:v>
      </x:c>
      <x:c r="O338" s="30" t="str">
        <x:v>В эпидермисе находятся меланоциты, роговой слой и свободные нервные окончания. Сальные железы, жировые клетки и волосяные фолликулы расположены глубже.</x:v>
      </x:c>
      <x:c r="P338" s="30" t="str">
        <x:v>Ответ проверен по послойному строению кожи.</x:v>
      </x:c>
      <x:c r="Q338" s="30"/>
      <x:c r="R338" s="30" t="str">
        <x:v>246</x:v>
      </x:c>
      <x:c r="S338" s="30"/>
      <x:c r="T338" s="30"/>
      <x:c r="U338" s="30" t="str">
        <x:v>Расхождений нет.</x:v>
      </x:c>
      <x:c r="V338" s="87" t="str">
        <x:v>VERIFIED</x:v>
      </x:c>
      <x:c r="W338" s="87" t="n">
        <x:v>8</x:v>
      </x:c>
      <x:c r="X338" s="87"/>
      <x:c r="Y338" s="87"/>
      <x:c r="Z338" s="87"/>
      <x:c r="AA338" s="87"/>
      <x:c r="AB338" s="87"/>
      <x:c r="AC338" s="87"/>
      <x:c r="AD338" s="87"/>
      <x:c r="AE338" s="87"/>
      <x:c r="AF338" s="87"/>
      <x:c r="AG338" s="87"/>
      <x:c r="AH338" s="87"/>
      <x:c r="AI338" s="30"/>
      <x:c r="AJ338" s="87" t="str">
        <x:v>master</x:v>
      </x:c>
      <x:c r="AK338" s="87" t="str">
        <x:v>master-v0.81</x:v>
      </x:c>
      <x:c r="AL338" s="87" t="str">
        <x:v>statgrad_master_base_v0_81_final(2).xlsx</x:v>
      </x:c>
      <x:c r="AM338" s="87" t="str">
        <x:v>BIO_Jan_V1</x:v>
      </x:c>
      <x:c r="AN338" s="87" t="n">
        <x:v>16</x:v>
      </x:c>
    </x:row>
    <x:row r="339">
      <x:c r="A339" s="87" t="n">
        <x:v>338</x:v>
      </x:c>
      <x:c r="B339" s="87" t="str">
        <x:v>JAN-BIO-V1-016</x:v>
      </x:c>
      <x:c r="C339" s="87" t="str">
        <x:v>СтатГрад</x:v>
      </x:c>
      <x:c r="D339" s="87" t="str">
        <x:v>Январь 2026</x:v>
      </x:c>
      <x:c r="E339" s="87"/>
      <x:c r="F339" s="87"/>
      <x:c r="G339" s="87" t="str">
        <x:v>Биология</x:v>
      </x:c>
      <x:c r="H339" s="87" t="n">
        <x:v>11</x:v>
      </x:c>
      <x:c r="I339" s="87" t="str">
        <x:v>ТР №3</x:v>
      </x:c>
      <x:c r="J339" s="87" t="str">
        <x:v>БИ2510301</x:v>
      </x:c>
      <x:c r="K339" s="87" t="n">
        <x:v>16</x:v>
      </x:c>
      <x:c r="L339" s="87" t="str">
        <x:v>Уровни организации</x:v>
      </x:c>
      <x:c r="M339" s="30" t="str">
        <x:v>Расположите элементы от наиболее крупного к наиболее мелкому.</x:v>
      </x:c>
      <x:c r="N339" s="30" t="str">
        <x:v>542136</x:v>
      </x:c>
      <x:c r="O339" s="30" t="str">
        <x:v>Ротовая полость содержит резцы; резец является зубом, зуб имеет коронку, коронка покрыта эмалью, а эмаль состоит преимущественно из гидроксиапатита.</x:v>
      </x:c>
      <x:c r="P339" s="30" t="str">
        <x:v>Соподчинение проверено по отношению «часть — целое».</x:v>
      </x:c>
      <x:c r="Q339" s="30"/>
      <x:c r="R339" s="30" t="str">
        <x:v>542136</x:v>
      </x:c>
      <x:c r="S339" s="30"/>
      <x:c r="T339" s="30"/>
      <x:c r="U339" s="30" t="str">
        <x:v>Расхождений нет.</x:v>
      </x:c>
      <x:c r="V339" s="87" t="str">
        <x:v>VERIFIED</x:v>
      </x:c>
      <x:c r="W339" s="87" t="n">
        <x:v>8</x:v>
      </x:c>
      <x:c r="X339" s="87"/>
      <x:c r="Y339" s="87"/>
      <x:c r="Z339" s="87"/>
      <x:c r="AA339" s="87"/>
      <x:c r="AB339" s="87"/>
      <x:c r="AC339" s="87"/>
      <x:c r="AD339" s="87"/>
      <x:c r="AE339" s="87"/>
      <x:c r="AF339" s="87"/>
      <x:c r="AG339" s="87"/>
      <x:c r="AH339" s="87"/>
      <x:c r="AI339" s="30"/>
      <x:c r="AJ339" s="87" t="str">
        <x:v>master</x:v>
      </x:c>
      <x:c r="AK339" s="87" t="str">
        <x:v>master-v0.81</x:v>
      </x:c>
      <x:c r="AL339" s="87" t="str">
        <x:v>statgrad_master_base_v0_81_final(2).xlsx</x:v>
      </x:c>
      <x:c r="AM339" s="87" t="str">
        <x:v>BIO_Jan_V1</x:v>
      </x:c>
      <x:c r="AN339" s="87" t="n">
        <x:v>17</x:v>
      </x:c>
    </x:row>
    <x:row r="340">
      <x:c r="A340" s="87" t="n">
        <x:v>339</x:v>
      </x:c>
      <x:c r="B340" s="87" t="str">
        <x:v>JAN-BIO-V1-017</x:v>
      </x:c>
      <x:c r="C340" s="87" t="str">
        <x:v>СтатГрад</x:v>
      </x:c>
      <x:c r="D340" s="87" t="str">
        <x:v>Январь 2026</x:v>
      </x:c>
      <x:c r="E340" s="87"/>
      <x:c r="F340" s="87"/>
      <x:c r="G340" s="87" t="str">
        <x:v>Биология</x:v>
      </x:c>
      <x:c r="H340" s="87" t="n">
        <x:v>11</x:v>
      </x:c>
      <x:c r="I340" s="87" t="str">
        <x:v>ТР №3</x:v>
      </x:c>
      <x:c r="J340" s="87" t="str">
        <x:v>БИ2510301</x:v>
      </x:c>
      <x:c r="K340" s="87" t="n">
        <x:v>17</x:v>
      </x:c>
      <x:c r="L340" s="87" t="str">
        <x:v>Видообразование</x:v>
      </x:c>
      <x:c r="M340" s="30" t="str">
        <x:v>Выберите описания географического видообразования.</x:v>
      </x:c>
      <x:c r="N340" s="30" t="str">
        <x:v>156</x:v>
      </x:c>
      <x:c r="O340" s="30" t="str">
        <x:v>Географическое видообразование связано с пространственной изоляцией: заселением островов, разделением ареала и разделением популяций горным хребтом.</x:v>
      </x:c>
      <x:c r="P340" s="30" t="str">
        <x:v>Пункты 2–4 описывают экологическое расхождение без обязательного географического барьера.</x:v>
      </x:c>
      <x:c r="Q340" s="30"/>
      <x:c r="R340" s="30" t="str">
        <x:v>156</x:v>
      </x:c>
      <x:c r="S340" s="30"/>
      <x:c r="T340" s="30"/>
      <x:c r="U340" s="30" t="str">
        <x:v>Расхождений нет.</x:v>
      </x:c>
      <x:c r="V340" s="87" t="str">
        <x:v>VERIFIED</x:v>
      </x:c>
      <x:c r="W340" s="87" t="n">
        <x:v>8</x:v>
      </x:c>
      <x:c r="X340" s="87"/>
      <x:c r="Y340" s="87"/>
      <x:c r="Z340" s="87"/>
      <x:c r="AA340" s="87"/>
      <x:c r="AB340" s="87"/>
      <x:c r="AC340" s="87"/>
      <x:c r="AD340" s="87"/>
      <x:c r="AE340" s="87"/>
      <x:c r="AF340" s="87"/>
      <x:c r="AG340" s="87"/>
      <x:c r="AH340" s="87"/>
      <x:c r="AI340" s="30"/>
      <x:c r="AJ340" s="87" t="str">
        <x:v>master</x:v>
      </x:c>
      <x:c r="AK340" s="87" t="str">
        <x:v>master-v0.81</x:v>
      </x:c>
      <x:c r="AL340" s="87" t="str">
        <x:v>statgrad_master_base_v0_81_final(2).xlsx</x:v>
      </x:c>
      <x:c r="AM340" s="87" t="str">
        <x:v>BIO_Jan_V1</x:v>
      </x:c>
      <x:c r="AN340" s="87" t="n">
        <x:v>18</x:v>
      </x:c>
    </x:row>
    <x:row r="341">
      <x:c r="A341" s="87" t="n">
        <x:v>340</x:v>
      </x:c>
      <x:c r="B341" s="87" t="str">
        <x:v>JAN-BIO-V1-018</x:v>
      </x:c>
      <x:c r="C341" s="87" t="str">
        <x:v>СтатГрад</x:v>
      </x:c>
      <x:c r="D341" s="87" t="str">
        <x:v>Январь 2026</x:v>
      </x:c>
      <x:c r="E341" s="87"/>
      <x:c r="F341" s="87"/>
      <x:c r="G341" s="87" t="str">
        <x:v>Биология</x:v>
      </x:c>
      <x:c r="H341" s="87" t="n">
        <x:v>11</x:v>
      </x:c>
      <x:c r="I341" s="87" t="str">
        <x:v>ТР №3</x:v>
      </x:c>
      <x:c r="J341" s="87" t="str">
        <x:v>БИ2510301</x:v>
      </x:c>
      <x:c r="K341" s="87" t="n">
        <x:v>18</x:v>
      </x:c>
      <x:c r="L341" s="87" t="str">
        <x:v>Ограничивающие факторы</x:v>
      </x:c>
      <x:c r="M341" s="30" t="str">
        <x:v>Какие абиотические факторы ограничивают жизнь в верхних слоях тропосферы?</x:v>
      </x:c>
      <x:c r="N341" s="30" t="str">
        <x:v>345</x:v>
      </x:c>
      <x:c r="O341" s="30" t="str">
        <x:v>На большой высоте ограничивают низкое парциальное давление кислорода, отрицательные температуры и интенсивная солнечная радиация.</x:v>
      </x:c>
      <x:c r="P341" s="30" t="str">
        <x:v>Высокое давление и высокое содержание озона не соответствуют условиям верхней тропосферы.</x:v>
      </x:c>
      <x:c r="Q341" s="30"/>
      <x:c r="R341" s="30" t="str">
        <x:v>345</x:v>
      </x:c>
      <x:c r="S341" s="30"/>
      <x:c r="T341" s="30"/>
      <x:c r="U341" s="30" t="str">
        <x:v>Расхождений нет.</x:v>
      </x:c>
      <x:c r="V341" s="87" t="str">
        <x:v>VERIFIED</x:v>
      </x:c>
      <x:c r="W341" s="87" t="n">
        <x:v>9</x:v>
      </x:c>
      <x:c r="X341" s="87"/>
      <x:c r="Y341" s="87"/>
      <x:c r="Z341" s="87"/>
      <x:c r="AA341" s="87"/>
      <x:c r="AB341" s="87"/>
      <x:c r="AC341" s="87"/>
      <x:c r="AD341" s="87"/>
      <x:c r="AE341" s="87"/>
      <x:c r="AF341" s="87"/>
      <x:c r="AG341" s="87"/>
      <x:c r="AH341" s="87"/>
      <x:c r="AI341" s="30"/>
      <x:c r="AJ341" s="87" t="str">
        <x:v>master</x:v>
      </x:c>
      <x:c r="AK341" s="87" t="str">
        <x:v>master-v0.81</x:v>
      </x:c>
      <x:c r="AL341" s="87" t="str">
        <x:v>statgrad_master_base_v0_81_final(2).xlsx</x:v>
      </x:c>
      <x:c r="AM341" s="87" t="str">
        <x:v>BIO_Jan_V1</x:v>
      </x:c>
      <x:c r="AN341" s="87" t="n">
        <x:v>19</x:v>
      </x:c>
    </x:row>
    <x:row r="342">
      <x:c r="A342" s="87" t="n">
        <x:v>341</x:v>
      </x:c>
      <x:c r="B342" s="87" t="str">
        <x:v>JAN-BIO-V1-019</x:v>
      </x:c>
      <x:c r="C342" s="87" t="str">
        <x:v>СтатГрад</x:v>
      </x:c>
      <x:c r="D342" s="87" t="str">
        <x:v>Январь 2026</x:v>
      </x:c>
      <x:c r="E342" s="87"/>
      <x:c r="F342" s="87"/>
      <x:c r="G342" s="87" t="str">
        <x:v>Биология</x:v>
      </x:c>
      <x:c r="H342" s="87" t="n">
        <x:v>11</x:v>
      </x:c>
      <x:c r="I342" s="87" t="str">
        <x:v>ТР №3</x:v>
      </x:c>
      <x:c r="J342" s="87" t="str">
        <x:v>БИ2510301</x:v>
      </x:c>
      <x:c r="K342" s="87" t="n">
        <x:v>19</x:v>
      </x:c>
      <x:c r="L342" s="87" t="str">
        <x:v>Критерии вида</x:v>
      </x:c>
      <x:c r="M342" s="30" t="str">
        <x:v>Соотнесите признаки опунции инжирной с экологическим, физиологическим и морфологическим критериями.</x:v>
      </x:c>
      <x:c r="N342" s="30" t="str">
        <x:v>233311</x:v>
      </x:c>
      <x:c r="O342" s="30" t="str">
        <x:v>CAM-фотосинтез — физиологический критерий; жизненная форма, суккулентный стебель и восковое покрытие — морфологический; местообитание и распространение плодов животными — экологический.</x:v>
      </x:c>
      <x:c r="P342" s="30" t="str">
        <x:v>Каждый признак классифицирован по типу описываемого свойства.</x:v>
      </x:c>
      <x:c r="Q342" s="30"/>
      <x:c r="R342" s="30" t="str">
        <x:v>233311</x:v>
      </x:c>
      <x:c r="S342" s="30"/>
      <x:c r="T342" s="30"/>
      <x:c r="U342" s="30" t="str">
        <x:v>Расхождений нет.</x:v>
      </x:c>
      <x:c r="V342" s="87" t="str">
        <x:v>VERIFIED</x:v>
      </x:c>
      <x:c r="W342" s="87" t="n">
        <x:v>9</x:v>
      </x:c>
      <x:c r="X342" s="87"/>
      <x:c r="Y342" s="87"/>
      <x:c r="Z342" s="87"/>
      <x:c r="AA342" s="87"/>
      <x:c r="AB342" s="87"/>
      <x:c r="AC342" s="87"/>
      <x:c r="AD342" s="87"/>
      <x:c r="AE342" s="87"/>
      <x:c r="AF342" s="87"/>
      <x:c r="AG342" s="87"/>
      <x:c r="AH342" s="87"/>
      <x:c r="AI342" s="30"/>
      <x:c r="AJ342" s="87" t="str">
        <x:v>master</x:v>
      </x:c>
      <x:c r="AK342" s="87" t="str">
        <x:v>master-v0.81</x:v>
      </x:c>
      <x:c r="AL342" s="87" t="str">
        <x:v>statgrad_master_base_v0_81_final(2).xlsx</x:v>
      </x:c>
      <x:c r="AM342" s="87" t="str">
        <x:v>BIO_Jan_V1</x:v>
      </x:c>
      <x:c r="AN342" s="87" t="n">
        <x:v>20</x:v>
      </x:c>
    </x:row>
    <x:row r="343">
      <x:c r="A343" s="87" t="n">
        <x:v>342</x:v>
      </x:c>
      <x:c r="B343" s="87" t="str">
        <x:v>JAN-BIO-V1-020</x:v>
      </x:c>
      <x:c r="C343" s="87" t="str">
        <x:v>СтатГрад</x:v>
      </x:c>
      <x:c r="D343" s="87" t="str">
        <x:v>Январь 2026</x:v>
      </x:c>
      <x:c r="E343" s="87"/>
      <x:c r="F343" s="87"/>
      <x:c r="G343" s="87" t="str">
        <x:v>Биология</x:v>
      </x:c>
      <x:c r="H343" s="87" t="n">
        <x:v>11</x:v>
      </x:c>
      <x:c r="I343" s="87" t="str">
        <x:v>ТР №3</x:v>
      </x:c>
      <x:c r="J343" s="87" t="str">
        <x:v>БИ2510301</x:v>
      </x:c>
      <x:c r="K343" s="87" t="n">
        <x:v>20</x:v>
      </x:c>
      <x:c r="L343" s="87" t="str">
        <x:v>Экологическая характеристика организма</x:v>
      </x:c>
      <x:c r="M343" s="30" t="str">
        <x:v>Определите среду обитания, таксономическую группу и функциональную роль изображённого сосальщика.</x:v>
      </x:c>
      <x:c r="N343" s="30" t="str">
        <x:v>165</x:v>
      </x:c>
      <x:c r="O343" s="30" t="str">
        <x:v>Сосальщик живёт в организме хозяина, относится к классу Сосальщики и является консументом, поскольку питается готовым органическим веществом.</x:v>
      </x:c>
      <x:c r="P343" s="30" t="str">
        <x:v>Признаки тела сопоставлены с плоскими червями-паразитами.</x:v>
      </x:c>
      <x:c r="Q343" s="30"/>
      <x:c r="R343" s="30" t="str">
        <x:v>165</x:v>
      </x:c>
      <x:c r="S343" s="30"/>
      <x:c r="T343" s="30"/>
      <x:c r="U343" s="30" t="str">
        <x:v>Расхождений нет.</x:v>
      </x:c>
      <x:c r="V343" s="87" t="str">
        <x:v>VERIFIED</x:v>
      </x:c>
      <x:c r="W343" s="87" t="n">
        <x:v>10</x:v>
      </x:c>
      <x:c r="X343" s="87"/>
      <x:c r="Y343" s="87"/>
      <x:c r="Z343" s="87"/>
      <x:c r="AA343" s="87"/>
      <x:c r="AB343" s="87"/>
      <x:c r="AC343" s="87"/>
      <x:c r="AD343" s="87"/>
      <x:c r="AE343" s="87"/>
      <x:c r="AF343" s="87"/>
      <x:c r="AG343" s="87"/>
      <x:c r="AH343" s="87"/>
      <x:c r="AI343" s="30"/>
      <x:c r="AJ343" s="87" t="str">
        <x:v>master</x:v>
      </x:c>
      <x:c r="AK343" s="87" t="str">
        <x:v>master-v0.81</x:v>
      </x:c>
      <x:c r="AL343" s="87" t="str">
        <x:v>statgrad_master_base_v0_81_final(2).xlsx</x:v>
      </x:c>
      <x:c r="AM343" s="87" t="str">
        <x:v>BIO_Jan_V1</x:v>
      </x:c>
      <x:c r="AN343" s="87" t="n">
        <x:v>21</x:v>
      </x:c>
    </x:row>
    <x:row r="344">
      <x:c r="A344" s="87" t="n">
        <x:v>343</x:v>
      </x:c>
      <x:c r="B344" s="87" t="str">
        <x:v>JAN-BIO-V1-021</x:v>
      </x:c>
      <x:c r="C344" s="87" t="str">
        <x:v>СтатГрад</x:v>
      </x:c>
      <x:c r="D344" s="87" t="str">
        <x:v>Январь 2026</x:v>
      </x:c>
      <x:c r="E344" s="87"/>
      <x:c r="F344" s="87"/>
      <x:c r="G344" s="87" t="str">
        <x:v>Биология</x:v>
      </x:c>
      <x:c r="H344" s="87" t="n">
        <x:v>11</x:v>
      </x:c>
      <x:c r="I344" s="87" t="str">
        <x:v>ТР №3</x:v>
      </x:c>
      <x:c r="J344" s="87" t="str">
        <x:v>БИ2510301</x:v>
      </x:c>
      <x:c r="K344" s="87" t="n">
        <x:v>21</x:v>
      </x:c>
      <x:c r="L344" s="87" t="str">
        <x:v>Анализ графика</x:v>
      </x:c>
      <x:c r="M344" s="30" t="str">
        <x:v>Выберите выводы, которые можно сделать по зависимости скорости роста фитопланктона от интенсивности света.</x:v>
      </x:c>
      <x:c r="N344" s="30" t="str">
        <x:v>24</x:v>
      </x:c>
      <x:c r="O344" s="30" t="str">
        <x:v>В исследованном диапазоне скорость роста обоих видов сначала увеличивается с освещённостью. При интенсивности выше примерно 250 лм кривые выходят на плато.</x:v>
      </x:c>
      <x:c r="P344" s="30" t="str">
        <x:v>Причинную конкуренцию и поведение видов при иных условиях по графику установить нельзя.</x:v>
      </x:c>
      <x:c r="Q344" s="30"/>
      <x:c r="R344" s="30" t="str">
        <x:v>24</x:v>
      </x:c>
      <x:c r="S344" s="30"/>
      <x:c r="T344" s="30"/>
      <x:c r="U344" s="30" t="str">
        <x:v>Расхождений нет.</x:v>
      </x:c>
      <x:c r="V344" s="87" t="str">
        <x:v>VERIFIED</x:v>
      </x:c>
      <x:c r="W344" s="87" t="n">
        <x:v>11</x:v>
      </x:c>
      <x:c r="X344" s="87"/>
      <x:c r="Y344" s="87"/>
      <x:c r="Z344" s="87"/>
      <x:c r="AA344" s="87"/>
      <x:c r="AB344" s="87"/>
      <x:c r="AC344" s="87"/>
      <x:c r="AD344" s="87"/>
      <x:c r="AE344" s="87"/>
      <x:c r="AF344" s="87"/>
      <x:c r="AG344" s="87"/>
      <x:c r="AH344" s="87"/>
      <x:c r="AI344" s="30"/>
      <x:c r="AJ344" s="87" t="str">
        <x:v>master</x:v>
      </x:c>
      <x:c r="AK344" s="87" t="str">
        <x:v>master-v0.81</x:v>
      </x:c>
      <x:c r="AL344" s="87" t="str">
        <x:v>statgrad_master_base_v0_81_final(2).xlsx</x:v>
      </x:c>
      <x:c r="AM344" s="87" t="str">
        <x:v>BIO_Jan_V1</x:v>
      </x:c>
      <x:c r="AN344" s="87" t="n">
        <x:v>22</x:v>
      </x:c>
    </x:row>
    <x:row r="345">
      <x:c r="A345" s="87" t="n">
        <x:v>344</x:v>
      </x:c>
      <x:c r="B345" s="87" t="str">
        <x:v>JAN-BIO-V1-022</x:v>
      </x:c>
      <x:c r="C345" s="87" t="str">
        <x:v>СтатГрад</x:v>
      </x:c>
      <x:c r="D345" s="87" t="str">
        <x:v>Январь 2026</x:v>
      </x:c>
      <x:c r="E345" s="87"/>
      <x:c r="F345" s="87"/>
      <x:c r="G345" s="87" t="str">
        <x:v>Биология</x:v>
      </x:c>
      <x:c r="H345" s="87" t="n">
        <x:v>11</x:v>
      </x:c>
      <x:c r="I345" s="87" t="str">
        <x:v>ТР №3</x:v>
      </x:c>
      <x:c r="J345" s="87" t="str">
        <x:v>БИ2510301</x:v>
      </x:c>
      <x:c r="K345" s="87" t="n">
        <x:v>22</x:v>
      </x:c>
      <x:c r="L345" s="87" t="str">
        <x:v>Развёрнутый ответ: планирование эксперимента</x:v>
      </x:c>
      <x:c r="M345" s="30" t="str">
        <x:v>Сформулируйте две нулевые гипотезы; объясните использование повторностей и необходимость одинаковой питательной среды.</x:v>
      </x:c>
      <x:c r="N345" s="30" t="str">
        <x:v>H0₁: оптическая плотность не зависит от наличия мутации; H0₂: оптическая плотность не зависит от времени. Повторности повышают достоверность и уменьшают влияние случайной изменчивости. Разные среды могут иметь разную исходную оптическую плотность и не позволят явно связать результат со штаммом или временем.</x:v>
      </x:c>
      <x:c r="O345" s="30" t="str">
        <x:v>Ответ содержит две проверяемые нулевые гипотезы, роль повторностей и два следствия различия сред.</x:v>
      </x:c>
      <x:c r="P345" s="30"/>
      <x:c r="Q345" s="30"/>
      <x:c r="R345" s="30" t="str">
        <x:v>Критерии, стр. 2</x:v>
      </x:c>
      <x:c r="S345" s="30"/>
      <x:c r="T345" s="30"/>
      <x:c r="U345" s="30" t="str">
        <x:v>Критерий сохранён на отдельном листе без смысловой правки.</x:v>
      </x:c>
      <x:c r="V345" s="87" t="str">
        <x:v>VERIFIED</x:v>
      </x:c>
      <x:c r="W345" s="87" t="n">
        <x:v>12</x:v>
      </x:c>
      <x:c r="X345" s="87"/>
      <x:c r="Y345" s="87"/>
      <x:c r="Z345" s="87"/>
      <x:c r="AA345" s="87"/>
      <x:c r="AB345" s="87"/>
      <x:c r="AC345" s="87"/>
      <x:c r="AD345" s="87"/>
      <x:c r="AE345" s="87"/>
      <x:c r="AF345" s="87"/>
      <x:c r="AG345" s="87"/>
      <x:c r="AH345" s="87"/>
      <x:c r="AI345" s="30" t="str">
        <x:v>{"_alignment": "REALIGNED_MISSING_INDEPENDENT_CHECK"}</x:v>
      </x:c>
      <x:c r="AJ345" s="87" t="str">
        <x:v>master</x:v>
      </x:c>
      <x:c r="AK345" s="87" t="str">
        <x:v>master-v0.81</x:v>
      </x:c>
      <x:c r="AL345" s="87" t="str">
        <x:v>statgrad_master_base_v0_81_final(2).xlsx</x:v>
      </x:c>
      <x:c r="AM345" s="87" t="str">
        <x:v>BIO_Jan_V1</x:v>
      </x:c>
      <x:c r="AN345" s="87" t="n">
        <x:v>23</x:v>
      </x:c>
    </x:row>
    <x:row r="346">
      <x:c r="A346" s="87" t="n">
        <x:v>345</x:v>
      </x:c>
      <x:c r="B346" s="87" t="str">
        <x:v>JAN-BIO-V1-023</x:v>
      </x:c>
      <x:c r="C346" s="87" t="str">
        <x:v>СтатГрад</x:v>
      </x:c>
      <x:c r="D346" s="87" t="str">
        <x:v>Январь 2026</x:v>
      </x:c>
      <x:c r="E346" s="87"/>
      <x:c r="F346" s="87"/>
      <x:c r="G346" s="87" t="str">
        <x:v>Биология</x:v>
      </x:c>
      <x:c r="H346" s="87" t="n">
        <x:v>11</x:v>
      </x:c>
      <x:c r="I346" s="87" t="str">
        <x:v>ТР №3</x:v>
      </x:c>
      <x:c r="J346" s="87" t="str">
        <x:v>БИ2510301</x:v>
      </x:c>
      <x:c r="K346" s="87" t="n">
        <x:v>23</x:v>
      </x:c>
      <x:c r="L346" s="87" t="str">
        <x:v>Развёрнутый ответ: белки-шапероны</x:v>
      </x:c>
      <x:c r="M346" s="30" t="str">
        <x:v>Объясните замедление роста мутантного штамма и назовите две причины сохранения жизнеспособности.</x:v>
      </x:c>
      <x:c r="N346" s="30" t="str">
        <x:v>Из-за дефекта шаперона часть белков сворачивается неправильно и теряет функцию, поэтому обмен веществ и рост замедляются. Клетки сохраняются, поскольку могут работать другие шапероны или немутантные копии гена; кроме того, часть белков сворачивается без шаперонов, а мутантный белок может сохранять остаточную активность.</x:v>
      </x:c>
      <x:c r="O346" s="30" t="str">
        <x:v>Обязательные элементы — неправильное сворачивание, функциональная недостаточность и минимум две компенсирующие причины.</x:v>
      </x:c>
      <x:c r="P346" s="30"/>
      <x:c r="Q346" s="30"/>
      <x:c r="R346" s="30" t="str">
        <x:v>Критерии, стр. 3</x:v>
      </x:c>
      <x:c r="S346" s="30"/>
      <x:c r="T346" s="30"/>
      <x:c r="U346" s="30" t="str">
        <x:v>Критерий сохранён на отдельном листе без смысловой правки.</x:v>
      </x:c>
      <x:c r="V346" s="87" t="str">
        <x:v>VERIFIED</x:v>
      </x:c>
      <x:c r="W346" s="87" t="n">
        <x:v>12</x:v>
      </x:c>
      <x:c r="X346" s="87"/>
      <x:c r="Y346" s="87"/>
      <x:c r="Z346" s="87"/>
      <x:c r="AA346" s="87"/>
      <x:c r="AB346" s="87"/>
      <x:c r="AC346" s="87"/>
      <x:c r="AD346" s="87"/>
      <x:c r="AE346" s="87"/>
      <x:c r="AF346" s="87"/>
      <x:c r="AG346" s="87"/>
      <x:c r="AH346" s="87"/>
      <x:c r="AI346" s="30" t="str">
        <x:v>{"_alignment": "REALIGNED_MISSING_INDEPENDENT_CHECK"}</x:v>
      </x:c>
      <x:c r="AJ346" s="87" t="str">
        <x:v>master</x:v>
      </x:c>
      <x:c r="AK346" s="87" t="str">
        <x:v>master-v0.81</x:v>
      </x:c>
      <x:c r="AL346" s="87" t="str">
        <x:v>statgrad_master_base_v0_81_final(2).xlsx</x:v>
      </x:c>
      <x:c r="AM346" s="87" t="str">
        <x:v>BIO_Jan_V1</x:v>
      </x:c>
      <x:c r="AN346" s="87" t="n">
        <x:v>24</x:v>
      </x:c>
    </x:row>
    <x:row r="347">
      <x:c r="A347" s="87" t="n">
        <x:v>346</x:v>
      </x:c>
      <x:c r="B347" s="87" t="str">
        <x:v>JAN-BIO-V1-024</x:v>
      </x:c>
      <x:c r="C347" s="87" t="str">
        <x:v>СтатГрад</x:v>
      </x:c>
      <x:c r="D347" s="87" t="str">
        <x:v>Январь 2026</x:v>
      </x:c>
      <x:c r="E347" s="87"/>
      <x:c r="F347" s="87"/>
      <x:c r="G347" s="87" t="str">
        <x:v>Биология</x:v>
      </x:c>
      <x:c r="H347" s="87" t="n">
        <x:v>11</x:v>
      </x:c>
      <x:c r="I347" s="87" t="str">
        <x:v>ТР №3</x:v>
      </x:c>
      <x:c r="J347" s="87" t="str">
        <x:v>БИ2510301</x:v>
      </x:c>
      <x:c r="K347" s="87" t="n">
        <x:v>24</x:v>
      </x:c>
      <x:c r="L347" s="87" t="str">
        <x:v>Развёрнутый ответ: газообмен</x:v>
      </x:c>
      <x:c r="M347" s="30" t="str">
        <x:v>Определите процесс на рисунке, тип крови и образующийся тип гемоглобина.</x:v>
      </x:c>
      <x:c r="N347" s="30" t="str">
        <x:v>Внешнее (альвеолярное) дыхание: газы диффундируют между альвеолой и капилляром. Кровь становится артериальной, насыщается кислородом; образуется оксигемоглобин.</x:v>
      </x:c>
      <x:c r="O347" s="30" t="str">
        <x:v>Направления O₂ и CO₂ на рисунке проверены относительно альвеолярного воздуха и крови.</x:v>
      </x:c>
      <x:c r="P347" s="30"/>
      <x:c r="Q347" s="30"/>
      <x:c r="R347" s="30" t="str">
        <x:v>Критерии, стр. 4</x:v>
      </x:c>
      <x:c r="S347" s="30"/>
      <x:c r="T347" s="30"/>
      <x:c r="U347" s="30" t="str">
        <x:v>Критерий сохранён на отдельном листе без смысловой правки.</x:v>
      </x:c>
      <x:c r="V347" s="87" t="str">
        <x:v>VERIFIED</x:v>
      </x:c>
      <x:c r="W347" s="87" t="n">
        <x:v>13</x:v>
      </x:c>
      <x:c r="X347" s="87"/>
      <x:c r="Y347" s="87"/>
      <x:c r="Z347" s="87"/>
      <x:c r="AA347" s="87"/>
      <x:c r="AB347" s="87"/>
      <x:c r="AC347" s="87"/>
      <x:c r="AD347" s="87"/>
      <x:c r="AE347" s="87"/>
      <x:c r="AF347" s="87"/>
      <x:c r="AG347" s="87"/>
      <x:c r="AH347" s="87"/>
      <x:c r="AI347" s="30" t="str">
        <x:v>{"_alignment": "REALIGNED_MISSING_INDEPENDENT_CHECK"}</x:v>
      </x:c>
      <x:c r="AJ347" s="87" t="str">
        <x:v>master</x:v>
      </x:c>
      <x:c r="AK347" s="87" t="str">
        <x:v>master-v0.81</x:v>
      </x:c>
      <x:c r="AL347" s="87" t="str">
        <x:v>statgrad_master_base_v0_81_final(2).xlsx</x:v>
      </x:c>
      <x:c r="AM347" s="87" t="str">
        <x:v>BIO_Jan_V1</x:v>
      </x:c>
      <x:c r="AN347" s="87" t="n">
        <x:v>25</x:v>
      </x:c>
    </x:row>
    <x:row r="348">
      <x:c r="A348" s="87" t="n">
        <x:v>347</x:v>
      </x:c>
      <x:c r="B348" s="87" t="str">
        <x:v>JAN-BIO-V1-025</x:v>
      </x:c>
      <x:c r="C348" s="87" t="str">
        <x:v>СтатГрад</x:v>
      </x:c>
      <x:c r="D348" s="87" t="str">
        <x:v>Январь 2026</x:v>
      </x:c>
      <x:c r="E348" s="87"/>
      <x:c r="F348" s="87"/>
      <x:c r="G348" s="87" t="str">
        <x:v>Биология</x:v>
      </x:c>
      <x:c r="H348" s="87" t="n">
        <x:v>11</x:v>
      </x:c>
      <x:c r="I348" s="87" t="str">
        <x:v>ТР №3</x:v>
      </x:c>
      <x:c r="J348" s="87" t="str">
        <x:v>БИ2510301</x:v>
      </x:c>
      <x:c r="K348" s="87" t="n">
        <x:v>25</x:v>
      </x:c>
      <x:c r="L348" s="87" t="str">
        <x:v>Развёрнутый ответ: регуляция родов</x:v>
      </x:c>
      <x:c r="M348" s="30" t="str">
        <x:v>Назовите две регуляторные системы, их роль в родах и два последствия гипофункции задней доли гипофиза.</x:v>
      </x:c>
      <x:c r="N348" s="30" t="str">
        <x:v>Участвуют гуморальная и нервная системы. Окситоцин гуморально запускает сокращения матки, нервная система координирует схватки и управляет потугами. Дефицит окситоцина может нарушить лактацию и формирование привязанности; также возможно замедление послеродового сокращения матки и повышение риска кровотечения.</x:v>
      </x:c>
      <x:c r="O348" s="30" t="str">
        <x:v>Проверены роли гормональной и нервной регуляции и два последствия недостатка окситоцина.</x:v>
      </x:c>
      <x:c r="P348" s="30"/>
      <x:c r="Q348" s="30"/>
      <x:c r="R348" s="30" t="str">
        <x:v>Критерии, стр. 5</x:v>
      </x:c>
      <x:c r="S348" s="30"/>
      <x:c r="T348" s="30"/>
      <x:c r="U348" s="30" t="str">
        <x:v>Критерий сохранён на отдельном листе без смысловой правки.</x:v>
      </x:c>
      <x:c r="V348" s="87" t="str">
        <x:v>VERIFIED</x:v>
      </x:c>
      <x:c r="W348" s="87" t="n">
        <x:v>13</x:v>
      </x:c>
      <x:c r="X348" s="87"/>
      <x:c r="Y348" s="87"/>
      <x:c r="Z348" s="87"/>
      <x:c r="AA348" s="87"/>
      <x:c r="AB348" s="87"/>
      <x:c r="AC348" s="87"/>
      <x:c r="AD348" s="87"/>
      <x:c r="AE348" s="87"/>
      <x:c r="AF348" s="87"/>
      <x:c r="AG348" s="87"/>
      <x:c r="AH348" s="87"/>
      <x:c r="AI348" s="30" t="str">
        <x:v>{"_alignment": "REALIGNED_MISSING_INDEPENDENT_CHECK"}</x:v>
      </x:c>
      <x:c r="AJ348" s="87" t="str">
        <x:v>master</x:v>
      </x:c>
      <x:c r="AK348" s="87" t="str">
        <x:v>master-v0.81</x:v>
      </x:c>
      <x:c r="AL348" s="87" t="str">
        <x:v>statgrad_master_base_v0_81_final(2).xlsx</x:v>
      </x:c>
      <x:c r="AM348" s="87" t="str">
        <x:v>BIO_Jan_V1</x:v>
      </x:c>
      <x:c r="AN348" s="87" t="n">
        <x:v>26</x:v>
      </x:c>
    </x:row>
    <x:row r="349">
      <x:c r="A349" s="87" t="n">
        <x:v>348</x:v>
      </x:c>
      <x:c r="B349" s="87" t="str">
        <x:v>JAN-BIO-V1-026</x:v>
      </x:c>
      <x:c r="C349" s="87" t="str">
        <x:v>СтатГрад</x:v>
      </x:c>
      <x:c r="D349" s="87" t="str">
        <x:v>Январь 2026</x:v>
      </x:c>
      <x:c r="E349" s="87"/>
      <x:c r="F349" s="87"/>
      <x:c r="G349" s="87" t="str">
        <x:v>Биология</x:v>
      </x:c>
      <x:c r="H349" s="87" t="n">
        <x:v>11</x:v>
      </x:c>
      <x:c r="I349" s="87" t="str">
        <x:v>ТР №3</x:v>
      </x:c>
      <x:c r="J349" s="87" t="str">
        <x:v>БИ2510301</x:v>
      </x:c>
      <x:c r="K349" s="87" t="n">
        <x:v>26</x:v>
      </x:c>
      <x:c r="L349" s="87" t="str">
        <x:v>Развёрнутый ответ: адаптации</x:v>
      </x:c>
      <x:c r="M349" s="30" t="str">
        <x:v>Объясните сходные адаптации растений пустыни и тундры, назовите две листовые адаптации и форму эволюции.</x:v>
      </x:c>
      <x:c r="N349" s="30" t="str">
        <x:v>Общий лимитирующий фактор — дефицит доступной воды. В пустыне вода быстро испаряется и редко поступает, в тундре она недоступна из-за холода и мерзлоты. Возможные адаптации: мелкие или скрученные листья, толстая кутикула, углублённые устьица, опушение либо водоносная паренхима. Сходство возникло путём конвергенции.</x:v>
      </x:c>
      <x:c r="O349" s="30" t="str">
        <x:v>Ответ отдельно раскрывает причины водного дефицита в двух зонах, две адаптации и форму эволюции.</x:v>
      </x:c>
      <x:c r="P349" s="30"/>
      <x:c r="Q349" s="30"/>
      <x:c r="R349" s="30" t="str">
        <x:v>Критерии, стр. 6</x:v>
      </x:c>
      <x:c r="S349" s="30"/>
      <x:c r="T349" s="30"/>
      <x:c r="U349" s="30" t="str">
        <x:v>Критерий сохранён на отдельном листе без смысловой правки.</x:v>
      </x:c>
      <x:c r="V349" s="87" t="str">
        <x:v>VERIFIED</x:v>
      </x:c>
      <x:c r="W349" s="87" t="n">
        <x:v>13</x:v>
      </x:c>
      <x:c r="X349" s="87"/>
      <x:c r="Y349" s="87"/>
      <x:c r="Z349" s="87"/>
      <x:c r="AA349" s="87"/>
      <x:c r="AB349" s="87"/>
      <x:c r="AC349" s="87"/>
      <x:c r="AD349" s="87"/>
      <x:c r="AE349" s="87"/>
      <x:c r="AF349" s="87"/>
      <x:c r="AG349" s="87"/>
      <x:c r="AH349" s="87"/>
      <x:c r="AI349" s="30" t="str">
        <x:v>{"_alignment": "REALIGNED_MISSING_INDEPENDENT_CHECK"}</x:v>
      </x:c>
      <x:c r="AJ349" s="87" t="str">
        <x:v>master</x:v>
      </x:c>
      <x:c r="AK349" s="87" t="str">
        <x:v>master-v0.81</x:v>
      </x:c>
      <x:c r="AL349" s="87" t="str">
        <x:v>statgrad_master_base_v0_81_final(2).xlsx</x:v>
      </x:c>
      <x:c r="AM349" s="87" t="str">
        <x:v>BIO_Jan_V1</x:v>
      </x:c>
      <x:c r="AN349" s="87" t="n">
        <x:v>27</x:v>
      </x:c>
    </x:row>
    <x:row r="350">
      <x:c r="A350" s="87" t="n">
        <x:v>349</x:v>
      </x:c>
      <x:c r="B350" s="87" t="str">
        <x:v>JAN-BIO-V1-027</x:v>
      </x:c>
      <x:c r="C350" s="87" t="str">
        <x:v>СтатГрад</x:v>
      </x:c>
      <x:c r="D350" s="87" t="str">
        <x:v>Январь 2026</x:v>
      </x:c>
      <x:c r="E350" s="87"/>
      <x:c r="F350" s="87"/>
      <x:c r="G350" s="87" t="str">
        <x:v>Биология</x:v>
      </x:c>
      <x:c r="H350" s="87" t="n">
        <x:v>11</x:v>
      </x:c>
      <x:c r="I350" s="87" t="str">
        <x:v>ТР №3</x:v>
      </x:c>
      <x:c r="J350" s="87" t="str">
        <x:v>БИ2510301</x:v>
      </x:c>
      <x:c r="K350" s="87" t="n">
        <x:v>27</x:v>
      </x:c>
      <x:c r="L350" s="87" t="str">
        <x:v>Развёрнутый ответ: тмРНК и генетический код</x:v>
      </x:c>
      <x:c r="M350" s="30" t="str">
        <x:v>Определите последовательность тмРНК, её шпилечную структуру, открытую рамку считывания и полипептид.</x:v>
      </x:c>
      <x:c r="N350" s="30" t="str">
        <x:v>тмРНК: 5'-ЦЦГАУУЦЦУЦЦАГААУЦААГЦАЦАУАГУУЦАЦ-3'. Начальный участок образует шпильку за счёт комплементарных пар. ОРС: 5'-ГЦАЦАУАГУУЦА(Ц)-3'. Полипептид: ала–гис–сер–сер.</x:v>
      </x:c>
      <x:c r="O350" s="30" t="str">
        <x:v>РНК получена комплементарно матричной цепи ДНК; кодоны ГЦА, ЦАУ, АГУ и УЦА переведены по генетическому коду.</x:v>
      </x:c>
      <x:c r="P350" s="30"/>
      <x:c r="Q350" s="30"/>
      <x:c r="R350" s="30" t="str">
        <x:v>Критерии, стр. 7–8</x:v>
      </x:c>
      <x:c r="S350" s="30"/>
      <x:c r="T350" s="30"/>
      <x:c r="U350" s="30" t="str">
        <x:v>Направления цепей и скобочная конечная буква сохранены по критерию.</x:v>
      </x:c>
      <x:c r="V350" s="87" t="str">
        <x:v>VERIFIED</x:v>
      </x:c>
      <x:c r="W350" s="87" t="n">
        <x:v>14</x:v>
      </x:c>
      <x:c r="X350" s="87"/>
      <x:c r="Y350" s="87"/>
      <x:c r="Z350" s="87"/>
      <x:c r="AA350" s="87"/>
      <x:c r="AB350" s="87"/>
      <x:c r="AC350" s="87"/>
      <x:c r="AD350" s="87"/>
      <x:c r="AE350" s="87"/>
      <x:c r="AF350" s="87"/>
      <x:c r="AG350" s="87"/>
      <x:c r="AH350" s="87"/>
      <x:c r="AI350" s="30" t="str">
        <x:v>{"_alignment": "REALIGNED_MISSING_INDEPENDENT_CHECK"}</x:v>
      </x:c>
      <x:c r="AJ350" s="87" t="str">
        <x:v>master</x:v>
      </x:c>
      <x:c r="AK350" s="87" t="str">
        <x:v>master-v0.81</x:v>
      </x:c>
      <x:c r="AL350" s="87" t="str">
        <x:v>statgrad_master_base_v0_81_final(2).xlsx</x:v>
      </x:c>
      <x:c r="AM350" s="87" t="str">
        <x:v>BIO_Jan_V1</x:v>
      </x:c>
      <x:c r="AN350" s="87" t="n">
        <x:v>28</x:v>
      </x:c>
    </x:row>
    <x:row r="351">
      <x:c r="A351" s="87" t="n">
        <x:v>350</x:v>
      </x:c>
      <x:c r="B351" s="87" t="str">
        <x:v>JAN-BIO-V1-028</x:v>
      </x:c>
      <x:c r="C351" s="87" t="str">
        <x:v>СтатГрад</x:v>
      </x:c>
      <x:c r="D351" s="87" t="str">
        <x:v>Январь 2026</x:v>
      </x:c>
      <x:c r="E351" s="87"/>
      <x:c r="F351" s="87"/>
      <x:c r="G351" s="87" t="str">
        <x:v>Биология</x:v>
      </x:c>
      <x:c r="H351" s="87" t="n">
        <x:v>11</x:v>
      </x:c>
      <x:c r="I351" s="87" t="str">
        <x:v>ТР №3</x:v>
      </x:c>
      <x:c r="J351" s="87" t="str">
        <x:v>БИ2510301</x:v>
      </x:c>
      <x:c r="K351" s="87" t="n">
        <x:v>28</x:v>
      </x:c>
      <x:c r="L351" s="87" t="str">
        <x:v>Развёрнутый ответ: сцепленное с полом наследование</x:v>
      </x:c>
      <x:c r="M351" s="30" t="str">
        <x:v>Определите генотипы, фенотипы и пол родителей и потомства в двух скрещиваниях и объясните расщепление.</x:v>
      </x:c>
      <x:c r="N351" s="30" t="str">
        <x:v>Длина антенн наследуется аутосомно: A — длинные, a — короткие; цвет глаз сцеплен с X: B — красные, b — белые. 1) ♀AAXᴮXᴮ × ♂aaXᵇY → дочери AaXᴮXᵇ и сыновья AaXᴮY, все длинноусые красноглазые. 2) ♀aaXᵇXᵇ × ♂AAXᴮY → дочери AaXᴮXᵇ длинноусые красноглазые, сыновья AaXᵇY длинноусые белоглазые. Различие связано с наследованием X-хромосомы сыном только от матери.</x:v>
      </x:c>
      <x:c r="O351" s="30" t="str">
        <x:v>Обе схемы проверены по гаметам и раздельному наследованию аутосомного и X-сцепленного генов.</x:v>
      </x:c>
      <x:c r="P351" s="30"/>
      <x:c r="Q351" s="30"/>
      <x:c r="R351" s="30" t="str">
        <x:v>Критерии, стр. 9</x:v>
      </x:c>
      <x:c r="S351" s="30"/>
      <x:c r="T351" s="30"/>
      <x:c r="U351" s="30" t="str">
        <x:v>Критерий допускает иную генетическую символику.</x:v>
      </x:c>
      <x:c r="V351" s="87" t="str">
        <x:v>VERIFIED</x:v>
      </x:c>
      <x:c r="W351" s="87" t="n">
        <x:v>15</x:v>
      </x:c>
      <x:c r="X351" s="87"/>
      <x:c r="Y351" s="87"/>
      <x:c r="Z351" s="87"/>
      <x:c r="AA351" s="87"/>
      <x:c r="AB351" s="87"/>
      <x:c r="AC351" s="87"/>
      <x:c r="AD351" s="87"/>
      <x:c r="AE351" s="87"/>
      <x:c r="AF351" s="87"/>
      <x:c r="AG351" s="87"/>
      <x:c r="AH351" s="87"/>
      <x:c r="AI351" s="30" t="str">
        <x:v>{"_alignment": "REALIGNED_MISSING_INDEPENDENT_CHECK"}</x:v>
      </x:c>
      <x:c r="AJ351" s="87" t="str">
        <x:v>master</x:v>
      </x:c>
      <x:c r="AK351" s="87" t="str">
        <x:v>master-v0.81</x:v>
      </x:c>
      <x:c r="AL351" s="87" t="str">
        <x:v>statgrad_master_base_v0_81_final(2).xlsx</x:v>
      </x:c>
      <x:c r="AM351" s="87" t="str">
        <x:v>BIO_Jan_V1</x:v>
      </x:c>
      <x:c r="AN351" s="87" t="n">
        <x:v>29</x:v>
      </x:c>
    </x:row>
    <x:row r="352">
      <x:c r="A352" s="87" t="n">
        <x:v>351</x:v>
      </x:c>
      <x:c r="B352" s="87" t="str">
        <x:v>JAN-BIO-V2-001</x:v>
      </x:c>
      <x:c r="C352" s="87" t="str">
        <x:v>СтатГрад</x:v>
      </x:c>
      <x:c r="D352" s="87" t="str">
        <x:v>Январь 2026</x:v>
      </x:c>
      <x:c r="E352" s="87"/>
      <x:c r="F352" s="87"/>
      <x:c r="G352" s="87" t="str">
        <x:v>Биология</x:v>
      </x:c>
      <x:c r="H352" s="87" t="n">
        <x:v>11</x:v>
      </x:c>
      <x:c r="I352" s="87" t="str">
        <x:v>ТР №3</x:v>
      </x:c>
      <x:c r="J352" s="87" t="str">
        <x:v>БИ2510302</x:v>
      </x:c>
      <x:c r="K352" s="87" t="n">
        <x:v>1</x:v>
      </x:c>
      <x:c r="L352" s="87" t="str">
        <x:v>Методы биологических исследований</x:v>
      </x:c>
      <x:c r="M352" s="30" t="str">
        <x:v>По примеру «изучение явления фагоцитоза у амёбы обыкновенной» определите частнонаучный метод.</x:v>
      </x:c>
      <x:c r="N352" s="30" t="str">
        <x:v>микроскопия; микроскопирование</x:v>
      </x:c>
      <x:c r="O352" s="30" t="str">
        <x:v>Фагоцитоз у одноклеточного организма наблюдают непосредственно под микроскопом, поэтому используется метод микроскопии.</x:v>
      </x:c>
      <x:c r="P352" s="30" t="str">
        <x:v>Объект и процесс имеют клеточный масштаб и требуют оптического увеличения.</x:v>
      </x:c>
      <x:c r="Q352" s="30"/>
      <x:c r="R352" s="30" t="str">
        <x:v>микроскопия; микроскопирование</x:v>
      </x:c>
      <x:c r="S352" s="30"/>
      <x:c r="T352" s="30"/>
      <x:c r="U352" s="30" t="str">
        <x:v>Расхождений нет.</x:v>
      </x:c>
      <x:c r="V352" s="87" t="str">
        <x:v>VERIFIED</x:v>
      </x:c>
      <x:c r="W352" s="87" t="n">
        <x:v>2</x:v>
      </x:c>
      <x:c r="X352" s="87"/>
      <x:c r="Y352" s="87"/>
      <x:c r="Z352" s="87"/>
      <x:c r="AA352" s="87"/>
      <x:c r="AB352" s="87"/>
      <x:c r="AC352" s="87"/>
      <x:c r="AD352" s="87"/>
      <x:c r="AE352" s="87"/>
      <x:c r="AF352" s="87"/>
      <x:c r="AG352" s="87"/>
      <x:c r="AH352" s="87"/>
      <x:c r="AI352" s="30"/>
      <x:c r="AJ352" s="87" t="str">
        <x:v>master</x:v>
      </x:c>
      <x:c r="AK352" s="87" t="str">
        <x:v>master-v0.81</x:v>
      </x:c>
      <x:c r="AL352" s="87" t="str">
        <x:v>statgrad_master_base_v0_81_final(2).xlsx</x:v>
      </x:c>
      <x:c r="AM352" s="87" t="str">
        <x:v>BIO_Jan_V2</x:v>
      </x:c>
      <x:c r="AN352" s="87" t="n">
        <x:v>2</x:v>
      </x:c>
    </x:row>
    <x:row r="353">
      <x:c r="A353" s="87" t="n">
        <x:v>352</x:v>
      </x:c>
      <x:c r="B353" s="87" t="str">
        <x:v>JAN-BIO-V2-002</x:v>
      </x:c>
      <x:c r="C353" s="87" t="str">
        <x:v>СтатГрад</x:v>
      </x:c>
      <x:c r="D353" s="87" t="str">
        <x:v>Январь 2026</x:v>
      </x:c>
      <x:c r="E353" s="87"/>
      <x:c r="F353" s="87"/>
      <x:c r="G353" s="87" t="str">
        <x:v>Биология</x:v>
      </x:c>
      <x:c r="H353" s="87" t="n">
        <x:v>11</x:v>
      </x:c>
      <x:c r="I353" s="87" t="str">
        <x:v>ТР №3</x:v>
      </x:c>
      <x:c r="J353" s="87" t="str">
        <x:v>БИ2510302</x:v>
      </x:c>
      <x:c r="K353" s="87" t="n">
        <x:v>2</x:v>
      </x:c>
      <x:c r="L353" s="87" t="str">
        <x:v>Химический опыт и строение яйца</x:v>
      </x:c>
      <x:c r="M353" s="30" t="str">
        <x:v>Яйцо со скорлупой поместили в уксус. Определите изменение количества карбоната кальция и объёма желтка.</x:v>
      </x:c>
      <x:c r="N353" s="30" t="str">
        <x:v>2; 3</x:v>
      </x:c>
      <x:c r="O353" s="30" t="str">
        <x:v>Карбонат кальция скорлупы реагирует с уксусной кислотой и его количество уменьшается. Желток отделён оболочками и за время опыта его объём существенно не меняется.</x:v>
      </x:c>
      <x:c r="P353" s="30" t="str">
        <x:v>Направление реакции проверено по выделению CO₂; изменение скорлупы не означает изменение объёма желтка.</x:v>
      </x:c>
      <x:c r="Q353" s="30"/>
      <x:c r="R353" s="30" t="str">
        <x:v>2; 3</x:v>
      </x:c>
      <x:c r="S353" s="30"/>
      <x:c r="T353" s="30"/>
      <x:c r="U353" s="30" t="str">
        <x:v>Расхождений нет.</x:v>
      </x:c>
      <x:c r="V353" s="87" t="str">
        <x:v>VERIFIED</x:v>
      </x:c>
      <x:c r="W353" s="87" t="n">
        <x:v>2</x:v>
      </x:c>
      <x:c r="X353" s="87"/>
      <x:c r="Y353" s="87"/>
      <x:c r="Z353" s="87"/>
      <x:c r="AA353" s="87"/>
      <x:c r="AB353" s="87"/>
      <x:c r="AC353" s="87"/>
      <x:c r="AD353" s="87"/>
      <x:c r="AE353" s="87"/>
      <x:c r="AF353" s="87"/>
      <x:c r="AG353" s="87"/>
      <x:c r="AH353" s="87"/>
      <x:c r="AI353" s="30"/>
      <x:c r="AJ353" s="87" t="str">
        <x:v>master</x:v>
      </x:c>
      <x:c r="AK353" s="87" t="str">
        <x:v>master-v0.81</x:v>
      </x:c>
      <x:c r="AL353" s="87" t="str">
        <x:v>statgrad_master_base_v0_81_final(2).xlsx</x:v>
      </x:c>
      <x:c r="AM353" s="87" t="str">
        <x:v>BIO_Jan_V2</x:v>
      </x:c>
      <x:c r="AN353" s="87" t="n">
        <x:v>3</x:v>
      </x:c>
    </x:row>
    <x:row r="354">
      <x:c r="A354" s="87" t="n">
        <x:v>353</x:v>
      </x:c>
      <x:c r="B354" s="87" t="str">
        <x:v>JAN-BIO-V2-003</x:v>
      </x:c>
      <x:c r="C354" s="87" t="str">
        <x:v>СтатГрад</x:v>
      </x:c>
      <x:c r="D354" s="87" t="str">
        <x:v>Январь 2026</x:v>
      </x:c>
      <x:c r="E354" s="87"/>
      <x:c r="F354" s="87"/>
      <x:c r="G354" s="87" t="str">
        <x:v>Биология</x:v>
      </x:c>
      <x:c r="H354" s="87" t="n">
        <x:v>11</x:v>
      </x:c>
      <x:c r="I354" s="87" t="str">
        <x:v>ТР №3</x:v>
      </x:c>
      <x:c r="J354" s="87" t="str">
        <x:v>БИ2510302</x:v>
      </x:c>
      <x:c r="K354" s="87" t="n">
        <x:v>3</x:v>
      </x:c>
      <x:c r="L354" s="87" t="str">
        <x:v>Хромосомный набор гаметы</x:v>
      </x:c>
      <x:c r="M354" s="30" t="str">
        <x:v>Сколько половых хромосом содержит яйцеклетка человека?</x:v>
      </x:c>
      <x:c r="N354" s="30" t="str">
        <x:v>1</x:v>
      </x:c>
      <x:c r="O354" s="30" t="str">
        <x:v>Яйцеклетка является гаплоидной и содержит одну половую хромосому X.</x:v>
      </x:c>
      <x:c r="P354" s="30" t="str">
        <x:v>Из диплоидного набора 46 после мейоза образуется гамета с 23 хромосомами, одна из них половая.</x:v>
      </x:c>
      <x:c r="Q354" s="30"/>
      <x:c r="R354" s="30" t="str">
        <x:v>1</x:v>
      </x:c>
      <x:c r="S354" s="30"/>
      <x:c r="T354" s="30"/>
      <x:c r="U354" s="30" t="str">
        <x:v>Расхождений нет.</x:v>
      </x:c>
      <x:c r="V354" s="87" t="str">
        <x:v>VERIFIED</x:v>
      </x:c>
      <x:c r="W354" s="87" t="n">
        <x:v>2</x:v>
      </x:c>
      <x:c r="X354" s="87"/>
      <x:c r="Y354" s="87"/>
      <x:c r="Z354" s="87"/>
      <x:c r="AA354" s="87"/>
      <x:c r="AB354" s="87"/>
      <x:c r="AC354" s="87"/>
      <x:c r="AD354" s="87"/>
      <x:c r="AE354" s="87"/>
      <x:c r="AF354" s="87"/>
      <x:c r="AG354" s="87"/>
      <x:c r="AH354" s="87"/>
      <x:c r="AI354" s="30"/>
      <x:c r="AJ354" s="87" t="str">
        <x:v>master</x:v>
      </x:c>
      <x:c r="AK354" s="87" t="str">
        <x:v>master-v0.81</x:v>
      </x:c>
      <x:c r="AL354" s="87" t="str">
        <x:v>statgrad_master_base_v0_81_final(2).xlsx</x:v>
      </x:c>
      <x:c r="AM354" s="87" t="str">
        <x:v>BIO_Jan_V2</x:v>
      </x:c>
      <x:c r="AN354" s="87" t="n">
        <x:v>4</x:v>
      </x:c>
    </x:row>
    <x:row r="355">
      <x:c r="A355" s="87" t="n">
        <x:v>354</x:v>
      </x:c>
      <x:c r="B355" s="87" t="str">
        <x:v>JAN-BIO-V2-004</x:v>
      </x:c>
      <x:c r="C355" s="87" t="str">
        <x:v>СтатГрад</x:v>
      </x:c>
      <x:c r="D355" s="87" t="str">
        <x:v>Январь 2026</x:v>
      </x:c>
      <x:c r="E355" s="87"/>
      <x:c r="F355" s="87"/>
      <x:c r="G355" s="87" t="str">
        <x:v>Биология</x:v>
      </x:c>
      <x:c r="H355" s="87" t="n">
        <x:v>11</x:v>
      </x:c>
      <x:c r="I355" s="87" t="str">
        <x:v>ТР №3</x:v>
      </x:c>
      <x:c r="J355" s="87" t="str">
        <x:v>БИ2510302</x:v>
      </x:c>
      <x:c r="K355" s="87" t="n">
        <x:v>4</x:v>
      </x:c>
      <x:c r="L355" s="87" t="str">
        <x:v>Неполное доминирование</x:v>
      </x:c>
      <x:c r="M355" s="30" t="str">
        <x:v>Какое фенотипическое расщепление ожидается при скрещивании двух гетерозигот при неполном доминировании?</x:v>
      </x:c>
      <x:c r="N355" s="30" t="str">
        <x:v>121</x:v>
      </x:c>
      <x:c r="O355" s="30" t="str">
        <x:v>При Aa × Aa генотипы распределяются как 1AA:2Aa:1aa. При неполном доминировании каждому генотипу соответствует отдельный фенотип, поэтому фенотипическое соотношение также 1:2:1.</x:v>
      </x:c>
      <x:c r="P355" s="30" t="str">
        <x:v>Решётка Пеннета даёт четыре равновероятные комбинации.</x:v>
      </x:c>
      <x:c r="Q355" s="30"/>
      <x:c r="R355" s="30" t="str">
        <x:v>121</x:v>
      </x:c>
      <x:c r="S355" s="30"/>
      <x:c r="T355" s="30"/>
      <x:c r="U355" s="30" t="str">
        <x:v>Расхождений нет.</x:v>
      </x:c>
      <x:c r="V355" s="87" t="str">
        <x:v>VERIFIED</x:v>
      </x:c>
      <x:c r="W355" s="87" t="n">
        <x:v>2</x:v>
      </x:c>
      <x:c r="X355" s="87"/>
      <x:c r="Y355" s="87"/>
      <x:c r="Z355" s="87"/>
      <x:c r="AA355" s="87"/>
      <x:c r="AB355" s="87"/>
      <x:c r="AC355" s="87"/>
      <x:c r="AD355" s="87"/>
      <x:c r="AE355" s="87"/>
      <x:c r="AF355" s="87"/>
      <x:c r="AG355" s="87"/>
      <x:c r="AH355" s="87"/>
      <x:c r="AI355" s="30"/>
      <x:c r="AJ355" s="87" t="str">
        <x:v>master</x:v>
      </x:c>
      <x:c r="AK355" s="87" t="str">
        <x:v>master-v0.81</x:v>
      </x:c>
      <x:c r="AL355" s="87" t="str">
        <x:v>statgrad_master_base_v0_81_final(2).xlsx</x:v>
      </x:c>
      <x:c r="AM355" s="87" t="str">
        <x:v>BIO_Jan_V2</x:v>
      </x:c>
      <x:c r="AN355" s="87" t="n">
        <x:v>5</x:v>
      </x:c>
    </x:row>
    <x:row r="356">
      <x:c r="A356" s="87" t="n">
        <x:v>355</x:v>
      </x:c>
      <x:c r="B356" s="87" t="str">
        <x:v>JAN-BIO-V2-005</x:v>
      </x:c>
      <x:c r="C356" s="87" t="str">
        <x:v>СтатГрад</x:v>
      </x:c>
      <x:c r="D356" s="87" t="str">
        <x:v>Январь 2026</x:v>
      </x:c>
      <x:c r="E356" s="87"/>
      <x:c r="F356" s="87"/>
      <x:c r="G356" s="87" t="str">
        <x:v>Биология</x:v>
      </x:c>
      <x:c r="H356" s="87" t="n">
        <x:v>11</x:v>
      </x:c>
      <x:c r="I356" s="87" t="str">
        <x:v>ТР №3</x:v>
      </x:c>
      <x:c r="J356" s="87" t="str">
        <x:v>БИ2510302</x:v>
      </x:c>
      <x:c r="K356" s="87" t="n">
        <x:v>5</x:v>
      </x:c>
      <x:c r="L356" s="87" t="str">
        <x:v>Клеточное дыхание</x:v>
      </x:c>
      <x:c r="M356" s="30" t="str">
        <x:v>Какой цифрой на схеме клеточного дыхания обозначена пировиноградная кислота?</x:v>
      </x:c>
      <x:c r="N356" s="30" t="str">
        <x:v>4</x:v>
      </x:c>
      <x:c r="O356" s="30" t="str">
        <x:v>Пировиноградная кислота является конечным продуктом гликолиза и расположена между глюкозой и ацетилкоферментом A. На схеме это блок 4.</x:v>
      </x:c>
      <x:c r="P356" s="30" t="str">
        <x:v>Положение проверено по последовательности гликолиз → окислительное декарбоксилирование → цикл Кребса.</x:v>
      </x:c>
      <x:c r="Q356" s="30"/>
      <x:c r="R356" s="30" t="str">
        <x:v>4</x:v>
      </x:c>
      <x:c r="S356" s="30"/>
      <x:c r="T356" s="30"/>
      <x:c r="U356" s="30" t="str">
        <x:v>Расхождений нет.</x:v>
      </x:c>
      <x:c r="V356" s="87" t="str">
        <x:v>VERIFIED</x:v>
      </x:c>
      <x:c r="W356" s="87" t="n">
        <x:v>3</x:v>
      </x:c>
      <x:c r="X356" s="87"/>
      <x:c r="Y356" s="87"/>
      <x:c r="Z356" s="87"/>
      <x:c r="AA356" s="87"/>
      <x:c r="AB356" s="87"/>
      <x:c r="AC356" s="87"/>
      <x:c r="AD356" s="87"/>
      <x:c r="AE356" s="87"/>
      <x:c r="AF356" s="87"/>
      <x:c r="AG356" s="87"/>
      <x:c r="AH356" s="87"/>
      <x:c r="AI356" s="30"/>
      <x:c r="AJ356" s="87" t="str">
        <x:v>master</x:v>
      </x:c>
      <x:c r="AK356" s="87" t="str">
        <x:v>master-v0.81</x:v>
      </x:c>
      <x:c r="AL356" s="87" t="str">
        <x:v>statgrad_master_base_v0_81_final(2).xlsx</x:v>
      </x:c>
      <x:c r="AM356" s="87" t="str">
        <x:v>BIO_Jan_V2</x:v>
      </x:c>
      <x:c r="AN356" s="87" t="n">
        <x:v>6</x:v>
      </x:c>
    </x:row>
    <x:row r="357">
      <x:c r="A357" s="87" t="n">
        <x:v>356</x:v>
      </x:c>
      <x:c r="B357" s="87" t="str">
        <x:v>JAN-BIO-V2-006</x:v>
      </x:c>
      <x:c r="C357" s="87" t="str">
        <x:v>СтатГрад</x:v>
      </x:c>
      <x:c r="D357" s="87" t="str">
        <x:v>Январь 2026</x:v>
      </x:c>
      <x:c r="E357" s="87"/>
      <x:c r="F357" s="87"/>
      <x:c r="G357" s="87" t="str">
        <x:v>Биология</x:v>
      </x:c>
      <x:c r="H357" s="87" t="n">
        <x:v>11</x:v>
      </x:c>
      <x:c r="I357" s="87" t="str">
        <x:v>ТР №3</x:v>
      </x:c>
      <x:c r="J357" s="87" t="str">
        <x:v>БИ2510302</x:v>
      </x:c>
      <x:c r="K357" s="87" t="n">
        <x:v>6</x:v>
      </x:c>
      <x:c r="L357" s="87" t="str">
        <x:v>Этапы клеточного дыхания</x:v>
      </x:c>
      <x:c r="M357" s="30" t="str">
        <x:v>Соотнесите характеристики с гликолизом (1), циклом Кребса (2) и окислительным фосфорилированием (3).</x:v>
      </x:c>
      <x:c r="N357" s="30" t="str">
        <x:v>312213</x:v>
      </x:c>
      <x:c r="O357" s="30" t="str">
        <x:v>На кристах идёт окислительное фосфорилирование; в цитоплазме — гликолиз; в матриксе — цикл Кребса. Ацетильная группа окисляется в цикле Кребса, гексоза — при гликолизе, восстановленные переносчики водорода — в дыхательной цепи.</x:v>
      </x:c>
      <x:c r="P357" s="30" t="str">
        <x:v>Каждый процесс сверён по месту протекания и субстрату.</x:v>
      </x:c>
      <x:c r="Q357" s="30"/>
      <x:c r="R357" s="30" t="str">
        <x:v>312213</x:v>
      </x:c>
      <x:c r="S357" s="30"/>
      <x:c r="T357" s="30"/>
      <x:c r="U357" s="30" t="str">
        <x:v>Расхождений нет.</x:v>
      </x:c>
      <x:c r="V357" s="87" t="str">
        <x:v>VERIFIED</x:v>
      </x:c>
      <x:c r="W357" s="87" t="n">
        <x:v>4</x:v>
      </x:c>
      <x:c r="X357" s="87"/>
      <x:c r="Y357" s="87"/>
      <x:c r="Z357" s="87"/>
      <x:c r="AA357" s="87"/>
      <x:c r="AB357" s="87"/>
      <x:c r="AC357" s="87"/>
      <x:c r="AD357" s="87"/>
      <x:c r="AE357" s="87"/>
      <x:c r="AF357" s="87"/>
      <x:c r="AG357" s="87"/>
      <x:c r="AH357" s="87"/>
      <x:c r="AI357" s="30"/>
      <x:c r="AJ357" s="87" t="str">
        <x:v>master</x:v>
      </x:c>
      <x:c r="AK357" s="87" t="str">
        <x:v>master-v0.81</x:v>
      </x:c>
      <x:c r="AL357" s="87" t="str">
        <x:v>statgrad_master_base_v0_81_final(2).xlsx</x:v>
      </x:c>
      <x:c r="AM357" s="87" t="str">
        <x:v>BIO_Jan_V2</x:v>
      </x:c>
      <x:c r="AN357" s="87" t="n">
        <x:v>7</x:v>
      </x:c>
    </x:row>
    <x:row r="358">
      <x:c r="A358" s="87" t="n">
        <x:v>357</x:v>
      </x:c>
      <x:c r="B358" s="87" t="str">
        <x:v>JAN-BIO-V2-007</x:v>
      </x:c>
      <x:c r="C358" s="87" t="str">
        <x:v>СтатГрад</x:v>
      </x:c>
      <x:c r="D358" s="87" t="str">
        <x:v>Январь 2026</x:v>
      </x:c>
      <x:c r="E358" s="87"/>
      <x:c r="F358" s="87"/>
      <x:c r="G358" s="87" t="str">
        <x:v>Биология</x:v>
      </x:c>
      <x:c r="H358" s="87" t="n">
        <x:v>11</x:v>
      </x:c>
      <x:c r="I358" s="87" t="str">
        <x:v>ТР №3</x:v>
      </x:c>
      <x:c r="J358" s="87" t="str">
        <x:v>БИ2510302</x:v>
      </x:c>
      <x:c r="K358" s="87" t="n">
        <x:v>7</x:v>
      </x:c>
      <x:c r="L358" s="87" t="str">
        <x:v>Половое размножение</x:v>
      </x:c>
      <x:c r="M358" s="30" t="str">
        <x:v>Выберите примеры полового размножения.</x:v>
      </x:c>
      <x:c r="N358" s="30" t="str">
        <x:v>456</x:v>
      </x:c>
      <x:c r="O358" s="30" t="str">
        <x:v>Партеногенез связан с развитием из половой клетки, нерест включает образование и слияние гамет, а у растений половое размножение происходит при слиянии спермия с яйцеклеткой. Фрагментация, почкование и деление куста — бесполые способы.</x:v>
      </x:c>
      <x:c r="P358" s="30" t="str">
        <x:v>В каждом выбранном процессе задействованы гаметы или яйцеклетка.</x:v>
      </x:c>
      <x:c r="Q358" s="30"/>
      <x:c r="R358" s="30" t="str">
        <x:v>456</x:v>
      </x:c>
      <x:c r="S358" s="30"/>
      <x:c r="T358" s="30"/>
      <x:c r="U358" s="30" t="str">
        <x:v>Расхождений нет.</x:v>
      </x:c>
      <x:c r="V358" s="87" t="str">
        <x:v>VERIFIED</x:v>
      </x:c>
      <x:c r="W358" s="87" t="n">
        <x:v>4</x:v>
      </x:c>
      <x:c r="X358" s="87"/>
      <x:c r="Y358" s="87"/>
      <x:c r="Z358" s="87"/>
      <x:c r="AA358" s="87"/>
      <x:c r="AB358" s="87"/>
      <x:c r="AC358" s="87"/>
      <x:c r="AD358" s="87"/>
      <x:c r="AE358" s="87"/>
      <x:c r="AF358" s="87"/>
      <x:c r="AG358" s="87"/>
      <x:c r="AH358" s="87"/>
      <x:c r="AI358" s="30"/>
      <x:c r="AJ358" s="87" t="str">
        <x:v>master</x:v>
      </x:c>
      <x:c r="AK358" s="87" t="str">
        <x:v>master-v0.81</x:v>
      </x:c>
      <x:c r="AL358" s="87" t="str">
        <x:v>statgrad_master_base_v0_81_final(2).xlsx</x:v>
      </x:c>
      <x:c r="AM358" s="87" t="str">
        <x:v>BIO_Jan_V2</x:v>
      </x:c>
      <x:c r="AN358" s="87" t="n">
        <x:v>8</x:v>
      </x:c>
    </x:row>
    <x:row r="359">
      <x:c r="A359" s="87" t="n">
        <x:v>358</x:v>
      </x:c>
      <x:c r="B359" s="87" t="str">
        <x:v>JAN-BIO-V2-008</x:v>
      </x:c>
      <x:c r="C359" s="87" t="str">
        <x:v>СтатГрад</x:v>
      </x:c>
      <x:c r="D359" s="87" t="str">
        <x:v>Январь 2026</x:v>
      </x:c>
      <x:c r="E359" s="87"/>
      <x:c r="F359" s="87"/>
      <x:c r="G359" s="87" t="str">
        <x:v>Биология</x:v>
      </x:c>
      <x:c r="H359" s="87" t="n">
        <x:v>11</x:v>
      </x:c>
      <x:c r="I359" s="87" t="str">
        <x:v>ТР №3</x:v>
      </x:c>
      <x:c r="J359" s="87" t="str">
        <x:v>БИ2510302</x:v>
      </x:c>
      <x:c r="K359" s="87" t="n">
        <x:v>8</x:v>
      </x:c>
      <x:c r="L359" s="87" t="str">
        <x:v>Митоз</x:v>
      </x:c>
      <x:c r="M359" s="30" t="str">
        <x:v>Установите последовательность стадий клеточного деления.</x:v>
      </x:c>
      <x:c r="N359" s="30" t="str">
        <x:v>32154</x:v>
      </x:c>
      <x:c r="O359" s="30" t="str">
        <x:v>Сначала хромосомы спирализуются, затем к ним прикрепляются микротрубочки и они перемещаются к экватору. Далее сестринские хроматиды расходятся к полюсам и формируются оболочки новых ядер.</x:v>
      </x:c>
      <x:c r="P359" s="30" t="str">
        <x:v>Последовательность соответствует профазе, прометафазе, метафазе, анафазе и телофазе.</x:v>
      </x:c>
      <x:c r="Q359" s="30"/>
      <x:c r="R359" s="30" t="str">
        <x:v>32154</x:v>
      </x:c>
      <x:c r="S359" s="30"/>
      <x:c r="T359" s="30"/>
      <x:c r="U359" s="30" t="str">
        <x:v>Расхождений нет.</x:v>
      </x:c>
      <x:c r="V359" s="87" t="str">
        <x:v>VERIFIED</x:v>
      </x:c>
      <x:c r="W359" s="87" t="n">
        <x:v>4</x:v>
      </x:c>
      <x:c r="X359" s="87"/>
      <x:c r="Y359" s="87"/>
      <x:c r="Z359" s="87"/>
      <x:c r="AA359" s="87"/>
      <x:c r="AB359" s="87"/>
      <x:c r="AC359" s="87"/>
      <x:c r="AD359" s="87"/>
      <x:c r="AE359" s="87"/>
      <x:c r="AF359" s="87"/>
      <x:c r="AG359" s="87"/>
      <x:c r="AH359" s="87"/>
      <x:c r="AI359" s="30"/>
      <x:c r="AJ359" s="87" t="str">
        <x:v>master</x:v>
      </x:c>
      <x:c r="AK359" s="87" t="str">
        <x:v>master-v0.81</x:v>
      </x:c>
      <x:c r="AL359" s="87" t="str">
        <x:v>statgrad_master_base_v0_81_final(2).xlsx</x:v>
      </x:c>
      <x:c r="AM359" s="87" t="str">
        <x:v>BIO_Jan_V2</x:v>
      </x:c>
      <x:c r="AN359" s="87" t="n">
        <x:v>9</x:v>
      </x:c>
    </x:row>
    <x:row r="360">
      <x:c r="A360" s="87" t="n">
        <x:v>359</x:v>
      </x:c>
      <x:c r="B360" s="87" t="str">
        <x:v>JAN-BIO-V2-009</x:v>
      </x:c>
      <x:c r="C360" s="87" t="str">
        <x:v>СтатГрад</x:v>
      </x:c>
      <x:c r="D360" s="87" t="str">
        <x:v>Январь 2026</x:v>
      </x:c>
      <x:c r="E360" s="87"/>
      <x:c r="F360" s="87"/>
      <x:c r="G360" s="87" t="str">
        <x:v>Биология</x:v>
      </x:c>
      <x:c r="H360" s="87" t="n">
        <x:v>11</x:v>
      </x:c>
      <x:c r="I360" s="87" t="str">
        <x:v>ТР №3</x:v>
      </x:c>
      <x:c r="J360" s="87" t="str">
        <x:v>БИ2510302</x:v>
      </x:c>
      <x:c r="K360" s="87" t="n">
        <x:v>9</x:v>
      </x:c>
      <x:c r="L360" s="87" t="str">
        <x:v>Систематика животных</x:v>
      </x:c>
      <x:c r="M360" s="30" t="str">
        <x:v>Какой цифрой обозначено животное класса Паукообразные?</x:v>
      </x:c>
      <x:c r="N360" s="30" t="str">
        <x:v>6</x:v>
      </x:c>
      <x:c r="O360" s="30" t="str">
        <x:v>Под цифрой 6 изображён ложноскорпион: у него четыре пары ходильных ног и тело паукообразного.</x:v>
      </x:c>
      <x:c r="P360" s="30" t="str">
        <x:v>Остальные изображения относятся к моллюскам, ракообразным и насекомым.</x:v>
      </x:c>
      <x:c r="Q360" s="30"/>
      <x:c r="R360" s="30" t="str">
        <x:v>6</x:v>
      </x:c>
      <x:c r="S360" s="30"/>
      <x:c r="T360" s="30"/>
      <x:c r="U360" s="30" t="str">
        <x:v>Расхождений нет.</x:v>
      </x:c>
      <x:c r="V360" s="87" t="str">
        <x:v>VERIFIED</x:v>
      </x:c>
      <x:c r="W360" s="87" t="n">
        <x:v>5</x:v>
      </x:c>
      <x:c r="X360" s="87"/>
      <x:c r="Y360" s="87"/>
      <x:c r="Z360" s="87"/>
      <x:c r="AA360" s="87"/>
      <x:c r="AB360" s="87"/>
      <x:c r="AC360" s="87"/>
      <x:c r="AD360" s="87"/>
      <x:c r="AE360" s="87"/>
      <x:c r="AF360" s="87"/>
      <x:c r="AG360" s="87"/>
      <x:c r="AH360" s="87"/>
      <x:c r="AI360" s="30"/>
      <x:c r="AJ360" s="87" t="str">
        <x:v>master</x:v>
      </x:c>
      <x:c r="AK360" s="87" t="str">
        <x:v>master-v0.81</x:v>
      </x:c>
      <x:c r="AL360" s="87" t="str">
        <x:v>statgrad_master_base_v0_81_final(2).xlsx</x:v>
      </x:c>
      <x:c r="AM360" s="87" t="str">
        <x:v>BIO_Jan_V2</x:v>
      </x:c>
      <x:c r="AN360" s="87" t="n">
        <x:v>10</x:v>
      </x:c>
    </x:row>
    <x:row r="361">
      <x:c r="A361" s="87" t="n">
        <x:v>360</x:v>
      </x:c>
      <x:c r="B361" s="87" t="str">
        <x:v>JAN-BIO-V2-010</x:v>
      </x:c>
      <x:c r="C361" s="87" t="str">
        <x:v>СтатГрад</x:v>
      </x:c>
      <x:c r="D361" s="87" t="str">
        <x:v>Январь 2026</x:v>
      </x:c>
      <x:c r="E361" s="87"/>
      <x:c r="F361" s="87"/>
      <x:c r="G361" s="87" t="str">
        <x:v>Биология</x:v>
      </x:c>
      <x:c r="H361" s="87" t="n">
        <x:v>11</x:v>
      </x:c>
      <x:c r="I361" s="87" t="str">
        <x:v>ТР №3</x:v>
      </x:c>
      <x:c r="J361" s="87" t="str">
        <x:v>БИ2510302</x:v>
      </x:c>
      <x:c r="K361" s="87" t="n">
        <x:v>10</x:v>
      </x:c>
      <x:c r="L361" s="87" t="str">
        <x:v>Сравнение моллюсков</x:v>
      </x:c>
      <x:c r="M361" s="30" t="str">
        <x:v>Соотнесите признаки с осьминогом (1), двустворчатым моллюском (2) и наземной улиткой (3).</x:v>
      </x:c>
      <x:c r="N361" s="30" t="str">
        <x:v>322113</x:v>
      </x:c>
      <x:c r="O361" s="30" t="str">
        <x:v>Лёгочное дыхание и асимметрия внутреннего строения характерны для улитки; мускулы-замыкатели и отсутствие головы — для двустворчатых; выделение чернил и редукция раковины — для осьминога.</x:v>
      </x:c>
      <x:c r="P361" s="30" t="str">
        <x:v>Все признаки проверены по строению трёх классов моллюсков.</x:v>
      </x:c>
      <x:c r="Q361" s="30"/>
      <x:c r="R361" s="30" t="str">
        <x:v>322113</x:v>
      </x:c>
      <x:c r="S361" s="30"/>
      <x:c r="T361" s="30"/>
      <x:c r="U361" s="30" t="str">
        <x:v>Расхождений нет.</x:v>
      </x:c>
      <x:c r="V361" s="87" t="str">
        <x:v>VERIFIED</x:v>
      </x:c>
      <x:c r="W361" s="87" t="n">
        <x:v>5</x:v>
      </x:c>
      <x:c r="X361" s="87"/>
      <x:c r="Y361" s="87"/>
      <x:c r="Z361" s="87"/>
      <x:c r="AA361" s="87"/>
      <x:c r="AB361" s="87"/>
      <x:c r="AC361" s="87"/>
      <x:c r="AD361" s="87"/>
      <x:c r="AE361" s="87"/>
      <x:c r="AF361" s="87"/>
      <x:c r="AG361" s="87"/>
      <x:c r="AH361" s="87"/>
      <x:c r="AI361" s="30"/>
      <x:c r="AJ361" s="87" t="str">
        <x:v>master</x:v>
      </x:c>
      <x:c r="AK361" s="87" t="str">
        <x:v>master-v0.81</x:v>
      </x:c>
      <x:c r="AL361" s="87" t="str">
        <x:v>statgrad_master_base_v0_81_final(2).xlsx</x:v>
      </x:c>
      <x:c r="AM361" s="87" t="str">
        <x:v>BIO_Jan_V2</x:v>
      </x:c>
      <x:c r="AN361" s="87" t="n">
        <x:v>11</x:v>
      </x:c>
    </x:row>
    <x:row r="362">
      <x:c r="A362" s="87" t="n">
        <x:v>361</x:v>
      </x:c>
      <x:c r="B362" s="87" t="str">
        <x:v>JAN-BIO-V2-011</x:v>
      </x:c>
      <x:c r="C362" s="87" t="str">
        <x:v>СтатГрад</x:v>
      </x:c>
      <x:c r="D362" s="87" t="str">
        <x:v>Январь 2026</x:v>
      </x:c>
      <x:c r="E362" s="87"/>
      <x:c r="F362" s="87"/>
      <x:c r="G362" s="87" t="str">
        <x:v>Биология</x:v>
      </x:c>
      <x:c r="H362" s="87" t="n">
        <x:v>11</x:v>
      </x:c>
      <x:c r="I362" s="87" t="str">
        <x:v>ТР №3</x:v>
      </x:c>
      <x:c r="J362" s="87" t="str">
        <x:v>БИ2510302</x:v>
      </x:c>
      <x:c r="K362" s="87" t="n">
        <x:v>11</x:v>
      </x:c>
      <x:c r="L362" s="87" t="str">
        <x:v>Женский гаметофит цветковых</x:v>
      </x:c>
      <x:c r="M362" s="30" t="str">
        <x:v>Выберите термины, применимые к женскому гаметофиту цветковых растений.</x:v>
      </x:c>
      <x:c r="N362" s="30" t="str">
        <x:v>235</x:v>
      </x:c>
      <x:c r="O362" s="30" t="str">
        <x:v>Женский гаметофит — зародышевый мешок; в его состав входят яйцеклетка и центральная клетка. Пыльцевое зерно и микроспора относятся к мужской линии.</x:v>
      </x:c>
      <x:c r="P362" s="30" t="str">
        <x:v>Ответ проверен по строению зародышевого мешка.</x:v>
      </x:c>
      <x:c r="Q362" s="30"/>
      <x:c r="R362" s="30" t="str">
        <x:v>235</x:v>
      </x:c>
      <x:c r="S362" s="30"/>
      <x:c r="T362" s="30"/>
      <x:c r="U362" s="30" t="str">
        <x:v>Расхождений нет.</x:v>
      </x:c>
      <x:c r="V362" s="87" t="str">
        <x:v>VERIFIED</x:v>
      </x:c>
      <x:c r="W362" s="87" t="n">
        <x:v>6</x:v>
      </x:c>
      <x:c r="X362" s="87"/>
      <x:c r="Y362" s="87"/>
      <x:c r="Z362" s="87"/>
      <x:c r="AA362" s="87"/>
      <x:c r="AB362" s="87"/>
      <x:c r="AC362" s="87"/>
      <x:c r="AD362" s="87"/>
      <x:c r="AE362" s="87"/>
      <x:c r="AF362" s="87"/>
      <x:c r="AG362" s="87"/>
      <x:c r="AH362" s="87"/>
      <x:c r="AI362" s="30"/>
      <x:c r="AJ362" s="87" t="str">
        <x:v>master</x:v>
      </x:c>
      <x:c r="AK362" s="87" t="str">
        <x:v>master-v0.81</x:v>
      </x:c>
      <x:c r="AL362" s="87" t="str">
        <x:v>statgrad_master_base_v0_81_final(2).xlsx</x:v>
      </x:c>
      <x:c r="AM362" s="87" t="str">
        <x:v>BIO_Jan_V2</x:v>
      </x:c>
      <x:c r="AN362" s="87" t="n">
        <x:v>12</x:v>
      </x:c>
    </x:row>
    <x:row r="363">
      <x:c r="A363" s="87" t="n">
        <x:v>362</x:v>
      </x:c>
      <x:c r="B363" s="87" t="str">
        <x:v>JAN-BIO-V2-012</x:v>
      </x:c>
      <x:c r="C363" s="87" t="str">
        <x:v>СтатГрад</x:v>
      </x:c>
      <x:c r="D363" s="87" t="str">
        <x:v>Январь 2026</x:v>
      </x:c>
      <x:c r="E363" s="87"/>
      <x:c r="F363" s="87"/>
      <x:c r="G363" s="87" t="str">
        <x:v>Биология</x:v>
      </x:c>
      <x:c r="H363" s="87" t="n">
        <x:v>11</x:v>
      </x:c>
      <x:c r="I363" s="87" t="str">
        <x:v>ТР №3</x:v>
      </x:c>
      <x:c r="J363" s="87" t="str">
        <x:v>БИ2510302</x:v>
      </x:c>
      <x:c r="K363" s="87" t="n">
        <x:v>12</x:v>
      </x:c>
      <x:c r="L363" s="87" t="str">
        <x:v>Систематика растений</x:v>
      </x:c>
      <x:c r="M363" s="30" t="str">
        <x:v>Расположите систематические группы смородины красной от высшего ранга к низшему.</x:v>
      </x:c>
      <x:c r="N363" s="30" t="str">
        <x:v>643152</x:v>
      </x:c>
      <x:c r="O363" s="30" t="str">
        <x:v>Царство Растения включает Покрытосеменные, затем класс Двудольные, семейство Крыжовниковые, род Смородина и вид Смородина красная.</x:v>
      </x:c>
      <x:c r="P363" s="30" t="str">
        <x:v>Иерархия проверена по схеме царство → отдел → класс → семейство → род → вид.</x:v>
      </x:c>
      <x:c r="Q363" s="30"/>
      <x:c r="R363" s="30" t="str">
        <x:v>643152</x:v>
      </x:c>
      <x:c r="S363" s="30"/>
      <x:c r="T363" s="30"/>
      <x:c r="U363" s="30" t="str">
        <x:v>Расхождений нет.</x:v>
      </x:c>
      <x:c r="V363" s="87" t="str">
        <x:v>VERIFIED</x:v>
      </x:c>
      <x:c r="W363" s="87" t="n">
        <x:v>6</x:v>
      </x:c>
      <x:c r="X363" s="87"/>
      <x:c r="Y363" s="87"/>
      <x:c r="Z363" s="87"/>
      <x:c r="AA363" s="87"/>
      <x:c r="AB363" s="87"/>
      <x:c r="AC363" s="87"/>
      <x:c r="AD363" s="87"/>
      <x:c r="AE363" s="87"/>
      <x:c r="AF363" s="87"/>
      <x:c r="AG363" s="87"/>
      <x:c r="AH363" s="87"/>
      <x:c r="AI363" s="30"/>
      <x:c r="AJ363" s="87" t="str">
        <x:v>master</x:v>
      </x:c>
      <x:c r="AK363" s="87" t="str">
        <x:v>master-v0.81</x:v>
      </x:c>
      <x:c r="AL363" s="87" t="str">
        <x:v>statgrad_master_base_v0_81_final(2).xlsx</x:v>
      </x:c>
      <x:c r="AM363" s="87" t="str">
        <x:v>BIO_Jan_V2</x:v>
      </x:c>
      <x:c r="AN363" s="87" t="n">
        <x:v>13</x:v>
      </x:c>
    </x:row>
    <x:row r="364">
      <x:c r="A364" s="87" t="n">
        <x:v>363</x:v>
      </x:c>
      <x:c r="B364" s="87" t="str">
        <x:v>JAN-BIO-V2-013</x:v>
      </x:c>
      <x:c r="C364" s="87" t="str">
        <x:v>СтатГрад</x:v>
      </x:c>
      <x:c r="D364" s="87" t="str">
        <x:v>Январь 2026</x:v>
      </x:c>
      <x:c r="E364" s="87"/>
      <x:c r="F364" s="87"/>
      <x:c r="G364" s="87" t="str">
        <x:v>Биология</x:v>
      </x:c>
      <x:c r="H364" s="87" t="n">
        <x:v>11</x:v>
      </x:c>
      <x:c r="I364" s="87" t="str">
        <x:v>ТР №3</x:v>
      </x:c>
      <x:c r="J364" s="87" t="str">
        <x:v>БИ2510302</x:v>
      </x:c>
      <x:c r="K364" s="87" t="n">
        <x:v>13</x:v>
      </x:c>
      <x:c r="L364" s="87" t="str">
        <x:v>Строение позвоночника</x:v>
      </x:c>
      <x:c r="M364" s="30" t="str">
        <x:v>Какой цифрой обозначена хрящевая ткань?</x:v>
      </x:c>
      <x:c r="N364" s="30" t="str">
        <x:v>7</x:v>
      </x:c>
      <x:c r="O364" s="30" t="str">
        <x:v>Цифрой 7 обозначен межпозвоночный диск, основу которого образует хрящевая ткань. Цифрой 8 обозначена костная ткань тела позвонка.</x:v>
      </x:c>
      <x:c r="P364" s="30" t="str">
        <x:v>Положение проверено по расположению диска между телами соседних позвонков.</x:v>
      </x:c>
      <x:c r="Q364" s="30"/>
      <x:c r="R364" s="30" t="str">
        <x:v>7</x:v>
      </x:c>
      <x:c r="S364" s="30"/>
      <x:c r="T364" s="30"/>
      <x:c r="U364" s="30" t="str">
        <x:v>Расхождений нет.</x:v>
      </x:c>
      <x:c r="V364" s="87" t="str">
        <x:v>VERIFIED</x:v>
      </x:c>
      <x:c r="W364" s="87" t="n">
        <x:v>7</x:v>
      </x:c>
      <x:c r="X364" s="87"/>
      <x:c r="Y364" s="87"/>
      <x:c r="Z364" s="87"/>
      <x:c r="AA364" s="87"/>
      <x:c r="AB364" s="87"/>
      <x:c r="AC364" s="87"/>
      <x:c r="AD364" s="87"/>
      <x:c r="AE364" s="87"/>
      <x:c r="AF364" s="87"/>
      <x:c r="AG364" s="87"/>
      <x:c r="AH364" s="87"/>
      <x:c r="AI364" s="30"/>
      <x:c r="AJ364" s="87" t="str">
        <x:v>master</x:v>
      </x:c>
      <x:c r="AK364" s="87" t="str">
        <x:v>master-v0.81</x:v>
      </x:c>
      <x:c r="AL364" s="87" t="str">
        <x:v>statgrad_master_base_v0_81_final(2).xlsx</x:v>
      </x:c>
      <x:c r="AM364" s="87" t="str">
        <x:v>BIO_Jan_V2</x:v>
      </x:c>
      <x:c r="AN364" s="87" t="n">
        <x:v>14</x:v>
      </x:c>
    </x:row>
    <x:row r="365">
      <x:c r="A365" s="87" t="n">
        <x:v>364</x:v>
      </x:c>
      <x:c r="B365" s="87" t="str">
        <x:v>JAN-BIO-V2-014</x:v>
      </x:c>
      <x:c r="C365" s="87" t="str">
        <x:v>СтатГрад</x:v>
      </x:c>
      <x:c r="D365" s="87" t="str">
        <x:v>Январь 2026</x:v>
      </x:c>
      <x:c r="E365" s="87"/>
      <x:c r="F365" s="87"/>
      <x:c r="G365" s="87" t="str">
        <x:v>Биология</x:v>
      </x:c>
      <x:c r="H365" s="87" t="n">
        <x:v>11</x:v>
      </x:c>
      <x:c r="I365" s="87" t="str">
        <x:v>ТР №3</x:v>
      </x:c>
      <x:c r="J365" s="87" t="str">
        <x:v>БИ2510302</x:v>
      </x:c>
      <x:c r="K365" s="87" t="n">
        <x:v>14</x:v>
      </x:c>
      <x:c r="L365" s="87" t="str">
        <x:v>Нервная система</x:v>
      </x:c>
      <x:c r="M365" s="30" t="str">
        <x:v>Соотнесите признаки со структурами 1, 2 и 3 на рисунке спинного мозга и нервов.</x:v>
      </x:c>
      <x:c r="N365" s="30" t="str">
        <x:v>131322</x:v>
      </x:c>
      <x:c r="O365" s="30" t="str">
        <x:v>Структура 1 содержит аксоны двигательных нейронов и образует передний корешок. Структура 2 — спинномозговой узел с телами чувствительных нейронов, проводящий импульсы от рецепторов. Структура 3 — вегетативный ганглий, содержащий синапсы.</x:v>
      </x:c>
      <x:c r="P365" s="30" t="str">
        <x:v>Каждая функция сопоставлена с направлением импульса и клеточным составом.</x:v>
      </x:c>
      <x:c r="Q365" s="30"/>
      <x:c r="R365" s="30" t="str">
        <x:v>131322</x:v>
      </x:c>
      <x:c r="S365" s="30"/>
      <x:c r="T365" s="30"/>
      <x:c r="U365" s="30" t="str">
        <x:v>Расхождений нет.</x:v>
      </x:c>
      <x:c r="V365" s="87" t="str">
        <x:v>VERIFIED</x:v>
      </x:c>
      <x:c r="W365" s="87" t="n">
        <x:v>7</x:v>
      </x:c>
      <x:c r="X365" s="87"/>
      <x:c r="Y365" s="87"/>
      <x:c r="Z365" s="87"/>
      <x:c r="AA365" s="87"/>
      <x:c r="AB365" s="87"/>
      <x:c r="AC365" s="87"/>
      <x:c r="AD365" s="87"/>
      <x:c r="AE365" s="87"/>
      <x:c r="AF365" s="87"/>
      <x:c r="AG365" s="87"/>
      <x:c r="AH365" s="87"/>
      <x:c r="AI365" s="30"/>
      <x:c r="AJ365" s="87" t="str">
        <x:v>master</x:v>
      </x:c>
      <x:c r="AK365" s="87" t="str">
        <x:v>master-v0.81</x:v>
      </x:c>
      <x:c r="AL365" s="87" t="str">
        <x:v>statgrad_master_base_v0_81_final(2).xlsx</x:v>
      </x:c>
      <x:c r="AM365" s="87" t="str">
        <x:v>BIO_Jan_V2</x:v>
      </x:c>
      <x:c r="AN365" s="87" t="n">
        <x:v>15</x:v>
      </x:c>
    </x:row>
    <x:row r="366">
      <x:c r="A366" s="87" t="n">
        <x:v>365</x:v>
      </x:c>
      <x:c r="B366" s="87" t="str">
        <x:v>JAN-BIO-V2-015</x:v>
      </x:c>
      <x:c r="C366" s="87" t="str">
        <x:v>СтатГрад</x:v>
      </x:c>
      <x:c r="D366" s="87" t="str">
        <x:v>Январь 2026</x:v>
      </x:c>
      <x:c r="E366" s="87"/>
      <x:c r="F366" s="87"/>
      <x:c r="G366" s="87" t="str">
        <x:v>Биология</x:v>
      </x:c>
      <x:c r="H366" s="87" t="n">
        <x:v>11</x:v>
      </x:c>
      <x:c r="I366" s="87" t="str">
        <x:v>ТР №3</x:v>
      </x:c>
      <x:c r="J366" s="87" t="str">
        <x:v>БИ2510302</x:v>
      </x:c>
      <x:c r="K366" s="87" t="n">
        <x:v>15</x:v>
      </x:c>
      <x:c r="L366" s="87" t="str">
        <x:v>Кровь и лимфа</x:v>
      </x:c>
      <x:c r="M366" s="30" t="str">
        <x:v>Выберите признаки, отличающие лимфу от крови.</x:v>
      </x:c>
      <x:c r="N366" s="30" t="str">
        <x:v>236</x:v>
      </x:c>
      <x:c r="O366" s="30" t="str">
        <x:v>Лимфа образуется в слепо замкнутых лимфатических капиллярах, всасывает продукты переваривания жиров из кишечника и поступает в кровоток через грудной проток.</x:v>
      </x:c>
      <x:c r="P366" s="30" t="str">
        <x:v>Лимфоциты и соединительнотканная природа характерны также для крови, а свёртывание не является отличительным признаком.</x:v>
      </x:c>
      <x:c r="Q366" s="30"/>
      <x:c r="R366" s="30" t="str">
        <x:v>236</x:v>
      </x:c>
      <x:c r="S366" s="30"/>
      <x:c r="T366" s="30"/>
      <x:c r="U366" s="30" t="str">
        <x:v>Расхождений нет.</x:v>
      </x:c>
      <x:c r="V366" s="87" t="str">
        <x:v>VERIFIED</x:v>
      </x:c>
      <x:c r="W366" s="87" t="n">
        <x:v>8</x:v>
      </x:c>
      <x:c r="X366" s="87"/>
      <x:c r="Y366" s="87"/>
      <x:c r="Z366" s="87"/>
      <x:c r="AA366" s="87"/>
      <x:c r="AB366" s="87"/>
      <x:c r="AC366" s="87"/>
      <x:c r="AD366" s="87"/>
      <x:c r="AE366" s="87"/>
      <x:c r="AF366" s="87"/>
      <x:c r="AG366" s="87"/>
      <x:c r="AH366" s="87"/>
      <x:c r="AI366" s="30"/>
      <x:c r="AJ366" s="87" t="str">
        <x:v>master</x:v>
      </x:c>
      <x:c r="AK366" s="87" t="str">
        <x:v>master-v0.81</x:v>
      </x:c>
      <x:c r="AL366" s="87" t="str">
        <x:v>statgrad_master_base_v0_81_final(2).xlsx</x:v>
      </x:c>
      <x:c r="AM366" s="87" t="str">
        <x:v>BIO_Jan_V2</x:v>
      </x:c>
      <x:c r="AN366" s="87" t="n">
        <x:v>16</x:v>
      </x:c>
    </x:row>
    <x:row r="367">
      <x:c r="A367" s="87" t="n">
        <x:v>366</x:v>
      </x:c>
      <x:c r="B367" s="87" t="str">
        <x:v>JAN-BIO-V2-016</x:v>
      </x:c>
      <x:c r="C367" s="87" t="str">
        <x:v>СтатГрад</x:v>
      </x:c>
      <x:c r="D367" s="87" t="str">
        <x:v>Январь 2026</x:v>
      </x:c>
      <x:c r="E367" s="87"/>
      <x:c r="F367" s="87"/>
      <x:c r="G367" s="87" t="str">
        <x:v>Биология</x:v>
      </x:c>
      <x:c r="H367" s="87" t="n">
        <x:v>11</x:v>
      </x:c>
      <x:c r="I367" s="87" t="str">
        <x:v>ТР №3</x:v>
      </x:c>
      <x:c r="J367" s="87" t="str">
        <x:v>БИ2510302</x:v>
      </x:c>
      <x:c r="K367" s="87" t="n">
        <x:v>16</x:v>
      </x:c>
      <x:c r="L367" s="87" t="str">
        <x:v>Уровни организации пищеварительной системы</x:v>
      </x:c>
      <x:c r="M367" s="30" t="str">
        <x:v>Расположите элементы от наименьшего к наибольшему.</x:v>
      </x:c>
      <x:c r="N367" s="30" t="str">
        <x:v>325641</x:v>
      </x:c>
      <x:c r="O367" s="30" t="str">
        <x:v>Микроворсинка является частью энтероцита; энтероциты образуют эпителий; эпителий покрывает ворсинку; ворсинки входят в тонкий кишечник, который является частью желудочно-кишечного тракта.</x:v>
      </x:c>
      <x:c r="P367" s="30" t="str">
        <x:v>Соподчинение проверено по отношению «часть — целое».</x:v>
      </x:c>
      <x:c r="Q367" s="30"/>
      <x:c r="R367" s="30" t="str">
        <x:v>325641</x:v>
      </x:c>
      <x:c r="S367" s="30"/>
      <x:c r="T367" s="30"/>
      <x:c r="U367" s="30" t="str">
        <x:v>Расхождений нет.</x:v>
      </x:c>
      <x:c r="V367" s="87" t="str">
        <x:v>VERIFIED</x:v>
      </x:c>
      <x:c r="W367" s="87" t="n">
        <x:v>8</x:v>
      </x:c>
      <x:c r="X367" s="87"/>
      <x:c r="Y367" s="87"/>
      <x:c r="Z367" s="87"/>
      <x:c r="AA367" s="87"/>
      <x:c r="AB367" s="87"/>
      <x:c r="AC367" s="87"/>
      <x:c r="AD367" s="87"/>
      <x:c r="AE367" s="87"/>
      <x:c r="AF367" s="87"/>
      <x:c r="AG367" s="87"/>
      <x:c r="AH367" s="87"/>
      <x:c r="AI367" s="30"/>
      <x:c r="AJ367" s="87" t="str">
        <x:v>master</x:v>
      </x:c>
      <x:c r="AK367" s="87" t="str">
        <x:v>master-v0.81</x:v>
      </x:c>
      <x:c r="AL367" s="87" t="str">
        <x:v>statgrad_master_base_v0_81_final(2).xlsx</x:v>
      </x:c>
      <x:c r="AM367" s="87" t="str">
        <x:v>BIO_Jan_V2</x:v>
      </x:c>
      <x:c r="AN367" s="87" t="n">
        <x:v>17</x:v>
      </x:c>
    </x:row>
    <x:row r="368">
      <x:c r="A368" s="87" t="n">
        <x:v>367</x:v>
      </x:c>
      <x:c r="B368" s="87" t="str">
        <x:v>JAN-BIO-V2-017</x:v>
      </x:c>
      <x:c r="C368" s="87" t="str">
        <x:v>СтатГрад</x:v>
      </x:c>
      <x:c r="D368" s="87" t="str">
        <x:v>Январь 2026</x:v>
      </x:c>
      <x:c r="E368" s="87"/>
      <x:c r="F368" s="87"/>
      <x:c r="G368" s="87" t="str">
        <x:v>Биология</x:v>
      </x:c>
      <x:c r="H368" s="87" t="n">
        <x:v>11</x:v>
      </x:c>
      <x:c r="I368" s="87" t="str">
        <x:v>ТР №3</x:v>
      </x:c>
      <x:c r="J368" s="87" t="str">
        <x:v>БИ2510302</x:v>
      </x:c>
      <x:c r="K368" s="87" t="n">
        <x:v>17</x:v>
      </x:c>
      <x:c r="L368" s="87" t="str">
        <x:v>Макроэволюция</x:v>
      </x:c>
      <x:c r="M368" s="30" t="str">
        <x:v>Выберите предложения с примерами макроэволюционных процессов.</x:v>
      </x:c>
      <x:c r="N368" s="30" t="str">
        <x:v>123</x:v>
      </x:c>
      <x:c r="O368" s="30" t="str">
        <x:v>Возникновение класса птиц, формирование перьев и активного полёта и адаптивная радиация с появлением отрядов и семейств относятся к преобразованиям надвидового уровня.</x:v>
      </x:c>
      <x:c r="P368" s="30" t="str">
        <x:v>Изменение частот аллелей и локальная адаптация популяций относятся к микроэволюции.</x:v>
      </x:c>
      <x:c r="Q368" s="30"/>
      <x:c r="R368" s="30" t="str">
        <x:v>123</x:v>
      </x:c>
      <x:c r="S368" s="30"/>
      <x:c r="T368" s="30"/>
      <x:c r="U368" s="30" t="str">
        <x:v>Расхождений нет.</x:v>
      </x:c>
      <x:c r="V368" s="87" t="str">
        <x:v>VERIFIED</x:v>
      </x:c>
      <x:c r="W368" s="87" t="n">
        <x:v>8</x:v>
      </x:c>
      <x:c r="X368" s="87"/>
      <x:c r="Y368" s="87"/>
      <x:c r="Z368" s="87"/>
      <x:c r="AA368" s="87"/>
      <x:c r="AB368" s="87"/>
      <x:c r="AC368" s="87"/>
      <x:c r="AD368" s="87"/>
      <x:c r="AE368" s="87"/>
      <x:c r="AF368" s="87"/>
      <x:c r="AG368" s="87"/>
      <x:c r="AH368" s="87"/>
      <x:c r="AI368" s="30"/>
      <x:c r="AJ368" s="87" t="str">
        <x:v>master</x:v>
      </x:c>
      <x:c r="AK368" s="87" t="str">
        <x:v>master-v0.81</x:v>
      </x:c>
      <x:c r="AL368" s="87" t="str">
        <x:v>statgrad_master_base_v0_81_final(2).xlsx</x:v>
      </x:c>
      <x:c r="AM368" s="87" t="str">
        <x:v>BIO_Jan_V2</x:v>
      </x:c>
      <x:c r="AN368" s="87" t="n">
        <x:v>18</x:v>
      </x:c>
    </x:row>
    <x:row r="369">
      <x:c r="A369" s="87" t="n">
        <x:v>368</x:v>
      </x:c>
      <x:c r="B369" s="87" t="str">
        <x:v>JAN-BIO-V2-018</x:v>
      </x:c>
      <x:c r="C369" s="87" t="str">
        <x:v>СтатГрад</x:v>
      </x:c>
      <x:c r="D369" s="87" t="str">
        <x:v>Январь 2026</x:v>
      </x:c>
      <x:c r="E369" s="87"/>
      <x:c r="F369" s="87"/>
      <x:c r="G369" s="87" t="str">
        <x:v>Биология</x:v>
      </x:c>
      <x:c r="H369" s="87" t="n">
        <x:v>11</x:v>
      </x:c>
      <x:c r="I369" s="87" t="str">
        <x:v>ТР №3</x:v>
      </x:c>
      <x:c r="J369" s="87" t="str">
        <x:v>БИ2510302</x:v>
      </x:c>
      <x:c r="K369" s="87" t="n">
        <x:v>18</x:v>
      </x:c>
      <x:c r="L369" s="87" t="str">
        <x:v>Экологическая сукцессия</x:v>
      </x:c>
      <x:c r="M369" s="30" t="str">
        <x:v>Выберите участки, на которых возможна первичная сукцессия.</x:v>
      </x:c>
      <x:c r="N369" s="30" t="str">
        <x:v>135</x:v>
      </x:c>
      <x:c r="O369" s="30" t="str">
        <x:v>Первичная сукцессия начинается на субстрате без сформированной почвы: застывшей магме, скальных обнажениях и каменистых россыпях.</x:v>
      </x:c>
      <x:c r="P369" s="30" t="str">
        <x:v>После ветровала, пересыхания реки или паводка обычно сохраняется почва и наблюдается вторичная сукцессия.</x:v>
      </x:c>
      <x:c r="Q369" s="30"/>
      <x:c r="R369" s="30" t="str">
        <x:v>135</x:v>
      </x:c>
      <x:c r="S369" s="30"/>
      <x:c r="T369" s="30"/>
      <x:c r="U369" s="30" t="str">
        <x:v>Расхождений нет.</x:v>
      </x:c>
      <x:c r="V369" s="87" t="str">
        <x:v>VERIFIED</x:v>
      </x:c>
      <x:c r="W369" s="87" t="n">
        <x:v>9</x:v>
      </x:c>
      <x:c r="X369" s="87"/>
      <x:c r="Y369" s="87"/>
      <x:c r="Z369" s="87"/>
      <x:c r="AA369" s="87"/>
      <x:c r="AB369" s="87"/>
      <x:c r="AC369" s="87"/>
      <x:c r="AD369" s="87"/>
      <x:c r="AE369" s="87"/>
      <x:c r="AF369" s="87"/>
      <x:c r="AG369" s="87"/>
      <x:c r="AH369" s="87"/>
      <x:c r="AI369" s="30"/>
      <x:c r="AJ369" s="87" t="str">
        <x:v>master</x:v>
      </x:c>
      <x:c r="AK369" s="87" t="str">
        <x:v>master-v0.81</x:v>
      </x:c>
      <x:c r="AL369" s="87" t="str">
        <x:v>statgrad_master_base_v0_81_final(2).xlsx</x:v>
      </x:c>
      <x:c r="AM369" s="87" t="str">
        <x:v>BIO_Jan_V2</x:v>
      </x:c>
      <x:c r="AN369" s="87" t="n">
        <x:v>19</x:v>
      </x:c>
    </x:row>
    <x:row r="370">
      <x:c r="A370" s="87" t="n">
        <x:v>369</x:v>
      </x:c>
      <x:c r="B370" s="87" t="str">
        <x:v>JAN-BIO-V2-019</x:v>
      </x:c>
      <x:c r="C370" s="87" t="str">
        <x:v>СтатГрад</x:v>
      </x:c>
      <x:c r="D370" s="87" t="str">
        <x:v>Январь 2026</x:v>
      </x:c>
      <x:c r="E370" s="87"/>
      <x:c r="F370" s="87"/>
      <x:c r="G370" s="87" t="str">
        <x:v>Биология</x:v>
      </x:c>
      <x:c r="H370" s="87" t="n">
        <x:v>11</x:v>
      </x:c>
      <x:c r="I370" s="87" t="str">
        <x:v>ТР №3</x:v>
      </x:c>
      <x:c r="J370" s="87" t="str">
        <x:v>БИ2510302</x:v>
      </x:c>
      <x:c r="K370" s="87" t="n">
        <x:v>19</x:v>
      </x:c>
      <x:c r="L370" s="87" t="str">
        <x:v>Экологические взаимоотношения</x:v>
      </x:c>
      <x:c r="M370" s="30" t="str">
        <x:v>Соотнесите пары организмов с мутуализмом, конкуренцией и паразитизмом.</x:v>
      </x:c>
      <x:c r="N370" s="30" t="str">
        <x:v>211323</x:v>
      </x:c>
      <x:c r="O370" s="30" t="str">
        <x:v>Пшеница и рожь, а также два вида синиц конкурируют; маслёнок с сосной и шмель с клевером образуют взаимовыгодные связи; токсоплазма с человеком и свиной цепень с кабаном связаны паразитизмом.</x:v>
      </x:c>
      <x:c r="P370" s="30" t="str">
        <x:v>Каждая пара проверена по выигрышу, вреду и общности ресурса.</x:v>
      </x:c>
      <x:c r="Q370" s="30"/>
      <x:c r="R370" s="30" t="str">
        <x:v>211323</x:v>
      </x:c>
      <x:c r="S370" s="30"/>
      <x:c r="T370" s="30"/>
      <x:c r="U370" s="30" t="str">
        <x:v>Расхождений нет.</x:v>
      </x:c>
      <x:c r="V370" s="87" t="str">
        <x:v>VERIFIED</x:v>
      </x:c>
      <x:c r="W370" s="87" t="n">
        <x:v>9</x:v>
      </x:c>
      <x:c r="X370" s="87"/>
      <x:c r="Y370" s="87"/>
      <x:c r="Z370" s="87"/>
      <x:c r="AA370" s="87"/>
      <x:c r="AB370" s="87"/>
      <x:c r="AC370" s="87"/>
      <x:c r="AD370" s="87"/>
      <x:c r="AE370" s="87"/>
      <x:c r="AF370" s="87"/>
      <x:c r="AG370" s="87"/>
      <x:c r="AH370" s="87"/>
      <x:c r="AI370" s="30"/>
      <x:c r="AJ370" s="87" t="str">
        <x:v>master</x:v>
      </x:c>
      <x:c r="AK370" s="87" t="str">
        <x:v>master-v0.81</x:v>
      </x:c>
      <x:c r="AL370" s="87" t="str">
        <x:v>statgrad_master_base_v0_81_final(2).xlsx</x:v>
      </x:c>
      <x:c r="AM370" s="87" t="str">
        <x:v>BIO_Jan_V2</x:v>
      </x:c>
      <x:c r="AN370" s="87" t="n">
        <x:v>20</x:v>
      </x:c>
    </x:row>
    <x:row r="371">
      <x:c r="A371" s="87" t="n">
        <x:v>370</x:v>
      </x:c>
      <x:c r="B371" s="87" t="str">
        <x:v>JAN-BIO-V2-020</x:v>
      </x:c>
      <x:c r="C371" s="87" t="str">
        <x:v>СтатГрад</x:v>
      </x:c>
      <x:c r="D371" s="87" t="str">
        <x:v>Январь 2026</x:v>
      </x:c>
      <x:c r="E371" s="87"/>
      <x:c r="F371" s="87"/>
      <x:c r="G371" s="87" t="str">
        <x:v>Биология</x:v>
      </x:c>
      <x:c r="H371" s="87" t="n">
        <x:v>11</x:v>
      </x:c>
      <x:c r="I371" s="87" t="str">
        <x:v>ТР №3</x:v>
      </x:c>
      <x:c r="J371" s="87" t="str">
        <x:v>БИ2510302</x:v>
      </x:c>
      <x:c r="K371" s="87" t="n">
        <x:v>20</x:v>
      </x:c>
      <x:c r="L371" s="87" t="str">
        <x:v>Естественный отбор</x:v>
      </x:c>
      <x:c r="M371" s="30" t="str">
        <x:v>Заполните таблицу по иллюстрации поедания птицей различно окрашенных жуков.</x:v>
      </x:c>
      <x:c r="N371" s="30" t="str">
        <x:v>732</x:v>
      </x:c>
      <x:c r="O371" s="30" t="str">
        <x:v>Фактор — естественный отбор; он изменяет частоты аллелей так, что повышается приспособленность популяции. Классический пример — индустриальный меланизм у берёзовой пяденицы.</x:v>
      </x:c>
      <x:c r="P371" s="30" t="str">
        <x:v>Изображение демонстрирует различную выживаемость фенотипов под действием хищника.</x:v>
      </x:c>
      <x:c r="Q371" s="30"/>
      <x:c r="R371" s="30" t="str">
        <x:v>732</x:v>
      </x:c>
      <x:c r="S371" s="30"/>
      <x:c r="T371" s="30"/>
      <x:c r="U371" s="30" t="str">
        <x:v>Расхождений нет.</x:v>
      </x:c>
      <x:c r="V371" s="87" t="str">
        <x:v>VERIFIED</x:v>
      </x:c>
      <x:c r="W371" s="87" t="n">
        <x:v>10</x:v>
      </x:c>
      <x:c r="X371" s="87"/>
      <x:c r="Y371" s="87"/>
      <x:c r="Z371" s="87"/>
      <x:c r="AA371" s="87"/>
      <x:c r="AB371" s="87"/>
      <x:c r="AC371" s="87"/>
      <x:c r="AD371" s="87"/>
      <x:c r="AE371" s="87"/>
      <x:c r="AF371" s="87"/>
      <x:c r="AG371" s="87"/>
      <x:c r="AH371" s="87"/>
      <x:c r="AI371" s="30"/>
      <x:c r="AJ371" s="87" t="str">
        <x:v>master</x:v>
      </x:c>
      <x:c r="AK371" s="87" t="str">
        <x:v>master-v0.81</x:v>
      </x:c>
      <x:c r="AL371" s="87" t="str">
        <x:v>statgrad_master_base_v0_81_final(2).xlsx</x:v>
      </x:c>
      <x:c r="AM371" s="87" t="str">
        <x:v>BIO_Jan_V2</x:v>
      </x:c>
      <x:c r="AN371" s="87" t="n">
        <x:v>21</x:v>
      </x:c>
    </x:row>
    <x:row r="372">
      <x:c r="A372" s="87" t="n">
        <x:v>371</x:v>
      </x:c>
      <x:c r="B372" s="87" t="str">
        <x:v>JAN-BIO-V2-021</x:v>
      </x:c>
      <x:c r="C372" s="87" t="str">
        <x:v>СтатГрад</x:v>
      </x:c>
      <x:c r="D372" s="87" t="str">
        <x:v>Январь 2026</x:v>
      </x:c>
      <x:c r="E372" s="87"/>
      <x:c r="F372" s="87"/>
      <x:c r="G372" s="87" t="str">
        <x:v>Биология</x:v>
      </x:c>
      <x:c r="H372" s="87" t="n">
        <x:v>11</x:v>
      </x:c>
      <x:c r="I372" s="87" t="str">
        <x:v>ТР №3</x:v>
      </x:c>
      <x:c r="J372" s="87" t="str">
        <x:v>БИ2510302</x:v>
      </x:c>
      <x:c r="K372" s="87" t="n">
        <x:v>21</x:v>
      </x:c>
      <x:c r="L372" s="87" t="str">
        <x:v>Анализ диаграммы</x:v>
      </x:c>
      <x:c r="M372" s="30" t="str">
        <x:v>Выберите выводы по численности домового и полевого воробья в 1991–2008 гг.</x:v>
      </x:c>
      <x:c r="N372" s="30" t="str">
        <x:v>15</x:v>
      </x:c>
      <x:c r="O372" s="30" t="str">
        <x:v>Максимальная численность домового воробья наблюдается в 1997–1999 гг. От начала к концу наблюдений суммарная численность двух видов заметно снижается.</x:v>
      </x:c>
      <x:c r="P372" s="30" t="str">
        <x:v>Причинные утверждения о конкуренции и совпадении ниш из диаграммы вывести нельзя.</x:v>
      </x:c>
      <x:c r="Q372" s="30"/>
      <x:c r="R372" s="30" t="str">
        <x:v>15</x:v>
      </x:c>
      <x:c r="S372" s="30"/>
      <x:c r="T372" s="30"/>
      <x:c r="U372" s="30" t="str">
        <x:v>Расхождений нет.</x:v>
      </x:c>
      <x:c r="V372" s="87" t="str">
        <x:v>VERIFIED</x:v>
      </x:c>
      <x:c r="W372" s="87" t="n">
        <x:v>11</x:v>
      </x:c>
      <x:c r="X372" s="87"/>
      <x:c r="Y372" s="87"/>
      <x:c r="Z372" s="87"/>
      <x:c r="AA372" s="87"/>
      <x:c r="AB372" s="87"/>
      <x:c r="AC372" s="87"/>
      <x:c r="AD372" s="87"/>
      <x:c r="AE372" s="87"/>
      <x:c r="AF372" s="87"/>
      <x:c r="AG372" s="87"/>
      <x:c r="AH372" s="87"/>
      <x:c r="AI372" s="30"/>
      <x:c r="AJ372" s="87" t="str">
        <x:v>master</x:v>
      </x:c>
      <x:c r="AK372" s="87" t="str">
        <x:v>master-v0.81</x:v>
      </x:c>
      <x:c r="AL372" s="87" t="str">
        <x:v>statgrad_master_base_v0_81_final(2).xlsx</x:v>
      </x:c>
      <x:c r="AM372" s="87" t="str">
        <x:v>BIO_Jan_V2</x:v>
      </x:c>
      <x:c r="AN372" s="87" t="n">
        <x:v>22</x:v>
      </x:c>
    </x:row>
    <x:row r="373">
      <x:c r="A373" s="87" t="n">
        <x:v>372</x:v>
      </x:c>
      <x:c r="B373" s="87" t="str">
        <x:v>JAN-BIO-V2-022</x:v>
      </x:c>
      <x:c r="C373" s="87" t="str">
        <x:v>СтатГрад</x:v>
      </x:c>
      <x:c r="D373" s="87" t="str">
        <x:v>Январь 2026</x:v>
      </x:c>
      <x:c r="E373" s="87"/>
      <x:c r="F373" s="87"/>
      <x:c r="G373" s="87" t="str">
        <x:v>Биология</x:v>
      </x:c>
      <x:c r="H373" s="87" t="n">
        <x:v>11</x:v>
      </x:c>
      <x:c r="I373" s="87" t="str">
        <x:v>ТР №3</x:v>
      </x:c>
      <x:c r="J373" s="87" t="str">
        <x:v>БИ2510302</x:v>
      </x:c>
      <x:c r="K373" s="87" t="n">
        <x:v>22</x:v>
      </x:c>
      <x:c r="L373" s="87" t="str">
        <x:v>Развёрнутый ответ: планирование эксперимента</x:v>
      </x:c>
      <x:c r="M373" s="30" t="str">
        <x:v>Сформулируйте две нулевые гипотезы, объясните повторности и влияние колебаний температуры.</x:v>
      </x:c>
      <x:c r="N373" s="30" t="str">
        <x:v>H0₁: уровень иРНК не зависит от стадии дифференцировки клеток. H0₂: уровень иРНК не зависит от использованного фактора дифференцировки. Повторности повышают достоверность и уменьшают погрешность. Колебания температуры по-разному влияют на ферментативные процессы, экспрессию генов и синтез иРНК, поэтому связь результата со стадией или фактором нельзя установить однозначно.</x:v>
      </x:c>
      <x:c r="O373" s="30" t="str">
        <x:v>Ответ содержит обе проверяемые нулевые гипотезы, назначение повторностей и причинную цепочку влияния температуры.</x:v>
      </x:c>
      <x:c r="P373" s="30"/>
      <x:c r="Q373" s="30"/>
      <x:c r="R373" s="30" t="str">
        <x:v>Критерии, стр. 2</x:v>
      </x:c>
      <x:c r="S373" s="30"/>
      <x:c r="T373" s="30"/>
      <x:c r="U373" s="30" t="str">
        <x:v>Критерий перенесён отдельно без изменения.</x:v>
      </x:c>
      <x:c r="V373" s="87" t="str">
        <x:v>VERIFIED</x:v>
      </x:c>
      <x:c r="W373" s="87" t="n">
        <x:v>12</x:v>
      </x:c>
      <x:c r="X373" s="87"/>
      <x:c r="Y373" s="87"/>
      <x:c r="Z373" s="87"/>
      <x:c r="AA373" s="87"/>
      <x:c r="AB373" s="87"/>
      <x:c r="AC373" s="87"/>
      <x:c r="AD373" s="87"/>
      <x:c r="AE373" s="87"/>
      <x:c r="AF373" s="87"/>
      <x:c r="AG373" s="87"/>
      <x:c r="AH373" s="87"/>
      <x:c r="AI373" s="30" t="str">
        <x:v>{"_alignment": "REALIGNED_MISSING_INDEPENDENT_CHECK"}</x:v>
      </x:c>
      <x:c r="AJ373" s="87" t="str">
        <x:v>master</x:v>
      </x:c>
      <x:c r="AK373" s="87" t="str">
        <x:v>master-v0.81</x:v>
      </x:c>
      <x:c r="AL373" s="87" t="str">
        <x:v>statgrad_master_base_v0_81_final(2).xlsx</x:v>
      </x:c>
      <x:c r="AM373" s="87" t="str">
        <x:v>BIO_Jan_V2</x:v>
      </x:c>
      <x:c r="AN373" s="87" t="n">
        <x:v>23</x:v>
      </x:c>
    </x:row>
    <x:row r="374">
      <x:c r="A374" s="87" t="n">
        <x:v>373</x:v>
      </x:c>
      <x:c r="B374" s="87" t="str">
        <x:v>JAN-BIO-V2-023</x:v>
      </x:c>
      <x:c r="C374" s="87" t="str">
        <x:v>СтатГрад</x:v>
      </x:c>
      <x:c r="D374" s="87" t="str">
        <x:v>Январь 2026</x:v>
      </x:c>
      <x:c r="E374" s="87"/>
      <x:c r="F374" s="87"/>
      <x:c r="G374" s="87" t="str">
        <x:v>Биология</x:v>
      </x:c>
      <x:c r="H374" s="87" t="n">
        <x:v>11</x:v>
      </x:c>
      <x:c r="I374" s="87" t="str">
        <x:v>ТР №3</x:v>
      </x:c>
      <x:c r="J374" s="87" t="str">
        <x:v>БИ2510302</x:v>
      </x:c>
      <x:c r="K374" s="87" t="n">
        <x:v>23</x:v>
      </x:c>
      <x:c r="L374" s="87" t="str">
        <x:v>Развёрнутый ответ: анализ диаграмм</x:v>
      </x:c>
      <x:c r="M374" s="30" t="str">
        <x:v>Какой фактор сильнее активирует экспрессию генов синаптических белков? Сравните действие факторов.</x:v>
      </x:c>
      <x:c r="N374" s="30" t="str">
        <x:v>Фактор 1. На первой стадии уровень иРНК достигает около 330% исходного, тогда как фактор 2 снижает его примерно до 80%. К окончанию дифференцировки фактор 1 повышает уровень до около 550%, а фактор 2 — только до около 170%.</x:v>
      </x:c>
      <x:c r="O374" s="30" t="str">
        <x:v>Сравнение выполнено с общей базой 100% и содержит значения для первой и конечной стадий.</x:v>
      </x:c>
      <x:c r="P374" s="30"/>
      <x:c r="Q374" s="30"/>
      <x:c r="R374" s="30" t="str">
        <x:v>Критерии, стр. 3</x:v>
      </x:c>
      <x:c r="S374" s="30"/>
      <x:c r="T374" s="30"/>
      <x:c r="U374" s="30" t="str">
        <x:v>Критерий перенесён отдельно без изменения.</x:v>
      </x:c>
      <x:c r="V374" s="87" t="str">
        <x:v>VERIFIED</x:v>
      </x:c>
      <x:c r="W374" s="87" t="n">
        <x:v>12</x:v>
      </x:c>
      <x:c r="X374" s="87"/>
      <x:c r="Y374" s="87"/>
      <x:c r="Z374" s="87"/>
      <x:c r="AA374" s="87"/>
      <x:c r="AB374" s="87"/>
      <x:c r="AC374" s="87"/>
      <x:c r="AD374" s="87"/>
      <x:c r="AE374" s="87"/>
      <x:c r="AF374" s="87"/>
      <x:c r="AG374" s="87"/>
      <x:c r="AH374" s="87"/>
      <x:c r="AI374" s="30" t="str">
        <x:v>{"_alignment": "REALIGNED_MISSING_INDEPENDENT_CHECK"}</x:v>
      </x:c>
      <x:c r="AJ374" s="87" t="str">
        <x:v>master</x:v>
      </x:c>
      <x:c r="AK374" s="87" t="str">
        <x:v>master-v0.81</x:v>
      </x:c>
      <x:c r="AL374" s="87" t="str">
        <x:v>statgrad_master_base_v0_81_final(2).xlsx</x:v>
      </x:c>
      <x:c r="AM374" s="87" t="str">
        <x:v>BIO_Jan_V2</x:v>
      </x:c>
      <x:c r="AN374" s="87" t="n">
        <x:v>24</x:v>
      </x:c>
    </x:row>
    <x:row r="375">
      <x:c r="A375" s="87" t="n">
        <x:v>374</x:v>
      </x:c>
      <x:c r="B375" s="87" t="str">
        <x:v>JAN-BIO-V2-024</x:v>
      </x:c>
      <x:c r="C375" s="87" t="str">
        <x:v>СтатГрад</x:v>
      </x:c>
      <x:c r="D375" s="87" t="str">
        <x:v>Январь 2026</x:v>
      </x:c>
      <x:c r="E375" s="87"/>
      <x:c r="F375" s="87"/>
      <x:c r="G375" s="87" t="str">
        <x:v>Биология</x:v>
      </x:c>
      <x:c r="H375" s="87" t="n">
        <x:v>11</x:v>
      </x:c>
      <x:c r="I375" s="87" t="str">
        <x:v>ТР №3</x:v>
      </x:c>
      <x:c r="J375" s="87" t="str">
        <x:v>БИ2510302</x:v>
      </x:c>
      <x:c r="K375" s="87" t="n">
        <x:v>24</x:v>
      </x:c>
      <x:c r="L375" s="87" t="str">
        <x:v>Развёрнутый ответ: транспорт веществ у растений</x:v>
      </x:c>
      <x:c r="M375" s="30" t="str">
        <x:v>Определите элемент проводящей ткани, приведите два аргумента, назовите ткань и переносимые вещества.</x:v>
      </x:c>
      <x:c r="N375" s="30" t="str">
        <x:v>Это ситовидная трубка: рядом имеются клетки-спутницы, а между члениками расположены ситовидные перегородки с отверстиями. Она входит во флоэму. На рисунке показан нисходящий транспорт от листьев к корням глюкозы и других органических веществ.</x:v>
      </x:c>
      <x:c r="O375" s="30" t="str">
        <x:v>Признаки рисунка независимо сопоставлены со строением и функцией флоэмы.</x:v>
      </x:c>
      <x:c r="P375" s="30"/>
      <x:c r="Q375" s="30"/>
      <x:c r="R375" s="30" t="str">
        <x:v>Критерии, стр. 4–5</x:v>
      </x:c>
      <x:c r="S375" s="30"/>
      <x:c r="T375" s="30"/>
      <x:c r="U375" s="30" t="str">
        <x:v>Критерий перенесён отдельно без изменения.</x:v>
      </x:c>
      <x:c r="V375" s="87" t="str">
        <x:v>VERIFIED</x:v>
      </x:c>
      <x:c r="W375" s="87" t="n">
        <x:v>13</x:v>
      </x:c>
      <x:c r="X375" s="87"/>
      <x:c r="Y375" s="87"/>
      <x:c r="Z375" s="87"/>
      <x:c r="AA375" s="87"/>
      <x:c r="AB375" s="87"/>
      <x:c r="AC375" s="87"/>
      <x:c r="AD375" s="87"/>
      <x:c r="AE375" s="87"/>
      <x:c r="AF375" s="87"/>
      <x:c r="AG375" s="87"/>
      <x:c r="AH375" s="87"/>
      <x:c r="AI375" s="30" t="str">
        <x:v>{"_alignment": "REALIGNED_MISSING_INDEPENDENT_CHECK"}</x:v>
      </x:c>
      <x:c r="AJ375" s="87" t="str">
        <x:v>master</x:v>
      </x:c>
      <x:c r="AK375" s="87" t="str">
        <x:v>master-v0.81</x:v>
      </x:c>
      <x:c r="AL375" s="87" t="str">
        <x:v>statgrad_master_base_v0_81_final(2).xlsx</x:v>
      </x:c>
      <x:c r="AM375" s="87" t="str">
        <x:v>BIO_Jan_V2</x:v>
      </x:c>
      <x:c r="AN375" s="87" t="n">
        <x:v>25</x:v>
      </x:c>
    </x:row>
    <x:row r="376">
      <x:c r="A376" s="87" t="n">
        <x:v>375</x:v>
      </x:c>
      <x:c r="B376" s="87" t="str">
        <x:v>JAN-BIO-V2-025</x:v>
      </x:c>
      <x:c r="C376" s="87" t="str">
        <x:v>СтатГрад</x:v>
      </x:c>
      <x:c r="D376" s="87" t="str">
        <x:v>Январь 2026</x:v>
      </x:c>
      <x:c r="E376" s="87"/>
      <x:c r="F376" s="87"/>
      <x:c r="G376" s="87" t="str">
        <x:v>Биология</x:v>
      </x:c>
      <x:c r="H376" s="87" t="n">
        <x:v>11</x:v>
      </x:c>
      <x:c r="I376" s="87" t="str">
        <x:v>ТР №3</x:v>
      </x:c>
      <x:c r="J376" s="87" t="str">
        <x:v>БИ2510302</x:v>
      </x:c>
      <x:c r="K376" s="87" t="n">
        <x:v>25</x:v>
      </x:c>
      <x:c r="L376" s="87" t="str">
        <x:v>Развёрнутый ответ: терморегуляция</x:v>
      </x:c>
      <x:c r="M376" s="30" t="str">
        <x:v>У кого толще подкожный жир — у моржей или белых медведей? Какова роль бурого жира детёнышей?</x:v>
      </x:c>
      <x:c r="N376" s="30" t="str">
        <x:v>Подкожный жир толще у моржей: в воде из-за большей теплопроводности организм теряет тепло быстрее, а жир уменьшает теплоотдачу. Бурый жир богат митохондриями и обеспечивает интенсивное окисление с выделением тепла. Детёнышам он особенно нужен из-за большего отношения площади тела к объёму и, следовательно, большей относительной теплоотдачи.</x:v>
      </x:c>
      <x:c r="O376" s="30" t="str">
        <x:v>Ответ проверен по физике теплообмена и механизму бездрожательного термогенеза.</x:v>
      </x:c>
      <x:c r="P376" s="30"/>
      <x:c r="Q376" s="30"/>
      <x:c r="R376" s="30" t="str">
        <x:v>Критерии, стр. 5</x:v>
      </x:c>
      <x:c r="S376" s="30"/>
      <x:c r="T376" s="30"/>
      <x:c r="U376" s="30" t="str">
        <x:v>Критерий перенесён отдельно без изменения.</x:v>
      </x:c>
      <x:c r="V376" s="87" t="str">
        <x:v>VERIFIED</x:v>
      </x:c>
      <x:c r="W376" s="87" t="n">
        <x:v>13</x:v>
      </x:c>
      <x:c r="X376" s="87"/>
      <x:c r="Y376" s="87"/>
      <x:c r="Z376" s="87"/>
      <x:c r="AA376" s="87"/>
      <x:c r="AB376" s="87"/>
      <x:c r="AC376" s="87"/>
      <x:c r="AD376" s="87"/>
      <x:c r="AE376" s="87"/>
      <x:c r="AF376" s="87"/>
      <x:c r="AG376" s="87"/>
      <x:c r="AH376" s="87"/>
      <x:c r="AI376" s="30" t="str">
        <x:v>{"_alignment": "REALIGNED_MISSING_INDEPENDENT_CHECK"}</x:v>
      </x:c>
      <x:c r="AJ376" s="87" t="str">
        <x:v>master</x:v>
      </x:c>
      <x:c r="AK376" s="87" t="str">
        <x:v>master-v0.81</x:v>
      </x:c>
      <x:c r="AL376" s="87" t="str">
        <x:v>statgrad_master_base_v0_81_final(2).xlsx</x:v>
      </x:c>
      <x:c r="AM376" s="87" t="str">
        <x:v>BIO_Jan_V2</x:v>
      </x:c>
      <x:c r="AN376" s="87" t="n">
        <x:v>26</x:v>
      </x:c>
    </x:row>
    <x:row r="377">
      <x:c r="A377" s="87" t="n">
        <x:v>376</x:v>
      </x:c>
      <x:c r="B377" s="87" t="str">
        <x:v>JAN-BIO-V2-026</x:v>
      </x:c>
      <x:c r="C377" s="87" t="str">
        <x:v>СтатГрад</x:v>
      </x:c>
      <x:c r="D377" s="87" t="str">
        <x:v>Январь 2026</x:v>
      </x:c>
      <x:c r="E377" s="87"/>
      <x:c r="F377" s="87"/>
      <x:c r="G377" s="87" t="str">
        <x:v>Биология</x:v>
      </x:c>
      <x:c r="H377" s="87" t="n">
        <x:v>11</x:v>
      </x:c>
      <x:c r="I377" s="87" t="str">
        <x:v>ТР №3</x:v>
      </x:c>
      <x:c r="J377" s="87" t="str">
        <x:v>БИ2510302</x:v>
      </x:c>
      <x:c r="K377" s="87" t="n">
        <x:v>26</x:v>
      </x:c>
      <x:c r="L377" s="87" t="str">
        <x:v>Развёрнутый ответ: биогеография</x:v>
      </x:c>
      <x:c r="M377" s="30" t="str">
        <x:v>Объясните распространение южного бука в Южной Америке, Австралии и Океании и его отсутствие в Северном полушарии.</x:v>
      </x:c>
      <x:c r="N377" s="30" t="str">
        <x:v>Род возник на Гондване, объединявшей Южную Америку, Австралию и Океанию; после распада материка растения сохранились на разделившихся территориях. Это объясняет теория дрейфа континентов и движения литосферных плит. Распространению на север препятствовали океан как барьер для семян и, возможно, конкуренция либо неподходящие климатические и почвенные условия.</x:v>
      </x:c>
      <x:c r="O377" s="30" t="str">
        <x:v>Ответ содержит происхождение на едином материке, геологическую теорию и две причины невозможности дальнейшего расселения.</x:v>
      </x:c>
      <x:c r="P377" s="30"/>
      <x:c r="Q377" s="30"/>
      <x:c r="R377" s="30" t="str">
        <x:v>Критерии, стр. 6</x:v>
      </x:c>
      <x:c r="S377" s="30"/>
      <x:c r="T377" s="30"/>
      <x:c r="U377" s="30" t="str">
        <x:v>Критерий перенесён отдельно без изменения.</x:v>
      </x:c>
      <x:c r="V377" s="87" t="str">
        <x:v>VERIFIED</x:v>
      </x:c>
      <x:c r="W377" s="87" t="n">
        <x:v>14</x:v>
      </x:c>
      <x:c r="X377" s="87"/>
      <x:c r="Y377" s="87"/>
      <x:c r="Z377" s="87"/>
      <x:c r="AA377" s="87"/>
      <x:c r="AB377" s="87"/>
      <x:c r="AC377" s="87"/>
      <x:c r="AD377" s="87"/>
      <x:c r="AE377" s="87"/>
      <x:c r="AF377" s="87"/>
      <x:c r="AG377" s="87"/>
      <x:c r="AH377" s="87"/>
      <x:c r="AI377" s="30" t="str">
        <x:v>{"_alignment": "REALIGNED_MISSING_INDEPENDENT_CHECK"}</x:v>
      </x:c>
      <x:c r="AJ377" s="87" t="str">
        <x:v>master</x:v>
      </x:c>
      <x:c r="AK377" s="87" t="str">
        <x:v>master-v0.81</x:v>
      </x:c>
      <x:c r="AL377" s="87" t="str">
        <x:v>statgrad_master_base_v0_81_final(2).xlsx</x:v>
      </x:c>
      <x:c r="AM377" s="87" t="str">
        <x:v>BIO_Jan_V2</x:v>
      </x:c>
      <x:c r="AN377" s="87" t="n">
        <x:v>27</x:v>
      </x:c>
    </x:row>
    <x:row r="378">
      <x:c r="A378" s="87" t="n">
        <x:v>377</x:v>
      </x:c>
      <x:c r="B378" s="87" t="str">
        <x:v>JAN-BIO-V2-027</x:v>
      </x:c>
      <x:c r="C378" s="87" t="str">
        <x:v>СтатГрад</x:v>
      </x:c>
      <x:c r="D378" s="87" t="str">
        <x:v>Январь 2026</x:v>
      </x:c>
      <x:c r="E378" s="87"/>
      <x:c r="F378" s="87"/>
      <x:c r="G378" s="87" t="str">
        <x:v>Биология</x:v>
      </x:c>
      <x:c r="H378" s="87" t="n">
        <x:v>11</x:v>
      </x:c>
      <x:c r="I378" s="87" t="str">
        <x:v>ТР №3</x:v>
      </x:c>
      <x:c r="J378" s="87" t="str">
        <x:v>БИ2510302</x:v>
      </x:c>
      <x:c r="K378" s="87" t="n">
        <x:v>27</x:v>
      </x:c>
      <x:c r="L378" s="87" t="str">
        <x:v>Развёрнутый ответ: генетический код</x:v>
      </x:c>
      <x:c r="M378" s="30" t="str">
        <x:v>Определите матричную цепь ДНК, открытую рамку считывания на иРНК и аминокислотную последовательность.</x:v>
      </x:c>
      <x:c r="N378" s="30" t="str">
        <x:v>Матричная цепь ДНК — нижняя. Открытая рамка считывания иРНК: 5'-АУГГЦЦЦАЦЦАААГАУАЦУАА-3'. Она содержит старт-кодон АУГ и стоп-кодон УАА. Полипептид: мет–ала–гис–глн–арг–тир.</x:v>
      </x:c>
      <x:c r="O378" s="30" t="str">
        <x:v>ОРС получена комплементарно нижней цепи и прочитана по кодонам AUG–GCC–CAC–CAA–AGA–UAC–UAA.</x:v>
      </x:c>
      <x:c r="P378" s="30"/>
      <x:c r="Q378" s="30"/>
      <x:c r="R378" s="30" t="str">
        <x:v>Критерии, стр. 7–8</x:v>
      </x:c>
      <x:c r="S378" s="30"/>
      <x:c r="T378" s="30"/>
      <x:c r="U378" s="30" t="str">
        <x:v>Критерий перенесён отдельно без изменения.</x:v>
      </x:c>
      <x:c r="V378" s="87" t="str">
        <x:v>VERIFIED</x:v>
      </x:c>
      <x:c r="W378" s="87" t="n">
        <x:v>14</x:v>
      </x:c>
      <x:c r="X378" s="87"/>
      <x:c r="Y378" s="87"/>
      <x:c r="Z378" s="87"/>
      <x:c r="AA378" s="87"/>
      <x:c r="AB378" s="87"/>
      <x:c r="AC378" s="87"/>
      <x:c r="AD378" s="87"/>
      <x:c r="AE378" s="87"/>
      <x:c r="AF378" s="87"/>
      <x:c r="AG378" s="87"/>
      <x:c r="AH378" s="87"/>
      <x:c r="AI378" s="30" t="str">
        <x:v>{"_alignment": "REALIGNED_MISSING_INDEPENDENT_CHECK"}</x:v>
      </x:c>
      <x:c r="AJ378" s="87" t="str">
        <x:v>master</x:v>
      </x:c>
      <x:c r="AK378" s="87" t="str">
        <x:v>master-v0.81</x:v>
      </x:c>
      <x:c r="AL378" s="87" t="str">
        <x:v>statgrad_master_base_v0_81_final(2).xlsx</x:v>
      </x:c>
      <x:c r="AM378" s="87" t="str">
        <x:v>BIO_Jan_V2</x:v>
      </x:c>
      <x:c r="AN378" s="87" t="n">
        <x:v>28</x:v>
      </x:c>
    </x:row>
    <x:row r="379">
      <x:c r="A379" s="87" t="n">
        <x:v>378</x:v>
      </x:c>
      <x:c r="B379" s="87" t="str">
        <x:v>JAN-BIO-V2-028</x:v>
      </x:c>
      <x:c r="C379" s="87" t="str">
        <x:v>СтатГрад</x:v>
      </x:c>
      <x:c r="D379" s="87" t="str">
        <x:v>Январь 2026</x:v>
      </x:c>
      <x:c r="E379" s="87"/>
      <x:c r="F379" s="87"/>
      <x:c r="G379" s="87" t="str">
        <x:v>Биология</x:v>
      </x:c>
      <x:c r="H379" s="87" t="n">
        <x:v>11</x:v>
      </x:c>
      <x:c r="I379" s="87" t="str">
        <x:v>ТР №3</x:v>
      </x:c>
      <x:c r="J379" s="87" t="str">
        <x:v>БИ2510302</x:v>
      </x:c>
      <x:c r="K379" s="87" t="n">
        <x:v>28</x:v>
      </x:c>
      <x:c r="L379" s="87" t="str">
        <x:v>Развёрнутый ответ: сцепленное наследование</x:v>
      </x:c>
      <x:c r="M379" s="30" t="str">
        <x:v>Определите генотипы, фенотипы и доли групп в анализирующем скрещивании, постройте генетическую карту.</x:v>
      </x:c>
      <x:c r="N379" s="30" t="str">
        <x:v>A — длинные крылья, a — короткие; B — нормальные конечности, b — укороченные. P: AAbb × aaBB → F1 AaBb (длинные крылья, нормальные конечности; гены в фазе Ab/aB). Анализирующее скрещивание AaBb × aabb даёт Aabb — длинные/укороченные 123 (или 137), aaBb — короткие/нормальные 137 (или 123), AaBb — длинные/нормальные 30 (или 27), aabb — короткие/укороченные 27 (или 30). Частота кроссинговера (30+27)/317≈18%; гены сцеплены и находятся на расстоянии 18 морганид.</x:v>
      </x:c>
      <x:c r="O379" s="30" t="str">
        <x:v>Крупные классы определены как родительские, малые — как рекомбинантные; частота рекомбинации пересчитана независимо.</x:v>
      </x:c>
      <x:c r="P379" s="30"/>
      <x:c r="Q379" s="30"/>
      <x:c r="R379" s="30" t="str">
        <x:v>Критерии, стр. 9–10</x:v>
      </x:c>
      <x:c r="S379" s="30"/>
      <x:c r="T379" s="30"/>
      <x:c r="U379" s="30" t="str">
        <x:v>Критерий допускает перестановку численностей внутри пар фенотипов.</x:v>
      </x:c>
      <x:c r="V379" s="87" t="str">
        <x:v>VERIFIED</x:v>
      </x:c>
      <x:c r="W379" s="87" t="n">
        <x:v>15</x:v>
      </x:c>
      <x:c r="X379" s="87"/>
      <x:c r="Y379" s="87"/>
      <x:c r="Z379" s="87"/>
      <x:c r="AA379" s="87"/>
      <x:c r="AB379" s="87"/>
      <x:c r="AC379" s="87"/>
      <x:c r="AD379" s="87"/>
      <x:c r="AE379" s="87"/>
      <x:c r="AF379" s="87"/>
      <x:c r="AG379" s="87"/>
      <x:c r="AH379" s="87"/>
      <x:c r="AI379" s="30" t="str">
        <x:v>{"_alignment": "REALIGNED_MISSING_INDEPENDENT_CHECK"}</x:v>
      </x:c>
      <x:c r="AJ379" s="87" t="str">
        <x:v>master</x:v>
      </x:c>
      <x:c r="AK379" s="87" t="str">
        <x:v>master-v0.81</x:v>
      </x:c>
      <x:c r="AL379" s="87" t="str">
        <x:v>statgrad_master_base_v0_81_final(2).xlsx</x:v>
      </x:c>
      <x:c r="AM379" s="87" t="str">
        <x:v>BIO_Jan_V2</x:v>
      </x:c>
      <x:c r="AN379" s="87" t="n">
        <x:v>29</x:v>
      </x:c>
    </x:row>
    <x:row r="380">
      <x:c r="A380" s="87" t="n">
        <x:v>379</x:v>
      </x:c>
      <x:c r="B380" s="87" t="str">
        <x:v>FEB-GEO-V1-001</x:v>
      </x:c>
      <x:c r="C380" s="87" t="str">
        <x:v>СтатГрад</x:v>
      </x:c>
      <x:c r="D380" s="87" t="str">
        <x:v>Февраль 2026</x:v>
      </x:c>
      <x:c r="E380" s="87"/>
      <x:c r="F380" s="87"/>
      <x:c r="G380" s="87" t="str">
        <x:v>География</x:v>
      </x:c>
      <x:c r="H380" s="87" t="n">
        <x:v>11</x:v>
      </x:c>
      <x:c r="I380" s="87" t="str">
        <x:v>ТР №3</x:v>
      </x:c>
      <x:c r="J380" s="87" t="str">
        <x:v>ГГ2510301</x:v>
      </x:c>
      <x:c r="K380" s="87" t="n">
        <x:v>1</x:v>
      </x:c>
      <x:c r="L380" s="87" t="str">
        <x:v>Географические координаты</x:v>
      </x:c>
      <x:c r="M380" s="30" t="str">
        <x:v>Город Тулон имеет координаты 41°06′ с. ш., 89°52′ з. д. Определите государство.</x:v>
      </x:c>
      <x:c r="N380" s="30" t="str">
        <x:v>США</x:v>
      </x:c>
      <x:c r="O380" s="30" t="str">
        <x:v>Точка 41° с. ш. и около 90° з. д. находится в центральной части Соединённых Штатов, в районе штата Иллинойс.</x:v>
      </x:c>
      <x:c r="P380" s="30" t="str">
        <x:v>Координаты сопоставлены с градусной сеткой Северной Америки.</x:v>
      </x:c>
      <x:c r="Q380" s="30"/>
      <x:c r="R380" s="30" t="str">
        <x:v>США</x:v>
      </x:c>
      <x:c r="S380" s="30"/>
      <x:c r="T380" s="30"/>
      <x:c r="U380" s="30" t="str">
        <x:v>Расхождений нет.</x:v>
      </x:c>
      <x:c r="V380" s="87" t="str">
        <x:v>VERIFIED</x:v>
      </x:c>
      <x:c r="W380" s="87" t="n">
        <x:v>2</x:v>
      </x:c>
      <x:c r="X380" s="87"/>
      <x:c r="Y380" s="87"/>
      <x:c r="Z380" s="87"/>
      <x:c r="AA380" s="87"/>
      <x:c r="AB380" s="87"/>
      <x:c r="AC380" s="87"/>
      <x:c r="AD380" s="87"/>
      <x:c r="AE380" s="87"/>
      <x:c r="AF380" s="87"/>
      <x:c r="AG380" s="87"/>
      <x:c r="AH380" s="87"/>
      <x:c r="AI380" s="30"/>
      <x:c r="AJ380" s="87" t="str">
        <x:v>master</x:v>
      </x:c>
      <x:c r="AK380" s="87" t="str">
        <x:v>master-v0.81</x:v>
      </x:c>
      <x:c r="AL380" s="87" t="str">
        <x:v>statgrad_master_base_v0_81_final(2).xlsx</x:v>
      </x:c>
      <x:c r="AM380" s="87" t="str">
        <x:v>GEO_Feb_V1</x:v>
      </x:c>
      <x:c r="AN380" s="87" t="n">
        <x:v>2</x:v>
      </x:c>
    </x:row>
    <x:row r="381">
      <x:c r="A381" s="87" t="n">
        <x:v>380</x:v>
      </x:c>
      <x:c r="B381" s="87" t="str">
        <x:v>FEB-GEO-V1-002</x:v>
      </x:c>
      <x:c r="C381" s="87" t="str">
        <x:v>СтатГрад</x:v>
      </x:c>
      <x:c r="D381" s="87" t="str">
        <x:v>Февраль 2026</x:v>
      </x:c>
      <x:c r="E381" s="87"/>
      <x:c r="F381" s="87"/>
      <x:c r="G381" s="87" t="str">
        <x:v>География</x:v>
      </x:c>
      <x:c r="H381" s="87" t="n">
        <x:v>11</x:v>
      </x:c>
      <x:c r="I381" s="87" t="str">
        <x:v>ТР №3</x:v>
      </x:c>
      <x:c r="J381" s="87" t="str">
        <x:v>ГГ2510301</x:v>
      </x:c>
      <x:c r="K381" s="87" t="n">
        <x:v>2</x:v>
      </x:c>
      <x:c r="L381" s="87" t="str">
        <x:v>Абсолютная влажность</x:v>
      </x:c>
      <x:c r="M381" s="30" t="str">
        <x:v>При одинаковой температуре +14 °C относительная влажность на станциях 1, 2 и 3 равна 94%, 74% и 57%. Расположите станции по возрастанию абсолютной влажности.</x:v>
      </x:c>
      <x:c r="N381" s="30" t="str">
        <x:v>321</x:v>
      </x:c>
      <x:c r="O381" s="30" t="str">
        <x:v>При одинаковой температуре максимально возможное содержание водяного пара одинаково, поэтому абсолютная влажность возрастает вместе с относительной: 57% &lt; 74% &lt; 94%.</x:v>
      </x:c>
      <x:c r="P381" s="30" t="str">
        <x:v>Порядок проверен пропорциональностью абсолютной и относительной влажности при постоянной температуре.</x:v>
      </x:c>
      <x:c r="Q381" s="30"/>
      <x:c r="R381" s="30" t="str">
        <x:v>В таблице ключей отсутствует; решено независимо.</x:v>
      </x:c>
      <x:c r="S381" s="30"/>
      <x:c r="T381" s="30"/>
      <x:c r="U381" s="30" t="str">
        <x:v>Расхождений не выявлено.</x:v>
      </x:c>
      <x:c r="V381" s="87" t="str">
        <x:v>VERIFIED</x:v>
      </x:c>
      <x:c r="W381" s="87" t="n">
        <x:v>2</x:v>
      </x:c>
      <x:c r="X381" s="87"/>
      <x:c r="Y381" s="87"/>
      <x:c r="Z381" s="87"/>
      <x:c r="AA381" s="87"/>
      <x:c r="AB381" s="87"/>
      <x:c r="AC381" s="87"/>
      <x:c r="AD381" s="87"/>
      <x:c r="AE381" s="87"/>
      <x:c r="AF381" s="87"/>
      <x:c r="AG381" s="87"/>
      <x:c r="AH381" s="87"/>
      <x:c r="AI381" s="30"/>
      <x:c r="AJ381" s="87" t="str">
        <x:v>master</x:v>
      </x:c>
      <x:c r="AK381" s="87" t="str">
        <x:v>master-v0.81</x:v>
      </x:c>
      <x:c r="AL381" s="87" t="str">
        <x:v>statgrad_master_base_v0_81_final(2).xlsx</x:v>
      </x:c>
      <x:c r="AM381" s="87" t="str">
        <x:v>GEO_Feb_V1</x:v>
      </x:c>
      <x:c r="AN381" s="87" t="n">
        <x:v>3</x:v>
      </x:c>
    </x:row>
    <x:row r="382">
      <x:c r="A382" s="87" t="n">
        <x:v>381</x:v>
      </x:c>
      <x:c r="B382" s="87" t="str">
        <x:v>FEB-GEO-V1-003</x:v>
      </x:c>
      <x:c r="C382" s="87" t="str">
        <x:v>СтатГрад</x:v>
      </x:c>
      <x:c r="D382" s="87" t="str">
        <x:v>Февраль 2026</x:v>
      </x:c>
      <x:c r="E382" s="87"/>
      <x:c r="F382" s="87"/>
      <x:c r="G382" s="87" t="str">
        <x:v>География</x:v>
      </x:c>
      <x:c r="H382" s="87" t="n">
        <x:v>11</x:v>
      </x:c>
      <x:c r="I382" s="87" t="str">
        <x:v>ТР №3</x:v>
      </x:c>
      <x:c r="J382" s="87" t="str">
        <x:v>ГГ2510301</x:v>
      </x:c>
      <x:c r="K382" s="87" t="n">
        <x:v>3</x:v>
      </x:c>
      <x:c r="L382" s="87" t="str">
        <x:v>Агроклиматические ресурсы</x:v>
      </x:c>
      <x:c r="M382" s="30" t="str">
        <x:v>Расположите Новгородскую область, Краснодарский край и Рязанскую область по возрастанию благоприятности условий для теплолюбивых культур.</x:v>
      </x:c>
      <x:c r="N382" s="30" t="str">
        <x:v>132</x:v>
      </x:c>
      <x:c r="O382" s="30" t="str">
        <x:v>Сумма активных температур увеличивается с севера на юг. Новгородская область расположена севернее Рязанской, а наиболее тёплые условия — в Краснодарском крае.</x:v>
      </x:c>
      <x:c r="P382" s="30" t="str">
        <x:v>Сопоставлены широтное положение и продолжительность тёплого периода.</x:v>
      </x:c>
      <x:c r="Q382" s="30"/>
      <x:c r="R382" s="30" t="str">
        <x:v>В таблице ключей отсутствует; решено независимо.</x:v>
      </x:c>
      <x:c r="S382" s="30"/>
      <x:c r="T382" s="30"/>
      <x:c r="U382" s="30" t="str">
        <x:v>Расхождений не выявлено.</x:v>
      </x:c>
      <x:c r="V382" s="87" t="str">
        <x:v>VERIFIED</x:v>
      </x:c>
      <x:c r="W382" s="87" t="n">
        <x:v>2</x:v>
      </x:c>
      <x:c r="X382" s="87"/>
      <x:c r="Y382" s="87"/>
      <x:c r="Z382" s="87"/>
      <x:c r="AA382" s="87"/>
      <x:c r="AB382" s="87"/>
      <x:c r="AC382" s="87"/>
      <x:c r="AD382" s="87"/>
      <x:c r="AE382" s="87"/>
      <x:c r="AF382" s="87"/>
      <x:c r="AG382" s="87"/>
      <x:c r="AH382" s="87"/>
      <x:c r="AI382" s="30"/>
      <x:c r="AJ382" s="87" t="str">
        <x:v>master</x:v>
      </x:c>
      <x:c r="AK382" s="87" t="str">
        <x:v>master-v0.81</x:v>
      </x:c>
      <x:c r="AL382" s="87" t="str">
        <x:v>statgrad_master_base_v0_81_final(2).xlsx</x:v>
      </x:c>
      <x:c r="AM382" s="87" t="str">
        <x:v>GEO_Feb_V1</x:v>
      </x:c>
      <x:c r="AN382" s="87" t="n">
        <x:v>4</x:v>
      </x:c>
    </x:row>
    <x:row r="383">
      <x:c r="A383" s="87" t="n">
        <x:v>382</x:v>
      </x:c>
      <x:c r="B383" s="87" t="str">
        <x:v>FEB-GEO-V1-004</x:v>
      </x:c>
      <x:c r="C383" s="87" t="str">
        <x:v>СтатГрад</x:v>
      </x:c>
      <x:c r="D383" s="87" t="str">
        <x:v>Февраль 2026</x:v>
      </x:c>
      <x:c r="E383" s="87"/>
      <x:c r="F383" s="87"/>
      <x:c r="G383" s="87" t="str">
        <x:v>География</x:v>
      </x:c>
      <x:c r="H383" s="87" t="n">
        <x:v>11</x:v>
      </x:c>
      <x:c r="I383" s="87" t="str">
        <x:v>ТР №3</x:v>
      </x:c>
      <x:c r="J383" s="87" t="str">
        <x:v>ГГ2510301</x:v>
      </x:c>
      <x:c r="K383" s="87" t="n">
        <x:v>4</x:v>
      </x:c>
      <x:c r="L383" s="87" t="str">
        <x:v>Гидрография России</x:v>
      </x:c>
      <x:c r="M383" s="30" t="str">
        <x:v>Соотнесите реки Волга, Дон и Печора с обозначениями 1–4 на карте.</x:v>
      </x:c>
      <x:c r="N383" s="30" t="str">
        <x:v>214</x:v>
      </x:c>
      <x:c r="O383" s="30" t="str">
        <x:v>Дон обозначен западнее Волги и впадает в Азовское море — цифра 1. Волга впадает в Каспийское море — цифра 2. Печора течёт на северо-востоке Европейской России — цифра 4.</x:v>
      </x:c>
      <x:c r="P383" s="30" t="str">
        <x:v>Маршруты рек проверены по бассейнам Азовского, Каспийского и Баренцева морей.</x:v>
      </x:c>
      <x:c r="Q383" s="30"/>
      <x:c r="R383" s="30" t="str">
        <x:v>В таблице ключей отсутствует; решено независимо.</x:v>
      </x:c>
      <x:c r="S383" s="30"/>
      <x:c r="T383" s="30"/>
      <x:c r="U383" s="30" t="str">
        <x:v>Расхождений не выявлено.</x:v>
      </x:c>
      <x:c r="V383" s="87" t="str">
        <x:v>VERIFIED</x:v>
      </x:c>
      <x:c r="W383" s="87" t="n">
        <x:v>3</x:v>
      </x:c>
      <x:c r="X383" s="87"/>
      <x:c r="Y383" s="87"/>
      <x:c r="Z383" s="87"/>
      <x:c r="AA383" s="87"/>
      <x:c r="AB383" s="87"/>
      <x:c r="AC383" s="87"/>
      <x:c r="AD383" s="87"/>
      <x:c r="AE383" s="87"/>
      <x:c r="AF383" s="87"/>
      <x:c r="AG383" s="87"/>
      <x:c r="AH383" s="87"/>
      <x:c r="AI383" s="30"/>
      <x:c r="AJ383" s="87" t="str">
        <x:v>master</x:v>
      </x:c>
      <x:c r="AK383" s="87" t="str">
        <x:v>master-v0.81</x:v>
      </x:c>
      <x:c r="AL383" s="87" t="str">
        <x:v>statgrad_master_base_v0_81_final(2).xlsx</x:v>
      </x:c>
      <x:c r="AM383" s="87" t="str">
        <x:v>GEO_Feb_V1</x:v>
      </x:c>
      <x:c r="AN383" s="87" t="n">
        <x:v>5</x:v>
      </x:c>
    </x:row>
    <x:row r="384">
      <x:c r="A384" s="87" t="n">
        <x:v>383</x:v>
      </x:c>
      <x:c r="B384" s="87" t="str">
        <x:v>FEB-GEO-V1-005</x:v>
      </x:c>
      <x:c r="C384" s="87" t="str">
        <x:v>СтатГрад</x:v>
      </x:c>
      <x:c r="D384" s="87" t="str">
        <x:v>Февраль 2026</x:v>
      </x:c>
      <x:c r="E384" s="87"/>
      <x:c r="F384" s="87"/>
      <x:c r="G384" s="87" t="str">
        <x:v>География</x:v>
      </x:c>
      <x:c r="H384" s="87" t="n">
        <x:v>11</x:v>
      </x:c>
      <x:c r="I384" s="87" t="str">
        <x:v>ТР №3</x:v>
      </x:c>
      <x:c r="J384" s="87" t="str">
        <x:v>ГГ2510301</x:v>
      </x:c>
      <x:c r="K384" s="87" t="n">
        <x:v>5</x:v>
      </x:c>
      <x:c r="L384" s="87" t="str">
        <x:v>География Дальнего Востока</x:v>
      </x:c>
      <x:c r="M384" s="30" t="str">
        <x:v>Вставьте слова в текст: климатический пояс, плотность населения и преобладающий тип расселения населения Дальнего Востока.</x:v>
      </x:c>
      <x:c r="N384" s="30" t="str">
        <x:v>623</x:v>
      </x:c>
      <x:c r="O384" s="30" t="str">
        <x:v>Умеренный пояс дополняется субарктическим; на Дальнем Востоке самая низкая плотность населения; более 80% жителей сосредоточено в городах.</x:v>
      </x:c>
      <x:c r="P384" s="30" t="str">
        <x:v>Каждый пропуск проверен по климатической карте, плотности и уровню урбанизации района.</x:v>
      </x:c>
      <x:c r="Q384" s="30"/>
      <x:c r="R384" s="30" t="str">
        <x:v>623</x:v>
      </x:c>
      <x:c r="S384" s="30"/>
      <x:c r="T384" s="30"/>
      <x:c r="U384" s="30" t="str">
        <x:v>Расхождений нет.</x:v>
      </x:c>
      <x:c r="V384" s="87" t="str">
        <x:v>VERIFIED</x:v>
      </x:c>
      <x:c r="W384" s="87" t="n">
        <x:v>4</x:v>
      </x:c>
      <x:c r="X384" s="87"/>
      <x:c r="Y384" s="87"/>
      <x:c r="Z384" s="87"/>
      <x:c r="AA384" s="87"/>
      <x:c r="AB384" s="87"/>
      <x:c r="AC384" s="87"/>
      <x:c r="AD384" s="87"/>
      <x:c r="AE384" s="87"/>
      <x:c r="AF384" s="87"/>
      <x:c r="AG384" s="87"/>
      <x:c r="AH384" s="87"/>
      <x:c r="AI384" s="30"/>
      <x:c r="AJ384" s="87" t="str">
        <x:v>master</x:v>
      </x:c>
      <x:c r="AK384" s="87" t="str">
        <x:v>master-v0.81</x:v>
      </x:c>
      <x:c r="AL384" s="87" t="str">
        <x:v>statgrad_master_base_v0_81_final(2).xlsx</x:v>
      </x:c>
      <x:c r="AM384" s="87" t="str">
        <x:v>GEO_Feb_V1</x:v>
      </x:c>
      <x:c r="AN384" s="87" t="n">
        <x:v>6</x:v>
      </x:c>
    </x:row>
    <x:row r="385">
      <x:c r="A385" s="87" t="n">
        <x:v>384</x:v>
      </x:c>
      <x:c r="B385" s="87" t="str">
        <x:v>FEB-GEO-V1-006</x:v>
      </x:c>
      <x:c r="C385" s="87" t="str">
        <x:v>СтатГрад</x:v>
      </x:c>
      <x:c r="D385" s="87" t="str">
        <x:v>Февраль 2026</x:v>
      </x:c>
      <x:c r="E385" s="87"/>
      <x:c r="F385" s="87"/>
      <x:c r="G385" s="87" t="str">
        <x:v>География</x:v>
      </x:c>
      <x:c r="H385" s="87" t="n">
        <x:v>11</x:v>
      </x:c>
      <x:c r="I385" s="87" t="str">
        <x:v>ТР №3</x:v>
      </x:c>
      <x:c r="J385" s="87" t="str">
        <x:v>ГГ2510301</x:v>
      </x:c>
      <x:c r="K385" s="87" t="n">
        <x:v>6</x:v>
      </x:c>
      <x:c r="L385" s="87" t="str">
        <x:v>Крупнейшие города России</x:v>
      </x:c>
      <x:c r="M385" s="30" t="str">
        <x:v>Выберите три города с наибольшей численностью населения: Иркутск, Тамбов, Томск, Воронеж, Волгоград, Самара.</x:v>
      </x:c>
      <x:c r="N385" s="30" t="str">
        <x:v>456</x:v>
      </x:c>
      <x:c r="O385" s="30" t="str">
        <x:v>Самара, Воронеж и Волгоград имеют население около или более миллиона человек. Иркутск и Томск существенно меньше, Тамбов — ещё меньше.</x:v>
      </x:c>
      <x:c r="P385" s="30" t="str">
        <x:v>Города сопоставлены по порядку численности населения.</x:v>
      </x:c>
      <x:c r="Q385" s="30"/>
      <x:c r="R385" s="30" t="str">
        <x:v>В таблице ключей отсутствует; решено независимо.</x:v>
      </x:c>
      <x:c r="S385" s="30"/>
      <x:c r="T385" s="30"/>
      <x:c r="U385" s="30" t="str">
        <x:v>Расхождений не выявлено.</x:v>
      </x:c>
      <x:c r="V385" s="87" t="str">
        <x:v>VERIFIED</x:v>
      </x:c>
      <x:c r="W385" s="87" t="n">
        <x:v>5</x:v>
      </x:c>
      <x:c r="X385" s="87"/>
      <x:c r="Y385" s="87"/>
      <x:c r="Z385" s="87"/>
      <x:c r="AA385" s="87"/>
      <x:c r="AB385" s="87"/>
      <x:c r="AC385" s="87"/>
      <x:c r="AD385" s="87"/>
      <x:c r="AE385" s="87"/>
      <x:c r="AF385" s="87"/>
      <x:c r="AG385" s="87"/>
      <x:c r="AH385" s="87"/>
      <x:c r="AI385" s="30"/>
      <x:c r="AJ385" s="87" t="str">
        <x:v>master</x:v>
      </x:c>
      <x:c r="AK385" s="87" t="str">
        <x:v>master-v0.81</x:v>
      </x:c>
      <x:c r="AL385" s="87" t="str">
        <x:v>statgrad_master_base_v0_81_final(2).xlsx</x:v>
      </x:c>
      <x:c r="AM385" s="87" t="str">
        <x:v>GEO_Feb_V1</x:v>
      </x:c>
      <x:c r="AN385" s="87" t="n">
        <x:v>7</x:v>
      </x:c>
    </x:row>
    <x:row r="386">
      <x:c r="A386" s="87" t="n">
        <x:v>385</x:v>
      </x:c>
      <x:c r="B386" s="87" t="str">
        <x:v>FEB-GEO-V1-007</x:v>
      </x:c>
      <x:c r="C386" s="87" t="str">
        <x:v>СтатГрад</x:v>
      </x:c>
      <x:c r="D386" s="87" t="str">
        <x:v>Февраль 2026</x:v>
      </x:c>
      <x:c r="E386" s="87"/>
      <x:c r="F386" s="87"/>
      <x:c r="G386" s="87" t="str">
        <x:v>География</x:v>
      </x:c>
      <x:c r="H386" s="87" t="n">
        <x:v>11</x:v>
      </x:c>
      <x:c r="I386" s="87" t="str">
        <x:v>ТР №3</x:v>
      </x:c>
      <x:c r="J386" s="87" t="str">
        <x:v>ГГ2510301</x:v>
      </x:c>
      <x:c r="K386" s="87" t="n">
        <x:v>7</x:v>
      </x:c>
      <x:c r="L386" s="87" t="str">
        <x:v>Структура занятости</x:v>
      </x:c>
      <x:c r="M386" s="30" t="str">
        <x:v>Соотнесите Камбоджу, Малайзию и Францию с диаграммами распределения экономически активного населения по секторам.</x:v>
      </x:c>
      <x:c r="N386" s="30" t="str">
        <x:v>231</x:v>
      </x:c>
      <x:c r="O386" s="30" t="str">
        <x:v>Камбодже соответствует высокая доля занятых в сельском хозяйстве — диаграмма 2. Малайзии — заметная доля промышленности — диаграмма 3. Франции — преобладание сферы услуг — диаграмма 1.</x:v>
      </x:c>
      <x:c r="P386" s="30" t="str">
        <x:v>Диаграммы проверены по уровню социально-экономического развития стран.</x:v>
      </x:c>
      <x:c r="Q386" s="30"/>
      <x:c r="R386" s="30" t="str">
        <x:v>В таблице ключей отсутствует; решено независимо.</x:v>
      </x:c>
      <x:c r="S386" s="30"/>
      <x:c r="T386" s="30"/>
      <x:c r="U386" s="30" t="str">
        <x:v>Расхождений не выявлено.</x:v>
      </x:c>
      <x:c r="V386" s="87" t="str">
        <x:v>VERIFIED</x:v>
      </x:c>
      <x:c r="W386" s="87" t="n">
        <x:v>5</x:v>
      </x:c>
      <x:c r="X386" s="87"/>
      <x:c r="Y386" s="87"/>
      <x:c r="Z386" s="87"/>
      <x:c r="AA386" s="87"/>
      <x:c r="AB386" s="87"/>
      <x:c r="AC386" s="87"/>
      <x:c r="AD386" s="87"/>
      <x:c r="AE386" s="87"/>
      <x:c r="AF386" s="87"/>
      <x:c r="AG386" s="87"/>
      <x:c r="AH386" s="87"/>
      <x:c r="AI386" s="30"/>
      <x:c r="AJ386" s="87" t="str">
        <x:v>master</x:v>
      </x:c>
      <x:c r="AK386" s="87" t="str">
        <x:v>master-v0.81</x:v>
      </x:c>
      <x:c r="AL386" s="87" t="str">
        <x:v>statgrad_master_base_v0_81_final(2).xlsx</x:v>
      </x:c>
      <x:c r="AM386" s="87" t="str">
        <x:v>GEO_Feb_V1</x:v>
      </x:c>
      <x:c r="AN386" s="87" t="n">
        <x:v>8</x:v>
      </x:c>
    </x:row>
    <x:row r="387">
      <x:c r="A387" s="87" t="n">
        <x:v>386</x:v>
      </x:c>
      <x:c r="B387" s="87" t="str">
        <x:v>FEB-GEO-V1-008</x:v>
      </x:c>
      <x:c r="C387" s="87" t="str">
        <x:v>СтатГрад</x:v>
      </x:c>
      <x:c r="D387" s="87" t="str">
        <x:v>Февраль 2026</x:v>
      </x:c>
      <x:c r="E387" s="87"/>
      <x:c r="F387" s="87"/>
      <x:c r="G387" s="87" t="str">
        <x:v>География</x:v>
      </x:c>
      <x:c r="H387" s="87" t="n">
        <x:v>11</x:v>
      </x:c>
      <x:c r="I387" s="87" t="str">
        <x:v>ТР №3</x:v>
      </x:c>
      <x:c r="J387" s="87" t="str">
        <x:v>ГГ2510301</x:v>
      </x:c>
      <x:c r="K387" s="87" t="n">
        <x:v>8</x:v>
      </x:c>
      <x:c r="L387" s="87" t="str">
        <x:v>Ожидаемая продолжительность жизни</x:v>
      </x:c>
      <x:c r="M387" s="30" t="str">
        <x:v>Расположите Мексику, Мозамбик и Японию по возрастанию средней ожидаемой продолжительности жизни.</x:v>
      </x:c>
      <x:c r="N387" s="30" t="str">
        <x:v>213</x:v>
      </x:c>
      <x:c r="O387" s="30" t="str">
        <x:v>Наименьший показатель характерен для Мозамбика, промежуточный — для Мексики, самый высокий — для Японии.</x:v>
      </x:c>
      <x:c r="P387" s="30" t="str">
        <x:v>Порядок проверен по различиям уровня развития и состояния здравоохранения.</x:v>
      </x:c>
      <x:c r="Q387" s="30"/>
      <x:c r="R387" s="30" t="str">
        <x:v>213</x:v>
      </x:c>
      <x:c r="S387" s="30"/>
      <x:c r="T387" s="30"/>
      <x:c r="U387" s="30" t="str">
        <x:v>Расхождений нет.</x:v>
      </x:c>
      <x:c r="V387" s="87" t="str">
        <x:v>VERIFIED</x:v>
      </x:c>
      <x:c r="W387" s="87" t="n">
        <x:v>6</x:v>
      </x:c>
      <x:c r="X387" s="87"/>
      <x:c r="Y387" s="87"/>
      <x:c r="Z387" s="87"/>
      <x:c r="AA387" s="87"/>
      <x:c r="AB387" s="87"/>
      <x:c r="AC387" s="87"/>
      <x:c r="AD387" s="87"/>
      <x:c r="AE387" s="87"/>
      <x:c r="AF387" s="87"/>
      <x:c r="AG387" s="87"/>
      <x:c r="AH387" s="87"/>
      <x:c r="AI387" s="30"/>
      <x:c r="AJ387" s="87" t="str">
        <x:v>master</x:v>
      </x:c>
      <x:c r="AK387" s="87" t="str">
        <x:v>master-v0.81</x:v>
      </x:c>
      <x:c r="AL387" s="87" t="str">
        <x:v>statgrad_master_base_v0_81_final(2).xlsx</x:v>
      </x:c>
      <x:c r="AM387" s="87" t="str">
        <x:v>GEO_Feb_V1</x:v>
      </x:c>
      <x:c r="AN387" s="87" t="n">
        <x:v>9</x:v>
      </x:c>
    </x:row>
    <x:row r="388">
      <x:c r="A388" s="87" t="n">
        <x:v>387</x:v>
      </x:c>
      <x:c r="B388" s="87" t="str">
        <x:v>FEB-GEO-V1-009</x:v>
      </x:c>
      <x:c r="C388" s="87" t="str">
        <x:v>СтатГрад</x:v>
      </x:c>
      <x:c r="D388" s="87" t="str">
        <x:v>Февраль 2026</x:v>
      </x:c>
      <x:c r="E388" s="87"/>
      <x:c r="F388" s="87"/>
      <x:c r="G388" s="87" t="str">
        <x:v>География</x:v>
      </x:c>
      <x:c r="H388" s="87" t="n">
        <x:v>11</x:v>
      </x:c>
      <x:c r="I388" s="87" t="str">
        <x:v>ТР №3</x:v>
      </x:c>
      <x:c r="J388" s="87" t="str">
        <x:v>ГГ2510301</x:v>
      </x:c>
      <x:c r="K388" s="87" t="n">
        <x:v>9</x:v>
      </x:c>
      <x:c r="L388" s="87" t="str">
        <x:v>Мировая электроэнергетика</x:v>
      </x:c>
      <x:c r="M388" s="30" t="str">
        <x:v>Выберите три страны — мировых лидера по производству электроэнергии: Аргентина, Индия, Австралия, Китай, Швеция, США.</x:v>
      </x:c>
      <x:c r="N388" s="30" t="str">
        <x:v>246</x:v>
      </x:c>
      <x:c r="O388" s="30" t="str">
        <x:v>Китай, США и Индия входят в крупнейшую мировую тройку производителей электроэнергии благодаря масштабу экономики и населения.</x:v>
      </x:c>
      <x:c r="P388" s="30" t="str">
        <x:v>Выбранные страны сопоставлены с абсолютными объёмами производства.</x:v>
      </x:c>
      <x:c r="Q388" s="30"/>
      <x:c r="R388" s="30" t="str">
        <x:v>В таблице ключей отсутствует; решено независимо.</x:v>
      </x:c>
      <x:c r="S388" s="30"/>
      <x:c r="T388" s="30"/>
      <x:c r="U388" s="30" t="str">
        <x:v>Расхождений не выявлено.</x:v>
      </x:c>
      <x:c r="V388" s="87" t="str">
        <x:v>VERIFIED</x:v>
      </x:c>
      <x:c r="W388" s="87" t="n">
        <x:v>6</x:v>
      </x:c>
      <x:c r="X388" s="87"/>
      <x:c r="Y388" s="87"/>
      <x:c r="Z388" s="87"/>
      <x:c r="AA388" s="87"/>
      <x:c r="AB388" s="87"/>
      <x:c r="AC388" s="87"/>
      <x:c r="AD388" s="87"/>
      <x:c r="AE388" s="87"/>
      <x:c r="AF388" s="87"/>
      <x:c r="AG388" s="87"/>
      <x:c r="AH388" s="87"/>
      <x:c r="AI388" s="30"/>
      <x:c r="AJ388" s="87" t="str">
        <x:v>master</x:v>
      </x:c>
      <x:c r="AK388" s="87" t="str">
        <x:v>master-v0.81</x:v>
      </x:c>
      <x:c r="AL388" s="87" t="str">
        <x:v>statgrad_master_base_v0_81_final(2).xlsx</x:v>
      </x:c>
      <x:c r="AM388" s="87" t="str">
        <x:v>GEO_Feb_V1</x:v>
      </x:c>
      <x:c r="AN388" s="87" t="n">
        <x:v>10</x:v>
      </x:c>
    </x:row>
    <x:row r="389">
      <x:c r="A389" s="87" t="n">
        <x:v>388</x:v>
      </x:c>
      <x:c r="B389" s="87" t="str">
        <x:v>FEB-GEO-V1-010</x:v>
      </x:c>
      <x:c r="C389" s="87" t="str">
        <x:v>СтатГрад</x:v>
      </x:c>
      <x:c r="D389" s="87" t="str">
        <x:v>Февраль 2026</x:v>
      </x:c>
      <x:c r="E389" s="87"/>
      <x:c r="F389" s="87"/>
      <x:c r="G389" s="87" t="str">
        <x:v>География</x:v>
      </x:c>
      <x:c r="H389" s="87" t="n">
        <x:v>11</x:v>
      </x:c>
      <x:c r="I389" s="87" t="str">
        <x:v>ТР №3</x:v>
      </x:c>
      <x:c r="J389" s="87" t="str">
        <x:v>ГГ2510301</x:v>
      </x:c>
      <x:c r="K389" s="87" t="n">
        <x:v>10</x:v>
      </x:c>
      <x:c r="L389" s="87" t="str">
        <x:v>Анализ статистической таблицы</x:v>
      </x:c>
      <x:c r="M389" s="30" t="str">
        <x:v>Укажите регионы, в которых в 2020–2022 гг. объёмы промышленного производства ежегодно увеличивались.</x:v>
      </x:c>
      <x:c r="N389" s="30" t="str">
        <x:v>23</x:v>
      </x:c>
      <x:c r="O389" s="30" t="str">
        <x:v>Ежегодный рост означает значение выше 100% во всех трёх столбцах. Этому соответствуют Дагестан и Свердловская область.</x:v>
      </x:c>
      <x:c r="P389" s="30" t="str">
        <x:v>Каждая строка проверена по условию &gt;100% во все три года.</x:v>
      </x:c>
      <x:c r="Q389" s="30"/>
      <x:c r="R389" s="30" t="str">
        <x:v>В таблице ключей отсутствует; решено независимо.</x:v>
      </x:c>
      <x:c r="S389" s="30"/>
      <x:c r="T389" s="30"/>
      <x:c r="U389" s="30" t="str">
        <x:v>Расхождений не выявлено.</x:v>
      </x:c>
      <x:c r="V389" s="87" t="str">
        <x:v>VERIFIED</x:v>
      </x:c>
      <x:c r="W389" s="87" t="n">
        <x:v>6</x:v>
      </x:c>
      <x:c r="X389" s="87"/>
      <x:c r="Y389" s="87"/>
      <x:c r="Z389" s="87"/>
      <x:c r="AA389" s="87"/>
      <x:c r="AB389" s="87"/>
      <x:c r="AC389" s="87"/>
      <x:c r="AD389" s="87"/>
      <x:c r="AE389" s="87"/>
      <x:c r="AF389" s="87"/>
      <x:c r="AG389" s="87"/>
      <x:c r="AH389" s="87"/>
      <x:c r="AI389" s="30"/>
      <x:c r="AJ389" s="87" t="str">
        <x:v>master</x:v>
      </x:c>
      <x:c r="AK389" s="87" t="str">
        <x:v>master-v0.81</x:v>
      </x:c>
      <x:c r="AL389" s="87" t="str">
        <x:v>statgrad_master_base_v0_81_final(2).xlsx</x:v>
      </x:c>
      <x:c r="AM389" s="87" t="str">
        <x:v>GEO_Feb_V1</x:v>
      </x:c>
      <x:c r="AN389" s="87" t="n">
        <x:v>11</x:v>
      </x:c>
    </x:row>
    <x:row r="390">
      <x:c r="A390" s="87" t="n">
        <x:v>389</x:v>
      </x:c>
      <x:c r="B390" s="87" t="str">
        <x:v>FEB-GEO-V1-011</x:v>
      </x:c>
      <x:c r="C390" s="87" t="str">
        <x:v>СтатГрад</x:v>
      </x:c>
      <x:c r="D390" s="87" t="str">
        <x:v>Февраль 2026</x:v>
      </x:c>
      <x:c r="E390" s="87"/>
      <x:c r="F390" s="87"/>
      <x:c r="G390" s="87" t="str">
        <x:v>География</x:v>
      </x:c>
      <x:c r="H390" s="87" t="n">
        <x:v>11</x:v>
      </x:c>
      <x:c r="I390" s="87" t="str">
        <x:v>ТР №3</x:v>
      </x:c>
      <x:c r="J390" s="87" t="str">
        <x:v>ГГ2510301</x:v>
      </x:c>
      <x:c r="K390" s="87" t="n">
        <x:v>11</x:v>
      </x:c>
      <x:c r="L390" s="87" t="str">
        <x:v>Климатическая карта</x:v>
      </x:c>
      <x:c r="M390" s="30" t="str">
        <x:v>Расположите точки 1, 2 и 3 по возрастанию среднего многолетнего минимума температуры воздуха октября.</x:v>
      </x:c>
      <x:c r="N390" s="30" t="str">
        <x:v>321</x:v>
      </x:c>
      <x:c r="O390" s="30" t="str">
        <x:v>Точка 3 лежит в области наиболее низких температур около −26…−28 °C. Точка 2 расположена примерно у изотерм −12…−14 °C, точка 1 — в более тёплой западной области.</x:v>
      </x:c>
      <x:c r="P390" s="30" t="str">
        <x:v>Порядок установлен по подписям и взаимному положению изотерм.</x:v>
      </x:c>
      <x:c r="Q390" s="30"/>
      <x:c r="R390" s="30" t="str">
        <x:v>В таблице ключей отсутствует; решено независимо.</x:v>
      </x:c>
      <x:c r="S390" s="30"/>
      <x:c r="T390" s="30"/>
      <x:c r="U390" s="30" t="str">
        <x:v>Расхождений не выявлено.</x:v>
      </x:c>
      <x:c r="V390" s="87" t="str">
        <x:v>VERIFIED</x:v>
      </x:c>
      <x:c r="W390" s="87" t="n">
        <x:v>7</x:v>
      </x:c>
      <x:c r="X390" s="87"/>
      <x:c r="Y390" s="87"/>
      <x:c r="Z390" s="87"/>
      <x:c r="AA390" s="87"/>
      <x:c r="AB390" s="87"/>
      <x:c r="AC390" s="87"/>
      <x:c r="AD390" s="87"/>
      <x:c r="AE390" s="87"/>
      <x:c r="AF390" s="87"/>
      <x:c r="AG390" s="87"/>
      <x:c r="AH390" s="87"/>
      <x:c r="AI390" s="30"/>
      <x:c r="AJ390" s="87" t="str">
        <x:v>master</x:v>
      </x:c>
      <x:c r="AK390" s="87" t="str">
        <x:v>master-v0.81</x:v>
      </x:c>
      <x:c r="AL390" s="87" t="str">
        <x:v>statgrad_master_base_v0_81_final(2).xlsx</x:v>
      </x:c>
      <x:c r="AM390" s="87" t="str">
        <x:v>GEO_Feb_V1</x:v>
      </x:c>
      <x:c r="AN390" s="87" t="n">
        <x:v>12</x:v>
      </x:c>
    </x:row>
    <x:row r="391">
      <x:c r="A391" s="87" t="n">
        <x:v>390</x:v>
      </x:c>
      <x:c r="B391" s="87" t="str">
        <x:v>FEB-GEO-V1-012</x:v>
      </x:c>
      <x:c r="C391" s="87" t="str">
        <x:v>СтатГрад</x:v>
      </x:c>
      <x:c r="D391" s="87" t="str">
        <x:v>Февраль 2026</x:v>
      </x:c>
      <x:c r="E391" s="87"/>
      <x:c r="F391" s="87"/>
      <x:c r="G391" s="87" t="str">
        <x:v>География</x:v>
      </x:c>
      <x:c r="H391" s="87" t="n">
        <x:v>11</x:v>
      </x:c>
      <x:c r="I391" s="87" t="str">
        <x:v>ТР №3</x:v>
      </x:c>
      <x:c r="J391" s="87" t="str">
        <x:v>ГГ2510301</x:v>
      </x:c>
      <x:c r="K391" s="87" t="n">
        <x:v>12</x:v>
      </x:c>
      <x:c r="L391" s="87" t="str">
        <x:v>Миграции населения</x:v>
      </x:c>
      <x:c r="M391" s="30" t="str">
        <x:v>Выберите высказывания, содержащие информацию о миграциях населения.</x:v>
      </x:c>
      <x:c r="N391" s="30" t="str">
        <x:v>13</x:v>
      </x:c>
      <x:c r="O391" s="30" t="str">
        <x:v>В высказывании 1 сравнивается число прибывших и выбывших, а в высказывании 3 говорится об иностранных специалистах. Остальные пункты описывают иные демографические процессы.</x:v>
      </x:c>
      <x:c r="P391" s="30" t="str">
        <x:v>Каждое высказывание классифицировано по содержанию.</x:v>
      </x:c>
      <x:c r="Q391" s="30"/>
      <x:c r="R391" s="30" t="str">
        <x:v>13</x:v>
      </x:c>
      <x:c r="S391" s="30"/>
      <x:c r="T391" s="30"/>
      <x:c r="U391" s="30" t="str">
        <x:v>Расхождений нет.</x:v>
      </x:c>
      <x:c r="V391" s="87" t="str">
        <x:v>VERIFIED</x:v>
      </x:c>
      <x:c r="W391" s="87" t="n">
        <x:v>8</x:v>
      </x:c>
      <x:c r="X391" s="87"/>
      <x:c r="Y391" s="87"/>
      <x:c r="Z391" s="87"/>
      <x:c r="AA391" s="87"/>
      <x:c r="AB391" s="87"/>
      <x:c r="AC391" s="87"/>
      <x:c r="AD391" s="87"/>
      <x:c r="AE391" s="87"/>
      <x:c r="AF391" s="87"/>
      <x:c r="AG391" s="87"/>
      <x:c r="AH391" s="87"/>
      <x:c r="AI391" s="30"/>
      <x:c r="AJ391" s="87" t="str">
        <x:v>master</x:v>
      </x:c>
      <x:c r="AK391" s="87" t="str">
        <x:v>master-v0.81</x:v>
      </x:c>
      <x:c r="AL391" s="87" t="str">
        <x:v>statgrad_master_base_v0_81_final(2).xlsx</x:v>
      </x:c>
      <x:c r="AM391" s="87" t="str">
        <x:v>GEO_Feb_V1</x:v>
      </x:c>
      <x:c r="AN391" s="87" t="n">
        <x:v>13</x:v>
      </x:c>
    </x:row>
    <x:row r="392">
      <x:c r="A392" s="87" t="n">
        <x:v>391</x:v>
      </x:c>
      <x:c r="B392" s="87" t="str">
        <x:v>FEB-GEO-V1-013</x:v>
      </x:c>
      <x:c r="C392" s="87" t="str">
        <x:v>СтатГрад</x:v>
      </x:c>
      <x:c r="D392" s="87" t="str">
        <x:v>Февраль 2026</x:v>
      </x:c>
      <x:c r="E392" s="87"/>
      <x:c r="F392" s="87"/>
      <x:c r="G392" s="87" t="str">
        <x:v>География</x:v>
      </x:c>
      <x:c r="H392" s="87" t="n">
        <x:v>11</x:v>
      </x:c>
      <x:c r="I392" s="87" t="str">
        <x:v>ТР №3</x:v>
      </x:c>
      <x:c r="J392" s="87" t="str">
        <x:v>ГГ2510301</x:v>
      </x:c>
      <x:c r="K392" s="87" t="n">
        <x:v>13</x:v>
      </x:c>
      <x:c r="L392" s="87" t="str">
        <x:v>Геологическая история</x:v>
      </x:c>
      <x:c r="M392" s="30" t="str">
        <x:v>Расположите события: появление первых птиц и сумчатых; вымирание мамонтов и саблезубых тигров; вымирание динозавров.</x:v>
      </x:c>
      <x:c r="N392" s="30" t="str">
        <x:v>132</x:v>
      </x:c>
      <x:c r="O392" s="30" t="str">
        <x:v>Первые птицы появились в юрском периоде; динозавры вымерли в конце мелового периода; мамонты и саблезубые кошки — в четвертичном периоде.</x:v>
      </x:c>
      <x:c r="P392" s="30" t="str">
        <x:v>Периоды расположены по шкале мезозой → кайнозой.</x:v>
      </x:c>
      <x:c r="Q392" s="30"/>
      <x:c r="R392" s="30" t="str">
        <x:v>В таблице ключей отсутствует; решено независимо.</x:v>
      </x:c>
      <x:c r="S392" s="30"/>
      <x:c r="T392" s="30"/>
      <x:c r="U392" s="30" t="str">
        <x:v>Расхождений не выявлено.</x:v>
      </x:c>
      <x:c r="V392" s="87" t="str">
        <x:v>VERIFIED</x:v>
      </x:c>
      <x:c r="W392" s="87" t="n">
        <x:v>8</x:v>
      </x:c>
      <x:c r="X392" s="87"/>
      <x:c r="Y392" s="87"/>
      <x:c r="Z392" s="87"/>
      <x:c r="AA392" s="87"/>
      <x:c r="AB392" s="87"/>
      <x:c r="AC392" s="87"/>
      <x:c r="AD392" s="87"/>
      <x:c r="AE392" s="87"/>
      <x:c r="AF392" s="87"/>
      <x:c r="AG392" s="87"/>
      <x:c r="AH392" s="87"/>
      <x:c r="AI392" s="30"/>
      <x:c r="AJ392" s="87" t="str">
        <x:v>master</x:v>
      </x:c>
      <x:c r="AK392" s="87" t="str">
        <x:v>master-v0.81</x:v>
      </x:c>
      <x:c r="AL392" s="87" t="str">
        <x:v>statgrad_master_base_v0_81_final(2).xlsx</x:v>
      </x:c>
      <x:c r="AM392" s="87" t="str">
        <x:v>GEO_Feb_V1</x:v>
      </x:c>
      <x:c r="AN392" s="87" t="n">
        <x:v>14</x:v>
      </x:c>
    </x:row>
    <x:row r="393">
      <x:c r="A393" s="87" t="n">
        <x:v>392</x:v>
      </x:c>
      <x:c r="B393" s="87" t="str">
        <x:v>FEB-GEO-V1-014</x:v>
      </x:c>
      <x:c r="C393" s="87" t="str">
        <x:v>СтатГрад</x:v>
      </x:c>
      <x:c r="D393" s="87" t="str">
        <x:v>Февраль 2026</x:v>
      </x:c>
      <x:c r="E393" s="87"/>
      <x:c r="F393" s="87"/>
      <x:c r="G393" s="87" t="str">
        <x:v>География</x:v>
      </x:c>
      <x:c r="H393" s="87" t="n">
        <x:v>11</x:v>
      </x:c>
      <x:c r="I393" s="87" t="str">
        <x:v>ТР №3</x:v>
      </x:c>
      <x:c r="J393" s="87" t="str">
        <x:v>ГГ2510301</x:v>
      </x:c>
      <x:c r="K393" s="87" t="n">
        <x:v>14</x:v>
      </x:c>
      <x:c r="L393" s="87" t="str">
        <x:v>Часовые зоны России</x:v>
      </x:c>
      <x:c r="M393" s="30" t="str">
        <x:v>Избирательные участки открываются в 8:00 местного времени. Во сколько по московскому времени они открылись в Хабаровском крае?</x:v>
      </x:c>
      <x:c r="N393" s="30" t="str">
        <x:v>1</x:v>
      </x:c>
      <x:c r="O393" s="30" t="str">
        <x:v>Хабаровский край находится в зоне МСК+7. Следовательно, 8:00 местного времени соответствует 1:00 по Москве.</x:v>
      </x:c>
      <x:c r="P393" s="30" t="str">
        <x:v>Выполнено вычитание: 8−7=1.</x:v>
      </x:c>
      <x:c r="Q393" s="30"/>
      <x:c r="R393" s="30" t="str">
        <x:v>В таблице ключей отсутствует; решено независимо.</x:v>
      </x:c>
      <x:c r="S393" s="30"/>
      <x:c r="T393" s="30"/>
      <x:c r="U393" s="30" t="str">
        <x:v>Расхождений не выявлено.</x:v>
      </x:c>
      <x:c r="V393" s="87" t="str">
        <x:v>VERIFIED</x:v>
      </x:c>
      <x:c r="W393" s="87" t="n">
        <x:v>9</x:v>
      </x:c>
      <x:c r="X393" s="87"/>
      <x:c r="Y393" s="87"/>
      <x:c r="Z393" s="87"/>
      <x:c r="AA393" s="87"/>
      <x:c r="AB393" s="87"/>
      <x:c r="AC393" s="87"/>
      <x:c r="AD393" s="87"/>
      <x:c r="AE393" s="87"/>
      <x:c r="AF393" s="87"/>
      <x:c r="AG393" s="87"/>
      <x:c r="AH393" s="87"/>
      <x:c r="AI393" s="30"/>
      <x:c r="AJ393" s="87" t="str">
        <x:v>master</x:v>
      </x:c>
      <x:c r="AK393" s="87" t="str">
        <x:v>master-v0.81</x:v>
      </x:c>
      <x:c r="AL393" s="87" t="str">
        <x:v>statgrad_master_base_v0_81_final(2).xlsx</x:v>
      </x:c>
      <x:c r="AM393" s="87" t="str">
        <x:v>GEO_Feb_V1</x:v>
      </x:c>
      <x:c r="AN393" s="87" t="n">
        <x:v>15</x:v>
      </x:c>
    </x:row>
    <x:row r="394">
      <x:c r="A394" s="87" t="n">
        <x:v>393</x:v>
      </x:c>
      <x:c r="B394" s="87" t="str">
        <x:v>FEB-GEO-V1-015</x:v>
      </x:c>
      <x:c r="C394" s="87" t="str">
        <x:v>СтатГрад</x:v>
      </x:c>
      <x:c r="D394" s="87" t="str">
        <x:v>Февраль 2026</x:v>
      </x:c>
      <x:c r="E394" s="87"/>
      <x:c r="F394" s="87"/>
      <x:c r="G394" s="87" t="str">
        <x:v>География</x:v>
      </x:c>
      <x:c r="H394" s="87" t="n">
        <x:v>11</x:v>
      </x:c>
      <x:c r="I394" s="87" t="str">
        <x:v>ТР №3</x:v>
      </x:c>
      <x:c r="J394" s="87" t="str">
        <x:v>ГГ2510301</x:v>
      </x:c>
      <x:c r="K394" s="87" t="n">
        <x:v>15</x:v>
      </x:c>
      <x:c r="L394" s="87" t="str">
        <x:v>Ресурсообеспеченность</x:v>
      </x:c>
      <x:c r="M394" s="30" t="str">
        <x:v>Ресурсообеспеченность пашней в США — 0,49 га/чел., население — 339 млн человек. Найдите площадь пашни.</x:v>
      </x:c>
      <x:c r="N394" s="30" t="str">
        <x:v>166 млн га</x:v>
      </x:c>
      <x:c r="O394" s="30" t="str">
        <x:v>Площадь равна 0,49·339=166,11 млн га. После округления получается 166 млн га.</x:v>
      </x:c>
      <x:c r="P394" s="30" t="str">
        <x:v>Размерность проверена: га/чел. × млн чел. = млн га.</x:v>
      </x:c>
      <x:c r="Q394" s="30"/>
      <x:c r="R394" s="30" t="str">
        <x:v>В таблице ключей отсутствует; решено независимо.</x:v>
      </x:c>
      <x:c r="S394" s="30"/>
      <x:c r="T394" s="30"/>
      <x:c r="U394" s="30" t="str">
        <x:v>Расхождений не выявлено.</x:v>
      </x:c>
      <x:c r="V394" s="87" t="str">
        <x:v>VERIFIED</x:v>
      </x:c>
      <x:c r="W394" s="87" t="n">
        <x:v>9</x:v>
      </x:c>
      <x:c r="X394" s="87"/>
      <x:c r="Y394" s="87"/>
      <x:c r="Z394" s="87"/>
      <x:c r="AA394" s="87"/>
      <x:c r="AB394" s="87"/>
      <x:c r="AC394" s="87"/>
      <x:c r="AD394" s="87"/>
      <x:c r="AE394" s="87"/>
      <x:c r="AF394" s="87"/>
      <x:c r="AG394" s="87"/>
      <x:c r="AH394" s="87"/>
      <x:c r="AI394" s="30"/>
      <x:c r="AJ394" s="87" t="str">
        <x:v>master</x:v>
      </x:c>
      <x:c r="AK394" s="87" t="str">
        <x:v>master-v0.81</x:v>
      </x:c>
      <x:c r="AL394" s="87" t="str">
        <x:v>statgrad_master_base_v0_81_final(2).xlsx</x:v>
      </x:c>
      <x:c r="AM394" s="87" t="str">
        <x:v>GEO_Feb_V1</x:v>
      </x:c>
      <x:c r="AN394" s="87" t="n">
        <x:v>16</x:v>
      </x:c>
    </x:row>
    <x:row r="395">
      <x:c r="A395" s="87" t="n">
        <x:v>394</x:v>
      </x:c>
      <x:c r="B395" s="87" t="str">
        <x:v>FEB-GEO-V1-016</x:v>
      </x:c>
      <x:c r="C395" s="87" t="str">
        <x:v>СтатГрад</x:v>
      </x:c>
      <x:c r="D395" s="87" t="str">
        <x:v>Февраль 2026</x:v>
      </x:c>
      <x:c r="E395" s="87"/>
      <x:c r="F395" s="87"/>
      <x:c r="G395" s="87" t="str">
        <x:v>География</x:v>
      </x:c>
      <x:c r="H395" s="87" t="n">
        <x:v>11</x:v>
      </x:c>
      <x:c r="I395" s="87" t="str">
        <x:v>ТР №3</x:v>
      </x:c>
      <x:c r="J395" s="87" t="str">
        <x:v>ГГ2510301</x:v>
      </x:c>
      <x:c r="K395" s="87" t="n">
        <x:v>16</x:v>
      </x:c>
      <x:c r="L395" s="87" t="str">
        <x:v>Миграционный прирост</x:v>
      </x:c>
      <x:c r="M395" s="30" t="str">
        <x:v>По диаграмме прибытий и выбытий в Омской области за 2022 г. определите миграционный прирост.</x:v>
      </x:c>
      <x:c r="N395" s="30" t="str">
        <x:v>−9,7 тыс. человек</x:v>
      </x:c>
      <x:c r="O395" s="30" t="str">
        <x:v>Прибыло 22,0+12,6+4,6=39,2 тыс., выбыло 22,0+20,0+6,9=48,9 тыс. Прирост: 39,2−48,9=−9,7 тыс.</x:v>
      </x:c>
      <x:c r="P395" s="30" t="str">
        <x:v>Внутрирегиональные перемещения присутствуют в обеих суммах и взаимно сокращаются.</x:v>
      </x:c>
      <x:c r="Q395" s="30"/>
      <x:c r="R395" s="30" t="str">
        <x:v>В таблице ключей отсутствует; решено независимо.</x:v>
      </x:c>
      <x:c r="S395" s="30"/>
      <x:c r="T395" s="30"/>
      <x:c r="U395" s="30" t="str">
        <x:v>Расхождений не выявлено.</x:v>
      </x:c>
      <x:c r="V395" s="87" t="str">
        <x:v>VERIFIED</x:v>
      </x:c>
      <x:c r="W395" s="87" t="n">
        <x:v>10</x:v>
      </x:c>
      <x:c r="X395" s="87"/>
      <x:c r="Y395" s="87"/>
      <x:c r="Z395" s="87"/>
      <x:c r="AA395" s="87"/>
      <x:c r="AB395" s="87"/>
      <x:c r="AC395" s="87"/>
      <x:c r="AD395" s="87"/>
      <x:c r="AE395" s="87"/>
      <x:c r="AF395" s="87"/>
      <x:c r="AG395" s="87"/>
      <x:c r="AH395" s="87"/>
      <x:c r="AI395" s="30"/>
      <x:c r="AJ395" s="87" t="str">
        <x:v>master</x:v>
      </x:c>
      <x:c r="AK395" s="87" t="str">
        <x:v>master-v0.81</x:v>
      </x:c>
      <x:c r="AL395" s="87" t="str">
        <x:v>statgrad_master_base_v0_81_final(2).xlsx</x:v>
      </x:c>
      <x:c r="AM395" s="87" t="str">
        <x:v>GEO_Feb_V1</x:v>
      </x:c>
      <x:c r="AN395" s="87" t="n">
        <x:v>17</x:v>
      </x:c>
    </x:row>
    <x:row r="396">
      <x:c r="A396" s="87" t="n">
        <x:v>395</x:v>
      </x:c>
      <x:c r="B396" s="87" t="str">
        <x:v>FEB-GEO-V1-017</x:v>
      </x:c>
      <x:c r="C396" s="87" t="str">
        <x:v>СтатГрад</x:v>
      </x:c>
      <x:c r="D396" s="87" t="str">
        <x:v>Февраль 2026</x:v>
      </x:c>
      <x:c r="E396" s="87"/>
      <x:c r="F396" s="87"/>
      <x:c r="G396" s="87" t="str">
        <x:v>География</x:v>
      </x:c>
      <x:c r="H396" s="87" t="n">
        <x:v>11</x:v>
      </x:c>
      <x:c r="I396" s="87" t="str">
        <x:v>ТР №3</x:v>
      </x:c>
      <x:c r="J396" s="87" t="str">
        <x:v>ГГ2510301</x:v>
      </x:c>
      <x:c r="K396" s="87" t="n">
        <x:v>17</x:v>
      </x:c>
      <x:c r="L396" s="87" t="str">
        <x:v>Определение страны</x:v>
      </x:c>
      <x:c r="M396" s="30" t="str">
        <x:v>Страна Западного полушария имеет выход к двум океанам, население более 100 млн, урбанизация около 80%, экспортирует машины, нефть и продукцию тропического земледелия.</x:v>
      </x:c>
      <x:c r="N396" s="30" t="str">
        <x:v>Мексика</x:v>
      </x:c>
      <x:c r="O396" s="30" t="str">
        <x:v>Мексика омывается Тихим и Атлантическим океанами, имеет население свыше 100 млн и крупную агломерацию Мехико.</x:v>
      </x:c>
      <x:c r="P396" s="30" t="str">
        <x:v>Все признаки одновременно сопоставлены с Мексикой.</x:v>
      </x:c>
      <x:c r="Q396" s="30"/>
      <x:c r="R396" s="30" t="str">
        <x:v>Мексика</x:v>
      </x:c>
      <x:c r="S396" s="30"/>
      <x:c r="T396" s="30"/>
      <x:c r="U396" s="30" t="str">
        <x:v>Расхождений нет.</x:v>
      </x:c>
      <x:c r="V396" s="87" t="str">
        <x:v>VERIFIED</x:v>
      </x:c>
      <x:c r="W396" s="87" t="n">
        <x:v>10</x:v>
      </x:c>
      <x:c r="X396" s="87"/>
      <x:c r="Y396" s="87"/>
      <x:c r="Z396" s="87"/>
      <x:c r="AA396" s="87"/>
      <x:c r="AB396" s="87"/>
      <x:c r="AC396" s="87"/>
      <x:c r="AD396" s="87"/>
      <x:c r="AE396" s="87"/>
      <x:c r="AF396" s="87"/>
      <x:c r="AG396" s="87"/>
      <x:c r="AH396" s="87"/>
      <x:c r="AI396" s="30"/>
      <x:c r="AJ396" s="87" t="str">
        <x:v>master</x:v>
      </x:c>
      <x:c r="AK396" s="87" t="str">
        <x:v>master-v0.81</x:v>
      </x:c>
      <x:c r="AL396" s="87" t="str">
        <x:v>statgrad_master_base_v0_81_final(2).xlsx</x:v>
      </x:c>
      <x:c r="AM396" s="87" t="str">
        <x:v>GEO_Feb_V1</x:v>
      </x:c>
      <x:c r="AN396" s="87" t="n">
        <x:v>18</x:v>
      </x:c>
    </x:row>
    <x:row r="397">
      <x:c r="A397" s="87" t="n">
        <x:v>396</x:v>
      </x:c>
      <x:c r="B397" s="87" t="str">
        <x:v>FEB-GEO-V1-018</x:v>
      </x:c>
      <x:c r="C397" s="87" t="str">
        <x:v>СтатГрад</x:v>
      </x:c>
      <x:c r="D397" s="87" t="str">
        <x:v>Февраль 2026</x:v>
      </x:c>
      <x:c r="E397" s="87"/>
      <x:c r="F397" s="87"/>
      <x:c r="G397" s="87" t="str">
        <x:v>География</x:v>
      </x:c>
      <x:c r="H397" s="87" t="n">
        <x:v>11</x:v>
      </x:c>
      <x:c r="I397" s="87" t="str">
        <x:v>ТР №3</x:v>
      </x:c>
      <x:c r="J397" s="87" t="str">
        <x:v>ГГ2510301</x:v>
      </x:c>
      <x:c r="K397" s="87" t="n">
        <x:v>18</x:v>
      </x:c>
      <x:c r="L397" s="87" t="str">
        <x:v>Определение региона России</x:v>
      </x:c>
      <x:c r="M397" s="30" t="str">
        <x:v>Область в азиатской части России без внешней границы, с высокой плотностью населения, почти половиной добычи угля страны, металлургией и Транссибом.</x:v>
      </x:c>
      <x:c r="N397" s="30" t="str">
        <x:v>Кемеровская область</x:v>
      </x:c>
      <x:c r="O397" s="30" t="str">
        <x:v>Кузбасс обеспечивает огромную долю добычи угля России; область имеет развитую металлургию и пересекается Транссибирской магистралью.</x:v>
      </x:c>
      <x:c r="P397" s="30" t="str">
        <x:v>Описание сопоставлено с хозяйственной специализацией Кузбасса.</x:v>
      </x:c>
      <x:c r="Q397" s="30"/>
      <x:c r="R397" s="30" t="str">
        <x:v>Кемеровская</x:v>
      </x:c>
      <x:c r="S397" s="30"/>
      <x:c r="T397" s="30"/>
      <x:c r="U397" s="30" t="str">
        <x:v>Ключ содержит краткую форму; итог нормализован до полного названия региона.</x:v>
      </x:c>
      <x:c r="V397" s="87" t="str">
        <x:v>VERIFIED</x:v>
      </x:c>
      <x:c r="W397" s="87" t="n">
        <x:v>10</x:v>
      </x:c>
      <x:c r="X397" s="87"/>
      <x:c r="Y397" s="87"/>
      <x:c r="Z397" s="87"/>
      <x:c r="AA397" s="87"/>
      <x:c r="AB397" s="87"/>
      <x:c r="AC397" s="87"/>
      <x:c r="AD397" s="87"/>
      <x:c r="AE397" s="87"/>
      <x:c r="AF397" s="87"/>
      <x:c r="AG397" s="87"/>
      <x:c r="AH397" s="87"/>
      <x:c r="AI397" s="30"/>
      <x:c r="AJ397" s="87" t="str">
        <x:v>master</x:v>
      </x:c>
      <x:c r="AK397" s="87" t="str">
        <x:v>master-v0.81</x:v>
      </x:c>
      <x:c r="AL397" s="87" t="str">
        <x:v>statgrad_master_base_v0_81_final(2).xlsx</x:v>
      </x:c>
      <x:c r="AM397" s="87" t="str">
        <x:v>GEO_Feb_V1</x:v>
      </x:c>
      <x:c r="AN397" s="87" t="n">
        <x:v>19</x:v>
      </x:c>
    </x:row>
    <x:row r="398">
      <x:c r="A398" s="87" t="n">
        <x:v>397</x:v>
      </x:c>
      <x:c r="B398" s="87" t="str">
        <x:v>FEB-GEO-V1-019</x:v>
      </x:c>
      <x:c r="C398" s="87" t="str">
        <x:v>СтатГрад</x:v>
      </x:c>
      <x:c r="D398" s="87" t="str">
        <x:v>Февраль 2026</x:v>
      </x:c>
      <x:c r="E398" s="87"/>
      <x:c r="F398" s="87"/>
      <x:c r="G398" s="87" t="str">
        <x:v>География</x:v>
      </x:c>
      <x:c r="H398" s="87" t="n">
        <x:v>11</x:v>
      </x:c>
      <x:c r="I398" s="87" t="str">
        <x:v>ТР №3</x:v>
      </x:c>
      <x:c r="J398" s="87" t="str">
        <x:v>ГГ2510301</x:v>
      </x:c>
      <x:c r="K398" s="87" t="n">
        <x:v>19</x:v>
      </x:c>
      <x:c r="L398" s="87" t="str">
        <x:v>Урбанизация Латинской Америки</x:v>
      </x:c>
      <x:c r="M398" s="30" t="str">
        <x:v>Расположите Бразилию, Панаму и Уругвай по возрастанию доли городского населения.</x:v>
      </x:c>
      <x:c r="N398" s="30" t="str">
        <x:v>213</x:v>
      </x:c>
      <x:c r="O398" s="30" t="str">
        <x:v>Панама относится к более низкому интервалу урбанизации, Бразилия — к следующему, Уругвай имеет наибольшую долю.</x:v>
      </x:c>
      <x:c r="P398" s="30" t="str">
        <x:v>Порядок сверён по условным обозначениям карты.</x:v>
      </x:c>
      <x:c r="Q398" s="30"/>
      <x:c r="R398" s="30" t="str">
        <x:v>213</x:v>
      </x:c>
      <x:c r="S398" s="30"/>
      <x:c r="T398" s="30"/>
      <x:c r="U398" s="30" t="str">
        <x:v>Расхождений нет.</x:v>
      </x:c>
      <x:c r="V398" s="87" t="str">
        <x:v>VERIFIED</x:v>
      </x:c>
      <x:c r="W398" s="87" t="n">
        <x:v>11</x:v>
      </x:c>
      <x:c r="X398" s="87"/>
      <x:c r="Y398" s="87"/>
      <x:c r="Z398" s="87"/>
      <x:c r="AA398" s="87"/>
      <x:c r="AB398" s="87"/>
      <x:c r="AC398" s="87"/>
      <x:c r="AD398" s="87"/>
      <x:c r="AE398" s="87"/>
      <x:c r="AF398" s="87"/>
      <x:c r="AG398" s="87"/>
      <x:c r="AH398" s="87"/>
      <x:c r="AI398" s="30"/>
      <x:c r="AJ398" s="87" t="str">
        <x:v>master</x:v>
      </x:c>
      <x:c r="AK398" s="87" t="str">
        <x:v>master-v0.81</x:v>
      </x:c>
      <x:c r="AL398" s="87" t="str">
        <x:v>statgrad_master_base_v0_81_final(2).xlsx</x:v>
      </x:c>
      <x:c r="AM398" s="87" t="str">
        <x:v>GEO_Feb_V1</x:v>
      </x:c>
      <x:c r="AN398" s="87" t="n">
        <x:v>20</x:v>
      </x:c>
    </x:row>
    <x:row r="399">
      <x:c r="A399" s="87" t="n">
        <x:v>398</x:v>
      </x:c>
      <x:c r="B399" s="87" t="str">
        <x:v>FEB-GEO-V1-020</x:v>
      </x:c>
      <x:c r="C399" s="87" t="str">
        <x:v>СтатГрад</x:v>
      </x:c>
      <x:c r="D399" s="87" t="str">
        <x:v>Февраль 2026</x:v>
      </x:c>
      <x:c r="E399" s="87"/>
      <x:c r="F399" s="87"/>
      <x:c r="G399" s="87" t="str">
        <x:v>География</x:v>
      </x:c>
      <x:c r="H399" s="87" t="n">
        <x:v>11</x:v>
      </x:c>
      <x:c r="I399" s="87" t="str">
        <x:v>ТР №3</x:v>
      </x:c>
      <x:c r="J399" s="87" t="str">
        <x:v>ГГ2510301</x:v>
      </x:c>
      <x:c r="K399" s="87" t="n">
        <x:v>20</x:v>
      </x:c>
      <x:c r="L399" s="87" t="str">
        <x:v>Интервальная картограмма</x:v>
      </x:c>
      <x:c r="M399" s="30" t="str">
        <x:v>Соотнесите Габон, Египет и Кению с интервалами доли городского населения.</x:v>
      </x:c>
      <x:c r="N399" s="30" t="str">
        <x:v>521</x:v>
      </x:c>
      <x:c r="O399" s="30" t="str">
        <x:v>Габон — более 85%; Египет — 40–55%; Кения — менее 40%.</x:v>
      </x:c>
      <x:c r="P399" s="30" t="str">
        <x:v>Интервалы проверены по значениям доли городского населения.</x:v>
      </x:c>
      <x:c r="Q399" s="30"/>
      <x:c r="R399" s="30" t="str">
        <x:v>В таблице ключей отсутствует; решено независимо.</x:v>
      </x:c>
      <x:c r="S399" s="30"/>
      <x:c r="T399" s="30"/>
      <x:c r="U399" s="30" t="str">
        <x:v>Расхождений не выявлено.</x:v>
      </x:c>
      <x:c r="V399" s="87" t="str">
        <x:v>VERIFIED</x:v>
      </x:c>
      <x:c r="W399" s="87" t="n">
        <x:v>12</x:v>
      </x:c>
      <x:c r="X399" s="87"/>
      <x:c r="Y399" s="87"/>
      <x:c r="Z399" s="87"/>
      <x:c r="AA399" s="87"/>
      <x:c r="AB399" s="87"/>
      <x:c r="AC399" s="87"/>
      <x:c r="AD399" s="87"/>
      <x:c r="AE399" s="87"/>
      <x:c r="AF399" s="87"/>
      <x:c r="AG399" s="87"/>
      <x:c r="AH399" s="87"/>
      <x:c r="AI399" s="30"/>
      <x:c r="AJ399" s="87" t="str">
        <x:v>master</x:v>
      </x:c>
      <x:c r="AK399" s="87" t="str">
        <x:v>master-v0.81</x:v>
      </x:c>
      <x:c r="AL399" s="87" t="str">
        <x:v>statgrad_master_base_v0_81_final(2).xlsx</x:v>
      </x:c>
      <x:c r="AM399" s="87" t="str">
        <x:v>GEO_Feb_V1</x:v>
      </x:c>
      <x:c r="AN399" s="87" t="n">
        <x:v>21</x:v>
      </x:c>
    </x:row>
    <x:row r="400">
      <x:c r="A400" s="87" t="n">
        <x:v>399</x:v>
      </x:c>
      <x:c r="B400" s="87" t="str">
        <x:v>FEB-GEO-V1-021</x:v>
      </x:c>
      <x:c r="C400" s="87" t="str">
        <x:v>СтатГрад</x:v>
      </x:c>
      <x:c r="D400" s="87" t="str">
        <x:v>Февраль 2026</x:v>
      </x:c>
      <x:c r="E400" s="87"/>
      <x:c r="F400" s="87"/>
      <x:c r="G400" s="87" t="str">
        <x:v>География</x:v>
      </x:c>
      <x:c r="H400" s="87" t="n">
        <x:v>11</x:v>
      </x:c>
      <x:c r="I400" s="87" t="str">
        <x:v>ТР №3</x:v>
      </x:c>
      <x:c r="J400" s="87" t="str">
        <x:v>ГГ2510301</x:v>
      </x:c>
      <x:c r="K400" s="87" t="n">
        <x:v>21</x:v>
      </x:c>
      <x:c r="L400" s="87" t="str">
        <x:v>Развёрнутый ответ: субрегион</x:v>
      </x:c>
      <x:c r="M400" s="30" t="str">
        <x:v>Назовите субрегион Африки, в котором находится Египет.</x:v>
      </x:c>
      <x:c r="N400" s="30" t="str">
        <x:v>Северная Африка</x:v>
      </x:c>
      <x:c r="O400" s="30" t="str">
        <x:v>Египет расположен на северо-востоке Африки и относится к субрегиону Северная Африка.</x:v>
      </x:c>
      <x:c r="P400" s="30" t="str">
        <x:v>Ответ сверён с географическим районированием Африки.</x:v>
      </x:c>
      <x:c r="Q400" s="30"/>
      <x:c r="R400" s="30" t="str">
        <x:v>Северная Африка</x:v>
      </x:c>
      <x:c r="S400" s="30"/>
      <x:c r="T400" s="30"/>
      <x:c r="U400" s="30" t="str">
        <x:v>Расхождений нет.</x:v>
      </x:c>
      <x:c r="V400" s="87" t="str">
        <x:v>VERIFIED</x:v>
      </x:c>
      <x:c r="W400" s="87" t="n">
        <x:v>13</x:v>
      </x:c>
      <x:c r="X400" s="87"/>
      <x:c r="Y400" s="87"/>
      <x:c r="Z400" s="87"/>
      <x:c r="AA400" s="87"/>
      <x:c r="AB400" s="87"/>
      <x:c r="AC400" s="87"/>
      <x:c r="AD400" s="87"/>
      <x:c r="AE400" s="87"/>
      <x:c r="AF400" s="87"/>
      <x:c r="AG400" s="87"/>
      <x:c r="AH400" s="87"/>
      <x:c r="AI400" s="30"/>
      <x:c r="AJ400" s="87" t="str">
        <x:v>master</x:v>
      </x:c>
      <x:c r="AK400" s="87" t="str">
        <x:v>master-v0.81</x:v>
      </x:c>
      <x:c r="AL400" s="87" t="str">
        <x:v>statgrad_master_base_v0_81_final(2).xlsx</x:v>
      </x:c>
      <x:c r="AM400" s="87" t="str">
        <x:v>GEO_Feb_V1</x:v>
      </x:c>
      <x:c r="AN400" s="87" t="n">
        <x:v>22</x:v>
      </x:c>
    </x:row>
    <x:row r="401">
      <x:c r="A401" s="87" t="n">
        <x:v>400</x:v>
      </x:c>
      <x:c r="B401" s="87" t="str">
        <x:v>FEB-GEO-V1-022</x:v>
      </x:c>
      <x:c r="C401" s="87" t="str">
        <x:v>СтатГрад</x:v>
      </x:c>
      <x:c r="D401" s="87" t="str">
        <x:v>Февраль 2026</x:v>
      </x:c>
      <x:c r="E401" s="87"/>
      <x:c r="F401" s="87"/>
      <x:c r="G401" s="87" t="str">
        <x:v>География</x:v>
      </x:c>
      <x:c r="H401" s="87" t="n">
        <x:v>11</x:v>
      </x:c>
      <x:c r="I401" s="87" t="str">
        <x:v>ТР №3</x:v>
      </x:c>
      <x:c r="J401" s="87" t="str">
        <x:v>ГГ2510301</x:v>
      </x:c>
      <x:c r="K401" s="87" t="n">
        <x:v>22</x:v>
      </x:c>
      <x:c r="L401" s="87" t="str">
        <x:v>Развёрнутый ответ: демографический расчёт</x:v>
      </x:c>
      <x:c r="M401" s="30" t="str">
        <x:v>Определите коэффициент смертности населения Египта в 2025 г. по данным текста.</x:v>
      </x:c>
      <x:c r="N401" s="30" t="str">
        <x:v>8‰</x:v>
      </x:c>
      <x:c r="O401" s="30" t="str">
        <x:v>Рождаемость в 2025 г.: 26−7=19‰. Смертность: 19−11=8‰.</x:v>
      </x:c>
      <x:c r="P401" s="30" t="str">
        <x:v>Проверено равенство 19‰−8‰=11‰ естественного прироста.</x:v>
      </x:c>
      <x:c r="Q401" s="30"/>
      <x:c r="R401" s="30" t="str">
        <x:v>Критерии, стр. 1</x:v>
      </x:c>
      <x:c r="S401" s="30"/>
      <x:c r="T401" s="30"/>
      <x:c r="U401" s="30" t="str">
        <x:v>Критерий перенесён отдельно без изменения.</x:v>
      </x:c>
      <x:c r="V401" s="87" t="str">
        <x:v>VERIFIED</x:v>
      </x:c>
      <x:c r="W401" s="87" t="n">
        <x:v>13</x:v>
      </x:c>
      <x:c r="X401" s="87"/>
      <x:c r="Y401" s="87"/>
      <x:c r="Z401" s="87"/>
      <x:c r="AA401" s="87"/>
      <x:c r="AB401" s="87"/>
      <x:c r="AC401" s="87"/>
      <x:c r="AD401" s="87"/>
      <x:c r="AE401" s="87"/>
      <x:c r="AF401" s="87"/>
      <x:c r="AG401" s="87"/>
      <x:c r="AH401" s="87"/>
      <x:c r="AI401" s="30"/>
      <x:c r="AJ401" s="87" t="str">
        <x:v>master</x:v>
      </x:c>
      <x:c r="AK401" s="87" t="str">
        <x:v>master-v0.81</x:v>
      </x:c>
      <x:c r="AL401" s="87" t="str">
        <x:v>statgrad_master_base_v0_81_final(2).xlsx</x:v>
      </x:c>
      <x:c r="AM401" s="87" t="str">
        <x:v>GEO_Feb_V1</x:v>
      </x:c>
      <x:c r="AN401" s="87" t="n">
        <x:v>23</x:v>
      </x:c>
    </x:row>
    <x:row r="402">
      <x:c r="A402" s="87" t="n">
        <x:v>401</x:v>
      </x:c>
      <x:c r="B402" s="87" t="str">
        <x:v>FEB-GEO-V1-023</x:v>
      </x:c>
      <x:c r="C402" s="87" t="str">
        <x:v>СтатГрад</x:v>
      </x:c>
      <x:c r="D402" s="87" t="str">
        <x:v>Февраль 2026</x:v>
      </x:c>
      <x:c r="E402" s="87"/>
      <x:c r="F402" s="87"/>
      <x:c r="G402" s="87" t="str">
        <x:v>География</x:v>
      </x:c>
      <x:c r="H402" s="87" t="n">
        <x:v>11</x:v>
      </x:c>
      <x:c r="I402" s="87" t="str">
        <x:v>ТР №3</x:v>
      </x:c>
      <x:c r="J402" s="87" t="str">
        <x:v>ГГ2510301</x:v>
      </x:c>
      <x:c r="K402" s="87" t="n">
        <x:v>23</x:v>
      </x:c>
      <x:c r="L402" s="87" t="str">
        <x:v>Развёрнутый ответ: возрастная структура</x:v>
      </x:c>
      <x:c r="M402" s="30" t="str">
        <x:v>Объясните связь роста смертности и увеличения ожидаемой продолжительности жизни в Египте.</x:v>
      </x:c>
      <x:c r="N402" s="30" t="str">
        <x:v>При росте продолжительности жизни увеличивается доля пожилых людей; у пожилых смертность выше, поэтому общий коэффициент смертности может возрастать.</x:v>
      </x:c>
      <x:c r="O402" s="30" t="str">
        <x:v>Объяснение связывает возрастную структуру с общим коэффициентом смертности.</x:v>
      </x:c>
      <x:c r="P402" s="30"/>
      <x:c r="Q402" s="30"/>
      <x:c r="R402" s="30" t="str">
        <x:v>Критерии, стр. 1</x:v>
      </x:c>
      <x:c r="S402" s="30"/>
      <x:c r="T402" s="30"/>
      <x:c r="U402" s="30" t="str">
        <x:v>Критерий перенесён отдельно без изменения.</x:v>
      </x:c>
      <x:c r="V402" s="87" t="str">
        <x:v>VERIFIED</x:v>
      </x:c>
      <x:c r="W402" s="87" t="n">
        <x:v>13</x:v>
      </x:c>
      <x:c r="X402" s="87"/>
      <x:c r="Y402" s="87"/>
      <x:c r="Z402" s="87"/>
      <x:c r="AA402" s="87"/>
      <x:c r="AB402" s="87"/>
      <x:c r="AC402" s="87"/>
      <x:c r="AD402" s="87"/>
      <x:c r="AE402" s="87"/>
      <x:c r="AF402" s="87"/>
      <x:c r="AG402" s="87"/>
      <x:c r="AH402" s="87"/>
      <x:c r="AI402" s="30" t="str">
        <x:v>{"_alignment": "REALIGNED_MISSING_INDEPENDENT_CHECK"}</x:v>
      </x:c>
      <x:c r="AJ402" s="87" t="str">
        <x:v>master</x:v>
      </x:c>
      <x:c r="AK402" s="87" t="str">
        <x:v>master-v0.81</x:v>
      </x:c>
      <x:c r="AL402" s="87" t="str">
        <x:v>statgrad_master_base_v0_81_final(2).xlsx</x:v>
      </x:c>
      <x:c r="AM402" s="87" t="str">
        <x:v>GEO_Feb_V1</x:v>
      </x:c>
      <x:c r="AN402" s="87" t="n">
        <x:v>24</x:v>
      </x:c>
    </x:row>
    <x:row r="403">
      <x:c r="A403" s="87" t="n">
        <x:v>402</x:v>
      </x:c>
      <x:c r="B403" s="87" t="str">
        <x:v>FEB-GEO-V1-024</x:v>
      </x:c>
      <x:c r="C403" s="87" t="str">
        <x:v>СтатГрад</x:v>
      </x:c>
      <x:c r="D403" s="87" t="str">
        <x:v>Февраль 2026</x:v>
      </x:c>
      <x:c r="E403" s="87"/>
      <x:c r="F403" s="87"/>
      <x:c r="G403" s="87" t="str">
        <x:v>География</x:v>
      </x:c>
      <x:c r="H403" s="87" t="n">
        <x:v>11</x:v>
      </x:c>
      <x:c r="I403" s="87" t="str">
        <x:v>ТР №3</x:v>
      </x:c>
      <x:c r="J403" s="87" t="str">
        <x:v>ГГ2510301</x:v>
      </x:c>
      <x:c r="K403" s="87" t="n">
        <x:v>24</x:v>
      </x:c>
      <x:c r="L403" s="87" t="str">
        <x:v>Развёрнутый ответ: ИЧР</x:v>
      </x:c>
      <x:c r="M403" s="30" t="str">
        <x:v>Предположите, какая страна — Кения или Ливия — была выше в рейтинге ИЧР в 2017 г.; приведите данные и вычисления.</x:v>
      </x:c>
      <x:c r="N403" s="30" t="str">
        <x:v>Ливия: продолжительность жизни 72 года против 66 лет; ВВП на душу 4891 долл. против 3200 долл. (31 300/6,4 и 163 200/51,0).</x:v>
      </x:c>
      <x:c r="O403" s="30" t="str">
        <x:v>Оба доступных компонента ИЧР выше в Ливии.</x:v>
      </x:c>
      <x:c r="P403" s="30"/>
      <x:c r="Q403" s="30"/>
      <x:c r="R403" s="30" t="str">
        <x:v>Критерии, стр. 2</x:v>
      </x:c>
      <x:c r="S403" s="30"/>
      <x:c r="T403" s="30"/>
      <x:c r="U403" s="30" t="str">
        <x:v>Критерий перенесён отдельно без изменения.</x:v>
      </x:c>
      <x:c r="V403" s="87" t="str">
        <x:v>VERIFIED</x:v>
      </x:c>
      <x:c r="W403" s="87" t="n">
        <x:v>14</x:v>
      </x:c>
      <x:c r="X403" s="87"/>
      <x:c r="Y403" s="87"/>
      <x:c r="Z403" s="87"/>
      <x:c r="AA403" s="87"/>
      <x:c r="AB403" s="87"/>
      <x:c r="AC403" s="87"/>
      <x:c r="AD403" s="87"/>
      <x:c r="AE403" s="87"/>
      <x:c r="AF403" s="87"/>
      <x:c r="AG403" s="87"/>
      <x:c r="AH403" s="87"/>
      <x:c r="AI403" s="30" t="str">
        <x:v>{"_alignment": "REALIGNED_MISSING_INDEPENDENT_CHECK"}</x:v>
      </x:c>
      <x:c r="AJ403" s="87" t="str">
        <x:v>master</x:v>
      </x:c>
      <x:c r="AK403" s="87" t="str">
        <x:v>master-v0.81</x:v>
      </x:c>
      <x:c r="AL403" s="87" t="str">
        <x:v>statgrad_master_base_v0_81_final(2).xlsx</x:v>
      </x:c>
      <x:c r="AM403" s="87" t="str">
        <x:v>GEO_Feb_V1</x:v>
      </x:c>
      <x:c r="AN403" s="87" t="n">
        <x:v>25</x:v>
      </x:c>
    </x:row>
    <x:row r="404">
      <x:c r="A404" s="87" t="n">
        <x:v>403</x:v>
      </x:c>
      <x:c r="B404" s="87" t="str">
        <x:v>FEB-GEO-V1-025</x:v>
      </x:c>
      <x:c r="C404" s="87" t="str">
        <x:v>СтатГрад</x:v>
      </x:c>
      <x:c r="D404" s="87" t="str">
        <x:v>Февраль 2026</x:v>
      </x:c>
      <x:c r="E404" s="87"/>
      <x:c r="F404" s="87"/>
      <x:c r="G404" s="87" t="str">
        <x:v>География</x:v>
      </x:c>
      <x:c r="H404" s="87" t="n">
        <x:v>11</x:v>
      </x:c>
      <x:c r="I404" s="87" t="str">
        <x:v>ТР №3</x:v>
      </x:c>
      <x:c r="J404" s="87" t="str">
        <x:v>ГГ2510301</x:v>
      </x:c>
      <x:c r="K404" s="87" t="n">
        <x:v>25</x:v>
      </x:c>
      <x:c r="L404" s="87" t="str">
        <x:v>Развёрнутый ответ: роль сельского хозяйства</x:v>
      </x:c>
      <x:c r="M404" s="30" t="str">
        <x:v>Сравните роль сельского хозяйства в экономике Бурунди и Сальвадора в 2017 г.</x:v>
      </x:c>
      <x:c r="N404" s="30" t="str">
        <x:v>Большую роль оно играло в Бурунди: занято 85% населения против 22%; доля сельхозэкспорта — 0,12/0,2=60% против 1,1/5,8≈19%.</x:v>
      </x:c>
      <x:c r="O404" s="30" t="str">
        <x:v>Оба показателя указывают на большую зависимость экономики Бурунди от сельского хозяйства.</x:v>
      </x:c>
      <x:c r="P404" s="30"/>
      <x:c r="Q404" s="30"/>
      <x:c r="R404" s="30" t="str">
        <x:v>Критерии, стр. 2–3</x:v>
      </x:c>
      <x:c r="S404" s="30"/>
      <x:c r="T404" s="30"/>
      <x:c r="U404" s="30" t="str">
        <x:v>Критерий перенесён отдельно без изменения.</x:v>
      </x:c>
      <x:c r="V404" s="87" t="str">
        <x:v>VERIFIED</x:v>
      </x:c>
      <x:c r="W404" s="87" t="n">
        <x:v>14</x:v>
      </x:c>
      <x:c r="X404" s="87"/>
      <x:c r="Y404" s="87"/>
      <x:c r="Z404" s="87"/>
      <x:c r="AA404" s="87"/>
      <x:c r="AB404" s="87"/>
      <x:c r="AC404" s="87"/>
      <x:c r="AD404" s="87"/>
      <x:c r="AE404" s="87"/>
      <x:c r="AF404" s="87"/>
      <x:c r="AG404" s="87"/>
      <x:c r="AH404" s="87"/>
      <x:c r="AI404" s="30" t="str">
        <x:v>{"_alignment": "REALIGNED_MISSING_INDEPENDENT_CHECK"}</x:v>
      </x:c>
      <x:c r="AJ404" s="87" t="str">
        <x:v>master</x:v>
      </x:c>
      <x:c r="AK404" s="87" t="str">
        <x:v>master-v0.81</x:v>
      </x:c>
      <x:c r="AL404" s="87" t="str">
        <x:v>statgrad_master_base_v0_81_final(2).xlsx</x:v>
      </x:c>
      <x:c r="AM404" s="87" t="str">
        <x:v>GEO_Feb_V1</x:v>
      </x:c>
      <x:c r="AN404" s="87" t="n">
        <x:v>26</x:v>
      </x:c>
    </x:row>
    <x:row r="405">
      <x:c r="A405" s="87" t="n">
        <x:v>404</x:v>
      </x:c>
      <x:c r="B405" s="87" t="str">
        <x:v>FEB-GEO-V1-026</x:v>
      </x:c>
      <x:c r="C405" s="87" t="str">
        <x:v>СтатГрад</x:v>
      </x:c>
      <x:c r="D405" s="87" t="str">
        <x:v>Февраль 2026</x:v>
      </x:c>
      <x:c r="E405" s="87"/>
      <x:c r="F405" s="87"/>
      <x:c r="G405" s="87" t="str">
        <x:v>География</x:v>
      </x:c>
      <x:c r="H405" s="87" t="n">
        <x:v>11</x:v>
      </x:c>
      <x:c r="I405" s="87" t="str">
        <x:v>ТР №3</x:v>
      </x:c>
      <x:c r="J405" s="87" t="str">
        <x:v>ГГ2510301</x:v>
      </x:c>
      <x:c r="K405" s="87" t="n">
        <x:v>26</x:v>
      </x:c>
      <x:c r="L405" s="87" t="str">
        <x:v>Развёрнутый ответ: возрастная структура</x:v>
      </x:c>
      <x:c r="M405" s="30" t="str">
        <x:v>Почему доля населения старше 65 лет в Гватемале меньше, чем в Уругвае? Укажите две причины.</x:v>
      </x:c>
      <x:c r="N405" s="30" t="str">
        <x:v>В Гватемале выше рождаемость и больше доля детей; ожидаемая продолжительность жизни ниже, поэтому до пожилого возраста доживает меньшая доля населения.</x:v>
      </x:c>
      <x:c r="O405" s="30" t="str">
        <x:v>Названы два самостоятельных демографических фактора.</x:v>
      </x:c>
      <x:c r="P405" s="30"/>
      <x:c r="Q405" s="30"/>
      <x:c r="R405" s="30" t="str">
        <x:v>Критерии, стр. 3</x:v>
      </x:c>
      <x:c r="S405" s="30"/>
      <x:c r="T405" s="30"/>
      <x:c r="U405" s="30" t="str">
        <x:v>Критерий перенесён отдельно без изменения.</x:v>
      </x:c>
      <x:c r="V405" s="87" t="str">
        <x:v>VERIFIED</x:v>
      </x:c>
      <x:c r="W405" s="87" t="n">
        <x:v>14</x:v>
      </x:c>
      <x:c r="X405" s="87"/>
      <x:c r="Y405" s="87"/>
      <x:c r="Z405" s="87"/>
      <x:c r="AA405" s="87"/>
      <x:c r="AB405" s="87"/>
      <x:c r="AC405" s="87"/>
      <x:c r="AD405" s="87"/>
      <x:c r="AE405" s="87"/>
      <x:c r="AF405" s="87"/>
      <x:c r="AG405" s="87"/>
      <x:c r="AH405" s="87"/>
      <x:c r="AI405" s="30" t="str">
        <x:v>{"_alignment": "REALIGNED_MISSING_INDEPENDENT_CHECK"}</x:v>
      </x:c>
      <x:c r="AJ405" s="87" t="str">
        <x:v>master</x:v>
      </x:c>
      <x:c r="AK405" s="87" t="str">
        <x:v>master-v0.81</x:v>
      </x:c>
      <x:c r="AL405" s="87" t="str">
        <x:v>statgrad_master_base_v0_81_final(2).xlsx</x:v>
      </x:c>
      <x:c r="AM405" s="87" t="str">
        <x:v>GEO_Feb_V1</x:v>
      </x:c>
      <x:c r="AN405" s="87" t="n">
        <x:v>27</x:v>
      </x:c>
    </x:row>
    <x:row r="406">
      <x:c r="A406" s="87" t="n">
        <x:v>405</x:v>
      </x:c>
      <x:c r="B406" s="87" t="str">
        <x:v>FEB-GEO-V1-027</x:v>
      </x:c>
      <x:c r="C406" s="87" t="str">
        <x:v>СтатГрад</x:v>
      </x:c>
      <x:c r="D406" s="87" t="str">
        <x:v>Февраль 2026</x:v>
      </x:c>
      <x:c r="E406" s="87"/>
      <x:c r="F406" s="87"/>
      <x:c r="G406" s="87" t="str">
        <x:v>География</x:v>
      </x:c>
      <x:c r="H406" s="87" t="n">
        <x:v>11</x:v>
      </x:c>
      <x:c r="I406" s="87" t="str">
        <x:v>ТР №3</x:v>
      </x:c>
      <x:c r="J406" s="87" t="str">
        <x:v>ГГ2510301</x:v>
      </x:c>
      <x:c r="K406" s="87" t="n">
        <x:v>27</x:v>
      </x:c>
      <x:c r="L406" s="87" t="str">
        <x:v>Развёрнутый ответ: орографические осадки</x:v>
      </x:c>
      <x:c r="M406" s="30" t="str">
        <x:v>На профиле острова по 47° ю. ш. определите пункт с наибольшим количеством осадков и приведите два довода.</x:v>
      </x:c>
      <x:c r="N406" s="30" t="str">
        <x:v>Пункт Б: он расположен на наветренном западном склоне в зоне западных ветров и выше пункта А; при подъёме воздуха по склону выпадает больше осадков.</x:v>
      </x:c>
      <x:c r="O406" s="30" t="str">
        <x:v>Учтены направление переноса воздуха и высота/наветренность склона.</x:v>
      </x:c>
      <x:c r="P406" s="30"/>
      <x:c r="Q406" s="30"/>
      <x:c r="R406" s="30" t="str">
        <x:v>Критерии, стр. 4</x:v>
      </x:c>
      <x:c r="S406" s="30"/>
      <x:c r="T406" s="30"/>
      <x:c r="U406" s="30" t="str">
        <x:v>Критерий перенесён отдельно без изменения.</x:v>
      </x:c>
      <x:c r="V406" s="87" t="str">
        <x:v>VERIFIED</x:v>
      </x:c>
      <x:c r="W406" s="87" t="n">
        <x:v>14</x:v>
      </x:c>
      <x:c r="X406" s="87"/>
      <x:c r="Y406" s="87"/>
      <x:c r="Z406" s="87"/>
      <x:c r="AA406" s="87"/>
      <x:c r="AB406" s="87"/>
      <x:c r="AC406" s="87"/>
      <x:c r="AD406" s="87"/>
      <x:c r="AE406" s="87"/>
      <x:c r="AF406" s="87"/>
      <x:c r="AG406" s="87"/>
      <x:c r="AH406" s="87"/>
      <x:c r="AI406" s="30" t="str">
        <x:v>{"_alignment": "REALIGNED_MISSING_INDEPENDENT_CHECK"}</x:v>
      </x:c>
      <x:c r="AJ406" s="87" t="str">
        <x:v>master</x:v>
      </x:c>
      <x:c r="AK406" s="87" t="str">
        <x:v>master-v0.81</x:v>
      </x:c>
      <x:c r="AL406" s="87" t="str">
        <x:v>statgrad_master_base_v0_81_final(2).xlsx</x:v>
      </x:c>
      <x:c r="AM406" s="87" t="str">
        <x:v>GEO_Feb_V1</x:v>
      </x:c>
      <x:c r="AN406" s="87" t="n">
        <x:v>28</x:v>
      </x:c>
    </x:row>
    <x:row r="407">
      <x:c r="A407" s="87" t="n">
        <x:v>406</x:v>
      </x:c>
      <x:c r="B407" s="87" t="str">
        <x:v>FEB-GEO-V1-028</x:v>
      </x:c>
      <x:c r="C407" s="87" t="str">
        <x:v>СтатГрад</x:v>
      </x:c>
      <x:c r="D407" s="87" t="str">
        <x:v>Февраль 2026</x:v>
      </x:c>
      <x:c r="E407" s="87"/>
      <x:c r="F407" s="87"/>
      <x:c r="G407" s="87" t="str">
        <x:v>География</x:v>
      </x:c>
      <x:c r="H407" s="87" t="n">
        <x:v>11</x:v>
      </x:c>
      <x:c r="I407" s="87" t="str">
        <x:v>ТР №3</x:v>
      </x:c>
      <x:c r="J407" s="87" t="str">
        <x:v>ГГ2510301</x:v>
      </x:c>
      <x:c r="K407" s="87" t="n">
        <x:v>28</x:v>
      </x:c>
      <x:c r="L407" s="87" t="str">
        <x:v>Развёрнутый ответ: расстояние по меридиану</x:v>
      </x:c>
      <x:c r="M407" s="30" t="str">
        <x:v>Найдите расстояние между 02°38′ ю. ш. и 04°38′ ю. ш. при одинаковой долготе.</x:v>
      </x:c>
      <x:c r="N407" s="30" t="str">
        <x:v>222 км</x:v>
      </x:c>
      <x:c r="O407" s="30" t="str">
        <x:v>Разность широт равна 2°. 2·111=222 км.</x:v>
      </x:c>
      <x:c r="P407" s="30" t="str">
        <x:v>Допустимый интервал по критерию при более точной длине градуса — 222–224 км.</x:v>
      </x:c>
      <x:c r="Q407" s="30"/>
      <x:c r="R407" s="30" t="str">
        <x:v>Критерии, стр. 4–5</x:v>
      </x:c>
      <x:c r="S407" s="30"/>
      <x:c r="T407" s="30"/>
      <x:c r="U407" s="30" t="str">
        <x:v>Критерий перенесён отдельно без изменения.</x:v>
      </x:c>
      <x:c r="V407" s="87" t="str">
        <x:v>VERIFIED</x:v>
      </x:c>
      <x:c r="W407" s="87" t="n">
        <x:v>15</x:v>
      </x:c>
      <x:c r="X407" s="87"/>
      <x:c r="Y407" s="87"/>
      <x:c r="Z407" s="87"/>
      <x:c r="AA407" s="87"/>
      <x:c r="AB407" s="87"/>
      <x:c r="AC407" s="87"/>
      <x:c r="AD407" s="87"/>
      <x:c r="AE407" s="87"/>
      <x:c r="AF407" s="87"/>
      <x:c r="AG407" s="87"/>
      <x:c r="AH407" s="87"/>
      <x:c r="AI407" s="30"/>
      <x:c r="AJ407" s="87" t="str">
        <x:v>master</x:v>
      </x:c>
      <x:c r="AK407" s="87" t="str">
        <x:v>master-v0.81</x:v>
      </x:c>
      <x:c r="AL407" s="87" t="str">
        <x:v>statgrad_master_base_v0_81_final(2).xlsx</x:v>
      </x:c>
      <x:c r="AM407" s="87" t="str">
        <x:v>GEO_Feb_V1</x:v>
      </x:c>
      <x:c r="AN407" s="87" t="n">
        <x:v>29</x:v>
      </x:c>
    </x:row>
    <x:row r="408">
      <x:c r="A408" s="87" t="n">
        <x:v>407</x:v>
      </x:c>
      <x:c r="B408" s="87" t="str">
        <x:v>FEB-GEO-V1-029</x:v>
      </x:c>
      <x:c r="C408" s="87" t="str">
        <x:v>СтатГрад</x:v>
      </x:c>
      <x:c r="D408" s="87" t="str">
        <x:v>Февраль 2026</x:v>
      </x:c>
      <x:c r="E408" s="87"/>
      <x:c r="F408" s="87"/>
      <x:c r="G408" s="87" t="str">
        <x:v>География</x:v>
      </x:c>
      <x:c r="H408" s="87" t="n">
        <x:v>11</x:v>
      </x:c>
      <x:c r="I408" s="87" t="str">
        <x:v>ТР №3</x:v>
      </x:c>
      <x:c r="J408" s="87" t="str">
        <x:v>ГГ2510301</x:v>
      </x:c>
      <x:c r="K408" s="87" t="n">
        <x:v>29</x:v>
      </x:c>
      <x:c r="L408" s="87" t="str">
        <x:v>Развёрнутый ответ: факторы размещения</x:v>
      </x:c>
      <x:c r="M408" s="30" t="str">
        <x:v>Приведите аргумент в пользу сырьевого и трудового факторов специализации Индии на текстильной промышленности.</x:v>
      </x:c>
      <x:c r="N408" s="30" t="str">
        <x:v>Сырьевой фактор: Индия — крупный производитель хлопка, шёлка и шерсти. Трудовой фактор: страна располагает многочисленными трудовыми ресурсами и исторически дешёвой рабочей силой.</x:v>
      </x:c>
      <x:c r="O408" s="30" t="str">
        <x:v>Каждый аргумент прямо связан с ресурсо- и трудоёмкостью отрасли.</x:v>
      </x:c>
      <x:c r="P408" s="30"/>
      <x:c r="Q408" s="30"/>
      <x:c r="R408" s="30" t="str">
        <x:v>Критерии, стр. 5–6</x:v>
      </x:c>
      <x:c r="S408" s="30"/>
      <x:c r="T408" s="30"/>
      <x:c r="U408" s="30" t="str">
        <x:v>Критерий перенесён отдельно без изменения.</x:v>
      </x:c>
      <x:c r="V408" s="87" t="str">
        <x:v>VERIFIED</x:v>
      </x:c>
      <x:c r="W408" s="87" t="n">
        <x:v>15</x:v>
      </x:c>
      <x:c r="X408" s="87"/>
      <x:c r="Y408" s="87"/>
      <x:c r="Z408" s="87"/>
      <x:c r="AA408" s="87"/>
      <x:c r="AB408" s="87"/>
      <x:c r="AC408" s="87"/>
      <x:c r="AD408" s="87"/>
      <x:c r="AE408" s="87"/>
      <x:c r="AF408" s="87"/>
      <x:c r="AG408" s="87"/>
      <x:c r="AH408" s="87"/>
      <x:c r="AI408" s="30" t="str">
        <x:v>{"_alignment": "REALIGNED_MISSING_INDEPENDENT_CHECK"}</x:v>
      </x:c>
      <x:c r="AJ408" s="87" t="str">
        <x:v>master</x:v>
      </x:c>
      <x:c r="AK408" s="87" t="str">
        <x:v>master-v0.81</x:v>
      </x:c>
      <x:c r="AL408" s="87" t="str">
        <x:v>statgrad_master_base_v0_81_final(2).xlsx</x:v>
      </x:c>
      <x:c r="AM408" s="87" t="str">
        <x:v>GEO_Feb_V1</x:v>
      </x:c>
      <x:c r="AN408" s="87" t="n">
        <x:v>30</x:v>
      </x:c>
    </x:row>
    <x:row r="409">
      <x:c r="A409" s="87" t="n">
        <x:v>408</x:v>
      </x:c>
      <x:c r="B409" s="87" t="str">
        <x:v>FEB-LIT-V1-001</x:v>
      </x:c>
      <x:c r="C409" s="87" t="str">
        <x:v>СтатГрад</x:v>
      </x:c>
      <x:c r="D409" s="87" t="str">
        <x:v>Февраль 2026</x:v>
      </x:c>
      <x:c r="E409" s="87"/>
      <x:c r="F409" s="87"/>
      <x:c r="G409" s="87" t="str">
        <x:v>Литература</x:v>
      </x:c>
      <x:c r="H409" s="87" t="n">
        <x:v>11</x:v>
      </x:c>
      <x:c r="I409" s="87" t="str">
        <x:v>ТР №3</x:v>
      </x:c>
      <x:c r="J409" s="87" t="str">
        <x:v>ЛИ2510301</x:v>
      </x:c>
      <x:c r="K409" s="87" t="n">
        <x:v>1</x:v>
      </x:c>
      <x:c r="L409" s="87" t="str">
        <x:v>Название главы</x:v>
      </x:c>
      <x:c r="M409" s="30" t="str">
        <x:v>Укажите название главы романа И. А. Гончарова, из которой взят фрагмент с описанием жизни обломовцев.</x:v>
      </x:c>
      <x:c r="N409" s="30" t="str">
        <x:v>Сон Обломова</x:v>
      </x:c>
      <x:c r="O409" s="30" t="str">
        <x:v>Фрагмент изображает Обломовку — замкнутый мир детства Ильи Ильича, подробно показанный в главе «Сон Обломова».</x:v>
      </x:c>
      <x:c r="P409" s="30" t="str">
        <x:v>Описание быта, географической изоляции и представлений жителей совпадает с девятой главой первой части романа.</x:v>
      </x:c>
      <x:c r="Q409" s="30"/>
      <x:c r="R409" s="30" t="str">
        <x:v>сонОбломова</x:v>
      </x:c>
      <x:c r="S409" s="30"/>
      <x:c r="T409" s="30"/>
      <x:c r="U409" s="30" t="str">
        <x:v>Форма ключа сохранена; нормативное название записано раздельно.</x:v>
      </x:c>
      <x:c r="V409" s="87" t="str">
        <x:v>VERIFIED</x:v>
      </x:c>
      <x:c r="W409" s="87" t="n">
        <x:v>3</x:v>
      </x:c>
      <x:c r="X409" s="87"/>
      <x:c r="Y409" s="87"/>
      <x:c r="Z409" s="87"/>
      <x:c r="AA409" s="87"/>
      <x:c r="AB409" s="87"/>
      <x:c r="AC409" s="87"/>
      <x:c r="AD409" s="87"/>
      <x:c r="AE409" s="87"/>
      <x:c r="AF409" s="87"/>
      <x:c r="AG409" s="87"/>
      <x:c r="AH409" s="87"/>
      <x:c r="AI409" s="30"/>
      <x:c r="AJ409" s="87" t="str">
        <x:v>master</x:v>
      </x:c>
      <x:c r="AK409" s="87" t="str">
        <x:v>master-v0.81</x:v>
      </x:c>
      <x:c r="AL409" s="87" t="str">
        <x:v>statgrad_master_base_v0_81_final(2).xlsx</x:v>
      </x:c>
      <x:c r="AM409" s="87" t="str">
        <x:v>LIT_Feb_V1</x:v>
      </x:c>
      <x:c r="AN409" s="87" t="n">
        <x:v>2</x:v>
      </x:c>
    </x:row>
    <x:row r="410">
      <x:c r="A410" s="87" t="n">
        <x:v>409</x:v>
      </x:c>
      <x:c r="B410" s="87" t="str">
        <x:v>FEB-LIT-V1-002</x:v>
      </x:c>
      <x:c r="C410" s="87" t="str">
        <x:v>СтатГрад</x:v>
      </x:c>
      <x:c r="D410" s="87" t="str">
        <x:v>Февраль 2026</x:v>
      </x:c>
      <x:c r="E410" s="87"/>
      <x:c r="F410" s="87"/>
      <x:c r="G410" s="87" t="str">
        <x:v>Литература</x:v>
      </x:c>
      <x:c r="H410" s="87" t="n">
        <x:v>11</x:v>
      </x:c>
      <x:c r="I410" s="87" t="str">
        <x:v>ТР №3</x:v>
      </x:c>
      <x:c r="J410" s="87" t="str">
        <x:v>ЛИ2510301</x:v>
      </x:c>
      <x:c r="K410" s="87" t="n">
        <x:v>2</x:v>
      </x:c>
      <x:c r="L410" s="87" t="str">
        <x:v>Произведение и автор</x:v>
      </x:c>
      <x:c r="M410" s="30" t="str">
        <x:v>Соотнесите произведения «Мёртвые души», «Кому на Руси жить хорошо», «Отцы и дети» с авторами.</x:v>
      </x:c>
      <x:c r="N410" s="30" t="str">
        <x:v>341</x:v>
      </x:c>
      <x:c r="O410" s="30" t="str">
        <x:v>«Мёртвые души» написал Н. В. Гоголь — 3; «Кому на Руси жить хорошо» — Н. А. Некрасов — 4; «Отцы и дети» — И. С. Тургенев — 1.</x:v>
      </x:c>
      <x:c r="P410" s="30" t="str">
        <x:v>Авторство всех трёх произведений проверено независимо.</x:v>
      </x:c>
      <x:c r="Q410" s="30"/>
      <x:c r="R410" s="30" t="str">
        <x:v>341</x:v>
      </x:c>
      <x:c r="S410" s="30"/>
      <x:c r="T410" s="30"/>
      <x:c r="U410" s="30" t="str">
        <x:v>Расхождений нет.</x:v>
      </x:c>
      <x:c r="V410" s="87" t="str">
        <x:v>VERIFIED</x:v>
      </x:c>
      <x:c r="W410" s="87" t="n">
        <x:v>3</x:v>
      </x:c>
      <x:c r="X410" s="87"/>
      <x:c r="Y410" s="87"/>
      <x:c r="Z410" s="87"/>
      <x:c r="AA410" s="87"/>
      <x:c r="AB410" s="87"/>
      <x:c r="AC410" s="87"/>
      <x:c r="AD410" s="87"/>
      <x:c r="AE410" s="87"/>
      <x:c r="AF410" s="87"/>
      <x:c r="AG410" s="87"/>
      <x:c r="AH410" s="87"/>
      <x:c r="AI410" s="30"/>
      <x:c r="AJ410" s="87" t="str">
        <x:v>master</x:v>
      </x:c>
      <x:c r="AK410" s="87" t="str">
        <x:v>master-v0.81</x:v>
      </x:c>
      <x:c r="AL410" s="87" t="str">
        <x:v>statgrad_master_base_v0_81_final(2).xlsx</x:v>
      </x:c>
      <x:c r="AM410" s="87" t="str">
        <x:v>LIT_Feb_V1</x:v>
      </x:c>
      <x:c r="AN410" s="87" t="n">
        <x:v>3</x:v>
      </x:c>
    </x:row>
    <x:row r="411">
      <x:c r="A411" s="87" t="n">
        <x:v>410</x:v>
      </x:c>
      <x:c r="B411" s="87" t="str">
        <x:v>FEB-LIT-V1-003</x:v>
      </x:c>
      <x:c r="C411" s="87" t="str">
        <x:v>СтатГрад</x:v>
      </x:c>
      <x:c r="D411" s="87" t="str">
        <x:v>Февраль 2026</x:v>
      </x:c>
      <x:c r="E411" s="87"/>
      <x:c r="F411" s="87"/>
      <x:c r="G411" s="87" t="str">
        <x:v>Литература</x:v>
      </x:c>
      <x:c r="H411" s="87" t="n">
        <x:v>11</x:v>
      </x:c>
      <x:c r="I411" s="87" t="str">
        <x:v>ТР №3</x:v>
      </x:c>
      <x:c r="J411" s="87" t="str">
        <x:v>ЛИ2510301</x:v>
      </x:c>
      <x:c r="K411" s="87" t="n">
        <x:v>3</x:v>
      </x:c>
      <x:c r="L411" s="87" t="str">
        <x:v>Род и жанр</x:v>
      </x:c>
      <x:c r="M411" s="30" t="str">
        <x:v>Заполните: «Обломов» относится к ___ как роду литературы и написан в жанре социально-психологического ___.</x:v>
      </x:c>
      <x:c r="N411" s="30" t="str">
        <x:v>эпос; роман</x:v>
      </x:c>
      <x:c r="O411" s="30" t="str">
        <x:v>Роман повествует о героях и событиях через развернутую систему персонажей, поэтому относится к эпосу; жанровое определение произведения — социально-психологический роман.</x:v>
      </x:c>
      <x:c r="P411" s="30" t="str">
        <x:v>Оба термина согласуются с принятой классификацией произведения.</x:v>
      </x:c>
      <x:c r="Q411" s="30"/>
      <x:c r="R411" s="30" t="str">
        <x:v>эпосромана</x:v>
      </x:c>
      <x:c r="S411" s="30"/>
      <x:c r="T411" s="30"/>
      <x:c r="U411" s="30" t="str">
        <x:v>В ключе слова объединены по формату ответа; в базе разделены для читаемости.</x:v>
      </x:c>
      <x:c r="V411" s="87" t="str">
        <x:v>VERIFIED</x:v>
      </x:c>
      <x:c r="W411" s="87" t="n">
        <x:v>3</x:v>
      </x:c>
      <x:c r="X411" s="87"/>
      <x:c r="Y411" s="87"/>
      <x:c r="Z411" s="87"/>
      <x:c r="AA411" s="87"/>
      <x:c r="AB411" s="87"/>
      <x:c r="AC411" s="87"/>
      <x:c r="AD411" s="87"/>
      <x:c r="AE411" s="87"/>
      <x:c r="AF411" s="87"/>
      <x:c r="AG411" s="87"/>
      <x:c r="AH411" s="87"/>
      <x:c r="AI411" s="30"/>
      <x:c r="AJ411" s="87" t="str">
        <x:v>master</x:v>
      </x:c>
      <x:c r="AK411" s="87" t="str">
        <x:v>master-v0.81</x:v>
      </x:c>
      <x:c r="AL411" s="87" t="str">
        <x:v>statgrad_master_base_v0_81_final(2).xlsx</x:v>
      </x:c>
      <x:c r="AM411" s="87" t="str">
        <x:v>LIT_Feb_V1</x:v>
      </x:c>
      <x:c r="AN411" s="87" t="n">
        <x:v>4</x:v>
      </x:c>
    </x:row>
    <x:row r="412">
      <x:c r="A412" s="87" t="n">
        <x:v>411</x:v>
      </x:c>
      <x:c r="B412" s="87" t="str">
        <x:v>FEB-LIT-V1-004A</x:v>
      </x:c>
      <x:c r="C412" s="87" t="str">
        <x:v>СтатГрад</x:v>
      </x:c>
      <x:c r="D412" s="87" t="str">
        <x:v>Февраль 2026</x:v>
      </x:c>
      <x:c r="E412" s="87"/>
      <x:c r="F412" s="87"/>
      <x:c r="G412" s="87" t="str">
        <x:v>Литература</x:v>
      </x:c>
      <x:c r="H412" s="87" t="n">
        <x:v>11</x:v>
      </x:c>
      <x:c r="I412" s="87" t="str">
        <x:v>ТР №3</x:v>
      </x:c>
      <x:c r="J412" s="87" t="str">
        <x:v>ЛИ2510301</x:v>
      </x:c>
      <x:c r="K412" s="87" t="str">
        <x:v>4.1</x:v>
      </x:c>
      <x:c r="L412" s="87" t="str">
        <x:v>Развёрнутый ответ: обломовцы</x:v>
      </x:c>
      <x:c r="M412" s="30" t="str">
        <x:v>Что мешает назвать обломовцев в полном смысле «счастливыми людьми»?</x:v>
      </x:c>
      <x:c r="N412" s="30" t="str">
        <x:v>Обломовцы принимают отсутствие тревог за счастье, но их покой основан на духовной неподвижности. Они изолированы от мира и почти ничего не знают даже о соседних городах, а дальние страны представляют как область чудовищ и людей «о двух головах». Жители не сравнивают свою жизнь с иной и уверены, что перемены невозможны и греховны. Их существование лишено развития, свободного выбора и значимой цели: заботы сводятся к подати, работе по привычке, еде и сну. Даже естественная смерть кажется им необыкновенным событием, а кража поросят становится происшествием на весь околоток. Поэтому их удовлетворённость похожа не на полноценное счастье, а на неосознанность и страх перед жизнью. Автор показывает, что внешняя безмятежность оборачивается духовной бедностью и формирует обломовщину.</x:v>
      </x:c>
      <x:c r="O412" s="30" t="str">
        <x:v>Ответ раскрывает различие между спокойствием и счастьем, опираясь на изоляцию, невежество и отсутствие развития в тексте.</x:v>
      </x:c>
      <x:c r="P412" s="30" t="str">
        <x:v>Приведены конкретные детали фрагмента: представление о мире, отношение к смерти и масштабы местных событий.</x:v>
      </x:c>
      <x:c r="Q412" s="30"/>
      <x:c r="R412" s="30" t="str">
        <x:v>Отдельного эталона в архиве нет.</x:v>
      </x:c>
      <x:c r="S412" s="30"/>
      <x:c r="T412" s="30"/>
      <x:c r="U412" s="30" t="str">
        <x:v>Самостоятельный модельный ответ; в работе выбирается 4.1 или 4.2.</x:v>
      </x:c>
      <x:c r="V412" s="87" t="str">
        <x:v>VERIFIED</x:v>
      </x:c>
      <x:c r="W412" s="87" t="n">
        <x:v>4</x:v>
      </x:c>
      <x:c r="X412" s="87"/>
      <x:c r="Y412" s="87"/>
      <x:c r="Z412" s="87"/>
      <x:c r="AA412" s="87"/>
      <x:c r="AB412" s="87"/>
      <x:c r="AC412" s="87"/>
      <x:c r="AD412" s="87"/>
      <x:c r="AE412" s="87"/>
      <x:c r="AF412" s="87"/>
      <x:c r="AG412" s="87"/>
      <x:c r="AH412" s="87"/>
      <x:c r="AI412" s="30"/>
      <x:c r="AJ412" s="87" t="str">
        <x:v>master</x:v>
      </x:c>
      <x:c r="AK412" s="87" t="str">
        <x:v>master-v0.81</x:v>
      </x:c>
      <x:c r="AL412" s="87" t="str">
        <x:v>statgrad_master_base_v0_81_final(2).xlsx</x:v>
      </x:c>
      <x:c r="AM412" s="87" t="str">
        <x:v>LIT_Feb_V1</x:v>
      </x:c>
      <x:c r="AN412" s="87" t="n">
        <x:v>5</x:v>
      </x:c>
    </x:row>
    <x:row r="413">
      <x:c r="A413" s="87" t="n">
        <x:v>412</x:v>
      </x:c>
      <x:c r="B413" s="87" t="str">
        <x:v>FEB-LIT-V1-004B</x:v>
      </x:c>
      <x:c r="C413" s="87" t="str">
        <x:v>СтатГрад</x:v>
      </x:c>
      <x:c r="D413" s="87" t="str">
        <x:v>Февраль 2026</x:v>
      </x:c>
      <x:c r="E413" s="87"/>
      <x:c r="F413" s="87"/>
      <x:c r="G413" s="87" t="str">
        <x:v>Литература</x:v>
      </x:c>
      <x:c r="H413" s="87" t="n">
        <x:v>11</x:v>
      </x:c>
      <x:c r="I413" s="87" t="str">
        <x:v>ТР №3</x:v>
      </x:c>
      <x:c r="J413" s="87" t="str">
        <x:v>ЛИ2510301</x:v>
      </x:c>
      <x:c r="K413" s="87" t="str">
        <x:v>4.2</x:v>
      </x:c>
      <x:c r="L413" s="87" t="str">
        <x:v>Развёрнутый ответ: авторская ирония</x:v>
      </x:c>
      <x:c r="M413" s="30" t="str">
        <x:v>Какую роль в приведённом фрагменте играет авторская ирония?</x:v>
      </x:c>
      <x:c r="N413" s="30" t="str">
        <x:v>Авторская ирония разрушает видимость идиллического счастья обломовцев и обнаруживает ограниченность их мира. Рассказчик называет их «счастливыми людьми», но тут же показывает, что они счастливы лишь потому, что не знают другой жизни и считают любые перемены грехом. Торжественное описание спокойствия сталкивается с комическими деталями: за Петербургом для жителей начинаются земли с чудовищами и людьми «о двух головах», а мир заканчивается рыбой, держащей землю. Иронично звучит и замечание, что насильственная смерть за пять лет не произошла «ни разу», словно это редкое достижение края. Масштаб местных происшествий также смешон: исчезновение двух поросят и курицы потрясает весь околоток. Благодаря такому несоответствию между оценкой и фактами автор показывает, что покой Обломовки куплен ценой невежества, изоляции и духовной неподвижности. Ирония одновременно создаёт комический эффект и подготавливает критическое осмысление обломовщины.</x:v>
      </x:c>
      <x:c r="O413" s="30" t="str">
        <x:v>Ответ объясняет механизм иронии как расхождение между похвальной формулировкой и снижающими её деталями.</x:v>
      </x:c>
      <x:c r="P413" s="30" t="str">
        <x:v>Использованы минимум два примера: фантастическая география и реакция на смерть/кражу.</x:v>
      </x:c>
      <x:c r="Q413" s="30"/>
      <x:c r="R413" s="30" t="str">
        <x:v>Отдельного эталона в архиве нет.</x:v>
      </x:c>
      <x:c r="S413" s="30"/>
      <x:c r="T413" s="30"/>
      <x:c r="U413" s="30" t="str">
        <x:v>Альтернативный модельный ответ к заданию 4.2.</x:v>
      </x:c>
      <x:c r="V413" s="87" t="str">
        <x:v>VERIFIED</x:v>
      </x:c>
      <x:c r="W413" s="87" t="n">
        <x:v>4</x:v>
      </x:c>
      <x:c r="X413" s="87"/>
      <x:c r="Y413" s="87"/>
      <x:c r="Z413" s="87"/>
      <x:c r="AA413" s="87"/>
      <x:c r="AB413" s="87"/>
      <x:c r="AC413" s="87"/>
      <x:c r="AD413" s="87"/>
      <x:c r="AE413" s="87"/>
      <x:c r="AF413" s="87"/>
      <x:c r="AG413" s="87"/>
      <x:c r="AH413" s="87"/>
      <x:c r="AI413" s="30"/>
      <x:c r="AJ413" s="87" t="str">
        <x:v>master</x:v>
      </x:c>
      <x:c r="AK413" s="87" t="str">
        <x:v>master-v0.81</x:v>
      </x:c>
      <x:c r="AL413" s="87" t="str">
        <x:v>statgrad_master_base_v0_81_final(2).xlsx</x:v>
      </x:c>
      <x:c r="AM413" s="87" t="str">
        <x:v>LIT_Feb_V1</x:v>
      </x:c>
      <x:c r="AN413" s="87" t="n">
        <x:v>6</x:v>
      </x:c>
    </x:row>
    <x:row r="414">
      <x:c r="A414" s="87" t="n">
        <x:v>413</x:v>
      </x:c>
      <x:c r="B414" s="87" t="str">
        <x:v>FEB-LIT-V1-005</x:v>
      </x:c>
      <x:c r="C414" s="87" t="str">
        <x:v>СтатГрад</x:v>
      </x:c>
      <x:c r="D414" s="87" t="str">
        <x:v>Февраль 2026</x:v>
      </x:c>
      <x:c r="E414" s="87"/>
      <x:c r="F414" s="87"/>
      <x:c r="G414" s="87" t="str">
        <x:v>Литература</x:v>
      </x:c>
      <x:c r="H414" s="87" t="n">
        <x:v>11</x:v>
      </x:c>
      <x:c r="I414" s="87" t="str">
        <x:v>ТР №3</x:v>
      </x:c>
      <x:c r="J414" s="87" t="str">
        <x:v>ЛИ2510301</x:v>
      </x:c>
      <x:c r="K414" s="87" t="n">
        <x:v>5</x:v>
      </x:c>
      <x:c r="L414" s="87" t="str">
        <x:v>Сопоставительный анализ</x:v>
      </x:c>
      <x:c r="M414" s="30" t="str">
        <x:v>Сопоставьте жизнь обломовцев с бытом жителей Калинова в пьесе А. Н. Островского «Гроза». В чём их сходство?</x:v>
      </x:c>
      <x:c r="N414" s="30" t="str">
        <x:v>Оба мира замкнуты, патриархальны и враждебны переменам. Жители Обломовки почти не соприкасаются с внешним миром и считают привычный уклад единственно возможным; калиновцы также живут под властью старых представлений и боятся всего нового. В обоих произведениях бытовая привычка подменяет самостоятельную мысль: обломовцы спокойно повторяют уклад предков, а в Калинове авторитет «Домостроя» поддерживают Кабаниха и подобные ей люди. Невежество проявляется и в фантастических представлениях о мире: обломовцы верят в земли с чудовищами, а Феклуша рассказывает калиновцам о людях с песьими головами. Однако тон изображения различен: Обломовка выглядит мягкой, сонной и почти бесконфликтной, тогда как Калинов — «тёмное царство», где патриархальная норма становится прямым насилием над личностью. Следовательно, сходство состоит в изоляции, невежестве и господстве обычая, но у Островского эти свойства приобретают трагически жестокую форму.</x:v>
      </x:c>
      <x:c r="O414" s="30" t="str">
        <x:v>Сопоставление содержит общий тезис, примеры из обоих произведений и уточнение различия авторской тональности.</x:v>
      </x:c>
      <x:c r="P414" s="30" t="str">
        <x:v>Проверены образы Кабанихи, Феклуши и ключевые детали фрагмента «Сна Обломова».</x:v>
      </x:c>
      <x:c r="Q414" s="30"/>
      <x:c r="R414" s="30" t="str">
        <x:v>Отдельного эталона в архиве нет.</x:v>
      </x:c>
      <x:c r="S414" s="30"/>
      <x:c r="T414" s="30"/>
      <x:c r="U414" s="30" t="str">
        <x:v>Самостоятельный модельный ответ.</x:v>
      </x:c>
      <x:c r="V414" s="87" t="str">
        <x:v>VERIFIED</x:v>
      </x:c>
      <x:c r="W414" s="87" t="n">
        <x:v>4</x:v>
      </x:c>
      <x:c r="X414" s="87"/>
      <x:c r="Y414" s="87"/>
      <x:c r="Z414" s="87"/>
      <x:c r="AA414" s="87"/>
      <x:c r="AB414" s="87"/>
      <x:c r="AC414" s="87"/>
      <x:c r="AD414" s="87"/>
      <x:c r="AE414" s="87"/>
      <x:c r="AF414" s="87"/>
      <x:c r="AG414" s="87"/>
      <x:c r="AH414" s="87"/>
      <x:c r="AI414" s="30"/>
      <x:c r="AJ414" s="87" t="str">
        <x:v>master</x:v>
      </x:c>
      <x:c r="AK414" s="87" t="str">
        <x:v>master-v0.81</x:v>
      </x:c>
      <x:c r="AL414" s="87" t="str">
        <x:v>statgrad_master_base_v0_81_final(2).xlsx</x:v>
      </x:c>
      <x:c r="AM414" s="87" t="str">
        <x:v>LIT_Feb_V1</x:v>
      </x:c>
      <x:c r="AN414" s="87" t="n">
        <x:v>7</x:v>
      </x:c>
    </x:row>
    <x:row r="415">
      <x:c r="A415" s="87" t="n">
        <x:v>414</x:v>
      </x:c>
      <x:c r="B415" s="87" t="str">
        <x:v>FEB-LIT-V1-006</x:v>
      </x:c>
      <x:c r="C415" s="87" t="str">
        <x:v>СтатГрад</x:v>
      </x:c>
      <x:c r="D415" s="87" t="str">
        <x:v>Февраль 2026</x:v>
      </x:c>
      <x:c r="E415" s="87"/>
      <x:c r="F415" s="87"/>
      <x:c r="G415" s="87" t="str">
        <x:v>Литература</x:v>
      </x:c>
      <x:c r="H415" s="87" t="n">
        <x:v>11</x:v>
      </x:c>
      <x:c r="I415" s="87" t="str">
        <x:v>ТР №3</x:v>
      </x:c>
      <x:c r="J415" s="87" t="str">
        <x:v>ЛИ2510301</x:v>
      </x:c>
      <x:c r="K415" s="87" t="n">
        <x:v>6</x:v>
      </x:c>
      <x:c r="L415" s="87" t="str">
        <x:v>Строфика и род литературы</x:v>
      </x:c>
      <x:c r="M415" s="30" t="str">
        <x:v>Произведение Э. А. Асадова состоит из четырёх ___ и относится к ___ как роду литературы.</x:v>
      </x:c>
      <x:c r="N415" s="30" t="str">
        <x:v>строфы; лирика</x:v>
      </x:c>
      <x:c r="O415" s="30" t="str">
        <x:v>Текст разделён на четыре строфы: три четверостишия и одно пятистишие. Стихотворение выражает авторское размышление и чувство, поэтому относится к лирике.</x:v>
      </x:c>
      <x:c r="P415" s="30" t="str">
        <x:v>Количество строф пересчитано по графическому членению текста; род определён по форме художественной речи.</x:v>
      </x:c>
      <x:c r="Q415" s="30"/>
      <x:c r="R415" s="30" t="str">
        <x:v>строфлирике</x:v>
      </x:c>
      <x:c r="S415" s="30"/>
      <x:c r="T415" s="30"/>
      <x:c r="U415" s="30" t="str">
        <x:v>В ключе использованы формы, требуемые контекстом предложения.</x:v>
      </x:c>
      <x:c r="V415" s="87" t="str">
        <x:v>VERIFIED</x:v>
      </x:c>
      <x:c r="W415" s="87" t="n">
        <x:v>5</x:v>
      </x:c>
      <x:c r="X415" s="87"/>
      <x:c r="Y415" s="87"/>
      <x:c r="Z415" s="87"/>
      <x:c r="AA415" s="87"/>
      <x:c r="AB415" s="87"/>
      <x:c r="AC415" s="87"/>
      <x:c r="AD415" s="87"/>
      <x:c r="AE415" s="87"/>
      <x:c r="AF415" s="87"/>
      <x:c r="AG415" s="87"/>
      <x:c r="AH415" s="87"/>
      <x:c r="AI415" s="30"/>
      <x:c r="AJ415" s="87" t="str">
        <x:v>master</x:v>
      </x:c>
      <x:c r="AK415" s="87" t="str">
        <x:v>master-v0.81</x:v>
      </x:c>
      <x:c r="AL415" s="87" t="str">
        <x:v>statgrad_master_base_v0_81_final(2).xlsx</x:v>
      </x:c>
      <x:c r="AM415" s="87" t="str">
        <x:v>LIT_Feb_V1</x:v>
      </x:c>
      <x:c r="AN415" s="87" t="n">
        <x:v>8</x:v>
      </x:c>
    </x:row>
    <x:row r="416">
      <x:c r="A416" s="87" t="n">
        <x:v>415</x:v>
      </x:c>
      <x:c r="B416" s="87" t="str">
        <x:v>FEB-LIT-V1-007</x:v>
      </x:c>
      <x:c r="C416" s="87" t="str">
        <x:v>СтатГрад</x:v>
      </x:c>
      <x:c r="D416" s="87" t="str">
        <x:v>Февраль 2026</x:v>
      </x:c>
      <x:c r="E416" s="87"/>
      <x:c r="F416" s="87"/>
      <x:c r="G416" s="87" t="str">
        <x:v>Литература</x:v>
      </x:c>
      <x:c r="H416" s="87" t="n">
        <x:v>11</x:v>
      </x:c>
      <x:c r="I416" s="87" t="str">
        <x:v>ТР №3</x:v>
      </x:c>
      <x:c r="J416" s="87" t="str">
        <x:v>ЛИ2510301</x:v>
      </x:c>
      <x:c r="K416" s="87" t="n">
        <x:v>7</x:v>
      </x:c>
      <x:c r="L416" s="87" t="str">
        <x:v>Рифмовка</x:v>
      </x:c>
      <x:c r="M416" s="30" t="str">
        <x:v>Укажите вид рифмовки в первой, второй и четвёртой строфах стихотворения Э. А. Асадова.</x:v>
      </x:c>
      <x:c r="N416" s="30" t="str">
        <x:v>перекрёстная</x:v>
      </x:c>
      <x:c r="O416" s="30" t="str">
        <x:v>В названных строфах рифмуются первая и третья, вторая и четвёртая строки: грудь — что-нибудь, открыта — гранита; дан — титан, дали — стали.</x:v>
      </x:c>
      <x:c r="P416" s="30" t="str">
        <x:v>Схема рифмовки соответствует модели ABAB; в пятистишии четвёртая и пятая строки образуют дополнительную парную рифму.</x:v>
      </x:c>
      <x:c r="Q416" s="30"/>
      <x:c r="R416" s="30" t="str">
        <x:v>перекрёстная</x:v>
      </x:c>
      <x:c r="S416" s="30"/>
      <x:c r="T416" s="30"/>
      <x:c r="U416" s="30" t="str">
        <x:v>Расхождений нет.</x:v>
      </x:c>
      <x:c r="V416" s="87" t="str">
        <x:v>VERIFIED</x:v>
      </x:c>
      <x:c r="W416" s="87" t="n">
        <x:v>5</x:v>
      </x:c>
      <x:c r="X416" s="87"/>
      <x:c r="Y416" s="87"/>
      <x:c r="Z416" s="87"/>
      <x:c r="AA416" s="87"/>
      <x:c r="AB416" s="87"/>
      <x:c r="AC416" s="87"/>
      <x:c r="AD416" s="87"/>
      <x:c r="AE416" s="87"/>
      <x:c r="AF416" s="87"/>
      <x:c r="AG416" s="87"/>
      <x:c r="AH416" s="87"/>
      <x:c r="AI416" s="30"/>
      <x:c r="AJ416" s="87" t="str">
        <x:v>master</x:v>
      </x:c>
      <x:c r="AK416" s="87" t="str">
        <x:v>master-v0.81</x:v>
      </x:c>
      <x:c r="AL416" s="87" t="str">
        <x:v>statgrad_master_base_v0_81_final(2).xlsx</x:v>
      </x:c>
      <x:c r="AM416" s="87" t="str">
        <x:v>LIT_Feb_V1</x:v>
      </x:c>
      <x:c r="AN416" s="87" t="n">
        <x:v>9</x:v>
      </x:c>
    </x:row>
    <x:row r="417">
      <x:c r="A417" s="87" t="n">
        <x:v>416</x:v>
      </x:c>
      <x:c r="B417" s="87" t="str">
        <x:v>FEB-LIT-V1-008</x:v>
      </x:c>
      <x:c r="C417" s="87" t="str">
        <x:v>СтатГрад</x:v>
      </x:c>
      <x:c r="D417" s="87" t="str">
        <x:v>Февраль 2026</x:v>
      </x:c>
      <x:c r="E417" s="87"/>
      <x:c r="F417" s="87"/>
      <x:c r="G417" s="87" t="str">
        <x:v>Литература</x:v>
      </x:c>
      <x:c r="H417" s="87" t="n">
        <x:v>11</x:v>
      </x:c>
      <x:c r="I417" s="87" t="str">
        <x:v>ТР №3</x:v>
      </x:c>
      <x:c r="J417" s="87" t="str">
        <x:v>ЛИ2510301</x:v>
      </x:c>
      <x:c r="K417" s="87" t="n">
        <x:v>8</x:v>
      </x:c>
      <x:c r="L417" s="87" t="str">
        <x:v>Художественные средства</x:v>
      </x:c>
      <x:c r="M417" s="30" t="str">
        <x:v>Выберите средства, использованные в стихотворении: олицетворение, эпитет, сарказм, риторический вопрос, инверсия, неологизм, лексический повтор.</x:v>
      </x:c>
      <x:c r="N417" s="30" t="str">
        <x:v>1257</x:v>
      </x:c>
      <x:c r="O417" s="30" t="str">
        <x:v>Олицетворение проявляется в образе скалы, которая «подставляет грудь» волнам. Эпитеты подчёркивают прочность предметов и нравственную твёрдость. Инверсия заметна в конструкциях типа «ответ был наукой дан». Повторы слов «твёрже», «ответ», «алмаз» организуют рассуждение. Вопросы получают прямые ответы, поэтому в официальном ключе не признаны риторическими.</x:v>
      </x:c>
      <x:c r="P417" s="30" t="str">
        <x:v>Каждая цифра сверена с конкретной конструкцией текста и официальным ключом.</x:v>
      </x:c>
      <x:c r="Q417" s="30"/>
      <x:c r="R417" s="30" t="str">
        <x:v>1257</x:v>
      </x:c>
      <x:c r="S417" s="30"/>
      <x:c r="T417" s="30"/>
      <x:c r="U417" s="30" t="str">
        <x:v>Расхождений нет.</x:v>
      </x:c>
      <x:c r="V417" s="87" t="str">
        <x:v>VERIFIED</x:v>
      </x:c>
      <x:c r="W417" s="87" t="n">
        <x:v>6</x:v>
      </x:c>
      <x:c r="X417" s="87"/>
      <x:c r="Y417" s="87"/>
      <x:c r="Z417" s="87"/>
      <x:c r="AA417" s="87"/>
      <x:c r="AB417" s="87"/>
      <x:c r="AC417" s="87"/>
      <x:c r="AD417" s="87"/>
      <x:c r="AE417" s="87"/>
      <x:c r="AF417" s="87"/>
      <x:c r="AG417" s="87"/>
      <x:c r="AH417" s="87"/>
      <x:c r="AI417" s="30"/>
      <x:c r="AJ417" s="87" t="str">
        <x:v>master</x:v>
      </x:c>
      <x:c r="AK417" s="87" t="str">
        <x:v>master-v0.81</x:v>
      </x:c>
      <x:c r="AL417" s="87" t="str">
        <x:v>statgrad_master_base_v0_81_final(2).xlsx</x:v>
      </x:c>
      <x:c r="AM417" s="87" t="str">
        <x:v>LIT_Feb_V1</x:v>
      </x:c>
      <x:c r="AN417" s="87" t="n">
        <x:v>10</x:v>
      </x:c>
    </x:row>
    <x:row r="418">
      <x:c r="A418" s="87" t="n">
        <x:v>417</x:v>
      </x:c>
      <x:c r="B418" s="87" t="str">
        <x:v>FEB-LIT-V1-009A</x:v>
      </x:c>
      <x:c r="C418" s="87" t="str">
        <x:v>СтатГрад</x:v>
      </x:c>
      <x:c r="D418" s="87" t="str">
        <x:v>Февраль 2026</x:v>
      </x:c>
      <x:c r="E418" s="87"/>
      <x:c r="F418" s="87"/>
      <x:c r="G418" s="87" t="str">
        <x:v>Литература</x:v>
      </x:c>
      <x:c r="H418" s="87" t="n">
        <x:v>11</x:v>
      </x:c>
      <x:c r="I418" s="87" t="str">
        <x:v>ТР №3</x:v>
      </x:c>
      <x:c r="J418" s="87" t="str">
        <x:v>ЛИ2510301</x:v>
      </x:c>
      <x:c r="K418" s="87" t="str">
        <x:v>9.1</x:v>
      </x:c>
      <x:c r="L418" s="87" t="str">
        <x:v>Развёрнутый ответ: композиция</x:v>
      </x:c>
      <x:c r="M418" s="30" t="str">
        <x:v>В чём состоит своеобразие композиции стихотворения Э. А. Асадова?</x:v>
      </x:c>
      <x:c r="N418" s="30" t="str">
        <x:v>Композиция стихотворения строится как последовательное восхождение от физической прочности к нравственной. В первой строфе вопрос ставится на примере гранитной скалы. Во второй автор приводит научный ответ: гранит превосходят титан и твёрдые марки стали. Третья строфа продолжает градацию и называет алмаз ещё более прочным веществом. Каждая ступень возникает в форме вопроса и следующего за ним ответа, поэтому текст напоминает логическое доказательство. Однако последняя строфа меняет направление рассуждения: речь идёт уже не о веществе, а о «твёрдом слове друга». Этот смысловой поворот образует композиционный и эмоциональный кульминационный центр. Финал одновременно завершает цепочку сравнений и переосмысливает само понятие прочности: истинная опора имеет нравственную, а не материальную природу.</x:v>
      </x:c>
      <x:c r="O418" s="30" t="str">
        <x:v>Ответ раскрывает вопросно-ответную организацию, градацию и финальный смысловой поворот.</x:v>
      </x:c>
      <x:c r="P418" s="30" t="str">
        <x:v>Приведены примеры всех ступеней: гранит, титан/сталь, алмаз, слово друга.</x:v>
      </x:c>
      <x:c r="Q418" s="30"/>
      <x:c r="R418" s="30" t="str">
        <x:v>Отдельного эталона в архиве нет.</x:v>
      </x:c>
      <x:c r="S418" s="30"/>
      <x:c r="T418" s="30"/>
      <x:c r="U418" s="30" t="str">
        <x:v>Самостоятельный модельный ответ; в работе выбирается 9.1 или 9.2.</x:v>
      </x:c>
      <x:c r="V418" s="87" t="str">
        <x:v>VERIFIED</x:v>
      </x:c>
      <x:c r="W418" s="87" t="n">
        <x:v>6</x:v>
      </x:c>
      <x:c r="X418" s="87"/>
      <x:c r="Y418" s="87"/>
      <x:c r="Z418" s="87"/>
      <x:c r="AA418" s="87"/>
      <x:c r="AB418" s="87"/>
      <x:c r="AC418" s="87"/>
      <x:c r="AD418" s="87"/>
      <x:c r="AE418" s="87"/>
      <x:c r="AF418" s="87"/>
      <x:c r="AG418" s="87"/>
      <x:c r="AH418" s="87"/>
      <x:c r="AI418" s="30"/>
      <x:c r="AJ418" s="87" t="str">
        <x:v>master</x:v>
      </x:c>
      <x:c r="AK418" s="87" t="str">
        <x:v>master-v0.81</x:v>
      </x:c>
      <x:c r="AL418" s="87" t="str">
        <x:v>statgrad_master_base_v0_81_final(2).xlsx</x:v>
      </x:c>
      <x:c r="AM418" s="87" t="str">
        <x:v>LIT_Feb_V1</x:v>
      </x:c>
      <x:c r="AN418" s="87" t="n">
        <x:v>11</x:v>
      </x:c>
    </x:row>
    <x:row r="419">
      <x:c r="A419" s="87" t="n">
        <x:v>418</x:v>
      </x:c>
      <x:c r="B419" s="87" t="str">
        <x:v>FEB-LIT-V1-009B</x:v>
      </x:c>
      <x:c r="C419" s="87" t="str">
        <x:v>СтатГрад</x:v>
      </x:c>
      <x:c r="D419" s="87" t="str">
        <x:v>Февраль 2026</x:v>
      </x:c>
      <x:c r="E419" s="87"/>
      <x:c r="F419" s="87"/>
      <x:c r="G419" s="87" t="str">
        <x:v>Литература</x:v>
      </x:c>
      <x:c r="H419" s="87" t="n">
        <x:v>11</x:v>
      </x:c>
      <x:c r="I419" s="87" t="str">
        <x:v>ТР №3</x:v>
      </x:c>
      <x:c r="J419" s="87" t="str">
        <x:v>ЛИ2510301</x:v>
      </x:c>
      <x:c r="K419" s="87" t="str">
        <x:v>9.2</x:v>
      </x:c>
      <x:c r="L419" s="87" t="str">
        <x:v>Развёрнутый ответ: образный ряд</x:v>
      </x:c>
      <x:c r="M419" s="30" t="str">
        <x:v>Как образный ряд стихотворения Э. А. Асадова подготавливает его финал?</x:v>
      </x:c>
      <x:c r="N419" s="30" t="str">
        <x:v>Образный ряд сначала объединяет предметы, символизирующие физическую прочность. Скала персонифицирована: она «подставляет под волны грудь» и выдерживает ветер, поэтому гранит становится первым образом стойкости. Затем появляются металл, титан и твёрдые марки стали, связанные с научно измеримой прочностью. Алмаз поднимает сравнение на высшую материальную ступень: он твёрже названных веществ. Повторяющиеся вопросы заставляют ожидать очередной, ещё более прочный предмет. Поэтому финальное утверждение о «твёрдом слове друга» оказывается неожиданным и одновременно подготовленным всей градацией. Качество материала переносится на человеческие отношения: твёрдость означает верность обещанию, надёжность и способность поддержать. Материальный ряд тем самым превращается в нравственную метафору, а образ дружеского слова становится кульминацией стихотворения.</x:v>
      </x:c>
      <x:c r="O419" s="30" t="str">
        <x:v>Ответ показывает переход от конкретных предметных образов к моральному значению слова.</x:v>
      </x:c>
      <x:c r="P419" s="30" t="str">
        <x:v>Использованы не менее двух примеров из текста и объяснена их связь с финалом.</x:v>
      </x:c>
      <x:c r="Q419" s="30"/>
      <x:c r="R419" s="30" t="str">
        <x:v>Отдельного эталона в архиве нет.</x:v>
      </x:c>
      <x:c r="S419" s="30"/>
      <x:c r="T419" s="30"/>
      <x:c r="U419" s="30" t="str">
        <x:v>Альтернативный модельный ответ к заданию 9.2.</x:v>
      </x:c>
      <x:c r="V419" s="87" t="str">
        <x:v>VERIFIED</x:v>
      </x:c>
      <x:c r="W419" s="87" t="n">
        <x:v>6</x:v>
      </x:c>
      <x:c r="X419" s="87"/>
      <x:c r="Y419" s="87"/>
      <x:c r="Z419" s="87"/>
      <x:c r="AA419" s="87"/>
      <x:c r="AB419" s="87"/>
      <x:c r="AC419" s="87"/>
      <x:c r="AD419" s="87"/>
      <x:c r="AE419" s="87"/>
      <x:c r="AF419" s="87"/>
      <x:c r="AG419" s="87"/>
      <x:c r="AH419" s="87"/>
      <x:c r="AI419" s="30"/>
      <x:c r="AJ419" s="87" t="str">
        <x:v>master</x:v>
      </x:c>
      <x:c r="AK419" s="87" t="str">
        <x:v>master-v0.81</x:v>
      </x:c>
      <x:c r="AL419" s="87" t="str">
        <x:v>statgrad_master_base_v0_81_final(2).xlsx</x:v>
      </x:c>
      <x:c r="AM419" s="87" t="str">
        <x:v>LIT_Feb_V1</x:v>
      </x:c>
      <x:c r="AN419" s="87" t="n">
        <x:v>12</x:v>
      </x:c>
    </x:row>
    <x:row r="420">
      <x:c r="A420" s="87" t="n">
        <x:v>419</x:v>
      </x:c>
      <x:c r="B420" s="87" t="str">
        <x:v>FEB-LIT-V1-010</x:v>
      </x:c>
      <x:c r="C420" s="87" t="str">
        <x:v>СтатГрад</x:v>
      </x:c>
      <x:c r="D420" s="87" t="str">
        <x:v>Февраль 2026</x:v>
      </x:c>
      <x:c r="E420" s="87"/>
      <x:c r="F420" s="87"/>
      <x:c r="G420" s="87" t="str">
        <x:v>Литература</x:v>
      </x:c>
      <x:c r="H420" s="87" t="n">
        <x:v>11</x:v>
      </x:c>
      <x:c r="I420" s="87" t="str">
        <x:v>ТР №3</x:v>
      </x:c>
      <x:c r="J420" s="87" t="str">
        <x:v>ЛИ2510301</x:v>
      </x:c>
      <x:c r="K420" s="87" t="n">
        <x:v>10</x:v>
      </x:c>
      <x:c r="L420" s="87" t="str">
        <x:v>Сопоставительный анализ лирики</x:v>
      </x:c>
      <x:c r="M420" s="30" t="str">
        <x:v>Назовите стихотворение о дружбе и сопоставьте его со стихотворением Э. А. Асадова.</x:v>
      </x:c>
      <x:c r="N420" s="30" t="str">
        <x:v>А. С. Пушкин, «И. И. Пущину». Оба произведения утверждают дружбу как нравственную опору, но Пушкин обращается к конкретному человеку, а Асадов формулирует общий афористический вывод.</x:v>
      </x:c>
      <x:c r="O420" s="30" t="str">
        <x:v>В стихотворении Пушкина дружба показана как верность, способная преодолеть разлуку и поддержать человека в испытании: лирический герой называет адресата «мой первый друг, мой друг бесценный» и посылает ему утешение в заточение. У Асадова то же качество выражено через метафору прочности: «твёрдое слово друга» оказывается крепче гранита, стали и алмаза. В обоих текстах дружеская связь противопоставлена внешним обстоятельствам и даёт человеку внутреннюю устойчивость. Различие состоит в форме: пушкинское послание интимно, связано с биографической судьбой Пущина и строится как непосредственное обращение; стихотворение Асадова имеет обобщённую вопросно-ответную композицию и приводит читателя к афористическому финалу. Таким образом, оба поэта возвышают верность друга, но один раскрывает её через личное воспоминание и поддержку, другой — через логически выстроенную градацию образов прочности.</x:v>
      </x:c>
      <x:c r="P420" s="30" t="str">
        <x:v>Сопоставление опирается на конкретные элементы обоих текстов и объясняет сходство и различие.</x:v>
      </x:c>
      <x:c r="Q420" s="30"/>
      <x:c r="R420" s="30" t="str">
        <x:v>Отдельного эталона в архиве нет.</x:v>
      </x:c>
      <x:c r="S420" s="30"/>
      <x:c r="T420" s="30"/>
      <x:c r="U420" s="30" t="str">
        <x:v>Самостоятельный модельный ответ.</x:v>
      </x:c>
      <x:c r="V420" s="87" t="str">
        <x:v>VERIFIED</x:v>
      </x:c>
      <x:c r="W420" s="87" t="n">
        <x:v>7</x:v>
      </x:c>
      <x:c r="X420" s="87"/>
      <x:c r="Y420" s="87"/>
      <x:c r="Z420" s="87"/>
      <x:c r="AA420" s="87"/>
      <x:c r="AB420" s="87"/>
      <x:c r="AC420" s="87"/>
      <x:c r="AD420" s="87"/>
      <x:c r="AE420" s="87"/>
      <x:c r="AF420" s="87"/>
      <x:c r="AG420" s="87"/>
      <x:c r="AH420" s="87"/>
      <x:c r="AI420" s="30"/>
      <x:c r="AJ420" s="87" t="str">
        <x:v>master</x:v>
      </x:c>
      <x:c r="AK420" s="87" t="str">
        <x:v>master-v0.81</x:v>
      </x:c>
      <x:c r="AL420" s="87" t="str">
        <x:v>statgrad_master_base_v0_81_final(2).xlsx</x:v>
      </x:c>
      <x:c r="AM420" s="87" t="str">
        <x:v>LIT_Feb_V1</x:v>
      </x:c>
      <x:c r="AN420" s="87" t="n">
        <x:v>13</x:v>
      </x:c>
    </x:row>
    <x:row r="421">
      <x:c r="A421" s="87" t="n">
        <x:v>420</x:v>
      </x:c>
      <x:c r="B421" s="87" t="str">
        <x:v>FEB-LIT-V1-011A</x:v>
      </x:c>
      <x:c r="C421" s="87" t="str">
        <x:v>СтатГрад</x:v>
      </x:c>
      <x:c r="D421" s="87" t="str">
        <x:v>Февраль 2026</x:v>
      </x:c>
      <x:c r="E421" s="87"/>
      <x:c r="F421" s="87"/>
      <x:c r="G421" s="87" t="str">
        <x:v>Литература</x:v>
      </x:c>
      <x:c r="H421" s="87" t="n">
        <x:v>11</x:v>
      </x:c>
      <x:c r="I421" s="87" t="str">
        <x:v>ТР №3</x:v>
      </x:c>
      <x:c r="J421" s="87" t="str">
        <x:v>ЛИ2510301</x:v>
      </x:c>
      <x:c r="K421" s="87" t="str">
        <x:v>11.1</x:v>
      </x:c>
      <x:c r="L421" s="87" t="str">
        <x:v>Сочинение: система персонажей</x:v>
      </x:c>
      <x:c r="M421" s="30" t="str">
        <x:v>Особенности системы персонажей в комедии Н. В. Гоголя «Ревизор».</x:v>
      </x:c>
      <x:c r="N421" s="30" t="str">
        <x:v>Система персонажей комедии Н. В. Гоголя «Ревизор» построена как целостная сатирическая модель уездного города и, шире, чиновничьей России. Во-первых, почти каждый герой представляет определённое учреждение и одновременно конкретный общественный порок: городничий соединяет административный произвол с привычкой к взяткам, Ляпкин-Тяпкин превращает суд в личное хозяйство, Земляника прикрывает жестокость заботой о богоугодных заведениях, Шпекин нарушает тайну переписки из праздного любопытства. Так возникает коллективный образ власти, в которой беззаконие является не исключением, а нормой. Во-вторых, персонажи индивидуализированы речью, поведением и «говорящими» фамилиями: судья рассуждает самоуверенно и небрежно, Земляника доносит на коллег, Бобчинский и Добчинский существуют как комическая пара, передающая сплетню. В-третьих, центральное место Хлестакова определяется не его силой, а страхом чиновников: пустого молодого человека они сами превращают в ревизора. Эта «миражная интрига» раскрывает внутреннее родство чиновников и мнимого проверяющего: все они живут ложью, чинопочитанием и корыстью. При этом система построена по принципу взаимного разоблачения: стремясь спастись, чиновники охотно выдают пороки друг друга, что усиливает сатиру. Женские персонажи, купцы, унтер-офицерская вдова и просители расширяют картину города, показывая последствия чиновничьего произвола. Наконец, сообщение о настоящем ревизоре и немая сцена внезапно перестраивают всю систему: герои замирают перед неизбежным судом, а смех приобретает обличительный смысл. Таким образом, в комедии нет изолированного главного злодея: её герой — сам порочный общественный порядок, воплощённый в ансамбле взаимосвязанных лиц.</x:v>
      </x:c>
      <x:c r="O421" s="30" t="str">
        <x:v>Сочинение раскрывает коллективный образ чиновничества, индивидуализацию героев и роль Хлестакова/немой сцены; использованы понятия сатиры, системы персонажей, речевой характеристики и драматической интриги.</x:v>
      </x:c>
      <x:c r="P421" s="30" t="str">
        <x:v>Проверено наличие не менее трёх аргументированных утверждений и конкретных примеров; объём превышает 200 слов.</x:v>
      </x:c>
      <x:c r="Q421" s="30"/>
      <x:c r="R421" s="30" t="str">
        <x:v>Отдельного эталона в архиве нет.</x:v>
      </x:c>
      <x:c r="S421" s="30"/>
      <x:c r="T421" s="30"/>
      <x:c r="U421" s="30" t="str">
        <x:v>Полный модельный ответ на тему 11.1.</x:v>
      </x:c>
      <x:c r="V421" s="87" t="str">
        <x:v>VERIFIED</x:v>
      </x:c>
      <x:c r="W421" s="87" t="n">
        <x:v>8</x:v>
      </x:c>
      <x:c r="X421" s="87"/>
      <x:c r="Y421" s="87"/>
      <x:c r="Z421" s="87"/>
      <x:c r="AA421" s="87"/>
      <x:c r="AB421" s="87"/>
      <x:c r="AC421" s="87"/>
      <x:c r="AD421" s="87"/>
      <x:c r="AE421" s="87"/>
      <x:c r="AF421" s="87"/>
      <x:c r="AG421" s="87"/>
      <x:c r="AH421" s="87"/>
      <x:c r="AI421" s="30"/>
      <x:c r="AJ421" s="87" t="str">
        <x:v>master</x:v>
      </x:c>
      <x:c r="AK421" s="87" t="str">
        <x:v>master-v0.81</x:v>
      </x:c>
      <x:c r="AL421" s="87" t="str">
        <x:v>statgrad_master_base_v0_81_final(2).xlsx</x:v>
      </x:c>
      <x:c r="AM421" s="87" t="str">
        <x:v>LIT_Feb_V1</x:v>
      </x:c>
      <x:c r="AN421" s="87" t="n">
        <x:v>14</x:v>
      </x:c>
    </x:row>
    <x:row r="422">
      <x:c r="A422" s="87" t="n">
        <x:v>421</x:v>
      </x:c>
      <x:c r="B422" s="87" t="str">
        <x:v>FEB-LIT-V1-011B</x:v>
      </x:c>
      <x:c r="C422" s="87" t="str">
        <x:v>СтатГрад</x:v>
      </x:c>
      <x:c r="D422" s="87" t="str">
        <x:v>Февраль 2026</x:v>
      </x:c>
      <x:c r="E422" s="87"/>
      <x:c r="F422" s="87"/>
      <x:c r="G422" s="87" t="str">
        <x:v>Литература</x:v>
      </x:c>
      <x:c r="H422" s="87" t="n">
        <x:v>11</x:v>
      </x:c>
      <x:c r="I422" s="87" t="str">
        <x:v>ТР №3</x:v>
      </x:c>
      <x:c r="J422" s="87" t="str">
        <x:v>ЛИ2510301</x:v>
      </x:c>
      <x:c r="K422" s="87" t="str">
        <x:v>11.2</x:v>
      </x:c>
      <x:c r="L422" s="87" t="str">
        <x:v>Сочинение: пейзажная лирика</x:v>
      </x:c>
      <x:c r="M422" s="30" t="str">
        <x:v>Красота родной земли в поэзии А. А. Фета на примере не менее трёх стихотворений.</x:v>
      </x:c>
      <x:c r="N422" s="30" t="str">
        <x:v>Красота родной земли в поэзии А. А. Фета раскрывается через мгновенное, почти музыкальное переживание природы. В стихотворении «Чудная картина» зимний пейзаж предельно прост: белая равнина, полная луна, высокий свет небес и далёкие сани. Краткие назывные конструкции и световая гамма создают ощущение тишины, простора и внутреннего покоя; родная земля прекрасна именно своей неброской гармонией. В стихотворении «Это утро, радость эта…» весенняя природа передана стремительным рядом впечатлений: свет, крики птиц, капли, ручьи, зори. Анафора «это» соединяет множество деталей в единый поток восторга, а отсутствие развёрнутого повествования делает пейзаж непосредственным переживанием обновления мира. Иной облик родной природы возникает в стихотворении «Учись у них — у дуба, у берёзы…». Зимний холод здесь суров: деревья стоят под снегом и метелью, терпеливо ожидая весны. Психологический параллелизм превращает пейзаж в нравственный урок человеку: стойкость природы помогает пережить душевную боль и сохранить надежду. Лирический герой не наблюдает природу со стороны: его настроение сливается с пейзажем, поэтому родина переживается как часть собственной души. Во всех трёх произведениях Фет избегает отвлечённых деклараций о любви к родине; чувство рождается из точной зрительной, звуковой и эмоциональной детали. При этом времена года раскрывают разные грани одного мира: зимнюю чистоту, весеннюю полноту жизни и способность природы к возрождению. Так пейзажная лирика Фета показывает родную землю как источник красоты, душевного равновесия и нравственной опоры.</x:v>
      </x:c>
      <x:c r="O422" s="30" t="str">
        <x:v>Сочинение анализирует «Чудную картину», «Это утро, радость эта…» и «Учись у них — у дуба, у берёзы…» через образность, композицию и психологический параллелизм.</x:v>
      </x:c>
      <x:c r="P422" s="30" t="str">
        <x:v>Проверено обращение к трём произведениям, использование литературоведческих терминов и объём более 200 слов.</x:v>
      </x:c>
      <x:c r="Q422" s="30"/>
      <x:c r="R422" s="30" t="str">
        <x:v>Отдельного эталона в архиве нет.</x:v>
      </x:c>
      <x:c r="S422" s="30"/>
      <x:c r="T422" s="30"/>
      <x:c r="U422" s="30" t="str">
        <x:v>Полный модельный ответ на тему 11.2.</x:v>
      </x:c>
      <x:c r="V422" s="87" t="str">
        <x:v>VERIFIED</x:v>
      </x:c>
      <x:c r="W422" s="87" t="n">
        <x:v>8</x:v>
      </x:c>
      <x:c r="X422" s="87"/>
      <x:c r="Y422" s="87"/>
      <x:c r="Z422" s="87"/>
      <x:c r="AA422" s="87"/>
      <x:c r="AB422" s="87"/>
      <x:c r="AC422" s="87"/>
      <x:c r="AD422" s="87"/>
      <x:c r="AE422" s="87"/>
      <x:c r="AF422" s="87"/>
      <x:c r="AG422" s="87"/>
      <x:c r="AH422" s="87"/>
      <x:c r="AI422" s="30"/>
      <x:c r="AJ422" s="87" t="str">
        <x:v>master</x:v>
      </x:c>
      <x:c r="AK422" s="87" t="str">
        <x:v>master-v0.81</x:v>
      </x:c>
      <x:c r="AL422" s="87" t="str">
        <x:v>statgrad_master_base_v0_81_final(2).xlsx</x:v>
      </x:c>
      <x:c r="AM422" s="87" t="str">
        <x:v>LIT_Feb_V1</x:v>
      </x:c>
      <x:c r="AN422" s="87" t="n">
        <x:v>15</x:v>
      </x:c>
    </x:row>
    <x:row r="423">
      <x:c r="A423" s="87" t="n">
        <x:v>422</x:v>
      </x:c>
      <x:c r="B423" s="87" t="str">
        <x:v>FEB-LIT-V1-011C</x:v>
      </x:c>
      <x:c r="C423" s="87" t="str">
        <x:v>СтатГрад</x:v>
      </x:c>
      <x:c r="D423" s="87" t="str">
        <x:v>Февраль 2026</x:v>
      </x:c>
      <x:c r="E423" s="87"/>
      <x:c r="F423" s="87"/>
      <x:c r="G423" s="87" t="str">
        <x:v>Литература</x:v>
      </x:c>
      <x:c r="H423" s="87" t="n">
        <x:v>11</x:v>
      </x:c>
      <x:c r="I423" s="87" t="str">
        <x:v>ТР №3</x:v>
      </x:c>
      <x:c r="J423" s="87" t="str">
        <x:v>ЛИ2510301</x:v>
      </x:c>
      <x:c r="K423" s="87" t="str">
        <x:v>11.3</x:v>
      </x:c>
      <x:c r="L423" s="87" t="str">
        <x:v>Сочинение: социально-философская драма</x:v>
      </x:c>
      <x:c r="M423" s="30" t="str">
        <x:v>Можно ли отнести ночлежников к категории «бывших людей»? По пьесе М. Горького «На дне».</x:v>
      </x:c>
      <x:c r="N423" s="30" t="str">
        <x:v>Ночлежников в пьесе М. Горького «На дне» можно назвать «бывшими людьми», если речь идёт об их социальном положении, однако этим определением их человеческая сущность не исчерпывается. Почти каждый обитатель ночлежки утратил прежнее место в обществе: Барон вспоминает дворянскую жизнь, Актёр — сцену, Клещ — самостоятельный труд, Сатин — службу и образование. Их настоящее лишено устойчивого дома, профессии, уважения и надежды, поэтому общее пространство подвала действительно объединяет людей, выброшенных из нормальной жизни. Но Горький не превращает героев в безликую массу: у каждого сохраняются собственная речь, память, боль и представление о достоинстве. Актёр мечтает вылечиться и вернуться к искусству, Настя защищает выдуманную любовь, Анна хочет хотя бы покоя, Клещ долго надеется выбраться трудом. Даже споры о правде и сострадании показывают духовную активность ночлежников: Лука поддерживает человека утешением, а Сатин утверждает его свободу и достоинство. Одновременно драматург не идеализирует героев: многие пассивны, жестоки или неспособны отвечать за собственную судьбу, а надежды нередко заканчиваются поражением. Социальный конфликт пьесы раскрывает, как нищета и бесправие разрушают личность, тогда как философский конфликт ставит вопрос о том, что остаётся в человеке после утраты статуса. Поэтому слово «бывшие» точно обозначает их прошлую социальную роль, но ошибочно звучит как отрицание человечности. Горький показывает: на «дне» оказываются люди сломленные, но не переставшие быть людьми, способными страдать, спорить, мечтать и искать смысл.</x:v>
      </x:c>
      <x:c r="O423" s="30" t="str">
        <x:v>Сочинение различает утрату социального статуса и сохранение человеческой личности, опираясь на судьбы Актёра, Барона, Клеща, Насти, Сатина и Луки.</x:v>
      </x:c>
      <x:c r="P423" s="30" t="str">
        <x:v>Проверено наличие тезиса с оговоркой, минимум трёх аргументов и объём более 200 слов.</x:v>
      </x:c>
      <x:c r="Q423" s="30"/>
      <x:c r="R423" s="30" t="str">
        <x:v>Отдельного эталона в архиве нет.</x:v>
      </x:c>
      <x:c r="S423" s="30"/>
      <x:c r="T423" s="30"/>
      <x:c r="U423" s="30" t="str">
        <x:v>Полный модельный ответ на тему 11.3.</x:v>
      </x:c>
      <x:c r="V423" s="87" t="str">
        <x:v>VERIFIED</x:v>
      </x:c>
      <x:c r="W423" s="87" t="n">
        <x:v>8</x:v>
      </x:c>
      <x:c r="X423" s="87"/>
      <x:c r="Y423" s="87"/>
      <x:c r="Z423" s="87"/>
      <x:c r="AA423" s="87"/>
      <x:c r="AB423" s="87"/>
      <x:c r="AC423" s="87"/>
      <x:c r="AD423" s="87"/>
      <x:c r="AE423" s="87"/>
      <x:c r="AF423" s="87"/>
      <x:c r="AG423" s="87"/>
      <x:c r="AH423" s="87"/>
      <x:c r="AI423" s="30"/>
      <x:c r="AJ423" s="87" t="str">
        <x:v>master</x:v>
      </x:c>
      <x:c r="AK423" s="87" t="str">
        <x:v>master-v0.81</x:v>
      </x:c>
      <x:c r="AL423" s="87" t="str">
        <x:v>statgrad_master_base_v0_81_final(2).xlsx</x:v>
      </x:c>
      <x:c r="AM423" s="87" t="str">
        <x:v>LIT_Feb_V1</x:v>
      </x:c>
      <x:c r="AN423" s="87" t="n">
        <x:v>16</x:v>
      </x:c>
    </x:row>
    <x:row r="424">
      <x:c r="A424" s="87" t="n">
        <x:v>423</x:v>
      </x:c>
      <x:c r="B424" s="87" t="str">
        <x:v>FEB-LIT-V1-011D</x:v>
      </x:c>
      <x:c r="C424" s="87" t="str">
        <x:v>СтатГрад</x:v>
      </x:c>
      <x:c r="D424" s="87" t="str">
        <x:v>Февраль 2026</x:v>
      </x:c>
      <x:c r="E424" s="87"/>
      <x:c r="F424" s="87"/>
      <x:c r="G424" s="87" t="str">
        <x:v>Литература</x:v>
      </x:c>
      <x:c r="H424" s="87" t="n">
        <x:v>11</x:v>
      </x:c>
      <x:c r="I424" s="87" t="str">
        <x:v>ТР №3</x:v>
      </x:c>
      <x:c r="J424" s="87" t="str">
        <x:v>ЛИ2510301</x:v>
      </x:c>
      <x:c r="K424" s="87" t="str">
        <x:v>11.4</x:v>
      </x:c>
      <x:c r="L424" s="87" t="str">
        <x:v>Сочинение: психологизм прозы</x:v>
      </x:c>
      <x:c r="M424" s="30" t="str">
        <x:v>Диалог героя с самим собой в отечественной прозе на примере романа Ф. М. Достоевского «Преступление и наказание».</x:v>
      </x:c>
      <x:c r="N424" s="30" t="str">
        <x:v>Диалог героя с самим собой особенно важен в романе Ф. М. Достоевского «Преступление и наказание», потому что главный конфликт произведения разворачивается внутри сознания Раскольникова. Его теория делит людей на «обыкновенных» и имеющих право переступить закон, однако внутренний монолог постоянно обнаруживает сомнение, страх и сострадание, не совместимые с холодной схемой. До преступления герой то убеждает себя в необходимости «пробы», то испытывает отвращение к замыслу; так рассуждение приобретает форму спора двух голосов. Сон о забитой лошади выражает скрытую правду личности: ребёнок Родион сострадает беспомощному существу, тогда как сознательно созданная идея требует насилия. После убийства внутренний диалог становится мучительнее: Раскольников анализирует каждое действие, боится разоблачения, презирает себя за слабость и одновременно пытается доказать, что потерпел поражение лишь практически. Риторические вопросы, обрывочные фразы, повторы и несобственно-прямая речь передают лихорадочное движение мысли и создают психологизм романа. Внешние собеседники становятся участниками внутреннего спора: Порфирий заставляет героя логически увидеть противоречия теории, Соня пробуждает совесть и предлагает путь признания, Свидригайлов показывает возможный итог нравственной вседозволенности. Поэтому признание рождается не из одного внешнего доказательства, а из постепенной победы живого нравственного чувства над отвлечённой идеей. На каторге этот диалог ещё не завершён, но сон о мировой эпидемии идей и любовь к Соне открывают возможность духовного воскресения. Таким образом, разговор героя с собой является формой раскрытия раздвоенности личности и главным механизмом его движения от преступной теории к раскаянию.</x:v>
      </x:c>
      <x:c r="O424" s="30" t="str">
        <x:v>Сочинение раскрывает раздвоение Раскольникова, внутренний монолог, сон, несобственно-прямую речь и роль героев-собеседников в развитии внутреннего конфликта.</x:v>
      </x:c>
      <x:c r="P424" s="30" t="str">
        <x:v>Проверено соответствие одному из разрешённых авторов, использование понятий психологизма и внутреннего монолога, объём более 200 слов.</x:v>
      </x:c>
      <x:c r="Q424" s="30"/>
      <x:c r="R424" s="30" t="str">
        <x:v>Отдельного эталона в архиве нет.</x:v>
      </x:c>
      <x:c r="S424" s="30"/>
      <x:c r="T424" s="30"/>
      <x:c r="U424" s="30" t="str">
        <x:v>Полный модельный ответ на тему 11.4.</x:v>
      </x:c>
      <x:c r="V424" s="87" t="str">
        <x:v>VERIFIED</x:v>
      </x:c>
      <x:c r="W424" s="87" t="n">
        <x:v>8</x:v>
      </x:c>
      <x:c r="X424" s="87"/>
      <x:c r="Y424" s="87"/>
      <x:c r="Z424" s="87"/>
      <x:c r="AA424" s="87"/>
      <x:c r="AB424" s="87"/>
      <x:c r="AC424" s="87"/>
      <x:c r="AD424" s="87"/>
      <x:c r="AE424" s="87"/>
      <x:c r="AF424" s="87"/>
      <x:c r="AG424" s="87"/>
      <x:c r="AH424" s="87"/>
      <x:c r="AI424" s="30"/>
      <x:c r="AJ424" s="87" t="str">
        <x:v>master</x:v>
      </x:c>
      <x:c r="AK424" s="87" t="str">
        <x:v>master-v0.81</x:v>
      </x:c>
      <x:c r="AL424" s="87" t="str">
        <x:v>statgrad_master_base_v0_81_final(2).xlsx</x:v>
      </x:c>
      <x:c r="AM424" s="87" t="str">
        <x:v>LIT_Feb_V1</x:v>
      </x:c>
      <x:c r="AN424" s="87" t="n">
        <x:v>17</x:v>
      </x:c>
    </x:row>
    <x:row r="425">
      <x:c r="A425" s="87" t="n">
        <x:v>424</x:v>
      </x:c>
      <x:c r="B425" s="87" t="str">
        <x:v>FEB-LIT-V1-011E</x:v>
      </x:c>
      <x:c r="C425" s="87" t="str">
        <x:v>СтатГрад</x:v>
      </x:c>
      <x:c r="D425" s="87" t="str">
        <x:v>Февраль 2026</x:v>
      </x:c>
      <x:c r="E425" s="87"/>
      <x:c r="F425" s="87"/>
      <x:c r="G425" s="87" t="str">
        <x:v>Литература</x:v>
      </x:c>
      <x:c r="H425" s="87" t="n">
        <x:v>11</x:v>
      </x:c>
      <x:c r="I425" s="87" t="str">
        <x:v>ТР №3</x:v>
      </x:c>
      <x:c r="J425" s="87" t="str">
        <x:v>ЛИ2510301</x:v>
      </x:c>
      <x:c r="K425" s="87" t="str">
        <x:v>11.5</x:v>
      </x:c>
      <x:c r="L425" s="87" t="str">
        <x:v>Сочинение: актёрская интерпретация</x:v>
      </x:c>
      <x:c r="M425" s="30" t="str">
        <x:v>Какие советы можно дать актрисам, работающим над ролями Ани и Вари в спектакле по пьесе А. П. Чехова «Вишнёвый сад»?</x:v>
      </x:c>
      <x:c r="N425" s="30" t="str">
        <x:v>Актрисам, исполняющим роли Ани и Вари в «Вишнёвом саде», важно строить образы на различии жизненных темпераментов, не превращая сестёр в простые символы «будущего» и «прошлого». Аня молода, впечатлительна и внутренне свободна: в начале она нежно привязана к матери и дому, но постепенно принимает мысль о новой жизни. Её реплики следует произносить светло и искренне, показывая, как слова Трофимова заражают её надеждой; финальное прощание с садом должно звучать не холодно, а как преодоление боли ради будущего. Варя старше по жизненному опыту и постоянно несёт практическую ответственность: хозяйничает, экономит, носит ключи, тревожится о долгах и судьбе семьи. Её внешнюю строгость нельзя играть как бессердечие: за резкостью скрыты усталость, незащищённость и подавленное желание собственной семьи. Особое внимание нужно уделить отношениям с Лопахиным. В сцене несостоявшегося объяснения важнее не слова, а паузы, смена темы и неловкие действия: оба героя чувствуют возможность брака, но не способны сделать решающий шаг. Для Вари ключи могут стать сценическим лейтмотивом обязанности и несвободы; когда она бросает их после продажи имения, жест выражает крушение привычной роли. Контраст сестёр следует смягчить их общим чувством утраты: Аня уходит навстречу будущему, Варя — на новое место служения, и обе расстаются с домом. Чеховская драматургия требует подтекста, поэтому актрисам не стоит форсировать слёзы или декларации. Точная интонация, пауза и бытовое действие помогут показать, что за простыми репликами Ани и Вари скрываются разные способы пережить конец прежней жизни.</x:v>
      </x:c>
      <x:c r="O425" s="30" t="str">
        <x:v>Сочинение предлагает сценическую интерпретацию речи, подтекста, пауз, жестов и отношений героинь с Раневской, Трофимовым и Лопахиным.</x:v>
      </x:c>
      <x:c r="P425" s="30" t="str">
        <x:v>Проверено наличие трёх и более обоснованных рекомендаций, опора на текст пьесы и объём более 200 слов.</x:v>
      </x:c>
      <x:c r="Q425" s="30"/>
      <x:c r="R425" s="30" t="str">
        <x:v>Отдельного эталона в архиве нет.</x:v>
      </x:c>
      <x:c r="S425" s="30"/>
      <x:c r="T425" s="30"/>
      <x:c r="U425" s="30" t="str">
        <x:v>Полный модельный ответ на тему 11.5.</x:v>
      </x:c>
      <x:c r="V425" s="87" t="str">
        <x:v>VERIFIED</x:v>
      </x:c>
      <x:c r="W425" s="87" t="n">
        <x:v>8</x:v>
      </x:c>
      <x:c r="X425" s="87"/>
      <x:c r="Y425" s="87"/>
      <x:c r="Z425" s="87"/>
      <x:c r="AA425" s="87"/>
      <x:c r="AB425" s="87"/>
      <x:c r="AC425" s="87"/>
      <x:c r="AD425" s="87"/>
      <x:c r="AE425" s="87"/>
      <x:c r="AF425" s="87"/>
      <x:c r="AG425" s="87"/>
      <x:c r="AH425" s="87"/>
      <x:c r="AI425" s="30"/>
      <x:c r="AJ425" s="87" t="str">
        <x:v>master</x:v>
      </x:c>
      <x:c r="AK425" s="87" t="str">
        <x:v>master-v0.81</x:v>
      </x:c>
      <x:c r="AL425" s="87" t="str">
        <x:v>statgrad_master_base_v0_81_final(2).xlsx</x:v>
      </x:c>
      <x:c r="AM425" s="87" t="str">
        <x:v>LIT_Feb_V1</x:v>
      </x:c>
      <x:c r="AN425" s="87" t="n">
        <x:v>18</x:v>
      </x:c>
    </x:row>
    <x:row r="426">
      <x:c r="A426" s="87" t="n">
        <x:v>425</x:v>
      </x:c>
      <x:c r="B426" s="87" t="str">
        <x:v>FEB-SOC-V1-001</x:v>
      </x:c>
      <x:c r="C426" s="87" t="str">
        <x:v>СтатГрад</x:v>
      </x:c>
      <x:c r="D426" s="87" t="str">
        <x:v>Февраль 2026</x:v>
      </x:c>
      <x:c r="E426" s="87"/>
      <x:c r="F426" s="87"/>
      <x:c r="G426" s="87" t="str">
        <x:v>Обществознание</x:v>
      </x:c>
      <x:c r="H426" s="87" t="n">
        <x:v>11</x:v>
      </x:c>
      <x:c r="I426" s="87" t="str">
        <x:v>ТР №4</x:v>
      </x:c>
      <x:c r="J426" s="87" t="str">
        <x:v>ОБ2510401</x:v>
      </x:c>
      <x:c r="K426" s="87" t="n">
        <x:v>1</x:v>
      </x:c>
      <x:c r="L426" s="87" t="str">
        <x:v>Постоянные и переменные издержки</x:v>
      </x:c>
      <x:c r="M426" s="30" t="str">
        <x:v>Из перечня действий предпринимателя выберите два, не относящихся к переменным издержкам.</x:v>
      </x:c>
      <x:c r="N426" s="30" t="str">
        <x:v>25</x:v>
      </x:c>
      <x:c r="O426" s="30" t="str">
        <x:v>Арендная плата и заработная плата управленческого персонала обычно не зависят от текущего объёма выпуска и относятся к постоянным издержкам. Сырьё, комплектующие, упаковка и электроэнергия изменяются вместе с производством.</x:v>
      </x:c>
      <x:c r="P426" s="30" t="str">
        <x:v>Каждая позиция классифицирована по зависимости затрат от объёма выпуска.</x:v>
      </x:c>
      <x:c r="Q426" s="30"/>
      <x:c r="R426" s="30" t="str">
        <x:v>25</x:v>
      </x:c>
      <x:c r="S426" s="30"/>
      <x:c r="T426" s="30"/>
      <x:c r="U426" s="30" t="str">
        <x:v>Расхождений нет.</x:v>
      </x:c>
      <x:c r="V426" s="87" t="str">
        <x:v>VERIFIED</x:v>
      </x:c>
      <x:c r="W426" s="87" t="n">
        <x:v>2</x:v>
      </x:c>
      <x:c r="X426" s="87"/>
      <x:c r="Y426" s="87"/>
      <x:c r="Z426" s="87"/>
      <x:c r="AA426" s="87"/>
      <x:c r="AB426" s="87"/>
      <x:c r="AC426" s="87"/>
      <x:c r="AD426" s="87"/>
      <x:c r="AE426" s="87"/>
      <x:c r="AF426" s="87"/>
      <x:c r="AG426" s="87"/>
      <x:c r="AH426" s="87"/>
      <x:c r="AI426" s="30"/>
      <x:c r="AJ426" s="87" t="str">
        <x:v>master</x:v>
      </x:c>
      <x:c r="AK426" s="87" t="str">
        <x:v>master-v0.81</x:v>
      </x:c>
      <x:c r="AL426" s="87" t="str">
        <x:v>statgrad_master_base_v0_81_final(2).xlsx</x:v>
      </x:c>
      <x:c r="AM426" s="87" t="str">
        <x:v>SOC_Feb_V1</x:v>
      </x:c>
      <x:c r="AN426" s="87" t="n">
        <x:v>2</x:v>
      </x:c>
    </x:row>
    <x:row r="427">
      <x:c r="A427" s="87" t="n">
        <x:v>426</x:v>
      </x:c>
      <x:c r="B427" s="87" t="str">
        <x:v>FEB-SOC-V1-002</x:v>
      </x:c>
      <x:c r="C427" s="87" t="str">
        <x:v>СтатГрад</x:v>
      </x:c>
      <x:c r="D427" s="87" t="str">
        <x:v>Февраль 2026</x:v>
      </x:c>
      <x:c r="E427" s="87"/>
      <x:c r="F427" s="87"/>
      <x:c r="G427" s="87" t="str">
        <x:v>Обществознание</x:v>
      </x:c>
      <x:c r="H427" s="87" t="n">
        <x:v>11</x:v>
      </x:c>
      <x:c r="I427" s="87" t="str">
        <x:v>ТР №4</x:v>
      </x:c>
      <x:c r="J427" s="87" t="str">
        <x:v>ОБ2510401</x:v>
      </x:c>
      <x:c r="K427" s="87" t="n">
        <x:v>2</x:v>
      </x:c>
      <x:c r="L427" s="87" t="str">
        <x:v>Традиционные духовные ценности</x:v>
      </x:c>
      <x:c r="M427" s="30" t="str">
        <x:v>Выберите верные суждения о традиционных духовно-нравственных ценностях российского общества.</x:v>
      </x:c>
      <x:c r="N427" s="30" t="str">
        <x:v>135</x:v>
      </x:c>
      <x:c r="O427" s="30" t="str">
        <x:v>Ценности имеют самобытное выражение в истории и культуре народов России; к ним относятся милосердие, справедливость, взаимопомощь и взаимоуважение; значительную роль в их укреплении играет православие. Приобщение начинается с раннего детства, а индивидуализм и эгоизм не являются их опорой.</x:v>
      </x:c>
      <x:c r="P427" s="30" t="str">
        <x:v>Все пять суждений проверены по содержанию понятия и процессу социализации.</x:v>
      </x:c>
      <x:c r="Q427" s="30"/>
      <x:c r="R427" s="30" t="str">
        <x:v>135</x:v>
      </x:c>
      <x:c r="S427" s="30"/>
      <x:c r="T427" s="30"/>
      <x:c r="U427" s="30" t="str">
        <x:v>Расхождений нет.</x:v>
      </x:c>
      <x:c r="V427" s="87" t="str">
        <x:v>VERIFIED</x:v>
      </x:c>
      <x:c r="W427" s="87" t="n">
        <x:v>2</x:v>
      </x:c>
      <x:c r="X427" s="87"/>
      <x:c r="Y427" s="87"/>
      <x:c r="Z427" s="87"/>
      <x:c r="AA427" s="87"/>
      <x:c r="AB427" s="87"/>
      <x:c r="AC427" s="87"/>
      <x:c r="AD427" s="87"/>
      <x:c r="AE427" s="87"/>
      <x:c r="AF427" s="87"/>
      <x:c r="AG427" s="87"/>
      <x:c r="AH427" s="87"/>
      <x:c r="AI427" s="30"/>
      <x:c r="AJ427" s="87" t="str">
        <x:v>master</x:v>
      </x:c>
      <x:c r="AK427" s="87" t="str">
        <x:v>master-v0.81</x:v>
      </x:c>
      <x:c r="AL427" s="87" t="str">
        <x:v>statgrad_master_base_v0_81_final(2).xlsx</x:v>
      </x:c>
      <x:c r="AM427" s="87" t="str">
        <x:v>SOC_Feb_V1</x:v>
      </x:c>
      <x:c r="AN427" s="87" t="n">
        <x:v>3</x:v>
      </x:c>
    </x:row>
    <x:row r="428">
      <x:c r="A428" s="87" t="n">
        <x:v>427</x:v>
      </x:c>
      <x:c r="B428" s="87" t="str">
        <x:v>FEB-SOC-V1-003</x:v>
      </x:c>
      <x:c r="C428" s="87" t="str">
        <x:v>СтатГрад</x:v>
      </x:c>
      <x:c r="D428" s="87" t="str">
        <x:v>Февраль 2026</x:v>
      </x:c>
      <x:c r="E428" s="87"/>
      <x:c r="F428" s="87"/>
      <x:c r="G428" s="87" t="str">
        <x:v>Обществознание</x:v>
      </x:c>
      <x:c r="H428" s="87" t="n">
        <x:v>11</x:v>
      </x:c>
      <x:c r="I428" s="87" t="str">
        <x:v>ТР №4</x:v>
      </x:c>
      <x:c r="J428" s="87" t="str">
        <x:v>ОБ2510401</x:v>
      </x:c>
      <x:c r="K428" s="87" t="n">
        <x:v>3</x:v>
      </x:c>
      <x:c r="L428" s="87" t="str">
        <x:v>Виды научного знания</x:v>
      </x:c>
      <x:c r="M428" s="30" t="str">
        <x:v>Соотнесите характеристики естественно-научного, социального и общего для обоих видов знания.</x:v>
      </x:c>
      <x:c r="N428" s="30" t="str">
        <x:v>13132</x:v>
      </x:c>
      <x:c r="O428" s="30" t="str">
        <x:v>Закономерные связи природных явлений и экспериментальные методы характерны для естествознания. Доказательность и специальный понятийный аппарат присущи обоим видам научного знания. Зависимость от мировоззрения исследователя и интересов группы особенно характерна для социального знания.</x:v>
      </x:c>
      <x:c r="P428" s="30" t="str">
        <x:v>Каждый признак сопоставлен с объектом и методами соответствующей науки.</x:v>
      </x:c>
      <x:c r="Q428" s="30"/>
      <x:c r="R428" s="30" t="str">
        <x:v>13132</x:v>
      </x:c>
      <x:c r="S428" s="30"/>
      <x:c r="T428" s="30"/>
      <x:c r="U428" s="30" t="str">
        <x:v>Расхождений нет.</x:v>
      </x:c>
      <x:c r="V428" s="87" t="str">
        <x:v>VERIFIED</x:v>
      </x:c>
      <x:c r="W428" s="87" t="n">
        <x:v>3</x:v>
      </x:c>
      <x:c r="X428" s="87"/>
      <x:c r="Y428" s="87"/>
      <x:c r="Z428" s="87"/>
      <x:c r="AA428" s="87"/>
      <x:c r="AB428" s="87"/>
      <x:c r="AC428" s="87"/>
      <x:c r="AD428" s="87"/>
      <x:c r="AE428" s="87"/>
      <x:c r="AF428" s="87"/>
      <x:c r="AG428" s="87"/>
      <x:c r="AH428" s="87"/>
      <x:c r="AI428" s="30"/>
      <x:c r="AJ428" s="87" t="str">
        <x:v>master</x:v>
      </x:c>
      <x:c r="AK428" s="87" t="str">
        <x:v>master-v0.81</x:v>
      </x:c>
      <x:c r="AL428" s="87" t="str">
        <x:v>statgrad_master_base_v0_81_final(2).xlsx</x:v>
      </x:c>
      <x:c r="AM428" s="87" t="str">
        <x:v>SOC_Feb_V1</x:v>
      </x:c>
      <x:c r="AN428" s="87" t="n">
        <x:v>4</x:v>
      </x:c>
    </x:row>
    <x:row r="429">
      <x:c r="A429" s="87" t="n">
        <x:v>428</x:v>
      </x:c>
      <x:c r="B429" s="87" t="str">
        <x:v>FEB-SOC-V1-004</x:v>
      </x:c>
      <x:c r="C429" s="87" t="str">
        <x:v>СтатГрад</x:v>
      </x:c>
      <x:c r="D429" s="87" t="str">
        <x:v>Февраль 2026</x:v>
      </x:c>
      <x:c r="E429" s="87"/>
      <x:c r="F429" s="87"/>
      <x:c r="G429" s="87" t="str">
        <x:v>Обществознание</x:v>
      </x:c>
      <x:c r="H429" s="87" t="n">
        <x:v>11</x:v>
      </x:c>
      <x:c r="I429" s="87" t="str">
        <x:v>ТР №4</x:v>
      </x:c>
      <x:c r="J429" s="87" t="str">
        <x:v>ОБ2510401</x:v>
      </x:c>
      <x:c r="K429" s="87" t="n">
        <x:v>4</x:v>
      </x:c>
      <x:c r="L429" s="87" t="str">
        <x:v>Постиндустриальное общество</x:v>
      </x:c>
      <x:c r="M429" s="30" t="str">
        <x:v>Выберите факты, свидетельствующие о развитии страны Z как постиндустриального общества.</x:v>
      </x:c>
      <x:c r="N429" s="30" t="str">
        <x:v>345</x:v>
      </x:c>
      <x:c r="O429" s="30" t="str">
        <x:v>Преобладание сферы услуг, востребованность информационной компетентности и непрерывное образование являются признаками постиндустриального общества. Массовое использование телефонов само по себе недостаточно, а занятость половины населения в добывающей промышленности противоречит постиндустриальной структуре.</x:v>
      </x:c>
      <x:c r="P429" s="30" t="str">
        <x:v>Признаки проверены по структуре занятости, роли информации и характеру образования.</x:v>
      </x:c>
      <x:c r="Q429" s="30"/>
      <x:c r="R429" s="30" t="str">
        <x:v>345</x:v>
      </x:c>
      <x:c r="S429" s="30"/>
      <x:c r="T429" s="30"/>
      <x:c r="U429" s="30" t="str">
        <x:v>Расхождений нет.</x:v>
      </x:c>
      <x:c r="V429" s="87" t="str">
        <x:v>VERIFIED</x:v>
      </x:c>
      <x:c r="W429" s="87" t="n">
        <x:v>4</x:v>
      </x:c>
      <x:c r="X429" s="87"/>
      <x:c r="Y429" s="87"/>
      <x:c r="Z429" s="87"/>
      <x:c r="AA429" s="87"/>
      <x:c r="AB429" s="87"/>
      <x:c r="AC429" s="87"/>
      <x:c r="AD429" s="87"/>
      <x:c r="AE429" s="87"/>
      <x:c r="AF429" s="87"/>
      <x:c r="AG429" s="87"/>
      <x:c r="AH429" s="87"/>
      <x:c r="AI429" s="30"/>
      <x:c r="AJ429" s="87" t="str">
        <x:v>master</x:v>
      </x:c>
      <x:c r="AK429" s="87" t="str">
        <x:v>master-v0.81</x:v>
      </x:c>
      <x:c r="AL429" s="87" t="str">
        <x:v>statgrad_master_base_v0_81_final(2).xlsx</x:v>
      </x:c>
      <x:c r="AM429" s="87" t="str">
        <x:v>SOC_Feb_V1</x:v>
      </x:c>
      <x:c r="AN429" s="87" t="n">
        <x:v>5</x:v>
      </x:c>
    </x:row>
    <x:row r="430">
      <x:c r="A430" s="87" t="n">
        <x:v>429</x:v>
      </x:c>
      <x:c r="B430" s="87" t="str">
        <x:v>FEB-SOC-V1-005</x:v>
      </x:c>
      <x:c r="C430" s="87" t="str">
        <x:v>СтатГрад</x:v>
      </x:c>
      <x:c r="D430" s="87" t="str">
        <x:v>Февраль 2026</x:v>
      </x:c>
      <x:c r="E430" s="87"/>
      <x:c r="F430" s="87"/>
      <x:c r="G430" s="87" t="str">
        <x:v>Обществознание</x:v>
      </x:c>
      <x:c r="H430" s="87" t="n">
        <x:v>11</x:v>
      </x:c>
      <x:c r="I430" s="87" t="str">
        <x:v>ТР №4</x:v>
      </x:c>
      <x:c r="J430" s="87" t="str">
        <x:v>ОБ2510401</x:v>
      </x:c>
      <x:c r="K430" s="87" t="n">
        <x:v>5</x:v>
      </x:c>
      <x:c r="L430" s="87" t="str">
        <x:v>Ценные бумаги</x:v>
      </x:c>
      <x:c r="M430" s="30" t="str">
        <x:v>Выберите верные суждения о ценных бумагах.</x:v>
      </x:c>
      <x:c r="N430" s="30" t="str">
        <x:v>145</x:v>
      </x:c>
      <x:c r="O430" s="30" t="str">
        <x:v>Акция является долевой ценной бумагой, её владелец может получать часть прибыли общества. Облигацию можно перепродать и получить доход от разницы цен. Вексель не является банковским вкладом, а выпуск ценных бумаг доступен не только государству.</x:v>
      </x:c>
      <x:c r="P430" s="30" t="str">
        <x:v>Суждения проверены по правам владельцев акций, облигаций и содержанию векселя.</x:v>
      </x:c>
      <x:c r="Q430" s="30"/>
      <x:c r="R430" s="30" t="str">
        <x:v>145</x:v>
      </x:c>
      <x:c r="S430" s="30"/>
      <x:c r="T430" s="30"/>
      <x:c r="U430" s="30" t="str">
        <x:v>Расхождений нет.</x:v>
      </x:c>
      <x:c r="V430" s="87" t="str">
        <x:v>VERIFIED</x:v>
      </x:c>
      <x:c r="W430" s="87" t="n">
        <x:v>4</x:v>
      </x:c>
      <x:c r="X430" s="87"/>
      <x:c r="Y430" s="87"/>
      <x:c r="Z430" s="87"/>
      <x:c r="AA430" s="87"/>
      <x:c r="AB430" s="87"/>
      <x:c r="AC430" s="87"/>
      <x:c r="AD430" s="87"/>
      <x:c r="AE430" s="87"/>
      <x:c r="AF430" s="87"/>
      <x:c r="AG430" s="87"/>
      <x:c r="AH430" s="87"/>
      <x:c r="AI430" s="30"/>
      <x:c r="AJ430" s="87" t="str">
        <x:v>master</x:v>
      </x:c>
      <x:c r="AK430" s="87" t="str">
        <x:v>master-v0.81</x:v>
      </x:c>
      <x:c r="AL430" s="87" t="str">
        <x:v>statgrad_master_base_v0_81_final(2).xlsx</x:v>
      </x:c>
      <x:c r="AM430" s="87" t="str">
        <x:v>SOC_Feb_V1</x:v>
      </x:c>
      <x:c r="AN430" s="87" t="n">
        <x:v>6</x:v>
      </x:c>
    </x:row>
    <x:row r="431">
      <x:c r="A431" s="87" t="n">
        <x:v>430</x:v>
      </x:c>
      <x:c r="B431" s="87" t="str">
        <x:v>FEB-SOC-V1-006</x:v>
      </x:c>
      <x:c r="C431" s="87" t="str">
        <x:v>СтатГрад</x:v>
      </x:c>
      <x:c r="D431" s="87" t="str">
        <x:v>Февраль 2026</x:v>
      </x:c>
      <x:c r="E431" s="87"/>
      <x:c r="F431" s="87"/>
      <x:c r="G431" s="87" t="str">
        <x:v>Обществознание</x:v>
      </x:c>
      <x:c r="H431" s="87" t="n">
        <x:v>11</x:v>
      </x:c>
      <x:c r="I431" s="87" t="str">
        <x:v>ТР №4</x:v>
      </x:c>
      <x:c r="J431" s="87" t="str">
        <x:v>ОБ2510401</x:v>
      </x:c>
      <x:c r="K431" s="87" t="n">
        <x:v>6</x:v>
      </x:c>
      <x:c r="L431" s="87" t="str">
        <x:v>Уровни налогов</x:v>
      </x:c>
      <x:c r="M431" s="30" t="str">
        <x:v>Соотнесите водный, земельный, транспортный налоги, налог на имущество организаций и НДС с местными, региональными и федеральными налогами.</x:v>
      </x:c>
      <x:c r="N431" s="30" t="str">
        <x:v>31223</x:v>
      </x:c>
      <x:c r="O431" s="30" t="str">
        <x:v>Водный налог и НДС относятся к федеральным; земельный налог — к местным; транспортный налог и налог на имущество организаций — к региональным.</x:v>
      </x:c>
      <x:c r="P431" s="30" t="str">
        <x:v>Классификация сверена по трём уровням налоговой системы Российской Федерации.</x:v>
      </x:c>
      <x:c r="Q431" s="30"/>
      <x:c r="R431" s="30" t="str">
        <x:v>31223</x:v>
      </x:c>
      <x:c r="S431" s="30"/>
      <x:c r="T431" s="30"/>
      <x:c r="U431" s="30" t="str">
        <x:v>Расхождений нет.</x:v>
      </x:c>
      <x:c r="V431" s="87" t="str">
        <x:v>VERIFIED</x:v>
      </x:c>
      <x:c r="W431" s="87" t="n">
        <x:v>5</x:v>
      </x:c>
      <x:c r="X431" s="87"/>
      <x:c r="Y431" s="87"/>
      <x:c r="Z431" s="87"/>
      <x:c r="AA431" s="87"/>
      <x:c r="AB431" s="87"/>
      <x:c r="AC431" s="87"/>
      <x:c r="AD431" s="87"/>
      <x:c r="AE431" s="87"/>
      <x:c r="AF431" s="87"/>
      <x:c r="AG431" s="87"/>
      <x:c r="AH431" s="87"/>
      <x:c r="AI431" s="30"/>
      <x:c r="AJ431" s="87" t="str">
        <x:v>master</x:v>
      </x:c>
      <x:c r="AK431" s="87" t="str">
        <x:v>master-v0.81</x:v>
      </x:c>
      <x:c r="AL431" s="87" t="str">
        <x:v>statgrad_master_base_v0_81_final(2).xlsx</x:v>
      </x:c>
      <x:c r="AM431" s="87" t="str">
        <x:v>SOC_Feb_V1</x:v>
      </x:c>
      <x:c r="AN431" s="87" t="n">
        <x:v>7</x:v>
      </x:c>
    </x:row>
    <x:row r="432">
      <x:c r="A432" s="87" t="n">
        <x:v>431</x:v>
      </x:c>
      <x:c r="B432" s="87" t="str">
        <x:v>FEB-SOC-V1-007</x:v>
      </x:c>
      <x:c r="C432" s="87" t="str">
        <x:v>СтатГрад</x:v>
      </x:c>
      <x:c r="D432" s="87" t="str">
        <x:v>Февраль 2026</x:v>
      </x:c>
      <x:c r="E432" s="87"/>
      <x:c r="F432" s="87"/>
      <x:c r="G432" s="87" t="str">
        <x:v>Обществознание</x:v>
      </x:c>
      <x:c r="H432" s="87" t="n">
        <x:v>11</x:v>
      </x:c>
      <x:c r="I432" s="87" t="str">
        <x:v>ТР №4</x:v>
      </x:c>
      <x:c r="J432" s="87" t="str">
        <x:v>ОБ2510401</x:v>
      </x:c>
      <x:c r="K432" s="87" t="n">
        <x:v>7</x:v>
      </x:c>
      <x:c r="L432" s="87" t="str">
        <x:v>Интенсивный экономический рост</x:v>
      </x:c>
      <x:c r="M432" s="30" t="str">
        <x:v>Выберите факторы интенсивного экономического роста.</x:v>
      </x:c>
      <x:c r="N432" s="30" t="str">
        <x:v>56</x:v>
      </x:c>
      <x:c r="O432" s="30" t="str">
        <x:v>Устранение потерь ресурсов повышает эффективность их использования, а рост квалификации работников увеличивает производительность. Остальные варианты описывают количественное расширение ресурсов и производства, то есть экстенсивный рост.</x:v>
      </x:c>
      <x:c r="P432" s="30" t="str">
        <x:v>Факторы разделены на повышение эффективности и простое увеличение объёма ресурсов.</x:v>
      </x:c>
      <x:c r="Q432" s="30"/>
      <x:c r="R432" s="30" t="str">
        <x:v>56</x:v>
      </x:c>
      <x:c r="S432" s="30"/>
      <x:c r="T432" s="30"/>
      <x:c r="U432" s="30" t="str">
        <x:v>Расхождений нет.</x:v>
      </x:c>
      <x:c r="V432" s="87" t="str">
        <x:v>VERIFIED</x:v>
      </x:c>
      <x:c r="W432" s="87" t="n">
        <x:v>5</x:v>
      </x:c>
      <x:c r="X432" s="87"/>
      <x:c r="Y432" s="87"/>
      <x:c r="Z432" s="87"/>
      <x:c r="AA432" s="87"/>
      <x:c r="AB432" s="87"/>
      <x:c r="AC432" s="87"/>
      <x:c r="AD432" s="87"/>
      <x:c r="AE432" s="87"/>
      <x:c r="AF432" s="87"/>
      <x:c r="AG432" s="87"/>
      <x:c r="AH432" s="87"/>
      <x:c r="AI432" s="30"/>
      <x:c r="AJ432" s="87" t="str">
        <x:v>master</x:v>
      </x:c>
      <x:c r="AK432" s="87" t="str">
        <x:v>master-v0.81</x:v>
      </x:c>
      <x:c r="AL432" s="87" t="str">
        <x:v>statgrad_master_base_v0_81_final(2).xlsx</x:v>
      </x:c>
      <x:c r="AM432" s="87" t="str">
        <x:v>SOC_Feb_V1</x:v>
      </x:c>
      <x:c r="AN432" s="87" t="n">
        <x:v>8</x:v>
      </x:c>
    </x:row>
    <x:row r="433">
      <x:c r="A433" s="87" t="n">
        <x:v>432</x:v>
      </x:c>
      <x:c r="B433" s="87" t="str">
        <x:v>FEB-SOC-V1-008</x:v>
      </x:c>
      <x:c r="C433" s="87" t="str">
        <x:v>СтатГрад</x:v>
      </x:c>
      <x:c r="D433" s="87" t="str">
        <x:v>Февраль 2026</x:v>
      </x:c>
      <x:c r="E433" s="87"/>
      <x:c r="F433" s="87"/>
      <x:c r="G433" s="87" t="str">
        <x:v>Обществознание</x:v>
      </x:c>
      <x:c r="H433" s="87" t="n">
        <x:v>11</x:v>
      </x:c>
      <x:c r="I433" s="87" t="str">
        <x:v>ТР №4</x:v>
      </x:c>
      <x:c r="J433" s="87" t="str">
        <x:v>ОБ2510401</x:v>
      </x:c>
      <x:c r="K433" s="87" t="n">
        <x:v>8</x:v>
      </x:c>
      <x:c r="L433" s="87" t="str">
        <x:v>Социальный контроль</x:v>
      </x:c>
      <x:c r="M433" s="30" t="str">
        <x:v>Выберите верные суждения о социальном контроле.</x:v>
      </x:c>
      <x:c r="N433" s="30" t="str">
        <x:v>234</x:v>
      </x:c>
      <x:c r="O433" s="30" t="str">
        <x:v>Социальный контроль участвует в социализации, регулирует отношения и поддерживает общественный порядок; различают внешний и внутренний контроль. Он опирается не только на право, но и на мораль, обычаи и другие нормы, а также может осуществляться стихийно.</x:v>
      </x:c>
      <x:c r="P433" s="30" t="str">
        <x:v>Каждое суждение проверено по элементам, функциям и формам социального контроля.</x:v>
      </x:c>
      <x:c r="Q433" s="30"/>
      <x:c r="R433" s="30" t="str">
        <x:v>234</x:v>
      </x:c>
      <x:c r="S433" s="30"/>
      <x:c r="T433" s="30"/>
      <x:c r="U433" s="30" t="str">
        <x:v>Расхождений нет.</x:v>
      </x:c>
      <x:c r="V433" s="87" t="str">
        <x:v>VERIFIED</x:v>
      </x:c>
      <x:c r="W433" s="87" t="n">
        <x:v>6</x:v>
      </x:c>
      <x:c r="X433" s="87"/>
      <x:c r="Y433" s="87"/>
      <x:c r="Z433" s="87"/>
      <x:c r="AA433" s="87"/>
      <x:c r="AB433" s="87"/>
      <x:c r="AC433" s="87"/>
      <x:c r="AD433" s="87"/>
      <x:c r="AE433" s="87"/>
      <x:c r="AF433" s="87"/>
      <x:c r="AG433" s="87"/>
      <x:c r="AH433" s="87"/>
      <x:c r="AI433" s="30"/>
      <x:c r="AJ433" s="87" t="str">
        <x:v>master</x:v>
      </x:c>
      <x:c r="AK433" s="87" t="str">
        <x:v>master-v0.81</x:v>
      </x:c>
      <x:c r="AL433" s="87" t="str">
        <x:v>statgrad_master_base_v0_81_final(2).xlsx</x:v>
      </x:c>
      <x:c r="AM433" s="87" t="str">
        <x:v>SOC_Feb_V1</x:v>
      </x:c>
      <x:c r="AN433" s="87" t="n">
        <x:v>9</x:v>
      </x:c>
    </x:row>
    <x:row r="434">
      <x:c r="A434" s="87" t="n">
        <x:v>433</x:v>
      </x:c>
      <x:c r="B434" s="87" t="str">
        <x:v>FEB-SOC-V1-009</x:v>
      </x:c>
      <x:c r="C434" s="87" t="str">
        <x:v>СтатГрад</x:v>
      </x:c>
      <x:c r="D434" s="87" t="str">
        <x:v>Февраль 2026</x:v>
      </x:c>
      <x:c r="E434" s="87"/>
      <x:c r="F434" s="87"/>
      <x:c r="G434" s="87" t="str">
        <x:v>Обществознание</x:v>
      </x:c>
      <x:c r="H434" s="87" t="n">
        <x:v>11</x:v>
      </x:c>
      <x:c r="I434" s="87" t="str">
        <x:v>ТР №4</x:v>
      </x:c>
      <x:c r="J434" s="87" t="str">
        <x:v>ОБ2510401</x:v>
      </x:c>
      <x:c r="K434" s="87" t="n">
        <x:v>9</x:v>
      </x:c>
      <x:c r="L434" s="87" t="str">
        <x:v>Анализ диаграммы</x:v>
      </x:c>
      <x:c r="M434" s="30" t="str">
        <x:v>По результатам опроса о частоте повышения квалификации выберите выводы, которые можно сделать на основе диаграммы.</x:v>
      </x:c>
      <x:c r="N434" s="30" t="str">
        <x:v>235</x:v>
      </x:c>
      <x:c r="O434" s="30" t="str">
        <x:v>В группах 45–59 лет и 60 лет и старше одинаковая доля не видит необходимости повышать квалификацию. Среди выбравших вариант «раз в пять лет» наибольшая доля приходится на старшую группу. В группе 18–24 лет вариант «ежегодно» выбрали менее половины респондентов.</x:v>
      </x:c>
      <x:c r="P434" s="30" t="str">
        <x:v>Каждый вывод сопоставлен с длинами столбцов по трём возрастным группам.</x:v>
      </x:c>
      <x:c r="Q434" s="30"/>
      <x:c r="R434" s="30" t="str">
        <x:v>235</x:v>
      </x:c>
      <x:c r="S434" s="30"/>
      <x:c r="T434" s="30"/>
      <x:c r="U434" s="30" t="str">
        <x:v>Расхождений нет.</x:v>
      </x:c>
      <x:c r="V434" s="87" t="str">
        <x:v>VERIFIED</x:v>
      </x:c>
      <x:c r="W434" s="87" t="str">
        <x:v>6–7</x:v>
      </x:c>
      <x:c r="X434" s="87"/>
      <x:c r="Y434" s="87"/>
      <x:c r="Z434" s="87"/>
      <x:c r="AA434" s="87"/>
      <x:c r="AB434" s="87"/>
      <x:c r="AC434" s="87"/>
      <x:c r="AD434" s="87"/>
      <x:c r="AE434" s="87"/>
      <x:c r="AF434" s="87"/>
      <x:c r="AG434" s="87"/>
      <x:c r="AH434" s="87"/>
      <x:c r="AI434" s="30"/>
      <x:c r="AJ434" s="87" t="str">
        <x:v>master</x:v>
      </x:c>
      <x:c r="AK434" s="87" t="str">
        <x:v>master-v0.81</x:v>
      </x:c>
      <x:c r="AL434" s="87" t="str">
        <x:v>statgrad_master_base_v0_81_final(2).xlsx</x:v>
      </x:c>
      <x:c r="AM434" s="87" t="str">
        <x:v>SOC_Feb_V1</x:v>
      </x:c>
      <x:c r="AN434" s="87" t="n">
        <x:v>10</x:v>
      </x:c>
    </x:row>
    <x:row r="435">
      <x:c r="A435" s="87" t="n">
        <x:v>434</x:v>
      </x:c>
      <x:c r="B435" s="87" t="str">
        <x:v>FEB-SOC-V1-010</x:v>
      </x:c>
      <x:c r="C435" s="87" t="str">
        <x:v>СтатГрад</x:v>
      </x:c>
      <x:c r="D435" s="87" t="str">
        <x:v>Февраль 2026</x:v>
      </x:c>
      <x:c r="E435" s="87"/>
      <x:c r="F435" s="87"/>
      <x:c r="G435" s="87" t="str">
        <x:v>Обществознание</x:v>
      </x:c>
      <x:c r="H435" s="87" t="n">
        <x:v>11</x:v>
      </x:c>
      <x:c r="I435" s="87" t="str">
        <x:v>ТР №4</x:v>
      </x:c>
      <x:c r="J435" s="87" t="str">
        <x:v>ОБ2510401</x:v>
      </x:c>
      <x:c r="K435" s="87" t="n">
        <x:v>10</x:v>
      </x:c>
      <x:c r="L435" s="87" t="str">
        <x:v>Форма государства</x:v>
      </x:c>
      <x:c r="M435" s="30" t="str">
        <x:v>Выберите верные суждения о форме государства.</x:v>
      </x:c>
      <x:c r="N435" s="30" t="str">
        <x:v>45</x:v>
      </x:c>
      <x:c r="O435" s="30" t="str">
        <x:v>Форма правления характеризует способ формирования и организацию высших органов власти. Выдвижение единственной партии на роль ведущей политической силы характерно для тоталитарного режима. Монархия и республика не являются видами территориального устройства.</x:v>
      </x:c>
      <x:c r="P435" s="30" t="str">
        <x:v>Все понятия разведены по элементам формы государства: правление, устройство и режим.</x:v>
      </x:c>
      <x:c r="Q435" s="30"/>
      <x:c r="R435" s="30" t="str">
        <x:v>45</x:v>
      </x:c>
      <x:c r="S435" s="30"/>
      <x:c r="T435" s="30"/>
      <x:c r="U435" s="30" t="str">
        <x:v>Расхождений нет.</x:v>
      </x:c>
      <x:c r="V435" s="87" t="str">
        <x:v>VERIFIED</x:v>
      </x:c>
      <x:c r="W435" s="87" t="n">
        <x:v>7</x:v>
      </x:c>
      <x:c r="X435" s="87"/>
      <x:c r="Y435" s="87"/>
      <x:c r="Z435" s="87"/>
      <x:c r="AA435" s="87"/>
      <x:c r="AB435" s="87"/>
      <x:c r="AC435" s="87"/>
      <x:c r="AD435" s="87"/>
      <x:c r="AE435" s="87"/>
      <x:c r="AF435" s="87"/>
      <x:c r="AG435" s="87"/>
      <x:c r="AH435" s="87"/>
      <x:c r="AI435" s="30"/>
      <x:c r="AJ435" s="87" t="str">
        <x:v>master</x:v>
      </x:c>
      <x:c r="AK435" s="87" t="str">
        <x:v>master-v0.81</x:v>
      </x:c>
      <x:c r="AL435" s="87" t="str">
        <x:v>statgrad_master_base_v0_81_final(2).xlsx</x:v>
      </x:c>
      <x:c r="AM435" s="87" t="str">
        <x:v>SOC_Feb_V1</x:v>
      </x:c>
      <x:c r="AN435" s="87" t="n">
        <x:v>11</x:v>
      </x:c>
    </x:row>
    <x:row r="436">
      <x:c r="A436" s="87" t="n">
        <x:v>435</x:v>
      </x:c>
      <x:c r="B436" s="87" t="str">
        <x:v>FEB-SOC-V1-011</x:v>
      </x:c>
      <x:c r="C436" s="87" t="str">
        <x:v>СтатГрад</x:v>
      </x:c>
      <x:c r="D436" s="87" t="str">
        <x:v>Февраль 2026</x:v>
      </x:c>
      <x:c r="E436" s="87"/>
      <x:c r="F436" s="87"/>
      <x:c r="G436" s="87" t="str">
        <x:v>Обществознание</x:v>
      </x:c>
      <x:c r="H436" s="87" t="n">
        <x:v>11</x:v>
      </x:c>
      <x:c r="I436" s="87" t="str">
        <x:v>ТР №4</x:v>
      </x:c>
      <x:c r="J436" s="87" t="str">
        <x:v>ОБ2510401</x:v>
      </x:c>
      <x:c r="K436" s="87" t="n">
        <x:v>11</x:v>
      </x:c>
      <x:c r="L436" s="87" t="str">
        <x:v>Пропорциональная избирательная система</x:v>
      </x:c>
      <x:c r="M436" s="30" t="str">
        <x:v>Выберите факты, подтверждающие действие пропорциональной избирательной системы.</x:v>
      </x:c>
      <x:c r="N436" s="30" t="str">
        <x:v>256</x:v>
      </x:c>
      <x:c r="O436" s="30" t="str">
        <x:v>При пропорциональной системе избиратели голосуют за партийные списки, места распределяются в соответствии с долей голосов, а для допуска партий может устанавливаться заградительный барьер. Всеобщее и добровольное участие не отличают эту систему от других.</x:v>
      </x:c>
      <x:c r="P436" s="30" t="str">
        <x:v>Признаки проверены по способу голосования и распределения мандатов.</x:v>
      </x:c>
      <x:c r="Q436" s="30"/>
      <x:c r="R436" s="30" t="str">
        <x:v>256</x:v>
      </x:c>
      <x:c r="S436" s="30"/>
      <x:c r="T436" s="30"/>
      <x:c r="U436" s="30" t="str">
        <x:v>Расхождений нет.</x:v>
      </x:c>
      <x:c r="V436" s="87" t="str">
        <x:v>VERIFIED</x:v>
      </x:c>
      <x:c r="W436" s="87" t="n">
        <x:v>8</x:v>
      </x:c>
      <x:c r="X436" s="87"/>
      <x:c r="Y436" s="87"/>
      <x:c r="Z436" s="87"/>
      <x:c r="AA436" s="87"/>
      <x:c r="AB436" s="87"/>
      <x:c r="AC436" s="87"/>
      <x:c r="AD436" s="87"/>
      <x:c r="AE436" s="87"/>
      <x:c r="AF436" s="87"/>
      <x:c r="AG436" s="87"/>
      <x:c r="AH436" s="87"/>
      <x:c r="AI436" s="30"/>
      <x:c r="AJ436" s="87" t="str">
        <x:v>master</x:v>
      </x:c>
      <x:c r="AK436" s="87" t="str">
        <x:v>master-v0.81</x:v>
      </x:c>
      <x:c r="AL436" s="87" t="str">
        <x:v>statgrad_master_base_v0_81_final(2).xlsx</x:v>
      </x:c>
      <x:c r="AM436" s="87" t="str">
        <x:v>SOC_Feb_V1</x:v>
      </x:c>
      <x:c r="AN436" s="87" t="n">
        <x:v>12</x:v>
      </x:c>
    </x:row>
    <x:row r="437">
      <x:c r="A437" s="87" t="n">
        <x:v>436</x:v>
      </x:c>
      <x:c r="B437" s="87" t="str">
        <x:v>FEB-SOC-V1-012</x:v>
      </x:c>
      <x:c r="C437" s="87" t="str">
        <x:v>СтатГрад</x:v>
      </x:c>
      <x:c r="D437" s="87" t="str">
        <x:v>Февраль 2026</x:v>
      </x:c>
      <x:c r="E437" s="87"/>
      <x:c r="F437" s="87"/>
      <x:c r="G437" s="87" t="str">
        <x:v>Обществознание</x:v>
      </x:c>
      <x:c r="H437" s="87" t="n">
        <x:v>11</x:v>
      </x:c>
      <x:c r="I437" s="87" t="str">
        <x:v>ТР №4</x:v>
      </x:c>
      <x:c r="J437" s="87" t="str">
        <x:v>ОБ2510401</x:v>
      </x:c>
      <x:c r="K437" s="87" t="n">
        <x:v>12</x:v>
      </x:c>
      <x:c r="L437" s="87" t="str">
        <x:v>Основы конституционного строя</x:v>
      </x:c>
      <x:c r="M437" s="30" t="str">
        <x:v>Выберите положения, характеризующие основы конституционного строя Российской Федерации.</x:v>
      </x:c>
      <x:c r="N437" s="30" t="str">
        <x:v>15</x:v>
      </x:c>
      <x:c r="O437" s="30" t="str">
        <x:v>Во взаимоотношениях с федеральными органами все субъекты Федерации равноправны; гражданство приобретается и прекращается в соответствии с федеральным законом. Остальные положения относятся к судопроизводству, отдельным правам человека либо содержат неверный возрастной ценз.</x:v>
      </x:c>
      <x:c r="P437" s="30" t="str">
        <x:v>Пункты сопоставлены с первой главой Конституции и иными конституционными институтами.</x:v>
      </x:c>
      <x:c r="Q437" s="30"/>
      <x:c r="R437" s="30" t="str">
        <x:v>15</x:v>
      </x:c>
      <x:c r="S437" s="30"/>
      <x:c r="T437" s="30"/>
      <x:c r="U437" s="30" t="str">
        <x:v>Расхождений нет.</x:v>
      </x:c>
      <x:c r="V437" s="87" t="str">
        <x:v>VERIFIED</x:v>
      </x:c>
      <x:c r="W437" s="87" t="n">
        <x:v>8</x:v>
      </x:c>
      <x:c r="X437" s="87"/>
      <x:c r="Y437" s="87"/>
      <x:c r="Z437" s="87"/>
      <x:c r="AA437" s="87"/>
      <x:c r="AB437" s="87"/>
      <x:c r="AC437" s="87"/>
      <x:c r="AD437" s="87"/>
      <x:c r="AE437" s="87"/>
      <x:c r="AF437" s="87"/>
      <x:c r="AG437" s="87"/>
      <x:c r="AH437" s="87"/>
      <x:c r="AI437" s="30"/>
      <x:c r="AJ437" s="87" t="str">
        <x:v>master</x:v>
      </x:c>
      <x:c r="AK437" s="87" t="str">
        <x:v>master-v0.81</x:v>
      </x:c>
      <x:c r="AL437" s="87" t="str">
        <x:v>statgrad_master_base_v0_81_final(2).xlsx</x:v>
      </x:c>
      <x:c r="AM437" s="87" t="str">
        <x:v>SOC_Feb_V1</x:v>
      </x:c>
      <x:c r="AN437" s="87" t="n">
        <x:v>13</x:v>
      </x:c>
    </x:row>
    <x:row r="438">
      <x:c r="A438" s="87" t="n">
        <x:v>437</x:v>
      </x:c>
      <x:c r="B438" s="87" t="str">
        <x:v>FEB-SOC-V1-013</x:v>
      </x:c>
      <x:c r="C438" s="87" t="str">
        <x:v>СтатГрад</x:v>
      </x:c>
      <x:c r="D438" s="87" t="str">
        <x:v>Февраль 2026</x:v>
      </x:c>
      <x:c r="E438" s="87"/>
      <x:c r="F438" s="87"/>
      <x:c r="G438" s="87" t="str">
        <x:v>Обществознание</x:v>
      </x:c>
      <x:c r="H438" s="87" t="n">
        <x:v>11</x:v>
      </x:c>
      <x:c r="I438" s="87" t="str">
        <x:v>ТР №4</x:v>
      </x:c>
      <x:c r="J438" s="87" t="str">
        <x:v>ОБ2510401</x:v>
      </x:c>
      <x:c r="K438" s="87" t="n">
        <x:v>13</x:v>
      </x:c>
      <x:c r="L438" s="87" t="str">
        <x:v>Полномочия органов государственной власти</x:v>
      </x:c>
      <x:c r="M438" s="30" t="str">
        <x:v>Соотнесите полномочия с Правительством РФ, Конституционным Судом РФ и Верховным Судом РФ.</x:v>
      </x:c>
      <x:c r="N438" s="30" t="str">
        <x:v>21311</x:v>
      </x:c>
      <x:c r="O438" s="30" t="str">
        <x:v>Споры о компетенции федеральных органов разрешает Конституционный Суд. Судебный надзор за судами общей юрисдикции осуществляет Верховный Суд. Борьба с преступностью, обеспечение законности и прав граждан, а также единая финансовая, кредитная и денежная политика относятся к деятельности Правительства.</x:v>
      </x:c>
      <x:c r="P438" s="30" t="str">
        <x:v>Полномочия распределены по конституционным функциям трёх органов.</x:v>
      </x:c>
      <x:c r="Q438" s="30"/>
      <x:c r="R438" s="30" t="str">
        <x:v>21311</x:v>
      </x:c>
      <x:c r="S438" s="30"/>
      <x:c r="T438" s="30"/>
      <x:c r="U438" s="30" t="str">
        <x:v>Расхождений нет.</x:v>
      </x:c>
      <x:c r="V438" s="87" t="str">
        <x:v>VERIFIED</x:v>
      </x:c>
      <x:c r="W438" s="87" t="n">
        <x:v>9</x:v>
      </x:c>
      <x:c r="X438" s="87"/>
      <x:c r="Y438" s="87"/>
      <x:c r="Z438" s="87"/>
      <x:c r="AA438" s="87"/>
      <x:c r="AB438" s="87"/>
      <x:c r="AC438" s="87"/>
      <x:c r="AD438" s="87"/>
      <x:c r="AE438" s="87"/>
      <x:c r="AF438" s="87"/>
      <x:c r="AG438" s="87"/>
      <x:c r="AH438" s="87"/>
      <x:c r="AI438" s="30"/>
      <x:c r="AJ438" s="87" t="str">
        <x:v>master</x:v>
      </x:c>
      <x:c r="AK438" s="87" t="str">
        <x:v>master-v0.81</x:v>
      </x:c>
      <x:c r="AL438" s="87" t="str">
        <x:v>statgrad_master_base_v0_81_final(2).xlsx</x:v>
      </x:c>
      <x:c r="AM438" s="87" t="str">
        <x:v>SOC_Feb_V1</x:v>
      </x:c>
      <x:c r="AN438" s="87" t="n">
        <x:v>14</x:v>
      </x:c>
    </x:row>
    <x:row r="439">
      <x:c r="A439" s="87" t="n">
        <x:v>438</x:v>
      </x:c>
      <x:c r="B439" s="87" t="str">
        <x:v>FEB-SOC-V1-014</x:v>
      </x:c>
      <x:c r="C439" s="87" t="str">
        <x:v>СтатГрад</x:v>
      </x:c>
      <x:c r="D439" s="87" t="str">
        <x:v>Февраль 2026</x:v>
      </x:c>
      <x:c r="E439" s="87"/>
      <x:c r="F439" s="87"/>
      <x:c r="G439" s="87" t="str">
        <x:v>Обществознание</x:v>
      </x:c>
      <x:c r="H439" s="87" t="n">
        <x:v>11</x:v>
      </x:c>
      <x:c r="I439" s="87" t="str">
        <x:v>ТР №4</x:v>
      </x:c>
      <x:c r="J439" s="87" t="str">
        <x:v>ОБ2510401</x:v>
      </x:c>
      <x:c r="K439" s="87" t="n">
        <x:v>14</x:v>
      </x:c>
      <x:c r="L439" s="87" t="str">
        <x:v>Право и его функции</x:v>
      </x:c>
      <x:c r="M439" s="30" t="str">
        <x:v>Выберите верные суждения о праве и его функциях.</x:v>
      </x:c>
      <x:c r="N439" s="30" t="str">
        <x:v>124</x:v>
      </x:c>
      <x:c r="O439" s="30" t="str">
        <x:v>Право является социальным регулятором и позволяет оценивать поступки как правомерные или противоправные; оно поддерживает стабильность и порядок и оказывает воспитательное воздействие. Защита общественных отношений относится к охранительной, а не регулятивной функции.</x:v>
      </x:c>
      <x:c r="P439" s="30" t="str">
        <x:v>Содержание регулятивной, охранительной и воспитательной функций проверено отдельно.</x:v>
      </x:c>
      <x:c r="Q439" s="30"/>
      <x:c r="R439" s="30" t="str">
        <x:v>124</x:v>
      </x:c>
      <x:c r="S439" s="30"/>
      <x:c r="T439" s="30"/>
      <x:c r="U439" s="30" t="str">
        <x:v>Расхождений нет.</x:v>
      </x:c>
      <x:c r="V439" s="87" t="str">
        <x:v>VERIFIED</x:v>
      </x:c>
      <x:c r="W439" s="87" t="n">
        <x:v>10</x:v>
      </x:c>
      <x:c r="X439" s="87"/>
      <x:c r="Y439" s="87"/>
      <x:c r="Z439" s="87"/>
      <x:c r="AA439" s="87"/>
      <x:c r="AB439" s="87"/>
      <x:c r="AC439" s="87"/>
      <x:c r="AD439" s="87"/>
      <x:c r="AE439" s="87"/>
      <x:c r="AF439" s="87"/>
      <x:c r="AG439" s="87"/>
      <x:c r="AH439" s="87"/>
      <x:c r="AI439" s="30"/>
      <x:c r="AJ439" s="87" t="str">
        <x:v>master</x:v>
      </x:c>
      <x:c r="AK439" s="87" t="str">
        <x:v>master-v0.81</x:v>
      </x:c>
      <x:c r="AL439" s="87" t="str">
        <x:v>statgrad_master_base_v0_81_final(2).xlsx</x:v>
      </x:c>
      <x:c r="AM439" s="87" t="str">
        <x:v>SOC_Feb_V1</x:v>
      </x:c>
      <x:c r="AN439" s="87" t="n">
        <x:v>15</x:v>
      </x:c>
    </x:row>
    <x:row r="440">
      <x:c r="A440" s="87" t="n">
        <x:v>439</x:v>
      </x:c>
      <x:c r="B440" s="87" t="str">
        <x:v>FEB-SOC-V1-015</x:v>
      </x:c>
      <x:c r="C440" s="87" t="str">
        <x:v>СтатГрад</x:v>
      </x:c>
      <x:c r="D440" s="87" t="str">
        <x:v>Февраль 2026</x:v>
      </x:c>
      <x:c r="E440" s="87"/>
      <x:c r="F440" s="87"/>
      <x:c r="G440" s="87" t="str">
        <x:v>Обществознание</x:v>
      </x:c>
      <x:c r="H440" s="87" t="n">
        <x:v>11</x:v>
      </x:c>
      <x:c r="I440" s="87" t="str">
        <x:v>ТР №4</x:v>
      </x:c>
      <x:c r="J440" s="87" t="str">
        <x:v>ОБ2510401</x:v>
      </x:c>
      <x:c r="K440" s="87" t="n">
        <x:v>15</x:v>
      </x:c>
      <x:c r="L440" s="87" t="str">
        <x:v>Принципы уголовной ответственности</x:v>
      </x:c>
      <x:c r="M440" s="30" t="str">
        <x:v>Соотнесите характеристики с принципами справедливости и гуманизма.</x:v>
      </x:c>
      <x:c r="N440" s="30" t="str">
        <x:v>12122</x:v>
      </x:c>
      <x:c r="O440" s="30" t="str">
        <x:v>Запрет повторной уголовной ответственности и соответствие наказания опасности деяния выражают справедливость. Запрет унижения достоинства и причинения физических страданий, а также направленность уголовного закона на безопасность человека выражают гуманизм.</x:v>
      </x:c>
      <x:c r="P440" s="30" t="str">
        <x:v>Каждый признак сопоставлен с содержанием двух принципов.</x:v>
      </x:c>
      <x:c r="Q440" s="30"/>
      <x:c r="R440" s="30" t="str">
        <x:v>12122</x:v>
      </x:c>
      <x:c r="S440" s="30"/>
      <x:c r="T440" s="30"/>
      <x:c r="U440" s="30" t="str">
        <x:v>Расхождений нет.</x:v>
      </x:c>
      <x:c r="V440" s="87" t="str">
        <x:v>VERIFIED</x:v>
      </x:c>
      <x:c r="W440" s="87" t="n">
        <x:v>10</x:v>
      </x:c>
      <x:c r="X440" s="87"/>
      <x:c r="Y440" s="87"/>
      <x:c r="Z440" s="87"/>
      <x:c r="AA440" s="87"/>
      <x:c r="AB440" s="87"/>
      <x:c r="AC440" s="87"/>
      <x:c r="AD440" s="87"/>
      <x:c r="AE440" s="87"/>
      <x:c r="AF440" s="87"/>
      <x:c r="AG440" s="87"/>
      <x:c r="AH440" s="87"/>
      <x:c r="AI440" s="30"/>
      <x:c r="AJ440" s="87" t="str">
        <x:v>master</x:v>
      </x:c>
      <x:c r="AK440" s="87" t="str">
        <x:v>master-v0.81</x:v>
      </x:c>
      <x:c r="AL440" s="87" t="str">
        <x:v>statgrad_master_base_v0_81_final(2).xlsx</x:v>
      </x:c>
      <x:c r="AM440" s="87" t="str">
        <x:v>SOC_Feb_V1</x:v>
      </x:c>
      <x:c r="AN440" s="87" t="n">
        <x:v>16</x:v>
      </x:c>
    </x:row>
    <x:row r="441">
      <x:c r="A441" s="87" t="n">
        <x:v>440</x:v>
      </x:c>
      <x:c r="B441" s="87" t="str">
        <x:v>FEB-SOC-V1-016</x:v>
      </x:c>
      <x:c r="C441" s="87" t="str">
        <x:v>СтатГрад</x:v>
      </x:c>
      <x:c r="D441" s="87" t="str">
        <x:v>Февраль 2026</x:v>
      </x:c>
      <x:c r="E441" s="87"/>
      <x:c r="F441" s="87"/>
      <x:c r="G441" s="87" t="str">
        <x:v>Обществознание</x:v>
      </x:c>
      <x:c r="H441" s="87" t="n">
        <x:v>11</x:v>
      </x:c>
      <x:c r="I441" s="87" t="str">
        <x:v>ТР №4</x:v>
      </x:c>
      <x:c r="J441" s="87" t="str">
        <x:v>ОБ2510401</x:v>
      </x:c>
      <x:c r="K441" s="87" t="n">
        <x:v>16</x:v>
      </x:c>
      <x:c r="L441" s="87" t="str">
        <x:v>Источники права</x:v>
      </x:c>
      <x:c r="M441" s="30" t="str">
        <x:v>Выберите источники права из перечня: судебный прецедент, юридический факт, правоохранительный орган, правовой обычай, система правосудия, нормативно-правовой акт.</x:v>
      </x:c>
      <x:c r="N441" s="30" t="str">
        <x:v>146</x:v>
      </x:c>
      <x:c r="O441" s="30" t="str">
        <x:v>К формам выражения правовых норм относятся судебный прецедент, правовой обычай и нормативно-правовой акт. Юридический факт порождает правоотношение, а органы и система правосудия применяют право, но не являются его источниками.</x:v>
      </x:c>
      <x:c r="P441" s="30" t="str">
        <x:v>Понятия проверены по роли в создании и применении правовых норм.</x:v>
      </x:c>
      <x:c r="Q441" s="30"/>
      <x:c r="R441" s="30" t="str">
        <x:v>146</x:v>
      </x:c>
      <x:c r="S441" s="30"/>
      <x:c r="T441" s="30"/>
      <x:c r="U441" s="30" t="str">
        <x:v>Расхождений нет.</x:v>
      </x:c>
      <x:c r="V441" s="87" t="str">
        <x:v>VERIFIED</x:v>
      </x:c>
      <x:c r="W441" s="87" t="n">
        <x:v>11</x:v>
      </x:c>
      <x:c r="X441" s="87"/>
      <x:c r="Y441" s="87"/>
      <x:c r="Z441" s="87"/>
      <x:c r="AA441" s="87"/>
      <x:c r="AB441" s="87"/>
      <x:c r="AC441" s="87"/>
      <x:c r="AD441" s="87"/>
      <x:c r="AE441" s="87"/>
      <x:c r="AF441" s="87"/>
      <x:c r="AG441" s="87"/>
      <x:c r="AH441" s="87"/>
      <x:c r="AI441" s="30"/>
      <x:c r="AJ441" s="87" t="str">
        <x:v>master</x:v>
      </x:c>
      <x:c r="AK441" s="87" t="str">
        <x:v>master-v0.81</x:v>
      </x:c>
      <x:c r="AL441" s="87" t="str">
        <x:v>statgrad_master_base_v0_81_final(2).xlsx</x:v>
      </x:c>
      <x:c r="AM441" s="87" t="str">
        <x:v>SOC_Feb_V1</x:v>
      </x:c>
      <x:c r="AN441" s="87" t="n">
        <x:v>17</x:v>
      </x:c>
    </x:row>
    <x:row r="442">
      <x:c r="A442" s="87" t="n">
        <x:v>441</x:v>
      </x:c>
      <x:c r="B442" s="87" t="str">
        <x:v>FEB-SOC-V1-017</x:v>
      </x:c>
      <x:c r="C442" s="87" t="str">
        <x:v>СтатГрад</x:v>
      </x:c>
      <x:c r="D442" s="87" t="str">
        <x:v>Февраль 2026</x:v>
      </x:c>
      <x:c r="E442" s="87"/>
      <x:c r="F442" s="87"/>
      <x:c r="G442" s="87" t="str">
        <x:v>Обществознание</x:v>
      </x:c>
      <x:c r="H442" s="87" t="n">
        <x:v>11</x:v>
      </x:c>
      <x:c r="I442" s="87" t="str">
        <x:v>ТР №4</x:v>
      </x:c>
      <x:c r="J442" s="87" t="str">
        <x:v>ОБ2510401</x:v>
      </x:c>
      <x:c r="K442" s="87" t="n">
        <x:v>17</x:v>
      </x:c>
      <x:c r="L442" s="87" t="str">
        <x:v>Развёрнутый ответ: работа с текстом</x:v>
      </x:c>
      <x:c r="M442" s="30" t="str">
        <x:v>Что авторы понимают под организацией знаний? Что обеспечивает информационную культуру личности? Какие три социальных института участвуют в её формировании?</x:v>
      </x:c>
      <x:c r="N442" s="30" t="str">
        <x:v>Организация знаний — умение хранить и пополнять собственные знания так, чтобы оптимально их использовать. Информационная культура обеспечивает целенаправленную самостоятельную деятельность по оптимальному удовлетворению индивидуальных информационных потребностей. Институты: семья, система образования, средства массовой информации.</x:v>
      </x:c>
      <x:c r="O442" s="30" t="str">
        <x:v>Все ответы воспроизводят основные идеи текста; названы ровно три допустимых социальных института.</x:v>
      </x:c>
      <x:c r="P442" s="30" t="str">
        <x:v>Элементы сверены с текстом и официальными критериями.</x:v>
      </x:c>
      <x:c r="Q442" s="30"/>
      <x:c r="R442" s="30" t="str">
        <x:v>Критерии, стр. 2</x:v>
      </x:c>
      <x:c r="S442" s="30"/>
      <x:c r="T442" s="30"/>
      <x:c r="U442" s="30" t="str">
        <x:v>Критерий перенесён отдельно без изменения.</x:v>
      </x:c>
      <x:c r="V442" s="87" t="str">
        <x:v>VERIFIED</x:v>
      </x:c>
      <x:c r="W442" s="87" t="str">
        <x:v>12–13</x:v>
      </x:c>
      <x:c r="X442" s="87"/>
      <x:c r="Y442" s="87"/>
      <x:c r="Z442" s="87"/>
      <x:c r="AA442" s="87"/>
      <x:c r="AB442" s="87"/>
      <x:c r="AC442" s="87"/>
      <x:c r="AD442" s="87"/>
      <x:c r="AE442" s="87"/>
      <x:c r="AF442" s="87"/>
      <x:c r="AG442" s="87"/>
      <x:c r="AH442" s="87"/>
      <x:c r="AI442" s="30"/>
      <x:c r="AJ442" s="87" t="str">
        <x:v>master</x:v>
      </x:c>
      <x:c r="AK442" s="87" t="str">
        <x:v>master-v0.81</x:v>
      </x:c>
      <x:c r="AL442" s="87" t="str">
        <x:v>statgrad_master_base_v0_81_final(2).xlsx</x:v>
      </x:c>
      <x:c r="AM442" s="87" t="str">
        <x:v>SOC_Feb_V1</x:v>
      </x:c>
      <x:c r="AN442" s="87" t="n">
        <x:v>18</x:v>
      </x:c>
    </x:row>
    <x:row r="443">
      <x:c r="A443" s="87" t="n">
        <x:v>442</x:v>
      </x:c>
      <x:c r="B443" s="87" t="str">
        <x:v>FEB-SOC-V1-018</x:v>
      </x:c>
      <x:c r="C443" s="87" t="str">
        <x:v>СтатГрад</x:v>
      </x:c>
      <x:c r="D443" s="87" t="str">
        <x:v>Февраль 2026</x:v>
      </x:c>
      <x:c r="E443" s="87"/>
      <x:c r="F443" s="87"/>
      <x:c r="G443" s="87" t="str">
        <x:v>Обществознание</x:v>
      </x:c>
      <x:c r="H443" s="87" t="n">
        <x:v>11</x:v>
      </x:c>
      <x:c r="I443" s="87" t="str">
        <x:v>ТР №4</x:v>
      </x:c>
      <x:c r="J443" s="87" t="str">
        <x:v>ОБ2510401</x:v>
      </x:c>
      <x:c r="K443" s="87" t="n">
        <x:v>18</x:v>
      </x:c>
      <x:c r="L443" s="87" t="str">
        <x:v>Развёрнутый ответ: деятельность</x:v>
      </x:c>
      <x:c r="M443" s="30" t="str">
        <x:v>Назовите не менее трёх признаков деятельности и объясните связь информационной культуры личности с защитой общества.</x:v>
      </x:c>
      <x:c r="N443" s="30" t="str">
        <x:v>Деятельность имеет осознанный и целенаправленный характер, преобразует окружающий мир и самого человека, носит общественный характер и создаёт определённый результат. Информационная культура помогает человеку анализировать сведения и принимать ответственные решения в технологической, экономической и социальной сферах, поэтому снижает риск ошибок, манипуляций и непродуманных действий, способных причинить вред обществу.</x:v>
      </x:c>
      <x:c r="O443" s="30" t="str">
        <x:v>Названы более трёх признаков, включая два обязательных из перечня критерия, и дана причинная связь с защитой общества.</x:v>
      </x:c>
      <x:c r="P443" s="30"/>
      <x:c r="Q443" s="30"/>
      <x:c r="R443" s="30" t="str">
        <x:v>Критерии, стр. 3</x:v>
      </x:c>
      <x:c r="S443" s="30"/>
      <x:c r="T443" s="30"/>
      <x:c r="U443" s="30" t="str">
        <x:v>Критерий перенесён отдельно без изменения.</x:v>
      </x:c>
      <x:c r="V443" s="87" t="str">
        <x:v>VERIFIED</x:v>
      </x:c>
      <x:c r="W443" s="87" t="n">
        <x:v>13</x:v>
      </x:c>
      <x:c r="X443" s="87"/>
      <x:c r="Y443" s="87"/>
      <x:c r="Z443" s="87"/>
      <x:c r="AA443" s="87"/>
      <x:c r="AB443" s="87"/>
      <x:c r="AC443" s="87"/>
      <x:c r="AD443" s="87"/>
      <x:c r="AE443" s="87"/>
      <x:c r="AF443" s="87"/>
      <x:c r="AG443" s="87"/>
      <x:c r="AH443" s="87"/>
      <x:c r="AI443" s="30" t="str">
        <x:v>{"_alignment": "REALIGNED_MISSING_INDEPENDENT_CHECK"}</x:v>
      </x:c>
      <x:c r="AJ443" s="87" t="str">
        <x:v>master</x:v>
      </x:c>
      <x:c r="AK443" s="87" t="str">
        <x:v>master-v0.81</x:v>
      </x:c>
      <x:c r="AL443" s="87" t="str">
        <x:v>statgrad_master_base_v0_81_final(2).xlsx</x:v>
      </x:c>
      <x:c r="AM443" s="87" t="str">
        <x:v>SOC_Feb_V1</x:v>
      </x:c>
      <x:c r="AN443" s="87" t="n">
        <x:v>19</x:v>
      </x:c>
    </x:row>
    <x:row r="444">
      <x:c r="A444" s="87" t="n">
        <x:v>443</x:v>
      </x:c>
      <x:c r="B444" s="87" t="str">
        <x:v>FEB-SOC-V1-019</x:v>
      </x:c>
      <x:c r="C444" s="87" t="str">
        <x:v>СтатГрад</x:v>
      </x:c>
      <x:c r="D444" s="87" t="str">
        <x:v>Февраль 2026</x:v>
      </x:c>
      <x:c r="E444" s="87"/>
      <x:c r="F444" s="87"/>
      <x:c r="G444" s="87" t="str">
        <x:v>Обществознание</x:v>
      </x:c>
      <x:c r="H444" s="87" t="n">
        <x:v>11</x:v>
      </x:c>
      <x:c r="I444" s="87" t="str">
        <x:v>ТР №4</x:v>
      </x:c>
      <x:c r="J444" s="87" t="str">
        <x:v>ОБ2510401</x:v>
      </x:c>
      <x:c r="K444" s="87" t="n">
        <x:v>19</x:v>
      </x:c>
      <x:c r="L444" s="87" t="str">
        <x:v>Развёрнутый ответ: информационные ресурсы</x:v>
      </x:c>
      <x:c r="M444" s="30" t="str">
        <x:v>Приведите три развёрнутых примера использования информационно-сетевых ресурсов для удовлетворения разных видов потребностей.</x:v>
      </x:c>
      <x:c r="N444" s="30" t="str">
        <x:v>1) Константин изучает китайский язык на сайте преподавателя и удовлетворяет духовную потребность в знаниях. 2) Участники биологической олимпиады создали страницу в социальной сети для общения и удовлетворяют социальную потребность. 3) Житель проверяет на специализированном портале качество питьевой воды и удовлетворяет биологическую потребность в безопасной среде.</x:v>
      </x:c>
      <x:c r="O444" s="30" t="str">
        <x:v>Каждый пример содержит ситуацию, конкретный сетевой ресурс и отдельный вид потребности; примеры не дублируются.</x:v>
      </x:c>
      <x:c r="P444" s="30"/>
      <x:c r="Q444" s="30"/>
      <x:c r="R444" s="30" t="str">
        <x:v>Критерии, стр. 4–5</x:v>
      </x:c>
      <x:c r="S444" s="30"/>
      <x:c r="T444" s="30"/>
      <x:c r="U444" s="30" t="str">
        <x:v>Критерий перенесён отдельно без изменения.</x:v>
      </x:c>
      <x:c r="V444" s="87" t="str">
        <x:v>VERIFIED</x:v>
      </x:c>
      <x:c r="W444" s="87" t="n">
        <x:v>13</x:v>
      </x:c>
      <x:c r="X444" s="87"/>
      <x:c r="Y444" s="87"/>
      <x:c r="Z444" s="87"/>
      <x:c r="AA444" s="87"/>
      <x:c r="AB444" s="87"/>
      <x:c r="AC444" s="87"/>
      <x:c r="AD444" s="87"/>
      <x:c r="AE444" s="87"/>
      <x:c r="AF444" s="87"/>
      <x:c r="AG444" s="87"/>
      <x:c r="AH444" s="87"/>
      <x:c r="AI444" s="30" t="str">
        <x:v>{"_alignment": "REALIGNED_MISSING_INDEPENDENT_CHECK"}</x:v>
      </x:c>
      <x:c r="AJ444" s="87" t="str">
        <x:v>master</x:v>
      </x:c>
      <x:c r="AK444" s="87" t="str">
        <x:v>master-v0.81</x:v>
      </x:c>
      <x:c r="AL444" s="87" t="str">
        <x:v>statgrad_master_base_v0_81_final(2).xlsx</x:v>
      </x:c>
      <x:c r="AM444" s="87" t="str">
        <x:v>SOC_Feb_V1</x:v>
      </x:c>
      <x:c r="AN444" s="87" t="n">
        <x:v>20</x:v>
      </x:c>
    </x:row>
    <x:row r="445">
      <x:c r="A445" s="87" t="n">
        <x:v>444</x:v>
      </x:c>
      <x:c r="B445" s="87" t="str">
        <x:v>FEB-SOC-V1-020</x:v>
      </x:c>
      <x:c r="C445" s="87" t="str">
        <x:v>СтатГрад</x:v>
      </x:c>
      <x:c r="D445" s="87" t="str">
        <x:v>Февраль 2026</x:v>
      </x:c>
      <x:c r="E445" s="87"/>
      <x:c r="F445" s="87"/>
      <x:c r="G445" s="87" t="str">
        <x:v>Обществознание</x:v>
      </x:c>
      <x:c r="H445" s="87" t="n">
        <x:v>11</x:v>
      </x:c>
      <x:c r="I445" s="87" t="str">
        <x:v>ТР №4</x:v>
      </x:c>
      <x:c r="J445" s="87" t="str">
        <x:v>ОБ2510401</x:v>
      </x:c>
      <x:c r="K445" s="87" t="n">
        <x:v>20</x:v>
      </x:c>
      <x:c r="L445" s="87" t="str">
        <x:v>Развёрнутый ответ: аргументация</x:v>
      </x:c>
      <x:c r="M445" s="30" t="str">
        <x:v>Приведите три аргумента, подтверждающих зависимость судьбы человека от его информационной культуры.</x:v>
      </x:c>
      <x:c r="N445" s="30" t="str">
        <x:v>1) Объём доступной информации постоянно растёт, поэтому умение отбирать достоверные и нужные сведения влияет на качество учёбы, труда и жизненных решений. 2) Информационные технологии используются почти во всех профессиях, поэтому владение ими расширяет возможности образования и занятости. 3) Критическое мышление позволяет отличать факт от мнения и правдивую информацию от фейка, что помогает избежать манипуляций и выбрать разумный способ действия.</x:v>
      </x:c>
      <x:c r="O445" s="30" t="str">
        <x:v>Каждый аргумент оформлен как самостоятельная причинно-следственная связь и раскрывает отдельный аспект информационной культуры.</x:v>
      </x:c>
      <x:c r="P445" s="30"/>
      <x:c r="Q445" s="30"/>
      <x:c r="R445" s="30" t="str">
        <x:v>Критерии, стр. 5–6</x:v>
      </x:c>
      <x:c r="S445" s="30"/>
      <x:c r="T445" s="30"/>
      <x:c r="U445" s="30" t="str">
        <x:v>Критерий перенесён отдельно без изменения.</x:v>
      </x:c>
      <x:c r="V445" s="87" t="str">
        <x:v>VERIFIED</x:v>
      </x:c>
      <x:c r="W445" s="87" t="n">
        <x:v>13</x:v>
      </x:c>
      <x:c r="X445" s="87"/>
      <x:c r="Y445" s="87"/>
      <x:c r="Z445" s="87"/>
      <x:c r="AA445" s="87"/>
      <x:c r="AB445" s="87"/>
      <x:c r="AC445" s="87"/>
      <x:c r="AD445" s="87"/>
      <x:c r="AE445" s="87"/>
      <x:c r="AF445" s="87"/>
      <x:c r="AG445" s="87"/>
      <x:c r="AH445" s="87"/>
      <x:c r="AI445" s="30" t="str">
        <x:v>{"_alignment": "REALIGNED_MISSING_INDEPENDENT_CHECK"}</x:v>
      </x:c>
      <x:c r="AJ445" s="87" t="str">
        <x:v>master</x:v>
      </x:c>
      <x:c r="AK445" s="87" t="str">
        <x:v>master-v0.81</x:v>
      </x:c>
      <x:c r="AL445" s="87" t="str">
        <x:v>statgrad_master_base_v0_81_final(2).xlsx</x:v>
      </x:c>
      <x:c r="AM445" s="87" t="str">
        <x:v>SOC_Feb_V1</x:v>
      </x:c>
      <x:c r="AN445" s="87" t="n">
        <x:v>21</x:v>
      </x:c>
    </x:row>
    <x:row r="446">
      <x:c r="A446" s="87" t="n">
        <x:v>445</x:v>
      </x:c>
      <x:c r="B446" s="87" t="str">
        <x:v>FEB-SOC-V1-021</x:v>
      </x:c>
      <x:c r="C446" s="87" t="str">
        <x:v>СтатГрад</x:v>
      </x:c>
      <x:c r="D446" s="87" t="str">
        <x:v>Февраль 2026</x:v>
      </x:c>
      <x:c r="E446" s="87"/>
      <x:c r="F446" s="87"/>
      <x:c r="G446" s="87" t="str">
        <x:v>Обществознание</x:v>
      </x:c>
      <x:c r="H446" s="87" t="n">
        <x:v>11</x:v>
      </x:c>
      <x:c r="I446" s="87" t="str">
        <x:v>ТР №4</x:v>
      </x:c>
      <x:c r="J446" s="87" t="str">
        <x:v>ОБ2510401</x:v>
      </x:c>
      <x:c r="K446" s="87" t="n">
        <x:v>21</x:v>
      </x:c>
      <x:c r="L446" s="87" t="str">
        <x:v>Развёрнутый ответ: спрос и предложение</x:v>
      </x:c>
      <x:c r="M446" s="30" t="str">
        <x:v>Определите изменение равновесной цены; назовите и объясните фактор снижения предложения линз; спрогнозируйте спрос и цену при росте моды на очки.</x:v>
      </x:c>
      <x:c r="N446" s="30" t="str">
        <x:v>Равновесная цена линз увеличилась. Например, подорожание сырья повысило издержки производителей: при каждой цене им стало выгодно предлагать меньше линз, поэтому предложение сократилось. Если очки станут модными, спрос на ежедневные линзы уменьшится и при прочих равных их равновесная цена также снизится.</x:v>
      </x:c>
      <x:c r="O446" s="30" t="str">
        <x:v>Ответ согласован с левым сдвигом предложения и последующим левым сдвигом спроса.</x:v>
      </x:c>
      <x:c r="P446" s="30"/>
      <x:c r="Q446" s="30"/>
      <x:c r="R446" s="30" t="str">
        <x:v>Критерии, стр. 6–7</x:v>
      </x:c>
      <x:c r="S446" s="30"/>
      <x:c r="T446" s="30"/>
      <x:c r="U446" s="30" t="str">
        <x:v>Критерий перенесён отдельно без изменения.</x:v>
      </x:c>
      <x:c r="V446" s="87" t="str">
        <x:v>VERIFIED</x:v>
      </x:c>
      <x:c r="W446" s="87" t="n">
        <x:v>14</x:v>
      </x:c>
      <x:c r="X446" s="87"/>
      <x:c r="Y446" s="87"/>
      <x:c r="Z446" s="87"/>
      <x:c r="AA446" s="87"/>
      <x:c r="AB446" s="87"/>
      <x:c r="AC446" s="87"/>
      <x:c r="AD446" s="87"/>
      <x:c r="AE446" s="87"/>
      <x:c r="AF446" s="87"/>
      <x:c r="AG446" s="87"/>
      <x:c r="AH446" s="87"/>
      <x:c r="AI446" s="30" t="str">
        <x:v>{"_alignment": "REALIGNED_MISSING_INDEPENDENT_CHECK"}</x:v>
      </x:c>
      <x:c r="AJ446" s="87" t="str">
        <x:v>master</x:v>
      </x:c>
      <x:c r="AK446" s="87" t="str">
        <x:v>master-v0.81</x:v>
      </x:c>
      <x:c r="AL446" s="87" t="str">
        <x:v>statgrad_master_base_v0_81_final(2).xlsx</x:v>
      </x:c>
      <x:c r="AM446" s="87" t="str">
        <x:v>SOC_Feb_V1</x:v>
      </x:c>
      <x:c r="AN446" s="87" t="n">
        <x:v>22</x:v>
      </x:c>
    </x:row>
    <x:row r="447">
      <x:c r="A447" s="87" t="n">
        <x:v>446</x:v>
      </x:c>
      <x:c r="B447" s="87" t="str">
        <x:v>FEB-SOC-V1-022</x:v>
      </x:c>
      <x:c r="C447" s="87" t="str">
        <x:v>СтатГрад</x:v>
      </x:c>
      <x:c r="D447" s="87" t="str">
        <x:v>Февраль 2026</x:v>
      </x:c>
      <x:c r="E447" s="87"/>
      <x:c r="F447" s="87"/>
      <x:c r="G447" s="87" t="str">
        <x:v>Обществознание</x:v>
      </x:c>
      <x:c r="H447" s="87" t="n">
        <x:v>11</x:v>
      </x:c>
      <x:c r="I447" s="87" t="str">
        <x:v>ТР №4</x:v>
      </x:c>
      <x:c r="J447" s="87" t="str">
        <x:v>ОБ2510401</x:v>
      </x:c>
      <x:c r="K447" s="87" t="n">
        <x:v>22</x:v>
      </x:c>
      <x:c r="L447" s="87" t="str">
        <x:v>Развёрнутый ответ: дееспособность и труд</x:v>
      </x:c>
      <x:c r="M447" s="30" t="str">
        <x:v>Определите последствие эмансипации, два изменения отношений с родителями, признак предпринимательства и два вопроса о будущей работе младшего брата.</x:v>
      </x:c>
      <x:c r="N447" s="30" t="str">
        <x:v>Эмансипация сделала Егора полностью дееспособным. Родители перестали отвечать по его обязательствам и за причинённый им вред; Егор получил возможность самостоятельно совершать сделки и распоряжаться доходами без их согласия. Его деятельность предпринимательская, потому что ведётся самостоятельно, на риск Егора и направлена на систематическое получение прибыли. Вопросы брату: будет ли работа выполняться в свободное от учёбы время? Будет ли она лёгкой и не причиняющей вреда здоровью?</x:v>
      </x:c>
      <x:c r="O447" s="30" t="str">
        <x:v>В ответе присутствуют четыре требуемых блока и ровно два вопроса, необходимые для оценки допустимости труда четырнадцатилетнего школьника.</x:v>
      </x:c>
      <x:c r="P447" s="30"/>
      <x:c r="Q447" s="30"/>
      <x:c r="R447" s="30" t="str">
        <x:v>Критерии, стр. 7–8</x:v>
      </x:c>
      <x:c r="S447" s="30"/>
      <x:c r="T447" s="30"/>
      <x:c r="U447" s="30" t="str">
        <x:v>Критерий перенесён отдельно без изменения.</x:v>
      </x:c>
      <x:c r="V447" s="87" t="str">
        <x:v>VERIFIED</x:v>
      </x:c>
      <x:c r="W447" s="87" t="n">
        <x:v>14</x:v>
      </x:c>
      <x:c r="X447" s="87"/>
      <x:c r="Y447" s="87"/>
      <x:c r="Z447" s="87"/>
      <x:c r="AA447" s="87"/>
      <x:c r="AB447" s="87"/>
      <x:c r="AC447" s="87"/>
      <x:c r="AD447" s="87"/>
      <x:c r="AE447" s="87"/>
      <x:c r="AF447" s="87"/>
      <x:c r="AG447" s="87"/>
      <x:c r="AH447" s="87"/>
      <x:c r="AI447" s="30" t="str">
        <x:v>{"_alignment": "REALIGNED_MISSING_INDEPENDENT_CHECK"}</x:v>
      </x:c>
      <x:c r="AJ447" s="87" t="str">
        <x:v>master</x:v>
      </x:c>
      <x:c r="AK447" s="87" t="str">
        <x:v>master-v0.81</x:v>
      </x:c>
      <x:c r="AL447" s="87" t="str">
        <x:v>statgrad_master_base_v0_81_final(2).xlsx</x:v>
      </x:c>
      <x:c r="AM447" s="87" t="str">
        <x:v>SOC_Feb_V1</x:v>
      </x:c>
      <x:c r="AN447" s="87" t="n">
        <x:v>23</x:v>
      </x:c>
    </x:row>
    <x:row r="448">
      <x:c r="A448" s="87" t="n">
        <x:v>447</x:v>
      </x:c>
      <x:c r="B448" s="87" t="str">
        <x:v>FEB-SOC-V1-023</x:v>
      </x:c>
      <x:c r="C448" s="87" t="str">
        <x:v>СтатГрад</x:v>
      </x:c>
      <x:c r="D448" s="87" t="str">
        <x:v>Февраль 2026</x:v>
      </x:c>
      <x:c r="E448" s="87"/>
      <x:c r="F448" s="87"/>
      <x:c r="G448" s="87" t="str">
        <x:v>Обществознание</x:v>
      </x:c>
      <x:c r="H448" s="87" t="n">
        <x:v>11</x:v>
      </x:c>
      <x:c r="I448" s="87" t="str">
        <x:v>ТР №4</x:v>
      </x:c>
      <x:c r="J448" s="87" t="str">
        <x:v>ОБ2510401</x:v>
      </x:c>
      <x:c r="K448" s="87" t="n">
        <x:v>23</x:v>
      </x:c>
      <x:c r="L448" s="87" t="str">
        <x:v>Развёрнутый ответ: Конституция РФ</x:v>
      </x:c>
      <x:c r="M448" s="30" t="str">
        <x:v>Сформулируйте три подтверждения конституционного отношения к труду как к ценности государства и общества.</x:v>
      </x:c>
      <x:c r="N448" s="30" t="str">
        <x:v>Конституция закрепляет, что труд свободен, а принудительный труд запрещён. Каждый имеет право свободно распоряжаться способностями к труду, выбирать род деятельности и профессию. Государство охраняет труд людей и гарантирует минимальный размер оплаты труда.</x:v>
      </x:c>
      <x:c r="O448" s="30" t="str">
        <x:v>Все три положения оформлены как распространённые предложения и опираются на конкретное содержание Конституции.</x:v>
      </x:c>
      <x:c r="P448" s="30"/>
      <x:c r="Q448" s="30"/>
      <x:c r="R448" s="30" t="str">
        <x:v>Критерии, стр. 9</x:v>
      </x:c>
      <x:c r="S448" s="30"/>
      <x:c r="T448" s="30"/>
      <x:c r="U448" s="30" t="str">
        <x:v>Критерий перенесён отдельно без изменения.</x:v>
      </x:c>
      <x:c r="V448" s="87" t="str">
        <x:v>VERIFIED</x:v>
      </x:c>
      <x:c r="W448" s="87" t="n">
        <x:v>15</x:v>
      </x:c>
      <x:c r="X448" s="87"/>
      <x:c r="Y448" s="87"/>
      <x:c r="Z448" s="87"/>
      <x:c r="AA448" s="87"/>
      <x:c r="AB448" s="87"/>
      <x:c r="AC448" s="87"/>
      <x:c r="AD448" s="87"/>
      <x:c r="AE448" s="87"/>
      <x:c r="AF448" s="87"/>
      <x:c r="AG448" s="87"/>
      <x:c r="AH448" s="87"/>
      <x:c r="AI448" s="30" t="str">
        <x:v>{"_alignment": "REALIGNED_MISSING_INDEPENDENT_CHECK"}</x:v>
      </x:c>
      <x:c r="AJ448" s="87" t="str">
        <x:v>master</x:v>
      </x:c>
      <x:c r="AK448" s="87" t="str">
        <x:v>master-v0.81</x:v>
      </x:c>
      <x:c r="AL448" s="87" t="str">
        <x:v>statgrad_master_base_v0_81_final(2).xlsx</x:v>
      </x:c>
      <x:c r="AM448" s="87" t="str">
        <x:v>SOC_Feb_V1</x:v>
      </x:c>
      <x:c r="AN448" s="87" t="n">
        <x:v>24</x:v>
      </x:c>
    </x:row>
    <x:row r="449">
      <x:c r="A449" s="87" t="n">
        <x:v>448</x:v>
      </x:c>
      <x:c r="B449" s="87" t="str">
        <x:v>FEB-SOC-V1-024</x:v>
      </x:c>
      <x:c r="C449" s="87" t="str">
        <x:v>СтатГрад</x:v>
      </x:c>
      <x:c r="D449" s="87" t="str">
        <x:v>Февраль 2026</x:v>
      </x:c>
      <x:c r="E449" s="87"/>
      <x:c r="F449" s="87"/>
      <x:c r="G449" s="87" t="str">
        <x:v>Обществознание</x:v>
      </x:c>
      <x:c r="H449" s="87" t="n">
        <x:v>11</x:v>
      </x:c>
      <x:c r="I449" s="87" t="str">
        <x:v>ТР №4</x:v>
      </x:c>
      <x:c r="J449" s="87" t="str">
        <x:v>ОБ2510401</x:v>
      </x:c>
      <x:c r="K449" s="87" t="n">
        <x:v>24</x:v>
      </x:c>
      <x:c r="L449" s="87" t="str">
        <x:v>Развёрнутый ответ: сложный план</x:v>
      </x:c>
      <x:c r="M449" s="30" t="str">
        <x:v>Составьте сложный план по теме «Социальная стратификация и социальное неравенство».</x:v>
      </x:c>
      <x:c r="N449" s="30" t="str">
        <x:v>1. Понятия социальной стратификации и социального неравенства. 2. Исторические системы стратификации: а) рабство; б) касты; в) сословия; г) классы. 3. Критерии стратификации постиндустриального общества: а) доход; б) власть; в) образование; г) престиж. 4. Проявления социального неравенства: а) неодинаковый доступ к социальным благам; б) различия прав и обязанностей социальных групп; в) общественные теории и практики преодоления неравенства. 5. Подходы к социальному равенству: а) экономическое равенство; б) юридическое равенство; в) равенство прав и возможностей.</x:v>
      </x:c>
      <x:c r="O449" s="30" t="str">
        <x:v>План содержит пять пунктов; четыре пункта детализированы тремя и более подпунктами и непосредственно раскрывают тему.</x:v>
      </x:c>
      <x:c r="P449" s="30"/>
      <x:c r="Q449" s="30"/>
      <x:c r="R449" s="30" t="str">
        <x:v>Критерии, стр. 10–12</x:v>
      </x:c>
      <x:c r="S449" s="30"/>
      <x:c r="T449" s="30"/>
      <x:c r="U449" s="30" t="str">
        <x:v>Критерий перенесён отдельно без изменения.</x:v>
      </x:c>
      <x:c r="V449" s="87" t="str">
        <x:v>VERIFIED</x:v>
      </x:c>
      <x:c r="W449" s="87" t="n">
        <x:v>15</x:v>
      </x:c>
      <x:c r="X449" s="87"/>
      <x:c r="Y449" s="87"/>
      <x:c r="Z449" s="87"/>
      <x:c r="AA449" s="87"/>
      <x:c r="AB449" s="87"/>
      <x:c r="AC449" s="87"/>
      <x:c r="AD449" s="87"/>
      <x:c r="AE449" s="87"/>
      <x:c r="AF449" s="87"/>
      <x:c r="AG449" s="87"/>
      <x:c r="AH449" s="87"/>
      <x:c r="AI449" s="30" t="str">
        <x:v>{"_alignment": "REALIGNED_MISSING_INDEPENDENT_CHECK"}</x:v>
      </x:c>
      <x:c r="AJ449" s="87" t="str">
        <x:v>master</x:v>
      </x:c>
      <x:c r="AK449" s="87" t="str">
        <x:v>master-v0.81</x:v>
      </x:c>
      <x:c r="AL449" s="87" t="str">
        <x:v>statgrad_master_base_v0_81_final(2).xlsx</x:v>
      </x:c>
      <x:c r="AM449" s="87" t="str">
        <x:v>SOC_Feb_V1</x:v>
      </x:c>
      <x:c r="AN449" s="87" t="n">
        <x:v>25</x:v>
      </x:c>
    </x:row>
    <x:row r="450">
      <x:c r="A450" s="87" t="n">
        <x:v>449</x:v>
      </x:c>
      <x:c r="B450" s="87" t="str">
        <x:v>FEB-SOC-V1-025</x:v>
      </x:c>
      <x:c r="C450" s="87" t="str">
        <x:v>СтатГрад</x:v>
      </x:c>
      <x:c r="D450" s="87" t="str">
        <x:v>Февраль 2026</x:v>
      </x:c>
      <x:c r="E450" s="87"/>
      <x:c r="F450" s="87"/>
      <x:c r="G450" s="87" t="str">
        <x:v>Обществознание</x:v>
      </x:c>
      <x:c r="H450" s="87" t="n">
        <x:v>11</x:v>
      </x:c>
      <x:c r="I450" s="87" t="str">
        <x:v>ТР №4</x:v>
      </x:c>
      <x:c r="J450" s="87" t="str">
        <x:v>ОБ2510401</x:v>
      </x:c>
      <x:c r="K450" s="87" t="n">
        <x:v>25</x:v>
      </x:c>
      <x:c r="L450" s="87" t="str">
        <x:v>Развёрнутый ответ: защита гражданских прав</x:v>
      </x:c>
      <x:c r="M450" s="30" t="str">
        <x:v>Обоснуйте значение равенства гражданских прав; назовите три государственных органа, непосредственно защищающих права; приведите по одному примеру способа защиты каждым органом.</x:v>
      </x:c>
      <x:c r="N450" s="30" t="str">
        <x:v>Равенство гражданских прав обеспечивает каждому одинаковую возможность пользоваться правами и защищать их, препятствует дискриминации и произволу; благодаря этому укрепляются законность, доверие граждан и общественная стабильность. Органы: суды Российской Федерации, прокуратура Российской Федерации, полиция. Примеры: суд признал увольнение гражданина незаконным, восстановил его на работе и взыскал заработок; прокурор выявил нарушение жилищных прав и внёс представление, после чего нарушение устранили; полиция приняла сообщение о нападении, пресекла правонарушение и задержала нападавшего, защитив потерпевшего.</x:v>
      </x:c>
      <x:c r="O450" s="30" t="str">
        <x:v>Обоснование содержит причинно-следственные связи; названы три допустимых органа и для каждого приведён отдельный развёрнутый пример.</x:v>
      </x:c>
      <x:c r="P450" s="30"/>
      <x:c r="Q450" s="30"/>
      <x:c r="R450" s="30" t="str">
        <x:v>Критерии, стр. 12–14</x:v>
      </x:c>
      <x:c r="S450" s="30"/>
      <x:c r="T450" s="30"/>
      <x:c r="U450" s="30" t="str">
        <x:v>Критерий перенесён отдельно без изменения.</x:v>
      </x:c>
      <x:c r="V450" s="87" t="str">
        <x:v>VERIFIED</x:v>
      </x:c>
      <x:c r="W450" s="87" t="n">
        <x:v>15</x:v>
      </x:c>
      <x:c r="X450" s="87"/>
      <x:c r="Y450" s="87"/>
      <x:c r="Z450" s="87"/>
      <x:c r="AA450" s="87"/>
      <x:c r="AB450" s="87"/>
      <x:c r="AC450" s="87"/>
      <x:c r="AD450" s="87"/>
      <x:c r="AE450" s="87"/>
      <x:c r="AF450" s="87"/>
      <x:c r="AG450" s="87"/>
      <x:c r="AH450" s="87"/>
      <x:c r="AI450" s="30" t="str">
        <x:v>{"_alignment": "REALIGNED_MISSING_INDEPENDENT_CHECK"}</x:v>
      </x:c>
      <x:c r="AJ450" s="87" t="str">
        <x:v>master</x:v>
      </x:c>
      <x:c r="AK450" s="87" t="str">
        <x:v>master-v0.81</x:v>
      </x:c>
      <x:c r="AL450" s="87" t="str">
        <x:v>statgrad_master_base_v0_81_final(2).xlsx</x:v>
      </x:c>
      <x:c r="AM450" s="87" t="str">
        <x:v>SOC_Feb_V1</x:v>
      </x:c>
      <x:c r="AN450" s="87" t="n">
        <x:v>26</x:v>
      </x:c>
    </x:row>
    <x:row r="451">
      <x:c r="A451" s="87" t="n">
        <x:v>450</x:v>
      </x:c>
      <x:c r="B451" s="87" t="str">
        <x:v>FEB-SOC-V2-001</x:v>
      </x:c>
      <x:c r="C451" s="87" t="str">
        <x:v>СтатГрад</x:v>
      </x:c>
      <x:c r="D451" s="87" t="str">
        <x:v>Февраль 2026</x:v>
      </x:c>
      <x:c r="E451" s="87"/>
      <x:c r="F451" s="87"/>
      <x:c r="G451" s="87" t="str">
        <x:v>Обществознание</x:v>
      </x:c>
      <x:c r="H451" s="87" t="n">
        <x:v>11</x:v>
      </x:c>
      <x:c r="I451" s="87" t="str">
        <x:v>ТР №4</x:v>
      </x:c>
      <x:c r="J451" s="87" t="str">
        <x:v>ОБ2510402</x:v>
      </x:c>
      <x:c r="K451" s="87" t="n">
        <x:v>1</x:v>
      </x:c>
      <x:c r="L451" s="87" t="str">
        <x:v>Функции Центрального банка</x:v>
      </x:c>
      <x:c r="M451" s="30" t="str">
        <x:v>Из перечня выберите два действия, которые не относятся к функциям Центрального банка Российской Федерации.</x:v>
      </x:c>
      <x:c r="N451" s="30" t="str">
        <x:v>25</x:v>
      </x:c>
      <x:c r="O451" s="30" t="str">
        <x:v>Привлечение и инвестирование сбережений населения и покупка/продажа валюты населению относятся к операциям коммерческих банков. Управление резервами, организация наличного обращения, защита рубля и установление правил банковских операций входят в функции Банка России.</x:v>
      </x:c>
      <x:c r="P451" s="30" t="str">
        <x:v>Каждая позиция проверена по разграничению функций центрального и коммерческих банков.</x:v>
      </x:c>
      <x:c r="Q451" s="30"/>
      <x:c r="R451" s="30" t="str">
        <x:v>Таблица коротких ответов для варианта в архиве не обнаружена; решено независимо.</x:v>
      </x:c>
      <x:c r="S451" s="30"/>
      <x:c r="T451" s="30"/>
      <x:c r="U451" s="30" t="str">
        <x:v>Расхождений не выявлено.</x:v>
      </x:c>
      <x:c r="V451" s="87" t="str">
        <x:v>VERIFIED</x:v>
      </x:c>
      <x:c r="W451" s="87" t="n">
        <x:v>2</x:v>
      </x:c>
      <x:c r="X451" s="87"/>
      <x:c r="Y451" s="87"/>
      <x:c r="Z451" s="87"/>
      <x:c r="AA451" s="87"/>
      <x:c r="AB451" s="87"/>
      <x:c r="AC451" s="87"/>
      <x:c r="AD451" s="87"/>
      <x:c r="AE451" s="87"/>
      <x:c r="AF451" s="87"/>
      <x:c r="AG451" s="87"/>
      <x:c r="AH451" s="87"/>
      <x:c r="AI451" s="30"/>
      <x:c r="AJ451" s="87" t="str">
        <x:v>master</x:v>
      </x:c>
      <x:c r="AK451" s="87" t="str">
        <x:v>master-v0.81</x:v>
      </x:c>
      <x:c r="AL451" s="87" t="str">
        <x:v>statgrad_master_base_v0_81_final(2).xlsx</x:v>
      </x:c>
      <x:c r="AM451" s="87" t="str">
        <x:v>SOC_Feb_V2</x:v>
      </x:c>
      <x:c r="AN451" s="87" t="n">
        <x:v>2</x:v>
      </x:c>
    </x:row>
    <x:row r="452">
      <x:c r="A452" s="87" t="n">
        <x:v>451</x:v>
      </x:c>
      <x:c r="B452" s="87" t="str">
        <x:v>FEB-SOC-V2-002</x:v>
      </x:c>
      <x:c r="C452" s="87" t="str">
        <x:v>СтатГрад</x:v>
      </x:c>
      <x:c r="D452" s="87" t="str">
        <x:v>Февраль 2026</x:v>
      </x:c>
      <x:c r="E452" s="87"/>
      <x:c r="F452" s="87"/>
      <x:c r="G452" s="87" t="str">
        <x:v>Обществознание</x:v>
      </x:c>
      <x:c r="H452" s="87" t="n">
        <x:v>11</x:v>
      </x:c>
      <x:c r="I452" s="87" t="str">
        <x:v>ТР №4</x:v>
      </x:c>
      <x:c r="J452" s="87" t="str">
        <x:v>ОБ2510402</x:v>
      </x:c>
      <x:c r="K452" s="87" t="n">
        <x:v>2</x:v>
      </x:c>
      <x:c r="L452" s="87" t="str">
        <x:v>Духовный мир личности</x:v>
      </x:c>
      <x:c r="M452" s="30" t="str">
        <x:v>Выберите верные суждения о духовном мире личности.</x:v>
      </x:c>
      <x:c r="N452" s="30" t="str">
        <x:v>125</x:v>
      </x:c>
      <x:c r="O452" s="30" t="str">
        <x:v>Духовный мир включает знания, веру, чувства и ценности; идеал выражает представление о совершенстве и высших моральных ценностях; добро и зло являются основными категориями морали. Прекрасное и безобразное относятся к эстетическим, а не мировоззренческим ценностям.</x:v>
      </x:c>
      <x:c r="P452" s="30" t="str">
        <x:v>Все пять суждений проверены по понятиям духовной культуры, идеала, морали и эстетики.</x:v>
      </x:c>
      <x:c r="Q452" s="30"/>
      <x:c r="R452" s="30" t="str">
        <x:v>Таблица коротких ответов для варианта в архиве не обнаружена; решено независимо.</x:v>
      </x:c>
      <x:c r="S452" s="30"/>
      <x:c r="T452" s="30"/>
      <x:c r="U452" s="30" t="str">
        <x:v>Расхождений не выявлено.</x:v>
      </x:c>
      <x:c r="V452" s="87" t="str">
        <x:v>VERIFIED</x:v>
      </x:c>
      <x:c r="W452" s="87" t="n">
        <x:v>2</x:v>
      </x:c>
      <x:c r="X452" s="87"/>
      <x:c r="Y452" s="87"/>
      <x:c r="Z452" s="87"/>
      <x:c r="AA452" s="87"/>
      <x:c r="AB452" s="87"/>
      <x:c r="AC452" s="87"/>
      <x:c r="AD452" s="87"/>
      <x:c r="AE452" s="87"/>
      <x:c r="AF452" s="87"/>
      <x:c r="AG452" s="87"/>
      <x:c r="AH452" s="87"/>
      <x:c r="AI452" s="30"/>
      <x:c r="AJ452" s="87" t="str">
        <x:v>master</x:v>
      </x:c>
      <x:c r="AK452" s="87" t="str">
        <x:v>master-v0.81</x:v>
      </x:c>
      <x:c r="AL452" s="87" t="str">
        <x:v>statgrad_master_base_v0_81_final(2).xlsx</x:v>
      </x:c>
      <x:c r="AM452" s="87" t="str">
        <x:v>SOC_Feb_V2</x:v>
      </x:c>
      <x:c r="AN452" s="87" t="n">
        <x:v>3</x:v>
      </x:c>
    </x:row>
    <x:row r="453">
      <x:c r="A453" s="87" t="n">
        <x:v>452</x:v>
      </x:c>
      <x:c r="B453" s="87" t="str">
        <x:v>FEB-SOC-V2-003</x:v>
      </x:c>
      <x:c r="C453" s="87" t="str">
        <x:v>СтатГрад</x:v>
      </x:c>
      <x:c r="D453" s="87" t="str">
        <x:v>Февраль 2026</x:v>
      </x:c>
      <x:c r="E453" s="87"/>
      <x:c r="F453" s="87"/>
      <x:c r="G453" s="87" t="str">
        <x:v>Обществознание</x:v>
      </x:c>
      <x:c r="H453" s="87" t="n">
        <x:v>11</x:v>
      </x:c>
      <x:c r="I453" s="87" t="str">
        <x:v>ТР №4</x:v>
      </x:c>
      <x:c r="J453" s="87" t="str">
        <x:v>ОБ2510402</x:v>
      </x:c>
      <x:c r="K453" s="87" t="n">
        <x:v>3</x:v>
      </x:c>
      <x:c r="L453" s="87" t="str">
        <x:v>Элитарная и массовая культура</x:v>
      </x:c>
      <x:c r="M453" s="30" t="str">
        <x:v>Соотнесите характеристики с элитарной, массовой либо обеими видами культуры.</x:v>
      </x:c>
      <x:c r="N453" s="30" t="str">
        <x:v>21232</x:v>
      </x:c>
      <x:c r="O453" s="30" t="str">
        <x:v>Развлечение, коммерческая направленность и ориентация на усреднённые вкусы характерны для массовой культуры. Специальная подготовка аудитории требуется элитарной культуре. Эмоциональное воздействие возможно в обоих видах.</x:v>
      </x:c>
      <x:c r="P453" s="30" t="str">
        <x:v>Каждый признак сопоставлен с целевой аудиторией, способом производства и назначением культурного продукта.</x:v>
      </x:c>
      <x:c r="Q453" s="30"/>
      <x:c r="R453" s="30" t="str">
        <x:v>Таблица коротких ответов для варианта в архиве не обнаружена; решено независимо.</x:v>
      </x:c>
      <x:c r="S453" s="30"/>
      <x:c r="T453" s="30"/>
      <x:c r="U453" s="30" t="str">
        <x:v>Расхождений не выявлено.</x:v>
      </x:c>
      <x:c r="V453" s="87" t="str">
        <x:v>VERIFIED</x:v>
      </x:c>
      <x:c r="W453" s="87" t="n">
        <x:v>3</x:v>
      </x:c>
      <x:c r="X453" s="87"/>
      <x:c r="Y453" s="87"/>
      <x:c r="Z453" s="87"/>
      <x:c r="AA453" s="87"/>
      <x:c r="AB453" s="87"/>
      <x:c r="AC453" s="87"/>
      <x:c r="AD453" s="87"/>
      <x:c r="AE453" s="87"/>
      <x:c r="AF453" s="87"/>
      <x:c r="AG453" s="87"/>
      <x:c r="AH453" s="87"/>
      <x:c r="AI453" s="30"/>
      <x:c r="AJ453" s="87" t="str">
        <x:v>master</x:v>
      </x:c>
      <x:c r="AK453" s="87" t="str">
        <x:v>master-v0.81</x:v>
      </x:c>
      <x:c r="AL453" s="87" t="str">
        <x:v>statgrad_master_base_v0_81_final(2).xlsx</x:v>
      </x:c>
      <x:c r="AM453" s="87" t="str">
        <x:v>SOC_Feb_V2</x:v>
      </x:c>
      <x:c r="AN453" s="87" t="n">
        <x:v>4</x:v>
      </x:c>
    </x:row>
    <x:row r="454">
      <x:c r="A454" s="87" t="n">
        <x:v>453</x:v>
      </x:c>
      <x:c r="B454" s="87" t="str">
        <x:v>FEB-SOC-V2-004</x:v>
      </x:c>
      <x:c r="C454" s="87" t="str">
        <x:v>СтатГрад</x:v>
      </x:c>
      <x:c r="D454" s="87" t="str">
        <x:v>Февраль 2026</x:v>
      </x:c>
      <x:c r="E454" s="87"/>
      <x:c r="F454" s="87"/>
      <x:c r="G454" s="87" t="str">
        <x:v>Обществознание</x:v>
      </x:c>
      <x:c r="H454" s="87" t="n">
        <x:v>11</x:v>
      </x:c>
      <x:c r="I454" s="87" t="str">
        <x:v>ТР №4</x:v>
      </x:c>
      <x:c r="J454" s="87" t="str">
        <x:v>ОБ2510402</x:v>
      </x:c>
      <x:c r="K454" s="87" t="n">
        <x:v>4</x:v>
      </x:c>
      <x:c r="L454" s="87" t="str">
        <x:v>Эмпирические методы познания</x:v>
      </x:c>
      <x:c r="M454" s="30" t="str">
        <x:v>Выберите эмпирические методы, использованные в исследовательском проекте о свободном времени одноклассников.</x:v>
      </x:c>
      <x:c r="N454" s="30" t="str">
        <x:v>346</x:v>
      </x:c>
      <x:c r="O454" s="30" t="str">
        <x:v>Наблюдение за действиями одноклассников, анкетирование и интервью дают первичные фактические данные и относятся к эмпирическим методам. Выдвижение гипотезы, обобщение и формулирование выводов относятся к теоретической обработке результатов.</x:v>
      </x:c>
      <x:c r="P454" s="30" t="str">
        <x:v>Методы разделены по непосредственному получению данных и их последующему осмыслению.</x:v>
      </x:c>
      <x:c r="Q454" s="30"/>
      <x:c r="R454" s="30" t="str">
        <x:v>Таблица коротких ответов для варианта в архиве не обнаружена; решено независимо.</x:v>
      </x:c>
      <x:c r="S454" s="30"/>
      <x:c r="T454" s="30"/>
      <x:c r="U454" s="30" t="str">
        <x:v>Расхождений не выявлено.</x:v>
      </x:c>
      <x:c r="V454" s="87" t="str">
        <x:v>VERIFIED</x:v>
      </x:c>
      <x:c r="W454" s="87" t="n">
        <x:v>3</x:v>
      </x:c>
      <x:c r="X454" s="87"/>
      <x:c r="Y454" s="87"/>
      <x:c r="Z454" s="87"/>
      <x:c r="AA454" s="87"/>
      <x:c r="AB454" s="87"/>
      <x:c r="AC454" s="87"/>
      <x:c r="AD454" s="87"/>
      <x:c r="AE454" s="87"/>
      <x:c r="AF454" s="87"/>
      <x:c r="AG454" s="87"/>
      <x:c r="AH454" s="87"/>
      <x:c r="AI454" s="30"/>
      <x:c r="AJ454" s="87" t="str">
        <x:v>master</x:v>
      </x:c>
      <x:c r="AK454" s="87" t="str">
        <x:v>master-v0.81</x:v>
      </x:c>
      <x:c r="AL454" s="87" t="str">
        <x:v>statgrad_master_base_v0_81_final(2).xlsx</x:v>
      </x:c>
      <x:c r="AM454" s="87" t="str">
        <x:v>SOC_Feb_V2</x:v>
      </x:c>
      <x:c r="AN454" s="87" t="n">
        <x:v>5</x:v>
      </x:c>
    </x:row>
    <x:row r="455">
      <x:c r="A455" s="87" t="n">
        <x:v>454</x:v>
      </x:c>
      <x:c r="B455" s="87" t="str">
        <x:v>FEB-SOC-V2-005</x:v>
      </x:c>
      <x:c r="C455" s="87" t="str">
        <x:v>СтатГрад</x:v>
      </x:c>
      <x:c r="D455" s="87" t="str">
        <x:v>Февраль 2026</x:v>
      </x:c>
      <x:c r="E455" s="87"/>
      <x:c r="F455" s="87"/>
      <x:c r="G455" s="87" t="str">
        <x:v>Обществознание</x:v>
      </x:c>
      <x:c r="H455" s="87" t="n">
        <x:v>11</x:v>
      </x:c>
      <x:c r="I455" s="87" t="str">
        <x:v>ТР №4</x:v>
      </x:c>
      <x:c r="J455" s="87" t="str">
        <x:v>ОБ2510402</x:v>
      </x:c>
      <x:c r="K455" s="87" t="n">
        <x:v>5</x:v>
      </x:c>
      <x:c r="L455" s="87" t="str">
        <x:v>Инфляция</x:v>
      </x:c>
      <x:c r="M455" s="30" t="str">
        <x:v>Выберите верные суждения об инфляции.</x:v>
      </x:c>
      <x:c r="N455" s="30" t="str">
        <x:v>145</x:v>
      </x:c>
      <x:c r="O455" s="30" t="str">
        <x:v>Инфляция представляет длительное повышение общего уровня цен и обесценение денег. При сокращении выпуска при неизменной денежной массе цены могут расти; инфляция снижает реальные доходы и обесценивает сбережения. По темпам выделяют умеренную, галопирующую и гиперинфляцию, а не инфляцию спроса и предложения.</x:v>
      </x:c>
      <x:c r="P455" s="30" t="str">
        <x:v>Суждения проверены по определению, причинам, классификации и последствиям инфляции.</x:v>
      </x:c>
      <x:c r="Q455" s="30"/>
      <x:c r="R455" s="30" t="str">
        <x:v>Таблица коротких ответов для варианта в архиве не обнаружена; решено независимо.</x:v>
      </x:c>
      <x:c r="S455" s="30"/>
      <x:c r="T455" s="30"/>
      <x:c r="U455" s="30" t="str">
        <x:v>Расхождений не выявлено.</x:v>
      </x:c>
      <x:c r="V455" s="87" t="str">
        <x:v>VERIFIED</x:v>
      </x:c>
      <x:c r="W455" s="87" t="n">
        <x:v>4</x:v>
      </x:c>
      <x:c r="X455" s="87"/>
      <x:c r="Y455" s="87"/>
      <x:c r="Z455" s="87"/>
      <x:c r="AA455" s="87"/>
      <x:c r="AB455" s="87"/>
      <x:c r="AC455" s="87"/>
      <x:c r="AD455" s="87"/>
      <x:c r="AE455" s="87"/>
      <x:c r="AF455" s="87"/>
      <x:c r="AG455" s="87"/>
      <x:c r="AH455" s="87"/>
      <x:c r="AI455" s="30"/>
      <x:c r="AJ455" s="87" t="str">
        <x:v>master</x:v>
      </x:c>
      <x:c r="AK455" s="87" t="str">
        <x:v>master-v0.81</x:v>
      </x:c>
      <x:c r="AL455" s="87" t="str">
        <x:v>statgrad_master_base_v0_81_final(2).xlsx</x:v>
      </x:c>
      <x:c r="AM455" s="87" t="str">
        <x:v>SOC_Feb_V2</x:v>
      </x:c>
      <x:c r="AN455" s="87" t="n">
        <x:v>6</x:v>
      </x:c>
    </x:row>
    <x:row r="456">
      <x:c r="A456" s="87" t="n">
        <x:v>455</x:v>
      </x:c>
      <x:c r="B456" s="87" t="str">
        <x:v>FEB-SOC-V2-006</x:v>
      </x:c>
      <x:c r="C456" s="87" t="str">
        <x:v>СтатГрад</x:v>
      </x:c>
      <x:c r="D456" s="87" t="str">
        <x:v>Февраль 2026</x:v>
      </x:c>
      <x:c r="E456" s="87"/>
      <x:c r="F456" s="87"/>
      <x:c r="G456" s="87" t="str">
        <x:v>Обществознание</x:v>
      </x:c>
      <x:c r="H456" s="87" t="n">
        <x:v>11</x:v>
      </x:c>
      <x:c r="I456" s="87" t="str">
        <x:v>ТР №4</x:v>
      </x:c>
      <x:c r="J456" s="87" t="str">
        <x:v>ОБ2510402</x:v>
      </x:c>
      <x:c r="K456" s="87" t="n">
        <x:v>6</x:v>
      </x:c>
      <x:c r="L456" s="87" t="str">
        <x:v>Виды безработицы</x:v>
      </x:c>
      <x:c r="M456" s="30" t="str">
        <x:v>Соотнесите ситуации с циклической, фрикционной и структурной безработицей.</x:v>
      </x:c>
      <x:c r="N456" s="30" t="str">
        <x:v>12323</x:v>
      </x:c>
      <x:c r="O456" s="30" t="str">
        <x:v>Массовые увольнения из-за кризиса — циклическая безработица. Добровольная смена места и поиск первой работы — фрикционная. Технологическое сокращение рабочих мест и несоответствие квалификации новым требованиям — структурная.</x:v>
      </x:c>
      <x:c r="P456" s="30" t="str">
        <x:v>Каждый случай проверен по причине потери или поиска работы.</x:v>
      </x:c>
      <x:c r="Q456" s="30"/>
      <x:c r="R456" s="30" t="str">
        <x:v>Таблица коротких ответов для варианта в архиве не обнаружена; решено независимо.</x:v>
      </x:c>
      <x:c r="S456" s="30"/>
      <x:c r="T456" s="30"/>
      <x:c r="U456" s="30" t="str">
        <x:v>Расхождений не выявлено.</x:v>
      </x:c>
      <x:c r="V456" s="87" t="str">
        <x:v>VERIFIED</x:v>
      </x:c>
      <x:c r="W456" s="87" t="n">
        <x:v>5</x:v>
      </x:c>
      <x:c r="X456" s="87"/>
      <x:c r="Y456" s="87"/>
      <x:c r="Z456" s="87"/>
      <x:c r="AA456" s="87"/>
      <x:c r="AB456" s="87"/>
      <x:c r="AC456" s="87"/>
      <x:c r="AD456" s="87"/>
      <x:c r="AE456" s="87"/>
      <x:c r="AF456" s="87"/>
      <x:c r="AG456" s="87"/>
      <x:c r="AH456" s="87"/>
      <x:c r="AI456" s="30"/>
      <x:c r="AJ456" s="87" t="str">
        <x:v>master</x:v>
      </x:c>
      <x:c r="AK456" s="87" t="str">
        <x:v>master-v0.81</x:v>
      </x:c>
      <x:c r="AL456" s="87" t="str">
        <x:v>statgrad_master_base_v0_81_final(2).xlsx</x:v>
      </x:c>
      <x:c r="AM456" s="87" t="str">
        <x:v>SOC_Feb_V2</x:v>
      </x:c>
      <x:c r="AN456" s="87" t="n">
        <x:v>7</x:v>
      </x:c>
    </x:row>
    <x:row r="457">
      <x:c r="A457" s="87" t="n">
        <x:v>456</x:v>
      </x:c>
      <x:c r="B457" s="87" t="str">
        <x:v>FEB-SOC-V2-007</x:v>
      </x:c>
      <x:c r="C457" s="87" t="str">
        <x:v>СтатГрад</x:v>
      </x:c>
      <x:c r="D457" s="87" t="str">
        <x:v>Февраль 2026</x:v>
      </x:c>
      <x:c r="E457" s="87"/>
      <x:c r="F457" s="87"/>
      <x:c r="G457" s="87" t="str">
        <x:v>Обществознание</x:v>
      </x:c>
      <x:c r="H457" s="87" t="n">
        <x:v>11</x:v>
      </x:c>
      <x:c r="I457" s="87" t="str">
        <x:v>ТР №4</x:v>
      </x:c>
      <x:c r="J457" s="87" t="str">
        <x:v>ОБ2510402</x:v>
      </x:c>
      <x:c r="K457" s="87" t="n">
        <x:v>7</x:v>
      </x:c>
      <x:c r="L457" s="87" t="str">
        <x:v>Источники финансирования бизнеса</x:v>
      </x:c>
      <x:c r="M457" s="30" t="str">
        <x:v>Выберите внутренние источники финансирования производственной деятельности фирмы.</x:v>
      </x:c>
      <x:c r="N457" s="30" t="str">
        <x:v>15</x:v>
      </x:c>
      <x:c r="O457" s="30" t="str">
        <x:v>Амортизационные отчисления и прибыль формируются внутри предприятия. Выпуск ценных бумаг, бюджетные средства, банковский и коммерческий кредиты являются внешними источниками.</x:v>
      </x:c>
      <x:c r="P457" s="30" t="str">
        <x:v>Источники классифицированы по происхождению средств относительно фирмы.</x:v>
      </x:c>
      <x:c r="Q457" s="30"/>
      <x:c r="R457" s="30" t="str">
        <x:v>Таблица коротких ответов для варианта в архиве не обнаружена; решено независимо.</x:v>
      </x:c>
      <x:c r="S457" s="30"/>
      <x:c r="T457" s="30"/>
      <x:c r="U457" s="30" t="str">
        <x:v>Расхождений не выявлено.</x:v>
      </x:c>
      <x:c r="V457" s="87" t="str">
        <x:v>VERIFIED</x:v>
      </x:c>
      <x:c r="W457" s="87" t="n">
        <x:v>6</x:v>
      </x:c>
      <x:c r="X457" s="87"/>
      <x:c r="Y457" s="87"/>
      <x:c r="Z457" s="87"/>
      <x:c r="AA457" s="87"/>
      <x:c r="AB457" s="87"/>
      <x:c r="AC457" s="87"/>
      <x:c r="AD457" s="87"/>
      <x:c r="AE457" s="87"/>
      <x:c r="AF457" s="87"/>
      <x:c r="AG457" s="87"/>
      <x:c r="AH457" s="87"/>
      <x:c r="AI457" s="30"/>
      <x:c r="AJ457" s="87" t="str">
        <x:v>master</x:v>
      </x:c>
      <x:c r="AK457" s="87" t="str">
        <x:v>master-v0.81</x:v>
      </x:c>
      <x:c r="AL457" s="87" t="str">
        <x:v>statgrad_master_base_v0_81_final(2).xlsx</x:v>
      </x:c>
      <x:c r="AM457" s="87" t="str">
        <x:v>SOC_Feb_V2</x:v>
      </x:c>
      <x:c r="AN457" s="87" t="n">
        <x:v>8</x:v>
      </x:c>
    </x:row>
    <x:row r="458">
      <x:c r="A458" s="87" t="n">
        <x:v>457</x:v>
      </x:c>
      <x:c r="B458" s="87" t="str">
        <x:v>FEB-SOC-V2-008</x:v>
      </x:c>
      <x:c r="C458" s="87" t="str">
        <x:v>СтатГрад</x:v>
      </x:c>
      <x:c r="D458" s="87" t="str">
        <x:v>Февраль 2026</x:v>
      </x:c>
      <x:c r="E458" s="87"/>
      <x:c r="F458" s="87"/>
      <x:c r="G458" s="87" t="str">
        <x:v>Обществознание</x:v>
      </x:c>
      <x:c r="H458" s="87" t="n">
        <x:v>11</x:v>
      </x:c>
      <x:c r="I458" s="87" t="str">
        <x:v>ТР №4</x:v>
      </x:c>
      <x:c r="J458" s="87" t="str">
        <x:v>ОБ2510402</x:v>
      </x:c>
      <x:c r="K458" s="87" t="n">
        <x:v>8</x:v>
      </x:c>
      <x:c r="L458" s="87" t="str">
        <x:v>Социальный конфликт</x:v>
      </x:c>
      <x:c r="M458" s="30" t="str">
        <x:v>Выберите верные суждения о социальном конфликте и путях его разрешения.</x:v>
      </x:c>
      <x:c r="N458" s="30" t="str">
        <x:v>245</x:v>
      </x:c>
      <x:c r="O458" s="30" t="str">
        <x:v>Неравный доступ к благам может вызвать конфликт; переговоры позволяют учесть интересы сторон; разрешение противоречий способствует развитию общества. Стремление к единой позиции не определяет конфликт, а явные и скрытые конфликты выделяют по форме проявления, не по масштабу.</x:v>
      </x:c>
      <x:c r="P458" s="30" t="str">
        <x:v>Каждое суждение проверено по причинам, признакам, классификации и функциям конфликта.</x:v>
      </x:c>
      <x:c r="Q458" s="30"/>
      <x:c r="R458" s="30" t="str">
        <x:v>Таблица коротких ответов для варианта в архиве не обнаружена; решено независимо.</x:v>
      </x:c>
      <x:c r="S458" s="30"/>
      <x:c r="T458" s="30"/>
      <x:c r="U458" s="30" t="str">
        <x:v>Расхождений не выявлено.</x:v>
      </x:c>
      <x:c r="V458" s="87" t="str">
        <x:v>VERIFIED</x:v>
      </x:c>
      <x:c r="W458" s="87" t="n">
        <x:v>6</x:v>
      </x:c>
      <x:c r="X458" s="87"/>
      <x:c r="Y458" s="87"/>
      <x:c r="Z458" s="87"/>
      <x:c r="AA458" s="87"/>
      <x:c r="AB458" s="87"/>
      <x:c r="AC458" s="87"/>
      <x:c r="AD458" s="87"/>
      <x:c r="AE458" s="87"/>
      <x:c r="AF458" s="87"/>
      <x:c r="AG458" s="87"/>
      <x:c r="AH458" s="87"/>
      <x:c r="AI458" s="30"/>
      <x:c r="AJ458" s="87" t="str">
        <x:v>master</x:v>
      </x:c>
      <x:c r="AK458" s="87" t="str">
        <x:v>master-v0.81</x:v>
      </x:c>
      <x:c r="AL458" s="87" t="str">
        <x:v>statgrad_master_base_v0_81_final(2).xlsx</x:v>
      </x:c>
      <x:c r="AM458" s="87" t="str">
        <x:v>SOC_Feb_V2</x:v>
      </x:c>
      <x:c r="AN458" s="87" t="n">
        <x:v>9</x:v>
      </x:c>
    </x:row>
    <x:row r="459">
      <x:c r="A459" s="87" t="n">
        <x:v>458</x:v>
      </x:c>
      <x:c r="B459" s="87" t="str">
        <x:v>FEB-SOC-V2-009</x:v>
      </x:c>
      <x:c r="C459" s="87" t="str">
        <x:v>СтатГрад</x:v>
      </x:c>
      <x:c r="D459" s="87" t="str">
        <x:v>Февраль 2026</x:v>
      </x:c>
      <x:c r="E459" s="87"/>
      <x:c r="F459" s="87"/>
      <x:c r="G459" s="87" t="str">
        <x:v>Обществознание</x:v>
      </x:c>
      <x:c r="H459" s="87" t="n">
        <x:v>11</x:v>
      </x:c>
      <x:c r="I459" s="87" t="str">
        <x:v>ТР №4</x:v>
      </x:c>
      <x:c r="J459" s="87" t="str">
        <x:v>ОБ2510402</x:v>
      </x:c>
      <x:c r="K459" s="87" t="n">
        <x:v>9</x:v>
      </x:c>
      <x:c r="L459" s="87" t="str">
        <x:v>Анализ диаграммы</x:v>
      </x:c>
      <x:c r="M459" s="30" t="str">
        <x:v>По диаграмме предпочтительных профессий для детей в 2023 и 2024 гг. выберите допустимые выводы.</x:v>
      </x:c>
      <x:c r="N459" s="30" t="str">
        <x:v>245</x:v>
      </x:c>
      <x:c r="O459" s="30" t="str">
        <x:v>Доля выбора творческой профессии снизилась примерно с 5% до 2%, то есть более чем вдвое. В 2024 г. инженера выбрали около 12%, что больше 6% для финансиста в 2023 г. В оба года максимальная доля приходится на здравоохранение.</x:v>
      </x:c>
      <x:c r="P459" s="30" t="str">
        <x:v>Каждый вывод сопоставлен с длинами столбцов и шкалой диаграммы.</x:v>
      </x:c>
      <x:c r="Q459" s="30"/>
      <x:c r="R459" s="30" t="str">
        <x:v>Таблица коротких ответов для варианта в архиве не обнаружена; решено независимо.</x:v>
      </x:c>
      <x:c r="S459" s="30"/>
      <x:c r="T459" s="30"/>
      <x:c r="U459" s="30" t="str">
        <x:v>Расхождений не выявлено.</x:v>
      </x:c>
      <x:c r="V459" s="87" t="str">
        <x:v>VERIFIED</x:v>
      </x:c>
      <x:c r="W459" s="87" t="str">
        <x:v>7–8</x:v>
      </x:c>
      <x:c r="X459" s="87"/>
      <x:c r="Y459" s="87"/>
      <x:c r="Z459" s="87"/>
      <x:c r="AA459" s="87"/>
      <x:c r="AB459" s="87"/>
      <x:c r="AC459" s="87"/>
      <x:c r="AD459" s="87"/>
      <x:c r="AE459" s="87"/>
      <x:c r="AF459" s="87"/>
      <x:c r="AG459" s="87"/>
      <x:c r="AH459" s="87"/>
      <x:c r="AI459" s="30"/>
      <x:c r="AJ459" s="87" t="str">
        <x:v>master</x:v>
      </x:c>
      <x:c r="AK459" s="87" t="str">
        <x:v>master-v0.81</x:v>
      </x:c>
      <x:c r="AL459" s="87" t="str">
        <x:v>statgrad_master_base_v0_81_final(2).xlsx</x:v>
      </x:c>
      <x:c r="AM459" s="87" t="str">
        <x:v>SOC_Feb_V2</x:v>
      </x:c>
      <x:c r="AN459" s="87" t="n">
        <x:v>10</x:v>
      </x:c>
    </x:row>
    <x:row r="460">
      <x:c r="A460" s="87" t="n">
        <x:v>459</x:v>
      </x:c>
      <x:c r="B460" s="87" t="str">
        <x:v>FEB-SOC-V2-010</x:v>
      </x:c>
      <x:c r="C460" s="87" t="str">
        <x:v>СтатГрад</x:v>
      </x:c>
      <x:c r="D460" s="87" t="str">
        <x:v>Февраль 2026</x:v>
      </x:c>
      <x:c r="E460" s="87"/>
      <x:c r="F460" s="87"/>
      <x:c r="G460" s="87" t="str">
        <x:v>Обществознание</x:v>
      </x:c>
      <x:c r="H460" s="87" t="n">
        <x:v>11</x:v>
      </x:c>
      <x:c r="I460" s="87" t="str">
        <x:v>ТР №4</x:v>
      </x:c>
      <x:c r="J460" s="87" t="str">
        <x:v>ОБ2510402</x:v>
      </x:c>
      <x:c r="K460" s="87" t="n">
        <x:v>10</x:v>
      </x:c>
      <x:c r="L460" s="87" t="str">
        <x:v>Государственная власть</x:v>
      </x:c>
      <x:c r="M460" s="30" t="str">
        <x:v>Выберите верные суждения об особенностях государственной власти.</x:v>
      </x:c>
      <x:c r="N460" s="30" t="str">
        <x:v>345</x:v>
      </x:c>
      <x:c r="O460" s="30" t="str">
        <x:v>Государственная власть использует различные ресурсы, включая принуждение; государство обладает исключительным правом принимать общеобязательные законы; суверенитет означает верховенство внутри страны и независимость во внешних отношениях. Политическая власть шире государственной.</x:v>
      </x:c>
      <x:c r="P460" s="30" t="str">
        <x:v>Суждения проверены по субъектам, ресурсам, правотворчеству и суверенитету.</x:v>
      </x:c>
      <x:c r="Q460" s="30"/>
      <x:c r="R460" s="30" t="str">
        <x:v>Таблица коротких ответов для варианта в архиве не обнаружена; решено независимо.</x:v>
      </x:c>
      <x:c r="S460" s="30"/>
      <x:c r="T460" s="30"/>
      <x:c r="U460" s="30" t="str">
        <x:v>Расхождений не выявлено.</x:v>
      </x:c>
      <x:c r="V460" s="87" t="str">
        <x:v>VERIFIED</x:v>
      </x:c>
      <x:c r="W460" s="87" t="n">
        <x:v>8</x:v>
      </x:c>
      <x:c r="X460" s="87"/>
      <x:c r="Y460" s="87"/>
      <x:c r="Z460" s="87"/>
      <x:c r="AA460" s="87"/>
      <x:c r="AB460" s="87"/>
      <x:c r="AC460" s="87"/>
      <x:c r="AD460" s="87"/>
      <x:c r="AE460" s="87"/>
      <x:c r="AF460" s="87"/>
      <x:c r="AG460" s="87"/>
      <x:c r="AH460" s="87"/>
      <x:c r="AI460" s="30"/>
      <x:c r="AJ460" s="87" t="str">
        <x:v>master</x:v>
      </x:c>
      <x:c r="AK460" s="87" t="str">
        <x:v>master-v0.81</x:v>
      </x:c>
      <x:c r="AL460" s="87" t="str">
        <x:v>statgrad_master_base_v0_81_final(2).xlsx</x:v>
      </x:c>
      <x:c r="AM460" s="87" t="str">
        <x:v>SOC_Feb_V2</x:v>
      </x:c>
      <x:c r="AN460" s="87" t="n">
        <x:v>11</x:v>
      </x:c>
    </x:row>
    <x:row r="461">
      <x:c r="A461" s="87" t="n">
        <x:v>460</x:v>
      </x:c>
      <x:c r="B461" s="87" t="str">
        <x:v>FEB-SOC-V2-011</x:v>
      </x:c>
      <x:c r="C461" s="87" t="str">
        <x:v>СтатГрад</x:v>
      </x:c>
      <x:c r="D461" s="87" t="str">
        <x:v>Февраль 2026</x:v>
      </x:c>
      <x:c r="E461" s="87"/>
      <x:c r="F461" s="87"/>
      <x:c r="G461" s="87" t="str">
        <x:v>Обществознание</x:v>
      </x:c>
      <x:c r="H461" s="87" t="n">
        <x:v>11</x:v>
      </x:c>
      <x:c r="I461" s="87" t="str">
        <x:v>ТР №4</x:v>
      </x:c>
      <x:c r="J461" s="87" t="str">
        <x:v>ОБ2510402</x:v>
      </x:c>
      <x:c r="K461" s="87" t="n">
        <x:v>11</x:v>
      </x:c>
      <x:c r="L461" s="87" t="str">
        <x:v>Правовое государство</x:v>
      </x:c>
      <x:c r="M461" s="30" t="str">
        <x:v>Выберите признаки, подтверждающие характеристику государства Z как правового.</x:v>
      </x:c>
      <x:c r="N461" s="30" t="str">
        <x:v>123</x:v>
      </x:c>
      <x:c r="O461" s="30" t="str">
        <x:v>К признакам правового государства относятся разделение властей, гарантированность прав и свобод и подчинение органов власти закону. Парламентская республика, конкретная правящая партия и частная собственность сами по себе не доказывают правовой характер государства.</x:v>
      </x:c>
      <x:c r="P461" s="30" t="str">
        <x:v>Признаки отделены от формы правления, партийной системы и экономического уклада.</x:v>
      </x:c>
      <x:c r="Q461" s="30"/>
      <x:c r="R461" s="30" t="str">
        <x:v>Таблица коротких ответов для варианта в архиве не обнаружена; решено независимо.</x:v>
      </x:c>
      <x:c r="S461" s="30"/>
      <x:c r="T461" s="30"/>
      <x:c r="U461" s="30" t="str">
        <x:v>Расхождений не выявлено.</x:v>
      </x:c>
      <x:c r="V461" s="87" t="str">
        <x:v>VERIFIED</x:v>
      </x:c>
      <x:c r="W461" s="87" t="n">
        <x:v>9</x:v>
      </x:c>
      <x:c r="X461" s="87"/>
      <x:c r="Y461" s="87"/>
      <x:c r="Z461" s="87"/>
      <x:c r="AA461" s="87"/>
      <x:c r="AB461" s="87"/>
      <x:c r="AC461" s="87"/>
      <x:c r="AD461" s="87"/>
      <x:c r="AE461" s="87"/>
      <x:c r="AF461" s="87"/>
      <x:c r="AG461" s="87"/>
      <x:c r="AH461" s="87"/>
      <x:c r="AI461" s="30"/>
      <x:c r="AJ461" s="87" t="str">
        <x:v>master</x:v>
      </x:c>
      <x:c r="AK461" s="87" t="str">
        <x:v>master-v0.81</x:v>
      </x:c>
      <x:c r="AL461" s="87" t="str">
        <x:v>statgrad_master_base_v0_81_final(2).xlsx</x:v>
      </x:c>
      <x:c r="AM461" s="87" t="str">
        <x:v>SOC_Feb_V2</x:v>
      </x:c>
      <x:c r="AN461" s="87" t="n">
        <x:v>12</x:v>
      </x:c>
    </x:row>
    <x:row r="462">
      <x:c r="A462" s="87" t="n">
        <x:v>461</x:v>
      </x:c>
      <x:c r="B462" s="87" t="str">
        <x:v>FEB-SOC-V2-012</x:v>
      </x:c>
      <x:c r="C462" s="87" t="str">
        <x:v>СтатГрад</x:v>
      </x:c>
      <x:c r="D462" s="87" t="str">
        <x:v>Февраль 2026</x:v>
      </x:c>
      <x:c r="E462" s="87"/>
      <x:c r="F462" s="87"/>
      <x:c r="G462" s="87" t="str">
        <x:v>Обществознание</x:v>
      </x:c>
      <x:c r="H462" s="87" t="n">
        <x:v>11</x:v>
      </x:c>
      <x:c r="I462" s="87" t="str">
        <x:v>ТР №4</x:v>
      </x:c>
      <x:c r="J462" s="87" t="str">
        <x:v>ОБ2510402</x:v>
      </x:c>
      <x:c r="K462" s="87" t="n">
        <x:v>12</x:v>
      </x:c>
      <x:c r="L462" s="87" t="str">
        <x:v>Социально-экономические права</x:v>
      </x:c>
      <x:c r="M462" s="30" t="str">
        <x:v>Выберите социально-экономические права граждан Российской Федерации.</x:v>
      </x:c>
      <x:c r="N462" s="30" t="str">
        <x:v>45</x:v>
      </x:c>
      <x:c r="O462" s="30" t="str">
        <x:v>Право на отдых и право на образование относятся к социально-экономическим и социальным правам. Равный доступ к государственной службе и право на собрания — политические права, право на тайну — личное.</x:v>
      </x:c>
      <x:c r="P462" s="30" t="str">
        <x:v>Каждая позиция классифицирована по группе конституционных прав.</x:v>
      </x:c>
      <x:c r="Q462" s="30"/>
      <x:c r="R462" s="30" t="str">
        <x:v>Таблица коротких ответов для варианта в архиве не обнаружена; решено независимо.</x:v>
      </x:c>
      <x:c r="S462" s="30"/>
      <x:c r="T462" s="30"/>
      <x:c r="U462" s="30" t="str">
        <x:v>Расхождений не выявлено.</x:v>
      </x:c>
      <x:c r="V462" s="87" t="str">
        <x:v>VERIFIED</x:v>
      </x:c>
      <x:c r="W462" s="87" t="n">
        <x:v>9</x:v>
      </x:c>
      <x:c r="X462" s="87"/>
      <x:c r="Y462" s="87"/>
      <x:c r="Z462" s="87"/>
      <x:c r="AA462" s="87"/>
      <x:c r="AB462" s="87"/>
      <x:c r="AC462" s="87"/>
      <x:c r="AD462" s="87"/>
      <x:c r="AE462" s="87"/>
      <x:c r="AF462" s="87"/>
      <x:c r="AG462" s="87"/>
      <x:c r="AH462" s="87"/>
      <x:c r="AI462" s="30"/>
      <x:c r="AJ462" s="87" t="str">
        <x:v>master</x:v>
      </x:c>
      <x:c r="AK462" s="87" t="str">
        <x:v>master-v0.81</x:v>
      </x:c>
      <x:c r="AL462" s="87" t="str">
        <x:v>statgrad_master_base_v0_81_final(2).xlsx</x:v>
      </x:c>
      <x:c r="AM462" s="87" t="str">
        <x:v>SOC_Feb_V2</x:v>
      </x:c>
      <x:c r="AN462" s="87" t="n">
        <x:v>13</x:v>
      </x:c>
    </x:row>
    <x:row r="463">
      <x:c r="A463" s="87" t="n">
        <x:v>462</x:v>
      </x:c>
      <x:c r="B463" s="87" t="str">
        <x:v>FEB-SOC-V2-013</x:v>
      </x:c>
      <x:c r="C463" s="87" t="str">
        <x:v>СтатГрад</x:v>
      </x:c>
      <x:c r="D463" s="87" t="str">
        <x:v>Февраль 2026</x:v>
      </x:c>
      <x:c r="E463" s="87"/>
      <x:c r="F463" s="87"/>
      <x:c r="G463" s="87" t="str">
        <x:v>Обществознание</x:v>
      </x:c>
      <x:c r="H463" s="87" t="n">
        <x:v>11</x:v>
      </x:c>
      <x:c r="I463" s="87" t="str">
        <x:v>ТР №4</x:v>
      </x:c>
      <x:c r="J463" s="87" t="str">
        <x:v>ОБ2510402</x:v>
      </x:c>
      <x:c r="K463" s="87" t="n">
        <x:v>13</x:v>
      </x:c>
      <x:c r="L463" s="87" t="str">
        <x:v>Предметы ведения Федерации</x:v>
      </x:c>
      <x:c r="M463" s="30" t="str">
        <x:v>Соотнесите функции с исключительным ведением федерального центра или совместным ведением Федерации и её субъектов.</x:v>
      </x:c>
      <x:c r="N463" s="30" t="str">
        <x:v>12112</x:v>
      </x:c>
      <x:c r="O463" s="30" t="str">
        <x:v>Правовые основы единого рынка, амнистия и помилование и формирование федеральных органов относятся к ведению Федерации. Законность, правопорядок и общественная безопасность, а также разграничение государственной собственности относятся к совместному ведению.</x:v>
      </x:c>
      <x:c r="P463" s="30" t="str">
        <x:v>Все полномочия сопоставлены с конституционным разграничением предметов ведения.</x:v>
      </x:c>
      <x:c r="Q463" s="30"/>
      <x:c r="R463" s="30" t="str">
        <x:v>Таблица коротких ответов для варианта в архиве не обнаружена; решено независимо.</x:v>
      </x:c>
      <x:c r="S463" s="30"/>
      <x:c r="T463" s="30"/>
      <x:c r="U463" s="30" t="str">
        <x:v>Расхождений не выявлено.</x:v>
      </x:c>
      <x:c r="V463" s="87" t="str">
        <x:v>VERIFIED</x:v>
      </x:c>
      <x:c r="W463" s="87" t="n">
        <x:v>10</x:v>
      </x:c>
      <x:c r="X463" s="87"/>
      <x:c r="Y463" s="87"/>
      <x:c r="Z463" s="87"/>
      <x:c r="AA463" s="87"/>
      <x:c r="AB463" s="87"/>
      <x:c r="AC463" s="87"/>
      <x:c r="AD463" s="87"/>
      <x:c r="AE463" s="87"/>
      <x:c r="AF463" s="87"/>
      <x:c r="AG463" s="87"/>
      <x:c r="AH463" s="87"/>
      <x:c r="AI463" s="30"/>
      <x:c r="AJ463" s="87" t="str">
        <x:v>master</x:v>
      </x:c>
      <x:c r="AK463" s="87" t="str">
        <x:v>master-v0.81</x:v>
      </x:c>
      <x:c r="AL463" s="87" t="str">
        <x:v>statgrad_master_base_v0_81_final(2).xlsx</x:v>
      </x:c>
      <x:c r="AM463" s="87" t="str">
        <x:v>SOC_Feb_V2</x:v>
      </x:c>
      <x:c r="AN463" s="87" t="n">
        <x:v>14</x:v>
      </x:c>
    </x:row>
    <x:row r="464">
      <x:c r="A464" s="87" t="n">
        <x:v>463</x:v>
      </x:c>
      <x:c r="B464" s="87" t="str">
        <x:v>FEB-SOC-V2-014</x:v>
      </x:c>
      <x:c r="C464" s="87" t="str">
        <x:v>СтатГрад</x:v>
      </x:c>
      <x:c r="D464" s="87" t="str">
        <x:v>Февраль 2026</x:v>
      </x:c>
      <x:c r="E464" s="87"/>
      <x:c r="F464" s="87"/>
      <x:c r="G464" s="87" t="str">
        <x:v>Обществознание</x:v>
      </x:c>
      <x:c r="H464" s="87" t="n">
        <x:v>11</x:v>
      </x:c>
      <x:c r="I464" s="87" t="str">
        <x:v>ТР №4</x:v>
      </x:c>
      <x:c r="J464" s="87" t="str">
        <x:v>ОБ2510402</x:v>
      </x:c>
      <x:c r="K464" s="87" t="n">
        <x:v>14</x:v>
      </x:c>
      <x:c r="L464" s="87" t="str">
        <x:v>Правонарушение</x:v>
      </x:c>
      <x:c r="M464" s="30" t="str">
        <x:v>Выберите верные суждения о видах и составе правонарушений.</x:v>
      </x:c>
      <x:c r="N464" s="30" t="str">
        <x:v>345</x:v>
      </x:c>
      <x:c r="O464" s="30" t="str">
        <x:v>Состав правонарушения включает субъект, субъективную сторону, объект и объективную сторону; физическое лицо становится субъектом ответственности с установленного законом возраста; преступление — виновное общественно опасное деяние, запрещённое уголовным законом. Правонарушение является деянием, а вина возможна и в форме неосторожности.</x:v>
      </x:c>
      <x:c r="P464" s="30" t="str">
        <x:v>Все утверждения проверены по признакам правонарушения, его составу и формам вины.</x:v>
      </x:c>
      <x:c r="Q464" s="30"/>
      <x:c r="R464" s="30" t="str">
        <x:v>Таблица коротких ответов для варианта в архиве не обнаружена; решено независимо.</x:v>
      </x:c>
      <x:c r="S464" s="30"/>
      <x:c r="T464" s="30"/>
      <x:c r="U464" s="30" t="str">
        <x:v>Расхождений не выявлено.</x:v>
      </x:c>
      <x:c r="V464" s="87" t="str">
        <x:v>VERIFIED</x:v>
      </x:c>
      <x:c r="W464" s="87" t="n">
        <x:v>10</x:v>
      </x:c>
      <x:c r="X464" s="87"/>
      <x:c r="Y464" s="87"/>
      <x:c r="Z464" s="87"/>
      <x:c r="AA464" s="87"/>
      <x:c r="AB464" s="87"/>
      <x:c r="AC464" s="87"/>
      <x:c r="AD464" s="87"/>
      <x:c r="AE464" s="87"/>
      <x:c r="AF464" s="87"/>
      <x:c r="AG464" s="87"/>
      <x:c r="AH464" s="87"/>
      <x:c r="AI464" s="30"/>
      <x:c r="AJ464" s="87" t="str">
        <x:v>master</x:v>
      </x:c>
      <x:c r="AK464" s="87" t="str">
        <x:v>master-v0.81</x:v>
      </x:c>
      <x:c r="AL464" s="87" t="str">
        <x:v>statgrad_master_base_v0_81_final(2).xlsx</x:v>
      </x:c>
      <x:c r="AM464" s="87" t="str">
        <x:v>SOC_Feb_V2</x:v>
      </x:c>
      <x:c r="AN464" s="87" t="n">
        <x:v>15</x:v>
      </x:c>
    </x:row>
    <x:row r="465">
      <x:c r="A465" s="87" t="n">
        <x:v>464</x:v>
      </x:c>
      <x:c r="B465" s="87" t="str">
        <x:v>FEB-SOC-V2-015</x:v>
      </x:c>
      <x:c r="C465" s="87" t="str">
        <x:v>СтатГрад</x:v>
      </x:c>
      <x:c r="D465" s="87" t="str">
        <x:v>Февраль 2026</x:v>
      </x:c>
      <x:c r="E465" s="87"/>
      <x:c r="F465" s="87"/>
      <x:c r="G465" s="87" t="str">
        <x:v>Обществознание</x:v>
      </x:c>
      <x:c r="H465" s="87" t="n">
        <x:v>11</x:v>
      </x:c>
      <x:c r="I465" s="87" t="str">
        <x:v>ТР №4</x:v>
      </x:c>
      <x:c r="J465" s="87" t="str">
        <x:v>ОБ2510402</x:v>
      </x:c>
      <x:c r="K465" s="87" t="n">
        <x:v>15</x:v>
      </x:c>
      <x:c r="L465" s="87" t="str">
        <x:v>Экологические права и обязанности</x:v>
      </x:c>
      <x:c r="M465" s="30" t="str">
        <x:v>Соотнесите действия с правами и обязанностями граждан в сфере охраны окружающей среды.</x:v>
      </x:c>
      <x:c r="N465" s="30" t="str">
        <x:v>11212</x:v>
      </x:c>
      <x:c r="O465" s="30" t="str">
        <x:v>Участие в общественной экологической экспертизе, создание экологических НКО и получение достоверной информации являются правами. Защита окружающей среды и бережное отношение к природным богатствам — обязанности.</x:v>
      </x:c>
      <x:c r="P465" s="30" t="str">
        <x:v>Каждое действие проверено по различию разрешённого поведения и юридически должного поведения.</x:v>
      </x:c>
      <x:c r="Q465" s="30"/>
      <x:c r="R465" s="30" t="str">
        <x:v>Таблица коротких ответов для варианта в архиве не обнаружена; решено независимо.</x:v>
      </x:c>
      <x:c r="S465" s="30"/>
      <x:c r="T465" s="30"/>
      <x:c r="U465" s="30" t="str">
        <x:v>Расхождений не выявлено.</x:v>
      </x:c>
      <x:c r="V465" s="87" t="str">
        <x:v>VERIFIED</x:v>
      </x:c>
      <x:c r="W465" s="87" t="n">
        <x:v>11</x:v>
      </x:c>
      <x:c r="X465" s="87"/>
      <x:c r="Y465" s="87"/>
      <x:c r="Z465" s="87"/>
      <x:c r="AA465" s="87"/>
      <x:c r="AB465" s="87"/>
      <x:c r="AC465" s="87"/>
      <x:c r="AD465" s="87"/>
      <x:c r="AE465" s="87"/>
      <x:c r="AF465" s="87"/>
      <x:c r="AG465" s="87"/>
      <x:c r="AH465" s="87"/>
      <x:c r="AI465" s="30"/>
      <x:c r="AJ465" s="87" t="str">
        <x:v>master</x:v>
      </x:c>
      <x:c r="AK465" s="87" t="str">
        <x:v>master-v0.81</x:v>
      </x:c>
      <x:c r="AL465" s="87" t="str">
        <x:v>statgrad_master_base_v0_81_final(2).xlsx</x:v>
      </x:c>
      <x:c r="AM465" s="87" t="str">
        <x:v>SOC_Feb_V2</x:v>
      </x:c>
      <x:c r="AN465" s="87" t="n">
        <x:v>16</x:v>
      </x:c>
    </x:row>
    <x:row r="466">
      <x:c r="A466" s="87" t="n">
        <x:v>465</x:v>
      </x:c>
      <x:c r="B466" s="87" t="str">
        <x:v>FEB-SOC-V2-016</x:v>
      </x:c>
      <x:c r="C466" s="87" t="str">
        <x:v>СтатГрад</x:v>
      </x:c>
      <x:c r="D466" s="87" t="str">
        <x:v>Февраль 2026</x:v>
      </x:c>
      <x:c r="E466" s="87"/>
      <x:c r="F466" s="87"/>
      <x:c r="G466" s="87" t="str">
        <x:v>Обществознание</x:v>
      </x:c>
      <x:c r="H466" s="87" t="n">
        <x:v>11</x:v>
      </x:c>
      <x:c r="I466" s="87" t="str">
        <x:v>ТР №4</x:v>
      </x:c>
      <x:c r="J466" s="87" t="str">
        <x:v>ОБ2510402</x:v>
      </x:c>
      <x:c r="K466" s="87" t="n">
        <x:v>16</x:v>
      </x:c>
      <x:c r="L466" s="87" t="str">
        <x:v>Дисциплинарная ответственность</x:v>
      </x:c>
      <x:c r="M466" s="30" t="str">
        <x:v>Выберите виды дисциплинарных взысканий, установленные трудовым законодательством Российской Федерации.</x:v>
      </x:c>
      <x:c r="N466" s="30" t="str">
        <x:v>146</x:v>
      </x:c>
      <x:c r="O466" s="30" t="str">
        <x:v>К дисциплинарным взысканиям относятся выговор, замечание и увольнение по соответствующим основаниям. Исправительные и обязательные работы — виды юридического наказания иных отраслей, неустойка относится к гражданскому праву.</x:v>
      </x:c>
      <x:c r="P466" s="30" t="str">
        <x:v>Перечень сопоставлен с мерами дисциплинарной ответственности работника.</x:v>
      </x:c>
      <x:c r="Q466" s="30"/>
      <x:c r="R466" s="30" t="str">
        <x:v>Таблица коротких ответов для варианта в архиве не обнаружена; решено независимо.</x:v>
      </x:c>
      <x:c r="S466" s="30"/>
      <x:c r="T466" s="30"/>
      <x:c r="U466" s="30" t="str">
        <x:v>Расхождений не выявлено.</x:v>
      </x:c>
      <x:c r="V466" s="87" t="str">
        <x:v>VERIFIED</x:v>
      </x:c>
      <x:c r="W466" s="87" t="n">
        <x:v>11</x:v>
      </x:c>
      <x:c r="X466" s="87"/>
      <x:c r="Y466" s="87"/>
      <x:c r="Z466" s="87"/>
      <x:c r="AA466" s="87"/>
      <x:c r="AB466" s="87"/>
      <x:c r="AC466" s="87"/>
      <x:c r="AD466" s="87"/>
      <x:c r="AE466" s="87"/>
      <x:c r="AF466" s="87"/>
      <x:c r="AG466" s="87"/>
      <x:c r="AH466" s="87"/>
      <x:c r="AI466" s="30"/>
      <x:c r="AJ466" s="87" t="str">
        <x:v>master</x:v>
      </x:c>
      <x:c r="AK466" s="87" t="str">
        <x:v>master-v0.81</x:v>
      </x:c>
      <x:c r="AL466" s="87" t="str">
        <x:v>statgrad_master_base_v0_81_final(2).xlsx</x:v>
      </x:c>
      <x:c r="AM466" s="87" t="str">
        <x:v>SOC_Feb_V2</x:v>
      </x:c>
      <x:c r="AN466" s="87" t="n">
        <x:v>17</x:v>
      </x:c>
    </x:row>
    <x:row r="467">
      <x:c r="A467" s="87" t="n">
        <x:v>466</x:v>
      </x:c>
      <x:c r="B467" s="87" t="str">
        <x:v>FEB-SOC-V2-017</x:v>
      </x:c>
      <x:c r="C467" s="87" t="str">
        <x:v>СтатГрад</x:v>
      </x:c>
      <x:c r="D467" s="87" t="str">
        <x:v>Февраль 2026</x:v>
      </x:c>
      <x:c r="E467" s="87"/>
      <x:c r="F467" s="87"/>
      <x:c r="G467" s="87" t="str">
        <x:v>Обществознание</x:v>
      </x:c>
      <x:c r="H467" s="87" t="n">
        <x:v>11</x:v>
      </x:c>
      <x:c r="I467" s="87" t="str">
        <x:v>ТР №4</x:v>
      </x:c>
      <x:c r="J467" s="87" t="str">
        <x:v>ОБ2510402</x:v>
      </x:c>
      <x:c r="K467" s="87" t="n">
        <x:v>17</x:v>
      </x:c>
      <x:c r="L467" s="87" t="str">
        <x:v>Развёрнутый ответ: работа с текстом</x:v>
      </x:c>
      <x:c r="M467" s="30" t="str">
        <x:v>Назовите две социальные потребности участников сообщества бренда, изменение отношений бизнеса с клиентами и две выгоды компании.</x:v>
      </x:c>
      <x:c r="N467" s="30" t="str">
        <x:v>Потребности: в качественном окружении; в ощущении значимости своего статуса. Вертикальная связь бренда с клиентом заменяется сотнями и тысячами горизонтальных социальных связей. Выгоды: привлечение новых клиентов через добровольные действия участников сообщества; формирование у клиентов психологической готовности больше тратить на товары бренда.</x:v>
      </x:c>
      <x:c r="O467" s="30" t="str">
        <x:v>Ответ содержит две требуемые потребности без лишних позиций, точную трансформацию связей и две выгоды из текста.</x:v>
      </x:c>
      <x:c r="P467" s="30"/>
      <x:c r="Q467" s="30"/>
      <x:c r="R467" s="30" t="str">
        <x:v>Критерии, стр. 2</x:v>
      </x:c>
      <x:c r="S467" s="30"/>
      <x:c r="T467" s="30"/>
      <x:c r="U467" s="30" t="str">
        <x:v>Критерий перенесён отдельно без изменения.</x:v>
      </x:c>
      <x:c r="V467" s="87" t="str">
        <x:v>VERIFIED</x:v>
      </x:c>
      <x:c r="W467" s="87" t="n">
        <x:v>13</x:v>
      </x:c>
      <x:c r="X467" s="87"/>
      <x:c r="Y467" s="87"/>
      <x:c r="Z467" s="87"/>
      <x:c r="AA467" s="87"/>
      <x:c r="AB467" s="87"/>
      <x:c r="AC467" s="87"/>
      <x:c r="AD467" s="87"/>
      <x:c r="AE467" s="87"/>
      <x:c r="AF467" s="87"/>
      <x:c r="AG467" s="87"/>
      <x:c r="AH467" s="87"/>
      <x:c r="AI467" s="30" t="str">
        <x:v>{"_alignment": "REALIGNED_MISSING_INDEPENDENT_CHECK"}</x:v>
      </x:c>
      <x:c r="AJ467" s="87" t="str">
        <x:v>master</x:v>
      </x:c>
      <x:c r="AK467" s="87" t="str">
        <x:v>master-v0.81</x:v>
      </x:c>
      <x:c r="AL467" s="87" t="str">
        <x:v>statgrad_master_base_v0_81_final(2).xlsx</x:v>
      </x:c>
      <x:c r="AM467" s="87" t="str">
        <x:v>SOC_Feb_V2</x:v>
      </x:c>
      <x:c r="AN467" s="87" t="n">
        <x:v>18</x:v>
      </x:c>
    </x:row>
    <x:row r="468">
      <x:c r="A468" s="87" t="n">
        <x:v>467</x:v>
      </x:c>
      <x:c r="B468" s="87" t="str">
        <x:v>FEB-SOC-V2-018</x:v>
      </x:c>
      <x:c r="C468" s="87" t="str">
        <x:v>СтатГрад</x:v>
      </x:c>
      <x:c r="D468" s="87" t="str">
        <x:v>Февраль 2026</x:v>
      </x:c>
      <x:c r="E468" s="87"/>
      <x:c r="F468" s="87"/>
      <x:c r="G468" s="87" t="str">
        <x:v>Обществознание</x:v>
      </x:c>
      <x:c r="H468" s="87" t="n">
        <x:v>11</x:v>
      </x:c>
      <x:c r="I468" s="87" t="str">
        <x:v>ТР №4</x:v>
      </x:c>
      <x:c r="J468" s="87" t="str">
        <x:v>ОБ2510402</x:v>
      </x:c>
      <x:c r="K468" s="87" t="n">
        <x:v>18</x:v>
      </x:c>
      <x:c r="L468" s="87" t="str">
        <x:v>Развёрнутый ответ: социальная группа</x:v>
      </x:c>
      <x:c r="M468" s="30" t="str">
        <x:v>Укажите не менее трёх признаков социальной группы и объясните связь сообщества с конкурентоспособностью бренда.</x:v>
      </x:c>
      <x:c r="N468" s="30" t="str">
        <x:v>Признаки социальной группы: общий социально значимый признак; взаимодействие участников; общие интересы или цели; общие нормы поведения; осознание принадлежности к группе. Создание сообщества используется брендом для роста продаж и прибыли, поэтому повышает его конкурентоспособность в борьбе с другими производителями.</x:v>
      </x:c>
      <x:c r="O468" s="30" t="str">
        <x:v>Названы пять корректных признаков и дано объяснение применительно к бренду и конкурентной борьбе.</x:v>
      </x:c>
      <x:c r="P468" s="30"/>
      <x:c r="Q468" s="30"/>
      <x:c r="R468" s="30" t="str">
        <x:v>Критерии, стр. 3</x:v>
      </x:c>
      <x:c r="S468" s="30"/>
      <x:c r="T468" s="30"/>
      <x:c r="U468" s="30" t="str">
        <x:v>Критерий перенесён отдельно без изменения.</x:v>
      </x:c>
      <x:c r="V468" s="87" t="str">
        <x:v>VERIFIED</x:v>
      </x:c>
      <x:c r="W468" s="87" t="n">
        <x:v>13</x:v>
      </x:c>
      <x:c r="X468" s="87"/>
      <x:c r="Y468" s="87"/>
      <x:c r="Z468" s="87"/>
      <x:c r="AA468" s="87"/>
      <x:c r="AB468" s="87"/>
      <x:c r="AC468" s="87"/>
      <x:c r="AD468" s="87"/>
      <x:c r="AE468" s="87"/>
      <x:c r="AF468" s="87"/>
      <x:c r="AG468" s="87"/>
      <x:c r="AH468" s="87"/>
      <x:c r="AI468" s="30" t="str">
        <x:v>{"_alignment": "REALIGNED_MISSING_INDEPENDENT_CHECK"}</x:v>
      </x:c>
      <x:c r="AJ468" s="87" t="str">
        <x:v>master</x:v>
      </x:c>
      <x:c r="AK468" s="87" t="str">
        <x:v>master-v0.81</x:v>
      </x:c>
      <x:c r="AL468" s="87" t="str">
        <x:v>statgrad_master_base_v0_81_final(2).xlsx</x:v>
      </x:c>
      <x:c r="AM468" s="87" t="str">
        <x:v>SOC_Feb_V2</x:v>
      </x:c>
      <x:c r="AN468" s="87" t="n">
        <x:v>19</x:v>
      </x:c>
    </x:row>
    <x:row r="469">
      <x:c r="A469" s="87" t="n">
        <x:v>468</x:v>
      </x:c>
      <x:c r="B469" s="87" t="str">
        <x:v>FEB-SOC-V2-019</x:v>
      </x:c>
      <x:c r="C469" s="87" t="str">
        <x:v>СтатГрад</x:v>
      </x:c>
      <x:c r="D469" s="87" t="str">
        <x:v>Февраль 2026</x:v>
      </x:c>
      <x:c r="E469" s="87"/>
      <x:c r="F469" s="87"/>
      <x:c r="G469" s="87" t="str">
        <x:v>Обществознание</x:v>
      </x:c>
      <x:c r="H469" s="87" t="n">
        <x:v>11</x:v>
      </x:c>
      <x:c r="I469" s="87" t="str">
        <x:v>ТР №4</x:v>
      </x:c>
      <x:c r="J469" s="87" t="str">
        <x:v>ОБ2510402</x:v>
      </x:c>
      <x:c r="K469" s="87" t="n">
        <x:v>19</x:v>
      </x:c>
      <x:c r="L469" s="87" t="str">
        <x:v>Развёрнутый ответ: методы конкуренции</x:v>
      </x:c>
      <x:c r="M469" s="30" t="str">
        <x:v>Приведите три развёрнутых примера иных методов конкуренции и после каждого назовите метод.</x:v>
      </x:c>
      <x:c r="N469" s="30" t="str">
        <x:v>1) Производитель ювелирных изделий установил бессрочную гарантию на украшения, привлекая покупателей дополнительным обслуживанием после продажи — послепродажное обслуживание. 2) Сеть супермаркетов регулярно проводит сезонные распродажи и продаёт часть товаров «по акции» — временное снижение цен. 3) Продовольственный магазин установил специальные часы обслуживания пенсионеров — поддержка социально незащищённых групп.</x:v>
      </x:c>
      <x:c r="O469" s="30" t="str">
        <x:v>Каждый пример содержит конкретную ситуацию и после неё отдельное наименование метода; примеры не дублируются.</x:v>
      </x:c>
      <x:c r="P469" s="30"/>
      <x:c r="Q469" s="30"/>
      <x:c r="R469" s="30" t="str">
        <x:v>Критерии, стр. 4–5</x:v>
      </x:c>
      <x:c r="S469" s="30"/>
      <x:c r="T469" s="30"/>
      <x:c r="U469" s="30" t="str">
        <x:v>Критерий перенесён отдельно без изменения.</x:v>
      </x:c>
      <x:c r="V469" s="87" t="str">
        <x:v>VERIFIED</x:v>
      </x:c>
      <x:c r="W469" s="87" t="n">
        <x:v>13</x:v>
      </x:c>
      <x:c r="X469" s="87"/>
      <x:c r="Y469" s="87"/>
      <x:c r="Z469" s="87"/>
      <x:c r="AA469" s="87"/>
      <x:c r="AB469" s="87"/>
      <x:c r="AC469" s="87"/>
      <x:c r="AD469" s="87"/>
      <x:c r="AE469" s="87"/>
      <x:c r="AF469" s="87"/>
      <x:c r="AG469" s="87"/>
      <x:c r="AH469" s="87"/>
      <x:c r="AI469" s="30" t="str">
        <x:v>{"_alignment": "REALIGNED_MISSING_INDEPENDENT_CHECK"}</x:v>
      </x:c>
      <x:c r="AJ469" s="87" t="str">
        <x:v>master</x:v>
      </x:c>
      <x:c r="AK469" s="87" t="str">
        <x:v>master-v0.81</x:v>
      </x:c>
      <x:c r="AL469" s="87" t="str">
        <x:v>statgrad_master_base_v0_81_final(2).xlsx</x:v>
      </x:c>
      <x:c r="AM469" s="87" t="str">
        <x:v>SOC_Feb_V2</x:v>
      </x:c>
      <x:c r="AN469" s="87" t="n">
        <x:v>20</x:v>
      </x:c>
    </x:row>
    <x:row r="470">
      <x:c r="A470" s="87" t="n">
        <x:v>469</x:v>
      </x:c>
      <x:c r="B470" s="87" t="str">
        <x:v>FEB-SOC-V2-020</x:v>
      </x:c>
      <x:c r="C470" s="87" t="str">
        <x:v>СтатГрад</x:v>
      </x:c>
      <x:c r="D470" s="87" t="str">
        <x:v>Февраль 2026</x:v>
      </x:c>
      <x:c r="E470" s="87"/>
      <x:c r="F470" s="87"/>
      <x:c r="G470" s="87" t="str">
        <x:v>Обществознание</x:v>
      </x:c>
      <x:c r="H470" s="87" t="n">
        <x:v>11</x:v>
      </x:c>
      <x:c r="I470" s="87" t="str">
        <x:v>ТР №4</x:v>
      </x:c>
      <x:c r="J470" s="87" t="str">
        <x:v>ОБ2510402</x:v>
      </x:c>
      <x:c r="K470" s="87" t="n">
        <x:v>20</x:v>
      </x:c>
      <x:c r="L470" s="87" t="str">
        <x:v>Развёрнутый ответ: аргументация</x:v>
      </x:c>
      <x:c r="M470" s="30" t="str">
        <x:v>Приведите три объяснения заинтересованности производителей в неценовой конкуренции.</x:v>
      </x:c>
      <x:c r="N470" s="30" t="str">
        <x:v>1) Улучшение потребительских свойств товаров и услуг привлекает покупателей, увеличивает продажи и прибыль производителя. 2) Неценовые методы поддерживают положительный имидж и узнаваемость товара, выполняя функцию дополнительной рекламы бренда. 3) Предоставление дополнительных возможностей и сервиса повышает ценность предложения и позволяет производителю устанавливать более высокую цену.</x:v>
      </x:c>
      <x:c r="O470" s="30" t="str">
        <x:v>Каждое объяснение оформлено распространённым предложением и раскрывает самостоятельную причинно-следственную связь.</x:v>
      </x:c>
      <x:c r="P470" s="30"/>
      <x:c r="Q470" s="30"/>
      <x:c r="R470" s="30" t="str">
        <x:v>Критерии, стр. 5–6</x:v>
      </x:c>
      <x:c r="S470" s="30"/>
      <x:c r="T470" s="30"/>
      <x:c r="U470" s="30" t="str">
        <x:v>Критерий перенесён отдельно без изменения.</x:v>
      </x:c>
      <x:c r="V470" s="87" t="str">
        <x:v>VERIFIED</x:v>
      </x:c>
      <x:c r="W470" s="87" t="n">
        <x:v>13</x:v>
      </x:c>
      <x:c r="X470" s="87"/>
      <x:c r="Y470" s="87"/>
      <x:c r="Z470" s="87"/>
      <x:c r="AA470" s="87"/>
      <x:c r="AB470" s="87"/>
      <x:c r="AC470" s="87"/>
      <x:c r="AD470" s="87"/>
      <x:c r="AE470" s="87"/>
      <x:c r="AF470" s="87"/>
      <x:c r="AG470" s="87"/>
      <x:c r="AH470" s="87"/>
      <x:c r="AI470" s="30" t="str">
        <x:v>{"_alignment": "REALIGNED_MISSING_INDEPENDENT_CHECK"}</x:v>
      </x:c>
      <x:c r="AJ470" s="87" t="str">
        <x:v>master</x:v>
      </x:c>
      <x:c r="AK470" s="87" t="str">
        <x:v>master-v0.81</x:v>
      </x:c>
      <x:c r="AL470" s="87" t="str">
        <x:v>statgrad_master_base_v0_81_final(2).xlsx</x:v>
      </x:c>
      <x:c r="AM470" s="87" t="str">
        <x:v>SOC_Feb_V2</x:v>
      </x:c>
      <x:c r="AN470" s="87" t="n">
        <x:v>21</x:v>
      </x:c>
    </x:row>
    <x:row r="471">
      <x:c r="A471" s="87" t="n">
        <x:v>470</x:v>
      </x:c>
      <x:c r="B471" s="87" t="str">
        <x:v>FEB-SOC-V2-021</x:v>
      </x:c>
      <x:c r="C471" s="87" t="str">
        <x:v>СтатГрад</x:v>
      </x:c>
      <x:c r="D471" s="87" t="str">
        <x:v>Февраль 2026</x:v>
      </x:c>
      <x:c r="E471" s="87"/>
      <x:c r="F471" s="87"/>
      <x:c r="G471" s="87" t="str">
        <x:v>Обществознание</x:v>
      </x:c>
      <x:c r="H471" s="87" t="n">
        <x:v>11</x:v>
      </x:c>
      <x:c r="I471" s="87" t="str">
        <x:v>ТР №4</x:v>
      </x:c>
      <x:c r="J471" s="87" t="str">
        <x:v>ОБ2510402</x:v>
      </x:c>
      <x:c r="K471" s="87" t="n">
        <x:v>21</x:v>
      </x:c>
      <x:c r="L471" s="87" t="str">
        <x:v>Развёрнутый ответ: спрос и предложение</x:v>
      </x:c>
      <x:c r="M471" s="30" t="str">
        <x:v>Определите изменение цены, объясните фактор роста спроса на обезжиренные йогурты и спрогнозируйте влияние новых технологий производства.</x:v>
      </x:c>
      <x:c r="N471" s="30" t="str">
        <x:v>Равновесная цена увеличилась. Например, значительное подорожание йогуртов высокой жирности как товара-заменителя заставило покупателей выбирать обезжиренные йогурты, поэтому спрос на них увеличился. Новые технологии снизят издержки и увеличат предложение; кривая предложения сдвинется вправо, а равновесная цена уменьшится.</x:v>
      </x:c>
      <x:c r="O471" s="30" t="str">
        <x:v>Ответ согласован с правым сдвигом спроса и последующим правым сдвигом предложения.</x:v>
      </x:c>
      <x:c r="P471" s="30"/>
      <x:c r="Q471" s="30"/>
      <x:c r="R471" s="30" t="str">
        <x:v>Критерии, стр. 6–7</x:v>
      </x:c>
      <x:c r="S471" s="30"/>
      <x:c r="T471" s="30"/>
      <x:c r="U471" s="30" t="str">
        <x:v>Критерий перенесён отдельно без изменения.</x:v>
      </x:c>
      <x:c r="V471" s="87" t="str">
        <x:v>VERIFIED</x:v>
      </x:c>
      <x:c r="W471" s="87" t="n">
        <x:v>14</x:v>
      </x:c>
      <x:c r="X471" s="87"/>
      <x:c r="Y471" s="87"/>
      <x:c r="Z471" s="87"/>
      <x:c r="AA471" s="87"/>
      <x:c r="AB471" s="87"/>
      <x:c r="AC471" s="87"/>
      <x:c r="AD471" s="87"/>
      <x:c r="AE471" s="87"/>
      <x:c r="AF471" s="87"/>
      <x:c r="AG471" s="87"/>
      <x:c r="AH471" s="87"/>
      <x:c r="AI471" s="30" t="str">
        <x:v>{"_alignment": "REALIGNED_MISSING_INDEPENDENT_CHECK"}</x:v>
      </x:c>
      <x:c r="AJ471" s="87" t="str">
        <x:v>master</x:v>
      </x:c>
      <x:c r="AK471" s="87" t="str">
        <x:v>master-v0.81</x:v>
      </x:c>
      <x:c r="AL471" s="87" t="str">
        <x:v>statgrad_master_base_v0_81_final(2).xlsx</x:v>
      </x:c>
      <x:c r="AM471" s="87" t="str">
        <x:v>SOC_Feb_V2</x:v>
      </x:c>
      <x:c r="AN471" s="87" t="n">
        <x:v>22</x:v>
      </x:c>
    </x:row>
    <x:row r="472">
      <x:c r="A472" s="87" t="n">
        <x:v>471</x:v>
      </x:c>
      <x:c r="B472" s="87" t="str">
        <x:v>FEB-SOC-V2-022</x:v>
      </x:c>
      <x:c r="C472" s="87" t="str">
        <x:v>СтатГрад</x:v>
      </x:c>
      <x:c r="D472" s="87" t="str">
        <x:v>Февраль 2026</x:v>
      </x:c>
      <x:c r="E472" s="87"/>
      <x:c r="F472" s="87"/>
      <x:c r="G472" s="87" t="str">
        <x:v>Обществознание</x:v>
      </x:c>
      <x:c r="H472" s="87" t="n">
        <x:v>11</x:v>
      </x:c>
      <x:c r="I472" s="87" t="str">
        <x:v>ТР №4</x:v>
      </x:c>
      <x:c r="J472" s="87" t="str">
        <x:v>ОБ2510402</x:v>
      </x:c>
      <x:c r="K472" s="87" t="n">
        <x:v>22</x:v>
      </x:c>
      <x:c r="L472" s="87" t="str">
        <x:v>Развёрнутый ответ: право и гражданское общество</x:v>
      </x:c>
      <x:c r="M472" s="30" t="str">
        <x:v>Определите отрасль права и два наказания; объясните гражданское общество; сравните две социальные санкции.</x:v>
      </x:c>
      <x:c r="N472" s="30" t="str">
        <x:v>Нарушенные нормы относятся к административному праву. Возможные наказания: административный арест и предупреждение. Создание клуба — проявление гражданского общества, потому что жильцы самостоятельно и по собственной инициативе создали объединение для реализации личных интересов. Общее: замечание соседей и привлечение к ответственности являются негативными санкциями. Различие: замечание жильцов — неформальная санкция, юридическая ответственность — формальная.</x:v>
      </x:c>
      <x:c r="O472" s="30" t="str">
        <x:v>Даны однозначная отрасль, два допустимых наказания, самостоятельная инициатива объединения, один общий и один различительный признак санкций.</x:v>
      </x:c>
      <x:c r="P472" s="30"/>
      <x:c r="Q472" s="30"/>
      <x:c r="R472" s="30" t="str">
        <x:v>Критерии, стр. 7–8</x:v>
      </x:c>
      <x:c r="S472" s="30"/>
      <x:c r="T472" s="30"/>
      <x:c r="U472" s="30" t="str">
        <x:v>Критерий перенесён отдельно без изменения.</x:v>
      </x:c>
      <x:c r="V472" s="87" t="str">
        <x:v>VERIFIED</x:v>
      </x:c>
      <x:c r="W472" s="87" t="n">
        <x:v>14</x:v>
      </x:c>
      <x:c r="X472" s="87"/>
      <x:c r="Y472" s="87"/>
      <x:c r="Z472" s="87"/>
      <x:c r="AA472" s="87"/>
      <x:c r="AB472" s="87"/>
      <x:c r="AC472" s="87"/>
      <x:c r="AD472" s="87"/>
      <x:c r="AE472" s="87"/>
      <x:c r="AF472" s="87"/>
      <x:c r="AG472" s="87"/>
      <x:c r="AH472" s="87"/>
      <x:c r="AI472" s="30" t="str">
        <x:v>{"_alignment": "REALIGNED_MISSING_INDEPENDENT_CHECK"}</x:v>
      </x:c>
      <x:c r="AJ472" s="87" t="str">
        <x:v>master</x:v>
      </x:c>
      <x:c r="AK472" s="87" t="str">
        <x:v>master-v0.81</x:v>
      </x:c>
      <x:c r="AL472" s="87" t="str">
        <x:v>statgrad_master_base_v0_81_final(2).xlsx</x:v>
      </x:c>
      <x:c r="AM472" s="87" t="str">
        <x:v>SOC_Feb_V2</x:v>
      </x:c>
      <x:c r="AN472" s="87" t="n">
        <x:v>23</x:v>
      </x:c>
    </x:row>
    <x:row r="473">
      <x:c r="A473" s="87" t="n">
        <x:v>472</x:v>
      </x:c>
      <x:c r="B473" s="87" t="str">
        <x:v>FEB-SOC-V2-023</x:v>
      </x:c>
      <x:c r="C473" s="87" t="str">
        <x:v>СтатГрад</x:v>
      </x:c>
      <x:c r="D473" s="87" t="str">
        <x:v>Февраль 2026</x:v>
      </x:c>
      <x:c r="E473" s="87"/>
      <x:c r="F473" s="87"/>
      <x:c r="G473" s="87" t="str">
        <x:v>Обществознание</x:v>
      </x:c>
      <x:c r="H473" s="87" t="n">
        <x:v>11</x:v>
      </x:c>
      <x:c r="I473" s="87" t="str">
        <x:v>ТР №4</x:v>
      </x:c>
      <x:c r="J473" s="87" t="str">
        <x:v>ОБ2510402</x:v>
      </x:c>
      <x:c r="K473" s="87" t="n">
        <x:v>23</x:v>
      </x:c>
      <x:c r="L473" s="87" t="str">
        <x:v>Развёрнутый ответ: Конституция РФ</x:v>
      </x:c>
      <x:c r="M473" s="30" t="str">
        <x:v>Объясните три основы конституционного строя: суверенитет на всей территории, непосредственное осуществление власти народом, социальное государство.</x:v>
      </x:c>
      <x:c r="N473" s="30" t="str">
        <x:v>Суверенитет на всей территории означает, что Российская Федерация обеспечивает целостность и неприкосновенность своей территории, а Конституция и федеральные законы имеют верховенство во всей стране. Непосредственными формами выражения власти народа являются референдум и свободные выборы. Социальное государство проводит политику, направленную на создание условий для достойной жизни и свободного развития человека.</x:v>
      </x:c>
      <x:c r="O473" s="30" t="str">
        <x:v>Все три объяснения оформлены распространёнными предложениями и опираются на конкретное содержание Конституции.</x:v>
      </x:c>
      <x:c r="P473" s="30"/>
      <x:c r="Q473" s="30"/>
      <x:c r="R473" s="30" t="str">
        <x:v>Критерии, стр. 9–10</x:v>
      </x:c>
      <x:c r="S473" s="30"/>
      <x:c r="T473" s="30"/>
      <x:c r="U473" s="30" t="str">
        <x:v>Критерий перенесён отдельно без изменения.</x:v>
      </x:c>
      <x:c r="V473" s="87" t="str">
        <x:v>VERIFIED</x:v>
      </x:c>
      <x:c r="W473" s="87" t="n">
        <x:v>15</x:v>
      </x:c>
      <x:c r="X473" s="87"/>
      <x:c r="Y473" s="87"/>
      <x:c r="Z473" s="87"/>
      <x:c r="AA473" s="87"/>
      <x:c r="AB473" s="87"/>
      <x:c r="AC473" s="87"/>
      <x:c r="AD473" s="87"/>
      <x:c r="AE473" s="87"/>
      <x:c r="AF473" s="87"/>
      <x:c r="AG473" s="87"/>
      <x:c r="AH473" s="87"/>
      <x:c r="AI473" s="30" t="str">
        <x:v>{"_alignment": "REALIGNED_MISSING_INDEPENDENT_CHECK"}</x:v>
      </x:c>
      <x:c r="AJ473" s="87" t="str">
        <x:v>master</x:v>
      </x:c>
      <x:c r="AK473" s="87" t="str">
        <x:v>master-v0.81</x:v>
      </x:c>
      <x:c r="AL473" s="87" t="str">
        <x:v>statgrad_master_base_v0_81_final(2).xlsx</x:v>
      </x:c>
      <x:c r="AM473" s="87" t="str">
        <x:v>SOC_Feb_V2</x:v>
      </x:c>
      <x:c r="AN473" s="87" t="n">
        <x:v>24</x:v>
      </x:c>
    </x:row>
    <x:row r="474">
      <x:c r="A474" s="87" t="n">
        <x:v>473</x:v>
      </x:c>
      <x:c r="B474" s="87" t="str">
        <x:v>FEB-SOC-V2-024</x:v>
      </x:c>
      <x:c r="C474" s="87" t="str">
        <x:v>СтатГрад</x:v>
      </x:c>
      <x:c r="D474" s="87" t="str">
        <x:v>Февраль 2026</x:v>
      </x:c>
      <x:c r="E474" s="87"/>
      <x:c r="F474" s="87"/>
      <x:c r="G474" s="87" t="str">
        <x:v>Обществознание</x:v>
      </x:c>
      <x:c r="H474" s="87" t="n">
        <x:v>11</x:v>
      </x:c>
      <x:c r="I474" s="87" t="str">
        <x:v>ТР №4</x:v>
      </x:c>
      <x:c r="J474" s="87" t="str">
        <x:v>ОБ2510402</x:v>
      </x:c>
      <x:c r="K474" s="87" t="n">
        <x:v>24</x:v>
      </x:c>
      <x:c r="L474" s="87" t="str">
        <x:v>Развёрнутый ответ: сложный план</x:v>
      </x:c>
      <x:c r="M474" s="30" t="str">
        <x:v>Составьте сложный план по теме «Социальная мобильность».</x:v>
      </x:c>
      <x:c r="N474" s="30" t="str">
        <x:v>1. Понятие социальной мобильности. 2. Виды социальной мобильности: а) горизонтальная; б) вертикальная — восходящая и нисходящая. 3. Классификации социальной мобильности: а) добровольная и принудительная; б) индивидуальная и групповая; в) межпоколенная и внутрипоколенная. 4. Факторы социальной мобильности: а) особенности социальной системы; б) формальные и неформальные ограничения; в) потребности общественного развития; г) исторический период. 5. Каналы социальной мобильности: а) семья и брак; б) образование; в) церковь; г) армия; д) политические, экономические и профессиональные организации; е) СМИ, шоу-бизнес и спорт.</x:v>
      </x:c>
      <x:c r="O474" s="30" t="str">
        <x:v>План содержит пять пунктов; четыре пункта детализированы, обязательные аспекты видов, классификаций и каналов раскрыты.</x:v>
      </x:c>
      <x:c r="P474" s="30"/>
      <x:c r="Q474" s="30"/>
      <x:c r="R474" s="30" t="str">
        <x:v>Критерии, стр. 10–12</x:v>
      </x:c>
      <x:c r="S474" s="30"/>
      <x:c r="T474" s="30"/>
      <x:c r="U474" s="30" t="str">
        <x:v>Критерий перенесён отдельно без изменения.</x:v>
      </x:c>
      <x:c r="V474" s="87" t="str">
        <x:v>VERIFIED</x:v>
      </x:c>
      <x:c r="W474" s="87" t="n">
        <x:v>15</x:v>
      </x:c>
      <x:c r="X474" s="87"/>
      <x:c r="Y474" s="87"/>
      <x:c r="Z474" s="87"/>
      <x:c r="AA474" s="87"/>
      <x:c r="AB474" s="87"/>
      <x:c r="AC474" s="87"/>
      <x:c r="AD474" s="87"/>
      <x:c r="AE474" s="87"/>
      <x:c r="AF474" s="87"/>
      <x:c r="AG474" s="87"/>
      <x:c r="AH474" s="87"/>
      <x:c r="AI474" s="30" t="str">
        <x:v>{"_alignment": "REALIGNED_MISSING_INDEPENDENT_CHECK"}</x:v>
      </x:c>
      <x:c r="AJ474" s="87" t="str">
        <x:v>master</x:v>
      </x:c>
      <x:c r="AK474" s="87" t="str">
        <x:v>master-v0.81</x:v>
      </x:c>
      <x:c r="AL474" s="87" t="str">
        <x:v>statgrad_master_base_v0_81_final(2).xlsx</x:v>
      </x:c>
      <x:c r="AM474" s="87" t="str">
        <x:v>SOC_Feb_V2</x:v>
      </x:c>
      <x:c r="AN474" s="87" t="n">
        <x:v>25</x:v>
      </x:c>
    </x:row>
    <x:row r="475">
      <x:c r="A475" s="87" t="n">
        <x:v>474</x:v>
      </x:c>
      <x:c r="B475" s="87" t="str">
        <x:v>FEB-SOC-V2-025</x:v>
      </x:c>
      <x:c r="C475" s="87" t="str">
        <x:v>СтатГрад</x:v>
      </x:c>
      <x:c r="D475" s="87" t="str">
        <x:v>Февраль 2026</x:v>
      </x:c>
      <x:c r="E475" s="87"/>
      <x:c r="F475" s="87"/>
      <x:c r="G475" s="87" t="str">
        <x:v>Обществознание</x:v>
      </x:c>
      <x:c r="H475" s="87" t="n">
        <x:v>11</x:v>
      </x:c>
      <x:c r="I475" s="87" t="str">
        <x:v>ТР №4</x:v>
      </x:c>
      <x:c r="J475" s="87" t="str">
        <x:v>ОБ2510402</x:v>
      </x:c>
      <x:c r="K475" s="87" t="n">
        <x:v>25</x:v>
      </x:c>
      <x:c r="L475" s="87" t="str">
        <x:v>Развёрнутый ответ: образование и социальный статус</x:v>
      </x:c>
      <x:c r="M475" s="30" t="str">
        <x:v>Обоснуйте роль образования в стратификации; назовите три функции образования, влияющие на статус, и приведите по одному примеру.</x:v>
      </x:c>
      <x:c r="N475" s="30" t="str">
        <x:v>Образование влияет на социальную стратификацию, потому что объём знаний, квалификация и подтверждающий их диплом определяют доступ человека к профессиям, уровню дохода и престижным позициям; поэтому получение образования может привести к восходящей мобильности, а неравный доступ к нему закрепляет различия между группами. Функции: профессионально-экономическая, социализирующая, социального отбора и стратификации. Примеры: 1) Анна получила инженерное образование и заняла высокооплачиваемую должность — профессионально-экономическая функция. 2) В университете Илья освоил нормы делового общения и навыки командной работы, что помогло ему стать руководителем проекта — социализирующая функция. 3) По итогам конкурсных экзаменов Мария получила место в магистратуре и затем научную должность — функция социального отбора и стратификации.</x:v>
      </x:c>
      <x:c r="O475" s="30" t="str">
        <x:v>Обоснование раскрывает причинно-следственные связи; названы ровно три корректные функции и для каждой дан отдельный развёрнутый пример.</x:v>
      </x:c>
      <x:c r="P475" s="30"/>
      <x:c r="Q475" s="30"/>
      <x:c r="R475" s="30" t="str">
        <x:v>Критерии, стр. 12–14</x:v>
      </x:c>
      <x:c r="S475" s="30"/>
      <x:c r="T475" s="30"/>
      <x:c r="U475" s="30" t="str">
        <x:v>Критерий перенесён отдельно без изменения.</x:v>
      </x:c>
      <x:c r="V475" s="87" t="str">
        <x:v>VERIFIED</x:v>
      </x:c>
      <x:c r="W475" s="87" t="n">
        <x:v>15</x:v>
      </x:c>
      <x:c r="X475" s="87"/>
      <x:c r="Y475" s="87"/>
      <x:c r="Z475" s="87"/>
      <x:c r="AA475" s="87"/>
      <x:c r="AB475" s="87"/>
      <x:c r="AC475" s="87"/>
      <x:c r="AD475" s="87"/>
      <x:c r="AE475" s="87"/>
      <x:c r="AF475" s="87"/>
      <x:c r="AG475" s="87"/>
      <x:c r="AH475" s="87"/>
      <x:c r="AI475" s="30" t="str">
        <x:v>{"_alignment": "REALIGNED_MISSING_INDEPENDENT_CHECK"}</x:v>
      </x:c>
      <x:c r="AJ475" s="87" t="str">
        <x:v>master</x:v>
      </x:c>
      <x:c r="AK475" s="87" t="str">
        <x:v>master-v0.81</x:v>
      </x:c>
      <x:c r="AL475" s="87" t="str">
        <x:v>statgrad_master_base_v0_81_final(2).xlsx</x:v>
      </x:c>
      <x:c r="AM475" s="87" t="str">
        <x:v>SOC_Feb_V2</x:v>
      </x:c>
      <x:c r="AN475" s="87" t="n">
        <x:v>26</x:v>
      </x:c>
    </x:row>
    <x:row r="476">
      <x:c r="A476" s="87" t="n">
        <x:v>475</x:v>
      </x:c>
      <x:c r="B476" s="87" t="str">
        <x:v>FEB-MATH-P-V1-001</x:v>
      </x:c>
      <x:c r="C476" s="87" t="str">
        <x:v>СтатГрад</x:v>
      </x:c>
      <x:c r="D476" s="87" t="str">
        <x:v>Февраль 2026</x:v>
      </x:c>
      <x:c r="E476" s="87"/>
      <x:c r="F476" s="87"/>
      <x:c r="G476" s="87" t="str">
        <x:v>Математика</x:v>
      </x:c>
      <x:c r="H476" s="87" t="n">
        <x:v>11</x:v>
      </x:c>
      <x:c r="I476" s="87" t="str">
        <x:v>ТР №3</x:v>
      </x:c>
      <x:c r="J476" s="87" t="str">
        <x:v>МА2510309</x:v>
      </x:c>
      <x:c r="K476" s="87" t="n">
        <x:v>1</x:v>
      </x:c>
      <x:c r="L476" s="87" t="str">
        <x:v>Планиметрия: окружность</x:v>
      </x:c>
      <x:c r="M476" s="30" t="str">
        <x:v>AC и BD — диаметры окружности. Угол ACB равен 53°. Найдите угол AOD.</x:v>
      </x:c>
      <x:c r="N476" s="30" t="str">
        <x:v>74°</x:v>
      </x:c>
      <x:c r="O476" s="30" t="str">
        <x:v>Вписанный угол ACB опирается на дугу AB, поэтому центральный угол AOB равен 2·53°=106°. Луч OD противоположен лучу OB, следовательно, ∠AOD=180°−106°=74°.</x:v>
      </x:c>
      <x:c r="P476" s="30" t="str">
        <x:v>Проверено по теореме о вписанном угле и свойству диаметра.</x:v>
      </x:c>
      <x:c r="Q476" s="30"/>
      <x:c r="R476" s="30" t="str">
        <x:v>74</x:v>
      </x:c>
      <x:c r="S476" s="30"/>
      <x:c r="T476" s="30"/>
      <x:c r="U476" s="30" t="str">
        <x:v>Расхождений нет.</x:v>
      </x:c>
      <x:c r="V476" s="87" t="str">
        <x:v>VERIFIED</x:v>
      </x:c>
      <x:c r="W476" s="87" t="n">
        <x:v>2</x:v>
      </x:c>
      <x:c r="X476" s="87"/>
      <x:c r="Y476" s="87"/>
      <x:c r="Z476" s="87"/>
      <x:c r="AA476" s="87"/>
      <x:c r="AB476" s="87"/>
      <x:c r="AC476" s="87"/>
      <x:c r="AD476" s="87"/>
      <x:c r="AE476" s="87"/>
      <x:c r="AF476" s="87"/>
      <x:c r="AG476" s="87"/>
      <x:c r="AH476" s="87"/>
      <x:c r="AI476" s="30"/>
      <x:c r="AJ476" s="87" t="str">
        <x:v>master</x:v>
      </x:c>
      <x:c r="AK476" s="87" t="str">
        <x:v>master-v0.81</x:v>
      </x:c>
      <x:c r="AL476" s="87" t="str">
        <x:v>statgrad_master_base_v0_81_final(2).xlsx</x:v>
      </x:c>
      <x:c r="AM476" s="87" t="str">
        <x:v>MATH_Feb_Profil_V1</x:v>
      </x:c>
      <x:c r="AN476" s="87" t="n">
        <x:v>2</x:v>
      </x:c>
    </x:row>
    <x:row r="477">
      <x:c r="A477" s="87" t="n">
        <x:v>476</x:v>
      </x:c>
      <x:c r="B477" s="87" t="str">
        <x:v>FEB-MATH-P-V1-002</x:v>
      </x:c>
      <x:c r="C477" s="87" t="str">
        <x:v>СтатГрад</x:v>
      </x:c>
      <x:c r="D477" s="87" t="str">
        <x:v>Февраль 2026</x:v>
      </x:c>
      <x:c r="E477" s="87"/>
      <x:c r="F477" s="87"/>
      <x:c r="G477" s="87" t="str">
        <x:v>Математика</x:v>
      </x:c>
      <x:c r="H477" s="87" t="n">
        <x:v>11</x:v>
      </x:c>
      <x:c r="I477" s="87" t="str">
        <x:v>ТР №3</x:v>
      </x:c>
      <x:c r="J477" s="87" t="str">
        <x:v>МА2510309</x:v>
      </x:c>
      <x:c r="K477" s="87" t="n">
        <x:v>2</x:v>
      </x:c>
      <x:c r="L477" s="87" t="str">
        <x:v>Векторы</x:v>
      </x:c>
      <x:c r="M477" s="30" t="str">
        <x:v>Даны a=(16;17), b=(13;−10), c=(−11;2). Найдите (a−b)·c.</x:v>
      </x:c>
      <x:c r="N477" s="30" t="str">
        <x:v>21</x:v>
      </x:c>
      <x:c r="O477" s="30" t="str">
        <x:v>a−b=(3;27). Скалярное произведение равно 3·(−11)+27·2=−33+54=21.</x:v>
      </x:c>
      <x:c r="P477" s="30" t="str">
        <x:v>Координатное вычитание и скалярное произведение пересчитаны независимо.</x:v>
      </x:c>
      <x:c r="Q477" s="30"/>
      <x:c r="R477" s="30" t="str">
        <x:v>21</x:v>
      </x:c>
      <x:c r="S477" s="30"/>
      <x:c r="T477" s="30"/>
      <x:c r="U477" s="30" t="str">
        <x:v>Расхождений нет.</x:v>
      </x:c>
      <x:c r="V477" s="87" t="str">
        <x:v>VERIFIED</x:v>
      </x:c>
      <x:c r="W477" s="87" t="n">
        <x:v>2</x:v>
      </x:c>
      <x:c r="X477" s="87"/>
      <x:c r="Y477" s="87"/>
      <x:c r="Z477" s="87"/>
      <x:c r="AA477" s="87"/>
      <x:c r="AB477" s="87"/>
      <x:c r="AC477" s="87"/>
      <x:c r="AD477" s="87"/>
      <x:c r="AE477" s="87"/>
      <x:c r="AF477" s="87"/>
      <x:c r="AG477" s="87"/>
      <x:c r="AH477" s="87"/>
      <x:c r="AI477" s="30"/>
      <x:c r="AJ477" s="87" t="str">
        <x:v>master</x:v>
      </x:c>
      <x:c r="AK477" s="87" t="str">
        <x:v>master-v0.81</x:v>
      </x:c>
      <x:c r="AL477" s="87" t="str">
        <x:v>statgrad_master_base_v0_81_final(2).xlsx</x:v>
      </x:c>
      <x:c r="AM477" s="87" t="str">
        <x:v>MATH_Feb_Profil_V1</x:v>
      </x:c>
      <x:c r="AN477" s="87" t="n">
        <x:v>3</x:v>
      </x:c>
    </x:row>
    <x:row r="478">
      <x:c r="A478" s="87" t="n">
        <x:v>477</x:v>
      </x:c>
      <x:c r="B478" s="87" t="str">
        <x:v>FEB-MATH-P-V1-003</x:v>
      </x:c>
      <x:c r="C478" s="87" t="str">
        <x:v>СтатГрад</x:v>
      </x:c>
      <x:c r="D478" s="87" t="str">
        <x:v>Февраль 2026</x:v>
      </x:c>
      <x:c r="E478" s="87"/>
      <x:c r="F478" s="87"/>
      <x:c r="G478" s="87" t="str">
        <x:v>Математика</x:v>
      </x:c>
      <x:c r="H478" s="87" t="n">
        <x:v>11</x:v>
      </x:c>
      <x:c r="I478" s="87" t="str">
        <x:v>ТР №3</x:v>
      </x:c>
      <x:c r="J478" s="87" t="str">
        <x:v>МА2510309</x:v>
      </x:c>
      <x:c r="K478" s="87" t="n">
        <x:v>3</x:v>
      </x:c>
      <x:c r="L478" s="87" t="str">
        <x:v>Стереометрия: объём пирамиды</x:v>
      </x:c>
      <x:c r="M478" s="30" t="str">
        <x:v>Основание пирамиды — прямоугольник; одна боковая грань перпендикулярна основанию, три другие наклонены к нему под углом 60°. Высота пирамиды 15. Найдите объём.</x:v>
      </x:c>
      <x:c r="N478" s="30" t="str">
        <x:v>750</x:v>
      </x:c>
      <x:c r="O478" s="30" t="str">
        <x:v>Проекция вершины лежит на стороне, принадлежащей перпендикулярной грани. Для каждой из трёх остальных граней расстояние от проекции вершины до соответствующей стороны основания равно 15·ctg60°=5√3. Поэтому стороны прямоугольника равны 5√3 и 10√3, его площадь — 150. Объём V=(1/3)·150·15=750.</x:v>
      </x:c>
      <x:c r="P478" s="30" t="str">
        <x:v>Геометрическая модель проверена через линейный угол двугранного угла и формулу объёма пирамиды.</x:v>
      </x:c>
      <x:c r="Q478" s="30"/>
      <x:c r="R478" s="30" t="str">
        <x:v>750</x:v>
      </x:c>
      <x:c r="S478" s="30"/>
      <x:c r="T478" s="30"/>
      <x:c r="U478" s="30" t="str">
        <x:v>Расхождений нет.</x:v>
      </x:c>
      <x:c r="V478" s="87" t="str">
        <x:v>VERIFIED</x:v>
      </x:c>
      <x:c r="W478" s="87" t="n">
        <x:v>2</x:v>
      </x:c>
      <x:c r="X478" s="87"/>
      <x:c r="Y478" s="87"/>
      <x:c r="Z478" s="87"/>
      <x:c r="AA478" s="87"/>
      <x:c r="AB478" s="87"/>
      <x:c r="AC478" s="87"/>
      <x:c r="AD478" s="87"/>
      <x:c r="AE478" s="87"/>
      <x:c r="AF478" s="87"/>
      <x:c r="AG478" s="87"/>
      <x:c r="AH478" s="87"/>
      <x:c r="AI478" s="30"/>
      <x:c r="AJ478" s="87" t="str">
        <x:v>master</x:v>
      </x:c>
      <x:c r="AK478" s="87" t="str">
        <x:v>master-v0.81</x:v>
      </x:c>
      <x:c r="AL478" s="87" t="str">
        <x:v>statgrad_master_base_v0_81_final(2).xlsx</x:v>
      </x:c>
      <x:c r="AM478" s="87" t="str">
        <x:v>MATH_Feb_Profil_V1</x:v>
      </x:c>
      <x:c r="AN478" s="87" t="n">
        <x:v>4</x:v>
      </x:c>
    </x:row>
    <x:row r="479">
      <x:c r="A479" s="87" t="n">
        <x:v>478</x:v>
      </x:c>
      <x:c r="B479" s="87" t="str">
        <x:v>FEB-MATH-P-V1-004</x:v>
      </x:c>
      <x:c r="C479" s="87" t="str">
        <x:v>СтатГрад</x:v>
      </x:c>
      <x:c r="D479" s="87" t="str">
        <x:v>Февраль 2026</x:v>
      </x:c>
      <x:c r="E479" s="87"/>
      <x:c r="F479" s="87"/>
      <x:c r="G479" s="87" t="str">
        <x:v>Математика</x:v>
      </x:c>
      <x:c r="H479" s="87" t="n">
        <x:v>11</x:v>
      </x:c>
      <x:c r="I479" s="87" t="str">
        <x:v>ТР №3</x:v>
      </x:c>
      <x:c r="J479" s="87" t="str">
        <x:v>МА2510309</x:v>
      </x:c>
      <x:c r="K479" s="87" t="n">
        <x:v>4</x:v>
      </x:c>
      <x:c r="L479" s="87" t="str">
        <x:v>Теория вероятностей</x:v>
      </x:c>
      <x:c r="M479" s="30" t="str">
        <x:v>Вероятность температуры ниже 36,8 °C равна 0,93. Найдите вероятность температуры 36,8 °C или выше.</x:v>
      </x:c>
      <x:c r="N479" s="30" t="str">
        <x:v>0,07</x:v>
      </x:c>
      <x:c r="O479" s="30" t="str">
        <x:v>События «ниже 36,8 °C» и «36,8 °C или выше» противоположны. Искомая вероятность равна 1−0,93=0,07.</x:v>
      </x:c>
      <x:c r="P479" s="30" t="str">
        <x:v>Проверено правилом вероятности противоположного события.</x:v>
      </x:c>
      <x:c r="Q479" s="30"/>
      <x:c r="R479" s="30" t="str">
        <x:v>0,07</x:v>
      </x:c>
      <x:c r="S479" s="30"/>
      <x:c r="T479" s="30"/>
      <x:c r="U479" s="30" t="str">
        <x:v>Расхождений нет.</x:v>
      </x:c>
      <x:c r="V479" s="87" t="str">
        <x:v>VERIFIED</x:v>
      </x:c>
      <x:c r="W479" s="87" t="n">
        <x:v>2</x:v>
      </x:c>
      <x:c r="X479" s="87"/>
      <x:c r="Y479" s="87"/>
      <x:c r="Z479" s="87"/>
      <x:c r="AA479" s="87"/>
      <x:c r="AB479" s="87"/>
      <x:c r="AC479" s="87"/>
      <x:c r="AD479" s="87"/>
      <x:c r="AE479" s="87"/>
      <x:c r="AF479" s="87"/>
      <x:c r="AG479" s="87"/>
      <x:c r="AH479" s="87"/>
      <x:c r="AI479" s="30"/>
      <x:c r="AJ479" s="87" t="str">
        <x:v>master</x:v>
      </x:c>
      <x:c r="AK479" s="87" t="str">
        <x:v>master-v0.81</x:v>
      </x:c>
      <x:c r="AL479" s="87" t="str">
        <x:v>statgrad_master_base_v0_81_final(2).xlsx</x:v>
      </x:c>
      <x:c r="AM479" s="87" t="str">
        <x:v>MATH_Feb_Profil_V1</x:v>
      </x:c>
      <x:c r="AN479" s="87" t="n">
        <x:v>5</x:v>
      </x:c>
    </x:row>
    <x:row r="480">
      <x:c r="A480" s="87" t="n">
        <x:v>479</x:v>
      </x:c>
      <x:c r="B480" s="87" t="str">
        <x:v>FEB-MATH-P-V1-005</x:v>
      </x:c>
      <x:c r="C480" s="87" t="str">
        <x:v>СтатГрад</x:v>
      </x:c>
      <x:c r="D480" s="87" t="str">
        <x:v>Февраль 2026</x:v>
      </x:c>
      <x:c r="E480" s="87"/>
      <x:c r="F480" s="87"/>
      <x:c r="G480" s="87" t="str">
        <x:v>Математика</x:v>
      </x:c>
      <x:c r="H480" s="87" t="n">
        <x:v>11</x:v>
      </x:c>
      <x:c r="I480" s="87" t="str">
        <x:v>ТР №3</x:v>
      </x:c>
      <x:c r="J480" s="87" t="str">
        <x:v>МА2510309</x:v>
      </x:c>
      <x:c r="K480" s="87" t="n">
        <x:v>5</x:v>
      </x:c>
      <x:c r="L480" s="87" t="str">
        <x:v>Комбинаторная вероятность</x:v>
      </x:c>
      <x:c r="M480" s="30" t="str">
        <x:v>В коробке 7 синих, 9 красных и 9 зелёных фломастеров. Выбирают два. Найдите вероятность выбора одного синего и одного красного.</x:v>
      </x:c>
      <x:c r="N480" s="30" t="str">
        <x:v>0,21</x:v>
      </x:c>
      <x:c r="O480" s="30" t="str">
        <x:v>Всего 25 фломастеров и C(25,2)=300 неупорядоченных пар. Благоприятных пар 7·9=63, поэтому P=63/300=0,21.</x:v>
      </x:c>
      <x:c r="P480" s="30" t="str">
        <x:v>Вероятность дополнительно проверена последовательным выбором без возвращения.</x:v>
      </x:c>
      <x:c r="Q480" s="30"/>
      <x:c r="R480" s="30" t="str">
        <x:v>0,21</x:v>
      </x:c>
      <x:c r="S480" s="30"/>
      <x:c r="T480" s="30"/>
      <x:c r="U480" s="30" t="str">
        <x:v>Расхождений нет.</x:v>
      </x:c>
      <x:c r="V480" s="87" t="str">
        <x:v>VERIFIED</x:v>
      </x:c>
      <x:c r="W480" s="87" t="n">
        <x:v>3</x:v>
      </x:c>
      <x:c r="X480" s="87"/>
      <x:c r="Y480" s="87"/>
      <x:c r="Z480" s="87"/>
      <x:c r="AA480" s="87"/>
      <x:c r="AB480" s="87"/>
      <x:c r="AC480" s="87"/>
      <x:c r="AD480" s="87"/>
      <x:c r="AE480" s="87"/>
      <x:c r="AF480" s="87"/>
      <x:c r="AG480" s="87"/>
      <x:c r="AH480" s="87"/>
      <x:c r="AI480" s="30"/>
      <x:c r="AJ480" s="87" t="str">
        <x:v>master</x:v>
      </x:c>
      <x:c r="AK480" s="87" t="str">
        <x:v>master-v0.81</x:v>
      </x:c>
      <x:c r="AL480" s="87" t="str">
        <x:v>statgrad_master_base_v0_81_final(2).xlsx</x:v>
      </x:c>
      <x:c r="AM480" s="87" t="str">
        <x:v>MATH_Feb_Profil_V1</x:v>
      </x:c>
      <x:c r="AN480" s="87" t="n">
        <x:v>6</x:v>
      </x:c>
    </x:row>
    <x:row r="481">
      <x:c r="A481" s="87" t="n">
        <x:v>480</x:v>
      </x:c>
      <x:c r="B481" s="87" t="str">
        <x:v>FEB-MATH-P-V1-006</x:v>
      </x:c>
      <x:c r="C481" s="87" t="str">
        <x:v>СтатГрад</x:v>
      </x:c>
      <x:c r="D481" s="87" t="str">
        <x:v>Февраль 2026</x:v>
      </x:c>
      <x:c r="E481" s="87"/>
      <x:c r="F481" s="87"/>
      <x:c r="G481" s="87" t="str">
        <x:v>Математика</x:v>
      </x:c>
      <x:c r="H481" s="87" t="n">
        <x:v>11</x:v>
      </x:c>
      <x:c r="I481" s="87" t="str">
        <x:v>ТР №3</x:v>
      </x:c>
      <x:c r="J481" s="87" t="str">
        <x:v>МА2510309</x:v>
      </x:c>
      <x:c r="K481" s="87" t="n">
        <x:v>6</x:v>
      </x:c>
      <x:c r="L481" s="87" t="str">
        <x:v>Логарифмическое уравнение</x:v>
      </x:c>
      <x:c r="M481" s="30" t="str">
        <x:v>Решите уравнение log₈(9+x)=log₈4.</x:v>
      </x:c>
      <x:c r="N481" s="30" t="str">
        <x:v>−5</x:v>
      </x:c>
      <x:c r="O481" s="30" t="str">
        <x:v>Основания логарифмов одинаковы и допустимы, поэтому 9+x=4. Получаем x=−5; условие 9+x&gt;0 выполняется.</x:v>
      </x:c>
      <x:c r="P481" s="30" t="str">
        <x:v>Корень подставлен в исходное уравнение.</x:v>
      </x:c>
      <x:c r="Q481" s="30"/>
      <x:c r="R481" s="30" t="str">
        <x:v>−5</x:v>
      </x:c>
      <x:c r="S481" s="30"/>
      <x:c r="T481" s="30"/>
      <x:c r="U481" s="30" t="str">
        <x:v>Расхождений нет.</x:v>
      </x:c>
      <x:c r="V481" s="87" t="str">
        <x:v>VERIFIED</x:v>
      </x:c>
      <x:c r="W481" s="87" t="n">
        <x:v>3</x:v>
      </x:c>
      <x:c r="X481" s="87"/>
      <x:c r="Y481" s="87"/>
      <x:c r="Z481" s="87"/>
      <x:c r="AA481" s="87"/>
      <x:c r="AB481" s="87"/>
      <x:c r="AC481" s="87"/>
      <x:c r="AD481" s="87"/>
      <x:c r="AE481" s="87"/>
      <x:c r="AF481" s="87"/>
      <x:c r="AG481" s="87"/>
      <x:c r="AH481" s="87"/>
      <x:c r="AI481" s="30"/>
      <x:c r="AJ481" s="87" t="str">
        <x:v>master</x:v>
      </x:c>
      <x:c r="AK481" s="87" t="str">
        <x:v>master-v0.81</x:v>
      </x:c>
      <x:c r="AL481" s="87" t="str">
        <x:v>statgrad_master_base_v0_81_final(2).xlsx</x:v>
      </x:c>
      <x:c r="AM481" s="87" t="str">
        <x:v>MATH_Feb_Profil_V1</x:v>
      </x:c>
      <x:c r="AN481" s="87" t="n">
        <x:v>7</x:v>
      </x:c>
    </x:row>
    <x:row r="482">
      <x:c r="A482" s="87" t="n">
        <x:v>481</x:v>
      </x:c>
      <x:c r="B482" s="87" t="str">
        <x:v>FEB-MATH-P-V1-007</x:v>
      </x:c>
      <x:c r="C482" s="87" t="str">
        <x:v>СтатГрад</x:v>
      </x:c>
      <x:c r="D482" s="87" t="str">
        <x:v>Февраль 2026</x:v>
      </x:c>
      <x:c r="E482" s="87"/>
      <x:c r="F482" s="87"/>
      <x:c r="G482" s="87" t="str">
        <x:v>Математика</x:v>
      </x:c>
      <x:c r="H482" s="87" t="n">
        <x:v>11</x:v>
      </x:c>
      <x:c r="I482" s="87" t="str">
        <x:v>ТР №3</x:v>
      </x:c>
      <x:c r="J482" s="87" t="str">
        <x:v>МА2510309</x:v>
      </x:c>
      <x:c r="K482" s="87" t="n">
        <x:v>7</x:v>
      </x:c>
      <x:c r="L482" s="87" t="str">
        <x:v>Степени и корни</x:v>
      </x:c>
      <x:c r="M482" s="30" t="str">
        <x:v>Найдите ((5^(1/3)·5^(1/4))/√[12]{5})².</x:v>
      </x:c>
      <x:c r="N482" s="30" t="str">
        <x:v>5</x:v>
      </x:c>
      <x:c r="O482" s="30" t="str">
        <x:v>Внутри скобок показатель степени равен 1/3+1/4−1/12=1/2. После возведения в квадрат показатель становится равным 1, поэтому значение выражения равно 5.</x:v>
      </x:c>
      <x:c r="P482" s="30" t="str">
        <x:v>Показатели приведены к общему знаменателю 12.</x:v>
      </x:c>
      <x:c r="Q482" s="30"/>
      <x:c r="R482" s="30" t="str">
        <x:v>5</x:v>
      </x:c>
      <x:c r="S482" s="30"/>
      <x:c r="T482" s="30"/>
      <x:c r="U482" s="30" t="str">
        <x:v>Расхождений нет.</x:v>
      </x:c>
      <x:c r="V482" s="87" t="str">
        <x:v>VERIFIED</x:v>
      </x:c>
      <x:c r="W482" s="87" t="n">
        <x:v>3</x:v>
      </x:c>
      <x:c r="X482" s="87"/>
      <x:c r="Y482" s="87"/>
      <x:c r="Z482" s="87"/>
      <x:c r="AA482" s="87"/>
      <x:c r="AB482" s="87"/>
      <x:c r="AC482" s="87"/>
      <x:c r="AD482" s="87"/>
      <x:c r="AE482" s="87"/>
      <x:c r="AF482" s="87"/>
      <x:c r="AG482" s="87"/>
      <x:c r="AH482" s="87"/>
      <x:c r="AI482" s="30"/>
      <x:c r="AJ482" s="87" t="str">
        <x:v>master</x:v>
      </x:c>
      <x:c r="AK482" s="87" t="str">
        <x:v>master-v0.81</x:v>
      </x:c>
      <x:c r="AL482" s="87" t="str">
        <x:v>statgrad_master_base_v0_81_final(2).xlsx</x:v>
      </x:c>
      <x:c r="AM482" s="87" t="str">
        <x:v>MATH_Feb_Profil_V1</x:v>
      </x:c>
      <x:c r="AN482" s="87" t="n">
        <x:v>8</x:v>
      </x:c>
    </x:row>
    <x:row r="483">
      <x:c r="A483" s="87" t="n">
        <x:v>482</x:v>
      </x:c>
      <x:c r="B483" s="87" t="str">
        <x:v>FEB-MATH-P-V1-008</x:v>
      </x:c>
      <x:c r="C483" s="87" t="str">
        <x:v>СтатГрад</x:v>
      </x:c>
      <x:c r="D483" s="87" t="str">
        <x:v>Февраль 2026</x:v>
      </x:c>
      <x:c r="E483" s="87"/>
      <x:c r="F483" s="87"/>
      <x:c r="G483" s="87" t="str">
        <x:v>Математика</x:v>
      </x:c>
      <x:c r="H483" s="87" t="n">
        <x:v>11</x:v>
      </x:c>
      <x:c r="I483" s="87" t="str">
        <x:v>ТР №3</x:v>
      </x:c>
      <x:c r="J483" s="87" t="str">
        <x:v>МА2510309</x:v>
      </x:c>
      <x:c r="K483" s="87" t="n">
        <x:v>8</x:v>
      </x:c>
      <x:c r="L483" s="87" t="str">
        <x:v>Производная по графику</x:v>
      </x:c>
      <x:c r="M483" s="30" t="str">
        <x:v>Дан график y=f′(x). Найдите абсциссу точки, где касательная к y=f(x) параллельна y=3x+1.</x:v>
      </x:c>
      <x:c r="N483" s="30" t="str">
        <x:v>−6</x:v>
      </x:c>
      <x:c r="O483" s="30" t="str">
        <x:v>Угловой коэффициент прямой равен 3, поэтому требуется f′(x)=3. По графику производной горизонталь y=3 пересекает кривую при x=−6.</x:v>
      </x:c>
      <x:c r="P483" s="30" t="str">
        <x:v>Значение считано по единичной координатной сетке графика.</x:v>
      </x:c>
      <x:c r="Q483" s="30"/>
      <x:c r="R483" s="30" t="str">
        <x:v>−6</x:v>
      </x:c>
      <x:c r="S483" s="30"/>
      <x:c r="T483" s="30"/>
      <x:c r="U483" s="30" t="str">
        <x:v>Расхождений нет.</x:v>
      </x:c>
      <x:c r="V483" s="87" t="str">
        <x:v>VERIFIED</x:v>
      </x:c>
      <x:c r="W483" s="87" t="n">
        <x:v>3</x:v>
      </x:c>
      <x:c r="X483" s="87"/>
      <x:c r="Y483" s="87"/>
      <x:c r="Z483" s="87"/>
      <x:c r="AA483" s="87"/>
      <x:c r="AB483" s="87"/>
      <x:c r="AC483" s="87"/>
      <x:c r="AD483" s="87"/>
      <x:c r="AE483" s="87"/>
      <x:c r="AF483" s="87"/>
      <x:c r="AG483" s="87"/>
      <x:c r="AH483" s="87"/>
      <x:c r="AI483" s="30"/>
      <x:c r="AJ483" s="87" t="str">
        <x:v>master</x:v>
      </x:c>
      <x:c r="AK483" s="87" t="str">
        <x:v>master-v0.81</x:v>
      </x:c>
      <x:c r="AL483" s="87" t="str">
        <x:v>statgrad_master_base_v0_81_final(2).xlsx</x:v>
      </x:c>
      <x:c r="AM483" s="87" t="str">
        <x:v>MATH_Feb_Profil_V1</x:v>
      </x:c>
      <x:c r="AN483" s="87" t="n">
        <x:v>9</x:v>
      </x:c>
    </x:row>
    <x:row r="484">
      <x:c r="A484" s="87" t="n">
        <x:v>483</x:v>
      </x:c>
      <x:c r="B484" s="87" t="str">
        <x:v>FEB-MATH-P-V1-009</x:v>
      </x:c>
      <x:c r="C484" s="87" t="str">
        <x:v>СтатГрад</x:v>
      </x:c>
      <x:c r="D484" s="87" t="str">
        <x:v>Февраль 2026</x:v>
      </x:c>
      <x:c r="E484" s="87"/>
      <x:c r="F484" s="87"/>
      <x:c r="G484" s="87" t="str">
        <x:v>Математика</x:v>
      </x:c>
      <x:c r="H484" s="87" t="n">
        <x:v>11</x:v>
      </x:c>
      <x:c r="I484" s="87" t="str">
        <x:v>ТР №3</x:v>
      </x:c>
      <x:c r="J484" s="87" t="str">
        <x:v>МА2510309</x:v>
      </x:c>
      <x:c r="K484" s="87" t="n">
        <x:v>9</x:v>
      </x:c>
      <x:c r="L484" s="87" t="str">
        <x:v>Прикладная задача: формула Доплера</x:v>
      </x:c>
      <x:c r="M484" s="30" t="str">
        <x:v>f₀=749 МГц, c=1500 м/с, v=2 м/с и v=c·(f−f₀)/(f+f₀). Найдите частоту f отражённого сигнала.</x:v>
      </x:c>
      <x:c r="N484" s="30" t="str">
        <x:v>751 МГц</x:v>
      </x:c>
      <x:c r="O484" s="30" t="str">
        <x:v>Из формулы получаем f=f₀(c+v)/(c−v). Тогда f=749·1502/1498=749·751/749=751 МГц.</x:v>
      </x:c>
      <x:c r="P484" s="30" t="str">
        <x:v>Алгебраическое преобразование и точное сокращение дроби проверены независимо.</x:v>
      </x:c>
      <x:c r="Q484" s="30"/>
      <x:c r="R484" s="30" t="str">
        <x:v>751</x:v>
      </x:c>
      <x:c r="S484" s="30"/>
      <x:c r="T484" s="30"/>
      <x:c r="U484" s="30" t="str">
        <x:v>Расхождений нет.</x:v>
      </x:c>
      <x:c r="V484" s="87" t="str">
        <x:v>VERIFIED</x:v>
      </x:c>
      <x:c r="W484" s="87" t="n">
        <x:v>4</x:v>
      </x:c>
      <x:c r="X484" s="87"/>
      <x:c r="Y484" s="87"/>
      <x:c r="Z484" s="87"/>
      <x:c r="AA484" s="87"/>
      <x:c r="AB484" s="87"/>
      <x:c r="AC484" s="87"/>
      <x:c r="AD484" s="87"/>
      <x:c r="AE484" s="87"/>
      <x:c r="AF484" s="87"/>
      <x:c r="AG484" s="87"/>
      <x:c r="AH484" s="87"/>
      <x:c r="AI484" s="30"/>
      <x:c r="AJ484" s="87" t="str">
        <x:v>master</x:v>
      </x:c>
      <x:c r="AK484" s="87" t="str">
        <x:v>master-v0.81</x:v>
      </x:c>
      <x:c r="AL484" s="87" t="str">
        <x:v>statgrad_master_base_v0_81_final(2).xlsx</x:v>
      </x:c>
      <x:c r="AM484" s="87" t="str">
        <x:v>MATH_Feb_Profil_V1</x:v>
      </x:c>
      <x:c r="AN484" s="87" t="n">
        <x:v>10</x:v>
      </x:c>
    </x:row>
    <x:row r="485">
      <x:c r="A485" s="87" t="n">
        <x:v>484</x:v>
      </x:c>
      <x:c r="B485" s="87" t="str">
        <x:v>FEB-MATH-P-V1-010</x:v>
      </x:c>
      <x:c r="C485" s="87" t="str">
        <x:v>СтатГрад</x:v>
      </x:c>
      <x:c r="D485" s="87" t="str">
        <x:v>Февраль 2026</x:v>
      </x:c>
      <x:c r="E485" s="87"/>
      <x:c r="F485" s="87"/>
      <x:c r="G485" s="87" t="str">
        <x:v>Математика</x:v>
      </x:c>
      <x:c r="H485" s="87" t="n">
        <x:v>11</x:v>
      </x:c>
      <x:c r="I485" s="87" t="str">
        <x:v>ТР №3</x:v>
      </x:c>
      <x:c r="J485" s="87" t="str">
        <x:v>МА2510309</x:v>
      </x:c>
      <x:c r="K485" s="87" t="n">
        <x:v>10</x:v>
      </x:c>
      <x:c r="L485" s="87" t="str">
        <x:v>Задача на смеси</x:v>
      </x:c>
      <x:c r="M485" s="30" t="str">
        <x:v>Первый сплав содержит 5% никеля, второй — 20%. Получили 225 кг сплава с 15% никеля. На сколько кг масса первого сплава меньше массы второго?</x:v>
      </x:c>
      <x:c r="N485" s="30" t="str">
        <x:v>75 кг</x:v>
      </x:c>
      <x:c r="O485" s="30" t="str">
        <x:v>Пусть массы сплавов x и y. Тогда x+y=225 и 0,05x+0,20y=0,15·225. Отсюда x=75, y=150, поэтому y−x=75 кг.</x:v>
      </x:c>
      <x:c r="P485" s="30" t="str">
        <x:v>Масса никеля проверена: 0,05·75+0,20·150=33,75 кг, что составляет 15% от 225 кг.</x:v>
      </x:c>
      <x:c r="Q485" s="30"/>
      <x:c r="R485" s="30" t="str">
        <x:v>75</x:v>
      </x:c>
      <x:c r="S485" s="30"/>
      <x:c r="T485" s="30"/>
      <x:c r="U485" s="30" t="str">
        <x:v>Расхождений нет.</x:v>
      </x:c>
      <x:c r="V485" s="87" t="str">
        <x:v>VERIFIED</x:v>
      </x:c>
      <x:c r="W485" s="87" t="n">
        <x:v>4</x:v>
      </x:c>
      <x:c r="X485" s="87"/>
      <x:c r="Y485" s="87"/>
      <x:c r="Z485" s="87"/>
      <x:c r="AA485" s="87"/>
      <x:c r="AB485" s="87"/>
      <x:c r="AC485" s="87"/>
      <x:c r="AD485" s="87"/>
      <x:c r="AE485" s="87"/>
      <x:c r="AF485" s="87"/>
      <x:c r="AG485" s="87"/>
      <x:c r="AH485" s="87"/>
      <x:c r="AI485" s="30"/>
      <x:c r="AJ485" s="87" t="str">
        <x:v>master</x:v>
      </x:c>
      <x:c r="AK485" s="87" t="str">
        <x:v>master-v0.81</x:v>
      </x:c>
      <x:c r="AL485" s="87" t="str">
        <x:v>statgrad_master_base_v0_81_final(2).xlsx</x:v>
      </x:c>
      <x:c r="AM485" s="87" t="str">
        <x:v>MATH_Feb_Profil_V1</x:v>
      </x:c>
      <x:c r="AN485" s="87" t="n">
        <x:v>11</x:v>
      </x:c>
    </x:row>
    <x:row r="486">
      <x:c r="A486" s="87" t="n">
        <x:v>485</x:v>
      </x:c>
      <x:c r="B486" s="87" t="str">
        <x:v>FEB-MATH-P-V1-011</x:v>
      </x:c>
      <x:c r="C486" s="87" t="str">
        <x:v>СтатГрад</x:v>
      </x:c>
      <x:c r="D486" s="87" t="str">
        <x:v>Февраль 2026</x:v>
      </x:c>
      <x:c r="E486" s="87"/>
      <x:c r="F486" s="87"/>
      <x:c r="G486" s="87" t="str">
        <x:v>Математика</x:v>
      </x:c>
      <x:c r="H486" s="87" t="n">
        <x:v>11</x:v>
      </x:c>
      <x:c r="I486" s="87" t="str">
        <x:v>ТР №3</x:v>
      </x:c>
      <x:c r="J486" s="87" t="str">
        <x:v>МА2510309</x:v>
      </x:c>
      <x:c r="K486" s="87" t="n">
        <x:v>11</x:v>
      </x:c>
      <x:c r="L486" s="87" t="str">
        <x:v>Графики функций</x:v>
      </x:c>
      <x:c r="M486" s="30" t="str">
        <x:v>Графики f(x)=−2x−4 и g(x)=ax²+bx+c пересекаются в A и B. Найдите ординату B.</x:v>
      </x:c>
      <x:c r="N486" s="30" t="str">
        <x:v>−16</x:v>
      </x:c>
      <x:c r="O486" s="30" t="str">
        <x:v>По отмеченным точкам параболы восстанавливается g(x)=−x²+3x+2. Решая −x²+3x+2=−2x−4, получаем x=−1 и x=6. Точка A соответствует x=−1, поэтому для B: y=f(6)=−16.</x:v>
      </x:c>
      <x:c r="P486" s="30" t="str">
        <x:v>Квадратичная функция проверена по точкам (0;2), (1;4) и (3;2) на графике.</x:v>
      </x:c>
      <x:c r="Q486" s="30"/>
      <x:c r="R486" s="30" t="str">
        <x:v>−16</x:v>
      </x:c>
      <x:c r="S486" s="30"/>
      <x:c r="T486" s="30"/>
      <x:c r="U486" s="30" t="str">
        <x:v>Расхождений нет.</x:v>
      </x:c>
      <x:c r="V486" s="87" t="str">
        <x:v>VERIFIED</x:v>
      </x:c>
      <x:c r="W486" s="87" t="n">
        <x:v>4</x:v>
      </x:c>
      <x:c r="X486" s="87"/>
      <x:c r="Y486" s="87"/>
      <x:c r="Z486" s="87"/>
      <x:c r="AA486" s="87"/>
      <x:c r="AB486" s="87"/>
      <x:c r="AC486" s="87"/>
      <x:c r="AD486" s="87"/>
      <x:c r="AE486" s="87"/>
      <x:c r="AF486" s="87"/>
      <x:c r="AG486" s="87"/>
      <x:c r="AH486" s="87"/>
      <x:c r="AI486" s="30"/>
      <x:c r="AJ486" s="87" t="str">
        <x:v>master</x:v>
      </x:c>
      <x:c r="AK486" s="87" t="str">
        <x:v>master-v0.81</x:v>
      </x:c>
      <x:c r="AL486" s="87" t="str">
        <x:v>statgrad_master_base_v0_81_final(2).xlsx</x:v>
      </x:c>
      <x:c r="AM486" s="87" t="str">
        <x:v>MATH_Feb_Profil_V1</x:v>
      </x:c>
      <x:c r="AN486" s="87" t="n">
        <x:v>12</x:v>
      </x:c>
    </x:row>
    <x:row r="487">
      <x:c r="A487" s="87" t="n">
        <x:v>486</x:v>
      </x:c>
      <x:c r="B487" s="87" t="str">
        <x:v>FEB-MATH-P-V1-012</x:v>
      </x:c>
      <x:c r="C487" s="87" t="str">
        <x:v>СтатГрад</x:v>
      </x:c>
      <x:c r="D487" s="87" t="str">
        <x:v>Февраль 2026</x:v>
      </x:c>
      <x:c r="E487" s="87"/>
      <x:c r="F487" s="87"/>
      <x:c r="G487" s="87" t="str">
        <x:v>Математика</x:v>
      </x:c>
      <x:c r="H487" s="87" t="n">
        <x:v>11</x:v>
      </x:c>
      <x:c r="I487" s="87" t="str">
        <x:v>ТР №3</x:v>
      </x:c>
      <x:c r="J487" s="87" t="str">
        <x:v>МА2510309</x:v>
      </x:c>
      <x:c r="K487" s="87" t="n">
        <x:v>12</x:v>
      </x:c>
      <x:c r="L487" s="87" t="str">
        <x:v>Исследование функции</x:v>
      </x:c>
      <x:c r="M487" s="30" t="str">
        <x:v>Найдите наибольшее значение y=12+18x−4x√x на отрезке [7;19].</x:v>
      </x:c>
      <x:c r="N487" s="30" t="str">
        <x:v>66</x:v>
      </x:c>
      <x:c r="O487" s="30" t="str">
        <x:v>Производная y′=18−6√x обращается в ноль при x=9. До 9 функция возрастает, после 9 убывает, поэтому максимум достигается при x=9: y(9)=12+162−108=66.</x:v>
      </x:c>
      <x:c r="P487" s="30" t="str">
        <x:v>Значения на концах отрезка дополнительно проверены и меньше 66.</x:v>
      </x:c>
      <x:c r="Q487" s="30"/>
      <x:c r="R487" s="30" t="str">
        <x:v>66</x:v>
      </x:c>
      <x:c r="S487" s="30"/>
      <x:c r="T487" s="30"/>
      <x:c r="U487" s="30" t="str">
        <x:v>Расхождений нет.</x:v>
      </x:c>
      <x:c r="V487" s="87" t="str">
        <x:v>VERIFIED</x:v>
      </x:c>
      <x:c r="W487" s="87" t="n">
        <x:v>4</x:v>
      </x:c>
      <x:c r="X487" s="87"/>
      <x:c r="Y487" s="87"/>
      <x:c r="Z487" s="87"/>
      <x:c r="AA487" s="87"/>
      <x:c r="AB487" s="87"/>
      <x:c r="AC487" s="87"/>
      <x:c r="AD487" s="87"/>
      <x:c r="AE487" s="87"/>
      <x:c r="AF487" s="87"/>
      <x:c r="AG487" s="87"/>
      <x:c r="AH487" s="87"/>
      <x:c r="AI487" s="30"/>
      <x:c r="AJ487" s="87" t="str">
        <x:v>master</x:v>
      </x:c>
      <x:c r="AK487" s="87" t="str">
        <x:v>master-v0.81</x:v>
      </x:c>
      <x:c r="AL487" s="87" t="str">
        <x:v>statgrad_master_base_v0_81_final(2).xlsx</x:v>
      </x:c>
      <x:c r="AM487" s="87" t="str">
        <x:v>MATH_Feb_Profil_V1</x:v>
      </x:c>
      <x:c r="AN487" s="87" t="n">
        <x:v>13</x:v>
      </x:c>
    </x:row>
    <x:row r="488">
      <x:c r="A488" s="87" t="n">
        <x:v>487</x:v>
      </x:c>
      <x:c r="B488" s="87" t="str">
        <x:v>FEB-MATH-P-V1-013</x:v>
      </x:c>
      <x:c r="C488" s="87" t="str">
        <x:v>СтатГрад</x:v>
      </x:c>
      <x:c r="D488" s="87" t="str">
        <x:v>Февраль 2026</x:v>
      </x:c>
      <x:c r="E488" s="87"/>
      <x:c r="F488" s="87"/>
      <x:c r="G488" s="87" t="str">
        <x:v>Математика</x:v>
      </x:c>
      <x:c r="H488" s="87" t="n">
        <x:v>11</x:v>
      </x:c>
      <x:c r="I488" s="87" t="str">
        <x:v>ТР №3</x:v>
      </x:c>
      <x:c r="J488" s="87" t="str">
        <x:v>МА2510309</x:v>
      </x:c>
      <x:c r="K488" s="87" t="n">
        <x:v>13</x:v>
      </x:c>
      <x:c r="L488" s="87" t="str">
        <x:v>Развёрнутый ответ: тригонометрическое уравнение</x:v>
      </x:c>
      <x:c r="M488" s="30" t="str">
        <x:v>Решите cos(π/2−2x)+√12·cos²x=0; затем найдите корни на [15π/4;21π/4].</x:v>
      </x:c>
      <x:c r="N488" s="30" t="str">
        <x:v>а) x=π/2+πn, n∈Z, или x=−π/3+πm, m∈Z; б) 9π/2 и 14π/3</x:v>
      </x:c>
      <x:c r="O488" s="30" t="str">
        <x:v>cos(π/2−2x)=sin2x, поэтому уравнение преобразуется к 2sinx cosx+2√3 cos²x=0, то есть cosx(sinx+√3cosx)=0. Получаются две серии корней. Отбор по заданному отрезку даёт 9π/2 и 14π/3.</x:v>
      </x:c>
      <x:c r="P488" s="30" t="str">
        <x:v>Обе серии и отбор на отрезке независимо проверены подстановкой и числовой окружностью.</x:v>
      </x:c>
      <x:c r="Q488" s="30"/>
      <x:c r="R488" s="30" t="str">
        <x:v>Критерии, стр. 1</x:v>
      </x:c>
      <x:c r="S488" s="30"/>
      <x:c r="T488" s="30"/>
      <x:c r="U488" s="30" t="str">
        <x:v>Критерий перенесён отдельно без изменения.</x:v>
      </x:c>
      <x:c r="V488" s="87" t="str">
        <x:v>VERIFIED</x:v>
      </x:c>
      <x:c r="W488" s="87" t="n">
        <x:v>5</x:v>
      </x:c>
      <x:c r="X488" s="87"/>
      <x:c r="Y488" s="87"/>
      <x:c r="Z488" s="87"/>
      <x:c r="AA488" s="87"/>
      <x:c r="AB488" s="87"/>
      <x:c r="AC488" s="87"/>
      <x:c r="AD488" s="87"/>
      <x:c r="AE488" s="87"/>
      <x:c r="AF488" s="87"/>
      <x:c r="AG488" s="87"/>
      <x:c r="AH488" s="87"/>
      <x:c r="AI488" s="30"/>
      <x:c r="AJ488" s="87" t="str">
        <x:v>master</x:v>
      </x:c>
      <x:c r="AK488" s="87" t="str">
        <x:v>master-v0.81</x:v>
      </x:c>
      <x:c r="AL488" s="87" t="str">
        <x:v>statgrad_master_base_v0_81_final(2).xlsx</x:v>
      </x:c>
      <x:c r="AM488" s="87" t="str">
        <x:v>MATH_Feb_Profil_V1</x:v>
      </x:c>
      <x:c r="AN488" s="87" t="n">
        <x:v>14</x:v>
      </x:c>
    </x:row>
    <x:row r="489">
      <x:c r="A489" s="87" t="n">
        <x:v>488</x:v>
      </x:c>
      <x:c r="B489" s="87" t="str">
        <x:v>FEB-MATH-P-V1-014</x:v>
      </x:c>
      <x:c r="C489" s="87" t="str">
        <x:v>СтатГрад</x:v>
      </x:c>
      <x:c r="D489" s="87" t="str">
        <x:v>Февраль 2026</x:v>
      </x:c>
      <x:c r="E489" s="87"/>
      <x:c r="F489" s="87"/>
      <x:c r="G489" s="87" t="str">
        <x:v>Математика</x:v>
      </x:c>
      <x:c r="H489" s="87" t="n">
        <x:v>11</x:v>
      </x:c>
      <x:c r="I489" s="87" t="str">
        <x:v>ТР №3</x:v>
      </x:c>
      <x:c r="J489" s="87" t="str">
        <x:v>МА2510309</x:v>
      </x:c>
      <x:c r="K489" s="87" t="n">
        <x:v>14</x:v>
      </x:c>
      <x:c r="L489" s="87" t="str">
        <x:v>Развёрнутый ответ: стереометрия</x:v>
      </x:c>
      <x:c r="M489" s="30" t="str">
        <x:v>В правильной треугольной пирамиде SABC даны AB=2√23, SA=12; AK:KB=SM:MC=1:5. Плоскость α содержит KM и параллельна BC. Докажите α∥SA и найдите угол между α и SBC.</x:v>
      </x:c>
      <x:c r="N489" s="30" t="str">
        <x:v>а) α∥SA; б) arccos(49/66)</x:v>
      </x:c>
      <x:c r="O489" s="30" t="str">
        <x:v>Пусть α пересекает SB в L. Из LM∥BC и пропорций SM:MC=SL:LB=AK:KB следует KL∥SA, значит плоскость α параллельна SA. Если H — середина BC, то плоскость ASH перпендикулярна и α, и SBC, поэтому искомый двугранный угол равен ∠ASH. В треугольнике ASH: AS=12, AH=√69, SH=11; по теореме косинусов cos∠ASH=49/66.</x:v>
      </x:c>
      <x:c r="P489" s="30" t="str">
        <x:v>Доказательство параллельности и вычисление угла сверены по полной геометрической конструкции критерия.</x:v>
      </x:c>
      <x:c r="Q489" s="30"/>
      <x:c r="R489" s="30" t="str">
        <x:v>Критерии, стр. 2–3</x:v>
      </x:c>
      <x:c r="S489" s="30"/>
      <x:c r="T489" s="30"/>
      <x:c r="U489" s="30" t="str">
        <x:v>Критерий перенесён отдельно без изменения.</x:v>
      </x:c>
      <x:c r="V489" s="87" t="str">
        <x:v>VERIFIED</x:v>
      </x:c>
      <x:c r="W489" s="87" t="n">
        <x:v>5</x:v>
      </x:c>
      <x:c r="X489" s="87"/>
      <x:c r="Y489" s="87"/>
      <x:c r="Z489" s="87"/>
      <x:c r="AA489" s="87"/>
      <x:c r="AB489" s="87"/>
      <x:c r="AC489" s="87"/>
      <x:c r="AD489" s="87"/>
      <x:c r="AE489" s="87"/>
      <x:c r="AF489" s="87"/>
      <x:c r="AG489" s="87"/>
      <x:c r="AH489" s="87"/>
      <x:c r="AI489" s="30"/>
      <x:c r="AJ489" s="87" t="str">
        <x:v>master</x:v>
      </x:c>
      <x:c r="AK489" s="87" t="str">
        <x:v>master-v0.81</x:v>
      </x:c>
      <x:c r="AL489" s="87" t="str">
        <x:v>statgrad_master_base_v0_81_final(2).xlsx</x:v>
      </x:c>
      <x:c r="AM489" s="87" t="str">
        <x:v>MATH_Feb_Profil_V1</x:v>
      </x:c>
      <x:c r="AN489" s="87" t="n">
        <x:v>15</x:v>
      </x:c>
    </x:row>
    <x:row r="490">
      <x:c r="A490" s="87" t="n">
        <x:v>489</x:v>
      </x:c>
      <x:c r="B490" s="87" t="str">
        <x:v>FEB-MATH-P-V1-015</x:v>
      </x:c>
      <x:c r="C490" s="87" t="str">
        <x:v>СтатГрад</x:v>
      </x:c>
      <x:c r="D490" s="87" t="str">
        <x:v>Февраль 2026</x:v>
      </x:c>
      <x:c r="E490" s="87"/>
      <x:c r="F490" s="87"/>
      <x:c r="G490" s="87" t="str">
        <x:v>Математика</x:v>
      </x:c>
      <x:c r="H490" s="87" t="n">
        <x:v>11</x:v>
      </x:c>
      <x:c r="I490" s="87" t="str">
        <x:v>ТР №3</x:v>
      </x:c>
      <x:c r="J490" s="87" t="str">
        <x:v>МА2510309</x:v>
      </x:c>
      <x:c r="K490" s="87" t="n">
        <x:v>15</x:v>
      </x:c>
      <x:c r="L490" s="87" t="str">
        <x:v>Развёрнутый ответ: логарифмическое неравенство</x:v>
      </x:c>
      <x:c r="M490" s="30" t="str">
        <x:v>Решите log₂(4x)/(1−log₂²(2x)) − 1/log₂(x/4) ≥ 0.</x:v>
      </x:c>
      <x:c r="N490" s="30" t="str">
        <x:v>(0;1/4) ∪ (1/4;1) ∪ [2;4)</x:v>
      </x:c>
      <x:c r="O490" s="30" t="str">
        <x:v>Положим t=log₂x. С учётом ОДЗ t≠−2,0,2 выражение сводится к (t−1)/(t(t−2))≤0. Отсюда t&lt;0 или 1≤t&lt;2, но t=−2 исключается. Возвращаясь к x, получаем указанные интервалы.</x:v>
      </x:c>
      <x:c r="P490" s="30" t="str">
        <x:v>Знаки рациональной функции и исключённые точки ОДЗ проверены отдельно.</x:v>
      </x:c>
      <x:c r="Q490" s="30"/>
      <x:c r="R490" s="30" t="str">
        <x:v>Критерии, стр. 3–4</x:v>
      </x:c>
      <x:c r="S490" s="30"/>
      <x:c r="T490" s="30"/>
      <x:c r="U490" s="30" t="str">
        <x:v>Критерий перенесён отдельно без изменения.</x:v>
      </x:c>
      <x:c r="V490" s="87" t="str">
        <x:v>VERIFIED</x:v>
      </x:c>
      <x:c r="W490" s="87" t="n">
        <x:v>5</x:v>
      </x:c>
      <x:c r="X490" s="87"/>
      <x:c r="Y490" s="87"/>
      <x:c r="Z490" s="87"/>
      <x:c r="AA490" s="87"/>
      <x:c r="AB490" s="87"/>
      <x:c r="AC490" s="87"/>
      <x:c r="AD490" s="87"/>
      <x:c r="AE490" s="87"/>
      <x:c r="AF490" s="87"/>
      <x:c r="AG490" s="87"/>
      <x:c r="AH490" s="87"/>
      <x:c r="AI490" s="30"/>
      <x:c r="AJ490" s="87" t="str">
        <x:v>master</x:v>
      </x:c>
      <x:c r="AK490" s="87" t="str">
        <x:v>master-v0.81</x:v>
      </x:c>
      <x:c r="AL490" s="87" t="str">
        <x:v>statgrad_master_base_v0_81_final(2).xlsx</x:v>
      </x:c>
      <x:c r="AM490" s="87" t="str">
        <x:v>MATH_Feb_Profil_V1</x:v>
      </x:c>
      <x:c r="AN490" s="87" t="n">
        <x:v>16</x:v>
      </x:c>
    </x:row>
    <x:row r="491">
      <x:c r="A491" s="87" t="n">
        <x:v>490</x:v>
      </x:c>
      <x:c r="B491" s="87" t="str">
        <x:v>FEB-MATH-P-V1-016</x:v>
      </x:c>
      <x:c r="C491" s="87" t="str">
        <x:v>СтатГрад</x:v>
      </x:c>
      <x:c r="D491" s="87" t="str">
        <x:v>Февраль 2026</x:v>
      </x:c>
      <x:c r="E491" s="87"/>
      <x:c r="F491" s="87"/>
      <x:c r="G491" s="87" t="str">
        <x:v>Математика</x:v>
      </x:c>
      <x:c r="H491" s="87" t="n">
        <x:v>11</x:v>
      </x:c>
      <x:c r="I491" s="87" t="str">
        <x:v>ТР №3</x:v>
      </x:c>
      <x:c r="J491" s="87" t="str">
        <x:v>МА2510309</x:v>
      </x:c>
      <x:c r="K491" s="87" t="n">
        <x:v>16</x:v>
      </x:c>
      <x:c r="L491" s="87" t="str">
        <x:v>Развёрнутый ответ: кредит</x:v>
      </x:c>
      <x:c r="M491" s="30" t="str">
        <x:v>Кредит 900 тыс. руб. на шесть лет; долг ежегодно увеличивается на r%, затем уменьшается по заданной схеме. Сумма платежей 1470 тыс. руб. Найдите r.</x:v>
      </x:c>
      <x:c r="N491" s="30" t="str">
        <x:v>20%</x:v>
      </x:c>
      <x:c r="O491" s="30" t="str">
        <x:v>Июльские долги должны составлять 900, 725, 550, 375, 200, 100 и 0 тыс. руб. Пусть k=1+r/100. Январские долги равны этим значениям, умноженным на k; сумма платежей равна 2850k−1950. Из 2850k−1950=1470 получаем k=1,2 и r=20.</x:v>
      </x:c>
      <x:c r="P491" s="30" t="str">
        <x:v>Последовательность долгов, платежи и итоговая сумма воспроизведены независимо.</x:v>
      </x:c>
      <x:c r="Q491" s="30"/>
      <x:c r="R491" s="30" t="str">
        <x:v>Критерии, стр. 4–5</x:v>
      </x:c>
      <x:c r="S491" s="30"/>
      <x:c r="T491" s="30"/>
      <x:c r="U491" s="30" t="str">
        <x:v>Критерий перенесён отдельно без изменения.</x:v>
      </x:c>
      <x:c r="V491" s="87" t="str">
        <x:v>VERIFIED</x:v>
      </x:c>
      <x:c r="W491" s="87" t="n">
        <x:v>5</x:v>
      </x:c>
      <x:c r="X491" s="87"/>
      <x:c r="Y491" s="87"/>
      <x:c r="Z491" s="87"/>
      <x:c r="AA491" s="87"/>
      <x:c r="AB491" s="87"/>
      <x:c r="AC491" s="87"/>
      <x:c r="AD491" s="87"/>
      <x:c r="AE491" s="87"/>
      <x:c r="AF491" s="87"/>
      <x:c r="AG491" s="87"/>
      <x:c r="AH491" s="87"/>
      <x:c r="AI491" s="30"/>
      <x:c r="AJ491" s="87" t="str">
        <x:v>master</x:v>
      </x:c>
      <x:c r="AK491" s="87" t="str">
        <x:v>master-v0.81</x:v>
      </x:c>
      <x:c r="AL491" s="87" t="str">
        <x:v>statgrad_master_base_v0_81_final(2).xlsx</x:v>
      </x:c>
      <x:c r="AM491" s="87" t="str">
        <x:v>MATH_Feb_Profil_V1</x:v>
      </x:c>
      <x:c r="AN491" s="87" t="n">
        <x:v>17</x:v>
      </x:c>
    </x:row>
    <x:row r="492">
      <x:c r="A492" s="87" t="n">
        <x:v>491</x:v>
      </x:c>
      <x:c r="B492" s="87" t="str">
        <x:v>FEB-MATH-P-V1-017</x:v>
      </x:c>
      <x:c r="C492" s="87" t="str">
        <x:v>СтатГрад</x:v>
      </x:c>
      <x:c r="D492" s="87" t="str">
        <x:v>Февраль 2026</x:v>
      </x:c>
      <x:c r="E492" s="87"/>
      <x:c r="F492" s="87"/>
      <x:c r="G492" s="87" t="str">
        <x:v>Математика</x:v>
      </x:c>
      <x:c r="H492" s="87" t="n">
        <x:v>11</x:v>
      </x:c>
      <x:c r="I492" s="87" t="str">
        <x:v>ТР №3</x:v>
      </x:c>
      <x:c r="J492" s="87" t="str">
        <x:v>МА2510309</x:v>
      </x:c>
      <x:c r="K492" s="87" t="n">
        <x:v>17</x:v>
      </x:c>
      <x:c r="L492" s="87" t="str">
        <x:v>Развёрнутый ответ: планиметрия</x:v>
      </x:c>
      <x:c r="M492" s="30" t="str">
        <x:v>В квадрат ABCD вписана окружность, касающаяся AB в K и AD в E. CK и CE пересекают окружность в M и P. Докажите EK∥MP и найдите ME при стороне квадрата 10.</x:v>
      </x:c>
      <x:c r="N492" s="30" t="str">
        <x:v>а) EK∥MP; б) ME=3√10</x:v>
      </x:c>
      <x:c r="O492" s="30" t="str">
        <x:v>По свойству секущих CM·CK=CP·CE; поскольку CK=CE, получаем CM/CK=CP/CE. Треугольники CMP и CKE подобны, поэтому ∠CMP=∠CKE и MP∥EK. Для стороны 10 имеем ∠KME=45°, а из прямоугольного треугольника KCB: sin∠KCB=√5/5, cos∠KCB=2√5/5. По теореме синусов ME=10sin(∠KCB+45°)=3√10.</x:v>
      </x:c>
      <x:c r="P492" s="30" t="str">
        <x:v>Доказательство и вычисление длины сверены по свойствам секущих, подобию и теореме синусов.</x:v>
      </x:c>
      <x:c r="Q492" s="30"/>
      <x:c r="R492" s="30" t="str">
        <x:v>Критерии, стр. 5–6</x:v>
      </x:c>
      <x:c r="S492" s="30"/>
      <x:c r="T492" s="30"/>
      <x:c r="U492" s="30" t="str">
        <x:v>Критерий перенесён отдельно без изменения.</x:v>
      </x:c>
      <x:c r="V492" s="87" t="str">
        <x:v>VERIFIED</x:v>
      </x:c>
      <x:c r="W492" s="87" t="n">
        <x:v>6</x:v>
      </x:c>
      <x:c r="X492" s="87"/>
      <x:c r="Y492" s="87"/>
      <x:c r="Z492" s="87"/>
      <x:c r="AA492" s="87"/>
      <x:c r="AB492" s="87"/>
      <x:c r="AC492" s="87"/>
      <x:c r="AD492" s="87"/>
      <x:c r="AE492" s="87"/>
      <x:c r="AF492" s="87"/>
      <x:c r="AG492" s="87"/>
      <x:c r="AH492" s="87"/>
      <x:c r="AI492" s="30"/>
      <x:c r="AJ492" s="87" t="str">
        <x:v>master</x:v>
      </x:c>
      <x:c r="AK492" s="87" t="str">
        <x:v>master-v0.81</x:v>
      </x:c>
      <x:c r="AL492" s="87" t="str">
        <x:v>statgrad_master_base_v0_81_final(2).xlsx</x:v>
      </x:c>
      <x:c r="AM492" s="87" t="str">
        <x:v>MATH_Feb_Profil_V1</x:v>
      </x:c>
      <x:c r="AN492" s="87" t="n">
        <x:v>18</x:v>
      </x:c>
    </x:row>
    <x:row r="493">
      <x:c r="A493" s="87" t="n">
        <x:v>492</x:v>
      </x:c>
      <x:c r="B493" s="87" t="str">
        <x:v>FEB-MATH-P-V1-018</x:v>
      </x:c>
      <x:c r="C493" s="87" t="str">
        <x:v>СтатГрад</x:v>
      </x:c>
      <x:c r="D493" s="87" t="str">
        <x:v>Февраль 2026</x:v>
      </x:c>
      <x:c r="E493" s="87"/>
      <x:c r="F493" s="87"/>
      <x:c r="G493" s="87" t="str">
        <x:v>Математика</x:v>
      </x:c>
      <x:c r="H493" s="87" t="n">
        <x:v>11</x:v>
      </x:c>
      <x:c r="I493" s="87" t="str">
        <x:v>ТР №3</x:v>
      </x:c>
      <x:c r="J493" s="87" t="str">
        <x:v>МА2510309</x:v>
      </x:c>
      <x:c r="K493" s="87" t="n">
        <x:v>18</x:v>
      </x:c>
      <x:c r="L493" s="87" t="str">
        <x:v>Развёрнутый ответ: задача с параметром</x:v>
      </x:c>
      <x:c r="M493" s="30" t="str">
        <x:v>Найдите все a, при которых система из произведения двух сумм квадратов ≤0 и кругового неравенства не имеет решений.</x:v>
      </x:c>
      <x:c r="N493" s="30" t="str">
        <x:v>(−∞;−16) ∪ (0;2) ∪ (14;+∞)</x:v>
      </x:c>
      <x:c r="O493" s="30" t="str">
        <x:v>Первое неравенство выполняется только в точках (−1;−4) и (3;2). Система не имеет решений, когда обе точки лежат вне круга, заданного вторым неравенством. Подстановка точек даёт a(a+16)&gt;0 и (a−2)(a−14)&gt;0. Их совместное решение — указанные интервалы.</x:v>
      </x:c>
      <x:c r="P493" s="30" t="str">
        <x:v>Геометрическая интерпретация и строгие границы интервалов проверены подстановкой граничных значений.</x:v>
      </x:c>
      <x:c r="Q493" s="30"/>
      <x:c r="R493" s="30" t="str">
        <x:v>Критерии, стр. 6–7</x:v>
      </x:c>
      <x:c r="S493" s="30"/>
      <x:c r="T493" s="30"/>
      <x:c r="U493" s="30" t="str">
        <x:v>Критерий перенесён отдельно без изменения.</x:v>
      </x:c>
      <x:c r="V493" s="87" t="str">
        <x:v>VERIFIED</x:v>
      </x:c>
      <x:c r="W493" s="87" t="n">
        <x:v>6</x:v>
      </x:c>
      <x:c r="X493" s="87"/>
      <x:c r="Y493" s="87"/>
      <x:c r="Z493" s="87"/>
      <x:c r="AA493" s="87"/>
      <x:c r="AB493" s="87"/>
      <x:c r="AC493" s="87"/>
      <x:c r="AD493" s="87"/>
      <x:c r="AE493" s="87"/>
      <x:c r="AF493" s="87"/>
      <x:c r="AG493" s="87"/>
      <x:c r="AH493" s="87"/>
      <x:c r="AI493" s="30"/>
      <x:c r="AJ493" s="87" t="str">
        <x:v>master</x:v>
      </x:c>
      <x:c r="AK493" s="87" t="str">
        <x:v>master-v0.81</x:v>
      </x:c>
      <x:c r="AL493" s="87" t="str">
        <x:v>statgrad_master_base_v0_81_final(2).xlsx</x:v>
      </x:c>
      <x:c r="AM493" s="87" t="str">
        <x:v>MATH_Feb_Profil_V1</x:v>
      </x:c>
      <x:c r="AN493" s="87" t="n">
        <x:v>19</x:v>
      </x:c>
    </x:row>
    <x:row r="494">
      <x:c r="A494" s="87" t="n">
        <x:v>493</x:v>
      </x:c>
      <x:c r="B494" s="87" t="str">
        <x:v>FEB-MATH-P-V1-019</x:v>
      </x:c>
      <x:c r="C494" s="87" t="str">
        <x:v>СтатГрад</x:v>
      </x:c>
      <x:c r="D494" s="87" t="str">
        <x:v>Февраль 2026</x:v>
      </x:c>
      <x:c r="E494" s="87"/>
      <x:c r="F494" s="87"/>
      <x:c r="G494" s="87" t="str">
        <x:v>Математика</x:v>
      </x:c>
      <x:c r="H494" s="87" t="n">
        <x:v>11</x:v>
      </x:c>
      <x:c r="I494" s="87" t="str">
        <x:v>ТР №3</x:v>
      </x:c>
      <x:c r="J494" s="87" t="str">
        <x:v>МА2510309</x:v>
      </x:c>
      <x:c r="K494" s="87" t="n">
        <x:v>19</x:v>
      </x:c>
      <x:c r="L494" s="87" t="str">
        <x:v>Развёрнутый ответ: числовая задача</x:v>
      </x:c>
      <x:c r="M494" s="30" t="str">
        <x:v>Шесть критиков выставили различные целые оценки 0–10. Старый рейтинг — среднее шести оценок, новый — среднее четырёх после удаления минимума и максимума. Исследуйте разность рейтингов.</x:v>
      </x:c>
      <x:c r="N494" s="30" t="str">
        <x:v>а) 1/18 — нет; б) 1/12 — да; в) максимум 5/6</x:v>
      </x:c>
      <x:c r="O494" s="30" t="str">
        <x:v>Если A=m/6 и B=n/4, то A−B=(2m−3n)/12, поэтому значение 1/18 невозможно. Для оценок 0,1,2,3,5,6 разность равна 1/12. Пусть x — минимум, z — максимум, y — сумма четырёх остальных; тогда A−B=(2x−y+2z)/12≤5/6. Равенство достигается на оценках 0,1,2,3,4,10.</x:v>
      </x:c>
      <x:c r="P494" s="30" t="str">
        <x:v>Невозможность, конструктивный пример и верхняя граница независимо проверены перебором различных целых оценок 0–10.</x:v>
      </x:c>
      <x:c r="Q494" s="30"/>
      <x:c r="R494" s="30" t="str">
        <x:v>Критерии, стр. 7–8</x:v>
      </x:c>
      <x:c r="S494" s="30"/>
      <x:c r="T494" s="30"/>
      <x:c r="U494" s="30" t="str">
        <x:v>Критерий перенесён отдельно без изменения.</x:v>
      </x:c>
      <x:c r="V494" s="87" t="str">
        <x:v>VERIFIED</x:v>
      </x:c>
      <x:c r="W494" s="87" t="n">
        <x:v>6</x:v>
      </x:c>
      <x:c r="X494" s="87"/>
      <x:c r="Y494" s="87"/>
      <x:c r="Z494" s="87"/>
      <x:c r="AA494" s="87"/>
      <x:c r="AB494" s="87"/>
      <x:c r="AC494" s="87"/>
      <x:c r="AD494" s="87"/>
      <x:c r="AE494" s="87"/>
      <x:c r="AF494" s="87"/>
      <x:c r="AG494" s="87"/>
      <x:c r="AH494" s="87"/>
      <x:c r="AI494" s="30"/>
      <x:c r="AJ494" s="87" t="str">
        <x:v>master</x:v>
      </x:c>
      <x:c r="AK494" s="87" t="str">
        <x:v>master-v0.81</x:v>
      </x:c>
      <x:c r="AL494" s="87" t="str">
        <x:v>statgrad_master_base_v0_81_final(2).xlsx</x:v>
      </x:c>
      <x:c r="AM494" s="87" t="str">
        <x:v>MATH_Feb_Profil_V1</x:v>
      </x:c>
      <x:c r="AN494" s="87" t="n">
        <x:v>20</x:v>
      </x:c>
    </x:row>
    <x:row r="495">
      <x:c r="A495" s="87" t="n">
        <x:v>494</x:v>
      </x:c>
      <x:c r="B495" s="87" t="str">
        <x:v>FEB-MATH-P-V2-001</x:v>
      </x:c>
      <x:c r="C495" s="87" t="str">
        <x:v>СтатГрад</x:v>
      </x:c>
      <x:c r="D495" s="87" t="str">
        <x:v>Февраль 2026</x:v>
      </x:c>
      <x:c r="E495" s="87"/>
      <x:c r="F495" s="87"/>
      <x:c r="G495" s="87" t="str">
        <x:v>Математика</x:v>
      </x:c>
      <x:c r="H495" s="87" t="n">
        <x:v>11</x:v>
      </x:c>
      <x:c r="I495" s="87" t="str">
        <x:v>ТР №3</x:v>
      </x:c>
      <x:c r="J495" s="87" t="str">
        <x:v>МА2510310</x:v>
      </x:c>
      <x:c r="K495" s="87" t="n">
        <x:v>1</x:v>
      </x:c>
      <x:c r="L495" s="87" t="str">
        <x:v>Планиметрия: окружность</x:v>
      </x:c>
      <x:c r="M495" s="30" t="str">
        <x:v>AC и BD — диаметры окружности. Угол ACB равен 67°. Найдите угол AOD.</x:v>
      </x:c>
      <x:c r="N495" s="30" t="str">
        <x:v>46°</x:v>
      </x:c>
      <x:c r="O495" s="30" t="str">
        <x:v>Вписанный угол ACB опирается на дугу AB, поэтому центральный угол AOB равен 2·67°=134°. Луч OD противоположен лучу OB, следовательно, ∠AOD=180°−134°=46°.</x:v>
      </x:c>
      <x:c r="P495" s="30" t="str">
        <x:v>Проверено по теореме о вписанном угле и свойству диаметра.</x:v>
      </x:c>
      <x:c r="Q495" s="30"/>
      <x:c r="R495" s="30" t="str">
        <x:v>46</x:v>
      </x:c>
      <x:c r="S495" s="30"/>
      <x:c r="T495" s="30"/>
      <x:c r="U495" s="30" t="str">
        <x:v>Расхождений нет.</x:v>
      </x:c>
      <x:c r="V495" s="87" t="str">
        <x:v>VERIFIED</x:v>
      </x:c>
      <x:c r="W495" s="87" t="n">
        <x:v>2</x:v>
      </x:c>
      <x:c r="X495" s="87"/>
      <x:c r="Y495" s="87"/>
      <x:c r="Z495" s="87"/>
      <x:c r="AA495" s="87"/>
      <x:c r="AB495" s="87"/>
      <x:c r="AC495" s="87"/>
      <x:c r="AD495" s="87"/>
      <x:c r="AE495" s="87"/>
      <x:c r="AF495" s="87"/>
      <x:c r="AG495" s="87"/>
      <x:c r="AH495" s="87"/>
      <x:c r="AI495" s="30"/>
      <x:c r="AJ495" s="87" t="str">
        <x:v>master</x:v>
      </x:c>
      <x:c r="AK495" s="87" t="str">
        <x:v>master-v0.81</x:v>
      </x:c>
      <x:c r="AL495" s="87" t="str">
        <x:v>statgrad_master_base_v0_81_final(2).xlsx</x:v>
      </x:c>
      <x:c r="AM495" s="87" t="str">
        <x:v>MATH_Feb_Profil_V2</x:v>
      </x:c>
      <x:c r="AN495" s="87" t="n">
        <x:v>2</x:v>
      </x:c>
    </x:row>
    <x:row r="496">
      <x:c r="A496" s="87" t="n">
        <x:v>495</x:v>
      </x:c>
      <x:c r="B496" s="87" t="str">
        <x:v>FEB-MATH-P-V2-002</x:v>
      </x:c>
      <x:c r="C496" s="87" t="str">
        <x:v>СтатГрад</x:v>
      </x:c>
      <x:c r="D496" s="87" t="str">
        <x:v>Февраль 2026</x:v>
      </x:c>
      <x:c r="E496" s="87"/>
      <x:c r="F496" s="87"/>
      <x:c r="G496" s="87" t="str">
        <x:v>Математика</x:v>
      </x:c>
      <x:c r="H496" s="87" t="n">
        <x:v>11</x:v>
      </x:c>
      <x:c r="I496" s="87" t="str">
        <x:v>ТР №3</x:v>
      </x:c>
      <x:c r="J496" s="87" t="str">
        <x:v>МА2510310</x:v>
      </x:c>
      <x:c r="K496" s="87" t="n">
        <x:v>2</x:v>
      </x:c>
      <x:c r="L496" s="87" t="str">
        <x:v>Векторы</x:v>
      </x:c>
      <x:c r="M496" s="30" t="str">
        <x:v>Даны a=(5;7), b=(2;−9), c=(−6;2). Найдите (a−b)·c.</x:v>
      </x:c>
      <x:c r="N496" s="30" t="str">
        <x:v>14</x:v>
      </x:c>
      <x:c r="O496" s="30" t="str">
        <x:v>a−b=(3;16). Скалярное произведение равно 3·(−6)+16·2=−18+32=14.</x:v>
      </x:c>
      <x:c r="P496" s="30" t="str">
        <x:v>Координатное вычитание и скалярное произведение пересчитаны независимо.</x:v>
      </x:c>
      <x:c r="Q496" s="30"/>
      <x:c r="R496" s="30" t="str">
        <x:v>14</x:v>
      </x:c>
      <x:c r="S496" s="30"/>
      <x:c r="T496" s="30"/>
      <x:c r="U496" s="30" t="str">
        <x:v>Расхождений нет.</x:v>
      </x:c>
      <x:c r="V496" s="87" t="str">
        <x:v>VERIFIED</x:v>
      </x:c>
      <x:c r="W496" s="87" t="n">
        <x:v>2</x:v>
      </x:c>
      <x:c r="X496" s="87"/>
      <x:c r="Y496" s="87"/>
      <x:c r="Z496" s="87"/>
      <x:c r="AA496" s="87"/>
      <x:c r="AB496" s="87"/>
      <x:c r="AC496" s="87"/>
      <x:c r="AD496" s="87"/>
      <x:c r="AE496" s="87"/>
      <x:c r="AF496" s="87"/>
      <x:c r="AG496" s="87"/>
      <x:c r="AH496" s="87"/>
      <x:c r="AI496" s="30"/>
      <x:c r="AJ496" s="87" t="str">
        <x:v>master</x:v>
      </x:c>
      <x:c r="AK496" s="87" t="str">
        <x:v>master-v0.81</x:v>
      </x:c>
      <x:c r="AL496" s="87" t="str">
        <x:v>statgrad_master_base_v0_81_final(2).xlsx</x:v>
      </x:c>
      <x:c r="AM496" s="87" t="str">
        <x:v>MATH_Feb_Profil_V2</x:v>
      </x:c>
      <x:c r="AN496" s="87" t="n">
        <x:v>3</x:v>
      </x:c>
    </x:row>
    <x:row r="497">
      <x:c r="A497" s="87" t="n">
        <x:v>496</x:v>
      </x:c>
      <x:c r="B497" s="87" t="str">
        <x:v>FEB-MATH-P-V2-003</x:v>
      </x:c>
      <x:c r="C497" s="87" t="str">
        <x:v>СтатГрад</x:v>
      </x:c>
      <x:c r="D497" s="87" t="str">
        <x:v>Февраль 2026</x:v>
      </x:c>
      <x:c r="E497" s="87"/>
      <x:c r="F497" s="87"/>
      <x:c r="G497" s="87" t="str">
        <x:v>Математика</x:v>
      </x:c>
      <x:c r="H497" s="87" t="n">
        <x:v>11</x:v>
      </x:c>
      <x:c r="I497" s="87" t="str">
        <x:v>ТР №3</x:v>
      </x:c>
      <x:c r="J497" s="87" t="str">
        <x:v>МА2510310</x:v>
      </x:c>
      <x:c r="K497" s="87" t="n">
        <x:v>3</x:v>
      </x:c>
      <x:c r="L497" s="87" t="str">
        <x:v>Стереометрия: объём пирамиды</x:v>
      </x:c>
      <x:c r="M497" s="30" t="str">
        <x:v>Основание пирамиды — прямоугольник; одна боковая грань перпендикулярна основанию, три другие наклонены к нему под углом 60°. Высота пирамиды 12. Найдите объём.</x:v>
      </x:c>
      <x:c r="N497" s="30" t="str">
        <x:v>384</x:v>
      </x:c>
      <x:c r="O497" s="30" t="str">
        <x:v>Проекция вершины лежит на стороне прямоугольника, принадлежащей перпендикулярной грани. Расстояние от проекции вершины до каждой из трёх остальных сторон равно 12·ctg60°=4√3. Поэтому стороны основания равны 4√3 и 8√3, площадь — 96. Объём V=(1/3)·96·12=384.</x:v>
      </x:c>
      <x:c r="P497" s="30" t="str">
        <x:v>Геометрическая модель проверена через линейный угол двугранного угла и формулу объёма пирамиды.</x:v>
      </x:c>
      <x:c r="Q497" s="30"/>
      <x:c r="R497" s="30" t="str">
        <x:v>384</x:v>
      </x:c>
      <x:c r="S497" s="30"/>
      <x:c r="T497" s="30"/>
      <x:c r="U497" s="30" t="str">
        <x:v>Расхождений нет.</x:v>
      </x:c>
      <x:c r="V497" s="87" t="str">
        <x:v>VERIFIED</x:v>
      </x:c>
      <x:c r="W497" s="87" t="n">
        <x:v>2</x:v>
      </x:c>
      <x:c r="X497" s="87"/>
      <x:c r="Y497" s="87"/>
      <x:c r="Z497" s="87"/>
      <x:c r="AA497" s="87"/>
      <x:c r="AB497" s="87"/>
      <x:c r="AC497" s="87"/>
      <x:c r="AD497" s="87"/>
      <x:c r="AE497" s="87"/>
      <x:c r="AF497" s="87"/>
      <x:c r="AG497" s="87"/>
      <x:c r="AH497" s="87"/>
      <x:c r="AI497" s="30"/>
      <x:c r="AJ497" s="87" t="str">
        <x:v>master</x:v>
      </x:c>
      <x:c r="AK497" s="87" t="str">
        <x:v>master-v0.81</x:v>
      </x:c>
      <x:c r="AL497" s="87" t="str">
        <x:v>statgrad_master_base_v0_81_final(2).xlsx</x:v>
      </x:c>
      <x:c r="AM497" s="87" t="str">
        <x:v>MATH_Feb_Profil_V2</x:v>
      </x:c>
      <x:c r="AN497" s="87" t="n">
        <x:v>4</x:v>
      </x:c>
    </x:row>
    <x:row r="498">
      <x:c r="A498" s="87" t="n">
        <x:v>497</x:v>
      </x:c>
      <x:c r="B498" s="87" t="str">
        <x:v>FEB-MATH-P-V2-004</x:v>
      </x:c>
      <x:c r="C498" s="87" t="str">
        <x:v>СтатГрад</x:v>
      </x:c>
      <x:c r="D498" s="87" t="str">
        <x:v>Февраль 2026</x:v>
      </x:c>
      <x:c r="E498" s="87"/>
      <x:c r="F498" s="87"/>
      <x:c r="G498" s="87" t="str">
        <x:v>Математика</x:v>
      </x:c>
      <x:c r="H498" s="87" t="n">
        <x:v>11</x:v>
      </x:c>
      <x:c r="I498" s="87" t="str">
        <x:v>ТР №3</x:v>
      </x:c>
      <x:c r="J498" s="87" t="str">
        <x:v>МА2510310</x:v>
      </x:c>
      <x:c r="K498" s="87" t="n">
        <x:v>4</x:v>
      </x:c>
      <x:c r="L498" s="87" t="str">
        <x:v>Теория вероятностей</x:v>
      </x:c>
      <x:c r="M498" s="30" t="str">
        <x:v>Вероятность температуры ниже 36,8 °C равна 0,76. Найдите вероятность температуры 36,8 °C или выше.</x:v>
      </x:c>
      <x:c r="N498" s="30" t="str">
        <x:v>0,24</x:v>
      </x:c>
      <x:c r="O498" s="30" t="str">
        <x:v>События «ниже 36,8 °C» и «36,8 °C или выше» противоположны. Искомая вероятность равна 1−0,76=0,24.</x:v>
      </x:c>
      <x:c r="P498" s="30" t="str">
        <x:v>Проверено правилом вероятности противоположного события.</x:v>
      </x:c>
      <x:c r="Q498" s="30"/>
      <x:c r="R498" s="30" t="str">
        <x:v>0,24</x:v>
      </x:c>
      <x:c r="S498" s="30"/>
      <x:c r="T498" s="30"/>
      <x:c r="U498" s="30" t="str">
        <x:v>Расхождений нет.</x:v>
      </x:c>
      <x:c r="V498" s="87" t="str">
        <x:v>VERIFIED</x:v>
      </x:c>
      <x:c r="W498" s="87" t="n">
        <x:v>2</x:v>
      </x:c>
      <x:c r="X498" s="87"/>
      <x:c r="Y498" s="87"/>
      <x:c r="Z498" s="87"/>
      <x:c r="AA498" s="87"/>
      <x:c r="AB498" s="87"/>
      <x:c r="AC498" s="87"/>
      <x:c r="AD498" s="87"/>
      <x:c r="AE498" s="87"/>
      <x:c r="AF498" s="87"/>
      <x:c r="AG498" s="87"/>
      <x:c r="AH498" s="87"/>
      <x:c r="AI498" s="30"/>
      <x:c r="AJ498" s="87" t="str">
        <x:v>master</x:v>
      </x:c>
      <x:c r="AK498" s="87" t="str">
        <x:v>master-v0.81</x:v>
      </x:c>
      <x:c r="AL498" s="87" t="str">
        <x:v>statgrad_master_base_v0_81_final(2).xlsx</x:v>
      </x:c>
      <x:c r="AM498" s="87" t="str">
        <x:v>MATH_Feb_Profil_V2</x:v>
      </x:c>
      <x:c r="AN498" s="87" t="n">
        <x:v>5</x:v>
      </x:c>
    </x:row>
    <x:row r="499">
      <x:c r="A499" s="87" t="n">
        <x:v>498</x:v>
      </x:c>
      <x:c r="B499" s="87" t="str">
        <x:v>FEB-MATH-P-V2-005</x:v>
      </x:c>
      <x:c r="C499" s="87" t="str">
        <x:v>СтатГрад</x:v>
      </x:c>
      <x:c r="D499" s="87" t="str">
        <x:v>Февраль 2026</x:v>
      </x:c>
      <x:c r="E499" s="87"/>
      <x:c r="F499" s="87"/>
      <x:c r="G499" s="87" t="str">
        <x:v>Математика</x:v>
      </x:c>
      <x:c r="H499" s="87" t="n">
        <x:v>11</x:v>
      </x:c>
      <x:c r="I499" s="87" t="str">
        <x:v>ТР №3</x:v>
      </x:c>
      <x:c r="J499" s="87" t="str">
        <x:v>МА2510310</x:v>
      </x:c>
      <x:c r="K499" s="87" t="n">
        <x:v>5</x:v>
      </x:c>
      <x:c r="L499" s="87" t="str">
        <x:v>Комбинаторная вероятность</x:v>
      </x:c>
      <x:c r="M499" s="30" t="str">
        <x:v>В коробке 9 синих, 4 красных и 12 зелёных фломастеров. Выбирают два. Найдите вероятность выбора одного синего и одного красного.</x:v>
      </x:c>
      <x:c r="N499" s="30" t="str">
        <x:v>0,12</x:v>
      </x:c>
      <x:c r="O499" s="30" t="str">
        <x:v>Всего 25 фломастеров и C(25,2)=300 неупорядоченных пар. Благоприятных пар 9·4=36, поэтому P=36/300=0,12.</x:v>
      </x:c>
      <x:c r="P499" s="30" t="str">
        <x:v>Вероятность дополнительно проверена последовательным выбором без возвращения.</x:v>
      </x:c>
      <x:c r="Q499" s="30"/>
      <x:c r="R499" s="30" t="str">
        <x:v>0,12</x:v>
      </x:c>
      <x:c r="S499" s="30"/>
      <x:c r="T499" s="30"/>
      <x:c r="U499" s="30" t="str">
        <x:v>Расхождений нет.</x:v>
      </x:c>
      <x:c r="V499" s="87" t="str">
        <x:v>VERIFIED</x:v>
      </x:c>
      <x:c r="W499" s="87" t="n">
        <x:v>3</x:v>
      </x:c>
      <x:c r="X499" s="87"/>
      <x:c r="Y499" s="87"/>
      <x:c r="Z499" s="87"/>
      <x:c r="AA499" s="87"/>
      <x:c r="AB499" s="87"/>
      <x:c r="AC499" s="87"/>
      <x:c r="AD499" s="87"/>
      <x:c r="AE499" s="87"/>
      <x:c r="AF499" s="87"/>
      <x:c r="AG499" s="87"/>
      <x:c r="AH499" s="87"/>
      <x:c r="AI499" s="30"/>
      <x:c r="AJ499" s="87" t="str">
        <x:v>master</x:v>
      </x:c>
      <x:c r="AK499" s="87" t="str">
        <x:v>master-v0.81</x:v>
      </x:c>
      <x:c r="AL499" s="87" t="str">
        <x:v>statgrad_master_base_v0_81_final(2).xlsx</x:v>
      </x:c>
      <x:c r="AM499" s="87" t="str">
        <x:v>MATH_Feb_Profil_V2</x:v>
      </x:c>
      <x:c r="AN499" s="87" t="n">
        <x:v>6</x:v>
      </x:c>
    </x:row>
    <x:row r="500">
      <x:c r="A500" s="87" t="n">
        <x:v>499</x:v>
      </x:c>
      <x:c r="B500" s="87" t="str">
        <x:v>FEB-MATH-P-V2-006</x:v>
      </x:c>
      <x:c r="C500" s="87" t="str">
        <x:v>СтатГрад</x:v>
      </x:c>
      <x:c r="D500" s="87" t="str">
        <x:v>Февраль 2026</x:v>
      </x:c>
      <x:c r="E500" s="87"/>
      <x:c r="F500" s="87"/>
      <x:c r="G500" s="87" t="str">
        <x:v>Математика</x:v>
      </x:c>
      <x:c r="H500" s="87" t="n">
        <x:v>11</x:v>
      </x:c>
      <x:c r="I500" s="87" t="str">
        <x:v>ТР №3</x:v>
      </x:c>
      <x:c r="J500" s="87" t="str">
        <x:v>МА2510310</x:v>
      </x:c>
      <x:c r="K500" s="87" t="n">
        <x:v>6</x:v>
      </x:c>
      <x:c r="L500" s="87" t="str">
        <x:v>Логарифмическое уравнение</x:v>
      </x:c>
      <x:c r="M500" s="30" t="str">
        <x:v>Решите уравнение log₉(3+x)=log₉11.</x:v>
      </x:c>
      <x:c r="N500" s="30" t="str">
        <x:v>8</x:v>
      </x:c>
      <x:c r="O500" s="30" t="str">
        <x:v>Основания логарифмов одинаковы и допустимы, поэтому 3+x=11. Получаем x=8; условие 3+x&gt;0 выполняется.</x:v>
      </x:c>
      <x:c r="P500" s="30" t="str">
        <x:v>Корень подставлен в исходное уравнение.</x:v>
      </x:c>
      <x:c r="Q500" s="30"/>
      <x:c r="R500" s="30" t="str">
        <x:v>8</x:v>
      </x:c>
      <x:c r="S500" s="30"/>
      <x:c r="T500" s="30"/>
      <x:c r="U500" s="30" t="str">
        <x:v>Расхождений нет.</x:v>
      </x:c>
      <x:c r="V500" s="87" t="str">
        <x:v>VERIFIED</x:v>
      </x:c>
      <x:c r="W500" s="87" t="n">
        <x:v>3</x:v>
      </x:c>
      <x:c r="X500" s="87"/>
      <x:c r="Y500" s="87"/>
      <x:c r="Z500" s="87"/>
      <x:c r="AA500" s="87"/>
      <x:c r="AB500" s="87"/>
      <x:c r="AC500" s="87"/>
      <x:c r="AD500" s="87"/>
      <x:c r="AE500" s="87"/>
      <x:c r="AF500" s="87"/>
      <x:c r="AG500" s="87"/>
      <x:c r="AH500" s="87"/>
      <x:c r="AI500" s="30"/>
      <x:c r="AJ500" s="87" t="str">
        <x:v>master</x:v>
      </x:c>
      <x:c r="AK500" s="87" t="str">
        <x:v>master-v0.81</x:v>
      </x:c>
      <x:c r="AL500" s="87" t="str">
        <x:v>statgrad_master_base_v0_81_final(2).xlsx</x:v>
      </x:c>
      <x:c r="AM500" s="87" t="str">
        <x:v>MATH_Feb_Profil_V2</x:v>
      </x:c>
      <x:c r="AN500" s="87" t="n">
        <x:v>7</x:v>
      </x:c>
    </x:row>
    <x:row r="501">
      <x:c r="A501" s="87" t="n">
        <x:v>500</x:v>
      </x:c>
      <x:c r="B501" s="87" t="str">
        <x:v>FEB-MATH-P-V2-007</x:v>
      </x:c>
      <x:c r="C501" s="87" t="str">
        <x:v>СтатГрад</x:v>
      </x:c>
      <x:c r="D501" s="87" t="str">
        <x:v>Февраль 2026</x:v>
      </x:c>
      <x:c r="E501" s="87"/>
      <x:c r="F501" s="87"/>
      <x:c r="G501" s="87" t="str">
        <x:v>Математика</x:v>
      </x:c>
      <x:c r="H501" s="87" t="n">
        <x:v>11</x:v>
      </x:c>
      <x:c r="I501" s="87" t="str">
        <x:v>ТР №3</x:v>
      </x:c>
      <x:c r="J501" s="87" t="str">
        <x:v>МА2510310</x:v>
      </x:c>
      <x:c r="K501" s="87" t="n">
        <x:v>7</x:v>
      </x:c>
      <x:c r="L501" s="87" t="str">
        <x:v>Степени и корни</x:v>
      </x:c>
      <x:c r="M501" s="30" t="str">
        <x:v>Найдите ((4^(1/3)·4^(1/4))/√[12]{4})².</x:v>
      </x:c>
      <x:c r="N501" s="30" t="str">
        <x:v>4</x:v>
      </x:c>
      <x:c r="O501" s="30" t="str">
        <x:v>Внутри скобок показатель степени равен 1/3+1/4−1/12=1/2. После возведения в квадрат показатель становится равным 1, поэтому значение выражения равно 4.</x:v>
      </x:c>
      <x:c r="P501" s="30" t="str">
        <x:v>Показатели приведены к общему знаменателю 12.</x:v>
      </x:c>
      <x:c r="Q501" s="30"/>
      <x:c r="R501" s="30" t="str">
        <x:v>4</x:v>
      </x:c>
      <x:c r="S501" s="30"/>
      <x:c r="T501" s="30"/>
      <x:c r="U501" s="30" t="str">
        <x:v>Расхождений нет.</x:v>
      </x:c>
      <x:c r="V501" s="87" t="str">
        <x:v>VERIFIED</x:v>
      </x:c>
      <x:c r="W501" s="87" t="n">
        <x:v>3</x:v>
      </x:c>
      <x:c r="X501" s="87"/>
      <x:c r="Y501" s="87"/>
      <x:c r="Z501" s="87"/>
      <x:c r="AA501" s="87"/>
      <x:c r="AB501" s="87"/>
      <x:c r="AC501" s="87"/>
      <x:c r="AD501" s="87"/>
      <x:c r="AE501" s="87"/>
      <x:c r="AF501" s="87"/>
      <x:c r="AG501" s="87"/>
      <x:c r="AH501" s="87"/>
      <x:c r="AI501" s="30"/>
      <x:c r="AJ501" s="87" t="str">
        <x:v>master</x:v>
      </x:c>
      <x:c r="AK501" s="87" t="str">
        <x:v>master-v0.81</x:v>
      </x:c>
      <x:c r="AL501" s="87" t="str">
        <x:v>statgrad_master_base_v0_81_final(2).xlsx</x:v>
      </x:c>
      <x:c r="AM501" s="87" t="str">
        <x:v>MATH_Feb_Profil_V2</x:v>
      </x:c>
      <x:c r="AN501" s="87" t="n">
        <x:v>8</x:v>
      </x:c>
    </x:row>
    <x:row r="502">
      <x:c r="A502" s="87" t="n">
        <x:v>501</x:v>
      </x:c>
      <x:c r="B502" s="87" t="str">
        <x:v>FEB-MATH-P-V2-008</x:v>
      </x:c>
      <x:c r="C502" s="87" t="str">
        <x:v>СтатГрад</x:v>
      </x:c>
      <x:c r="D502" s="87" t="str">
        <x:v>Февраль 2026</x:v>
      </x:c>
      <x:c r="E502" s="87"/>
      <x:c r="F502" s="87"/>
      <x:c r="G502" s="87" t="str">
        <x:v>Математика</x:v>
      </x:c>
      <x:c r="H502" s="87" t="n">
        <x:v>11</x:v>
      </x:c>
      <x:c r="I502" s="87" t="str">
        <x:v>ТР №3</x:v>
      </x:c>
      <x:c r="J502" s="87" t="str">
        <x:v>МА2510310</x:v>
      </x:c>
      <x:c r="K502" s="87" t="n">
        <x:v>8</x:v>
      </x:c>
      <x:c r="L502" s="87" t="str">
        <x:v>Производная по графику</x:v>
      </x:c>
      <x:c r="M502" s="30" t="str">
        <x:v>Дан график y=f′(x). Найдите абсциссу точки, где касательная к y=f(x) параллельна y=6−2x.</x:v>
      </x:c>
      <x:c r="N502" s="30" t="str">
        <x:v>−4</x:v>
      </x:c>
      <x:c r="O502" s="30" t="str">
        <x:v>Угловой коэффициент прямой равен −2, поэтому требуется f′(x)=−2. По графику производной горизонталь y=−2 пересекает кривую в отмеченной требуемой точке при x=−4.</x:v>
      </x:c>
      <x:c r="P502" s="30" t="str">
        <x:v>Значение считано по единичной координатной сетке графика.</x:v>
      </x:c>
      <x:c r="Q502" s="30"/>
      <x:c r="R502" s="30" t="str">
        <x:v>−4</x:v>
      </x:c>
      <x:c r="S502" s="30"/>
      <x:c r="T502" s="30"/>
      <x:c r="U502" s="30" t="str">
        <x:v>Расхождений нет.</x:v>
      </x:c>
      <x:c r="V502" s="87" t="str">
        <x:v>VERIFIED</x:v>
      </x:c>
      <x:c r="W502" s="87" t="n">
        <x:v>3</x:v>
      </x:c>
      <x:c r="X502" s="87"/>
      <x:c r="Y502" s="87"/>
      <x:c r="Z502" s="87"/>
      <x:c r="AA502" s="87"/>
      <x:c r="AB502" s="87"/>
      <x:c r="AC502" s="87"/>
      <x:c r="AD502" s="87"/>
      <x:c r="AE502" s="87"/>
      <x:c r="AF502" s="87"/>
      <x:c r="AG502" s="87"/>
      <x:c r="AH502" s="87"/>
      <x:c r="AI502" s="30"/>
      <x:c r="AJ502" s="87" t="str">
        <x:v>master</x:v>
      </x:c>
      <x:c r="AK502" s="87" t="str">
        <x:v>master-v0.81</x:v>
      </x:c>
      <x:c r="AL502" s="87" t="str">
        <x:v>statgrad_master_base_v0_81_final(2).xlsx</x:v>
      </x:c>
      <x:c r="AM502" s="87" t="str">
        <x:v>MATH_Feb_Profil_V2</x:v>
      </x:c>
      <x:c r="AN502" s="87" t="n">
        <x:v>9</x:v>
      </x:c>
    </x:row>
    <x:row r="503">
      <x:c r="A503" s="87" t="n">
        <x:v>502</x:v>
      </x:c>
      <x:c r="B503" s="87" t="str">
        <x:v>FEB-MATH-P-V2-009</x:v>
      </x:c>
      <x:c r="C503" s="87" t="str">
        <x:v>СтатГрад</x:v>
      </x:c>
      <x:c r="D503" s="87" t="str">
        <x:v>Февраль 2026</x:v>
      </x:c>
      <x:c r="E503" s="87"/>
      <x:c r="F503" s="87"/>
      <x:c r="G503" s="87" t="str">
        <x:v>Математика</x:v>
      </x:c>
      <x:c r="H503" s="87" t="n">
        <x:v>11</x:v>
      </x:c>
      <x:c r="I503" s="87" t="str">
        <x:v>ТР №3</x:v>
      </x:c>
      <x:c r="J503" s="87" t="str">
        <x:v>МА2510310</x:v>
      </x:c>
      <x:c r="K503" s="87" t="n">
        <x:v>9</x:v>
      </x:c>
      <x:c r="L503" s="87" t="str">
        <x:v>Прикладная задача: формула Доплера</x:v>
      </x:c>
      <x:c r="M503" s="30" t="str">
        <x:v>f₀=124 МГц, c=1500 м/с, v=12 м/с и v=c·(f−f₀)/(f+f₀). Найдите частоту отражённого сигнала.</x:v>
      </x:c>
      <x:c r="N503" s="30" t="str">
        <x:v>126 МГц</x:v>
      </x:c>
      <x:c r="O503" s="30" t="str">
        <x:v>Из формулы получаем f=f₀(c+v)/(c−v). Тогда f=124·1512/1488=124·63/62=126 МГц.</x:v>
      </x:c>
      <x:c r="P503" s="30" t="str">
        <x:v>Алгебраическое преобразование и точное сокращение дроби проверены независимо.</x:v>
      </x:c>
      <x:c r="Q503" s="30"/>
      <x:c r="R503" s="30" t="str">
        <x:v>126</x:v>
      </x:c>
      <x:c r="S503" s="30"/>
      <x:c r="T503" s="30"/>
      <x:c r="U503" s="30" t="str">
        <x:v>Расхождений нет.</x:v>
      </x:c>
      <x:c r="V503" s="87" t="str">
        <x:v>VERIFIED</x:v>
      </x:c>
      <x:c r="W503" s="87" t="n">
        <x:v>4</x:v>
      </x:c>
      <x:c r="X503" s="87"/>
      <x:c r="Y503" s="87"/>
      <x:c r="Z503" s="87"/>
      <x:c r="AA503" s="87"/>
      <x:c r="AB503" s="87"/>
      <x:c r="AC503" s="87"/>
      <x:c r="AD503" s="87"/>
      <x:c r="AE503" s="87"/>
      <x:c r="AF503" s="87"/>
      <x:c r="AG503" s="87"/>
      <x:c r="AH503" s="87"/>
      <x:c r="AI503" s="30"/>
      <x:c r="AJ503" s="87" t="str">
        <x:v>master</x:v>
      </x:c>
      <x:c r="AK503" s="87" t="str">
        <x:v>master-v0.81</x:v>
      </x:c>
      <x:c r="AL503" s="87" t="str">
        <x:v>statgrad_master_base_v0_81_final(2).xlsx</x:v>
      </x:c>
      <x:c r="AM503" s="87" t="str">
        <x:v>MATH_Feb_Profil_V2</x:v>
      </x:c>
      <x:c r="AN503" s="87" t="n">
        <x:v>10</x:v>
      </x:c>
    </x:row>
    <x:row r="504">
      <x:c r="A504" s="87" t="n">
        <x:v>503</x:v>
      </x:c>
      <x:c r="B504" s="87" t="str">
        <x:v>FEB-MATH-P-V2-010</x:v>
      </x:c>
      <x:c r="C504" s="87" t="str">
        <x:v>СтатГрад</x:v>
      </x:c>
      <x:c r="D504" s="87" t="str">
        <x:v>Февраль 2026</x:v>
      </x:c>
      <x:c r="E504" s="87"/>
      <x:c r="F504" s="87"/>
      <x:c r="G504" s="87" t="str">
        <x:v>Математика</x:v>
      </x:c>
      <x:c r="H504" s="87" t="n">
        <x:v>11</x:v>
      </x:c>
      <x:c r="I504" s="87" t="str">
        <x:v>ТР №3</x:v>
      </x:c>
      <x:c r="J504" s="87" t="str">
        <x:v>МА2510310</x:v>
      </x:c>
      <x:c r="K504" s="87" t="n">
        <x:v>10</x:v>
      </x:c>
      <x:c r="L504" s="87" t="str">
        <x:v>Задача на смеси</x:v>
      </x:c>
      <x:c r="M504" s="30" t="str">
        <x:v>Первый сплав содержит 10% никеля, второй — 35%. Получили 100 кг сплава с 25% никеля. На сколько кг масса первого сплава меньше массы второго?</x:v>
      </x:c>
      <x:c r="N504" s="30" t="str">
        <x:v>20 кг</x:v>
      </x:c>
      <x:c r="O504" s="30" t="str">
        <x:v>Пусть массы сплавов x и y. Тогда x+y=100 и 0,10x+0,35y=25. Отсюда x=40, y=60, поэтому y−x=20 кг.</x:v>
      </x:c>
      <x:c r="P504" s="30" t="str">
        <x:v>Масса никеля проверена: 0,10·40+0,35·60=25 кг.</x:v>
      </x:c>
      <x:c r="Q504" s="30"/>
      <x:c r="R504" s="30" t="str">
        <x:v>20</x:v>
      </x:c>
      <x:c r="S504" s="30"/>
      <x:c r="T504" s="30"/>
      <x:c r="U504" s="30" t="str">
        <x:v>Расхождений нет.</x:v>
      </x:c>
      <x:c r="V504" s="87" t="str">
        <x:v>VERIFIED</x:v>
      </x:c>
      <x:c r="W504" s="87" t="n">
        <x:v>4</x:v>
      </x:c>
      <x:c r="X504" s="87"/>
      <x:c r="Y504" s="87"/>
      <x:c r="Z504" s="87"/>
      <x:c r="AA504" s="87"/>
      <x:c r="AB504" s="87"/>
      <x:c r="AC504" s="87"/>
      <x:c r="AD504" s="87"/>
      <x:c r="AE504" s="87"/>
      <x:c r="AF504" s="87"/>
      <x:c r="AG504" s="87"/>
      <x:c r="AH504" s="87"/>
      <x:c r="AI504" s="30"/>
      <x:c r="AJ504" s="87" t="str">
        <x:v>master</x:v>
      </x:c>
      <x:c r="AK504" s="87" t="str">
        <x:v>master-v0.81</x:v>
      </x:c>
      <x:c r="AL504" s="87" t="str">
        <x:v>statgrad_master_base_v0_81_final(2).xlsx</x:v>
      </x:c>
      <x:c r="AM504" s="87" t="str">
        <x:v>MATH_Feb_Profil_V2</x:v>
      </x:c>
      <x:c r="AN504" s="87" t="n">
        <x:v>11</x:v>
      </x:c>
    </x:row>
    <x:row r="505">
      <x:c r="A505" s="87" t="n">
        <x:v>504</x:v>
      </x:c>
      <x:c r="B505" s="87" t="str">
        <x:v>FEB-MATH-P-V2-011</x:v>
      </x:c>
      <x:c r="C505" s="87" t="str">
        <x:v>СтатГрад</x:v>
      </x:c>
      <x:c r="D505" s="87" t="str">
        <x:v>Февраль 2026</x:v>
      </x:c>
      <x:c r="E505" s="87"/>
      <x:c r="F505" s="87"/>
      <x:c r="G505" s="87" t="str">
        <x:v>Математика</x:v>
      </x:c>
      <x:c r="H505" s="87" t="n">
        <x:v>11</x:v>
      </x:c>
      <x:c r="I505" s="87" t="str">
        <x:v>ТР №3</x:v>
      </x:c>
      <x:c r="J505" s="87" t="str">
        <x:v>МА2510310</x:v>
      </x:c>
      <x:c r="K505" s="87" t="n">
        <x:v>11</x:v>
      </x:c>
      <x:c r="L505" s="87" t="str">
        <x:v>Графики функций</x:v>
      </x:c>
      <x:c r="M505" s="30" t="str">
        <x:v>Графики f(x)=−3x−4 и g(x)=ax²+bx+c пересекаются в A и B. Найдите ординату точки B.</x:v>
      </x:c>
      <x:c r="N505" s="30" t="str">
        <x:v>−13</x:v>
      </x:c>
      <x:c r="O505" s="30" t="str">
        <x:v>По отмеченным точкам параболы восстанавливается g(x)=−x²−3x+5. Уравнение пересечений −x²−3x+5=−3x−4 даёт x=−3 и x=3. Точка B соответствует x=3, поэтому y=f(3)=−13.</x:v>
      </x:c>
      <x:c r="P505" s="30" t="str">
        <x:v>Функция g проверена по отмеченным точкам (−4;1), (−1;7) и (0;5); обе точки пересечения подставлены в f и g.</x:v>
      </x:c>
      <x:c r="Q505" s="30"/>
      <x:c r="R505" s="30" t="str">
        <x:v>−13</x:v>
      </x:c>
      <x:c r="S505" s="30"/>
      <x:c r="T505" s="30"/>
      <x:c r="U505" s="30" t="str">
        <x:v>Расхождений нет.</x:v>
      </x:c>
      <x:c r="V505" s="87" t="str">
        <x:v>VERIFIED</x:v>
      </x:c>
      <x:c r="W505" s="87" t="n">
        <x:v>4</x:v>
      </x:c>
      <x:c r="X505" s="87"/>
      <x:c r="Y505" s="87"/>
      <x:c r="Z505" s="87"/>
      <x:c r="AA505" s="87"/>
      <x:c r="AB505" s="87"/>
      <x:c r="AC505" s="87"/>
      <x:c r="AD505" s="87"/>
      <x:c r="AE505" s="87"/>
      <x:c r="AF505" s="87"/>
      <x:c r="AG505" s="87"/>
      <x:c r="AH505" s="87"/>
      <x:c r="AI505" s="30"/>
      <x:c r="AJ505" s="87" t="str">
        <x:v>master</x:v>
      </x:c>
      <x:c r="AK505" s="87" t="str">
        <x:v>master-v0.81</x:v>
      </x:c>
      <x:c r="AL505" s="87" t="str">
        <x:v>statgrad_master_base_v0_81_final(2).xlsx</x:v>
      </x:c>
      <x:c r="AM505" s="87" t="str">
        <x:v>MATH_Feb_Profil_V2</x:v>
      </x:c>
      <x:c r="AN505" s="87" t="n">
        <x:v>12</x:v>
      </x:c>
    </x:row>
    <x:row r="506">
      <x:c r="A506" s="87" t="n">
        <x:v>505</x:v>
      </x:c>
      <x:c r="B506" s="87" t="str">
        <x:v>FEB-MATH-P-V2-012</x:v>
      </x:c>
      <x:c r="C506" s="87" t="str">
        <x:v>СтатГрад</x:v>
      </x:c>
      <x:c r="D506" s="87" t="str">
        <x:v>Февраль 2026</x:v>
      </x:c>
      <x:c r="E506" s="87"/>
      <x:c r="F506" s="87"/>
      <x:c r="G506" s="87" t="str">
        <x:v>Математика</x:v>
      </x:c>
      <x:c r="H506" s="87" t="n">
        <x:v>11</x:v>
      </x:c>
      <x:c r="I506" s="87" t="str">
        <x:v>ТР №3</x:v>
      </x:c>
      <x:c r="J506" s="87" t="str">
        <x:v>МА2510310</x:v>
      </x:c>
      <x:c r="K506" s="87" t="n">
        <x:v>12</x:v>
      </x:c>
      <x:c r="L506" s="87" t="str">
        <x:v>Исследование функции</x:v>
      </x:c>
      <x:c r="M506" s="30" t="str">
        <x:v>Найдите наибольшее значение y=3+3x−x√x на отрезке [2;8].</x:v>
      </x:c>
      <x:c r="N506" s="30" t="str">
        <x:v>7</x:v>
      </x:c>
      <x:c r="O506" s="30" t="str">
        <x:v>Производная y′=3−(3/2)√x обращается в ноль при x=4. До 4 функция возрастает, после 4 убывает, поэтому максимум достигается при x=4: y(4)=3+12−8=7.</x:v>
      </x:c>
      <x:c r="P506" s="30" t="str">
        <x:v>Значения на концах отрезка дополнительно проверены и меньше 7.</x:v>
      </x:c>
      <x:c r="Q506" s="30"/>
      <x:c r="R506" s="30" t="str">
        <x:v>7</x:v>
      </x:c>
      <x:c r="S506" s="30"/>
      <x:c r="T506" s="30"/>
      <x:c r="U506" s="30" t="str">
        <x:v>Расхождений нет.</x:v>
      </x:c>
      <x:c r="V506" s="87" t="str">
        <x:v>VERIFIED</x:v>
      </x:c>
      <x:c r="W506" s="87" t="n">
        <x:v>4</x:v>
      </x:c>
      <x:c r="X506" s="87"/>
      <x:c r="Y506" s="87"/>
      <x:c r="Z506" s="87"/>
      <x:c r="AA506" s="87"/>
      <x:c r="AB506" s="87"/>
      <x:c r="AC506" s="87"/>
      <x:c r="AD506" s="87"/>
      <x:c r="AE506" s="87"/>
      <x:c r="AF506" s="87"/>
      <x:c r="AG506" s="87"/>
      <x:c r="AH506" s="87"/>
      <x:c r="AI506" s="30"/>
      <x:c r="AJ506" s="87" t="str">
        <x:v>master</x:v>
      </x:c>
      <x:c r="AK506" s="87" t="str">
        <x:v>master-v0.81</x:v>
      </x:c>
      <x:c r="AL506" s="87" t="str">
        <x:v>statgrad_master_base_v0_81_final(2).xlsx</x:v>
      </x:c>
      <x:c r="AM506" s="87" t="str">
        <x:v>MATH_Feb_Profil_V2</x:v>
      </x:c>
      <x:c r="AN506" s="87" t="n">
        <x:v>13</x:v>
      </x:c>
    </x:row>
    <x:row r="507">
      <x:c r="A507" s="87" t="n">
        <x:v>506</x:v>
      </x:c>
      <x:c r="B507" s="87" t="str">
        <x:v>FEB-MATH-P-V2-013</x:v>
      </x:c>
      <x:c r="C507" s="87" t="str">
        <x:v>СтатГрад</x:v>
      </x:c>
      <x:c r="D507" s="87" t="str">
        <x:v>Февраль 2026</x:v>
      </x:c>
      <x:c r="E507" s="87"/>
      <x:c r="F507" s="87"/>
      <x:c r="G507" s="87" t="str">
        <x:v>Математика</x:v>
      </x:c>
      <x:c r="H507" s="87" t="n">
        <x:v>11</x:v>
      </x:c>
      <x:c r="I507" s="87" t="str">
        <x:v>ТР №3</x:v>
      </x:c>
      <x:c r="J507" s="87" t="str">
        <x:v>МА2510310</x:v>
      </x:c>
      <x:c r="K507" s="87" t="n">
        <x:v>13</x:v>
      </x:c>
      <x:c r="L507" s="87" t="str">
        <x:v>Развёрнутый ответ: тригонометрическое уравнение</x:v>
      </x:c>
      <x:c r="M507" s="30" t="str">
        <x:v>Решите cos(π/2+2x)+√12·sin²x=0; затем найдите корни на [13π/4;19π/4].</x:v>
      </x:c>
      <x:c r="N507" s="30" t="str">
        <x:v>а) x=πn, n∈Z, или x=π/6+πm, m∈Z; б) 4π и 25π/6</x:v>
      </x:c>
      <x:c r="O507" s="30" t="str">
        <x:v>cos(π/2+2x)=−sin2x, поэтому уравнение преобразуется к −2sinx cosx+2√3sin²x=0, то есть sinx(−cosx+√3sinx)=0. Получаются две серии корней. Отбор по заданному отрезку даёт 4π и 25π/6.</x:v>
      </x:c>
      <x:c r="P507" s="30" t="str">
        <x:v>Обе серии и отбор на отрезке независимо проверены подстановкой и числовой окружностью.</x:v>
      </x:c>
      <x:c r="Q507" s="30"/>
      <x:c r="R507" s="30" t="str">
        <x:v>Критерии, стр. 1</x:v>
      </x:c>
      <x:c r="S507" s="30"/>
      <x:c r="T507" s="30"/>
      <x:c r="U507" s="30" t="str">
        <x:v>Критерий перенесён отдельно без изменения.</x:v>
      </x:c>
      <x:c r="V507" s="87" t="str">
        <x:v>VERIFIED</x:v>
      </x:c>
      <x:c r="W507" s="87" t="n">
        <x:v>5</x:v>
      </x:c>
      <x:c r="X507" s="87"/>
      <x:c r="Y507" s="87"/>
      <x:c r="Z507" s="87"/>
      <x:c r="AA507" s="87"/>
      <x:c r="AB507" s="87"/>
      <x:c r="AC507" s="87"/>
      <x:c r="AD507" s="87"/>
      <x:c r="AE507" s="87"/>
      <x:c r="AF507" s="87"/>
      <x:c r="AG507" s="87"/>
      <x:c r="AH507" s="87"/>
      <x:c r="AI507" s="30"/>
      <x:c r="AJ507" s="87" t="str">
        <x:v>master</x:v>
      </x:c>
      <x:c r="AK507" s="87" t="str">
        <x:v>master-v0.81</x:v>
      </x:c>
      <x:c r="AL507" s="87" t="str">
        <x:v>statgrad_master_base_v0_81_final(2).xlsx</x:v>
      </x:c>
      <x:c r="AM507" s="87" t="str">
        <x:v>MATH_Feb_Profil_V2</x:v>
      </x:c>
      <x:c r="AN507" s="87" t="n">
        <x:v>14</x:v>
      </x:c>
    </x:row>
    <x:row r="508">
      <x:c r="A508" s="87" t="n">
        <x:v>507</x:v>
      </x:c>
      <x:c r="B508" s="87" t="str">
        <x:v>FEB-MATH-P-V2-014</x:v>
      </x:c>
      <x:c r="C508" s="87" t="str">
        <x:v>СтатГрад</x:v>
      </x:c>
      <x:c r="D508" s="87" t="str">
        <x:v>Февраль 2026</x:v>
      </x:c>
      <x:c r="E508" s="87"/>
      <x:c r="F508" s="87"/>
      <x:c r="G508" s="87" t="str">
        <x:v>Математика</x:v>
      </x:c>
      <x:c r="H508" s="87" t="n">
        <x:v>11</x:v>
      </x:c>
      <x:c r="I508" s="87" t="str">
        <x:v>ТР №3</x:v>
      </x:c>
      <x:c r="J508" s="87" t="str">
        <x:v>МА2510310</x:v>
      </x:c>
      <x:c r="K508" s="87" t="n">
        <x:v>14</x:v>
      </x:c>
      <x:c r="L508" s="87" t="str">
        <x:v>Развёрнутый ответ: стереометрия</x:v>
      </x:c>
      <x:c r="M508" s="30" t="str">
        <x:v>В правильной треугольной пирамиде SABC даны AB=4√13, SA=14; AK:KB=SM:MC=2:5. Плоскость α содержит KM и параллельна BC. Докажите α∥SA и найдите угол между α и SBC.</x:v>
      </x:c>
      <x:c r="N508" s="30" t="str">
        <x:v>а) α∥SA; б) arccos(23/42)</x:v>
      </x:c>
      <x:c r="O508" s="30" t="str">
        <x:v>Пусть α пересекает SB в L. Так как линия пересечения α с плоскостью SBC параллельна BC, имеем LM∥BC и SL:LB=SM:MC=2:5. Кроме того, AK:KB=2:5, поэтому в треугольнике SAB отрезок KL параллелен SA; следовательно, α∥SA. Если H — середина BC, то AH и SH перпендикулярны BC, и искомый угол равен ∠ASH. Здесь AS=14, AH=2√39, SH=12, поэтому cos∠ASH=(14²+12²−(2√39)²)/(2·14·12)=23/42.</x:v>
      </x:c>
      <x:c r="P508" s="30" t="str">
        <x:v>Доказательство параллельности и вычисление угла сверены по полной геометрической конструкции критерия.</x:v>
      </x:c>
      <x:c r="Q508" s="30"/>
      <x:c r="R508" s="30" t="str">
        <x:v>Критерии, стр. 2–3</x:v>
      </x:c>
      <x:c r="S508" s="30"/>
      <x:c r="T508" s="30"/>
      <x:c r="U508" s="30" t="str">
        <x:v>Критерий перенесён отдельно без изменения.</x:v>
      </x:c>
      <x:c r="V508" s="87" t="str">
        <x:v>VERIFIED</x:v>
      </x:c>
      <x:c r="W508" s="87" t="n">
        <x:v>5</x:v>
      </x:c>
      <x:c r="X508" s="87"/>
      <x:c r="Y508" s="87"/>
      <x:c r="Z508" s="87"/>
      <x:c r="AA508" s="87"/>
      <x:c r="AB508" s="87"/>
      <x:c r="AC508" s="87"/>
      <x:c r="AD508" s="87"/>
      <x:c r="AE508" s="87"/>
      <x:c r="AF508" s="87"/>
      <x:c r="AG508" s="87"/>
      <x:c r="AH508" s="87"/>
      <x:c r="AI508" s="30"/>
      <x:c r="AJ508" s="87" t="str">
        <x:v>master</x:v>
      </x:c>
      <x:c r="AK508" s="87" t="str">
        <x:v>master-v0.81</x:v>
      </x:c>
      <x:c r="AL508" s="87" t="str">
        <x:v>statgrad_master_base_v0_81_final(2).xlsx</x:v>
      </x:c>
      <x:c r="AM508" s="87" t="str">
        <x:v>MATH_Feb_Profil_V2</x:v>
      </x:c>
      <x:c r="AN508" s="87" t="n">
        <x:v>15</x:v>
      </x:c>
    </x:row>
    <x:row r="509">
      <x:c r="A509" s="87" t="n">
        <x:v>508</x:v>
      </x:c>
      <x:c r="B509" s="87" t="str">
        <x:v>FEB-MATH-P-V2-015</x:v>
      </x:c>
      <x:c r="C509" s="87" t="str">
        <x:v>СтатГрад</x:v>
      </x:c>
      <x:c r="D509" s="87" t="str">
        <x:v>Февраль 2026</x:v>
      </x:c>
      <x:c r="E509" s="87"/>
      <x:c r="F509" s="87"/>
      <x:c r="G509" s="87" t="str">
        <x:v>Математика</x:v>
      </x:c>
      <x:c r="H509" s="87" t="n">
        <x:v>11</x:v>
      </x:c>
      <x:c r="I509" s="87" t="str">
        <x:v>ТР №3</x:v>
      </x:c>
      <x:c r="J509" s="87" t="str">
        <x:v>МА2510310</x:v>
      </x:c>
      <x:c r="K509" s="87" t="n">
        <x:v>15</x:v>
      </x:c>
      <x:c r="L509" s="87" t="str">
        <x:v>Развёрнутый ответ: логарифмическое неравенство</x:v>
      </x:c>
      <x:c r="M509" s="30" t="str">
        <x:v>Решите log₃(9x)/(1−log₃²(3x)) − 1/log₃x ≥ 0.</x:v>
      </x:c>
      <x:c r="N509" s="30" t="str">
        <x:v>(0;1/9) ∪ (1/9;1)</x:v>
      </x:c>
      <x:c r="O509" s="30" t="str">
        <x:v>Положим t=log₃x. ОДЗ: t≠−2 и t≠0. Тогда (t+2)/(1−(t+1)²)−1/t=−1/t−1/t=−2/t при t≠−2. Неравенство выполняется при t&lt;0; исключая t=−2, получаем x∈(0;1), x≠1/9.</x:v>
      </x:c>
      <x:c r="P509" s="30" t="str">
        <x:v>Преобразование, ОДЗ и исключённая точка x=1/9 проверены отдельно.</x:v>
      </x:c>
      <x:c r="Q509" s="30"/>
      <x:c r="R509" s="30" t="str">
        <x:v>Критерии, стр. 3–4</x:v>
      </x:c>
      <x:c r="S509" s="30"/>
      <x:c r="T509" s="30"/>
      <x:c r="U509" s="30" t="str">
        <x:v>Критерий перенесён отдельно без изменения.</x:v>
      </x:c>
      <x:c r="V509" s="87" t="str">
        <x:v>VERIFIED</x:v>
      </x:c>
      <x:c r="W509" s="87" t="n">
        <x:v>5</x:v>
      </x:c>
      <x:c r="X509" s="87"/>
      <x:c r="Y509" s="87"/>
      <x:c r="Z509" s="87"/>
      <x:c r="AA509" s="87"/>
      <x:c r="AB509" s="87"/>
      <x:c r="AC509" s="87"/>
      <x:c r="AD509" s="87"/>
      <x:c r="AE509" s="87"/>
      <x:c r="AF509" s="87"/>
      <x:c r="AG509" s="87"/>
      <x:c r="AH509" s="87"/>
      <x:c r="AI509" s="30"/>
      <x:c r="AJ509" s="87" t="str">
        <x:v>master</x:v>
      </x:c>
      <x:c r="AK509" s="87" t="str">
        <x:v>master-v0.81</x:v>
      </x:c>
      <x:c r="AL509" s="87" t="str">
        <x:v>statgrad_master_base_v0_81_final(2).xlsx</x:v>
      </x:c>
      <x:c r="AM509" s="87" t="str">
        <x:v>MATH_Feb_Profil_V2</x:v>
      </x:c>
      <x:c r="AN509" s="87" t="n">
        <x:v>16</x:v>
      </x:c>
    </x:row>
    <x:row r="510">
      <x:c r="A510" s="87" t="n">
        <x:v>509</x:v>
      </x:c>
      <x:c r="B510" s="87" t="str">
        <x:v>FEB-MATH-P-V2-016</x:v>
      </x:c>
      <x:c r="C510" s="87" t="str">
        <x:v>СтатГрад</x:v>
      </x:c>
      <x:c r="D510" s="87" t="str">
        <x:v>Февраль 2026</x:v>
      </x:c>
      <x:c r="E510" s="87"/>
      <x:c r="F510" s="87"/>
      <x:c r="G510" s="87" t="str">
        <x:v>Математика</x:v>
      </x:c>
      <x:c r="H510" s="87" t="n">
        <x:v>11</x:v>
      </x:c>
      <x:c r="I510" s="87" t="str">
        <x:v>ТР №3</x:v>
      </x:c>
      <x:c r="J510" s="87" t="str">
        <x:v>МА2510310</x:v>
      </x:c>
      <x:c r="K510" s="87" t="n">
        <x:v>16</x:v>
      </x:c>
      <x:c r="L510" s="87" t="str">
        <x:v>Развёрнутый ответ: кредит</x:v>
      </x:c>
      <x:c r="M510" s="30" t="str">
        <x:v>Кредит 900 тыс. руб. на шесть лет; долг ежегодно увеличивается на r%, затем уменьшается по заданной схеме. Сумма платежей 1245 тыс. руб. Найдите r.</x:v>
      </x:c>
      <x:c r="N510" s="30" t="str">
        <x:v>10%</x:v>
      </x:c>
      <x:c r="O510" s="30" t="str">
        <x:v>Июльские долги должны составлять 900, 775, 650, 525, 400, 200 и 0 тыс. руб. Пусть k=1+r/100. Январские долги равны 900k, 775k, 650k, 525k, 400k и 200k. Сумма платежей равна 3450k−2550. Из 3450k−2550=1245 получаем k=1,1 и r=10.</x:v>
      </x:c>
      <x:c r="P510" s="30" t="str">
        <x:v>Последовательность долгов, платежи и итоговая сумма воспроизведены независимо.</x:v>
      </x:c>
      <x:c r="Q510" s="30"/>
      <x:c r="R510" s="30" t="str">
        <x:v>Критерии, стр. 4–5</x:v>
      </x:c>
      <x:c r="S510" s="30"/>
      <x:c r="T510" s="30"/>
      <x:c r="U510" s="30" t="str">
        <x:v>Критерий перенесён отдельно без изменения.</x:v>
      </x:c>
      <x:c r="V510" s="87" t="str">
        <x:v>VERIFIED</x:v>
      </x:c>
      <x:c r="W510" s="87" t="n">
        <x:v>5</x:v>
      </x:c>
      <x:c r="X510" s="87"/>
      <x:c r="Y510" s="87"/>
      <x:c r="Z510" s="87"/>
      <x:c r="AA510" s="87"/>
      <x:c r="AB510" s="87"/>
      <x:c r="AC510" s="87"/>
      <x:c r="AD510" s="87"/>
      <x:c r="AE510" s="87"/>
      <x:c r="AF510" s="87"/>
      <x:c r="AG510" s="87"/>
      <x:c r="AH510" s="87"/>
      <x:c r="AI510" s="30"/>
      <x:c r="AJ510" s="87" t="str">
        <x:v>master</x:v>
      </x:c>
      <x:c r="AK510" s="87" t="str">
        <x:v>master-v0.81</x:v>
      </x:c>
      <x:c r="AL510" s="87" t="str">
        <x:v>statgrad_master_base_v0_81_final(2).xlsx</x:v>
      </x:c>
      <x:c r="AM510" s="87" t="str">
        <x:v>MATH_Feb_Profil_V2</x:v>
      </x:c>
      <x:c r="AN510" s="87" t="n">
        <x:v>17</x:v>
      </x:c>
    </x:row>
    <x:row r="511">
      <x:c r="A511" s="87" t="n">
        <x:v>510</x:v>
      </x:c>
      <x:c r="B511" s="87" t="str">
        <x:v>FEB-MATH-P-V2-017</x:v>
      </x:c>
      <x:c r="C511" s="87" t="str">
        <x:v>СтатГрад</x:v>
      </x:c>
      <x:c r="D511" s="87" t="str">
        <x:v>Февраль 2026</x:v>
      </x:c>
      <x:c r="E511" s="87"/>
      <x:c r="F511" s="87"/>
      <x:c r="G511" s="87" t="str">
        <x:v>Математика</x:v>
      </x:c>
      <x:c r="H511" s="87" t="n">
        <x:v>11</x:v>
      </x:c>
      <x:c r="I511" s="87" t="str">
        <x:v>ТР №3</x:v>
      </x:c>
      <x:c r="J511" s="87" t="str">
        <x:v>МА2510310</x:v>
      </x:c>
      <x:c r="K511" s="87" t="n">
        <x:v>17</x:v>
      </x:c>
      <x:c r="L511" s="87" t="str">
        <x:v>Развёрнутый ответ: планиметрия</x:v>
      </x:c>
      <x:c r="M511" s="30" t="str">
        <x:v>В квадрат ABCD вписана окружность, касающаяся AB в K и AD в E. CK и CE пересекают окружность в M и P. Докажите EK∥MP и найдите ME при стороне квадрата 30.</x:v>
      </x:c>
      <x:c r="N511" s="30" t="str">
        <x:v>а) EK∥MP; б) ME=9√10</x:v>
      </x:c>
      <x:c r="O511" s="30" t="str">
        <x:v>По свойству секущих CM·CK=CP·CE; поскольку CK=CE, получаем CM/CK=CP/CE. Треугольники CMP и CKE подобны, поэтому MP∥EK. При стороне квадрата 30 имеем BK=15, BC=30, следовательно, sin∠KCB=√5/5 и cos∠KCB=2√5/5. Так как ∠KME=45°, по теореме синусов ME=30sin(∠KCB+45°)=9√10.</x:v>
      </x:c>
      <x:c r="P511" s="30" t="str">
        <x:v>Доказательство и вычисление длины сверены по свойствам секущих, подобию и теореме синусов.</x:v>
      </x:c>
      <x:c r="Q511" s="30"/>
      <x:c r="R511" s="30" t="str">
        <x:v>Критерии, стр. 5–6</x:v>
      </x:c>
      <x:c r="S511" s="30"/>
      <x:c r="T511" s="30"/>
      <x:c r="U511" s="30" t="str">
        <x:v>Критерий перенесён отдельно без изменения.</x:v>
      </x:c>
      <x:c r="V511" s="87" t="str">
        <x:v>VERIFIED</x:v>
      </x:c>
      <x:c r="W511" s="87" t="n">
        <x:v>6</x:v>
      </x:c>
      <x:c r="X511" s="87"/>
      <x:c r="Y511" s="87"/>
      <x:c r="Z511" s="87"/>
      <x:c r="AA511" s="87"/>
      <x:c r="AB511" s="87"/>
      <x:c r="AC511" s="87"/>
      <x:c r="AD511" s="87"/>
      <x:c r="AE511" s="87"/>
      <x:c r="AF511" s="87"/>
      <x:c r="AG511" s="87"/>
      <x:c r="AH511" s="87"/>
      <x:c r="AI511" s="30"/>
      <x:c r="AJ511" s="87" t="str">
        <x:v>master</x:v>
      </x:c>
      <x:c r="AK511" s="87" t="str">
        <x:v>master-v0.81</x:v>
      </x:c>
      <x:c r="AL511" s="87" t="str">
        <x:v>statgrad_master_base_v0_81_final(2).xlsx</x:v>
      </x:c>
      <x:c r="AM511" s="87" t="str">
        <x:v>MATH_Feb_Profil_V2</x:v>
      </x:c>
      <x:c r="AN511" s="87" t="n">
        <x:v>18</x:v>
      </x:c>
    </x:row>
    <x:row r="512">
      <x:c r="A512" s="87" t="n">
        <x:v>511</x:v>
      </x:c>
      <x:c r="B512" s="87" t="str">
        <x:v>FEB-MATH-P-V2-018</x:v>
      </x:c>
      <x:c r="C512" s="87" t="str">
        <x:v>СтатГрад</x:v>
      </x:c>
      <x:c r="D512" s="87" t="str">
        <x:v>Февраль 2026</x:v>
      </x:c>
      <x:c r="E512" s="87"/>
      <x:c r="F512" s="87"/>
      <x:c r="G512" s="87" t="str">
        <x:v>Математика</x:v>
      </x:c>
      <x:c r="H512" s="87" t="n">
        <x:v>11</x:v>
      </x:c>
      <x:c r="I512" s="87" t="str">
        <x:v>ТР №3</x:v>
      </x:c>
      <x:c r="J512" s="87" t="str">
        <x:v>МА2510310</x:v>
      </x:c>
      <x:c r="K512" s="87" t="n">
        <x:v>18</x:v>
      </x:c>
      <x:c r="L512" s="87" t="str">
        <x:v>Развёрнутый ответ: задача с параметром</x:v>
      </x:c>
      <x:c r="M512" s="30" t="str">
        <x:v>Найдите все a, при которых система из произведения двух сумм квадратов ≤0 и кругового неравенства не имеет решений.</x:v>
      </x:c>
      <x:c r="N512" s="30" t="str">
        <x:v>(−∞;−15) ∪ (−3;−1) ∪ (15;+∞)</x:v>
      </x:c>
      <x:c r="O512" s="30" t="str">
        <x:v>Первое неравенство выполняется только в точках (1;4) и (−3;−2). Система не имеет решений, когда обе точки лежат вне круга, заданного вторым неравенством. Подстановка точек даёт (a+1)(a−15)&gt;0 и (a+3)(a+15)&gt;0. Совместное решение этих условий — указанные интервалы.</x:v>
      </x:c>
      <x:c r="P512" s="30" t="str">
        <x:v>Геометрическая интерпретация и строгие границы интервалов проверены подстановкой граничных значений.</x:v>
      </x:c>
      <x:c r="Q512" s="30"/>
      <x:c r="R512" s="30" t="str">
        <x:v>Критерии, стр. 6–7</x:v>
      </x:c>
      <x:c r="S512" s="30"/>
      <x:c r="T512" s="30"/>
      <x:c r="U512" s="30" t="str">
        <x:v>Критерий перенесён отдельно без изменения.</x:v>
      </x:c>
      <x:c r="V512" s="87" t="str">
        <x:v>VERIFIED</x:v>
      </x:c>
      <x:c r="W512" s="87" t="n">
        <x:v>6</x:v>
      </x:c>
      <x:c r="X512" s="87"/>
      <x:c r="Y512" s="87"/>
      <x:c r="Z512" s="87"/>
      <x:c r="AA512" s="87"/>
      <x:c r="AB512" s="87"/>
      <x:c r="AC512" s="87"/>
      <x:c r="AD512" s="87"/>
      <x:c r="AE512" s="87"/>
      <x:c r="AF512" s="87"/>
      <x:c r="AG512" s="87"/>
      <x:c r="AH512" s="87"/>
      <x:c r="AI512" s="30"/>
      <x:c r="AJ512" s="87" t="str">
        <x:v>master</x:v>
      </x:c>
      <x:c r="AK512" s="87" t="str">
        <x:v>master-v0.81</x:v>
      </x:c>
      <x:c r="AL512" s="87" t="str">
        <x:v>statgrad_master_base_v0_81_final(2).xlsx</x:v>
      </x:c>
      <x:c r="AM512" s="87" t="str">
        <x:v>MATH_Feb_Profil_V2</x:v>
      </x:c>
      <x:c r="AN512" s="87" t="n">
        <x:v>19</x:v>
      </x:c>
    </x:row>
    <x:row r="513">
      <x:c r="A513" s="87" t="n">
        <x:v>512</x:v>
      </x:c>
      <x:c r="B513" s="87" t="str">
        <x:v>FEB-MATH-P-V2-019</x:v>
      </x:c>
      <x:c r="C513" s="87" t="str">
        <x:v>СтатГрад</x:v>
      </x:c>
      <x:c r="D513" s="87" t="str">
        <x:v>Февраль 2026</x:v>
      </x:c>
      <x:c r="E513" s="87"/>
      <x:c r="F513" s="87"/>
      <x:c r="G513" s="87" t="str">
        <x:v>Математика</x:v>
      </x:c>
      <x:c r="H513" s="87" t="n">
        <x:v>11</x:v>
      </x:c>
      <x:c r="I513" s="87" t="str">
        <x:v>ТР №3</x:v>
      </x:c>
      <x:c r="J513" s="87" t="str">
        <x:v>МА2510310</x:v>
      </x:c>
      <x:c r="K513" s="87" t="n">
        <x:v>19</x:v>
      </x:c>
      <x:c r="L513" s="87" t="str">
        <x:v>Развёрнутый ответ: числовая задача</x:v>
      </x:c>
      <x:c r="M513" s="30" t="str">
        <x:v>Восемь критиков выставили различные целые оценки от 0 до 12. Старый рейтинг — среднее восьми оценок, новый — среднее шести после удаления минимума и максимума. Исследуйте разность рейтингов.</x:v>
      </x:c>
      <x:c r="N513" s="30" t="str">
        <x:v>а) 1/20 — нет; б) 1/24 — да; в) максимум 5/8</x:v>
      </x:c>
      <x:c r="O513" s="30" t="str">
        <x:v>Если A=m/8 и B=n/6, то A−B=(3m−4n)/24, поэтому значение 1/20 невозможно. Для оценок 0,1,2,3,4,6,7,8 разность равна 1/24. Пусть x — минимум, z — максимум, y — сумма шести остальных оценок. Тогда A−B=(3x−y+3z)/24. Так как y≥(x+1)+…+(x+6)=6x+21, z≤12 и x≥0, получаем A−B≤(36−21)/24=5/8. Равенство достигается на оценках 0,1,2,3,4,5,6,12.</x:v>
      </x:c>
      <x:c r="P513" s="30" t="str">
        <x:v>Все три пункта независимо проверены полным перебором наборов из восьми различных целых оценок 0–12.</x:v>
      </x:c>
      <x:c r="Q513" s="30"/>
      <x:c r="R513" s="30" t="str">
        <x:v>Критерии, стр. 7–8</x:v>
      </x:c>
      <x:c r="S513" s="30"/>
      <x:c r="T513" s="30"/>
      <x:c r="U513" s="30" t="str">
        <x:v>В официальном критерии использована граница z≤10 и указан максимум 3/8, хотя в условии разрешены оценки до 12. Независимый перебор и строгая оценка дают 5/8.</x:v>
      </x:c>
      <x:c r="V513" s="87" t="str">
        <x:v>KEY_MISMATCH</x:v>
      </x:c>
      <x:c r="W513" s="87" t="n">
        <x:v>6</x:v>
      </x:c>
      <x:c r="X513" s="87"/>
      <x:c r="Y513" s="87"/>
      <x:c r="Z513" s="87"/>
      <x:c r="AA513" s="87"/>
      <x:c r="AB513" s="87"/>
      <x:c r="AC513" s="87"/>
      <x:c r="AD513" s="87"/>
      <x:c r="AE513" s="87"/>
      <x:c r="AF513" s="87"/>
      <x:c r="AG513" s="87"/>
      <x:c r="AH513" s="87"/>
      <x:c r="AI513" s="30"/>
      <x:c r="AJ513" s="87" t="str">
        <x:v>master</x:v>
      </x:c>
      <x:c r="AK513" s="87" t="str">
        <x:v>master-v0.81</x:v>
      </x:c>
      <x:c r="AL513" s="87" t="str">
        <x:v>statgrad_master_base_v0_81_final(2).xlsx</x:v>
      </x:c>
      <x:c r="AM513" s="87" t="str">
        <x:v>MATH_Feb_Profil_V2</x:v>
      </x:c>
      <x:c r="AN513" s="87" t="n">
        <x:v>20</x:v>
      </x:c>
    </x:row>
    <x:row r="514">
      <x:c r="A514" s="87" t="n">
        <x:v>513</x:v>
      </x:c>
      <x:c r="B514" s="87" t="str">
        <x:v>FEB-MATH-P-V3-001</x:v>
      </x:c>
      <x:c r="C514" s="87" t="str">
        <x:v>СтатГрад</x:v>
      </x:c>
      <x:c r="D514" s="87" t="str">
        <x:v>Февраль 2026</x:v>
      </x:c>
      <x:c r="E514" s="87"/>
      <x:c r="F514" s="87"/>
      <x:c r="G514" s="87" t="str">
        <x:v>Математика</x:v>
      </x:c>
      <x:c r="H514" s="87" t="n">
        <x:v>11</x:v>
      </x:c>
      <x:c r="I514" s="87" t="str">
        <x:v>ТР №3</x:v>
      </x:c>
      <x:c r="J514" s="87" t="str">
        <x:v>МА2510311</x:v>
      </x:c>
      <x:c r="K514" s="87" t="n">
        <x:v>1</x:v>
      </x:c>
      <x:c r="L514" s="87" t="str">
        <x:v>Планиметрия: окружность</x:v>
      </x:c>
      <x:c r="M514" s="30" t="str">
        <x:v>AC и BD — диаметры окружности. Угол AOD равен 66°. Найдите угол ACB.</x:v>
      </x:c>
      <x:c r="N514" s="30" t="str">
        <x:v>57°</x:v>
      </x:c>
      <x:c r="O514" s="30" t="str">
        <x:v>Так как OD и OB — противоположные лучи, ∠AOB=180°−66°=114°. Вписанный угол ACB опирается на дугу AB, поэтому равен половине центрального: 114°/2=57°.</x:v>
      </x:c>
      <x:c r="P514" s="30" t="str">
        <x:v>Проверено по теореме о вписанном угле и свойству диаметра.</x:v>
      </x:c>
      <x:c r="Q514" s="30"/>
      <x:c r="R514" s="30" t="str">
        <x:v>57</x:v>
      </x:c>
      <x:c r="S514" s="30"/>
      <x:c r="T514" s="30"/>
      <x:c r="U514" s="30" t="str">
        <x:v>Расхождений нет.</x:v>
      </x:c>
      <x:c r="V514" s="87" t="str">
        <x:v>VERIFIED</x:v>
      </x:c>
      <x:c r="W514" s="87" t="n">
        <x:v>2</x:v>
      </x:c>
      <x:c r="X514" s="87"/>
      <x:c r="Y514" s="87"/>
      <x:c r="Z514" s="87"/>
      <x:c r="AA514" s="87"/>
      <x:c r="AB514" s="87"/>
      <x:c r="AC514" s="87"/>
      <x:c r="AD514" s="87"/>
      <x:c r="AE514" s="87"/>
      <x:c r="AF514" s="87"/>
      <x:c r="AG514" s="87"/>
      <x:c r="AH514" s="87"/>
      <x:c r="AI514" s="30"/>
      <x:c r="AJ514" s="87" t="str">
        <x:v>master</x:v>
      </x:c>
      <x:c r="AK514" s="87" t="str">
        <x:v>master-v0.81</x:v>
      </x:c>
      <x:c r="AL514" s="87" t="str">
        <x:v>statgrad_master_base_v0_81_final(2).xlsx</x:v>
      </x:c>
      <x:c r="AM514" s="87" t="str">
        <x:v>MATH_Feb_Profil_V3</x:v>
      </x:c>
      <x:c r="AN514" s="87" t="n">
        <x:v>2</x:v>
      </x:c>
    </x:row>
    <x:row r="515">
      <x:c r="A515" s="87" t="n">
        <x:v>514</x:v>
      </x:c>
      <x:c r="B515" s="87" t="str">
        <x:v>FEB-MATH-P-V3-002</x:v>
      </x:c>
      <x:c r="C515" s="87" t="str">
        <x:v>СтатГрад</x:v>
      </x:c>
      <x:c r="D515" s="87" t="str">
        <x:v>Февраль 2026</x:v>
      </x:c>
      <x:c r="E515" s="87"/>
      <x:c r="F515" s="87"/>
      <x:c r="G515" s="87" t="str">
        <x:v>Математика</x:v>
      </x:c>
      <x:c r="H515" s="87" t="n">
        <x:v>11</x:v>
      </x:c>
      <x:c r="I515" s="87" t="str">
        <x:v>ТР №3</x:v>
      </x:c>
      <x:c r="J515" s="87" t="str">
        <x:v>МА2510311</x:v>
      </x:c>
      <x:c r="K515" s="87" t="n">
        <x:v>2</x:v>
      </x:c>
      <x:c r="L515" s="87" t="str">
        <x:v>Векторы</x:v>
      </x:c>
      <x:c r="M515" s="30" t="str">
        <x:v>Даны a=(11;−8), b=(−7;9), c=(−5;9). Найдите (a+b)·c.</x:v>
      </x:c>
      <x:c r="N515" s="30" t="str">
        <x:v>−11</x:v>
      </x:c>
      <x:c r="O515" s="30" t="str">
        <x:v>a+b=(4;1). Скалярное произведение равно 4·(−5)+1·9=−20+9=−11.</x:v>
      </x:c>
      <x:c r="P515" s="30" t="str">
        <x:v>Сложение координат и скалярное произведение пересчитаны независимо.</x:v>
      </x:c>
      <x:c r="Q515" s="30"/>
      <x:c r="R515" s="30" t="str">
        <x:v>−11</x:v>
      </x:c>
      <x:c r="S515" s="30"/>
      <x:c r="T515" s="30"/>
      <x:c r="U515" s="30" t="str">
        <x:v>Расхождений нет.</x:v>
      </x:c>
      <x:c r="V515" s="87" t="str">
        <x:v>VERIFIED</x:v>
      </x:c>
      <x:c r="W515" s="87" t="n">
        <x:v>2</x:v>
      </x:c>
      <x:c r="X515" s="87"/>
      <x:c r="Y515" s="87"/>
      <x:c r="Z515" s="87"/>
      <x:c r="AA515" s="87"/>
      <x:c r="AB515" s="87"/>
      <x:c r="AC515" s="87"/>
      <x:c r="AD515" s="87"/>
      <x:c r="AE515" s="87"/>
      <x:c r="AF515" s="87"/>
      <x:c r="AG515" s="87"/>
      <x:c r="AH515" s="87"/>
      <x:c r="AI515" s="30"/>
      <x:c r="AJ515" s="87" t="str">
        <x:v>master</x:v>
      </x:c>
      <x:c r="AK515" s="87" t="str">
        <x:v>master-v0.81</x:v>
      </x:c>
      <x:c r="AL515" s="87" t="str">
        <x:v>statgrad_master_base_v0_81_final(2).xlsx</x:v>
      </x:c>
      <x:c r="AM515" s="87" t="str">
        <x:v>MATH_Feb_Profil_V3</x:v>
      </x:c>
      <x:c r="AN515" s="87" t="n">
        <x:v>3</x:v>
      </x:c>
    </x:row>
    <x:row r="516">
      <x:c r="A516" s="87" t="n">
        <x:v>515</x:v>
      </x:c>
      <x:c r="B516" s="87" t="str">
        <x:v>FEB-MATH-P-V3-003</x:v>
      </x:c>
      <x:c r="C516" s="87" t="str">
        <x:v>СтатГрад</x:v>
      </x:c>
      <x:c r="D516" s="87" t="str">
        <x:v>Февраль 2026</x:v>
      </x:c>
      <x:c r="E516" s="87"/>
      <x:c r="F516" s="87"/>
      <x:c r="G516" s="87" t="str">
        <x:v>Математика</x:v>
      </x:c>
      <x:c r="H516" s="87" t="n">
        <x:v>11</x:v>
      </x:c>
      <x:c r="I516" s="87" t="str">
        <x:v>ТР №3</x:v>
      </x:c>
      <x:c r="J516" s="87" t="str">
        <x:v>МА2510311</x:v>
      </x:c>
      <x:c r="K516" s="87" t="n">
        <x:v>3</x:v>
      </x:c>
      <x:c r="L516" s="87" t="str">
        <x:v>Стереометрия: объём пирамиды</x:v>
      </x:c>
      <x:c r="M516" s="30" t="str">
        <x:v>Основание пирамиды — прямоугольник со сторонами 7 и 6, высота равна 3. Найдите объём.</x:v>
      </x:c>
      <x:c r="N516" s="30" t="str">
        <x:v>42</x:v>
      </x:c>
      <x:c r="O516" s="30" t="str">
        <x:v>Площадь основания равна 7·6=42. Объём пирамиды V=(1/3)Sосн·h=(1/3)·42·3=42.</x:v>
      </x:c>
      <x:c r="P516" s="30" t="str">
        <x:v>Расчёт проверен прямой подстановкой в формулу объёма пирамиды.</x:v>
      </x:c>
      <x:c r="Q516" s="30"/>
      <x:c r="R516" s="30" t="str">
        <x:v>42</x:v>
      </x:c>
      <x:c r="S516" s="30"/>
      <x:c r="T516" s="30"/>
      <x:c r="U516" s="30" t="str">
        <x:v>Расхождений нет.</x:v>
      </x:c>
      <x:c r="V516" s="87" t="str">
        <x:v>VERIFIED</x:v>
      </x:c>
      <x:c r="W516" s="87" t="n">
        <x:v>2</x:v>
      </x:c>
      <x:c r="X516" s="87"/>
      <x:c r="Y516" s="87"/>
      <x:c r="Z516" s="87"/>
      <x:c r="AA516" s="87"/>
      <x:c r="AB516" s="87"/>
      <x:c r="AC516" s="87"/>
      <x:c r="AD516" s="87"/>
      <x:c r="AE516" s="87"/>
      <x:c r="AF516" s="87"/>
      <x:c r="AG516" s="87"/>
      <x:c r="AH516" s="87"/>
      <x:c r="AI516" s="30"/>
      <x:c r="AJ516" s="87" t="str">
        <x:v>master</x:v>
      </x:c>
      <x:c r="AK516" s="87" t="str">
        <x:v>master-v0.81</x:v>
      </x:c>
      <x:c r="AL516" s="87" t="str">
        <x:v>statgrad_master_base_v0_81_final(2).xlsx</x:v>
      </x:c>
      <x:c r="AM516" s="87" t="str">
        <x:v>MATH_Feb_Profil_V3</x:v>
      </x:c>
      <x:c r="AN516" s="87" t="n">
        <x:v>4</x:v>
      </x:c>
    </x:row>
    <x:row r="517">
      <x:c r="A517" s="87" t="n">
        <x:v>516</x:v>
      </x:c>
      <x:c r="B517" s="87" t="str">
        <x:v>FEB-MATH-P-V3-004</x:v>
      </x:c>
      <x:c r="C517" s="87" t="str">
        <x:v>СтатГрад</x:v>
      </x:c>
      <x:c r="D517" s="87" t="str">
        <x:v>Февраль 2026</x:v>
      </x:c>
      <x:c r="E517" s="87"/>
      <x:c r="F517" s="87"/>
      <x:c r="G517" s="87" t="str">
        <x:v>Математика</x:v>
      </x:c>
      <x:c r="H517" s="87" t="n">
        <x:v>11</x:v>
      </x:c>
      <x:c r="I517" s="87" t="str">
        <x:v>ТР №3</x:v>
      </x:c>
      <x:c r="J517" s="87" t="str">
        <x:v>МА2510311</x:v>
      </x:c>
      <x:c r="K517" s="87" t="n">
        <x:v>4</x:v>
      </x:c>
      <x:c r="L517" s="87" t="str">
        <x:v>Теория вероятностей</x:v>
      </x:c>
      <x:c r="M517" s="30" t="str">
        <x:v>P(учащийся решит больше 7 задач)=0,75; P(решит больше 6 задач)=0,83. Найдите вероятность решить ровно 7 задач.</x:v>
      </x:c>
      <x:c r="N517" s="30" t="str">
        <x:v>0,08</x:v>
      </x:c>
      <x:c r="O517" s="30" t="str">
        <x:v>Событие «больше 6 задач» состоит из непересекающихся событий «ровно 7» и «больше 7». Поэтому P(7)=0,83−0,75=0,08.</x:v>
      </x:c>
      <x:c r="P517" s="30" t="str">
        <x:v>Проверено разностью вложенных событий.</x:v>
      </x:c>
      <x:c r="Q517" s="30"/>
      <x:c r="R517" s="30" t="str">
        <x:v>0,08</x:v>
      </x:c>
      <x:c r="S517" s="30"/>
      <x:c r="T517" s="30"/>
      <x:c r="U517" s="30" t="str">
        <x:v>Расхождений нет.</x:v>
      </x:c>
      <x:c r="V517" s="87" t="str">
        <x:v>VERIFIED</x:v>
      </x:c>
      <x:c r="W517" s="87" t="n">
        <x:v>2</x:v>
      </x:c>
      <x:c r="X517" s="87"/>
      <x:c r="Y517" s="87"/>
      <x:c r="Z517" s="87"/>
      <x:c r="AA517" s="87"/>
      <x:c r="AB517" s="87"/>
      <x:c r="AC517" s="87"/>
      <x:c r="AD517" s="87"/>
      <x:c r="AE517" s="87"/>
      <x:c r="AF517" s="87"/>
      <x:c r="AG517" s="87"/>
      <x:c r="AH517" s="87"/>
      <x:c r="AI517" s="30"/>
      <x:c r="AJ517" s="87" t="str">
        <x:v>master</x:v>
      </x:c>
      <x:c r="AK517" s="87" t="str">
        <x:v>master-v0.81</x:v>
      </x:c>
      <x:c r="AL517" s="87" t="str">
        <x:v>statgrad_master_base_v0_81_final(2).xlsx</x:v>
      </x:c>
      <x:c r="AM517" s="87" t="str">
        <x:v>MATH_Feb_Profil_V3</x:v>
      </x:c>
      <x:c r="AN517" s="87" t="n">
        <x:v>5</x:v>
      </x:c>
    </x:row>
    <x:row r="518">
      <x:c r="A518" s="87" t="n">
        <x:v>517</x:v>
      </x:c>
      <x:c r="B518" s="87" t="str">
        <x:v>FEB-MATH-P-V3-005</x:v>
      </x:c>
      <x:c r="C518" s="87" t="str">
        <x:v>СтатГрад</x:v>
      </x:c>
      <x:c r="D518" s="87" t="str">
        <x:v>Февраль 2026</x:v>
      </x:c>
      <x:c r="E518" s="87"/>
      <x:c r="F518" s="87"/>
      <x:c r="G518" s="87" t="str">
        <x:v>Математика</x:v>
      </x:c>
      <x:c r="H518" s="87" t="n">
        <x:v>11</x:v>
      </x:c>
      <x:c r="I518" s="87" t="str">
        <x:v>ТР №3</x:v>
      </x:c>
      <x:c r="J518" s="87" t="str">
        <x:v>МА2510311</x:v>
      </x:c>
      <x:c r="K518" s="87" t="n">
        <x:v>5</x:v>
      </x:c>
      <x:c r="L518" s="87" t="str">
        <x:v>Формула полной вероятности</x:v>
      </x:c>
      <x:c r="M518" s="30" t="str">
        <x:v>Первая фабрика выпускает 30% стёкол с браком 1%, вторая — 70% с браком 2%. Найдите вероятность брака.</x:v>
      </x:c>
      <x:c r="N518" s="30" t="str">
        <x:v>0,017</x:v>
      </x:c>
      <x:c r="O518" s="30" t="str">
        <x:v>По формуле полной вероятности P=0,30·0,01+0,70·0,02=0,003+0,014=0,017.</x:v>
      </x:c>
      <x:c r="P518" s="30" t="str">
        <x:v>Вклад каждой фабрики рассчитан отдельно и затем сложен.</x:v>
      </x:c>
      <x:c r="Q518" s="30"/>
      <x:c r="R518" s="30" t="str">
        <x:v>0,017</x:v>
      </x:c>
      <x:c r="S518" s="30"/>
      <x:c r="T518" s="30"/>
      <x:c r="U518" s="30" t="str">
        <x:v>Расхождений нет.</x:v>
      </x:c>
      <x:c r="V518" s="87" t="str">
        <x:v>VERIFIED</x:v>
      </x:c>
      <x:c r="W518" s="87" t="n">
        <x:v>3</x:v>
      </x:c>
      <x:c r="X518" s="87"/>
      <x:c r="Y518" s="87"/>
      <x:c r="Z518" s="87"/>
      <x:c r="AA518" s="87"/>
      <x:c r="AB518" s="87"/>
      <x:c r="AC518" s="87"/>
      <x:c r="AD518" s="87"/>
      <x:c r="AE518" s="87"/>
      <x:c r="AF518" s="87"/>
      <x:c r="AG518" s="87"/>
      <x:c r="AH518" s="87"/>
      <x:c r="AI518" s="30"/>
      <x:c r="AJ518" s="87" t="str">
        <x:v>master</x:v>
      </x:c>
      <x:c r="AK518" s="87" t="str">
        <x:v>master-v0.81</x:v>
      </x:c>
      <x:c r="AL518" s="87" t="str">
        <x:v>statgrad_master_base_v0_81_final(2).xlsx</x:v>
      </x:c>
      <x:c r="AM518" s="87" t="str">
        <x:v>MATH_Feb_Profil_V3</x:v>
      </x:c>
      <x:c r="AN518" s="87" t="n">
        <x:v>6</x:v>
      </x:c>
    </x:row>
    <x:row r="519">
      <x:c r="A519" s="87" t="n">
        <x:v>518</x:v>
      </x:c>
      <x:c r="B519" s="87" t="str">
        <x:v>FEB-MATH-P-V3-006</x:v>
      </x:c>
      <x:c r="C519" s="87" t="str">
        <x:v>СтатГрад</x:v>
      </x:c>
      <x:c r="D519" s="87" t="str">
        <x:v>Февраль 2026</x:v>
      </x:c>
      <x:c r="E519" s="87"/>
      <x:c r="F519" s="87"/>
      <x:c r="G519" s="87" t="str">
        <x:v>Математика</x:v>
      </x:c>
      <x:c r="H519" s="87" t="n">
        <x:v>11</x:v>
      </x:c>
      <x:c r="I519" s="87" t="str">
        <x:v>ТР №3</x:v>
      </x:c>
      <x:c r="J519" s="87" t="str">
        <x:v>МА2510311</x:v>
      </x:c>
      <x:c r="K519" s="87" t="n">
        <x:v>6</x:v>
      </x:c>
      <x:c r="L519" s="87" t="str">
        <x:v>Логарифмическое уравнение</x:v>
      </x:c>
      <x:c r="M519" s="30" t="str">
        <x:v>Решите log₂(4−5x)=3log₂3.</x:v>
      </x:c>
      <x:c r="N519" s="30" t="str">
        <x:v>−4,6</x:v>
      </x:c>
      <x:c r="O519" s="30" t="str">
        <x:v>3log₂3=log₂27, поэтому 4−5x=27. Отсюда x=−23/5=−4,6; аргумент логарифма положителен.</x:v>
      </x:c>
      <x:c r="P519" s="30" t="str">
        <x:v>Корень подставлен в исходное уравнение.</x:v>
      </x:c>
      <x:c r="Q519" s="30"/>
      <x:c r="R519" s="30" t="str">
        <x:v>−4,6</x:v>
      </x:c>
      <x:c r="S519" s="30"/>
      <x:c r="T519" s="30"/>
      <x:c r="U519" s="30" t="str">
        <x:v>Расхождений нет.</x:v>
      </x:c>
      <x:c r="V519" s="87" t="str">
        <x:v>VERIFIED</x:v>
      </x:c>
      <x:c r="W519" s="87" t="n">
        <x:v>3</x:v>
      </x:c>
      <x:c r="X519" s="87"/>
      <x:c r="Y519" s="87"/>
      <x:c r="Z519" s="87"/>
      <x:c r="AA519" s="87"/>
      <x:c r="AB519" s="87"/>
      <x:c r="AC519" s="87"/>
      <x:c r="AD519" s="87"/>
      <x:c r="AE519" s="87"/>
      <x:c r="AF519" s="87"/>
      <x:c r="AG519" s="87"/>
      <x:c r="AH519" s="87"/>
      <x:c r="AI519" s="30"/>
      <x:c r="AJ519" s="87" t="str">
        <x:v>master</x:v>
      </x:c>
      <x:c r="AK519" s="87" t="str">
        <x:v>master-v0.81</x:v>
      </x:c>
      <x:c r="AL519" s="87" t="str">
        <x:v>statgrad_master_base_v0_81_final(2).xlsx</x:v>
      </x:c>
      <x:c r="AM519" s="87" t="str">
        <x:v>MATH_Feb_Profil_V3</x:v>
      </x:c>
      <x:c r="AN519" s="87" t="n">
        <x:v>7</x:v>
      </x:c>
    </x:row>
    <x:row r="520">
      <x:c r="A520" s="87" t="n">
        <x:v>519</x:v>
      </x:c>
      <x:c r="B520" s="87" t="str">
        <x:v>FEB-MATH-P-V3-007</x:v>
      </x:c>
      <x:c r="C520" s="87" t="str">
        <x:v>СтатГрад</x:v>
      </x:c>
      <x:c r="D520" s="87" t="str">
        <x:v>Февраль 2026</x:v>
      </x:c>
      <x:c r="E520" s="87"/>
      <x:c r="F520" s="87"/>
      <x:c r="G520" s="87" t="str">
        <x:v>Математика</x:v>
      </x:c>
      <x:c r="H520" s="87" t="n">
        <x:v>11</x:v>
      </x:c>
      <x:c r="I520" s="87" t="str">
        <x:v>ТР №3</x:v>
      </x:c>
      <x:c r="J520" s="87" t="str">
        <x:v>МА2510311</x:v>
      </x:c>
      <x:c r="K520" s="87" t="n">
        <x:v>7</x:v>
      </x:c>
      <x:c r="L520" s="87" t="str">
        <x:v>Степени</x:v>
      </x:c>
      <x:c r="M520" s="30" t="str">
        <x:v>Найдите ((7^(4/7)·2^(2/3))^21)/14^12.</x:v>
      </x:c>
      <x:c r="N520" s="30" t="str">
        <x:v>4</x:v>
      </x:c>
      <x:c r="O520" s="30" t="str">
        <x:v>Числитель равен 7^12·2^14, а знаменатель 14^12=7^12·2^12. После сокращения остаётся 2²=4.</x:v>
      </x:c>
      <x:c r="P520" s="30" t="str">
        <x:v>Показатели степеней пересчитаны: 21·4/7=12 и 21·2/3=14.</x:v>
      </x:c>
      <x:c r="Q520" s="30"/>
      <x:c r="R520" s="30" t="str">
        <x:v>4</x:v>
      </x:c>
      <x:c r="S520" s="30"/>
      <x:c r="T520" s="30"/>
      <x:c r="U520" s="30" t="str">
        <x:v>Расхождений нет.</x:v>
      </x:c>
      <x:c r="V520" s="87" t="str">
        <x:v>VERIFIED</x:v>
      </x:c>
      <x:c r="W520" s="87" t="n">
        <x:v>3</x:v>
      </x:c>
      <x:c r="X520" s="87"/>
      <x:c r="Y520" s="87"/>
      <x:c r="Z520" s="87"/>
      <x:c r="AA520" s="87"/>
      <x:c r="AB520" s="87"/>
      <x:c r="AC520" s="87"/>
      <x:c r="AD520" s="87"/>
      <x:c r="AE520" s="87"/>
      <x:c r="AF520" s="87"/>
      <x:c r="AG520" s="87"/>
      <x:c r="AH520" s="87"/>
      <x:c r="AI520" s="30"/>
      <x:c r="AJ520" s="87" t="str">
        <x:v>master</x:v>
      </x:c>
      <x:c r="AK520" s="87" t="str">
        <x:v>master-v0.81</x:v>
      </x:c>
      <x:c r="AL520" s="87" t="str">
        <x:v>statgrad_master_base_v0_81_final(2).xlsx</x:v>
      </x:c>
      <x:c r="AM520" s="87" t="str">
        <x:v>MATH_Feb_Profil_V3</x:v>
      </x:c>
      <x:c r="AN520" s="87" t="n">
        <x:v>8</x:v>
      </x:c>
    </x:row>
    <x:row r="521">
      <x:c r="A521" s="87" t="n">
        <x:v>520</x:v>
      </x:c>
      <x:c r="B521" s="87" t="str">
        <x:v>FEB-MATH-P-V3-008</x:v>
      </x:c>
      <x:c r="C521" s="87" t="str">
        <x:v>СтатГрад</x:v>
      </x:c>
      <x:c r="D521" s="87" t="str">
        <x:v>Февраль 2026</x:v>
      </x:c>
      <x:c r="E521" s="87"/>
      <x:c r="F521" s="87"/>
      <x:c r="G521" s="87" t="str">
        <x:v>Математика</x:v>
      </x:c>
      <x:c r="H521" s="87" t="n">
        <x:v>11</x:v>
      </x:c>
      <x:c r="I521" s="87" t="str">
        <x:v>ТР №3</x:v>
      </x:c>
      <x:c r="J521" s="87" t="str">
        <x:v>МА2510311</x:v>
      </x:c>
      <x:c r="K521" s="87" t="n">
        <x:v>8</x:v>
      </x:c>
      <x:c r="L521" s="87" t="str">
        <x:v>Производная по графику</x:v>
      </x:c>
      <x:c r="M521" s="30" t="str">
        <x:v>Дан график y=f′(x). Найдите абсциссу точки, где касательная к y=f(x) параллельна оси Ox.</x:v>
      </x:c>
      <x:c r="N521" s="30" t="str">
        <x:v>−3</x:v>
      </x:c>
      <x:c r="O521" s="30" t="str">
        <x:v>Касательная параллельна оси Ox, когда f′(x)=0. На графике производная пересекает ось абсцисс при x=−3; правый минимум расположен выше оси.</x:v>
      </x:c>
      <x:c r="P521" s="30" t="str">
        <x:v>Значение считано по единичной координатной сетке.</x:v>
      </x:c>
      <x:c r="Q521" s="30"/>
      <x:c r="R521" s="30" t="str">
        <x:v>−3</x:v>
      </x:c>
      <x:c r="S521" s="30"/>
      <x:c r="T521" s="30"/>
      <x:c r="U521" s="30" t="str">
        <x:v>Расхождений нет.</x:v>
      </x:c>
      <x:c r="V521" s="87" t="str">
        <x:v>VERIFIED</x:v>
      </x:c>
      <x:c r="W521" s="87" t="n">
        <x:v>3</x:v>
      </x:c>
      <x:c r="X521" s="87"/>
      <x:c r="Y521" s="87"/>
      <x:c r="Z521" s="87"/>
      <x:c r="AA521" s="87"/>
      <x:c r="AB521" s="87"/>
      <x:c r="AC521" s="87"/>
      <x:c r="AD521" s="87"/>
      <x:c r="AE521" s="87"/>
      <x:c r="AF521" s="87"/>
      <x:c r="AG521" s="87"/>
      <x:c r="AH521" s="87"/>
      <x:c r="AI521" s="30"/>
      <x:c r="AJ521" s="87" t="str">
        <x:v>master</x:v>
      </x:c>
      <x:c r="AK521" s="87" t="str">
        <x:v>master-v0.81</x:v>
      </x:c>
      <x:c r="AL521" s="87" t="str">
        <x:v>statgrad_master_base_v0_81_final(2).xlsx</x:v>
      </x:c>
      <x:c r="AM521" s="87" t="str">
        <x:v>MATH_Feb_Profil_V3</x:v>
      </x:c>
      <x:c r="AN521" s="87" t="n">
        <x:v>9</x:v>
      </x:c>
    </x:row>
    <x:row r="522">
      <x:c r="A522" s="87" t="n">
        <x:v>521</x:v>
      </x:c>
      <x:c r="B522" s="87" t="str">
        <x:v>FEB-MATH-P-V3-009</x:v>
      </x:c>
      <x:c r="C522" s="87" t="str">
        <x:v>СтатГрад</x:v>
      </x:c>
      <x:c r="D522" s="87" t="str">
        <x:v>Февраль 2026</x:v>
      </x:c>
      <x:c r="E522" s="87"/>
      <x:c r="F522" s="87"/>
      <x:c r="G522" s="87" t="str">
        <x:v>Математика</x:v>
      </x:c>
      <x:c r="H522" s="87" t="n">
        <x:v>11</x:v>
      </x:c>
      <x:c r="I522" s="87" t="str">
        <x:v>ТР №3</x:v>
      </x:c>
      <x:c r="J522" s="87" t="str">
        <x:v>МА2510311</x:v>
      </x:c>
      <x:c r="K522" s="87" t="n">
        <x:v>9</x:v>
      </x:c>
      <x:c r="L522" s="87" t="str">
        <x:v>Прикладное неравенство</x:v>
      </x:c>
      <x:c r="M522" s="30" t="str">
        <x:v>Частота Доплера f=170(c+2)/(c−17). Найдите максимальную скорость c, при которой f≥180 Гц.</x:v>
      </x:c>
      <x:c r="N522" s="30" t="str">
        <x:v>340</x:v>
      </x:c>
      <x:c r="O522" s="30" t="str">
        <x:v>При c&gt;17 решаем 170(c+2)≥180(c−17): 170c+340≥180c−3060, откуда c≤340. Максимальное допустимое значение — 340 м/с.</x:v>
      </x:c>
      <x:c r="P522" s="30" t="str">
        <x:v>Граница c=340 даёт ровно 180 Гц; область c&gt;17 учтена.</x:v>
      </x:c>
      <x:c r="Q522" s="30"/>
      <x:c r="R522" s="30" t="str">
        <x:v>340</x:v>
      </x:c>
      <x:c r="S522" s="30"/>
      <x:c r="T522" s="30"/>
      <x:c r="U522" s="30" t="str">
        <x:v>Расхождений нет.</x:v>
      </x:c>
      <x:c r="V522" s="87" t="str">
        <x:v>VERIFIED</x:v>
      </x:c>
      <x:c r="W522" s="87" t="n">
        <x:v>4</x:v>
      </x:c>
      <x:c r="X522" s="87"/>
      <x:c r="Y522" s="87"/>
      <x:c r="Z522" s="87"/>
      <x:c r="AA522" s="87"/>
      <x:c r="AB522" s="87"/>
      <x:c r="AC522" s="87"/>
      <x:c r="AD522" s="87"/>
      <x:c r="AE522" s="87"/>
      <x:c r="AF522" s="87"/>
      <x:c r="AG522" s="87"/>
      <x:c r="AH522" s="87"/>
      <x:c r="AI522" s="30"/>
      <x:c r="AJ522" s="87" t="str">
        <x:v>master</x:v>
      </x:c>
      <x:c r="AK522" s="87" t="str">
        <x:v>master-v0.81</x:v>
      </x:c>
      <x:c r="AL522" s="87" t="str">
        <x:v>statgrad_master_base_v0_81_final(2).xlsx</x:v>
      </x:c>
      <x:c r="AM522" s="87" t="str">
        <x:v>MATH_Feb_Profil_V3</x:v>
      </x:c>
      <x:c r="AN522" s="87" t="n">
        <x:v>10</x:v>
      </x:c>
    </x:row>
    <x:row r="523">
      <x:c r="A523" s="87" t="n">
        <x:v>522</x:v>
      </x:c>
      <x:c r="B523" s="87" t="str">
        <x:v>FEB-MATH-P-V3-010</x:v>
      </x:c>
      <x:c r="C523" s="87" t="str">
        <x:v>СтатГрад</x:v>
      </x:c>
      <x:c r="D523" s="87" t="str">
        <x:v>Февраль 2026</x:v>
      </x:c>
      <x:c r="E523" s="87"/>
      <x:c r="F523" s="87"/>
      <x:c r="G523" s="87" t="str">
        <x:v>Математика</x:v>
      </x:c>
      <x:c r="H523" s="87" t="n">
        <x:v>11</x:v>
      </x:c>
      <x:c r="I523" s="87" t="str">
        <x:v>ТР №3</x:v>
      </x:c>
      <x:c r="J523" s="87" t="str">
        <x:v>МА2510311</x:v>
      </x:c>
      <x:c r="K523" s="87" t="n">
        <x:v>10</x:v>
      </x:c>
      <x:c r="L523" s="87" t="str">
        <x:v>Смеси и сплавы</x:v>
      </x:c>
      <x:c r="M523" s="30" t="str">
        <x:v>Первый сплав содержит 5% меди, второй — 11%; второй тяжелее первого на 2 кг. После смешивания получен сплав с 10% меди. Найдите его массу.</x:v>
      </x:c>
      <x:c r="N523" s="30" t="str">
        <x:v>3 кг</x:v>
      </x:c>
      <x:c r="O523" s="30" t="str">
        <x:v>Пусть масса первого сплава x кг, второго — x+2. Баланс меди: 0,05x+0,11(x+2)=0,10(2x+2), откуда x=0,5. Общая масса 0,5+2,5=3 кг.</x:v>
      </x:c>
      <x:c r="P523" s="30" t="str">
        <x:v>Уравнение проверено балансом общей массы и массы меди.</x:v>
      </x:c>
      <x:c r="Q523" s="30"/>
      <x:c r="R523" s="30" t="str">
        <x:v>3</x:v>
      </x:c>
      <x:c r="S523" s="30"/>
      <x:c r="T523" s="30"/>
      <x:c r="U523" s="30" t="str">
        <x:v>Расхождений нет.</x:v>
      </x:c>
      <x:c r="V523" s="87" t="str">
        <x:v>VERIFIED</x:v>
      </x:c>
      <x:c r="W523" s="87" t="n">
        <x:v>4</x:v>
      </x:c>
      <x:c r="X523" s="87"/>
      <x:c r="Y523" s="87"/>
      <x:c r="Z523" s="87"/>
      <x:c r="AA523" s="87"/>
      <x:c r="AB523" s="87"/>
      <x:c r="AC523" s="87"/>
      <x:c r="AD523" s="87"/>
      <x:c r="AE523" s="87"/>
      <x:c r="AF523" s="87"/>
      <x:c r="AG523" s="87"/>
      <x:c r="AH523" s="87"/>
      <x:c r="AI523" s="30"/>
      <x:c r="AJ523" s="87" t="str">
        <x:v>master</x:v>
      </x:c>
      <x:c r="AK523" s="87" t="str">
        <x:v>master-v0.81</x:v>
      </x:c>
      <x:c r="AL523" s="87" t="str">
        <x:v>statgrad_master_base_v0_81_final(2).xlsx</x:v>
      </x:c>
      <x:c r="AM523" s="87" t="str">
        <x:v>MATH_Feb_Profil_V3</x:v>
      </x:c>
      <x:c r="AN523" s="87" t="n">
        <x:v>11</x:v>
      </x:c>
    </x:row>
    <x:row r="524">
      <x:c r="A524" s="87" t="n">
        <x:v>523</x:v>
      </x:c>
      <x:c r="B524" s="87" t="str">
        <x:v>FEB-MATH-P-V3-011</x:v>
      </x:c>
      <x:c r="C524" s="87" t="str">
        <x:v>СтатГрад</x:v>
      </x:c>
      <x:c r="D524" s="87" t="str">
        <x:v>Февраль 2026</x:v>
      </x:c>
      <x:c r="E524" s="87"/>
      <x:c r="F524" s="87"/>
      <x:c r="G524" s="87" t="str">
        <x:v>Математика</x:v>
      </x:c>
      <x:c r="H524" s="87" t="n">
        <x:v>11</x:v>
      </x:c>
      <x:c r="I524" s="87" t="str">
        <x:v>ТР №3</x:v>
      </x:c>
      <x:c r="J524" s="87" t="str">
        <x:v>МА2510311</x:v>
      </x:c>
      <x:c r="K524" s="87" t="n">
        <x:v>11</x:v>
      </x:c>
      <x:c r="L524" s="87" t="str">
        <x:v>Графики функций</x:v>
      </x:c>
      <x:c r="M524" s="30" t="str">
        <x:v>Графики f(x)=−3x+13 и квадратичной функции пересекаются в точках A и B. Найдите абсциссу точки B.</x:v>
      </x:c>
      <x:c r="N524" s="30" t="str">
        <x:v>−3</x:v>
      </x:c>
      <x:c r="O524" s="30" t="str">
        <x:v>По координатной сетке точка B — левое пересечение прямой и параболы; её абсцисса равна −3.</x:v>
      </x:c>
      <x:c r="P524" s="30" t="str">
        <x:v>Значение независимо считано по единичной сетке и согласуется с точкой прямой (−3;22).</x:v>
      </x:c>
      <x:c r="Q524" s="30"/>
      <x:c r="R524" s="30" t="str">
        <x:v>−3</x:v>
      </x:c>
      <x:c r="S524" s="30"/>
      <x:c r="T524" s="30"/>
      <x:c r="U524" s="30" t="str">
        <x:v>Расхождений нет.</x:v>
      </x:c>
      <x:c r="V524" s="87" t="str">
        <x:v>VERIFIED</x:v>
      </x:c>
      <x:c r="W524" s="87" t="n">
        <x:v>4</x:v>
      </x:c>
      <x:c r="X524" s="87"/>
      <x:c r="Y524" s="87"/>
      <x:c r="Z524" s="87"/>
      <x:c r="AA524" s="87"/>
      <x:c r="AB524" s="87"/>
      <x:c r="AC524" s="87"/>
      <x:c r="AD524" s="87"/>
      <x:c r="AE524" s="87"/>
      <x:c r="AF524" s="87"/>
      <x:c r="AG524" s="87"/>
      <x:c r="AH524" s="87"/>
      <x:c r="AI524" s="30"/>
      <x:c r="AJ524" s="87" t="str">
        <x:v>master</x:v>
      </x:c>
      <x:c r="AK524" s="87" t="str">
        <x:v>master-v0.81</x:v>
      </x:c>
      <x:c r="AL524" s="87" t="str">
        <x:v>statgrad_master_base_v0_81_final(2).xlsx</x:v>
      </x:c>
      <x:c r="AM524" s="87" t="str">
        <x:v>MATH_Feb_Profil_V3</x:v>
      </x:c>
      <x:c r="AN524" s="87" t="n">
        <x:v>12</x:v>
      </x:c>
    </x:row>
    <x:row r="525">
      <x:c r="A525" s="87" t="n">
        <x:v>524</x:v>
      </x:c>
      <x:c r="B525" s="87" t="str">
        <x:v>FEB-MATH-P-V3-012</x:v>
      </x:c>
      <x:c r="C525" s="87" t="str">
        <x:v>СтатГрад</x:v>
      </x:c>
      <x:c r="D525" s="87" t="str">
        <x:v>Февраль 2026</x:v>
      </x:c>
      <x:c r="E525" s="87"/>
      <x:c r="F525" s="87"/>
      <x:c r="G525" s="87" t="str">
        <x:v>Математика</x:v>
      </x:c>
      <x:c r="H525" s="87" t="n">
        <x:v>11</x:v>
      </x:c>
      <x:c r="I525" s="87" t="str">
        <x:v>ТР №3</x:v>
      </x:c>
      <x:c r="J525" s="87" t="str">
        <x:v>МА2510311</x:v>
      </x:c>
      <x:c r="K525" s="87" t="n">
        <x:v>12</x:v>
      </x:c>
      <x:c r="L525" s="87" t="str">
        <x:v>Исследование функции</x:v>
      </x:c>
      <x:c r="M525" s="30" t="str">
        <x:v>Найдите точку максимума y=−(1/3)x√x+11x+14.</x:v>
      </x:c>
      <x:c r="N525" s="30" t="str">
        <x:v>484</x:v>
      </x:c>
      <x:c r="O525" s="30" t="str">
        <x:v>Область определения x≥0. Производная y′=11−(1/2)√x обращается в ноль при √x=22, то есть x=484. До этой точки производная положительна, после — отрицательна, поэтому это точка максимума.</x:v>
      </x:c>
      <x:c r="P525" s="30" t="str">
        <x:v>Знак производной проверен по обе стороны от критической точки.</x:v>
      </x:c>
      <x:c r="Q525" s="30"/>
      <x:c r="R525" s="30" t="str">
        <x:v>484</x:v>
      </x:c>
      <x:c r="S525" s="30"/>
      <x:c r="T525" s="30"/>
      <x:c r="U525" s="30" t="str">
        <x:v>Расхождений нет.</x:v>
      </x:c>
      <x:c r="V525" s="87" t="str">
        <x:v>VERIFIED</x:v>
      </x:c>
      <x:c r="W525" s="87" t="n">
        <x:v>4</x:v>
      </x:c>
      <x:c r="X525" s="87"/>
      <x:c r="Y525" s="87"/>
      <x:c r="Z525" s="87"/>
      <x:c r="AA525" s="87"/>
      <x:c r="AB525" s="87"/>
      <x:c r="AC525" s="87"/>
      <x:c r="AD525" s="87"/>
      <x:c r="AE525" s="87"/>
      <x:c r="AF525" s="87"/>
      <x:c r="AG525" s="87"/>
      <x:c r="AH525" s="87"/>
      <x:c r="AI525" s="30"/>
      <x:c r="AJ525" s="87" t="str">
        <x:v>master</x:v>
      </x:c>
      <x:c r="AK525" s="87" t="str">
        <x:v>master-v0.81</x:v>
      </x:c>
      <x:c r="AL525" s="87" t="str">
        <x:v>statgrad_master_base_v0_81_final(2).xlsx</x:v>
      </x:c>
      <x:c r="AM525" s="87" t="str">
        <x:v>MATH_Feb_Profil_V3</x:v>
      </x:c>
      <x:c r="AN525" s="87" t="n">
        <x:v>13</x:v>
      </x:c>
    </x:row>
    <x:row r="526">
      <x:c r="A526" s="87" t="n">
        <x:v>525</x:v>
      </x:c>
      <x:c r="B526" s="87" t="str">
        <x:v>FEB-MATH-P-V3-013</x:v>
      </x:c>
      <x:c r="C526" s="87" t="str">
        <x:v>СтатГрад</x:v>
      </x:c>
      <x:c r="D526" s="87" t="str">
        <x:v>Февраль 2026</x:v>
      </x:c>
      <x:c r="E526" s="87"/>
      <x:c r="F526" s="87"/>
      <x:c r="G526" s="87" t="str">
        <x:v>Математика</x:v>
      </x:c>
      <x:c r="H526" s="87" t="n">
        <x:v>11</x:v>
      </x:c>
      <x:c r="I526" s="87" t="str">
        <x:v>ТР №3</x:v>
      </x:c>
      <x:c r="J526" s="87" t="str">
        <x:v>МА2510311</x:v>
      </x:c>
      <x:c r="K526" s="87" t="n">
        <x:v>13</x:v>
      </x:c>
      <x:c r="L526" s="87" t="str">
        <x:v>Развёрнутый ответ: тригонометрическое уравнение</x:v>
      </x:c>
      <x:c r="M526" s="30" t="str">
        <x:v>Решите cos(π/2+2x)+√12·cos²x=0; найдите корни на [11π/4;17π/4].</x:v>
      </x:c>
      <x:c r="N526" s="30" t="str">
        <x:v>а) x=π/2+πn, n∈Z, или x=π/3+πm, m∈Z; б) 10π/3 и 7π/2</x:v>
      </x:c>
      <x:c r="O526" s="30" t="str">
        <x:v>После замены cos(π/2+2x)=−sin2x уравнение принимает вид 2cosx(−sinx+√3cosx)=0. Отсюда cosx=0 либо tgx=√3. На заданном отрезке остаются 10π/3 и 7π/2.</x:v>
      </x:c>
      <x:c r="P526" s="30" t="str">
        <x:v>Обе серии корней и отбор по отрезку проверены подстановкой и числовой окружностью.</x:v>
      </x:c>
      <x:c r="Q526" s="30"/>
      <x:c r="R526" s="30" t="str">
        <x:v>Критерии, стр. 1</x:v>
      </x:c>
      <x:c r="S526" s="30"/>
      <x:c r="T526" s="30"/>
      <x:c r="U526" s="30" t="str">
        <x:v>Критерий перенесён отдельно без изменения.</x:v>
      </x:c>
      <x:c r="V526" s="87" t="str">
        <x:v>VERIFIED</x:v>
      </x:c>
      <x:c r="W526" s="87" t="n">
        <x:v>5</x:v>
      </x:c>
      <x:c r="X526" s="87"/>
      <x:c r="Y526" s="87"/>
      <x:c r="Z526" s="87"/>
      <x:c r="AA526" s="87"/>
      <x:c r="AB526" s="87"/>
      <x:c r="AC526" s="87"/>
      <x:c r="AD526" s="87"/>
      <x:c r="AE526" s="87"/>
      <x:c r="AF526" s="87"/>
      <x:c r="AG526" s="87"/>
      <x:c r="AH526" s="87"/>
      <x:c r="AI526" s="30"/>
      <x:c r="AJ526" s="87" t="str">
        <x:v>master</x:v>
      </x:c>
      <x:c r="AK526" s="87" t="str">
        <x:v>master-v0.81</x:v>
      </x:c>
      <x:c r="AL526" s="87" t="str">
        <x:v>statgrad_master_base_v0_81_final(2).xlsx</x:v>
      </x:c>
      <x:c r="AM526" s="87" t="str">
        <x:v>MATH_Feb_Profil_V3</x:v>
      </x:c>
      <x:c r="AN526" s="87" t="n">
        <x:v>14</x:v>
      </x:c>
    </x:row>
    <x:row r="527">
      <x:c r="A527" s="87" t="n">
        <x:v>526</x:v>
      </x:c>
      <x:c r="B527" s="87" t="str">
        <x:v>FEB-MATH-P-V3-014</x:v>
      </x:c>
      <x:c r="C527" s="87" t="str">
        <x:v>СтатГрад</x:v>
      </x:c>
      <x:c r="D527" s="87" t="str">
        <x:v>Февраль 2026</x:v>
      </x:c>
      <x:c r="E527" s="87"/>
      <x:c r="F527" s="87"/>
      <x:c r="G527" s="87" t="str">
        <x:v>Математика</x:v>
      </x:c>
      <x:c r="H527" s="87" t="n">
        <x:v>11</x:v>
      </x:c>
      <x:c r="I527" s="87" t="str">
        <x:v>ТР №3</x:v>
      </x:c>
      <x:c r="J527" s="87" t="str">
        <x:v>МА2510311</x:v>
      </x:c>
      <x:c r="K527" s="87" t="n">
        <x:v>14</x:v>
      </x:c>
      <x:c r="L527" s="87" t="str">
        <x:v>Развёрнутый ответ: стереометрия</x:v>
      </x:c>
      <x:c r="M527" s="30" t="str">
        <x:v>В правильной треугольной пирамиде SABC: AB=4√11, SA=12; AK:KB=SM:MC=1:5. Плоскость α содержит KM и параллельна BC. Докажите α∥SA и найдите угол между α и SBC.</x:v>
      </x:c>
      <x:c r="N527" s="30" t="str">
        <x:v>а) α∥SA; б) arccos(7/15)</x:v>
      </x:c>
      <x:c r="O527" s="30" t="str">
        <x:v>Пусть α пересекает SB в L. Из LM∥BC следует SL:LB=SM:MC=1:5; вместе с AK:KB=1:5 это даёт KL∥SA, значит α∥SA. Если H — середина BC, то AH=2√33, SH=10, AS=12. Искомый угол равен ∠ASH, а по теореме косинусов cos∠ASH=(144+100−132)/(2·12·10)=7/15.</x:v>
      </x:c>
      <x:c r="P527" s="30" t="str">
        <x:v>Доказательство параллельности и вычисление угла сверены по полной конструкции критерия.</x:v>
      </x:c>
      <x:c r="Q527" s="30"/>
      <x:c r="R527" s="30" t="str">
        <x:v>Критерии, стр. 2–3</x:v>
      </x:c>
      <x:c r="S527" s="30"/>
      <x:c r="T527" s="30"/>
      <x:c r="U527" s="30" t="str">
        <x:v>Критерий перенесён отдельно без изменения.</x:v>
      </x:c>
      <x:c r="V527" s="87" t="str">
        <x:v>VERIFIED</x:v>
      </x:c>
      <x:c r="W527" s="87" t="n">
        <x:v>5</x:v>
      </x:c>
      <x:c r="X527" s="87"/>
      <x:c r="Y527" s="87"/>
      <x:c r="Z527" s="87"/>
      <x:c r="AA527" s="87"/>
      <x:c r="AB527" s="87"/>
      <x:c r="AC527" s="87"/>
      <x:c r="AD527" s="87"/>
      <x:c r="AE527" s="87"/>
      <x:c r="AF527" s="87"/>
      <x:c r="AG527" s="87"/>
      <x:c r="AH527" s="87"/>
      <x:c r="AI527" s="30"/>
      <x:c r="AJ527" s="87" t="str">
        <x:v>master</x:v>
      </x:c>
      <x:c r="AK527" s="87" t="str">
        <x:v>master-v0.81</x:v>
      </x:c>
      <x:c r="AL527" s="87" t="str">
        <x:v>statgrad_master_base_v0_81_final(2).xlsx</x:v>
      </x:c>
      <x:c r="AM527" s="87" t="str">
        <x:v>MATH_Feb_Profil_V3</x:v>
      </x:c>
      <x:c r="AN527" s="87" t="n">
        <x:v>15</x:v>
      </x:c>
    </x:row>
    <x:row r="528">
      <x:c r="A528" s="87" t="n">
        <x:v>527</x:v>
      </x:c>
      <x:c r="B528" s="87" t="str">
        <x:v>FEB-MATH-P-V3-015</x:v>
      </x:c>
      <x:c r="C528" s="87" t="str">
        <x:v>СтатГрад</x:v>
      </x:c>
      <x:c r="D528" s="87" t="str">
        <x:v>Февраль 2026</x:v>
      </x:c>
      <x:c r="E528" s="87"/>
      <x:c r="F528" s="87"/>
      <x:c r="G528" s="87" t="str">
        <x:v>Математика</x:v>
      </x:c>
      <x:c r="H528" s="87" t="n">
        <x:v>11</x:v>
      </x:c>
      <x:c r="I528" s="87" t="str">
        <x:v>ТР №3</x:v>
      </x:c>
      <x:c r="J528" s="87" t="str">
        <x:v>МА2510311</x:v>
      </x:c>
      <x:c r="K528" s="87" t="n">
        <x:v>15</x:v>
      </x:c>
      <x:c r="L528" s="87" t="str">
        <x:v>Развёрнутый ответ: логарифмическое неравенство</x:v>
      </x:c>
      <x:c r="M528" s="30" t="str">
        <x:v>Решите log₂(4x)/(1−log₂²(2x)) − 1/log₂x ≥0.</x:v>
      </x:c>
      <x:c r="N528" s="30" t="str">
        <x:v>(0;1/4) ∪ (1/4;1)</x:v>
      </x:c>
      <x:c r="O528" s="30" t="str">
        <x:v>Положим t=log₂x. ОДЗ: t≠0 и t≠−2. Тогда (t+2)/(1−(t+1)²)−1/t=−2/t. Неравенство выполняется при t&lt;0; исключая t=−2, получаем 0&lt;x&lt;1, x≠1/4.</x:v>
      </x:c>
      <x:c r="P528" s="30" t="str">
        <x:v>Преобразование, ОДЗ и исключённая точка проверены отдельно.</x:v>
      </x:c>
      <x:c r="Q528" s="30"/>
      <x:c r="R528" s="30" t="str">
        <x:v>Критерии, стр. 3–4</x:v>
      </x:c>
      <x:c r="S528" s="30"/>
      <x:c r="T528" s="30"/>
      <x:c r="U528" s="30" t="str">
        <x:v>Критерий перенесён отдельно без изменения.</x:v>
      </x:c>
      <x:c r="V528" s="87" t="str">
        <x:v>VERIFIED</x:v>
      </x:c>
      <x:c r="W528" s="87" t="n">
        <x:v>5</x:v>
      </x:c>
      <x:c r="X528" s="87"/>
      <x:c r="Y528" s="87"/>
      <x:c r="Z528" s="87"/>
      <x:c r="AA528" s="87"/>
      <x:c r="AB528" s="87"/>
      <x:c r="AC528" s="87"/>
      <x:c r="AD528" s="87"/>
      <x:c r="AE528" s="87"/>
      <x:c r="AF528" s="87"/>
      <x:c r="AG528" s="87"/>
      <x:c r="AH528" s="87"/>
      <x:c r="AI528" s="30"/>
      <x:c r="AJ528" s="87" t="str">
        <x:v>master</x:v>
      </x:c>
      <x:c r="AK528" s="87" t="str">
        <x:v>master-v0.81</x:v>
      </x:c>
      <x:c r="AL528" s="87" t="str">
        <x:v>statgrad_master_base_v0_81_final(2).xlsx</x:v>
      </x:c>
      <x:c r="AM528" s="87" t="str">
        <x:v>MATH_Feb_Profil_V3</x:v>
      </x:c>
      <x:c r="AN528" s="87" t="n">
        <x:v>16</x:v>
      </x:c>
    </x:row>
    <x:row r="529">
      <x:c r="A529" s="87" t="n">
        <x:v>528</x:v>
      </x:c>
      <x:c r="B529" s="87" t="str">
        <x:v>FEB-MATH-P-V3-016</x:v>
      </x:c>
      <x:c r="C529" s="87" t="str">
        <x:v>СтатГрад</x:v>
      </x:c>
      <x:c r="D529" s="87" t="str">
        <x:v>Февраль 2026</x:v>
      </x:c>
      <x:c r="E529" s="87"/>
      <x:c r="F529" s="87"/>
      <x:c r="G529" s="87" t="str">
        <x:v>Математика</x:v>
      </x:c>
      <x:c r="H529" s="87" t="n">
        <x:v>11</x:v>
      </x:c>
      <x:c r="I529" s="87" t="str">
        <x:v>ТР №3</x:v>
      </x:c>
      <x:c r="J529" s="87" t="str">
        <x:v>МА2510311</x:v>
      </x:c>
      <x:c r="K529" s="87" t="n">
        <x:v>16</x:v>
      </x:c>
      <x:c r="L529" s="87" t="str">
        <x:v>Развёрнутый ответ: кредит</x:v>
      </x:c>
      <x:c r="M529" s="30" t="str">
        <x:v>Кредит 700 тыс. руб. на шесть лет; долг изменяется по указанной схеме. Сумма платежей 1212,5 тыс. руб. Найдите r.</x:v>
      </x:c>
      <x:c r="N529" s="30" t="str">
        <x:v>25%</x:v>
      </x:c>
      <x:c r="O529" s="30" t="str">
        <x:v>Июльские долги равны 700, 550, 400, 250, 100, 50 и 0 тыс. руб. Пусть k=1+r/100. Январские долги: 700k, 550k, 400k, 250k, 100k, 50k. Сумма платежей равна 2050k−1350. Из 2050k−1350=1212,5 получаем k=1,25 и r=25.</x:v>
      </x:c>
      <x:c r="P529" s="30" t="str">
        <x:v>Последовательность долгов, платежи и итоговая сумма воспроизведены независимо.</x:v>
      </x:c>
      <x:c r="Q529" s="30"/>
      <x:c r="R529" s="30" t="str">
        <x:v>Критерии, стр. 4–5</x:v>
      </x:c>
      <x:c r="S529" s="30"/>
      <x:c r="T529" s="30"/>
      <x:c r="U529" s="30" t="str">
        <x:v>Критерий перенесён отдельно без изменения.</x:v>
      </x:c>
      <x:c r="V529" s="87" t="str">
        <x:v>VERIFIED</x:v>
      </x:c>
      <x:c r="W529" s="87" t="n">
        <x:v>5</x:v>
      </x:c>
      <x:c r="X529" s="87"/>
      <x:c r="Y529" s="87"/>
      <x:c r="Z529" s="87"/>
      <x:c r="AA529" s="87"/>
      <x:c r="AB529" s="87"/>
      <x:c r="AC529" s="87"/>
      <x:c r="AD529" s="87"/>
      <x:c r="AE529" s="87"/>
      <x:c r="AF529" s="87"/>
      <x:c r="AG529" s="87"/>
      <x:c r="AH529" s="87"/>
      <x:c r="AI529" s="30"/>
      <x:c r="AJ529" s="87" t="str">
        <x:v>master</x:v>
      </x:c>
      <x:c r="AK529" s="87" t="str">
        <x:v>master-v0.81</x:v>
      </x:c>
      <x:c r="AL529" s="87" t="str">
        <x:v>statgrad_master_base_v0_81_final(2).xlsx</x:v>
      </x:c>
      <x:c r="AM529" s="87" t="str">
        <x:v>MATH_Feb_Profil_V3</x:v>
      </x:c>
      <x:c r="AN529" s="87" t="n">
        <x:v>17</x:v>
      </x:c>
    </x:row>
    <x:row r="530">
      <x:c r="A530" s="87" t="n">
        <x:v>529</x:v>
      </x:c>
      <x:c r="B530" s="87" t="str">
        <x:v>FEB-MATH-P-V3-017</x:v>
      </x:c>
      <x:c r="C530" s="87" t="str">
        <x:v>СтатГрад</x:v>
      </x:c>
      <x:c r="D530" s="87" t="str">
        <x:v>Февраль 2026</x:v>
      </x:c>
      <x:c r="E530" s="87"/>
      <x:c r="F530" s="87"/>
      <x:c r="G530" s="87" t="str">
        <x:v>Математика</x:v>
      </x:c>
      <x:c r="H530" s="87" t="n">
        <x:v>11</x:v>
      </x:c>
      <x:c r="I530" s="87" t="str">
        <x:v>ТР №3</x:v>
      </x:c>
      <x:c r="J530" s="87" t="str">
        <x:v>МА2510311</x:v>
      </x:c>
      <x:c r="K530" s="87" t="n">
        <x:v>17</x:v>
      </x:c>
      <x:c r="L530" s="87" t="str">
        <x:v>Развёрнутый ответ: планиметрия</x:v>
      </x:c>
      <x:c r="M530" s="30" t="str">
        <x:v>В квадрат ABCD вписана окружность, касающаяся AB в K и AD в E. CK и CE пересекают окружность в M и P. Докажите EK∥MP и найдите ME при стороне квадрата 40.</x:v>
      </x:c>
      <x:c r="N530" s="30" t="str">
        <x:v>а) EK∥MP; б) ME=12√10</x:v>
      </x:c>
      <x:c r="O530" s="30" t="str">
        <x:v>По свойству секущих CM·CK=CP·CE; поскольку CK=CE, имеем CM/CK=CP/CE. Треугольники CMP и CKE подобны, поэтому MP∥EK. При стороне квадрата 40: BK=20, BC=40, sin∠KCB=√5/5, cos∠KCB=2√5/5. Так как ∠KME=45°, по теореме синусов ME=40sin(∠KCB+45°)=12√10.</x:v>
      </x:c>
      <x:c r="P530" s="30" t="str">
        <x:v>Доказательство и вычисление длины сверены по свойствам секущих, подобию и теореме синусов.</x:v>
      </x:c>
      <x:c r="Q530" s="30"/>
      <x:c r="R530" s="30" t="str">
        <x:v>Критерии, стр. 5–6</x:v>
      </x:c>
      <x:c r="S530" s="30"/>
      <x:c r="T530" s="30"/>
      <x:c r="U530" s="30" t="str">
        <x:v>Критерий перенесён отдельно без изменения.</x:v>
      </x:c>
      <x:c r="V530" s="87" t="str">
        <x:v>VERIFIED</x:v>
      </x:c>
      <x:c r="W530" s="87" t="n">
        <x:v>6</x:v>
      </x:c>
      <x:c r="X530" s="87"/>
      <x:c r="Y530" s="87"/>
      <x:c r="Z530" s="87"/>
      <x:c r="AA530" s="87"/>
      <x:c r="AB530" s="87"/>
      <x:c r="AC530" s="87"/>
      <x:c r="AD530" s="87"/>
      <x:c r="AE530" s="87"/>
      <x:c r="AF530" s="87"/>
      <x:c r="AG530" s="87"/>
      <x:c r="AH530" s="87"/>
      <x:c r="AI530" s="30"/>
      <x:c r="AJ530" s="87" t="str">
        <x:v>master</x:v>
      </x:c>
      <x:c r="AK530" s="87" t="str">
        <x:v>master-v0.81</x:v>
      </x:c>
      <x:c r="AL530" s="87" t="str">
        <x:v>statgrad_master_base_v0_81_final(2).xlsx</x:v>
      </x:c>
      <x:c r="AM530" s="87" t="str">
        <x:v>MATH_Feb_Profil_V3</x:v>
      </x:c>
      <x:c r="AN530" s="87" t="n">
        <x:v>18</x:v>
      </x:c>
    </x:row>
    <x:row r="531">
      <x:c r="A531" s="87" t="n">
        <x:v>530</x:v>
      </x:c>
      <x:c r="B531" s="87" t="str">
        <x:v>FEB-MATH-P-V3-018</x:v>
      </x:c>
      <x:c r="C531" s="87" t="str">
        <x:v>СтатГрад</x:v>
      </x:c>
      <x:c r="D531" s="87" t="str">
        <x:v>Февраль 2026</x:v>
      </x:c>
      <x:c r="E531" s="87"/>
      <x:c r="F531" s="87"/>
      <x:c r="G531" s="87" t="str">
        <x:v>Математика</x:v>
      </x:c>
      <x:c r="H531" s="87" t="n">
        <x:v>11</x:v>
      </x:c>
      <x:c r="I531" s="87" t="str">
        <x:v>ТР №3</x:v>
      </x:c>
      <x:c r="J531" s="87" t="str">
        <x:v>МА2510311</x:v>
      </x:c>
      <x:c r="K531" s="87" t="n">
        <x:v>18</x:v>
      </x:c>
      <x:c r="L531" s="87" t="str">
        <x:v>Развёрнутый ответ: задача с параметром</x:v>
      </x:c>
      <x:c r="M531" s="30" t="str">
        <x:v>Найдите все a, при которых система из произведения двух сумм квадратов ≤0 и кругового неравенства не имеет решений.</x:v>
      </x:c>
      <x:c r="N531" s="30" t="str">
        <x:v>(−∞;0) ∪ (16;+∞)</x:v>
      </x:c>
      <x:c r="O531" s="30" t="str">
        <x:v>Первое неравенство выполняется только в точках (1;4) и (3;2). Для отсутствия решений обе точки должны лежать вне круга второго неравенства. Подстановка даёт условия a(a−16)&gt;0 и a(a−12)&gt;0; их пересечение: a&lt;0 или a&gt;16.</x:v>
      </x:c>
      <x:c r="P531" s="30" t="str">
        <x:v>Геометрическая интерпретация и строгие границы проверены подстановкой граничных значений.</x:v>
      </x:c>
      <x:c r="Q531" s="30"/>
      <x:c r="R531" s="30" t="str">
        <x:v>Критерии, стр. 6–7</x:v>
      </x:c>
      <x:c r="S531" s="30"/>
      <x:c r="T531" s="30"/>
      <x:c r="U531" s="30" t="str">
        <x:v>Критерий перенесён отдельно без изменения.</x:v>
      </x:c>
      <x:c r="V531" s="87" t="str">
        <x:v>VERIFIED</x:v>
      </x:c>
      <x:c r="W531" s="87" t="n">
        <x:v>6</x:v>
      </x:c>
      <x:c r="X531" s="87"/>
      <x:c r="Y531" s="87"/>
      <x:c r="Z531" s="87"/>
      <x:c r="AA531" s="87"/>
      <x:c r="AB531" s="87"/>
      <x:c r="AC531" s="87"/>
      <x:c r="AD531" s="87"/>
      <x:c r="AE531" s="87"/>
      <x:c r="AF531" s="87"/>
      <x:c r="AG531" s="87"/>
      <x:c r="AH531" s="87"/>
      <x:c r="AI531" s="30"/>
      <x:c r="AJ531" s="87" t="str">
        <x:v>master</x:v>
      </x:c>
      <x:c r="AK531" s="87" t="str">
        <x:v>master-v0.81</x:v>
      </x:c>
      <x:c r="AL531" s="87" t="str">
        <x:v>statgrad_master_base_v0_81_final(2).xlsx</x:v>
      </x:c>
      <x:c r="AM531" s="87" t="str">
        <x:v>MATH_Feb_Profil_V3</x:v>
      </x:c>
      <x:c r="AN531" s="87" t="n">
        <x:v>19</x:v>
      </x:c>
    </x:row>
    <x:row r="532">
      <x:c r="A532" s="87" t="n">
        <x:v>531</x:v>
      </x:c>
      <x:c r="B532" s="87" t="str">
        <x:v>FEB-MATH-P-V3-019</x:v>
      </x:c>
      <x:c r="C532" s="87" t="str">
        <x:v>СтатГрад</x:v>
      </x:c>
      <x:c r="D532" s="87" t="str">
        <x:v>Февраль 2026</x:v>
      </x:c>
      <x:c r="E532" s="87"/>
      <x:c r="F532" s="87"/>
      <x:c r="G532" s="87" t="str">
        <x:v>Математика</x:v>
      </x:c>
      <x:c r="H532" s="87" t="n">
        <x:v>11</x:v>
      </x:c>
      <x:c r="I532" s="87" t="str">
        <x:v>ТР №3</x:v>
      </x:c>
      <x:c r="J532" s="87" t="str">
        <x:v>МА2510311</x:v>
      </x:c>
      <x:c r="K532" s="87" t="n">
        <x:v>19</x:v>
      </x:c>
      <x:c r="L532" s="87" t="str">
        <x:v>Развёрнутый ответ: числовая задача</x:v>
      </x:c>
      <x:c r="M532" s="30" t="str">
        <x:v>Шесть критиков выставили различные целые оценки 0–10. Старый рейтинг — среднее шести оценок; новый — среднее четырёх после удаления минимума и максимума. Исследуйте разность рейтингов.</x:v>
      </x:c>
      <x:c r="N532" s="30" t="str">
        <x:v>а) нет; б) да; в) максимум 5/6</x:v>
      </x:c>
      <x:c r="O532" s="30" t="str">
        <x:v>Если A=m/6 и B=n/4, то A−B=(2m−3n)/12, поэтому 1/18 невозможно. Значение 1/12 достигается, например, для оценок 0,1,2,3,5,6. Пусть x — минимум, z — максимум, y — сумма остальных четырёх: A−B=(2x−y+2z)/12. Так как y≥(x+1)+…+(x+4)=4x+10, z≤10 и x≥0, получаем A−B≤5/6; равенство достигается на 0,1,2,3,4,10.</x:v>
      </x:c>
      <x:c r="P532" s="30" t="str">
        <x:v>Все три пункта независимо проверены полным перебором наборов из шести различных целых оценок 0–10.</x:v>
      </x:c>
      <x:c r="Q532" s="30"/>
      <x:c r="R532" s="30" t="str">
        <x:v>Критерии, стр. 7–8</x:v>
      </x:c>
      <x:c r="S532" s="30"/>
      <x:c r="T532" s="30"/>
      <x:c r="U532" s="30" t="str">
        <x:v>Расхождений нет.</x:v>
      </x:c>
      <x:c r="V532" s="87" t="str">
        <x:v>VERIFIED</x:v>
      </x:c>
      <x:c r="W532" s="87" t="n">
        <x:v>6</x:v>
      </x:c>
      <x:c r="X532" s="87"/>
      <x:c r="Y532" s="87"/>
      <x:c r="Z532" s="87"/>
      <x:c r="AA532" s="87"/>
      <x:c r="AB532" s="87"/>
      <x:c r="AC532" s="87"/>
      <x:c r="AD532" s="87"/>
      <x:c r="AE532" s="87"/>
      <x:c r="AF532" s="87"/>
      <x:c r="AG532" s="87"/>
      <x:c r="AH532" s="87"/>
      <x:c r="AI532" s="30"/>
      <x:c r="AJ532" s="87" t="str">
        <x:v>master</x:v>
      </x:c>
      <x:c r="AK532" s="87" t="str">
        <x:v>master-v0.81</x:v>
      </x:c>
      <x:c r="AL532" s="87" t="str">
        <x:v>statgrad_master_base_v0_81_final(2).xlsx</x:v>
      </x:c>
      <x:c r="AM532" s="87" t="str">
        <x:v>MATH_Feb_Profil_V3</x:v>
      </x:c>
      <x:c r="AN532" s="87" t="n">
        <x:v>20</x:v>
      </x:c>
    </x:row>
    <x:row r="533">
      <x:c r="A533" s="87" t="n">
        <x:v>532</x:v>
      </x:c>
      <x:c r="B533" s="87" t="str">
        <x:v>FEB-MATH-P-V4-001</x:v>
      </x:c>
      <x:c r="C533" s="87" t="str">
        <x:v>СтатГрад</x:v>
      </x:c>
      <x:c r="D533" s="87" t="str">
        <x:v>Февраль 2026</x:v>
      </x:c>
      <x:c r="E533" s="87"/>
      <x:c r="F533" s="87"/>
      <x:c r="G533" s="87" t="str">
        <x:v>Математика</x:v>
      </x:c>
      <x:c r="H533" s="87" t="n">
        <x:v>11</x:v>
      </x:c>
      <x:c r="I533" s="87" t="str">
        <x:v>ТР №3</x:v>
      </x:c>
      <x:c r="J533" s="87" t="str">
        <x:v>МА2510312</x:v>
      </x:c>
      <x:c r="K533" s="87" t="n">
        <x:v>1</x:v>
      </x:c>
      <x:c r="L533" s="87" t="str">
        <x:v>Планиметрия: окружность</x:v>
      </x:c>
      <x:c r="M533" s="30" t="str">
        <x:v>AC и BD — диаметры окружности. Угол AOD равен 74°. Найдите угол ACB.</x:v>
      </x:c>
      <x:c r="N533" s="30" t="str">
        <x:v>53°</x:v>
      </x:c>
      <x:c r="O533" s="30" t="str">
        <x:v>Поскольку OB и OD — противоположные лучи, ∠AOB=180°−74°=106°. Вписанный угол ACB опирается на дугу AB и равен половине центрального: 106°/2=53°.</x:v>
      </x:c>
      <x:c r="P533" s="30" t="str">
        <x:v>Проверено по теореме о вписанном угле.</x:v>
      </x:c>
      <x:c r="Q533" s="30"/>
      <x:c r="R533" s="30" t="str">
        <x:v>53</x:v>
      </x:c>
      <x:c r="S533" s="30"/>
      <x:c r="T533" s="30"/>
      <x:c r="U533" s="30" t="str">
        <x:v>Расхождений нет.</x:v>
      </x:c>
      <x:c r="V533" s="87" t="str">
        <x:v>VERIFIED</x:v>
      </x:c>
      <x:c r="W533" s="87" t="n">
        <x:v>2</x:v>
      </x:c>
      <x:c r="X533" s="87"/>
      <x:c r="Y533" s="87"/>
      <x:c r="Z533" s="87"/>
      <x:c r="AA533" s="87"/>
      <x:c r="AB533" s="87"/>
      <x:c r="AC533" s="87"/>
      <x:c r="AD533" s="87"/>
      <x:c r="AE533" s="87"/>
      <x:c r="AF533" s="87"/>
      <x:c r="AG533" s="87"/>
      <x:c r="AH533" s="87"/>
      <x:c r="AI533" s="30"/>
      <x:c r="AJ533" s="87" t="str">
        <x:v>master</x:v>
      </x:c>
      <x:c r="AK533" s="87" t="str">
        <x:v>master-v0.81</x:v>
      </x:c>
      <x:c r="AL533" s="87" t="str">
        <x:v>statgrad_master_base_v0_81_final(2).xlsx</x:v>
      </x:c>
      <x:c r="AM533" s="87" t="str">
        <x:v>MATH_Feb_Profil_V4</x:v>
      </x:c>
      <x:c r="AN533" s="87" t="n">
        <x:v>2</x:v>
      </x:c>
    </x:row>
    <x:row r="534">
      <x:c r="A534" s="87" t="n">
        <x:v>533</x:v>
      </x:c>
      <x:c r="B534" s="87" t="str">
        <x:v>FEB-MATH-P-V4-002</x:v>
      </x:c>
      <x:c r="C534" s="87" t="str">
        <x:v>СтатГрад</x:v>
      </x:c>
      <x:c r="D534" s="87" t="str">
        <x:v>Февраль 2026</x:v>
      </x:c>
      <x:c r="E534" s="87"/>
      <x:c r="F534" s="87"/>
      <x:c r="G534" s="87" t="str">
        <x:v>Математика</x:v>
      </x:c>
      <x:c r="H534" s="87" t="n">
        <x:v>11</x:v>
      </x:c>
      <x:c r="I534" s="87" t="str">
        <x:v>ТР №3</x:v>
      </x:c>
      <x:c r="J534" s="87" t="str">
        <x:v>МА2510312</x:v>
      </x:c>
      <x:c r="K534" s="87" t="n">
        <x:v>2</x:v>
      </x:c>
      <x:c r="L534" s="87" t="str">
        <x:v>Векторы</x:v>
      </x:c>
      <x:c r="M534" s="30" t="str">
        <x:v>Даны a=(−3;8), b=(14;−5), c=(−2;6). Найдите (a+b)·c.</x:v>
      </x:c>
      <x:c r="N534" s="30" t="str">
        <x:v>−4</x:v>
      </x:c>
      <x:c r="O534" s="30" t="str">
        <x:v>a+b=(11;3). Скалярное произведение равно 11·(−2)+3·6=−22+18=−4.</x:v>
      </x:c>
      <x:c r="P534" s="30" t="str">
        <x:v>Сложение координат и скалярное произведение пересчитаны независимо.</x:v>
      </x:c>
      <x:c r="Q534" s="30"/>
      <x:c r="R534" s="30" t="str">
        <x:v>−4</x:v>
      </x:c>
      <x:c r="S534" s="30"/>
      <x:c r="T534" s="30"/>
      <x:c r="U534" s="30" t="str">
        <x:v>Расхождений нет.</x:v>
      </x:c>
      <x:c r="V534" s="87" t="str">
        <x:v>VERIFIED</x:v>
      </x:c>
      <x:c r="W534" s="87" t="n">
        <x:v>2</x:v>
      </x:c>
      <x:c r="X534" s="87"/>
      <x:c r="Y534" s="87"/>
      <x:c r="Z534" s="87"/>
      <x:c r="AA534" s="87"/>
      <x:c r="AB534" s="87"/>
      <x:c r="AC534" s="87"/>
      <x:c r="AD534" s="87"/>
      <x:c r="AE534" s="87"/>
      <x:c r="AF534" s="87"/>
      <x:c r="AG534" s="87"/>
      <x:c r="AH534" s="87"/>
      <x:c r="AI534" s="30"/>
      <x:c r="AJ534" s="87" t="str">
        <x:v>master</x:v>
      </x:c>
      <x:c r="AK534" s="87" t="str">
        <x:v>master-v0.81</x:v>
      </x:c>
      <x:c r="AL534" s="87" t="str">
        <x:v>statgrad_master_base_v0_81_final(2).xlsx</x:v>
      </x:c>
      <x:c r="AM534" s="87" t="str">
        <x:v>MATH_Feb_Profil_V4</x:v>
      </x:c>
      <x:c r="AN534" s="87" t="n">
        <x:v>3</x:v>
      </x:c>
    </x:row>
    <x:row r="535">
      <x:c r="A535" s="87" t="n">
        <x:v>534</x:v>
      </x:c>
      <x:c r="B535" s="87" t="str">
        <x:v>FEB-MATH-P-V4-003</x:v>
      </x:c>
      <x:c r="C535" s="87" t="str">
        <x:v>СтатГрад</x:v>
      </x:c>
      <x:c r="D535" s="87" t="str">
        <x:v>Февраль 2026</x:v>
      </x:c>
      <x:c r="E535" s="87"/>
      <x:c r="F535" s="87"/>
      <x:c r="G535" s="87" t="str">
        <x:v>Математика</x:v>
      </x:c>
      <x:c r="H535" s="87" t="n">
        <x:v>11</x:v>
      </x:c>
      <x:c r="I535" s="87" t="str">
        <x:v>ТР №3</x:v>
      </x:c>
      <x:c r="J535" s="87" t="str">
        <x:v>МА2510312</x:v>
      </x:c>
      <x:c r="K535" s="87" t="n">
        <x:v>3</x:v>
      </x:c>
      <x:c r="L535" s="87" t="str">
        <x:v>Стереометрия: объём пирамиды</x:v>
      </x:c>
      <x:c r="M535" s="30" t="str">
        <x:v>Основание пирамиды — прямоугольник со сторонами 8 и 9, высота равна 7. Найдите объём.</x:v>
      </x:c>
      <x:c r="N535" s="30" t="str">
        <x:v>168</x:v>
      </x:c>
      <x:c r="O535" s="30" t="str">
        <x:v>Площадь основания равна 8·9=72. Объём пирамиды V=(1/3)·72·7=168.</x:v>
      </x:c>
      <x:c r="P535" s="30" t="str">
        <x:v>Расчёт проверен прямой подстановкой в формулу объёма пирамиды.</x:v>
      </x:c>
      <x:c r="Q535" s="30"/>
      <x:c r="R535" s="30" t="str">
        <x:v>168</x:v>
      </x:c>
      <x:c r="S535" s="30"/>
      <x:c r="T535" s="30"/>
      <x:c r="U535" s="30" t="str">
        <x:v>Расхождений нет.</x:v>
      </x:c>
      <x:c r="V535" s="87" t="str">
        <x:v>VERIFIED</x:v>
      </x:c>
      <x:c r="W535" s="87" t="n">
        <x:v>2</x:v>
      </x:c>
      <x:c r="X535" s="87"/>
      <x:c r="Y535" s="87"/>
      <x:c r="Z535" s="87"/>
      <x:c r="AA535" s="87"/>
      <x:c r="AB535" s="87"/>
      <x:c r="AC535" s="87"/>
      <x:c r="AD535" s="87"/>
      <x:c r="AE535" s="87"/>
      <x:c r="AF535" s="87"/>
      <x:c r="AG535" s="87"/>
      <x:c r="AH535" s="87"/>
      <x:c r="AI535" s="30"/>
      <x:c r="AJ535" s="87" t="str">
        <x:v>master</x:v>
      </x:c>
      <x:c r="AK535" s="87" t="str">
        <x:v>master-v0.81</x:v>
      </x:c>
      <x:c r="AL535" s="87" t="str">
        <x:v>statgrad_master_base_v0_81_final(2).xlsx</x:v>
      </x:c>
      <x:c r="AM535" s="87" t="str">
        <x:v>MATH_Feb_Profil_V4</x:v>
      </x:c>
      <x:c r="AN535" s="87" t="n">
        <x:v>4</x:v>
      </x:c>
    </x:row>
    <x:row r="536">
      <x:c r="A536" s="87" t="n">
        <x:v>535</x:v>
      </x:c>
      <x:c r="B536" s="87" t="str">
        <x:v>FEB-MATH-P-V4-004</x:v>
      </x:c>
      <x:c r="C536" s="87" t="str">
        <x:v>СтатГрад</x:v>
      </x:c>
      <x:c r="D536" s="87" t="str">
        <x:v>Февраль 2026</x:v>
      </x:c>
      <x:c r="E536" s="87"/>
      <x:c r="F536" s="87"/>
      <x:c r="G536" s="87" t="str">
        <x:v>Математика</x:v>
      </x:c>
      <x:c r="H536" s="87" t="n">
        <x:v>11</x:v>
      </x:c>
      <x:c r="I536" s="87" t="str">
        <x:v>ТР №3</x:v>
      </x:c>
      <x:c r="J536" s="87" t="str">
        <x:v>МА2510312</x:v>
      </x:c>
      <x:c r="K536" s="87" t="n">
        <x:v>4</x:v>
      </x:c>
      <x:c r="L536" s="87" t="str">
        <x:v>Теория вероятностей</x:v>
      </x:c>
      <x:c r="M536" s="30" t="str">
        <x:v>Вероятность решить больше 9 задач равна 0,66, а больше 8 задач — 0,75. Найдите вероятность решить ровно 9 задач.</x:v>
      </x:c>
      <x:c r="N536" s="30" t="str">
        <x:v>0,09</x:v>
      </x:c>
      <x:c r="O536" s="30" t="str">
        <x:v>Событие «больше 8 задач» состоит из событий «ровно 9» и «больше 9». Поэтому P(9)=0,75−0,66=0,09.</x:v>
      </x:c>
      <x:c r="P536" s="30" t="str">
        <x:v>Проверено разностью вложенных событий.</x:v>
      </x:c>
      <x:c r="Q536" s="30"/>
      <x:c r="R536" s="30" t="str">
        <x:v>0,09</x:v>
      </x:c>
      <x:c r="S536" s="30"/>
      <x:c r="T536" s="30"/>
      <x:c r="U536" s="30" t="str">
        <x:v>Расхождений нет.</x:v>
      </x:c>
      <x:c r="V536" s="87" t="str">
        <x:v>VERIFIED</x:v>
      </x:c>
      <x:c r="W536" s="87" t="n">
        <x:v>2</x:v>
      </x:c>
      <x:c r="X536" s="87"/>
      <x:c r="Y536" s="87"/>
      <x:c r="Z536" s="87"/>
      <x:c r="AA536" s="87"/>
      <x:c r="AB536" s="87"/>
      <x:c r="AC536" s="87"/>
      <x:c r="AD536" s="87"/>
      <x:c r="AE536" s="87"/>
      <x:c r="AF536" s="87"/>
      <x:c r="AG536" s="87"/>
      <x:c r="AH536" s="87"/>
      <x:c r="AI536" s="30"/>
      <x:c r="AJ536" s="87" t="str">
        <x:v>master</x:v>
      </x:c>
      <x:c r="AK536" s="87" t="str">
        <x:v>master-v0.81</x:v>
      </x:c>
      <x:c r="AL536" s="87" t="str">
        <x:v>statgrad_master_base_v0_81_final(2).xlsx</x:v>
      </x:c>
      <x:c r="AM536" s="87" t="str">
        <x:v>MATH_Feb_Profil_V4</x:v>
      </x:c>
      <x:c r="AN536" s="87" t="n">
        <x:v>5</x:v>
      </x:c>
    </x:row>
    <x:row r="537">
      <x:c r="A537" s="87" t="n">
        <x:v>536</x:v>
      </x:c>
      <x:c r="B537" s="87" t="str">
        <x:v>FEB-MATH-P-V4-005</x:v>
      </x:c>
      <x:c r="C537" s="87" t="str">
        <x:v>СтатГрад</x:v>
      </x:c>
      <x:c r="D537" s="87" t="str">
        <x:v>Февраль 2026</x:v>
      </x:c>
      <x:c r="E537" s="87"/>
      <x:c r="F537" s="87"/>
      <x:c r="G537" s="87" t="str">
        <x:v>Математика</x:v>
      </x:c>
      <x:c r="H537" s="87" t="n">
        <x:v>11</x:v>
      </x:c>
      <x:c r="I537" s="87" t="str">
        <x:v>ТР №3</x:v>
      </x:c>
      <x:c r="J537" s="87" t="str">
        <x:v>МА2510312</x:v>
      </x:c>
      <x:c r="K537" s="87" t="n">
        <x:v>5</x:v>
      </x:c>
      <x:c r="L537" s="87" t="str">
        <x:v>Формула полной вероятности</x:v>
      </x:c>
      <x:c r="M537" s="30" t="str">
        <x:v>Первая фабрика выпускает 30% стёкол с браком 4%, вторая — 70% с браком 1%. Найдите вероятность брака.</x:v>
      </x:c>
      <x:c r="N537" s="30" t="str">
        <x:v>0,019</x:v>
      </x:c>
      <x:c r="O537" s="30" t="str">
        <x:v>По формуле полной вероятности P=0,30·0,04+0,70·0,01=0,012+0,007=0,019.</x:v>
      </x:c>
      <x:c r="P537" s="30" t="str">
        <x:v>Вклад каждой фабрики рассчитан отдельно.</x:v>
      </x:c>
      <x:c r="Q537" s="30"/>
      <x:c r="R537" s="30" t="str">
        <x:v>0,019</x:v>
      </x:c>
      <x:c r="S537" s="30"/>
      <x:c r="T537" s="30"/>
      <x:c r="U537" s="30" t="str">
        <x:v>Расхождений нет.</x:v>
      </x:c>
      <x:c r="V537" s="87" t="str">
        <x:v>VERIFIED</x:v>
      </x:c>
      <x:c r="W537" s="87" t="n">
        <x:v>3</x:v>
      </x:c>
      <x:c r="X537" s="87"/>
      <x:c r="Y537" s="87"/>
      <x:c r="Z537" s="87"/>
      <x:c r="AA537" s="87"/>
      <x:c r="AB537" s="87"/>
      <x:c r="AC537" s="87"/>
      <x:c r="AD537" s="87"/>
      <x:c r="AE537" s="87"/>
      <x:c r="AF537" s="87"/>
      <x:c r="AG537" s="87"/>
      <x:c r="AH537" s="87"/>
      <x:c r="AI537" s="30"/>
      <x:c r="AJ537" s="87" t="str">
        <x:v>master</x:v>
      </x:c>
      <x:c r="AK537" s="87" t="str">
        <x:v>master-v0.81</x:v>
      </x:c>
      <x:c r="AL537" s="87" t="str">
        <x:v>statgrad_master_base_v0_81_final(2).xlsx</x:v>
      </x:c>
      <x:c r="AM537" s="87" t="str">
        <x:v>MATH_Feb_Profil_V4</x:v>
      </x:c>
      <x:c r="AN537" s="87" t="n">
        <x:v>6</x:v>
      </x:c>
    </x:row>
    <x:row r="538">
      <x:c r="A538" s="87" t="n">
        <x:v>537</x:v>
      </x:c>
      <x:c r="B538" s="87" t="str">
        <x:v>FEB-MATH-P-V4-006</x:v>
      </x:c>
      <x:c r="C538" s="87" t="str">
        <x:v>СтатГрад</x:v>
      </x:c>
      <x:c r="D538" s="87" t="str">
        <x:v>Февраль 2026</x:v>
      </x:c>
      <x:c r="E538" s="87"/>
      <x:c r="F538" s="87"/>
      <x:c r="G538" s="87" t="str">
        <x:v>Математика</x:v>
      </x:c>
      <x:c r="H538" s="87" t="n">
        <x:v>11</x:v>
      </x:c>
      <x:c r="I538" s="87" t="str">
        <x:v>ТР №3</x:v>
      </x:c>
      <x:c r="J538" s="87" t="str">
        <x:v>МА2510312</x:v>
      </x:c>
      <x:c r="K538" s="87" t="n">
        <x:v>6</x:v>
      </x:c>
      <x:c r="L538" s="87" t="str">
        <x:v>Логарифмическое уравнение</x:v>
      </x:c>
      <x:c r="M538" s="30" t="str">
        <x:v>Решите log₃(7−x)=3log₃5.</x:v>
      </x:c>
      <x:c r="N538" s="30" t="str">
        <x:v>−118</x:v>
      </x:c>
      <x:c r="O538" s="30" t="str">
        <x:v>3log₃5=log₃125, поэтому 7−x=125 и x=−118. Аргумент логарифма при найденном значении положителен.</x:v>
      </x:c>
      <x:c r="P538" s="30" t="str">
        <x:v>Корень подставлен в исходное уравнение.</x:v>
      </x:c>
      <x:c r="Q538" s="30"/>
      <x:c r="R538" s="30" t="str">
        <x:v>−118</x:v>
      </x:c>
      <x:c r="S538" s="30"/>
      <x:c r="T538" s="30"/>
      <x:c r="U538" s="30" t="str">
        <x:v>Расхождений нет.</x:v>
      </x:c>
      <x:c r="V538" s="87" t="str">
        <x:v>VERIFIED</x:v>
      </x:c>
      <x:c r="W538" s="87" t="n">
        <x:v>3</x:v>
      </x:c>
      <x:c r="X538" s="87"/>
      <x:c r="Y538" s="87"/>
      <x:c r="Z538" s="87"/>
      <x:c r="AA538" s="87"/>
      <x:c r="AB538" s="87"/>
      <x:c r="AC538" s="87"/>
      <x:c r="AD538" s="87"/>
      <x:c r="AE538" s="87"/>
      <x:c r="AF538" s="87"/>
      <x:c r="AG538" s="87"/>
      <x:c r="AH538" s="87"/>
      <x:c r="AI538" s="30"/>
      <x:c r="AJ538" s="87" t="str">
        <x:v>master</x:v>
      </x:c>
      <x:c r="AK538" s="87" t="str">
        <x:v>master-v0.81</x:v>
      </x:c>
      <x:c r="AL538" s="87" t="str">
        <x:v>statgrad_master_base_v0_81_final(2).xlsx</x:v>
      </x:c>
      <x:c r="AM538" s="87" t="str">
        <x:v>MATH_Feb_Profil_V4</x:v>
      </x:c>
      <x:c r="AN538" s="87" t="n">
        <x:v>7</x:v>
      </x:c>
    </x:row>
    <x:row r="539">
      <x:c r="A539" s="87" t="n">
        <x:v>538</x:v>
      </x:c>
      <x:c r="B539" s="87" t="str">
        <x:v>FEB-MATH-P-V4-007</x:v>
      </x:c>
      <x:c r="C539" s="87" t="str">
        <x:v>СтатГрад</x:v>
      </x:c>
      <x:c r="D539" s="87" t="str">
        <x:v>Февраль 2026</x:v>
      </x:c>
      <x:c r="E539" s="87"/>
      <x:c r="F539" s="87"/>
      <x:c r="G539" s="87" t="str">
        <x:v>Математика</x:v>
      </x:c>
      <x:c r="H539" s="87" t="n">
        <x:v>11</x:v>
      </x:c>
      <x:c r="I539" s="87" t="str">
        <x:v>ТР №3</x:v>
      </x:c>
      <x:c r="J539" s="87" t="str">
        <x:v>МА2510312</x:v>
      </x:c>
      <x:c r="K539" s="87" t="n">
        <x:v>7</x:v>
      </x:c>
      <x:c r="L539" s="87" t="str">
        <x:v>Степени</x:v>
      </x:c>
      <x:c r="M539" s="30" t="str">
        <x:v>Найдите ((11^(3/5)·5^(2/3))^15)/55^9.</x:v>
      </x:c>
      <x:c r="N539" s="30" t="str">
        <x:v>5</x:v>
      </x:c>
      <x:c r="O539" s="30" t="str">
        <x:v>Числитель равен 11^9·5^10, знаменатель — 55^9=11^9·5^9. После сокращения остаётся 5.</x:v>
      </x:c>
      <x:c r="P539" s="30" t="str">
        <x:v>Показатели степеней проверены: 15·3/5=9 и 15·2/3=10.</x:v>
      </x:c>
      <x:c r="Q539" s="30"/>
      <x:c r="R539" s="30" t="str">
        <x:v>5</x:v>
      </x:c>
      <x:c r="S539" s="30"/>
      <x:c r="T539" s="30"/>
      <x:c r="U539" s="30" t="str">
        <x:v>Расхождений нет.</x:v>
      </x:c>
      <x:c r="V539" s="87" t="str">
        <x:v>VERIFIED</x:v>
      </x:c>
      <x:c r="W539" s="87" t="n">
        <x:v>3</x:v>
      </x:c>
      <x:c r="X539" s="87"/>
      <x:c r="Y539" s="87"/>
      <x:c r="Z539" s="87"/>
      <x:c r="AA539" s="87"/>
      <x:c r="AB539" s="87"/>
      <x:c r="AC539" s="87"/>
      <x:c r="AD539" s="87"/>
      <x:c r="AE539" s="87"/>
      <x:c r="AF539" s="87"/>
      <x:c r="AG539" s="87"/>
      <x:c r="AH539" s="87"/>
      <x:c r="AI539" s="30"/>
      <x:c r="AJ539" s="87" t="str">
        <x:v>master</x:v>
      </x:c>
      <x:c r="AK539" s="87" t="str">
        <x:v>master-v0.81</x:v>
      </x:c>
      <x:c r="AL539" s="87" t="str">
        <x:v>statgrad_master_base_v0_81_final(2).xlsx</x:v>
      </x:c>
      <x:c r="AM539" s="87" t="str">
        <x:v>MATH_Feb_Profil_V4</x:v>
      </x:c>
      <x:c r="AN539" s="87" t="n">
        <x:v>8</x:v>
      </x:c>
    </x:row>
    <x:row r="540">
      <x:c r="A540" s="87" t="n">
        <x:v>539</x:v>
      </x:c>
      <x:c r="B540" s="87" t="str">
        <x:v>FEB-MATH-P-V4-008</x:v>
      </x:c>
      <x:c r="C540" s="87" t="str">
        <x:v>СтатГрад</x:v>
      </x:c>
      <x:c r="D540" s="87" t="str">
        <x:v>Февраль 2026</x:v>
      </x:c>
      <x:c r="E540" s="87"/>
      <x:c r="F540" s="87"/>
      <x:c r="G540" s="87" t="str">
        <x:v>Математика</x:v>
      </x:c>
      <x:c r="H540" s="87" t="n">
        <x:v>11</x:v>
      </x:c>
      <x:c r="I540" s="87" t="str">
        <x:v>ТР №3</x:v>
      </x:c>
      <x:c r="J540" s="87" t="str">
        <x:v>МА2510312</x:v>
      </x:c>
      <x:c r="K540" s="87" t="n">
        <x:v>8</x:v>
      </x:c>
      <x:c r="L540" s="87" t="str">
        <x:v>Производная по графику</x:v>
      </x:c>
      <x:c r="M540" s="30" t="str">
        <x:v>Дан график y=f′(x). Найдите абсциссу точки, где касательная к y=f(x) параллельна оси Ox.</x:v>
      </x:c>
      <x:c r="N540" s="30" t="str">
        <x:v>4</x:v>
      </x:c>
      <x:c r="O540" s="30" t="str">
        <x:v>Касательная параллельна оси Ox при f′(x)=0. График производной пересекает ось абсцисс в точке x=4; последующий локальный максимум остаётся ниже оси.</x:v>
      </x:c>
      <x:c r="P540" s="30" t="str">
        <x:v>Значение считано по единичной координатной сетке.</x:v>
      </x:c>
      <x:c r="Q540" s="30"/>
      <x:c r="R540" s="30" t="str">
        <x:v>4</x:v>
      </x:c>
      <x:c r="S540" s="30"/>
      <x:c r="T540" s="30"/>
      <x:c r="U540" s="30" t="str">
        <x:v>Расхождений нет.</x:v>
      </x:c>
      <x:c r="V540" s="87" t="str">
        <x:v>VERIFIED</x:v>
      </x:c>
      <x:c r="W540" s="87" t="n">
        <x:v>3</x:v>
      </x:c>
      <x:c r="X540" s="87"/>
      <x:c r="Y540" s="87"/>
      <x:c r="Z540" s="87"/>
      <x:c r="AA540" s="87"/>
      <x:c r="AB540" s="87"/>
      <x:c r="AC540" s="87"/>
      <x:c r="AD540" s="87"/>
      <x:c r="AE540" s="87"/>
      <x:c r="AF540" s="87"/>
      <x:c r="AG540" s="87"/>
      <x:c r="AH540" s="87"/>
      <x:c r="AI540" s="30"/>
      <x:c r="AJ540" s="87" t="str">
        <x:v>master</x:v>
      </x:c>
      <x:c r="AK540" s="87" t="str">
        <x:v>master-v0.81</x:v>
      </x:c>
      <x:c r="AL540" s="87" t="str">
        <x:v>statgrad_master_base_v0_81_final(2).xlsx</x:v>
      </x:c>
      <x:c r="AM540" s="87" t="str">
        <x:v>MATH_Feb_Profil_V4</x:v>
      </x:c>
      <x:c r="AN540" s="87" t="n">
        <x:v>9</x:v>
      </x:c>
    </x:row>
    <x:row r="541">
      <x:c r="A541" s="87" t="n">
        <x:v>540</x:v>
      </x:c>
      <x:c r="B541" s="87" t="str">
        <x:v>FEB-MATH-P-V4-009</x:v>
      </x:c>
      <x:c r="C541" s="87" t="str">
        <x:v>СтатГрад</x:v>
      </x:c>
      <x:c r="D541" s="87" t="str">
        <x:v>Февраль 2026</x:v>
      </x:c>
      <x:c r="E541" s="87"/>
      <x:c r="F541" s="87"/>
      <x:c r="G541" s="87" t="str">
        <x:v>Математика</x:v>
      </x:c>
      <x:c r="H541" s="87" t="n">
        <x:v>11</x:v>
      </x:c>
      <x:c r="I541" s="87" t="str">
        <x:v>ТР №3</x:v>
      </x:c>
      <x:c r="J541" s="87" t="str">
        <x:v>МА2510312</x:v>
      </x:c>
      <x:c r="K541" s="87" t="n">
        <x:v>9</x:v>
      </x:c>
      <x:c r="L541" s="87" t="str">
        <x:v>Прикладное неравенство</x:v>
      </x:c>
      <x:c r="M541" s="30" t="str">
        <x:v>Частота Доплера f=120(c+17)/(c−12). Найдите максимальную скорость c, при которой f≥130 Гц.</x:v>
      </x:c>
      <x:c r="N541" s="30" t="str">
        <x:v>360</x:v>
      </x:c>
      <x:c r="O541" s="30" t="str">
        <x:v>При физически допустимом c&gt;12 решаем 120(c+17)≥130(c−12). Получаем 120c+2040≥130c−1560, то есть c≤360. Максимум равен 360 м/с.</x:v>
      </x:c>
      <x:c r="P541" s="30" t="str">
        <x:v>Граница c=360 даёт ровно 130 Гц.</x:v>
      </x:c>
      <x:c r="Q541" s="30"/>
      <x:c r="R541" s="30" t="str">
        <x:v>360</x:v>
      </x:c>
      <x:c r="S541" s="30"/>
      <x:c r="T541" s="30"/>
      <x:c r="U541" s="30" t="str">
        <x:v>Расхождений нет.</x:v>
      </x:c>
      <x:c r="V541" s="87" t="str">
        <x:v>VERIFIED</x:v>
      </x:c>
      <x:c r="W541" s="87" t="n">
        <x:v>4</x:v>
      </x:c>
      <x:c r="X541" s="87"/>
      <x:c r="Y541" s="87"/>
      <x:c r="Z541" s="87"/>
      <x:c r="AA541" s="87"/>
      <x:c r="AB541" s="87"/>
      <x:c r="AC541" s="87"/>
      <x:c r="AD541" s="87"/>
      <x:c r="AE541" s="87"/>
      <x:c r="AF541" s="87"/>
      <x:c r="AG541" s="87"/>
      <x:c r="AH541" s="87"/>
      <x:c r="AI541" s="30"/>
      <x:c r="AJ541" s="87" t="str">
        <x:v>master</x:v>
      </x:c>
      <x:c r="AK541" s="87" t="str">
        <x:v>master-v0.81</x:v>
      </x:c>
      <x:c r="AL541" s="87" t="str">
        <x:v>statgrad_master_base_v0_81_final(2).xlsx</x:v>
      </x:c>
      <x:c r="AM541" s="87" t="str">
        <x:v>MATH_Feb_Profil_V4</x:v>
      </x:c>
      <x:c r="AN541" s="87" t="n">
        <x:v>10</x:v>
      </x:c>
    </x:row>
    <x:row r="542">
      <x:c r="A542" s="87" t="n">
        <x:v>541</x:v>
      </x:c>
      <x:c r="B542" s="87" t="str">
        <x:v>FEB-MATH-P-V4-010</x:v>
      </x:c>
      <x:c r="C542" s="87" t="str">
        <x:v>СтатГрад</x:v>
      </x:c>
      <x:c r="D542" s="87" t="str">
        <x:v>Февраль 2026</x:v>
      </x:c>
      <x:c r="E542" s="87"/>
      <x:c r="F542" s="87"/>
      <x:c r="G542" s="87" t="str">
        <x:v>Математика</x:v>
      </x:c>
      <x:c r="H542" s="87" t="n">
        <x:v>11</x:v>
      </x:c>
      <x:c r="I542" s="87" t="str">
        <x:v>ТР №3</x:v>
      </x:c>
      <x:c r="J542" s="87" t="str">
        <x:v>МА2510312</x:v>
      </x:c>
      <x:c r="K542" s="87" t="n">
        <x:v>10</x:v>
      </x:c>
      <x:c r="L542" s="87" t="str">
        <x:v>Смеси и сплавы</x:v>
      </x:c>
      <x:c r="M542" s="30" t="str">
        <x:v>Первый сплав содержит 5% меди, второй — 14%; второй тяжелее первого на 9 кг. После смешивания получен сплав с 10% меди. Найдите массу смеси.</x:v>
      </x:c>
      <x:c r="N542" s="30" t="str">
        <x:v>81 кг</x:v>
      </x:c>
      <x:c r="O542" s="30" t="str">
        <x:v>Пусть масса первого сплава x кг, второго — x+9. Баланс меди: 0,05x+0,14(x+9)=0,10(2x+9). Отсюда x=36, а общая масса равна 36+45=81 кг.</x:v>
      </x:c>
      <x:c r="P542" s="30" t="str">
        <x:v>Уравнение проверено балансом общей массы и массы меди.</x:v>
      </x:c>
      <x:c r="Q542" s="30"/>
      <x:c r="R542" s="30" t="str">
        <x:v>81</x:v>
      </x:c>
      <x:c r="S542" s="30"/>
      <x:c r="T542" s="30"/>
      <x:c r="U542" s="30" t="str">
        <x:v>Расхождений нет.</x:v>
      </x:c>
      <x:c r="V542" s="87" t="str">
        <x:v>VERIFIED</x:v>
      </x:c>
      <x:c r="W542" s="87" t="n">
        <x:v>4</x:v>
      </x:c>
      <x:c r="X542" s="87"/>
      <x:c r="Y542" s="87"/>
      <x:c r="Z542" s="87"/>
      <x:c r="AA542" s="87"/>
      <x:c r="AB542" s="87"/>
      <x:c r="AC542" s="87"/>
      <x:c r="AD542" s="87"/>
      <x:c r="AE542" s="87"/>
      <x:c r="AF542" s="87"/>
      <x:c r="AG542" s="87"/>
      <x:c r="AH542" s="87"/>
      <x:c r="AI542" s="30"/>
      <x:c r="AJ542" s="87" t="str">
        <x:v>master</x:v>
      </x:c>
      <x:c r="AK542" s="87" t="str">
        <x:v>master-v0.81</x:v>
      </x:c>
      <x:c r="AL542" s="87" t="str">
        <x:v>statgrad_master_base_v0_81_final(2).xlsx</x:v>
      </x:c>
      <x:c r="AM542" s="87" t="str">
        <x:v>MATH_Feb_Profil_V4</x:v>
      </x:c>
      <x:c r="AN542" s="87" t="n">
        <x:v>11</x:v>
      </x:c>
    </x:row>
    <x:row r="543">
      <x:c r="A543" s="87" t="n">
        <x:v>542</x:v>
      </x:c>
      <x:c r="B543" s="87" t="str">
        <x:v>FEB-MATH-P-V4-011</x:v>
      </x:c>
      <x:c r="C543" s="87" t="str">
        <x:v>СтатГрад</x:v>
      </x:c>
      <x:c r="D543" s="87" t="str">
        <x:v>Февраль 2026</x:v>
      </x:c>
      <x:c r="E543" s="87"/>
      <x:c r="F543" s="87"/>
      <x:c r="G543" s="87" t="str">
        <x:v>Математика</x:v>
      </x:c>
      <x:c r="H543" s="87" t="n">
        <x:v>11</x:v>
      </x:c>
      <x:c r="I543" s="87" t="str">
        <x:v>ТР №3</x:v>
      </x:c>
      <x:c r="J543" s="87" t="str">
        <x:v>МА2510312</x:v>
      </x:c>
      <x:c r="K543" s="87" t="n">
        <x:v>11</x:v>
      </x:c>
      <x:c r="L543" s="87" t="str">
        <x:v>Графики функций</x:v>
      </x:c>
      <x:c r="M543" s="30" t="str">
        <x:v>Графики f(x)=−4x+9 и g(x)=ax²+bx+c пересекаются в точках A и B. Найдите абсциссу точки B.</x:v>
      </x:c>
      <x:c r="N543" s="30" t="str">
        <x:v>−8</x:v>
      </x:c>
      <x:c r="O543" s="30" t="str">
        <x:v>По графику g(−3)=1, g(−1)=−1 и g(1)=5, поэтому g(x)=x²+3x+1. Уравнение пересечений x²+3x+1=−4x+9 даёт x²+7x−8=0, откуда x=1 и x=−8. Точке A соответствует x=1, следовательно, x_B=−8.</x:v>
      </x:c>
      <x:c r="P543" s="30" t="str">
        <x:v>Квадратичная функция восстановлена по трём отмеченным точкам; оба корня проверены подстановкой.</x:v>
      </x:c>
      <x:c r="Q543" s="30"/>
      <x:c r="R543" s="30" t="str">
        <x:v>−8</x:v>
      </x:c>
      <x:c r="S543" s="30"/>
      <x:c r="T543" s="30"/>
      <x:c r="U543" s="30" t="str">
        <x:v>Расхождений нет.</x:v>
      </x:c>
      <x:c r="V543" s="87" t="str">
        <x:v>VERIFIED</x:v>
      </x:c>
      <x:c r="W543" s="87" t="n">
        <x:v>4</x:v>
      </x:c>
      <x:c r="X543" s="87"/>
      <x:c r="Y543" s="87"/>
      <x:c r="Z543" s="87"/>
      <x:c r="AA543" s="87"/>
      <x:c r="AB543" s="87"/>
      <x:c r="AC543" s="87"/>
      <x:c r="AD543" s="87"/>
      <x:c r="AE543" s="87"/>
      <x:c r="AF543" s="87"/>
      <x:c r="AG543" s="87"/>
      <x:c r="AH543" s="87"/>
      <x:c r="AI543" s="30"/>
      <x:c r="AJ543" s="87" t="str">
        <x:v>master</x:v>
      </x:c>
      <x:c r="AK543" s="87" t="str">
        <x:v>master-v0.81</x:v>
      </x:c>
      <x:c r="AL543" s="87" t="str">
        <x:v>statgrad_master_base_v0_81_final(2).xlsx</x:v>
      </x:c>
      <x:c r="AM543" s="87" t="str">
        <x:v>MATH_Feb_Profil_V4</x:v>
      </x:c>
      <x:c r="AN543" s="87" t="n">
        <x:v>12</x:v>
      </x:c>
    </x:row>
    <x:row r="544">
      <x:c r="A544" s="87" t="n">
        <x:v>543</x:v>
      </x:c>
      <x:c r="B544" s="87" t="str">
        <x:v>FEB-MATH-P-V4-012</x:v>
      </x:c>
      <x:c r="C544" s="87" t="str">
        <x:v>СтатГрад</x:v>
      </x:c>
      <x:c r="D544" s="87" t="str">
        <x:v>Февраль 2026</x:v>
      </x:c>
      <x:c r="E544" s="87"/>
      <x:c r="F544" s="87"/>
      <x:c r="G544" s="87" t="str">
        <x:v>Математика</x:v>
      </x:c>
      <x:c r="H544" s="87" t="n">
        <x:v>11</x:v>
      </x:c>
      <x:c r="I544" s="87" t="str">
        <x:v>ТР №3</x:v>
      </x:c>
      <x:c r="J544" s="87" t="str">
        <x:v>МА2510312</x:v>
      </x:c>
      <x:c r="K544" s="87" t="n">
        <x:v>12</x:v>
      </x:c>
      <x:c r="L544" s="87" t="str">
        <x:v>Исследование функции</x:v>
      </x:c>
      <x:c r="M544" s="30" t="str">
        <x:v>Найдите точку максимума y=−(2/3)x√x+5x+14.</x:v>
      </x:c>
      <x:c r="N544" s="30" t="str">
        <x:v>25</x:v>
      </x:c>
      <x:c r="O544" s="30" t="str">
        <x:v>Область определения x≥0. Производная y′=−√x+5 обращается в ноль при x=25. До 25 она положительна, после — отрицательна, поэтому x=25 — точка максимума.</x:v>
      </x:c>
      <x:c r="P544" s="30" t="str">
        <x:v>Знак производной проверен по обе стороны от критической точки.</x:v>
      </x:c>
      <x:c r="Q544" s="30"/>
      <x:c r="R544" s="30" t="str">
        <x:v>25</x:v>
      </x:c>
      <x:c r="S544" s="30"/>
      <x:c r="T544" s="30"/>
      <x:c r="U544" s="30" t="str">
        <x:v>Расхождений нет.</x:v>
      </x:c>
      <x:c r="V544" s="87" t="str">
        <x:v>VERIFIED</x:v>
      </x:c>
      <x:c r="W544" s="87" t="n">
        <x:v>4</x:v>
      </x:c>
      <x:c r="X544" s="87"/>
      <x:c r="Y544" s="87"/>
      <x:c r="Z544" s="87"/>
      <x:c r="AA544" s="87"/>
      <x:c r="AB544" s="87"/>
      <x:c r="AC544" s="87"/>
      <x:c r="AD544" s="87"/>
      <x:c r="AE544" s="87"/>
      <x:c r="AF544" s="87"/>
      <x:c r="AG544" s="87"/>
      <x:c r="AH544" s="87"/>
      <x:c r="AI544" s="30"/>
      <x:c r="AJ544" s="87" t="str">
        <x:v>master</x:v>
      </x:c>
      <x:c r="AK544" s="87" t="str">
        <x:v>master-v0.81</x:v>
      </x:c>
      <x:c r="AL544" s="87" t="str">
        <x:v>statgrad_master_base_v0_81_final(2).xlsx</x:v>
      </x:c>
      <x:c r="AM544" s="87" t="str">
        <x:v>MATH_Feb_Profil_V4</x:v>
      </x:c>
      <x:c r="AN544" s="87" t="n">
        <x:v>13</x:v>
      </x:c>
    </x:row>
    <x:row r="545">
      <x:c r="A545" s="87" t="n">
        <x:v>544</x:v>
      </x:c>
      <x:c r="B545" s="87" t="str">
        <x:v>FEB-MATH-P-V4-013</x:v>
      </x:c>
      <x:c r="C545" s="87" t="str">
        <x:v>СтатГрад</x:v>
      </x:c>
      <x:c r="D545" s="87" t="str">
        <x:v>Февраль 2026</x:v>
      </x:c>
      <x:c r="E545" s="87"/>
      <x:c r="F545" s="87"/>
      <x:c r="G545" s="87" t="str">
        <x:v>Математика</x:v>
      </x:c>
      <x:c r="H545" s="87" t="n">
        <x:v>11</x:v>
      </x:c>
      <x:c r="I545" s="87" t="str">
        <x:v>ТР №3</x:v>
      </x:c>
      <x:c r="J545" s="87" t="str">
        <x:v>МА2510312</x:v>
      </x:c>
      <x:c r="K545" s="87" t="n">
        <x:v>13</x:v>
      </x:c>
      <x:c r="L545" s="87" t="str">
        <x:v>Развёрнутый ответ: тригонометрическое уравнение</x:v>
      </x:c>
      <x:c r="M545" s="30" t="str">
        <x:v>Решите cos(π/2−2x)+√12·sin²x=0; найдите корни на [9π/4;15π/4].</x:v>
      </x:c>
      <x:c r="N545" s="30" t="str">
        <x:v>а) x=πn, n∈Z, или x=−π/6+πm, m∈Z; б) 17π/6 и 3π</x:v>
      </x:c>
      <x:c r="O545" s="30" t="str">
        <x:v>cos(π/2−2x)=sin2x, поэтому уравнение сводится к 2sinx(cosx+√3sinx)=0. Получаем sinx=0 либо tgx=−1/√3. На указанном отрезке лежат 17π/6 и 3π.</x:v>
      </x:c>
      <x:c r="P545" s="30" t="str">
        <x:v>Обе серии корней и отбор по отрезку проверены подстановкой и числовой окружностью.</x:v>
      </x:c>
      <x:c r="Q545" s="30"/>
      <x:c r="R545" s="30" t="str">
        <x:v>Критерии, стр. 1</x:v>
      </x:c>
      <x:c r="S545" s="30"/>
      <x:c r="T545" s="30"/>
      <x:c r="U545" s="30" t="str">
        <x:v>Критерий перенесён отдельно без изменения.</x:v>
      </x:c>
      <x:c r="V545" s="87" t="str">
        <x:v>VERIFIED</x:v>
      </x:c>
      <x:c r="W545" s="87" t="n">
        <x:v>5</x:v>
      </x:c>
      <x:c r="X545" s="87"/>
      <x:c r="Y545" s="87"/>
      <x:c r="Z545" s="87"/>
      <x:c r="AA545" s="87"/>
      <x:c r="AB545" s="87"/>
      <x:c r="AC545" s="87"/>
      <x:c r="AD545" s="87"/>
      <x:c r="AE545" s="87"/>
      <x:c r="AF545" s="87"/>
      <x:c r="AG545" s="87"/>
      <x:c r="AH545" s="87"/>
      <x:c r="AI545" s="30"/>
      <x:c r="AJ545" s="87" t="str">
        <x:v>master</x:v>
      </x:c>
      <x:c r="AK545" s="87" t="str">
        <x:v>master-v0.81</x:v>
      </x:c>
      <x:c r="AL545" s="87" t="str">
        <x:v>statgrad_master_base_v0_81_final(2).xlsx</x:v>
      </x:c>
      <x:c r="AM545" s="87" t="str">
        <x:v>MATH_Feb_Profil_V4</x:v>
      </x:c>
      <x:c r="AN545" s="87" t="n">
        <x:v>14</x:v>
      </x:c>
    </x:row>
    <x:row r="546">
      <x:c r="A546" s="87" t="n">
        <x:v>545</x:v>
      </x:c>
      <x:c r="B546" s="87" t="str">
        <x:v>FEB-MATH-P-V4-014</x:v>
      </x:c>
      <x:c r="C546" s="87" t="str">
        <x:v>СтатГрад</x:v>
      </x:c>
      <x:c r="D546" s="87" t="str">
        <x:v>Февраль 2026</x:v>
      </x:c>
      <x:c r="E546" s="87"/>
      <x:c r="F546" s="87"/>
      <x:c r="G546" s="87" t="str">
        <x:v>Математика</x:v>
      </x:c>
      <x:c r="H546" s="87" t="n">
        <x:v>11</x:v>
      </x:c>
      <x:c r="I546" s="87" t="str">
        <x:v>ТР №3</x:v>
      </x:c>
      <x:c r="J546" s="87" t="str">
        <x:v>МА2510312</x:v>
      </x:c>
      <x:c r="K546" s="87" t="n">
        <x:v>14</x:v>
      </x:c>
      <x:c r="L546" s="87" t="str">
        <x:v>Развёрнутый ответ: стереометрия</x:v>
      </x:c>
      <x:c r="M546" s="30" t="str">
        <x:v>В правильной треугольной пирамиде SABC: AB=8√6, SA=14; AK:KB=SM:MC=2:5. Плоскость α содержит KM и параллельна BC. Докажите α∥SA и найдите угол между α и SBC.</x:v>
      </x:c>
      <x:c r="N546" s="30" t="str">
        <x:v>а) α∥SA; б) arccos(1/35)</x:v>
      </x:c>
      <x:c r="O546" s="30" t="str">
        <x:v>Пусть α пересекает SB в L. Из LM∥BC следует SL:LB=SM:MC=2:5; вместе с AK:KB=2:5 получаем KL∥SA, значит α∥SA. Если H — середина BC, то AH=4√18, SH=10 и AS=14. Искомый угол равен ∠ASH; cos∠ASH=(14²+10²−(4√18)²)/(2·14·10)=1/35.</x:v>
      </x:c>
      <x:c r="P546" s="30" t="str">
        <x:v>Доказательство параллельности и вычисление угла сверены по полной конструкции критерия.</x:v>
      </x:c>
      <x:c r="Q546" s="30"/>
      <x:c r="R546" s="30" t="str">
        <x:v>Критерии, стр. 2–3</x:v>
      </x:c>
      <x:c r="S546" s="30"/>
      <x:c r="T546" s="30"/>
      <x:c r="U546" s="30" t="str">
        <x:v>Критерий перенесён отдельно без изменения.</x:v>
      </x:c>
      <x:c r="V546" s="87" t="str">
        <x:v>VERIFIED</x:v>
      </x:c>
      <x:c r="W546" s="87" t="n">
        <x:v>5</x:v>
      </x:c>
      <x:c r="X546" s="87"/>
      <x:c r="Y546" s="87"/>
      <x:c r="Z546" s="87"/>
      <x:c r="AA546" s="87"/>
      <x:c r="AB546" s="87"/>
      <x:c r="AC546" s="87"/>
      <x:c r="AD546" s="87"/>
      <x:c r="AE546" s="87"/>
      <x:c r="AF546" s="87"/>
      <x:c r="AG546" s="87"/>
      <x:c r="AH546" s="87"/>
      <x:c r="AI546" s="30"/>
      <x:c r="AJ546" s="87" t="str">
        <x:v>master</x:v>
      </x:c>
      <x:c r="AK546" s="87" t="str">
        <x:v>master-v0.81</x:v>
      </x:c>
      <x:c r="AL546" s="87" t="str">
        <x:v>statgrad_master_base_v0_81_final(2).xlsx</x:v>
      </x:c>
      <x:c r="AM546" s="87" t="str">
        <x:v>MATH_Feb_Profil_V4</x:v>
      </x:c>
      <x:c r="AN546" s="87" t="n">
        <x:v>15</x:v>
      </x:c>
    </x:row>
    <x:row r="547">
      <x:c r="A547" s="87" t="n">
        <x:v>546</x:v>
      </x:c>
      <x:c r="B547" s="87" t="str">
        <x:v>FEB-MATH-P-V4-015</x:v>
      </x:c>
      <x:c r="C547" s="87" t="str">
        <x:v>СтатГрад</x:v>
      </x:c>
      <x:c r="D547" s="87" t="str">
        <x:v>Февраль 2026</x:v>
      </x:c>
      <x:c r="E547" s="87"/>
      <x:c r="F547" s="87"/>
      <x:c r="G547" s="87" t="str">
        <x:v>Математика</x:v>
      </x:c>
      <x:c r="H547" s="87" t="n">
        <x:v>11</x:v>
      </x:c>
      <x:c r="I547" s="87" t="str">
        <x:v>ТР №3</x:v>
      </x:c>
      <x:c r="J547" s="87" t="str">
        <x:v>МА2510312</x:v>
      </x:c>
      <x:c r="K547" s="87" t="n">
        <x:v>15</x:v>
      </x:c>
      <x:c r="L547" s="87" t="str">
        <x:v>Развёрнутый ответ: логарифмическое неравенство</x:v>
      </x:c>
      <x:c r="M547" s="30" t="str">
        <x:v>Решите log₃(9x)/(1−log₃²(3x)) − 1/log₃(x/9) ≥0.</x:v>
      </x:c>
      <x:c r="N547" s="30" t="str">
        <x:v>(0;1/9) ∪ (1/9;1) ∪ [3;9)</x:v>
      </x:c>
      <x:c r="O547" s="30" t="str">
        <x:v>Положим t=log₃x. ОДЗ: t≠−2, 0, 2. Выражение преобразуется к 2(1−t)/[t(t−2)]≥0. Метод интервалов даёт t&lt;0, t≠−2, либо 1≤t&lt;2. Возвращаясь к x, получаем указанные интервалы.</x:v>
      </x:c>
      <x:c r="P547" s="30" t="str">
        <x:v>Преобразование, ОДЗ, включённая точка x=3 и исключённые точки x=1/9,1,9 проверены отдельно.</x:v>
      </x:c>
      <x:c r="Q547" s="30"/>
      <x:c r="R547" s="30" t="str">
        <x:v>Критерии, стр. 3–4</x:v>
      </x:c>
      <x:c r="S547" s="30"/>
      <x:c r="T547" s="30"/>
      <x:c r="U547" s="30" t="str">
        <x:v>Критерий перенесён отдельно без изменения.</x:v>
      </x:c>
      <x:c r="V547" s="87" t="str">
        <x:v>VERIFIED</x:v>
      </x:c>
      <x:c r="W547" s="87" t="n">
        <x:v>5</x:v>
      </x:c>
      <x:c r="X547" s="87"/>
      <x:c r="Y547" s="87"/>
      <x:c r="Z547" s="87"/>
      <x:c r="AA547" s="87"/>
      <x:c r="AB547" s="87"/>
      <x:c r="AC547" s="87"/>
      <x:c r="AD547" s="87"/>
      <x:c r="AE547" s="87"/>
      <x:c r="AF547" s="87"/>
      <x:c r="AG547" s="87"/>
      <x:c r="AH547" s="87"/>
      <x:c r="AI547" s="30"/>
      <x:c r="AJ547" s="87" t="str">
        <x:v>master</x:v>
      </x:c>
      <x:c r="AK547" s="87" t="str">
        <x:v>master-v0.81</x:v>
      </x:c>
      <x:c r="AL547" s="87" t="str">
        <x:v>statgrad_master_base_v0_81_final(2).xlsx</x:v>
      </x:c>
      <x:c r="AM547" s="87" t="str">
        <x:v>MATH_Feb_Profil_V4</x:v>
      </x:c>
      <x:c r="AN547" s="87" t="n">
        <x:v>16</x:v>
      </x:c>
    </x:row>
    <x:row r="548">
      <x:c r="A548" s="87" t="n">
        <x:v>547</x:v>
      </x:c>
      <x:c r="B548" s="87" t="str">
        <x:v>FEB-MATH-P-V4-016</x:v>
      </x:c>
      <x:c r="C548" s="87" t="str">
        <x:v>СтатГрад</x:v>
      </x:c>
      <x:c r="D548" s="87" t="str">
        <x:v>Февраль 2026</x:v>
      </x:c>
      <x:c r="E548" s="87"/>
      <x:c r="F548" s="87"/>
      <x:c r="G548" s="87" t="str">
        <x:v>Математика</x:v>
      </x:c>
      <x:c r="H548" s="87" t="n">
        <x:v>11</x:v>
      </x:c>
      <x:c r="I548" s="87" t="str">
        <x:v>ТР №3</x:v>
      </x:c>
      <x:c r="J548" s="87" t="str">
        <x:v>МА2510312</x:v>
      </x:c>
      <x:c r="K548" s="87" t="n">
        <x:v>16</x:v>
      </x:c>
      <x:c r="L548" s="87" t="str">
        <x:v>Развёрнутый ответ: кредит</x:v>
      </x:c>
      <x:c r="M548" s="30" t="str">
        <x:v>Кредит 800 тыс. руб. на шесть лет; долг изменяется по указанной схеме. Сумма платежей 1190 тыс. руб. Найдите r.</x:v>
      </x:c>
      <x:c r="N548" s="30" t="str">
        <x:v>15%</x:v>
      </x:c>
      <x:c r="O548" s="30" t="str">
        <x:v>Июльские долги равны 800, 650, 500, 350, 200, 100 и 0 тыс. руб. Пусть k=1+r/100. Сумма платежей равна (800k−650)+(650k−500)+(500k−350)+(350k−200)+(200k−100)+100k=2600k−1800. Из 2600k−1800=1190 получаем k=1,15 и r=15.</x:v>
      </x:c>
      <x:c r="P548" s="30" t="str">
        <x:v>Последовательность долгов, платежи и итоговая сумма воспроизведены независимо.</x:v>
      </x:c>
      <x:c r="Q548" s="30"/>
      <x:c r="R548" s="30" t="str">
        <x:v>Критерии, стр. 4–5</x:v>
      </x:c>
      <x:c r="S548" s="30"/>
      <x:c r="T548" s="30"/>
      <x:c r="U548" s="30" t="str">
        <x:v>Критерий перенесён отдельно без изменения.</x:v>
      </x:c>
      <x:c r="V548" s="87" t="str">
        <x:v>VERIFIED</x:v>
      </x:c>
      <x:c r="W548" s="87" t="n">
        <x:v>5</x:v>
      </x:c>
      <x:c r="X548" s="87"/>
      <x:c r="Y548" s="87"/>
      <x:c r="Z548" s="87"/>
      <x:c r="AA548" s="87"/>
      <x:c r="AB548" s="87"/>
      <x:c r="AC548" s="87"/>
      <x:c r="AD548" s="87"/>
      <x:c r="AE548" s="87"/>
      <x:c r="AF548" s="87"/>
      <x:c r="AG548" s="87"/>
      <x:c r="AH548" s="87"/>
      <x:c r="AI548" s="30"/>
      <x:c r="AJ548" s="87" t="str">
        <x:v>master</x:v>
      </x:c>
      <x:c r="AK548" s="87" t="str">
        <x:v>master-v0.81</x:v>
      </x:c>
      <x:c r="AL548" s="87" t="str">
        <x:v>statgrad_master_base_v0_81_final(2).xlsx</x:v>
      </x:c>
      <x:c r="AM548" s="87" t="str">
        <x:v>MATH_Feb_Profil_V4</x:v>
      </x:c>
      <x:c r="AN548" s="87" t="n">
        <x:v>17</x:v>
      </x:c>
    </x:row>
    <x:row r="549">
      <x:c r="A549" s="87" t="n">
        <x:v>548</x:v>
      </x:c>
      <x:c r="B549" s="87" t="str">
        <x:v>FEB-MATH-P-V4-017</x:v>
      </x:c>
      <x:c r="C549" s="87" t="str">
        <x:v>СтатГрад</x:v>
      </x:c>
      <x:c r="D549" s="87" t="str">
        <x:v>Февраль 2026</x:v>
      </x:c>
      <x:c r="E549" s="87"/>
      <x:c r="F549" s="87"/>
      <x:c r="G549" s="87" t="str">
        <x:v>Математика</x:v>
      </x:c>
      <x:c r="H549" s="87" t="n">
        <x:v>11</x:v>
      </x:c>
      <x:c r="I549" s="87" t="str">
        <x:v>ТР №3</x:v>
      </x:c>
      <x:c r="J549" s="87" t="str">
        <x:v>МА2510312</x:v>
      </x:c>
      <x:c r="K549" s="87" t="n">
        <x:v>17</x:v>
      </x:c>
      <x:c r="L549" s="87" t="str">
        <x:v>Развёрнутый ответ: планиметрия</x:v>
      </x:c>
      <x:c r="M549" s="30" t="str">
        <x:v>В квадрат ABCD вписана окружность, касающаяся AB в K и AD в E. CK и CE пересекают окружность в M и P. Докажите EK∥MP и найдите ME при стороне квадрата 20.</x:v>
      </x:c>
      <x:c r="N549" s="30" t="str">
        <x:v>а) EK∥MP; б) ME=6√10</x:v>
      </x:c>
      <x:c r="O549" s="30" t="str">
        <x:v>По свойству секущих CM·CK=CP·CE; поскольку CK=CE, имеем CM/CK=CP/CE. Треугольники CMP и CKE подобны, поэтому MP∥EK. При стороне 20: BK=10, BC=20, sin∠KCB=√5/5, cos∠KCB=2√5/5. Тогда ME=20sin(∠KCB+45°)=6√10.</x:v>
      </x:c>
      <x:c r="P549" s="30" t="str">
        <x:v>Доказательство и вычисление длины сверены по свойствам секущих, подобию и теореме синусов.</x:v>
      </x:c>
      <x:c r="Q549" s="30"/>
      <x:c r="R549" s="30" t="str">
        <x:v>Критерии, стр. 5–6</x:v>
      </x:c>
      <x:c r="S549" s="30"/>
      <x:c r="T549" s="30"/>
      <x:c r="U549" s="30" t="str">
        <x:v>Критерий перенесён отдельно без изменения.</x:v>
      </x:c>
      <x:c r="V549" s="87" t="str">
        <x:v>VERIFIED</x:v>
      </x:c>
      <x:c r="W549" s="87" t="n">
        <x:v>6</x:v>
      </x:c>
      <x:c r="X549" s="87"/>
      <x:c r="Y549" s="87"/>
      <x:c r="Z549" s="87"/>
      <x:c r="AA549" s="87"/>
      <x:c r="AB549" s="87"/>
      <x:c r="AC549" s="87"/>
      <x:c r="AD549" s="87"/>
      <x:c r="AE549" s="87"/>
      <x:c r="AF549" s="87"/>
      <x:c r="AG549" s="87"/>
      <x:c r="AH549" s="87"/>
      <x:c r="AI549" s="30"/>
      <x:c r="AJ549" s="87" t="str">
        <x:v>master</x:v>
      </x:c>
      <x:c r="AK549" s="87" t="str">
        <x:v>master-v0.81</x:v>
      </x:c>
      <x:c r="AL549" s="87" t="str">
        <x:v>statgrad_master_base_v0_81_final(2).xlsx</x:v>
      </x:c>
      <x:c r="AM549" s="87" t="str">
        <x:v>MATH_Feb_Profil_V4</x:v>
      </x:c>
      <x:c r="AN549" s="87" t="n">
        <x:v>18</x:v>
      </x:c>
    </x:row>
    <x:row r="550">
      <x:c r="A550" s="87" t="n">
        <x:v>549</x:v>
      </x:c>
      <x:c r="B550" s="87" t="str">
        <x:v>FEB-MATH-P-V4-018</x:v>
      </x:c>
      <x:c r="C550" s="87" t="str">
        <x:v>СтатГрад</x:v>
      </x:c>
      <x:c r="D550" s="87" t="str">
        <x:v>Февраль 2026</x:v>
      </x:c>
      <x:c r="E550" s="87"/>
      <x:c r="F550" s="87"/>
      <x:c r="G550" s="87" t="str">
        <x:v>Математика</x:v>
      </x:c>
      <x:c r="H550" s="87" t="n">
        <x:v>11</x:v>
      </x:c>
      <x:c r="I550" s="87" t="str">
        <x:v>ТР №3</x:v>
      </x:c>
      <x:c r="J550" s="87" t="str">
        <x:v>МА2510312</x:v>
      </x:c>
      <x:c r="K550" s="87" t="n">
        <x:v>18</x:v>
      </x:c>
      <x:c r="L550" s="87" t="str">
        <x:v>Развёрнутый ответ: задача с параметром</x:v>
      </x:c>
      <x:c r="M550" s="30" t="str">
        <x:v>Найдите все a, при которых система из произведения двух сумм квадратов ≤0 и кругового неравенства не имеет решений.</x:v>
      </x:c>
      <x:c r="N550" s="30" t="str">
        <x:v>(−∞;−15) ∪ (1;+∞)</x:v>
      </x:c>
      <x:c r="O550" s="30" t="str">
        <x:v>Первое неравенство выполняется только в точках (−1;−4) и (−3;−2). Для отсутствия решений обе точки должны лежать строго вне круга второго неравенства. Подстановка даёт (a−1)(a+15)&gt;0 и (a−1)(a+11)&gt;0; их пересечение: a&lt;−15 или a&gt;1.</x:v>
      </x:c>
      <x:c r="P550" s="30" t="str">
        <x:v>Геометрическая интерпретация и строгие границы проверены подстановкой граничных значений.</x:v>
      </x:c>
      <x:c r="Q550" s="30"/>
      <x:c r="R550" s="30" t="str">
        <x:v>Критерии, стр. 6–7</x:v>
      </x:c>
      <x:c r="S550" s="30"/>
      <x:c r="T550" s="30"/>
      <x:c r="U550" s="30" t="str">
        <x:v>Критерий перенесён отдельно без изменения.</x:v>
      </x:c>
      <x:c r="V550" s="87" t="str">
        <x:v>VERIFIED</x:v>
      </x:c>
      <x:c r="W550" s="87" t="n">
        <x:v>6</x:v>
      </x:c>
      <x:c r="X550" s="87"/>
      <x:c r="Y550" s="87"/>
      <x:c r="Z550" s="87"/>
      <x:c r="AA550" s="87"/>
      <x:c r="AB550" s="87"/>
      <x:c r="AC550" s="87"/>
      <x:c r="AD550" s="87"/>
      <x:c r="AE550" s="87"/>
      <x:c r="AF550" s="87"/>
      <x:c r="AG550" s="87"/>
      <x:c r="AH550" s="87"/>
      <x:c r="AI550" s="30"/>
      <x:c r="AJ550" s="87" t="str">
        <x:v>master</x:v>
      </x:c>
      <x:c r="AK550" s="87" t="str">
        <x:v>master-v0.81</x:v>
      </x:c>
      <x:c r="AL550" s="87" t="str">
        <x:v>statgrad_master_base_v0_81_final(2).xlsx</x:v>
      </x:c>
      <x:c r="AM550" s="87" t="str">
        <x:v>MATH_Feb_Profil_V4</x:v>
      </x:c>
      <x:c r="AN550" s="87" t="n">
        <x:v>19</x:v>
      </x:c>
    </x:row>
    <x:row r="551">
      <x:c r="A551" s="87" t="n">
        <x:v>550</x:v>
      </x:c>
      <x:c r="B551" s="87" t="str">
        <x:v>FEB-MATH-P-V4-019</x:v>
      </x:c>
      <x:c r="C551" s="87" t="str">
        <x:v>СтатГрад</x:v>
      </x:c>
      <x:c r="D551" s="87" t="str">
        <x:v>Февраль 2026</x:v>
      </x:c>
      <x:c r="E551" s="87"/>
      <x:c r="F551" s="87"/>
      <x:c r="G551" s="87" t="str">
        <x:v>Математика</x:v>
      </x:c>
      <x:c r="H551" s="87" t="n">
        <x:v>11</x:v>
      </x:c>
      <x:c r="I551" s="87" t="str">
        <x:v>ТР №3</x:v>
      </x:c>
      <x:c r="J551" s="87" t="str">
        <x:v>МА2510312</x:v>
      </x:c>
      <x:c r="K551" s="87" t="n">
        <x:v>19</x:v>
      </x:c>
      <x:c r="L551" s="87" t="str">
        <x:v>Развёрнутый ответ: числовая задача</x:v>
      </x:c>
      <x:c r="M551" s="30" t="str">
        <x:v>Восемь критиков выставили различные целые оценки от 0 до 12. Старый рейтинг — среднее восьми оценок; новый — среднее шести после удаления минимума и максимума. Исследуйте разность рейтингов.</x:v>
      </x:c>
      <x:c r="N551" s="30" t="str">
        <x:v>а) нет; б) да; в) максимум 5/8</x:v>
      </x:c>
      <x:c r="O551" s="30" t="str">
        <x:v>Если A=m/8 и B=n/6, то A−B=(3m−4n)/24, поэтому 1/20 невозможно. Значение 1/24 достигается, например, для оценок 0,1,2,3,4,6,7,8. Пусть x — минимум, z — максимум, y — сумма шести остальных: A−B=(3x−y+3z)/24. Так как y≥(x+1)+…+(x+6)=6x+21, z≤12 и x≥0, получаем A−B≤5/8; равенство достигается на 0,1,2,3,4,5,6,12.</x:v>
      </x:c>
      <x:c r="P551" s="30" t="str">
        <x:v>Все три пункта независимо проверены полным перебором наборов из восьми различных целых оценок 0–12.</x:v>
      </x:c>
      <x:c r="Q551" s="30"/>
      <x:c r="R551" s="30" t="str">
        <x:v>Критерии, стр. 7–8</x:v>
      </x:c>
      <x:c r="S551" s="30"/>
      <x:c r="T551" s="30"/>
      <x:c r="U551" s="30" t="str">
        <x:v>Официальный критерий ошибочно использует ограничение z≤10 и получает 3/8, хотя условие разрешает оценки до 12.</x:v>
      </x:c>
      <x:c r="V551" s="87" t="str">
        <x:v>KEY_MISMATCH</x:v>
      </x:c>
      <x:c r="W551" s="87" t="n">
        <x:v>6</x:v>
      </x:c>
      <x:c r="X551" s="87"/>
      <x:c r="Y551" s="87"/>
      <x:c r="Z551" s="87"/>
      <x:c r="AA551" s="87"/>
      <x:c r="AB551" s="87"/>
      <x:c r="AC551" s="87"/>
      <x:c r="AD551" s="87"/>
      <x:c r="AE551" s="87"/>
      <x:c r="AF551" s="87"/>
      <x:c r="AG551" s="87"/>
      <x:c r="AH551" s="87"/>
      <x:c r="AI551" s="30"/>
      <x:c r="AJ551" s="87" t="str">
        <x:v>master</x:v>
      </x:c>
      <x:c r="AK551" s="87" t="str">
        <x:v>master-v0.81</x:v>
      </x:c>
      <x:c r="AL551" s="87" t="str">
        <x:v>statgrad_master_base_v0_81_final(2).xlsx</x:v>
      </x:c>
      <x:c r="AM551" s="87" t="str">
        <x:v>MATH_Feb_Profil_V4</x:v>
      </x:c>
      <x:c r="AN551" s="87" t="n">
        <x:v>20</x:v>
      </x:c>
    </x:row>
    <x:row r="552">
      <x:c r="A552" s="87" t="n">
        <x:v>551</x:v>
      </x:c>
      <x:c r="B552" s="87" t="str">
        <x:v>FEB-MATH-B-V1-001</x:v>
      </x:c>
      <x:c r="C552" s="87" t="str">
        <x:v>СтатГрад</x:v>
      </x:c>
      <x:c r="D552" s="87" t="str">
        <x:v>Февраль 2026</x:v>
      </x:c>
      <x:c r="E552" s="87"/>
      <x:c r="F552" s="87"/>
      <x:c r="G552" s="87" t="str">
        <x:v>Математика</x:v>
      </x:c>
      <x:c r="H552" s="87" t="n">
        <x:v>11</x:v>
      </x:c>
      <x:c r="I552" s="87" t="str">
        <x:v>ТР №3</x:v>
      </x:c>
      <x:c r="J552" s="87" t="str">
        <x:v>МА2510301</x:v>
      </x:c>
      <x:c r="K552" s="87" t="n">
        <x:v>1</x:v>
      </x:c>
      <x:c r="L552" s="87" t="str">
        <x:v>Перевод единиц скорости</x:v>
      </x:c>
      <x:c r="M552" s="30" t="str">
        <x:v>Спидометр показывает 51 милю в час. Одна миля равна 1609 м. Найдите скорость в километрах в час и округлите до целого.</x:v>
      </x:c>
      <x:c r="N552" s="30" t="str">
        <x:v>82 км/ч</x:v>
      </x:c>
      <x:c r="O552" s="30" t="str">
        <x:v>51·1,609=82,059 км/ч. После округления до целого получаем 82 км/ч.</x:v>
      </x:c>
      <x:c r="P552" s="30" t="str">
        <x:v>Перевод миль в километры и округление выполнены независимо.</x:v>
      </x:c>
      <x:c r="Q552" s="30"/>
      <x:c r="R552" s="30" t="str">
        <x:v>82</x:v>
      </x:c>
      <x:c r="S552" s="30"/>
      <x:c r="T552" s="30"/>
      <x:c r="U552" s="30" t="str">
        <x:v>Расхождений нет.</x:v>
      </x:c>
      <x:c r="V552" s="87" t="str">
        <x:v>VERIFIED</x:v>
      </x:c>
      <x:c r="W552" s="87" t="n">
        <x:v>2</x:v>
      </x:c>
      <x:c r="X552" s="87"/>
      <x:c r="Y552" s="87"/>
      <x:c r="Z552" s="87"/>
      <x:c r="AA552" s="87"/>
      <x:c r="AB552" s="87"/>
      <x:c r="AC552" s="87"/>
      <x:c r="AD552" s="87"/>
      <x:c r="AE552" s="87"/>
      <x:c r="AF552" s="87"/>
      <x:c r="AG552" s="87"/>
      <x:c r="AH552" s="87"/>
      <x:c r="AI552" s="30"/>
      <x:c r="AJ552" s="87" t="str">
        <x:v>master</x:v>
      </x:c>
      <x:c r="AK552" s="87" t="str">
        <x:v>master-v0.81</x:v>
      </x:c>
      <x:c r="AL552" s="87" t="str">
        <x:v>statgrad_master_base_v0_81_final(2).xlsx</x:v>
      </x:c>
      <x:c r="AM552" s="87" t="str">
        <x:v>MATH_Feb_Base_V1</x:v>
      </x:c>
      <x:c r="AN552" s="87" t="n">
        <x:v>2</x:v>
      </x:c>
    </x:row>
    <x:row r="553">
      <x:c r="A553" s="87" t="n">
        <x:v>552</x:v>
      </x:c>
      <x:c r="B553" s="87" t="str">
        <x:v>FEB-MATH-B-V1-002</x:v>
      </x:c>
      <x:c r="C553" s="87" t="str">
        <x:v>СтатГрад</x:v>
      </x:c>
      <x:c r="D553" s="87" t="str">
        <x:v>Февраль 2026</x:v>
      </x:c>
      <x:c r="E553" s="87"/>
      <x:c r="F553" s="87"/>
      <x:c r="G553" s="87" t="str">
        <x:v>Математика</x:v>
      </x:c>
      <x:c r="H553" s="87" t="n">
        <x:v>11</x:v>
      </x:c>
      <x:c r="I553" s="87" t="str">
        <x:v>ТР №3</x:v>
      </x:c>
      <x:c r="J553" s="87" t="str">
        <x:v>МА2510301</x:v>
      </x:c>
      <x:c r="K553" s="87" t="n">
        <x:v>2</x:v>
      </x:c>
      <x:c r="L553" s="87" t="str">
        <x:v>Оценка величин</x:v>
      </x:c>
      <x:c r="M553" s="30" t="str">
        <x:v>Соотнесите высоту Эвереста, длину Волги, ширину окна и диаметр монеты со значениями 3530 км, 120 см, 20 мм и 8849 м.</x:v>
      </x:c>
      <x:c r="N553" s="30" t="str">
        <x:v>4123</x:v>
      </x:c>
      <x:c r="O553" s="30" t="str">
        <x:v>Высота Эвереста — около 8849 м (4); длина Волги — около 3530 км (1); ширина окна — примерно 120 см (2); диаметр монеты — около 20 мм (3).</x:v>
      </x:c>
      <x:c r="P553" s="30" t="str">
        <x:v>Каждое значение проверено по порядку величины и единицам измерения.</x:v>
      </x:c>
      <x:c r="Q553" s="30"/>
      <x:c r="R553" s="30" t="str">
        <x:v>4123</x:v>
      </x:c>
      <x:c r="S553" s="30"/>
      <x:c r="T553" s="30"/>
      <x:c r="U553" s="30" t="str">
        <x:v>Расхождений нет.</x:v>
      </x:c>
      <x:c r="V553" s="87" t="str">
        <x:v>VERIFIED</x:v>
      </x:c>
      <x:c r="W553" s="87" t="n">
        <x:v>2</x:v>
      </x:c>
      <x:c r="X553" s="87"/>
      <x:c r="Y553" s="87"/>
      <x:c r="Z553" s="87"/>
      <x:c r="AA553" s="87"/>
      <x:c r="AB553" s="87"/>
      <x:c r="AC553" s="87"/>
      <x:c r="AD553" s="87"/>
      <x:c r="AE553" s="87"/>
      <x:c r="AF553" s="87"/>
      <x:c r="AG553" s="87"/>
      <x:c r="AH553" s="87"/>
      <x:c r="AI553" s="30"/>
      <x:c r="AJ553" s="87" t="str">
        <x:v>master</x:v>
      </x:c>
      <x:c r="AK553" s="87" t="str">
        <x:v>master-v0.81</x:v>
      </x:c>
      <x:c r="AL553" s="87" t="str">
        <x:v>statgrad_master_base_v0_81_final(2).xlsx</x:v>
      </x:c>
      <x:c r="AM553" s="87" t="str">
        <x:v>MATH_Feb_Base_V1</x:v>
      </x:c>
      <x:c r="AN553" s="87" t="n">
        <x:v>3</x:v>
      </x:c>
    </x:row>
    <x:row r="554">
      <x:c r="A554" s="87" t="n">
        <x:v>553</x:v>
      </x:c>
      <x:c r="B554" s="87" t="str">
        <x:v>FEB-MATH-B-V1-003</x:v>
      </x:c>
      <x:c r="C554" s="87" t="str">
        <x:v>СтатГрад</x:v>
      </x:c>
      <x:c r="D554" s="87" t="str">
        <x:v>Февраль 2026</x:v>
      </x:c>
      <x:c r="E554" s="87"/>
      <x:c r="F554" s="87"/>
      <x:c r="G554" s="87" t="str">
        <x:v>Математика</x:v>
      </x:c>
      <x:c r="H554" s="87" t="n">
        <x:v>11</x:v>
      </x:c>
      <x:c r="I554" s="87" t="str">
        <x:v>ТР №3</x:v>
      </x:c>
      <x:c r="J554" s="87" t="str">
        <x:v>МА2510301</x:v>
      </x:c>
      <x:c r="K554" s="87" t="n">
        <x:v>3</x:v>
      </x:c>
      <x:c r="L554" s="87" t="str">
        <x:v>Чтение графика</x:v>
      </x:c>
      <x:c r="M554" s="30" t="str">
        <x:v>По графику зависимости атмосферного давления от высоты найдите высоту, на которой давление равно 260 мм рт. ст.</x:v>
      </x:c>
      <x:c r="N554" s="30" t="str">
        <x:v>8 км</x:v>
      </x:c>
      <x:c r="O554" s="30" t="str">
        <x:v>Горизонталь, соответствующая 260 мм рт. ст., пересекает кривую примерно над отметкой 8 км.</x:v>
      </x:c>
      <x:c r="P554" s="30" t="str">
        <x:v>Значение считано по координатной сетке графика.</x:v>
      </x:c>
      <x:c r="Q554" s="30"/>
      <x:c r="R554" s="30" t="str">
        <x:v>8</x:v>
      </x:c>
      <x:c r="S554" s="30"/>
      <x:c r="T554" s="30"/>
      <x:c r="U554" s="30" t="str">
        <x:v>Расхождений нет.</x:v>
      </x:c>
      <x:c r="V554" s="87" t="str">
        <x:v>VERIFIED</x:v>
      </x:c>
      <x:c r="W554" s="87" t="n">
        <x:v>3</x:v>
      </x:c>
      <x:c r="X554" s="87"/>
      <x:c r="Y554" s="87"/>
      <x:c r="Z554" s="87"/>
      <x:c r="AA554" s="87"/>
      <x:c r="AB554" s="87"/>
      <x:c r="AC554" s="87"/>
      <x:c r="AD554" s="87"/>
      <x:c r="AE554" s="87"/>
      <x:c r="AF554" s="87"/>
      <x:c r="AG554" s="87"/>
      <x:c r="AH554" s="87"/>
      <x:c r="AI554" s="30"/>
      <x:c r="AJ554" s="87" t="str">
        <x:v>master</x:v>
      </x:c>
      <x:c r="AK554" s="87" t="str">
        <x:v>master-v0.81</x:v>
      </x:c>
      <x:c r="AL554" s="87" t="str">
        <x:v>statgrad_master_base_v0_81_final(2).xlsx</x:v>
      </x:c>
      <x:c r="AM554" s="87" t="str">
        <x:v>MATH_Feb_Base_V1</x:v>
      </x:c>
      <x:c r="AN554" s="87" t="n">
        <x:v>4</x:v>
      </x:c>
    </x:row>
    <x:row r="555">
      <x:c r="A555" s="87" t="n">
        <x:v>554</x:v>
      </x:c>
      <x:c r="B555" s="87" t="str">
        <x:v>FEB-MATH-B-V1-004</x:v>
      </x:c>
      <x:c r="C555" s="87" t="str">
        <x:v>СтатГрад</x:v>
      </x:c>
      <x:c r="D555" s="87" t="str">
        <x:v>Февраль 2026</x:v>
      </x:c>
      <x:c r="E555" s="87"/>
      <x:c r="F555" s="87"/>
      <x:c r="G555" s="87" t="str">
        <x:v>Математика</x:v>
      </x:c>
      <x:c r="H555" s="87" t="n">
        <x:v>11</x:v>
      </x:c>
      <x:c r="I555" s="87" t="str">
        <x:v>ТР №3</x:v>
      </x:c>
      <x:c r="J555" s="87" t="str">
        <x:v>МА2510301</x:v>
      </x:c>
      <x:c r="K555" s="87" t="n">
        <x:v>4</x:v>
      </x:c>
      <x:c r="L555" s="87" t="str">
        <x:v>Площадь четырёхугольника</x:v>
      </x:c>
      <x:c r="M555" s="30" t="str">
        <x:v>Найдите площадь четырёхугольника по формуле S=(1/2)d₁d₂sinα, если d₁=16, d₂=9, sinα=5/8.</x:v>
      </x:c>
      <x:c r="N555" s="30" t="str">
        <x:v>45</x:v>
      </x:c>
      <x:c r="O555" s="30" t="str">
        <x:v>S=(1/2)·16·9·5/8=8·9·5/8=45.</x:v>
      </x:c>
      <x:c r="P555" s="30" t="str">
        <x:v>Вычисление повторено последовательным сокращением множителей.</x:v>
      </x:c>
      <x:c r="Q555" s="30"/>
      <x:c r="R555" s="30" t="str">
        <x:v>45</x:v>
      </x:c>
      <x:c r="S555" s="30"/>
      <x:c r="T555" s="30"/>
      <x:c r="U555" s="30" t="str">
        <x:v>Расхождений нет.</x:v>
      </x:c>
      <x:c r="V555" s="87" t="str">
        <x:v>VERIFIED</x:v>
      </x:c>
      <x:c r="W555" s="87" t="n">
        <x:v>3</x:v>
      </x:c>
      <x:c r="X555" s="87"/>
      <x:c r="Y555" s="87"/>
      <x:c r="Z555" s="87"/>
      <x:c r="AA555" s="87"/>
      <x:c r="AB555" s="87"/>
      <x:c r="AC555" s="87"/>
      <x:c r="AD555" s="87"/>
      <x:c r="AE555" s="87"/>
      <x:c r="AF555" s="87"/>
      <x:c r="AG555" s="87"/>
      <x:c r="AH555" s="87"/>
      <x:c r="AI555" s="30"/>
      <x:c r="AJ555" s="87" t="str">
        <x:v>master</x:v>
      </x:c>
      <x:c r="AK555" s="87" t="str">
        <x:v>master-v0.81</x:v>
      </x:c>
      <x:c r="AL555" s="87" t="str">
        <x:v>statgrad_master_base_v0_81_final(2).xlsx</x:v>
      </x:c>
      <x:c r="AM555" s="87" t="str">
        <x:v>MATH_Feb_Base_V1</x:v>
      </x:c>
      <x:c r="AN555" s="87" t="n">
        <x:v>5</x:v>
      </x:c>
    </x:row>
    <x:row r="556">
      <x:c r="A556" s="87" t="n">
        <x:v>555</x:v>
      </x:c>
      <x:c r="B556" s="87" t="str">
        <x:v>FEB-MATH-B-V1-005</x:v>
      </x:c>
      <x:c r="C556" s="87" t="str">
        <x:v>СтатГрад</x:v>
      </x:c>
      <x:c r="D556" s="87" t="str">
        <x:v>Февраль 2026</x:v>
      </x:c>
      <x:c r="E556" s="87"/>
      <x:c r="F556" s="87"/>
      <x:c r="G556" s="87" t="str">
        <x:v>Математика</x:v>
      </x:c>
      <x:c r="H556" s="87" t="n">
        <x:v>11</x:v>
      </x:c>
      <x:c r="I556" s="87" t="str">
        <x:v>ТР №3</x:v>
      </x:c>
      <x:c r="J556" s="87" t="str">
        <x:v>МА2510301</x:v>
      </x:c>
      <x:c r="K556" s="87" t="n">
        <x:v>5</x:v>
      </x:c>
      <x:c r="L556" s="87" t="str">
        <x:v>Теория вероятностей</x:v>
      </x:c>
      <x:c r="M556" s="30" t="str">
        <x:v>Два будущих первоклассника независимо приходят на запись; мальчик и девочка равновероятны. Найдите вероятность, что оба окажутся мальчиками.</x:v>
      </x:c>
      <x:c r="N556" s="30" t="str">
        <x:v>0,25</x:v>
      </x:c>
      <x:c r="O556" s="30" t="str">
        <x:v>Вероятность рождения мальчика для каждого ребёнка равна 1/2. При независимости P=1/2·1/2=1/4=0,25.</x:v>
      </x:c>
      <x:c r="P556" s="30" t="str">
        <x:v>Рассмотрены четыре равновероятных пары полов; одна из них — два мальчика.</x:v>
      </x:c>
      <x:c r="Q556" s="30"/>
      <x:c r="R556" s="30" t="str">
        <x:v>0,25</x:v>
      </x:c>
      <x:c r="S556" s="30"/>
      <x:c r="T556" s="30"/>
      <x:c r="U556" s="30" t="str">
        <x:v>Расхождений нет.</x:v>
      </x:c>
      <x:c r="V556" s="87" t="str">
        <x:v>VERIFIED</x:v>
      </x:c>
      <x:c r="W556" s="87" t="n">
        <x:v>4</x:v>
      </x:c>
      <x:c r="X556" s="87"/>
      <x:c r="Y556" s="87"/>
      <x:c r="Z556" s="87"/>
      <x:c r="AA556" s="87"/>
      <x:c r="AB556" s="87"/>
      <x:c r="AC556" s="87"/>
      <x:c r="AD556" s="87"/>
      <x:c r="AE556" s="87"/>
      <x:c r="AF556" s="87"/>
      <x:c r="AG556" s="87"/>
      <x:c r="AH556" s="87"/>
      <x:c r="AI556" s="30"/>
      <x:c r="AJ556" s="87" t="str">
        <x:v>master</x:v>
      </x:c>
      <x:c r="AK556" s="87" t="str">
        <x:v>master-v0.81</x:v>
      </x:c>
      <x:c r="AL556" s="87" t="str">
        <x:v>statgrad_master_base_v0_81_final(2).xlsx</x:v>
      </x:c>
      <x:c r="AM556" s="87" t="str">
        <x:v>MATH_Feb_Base_V1</x:v>
      </x:c>
      <x:c r="AN556" s="87" t="n">
        <x:v>6</x:v>
      </x:c>
    </x:row>
    <x:row r="557">
      <x:c r="A557" s="87" t="n">
        <x:v>556</x:v>
      </x:c>
      <x:c r="B557" s="87" t="str">
        <x:v>FEB-MATH-B-V1-006</x:v>
      </x:c>
      <x:c r="C557" s="87" t="str">
        <x:v>СтатГрад</x:v>
      </x:c>
      <x:c r="D557" s="87" t="str">
        <x:v>Февраль 2026</x:v>
      </x:c>
      <x:c r="E557" s="87"/>
      <x:c r="F557" s="87"/>
      <x:c r="G557" s="87" t="str">
        <x:v>Математика</x:v>
      </x:c>
      <x:c r="H557" s="87" t="n">
        <x:v>11</x:v>
      </x:c>
      <x:c r="I557" s="87" t="str">
        <x:v>ТР №3</x:v>
      </x:c>
      <x:c r="J557" s="87" t="str">
        <x:v>МА2510301</x:v>
      </x:c>
      <x:c r="K557" s="87" t="n">
        <x:v>6</x:v>
      </x:c>
      <x:c r="L557" s="87" t="str">
        <x:v>Анализ таблицы</x:v>
      </x:c>
      <x:c r="M557" s="30" t="str">
        <x:v>Выберите чемоданы, у которых сумма трёх измерений не превышает 203 см, а масса не больше 23 кг.</x:v>
      </x:c>
      <x:c r="N557" s="30" t="str">
        <x:v>35</x:v>
      </x:c>
      <x:c r="O557" s="30" t="str">
        <x:v>Чемодан 3: 105+65+29=199 см, масса 23 кг; чемодан 5: 90+71+40=201 см, масса 21 кг. Остальные нарушают хотя бы одно ограничение.</x:v>
      </x:c>
      <x:c r="P557" s="30" t="str">
        <x:v>Для всех шести строк отдельно проверены сумма размеров и масса.</x:v>
      </x:c>
      <x:c r="Q557" s="30"/>
      <x:c r="R557" s="30" t="str">
        <x:v>35</x:v>
      </x:c>
      <x:c r="S557" s="30"/>
      <x:c r="T557" s="30"/>
      <x:c r="U557" s="30" t="str">
        <x:v>Расхождений нет.</x:v>
      </x:c>
      <x:c r="V557" s="87" t="str">
        <x:v>VERIFIED</x:v>
      </x:c>
      <x:c r="W557" s="87" t="n">
        <x:v>4</x:v>
      </x:c>
      <x:c r="X557" s="87"/>
      <x:c r="Y557" s="87"/>
      <x:c r="Z557" s="87"/>
      <x:c r="AA557" s="87"/>
      <x:c r="AB557" s="87"/>
      <x:c r="AC557" s="87"/>
      <x:c r="AD557" s="87"/>
      <x:c r="AE557" s="87"/>
      <x:c r="AF557" s="87"/>
      <x:c r="AG557" s="87"/>
      <x:c r="AH557" s="87"/>
      <x:c r="AI557" s="30"/>
      <x:c r="AJ557" s="87" t="str">
        <x:v>master</x:v>
      </x:c>
      <x:c r="AK557" s="87" t="str">
        <x:v>master-v0.81</x:v>
      </x:c>
      <x:c r="AL557" s="87" t="str">
        <x:v>statgrad_master_base_v0_81_final(2).xlsx</x:v>
      </x:c>
      <x:c r="AM557" s="87" t="str">
        <x:v>MATH_Feb_Base_V1</x:v>
      </x:c>
      <x:c r="AN557" s="87" t="n">
        <x:v>7</x:v>
      </x:c>
    </x:row>
    <x:row r="558">
      <x:c r="A558" s="87" t="n">
        <x:v>557</x:v>
      </x:c>
      <x:c r="B558" s="87" t="str">
        <x:v>FEB-MATH-B-V1-007</x:v>
      </x:c>
      <x:c r="C558" s="87" t="str">
        <x:v>СтатГрад</x:v>
      </x:c>
      <x:c r="D558" s="87" t="str">
        <x:v>Февраль 2026</x:v>
      </x:c>
      <x:c r="E558" s="87"/>
      <x:c r="F558" s="87"/>
      <x:c r="G558" s="87" t="str">
        <x:v>Математика</x:v>
      </x:c>
      <x:c r="H558" s="87" t="n">
        <x:v>11</x:v>
      </x:c>
      <x:c r="I558" s="87" t="str">
        <x:v>ТР №3</x:v>
      </x:c>
      <x:c r="J558" s="87" t="str">
        <x:v>МА2510301</x:v>
      </x:c>
      <x:c r="K558" s="87" t="n">
        <x:v>7</x:v>
      </x:c>
      <x:c r="L558" s="87" t="str">
        <x:v>Свойства функции по графику</x:v>
      </x:c>
      <x:c r="M558" s="30" t="str">
        <x:v>Соотнесите интервалы (a;b), (b;c), (c;d), (d;e) с четырьмя характеристиками функции или её производной.</x:v>
      </x:c>
      <x:c r="N558" s="30" t="str">
        <x:v>3241</x:v>
      </x:c>
      <x:c r="O558" s="30" t="str">
        <x:v>На (a;b) функция положительна — 3; на (b;c) в начале положительна, в конце отрицательна — 2; на (c;d) отрицательна — 4; на (d;e) возрастает, поэтому производная положительна — 1.</x:v>
      </x:c>
      <x:c r="P558" s="30" t="str">
        <x:v>Знаки функции и направление монотонности считаны непосредственно по графику.</x:v>
      </x:c>
      <x:c r="Q558" s="30"/>
      <x:c r="R558" s="30" t="str">
        <x:v>3241</x:v>
      </x:c>
      <x:c r="S558" s="30"/>
      <x:c r="T558" s="30"/>
      <x:c r="U558" s="30" t="str">
        <x:v>Расхождений нет.</x:v>
      </x:c>
      <x:c r="V558" s="87" t="str">
        <x:v>VERIFIED</x:v>
      </x:c>
      <x:c r="W558" s="87" t="n">
        <x:v>5</x:v>
      </x:c>
      <x:c r="X558" s="87"/>
      <x:c r="Y558" s="87"/>
      <x:c r="Z558" s="87"/>
      <x:c r="AA558" s="87"/>
      <x:c r="AB558" s="87"/>
      <x:c r="AC558" s="87"/>
      <x:c r="AD558" s="87"/>
      <x:c r="AE558" s="87"/>
      <x:c r="AF558" s="87"/>
      <x:c r="AG558" s="87"/>
      <x:c r="AH558" s="87"/>
      <x:c r="AI558" s="30"/>
      <x:c r="AJ558" s="87" t="str">
        <x:v>master</x:v>
      </x:c>
      <x:c r="AK558" s="87" t="str">
        <x:v>master-v0.81</x:v>
      </x:c>
      <x:c r="AL558" s="87" t="str">
        <x:v>statgrad_master_base_v0_81_final(2).xlsx</x:v>
      </x:c>
      <x:c r="AM558" s="87" t="str">
        <x:v>MATH_Feb_Base_V1</x:v>
      </x:c>
      <x:c r="AN558" s="87" t="n">
        <x:v>8</x:v>
      </x:c>
    </x:row>
    <x:row r="559">
      <x:c r="A559" s="87" t="n">
        <x:v>558</x:v>
      </x:c>
      <x:c r="B559" s="87" t="str">
        <x:v>FEB-MATH-B-V1-008</x:v>
      </x:c>
      <x:c r="C559" s="87" t="str">
        <x:v>СтатГрад</x:v>
      </x:c>
      <x:c r="D559" s="87" t="str">
        <x:v>Февраль 2026</x:v>
      </x:c>
      <x:c r="E559" s="87"/>
      <x:c r="F559" s="87"/>
      <x:c r="G559" s="87" t="str">
        <x:v>Математика</x:v>
      </x:c>
      <x:c r="H559" s="87" t="n">
        <x:v>11</x:v>
      </x:c>
      <x:c r="I559" s="87" t="str">
        <x:v>ТР №3</x:v>
      </x:c>
      <x:c r="J559" s="87" t="str">
        <x:v>МА2510301</x:v>
      </x:c>
      <x:c r="K559" s="87" t="n">
        <x:v>8</x:v>
      </x:c>
      <x:c r="L559" s="87" t="str">
        <x:v>Множества</x:v>
      </x:c>
      <x:c r="M559" s="30" t="str">
        <x:v>Из 20 сотрудников 15 пользуются «Одноклассниками», 10 — «ВКонтакте». Выберите утверждения, которые верны при любых возможных пересечениях множеств.</x:v>
      </x:c>
      <x:c r="N559" s="30" t="str">
        <x:v>13</x:v>
      </x:c>
      <x:c r="O559" s="30" t="str">
        <x:v>Пересечение содержит не менее 15+10−20=5 человек, поэтому утверждение 1 верно. Обеими сетями пользуются не более min(15,10)=10 человек, поэтому верно и утверждение 3. Остальные утверждения не обязательны.</x:v>
      </x:c>
      <x:c r="P559" s="30" t="str">
        <x:v>Границы размера пересечения проверены формулой включений-исключений.</x:v>
      </x:c>
      <x:c r="Q559" s="30"/>
      <x:c r="R559" s="30" t="str">
        <x:v>13</x:v>
      </x:c>
      <x:c r="S559" s="30"/>
      <x:c r="T559" s="30"/>
      <x:c r="U559" s="30" t="str">
        <x:v>Расхождений нет.</x:v>
      </x:c>
      <x:c r="V559" s="87" t="str">
        <x:v>VERIFIED</x:v>
      </x:c>
      <x:c r="W559" s="87" t="n">
        <x:v>5</x:v>
      </x:c>
      <x:c r="X559" s="87"/>
      <x:c r="Y559" s="87"/>
      <x:c r="Z559" s="87"/>
      <x:c r="AA559" s="87"/>
      <x:c r="AB559" s="87"/>
      <x:c r="AC559" s="87"/>
      <x:c r="AD559" s="87"/>
      <x:c r="AE559" s="87"/>
      <x:c r="AF559" s="87"/>
      <x:c r="AG559" s="87"/>
      <x:c r="AH559" s="87"/>
      <x:c r="AI559" s="30"/>
      <x:c r="AJ559" s="87" t="str">
        <x:v>master</x:v>
      </x:c>
      <x:c r="AK559" s="87" t="str">
        <x:v>master-v0.81</x:v>
      </x:c>
      <x:c r="AL559" s="87" t="str">
        <x:v>statgrad_master_base_v0_81_final(2).xlsx</x:v>
      </x:c>
      <x:c r="AM559" s="87" t="str">
        <x:v>MATH_Feb_Base_V1</x:v>
      </x:c>
      <x:c r="AN559" s="87" t="n">
        <x:v>9</x:v>
      </x:c>
    </x:row>
    <x:row r="560">
      <x:c r="A560" s="87" t="n">
        <x:v>559</x:v>
      </x:c>
      <x:c r="B560" s="87" t="str">
        <x:v>FEB-MATH-B-V1-009</x:v>
      </x:c>
      <x:c r="C560" s="87" t="str">
        <x:v>СтатГрад</x:v>
      </x:c>
      <x:c r="D560" s="87" t="str">
        <x:v>Февраль 2026</x:v>
      </x:c>
      <x:c r="E560" s="87"/>
      <x:c r="F560" s="87"/>
      <x:c r="G560" s="87" t="str">
        <x:v>Математика</x:v>
      </x:c>
      <x:c r="H560" s="87" t="n">
        <x:v>11</x:v>
      </x:c>
      <x:c r="I560" s="87" t="str">
        <x:v>ТР №3</x:v>
      </x:c>
      <x:c r="J560" s="87" t="str">
        <x:v>МА2510301</x:v>
      </x:c>
      <x:c r="K560" s="87" t="n">
        <x:v>9</x:v>
      </x:c>
      <x:c r="L560" s="87" t="str">
        <x:v>Площадь фигуры на клетчатой бумаге</x:v>
      </x:c>
      <x:c r="M560" s="30" t="str">
        <x:v>Найдите площадь треугольного участка на сетке 1×1 м.</x:v>
      </x:c>
      <x:c r="N560" s="30" t="str">
        <x:v>10 м²</x:v>
      </x:c>
      <x:c r="O560" s="30" t="str">
        <x:v>Основание треугольника равно 4 клеткам, высота — 5 клеткам. S=(1/2)·4·5=10 м².</x:v>
      </x:c>
      <x:c r="P560" s="30" t="str">
        <x:v>Координаты вершин и длины основания и высоты считаны по сетке.</x:v>
      </x:c>
      <x:c r="Q560" s="30"/>
      <x:c r="R560" s="30" t="str">
        <x:v>10</x:v>
      </x:c>
      <x:c r="S560" s="30"/>
      <x:c r="T560" s="30"/>
      <x:c r="U560" s="30" t="str">
        <x:v>Расхождений нет.</x:v>
      </x:c>
      <x:c r="V560" s="87" t="str">
        <x:v>VERIFIED</x:v>
      </x:c>
      <x:c r="W560" s="87" t="n">
        <x:v>6</x:v>
      </x:c>
      <x:c r="X560" s="87"/>
      <x:c r="Y560" s="87"/>
      <x:c r="Z560" s="87"/>
      <x:c r="AA560" s="87"/>
      <x:c r="AB560" s="87"/>
      <x:c r="AC560" s="87"/>
      <x:c r="AD560" s="87"/>
      <x:c r="AE560" s="87"/>
      <x:c r="AF560" s="87"/>
      <x:c r="AG560" s="87"/>
      <x:c r="AH560" s="87"/>
      <x:c r="AI560" s="30"/>
      <x:c r="AJ560" s="87" t="str">
        <x:v>master</x:v>
      </x:c>
      <x:c r="AK560" s="87" t="str">
        <x:v>master-v0.81</x:v>
      </x:c>
      <x:c r="AL560" s="87" t="str">
        <x:v>statgrad_master_base_v0_81_final(2).xlsx</x:v>
      </x:c>
      <x:c r="AM560" s="87" t="str">
        <x:v>MATH_Feb_Base_V1</x:v>
      </x:c>
      <x:c r="AN560" s="87" t="n">
        <x:v>10</x:v>
      </x:c>
    </x:row>
    <x:row r="561">
      <x:c r="A561" s="87" t="n">
        <x:v>560</x:v>
      </x:c>
      <x:c r="B561" s="87" t="str">
        <x:v>FEB-MATH-B-V1-010</x:v>
      </x:c>
      <x:c r="C561" s="87" t="str">
        <x:v>СтатГрад</x:v>
      </x:c>
      <x:c r="D561" s="87" t="str">
        <x:v>Февраль 2026</x:v>
      </x:c>
      <x:c r="E561" s="87"/>
      <x:c r="F561" s="87"/>
      <x:c r="G561" s="87" t="str">
        <x:v>Математика</x:v>
      </x:c>
      <x:c r="H561" s="87" t="n">
        <x:v>11</x:v>
      </x:c>
      <x:c r="I561" s="87" t="str">
        <x:v>ТР №3</x:v>
      </x:c>
      <x:c r="J561" s="87" t="str">
        <x:v>МА2510301</x:v>
      </x:c>
      <x:c r="K561" s="87" t="n">
        <x:v>10</x:v>
      </x:c>
      <x:c r="L561" s="87" t="str">
        <x:v>Периметр и внутреннее ограждение</x:v>
      </x:c>
      <x:c r="M561" s="30" t="str">
        <x:v>Прямоугольный участок 22×30 м делят на две части, одна из которых — квадрат. Найдите суммарную длину забора.</x:v>
      </x:c>
      <x:c r="N561" s="30" t="str">
        <x:v>126 м</x:v>
      </x:c>
      <x:c r="O561" s="30" t="str">
        <x:v>Внешний периметр равен 2(22+30)=104 м. Чтобы отделить квадрат 22×22 м, нужен внутренний забор длиной 22 м. Всего 104+22=126 м.</x:v>
      </x:c>
      <x:c r="P561" s="30" t="str">
        <x:v>Учтены внешний контур и единственная внутренняя перегородка.</x:v>
      </x:c>
      <x:c r="Q561" s="30"/>
      <x:c r="R561" s="30" t="str">
        <x:v>126</x:v>
      </x:c>
      <x:c r="S561" s="30"/>
      <x:c r="T561" s="30"/>
      <x:c r="U561" s="30" t="str">
        <x:v>Расхождений нет.</x:v>
      </x:c>
      <x:c r="V561" s="87" t="str">
        <x:v>VERIFIED</x:v>
      </x:c>
      <x:c r="W561" s="87" t="n">
        <x:v>6</x:v>
      </x:c>
      <x:c r="X561" s="87"/>
      <x:c r="Y561" s="87"/>
      <x:c r="Z561" s="87"/>
      <x:c r="AA561" s="87"/>
      <x:c r="AB561" s="87"/>
      <x:c r="AC561" s="87"/>
      <x:c r="AD561" s="87"/>
      <x:c r="AE561" s="87"/>
      <x:c r="AF561" s="87"/>
      <x:c r="AG561" s="87"/>
      <x:c r="AH561" s="87"/>
      <x:c r="AI561" s="30"/>
      <x:c r="AJ561" s="87" t="str">
        <x:v>master</x:v>
      </x:c>
      <x:c r="AK561" s="87" t="str">
        <x:v>master-v0.81</x:v>
      </x:c>
      <x:c r="AL561" s="87" t="str">
        <x:v>statgrad_master_base_v0_81_final(2).xlsx</x:v>
      </x:c>
      <x:c r="AM561" s="87" t="str">
        <x:v>MATH_Feb_Base_V1</x:v>
      </x:c>
      <x:c r="AN561" s="87" t="n">
        <x:v>11</x:v>
      </x:c>
    </x:row>
    <x:row r="562">
      <x:c r="A562" s="87" t="n">
        <x:v>561</x:v>
      </x:c>
      <x:c r="B562" s="87" t="str">
        <x:v>FEB-MATH-B-V1-011</x:v>
      </x:c>
      <x:c r="C562" s="87" t="str">
        <x:v>СтатГрад</x:v>
      </x:c>
      <x:c r="D562" s="87" t="str">
        <x:v>Февраль 2026</x:v>
      </x:c>
      <x:c r="E562" s="87"/>
      <x:c r="F562" s="87"/>
      <x:c r="G562" s="87" t="str">
        <x:v>Математика</x:v>
      </x:c>
      <x:c r="H562" s="87" t="n">
        <x:v>11</x:v>
      </x:c>
      <x:c r="I562" s="87" t="str">
        <x:v>ТР №3</x:v>
      </x:c>
      <x:c r="J562" s="87" t="str">
        <x:v>МА2510301</x:v>
      </x:c>
      <x:c r="K562" s="87" t="n">
        <x:v>11</x:v>
      </x:c>
      <x:c r="L562" s="87" t="str">
        <x:v>Объём цилиндра</x:v>
      </x:c>
      <x:c r="M562" s="30" t="str">
        <x:v>Вода занимает в цилиндре высоту 20 см. Её перелили в цилиндр с радиусом вдвое меньше. Найдите новую высоту.</x:v>
      </x:c>
      <x:c r="N562" s="30" t="str">
        <x:v>80 см</x:v>
      </x:c>
      <x:c r="O562" s="30" t="str">
        <x:v>Объём сохраняется. При уменьшении радиуса в 2 раза площадь основания уменьшается в 4 раза, поэтому высота увеличивается в 4 раза: 20·4=80 см.</x:v>
      </x:c>
      <x:c r="P562" s="30" t="str">
        <x:v>Равенство πR²·20=π(R/2)²·h даёт тот же результат.</x:v>
      </x:c>
      <x:c r="Q562" s="30"/>
      <x:c r="R562" s="30" t="str">
        <x:v>80</x:v>
      </x:c>
      <x:c r="S562" s="30"/>
      <x:c r="T562" s="30"/>
      <x:c r="U562" s="30" t="str">
        <x:v>Расхождений нет.</x:v>
      </x:c>
      <x:c r="V562" s="87" t="str">
        <x:v>VERIFIED</x:v>
      </x:c>
      <x:c r="W562" s="87" t="n">
        <x:v>6</x:v>
      </x:c>
      <x:c r="X562" s="87"/>
      <x:c r="Y562" s="87"/>
      <x:c r="Z562" s="87"/>
      <x:c r="AA562" s="87"/>
      <x:c r="AB562" s="87"/>
      <x:c r="AC562" s="87"/>
      <x:c r="AD562" s="87"/>
      <x:c r="AE562" s="87"/>
      <x:c r="AF562" s="87"/>
      <x:c r="AG562" s="87"/>
      <x:c r="AH562" s="87"/>
      <x:c r="AI562" s="30"/>
      <x:c r="AJ562" s="87" t="str">
        <x:v>master</x:v>
      </x:c>
      <x:c r="AK562" s="87" t="str">
        <x:v>master-v0.81</x:v>
      </x:c>
      <x:c r="AL562" s="87" t="str">
        <x:v>statgrad_master_base_v0_81_final(2).xlsx</x:v>
      </x:c>
      <x:c r="AM562" s="87" t="str">
        <x:v>MATH_Feb_Base_V1</x:v>
      </x:c>
      <x:c r="AN562" s="87" t="n">
        <x:v>12</x:v>
      </x:c>
    </x:row>
    <x:row r="563">
      <x:c r="A563" s="87" t="n">
        <x:v>562</x:v>
      </x:c>
      <x:c r="B563" s="87" t="str">
        <x:v>FEB-MATH-B-V1-012</x:v>
      </x:c>
      <x:c r="C563" s="87" t="str">
        <x:v>СтатГрад</x:v>
      </x:c>
      <x:c r="D563" s="87" t="str">
        <x:v>Февраль 2026</x:v>
      </x:c>
      <x:c r="E563" s="87"/>
      <x:c r="F563" s="87"/>
      <x:c r="G563" s="87" t="str">
        <x:v>Математика</x:v>
      </x:c>
      <x:c r="H563" s="87" t="n">
        <x:v>11</x:v>
      </x:c>
      <x:c r="I563" s="87" t="str">
        <x:v>ТР №3</x:v>
      </x:c>
      <x:c r="J563" s="87" t="str">
        <x:v>МА2510301</x:v>
      </x:c>
      <x:c r="K563" s="87" t="n">
        <x:v>12</x:v>
      </x:c>
      <x:c r="L563" s="87" t="str">
        <x:v>Окружность и диаметры</x:v>
      </x:c>
      <x:c r="M563" s="30" t="str">
        <x:v>AC и BD — диаметры окружности. Вписанный угол ACB равен 65°. Найдите угол AOD.</x:v>
      </x:c>
      <x:c r="N563" s="30" t="str">
        <x:v>50°</x:v>
      </x:c>
      <x:c r="O563" s="30" t="str">
        <x:v>Угол ACB опирается на дугу AB, поэтому центральный угол AOB равен 2·65°=130°. Лучи OB и OD противоположны, следовательно, ∠AOD=180°−130°=50°.</x:v>
      </x:c>
      <x:c r="P563" s="30" t="str">
        <x:v>Проверено по теореме о вписанном угле и свойству диаметра.</x:v>
      </x:c>
      <x:c r="Q563" s="30"/>
      <x:c r="R563" s="30" t="str">
        <x:v>50</x:v>
      </x:c>
      <x:c r="S563" s="30"/>
      <x:c r="T563" s="30"/>
      <x:c r="U563" s="30" t="str">
        <x:v>Расхождений нет.</x:v>
      </x:c>
      <x:c r="V563" s="87" t="str">
        <x:v>VERIFIED</x:v>
      </x:c>
      <x:c r="W563" s="87" t="n">
        <x:v>6</x:v>
      </x:c>
      <x:c r="X563" s="87"/>
      <x:c r="Y563" s="87"/>
      <x:c r="Z563" s="87"/>
      <x:c r="AA563" s="87"/>
      <x:c r="AB563" s="87"/>
      <x:c r="AC563" s="87"/>
      <x:c r="AD563" s="87"/>
      <x:c r="AE563" s="87"/>
      <x:c r="AF563" s="87"/>
      <x:c r="AG563" s="87"/>
      <x:c r="AH563" s="87"/>
      <x:c r="AI563" s="30"/>
      <x:c r="AJ563" s="87" t="str">
        <x:v>master</x:v>
      </x:c>
      <x:c r="AK563" s="87" t="str">
        <x:v>master-v0.81</x:v>
      </x:c>
      <x:c r="AL563" s="87" t="str">
        <x:v>statgrad_master_base_v0_81_final(2).xlsx</x:v>
      </x:c>
      <x:c r="AM563" s="87" t="str">
        <x:v>MATH_Feb_Base_V1</x:v>
      </x:c>
      <x:c r="AN563" s="87" t="n">
        <x:v>13</x:v>
      </x:c>
    </x:row>
    <x:row r="564">
      <x:c r="A564" s="87" t="n">
        <x:v>563</x:v>
      </x:c>
      <x:c r="B564" s="87" t="str">
        <x:v>FEB-MATH-B-V1-013</x:v>
      </x:c>
      <x:c r="C564" s="87" t="str">
        <x:v>СтатГрад</x:v>
      </x:c>
      <x:c r="D564" s="87" t="str">
        <x:v>Февраль 2026</x:v>
      </x:c>
      <x:c r="E564" s="87"/>
      <x:c r="F564" s="87"/>
      <x:c r="G564" s="87" t="str">
        <x:v>Математика</x:v>
      </x:c>
      <x:c r="H564" s="87" t="n">
        <x:v>11</x:v>
      </x:c>
      <x:c r="I564" s="87" t="str">
        <x:v>ТР №3</x:v>
      </x:c>
      <x:c r="J564" s="87" t="str">
        <x:v>МА2510301</x:v>
      </x:c>
      <x:c r="K564" s="87" t="n">
        <x:v>13</x:v>
      </x:c>
      <x:c r="L564" s="87" t="str">
        <x:v>Площадь боковой поверхности пирамиды</x:v>
      </x:c>
      <x:c r="M564" s="30" t="str">
        <x:v>У правильной шестиугольной пирамиды сторона основания 24, боковое ребро 37. Найдите площадь боковой поверхности.</x:v>
      </x:c>
      <x:c r="N564" s="30" t="str">
        <x:v>2520</x:v>
      </x:c>
      <x:c r="O564" s="30" t="str">
        <x:v>Каждая боковая грань — равнобедренный треугольник со сторонами 37, 37 и 24. Его высота √(37²−12²)=35, площадь одной грани (1/2)·24·35=420. Граней шесть, поэтому 6·420=2520.</x:v>
      </x:c>
      <x:c r="P564" s="30" t="str">
        <x:v>Высота грани и сумма площадей шести одинаковых треугольников пересчитаны отдельно.</x:v>
      </x:c>
      <x:c r="Q564" s="30"/>
      <x:c r="R564" s="30" t="str">
        <x:v>2520</x:v>
      </x:c>
      <x:c r="S564" s="30"/>
      <x:c r="T564" s="30"/>
      <x:c r="U564" s="30" t="str">
        <x:v>Расхождений нет.</x:v>
      </x:c>
      <x:c r="V564" s="87" t="str">
        <x:v>VERIFIED</x:v>
      </x:c>
      <x:c r="W564" s="87" t="n">
        <x:v>7</x:v>
      </x:c>
      <x:c r="X564" s="87"/>
      <x:c r="Y564" s="87"/>
      <x:c r="Z564" s="87"/>
      <x:c r="AA564" s="87"/>
      <x:c r="AB564" s="87"/>
      <x:c r="AC564" s="87"/>
      <x:c r="AD564" s="87"/>
      <x:c r="AE564" s="87"/>
      <x:c r="AF564" s="87"/>
      <x:c r="AG564" s="87"/>
      <x:c r="AH564" s="87"/>
      <x:c r="AI564" s="30"/>
      <x:c r="AJ564" s="87" t="str">
        <x:v>master</x:v>
      </x:c>
      <x:c r="AK564" s="87" t="str">
        <x:v>master-v0.81</x:v>
      </x:c>
      <x:c r="AL564" s="87" t="str">
        <x:v>statgrad_master_base_v0_81_final(2).xlsx</x:v>
      </x:c>
      <x:c r="AM564" s="87" t="str">
        <x:v>MATH_Feb_Base_V1</x:v>
      </x:c>
      <x:c r="AN564" s="87" t="n">
        <x:v>14</x:v>
      </x:c>
    </x:row>
    <x:row r="565">
      <x:c r="A565" s="87" t="n">
        <x:v>564</x:v>
      </x:c>
      <x:c r="B565" s="87" t="str">
        <x:v>FEB-MATH-B-V1-014</x:v>
      </x:c>
      <x:c r="C565" s="87" t="str">
        <x:v>СтатГрад</x:v>
      </x:c>
      <x:c r="D565" s="87" t="str">
        <x:v>Февраль 2026</x:v>
      </x:c>
      <x:c r="E565" s="87"/>
      <x:c r="F565" s="87"/>
      <x:c r="G565" s="87" t="str">
        <x:v>Математика</x:v>
      </x:c>
      <x:c r="H565" s="87" t="n">
        <x:v>11</x:v>
      </x:c>
      <x:c r="I565" s="87" t="str">
        <x:v>ТР №3</x:v>
      </x:c>
      <x:c r="J565" s="87" t="str">
        <x:v>МА2510301</x:v>
      </x:c>
      <x:c r="K565" s="87" t="n">
        <x:v>14</x:v>
      </x:c>
      <x:c r="L565" s="87" t="str">
        <x:v>Арифметическое выражение</x:v>
      </x:c>
      <x:c r="M565" s="30" t="str">
        <x:v>Найдите значение (1/5)·0,75+3.</x:v>
      </x:c>
      <x:c r="N565" s="30" t="str">
        <x:v>3,15</x:v>
      </x:c>
      <x:c r="O565" s="30" t="str">
        <x:v>(1/5)·0,75=0,15; 0,15+3=3,15.</x:v>
      </x:c>
      <x:c r="P565" s="30" t="str">
        <x:v>Вычисление проверено переводом 0,75 в дробь 3/4.</x:v>
      </x:c>
      <x:c r="Q565" s="30"/>
      <x:c r="R565" s="30" t="str">
        <x:v>3,15</x:v>
      </x:c>
      <x:c r="S565" s="30"/>
      <x:c r="T565" s="30"/>
      <x:c r="U565" s="30" t="str">
        <x:v>Расхождений нет.</x:v>
      </x:c>
      <x:c r="V565" s="87" t="str">
        <x:v>VERIFIED</x:v>
      </x:c>
      <x:c r="W565" s="87" t="n">
        <x:v>7</x:v>
      </x:c>
      <x:c r="X565" s="87"/>
      <x:c r="Y565" s="87"/>
      <x:c r="Z565" s="87"/>
      <x:c r="AA565" s="87"/>
      <x:c r="AB565" s="87"/>
      <x:c r="AC565" s="87"/>
      <x:c r="AD565" s="87"/>
      <x:c r="AE565" s="87"/>
      <x:c r="AF565" s="87"/>
      <x:c r="AG565" s="87"/>
      <x:c r="AH565" s="87"/>
      <x:c r="AI565" s="30"/>
      <x:c r="AJ565" s="87" t="str">
        <x:v>master</x:v>
      </x:c>
      <x:c r="AK565" s="87" t="str">
        <x:v>master-v0.81</x:v>
      </x:c>
      <x:c r="AL565" s="87" t="str">
        <x:v>statgrad_master_base_v0_81_final(2).xlsx</x:v>
      </x:c>
      <x:c r="AM565" s="87" t="str">
        <x:v>MATH_Feb_Base_V1</x:v>
      </x:c>
      <x:c r="AN565" s="87" t="n">
        <x:v>15</x:v>
      </x:c>
    </x:row>
    <x:row r="566">
      <x:c r="A566" s="87" t="n">
        <x:v>565</x:v>
      </x:c>
      <x:c r="B566" s="87" t="str">
        <x:v>FEB-MATH-B-V1-015</x:v>
      </x:c>
      <x:c r="C566" s="87" t="str">
        <x:v>СтатГрад</x:v>
      </x:c>
      <x:c r="D566" s="87" t="str">
        <x:v>Февраль 2026</x:v>
      </x:c>
      <x:c r="E566" s="87"/>
      <x:c r="F566" s="87"/>
      <x:c r="G566" s="87" t="str">
        <x:v>Математика</x:v>
      </x:c>
      <x:c r="H566" s="87" t="n">
        <x:v>11</x:v>
      </x:c>
      <x:c r="I566" s="87" t="str">
        <x:v>ТР №3</x:v>
      </x:c>
      <x:c r="J566" s="87" t="str">
        <x:v>МА2510301</x:v>
      </x:c>
      <x:c r="K566" s="87" t="n">
        <x:v>15</x:v>
      </x:c>
      <x:c r="L566" s="87" t="str">
        <x:v>Проценты и отношения</x:v>
      </x:c>
      <x:c r="M566" s="30" t="str">
        <x:v>Говядину и свинину взяли в отношении 2:3. Какой процент фарша составляет свинина?</x:v>
      </x:c>
      <x:c r="N566" s="30" t="str">
        <x:v>60%</x:v>
      </x:c>
      <x:c r="O566" s="30" t="str">
        <x:v>Всего 2+3=5 равных частей, из них 3 части — свинина. 3/5·100%=60%.</x:v>
      </x:c>
      <x:c r="P566" s="30" t="str">
        <x:v>Доля свинины проверена по отношению частей.</x:v>
      </x:c>
      <x:c r="Q566" s="30"/>
      <x:c r="R566" s="30" t="str">
        <x:v>60</x:v>
      </x:c>
      <x:c r="S566" s="30"/>
      <x:c r="T566" s="30"/>
      <x:c r="U566" s="30" t="str">
        <x:v>Расхождений нет.</x:v>
      </x:c>
      <x:c r="V566" s="87" t="str">
        <x:v>VERIFIED</x:v>
      </x:c>
      <x:c r="W566" s="87" t="n">
        <x:v>7</x:v>
      </x:c>
      <x:c r="X566" s="87"/>
      <x:c r="Y566" s="87"/>
      <x:c r="Z566" s="87"/>
      <x:c r="AA566" s="87"/>
      <x:c r="AB566" s="87"/>
      <x:c r="AC566" s="87"/>
      <x:c r="AD566" s="87"/>
      <x:c r="AE566" s="87"/>
      <x:c r="AF566" s="87"/>
      <x:c r="AG566" s="87"/>
      <x:c r="AH566" s="87"/>
      <x:c r="AI566" s="30"/>
      <x:c r="AJ566" s="87" t="str">
        <x:v>master</x:v>
      </x:c>
      <x:c r="AK566" s="87" t="str">
        <x:v>master-v0.81</x:v>
      </x:c>
      <x:c r="AL566" s="87" t="str">
        <x:v>statgrad_master_base_v0_81_final(2).xlsx</x:v>
      </x:c>
      <x:c r="AM566" s="87" t="str">
        <x:v>MATH_Feb_Base_V1</x:v>
      </x:c>
      <x:c r="AN566" s="87" t="n">
        <x:v>16</x:v>
      </x:c>
    </x:row>
    <x:row r="567">
      <x:c r="A567" s="87" t="n">
        <x:v>566</x:v>
      </x:c>
      <x:c r="B567" s="87" t="str">
        <x:v>FEB-MATH-B-V1-016</x:v>
      </x:c>
      <x:c r="C567" s="87" t="str">
        <x:v>СтатГрад</x:v>
      </x:c>
      <x:c r="D567" s="87" t="str">
        <x:v>Февраль 2026</x:v>
      </x:c>
      <x:c r="E567" s="87"/>
      <x:c r="F567" s="87"/>
      <x:c r="G567" s="87" t="str">
        <x:v>Математика</x:v>
      </x:c>
      <x:c r="H567" s="87" t="n">
        <x:v>11</x:v>
      </x:c>
      <x:c r="I567" s="87" t="str">
        <x:v>ТР №3</x:v>
      </x:c>
      <x:c r="J567" s="87" t="str">
        <x:v>МА2510301</x:v>
      </x:c>
      <x:c r="K567" s="87" t="n">
        <x:v>16</x:v>
      </x:c>
      <x:c r="L567" s="87" t="str">
        <x:v>Степени</x:v>
      </x:c>
      <x:c r="M567" s="30" t="str">
        <x:v>Найдите значение (0,1³/10⁻²)·10².</x:v>
      </x:c>
      <x:c r="N567" s="30" t="str">
        <x:v>10</x:v>
      </x:c>
      <x:c r="O567" s="30" t="str">
        <x:v>0,1³=10⁻³. Тогда 10⁻³/10⁻²·10²=10⁻¹·10²=10¹=10.</x:v>
      </x:c>
      <x:c r="P567" s="30" t="str">
        <x:v>Правила действий со степенями применены последовательно.</x:v>
      </x:c>
      <x:c r="Q567" s="30"/>
      <x:c r="R567" s="30" t="str">
        <x:v>10</x:v>
      </x:c>
      <x:c r="S567" s="30"/>
      <x:c r="T567" s="30"/>
      <x:c r="U567" s="30" t="str">
        <x:v>Расхождений нет.</x:v>
      </x:c>
      <x:c r="V567" s="87" t="str">
        <x:v>VERIFIED</x:v>
      </x:c>
      <x:c r="W567" s="87" t="n">
        <x:v>7</x:v>
      </x:c>
      <x:c r="X567" s="87"/>
      <x:c r="Y567" s="87"/>
      <x:c r="Z567" s="87"/>
      <x:c r="AA567" s="87"/>
      <x:c r="AB567" s="87"/>
      <x:c r="AC567" s="87"/>
      <x:c r="AD567" s="87"/>
      <x:c r="AE567" s="87"/>
      <x:c r="AF567" s="87"/>
      <x:c r="AG567" s="87"/>
      <x:c r="AH567" s="87"/>
      <x:c r="AI567" s="30"/>
      <x:c r="AJ567" s="87" t="str">
        <x:v>master</x:v>
      </x:c>
      <x:c r="AK567" s="87" t="str">
        <x:v>master-v0.81</x:v>
      </x:c>
      <x:c r="AL567" s="87" t="str">
        <x:v>statgrad_master_base_v0_81_final(2).xlsx</x:v>
      </x:c>
      <x:c r="AM567" s="87" t="str">
        <x:v>MATH_Feb_Base_V1</x:v>
      </x:c>
      <x:c r="AN567" s="87" t="n">
        <x:v>17</x:v>
      </x:c>
    </x:row>
    <x:row r="568">
      <x:c r="A568" s="87" t="n">
        <x:v>567</x:v>
      </x:c>
      <x:c r="B568" s="87" t="str">
        <x:v>FEB-MATH-B-V1-017</x:v>
      </x:c>
      <x:c r="C568" s="87" t="str">
        <x:v>СтатГрад</x:v>
      </x:c>
      <x:c r="D568" s="87" t="str">
        <x:v>Февраль 2026</x:v>
      </x:c>
      <x:c r="E568" s="87"/>
      <x:c r="F568" s="87"/>
      <x:c r="G568" s="87" t="str">
        <x:v>Математика</x:v>
      </x:c>
      <x:c r="H568" s="87" t="n">
        <x:v>11</x:v>
      </x:c>
      <x:c r="I568" s="87" t="str">
        <x:v>ТР №3</x:v>
      </x:c>
      <x:c r="J568" s="87" t="str">
        <x:v>МА2510301</x:v>
      </x:c>
      <x:c r="K568" s="87" t="n">
        <x:v>17</x:v>
      </x:c>
      <x:c r="L568" s="87" t="str">
        <x:v>Логарифмическое уравнение</x:v>
      </x:c>
      <x:c r="M568" s="30" t="str">
        <x:v>Решите log₆(4x+21)=log₆9.</x:v>
      </x:c>
      <x:c r="N568" s="30" t="str">
        <x:v>−3</x:v>
      </x:c>
      <x:c r="O568" s="30" t="str">
        <x:v>При одинаковом основании равны аргументы: 4x+21=9. Отсюда 4x=−12 и x=−3. Аргумент равен 9&gt;0.</x:v>
      </x:c>
      <x:c r="P568" s="30" t="str">
        <x:v>Корень проверен подстановкой и условием существования логарифма.</x:v>
      </x:c>
      <x:c r="Q568" s="30"/>
      <x:c r="R568" s="30" t="str">
        <x:v>−3</x:v>
      </x:c>
      <x:c r="S568" s="30"/>
      <x:c r="T568" s="30"/>
      <x:c r="U568" s="30" t="str">
        <x:v>Расхождений нет.</x:v>
      </x:c>
      <x:c r="V568" s="87" t="str">
        <x:v>VERIFIED</x:v>
      </x:c>
      <x:c r="W568" s="87" t="n">
        <x:v>7</x:v>
      </x:c>
      <x:c r="X568" s="87"/>
      <x:c r="Y568" s="87"/>
      <x:c r="Z568" s="87"/>
      <x:c r="AA568" s="87"/>
      <x:c r="AB568" s="87"/>
      <x:c r="AC568" s="87"/>
      <x:c r="AD568" s="87"/>
      <x:c r="AE568" s="87"/>
      <x:c r="AF568" s="87"/>
      <x:c r="AG568" s="87"/>
      <x:c r="AH568" s="87"/>
      <x:c r="AI568" s="30"/>
      <x:c r="AJ568" s="87" t="str">
        <x:v>master</x:v>
      </x:c>
      <x:c r="AK568" s="87" t="str">
        <x:v>master-v0.81</x:v>
      </x:c>
      <x:c r="AL568" s="87" t="str">
        <x:v>statgrad_master_base_v0_81_final(2).xlsx</x:v>
      </x:c>
      <x:c r="AM568" s="87" t="str">
        <x:v>MATH_Feb_Base_V1</x:v>
      </x:c>
      <x:c r="AN568" s="87" t="n">
        <x:v>18</x:v>
      </x:c>
    </x:row>
    <x:row r="569">
      <x:c r="A569" s="87" t="n">
        <x:v>568</x:v>
      </x:c>
      <x:c r="B569" s="87" t="str">
        <x:v>FEB-MATH-B-V1-018</x:v>
      </x:c>
      <x:c r="C569" s="87" t="str">
        <x:v>СтатГрад</x:v>
      </x:c>
      <x:c r="D569" s="87" t="str">
        <x:v>Февраль 2026</x:v>
      </x:c>
      <x:c r="E569" s="87"/>
      <x:c r="F569" s="87"/>
      <x:c r="G569" s="87" t="str">
        <x:v>Математика</x:v>
      </x:c>
      <x:c r="H569" s="87" t="n">
        <x:v>11</x:v>
      </x:c>
      <x:c r="I569" s="87" t="str">
        <x:v>ТР №3</x:v>
      </x:c>
      <x:c r="J569" s="87" t="str">
        <x:v>МА2510301</x:v>
      </x:c>
      <x:c r="K569" s="87" t="n">
        <x:v>18</x:v>
      </x:c>
      <x:c r="L569" s="87" t="str">
        <x:v>Числовые интервалы</x:v>
      </x:c>
      <x:c r="M569" s="30" t="str">
        <x:v>Соотнесите числа 2√2−√3, √2·√3, 3√2−4 и (√2)³+2 с интервалами [0;1], [1;2], [2;3], [4;5].</x:v>
      </x:c>
      <x:c r="N569" s="30" t="str">
        <x:v>2314</x:v>
      </x:c>
      <x:c r="O569" s="30" t="str">
        <x:v>2√2−√3≈1,10 — интервал 2; √6≈2,45 — интервал 3; 3√2−4≈0,24 — интервал 1; 2√2+2≈4,83 — интервал 4.</x:v>
      </x:c>
      <x:c r="P569" s="30" t="str">
        <x:v>Приближённые значения вычислены с достаточной точностью для определения интервалов.</x:v>
      </x:c>
      <x:c r="Q569" s="30"/>
      <x:c r="R569" s="30" t="str">
        <x:v>2314</x:v>
      </x:c>
      <x:c r="S569" s="30"/>
      <x:c r="T569" s="30"/>
      <x:c r="U569" s="30" t="str">
        <x:v>Расхождений нет.</x:v>
      </x:c>
      <x:c r="V569" s="87" t="str">
        <x:v>VERIFIED</x:v>
      </x:c>
      <x:c r="W569" s="87" t="n">
        <x:v>8</x:v>
      </x:c>
      <x:c r="X569" s="87"/>
      <x:c r="Y569" s="87"/>
      <x:c r="Z569" s="87"/>
      <x:c r="AA569" s="87"/>
      <x:c r="AB569" s="87"/>
      <x:c r="AC569" s="87"/>
      <x:c r="AD569" s="87"/>
      <x:c r="AE569" s="87"/>
      <x:c r="AF569" s="87"/>
      <x:c r="AG569" s="87"/>
      <x:c r="AH569" s="87"/>
      <x:c r="AI569" s="30"/>
      <x:c r="AJ569" s="87" t="str">
        <x:v>master</x:v>
      </x:c>
      <x:c r="AK569" s="87" t="str">
        <x:v>master-v0.81</x:v>
      </x:c>
      <x:c r="AL569" s="87" t="str">
        <x:v>statgrad_master_base_v0_81_final(2).xlsx</x:v>
      </x:c>
      <x:c r="AM569" s="87" t="str">
        <x:v>MATH_Feb_Base_V1</x:v>
      </x:c>
      <x:c r="AN569" s="87" t="n">
        <x:v>19</x:v>
      </x:c>
    </x:row>
    <x:row r="570">
      <x:c r="A570" s="87" t="n">
        <x:v>569</x:v>
      </x:c>
      <x:c r="B570" s="87" t="str">
        <x:v>FEB-MATH-B-V1-019</x:v>
      </x:c>
      <x:c r="C570" s="87" t="str">
        <x:v>СтатГрад</x:v>
      </x:c>
      <x:c r="D570" s="87" t="str">
        <x:v>Февраль 2026</x:v>
      </x:c>
      <x:c r="E570" s="87"/>
      <x:c r="F570" s="87"/>
      <x:c r="G570" s="87" t="str">
        <x:v>Математика</x:v>
      </x:c>
      <x:c r="H570" s="87" t="n">
        <x:v>11</x:v>
      </x:c>
      <x:c r="I570" s="87" t="str">
        <x:v>ТР №3</x:v>
      </x:c>
      <x:c r="J570" s="87" t="str">
        <x:v>МА2510301</x:v>
      </x:c>
      <x:c r="K570" s="87" t="n">
        <x:v>19</x:v>
      </x:c>
      <x:c r="L570" s="87" t="str">
        <x:v>Делимость и цифры числа</x:v>
      </x:c>
      <x:c r="M570" s="30" t="str">
        <x:v>Найдите натуральное число между 6000 и 7000, которое делится на 12 и у которого каждая следующая цифра меньше предыдущей.</x:v>
      </x:c>
      <x:c r="N570" s="30" t="str">
        <x:v>6420</x:v>
      </x:c>
      <x:c r="O570" s="30" t="str">
        <x:v>У числа 6420 цифры строго убывают: 6&gt;4&gt;2&gt;0. Последние две цифры 20 делятся на 4, а сумма цифр 12 делится на 3, поэтому число делится на 12.</x:v>
      </x:c>
      <x:c r="P570" s="30" t="str">
        <x:v>Проверены диапазон, строгое убывание цифр и оба признака делимости на 12.</x:v>
      </x:c>
      <x:c r="Q570" s="30"/>
      <x:c r="R570" s="30" t="str">
        <x:v>6420</x:v>
      </x:c>
      <x:c r="S570" s="30"/>
      <x:c r="T570" s="30"/>
      <x:c r="U570" s="30" t="str">
        <x:v>Расхождений нет.</x:v>
      </x:c>
      <x:c r="V570" s="87" t="str">
        <x:v>VERIFIED</x:v>
      </x:c>
      <x:c r="W570" s="87" t="n">
        <x:v>8</x:v>
      </x:c>
      <x:c r="X570" s="87"/>
      <x:c r="Y570" s="87"/>
      <x:c r="Z570" s="87"/>
      <x:c r="AA570" s="87"/>
      <x:c r="AB570" s="87"/>
      <x:c r="AC570" s="87"/>
      <x:c r="AD570" s="87"/>
      <x:c r="AE570" s="87"/>
      <x:c r="AF570" s="87"/>
      <x:c r="AG570" s="87"/>
      <x:c r="AH570" s="87"/>
      <x:c r="AI570" s="30"/>
      <x:c r="AJ570" s="87" t="str">
        <x:v>master</x:v>
      </x:c>
      <x:c r="AK570" s="87" t="str">
        <x:v>master-v0.81</x:v>
      </x:c>
      <x:c r="AL570" s="87" t="str">
        <x:v>statgrad_master_base_v0_81_final(2).xlsx</x:v>
      </x:c>
      <x:c r="AM570" s="87" t="str">
        <x:v>MATH_Feb_Base_V1</x:v>
      </x:c>
      <x:c r="AN570" s="87" t="n">
        <x:v>20</x:v>
      </x:c>
    </x:row>
    <x:row r="571">
      <x:c r="A571" s="87" t="n">
        <x:v>570</x:v>
      </x:c>
      <x:c r="B571" s="87" t="str">
        <x:v>FEB-MATH-B-V1-020</x:v>
      </x:c>
      <x:c r="C571" s="87" t="str">
        <x:v>СтатГрад</x:v>
      </x:c>
      <x:c r="D571" s="87" t="str">
        <x:v>Февраль 2026</x:v>
      </x:c>
      <x:c r="E571" s="87"/>
      <x:c r="F571" s="87"/>
      <x:c r="G571" s="87" t="str">
        <x:v>Математика</x:v>
      </x:c>
      <x:c r="H571" s="87" t="n">
        <x:v>11</x:v>
      </x:c>
      <x:c r="I571" s="87" t="str">
        <x:v>ТР №3</x:v>
      </x:c>
      <x:c r="J571" s="87" t="str">
        <x:v>МА2510301</x:v>
      </x:c>
      <x:c r="K571" s="87" t="n">
        <x:v>20</x:v>
      </x:c>
      <x:c r="L571" s="87" t="str">
        <x:v>Концентрация смеси</x:v>
      </x:c>
      <x:c r="M571" s="30" t="str">
        <x:v>Смешали равные количества 12%-го и 18%-го растворов. Найдите концентрацию смеси.</x:v>
      </x:c>
      <x:c r="N571" s="30" t="str">
        <x:v>15%</x:v>
      </x:c>
      <x:c r="O571" s="30" t="str">
        <x:v>При равных массах концентрация равна среднему арифметическому: (12%+18%)/2=15%.</x:v>
      </x:c>
      <x:c r="P571" s="30" t="str">
        <x:v>Результат проверен балансом массы растворённого вещества.</x:v>
      </x:c>
      <x:c r="Q571" s="30"/>
      <x:c r="R571" s="30" t="str">
        <x:v>15</x:v>
      </x:c>
      <x:c r="S571" s="30"/>
      <x:c r="T571" s="30"/>
      <x:c r="U571" s="30" t="str">
        <x:v>Расхождений нет.</x:v>
      </x:c>
      <x:c r="V571" s="87" t="str">
        <x:v>VERIFIED</x:v>
      </x:c>
      <x:c r="W571" s="87" t="n">
        <x:v>8</x:v>
      </x:c>
      <x:c r="X571" s="87"/>
      <x:c r="Y571" s="87"/>
      <x:c r="Z571" s="87"/>
      <x:c r="AA571" s="87"/>
      <x:c r="AB571" s="87"/>
      <x:c r="AC571" s="87"/>
      <x:c r="AD571" s="87"/>
      <x:c r="AE571" s="87"/>
      <x:c r="AF571" s="87"/>
      <x:c r="AG571" s="87"/>
      <x:c r="AH571" s="87"/>
      <x:c r="AI571" s="30"/>
      <x:c r="AJ571" s="87" t="str">
        <x:v>master</x:v>
      </x:c>
      <x:c r="AK571" s="87" t="str">
        <x:v>master-v0.81</x:v>
      </x:c>
      <x:c r="AL571" s="87" t="str">
        <x:v>statgrad_master_base_v0_81_final(2).xlsx</x:v>
      </x:c>
      <x:c r="AM571" s="87" t="str">
        <x:v>MATH_Feb_Base_V1</x:v>
      </x:c>
      <x:c r="AN571" s="87" t="n">
        <x:v>21</x:v>
      </x:c>
    </x:row>
    <x:row r="572">
      <x:c r="A572" s="87" t="n">
        <x:v>571</x:v>
      </x:c>
      <x:c r="B572" s="87" t="str">
        <x:v>FEB-MATH-B-V1-021</x:v>
      </x:c>
      <x:c r="C572" s="87" t="str">
        <x:v>СтатГрад</x:v>
      </x:c>
      <x:c r="D572" s="87" t="str">
        <x:v>Февраль 2026</x:v>
      </x:c>
      <x:c r="E572" s="87"/>
      <x:c r="F572" s="87"/>
      <x:c r="G572" s="87" t="str">
        <x:v>Математика</x:v>
      </x:c>
      <x:c r="H572" s="87" t="n">
        <x:v>11</x:v>
      </x:c>
      <x:c r="I572" s="87" t="str">
        <x:v>ТР №3</x:v>
      </x:c>
      <x:c r="J572" s="87" t="str">
        <x:v>МА2510301</x:v>
      </x:c>
      <x:c r="K572" s="87" t="n">
        <x:v>21</x:v>
      </x:c>
      <x:c r="L572" s="87" t="str">
        <x:v>Целочисленная задача</x:v>
      </x:c>
      <x:c r="M572" s="30" t="str">
        <x:v>Число этажей больше числа квартир на этаже, число квартир на этаже больше числа подъездов, подъездов больше одного. Всего 357 квартир. Найдите число этажей.</x:v>
      </x:c>
      <x:c r="N572" s="30" t="str">
        <x:v>17</x:v>
      </x:c>
      <x:c r="O572" s="30" t="str">
        <x:v>Пусть p — подъезды, q — квартир на этаже, f — этажи. Тогда pqf=357=3·7·17 и f&gt;q&gt;p&gt;1. Единственное разложение на три возрастающих множителя: p=3, q=7, f=17.</x:v>
      </x:c>
      <x:c r="P572" s="30" t="str">
        <x:v>Проверены все целые делители числа 357 и строгий порядок трёх величин.</x:v>
      </x:c>
      <x:c r="Q572" s="30"/>
      <x:c r="R572" s="30" t="str">
        <x:v>17</x:v>
      </x:c>
      <x:c r="S572" s="30"/>
      <x:c r="T572" s="30"/>
      <x:c r="U572" s="30" t="str">
        <x:v>Расхождений нет.</x:v>
      </x:c>
      <x:c r="V572" s="87" t="str">
        <x:v>VERIFIED</x:v>
      </x:c>
      <x:c r="W572" s="87" t="n">
        <x:v>8</x:v>
      </x:c>
      <x:c r="X572" s="87"/>
      <x:c r="Y572" s="87"/>
      <x:c r="Z572" s="87"/>
      <x:c r="AA572" s="87"/>
      <x:c r="AB572" s="87"/>
      <x:c r="AC572" s="87"/>
      <x:c r="AD572" s="87"/>
      <x:c r="AE572" s="87"/>
      <x:c r="AF572" s="87"/>
      <x:c r="AG572" s="87"/>
      <x:c r="AH572" s="87"/>
      <x:c r="AI572" s="30"/>
      <x:c r="AJ572" s="87" t="str">
        <x:v>master</x:v>
      </x:c>
      <x:c r="AK572" s="87" t="str">
        <x:v>master-v0.81</x:v>
      </x:c>
      <x:c r="AL572" s="87" t="str">
        <x:v>statgrad_master_base_v0_81_final(2).xlsx</x:v>
      </x:c>
      <x:c r="AM572" s="87" t="str">
        <x:v>MATH_Feb_Base_V1</x:v>
      </x:c>
      <x:c r="AN572" s="87" t="n">
        <x:v>22</x:v>
      </x:c>
    </x:row>
    <x:row r="573">
      <x:c r="A573" s="87" t="n">
        <x:v>572</x:v>
      </x:c>
      <x:c r="B573" s="87" t="str">
        <x:v>FEB-MATH-B-V2-001</x:v>
      </x:c>
      <x:c r="C573" s="87" t="str">
        <x:v>СтатГрад</x:v>
      </x:c>
      <x:c r="D573" s="87" t="str">
        <x:v>Февраль 2026</x:v>
      </x:c>
      <x:c r="E573" s="87"/>
      <x:c r="F573" s="87"/>
      <x:c r="G573" s="87" t="str">
        <x:v>Математика</x:v>
      </x:c>
      <x:c r="H573" s="87" t="n">
        <x:v>11</x:v>
      </x:c>
      <x:c r="I573" s="87" t="str">
        <x:v>ТР №3</x:v>
      </x:c>
      <x:c r="J573" s="87" t="str">
        <x:v>МА2510302</x:v>
      </x:c>
      <x:c r="K573" s="87" t="n">
        <x:v>1</x:v>
      </x:c>
      <x:c r="L573" s="87" t="str">
        <x:v>Перевод единиц скорости</x:v>
      </x:c>
      <x:c r="M573" s="30" t="str">
        <x:v>Спидометр показывает 62 мили в час. Одна миля равна 1609 м. Найдите скорость в километрах в час и округлите до целого.</x:v>
      </x:c>
      <x:c r="N573" s="30" t="str">
        <x:v>100 км/ч</x:v>
      </x:c>
      <x:c r="O573" s="30" t="str">
        <x:v>62·1,609=99,758 км/ч. После округления до целого получается 100 км/ч.</x:v>
      </x:c>
      <x:c r="P573" s="30" t="str">
        <x:v>Перевод миль в километры и округление выполнены независимо.</x:v>
      </x:c>
      <x:c r="Q573" s="30"/>
      <x:c r="R573" s="30" t="str">
        <x:v>100</x:v>
      </x:c>
      <x:c r="S573" s="30"/>
      <x:c r="T573" s="30"/>
      <x:c r="U573" s="30" t="str">
        <x:v>Расхождений нет.</x:v>
      </x:c>
      <x:c r="V573" s="87" t="str">
        <x:v>VERIFIED</x:v>
      </x:c>
      <x:c r="W573" s="87" t="n">
        <x:v>2</x:v>
      </x:c>
      <x:c r="X573" s="87"/>
      <x:c r="Y573" s="87"/>
      <x:c r="Z573" s="87"/>
      <x:c r="AA573" s="87"/>
      <x:c r="AB573" s="87"/>
      <x:c r="AC573" s="87"/>
      <x:c r="AD573" s="87"/>
      <x:c r="AE573" s="87"/>
      <x:c r="AF573" s="87"/>
      <x:c r="AG573" s="87"/>
      <x:c r="AH573" s="87"/>
      <x:c r="AI573" s="30"/>
      <x:c r="AJ573" s="87" t="str">
        <x:v>master</x:v>
      </x:c>
      <x:c r="AK573" s="87" t="str">
        <x:v>master-v0.81</x:v>
      </x:c>
      <x:c r="AL573" s="87" t="str">
        <x:v>statgrad_master_base_v0_81_final(2).xlsx</x:v>
      </x:c>
      <x:c r="AM573" s="87" t="str">
        <x:v>MATH_Feb_Base_V2</x:v>
      </x:c>
      <x:c r="AN573" s="87" t="n">
        <x:v>2</x:v>
      </x:c>
    </x:row>
    <x:row r="574">
      <x:c r="A574" s="87" t="n">
        <x:v>573</x:v>
      </x:c>
      <x:c r="B574" s="87" t="str">
        <x:v>FEB-MATH-B-V2-002</x:v>
      </x:c>
      <x:c r="C574" s="87" t="str">
        <x:v>СтатГрад</x:v>
      </x:c>
      <x:c r="D574" s="87" t="str">
        <x:v>Февраль 2026</x:v>
      </x:c>
      <x:c r="E574" s="87"/>
      <x:c r="F574" s="87"/>
      <x:c r="G574" s="87" t="str">
        <x:v>Математика</x:v>
      </x:c>
      <x:c r="H574" s="87" t="n">
        <x:v>11</x:v>
      </x:c>
      <x:c r="I574" s="87" t="str">
        <x:v>ТР №3</x:v>
      </x:c>
      <x:c r="J574" s="87" t="str">
        <x:v>МА2510302</x:v>
      </x:c>
      <x:c r="K574" s="87" t="n">
        <x:v>2</x:v>
      </x:c>
      <x:c r="L574" s="87" t="str">
        <x:v>Оценка величин</x:v>
      </x:c>
      <x:c r="M574" s="30" t="str">
        <x:v>Соотнесите рост новорождённого ребёнка, длину Енисея, толщину лезвия бритвы и высоту Эльбруса со значениями 3487 км, 50 см, 5642 м и 0,08 мм.</x:v>
      </x:c>
      <x:c r="N574" s="30" t="str">
        <x:v>2143</x:v>
      </x:c>
      <x:c r="O574" s="30" t="str">
        <x:v>Рост новорождённого — около 50 см (2); длина Енисея — около 3487 км (1); толщина лезвия — около 0,08 мм (4); высота Эльбруса — 5642 м (3).</x:v>
      </x:c>
      <x:c r="P574" s="30" t="str">
        <x:v>Каждое значение проверено по порядку величины и единицам измерения.</x:v>
      </x:c>
      <x:c r="Q574" s="30"/>
      <x:c r="R574" s="30" t="str">
        <x:v>2143</x:v>
      </x:c>
      <x:c r="S574" s="30"/>
      <x:c r="T574" s="30"/>
      <x:c r="U574" s="30" t="str">
        <x:v>Расхождений нет.</x:v>
      </x:c>
      <x:c r="V574" s="87" t="str">
        <x:v>VERIFIED</x:v>
      </x:c>
      <x:c r="W574" s="87" t="n">
        <x:v>2</x:v>
      </x:c>
      <x:c r="X574" s="87"/>
      <x:c r="Y574" s="87"/>
      <x:c r="Z574" s="87"/>
      <x:c r="AA574" s="87"/>
      <x:c r="AB574" s="87"/>
      <x:c r="AC574" s="87"/>
      <x:c r="AD574" s="87"/>
      <x:c r="AE574" s="87"/>
      <x:c r="AF574" s="87"/>
      <x:c r="AG574" s="87"/>
      <x:c r="AH574" s="87"/>
      <x:c r="AI574" s="30"/>
      <x:c r="AJ574" s="87" t="str">
        <x:v>master</x:v>
      </x:c>
      <x:c r="AK574" s="87" t="str">
        <x:v>master-v0.81</x:v>
      </x:c>
      <x:c r="AL574" s="87" t="str">
        <x:v>statgrad_master_base_v0_81_final(2).xlsx</x:v>
      </x:c>
      <x:c r="AM574" s="87" t="str">
        <x:v>MATH_Feb_Base_V2</x:v>
      </x:c>
      <x:c r="AN574" s="87" t="n">
        <x:v>3</x:v>
      </x:c>
    </x:row>
    <x:row r="575">
      <x:c r="A575" s="87" t="n">
        <x:v>574</x:v>
      </x:c>
      <x:c r="B575" s="87" t="str">
        <x:v>FEB-MATH-B-V2-003</x:v>
      </x:c>
      <x:c r="C575" s="87" t="str">
        <x:v>СтатГрад</x:v>
      </x:c>
      <x:c r="D575" s="87" t="str">
        <x:v>Февраль 2026</x:v>
      </x:c>
      <x:c r="E575" s="87"/>
      <x:c r="F575" s="87"/>
      <x:c r="G575" s="87" t="str">
        <x:v>Математика</x:v>
      </x:c>
      <x:c r="H575" s="87" t="n">
        <x:v>11</x:v>
      </x:c>
      <x:c r="I575" s="87" t="str">
        <x:v>ТР №3</x:v>
      </x:c>
      <x:c r="J575" s="87" t="str">
        <x:v>МА2510302</x:v>
      </x:c>
      <x:c r="K575" s="87" t="n">
        <x:v>3</x:v>
      </x:c>
      <x:c r="L575" s="87" t="str">
        <x:v>Чтение графика</x:v>
      </x:c>
      <x:c r="M575" s="30" t="str">
        <x:v>По графику зависимости атмосферного давления от высоты найдите высоту, на которой давление равно 720 мм рт. ст.</x:v>
      </x:c>
      <x:c r="N575" s="30" t="str">
        <x:v>0,5 км</x:v>
      </x:c>
      <x:c r="O575" s="30" t="str">
        <x:v>Горизонталь 720 мм рт. ст. пересекает кривую примерно посередине между отметками 0 и 1 км.</x:v>
      </x:c>
      <x:c r="P575" s="30" t="str">
        <x:v>Значение считано по координатной сетке графика и сверено с официальным ключом.</x:v>
      </x:c>
      <x:c r="Q575" s="30"/>
      <x:c r="R575" s="30" t="str">
        <x:v>0,5</x:v>
      </x:c>
      <x:c r="S575" s="30"/>
      <x:c r="T575" s="30"/>
      <x:c r="U575" s="30" t="str">
        <x:v>Расхождений нет.</x:v>
      </x:c>
      <x:c r="V575" s="87" t="str">
        <x:v>VERIFIED</x:v>
      </x:c>
      <x:c r="W575" s="87" t="n">
        <x:v>3</x:v>
      </x:c>
      <x:c r="X575" s="87"/>
      <x:c r="Y575" s="87"/>
      <x:c r="Z575" s="87"/>
      <x:c r="AA575" s="87"/>
      <x:c r="AB575" s="87"/>
      <x:c r="AC575" s="87"/>
      <x:c r="AD575" s="87"/>
      <x:c r="AE575" s="87"/>
      <x:c r="AF575" s="87"/>
      <x:c r="AG575" s="87"/>
      <x:c r="AH575" s="87"/>
      <x:c r="AI575" s="30"/>
      <x:c r="AJ575" s="87" t="str">
        <x:v>master</x:v>
      </x:c>
      <x:c r="AK575" s="87" t="str">
        <x:v>master-v0.81</x:v>
      </x:c>
      <x:c r="AL575" s="87" t="str">
        <x:v>statgrad_master_base_v0_81_final(2).xlsx</x:v>
      </x:c>
      <x:c r="AM575" s="87" t="str">
        <x:v>MATH_Feb_Base_V2</x:v>
      </x:c>
      <x:c r="AN575" s="87" t="n">
        <x:v>4</x:v>
      </x:c>
    </x:row>
    <x:row r="576">
      <x:c r="A576" s="87" t="n">
        <x:v>575</x:v>
      </x:c>
      <x:c r="B576" s="87" t="str">
        <x:v>FEB-MATH-B-V2-004</x:v>
      </x:c>
      <x:c r="C576" s="87" t="str">
        <x:v>СтатГрад</x:v>
      </x:c>
      <x:c r="D576" s="87" t="str">
        <x:v>Февраль 2026</x:v>
      </x:c>
      <x:c r="E576" s="87"/>
      <x:c r="F576" s="87"/>
      <x:c r="G576" s="87" t="str">
        <x:v>Математика</x:v>
      </x:c>
      <x:c r="H576" s="87" t="n">
        <x:v>11</x:v>
      </x:c>
      <x:c r="I576" s="87" t="str">
        <x:v>ТР №3</x:v>
      </x:c>
      <x:c r="J576" s="87" t="str">
        <x:v>МА2510302</x:v>
      </x:c>
      <x:c r="K576" s="87" t="n">
        <x:v>4</x:v>
      </x:c>
      <x:c r="L576" s="87" t="str">
        <x:v>Площадь четырёхугольника</x:v>
      </x:c>
      <x:c r="M576" s="30" t="str">
        <x:v>Найдите площадь по формуле S=(1/2)d₁d₂sinα, если d₁=15, d₂=11 и sinα=2/3.</x:v>
      </x:c>
      <x:c r="N576" s="30" t="str">
        <x:v>55</x:v>
      </x:c>
      <x:c r="O576" s="30" t="str">
        <x:v>S=(1/2)·15·11·2/3=15·11/3=55.</x:v>
      </x:c>
      <x:c r="P576" s="30" t="str">
        <x:v>Вычисление повторено последовательным сокращением множителей.</x:v>
      </x:c>
      <x:c r="Q576" s="30"/>
      <x:c r="R576" s="30" t="str">
        <x:v>55</x:v>
      </x:c>
      <x:c r="S576" s="30"/>
      <x:c r="T576" s="30"/>
      <x:c r="U576" s="30" t="str">
        <x:v>Расхождений нет.</x:v>
      </x:c>
      <x:c r="V576" s="87" t="str">
        <x:v>VERIFIED</x:v>
      </x:c>
      <x:c r="W576" s="87" t="n">
        <x:v>3</x:v>
      </x:c>
      <x:c r="X576" s="87"/>
      <x:c r="Y576" s="87"/>
      <x:c r="Z576" s="87"/>
      <x:c r="AA576" s="87"/>
      <x:c r="AB576" s="87"/>
      <x:c r="AC576" s="87"/>
      <x:c r="AD576" s="87"/>
      <x:c r="AE576" s="87"/>
      <x:c r="AF576" s="87"/>
      <x:c r="AG576" s="87"/>
      <x:c r="AH576" s="87"/>
      <x:c r="AI576" s="30"/>
      <x:c r="AJ576" s="87" t="str">
        <x:v>master</x:v>
      </x:c>
      <x:c r="AK576" s="87" t="str">
        <x:v>master-v0.81</x:v>
      </x:c>
      <x:c r="AL576" s="87" t="str">
        <x:v>statgrad_master_base_v0_81_final(2).xlsx</x:v>
      </x:c>
      <x:c r="AM576" s="87" t="str">
        <x:v>MATH_Feb_Base_V2</x:v>
      </x:c>
      <x:c r="AN576" s="87" t="n">
        <x:v>5</x:v>
      </x:c>
    </x:row>
    <x:row r="577">
      <x:c r="A577" s="87" t="n">
        <x:v>576</x:v>
      </x:c>
      <x:c r="B577" s="87" t="str">
        <x:v>FEB-MATH-B-V2-005</x:v>
      </x:c>
      <x:c r="C577" s="87" t="str">
        <x:v>СтатГрад</x:v>
      </x:c>
      <x:c r="D577" s="87" t="str">
        <x:v>Февраль 2026</x:v>
      </x:c>
      <x:c r="E577" s="87"/>
      <x:c r="F577" s="87"/>
      <x:c r="G577" s="87" t="str">
        <x:v>Математика</x:v>
      </x:c>
      <x:c r="H577" s="87" t="n">
        <x:v>11</x:v>
      </x:c>
      <x:c r="I577" s="87" t="str">
        <x:v>ТР №3</x:v>
      </x:c>
      <x:c r="J577" s="87" t="str">
        <x:v>МА2510302</x:v>
      </x:c>
      <x:c r="K577" s="87" t="n">
        <x:v>5</x:v>
      </x:c>
      <x:c r="L577" s="87" t="str">
        <x:v>Теория вероятностей</x:v>
      </x:c>
      <x:c r="M577" s="30" t="str">
        <x:v>Два будущих первоклассника независимо приходят на запись. Найдите вероятность, что оба окажутся девочками.</x:v>
      </x:c>
      <x:c r="N577" s="30" t="str">
        <x:v>0,25</x:v>
      </x:c>
      <x:c r="O577" s="30" t="str">
        <x:v>Для каждого ребёнка вероятность оказаться девочкой равна 1/2. При независимости P=1/2·1/2=1/4=0,25.</x:v>
      </x:c>
      <x:c r="P577" s="30" t="str">
        <x:v>Рассмотрены четыре равновероятные пары полов; одна из них — две девочки.</x:v>
      </x:c>
      <x:c r="Q577" s="30"/>
      <x:c r="R577" s="30" t="str">
        <x:v>0,25</x:v>
      </x:c>
      <x:c r="S577" s="30"/>
      <x:c r="T577" s="30"/>
      <x:c r="U577" s="30" t="str">
        <x:v>Расхождений нет.</x:v>
      </x:c>
      <x:c r="V577" s="87" t="str">
        <x:v>VERIFIED</x:v>
      </x:c>
      <x:c r="W577" s="87" t="n">
        <x:v>4</x:v>
      </x:c>
      <x:c r="X577" s="87"/>
      <x:c r="Y577" s="87"/>
      <x:c r="Z577" s="87"/>
      <x:c r="AA577" s="87"/>
      <x:c r="AB577" s="87"/>
      <x:c r="AC577" s="87"/>
      <x:c r="AD577" s="87"/>
      <x:c r="AE577" s="87"/>
      <x:c r="AF577" s="87"/>
      <x:c r="AG577" s="87"/>
      <x:c r="AH577" s="87"/>
      <x:c r="AI577" s="30"/>
      <x:c r="AJ577" s="87" t="str">
        <x:v>master</x:v>
      </x:c>
      <x:c r="AK577" s="87" t="str">
        <x:v>master-v0.81</x:v>
      </x:c>
      <x:c r="AL577" s="87" t="str">
        <x:v>statgrad_master_base_v0_81_final(2).xlsx</x:v>
      </x:c>
      <x:c r="AM577" s="87" t="str">
        <x:v>MATH_Feb_Base_V2</x:v>
      </x:c>
      <x:c r="AN577" s="87" t="n">
        <x:v>6</x:v>
      </x:c>
    </x:row>
    <x:row r="578">
      <x:c r="A578" s="87" t="n">
        <x:v>577</x:v>
      </x:c>
      <x:c r="B578" s="87" t="str">
        <x:v>FEB-MATH-B-V2-006</x:v>
      </x:c>
      <x:c r="C578" s="87" t="str">
        <x:v>СтатГрад</x:v>
      </x:c>
      <x:c r="D578" s="87" t="str">
        <x:v>Февраль 2026</x:v>
      </x:c>
      <x:c r="E578" s="87"/>
      <x:c r="F578" s="87"/>
      <x:c r="G578" s="87" t="str">
        <x:v>Математика</x:v>
      </x:c>
      <x:c r="H578" s="87" t="n">
        <x:v>11</x:v>
      </x:c>
      <x:c r="I578" s="87" t="str">
        <x:v>ТР №3</x:v>
      </x:c>
      <x:c r="J578" s="87" t="str">
        <x:v>МА2510302</x:v>
      </x:c>
      <x:c r="K578" s="87" t="n">
        <x:v>6</x:v>
      </x:c>
      <x:c r="L578" s="87" t="str">
        <x:v>Анализ таблицы</x:v>
      </x:c>
      <x:c r="M578" s="30" t="str">
        <x:v>Выберите чемоданы, у которых сумма длины, высоты и ширины не превышает 203 см, а масса не больше 23 кг.</x:v>
      </x:c>
      <x:c r="N578" s="30" t="str">
        <x:v>46</x:v>
      </x:c>
      <x:c r="O578" s="30" t="str">
        <x:v>Чемодан 4: 83+62+50=195 см, масса 21 кг; чемодан 6: 101+59+42=202 см, масса 19 кг. Остальные нарушают ограничение по габаритам или массе.</x:v>
      </x:c>
      <x:c r="P578" s="30" t="str">
        <x:v>Для всех шести строк отдельно проверены сумма трёх измерений и масса.</x:v>
      </x:c>
      <x:c r="Q578" s="30"/>
      <x:c r="R578" s="30" t="str">
        <x:v>46</x:v>
      </x:c>
      <x:c r="S578" s="30"/>
      <x:c r="T578" s="30"/>
      <x:c r="U578" s="30" t="str">
        <x:v>Расхождений нет.</x:v>
      </x:c>
      <x:c r="V578" s="87" t="str">
        <x:v>VERIFIED</x:v>
      </x:c>
      <x:c r="W578" s="87" t="n">
        <x:v>4</x:v>
      </x:c>
      <x:c r="X578" s="87"/>
      <x:c r="Y578" s="87"/>
      <x:c r="Z578" s="87"/>
      <x:c r="AA578" s="87"/>
      <x:c r="AB578" s="87"/>
      <x:c r="AC578" s="87"/>
      <x:c r="AD578" s="87"/>
      <x:c r="AE578" s="87"/>
      <x:c r="AF578" s="87"/>
      <x:c r="AG578" s="87"/>
      <x:c r="AH578" s="87"/>
      <x:c r="AI578" s="30"/>
      <x:c r="AJ578" s="87" t="str">
        <x:v>master</x:v>
      </x:c>
      <x:c r="AK578" s="87" t="str">
        <x:v>master-v0.81</x:v>
      </x:c>
      <x:c r="AL578" s="87" t="str">
        <x:v>statgrad_master_base_v0_81_final(2).xlsx</x:v>
      </x:c>
      <x:c r="AM578" s="87" t="str">
        <x:v>MATH_Feb_Base_V2</x:v>
      </x:c>
      <x:c r="AN578" s="87" t="n">
        <x:v>7</x:v>
      </x:c>
    </x:row>
    <x:row r="579">
      <x:c r="A579" s="87" t="n">
        <x:v>578</x:v>
      </x:c>
      <x:c r="B579" s="87" t="str">
        <x:v>FEB-MATH-B-V2-007</x:v>
      </x:c>
      <x:c r="C579" s="87" t="str">
        <x:v>СтатГрад</x:v>
      </x:c>
      <x:c r="D579" s="87" t="str">
        <x:v>Февраль 2026</x:v>
      </x:c>
      <x:c r="E579" s="87"/>
      <x:c r="F579" s="87"/>
      <x:c r="G579" s="87" t="str">
        <x:v>Математика</x:v>
      </x:c>
      <x:c r="H579" s="87" t="n">
        <x:v>11</x:v>
      </x:c>
      <x:c r="I579" s="87" t="str">
        <x:v>ТР №3</x:v>
      </x:c>
      <x:c r="J579" s="87" t="str">
        <x:v>МА2510302</x:v>
      </x:c>
      <x:c r="K579" s="87" t="n">
        <x:v>7</x:v>
      </x:c>
      <x:c r="L579" s="87" t="str">
        <x:v>Свойства функции по графику</x:v>
      </x:c>
      <x:c r="M579" s="30" t="str">
        <x:v>Соотнесите интервалы (a;b), (b;c), (c;d), (d;e) с характеристиками функции или её производной.</x:v>
      </x:c>
      <x:c r="N579" s="30" t="str">
        <x:v>1432</x:v>
      </x:c>
      <x:c r="O579" s="30" t="str">
        <x:v>На (a;b) функция положительна — 1; на (b;c) убывает, поэтому производная отрицательна — 4; на (c;d) функция отрицательна — 3; на (d;e) возрастает, поэтому производная положительна — 2.</x:v>
      </x:c>
      <x:c r="P579" s="30" t="str">
        <x:v>Знаки функции и направление монотонности считаны непосредственно по графику.</x:v>
      </x:c>
      <x:c r="Q579" s="30"/>
      <x:c r="R579" s="30" t="str">
        <x:v>1432</x:v>
      </x:c>
      <x:c r="S579" s="30"/>
      <x:c r="T579" s="30"/>
      <x:c r="U579" s="30" t="str">
        <x:v>Расхождений нет.</x:v>
      </x:c>
      <x:c r="V579" s="87" t="str">
        <x:v>VERIFIED</x:v>
      </x:c>
      <x:c r="W579" s="87" t="n">
        <x:v>5</x:v>
      </x:c>
      <x:c r="X579" s="87"/>
      <x:c r="Y579" s="87"/>
      <x:c r="Z579" s="87"/>
      <x:c r="AA579" s="87"/>
      <x:c r="AB579" s="87"/>
      <x:c r="AC579" s="87"/>
      <x:c r="AD579" s="87"/>
      <x:c r="AE579" s="87"/>
      <x:c r="AF579" s="87"/>
      <x:c r="AG579" s="87"/>
      <x:c r="AH579" s="87"/>
      <x:c r="AI579" s="30"/>
      <x:c r="AJ579" s="87" t="str">
        <x:v>master</x:v>
      </x:c>
      <x:c r="AK579" s="87" t="str">
        <x:v>master-v0.81</x:v>
      </x:c>
      <x:c r="AL579" s="87" t="str">
        <x:v>statgrad_master_base_v0_81_final(2).xlsx</x:v>
      </x:c>
      <x:c r="AM579" s="87" t="str">
        <x:v>MATH_Feb_Base_V2</x:v>
      </x:c>
      <x:c r="AN579" s="87" t="n">
        <x:v>8</x:v>
      </x:c>
    </x:row>
    <x:row r="580">
      <x:c r="A580" s="87" t="n">
        <x:v>579</x:v>
      </x:c>
      <x:c r="B580" s="87" t="str">
        <x:v>FEB-MATH-B-V2-008</x:v>
      </x:c>
      <x:c r="C580" s="87" t="str">
        <x:v>СтатГрад</x:v>
      </x:c>
      <x:c r="D580" s="87" t="str">
        <x:v>Февраль 2026</x:v>
      </x:c>
      <x:c r="E580" s="87"/>
      <x:c r="F580" s="87"/>
      <x:c r="G580" s="87" t="str">
        <x:v>Математика</x:v>
      </x:c>
      <x:c r="H580" s="87" t="n">
        <x:v>11</x:v>
      </x:c>
      <x:c r="I580" s="87" t="str">
        <x:v>ТР №3</x:v>
      </x:c>
      <x:c r="J580" s="87" t="str">
        <x:v>МА2510302</x:v>
      </x:c>
      <x:c r="K580" s="87" t="n">
        <x:v>8</x:v>
      </x:c>
      <x:c r="L580" s="87" t="str">
        <x:v>Множества</x:v>
      </x:c>
      <x:c r="M580" s="30" t="str">
        <x:v>Из 40 печений 10 посыпаны корицей, 20 — сахаром. Выберите утверждения, верные при любых возможных пересечениях множеств.</x:v>
      </x:c>
      <x:c r="N580" s="30" t="str">
        <x:v>23</x:v>
      </x:c>
      <x:c r="O580" s="30" t="str">
        <x:v>Не более 10 печений могут быть посыпаны одновременно сахаром и корицей, поэтому утверждение 3 верно. Объединение двух множеств содержит не более 30 печений, значит как минимум 10 не посыпаны ничем — верно утверждение 2.</x:v>
      </x:c>
      <x:c r="P580" s="30" t="str">
        <x:v>Границы пересечения и дополнения проверены формулой включений-исключений.</x:v>
      </x:c>
      <x:c r="Q580" s="30"/>
      <x:c r="R580" s="30" t="str">
        <x:v>23</x:v>
      </x:c>
      <x:c r="S580" s="30"/>
      <x:c r="T580" s="30"/>
      <x:c r="U580" s="30" t="str">
        <x:v>Расхождений нет.</x:v>
      </x:c>
      <x:c r="V580" s="87" t="str">
        <x:v>VERIFIED</x:v>
      </x:c>
      <x:c r="W580" s="87" t="n">
        <x:v>5</x:v>
      </x:c>
      <x:c r="X580" s="87"/>
      <x:c r="Y580" s="87"/>
      <x:c r="Z580" s="87"/>
      <x:c r="AA580" s="87"/>
      <x:c r="AB580" s="87"/>
      <x:c r="AC580" s="87"/>
      <x:c r="AD580" s="87"/>
      <x:c r="AE580" s="87"/>
      <x:c r="AF580" s="87"/>
      <x:c r="AG580" s="87"/>
      <x:c r="AH580" s="87"/>
      <x:c r="AI580" s="30"/>
      <x:c r="AJ580" s="87" t="str">
        <x:v>master</x:v>
      </x:c>
      <x:c r="AK580" s="87" t="str">
        <x:v>master-v0.81</x:v>
      </x:c>
      <x:c r="AL580" s="87" t="str">
        <x:v>statgrad_master_base_v0_81_final(2).xlsx</x:v>
      </x:c>
      <x:c r="AM580" s="87" t="str">
        <x:v>MATH_Feb_Base_V2</x:v>
      </x:c>
      <x:c r="AN580" s="87" t="n">
        <x:v>9</x:v>
      </x:c>
    </x:row>
    <x:row r="581">
      <x:c r="A581" s="87" t="n">
        <x:v>580</x:v>
      </x:c>
      <x:c r="B581" s="87" t="str">
        <x:v>FEB-MATH-B-V2-009</x:v>
      </x:c>
      <x:c r="C581" s="87" t="str">
        <x:v>СтатГрад</x:v>
      </x:c>
      <x:c r="D581" s="87" t="str">
        <x:v>Февраль 2026</x:v>
      </x:c>
      <x:c r="E581" s="87"/>
      <x:c r="F581" s="87"/>
      <x:c r="G581" s="87" t="str">
        <x:v>Математика</x:v>
      </x:c>
      <x:c r="H581" s="87" t="n">
        <x:v>11</x:v>
      </x:c>
      <x:c r="I581" s="87" t="str">
        <x:v>ТР №3</x:v>
      </x:c>
      <x:c r="J581" s="87" t="str">
        <x:v>МА2510302</x:v>
      </x:c>
      <x:c r="K581" s="87" t="n">
        <x:v>9</x:v>
      </x:c>
      <x:c r="L581" s="87" t="str">
        <x:v>Площадь фигуры на клетчатой бумаге</x:v>
      </x:c>
      <x:c r="M581" s="30" t="str">
        <x:v>Найдите площадь треугольного участка на сетке 1×1 м.</x:v>
      </x:c>
      <x:c r="N581" s="30" t="str">
        <x:v>12 м²</x:v>
      </x:c>
      <x:c r="O581" s="30" t="str">
        <x:v>Основание треугольника равно 6 клеткам, а высота — 4 клеткам. S=(1/2)·6·4=12 м².</x:v>
      </x:c>
      <x:c r="P581" s="30" t="str">
        <x:v>Координаты вершин, основание и высота считаны по сетке.</x:v>
      </x:c>
      <x:c r="Q581" s="30"/>
      <x:c r="R581" s="30" t="str">
        <x:v>12</x:v>
      </x:c>
      <x:c r="S581" s="30"/>
      <x:c r="T581" s="30"/>
      <x:c r="U581" s="30" t="str">
        <x:v>Расхождений нет.</x:v>
      </x:c>
      <x:c r="V581" s="87" t="str">
        <x:v>VERIFIED</x:v>
      </x:c>
      <x:c r="W581" s="87" t="n">
        <x:v>6</x:v>
      </x:c>
      <x:c r="X581" s="87"/>
      <x:c r="Y581" s="87"/>
      <x:c r="Z581" s="87"/>
      <x:c r="AA581" s="87"/>
      <x:c r="AB581" s="87"/>
      <x:c r="AC581" s="87"/>
      <x:c r="AD581" s="87"/>
      <x:c r="AE581" s="87"/>
      <x:c r="AF581" s="87"/>
      <x:c r="AG581" s="87"/>
      <x:c r="AH581" s="87"/>
      <x:c r="AI581" s="30"/>
      <x:c r="AJ581" s="87" t="str">
        <x:v>master</x:v>
      </x:c>
      <x:c r="AK581" s="87" t="str">
        <x:v>master-v0.81</x:v>
      </x:c>
      <x:c r="AL581" s="87" t="str">
        <x:v>statgrad_master_base_v0_81_final(2).xlsx</x:v>
      </x:c>
      <x:c r="AM581" s="87" t="str">
        <x:v>MATH_Feb_Base_V2</x:v>
      </x:c>
      <x:c r="AN581" s="87" t="n">
        <x:v>10</x:v>
      </x:c>
    </x:row>
    <x:row r="582">
      <x:c r="A582" s="87" t="n">
        <x:v>581</x:v>
      </x:c>
      <x:c r="B582" s="87" t="str">
        <x:v>FEB-MATH-B-V2-010</x:v>
      </x:c>
      <x:c r="C582" s="87" t="str">
        <x:v>СтатГрад</x:v>
      </x:c>
      <x:c r="D582" s="87" t="str">
        <x:v>Февраль 2026</x:v>
      </x:c>
      <x:c r="E582" s="87"/>
      <x:c r="F582" s="87"/>
      <x:c r="G582" s="87" t="str">
        <x:v>Математика</x:v>
      </x:c>
      <x:c r="H582" s="87" t="n">
        <x:v>11</x:v>
      </x:c>
      <x:c r="I582" s="87" t="str">
        <x:v>ТР №3</x:v>
      </x:c>
      <x:c r="J582" s="87" t="str">
        <x:v>МА2510302</x:v>
      </x:c>
      <x:c r="K582" s="87" t="n">
        <x:v>10</x:v>
      </x:c>
      <x:c r="L582" s="87" t="str">
        <x:v>Периметр и внутреннее ограждение</x:v>
      </x:c>
      <x:c r="M582" s="30" t="str">
        <x:v>Прямоугольный участок 24×36 м обносят забором и делят на две части, одна из которых — квадрат. Найдите суммарную длину забора.</x:v>
      </x:c>
      <x:c r="N582" s="30" t="str">
        <x:v>144 м</x:v>
      </x:c>
      <x:c r="O582" s="30" t="str">
        <x:v>Внешний периметр равен 2(24+36)=120 м. Для отделения квадрата 24×24 м нужна перегородка длиной 24 м. Всего 120+24=144 м.</x:v>
      </x:c>
      <x:c r="P582" s="30" t="str">
        <x:v>Учтены внешний контур и единственная внутренняя перегородка.</x:v>
      </x:c>
      <x:c r="Q582" s="30"/>
      <x:c r="R582" s="30" t="str">
        <x:v>144</x:v>
      </x:c>
      <x:c r="S582" s="30"/>
      <x:c r="T582" s="30"/>
      <x:c r="U582" s="30" t="str">
        <x:v>Расхождений нет.</x:v>
      </x:c>
      <x:c r="V582" s="87" t="str">
        <x:v>VERIFIED</x:v>
      </x:c>
      <x:c r="W582" s="87" t="n">
        <x:v>6</x:v>
      </x:c>
      <x:c r="X582" s="87"/>
      <x:c r="Y582" s="87"/>
      <x:c r="Z582" s="87"/>
      <x:c r="AA582" s="87"/>
      <x:c r="AB582" s="87"/>
      <x:c r="AC582" s="87"/>
      <x:c r="AD582" s="87"/>
      <x:c r="AE582" s="87"/>
      <x:c r="AF582" s="87"/>
      <x:c r="AG582" s="87"/>
      <x:c r="AH582" s="87"/>
      <x:c r="AI582" s="30"/>
      <x:c r="AJ582" s="87" t="str">
        <x:v>master</x:v>
      </x:c>
      <x:c r="AK582" s="87" t="str">
        <x:v>master-v0.81</x:v>
      </x:c>
      <x:c r="AL582" s="87" t="str">
        <x:v>statgrad_master_base_v0_81_final(2).xlsx</x:v>
      </x:c>
      <x:c r="AM582" s="87" t="str">
        <x:v>MATH_Feb_Base_V2</x:v>
      </x:c>
      <x:c r="AN582" s="87" t="n">
        <x:v>11</x:v>
      </x:c>
    </x:row>
    <x:row r="583">
      <x:c r="A583" s="87" t="n">
        <x:v>582</x:v>
      </x:c>
      <x:c r="B583" s="87" t="str">
        <x:v>FEB-MATH-B-V2-011</x:v>
      </x:c>
      <x:c r="C583" s="87" t="str">
        <x:v>СтатГрад</x:v>
      </x:c>
      <x:c r="D583" s="87" t="str">
        <x:v>Февраль 2026</x:v>
      </x:c>
      <x:c r="E583" s="87"/>
      <x:c r="F583" s="87"/>
      <x:c r="G583" s="87" t="str">
        <x:v>Математика</x:v>
      </x:c>
      <x:c r="H583" s="87" t="n">
        <x:v>11</x:v>
      </x:c>
      <x:c r="I583" s="87" t="str">
        <x:v>ТР №3</x:v>
      </x:c>
      <x:c r="J583" s="87" t="str">
        <x:v>МА2510302</x:v>
      </x:c>
      <x:c r="K583" s="87" t="n">
        <x:v>11</x:v>
      </x:c>
      <x:c r="L583" s="87" t="str">
        <x:v>Объём цилиндра</x:v>
      </x:c>
      <x:c r="M583" s="30" t="str">
        <x:v>Вода занимает в цилиндре высоту 60 см. Её перелили в цилиндр с радиусом основания вдвое больше. Найдите новую высоту.</x:v>
      </x:c>
      <x:c r="N583" s="30" t="str">
        <x:v>15 см</x:v>
      </x:c>
      <x:c r="O583" s="30" t="str">
        <x:v>Объём сохраняется. При увеличении радиуса в 2 раза площадь основания возрастает в 4 раза, поэтому высота уменьшается в 4 раза: 60/4=15 см.</x:v>
      </x:c>
      <x:c r="P583" s="30" t="str">
        <x:v>Равенство πR²·60=π(2R)²·h даёт тот же результат.</x:v>
      </x:c>
      <x:c r="Q583" s="30"/>
      <x:c r="R583" s="30" t="str">
        <x:v>15</x:v>
      </x:c>
      <x:c r="S583" s="30"/>
      <x:c r="T583" s="30"/>
      <x:c r="U583" s="30" t="str">
        <x:v>Расхождений нет.</x:v>
      </x:c>
      <x:c r="V583" s="87" t="str">
        <x:v>VERIFIED</x:v>
      </x:c>
      <x:c r="W583" s="87" t="n">
        <x:v>6</x:v>
      </x:c>
      <x:c r="X583" s="87"/>
      <x:c r="Y583" s="87"/>
      <x:c r="Z583" s="87"/>
      <x:c r="AA583" s="87"/>
      <x:c r="AB583" s="87"/>
      <x:c r="AC583" s="87"/>
      <x:c r="AD583" s="87"/>
      <x:c r="AE583" s="87"/>
      <x:c r="AF583" s="87"/>
      <x:c r="AG583" s="87"/>
      <x:c r="AH583" s="87"/>
      <x:c r="AI583" s="30"/>
      <x:c r="AJ583" s="87" t="str">
        <x:v>master</x:v>
      </x:c>
      <x:c r="AK583" s="87" t="str">
        <x:v>master-v0.81</x:v>
      </x:c>
      <x:c r="AL583" s="87" t="str">
        <x:v>statgrad_master_base_v0_81_final(2).xlsx</x:v>
      </x:c>
      <x:c r="AM583" s="87" t="str">
        <x:v>MATH_Feb_Base_V2</x:v>
      </x:c>
      <x:c r="AN583" s="87" t="n">
        <x:v>12</x:v>
      </x:c>
    </x:row>
    <x:row r="584">
      <x:c r="A584" s="87" t="n">
        <x:v>583</x:v>
      </x:c>
      <x:c r="B584" s="87" t="str">
        <x:v>FEB-MATH-B-V2-012</x:v>
      </x:c>
      <x:c r="C584" s="87" t="str">
        <x:v>СтатГрад</x:v>
      </x:c>
      <x:c r="D584" s="87" t="str">
        <x:v>Февраль 2026</x:v>
      </x:c>
      <x:c r="E584" s="87"/>
      <x:c r="F584" s="87"/>
      <x:c r="G584" s="87" t="str">
        <x:v>Математика</x:v>
      </x:c>
      <x:c r="H584" s="87" t="n">
        <x:v>11</x:v>
      </x:c>
      <x:c r="I584" s="87" t="str">
        <x:v>ТР №3</x:v>
      </x:c>
      <x:c r="J584" s="87" t="str">
        <x:v>МА2510302</x:v>
      </x:c>
      <x:c r="K584" s="87" t="n">
        <x:v>12</x:v>
      </x:c>
      <x:c r="L584" s="87" t="str">
        <x:v>Окружность и диаметры</x:v>
      </x:c>
      <x:c r="M584" s="30" t="str">
        <x:v>AC и BD — диаметры окружности. Вписанный угол ACB равен 36°. Найдите угол AOD.</x:v>
      </x:c>
      <x:c r="N584" s="30" t="str">
        <x:v>108°</x:v>
      </x:c>
      <x:c r="O584" s="30" t="str">
        <x:v>Угол ACB опирается на дугу AB, поэтому центральный угол AOB равен 2·36°=72°. Лучи OB и OD противоположны, значит ∠AOD=180°−72°=108°.</x:v>
      </x:c>
      <x:c r="P584" s="30" t="str">
        <x:v>Проверено по теореме о вписанном угле и свойству диаметра.</x:v>
      </x:c>
      <x:c r="Q584" s="30"/>
      <x:c r="R584" s="30" t="str">
        <x:v>108</x:v>
      </x:c>
      <x:c r="S584" s="30"/>
      <x:c r="T584" s="30"/>
      <x:c r="U584" s="30" t="str">
        <x:v>Расхождений нет.</x:v>
      </x:c>
      <x:c r="V584" s="87" t="str">
        <x:v>VERIFIED</x:v>
      </x:c>
      <x:c r="W584" s="87" t="n">
        <x:v>6</x:v>
      </x:c>
      <x:c r="X584" s="87"/>
      <x:c r="Y584" s="87"/>
      <x:c r="Z584" s="87"/>
      <x:c r="AA584" s="87"/>
      <x:c r="AB584" s="87"/>
      <x:c r="AC584" s="87"/>
      <x:c r="AD584" s="87"/>
      <x:c r="AE584" s="87"/>
      <x:c r="AF584" s="87"/>
      <x:c r="AG584" s="87"/>
      <x:c r="AH584" s="87"/>
      <x:c r="AI584" s="30"/>
      <x:c r="AJ584" s="87" t="str">
        <x:v>master</x:v>
      </x:c>
      <x:c r="AK584" s="87" t="str">
        <x:v>master-v0.81</x:v>
      </x:c>
      <x:c r="AL584" s="87" t="str">
        <x:v>statgrad_master_base_v0_81_final(2).xlsx</x:v>
      </x:c>
      <x:c r="AM584" s="87" t="str">
        <x:v>MATH_Feb_Base_V2</x:v>
      </x:c>
      <x:c r="AN584" s="87" t="n">
        <x:v>13</x:v>
      </x:c>
    </x:row>
    <x:row r="585">
      <x:c r="A585" s="87" t="n">
        <x:v>584</x:v>
      </x:c>
      <x:c r="B585" s="87" t="str">
        <x:v>FEB-MATH-B-V2-013</x:v>
      </x:c>
      <x:c r="C585" s="87" t="str">
        <x:v>СтатГрад</x:v>
      </x:c>
      <x:c r="D585" s="87" t="str">
        <x:v>Февраль 2026</x:v>
      </x:c>
      <x:c r="E585" s="87"/>
      <x:c r="F585" s="87"/>
      <x:c r="G585" s="87" t="str">
        <x:v>Математика</x:v>
      </x:c>
      <x:c r="H585" s="87" t="n">
        <x:v>11</x:v>
      </x:c>
      <x:c r="I585" s="87" t="str">
        <x:v>ТР №3</x:v>
      </x:c>
      <x:c r="J585" s="87" t="str">
        <x:v>МА2510302</x:v>
      </x:c>
      <x:c r="K585" s="87" t="n">
        <x:v>13</x:v>
      </x:c>
      <x:c r="L585" s="87" t="str">
        <x:v>Площадь боковой поверхности пирамиды</x:v>
      </x:c>
      <x:c r="M585" s="30" t="str">
        <x:v>У правильной шестиугольной пирамиды сторона основания 40, боковое ребро 101. Найдите площадь боковой поверхности.</x:v>
      </x:c>
      <x:c r="N585" s="30" t="str">
        <x:v>11880</x:v>
      </x:c>
      <x:c r="O585" s="30" t="str">
        <x:v>Высота каждой боковой грани равна √(101²−20²)=√9801=99. Площадь одной грани (1/2)·40·99=1980, а шести граней — 6·1980=11880.</x:v>
      </x:c>
      <x:c r="P585" s="30" t="str">
        <x:v>Высота равнобедренной грани и сумма площадей шести одинаковых треугольников пересчитаны отдельно.</x:v>
      </x:c>
      <x:c r="Q585" s="30"/>
      <x:c r="R585" s="30" t="str">
        <x:v>11880</x:v>
      </x:c>
      <x:c r="S585" s="30"/>
      <x:c r="T585" s="30"/>
      <x:c r="U585" s="30" t="str">
        <x:v>Расхождений нет.</x:v>
      </x:c>
      <x:c r="V585" s="87" t="str">
        <x:v>VERIFIED</x:v>
      </x:c>
      <x:c r="W585" s="87" t="n">
        <x:v>7</x:v>
      </x:c>
      <x:c r="X585" s="87"/>
      <x:c r="Y585" s="87"/>
      <x:c r="Z585" s="87"/>
      <x:c r="AA585" s="87"/>
      <x:c r="AB585" s="87"/>
      <x:c r="AC585" s="87"/>
      <x:c r="AD585" s="87"/>
      <x:c r="AE585" s="87"/>
      <x:c r="AF585" s="87"/>
      <x:c r="AG585" s="87"/>
      <x:c r="AH585" s="87"/>
      <x:c r="AI585" s="30"/>
      <x:c r="AJ585" s="87" t="str">
        <x:v>master</x:v>
      </x:c>
      <x:c r="AK585" s="87" t="str">
        <x:v>master-v0.81</x:v>
      </x:c>
      <x:c r="AL585" s="87" t="str">
        <x:v>statgrad_master_base_v0_81_final(2).xlsx</x:v>
      </x:c>
      <x:c r="AM585" s="87" t="str">
        <x:v>MATH_Feb_Base_V2</x:v>
      </x:c>
      <x:c r="AN585" s="87" t="n">
        <x:v>14</x:v>
      </x:c>
    </x:row>
    <x:row r="586">
      <x:c r="A586" s="87" t="n">
        <x:v>585</x:v>
      </x:c>
      <x:c r="B586" s="87" t="str">
        <x:v>FEB-MATH-B-V2-014</x:v>
      </x:c>
      <x:c r="C586" s="87" t="str">
        <x:v>СтатГрад</x:v>
      </x:c>
      <x:c r="D586" s="87" t="str">
        <x:v>Февраль 2026</x:v>
      </x:c>
      <x:c r="E586" s="87"/>
      <x:c r="F586" s="87"/>
      <x:c r="G586" s="87" t="str">
        <x:v>Математика</x:v>
      </x:c>
      <x:c r="H586" s="87" t="n">
        <x:v>11</x:v>
      </x:c>
      <x:c r="I586" s="87" t="str">
        <x:v>ТР №3</x:v>
      </x:c>
      <x:c r="J586" s="87" t="str">
        <x:v>МА2510302</x:v>
      </x:c>
      <x:c r="K586" s="87" t="n">
        <x:v>14</x:v>
      </x:c>
      <x:c r="L586" s="87" t="str">
        <x:v>Арифметическое выражение</x:v>
      </x:c>
      <x:c r="M586" s="30" t="str">
        <x:v>Найдите значение (1/7)·0,84+3.</x:v>
      </x:c>
      <x:c r="N586" s="30" t="str">
        <x:v>3,12</x:v>
      </x:c>
      <x:c r="O586" s="30" t="str">
        <x:v>0,84/7=0,12; 0,12+3=3,12.</x:v>
      </x:c>
      <x:c r="P586" s="30" t="str">
        <x:v>Вычисление проверено переводом 0,84 в дробь 21/25.</x:v>
      </x:c>
      <x:c r="Q586" s="30"/>
      <x:c r="R586" s="30" t="str">
        <x:v>3,12</x:v>
      </x:c>
      <x:c r="S586" s="30"/>
      <x:c r="T586" s="30"/>
      <x:c r="U586" s="30" t="str">
        <x:v>Расхождений нет.</x:v>
      </x:c>
      <x:c r="V586" s="87" t="str">
        <x:v>VERIFIED</x:v>
      </x:c>
      <x:c r="W586" s="87" t="n">
        <x:v>7</x:v>
      </x:c>
      <x:c r="X586" s="87"/>
      <x:c r="Y586" s="87"/>
      <x:c r="Z586" s="87"/>
      <x:c r="AA586" s="87"/>
      <x:c r="AB586" s="87"/>
      <x:c r="AC586" s="87"/>
      <x:c r="AD586" s="87"/>
      <x:c r="AE586" s="87"/>
      <x:c r="AF586" s="87"/>
      <x:c r="AG586" s="87"/>
      <x:c r="AH586" s="87"/>
      <x:c r="AI586" s="30"/>
      <x:c r="AJ586" s="87" t="str">
        <x:v>master</x:v>
      </x:c>
      <x:c r="AK586" s="87" t="str">
        <x:v>master-v0.81</x:v>
      </x:c>
      <x:c r="AL586" s="87" t="str">
        <x:v>statgrad_master_base_v0_81_final(2).xlsx</x:v>
      </x:c>
      <x:c r="AM586" s="87" t="str">
        <x:v>MATH_Feb_Base_V2</x:v>
      </x:c>
      <x:c r="AN586" s="87" t="n">
        <x:v>15</x:v>
      </x:c>
    </x:row>
    <x:row r="587">
      <x:c r="A587" s="87" t="n">
        <x:v>586</x:v>
      </x:c>
      <x:c r="B587" s="87" t="str">
        <x:v>FEB-MATH-B-V2-015</x:v>
      </x:c>
      <x:c r="C587" s="87" t="str">
        <x:v>СтатГрад</x:v>
      </x:c>
      <x:c r="D587" s="87" t="str">
        <x:v>Февраль 2026</x:v>
      </x:c>
      <x:c r="E587" s="87"/>
      <x:c r="F587" s="87"/>
      <x:c r="G587" s="87" t="str">
        <x:v>Математика</x:v>
      </x:c>
      <x:c r="H587" s="87" t="n">
        <x:v>11</x:v>
      </x:c>
      <x:c r="I587" s="87" t="str">
        <x:v>ТР №3</x:v>
      </x:c>
      <x:c r="J587" s="87" t="str">
        <x:v>МА2510302</x:v>
      </x:c>
      <x:c r="K587" s="87" t="n">
        <x:v>15</x:v>
      </x:c>
      <x:c r="L587" s="87" t="str">
        <x:v>Проценты и отношения</x:v>
      </x:c>
      <x:c r="M587" s="30" t="str">
        <x:v>Говядину и свинину взяли в отношении 4:1. Какой процент фарша составляет свинина?</x:v>
      </x:c>
      <x:c r="N587" s="30" t="str">
        <x:v>20%</x:v>
      </x:c>
      <x:c r="O587" s="30" t="str">
        <x:v>Всего 4+1=5 равных частей, из них 1 часть — свинина. 1/5·100%=20%.</x:v>
      </x:c>
      <x:c r="P587" s="30" t="str">
        <x:v>Доля свинины проверена по отношению частей.</x:v>
      </x:c>
      <x:c r="Q587" s="30"/>
      <x:c r="R587" s="30" t="str">
        <x:v>20</x:v>
      </x:c>
      <x:c r="S587" s="30"/>
      <x:c r="T587" s="30"/>
      <x:c r="U587" s="30" t="str">
        <x:v>Расхождений нет.</x:v>
      </x:c>
      <x:c r="V587" s="87" t="str">
        <x:v>VERIFIED</x:v>
      </x:c>
      <x:c r="W587" s="87" t="n">
        <x:v>7</x:v>
      </x:c>
      <x:c r="X587" s="87"/>
      <x:c r="Y587" s="87"/>
      <x:c r="Z587" s="87"/>
      <x:c r="AA587" s="87"/>
      <x:c r="AB587" s="87"/>
      <x:c r="AC587" s="87"/>
      <x:c r="AD587" s="87"/>
      <x:c r="AE587" s="87"/>
      <x:c r="AF587" s="87"/>
      <x:c r="AG587" s="87"/>
      <x:c r="AH587" s="87"/>
      <x:c r="AI587" s="30"/>
      <x:c r="AJ587" s="87" t="str">
        <x:v>master</x:v>
      </x:c>
      <x:c r="AK587" s="87" t="str">
        <x:v>master-v0.81</x:v>
      </x:c>
      <x:c r="AL587" s="87" t="str">
        <x:v>statgrad_master_base_v0_81_final(2).xlsx</x:v>
      </x:c>
      <x:c r="AM587" s="87" t="str">
        <x:v>MATH_Feb_Base_V2</x:v>
      </x:c>
      <x:c r="AN587" s="87" t="n">
        <x:v>16</x:v>
      </x:c>
    </x:row>
    <x:row r="588">
      <x:c r="A588" s="87" t="n">
        <x:v>587</x:v>
      </x:c>
      <x:c r="B588" s="87" t="str">
        <x:v>FEB-MATH-B-V2-016</x:v>
      </x:c>
      <x:c r="C588" s="87" t="str">
        <x:v>СтатГрад</x:v>
      </x:c>
      <x:c r="D588" s="87" t="str">
        <x:v>Февраль 2026</x:v>
      </x:c>
      <x:c r="E588" s="87"/>
      <x:c r="F588" s="87"/>
      <x:c r="G588" s="87" t="str">
        <x:v>Математика</x:v>
      </x:c>
      <x:c r="H588" s="87" t="n">
        <x:v>11</x:v>
      </x:c>
      <x:c r="I588" s="87" t="str">
        <x:v>ТР №3</x:v>
      </x:c>
      <x:c r="J588" s="87" t="str">
        <x:v>МА2510302</x:v>
      </x:c>
      <x:c r="K588" s="87" t="n">
        <x:v>16</x:v>
      </x:c>
      <x:c r="L588" s="87" t="str">
        <x:v>Степени</x:v>
      </x:c>
      <x:c r="M588" s="30" t="str">
        <x:v>Найдите значение (0,01³/10⁻⁵)·10⁴.</x:v>
      </x:c>
      <x:c r="N588" s="30" t="str">
        <x:v>1000</x:v>
      </x:c>
      <x:c r="O588" s="30" t="str">
        <x:v>0,01³=(10⁻²)³=10⁻⁶. Тогда 10⁻⁶/10⁻⁵·10⁴=10⁻¹·10⁴=10³=1000.</x:v>
      </x:c>
      <x:c r="P588" s="30" t="str">
        <x:v>Правила действий со степенями применены последовательно.</x:v>
      </x:c>
      <x:c r="Q588" s="30"/>
      <x:c r="R588" s="30" t="str">
        <x:v>1000</x:v>
      </x:c>
      <x:c r="S588" s="30"/>
      <x:c r="T588" s="30"/>
      <x:c r="U588" s="30" t="str">
        <x:v>Расхождений нет.</x:v>
      </x:c>
      <x:c r="V588" s="87" t="str">
        <x:v>VERIFIED</x:v>
      </x:c>
      <x:c r="W588" s="87" t="n">
        <x:v>7</x:v>
      </x:c>
      <x:c r="X588" s="87"/>
      <x:c r="Y588" s="87"/>
      <x:c r="Z588" s="87"/>
      <x:c r="AA588" s="87"/>
      <x:c r="AB588" s="87"/>
      <x:c r="AC588" s="87"/>
      <x:c r="AD588" s="87"/>
      <x:c r="AE588" s="87"/>
      <x:c r="AF588" s="87"/>
      <x:c r="AG588" s="87"/>
      <x:c r="AH588" s="87"/>
      <x:c r="AI588" s="30"/>
      <x:c r="AJ588" s="87" t="str">
        <x:v>master</x:v>
      </x:c>
      <x:c r="AK588" s="87" t="str">
        <x:v>master-v0.81</x:v>
      </x:c>
      <x:c r="AL588" s="87" t="str">
        <x:v>statgrad_master_base_v0_81_final(2).xlsx</x:v>
      </x:c>
      <x:c r="AM588" s="87" t="str">
        <x:v>MATH_Feb_Base_V2</x:v>
      </x:c>
      <x:c r="AN588" s="87" t="n">
        <x:v>17</x:v>
      </x:c>
    </x:row>
    <x:row r="589">
      <x:c r="A589" s="87" t="n">
        <x:v>588</x:v>
      </x:c>
      <x:c r="B589" s="87" t="str">
        <x:v>FEB-MATH-B-V2-017</x:v>
      </x:c>
      <x:c r="C589" s="87" t="str">
        <x:v>СтатГрад</x:v>
      </x:c>
      <x:c r="D589" s="87" t="str">
        <x:v>Февраль 2026</x:v>
      </x:c>
      <x:c r="E589" s="87"/>
      <x:c r="F589" s="87"/>
      <x:c r="G589" s="87" t="str">
        <x:v>Математика</x:v>
      </x:c>
      <x:c r="H589" s="87" t="n">
        <x:v>11</x:v>
      </x:c>
      <x:c r="I589" s="87" t="str">
        <x:v>ТР №3</x:v>
      </x:c>
      <x:c r="J589" s="87" t="str">
        <x:v>МА2510302</x:v>
      </x:c>
      <x:c r="K589" s="87" t="n">
        <x:v>17</x:v>
      </x:c>
      <x:c r="L589" s="87" t="str">
        <x:v>Логарифмическое уравнение</x:v>
      </x:c>
      <x:c r="M589" s="30" t="str">
        <x:v>Решите log₁₇(29−6x)=log₁₇5.</x:v>
      </x:c>
      <x:c r="N589" s="30" t="str">
        <x:v>4</x:v>
      </x:c>
      <x:c r="O589" s="30" t="str">
        <x:v>При одинаковом основании равны аргументы: 29−6x=5. Отсюда 6x=24 и x=4. Аргумент равен 5&gt;0.</x:v>
      </x:c>
      <x:c r="P589" s="30" t="str">
        <x:v>Корень проверен подстановкой и условием существования логарифма.</x:v>
      </x:c>
      <x:c r="Q589" s="30"/>
      <x:c r="R589" s="30" t="str">
        <x:v>4</x:v>
      </x:c>
      <x:c r="S589" s="30"/>
      <x:c r="T589" s="30"/>
      <x:c r="U589" s="30" t="str">
        <x:v>Расхождений нет.</x:v>
      </x:c>
      <x:c r="V589" s="87" t="str">
        <x:v>VERIFIED</x:v>
      </x:c>
      <x:c r="W589" s="87" t="n">
        <x:v>7</x:v>
      </x:c>
      <x:c r="X589" s="87"/>
      <x:c r="Y589" s="87"/>
      <x:c r="Z589" s="87"/>
      <x:c r="AA589" s="87"/>
      <x:c r="AB589" s="87"/>
      <x:c r="AC589" s="87"/>
      <x:c r="AD589" s="87"/>
      <x:c r="AE589" s="87"/>
      <x:c r="AF589" s="87"/>
      <x:c r="AG589" s="87"/>
      <x:c r="AH589" s="87"/>
      <x:c r="AI589" s="30"/>
      <x:c r="AJ589" s="87" t="str">
        <x:v>master</x:v>
      </x:c>
      <x:c r="AK589" s="87" t="str">
        <x:v>master-v0.81</x:v>
      </x:c>
      <x:c r="AL589" s="87" t="str">
        <x:v>statgrad_master_base_v0_81_final(2).xlsx</x:v>
      </x:c>
      <x:c r="AM589" s="87" t="str">
        <x:v>MATH_Feb_Base_V2</x:v>
      </x:c>
      <x:c r="AN589" s="87" t="n">
        <x:v>18</x:v>
      </x:c>
    </x:row>
    <x:row r="590">
      <x:c r="A590" s="87" t="n">
        <x:v>589</x:v>
      </x:c>
      <x:c r="B590" s="87" t="str">
        <x:v>FEB-MATH-B-V2-018</x:v>
      </x:c>
      <x:c r="C590" s="87" t="str">
        <x:v>СтатГрад</x:v>
      </x:c>
      <x:c r="D590" s="87" t="str">
        <x:v>Февраль 2026</x:v>
      </x:c>
      <x:c r="E590" s="87"/>
      <x:c r="F590" s="87"/>
      <x:c r="G590" s="87" t="str">
        <x:v>Математика</x:v>
      </x:c>
      <x:c r="H590" s="87" t="n">
        <x:v>11</x:v>
      </x:c>
      <x:c r="I590" s="87" t="str">
        <x:v>ТР №3</x:v>
      </x:c>
      <x:c r="J590" s="87" t="str">
        <x:v>МА2510302</x:v>
      </x:c>
      <x:c r="K590" s="87" t="n">
        <x:v>18</x:v>
      </x:c>
      <x:c r="L590" s="87" t="str">
        <x:v>Числовые интервалы</x:v>
      </x:c>
      <x:c r="M590" s="30" t="str">
        <x:v>Соотнесите числа √3+√5, √3:√5, √3−2√5 и (√3)³−√5 с интервалами [−3;−2], [0;1], [2;3], [3;4].</x:v>
      </x:c>
      <x:c r="N590" s="30" t="str">
        <x:v>4213</x:v>
      </x:c>
      <x:c r="O590" s="30" t="str">
        <x:v>√3+√5≈3,97 — интервал 4; √(3/5)≈0,77 — интервал 2; √3−2√5≈−2,74 — интервал 1; 3√3−√5≈2,96 — интервал 3.</x:v>
      </x:c>
      <x:c r="P590" s="30" t="str">
        <x:v>Приближённые значения вычислены с достаточной точностью для выбора интервалов.</x:v>
      </x:c>
      <x:c r="Q590" s="30"/>
      <x:c r="R590" s="30" t="str">
        <x:v>4213</x:v>
      </x:c>
      <x:c r="S590" s="30"/>
      <x:c r="T590" s="30"/>
      <x:c r="U590" s="30" t="str">
        <x:v>Расхождений нет.</x:v>
      </x:c>
      <x:c r="V590" s="87" t="str">
        <x:v>VERIFIED</x:v>
      </x:c>
      <x:c r="W590" s="87" t="n">
        <x:v>8</x:v>
      </x:c>
      <x:c r="X590" s="87"/>
      <x:c r="Y590" s="87"/>
      <x:c r="Z590" s="87"/>
      <x:c r="AA590" s="87"/>
      <x:c r="AB590" s="87"/>
      <x:c r="AC590" s="87"/>
      <x:c r="AD590" s="87"/>
      <x:c r="AE590" s="87"/>
      <x:c r="AF590" s="87"/>
      <x:c r="AG590" s="87"/>
      <x:c r="AH590" s="87"/>
      <x:c r="AI590" s="30"/>
      <x:c r="AJ590" s="87" t="str">
        <x:v>master</x:v>
      </x:c>
      <x:c r="AK590" s="87" t="str">
        <x:v>master-v0.81</x:v>
      </x:c>
      <x:c r="AL590" s="87" t="str">
        <x:v>statgrad_master_base_v0_81_final(2).xlsx</x:v>
      </x:c>
      <x:c r="AM590" s="87" t="str">
        <x:v>MATH_Feb_Base_V2</x:v>
      </x:c>
      <x:c r="AN590" s="87" t="n">
        <x:v>19</x:v>
      </x:c>
    </x:row>
    <x:row r="591">
      <x:c r="A591" s="87" t="n">
        <x:v>590</x:v>
      </x:c>
      <x:c r="B591" s="87" t="str">
        <x:v>FEB-MATH-B-V2-019</x:v>
      </x:c>
      <x:c r="C591" s="87" t="str">
        <x:v>СтатГрад</x:v>
      </x:c>
      <x:c r="D591" s="87" t="str">
        <x:v>Февраль 2026</x:v>
      </x:c>
      <x:c r="E591" s="87"/>
      <x:c r="F591" s="87"/>
      <x:c r="G591" s="87" t="str">
        <x:v>Математика</x:v>
      </x:c>
      <x:c r="H591" s="87" t="n">
        <x:v>11</x:v>
      </x:c>
      <x:c r="I591" s="87" t="str">
        <x:v>ТР №3</x:v>
      </x:c>
      <x:c r="J591" s="87" t="str">
        <x:v>МА2510302</x:v>
      </x:c>
      <x:c r="K591" s="87" t="n">
        <x:v>19</x:v>
      </x:c>
      <x:c r="L591" s="87" t="str">
        <x:v>Делимость и цифры числа</x:v>
      </x:c>
      <x:c r="M591" s="30" t="str">
        <x:v>Найдите натуральное число больше 4000, но меньше 6000, которое делится на 20 и имеет строго убывающие цифры.</x:v>
      </x:c>
      <x:c r="N591" s="30" t="str">
        <x:v>4320</x:v>
      </x:c>
      <x:c r="O591" s="30" t="str">
        <x:v>Число 4320 лежит в заданном диапазоне, его цифры строго убывают: 4&gt;3&gt;2&gt;0. Оно оканчивается на 20, поэтому делится на 20.</x:v>
      </x:c>
      <x:c r="P591" s="30" t="str">
        <x:v>Проверены диапазон, строгое убывание цифр и делимость на 20.</x:v>
      </x:c>
      <x:c r="Q591" s="30"/>
      <x:c r="R591" s="30" t="str">
        <x:v>4320</x:v>
      </x:c>
      <x:c r="S591" s="30"/>
      <x:c r="T591" s="30"/>
      <x:c r="U591" s="30" t="str">
        <x:v>Расхождений нет.</x:v>
      </x:c>
      <x:c r="V591" s="87" t="str">
        <x:v>VERIFIED</x:v>
      </x:c>
      <x:c r="W591" s="87" t="n">
        <x:v>8</x:v>
      </x:c>
      <x:c r="X591" s="87"/>
      <x:c r="Y591" s="87"/>
      <x:c r="Z591" s="87"/>
      <x:c r="AA591" s="87"/>
      <x:c r="AB591" s="87"/>
      <x:c r="AC591" s="87"/>
      <x:c r="AD591" s="87"/>
      <x:c r="AE591" s="87"/>
      <x:c r="AF591" s="87"/>
      <x:c r="AG591" s="87"/>
      <x:c r="AH591" s="87"/>
      <x:c r="AI591" s="30"/>
      <x:c r="AJ591" s="87" t="str">
        <x:v>master</x:v>
      </x:c>
      <x:c r="AK591" s="87" t="str">
        <x:v>master-v0.81</x:v>
      </x:c>
      <x:c r="AL591" s="87" t="str">
        <x:v>statgrad_master_base_v0_81_final(2).xlsx</x:v>
      </x:c>
      <x:c r="AM591" s="87" t="str">
        <x:v>MATH_Feb_Base_V2</x:v>
      </x:c>
      <x:c r="AN591" s="87" t="n">
        <x:v>20</x:v>
      </x:c>
    </x:row>
    <x:row r="592">
      <x:c r="A592" s="87" t="n">
        <x:v>591</x:v>
      </x:c>
      <x:c r="B592" s="87" t="str">
        <x:v>FEB-MATH-B-V2-020</x:v>
      </x:c>
      <x:c r="C592" s="87" t="str">
        <x:v>СтатГрад</x:v>
      </x:c>
      <x:c r="D592" s="87" t="str">
        <x:v>Февраль 2026</x:v>
      </x:c>
      <x:c r="E592" s="87"/>
      <x:c r="F592" s="87"/>
      <x:c r="G592" s="87" t="str">
        <x:v>Математика</x:v>
      </x:c>
      <x:c r="H592" s="87" t="n">
        <x:v>11</x:v>
      </x:c>
      <x:c r="I592" s="87" t="str">
        <x:v>ТР №3</x:v>
      </x:c>
      <x:c r="J592" s="87" t="str">
        <x:v>МА2510302</x:v>
      </x:c>
      <x:c r="K592" s="87" t="n">
        <x:v>20</x:v>
      </x:c>
      <x:c r="L592" s="87" t="str">
        <x:v>Концентрация смеси</x:v>
      </x:c>
      <x:c r="M592" s="30" t="str">
        <x:v>Смешали равные количества 20%-го и 16%-го растворов. Найдите концентрацию полученного раствора.</x:v>
      </x:c>
      <x:c r="N592" s="30" t="str">
        <x:v>18%</x:v>
      </x:c>
      <x:c r="O592" s="30" t="str">
        <x:v>При равных массах концентрация равна среднему арифметическому: (20%+16%)/2=18%.</x:v>
      </x:c>
      <x:c r="P592" s="30" t="str">
        <x:v>Результат проверен балансом массы растворённого вещества.</x:v>
      </x:c>
      <x:c r="Q592" s="30"/>
      <x:c r="R592" s="30" t="str">
        <x:v>18</x:v>
      </x:c>
      <x:c r="S592" s="30"/>
      <x:c r="T592" s="30"/>
      <x:c r="U592" s="30" t="str">
        <x:v>Расхождений нет.</x:v>
      </x:c>
      <x:c r="V592" s="87" t="str">
        <x:v>VERIFIED</x:v>
      </x:c>
      <x:c r="W592" s="87" t="n">
        <x:v>8</x:v>
      </x:c>
      <x:c r="X592" s="87"/>
      <x:c r="Y592" s="87"/>
      <x:c r="Z592" s="87"/>
      <x:c r="AA592" s="87"/>
      <x:c r="AB592" s="87"/>
      <x:c r="AC592" s="87"/>
      <x:c r="AD592" s="87"/>
      <x:c r="AE592" s="87"/>
      <x:c r="AF592" s="87"/>
      <x:c r="AG592" s="87"/>
      <x:c r="AH592" s="87"/>
      <x:c r="AI592" s="30"/>
      <x:c r="AJ592" s="87" t="str">
        <x:v>master</x:v>
      </x:c>
      <x:c r="AK592" s="87" t="str">
        <x:v>master-v0.81</x:v>
      </x:c>
      <x:c r="AL592" s="87" t="str">
        <x:v>statgrad_master_base_v0_81_final(2).xlsx</x:v>
      </x:c>
      <x:c r="AM592" s="87" t="str">
        <x:v>MATH_Feb_Base_V2</x:v>
      </x:c>
      <x:c r="AN592" s="87" t="n">
        <x:v>21</x:v>
      </x:c>
    </x:row>
    <x:row r="593">
      <x:c r="A593" s="87" t="n">
        <x:v>592</x:v>
      </x:c>
      <x:c r="B593" s="87" t="str">
        <x:v>FEB-MATH-B-V2-021</x:v>
      </x:c>
      <x:c r="C593" s="87" t="str">
        <x:v>СтатГрад</x:v>
      </x:c>
      <x:c r="D593" s="87" t="str">
        <x:v>Февраль 2026</x:v>
      </x:c>
      <x:c r="E593" s="87"/>
      <x:c r="F593" s="87"/>
      <x:c r="G593" s="87" t="str">
        <x:v>Математика</x:v>
      </x:c>
      <x:c r="H593" s="87" t="n">
        <x:v>11</x:v>
      </x:c>
      <x:c r="I593" s="87" t="str">
        <x:v>ТР №3</x:v>
      </x:c>
      <x:c r="J593" s="87" t="str">
        <x:v>МА2510302</x:v>
      </x:c>
      <x:c r="K593" s="87" t="n">
        <x:v>21</x:v>
      </x:c>
      <x:c r="L593" s="87" t="str">
        <x:v>Целочисленная задача</x:v>
      </x:c>
      <x:c r="M593" s="30" t="str">
        <x:v>Число этажей больше числа квартир на этаже, число квартир на этаже больше числа подъездов, подъездов больше одного. Всего 110 квартир. Найдите число этажей.</x:v>
      </x:c>
      <x:c r="N593" s="30" t="str">
        <x:v>11</x:v>
      </x:c>
      <x:c r="O593" s="30" t="str">
        <x:v>Пусть p — число подъездов, q — квартир на этаже, f — этажей. Тогда pqf=110=2·5·11 и f&gt;q&gt;p&gt;1. Единственный подходящий набор: p=2, q=5, f=11.</x:v>
      </x:c>
      <x:c r="P593" s="30" t="str">
        <x:v>Проверены все целые делители числа 110 и строгий порядок трёх величин.</x:v>
      </x:c>
      <x:c r="Q593" s="30"/>
      <x:c r="R593" s="30" t="str">
        <x:v>11</x:v>
      </x:c>
      <x:c r="S593" s="30"/>
      <x:c r="T593" s="30"/>
      <x:c r="U593" s="30" t="str">
        <x:v>Расхождений нет.</x:v>
      </x:c>
      <x:c r="V593" s="87" t="str">
        <x:v>VERIFIED</x:v>
      </x:c>
      <x:c r="W593" s="87" t="n">
        <x:v>8</x:v>
      </x:c>
      <x:c r="X593" s="87"/>
      <x:c r="Y593" s="87"/>
      <x:c r="Z593" s="87"/>
      <x:c r="AA593" s="87"/>
      <x:c r="AB593" s="87"/>
      <x:c r="AC593" s="87"/>
      <x:c r="AD593" s="87"/>
      <x:c r="AE593" s="87"/>
      <x:c r="AF593" s="87"/>
      <x:c r="AG593" s="87"/>
      <x:c r="AH593" s="87"/>
      <x:c r="AI593" s="30"/>
      <x:c r="AJ593" s="87" t="str">
        <x:v>master</x:v>
      </x:c>
      <x:c r="AK593" s="87" t="str">
        <x:v>master-v0.81</x:v>
      </x:c>
      <x:c r="AL593" s="87" t="str">
        <x:v>statgrad_master_base_v0_81_final(2).xlsx</x:v>
      </x:c>
      <x:c r="AM593" s="87" t="str">
        <x:v>MATH_Feb_Base_V2</x:v>
      </x:c>
      <x:c r="AN593" s="87" t="n">
        <x:v>22</x:v>
      </x:c>
    </x:row>
    <x:row r="594">
      <x:c r="A594" s="87" t="n">
        <x:v>593</x:v>
      </x:c>
      <x:c r="B594" s="87" t="str">
        <x:v>FEB-MATH-B-V3-001</x:v>
      </x:c>
      <x:c r="C594" s="87" t="str">
        <x:v>СтатГрад</x:v>
      </x:c>
      <x:c r="D594" s="87" t="str">
        <x:v>Февраль 2026</x:v>
      </x:c>
      <x:c r="E594" s="87"/>
      <x:c r="F594" s="87"/>
      <x:c r="G594" s="87" t="str">
        <x:v>Математика</x:v>
      </x:c>
      <x:c r="H594" s="87" t="n">
        <x:v>11</x:v>
      </x:c>
      <x:c r="I594" s="87" t="str">
        <x:v>ТР №3</x:v>
      </x:c>
      <x:c r="J594" s="87" t="str">
        <x:v>МА2510303</x:v>
      </x:c>
      <x:c r="K594" s="87" t="n">
        <x:v>1</x:v>
      </x:c>
      <x:c r="L594" s="87" t="str">
        <x:v>Перевод единиц скорости</x:v>
      </x:c>
      <x:c r="M594" s="30" t="str">
        <x:v>Спидометр показывает 34 мили в час. Одна миля равна 1609 м. Найдите скорость в километрах в час и округлите до целого.</x:v>
      </x:c>
      <x:c r="N594" s="30" t="str">
        <x:v>55 км/ч</x:v>
      </x:c>
      <x:c r="O594" s="30" t="str">
        <x:v>34·1,609=54,706 км/ч. После округления до целого получается 55 км/ч.</x:v>
      </x:c>
      <x:c r="P594" s="30" t="str">
        <x:v>Перевод миль в километры и округление выполнены независимо.</x:v>
      </x:c>
      <x:c r="Q594" s="30"/>
      <x:c r="R594" s="30" t="str">
        <x:v>55</x:v>
      </x:c>
      <x:c r="S594" s="30"/>
      <x:c r="T594" s="30"/>
      <x:c r="U594" s="30" t="str">
        <x:v>Расхождений нет.</x:v>
      </x:c>
      <x:c r="V594" s="87" t="str">
        <x:v>VERIFIED</x:v>
      </x:c>
      <x:c r="W594" s="87" t="n">
        <x:v>2</x:v>
      </x:c>
      <x:c r="X594" s="87"/>
      <x:c r="Y594" s="87"/>
      <x:c r="Z594" s="87"/>
      <x:c r="AA594" s="87"/>
      <x:c r="AB594" s="87"/>
      <x:c r="AC594" s="87"/>
      <x:c r="AD594" s="87"/>
      <x:c r="AE594" s="87"/>
      <x:c r="AF594" s="87"/>
      <x:c r="AG594" s="87"/>
      <x:c r="AH594" s="87"/>
      <x:c r="AI594" s="30"/>
      <x:c r="AJ594" s="87" t="str">
        <x:v>master</x:v>
      </x:c>
      <x:c r="AK594" s="87" t="str">
        <x:v>master-v0.81</x:v>
      </x:c>
      <x:c r="AL594" s="87" t="str">
        <x:v>statgrad_master_base_v0_81_final(2).xlsx</x:v>
      </x:c>
      <x:c r="AM594" s="87" t="str">
        <x:v>MATH_Feb_Base_V3</x:v>
      </x:c>
      <x:c r="AN594" s="87" t="n">
        <x:v>2</x:v>
      </x:c>
    </x:row>
    <x:row r="595">
      <x:c r="A595" s="87" t="n">
        <x:v>594</x:v>
      </x:c>
      <x:c r="B595" s="87" t="str">
        <x:v>FEB-MATH-B-V3-002</x:v>
      </x:c>
      <x:c r="C595" s="87" t="str">
        <x:v>СтатГрад</x:v>
      </x:c>
      <x:c r="D595" s="87" t="str">
        <x:v>Февраль 2026</x:v>
      </x:c>
      <x:c r="E595" s="87"/>
      <x:c r="F595" s="87"/>
      <x:c r="G595" s="87" t="str">
        <x:v>Математика</x:v>
      </x:c>
      <x:c r="H595" s="87" t="n">
        <x:v>11</x:v>
      </x:c>
      <x:c r="I595" s="87" t="str">
        <x:v>ТР №3</x:v>
      </x:c>
      <x:c r="J595" s="87" t="str">
        <x:v>МА2510303</x:v>
      </x:c>
      <x:c r="K595" s="87" t="n">
        <x:v>2</x:v>
      </x:c>
      <x:c r="L595" s="87" t="str">
        <x:v>Оценка величин</x:v>
      </x:c>
      <x:c r="M595" s="30" t="str">
        <x:v>Соотнесите высоту вагона, рост восьмилетнего ребёнка, высоту Троицкой башни Кремля и длину реки Москвы со значениями 134 см, 80,1 м, 370 см и 473 км.</x:v>
      </x:c>
      <x:c r="N595" s="30" t="str">
        <x:v>3124</x:v>
      </x:c>
      <x:c r="O595" s="30" t="str">
        <x:v>Высота вагона — около 370 см (3); рост ребёнка — около 134 см (1); высота Троицкой башни — 80,1 м (2); длина Москвы-реки — 473 км (4).</x:v>
      </x:c>
      <x:c r="P595" s="30" t="str">
        <x:v>Каждое значение проверено по порядку величины и единицам измерения.</x:v>
      </x:c>
      <x:c r="Q595" s="30"/>
      <x:c r="R595" s="30" t="str">
        <x:v>3124</x:v>
      </x:c>
      <x:c r="S595" s="30"/>
      <x:c r="T595" s="30"/>
      <x:c r="U595" s="30" t="str">
        <x:v>Расхождений нет.</x:v>
      </x:c>
      <x:c r="V595" s="87" t="str">
        <x:v>VERIFIED</x:v>
      </x:c>
      <x:c r="W595" s="87" t="n">
        <x:v>2</x:v>
      </x:c>
      <x:c r="X595" s="87"/>
      <x:c r="Y595" s="87"/>
      <x:c r="Z595" s="87"/>
      <x:c r="AA595" s="87"/>
      <x:c r="AB595" s="87"/>
      <x:c r="AC595" s="87"/>
      <x:c r="AD595" s="87"/>
      <x:c r="AE595" s="87"/>
      <x:c r="AF595" s="87"/>
      <x:c r="AG595" s="87"/>
      <x:c r="AH595" s="87"/>
      <x:c r="AI595" s="30"/>
      <x:c r="AJ595" s="87" t="str">
        <x:v>master</x:v>
      </x:c>
      <x:c r="AK595" s="87" t="str">
        <x:v>master-v0.81</x:v>
      </x:c>
      <x:c r="AL595" s="87" t="str">
        <x:v>statgrad_master_base_v0_81_final(2).xlsx</x:v>
      </x:c>
      <x:c r="AM595" s="87" t="str">
        <x:v>MATH_Feb_Base_V3</x:v>
      </x:c>
      <x:c r="AN595" s="87" t="n">
        <x:v>3</x:v>
      </x:c>
    </x:row>
    <x:row r="596">
      <x:c r="A596" s="87" t="n">
        <x:v>595</x:v>
      </x:c>
      <x:c r="B596" s="87" t="str">
        <x:v>FEB-MATH-B-V3-003</x:v>
      </x:c>
      <x:c r="C596" s="87" t="str">
        <x:v>СтатГрад</x:v>
      </x:c>
      <x:c r="D596" s="87" t="str">
        <x:v>Февраль 2026</x:v>
      </x:c>
      <x:c r="E596" s="87"/>
      <x:c r="F596" s="87"/>
      <x:c r="G596" s="87" t="str">
        <x:v>Математика</x:v>
      </x:c>
      <x:c r="H596" s="87" t="n">
        <x:v>11</x:v>
      </x:c>
      <x:c r="I596" s="87" t="str">
        <x:v>ТР №3</x:v>
      </x:c>
      <x:c r="J596" s="87" t="str">
        <x:v>МА2510303</x:v>
      </x:c>
      <x:c r="K596" s="87" t="n">
        <x:v>3</x:v>
      </x:c>
      <x:c r="L596" s="87" t="str">
        <x:v>Чтение графика</x:v>
      </x:c>
      <x:c r="M596" s="30" t="str">
        <x:v>По графику зависимости атмосферного давления от высоты найдите высоту, на которой давление равно 240 мм рт. ст.</x:v>
      </x:c>
      <x:c r="N596" s="30" t="str">
        <x:v>8,5 км</x:v>
      </x:c>
      <x:c r="O596" s="30" t="str">
        <x:v>Горизонталь 240 мм рт. ст. пересекает кривую примерно над отметкой 8,5 км.</x:v>
      </x:c>
      <x:c r="P596" s="30" t="str">
        <x:v>Значение считано по координатной сетке графика и сверено с официальным ключом.</x:v>
      </x:c>
      <x:c r="Q596" s="30"/>
      <x:c r="R596" s="30" t="str">
        <x:v>8,5</x:v>
      </x:c>
      <x:c r="S596" s="30"/>
      <x:c r="T596" s="30"/>
      <x:c r="U596" s="30" t="str">
        <x:v>Расхождений нет.</x:v>
      </x:c>
      <x:c r="V596" s="87" t="str">
        <x:v>VERIFIED</x:v>
      </x:c>
      <x:c r="W596" s="87" t="n">
        <x:v>3</x:v>
      </x:c>
      <x:c r="X596" s="87"/>
      <x:c r="Y596" s="87"/>
      <x:c r="Z596" s="87"/>
      <x:c r="AA596" s="87"/>
      <x:c r="AB596" s="87"/>
      <x:c r="AC596" s="87"/>
      <x:c r="AD596" s="87"/>
      <x:c r="AE596" s="87"/>
      <x:c r="AF596" s="87"/>
      <x:c r="AG596" s="87"/>
      <x:c r="AH596" s="87"/>
      <x:c r="AI596" s="30"/>
      <x:c r="AJ596" s="87" t="str">
        <x:v>master</x:v>
      </x:c>
      <x:c r="AK596" s="87" t="str">
        <x:v>master-v0.81</x:v>
      </x:c>
      <x:c r="AL596" s="87" t="str">
        <x:v>statgrad_master_base_v0_81_final(2).xlsx</x:v>
      </x:c>
      <x:c r="AM596" s="87" t="str">
        <x:v>MATH_Feb_Base_V3</x:v>
      </x:c>
      <x:c r="AN596" s="87" t="n">
        <x:v>4</x:v>
      </x:c>
    </x:row>
    <x:row r="597">
      <x:c r="A597" s="87" t="n">
        <x:v>596</x:v>
      </x:c>
      <x:c r="B597" s="87" t="str">
        <x:v>FEB-MATH-B-V3-004</x:v>
      </x:c>
      <x:c r="C597" s="87" t="str">
        <x:v>СтатГрад</x:v>
      </x:c>
      <x:c r="D597" s="87" t="str">
        <x:v>Февраль 2026</x:v>
      </x:c>
      <x:c r="E597" s="87"/>
      <x:c r="F597" s="87"/>
      <x:c r="G597" s="87" t="str">
        <x:v>Математика</x:v>
      </x:c>
      <x:c r="H597" s="87" t="n">
        <x:v>11</x:v>
      </x:c>
      <x:c r="I597" s="87" t="str">
        <x:v>ТР №3</x:v>
      </x:c>
      <x:c r="J597" s="87" t="str">
        <x:v>МА2510303</x:v>
      </x:c>
      <x:c r="K597" s="87" t="n">
        <x:v>4</x:v>
      </x:c>
      <x:c r="L597" s="87" t="str">
        <x:v>Площадь четырёхугольника</x:v>
      </x:c>
      <x:c r="M597" s="30" t="str">
        <x:v>Найдите площадь по формуле S=(1/2)d₁d₂sinα, если d₁=15, d₂=28 и sinα=3/7.</x:v>
      </x:c>
      <x:c r="N597" s="30" t="str">
        <x:v>90</x:v>
      </x:c>
      <x:c r="O597" s="30" t="str">
        <x:v>S=(1/2)·15·28·3/7=15·14·3/7=90.</x:v>
      </x:c>
      <x:c r="P597" s="30" t="str">
        <x:v>Вычисление повторено последовательным сокращением множителей.</x:v>
      </x:c>
      <x:c r="Q597" s="30"/>
      <x:c r="R597" s="30" t="str">
        <x:v>90</x:v>
      </x:c>
      <x:c r="S597" s="30"/>
      <x:c r="T597" s="30"/>
      <x:c r="U597" s="30" t="str">
        <x:v>Расхождений нет.</x:v>
      </x:c>
      <x:c r="V597" s="87" t="str">
        <x:v>VERIFIED</x:v>
      </x:c>
      <x:c r="W597" s="87" t="n">
        <x:v>3</x:v>
      </x:c>
      <x:c r="X597" s="87"/>
      <x:c r="Y597" s="87"/>
      <x:c r="Z597" s="87"/>
      <x:c r="AA597" s="87"/>
      <x:c r="AB597" s="87"/>
      <x:c r="AC597" s="87"/>
      <x:c r="AD597" s="87"/>
      <x:c r="AE597" s="87"/>
      <x:c r="AF597" s="87"/>
      <x:c r="AG597" s="87"/>
      <x:c r="AH597" s="87"/>
      <x:c r="AI597" s="30"/>
      <x:c r="AJ597" s="87" t="str">
        <x:v>master</x:v>
      </x:c>
      <x:c r="AK597" s="87" t="str">
        <x:v>master-v0.81</x:v>
      </x:c>
      <x:c r="AL597" s="87" t="str">
        <x:v>statgrad_master_base_v0_81_final(2).xlsx</x:v>
      </x:c>
      <x:c r="AM597" s="87" t="str">
        <x:v>MATH_Feb_Base_V3</x:v>
      </x:c>
      <x:c r="AN597" s="87" t="n">
        <x:v>5</x:v>
      </x:c>
    </x:row>
    <x:row r="598">
      <x:c r="A598" s="87" t="n">
        <x:v>597</x:v>
      </x:c>
      <x:c r="B598" s="87" t="str">
        <x:v>FEB-MATH-B-V3-005</x:v>
      </x:c>
      <x:c r="C598" s="87" t="str">
        <x:v>СтатГрад</x:v>
      </x:c>
      <x:c r="D598" s="87" t="str">
        <x:v>Февраль 2026</x:v>
      </x:c>
      <x:c r="E598" s="87"/>
      <x:c r="F598" s="87"/>
      <x:c r="G598" s="87" t="str">
        <x:v>Математика</x:v>
      </x:c>
      <x:c r="H598" s="87" t="n">
        <x:v>11</x:v>
      </x:c>
      <x:c r="I598" s="87" t="str">
        <x:v>ТР №3</x:v>
      </x:c>
      <x:c r="J598" s="87" t="str">
        <x:v>МА2510303</x:v>
      </x:c>
      <x:c r="K598" s="87" t="n">
        <x:v>5</x:v>
      </x:c>
      <x:c r="L598" s="87" t="str">
        <x:v>Теория вероятностей</x:v>
      </x:c>
      <x:c r="M598" s="30" t="str">
        <x:v>Два будущих первоклассника независимо приходят на запись. Найдите вероятность, что пришли мальчик и девочка.</x:v>
      </x:c>
      <x:c r="N598" s="30" t="str">
        <x:v>0,5</x:v>
      </x:c>
      <x:c r="O598" s="30" t="str">
        <x:v>Подходят два равновероятных исхода: мальчик–девочка и девочка–мальчик. Поэтому P=2·(1/2·1/2)=1/2=0,5.</x:v>
      </x:c>
      <x:c r="P598" s="30" t="str">
        <x:v>Рассмотрены все четыре равновероятные пары полов.</x:v>
      </x:c>
      <x:c r="Q598" s="30"/>
      <x:c r="R598" s="30" t="str">
        <x:v>0,5</x:v>
      </x:c>
      <x:c r="S598" s="30"/>
      <x:c r="T598" s="30"/>
      <x:c r="U598" s="30" t="str">
        <x:v>Расхождений нет.</x:v>
      </x:c>
      <x:c r="V598" s="87" t="str">
        <x:v>VERIFIED</x:v>
      </x:c>
      <x:c r="W598" s="87" t="n">
        <x:v>4</x:v>
      </x:c>
      <x:c r="X598" s="87"/>
      <x:c r="Y598" s="87"/>
      <x:c r="Z598" s="87"/>
      <x:c r="AA598" s="87"/>
      <x:c r="AB598" s="87"/>
      <x:c r="AC598" s="87"/>
      <x:c r="AD598" s="87"/>
      <x:c r="AE598" s="87"/>
      <x:c r="AF598" s="87"/>
      <x:c r="AG598" s="87"/>
      <x:c r="AH598" s="87"/>
      <x:c r="AI598" s="30"/>
      <x:c r="AJ598" s="87" t="str">
        <x:v>master</x:v>
      </x:c>
      <x:c r="AK598" s="87" t="str">
        <x:v>master-v0.81</x:v>
      </x:c>
      <x:c r="AL598" s="87" t="str">
        <x:v>statgrad_master_base_v0_81_final(2).xlsx</x:v>
      </x:c>
      <x:c r="AM598" s="87" t="str">
        <x:v>MATH_Feb_Base_V3</x:v>
      </x:c>
      <x:c r="AN598" s="87" t="n">
        <x:v>6</x:v>
      </x:c>
    </x:row>
    <x:row r="599">
      <x:c r="A599" s="87" t="n">
        <x:v>598</x:v>
      </x:c>
      <x:c r="B599" s="87" t="str">
        <x:v>FEB-MATH-B-V3-006</x:v>
      </x:c>
      <x:c r="C599" s="87" t="str">
        <x:v>СтатГрад</x:v>
      </x:c>
      <x:c r="D599" s="87" t="str">
        <x:v>Февраль 2026</x:v>
      </x:c>
      <x:c r="E599" s="87"/>
      <x:c r="F599" s="87"/>
      <x:c r="G599" s="87" t="str">
        <x:v>Математика</x:v>
      </x:c>
      <x:c r="H599" s="87" t="n">
        <x:v>11</x:v>
      </x:c>
      <x:c r="I599" s="87" t="str">
        <x:v>ТР №3</x:v>
      </x:c>
      <x:c r="J599" s="87" t="str">
        <x:v>МА2510303</x:v>
      </x:c>
      <x:c r="K599" s="87" t="n">
        <x:v>6</x:v>
      </x:c>
      <x:c r="L599" s="87" t="str">
        <x:v>Анализ таблицы</x:v>
      </x:c>
      <x:c r="M599" s="30" t="str">
        <x:v>Выберите чемоданы, у которых сумма длины, высоты и ширины не превышает 203 см, а масса не больше 23 кг.</x:v>
      </x:c>
      <x:c r="N599" s="30" t="str">
        <x:v>25</x:v>
      </x:c>
      <x:c r="O599" s="30" t="str">
        <x:v>Чемодан 2: 96+63+42=201 см, масса 21 кг; чемодан 5: 100+55+46=201 см, масса 22 кг. Остальные превышают допустимую массу или сумму размеров.</x:v>
      </x:c>
      <x:c r="P599" s="30" t="str">
        <x:v>Для всех шести строк отдельно проверены сумма трёх измерений и масса.</x:v>
      </x:c>
      <x:c r="Q599" s="30"/>
      <x:c r="R599" s="30" t="str">
        <x:v>25</x:v>
      </x:c>
      <x:c r="S599" s="30"/>
      <x:c r="T599" s="30"/>
      <x:c r="U599" s="30" t="str">
        <x:v>Расхождений нет.</x:v>
      </x:c>
      <x:c r="V599" s="87" t="str">
        <x:v>VERIFIED</x:v>
      </x:c>
      <x:c r="W599" s="87" t="n">
        <x:v>4</x:v>
      </x:c>
      <x:c r="X599" s="87"/>
      <x:c r="Y599" s="87"/>
      <x:c r="Z599" s="87"/>
      <x:c r="AA599" s="87"/>
      <x:c r="AB599" s="87"/>
      <x:c r="AC599" s="87"/>
      <x:c r="AD599" s="87"/>
      <x:c r="AE599" s="87"/>
      <x:c r="AF599" s="87"/>
      <x:c r="AG599" s="87"/>
      <x:c r="AH599" s="87"/>
      <x:c r="AI599" s="30"/>
      <x:c r="AJ599" s="87" t="str">
        <x:v>master</x:v>
      </x:c>
      <x:c r="AK599" s="87" t="str">
        <x:v>master-v0.81</x:v>
      </x:c>
      <x:c r="AL599" s="87" t="str">
        <x:v>statgrad_master_base_v0_81_final(2).xlsx</x:v>
      </x:c>
      <x:c r="AM599" s="87" t="str">
        <x:v>MATH_Feb_Base_V3</x:v>
      </x:c>
      <x:c r="AN599" s="87" t="n">
        <x:v>7</x:v>
      </x:c>
    </x:row>
    <x:row r="600">
      <x:c r="A600" s="87" t="n">
        <x:v>599</x:v>
      </x:c>
      <x:c r="B600" s="87" t="str">
        <x:v>FEB-MATH-B-V3-007</x:v>
      </x:c>
      <x:c r="C600" s="87" t="str">
        <x:v>СтатГрад</x:v>
      </x:c>
      <x:c r="D600" s="87" t="str">
        <x:v>Февраль 2026</x:v>
      </x:c>
      <x:c r="E600" s="87"/>
      <x:c r="F600" s="87"/>
      <x:c r="G600" s="87" t="str">
        <x:v>Математика</x:v>
      </x:c>
      <x:c r="H600" s="87" t="n">
        <x:v>11</x:v>
      </x:c>
      <x:c r="I600" s="87" t="str">
        <x:v>ТР №3</x:v>
      </x:c>
      <x:c r="J600" s="87" t="str">
        <x:v>МА2510303</x:v>
      </x:c>
      <x:c r="K600" s="87" t="n">
        <x:v>7</x:v>
      </x:c>
      <x:c r="L600" s="87" t="str">
        <x:v>Свойства функции по графику</x:v>
      </x:c>
      <x:c r="M600" s="30" t="str">
        <x:v>Соотнесите интервалы (a;b), (b;c), (c;d), (d;e) с характеристиками функции или её производной.</x:v>
      </x:c>
      <x:c r="N600" s="30" t="str">
        <x:v>2134</x:v>
      </x:c>
      <x:c r="O600" s="30" t="str">
        <x:v>На (a;b) и функция, и производная принимают значения обоих знаков — 2; на (b;c) функция убывает, поэтому производная отрицательна — 1; на (c;d) функция положительна, а производная меняет знак — 3; на (d;e) функция возрастает, поэтому производная положительна — 4.</x:v>
      </x:c>
      <x:c r="P600" s="30" t="str">
        <x:v>Знаки функции и направление монотонности считаны непосредственно по графику.</x:v>
      </x:c>
      <x:c r="Q600" s="30"/>
      <x:c r="R600" s="30" t="str">
        <x:v>2134</x:v>
      </x:c>
      <x:c r="S600" s="30"/>
      <x:c r="T600" s="30"/>
      <x:c r="U600" s="30" t="str">
        <x:v>Расхождений нет.</x:v>
      </x:c>
      <x:c r="V600" s="87" t="str">
        <x:v>VERIFIED</x:v>
      </x:c>
      <x:c r="W600" s="87" t="n">
        <x:v>5</x:v>
      </x:c>
      <x:c r="X600" s="87"/>
      <x:c r="Y600" s="87"/>
      <x:c r="Z600" s="87"/>
      <x:c r="AA600" s="87"/>
      <x:c r="AB600" s="87"/>
      <x:c r="AC600" s="87"/>
      <x:c r="AD600" s="87"/>
      <x:c r="AE600" s="87"/>
      <x:c r="AF600" s="87"/>
      <x:c r="AG600" s="87"/>
      <x:c r="AH600" s="87"/>
      <x:c r="AI600" s="30"/>
      <x:c r="AJ600" s="87" t="str">
        <x:v>master</x:v>
      </x:c>
      <x:c r="AK600" s="87" t="str">
        <x:v>master-v0.81</x:v>
      </x:c>
      <x:c r="AL600" s="87" t="str">
        <x:v>statgrad_master_base_v0_81_final(2).xlsx</x:v>
      </x:c>
      <x:c r="AM600" s="87" t="str">
        <x:v>MATH_Feb_Base_V3</x:v>
      </x:c>
      <x:c r="AN600" s="87" t="n">
        <x:v>8</x:v>
      </x:c>
    </x:row>
    <x:row r="601">
      <x:c r="A601" s="87" t="n">
        <x:v>600</x:v>
      </x:c>
      <x:c r="B601" s="87" t="str">
        <x:v>FEB-MATH-B-V3-008</x:v>
      </x:c>
      <x:c r="C601" s="87" t="str">
        <x:v>СтатГрад</x:v>
      </x:c>
      <x:c r="D601" s="87" t="str">
        <x:v>Февраль 2026</x:v>
      </x:c>
      <x:c r="E601" s="87"/>
      <x:c r="F601" s="87"/>
      <x:c r="G601" s="87" t="str">
        <x:v>Математика</x:v>
      </x:c>
      <x:c r="H601" s="87" t="n">
        <x:v>11</x:v>
      </x:c>
      <x:c r="I601" s="87" t="str">
        <x:v>ТР №3</x:v>
      </x:c>
      <x:c r="J601" s="87" t="str">
        <x:v>МА2510303</x:v>
      </x:c>
      <x:c r="K601" s="87" t="n">
        <x:v>8</x:v>
      </x:c>
      <x:c r="L601" s="87" t="str">
        <x:v>Множества</x:v>
      </x:c>
      <x:c r="M601" s="30" t="str">
        <x:v>Из 50 рогаликов 15 посыпаны корицей, 20 — сахаром. Выберите утверждения, верные при любых возможных пересечениях множеств.</x:v>
      </x:c>
      <x:c r="N601" s="30" t="str">
        <x:v>13</x:v>
      </x:c>
      <x:c r="O601" s="30" t="str">
        <x:v>Ничем не посыпаны не менее 50−(15+20)=15 рогаликов, поэтому среди них обязательно найдутся 10 — утверждение 1 верно. Одновременно сахаром и корицей посыпаны не более 15 рогаликов, поэтому верно утверждение 3.</x:v>
      </x:c>
      <x:c r="P601" s="30" t="str">
        <x:v>Границы пересечения и дополнения проверены формулой включений-исключений.</x:v>
      </x:c>
      <x:c r="Q601" s="30"/>
      <x:c r="R601" s="30" t="str">
        <x:v>13</x:v>
      </x:c>
      <x:c r="S601" s="30"/>
      <x:c r="T601" s="30"/>
      <x:c r="U601" s="30" t="str">
        <x:v>Расхождений нет.</x:v>
      </x:c>
      <x:c r="V601" s="87" t="str">
        <x:v>VERIFIED</x:v>
      </x:c>
      <x:c r="W601" s="87" t="n">
        <x:v>6</x:v>
      </x:c>
      <x:c r="X601" s="87"/>
      <x:c r="Y601" s="87"/>
      <x:c r="Z601" s="87"/>
      <x:c r="AA601" s="87"/>
      <x:c r="AB601" s="87"/>
      <x:c r="AC601" s="87"/>
      <x:c r="AD601" s="87"/>
      <x:c r="AE601" s="87"/>
      <x:c r="AF601" s="87"/>
      <x:c r="AG601" s="87"/>
      <x:c r="AH601" s="87"/>
      <x:c r="AI601" s="30"/>
      <x:c r="AJ601" s="87" t="str">
        <x:v>master</x:v>
      </x:c>
      <x:c r="AK601" s="87" t="str">
        <x:v>master-v0.81</x:v>
      </x:c>
      <x:c r="AL601" s="87" t="str">
        <x:v>statgrad_master_base_v0_81_final(2).xlsx</x:v>
      </x:c>
      <x:c r="AM601" s="87" t="str">
        <x:v>MATH_Feb_Base_V3</x:v>
      </x:c>
      <x:c r="AN601" s="87" t="n">
        <x:v>9</x:v>
      </x:c>
    </x:row>
    <x:row r="602">
      <x:c r="A602" s="87" t="n">
        <x:v>601</x:v>
      </x:c>
      <x:c r="B602" s="87" t="str">
        <x:v>FEB-MATH-B-V3-009</x:v>
      </x:c>
      <x:c r="C602" s="87" t="str">
        <x:v>СтатГрад</x:v>
      </x:c>
      <x:c r="D602" s="87" t="str">
        <x:v>Февраль 2026</x:v>
      </x:c>
      <x:c r="E602" s="87"/>
      <x:c r="F602" s="87"/>
      <x:c r="G602" s="87" t="str">
        <x:v>Математика</x:v>
      </x:c>
      <x:c r="H602" s="87" t="n">
        <x:v>11</x:v>
      </x:c>
      <x:c r="I602" s="87" t="str">
        <x:v>ТР №3</x:v>
      </x:c>
      <x:c r="J602" s="87" t="str">
        <x:v>МА2510303</x:v>
      </x:c>
      <x:c r="K602" s="87" t="n">
        <x:v>9</x:v>
      </x:c>
      <x:c r="L602" s="87" t="str">
        <x:v>Площадь фигуры на клетчатой бумаге</x:v>
      </x:c>
      <x:c r="M602" s="30" t="str">
        <x:v>Найдите площадь треугольного участка на сетке 1×1 м.</x:v>
      </x:c>
      <x:c r="N602" s="30" t="str">
        <x:v>9 м²</x:v>
      </x:c>
      <x:c r="O602" s="30" t="str">
        <x:v>Основание треугольника равно 3 клеткам, а высота — 6 клеткам. S=(1/2)·3·6=9 м².</x:v>
      </x:c>
      <x:c r="P602" s="30" t="str">
        <x:v>Координаты вершин, основание и высота считаны по сетке.</x:v>
      </x:c>
      <x:c r="Q602" s="30"/>
      <x:c r="R602" s="30" t="str">
        <x:v>9</x:v>
      </x:c>
      <x:c r="S602" s="30"/>
      <x:c r="T602" s="30"/>
      <x:c r="U602" s="30" t="str">
        <x:v>Расхождений нет.</x:v>
      </x:c>
      <x:c r="V602" s="87" t="str">
        <x:v>VERIFIED</x:v>
      </x:c>
      <x:c r="W602" s="87" t="n">
        <x:v>6</x:v>
      </x:c>
      <x:c r="X602" s="87"/>
      <x:c r="Y602" s="87"/>
      <x:c r="Z602" s="87"/>
      <x:c r="AA602" s="87"/>
      <x:c r="AB602" s="87"/>
      <x:c r="AC602" s="87"/>
      <x:c r="AD602" s="87"/>
      <x:c r="AE602" s="87"/>
      <x:c r="AF602" s="87"/>
      <x:c r="AG602" s="87"/>
      <x:c r="AH602" s="87"/>
      <x:c r="AI602" s="30"/>
      <x:c r="AJ602" s="87" t="str">
        <x:v>master</x:v>
      </x:c>
      <x:c r="AK602" s="87" t="str">
        <x:v>master-v0.81</x:v>
      </x:c>
      <x:c r="AL602" s="87" t="str">
        <x:v>statgrad_master_base_v0_81_final(2).xlsx</x:v>
      </x:c>
      <x:c r="AM602" s="87" t="str">
        <x:v>MATH_Feb_Base_V3</x:v>
      </x:c>
      <x:c r="AN602" s="87" t="n">
        <x:v>10</x:v>
      </x:c>
    </x:row>
    <x:row r="603">
      <x:c r="A603" s="87" t="n">
        <x:v>602</x:v>
      </x:c>
      <x:c r="B603" s="87" t="str">
        <x:v>FEB-MATH-B-V3-010</x:v>
      </x:c>
      <x:c r="C603" s="87" t="str">
        <x:v>СтатГрад</x:v>
      </x:c>
      <x:c r="D603" s="87" t="str">
        <x:v>Февраль 2026</x:v>
      </x:c>
      <x:c r="E603" s="87"/>
      <x:c r="F603" s="87"/>
      <x:c r="G603" s="87" t="str">
        <x:v>Математика</x:v>
      </x:c>
      <x:c r="H603" s="87" t="n">
        <x:v>11</x:v>
      </x:c>
      <x:c r="I603" s="87" t="str">
        <x:v>ТР №3</x:v>
      </x:c>
      <x:c r="J603" s="87" t="str">
        <x:v>МА2510303</x:v>
      </x:c>
      <x:c r="K603" s="87" t="n">
        <x:v>10</x:v>
      </x:c>
      <x:c r="L603" s="87" t="str">
        <x:v>Периметр и внутреннее ограждение</x:v>
      </x:c>
      <x:c r="M603" s="30" t="str">
        <x:v>Прямоугольный участок 25×40 м обносят забором и делят на две части, одна из которых — квадрат. Найдите суммарную длину забора.</x:v>
      </x:c>
      <x:c r="N603" s="30" t="str">
        <x:v>155 м</x:v>
      </x:c>
      <x:c r="O603" s="30" t="str">
        <x:v>Внешний периметр равен 2(25+40)=130 м. Для отделения квадрата 25×25 м нужна перегородка длиной 25 м. Всего 130+25=155 м.</x:v>
      </x:c>
      <x:c r="P603" s="30" t="str">
        <x:v>Учтены внешний контур и единственная внутренняя перегородка.</x:v>
      </x:c>
      <x:c r="Q603" s="30"/>
      <x:c r="R603" s="30" t="str">
        <x:v>155</x:v>
      </x:c>
      <x:c r="S603" s="30"/>
      <x:c r="T603" s="30"/>
      <x:c r="U603" s="30" t="str">
        <x:v>Расхождений нет.</x:v>
      </x:c>
      <x:c r="V603" s="87" t="str">
        <x:v>VERIFIED</x:v>
      </x:c>
      <x:c r="W603" s="87" t="n">
        <x:v>6</x:v>
      </x:c>
      <x:c r="X603" s="87"/>
      <x:c r="Y603" s="87"/>
      <x:c r="Z603" s="87"/>
      <x:c r="AA603" s="87"/>
      <x:c r="AB603" s="87"/>
      <x:c r="AC603" s="87"/>
      <x:c r="AD603" s="87"/>
      <x:c r="AE603" s="87"/>
      <x:c r="AF603" s="87"/>
      <x:c r="AG603" s="87"/>
      <x:c r="AH603" s="87"/>
      <x:c r="AI603" s="30"/>
      <x:c r="AJ603" s="87" t="str">
        <x:v>master</x:v>
      </x:c>
      <x:c r="AK603" s="87" t="str">
        <x:v>master-v0.81</x:v>
      </x:c>
      <x:c r="AL603" s="87" t="str">
        <x:v>statgrad_master_base_v0_81_final(2).xlsx</x:v>
      </x:c>
      <x:c r="AM603" s="87" t="str">
        <x:v>MATH_Feb_Base_V3</x:v>
      </x:c>
      <x:c r="AN603" s="87" t="n">
        <x:v>11</x:v>
      </x:c>
    </x:row>
    <x:row r="604">
      <x:c r="A604" s="87" t="n">
        <x:v>603</x:v>
      </x:c>
      <x:c r="B604" s="87" t="str">
        <x:v>FEB-MATH-B-V3-011</x:v>
      </x:c>
      <x:c r="C604" s="87" t="str">
        <x:v>СтатГрад</x:v>
      </x:c>
      <x:c r="D604" s="87" t="str">
        <x:v>Февраль 2026</x:v>
      </x:c>
      <x:c r="E604" s="87"/>
      <x:c r="F604" s="87"/>
      <x:c r="G604" s="87" t="str">
        <x:v>Математика</x:v>
      </x:c>
      <x:c r="H604" s="87" t="n">
        <x:v>11</x:v>
      </x:c>
      <x:c r="I604" s="87" t="str">
        <x:v>ТР №3</x:v>
      </x:c>
      <x:c r="J604" s="87" t="str">
        <x:v>МА2510303</x:v>
      </x:c>
      <x:c r="K604" s="87" t="n">
        <x:v>11</x:v>
      </x:c>
      <x:c r="L604" s="87" t="str">
        <x:v>Объём цилиндра</x:v>
      </x:c>
      <x:c r="M604" s="30" t="str">
        <x:v>Вода занимает в цилиндре высоту 50 см. Её перелили в цилиндр с радиусом основания в 2,5 раза больше. Найдите новую высоту.</x:v>
      </x:c>
      <x:c r="N604" s="30" t="str">
        <x:v>8 см</x:v>
      </x:c>
      <x:c r="O604" s="30" t="str">
        <x:v>Объём сохраняется. Площадь основания увеличилась в 2,5²=6,25 раза, поэтому высота уменьшилась во столько же раз: 50/6,25=8 см.</x:v>
      </x:c>
      <x:c r="P604" s="30" t="str">
        <x:v>Равенство πR²·50=π(2,5R)²·h даёт тот же результат.</x:v>
      </x:c>
      <x:c r="Q604" s="30"/>
      <x:c r="R604" s="30" t="str">
        <x:v>8</x:v>
      </x:c>
      <x:c r="S604" s="30"/>
      <x:c r="T604" s="30"/>
      <x:c r="U604" s="30" t="str">
        <x:v>Расхождений нет.</x:v>
      </x:c>
      <x:c r="V604" s="87" t="str">
        <x:v>VERIFIED</x:v>
      </x:c>
      <x:c r="W604" s="87" t="n">
        <x:v>6</x:v>
      </x:c>
      <x:c r="X604" s="87"/>
      <x:c r="Y604" s="87"/>
      <x:c r="Z604" s="87"/>
      <x:c r="AA604" s="87"/>
      <x:c r="AB604" s="87"/>
      <x:c r="AC604" s="87"/>
      <x:c r="AD604" s="87"/>
      <x:c r="AE604" s="87"/>
      <x:c r="AF604" s="87"/>
      <x:c r="AG604" s="87"/>
      <x:c r="AH604" s="87"/>
      <x:c r="AI604" s="30"/>
      <x:c r="AJ604" s="87" t="str">
        <x:v>master</x:v>
      </x:c>
      <x:c r="AK604" s="87" t="str">
        <x:v>master-v0.81</x:v>
      </x:c>
      <x:c r="AL604" s="87" t="str">
        <x:v>statgrad_master_base_v0_81_final(2).xlsx</x:v>
      </x:c>
      <x:c r="AM604" s="87" t="str">
        <x:v>MATH_Feb_Base_V3</x:v>
      </x:c>
      <x:c r="AN604" s="87" t="n">
        <x:v>12</x:v>
      </x:c>
    </x:row>
    <x:row r="605">
      <x:c r="A605" s="87" t="n">
        <x:v>604</x:v>
      </x:c>
      <x:c r="B605" s="87" t="str">
        <x:v>FEB-MATH-B-V3-012</x:v>
      </x:c>
      <x:c r="C605" s="87" t="str">
        <x:v>СтатГрад</x:v>
      </x:c>
      <x:c r="D605" s="87" t="str">
        <x:v>Февраль 2026</x:v>
      </x:c>
      <x:c r="E605" s="87"/>
      <x:c r="F605" s="87"/>
      <x:c r="G605" s="87" t="str">
        <x:v>Математика</x:v>
      </x:c>
      <x:c r="H605" s="87" t="n">
        <x:v>11</x:v>
      </x:c>
      <x:c r="I605" s="87" t="str">
        <x:v>ТР №3</x:v>
      </x:c>
      <x:c r="J605" s="87" t="str">
        <x:v>МА2510303</x:v>
      </x:c>
      <x:c r="K605" s="87" t="n">
        <x:v>12</x:v>
      </x:c>
      <x:c r="L605" s="87" t="str">
        <x:v>Окружность и диаметры</x:v>
      </x:c>
      <x:c r="M605" s="30" t="str">
        <x:v>AC и BD — диаметры окружности. Центральный угол AOD равен 114°. Найдите угол ACB.</x:v>
      </x:c>
      <x:c r="N605" s="30" t="str">
        <x:v>33°</x:v>
      </x:c>
      <x:c r="O605" s="30" t="str">
        <x:v>Так как OB и OD — противоположные лучи, ∠AOB=180°−114°=66°. Вписанный угол ACB равен половине центрального угла AOB: 66°/2=33°.</x:v>
      </x:c>
      <x:c r="P605" s="30" t="str">
        <x:v>Проверено по теореме о вписанном угле и свойству диаметра.</x:v>
      </x:c>
      <x:c r="Q605" s="30"/>
      <x:c r="R605" s="30" t="str">
        <x:v>33</x:v>
      </x:c>
      <x:c r="S605" s="30"/>
      <x:c r="T605" s="30"/>
      <x:c r="U605" s="30" t="str">
        <x:v>Расхождений нет.</x:v>
      </x:c>
      <x:c r="V605" s="87" t="str">
        <x:v>VERIFIED</x:v>
      </x:c>
      <x:c r="W605" s="87" t="n">
        <x:v>7</x:v>
      </x:c>
      <x:c r="X605" s="87"/>
      <x:c r="Y605" s="87"/>
      <x:c r="Z605" s="87"/>
      <x:c r="AA605" s="87"/>
      <x:c r="AB605" s="87"/>
      <x:c r="AC605" s="87"/>
      <x:c r="AD605" s="87"/>
      <x:c r="AE605" s="87"/>
      <x:c r="AF605" s="87"/>
      <x:c r="AG605" s="87"/>
      <x:c r="AH605" s="87"/>
      <x:c r="AI605" s="30"/>
      <x:c r="AJ605" s="87" t="str">
        <x:v>master</x:v>
      </x:c>
      <x:c r="AK605" s="87" t="str">
        <x:v>master-v0.81</x:v>
      </x:c>
      <x:c r="AL605" s="87" t="str">
        <x:v>statgrad_master_base_v0_81_final(2).xlsx</x:v>
      </x:c>
      <x:c r="AM605" s="87" t="str">
        <x:v>MATH_Feb_Base_V3</x:v>
      </x:c>
      <x:c r="AN605" s="87" t="n">
        <x:v>13</x:v>
      </x:c>
    </x:row>
    <x:row r="606">
      <x:c r="A606" s="87" t="n">
        <x:v>605</x:v>
      </x:c>
      <x:c r="B606" s="87" t="str">
        <x:v>FEB-MATH-B-V3-013</x:v>
      </x:c>
      <x:c r="C606" s="87" t="str">
        <x:v>СтатГрад</x:v>
      </x:c>
      <x:c r="D606" s="87" t="str">
        <x:v>Февраль 2026</x:v>
      </x:c>
      <x:c r="E606" s="87"/>
      <x:c r="F606" s="87"/>
      <x:c r="G606" s="87" t="str">
        <x:v>Математика</x:v>
      </x:c>
      <x:c r="H606" s="87" t="n">
        <x:v>11</x:v>
      </x:c>
      <x:c r="I606" s="87" t="str">
        <x:v>ТР №3</x:v>
      </x:c>
      <x:c r="J606" s="87" t="str">
        <x:v>МА2510303</x:v>
      </x:c>
      <x:c r="K606" s="87" t="n">
        <x:v>13</x:v>
      </x:c>
      <x:c r="L606" s="87" t="str">
        <x:v>Площадь боковой поверхности пирамиды</x:v>
      </x:c>
      <x:c r="M606" s="30" t="str">
        <x:v>У правильной шестиугольной пирамиды сторона основания 22, боковое ребро 61. Найдите площадь боковой поверхности.</x:v>
      </x:c>
      <x:c r="N606" s="30" t="str">
        <x:v>3960</x:v>
      </x:c>
      <x:c r="O606" s="30" t="str">
        <x:v>Высота каждой боковой грани равна √(61²−11²)=√3600=60. Площадь одной грани (1/2)·22·60=660, а всех шести граней — 6·660=3960.</x:v>
      </x:c>
      <x:c r="P606" s="30" t="str">
        <x:v>Высота равнобедренной грани и сумма площадей шести одинаковых треугольников пересчитаны отдельно.</x:v>
      </x:c>
      <x:c r="Q606" s="30"/>
      <x:c r="R606" s="30" t="str">
        <x:v>3960</x:v>
      </x:c>
      <x:c r="S606" s="30"/>
      <x:c r="T606" s="30"/>
      <x:c r="U606" s="30" t="str">
        <x:v>Расхождений нет.</x:v>
      </x:c>
      <x:c r="V606" s="87" t="str">
        <x:v>VERIFIED</x:v>
      </x:c>
      <x:c r="W606" s="87" t="n">
        <x:v>7</x:v>
      </x:c>
      <x:c r="X606" s="87"/>
      <x:c r="Y606" s="87"/>
      <x:c r="Z606" s="87"/>
      <x:c r="AA606" s="87"/>
      <x:c r="AB606" s="87"/>
      <x:c r="AC606" s="87"/>
      <x:c r="AD606" s="87"/>
      <x:c r="AE606" s="87"/>
      <x:c r="AF606" s="87"/>
      <x:c r="AG606" s="87"/>
      <x:c r="AH606" s="87"/>
      <x:c r="AI606" s="30"/>
      <x:c r="AJ606" s="87" t="str">
        <x:v>master</x:v>
      </x:c>
      <x:c r="AK606" s="87" t="str">
        <x:v>master-v0.81</x:v>
      </x:c>
      <x:c r="AL606" s="87" t="str">
        <x:v>statgrad_master_base_v0_81_final(2).xlsx</x:v>
      </x:c>
      <x:c r="AM606" s="87" t="str">
        <x:v>MATH_Feb_Base_V3</x:v>
      </x:c>
      <x:c r="AN606" s="87" t="n">
        <x:v>14</x:v>
      </x:c>
    </x:row>
    <x:row r="607">
      <x:c r="A607" s="87" t="n">
        <x:v>606</x:v>
      </x:c>
      <x:c r="B607" s="87" t="str">
        <x:v>FEB-MATH-B-V3-014</x:v>
      </x:c>
      <x:c r="C607" s="87" t="str">
        <x:v>СтатГрад</x:v>
      </x:c>
      <x:c r="D607" s="87" t="str">
        <x:v>Февраль 2026</x:v>
      </x:c>
      <x:c r="E607" s="87"/>
      <x:c r="F607" s="87"/>
      <x:c r="G607" s="87" t="str">
        <x:v>Математика</x:v>
      </x:c>
      <x:c r="H607" s="87" t="n">
        <x:v>11</x:v>
      </x:c>
      <x:c r="I607" s="87" t="str">
        <x:v>ТР №3</x:v>
      </x:c>
      <x:c r="J607" s="87" t="str">
        <x:v>МА2510303</x:v>
      </x:c>
      <x:c r="K607" s="87" t="n">
        <x:v>14</x:v>
      </x:c>
      <x:c r="L607" s="87" t="str">
        <x:v>Арифметическое выражение</x:v>
      </x:c>
      <x:c r="M607" s="30" t="str">
        <x:v>Найдите значение (1/12)·1,08+5.</x:v>
      </x:c>
      <x:c r="N607" s="30" t="str">
        <x:v>5,09</x:v>
      </x:c>
      <x:c r="O607" s="30" t="str">
        <x:v>1,08/12=0,09; 0,09+5=5,09.</x:v>
      </x:c>
      <x:c r="P607" s="30" t="str">
        <x:v>Вычисление проверено переводом 1,08 в дробь 27/25.</x:v>
      </x:c>
      <x:c r="Q607" s="30"/>
      <x:c r="R607" s="30" t="str">
        <x:v>5,09</x:v>
      </x:c>
      <x:c r="S607" s="30"/>
      <x:c r="T607" s="30"/>
      <x:c r="U607" s="30" t="str">
        <x:v>Расхождений нет.</x:v>
      </x:c>
      <x:c r="V607" s="87" t="str">
        <x:v>VERIFIED</x:v>
      </x:c>
      <x:c r="W607" s="87" t="n">
        <x:v>7</x:v>
      </x:c>
      <x:c r="X607" s="87"/>
      <x:c r="Y607" s="87"/>
      <x:c r="Z607" s="87"/>
      <x:c r="AA607" s="87"/>
      <x:c r="AB607" s="87"/>
      <x:c r="AC607" s="87"/>
      <x:c r="AD607" s="87"/>
      <x:c r="AE607" s="87"/>
      <x:c r="AF607" s="87"/>
      <x:c r="AG607" s="87"/>
      <x:c r="AH607" s="87"/>
      <x:c r="AI607" s="30"/>
      <x:c r="AJ607" s="87" t="str">
        <x:v>master</x:v>
      </x:c>
      <x:c r="AK607" s="87" t="str">
        <x:v>master-v0.81</x:v>
      </x:c>
      <x:c r="AL607" s="87" t="str">
        <x:v>statgrad_master_base_v0_81_final(2).xlsx</x:v>
      </x:c>
      <x:c r="AM607" s="87" t="str">
        <x:v>MATH_Feb_Base_V3</x:v>
      </x:c>
      <x:c r="AN607" s="87" t="n">
        <x:v>15</x:v>
      </x:c>
    </x:row>
    <x:row r="608">
      <x:c r="A608" s="87" t="n">
        <x:v>607</x:v>
      </x:c>
      <x:c r="B608" s="87" t="str">
        <x:v>FEB-MATH-B-V3-015</x:v>
      </x:c>
      <x:c r="C608" s="87" t="str">
        <x:v>СтатГрад</x:v>
      </x:c>
      <x:c r="D608" s="87" t="str">
        <x:v>Февраль 2026</x:v>
      </x:c>
      <x:c r="E608" s="87"/>
      <x:c r="F608" s="87"/>
      <x:c r="G608" s="87" t="str">
        <x:v>Математика</x:v>
      </x:c>
      <x:c r="H608" s="87" t="n">
        <x:v>11</x:v>
      </x:c>
      <x:c r="I608" s="87" t="str">
        <x:v>ТР №3</x:v>
      </x:c>
      <x:c r="J608" s="87" t="str">
        <x:v>МА2510303</x:v>
      </x:c>
      <x:c r="K608" s="87" t="n">
        <x:v>15</x:v>
      </x:c>
      <x:c r="L608" s="87" t="str">
        <x:v>Проценты и отношения</x:v>
      </x:c>
      <x:c r="M608" s="30" t="str">
        <x:v>Говядину и свинину взяли в отношении 7:3. Какой процент фарша составляет свинина?</x:v>
      </x:c>
      <x:c r="N608" s="30" t="str">
        <x:v>30%</x:v>
      </x:c>
      <x:c r="O608" s="30" t="str">
        <x:v>Всего 7+3=10 равных частей, из них 3 части — свинина. 3/10·100%=30%.</x:v>
      </x:c>
      <x:c r="P608" s="30" t="str">
        <x:v>Доля свинины проверена по отношению частей.</x:v>
      </x:c>
      <x:c r="Q608" s="30"/>
      <x:c r="R608" s="30" t="str">
        <x:v>30</x:v>
      </x:c>
      <x:c r="S608" s="30"/>
      <x:c r="T608" s="30"/>
      <x:c r="U608" s="30" t="str">
        <x:v>Расхождений нет.</x:v>
      </x:c>
      <x:c r="V608" s="87" t="str">
        <x:v>VERIFIED</x:v>
      </x:c>
      <x:c r="W608" s="87" t="n">
        <x:v>7</x:v>
      </x:c>
      <x:c r="X608" s="87"/>
      <x:c r="Y608" s="87"/>
      <x:c r="Z608" s="87"/>
      <x:c r="AA608" s="87"/>
      <x:c r="AB608" s="87"/>
      <x:c r="AC608" s="87"/>
      <x:c r="AD608" s="87"/>
      <x:c r="AE608" s="87"/>
      <x:c r="AF608" s="87"/>
      <x:c r="AG608" s="87"/>
      <x:c r="AH608" s="87"/>
      <x:c r="AI608" s="30"/>
      <x:c r="AJ608" s="87" t="str">
        <x:v>master</x:v>
      </x:c>
      <x:c r="AK608" s="87" t="str">
        <x:v>master-v0.81</x:v>
      </x:c>
      <x:c r="AL608" s="87" t="str">
        <x:v>statgrad_master_base_v0_81_final(2).xlsx</x:v>
      </x:c>
      <x:c r="AM608" s="87" t="str">
        <x:v>MATH_Feb_Base_V3</x:v>
      </x:c>
      <x:c r="AN608" s="87" t="n">
        <x:v>16</x:v>
      </x:c>
    </x:row>
    <x:row r="609">
      <x:c r="A609" s="87" t="n">
        <x:v>608</x:v>
      </x:c>
      <x:c r="B609" s="87" t="str">
        <x:v>FEB-MATH-B-V3-016</x:v>
      </x:c>
      <x:c r="C609" s="87" t="str">
        <x:v>СтатГрад</x:v>
      </x:c>
      <x:c r="D609" s="87" t="str">
        <x:v>Февраль 2026</x:v>
      </x:c>
      <x:c r="E609" s="87"/>
      <x:c r="F609" s="87"/>
      <x:c r="G609" s="87" t="str">
        <x:v>Математика</x:v>
      </x:c>
      <x:c r="H609" s="87" t="n">
        <x:v>11</x:v>
      </x:c>
      <x:c r="I609" s="87" t="str">
        <x:v>ТР №3</x:v>
      </x:c>
      <x:c r="J609" s="87" t="str">
        <x:v>МА2510303</x:v>
      </x:c>
      <x:c r="K609" s="87" t="n">
        <x:v>16</x:v>
      </x:c>
      <x:c r="L609" s="87" t="str">
        <x:v>Степени</x:v>
      </x:c>
      <x:c r="M609" s="30" t="str">
        <x:v>Найдите значение (0,01²/10⁻²)·10⁴.</x:v>
      </x:c>
      <x:c r="N609" s="30" t="str">
        <x:v>100</x:v>
      </x:c>
      <x:c r="O609" s="30" t="str">
        <x:v>0,01²=(10⁻²)²=10⁻⁴. Тогда 10⁻⁴/10⁻²·10⁴=10⁻²·10⁴=10²=100.</x:v>
      </x:c>
      <x:c r="P609" s="30" t="str">
        <x:v>Правила действий со степенями применены последовательно.</x:v>
      </x:c>
      <x:c r="Q609" s="30"/>
      <x:c r="R609" s="30" t="str">
        <x:v>100</x:v>
      </x:c>
      <x:c r="S609" s="30"/>
      <x:c r="T609" s="30"/>
      <x:c r="U609" s="30" t="str">
        <x:v>Расхождений нет.</x:v>
      </x:c>
      <x:c r="V609" s="87" t="str">
        <x:v>VERIFIED</x:v>
      </x:c>
      <x:c r="W609" s="87" t="n">
        <x:v>7</x:v>
      </x:c>
      <x:c r="X609" s="87"/>
      <x:c r="Y609" s="87"/>
      <x:c r="Z609" s="87"/>
      <x:c r="AA609" s="87"/>
      <x:c r="AB609" s="87"/>
      <x:c r="AC609" s="87"/>
      <x:c r="AD609" s="87"/>
      <x:c r="AE609" s="87"/>
      <x:c r="AF609" s="87"/>
      <x:c r="AG609" s="87"/>
      <x:c r="AH609" s="87"/>
      <x:c r="AI609" s="30"/>
      <x:c r="AJ609" s="87" t="str">
        <x:v>master</x:v>
      </x:c>
      <x:c r="AK609" s="87" t="str">
        <x:v>master-v0.81</x:v>
      </x:c>
      <x:c r="AL609" s="87" t="str">
        <x:v>statgrad_master_base_v0_81_final(2).xlsx</x:v>
      </x:c>
      <x:c r="AM609" s="87" t="str">
        <x:v>MATH_Feb_Base_V3</x:v>
      </x:c>
      <x:c r="AN609" s="87" t="n">
        <x:v>17</x:v>
      </x:c>
    </x:row>
    <x:row r="610">
      <x:c r="A610" s="87" t="n">
        <x:v>609</x:v>
      </x:c>
      <x:c r="B610" s="87" t="str">
        <x:v>FEB-MATH-B-V3-017</x:v>
      </x:c>
      <x:c r="C610" s="87" t="str">
        <x:v>СтатГрад</x:v>
      </x:c>
      <x:c r="D610" s="87" t="str">
        <x:v>Февраль 2026</x:v>
      </x:c>
      <x:c r="E610" s="87"/>
      <x:c r="F610" s="87"/>
      <x:c r="G610" s="87" t="str">
        <x:v>Математика</x:v>
      </x:c>
      <x:c r="H610" s="87" t="n">
        <x:v>11</x:v>
      </x:c>
      <x:c r="I610" s="87" t="str">
        <x:v>ТР №3</x:v>
      </x:c>
      <x:c r="J610" s="87" t="str">
        <x:v>МА2510303</x:v>
      </x:c>
      <x:c r="K610" s="87" t="n">
        <x:v>17</x:v>
      </x:c>
      <x:c r="L610" s="87" t="str">
        <x:v>Логарифмическое уравнение</x:v>
      </x:c>
      <x:c r="M610" s="30" t="str">
        <x:v>Решите log₁₃(4x+35)=log₁₃3.</x:v>
      </x:c>
      <x:c r="N610" s="30" t="str">
        <x:v>−8</x:v>
      </x:c>
      <x:c r="O610" s="30" t="str">
        <x:v>При одинаковом основании равны аргументы: 4x+35=3. Отсюда 4x=−32 и x=−8. Аргумент равен 3&gt;0.</x:v>
      </x:c>
      <x:c r="P610" s="30" t="str">
        <x:v>Корень проверен подстановкой и условием существования логарифма.</x:v>
      </x:c>
      <x:c r="Q610" s="30"/>
      <x:c r="R610" s="30" t="str">
        <x:v>−8</x:v>
      </x:c>
      <x:c r="S610" s="30"/>
      <x:c r="T610" s="30"/>
      <x:c r="U610" s="30" t="str">
        <x:v>Расхождений нет.</x:v>
      </x:c>
      <x:c r="V610" s="87" t="str">
        <x:v>VERIFIED</x:v>
      </x:c>
      <x:c r="W610" s="87" t="n">
        <x:v>7</x:v>
      </x:c>
      <x:c r="X610" s="87"/>
      <x:c r="Y610" s="87"/>
      <x:c r="Z610" s="87"/>
      <x:c r="AA610" s="87"/>
      <x:c r="AB610" s="87"/>
      <x:c r="AC610" s="87"/>
      <x:c r="AD610" s="87"/>
      <x:c r="AE610" s="87"/>
      <x:c r="AF610" s="87"/>
      <x:c r="AG610" s="87"/>
      <x:c r="AH610" s="87"/>
      <x:c r="AI610" s="30"/>
      <x:c r="AJ610" s="87" t="str">
        <x:v>master</x:v>
      </x:c>
      <x:c r="AK610" s="87" t="str">
        <x:v>master-v0.81</x:v>
      </x:c>
      <x:c r="AL610" s="87" t="str">
        <x:v>statgrad_master_base_v0_81_final(2).xlsx</x:v>
      </x:c>
      <x:c r="AM610" s="87" t="str">
        <x:v>MATH_Feb_Base_V3</x:v>
      </x:c>
      <x:c r="AN610" s="87" t="n">
        <x:v>18</x:v>
      </x:c>
    </x:row>
    <x:row r="611">
      <x:c r="A611" s="87" t="n">
        <x:v>610</x:v>
      </x:c>
      <x:c r="B611" s="87" t="str">
        <x:v>FEB-MATH-B-V3-018</x:v>
      </x:c>
      <x:c r="C611" s="87" t="str">
        <x:v>СтатГрад</x:v>
      </x:c>
      <x:c r="D611" s="87" t="str">
        <x:v>Февраль 2026</x:v>
      </x:c>
      <x:c r="E611" s="87"/>
      <x:c r="F611" s="87"/>
      <x:c r="G611" s="87" t="str">
        <x:v>Математика</x:v>
      </x:c>
      <x:c r="H611" s="87" t="n">
        <x:v>11</x:v>
      </x:c>
      <x:c r="I611" s="87" t="str">
        <x:v>ТР №3</x:v>
      </x:c>
      <x:c r="J611" s="87" t="str">
        <x:v>МА2510303</x:v>
      </x:c>
      <x:c r="K611" s="87" t="n">
        <x:v>18</x:v>
      </x:c>
      <x:c r="L611" s="87" t="str">
        <x:v>Числовые интервалы</x:v>
      </x:c>
      <x:c r="M611" s="30" t="str">
        <x:v>Соотнесите числа √6+√5, √6:√5, 2√6−√5 и (√6)³−9 с интервалами [1;2], [2;3], [4;5], [5;6].</x:v>
      </x:c>
      <x:c r="N611" s="30" t="str">
        <x:v>3124</x:v>
      </x:c>
      <x:c r="O611" s="30" t="str">
        <x:v>√6+√5≈4,69 — интервал 3; √(6/5)≈1,10 — интервал 1; 2√6−√5≈2,66 — интервал 2; 6√6−9≈5,70 — интервал 4.</x:v>
      </x:c>
      <x:c r="P611" s="30" t="str">
        <x:v>Приближённые значения вычислены с достаточной точностью для выбора интервалов.</x:v>
      </x:c>
      <x:c r="Q611" s="30"/>
      <x:c r="R611" s="30" t="str">
        <x:v>3124</x:v>
      </x:c>
      <x:c r="S611" s="30"/>
      <x:c r="T611" s="30"/>
      <x:c r="U611" s="30" t="str">
        <x:v>Расхождений нет.</x:v>
      </x:c>
      <x:c r="V611" s="87" t="str">
        <x:v>VERIFIED</x:v>
      </x:c>
      <x:c r="W611" s="87" t="n">
        <x:v>8</x:v>
      </x:c>
      <x:c r="X611" s="87"/>
      <x:c r="Y611" s="87"/>
      <x:c r="Z611" s="87"/>
      <x:c r="AA611" s="87"/>
      <x:c r="AB611" s="87"/>
      <x:c r="AC611" s="87"/>
      <x:c r="AD611" s="87"/>
      <x:c r="AE611" s="87"/>
      <x:c r="AF611" s="87"/>
      <x:c r="AG611" s="87"/>
      <x:c r="AH611" s="87"/>
      <x:c r="AI611" s="30"/>
      <x:c r="AJ611" s="87" t="str">
        <x:v>master</x:v>
      </x:c>
      <x:c r="AK611" s="87" t="str">
        <x:v>master-v0.81</x:v>
      </x:c>
      <x:c r="AL611" s="87" t="str">
        <x:v>statgrad_master_base_v0_81_final(2).xlsx</x:v>
      </x:c>
      <x:c r="AM611" s="87" t="str">
        <x:v>MATH_Feb_Base_V3</x:v>
      </x:c>
      <x:c r="AN611" s="87" t="n">
        <x:v>19</x:v>
      </x:c>
    </x:row>
    <x:row r="612">
      <x:c r="A612" s="87" t="n">
        <x:v>611</x:v>
      </x:c>
      <x:c r="B612" s="87" t="str">
        <x:v>FEB-MATH-B-V3-019</x:v>
      </x:c>
      <x:c r="C612" s="87" t="str">
        <x:v>СтатГрад</x:v>
      </x:c>
      <x:c r="D612" s="87" t="str">
        <x:v>Февраль 2026</x:v>
      </x:c>
      <x:c r="E612" s="87"/>
      <x:c r="F612" s="87"/>
      <x:c r="G612" s="87" t="str">
        <x:v>Математика</x:v>
      </x:c>
      <x:c r="H612" s="87" t="n">
        <x:v>11</x:v>
      </x:c>
      <x:c r="I612" s="87" t="str">
        <x:v>ТР №3</x:v>
      </x:c>
      <x:c r="J612" s="87" t="str">
        <x:v>МА2510303</x:v>
      </x:c>
      <x:c r="K612" s="87" t="n">
        <x:v>19</x:v>
      </x:c>
      <x:c r="L612" s="87" t="str">
        <x:v>Делимость и цифры числа</x:v>
      </x:c>
      <x:c r="M612" s="30" t="str">
        <x:v>Найдите натуральное число больше 4000, но меньше 6000, которое делится на 30 и имеет строго убывающие цифры.</x:v>
      </x:c>
      <x:c r="N612" s="30" t="str">
        <x:v>4320</x:v>
      </x:c>
      <x:c r="O612" s="30" t="str">
        <x:v>Число 4320 лежит в заданном диапазоне, его цифры строго убывают: 4&gt;3&gt;2&gt;0. Оно делится на 10, а сумма цифр 9 делится на 3, поэтому число делится на 30.</x:v>
      </x:c>
      <x:c r="P612" s="30" t="str">
        <x:v>Проверены диапазон, строгое убывание цифр и делимость на 30.</x:v>
      </x:c>
      <x:c r="Q612" s="30"/>
      <x:c r="R612" s="30" t="str">
        <x:v>4320</x:v>
      </x:c>
      <x:c r="S612" s="30"/>
      <x:c r="T612" s="30"/>
      <x:c r="U612" s="30" t="str">
        <x:v>Расхождений нет.</x:v>
      </x:c>
      <x:c r="V612" s="87" t="str">
        <x:v>VERIFIED</x:v>
      </x:c>
      <x:c r="W612" s="87" t="n">
        <x:v>8</x:v>
      </x:c>
      <x:c r="X612" s="87"/>
      <x:c r="Y612" s="87"/>
      <x:c r="Z612" s="87"/>
      <x:c r="AA612" s="87"/>
      <x:c r="AB612" s="87"/>
      <x:c r="AC612" s="87"/>
      <x:c r="AD612" s="87"/>
      <x:c r="AE612" s="87"/>
      <x:c r="AF612" s="87"/>
      <x:c r="AG612" s="87"/>
      <x:c r="AH612" s="87"/>
      <x:c r="AI612" s="30"/>
      <x:c r="AJ612" s="87" t="str">
        <x:v>master</x:v>
      </x:c>
      <x:c r="AK612" s="87" t="str">
        <x:v>master-v0.81</x:v>
      </x:c>
      <x:c r="AL612" s="87" t="str">
        <x:v>statgrad_master_base_v0_81_final(2).xlsx</x:v>
      </x:c>
      <x:c r="AM612" s="87" t="str">
        <x:v>MATH_Feb_Base_V3</x:v>
      </x:c>
      <x:c r="AN612" s="87" t="n">
        <x:v>20</x:v>
      </x:c>
    </x:row>
    <x:row r="613">
      <x:c r="A613" s="87" t="n">
        <x:v>612</x:v>
      </x:c>
      <x:c r="B613" s="87" t="str">
        <x:v>FEB-MATH-B-V3-020</x:v>
      </x:c>
      <x:c r="C613" s="87" t="str">
        <x:v>СтатГрад</x:v>
      </x:c>
      <x:c r="D613" s="87" t="str">
        <x:v>Февраль 2026</x:v>
      </x:c>
      <x:c r="E613" s="87"/>
      <x:c r="F613" s="87"/>
      <x:c r="G613" s="87" t="str">
        <x:v>Математика</x:v>
      </x:c>
      <x:c r="H613" s="87" t="n">
        <x:v>11</x:v>
      </x:c>
      <x:c r="I613" s="87" t="str">
        <x:v>ТР №3</x:v>
      </x:c>
      <x:c r="J613" s="87" t="str">
        <x:v>МА2510303</x:v>
      </x:c>
      <x:c r="K613" s="87" t="n">
        <x:v>20</x:v>
      </x:c>
      <x:c r="L613" s="87" t="str">
        <x:v>Концентрация смеси</x:v>
      </x:c>
      <x:c r="M613" s="30" t="str">
        <x:v>Смешали равные количества 18%-го и 20%-го растворов. Найдите концентрацию полученного раствора.</x:v>
      </x:c>
      <x:c r="N613" s="30" t="str">
        <x:v>19%</x:v>
      </x:c>
      <x:c r="O613" s="30" t="str">
        <x:v>При равных массах концентрация равна среднему арифметическому: (18%+20%)/2=19%.</x:v>
      </x:c>
      <x:c r="P613" s="30" t="str">
        <x:v>Результат проверен балансом массы растворённого вещества.</x:v>
      </x:c>
      <x:c r="Q613" s="30"/>
      <x:c r="R613" s="30" t="str">
        <x:v>19</x:v>
      </x:c>
      <x:c r="S613" s="30"/>
      <x:c r="T613" s="30"/>
      <x:c r="U613" s="30" t="str">
        <x:v>Расхождений нет.</x:v>
      </x:c>
      <x:c r="V613" s="87" t="str">
        <x:v>VERIFIED</x:v>
      </x:c>
      <x:c r="W613" s="87" t="n">
        <x:v>8</x:v>
      </x:c>
      <x:c r="X613" s="87"/>
      <x:c r="Y613" s="87"/>
      <x:c r="Z613" s="87"/>
      <x:c r="AA613" s="87"/>
      <x:c r="AB613" s="87"/>
      <x:c r="AC613" s="87"/>
      <x:c r="AD613" s="87"/>
      <x:c r="AE613" s="87"/>
      <x:c r="AF613" s="87"/>
      <x:c r="AG613" s="87"/>
      <x:c r="AH613" s="87"/>
      <x:c r="AI613" s="30"/>
      <x:c r="AJ613" s="87" t="str">
        <x:v>master</x:v>
      </x:c>
      <x:c r="AK613" s="87" t="str">
        <x:v>master-v0.81</x:v>
      </x:c>
      <x:c r="AL613" s="87" t="str">
        <x:v>statgrad_master_base_v0_81_final(2).xlsx</x:v>
      </x:c>
      <x:c r="AM613" s="87" t="str">
        <x:v>MATH_Feb_Base_V3</x:v>
      </x:c>
      <x:c r="AN613" s="87" t="n">
        <x:v>21</x:v>
      </x:c>
    </x:row>
    <x:row r="614">
      <x:c r="A614" s="87" t="n">
        <x:v>613</x:v>
      </x:c>
      <x:c r="B614" s="87" t="str">
        <x:v>FEB-MATH-B-V3-021</x:v>
      </x:c>
      <x:c r="C614" s="87" t="str">
        <x:v>СтатГрад</x:v>
      </x:c>
      <x:c r="D614" s="87" t="str">
        <x:v>Февраль 2026</x:v>
      </x:c>
      <x:c r="E614" s="87"/>
      <x:c r="F614" s="87"/>
      <x:c r="G614" s="87" t="str">
        <x:v>Математика</x:v>
      </x:c>
      <x:c r="H614" s="87" t="n">
        <x:v>11</x:v>
      </x:c>
      <x:c r="I614" s="87" t="str">
        <x:v>ТР №3</x:v>
      </x:c>
      <x:c r="J614" s="87" t="str">
        <x:v>МА2510303</x:v>
      </x:c>
      <x:c r="K614" s="87" t="n">
        <x:v>21</x:v>
      </x:c>
      <x:c r="L614" s="87" t="str">
        <x:v>Целочисленная задача</x:v>
      </x:c>
      <x:c r="M614" s="30" t="str">
        <x:v>Число этажей больше числа квартир на этаже, число квартир на этаже больше числа подъездов, а подъездов больше одного. Всего 455 квартир. Найдите число этажей.</x:v>
      </x:c>
      <x:c r="N614" s="30" t="str">
        <x:v>13</x:v>
      </x:c>
      <x:c r="O614" s="30" t="str">
        <x:v>Пусть p — число подъездов, q — квартир на этаже, f — этажей. Тогда pqf=455=5·7·13 и f&gt;q&gt;p&gt;1. Единственный подходящий набор: p=5, q=7, f=13.</x:v>
      </x:c>
      <x:c r="P614" s="30" t="str">
        <x:v>Проверены все целые делители числа 455 и строгий порядок трёх величин.</x:v>
      </x:c>
      <x:c r="Q614" s="30"/>
      <x:c r="R614" s="30" t="str">
        <x:v>13</x:v>
      </x:c>
      <x:c r="S614" s="30"/>
      <x:c r="T614" s="30"/>
      <x:c r="U614" s="30" t="str">
        <x:v>Расхождений нет.</x:v>
      </x:c>
      <x:c r="V614" s="87" t="str">
        <x:v>VERIFIED</x:v>
      </x:c>
      <x:c r="W614" s="87" t="n">
        <x:v>8</x:v>
      </x:c>
      <x:c r="X614" s="87"/>
      <x:c r="Y614" s="87"/>
      <x:c r="Z614" s="87"/>
      <x:c r="AA614" s="87"/>
      <x:c r="AB614" s="87"/>
      <x:c r="AC614" s="87"/>
      <x:c r="AD614" s="87"/>
      <x:c r="AE614" s="87"/>
      <x:c r="AF614" s="87"/>
      <x:c r="AG614" s="87"/>
      <x:c r="AH614" s="87"/>
      <x:c r="AI614" s="30"/>
      <x:c r="AJ614" s="87" t="str">
        <x:v>master</x:v>
      </x:c>
      <x:c r="AK614" s="87" t="str">
        <x:v>master-v0.81</x:v>
      </x:c>
      <x:c r="AL614" s="87" t="str">
        <x:v>statgrad_master_base_v0_81_final(2).xlsx</x:v>
      </x:c>
      <x:c r="AM614" s="87" t="str">
        <x:v>MATH_Feb_Base_V3</x:v>
      </x:c>
      <x:c r="AN614" s="87" t="n">
        <x:v>22</x:v>
      </x:c>
    </x:row>
    <x:row r="615">
      <x:c r="A615" s="87" t="n">
        <x:v>614</x:v>
      </x:c>
      <x:c r="B615" s="87" t="str">
        <x:v>FEB-MATH-B-V4-001</x:v>
      </x:c>
      <x:c r="C615" s="87" t="str">
        <x:v>СтатГрад</x:v>
      </x:c>
      <x:c r="D615" s="87" t="str">
        <x:v>Февраль 2026</x:v>
      </x:c>
      <x:c r="E615" s="87"/>
      <x:c r="F615" s="87"/>
      <x:c r="G615" s="87" t="str">
        <x:v>Математика</x:v>
      </x:c>
      <x:c r="H615" s="87" t="n">
        <x:v>11</x:v>
      </x:c>
      <x:c r="I615" s="87" t="str">
        <x:v>ТР №3</x:v>
      </x:c>
      <x:c r="J615" s="87" t="str">
        <x:v>МА2510304</x:v>
      </x:c>
      <x:c r="K615" s="87" t="n">
        <x:v>1</x:v>
      </x:c>
      <x:c r="L615" s="87" t="str">
        <x:v>Перевод единиц скорости</x:v>
      </x:c>
      <x:c r="M615" s="30" t="str">
        <x:v>Спидометр показывает 21 милю в час. Одна миля равна 1609 м. Найдите скорость в километрах в час и округлите до целого.</x:v>
      </x:c>
      <x:c r="N615" s="30" t="str">
        <x:v>34 км/ч</x:v>
      </x:c>
      <x:c r="O615" s="30" t="str">
        <x:v>21·1,609=33,789 км/ч. После округления до целого получается 34 км/ч.</x:v>
      </x:c>
      <x:c r="P615" s="30" t="str">
        <x:v>Перевод миль в километры и округление выполнены независимо.</x:v>
      </x:c>
      <x:c r="Q615" s="30"/>
      <x:c r="R615" s="30" t="str">
        <x:v>34</x:v>
      </x:c>
      <x:c r="S615" s="30"/>
      <x:c r="T615" s="30"/>
      <x:c r="U615" s="30" t="str">
        <x:v>Расхождений нет.</x:v>
      </x:c>
      <x:c r="V615" s="87" t="str">
        <x:v>VERIFIED</x:v>
      </x:c>
      <x:c r="W615" s="87" t="n">
        <x:v>2</x:v>
      </x:c>
      <x:c r="X615" s="87"/>
      <x:c r="Y615" s="87"/>
      <x:c r="Z615" s="87"/>
      <x:c r="AA615" s="87"/>
      <x:c r="AB615" s="87"/>
      <x:c r="AC615" s="87"/>
      <x:c r="AD615" s="87"/>
      <x:c r="AE615" s="87"/>
      <x:c r="AF615" s="87"/>
      <x:c r="AG615" s="87"/>
      <x:c r="AH615" s="87"/>
      <x:c r="AI615" s="30"/>
      <x:c r="AJ615" s="87" t="str">
        <x:v>master</x:v>
      </x:c>
      <x:c r="AK615" s="87" t="str">
        <x:v>master-v0.81</x:v>
      </x:c>
      <x:c r="AL615" s="87" t="str">
        <x:v>statgrad_master_base_v0_81_final(2).xlsx</x:v>
      </x:c>
      <x:c r="AM615" s="87" t="str">
        <x:v>MATH_Feb_Base_V4</x:v>
      </x:c>
      <x:c r="AN615" s="87" t="n">
        <x:v>2</x:v>
      </x:c>
    </x:row>
    <x:row r="616">
      <x:c r="A616" s="87" t="n">
        <x:v>615</x:v>
      </x:c>
      <x:c r="B616" s="87" t="str">
        <x:v>FEB-MATH-B-V4-002</x:v>
      </x:c>
      <x:c r="C616" s="87" t="str">
        <x:v>СтатГрад</x:v>
      </x:c>
      <x:c r="D616" s="87" t="str">
        <x:v>Февраль 2026</x:v>
      </x:c>
      <x:c r="E616" s="87"/>
      <x:c r="F616" s="87"/>
      <x:c r="G616" s="87" t="str">
        <x:v>Математика</x:v>
      </x:c>
      <x:c r="H616" s="87" t="n">
        <x:v>11</x:v>
      </x:c>
      <x:c r="I616" s="87" t="str">
        <x:v>ТР №3</x:v>
      </x:c>
      <x:c r="J616" s="87" t="str">
        <x:v>МА2510304</x:v>
      </x:c>
      <x:c r="K616" s="87" t="n">
        <x:v>2</x:v>
      </x:c>
      <x:c r="L616" s="87" t="str">
        <x:v>Оценка величин</x:v>
      </x:c>
      <x:c r="M616" s="30" t="str">
        <x:v>Соотнесите диаметр монеты, рост жирафа, высоту Эйфелевой башни и радиус Земли со значениями 6400 км, 330 м, 20 мм и 5 м.</x:v>
      </x:c>
      <x:c r="N616" s="30" t="str">
        <x:v>3421</x:v>
      </x:c>
      <x:c r="O616" s="30" t="str">
        <x:v>Диаметр монеты — около 20 мм (3); рост жирафа — около 5 м (4); высота Эйфелевой башни — около 330 м (2); радиус Земли — около 6400 км (1).</x:v>
      </x:c>
      <x:c r="P616" s="30" t="str">
        <x:v>Каждое значение проверено по порядку величины и единицам измерения.</x:v>
      </x:c>
      <x:c r="Q616" s="30"/>
      <x:c r="R616" s="30" t="str">
        <x:v>3421</x:v>
      </x:c>
      <x:c r="S616" s="30"/>
      <x:c r="T616" s="30"/>
      <x:c r="U616" s="30" t="str">
        <x:v>Расхождений нет.</x:v>
      </x:c>
      <x:c r="V616" s="87" t="str">
        <x:v>VERIFIED</x:v>
      </x:c>
      <x:c r="W616" s="87" t="n">
        <x:v>2</x:v>
      </x:c>
      <x:c r="X616" s="87"/>
      <x:c r="Y616" s="87"/>
      <x:c r="Z616" s="87"/>
      <x:c r="AA616" s="87"/>
      <x:c r="AB616" s="87"/>
      <x:c r="AC616" s="87"/>
      <x:c r="AD616" s="87"/>
      <x:c r="AE616" s="87"/>
      <x:c r="AF616" s="87"/>
      <x:c r="AG616" s="87"/>
      <x:c r="AH616" s="87"/>
      <x:c r="AI616" s="30"/>
      <x:c r="AJ616" s="87" t="str">
        <x:v>master</x:v>
      </x:c>
      <x:c r="AK616" s="87" t="str">
        <x:v>master-v0.81</x:v>
      </x:c>
      <x:c r="AL616" s="87" t="str">
        <x:v>statgrad_master_base_v0_81_final(2).xlsx</x:v>
      </x:c>
      <x:c r="AM616" s="87" t="str">
        <x:v>MATH_Feb_Base_V4</x:v>
      </x:c>
      <x:c r="AN616" s="87" t="n">
        <x:v>3</x:v>
      </x:c>
    </x:row>
    <x:row r="617">
      <x:c r="A617" s="87" t="n">
        <x:v>616</x:v>
      </x:c>
      <x:c r="B617" s="87" t="str">
        <x:v>FEB-MATH-B-V4-003</x:v>
      </x:c>
      <x:c r="C617" s="87" t="str">
        <x:v>СтатГрад</x:v>
      </x:c>
      <x:c r="D617" s="87" t="str">
        <x:v>Февраль 2026</x:v>
      </x:c>
      <x:c r="E617" s="87"/>
      <x:c r="F617" s="87"/>
      <x:c r="G617" s="87" t="str">
        <x:v>Математика</x:v>
      </x:c>
      <x:c r="H617" s="87" t="n">
        <x:v>11</x:v>
      </x:c>
      <x:c r="I617" s="87" t="str">
        <x:v>ТР №3</x:v>
      </x:c>
      <x:c r="J617" s="87" t="str">
        <x:v>МА2510304</x:v>
      </x:c>
      <x:c r="K617" s="87" t="n">
        <x:v>3</x:v>
      </x:c>
      <x:c r="L617" s="87" t="str">
        <x:v>Чтение графика</x:v>
      </x:c>
      <x:c r="M617" s="30" t="str">
        <x:v>По графику зависимости атмосферного давления от высоты найдите высоту, на которой давление равно 340 мм рт. ст.</x:v>
      </x:c>
      <x:c r="N617" s="30" t="str">
        <x:v>6 км</x:v>
      </x:c>
      <x:c r="O617" s="30" t="str">
        <x:v>Горизонталь 340 мм рт. ст. пересекает кривую примерно над отметкой 6 км.</x:v>
      </x:c>
      <x:c r="P617" s="30" t="str">
        <x:v>Значение считано по координатной сетке графика и сверено с официальным ключом.</x:v>
      </x:c>
      <x:c r="Q617" s="30"/>
      <x:c r="R617" s="30" t="str">
        <x:v>6</x:v>
      </x:c>
      <x:c r="S617" s="30"/>
      <x:c r="T617" s="30"/>
      <x:c r="U617" s="30" t="str">
        <x:v>Расхождений нет.</x:v>
      </x:c>
      <x:c r="V617" s="87" t="str">
        <x:v>VERIFIED</x:v>
      </x:c>
      <x:c r="W617" s="87" t="n">
        <x:v>3</x:v>
      </x:c>
      <x:c r="X617" s="87"/>
      <x:c r="Y617" s="87"/>
      <x:c r="Z617" s="87"/>
      <x:c r="AA617" s="87"/>
      <x:c r="AB617" s="87"/>
      <x:c r="AC617" s="87"/>
      <x:c r="AD617" s="87"/>
      <x:c r="AE617" s="87"/>
      <x:c r="AF617" s="87"/>
      <x:c r="AG617" s="87"/>
      <x:c r="AH617" s="87"/>
      <x:c r="AI617" s="30"/>
      <x:c r="AJ617" s="87" t="str">
        <x:v>master</x:v>
      </x:c>
      <x:c r="AK617" s="87" t="str">
        <x:v>master-v0.81</x:v>
      </x:c>
      <x:c r="AL617" s="87" t="str">
        <x:v>statgrad_master_base_v0_81_final(2).xlsx</x:v>
      </x:c>
      <x:c r="AM617" s="87" t="str">
        <x:v>MATH_Feb_Base_V4</x:v>
      </x:c>
      <x:c r="AN617" s="87" t="n">
        <x:v>4</x:v>
      </x:c>
    </x:row>
    <x:row r="618">
      <x:c r="A618" s="87" t="n">
        <x:v>617</x:v>
      </x:c>
      <x:c r="B618" s="87" t="str">
        <x:v>FEB-MATH-B-V4-004</x:v>
      </x:c>
      <x:c r="C618" s="87" t="str">
        <x:v>СтатГрад</x:v>
      </x:c>
      <x:c r="D618" s="87" t="str">
        <x:v>Февраль 2026</x:v>
      </x:c>
      <x:c r="E618" s="87"/>
      <x:c r="F618" s="87"/>
      <x:c r="G618" s="87" t="str">
        <x:v>Математика</x:v>
      </x:c>
      <x:c r="H618" s="87" t="n">
        <x:v>11</x:v>
      </x:c>
      <x:c r="I618" s="87" t="str">
        <x:v>ТР №3</x:v>
      </x:c>
      <x:c r="J618" s="87" t="str">
        <x:v>МА2510304</x:v>
      </x:c>
      <x:c r="K618" s="87" t="n">
        <x:v>4</x:v>
      </x:c>
      <x:c r="L618" s="87" t="str">
        <x:v>Площадь четырёхугольника</x:v>
      </x:c>
      <x:c r="M618" s="30" t="str">
        <x:v>Найдите площадь по формуле S=(1/2)d₁d₂sinα, если d₁=14, d₂=45 и sinα=4/15.</x:v>
      </x:c>
      <x:c r="N618" s="30" t="str">
        <x:v>84</x:v>
      </x:c>
      <x:c r="O618" s="30" t="str">
        <x:v>S=(1/2)·14·45·4/15=7·3·4=84.</x:v>
      </x:c>
      <x:c r="P618" s="30" t="str">
        <x:v>Вычисление повторено последовательным сокращением множителей.</x:v>
      </x:c>
      <x:c r="Q618" s="30"/>
      <x:c r="R618" s="30" t="str">
        <x:v>84</x:v>
      </x:c>
      <x:c r="S618" s="30"/>
      <x:c r="T618" s="30"/>
      <x:c r="U618" s="30" t="str">
        <x:v>Расхождений нет.</x:v>
      </x:c>
      <x:c r="V618" s="87" t="str">
        <x:v>VERIFIED</x:v>
      </x:c>
      <x:c r="W618" s="87" t="n">
        <x:v>3</x:v>
      </x:c>
      <x:c r="X618" s="87"/>
      <x:c r="Y618" s="87"/>
      <x:c r="Z618" s="87"/>
      <x:c r="AA618" s="87"/>
      <x:c r="AB618" s="87"/>
      <x:c r="AC618" s="87"/>
      <x:c r="AD618" s="87"/>
      <x:c r="AE618" s="87"/>
      <x:c r="AF618" s="87"/>
      <x:c r="AG618" s="87"/>
      <x:c r="AH618" s="87"/>
      <x:c r="AI618" s="30"/>
      <x:c r="AJ618" s="87" t="str">
        <x:v>master</x:v>
      </x:c>
      <x:c r="AK618" s="87" t="str">
        <x:v>master-v0.81</x:v>
      </x:c>
      <x:c r="AL618" s="87" t="str">
        <x:v>statgrad_master_base_v0_81_final(2).xlsx</x:v>
      </x:c>
      <x:c r="AM618" s="87" t="str">
        <x:v>MATH_Feb_Base_V4</x:v>
      </x:c>
      <x:c r="AN618" s="87" t="n">
        <x:v>5</x:v>
      </x:c>
    </x:row>
    <x:row r="619">
      <x:c r="A619" s="87" t="n">
        <x:v>618</x:v>
      </x:c>
      <x:c r="B619" s="87" t="str">
        <x:v>FEB-MATH-B-V4-005</x:v>
      </x:c>
      <x:c r="C619" s="87" t="str">
        <x:v>СтатГрад</x:v>
      </x:c>
      <x:c r="D619" s="87" t="str">
        <x:v>Февраль 2026</x:v>
      </x:c>
      <x:c r="E619" s="87"/>
      <x:c r="F619" s="87"/>
      <x:c r="G619" s="87" t="str">
        <x:v>Математика</x:v>
      </x:c>
      <x:c r="H619" s="87" t="n">
        <x:v>11</x:v>
      </x:c>
      <x:c r="I619" s="87" t="str">
        <x:v>ТР №3</x:v>
      </x:c>
      <x:c r="J619" s="87" t="str">
        <x:v>МА2510304</x:v>
      </x:c>
      <x:c r="K619" s="87" t="n">
        <x:v>5</x:v>
      </x:c>
      <x:c r="L619" s="87" t="str">
        <x:v>Теория вероятностей</x:v>
      </x:c>
      <x:c r="M619" s="30" t="str">
        <x:v>Два будущих первоклассника независимо приходят на запись. Найдите вероятность, что среди них есть хотя бы один мальчик.</x:v>
      </x:c>
      <x:c r="N619" s="30" t="str">
        <x:v>0,75</x:v>
      </x:c>
      <x:c r="O619" s="30" t="str">
        <x:v>Удобно вычесть противоположное событие: вероятность прихода двух девочек равна 1/4. Поэтому P=1−1/4=3/4=0,75.</x:v>
      </x:c>
      <x:c r="P619" s="30" t="str">
        <x:v>Рассмотрены все четыре равновероятные пары полов; три содержат хотя бы одного мальчика.</x:v>
      </x:c>
      <x:c r="Q619" s="30"/>
      <x:c r="R619" s="30" t="str">
        <x:v>0,75</x:v>
      </x:c>
      <x:c r="S619" s="30"/>
      <x:c r="T619" s="30"/>
      <x:c r="U619" s="30" t="str">
        <x:v>Расхождений нет.</x:v>
      </x:c>
      <x:c r="V619" s="87" t="str">
        <x:v>VERIFIED</x:v>
      </x:c>
      <x:c r="W619" s="87" t="n">
        <x:v>4</x:v>
      </x:c>
      <x:c r="X619" s="87"/>
      <x:c r="Y619" s="87"/>
      <x:c r="Z619" s="87"/>
      <x:c r="AA619" s="87"/>
      <x:c r="AB619" s="87"/>
      <x:c r="AC619" s="87"/>
      <x:c r="AD619" s="87"/>
      <x:c r="AE619" s="87"/>
      <x:c r="AF619" s="87"/>
      <x:c r="AG619" s="87"/>
      <x:c r="AH619" s="87"/>
      <x:c r="AI619" s="30"/>
      <x:c r="AJ619" s="87" t="str">
        <x:v>master</x:v>
      </x:c>
      <x:c r="AK619" s="87" t="str">
        <x:v>master-v0.81</x:v>
      </x:c>
      <x:c r="AL619" s="87" t="str">
        <x:v>statgrad_master_base_v0_81_final(2).xlsx</x:v>
      </x:c>
      <x:c r="AM619" s="87" t="str">
        <x:v>MATH_Feb_Base_V4</x:v>
      </x:c>
      <x:c r="AN619" s="87" t="n">
        <x:v>6</x:v>
      </x:c>
    </x:row>
    <x:row r="620">
      <x:c r="A620" s="87" t="n">
        <x:v>619</x:v>
      </x:c>
      <x:c r="B620" s="87" t="str">
        <x:v>FEB-MATH-B-V4-006</x:v>
      </x:c>
      <x:c r="C620" s="87" t="str">
        <x:v>СтатГрад</x:v>
      </x:c>
      <x:c r="D620" s="87" t="str">
        <x:v>Февраль 2026</x:v>
      </x:c>
      <x:c r="E620" s="87"/>
      <x:c r="F620" s="87"/>
      <x:c r="G620" s="87" t="str">
        <x:v>Математика</x:v>
      </x:c>
      <x:c r="H620" s="87" t="n">
        <x:v>11</x:v>
      </x:c>
      <x:c r="I620" s="87" t="str">
        <x:v>ТР №3</x:v>
      </x:c>
      <x:c r="J620" s="87" t="str">
        <x:v>МА2510304</x:v>
      </x:c>
      <x:c r="K620" s="87" t="n">
        <x:v>6</x:v>
      </x:c>
      <x:c r="L620" s="87" t="str">
        <x:v>Анализ таблицы</x:v>
      </x:c>
      <x:c r="M620" s="30" t="str">
        <x:v>Выберите чемоданы, у которых сумма длины, высоты и ширины не превышает 203 см, а масса не больше 23 кг.</x:v>
      </x:c>
      <x:c r="N620" s="30" t="str">
        <x:v>36</x:v>
      </x:c>
      <x:c r="O620" s="30" t="str">
        <x:v>Чемодан 3: 97+57+43=197 см, масса 22 кг; чемодан 6: 88+48+36=172 см, масса 18 кг. Остальные превышают допустимую массу или сумму размеров.</x:v>
      </x:c>
      <x:c r="P620" s="30" t="str">
        <x:v>Для всех шести строк отдельно проверены сумма трёх измерений и масса.</x:v>
      </x:c>
      <x:c r="Q620" s="30"/>
      <x:c r="R620" s="30" t="str">
        <x:v>36</x:v>
      </x:c>
      <x:c r="S620" s="30"/>
      <x:c r="T620" s="30"/>
      <x:c r="U620" s="30" t="str">
        <x:v>Расхождений нет.</x:v>
      </x:c>
      <x:c r="V620" s="87" t="str">
        <x:v>VERIFIED</x:v>
      </x:c>
      <x:c r="W620" s="87" t="n">
        <x:v>4</x:v>
      </x:c>
      <x:c r="X620" s="87"/>
      <x:c r="Y620" s="87"/>
      <x:c r="Z620" s="87"/>
      <x:c r="AA620" s="87"/>
      <x:c r="AB620" s="87"/>
      <x:c r="AC620" s="87"/>
      <x:c r="AD620" s="87"/>
      <x:c r="AE620" s="87"/>
      <x:c r="AF620" s="87"/>
      <x:c r="AG620" s="87"/>
      <x:c r="AH620" s="87"/>
      <x:c r="AI620" s="30"/>
      <x:c r="AJ620" s="87" t="str">
        <x:v>master</x:v>
      </x:c>
      <x:c r="AK620" s="87" t="str">
        <x:v>master-v0.81</x:v>
      </x:c>
      <x:c r="AL620" s="87" t="str">
        <x:v>statgrad_master_base_v0_81_final(2).xlsx</x:v>
      </x:c>
      <x:c r="AM620" s="87" t="str">
        <x:v>MATH_Feb_Base_V4</x:v>
      </x:c>
      <x:c r="AN620" s="87" t="n">
        <x:v>7</x:v>
      </x:c>
    </x:row>
    <x:row r="621">
      <x:c r="A621" s="87" t="n">
        <x:v>620</x:v>
      </x:c>
      <x:c r="B621" s="87" t="str">
        <x:v>FEB-MATH-B-V4-007</x:v>
      </x:c>
      <x:c r="C621" s="87" t="str">
        <x:v>СтатГрад</x:v>
      </x:c>
      <x:c r="D621" s="87" t="str">
        <x:v>Февраль 2026</x:v>
      </x:c>
      <x:c r="E621" s="87"/>
      <x:c r="F621" s="87"/>
      <x:c r="G621" s="87" t="str">
        <x:v>Математика</x:v>
      </x:c>
      <x:c r="H621" s="87" t="n">
        <x:v>11</x:v>
      </x:c>
      <x:c r="I621" s="87" t="str">
        <x:v>ТР №3</x:v>
      </x:c>
      <x:c r="J621" s="87" t="str">
        <x:v>МА2510304</x:v>
      </x:c>
      <x:c r="K621" s="87" t="n">
        <x:v>7</x:v>
      </x:c>
      <x:c r="L621" s="87" t="str">
        <x:v>Свойства функции по графику</x:v>
      </x:c>
      <x:c r="M621" s="30" t="str">
        <x:v>Соотнесите интервалы (a;b), (b;c), (c;d), (d;e) с характеристиками функции или её производной.</x:v>
      </x:c>
      <x:c r="N621" s="30" t="str">
        <x:v>4312</x:v>
      </x:c>
      <x:c r="O621" s="30" t="str">
        <x:v>На (a;b) функция и её производная положительны — 4; на (b;c) функция убывает, поэтому производная отрицательна — 3; на (c;d) функция принимает положительные и отрицательные значения — 1; на (d;e) функция отрицательна во всех точках — 2.</x:v>
      </x:c>
      <x:c r="P621" s="30" t="str">
        <x:v>Знаки функции и направление монотонности считаны непосредственно по графику.</x:v>
      </x:c>
      <x:c r="Q621" s="30"/>
      <x:c r="R621" s="30" t="str">
        <x:v>4312</x:v>
      </x:c>
      <x:c r="S621" s="30"/>
      <x:c r="T621" s="30"/>
      <x:c r="U621" s="30" t="str">
        <x:v>Расхождений нет.</x:v>
      </x:c>
      <x:c r="V621" s="87" t="str">
        <x:v>VERIFIED</x:v>
      </x:c>
      <x:c r="W621" s="87" t="n">
        <x:v>5</x:v>
      </x:c>
      <x:c r="X621" s="87"/>
      <x:c r="Y621" s="87"/>
      <x:c r="Z621" s="87"/>
      <x:c r="AA621" s="87"/>
      <x:c r="AB621" s="87"/>
      <x:c r="AC621" s="87"/>
      <x:c r="AD621" s="87"/>
      <x:c r="AE621" s="87"/>
      <x:c r="AF621" s="87"/>
      <x:c r="AG621" s="87"/>
      <x:c r="AH621" s="87"/>
      <x:c r="AI621" s="30"/>
      <x:c r="AJ621" s="87" t="str">
        <x:v>master</x:v>
      </x:c>
      <x:c r="AK621" s="87" t="str">
        <x:v>master-v0.81</x:v>
      </x:c>
      <x:c r="AL621" s="87" t="str">
        <x:v>statgrad_master_base_v0_81_final(2).xlsx</x:v>
      </x:c>
      <x:c r="AM621" s="87" t="str">
        <x:v>MATH_Feb_Base_V4</x:v>
      </x:c>
      <x:c r="AN621" s="87" t="n">
        <x:v>8</x:v>
      </x:c>
    </x:row>
    <x:row r="622">
      <x:c r="A622" s="87" t="n">
        <x:v>621</x:v>
      </x:c>
      <x:c r="B622" s="87" t="str">
        <x:v>FEB-MATH-B-V4-008</x:v>
      </x:c>
      <x:c r="C622" s="87" t="str">
        <x:v>СтатГрад</x:v>
      </x:c>
      <x:c r="D622" s="87" t="str">
        <x:v>Февраль 2026</x:v>
      </x:c>
      <x:c r="E622" s="87"/>
      <x:c r="F622" s="87"/>
      <x:c r="G622" s="87" t="str">
        <x:v>Математика</x:v>
      </x:c>
      <x:c r="H622" s="87" t="n">
        <x:v>11</x:v>
      </x:c>
      <x:c r="I622" s="87" t="str">
        <x:v>ТР №3</x:v>
      </x:c>
      <x:c r="J622" s="87" t="str">
        <x:v>МА2510304</x:v>
      </x:c>
      <x:c r="K622" s="87" t="n">
        <x:v>8</x:v>
      </x:c>
      <x:c r="L622" s="87" t="str">
        <x:v>Множества</x:v>
      </x:c>
      <x:c r="M622" s="30" t="str">
        <x:v>В фирме 60 сотрудников: 50 знают английский язык, 15 — французский. Выберите утверждения, верные при любых возможных пересечениях множеств.</x:v>
      </x:c>
      <x:c r="N622" s="30" t="str">
        <x:v>23</x:v>
      </x:c>
      <x:c r="O622" s="30" t="str">
        <x:v>Пересечение содержит не менее 50+15−60=5 человек, поэтому хотя бы три сотрудника знают оба языка — утверждение 2 верно. Одновременно оба языка знают не более 15 человек — утверждение 3 также верно.</x:v>
      </x:c>
      <x:c r="P622" s="30" t="str">
        <x:v>Нижняя и верхняя границы пересечения проверены формулой включений-исключений.</x:v>
      </x:c>
      <x:c r="Q622" s="30"/>
      <x:c r="R622" s="30" t="str">
        <x:v>23</x:v>
      </x:c>
      <x:c r="S622" s="30"/>
      <x:c r="T622" s="30"/>
      <x:c r="U622" s="30" t="str">
        <x:v>Расхождений нет.</x:v>
      </x:c>
      <x:c r="V622" s="87" t="str">
        <x:v>VERIFIED</x:v>
      </x:c>
      <x:c r="W622" s="87" t="n">
        <x:v>5</x:v>
      </x:c>
      <x:c r="X622" s="87"/>
      <x:c r="Y622" s="87"/>
      <x:c r="Z622" s="87"/>
      <x:c r="AA622" s="87"/>
      <x:c r="AB622" s="87"/>
      <x:c r="AC622" s="87"/>
      <x:c r="AD622" s="87"/>
      <x:c r="AE622" s="87"/>
      <x:c r="AF622" s="87"/>
      <x:c r="AG622" s="87"/>
      <x:c r="AH622" s="87"/>
      <x:c r="AI622" s="30"/>
      <x:c r="AJ622" s="87" t="str">
        <x:v>master</x:v>
      </x:c>
      <x:c r="AK622" s="87" t="str">
        <x:v>master-v0.81</x:v>
      </x:c>
      <x:c r="AL622" s="87" t="str">
        <x:v>statgrad_master_base_v0_81_final(2).xlsx</x:v>
      </x:c>
      <x:c r="AM622" s="87" t="str">
        <x:v>MATH_Feb_Base_V4</x:v>
      </x:c>
      <x:c r="AN622" s="87" t="n">
        <x:v>9</x:v>
      </x:c>
    </x:row>
    <x:row r="623">
      <x:c r="A623" s="87" t="n">
        <x:v>622</x:v>
      </x:c>
      <x:c r="B623" s="87" t="str">
        <x:v>FEB-MATH-B-V4-009</x:v>
      </x:c>
      <x:c r="C623" s="87" t="str">
        <x:v>СтатГрад</x:v>
      </x:c>
      <x:c r="D623" s="87" t="str">
        <x:v>Февраль 2026</x:v>
      </x:c>
      <x:c r="E623" s="87"/>
      <x:c r="F623" s="87"/>
      <x:c r="G623" s="87" t="str">
        <x:v>Математика</x:v>
      </x:c>
      <x:c r="H623" s="87" t="n">
        <x:v>11</x:v>
      </x:c>
      <x:c r="I623" s="87" t="str">
        <x:v>ТР №3</x:v>
      </x:c>
      <x:c r="J623" s="87" t="str">
        <x:v>МА2510304</x:v>
      </x:c>
      <x:c r="K623" s="87" t="n">
        <x:v>9</x:v>
      </x:c>
      <x:c r="L623" s="87" t="str">
        <x:v>Площадь фигуры на клетчатой бумаге</x:v>
      </x:c>
      <x:c r="M623" s="30" t="str">
        <x:v>Найдите площадь треугольного участка на сетке 1×1 м.</x:v>
      </x:c>
      <x:c r="N623" s="30" t="str">
        <x:v>15 м²</x:v>
      </x:c>
      <x:c r="O623" s="30" t="str">
        <x:v>Горизонтальное основание треугольника равно 6 клеткам, а высота — 5 клеткам. S=(1/2)·6·5=15 м².</x:v>
      </x:c>
      <x:c r="P623" s="30" t="str">
        <x:v>Координаты вершин, основание и высота считаны по сетке.</x:v>
      </x:c>
      <x:c r="Q623" s="30"/>
      <x:c r="R623" s="30" t="str">
        <x:v>15</x:v>
      </x:c>
      <x:c r="S623" s="30"/>
      <x:c r="T623" s="30"/>
      <x:c r="U623" s="30" t="str">
        <x:v>Расхождений нет.</x:v>
      </x:c>
      <x:c r="V623" s="87" t="str">
        <x:v>VERIFIED</x:v>
      </x:c>
      <x:c r="W623" s="87" t="n">
        <x:v>6</x:v>
      </x:c>
      <x:c r="X623" s="87"/>
      <x:c r="Y623" s="87"/>
      <x:c r="Z623" s="87"/>
      <x:c r="AA623" s="87"/>
      <x:c r="AB623" s="87"/>
      <x:c r="AC623" s="87"/>
      <x:c r="AD623" s="87"/>
      <x:c r="AE623" s="87"/>
      <x:c r="AF623" s="87"/>
      <x:c r="AG623" s="87"/>
      <x:c r="AH623" s="87"/>
      <x:c r="AI623" s="30"/>
      <x:c r="AJ623" s="87" t="str">
        <x:v>master</x:v>
      </x:c>
      <x:c r="AK623" s="87" t="str">
        <x:v>master-v0.81</x:v>
      </x:c>
      <x:c r="AL623" s="87" t="str">
        <x:v>statgrad_master_base_v0_81_final(2).xlsx</x:v>
      </x:c>
      <x:c r="AM623" s="87" t="str">
        <x:v>MATH_Feb_Base_V4</x:v>
      </x:c>
      <x:c r="AN623" s="87" t="n">
        <x:v>10</x:v>
      </x:c>
    </x:row>
    <x:row r="624">
      <x:c r="A624" s="87" t="n">
        <x:v>623</x:v>
      </x:c>
      <x:c r="B624" s="87" t="str">
        <x:v>FEB-MATH-B-V4-010</x:v>
      </x:c>
      <x:c r="C624" s="87" t="str">
        <x:v>СтатГрад</x:v>
      </x:c>
      <x:c r="D624" s="87" t="str">
        <x:v>Февраль 2026</x:v>
      </x:c>
      <x:c r="E624" s="87"/>
      <x:c r="F624" s="87"/>
      <x:c r="G624" s="87" t="str">
        <x:v>Математика</x:v>
      </x:c>
      <x:c r="H624" s="87" t="n">
        <x:v>11</x:v>
      </x:c>
      <x:c r="I624" s="87" t="str">
        <x:v>ТР №3</x:v>
      </x:c>
      <x:c r="J624" s="87" t="str">
        <x:v>МА2510304</x:v>
      </x:c>
      <x:c r="K624" s="87" t="n">
        <x:v>10</x:v>
      </x:c>
      <x:c r="L624" s="87" t="str">
        <x:v>Периметр и внутреннее ограждение</x:v>
      </x:c>
      <x:c r="M624" s="30" t="str">
        <x:v>Прямоугольный участок 20×30 м обносят забором и делят на две части, одна из которых — квадрат. Найдите суммарную длину забора.</x:v>
      </x:c>
      <x:c r="N624" s="30" t="str">
        <x:v>120 м</x:v>
      </x:c>
      <x:c r="O624" s="30" t="str">
        <x:v>Внешний периметр равен 2(20+30)=100 м. Для отделения квадрата 20×20 м нужна перегородка длиной 20 м. Всего 100+20=120 м.</x:v>
      </x:c>
      <x:c r="P624" s="30" t="str">
        <x:v>Учтены внешний контур и единственная внутренняя перегородка.</x:v>
      </x:c>
      <x:c r="Q624" s="30"/>
      <x:c r="R624" s="30" t="str">
        <x:v>120</x:v>
      </x:c>
      <x:c r="S624" s="30"/>
      <x:c r="T624" s="30"/>
      <x:c r="U624" s="30" t="str">
        <x:v>Расхождений нет.</x:v>
      </x:c>
      <x:c r="V624" s="87" t="str">
        <x:v>VERIFIED</x:v>
      </x:c>
      <x:c r="W624" s="87" t="n">
        <x:v>6</x:v>
      </x:c>
      <x:c r="X624" s="87"/>
      <x:c r="Y624" s="87"/>
      <x:c r="Z624" s="87"/>
      <x:c r="AA624" s="87"/>
      <x:c r="AB624" s="87"/>
      <x:c r="AC624" s="87"/>
      <x:c r="AD624" s="87"/>
      <x:c r="AE624" s="87"/>
      <x:c r="AF624" s="87"/>
      <x:c r="AG624" s="87"/>
      <x:c r="AH624" s="87"/>
      <x:c r="AI624" s="30"/>
      <x:c r="AJ624" s="87" t="str">
        <x:v>master</x:v>
      </x:c>
      <x:c r="AK624" s="87" t="str">
        <x:v>master-v0.81</x:v>
      </x:c>
      <x:c r="AL624" s="87" t="str">
        <x:v>statgrad_master_base_v0_81_final(2).xlsx</x:v>
      </x:c>
      <x:c r="AM624" s="87" t="str">
        <x:v>MATH_Feb_Base_V4</x:v>
      </x:c>
      <x:c r="AN624" s="87" t="n">
        <x:v>11</x:v>
      </x:c>
    </x:row>
    <x:row r="625">
      <x:c r="A625" s="87" t="n">
        <x:v>624</x:v>
      </x:c>
      <x:c r="B625" s="87" t="str">
        <x:v>FEB-MATH-B-V4-011</x:v>
      </x:c>
      <x:c r="C625" s="87" t="str">
        <x:v>СтатГрад</x:v>
      </x:c>
      <x:c r="D625" s="87" t="str">
        <x:v>Февраль 2026</x:v>
      </x:c>
      <x:c r="E625" s="87"/>
      <x:c r="F625" s="87"/>
      <x:c r="G625" s="87" t="str">
        <x:v>Математика</x:v>
      </x:c>
      <x:c r="H625" s="87" t="n">
        <x:v>11</x:v>
      </x:c>
      <x:c r="I625" s="87" t="str">
        <x:v>ТР №3</x:v>
      </x:c>
      <x:c r="J625" s="87" t="str">
        <x:v>МА2510304</x:v>
      </x:c>
      <x:c r="K625" s="87" t="n">
        <x:v>11</x:v>
      </x:c>
      <x:c r="L625" s="87" t="str">
        <x:v>Объём цилиндра</x:v>
      </x:c>
      <x:c r="M625" s="30" t="str">
        <x:v>Вода занимает в цилиндре высоту 40 см. Её перелили в цилиндр с радиусом основания вдвое больше. Найдите новую высоту.</x:v>
      </x:c>
      <x:c r="N625" s="30" t="str">
        <x:v>10 см</x:v>
      </x:c>
      <x:c r="O625" s="30" t="str">
        <x:v>Объём сохраняется. При увеличении радиуса в 2 раза площадь основания возрастает в 4 раза, поэтому высота уменьшается в 4 раза: 40/4=10 см.</x:v>
      </x:c>
      <x:c r="P625" s="30" t="str">
        <x:v>Равенство πR²·40=π(2R)²·h даёт тот же результат.</x:v>
      </x:c>
      <x:c r="Q625" s="30"/>
      <x:c r="R625" s="30" t="str">
        <x:v>10</x:v>
      </x:c>
      <x:c r="S625" s="30"/>
      <x:c r="T625" s="30"/>
      <x:c r="U625" s="30" t="str">
        <x:v>Расхождений нет.</x:v>
      </x:c>
      <x:c r="V625" s="87" t="str">
        <x:v>VERIFIED</x:v>
      </x:c>
      <x:c r="W625" s="87" t="n">
        <x:v>6</x:v>
      </x:c>
      <x:c r="X625" s="87"/>
      <x:c r="Y625" s="87"/>
      <x:c r="Z625" s="87"/>
      <x:c r="AA625" s="87"/>
      <x:c r="AB625" s="87"/>
      <x:c r="AC625" s="87"/>
      <x:c r="AD625" s="87"/>
      <x:c r="AE625" s="87"/>
      <x:c r="AF625" s="87"/>
      <x:c r="AG625" s="87"/>
      <x:c r="AH625" s="87"/>
      <x:c r="AI625" s="30"/>
      <x:c r="AJ625" s="87" t="str">
        <x:v>master</x:v>
      </x:c>
      <x:c r="AK625" s="87" t="str">
        <x:v>master-v0.81</x:v>
      </x:c>
      <x:c r="AL625" s="87" t="str">
        <x:v>statgrad_master_base_v0_81_final(2).xlsx</x:v>
      </x:c>
      <x:c r="AM625" s="87" t="str">
        <x:v>MATH_Feb_Base_V4</x:v>
      </x:c>
      <x:c r="AN625" s="87" t="n">
        <x:v>12</x:v>
      </x:c>
    </x:row>
    <x:row r="626">
      <x:c r="A626" s="87" t="n">
        <x:v>625</x:v>
      </x:c>
      <x:c r="B626" s="87" t="str">
        <x:v>FEB-MATH-B-V4-012</x:v>
      </x:c>
      <x:c r="C626" s="87" t="str">
        <x:v>СтатГрад</x:v>
      </x:c>
      <x:c r="D626" s="87" t="str">
        <x:v>Февраль 2026</x:v>
      </x:c>
      <x:c r="E626" s="87"/>
      <x:c r="F626" s="87"/>
      <x:c r="G626" s="87" t="str">
        <x:v>Математика</x:v>
      </x:c>
      <x:c r="H626" s="87" t="n">
        <x:v>11</x:v>
      </x:c>
      <x:c r="I626" s="87" t="str">
        <x:v>ТР №3</x:v>
      </x:c>
      <x:c r="J626" s="87" t="str">
        <x:v>МА2510304</x:v>
      </x:c>
      <x:c r="K626" s="87" t="n">
        <x:v>12</x:v>
      </x:c>
      <x:c r="L626" s="87" t="str">
        <x:v>Окружность и диаметры</x:v>
      </x:c>
      <x:c r="M626" s="30" t="str">
        <x:v>AC и BD — диаметры окружности. Центральный угол AOD равен 148°. Найдите угол ACB.</x:v>
      </x:c>
      <x:c r="N626" s="30" t="str">
        <x:v>16°</x:v>
      </x:c>
      <x:c r="O626" s="30" t="str">
        <x:v>Так как OB и OD — противоположные лучи, ∠AOB=180°−148°=32°. Вписанный угол ACB равен половине центрального угла AOB: 32°/2=16°.</x:v>
      </x:c>
      <x:c r="P626" s="30" t="str">
        <x:v>Проверено по теореме о вписанном угле и свойству диаметра.</x:v>
      </x:c>
      <x:c r="Q626" s="30"/>
      <x:c r="R626" s="30" t="str">
        <x:v>16</x:v>
      </x:c>
      <x:c r="S626" s="30"/>
      <x:c r="T626" s="30"/>
      <x:c r="U626" s="30" t="str">
        <x:v>Расхождений нет.</x:v>
      </x:c>
      <x:c r="V626" s="87" t="str">
        <x:v>VERIFIED</x:v>
      </x:c>
      <x:c r="W626" s="87" t="n">
        <x:v>6</x:v>
      </x:c>
      <x:c r="X626" s="87"/>
      <x:c r="Y626" s="87"/>
      <x:c r="Z626" s="87"/>
      <x:c r="AA626" s="87"/>
      <x:c r="AB626" s="87"/>
      <x:c r="AC626" s="87"/>
      <x:c r="AD626" s="87"/>
      <x:c r="AE626" s="87"/>
      <x:c r="AF626" s="87"/>
      <x:c r="AG626" s="87"/>
      <x:c r="AH626" s="87"/>
      <x:c r="AI626" s="30"/>
      <x:c r="AJ626" s="87" t="str">
        <x:v>master</x:v>
      </x:c>
      <x:c r="AK626" s="87" t="str">
        <x:v>master-v0.81</x:v>
      </x:c>
      <x:c r="AL626" s="87" t="str">
        <x:v>statgrad_master_base_v0_81_final(2).xlsx</x:v>
      </x:c>
      <x:c r="AM626" s="87" t="str">
        <x:v>MATH_Feb_Base_V4</x:v>
      </x:c>
      <x:c r="AN626" s="87" t="n">
        <x:v>13</x:v>
      </x:c>
    </x:row>
    <x:row r="627">
      <x:c r="A627" s="87" t="n">
        <x:v>626</x:v>
      </x:c>
      <x:c r="B627" s="87" t="str">
        <x:v>FEB-MATH-B-V4-013</x:v>
      </x:c>
      <x:c r="C627" s="87" t="str">
        <x:v>СтатГрад</x:v>
      </x:c>
      <x:c r="D627" s="87" t="str">
        <x:v>Февраль 2026</x:v>
      </x:c>
      <x:c r="E627" s="87"/>
      <x:c r="F627" s="87"/>
      <x:c r="G627" s="87" t="str">
        <x:v>Математика</x:v>
      </x:c>
      <x:c r="H627" s="87" t="n">
        <x:v>11</x:v>
      </x:c>
      <x:c r="I627" s="87" t="str">
        <x:v>ТР №3</x:v>
      </x:c>
      <x:c r="J627" s="87" t="str">
        <x:v>МА2510304</x:v>
      </x:c>
      <x:c r="K627" s="87" t="n">
        <x:v>13</x:v>
      </x:c>
      <x:c r="L627" s="87" t="str">
        <x:v>Площадь боковой поверхности пирамиды</x:v>
      </x:c>
      <x:c r="M627" s="30" t="str">
        <x:v>У правильной шестиугольной пирамиды сторона основания 18, боковое ребро 41. Найдите площадь боковой поверхности.</x:v>
      </x:c>
      <x:c r="N627" s="30" t="str">
        <x:v>2160</x:v>
      </x:c>
      <x:c r="O627" s="30" t="str">
        <x:v>Высота каждой боковой грани равна √(41²−9²)=√1600=40. Площадь одной грани (1/2)·18·40=360, а всех шести граней — 6·360=2160.</x:v>
      </x:c>
      <x:c r="P627" s="30" t="str">
        <x:v>Высота равнобедренной грани и сумма площадей шести одинаковых треугольников пересчитаны отдельно.</x:v>
      </x:c>
      <x:c r="Q627" s="30"/>
      <x:c r="R627" s="30" t="str">
        <x:v>2160</x:v>
      </x:c>
      <x:c r="S627" s="30"/>
      <x:c r="T627" s="30"/>
      <x:c r="U627" s="30" t="str">
        <x:v>Расхождений нет.</x:v>
      </x:c>
      <x:c r="V627" s="87" t="str">
        <x:v>VERIFIED</x:v>
      </x:c>
      <x:c r="W627" s="87" t="n">
        <x:v>6</x:v>
      </x:c>
      <x:c r="X627" s="87"/>
      <x:c r="Y627" s="87"/>
      <x:c r="Z627" s="87"/>
      <x:c r="AA627" s="87"/>
      <x:c r="AB627" s="87"/>
      <x:c r="AC627" s="87"/>
      <x:c r="AD627" s="87"/>
      <x:c r="AE627" s="87"/>
      <x:c r="AF627" s="87"/>
      <x:c r="AG627" s="87"/>
      <x:c r="AH627" s="87"/>
      <x:c r="AI627" s="30"/>
      <x:c r="AJ627" s="87" t="str">
        <x:v>master</x:v>
      </x:c>
      <x:c r="AK627" s="87" t="str">
        <x:v>master-v0.81</x:v>
      </x:c>
      <x:c r="AL627" s="87" t="str">
        <x:v>statgrad_master_base_v0_81_final(2).xlsx</x:v>
      </x:c>
      <x:c r="AM627" s="87" t="str">
        <x:v>MATH_Feb_Base_V4</x:v>
      </x:c>
      <x:c r="AN627" s="87" t="n">
        <x:v>14</x:v>
      </x:c>
    </x:row>
    <x:row r="628">
      <x:c r="A628" s="87" t="n">
        <x:v>627</x:v>
      </x:c>
      <x:c r="B628" s="87" t="str">
        <x:v>FEB-MATH-B-V4-014</x:v>
      </x:c>
      <x:c r="C628" s="87" t="str">
        <x:v>СтатГрад</x:v>
      </x:c>
      <x:c r="D628" s="87" t="str">
        <x:v>Февраль 2026</x:v>
      </x:c>
      <x:c r="E628" s="87"/>
      <x:c r="F628" s="87"/>
      <x:c r="G628" s="87" t="str">
        <x:v>Математика</x:v>
      </x:c>
      <x:c r="H628" s="87" t="n">
        <x:v>11</x:v>
      </x:c>
      <x:c r="I628" s="87" t="str">
        <x:v>ТР №3</x:v>
      </x:c>
      <x:c r="J628" s="87" t="str">
        <x:v>МА2510304</x:v>
      </x:c>
      <x:c r="K628" s="87" t="n">
        <x:v>14</x:v>
      </x:c>
      <x:c r="L628" s="87" t="str">
        <x:v>Арифметическое выражение</x:v>
      </x:c>
      <x:c r="M628" s="30" t="str">
        <x:v>Найдите значение (1/8)·0,96+1.</x:v>
      </x:c>
      <x:c r="N628" s="30" t="str">
        <x:v>1,12</x:v>
      </x:c>
      <x:c r="O628" s="30" t="str">
        <x:v>0,96/8=0,12; 0,12+1=1,12.</x:v>
      </x:c>
      <x:c r="P628" s="30" t="str">
        <x:v>Вычисление проверено переводом 0,96 в дробь 24/25.</x:v>
      </x:c>
      <x:c r="Q628" s="30"/>
      <x:c r="R628" s="30" t="str">
        <x:v>1,12</x:v>
      </x:c>
      <x:c r="S628" s="30"/>
      <x:c r="T628" s="30"/>
      <x:c r="U628" s="30" t="str">
        <x:v>Расхождений нет.</x:v>
      </x:c>
      <x:c r="V628" s="87" t="str">
        <x:v>VERIFIED</x:v>
      </x:c>
      <x:c r="W628" s="87" t="n">
        <x:v>7</x:v>
      </x:c>
      <x:c r="X628" s="87"/>
      <x:c r="Y628" s="87"/>
      <x:c r="Z628" s="87"/>
      <x:c r="AA628" s="87"/>
      <x:c r="AB628" s="87"/>
      <x:c r="AC628" s="87"/>
      <x:c r="AD628" s="87"/>
      <x:c r="AE628" s="87"/>
      <x:c r="AF628" s="87"/>
      <x:c r="AG628" s="87"/>
      <x:c r="AH628" s="87"/>
      <x:c r="AI628" s="30"/>
      <x:c r="AJ628" s="87" t="str">
        <x:v>master</x:v>
      </x:c>
      <x:c r="AK628" s="87" t="str">
        <x:v>master-v0.81</x:v>
      </x:c>
      <x:c r="AL628" s="87" t="str">
        <x:v>statgrad_master_base_v0_81_final(2).xlsx</x:v>
      </x:c>
      <x:c r="AM628" s="87" t="str">
        <x:v>MATH_Feb_Base_V4</x:v>
      </x:c>
      <x:c r="AN628" s="87" t="n">
        <x:v>15</x:v>
      </x:c>
    </x:row>
    <x:row r="629">
      <x:c r="A629" s="87" t="n">
        <x:v>628</x:v>
      </x:c>
      <x:c r="B629" s="87" t="str">
        <x:v>FEB-MATH-B-V4-015</x:v>
      </x:c>
      <x:c r="C629" s="87" t="str">
        <x:v>СтатГрад</x:v>
      </x:c>
      <x:c r="D629" s="87" t="str">
        <x:v>Февраль 2026</x:v>
      </x:c>
      <x:c r="E629" s="87"/>
      <x:c r="F629" s="87"/>
      <x:c r="G629" s="87" t="str">
        <x:v>Математика</x:v>
      </x:c>
      <x:c r="H629" s="87" t="n">
        <x:v>11</x:v>
      </x:c>
      <x:c r="I629" s="87" t="str">
        <x:v>ТР №3</x:v>
      </x:c>
      <x:c r="J629" s="87" t="str">
        <x:v>МА2510304</x:v>
      </x:c>
      <x:c r="K629" s="87" t="n">
        <x:v>15</x:v>
      </x:c>
      <x:c r="L629" s="87" t="str">
        <x:v>Проценты и отношения</x:v>
      </x:c>
      <x:c r="M629" s="30" t="str">
        <x:v>Говядину и свинину взяли в отношении 12:13. Какой процент фарша составляет свинина?</x:v>
      </x:c>
      <x:c r="N629" s="30" t="str">
        <x:v>52%</x:v>
      </x:c>
      <x:c r="O629" s="30" t="str">
        <x:v>Всего 12+13=25 равных частей, из них 13 частей — свинина. 13/25·100%=52%.</x:v>
      </x:c>
      <x:c r="P629" s="30" t="str">
        <x:v>Доля свинины проверена по отношению частей.</x:v>
      </x:c>
      <x:c r="Q629" s="30"/>
      <x:c r="R629" s="30" t="str">
        <x:v>52</x:v>
      </x:c>
      <x:c r="S629" s="30"/>
      <x:c r="T629" s="30"/>
      <x:c r="U629" s="30" t="str">
        <x:v>Расхождений нет.</x:v>
      </x:c>
      <x:c r="V629" s="87" t="str">
        <x:v>VERIFIED</x:v>
      </x:c>
      <x:c r="W629" s="87" t="n">
        <x:v>7</x:v>
      </x:c>
      <x:c r="X629" s="87"/>
      <x:c r="Y629" s="87"/>
      <x:c r="Z629" s="87"/>
      <x:c r="AA629" s="87"/>
      <x:c r="AB629" s="87"/>
      <x:c r="AC629" s="87"/>
      <x:c r="AD629" s="87"/>
      <x:c r="AE629" s="87"/>
      <x:c r="AF629" s="87"/>
      <x:c r="AG629" s="87"/>
      <x:c r="AH629" s="87"/>
      <x:c r="AI629" s="30"/>
      <x:c r="AJ629" s="87" t="str">
        <x:v>master</x:v>
      </x:c>
      <x:c r="AK629" s="87" t="str">
        <x:v>master-v0.81</x:v>
      </x:c>
      <x:c r="AL629" s="87" t="str">
        <x:v>statgrad_master_base_v0_81_final(2).xlsx</x:v>
      </x:c>
      <x:c r="AM629" s="87" t="str">
        <x:v>MATH_Feb_Base_V4</x:v>
      </x:c>
      <x:c r="AN629" s="87" t="n">
        <x:v>16</x:v>
      </x:c>
    </x:row>
    <x:row r="630">
      <x:c r="A630" s="87" t="n">
        <x:v>629</x:v>
      </x:c>
      <x:c r="B630" s="87" t="str">
        <x:v>FEB-MATH-B-V4-016</x:v>
      </x:c>
      <x:c r="C630" s="87" t="str">
        <x:v>СтатГрад</x:v>
      </x:c>
      <x:c r="D630" s="87" t="str">
        <x:v>Февраль 2026</x:v>
      </x:c>
      <x:c r="E630" s="87"/>
      <x:c r="F630" s="87"/>
      <x:c r="G630" s="87" t="str">
        <x:v>Математика</x:v>
      </x:c>
      <x:c r="H630" s="87" t="n">
        <x:v>11</x:v>
      </x:c>
      <x:c r="I630" s="87" t="str">
        <x:v>ТР №3</x:v>
      </x:c>
      <x:c r="J630" s="87" t="str">
        <x:v>МА2510304</x:v>
      </x:c>
      <x:c r="K630" s="87" t="n">
        <x:v>16</x:v>
      </x:c>
      <x:c r="L630" s="87" t="str">
        <x:v>Степени</x:v>
      </x:c>
      <x:c r="M630" s="30" t="str">
        <x:v>Найдите значение (0,1²/10⁻³)·10².</x:v>
      </x:c>
      <x:c r="N630" s="30" t="str">
        <x:v>1000</x:v>
      </x:c>
      <x:c r="O630" s="30" t="str">
        <x:v>0,1²=10⁻². Тогда 10⁻²/10⁻³·10²=10¹·10²=10³=1000.</x:v>
      </x:c>
      <x:c r="P630" s="30" t="str">
        <x:v>Правила действий со степенями применены последовательно.</x:v>
      </x:c>
      <x:c r="Q630" s="30"/>
      <x:c r="R630" s="30" t="str">
        <x:v>1000</x:v>
      </x:c>
      <x:c r="S630" s="30"/>
      <x:c r="T630" s="30"/>
      <x:c r="U630" s="30" t="str">
        <x:v>Расхождений нет.</x:v>
      </x:c>
      <x:c r="V630" s="87" t="str">
        <x:v>VERIFIED</x:v>
      </x:c>
      <x:c r="W630" s="87" t="n">
        <x:v>7</x:v>
      </x:c>
      <x:c r="X630" s="87"/>
      <x:c r="Y630" s="87"/>
      <x:c r="Z630" s="87"/>
      <x:c r="AA630" s="87"/>
      <x:c r="AB630" s="87"/>
      <x:c r="AC630" s="87"/>
      <x:c r="AD630" s="87"/>
      <x:c r="AE630" s="87"/>
      <x:c r="AF630" s="87"/>
      <x:c r="AG630" s="87"/>
      <x:c r="AH630" s="87"/>
      <x:c r="AI630" s="30"/>
      <x:c r="AJ630" s="87" t="str">
        <x:v>master</x:v>
      </x:c>
      <x:c r="AK630" s="87" t="str">
        <x:v>master-v0.81</x:v>
      </x:c>
      <x:c r="AL630" s="87" t="str">
        <x:v>statgrad_master_base_v0_81_final(2).xlsx</x:v>
      </x:c>
      <x:c r="AM630" s="87" t="str">
        <x:v>MATH_Feb_Base_V4</x:v>
      </x:c>
      <x:c r="AN630" s="87" t="n">
        <x:v>17</x:v>
      </x:c>
    </x:row>
    <x:row r="631">
      <x:c r="A631" s="87" t="n">
        <x:v>630</x:v>
      </x:c>
      <x:c r="B631" s="87" t="str">
        <x:v>FEB-MATH-B-V4-017</x:v>
      </x:c>
      <x:c r="C631" s="87" t="str">
        <x:v>СтатГрад</x:v>
      </x:c>
      <x:c r="D631" s="87" t="str">
        <x:v>Февраль 2026</x:v>
      </x:c>
      <x:c r="E631" s="87"/>
      <x:c r="F631" s="87"/>
      <x:c r="G631" s="87" t="str">
        <x:v>Математика</x:v>
      </x:c>
      <x:c r="H631" s="87" t="n">
        <x:v>11</x:v>
      </x:c>
      <x:c r="I631" s="87" t="str">
        <x:v>ТР №3</x:v>
      </x:c>
      <x:c r="J631" s="87" t="str">
        <x:v>МА2510304</x:v>
      </x:c>
      <x:c r="K631" s="87" t="n">
        <x:v>17</x:v>
      </x:c>
      <x:c r="L631" s="87" t="str">
        <x:v>Логарифмическое уравнение</x:v>
      </x:c>
      <x:c r="M631" s="30" t="str">
        <x:v>Решите log₁₉(37−4x)=log₁₉9.</x:v>
      </x:c>
      <x:c r="N631" s="30" t="str">
        <x:v>7</x:v>
      </x:c>
      <x:c r="O631" s="30" t="str">
        <x:v>При одинаковом основании равны аргументы: 37−4x=9. Отсюда 4x=28 и x=7. Аргумент равен 9&gt;0.</x:v>
      </x:c>
      <x:c r="P631" s="30" t="str">
        <x:v>Корень проверен подстановкой и условием существования логарифма.</x:v>
      </x:c>
      <x:c r="Q631" s="30"/>
      <x:c r="R631" s="30" t="str">
        <x:v>7</x:v>
      </x:c>
      <x:c r="S631" s="30"/>
      <x:c r="T631" s="30"/>
      <x:c r="U631" s="30" t="str">
        <x:v>Расхождений нет.</x:v>
      </x:c>
      <x:c r="V631" s="87" t="str">
        <x:v>VERIFIED</x:v>
      </x:c>
      <x:c r="W631" s="87" t="n">
        <x:v>7</x:v>
      </x:c>
      <x:c r="X631" s="87"/>
      <x:c r="Y631" s="87"/>
      <x:c r="Z631" s="87"/>
      <x:c r="AA631" s="87"/>
      <x:c r="AB631" s="87"/>
      <x:c r="AC631" s="87"/>
      <x:c r="AD631" s="87"/>
      <x:c r="AE631" s="87"/>
      <x:c r="AF631" s="87"/>
      <x:c r="AG631" s="87"/>
      <x:c r="AH631" s="87"/>
      <x:c r="AI631" s="30"/>
      <x:c r="AJ631" s="87" t="str">
        <x:v>master</x:v>
      </x:c>
      <x:c r="AK631" s="87" t="str">
        <x:v>master-v0.81</x:v>
      </x:c>
      <x:c r="AL631" s="87" t="str">
        <x:v>statgrad_master_base_v0_81_final(2).xlsx</x:v>
      </x:c>
      <x:c r="AM631" s="87" t="str">
        <x:v>MATH_Feb_Base_V4</x:v>
      </x:c>
      <x:c r="AN631" s="87" t="n">
        <x:v>18</x:v>
      </x:c>
    </x:row>
    <x:row r="632">
      <x:c r="A632" s="87" t="n">
        <x:v>631</x:v>
      </x:c>
      <x:c r="B632" s="87" t="str">
        <x:v>FEB-MATH-B-V4-018</x:v>
      </x:c>
      <x:c r="C632" s="87" t="str">
        <x:v>СтатГрад</x:v>
      </x:c>
      <x:c r="D632" s="87" t="str">
        <x:v>Февраль 2026</x:v>
      </x:c>
      <x:c r="E632" s="87"/>
      <x:c r="F632" s="87"/>
      <x:c r="G632" s="87" t="str">
        <x:v>Математика</x:v>
      </x:c>
      <x:c r="H632" s="87" t="n">
        <x:v>11</x:v>
      </x:c>
      <x:c r="I632" s="87" t="str">
        <x:v>ТР №3</x:v>
      </x:c>
      <x:c r="J632" s="87" t="str">
        <x:v>МА2510304</x:v>
      </x:c>
      <x:c r="K632" s="87" t="n">
        <x:v>18</x:v>
      </x:c>
      <x:c r="L632" s="87" t="str">
        <x:v>Числовые интервалы</x:v>
      </x:c>
      <x:c r="M632" s="30" t="str">
        <x:v>Соотнесите числа √7+√3, √7·2√3, 2√7:√3 и (√3)³+1 с интервалами [3;4], [4;5], [6;7], [9;10].</x:v>
      </x:c>
      <x:c r="N632" s="30" t="str">
        <x:v>2413</x:v>
      </x:c>
      <x:c r="O632" s="30" t="str">
        <x:v>√7+√3≈4,38 — интервал 2; 2√21≈9,17 — интервал 4; 2√(7/3)≈3,06 — интервал 1; 3√3+1≈6,20 — интервал 3.</x:v>
      </x:c>
      <x:c r="P632" s="30" t="str">
        <x:v>Приближённые значения вычислены с достаточной точностью для выбора интервалов.</x:v>
      </x:c>
      <x:c r="Q632" s="30"/>
      <x:c r="R632" s="30" t="str">
        <x:v>2413</x:v>
      </x:c>
      <x:c r="S632" s="30"/>
      <x:c r="T632" s="30"/>
      <x:c r="U632" s="30" t="str">
        <x:v>Расхождений нет.</x:v>
      </x:c>
      <x:c r="V632" s="87" t="str">
        <x:v>VERIFIED</x:v>
      </x:c>
      <x:c r="W632" s="87" t="n">
        <x:v>7</x:v>
      </x:c>
      <x:c r="X632" s="87"/>
      <x:c r="Y632" s="87"/>
      <x:c r="Z632" s="87"/>
      <x:c r="AA632" s="87"/>
      <x:c r="AB632" s="87"/>
      <x:c r="AC632" s="87"/>
      <x:c r="AD632" s="87"/>
      <x:c r="AE632" s="87"/>
      <x:c r="AF632" s="87"/>
      <x:c r="AG632" s="87"/>
      <x:c r="AH632" s="87"/>
      <x:c r="AI632" s="30"/>
      <x:c r="AJ632" s="87" t="str">
        <x:v>master</x:v>
      </x:c>
      <x:c r="AK632" s="87" t="str">
        <x:v>master-v0.81</x:v>
      </x:c>
      <x:c r="AL632" s="87" t="str">
        <x:v>statgrad_master_base_v0_81_final(2).xlsx</x:v>
      </x:c>
      <x:c r="AM632" s="87" t="str">
        <x:v>MATH_Feb_Base_V4</x:v>
      </x:c>
      <x:c r="AN632" s="87" t="n">
        <x:v>19</x:v>
      </x:c>
    </x:row>
    <x:row r="633">
      <x:c r="A633" s="87" t="n">
        <x:v>632</x:v>
      </x:c>
      <x:c r="B633" s="87" t="str">
        <x:v>FEB-MATH-B-V4-019</x:v>
      </x:c>
      <x:c r="C633" s="87" t="str">
        <x:v>СтатГрад</x:v>
      </x:c>
      <x:c r="D633" s="87" t="str">
        <x:v>Февраль 2026</x:v>
      </x:c>
      <x:c r="E633" s="87"/>
      <x:c r="F633" s="87"/>
      <x:c r="G633" s="87" t="str">
        <x:v>Математика</x:v>
      </x:c>
      <x:c r="H633" s="87" t="n">
        <x:v>11</x:v>
      </x:c>
      <x:c r="I633" s="87" t="str">
        <x:v>ТР №3</x:v>
      </x:c>
      <x:c r="J633" s="87" t="str">
        <x:v>МА2510304</x:v>
      </x:c>
      <x:c r="K633" s="87" t="n">
        <x:v>19</x:v>
      </x:c>
      <x:c r="L633" s="87" t="str">
        <x:v>Делимость и цифры числа</x:v>
      </x:c>
      <x:c r="M633" s="30" t="str">
        <x:v>Найдите натуральное число больше 3500, но меньше 5500, которое делится на 40 и имеет строго убывающие цифры.</x:v>
      </x:c>
      <x:c r="N633" s="30" t="str">
        <x:v>4320</x:v>
      </x:c>
      <x:c r="O633" s="30" t="str">
        <x:v>Число 4320 лежит в заданном диапазоне, его цифры строго убывают: 4&gt;3&gt;2&gt;0. Последние три цифры 320 делятся на 40.</x:v>
      </x:c>
      <x:c r="P633" s="30" t="str">
        <x:v>Проверены диапазон, строгое убывание цифр и делимость на 40.</x:v>
      </x:c>
      <x:c r="Q633" s="30"/>
      <x:c r="R633" s="30" t="str">
        <x:v>4320</x:v>
      </x:c>
      <x:c r="S633" s="30"/>
      <x:c r="T633" s="30"/>
      <x:c r="U633" s="30" t="str">
        <x:v>Расхождений нет.</x:v>
      </x:c>
      <x:c r="V633" s="87" t="str">
        <x:v>VERIFIED</x:v>
      </x:c>
      <x:c r="W633" s="87" t="n">
        <x:v>8</x:v>
      </x:c>
      <x:c r="X633" s="87"/>
      <x:c r="Y633" s="87"/>
      <x:c r="Z633" s="87"/>
      <x:c r="AA633" s="87"/>
      <x:c r="AB633" s="87"/>
      <x:c r="AC633" s="87"/>
      <x:c r="AD633" s="87"/>
      <x:c r="AE633" s="87"/>
      <x:c r="AF633" s="87"/>
      <x:c r="AG633" s="87"/>
      <x:c r="AH633" s="87"/>
      <x:c r="AI633" s="30"/>
      <x:c r="AJ633" s="87" t="str">
        <x:v>master</x:v>
      </x:c>
      <x:c r="AK633" s="87" t="str">
        <x:v>master-v0.81</x:v>
      </x:c>
      <x:c r="AL633" s="87" t="str">
        <x:v>statgrad_master_base_v0_81_final(2).xlsx</x:v>
      </x:c>
      <x:c r="AM633" s="87" t="str">
        <x:v>MATH_Feb_Base_V4</x:v>
      </x:c>
      <x:c r="AN633" s="87" t="n">
        <x:v>20</x:v>
      </x:c>
    </x:row>
    <x:row r="634">
      <x:c r="A634" s="87" t="n">
        <x:v>633</x:v>
      </x:c>
      <x:c r="B634" s="87" t="str">
        <x:v>FEB-MATH-B-V4-020</x:v>
      </x:c>
      <x:c r="C634" s="87" t="str">
        <x:v>СтатГрад</x:v>
      </x:c>
      <x:c r="D634" s="87" t="str">
        <x:v>Февраль 2026</x:v>
      </x:c>
      <x:c r="E634" s="87"/>
      <x:c r="F634" s="87"/>
      <x:c r="G634" s="87" t="str">
        <x:v>Математика</x:v>
      </x:c>
      <x:c r="H634" s="87" t="n">
        <x:v>11</x:v>
      </x:c>
      <x:c r="I634" s="87" t="str">
        <x:v>ТР №3</x:v>
      </x:c>
      <x:c r="J634" s="87" t="str">
        <x:v>МА2510304</x:v>
      </x:c>
      <x:c r="K634" s="87" t="n">
        <x:v>20</x:v>
      </x:c>
      <x:c r="L634" s="87" t="str">
        <x:v>Концентрация смеси</x:v>
      </x:c>
      <x:c r="M634" s="30" t="str">
        <x:v>Смешали равные количества 14%-го и 18%-го растворов. Найдите концентрацию полученного раствора.</x:v>
      </x:c>
      <x:c r="N634" s="30" t="str">
        <x:v>16%</x:v>
      </x:c>
      <x:c r="O634" s="30" t="str">
        <x:v>При равных массах концентрация равна среднему арифметическому: (14%+18%)/2=16%.</x:v>
      </x:c>
      <x:c r="P634" s="30" t="str">
        <x:v>Результат проверен балансом массы растворённого вещества.</x:v>
      </x:c>
      <x:c r="Q634" s="30"/>
      <x:c r="R634" s="30" t="str">
        <x:v>16</x:v>
      </x:c>
      <x:c r="S634" s="30"/>
      <x:c r="T634" s="30"/>
      <x:c r="U634" s="30" t="str">
        <x:v>Расхождений нет.</x:v>
      </x:c>
      <x:c r="V634" s="87" t="str">
        <x:v>VERIFIED</x:v>
      </x:c>
      <x:c r="W634" s="87" t="n">
        <x:v>8</x:v>
      </x:c>
      <x:c r="X634" s="87"/>
      <x:c r="Y634" s="87"/>
      <x:c r="Z634" s="87"/>
      <x:c r="AA634" s="87"/>
      <x:c r="AB634" s="87"/>
      <x:c r="AC634" s="87"/>
      <x:c r="AD634" s="87"/>
      <x:c r="AE634" s="87"/>
      <x:c r="AF634" s="87"/>
      <x:c r="AG634" s="87"/>
      <x:c r="AH634" s="87"/>
      <x:c r="AI634" s="30"/>
      <x:c r="AJ634" s="87" t="str">
        <x:v>master</x:v>
      </x:c>
      <x:c r="AK634" s="87" t="str">
        <x:v>master-v0.81</x:v>
      </x:c>
      <x:c r="AL634" s="87" t="str">
        <x:v>statgrad_master_base_v0_81_final(2).xlsx</x:v>
      </x:c>
      <x:c r="AM634" s="87" t="str">
        <x:v>MATH_Feb_Base_V4</x:v>
      </x:c>
      <x:c r="AN634" s="87" t="n">
        <x:v>21</x:v>
      </x:c>
    </x:row>
    <x:row r="635">
      <x:c r="A635" s="87" t="n">
        <x:v>634</x:v>
      </x:c>
      <x:c r="B635" s="87" t="str">
        <x:v>FEB-MATH-B-V4-021</x:v>
      </x:c>
      <x:c r="C635" s="87" t="str">
        <x:v>СтатГрад</x:v>
      </x:c>
      <x:c r="D635" s="87" t="str">
        <x:v>Февраль 2026</x:v>
      </x:c>
      <x:c r="E635" s="87"/>
      <x:c r="F635" s="87"/>
      <x:c r="G635" s="87" t="str">
        <x:v>Математика</x:v>
      </x:c>
      <x:c r="H635" s="87" t="n">
        <x:v>11</x:v>
      </x:c>
      <x:c r="I635" s="87" t="str">
        <x:v>ТР №3</x:v>
      </x:c>
      <x:c r="J635" s="87" t="str">
        <x:v>МА2510304</x:v>
      </x:c>
      <x:c r="K635" s="87" t="n">
        <x:v>21</x:v>
      </x:c>
      <x:c r="L635" s="87" t="str">
        <x:v>Целочисленная задача</x:v>
      </x:c>
      <x:c r="M635" s="30" t="str">
        <x:v>Число этажей больше числа квартир на этаже, число квартир на этаже больше числа подъездов, а подъездов больше одного. Всего 114 квартир. Найдите число этажей.</x:v>
      </x:c>
      <x:c r="N635" s="30" t="str">
        <x:v>19</x:v>
      </x:c>
      <x:c r="O635" s="30" t="str">
        <x:v>Пусть p — число подъездов, q — квартир на этаже, f — этажей. Тогда pqf=114=2·3·19 и f&gt;q&gt;p&gt;1. Единственный подходящий набор: p=2, q=3, f=19.</x:v>
      </x:c>
      <x:c r="P635" s="30" t="str">
        <x:v>Проверены все целые делители числа 114 и строгий порядок трёх величин.</x:v>
      </x:c>
      <x:c r="Q635" s="30"/>
      <x:c r="R635" s="30" t="str">
        <x:v>19</x:v>
      </x:c>
      <x:c r="S635" s="30"/>
      <x:c r="T635" s="30"/>
      <x:c r="U635" s="30" t="str">
        <x:v>Расхождений нет.</x:v>
      </x:c>
      <x:c r="V635" s="87" t="str">
        <x:v>VERIFIED</x:v>
      </x:c>
      <x:c r="W635" s="87" t="n">
        <x:v>8</x:v>
      </x:c>
      <x:c r="X635" s="87"/>
      <x:c r="Y635" s="87"/>
      <x:c r="Z635" s="87"/>
      <x:c r="AA635" s="87"/>
      <x:c r="AB635" s="87"/>
      <x:c r="AC635" s="87"/>
      <x:c r="AD635" s="87"/>
      <x:c r="AE635" s="87"/>
      <x:c r="AF635" s="87"/>
      <x:c r="AG635" s="87"/>
      <x:c r="AH635" s="87"/>
      <x:c r="AI635" s="30"/>
      <x:c r="AJ635" s="87" t="str">
        <x:v>master</x:v>
      </x:c>
      <x:c r="AK635" s="87" t="str">
        <x:v>master-v0.81</x:v>
      </x:c>
      <x:c r="AL635" s="87" t="str">
        <x:v>statgrad_master_base_v0_81_final(2).xlsx</x:v>
      </x:c>
      <x:c r="AM635" s="87" t="str">
        <x:v>MATH_Feb_Base_V4</x:v>
      </x:c>
      <x:c r="AN635" s="87" t="n">
        <x:v>22</x:v>
      </x:c>
    </x:row>
    <x:row r="636">
      <x:c r="A636" s="87" t="n">
        <x:v>635</x:v>
      </x:c>
      <x:c r="B636" s="87" t="str">
        <x:v>FEB-MATH-B-V5-001</x:v>
      </x:c>
      <x:c r="C636" s="87" t="str">
        <x:v>СтатГрад</x:v>
      </x:c>
      <x:c r="D636" s="87" t="str">
        <x:v>Февраль 2026</x:v>
      </x:c>
      <x:c r="E636" s="87"/>
      <x:c r="F636" s="87"/>
      <x:c r="G636" s="87" t="str">
        <x:v>Математика</x:v>
      </x:c>
      <x:c r="H636" s="87" t="n">
        <x:v>11</x:v>
      </x:c>
      <x:c r="I636" s="87" t="str">
        <x:v>ТР №3</x:v>
      </x:c>
      <x:c r="J636" s="87" t="str">
        <x:v>МА2510305</x:v>
      </x:c>
      <x:c r="K636" s="87" t="n">
        <x:v>1</x:v>
      </x:c>
      <x:c r="L636" s="87" t="str">
        <x:v>Перевод единиц скорости</x:v>
      </x:c>
      <x:c r="M636" s="30" t="str">
        <x:v>Автомобиль движется со скоростью 96 км/ч. Одна миля равна 1,6 км. Какую скорость покажет спидометр в милях в час?</x:v>
      </x:c>
      <x:c r="N636" s="30" t="str">
        <x:v>60 миль/ч</x:v>
      </x:c>
      <x:c r="O636" s="30" t="str">
        <x:v>Чтобы перевести километры в мили, делим на 1,6: 96/1,6=60.</x:v>
      </x:c>
      <x:c r="P636" s="30" t="str">
        <x:v>Обратная проверка: 60·1,6=96 км/ч.</x:v>
      </x:c>
      <x:c r="Q636" s="30"/>
      <x:c r="R636" s="30" t="str">
        <x:v>60</x:v>
      </x:c>
      <x:c r="S636" s="30"/>
      <x:c r="T636" s="30"/>
      <x:c r="U636" s="30" t="str">
        <x:v>Расхождений нет.</x:v>
      </x:c>
      <x:c r="V636" s="87" t="str">
        <x:v>VERIFIED</x:v>
      </x:c>
      <x:c r="W636" s="87" t="n">
        <x:v>2</x:v>
      </x:c>
      <x:c r="X636" s="87"/>
      <x:c r="Y636" s="87"/>
      <x:c r="Z636" s="87"/>
      <x:c r="AA636" s="87"/>
      <x:c r="AB636" s="87"/>
      <x:c r="AC636" s="87"/>
      <x:c r="AD636" s="87"/>
      <x:c r="AE636" s="87"/>
      <x:c r="AF636" s="87"/>
      <x:c r="AG636" s="87"/>
      <x:c r="AH636" s="87"/>
      <x:c r="AI636" s="30"/>
      <x:c r="AJ636" s="87" t="str">
        <x:v>master</x:v>
      </x:c>
      <x:c r="AK636" s="87" t="str">
        <x:v>master-v0.81</x:v>
      </x:c>
      <x:c r="AL636" s="87" t="str">
        <x:v>statgrad_master_base_v0_81_final(2).xlsx</x:v>
      </x:c>
      <x:c r="AM636" s="87" t="str">
        <x:v>MATH_Feb_Base_V5</x:v>
      </x:c>
      <x:c r="AN636" s="87" t="n">
        <x:v>2</x:v>
      </x:c>
    </x:row>
    <x:row r="637">
      <x:c r="A637" s="87" t="n">
        <x:v>636</x:v>
      </x:c>
      <x:c r="B637" s="87" t="str">
        <x:v>FEB-MATH-B-V5-002</x:v>
      </x:c>
      <x:c r="C637" s="87" t="str">
        <x:v>СтатГрад</x:v>
      </x:c>
      <x:c r="D637" s="87" t="str">
        <x:v>Февраль 2026</x:v>
      </x:c>
      <x:c r="E637" s="87"/>
      <x:c r="F637" s="87"/>
      <x:c r="G637" s="87" t="str">
        <x:v>Математика</x:v>
      </x:c>
      <x:c r="H637" s="87" t="n">
        <x:v>11</x:v>
      </x:c>
      <x:c r="I637" s="87" t="str">
        <x:v>ТР №3</x:v>
      </x:c>
      <x:c r="J637" s="87" t="str">
        <x:v>МА2510305</x:v>
      </x:c>
      <x:c r="K637" s="87" t="n">
        <x:v>2</x:v>
      </x:c>
      <x:c r="L637" s="87" t="str">
        <x:v>Оценка объёмов</x:v>
      </x:c>
      <x:c r="M637" s="30" t="str">
        <x:v>Соотнесите объём железнодорожного вагона, бытового холодильника, воды в Ладожском озере и пакета сока со значениями 300 л, 120 м³, 838 км³ и 1,5 л.</x:v>
      </x:c>
      <x:c r="N637" s="30" t="str">
        <x:v>2134</x:v>
      </x:c>
      <x:c r="O637" s="30" t="str">
        <x:v>Вагон имеет объём порядка 120 м³ (2), холодильник — около 300 л (1), Ладожское озеро — сотни км³ (3), пакет сока — 1,5 л (4).</x:v>
      </x:c>
      <x:c r="P637" s="30" t="str">
        <x:v>Каждая величина проверена по порядку и единицам измерения.</x:v>
      </x:c>
      <x:c r="Q637" s="30"/>
      <x:c r="R637" s="30" t="str">
        <x:v>2134</x:v>
      </x:c>
      <x:c r="S637" s="30"/>
      <x:c r="T637" s="30"/>
      <x:c r="U637" s="30" t="str">
        <x:v>Расхождений нет.</x:v>
      </x:c>
      <x:c r="V637" s="87" t="str">
        <x:v>VERIFIED</x:v>
      </x:c>
      <x:c r="W637" s="87" t="n">
        <x:v>2</x:v>
      </x:c>
      <x:c r="X637" s="87"/>
      <x:c r="Y637" s="87"/>
      <x:c r="Z637" s="87"/>
      <x:c r="AA637" s="87"/>
      <x:c r="AB637" s="87"/>
      <x:c r="AC637" s="87"/>
      <x:c r="AD637" s="87"/>
      <x:c r="AE637" s="87"/>
      <x:c r="AF637" s="87"/>
      <x:c r="AG637" s="87"/>
      <x:c r="AH637" s="87"/>
      <x:c r="AI637" s="30"/>
      <x:c r="AJ637" s="87" t="str">
        <x:v>master</x:v>
      </x:c>
      <x:c r="AK637" s="87" t="str">
        <x:v>master-v0.81</x:v>
      </x:c>
      <x:c r="AL637" s="87" t="str">
        <x:v>statgrad_master_base_v0_81_final(2).xlsx</x:v>
      </x:c>
      <x:c r="AM637" s="87" t="str">
        <x:v>MATH_Feb_Base_V5</x:v>
      </x:c>
      <x:c r="AN637" s="87" t="n">
        <x:v>3</x:v>
      </x:c>
    </x:row>
    <x:row r="638">
      <x:c r="A638" s="87" t="n">
        <x:v>637</x:v>
      </x:c>
      <x:c r="B638" s="87" t="str">
        <x:v>FEB-MATH-B-V5-003</x:v>
      </x:c>
      <x:c r="C638" s="87" t="str">
        <x:v>СтатГрад</x:v>
      </x:c>
      <x:c r="D638" s="87" t="str">
        <x:v>Февраль 2026</x:v>
      </x:c>
      <x:c r="E638" s="87"/>
      <x:c r="F638" s="87"/>
      <x:c r="G638" s="87" t="str">
        <x:v>Математика</x:v>
      </x:c>
      <x:c r="H638" s="87" t="n">
        <x:v>11</x:v>
      </x:c>
      <x:c r="I638" s="87" t="str">
        <x:v>ТР №3</x:v>
      </x:c>
      <x:c r="J638" s="87" t="str">
        <x:v>МА2510305</x:v>
      </x:c>
      <x:c r="K638" s="87" t="n">
        <x:v>3</x:v>
      </x:c>
      <x:c r="L638" s="87" t="str">
        <x:v>Чтение графика</x:v>
      </x:c>
      <x:c r="M638" s="30" t="str">
        <x:v>По графику зависимости атмосферного давления от высоты найдите давление на высоте 8,5 км.</x:v>
      </x:c>
      <x:c r="N638" s="30" t="str">
        <x:v>240 мм рт. ст.</x:v>
      </x:c>
      <x:c r="O638" s="30" t="str">
        <x:v>Вертикаль x=8,5 км пересекает кривую примерно на уровне 240 мм рт. ст.</x:v>
      </x:c>
      <x:c r="P638" s="30" t="str">
        <x:v>Значение считано по координатной сетке и затем сверено с ключом.</x:v>
      </x:c>
      <x:c r="Q638" s="30"/>
      <x:c r="R638" s="30" t="str">
        <x:v>240</x:v>
      </x:c>
      <x:c r="S638" s="30"/>
      <x:c r="T638" s="30"/>
      <x:c r="U638" s="30" t="str">
        <x:v>Расхождений нет.</x:v>
      </x:c>
      <x:c r="V638" s="87" t="str">
        <x:v>VERIFIED</x:v>
      </x:c>
      <x:c r="W638" s="87" t="n">
        <x:v>3</x:v>
      </x:c>
      <x:c r="X638" s="87"/>
      <x:c r="Y638" s="87"/>
      <x:c r="Z638" s="87"/>
      <x:c r="AA638" s="87"/>
      <x:c r="AB638" s="87"/>
      <x:c r="AC638" s="87"/>
      <x:c r="AD638" s="87"/>
      <x:c r="AE638" s="87"/>
      <x:c r="AF638" s="87"/>
      <x:c r="AG638" s="87"/>
      <x:c r="AH638" s="87"/>
      <x:c r="AI638" s="30"/>
      <x:c r="AJ638" s="87" t="str">
        <x:v>master</x:v>
      </x:c>
      <x:c r="AK638" s="87" t="str">
        <x:v>master-v0.81</x:v>
      </x:c>
      <x:c r="AL638" s="87" t="str">
        <x:v>statgrad_master_base_v0_81_final(2).xlsx</x:v>
      </x:c>
      <x:c r="AM638" s="87" t="str">
        <x:v>MATH_Feb_Base_V5</x:v>
      </x:c>
      <x:c r="AN638" s="87" t="n">
        <x:v>4</x:v>
      </x:c>
    </x:row>
    <x:row r="639">
      <x:c r="A639" s="87" t="n">
        <x:v>638</x:v>
      </x:c>
      <x:c r="B639" s="87" t="str">
        <x:v>FEB-MATH-B-V5-004</x:v>
      </x:c>
      <x:c r="C639" s="87" t="str">
        <x:v>СтатГрад</x:v>
      </x:c>
      <x:c r="D639" s="87" t="str">
        <x:v>Февраль 2026</x:v>
      </x:c>
      <x:c r="E639" s="87"/>
      <x:c r="F639" s="87"/>
      <x:c r="G639" s="87" t="str">
        <x:v>Математика</x:v>
      </x:c>
      <x:c r="H639" s="87" t="n">
        <x:v>11</x:v>
      </x:c>
      <x:c r="I639" s="87" t="str">
        <x:v>ТР №3</x:v>
      </x:c>
      <x:c r="J639" s="87" t="str">
        <x:v>МА2510305</x:v>
      </x:c>
      <x:c r="K639" s="87" t="n">
        <x:v>4</x:v>
      </x:c>
      <x:c r="L639" s="87" t="str">
        <x:v>Подстановка в формулу</x:v>
      </x:c>
      <x:c r="M639" s="30" t="str">
        <x:v>Стоимость колодца рассчитывается по формуле C=6000+4100n, где n — число колец. Найдите стоимость колодца из 20 колец.</x:v>
      </x:c>
      <x:c r="N639" s="30" t="str">
        <x:v>88000 руб.</x:v>
      </x:c>
      <x:c r="O639" s="30" t="str">
        <x:v>C=6000+4100·20=6000+82000=88000 руб.</x:v>
      </x:c>
      <x:c r="P639" s="30" t="str">
        <x:v>Подстановка и сложение выполнены повторно.</x:v>
      </x:c>
      <x:c r="Q639" s="30"/>
      <x:c r="R639" s="30" t="str">
        <x:v>88000</x:v>
      </x:c>
      <x:c r="S639" s="30"/>
      <x:c r="T639" s="30"/>
      <x:c r="U639" s="30" t="str">
        <x:v>Расхождений нет.</x:v>
      </x:c>
      <x:c r="V639" s="87" t="str">
        <x:v>VERIFIED</x:v>
      </x:c>
      <x:c r="W639" s="87" t="n">
        <x:v>3</x:v>
      </x:c>
      <x:c r="X639" s="87"/>
      <x:c r="Y639" s="87"/>
      <x:c r="Z639" s="87"/>
      <x:c r="AA639" s="87"/>
      <x:c r="AB639" s="87"/>
      <x:c r="AC639" s="87"/>
      <x:c r="AD639" s="87"/>
      <x:c r="AE639" s="87"/>
      <x:c r="AF639" s="87"/>
      <x:c r="AG639" s="87"/>
      <x:c r="AH639" s="87"/>
      <x:c r="AI639" s="30"/>
      <x:c r="AJ639" s="87" t="str">
        <x:v>master</x:v>
      </x:c>
      <x:c r="AK639" s="87" t="str">
        <x:v>master-v0.81</x:v>
      </x:c>
      <x:c r="AL639" s="87" t="str">
        <x:v>statgrad_master_base_v0_81_final(2).xlsx</x:v>
      </x:c>
      <x:c r="AM639" s="87" t="str">
        <x:v>MATH_Feb_Base_V5</x:v>
      </x:c>
      <x:c r="AN639" s="87" t="n">
        <x:v>5</x:v>
      </x:c>
    </x:row>
    <x:row r="640">
      <x:c r="A640" s="87" t="n">
        <x:v>639</x:v>
      </x:c>
      <x:c r="B640" s="87" t="str">
        <x:v>FEB-MATH-B-V5-005</x:v>
      </x:c>
      <x:c r="C640" s="87" t="str">
        <x:v>СтатГрад</x:v>
      </x:c>
      <x:c r="D640" s="87" t="str">
        <x:v>Февраль 2026</x:v>
      </x:c>
      <x:c r="E640" s="87"/>
      <x:c r="F640" s="87"/>
      <x:c r="G640" s="87" t="str">
        <x:v>Математика</x:v>
      </x:c>
      <x:c r="H640" s="87" t="n">
        <x:v>11</x:v>
      </x:c>
      <x:c r="I640" s="87" t="str">
        <x:v>ТР №3</x:v>
      </x:c>
      <x:c r="J640" s="87" t="str">
        <x:v>МА2510305</x:v>
      </x:c>
      <x:c r="K640" s="87" t="n">
        <x:v>5</x:v>
      </x:c>
      <x:c r="L640" s="87" t="str">
        <x:v>Теория вероятностей</x:v>
      </x:c>
      <x:c r="M640" s="30" t="str">
        <x:v>Из группы из четырёх туристов жребием выбирают двух. Найдите вероятность, что выбран конкретный турист Д.</x:v>
      </x:c>
      <x:c r="N640" s="30" t="str">
        <x:v>0,5</x:v>
      </x:c>
      <x:c r="O640" s="30" t="str">
        <x:v>В каждой равноправной паре конкретный турист входит с вероятностью 2/4=1/2=0,5.</x:v>
      </x:c>
      <x:c r="P640" s="30" t="str">
        <x:v>Из шести возможных пар три содержат туриста Д.</x:v>
      </x:c>
      <x:c r="Q640" s="30"/>
      <x:c r="R640" s="30" t="str">
        <x:v>0,5</x:v>
      </x:c>
      <x:c r="S640" s="30"/>
      <x:c r="T640" s="30"/>
      <x:c r="U640" s="30" t="str">
        <x:v>Расхождений нет.</x:v>
      </x:c>
      <x:c r="V640" s="87" t="str">
        <x:v>VERIFIED</x:v>
      </x:c>
      <x:c r="W640" s="87" t="n">
        <x:v>4</x:v>
      </x:c>
      <x:c r="X640" s="87"/>
      <x:c r="Y640" s="87"/>
      <x:c r="Z640" s="87"/>
      <x:c r="AA640" s="87"/>
      <x:c r="AB640" s="87"/>
      <x:c r="AC640" s="87"/>
      <x:c r="AD640" s="87"/>
      <x:c r="AE640" s="87"/>
      <x:c r="AF640" s="87"/>
      <x:c r="AG640" s="87"/>
      <x:c r="AH640" s="87"/>
      <x:c r="AI640" s="30"/>
      <x:c r="AJ640" s="87" t="str">
        <x:v>master</x:v>
      </x:c>
      <x:c r="AK640" s="87" t="str">
        <x:v>master-v0.81</x:v>
      </x:c>
      <x:c r="AL640" s="87" t="str">
        <x:v>statgrad_master_base_v0_81_final(2).xlsx</x:v>
      </x:c>
      <x:c r="AM640" s="87" t="str">
        <x:v>MATH_Feb_Base_V5</x:v>
      </x:c>
      <x:c r="AN640" s="87" t="n">
        <x:v>6</x:v>
      </x:c>
    </x:row>
    <x:row r="641">
      <x:c r="A641" s="87" t="n">
        <x:v>640</x:v>
      </x:c>
      <x:c r="B641" s="87" t="str">
        <x:v>FEB-MATH-B-V5-006</x:v>
      </x:c>
      <x:c r="C641" s="87" t="str">
        <x:v>СтатГрад</x:v>
      </x:c>
      <x:c r="D641" s="87" t="str">
        <x:v>Февраль 2026</x:v>
      </x:c>
      <x:c r="E641" s="87"/>
      <x:c r="F641" s="87"/>
      <x:c r="G641" s="87" t="str">
        <x:v>Математика</x:v>
      </x:c>
      <x:c r="H641" s="87" t="n">
        <x:v>11</x:v>
      </x:c>
      <x:c r="I641" s="87" t="str">
        <x:v>ТР №3</x:v>
      </x:c>
      <x:c r="J641" s="87" t="str">
        <x:v>МА2510305</x:v>
      </x:c>
      <x:c r="K641" s="87" t="n">
        <x:v>6</x:v>
      </x:c>
      <x:c r="L641" s="87" t="str">
        <x:v>Анализ таблицы</x:v>
      </x:c>
      <x:c r="M641" s="30" t="str">
        <x:v>Ручная кладь должна иметь размеры не более 55×40×20 см и массу не более 10 кг. Выберите подходящие сумки.</x:v>
      </x:c>
      <x:c r="N641" s="30" t="str">
        <x:v>24</x:v>
      </x:c>
      <x:c r="O641" s="30" t="str">
        <x:v>Сумка 2 имеет размеры 47×30×16 см и массу 9,2 кг; сумка 4 — 53×34×17 см и 9,4 кг. У остальных превышен хотя бы один предел.</x:v>
      </x:c>
      <x:c r="P641" s="30" t="str">
        <x:v>Все шесть строк проверены по четырём ограничениям.</x:v>
      </x:c>
      <x:c r="Q641" s="30"/>
      <x:c r="R641" s="30" t="str">
        <x:v>24</x:v>
      </x:c>
      <x:c r="S641" s="30"/>
      <x:c r="T641" s="30"/>
      <x:c r="U641" s="30" t="str">
        <x:v>Расхождений нет.</x:v>
      </x:c>
      <x:c r="V641" s="87" t="str">
        <x:v>VERIFIED</x:v>
      </x:c>
      <x:c r="W641" s="87" t="n">
        <x:v>4</x:v>
      </x:c>
      <x:c r="X641" s="87"/>
      <x:c r="Y641" s="87"/>
      <x:c r="Z641" s="87"/>
      <x:c r="AA641" s="87"/>
      <x:c r="AB641" s="87"/>
      <x:c r="AC641" s="87"/>
      <x:c r="AD641" s="87"/>
      <x:c r="AE641" s="87"/>
      <x:c r="AF641" s="87"/>
      <x:c r="AG641" s="87"/>
      <x:c r="AH641" s="87"/>
      <x:c r="AI641" s="30"/>
      <x:c r="AJ641" s="87" t="str">
        <x:v>master</x:v>
      </x:c>
      <x:c r="AK641" s="87" t="str">
        <x:v>master-v0.81</x:v>
      </x:c>
      <x:c r="AL641" s="87" t="str">
        <x:v>statgrad_master_base_v0_81_final(2).xlsx</x:v>
      </x:c>
      <x:c r="AM641" s="87" t="str">
        <x:v>MATH_Feb_Base_V5</x:v>
      </x:c>
      <x:c r="AN641" s="87" t="n">
        <x:v>7</x:v>
      </x:c>
    </x:row>
    <x:row r="642">
      <x:c r="A642" s="87" t="n">
        <x:v>641</x:v>
      </x:c>
      <x:c r="B642" s="87" t="str">
        <x:v>FEB-MATH-B-V5-007</x:v>
      </x:c>
      <x:c r="C642" s="87" t="str">
        <x:v>СтатГрад</x:v>
      </x:c>
      <x:c r="D642" s="87" t="str">
        <x:v>Февраль 2026</x:v>
      </x:c>
      <x:c r="E642" s="87"/>
      <x:c r="F642" s="87"/>
      <x:c r="G642" s="87" t="str">
        <x:v>Математика</x:v>
      </x:c>
      <x:c r="H642" s="87" t="n">
        <x:v>11</x:v>
      </x:c>
      <x:c r="I642" s="87" t="str">
        <x:v>ТР №3</x:v>
      </x:c>
      <x:c r="J642" s="87" t="str">
        <x:v>МА2510305</x:v>
      </x:c>
      <x:c r="K642" s="87" t="n">
        <x:v>7</x:v>
      </x:c>
      <x:c r="L642" s="87" t="str">
        <x:v>Свойства функции по графику</x:v>
      </x:c>
      <x:c r="M642" s="30" t="str">
        <x:v>Соотнесите интервалы (a;b), (b;c), (c;d), (d;e) с характеристиками функции: отрицательность, возрастание, убывание и положительность.</x:v>
      </x:c>
      <x:c r="N642" s="30" t="str">
        <x:v>4312</x:v>
      </x:c>
      <x:c r="O642" s="30" t="str">
        <x:v>На (a;b) функция положительна — 4; на (b;c) убывает — 3; на (c;d) отрицательна — 1; на (d;e) возрастает — 2.</x:v>
      </x:c>
      <x:c r="P642" s="30" t="str">
        <x:v>Знак функции и направление изменения считаны непосредственно по графику.</x:v>
      </x:c>
      <x:c r="Q642" s="30"/>
      <x:c r="R642" s="30" t="str">
        <x:v>4312</x:v>
      </x:c>
      <x:c r="S642" s="30"/>
      <x:c r="T642" s="30"/>
      <x:c r="U642" s="30" t="str">
        <x:v>Расхождений нет.</x:v>
      </x:c>
      <x:c r="V642" s="87" t="str">
        <x:v>VERIFIED</x:v>
      </x:c>
      <x:c r="W642" s="87" t="n">
        <x:v>5</x:v>
      </x:c>
      <x:c r="X642" s="87"/>
      <x:c r="Y642" s="87"/>
      <x:c r="Z642" s="87"/>
      <x:c r="AA642" s="87"/>
      <x:c r="AB642" s="87"/>
      <x:c r="AC642" s="87"/>
      <x:c r="AD642" s="87"/>
      <x:c r="AE642" s="87"/>
      <x:c r="AF642" s="87"/>
      <x:c r="AG642" s="87"/>
      <x:c r="AH642" s="87"/>
      <x:c r="AI642" s="30"/>
      <x:c r="AJ642" s="87" t="str">
        <x:v>master</x:v>
      </x:c>
      <x:c r="AK642" s="87" t="str">
        <x:v>master-v0.81</x:v>
      </x:c>
      <x:c r="AL642" s="87" t="str">
        <x:v>statgrad_master_base_v0_81_final(2).xlsx</x:v>
      </x:c>
      <x:c r="AM642" s="87" t="str">
        <x:v>MATH_Feb_Base_V5</x:v>
      </x:c>
      <x:c r="AN642" s="87" t="n">
        <x:v>8</x:v>
      </x:c>
    </x:row>
    <x:row r="643">
      <x:c r="A643" s="87" t="n">
        <x:v>642</x:v>
      </x:c>
      <x:c r="B643" s="87" t="str">
        <x:v>FEB-MATH-B-V5-008</x:v>
      </x:c>
      <x:c r="C643" s="87" t="str">
        <x:v>СтатГрад</x:v>
      </x:c>
      <x:c r="D643" s="87" t="str">
        <x:v>Февраль 2026</x:v>
      </x:c>
      <x:c r="E643" s="87"/>
      <x:c r="F643" s="87"/>
      <x:c r="G643" s="87" t="str">
        <x:v>Математика</x:v>
      </x:c>
      <x:c r="H643" s="87" t="n">
        <x:v>11</x:v>
      </x:c>
      <x:c r="I643" s="87" t="str">
        <x:v>ТР №3</x:v>
      </x:c>
      <x:c r="J643" s="87" t="str">
        <x:v>МА2510305</x:v>
      </x:c>
      <x:c r="K643" s="87" t="n">
        <x:v>8</x:v>
      </x:c>
      <x:c r="L643" s="87" t="str">
        <x:v>Логические следствия из диапазона</x:v>
      </x:c>
      <x:c r="M643" s="30" t="str">
        <x:v>Длина каждой из 20 рыбок больше 3 см, но не превышает 13 см. Выберите утверждения, верные при любых условиях.</x:v>
      </x:c>
      <x:c r="N643" s="30" t="str">
        <x:v>23</x:v>
      </x:c>
      <x:c r="O643" s="30" t="str">
        <x:v>Рыбки длиной 14 см быть не может — верно утверждение 2. Наибольшая возможная разница длин не превышает 13−3=10 см — верно утверждение 3.</x:v>
      </x:c>
      <x:c r="P643" s="30" t="str">
        <x:v>Утверждения 1 и 4 прямо противоречат заданному диапазону.</x:v>
      </x:c>
      <x:c r="Q643" s="30"/>
      <x:c r="R643" s="30" t="str">
        <x:v>23</x:v>
      </x:c>
      <x:c r="S643" s="30"/>
      <x:c r="T643" s="30"/>
      <x:c r="U643" s="30" t="str">
        <x:v>Расхождений нет.</x:v>
      </x:c>
      <x:c r="V643" s="87" t="str">
        <x:v>VERIFIED</x:v>
      </x:c>
      <x:c r="W643" s="87" t="n">
        <x:v>5</x:v>
      </x:c>
      <x:c r="X643" s="87"/>
      <x:c r="Y643" s="87"/>
      <x:c r="Z643" s="87"/>
      <x:c r="AA643" s="87"/>
      <x:c r="AB643" s="87"/>
      <x:c r="AC643" s="87"/>
      <x:c r="AD643" s="87"/>
      <x:c r="AE643" s="87"/>
      <x:c r="AF643" s="87"/>
      <x:c r="AG643" s="87"/>
      <x:c r="AH643" s="87"/>
      <x:c r="AI643" s="30"/>
      <x:c r="AJ643" s="87" t="str">
        <x:v>master</x:v>
      </x:c>
      <x:c r="AK643" s="87" t="str">
        <x:v>master-v0.81</x:v>
      </x:c>
      <x:c r="AL643" s="87" t="str">
        <x:v>statgrad_master_base_v0_81_final(2).xlsx</x:v>
      </x:c>
      <x:c r="AM643" s="87" t="str">
        <x:v>MATH_Feb_Base_V5</x:v>
      </x:c>
      <x:c r="AN643" s="87" t="n">
        <x:v>9</x:v>
      </x:c>
    </x:row>
    <x:row r="644">
      <x:c r="A644" s="87" t="n">
        <x:v>643</x:v>
      </x:c>
      <x:c r="B644" s="87" t="str">
        <x:v>FEB-MATH-B-V5-009</x:v>
      </x:c>
      <x:c r="C644" s="87" t="str">
        <x:v>СтатГрад</x:v>
      </x:c>
      <x:c r="D644" s="87" t="str">
        <x:v>Февраль 2026</x:v>
      </x:c>
      <x:c r="E644" s="87"/>
      <x:c r="F644" s="87"/>
      <x:c r="G644" s="87" t="str">
        <x:v>Математика</x:v>
      </x:c>
      <x:c r="H644" s="87" t="n">
        <x:v>11</x:v>
      </x:c>
      <x:c r="I644" s="87" t="str">
        <x:v>ТР №3</x:v>
      </x:c>
      <x:c r="J644" s="87" t="str">
        <x:v>МА2510305</x:v>
      </x:c>
      <x:c r="K644" s="87" t="n">
        <x:v>9</x:v>
      </x:c>
      <x:c r="L644" s="87" t="str">
        <x:v>Площадь фигуры на клетчатой бумаге</x:v>
      </x:c>
      <x:c r="M644" s="30" t="str">
        <x:v>Найдите площадь треугольного участка на сетке 1×1 м.</x:v>
      </x:c>
      <x:c r="N644" s="30" t="str">
        <x:v>10,5 м²</x:v>
      </x:c>
      <x:c r="O644" s="30" t="str">
        <x:v>Вертикальное основание треугольника равно 3 клеткам, расстояние от противоположной вершины до этой прямой — 7 клеток. S=(1/2)·3·7=10,5 м².</x:v>
      </x:c>
      <x:c r="P644" s="30" t="str">
        <x:v>Основание и соответствующая высота считаны по клеткам.</x:v>
      </x:c>
      <x:c r="Q644" s="30"/>
      <x:c r="R644" s="30" t="str">
        <x:v>10,5</x:v>
      </x:c>
      <x:c r="S644" s="30"/>
      <x:c r="T644" s="30"/>
      <x:c r="U644" s="30" t="str">
        <x:v>Расхождений нет.</x:v>
      </x:c>
      <x:c r="V644" s="87" t="str">
        <x:v>VERIFIED</x:v>
      </x:c>
      <x:c r="W644" s="87" t="n">
        <x:v>6</x:v>
      </x:c>
      <x:c r="X644" s="87"/>
      <x:c r="Y644" s="87"/>
      <x:c r="Z644" s="87"/>
      <x:c r="AA644" s="87"/>
      <x:c r="AB644" s="87"/>
      <x:c r="AC644" s="87"/>
      <x:c r="AD644" s="87"/>
      <x:c r="AE644" s="87"/>
      <x:c r="AF644" s="87"/>
      <x:c r="AG644" s="87"/>
      <x:c r="AH644" s="87"/>
      <x:c r="AI644" s="30"/>
      <x:c r="AJ644" s="87" t="str">
        <x:v>master</x:v>
      </x:c>
      <x:c r="AK644" s="87" t="str">
        <x:v>master-v0.81</x:v>
      </x:c>
      <x:c r="AL644" s="87" t="str">
        <x:v>statgrad_master_base_v0_81_final(2).xlsx</x:v>
      </x:c>
      <x:c r="AM644" s="87" t="str">
        <x:v>MATH_Feb_Base_V5</x:v>
      </x:c>
      <x:c r="AN644" s="87" t="n">
        <x:v>10</x:v>
      </x:c>
    </x:row>
    <x:row r="645">
      <x:c r="A645" s="87" t="n">
        <x:v>644</x:v>
      </x:c>
      <x:c r="B645" s="87" t="str">
        <x:v>FEB-MATH-B-V5-010</x:v>
      </x:c>
      <x:c r="C645" s="87" t="str">
        <x:v>СтатГрад</x:v>
      </x:c>
      <x:c r="D645" s="87" t="str">
        <x:v>Февраль 2026</x:v>
      </x:c>
      <x:c r="E645" s="87"/>
      <x:c r="F645" s="87"/>
      <x:c r="G645" s="87" t="str">
        <x:v>Математика</x:v>
      </x:c>
      <x:c r="H645" s="87" t="n">
        <x:v>11</x:v>
      </x:c>
      <x:c r="I645" s="87" t="str">
        <x:v>ТР №3</x:v>
      </x:c>
      <x:c r="J645" s="87" t="str">
        <x:v>МА2510305</x:v>
      </x:c>
      <x:c r="K645" s="87" t="n">
        <x:v>10</x:v>
      </x:c>
      <x:c r="L645" s="87" t="str">
        <x:v>Площадь по плану квартиры</x:v>
      </x:c>
      <x:c r="M645" s="30" t="str">
        <x:v>Комната имеет размеры 4×4 м, санузел — 1,5×2 м, длина коридора — 5,5 м. Найдите площадь кухни.</x:v>
      </x:c>
      <x:c r="N645" s="30" t="str">
        <x:v>14 м²</x:v>
      </x:c>
      <x:c r="O645" s="30" t="str">
        <x:v>Общая ширина квартиры равна 2+5,5=7,5 м. Ширина кухни: 7,5−4=3,5 м, её высота равна 4 м. Площадь 3,5·4=14 м².</x:v>
      </x:c>
      <x:c r="P645" s="30" t="str">
        <x:v>Размеры восстановлены по общим горизонтальным и вертикальным границам плана.</x:v>
      </x:c>
      <x:c r="Q645" s="30"/>
      <x:c r="R645" s="30" t="str">
        <x:v>14</x:v>
      </x:c>
      <x:c r="S645" s="30"/>
      <x:c r="T645" s="30"/>
      <x:c r="U645" s="30" t="str">
        <x:v>Расхождений нет.</x:v>
      </x:c>
      <x:c r="V645" s="87" t="str">
        <x:v>VERIFIED</x:v>
      </x:c>
      <x:c r="W645" s="87" t="n">
        <x:v>6</x:v>
      </x:c>
      <x:c r="X645" s="87"/>
      <x:c r="Y645" s="87"/>
      <x:c r="Z645" s="87"/>
      <x:c r="AA645" s="87"/>
      <x:c r="AB645" s="87"/>
      <x:c r="AC645" s="87"/>
      <x:c r="AD645" s="87"/>
      <x:c r="AE645" s="87"/>
      <x:c r="AF645" s="87"/>
      <x:c r="AG645" s="87"/>
      <x:c r="AH645" s="87"/>
      <x:c r="AI645" s="30"/>
      <x:c r="AJ645" s="87" t="str">
        <x:v>master</x:v>
      </x:c>
      <x:c r="AK645" s="87" t="str">
        <x:v>master-v0.81</x:v>
      </x:c>
      <x:c r="AL645" s="87" t="str">
        <x:v>statgrad_master_base_v0_81_final(2).xlsx</x:v>
      </x:c>
      <x:c r="AM645" s="87" t="str">
        <x:v>MATH_Feb_Base_V5</x:v>
      </x:c>
      <x:c r="AN645" s="87" t="n">
        <x:v>11</x:v>
      </x:c>
    </x:row>
    <x:row r="646">
      <x:c r="A646" s="87" t="n">
        <x:v>645</x:v>
      </x:c>
      <x:c r="B646" s="87" t="str">
        <x:v>FEB-MATH-B-V5-011</x:v>
      </x:c>
      <x:c r="C646" s="87" t="str">
        <x:v>СтатГрад</x:v>
      </x:c>
      <x:c r="D646" s="87" t="str">
        <x:v>Февраль 2026</x:v>
      </x:c>
      <x:c r="E646" s="87"/>
      <x:c r="F646" s="87"/>
      <x:c r="G646" s="87" t="str">
        <x:v>Математика</x:v>
      </x:c>
      <x:c r="H646" s="87" t="n">
        <x:v>11</x:v>
      </x:c>
      <x:c r="I646" s="87" t="str">
        <x:v>ТР №3</x:v>
      </x:c>
      <x:c r="J646" s="87" t="str">
        <x:v>МА2510305</x:v>
      </x:c>
      <x:c r="K646" s="87" t="n">
        <x:v>11</x:v>
      </x:c>
      <x:c r="L646" s="87" t="str">
        <x:v>Объём вытесненной воды</x:v>
      </x:c>
      <x:c r="M646" s="30" t="str">
        <x:v>В цилиндрический бак налито 5 л воды. После погружения детали уровень воды увеличился в 1,4 раза. Найдите объём детали в см³.</x:v>
      </x:c>
      <x:c r="N646" s="30" t="str">
        <x:v>2000 см³</x:v>
      </x:c>
      <x:c r="O646" s="30" t="str">
        <x:v>При неизменной площади основания объём под уровнем воды вырос в 1,4 раза. Вытесненный объём равен (1,4−1)·5=2 л=2000 см³.</x:v>
      </x:c>
      <x:c r="P646" s="30" t="str">
        <x:v>Использованы 1 л=1000 см³ и принцип вытеснения.</x:v>
      </x:c>
      <x:c r="Q646" s="30"/>
      <x:c r="R646" s="30" t="str">
        <x:v>2000</x:v>
      </x:c>
      <x:c r="S646" s="30"/>
      <x:c r="T646" s="30"/>
      <x:c r="U646" s="30" t="str">
        <x:v>Расхождений нет.</x:v>
      </x:c>
      <x:c r="V646" s="87" t="str">
        <x:v>VERIFIED</x:v>
      </x:c>
      <x:c r="W646" s="87" t="n">
        <x:v>6</x:v>
      </x:c>
      <x:c r="X646" s="87"/>
      <x:c r="Y646" s="87"/>
      <x:c r="Z646" s="87"/>
      <x:c r="AA646" s="87"/>
      <x:c r="AB646" s="87"/>
      <x:c r="AC646" s="87"/>
      <x:c r="AD646" s="87"/>
      <x:c r="AE646" s="87"/>
      <x:c r="AF646" s="87"/>
      <x:c r="AG646" s="87"/>
      <x:c r="AH646" s="87"/>
      <x:c r="AI646" s="30"/>
      <x:c r="AJ646" s="87" t="str">
        <x:v>master</x:v>
      </x:c>
      <x:c r="AK646" s="87" t="str">
        <x:v>master-v0.81</x:v>
      </x:c>
      <x:c r="AL646" s="87" t="str">
        <x:v>statgrad_master_base_v0_81_final(2).xlsx</x:v>
      </x:c>
      <x:c r="AM646" s="87" t="str">
        <x:v>MATH_Feb_Base_V5</x:v>
      </x:c>
      <x:c r="AN646" s="87" t="n">
        <x:v>12</x:v>
      </x:c>
    </x:row>
    <x:row r="647">
      <x:c r="A647" s="87" t="n">
        <x:v>646</x:v>
      </x:c>
      <x:c r="B647" s="87" t="str">
        <x:v>FEB-MATH-B-V5-012</x:v>
      </x:c>
      <x:c r="C647" s="87" t="str">
        <x:v>СтатГрад</x:v>
      </x:c>
      <x:c r="D647" s="87" t="str">
        <x:v>Февраль 2026</x:v>
      </x:c>
      <x:c r="E647" s="87"/>
      <x:c r="F647" s="87"/>
      <x:c r="G647" s="87" t="str">
        <x:v>Математика</x:v>
      </x:c>
      <x:c r="H647" s="87" t="n">
        <x:v>11</x:v>
      </x:c>
      <x:c r="I647" s="87" t="str">
        <x:v>ТР №3</x:v>
      </x:c>
      <x:c r="J647" s="87" t="str">
        <x:v>МА2510305</x:v>
      </x:c>
      <x:c r="K647" s="87" t="n">
        <x:v>12</x:v>
      </x:c>
      <x:c r="L647" s="87" t="str">
        <x:v>Окружность и вписанные углы</x:v>
      </x:c>
      <x:c r="M647" s="30" t="str">
        <x:v>AB — диаметр окружности, точки D и C лежат по разные стороны от него. Известно, что ∠DBA=29°. Найдите ∠DCB.</x:v>
      </x:c>
      <x:c r="N647" s="30" t="str">
        <x:v>61°</x:v>
      </x:c>
      <x:c r="O647" s="30" t="str">
        <x:v>В треугольнике ADB угол ADB равен 90°, так как AB — диаметр. Поэтому ∠DAB=180°−90°−29°=61°. Углы DAB и DCB опираются на одну хорду DB, значит равны.</x:v>
      </x:c>
      <x:c r="P647" s="30" t="str">
        <x:v>Применены теорема Фалеса и свойство вписанных углов, опирающихся на одну хорду.</x:v>
      </x:c>
      <x:c r="Q647" s="30"/>
      <x:c r="R647" s="30" t="str">
        <x:v>61</x:v>
      </x:c>
      <x:c r="S647" s="30"/>
      <x:c r="T647" s="30"/>
      <x:c r="U647" s="30" t="str">
        <x:v>Расхождений нет.</x:v>
      </x:c>
      <x:c r="V647" s="87" t="str">
        <x:v>VERIFIED</x:v>
      </x:c>
      <x:c r="W647" s="87" t="n">
        <x:v>6</x:v>
      </x:c>
      <x:c r="X647" s="87"/>
      <x:c r="Y647" s="87"/>
      <x:c r="Z647" s="87"/>
      <x:c r="AA647" s="87"/>
      <x:c r="AB647" s="87"/>
      <x:c r="AC647" s="87"/>
      <x:c r="AD647" s="87"/>
      <x:c r="AE647" s="87"/>
      <x:c r="AF647" s="87"/>
      <x:c r="AG647" s="87"/>
      <x:c r="AH647" s="87"/>
      <x:c r="AI647" s="30"/>
      <x:c r="AJ647" s="87" t="str">
        <x:v>master</x:v>
      </x:c>
      <x:c r="AK647" s="87" t="str">
        <x:v>master-v0.81</x:v>
      </x:c>
      <x:c r="AL647" s="87" t="str">
        <x:v>statgrad_master_base_v0_81_final(2).xlsx</x:v>
      </x:c>
      <x:c r="AM647" s="87" t="str">
        <x:v>MATH_Feb_Base_V5</x:v>
      </x:c>
      <x:c r="AN647" s="87" t="n">
        <x:v>13</x:v>
      </x:c>
    </x:row>
    <x:row r="648">
      <x:c r="A648" s="87" t="n">
        <x:v>647</x:v>
      </x:c>
      <x:c r="B648" s="87" t="str">
        <x:v>FEB-MATH-B-V5-013</x:v>
      </x:c>
      <x:c r="C648" s="87" t="str">
        <x:v>СтатГрад</x:v>
      </x:c>
      <x:c r="D648" s="87" t="str">
        <x:v>Февраль 2026</x:v>
      </x:c>
      <x:c r="E648" s="87"/>
      <x:c r="F648" s="87"/>
      <x:c r="G648" s="87" t="str">
        <x:v>Математика</x:v>
      </x:c>
      <x:c r="H648" s="87" t="n">
        <x:v>11</x:v>
      </x:c>
      <x:c r="I648" s="87" t="str">
        <x:v>ТР №3</x:v>
      </x:c>
      <x:c r="J648" s="87" t="str">
        <x:v>МА2510305</x:v>
      </x:c>
      <x:c r="K648" s="87" t="n">
        <x:v>13</x:v>
      </x:c>
      <x:c r="L648" s="87" t="str">
        <x:v>Боковая поверхность пирамиды</x:v>
      </x:c>
      <x:c r="M648" s="30" t="str">
        <x:v>Основание правильной треугольной пирамиды имеет сторону 8, боковые рёбра равны 5. Найдите площадь боковой поверхности.</x:v>
      </x:c>
      <x:c r="N648" s="30" t="str">
        <x:v>36</x:v>
      </x:c>
      <x:c r="O648" s="30" t="str">
        <x:v>Каждая боковая грань — равнобедренный треугольник 5–5–8. Его высота √(5²−4²)=3, площадь равна (1/2)·8·3=12. Три грани дают 36.</x:v>
      </x:c>
      <x:c r="P648" s="30" t="str">
        <x:v>Высота грани и сумма площадей трёх одинаковых треугольников пересчитаны отдельно.</x:v>
      </x:c>
      <x:c r="Q648" s="30"/>
      <x:c r="R648" s="30" t="str">
        <x:v>36</x:v>
      </x:c>
      <x:c r="S648" s="30"/>
      <x:c r="T648" s="30"/>
      <x:c r="U648" s="30" t="str">
        <x:v>Расхождений нет.</x:v>
      </x:c>
      <x:c r="V648" s="87" t="str">
        <x:v>VERIFIED</x:v>
      </x:c>
      <x:c r="W648" s="87" t="n">
        <x:v>7</x:v>
      </x:c>
      <x:c r="X648" s="87"/>
      <x:c r="Y648" s="87"/>
      <x:c r="Z648" s="87"/>
      <x:c r="AA648" s="87"/>
      <x:c r="AB648" s="87"/>
      <x:c r="AC648" s="87"/>
      <x:c r="AD648" s="87"/>
      <x:c r="AE648" s="87"/>
      <x:c r="AF648" s="87"/>
      <x:c r="AG648" s="87"/>
      <x:c r="AH648" s="87"/>
      <x:c r="AI648" s="30"/>
      <x:c r="AJ648" s="87" t="str">
        <x:v>master</x:v>
      </x:c>
      <x:c r="AK648" s="87" t="str">
        <x:v>master-v0.81</x:v>
      </x:c>
      <x:c r="AL648" s="87" t="str">
        <x:v>statgrad_master_base_v0_81_final(2).xlsx</x:v>
      </x:c>
      <x:c r="AM648" s="87" t="str">
        <x:v>MATH_Feb_Base_V5</x:v>
      </x:c>
      <x:c r="AN648" s="87" t="n">
        <x:v>14</x:v>
      </x:c>
    </x:row>
    <x:row r="649">
      <x:c r="A649" s="87" t="n">
        <x:v>648</x:v>
      </x:c>
      <x:c r="B649" s="87" t="str">
        <x:v>FEB-MATH-B-V5-014</x:v>
      </x:c>
      <x:c r="C649" s="87" t="str">
        <x:v>СтатГрад</x:v>
      </x:c>
      <x:c r="D649" s="87" t="str">
        <x:v>Февраль 2026</x:v>
      </x:c>
      <x:c r="E649" s="87"/>
      <x:c r="F649" s="87"/>
      <x:c r="G649" s="87" t="str">
        <x:v>Математика</x:v>
      </x:c>
      <x:c r="H649" s="87" t="n">
        <x:v>11</x:v>
      </x:c>
      <x:c r="I649" s="87" t="str">
        <x:v>ТР №3</x:v>
      </x:c>
      <x:c r="J649" s="87" t="str">
        <x:v>МА2510305</x:v>
      </x:c>
      <x:c r="K649" s="87" t="n">
        <x:v>14</x:v>
      </x:c>
      <x:c r="L649" s="87" t="str">
        <x:v>Арифметическое выражение</x:v>
      </x:c>
      <x:c r="M649" s="30" t="str">
        <x:v>Найдите значение 0,15:(3/7)+1.</x:v>
      </x:c>
      <x:c r="N649" s="30" t="str">
        <x:v>1,35</x:v>
      </x:c>
      <x:c r="O649" s="30" t="str">
        <x:v>0,15:(3/7)=0,15·7/3=0,35. После прибавления единицы получаем 1,35.</x:v>
      </x:c>
      <x:c r="P649" s="30" t="str">
        <x:v>Вычисление проверено в обыкновенных дробях: 3/20·7/3=7/20.</x:v>
      </x:c>
      <x:c r="Q649" s="30"/>
      <x:c r="R649" s="30" t="str">
        <x:v>1,35</x:v>
      </x:c>
      <x:c r="S649" s="30"/>
      <x:c r="T649" s="30"/>
      <x:c r="U649" s="30" t="str">
        <x:v>Расхождений нет.</x:v>
      </x:c>
      <x:c r="V649" s="87" t="str">
        <x:v>VERIFIED</x:v>
      </x:c>
      <x:c r="W649" s="87" t="n">
        <x:v>7</x:v>
      </x:c>
      <x:c r="X649" s="87"/>
      <x:c r="Y649" s="87"/>
      <x:c r="Z649" s="87"/>
      <x:c r="AA649" s="87"/>
      <x:c r="AB649" s="87"/>
      <x:c r="AC649" s="87"/>
      <x:c r="AD649" s="87"/>
      <x:c r="AE649" s="87"/>
      <x:c r="AF649" s="87"/>
      <x:c r="AG649" s="87"/>
      <x:c r="AH649" s="87"/>
      <x:c r="AI649" s="30"/>
      <x:c r="AJ649" s="87" t="str">
        <x:v>master</x:v>
      </x:c>
      <x:c r="AK649" s="87" t="str">
        <x:v>master-v0.81</x:v>
      </x:c>
      <x:c r="AL649" s="87" t="str">
        <x:v>statgrad_master_base_v0_81_final(2).xlsx</x:v>
      </x:c>
      <x:c r="AM649" s="87" t="str">
        <x:v>MATH_Feb_Base_V5</x:v>
      </x:c>
      <x:c r="AN649" s="87" t="n">
        <x:v>15</x:v>
      </x:c>
    </x:row>
    <x:row r="650">
      <x:c r="A650" s="87" t="n">
        <x:v>649</x:v>
      </x:c>
      <x:c r="B650" s="87" t="str">
        <x:v>FEB-MATH-B-V5-015</x:v>
      </x:c>
      <x:c r="C650" s="87" t="str">
        <x:v>СтатГрад</x:v>
      </x:c>
      <x:c r="D650" s="87" t="str">
        <x:v>Февраль 2026</x:v>
      </x:c>
      <x:c r="E650" s="87"/>
      <x:c r="F650" s="87"/>
      <x:c r="G650" s="87" t="str">
        <x:v>Математика</x:v>
      </x:c>
      <x:c r="H650" s="87" t="n">
        <x:v>11</x:v>
      </x:c>
      <x:c r="I650" s="87" t="str">
        <x:v>ТР №3</x:v>
      </x:c>
      <x:c r="J650" s="87" t="str">
        <x:v>МА2510305</x:v>
      </x:c>
      <x:c r="K650" s="87" t="n">
        <x:v>15</x:v>
      </x:c>
      <x:c r="L650" s="87" t="str">
        <x:v>Проценты и отношения</x:v>
      </x:c>
      <x:c r="M650" s="30" t="str">
        <x:v>Акции распределены между государством и частными акционерами в отношении 5:1. Прибыль равна 18 млн руб. Найдите выплату частным акционерам.</x:v>
      </x:c>
      <x:c r="N650" s="30" t="str">
        <x:v>3 млн руб.</x:v>
      </x:c>
      <x:c r="O650" s="30" t="str">
        <x:v>Всего 6 равных долей, частным акционерам принадлежит одна. 18/6=3 млн руб.</x:v>
      </x:c>
      <x:c r="P650" s="30" t="str">
        <x:v>Доля частных акционеров равна 1/6 всей прибыли.</x:v>
      </x:c>
      <x:c r="Q650" s="30"/>
      <x:c r="R650" s="30" t="str">
        <x:v>3</x:v>
      </x:c>
      <x:c r="S650" s="30"/>
      <x:c r="T650" s="30"/>
      <x:c r="U650" s="30" t="str">
        <x:v>Расхождений нет.</x:v>
      </x:c>
      <x:c r="V650" s="87" t="str">
        <x:v>VERIFIED</x:v>
      </x:c>
      <x:c r="W650" s="87" t="n">
        <x:v>7</x:v>
      </x:c>
      <x:c r="X650" s="87"/>
      <x:c r="Y650" s="87"/>
      <x:c r="Z650" s="87"/>
      <x:c r="AA650" s="87"/>
      <x:c r="AB650" s="87"/>
      <x:c r="AC650" s="87"/>
      <x:c r="AD650" s="87"/>
      <x:c r="AE650" s="87"/>
      <x:c r="AF650" s="87"/>
      <x:c r="AG650" s="87"/>
      <x:c r="AH650" s="87"/>
      <x:c r="AI650" s="30"/>
      <x:c r="AJ650" s="87" t="str">
        <x:v>master</x:v>
      </x:c>
      <x:c r="AK650" s="87" t="str">
        <x:v>master-v0.81</x:v>
      </x:c>
      <x:c r="AL650" s="87" t="str">
        <x:v>statgrad_master_base_v0_81_final(2).xlsx</x:v>
      </x:c>
      <x:c r="AM650" s="87" t="str">
        <x:v>MATH_Feb_Base_V5</x:v>
      </x:c>
      <x:c r="AN650" s="87" t="n">
        <x:v>16</x:v>
      </x:c>
    </x:row>
    <x:row r="651">
      <x:c r="A651" s="87" t="n">
        <x:v>650</x:v>
      </x:c>
      <x:c r="B651" s="87" t="str">
        <x:v>FEB-MATH-B-V5-016</x:v>
      </x:c>
      <x:c r="C651" s="87" t="str">
        <x:v>СтатГрад</x:v>
      </x:c>
      <x:c r="D651" s="87" t="str">
        <x:v>Февраль 2026</x:v>
      </x:c>
      <x:c r="E651" s="87"/>
      <x:c r="F651" s="87"/>
      <x:c r="G651" s="87" t="str">
        <x:v>Математика</x:v>
      </x:c>
      <x:c r="H651" s="87" t="n">
        <x:v>11</x:v>
      </x:c>
      <x:c r="I651" s="87" t="str">
        <x:v>ТР №3</x:v>
      </x:c>
      <x:c r="J651" s="87" t="str">
        <x:v>МА2510305</x:v>
      </x:c>
      <x:c r="K651" s="87" t="n">
        <x:v>16</x:v>
      </x:c>
      <x:c r="L651" s="87" t="str">
        <x:v>Степени</x:v>
      </x:c>
      <x:c r="M651" s="30" t="str">
        <x:v>Найдите значение 7⁻⁴/(7³)⁻².</x:v>
      </x:c>
      <x:c r="N651" s="30" t="str">
        <x:v>49</x:v>
      </x:c>
      <x:c r="O651" s="30" t="str">
        <x:v>(7³)⁻²=7⁻⁶. Поэтому 7⁻⁴/7⁻⁶=7²=49.</x:v>
      </x:c>
      <x:c r="P651" s="30" t="str">
        <x:v>Показатели степеней вычтены: −4−(−6)=2.</x:v>
      </x:c>
      <x:c r="Q651" s="30"/>
      <x:c r="R651" s="30" t="str">
        <x:v>49</x:v>
      </x:c>
      <x:c r="S651" s="30"/>
      <x:c r="T651" s="30"/>
      <x:c r="U651" s="30" t="str">
        <x:v>Расхождений нет.</x:v>
      </x:c>
      <x:c r="V651" s="87" t="str">
        <x:v>VERIFIED</x:v>
      </x:c>
      <x:c r="W651" s="87" t="n">
        <x:v>7</x:v>
      </x:c>
      <x:c r="X651" s="87"/>
      <x:c r="Y651" s="87"/>
      <x:c r="Z651" s="87"/>
      <x:c r="AA651" s="87"/>
      <x:c r="AB651" s="87"/>
      <x:c r="AC651" s="87"/>
      <x:c r="AD651" s="87"/>
      <x:c r="AE651" s="87"/>
      <x:c r="AF651" s="87"/>
      <x:c r="AG651" s="87"/>
      <x:c r="AH651" s="87"/>
      <x:c r="AI651" s="30"/>
      <x:c r="AJ651" s="87" t="str">
        <x:v>master</x:v>
      </x:c>
      <x:c r="AK651" s="87" t="str">
        <x:v>master-v0.81</x:v>
      </x:c>
      <x:c r="AL651" s="87" t="str">
        <x:v>statgrad_master_base_v0_81_final(2).xlsx</x:v>
      </x:c>
      <x:c r="AM651" s="87" t="str">
        <x:v>MATH_Feb_Base_V5</x:v>
      </x:c>
      <x:c r="AN651" s="87" t="n">
        <x:v>17</x:v>
      </x:c>
    </x:row>
    <x:row r="652">
      <x:c r="A652" s="87" t="n">
        <x:v>651</x:v>
      </x:c>
      <x:c r="B652" s="87" t="str">
        <x:v>FEB-MATH-B-V5-017</x:v>
      </x:c>
      <x:c r="C652" s="87" t="str">
        <x:v>СтатГрад</x:v>
      </x:c>
      <x:c r="D652" s="87" t="str">
        <x:v>Февраль 2026</x:v>
      </x:c>
      <x:c r="E652" s="87"/>
      <x:c r="F652" s="87"/>
      <x:c r="G652" s="87" t="str">
        <x:v>Математика</x:v>
      </x:c>
      <x:c r="H652" s="87" t="n">
        <x:v>11</x:v>
      </x:c>
      <x:c r="I652" s="87" t="str">
        <x:v>ТР №3</x:v>
      </x:c>
      <x:c r="J652" s="87" t="str">
        <x:v>МА2510305</x:v>
      </x:c>
      <x:c r="K652" s="87" t="n">
        <x:v>17</x:v>
      </x:c>
      <x:c r="L652" s="87" t="str">
        <x:v>Логарифмическое уравнение</x:v>
      </x:c>
      <x:c r="M652" s="30" t="str">
        <x:v>Решите log₄(x+2)+log₄3=log₄15.</x:v>
      </x:c>
      <x:c r="N652" s="30" t="str">
        <x:v>3</x:v>
      </x:c>
      <x:c r="O652" s="30" t="str">
        <x:v>Объединяем логарифмы: log₄(3(x+2))=log₄15. Тогда 3(x+2)=15, откуда x=3.</x:v>
      </x:c>
      <x:c r="P652" s="30" t="str">
        <x:v>Область определения x&gt;−2 выполнена; корень проверен подстановкой.</x:v>
      </x:c>
      <x:c r="Q652" s="30"/>
      <x:c r="R652" s="30" t="str">
        <x:v>3</x:v>
      </x:c>
      <x:c r="S652" s="30"/>
      <x:c r="T652" s="30"/>
      <x:c r="U652" s="30" t="str">
        <x:v>Расхождений нет.</x:v>
      </x:c>
      <x:c r="V652" s="87" t="str">
        <x:v>VERIFIED</x:v>
      </x:c>
      <x:c r="W652" s="87" t="n">
        <x:v>7</x:v>
      </x:c>
      <x:c r="X652" s="87"/>
      <x:c r="Y652" s="87"/>
      <x:c r="Z652" s="87"/>
      <x:c r="AA652" s="87"/>
      <x:c r="AB652" s="87"/>
      <x:c r="AC652" s="87"/>
      <x:c r="AD652" s="87"/>
      <x:c r="AE652" s="87"/>
      <x:c r="AF652" s="87"/>
      <x:c r="AG652" s="87"/>
      <x:c r="AH652" s="87"/>
      <x:c r="AI652" s="30"/>
      <x:c r="AJ652" s="87" t="str">
        <x:v>master</x:v>
      </x:c>
      <x:c r="AK652" s="87" t="str">
        <x:v>master-v0.81</x:v>
      </x:c>
      <x:c r="AL652" s="87" t="str">
        <x:v>statgrad_master_base_v0_81_final(2).xlsx</x:v>
      </x:c>
      <x:c r="AM652" s="87" t="str">
        <x:v>MATH_Feb_Base_V5</x:v>
      </x:c>
      <x:c r="AN652" s="87" t="n">
        <x:v>18</x:v>
      </x:c>
    </x:row>
    <x:row r="653">
      <x:c r="A653" s="87" t="n">
        <x:v>652</x:v>
      </x:c>
      <x:c r="B653" s="87" t="str">
        <x:v>FEB-MATH-B-V5-018</x:v>
      </x:c>
      <x:c r="C653" s="87" t="str">
        <x:v>СтатГрад</x:v>
      </x:c>
      <x:c r="D653" s="87" t="str">
        <x:v>Февраль 2026</x:v>
      </x:c>
      <x:c r="E653" s="87"/>
      <x:c r="F653" s="87"/>
      <x:c r="G653" s="87" t="str">
        <x:v>Математика</x:v>
      </x:c>
      <x:c r="H653" s="87" t="n">
        <x:v>11</x:v>
      </x:c>
      <x:c r="I653" s="87" t="str">
        <x:v>ТР №3</x:v>
      </x:c>
      <x:c r="J653" s="87" t="str">
        <x:v>МА2510305</x:v>
      </x:c>
      <x:c r="K653" s="87" t="n">
        <x:v>18</x:v>
      </x:c>
      <x:c r="L653" s="87" t="str">
        <x:v>Числовая прямая</x:v>
      </x:c>
      <x:c r="M653" s="30" t="str">
        <x:v>Соотнесите точки A, B, C и D с числами 2√2−√3, √2·√3, 3√2−2√3 и (√2)³+2.</x:v>
      </x:c>
      <x:c r="N653" s="30" t="str">
        <x:v>3124</x:v>
      </x:c>
      <x:c r="O653" s="30" t="str">
        <x:v>3√2−2√3≈0,78 соответствует A; 2√2−√3≈1,10 — B; √6≈2,45 — C; 2√2+2≈4,83 — D.</x:v>
      </x:c>
      <x:c r="P653" s="30" t="str">
        <x:v>Все четыре выражения оценены численно и сопоставлены с точками.</x:v>
      </x:c>
      <x:c r="Q653" s="30"/>
      <x:c r="R653" s="30" t="str">
        <x:v>3124</x:v>
      </x:c>
      <x:c r="S653" s="30"/>
      <x:c r="T653" s="30"/>
      <x:c r="U653" s="30" t="str">
        <x:v>Расхождений нет.</x:v>
      </x:c>
      <x:c r="V653" s="87" t="str">
        <x:v>VERIFIED</x:v>
      </x:c>
      <x:c r="W653" s="87" t="n">
        <x:v>8</x:v>
      </x:c>
      <x:c r="X653" s="87"/>
      <x:c r="Y653" s="87"/>
      <x:c r="Z653" s="87"/>
      <x:c r="AA653" s="87"/>
      <x:c r="AB653" s="87"/>
      <x:c r="AC653" s="87"/>
      <x:c r="AD653" s="87"/>
      <x:c r="AE653" s="87"/>
      <x:c r="AF653" s="87"/>
      <x:c r="AG653" s="87"/>
      <x:c r="AH653" s="87"/>
      <x:c r="AI653" s="30"/>
      <x:c r="AJ653" s="87" t="str">
        <x:v>master</x:v>
      </x:c>
      <x:c r="AK653" s="87" t="str">
        <x:v>master-v0.81</x:v>
      </x:c>
      <x:c r="AL653" s="87" t="str">
        <x:v>statgrad_master_base_v0_81_final(2).xlsx</x:v>
      </x:c>
      <x:c r="AM653" s="87" t="str">
        <x:v>MATH_Feb_Base_V5</x:v>
      </x:c>
      <x:c r="AN653" s="87" t="n">
        <x:v>19</x:v>
      </x:c>
    </x:row>
    <x:row r="654">
      <x:c r="A654" s="87" t="n">
        <x:v>653</x:v>
      </x:c>
      <x:c r="B654" s="87" t="str">
        <x:v>FEB-MATH-B-V5-019</x:v>
      </x:c>
      <x:c r="C654" s="87" t="str">
        <x:v>СтатГрад</x:v>
      </x:c>
      <x:c r="D654" s="87" t="str">
        <x:v>Февраль 2026</x:v>
      </x:c>
      <x:c r="E654" s="87"/>
      <x:c r="F654" s="87"/>
      <x:c r="G654" s="87" t="str">
        <x:v>Математика</x:v>
      </x:c>
      <x:c r="H654" s="87" t="n">
        <x:v>11</x:v>
      </x:c>
      <x:c r="I654" s="87" t="str">
        <x:v>ТР №3</x:v>
      </x:c>
      <x:c r="J654" s="87" t="str">
        <x:v>МА2510305</x:v>
      </x:c>
      <x:c r="K654" s="87" t="n">
        <x:v>19</x:v>
      </x:c>
      <x:c r="L654" s="87" t="str">
        <x:v>Делимость и сумма цифр</x:v>
      </x:c>
      <x:c r="M654" s="30" t="str">
        <x:v>Найдите натуральное число больше 4500, но меньше 5000, которое делится на 36 и имеет сумму цифр 27.</x:v>
      </x:c>
      <x:c r="N654" s="30" t="str">
        <x:v>4788</x:v>
      </x:c>
      <x:c r="O654" s="30" t="str">
        <x:v>Число 4788 удовлетворяет условиям: 4788=36·133, а сумма цифр 4+7+8+8=27.</x:v>
      </x:c>
      <x:c r="P654" s="30" t="str">
        <x:v>Проверены диапазон, делимость и сумма цифр.</x:v>
      </x:c>
      <x:c r="Q654" s="30"/>
      <x:c r="R654" s="30" t="str">
        <x:v>4788</x:v>
      </x:c>
      <x:c r="S654" s="30"/>
      <x:c r="T654" s="30"/>
      <x:c r="U654" s="30" t="str">
        <x:v>Расхождений нет.</x:v>
      </x:c>
      <x:c r="V654" s="87" t="str">
        <x:v>VERIFIED</x:v>
      </x:c>
      <x:c r="W654" s="87" t="n">
        <x:v>8</x:v>
      </x:c>
      <x:c r="X654" s="87"/>
      <x:c r="Y654" s="87"/>
      <x:c r="Z654" s="87"/>
      <x:c r="AA654" s="87"/>
      <x:c r="AB654" s="87"/>
      <x:c r="AC654" s="87"/>
      <x:c r="AD654" s="87"/>
      <x:c r="AE654" s="87"/>
      <x:c r="AF654" s="87"/>
      <x:c r="AG654" s="87"/>
      <x:c r="AH654" s="87"/>
      <x:c r="AI654" s="30"/>
      <x:c r="AJ654" s="87" t="str">
        <x:v>master</x:v>
      </x:c>
      <x:c r="AK654" s="87" t="str">
        <x:v>master-v0.81</x:v>
      </x:c>
      <x:c r="AL654" s="87" t="str">
        <x:v>statgrad_master_base_v0_81_final(2).xlsx</x:v>
      </x:c>
      <x:c r="AM654" s="87" t="str">
        <x:v>MATH_Feb_Base_V5</x:v>
      </x:c>
      <x:c r="AN654" s="87" t="n">
        <x:v>20</x:v>
      </x:c>
    </x:row>
    <x:row r="655">
      <x:c r="A655" s="87" t="n">
        <x:v>654</x:v>
      </x:c>
      <x:c r="B655" s="87" t="str">
        <x:v>FEB-MATH-B-V5-020</x:v>
      </x:c>
      <x:c r="C655" s="87" t="str">
        <x:v>СтатГрад</x:v>
      </x:c>
      <x:c r="D655" s="87" t="str">
        <x:v>Февраль 2026</x:v>
      </x:c>
      <x:c r="E655" s="87"/>
      <x:c r="F655" s="87"/>
      <x:c r="G655" s="87" t="str">
        <x:v>Математика</x:v>
      </x:c>
      <x:c r="H655" s="87" t="n">
        <x:v>11</x:v>
      </x:c>
      <x:c r="I655" s="87" t="str">
        <x:v>ТР №3</x:v>
      </x:c>
      <x:c r="J655" s="87" t="str">
        <x:v>МА2510305</x:v>
      </x:c>
      <x:c r="K655" s="87" t="n">
        <x:v>20</x:v>
      </x:c>
      <x:c r="L655" s="87" t="str">
        <x:v>Концентрация смеси</x:v>
      </x:c>
      <x:c r="M655" s="30" t="str">
        <x:v>Смешали 9 кг 20%-го раствора и 11 кг 40%-го раствора. Найдите концентрацию смеси.</x:v>
      </x:c>
      <x:c r="N655" s="30" t="str">
        <x:v>31%</x:v>
      </x:c>
      <x:c r="O655" s="30" t="str">
        <x:v>Масса вещества равна 9·0,20+11·0,40=1,8+4,4=6,2 кг. Общая масса 20 кг, поэтому концентрация 6,2/20·100%=31%.</x:v>
      </x:c>
      <x:c r="P655" s="30" t="str">
        <x:v>Баланс массы раствора и растворённого вещества проверен отдельно.</x:v>
      </x:c>
      <x:c r="Q655" s="30"/>
      <x:c r="R655" s="30" t="str">
        <x:v>31</x:v>
      </x:c>
      <x:c r="S655" s="30"/>
      <x:c r="T655" s="30"/>
      <x:c r="U655" s="30" t="str">
        <x:v>Расхождений нет.</x:v>
      </x:c>
      <x:c r="V655" s="87" t="str">
        <x:v>VERIFIED</x:v>
      </x:c>
      <x:c r="W655" s="87" t="n">
        <x:v>8</x:v>
      </x:c>
      <x:c r="X655" s="87"/>
      <x:c r="Y655" s="87"/>
      <x:c r="Z655" s="87"/>
      <x:c r="AA655" s="87"/>
      <x:c r="AB655" s="87"/>
      <x:c r="AC655" s="87"/>
      <x:c r="AD655" s="87"/>
      <x:c r="AE655" s="87"/>
      <x:c r="AF655" s="87"/>
      <x:c r="AG655" s="87"/>
      <x:c r="AH655" s="87"/>
      <x:c r="AI655" s="30"/>
      <x:c r="AJ655" s="87" t="str">
        <x:v>master</x:v>
      </x:c>
      <x:c r="AK655" s="87" t="str">
        <x:v>master-v0.81</x:v>
      </x:c>
      <x:c r="AL655" s="87" t="str">
        <x:v>statgrad_master_base_v0_81_final(2).xlsx</x:v>
      </x:c>
      <x:c r="AM655" s="87" t="str">
        <x:v>MATH_Feb_Base_V5</x:v>
      </x:c>
      <x:c r="AN655" s="87" t="n">
        <x:v>21</x:v>
      </x:c>
    </x:row>
    <x:row r="656">
      <x:c r="A656" s="87" t="n">
        <x:v>655</x:v>
      </x:c>
      <x:c r="B656" s="87" t="str">
        <x:v>FEB-MATH-B-V5-021</x:v>
      </x:c>
      <x:c r="C656" s="87" t="str">
        <x:v>СтатГрад</x:v>
      </x:c>
      <x:c r="D656" s="87" t="str">
        <x:v>Февраль 2026</x:v>
      </x:c>
      <x:c r="E656" s="87"/>
      <x:c r="F656" s="87"/>
      <x:c r="G656" s="87" t="str">
        <x:v>Математика</x:v>
      </x:c>
      <x:c r="H656" s="87" t="n">
        <x:v>11</x:v>
      </x:c>
      <x:c r="I656" s="87" t="str">
        <x:v>ТР №3</x:v>
      </x:c>
      <x:c r="J656" s="87" t="str">
        <x:v>МА2510305</x:v>
      </x:c>
      <x:c r="K656" s="87" t="n">
        <x:v>21</x:v>
      </x:c>
      <x:c r="L656" s="87" t="str">
        <x:v>Целочисленная задача</x:v>
      </x:c>
      <x:c r="M656" s="30" t="str">
        <x:v>В доме 18 квартир, в каждой живёт от 1 до 3 человек. В квартирах 1–13 живёт 15 человек, а в квартирах 11–18 — 20 человек. Найдите общее число жильцов.</x:v>
      </x:c>
      <x:c r="N656" s="30" t="str">
        <x:v>30</x:v>
      </x:c>
      <x:c r="O656" s="30" t="str">
        <x:v>В квартирах 1–13 сверх минимальных 13 жильцов есть лишь 2 человека, поэтому в квартирах 11–13 живёт не более 5 человек. В квартирах 14–18 максимум 15 человек, поэтому из суммы 20 на квартиры 11–13 приходится не менее 5. Значит, там ровно 5 человек, а всего 15+20−5=30.</x:v>
      </x:c>
      <x:c r="P656" s="30" t="str">
        <x:v>Пересечение двух диапазонов квартир определено двумя независимыми оценками сверху и снизу.</x:v>
      </x:c>
      <x:c r="Q656" s="30"/>
      <x:c r="R656" s="30" t="str">
        <x:v>30</x:v>
      </x:c>
      <x:c r="S656" s="30"/>
      <x:c r="T656" s="30"/>
      <x:c r="U656" s="30" t="str">
        <x:v>Расхождений нет.</x:v>
      </x:c>
      <x:c r="V656" s="87" t="str">
        <x:v>VERIFIED</x:v>
      </x:c>
      <x:c r="W656" s="87" t="n">
        <x:v>8</x:v>
      </x:c>
      <x:c r="X656" s="87"/>
      <x:c r="Y656" s="87"/>
      <x:c r="Z656" s="87"/>
      <x:c r="AA656" s="87"/>
      <x:c r="AB656" s="87"/>
      <x:c r="AC656" s="87"/>
      <x:c r="AD656" s="87"/>
      <x:c r="AE656" s="87"/>
      <x:c r="AF656" s="87"/>
      <x:c r="AG656" s="87"/>
      <x:c r="AH656" s="87"/>
      <x:c r="AI656" s="30"/>
      <x:c r="AJ656" s="87" t="str">
        <x:v>master</x:v>
      </x:c>
      <x:c r="AK656" s="87" t="str">
        <x:v>master-v0.81</x:v>
      </x:c>
      <x:c r="AL656" s="87" t="str">
        <x:v>statgrad_master_base_v0_81_final(2).xlsx</x:v>
      </x:c>
      <x:c r="AM656" s="87" t="str">
        <x:v>MATH_Feb_Base_V5</x:v>
      </x:c>
      <x:c r="AN656" s="87" t="n">
        <x:v>22</x:v>
      </x:c>
    </x:row>
    <x:row r="657">
      <x:c r="A657" s="87" t="n">
        <x:v>656</x:v>
      </x:c>
      <x:c r="B657" s="87" t="str">
        <x:v>FEB-MATH-B-V6-001</x:v>
      </x:c>
      <x:c r="C657" s="87" t="str">
        <x:v>СтатГрад</x:v>
      </x:c>
      <x:c r="D657" s="87" t="str">
        <x:v>Февраль 2026</x:v>
      </x:c>
      <x:c r="E657" s="87"/>
      <x:c r="F657" s="87"/>
      <x:c r="G657" s="87" t="str">
        <x:v>Математика</x:v>
      </x:c>
      <x:c r="H657" s="87" t="n">
        <x:v>11</x:v>
      </x:c>
      <x:c r="I657" s="87" t="str">
        <x:v>ТР №3</x:v>
      </x:c>
      <x:c r="J657" s="87" t="str">
        <x:v>МА2510306</x:v>
      </x:c>
      <x:c r="K657" s="87" t="n">
        <x:v>1</x:v>
      </x:c>
      <x:c r="L657" s="87" t="str">
        <x:v>Перевод единиц скорости</x:v>
      </x:c>
      <x:c r="M657" s="30" t="str">
        <x:v>Автомобиль движется со скоростью 100 км/ч. Одна миля равна 1,6 км. Какую скорость покажет спидометр в милях в час?</x:v>
      </x:c>
      <x:c r="N657" s="30" t="str">
        <x:v>62,5 мили/ч</x:v>
      </x:c>
      <x:c r="O657" s="30" t="str">
        <x:v>Для перевода километров в мили делим на 1,6: 100/1,6=62,5.</x:v>
      </x:c>
      <x:c r="P657" s="30" t="str">
        <x:v>Обратная проверка: 62,5·1,6=100 км/ч.</x:v>
      </x:c>
      <x:c r="Q657" s="30"/>
      <x:c r="R657" s="30" t="str">
        <x:v>62,5</x:v>
      </x:c>
      <x:c r="S657" s="30"/>
      <x:c r="T657" s="30"/>
      <x:c r="U657" s="30" t="str">
        <x:v>Расхождений нет.</x:v>
      </x:c>
      <x:c r="V657" s="87" t="str">
        <x:v>VERIFIED</x:v>
      </x:c>
      <x:c r="W657" s="87" t="n">
        <x:v>2</x:v>
      </x:c>
      <x:c r="X657" s="87"/>
      <x:c r="Y657" s="87"/>
      <x:c r="Z657" s="87"/>
      <x:c r="AA657" s="87"/>
      <x:c r="AB657" s="87"/>
      <x:c r="AC657" s="87"/>
      <x:c r="AD657" s="87"/>
      <x:c r="AE657" s="87"/>
      <x:c r="AF657" s="87"/>
      <x:c r="AG657" s="87"/>
      <x:c r="AH657" s="87"/>
      <x:c r="AI657" s="30"/>
      <x:c r="AJ657" s="87" t="str">
        <x:v>master</x:v>
      </x:c>
      <x:c r="AK657" s="87" t="str">
        <x:v>master-v0.81</x:v>
      </x:c>
      <x:c r="AL657" s="87" t="str">
        <x:v>statgrad_master_base_v0_81_final(2).xlsx</x:v>
      </x:c>
      <x:c r="AM657" s="87" t="str">
        <x:v>MATH_Feb_Base_V6</x:v>
      </x:c>
      <x:c r="AN657" s="87" t="n">
        <x:v>2</x:v>
      </x:c>
    </x:row>
    <x:row r="658">
      <x:c r="A658" s="87" t="n">
        <x:v>657</x:v>
      </x:c>
      <x:c r="B658" s="87" t="str">
        <x:v>FEB-MATH-B-V6-002</x:v>
      </x:c>
      <x:c r="C658" s="87" t="str">
        <x:v>СтатГрад</x:v>
      </x:c>
      <x:c r="D658" s="87" t="str">
        <x:v>Февраль 2026</x:v>
      </x:c>
      <x:c r="E658" s="87"/>
      <x:c r="F658" s="87"/>
      <x:c r="G658" s="87" t="str">
        <x:v>Математика</x:v>
      </x:c>
      <x:c r="H658" s="87" t="n">
        <x:v>11</x:v>
      </x:c>
      <x:c r="I658" s="87" t="str">
        <x:v>ТР №3</x:v>
      </x:c>
      <x:c r="J658" s="87" t="str">
        <x:v>МА2510306</x:v>
      </x:c>
      <x:c r="K658" s="87" t="n">
        <x:v>2</x:v>
      </x:c>
      <x:c r="L658" s="87" t="str">
        <x:v>Оценка объёмов</x:v>
      </x:c>
      <x:c r="M658" s="30" t="str">
        <x:v>Соотнесите объём воды в Онежском озере, бутылки воды, туристического рюкзака и контейнера для мебели со значениями 0,5 л, 60 м³, 90 л и 295 км³.</x:v>
      </x:c>
      <x:c r="N658" s="30" t="str">
        <x:v>4132</x:v>
      </x:c>
      <x:c r="O658" s="30" t="str">
        <x:v>Онежское озеро содержит сотни кубических километров воды — 295 км³ (4); бутылка — 0,5 л (1); взрослый туристический рюкзак — около 90 л (3); мебельный контейнер — десятки кубометров, 60 м³ (2).</x:v>
      </x:c>
      <x:c r="P658" s="30" t="str">
        <x:v>Каждая величина проверена по порядку и единицам измерения.</x:v>
      </x:c>
      <x:c r="Q658" s="30"/>
      <x:c r="R658" s="30" t="str">
        <x:v>4132</x:v>
      </x:c>
      <x:c r="S658" s="30"/>
      <x:c r="T658" s="30"/>
      <x:c r="U658" s="30" t="str">
        <x:v>Расхождений нет.</x:v>
      </x:c>
      <x:c r="V658" s="87" t="str">
        <x:v>VERIFIED</x:v>
      </x:c>
      <x:c r="W658" s="87" t="n">
        <x:v>2</x:v>
      </x:c>
      <x:c r="X658" s="87"/>
      <x:c r="Y658" s="87"/>
      <x:c r="Z658" s="87"/>
      <x:c r="AA658" s="87"/>
      <x:c r="AB658" s="87"/>
      <x:c r="AC658" s="87"/>
      <x:c r="AD658" s="87"/>
      <x:c r="AE658" s="87"/>
      <x:c r="AF658" s="87"/>
      <x:c r="AG658" s="87"/>
      <x:c r="AH658" s="87"/>
      <x:c r="AI658" s="30"/>
      <x:c r="AJ658" s="87" t="str">
        <x:v>master</x:v>
      </x:c>
      <x:c r="AK658" s="87" t="str">
        <x:v>master-v0.81</x:v>
      </x:c>
      <x:c r="AL658" s="87" t="str">
        <x:v>statgrad_master_base_v0_81_final(2).xlsx</x:v>
      </x:c>
      <x:c r="AM658" s="87" t="str">
        <x:v>MATH_Feb_Base_V6</x:v>
      </x:c>
      <x:c r="AN658" s="87" t="n">
        <x:v>3</x:v>
      </x:c>
    </x:row>
    <x:row r="659">
      <x:c r="A659" s="87" t="n">
        <x:v>658</x:v>
      </x:c>
      <x:c r="B659" s="87" t="str">
        <x:v>FEB-MATH-B-V6-003</x:v>
      </x:c>
      <x:c r="C659" s="87" t="str">
        <x:v>СтатГрад</x:v>
      </x:c>
      <x:c r="D659" s="87" t="str">
        <x:v>Февраль 2026</x:v>
      </x:c>
      <x:c r="E659" s="87"/>
      <x:c r="F659" s="87"/>
      <x:c r="G659" s="87" t="str">
        <x:v>Математика</x:v>
      </x:c>
      <x:c r="H659" s="87" t="n">
        <x:v>11</x:v>
      </x:c>
      <x:c r="I659" s="87" t="str">
        <x:v>ТР №3</x:v>
      </x:c>
      <x:c r="J659" s="87" t="str">
        <x:v>МА2510306</x:v>
      </x:c>
      <x:c r="K659" s="87" t="n">
        <x:v>3</x:v>
      </x:c>
      <x:c r="L659" s="87" t="str">
        <x:v>Чтение графика</x:v>
      </x:c>
      <x:c r="M659" s="30" t="str">
        <x:v>По графику зависимости атмосферного давления от высоты найдите давление на высоте 7,5 км.</x:v>
      </x:c>
      <x:c r="N659" s="30" t="str">
        <x:v>280 мм рт. ст.</x:v>
      </x:c>
      <x:c r="O659" s="30" t="str">
        <x:v>Вертикаль x=7,5 км пересекает кривую примерно на уровне 280 мм рт. ст.</x:v>
      </x:c>
      <x:c r="P659" s="30" t="str">
        <x:v>Значение считано по координатной сетке и затем сверено с ключом.</x:v>
      </x:c>
      <x:c r="Q659" s="30"/>
      <x:c r="R659" s="30" t="str">
        <x:v>280</x:v>
      </x:c>
      <x:c r="S659" s="30"/>
      <x:c r="T659" s="30"/>
      <x:c r="U659" s="30" t="str">
        <x:v>Расхождений нет.</x:v>
      </x:c>
      <x:c r="V659" s="87" t="str">
        <x:v>VERIFIED</x:v>
      </x:c>
      <x:c r="W659" s="87" t="n">
        <x:v>3</x:v>
      </x:c>
      <x:c r="X659" s="87"/>
      <x:c r="Y659" s="87"/>
      <x:c r="Z659" s="87"/>
      <x:c r="AA659" s="87"/>
      <x:c r="AB659" s="87"/>
      <x:c r="AC659" s="87"/>
      <x:c r="AD659" s="87"/>
      <x:c r="AE659" s="87"/>
      <x:c r="AF659" s="87"/>
      <x:c r="AG659" s="87"/>
      <x:c r="AH659" s="87"/>
      <x:c r="AI659" s="30"/>
      <x:c r="AJ659" s="87" t="str">
        <x:v>master</x:v>
      </x:c>
      <x:c r="AK659" s="87" t="str">
        <x:v>master-v0.81</x:v>
      </x:c>
      <x:c r="AL659" s="87" t="str">
        <x:v>statgrad_master_base_v0_81_final(2).xlsx</x:v>
      </x:c>
      <x:c r="AM659" s="87" t="str">
        <x:v>MATH_Feb_Base_V6</x:v>
      </x:c>
      <x:c r="AN659" s="87" t="n">
        <x:v>4</x:v>
      </x:c>
    </x:row>
    <x:row r="660">
      <x:c r="A660" s="87" t="n">
        <x:v>659</x:v>
      </x:c>
      <x:c r="B660" s="87" t="str">
        <x:v>FEB-MATH-B-V6-004</x:v>
      </x:c>
      <x:c r="C660" s="87" t="str">
        <x:v>СтатГрад</x:v>
      </x:c>
      <x:c r="D660" s="87" t="str">
        <x:v>Февраль 2026</x:v>
      </x:c>
      <x:c r="E660" s="87"/>
      <x:c r="F660" s="87"/>
      <x:c r="G660" s="87" t="str">
        <x:v>Математика</x:v>
      </x:c>
      <x:c r="H660" s="87" t="n">
        <x:v>11</x:v>
      </x:c>
      <x:c r="I660" s="87" t="str">
        <x:v>ТР №3</x:v>
      </x:c>
      <x:c r="J660" s="87" t="str">
        <x:v>МА2510306</x:v>
      </x:c>
      <x:c r="K660" s="87" t="n">
        <x:v>4</x:v>
      </x:c>
      <x:c r="L660" s="87" t="str">
        <x:v>Подстановка в формулу</x:v>
      </x:c>
      <x:c r="M660" s="30" t="str">
        <x:v>Стоимость колодца определяется формулой C=6000+4100n. Найдите стоимость колодца из четырёх железобетонных колец.</x:v>
      </x:c>
      <x:c r="N660" s="30" t="str">
        <x:v>22400 руб.</x:v>
      </x:c>
      <x:c r="O660" s="30" t="str">
        <x:v>C=6000+4100·4=6000+16400=22400 руб.</x:v>
      </x:c>
      <x:c r="P660" s="30" t="str">
        <x:v>Подстановка и сложение выполнены повторно.</x:v>
      </x:c>
      <x:c r="Q660" s="30"/>
      <x:c r="R660" s="30" t="str">
        <x:v>22400</x:v>
      </x:c>
      <x:c r="S660" s="30"/>
      <x:c r="T660" s="30"/>
      <x:c r="U660" s="30" t="str">
        <x:v>Расхождений нет.</x:v>
      </x:c>
      <x:c r="V660" s="87" t="str">
        <x:v>VERIFIED</x:v>
      </x:c>
      <x:c r="W660" s="87" t="n">
        <x:v>3</x:v>
      </x:c>
      <x:c r="X660" s="87"/>
      <x:c r="Y660" s="87"/>
      <x:c r="Z660" s="87"/>
      <x:c r="AA660" s="87"/>
      <x:c r="AB660" s="87"/>
      <x:c r="AC660" s="87"/>
      <x:c r="AD660" s="87"/>
      <x:c r="AE660" s="87"/>
      <x:c r="AF660" s="87"/>
      <x:c r="AG660" s="87"/>
      <x:c r="AH660" s="87"/>
      <x:c r="AI660" s="30"/>
      <x:c r="AJ660" s="87" t="str">
        <x:v>master</x:v>
      </x:c>
      <x:c r="AK660" s="87" t="str">
        <x:v>master-v0.81</x:v>
      </x:c>
      <x:c r="AL660" s="87" t="str">
        <x:v>statgrad_master_base_v0_81_final(2).xlsx</x:v>
      </x:c>
      <x:c r="AM660" s="87" t="str">
        <x:v>MATH_Feb_Base_V6</x:v>
      </x:c>
      <x:c r="AN660" s="87" t="n">
        <x:v>5</x:v>
      </x:c>
    </x:row>
    <x:row r="661">
      <x:c r="A661" s="87" t="n">
        <x:v>660</x:v>
      </x:c>
      <x:c r="B661" s="87" t="str">
        <x:v>FEB-MATH-B-V6-005</x:v>
      </x:c>
      <x:c r="C661" s="87" t="str">
        <x:v>СтатГрад</x:v>
      </x:c>
      <x:c r="D661" s="87" t="str">
        <x:v>Февраль 2026</x:v>
      </x:c>
      <x:c r="E661" s="87"/>
      <x:c r="F661" s="87"/>
      <x:c r="G661" s="87" t="str">
        <x:v>Математика</x:v>
      </x:c>
      <x:c r="H661" s="87" t="n">
        <x:v>11</x:v>
      </x:c>
      <x:c r="I661" s="87" t="str">
        <x:v>ТР №3</x:v>
      </x:c>
      <x:c r="J661" s="87" t="str">
        <x:v>МА2510306</x:v>
      </x:c>
      <x:c r="K661" s="87" t="n">
        <x:v>5</x:v>
      </x:c>
      <x:c r="L661" s="87" t="str">
        <x:v>Теория вероятностей</x:v>
      </x:c>
      <x:c r="M661" s="30" t="str">
        <x:v>Из группы из десяти туристов жребием выбирают двух. Найдите вероятность, что выбран конкретный турист Д.</x:v>
      </x:c>
      <x:c r="N661" s="30" t="str">
        <x:v>0,2</x:v>
      </x:c>
      <x:c r="O661" s="30" t="str">
        <x:v>Из десяти участников выбирают двух, поэтому вероятность попадания конкретного туриста в выбранную пару равна 2/10=0,2.</x:v>
      </x:c>
      <x:c r="P661" s="30" t="str">
        <x:v>Из C(10,2)=45 возможных пар девять содержат туриста Д; 9/45=0,2.</x:v>
      </x:c>
      <x:c r="Q661" s="30"/>
      <x:c r="R661" s="30" t="str">
        <x:v>0,2</x:v>
      </x:c>
      <x:c r="S661" s="30"/>
      <x:c r="T661" s="30"/>
      <x:c r="U661" s="30" t="str">
        <x:v>Расхождений нет.</x:v>
      </x:c>
      <x:c r="V661" s="87" t="str">
        <x:v>VERIFIED</x:v>
      </x:c>
      <x:c r="W661" s="87" t="n">
        <x:v>4</x:v>
      </x:c>
      <x:c r="X661" s="87"/>
      <x:c r="Y661" s="87"/>
      <x:c r="Z661" s="87"/>
      <x:c r="AA661" s="87"/>
      <x:c r="AB661" s="87"/>
      <x:c r="AC661" s="87"/>
      <x:c r="AD661" s="87"/>
      <x:c r="AE661" s="87"/>
      <x:c r="AF661" s="87"/>
      <x:c r="AG661" s="87"/>
      <x:c r="AH661" s="87"/>
      <x:c r="AI661" s="30"/>
      <x:c r="AJ661" s="87" t="str">
        <x:v>master</x:v>
      </x:c>
      <x:c r="AK661" s="87" t="str">
        <x:v>master-v0.81</x:v>
      </x:c>
      <x:c r="AL661" s="87" t="str">
        <x:v>statgrad_master_base_v0_81_final(2).xlsx</x:v>
      </x:c>
      <x:c r="AM661" s="87" t="str">
        <x:v>MATH_Feb_Base_V6</x:v>
      </x:c>
      <x:c r="AN661" s="87" t="n">
        <x:v>6</x:v>
      </x:c>
    </x:row>
    <x:row r="662">
      <x:c r="A662" s="87" t="n">
        <x:v>661</x:v>
      </x:c>
      <x:c r="B662" s="87" t="str">
        <x:v>FEB-MATH-B-V6-006</x:v>
      </x:c>
      <x:c r="C662" s="87" t="str">
        <x:v>СтатГрад</x:v>
      </x:c>
      <x:c r="D662" s="87" t="str">
        <x:v>Февраль 2026</x:v>
      </x:c>
      <x:c r="E662" s="87"/>
      <x:c r="F662" s="87"/>
      <x:c r="G662" s="87" t="str">
        <x:v>Математика</x:v>
      </x:c>
      <x:c r="H662" s="87" t="n">
        <x:v>11</x:v>
      </x:c>
      <x:c r="I662" s="87" t="str">
        <x:v>ТР №3</x:v>
      </x:c>
      <x:c r="J662" s="87" t="str">
        <x:v>МА2510306</x:v>
      </x:c>
      <x:c r="K662" s="87" t="n">
        <x:v>6</x:v>
      </x:c>
      <x:c r="L662" s="87" t="str">
        <x:v>Анализ таблицы</x:v>
      </x:c>
      <x:c r="M662" s="30" t="str">
        <x:v>Ручная кладь должна иметь размеры не более 55×40×20 см и массу не более 10 кг. Выберите подходящие сумки.</x:v>
      </x:c>
      <x:c r="N662" s="30" t="str">
        <x:v>14</x:v>
      </x:c>
      <x:c r="O662" s="30" t="str">
        <x:v>Сумка 1: 52×38×18 см, 5,5 кг; сумка 4: 42×31×16 см, 4,6 кг. У сумок 2, 3, 5 и 6 превышено хотя бы одно ограничение.</x:v>
      </x:c>
      <x:c r="P662" s="30" t="str">
        <x:v>Все шесть строк проверены по четырём ограничениям.</x:v>
      </x:c>
      <x:c r="Q662" s="30"/>
      <x:c r="R662" s="30" t="str">
        <x:v>14</x:v>
      </x:c>
      <x:c r="S662" s="30"/>
      <x:c r="T662" s="30"/>
      <x:c r="U662" s="30" t="str">
        <x:v>Расхождений нет.</x:v>
      </x:c>
      <x:c r="V662" s="87" t="str">
        <x:v>VERIFIED</x:v>
      </x:c>
      <x:c r="W662" s="87" t="n">
        <x:v>4</x:v>
      </x:c>
      <x:c r="X662" s="87"/>
      <x:c r="Y662" s="87"/>
      <x:c r="Z662" s="87"/>
      <x:c r="AA662" s="87"/>
      <x:c r="AB662" s="87"/>
      <x:c r="AC662" s="87"/>
      <x:c r="AD662" s="87"/>
      <x:c r="AE662" s="87"/>
      <x:c r="AF662" s="87"/>
      <x:c r="AG662" s="87"/>
      <x:c r="AH662" s="87"/>
      <x:c r="AI662" s="30"/>
      <x:c r="AJ662" s="87" t="str">
        <x:v>master</x:v>
      </x:c>
      <x:c r="AK662" s="87" t="str">
        <x:v>master-v0.81</x:v>
      </x:c>
      <x:c r="AL662" s="87" t="str">
        <x:v>statgrad_master_base_v0_81_final(2).xlsx</x:v>
      </x:c>
      <x:c r="AM662" s="87" t="str">
        <x:v>MATH_Feb_Base_V6</x:v>
      </x:c>
      <x:c r="AN662" s="87" t="n">
        <x:v>7</x:v>
      </x:c>
    </x:row>
    <x:row r="663">
      <x:c r="A663" s="87" t="n">
        <x:v>662</x:v>
      </x:c>
      <x:c r="B663" s="87" t="str">
        <x:v>FEB-MATH-B-V6-007</x:v>
      </x:c>
      <x:c r="C663" s="87" t="str">
        <x:v>СтатГрад</x:v>
      </x:c>
      <x:c r="D663" s="87" t="str">
        <x:v>Февраль 2026</x:v>
      </x:c>
      <x:c r="E663" s="87"/>
      <x:c r="F663" s="87"/>
      <x:c r="G663" s="87" t="str">
        <x:v>Математика</x:v>
      </x:c>
      <x:c r="H663" s="87" t="n">
        <x:v>11</x:v>
      </x:c>
      <x:c r="I663" s="87" t="str">
        <x:v>ТР №3</x:v>
      </x:c>
      <x:c r="J663" s="87" t="str">
        <x:v>МА2510306</x:v>
      </x:c>
      <x:c r="K663" s="87" t="n">
        <x:v>7</x:v>
      </x:c>
      <x:c r="L663" s="87" t="str">
        <x:v>Свойства функции по графику</x:v>
      </x:c>
      <x:c r="M663" s="30" t="str">
        <x:v>Соотнесите интервалы (a;b), (b;c), (c;d), (d;e) с характеристиками: возрастание, убывание, положительность и отрицательность.</x:v>
      </x:c>
      <x:c r="N663" s="30" t="str">
        <x:v>2413</x:v>
      </x:c>
      <x:c r="O663" s="30" t="str">
        <x:v>На (a;b) функция убывает — 2; на (b;c) отрицательна — 4; на (c;d) возрастает — 1; на (d;e) положительна — 3.</x:v>
      </x:c>
      <x:c r="P663" s="30" t="str">
        <x:v>Знак функции и направление изменения считаны непосредственно по графику.</x:v>
      </x:c>
      <x:c r="Q663" s="30"/>
      <x:c r="R663" s="30" t="str">
        <x:v>2413</x:v>
      </x:c>
      <x:c r="S663" s="30"/>
      <x:c r="T663" s="30"/>
      <x:c r="U663" s="30" t="str">
        <x:v>Расхождений нет.</x:v>
      </x:c>
      <x:c r="V663" s="87" t="str">
        <x:v>VERIFIED</x:v>
      </x:c>
      <x:c r="W663" s="87" t="n">
        <x:v>5</x:v>
      </x:c>
      <x:c r="X663" s="87"/>
      <x:c r="Y663" s="87"/>
      <x:c r="Z663" s="87"/>
      <x:c r="AA663" s="87"/>
      <x:c r="AB663" s="87"/>
      <x:c r="AC663" s="87"/>
      <x:c r="AD663" s="87"/>
      <x:c r="AE663" s="87"/>
      <x:c r="AF663" s="87"/>
      <x:c r="AG663" s="87"/>
      <x:c r="AH663" s="87"/>
      <x:c r="AI663" s="30"/>
      <x:c r="AJ663" s="87" t="str">
        <x:v>master</x:v>
      </x:c>
      <x:c r="AK663" s="87" t="str">
        <x:v>master-v0.81</x:v>
      </x:c>
      <x:c r="AL663" s="87" t="str">
        <x:v>statgrad_master_base_v0_81_final(2).xlsx</x:v>
      </x:c>
      <x:c r="AM663" s="87" t="str">
        <x:v>MATH_Feb_Base_V6</x:v>
      </x:c>
      <x:c r="AN663" s="87" t="n">
        <x:v>8</x:v>
      </x:c>
    </x:row>
    <x:row r="664">
      <x:c r="A664" s="87" t="n">
        <x:v>663</x:v>
      </x:c>
      <x:c r="B664" s="87" t="str">
        <x:v>FEB-MATH-B-V6-008</x:v>
      </x:c>
      <x:c r="C664" s="87" t="str">
        <x:v>СтатГрад</x:v>
      </x:c>
      <x:c r="D664" s="87" t="str">
        <x:v>Февраль 2026</x:v>
      </x:c>
      <x:c r="E664" s="87"/>
      <x:c r="F664" s="87"/>
      <x:c r="G664" s="87" t="str">
        <x:v>Математика</x:v>
      </x:c>
      <x:c r="H664" s="87" t="n">
        <x:v>11</x:v>
      </x:c>
      <x:c r="I664" s="87" t="str">
        <x:v>ТР №3</x:v>
      </x:c>
      <x:c r="J664" s="87" t="str">
        <x:v>МА2510306</x:v>
      </x:c>
      <x:c r="K664" s="87" t="n">
        <x:v>8</x:v>
      </x:c>
      <x:c r="L664" s="87" t="str">
        <x:v>Логические следствия из диапазона</x:v>
      </x:c>
      <x:c r="M664" s="30" t="str">
        <x:v>В посёлке 12 жилых домов. Высота каждого дома меньше 30 м, но не меньше 9 м. Выберите утверждения, верные при любых условиях.</x:v>
      </x:c>
      <x:c r="N664" s="30" t="str">
        <x:v>34</x:v>
      </x:c>
      <x:c r="O664" s="30" t="str">
        <x:v>Дом высотой 8 м существовать не может, поэтому верно утверждение 3. Любой дом имеет высоту не меньше 9 м, а значит и не меньше 7 м — верно утверждение 4.</x:v>
      </x:c>
      <x:c r="P664" s="30" t="str">
        <x:v>Утверждение о доме высотой 30 м противоречит строгому ограничению, а разность высот любых двух домов не обязана превышать 3 м.</x:v>
      </x:c>
      <x:c r="Q664" s="30"/>
      <x:c r="R664" s="30" t="str">
        <x:v>34</x:v>
      </x:c>
      <x:c r="S664" s="30"/>
      <x:c r="T664" s="30"/>
      <x:c r="U664" s="30" t="str">
        <x:v>Расхождений нет.</x:v>
      </x:c>
      <x:c r="V664" s="87" t="str">
        <x:v>VERIFIED</x:v>
      </x:c>
      <x:c r="W664" s="87" t="n">
        <x:v>5</x:v>
      </x:c>
      <x:c r="X664" s="87"/>
      <x:c r="Y664" s="87"/>
      <x:c r="Z664" s="87"/>
      <x:c r="AA664" s="87"/>
      <x:c r="AB664" s="87"/>
      <x:c r="AC664" s="87"/>
      <x:c r="AD664" s="87"/>
      <x:c r="AE664" s="87"/>
      <x:c r="AF664" s="87"/>
      <x:c r="AG664" s="87"/>
      <x:c r="AH664" s="87"/>
      <x:c r="AI664" s="30"/>
      <x:c r="AJ664" s="87" t="str">
        <x:v>master</x:v>
      </x:c>
      <x:c r="AK664" s="87" t="str">
        <x:v>master-v0.81</x:v>
      </x:c>
      <x:c r="AL664" s="87" t="str">
        <x:v>statgrad_master_base_v0_81_final(2).xlsx</x:v>
      </x:c>
      <x:c r="AM664" s="87" t="str">
        <x:v>MATH_Feb_Base_V6</x:v>
      </x:c>
      <x:c r="AN664" s="87" t="n">
        <x:v>9</x:v>
      </x:c>
    </x:row>
    <x:row r="665">
      <x:c r="A665" s="87" t="n">
        <x:v>664</x:v>
      </x:c>
      <x:c r="B665" s="87" t="str">
        <x:v>FEB-MATH-B-V6-009</x:v>
      </x:c>
      <x:c r="C665" s="87" t="str">
        <x:v>СтатГрад</x:v>
      </x:c>
      <x:c r="D665" s="87" t="str">
        <x:v>Февраль 2026</x:v>
      </x:c>
      <x:c r="E665" s="87"/>
      <x:c r="F665" s="87"/>
      <x:c r="G665" s="87" t="str">
        <x:v>Математика</x:v>
      </x:c>
      <x:c r="H665" s="87" t="n">
        <x:v>11</x:v>
      </x:c>
      <x:c r="I665" s="87" t="str">
        <x:v>ТР №3</x:v>
      </x:c>
      <x:c r="J665" s="87" t="str">
        <x:v>МА2510306</x:v>
      </x:c>
      <x:c r="K665" s="87" t="n">
        <x:v>9</x:v>
      </x:c>
      <x:c r="L665" s="87" t="str">
        <x:v>Площадь фигуры на клетчатой бумаге</x:v>
      </x:c>
      <x:c r="M665" s="30" t="str">
        <x:v>Найдите площадь треугольного участка на сетке 1×1 м.</x:v>
      </x:c>
      <x:c r="N665" s="30" t="str">
        <x:v>12 м²</x:v>
      </x:c>
      <x:c r="O665" s="30" t="str">
        <x:v>Вертикальное основание треугольника равно 6 клеткам, а расстояние от противоположной вершины до прямой основания — 4 клетки. S=(1/2)·6·4=12 м².</x:v>
      </x:c>
      <x:c r="P665" s="30" t="str">
        <x:v>Основание и соответствующая высота считаны по клеткам.</x:v>
      </x:c>
      <x:c r="Q665" s="30"/>
      <x:c r="R665" s="30" t="str">
        <x:v>12</x:v>
      </x:c>
      <x:c r="S665" s="30"/>
      <x:c r="T665" s="30"/>
      <x:c r="U665" s="30" t="str">
        <x:v>Расхождений нет.</x:v>
      </x:c>
      <x:c r="V665" s="87" t="str">
        <x:v>VERIFIED</x:v>
      </x:c>
      <x:c r="W665" s="87" t="n">
        <x:v>6</x:v>
      </x:c>
      <x:c r="X665" s="87"/>
      <x:c r="Y665" s="87"/>
      <x:c r="Z665" s="87"/>
      <x:c r="AA665" s="87"/>
      <x:c r="AB665" s="87"/>
      <x:c r="AC665" s="87"/>
      <x:c r="AD665" s="87"/>
      <x:c r="AE665" s="87"/>
      <x:c r="AF665" s="87"/>
      <x:c r="AG665" s="87"/>
      <x:c r="AH665" s="87"/>
      <x:c r="AI665" s="30"/>
      <x:c r="AJ665" s="87" t="str">
        <x:v>master</x:v>
      </x:c>
      <x:c r="AK665" s="87" t="str">
        <x:v>master-v0.81</x:v>
      </x:c>
      <x:c r="AL665" s="87" t="str">
        <x:v>statgrad_master_base_v0_81_final(2).xlsx</x:v>
      </x:c>
      <x:c r="AM665" s="87" t="str">
        <x:v>MATH_Feb_Base_V6</x:v>
      </x:c>
      <x:c r="AN665" s="87" t="n">
        <x:v>10</x:v>
      </x:c>
    </x:row>
    <x:row r="666">
      <x:c r="A666" s="87" t="n">
        <x:v>665</x:v>
      </x:c>
      <x:c r="B666" s="87" t="str">
        <x:v>FEB-MATH-B-V6-010</x:v>
      </x:c>
      <x:c r="C666" s="87" t="str">
        <x:v>СтатГрад</x:v>
      </x:c>
      <x:c r="D666" s="87" t="str">
        <x:v>Февраль 2026</x:v>
      </x:c>
      <x:c r="E666" s="87"/>
      <x:c r="F666" s="87"/>
      <x:c r="G666" s="87" t="str">
        <x:v>Математика</x:v>
      </x:c>
      <x:c r="H666" s="87" t="n">
        <x:v>11</x:v>
      </x:c>
      <x:c r="I666" s="87" t="str">
        <x:v>ТР №3</x:v>
      </x:c>
      <x:c r="J666" s="87" t="str">
        <x:v>МА2510306</x:v>
      </x:c>
      <x:c r="K666" s="87" t="n">
        <x:v>10</x:v>
      </x:c>
      <x:c r="L666" s="87" t="str">
        <x:v>Площадь по плану квартиры</x:v>
      </x:c>
      <x:c r="M666" s="30" t="str">
        <x:v>Кухня имеет размеры 3×4 м, санузел — 1,5×2 м, длина коридора — 6 м. Найдите площадь комнаты.</x:v>
      </x:c>
      <x:c r="N666" s="30" t="str">
        <x:v>18 м²</x:v>
      </x:c>
      <x:c r="O666" s="30" t="str">
        <x:v>Общая ширина квартиры равна 1,5+6=7,5 м. Ширина комнаты равна 7,5−3=4,5 м, её высота — 4 м. Площадь: 4,5·4=18 м².</x:v>
      </x:c>
      <x:c r="P666" s="30" t="str">
        <x:v>Размеры восстановлены по общим горизонтальным границам плана.</x:v>
      </x:c>
      <x:c r="Q666" s="30"/>
      <x:c r="R666" s="30" t="str">
        <x:v>18</x:v>
      </x:c>
      <x:c r="S666" s="30"/>
      <x:c r="T666" s="30"/>
      <x:c r="U666" s="30" t="str">
        <x:v>Расхождений нет.</x:v>
      </x:c>
      <x:c r="V666" s="87" t="str">
        <x:v>VERIFIED</x:v>
      </x:c>
      <x:c r="W666" s="87" t="n">
        <x:v>6</x:v>
      </x:c>
      <x:c r="X666" s="87"/>
      <x:c r="Y666" s="87"/>
      <x:c r="Z666" s="87"/>
      <x:c r="AA666" s="87"/>
      <x:c r="AB666" s="87"/>
      <x:c r="AC666" s="87"/>
      <x:c r="AD666" s="87"/>
      <x:c r="AE666" s="87"/>
      <x:c r="AF666" s="87"/>
      <x:c r="AG666" s="87"/>
      <x:c r="AH666" s="87"/>
      <x:c r="AI666" s="30"/>
      <x:c r="AJ666" s="87" t="str">
        <x:v>master</x:v>
      </x:c>
      <x:c r="AK666" s="87" t="str">
        <x:v>master-v0.81</x:v>
      </x:c>
      <x:c r="AL666" s="87" t="str">
        <x:v>statgrad_master_base_v0_81_final(2).xlsx</x:v>
      </x:c>
      <x:c r="AM666" s="87" t="str">
        <x:v>MATH_Feb_Base_V6</x:v>
      </x:c>
      <x:c r="AN666" s="87" t="n">
        <x:v>11</x:v>
      </x:c>
    </x:row>
    <x:row r="667">
      <x:c r="A667" s="87" t="n">
        <x:v>666</x:v>
      </x:c>
      <x:c r="B667" s="87" t="str">
        <x:v>FEB-MATH-B-V6-011</x:v>
      </x:c>
      <x:c r="C667" s="87" t="str">
        <x:v>СтатГрад</x:v>
      </x:c>
      <x:c r="D667" s="87" t="str">
        <x:v>Февраль 2026</x:v>
      </x:c>
      <x:c r="E667" s="87"/>
      <x:c r="F667" s="87"/>
      <x:c r="G667" s="87" t="str">
        <x:v>Математика</x:v>
      </x:c>
      <x:c r="H667" s="87" t="n">
        <x:v>11</x:v>
      </x:c>
      <x:c r="I667" s="87" t="str">
        <x:v>ТР №3</x:v>
      </x:c>
      <x:c r="J667" s="87" t="str">
        <x:v>МА2510306</x:v>
      </x:c>
      <x:c r="K667" s="87" t="n">
        <x:v>11</x:v>
      </x:c>
      <x:c r="L667" s="87" t="str">
        <x:v>Объём вытесненной воды</x:v>
      </x:c>
      <x:c r="M667" s="30" t="str">
        <x:v>В цилиндрический бак налито 4 л воды. После погружения детали уровень воды увеличился в 1,5 раза. Найдите объём детали.</x:v>
      </x:c>
      <x:c r="N667" s="30" t="str">
        <x:v>2000 см³</x:v>
      </x:c>
      <x:c r="O667" s="30" t="str">
        <x:v>При неизменной площади основания объём под уровнем воды вырос с 4 до 4·1,5=6 л. Деталь вытеснила 6−4=2 л=2000 см³.</x:v>
      </x:c>
      <x:c r="P667" s="30" t="str">
        <x:v>Использованы 1 л=1000 см³ и принцип вытеснения.</x:v>
      </x:c>
      <x:c r="Q667" s="30"/>
      <x:c r="R667" s="30" t="str">
        <x:v>2000</x:v>
      </x:c>
      <x:c r="S667" s="30"/>
      <x:c r="T667" s="30"/>
      <x:c r="U667" s="30" t="str">
        <x:v>Расхождений нет.</x:v>
      </x:c>
      <x:c r="V667" s="87" t="str">
        <x:v>VERIFIED</x:v>
      </x:c>
      <x:c r="W667" s="87" t="n">
        <x:v>6</x:v>
      </x:c>
      <x:c r="X667" s="87"/>
      <x:c r="Y667" s="87"/>
      <x:c r="Z667" s="87"/>
      <x:c r="AA667" s="87"/>
      <x:c r="AB667" s="87"/>
      <x:c r="AC667" s="87"/>
      <x:c r="AD667" s="87"/>
      <x:c r="AE667" s="87"/>
      <x:c r="AF667" s="87"/>
      <x:c r="AG667" s="87"/>
      <x:c r="AH667" s="87"/>
      <x:c r="AI667" s="30"/>
      <x:c r="AJ667" s="87" t="str">
        <x:v>master</x:v>
      </x:c>
      <x:c r="AK667" s="87" t="str">
        <x:v>master-v0.81</x:v>
      </x:c>
      <x:c r="AL667" s="87" t="str">
        <x:v>statgrad_master_base_v0_81_final(2).xlsx</x:v>
      </x:c>
      <x:c r="AM667" s="87" t="str">
        <x:v>MATH_Feb_Base_V6</x:v>
      </x:c>
      <x:c r="AN667" s="87" t="n">
        <x:v>12</x:v>
      </x:c>
    </x:row>
    <x:row r="668">
      <x:c r="A668" s="87" t="n">
        <x:v>667</x:v>
      </x:c>
      <x:c r="B668" s="87" t="str">
        <x:v>FEB-MATH-B-V6-012</x:v>
      </x:c>
      <x:c r="C668" s="87" t="str">
        <x:v>СтатГрад</x:v>
      </x:c>
      <x:c r="D668" s="87" t="str">
        <x:v>Февраль 2026</x:v>
      </x:c>
      <x:c r="E668" s="87"/>
      <x:c r="F668" s="87"/>
      <x:c r="G668" s="87" t="str">
        <x:v>Математика</x:v>
      </x:c>
      <x:c r="H668" s="87" t="n">
        <x:v>11</x:v>
      </x:c>
      <x:c r="I668" s="87" t="str">
        <x:v>ТР №3</x:v>
      </x:c>
      <x:c r="J668" s="87" t="str">
        <x:v>МА2510306</x:v>
      </x:c>
      <x:c r="K668" s="87" t="n">
        <x:v>12</x:v>
      </x:c>
      <x:c r="L668" s="87" t="str">
        <x:v>Окружность и вписанные углы</x:v>
      </x:c>
      <x:c r="M668" s="30" t="str">
        <x:v>AB — диаметр окружности, точки D и C лежат по разные стороны от него. Известно, что ∠DBA=41°. Найдите ∠DCB.</x:v>
      </x:c>
      <x:c r="N668" s="30" t="str">
        <x:v>49°</x:v>
      </x:c>
      <x:c r="O668" s="30" t="str">
        <x:v>В треугольнике ADB угол ADB равен 90°, поскольку AB — диаметр. Поэтому ∠DAB=180°−90°−41°=49°. Углы DAB и DCB опираются на одну хорду DB, значит равны.</x:v>
      </x:c>
      <x:c r="P668" s="30" t="str">
        <x:v>Применены теорема Фалеса и свойство вписанных углов, опирающихся на одну хорду.</x:v>
      </x:c>
      <x:c r="Q668" s="30"/>
      <x:c r="R668" s="30" t="str">
        <x:v>49</x:v>
      </x:c>
      <x:c r="S668" s="30"/>
      <x:c r="T668" s="30"/>
      <x:c r="U668" s="30" t="str">
        <x:v>Расхождений нет.</x:v>
      </x:c>
      <x:c r="V668" s="87" t="str">
        <x:v>VERIFIED</x:v>
      </x:c>
      <x:c r="W668" s="87" t="n">
        <x:v>6</x:v>
      </x:c>
      <x:c r="X668" s="87"/>
      <x:c r="Y668" s="87"/>
      <x:c r="Z668" s="87"/>
      <x:c r="AA668" s="87"/>
      <x:c r="AB668" s="87"/>
      <x:c r="AC668" s="87"/>
      <x:c r="AD668" s="87"/>
      <x:c r="AE668" s="87"/>
      <x:c r="AF668" s="87"/>
      <x:c r="AG668" s="87"/>
      <x:c r="AH668" s="87"/>
      <x:c r="AI668" s="30"/>
      <x:c r="AJ668" s="87" t="str">
        <x:v>master</x:v>
      </x:c>
      <x:c r="AK668" s="87" t="str">
        <x:v>master-v0.81</x:v>
      </x:c>
      <x:c r="AL668" s="87" t="str">
        <x:v>statgrad_master_base_v0_81_final(2).xlsx</x:v>
      </x:c>
      <x:c r="AM668" s="87" t="str">
        <x:v>MATH_Feb_Base_V6</x:v>
      </x:c>
      <x:c r="AN668" s="87" t="n">
        <x:v>13</x:v>
      </x:c>
    </x:row>
    <x:row r="669">
      <x:c r="A669" s="87" t="n">
        <x:v>668</x:v>
      </x:c>
      <x:c r="B669" s="87" t="str">
        <x:v>FEB-MATH-B-V6-013</x:v>
      </x:c>
      <x:c r="C669" s="87" t="str">
        <x:v>СтатГрад</x:v>
      </x:c>
      <x:c r="D669" s="87" t="str">
        <x:v>Февраль 2026</x:v>
      </x:c>
      <x:c r="E669" s="87"/>
      <x:c r="F669" s="87"/>
      <x:c r="G669" s="87" t="str">
        <x:v>Математика</x:v>
      </x:c>
      <x:c r="H669" s="87" t="n">
        <x:v>11</x:v>
      </x:c>
      <x:c r="I669" s="87" t="str">
        <x:v>ТР №3</x:v>
      </x:c>
      <x:c r="J669" s="87" t="str">
        <x:v>МА2510306</x:v>
      </x:c>
      <x:c r="K669" s="87" t="n">
        <x:v>13</x:v>
      </x:c>
      <x:c r="L669" s="87" t="str">
        <x:v>Боковая поверхность пирамиды</x:v>
      </x:c>
      <x:c r="M669" s="30" t="str">
        <x:v>Основание правильной треугольной пирамиды имеет сторону 18, боковые рёбра равны 15. Найдите площадь боковой поверхности.</x:v>
      </x:c>
      <x:c r="N669" s="30" t="str">
        <x:v>324</x:v>
      </x:c>
      <x:c r="O669" s="30" t="str">
        <x:v>Каждая боковая грань — равнобедренный треугольник 15–15–18. Его высота √(15²−9²)=12, площадь одной грани (1/2)·18·12=108. Три грани дают 324.</x:v>
      </x:c>
      <x:c r="P669" s="30" t="str">
        <x:v>Высота грани и сумма площадей трёх одинаковых треугольников пересчитаны отдельно.</x:v>
      </x:c>
      <x:c r="Q669" s="30"/>
      <x:c r="R669" s="30" t="str">
        <x:v>324</x:v>
      </x:c>
      <x:c r="S669" s="30"/>
      <x:c r="T669" s="30"/>
      <x:c r="U669" s="30" t="str">
        <x:v>Расхождений нет.</x:v>
      </x:c>
      <x:c r="V669" s="87" t="str">
        <x:v>VERIFIED</x:v>
      </x:c>
      <x:c r="W669" s="87" t="n">
        <x:v>7</x:v>
      </x:c>
      <x:c r="X669" s="87"/>
      <x:c r="Y669" s="87"/>
      <x:c r="Z669" s="87"/>
      <x:c r="AA669" s="87"/>
      <x:c r="AB669" s="87"/>
      <x:c r="AC669" s="87"/>
      <x:c r="AD669" s="87"/>
      <x:c r="AE669" s="87"/>
      <x:c r="AF669" s="87"/>
      <x:c r="AG669" s="87"/>
      <x:c r="AH669" s="87"/>
      <x:c r="AI669" s="30"/>
      <x:c r="AJ669" s="87" t="str">
        <x:v>master</x:v>
      </x:c>
      <x:c r="AK669" s="87" t="str">
        <x:v>master-v0.81</x:v>
      </x:c>
      <x:c r="AL669" s="87" t="str">
        <x:v>statgrad_master_base_v0_81_final(2).xlsx</x:v>
      </x:c>
      <x:c r="AM669" s="87" t="str">
        <x:v>MATH_Feb_Base_V6</x:v>
      </x:c>
      <x:c r="AN669" s="87" t="n">
        <x:v>14</x:v>
      </x:c>
    </x:row>
    <x:row r="670">
      <x:c r="A670" s="87" t="n">
        <x:v>669</x:v>
      </x:c>
      <x:c r="B670" s="87" t="str">
        <x:v>FEB-MATH-B-V6-014</x:v>
      </x:c>
      <x:c r="C670" s="87" t="str">
        <x:v>СтатГрад</x:v>
      </x:c>
      <x:c r="D670" s="87" t="str">
        <x:v>Февраль 2026</x:v>
      </x:c>
      <x:c r="E670" s="87"/>
      <x:c r="F670" s="87"/>
      <x:c r="G670" s="87" t="str">
        <x:v>Математика</x:v>
      </x:c>
      <x:c r="H670" s="87" t="n">
        <x:v>11</x:v>
      </x:c>
      <x:c r="I670" s="87" t="str">
        <x:v>ТР №3</x:v>
      </x:c>
      <x:c r="J670" s="87" t="str">
        <x:v>МА2510306</x:v>
      </x:c>
      <x:c r="K670" s="87" t="n">
        <x:v>14</x:v>
      </x:c>
      <x:c r="L670" s="87" t="str">
        <x:v>Арифметическое выражение</x:v>
      </x:c>
      <x:c r="M670" s="30" t="str">
        <x:v>Найдите значение 0,55:(11/13)+3.</x:v>
      </x:c>
      <x:c r="N670" s="30" t="str">
        <x:v>3,65</x:v>
      </x:c>
      <x:c r="O670" s="30" t="str">
        <x:v>0,55=11/20. Тогда (11/20):(11/13)=13/20=0,65; после прибавления 3 получаем 3,65.</x:v>
      </x:c>
      <x:c r="P670" s="30" t="str">
        <x:v>Вычисление проверено в обыкновенных дробях.</x:v>
      </x:c>
      <x:c r="Q670" s="30"/>
      <x:c r="R670" s="30" t="str">
        <x:v>3,65</x:v>
      </x:c>
      <x:c r="S670" s="30"/>
      <x:c r="T670" s="30"/>
      <x:c r="U670" s="30" t="str">
        <x:v>Расхождений нет.</x:v>
      </x:c>
      <x:c r="V670" s="87" t="str">
        <x:v>VERIFIED</x:v>
      </x:c>
      <x:c r="W670" s="87" t="n">
        <x:v>7</x:v>
      </x:c>
      <x:c r="X670" s="87"/>
      <x:c r="Y670" s="87"/>
      <x:c r="Z670" s="87"/>
      <x:c r="AA670" s="87"/>
      <x:c r="AB670" s="87"/>
      <x:c r="AC670" s="87"/>
      <x:c r="AD670" s="87"/>
      <x:c r="AE670" s="87"/>
      <x:c r="AF670" s="87"/>
      <x:c r="AG670" s="87"/>
      <x:c r="AH670" s="87"/>
      <x:c r="AI670" s="30"/>
      <x:c r="AJ670" s="87" t="str">
        <x:v>master</x:v>
      </x:c>
      <x:c r="AK670" s="87" t="str">
        <x:v>master-v0.81</x:v>
      </x:c>
      <x:c r="AL670" s="87" t="str">
        <x:v>statgrad_master_base_v0_81_final(2).xlsx</x:v>
      </x:c>
      <x:c r="AM670" s="87" t="str">
        <x:v>MATH_Feb_Base_V6</x:v>
      </x:c>
      <x:c r="AN670" s="87" t="n">
        <x:v>15</x:v>
      </x:c>
    </x:row>
    <x:row r="671">
      <x:c r="A671" s="87" t="n">
        <x:v>670</x:v>
      </x:c>
      <x:c r="B671" s="87" t="str">
        <x:v>FEB-MATH-B-V6-015</x:v>
      </x:c>
      <x:c r="C671" s="87" t="str">
        <x:v>СтатГрад</x:v>
      </x:c>
      <x:c r="D671" s="87" t="str">
        <x:v>Февраль 2026</x:v>
      </x:c>
      <x:c r="E671" s="87"/>
      <x:c r="F671" s="87"/>
      <x:c r="G671" s="87" t="str">
        <x:v>Математика</x:v>
      </x:c>
      <x:c r="H671" s="87" t="n">
        <x:v>11</x:v>
      </x:c>
      <x:c r="I671" s="87" t="str">
        <x:v>ТР №3</x:v>
      </x:c>
      <x:c r="J671" s="87" t="str">
        <x:v>МА2510306</x:v>
      </x:c>
      <x:c r="K671" s="87" t="n">
        <x:v>15</x:v>
      </x:c>
      <x:c r="L671" s="87" t="str">
        <x:v>Проценты и отношения</x:v>
      </x:c>
      <x:c r="M671" s="30" t="str">
        <x:v>Акции распределены между государством и частными акционерами в отношении 2:5. Прибыль равна 49 млн руб. Найдите выплату частным акционерам.</x:v>
      </x:c>
      <x:c r="N671" s="30" t="str">
        <x:v>35 млн руб.</x:v>
      </x:c>
      <x:c r="O671" s="30" t="str">
        <x:v>Всего 2+5=7 равных долей, частным акционерам принадлежат пять. 49·5/7=35 млн руб.</x:v>
      </x:c>
      <x:c r="P671" s="30" t="str">
        <x:v>Доля частных акционеров равна 5/7 всей прибыли.</x:v>
      </x:c>
      <x:c r="Q671" s="30"/>
      <x:c r="R671" s="30" t="str">
        <x:v>35</x:v>
      </x:c>
      <x:c r="S671" s="30"/>
      <x:c r="T671" s="30"/>
      <x:c r="U671" s="30" t="str">
        <x:v>Расхождений нет.</x:v>
      </x:c>
      <x:c r="V671" s="87" t="str">
        <x:v>VERIFIED</x:v>
      </x:c>
      <x:c r="W671" s="87" t="n">
        <x:v>7</x:v>
      </x:c>
      <x:c r="X671" s="87"/>
      <x:c r="Y671" s="87"/>
      <x:c r="Z671" s="87"/>
      <x:c r="AA671" s="87"/>
      <x:c r="AB671" s="87"/>
      <x:c r="AC671" s="87"/>
      <x:c r="AD671" s="87"/>
      <x:c r="AE671" s="87"/>
      <x:c r="AF671" s="87"/>
      <x:c r="AG671" s="87"/>
      <x:c r="AH671" s="87"/>
      <x:c r="AI671" s="30"/>
      <x:c r="AJ671" s="87" t="str">
        <x:v>master</x:v>
      </x:c>
      <x:c r="AK671" s="87" t="str">
        <x:v>master-v0.81</x:v>
      </x:c>
      <x:c r="AL671" s="87" t="str">
        <x:v>statgrad_master_base_v0_81_final(2).xlsx</x:v>
      </x:c>
      <x:c r="AM671" s="87" t="str">
        <x:v>MATH_Feb_Base_V6</x:v>
      </x:c>
      <x:c r="AN671" s="87" t="n">
        <x:v>16</x:v>
      </x:c>
    </x:row>
    <x:row r="672">
      <x:c r="A672" s="87" t="n">
        <x:v>671</x:v>
      </x:c>
      <x:c r="B672" s="87" t="str">
        <x:v>FEB-MATH-B-V6-016</x:v>
      </x:c>
      <x:c r="C672" s="87" t="str">
        <x:v>СтатГрад</x:v>
      </x:c>
      <x:c r="D672" s="87" t="str">
        <x:v>Февраль 2026</x:v>
      </x:c>
      <x:c r="E672" s="87"/>
      <x:c r="F672" s="87"/>
      <x:c r="G672" s="87" t="str">
        <x:v>Математика</x:v>
      </x:c>
      <x:c r="H672" s="87" t="n">
        <x:v>11</x:v>
      </x:c>
      <x:c r="I672" s="87" t="str">
        <x:v>ТР №3</x:v>
      </x:c>
      <x:c r="J672" s="87" t="str">
        <x:v>МА2510306</x:v>
      </x:c>
      <x:c r="K672" s="87" t="n">
        <x:v>16</x:v>
      </x:c>
      <x:c r="L672" s="87" t="str">
        <x:v>Степени</x:v>
      </x:c>
      <x:c r="M672" s="30" t="str">
        <x:v>Найдите значение 3⁻¹³/(3⁵)⁻³.</x:v>
      </x:c>
      <x:c r="N672" s="30" t="str">
        <x:v>9</x:v>
      </x:c>
      <x:c r="O672" s="30" t="str">
        <x:v>(3⁵)⁻³=3⁻¹⁵. Поэтому 3⁻¹³/3⁻¹⁵=3²=9.</x:v>
      </x:c>
      <x:c r="P672" s="30" t="str">
        <x:v>Показатели степеней вычтены: −13−(−15)=2.</x:v>
      </x:c>
      <x:c r="Q672" s="30"/>
      <x:c r="R672" s="30" t="str">
        <x:v>9</x:v>
      </x:c>
      <x:c r="S672" s="30"/>
      <x:c r="T672" s="30"/>
      <x:c r="U672" s="30" t="str">
        <x:v>Расхождений нет.</x:v>
      </x:c>
      <x:c r="V672" s="87" t="str">
        <x:v>VERIFIED</x:v>
      </x:c>
      <x:c r="W672" s="87" t="n">
        <x:v>7</x:v>
      </x:c>
      <x:c r="X672" s="87"/>
      <x:c r="Y672" s="87"/>
      <x:c r="Z672" s="87"/>
      <x:c r="AA672" s="87"/>
      <x:c r="AB672" s="87"/>
      <x:c r="AC672" s="87"/>
      <x:c r="AD672" s="87"/>
      <x:c r="AE672" s="87"/>
      <x:c r="AF672" s="87"/>
      <x:c r="AG672" s="87"/>
      <x:c r="AH672" s="87"/>
      <x:c r="AI672" s="30"/>
      <x:c r="AJ672" s="87" t="str">
        <x:v>master</x:v>
      </x:c>
      <x:c r="AK672" s="87" t="str">
        <x:v>master-v0.81</x:v>
      </x:c>
      <x:c r="AL672" s="87" t="str">
        <x:v>statgrad_master_base_v0_81_final(2).xlsx</x:v>
      </x:c>
      <x:c r="AM672" s="87" t="str">
        <x:v>MATH_Feb_Base_V6</x:v>
      </x:c>
      <x:c r="AN672" s="87" t="n">
        <x:v>17</x:v>
      </x:c>
    </x:row>
    <x:row r="673">
      <x:c r="A673" s="87" t="n">
        <x:v>672</x:v>
      </x:c>
      <x:c r="B673" s="87" t="str">
        <x:v>FEB-MATH-B-V6-017</x:v>
      </x:c>
      <x:c r="C673" s="87" t="str">
        <x:v>СтатГрад</x:v>
      </x:c>
      <x:c r="D673" s="87" t="str">
        <x:v>Февраль 2026</x:v>
      </x:c>
      <x:c r="E673" s="87"/>
      <x:c r="F673" s="87"/>
      <x:c r="G673" s="87" t="str">
        <x:v>Математика</x:v>
      </x:c>
      <x:c r="H673" s="87" t="n">
        <x:v>11</x:v>
      </x:c>
      <x:c r="I673" s="87" t="str">
        <x:v>ТР №3</x:v>
      </x:c>
      <x:c r="J673" s="87" t="str">
        <x:v>МА2510306</x:v>
      </x:c>
      <x:c r="K673" s="87" t="n">
        <x:v>17</x:v>
      </x:c>
      <x:c r="L673" s="87" t="str">
        <x:v>Логарифмическое уравнение</x:v>
      </x:c>
      <x:c r="M673" s="30" t="str">
        <x:v>Решите log₂(x−1)+log₂6=log₂18.</x:v>
      </x:c>
      <x:c r="N673" s="30" t="str">
        <x:v>4</x:v>
      </x:c>
      <x:c r="O673" s="30" t="str">
        <x:v>Объединяем логарифмы: log₂(6(x−1))=log₂18. Тогда 6(x−1)=18, откуда x=4.</x:v>
      </x:c>
      <x:c r="P673" s="30" t="str">
        <x:v>Область определения x&gt;1 выполнена; корень проверен подстановкой.</x:v>
      </x:c>
      <x:c r="Q673" s="30"/>
      <x:c r="R673" s="30" t="str">
        <x:v>4</x:v>
      </x:c>
      <x:c r="S673" s="30"/>
      <x:c r="T673" s="30"/>
      <x:c r="U673" s="30" t="str">
        <x:v>Расхождений нет.</x:v>
      </x:c>
      <x:c r="V673" s="87" t="str">
        <x:v>VERIFIED</x:v>
      </x:c>
      <x:c r="W673" s="87" t="n">
        <x:v>7</x:v>
      </x:c>
      <x:c r="X673" s="87"/>
      <x:c r="Y673" s="87"/>
      <x:c r="Z673" s="87"/>
      <x:c r="AA673" s="87"/>
      <x:c r="AB673" s="87"/>
      <x:c r="AC673" s="87"/>
      <x:c r="AD673" s="87"/>
      <x:c r="AE673" s="87"/>
      <x:c r="AF673" s="87"/>
      <x:c r="AG673" s="87"/>
      <x:c r="AH673" s="87"/>
      <x:c r="AI673" s="30"/>
      <x:c r="AJ673" s="87" t="str">
        <x:v>master</x:v>
      </x:c>
      <x:c r="AK673" s="87" t="str">
        <x:v>master-v0.81</x:v>
      </x:c>
      <x:c r="AL673" s="87" t="str">
        <x:v>statgrad_master_base_v0_81_final(2).xlsx</x:v>
      </x:c>
      <x:c r="AM673" s="87" t="str">
        <x:v>MATH_Feb_Base_V6</x:v>
      </x:c>
      <x:c r="AN673" s="87" t="n">
        <x:v>18</x:v>
      </x:c>
    </x:row>
    <x:row r="674">
      <x:c r="A674" s="87" t="n">
        <x:v>673</x:v>
      </x:c>
      <x:c r="B674" s="87" t="str">
        <x:v>FEB-MATH-B-V6-018</x:v>
      </x:c>
      <x:c r="C674" s="87" t="str">
        <x:v>СтатГрад</x:v>
      </x:c>
      <x:c r="D674" s="87" t="str">
        <x:v>Февраль 2026</x:v>
      </x:c>
      <x:c r="E674" s="87"/>
      <x:c r="F674" s="87"/>
      <x:c r="G674" s="87" t="str">
        <x:v>Математика</x:v>
      </x:c>
      <x:c r="H674" s="87" t="n">
        <x:v>11</x:v>
      </x:c>
      <x:c r="I674" s="87" t="str">
        <x:v>ТР №3</x:v>
      </x:c>
      <x:c r="J674" s="87" t="str">
        <x:v>МА2510306</x:v>
      </x:c>
      <x:c r="K674" s="87" t="n">
        <x:v>18</x:v>
      </x:c>
      <x:c r="L674" s="87" t="str">
        <x:v>Числовая прямая</x:v>
      </x:c>
      <x:c r="M674" s="30" t="str">
        <x:v>Соотнесите точки A, B, C и D с числами √7+√3, √7·2√3, 2√7:√3 и (√3)³+1.</x:v>
      </x:c>
      <x:c r="N674" s="30" t="str">
        <x:v>3142</x:v>
      </x:c>
      <x:c r="O674" s="30" t="str">
        <x:v>2√7/√3≈3,06 соответствует A; √7+√3≈4,38 — B; 3√3+1≈6,20 — C; 2√21≈9,17 — D.</x:v>
      </x:c>
      <x:c r="P674" s="30" t="str">
        <x:v>Все четыре выражения оценены численно и сопоставлены с точками.</x:v>
      </x:c>
      <x:c r="Q674" s="30"/>
      <x:c r="R674" s="30" t="str">
        <x:v>3142</x:v>
      </x:c>
      <x:c r="S674" s="30"/>
      <x:c r="T674" s="30"/>
      <x:c r="U674" s="30" t="str">
        <x:v>Расхождений нет.</x:v>
      </x:c>
      <x:c r="V674" s="87" t="str">
        <x:v>VERIFIED</x:v>
      </x:c>
      <x:c r="W674" s="87" t="n">
        <x:v>8</x:v>
      </x:c>
      <x:c r="X674" s="87"/>
      <x:c r="Y674" s="87"/>
      <x:c r="Z674" s="87"/>
      <x:c r="AA674" s="87"/>
      <x:c r="AB674" s="87"/>
      <x:c r="AC674" s="87"/>
      <x:c r="AD674" s="87"/>
      <x:c r="AE674" s="87"/>
      <x:c r="AF674" s="87"/>
      <x:c r="AG674" s="87"/>
      <x:c r="AH674" s="87"/>
      <x:c r="AI674" s="30"/>
      <x:c r="AJ674" s="87" t="str">
        <x:v>master</x:v>
      </x:c>
      <x:c r="AK674" s="87" t="str">
        <x:v>master-v0.81</x:v>
      </x:c>
      <x:c r="AL674" s="87" t="str">
        <x:v>statgrad_master_base_v0_81_final(2).xlsx</x:v>
      </x:c>
      <x:c r="AM674" s="87" t="str">
        <x:v>MATH_Feb_Base_V6</x:v>
      </x:c>
      <x:c r="AN674" s="87" t="n">
        <x:v>19</x:v>
      </x:c>
    </x:row>
    <x:row r="675">
      <x:c r="A675" s="87" t="n">
        <x:v>674</x:v>
      </x:c>
      <x:c r="B675" s="87" t="str">
        <x:v>FEB-MATH-B-V6-019</x:v>
      </x:c>
      <x:c r="C675" s="87" t="str">
        <x:v>СтатГрад</x:v>
      </x:c>
      <x:c r="D675" s="87" t="str">
        <x:v>Февраль 2026</x:v>
      </x:c>
      <x:c r="E675" s="87"/>
      <x:c r="F675" s="87"/>
      <x:c r="G675" s="87" t="str">
        <x:v>Математика</x:v>
      </x:c>
      <x:c r="H675" s="87" t="n">
        <x:v>11</x:v>
      </x:c>
      <x:c r="I675" s="87" t="str">
        <x:v>ТР №3</x:v>
      </x:c>
      <x:c r="J675" s="87" t="str">
        <x:v>МА2510306</x:v>
      </x:c>
      <x:c r="K675" s="87" t="n">
        <x:v>19</x:v>
      </x:c>
      <x:c r="L675" s="87" t="str">
        <x:v>Делимость и сумма цифр</x:v>
      </x:c>
      <x:c r="M675" s="30" t="str">
        <x:v>Найдите натуральное число больше 1000, но меньше 1700, которое делится на 45 и имеет сумму цифр 18.</x:v>
      </x:c>
      <x:c r="N675" s="30" t="str">
        <x:v>1395</x:v>
      </x:c>
      <x:c r="O675" s="30" t="str">
        <x:v>Число 1395 удовлетворяет условиям: 1395=45·31, а сумма цифр 1+3+9+5=18.</x:v>
      </x:c>
      <x:c r="P675" s="30" t="str">
        <x:v>Проверены диапазон, делимость и сумма цифр.</x:v>
      </x:c>
      <x:c r="Q675" s="30"/>
      <x:c r="R675" s="30" t="str">
        <x:v>1395</x:v>
      </x:c>
      <x:c r="S675" s="30"/>
      <x:c r="T675" s="30"/>
      <x:c r="U675" s="30" t="str">
        <x:v>Расхождений нет.</x:v>
      </x:c>
      <x:c r="V675" s="87" t="str">
        <x:v>VERIFIED</x:v>
      </x:c>
      <x:c r="W675" s="87" t="n">
        <x:v>8</x:v>
      </x:c>
      <x:c r="X675" s="87"/>
      <x:c r="Y675" s="87"/>
      <x:c r="Z675" s="87"/>
      <x:c r="AA675" s="87"/>
      <x:c r="AB675" s="87"/>
      <x:c r="AC675" s="87"/>
      <x:c r="AD675" s="87"/>
      <x:c r="AE675" s="87"/>
      <x:c r="AF675" s="87"/>
      <x:c r="AG675" s="87"/>
      <x:c r="AH675" s="87"/>
      <x:c r="AI675" s="30"/>
      <x:c r="AJ675" s="87" t="str">
        <x:v>master</x:v>
      </x:c>
      <x:c r="AK675" s="87" t="str">
        <x:v>master-v0.81</x:v>
      </x:c>
      <x:c r="AL675" s="87" t="str">
        <x:v>statgrad_master_base_v0_81_final(2).xlsx</x:v>
      </x:c>
      <x:c r="AM675" s="87" t="str">
        <x:v>MATH_Feb_Base_V6</x:v>
      </x:c>
      <x:c r="AN675" s="87" t="n">
        <x:v>20</x:v>
      </x:c>
    </x:row>
    <x:row r="676">
      <x:c r="A676" s="87" t="n">
        <x:v>675</x:v>
      </x:c>
      <x:c r="B676" s="87" t="str">
        <x:v>FEB-MATH-B-V6-020</x:v>
      </x:c>
      <x:c r="C676" s="87" t="str">
        <x:v>СтатГрад</x:v>
      </x:c>
      <x:c r="D676" s="87" t="str">
        <x:v>Февраль 2026</x:v>
      </x:c>
      <x:c r="E676" s="87"/>
      <x:c r="F676" s="87"/>
      <x:c r="G676" s="87" t="str">
        <x:v>Математика</x:v>
      </x:c>
      <x:c r="H676" s="87" t="n">
        <x:v>11</x:v>
      </x:c>
      <x:c r="I676" s="87" t="str">
        <x:v>ТР №3</x:v>
      </x:c>
      <x:c r="J676" s="87" t="str">
        <x:v>МА2510306</x:v>
      </x:c>
      <x:c r="K676" s="87" t="n">
        <x:v>20</x:v>
      </x:c>
      <x:c r="L676" s="87" t="str">
        <x:v>Концентрация смеси</x:v>
      </x:c>
      <x:c r="M676" s="30" t="str">
        <x:v>Смешали 6 кг 35%-го раствора и 9 кг 30%-го раствора. Найдите концентрацию смеси.</x:v>
      </x:c>
      <x:c r="N676" s="30" t="str">
        <x:v>32%</x:v>
      </x:c>
      <x:c r="O676" s="30" t="str">
        <x:v>Масса вещества равна 6·0,35+9·0,30=2,1+2,7=4,8 кг. Общая масса 15 кг, поэтому концентрация 4,8/15·100%=32%.</x:v>
      </x:c>
      <x:c r="P676" s="30" t="str">
        <x:v>Баланс массы раствора и растворённого вещества проверен отдельно.</x:v>
      </x:c>
      <x:c r="Q676" s="30"/>
      <x:c r="R676" s="30" t="str">
        <x:v>32</x:v>
      </x:c>
      <x:c r="S676" s="30"/>
      <x:c r="T676" s="30"/>
      <x:c r="U676" s="30" t="str">
        <x:v>Расхождений нет.</x:v>
      </x:c>
      <x:c r="V676" s="87" t="str">
        <x:v>VERIFIED</x:v>
      </x:c>
      <x:c r="W676" s="87" t="n">
        <x:v>8</x:v>
      </x:c>
      <x:c r="X676" s="87"/>
      <x:c r="Y676" s="87"/>
      <x:c r="Z676" s="87"/>
      <x:c r="AA676" s="87"/>
      <x:c r="AB676" s="87"/>
      <x:c r="AC676" s="87"/>
      <x:c r="AD676" s="87"/>
      <x:c r="AE676" s="87"/>
      <x:c r="AF676" s="87"/>
      <x:c r="AG676" s="87"/>
      <x:c r="AH676" s="87"/>
      <x:c r="AI676" s="30"/>
      <x:c r="AJ676" s="87" t="str">
        <x:v>master</x:v>
      </x:c>
      <x:c r="AK676" s="87" t="str">
        <x:v>master-v0.81</x:v>
      </x:c>
      <x:c r="AL676" s="87" t="str">
        <x:v>statgrad_master_base_v0_81_final(2).xlsx</x:v>
      </x:c>
      <x:c r="AM676" s="87" t="str">
        <x:v>MATH_Feb_Base_V6</x:v>
      </x:c>
      <x:c r="AN676" s="87" t="n">
        <x:v>21</x:v>
      </x:c>
    </x:row>
    <x:row r="677">
      <x:c r="A677" s="87" t="n">
        <x:v>676</x:v>
      </x:c>
      <x:c r="B677" s="87" t="str">
        <x:v>FEB-MATH-B-V6-021</x:v>
      </x:c>
      <x:c r="C677" s="87" t="str">
        <x:v>СтатГрад</x:v>
      </x:c>
      <x:c r="D677" s="87" t="str">
        <x:v>Февраль 2026</x:v>
      </x:c>
      <x:c r="E677" s="87"/>
      <x:c r="F677" s="87"/>
      <x:c r="G677" s="87" t="str">
        <x:v>Математика</x:v>
      </x:c>
      <x:c r="H677" s="87" t="n">
        <x:v>11</x:v>
      </x:c>
      <x:c r="I677" s="87" t="str">
        <x:v>ТР №3</x:v>
      </x:c>
      <x:c r="J677" s="87" t="str">
        <x:v>МА2510306</x:v>
      </x:c>
      <x:c r="K677" s="87" t="n">
        <x:v>21</x:v>
      </x:c>
      <x:c r="L677" s="87" t="str">
        <x:v>Целочисленная задача</x:v>
      </x:c>
      <x:c r="M677" s="30" t="str">
        <x:v>В доме 14 квартир. В каждой живёт от одного до трёх человек. В квартирах 1–9 живёт 12 человек, а в квартирах 6–14 — 22 человека. Найдите общее число жильцов.</x:v>
      </x:c>
      <x:c r="N677" s="30" t="str">
        <x:v>27</x:v>
      </x:c>
      <x:c r="O677" s="30" t="str">
        <x:v>В квартирах 1–9 сверх минимальных девяти жильцов есть три человека, поэтому в квартирах 6–9 живёт не более 7 человек. В квартирах 10–14 может жить не более 15 человек, поэтому из суммы 22 на квартиры 6–9 приходится не менее 7. Значит, в пересечении ровно 7 человек, а всего 12+22−7=27.</x:v>
      </x:c>
      <x:c r="P677" s="30" t="str">
        <x:v>Пересечение двух диапазонов квартир определено независимыми оценками сверху и снизу.</x:v>
      </x:c>
      <x:c r="Q677" s="30"/>
      <x:c r="R677" s="30" t="str">
        <x:v>27</x:v>
      </x:c>
      <x:c r="S677" s="30"/>
      <x:c r="T677" s="30"/>
      <x:c r="U677" s="30" t="str">
        <x:v>Расхождений нет.</x:v>
      </x:c>
      <x:c r="V677" s="87" t="str">
        <x:v>VERIFIED</x:v>
      </x:c>
      <x:c r="W677" s="87" t="n">
        <x:v>8</x:v>
      </x:c>
      <x:c r="X677" s="87"/>
      <x:c r="Y677" s="87"/>
      <x:c r="Z677" s="87"/>
      <x:c r="AA677" s="87"/>
      <x:c r="AB677" s="87"/>
      <x:c r="AC677" s="87"/>
      <x:c r="AD677" s="87"/>
      <x:c r="AE677" s="87"/>
      <x:c r="AF677" s="87"/>
      <x:c r="AG677" s="87"/>
      <x:c r="AH677" s="87"/>
      <x:c r="AI677" s="30"/>
      <x:c r="AJ677" s="87" t="str">
        <x:v>master</x:v>
      </x:c>
      <x:c r="AK677" s="87" t="str">
        <x:v>master-v0.81</x:v>
      </x:c>
      <x:c r="AL677" s="87" t="str">
        <x:v>statgrad_master_base_v0_81_final(2).xlsx</x:v>
      </x:c>
      <x:c r="AM677" s="87" t="str">
        <x:v>MATH_Feb_Base_V6</x:v>
      </x:c>
      <x:c r="AN677" s="87" t="n">
        <x:v>22</x:v>
      </x:c>
    </x:row>
    <x:row r="678">
      <x:c r="A678" s="87" t="n">
        <x:v>677</x:v>
      </x:c>
      <x:c r="B678" s="87" t="str">
        <x:v>FEB-MATH-B-V7-001</x:v>
      </x:c>
      <x:c r="C678" s="87" t="str">
        <x:v>СтатГрад</x:v>
      </x:c>
      <x:c r="D678" s="87" t="str">
        <x:v>Февраль 2026</x:v>
      </x:c>
      <x:c r="E678" s="87"/>
      <x:c r="F678" s="87"/>
      <x:c r="G678" s="87" t="str">
        <x:v>Математика</x:v>
      </x:c>
      <x:c r="H678" s="87" t="n">
        <x:v>11</x:v>
      </x:c>
      <x:c r="I678" s="87" t="str">
        <x:v>ТР №3</x:v>
      </x:c>
      <x:c r="J678" s="87" t="str">
        <x:v>МА2510307</x:v>
      </x:c>
      <x:c r="K678" s="87" t="n">
        <x:v>1</x:v>
      </x:c>
      <x:c r="L678" s="87" t="str">
        <x:v>Перевод единиц скорости</x:v>
      </x:c>
      <x:c r="M678" s="30" t="str">
        <x:v>Автомобиль движется со скоростью 104 км/ч. Одна миля равна 1,6 км. Какую скорость покажет спидометр в милях в час?</x:v>
      </x:c>
      <x:c r="N678" s="30" t="str">
        <x:v>65 миль/ч</x:v>
      </x:c>
      <x:c r="O678" s="30" t="str">
        <x:v>Для перевода километров в мили делим на 1,6: 104/1,6=65.</x:v>
      </x:c>
      <x:c r="P678" s="30" t="str">
        <x:v>Обратная проверка: 65·1,6=104 км/ч.</x:v>
      </x:c>
      <x:c r="Q678" s="30"/>
      <x:c r="R678" s="30" t="str">
        <x:v>65</x:v>
      </x:c>
      <x:c r="S678" s="30"/>
      <x:c r="T678" s="30"/>
      <x:c r="U678" s="30" t="str">
        <x:v>Расхождений нет.</x:v>
      </x:c>
      <x:c r="V678" s="87" t="str">
        <x:v>VERIFIED</x:v>
      </x:c>
      <x:c r="W678" s="87" t="n">
        <x:v>2</x:v>
      </x:c>
      <x:c r="X678" s="87"/>
      <x:c r="Y678" s="87"/>
      <x:c r="Z678" s="87"/>
      <x:c r="AA678" s="87"/>
      <x:c r="AB678" s="87"/>
      <x:c r="AC678" s="87"/>
      <x:c r="AD678" s="87"/>
      <x:c r="AE678" s="87"/>
      <x:c r="AF678" s="87"/>
      <x:c r="AG678" s="87"/>
      <x:c r="AH678" s="87"/>
      <x:c r="AI678" s="30"/>
      <x:c r="AJ678" s="87" t="str">
        <x:v>master</x:v>
      </x:c>
      <x:c r="AK678" s="87" t="str">
        <x:v>master-v0.81</x:v>
      </x:c>
      <x:c r="AL678" s="87" t="str">
        <x:v>statgrad_master_base_v0_81_final(2).xlsx</x:v>
      </x:c>
      <x:c r="AM678" s="87" t="str">
        <x:v>MATH_Feb_Base_V7</x:v>
      </x:c>
      <x:c r="AN678" s="87" t="n">
        <x:v>2</x:v>
      </x:c>
    </x:row>
    <x:row r="679">
      <x:c r="A679" s="87" t="n">
        <x:v>678</x:v>
      </x:c>
      <x:c r="B679" s="87" t="str">
        <x:v>FEB-MATH-B-V7-002</x:v>
      </x:c>
      <x:c r="C679" s="87" t="str">
        <x:v>СтатГрад</x:v>
      </x:c>
      <x:c r="D679" s="87" t="str">
        <x:v>Февраль 2026</x:v>
      </x:c>
      <x:c r="E679" s="87"/>
      <x:c r="F679" s="87"/>
      <x:c r="G679" s="87" t="str">
        <x:v>Математика</x:v>
      </x:c>
      <x:c r="H679" s="87" t="n">
        <x:v>11</x:v>
      </x:c>
      <x:c r="I679" s="87" t="str">
        <x:v>ТР №3</x:v>
      </x:c>
      <x:c r="J679" s="87" t="str">
        <x:v>МА2510307</x:v>
      </x:c>
      <x:c r="K679" s="87" t="n">
        <x:v>2</x:v>
      </x:c>
      <x:c r="L679" s="87" t="str">
        <x:v>Оценка объёмов</x:v>
      </x:c>
      <x:c r="M679" s="30" t="str">
        <x:v>Соотнесите объём ящика комода, воды в Каспийском море, пакета ряженки и железнодорожной цистерны со значениями 0,75 л, 78 000 км³, 96 л и 90 м³.</x:v>
      </x:c>
      <x:c r="N679" s="30" t="str">
        <x:v>3214</x:v>
      </x:c>
      <x:c r="O679" s="30" t="str">
        <x:v>Ящик комода имеет объём порядка 96 л (3); Каспийское море — десятки тысяч км³ (2); пакет ряженки — 0,75 л (1); железнодорожная цистерна — около 90 м³ (4).</x:v>
      </x:c>
      <x:c r="P679" s="30" t="str">
        <x:v>Каждая величина проверена по порядку и единицам измерения.</x:v>
      </x:c>
      <x:c r="Q679" s="30"/>
      <x:c r="R679" s="30" t="str">
        <x:v>3214</x:v>
      </x:c>
      <x:c r="S679" s="30"/>
      <x:c r="T679" s="30"/>
      <x:c r="U679" s="30" t="str">
        <x:v>Расхождений нет.</x:v>
      </x:c>
      <x:c r="V679" s="87" t="str">
        <x:v>VERIFIED</x:v>
      </x:c>
      <x:c r="W679" s="87" t="n">
        <x:v>2</x:v>
      </x:c>
      <x:c r="X679" s="87"/>
      <x:c r="Y679" s="87"/>
      <x:c r="Z679" s="87"/>
      <x:c r="AA679" s="87"/>
      <x:c r="AB679" s="87"/>
      <x:c r="AC679" s="87"/>
      <x:c r="AD679" s="87"/>
      <x:c r="AE679" s="87"/>
      <x:c r="AF679" s="87"/>
      <x:c r="AG679" s="87"/>
      <x:c r="AH679" s="87"/>
      <x:c r="AI679" s="30"/>
      <x:c r="AJ679" s="87" t="str">
        <x:v>master</x:v>
      </x:c>
      <x:c r="AK679" s="87" t="str">
        <x:v>master-v0.81</x:v>
      </x:c>
      <x:c r="AL679" s="87" t="str">
        <x:v>statgrad_master_base_v0_81_final(2).xlsx</x:v>
      </x:c>
      <x:c r="AM679" s="87" t="str">
        <x:v>MATH_Feb_Base_V7</x:v>
      </x:c>
      <x:c r="AN679" s="87" t="n">
        <x:v>3</x:v>
      </x:c>
    </x:row>
    <x:row r="680">
      <x:c r="A680" s="87" t="n">
        <x:v>679</x:v>
      </x:c>
      <x:c r="B680" s="87" t="str">
        <x:v>FEB-MATH-B-V7-003</x:v>
      </x:c>
      <x:c r="C680" s="87" t="str">
        <x:v>СтатГрад</x:v>
      </x:c>
      <x:c r="D680" s="87" t="str">
        <x:v>Февраль 2026</x:v>
      </x:c>
      <x:c r="E680" s="87"/>
      <x:c r="F680" s="87"/>
      <x:c r="G680" s="87" t="str">
        <x:v>Математика</x:v>
      </x:c>
      <x:c r="H680" s="87" t="n">
        <x:v>11</x:v>
      </x:c>
      <x:c r="I680" s="87" t="str">
        <x:v>ТР №3</x:v>
      </x:c>
      <x:c r="J680" s="87" t="str">
        <x:v>МА2510307</x:v>
      </x:c>
      <x:c r="K680" s="87" t="n">
        <x:v>3</x:v>
      </x:c>
      <x:c r="L680" s="87" t="str">
        <x:v>Чтение графика</x:v>
      </x:c>
      <x:c r="M680" s="30" t="str">
        <x:v>По графику зависимости атмосферного давления от высоты найдите давление на высоте 2 км.</x:v>
      </x:c>
      <x:c r="N680" s="30" t="str">
        <x:v>580 мм рт. ст.</x:v>
      </x:c>
      <x:c r="O680" s="30" t="str">
        <x:v>Вертикаль x=2 км пересекает кривую примерно на уровне 580 мм рт. ст.</x:v>
      </x:c>
      <x:c r="P680" s="30" t="str">
        <x:v>Значение считано по координатной сетке и затем сверено с ключом.</x:v>
      </x:c>
      <x:c r="Q680" s="30"/>
      <x:c r="R680" s="30" t="str">
        <x:v>580</x:v>
      </x:c>
      <x:c r="S680" s="30"/>
      <x:c r="T680" s="30"/>
      <x:c r="U680" s="30" t="str">
        <x:v>Расхождений нет.</x:v>
      </x:c>
      <x:c r="V680" s="87" t="str">
        <x:v>VERIFIED</x:v>
      </x:c>
      <x:c r="W680" s="87" t="n">
        <x:v>3</x:v>
      </x:c>
      <x:c r="X680" s="87"/>
      <x:c r="Y680" s="87"/>
      <x:c r="Z680" s="87"/>
      <x:c r="AA680" s="87"/>
      <x:c r="AB680" s="87"/>
      <x:c r="AC680" s="87"/>
      <x:c r="AD680" s="87"/>
      <x:c r="AE680" s="87"/>
      <x:c r="AF680" s="87"/>
      <x:c r="AG680" s="87"/>
      <x:c r="AH680" s="87"/>
      <x:c r="AI680" s="30"/>
      <x:c r="AJ680" s="87" t="str">
        <x:v>master</x:v>
      </x:c>
      <x:c r="AK680" s="87" t="str">
        <x:v>master-v0.81</x:v>
      </x:c>
      <x:c r="AL680" s="87" t="str">
        <x:v>statgrad_master_base_v0_81_final(2).xlsx</x:v>
      </x:c>
      <x:c r="AM680" s="87" t="str">
        <x:v>MATH_Feb_Base_V7</x:v>
      </x:c>
      <x:c r="AN680" s="87" t="n">
        <x:v>4</x:v>
      </x:c>
    </x:row>
    <x:row r="681">
      <x:c r="A681" s="87" t="n">
        <x:v>680</x:v>
      </x:c>
      <x:c r="B681" s="87" t="str">
        <x:v>FEB-MATH-B-V7-004</x:v>
      </x:c>
      <x:c r="C681" s="87" t="str">
        <x:v>СтатГрад</x:v>
      </x:c>
      <x:c r="D681" s="87" t="str">
        <x:v>Февраль 2026</x:v>
      </x:c>
      <x:c r="E681" s="87"/>
      <x:c r="F681" s="87"/>
      <x:c r="G681" s="87" t="str">
        <x:v>Математика</x:v>
      </x:c>
      <x:c r="H681" s="87" t="n">
        <x:v>11</x:v>
      </x:c>
      <x:c r="I681" s="87" t="str">
        <x:v>ТР №3</x:v>
      </x:c>
      <x:c r="J681" s="87" t="str">
        <x:v>МА2510307</x:v>
      </x:c>
      <x:c r="K681" s="87" t="n">
        <x:v>4</x:v>
      </x:c>
      <x:c r="L681" s="87" t="str">
        <x:v>Подстановка в формулу</x:v>
      </x:c>
      <x:c r="M681" s="30" t="str">
        <x:v>Стоимость колодца определяется формулой C=6000+4100n. Найдите стоимость колодца из шести железобетонных колец.</x:v>
      </x:c>
      <x:c r="N681" s="30" t="str">
        <x:v>30600 руб.</x:v>
      </x:c>
      <x:c r="O681" s="30" t="str">
        <x:v>C=6000+4100·6=6000+24600=30600 руб.</x:v>
      </x:c>
      <x:c r="P681" s="30" t="str">
        <x:v>Подстановка и сложение выполнены повторно.</x:v>
      </x:c>
      <x:c r="Q681" s="30"/>
      <x:c r="R681" s="30" t="str">
        <x:v>30600</x:v>
      </x:c>
      <x:c r="S681" s="30"/>
      <x:c r="T681" s="30"/>
      <x:c r="U681" s="30" t="str">
        <x:v>Расхождений нет.</x:v>
      </x:c>
      <x:c r="V681" s="87" t="str">
        <x:v>VERIFIED</x:v>
      </x:c>
      <x:c r="W681" s="87" t="n">
        <x:v>3</x:v>
      </x:c>
      <x:c r="X681" s="87"/>
      <x:c r="Y681" s="87"/>
      <x:c r="Z681" s="87"/>
      <x:c r="AA681" s="87"/>
      <x:c r="AB681" s="87"/>
      <x:c r="AC681" s="87"/>
      <x:c r="AD681" s="87"/>
      <x:c r="AE681" s="87"/>
      <x:c r="AF681" s="87"/>
      <x:c r="AG681" s="87"/>
      <x:c r="AH681" s="87"/>
      <x:c r="AI681" s="30"/>
      <x:c r="AJ681" s="87" t="str">
        <x:v>master</x:v>
      </x:c>
      <x:c r="AK681" s="87" t="str">
        <x:v>master-v0.81</x:v>
      </x:c>
      <x:c r="AL681" s="87" t="str">
        <x:v>statgrad_master_base_v0_81_final(2).xlsx</x:v>
      </x:c>
      <x:c r="AM681" s="87" t="str">
        <x:v>MATH_Feb_Base_V7</x:v>
      </x:c>
      <x:c r="AN681" s="87" t="n">
        <x:v>5</x:v>
      </x:c>
    </x:row>
    <x:row r="682">
      <x:c r="A682" s="87" t="n">
        <x:v>681</x:v>
      </x:c>
      <x:c r="B682" s="87" t="str">
        <x:v>FEB-MATH-B-V7-005</x:v>
      </x:c>
      <x:c r="C682" s="87" t="str">
        <x:v>СтатГрад</x:v>
      </x:c>
      <x:c r="D682" s="87" t="str">
        <x:v>Февраль 2026</x:v>
      </x:c>
      <x:c r="E682" s="87"/>
      <x:c r="F682" s="87"/>
      <x:c r="G682" s="87" t="str">
        <x:v>Математика</x:v>
      </x:c>
      <x:c r="H682" s="87" t="n">
        <x:v>11</x:v>
      </x:c>
      <x:c r="I682" s="87" t="str">
        <x:v>ТР №3</x:v>
      </x:c>
      <x:c r="J682" s="87" t="str">
        <x:v>МА2510307</x:v>
      </x:c>
      <x:c r="K682" s="87" t="n">
        <x:v>5</x:v>
      </x:c>
      <x:c r="L682" s="87" t="str">
        <x:v>Теория вероятностей</x:v>
      </x:c>
      <x:c r="M682" s="30" t="str">
        <x:v>Из группы из десяти туристов жребием выбирают четырёх. Найдите вероятность, что выбран конкретный турист Д.</x:v>
      </x:c>
      <x:c r="N682" s="30" t="str">
        <x:v>0,4</x:v>
      </x:c>
      <x:c r="O682" s="30" t="str">
        <x:v>Из десяти участников выбирают четырёх, поэтому вероятность попадания конкретного туриста в выбранную четвёрку равна 4/10=0,4.</x:v>
      </x:c>
      <x:c r="P682" s="30" t="str">
        <x:v>Из C(10,4)=210 наборов C(9,3)=84 содержат туриста Д; 84/210=0,4.</x:v>
      </x:c>
      <x:c r="Q682" s="30"/>
      <x:c r="R682" s="30" t="str">
        <x:v>0,4</x:v>
      </x:c>
      <x:c r="S682" s="30"/>
      <x:c r="T682" s="30"/>
      <x:c r="U682" s="30" t="str">
        <x:v>Расхождений нет.</x:v>
      </x:c>
      <x:c r="V682" s="87" t="str">
        <x:v>VERIFIED</x:v>
      </x:c>
      <x:c r="W682" s="87" t="n">
        <x:v>4</x:v>
      </x:c>
      <x:c r="X682" s="87"/>
      <x:c r="Y682" s="87"/>
      <x:c r="Z682" s="87"/>
      <x:c r="AA682" s="87"/>
      <x:c r="AB682" s="87"/>
      <x:c r="AC682" s="87"/>
      <x:c r="AD682" s="87"/>
      <x:c r="AE682" s="87"/>
      <x:c r="AF682" s="87"/>
      <x:c r="AG682" s="87"/>
      <x:c r="AH682" s="87"/>
      <x:c r="AI682" s="30"/>
      <x:c r="AJ682" s="87" t="str">
        <x:v>master</x:v>
      </x:c>
      <x:c r="AK682" s="87" t="str">
        <x:v>master-v0.81</x:v>
      </x:c>
      <x:c r="AL682" s="87" t="str">
        <x:v>statgrad_master_base_v0_81_final(2).xlsx</x:v>
      </x:c>
      <x:c r="AM682" s="87" t="str">
        <x:v>MATH_Feb_Base_V7</x:v>
      </x:c>
      <x:c r="AN682" s="87" t="n">
        <x:v>6</x:v>
      </x:c>
    </x:row>
    <x:row r="683">
      <x:c r="A683" s="87" t="n">
        <x:v>682</x:v>
      </x:c>
      <x:c r="B683" s="87" t="str">
        <x:v>FEB-MATH-B-V7-006</x:v>
      </x:c>
      <x:c r="C683" s="87" t="str">
        <x:v>СтатГрад</x:v>
      </x:c>
      <x:c r="D683" s="87" t="str">
        <x:v>Февраль 2026</x:v>
      </x:c>
      <x:c r="E683" s="87"/>
      <x:c r="F683" s="87"/>
      <x:c r="G683" s="87" t="str">
        <x:v>Математика</x:v>
      </x:c>
      <x:c r="H683" s="87" t="n">
        <x:v>11</x:v>
      </x:c>
      <x:c r="I683" s="87" t="str">
        <x:v>ТР №3</x:v>
      </x:c>
      <x:c r="J683" s="87" t="str">
        <x:v>МА2510307</x:v>
      </x:c>
      <x:c r="K683" s="87" t="n">
        <x:v>6</x:v>
      </x:c>
      <x:c r="L683" s="87" t="str">
        <x:v>Анализ таблицы</x:v>
      </x:c>
      <x:c r="M683" s="30" t="str">
        <x:v>Ручная кладь должна иметь размеры не более 55×40×20 см и массу не более 10 кг. Выберите подходящие сумки.</x:v>
      </x:c>
      <x:c r="N683" s="30" t="str">
        <x:v>35</x:v>
      </x:c>
      <x:c r="O683" s="30" t="str">
        <x:v>Сумка 3: 54×37×16 см, 5,7 кг; сумка 5: 52×35×15 см, 4,9 кг. У остальных превышено хотя бы одно ограничение.</x:v>
      </x:c>
      <x:c r="P683" s="30" t="str">
        <x:v>Все шесть строк проверены по четырём ограничениям.</x:v>
      </x:c>
      <x:c r="Q683" s="30"/>
      <x:c r="R683" s="30" t="str">
        <x:v>35</x:v>
      </x:c>
      <x:c r="S683" s="30"/>
      <x:c r="T683" s="30"/>
      <x:c r="U683" s="30" t="str">
        <x:v>Расхождений нет.</x:v>
      </x:c>
      <x:c r="V683" s="87" t="str">
        <x:v>VERIFIED</x:v>
      </x:c>
      <x:c r="W683" s="87" t="n">
        <x:v>4</x:v>
      </x:c>
      <x:c r="X683" s="87"/>
      <x:c r="Y683" s="87"/>
      <x:c r="Z683" s="87"/>
      <x:c r="AA683" s="87"/>
      <x:c r="AB683" s="87"/>
      <x:c r="AC683" s="87"/>
      <x:c r="AD683" s="87"/>
      <x:c r="AE683" s="87"/>
      <x:c r="AF683" s="87"/>
      <x:c r="AG683" s="87"/>
      <x:c r="AH683" s="87"/>
      <x:c r="AI683" s="30"/>
      <x:c r="AJ683" s="87" t="str">
        <x:v>master</x:v>
      </x:c>
      <x:c r="AK683" s="87" t="str">
        <x:v>master-v0.81</x:v>
      </x:c>
      <x:c r="AL683" s="87" t="str">
        <x:v>statgrad_master_base_v0_81_final(2).xlsx</x:v>
      </x:c>
      <x:c r="AM683" s="87" t="str">
        <x:v>MATH_Feb_Base_V7</x:v>
      </x:c>
      <x:c r="AN683" s="87" t="n">
        <x:v>7</x:v>
      </x:c>
    </x:row>
    <x:row r="684">
      <x:c r="A684" s="87" t="n">
        <x:v>683</x:v>
      </x:c>
      <x:c r="B684" s="87" t="str">
        <x:v>FEB-MATH-B-V7-007</x:v>
      </x:c>
      <x:c r="C684" s="87" t="str">
        <x:v>СтатГрад</x:v>
      </x:c>
      <x:c r="D684" s="87" t="str">
        <x:v>Февраль 2026</x:v>
      </x:c>
      <x:c r="E684" s="87"/>
      <x:c r="F684" s="87"/>
      <x:c r="G684" s="87" t="str">
        <x:v>Математика</x:v>
      </x:c>
      <x:c r="H684" s="87" t="n">
        <x:v>11</x:v>
      </x:c>
      <x:c r="I684" s="87" t="str">
        <x:v>ТР №3</x:v>
      </x:c>
      <x:c r="J684" s="87" t="str">
        <x:v>МА2510307</x:v>
      </x:c>
      <x:c r="K684" s="87" t="n">
        <x:v>7</x:v>
      </x:c>
      <x:c r="L684" s="87" t="str">
        <x:v>Свойства функции по графику</x:v>
      </x:c>
      <x:c r="M684" s="30" t="str">
        <x:v>Соотнесите интервалы (a;b), (b;c), (c;d), (d;e) с характеристиками: убывание, возрастание, отрицательность и положительность.</x:v>
      </x:c>
      <x:c r="N684" s="30" t="str">
        <x:v>3241</x:v>
      </x:c>
      <x:c r="O684" s="30" t="str">
        <x:v>На (a;b) функция отрицательна — 3; на (b;c) возрастает — 2; на (c;d) положительна — 4; на (d;e) убывает — 1.</x:v>
      </x:c>
      <x:c r="P684" s="30" t="str">
        <x:v>Знак функции и направление изменения считаны непосредственно по графику.</x:v>
      </x:c>
      <x:c r="Q684" s="30"/>
      <x:c r="R684" s="30" t="str">
        <x:v>3241</x:v>
      </x:c>
      <x:c r="S684" s="30"/>
      <x:c r="T684" s="30"/>
      <x:c r="U684" s="30" t="str">
        <x:v>Расхождений нет.</x:v>
      </x:c>
      <x:c r="V684" s="87" t="str">
        <x:v>VERIFIED</x:v>
      </x:c>
      <x:c r="W684" s="87" t="n">
        <x:v>5</x:v>
      </x:c>
      <x:c r="X684" s="87"/>
      <x:c r="Y684" s="87"/>
      <x:c r="Z684" s="87"/>
      <x:c r="AA684" s="87"/>
      <x:c r="AB684" s="87"/>
      <x:c r="AC684" s="87"/>
      <x:c r="AD684" s="87"/>
      <x:c r="AE684" s="87"/>
      <x:c r="AF684" s="87"/>
      <x:c r="AG684" s="87"/>
      <x:c r="AH684" s="87"/>
      <x:c r="AI684" s="30"/>
      <x:c r="AJ684" s="87" t="str">
        <x:v>master</x:v>
      </x:c>
      <x:c r="AK684" s="87" t="str">
        <x:v>master-v0.81</x:v>
      </x:c>
      <x:c r="AL684" s="87" t="str">
        <x:v>statgrad_master_base_v0_81_final(2).xlsx</x:v>
      </x:c>
      <x:c r="AM684" s="87" t="str">
        <x:v>MATH_Feb_Base_V7</x:v>
      </x:c>
      <x:c r="AN684" s="87" t="n">
        <x:v>8</x:v>
      </x:c>
    </x:row>
    <x:row r="685">
      <x:c r="A685" s="87" t="n">
        <x:v>684</x:v>
      </x:c>
      <x:c r="B685" s="87" t="str">
        <x:v>FEB-MATH-B-V7-008</x:v>
      </x:c>
      <x:c r="C685" s="87" t="str">
        <x:v>СтатГрад</x:v>
      </x:c>
      <x:c r="D685" s="87" t="str">
        <x:v>Февраль 2026</x:v>
      </x:c>
      <x:c r="E685" s="87"/>
      <x:c r="F685" s="87"/>
      <x:c r="G685" s="87" t="str">
        <x:v>Математика</x:v>
      </x:c>
      <x:c r="H685" s="87" t="n">
        <x:v>11</x:v>
      </x:c>
      <x:c r="I685" s="87" t="str">
        <x:v>ТР №3</x:v>
      </x:c>
      <x:c r="J685" s="87" t="str">
        <x:v>МА2510307</x:v>
      </x:c>
      <x:c r="K685" s="87" t="n">
        <x:v>8</x:v>
      </x:c>
      <x:c r="L685" s="87" t="str">
        <x:v>Логические следствия из минимума и максимума</x:v>
      </x:c>
      <x:c r="M685" s="30" t="str">
        <x:v>Двадцать выпускников получили баллы от 36 до 75 включительно. Выберите утверждения, верные при любых условиях.</x:v>
      </x:c>
      <x:c r="N685" s="30" t="str">
        <x:v>14</x:v>
      </x:c>
      <x:c r="O685" s="30" t="str">
        <x:v>Поскольку максимальный балл равен 75, среди выпускников обязательно есть получивший 75 баллов — утверждение 1. Минимальный балл равен 36, поэтому у любого выпускника не меньше 35 баллов — утверждение 4.</x:v>
      </x:c>
      <x:c r="P685" s="30" t="str">
        <x:v>Равенство всех двадцати результатов не следует из условия, а результат 20 невозможен.</x:v>
      </x:c>
      <x:c r="Q685" s="30"/>
      <x:c r="R685" s="30" t="str">
        <x:v>14</x:v>
      </x:c>
      <x:c r="S685" s="30"/>
      <x:c r="T685" s="30"/>
      <x:c r="U685" s="30" t="str">
        <x:v>Расхождений нет.</x:v>
      </x:c>
      <x:c r="V685" s="87" t="str">
        <x:v>VERIFIED</x:v>
      </x:c>
      <x:c r="W685" s="87" t="n">
        <x:v>6</x:v>
      </x:c>
      <x:c r="X685" s="87"/>
      <x:c r="Y685" s="87"/>
      <x:c r="Z685" s="87"/>
      <x:c r="AA685" s="87"/>
      <x:c r="AB685" s="87"/>
      <x:c r="AC685" s="87"/>
      <x:c r="AD685" s="87"/>
      <x:c r="AE685" s="87"/>
      <x:c r="AF685" s="87"/>
      <x:c r="AG685" s="87"/>
      <x:c r="AH685" s="87"/>
      <x:c r="AI685" s="30"/>
      <x:c r="AJ685" s="87" t="str">
        <x:v>master</x:v>
      </x:c>
      <x:c r="AK685" s="87" t="str">
        <x:v>master-v0.81</x:v>
      </x:c>
      <x:c r="AL685" s="87" t="str">
        <x:v>statgrad_master_base_v0_81_final(2).xlsx</x:v>
      </x:c>
      <x:c r="AM685" s="87" t="str">
        <x:v>MATH_Feb_Base_V7</x:v>
      </x:c>
      <x:c r="AN685" s="87" t="n">
        <x:v>9</x:v>
      </x:c>
    </x:row>
    <x:row r="686">
      <x:c r="A686" s="87" t="n">
        <x:v>685</x:v>
      </x:c>
      <x:c r="B686" s="87" t="str">
        <x:v>FEB-MATH-B-V7-009</x:v>
      </x:c>
      <x:c r="C686" s="87" t="str">
        <x:v>СтатГрад</x:v>
      </x:c>
      <x:c r="D686" s="87" t="str">
        <x:v>Февраль 2026</x:v>
      </x:c>
      <x:c r="E686" s="87"/>
      <x:c r="F686" s="87"/>
      <x:c r="G686" s="87" t="str">
        <x:v>Математика</x:v>
      </x:c>
      <x:c r="H686" s="87" t="n">
        <x:v>11</x:v>
      </x:c>
      <x:c r="I686" s="87" t="str">
        <x:v>ТР №3</x:v>
      </x:c>
      <x:c r="J686" s="87" t="str">
        <x:v>МА2510307</x:v>
      </x:c>
      <x:c r="K686" s="87" t="n">
        <x:v>9</x:v>
      </x:c>
      <x:c r="L686" s="87" t="str">
        <x:v>Площадь фигуры на клетчатой бумаге</x:v>
      </x:c>
      <x:c r="M686" s="30" t="str">
        <x:v>Найдите площадь треугольного участка на сетке 1×1 м.</x:v>
      </x:c>
      <x:c r="N686" s="30" t="str">
        <x:v>13,5 м²</x:v>
      </x:c>
      <x:c r="O686" s="30" t="str">
        <x:v>Вертикальное основание треугольника равно 9 клеткам, а расстояние от противоположной вершины до прямой основания — 3 клетки. S=(1/2)·9·3=13,5 м².</x:v>
      </x:c>
      <x:c r="P686" s="30" t="str">
        <x:v>Основание и соответствующая высота считаны по клеткам.</x:v>
      </x:c>
      <x:c r="Q686" s="30"/>
      <x:c r="R686" s="30" t="str">
        <x:v>13,5</x:v>
      </x:c>
      <x:c r="S686" s="30"/>
      <x:c r="T686" s="30"/>
      <x:c r="U686" s="30" t="str">
        <x:v>Расхождений нет.</x:v>
      </x:c>
      <x:c r="V686" s="87" t="str">
        <x:v>VERIFIED</x:v>
      </x:c>
      <x:c r="W686" s="87" t="n">
        <x:v>6</x:v>
      </x:c>
      <x:c r="X686" s="87"/>
      <x:c r="Y686" s="87"/>
      <x:c r="Z686" s="87"/>
      <x:c r="AA686" s="87"/>
      <x:c r="AB686" s="87"/>
      <x:c r="AC686" s="87"/>
      <x:c r="AD686" s="87"/>
      <x:c r="AE686" s="87"/>
      <x:c r="AF686" s="87"/>
      <x:c r="AG686" s="87"/>
      <x:c r="AH686" s="87"/>
      <x:c r="AI686" s="30"/>
      <x:c r="AJ686" s="87" t="str">
        <x:v>master</x:v>
      </x:c>
      <x:c r="AK686" s="87" t="str">
        <x:v>master-v0.81</x:v>
      </x:c>
      <x:c r="AL686" s="87" t="str">
        <x:v>statgrad_master_base_v0_81_final(2).xlsx</x:v>
      </x:c>
      <x:c r="AM686" s="87" t="str">
        <x:v>MATH_Feb_Base_V7</x:v>
      </x:c>
      <x:c r="AN686" s="87" t="n">
        <x:v>10</x:v>
      </x:c>
    </x:row>
    <x:row r="687">
      <x:c r="A687" s="87" t="n">
        <x:v>686</x:v>
      </x:c>
      <x:c r="B687" s="87" t="str">
        <x:v>FEB-MATH-B-V7-010</x:v>
      </x:c>
      <x:c r="C687" s="87" t="str">
        <x:v>СтатГрад</x:v>
      </x:c>
      <x:c r="D687" s="87" t="str">
        <x:v>Февраль 2026</x:v>
      </x:c>
      <x:c r="E687" s="87"/>
      <x:c r="F687" s="87"/>
      <x:c r="G687" s="87" t="str">
        <x:v>Математика</x:v>
      </x:c>
      <x:c r="H687" s="87" t="n">
        <x:v>11</x:v>
      </x:c>
      <x:c r="I687" s="87" t="str">
        <x:v>ТР №3</x:v>
      </x:c>
      <x:c r="J687" s="87" t="str">
        <x:v>МА2510307</x:v>
      </x:c>
      <x:c r="K687" s="87" t="n">
        <x:v>10</x:v>
      </x:c>
      <x:c r="L687" s="87" t="str">
        <x:v>Площадь по плану квартиры</x:v>
      </x:c>
      <x:c r="M687" s="30" t="str">
        <x:v>Первая комната имеет размеры 3,5×4 м, вторая — 3,5×4,5 м, санузел — 1,5×1,5 м, длина коридора — 10 м. Найдите площадь кухни.</x:v>
      </x:c>
      <x:c r="N687" s="30" t="str">
        <x:v>10,5 м²</x:v>
      </x:c>
      <x:c r="O687" s="30" t="str">
        <x:v>Общая ширина квартиры равна 1,5+10=11,5 м. На две комнаты приходится 4+4,5=8,5 м, поэтому ширина кухни равна 3 м. При высоте 3,5 м её площадь составляет 3·3,5=10,5 м².</x:v>
      </x:c>
      <x:c r="P687" s="30" t="str">
        <x:v>Размеры восстановлены по общим горизонтальным границам плана.</x:v>
      </x:c>
      <x:c r="Q687" s="30"/>
      <x:c r="R687" s="30" t="str">
        <x:v>10,5</x:v>
      </x:c>
      <x:c r="S687" s="30"/>
      <x:c r="T687" s="30"/>
      <x:c r="U687" s="30" t="str">
        <x:v>Расхождений нет.</x:v>
      </x:c>
      <x:c r="V687" s="87" t="str">
        <x:v>VERIFIED</x:v>
      </x:c>
      <x:c r="W687" s="87" t="n">
        <x:v>7</x:v>
      </x:c>
      <x:c r="X687" s="87"/>
      <x:c r="Y687" s="87"/>
      <x:c r="Z687" s="87"/>
      <x:c r="AA687" s="87"/>
      <x:c r="AB687" s="87"/>
      <x:c r="AC687" s="87"/>
      <x:c r="AD687" s="87"/>
      <x:c r="AE687" s="87"/>
      <x:c r="AF687" s="87"/>
      <x:c r="AG687" s="87"/>
      <x:c r="AH687" s="87"/>
      <x:c r="AI687" s="30"/>
      <x:c r="AJ687" s="87" t="str">
        <x:v>master</x:v>
      </x:c>
      <x:c r="AK687" s="87" t="str">
        <x:v>master-v0.81</x:v>
      </x:c>
      <x:c r="AL687" s="87" t="str">
        <x:v>statgrad_master_base_v0_81_final(2).xlsx</x:v>
      </x:c>
      <x:c r="AM687" s="87" t="str">
        <x:v>MATH_Feb_Base_V7</x:v>
      </x:c>
      <x:c r="AN687" s="87" t="n">
        <x:v>11</x:v>
      </x:c>
    </x:row>
    <x:row r="688">
      <x:c r="A688" s="87" t="n">
        <x:v>687</x:v>
      </x:c>
      <x:c r="B688" s="87" t="str">
        <x:v>FEB-MATH-B-V7-011</x:v>
      </x:c>
      <x:c r="C688" s="87" t="str">
        <x:v>СтатГрад</x:v>
      </x:c>
      <x:c r="D688" s="87" t="str">
        <x:v>Февраль 2026</x:v>
      </x:c>
      <x:c r="E688" s="87"/>
      <x:c r="F688" s="87"/>
      <x:c r="G688" s="87" t="str">
        <x:v>Математика</x:v>
      </x:c>
      <x:c r="H688" s="87" t="n">
        <x:v>11</x:v>
      </x:c>
      <x:c r="I688" s="87" t="str">
        <x:v>ТР №3</x:v>
      </x:c>
      <x:c r="J688" s="87" t="str">
        <x:v>МА2510307</x:v>
      </x:c>
      <x:c r="K688" s="87" t="n">
        <x:v>11</x:v>
      </x:c>
      <x:c r="L688" s="87" t="str">
        <x:v>Объём вытесненной воды</x:v>
      </x:c>
      <x:c r="M688" s="30" t="str">
        <x:v>В цилиндрический бак налито 10 л воды. После погружения детали уровень воды увеличился в 1,4 раза. Найдите объём детали.</x:v>
      </x:c>
      <x:c r="N688" s="30" t="str">
        <x:v>4000 см³</x:v>
      </x:c>
      <x:c r="O688" s="30" t="str">
        <x:v>При неизменной площади основания объём под уровнем воды вырос с 10 до 14 л. Деталь вытеснила 14−10=4 л=4000 см³.</x:v>
      </x:c>
      <x:c r="P688" s="30" t="str">
        <x:v>Использованы 1 л=1000 см³ и принцип вытеснения.</x:v>
      </x:c>
      <x:c r="Q688" s="30"/>
      <x:c r="R688" s="30" t="str">
        <x:v>4000</x:v>
      </x:c>
      <x:c r="S688" s="30"/>
      <x:c r="T688" s="30"/>
      <x:c r="U688" s="30" t="str">
        <x:v>Расхождений нет.</x:v>
      </x:c>
      <x:c r="V688" s="87" t="str">
        <x:v>VERIFIED</x:v>
      </x:c>
      <x:c r="W688" s="87" t="n">
        <x:v>7</x:v>
      </x:c>
      <x:c r="X688" s="87"/>
      <x:c r="Y688" s="87"/>
      <x:c r="Z688" s="87"/>
      <x:c r="AA688" s="87"/>
      <x:c r="AB688" s="87"/>
      <x:c r="AC688" s="87"/>
      <x:c r="AD688" s="87"/>
      <x:c r="AE688" s="87"/>
      <x:c r="AF688" s="87"/>
      <x:c r="AG688" s="87"/>
      <x:c r="AH688" s="87"/>
      <x:c r="AI688" s="30"/>
      <x:c r="AJ688" s="87" t="str">
        <x:v>master</x:v>
      </x:c>
      <x:c r="AK688" s="87" t="str">
        <x:v>master-v0.81</x:v>
      </x:c>
      <x:c r="AL688" s="87" t="str">
        <x:v>statgrad_master_base_v0_81_final(2).xlsx</x:v>
      </x:c>
      <x:c r="AM688" s="87" t="str">
        <x:v>MATH_Feb_Base_V7</x:v>
      </x:c>
      <x:c r="AN688" s="87" t="n">
        <x:v>12</x:v>
      </x:c>
    </x:row>
    <x:row r="689">
      <x:c r="A689" s="87" t="n">
        <x:v>688</x:v>
      </x:c>
      <x:c r="B689" s="87" t="str">
        <x:v>FEB-MATH-B-V7-012</x:v>
      </x:c>
      <x:c r="C689" s="87" t="str">
        <x:v>СтатГрад</x:v>
      </x:c>
      <x:c r="D689" s="87" t="str">
        <x:v>Февраль 2026</x:v>
      </x:c>
      <x:c r="E689" s="87"/>
      <x:c r="F689" s="87"/>
      <x:c r="G689" s="87" t="str">
        <x:v>Математика</x:v>
      </x:c>
      <x:c r="H689" s="87" t="n">
        <x:v>11</x:v>
      </x:c>
      <x:c r="I689" s="87" t="str">
        <x:v>ТР №3</x:v>
      </x:c>
      <x:c r="J689" s="87" t="str">
        <x:v>МА2510307</x:v>
      </x:c>
      <x:c r="K689" s="87" t="n">
        <x:v>12</x:v>
      </x:c>
      <x:c r="L689" s="87" t="str">
        <x:v>Окружность и вписанные углы</x:v>
      </x:c>
      <x:c r="M689" s="30" t="str">
        <x:v>AB — диаметр окружности, точки D и C лежат по разные стороны от него. Известно, что ∠DBA=39°. Найдите ∠DCB.</x:v>
      </x:c>
      <x:c r="N689" s="30" t="str">
        <x:v>51°</x:v>
      </x:c>
      <x:c r="O689" s="30" t="str">
        <x:v>В треугольнике ADB угол ADB равен 90°, поскольку AB — диаметр. Поэтому ∠DAB=180°−90°−39°=51°. Углы DAB и DCB опираются на одну хорду DB, значит равны.</x:v>
      </x:c>
      <x:c r="P689" s="30" t="str">
        <x:v>Применены теорема Фалеса и свойство вписанных углов, опирающихся на одну хорду.</x:v>
      </x:c>
      <x:c r="Q689" s="30"/>
      <x:c r="R689" s="30" t="str">
        <x:v>51</x:v>
      </x:c>
      <x:c r="S689" s="30"/>
      <x:c r="T689" s="30"/>
      <x:c r="U689" s="30" t="str">
        <x:v>Расхождений нет.</x:v>
      </x:c>
      <x:c r="V689" s="87" t="str">
        <x:v>VERIFIED</x:v>
      </x:c>
      <x:c r="W689" s="87" t="n">
        <x:v>7</x:v>
      </x:c>
      <x:c r="X689" s="87"/>
      <x:c r="Y689" s="87"/>
      <x:c r="Z689" s="87"/>
      <x:c r="AA689" s="87"/>
      <x:c r="AB689" s="87"/>
      <x:c r="AC689" s="87"/>
      <x:c r="AD689" s="87"/>
      <x:c r="AE689" s="87"/>
      <x:c r="AF689" s="87"/>
      <x:c r="AG689" s="87"/>
      <x:c r="AH689" s="87"/>
      <x:c r="AI689" s="30"/>
      <x:c r="AJ689" s="87" t="str">
        <x:v>master</x:v>
      </x:c>
      <x:c r="AK689" s="87" t="str">
        <x:v>master-v0.81</x:v>
      </x:c>
      <x:c r="AL689" s="87" t="str">
        <x:v>statgrad_master_base_v0_81_final(2).xlsx</x:v>
      </x:c>
      <x:c r="AM689" s="87" t="str">
        <x:v>MATH_Feb_Base_V7</x:v>
      </x:c>
      <x:c r="AN689" s="87" t="n">
        <x:v>13</x:v>
      </x:c>
    </x:row>
    <x:row r="690">
      <x:c r="A690" s="87" t="n">
        <x:v>689</x:v>
      </x:c>
      <x:c r="B690" s="87" t="str">
        <x:v>FEB-MATH-B-V7-013</x:v>
      </x:c>
      <x:c r="C690" s="87" t="str">
        <x:v>СтатГрад</x:v>
      </x:c>
      <x:c r="D690" s="87" t="str">
        <x:v>Февраль 2026</x:v>
      </x:c>
      <x:c r="E690" s="87"/>
      <x:c r="F690" s="87"/>
      <x:c r="G690" s="87" t="str">
        <x:v>Математика</x:v>
      </x:c>
      <x:c r="H690" s="87" t="n">
        <x:v>11</x:v>
      </x:c>
      <x:c r="I690" s="87" t="str">
        <x:v>ТР №3</x:v>
      </x:c>
      <x:c r="J690" s="87" t="str">
        <x:v>МА2510307</x:v>
      </x:c>
      <x:c r="K690" s="87" t="n">
        <x:v>13</x:v>
      </x:c>
      <x:c r="L690" s="87" t="str">
        <x:v>Боковая поверхность пирамиды</x:v>
      </x:c>
      <x:c r="M690" s="30" t="str">
        <x:v>Основание правильной треугольной пирамиды имеет сторону 24, боковые рёбра равны 20. Найдите площадь боковой поверхности.</x:v>
      </x:c>
      <x:c r="N690" s="30" t="str">
        <x:v>576</x:v>
      </x:c>
      <x:c r="O690" s="30" t="str">
        <x:v>Каждая боковая грань — равнобедренный треугольник 20–20–24. Его высота √(20²−12²)=16, площадь одной грани (1/2)·24·16=192. Три грани дают 576.</x:v>
      </x:c>
      <x:c r="P690" s="30" t="str">
        <x:v>Высота грани и сумма площадей трёх одинаковых треугольников пересчитаны отдельно.</x:v>
      </x:c>
      <x:c r="Q690" s="30"/>
      <x:c r="R690" s="30" t="str">
        <x:v>576</x:v>
      </x:c>
      <x:c r="S690" s="30"/>
      <x:c r="T690" s="30"/>
      <x:c r="U690" s="30" t="str">
        <x:v>Расхождений нет.</x:v>
      </x:c>
      <x:c r="V690" s="87" t="str">
        <x:v>VERIFIED</x:v>
      </x:c>
      <x:c r="W690" s="87" t="n">
        <x:v>7</x:v>
      </x:c>
      <x:c r="X690" s="87"/>
      <x:c r="Y690" s="87"/>
      <x:c r="Z690" s="87"/>
      <x:c r="AA690" s="87"/>
      <x:c r="AB690" s="87"/>
      <x:c r="AC690" s="87"/>
      <x:c r="AD690" s="87"/>
      <x:c r="AE690" s="87"/>
      <x:c r="AF690" s="87"/>
      <x:c r="AG690" s="87"/>
      <x:c r="AH690" s="87"/>
      <x:c r="AI690" s="30"/>
      <x:c r="AJ690" s="87" t="str">
        <x:v>master</x:v>
      </x:c>
      <x:c r="AK690" s="87" t="str">
        <x:v>master-v0.81</x:v>
      </x:c>
      <x:c r="AL690" s="87" t="str">
        <x:v>statgrad_master_base_v0_81_final(2).xlsx</x:v>
      </x:c>
      <x:c r="AM690" s="87" t="str">
        <x:v>MATH_Feb_Base_V7</x:v>
      </x:c>
      <x:c r="AN690" s="87" t="n">
        <x:v>14</x:v>
      </x:c>
    </x:row>
    <x:row r="691">
      <x:c r="A691" s="87" t="n">
        <x:v>690</x:v>
      </x:c>
      <x:c r="B691" s="87" t="str">
        <x:v>FEB-MATH-B-V7-014</x:v>
      </x:c>
      <x:c r="C691" s="87" t="str">
        <x:v>СтатГрад</x:v>
      </x:c>
      <x:c r="D691" s="87" t="str">
        <x:v>Февраль 2026</x:v>
      </x:c>
      <x:c r="E691" s="87"/>
      <x:c r="F691" s="87"/>
      <x:c r="G691" s="87" t="str">
        <x:v>Математика</x:v>
      </x:c>
      <x:c r="H691" s="87" t="n">
        <x:v>11</x:v>
      </x:c>
      <x:c r="I691" s="87" t="str">
        <x:v>ТР №3</x:v>
      </x:c>
      <x:c r="J691" s="87" t="str">
        <x:v>МА2510307</x:v>
      </x:c>
      <x:c r="K691" s="87" t="n">
        <x:v>14</x:v>
      </x:c>
      <x:c r="L691" s="87" t="str">
        <x:v>Арифметическое выражение</x:v>
      </x:c>
      <x:c r="M691" s="30" t="str">
        <x:v>Найдите значение 0,51:(17/12)+1.</x:v>
      </x:c>
      <x:c r="N691" s="30" t="str">
        <x:v>1,36</x:v>
      </x:c>
      <x:c r="O691" s="30" t="str">
        <x:v>0,51=51/100. Тогда (51/100):(17/12)=51·12/(100·17)=0,36; после прибавления 1 получаем 1,36.</x:v>
      </x:c>
      <x:c r="P691" s="30" t="str">
        <x:v>Вычисление проверено сокращением 51/17=3.</x:v>
      </x:c>
      <x:c r="Q691" s="30"/>
      <x:c r="R691" s="30" t="str">
        <x:v>1,36</x:v>
      </x:c>
      <x:c r="S691" s="30"/>
      <x:c r="T691" s="30"/>
      <x:c r="U691" s="30" t="str">
        <x:v>Расхождений нет.</x:v>
      </x:c>
      <x:c r="V691" s="87" t="str">
        <x:v>VERIFIED</x:v>
      </x:c>
      <x:c r="W691" s="87" t="n">
        <x:v>8</x:v>
      </x:c>
      <x:c r="X691" s="87"/>
      <x:c r="Y691" s="87"/>
      <x:c r="Z691" s="87"/>
      <x:c r="AA691" s="87"/>
      <x:c r="AB691" s="87"/>
      <x:c r="AC691" s="87"/>
      <x:c r="AD691" s="87"/>
      <x:c r="AE691" s="87"/>
      <x:c r="AF691" s="87"/>
      <x:c r="AG691" s="87"/>
      <x:c r="AH691" s="87"/>
      <x:c r="AI691" s="30"/>
      <x:c r="AJ691" s="87" t="str">
        <x:v>master</x:v>
      </x:c>
      <x:c r="AK691" s="87" t="str">
        <x:v>master-v0.81</x:v>
      </x:c>
      <x:c r="AL691" s="87" t="str">
        <x:v>statgrad_master_base_v0_81_final(2).xlsx</x:v>
      </x:c>
      <x:c r="AM691" s="87" t="str">
        <x:v>MATH_Feb_Base_V7</x:v>
      </x:c>
      <x:c r="AN691" s="87" t="n">
        <x:v>15</x:v>
      </x:c>
    </x:row>
    <x:row r="692">
      <x:c r="A692" s="87" t="n">
        <x:v>691</x:v>
      </x:c>
      <x:c r="B692" s="87" t="str">
        <x:v>FEB-MATH-B-V7-015</x:v>
      </x:c>
      <x:c r="C692" s="87" t="str">
        <x:v>СтатГрад</x:v>
      </x:c>
      <x:c r="D692" s="87" t="str">
        <x:v>Февраль 2026</x:v>
      </x:c>
      <x:c r="E692" s="87"/>
      <x:c r="F692" s="87"/>
      <x:c r="G692" s="87" t="str">
        <x:v>Математика</x:v>
      </x:c>
      <x:c r="H692" s="87" t="n">
        <x:v>11</x:v>
      </x:c>
      <x:c r="I692" s="87" t="str">
        <x:v>ТР №3</x:v>
      </x:c>
      <x:c r="J692" s="87" t="str">
        <x:v>МА2510307</x:v>
      </x:c>
      <x:c r="K692" s="87" t="n">
        <x:v>15</x:v>
      </x:c>
      <x:c r="L692" s="87" t="str">
        <x:v>Проценты и отношения</x:v>
      </x:c>
      <x:c r="M692" s="30" t="str">
        <x:v>Акции распределены между государством и частными акционерами в отношении 3:5. Прибыль равна 32 млн руб. Найдите выплату частным акционерам.</x:v>
      </x:c>
      <x:c r="N692" s="30" t="str">
        <x:v>20 млн руб.</x:v>
      </x:c>
      <x:c r="O692" s="30" t="str">
        <x:v>Всего 3+5=8 равных долей, частным акционерам принадлежат пять. 32·5/8=20 млн руб.</x:v>
      </x:c>
      <x:c r="P692" s="30" t="str">
        <x:v>Доля частных акционеров равна 5/8 всей прибыли.</x:v>
      </x:c>
      <x:c r="Q692" s="30"/>
      <x:c r="R692" s="30" t="str">
        <x:v>20</x:v>
      </x:c>
      <x:c r="S692" s="30"/>
      <x:c r="T692" s="30"/>
      <x:c r="U692" s="30" t="str">
        <x:v>Расхождений нет.</x:v>
      </x:c>
      <x:c r="V692" s="87" t="str">
        <x:v>VERIFIED</x:v>
      </x:c>
      <x:c r="W692" s="87" t="n">
        <x:v>8</x:v>
      </x:c>
      <x:c r="X692" s="87"/>
      <x:c r="Y692" s="87"/>
      <x:c r="Z692" s="87"/>
      <x:c r="AA692" s="87"/>
      <x:c r="AB692" s="87"/>
      <x:c r="AC692" s="87"/>
      <x:c r="AD692" s="87"/>
      <x:c r="AE692" s="87"/>
      <x:c r="AF692" s="87"/>
      <x:c r="AG692" s="87"/>
      <x:c r="AH692" s="87"/>
      <x:c r="AI692" s="30"/>
      <x:c r="AJ692" s="87" t="str">
        <x:v>master</x:v>
      </x:c>
      <x:c r="AK692" s="87" t="str">
        <x:v>master-v0.81</x:v>
      </x:c>
      <x:c r="AL692" s="87" t="str">
        <x:v>statgrad_master_base_v0_81_final(2).xlsx</x:v>
      </x:c>
      <x:c r="AM692" s="87" t="str">
        <x:v>MATH_Feb_Base_V7</x:v>
      </x:c>
      <x:c r="AN692" s="87" t="n">
        <x:v>16</x:v>
      </x:c>
    </x:row>
    <x:row r="693">
      <x:c r="A693" s="87" t="n">
        <x:v>692</x:v>
      </x:c>
      <x:c r="B693" s="87" t="str">
        <x:v>FEB-MATH-B-V7-016</x:v>
      </x:c>
      <x:c r="C693" s="87" t="str">
        <x:v>СтатГрад</x:v>
      </x:c>
      <x:c r="D693" s="87" t="str">
        <x:v>Февраль 2026</x:v>
      </x:c>
      <x:c r="E693" s="87"/>
      <x:c r="F693" s="87"/>
      <x:c r="G693" s="87" t="str">
        <x:v>Математика</x:v>
      </x:c>
      <x:c r="H693" s="87" t="n">
        <x:v>11</x:v>
      </x:c>
      <x:c r="I693" s="87" t="str">
        <x:v>ТР №3</x:v>
      </x:c>
      <x:c r="J693" s="87" t="str">
        <x:v>МА2510307</x:v>
      </x:c>
      <x:c r="K693" s="87" t="n">
        <x:v>16</x:v>
      </x:c>
      <x:c r="L693" s="87" t="str">
        <x:v>Степени</x:v>
      </x:c>
      <x:c r="M693" s="30" t="str">
        <x:v>Найдите значение 4⁻¹⁰/(4⁴)⁻³.</x:v>
      </x:c>
      <x:c r="N693" s="30" t="str">
        <x:v>16</x:v>
      </x:c>
      <x:c r="O693" s="30" t="str">
        <x:v>(4⁴)⁻³=4⁻¹². Поэтому 4⁻¹⁰/4⁻¹²=4²=16.</x:v>
      </x:c>
      <x:c r="P693" s="30" t="str">
        <x:v>Показатели степеней вычтены: −10−(−12)=2.</x:v>
      </x:c>
      <x:c r="Q693" s="30"/>
      <x:c r="R693" s="30" t="str">
        <x:v>16</x:v>
      </x:c>
      <x:c r="S693" s="30"/>
      <x:c r="T693" s="30"/>
      <x:c r="U693" s="30" t="str">
        <x:v>Расхождений нет.</x:v>
      </x:c>
      <x:c r="V693" s="87" t="str">
        <x:v>VERIFIED</x:v>
      </x:c>
      <x:c r="W693" s="87" t="n">
        <x:v>8</x:v>
      </x:c>
      <x:c r="X693" s="87"/>
      <x:c r="Y693" s="87"/>
      <x:c r="Z693" s="87"/>
      <x:c r="AA693" s="87"/>
      <x:c r="AB693" s="87"/>
      <x:c r="AC693" s="87"/>
      <x:c r="AD693" s="87"/>
      <x:c r="AE693" s="87"/>
      <x:c r="AF693" s="87"/>
      <x:c r="AG693" s="87"/>
      <x:c r="AH693" s="87"/>
      <x:c r="AI693" s="30"/>
      <x:c r="AJ693" s="87" t="str">
        <x:v>master</x:v>
      </x:c>
      <x:c r="AK693" s="87" t="str">
        <x:v>master-v0.81</x:v>
      </x:c>
      <x:c r="AL693" s="87" t="str">
        <x:v>statgrad_master_base_v0_81_final(2).xlsx</x:v>
      </x:c>
      <x:c r="AM693" s="87" t="str">
        <x:v>MATH_Feb_Base_V7</x:v>
      </x:c>
      <x:c r="AN693" s="87" t="n">
        <x:v>17</x:v>
      </x:c>
    </x:row>
    <x:row r="694">
      <x:c r="A694" s="87" t="n">
        <x:v>693</x:v>
      </x:c>
      <x:c r="B694" s="87" t="str">
        <x:v>FEB-MATH-B-V7-017</x:v>
      </x:c>
      <x:c r="C694" s="87" t="str">
        <x:v>СтатГрад</x:v>
      </x:c>
      <x:c r="D694" s="87" t="str">
        <x:v>Февраль 2026</x:v>
      </x:c>
      <x:c r="E694" s="87"/>
      <x:c r="F694" s="87"/>
      <x:c r="G694" s="87" t="str">
        <x:v>Математика</x:v>
      </x:c>
      <x:c r="H694" s="87" t="n">
        <x:v>11</x:v>
      </x:c>
      <x:c r="I694" s="87" t="str">
        <x:v>ТР №3</x:v>
      </x:c>
      <x:c r="J694" s="87" t="str">
        <x:v>МА2510307</x:v>
      </x:c>
      <x:c r="K694" s="87" t="n">
        <x:v>17</x:v>
      </x:c>
      <x:c r="L694" s="87" t="str">
        <x:v>Логарифмическое уравнение</x:v>
      </x:c>
      <x:c r="M694" s="30" t="str">
        <x:v>Решите log₇(x+4)+log₇2=log₇12.</x:v>
      </x:c>
      <x:c r="N694" s="30" t="str">
        <x:v>2</x:v>
      </x:c>
      <x:c r="O694" s="30" t="str">
        <x:v>Объединяем логарифмы: log₇(2(x+4))=log₇12. Тогда 2(x+4)=12, откуда x=2.</x:v>
      </x:c>
      <x:c r="P694" s="30" t="str">
        <x:v>Область определения x&gt;−4 выполнена; корень проверен подстановкой.</x:v>
      </x:c>
      <x:c r="Q694" s="30"/>
      <x:c r="R694" s="30" t="str">
        <x:v>2</x:v>
      </x:c>
      <x:c r="S694" s="30"/>
      <x:c r="T694" s="30"/>
      <x:c r="U694" s="30" t="str">
        <x:v>Расхождений нет.</x:v>
      </x:c>
      <x:c r="V694" s="87" t="str">
        <x:v>VERIFIED</x:v>
      </x:c>
      <x:c r="W694" s="87" t="n">
        <x:v>8</x:v>
      </x:c>
      <x:c r="X694" s="87"/>
      <x:c r="Y694" s="87"/>
      <x:c r="Z694" s="87"/>
      <x:c r="AA694" s="87"/>
      <x:c r="AB694" s="87"/>
      <x:c r="AC694" s="87"/>
      <x:c r="AD694" s="87"/>
      <x:c r="AE694" s="87"/>
      <x:c r="AF694" s="87"/>
      <x:c r="AG694" s="87"/>
      <x:c r="AH694" s="87"/>
      <x:c r="AI694" s="30"/>
      <x:c r="AJ694" s="87" t="str">
        <x:v>master</x:v>
      </x:c>
      <x:c r="AK694" s="87" t="str">
        <x:v>master-v0.81</x:v>
      </x:c>
      <x:c r="AL694" s="87" t="str">
        <x:v>statgrad_master_base_v0_81_final(2).xlsx</x:v>
      </x:c>
      <x:c r="AM694" s="87" t="str">
        <x:v>MATH_Feb_Base_V7</x:v>
      </x:c>
      <x:c r="AN694" s="87" t="n">
        <x:v>18</x:v>
      </x:c>
    </x:row>
    <x:row r="695">
      <x:c r="A695" s="87" t="n">
        <x:v>694</x:v>
      </x:c>
      <x:c r="B695" s="87" t="str">
        <x:v>FEB-MATH-B-V7-018</x:v>
      </x:c>
      <x:c r="C695" s="87" t="str">
        <x:v>СтатГрад</x:v>
      </x:c>
      <x:c r="D695" s="87" t="str">
        <x:v>Февраль 2026</x:v>
      </x:c>
      <x:c r="E695" s="87"/>
      <x:c r="F695" s="87"/>
      <x:c r="G695" s="87" t="str">
        <x:v>Математика</x:v>
      </x:c>
      <x:c r="H695" s="87" t="n">
        <x:v>11</x:v>
      </x:c>
      <x:c r="I695" s="87" t="str">
        <x:v>ТР №3</x:v>
      </x:c>
      <x:c r="J695" s="87" t="str">
        <x:v>МА2510307</x:v>
      </x:c>
      <x:c r="K695" s="87" t="n">
        <x:v>18</x:v>
      </x:c>
      <x:c r="L695" s="87" t="str">
        <x:v>Числовая прямая</x:v>
      </x:c>
      <x:c r="M695" s="30" t="str">
        <x:v>Соотнесите точки A, B, C и D с числами √6+√5, √6:√5, 2√6−√5 и (√6)³−9.</x:v>
      </x:c>
      <x:c r="N695" s="30" t="str">
        <x:v>2314</x:v>
      </x:c>
      <x:c r="O695" s="30" t="str">
        <x:v>√(6/5)≈1,10 соответствует A; 2√6−√5≈2,66 — B; √6+√5≈4,69 — C; 6√6−9≈5,70 — D.</x:v>
      </x:c>
      <x:c r="P695" s="30" t="str">
        <x:v>Все четыре выражения оценены численно и сопоставлены с точками.</x:v>
      </x:c>
      <x:c r="Q695" s="30"/>
      <x:c r="R695" s="30" t="str">
        <x:v>2314</x:v>
      </x:c>
      <x:c r="S695" s="30"/>
      <x:c r="T695" s="30"/>
      <x:c r="U695" s="30" t="str">
        <x:v>Расхождений нет.</x:v>
      </x:c>
      <x:c r="V695" s="87" t="str">
        <x:v>VERIFIED</x:v>
      </x:c>
      <x:c r="W695" s="87" t="n">
        <x:v>9</x:v>
      </x:c>
      <x:c r="X695" s="87"/>
      <x:c r="Y695" s="87"/>
      <x:c r="Z695" s="87"/>
      <x:c r="AA695" s="87"/>
      <x:c r="AB695" s="87"/>
      <x:c r="AC695" s="87"/>
      <x:c r="AD695" s="87"/>
      <x:c r="AE695" s="87"/>
      <x:c r="AF695" s="87"/>
      <x:c r="AG695" s="87"/>
      <x:c r="AH695" s="87"/>
      <x:c r="AI695" s="30"/>
      <x:c r="AJ695" s="87" t="str">
        <x:v>master</x:v>
      </x:c>
      <x:c r="AK695" s="87" t="str">
        <x:v>master-v0.81</x:v>
      </x:c>
      <x:c r="AL695" s="87" t="str">
        <x:v>statgrad_master_base_v0_81_final(2).xlsx</x:v>
      </x:c>
      <x:c r="AM695" s="87" t="str">
        <x:v>MATH_Feb_Base_V7</x:v>
      </x:c>
      <x:c r="AN695" s="87" t="n">
        <x:v>19</x:v>
      </x:c>
    </x:row>
    <x:row r="696">
      <x:c r="A696" s="87" t="n">
        <x:v>695</x:v>
      </x:c>
      <x:c r="B696" s="87" t="str">
        <x:v>FEB-MATH-B-V7-019</x:v>
      </x:c>
      <x:c r="C696" s="87" t="str">
        <x:v>СтатГрад</x:v>
      </x:c>
      <x:c r="D696" s="87" t="str">
        <x:v>Февраль 2026</x:v>
      </x:c>
      <x:c r="E696" s="87"/>
      <x:c r="F696" s="87"/>
      <x:c r="G696" s="87" t="str">
        <x:v>Математика</x:v>
      </x:c>
      <x:c r="H696" s="87" t="n">
        <x:v>11</x:v>
      </x:c>
      <x:c r="I696" s="87" t="str">
        <x:v>ТР №3</x:v>
      </x:c>
      <x:c r="J696" s="87" t="str">
        <x:v>МА2510307</x:v>
      </x:c>
      <x:c r="K696" s="87" t="n">
        <x:v>19</x:v>
      </x:c>
      <x:c r="L696" s="87" t="str">
        <x:v>Делимость и сумма цифр</x:v>
      </x:c>
      <x:c r="M696" s="30" t="str">
        <x:v>Найдите натуральное число больше 3500, но меньше 4000, которое делится на 24 и имеет сумму цифр 24.</x:v>
      </x:c>
      <x:c r="N696" s="30" t="str">
        <x:v>3696</x:v>
      </x:c>
      <x:c r="O696" s="30" t="str">
        <x:v>Число 3696 удовлетворяет условиям: 3696=24·154, а сумма цифр 3+6+9+6=24.</x:v>
      </x:c>
      <x:c r="P696" s="30" t="str">
        <x:v>Проверены диапазон, делимость и сумма цифр.</x:v>
      </x:c>
      <x:c r="Q696" s="30"/>
      <x:c r="R696" s="30" t="str">
        <x:v>3696</x:v>
      </x:c>
      <x:c r="S696" s="30"/>
      <x:c r="T696" s="30"/>
      <x:c r="U696" s="30" t="str">
        <x:v>Расхождений нет.</x:v>
      </x:c>
      <x:c r="V696" s="87" t="str">
        <x:v>VERIFIED</x:v>
      </x:c>
      <x:c r="W696" s="87" t="n">
        <x:v>9</x:v>
      </x:c>
      <x:c r="X696" s="87"/>
      <x:c r="Y696" s="87"/>
      <x:c r="Z696" s="87"/>
      <x:c r="AA696" s="87"/>
      <x:c r="AB696" s="87"/>
      <x:c r="AC696" s="87"/>
      <x:c r="AD696" s="87"/>
      <x:c r="AE696" s="87"/>
      <x:c r="AF696" s="87"/>
      <x:c r="AG696" s="87"/>
      <x:c r="AH696" s="87"/>
      <x:c r="AI696" s="30"/>
      <x:c r="AJ696" s="87" t="str">
        <x:v>master</x:v>
      </x:c>
      <x:c r="AK696" s="87" t="str">
        <x:v>master-v0.81</x:v>
      </x:c>
      <x:c r="AL696" s="87" t="str">
        <x:v>statgrad_master_base_v0_81_final(2).xlsx</x:v>
      </x:c>
      <x:c r="AM696" s="87" t="str">
        <x:v>MATH_Feb_Base_V7</x:v>
      </x:c>
      <x:c r="AN696" s="87" t="n">
        <x:v>20</x:v>
      </x:c>
    </x:row>
    <x:row r="697">
      <x:c r="A697" s="87" t="n">
        <x:v>696</x:v>
      </x:c>
      <x:c r="B697" s="87" t="str">
        <x:v>FEB-MATH-B-V7-020</x:v>
      </x:c>
      <x:c r="C697" s="87" t="str">
        <x:v>СтатГрад</x:v>
      </x:c>
      <x:c r="D697" s="87" t="str">
        <x:v>Февраль 2026</x:v>
      </x:c>
      <x:c r="E697" s="87"/>
      <x:c r="F697" s="87"/>
      <x:c r="G697" s="87" t="str">
        <x:v>Математика</x:v>
      </x:c>
      <x:c r="H697" s="87" t="n">
        <x:v>11</x:v>
      </x:c>
      <x:c r="I697" s="87" t="str">
        <x:v>ТР №3</x:v>
      </x:c>
      <x:c r="J697" s="87" t="str">
        <x:v>МА2510307</x:v>
      </x:c>
      <x:c r="K697" s="87" t="n">
        <x:v>20</x:v>
      </x:c>
      <x:c r="L697" s="87" t="str">
        <x:v>Концентрация смеси</x:v>
      </x:c>
      <x:c r="M697" s="30" t="str">
        <x:v>Смешали 7 кг 25%-го раствора и 8 кг 10%-го раствора. Найдите концентрацию смеси.</x:v>
      </x:c>
      <x:c r="N697" s="30" t="str">
        <x:v>17%</x:v>
      </x:c>
      <x:c r="O697" s="30" t="str">
        <x:v>Масса вещества равна 7·0,25+8·0,10=1,75+0,8=2,55 кг. Общая масса 15 кг, поэтому концентрация 2,55/15·100%=17%.</x:v>
      </x:c>
      <x:c r="P697" s="30" t="str">
        <x:v>Баланс массы раствора и растворённого вещества проверен отдельно.</x:v>
      </x:c>
      <x:c r="Q697" s="30"/>
      <x:c r="R697" s="30" t="str">
        <x:v>17</x:v>
      </x:c>
      <x:c r="S697" s="30"/>
      <x:c r="T697" s="30"/>
      <x:c r="U697" s="30" t="str">
        <x:v>Расхождений нет.</x:v>
      </x:c>
      <x:c r="V697" s="87" t="str">
        <x:v>VERIFIED</x:v>
      </x:c>
      <x:c r="W697" s="87" t="n">
        <x:v>9</x:v>
      </x:c>
      <x:c r="X697" s="87"/>
      <x:c r="Y697" s="87"/>
      <x:c r="Z697" s="87"/>
      <x:c r="AA697" s="87"/>
      <x:c r="AB697" s="87"/>
      <x:c r="AC697" s="87"/>
      <x:c r="AD697" s="87"/>
      <x:c r="AE697" s="87"/>
      <x:c r="AF697" s="87"/>
      <x:c r="AG697" s="87"/>
      <x:c r="AH697" s="87"/>
      <x:c r="AI697" s="30"/>
      <x:c r="AJ697" s="87" t="str">
        <x:v>master</x:v>
      </x:c>
      <x:c r="AK697" s="87" t="str">
        <x:v>master-v0.81</x:v>
      </x:c>
      <x:c r="AL697" s="87" t="str">
        <x:v>statgrad_master_base_v0_81_final(2).xlsx</x:v>
      </x:c>
      <x:c r="AM697" s="87" t="str">
        <x:v>MATH_Feb_Base_V7</x:v>
      </x:c>
      <x:c r="AN697" s="87" t="n">
        <x:v>21</x:v>
      </x:c>
    </x:row>
    <x:row r="698">
      <x:c r="A698" s="87" t="n">
        <x:v>697</x:v>
      </x:c>
      <x:c r="B698" s="87" t="str">
        <x:v>FEB-MATH-B-V7-021</x:v>
      </x:c>
      <x:c r="C698" s="87" t="str">
        <x:v>СтатГрад</x:v>
      </x:c>
      <x:c r="D698" s="87" t="str">
        <x:v>Февраль 2026</x:v>
      </x:c>
      <x:c r="E698" s="87"/>
      <x:c r="F698" s="87"/>
      <x:c r="G698" s="87" t="str">
        <x:v>Математика</x:v>
      </x:c>
      <x:c r="H698" s="87" t="n">
        <x:v>11</x:v>
      </x:c>
      <x:c r="I698" s="87" t="str">
        <x:v>ТР №3</x:v>
      </x:c>
      <x:c r="J698" s="87" t="str">
        <x:v>МА2510307</x:v>
      </x:c>
      <x:c r="K698" s="87" t="n">
        <x:v>21</x:v>
      </x:c>
      <x:c r="L698" s="87" t="str">
        <x:v>Целочисленная задача</x:v>
      </x:c>
      <x:c r="M698" s="30" t="str">
        <x:v>В доме 10 квартир. В каждой живёт от одного до трёх человек. В квартирах 1–8 живёт 10 человек, а в квартирах 7–10 — 10 человек. Найдите общее число жильцов.</x:v>
      </x:c>
      <x:c r="N698" s="30" t="str">
        <x:v>16</x:v>
      </x:c>
      <x:c r="O698" s="30" t="str">
        <x:v>В квартирах 1–8 сверх минимальных восьми жильцов есть только два человека, поэтому в квартирах 7–8 живёт не более 4 человек. В квартирах 9–10 может жить не более 6 человек, поэтому из суммы 10 на квартиры 7–8 приходится не менее 4. Значит, в пересечении ровно 4 человека, а всего 10+10−4=16.</x:v>
      </x:c>
      <x:c r="P698" s="30" t="str">
        <x:v>Пересечение двух диапазонов квартир определено независимыми оценками сверху и снизу.</x:v>
      </x:c>
      <x:c r="Q698" s="30"/>
      <x:c r="R698" s="30" t="str">
        <x:v>16</x:v>
      </x:c>
      <x:c r="S698" s="30"/>
      <x:c r="T698" s="30"/>
      <x:c r="U698" s="30" t="str">
        <x:v>Расхождений нет.</x:v>
      </x:c>
      <x:c r="V698" s="87" t="str">
        <x:v>VERIFIED</x:v>
      </x:c>
      <x:c r="W698" s="87" t="n">
        <x:v>9</x:v>
      </x:c>
      <x:c r="X698" s="87"/>
      <x:c r="Y698" s="87"/>
      <x:c r="Z698" s="87"/>
      <x:c r="AA698" s="87"/>
      <x:c r="AB698" s="87"/>
      <x:c r="AC698" s="87"/>
      <x:c r="AD698" s="87"/>
      <x:c r="AE698" s="87"/>
      <x:c r="AF698" s="87"/>
      <x:c r="AG698" s="87"/>
      <x:c r="AH698" s="87"/>
      <x:c r="AI698" s="30"/>
      <x:c r="AJ698" s="87" t="str">
        <x:v>master</x:v>
      </x:c>
      <x:c r="AK698" s="87" t="str">
        <x:v>master-v0.81</x:v>
      </x:c>
      <x:c r="AL698" s="87" t="str">
        <x:v>statgrad_master_base_v0_81_final(2).xlsx</x:v>
      </x:c>
      <x:c r="AM698" s="87" t="str">
        <x:v>MATH_Feb_Base_V7</x:v>
      </x:c>
      <x:c r="AN698" s="87" t="n">
        <x:v>22</x:v>
      </x:c>
    </x:row>
    <x:row r="699">
      <x:c r="A699" s="87" t="n">
        <x:v>698</x:v>
      </x:c>
      <x:c r="B699" s="87" t="str">
        <x:v>FEB-MATH-B-V8-001</x:v>
      </x:c>
      <x:c r="C699" s="87" t="str">
        <x:v>СтатГрад</x:v>
      </x:c>
      <x:c r="D699" s="87" t="str">
        <x:v>Февраль 2026</x:v>
      </x:c>
      <x:c r="E699" s="87"/>
      <x:c r="F699" s="87"/>
      <x:c r="G699" s="87" t="str">
        <x:v>Математика</x:v>
      </x:c>
      <x:c r="H699" s="87" t="n">
        <x:v>11</x:v>
      </x:c>
      <x:c r="I699" s="87" t="str">
        <x:v>ТР №3</x:v>
      </x:c>
      <x:c r="J699" s="87" t="str">
        <x:v>МА2510308</x:v>
      </x:c>
      <x:c r="K699" s="87" t="n">
        <x:v>1</x:v>
      </x:c>
      <x:c r="L699" s="87" t="str">
        <x:v>Перевод единиц скорости</x:v>
      </x:c>
      <x:c r="M699" s="30" t="str">
        <x:v>Автомобиль движется со скоростью 108 км/ч. Одна миля равна 1,6 км. Какую скорость покажет спидометр в милях в час?</x:v>
      </x:c>
      <x:c r="N699" s="30" t="str">
        <x:v>67,5 мили/ч</x:v>
      </x:c>
      <x:c r="O699" s="30" t="str">
        <x:v>Для перевода километров в мили делим на 1,6: 108/1,6=67,5.</x:v>
      </x:c>
      <x:c r="P699" s="30" t="str">
        <x:v>Обратная проверка: 67,5·1,6=108 км/ч.</x:v>
      </x:c>
      <x:c r="Q699" s="30"/>
      <x:c r="R699" s="30" t="str">
        <x:v>67,5</x:v>
      </x:c>
      <x:c r="S699" s="30"/>
      <x:c r="T699" s="30"/>
      <x:c r="U699" s="30" t="str">
        <x:v>Расхождений нет.</x:v>
      </x:c>
      <x:c r="V699" s="87" t="str">
        <x:v>VERIFIED</x:v>
      </x:c>
      <x:c r="W699" s="87" t="n">
        <x:v>2</x:v>
      </x:c>
      <x:c r="X699" s="87"/>
      <x:c r="Y699" s="87"/>
      <x:c r="Z699" s="87"/>
      <x:c r="AA699" s="87"/>
      <x:c r="AB699" s="87"/>
      <x:c r="AC699" s="87"/>
      <x:c r="AD699" s="87"/>
      <x:c r="AE699" s="87"/>
      <x:c r="AF699" s="87"/>
      <x:c r="AG699" s="87"/>
      <x:c r="AH699" s="87"/>
      <x:c r="AI699" s="30"/>
      <x:c r="AJ699" s="87" t="str">
        <x:v>master</x:v>
      </x:c>
      <x:c r="AK699" s="87" t="str">
        <x:v>master-v0.81</x:v>
      </x:c>
      <x:c r="AL699" s="87" t="str">
        <x:v>statgrad_master_base_v0_81_final(2).xlsx</x:v>
      </x:c>
      <x:c r="AM699" s="87" t="str">
        <x:v>MATH_Feb_Base_V8</x:v>
      </x:c>
      <x:c r="AN699" s="87" t="n">
        <x:v>2</x:v>
      </x:c>
    </x:row>
    <x:row r="700">
      <x:c r="A700" s="87" t="n">
        <x:v>699</x:v>
      </x:c>
      <x:c r="B700" s="87" t="str">
        <x:v>FEB-MATH-B-V8-002</x:v>
      </x:c>
      <x:c r="C700" s="87" t="str">
        <x:v>СтатГрад</x:v>
      </x:c>
      <x:c r="D700" s="87" t="str">
        <x:v>Февраль 2026</x:v>
      </x:c>
      <x:c r="E700" s="87"/>
      <x:c r="F700" s="87"/>
      <x:c r="G700" s="87" t="str">
        <x:v>Математика</x:v>
      </x:c>
      <x:c r="H700" s="87" t="n">
        <x:v>11</x:v>
      </x:c>
      <x:c r="I700" s="87" t="str">
        <x:v>ТР №3</x:v>
      </x:c>
      <x:c r="J700" s="87" t="str">
        <x:v>МА2510308</x:v>
      </x:c>
      <x:c r="K700" s="87" t="n">
        <x:v>2</x:v>
      </x:c>
      <x:c r="L700" s="87" t="str">
        <x:v>Оценка объёмов</x:v>
      </x:c>
      <x:c r="M700" s="30" t="str">
        <x:v>Соотнесите объём бутылки газировки, багажника автомобиля, грузового отсека транспортного самолёта и воды в Чёрном море со значениями 2 л, 200 л, 555 000 км³ и 400 м³.</x:v>
      </x:c>
      <x:c r="N700" s="30" t="str">
        <x:v>1243</x:v>
      </x:c>
      <x:c r="O700" s="30" t="str">
        <x:v>Бутылка газировки — около 2 л (1); багажник автомобиля — около 200 л (2); грузовой отсек самолёта — сотни кубометров, 400 м³ (4); Чёрное море — сотни тысяч км³, 555 000 км³ (3).</x:v>
      </x:c>
      <x:c r="P700" s="30" t="str">
        <x:v>Каждая величина проверена по порядку и единицам измерения.</x:v>
      </x:c>
      <x:c r="Q700" s="30"/>
      <x:c r="R700" s="30" t="str">
        <x:v>1243</x:v>
      </x:c>
      <x:c r="S700" s="30"/>
      <x:c r="T700" s="30"/>
      <x:c r="U700" s="30" t="str">
        <x:v>Расхождений нет.</x:v>
      </x:c>
      <x:c r="V700" s="87" t="str">
        <x:v>VERIFIED</x:v>
      </x:c>
      <x:c r="W700" s="87" t="n">
        <x:v>2</x:v>
      </x:c>
      <x:c r="X700" s="87"/>
      <x:c r="Y700" s="87"/>
      <x:c r="Z700" s="87"/>
      <x:c r="AA700" s="87"/>
      <x:c r="AB700" s="87"/>
      <x:c r="AC700" s="87"/>
      <x:c r="AD700" s="87"/>
      <x:c r="AE700" s="87"/>
      <x:c r="AF700" s="87"/>
      <x:c r="AG700" s="87"/>
      <x:c r="AH700" s="87"/>
      <x:c r="AI700" s="30"/>
      <x:c r="AJ700" s="87" t="str">
        <x:v>master</x:v>
      </x:c>
      <x:c r="AK700" s="87" t="str">
        <x:v>master-v0.81</x:v>
      </x:c>
      <x:c r="AL700" s="87" t="str">
        <x:v>statgrad_master_base_v0_81_final(2).xlsx</x:v>
      </x:c>
      <x:c r="AM700" s="87" t="str">
        <x:v>MATH_Feb_Base_V8</x:v>
      </x:c>
      <x:c r="AN700" s="87" t="n">
        <x:v>3</x:v>
      </x:c>
    </x:row>
    <x:row r="701">
      <x:c r="A701" s="87" t="n">
        <x:v>700</x:v>
      </x:c>
      <x:c r="B701" s="87" t="str">
        <x:v>FEB-MATH-B-V8-003</x:v>
      </x:c>
      <x:c r="C701" s="87" t="str">
        <x:v>СтатГрад</x:v>
      </x:c>
      <x:c r="D701" s="87" t="str">
        <x:v>Февраль 2026</x:v>
      </x:c>
      <x:c r="E701" s="87"/>
      <x:c r="F701" s="87"/>
      <x:c r="G701" s="87" t="str">
        <x:v>Математика</x:v>
      </x:c>
      <x:c r="H701" s="87" t="n">
        <x:v>11</x:v>
      </x:c>
      <x:c r="I701" s="87" t="str">
        <x:v>ТР №3</x:v>
      </x:c>
      <x:c r="J701" s="87" t="str">
        <x:v>МА2510308</x:v>
      </x:c>
      <x:c r="K701" s="87" t="n">
        <x:v>3</x:v>
      </x:c>
      <x:c r="L701" s="87" t="str">
        <x:v>Чтение графика</x:v>
      </x:c>
      <x:c r="M701" s="30" t="str">
        <x:v>По графику зависимости атмосферного давления от высоты найдите давление на высоте 8 км.</x:v>
      </x:c>
      <x:c r="N701" s="30" t="str">
        <x:v>260 мм рт. ст.</x:v>
      </x:c>
      <x:c r="O701" s="30" t="str">
        <x:v>Вертикаль x=8 км пересекает кривую примерно на уровне 260 мм рт. ст.</x:v>
      </x:c>
      <x:c r="P701" s="30" t="str">
        <x:v>Значение считано по координатной сетке и затем сверено с официальным ключом.</x:v>
      </x:c>
      <x:c r="Q701" s="30"/>
      <x:c r="R701" s="30" t="str">
        <x:v>260</x:v>
      </x:c>
      <x:c r="S701" s="30"/>
      <x:c r="T701" s="30"/>
      <x:c r="U701" s="30" t="str">
        <x:v>Расхождений нет.</x:v>
      </x:c>
      <x:c r="V701" s="87" t="str">
        <x:v>VERIFIED</x:v>
      </x:c>
      <x:c r="W701" s="87" t="n">
        <x:v>3</x:v>
      </x:c>
      <x:c r="X701" s="87"/>
      <x:c r="Y701" s="87"/>
      <x:c r="Z701" s="87"/>
      <x:c r="AA701" s="87"/>
      <x:c r="AB701" s="87"/>
      <x:c r="AC701" s="87"/>
      <x:c r="AD701" s="87"/>
      <x:c r="AE701" s="87"/>
      <x:c r="AF701" s="87"/>
      <x:c r="AG701" s="87"/>
      <x:c r="AH701" s="87"/>
      <x:c r="AI701" s="30"/>
      <x:c r="AJ701" s="87" t="str">
        <x:v>master</x:v>
      </x:c>
      <x:c r="AK701" s="87" t="str">
        <x:v>master-v0.81</x:v>
      </x:c>
      <x:c r="AL701" s="87" t="str">
        <x:v>statgrad_master_base_v0_81_final(2).xlsx</x:v>
      </x:c>
      <x:c r="AM701" s="87" t="str">
        <x:v>MATH_Feb_Base_V8</x:v>
      </x:c>
      <x:c r="AN701" s="87" t="n">
        <x:v>4</x:v>
      </x:c>
    </x:row>
    <x:row r="702">
      <x:c r="A702" s="87" t="n">
        <x:v>701</x:v>
      </x:c>
      <x:c r="B702" s="87" t="str">
        <x:v>FEB-MATH-B-V8-004</x:v>
      </x:c>
      <x:c r="C702" s="87" t="str">
        <x:v>СтатГрад</x:v>
      </x:c>
      <x:c r="D702" s="87" t="str">
        <x:v>Февраль 2026</x:v>
      </x:c>
      <x:c r="E702" s="87"/>
      <x:c r="F702" s="87"/>
      <x:c r="G702" s="87" t="str">
        <x:v>Математика</x:v>
      </x:c>
      <x:c r="H702" s="87" t="n">
        <x:v>11</x:v>
      </x:c>
      <x:c r="I702" s="87" t="str">
        <x:v>ТР №3</x:v>
      </x:c>
      <x:c r="J702" s="87" t="str">
        <x:v>МА2510308</x:v>
      </x:c>
      <x:c r="K702" s="87" t="n">
        <x:v>4</x:v>
      </x:c>
      <x:c r="L702" s="87" t="str">
        <x:v>Подстановка в формулу</x:v>
      </x:c>
      <x:c r="M702" s="30" t="str">
        <x:v>Стоимость колодца определяется формулой C=6000+4100n. Найдите стоимость колодца из девяти железобетонных колец.</x:v>
      </x:c>
      <x:c r="N702" s="30" t="str">
        <x:v>42900 руб.</x:v>
      </x:c>
      <x:c r="O702" s="30" t="str">
        <x:v>C=6000+4100·9=6000+36900=42900 руб.</x:v>
      </x:c>
      <x:c r="P702" s="30" t="str">
        <x:v>Подстановка и сложение выполнены повторно.</x:v>
      </x:c>
      <x:c r="Q702" s="30"/>
      <x:c r="R702" s="30" t="str">
        <x:v>42900</x:v>
      </x:c>
      <x:c r="S702" s="30"/>
      <x:c r="T702" s="30"/>
      <x:c r="U702" s="30" t="str">
        <x:v>Расхождений нет.</x:v>
      </x:c>
      <x:c r="V702" s="87" t="str">
        <x:v>VERIFIED</x:v>
      </x:c>
      <x:c r="W702" s="87" t="n">
        <x:v>3</x:v>
      </x:c>
      <x:c r="X702" s="87"/>
      <x:c r="Y702" s="87"/>
      <x:c r="Z702" s="87"/>
      <x:c r="AA702" s="87"/>
      <x:c r="AB702" s="87"/>
      <x:c r="AC702" s="87"/>
      <x:c r="AD702" s="87"/>
      <x:c r="AE702" s="87"/>
      <x:c r="AF702" s="87"/>
      <x:c r="AG702" s="87"/>
      <x:c r="AH702" s="87"/>
      <x:c r="AI702" s="30"/>
      <x:c r="AJ702" s="87" t="str">
        <x:v>master</x:v>
      </x:c>
      <x:c r="AK702" s="87" t="str">
        <x:v>master-v0.81</x:v>
      </x:c>
      <x:c r="AL702" s="87" t="str">
        <x:v>statgrad_master_base_v0_81_final(2).xlsx</x:v>
      </x:c>
      <x:c r="AM702" s="87" t="str">
        <x:v>MATH_Feb_Base_V8</x:v>
      </x:c>
      <x:c r="AN702" s="87" t="n">
        <x:v>5</x:v>
      </x:c>
    </x:row>
    <x:row r="703">
      <x:c r="A703" s="87" t="n">
        <x:v>702</x:v>
      </x:c>
      <x:c r="B703" s="87" t="str">
        <x:v>FEB-MATH-B-V8-005</x:v>
      </x:c>
      <x:c r="C703" s="87" t="str">
        <x:v>СтатГрад</x:v>
      </x:c>
      <x:c r="D703" s="87" t="str">
        <x:v>Февраль 2026</x:v>
      </x:c>
      <x:c r="E703" s="87"/>
      <x:c r="F703" s="87"/>
      <x:c r="G703" s="87" t="str">
        <x:v>Математика</x:v>
      </x:c>
      <x:c r="H703" s="87" t="n">
        <x:v>11</x:v>
      </x:c>
      <x:c r="I703" s="87" t="str">
        <x:v>ТР №3</x:v>
      </x:c>
      <x:c r="J703" s="87" t="str">
        <x:v>МА2510308</x:v>
      </x:c>
      <x:c r="K703" s="87" t="n">
        <x:v>5</x:v>
      </x:c>
      <x:c r="L703" s="87" t="str">
        <x:v>Теория вероятностей</x:v>
      </x:c>
      <x:c r="M703" s="30" t="str">
        <x:v>Из группы из восьми туристов жребием выбирают шестерых. Найдите вероятность, что выбран конкретный турист Д.</x:v>
      </x:c>
      <x:c r="N703" s="30" t="str">
        <x:v>0,75</x:v>
      </x:c>
      <x:c r="O703" s="30" t="str">
        <x:v>Из восьми участников выбирают шестерых, поэтому вероятность попадания конкретного туриста в выбранную шестёрку равна 6/8=0,75.</x:v>
      </x:c>
      <x:c r="P703" s="30" t="str">
        <x:v>Из C(8,6)=28 наборов C(7,5)=21 содержит туриста Д; 21/28=0,75.</x:v>
      </x:c>
      <x:c r="Q703" s="30"/>
      <x:c r="R703" s="30" t="str">
        <x:v>0,75</x:v>
      </x:c>
      <x:c r="S703" s="30"/>
      <x:c r="T703" s="30"/>
      <x:c r="U703" s="30" t="str">
        <x:v>Расхождений нет.</x:v>
      </x:c>
      <x:c r="V703" s="87" t="str">
        <x:v>VERIFIED</x:v>
      </x:c>
      <x:c r="W703" s="87" t="n">
        <x:v>4</x:v>
      </x:c>
      <x:c r="X703" s="87"/>
      <x:c r="Y703" s="87"/>
      <x:c r="Z703" s="87"/>
      <x:c r="AA703" s="87"/>
      <x:c r="AB703" s="87"/>
      <x:c r="AC703" s="87"/>
      <x:c r="AD703" s="87"/>
      <x:c r="AE703" s="87"/>
      <x:c r="AF703" s="87"/>
      <x:c r="AG703" s="87"/>
      <x:c r="AH703" s="87"/>
      <x:c r="AI703" s="30"/>
      <x:c r="AJ703" s="87" t="str">
        <x:v>master</x:v>
      </x:c>
      <x:c r="AK703" s="87" t="str">
        <x:v>master-v0.81</x:v>
      </x:c>
      <x:c r="AL703" s="87" t="str">
        <x:v>statgrad_master_base_v0_81_final(2).xlsx</x:v>
      </x:c>
      <x:c r="AM703" s="87" t="str">
        <x:v>MATH_Feb_Base_V8</x:v>
      </x:c>
      <x:c r="AN703" s="87" t="n">
        <x:v>6</x:v>
      </x:c>
    </x:row>
    <x:row r="704">
      <x:c r="A704" s="87" t="n">
        <x:v>703</x:v>
      </x:c>
      <x:c r="B704" s="87" t="str">
        <x:v>FEB-MATH-B-V8-006</x:v>
      </x:c>
      <x:c r="C704" s="87" t="str">
        <x:v>СтатГрад</x:v>
      </x:c>
      <x:c r="D704" s="87" t="str">
        <x:v>Февраль 2026</x:v>
      </x:c>
      <x:c r="E704" s="87"/>
      <x:c r="F704" s="87"/>
      <x:c r="G704" s="87" t="str">
        <x:v>Математика</x:v>
      </x:c>
      <x:c r="H704" s="87" t="n">
        <x:v>11</x:v>
      </x:c>
      <x:c r="I704" s="87" t="str">
        <x:v>ТР №3</x:v>
      </x:c>
      <x:c r="J704" s="87" t="str">
        <x:v>МА2510308</x:v>
      </x:c>
      <x:c r="K704" s="87" t="n">
        <x:v>6</x:v>
      </x:c>
      <x:c r="L704" s="87" t="str">
        <x:v>Анализ таблицы</x:v>
      </x:c>
      <x:c r="M704" s="30" t="str">
        <x:v>Ручная кладь должна иметь размеры не более 55×40×20 см и массу не более 10 кг. Выберите подходящие сумки.</x:v>
      </x:c>
      <x:c r="N704" s="30" t="str">
        <x:v>26</x:v>
      </x:c>
      <x:c r="O704" s="30" t="str">
        <x:v>Сумка 2: 53×39×17 см, 9,7 кг; сумка 6: 54×35×15 см, 8,9 кг. У остальных превышено хотя бы одно ограничение.</x:v>
      </x:c>
      <x:c r="P704" s="30" t="str">
        <x:v>Все шесть строк проверены по четырём ограничениям.</x:v>
      </x:c>
      <x:c r="Q704" s="30"/>
      <x:c r="R704" s="30" t="str">
        <x:v>26</x:v>
      </x:c>
      <x:c r="S704" s="30"/>
      <x:c r="T704" s="30"/>
      <x:c r="U704" s="30" t="str">
        <x:v>Расхождений нет.</x:v>
      </x:c>
      <x:c r="V704" s="87" t="str">
        <x:v>VERIFIED</x:v>
      </x:c>
      <x:c r="W704" s="87" t="n">
        <x:v>4</x:v>
      </x:c>
      <x:c r="X704" s="87"/>
      <x:c r="Y704" s="87"/>
      <x:c r="Z704" s="87"/>
      <x:c r="AA704" s="87"/>
      <x:c r="AB704" s="87"/>
      <x:c r="AC704" s="87"/>
      <x:c r="AD704" s="87"/>
      <x:c r="AE704" s="87"/>
      <x:c r="AF704" s="87"/>
      <x:c r="AG704" s="87"/>
      <x:c r="AH704" s="87"/>
      <x:c r="AI704" s="30"/>
      <x:c r="AJ704" s="87" t="str">
        <x:v>master</x:v>
      </x:c>
      <x:c r="AK704" s="87" t="str">
        <x:v>master-v0.81</x:v>
      </x:c>
      <x:c r="AL704" s="87" t="str">
        <x:v>statgrad_master_base_v0_81_final(2).xlsx</x:v>
      </x:c>
      <x:c r="AM704" s="87" t="str">
        <x:v>MATH_Feb_Base_V8</x:v>
      </x:c>
      <x:c r="AN704" s="87" t="n">
        <x:v>7</x:v>
      </x:c>
    </x:row>
    <x:row r="705">
      <x:c r="A705" s="87" t="n">
        <x:v>704</x:v>
      </x:c>
      <x:c r="B705" s="87" t="str">
        <x:v>FEB-MATH-B-V8-007</x:v>
      </x:c>
      <x:c r="C705" s="87" t="str">
        <x:v>СтатГрад</x:v>
      </x:c>
      <x:c r="D705" s="87" t="str">
        <x:v>Февраль 2026</x:v>
      </x:c>
      <x:c r="E705" s="87"/>
      <x:c r="F705" s="87"/>
      <x:c r="G705" s="87" t="str">
        <x:v>Математика</x:v>
      </x:c>
      <x:c r="H705" s="87" t="n">
        <x:v>11</x:v>
      </x:c>
      <x:c r="I705" s="87" t="str">
        <x:v>ТР №3</x:v>
      </x:c>
      <x:c r="J705" s="87" t="str">
        <x:v>МА2510308</x:v>
      </x:c>
      <x:c r="K705" s="87" t="n">
        <x:v>7</x:v>
      </x:c>
      <x:c r="L705" s="87" t="str">
        <x:v>Свойства функции по графику</x:v>
      </x:c>
      <x:c r="M705" s="30" t="str">
        <x:v>Соотнесите интервалы (a;b), (b;c), (c;d), (d;e) с характеристиками: отрицательность, положительность, возрастание и убывание.</x:v>
      </x:c>
      <x:c r="N705" s="30" t="str">
        <x:v>1324</x:v>
      </x:c>
      <x:c r="O705" s="30" t="str">
        <x:v>На (a;b) функция отрицательна — 1; на (b;c) возрастает — 3; на (c;d) положительна — 2; на (d;e) убывает — 4.</x:v>
      </x:c>
      <x:c r="P705" s="30" t="str">
        <x:v>Знак функции и направление изменения считаны непосредственно по графику.</x:v>
      </x:c>
      <x:c r="Q705" s="30"/>
      <x:c r="R705" s="30" t="str">
        <x:v>1324</x:v>
      </x:c>
      <x:c r="S705" s="30"/>
      <x:c r="T705" s="30"/>
      <x:c r="U705" s="30" t="str">
        <x:v>Расхождений нет.</x:v>
      </x:c>
      <x:c r="V705" s="87" t="str">
        <x:v>VERIFIED</x:v>
      </x:c>
      <x:c r="W705" s="87" t="n">
        <x:v>5</x:v>
      </x:c>
      <x:c r="X705" s="87"/>
      <x:c r="Y705" s="87"/>
      <x:c r="Z705" s="87"/>
      <x:c r="AA705" s="87"/>
      <x:c r="AB705" s="87"/>
      <x:c r="AC705" s="87"/>
      <x:c r="AD705" s="87"/>
      <x:c r="AE705" s="87"/>
      <x:c r="AF705" s="87"/>
      <x:c r="AG705" s="87"/>
      <x:c r="AH705" s="87"/>
      <x:c r="AI705" s="30"/>
      <x:c r="AJ705" s="87" t="str">
        <x:v>master</x:v>
      </x:c>
      <x:c r="AK705" s="87" t="str">
        <x:v>master-v0.81</x:v>
      </x:c>
      <x:c r="AL705" s="87" t="str">
        <x:v>statgrad_master_base_v0_81_final(2).xlsx</x:v>
      </x:c>
      <x:c r="AM705" s="87" t="str">
        <x:v>MATH_Feb_Base_V8</x:v>
      </x:c>
      <x:c r="AN705" s="87" t="n">
        <x:v>8</x:v>
      </x:c>
    </x:row>
    <x:row r="706">
      <x:c r="A706" s="87" t="n">
        <x:v>705</x:v>
      </x:c>
      <x:c r="B706" s="87" t="str">
        <x:v>FEB-MATH-B-V8-008</x:v>
      </x:c>
      <x:c r="C706" s="87" t="str">
        <x:v>СтатГрад</x:v>
      </x:c>
      <x:c r="D706" s="87" t="str">
        <x:v>Февраль 2026</x:v>
      </x:c>
      <x:c r="E706" s="87"/>
      <x:c r="F706" s="87"/>
      <x:c r="G706" s="87" t="str">
        <x:v>Математика</x:v>
      </x:c>
      <x:c r="H706" s="87" t="n">
        <x:v>11</x:v>
      </x:c>
      <x:c r="I706" s="87" t="str">
        <x:v>ТР №3</x:v>
      </x:c>
      <x:c r="J706" s="87" t="str">
        <x:v>МА2510308</x:v>
      </x:c>
      <x:c r="K706" s="87" t="n">
        <x:v>8</x:v>
      </x:c>
      <x:c r="L706" s="87" t="str">
        <x:v>Логические следствия из диапазона</x:v>
      </x:c>
      <x:c r="M706" s="30" t="str">
        <x:v>Рост каждого игрока волейбольной команды больше 190 см, но меньше 210 см. Выберите утверждения, верные при любых условиях.</x:v>
      </x:c>
      <x:c r="N706" s="30" t="str">
        <x:v>23</x:v>
      </x:c>
      <x:c r="O706" s="30" t="str">
        <x:v>Игрока ростом 189 см быть не может — верно утверждение 2. Рост любого игрока меньше 210 см — верно утверждение 3. Наличие игрока ростом 220 см невозможно, а разность ростов не обязана превышать 20 см.</x:v>
      </x:c>
      <x:c r="P706" s="30" t="str">
        <x:v>Все утверждения сопоставлены со строгими границами 190&lt;h&lt;210.</x:v>
      </x:c>
      <x:c r="Q706" s="30"/>
      <x:c r="R706" s="30" t="str">
        <x:v>23</x:v>
      </x:c>
      <x:c r="S706" s="30"/>
      <x:c r="T706" s="30"/>
      <x:c r="U706" s="30" t="str">
        <x:v>Расхождений нет.</x:v>
      </x:c>
      <x:c r="V706" s="87" t="str">
        <x:v>VERIFIED</x:v>
      </x:c>
      <x:c r="W706" s="87" t="n">
        <x:v>5</x:v>
      </x:c>
      <x:c r="X706" s="87"/>
      <x:c r="Y706" s="87"/>
      <x:c r="Z706" s="87"/>
      <x:c r="AA706" s="87"/>
      <x:c r="AB706" s="87"/>
      <x:c r="AC706" s="87"/>
      <x:c r="AD706" s="87"/>
      <x:c r="AE706" s="87"/>
      <x:c r="AF706" s="87"/>
      <x:c r="AG706" s="87"/>
      <x:c r="AH706" s="87"/>
      <x:c r="AI706" s="30"/>
      <x:c r="AJ706" s="87" t="str">
        <x:v>master</x:v>
      </x:c>
      <x:c r="AK706" s="87" t="str">
        <x:v>master-v0.81</x:v>
      </x:c>
      <x:c r="AL706" s="87" t="str">
        <x:v>statgrad_master_base_v0_81_final(2).xlsx</x:v>
      </x:c>
      <x:c r="AM706" s="87" t="str">
        <x:v>MATH_Feb_Base_V8</x:v>
      </x:c>
      <x:c r="AN706" s="87" t="n">
        <x:v>9</x:v>
      </x:c>
    </x:row>
    <x:row r="707">
      <x:c r="A707" s="87" t="n">
        <x:v>706</x:v>
      </x:c>
      <x:c r="B707" s="87" t="str">
        <x:v>FEB-MATH-B-V8-009</x:v>
      </x:c>
      <x:c r="C707" s="87" t="str">
        <x:v>СтатГрад</x:v>
      </x:c>
      <x:c r="D707" s="87" t="str">
        <x:v>Февраль 2026</x:v>
      </x:c>
      <x:c r="E707" s="87"/>
      <x:c r="F707" s="87"/>
      <x:c r="G707" s="87" t="str">
        <x:v>Математика</x:v>
      </x:c>
      <x:c r="H707" s="87" t="n">
        <x:v>11</x:v>
      </x:c>
      <x:c r="I707" s="87" t="str">
        <x:v>ТР №3</x:v>
      </x:c>
      <x:c r="J707" s="87" t="str">
        <x:v>МА2510308</x:v>
      </x:c>
      <x:c r="K707" s="87" t="n">
        <x:v>9</x:v>
      </x:c>
      <x:c r="L707" s="87" t="str">
        <x:v>Площадь фигуры на клетчатой бумаге</x:v>
      </x:c>
      <x:c r="M707" s="30" t="str">
        <x:v>Найдите площадь треугольного участка на сетке 1×1 м.</x:v>
      </x:c>
      <x:c r="N707" s="30" t="str">
        <x:v>14 м²</x:v>
      </x:c>
      <x:c r="O707" s="30" t="str">
        <x:v>Вертикальное основание треугольника равно 7 клеткам, а расстояние от противоположной вершины до прямой основания — 4 клетки. S=(1/2)·7·4=14 м².</x:v>
      </x:c>
      <x:c r="P707" s="30" t="str">
        <x:v>Основание и соответствующая высота считаны по клеткам.</x:v>
      </x:c>
      <x:c r="Q707" s="30"/>
      <x:c r="R707" s="30" t="str">
        <x:v>14</x:v>
      </x:c>
      <x:c r="S707" s="30"/>
      <x:c r="T707" s="30"/>
      <x:c r="U707" s="30" t="str">
        <x:v>Расхождений нет.</x:v>
      </x:c>
      <x:c r="V707" s="87" t="str">
        <x:v>VERIFIED</x:v>
      </x:c>
      <x:c r="W707" s="87" t="n">
        <x:v>6</x:v>
      </x:c>
      <x:c r="X707" s="87"/>
      <x:c r="Y707" s="87"/>
      <x:c r="Z707" s="87"/>
      <x:c r="AA707" s="87"/>
      <x:c r="AB707" s="87"/>
      <x:c r="AC707" s="87"/>
      <x:c r="AD707" s="87"/>
      <x:c r="AE707" s="87"/>
      <x:c r="AF707" s="87"/>
      <x:c r="AG707" s="87"/>
      <x:c r="AH707" s="87"/>
      <x:c r="AI707" s="30"/>
      <x:c r="AJ707" s="87" t="str">
        <x:v>master</x:v>
      </x:c>
      <x:c r="AK707" s="87" t="str">
        <x:v>master-v0.81</x:v>
      </x:c>
      <x:c r="AL707" s="87" t="str">
        <x:v>statgrad_master_base_v0_81_final(2).xlsx</x:v>
      </x:c>
      <x:c r="AM707" s="87" t="str">
        <x:v>MATH_Feb_Base_V8</x:v>
      </x:c>
      <x:c r="AN707" s="87" t="n">
        <x:v>10</x:v>
      </x:c>
    </x:row>
    <x:row r="708">
      <x:c r="A708" s="87" t="n">
        <x:v>707</x:v>
      </x:c>
      <x:c r="B708" s="87" t="str">
        <x:v>FEB-MATH-B-V8-010</x:v>
      </x:c>
      <x:c r="C708" s="87" t="str">
        <x:v>СтатГрад</x:v>
      </x:c>
      <x:c r="D708" s="87" t="str">
        <x:v>Февраль 2026</x:v>
      </x:c>
      <x:c r="E708" s="87"/>
      <x:c r="F708" s="87"/>
      <x:c r="G708" s="87" t="str">
        <x:v>Математика</x:v>
      </x:c>
      <x:c r="H708" s="87" t="n">
        <x:v>11</x:v>
      </x:c>
      <x:c r="I708" s="87" t="str">
        <x:v>ТР №3</x:v>
      </x:c>
      <x:c r="J708" s="87" t="str">
        <x:v>МА2510308</x:v>
      </x:c>
      <x:c r="K708" s="87" t="n">
        <x:v>10</x:v>
      </x:c>
      <x:c r="L708" s="87" t="str">
        <x:v>Площадь по плану квартиры</x:v>
      </x:c>
      <x:c r="M708" s="30" t="str">
        <x:v>Кухня имеет размеры 3,5×3 м, первая комната — 3,5×5 м, санузел — 1,5×2 м, длина коридора — 9,5 м. Найдите площадь второй комнаты.</x:v>
      </x:c>
      <x:c r="N708" s="30" t="str">
        <x:v>12,25 м²</x:v>
      </x:c>
      <x:c r="O708" s="30" t="str">
        <x:v>Общая ширина квартиры равна 2+9,5=11,5 м. На кухню и первую комнату приходится 3+5=8 м, поэтому ширина второй комнаты равна 3,5 м. При высоте 3,5 м её площадь составляет 3,5·3,5=12,25 м².</x:v>
      </x:c>
      <x:c r="P708" s="30" t="str">
        <x:v>Размеры восстановлены по общим горизонтальным границам плана.</x:v>
      </x:c>
      <x:c r="Q708" s="30"/>
      <x:c r="R708" s="30" t="str">
        <x:v>12,25</x:v>
      </x:c>
      <x:c r="S708" s="30"/>
      <x:c r="T708" s="30"/>
      <x:c r="U708" s="30" t="str">
        <x:v>Расхождений нет.</x:v>
      </x:c>
      <x:c r="V708" s="87" t="str">
        <x:v>VERIFIED</x:v>
      </x:c>
      <x:c r="W708" s="87" t="n">
        <x:v>6</x:v>
      </x:c>
      <x:c r="X708" s="87"/>
      <x:c r="Y708" s="87"/>
      <x:c r="Z708" s="87"/>
      <x:c r="AA708" s="87"/>
      <x:c r="AB708" s="87"/>
      <x:c r="AC708" s="87"/>
      <x:c r="AD708" s="87"/>
      <x:c r="AE708" s="87"/>
      <x:c r="AF708" s="87"/>
      <x:c r="AG708" s="87"/>
      <x:c r="AH708" s="87"/>
      <x:c r="AI708" s="30"/>
      <x:c r="AJ708" s="87" t="str">
        <x:v>master</x:v>
      </x:c>
      <x:c r="AK708" s="87" t="str">
        <x:v>master-v0.81</x:v>
      </x:c>
      <x:c r="AL708" s="87" t="str">
        <x:v>statgrad_master_base_v0_81_final(2).xlsx</x:v>
      </x:c>
      <x:c r="AM708" s="87" t="str">
        <x:v>MATH_Feb_Base_V8</x:v>
      </x:c>
      <x:c r="AN708" s="87" t="n">
        <x:v>11</x:v>
      </x:c>
    </x:row>
    <x:row r="709">
      <x:c r="A709" s="87" t="n">
        <x:v>708</x:v>
      </x:c>
      <x:c r="B709" s="87" t="str">
        <x:v>FEB-MATH-B-V8-011</x:v>
      </x:c>
      <x:c r="C709" s="87" t="str">
        <x:v>СтатГрад</x:v>
      </x:c>
      <x:c r="D709" s="87" t="str">
        <x:v>Февраль 2026</x:v>
      </x:c>
      <x:c r="E709" s="87"/>
      <x:c r="F709" s="87"/>
      <x:c r="G709" s="87" t="str">
        <x:v>Математика</x:v>
      </x:c>
      <x:c r="H709" s="87" t="n">
        <x:v>11</x:v>
      </x:c>
      <x:c r="I709" s="87" t="str">
        <x:v>ТР №3</x:v>
      </x:c>
      <x:c r="J709" s="87" t="str">
        <x:v>МА2510308</x:v>
      </x:c>
      <x:c r="K709" s="87" t="n">
        <x:v>11</x:v>
      </x:c>
      <x:c r="L709" s="87" t="str">
        <x:v>Объём вытесненной воды</x:v>
      </x:c>
      <x:c r="M709" s="30" t="str">
        <x:v>В цилиндрический бак налито 5 л воды. После погружения детали уровень воды увеличился в 1,6 раза. Найдите объём детали.</x:v>
      </x:c>
      <x:c r="N709" s="30" t="str">
        <x:v>3000 см³</x:v>
      </x:c>
      <x:c r="O709" s="30" t="str">
        <x:v>При неизменной площади основания объём под уровнем воды вырос с 5 до 5·1,6=8 л. Деталь вытеснила 8−5=3 л=3000 см³.</x:v>
      </x:c>
      <x:c r="P709" s="30" t="str">
        <x:v>Использованы 1 л=1000 см³ и принцип вытеснения.</x:v>
      </x:c>
      <x:c r="Q709" s="30"/>
      <x:c r="R709" s="30" t="str">
        <x:v>3000</x:v>
      </x:c>
      <x:c r="S709" s="30"/>
      <x:c r="T709" s="30"/>
      <x:c r="U709" s="30" t="str">
        <x:v>Расхождений нет.</x:v>
      </x:c>
      <x:c r="V709" s="87" t="str">
        <x:v>VERIFIED</x:v>
      </x:c>
      <x:c r="W709" s="87" t="n">
        <x:v>6</x:v>
      </x:c>
      <x:c r="X709" s="87"/>
      <x:c r="Y709" s="87"/>
      <x:c r="Z709" s="87"/>
      <x:c r="AA709" s="87"/>
      <x:c r="AB709" s="87"/>
      <x:c r="AC709" s="87"/>
      <x:c r="AD709" s="87"/>
      <x:c r="AE709" s="87"/>
      <x:c r="AF709" s="87"/>
      <x:c r="AG709" s="87"/>
      <x:c r="AH709" s="87"/>
      <x:c r="AI709" s="30"/>
      <x:c r="AJ709" s="87" t="str">
        <x:v>master</x:v>
      </x:c>
      <x:c r="AK709" s="87" t="str">
        <x:v>master-v0.81</x:v>
      </x:c>
      <x:c r="AL709" s="87" t="str">
        <x:v>statgrad_master_base_v0_81_final(2).xlsx</x:v>
      </x:c>
      <x:c r="AM709" s="87" t="str">
        <x:v>MATH_Feb_Base_V8</x:v>
      </x:c>
      <x:c r="AN709" s="87" t="n">
        <x:v>12</x:v>
      </x:c>
    </x:row>
    <x:row r="710">
      <x:c r="A710" s="87" t="n">
        <x:v>709</x:v>
      </x:c>
      <x:c r="B710" s="87" t="str">
        <x:v>FEB-MATH-B-V8-012</x:v>
      </x:c>
      <x:c r="C710" s="87" t="str">
        <x:v>СтатГрад</x:v>
      </x:c>
      <x:c r="D710" s="87" t="str">
        <x:v>Февраль 2026</x:v>
      </x:c>
      <x:c r="E710" s="87"/>
      <x:c r="F710" s="87"/>
      <x:c r="G710" s="87" t="str">
        <x:v>Математика</x:v>
      </x:c>
      <x:c r="H710" s="87" t="n">
        <x:v>11</x:v>
      </x:c>
      <x:c r="I710" s="87" t="str">
        <x:v>ТР №3</x:v>
      </x:c>
      <x:c r="J710" s="87" t="str">
        <x:v>МА2510308</x:v>
      </x:c>
      <x:c r="K710" s="87" t="n">
        <x:v>12</x:v>
      </x:c>
      <x:c r="L710" s="87" t="str">
        <x:v>Окружность и вписанные углы</x:v>
      </x:c>
      <x:c r="M710" s="30" t="str">
        <x:v>AB — диаметр окружности, точки D и C лежат по разные стороны от него. Известно, что ∠DBA=34°. Найдите ∠DCB.</x:v>
      </x:c>
      <x:c r="N710" s="30" t="str">
        <x:v>56°</x:v>
      </x:c>
      <x:c r="O710" s="30" t="str">
        <x:v>В треугольнике ADB угол ADB равен 90°, поскольку AB — диаметр. Поэтому ∠DAB=180°−90°−34°=56°. Углы DAB и DCB опираются на одну хорду DB, значит равны.</x:v>
      </x:c>
      <x:c r="P710" s="30" t="str">
        <x:v>Применены теорема Фалеса и свойство вписанных углов, опирающихся на одну хорду.</x:v>
      </x:c>
      <x:c r="Q710" s="30"/>
      <x:c r="R710" s="30" t="str">
        <x:v>56</x:v>
      </x:c>
      <x:c r="S710" s="30"/>
      <x:c r="T710" s="30"/>
      <x:c r="U710" s="30" t="str">
        <x:v>Расхождений нет.</x:v>
      </x:c>
      <x:c r="V710" s="87" t="str">
        <x:v>VERIFIED</x:v>
      </x:c>
      <x:c r="W710" s="87" t="n">
        <x:v>6</x:v>
      </x:c>
      <x:c r="X710" s="87"/>
      <x:c r="Y710" s="87"/>
      <x:c r="Z710" s="87"/>
      <x:c r="AA710" s="87"/>
      <x:c r="AB710" s="87"/>
      <x:c r="AC710" s="87"/>
      <x:c r="AD710" s="87"/>
      <x:c r="AE710" s="87"/>
      <x:c r="AF710" s="87"/>
      <x:c r="AG710" s="87"/>
      <x:c r="AH710" s="87"/>
      <x:c r="AI710" s="30"/>
      <x:c r="AJ710" s="87" t="str">
        <x:v>master</x:v>
      </x:c>
      <x:c r="AK710" s="87" t="str">
        <x:v>master-v0.81</x:v>
      </x:c>
      <x:c r="AL710" s="87" t="str">
        <x:v>statgrad_master_base_v0_81_final(2).xlsx</x:v>
      </x:c>
      <x:c r="AM710" s="87" t="str">
        <x:v>MATH_Feb_Base_V8</x:v>
      </x:c>
      <x:c r="AN710" s="87" t="n">
        <x:v>13</x:v>
      </x:c>
    </x:row>
    <x:row r="711">
      <x:c r="A711" s="87" t="n">
        <x:v>710</x:v>
      </x:c>
      <x:c r="B711" s="87" t="str">
        <x:v>FEB-MATH-B-V8-013</x:v>
      </x:c>
      <x:c r="C711" s="87" t="str">
        <x:v>СтатГрад</x:v>
      </x:c>
      <x:c r="D711" s="87" t="str">
        <x:v>Февраль 2026</x:v>
      </x:c>
      <x:c r="E711" s="87"/>
      <x:c r="F711" s="87"/>
      <x:c r="G711" s="87" t="str">
        <x:v>Математика</x:v>
      </x:c>
      <x:c r="H711" s="87" t="n">
        <x:v>11</x:v>
      </x:c>
      <x:c r="I711" s="87" t="str">
        <x:v>ТР №3</x:v>
      </x:c>
      <x:c r="J711" s="87" t="str">
        <x:v>МА2510308</x:v>
      </x:c>
      <x:c r="K711" s="87" t="n">
        <x:v>13</x:v>
      </x:c>
      <x:c r="L711" s="87" t="str">
        <x:v>Боковая поверхность пирамиды</x:v>
      </x:c>
      <x:c r="M711" s="30" t="str">
        <x:v>Основание правильной треугольной пирамиды имеет сторону 24, боковые рёбра равны 37. Найдите площадь боковой поверхности.</x:v>
      </x:c>
      <x:c r="N711" s="30" t="str">
        <x:v>1260</x:v>
      </x:c>
      <x:c r="O711" s="30" t="str">
        <x:v>Каждая боковая грань — равнобедренный треугольник 37–37–24. Его высота √(37²−12²)=35, площадь одной грани (1/2)·24·35=420. Три грани дают 1260.</x:v>
      </x:c>
      <x:c r="P711" s="30" t="str">
        <x:v>Высота грани и сумма площадей трёх одинаковых треугольников пересчитаны отдельно.</x:v>
      </x:c>
      <x:c r="Q711" s="30"/>
      <x:c r="R711" s="30" t="str">
        <x:v>1260</x:v>
      </x:c>
      <x:c r="S711" s="30"/>
      <x:c r="T711" s="30"/>
      <x:c r="U711" s="30" t="str">
        <x:v>Расхождений нет.</x:v>
      </x:c>
      <x:c r="V711" s="87" t="str">
        <x:v>VERIFIED</x:v>
      </x:c>
      <x:c r="W711" s="87" t="n">
        <x:v>7</x:v>
      </x:c>
      <x:c r="X711" s="87"/>
      <x:c r="Y711" s="87"/>
      <x:c r="Z711" s="87"/>
      <x:c r="AA711" s="87"/>
      <x:c r="AB711" s="87"/>
      <x:c r="AC711" s="87"/>
      <x:c r="AD711" s="87"/>
      <x:c r="AE711" s="87"/>
      <x:c r="AF711" s="87"/>
      <x:c r="AG711" s="87"/>
      <x:c r="AH711" s="87"/>
      <x:c r="AI711" s="30"/>
      <x:c r="AJ711" s="87" t="str">
        <x:v>master</x:v>
      </x:c>
      <x:c r="AK711" s="87" t="str">
        <x:v>master-v0.81</x:v>
      </x:c>
      <x:c r="AL711" s="87" t="str">
        <x:v>statgrad_master_base_v0_81_final(2).xlsx</x:v>
      </x:c>
      <x:c r="AM711" s="87" t="str">
        <x:v>MATH_Feb_Base_V8</x:v>
      </x:c>
      <x:c r="AN711" s="87" t="n">
        <x:v>14</x:v>
      </x:c>
    </x:row>
    <x:row r="712">
      <x:c r="A712" s="87" t="n">
        <x:v>711</x:v>
      </x:c>
      <x:c r="B712" s="87" t="str">
        <x:v>FEB-MATH-B-V8-014</x:v>
      </x:c>
      <x:c r="C712" s="87" t="str">
        <x:v>СтатГрад</x:v>
      </x:c>
      <x:c r="D712" s="87" t="str">
        <x:v>Февраль 2026</x:v>
      </x:c>
      <x:c r="E712" s="87"/>
      <x:c r="F712" s="87"/>
      <x:c r="G712" s="87" t="str">
        <x:v>Математика</x:v>
      </x:c>
      <x:c r="H712" s="87" t="n">
        <x:v>11</x:v>
      </x:c>
      <x:c r="I712" s="87" t="str">
        <x:v>ТР №3</x:v>
      </x:c>
      <x:c r="J712" s="87" t="str">
        <x:v>МА2510308</x:v>
      </x:c>
      <x:c r="K712" s="87" t="n">
        <x:v>14</x:v>
      </x:c>
      <x:c r="L712" s="87" t="str">
        <x:v>Арифметическое выражение</x:v>
      </x:c>
      <x:c r="M712" s="30" t="str">
        <x:v>Найдите значение 0,35:(7/3)+2.</x:v>
      </x:c>
      <x:c r="N712" s="30" t="str">
        <x:v>2,15</x:v>
      </x:c>
      <x:c r="O712" s="30" t="str">
        <x:v>0,35:(7/3)=0,35·3/7=0,15. После прибавления 2 получаем 2,15.</x:v>
      </x:c>
      <x:c r="P712" s="30" t="str">
        <x:v>Вычисление проверено в обыкновенных дробях: 7/20·3/7=3/20.</x:v>
      </x:c>
      <x:c r="Q712" s="30"/>
      <x:c r="R712" s="30" t="str">
        <x:v>2,15</x:v>
      </x:c>
      <x:c r="S712" s="30"/>
      <x:c r="T712" s="30"/>
      <x:c r="U712" s="30" t="str">
        <x:v>Расхождений нет.</x:v>
      </x:c>
      <x:c r="V712" s="87" t="str">
        <x:v>VERIFIED</x:v>
      </x:c>
      <x:c r="W712" s="87" t="n">
        <x:v>7</x:v>
      </x:c>
      <x:c r="X712" s="87"/>
      <x:c r="Y712" s="87"/>
      <x:c r="Z712" s="87"/>
      <x:c r="AA712" s="87"/>
      <x:c r="AB712" s="87"/>
      <x:c r="AC712" s="87"/>
      <x:c r="AD712" s="87"/>
      <x:c r="AE712" s="87"/>
      <x:c r="AF712" s="87"/>
      <x:c r="AG712" s="87"/>
      <x:c r="AH712" s="87"/>
      <x:c r="AI712" s="30"/>
      <x:c r="AJ712" s="87" t="str">
        <x:v>master</x:v>
      </x:c>
      <x:c r="AK712" s="87" t="str">
        <x:v>master-v0.81</x:v>
      </x:c>
      <x:c r="AL712" s="87" t="str">
        <x:v>statgrad_master_base_v0_81_final(2).xlsx</x:v>
      </x:c>
      <x:c r="AM712" s="87" t="str">
        <x:v>MATH_Feb_Base_V8</x:v>
      </x:c>
      <x:c r="AN712" s="87" t="n">
        <x:v>15</x:v>
      </x:c>
    </x:row>
    <x:row r="713">
      <x:c r="A713" s="87" t="n">
        <x:v>712</x:v>
      </x:c>
      <x:c r="B713" s="87" t="str">
        <x:v>FEB-MATH-B-V8-015</x:v>
      </x:c>
      <x:c r="C713" s="87" t="str">
        <x:v>СтатГрад</x:v>
      </x:c>
      <x:c r="D713" s="87" t="str">
        <x:v>Февраль 2026</x:v>
      </x:c>
      <x:c r="E713" s="87"/>
      <x:c r="F713" s="87"/>
      <x:c r="G713" s="87" t="str">
        <x:v>Математика</x:v>
      </x:c>
      <x:c r="H713" s="87" t="n">
        <x:v>11</x:v>
      </x:c>
      <x:c r="I713" s="87" t="str">
        <x:v>ТР №3</x:v>
      </x:c>
      <x:c r="J713" s="87" t="str">
        <x:v>МА2510308</x:v>
      </x:c>
      <x:c r="K713" s="87" t="n">
        <x:v>15</x:v>
      </x:c>
      <x:c r="L713" s="87" t="str">
        <x:v>Проценты и отношения</x:v>
      </x:c>
      <x:c r="M713" s="30" t="str">
        <x:v>Акции распределены между государством и частными акционерами в отношении 3:7. Прибыль равна 70 млн руб. Найдите выплату частным акционерам.</x:v>
      </x:c>
      <x:c r="N713" s="30" t="str">
        <x:v>49 млн руб.</x:v>
      </x:c>
      <x:c r="O713" s="30" t="str">
        <x:v>Всего 3+7=10 равных долей, частным акционерам принадлежат семь. 70·7/10=49 млн руб.</x:v>
      </x:c>
      <x:c r="P713" s="30" t="str">
        <x:v>Доля частных акционеров равна 7/10 всей прибыли.</x:v>
      </x:c>
      <x:c r="Q713" s="30"/>
      <x:c r="R713" s="30" t="str">
        <x:v>49</x:v>
      </x:c>
      <x:c r="S713" s="30"/>
      <x:c r="T713" s="30"/>
      <x:c r="U713" s="30" t="str">
        <x:v>Расхождений нет.</x:v>
      </x:c>
      <x:c r="V713" s="87" t="str">
        <x:v>VERIFIED</x:v>
      </x:c>
      <x:c r="W713" s="87" t="n">
        <x:v>7</x:v>
      </x:c>
      <x:c r="X713" s="87"/>
      <x:c r="Y713" s="87"/>
      <x:c r="Z713" s="87"/>
      <x:c r="AA713" s="87"/>
      <x:c r="AB713" s="87"/>
      <x:c r="AC713" s="87"/>
      <x:c r="AD713" s="87"/>
      <x:c r="AE713" s="87"/>
      <x:c r="AF713" s="87"/>
      <x:c r="AG713" s="87"/>
      <x:c r="AH713" s="87"/>
      <x:c r="AI713" s="30"/>
      <x:c r="AJ713" s="87" t="str">
        <x:v>master</x:v>
      </x:c>
      <x:c r="AK713" s="87" t="str">
        <x:v>master-v0.81</x:v>
      </x:c>
      <x:c r="AL713" s="87" t="str">
        <x:v>statgrad_master_base_v0_81_final(2).xlsx</x:v>
      </x:c>
      <x:c r="AM713" s="87" t="str">
        <x:v>MATH_Feb_Base_V8</x:v>
      </x:c>
      <x:c r="AN713" s="87" t="n">
        <x:v>16</x:v>
      </x:c>
    </x:row>
    <x:row r="714">
      <x:c r="A714" s="87" t="n">
        <x:v>713</x:v>
      </x:c>
      <x:c r="B714" s="87" t="str">
        <x:v>FEB-MATH-B-V8-016</x:v>
      </x:c>
      <x:c r="C714" s="87" t="str">
        <x:v>СтатГрад</x:v>
      </x:c>
      <x:c r="D714" s="87" t="str">
        <x:v>Февраль 2026</x:v>
      </x:c>
      <x:c r="E714" s="87"/>
      <x:c r="F714" s="87"/>
      <x:c r="G714" s="87" t="str">
        <x:v>Математика</x:v>
      </x:c>
      <x:c r="H714" s="87" t="n">
        <x:v>11</x:v>
      </x:c>
      <x:c r="I714" s="87" t="str">
        <x:v>ТР №3</x:v>
      </x:c>
      <x:c r="J714" s="87" t="str">
        <x:v>МА2510308</x:v>
      </x:c>
      <x:c r="K714" s="87" t="n">
        <x:v>16</x:v>
      </x:c>
      <x:c r="L714" s="87" t="str">
        <x:v>Степени</x:v>
      </x:c>
      <x:c r="M714" s="30" t="str">
        <x:v>Найдите значение 6⁻⁴/(6³)⁻².</x:v>
      </x:c>
      <x:c r="N714" s="30" t="str">
        <x:v>36</x:v>
      </x:c>
      <x:c r="O714" s="30" t="str">
        <x:v>(6³)⁻²=6⁻⁶. Поэтому 6⁻⁴/6⁻⁶=6²=36.</x:v>
      </x:c>
      <x:c r="P714" s="30" t="str">
        <x:v>Показатели степеней вычтены: −4−(−6)=2.</x:v>
      </x:c>
      <x:c r="Q714" s="30"/>
      <x:c r="R714" s="30" t="str">
        <x:v>36</x:v>
      </x:c>
      <x:c r="S714" s="30"/>
      <x:c r="T714" s="30"/>
      <x:c r="U714" s="30" t="str">
        <x:v>Расхождений нет.</x:v>
      </x:c>
      <x:c r="V714" s="87" t="str">
        <x:v>VERIFIED</x:v>
      </x:c>
      <x:c r="W714" s="87" t="n">
        <x:v>7</x:v>
      </x:c>
      <x:c r="X714" s="87"/>
      <x:c r="Y714" s="87"/>
      <x:c r="Z714" s="87"/>
      <x:c r="AA714" s="87"/>
      <x:c r="AB714" s="87"/>
      <x:c r="AC714" s="87"/>
      <x:c r="AD714" s="87"/>
      <x:c r="AE714" s="87"/>
      <x:c r="AF714" s="87"/>
      <x:c r="AG714" s="87"/>
      <x:c r="AH714" s="87"/>
      <x:c r="AI714" s="30"/>
      <x:c r="AJ714" s="87" t="str">
        <x:v>master</x:v>
      </x:c>
      <x:c r="AK714" s="87" t="str">
        <x:v>master-v0.81</x:v>
      </x:c>
      <x:c r="AL714" s="87" t="str">
        <x:v>statgrad_master_base_v0_81_final(2).xlsx</x:v>
      </x:c>
      <x:c r="AM714" s="87" t="str">
        <x:v>MATH_Feb_Base_V8</x:v>
      </x:c>
      <x:c r="AN714" s="87" t="n">
        <x:v>17</x:v>
      </x:c>
    </x:row>
    <x:row r="715">
      <x:c r="A715" s="87" t="n">
        <x:v>714</x:v>
      </x:c>
      <x:c r="B715" s="87" t="str">
        <x:v>FEB-MATH-B-V8-017</x:v>
      </x:c>
      <x:c r="C715" s="87" t="str">
        <x:v>СтатГрад</x:v>
      </x:c>
      <x:c r="D715" s="87" t="str">
        <x:v>Февраль 2026</x:v>
      </x:c>
      <x:c r="E715" s="87"/>
      <x:c r="F715" s="87"/>
      <x:c r="G715" s="87" t="str">
        <x:v>Математика</x:v>
      </x:c>
      <x:c r="H715" s="87" t="n">
        <x:v>11</x:v>
      </x:c>
      <x:c r="I715" s="87" t="str">
        <x:v>ТР №3</x:v>
      </x:c>
      <x:c r="J715" s="87" t="str">
        <x:v>МА2510308</x:v>
      </x:c>
      <x:c r="K715" s="87" t="n">
        <x:v>17</x:v>
      </x:c>
      <x:c r="L715" s="87" t="str">
        <x:v>Логарифмическое уравнение</x:v>
      </x:c>
      <x:c r="M715" s="30" t="str">
        <x:v>Решите log₅(x+3)+log₅4=log₅16.</x:v>
      </x:c>
      <x:c r="N715" s="30" t="str">
        <x:v>1</x:v>
      </x:c>
      <x:c r="O715" s="30" t="str">
        <x:v>Объединяем логарифмы: log₅(4(x+3))=log₅16. Тогда 4(x+3)=16, откуда x=1.</x:v>
      </x:c>
      <x:c r="P715" s="30" t="str">
        <x:v>Область определения x&gt;−3 выполнена; корень проверен подстановкой.</x:v>
      </x:c>
      <x:c r="Q715" s="30"/>
      <x:c r="R715" s="30" t="str">
        <x:v>1</x:v>
      </x:c>
      <x:c r="S715" s="30"/>
      <x:c r="T715" s="30"/>
      <x:c r="U715" s="30" t="str">
        <x:v>Расхождений нет.</x:v>
      </x:c>
      <x:c r="V715" s="87" t="str">
        <x:v>VERIFIED</x:v>
      </x:c>
      <x:c r="W715" s="87" t="n">
        <x:v>7</x:v>
      </x:c>
      <x:c r="X715" s="87"/>
      <x:c r="Y715" s="87"/>
      <x:c r="Z715" s="87"/>
      <x:c r="AA715" s="87"/>
      <x:c r="AB715" s="87"/>
      <x:c r="AC715" s="87"/>
      <x:c r="AD715" s="87"/>
      <x:c r="AE715" s="87"/>
      <x:c r="AF715" s="87"/>
      <x:c r="AG715" s="87"/>
      <x:c r="AH715" s="87"/>
      <x:c r="AI715" s="30"/>
      <x:c r="AJ715" s="87" t="str">
        <x:v>master</x:v>
      </x:c>
      <x:c r="AK715" s="87" t="str">
        <x:v>master-v0.81</x:v>
      </x:c>
      <x:c r="AL715" s="87" t="str">
        <x:v>statgrad_master_base_v0_81_final(2).xlsx</x:v>
      </x:c>
      <x:c r="AM715" s="87" t="str">
        <x:v>MATH_Feb_Base_V8</x:v>
      </x:c>
      <x:c r="AN715" s="87" t="n">
        <x:v>18</x:v>
      </x:c>
    </x:row>
    <x:row r="716">
      <x:c r="A716" s="87" t="n">
        <x:v>715</x:v>
      </x:c>
      <x:c r="B716" s="87" t="str">
        <x:v>FEB-MATH-B-V8-018</x:v>
      </x:c>
      <x:c r="C716" s="87" t="str">
        <x:v>СтатГрад</x:v>
      </x:c>
      <x:c r="D716" s="87" t="str">
        <x:v>Февраль 2026</x:v>
      </x:c>
      <x:c r="E716" s="87"/>
      <x:c r="F716" s="87"/>
      <x:c r="G716" s="87" t="str">
        <x:v>Математика</x:v>
      </x:c>
      <x:c r="H716" s="87" t="n">
        <x:v>11</x:v>
      </x:c>
      <x:c r="I716" s="87" t="str">
        <x:v>ТР №3</x:v>
      </x:c>
      <x:c r="J716" s="87" t="str">
        <x:v>МА2510308</x:v>
      </x:c>
      <x:c r="K716" s="87" t="n">
        <x:v>18</x:v>
      </x:c>
      <x:c r="L716" s="87" t="str">
        <x:v>Числовая прямая</x:v>
      </x:c>
      <x:c r="M716" s="30" t="str">
        <x:v>Соотнесите точки A, B, C и D с числами √5+√2, 3√5−√2, √5−√2 и (√2)³−1.</x:v>
      </x:c>
      <x:c r="N716" s="30" t="str">
        <x:v>3412</x:v>
      </x:c>
      <x:c r="O716" s="30" t="str">
        <x:v>√5−√2≈0,82 соответствует A; 2√2−1≈1,83 — B; √5+√2≈3,65 — C; 3√5−√2≈5,29 — D.</x:v>
      </x:c>
      <x:c r="P716" s="30" t="str">
        <x:v>Все четыре выражения оценены численно и сопоставлены с точками.</x:v>
      </x:c>
      <x:c r="Q716" s="30"/>
      <x:c r="R716" s="30" t="str">
        <x:v>3412</x:v>
      </x:c>
      <x:c r="S716" s="30"/>
      <x:c r="T716" s="30"/>
      <x:c r="U716" s="30" t="str">
        <x:v>Расхождений нет.</x:v>
      </x:c>
      <x:c r="V716" s="87" t="str">
        <x:v>VERIFIED</x:v>
      </x:c>
      <x:c r="W716" s="87" t="n">
        <x:v>8</x:v>
      </x:c>
      <x:c r="X716" s="87"/>
      <x:c r="Y716" s="87"/>
      <x:c r="Z716" s="87"/>
      <x:c r="AA716" s="87"/>
      <x:c r="AB716" s="87"/>
      <x:c r="AC716" s="87"/>
      <x:c r="AD716" s="87"/>
      <x:c r="AE716" s="87"/>
      <x:c r="AF716" s="87"/>
      <x:c r="AG716" s="87"/>
      <x:c r="AH716" s="87"/>
      <x:c r="AI716" s="30"/>
      <x:c r="AJ716" s="87" t="str">
        <x:v>master</x:v>
      </x:c>
      <x:c r="AK716" s="87" t="str">
        <x:v>master-v0.81</x:v>
      </x:c>
      <x:c r="AL716" s="87" t="str">
        <x:v>statgrad_master_base_v0_81_final(2).xlsx</x:v>
      </x:c>
      <x:c r="AM716" s="87" t="str">
        <x:v>MATH_Feb_Base_V8</x:v>
      </x:c>
      <x:c r="AN716" s="87" t="n">
        <x:v>19</x:v>
      </x:c>
    </x:row>
    <x:row r="717">
      <x:c r="A717" s="87" t="n">
        <x:v>716</x:v>
      </x:c>
      <x:c r="B717" s="87" t="str">
        <x:v>FEB-MATH-B-V8-019</x:v>
      </x:c>
      <x:c r="C717" s="87" t="str">
        <x:v>СтатГрад</x:v>
      </x:c>
      <x:c r="D717" s="87" t="str">
        <x:v>Февраль 2026</x:v>
      </x:c>
      <x:c r="E717" s="87"/>
      <x:c r="F717" s="87"/>
      <x:c r="G717" s="87" t="str">
        <x:v>Математика</x:v>
      </x:c>
      <x:c r="H717" s="87" t="n">
        <x:v>11</x:v>
      </x:c>
      <x:c r="I717" s="87" t="str">
        <x:v>ТР №3</x:v>
      </x:c>
      <x:c r="J717" s="87" t="str">
        <x:v>МА2510308</x:v>
      </x:c>
      <x:c r="K717" s="87" t="n">
        <x:v>19</x:v>
      </x:c>
      <x:c r="L717" s="87" t="str">
        <x:v>Делимость и сумма цифр</x:v>
      </x:c>
      <x:c r="M717" s="30" t="str">
        <x:v>Найдите натуральное число больше 1500, но меньше 2000, которое делится на 24 и имеет сумму цифр 21.</x:v>
      </x:c>
      <x:c r="N717" s="30" t="str">
        <x:v>1776</x:v>
      </x:c>
      <x:c r="O717" s="30" t="str">
        <x:v>Число 1776 удовлетворяет условиям: 1776=24·74, а сумма цифр 1+7+7+6=21.</x:v>
      </x:c>
      <x:c r="P717" s="30" t="str">
        <x:v>Проверены диапазон, делимость и сумма цифр.</x:v>
      </x:c>
      <x:c r="Q717" s="30"/>
      <x:c r="R717" s="30" t="str">
        <x:v>1776</x:v>
      </x:c>
      <x:c r="S717" s="30"/>
      <x:c r="T717" s="30"/>
      <x:c r="U717" s="30" t="str">
        <x:v>Расхождений нет.</x:v>
      </x:c>
      <x:c r="V717" s="87" t="str">
        <x:v>VERIFIED</x:v>
      </x:c>
      <x:c r="W717" s="87" t="n">
        <x:v>8</x:v>
      </x:c>
      <x:c r="X717" s="87"/>
      <x:c r="Y717" s="87"/>
      <x:c r="Z717" s="87"/>
      <x:c r="AA717" s="87"/>
      <x:c r="AB717" s="87"/>
      <x:c r="AC717" s="87"/>
      <x:c r="AD717" s="87"/>
      <x:c r="AE717" s="87"/>
      <x:c r="AF717" s="87"/>
      <x:c r="AG717" s="87"/>
      <x:c r="AH717" s="87"/>
      <x:c r="AI717" s="30"/>
      <x:c r="AJ717" s="87" t="str">
        <x:v>master</x:v>
      </x:c>
      <x:c r="AK717" s="87" t="str">
        <x:v>master-v0.81</x:v>
      </x:c>
      <x:c r="AL717" s="87" t="str">
        <x:v>statgrad_master_base_v0_81_final(2).xlsx</x:v>
      </x:c>
      <x:c r="AM717" s="87" t="str">
        <x:v>MATH_Feb_Base_V8</x:v>
      </x:c>
      <x:c r="AN717" s="87" t="n">
        <x:v>20</x:v>
      </x:c>
    </x:row>
    <x:row r="718">
      <x:c r="A718" s="87" t="n">
        <x:v>717</x:v>
      </x:c>
      <x:c r="B718" s="87" t="str">
        <x:v>FEB-MATH-B-V8-020</x:v>
      </x:c>
      <x:c r="C718" s="87" t="str">
        <x:v>СтатГрад</x:v>
      </x:c>
      <x:c r="D718" s="87" t="str">
        <x:v>Февраль 2026</x:v>
      </x:c>
      <x:c r="E718" s="87"/>
      <x:c r="F718" s="87"/>
      <x:c r="G718" s="87" t="str">
        <x:v>Математика</x:v>
      </x:c>
      <x:c r="H718" s="87" t="n">
        <x:v>11</x:v>
      </x:c>
      <x:c r="I718" s="87" t="str">
        <x:v>ТР №3</x:v>
      </x:c>
      <x:c r="J718" s="87" t="str">
        <x:v>МА2510308</x:v>
      </x:c>
      <x:c r="K718" s="87" t="n">
        <x:v>20</x:v>
      </x:c>
      <x:c r="L718" s="87" t="str">
        <x:v>Концентрация смеси</x:v>
      </x:c>
      <x:c r="M718" s="30" t="str">
        <x:v>Смешали 3 кг 30%-го раствора и 7 кг 10%-го раствора. Найдите концентрацию смеси.</x:v>
      </x:c>
      <x:c r="N718" s="30" t="str">
        <x:v>16%</x:v>
      </x:c>
      <x:c r="O718" s="30" t="str">
        <x:v>Масса вещества равна 3·0,30+7·0,10=0,9+0,7=1,6 кг. Общая масса 10 кг, поэтому концентрация 1,6/10·100%=16%.</x:v>
      </x:c>
      <x:c r="P718" s="30" t="str">
        <x:v>Баланс массы раствора и растворённого вещества проверен отдельно.</x:v>
      </x:c>
      <x:c r="Q718" s="30"/>
      <x:c r="R718" s="30" t="str">
        <x:v>16</x:v>
      </x:c>
      <x:c r="S718" s="30"/>
      <x:c r="T718" s="30"/>
      <x:c r="U718" s="30" t="str">
        <x:v>Расхождений нет.</x:v>
      </x:c>
      <x:c r="V718" s="87" t="str">
        <x:v>VERIFIED</x:v>
      </x:c>
      <x:c r="W718" s="87" t="n">
        <x:v>8</x:v>
      </x:c>
      <x:c r="X718" s="87"/>
      <x:c r="Y718" s="87"/>
      <x:c r="Z718" s="87"/>
      <x:c r="AA718" s="87"/>
      <x:c r="AB718" s="87"/>
      <x:c r="AC718" s="87"/>
      <x:c r="AD718" s="87"/>
      <x:c r="AE718" s="87"/>
      <x:c r="AF718" s="87"/>
      <x:c r="AG718" s="87"/>
      <x:c r="AH718" s="87"/>
      <x:c r="AI718" s="30"/>
      <x:c r="AJ718" s="87" t="str">
        <x:v>master</x:v>
      </x:c>
      <x:c r="AK718" s="87" t="str">
        <x:v>master-v0.81</x:v>
      </x:c>
      <x:c r="AL718" s="87" t="str">
        <x:v>statgrad_master_base_v0_81_final(2).xlsx</x:v>
      </x:c>
      <x:c r="AM718" s="87" t="str">
        <x:v>MATH_Feb_Base_V8</x:v>
      </x:c>
      <x:c r="AN718" s="87" t="n">
        <x:v>21</x:v>
      </x:c>
    </x:row>
    <x:row r="719">
      <x:c r="A719" s="87" t="n">
        <x:v>718</x:v>
      </x:c>
      <x:c r="B719" s="87" t="str">
        <x:v>FEB-MATH-B-V8-021</x:v>
      </x:c>
      <x:c r="C719" s="87" t="str">
        <x:v>СтатГрад</x:v>
      </x:c>
      <x:c r="D719" s="87" t="str">
        <x:v>Февраль 2026</x:v>
      </x:c>
      <x:c r="E719" s="87"/>
      <x:c r="F719" s="87"/>
      <x:c r="G719" s="87" t="str">
        <x:v>Математика</x:v>
      </x:c>
      <x:c r="H719" s="87" t="n">
        <x:v>11</x:v>
      </x:c>
      <x:c r="I719" s="87" t="str">
        <x:v>ТР №3</x:v>
      </x:c>
      <x:c r="J719" s="87" t="str">
        <x:v>МА2510308</x:v>
      </x:c>
      <x:c r="K719" s="87" t="n">
        <x:v>21</x:v>
      </x:c>
      <x:c r="L719" s="87" t="str">
        <x:v>Целочисленная задача</x:v>
      </x:c>
      <x:c r="M719" s="30" t="str">
        <x:v>В доме 14 квартир. В каждой живёт от одного до трёх человек. В квартирах 1–10 живёт 12 человек, а в квартирах 7–14 — 18 человек. Найдите общее число жильцов.</x:v>
      </x:c>
      <x:c r="N719" s="30" t="str">
        <x:v>24</x:v>
      </x:c>
      <x:c r="O719" s="30" t="str">
        <x:v>В квартирах 1–10 сверх минимальных десяти жильцов есть только два человека, поэтому в квартирах 7–10 живёт не более 6 человек. В квартирах 11–14 может жить не более 12 человек, поэтому из суммы 18 на квартиры 7–10 приходится не менее 6. Значит, в пересечении ровно 6 человек, а всего 12+18−6=24.</x:v>
      </x:c>
      <x:c r="P719" s="30" t="str">
        <x:v>Пересечение двух диапазонов квартир определено независимыми оценками сверху и снизу.</x:v>
      </x:c>
      <x:c r="Q719" s="30"/>
      <x:c r="R719" s="30" t="str">
        <x:v>24</x:v>
      </x:c>
      <x:c r="S719" s="30"/>
      <x:c r="T719" s="30"/>
      <x:c r="U719" s="30" t="str">
        <x:v>Расхождений нет.</x:v>
      </x:c>
      <x:c r="V719" s="87" t="str">
        <x:v>VERIFIED</x:v>
      </x:c>
      <x:c r="W719" s="87" t="n">
        <x:v>8</x:v>
      </x:c>
      <x:c r="X719" s="87"/>
      <x:c r="Y719" s="87"/>
      <x:c r="Z719" s="87"/>
      <x:c r="AA719" s="87"/>
      <x:c r="AB719" s="87"/>
      <x:c r="AC719" s="87"/>
      <x:c r="AD719" s="87"/>
      <x:c r="AE719" s="87"/>
      <x:c r="AF719" s="87"/>
      <x:c r="AG719" s="87"/>
      <x:c r="AH719" s="87"/>
      <x:c r="AI719" s="30"/>
      <x:c r="AJ719" s="87" t="str">
        <x:v>master</x:v>
      </x:c>
      <x:c r="AK719" s="87" t="str">
        <x:v>master-v0.81</x:v>
      </x:c>
      <x:c r="AL719" s="87" t="str">
        <x:v>statgrad_master_base_v0_81_final(2).xlsx</x:v>
      </x:c>
      <x:c r="AM719" s="87" t="str">
        <x:v>MATH_Feb_Base_V8</x:v>
      </x:c>
      <x:c r="AN719" s="87" t="n">
        <x:v>22</x:v>
      </x:c>
    </x:row>
    <x:row r="720">
      <x:c r="A720" s="87" t="n">
        <x:v>719</x:v>
      </x:c>
      <x:c r="B720" s="87" t="str">
        <x:v>FEB-ENG-W-V1-001</x:v>
      </x:c>
      <x:c r="C720" s="87" t="str">
        <x:v>СтатГрад</x:v>
      </x:c>
      <x:c r="D720" s="87" t="str">
        <x:v>Февраль 2026</x:v>
      </x:c>
      <x:c r="E720" s="87"/>
      <x:c r="F720" s="87"/>
      <x:c r="G720" s="87" t="str">
        <x:v>Английский язык</x:v>
      </x:c>
      <x:c r="H720" s="87" t="n">
        <x:v>11</x:v>
      </x:c>
      <x:c r="I720" s="87" t="str">
        <x:v>ТР №2</x:v>
      </x:c>
      <x:c r="J720" s="87" t="str">
        <x:v>АЯ2510201</x:v>
      </x:c>
      <x:c r="K720" s="87" t="n">
        <x:v>1</x:v>
      </x:c>
      <x:c r="L720" s="87" t="str">
        <x:v>Аудирование: соответствие</x:v>
      </x:c>
      <x:c r="M720" s="30" t="str">
        <x:v>Соотнесите шесть высказываний о нежелательных животных с утверждениями 1–7.</x:v>
      </x:c>
      <x:c r="N720" s="30" t="str">
        <x:v>571326</x:v>
      </x:c>
      <x:c r="O720" s="30" t="str">
        <x:v>A — правила безопасности при встрече с медведем (5); B — дикие гекконы желанны в доме (7); C — конфликт интересов матери и дочери (1); D — незаконная торговля из-за жадности (3); E — проблему должны решать власти (2); F — милые животные могут быть опасны (6).</x:v>
      </x:c>
      <x:c r="P720" s="30" t="str">
        <x:v>Сопоставление выполнено непосредственно по полному скрипту аудирования; утверждение 4 лишнее.</x:v>
      </x:c>
      <x:c r="Q720" s="30"/>
      <x:c r="R720" s="30" t="str">
        <x:v>571326</x:v>
      </x:c>
      <x:c r="S720" s="30"/>
      <x:c r="T720" s="30"/>
      <x:c r="U720" s="30" t="str">
        <x:v>Расхождений нет.</x:v>
      </x:c>
      <x:c r="V720" s="87" t="str">
        <x:v>VERIFIED</x:v>
      </x:c>
      <x:c r="W720" s="87" t="n">
        <x:v>2</x:v>
      </x:c>
      <x:c r="X720" s="87"/>
      <x:c r="Y720" s="87"/>
      <x:c r="Z720" s="87"/>
      <x:c r="AA720" s="87"/>
      <x:c r="AB720" s="87"/>
      <x:c r="AC720" s="87"/>
      <x:c r="AD720" s="87"/>
      <x:c r="AE720" s="87"/>
      <x:c r="AF720" s="87"/>
      <x:c r="AG720" s="87"/>
      <x:c r="AH720" s="87"/>
      <x:c r="AI720" s="30"/>
      <x:c r="AJ720" s="87" t="str">
        <x:v>master</x:v>
      </x:c>
      <x:c r="AK720" s="87" t="str">
        <x:v>master-v0.81</x:v>
      </x:c>
      <x:c r="AL720" s="87" t="str">
        <x:v>statgrad_master_base_v0_81_final(2).xlsx</x:v>
      </x:c>
      <x:c r="AM720" s="87" t="str">
        <x:v>ENG_Feb_Written_V1</x:v>
      </x:c>
      <x:c r="AN720" s="87" t="n">
        <x:v>2</x:v>
      </x:c>
    </x:row>
    <x:row r="721">
      <x:c r="A721" s="87" t="n">
        <x:v>720</x:v>
      </x:c>
      <x:c r="B721" s="87" t="str">
        <x:v>FEB-ENG-W-V1-002</x:v>
      </x:c>
      <x:c r="C721" s="87" t="str">
        <x:v>СтатГрад</x:v>
      </x:c>
      <x:c r="D721" s="87" t="str">
        <x:v>Февраль 2026</x:v>
      </x:c>
      <x:c r="E721" s="87"/>
      <x:c r="F721" s="87"/>
      <x:c r="G721" s="87" t="str">
        <x:v>Английский язык</x:v>
      </x:c>
      <x:c r="H721" s="87" t="n">
        <x:v>11</x:v>
      </x:c>
      <x:c r="I721" s="87" t="str">
        <x:v>ТР №2</x:v>
      </x:c>
      <x:c r="J721" s="87" t="str">
        <x:v>АЯ2510201</x:v>
      </x:c>
      <x:c r="K721" s="87" t="n">
        <x:v>2</x:v>
      </x:c>
      <x:c r="L721" s="87" t="str">
        <x:v>Аудирование: True / False / Not stated</x:v>
      </x:c>
      <x:c r="M721" s="30" t="str">
        <x:v>Определите соответствие семи утверждений содержанию диалога Джейкоба и Дианны.</x:v>
      </x:c>
      <x:c r="N721" s="30" t="str">
        <x:v>2132132</x:v>
      </x:c>
      <x:c r="O721" s="30" t="str">
        <x:v>Разговор происходит на Рождество, а не на весенних каникулах; Дианна имела лучший SAT; о поступлении Джейкоба и его навыках автомеханика не сказано; отец Дианны уже дома; денег на колледж не осталось; Джейкоб учится на IT, а не на музыке.</x:v>
      </x:c>
      <x:c r="P721" s="30" t="str">
        <x:v>Каждая позиция проверена по репликам диалога: A=2, B=1, C=3, D=2, E=1, F=3, G=2.</x:v>
      </x:c>
      <x:c r="Q721" s="30"/>
      <x:c r="R721" s="30" t="str">
        <x:v>2132132</x:v>
      </x:c>
      <x:c r="S721" s="30"/>
      <x:c r="T721" s="30"/>
      <x:c r="U721" s="30" t="str">
        <x:v>Расхождений нет.</x:v>
      </x:c>
      <x:c r="V721" s="87" t="str">
        <x:v>VERIFIED</x:v>
      </x:c>
      <x:c r="W721" s="87" t="n">
        <x:v>2</x:v>
      </x:c>
      <x:c r="X721" s="87"/>
      <x:c r="Y721" s="87"/>
      <x:c r="Z721" s="87"/>
      <x:c r="AA721" s="87"/>
      <x:c r="AB721" s="87"/>
      <x:c r="AC721" s="87"/>
      <x:c r="AD721" s="87"/>
      <x:c r="AE721" s="87"/>
      <x:c r="AF721" s="87"/>
      <x:c r="AG721" s="87"/>
      <x:c r="AH721" s="87"/>
      <x:c r="AI721" s="30"/>
      <x:c r="AJ721" s="87" t="str">
        <x:v>master</x:v>
      </x:c>
      <x:c r="AK721" s="87" t="str">
        <x:v>master-v0.81</x:v>
      </x:c>
      <x:c r="AL721" s="87" t="str">
        <x:v>statgrad_master_base_v0_81_final(2).xlsx</x:v>
      </x:c>
      <x:c r="AM721" s="87" t="str">
        <x:v>ENG_Feb_Written_V1</x:v>
      </x:c>
      <x:c r="AN721" s="87" t="n">
        <x:v>3</x:v>
      </x:c>
    </x:row>
    <x:row r="722">
      <x:c r="A722" s="87" t="n">
        <x:v>721</x:v>
      </x:c>
      <x:c r="B722" s="87" t="str">
        <x:v>FEB-ENG-W-V1-003</x:v>
      </x:c>
      <x:c r="C722" s="87" t="str">
        <x:v>СтатГрад</x:v>
      </x:c>
      <x:c r="D722" s="87" t="str">
        <x:v>Февраль 2026</x:v>
      </x:c>
      <x:c r="E722" s="87"/>
      <x:c r="F722" s="87"/>
      <x:c r="G722" s="87" t="str">
        <x:v>Английский язык</x:v>
      </x:c>
      <x:c r="H722" s="87" t="n">
        <x:v>11</x:v>
      </x:c>
      <x:c r="I722" s="87" t="str">
        <x:v>ТР №2</x:v>
      </x:c>
      <x:c r="J722" s="87" t="str">
        <x:v>АЯ2510201</x:v>
      </x:c>
      <x:c r="K722" s="87" t="n">
        <x:v>3</x:v>
      </x:c>
      <x:c r="L722" s="87" t="str">
        <x:v>Аудирование: выбор ответа</x:v>
      </x:c>
      <x:c r="M722" s="30" t="str">
        <x:v>Что сообщается о докторе Картер в начале интервью?</x:v>
      </x:c>
      <x:c r="N722" s="30" t="str">
        <x:v>3</x:v>
      </x:c>
      <x:c r="O722" s="30" t="str">
        <x:v>Ведущий говорит, что она более 15 лет помогает музыкантам справляться со стрессом и тревогой, то есть оказывает им профессиональную поддержку.</x:v>
      </x:c>
      <x:c r="P722" s="30" t="str">
        <x:v>Проверено по вводной реплике ведущего.</x:v>
      </x:c>
      <x:c r="Q722" s="30"/>
      <x:c r="R722" s="30" t="str">
        <x:v>нет в таблице</x:v>
      </x:c>
      <x:c r="S722" s="30"/>
      <x:c r="T722" s="30"/>
      <x:c r="U722" s="30" t="str">
        <x:v>Решено независимо по скрипту.</x:v>
      </x:c>
      <x:c r="V722" s="87" t="str">
        <x:v>VERIFIED</x:v>
      </x:c>
      <x:c r="W722" s="87" t="n">
        <x:v>3</x:v>
      </x:c>
      <x:c r="X722" s="87"/>
      <x:c r="Y722" s="87"/>
      <x:c r="Z722" s="87"/>
      <x:c r="AA722" s="87"/>
      <x:c r="AB722" s="87"/>
      <x:c r="AC722" s="87"/>
      <x:c r="AD722" s="87"/>
      <x:c r="AE722" s="87"/>
      <x:c r="AF722" s="87"/>
      <x:c r="AG722" s="87"/>
      <x:c r="AH722" s="87"/>
      <x:c r="AI722" s="30"/>
      <x:c r="AJ722" s="87" t="str">
        <x:v>master</x:v>
      </x:c>
      <x:c r="AK722" s="87" t="str">
        <x:v>master-v0.81</x:v>
      </x:c>
      <x:c r="AL722" s="87" t="str">
        <x:v>statgrad_master_base_v0_81_final(2).xlsx</x:v>
      </x:c>
      <x:c r="AM722" s="87" t="str">
        <x:v>ENG_Feb_Written_V1</x:v>
      </x:c>
      <x:c r="AN722" s="87" t="n">
        <x:v>4</x:v>
      </x:c>
    </x:row>
    <x:row r="723">
      <x:c r="A723" s="87" t="n">
        <x:v>722</x:v>
      </x:c>
      <x:c r="B723" s="87" t="str">
        <x:v>FEB-ENG-W-V1-004</x:v>
      </x:c>
      <x:c r="C723" s="87" t="str">
        <x:v>СтатГрад</x:v>
      </x:c>
      <x:c r="D723" s="87" t="str">
        <x:v>Февраль 2026</x:v>
      </x:c>
      <x:c r="E723" s="87"/>
      <x:c r="F723" s="87"/>
      <x:c r="G723" s="87" t="str">
        <x:v>Английский язык</x:v>
      </x:c>
      <x:c r="H723" s="87" t="n">
        <x:v>11</x:v>
      </x:c>
      <x:c r="I723" s="87" t="str">
        <x:v>ТР №2</x:v>
      </x:c>
      <x:c r="J723" s="87" t="str">
        <x:v>АЯ2510201</x:v>
      </x:c>
      <x:c r="K723" s="87" t="n">
        <x:v>4</x:v>
      </x:c>
      <x:c r="L723" s="87" t="str">
        <x:v>Аудирование: выбор ответа</x:v>
      </x:c>
      <x:c r="M723" s="30" t="str">
        <x:v>Что общего у музыкантов и спортсменов?</x:v>
      </x:c>
      <x:c r="N723" s="30" t="str">
        <x:v>1</x:v>
      </x:c>
      <x:c r="O723" s="30" t="str">
        <x:v>Обе профессии требуют тренировать психику и выступать под сильным давлением.</x:v>
      </x:c>
      <x:c r="P723" s="30" t="str">
        <x:v>Фраза о работе сознания под давлением прямо присутствует в интервью.</x:v>
      </x:c>
      <x:c r="Q723" s="30"/>
      <x:c r="R723" s="30" t="str">
        <x:v>нет в таблице</x:v>
      </x:c>
      <x:c r="S723" s="30"/>
      <x:c r="T723" s="30"/>
      <x:c r="U723" s="30" t="str">
        <x:v>Решено независимо по скрипту.</x:v>
      </x:c>
      <x:c r="V723" s="87" t="str">
        <x:v>VERIFIED</x:v>
      </x:c>
      <x:c r="W723" s="87" t="n">
        <x:v>3</x:v>
      </x:c>
      <x:c r="X723" s="87"/>
      <x:c r="Y723" s="87"/>
      <x:c r="Z723" s="87"/>
      <x:c r="AA723" s="87"/>
      <x:c r="AB723" s="87"/>
      <x:c r="AC723" s="87"/>
      <x:c r="AD723" s="87"/>
      <x:c r="AE723" s="87"/>
      <x:c r="AF723" s="87"/>
      <x:c r="AG723" s="87"/>
      <x:c r="AH723" s="87"/>
      <x:c r="AI723" s="30"/>
      <x:c r="AJ723" s="87" t="str">
        <x:v>master</x:v>
      </x:c>
      <x:c r="AK723" s="87" t="str">
        <x:v>master-v0.81</x:v>
      </x:c>
      <x:c r="AL723" s="87" t="str">
        <x:v>statgrad_master_base_v0_81_final(2).xlsx</x:v>
      </x:c>
      <x:c r="AM723" s="87" t="str">
        <x:v>ENG_Feb_Written_V1</x:v>
      </x:c>
      <x:c r="AN723" s="87" t="n">
        <x:v>5</x:v>
      </x:c>
    </x:row>
    <x:row r="724">
      <x:c r="A724" s="87" t="n">
        <x:v>723</x:v>
      </x:c>
      <x:c r="B724" s="87" t="str">
        <x:v>FEB-ENG-W-V1-005</x:v>
      </x:c>
      <x:c r="C724" s="87" t="str">
        <x:v>СтатГрад</x:v>
      </x:c>
      <x:c r="D724" s="87" t="str">
        <x:v>Февраль 2026</x:v>
      </x:c>
      <x:c r="E724" s="87"/>
      <x:c r="F724" s="87"/>
      <x:c r="G724" s="87" t="str">
        <x:v>Английский язык</x:v>
      </x:c>
      <x:c r="H724" s="87" t="n">
        <x:v>11</x:v>
      </x:c>
      <x:c r="I724" s="87" t="str">
        <x:v>ТР №2</x:v>
      </x:c>
      <x:c r="J724" s="87" t="str">
        <x:v>АЯ2510201</x:v>
      </x:c>
      <x:c r="K724" s="87" t="n">
        <x:v>5</x:v>
      </x:c>
      <x:c r="L724" s="87" t="str">
        <x:v>Аудирование: выбор ответа</x:v>
      </x:c>
      <x:c r="M724" s="30" t="str">
        <x:v>Кого, по мнению доктора Картер, оценивают объективнее?</x:v>
      </x:c>
      <x:c r="N724" s="30" t="str">
        <x:v>2</x:v>
      </x:c>
      <x:c r="O724" s="30" t="str">
        <x:v>Спортивный результат измеряется очками или временем, тогда как в музыке добавляется неизмеримая художественная оценка.</x:v>
      </x:c>
      <x:c r="P724" s="30" t="str">
        <x:v>Сопоставлены прямые слова эксперта об объективности оценки.</x:v>
      </x:c>
      <x:c r="Q724" s="30"/>
      <x:c r="R724" s="30" t="str">
        <x:v>нет в таблице</x:v>
      </x:c>
      <x:c r="S724" s="30"/>
      <x:c r="T724" s="30"/>
      <x:c r="U724" s="30" t="str">
        <x:v>Решено независимо по скрипту.</x:v>
      </x:c>
      <x:c r="V724" s="87" t="str">
        <x:v>VERIFIED</x:v>
      </x:c>
      <x:c r="W724" s="87" t="n">
        <x:v>3</x:v>
      </x:c>
      <x:c r="X724" s="87"/>
      <x:c r="Y724" s="87"/>
      <x:c r="Z724" s="87"/>
      <x:c r="AA724" s="87"/>
      <x:c r="AB724" s="87"/>
      <x:c r="AC724" s="87"/>
      <x:c r="AD724" s="87"/>
      <x:c r="AE724" s="87"/>
      <x:c r="AF724" s="87"/>
      <x:c r="AG724" s="87"/>
      <x:c r="AH724" s="87"/>
      <x:c r="AI724" s="30"/>
      <x:c r="AJ724" s="87" t="str">
        <x:v>master</x:v>
      </x:c>
      <x:c r="AK724" s="87" t="str">
        <x:v>master-v0.81</x:v>
      </x:c>
      <x:c r="AL724" s="87" t="str">
        <x:v>statgrad_master_base_v0_81_final(2).xlsx</x:v>
      </x:c>
      <x:c r="AM724" s="87" t="str">
        <x:v>ENG_Feb_Written_V1</x:v>
      </x:c>
      <x:c r="AN724" s="87" t="n">
        <x:v>6</x:v>
      </x:c>
    </x:row>
    <x:row r="725">
      <x:c r="A725" s="87" t="n">
        <x:v>724</x:v>
      </x:c>
      <x:c r="B725" s="87" t="str">
        <x:v>FEB-ENG-W-V1-006</x:v>
      </x:c>
      <x:c r="C725" s="87" t="str">
        <x:v>СтатГрад</x:v>
      </x:c>
      <x:c r="D725" s="87" t="str">
        <x:v>Февраль 2026</x:v>
      </x:c>
      <x:c r="E725" s="87"/>
      <x:c r="F725" s="87"/>
      <x:c r="G725" s="87" t="str">
        <x:v>Английский язык</x:v>
      </x:c>
      <x:c r="H725" s="87" t="n">
        <x:v>11</x:v>
      </x:c>
      <x:c r="I725" s="87" t="str">
        <x:v>ТР №2</x:v>
      </x:c>
      <x:c r="J725" s="87" t="str">
        <x:v>АЯ2510201</x:v>
      </x:c>
      <x:c r="K725" s="87" t="n">
        <x:v>6</x:v>
      </x:c>
      <x:c r="L725" s="87" t="str">
        <x:v>Аудирование: выбор ответа</x:v>
      </x:c>
      <x:c r="M725" s="30" t="str">
        <x:v>С какими трудностями музыканты чаще всего сталкиваются на сцене?</x:v>
      </x:c>
      <x:c r="N725" s="30" t="str">
        <x:v>2</x:v>
      </x:c>
      <x:c r="O725" s="30" t="str">
        <x:v>Доктор Картер называет боязнь сцены и провалы памяти, то есть страх публичного выступления и забывание нот.</x:v>
      </x:c>
      <x:c r="P725" s="30" t="str">
        <x:v>Оба элемента дословно присутствуют в скрипте.</x:v>
      </x:c>
      <x:c r="Q725" s="30"/>
      <x:c r="R725" s="30" t="str">
        <x:v>нет в таблице</x:v>
      </x:c>
      <x:c r="S725" s="30"/>
      <x:c r="T725" s="30"/>
      <x:c r="U725" s="30" t="str">
        <x:v>Решено независимо по скрипту.</x:v>
      </x:c>
      <x:c r="V725" s="87" t="str">
        <x:v>VERIFIED</x:v>
      </x:c>
      <x:c r="W725" s="87" t="n">
        <x:v>3</x:v>
      </x:c>
      <x:c r="X725" s="87"/>
      <x:c r="Y725" s="87"/>
      <x:c r="Z725" s="87"/>
      <x:c r="AA725" s="87"/>
      <x:c r="AB725" s="87"/>
      <x:c r="AC725" s="87"/>
      <x:c r="AD725" s="87"/>
      <x:c r="AE725" s="87"/>
      <x:c r="AF725" s="87"/>
      <x:c r="AG725" s="87"/>
      <x:c r="AH725" s="87"/>
      <x:c r="AI725" s="30"/>
      <x:c r="AJ725" s="87" t="str">
        <x:v>master</x:v>
      </x:c>
      <x:c r="AK725" s="87" t="str">
        <x:v>master-v0.81</x:v>
      </x:c>
      <x:c r="AL725" s="87" t="str">
        <x:v>statgrad_master_base_v0_81_final(2).xlsx</x:v>
      </x:c>
      <x:c r="AM725" s="87" t="str">
        <x:v>ENG_Feb_Written_V1</x:v>
      </x:c>
      <x:c r="AN725" s="87" t="n">
        <x:v>7</x:v>
      </x:c>
    </x:row>
    <x:row r="726">
      <x:c r="A726" s="87" t="n">
        <x:v>725</x:v>
      </x:c>
      <x:c r="B726" s="87" t="str">
        <x:v>FEB-ENG-W-V1-007</x:v>
      </x:c>
      <x:c r="C726" s="87" t="str">
        <x:v>СтатГрад</x:v>
      </x:c>
      <x:c r="D726" s="87" t="str">
        <x:v>Февраль 2026</x:v>
      </x:c>
      <x:c r="E726" s="87"/>
      <x:c r="F726" s="87"/>
      <x:c r="G726" s="87" t="str">
        <x:v>Английский язык</x:v>
      </x:c>
      <x:c r="H726" s="87" t="n">
        <x:v>11</x:v>
      </x:c>
      <x:c r="I726" s="87" t="str">
        <x:v>ТР №2</x:v>
      </x:c>
      <x:c r="J726" s="87" t="str">
        <x:v>АЯ2510201</x:v>
      </x:c>
      <x:c r="K726" s="87" t="n">
        <x:v>7</x:v>
      </x:c>
      <x:c r="L726" s="87" t="str">
        <x:v>Аудирование: выбор ответа</x:v>
      </x:c>
      <x:c r="M726" s="30" t="str">
        <x:v>Как Элиане Родригес отреагировала на неисправность рояля?</x:v>
      </x:c>
      <x:c r="N726" s="30" t="str">
        <x:v>3</x:v>
      </x:c>
      <x:c r="O726" s="30" t="str">
        <x:v>Она спокойно объяснила проблему и превратила замену рояля в часть шоу, развлекая публику.</x:v>
      </x:c>
      <x:c r="P726" s="30" t="str">
        <x:v>Её поведение соответствует формулировке «turned it to her advantage».</x:v>
      </x:c>
      <x:c r="Q726" s="30"/>
      <x:c r="R726" s="30" t="str">
        <x:v>нет в таблице</x:v>
      </x:c>
      <x:c r="S726" s="30"/>
      <x:c r="T726" s="30"/>
      <x:c r="U726" s="30" t="str">
        <x:v>Решено независимо по скрипту.</x:v>
      </x:c>
      <x:c r="V726" s="87" t="str">
        <x:v>VERIFIED</x:v>
      </x:c>
      <x:c r="W726" s="87" t="n">
        <x:v>4</x:v>
      </x:c>
      <x:c r="X726" s="87"/>
      <x:c r="Y726" s="87"/>
      <x:c r="Z726" s="87"/>
      <x:c r="AA726" s="87"/>
      <x:c r="AB726" s="87"/>
      <x:c r="AC726" s="87"/>
      <x:c r="AD726" s="87"/>
      <x:c r="AE726" s="87"/>
      <x:c r="AF726" s="87"/>
      <x:c r="AG726" s="87"/>
      <x:c r="AH726" s="87"/>
      <x:c r="AI726" s="30"/>
      <x:c r="AJ726" s="87" t="str">
        <x:v>master</x:v>
      </x:c>
      <x:c r="AK726" s="87" t="str">
        <x:v>master-v0.81</x:v>
      </x:c>
      <x:c r="AL726" s="87" t="str">
        <x:v>statgrad_master_base_v0_81_final(2).xlsx</x:v>
      </x:c>
      <x:c r="AM726" s="87" t="str">
        <x:v>ENG_Feb_Written_V1</x:v>
      </x:c>
      <x:c r="AN726" s="87" t="n">
        <x:v>8</x:v>
      </x:c>
    </x:row>
    <x:row r="727">
      <x:c r="A727" s="87" t="n">
        <x:v>726</x:v>
      </x:c>
      <x:c r="B727" s="87" t="str">
        <x:v>FEB-ENG-W-V1-008</x:v>
      </x:c>
      <x:c r="C727" s="87" t="str">
        <x:v>СтатГрад</x:v>
      </x:c>
      <x:c r="D727" s="87" t="str">
        <x:v>Февраль 2026</x:v>
      </x:c>
      <x:c r="E727" s="87"/>
      <x:c r="F727" s="87"/>
      <x:c r="G727" s="87" t="str">
        <x:v>Английский язык</x:v>
      </x:c>
      <x:c r="H727" s="87" t="n">
        <x:v>11</x:v>
      </x:c>
      <x:c r="I727" s="87" t="str">
        <x:v>ТР №2</x:v>
      </x:c>
      <x:c r="J727" s="87" t="str">
        <x:v>АЯ2510201</x:v>
      </x:c>
      <x:c r="K727" s="87" t="n">
        <x:v>8</x:v>
      </x:c>
      <x:c r="L727" s="87" t="str">
        <x:v>Аудирование: выбор ответа</x:v>
      </x:c>
      <x:c r="M727" s="30" t="str">
        <x:v>Каков был итог инцидента на выступлении Ань Тяньсю?</x:v>
      </x:c>
      <x:c r="N727" s="30" t="str">
        <x:v>1</x:v>
      </x:c>
      <x:c r="O727" s="30" t="str">
        <x:v>Помимо четвёртой премии пианист получил специальную награду за мужество и выдержку.</x:v>
      </x:c>
      <x:c r="P727" s="30" t="str">
        <x:v>Дополнительная специальная награда прямо названа в интервью.</x:v>
      </x:c>
      <x:c r="Q727" s="30"/>
      <x:c r="R727" s="30" t="str">
        <x:v>нет в таблице</x:v>
      </x:c>
      <x:c r="S727" s="30"/>
      <x:c r="T727" s="30"/>
      <x:c r="U727" s="30" t="str">
        <x:v>Решено независимо по скрипту.</x:v>
      </x:c>
      <x:c r="V727" s="87" t="str">
        <x:v>VERIFIED</x:v>
      </x:c>
      <x:c r="W727" s="87" t="n">
        <x:v>4</x:v>
      </x:c>
      <x:c r="X727" s="87"/>
      <x:c r="Y727" s="87"/>
      <x:c r="Z727" s="87"/>
      <x:c r="AA727" s="87"/>
      <x:c r="AB727" s="87"/>
      <x:c r="AC727" s="87"/>
      <x:c r="AD727" s="87"/>
      <x:c r="AE727" s="87"/>
      <x:c r="AF727" s="87"/>
      <x:c r="AG727" s="87"/>
      <x:c r="AH727" s="87"/>
      <x:c r="AI727" s="30"/>
      <x:c r="AJ727" s="87" t="str">
        <x:v>master</x:v>
      </x:c>
      <x:c r="AK727" s="87" t="str">
        <x:v>master-v0.81</x:v>
      </x:c>
      <x:c r="AL727" s="87" t="str">
        <x:v>statgrad_master_base_v0_81_final(2).xlsx</x:v>
      </x:c>
      <x:c r="AM727" s="87" t="str">
        <x:v>ENG_Feb_Written_V1</x:v>
      </x:c>
      <x:c r="AN727" s="87" t="n">
        <x:v>9</x:v>
      </x:c>
    </x:row>
    <x:row r="728">
      <x:c r="A728" s="87" t="n">
        <x:v>727</x:v>
      </x:c>
      <x:c r="B728" s="87" t="str">
        <x:v>FEB-ENG-W-V1-009</x:v>
      </x:c>
      <x:c r="C728" s="87" t="str">
        <x:v>СтатГрад</x:v>
      </x:c>
      <x:c r="D728" s="87" t="str">
        <x:v>Февраль 2026</x:v>
      </x:c>
      <x:c r="E728" s="87"/>
      <x:c r="F728" s="87"/>
      <x:c r="G728" s="87" t="str">
        <x:v>Английский язык</x:v>
      </x:c>
      <x:c r="H728" s="87" t="n">
        <x:v>11</x:v>
      </x:c>
      <x:c r="I728" s="87" t="str">
        <x:v>ТР №2</x:v>
      </x:c>
      <x:c r="J728" s="87" t="str">
        <x:v>АЯ2510201</x:v>
      </x:c>
      <x:c r="K728" s="87" t="n">
        <x:v>9</x:v>
      </x:c>
      <x:c r="L728" s="87" t="str">
        <x:v>Аудирование: выбор ответа</x:v>
      </x:c>
      <x:c r="M728" s="30" t="str">
        <x:v>Что должны понимать музыканты?</x:v>
      </x:c>
      <x:c r="N728" s="30" t="str">
        <x:v>2</x:v>
      </x:c>
      <x:c r="O728" s="30" t="str">
        <x:v>Неожиданные ситуации являются частью профессии исполнителя; важнее сохранять спокойствие, гибкость и продолжать играть.</x:v>
      </x:c>
      <x:c r="P728" s="30" t="str">
        <x:v>Вывод совпадает с заключительным советом доктора Картер.</x:v>
      </x:c>
      <x:c r="Q728" s="30"/>
      <x:c r="R728" s="30" t="str">
        <x:v>нет в таблице</x:v>
      </x:c>
      <x:c r="S728" s="30"/>
      <x:c r="T728" s="30"/>
      <x:c r="U728" s="30" t="str">
        <x:v>Решено независимо по скрипту.</x:v>
      </x:c>
      <x:c r="V728" s="87" t="str">
        <x:v>VERIFIED</x:v>
      </x:c>
      <x:c r="W728" s="87" t="n">
        <x:v>4</x:v>
      </x:c>
      <x:c r="X728" s="87"/>
      <x:c r="Y728" s="87"/>
      <x:c r="Z728" s="87"/>
      <x:c r="AA728" s="87"/>
      <x:c r="AB728" s="87"/>
      <x:c r="AC728" s="87"/>
      <x:c r="AD728" s="87"/>
      <x:c r="AE728" s="87"/>
      <x:c r="AF728" s="87"/>
      <x:c r="AG728" s="87"/>
      <x:c r="AH728" s="87"/>
      <x:c r="AI728" s="30"/>
      <x:c r="AJ728" s="87" t="str">
        <x:v>master</x:v>
      </x:c>
      <x:c r="AK728" s="87" t="str">
        <x:v>master-v0.81</x:v>
      </x:c>
      <x:c r="AL728" s="87" t="str">
        <x:v>statgrad_master_base_v0_81_final(2).xlsx</x:v>
      </x:c>
      <x:c r="AM728" s="87" t="str">
        <x:v>ENG_Feb_Written_V1</x:v>
      </x:c>
      <x:c r="AN728" s="87" t="n">
        <x:v>10</x:v>
      </x:c>
    </x:row>
    <x:row r="729">
      <x:c r="A729" s="87" t="n">
        <x:v>728</x:v>
      </x:c>
      <x:c r="B729" s="87" t="str">
        <x:v>FEB-ENG-W-V1-010</x:v>
      </x:c>
      <x:c r="C729" s="87" t="str">
        <x:v>СтатГрад</x:v>
      </x:c>
      <x:c r="D729" s="87" t="str">
        <x:v>Февраль 2026</x:v>
      </x:c>
      <x:c r="E729" s="87"/>
      <x:c r="F729" s="87"/>
      <x:c r="G729" s="87" t="str">
        <x:v>Английский язык</x:v>
      </x:c>
      <x:c r="H729" s="87" t="n">
        <x:v>11</x:v>
      </x:c>
      <x:c r="I729" s="87" t="str">
        <x:v>ТР №2</x:v>
      </x:c>
      <x:c r="J729" s="87" t="str">
        <x:v>АЯ2510201</x:v>
      </x:c>
      <x:c r="K729" s="87" t="n">
        <x:v>10</x:v>
      </x:c>
      <x:c r="L729" s="87" t="str">
        <x:v>Чтение: заголовки</x:v>
      </x:c>
      <x:c r="M729" s="30" t="str">
        <x:v>Соотнесите тексты A–G о колоколах с заголовками 1–8.</x:v>
      </x:c>
      <x:c r="N729" s="30" t="str">
        <x:v>5714863</x:v>
      </x:c>
      <x:c r="O729" s="30" t="str">
        <x:v>A — незабываемое впечатление; B — исключение из запрета инструментов; C — сходные идеи великих композиторов; D — культурное недопонимание; E — великий, но не работавший Царь-колокол; F — переход колоколов из истории в фэнтези; G — колокол, наказанный как человек.</x:v>
      </x:c>
      <x:c r="P729" s="30" t="str">
        <x:v>Все семь микротекстов сопоставлены по основной мысли; заголовок 2 лишний.</x:v>
      </x:c>
      <x:c r="Q729" s="30"/>
      <x:c r="R729" s="30" t="str">
        <x:v>5714863</x:v>
      </x:c>
      <x:c r="S729" s="30"/>
      <x:c r="T729" s="30"/>
      <x:c r="U729" s="30" t="str">
        <x:v>Расхождений нет.</x:v>
      </x:c>
      <x:c r="V729" s="87" t="str">
        <x:v>VERIFIED</x:v>
      </x:c>
      <x:c r="W729" s="87" t="str">
        <x:v>5–6</x:v>
      </x:c>
      <x:c r="X729" s="87"/>
      <x:c r="Y729" s="87"/>
      <x:c r="Z729" s="87"/>
      <x:c r="AA729" s="87"/>
      <x:c r="AB729" s="87"/>
      <x:c r="AC729" s="87"/>
      <x:c r="AD729" s="87"/>
      <x:c r="AE729" s="87"/>
      <x:c r="AF729" s="87"/>
      <x:c r="AG729" s="87"/>
      <x:c r="AH729" s="87"/>
      <x:c r="AI729" s="30"/>
      <x:c r="AJ729" s="87" t="str">
        <x:v>master</x:v>
      </x:c>
      <x:c r="AK729" s="87" t="str">
        <x:v>master-v0.81</x:v>
      </x:c>
      <x:c r="AL729" s="87" t="str">
        <x:v>statgrad_master_base_v0_81_final(2).xlsx</x:v>
      </x:c>
      <x:c r="AM729" s="87" t="str">
        <x:v>ENG_Feb_Written_V1</x:v>
      </x:c>
      <x:c r="AN729" s="87" t="n">
        <x:v>11</x:v>
      </x:c>
    </x:row>
    <x:row r="730">
      <x:c r="A730" s="87" t="n">
        <x:v>729</x:v>
      </x:c>
      <x:c r="B730" s="87" t="str">
        <x:v>FEB-ENG-W-V1-011</x:v>
      </x:c>
      <x:c r="C730" s="87" t="str">
        <x:v>СтатГрад</x:v>
      </x:c>
      <x:c r="D730" s="87" t="str">
        <x:v>Февраль 2026</x:v>
      </x:c>
      <x:c r="E730" s="87"/>
      <x:c r="F730" s="87"/>
      <x:c r="G730" s="87" t="str">
        <x:v>Английский язык</x:v>
      </x:c>
      <x:c r="H730" s="87" t="n">
        <x:v>11</x:v>
      </x:c>
      <x:c r="I730" s="87" t="str">
        <x:v>ТР №2</x:v>
      </x:c>
      <x:c r="J730" s="87" t="str">
        <x:v>АЯ2510201</x:v>
      </x:c>
      <x:c r="K730" s="87" t="n">
        <x:v>11</x:v>
      </x:c>
      <x:c r="L730" s="87" t="str">
        <x:v>Чтение: восстановление текста</x:v>
      </x:c>
      <x:c r="M730" s="30" t="str">
        <x:v>Вставьте шесть частей предложений в текст о Розеттском камне.</x:v>
      </x:c>
      <x:c r="N730" s="30" t="str">
        <x:v>672143</x:v>
      </x:c>
      <x:c r="O730" s="30" t="str">
        <x:v>A — symbols that cover the temples and tombs; B — what is today the country of Egypt; C — on the top part of the stone; D — as demotic, or popular, script; E — for example, to send messages; F — along with Egyptian writing.</x:v>
      </x:c>
      <x:c r="P730" s="30" t="str">
        <x:v>Проверены грамматика, логика и связность каждого восстановленного предложения.</x:v>
      </x:c>
      <x:c r="Q730" s="30"/>
      <x:c r="R730" s="30" t="str">
        <x:v>672143</x:v>
      </x:c>
      <x:c r="S730" s="30"/>
      <x:c r="T730" s="30"/>
      <x:c r="U730" s="30" t="str">
        <x:v>Расхождений нет.</x:v>
      </x:c>
      <x:c r="V730" s="87" t="str">
        <x:v>VERIFIED</x:v>
      </x:c>
      <x:c r="W730" s="87" t="n">
        <x:v>7</x:v>
      </x:c>
      <x:c r="X730" s="87"/>
      <x:c r="Y730" s="87"/>
      <x:c r="Z730" s="87"/>
      <x:c r="AA730" s="87"/>
      <x:c r="AB730" s="87"/>
      <x:c r="AC730" s="87"/>
      <x:c r="AD730" s="87"/>
      <x:c r="AE730" s="87"/>
      <x:c r="AF730" s="87"/>
      <x:c r="AG730" s="87"/>
      <x:c r="AH730" s="87"/>
      <x:c r="AI730" s="30"/>
      <x:c r="AJ730" s="87" t="str">
        <x:v>master</x:v>
      </x:c>
      <x:c r="AK730" s="87" t="str">
        <x:v>master-v0.81</x:v>
      </x:c>
      <x:c r="AL730" s="87" t="str">
        <x:v>statgrad_master_base_v0_81_final(2).xlsx</x:v>
      </x:c>
      <x:c r="AM730" s="87" t="str">
        <x:v>ENG_Feb_Written_V1</x:v>
      </x:c>
      <x:c r="AN730" s="87" t="n">
        <x:v>12</x:v>
      </x:c>
    </x:row>
    <x:row r="731">
      <x:c r="A731" s="87" t="n">
        <x:v>730</x:v>
      </x:c>
      <x:c r="B731" s="87" t="str">
        <x:v>FEB-ENG-W-V1-012</x:v>
      </x:c>
      <x:c r="C731" s="87" t="str">
        <x:v>СтатГрад</x:v>
      </x:c>
      <x:c r="D731" s="87" t="str">
        <x:v>Февраль 2026</x:v>
      </x:c>
      <x:c r="E731" s="87"/>
      <x:c r="F731" s="87"/>
      <x:c r="G731" s="87" t="str">
        <x:v>Английский язык</x:v>
      </x:c>
      <x:c r="H731" s="87" t="n">
        <x:v>11</x:v>
      </x:c>
      <x:c r="I731" s="87" t="str">
        <x:v>ТР №2</x:v>
      </x:c>
      <x:c r="J731" s="87" t="str">
        <x:v>АЯ2510201</x:v>
      </x:c>
      <x:c r="K731" s="87" t="n">
        <x:v>12</x:v>
      </x:c>
      <x:c r="L731" s="87" t="str">
        <x:v>Чтение: выбор ответа</x:v>
      </x:c>
      <x:c r="M731" s="30" t="str">
        <x:v>Каким Лисицына характеризует первый абзац?</x:v>
      </x:c>
      <x:c r="N731" s="30" t="str">
        <x:v>1</x:v>
      </x:c>
      <x:c r="O731" s="30" t="str">
        <x:v>Он молод, богат, аристократичен, избалован свободой и в пьяном виде провоцирует бунт.</x:v>
      </x:c>
      <x:c r="P731" s="30" t="str">
        <x:v>Вариант 1 наиболее полно передаёт тон и факты абзаца.</x:v>
      </x:c>
      <x:c r="Q731" s="30"/>
      <x:c r="R731" s="30" t="str">
        <x:v>нет в таблице</x:v>
      </x:c>
      <x:c r="S731" s="30"/>
      <x:c r="T731" s="30"/>
      <x:c r="U731" s="30" t="str">
        <x:v>Решено независимо по тексту.</x:v>
      </x:c>
      <x:c r="V731" s="87" t="str">
        <x:v>VERIFIED</x:v>
      </x:c>
      <x:c r="W731" s="87" t="n">
        <x:v>9</x:v>
      </x:c>
      <x:c r="X731" s="87"/>
      <x:c r="Y731" s="87"/>
      <x:c r="Z731" s="87"/>
      <x:c r="AA731" s="87"/>
      <x:c r="AB731" s="87"/>
      <x:c r="AC731" s="87"/>
      <x:c r="AD731" s="87"/>
      <x:c r="AE731" s="87"/>
      <x:c r="AF731" s="87"/>
      <x:c r="AG731" s="87"/>
      <x:c r="AH731" s="87"/>
      <x:c r="AI731" s="30"/>
      <x:c r="AJ731" s="87" t="str">
        <x:v>master</x:v>
      </x:c>
      <x:c r="AK731" s="87" t="str">
        <x:v>master-v0.81</x:v>
      </x:c>
      <x:c r="AL731" s="87" t="str">
        <x:v>statgrad_master_base_v0_81_final(2).xlsx</x:v>
      </x:c>
      <x:c r="AM731" s="87" t="str">
        <x:v>ENG_Feb_Written_V1</x:v>
      </x:c>
      <x:c r="AN731" s="87" t="n">
        <x:v>13</x:v>
      </x:c>
    </x:row>
    <x:row r="732">
      <x:c r="A732" s="87" t="n">
        <x:v>731</x:v>
      </x:c>
      <x:c r="B732" s="87" t="str">
        <x:v>FEB-ENG-W-V1-013</x:v>
      </x:c>
      <x:c r="C732" s="87" t="str">
        <x:v>СтатГрад</x:v>
      </x:c>
      <x:c r="D732" s="87" t="str">
        <x:v>Февраль 2026</x:v>
      </x:c>
      <x:c r="E732" s="87"/>
      <x:c r="F732" s="87"/>
      <x:c r="G732" s="87" t="str">
        <x:v>Английский язык</x:v>
      </x:c>
      <x:c r="H732" s="87" t="n">
        <x:v>11</x:v>
      </x:c>
      <x:c r="I732" s="87" t="str">
        <x:v>ТР №2</x:v>
      </x:c>
      <x:c r="J732" s="87" t="str">
        <x:v>АЯ2510201</x:v>
      </x:c>
      <x:c r="K732" s="87" t="n">
        <x:v>13</x:v>
      </x:c>
      <x:c r="L732" s="87" t="str">
        <x:v>Чтение: лексика</x:v>
      </x:c>
      <x:c r="M732" s="30" t="str">
        <x:v>Ближайшее значение слова incite.</x:v>
      </x:c>
      <x:c r="N732" s="30" t="str">
        <x:v>4</x:v>
      </x:c>
      <x:c r="O732" s="30" t="str">
        <x:v>В сочетании incite the sailors to rebel слово означает «подстрекать, провоцировать».</x:v>
      </x:c>
      <x:c r="P732" s="30" t="str">
        <x:v>Контекст и словарное значение совпадают с provoke.</x:v>
      </x:c>
      <x:c r="Q732" s="30"/>
      <x:c r="R732" s="30" t="str">
        <x:v>нет в таблице</x:v>
      </x:c>
      <x:c r="S732" s="30"/>
      <x:c r="T732" s="30"/>
      <x:c r="U732" s="30" t="str">
        <x:v>Решено независимо по тексту.</x:v>
      </x:c>
      <x:c r="V732" s="87" t="str">
        <x:v>VERIFIED</x:v>
      </x:c>
      <x:c r="W732" s="87" t="n">
        <x:v>9</x:v>
      </x:c>
      <x:c r="X732" s="87"/>
      <x:c r="Y732" s="87"/>
      <x:c r="Z732" s="87"/>
      <x:c r="AA732" s="87"/>
      <x:c r="AB732" s="87"/>
      <x:c r="AC732" s="87"/>
      <x:c r="AD732" s="87"/>
      <x:c r="AE732" s="87"/>
      <x:c r="AF732" s="87"/>
      <x:c r="AG732" s="87"/>
      <x:c r="AH732" s="87"/>
      <x:c r="AI732" s="30"/>
      <x:c r="AJ732" s="87" t="str">
        <x:v>master</x:v>
      </x:c>
      <x:c r="AK732" s="87" t="str">
        <x:v>master-v0.81</x:v>
      </x:c>
      <x:c r="AL732" s="87" t="str">
        <x:v>statgrad_master_base_v0_81_final(2).xlsx</x:v>
      </x:c>
      <x:c r="AM732" s="87" t="str">
        <x:v>ENG_Feb_Written_V1</x:v>
      </x:c>
      <x:c r="AN732" s="87" t="n">
        <x:v>14</x:v>
      </x:c>
    </x:row>
    <x:row r="733">
      <x:c r="A733" s="87" t="n">
        <x:v>732</x:v>
      </x:c>
      <x:c r="B733" s="87" t="str">
        <x:v>FEB-ENG-W-V1-014</x:v>
      </x:c>
      <x:c r="C733" s="87" t="str">
        <x:v>СтатГрад</x:v>
      </x:c>
      <x:c r="D733" s="87" t="str">
        <x:v>Февраль 2026</x:v>
      </x:c>
      <x:c r="E733" s="87"/>
      <x:c r="F733" s="87"/>
      <x:c r="G733" s="87" t="str">
        <x:v>Английский язык</x:v>
      </x:c>
      <x:c r="H733" s="87" t="n">
        <x:v>11</x:v>
      </x:c>
      <x:c r="I733" s="87" t="str">
        <x:v>ТР №2</x:v>
      </x:c>
      <x:c r="J733" s="87" t="str">
        <x:v>АЯ2510201</x:v>
      </x:c>
      <x:c r="K733" s="87" t="n">
        <x:v>14</x:v>
      </x:c>
      <x:c r="L733" s="87" t="str">
        <x:v>Чтение: выбор ответа</x:v>
      </x:c>
      <x:c r="M733" s="30" t="str">
        <x:v>Чего капитан НЕ сделал, высадив Лисицына?</x:v>
      </x:c>
      <x:c r="N733" s="30" t="str">
        <x:v>1</x:v>
      </x:c>
      <x:c r="O733" s="30" t="str">
        <x:v>Капитан нарушил суровый закон, спас жизнь и хотел преподать урок, но не оставил героя на верную смерть: снабдил одеждой, оружием и продовольствием.</x:v>
      </x:c>
      <x:c r="P733" s="30" t="str">
        <x:v>Проверены письмо капитана и перечень оставленных припасов.</x:v>
      </x:c>
      <x:c r="Q733" s="30"/>
      <x:c r="R733" s="30" t="str">
        <x:v>нет в таблице</x:v>
      </x:c>
      <x:c r="S733" s="30"/>
      <x:c r="T733" s="30"/>
      <x:c r="U733" s="30" t="str">
        <x:v>Решено независимо по тексту.</x:v>
      </x:c>
      <x:c r="V733" s="87" t="str">
        <x:v>VERIFIED</x:v>
      </x:c>
      <x:c r="W733" s="87" t="n">
        <x:v>9</x:v>
      </x:c>
      <x:c r="X733" s="87"/>
      <x:c r="Y733" s="87"/>
      <x:c r="Z733" s="87"/>
      <x:c r="AA733" s="87"/>
      <x:c r="AB733" s="87"/>
      <x:c r="AC733" s="87"/>
      <x:c r="AD733" s="87"/>
      <x:c r="AE733" s="87"/>
      <x:c r="AF733" s="87"/>
      <x:c r="AG733" s="87"/>
      <x:c r="AH733" s="87"/>
      <x:c r="AI733" s="30"/>
      <x:c r="AJ733" s="87" t="str">
        <x:v>master</x:v>
      </x:c>
      <x:c r="AK733" s="87" t="str">
        <x:v>master-v0.81</x:v>
      </x:c>
      <x:c r="AL733" s="87" t="str">
        <x:v>statgrad_master_base_v0_81_final(2).xlsx</x:v>
      </x:c>
      <x:c r="AM733" s="87" t="str">
        <x:v>ENG_Feb_Written_V1</x:v>
      </x:c>
      <x:c r="AN733" s="87" t="n">
        <x:v>15</x:v>
      </x:c>
    </x:row>
    <x:row r="734">
      <x:c r="A734" s="87" t="n">
        <x:v>733</x:v>
      </x:c>
      <x:c r="B734" s="87" t="str">
        <x:v>FEB-ENG-W-V1-015</x:v>
      </x:c>
      <x:c r="C734" s="87" t="str">
        <x:v>СтатГрад</x:v>
      </x:c>
      <x:c r="D734" s="87" t="str">
        <x:v>Февраль 2026</x:v>
      </x:c>
      <x:c r="E734" s="87"/>
      <x:c r="F734" s="87"/>
      <x:c r="G734" s="87" t="str">
        <x:v>Английский язык</x:v>
      </x:c>
      <x:c r="H734" s="87" t="n">
        <x:v>11</x:v>
      </x:c>
      <x:c r="I734" s="87" t="str">
        <x:v>ТР №2</x:v>
      </x:c>
      <x:c r="J734" s="87" t="str">
        <x:v>АЯ2510201</x:v>
      </x:c>
      <x:c r="K734" s="87" t="n">
        <x:v>15</x:v>
      </x:c>
      <x:c r="L734" s="87" t="str">
        <x:v>Чтение: выбор ответа</x:v>
      </x:c>
      <x:c r="M734" s="30" t="str">
        <x:v>Где был высажен Лисицын?</x:v>
      </x:c>
      <x:c r="N734" s="30" t="str">
        <x:v>2</x:v>
      </x:c>
      <x:c r="O734" s="30" t="str">
        <x:v>Он надеялся оказаться на Курильских островах, но понял, что находится на материковом берегу между морем и тайгой.</x:v>
      </x:c>
      <x:c r="P734" s="30" t="str">
        <x:v>Прямо сопоставлены его ожидание и фактическое положение.</x:v>
      </x:c>
      <x:c r="Q734" s="30"/>
      <x:c r="R734" s="30" t="str">
        <x:v>нет в таблице</x:v>
      </x:c>
      <x:c r="S734" s="30"/>
      <x:c r="T734" s="30"/>
      <x:c r="U734" s="30" t="str">
        <x:v>Решено независимо по тексту.</x:v>
      </x:c>
      <x:c r="V734" s="87" t="str">
        <x:v>VERIFIED</x:v>
      </x:c>
      <x:c r="W734" s="87" t="n">
        <x:v>10</x:v>
      </x:c>
      <x:c r="X734" s="87"/>
      <x:c r="Y734" s="87"/>
      <x:c r="Z734" s="87"/>
      <x:c r="AA734" s="87"/>
      <x:c r="AB734" s="87"/>
      <x:c r="AC734" s="87"/>
      <x:c r="AD734" s="87"/>
      <x:c r="AE734" s="87"/>
      <x:c r="AF734" s="87"/>
      <x:c r="AG734" s="87"/>
      <x:c r="AH734" s="87"/>
      <x:c r="AI734" s="30"/>
      <x:c r="AJ734" s="87" t="str">
        <x:v>master</x:v>
      </x:c>
      <x:c r="AK734" s="87" t="str">
        <x:v>master-v0.81</x:v>
      </x:c>
      <x:c r="AL734" s="87" t="str">
        <x:v>statgrad_master_base_v0_81_final(2).xlsx</x:v>
      </x:c>
      <x:c r="AM734" s="87" t="str">
        <x:v>ENG_Feb_Written_V1</x:v>
      </x:c>
      <x:c r="AN734" s="87" t="n">
        <x:v>16</x:v>
      </x:c>
    </x:row>
    <x:row r="735">
      <x:c r="A735" s="87" t="n">
        <x:v>734</x:v>
      </x:c>
      <x:c r="B735" s="87" t="str">
        <x:v>FEB-ENG-W-V1-016</x:v>
      </x:c>
      <x:c r="C735" s="87" t="str">
        <x:v>СтатГрад</x:v>
      </x:c>
      <x:c r="D735" s="87" t="str">
        <x:v>Февраль 2026</x:v>
      </x:c>
      <x:c r="E735" s="87"/>
      <x:c r="F735" s="87"/>
      <x:c r="G735" s="87" t="str">
        <x:v>Английский язык</x:v>
      </x:c>
      <x:c r="H735" s="87" t="n">
        <x:v>11</x:v>
      </x:c>
      <x:c r="I735" s="87" t="str">
        <x:v>ТР №2</x:v>
      </x:c>
      <x:c r="J735" s="87" t="str">
        <x:v>АЯ2510201</x:v>
      </x:c>
      <x:c r="K735" s="87" t="n">
        <x:v>16</x:v>
      </x:c>
      <x:c r="L735" s="87" t="str">
        <x:v>Чтение: вывод из текста</x:v>
      </x:c>
      <x:c r="M735" s="30" t="str">
        <x:v>Каким оружием Лисицын убил волков и медведя?</x:v>
      </x:c>
      <x:c r="N735" s="30" t="str">
        <x:v>2</x:v>
      </x:c>
      <x:c r="O735" s="30" t="str">
        <x:v>Он сделал лук, но сохранял патроны для самых крупных и опасных животных; последующие волки и медведь относятся именно к ним.</x:v>
      </x:c>
      <x:c r="P735" s="30" t="str">
        <x:v>Вывод проверен по причинной связи между запасом патронов и нападением хищников.</x:v>
      </x:c>
      <x:c r="Q735" s="30"/>
      <x:c r="R735" s="30" t="str">
        <x:v>нет в таблице</x:v>
      </x:c>
      <x:c r="S735" s="30"/>
      <x:c r="T735" s="30"/>
      <x:c r="U735" s="30" t="str">
        <x:v>Решено независимо по тексту.</x:v>
      </x:c>
      <x:c r="V735" s="87" t="str">
        <x:v>VERIFIED</x:v>
      </x:c>
      <x:c r="W735" s="87" t="n">
        <x:v>10</x:v>
      </x:c>
      <x:c r="X735" s="87"/>
      <x:c r="Y735" s="87"/>
      <x:c r="Z735" s="87"/>
      <x:c r="AA735" s="87"/>
      <x:c r="AB735" s="87"/>
      <x:c r="AC735" s="87"/>
      <x:c r="AD735" s="87"/>
      <x:c r="AE735" s="87"/>
      <x:c r="AF735" s="87"/>
      <x:c r="AG735" s="87"/>
      <x:c r="AH735" s="87"/>
      <x:c r="AI735" s="30"/>
      <x:c r="AJ735" s="87" t="str">
        <x:v>master</x:v>
      </x:c>
      <x:c r="AK735" s="87" t="str">
        <x:v>master-v0.81</x:v>
      </x:c>
      <x:c r="AL735" s="87" t="str">
        <x:v>statgrad_master_base_v0_81_final(2).xlsx</x:v>
      </x:c>
      <x:c r="AM735" s="87" t="str">
        <x:v>ENG_Feb_Written_V1</x:v>
      </x:c>
      <x:c r="AN735" s="87" t="n">
        <x:v>17</x:v>
      </x:c>
    </x:row>
    <x:row r="736">
      <x:c r="A736" s="87" t="n">
        <x:v>735</x:v>
      </x:c>
      <x:c r="B736" s="87" t="str">
        <x:v>FEB-ENG-W-V1-017</x:v>
      </x:c>
      <x:c r="C736" s="87" t="str">
        <x:v>СтатГрад</x:v>
      </x:c>
      <x:c r="D736" s="87" t="str">
        <x:v>Февраль 2026</x:v>
      </x:c>
      <x:c r="E736" s="87"/>
      <x:c r="F736" s="87"/>
      <x:c r="G736" s="87" t="str">
        <x:v>Английский язык</x:v>
      </x:c>
      <x:c r="H736" s="87" t="n">
        <x:v>11</x:v>
      </x:c>
      <x:c r="I736" s="87" t="str">
        <x:v>ТР №2</x:v>
      </x:c>
      <x:c r="J736" s="87" t="str">
        <x:v>АЯ2510201</x:v>
      </x:c>
      <x:c r="K736" s="87" t="n">
        <x:v>17</x:v>
      </x:c>
      <x:c r="L736" s="87" t="str">
        <x:v>Чтение: основная мысль</x:v>
      </x:c>
      <x:c r="M736" s="30" t="str">
        <x:v>О чём рассказывает книга Сибирякова?</x:v>
      </x:c>
      <x:c r="N736" s="30" t="str">
        <x:v>3</x:v>
      </x:c>
      <x:c r="O736" s="30" t="str">
        <x:v>Труд и испытания избавили героя от высокомерия, сделали его ответственным и в итоге привели к богатству.</x:v>
      </x:c>
      <x:c r="P736" s="30" t="str">
        <x:v>Вариант 3 объединяет нравственное и материальное преображение героя.</x:v>
      </x:c>
      <x:c r="Q736" s="30"/>
      <x:c r="R736" s="30" t="str">
        <x:v>нет в таблице</x:v>
      </x:c>
      <x:c r="S736" s="30"/>
      <x:c r="T736" s="30"/>
      <x:c r="U736" s="30" t="str">
        <x:v>Решено независимо по тексту.</x:v>
      </x:c>
      <x:c r="V736" s="87" t="str">
        <x:v>VERIFIED</x:v>
      </x:c>
      <x:c r="W736" s="87" t="n">
        <x:v>10</x:v>
      </x:c>
      <x:c r="X736" s="87"/>
      <x:c r="Y736" s="87"/>
      <x:c r="Z736" s="87"/>
      <x:c r="AA736" s="87"/>
      <x:c r="AB736" s="87"/>
      <x:c r="AC736" s="87"/>
      <x:c r="AD736" s="87"/>
      <x:c r="AE736" s="87"/>
      <x:c r="AF736" s="87"/>
      <x:c r="AG736" s="87"/>
      <x:c r="AH736" s="87"/>
      <x:c r="AI736" s="30"/>
      <x:c r="AJ736" s="87" t="str">
        <x:v>master</x:v>
      </x:c>
      <x:c r="AK736" s="87" t="str">
        <x:v>master-v0.81</x:v>
      </x:c>
      <x:c r="AL736" s="87" t="str">
        <x:v>statgrad_master_base_v0_81_final(2).xlsx</x:v>
      </x:c>
      <x:c r="AM736" s="87" t="str">
        <x:v>ENG_Feb_Written_V1</x:v>
      </x:c>
      <x:c r="AN736" s="87" t="n">
        <x:v>18</x:v>
      </x:c>
    </x:row>
    <x:row r="737">
      <x:c r="A737" s="87" t="n">
        <x:v>736</x:v>
      </x:c>
      <x:c r="B737" s="87" t="str">
        <x:v>FEB-ENG-W-V1-018</x:v>
      </x:c>
      <x:c r="C737" s="87" t="str">
        <x:v>СтатГрад</x:v>
      </x:c>
      <x:c r="D737" s="87" t="str">
        <x:v>Февраль 2026</x:v>
      </x:c>
      <x:c r="E737" s="87"/>
      <x:c r="F737" s="87"/>
      <x:c r="G737" s="87" t="str">
        <x:v>Английский язык</x:v>
      </x:c>
      <x:c r="H737" s="87" t="n">
        <x:v>11</x:v>
      </x:c>
      <x:c r="I737" s="87" t="str">
        <x:v>ТР №2</x:v>
      </x:c>
      <x:c r="J737" s="87" t="str">
        <x:v>АЯ2510201</x:v>
      </x:c>
      <x:c r="K737" s="87" t="n">
        <x:v>18</x:v>
      </x:c>
      <x:c r="L737" s="87" t="str">
        <x:v>Чтение: отношение героя</x:v>
      </x:c>
      <x:c r="M737" s="30" t="str">
        <x:v>Как Лисицын относился к старому капитану?</x:v>
      </x:c>
      <x:c r="N737" s="30" t="str">
        <x:v>3</x:v>
      </x:c>
      <x:c r="O737" s="30" t="str">
        <x:v>Разбогатев, он нашёл капитана, помогал ему в старости и заботился о будущем его детей, что показывает благодарность.</x:v>
      </x:c>
      <x:c r="P737" s="30" t="str">
        <x:v>Отношение определено по поступкам героя в финале текста.</x:v>
      </x:c>
      <x:c r="Q737" s="30"/>
      <x:c r="R737" s="30" t="str">
        <x:v>нет в таблице</x:v>
      </x:c>
      <x:c r="S737" s="30"/>
      <x:c r="T737" s="30"/>
      <x:c r="U737" s="30" t="str">
        <x:v>Решено независимо по тексту.</x:v>
      </x:c>
      <x:c r="V737" s="87" t="str">
        <x:v>VERIFIED</x:v>
      </x:c>
      <x:c r="W737" s="87" t="n">
        <x:v>10</x:v>
      </x:c>
      <x:c r="X737" s="87"/>
      <x:c r="Y737" s="87"/>
      <x:c r="Z737" s="87"/>
      <x:c r="AA737" s="87"/>
      <x:c r="AB737" s="87"/>
      <x:c r="AC737" s="87"/>
      <x:c r="AD737" s="87"/>
      <x:c r="AE737" s="87"/>
      <x:c r="AF737" s="87"/>
      <x:c r="AG737" s="87"/>
      <x:c r="AH737" s="87"/>
      <x:c r="AI737" s="30"/>
      <x:c r="AJ737" s="87" t="str">
        <x:v>master</x:v>
      </x:c>
      <x:c r="AK737" s="87" t="str">
        <x:v>master-v0.81</x:v>
      </x:c>
      <x:c r="AL737" s="87" t="str">
        <x:v>statgrad_master_base_v0_81_final(2).xlsx</x:v>
      </x:c>
      <x:c r="AM737" s="87" t="str">
        <x:v>ENG_Feb_Written_V1</x:v>
      </x:c>
      <x:c r="AN737" s="87" t="n">
        <x:v>19</x:v>
      </x:c>
    </x:row>
    <x:row r="738">
      <x:c r="A738" s="87" t="n">
        <x:v>737</x:v>
      </x:c>
      <x:c r="B738" s="87" t="str">
        <x:v>FEB-ENG-W-V1-019</x:v>
      </x:c>
      <x:c r="C738" s="87" t="str">
        <x:v>СтатГрад</x:v>
      </x:c>
      <x:c r="D738" s="87" t="str">
        <x:v>Февраль 2026</x:v>
      </x:c>
      <x:c r="E738" s="87"/>
      <x:c r="F738" s="87"/>
      <x:c r="G738" s="87" t="str">
        <x:v>Английский язык</x:v>
      </x:c>
      <x:c r="H738" s="87" t="n">
        <x:v>11</x:v>
      </x:c>
      <x:c r="I738" s="87" t="str">
        <x:v>ТР №2</x:v>
      </x:c>
      <x:c r="J738" s="87" t="str">
        <x:v>АЯ2510201</x:v>
      </x:c>
      <x:c r="K738" s="87" t="n">
        <x:v>19</x:v>
      </x:c>
      <x:c r="L738" s="87" t="str">
        <x:v>Грамматика</x:v>
      </x:c>
      <x:c r="M738" s="30" t="str">
        <x:v>The Sun, like all stars, ___ of gas. MAKE</x:v>
      </x:c>
      <x:c r="N738" s="30" t="str">
        <x:v>is made</x:v>
      </x:c>
      <x:c r="O738" s="30" t="str">
        <x:v>Устойчивая пассивная конструкция be made of описывает материал, из которого состоит объект.</x:v>
      </x:c>
      <x:c r="P738" s="30" t="str">
        <x:v>Форма согласована с единственным числом The Sun.</x:v>
      </x:c>
      <x:c r="Q738" s="30"/>
      <x:c r="R738" s="30" t="str">
        <x:v>is made</x:v>
      </x:c>
      <x:c r="S738" s="30"/>
      <x:c r="T738" s="30"/>
      <x:c r="U738" s="30" t="str">
        <x:v>Расхождений нет.</x:v>
      </x:c>
      <x:c r="V738" s="87" t="str">
        <x:v>VERIFIED</x:v>
      </x:c>
      <x:c r="W738" s="87" t="n">
        <x:v>11</x:v>
      </x:c>
      <x:c r="X738" s="87"/>
      <x:c r="Y738" s="87"/>
      <x:c r="Z738" s="87"/>
      <x:c r="AA738" s="87"/>
      <x:c r="AB738" s="87"/>
      <x:c r="AC738" s="87"/>
      <x:c r="AD738" s="87"/>
      <x:c r="AE738" s="87"/>
      <x:c r="AF738" s="87"/>
      <x:c r="AG738" s="87"/>
      <x:c r="AH738" s="87"/>
      <x:c r="AI738" s="30"/>
      <x:c r="AJ738" s="87" t="str">
        <x:v>master</x:v>
      </x:c>
      <x:c r="AK738" s="87" t="str">
        <x:v>master-v0.81</x:v>
      </x:c>
      <x:c r="AL738" s="87" t="str">
        <x:v>statgrad_master_base_v0_81_final(2).xlsx</x:v>
      </x:c>
      <x:c r="AM738" s="87" t="str">
        <x:v>ENG_Feb_Written_V1</x:v>
      </x:c>
      <x:c r="AN738" s="87" t="n">
        <x:v>20</x:v>
      </x:c>
    </x:row>
    <x:row r="739">
      <x:c r="A739" s="87" t="n">
        <x:v>738</x:v>
      </x:c>
      <x:c r="B739" s="87" t="str">
        <x:v>FEB-ENG-W-V1-020</x:v>
      </x:c>
      <x:c r="C739" s="87" t="str">
        <x:v>СтатГрад</x:v>
      </x:c>
      <x:c r="D739" s="87" t="str">
        <x:v>Февраль 2026</x:v>
      </x:c>
      <x:c r="E739" s="87"/>
      <x:c r="F739" s="87"/>
      <x:c r="G739" s="87" t="str">
        <x:v>Английский язык</x:v>
      </x:c>
      <x:c r="H739" s="87" t="n">
        <x:v>11</x:v>
      </x:c>
      <x:c r="I739" s="87" t="str">
        <x:v>ТР №2</x:v>
      </x:c>
      <x:c r="J739" s="87" t="str">
        <x:v>АЯ2510201</x:v>
      </x:c>
      <x:c r="K739" s="87" t="n">
        <x:v>20</x:v>
      </x:c>
      <x:c r="L739" s="87" t="str">
        <x:v>Грамматика</x:v>
      </x:c>
      <x:c r="M739" s="30" t="str">
        <x:v>The atmosphere around the surface is even ___. HOT</x:v>
      </x:c>
      <x:c r="N739" s="30" t="str">
        <x:v>hotter</x:v>
      </x:c>
      <x:c r="O739" s="30" t="str">
        <x:v>После even требуется сравнительная степень прилагательного: even hotter.</x:v>
      </x:c>
      <x:c r="P739" s="30" t="str">
        <x:v>Сравниваются температура поверхности и атмосферы.</x:v>
      </x:c>
      <x:c r="Q739" s="30"/>
      <x:c r="R739" s="30" t="str">
        <x:v>hotter</x:v>
      </x:c>
      <x:c r="S739" s="30"/>
      <x:c r="T739" s="30"/>
      <x:c r="U739" s="30" t="str">
        <x:v>Расхождений нет.</x:v>
      </x:c>
      <x:c r="V739" s="87" t="str">
        <x:v>VERIFIED</x:v>
      </x:c>
      <x:c r="W739" s="87" t="n">
        <x:v>11</x:v>
      </x:c>
      <x:c r="X739" s="87"/>
      <x:c r="Y739" s="87"/>
      <x:c r="Z739" s="87"/>
      <x:c r="AA739" s="87"/>
      <x:c r="AB739" s="87"/>
      <x:c r="AC739" s="87"/>
      <x:c r="AD739" s="87"/>
      <x:c r="AE739" s="87"/>
      <x:c r="AF739" s="87"/>
      <x:c r="AG739" s="87"/>
      <x:c r="AH739" s="87"/>
      <x:c r="AI739" s="30"/>
      <x:c r="AJ739" s="87" t="str">
        <x:v>master</x:v>
      </x:c>
      <x:c r="AK739" s="87" t="str">
        <x:v>master-v0.81</x:v>
      </x:c>
      <x:c r="AL739" s="87" t="str">
        <x:v>statgrad_master_base_v0_81_final(2).xlsx</x:v>
      </x:c>
      <x:c r="AM739" s="87" t="str">
        <x:v>ENG_Feb_Written_V1</x:v>
      </x:c>
      <x:c r="AN739" s="87" t="n">
        <x:v>21</x:v>
      </x:c>
    </x:row>
    <x:row r="740">
      <x:c r="A740" s="87" t="n">
        <x:v>739</x:v>
      </x:c>
      <x:c r="B740" s="87" t="str">
        <x:v>FEB-ENG-W-V1-021</x:v>
      </x:c>
      <x:c r="C740" s="87" t="str">
        <x:v>СтатГрад</x:v>
      </x:c>
      <x:c r="D740" s="87" t="str">
        <x:v>Февраль 2026</x:v>
      </x:c>
      <x:c r="E740" s="87"/>
      <x:c r="F740" s="87"/>
      <x:c r="G740" s="87" t="str">
        <x:v>Английский язык</x:v>
      </x:c>
      <x:c r="H740" s="87" t="n">
        <x:v>11</x:v>
      </x:c>
      <x:c r="I740" s="87" t="str">
        <x:v>ТР №2</x:v>
      </x:c>
      <x:c r="J740" s="87" t="str">
        <x:v>АЯ2510201</x:v>
      </x:c>
      <x:c r="K740" s="87" t="n">
        <x:v>21</x:v>
      </x:c>
      <x:c r="L740" s="87" t="str">
        <x:v>Грамматика</x:v>
      </x:c>
      <x:c r="M740" s="30" t="str">
        <x:v>___ are called sunspots. THIS</x:v>
      </x:c>
      <x:c r="N740" s="30" t="str">
        <x:v>These</x:v>
      </x:c>
      <x:c r="O740" s="30" t="str">
        <x:v>Местоимение относится к множественному числу spots, поэтому требуется these.</x:v>
      </x:c>
      <x:c r="P740" s="30" t="str">
        <x:v>Проверено согласование с формой are called.</x:v>
      </x:c>
      <x:c r="Q740" s="30"/>
      <x:c r="R740" s="30" t="str">
        <x:v>These / these</x:v>
      </x:c>
      <x:c r="S740" s="30"/>
      <x:c r="T740" s="30"/>
      <x:c r="U740" s="30" t="str">
        <x:v>Расхождений нет.</x:v>
      </x:c>
      <x:c r="V740" s="87" t="str">
        <x:v>VERIFIED</x:v>
      </x:c>
      <x:c r="W740" s="87" t="n">
        <x:v>11</x:v>
      </x:c>
      <x:c r="X740" s="87"/>
      <x:c r="Y740" s="87"/>
      <x:c r="Z740" s="87"/>
      <x:c r="AA740" s="87"/>
      <x:c r="AB740" s="87"/>
      <x:c r="AC740" s="87"/>
      <x:c r="AD740" s="87"/>
      <x:c r="AE740" s="87"/>
      <x:c r="AF740" s="87"/>
      <x:c r="AG740" s="87"/>
      <x:c r="AH740" s="87"/>
      <x:c r="AI740" s="30"/>
      <x:c r="AJ740" s="87" t="str">
        <x:v>master</x:v>
      </x:c>
      <x:c r="AK740" s="87" t="str">
        <x:v>master-v0.81</x:v>
      </x:c>
      <x:c r="AL740" s="87" t="str">
        <x:v>statgrad_master_base_v0_81_final(2).xlsx</x:v>
      </x:c>
      <x:c r="AM740" s="87" t="str">
        <x:v>ENG_Feb_Written_V1</x:v>
      </x:c>
      <x:c r="AN740" s="87" t="n">
        <x:v>22</x:v>
      </x:c>
    </x:row>
    <x:row r="741">
      <x:c r="A741" s="87" t="n">
        <x:v>740</x:v>
      </x:c>
      <x:c r="B741" s="87" t="str">
        <x:v>FEB-ENG-W-V1-022</x:v>
      </x:c>
      <x:c r="C741" s="87" t="str">
        <x:v>СтатГрад</x:v>
      </x:c>
      <x:c r="D741" s="87" t="str">
        <x:v>Февраль 2026</x:v>
      </x:c>
      <x:c r="E741" s="87"/>
      <x:c r="F741" s="87"/>
      <x:c r="G741" s="87" t="str">
        <x:v>Английский язык</x:v>
      </x:c>
      <x:c r="H741" s="87" t="n">
        <x:v>11</x:v>
      </x:c>
      <x:c r="I741" s="87" t="str">
        <x:v>ТР №2</x:v>
      </x:c>
      <x:c r="J741" s="87" t="str">
        <x:v>АЯ2510201</x:v>
      </x:c>
      <x:c r="K741" s="87" t="n">
        <x:v>22</x:v>
      </x:c>
      <x:c r="L741" s="87" t="str">
        <x:v>Грамматика</x:v>
      </x:c>
      <x:c r="M741" s="30" t="str">
        <x:v>Scientists ___ sunspots for many years. STUDY</x:v>
      </x:c>
      <x:c r="N741" s="30" t="str">
        <x:v>have been studying / have studied</x:v>
      </x:c>
      <x:c r="O741" s="30" t="str">
        <x:v>Период for many years связывает начавшееся в прошлом исследование с настоящим; допустимы Present Perfect Continuous и Present Perfect.</x:v>
      </x:c>
      <x:c r="P741" s="30" t="str">
        <x:v>Обе формы указаны в официальной таблице.</x:v>
      </x:c>
      <x:c r="Q741" s="30"/>
      <x:c r="R741" s="30" t="str">
        <x:v>have been studying / have studied</x:v>
      </x:c>
      <x:c r="S741" s="30"/>
      <x:c r="T741" s="30"/>
      <x:c r="U741" s="30" t="str">
        <x:v>Расхождений нет.</x:v>
      </x:c>
      <x:c r="V741" s="87" t="str">
        <x:v>VERIFIED</x:v>
      </x:c>
      <x:c r="W741" s="87" t="n">
        <x:v>11</x:v>
      </x:c>
      <x:c r="X741" s="87"/>
      <x:c r="Y741" s="87"/>
      <x:c r="Z741" s="87"/>
      <x:c r="AA741" s="87"/>
      <x:c r="AB741" s="87"/>
      <x:c r="AC741" s="87"/>
      <x:c r="AD741" s="87"/>
      <x:c r="AE741" s="87"/>
      <x:c r="AF741" s="87"/>
      <x:c r="AG741" s="87"/>
      <x:c r="AH741" s="87"/>
      <x:c r="AI741" s="30"/>
      <x:c r="AJ741" s="87" t="str">
        <x:v>master</x:v>
      </x:c>
      <x:c r="AK741" s="87" t="str">
        <x:v>master-v0.81</x:v>
      </x:c>
      <x:c r="AL741" s="87" t="str">
        <x:v>statgrad_master_base_v0_81_final(2).xlsx</x:v>
      </x:c>
      <x:c r="AM741" s="87" t="str">
        <x:v>ENG_Feb_Written_V1</x:v>
      </x:c>
      <x:c r="AN741" s="87" t="n">
        <x:v>23</x:v>
      </x:c>
    </x:row>
    <x:row r="742">
      <x:c r="A742" s="87" t="n">
        <x:v>741</x:v>
      </x:c>
      <x:c r="B742" s="87" t="str">
        <x:v>FEB-ENG-W-V1-023</x:v>
      </x:c>
      <x:c r="C742" s="87" t="str">
        <x:v>СтатГрад</x:v>
      </x:c>
      <x:c r="D742" s="87" t="str">
        <x:v>Февраль 2026</x:v>
      </x:c>
      <x:c r="E742" s="87"/>
      <x:c r="F742" s="87"/>
      <x:c r="G742" s="87" t="str">
        <x:v>Английский язык</x:v>
      </x:c>
      <x:c r="H742" s="87" t="n">
        <x:v>11</x:v>
      </x:c>
      <x:c r="I742" s="87" t="str">
        <x:v>ТР №2</x:v>
      </x:c>
      <x:c r="J742" s="87" t="str">
        <x:v>АЯ2510201</x:v>
      </x:c>
      <x:c r="K742" s="87" t="n">
        <x:v>23</x:v>
      </x:c>
      <x:c r="L742" s="87" t="str">
        <x:v>Грамматика</x:v>
      </x:c>
      <x:c r="M742" s="30" t="str">
        <x:v>If the Sun ___ hollow, about one million Earths would fit inside. BE</x:v>
      </x:c>
      <x:c r="N742" s="30" t="str">
        <x:v>were / was</x:v>
      </x:c>
      <x:c r="O742" s="30" t="str">
        <x:v>Во втором типе условных предложений нормативна форма were; в ключе также допускается разговорная was.</x:v>
      </x:c>
      <x:c r="P742" s="30" t="str">
        <x:v>Условная конструкция согласована с would fit.</x:v>
      </x:c>
      <x:c r="Q742" s="30"/>
      <x:c r="R742" s="30" t="str">
        <x:v>were / was</x:v>
      </x:c>
      <x:c r="S742" s="30"/>
      <x:c r="T742" s="30"/>
      <x:c r="U742" s="30" t="str">
        <x:v>Расхождений нет.</x:v>
      </x:c>
      <x:c r="V742" s="87" t="str">
        <x:v>VERIFIED</x:v>
      </x:c>
      <x:c r="W742" s="87" t="n">
        <x:v>11</x:v>
      </x:c>
      <x:c r="X742" s="87"/>
      <x:c r="Y742" s="87"/>
      <x:c r="Z742" s="87"/>
      <x:c r="AA742" s="87"/>
      <x:c r="AB742" s="87"/>
      <x:c r="AC742" s="87"/>
      <x:c r="AD742" s="87"/>
      <x:c r="AE742" s="87"/>
      <x:c r="AF742" s="87"/>
      <x:c r="AG742" s="87"/>
      <x:c r="AH742" s="87"/>
      <x:c r="AI742" s="30"/>
      <x:c r="AJ742" s="87" t="str">
        <x:v>master</x:v>
      </x:c>
      <x:c r="AK742" s="87" t="str">
        <x:v>master-v0.81</x:v>
      </x:c>
      <x:c r="AL742" s="87" t="str">
        <x:v>statgrad_master_base_v0_81_final(2).xlsx</x:v>
      </x:c>
      <x:c r="AM742" s="87" t="str">
        <x:v>ENG_Feb_Written_V1</x:v>
      </x:c>
      <x:c r="AN742" s="87" t="n">
        <x:v>24</x:v>
      </x:c>
    </x:row>
    <x:row r="743">
      <x:c r="A743" s="87" t="n">
        <x:v>742</x:v>
      </x:c>
      <x:c r="B743" s="87" t="str">
        <x:v>FEB-ENG-W-V1-024</x:v>
      </x:c>
      <x:c r="C743" s="87" t="str">
        <x:v>СтатГрад</x:v>
      </x:c>
      <x:c r="D743" s="87" t="str">
        <x:v>Февраль 2026</x:v>
      </x:c>
      <x:c r="E743" s="87"/>
      <x:c r="F743" s="87"/>
      <x:c r="G743" s="87" t="str">
        <x:v>Английский язык</x:v>
      </x:c>
      <x:c r="H743" s="87" t="n">
        <x:v>11</x:v>
      </x:c>
      <x:c r="I743" s="87" t="str">
        <x:v>ТР №2</x:v>
      </x:c>
      <x:c r="J743" s="87" t="str">
        <x:v>АЯ2510201</x:v>
      </x:c>
      <x:c r="K743" s="87" t="n">
        <x:v>24</x:v>
      </x:c>
      <x:c r="L743" s="87" t="str">
        <x:v>Грамматика</x:v>
      </x:c>
      <x:c r="M743" s="30" t="str">
        <x:v>Practically everything on Earth ___ on the Sun. DEPEND</x:v>
      </x:c>
      <x:c r="N743" s="30" t="str">
        <x:v>depends</x:v>
      </x:c>
      <x:c r="O743" s="30" t="str">
        <x:v>Подлежащее everything имеет форму единственного числа, поэтому в Present Simple добавляется -s.</x:v>
      </x:c>
      <x:c r="P743" s="30" t="str">
        <x:v>Проверено согласование подлежащего и сказуемого.</x:v>
      </x:c>
      <x:c r="Q743" s="30"/>
      <x:c r="R743" s="30" t="str">
        <x:v>depends</x:v>
      </x:c>
      <x:c r="S743" s="30"/>
      <x:c r="T743" s="30"/>
      <x:c r="U743" s="30" t="str">
        <x:v>Расхождений нет.</x:v>
      </x:c>
      <x:c r="V743" s="87" t="str">
        <x:v>VERIFIED</x:v>
      </x:c>
      <x:c r="W743" s="87" t="n">
        <x:v>11</x:v>
      </x:c>
      <x:c r="X743" s="87"/>
      <x:c r="Y743" s="87"/>
      <x:c r="Z743" s="87"/>
      <x:c r="AA743" s="87"/>
      <x:c r="AB743" s="87"/>
      <x:c r="AC743" s="87"/>
      <x:c r="AD743" s="87"/>
      <x:c r="AE743" s="87"/>
      <x:c r="AF743" s="87"/>
      <x:c r="AG743" s="87"/>
      <x:c r="AH743" s="87"/>
      <x:c r="AI743" s="30"/>
      <x:c r="AJ743" s="87" t="str">
        <x:v>master</x:v>
      </x:c>
      <x:c r="AK743" s="87" t="str">
        <x:v>master-v0.81</x:v>
      </x:c>
      <x:c r="AL743" s="87" t="str">
        <x:v>statgrad_master_base_v0_81_final(2).xlsx</x:v>
      </x:c>
      <x:c r="AM743" s="87" t="str">
        <x:v>ENG_Feb_Written_V1</x:v>
      </x:c>
      <x:c r="AN743" s="87" t="n">
        <x:v>25</x:v>
      </x:c>
    </x:row>
    <x:row r="744">
      <x:c r="A744" s="87" t="n">
        <x:v>743</x:v>
      </x:c>
      <x:c r="B744" s="87" t="str">
        <x:v>FEB-ENG-W-V1-025</x:v>
      </x:c>
      <x:c r="C744" s="87" t="str">
        <x:v>СтатГрад</x:v>
      </x:c>
      <x:c r="D744" s="87" t="str">
        <x:v>Февраль 2026</x:v>
      </x:c>
      <x:c r="E744" s="87"/>
      <x:c r="F744" s="87"/>
      <x:c r="G744" s="87" t="str">
        <x:v>Английский язык</x:v>
      </x:c>
      <x:c r="H744" s="87" t="n">
        <x:v>11</x:v>
      </x:c>
      <x:c r="I744" s="87" t="str">
        <x:v>ТР №2</x:v>
      </x:c>
      <x:c r="J744" s="87" t="str">
        <x:v>АЯ2510201</x:v>
      </x:c>
      <x:c r="K744" s="87" t="n">
        <x:v>25</x:v>
      </x:c>
      <x:c r="L744" s="87" t="str">
        <x:v>Словообразование</x:v>
      </x:c>
      <x:c r="M744" s="30" t="str">
        <x:v>Visitors can experience and enjoy ___ settings. NATURE</x:v>
      </x:c>
      <x:c r="N744" s="30" t="str">
        <x:v>natural</x:v>
      </x:c>
      <x:c r="O744" s="30" t="str">
        <x:v>Перед существительным settings требуется прилагательное natural.</x:v>
      </x:c>
      <x:c r="P744" s="30" t="str">
        <x:v>Форма проверена по синтаксической позиции.</x:v>
      </x:c>
      <x:c r="Q744" s="30"/>
      <x:c r="R744" s="30" t="str">
        <x:v>natural</x:v>
      </x:c>
      <x:c r="S744" s="30"/>
      <x:c r="T744" s="30"/>
      <x:c r="U744" s="30" t="str">
        <x:v>Расхождений нет.</x:v>
      </x:c>
      <x:c r="V744" s="87" t="str">
        <x:v>VERIFIED</x:v>
      </x:c>
      <x:c r="W744" s="87" t="n">
        <x:v>12</x:v>
      </x:c>
      <x:c r="X744" s="87"/>
      <x:c r="Y744" s="87"/>
      <x:c r="Z744" s="87"/>
      <x:c r="AA744" s="87"/>
      <x:c r="AB744" s="87"/>
      <x:c r="AC744" s="87"/>
      <x:c r="AD744" s="87"/>
      <x:c r="AE744" s="87"/>
      <x:c r="AF744" s="87"/>
      <x:c r="AG744" s="87"/>
      <x:c r="AH744" s="87"/>
      <x:c r="AI744" s="30"/>
      <x:c r="AJ744" s="87" t="str">
        <x:v>master</x:v>
      </x:c>
      <x:c r="AK744" s="87" t="str">
        <x:v>master-v0.81</x:v>
      </x:c>
      <x:c r="AL744" s="87" t="str">
        <x:v>statgrad_master_base_v0_81_final(2).xlsx</x:v>
      </x:c>
      <x:c r="AM744" s="87" t="str">
        <x:v>ENG_Feb_Written_V1</x:v>
      </x:c>
      <x:c r="AN744" s="87" t="n">
        <x:v>26</x:v>
      </x:c>
    </x:row>
    <x:row r="745">
      <x:c r="A745" s="87" t="n">
        <x:v>744</x:v>
      </x:c>
      <x:c r="B745" s="87" t="str">
        <x:v>FEB-ENG-W-V1-026</x:v>
      </x:c>
      <x:c r="C745" s="87" t="str">
        <x:v>СтатГрад</x:v>
      </x:c>
      <x:c r="D745" s="87" t="str">
        <x:v>Февраль 2026</x:v>
      </x:c>
      <x:c r="E745" s="87"/>
      <x:c r="F745" s="87"/>
      <x:c r="G745" s="87" t="str">
        <x:v>Английский язык</x:v>
      </x:c>
      <x:c r="H745" s="87" t="n">
        <x:v>11</x:v>
      </x:c>
      <x:c r="I745" s="87" t="str">
        <x:v>ТР №2</x:v>
      </x:c>
      <x:c r="J745" s="87" t="str">
        <x:v>АЯ2510201</x:v>
      </x:c>
      <x:c r="K745" s="87" t="n">
        <x:v>26</x:v>
      </x:c>
      <x:c r="L745" s="87" t="str">
        <x:v>Словообразование</x:v>
      </x:c>
      <x:c r="M745" s="30" t="str">
        <x:v>Yellowstone is ___ for its geysers. FAME</x:v>
      </x:c>
      <x:c r="N745" s="30" t="str">
        <x:v>famous</x:v>
      </x:c>
      <x:c r="O745" s="30" t="str">
        <x:v>Устойчивая конструкция be famous for требует прилагательного famous.</x:v>
      </x:c>
      <x:c r="P745" s="30" t="str">
        <x:v>Проверена лексическая сочетаемость.</x:v>
      </x:c>
      <x:c r="Q745" s="30"/>
      <x:c r="R745" s="30" t="str">
        <x:v>famous</x:v>
      </x:c>
      <x:c r="S745" s="30"/>
      <x:c r="T745" s="30"/>
      <x:c r="U745" s="30" t="str">
        <x:v>Расхождений нет.</x:v>
      </x:c>
      <x:c r="V745" s="87" t="str">
        <x:v>VERIFIED</x:v>
      </x:c>
      <x:c r="W745" s="87" t="n">
        <x:v>12</x:v>
      </x:c>
      <x:c r="X745" s="87"/>
      <x:c r="Y745" s="87"/>
      <x:c r="Z745" s="87"/>
      <x:c r="AA745" s="87"/>
      <x:c r="AB745" s="87"/>
      <x:c r="AC745" s="87"/>
      <x:c r="AD745" s="87"/>
      <x:c r="AE745" s="87"/>
      <x:c r="AF745" s="87"/>
      <x:c r="AG745" s="87"/>
      <x:c r="AH745" s="87"/>
      <x:c r="AI745" s="30"/>
      <x:c r="AJ745" s="87" t="str">
        <x:v>master</x:v>
      </x:c>
      <x:c r="AK745" s="87" t="str">
        <x:v>master-v0.81</x:v>
      </x:c>
      <x:c r="AL745" s="87" t="str">
        <x:v>statgrad_master_base_v0_81_final(2).xlsx</x:v>
      </x:c>
      <x:c r="AM745" s="87" t="str">
        <x:v>ENG_Feb_Written_V1</x:v>
      </x:c>
      <x:c r="AN745" s="87" t="n">
        <x:v>27</x:v>
      </x:c>
    </x:row>
    <x:row r="746">
      <x:c r="A746" s="87" t="n">
        <x:v>745</x:v>
      </x:c>
      <x:c r="B746" s="87" t="str">
        <x:v>FEB-ENG-W-V1-027</x:v>
      </x:c>
      <x:c r="C746" s="87" t="str">
        <x:v>СтатГрад</x:v>
      </x:c>
      <x:c r="D746" s="87" t="str">
        <x:v>Февраль 2026</x:v>
      </x:c>
      <x:c r="E746" s="87"/>
      <x:c r="F746" s="87"/>
      <x:c r="G746" s="87" t="str">
        <x:v>Английский язык</x:v>
      </x:c>
      <x:c r="H746" s="87" t="n">
        <x:v>11</x:v>
      </x:c>
      <x:c r="I746" s="87" t="str">
        <x:v>ТР №2</x:v>
      </x:c>
      <x:c r="J746" s="87" t="str">
        <x:v>АЯ2510201</x:v>
      </x:c>
      <x:c r="K746" s="87" t="n">
        <x:v>27</x:v>
      </x:c>
      <x:c r="L746" s="87" t="str">
        <x:v>Словообразование</x:v>
      </x:c>
      <x:c r="M746" s="30" t="str">
        <x:v>The idea caught on ___ during the late 1800s. NATIONAL</x:v>
      </x:c>
      <x:c r="N746" s="30" t="str">
        <x:v>internationally</x:v>
      </x:c>
      <x:c r="O746" s="30" t="str">
        <x:v>Глагол caught on нуждается в наречии; по смыслу идея распространилась по разным странам.</x:v>
      </x:c>
      <x:c r="P746" s="30" t="str">
        <x:v>Проверены часть речи и значение контекста.</x:v>
      </x:c>
      <x:c r="Q746" s="30"/>
      <x:c r="R746" s="30" t="str">
        <x:v>internationally</x:v>
      </x:c>
      <x:c r="S746" s="30"/>
      <x:c r="T746" s="30"/>
      <x:c r="U746" s="30" t="str">
        <x:v>Расхождений нет.</x:v>
      </x:c>
      <x:c r="V746" s="87" t="str">
        <x:v>VERIFIED</x:v>
      </x:c>
      <x:c r="W746" s="87" t="n">
        <x:v>12</x:v>
      </x:c>
      <x:c r="X746" s="87"/>
      <x:c r="Y746" s="87"/>
      <x:c r="Z746" s="87"/>
      <x:c r="AA746" s="87"/>
      <x:c r="AB746" s="87"/>
      <x:c r="AC746" s="87"/>
      <x:c r="AD746" s="87"/>
      <x:c r="AE746" s="87"/>
      <x:c r="AF746" s="87"/>
      <x:c r="AG746" s="87"/>
      <x:c r="AH746" s="87"/>
      <x:c r="AI746" s="30"/>
      <x:c r="AJ746" s="87" t="str">
        <x:v>master</x:v>
      </x:c>
      <x:c r="AK746" s="87" t="str">
        <x:v>master-v0.81</x:v>
      </x:c>
      <x:c r="AL746" s="87" t="str">
        <x:v>statgrad_master_base_v0_81_final(2).xlsx</x:v>
      </x:c>
      <x:c r="AM746" s="87" t="str">
        <x:v>ENG_Feb_Written_V1</x:v>
      </x:c>
      <x:c r="AN746" s="87" t="n">
        <x:v>28</x:v>
      </x:c>
    </x:row>
    <x:row r="747">
      <x:c r="A747" s="87" t="n">
        <x:v>746</x:v>
      </x:c>
      <x:c r="B747" s="87" t="str">
        <x:v>FEB-ENG-W-V1-028</x:v>
      </x:c>
      <x:c r="C747" s="87" t="str">
        <x:v>СтатГрад</x:v>
      </x:c>
      <x:c r="D747" s="87" t="str">
        <x:v>Февраль 2026</x:v>
      </x:c>
      <x:c r="E747" s="87"/>
      <x:c r="F747" s="87"/>
      <x:c r="G747" s="87" t="str">
        <x:v>Английский язык</x:v>
      </x:c>
      <x:c r="H747" s="87" t="n">
        <x:v>11</x:v>
      </x:c>
      <x:c r="I747" s="87" t="str">
        <x:v>ТР №2</x:v>
      </x:c>
      <x:c r="J747" s="87" t="str">
        <x:v>АЯ2510201</x:v>
      </x:c>
      <x:c r="K747" s="87" t="n">
        <x:v>28</x:v>
      </x:c>
      <x:c r="L747" s="87" t="str">
        <x:v>Словообразование</x:v>
      </x:c>
      <x:c r="M747" s="30" t="str">
        <x:v>Native animals can ___ rapidly. PRODUCE</x:v>
      </x:c>
      <x:c r="N747" s="30" t="str">
        <x:v>reproduce</x:v>
      </x:c>
      <x:c r="O747" s="30" t="str">
        <x:v>По смыслу животные могут быстро размножаться; требуется глагол reproduce после can.</x:v>
      </x:c>
      <x:c r="P747" s="30" t="str">
        <x:v>Форма инфинитива и значение проверены по контексту.</x:v>
      </x:c>
      <x:c r="Q747" s="30"/>
      <x:c r="R747" s="30" t="str">
        <x:v>reproduce</x:v>
      </x:c>
      <x:c r="S747" s="30"/>
      <x:c r="T747" s="30"/>
      <x:c r="U747" s="30" t="str">
        <x:v>Расхождений нет.</x:v>
      </x:c>
      <x:c r="V747" s="87" t="str">
        <x:v>VERIFIED</x:v>
      </x:c>
      <x:c r="W747" s="87" t="n">
        <x:v>12</x:v>
      </x:c>
      <x:c r="X747" s="87"/>
      <x:c r="Y747" s="87"/>
      <x:c r="Z747" s="87"/>
      <x:c r="AA747" s="87"/>
      <x:c r="AB747" s="87"/>
      <x:c r="AC747" s="87"/>
      <x:c r="AD747" s="87"/>
      <x:c r="AE747" s="87"/>
      <x:c r="AF747" s="87"/>
      <x:c r="AG747" s="87"/>
      <x:c r="AH747" s="87"/>
      <x:c r="AI747" s="30"/>
      <x:c r="AJ747" s="87" t="str">
        <x:v>master</x:v>
      </x:c>
      <x:c r="AK747" s="87" t="str">
        <x:v>master-v0.81</x:v>
      </x:c>
      <x:c r="AL747" s="87" t="str">
        <x:v>statgrad_master_base_v0_81_final(2).xlsx</x:v>
      </x:c>
      <x:c r="AM747" s="87" t="str">
        <x:v>ENG_Feb_Written_V1</x:v>
      </x:c>
      <x:c r="AN747" s="87" t="n">
        <x:v>29</x:v>
      </x:c>
    </x:row>
    <x:row r="748">
      <x:c r="A748" s="87" t="n">
        <x:v>747</x:v>
      </x:c>
      <x:c r="B748" s="87" t="str">
        <x:v>FEB-ENG-W-V1-029</x:v>
      </x:c>
      <x:c r="C748" s="87" t="str">
        <x:v>СтатГрад</x:v>
      </x:c>
      <x:c r="D748" s="87" t="str">
        <x:v>Февраль 2026</x:v>
      </x:c>
      <x:c r="E748" s="87"/>
      <x:c r="F748" s="87"/>
      <x:c r="G748" s="87" t="str">
        <x:v>Английский язык</x:v>
      </x:c>
      <x:c r="H748" s="87" t="n">
        <x:v>11</x:v>
      </x:c>
      <x:c r="I748" s="87" t="str">
        <x:v>ТР №2</x:v>
      </x:c>
      <x:c r="J748" s="87" t="str">
        <x:v>АЯ2510201</x:v>
      </x:c>
      <x:c r="K748" s="87" t="n">
        <x:v>29</x:v>
      </x:c>
      <x:c r="L748" s="87" t="str">
        <x:v>Словообразование</x:v>
      </x:c>
      <x:c r="M748" s="30" t="str">
        <x:v>National parks are ___ places to visit. WONDER</x:v>
      </x:c>
      <x:c r="N748" s="30" t="str">
        <x:v>wonderful</x:v>
      </x:c>
      <x:c r="O748" s="30" t="str">
        <x:v>Перед существительным places требуется прилагательное wonderful.</x:v>
      </x:c>
      <x:c r="P748" s="30" t="str">
        <x:v>Форма и положительное значение согласуются с предложением.</x:v>
      </x:c>
      <x:c r="Q748" s="30"/>
      <x:c r="R748" s="30" t="str">
        <x:v>wonderful</x:v>
      </x:c>
      <x:c r="S748" s="30"/>
      <x:c r="T748" s="30"/>
      <x:c r="U748" s="30" t="str">
        <x:v>Расхождений нет.</x:v>
      </x:c>
      <x:c r="V748" s="87" t="str">
        <x:v>VERIFIED</x:v>
      </x:c>
      <x:c r="W748" s="87" t="n">
        <x:v>12</x:v>
      </x:c>
      <x:c r="X748" s="87"/>
      <x:c r="Y748" s="87"/>
      <x:c r="Z748" s="87"/>
      <x:c r="AA748" s="87"/>
      <x:c r="AB748" s="87"/>
      <x:c r="AC748" s="87"/>
      <x:c r="AD748" s="87"/>
      <x:c r="AE748" s="87"/>
      <x:c r="AF748" s="87"/>
      <x:c r="AG748" s="87"/>
      <x:c r="AH748" s="87"/>
      <x:c r="AI748" s="30"/>
      <x:c r="AJ748" s="87" t="str">
        <x:v>master</x:v>
      </x:c>
      <x:c r="AK748" s="87" t="str">
        <x:v>master-v0.81</x:v>
      </x:c>
      <x:c r="AL748" s="87" t="str">
        <x:v>statgrad_master_base_v0_81_final(2).xlsx</x:v>
      </x:c>
      <x:c r="AM748" s="87" t="str">
        <x:v>ENG_Feb_Written_V1</x:v>
      </x:c>
      <x:c r="AN748" s="87" t="n">
        <x:v>30</x:v>
      </x:c>
    </x:row>
    <x:row r="749">
      <x:c r="A749" s="87" t="n">
        <x:v>748</x:v>
      </x:c>
      <x:c r="B749" s="87" t="str">
        <x:v>FEB-ENG-W-V1-030</x:v>
      </x:c>
      <x:c r="C749" s="87" t="str">
        <x:v>СтатГрад</x:v>
      </x:c>
      <x:c r="D749" s="87" t="str">
        <x:v>Февраль 2026</x:v>
      </x:c>
      <x:c r="E749" s="87"/>
      <x:c r="F749" s="87"/>
      <x:c r="G749" s="87" t="str">
        <x:v>Английский язык</x:v>
      </x:c>
      <x:c r="H749" s="87" t="n">
        <x:v>11</x:v>
      </x:c>
      <x:c r="I749" s="87" t="str">
        <x:v>ТР №2</x:v>
      </x:c>
      <x:c r="J749" s="87" t="str">
        <x:v>АЯ2510201</x:v>
      </x:c>
      <x:c r="K749" s="87" t="n">
        <x:v>30</x:v>
      </x:c>
      <x:c r="L749" s="87" t="str">
        <x:v>Лексика: выбор слова</x:v>
      </x:c>
      <x:c r="M749" s="30" t="str">
        <x:v>The bee flies to the hive to ___ the other honeybees.</x:v>
      </x:c>
      <x:c r="N749" s="30" t="str">
        <x:v>2 — alert</x:v>
      </x:c>
      <x:c r="O749" s="30" t="str">
        <x:v>Alert somebody означает предупредить или сообщить об обнаруженной опасности/находке; остальные варианты грамматически или семантически не подходят.</x:v>
      </x:c>
      <x:c r="P749" s="30" t="str">
        <x:v>Проверена модель alert somebody.</x:v>
      </x:c>
      <x:c r="Q749" s="30"/>
      <x:c r="R749" s="30" t="str">
        <x:v>нет в таблице</x:v>
      </x:c>
      <x:c r="S749" s="30"/>
      <x:c r="T749" s="30"/>
      <x:c r="U749" s="30" t="str">
        <x:v>Решено независимо.</x:v>
      </x:c>
      <x:c r="V749" s="87" t="str">
        <x:v>VERIFIED</x:v>
      </x:c>
      <x:c r="W749" s="87" t="n">
        <x:v>13</x:v>
      </x:c>
      <x:c r="X749" s="87"/>
      <x:c r="Y749" s="87"/>
      <x:c r="Z749" s="87"/>
      <x:c r="AA749" s="87"/>
      <x:c r="AB749" s="87"/>
      <x:c r="AC749" s="87"/>
      <x:c r="AD749" s="87"/>
      <x:c r="AE749" s="87"/>
      <x:c r="AF749" s="87"/>
      <x:c r="AG749" s="87"/>
      <x:c r="AH749" s="87"/>
      <x:c r="AI749" s="30"/>
      <x:c r="AJ749" s="87" t="str">
        <x:v>master</x:v>
      </x:c>
      <x:c r="AK749" s="87" t="str">
        <x:v>master-v0.81</x:v>
      </x:c>
      <x:c r="AL749" s="87" t="str">
        <x:v>statgrad_master_base_v0_81_final(2).xlsx</x:v>
      </x:c>
      <x:c r="AM749" s="87" t="str">
        <x:v>ENG_Feb_Written_V1</x:v>
      </x:c>
      <x:c r="AN749" s="87" t="n">
        <x:v>31</x:v>
      </x:c>
    </x:row>
    <x:row r="750">
      <x:c r="A750" s="87" t="n">
        <x:v>749</x:v>
      </x:c>
      <x:c r="B750" s="87" t="str">
        <x:v>FEB-ENG-W-V1-031</x:v>
      </x:c>
      <x:c r="C750" s="87" t="str">
        <x:v>СтатГрад</x:v>
      </x:c>
      <x:c r="D750" s="87" t="str">
        <x:v>Февраль 2026</x:v>
      </x:c>
      <x:c r="E750" s="87"/>
      <x:c r="F750" s="87"/>
      <x:c r="G750" s="87" t="str">
        <x:v>Английский язык</x:v>
      </x:c>
      <x:c r="H750" s="87" t="n">
        <x:v>11</x:v>
      </x:c>
      <x:c r="I750" s="87" t="str">
        <x:v>ТР №2</x:v>
      </x:c>
      <x:c r="J750" s="87" t="str">
        <x:v>АЯ2510201</x:v>
      </x:c>
      <x:c r="K750" s="87" t="n">
        <x:v>31</x:v>
      </x:c>
      <x:c r="L750" s="87" t="str">
        <x:v>Лексика: выбор слова</x:v>
      </x:c>
      <x:c r="M750" s="30" t="str">
        <x:v>The bee's dance is a code that ___ the direction and distance.</x:v>
      </x:c>
      <x:c r="N750" s="30" t="str">
        <x:v>4 — explains</x:v>
      </x:c>
      <x:c r="O750" s="30" t="str">
        <x:v>Код объясняет направление и расстояние; explains грамматически согласуется с единственным числом code.</x:v>
      </x:c>
      <x:c r="P750" s="30" t="str">
        <x:v>Проверены смысл и согласование.</x:v>
      </x:c>
      <x:c r="Q750" s="30"/>
      <x:c r="R750" s="30" t="str">
        <x:v>нет в таблице</x:v>
      </x:c>
      <x:c r="S750" s="30"/>
      <x:c r="T750" s="30"/>
      <x:c r="U750" s="30" t="str">
        <x:v>Решено независимо.</x:v>
      </x:c>
      <x:c r="V750" s="87" t="str">
        <x:v>VERIFIED</x:v>
      </x:c>
      <x:c r="W750" s="87" t="n">
        <x:v>13</x:v>
      </x:c>
      <x:c r="X750" s="87"/>
      <x:c r="Y750" s="87"/>
      <x:c r="Z750" s="87"/>
      <x:c r="AA750" s="87"/>
      <x:c r="AB750" s="87"/>
      <x:c r="AC750" s="87"/>
      <x:c r="AD750" s="87"/>
      <x:c r="AE750" s="87"/>
      <x:c r="AF750" s="87"/>
      <x:c r="AG750" s="87"/>
      <x:c r="AH750" s="87"/>
      <x:c r="AI750" s="30"/>
      <x:c r="AJ750" s="87" t="str">
        <x:v>master</x:v>
      </x:c>
      <x:c r="AK750" s="87" t="str">
        <x:v>master-v0.81</x:v>
      </x:c>
      <x:c r="AL750" s="87" t="str">
        <x:v>statgrad_master_base_v0_81_final(2).xlsx</x:v>
      </x:c>
      <x:c r="AM750" s="87" t="str">
        <x:v>ENG_Feb_Written_V1</x:v>
      </x:c>
      <x:c r="AN750" s="87" t="n">
        <x:v>32</x:v>
      </x:c>
    </x:row>
    <x:row r="751">
      <x:c r="A751" s="87" t="n">
        <x:v>750</x:v>
      </x:c>
      <x:c r="B751" s="87" t="str">
        <x:v>FEB-ENG-W-V1-032</x:v>
      </x:c>
      <x:c r="C751" s="87" t="str">
        <x:v>СтатГрад</x:v>
      </x:c>
      <x:c r="D751" s="87" t="str">
        <x:v>Февраль 2026</x:v>
      </x:c>
      <x:c r="E751" s="87"/>
      <x:c r="F751" s="87"/>
      <x:c r="G751" s="87" t="str">
        <x:v>Английский язык</x:v>
      </x:c>
      <x:c r="H751" s="87" t="n">
        <x:v>11</x:v>
      </x:c>
      <x:c r="I751" s="87" t="str">
        <x:v>ТР №2</x:v>
      </x:c>
      <x:c r="J751" s="87" t="str">
        <x:v>АЯ2510201</x:v>
      </x:c>
      <x:c r="K751" s="87" t="n">
        <x:v>32</x:v>
      </x:c>
      <x:c r="L751" s="87" t="str">
        <x:v>Лексика: выбор слова</x:v>
      </x:c>
      <x:c r="M751" s="30" t="str">
        <x:v>If she ___ her dance to the left...</x:v>
      </x:c>
      <x:c r="N751" s="30" t="str">
        <x:v>1 — performs</x:v>
      </x:c>
      <x:c r="O751" s="30" t="str">
        <x:v>Устойчивое сочетание perform a dance означает исполнить танец.</x:v>
      </x:c>
      <x:c r="P751" s="30" t="str">
        <x:v>Проверена лексическая сочетаемость.</x:v>
      </x:c>
      <x:c r="Q751" s="30"/>
      <x:c r="R751" s="30" t="str">
        <x:v>нет в таблице</x:v>
      </x:c>
      <x:c r="S751" s="30"/>
      <x:c r="T751" s="30"/>
      <x:c r="U751" s="30" t="str">
        <x:v>Решено независимо.</x:v>
      </x:c>
      <x:c r="V751" s="87" t="str">
        <x:v>VERIFIED</x:v>
      </x:c>
      <x:c r="W751" s="87" t="n">
        <x:v>13</x:v>
      </x:c>
      <x:c r="X751" s="87"/>
      <x:c r="Y751" s="87"/>
      <x:c r="Z751" s="87"/>
      <x:c r="AA751" s="87"/>
      <x:c r="AB751" s="87"/>
      <x:c r="AC751" s="87"/>
      <x:c r="AD751" s="87"/>
      <x:c r="AE751" s="87"/>
      <x:c r="AF751" s="87"/>
      <x:c r="AG751" s="87"/>
      <x:c r="AH751" s="87"/>
      <x:c r="AI751" s="30"/>
      <x:c r="AJ751" s="87" t="str">
        <x:v>master</x:v>
      </x:c>
      <x:c r="AK751" s="87" t="str">
        <x:v>master-v0.81</x:v>
      </x:c>
      <x:c r="AL751" s="87" t="str">
        <x:v>statgrad_master_base_v0_81_final(2).xlsx</x:v>
      </x:c>
      <x:c r="AM751" s="87" t="str">
        <x:v>ENG_Feb_Written_V1</x:v>
      </x:c>
      <x:c r="AN751" s="87" t="n">
        <x:v>33</x:v>
      </x:c>
    </x:row>
    <x:row r="752">
      <x:c r="A752" s="87" t="n">
        <x:v>751</x:v>
      </x:c>
      <x:c r="B752" s="87" t="str">
        <x:v>FEB-ENG-W-V1-033</x:v>
      </x:c>
      <x:c r="C752" s="87" t="str">
        <x:v>СтатГрад</x:v>
      </x:c>
      <x:c r="D752" s="87" t="str">
        <x:v>Февраль 2026</x:v>
      </x:c>
      <x:c r="E752" s="87"/>
      <x:c r="F752" s="87"/>
      <x:c r="G752" s="87" t="str">
        <x:v>Английский язык</x:v>
      </x:c>
      <x:c r="H752" s="87" t="n">
        <x:v>11</x:v>
      </x:c>
      <x:c r="I752" s="87" t="str">
        <x:v>ТР №2</x:v>
      </x:c>
      <x:c r="J752" s="87" t="str">
        <x:v>АЯ2510201</x:v>
      </x:c>
      <x:c r="K752" s="87" t="n">
        <x:v>33</x:v>
      </x:c>
      <x:c r="L752" s="87" t="str">
        <x:v>Лексика: выбор слова</x:v>
      </x:c>
      <x:c r="M752" s="30" t="str">
        <x:v>A long dance indicates a larger find, ___ a short dance signals a smaller discovery.</x:v>
      </x:c>
      <x:c r="N752" s="30" t="str">
        <x:v>3 — while</x:v>
      </x:c>
      <x:c r="O752" s="30" t="str">
        <x:v>While соединяет два противопоставленных факта в одном предложении.</x:v>
      </x:c>
      <x:c r="P752" s="30" t="str">
        <x:v>Проверена логическая связь контраста.</x:v>
      </x:c>
      <x:c r="Q752" s="30"/>
      <x:c r="R752" s="30" t="str">
        <x:v>нет в таблице</x:v>
      </x:c>
      <x:c r="S752" s="30"/>
      <x:c r="T752" s="30"/>
      <x:c r="U752" s="30" t="str">
        <x:v>Решено независимо.</x:v>
      </x:c>
      <x:c r="V752" s="87" t="str">
        <x:v>VERIFIED</x:v>
      </x:c>
      <x:c r="W752" s="87" t="n">
        <x:v>14</x:v>
      </x:c>
      <x:c r="X752" s="87"/>
      <x:c r="Y752" s="87"/>
      <x:c r="Z752" s="87"/>
      <x:c r="AA752" s="87"/>
      <x:c r="AB752" s="87"/>
      <x:c r="AC752" s="87"/>
      <x:c r="AD752" s="87"/>
      <x:c r="AE752" s="87"/>
      <x:c r="AF752" s="87"/>
      <x:c r="AG752" s="87"/>
      <x:c r="AH752" s="87"/>
      <x:c r="AI752" s="30"/>
      <x:c r="AJ752" s="87" t="str">
        <x:v>master</x:v>
      </x:c>
      <x:c r="AK752" s="87" t="str">
        <x:v>master-v0.81</x:v>
      </x:c>
      <x:c r="AL752" s="87" t="str">
        <x:v>statgrad_master_base_v0_81_final(2).xlsx</x:v>
      </x:c>
      <x:c r="AM752" s="87" t="str">
        <x:v>ENG_Feb_Written_V1</x:v>
      </x:c>
      <x:c r="AN752" s="87" t="n">
        <x:v>34</x:v>
      </x:c>
    </x:row>
    <x:row r="753">
      <x:c r="A753" s="87" t="n">
        <x:v>752</x:v>
      </x:c>
      <x:c r="B753" s="87" t="str">
        <x:v>FEB-ENG-W-V1-034</x:v>
      </x:c>
      <x:c r="C753" s="87" t="str">
        <x:v>СтатГрад</x:v>
      </x:c>
      <x:c r="D753" s="87" t="str">
        <x:v>Февраль 2026</x:v>
      </x:c>
      <x:c r="E753" s="87"/>
      <x:c r="F753" s="87"/>
      <x:c r="G753" s="87" t="str">
        <x:v>Английский язык</x:v>
      </x:c>
      <x:c r="H753" s="87" t="n">
        <x:v>11</x:v>
      </x:c>
      <x:c r="I753" s="87" t="str">
        <x:v>ТР №2</x:v>
      </x:c>
      <x:c r="J753" s="87" t="str">
        <x:v>АЯ2510201</x:v>
      </x:c>
      <x:c r="K753" s="87" t="n">
        <x:v>34</x:v>
      </x:c>
      <x:c r="L753" s="87" t="str">
        <x:v>Лексика: выбор слова</x:v>
      </x:c>
      <x:c r="M753" s="30" t="str">
        <x:v>Worker bees leave the hive and ___ for the flowers.</x:v>
      </x:c>
      <x:c r="N753" s="30" t="str">
        <x:v>1 — head</x:v>
      </x:c>
      <x:c r="O753" s="30" t="str">
        <x:v>Устойчивое выражение head for означает направляться к месту.</x:v>
      </x:c>
      <x:c r="P753" s="30" t="str">
        <x:v>Проверена лексическая конструкция.</x:v>
      </x:c>
      <x:c r="Q753" s="30"/>
      <x:c r="R753" s="30" t="str">
        <x:v>нет в таблице</x:v>
      </x:c>
      <x:c r="S753" s="30"/>
      <x:c r="T753" s="30"/>
      <x:c r="U753" s="30" t="str">
        <x:v>Решено независимо.</x:v>
      </x:c>
      <x:c r="V753" s="87" t="str">
        <x:v>VERIFIED</x:v>
      </x:c>
      <x:c r="W753" s="87" t="n">
        <x:v>14</x:v>
      </x:c>
      <x:c r="X753" s="87"/>
      <x:c r="Y753" s="87"/>
      <x:c r="Z753" s="87"/>
      <x:c r="AA753" s="87"/>
      <x:c r="AB753" s="87"/>
      <x:c r="AC753" s="87"/>
      <x:c r="AD753" s="87"/>
      <x:c r="AE753" s="87"/>
      <x:c r="AF753" s="87"/>
      <x:c r="AG753" s="87"/>
      <x:c r="AH753" s="87"/>
      <x:c r="AI753" s="30"/>
      <x:c r="AJ753" s="87" t="str">
        <x:v>master</x:v>
      </x:c>
      <x:c r="AK753" s="87" t="str">
        <x:v>master-v0.81</x:v>
      </x:c>
      <x:c r="AL753" s="87" t="str">
        <x:v>statgrad_master_base_v0_81_final(2).xlsx</x:v>
      </x:c>
      <x:c r="AM753" s="87" t="str">
        <x:v>ENG_Feb_Written_V1</x:v>
      </x:c>
      <x:c r="AN753" s="87" t="n">
        <x:v>35</x:v>
      </x:c>
    </x:row>
    <x:row r="754">
      <x:c r="A754" s="87" t="n">
        <x:v>753</x:v>
      </x:c>
      <x:c r="B754" s="87" t="str">
        <x:v>FEB-ENG-W-V1-035</x:v>
      </x:c>
      <x:c r="C754" s="87" t="str">
        <x:v>СтатГрад</x:v>
      </x:c>
      <x:c r="D754" s="87" t="str">
        <x:v>Февраль 2026</x:v>
      </x:c>
      <x:c r="E754" s="87"/>
      <x:c r="F754" s="87"/>
      <x:c r="G754" s="87" t="str">
        <x:v>Английский язык</x:v>
      </x:c>
      <x:c r="H754" s="87" t="n">
        <x:v>11</x:v>
      </x:c>
      <x:c r="I754" s="87" t="str">
        <x:v>ТР №2</x:v>
      </x:c>
      <x:c r="J754" s="87" t="str">
        <x:v>АЯ2510201</x:v>
      </x:c>
      <x:c r="K754" s="87" t="n">
        <x:v>35</x:v>
      </x:c>
      <x:c r="L754" s="87" t="str">
        <x:v>Лексика: выбор слова</x:v>
      </x:c>
      <x:c r="M754" s="30" t="str">
        <x:v>The ___ honeybee produces about one-twelfth of a teaspoon...</x:v>
      </x:c>
      <x:c r="N754" s="30" t="str">
        <x:v>4 — average</x:v>
      </x:c>
      <x:c r="O754" s="30" t="str">
        <x:v>Average honeybee означает среднестатистическая пчела; остальные варианты не передают это значение.</x:v>
      </x:c>
      <x:c r="P754" s="30" t="str">
        <x:v>Проверена сочетаемость с исчисляемым существительным.</x:v>
      </x:c>
      <x:c r="Q754" s="30"/>
      <x:c r="R754" s="30" t="str">
        <x:v>нет в таблице</x:v>
      </x:c>
      <x:c r="S754" s="30"/>
      <x:c r="T754" s="30"/>
      <x:c r="U754" s="30" t="str">
        <x:v>Решено независимо.</x:v>
      </x:c>
      <x:c r="V754" s="87" t="str">
        <x:v>VERIFIED</x:v>
      </x:c>
      <x:c r="W754" s="87" t="n">
        <x:v>14</x:v>
      </x:c>
      <x:c r="X754" s="87"/>
      <x:c r="Y754" s="87"/>
      <x:c r="Z754" s="87"/>
      <x:c r="AA754" s="87"/>
      <x:c r="AB754" s="87"/>
      <x:c r="AC754" s="87"/>
      <x:c r="AD754" s="87"/>
      <x:c r="AE754" s="87"/>
      <x:c r="AF754" s="87"/>
      <x:c r="AG754" s="87"/>
      <x:c r="AH754" s="87"/>
      <x:c r="AI754" s="30"/>
      <x:c r="AJ754" s="87" t="str">
        <x:v>master</x:v>
      </x:c>
      <x:c r="AK754" s="87" t="str">
        <x:v>master-v0.81</x:v>
      </x:c>
      <x:c r="AL754" s="87" t="str">
        <x:v>statgrad_master_base_v0_81_final(2).xlsx</x:v>
      </x:c>
      <x:c r="AM754" s="87" t="str">
        <x:v>ENG_Feb_Written_V1</x:v>
      </x:c>
      <x:c r="AN754" s="87" t="n">
        <x:v>36</x:v>
      </x:c>
    </x:row>
    <x:row r="755">
      <x:c r="A755" s="87" t="n">
        <x:v>754</x:v>
      </x:c>
      <x:c r="B755" s="87" t="str">
        <x:v>FEB-ENG-W-V1-036</x:v>
      </x:c>
      <x:c r="C755" s="87" t="str">
        <x:v>СтатГрад</x:v>
      </x:c>
      <x:c r="D755" s="87" t="str">
        <x:v>Февраль 2026</x:v>
      </x:c>
      <x:c r="E755" s="87"/>
      <x:c r="F755" s="87"/>
      <x:c r="G755" s="87" t="str">
        <x:v>Английский язык</x:v>
      </x:c>
      <x:c r="H755" s="87" t="n">
        <x:v>11</x:v>
      </x:c>
      <x:c r="I755" s="87" t="str">
        <x:v>ТР №2</x:v>
      </x:c>
      <x:c r="J755" s="87" t="str">
        <x:v>АЯ2510201</x:v>
      </x:c>
      <x:c r="K755" s="87" t="n">
        <x:v>36</x:v>
      </x:c>
      <x:c r="L755" s="87" t="str">
        <x:v>Лексика: выбор слова</x:v>
      </x:c>
      <x:c r="M755" s="30" t="str">
        <x:v>Honeybees play a ___ role in both nature and human life.</x:v>
      </x:c>
      <x:c r="N755" s="30" t="str">
        <x:v>2 — vital</x:v>
      </x:c>
      <x:c r="O755" s="30" t="str">
        <x:v>Устойчивое сочетание play a vital role означает играть жизненно важную роль.</x:v>
      </x:c>
      <x:c r="P755" s="30" t="str">
        <x:v>Проверена лексическая сочетаемость.</x:v>
      </x:c>
      <x:c r="Q755" s="30"/>
      <x:c r="R755" s="30" t="str">
        <x:v>нет в таблице</x:v>
      </x:c>
      <x:c r="S755" s="30"/>
      <x:c r="T755" s="30"/>
      <x:c r="U755" s="30" t="str">
        <x:v>Решено независимо.</x:v>
      </x:c>
      <x:c r="V755" s="87" t="str">
        <x:v>VERIFIED</x:v>
      </x:c>
      <x:c r="W755" s="87" t="n">
        <x:v>14</x:v>
      </x:c>
      <x:c r="X755" s="87"/>
      <x:c r="Y755" s="87"/>
      <x:c r="Z755" s="87"/>
      <x:c r="AA755" s="87"/>
      <x:c r="AB755" s="87"/>
      <x:c r="AC755" s="87"/>
      <x:c r="AD755" s="87"/>
      <x:c r="AE755" s="87"/>
      <x:c r="AF755" s="87"/>
      <x:c r="AG755" s="87"/>
      <x:c r="AH755" s="87"/>
      <x:c r="AI755" s="30"/>
      <x:c r="AJ755" s="87" t="str">
        <x:v>master</x:v>
      </x:c>
      <x:c r="AK755" s="87" t="str">
        <x:v>master-v0.81</x:v>
      </x:c>
      <x:c r="AL755" s="87" t="str">
        <x:v>statgrad_master_base_v0_81_final(2).xlsx</x:v>
      </x:c>
      <x:c r="AM755" s="87" t="str">
        <x:v>ENG_Feb_Written_V1</x:v>
      </x:c>
      <x:c r="AN755" s="87" t="n">
        <x:v>37</x:v>
      </x:c>
    </x:row>
    <x:row r="756">
      <x:c r="A756" s="87" t="n">
        <x:v>755</x:v>
      </x:c>
      <x:c r="B756" s="87" t="str">
        <x:v>FEB-ENG-W-V1-037</x:v>
      </x:c>
      <x:c r="C756" s="87" t="str">
        <x:v>СтатГрад</x:v>
      </x:c>
      <x:c r="D756" s="87" t="str">
        <x:v>Февраль 2026</x:v>
      </x:c>
      <x:c r="E756" s="87"/>
      <x:c r="F756" s="87"/>
      <x:c r="G756" s="87" t="str">
        <x:v>Английский язык</x:v>
      </x:c>
      <x:c r="H756" s="87" t="n">
        <x:v>11</x:v>
      </x:c>
      <x:c r="I756" s="87" t="str">
        <x:v>ТР №2</x:v>
      </x:c>
      <x:c r="J756" s="87" t="str">
        <x:v>АЯ2510201</x:v>
      </x:c>
      <x:c r="K756" s="87" t="n">
        <x:v>37</x:v>
      </x:c>
      <x:c r="L756" s="87" t="str">
        <x:v>Письменная речь: электронное письмо</x:v>
      </x:c>
      <x:c r="M756" s="30" t="str">
        <x:v>Ответьте Стивену о российских художественных музеях и любимых художниках; задайте три вопроса об альбоме Шагала. Объём 100–140 слов.</x:v>
      </x:c>
      <x:c r="N756" s="30" t="str">
        <x:v>Dear Stephen,
Thanks for your email. Your trip sounds great! If you visit Russia, I would recommend the State Tretyakov Gallery in Moscow and the Russian Museum in St Petersburg because both have excellent collections of Russian art. I go to museums two or three times a year, usually with my friends or family. My favourite Russian painters are Ivan Shishkin and Isaac Levitan. I like their landscapes because they show Russian nature in a very realistic and emotional way.
By the way, is the album illustrated with full-page reproductions? Which Chagall painting do you like best? Does the album contain any information about his life?
Write back soon.
Best wishes,
Alex</x:v>
      </x:c>
      <x:c r="O756" s="30" t="str">
        <x:v>Письмо отвечает на все три вопроса, содержит ровно три вопроса об альбоме, благодарность, завершающую фразу и подпись. Объём — 112 слов.</x:v>
      </x:c>
      <x:c r="P756" s="30" t="str">
        <x:v>Структура и объём проверены программным подсчётом; коммуникативные пункты сверены с официальной схемой оценивания.</x:v>
      </x:c>
      <x:c r="Q756" s="30"/>
      <x:c r="R756" s="30" t="str">
        <x:v>Критерии, стр. 8–10</x:v>
      </x:c>
      <x:c r="S756" s="30"/>
      <x:c r="T756" s="30"/>
      <x:c r="U756" s="30" t="str">
        <x:v>Модельный ответ; критерии не изменялись.</x:v>
      </x:c>
      <x:c r="V756" s="87" t="str">
        <x:v>VERIFIED</x:v>
      </x:c>
      <x:c r="W756" s="87" t="n">
        <x:v>15</x:v>
      </x:c>
      <x:c r="X756" s="87"/>
      <x:c r="Y756" s="87"/>
      <x:c r="Z756" s="87"/>
      <x:c r="AA756" s="87"/>
      <x:c r="AB756" s="87"/>
      <x:c r="AC756" s="87"/>
      <x:c r="AD756" s="87"/>
      <x:c r="AE756" s="87"/>
      <x:c r="AF756" s="87"/>
      <x:c r="AG756" s="87"/>
      <x:c r="AH756" s="87"/>
      <x:c r="AI756" s="30"/>
      <x:c r="AJ756" s="87" t="str">
        <x:v>master</x:v>
      </x:c>
      <x:c r="AK756" s="87" t="str">
        <x:v>master-v0.81</x:v>
      </x:c>
      <x:c r="AL756" s="87" t="str">
        <x:v>statgrad_master_base_v0_81_final(2).xlsx</x:v>
      </x:c>
      <x:c r="AM756" s="87" t="str">
        <x:v>ENG_Feb_Written_V1</x:v>
      </x:c>
      <x:c r="AN756" s="87" t="n">
        <x:v>38</x:v>
      </x:c>
    </x:row>
    <x:row r="757">
      <x:c r="A757" s="87" t="n">
        <x:v>756</x:v>
      </x:c>
      <x:c r="B757" s="87" t="str">
        <x:v>FEB-ENG-W-V1-0381</x:v>
      </x:c>
      <x:c r="C757" s="87" t="str">
        <x:v>СтатГрад</x:v>
      </x:c>
      <x:c r="D757" s="87" t="str">
        <x:v>Февраль 2026</x:v>
      </x:c>
      <x:c r="E757" s="87"/>
      <x:c r="F757" s="87"/>
      <x:c r="G757" s="87" t="str">
        <x:v>Английский язык</x:v>
      </x:c>
      <x:c r="H757" s="87" t="n">
        <x:v>11</x:v>
      </x:c>
      <x:c r="I757" s="87" t="str">
        <x:v>ТР №2</x:v>
      </x:c>
      <x:c r="J757" s="87" t="str">
        <x:v>АЯ2510201</x:v>
      </x:c>
      <x:c r="K757" s="87" t="str">
        <x:v>38.1</x:v>
      </x:c>
      <x:c r="L757" s="87" t="str">
        <x:v>Письменная речь: проект</x:v>
      </x:c>
      <x:c r="M757" s="30" t="str">
        <x:v>Прокомментируйте данные о любимых занятиях подростков на идеальных выходных и выразите мнение. Объём 200–250 слов.</x:v>
      </x:c>
      <x:c r="N757" s="30" t="str">
        <x:v>Nowadays teenagers can choose from many ways of spending their weekends. I am doing a project on the favourite weekend activities of teenagers in Zetland, and I have found some useful survey data.
According to the table, the most popular option is staying at home and playing video games, chosen by 41% of respondents. Doing sports or going on a hike ranks second with 30%. Going to the cinema with friends is preferred by 17% of teenagers, while only 2% would choose to clean their room.
It is noticeable that playing video games is 11 percentage points more popular than doing sports or hiking. This may be because gaming is easy to organise and does not depend on the weather. In addition, going to the cinema is considerably more popular than cleaning one's room: the difference is 15 percentage points. Clearly, teenagers usually see weekends as time for rest rather than household chores.
A problem that can arise when choosing a weekend activity is that friends may have different interests or budgets. A practical solution is to discuss several options in advance and select an activity that is affordable and enjoyable for everyone.
In my opinion, it is important to spend weekends wisely because a good balance of rest, exercise and social contact helps teenagers recover from school and begin the new week with more energy.</x:v>
      </x:c>
      <x:c r="O757" s="30" t="str">
        <x:v>Использованы значения 41%, 30%, 17% и 2%; выполнены два осмысленных сравнения; сформулированы проблема, решение и аргументированное мнение. Объём — 226 слов.</x:v>
      </x:c>
      <x:c r="P757" s="30" t="str">
        <x:v>Все пять пунктов плана и числовые данные проверены отдельно.</x:v>
      </x:c>
      <x:c r="Q757" s="30"/>
      <x:c r="R757" s="30" t="str">
        <x:v>Критерии, стр. 11–16</x:v>
      </x:c>
      <x:c r="S757" s="30"/>
      <x:c r="T757" s="30"/>
      <x:c r="U757" s="30" t="str">
        <x:v>Модельный ответ на первый из двух вариантов задания 38.</x:v>
      </x:c>
      <x:c r="V757" s="87" t="str">
        <x:v>VERIFIED</x:v>
      </x:c>
      <x:c r="W757" s="87" t="n">
        <x:v>16</x:v>
      </x:c>
      <x:c r="X757" s="87"/>
      <x:c r="Y757" s="87"/>
      <x:c r="Z757" s="87"/>
      <x:c r="AA757" s="87"/>
      <x:c r="AB757" s="87"/>
      <x:c r="AC757" s="87"/>
      <x:c r="AD757" s="87"/>
      <x:c r="AE757" s="87"/>
      <x:c r="AF757" s="87"/>
      <x:c r="AG757" s="87"/>
      <x:c r="AH757" s="87"/>
      <x:c r="AI757" s="30"/>
      <x:c r="AJ757" s="87" t="str">
        <x:v>master</x:v>
      </x:c>
      <x:c r="AK757" s="87" t="str">
        <x:v>master-v0.81</x:v>
      </x:c>
      <x:c r="AL757" s="87" t="str">
        <x:v>statgrad_master_base_v0_81_final(2).xlsx</x:v>
      </x:c>
      <x:c r="AM757" s="87" t="str">
        <x:v>ENG_Feb_Written_V1</x:v>
      </x:c>
      <x:c r="AN757" s="87" t="n">
        <x:v>39</x:v>
      </x:c>
    </x:row>
    <x:row r="758">
      <x:c r="A758" s="87" t="n">
        <x:v>757</x:v>
      </x:c>
      <x:c r="B758" s="87" t="str">
        <x:v>FEB-ENG-W-V1-0382</x:v>
      </x:c>
      <x:c r="C758" s="87" t="str">
        <x:v>СтатГрад</x:v>
      </x:c>
      <x:c r="D758" s="87" t="str">
        <x:v>Февраль 2026</x:v>
      </x:c>
      <x:c r="E758" s="87"/>
      <x:c r="F758" s="87"/>
      <x:c r="G758" s="87" t="str">
        <x:v>Английский язык</x:v>
      </x:c>
      <x:c r="H758" s="87" t="n">
        <x:v>11</x:v>
      </x:c>
      <x:c r="I758" s="87" t="str">
        <x:v>ТР №2</x:v>
      </x:c>
      <x:c r="J758" s="87" t="str">
        <x:v>АЯ2510201</x:v>
      </x:c>
      <x:c r="K758" s="87" t="str">
        <x:v>38.2</x:v>
      </x:c>
      <x:c r="L758" s="87" t="str">
        <x:v>Письменная речь: проект</x:v>
      </x:c>
      <x:c r="M758" s="30" t="str">
        <x:v>Прокомментируйте причины получения высшего образования молодыми жителями Зетландии и выразите мнение. Объём 200–250 слов.</x:v>
      </x:c>
      <x:c r="N758" s="30" t="str">
        <x:v>Higher education remains an important choice for many young people. I am doing a project on why young Zetlanders decide to study at university, and I have found some relevant survey data.
According to the pie chart, the largest group, 31% of respondents, want to have a good job in the future. Another 27% choose university because everyone in their family has higher education. Becoming rich is the main reason for 23%, whereas only 6% say that their parents told them to study at university.
The desire to get a good job is 8 percentage points more common than the hope of becoming rich. This suggests that many young people value stable career prospects rather than money alone. It is also striking that family tradition is more than four times as popular as direct parental pressure: 27% compared with 6%. In other words, an example set by relatives may influence a teenager more effectively than instructions.
A problem that can arise when choosing a path after school is uncertainty about one's abilities and future profession. To solve it, students should attend career-guidance sessions, talk to professionals and try short courses or internships before making a final decision.
In my opinion, higher education is very important today because it develops specialised knowledge, critical thinking and communication skills. Although a degree cannot guarantee success, it usually gives young people more career opportunities and helps them adapt to a rapidly changing labour market.</x:v>
      </x:c>
      <x:c r="O758" s="30" t="str">
        <x:v>Использованы значения 31%, 27%, 23% и 6%; выполнены два сравнения; описаны проблема выбора пути, решение и значение высшего образования. Объём — 240 слов.</x:v>
      </x:c>
      <x:c r="P758" s="30" t="str">
        <x:v>Все пять пунктов плана и числовые данные проверены отдельно.</x:v>
      </x:c>
      <x:c r="Q758" s="30"/>
      <x:c r="R758" s="30" t="str">
        <x:v>Критерии, стр. 11–16</x:v>
      </x:c>
      <x:c r="S758" s="30"/>
      <x:c r="T758" s="30"/>
      <x:c r="U758" s="30" t="str">
        <x:v>Модельный ответ на второй из двух вариантов задания 38.</x:v>
      </x:c>
      <x:c r="V758" s="87" t="str">
        <x:v>VERIFIED</x:v>
      </x:c>
      <x:c r="W758" s="87" t="n">
        <x:v>17</x:v>
      </x:c>
      <x:c r="X758" s="87"/>
      <x:c r="Y758" s="87"/>
      <x:c r="Z758" s="87"/>
      <x:c r="AA758" s="87"/>
      <x:c r="AB758" s="87"/>
      <x:c r="AC758" s="87"/>
      <x:c r="AD758" s="87"/>
      <x:c r="AE758" s="87"/>
      <x:c r="AF758" s="87"/>
      <x:c r="AG758" s="87"/>
      <x:c r="AH758" s="87"/>
      <x:c r="AI758" s="30"/>
      <x:c r="AJ758" s="87" t="str">
        <x:v>master</x:v>
      </x:c>
      <x:c r="AK758" s="87" t="str">
        <x:v>master-v0.81</x:v>
      </x:c>
      <x:c r="AL758" s="87" t="str">
        <x:v>statgrad_master_base_v0_81_final(2).xlsx</x:v>
      </x:c>
      <x:c r="AM758" s="87" t="str">
        <x:v>ENG_Feb_Written_V1</x:v>
      </x:c>
      <x:c r="AN758" s="87" t="n">
        <x:v>40</x:v>
      </x:c>
    </x:row>
    <x:row r="759">
      <x:c r="A759" s="87" t="n">
        <x:v>758</x:v>
      </x:c>
      <x:c r="B759" s="87" t="str">
        <x:v>FEB-ENG-O-V1-001</x:v>
      </x:c>
      <x:c r="C759" s="87" t="str">
        <x:v>СтатГрад</x:v>
      </x:c>
      <x:c r="D759" s="87" t="str">
        <x:v>Февраль 2026</x:v>
      </x:c>
      <x:c r="E759" s="87"/>
      <x:c r="F759" s="87"/>
      <x:c r="G759" s="87" t="str">
        <x:v>Английский язык</x:v>
      </x:c>
      <x:c r="H759" s="87" t="n">
        <x:v>11</x:v>
      </x:c>
      <x:c r="I759" s="87" t="str">
        <x:v>ТР №2</x:v>
      </x:c>
      <x:c r="J759" s="87" t="str">
        <x:v>АЯ2510201</x:v>
      </x:c>
      <x:c r="K759" s="87" t="str">
        <x:v>1</x:v>
      </x:c>
      <x:c r="L759" s="87" t="str">
        <x:v>Устная речь: чтение текста</x:v>
      </x:c>
      <x:c r="M759" s="30" t="str">
        <x:v>Прочитайте вслух текст о первичных и вторичных источниках. Подготовка — 1,5 минуты; чтение — не более 1,5 минуты.</x:v>
      </x:c>
      <x:c r="N759" s="30" t="str">
        <x:v>When you conduct research for a paper, you use many different sources. A primary source may be a letter, a diary, an interview, a speech, a law, a photograph, or a newspaper article written at the time of the event. A primary source provides firsthand information about an event from the perspective of someone who was present when that event occurred. A secondary source, such as an encyclopedia, a textbook, a biography or a research article, is a collection and interpretation of information gathered from other sources after the event has happened. If you look at the last page of an encyclopedia entry or a research paper, you may see a list of articles and books that the author consulted. By understanding the difference between primary and secondary sources, you can use the right information to support your research and draw accurate conclusions.</x:v>
      </x:c>
      <x:c r="O759" s="30" t="str">
        <x:v>Нужно читать связно, без необоснованных пауз. Особое внимание: conduct /kənˈdʌkt/, primary, firsthand, perspective, occurred, secondary, encyclopedia, interpretation, gathered, consulted, accurate conclusions.</x:v>
      </x:c>
      <x:c r="P759" s="30" t="str">
        <x:v>Текст перенесён дословно с задания. Проверены смысловые группы, потенциально трудные слова и лимит критерия: для 1 балла допускается не более пяти фонетических ошибок, включая не более 1–2 ошибок, искажающих смысл.</x:v>
      </x:c>
      <x:c r="Q759" s="30"/>
      <x:c r="R759" s="30" t="str">
        <x:v>Критерии, стр. 17</x:v>
      </x:c>
      <x:c r="S759" s="30"/>
      <x:c r="T759" s="30"/>
      <x:c r="U759" s="30" t="str">
        <x:v>У задания нет письменного ключа: оценивается качество чтения.</x:v>
      </x:c>
      <x:c r="V759" s="87" t="str">
        <x:v>VERIFIED</x:v>
      </x:c>
      <x:c r="W759" s="87" t="str">
        <x:v>2</x:v>
      </x:c>
      <x:c r="X759" s="87"/>
      <x:c r="Y759" s="87"/>
      <x:c r="Z759" s="87"/>
      <x:c r="AA759" s="87"/>
      <x:c r="AB759" s="87"/>
      <x:c r="AC759" s="87"/>
      <x:c r="AD759" s="87"/>
      <x:c r="AE759" s="87"/>
      <x:c r="AF759" s="87"/>
      <x:c r="AG759" s="87"/>
      <x:c r="AH759" s="87"/>
      <x:c r="AI759" s="30"/>
      <x:c r="AJ759" s="87" t="str">
        <x:v>master</x:v>
      </x:c>
      <x:c r="AK759" s="87" t="str">
        <x:v>master-v0.81</x:v>
      </x:c>
      <x:c r="AL759" s="87" t="str">
        <x:v>statgrad_master_base_v0_81_final(2).xlsx</x:v>
      </x:c>
      <x:c r="AM759" s="87" t="str">
        <x:v>ENG_Feb_Oral_V1</x:v>
      </x:c>
      <x:c r="AN759" s="87" t="n">
        <x:v>2</x:v>
      </x:c>
    </x:row>
    <x:row r="760">
      <x:c r="A760" s="87" t="n">
        <x:v>759</x:v>
      </x:c>
      <x:c r="B760" s="87" t="str">
        <x:v>FEB-ENG-O-V1-0021</x:v>
      </x:c>
      <x:c r="C760" s="87" t="str">
        <x:v>СтатГрад</x:v>
      </x:c>
      <x:c r="D760" s="87" t="str">
        <x:v>Февраль 2026</x:v>
      </x:c>
      <x:c r="E760" s="87"/>
      <x:c r="F760" s="87"/>
      <x:c r="G760" s="87" t="str">
        <x:v>Английский язык</x:v>
      </x:c>
      <x:c r="H760" s="87" t="n">
        <x:v>11</x:v>
      </x:c>
      <x:c r="I760" s="87" t="str">
        <x:v>ТР №2</x:v>
      </x:c>
      <x:c r="J760" s="87" t="str">
        <x:v>АЯ2510201</x:v>
      </x:c>
      <x:c r="K760" s="87" t="str">
        <x:v>2.1</x:v>
      </x:c>
      <x:c r="L760" s="87" t="str">
        <x:v>Устная речь: прямой вопрос</x:v>
      </x:c>
      <x:c r="M760" s="30" t="str">
        <x:v>Узнайте часы работы боулинга Lucky Pin по будням.</x:v>
      </x:c>
      <x:c r="N760" s="30" t="str">
        <x:v>What are your opening hours on weekdays?</x:v>
      </x:c>
      <x:c r="O760" s="30" t="str">
        <x:v>Использован прямой специальный вопрос с корректным порядком слов.</x:v>
      </x:c>
      <x:c r="P760" s="30" t="str">
        <x:v>Вопрос точно запрашивает opening hours on weekdays и не содержит лишнего вступления.</x:v>
      </x:c>
      <x:c r="Q760" s="30"/>
      <x:c r="R760" s="30" t="str">
        <x:v>Критерии, стр. 17</x:v>
      </x:c>
      <x:c r="S760" s="30"/>
      <x:c r="T760" s="30"/>
      <x:c r="U760" s="30" t="str">
        <x:v>Расхождений нет.</x:v>
      </x:c>
      <x:c r="V760" s="87" t="str">
        <x:v>VERIFIED</x:v>
      </x:c>
      <x:c r="W760" s="87" t="str">
        <x:v>2</x:v>
      </x:c>
      <x:c r="X760" s="87"/>
      <x:c r="Y760" s="87"/>
      <x:c r="Z760" s="87"/>
      <x:c r="AA760" s="87"/>
      <x:c r="AB760" s="87"/>
      <x:c r="AC760" s="87"/>
      <x:c r="AD760" s="87"/>
      <x:c r="AE760" s="87"/>
      <x:c r="AF760" s="87"/>
      <x:c r="AG760" s="87"/>
      <x:c r="AH760" s="87"/>
      <x:c r="AI760" s="30"/>
      <x:c r="AJ760" s="87" t="str">
        <x:v>master</x:v>
      </x:c>
      <x:c r="AK760" s="87" t="str">
        <x:v>master-v0.81</x:v>
      </x:c>
      <x:c r="AL760" s="87" t="str">
        <x:v>statgrad_master_base_v0_81_final(2).xlsx</x:v>
      </x:c>
      <x:c r="AM760" s="87" t="str">
        <x:v>ENG_Feb_Oral_V1</x:v>
      </x:c>
      <x:c r="AN760" s="87" t="n">
        <x:v>3</x:v>
      </x:c>
    </x:row>
    <x:row r="761">
      <x:c r="A761" s="87" t="n">
        <x:v>760</x:v>
      </x:c>
      <x:c r="B761" s="87" t="str">
        <x:v>FEB-ENG-O-V1-0022</x:v>
      </x:c>
      <x:c r="C761" s="87" t="str">
        <x:v>СтатГрад</x:v>
      </x:c>
      <x:c r="D761" s="87" t="str">
        <x:v>Февраль 2026</x:v>
      </x:c>
      <x:c r="E761" s="87"/>
      <x:c r="F761" s="87"/>
      <x:c r="G761" s="87" t="str">
        <x:v>Английский язык</x:v>
      </x:c>
      <x:c r="H761" s="87" t="n">
        <x:v>11</x:v>
      </x:c>
      <x:c r="I761" s="87" t="str">
        <x:v>ТР №2</x:v>
      </x:c>
      <x:c r="J761" s="87" t="str">
        <x:v>АЯ2510201</x:v>
      </x:c>
      <x:c r="K761" s="87" t="str">
        <x:v>2.2</x:v>
      </x:c>
      <x:c r="L761" s="87" t="str">
        <x:v>Устная речь: прямой вопрос</x:v>
      </x:c>
      <x:c r="M761" s="30" t="str">
        <x:v>Узнайте о групповых скидках.</x:v>
      </x:c>
      <x:c r="N761" s="30" t="str">
        <x:v>Do you offer group discounts?</x:v>
      </x:c>
      <x:c r="O761" s="30" t="str">
        <x:v>Использован прямой общий вопрос в Present Simple.</x:v>
      </x:c>
      <x:c r="P761" s="30" t="str">
        <x:v>Форма Do you offer…? грамматически верна и полностью раскрывает пункт.</x:v>
      </x:c>
      <x:c r="Q761" s="30"/>
      <x:c r="R761" s="30" t="str">
        <x:v>Критерии, стр. 17</x:v>
      </x:c>
      <x:c r="S761" s="30"/>
      <x:c r="T761" s="30"/>
      <x:c r="U761" s="30" t="str">
        <x:v>Расхождений нет.</x:v>
      </x:c>
      <x:c r="V761" s="87" t="str">
        <x:v>VERIFIED</x:v>
      </x:c>
      <x:c r="W761" s="87" t="str">
        <x:v>2</x:v>
      </x:c>
      <x:c r="X761" s="87"/>
      <x:c r="Y761" s="87"/>
      <x:c r="Z761" s="87"/>
      <x:c r="AA761" s="87"/>
      <x:c r="AB761" s="87"/>
      <x:c r="AC761" s="87"/>
      <x:c r="AD761" s="87"/>
      <x:c r="AE761" s="87"/>
      <x:c r="AF761" s="87"/>
      <x:c r="AG761" s="87"/>
      <x:c r="AH761" s="87"/>
      <x:c r="AI761" s="30"/>
      <x:c r="AJ761" s="87" t="str">
        <x:v>master</x:v>
      </x:c>
      <x:c r="AK761" s="87" t="str">
        <x:v>master-v0.81</x:v>
      </x:c>
      <x:c r="AL761" s="87" t="str">
        <x:v>statgrad_master_base_v0_81_final(2).xlsx</x:v>
      </x:c>
      <x:c r="AM761" s="87" t="str">
        <x:v>ENG_Feb_Oral_V1</x:v>
      </x:c>
      <x:c r="AN761" s="87" t="n">
        <x:v>4</x:v>
      </x:c>
    </x:row>
    <x:row r="762">
      <x:c r="A762" s="87" t="n">
        <x:v>761</x:v>
      </x:c>
      <x:c r="B762" s="87" t="str">
        <x:v>FEB-ENG-O-V1-0023</x:v>
      </x:c>
      <x:c r="C762" s="87" t="str">
        <x:v>СтатГрад</x:v>
      </x:c>
      <x:c r="D762" s="87" t="str">
        <x:v>Февраль 2026</x:v>
      </x:c>
      <x:c r="E762" s="87"/>
      <x:c r="F762" s="87"/>
      <x:c r="G762" s="87" t="str">
        <x:v>Английский язык</x:v>
      </x:c>
      <x:c r="H762" s="87" t="n">
        <x:v>11</x:v>
      </x:c>
      <x:c r="I762" s="87" t="str">
        <x:v>ТР №2</x:v>
      </x:c>
      <x:c r="J762" s="87" t="str">
        <x:v>АЯ2510201</x:v>
      </x:c>
      <x:c r="K762" s="87" t="str">
        <x:v>2.3</x:v>
      </x:c>
      <x:c r="L762" s="87" t="str">
        <x:v>Устная речь: прямой вопрос</x:v>
      </x:c>
      <x:c r="M762" s="30" t="str">
        <x:v>Узнайте о специальных предложениях для дней рождения.</x:v>
      </x:c>
      <x:c r="N762" s="30" t="str">
        <x:v>Are there any special offers for birthday parties?</x:v>
      </x:c>
      <x:c r="O762" s="30" t="str">
        <x:v>Конструкция Are there any…? прямо запрашивает наличие специальных предложений.</x:v>
      </x:c>
      <x:c r="P762" s="30" t="str">
        <x:v>Вопрос соответствует теме birthday offers и имеет правильный порядок слов.</x:v>
      </x:c>
      <x:c r="Q762" s="30"/>
      <x:c r="R762" s="30" t="str">
        <x:v>Критерии, стр. 17</x:v>
      </x:c>
      <x:c r="S762" s="30"/>
      <x:c r="T762" s="30"/>
      <x:c r="U762" s="30" t="str">
        <x:v>Расхождений нет.</x:v>
      </x:c>
      <x:c r="V762" s="87" t="str">
        <x:v>VERIFIED</x:v>
      </x:c>
      <x:c r="W762" s="87" t="str">
        <x:v>2</x:v>
      </x:c>
      <x:c r="X762" s="87"/>
      <x:c r="Y762" s="87"/>
      <x:c r="Z762" s="87"/>
      <x:c r="AA762" s="87"/>
      <x:c r="AB762" s="87"/>
      <x:c r="AC762" s="87"/>
      <x:c r="AD762" s="87"/>
      <x:c r="AE762" s="87"/>
      <x:c r="AF762" s="87"/>
      <x:c r="AG762" s="87"/>
      <x:c r="AH762" s="87"/>
      <x:c r="AI762" s="30"/>
      <x:c r="AJ762" s="87" t="str">
        <x:v>master</x:v>
      </x:c>
      <x:c r="AK762" s="87" t="str">
        <x:v>master-v0.81</x:v>
      </x:c>
      <x:c r="AL762" s="87" t="str">
        <x:v>statgrad_master_base_v0_81_final(2).xlsx</x:v>
      </x:c>
      <x:c r="AM762" s="87" t="str">
        <x:v>ENG_Feb_Oral_V1</x:v>
      </x:c>
      <x:c r="AN762" s="87" t="n">
        <x:v>5</x:v>
      </x:c>
    </x:row>
    <x:row r="763">
      <x:c r="A763" s="87" t="n">
        <x:v>762</x:v>
      </x:c>
      <x:c r="B763" s="87" t="str">
        <x:v>FEB-ENG-O-V1-0024</x:v>
      </x:c>
      <x:c r="C763" s="87" t="str">
        <x:v>СтатГрад</x:v>
      </x:c>
      <x:c r="D763" s="87" t="str">
        <x:v>Февраль 2026</x:v>
      </x:c>
      <x:c r="E763" s="87"/>
      <x:c r="F763" s="87"/>
      <x:c r="G763" s="87" t="str">
        <x:v>Английский язык</x:v>
      </x:c>
      <x:c r="H763" s="87" t="n">
        <x:v>11</x:v>
      </x:c>
      <x:c r="I763" s="87" t="str">
        <x:v>ТР №2</x:v>
      </x:c>
      <x:c r="J763" s="87" t="str">
        <x:v>АЯ2510201</x:v>
      </x:c>
      <x:c r="K763" s="87" t="str">
        <x:v>2.4</x:v>
      </x:c>
      <x:c r="L763" s="87" t="str">
        <x:v>Устная речь: прямой вопрос</x:v>
      </x:c>
      <x:c r="M763" s="30" t="str">
        <x:v>Узнайте, доступны ли еда и напитки.</x:v>
      </x:c>
      <x:c r="N763" s="30" t="str">
        <x:v>Are food and drinks available at the bowling alley?</x:v>
      </x:c>
      <x:c r="O763" s="30" t="str">
        <x:v>Использован прямой общий вопрос с составным подлежащим во множественном числе.</x:v>
      </x:c>
      <x:c r="P763" s="30" t="str">
        <x:v>Форма Are … available? точно соответствует требуемому аспекту.</x:v>
      </x:c>
      <x:c r="Q763" s="30"/>
      <x:c r="R763" s="30" t="str">
        <x:v>Критерии, стр. 17</x:v>
      </x:c>
      <x:c r="S763" s="30"/>
      <x:c r="T763" s="30"/>
      <x:c r="U763" s="30" t="str">
        <x:v>Расхождений нет.</x:v>
      </x:c>
      <x:c r="V763" s="87" t="str">
        <x:v>VERIFIED</x:v>
      </x:c>
      <x:c r="W763" s="87" t="str">
        <x:v>2</x:v>
      </x:c>
      <x:c r="X763" s="87"/>
      <x:c r="Y763" s="87"/>
      <x:c r="Z763" s="87"/>
      <x:c r="AA763" s="87"/>
      <x:c r="AB763" s="87"/>
      <x:c r="AC763" s="87"/>
      <x:c r="AD763" s="87"/>
      <x:c r="AE763" s="87"/>
      <x:c r="AF763" s="87"/>
      <x:c r="AG763" s="87"/>
      <x:c r="AH763" s="87"/>
      <x:c r="AI763" s="30"/>
      <x:c r="AJ763" s="87" t="str">
        <x:v>master</x:v>
      </x:c>
      <x:c r="AK763" s="87" t="str">
        <x:v>master-v0.81</x:v>
      </x:c>
      <x:c r="AL763" s="87" t="str">
        <x:v>statgrad_master_base_v0_81_final(2).xlsx</x:v>
      </x:c>
      <x:c r="AM763" s="87" t="str">
        <x:v>ENG_Feb_Oral_V1</x:v>
      </x:c>
      <x:c r="AN763" s="87" t="n">
        <x:v>6</x:v>
      </x:c>
    </x:row>
    <x:row r="764">
      <x:c r="A764" s="87" t="n">
        <x:v>763</x:v>
      </x:c>
      <x:c r="B764" s="87" t="str">
        <x:v>FEB-ENG-O-V1-0031</x:v>
      </x:c>
      <x:c r="C764" s="87" t="str">
        <x:v>СтатГрад</x:v>
      </x:c>
      <x:c r="D764" s="87" t="str">
        <x:v>Февраль 2026</x:v>
      </x:c>
      <x:c r="E764" s="87"/>
      <x:c r="F764" s="87"/>
      <x:c r="G764" s="87" t="str">
        <x:v>Английский язык</x:v>
      </x:c>
      <x:c r="H764" s="87" t="n">
        <x:v>11</x:v>
      </x:c>
      <x:c r="I764" s="87" t="str">
        <x:v>ТР №2</x:v>
      </x:c>
      <x:c r="J764" s="87" t="str">
        <x:v>АЯ2510201</x:v>
      </x:c>
      <x:c r="K764" s="87" t="str">
        <x:v>3.1</x:v>
      </x:c>
      <x:c r="L764" s="87" t="str">
        <x:v>Устная речь: интервью</x:v>
      </x:c>
      <x:c r="M764" s="30" t="str">
        <x:v>Where in Russia do you live? What are your favourite parks in the place where you live?</x:v>
      </x:c>
      <x:c r="N764" s="30" t="str">
        <x:v>I live in Moscow. My favourite parks are Gorky Park and Sokolniki because they are large and easy to reach.</x:v>
      </x:c>
      <x:c r="O764" s="30" t="str">
        <x:v>Даны две коммуникативно обусловленные фразы: место проживания и названия любимых парков с причиной.</x:v>
      </x:c>
      <x:c r="P764" s="30" t="str">
        <x:v>Ответ полный, точный и содержит ровно два предложения.</x:v>
      </x:c>
      <x:c r="Q764" s="30"/>
      <x:c r="R764" s="30" t="str">
        <x:v>Транскрипт, стр. 6; критерии, стр. 17</x:v>
      </x:c>
      <x:c r="S764" s="30"/>
      <x:c r="T764" s="30"/>
      <x:c r="U764" s="30" t="str">
        <x:v>Модельный ответ допускает замену города и парков.</x:v>
      </x:c>
      <x:c r="V764" s="87" t="str">
        <x:v>VERIFIED</x:v>
      </x:c>
      <x:c r="W764" s="87" t="str">
        <x:v>3</x:v>
      </x:c>
      <x:c r="X764" s="87"/>
      <x:c r="Y764" s="87"/>
      <x:c r="Z764" s="87"/>
      <x:c r="AA764" s="87"/>
      <x:c r="AB764" s="87"/>
      <x:c r="AC764" s="87"/>
      <x:c r="AD764" s="87"/>
      <x:c r="AE764" s="87"/>
      <x:c r="AF764" s="87"/>
      <x:c r="AG764" s="87"/>
      <x:c r="AH764" s="87"/>
      <x:c r="AI764" s="30"/>
      <x:c r="AJ764" s="87" t="str">
        <x:v>master</x:v>
      </x:c>
      <x:c r="AK764" s="87" t="str">
        <x:v>master-v0.81</x:v>
      </x:c>
      <x:c r="AL764" s="87" t="str">
        <x:v>statgrad_master_base_v0_81_final(2).xlsx</x:v>
      </x:c>
      <x:c r="AM764" s="87" t="str">
        <x:v>ENG_Feb_Oral_V1</x:v>
      </x:c>
      <x:c r="AN764" s="87" t="n">
        <x:v>7</x:v>
      </x:c>
    </x:row>
    <x:row r="765">
      <x:c r="A765" s="87" t="n">
        <x:v>764</x:v>
      </x:c>
      <x:c r="B765" s="87" t="str">
        <x:v>FEB-ENG-O-V1-0032</x:v>
      </x:c>
      <x:c r="C765" s="87" t="str">
        <x:v>СтатГрад</x:v>
      </x:c>
      <x:c r="D765" s="87" t="str">
        <x:v>Февраль 2026</x:v>
      </x:c>
      <x:c r="E765" s="87"/>
      <x:c r="F765" s="87"/>
      <x:c r="G765" s="87" t="str">
        <x:v>Английский язык</x:v>
      </x:c>
      <x:c r="H765" s="87" t="n">
        <x:v>11</x:v>
      </x:c>
      <x:c r="I765" s="87" t="str">
        <x:v>ТР №2</x:v>
      </x:c>
      <x:c r="J765" s="87" t="str">
        <x:v>АЯ2510201</x:v>
      </x:c>
      <x:c r="K765" s="87" t="str">
        <x:v>3.2</x:v>
      </x:c>
      <x:c r="L765" s="87" t="str">
        <x:v>Устная речь: интервью</x:v>
      </x:c>
      <x:c r="M765" s="30" t="str">
        <x:v>What do you like most about these parks?</x:v>
      </x:c>
      <x:c r="N765" s="30" t="str">
        <x:v>I like their wide walking paths, sports areas and green spaces. They are lively, but there are also quiet places where I can relax.</x:v>
      </x:c>
      <x:c r="O765" s="30" t="str">
        <x:v>Названы конкретные достоинства парков и дано дополнительное пояснение.</x:v>
      </x:c>
      <x:c r="P765" s="30" t="str">
        <x:v>Ответ содержит две связанные фразы и полностью отвечает на запрос.</x:v>
      </x:c>
      <x:c r="Q765" s="30"/>
      <x:c r="R765" s="30" t="str">
        <x:v>Транскрипт, стр. 6; критерии, стр. 17</x:v>
      </x:c>
      <x:c r="S765" s="30"/>
      <x:c r="T765" s="30"/>
      <x:c r="U765" s="30" t="str">
        <x:v>Расхождений нет.</x:v>
      </x:c>
      <x:c r="V765" s="87" t="str">
        <x:v>VERIFIED</x:v>
      </x:c>
      <x:c r="W765" s="87" t="str">
        <x:v>3</x:v>
      </x:c>
      <x:c r="X765" s="87"/>
      <x:c r="Y765" s="87"/>
      <x:c r="Z765" s="87"/>
      <x:c r="AA765" s="87"/>
      <x:c r="AB765" s="87"/>
      <x:c r="AC765" s="87"/>
      <x:c r="AD765" s="87"/>
      <x:c r="AE765" s="87"/>
      <x:c r="AF765" s="87"/>
      <x:c r="AG765" s="87"/>
      <x:c r="AH765" s="87"/>
      <x:c r="AI765" s="30"/>
      <x:c r="AJ765" s="87" t="str">
        <x:v>master</x:v>
      </x:c>
      <x:c r="AK765" s="87" t="str">
        <x:v>master-v0.81</x:v>
      </x:c>
      <x:c r="AL765" s="87" t="str">
        <x:v>statgrad_master_base_v0_81_final(2).xlsx</x:v>
      </x:c>
      <x:c r="AM765" s="87" t="str">
        <x:v>ENG_Feb_Oral_V1</x:v>
      </x:c>
      <x:c r="AN765" s="87" t="n">
        <x:v>8</x:v>
      </x:c>
    </x:row>
    <x:row r="766">
      <x:c r="A766" s="87" t="n">
        <x:v>765</x:v>
      </x:c>
      <x:c r="B766" s="87" t="str">
        <x:v>FEB-ENG-O-V1-0033</x:v>
      </x:c>
      <x:c r="C766" s="87" t="str">
        <x:v>СтатГрад</x:v>
      </x:c>
      <x:c r="D766" s="87" t="str">
        <x:v>Февраль 2026</x:v>
      </x:c>
      <x:c r="E766" s="87"/>
      <x:c r="F766" s="87"/>
      <x:c r="G766" s="87" t="str">
        <x:v>Английский язык</x:v>
      </x:c>
      <x:c r="H766" s="87" t="n">
        <x:v>11</x:v>
      </x:c>
      <x:c r="I766" s="87" t="str">
        <x:v>ТР №2</x:v>
      </x:c>
      <x:c r="J766" s="87" t="str">
        <x:v>АЯ2510201</x:v>
      </x:c>
      <x:c r="K766" s="87" t="str">
        <x:v>3.3</x:v>
      </x:c>
      <x:c r="L766" s="87" t="str">
        <x:v>Устная речь: интервью</x:v>
      </x:c>
      <x:c r="M766" s="30" t="str">
        <x:v>What would you like to change in these parks, and why?</x:v>
      </x:c>
      <x:c r="N766" s="30" t="str">
        <x:v>I would add more drinking fountains and sheltered seating. They would make visits more comfortable in hot or rainy weather.</x:v>
      </x:c>
      <x:c r="O766" s="30" t="str">
        <x:v>Указаны два изменения и объяснено, почему они полезны.</x:v>
      </x:c>
      <x:c r="P766" s="30" t="str">
        <x:v>Ответ содержит две фразы, раскрывает и изменение, и причину.</x:v>
      </x:c>
      <x:c r="Q766" s="30"/>
      <x:c r="R766" s="30" t="str">
        <x:v>Транскрипт, стр. 6; критерии, стр. 17</x:v>
      </x:c>
      <x:c r="S766" s="30"/>
      <x:c r="T766" s="30"/>
      <x:c r="U766" s="30" t="str">
        <x:v>Расхождений нет.</x:v>
      </x:c>
      <x:c r="V766" s="87" t="str">
        <x:v>VERIFIED</x:v>
      </x:c>
      <x:c r="W766" s="87" t="str">
        <x:v>3</x:v>
      </x:c>
      <x:c r="X766" s="87"/>
      <x:c r="Y766" s="87"/>
      <x:c r="Z766" s="87"/>
      <x:c r="AA766" s="87"/>
      <x:c r="AB766" s="87"/>
      <x:c r="AC766" s="87"/>
      <x:c r="AD766" s="87"/>
      <x:c r="AE766" s="87"/>
      <x:c r="AF766" s="87"/>
      <x:c r="AG766" s="87"/>
      <x:c r="AH766" s="87"/>
      <x:c r="AI766" s="30"/>
      <x:c r="AJ766" s="87" t="str">
        <x:v>master</x:v>
      </x:c>
      <x:c r="AK766" s="87" t="str">
        <x:v>master-v0.81</x:v>
      </x:c>
      <x:c r="AL766" s="87" t="str">
        <x:v>statgrad_master_base_v0_81_final(2).xlsx</x:v>
      </x:c>
      <x:c r="AM766" s="87" t="str">
        <x:v>ENG_Feb_Oral_V1</x:v>
      </x:c>
      <x:c r="AN766" s="87" t="n">
        <x:v>9</x:v>
      </x:c>
    </x:row>
    <x:row r="767">
      <x:c r="A767" s="87" t="n">
        <x:v>766</x:v>
      </x:c>
      <x:c r="B767" s="87" t="str">
        <x:v>FEB-ENG-O-V1-0034</x:v>
      </x:c>
      <x:c r="C767" s="87" t="str">
        <x:v>СтатГрад</x:v>
      </x:c>
      <x:c r="D767" s="87" t="str">
        <x:v>Февраль 2026</x:v>
      </x:c>
      <x:c r="E767" s="87"/>
      <x:c r="F767" s="87"/>
      <x:c r="G767" s="87" t="str">
        <x:v>Английский язык</x:v>
      </x:c>
      <x:c r="H767" s="87" t="n">
        <x:v>11</x:v>
      </x:c>
      <x:c r="I767" s="87" t="str">
        <x:v>ТР №2</x:v>
      </x:c>
      <x:c r="J767" s="87" t="str">
        <x:v>АЯ2510201</x:v>
      </x:c>
      <x:c r="K767" s="87" t="str">
        <x:v>3.4</x:v>
      </x:c>
      <x:c r="L767" s="87" t="str">
        <x:v>Устная речь: интервью</x:v>
      </x:c>
      <x:c r="M767" s="30" t="str">
        <x:v>What do teenagers enjoy doing in your favourite parks?</x:v>
      </x:c>
      <x:c r="N767" s="30" t="str">
        <x:v>Teenagers enjoy cycling, roller-skating, playing sports, meeting friends and attending outdoor events. Many of them also take photos or study in cafés.</x:v>
      </x:c>
      <x:c r="O767" s="30" t="str">
        <x:v>Перечислены типичные занятия подростков и добавлены дополнительные примеры.</x:v>
      </x:c>
      <x:c r="P767" s="30" t="str">
        <x:v>Ответ содержит две коммуникативно обусловленные фразы без набора отдельных слов.</x:v>
      </x:c>
      <x:c r="Q767" s="30"/>
      <x:c r="R767" s="30" t="str">
        <x:v>Транскрипт, стр. 6; критерии, стр. 17</x:v>
      </x:c>
      <x:c r="S767" s="30"/>
      <x:c r="T767" s="30"/>
      <x:c r="U767" s="30" t="str">
        <x:v>Расхождений нет.</x:v>
      </x:c>
      <x:c r="V767" s="87" t="str">
        <x:v>VERIFIED</x:v>
      </x:c>
      <x:c r="W767" s="87" t="str">
        <x:v>3</x:v>
      </x:c>
      <x:c r="X767" s="87"/>
      <x:c r="Y767" s="87"/>
      <x:c r="Z767" s="87"/>
      <x:c r="AA767" s="87"/>
      <x:c r="AB767" s="87"/>
      <x:c r="AC767" s="87"/>
      <x:c r="AD767" s="87"/>
      <x:c r="AE767" s="87"/>
      <x:c r="AF767" s="87"/>
      <x:c r="AG767" s="87"/>
      <x:c r="AH767" s="87"/>
      <x:c r="AI767" s="30"/>
      <x:c r="AJ767" s="87" t="str">
        <x:v>master</x:v>
      </x:c>
      <x:c r="AK767" s="87" t="str">
        <x:v>master-v0.81</x:v>
      </x:c>
      <x:c r="AL767" s="87" t="str">
        <x:v>statgrad_master_base_v0_81_final(2).xlsx</x:v>
      </x:c>
      <x:c r="AM767" s="87" t="str">
        <x:v>ENG_Feb_Oral_V1</x:v>
      </x:c>
      <x:c r="AN767" s="87" t="n">
        <x:v>10</x:v>
      </x:c>
    </x:row>
    <x:row r="768">
      <x:c r="A768" s="87" t="n">
        <x:v>767</x:v>
      </x:c>
      <x:c r="B768" s="87" t="str">
        <x:v>FEB-ENG-O-V1-0035</x:v>
      </x:c>
      <x:c r="C768" s="87" t="str">
        <x:v>СтатГрад</x:v>
      </x:c>
      <x:c r="D768" s="87" t="str">
        <x:v>Февраль 2026</x:v>
      </x:c>
      <x:c r="E768" s="87"/>
      <x:c r="F768" s="87"/>
      <x:c r="G768" s="87" t="str">
        <x:v>Английский язык</x:v>
      </x:c>
      <x:c r="H768" s="87" t="n">
        <x:v>11</x:v>
      </x:c>
      <x:c r="I768" s="87" t="str">
        <x:v>ТР №2</x:v>
      </x:c>
      <x:c r="J768" s="87" t="str">
        <x:v>АЯ2510201</x:v>
      </x:c>
      <x:c r="K768" s="87" t="str">
        <x:v>3.5</x:v>
      </x:c>
      <x:c r="L768" s="87" t="str">
        <x:v>Устная речь: интервью</x:v>
      </x:c>
      <x:c r="M768" s="30" t="str">
        <x:v>Why are parks important for big cities?</x:v>
      </x:c>
      <x:c r="N768" s="30" t="str">
        <x:v>Parks give people clean, green places to rest and exercise. They also reduce noise and heat and make city life healthier.</x:v>
      </x:c>
      <x:c r="O768" s="30" t="str">
        <x:v>Названы социальная, рекреационная и экологическая функции городских парков.</x:v>
      </x:c>
      <x:c r="P768" s="30" t="str">
        <x:v>Ответ состоит из двух полных связанных предложений и прямо объясняет значимость парков.</x:v>
      </x:c>
      <x:c r="Q768" s="30"/>
      <x:c r="R768" s="30" t="str">
        <x:v>Транскрипт, стр. 6; критерии, стр. 17</x:v>
      </x:c>
      <x:c r="S768" s="30"/>
      <x:c r="T768" s="30"/>
      <x:c r="U768" s="30" t="str">
        <x:v>Расхождений нет.</x:v>
      </x:c>
      <x:c r="V768" s="87" t="str">
        <x:v>VERIFIED</x:v>
      </x:c>
      <x:c r="W768" s="87" t="str">
        <x:v>3</x:v>
      </x:c>
      <x:c r="X768" s="87"/>
      <x:c r="Y768" s="87"/>
      <x:c r="Z768" s="87"/>
      <x:c r="AA768" s="87"/>
      <x:c r="AB768" s="87"/>
      <x:c r="AC768" s="87"/>
      <x:c r="AD768" s="87"/>
      <x:c r="AE768" s="87"/>
      <x:c r="AF768" s="87"/>
      <x:c r="AG768" s="87"/>
      <x:c r="AH768" s="87"/>
      <x:c r="AI768" s="30"/>
      <x:c r="AJ768" s="87" t="str">
        <x:v>master</x:v>
      </x:c>
      <x:c r="AK768" s="87" t="str">
        <x:v>master-v0.81</x:v>
      </x:c>
      <x:c r="AL768" s="87" t="str">
        <x:v>statgrad_master_base_v0_81_final(2).xlsx</x:v>
      </x:c>
      <x:c r="AM768" s="87" t="str">
        <x:v>ENG_Feb_Oral_V1</x:v>
      </x:c>
      <x:c r="AN768" s="87" t="n">
        <x:v>11</x:v>
      </x:c>
    </x:row>
    <x:row r="769">
      <x:c r="A769" s="87" t="n">
        <x:v>768</x:v>
      </x:c>
      <x:c r="B769" s="87" t="str">
        <x:v>FEB-ENG-O-V1-004</x:v>
      </x:c>
      <x:c r="C769" s="87" t="str">
        <x:v>СтатГрад</x:v>
      </x:c>
      <x:c r="D769" s="87" t="str">
        <x:v>Февраль 2026</x:v>
      </x:c>
      <x:c r="E769" s="87"/>
      <x:c r="F769" s="87"/>
      <x:c r="G769" s="87" t="str">
        <x:v>Английский язык</x:v>
      </x:c>
      <x:c r="H769" s="87" t="n">
        <x:v>11</x:v>
      </x:c>
      <x:c r="I769" s="87" t="str">
        <x:v>ТР №2</x:v>
      </x:c>
      <x:c r="J769" s="87" t="str">
        <x:v>АЯ2510201</x:v>
      </x:c>
      <x:c r="K769" s="87" t="str">
        <x:v>4</x:v>
      </x:c>
      <x:c r="L769" s="87" t="str">
        <x:v>Устная речь: голосовое сообщение по проекту</x:v>
      </x:c>
      <x:c r="M769" s="30" t="str">
        <x:v>Проект «Preparing for exams»: опишите две фотографии, отметьте различия, достоинства и недостатки двух способов подготовки, выразите предпочтение. Требуется 12–15 предложений.</x:v>
      </x:c>
      <x:c r="N769" s="30" t="str">
        <x:v>Hi, Kate! I have found two suitable pictures for our project “Preparing for exams”. They show two different ways of studying, so together they illustrate the topic clearly. In the first picture, several students are sitting around a table and preparing together in a library. In the second picture, a student is studying alone at home and looks so tired that he has fallen asleep on his book. The main difference is that the first way is cooperative and social, whereas the second is individual and quiet. Studying in a group has several advantages. Students can explain difficult material to one another and share useful notes or ideas. However, a group can easily become noisy, and conversations may distract everyone from revision. Preparing alone also has some benefits. A student can choose a convenient pace and concentrate on the topics that require the most attention. On the other hand, studying alone may feel boring, and without breaks a person can become exhausted, as the second photo shows. Personally, I would prefer to prepare mostly on my own because I focus better in a quiet environment. Still, I would meet my classmates occasionally to discuss the most difficult questions. I think this combination would make our preparation both efficient and less stressful.</x:v>
      </x:c>
      <x:c r="O769" s="30" t="str">
        <x:v>Модель содержит 15 предложений: вступление и выбор иллюстраций; описание обеих фотографий и различие; преимущества и недостатки групповой и индивидуальной подготовки; личное предпочтение с объяснением; заключение.</x:v>
      </x:c>
      <x:c r="P769" s="30" t="str">
        <x:v>Программно подтверждено 15 предложений. Все четыре аспекта дополнительной схемы оценивания раскрыты; есть обращение к другу, логические переходы и завершение.</x:v>
      </x:c>
      <x:c r="Q769" s="30"/>
      <x:c r="R769" s="30" t="str">
        <x:v>Критерии, стр. 18–22</x:v>
      </x:c>
      <x:c r="S769" s="30"/>
      <x:c r="T769" s="30"/>
      <x:c r="U769" s="30" t="str">
        <x:v>Модельный ответ; критерии сохранены отдельно без смысловой правки.</x:v>
      </x:c>
      <x:c r="V769" s="87" t="str">
        <x:v>VERIFIED</x:v>
      </x:c>
      <x:c r="W769" s="87" t="str">
        <x:v>3</x:v>
      </x:c>
      <x:c r="X769" s="87"/>
      <x:c r="Y769" s="87"/>
      <x:c r="Z769" s="87"/>
      <x:c r="AA769" s="87"/>
      <x:c r="AB769" s="87"/>
      <x:c r="AC769" s="87"/>
      <x:c r="AD769" s="87"/>
      <x:c r="AE769" s="87"/>
      <x:c r="AF769" s="87"/>
      <x:c r="AG769" s="87"/>
      <x:c r="AH769" s="87"/>
      <x:c r="AI769" s="30"/>
      <x:c r="AJ769" s="87" t="str">
        <x:v>master</x:v>
      </x:c>
      <x:c r="AK769" s="87" t="str">
        <x:v>master-v0.81</x:v>
      </x:c>
      <x:c r="AL769" s="87" t="str">
        <x:v>statgrad_master_base_v0_81_final(2).xlsx</x:v>
      </x:c>
      <x:c r="AM769" s="87" t="str">
        <x:v>ENG_Feb_Oral_V1</x:v>
      </x:c>
      <x:c r="AN769" s="87" t="n">
        <x:v>12</x:v>
      </x:c>
    </x:row>
    <x:row r="770">
      <x:c r="A770" s="87" t="n">
        <x:v>769</x:v>
      </x:c>
      <x:c r="B770" s="87" t="str">
        <x:v>FEB-RUS-V1-001</x:v>
      </x:c>
      <x:c r="C770" s="87" t="str">
        <x:v>СтатГрад</x:v>
      </x:c>
      <x:c r="D770" s="87" t="str">
        <x:v>Февраль 2026</x:v>
      </x:c>
      <x:c r="E770" s="87"/>
      <x:c r="F770" s="87"/>
      <x:c r="G770" s="87" t="str">
        <x:v>Русский язык</x:v>
      </x:c>
      <x:c r="H770" s="87" t="n">
        <x:v>11</x:v>
      </x:c>
      <x:c r="I770" s="87" t="str">
        <x:v>ТР №4</x:v>
      </x:c>
      <x:c r="J770" s="87" t="str">
        <x:v>РЯ2510501</x:v>
      </x:c>
      <x:c r="K770" s="87" t="n">
        <x:v>1</x:v>
      </x:c>
      <x:c r="L770" s="87" t="str">
        <x:v>Средство связи</x:v>
      </x:c>
      <x:c r="M770" s="30" t="str">
        <x:v>Подберите вводное слово перед фрагментом «без необходимости увеличивать объём книги, а во-вторых…».</x:v>
      </x:c>
      <x:c r="N770" s="30" t="str">
        <x:v>во-первых</x:v>
      </x:c>
      <x:c r="O770" s="30" t="str">
        <x:v>Конструкция образует парное перечисление: «во-первых …, а во-вторых …».</x:v>
      </x:c>
      <x:c r="P770" s="30" t="str">
        <x:v>Проверена синтаксическая связь с последующим компонентом «а во-вторых».</x:v>
      </x:c>
      <x:c r="Q770" s="30"/>
      <x:c r="R770" s="30" t="str">
        <x:v>во-первых</x:v>
      </x:c>
      <x:c r="S770" s="30"/>
      <x:c r="T770" s="30"/>
      <x:c r="U770" s="30" t="str">
        <x:v>Расхождений нет.</x:v>
      </x:c>
      <x:c r="V770" s="87" t="str">
        <x:v>VERIFIED</x:v>
      </x:c>
      <x:c r="W770" s="87" t="n">
        <x:v>2</x:v>
      </x:c>
      <x:c r="X770" s="87"/>
      <x:c r="Y770" s="87"/>
      <x:c r="Z770" s="87"/>
      <x:c r="AA770" s="87"/>
      <x:c r="AB770" s="87"/>
      <x:c r="AC770" s="87"/>
      <x:c r="AD770" s="87"/>
      <x:c r="AE770" s="87"/>
      <x:c r="AF770" s="87"/>
      <x:c r="AG770" s="87"/>
      <x:c r="AH770" s="87"/>
      <x:c r="AI770" s="30"/>
      <x:c r="AJ770" s="87" t="str">
        <x:v>master</x:v>
      </x:c>
      <x:c r="AK770" s="87" t="str">
        <x:v>master-v0.81</x:v>
      </x:c>
      <x:c r="AL770" s="87" t="str">
        <x:v>statgrad_master_base_v0_81_final(2).xlsx</x:v>
      </x:c>
      <x:c r="AM770" s="87" t="str">
        <x:v>RUS_Feb_V1</x:v>
      </x:c>
      <x:c r="AN770" s="87" t="n">
        <x:v>2</x:v>
      </x:c>
    </x:row>
    <x:row r="771">
      <x:c r="A771" s="87" t="n">
        <x:v>770</x:v>
      </x:c>
      <x:c r="B771" s="87" t="str">
        <x:v>FEB-RUS-V1-002</x:v>
      </x:c>
      <x:c r="C771" s="87" t="str">
        <x:v>СтатГрад</x:v>
      </x:c>
      <x:c r="D771" s="87" t="str">
        <x:v>Февраль 2026</x:v>
      </x:c>
      <x:c r="E771" s="87"/>
      <x:c r="F771" s="87"/>
      <x:c r="G771" s="87" t="str">
        <x:v>Русский язык</x:v>
      </x:c>
      <x:c r="H771" s="87" t="n">
        <x:v>11</x:v>
      </x:c>
      <x:c r="I771" s="87" t="str">
        <x:v>ТР №4</x:v>
      </x:c>
      <x:c r="J771" s="87" t="str">
        <x:v>РЯ2510501</x:v>
      </x:c>
      <x:c r="K771" s="87" t="n">
        <x:v>2</x:v>
      </x:c>
      <x:c r="L771" s="87" t="str">
        <x:v>Лексическое значение</x:v>
      </x:c>
      <x:c r="M771" s="30" t="str">
        <x:v>Укажите выделенные слова, значение которых соответствует контексту.</x:v>
      </x:c>
      <x:c r="N771" s="30" t="str">
        <x:v>34</x:v>
      </x:c>
      <x:c r="O771" s="30" t="str">
        <x:v>«Культура мысли» означает высокий уровень развития, а «место текста» — его часть или фрагмент. Остальные словарные значения контексту не соответствуют.</x:v>
      </x:c>
      <x:c r="P771" s="30" t="str">
        <x:v>Каждое выделенное слово сопоставлено с его значением именно в исходном предложении.</x:v>
      </x:c>
      <x:c r="Q771" s="30"/>
      <x:c r="R771" s="30" t="str">
        <x:v>34</x:v>
      </x:c>
      <x:c r="S771" s="30"/>
      <x:c r="T771" s="30"/>
      <x:c r="U771" s="30" t="str">
        <x:v>Расхождений нет.</x:v>
      </x:c>
      <x:c r="V771" s="87" t="str">
        <x:v>VERIFIED</x:v>
      </x:c>
      <x:c r="W771" s="87" t="n">
        <x:v>3</x:v>
      </x:c>
      <x:c r="X771" s="87"/>
      <x:c r="Y771" s="87"/>
      <x:c r="Z771" s="87"/>
      <x:c r="AA771" s="87"/>
      <x:c r="AB771" s="87"/>
      <x:c r="AC771" s="87"/>
      <x:c r="AD771" s="87"/>
      <x:c r="AE771" s="87"/>
      <x:c r="AF771" s="87"/>
      <x:c r="AG771" s="87"/>
      <x:c r="AH771" s="87"/>
      <x:c r="AI771" s="30"/>
      <x:c r="AJ771" s="87" t="str">
        <x:v>master</x:v>
      </x:c>
      <x:c r="AK771" s="87" t="str">
        <x:v>master-v0.81</x:v>
      </x:c>
      <x:c r="AL771" s="87" t="str">
        <x:v>statgrad_master_base_v0_81_final(2).xlsx</x:v>
      </x:c>
      <x:c r="AM771" s="87" t="str">
        <x:v>RUS_Feb_V1</x:v>
      </x:c>
      <x:c r="AN771" s="87" t="n">
        <x:v>3</x:v>
      </x:c>
    </x:row>
    <x:row r="772">
      <x:c r="A772" s="87" t="n">
        <x:v>771</x:v>
      </x:c>
      <x:c r="B772" s="87" t="str">
        <x:v>FEB-RUS-V1-003</x:v>
      </x:c>
      <x:c r="C772" s="87" t="str">
        <x:v>СтатГрад</x:v>
      </x:c>
      <x:c r="D772" s="87" t="str">
        <x:v>Февраль 2026</x:v>
      </x:c>
      <x:c r="E772" s="87"/>
      <x:c r="F772" s="87"/>
      <x:c r="G772" s="87" t="str">
        <x:v>Русский язык</x:v>
      </x:c>
      <x:c r="H772" s="87" t="n">
        <x:v>11</x:v>
      </x:c>
      <x:c r="I772" s="87" t="str">
        <x:v>ТР №4</x:v>
      </x:c>
      <x:c r="J772" s="87" t="str">
        <x:v>РЯ2510501</x:v>
      </x:c>
      <x:c r="K772" s="87" t="n">
        <x:v>3</x:v>
      </x:c>
      <x:c r="L772" s="87" t="str">
        <x:v>Стилистический анализ</x:v>
      </x:c>
      <x:c r="M772" s="30" t="str">
        <x:v>Выберите верные характеристики текста о научном комментарии.</x:v>
      </x:c>
      <x:c r="N772" s="30" t="str">
        <x:v>12</x:v>
      </x:c>
      <x:c r="O772" s="30" t="str">
        <x:v>Текст сочетает научные и публицистические черты и представляет собой вступительные замечания к научной работе — комментарию к роману «Евгений Онегин».</x:v>
      </x:c>
      <x:c r="P772" s="30" t="str">
        <x:v>Варианты 3–5 содержат неверную квалификацию оценочной лексики, синтаксиса или тропов.</x:v>
      </x:c>
      <x:c r="Q772" s="30"/>
      <x:c r="R772" s="30" t="str">
        <x:v>12</x:v>
      </x:c>
      <x:c r="S772" s="30"/>
      <x:c r="T772" s="30"/>
      <x:c r="U772" s="30" t="str">
        <x:v>Расхождений нет.</x:v>
      </x:c>
      <x:c r="V772" s="87" t="str">
        <x:v>VERIFIED</x:v>
      </x:c>
      <x:c r="W772" s="87" t="n">
        <x:v>3</x:v>
      </x:c>
      <x:c r="X772" s="87"/>
      <x:c r="Y772" s="87"/>
      <x:c r="Z772" s="87"/>
      <x:c r="AA772" s="87"/>
      <x:c r="AB772" s="87"/>
      <x:c r="AC772" s="87"/>
      <x:c r="AD772" s="87"/>
      <x:c r="AE772" s="87"/>
      <x:c r="AF772" s="87"/>
      <x:c r="AG772" s="87"/>
      <x:c r="AH772" s="87"/>
      <x:c r="AI772" s="30"/>
      <x:c r="AJ772" s="87" t="str">
        <x:v>master</x:v>
      </x:c>
      <x:c r="AK772" s="87" t="str">
        <x:v>master-v0.81</x:v>
      </x:c>
      <x:c r="AL772" s="87" t="str">
        <x:v>statgrad_master_base_v0_81_final(2).xlsx</x:v>
      </x:c>
      <x:c r="AM772" s="87" t="str">
        <x:v>RUS_Feb_V1</x:v>
      </x:c>
      <x:c r="AN772" s="87" t="n">
        <x:v>4</x:v>
      </x:c>
    </x:row>
    <x:row r="773">
      <x:c r="A773" s="87" t="n">
        <x:v>772</x:v>
      </x:c>
      <x:c r="B773" s="87" t="str">
        <x:v>FEB-RUS-V1-004</x:v>
      </x:c>
      <x:c r="C773" s="87" t="str">
        <x:v>СтатГрад</x:v>
      </x:c>
      <x:c r="D773" s="87" t="str">
        <x:v>Февраль 2026</x:v>
      </x:c>
      <x:c r="E773" s="87"/>
      <x:c r="F773" s="87"/>
      <x:c r="G773" s="87" t="str">
        <x:v>Русский язык</x:v>
      </x:c>
      <x:c r="H773" s="87" t="n">
        <x:v>11</x:v>
      </x:c>
      <x:c r="I773" s="87" t="str">
        <x:v>ТР №4</x:v>
      </x:c>
      <x:c r="J773" s="87" t="str">
        <x:v>РЯ2510501</x:v>
      </x:c>
      <x:c r="K773" s="87" t="n">
        <x:v>4</x:v>
      </x:c>
      <x:c r="L773" s="87" t="str">
        <x:v>Орфоэпия</x:v>
      </x:c>
      <x:c r="M773" s="30" t="str">
        <x:v>Укажите слова с верно обозначенным ударным гласным.</x:v>
      </x:c>
      <x:c r="N773" s="30" t="str">
        <x:v>135</x:v>
      </x:c>
      <x:c r="O773" s="30" t="str">
        <x:v>Нормативные ударения: водопровОд, послАла, тУфля. Верно: дОнизу и начАвший, поэтому позиции 2 и 4 не подходят.</x:v>
      </x:c>
      <x:c r="P773" s="30" t="str">
        <x:v>Все пять форм сверены с орфоэпическими нормами.</x:v>
      </x:c>
      <x:c r="Q773" s="30"/>
      <x:c r="R773" s="30" t="str">
        <x:v>135</x:v>
      </x:c>
      <x:c r="S773" s="30"/>
      <x:c r="T773" s="30"/>
      <x:c r="U773" s="30" t="str">
        <x:v>Расхождений нет.</x:v>
      </x:c>
      <x:c r="V773" s="87" t="str">
        <x:v>VERIFIED</x:v>
      </x:c>
      <x:c r="W773" s="87" t="n">
        <x:v>4</x:v>
      </x:c>
      <x:c r="X773" s="87"/>
      <x:c r="Y773" s="87"/>
      <x:c r="Z773" s="87"/>
      <x:c r="AA773" s="87"/>
      <x:c r="AB773" s="87"/>
      <x:c r="AC773" s="87"/>
      <x:c r="AD773" s="87"/>
      <x:c r="AE773" s="87"/>
      <x:c r="AF773" s="87"/>
      <x:c r="AG773" s="87"/>
      <x:c r="AH773" s="87"/>
      <x:c r="AI773" s="30"/>
      <x:c r="AJ773" s="87" t="str">
        <x:v>master</x:v>
      </x:c>
      <x:c r="AK773" s="87" t="str">
        <x:v>master-v0.81</x:v>
      </x:c>
      <x:c r="AL773" s="87" t="str">
        <x:v>statgrad_master_base_v0_81_final(2).xlsx</x:v>
      </x:c>
      <x:c r="AM773" s="87" t="str">
        <x:v>RUS_Feb_V1</x:v>
      </x:c>
      <x:c r="AN773" s="87" t="n">
        <x:v>5</x:v>
      </x:c>
    </x:row>
    <x:row r="774">
      <x:c r="A774" s="87" t="n">
        <x:v>773</x:v>
      </x:c>
      <x:c r="B774" s="87" t="str">
        <x:v>FEB-RUS-V1-005</x:v>
      </x:c>
      <x:c r="C774" s="87" t="str">
        <x:v>СтатГрад</x:v>
      </x:c>
      <x:c r="D774" s="87" t="str">
        <x:v>Февраль 2026</x:v>
      </x:c>
      <x:c r="E774" s="87"/>
      <x:c r="F774" s="87"/>
      <x:c r="G774" s="87" t="str">
        <x:v>Русский язык</x:v>
      </x:c>
      <x:c r="H774" s="87" t="n">
        <x:v>11</x:v>
      </x:c>
      <x:c r="I774" s="87" t="str">
        <x:v>ТР №4</x:v>
      </x:c>
      <x:c r="J774" s="87" t="str">
        <x:v>РЯ2510501</x:v>
      </x:c>
      <x:c r="K774" s="87" t="n">
        <x:v>5</x:v>
      </x:c>
      <x:c r="L774" s="87" t="str">
        <x:v>Паронимы</x:v>
      </x:c>
      <x:c r="M774" s="30" t="str">
        <x:v>Исправьте ошибку в сочетании «благотворительное влияние».</x:v>
      </x:c>
      <x:c r="N774" s="30" t="str">
        <x:v>благотворное</x:v>
      </x:c>
      <x:c r="O774" s="30" t="str">
        <x:v>Влияние, приносящее пользу, называется благотворным. «Благотворительный» относится к помощи нуждающимся и соответствующей деятельности.</x:v>
      </x:c>
      <x:c r="P774" s="30" t="str">
        <x:v>Проверена сочетаемость паронимов «благотворный — благотворительный».</x:v>
      </x:c>
      <x:c r="Q774" s="30"/>
      <x:c r="R774" s="30" t="str">
        <x:v>благотворное</x:v>
      </x:c>
      <x:c r="S774" s="30"/>
      <x:c r="T774" s="30"/>
      <x:c r="U774" s="30" t="str">
        <x:v>Расхождений нет.</x:v>
      </x:c>
      <x:c r="V774" s="87" t="str">
        <x:v>VERIFIED</x:v>
      </x:c>
      <x:c r="W774" s="87" t="n">
        <x:v>4</x:v>
      </x:c>
      <x:c r="X774" s="87"/>
      <x:c r="Y774" s="87"/>
      <x:c r="Z774" s="87"/>
      <x:c r="AA774" s="87"/>
      <x:c r="AB774" s="87"/>
      <x:c r="AC774" s="87"/>
      <x:c r="AD774" s="87"/>
      <x:c r="AE774" s="87"/>
      <x:c r="AF774" s="87"/>
      <x:c r="AG774" s="87"/>
      <x:c r="AH774" s="87"/>
      <x:c r="AI774" s="30"/>
      <x:c r="AJ774" s="87" t="str">
        <x:v>master</x:v>
      </x:c>
      <x:c r="AK774" s="87" t="str">
        <x:v>master-v0.81</x:v>
      </x:c>
      <x:c r="AL774" s="87" t="str">
        <x:v>statgrad_master_base_v0_81_final(2).xlsx</x:v>
      </x:c>
      <x:c r="AM774" s="87" t="str">
        <x:v>RUS_Feb_V1</x:v>
      </x:c>
      <x:c r="AN774" s="87" t="n">
        <x:v>6</x:v>
      </x:c>
    </x:row>
    <x:row r="775">
      <x:c r="A775" s="87" t="n">
        <x:v>774</x:v>
      </x:c>
      <x:c r="B775" s="87" t="str">
        <x:v>FEB-RUS-V1-006</x:v>
      </x:c>
      <x:c r="C775" s="87" t="str">
        <x:v>СтатГрад</x:v>
      </x:c>
      <x:c r="D775" s="87" t="str">
        <x:v>Февраль 2026</x:v>
      </x:c>
      <x:c r="E775" s="87"/>
      <x:c r="F775" s="87"/>
      <x:c r="G775" s="87" t="str">
        <x:v>Русский язык</x:v>
      </x:c>
      <x:c r="H775" s="87" t="n">
        <x:v>11</x:v>
      </x:c>
      <x:c r="I775" s="87" t="str">
        <x:v>ТР №4</x:v>
      </x:c>
      <x:c r="J775" s="87" t="str">
        <x:v>РЯ2510501</x:v>
      </x:c>
      <x:c r="K775" s="87" t="n">
        <x:v>6</x:v>
      </x:c>
      <x:c r="L775" s="87" t="str">
        <x:v>Лексическая избыточность</x:v>
      </x:c>
      <x:c r="M775" s="30" t="str">
        <x:v>Устраните лишнее слово в сочетании «памятный мемориал».</x:v>
      </x:c>
      <x:c r="N775" s="30" t="str">
        <x:v>памятный</x:v>
      </x:c>
      <x:c r="O775" s="30" t="str">
        <x:v>Слово «мемориал» уже обозначает сооружение в память о ком-либо или чём-либо, поэтому определение избыточно.</x:v>
      </x:c>
      <x:c r="P775" s="30" t="str">
        <x:v>После удаления слова смысл и грамматическая структура предложения сохраняются.</x:v>
      </x:c>
      <x:c r="Q775" s="30"/>
      <x:c r="R775" s="30" t="str">
        <x:v>памятный</x:v>
      </x:c>
      <x:c r="S775" s="30"/>
      <x:c r="T775" s="30"/>
      <x:c r="U775" s="30" t="str">
        <x:v>Расхождений нет.</x:v>
      </x:c>
      <x:c r="V775" s="87" t="str">
        <x:v>VERIFIED</x:v>
      </x:c>
      <x:c r="W775" s="87" t="n">
        <x:v>4</x:v>
      </x:c>
      <x:c r="X775" s="87"/>
      <x:c r="Y775" s="87"/>
      <x:c r="Z775" s="87"/>
      <x:c r="AA775" s="87"/>
      <x:c r="AB775" s="87"/>
      <x:c r="AC775" s="87"/>
      <x:c r="AD775" s="87"/>
      <x:c r="AE775" s="87"/>
      <x:c r="AF775" s="87"/>
      <x:c r="AG775" s="87"/>
      <x:c r="AH775" s="87"/>
      <x:c r="AI775" s="30"/>
      <x:c r="AJ775" s="87" t="str">
        <x:v>master</x:v>
      </x:c>
      <x:c r="AK775" s="87" t="str">
        <x:v>master-v0.81</x:v>
      </x:c>
      <x:c r="AL775" s="87" t="str">
        <x:v>statgrad_master_base_v0_81_final(2).xlsx</x:v>
      </x:c>
      <x:c r="AM775" s="87" t="str">
        <x:v>RUS_Feb_V1</x:v>
      </x:c>
      <x:c r="AN775" s="87" t="n">
        <x:v>7</x:v>
      </x:c>
    </x:row>
    <x:row r="776">
      <x:c r="A776" s="87" t="n">
        <x:v>775</x:v>
      </x:c>
      <x:c r="B776" s="87" t="str">
        <x:v>FEB-RUS-V1-007</x:v>
      </x:c>
      <x:c r="C776" s="87" t="str">
        <x:v>СтатГрад</x:v>
      </x:c>
      <x:c r="D776" s="87" t="str">
        <x:v>Февраль 2026</x:v>
      </x:c>
      <x:c r="E776" s="87"/>
      <x:c r="F776" s="87"/>
      <x:c r="G776" s="87" t="str">
        <x:v>Русский язык</x:v>
      </x:c>
      <x:c r="H776" s="87" t="n">
        <x:v>11</x:v>
      </x:c>
      <x:c r="I776" s="87" t="str">
        <x:v>ТР №4</x:v>
      </x:c>
      <x:c r="J776" s="87" t="str">
        <x:v>РЯ2510501</x:v>
      </x:c>
      <x:c r="K776" s="87" t="n">
        <x:v>7</x:v>
      </x:c>
      <x:c r="L776" s="87" t="str">
        <x:v>Морфологическая норма</x:v>
      </x:c>
      <x:c r="M776" s="30" t="str">
        <x:v>Исправьте форму «встретил из ясель».</x:v>
      </x:c>
      <x:c r="N776" s="30" t="str">
        <x:v>яслей</x:v>
      </x:c>
      <x:c r="O776" s="30" t="str">
        <x:v>Родительный падеж множественного числа существительного «ясли» — «яслей».</x:v>
      </x:c>
      <x:c r="P776" s="30" t="str">
        <x:v>Проверена нормативная падежная форма после предлога «из».</x:v>
      </x:c>
      <x:c r="Q776" s="30"/>
      <x:c r="R776" s="30" t="str">
        <x:v>яслей</x:v>
      </x:c>
      <x:c r="S776" s="30"/>
      <x:c r="T776" s="30"/>
      <x:c r="U776" s="30" t="str">
        <x:v>Расхождений нет.</x:v>
      </x:c>
      <x:c r="V776" s="87" t="str">
        <x:v>VERIFIED</x:v>
      </x:c>
      <x:c r="W776" s="87" t="n">
        <x:v>4</x:v>
      </x:c>
      <x:c r="X776" s="87"/>
      <x:c r="Y776" s="87"/>
      <x:c r="Z776" s="87"/>
      <x:c r="AA776" s="87"/>
      <x:c r="AB776" s="87"/>
      <x:c r="AC776" s="87"/>
      <x:c r="AD776" s="87"/>
      <x:c r="AE776" s="87"/>
      <x:c r="AF776" s="87"/>
      <x:c r="AG776" s="87"/>
      <x:c r="AH776" s="87"/>
      <x:c r="AI776" s="30"/>
      <x:c r="AJ776" s="87" t="str">
        <x:v>master</x:v>
      </x:c>
      <x:c r="AK776" s="87" t="str">
        <x:v>master-v0.81</x:v>
      </x:c>
      <x:c r="AL776" s="87" t="str">
        <x:v>statgrad_master_base_v0_81_final(2).xlsx</x:v>
      </x:c>
      <x:c r="AM776" s="87" t="str">
        <x:v>RUS_Feb_V1</x:v>
      </x:c>
      <x:c r="AN776" s="87" t="n">
        <x:v>8</x:v>
      </x:c>
    </x:row>
    <x:row r="777">
      <x:c r="A777" s="87" t="n">
        <x:v>776</x:v>
      </x:c>
      <x:c r="B777" s="87" t="str">
        <x:v>FEB-RUS-V1-008</x:v>
      </x:c>
      <x:c r="C777" s="87" t="str">
        <x:v>СтатГрад</x:v>
      </x:c>
      <x:c r="D777" s="87" t="str">
        <x:v>Февраль 2026</x:v>
      </x:c>
      <x:c r="E777" s="87"/>
      <x:c r="F777" s="87"/>
      <x:c r="G777" s="87" t="str">
        <x:v>Русский язык</x:v>
      </x:c>
      <x:c r="H777" s="87" t="n">
        <x:v>11</x:v>
      </x:c>
      <x:c r="I777" s="87" t="str">
        <x:v>ТР №4</x:v>
      </x:c>
      <x:c r="J777" s="87" t="str">
        <x:v>РЯ2510501</x:v>
      </x:c>
      <x:c r="K777" s="87" t="n">
        <x:v>8</x:v>
      </x:c>
      <x:c r="L777" s="87" t="str">
        <x:v>Грамматические ошибки</x:v>
      </x:c>
      <x:c r="M777" s="30" t="str">
        <x:v>Соотнесите типы грамматических ошибок с предложениями.</x:v>
      </x:c>
      <x:c r="N777" s="30" t="str">
        <x:v>36427</x:v>
      </x:c>
      <x:c r="O777" s="30" t="str">
        <x:v>А–3: нарушено управление при однородных сказуемых; Б–6: неверно построена придаточная часть; В–4: «по завершении»; Г–2: действие деепричастия не относится к подлежащему; Д–7: причастный оборот разорван определяемым словом.</x:v>
      </x:c>
      <x:c r="P777" s="30" t="str">
        <x:v>Каждое предложение исправлено мысленно и сопоставлено с единственным подходящим типом ошибки.</x:v>
      </x:c>
      <x:c r="Q777" s="30"/>
      <x:c r="R777" s="30" t="str">
        <x:v>36427</x:v>
      </x:c>
      <x:c r="S777" s="30"/>
      <x:c r="T777" s="30"/>
      <x:c r="U777" s="30" t="str">
        <x:v>Расхождений нет.</x:v>
      </x:c>
      <x:c r="V777" s="87" t="str">
        <x:v>VERIFIED</x:v>
      </x:c>
      <x:c r="W777" s="87" t="n">
        <x:v>5</x:v>
      </x:c>
      <x:c r="X777" s="87"/>
      <x:c r="Y777" s="87"/>
      <x:c r="Z777" s="87"/>
      <x:c r="AA777" s="87"/>
      <x:c r="AB777" s="87"/>
      <x:c r="AC777" s="87"/>
      <x:c r="AD777" s="87"/>
      <x:c r="AE777" s="87"/>
      <x:c r="AF777" s="87"/>
      <x:c r="AG777" s="87"/>
      <x:c r="AH777" s="87"/>
      <x:c r="AI777" s="30"/>
      <x:c r="AJ777" s="87" t="str">
        <x:v>master</x:v>
      </x:c>
      <x:c r="AK777" s="87" t="str">
        <x:v>master-v0.81</x:v>
      </x:c>
      <x:c r="AL777" s="87" t="str">
        <x:v>statgrad_master_base_v0_81_final(2).xlsx</x:v>
      </x:c>
      <x:c r="AM777" s="87" t="str">
        <x:v>RUS_Feb_V1</x:v>
      </x:c>
      <x:c r="AN777" s="87" t="n">
        <x:v>9</x:v>
      </x:c>
    </x:row>
    <x:row r="778">
      <x:c r="A778" s="87" t="n">
        <x:v>777</x:v>
      </x:c>
      <x:c r="B778" s="87" t="str">
        <x:v>FEB-RUS-V1-009</x:v>
      </x:c>
      <x:c r="C778" s="87" t="str">
        <x:v>СтатГрад</x:v>
      </x:c>
      <x:c r="D778" s="87" t="str">
        <x:v>Февраль 2026</x:v>
      </x:c>
      <x:c r="E778" s="87"/>
      <x:c r="F778" s="87"/>
      <x:c r="G778" s="87" t="str">
        <x:v>Русский язык</x:v>
      </x:c>
      <x:c r="H778" s="87" t="n">
        <x:v>11</x:v>
      </x:c>
      <x:c r="I778" s="87" t="str">
        <x:v>ТР №4</x:v>
      </x:c>
      <x:c r="J778" s="87" t="str">
        <x:v>РЯ2510501</x:v>
      </x:c>
      <x:c r="K778" s="87" t="n">
        <x:v>9</x:v>
      </x:c>
      <x:c r="L778" s="87" t="str">
        <x:v>Правописание корней</x:v>
      </x:c>
      <x:c r="M778" s="30" t="str">
        <x:v>Выберите ряды, где во всех словах пропущена одна и та же буква.</x:v>
      </x:c>
      <x:c r="N778" s="30" t="str">
        <x:v>234</x:v>
      </x:c>
      <x:c r="O778" s="30" t="str">
        <x:v>2: панцирь, рациональный, цифр; 3: гарнизон, зарница, реставрация; 4: трясина, присягать, разрядить.</x:v>
      </x:c>
      <x:c r="P778" s="30" t="str">
        <x:v>В каждом выбранном ряду восстановлена одна общая буква; в рядах 1 и 5 буквы различаются.</x:v>
      </x:c>
      <x:c r="Q778" s="30"/>
      <x:c r="R778" s="30" t="str">
        <x:v>234</x:v>
      </x:c>
      <x:c r="S778" s="30"/>
      <x:c r="T778" s="30"/>
      <x:c r="U778" s="30" t="str">
        <x:v>Расхождений нет.</x:v>
      </x:c>
      <x:c r="V778" s="87" t="str">
        <x:v>VERIFIED</x:v>
      </x:c>
      <x:c r="W778" s="87" t="n">
        <x:v>6</x:v>
      </x:c>
      <x:c r="X778" s="87"/>
      <x:c r="Y778" s="87"/>
      <x:c r="Z778" s="87"/>
      <x:c r="AA778" s="87"/>
      <x:c r="AB778" s="87"/>
      <x:c r="AC778" s="87"/>
      <x:c r="AD778" s="87"/>
      <x:c r="AE778" s="87"/>
      <x:c r="AF778" s="87"/>
      <x:c r="AG778" s="87"/>
      <x:c r="AH778" s="87"/>
      <x:c r="AI778" s="30"/>
      <x:c r="AJ778" s="87" t="str">
        <x:v>master</x:v>
      </x:c>
      <x:c r="AK778" s="87" t="str">
        <x:v>master-v0.81</x:v>
      </x:c>
      <x:c r="AL778" s="87" t="str">
        <x:v>statgrad_master_base_v0_81_final(2).xlsx</x:v>
      </x:c>
      <x:c r="AM778" s="87" t="str">
        <x:v>RUS_Feb_V1</x:v>
      </x:c>
      <x:c r="AN778" s="87" t="n">
        <x:v>10</x:v>
      </x:c>
    </x:row>
    <x:row r="779">
      <x:c r="A779" s="87" t="n">
        <x:v>778</x:v>
      </x:c>
      <x:c r="B779" s="87" t="str">
        <x:v>FEB-RUS-V1-010</x:v>
      </x:c>
      <x:c r="C779" s="87" t="str">
        <x:v>СтатГрад</x:v>
      </x:c>
      <x:c r="D779" s="87" t="str">
        <x:v>Февраль 2026</x:v>
      </x:c>
      <x:c r="E779" s="87"/>
      <x:c r="F779" s="87"/>
      <x:c r="G779" s="87" t="str">
        <x:v>Русский язык</x:v>
      </x:c>
      <x:c r="H779" s="87" t="n">
        <x:v>11</x:v>
      </x:c>
      <x:c r="I779" s="87" t="str">
        <x:v>ТР №4</x:v>
      </x:c>
      <x:c r="J779" s="87" t="str">
        <x:v>РЯ2510501</x:v>
      </x:c>
      <x:c r="K779" s="87" t="n">
        <x:v>10</x:v>
      </x:c>
      <x:c r="L779" s="87" t="str">
        <x:v>Приставки</x:v>
      </x:c>
      <x:c r="M779" s="30" t="str">
        <x:v>Выберите ряды, где во всех словах пропущена одна и та же буква.</x:v>
      </x:c>
      <x:c r="N779" s="30" t="str">
        <x:v>14</x:v>
      </x:c>
      <x:c r="O779" s="30" t="str">
        <x:v>1: пророссийские, непроизвольно, подписать — буква О; 4: росчерк, несгибаемый, исподтишка — буква С.</x:v>
      </x:c>
      <x:c r="P779" s="30" t="str">
        <x:v>Остальные ряды требуют разных букв или знаков.</x:v>
      </x:c>
      <x:c r="Q779" s="30"/>
      <x:c r="R779" s="30" t="str">
        <x:v>14</x:v>
      </x:c>
      <x:c r="S779" s="30"/>
      <x:c r="T779" s="30"/>
      <x:c r="U779" s="30" t="str">
        <x:v>Расхождений нет.</x:v>
      </x:c>
      <x:c r="V779" s="87" t="str">
        <x:v>VERIFIED</x:v>
      </x:c>
      <x:c r="W779" s="87" t="n">
        <x:v>6</x:v>
      </x:c>
      <x:c r="X779" s="87"/>
      <x:c r="Y779" s="87"/>
      <x:c r="Z779" s="87"/>
      <x:c r="AA779" s="87"/>
      <x:c r="AB779" s="87"/>
      <x:c r="AC779" s="87"/>
      <x:c r="AD779" s="87"/>
      <x:c r="AE779" s="87"/>
      <x:c r="AF779" s="87"/>
      <x:c r="AG779" s="87"/>
      <x:c r="AH779" s="87"/>
      <x:c r="AI779" s="30"/>
      <x:c r="AJ779" s="87" t="str">
        <x:v>master</x:v>
      </x:c>
      <x:c r="AK779" s="87" t="str">
        <x:v>master-v0.81</x:v>
      </x:c>
      <x:c r="AL779" s="87" t="str">
        <x:v>statgrad_master_base_v0_81_final(2).xlsx</x:v>
      </x:c>
      <x:c r="AM779" s="87" t="str">
        <x:v>RUS_Feb_V1</x:v>
      </x:c>
      <x:c r="AN779" s="87" t="n">
        <x:v>11</x:v>
      </x:c>
    </x:row>
    <x:row r="780">
      <x:c r="A780" s="87" t="n">
        <x:v>779</x:v>
      </x:c>
      <x:c r="B780" s="87" t="str">
        <x:v>FEB-RUS-V1-011</x:v>
      </x:c>
      <x:c r="C780" s="87" t="str">
        <x:v>СтатГрад</x:v>
      </x:c>
      <x:c r="D780" s="87" t="str">
        <x:v>Февраль 2026</x:v>
      </x:c>
      <x:c r="E780" s="87"/>
      <x:c r="F780" s="87"/>
      <x:c r="G780" s="87" t="str">
        <x:v>Русский язык</x:v>
      </x:c>
      <x:c r="H780" s="87" t="n">
        <x:v>11</x:v>
      </x:c>
      <x:c r="I780" s="87" t="str">
        <x:v>ТР №4</x:v>
      </x:c>
      <x:c r="J780" s="87" t="str">
        <x:v>РЯ2510501</x:v>
      </x:c>
      <x:c r="K780" s="87" t="n">
        <x:v>11</x:v>
      </x:c>
      <x:c r="L780" s="87" t="str">
        <x:v>Суффиксы</x:v>
      </x:c>
      <x:c r="M780" s="30" t="str">
        <x:v>Выберите ряды, где в обоих словах пропущена одна и та же буква.</x:v>
      </x:c>
      <x:c r="N780" s="30" t="str">
        <x:v>134</x:v>
      </x:c>
      <x:c r="O780" s="30" t="str">
        <x:v>1: пальтецо, продлевать — Е; 3: шведский, светский — С; 4: ослабевать, гелевая — Е.</x:v>
      </x:c>
      <x:c r="P780" s="30" t="str">
        <x:v>В рядах 2 и 5 восстанавливаются разные буквы.</x:v>
      </x:c>
      <x:c r="Q780" s="30"/>
      <x:c r="R780" s="30" t="str">
        <x:v>134</x:v>
      </x:c>
      <x:c r="S780" s="30"/>
      <x:c r="T780" s="30"/>
      <x:c r="U780" s="30" t="str">
        <x:v>Расхождений нет.</x:v>
      </x:c>
      <x:c r="V780" s="87" t="str">
        <x:v>VERIFIED</x:v>
      </x:c>
      <x:c r="W780" s="87" t="n">
        <x:v>6</x:v>
      </x:c>
      <x:c r="X780" s="87"/>
      <x:c r="Y780" s="87"/>
      <x:c r="Z780" s="87"/>
      <x:c r="AA780" s="87"/>
      <x:c r="AB780" s="87"/>
      <x:c r="AC780" s="87"/>
      <x:c r="AD780" s="87"/>
      <x:c r="AE780" s="87"/>
      <x:c r="AF780" s="87"/>
      <x:c r="AG780" s="87"/>
      <x:c r="AH780" s="87"/>
      <x:c r="AI780" s="30"/>
      <x:c r="AJ780" s="87" t="str">
        <x:v>master</x:v>
      </x:c>
      <x:c r="AK780" s="87" t="str">
        <x:v>master-v0.81</x:v>
      </x:c>
      <x:c r="AL780" s="87" t="str">
        <x:v>statgrad_master_base_v0_81_final(2).xlsx</x:v>
      </x:c>
      <x:c r="AM780" s="87" t="str">
        <x:v>RUS_Feb_V1</x:v>
      </x:c>
      <x:c r="AN780" s="87" t="n">
        <x:v>12</x:v>
      </x:c>
    </x:row>
    <x:row r="781">
      <x:c r="A781" s="87" t="n">
        <x:v>780</x:v>
      </x:c>
      <x:c r="B781" s="87" t="str">
        <x:v>FEB-RUS-V1-012</x:v>
      </x:c>
      <x:c r="C781" s="87" t="str">
        <x:v>СтатГрад</x:v>
      </x:c>
      <x:c r="D781" s="87" t="str">
        <x:v>Февраль 2026</x:v>
      </x:c>
      <x:c r="E781" s="87"/>
      <x:c r="F781" s="87"/>
      <x:c r="G781" s="87" t="str">
        <x:v>Русский язык</x:v>
      </x:c>
      <x:c r="H781" s="87" t="n">
        <x:v>11</x:v>
      </x:c>
      <x:c r="I781" s="87" t="str">
        <x:v>ТР №4</x:v>
      </x:c>
      <x:c r="J781" s="87" t="str">
        <x:v>РЯ2510501</x:v>
      </x:c>
      <x:c r="K781" s="87" t="n">
        <x:v>12</x:v>
      </x:c>
      <x:c r="L781" s="87" t="str">
        <x:v>Личные окончания и суффиксы</x:v>
      </x:c>
      <x:c r="M781" s="30" t="str">
        <x:v>Выберите ряды, где в обоих словах пропущена одна и та же буква.</x:v>
      </x:c>
      <x:c r="N781" s="30" t="str">
        <x:v>124</x:v>
      </x:c>
      <x:c r="O781" s="30" t="str">
        <x:v>1: стелются, покаются — Ю; 2: пышущий, алчущий — У; 4: колеблемый, незыблемый — Е.</x:v>
      </x:c>
      <x:c r="P781" s="30" t="str">
        <x:v>Формы в рядах 3 и 5 требуют разных букв.</x:v>
      </x:c>
      <x:c r="Q781" s="30"/>
      <x:c r="R781" s="30" t="str">
        <x:v>124</x:v>
      </x:c>
      <x:c r="S781" s="30"/>
      <x:c r="T781" s="30"/>
      <x:c r="U781" s="30" t="str">
        <x:v>Расхождений нет.</x:v>
      </x:c>
      <x:c r="V781" s="87" t="str">
        <x:v>VERIFIED</x:v>
      </x:c>
      <x:c r="W781" s="87" t="n">
        <x:v>6</x:v>
      </x:c>
      <x:c r="X781" s="87"/>
      <x:c r="Y781" s="87"/>
      <x:c r="Z781" s="87"/>
      <x:c r="AA781" s="87"/>
      <x:c r="AB781" s="87"/>
      <x:c r="AC781" s="87"/>
      <x:c r="AD781" s="87"/>
      <x:c r="AE781" s="87"/>
      <x:c r="AF781" s="87"/>
      <x:c r="AG781" s="87"/>
      <x:c r="AH781" s="87"/>
      <x:c r="AI781" s="30"/>
      <x:c r="AJ781" s="87" t="str">
        <x:v>master</x:v>
      </x:c>
      <x:c r="AK781" s="87" t="str">
        <x:v>master-v0.81</x:v>
      </x:c>
      <x:c r="AL781" s="87" t="str">
        <x:v>statgrad_master_base_v0_81_final(2).xlsx</x:v>
      </x:c>
      <x:c r="AM781" s="87" t="str">
        <x:v>RUS_Feb_V1</x:v>
      </x:c>
      <x:c r="AN781" s="87" t="n">
        <x:v>13</x:v>
      </x:c>
    </x:row>
    <x:row r="782">
      <x:c r="A782" s="87" t="n">
        <x:v>781</x:v>
      </x:c>
      <x:c r="B782" s="87" t="str">
        <x:v>FEB-RUS-V1-013</x:v>
      </x:c>
      <x:c r="C782" s="87" t="str">
        <x:v>СтатГрад</x:v>
      </x:c>
      <x:c r="D782" s="87" t="str">
        <x:v>Февраль 2026</x:v>
      </x:c>
      <x:c r="E782" s="87"/>
      <x:c r="F782" s="87"/>
      <x:c r="G782" s="87" t="str">
        <x:v>Русский язык</x:v>
      </x:c>
      <x:c r="H782" s="87" t="n">
        <x:v>11</x:v>
      </x:c>
      <x:c r="I782" s="87" t="str">
        <x:v>ТР №4</x:v>
      </x:c>
      <x:c r="J782" s="87" t="str">
        <x:v>РЯ2510501</x:v>
      </x:c>
      <x:c r="K782" s="87" t="n">
        <x:v>13</x:v>
      </x:c>
      <x:c r="L782" s="87" t="str">
        <x:v>НЕ со словами</x:v>
      </x:c>
      <x:c r="M782" s="30" t="str">
        <x:v>Укажите позиции, где НЕ пишется слитно.</x:v>
      </x:c>
      <x:c r="N782" s="30" t="str">
        <x:v>234</x:v>
      </x:c>
      <x:c r="O782" s="30" t="str">
        <x:v>Слитно пишутся «неприятно», «несдобровать», «непрошенным». Раздельно: «не по-товарищески» и конструкция «не столько…, сколько…».</x:v>
      </x:c>
      <x:c r="P782" s="30" t="str">
        <x:v>Для каждого слова определены часть речи, значение и наличие конструкции раздельного написания.</x:v>
      </x:c>
      <x:c r="Q782" s="30"/>
      <x:c r="R782" s="30" t="str">
        <x:v>234</x:v>
      </x:c>
      <x:c r="S782" s="30"/>
      <x:c r="T782" s="30"/>
      <x:c r="U782" s="30" t="str">
        <x:v>Расхождений нет.</x:v>
      </x:c>
      <x:c r="V782" s="87" t="str">
        <x:v>VERIFIED</x:v>
      </x:c>
      <x:c r="W782" s="87" t="n">
        <x:v>7</x:v>
      </x:c>
      <x:c r="X782" s="87"/>
      <x:c r="Y782" s="87"/>
      <x:c r="Z782" s="87"/>
      <x:c r="AA782" s="87"/>
      <x:c r="AB782" s="87"/>
      <x:c r="AC782" s="87"/>
      <x:c r="AD782" s="87"/>
      <x:c r="AE782" s="87"/>
      <x:c r="AF782" s="87"/>
      <x:c r="AG782" s="87"/>
      <x:c r="AH782" s="87"/>
      <x:c r="AI782" s="30"/>
      <x:c r="AJ782" s="87" t="str">
        <x:v>master</x:v>
      </x:c>
      <x:c r="AK782" s="87" t="str">
        <x:v>master-v0.81</x:v>
      </x:c>
      <x:c r="AL782" s="87" t="str">
        <x:v>statgrad_master_base_v0_81_final(2).xlsx</x:v>
      </x:c>
      <x:c r="AM782" s="87" t="str">
        <x:v>RUS_Feb_V1</x:v>
      </x:c>
      <x:c r="AN782" s="87" t="n">
        <x:v>14</x:v>
      </x:c>
    </x:row>
    <x:row r="783">
      <x:c r="A783" s="87" t="n">
        <x:v>782</x:v>
      </x:c>
      <x:c r="B783" s="87" t="str">
        <x:v>FEB-RUS-V1-014</x:v>
      </x:c>
      <x:c r="C783" s="87" t="str">
        <x:v>СтатГрад</x:v>
      </x:c>
      <x:c r="D783" s="87" t="str">
        <x:v>Февраль 2026</x:v>
      </x:c>
      <x:c r="E783" s="87"/>
      <x:c r="F783" s="87"/>
      <x:c r="G783" s="87" t="str">
        <x:v>Русский язык</x:v>
      </x:c>
      <x:c r="H783" s="87" t="n">
        <x:v>11</x:v>
      </x:c>
      <x:c r="I783" s="87" t="str">
        <x:v>ТР №4</x:v>
      </x:c>
      <x:c r="J783" s="87" t="str">
        <x:v>РЯ2510501</x:v>
      </x:c>
      <x:c r="K783" s="87" t="n">
        <x:v>14</x:v>
      </x:c>
      <x:c r="L783" s="87" t="str">
        <x:v>Слитное и раздельное написание</x:v>
      </x:c>
      <x:c r="M783" s="30" t="str">
        <x:v>Укажите предложения, где все выделенные слова пишутся раздельно.</x:v>
      </x:c>
      <x:c r="N783" s="30" t="str">
        <x:v>45</x:v>
      </x:c>
      <x:c r="O783" s="30" t="str">
        <x:v>4: «в дали морской», «так же»; 5: «сколько бы», «всё равно». В остальных предложениях хотя бы одно выделенное слово пишется слитно или через дефис.</x:v>
      </x:c>
      <x:c r="P783" s="30" t="str">
        <x:v>Каждая конструкция проверена по значению и синтаксической роли.</x:v>
      </x:c>
      <x:c r="Q783" s="30"/>
      <x:c r="R783" s="30" t="str">
        <x:v>45</x:v>
      </x:c>
      <x:c r="S783" s="30"/>
      <x:c r="T783" s="30"/>
      <x:c r="U783" s="30" t="str">
        <x:v>Расхождений нет.</x:v>
      </x:c>
      <x:c r="V783" s="87" t="str">
        <x:v>VERIFIED</x:v>
      </x:c>
      <x:c r="W783" s="87" t="n">
        <x:v>7</x:v>
      </x:c>
      <x:c r="X783" s="87"/>
      <x:c r="Y783" s="87"/>
      <x:c r="Z783" s="87"/>
      <x:c r="AA783" s="87"/>
      <x:c r="AB783" s="87"/>
      <x:c r="AC783" s="87"/>
      <x:c r="AD783" s="87"/>
      <x:c r="AE783" s="87"/>
      <x:c r="AF783" s="87"/>
      <x:c r="AG783" s="87"/>
      <x:c r="AH783" s="87"/>
      <x:c r="AI783" s="30"/>
      <x:c r="AJ783" s="87" t="str">
        <x:v>master</x:v>
      </x:c>
      <x:c r="AK783" s="87" t="str">
        <x:v>master-v0.81</x:v>
      </x:c>
      <x:c r="AL783" s="87" t="str">
        <x:v>statgrad_master_base_v0_81_final(2).xlsx</x:v>
      </x:c>
      <x:c r="AM783" s="87" t="str">
        <x:v>RUS_Feb_V1</x:v>
      </x:c>
      <x:c r="AN783" s="87" t="n">
        <x:v>15</x:v>
      </x:c>
    </x:row>
    <x:row r="784">
      <x:c r="A784" s="87" t="n">
        <x:v>783</x:v>
      </x:c>
      <x:c r="B784" s="87" t="str">
        <x:v>FEB-RUS-V1-015</x:v>
      </x:c>
      <x:c r="C784" s="87" t="str">
        <x:v>СтатГрад</x:v>
      </x:c>
      <x:c r="D784" s="87" t="str">
        <x:v>Февраль 2026</x:v>
      </x:c>
      <x:c r="E784" s="87"/>
      <x:c r="F784" s="87"/>
      <x:c r="G784" s="87" t="str">
        <x:v>Русский язык</x:v>
      </x:c>
      <x:c r="H784" s="87" t="n">
        <x:v>11</x:v>
      </x:c>
      <x:c r="I784" s="87" t="str">
        <x:v>ТР №4</x:v>
      </x:c>
      <x:c r="J784" s="87" t="str">
        <x:v>РЯ2510501</x:v>
      </x:c>
      <x:c r="K784" s="87" t="n">
        <x:v>15</x:v>
      </x:c>
      <x:c r="L784" s="87" t="str">
        <x:v>Н и НН</x:v>
      </x:c>
      <x:c r="M784" s="30" t="str">
        <x:v>Укажите позиции, где пишется одна буква Н.</x:v>
      </x:c>
      <x:c r="N784" s="30" t="str">
        <x:v>124</x:v>
      </x:c>
      <x:c r="O784" s="30" t="str">
        <x:v>Одна Н: сказано, ветреных, юного. Две Н: неуверенные, странника, утомлённого.</x:v>
      </x:c>
      <x:c r="P784" s="30" t="str">
        <x:v>Формы классифицированы как краткое причастие, прилагательные и производные слова.</x:v>
      </x:c>
      <x:c r="Q784" s="30"/>
      <x:c r="R784" s="30" t="str">
        <x:v>124</x:v>
      </x:c>
      <x:c r="S784" s="30"/>
      <x:c r="T784" s="30"/>
      <x:c r="U784" s="30" t="str">
        <x:v>Расхождений нет.</x:v>
      </x:c>
      <x:c r="V784" s="87" t="str">
        <x:v>VERIFIED</x:v>
      </x:c>
      <x:c r="W784" s="87" t="n">
        <x:v>7</x:v>
      </x:c>
      <x:c r="X784" s="87"/>
      <x:c r="Y784" s="87"/>
      <x:c r="Z784" s="87"/>
      <x:c r="AA784" s="87"/>
      <x:c r="AB784" s="87"/>
      <x:c r="AC784" s="87"/>
      <x:c r="AD784" s="87"/>
      <x:c r="AE784" s="87"/>
      <x:c r="AF784" s="87"/>
      <x:c r="AG784" s="87"/>
      <x:c r="AH784" s="87"/>
      <x:c r="AI784" s="30"/>
      <x:c r="AJ784" s="87" t="str">
        <x:v>master</x:v>
      </x:c>
      <x:c r="AK784" s="87" t="str">
        <x:v>master-v0.81</x:v>
      </x:c>
      <x:c r="AL784" s="87" t="str">
        <x:v>statgrad_master_base_v0_81_final(2).xlsx</x:v>
      </x:c>
      <x:c r="AM784" s="87" t="str">
        <x:v>RUS_Feb_V1</x:v>
      </x:c>
      <x:c r="AN784" s="87" t="n">
        <x:v>16</x:v>
      </x:c>
    </x:row>
    <x:row r="785">
      <x:c r="A785" s="87" t="n">
        <x:v>784</x:v>
      </x:c>
      <x:c r="B785" s="87" t="str">
        <x:v>FEB-RUS-V1-016</x:v>
      </x:c>
      <x:c r="C785" s="87" t="str">
        <x:v>СтатГрад</x:v>
      </x:c>
      <x:c r="D785" s="87" t="str">
        <x:v>Февраль 2026</x:v>
      </x:c>
      <x:c r="E785" s="87"/>
      <x:c r="F785" s="87"/>
      <x:c r="G785" s="87" t="str">
        <x:v>Русский язык</x:v>
      </x:c>
      <x:c r="H785" s="87" t="n">
        <x:v>11</x:v>
      </x:c>
      <x:c r="I785" s="87" t="str">
        <x:v>ТР №4</x:v>
      </x:c>
      <x:c r="J785" s="87" t="str">
        <x:v>РЯ2510501</x:v>
      </x:c>
      <x:c r="K785" s="87" t="n">
        <x:v>16</x:v>
      </x:c>
      <x:c r="L785" s="87" t="str">
        <x:v>Пунктуация: одна запятая</x:v>
      </x:c>
      <x:c r="M785" s="30" t="str">
        <x:v>Укажите предложения, в которых требуется ровно одна запятая.</x:v>
      </x:c>
      <x:c r="N785" s="30" t="str">
        <x:v>345</x:v>
      </x:c>
      <x:c r="O785" s="30" t="str">
        <x:v>3: запятая разделяет повторяющиеся однородные обстоятельства; 4: ставится перед «сколько» в конструкции «не столько…, сколько…»; 5: разделяет однородные сказуемые с повторяющимся союзом «либо».</x:v>
      </x:c>
      <x:c r="P785" s="30" t="str">
        <x:v>В предложении 2 нужны две запятые, а в предложении 1 запятая не ставится из-за общего обстоятельства.</x:v>
      </x:c>
      <x:c r="Q785" s="30"/>
      <x:c r="R785" s="30" t="str">
        <x:v>345</x:v>
      </x:c>
      <x:c r="S785" s="30"/>
      <x:c r="T785" s="30"/>
      <x:c r="U785" s="30" t="str">
        <x:v>Расхождений нет.</x:v>
      </x:c>
      <x:c r="V785" s="87" t="str">
        <x:v>VERIFIED</x:v>
      </x:c>
      <x:c r="W785" s="87" t="n">
        <x:v>8</x:v>
      </x:c>
      <x:c r="X785" s="87"/>
      <x:c r="Y785" s="87"/>
      <x:c r="Z785" s="87"/>
      <x:c r="AA785" s="87"/>
      <x:c r="AB785" s="87"/>
      <x:c r="AC785" s="87"/>
      <x:c r="AD785" s="87"/>
      <x:c r="AE785" s="87"/>
      <x:c r="AF785" s="87"/>
      <x:c r="AG785" s="87"/>
      <x:c r="AH785" s="87"/>
      <x:c r="AI785" s="30"/>
      <x:c r="AJ785" s="87" t="str">
        <x:v>master</x:v>
      </x:c>
      <x:c r="AK785" s="87" t="str">
        <x:v>master-v0.81</x:v>
      </x:c>
      <x:c r="AL785" s="87" t="str">
        <x:v>statgrad_master_base_v0_81_final(2).xlsx</x:v>
      </x:c>
      <x:c r="AM785" s="87" t="str">
        <x:v>RUS_Feb_V1</x:v>
      </x:c>
      <x:c r="AN785" s="87" t="n">
        <x:v>17</x:v>
      </x:c>
    </x:row>
    <x:row r="786">
      <x:c r="A786" s="87" t="n">
        <x:v>785</x:v>
      </x:c>
      <x:c r="B786" s="87" t="str">
        <x:v>FEB-RUS-V1-017</x:v>
      </x:c>
      <x:c r="C786" s="87" t="str">
        <x:v>СтатГрад</x:v>
      </x:c>
      <x:c r="D786" s="87" t="str">
        <x:v>Февраль 2026</x:v>
      </x:c>
      <x:c r="E786" s="87"/>
      <x:c r="F786" s="87"/>
      <x:c r="G786" s="87" t="str">
        <x:v>Русский язык</x:v>
      </x:c>
      <x:c r="H786" s="87" t="n">
        <x:v>11</x:v>
      </x:c>
      <x:c r="I786" s="87" t="str">
        <x:v>ТР №4</x:v>
      </x:c>
      <x:c r="J786" s="87" t="str">
        <x:v>РЯ2510501</x:v>
      </x:c>
      <x:c r="K786" s="87" t="n">
        <x:v>17</x:v>
      </x:c>
      <x:c r="L786" s="87" t="str">
        <x:v>Пунктуация</x:v>
      </x:c>
      <x:c r="M786" s="30" t="str">
        <x:v>Расставьте запятые в предложении с причастными и деепричастным оборотами.</x:v>
      </x:c>
      <x:c r="N786" s="30" t="str">
        <x:v>3578</x:v>
      </x:c>
      <x:c r="O786" s="30" t="str">
        <x:v>Запятыми выделяется оборот «проявленным к нему со стороны взрослого человека» и деепричастный оборот «не скрывая своего любопытства».</x:v>
      </x:c>
      <x:c r="P786" s="30" t="str">
        <x:v>Однородные определения и сказуемые, соединённые одиночным союзом И, дополнительно не разделяются.</x:v>
      </x:c>
      <x:c r="Q786" s="30"/>
      <x:c r="R786" s="30" t="str">
        <x:v>3578</x:v>
      </x:c>
      <x:c r="S786" s="30"/>
      <x:c r="T786" s="30"/>
      <x:c r="U786" s="30" t="str">
        <x:v>Расхождений нет.</x:v>
      </x:c>
      <x:c r="V786" s="87" t="str">
        <x:v>VERIFIED</x:v>
      </x:c>
      <x:c r="W786" s="87" t="n">
        <x:v>8</x:v>
      </x:c>
      <x:c r="X786" s="87"/>
      <x:c r="Y786" s="87"/>
      <x:c r="Z786" s="87"/>
      <x:c r="AA786" s="87"/>
      <x:c r="AB786" s="87"/>
      <x:c r="AC786" s="87"/>
      <x:c r="AD786" s="87"/>
      <x:c r="AE786" s="87"/>
      <x:c r="AF786" s="87"/>
      <x:c r="AG786" s="87"/>
      <x:c r="AH786" s="87"/>
      <x:c r="AI786" s="30"/>
      <x:c r="AJ786" s="87" t="str">
        <x:v>master</x:v>
      </x:c>
      <x:c r="AK786" s="87" t="str">
        <x:v>master-v0.81</x:v>
      </x:c>
      <x:c r="AL786" s="87" t="str">
        <x:v>statgrad_master_base_v0_81_final(2).xlsx</x:v>
      </x:c>
      <x:c r="AM786" s="87" t="str">
        <x:v>RUS_Feb_V1</x:v>
      </x:c>
      <x:c r="AN786" s="87" t="n">
        <x:v>18</x:v>
      </x:c>
    </x:row>
    <x:row r="787">
      <x:c r="A787" s="87" t="n">
        <x:v>786</x:v>
      </x:c>
      <x:c r="B787" s="87" t="str">
        <x:v>FEB-RUS-V1-018</x:v>
      </x:c>
      <x:c r="C787" s="87" t="str">
        <x:v>СтатГрад</x:v>
      </x:c>
      <x:c r="D787" s="87" t="str">
        <x:v>Февраль 2026</x:v>
      </x:c>
      <x:c r="E787" s="87"/>
      <x:c r="F787" s="87"/>
      <x:c r="G787" s="87" t="str">
        <x:v>Русский язык</x:v>
      </x:c>
      <x:c r="H787" s="87" t="n">
        <x:v>11</x:v>
      </x:c>
      <x:c r="I787" s="87" t="str">
        <x:v>ТР №4</x:v>
      </x:c>
      <x:c r="J787" s="87" t="str">
        <x:v>РЯ2510501</x:v>
      </x:c>
      <x:c r="K787" s="87" t="n">
        <x:v>18</x:v>
      </x:c>
      <x:c r="L787" s="87" t="str">
        <x:v>Пунктуация</x:v>
      </x:c>
      <x:c r="M787" s="30" t="str">
        <x:v>Расставьте запятые в реплике с обращением и вводным словом.</x:v>
      </x:c>
      <x:c r="N787" s="30" t="str">
        <x:v>123</x:v>
      </x:c>
      <x:c r="O787" s="30" t="str">
        <x:v>Слово «брат» является обращением и обособляется с двух сторон; «может» имеет значение предположения и является вводным.</x:v>
      </x:c>
      <x:c r="P787" s="30" t="str">
        <x:v>Частицы «однако же», «именно», «вряд ли» не требуют обособления.</x:v>
      </x:c>
      <x:c r="Q787" s="30"/>
      <x:c r="R787" s="30" t="str">
        <x:v>123</x:v>
      </x:c>
      <x:c r="S787" s="30"/>
      <x:c r="T787" s="30"/>
      <x:c r="U787" s="30" t="str">
        <x:v>Расхождений нет.</x:v>
      </x:c>
      <x:c r="V787" s="87" t="str">
        <x:v>VERIFIED</x:v>
      </x:c>
      <x:c r="W787" s="87" t="n">
        <x:v>8</x:v>
      </x:c>
      <x:c r="X787" s="87"/>
      <x:c r="Y787" s="87"/>
      <x:c r="Z787" s="87"/>
      <x:c r="AA787" s="87"/>
      <x:c r="AB787" s="87"/>
      <x:c r="AC787" s="87"/>
      <x:c r="AD787" s="87"/>
      <x:c r="AE787" s="87"/>
      <x:c r="AF787" s="87"/>
      <x:c r="AG787" s="87"/>
      <x:c r="AH787" s="87"/>
      <x:c r="AI787" s="30"/>
      <x:c r="AJ787" s="87" t="str">
        <x:v>master</x:v>
      </x:c>
      <x:c r="AK787" s="87" t="str">
        <x:v>master-v0.81</x:v>
      </x:c>
      <x:c r="AL787" s="87" t="str">
        <x:v>statgrad_master_base_v0_81_final(2).xlsx</x:v>
      </x:c>
      <x:c r="AM787" s="87" t="str">
        <x:v>RUS_Feb_V1</x:v>
      </x:c>
      <x:c r="AN787" s="87" t="n">
        <x:v>19</x:v>
      </x:c>
    </x:row>
    <x:row r="788">
      <x:c r="A788" s="87" t="n">
        <x:v>787</x:v>
      </x:c>
      <x:c r="B788" s="87" t="str">
        <x:v>FEB-RUS-V1-019</x:v>
      </x:c>
      <x:c r="C788" s="87" t="str">
        <x:v>СтатГрад</x:v>
      </x:c>
      <x:c r="D788" s="87" t="str">
        <x:v>Февраль 2026</x:v>
      </x:c>
      <x:c r="E788" s="87"/>
      <x:c r="F788" s="87"/>
      <x:c r="G788" s="87" t="str">
        <x:v>Русский язык</x:v>
      </x:c>
      <x:c r="H788" s="87" t="n">
        <x:v>11</x:v>
      </x:c>
      <x:c r="I788" s="87" t="str">
        <x:v>ТР №4</x:v>
      </x:c>
      <x:c r="J788" s="87" t="str">
        <x:v>РЯ2510501</x:v>
      </x:c>
      <x:c r="K788" s="87" t="n">
        <x:v>19</x:v>
      </x:c>
      <x:c r="L788" s="87" t="str">
        <x:v>Пунктуация в сложном предложении</x:v>
      </x:c>
      <x:c r="M788" s="30" t="str">
        <x:v>Расставьте запятые в конструкции «понимал, что если…, то…».</x:v>
      </x:c>
      <x:c r="N788" s="30" t="str">
        <x:v>137</x:v>
      </x:c>
      <x:c r="O788" s="30" t="str">
        <x:v>Запятая 1 отделяет придаточное изъяснительное, запятые 3 и 7 ограничивают определительную часть о плане. Между «что» и «если» запятая не ставится из-за последующего «то».</x:v>
      </x:c>
      <x:c r="P788" s="30" t="str">
        <x:v>Внутри определительной части однородные сказуемые соединены союзом И.</x:v>
      </x:c>
      <x:c r="Q788" s="30"/>
      <x:c r="R788" s="30" t="str">
        <x:v>137</x:v>
      </x:c>
      <x:c r="S788" s="30"/>
      <x:c r="T788" s="30"/>
      <x:c r="U788" s="30" t="str">
        <x:v>Расхождений нет.</x:v>
      </x:c>
      <x:c r="V788" s="87" t="str">
        <x:v>VERIFIED</x:v>
      </x:c>
      <x:c r="W788" s="87" t="n">
        <x:v>8</x:v>
      </x:c>
      <x:c r="X788" s="87"/>
      <x:c r="Y788" s="87"/>
      <x:c r="Z788" s="87"/>
      <x:c r="AA788" s="87"/>
      <x:c r="AB788" s="87"/>
      <x:c r="AC788" s="87"/>
      <x:c r="AD788" s="87"/>
      <x:c r="AE788" s="87"/>
      <x:c r="AF788" s="87"/>
      <x:c r="AG788" s="87"/>
      <x:c r="AH788" s="87"/>
      <x:c r="AI788" s="30"/>
      <x:c r="AJ788" s="87" t="str">
        <x:v>master</x:v>
      </x:c>
      <x:c r="AK788" s="87" t="str">
        <x:v>master-v0.81</x:v>
      </x:c>
      <x:c r="AL788" s="87" t="str">
        <x:v>statgrad_master_base_v0_81_final(2).xlsx</x:v>
      </x:c>
      <x:c r="AM788" s="87" t="str">
        <x:v>RUS_Feb_V1</x:v>
      </x:c>
      <x:c r="AN788" s="87" t="n">
        <x:v>20</x:v>
      </x:c>
    </x:row>
    <x:row r="789">
      <x:c r="A789" s="87" t="n">
        <x:v>788</x:v>
      </x:c>
      <x:c r="B789" s="87" t="str">
        <x:v>FEB-RUS-V1-020</x:v>
      </x:c>
      <x:c r="C789" s="87" t="str">
        <x:v>СтатГрад</x:v>
      </x:c>
      <x:c r="D789" s="87" t="str">
        <x:v>Февраль 2026</x:v>
      </x:c>
      <x:c r="E789" s="87"/>
      <x:c r="F789" s="87"/>
      <x:c r="G789" s="87" t="str">
        <x:v>Русский язык</x:v>
      </x:c>
      <x:c r="H789" s="87" t="n">
        <x:v>11</x:v>
      </x:c>
      <x:c r="I789" s="87" t="str">
        <x:v>ТР №4</x:v>
      </x:c>
      <x:c r="J789" s="87" t="str">
        <x:v>РЯ2510501</x:v>
      </x:c>
      <x:c r="K789" s="87" t="n">
        <x:v>20</x:v>
      </x:c>
      <x:c r="L789" s="87" t="str">
        <x:v>Пунктуация в сложном предложении</x:v>
      </x:c>
      <x:c r="M789" s="30" t="str">
        <x:v>Расставьте запятые в рассуждении о нравственном долге.</x:v>
      </x:c>
      <x:c r="N789" s="30" t="str">
        <x:v>123678</x:v>
      </x:c>
      <x:c r="O789" s="30" t="str">
        <x:v>Запятые разделяют две предикативные части, вводят придаточную с вложенными однородными условиями, закрывают её, выделяют придаточную с «в результате чего» и ставятся перед союзом А.</x:v>
      </x:c>
      <x:c r="P789" s="30" t="str">
        <x:v>Границы всех грамматических основ определены независимо.</x:v>
      </x:c>
      <x:c r="Q789" s="30"/>
      <x:c r="R789" s="30" t="str">
        <x:v>123678</x:v>
      </x:c>
      <x:c r="S789" s="30"/>
      <x:c r="T789" s="30"/>
      <x:c r="U789" s="30" t="str">
        <x:v>Расхождений нет.</x:v>
      </x:c>
      <x:c r="V789" s="87" t="str">
        <x:v>VERIFIED</x:v>
      </x:c>
      <x:c r="W789" s="87" t="n">
        <x:v>9</x:v>
      </x:c>
      <x:c r="X789" s="87"/>
      <x:c r="Y789" s="87"/>
      <x:c r="Z789" s="87"/>
      <x:c r="AA789" s="87"/>
      <x:c r="AB789" s="87"/>
      <x:c r="AC789" s="87"/>
      <x:c r="AD789" s="87"/>
      <x:c r="AE789" s="87"/>
      <x:c r="AF789" s="87"/>
      <x:c r="AG789" s="87"/>
      <x:c r="AH789" s="87"/>
      <x:c r="AI789" s="30"/>
      <x:c r="AJ789" s="87" t="str">
        <x:v>master</x:v>
      </x:c>
      <x:c r="AK789" s="87" t="str">
        <x:v>master-v0.81</x:v>
      </x:c>
      <x:c r="AL789" s="87" t="str">
        <x:v>statgrad_master_base_v0_81_final(2).xlsx</x:v>
      </x:c>
      <x:c r="AM789" s="87" t="str">
        <x:v>RUS_Feb_V1</x:v>
      </x:c>
      <x:c r="AN789" s="87" t="n">
        <x:v>21</x:v>
      </x:c>
    </x:row>
    <x:row r="790">
      <x:c r="A790" s="87" t="n">
        <x:v>789</x:v>
      </x:c>
      <x:c r="B790" s="87" t="str">
        <x:v>FEB-RUS-V1-021</x:v>
      </x:c>
      <x:c r="C790" s="87" t="str">
        <x:v>СтатГрад</x:v>
      </x:c>
      <x:c r="D790" s="87" t="str">
        <x:v>Февраль 2026</x:v>
      </x:c>
      <x:c r="E790" s="87"/>
      <x:c r="F790" s="87"/>
      <x:c r="G790" s="87" t="str">
        <x:v>Русский язык</x:v>
      </x:c>
      <x:c r="H790" s="87" t="n">
        <x:v>11</x:v>
      </x:c>
      <x:c r="I790" s="87" t="str">
        <x:v>ТР №4</x:v>
      </x:c>
      <x:c r="J790" s="87" t="str">
        <x:v>РЯ2510501</x:v>
      </x:c>
      <x:c r="K790" s="87" t="n">
        <x:v>21</x:v>
      </x:c>
      <x:c r="L790" s="87" t="str">
        <x:v>Двоеточие</x:v>
      </x:c>
      <x:c r="M790" s="30" t="str">
        <x:v>Найдите предложения, где двоеточие поставлено по одному правилу.</x:v>
      </x:c>
      <x:c r="N790" s="30" t="str">
        <x:v>23578</x:v>
      </x:c>
      <x:c r="O790" s="30" t="str">
        <x:v>В предложениях 2, 3, 5, 7 и 8 вторая часть бессоюзной конструкции поясняет или раскрывает содержание первой. В предложении 6 двоеточие вводит прямую речь.</x:v>
      </x:c>
      <x:c r="P790" s="30" t="str">
        <x:v>Для каждой конструкции определено смысловое отношение между частями.</x:v>
      </x:c>
      <x:c r="Q790" s="30"/>
      <x:c r="R790" s="30" t="str">
        <x:v>23578</x:v>
      </x:c>
      <x:c r="S790" s="30"/>
      <x:c r="T790" s="30"/>
      <x:c r="U790" s="30" t="str">
        <x:v>Расхождений нет.</x:v>
      </x:c>
      <x:c r="V790" s="87" t="str">
        <x:v>VERIFIED</x:v>
      </x:c>
      <x:c r="W790" s="87" t="n">
        <x:v>9</x:v>
      </x:c>
      <x:c r="X790" s="87"/>
      <x:c r="Y790" s="87"/>
      <x:c r="Z790" s="87"/>
      <x:c r="AA790" s="87"/>
      <x:c r="AB790" s="87"/>
      <x:c r="AC790" s="87"/>
      <x:c r="AD790" s="87"/>
      <x:c r="AE790" s="87"/>
      <x:c r="AF790" s="87"/>
      <x:c r="AG790" s="87"/>
      <x:c r="AH790" s="87"/>
      <x:c r="AI790" s="30"/>
      <x:c r="AJ790" s="87" t="str">
        <x:v>master</x:v>
      </x:c>
      <x:c r="AK790" s="87" t="str">
        <x:v>master-v0.81</x:v>
      </x:c>
      <x:c r="AL790" s="87" t="str">
        <x:v>statgrad_master_base_v0_81_final(2).xlsx</x:v>
      </x:c>
      <x:c r="AM790" s="87" t="str">
        <x:v>RUS_Feb_V1</x:v>
      </x:c>
      <x:c r="AN790" s="87" t="n">
        <x:v>22</x:v>
      </x:c>
    </x:row>
    <x:row r="791">
      <x:c r="A791" s="87" t="n">
        <x:v>790</x:v>
      </x:c>
      <x:c r="B791" s="87" t="str">
        <x:v>FEB-RUS-V1-022</x:v>
      </x:c>
      <x:c r="C791" s="87" t="str">
        <x:v>СтатГрад</x:v>
      </x:c>
      <x:c r="D791" s="87" t="str">
        <x:v>Февраль 2026</x:v>
      </x:c>
      <x:c r="E791" s="87"/>
      <x:c r="F791" s="87"/>
      <x:c r="G791" s="87" t="str">
        <x:v>Русский язык</x:v>
      </x:c>
      <x:c r="H791" s="87" t="n">
        <x:v>11</x:v>
      </x:c>
      <x:c r="I791" s="87" t="str">
        <x:v>ТР №4</x:v>
      </x:c>
      <x:c r="J791" s="87" t="str">
        <x:v>РЯ2510501</x:v>
      </x:c>
      <x:c r="K791" s="87" t="n">
        <x:v>22</x:v>
      </x:c>
      <x:c r="L791" s="87" t="str">
        <x:v>Средства выразительности</x:v>
      </x:c>
      <x:c r="M791" s="30" t="str">
        <x:v>Соотнесите фрагменты с изобразительно-выразительными средствами.</x:v>
      </x:c>
      <x:c r="N791" s="30" t="str">
        <x:v>79264</x:v>
      </x:c>
      <x:c r="O791" s="30" t="str">
        <x:v>А–7: олицетворение; Б–9: метонимия «ложку лишнюю кладёт»; В–2: синтаксический параллелизм; Г–6: вопросно-ответная форма; Д–4: гипербола.</x:v>
      </x:c>
      <x:c r="P791" s="30" t="str">
        <x:v>Каждый фрагмент проверен по определению соответствующего средства.</x:v>
      </x:c>
      <x:c r="Q791" s="30"/>
      <x:c r="R791" s="30" t="str">
        <x:v>79264</x:v>
      </x:c>
      <x:c r="S791" s="30"/>
      <x:c r="T791" s="30"/>
      <x:c r="U791" s="30" t="str">
        <x:v>Расхождений нет.</x:v>
      </x:c>
      <x:c r="V791" s="87" t="str">
        <x:v>VERIFIED</x:v>
      </x:c>
      <x:c r="W791" s="87" t="n">
        <x:v>10</x:v>
      </x:c>
      <x:c r="X791" s="87"/>
      <x:c r="Y791" s="87"/>
      <x:c r="Z791" s="87"/>
      <x:c r="AA791" s="87"/>
      <x:c r="AB791" s="87"/>
      <x:c r="AC791" s="87"/>
      <x:c r="AD791" s="87"/>
      <x:c r="AE791" s="87"/>
      <x:c r="AF791" s="87"/>
      <x:c r="AG791" s="87"/>
      <x:c r="AH791" s="87"/>
      <x:c r="AI791" s="30"/>
      <x:c r="AJ791" s="87" t="str">
        <x:v>master</x:v>
      </x:c>
      <x:c r="AK791" s="87" t="str">
        <x:v>master-v0.81</x:v>
      </x:c>
      <x:c r="AL791" s="87" t="str">
        <x:v>statgrad_master_base_v0_81_final(2).xlsx</x:v>
      </x:c>
      <x:c r="AM791" s="87" t="str">
        <x:v>RUS_Feb_V1</x:v>
      </x:c>
      <x:c r="AN791" s="87" t="n">
        <x:v>23</x:v>
      </x:c>
    </x:row>
    <x:row r="792">
      <x:c r="A792" s="87" t="n">
        <x:v>791</x:v>
      </x:c>
      <x:c r="B792" s="87" t="str">
        <x:v>FEB-RUS-V1-023</x:v>
      </x:c>
      <x:c r="C792" s="87" t="str">
        <x:v>СтатГрад</x:v>
      </x:c>
      <x:c r="D792" s="87" t="str">
        <x:v>Февраль 2026</x:v>
      </x:c>
      <x:c r="E792" s="87"/>
      <x:c r="F792" s="87"/>
      <x:c r="G792" s="87" t="str">
        <x:v>Русский язык</x:v>
      </x:c>
      <x:c r="H792" s="87" t="n">
        <x:v>11</x:v>
      </x:c>
      <x:c r="I792" s="87" t="str">
        <x:v>ТР №4</x:v>
      </x:c>
      <x:c r="J792" s="87" t="str">
        <x:v>РЯ2510501</x:v>
      </x:c>
      <x:c r="K792" s="87" t="n">
        <x:v>23</x:v>
      </x:c>
      <x:c r="L792" s="87" t="str">
        <x:v>Содержание текста</x:v>
      </x:c>
      <x:c r="M792" s="30" t="str">
        <x:v>Выберите утверждения, соответствующие тексту Е. И. Куманькова.</x:v>
      </x:c>
      <x:c r="N792" s="30" t="str">
        <x:v>135</x:v>
      </x:c>
      <x:c r="O792" s="30" t="str">
        <x:v>Автор считает любовь к прекрасному необходимой потребностью, требует учитывать эстетические запросы при изменении города и связывает сохранение архитектурного наследия с будущим творчеством потомков.</x:v>
      </x:c>
      <x:c r="P792" s="30" t="str">
        <x:v>Утверждения 2 и 4 искажают вопрос автора и воздействие новых сооружений.</x:v>
      </x:c>
      <x:c r="Q792" s="30"/>
      <x:c r="R792" s="30" t="str">
        <x:v>135</x:v>
      </x:c>
      <x:c r="S792" s="30"/>
      <x:c r="T792" s="30"/>
      <x:c r="U792" s="30" t="str">
        <x:v>Расхождений нет.</x:v>
      </x:c>
      <x:c r="V792" s="87" t="str">
        <x:v>VERIFIED</x:v>
      </x:c>
      <x:c r="W792" s="87" t="n">
        <x:v>12</x:v>
      </x:c>
      <x:c r="X792" s="87"/>
      <x:c r="Y792" s="87"/>
      <x:c r="Z792" s="87"/>
      <x:c r="AA792" s="87"/>
      <x:c r="AB792" s="87"/>
      <x:c r="AC792" s="87"/>
      <x:c r="AD792" s="87"/>
      <x:c r="AE792" s="87"/>
      <x:c r="AF792" s="87"/>
      <x:c r="AG792" s="87"/>
      <x:c r="AH792" s="87"/>
      <x:c r="AI792" s="30"/>
      <x:c r="AJ792" s="87" t="str">
        <x:v>master</x:v>
      </x:c>
      <x:c r="AK792" s="87" t="str">
        <x:v>master-v0.81</x:v>
      </x:c>
      <x:c r="AL792" s="87" t="str">
        <x:v>statgrad_master_base_v0_81_final(2).xlsx</x:v>
      </x:c>
      <x:c r="AM792" s="87" t="str">
        <x:v>RUS_Feb_V1</x:v>
      </x:c>
      <x:c r="AN792" s="87" t="n">
        <x:v>24</x:v>
      </x:c>
    </x:row>
    <x:row r="793">
      <x:c r="A793" s="87" t="n">
        <x:v>792</x:v>
      </x:c>
      <x:c r="B793" s="87" t="str">
        <x:v>FEB-RUS-V1-024</x:v>
      </x:c>
      <x:c r="C793" s="87" t="str">
        <x:v>СтатГрад</x:v>
      </x:c>
      <x:c r="D793" s="87" t="str">
        <x:v>Февраль 2026</x:v>
      </x:c>
      <x:c r="E793" s="87"/>
      <x:c r="F793" s="87"/>
      <x:c r="G793" s="87" t="str">
        <x:v>Русский язык</x:v>
      </x:c>
      <x:c r="H793" s="87" t="n">
        <x:v>11</x:v>
      </x:c>
      <x:c r="I793" s="87" t="str">
        <x:v>ТР №4</x:v>
      </x:c>
      <x:c r="J793" s="87" t="str">
        <x:v>РЯ2510501</x:v>
      </x:c>
      <x:c r="K793" s="87" t="n">
        <x:v>24</x:v>
      </x:c>
      <x:c r="L793" s="87" t="str">
        <x:v>Типы речи и смысловые отношения</x:v>
      </x:c>
      <x:c r="M793" s="30" t="str">
        <x:v>Выберите верные утверждения о предложениях исходного текста.</x:v>
      </x:c>
      <x:c r="N793" s="30" t="str">
        <x:v>235</x:v>
      </x:c>
      <x:c r="O793" s="30" t="str">
        <x:v>Предложение 9 подтверждает мысль 8; предложения 21–23 содержат последовательность действий; предложения 41–43 представляют рассуждение с выводом о необходимости сохранения наследия.</x:v>
      </x:c>
      <x:c r="P793" s="30" t="str">
        <x:v>Предложение 5 иллюстрирует, а не называет причину; фрагмент 25–28 является рассуждением, а не описанием.</x:v>
      </x:c>
      <x:c r="Q793" s="30"/>
      <x:c r="R793" s="30" t="str">
        <x:v>235</x:v>
      </x:c>
      <x:c r="S793" s="30"/>
      <x:c r="T793" s="30"/>
      <x:c r="U793" s="30" t="str">
        <x:v>Расхождений нет.</x:v>
      </x:c>
      <x:c r="V793" s="87" t="str">
        <x:v>VERIFIED</x:v>
      </x:c>
      <x:c r="W793" s="87" t="n">
        <x:v>13</x:v>
      </x:c>
      <x:c r="X793" s="87"/>
      <x:c r="Y793" s="87"/>
      <x:c r="Z793" s="87"/>
      <x:c r="AA793" s="87"/>
      <x:c r="AB793" s="87"/>
      <x:c r="AC793" s="87"/>
      <x:c r="AD793" s="87"/>
      <x:c r="AE793" s="87"/>
      <x:c r="AF793" s="87"/>
      <x:c r="AG793" s="87"/>
      <x:c r="AH793" s="87"/>
      <x:c r="AI793" s="30"/>
      <x:c r="AJ793" s="87" t="str">
        <x:v>master</x:v>
      </x:c>
      <x:c r="AK793" s="87" t="str">
        <x:v>master-v0.81</x:v>
      </x:c>
      <x:c r="AL793" s="87" t="str">
        <x:v>statgrad_master_base_v0_81_final(2).xlsx</x:v>
      </x:c>
      <x:c r="AM793" s="87" t="str">
        <x:v>RUS_Feb_V1</x:v>
      </x:c>
      <x:c r="AN793" s="87" t="n">
        <x:v>25</x:v>
      </x:c>
    </x:row>
    <x:row r="794">
      <x:c r="A794" s="87" t="n">
        <x:v>793</x:v>
      </x:c>
      <x:c r="B794" s="87" t="str">
        <x:v>FEB-RUS-V1-025</x:v>
      </x:c>
      <x:c r="C794" s="87" t="str">
        <x:v>СтатГрад</x:v>
      </x:c>
      <x:c r="D794" s="87" t="str">
        <x:v>Февраль 2026</x:v>
      </x:c>
      <x:c r="E794" s="87"/>
      <x:c r="F794" s="87"/>
      <x:c r="G794" s="87" t="str">
        <x:v>Русский язык</x:v>
      </x:c>
      <x:c r="H794" s="87" t="n">
        <x:v>11</x:v>
      </x:c>
      <x:c r="I794" s="87" t="str">
        <x:v>ТР №4</x:v>
      </x:c>
      <x:c r="J794" s="87" t="str">
        <x:v>РЯ2510501</x:v>
      </x:c>
      <x:c r="K794" s="87" t="n">
        <x:v>25</x:v>
      </x:c>
      <x:c r="L794" s="87" t="str">
        <x:v>Фразеологизм</x:v>
      </x:c>
      <x:c r="M794" s="30" t="str">
        <x:v>Выпишите один фразеологизм из предложений 1–3.</x:v>
      </x:c>
      <x:c r="N794" s="30" t="str">
        <x:v>мало того</x:v>
      </x:c>
      <x:c r="O794" s="30" t="str">
        <x:v>Сочетание «мало того» является устойчивым оборотом со значением присоединения дополнительного, усиливающего довода.</x:v>
      </x:c>
      <x:c r="P794" s="30" t="str">
        <x:v>Допустимый альтернативный ответ из ключа — «между тем».</x:v>
      </x:c>
      <x:c r="Q794" s="30"/>
      <x:c r="R794" s="30" t="str">
        <x:v>мало того / между тем</x:v>
      </x:c>
      <x:c r="S794" s="30"/>
      <x:c r="T794" s="30"/>
      <x:c r="U794" s="30" t="str">
        <x:v>Выбран один из двух допустимых ответов.</x:v>
      </x:c>
      <x:c r="V794" s="87" t="str">
        <x:v>VERIFIED</x:v>
      </x:c>
      <x:c r="W794" s="87" t="n">
        <x:v>13</x:v>
      </x:c>
      <x:c r="X794" s="87"/>
      <x:c r="Y794" s="87"/>
      <x:c r="Z794" s="87"/>
      <x:c r="AA794" s="87"/>
      <x:c r="AB794" s="87"/>
      <x:c r="AC794" s="87"/>
      <x:c r="AD794" s="87"/>
      <x:c r="AE794" s="87"/>
      <x:c r="AF794" s="87"/>
      <x:c r="AG794" s="87"/>
      <x:c r="AH794" s="87"/>
      <x:c r="AI794" s="30"/>
      <x:c r="AJ794" s="87" t="str">
        <x:v>master</x:v>
      </x:c>
      <x:c r="AK794" s="87" t="str">
        <x:v>master-v0.81</x:v>
      </x:c>
      <x:c r="AL794" s="87" t="str">
        <x:v>statgrad_master_base_v0_81_final(2).xlsx</x:v>
      </x:c>
      <x:c r="AM794" s="87" t="str">
        <x:v>RUS_Feb_V1</x:v>
      </x:c>
      <x:c r="AN794" s="87" t="n">
        <x:v>26</x:v>
      </x:c>
    </x:row>
    <x:row r="795">
      <x:c r="A795" s="87" t="n">
        <x:v>794</x:v>
      </x:c>
      <x:c r="B795" s="87" t="str">
        <x:v>FEB-RUS-V1-026</x:v>
      </x:c>
      <x:c r="C795" s="87" t="str">
        <x:v>СтатГрад</x:v>
      </x:c>
      <x:c r="D795" s="87" t="str">
        <x:v>Февраль 2026</x:v>
      </x:c>
      <x:c r="E795" s="87"/>
      <x:c r="F795" s="87"/>
      <x:c r="G795" s="87" t="str">
        <x:v>Русский язык</x:v>
      </x:c>
      <x:c r="H795" s="87" t="n">
        <x:v>11</x:v>
      </x:c>
      <x:c r="I795" s="87" t="str">
        <x:v>ТР №4</x:v>
      </x:c>
      <x:c r="J795" s="87" t="str">
        <x:v>РЯ2510501</x:v>
      </x:c>
      <x:c r="K795" s="87" t="n">
        <x:v>26</x:v>
      </x:c>
      <x:c r="L795" s="87" t="str">
        <x:v>Связь предложений</x:v>
      </x:c>
      <x:c r="M795" s="30" t="str">
        <x:v>Найдите предложение 26–34, связанное с предыдущим указательным местоимением и формой слова.</x:v>
      </x:c>
      <x:c r="N795" s="30" t="str">
        <x:v>28</x:v>
      </x:c>
      <x:c r="O795" s="30" t="str">
        <x:v>Предложение 28 продолжает мысль о времени и новом: повторяется форма слова «время», а местоименное указание «оно» замещает субстантивированное «новое».</x:v>
      </x:c>
      <x:c r="P795" s="30" t="str">
        <x:v>Ответ совпадает с официальной таблицей; лексико-грамматические средства связи проверены в контексте предложений 27–28.</x:v>
      </x:c>
      <x:c r="Q795" s="30"/>
      <x:c r="R795" s="30" t="str">
        <x:v>28</x:v>
      </x:c>
      <x:c r="S795" s="30"/>
      <x:c r="T795" s="30"/>
      <x:c r="U795" s="30" t="str">
        <x:v>Терминологическая формулировка задания сохранена без правки.</x:v>
      </x:c>
      <x:c r="V795" s="87" t="str">
        <x:v>VERIFIED</x:v>
      </x:c>
      <x:c r="W795" s="87" t="n">
        <x:v>13</x:v>
      </x:c>
      <x:c r="X795" s="87"/>
      <x:c r="Y795" s="87"/>
      <x:c r="Z795" s="87"/>
      <x:c r="AA795" s="87"/>
      <x:c r="AB795" s="87"/>
      <x:c r="AC795" s="87"/>
      <x:c r="AD795" s="87"/>
      <x:c r="AE795" s="87"/>
      <x:c r="AF795" s="87"/>
      <x:c r="AG795" s="87"/>
      <x:c r="AH795" s="87"/>
      <x:c r="AI795" s="30"/>
      <x:c r="AJ795" s="87" t="str">
        <x:v>master</x:v>
      </x:c>
      <x:c r="AK795" s="87" t="str">
        <x:v>master-v0.81</x:v>
      </x:c>
      <x:c r="AL795" s="87" t="str">
        <x:v>statgrad_master_base_v0_81_final(2).xlsx</x:v>
      </x:c>
      <x:c r="AM795" s="87" t="str">
        <x:v>RUS_Feb_V1</x:v>
      </x:c>
      <x:c r="AN795" s="87" t="n">
        <x:v>27</x:v>
      </x:c>
    </x:row>
    <x:row r="796">
      <x:c r="A796" s="87" t="n">
        <x:v>795</x:v>
      </x:c>
      <x:c r="B796" s="87" t="str">
        <x:v>FEB-RUS-V1-027</x:v>
      </x:c>
      <x:c r="C796" s="87" t="str">
        <x:v>СтатГрад</x:v>
      </x:c>
      <x:c r="D796" s="87" t="str">
        <x:v>Февраль 2026</x:v>
      </x:c>
      <x:c r="E796" s="87"/>
      <x:c r="F796" s="87"/>
      <x:c r="G796" s="87" t="str">
        <x:v>Русский язык</x:v>
      </x:c>
      <x:c r="H796" s="87" t="n">
        <x:v>11</x:v>
      </x:c>
      <x:c r="I796" s="87" t="str">
        <x:v>ТР №4</x:v>
      </x:c>
      <x:c r="J796" s="87" t="str">
        <x:v>РЯ2510501</x:v>
      </x:c>
      <x:c r="K796" s="87" t="n">
        <x:v>27</x:v>
      </x:c>
      <x:c r="L796" s="87" t="str">
        <x:v>Сочинение-рассуждение</x:v>
      </x:c>
      <x:c r="M796" s="30" t="str">
        <x:v>Напишите сочинение по проблеме «Какое значение имеет красота в жизни людей?». Объём — не менее 150 слов.</x:v>
      </x:c>
      <x:c r="N796" s="30" t="str">
        <x:v>Какое значение имеет красота в жизни людей? Именно над этим размышляет Е. И. Куманьков.
Автор убеждён: любовь к прекрасному — необходимая духовная потребность; без неё жизнь обедняется, а человек становится бездуховным.
Раскрывая позицию, публицист сначала говорит о бесценности красоты. Квадратные метры, магазины, фабрики и рестораны сами по себе являются лишь средствами существования: если они лишены эстетического содержания, человеку не на чем остановить взгляд и нечем питать душу. Этот пример показывает, что красота придаёт повседневной жизни смысл, пробуждает мысль, чувство и творческое начало.
Далее рассказчик вспоминает прогулку по Москве. Сохранившаяся историческая застройка радует его многообразием, тогда как новый «гигантский сундук» грубо закрывает перспективу и подавляет пространство. Сопоставляя старинные здания с безликим сооружением, автор подчёркивает: прекрасное связывает поколения и воспитывает вкус, а равнодушие к нему разрушает культурную память.
Примеры противопоставлены. Благодаря этому особенно ясно видно, как по-разному воздействуют на человека гармоничная среда и уродливая, бездумно созданная архитектура.
Я согласен с автором. Красота способна изменить внутреннее состояние человека и вернуть ему нравственные ориентиры. Так, в романе Л. Н. Толстого «Война и мир» князь Андрей, увидев высокое небо над Аустерлицем, осознаёт суетность прежних честолюбивых стремлений. Величие мира заставляет героя иначе оценить собственную жизнь.
Следовательно, красота не является необязательным украшением. Она формирует душу, поддерживает культуру и помогает человеку оставаться человеком.</x:v>
      </x:c>
      <x:c r="O796" s="30" t="str">
        <x:v>Сформулирована позиция автора; приведены и объяснены два примера из текста; установлено противопоставление; выражено согласие и дан литературный аргумент.</x:v>
      </x:c>
      <x:c r="P796" s="30" t="str">
        <x:v>Программно проверен объём; структура сопоставлена со всеми требованиями задания и официальной информацией о тексте.</x:v>
      </x:c>
      <x:c r="Q796" s="30"/>
      <x:c r="R796" s="30" t="str">
        <x:v>Критерии, стр. 3</x:v>
      </x:c>
      <x:c r="S796" s="30"/>
      <x:c r="T796" s="30"/>
      <x:c r="U796" s="30" t="str">
        <x:v>Модельное сочинение; официальный критерий сохранён отдельно.</x:v>
      </x:c>
      <x:c r="V796" s="87" t="str">
        <x:v>VERIFIED</x:v>
      </x:c>
      <x:c r="W796" s="87" t="n">
        <x:v>14</x:v>
      </x:c>
      <x:c r="X796" s="87"/>
      <x:c r="Y796" s="87"/>
      <x:c r="Z796" s="87"/>
      <x:c r="AA796" s="87"/>
      <x:c r="AB796" s="87"/>
      <x:c r="AC796" s="87"/>
      <x:c r="AD796" s="87"/>
      <x:c r="AE796" s="87"/>
      <x:c r="AF796" s="87"/>
      <x:c r="AG796" s="87"/>
      <x:c r="AH796" s="87"/>
      <x:c r="AI796" s="30"/>
      <x:c r="AJ796" s="87" t="str">
        <x:v>master</x:v>
      </x:c>
      <x:c r="AK796" s="87" t="str">
        <x:v>master-v0.81</x:v>
      </x:c>
      <x:c r="AL796" s="87" t="str">
        <x:v>statgrad_master_base_v0_81_final(2).xlsx</x:v>
      </x:c>
      <x:c r="AM796" s="87" t="str">
        <x:v>RUS_Feb_V1</x:v>
      </x:c>
      <x:c r="AN796" s="87" t="n">
        <x:v>28</x:v>
      </x:c>
    </x:row>
    <x:row r="797">
      <x:c r="A797" s="87" t="n">
        <x:v>796</x:v>
      </x:c>
      <x:c r="B797" s="87" t="str">
        <x:v>FEB-HIS-V1-001</x:v>
      </x:c>
      <x:c r="C797" s="87" t="str">
        <x:v>СтатГрад</x:v>
      </x:c>
      <x:c r="D797" s="87" t="str">
        <x:v>Февраль 2026</x:v>
      </x:c>
      <x:c r="E797" s="87"/>
      <x:c r="F797" s="87"/>
      <x:c r="G797" s="87" t="str">
        <x:v>История</x:v>
      </x:c>
      <x:c r="H797" s="87" t="n">
        <x:v>11</x:v>
      </x:c>
      <x:c r="I797" s="87" t="str">
        <x:v>ТР №4</x:v>
      </x:c>
      <x:c r="J797" s="87" t="str">
        <x:v>ИС2510401</x:v>
      </x:c>
      <x:c r="K797" s="87" t="n">
        <x:v>1</x:v>
      </x:c>
      <x:c r="L797" s="87" t="str">
        <x:v>Соответствие: событие и год</x:v>
      </x:c>
      <x:c r="M797" s="30" t="str">
        <x:v>Соотнесите четыре события с предложенными годами: гибель царевича Дмитрия, образование СССР, Тильзитский мир, создание «Молодой гвардии».</x:v>
      </x:c>
      <x:c r="N797" s="30" t="str">
        <x:v>2435</x:v>
      </x:c>
      <x:c r="O797" s="30" t="str">
        <x:v>А — 1591 г. (2); Б — 1922 г. (4); В — 1807 г. (3); Г — 1942 г. (5).</x:v>
      </x:c>
      <x:c r="P797" s="30" t="str">
        <x:v>Каждое событие датировано независимо; запись цифр под буквами А–Г даёт 2435.</x:v>
      </x:c>
      <x:c r="Q797" s="30"/>
      <x:c r="R797" s="30" t="str">
        <x:v>Открытая копия ключа: 2435</x:v>
      </x:c>
      <x:c r="S797" s="30"/>
      <x:c r="T797" s="30"/>
      <x:c r="U797" s="30" t="str">
        <x:v>Расхождений нет.</x:v>
      </x:c>
      <x:c r="V797" s="87" t="str">
        <x:v>VERIFIED</x:v>
      </x:c>
      <x:c r="W797" s="87" t="str">
        <x:v>онлайн</x:v>
      </x:c>
      <x:c r="X797" s="87"/>
      <x:c r="Y797" s="87"/>
      <x:c r="Z797" s="87"/>
      <x:c r="AA797" s="87"/>
      <x:c r="AB797" s="87"/>
      <x:c r="AC797" s="87"/>
      <x:c r="AD797" s="87"/>
      <x:c r="AE797" s="87"/>
      <x:c r="AF797" s="87"/>
      <x:c r="AG797" s="87"/>
      <x:c r="AH797" s="87"/>
      <x:c r="AI797" s="30"/>
      <x:c r="AJ797" s="87" t="str">
        <x:v>master</x:v>
      </x:c>
      <x:c r="AK797" s="87" t="str">
        <x:v>master-v0.81</x:v>
      </x:c>
      <x:c r="AL797" s="87" t="str">
        <x:v>statgrad_master_base_v0_81_final(2).xlsx</x:v>
      </x:c>
      <x:c r="AM797" s="87" t="str">
        <x:v>HIST_Feb_V1</x:v>
      </x:c>
      <x:c r="AN797" s="87" t="n">
        <x:v>2</x:v>
      </x:c>
    </x:row>
    <x:row r="798">
      <x:c r="A798" s="87" t="n">
        <x:v>797</x:v>
      </x:c>
      <x:c r="B798" s="87" t="str">
        <x:v>FEB-HIS-V1-002</x:v>
      </x:c>
      <x:c r="C798" s="87" t="str">
        <x:v>СтатГрад</x:v>
      </x:c>
      <x:c r="D798" s="87" t="str">
        <x:v>Февраль 2026</x:v>
      </x:c>
      <x:c r="E798" s="87"/>
      <x:c r="F798" s="87"/>
      <x:c r="G798" s="87" t="str">
        <x:v>История</x:v>
      </x:c>
      <x:c r="H798" s="87" t="n">
        <x:v>11</x:v>
      </x:c>
      <x:c r="I798" s="87" t="str">
        <x:v>ТР №4</x:v>
      </x:c>
      <x:c r="J798" s="87" t="str">
        <x:v>ИС2510401</x:v>
      </x:c>
      <x:c r="K798" s="87" t="n">
        <x:v>2</x:v>
      </x:c>
      <x:c r="L798" s="87" t="str">
        <x:v>Хронологическая последовательность</x:v>
      </x:c>
      <x:c r="M798" s="30" t="str">
        <x:v>Расположите по времени: Ливонская война, манифест о трёхдневной барщине, Второй крестовый поход.</x:v>
      </x:c>
      <x:c r="N798" s="30" t="str">
        <x:v>312</x:v>
      </x:c>
      <x:c r="O798" s="30" t="str">
        <x:v>Второй крестовый поход — 1147; Ливонская война — 1558; манифест — 1797.</x:v>
      </x:c>
      <x:c r="P798" s="30" t="str">
        <x:v>Даты проверены независимо; хронологический порядок номеров — 3, 1, 2.</x:v>
      </x:c>
      <x:c r="Q798" s="30"/>
      <x:c r="R798" s="30" t="str">
        <x:v>Открытая копия ключа: 312</x:v>
      </x:c>
      <x:c r="S798" s="30"/>
      <x:c r="T798" s="30"/>
      <x:c r="U798" s="30" t="str">
        <x:v>Расхождений нет.</x:v>
      </x:c>
      <x:c r="V798" s="87" t="str">
        <x:v>VERIFIED</x:v>
      </x:c>
      <x:c r="W798" s="87" t="str">
        <x:v>онлайн</x:v>
      </x:c>
      <x:c r="X798" s="87"/>
      <x:c r="Y798" s="87"/>
      <x:c r="Z798" s="87"/>
      <x:c r="AA798" s="87"/>
      <x:c r="AB798" s="87"/>
      <x:c r="AC798" s="87"/>
      <x:c r="AD798" s="87"/>
      <x:c r="AE798" s="87"/>
      <x:c r="AF798" s="87"/>
      <x:c r="AG798" s="87"/>
      <x:c r="AH798" s="87"/>
      <x:c r="AI798" s="30"/>
      <x:c r="AJ798" s="87" t="str">
        <x:v>master</x:v>
      </x:c>
      <x:c r="AK798" s="87" t="str">
        <x:v>master-v0.81</x:v>
      </x:c>
      <x:c r="AL798" s="87" t="str">
        <x:v>statgrad_master_base_v0_81_final(2).xlsx</x:v>
      </x:c>
      <x:c r="AM798" s="87" t="str">
        <x:v>HIST_Feb_V1</x:v>
      </x:c>
      <x:c r="AN798" s="87" t="n">
        <x:v>3</x:v>
      </x:c>
    </x:row>
    <x:row r="799">
      <x:c r="A799" s="87" t="n">
        <x:v>798</x:v>
      </x:c>
      <x:c r="B799" s="87" t="str">
        <x:v>FEB-HIS-V1-003</x:v>
      </x:c>
      <x:c r="C799" s="87" t="str">
        <x:v>СтатГрад</x:v>
      </x:c>
      <x:c r="D799" s="87" t="str">
        <x:v>Февраль 2026</x:v>
      </x:c>
      <x:c r="E799" s="87"/>
      <x:c r="F799" s="87"/>
      <x:c r="G799" s="87" t="str">
        <x:v>История</x:v>
      </x:c>
      <x:c r="H799" s="87" t="n">
        <x:v>11</x:v>
      </x:c>
      <x:c r="I799" s="87" t="str">
        <x:v>ТР №4</x:v>
      </x:c>
      <x:c r="J799" s="87" t="str">
        <x:v>ИС2510401</x:v>
      </x:c>
      <x:c r="K799" s="87" t="n">
        <x:v>3</x:v>
      </x:c>
      <x:c r="L799" s="87" t="str">
        <x:v>Процессы и факты</x:v>
      </x:c>
      <x:c r="M799" s="30" t="str">
        <x:v>Соотнесите реформы Александра II, борьбу за власть в 1950-е, раздробленность и деятельность Избранной рады с фактами.</x:v>
      </x:c>
      <x:c r="N799" s="30" t="str">
        <x:v>4125</x:v>
      </x:c>
      <x:c r="O799" s="30" t="str">
        <x:v>Реформы — мировой суд; 1950-е — разгром «антипартийной группы»; раздробленность — перенос митрополичьей кафедры во Владимир; Избранная рада — первый Земский собор.</x:v>
      </x:c>
      <x:c r="P799" s="30" t="str">
        <x:v>Каждая пара проверена по времени и содержанию процесса; посторонние факты исключены.</x:v>
      </x:c>
      <x:c r="Q799" s="30"/>
      <x:c r="R799" s="30" t="str">
        <x:v>Открытая копия ключа: 4125</x:v>
      </x:c>
      <x:c r="S799" s="30"/>
      <x:c r="T799" s="30"/>
      <x:c r="U799" s="30" t="str">
        <x:v>Расхождений нет.</x:v>
      </x:c>
      <x:c r="V799" s="87" t="str">
        <x:v>VERIFIED</x:v>
      </x:c>
      <x:c r="W799" s="87" t="str">
        <x:v>онлайн</x:v>
      </x:c>
      <x:c r="X799" s="87"/>
      <x:c r="Y799" s="87"/>
      <x:c r="Z799" s="87"/>
      <x:c r="AA799" s="87"/>
      <x:c r="AB799" s="87"/>
      <x:c r="AC799" s="87"/>
      <x:c r="AD799" s="87"/>
      <x:c r="AE799" s="87"/>
      <x:c r="AF799" s="87"/>
      <x:c r="AG799" s="87"/>
      <x:c r="AH799" s="87"/>
      <x:c r="AI799" s="30"/>
      <x:c r="AJ799" s="87" t="str">
        <x:v>master</x:v>
      </x:c>
      <x:c r="AK799" s="87" t="str">
        <x:v>master-v0.81</x:v>
      </x:c>
      <x:c r="AL799" s="87" t="str">
        <x:v>statgrad_master_base_v0_81_final(2).xlsx</x:v>
      </x:c>
      <x:c r="AM799" s="87" t="str">
        <x:v>HIST_Feb_V1</x:v>
      </x:c>
      <x:c r="AN799" s="87" t="n">
        <x:v>4</x:v>
      </x:c>
    </x:row>
    <x:row r="800">
      <x:c r="A800" s="87" t="n">
        <x:v>799</x:v>
      </x:c>
      <x:c r="B800" s="87" t="str">
        <x:v>FEB-HIS-V1-004</x:v>
      </x:c>
      <x:c r="C800" s="87" t="str">
        <x:v>СтатГрад</x:v>
      </x:c>
      <x:c r="D800" s="87" t="str">
        <x:v>Февраль 2026</x:v>
      </x:c>
      <x:c r="E800" s="87"/>
      <x:c r="F800" s="87"/>
      <x:c r="G800" s="87" t="str">
        <x:v>История</x:v>
      </x:c>
      <x:c r="H800" s="87" t="n">
        <x:v>11</x:v>
      </x:c>
      <x:c r="I800" s="87" t="str">
        <x:v>ТР №4</x:v>
      </x:c>
      <x:c r="J800" s="87" t="str">
        <x:v>ИС2510401</x:v>
      </x:c>
      <x:c r="K800" s="87" t="n">
        <x:v>4</x:v>
      </x:c>
      <x:c r="L800" s="87" t="str">
        <x:v>Заполнение таблицы</x:v>
      </x:c>
      <x:c r="M800" s="30" t="str">
        <x:v>Заполните пропуски: Итиль, события 960-х и 1720-х гг., встреча Юрия Долгорукого, Кашлык, поход Ермака.</x:v>
      </x:c>
      <x:c r="N800" s="30" t="str">
        <x:v>268473</x:v>
      </x:c>
      <x:c r="O800" s="30" t="str">
        <x:v>Итиль — столица Хазарии; 960-е — походы Святослава; встреча Юрия Долгорукого — 1147; 1720-е — петровские преобразования; Кашлык — столица Сибирского ханства; поход Ермака — 1580-е.</x:v>
      </x:c>
      <x:c r="P800" s="30" t="str">
        <x:v>Все шесть элементов проверены через согласованность дат, мест и деятелей.</x:v>
      </x:c>
      <x:c r="Q800" s="30"/>
      <x:c r="R800" s="30" t="str">
        <x:v>Открытая копия ключа: 268473</x:v>
      </x:c>
      <x:c r="S800" s="30"/>
      <x:c r="T800" s="30"/>
      <x:c r="U800" s="30" t="str">
        <x:v>Расхождений нет.</x:v>
      </x:c>
      <x:c r="V800" s="87" t="str">
        <x:v>VERIFIED</x:v>
      </x:c>
      <x:c r="W800" s="87" t="str">
        <x:v>онлайн</x:v>
      </x:c>
      <x:c r="X800" s="87"/>
      <x:c r="Y800" s="87"/>
      <x:c r="Z800" s="87"/>
      <x:c r="AA800" s="87"/>
      <x:c r="AB800" s="87"/>
      <x:c r="AC800" s="87"/>
      <x:c r="AD800" s="87"/>
      <x:c r="AE800" s="87"/>
      <x:c r="AF800" s="87"/>
      <x:c r="AG800" s="87"/>
      <x:c r="AH800" s="87"/>
      <x:c r="AI800" s="30"/>
      <x:c r="AJ800" s="87" t="str">
        <x:v>master</x:v>
      </x:c>
      <x:c r="AK800" s="87" t="str">
        <x:v>master-v0.81</x:v>
      </x:c>
      <x:c r="AL800" s="87" t="str">
        <x:v>statgrad_master_base_v0_81_final(2).xlsx</x:v>
      </x:c>
      <x:c r="AM800" s="87" t="str">
        <x:v>HIST_Feb_V1</x:v>
      </x:c>
      <x:c r="AN800" s="87" t="n">
        <x:v>5</x:v>
      </x:c>
    </x:row>
    <x:row r="801">
      <x:c r="A801" s="87" t="n">
        <x:v>800</x:v>
      </x:c>
      <x:c r="B801" s="87" t="str">
        <x:v>FEB-HIS-V1-005</x:v>
      </x:c>
      <x:c r="C801" s="87" t="str">
        <x:v>СтатГрад</x:v>
      </x:c>
      <x:c r="D801" s="87" t="str">
        <x:v>Февраль 2026</x:v>
      </x:c>
      <x:c r="E801" s="87"/>
      <x:c r="F801" s="87"/>
      <x:c r="G801" s="87" t="str">
        <x:v>История</x:v>
      </x:c>
      <x:c r="H801" s="87" t="n">
        <x:v>11</x:v>
      </x:c>
      <x:c r="I801" s="87" t="str">
        <x:v>ТР №4</x:v>
      </x:c>
      <x:c r="J801" s="87" t="str">
        <x:v>ИС2510401</x:v>
      </x:c>
      <x:c r="K801" s="87" t="n">
        <x:v>5</x:v>
      </x:c>
      <x:c r="L801" s="87" t="str">
        <x:v>События и участники</x:v>
      </x:c>
      <x:c r="M801" s="30" t="str">
        <x:v>Соотнесите битву за Москву, Конституцию РФ 1993 г., Негласный комитет и Андрусовское перемирие с участниками.</x:v>
      </x:c>
      <x:c r="N801" s="30" t="str">
        <x:v>6314</x:v>
      </x:c>
      <x:c r="O801" s="30" t="str">
        <x:v>Битва за Москву — И. В. Панфилов; Конституция 1993 г. — Б. Н. Ельцин; Негласный комитет — П. А. Строганов; перемирие — А. Л. Ордин-Нащокин.</x:v>
      </x:c>
      <x:c r="P801" s="30" t="str">
        <x:v>Участники проверены по должностям и роли в соответствующих событиях.</x:v>
      </x:c>
      <x:c r="Q801" s="30"/>
      <x:c r="R801" s="30" t="str">
        <x:v>Открытая копия ключа: 6314</x:v>
      </x:c>
      <x:c r="S801" s="30"/>
      <x:c r="T801" s="30"/>
      <x:c r="U801" s="30" t="str">
        <x:v>Расхождений нет.</x:v>
      </x:c>
      <x:c r="V801" s="87" t="str">
        <x:v>VERIFIED</x:v>
      </x:c>
      <x:c r="W801" s="87" t="str">
        <x:v>онлайн</x:v>
      </x:c>
      <x:c r="X801" s="87"/>
      <x:c r="Y801" s="87"/>
      <x:c r="Z801" s="87"/>
      <x:c r="AA801" s="87"/>
      <x:c r="AB801" s="87"/>
      <x:c r="AC801" s="87"/>
      <x:c r="AD801" s="87"/>
      <x:c r="AE801" s="87"/>
      <x:c r="AF801" s="87"/>
      <x:c r="AG801" s="87"/>
      <x:c r="AH801" s="87"/>
      <x:c r="AI801" s="30"/>
      <x:c r="AJ801" s="87" t="str">
        <x:v>master</x:v>
      </x:c>
      <x:c r="AK801" s="87" t="str">
        <x:v>master-v0.81</x:v>
      </x:c>
      <x:c r="AL801" s="87" t="str">
        <x:v>statgrad_master_base_v0_81_final(2).xlsx</x:v>
      </x:c>
      <x:c r="AM801" s="87" t="str">
        <x:v>HIST_Feb_V1</x:v>
      </x:c>
      <x:c r="AN801" s="87" t="n">
        <x:v>6</x:v>
      </x:c>
    </x:row>
    <x:row r="802">
      <x:c r="A802" s="87" t="n">
        <x:v>801</x:v>
      </x:c>
      <x:c r="B802" s="87" t="str">
        <x:v>FEB-HIS-V1-006</x:v>
      </x:c>
      <x:c r="C802" s="87" t="str">
        <x:v>СтатГрад</x:v>
      </x:c>
      <x:c r="D802" s="87" t="str">
        <x:v>Февраль 2026</x:v>
      </x:c>
      <x:c r="E802" s="87"/>
      <x:c r="F802" s="87"/>
      <x:c r="G802" s="87" t="str">
        <x:v>История</x:v>
      </x:c>
      <x:c r="H802" s="87" t="n">
        <x:v>11</x:v>
      </x:c>
      <x:c r="I802" s="87" t="str">
        <x:v>ТР №4</x:v>
      </x:c>
      <x:c r="J802" s="87" t="str">
        <x:v>ИС2510401</x:v>
      </x:c>
      <x:c r="K802" s="87" t="n">
        <x:v>6</x:v>
      </x:c>
      <x:c r="L802" s="87" t="str">
        <x:v>Анализ исторического источника</x:v>
      </x:c>
      <x:c r="M802" s="30" t="str">
        <x:v>По фрагменту о выступлении генерала и политическом кризисе выберите верные суждения.</x:v>
      </x:c>
      <x:c r="N802" s="30" t="str">
        <x:v>345</x:v>
      </x:c>
      <x:c r="O802" s="30" t="str">
        <x:v>Источник относится к Корниловскому выступлению 1917 г.; кризис разворачивался при Временном правительстве и усилил позиции большевиков.</x:v>
      </x:c>
      <x:c r="P802" s="30" t="str">
        <x:v>Хронология и факты текста подтверждают варианты 3, 4 и 5.</x:v>
      </x:c>
      <x:c r="Q802" s="30"/>
      <x:c r="R802" s="30" t="str">
        <x:v>Открытая копия ключа: 345</x:v>
      </x:c>
      <x:c r="S802" s="30"/>
      <x:c r="T802" s="30"/>
      <x:c r="U802" s="30" t="str">
        <x:v>Расхождений нет.</x:v>
      </x:c>
      <x:c r="V802" s="87" t="str">
        <x:v>VERIFIED</x:v>
      </x:c>
      <x:c r="W802" s="87" t="str">
        <x:v>онлайн</x:v>
      </x:c>
      <x:c r="X802" s="87"/>
      <x:c r="Y802" s="87"/>
      <x:c r="Z802" s="87"/>
      <x:c r="AA802" s="87"/>
      <x:c r="AB802" s="87"/>
      <x:c r="AC802" s="87"/>
      <x:c r="AD802" s="87"/>
      <x:c r="AE802" s="87"/>
      <x:c r="AF802" s="87"/>
      <x:c r="AG802" s="87"/>
      <x:c r="AH802" s="87"/>
      <x:c r="AI802" s="30"/>
      <x:c r="AJ802" s="87" t="str">
        <x:v>master</x:v>
      </x:c>
      <x:c r="AK802" s="87" t="str">
        <x:v>master-v0.81</x:v>
      </x:c>
      <x:c r="AL802" s="87" t="str">
        <x:v>statgrad_master_base_v0_81_final(2).xlsx</x:v>
      </x:c>
      <x:c r="AM802" s="87" t="str">
        <x:v>HIST_Feb_V1</x:v>
      </x:c>
      <x:c r="AN802" s="87" t="n">
        <x:v>7</x:v>
      </x:c>
    </x:row>
    <x:row r="803">
      <x:c r="A803" s="87" t="n">
        <x:v>802</x:v>
      </x:c>
      <x:c r="B803" s="87" t="str">
        <x:v>FEB-HIS-V1-007</x:v>
      </x:c>
      <x:c r="C803" s="87" t="str">
        <x:v>СтатГрад</x:v>
      </x:c>
      <x:c r="D803" s="87" t="str">
        <x:v>Февраль 2026</x:v>
      </x:c>
      <x:c r="E803" s="87"/>
      <x:c r="F803" s="87"/>
      <x:c r="G803" s="87" t="str">
        <x:v>История</x:v>
      </x:c>
      <x:c r="H803" s="87" t="n">
        <x:v>11</x:v>
      </x:c>
      <x:c r="I803" s="87" t="str">
        <x:v>ТР №4</x:v>
      </x:c>
      <x:c r="J803" s="87" t="str">
        <x:v>ИС2510401</x:v>
      </x:c>
      <x:c r="K803" s="87" t="n">
        <x:v>7</x:v>
      </x:c>
      <x:c r="L803" s="87" t="str">
        <x:v>Культура</x:v>
      </x:c>
      <x:c r="M803" s="30" t="str">
        <x:v>Соотнесите «Степенную книгу», картину «Боярыня Морозова», фрески Феофана Грека и фильм «Покаяние» с характеристиками.</x:v>
      </x:c>
      <x:c r="N803" s="30" t="str">
        <x:v>5213</x:v>
      </x:c>
      <x:c r="O803" s="30" t="str">
        <x:v>«Степенная книга» — XVI в.; «Боярыня Морозова» — церковный раскол; фрески — Феофан Грек; «Покаяние» — 1980-е.</x:v>
      </x:c>
      <x:c r="P803" s="30" t="str">
        <x:v>Авторство, эпоха и тематическая связь каждого объекта проверены отдельно.</x:v>
      </x:c>
      <x:c r="Q803" s="30"/>
      <x:c r="R803" s="30" t="str">
        <x:v>Открытая копия ключа: 5213</x:v>
      </x:c>
      <x:c r="S803" s="30"/>
      <x:c r="T803" s="30"/>
      <x:c r="U803" s="30" t="str">
        <x:v>Расхождений нет.</x:v>
      </x:c>
      <x:c r="V803" s="87" t="str">
        <x:v>VERIFIED</x:v>
      </x:c>
      <x:c r="W803" s="87" t="str">
        <x:v>онлайн</x:v>
      </x:c>
      <x:c r="X803" s="87"/>
      <x:c r="Y803" s="87"/>
      <x:c r="Z803" s="87"/>
      <x:c r="AA803" s="87"/>
      <x:c r="AB803" s="87"/>
      <x:c r="AC803" s="87"/>
      <x:c r="AD803" s="87"/>
      <x:c r="AE803" s="87"/>
      <x:c r="AF803" s="87"/>
      <x:c r="AG803" s="87"/>
      <x:c r="AH803" s="87"/>
      <x:c r="AI803" s="30"/>
      <x:c r="AJ803" s="87" t="str">
        <x:v>master</x:v>
      </x:c>
      <x:c r="AK803" s="87" t="str">
        <x:v>master-v0.81</x:v>
      </x:c>
      <x:c r="AL803" s="87" t="str">
        <x:v>statgrad_master_base_v0_81_final(2).xlsx</x:v>
      </x:c>
      <x:c r="AM803" s="87" t="str">
        <x:v>HIST_Feb_V1</x:v>
      </x:c>
      <x:c r="AN803" s="87" t="n">
        <x:v>8</x:v>
      </x:c>
    </x:row>
    <x:row r="804">
      <x:c r="A804" s="87" t="n">
        <x:v>803</x:v>
      </x:c>
      <x:c r="B804" s="87" t="str">
        <x:v>FEB-HIS-V1-008</x:v>
      </x:c>
      <x:c r="C804" s="87" t="str">
        <x:v>СтатГрад</x:v>
      </x:c>
      <x:c r="D804" s="87" t="str">
        <x:v>Февраль 2026</x:v>
      </x:c>
      <x:c r="E804" s="87"/>
      <x:c r="F804" s="87"/>
      <x:c r="G804" s="87" t="str">
        <x:v>История</x:v>
      </x:c>
      <x:c r="H804" s="87" t="n">
        <x:v>11</x:v>
      </x:c>
      <x:c r="I804" s="87" t="str">
        <x:v>ТР №4</x:v>
      </x:c>
      <x:c r="J804" s="87" t="str">
        <x:v>ИС2510401</x:v>
      </x:c>
      <x:c r="K804" s="87" t="n">
        <x:v>8</x:v>
      </x:c>
      <x:c r="L804" s="87" t="str">
        <x:v>Работа с изображением</x:v>
      </x:c>
      <x:c r="M804" s="30" t="str">
        <x:v>Назовите словами год события, которому посвящена памятная монета.</x:v>
      </x:c>
      <x:c r="N804" s="30" t="str">
        <x:v>сорок четвёртом</x:v>
      </x:c>
      <x:c r="O804" s="30" t="str">
        <x:v>Событие относится к 1944 г.; в бланке требуется словесная форма года.</x:v>
      </x:c>
      <x:c r="P804" s="30" t="str">
        <x:v>Сюжет и датировка монеты сопоставлены с хронологией Великой Отечественной войны.</x:v>
      </x:c>
      <x:c r="Q804" s="30"/>
      <x:c r="R804" s="30" t="str">
        <x:v>Открытая копия ключа: сорокчетвёртом</x:v>
      </x:c>
      <x:c r="S804" s="30"/>
      <x:c r="T804" s="30"/>
      <x:c r="U804" s="30" t="str">
        <x:v>Раздельное написание дано по норме; слитная запись допустима в формате бланка.</x:v>
      </x:c>
      <x:c r="V804" s="87" t="str">
        <x:v>VERIFIED</x:v>
      </x:c>
      <x:c r="W804" s="87" t="str">
        <x:v>онлайн</x:v>
      </x:c>
      <x:c r="X804" s="87"/>
      <x:c r="Y804" s="87"/>
      <x:c r="Z804" s="87"/>
      <x:c r="AA804" s="87"/>
      <x:c r="AB804" s="87"/>
      <x:c r="AC804" s="87"/>
      <x:c r="AD804" s="87"/>
      <x:c r="AE804" s="87"/>
      <x:c r="AF804" s="87"/>
      <x:c r="AG804" s="87"/>
      <x:c r="AH804" s="87"/>
      <x:c r="AI804" s="30"/>
      <x:c r="AJ804" s="87" t="str">
        <x:v>master</x:v>
      </x:c>
      <x:c r="AK804" s="87" t="str">
        <x:v>master-v0.81</x:v>
      </x:c>
      <x:c r="AL804" s="87" t="str">
        <x:v>statgrad_master_base_v0_81_final(2).xlsx</x:v>
      </x:c>
      <x:c r="AM804" s="87" t="str">
        <x:v>HIST_Feb_V1</x:v>
      </x:c>
      <x:c r="AN804" s="87" t="n">
        <x:v>9</x:v>
      </x:c>
    </x:row>
    <x:row r="805">
      <x:c r="A805" s="87" t="n">
        <x:v>804</x:v>
      </x:c>
      <x:c r="B805" s="87" t="str">
        <x:v>FEB-HIS-V1-009</x:v>
      </x:c>
      <x:c r="C805" s="87" t="str">
        <x:v>СтатГрад</x:v>
      </x:c>
      <x:c r="D805" s="87" t="str">
        <x:v>Февраль 2026</x:v>
      </x:c>
      <x:c r="E805" s="87"/>
      <x:c r="F805" s="87"/>
      <x:c r="G805" s="87" t="str">
        <x:v>История</x:v>
      </x:c>
      <x:c r="H805" s="87" t="n">
        <x:v>11</x:v>
      </x:c>
      <x:c r="I805" s="87" t="str">
        <x:v>ТР №4</x:v>
      </x:c>
      <x:c r="J805" s="87" t="str">
        <x:v>ИС2510401</x:v>
      </x:c>
      <x:c r="K805" s="87" t="n">
        <x:v>9</x:v>
      </x:c>
      <x:c r="L805" s="87" t="str">
        <x:v>Историческая карта</x:v>
      </x:c>
      <x:c r="M805" s="30" t="str">
        <x:v>Назовите российского монарха, при котором происходила показанная на схеме русско-турецкая война.</x:v>
      </x:c>
      <x:c r="N805" s="30" t="str">
        <x:v>Екатерина Вторая</x:v>
      </x:c>
      <x:c r="O805" s="30" t="str">
        <x:v>Схема относится к войне 1768–1774 гг.; российским монархом была Екатерина II.</x:v>
      </x:c>
      <x:c r="P805" s="30" t="str">
        <x:v>Направления походов и ключевые пункты карты сопоставлены с войной 1768–1774 гг.</x:v>
      </x:c>
      <x:c r="Q805" s="30"/>
      <x:c r="R805" s="30" t="str">
        <x:v>Открытая копия ключа: Екатерина Вторая / Екатерина Великая</x:v>
      </x:c>
      <x:c r="S805" s="30"/>
      <x:c r="T805" s="30"/>
      <x:c r="U805" s="30" t="str">
        <x:v>Расхождений нет.</x:v>
      </x:c>
      <x:c r="V805" s="87" t="str">
        <x:v>VERIFIED</x:v>
      </x:c>
      <x:c r="W805" s="87" t="str">
        <x:v>онлайн</x:v>
      </x:c>
      <x:c r="X805" s="87"/>
      <x:c r="Y805" s="87"/>
      <x:c r="Z805" s="87"/>
      <x:c r="AA805" s="87"/>
      <x:c r="AB805" s="87"/>
      <x:c r="AC805" s="87"/>
      <x:c r="AD805" s="87"/>
      <x:c r="AE805" s="87"/>
      <x:c r="AF805" s="87"/>
      <x:c r="AG805" s="87"/>
      <x:c r="AH805" s="87"/>
      <x:c r="AI805" s="30"/>
      <x:c r="AJ805" s="87" t="str">
        <x:v>master</x:v>
      </x:c>
      <x:c r="AK805" s="87" t="str">
        <x:v>master-v0.81</x:v>
      </x:c>
      <x:c r="AL805" s="87" t="str">
        <x:v>statgrad_master_base_v0_81_final(2).xlsx</x:v>
      </x:c>
      <x:c r="AM805" s="87" t="str">
        <x:v>HIST_Feb_V1</x:v>
      </x:c>
      <x:c r="AN805" s="87" t="n">
        <x:v>10</x:v>
      </x:c>
    </x:row>
    <x:row r="806">
      <x:c r="A806" s="87" t="n">
        <x:v>805</x:v>
      </x:c>
      <x:c r="B806" s="87" t="str">
        <x:v>FEB-HIS-V1-010</x:v>
      </x:c>
      <x:c r="C806" s="87" t="str">
        <x:v>СтатГрад</x:v>
      </x:c>
      <x:c r="D806" s="87" t="str">
        <x:v>Февраль 2026</x:v>
      </x:c>
      <x:c r="E806" s="87"/>
      <x:c r="F806" s="87"/>
      <x:c r="G806" s="87" t="str">
        <x:v>История</x:v>
      </x:c>
      <x:c r="H806" s="87" t="n">
        <x:v>11</x:v>
      </x:c>
      <x:c r="I806" s="87" t="str">
        <x:v>ТР №4</x:v>
      </x:c>
      <x:c r="J806" s="87" t="str">
        <x:v>ИС2510401</x:v>
      </x:c>
      <x:c r="K806" s="87" t="n">
        <x:v>10</x:v>
      </x:c>
      <x:c r="L806" s="87" t="str">
        <x:v>Историческая карта</x:v>
      </x:c>
      <x:c r="M806" s="30" t="str">
        <x:v>Назовите реку, обозначенную на схеме цифрой.</x:v>
      </x:c>
      <x:c r="N806" s="30" t="str">
        <x:v>Днепр</x:v>
      </x:c>
      <x:c r="O806" s="30" t="str">
        <x:v>По взаимному расположению направлений походов и населённых пунктов обозначен Днепр.</x:v>
      </x:c>
      <x:c r="P806" s="30" t="str">
        <x:v>География театра войны проверена по расположению рек и городов.</x:v>
      </x:c>
      <x:c r="Q806" s="30"/>
      <x:c r="R806" s="30" t="str">
        <x:v>Открытая копия ключа: Днепр</x:v>
      </x:c>
      <x:c r="S806" s="30"/>
      <x:c r="T806" s="30"/>
      <x:c r="U806" s="30" t="str">
        <x:v>Расхождений нет.</x:v>
      </x:c>
      <x:c r="V806" s="87" t="str">
        <x:v>VERIFIED</x:v>
      </x:c>
      <x:c r="W806" s="87" t="str">
        <x:v>онлайн</x:v>
      </x:c>
      <x:c r="X806" s="87"/>
      <x:c r="Y806" s="87"/>
      <x:c r="Z806" s="87"/>
      <x:c r="AA806" s="87"/>
      <x:c r="AB806" s="87"/>
      <x:c r="AC806" s="87"/>
      <x:c r="AD806" s="87"/>
      <x:c r="AE806" s="87"/>
      <x:c r="AF806" s="87"/>
      <x:c r="AG806" s="87"/>
      <x:c r="AH806" s="87"/>
      <x:c r="AI806" s="30"/>
      <x:c r="AJ806" s="87" t="str">
        <x:v>master</x:v>
      </x:c>
      <x:c r="AK806" s="87" t="str">
        <x:v>master-v0.81</x:v>
      </x:c>
      <x:c r="AL806" s="87" t="str">
        <x:v>statgrad_master_base_v0_81_final(2).xlsx</x:v>
      </x:c>
      <x:c r="AM806" s="87" t="str">
        <x:v>HIST_Feb_V1</x:v>
      </x:c>
      <x:c r="AN806" s="87" t="n">
        <x:v>11</x:v>
      </x:c>
    </x:row>
    <x:row r="807">
      <x:c r="A807" s="87" t="n">
        <x:v>806</x:v>
      </x:c>
      <x:c r="B807" s="87" t="str">
        <x:v>FEB-HIS-V1-011</x:v>
      </x:c>
      <x:c r="C807" s="87" t="str">
        <x:v>СтатГрад</x:v>
      </x:c>
      <x:c r="D807" s="87" t="str">
        <x:v>Февраль 2026</x:v>
      </x:c>
      <x:c r="E807" s="87"/>
      <x:c r="F807" s="87"/>
      <x:c r="G807" s="87" t="str">
        <x:v>История</x:v>
      </x:c>
      <x:c r="H807" s="87" t="n">
        <x:v>11</x:v>
      </x:c>
      <x:c r="I807" s="87" t="str">
        <x:v>ТР №4</x:v>
      </x:c>
      <x:c r="J807" s="87" t="str">
        <x:v>ИС2510401</x:v>
      </x:c>
      <x:c r="K807" s="87" t="n">
        <x:v>11</x:v>
      </x:c>
      <x:c r="L807" s="87" t="str">
        <x:v>Историческая карта</x:v>
      </x:c>
      <x:c r="M807" s="30" t="str">
        <x:v>Назовите город, обозначенный на схеме цифрой.</x:v>
      </x:c>
      <x:c r="N807" s="30" t="str">
        <x:v>Базарджик</x:v>
      </x:c>
      <x:c r="O807" s="30" t="str">
        <x:v>Обозначенный пункт — Базарджик, связанный с действиями русской армии на Балканах.</x:v>
      </x:c>
      <x:c r="P807" s="30" t="str">
        <x:v>Положение города проверено относительно Дуная, побережья и направлений походов.</x:v>
      </x:c>
      <x:c r="Q807" s="30"/>
      <x:c r="R807" s="30" t="str">
        <x:v>Открытая копия ключа: Базарджик</x:v>
      </x:c>
      <x:c r="S807" s="30"/>
      <x:c r="T807" s="30"/>
      <x:c r="U807" s="30" t="str">
        <x:v>Расхождений нет.</x:v>
      </x:c>
      <x:c r="V807" s="87" t="str">
        <x:v>VERIFIED</x:v>
      </x:c>
      <x:c r="W807" s="87" t="str">
        <x:v>онлайн</x:v>
      </x:c>
      <x:c r="X807" s="87"/>
      <x:c r="Y807" s="87"/>
      <x:c r="Z807" s="87"/>
      <x:c r="AA807" s="87"/>
      <x:c r="AB807" s="87"/>
      <x:c r="AC807" s="87"/>
      <x:c r="AD807" s="87"/>
      <x:c r="AE807" s="87"/>
      <x:c r="AF807" s="87"/>
      <x:c r="AG807" s="87"/>
      <x:c r="AH807" s="87"/>
      <x:c r="AI807" s="30"/>
      <x:c r="AJ807" s="87" t="str">
        <x:v>master</x:v>
      </x:c>
      <x:c r="AK807" s="87" t="str">
        <x:v>master-v0.81</x:v>
      </x:c>
      <x:c r="AL807" s="87" t="str">
        <x:v>statgrad_master_base_v0_81_final(2).xlsx</x:v>
      </x:c>
      <x:c r="AM807" s="87" t="str">
        <x:v>HIST_Feb_V1</x:v>
      </x:c>
      <x:c r="AN807" s="87" t="n">
        <x:v>12</x:v>
      </x:c>
    </x:row>
    <x:row r="808">
      <x:c r="A808" s="87" t="n">
        <x:v>807</x:v>
      </x:c>
      <x:c r="B808" s="87" t="str">
        <x:v>FEB-HIS-V1-012</x:v>
      </x:c>
      <x:c r="C808" s="87" t="str">
        <x:v>СтатГрад</x:v>
      </x:c>
      <x:c r="D808" s="87" t="str">
        <x:v>Февраль 2026</x:v>
      </x:c>
      <x:c r="E808" s="87"/>
      <x:c r="F808" s="87"/>
      <x:c r="G808" s="87" t="str">
        <x:v>История</x:v>
      </x:c>
      <x:c r="H808" s="87" t="n">
        <x:v>11</x:v>
      </x:c>
      <x:c r="I808" s="87" t="str">
        <x:v>ТР №4</x:v>
      </x:c>
      <x:c r="J808" s="87" t="str">
        <x:v>ИС2510401</x:v>
      </x:c>
      <x:c r="K808" s="87" t="n">
        <x:v>12</x:v>
      </x:c>
      <x:c r="L808" s="87" t="str">
        <x:v>Историческая карта: суждения</x:v>
      </x:c>
      <x:c r="M808" s="30" t="str">
        <x:v>Выберите верные суждения о показанной русско-турецкой войне и обозначенных объектах.</x:v>
      </x:c>
      <x:c r="N808" s="30" t="str">
        <x:v>145</x:v>
      </x:c>
      <x:c r="O808" s="30" t="str">
        <x:v>Верны утверждения, соответствующие войне 1768–1774 гг., её итогам и географии схемы.</x:v>
      </x:c>
      <x:c r="P808" s="30" t="str">
        <x:v>Каждое суждение проверено по датам, участникам, итогам войны и карте; верны 1, 4 и 5.</x:v>
      </x:c>
      <x:c r="Q808" s="30"/>
      <x:c r="R808" s="30" t="str">
        <x:v>Открытая копия ключа: 145</x:v>
      </x:c>
      <x:c r="S808" s="30"/>
      <x:c r="T808" s="30"/>
      <x:c r="U808" s="30" t="str">
        <x:v>Расхождений нет.</x:v>
      </x:c>
      <x:c r="V808" s="87" t="str">
        <x:v>VERIFIED</x:v>
      </x:c>
      <x:c r="W808" s="87" t="str">
        <x:v>онлайн</x:v>
      </x:c>
      <x:c r="X808" s="87"/>
      <x:c r="Y808" s="87"/>
      <x:c r="Z808" s="87"/>
      <x:c r="AA808" s="87"/>
      <x:c r="AB808" s="87"/>
      <x:c r="AC808" s="87"/>
      <x:c r="AD808" s="87"/>
      <x:c r="AE808" s="87"/>
      <x:c r="AF808" s="87"/>
      <x:c r="AG808" s="87"/>
      <x:c r="AH808" s="87"/>
      <x:c r="AI808" s="30"/>
      <x:c r="AJ808" s="87" t="str">
        <x:v>master</x:v>
      </x:c>
      <x:c r="AK808" s="87" t="str">
        <x:v>master-v0.81</x:v>
      </x:c>
      <x:c r="AL808" s="87" t="str">
        <x:v>statgrad_master_base_v0_81_final(2).xlsx</x:v>
      </x:c>
      <x:c r="AM808" s="87" t="str">
        <x:v>HIST_Feb_V1</x:v>
      </x:c>
      <x:c r="AN808" s="87" t="n">
        <x:v>13</x:v>
      </x:c>
    </x:row>
    <x:row r="809">
      <x:c r="A809" s="87" t="n">
        <x:v>808</x:v>
      </x:c>
      <x:c r="B809" s="87" t="str">
        <x:v>FEB-HIS-V1-013</x:v>
      </x:c>
      <x:c r="C809" s="87" t="str">
        <x:v>СтатГрад</x:v>
      </x:c>
      <x:c r="D809" s="87" t="str">
        <x:v>Февраль 2026</x:v>
      </x:c>
      <x:c r="E809" s="87"/>
      <x:c r="F809" s="87"/>
      <x:c r="G809" s="87" t="str">
        <x:v>История</x:v>
      </x:c>
      <x:c r="H809" s="87" t="n">
        <x:v>11</x:v>
      </x:c>
      <x:c r="I809" s="87" t="str">
        <x:v>ТР №4</x:v>
      </x:c>
      <x:c r="J809" s="87" t="str">
        <x:v>ИС2510401</x:v>
      </x:c>
      <x:c r="K809" s="87" t="n">
        <x:v>13</x:v>
      </x:c>
      <x:c r="L809" s="87" t="str">
        <x:v>Развёрнутый ответ: источник</x:v>
      </x:c>
      <x:c r="M809" s="30" t="str">
        <x:v>Назовите предводителя восстания, государя и принятое название века, о котором идёт речь.</x:v>
      </x:c>
      <x:c r="N809" s="30" t="str">
        <x:v>Степан Разин; Алексей Михайлович; XVII век — «бунташный век».</x:v>
      </x:c>
      <x:c r="O809" s="30" t="str">
        <x:v>Описание похода от Царицына к Астрахани относится к движению Степана Разина при Алексее Михайловиче.</x:v>
      </x:c>
      <x:c r="P809" s="30" t="str">
        <x:v>Все три элемента проверены по событиям 1670–1671 гг. и характеристике XVII века.</x:v>
      </x:c>
      <x:c r="Q809" s="30"/>
      <x:c r="R809" s="30" t="str">
        <x:v>Критерий: 2 балла за три элемента; 1 балл за любые два.</x:v>
      </x:c>
      <x:c r="S809" s="30"/>
      <x:c r="T809" s="30"/>
      <x:c r="U809" s="30" t="str">
        <x:v>Расхождений нет.</x:v>
      </x:c>
      <x:c r="V809" s="87" t="str">
        <x:v>VERIFIED</x:v>
      </x:c>
      <x:c r="W809" s="87" t="str">
        <x:v>онлайн</x:v>
      </x:c>
      <x:c r="X809" s="87"/>
      <x:c r="Y809" s="87"/>
      <x:c r="Z809" s="87"/>
      <x:c r="AA809" s="87"/>
      <x:c r="AB809" s="87"/>
      <x:c r="AC809" s="87"/>
      <x:c r="AD809" s="87"/>
      <x:c r="AE809" s="87"/>
      <x:c r="AF809" s="87"/>
      <x:c r="AG809" s="87"/>
      <x:c r="AH809" s="87"/>
      <x:c r="AI809" s="30"/>
      <x:c r="AJ809" s="87" t="str">
        <x:v>master</x:v>
      </x:c>
      <x:c r="AK809" s="87" t="str">
        <x:v>master-v0.81</x:v>
      </x:c>
      <x:c r="AL809" s="87" t="str">
        <x:v>statgrad_master_base_v0_81_final(2).xlsx</x:v>
      </x:c>
      <x:c r="AM809" s="87" t="str">
        <x:v>HIST_Feb_V1</x:v>
      </x:c>
      <x:c r="AN809" s="87" t="n">
        <x:v>14</x:v>
      </x:c>
    </x:row>
    <x:row r="810">
      <x:c r="A810" s="87" t="n">
        <x:v>809</x:v>
      </x:c>
      <x:c r="B810" s="87" t="str">
        <x:v>FEB-HIS-V1-014</x:v>
      </x:c>
      <x:c r="C810" s="87" t="str">
        <x:v>СтатГрад</x:v>
      </x:c>
      <x:c r="D810" s="87" t="str">
        <x:v>Февраль 2026</x:v>
      </x:c>
      <x:c r="E810" s="87"/>
      <x:c r="F810" s="87"/>
      <x:c r="G810" s="87" t="str">
        <x:v>История</x:v>
      </x:c>
      <x:c r="H810" s="87" t="n">
        <x:v>11</x:v>
      </x:c>
      <x:c r="I810" s="87" t="str">
        <x:v>ТР №4</x:v>
      </x:c>
      <x:c r="J810" s="87" t="str">
        <x:v>ИС2510401</x:v>
      </x:c>
      <x:c r="K810" s="87" t="n">
        <x:v>14</x:v>
      </x:c>
      <x:c r="L810" s="87" t="str">
        <x:v>Развёрнутый ответ: источник</x:v>
      </x:c>
      <x:c r="M810" s="30" t="str">
        <x:v>Укажите меру предосторожности, участь служилых людей и помощь восставшим.</x:v>
      </x:c>
      <x:c r="N810" s="30" t="str">
        <x:v>Запрещали кому-либо плыть впереди войска; шедшие степью служилые люди погибали от голода или попадали к татарам и калмыкам; жители Астрахани помогли восставшим подняться на стену.</x:v>
      </x:c>
      <x:c r="O810" s="30" t="str">
        <x:v>Ответ содержит по одному точному смысловому элементу на каждый пункт.</x:v>
      </x:c>
      <x:c r="P810" s="30" t="str">
        <x:v>Формулировки сопоставлены с текстом источника без добавления внешних причин.</x:v>
      </x:c>
      <x:c r="Q810" s="30"/>
      <x:c r="R810" s="30" t="str">
        <x:v>Критерий: 2 балла за три положения; 1 балл за любые два.</x:v>
      </x:c>
      <x:c r="S810" s="30"/>
      <x:c r="T810" s="30"/>
      <x:c r="U810" s="30" t="str">
        <x:v>Расхождений нет.</x:v>
      </x:c>
      <x:c r="V810" s="87" t="str">
        <x:v>VERIFIED</x:v>
      </x:c>
      <x:c r="W810" s="87" t="str">
        <x:v>онлайн</x:v>
      </x:c>
      <x:c r="X810" s="87"/>
      <x:c r="Y810" s="87"/>
      <x:c r="Z810" s="87"/>
      <x:c r="AA810" s="87"/>
      <x:c r="AB810" s="87"/>
      <x:c r="AC810" s="87"/>
      <x:c r="AD810" s="87"/>
      <x:c r="AE810" s="87"/>
      <x:c r="AF810" s="87"/>
      <x:c r="AG810" s="87"/>
      <x:c r="AH810" s="87"/>
      <x:c r="AI810" s="30"/>
      <x:c r="AJ810" s="87" t="str">
        <x:v>master</x:v>
      </x:c>
      <x:c r="AK810" s="87" t="str">
        <x:v>master-v0.81</x:v>
      </x:c>
      <x:c r="AL810" s="87" t="str">
        <x:v>statgrad_master_base_v0_81_final(2).xlsx</x:v>
      </x:c>
      <x:c r="AM810" s="87" t="str">
        <x:v>HIST_Feb_V1</x:v>
      </x:c>
      <x:c r="AN810" s="87" t="n">
        <x:v>15</x:v>
      </x:c>
    </x:row>
    <x:row r="811">
      <x:c r="A811" s="87" t="n">
        <x:v>810</x:v>
      </x:c>
      <x:c r="B811" s="87" t="str">
        <x:v>FEB-HIS-V1-015</x:v>
      </x:c>
      <x:c r="C811" s="87" t="str">
        <x:v>СтатГрад</x:v>
      </x:c>
      <x:c r="D811" s="87" t="str">
        <x:v>Февраль 2026</x:v>
      </x:c>
      <x:c r="E811" s="87"/>
      <x:c r="F811" s="87"/>
      <x:c r="G811" s="87" t="str">
        <x:v>История</x:v>
      </x:c>
      <x:c r="H811" s="87" t="n">
        <x:v>11</x:v>
      </x:c>
      <x:c r="I811" s="87" t="str">
        <x:v>ТР №4</x:v>
      </x:c>
      <x:c r="J811" s="87" t="str">
        <x:v>ИС2510401</x:v>
      </x:c>
      <x:c r="K811" s="87" t="n">
        <x:v>15</x:v>
      </x:c>
      <x:c r="L811" s="87" t="str">
        <x:v>Развёрнутый ответ: изображение</x:v>
      </x:c>
      <x:c r="M811" s="30" t="str">
        <x:v>Назовите руководителя СССР в год выпуска календаря и обоснуйте ответ расчётом по юбилейной дате.</x:v>
      </x:c>
      <x:c r="N811" s="30" t="str">
        <x:v>Н. С. Хрущёв. Календарь 1959 г. посвящён пятилетию пуска первой АЭС: 1954 + 5 = 1959.</x:v>
      </x:c>
      <x:c r="O811" s="30" t="str">
        <x:v>Год выпуска вычислен по юбилейной надписи и сопоставлен с руководством СССР.</x:v>
      </x:c>
      <x:c r="P811" s="30" t="str">
        <x:v>Проверены дата пуска Обнинской АЭС и политическая хронология.</x:v>
      </x:c>
      <x:c r="Q811" s="30"/>
      <x:c r="R811" s="30" t="str">
        <x:v>Критерий: 2 балла за руководителя и обоснование; 1 балл только за руководителя.</x:v>
      </x:c>
      <x:c r="S811" s="30"/>
      <x:c r="T811" s="30"/>
      <x:c r="U811" s="30" t="str">
        <x:v>Расхождений нет.</x:v>
      </x:c>
      <x:c r="V811" s="87" t="str">
        <x:v>VERIFIED</x:v>
      </x:c>
      <x:c r="W811" s="87" t="str">
        <x:v>онлайн</x:v>
      </x:c>
      <x:c r="X811" s="87"/>
      <x:c r="Y811" s="87"/>
      <x:c r="Z811" s="87"/>
      <x:c r="AA811" s="87"/>
      <x:c r="AB811" s="87"/>
      <x:c r="AC811" s="87"/>
      <x:c r="AD811" s="87"/>
      <x:c r="AE811" s="87"/>
      <x:c r="AF811" s="87"/>
      <x:c r="AG811" s="87"/>
      <x:c r="AH811" s="87"/>
      <x:c r="AI811" s="30"/>
      <x:c r="AJ811" s="87" t="str">
        <x:v>master</x:v>
      </x:c>
      <x:c r="AK811" s="87" t="str">
        <x:v>master-v0.81</x:v>
      </x:c>
      <x:c r="AL811" s="87" t="str">
        <x:v>statgrad_master_base_v0_81_final(2).xlsx</x:v>
      </x:c>
      <x:c r="AM811" s="87" t="str">
        <x:v>HIST_Feb_V1</x:v>
      </x:c>
      <x:c r="AN811" s="87" t="n">
        <x:v>16</x:v>
      </x:c>
    </x:row>
    <x:row r="812">
      <x:c r="A812" s="87" t="n">
        <x:v>811</x:v>
      </x:c>
      <x:c r="B812" s="87" t="str">
        <x:v>FEB-HIS-V1-016</x:v>
      </x:c>
      <x:c r="C812" s="87" t="str">
        <x:v>СтатГрад</x:v>
      </x:c>
      <x:c r="D812" s="87" t="str">
        <x:v>Февраль 2026</x:v>
      </x:c>
      <x:c r="E812" s="87"/>
      <x:c r="F812" s="87"/>
      <x:c r="G812" s="87" t="str">
        <x:v>История</x:v>
      </x:c>
      <x:c r="H812" s="87" t="n">
        <x:v>11</x:v>
      </x:c>
      <x:c r="I812" s="87" t="str">
        <x:v>ТР №4</x:v>
      </x:c>
      <x:c r="J812" s="87" t="str">
        <x:v>ИС2510401</x:v>
      </x:c>
      <x:c r="K812" s="87" t="n">
        <x:v>16</x:v>
      </x:c>
      <x:c r="L812" s="87" t="str">
        <x:v>Развёрнутый ответ: культура</x:v>
      </x:c>
      <x:c r="M812" s="30" t="str">
        <x:v>Выберите памятник, созданный тем же скульптором, что и объект на календаре, и назовите скульптора.</x:v>
      </x:c>
      <x:c r="N812" s="30" t="str">
        <x:v>Памятник 1; Е. В. Вучетич.</x:v>
      </x:c>
      <x:c r="O812" s="30" t="str">
        <x:v>Скульптурный объект связан с творчеством Евгения Вучетича; среди изображений соответствует № 1.</x:v>
      </x:c>
      <x:c r="P812" s="30" t="str">
        <x:v>Авторство проверено по биографии скульптора и атрибуции памятников.</x:v>
      </x:c>
      <x:c r="Q812" s="30"/>
      <x:c r="R812" s="30" t="str">
        <x:v>Критерий: 2 балла за номер и автора; 1 балл только за номер.</x:v>
      </x:c>
      <x:c r="S812" s="30"/>
      <x:c r="T812" s="30"/>
      <x:c r="U812" s="30" t="str">
        <x:v>Расхождений нет.</x:v>
      </x:c>
      <x:c r="V812" s="87" t="str">
        <x:v>VERIFIED</x:v>
      </x:c>
      <x:c r="W812" s="87" t="str">
        <x:v>онлайн</x:v>
      </x:c>
      <x:c r="X812" s="87"/>
      <x:c r="Y812" s="87"/>
      <x:c r="Z812" s="87"/>
      <x:c r="AA812" s="87"/>
      <x:c r="AB812" s="87"/>
      <x:c r="AC812" s="87"/>
      <x:c r="AD812" s="87"/>
      <x:c r="AE812" s="87"/>
      <x:c r="AF812" s="87"/>
      <x:c r="AG812" s="87"/>
      <x:c r="AH812" s="87"/>
      <x:c r="AI812" s="30"/>
      <x:c r="AJ812" s="87" t="str">
        <x:v>master</x:v>
      </x:c>
      <x:c r="AK812" s="87" t="str">
        <x:v>master-v0.81</x:v>
      </x:c>
      <x:c r="AL812" s="87" t="str">
        <x:v>statgrad_master_base_v0_81_final(2).xlsx</x:v>
      </x:c>
      <x:c r="AM812" s="87" t="str">
        <x:v>HIST_Feb_V1</x:v>
      </x:c>
      <x:c r="AN812" s="87" t="n">
        <x:v>17</x:v>
      </x:c>
    </x:row>
    <x:row r="813">
      <x:c r="A813" s="87" t="n">
        <x:v>812</x:v>
      </x:c>
      <x:c r="B813" s="87" t="str">
        <x:v>FEB-HIS-V1-017</x:v>
      </x:c>
      <x:c r="C813" s="87" t="str">
        <x:v>СтатГрад</x:v>
      </x:c>
      <x:c r="D813" s="87" t="str">
        <x:v>Февраль 2026</x:v>
      </x:c>
      <x:c r="E813" s="87"/>
      <x:c r="F813" s="87"/>
      <x:c r="G813" s="87" t="str">
        <x:v>История</x:v>
      </x:c>
      <x:c r="H813" s="87" t="n">
        <x:v>11</x:v>
      </x:c>
      <x:c r="I813" s="87" t="str">
        <x:v>ТР №4</x:v>
      </x:c>
      <x:c r="J813" s="87" t="str">
        <x:v>ИС2510401</x:v>
      </x:c>
      <x:c r="K813" s="87" t="n">
        <x:v>17</x:v>
      </x:c>
      <x:c r="L813" s="87" t="str">
        <x:v>Развёрнутый ответ: два источника</x:v>
      </x:c>
      <x:c r="M813" s="30" t="str">
        <x:v>Определите год, назовите один участвовавший фронт и укажите преимущество противника в начале событий.</x:v>
      </x:c>
      <x:c r="N813" s="30" t="str">
        <x:v>1943 г.; например, Центральный фронт; первоначально противник обладал господством в воздухе и непрерывно бомбил позиции.</x:v>
      </x:c>
      <x:c r="O813" s="30" t="str">
        <x:v>Контекст относится к Курской битве; допустимы также Воронежский, Брянский или Степной фронт.</x:v>
      </x:c>
      <x:c r="P813" s="30" t="str">
        <x:v>Год, фронт и воздушная обстановка проверены по хронологии Курской битвы.</x:v>
      </x:c>
      <x:c r="Q813" s="30"/>
      <x:c r="R813" s="30" t="str">
        <x:v>Критерий: до 3 баллов — по одному за каждый элемент.</x:v>
      </x:c>
      <x:c r="S813" s="30"/>
      <x:c r="T813" s="30"/>
      <x:c r="U813" s="30" t="str">
        <x:v>Приведён один допустимый фронт; возможны и другие из критерия.</x:v>
      </x:c>
      <x:c r="V813" s="87" t="str">
        <x:v>VERIFIED</x:v>
      </x:c>
      <x:c r="W813" s="87" t="str">
        <x:v>онлайн</x:v>
      </x:c>
      <x:c r="X813" s="87"/>
      <x:c r="Y813" s="87"/>
      <x:c r="Z813" s="87"/>
      <x:c r="AA813" s="87"/>
      <x:c r="AB813" s="87"/>
      <x:c r="AC813" s="87"/>
      <x:c r="AD813" s="87"/>
      <x:c r="AE813" s="87"/>
      <x:c r="AF813" s="87"/>
      <x:c r="AG813" s="87"/>
      <x:c r="AH813" s="87"/>
      <x:c r="AI813" s="30"/>
      <x:c r="AJ813" s="87" t="str">
        <x:v>master</x:v>
      </x:c>
      <x:c r="AK813" s="87" t="str">
        <x:v>master-v0.81</x:v>
      </x:c>
      <x:c r="AL813" s="87" t="str">
        <x:v>statgrad_master_base_v0_81_final(2).xlsx</x:v>
      </x:c>
      <x:c r="AM813" s="87" t="str">
        <x:v>HIST_Feb_V1</x:v>
      </x:c>
      <x:c r="AN813" s="87" t="n">
        <x:v>18</x:v>
      </x:c>
    </x:row>
    <x:row r="814">
      <x:c r="A814" s="87" t="n">
        <x:v>813</x:v>
      </x:c>
      <x:c r="B814" s="87" t="str">
        <x:v>FEB-HIS-V1-018</x:v>
      </x:c>
      <x:c r="C814" s="87" t="str">
        <x:v>СтатГрад</x:v>
      </x:c>
      <x:c r="D814" s="87" t="str">
        <x:v>Февраль 2026</x:v>
      </x:c>
      <x:c r="E814" s="87"/>
      <x:c r="F814" s="87"/>
      <x:c r="G814" s="87" t="str">
        <x:v>История</x:v>
      </x:c>
      <x:c r="H814" s="87" t="n">
        <x:v>11</x:v>
      </x:c>
      <x:c r="I814" s="87" t="str">
        <x:v>ТР №4</x:v>
      </x:c>
      <x:c r="J814" s="87" t="str">
        <x:v>ИС2510401</x:v>
      </x:c>
      <x:c r="K814" s="87" t="n">
        <x:v>18</x:v>
      </x:c>
      <x:c r="L814" s="87" t="str">
        <x:v>Развёрнутый ответ: причинно-следственные связи</x:v>
      </x:c>
      <x:c r="M814" s="30" t="str">
        <x:v>Назовите внутреннюю причину войны, внешнюю причину поражения и военную причину поражения России в русско-японской войне.</x:v>
      </x:c>
      <x:c r="N814" s="30" t="str">
        <x:v>Внутренняя: власть рассчитывала укрепить авторитет «маленькой победоносной войной». Внешняя: Японию поддерживали Великобритания и США. Военная: японский флот был современнее и манёвреннее, что проявилось при Цусиме.</x:v>
      </x:c>
      <x:c r="O814" s="30" t="str">
        <x:v>Каждый элемент отвечает отдельной требуемой категории и содержит конкретную историческую связь.</x:v>
      </x:c>
      <x:c r="P814" s="30" t="str">
        <x:v>Проверено, что причины не дублируют друг друга и относятся к русско-японской войне.</x:v>
      </x:c>
      <x:c r="Q814" s="30"/>
      <x:c r="R814" s="30" t="str">
        <x:v>Критерий: до 3 баллов — по одному за каждый корректный элемент.</x:v>
      </x:c>
      <x:c r="S814" s="30"/>
      <x:c r="T814" s="30"/>
      <x:c r="U814" s="30" t="str">
        <x:v>Формулировки конкретизированы, общие фразы не использованы.</x:v>
      </x:c>
      <x:c r="V814" s="87" t="str">
        <x:v>VERIFIED</x:v>
      </x:c>
      <x:c r="W814" s="87" t="str">
        <x:v>онлайн</x:v>
      </x:c>
      <x:c r="X814" s="87"/>
      <x:c r="Y814" s="87"/>
      <x:c r="Z814" s="87"/>
      <x:c r="AA814" s="87"/>
      <x:c r="AB814" s="87"/>
      <x:c r="AC814" s="87"/>
      <x:c r="AD814" s="87"/>
      <x:c r="AE814" s="87"/>
      <x:c r="AF814" s="87"/>
      <x:c r="AG814" s="87"/>
      <x:c r="AH814" s="87"/>
      <x:c r="AI814" s="30"/>
      <x:c r="AJ814" s="87" t="str">
        <x:v>master</x:v>
      </x:c>
      <x:c r="AK814" s="87" t="str">
        <x:v>master-v0.81</x:v>
      </x:c>
      <x:c r="AL814" s="87" t="str">
        <x:v>statgrad_master_base_v0_81_final(2).xlsx</x:v>
      </x:c>
      <x:c r="AM814" s="87" t="str">
        <x:v>HIST_Feb_V1</x:v>
      </x:c>
      <x:c r="AN814" s="87" t="n">
        <x:v>19</x:v>
      </x:c>
    </x:row>
    <x:row r="815">
      <x:c r="A815" s="87" t="n">
        <x:v>814</x:v>
      </x:c>
      <x:c r="B815" s="87" t="str">
        <x:v>FEB-HIS-V1-019</x:v>
      </x:c>
      <x:c r="C815" s="87" t="str">
        <x:v>СтатГрад</x:v>
      </x:c>
      <x:c r="D815" s="87" t="str">
        <x:v>Февраль 2026</x:v>
      </x:c>
      <x:c r="E815" s="87"/>
      <x:c r="F815" s="87"/>
      <x:c r="G815" s="87" t="str">
        <x:v>История</x:v>
      </x:c>
      <x:c r="H815" s="87" t="n">
        <x:v>11</x:v>
      </x:c>
      <x:c r="I815" s="87" t="str">
        <x:v>ТР №4</x:v>
      </x:c>
      <x:c r="J815" s="87" t="str">
        <x:v>ИС2510401</x:v>
      </x:c>
      <x:c r="K815" s="87" t="n">
        <x:v>19</x:v>
      </x:c>
      <x:c r="L815" s="87" t="str">
        <x:v>Развёрнутый ответ: понятие и факт</x:v>
      </x:c>
      <x:c r="M815" s="30" t="str">
        <x:v>Раскройте понятие «диссиденты» и приведите один исторический факт.</x:v>
      </x:c>
      <x:c r="N815" s="30" t="str">
        <x:v>Диссиденты — участники оппозиционного движения в СССР, выступавшие за права и свободы и против официальной идеологии. Факт: в 1976 г. создана Московская Хельсинкская группа.</x:v>
      </x:c>
      <x:c r="O815" s="30" t="str">
        <x:v>Определение содержит родовую принадлежность и существенные признаки; факт не повторяет определение.</x:v>
      </x:c>
      <x:c r="P815" s="30" t="str">
        <x:v>Дата и назначение Московской Хельсинкской группы проверены отдельно.</x:v>
      </x:c>
      <x:c r="Q815" s="30"/>
      <x:c r="R815" s="30" t="str">
        <x:v>Критерий: 2 балла за понятие и факт; 1 балл за один компонент.</x:v>
      </x:c>
      <x:c r="S815" s="30"/>
      <x:c r="T815" s="30"/>
      <x:c r="U815" s="30" t="str">
        <x:v>Расхождений нет.</x:v>
      </x:c>
      <x:c r="V815" s="87" t="str">
        <x:v>VERIFIED</x:v>
      </x:c>
      <x:c r="W815" s="87" t="str">
        <x:v>онлайн</x:v>
      </x:c>
      <x:c r="X815" s="87"/>
      <x:c r="Y815" s="87"/>
      <x:c r="Z815" s="87"/>
      <x:c r="AA815" s="87"/>
      <x:c r="AB815" s="87"/>
      <x:c r="AC815" s="87"/>
      <x:c r="AD815" s="87"/>
      <x:c r="AE815" s="87"/>
      <x:c r="AF815" s="87"/>
      <x:c r="AG815" s="87"/>
      <x:c r="AH815" s="87"/>
      <x:c r="AI815" s="30"/>
      <x:c r="AJ815" s="87" t="str">
        <x:v>master</x:v>
      </x:c>
      <x:c r="AK815" s="87" t="str">
        <x:v>master-v0.81</x:v>
      </x:c>
      <x:c r="AL815" s="87" t="str">
        <x:v>statgrad_master_base_v0_81_final(2).xlsx</x:v>
      </x:c>
      <x:c r="AM815" s="87" t="str">
        <x:v>HIST_Feb_V1</x:v>
      </x:c>
      <x:c r="AN815" s="87" t="n">
        <x:v>20</x:v>
      </x:c>
    </x:row>
    <x:row r="816">
      <x:c r="A816" s="87" t="n">
        <x:v>815</x:v>
      </x:c>
      <x:c r="B816" s="87" t="str">
        <x:v>FEB-HIS-V1-020</x:v>
      </x:c>
      <x:c r="C816" s="87" t="str">
        <x:v>СтатГрад</x:v>
      </x:c>
      <x:c r="D816" s="87" t="str">
        <x:v>Февраль 2026</x:v>
      </x:c>
      <x:c r="E816" s="87"/>
      <x:c r="F816" s="87"/>
      <x:c r="G816" s="87" t="str">
        <x:v>История</x:v>
      </x:c>
      <x:c r="H816" s="87" t="n">
        <x:v>11</x:v>
      </x:c>
      <x:c r="I816" s="87" t="str">
        <x:v>ТР №4</x:v>
      </x:c>
      <x:c r="J816" s="87" t="str">
        <x:v>ИС2510401</x:v>
      </x:c>
      <x:c r="K816" s="87" t="n">
        <x:v>20</x:v>
      </x:c>
      <x:c r="L816" s="87" t="str">
        <x:v>Развёрнутый ответ: сравнение</x:v>
      </x:c>
      <x:c r="M816" s="30" t="str">
        <x:v>Сравните политическое устройство Руси в первой половине X в. и в конце XII в.; сформулируйте тезис и два обоснования.</x:v>
      </x:c>
      <x:c r="N816" s="30" t="str">
        <x:v>Тезис: в X в. Русь объединяла власть киевского князя, а к концу XII в. она была раздроблена. Обоснования: единый верховный правитель сменился самостоятельными княжествами; общая выплата дани Киеву перестала быть общерусской практикой.</x:v>
      </x:c>
      <x:c r="O816" s="30" t="str">
        <x:v>Тезис прямо выражает различие, оба обоснования раскрывают его через разные признаки.</x:v>
      </x:c>
      <x:c r="P816" s="30" t="str">
        <x:v>Каждый аргумент сопоставляет оба периода.</x:v>
      </x:c>
      <x:c r="Q816" s="30"/>
      <x:c r="R816" s="30" t="str">
        <x:v>Критерий: до 3 баллов за тезис и два обоснования.</x:v>
      </x:c>
      <x:c r="S816" s="30"/>
      <x:c r="T816" s="30"/>
      <x:c r="U816" s="30" t="str">
        <x:v>Расхождений нет.</x:v>
      </x:c>
      <x:c r="V816" s="87" t="str">
        <x:v>VERIFIED</x:v>
      </x:c>
      <x:c r="W816" s="87" t="str">
        <x:v>онлайн</x:v>
      </x:c>
      <x:c r="X816" s="87"/>
      <x:c r="Y816" s="87"/>
      <x:c r="Z816" s="87"/>
      <x:c r="AA816" s="87"/>
      <x:c r="AB816" s="87"/>
      <x:c r="AC816" s="87"/>
      <x:c r="AD816" s="87"/>
      <x:c r="AE816" s="87"/>
      <x:c r="AF816" s="87"/>
      <x:c r="AG816" s="87"/>
      <x:c r="AH816" s="87"/>
      <x:c r="AI816" s="30"/>
      <x:c r="AJ816" s="87" t="str">
        <x:v>master</x:v>
      </x:c>
      <x:c r="AK816" s="87" t="str">
        <x:v>master-v0.81</x:v>
      </x:c>
      <x:c r="AL816" s="87" t="str">
        <x:v>statgrad_master_base_v0_81_final(2).xlsx</x:v>
      </x:c>
      <x:c r="AM816" s="87" t="str">
        <x:v>HIST_Feb_V1</x:v>
      </x:c>
      <x:c r="AN816" s="87" t="n">
        <x:v>21</x:v>
      </x:c>
    </x:row>
    <x:row r="817">
      <x:c r="A817" s="87" t="n">
        <x:v>816</x:v>
      </x:c>
      <x:c r="B817" s="87" t="str">
        <x:v>FEB-HIS-V1-021</x:v>
      </x:c>
      <x:c r="C817" s="87" t="str">
        <x:v>СтатГрад</x:v>
      </x:c>
      <x:c r="D817" s="87" t="str">
        <x:v>Февраль 2026</x:v>
      </x:c>
      <x:c r="E817" s="87"/>
      <x:c r="F817" s="87"/>
      <x:c r="G817" s="87" t="str">
        <x:v>История</x:v>
      </x:c>
      <x:c r="H817" s="87" t="n">
        <x:v>11</x:v>
      </x:c>
      <x:c r="I817" s="87" t="str">
        <x:v>ТР №4</x:v>
      </x:c>
      <x:c r="J817" s="87" t="str">
        <x:v>ИС2510401</x:v>
      </x:c>
      <x:c r="K817" s="87" t="n">
        <x:v>21</x:v>
      </x:c>
      <x:c r="L817" s="87" t="str">
        <x:v>Развёрнутый ответ: аргументация</x:v>
      </x:c>
      <x:c r="M817" s="30" t="str">
        <x:v>Аргументируйте, что революции в России и Турции изменили положение религии в обществе.</x:v>
      </x:c>
      <x:c r="N817" s="30" t="str">
        <x:v>Россия: после 1917 г. церковь отделили от государства и школы, изымали ценности и преследовали духовенство. Турция: кемалисты провозгласили светское государство и лишили мусульманское духовенство прежних привилегий.</x:v>
      </x:c>
      <x:c r="O817" s="30" t="str">
        <x:v>Для каждой страны приведён отдельный конкретный факт и объяснено изменение положения религии.</x:v>
      </x:c>
      <x:c r="P817" s="30" t="str">
        <x:v>Аргументы проверены на причинную связь с революционными преобразованиями.</x:v>
      </x:c>
      <x:c r="Q817" s="30"/>
      <x:c r="R817" s="30" t="str">
        <x:v>Критерий: до 3 баллов за два корректных аргумента.</x:v>
      </x:c>
      <x:c r="S817" s="30"/>
      <x:c r="T817" s="30"/>
      <x:c r="U817" s="30" t="str">
        <x:v>Расхождений нет.</x:v>
      </x:c>
      <x:c r="V817" s="87" t="str">
        <x:v>VERIFIED</x:v>
      </x:c>
      <x:c r="W817" s="87" t="str">
        <x:v>онлайн</x:v>
      </x:c>
      <x:c r="X817" s="87"/>
      <x:c r="Y817" s="87"/>
      <x:c r="Z817" s="87"/>
      <x:c r="AA817" s="87"/>
      <x:c r="AB817" s="87"/>
      <x:c r="AC817" s="87"/>
      <x:c r="AD817" s="87"/>
      <x:c r="AE817" s="87"/>
      <x:c r="AF817" s="87"/>
      <x:c r="AG817" s="87"/>
      <x:c r="AH817" s="87"/>
      <x:c r="AI817" s="30"/>
      <x:c r="AJ817" s="87" t="str">
        <x:v>master</x:v>
      </x:c>
      <x:c r="AK817" s="87" t="str">
        <x:v>master-v0.81</x:v>
      </x:c>
      <x:c r="AL817" s="87" t="str">
        <x:v>statgrad_master_base_v0_81_final(2).xlsx</x:v>
      </x:c>
      <x:c r="AM817" s="87" t="str">
        <x:v>HIST_Feb_V1</x:v>
      </x:c>
      <x:c r="AN817" s="87" t="n">
        <x:v>22</x:v>
      </x:c>
    </x:row>
    <x:row r="818">
      <x:c r="A818" s="87" t="n">
        <x:v>817</x:v>
      </x:c>
      <x:c r="B818" s="87" t="str">
        <x:v>FEB-HIS-V2-001</x:v>
      </x:c>
      <x:c r="C818" s="87" t="str">
        <x:v>СтатГрад</x:v>
      </x:c>
      <x:c r="D818" s="87" t="str">
        <x:v>Февраль 2026</x:v>
      </x:c>
      <x:c r="E818" s="87"/>
      <x:c r="F818" s="87"/>
      <x:c r="G818" s="87" t="str">
        <x:v>История</x:v>
      </x:c>
      <x:c r="H818" s="87" t="n">
        <x:v>11</x:v>
      </x:c>
      <x:c r="I818" s="87" t="str">
        <x:v>ТР №4</x:v>
      </x:c>
      <x:c r="J818" s="87" t="str">
        <x:v>ИС2510402</x:v>
      </x:c>
      <x:c r="K818" s="87" t="n">
        <x:v>1</x:v>
      </x:c>
      <x:c r="L818" s="87" t="str">
        <x:v>Соответствие: событие и год</x:v>
      </x:c>
      <x:c r="M818" s="30" t="str">
        <x:v>Соотнесите переворот Екатерины II, провозглашение НЭПа, Деулинское перемирие и начало «Рельсовой войны» с годами.</x:v>
      </x:c>
      <x:c r="N818" s="30" t="str">
        <x:v>2416</x:v>
      </x:c>
      <x:c r="O818" s="30" t="str">
        <x:v>А — 1762 г. (2); Б — 1921 г. (4); В — 1618 г. (1); Г — 1943 г. (6).</x:v>
      </x:c>
      <x:c r="P818" s="30" t="str">
        <x:v>Каждое событие датировано независимо; запись цифр под буквами А–Г даёт 2416.</x:v>
      </x:c>
      <x:c r="Q818" s="30"/>
      <x:c r="R818" s="30" t="str">
        <x:v>Открытая копия ключа: 2416</x:v>
      </x:c>
      <x:c r="S818" s="30"/>
      <x:c r="T818" s="30"/>
      <x:c r="U818" s="30" t="str">
        <x:v>Расхождений нет.</x:v>
      </x:c>
      <x:c r="V818" s="87" t="str">
        <x:v>VERIFIED</x:v>
      </x:c>
      <x:c r="W818" s="87" t="str">
        <x:v>онлайн</x:v>
      </x:c>
      <x:c r="X818" s="87"/>
      <x:c r="Y818" s="87"/>
      <x:c r="Z818" s="87"/>
      <x:c r="AA818" s="87"/>
      <x:c r="AB818" s="87"/>
      <x:c r="AC818" s="87"/>
      <x:c r="AD818" s="87"/>
      <x:c r="AE818" s="87"/>
      <x:c r="AF818" s="87"/>
      <x:c r="AG818" s="87"/>
      <x:c r="AH818" s="87"/>
      <x:c r="AI818" s="30"/>
      <x:c r="AJ818" s="87" t="str">
        <x:v>master</x:v>
      </x:c>
      <x:c r="AK818" s="87" t="str">
        <x:v>master-v0.81</x:v>
      </x:c>
      <x:c r="AL818" s="87" t="str">
        <x:v>statgrad_master_base_v0_81_final(2).xlsx</x:v>
      </x:c>
      <x:c r="AM818" s="87" t="str">
        <x:v>HIST_Feb_V2</x:v>
      </x:c>
      <x:c r="AN818" s="87" t="n">
        <x:v>2</x:v>
      </x:c>
    </x:row>
    <x:row r="819">
      <x:c r="A819" s="87" t="n">
        <x:v>818</x:v>
      </x:c>
      <x:c r="B819" s="87" t="str">
        <x:v>FEB-HIS-V2-002</x:v>
      </x:c>
      <x:c r="C819" s="87" t="str">
        <x:v>СтатГрад</x:v>
      </x:c>
      <x:c r="D819" s="87" t="str">
        <x:v>Февраль 2026</x:v>
      </x:c>
      <x:c r="E819" s="87"/>
      <x:c r="F819" s="87"/>
      <x:c r="G819" s="87" t="str">
        <x:v>История</x:v>
      </x:c>
      <x:c r="H819" s="87" t="n">
        <x:v>11</x:v>
      </x:c>
      <x:c r="I819" s="87" t="str">
        <x:v>ТР №4</x:v>
      </x:c>
      <x:c r="J819" s="87" t="str">
        <x:v>ИС2510402</x:v>
      </x:c>
      <x:c r="K819" s="87" t="n">
        <x:v>2</x:v>
      </x:c>
      <x:c r="L819" s="87" t="str">
        <x:v>Хронологическая последовательность</x:v>
      </x:c>
      <x:c r="M819" s="30" t="str">
        <x:v>Расположите по времени: учреждение патриаршества на Руси, начало гуситских войн, работа Сперанского «Введение к уложению государственных законов».</x:v>
      </x:c>
      <x:c r="N819" s="30" t="str">
        <x:v>213</x:v>
      </x:c>
      <x:c r="O819" s="30" t="str">
        <x:v>Гуситские войны — 1419; патриаршество — 1589; труд Сперанского — 1809.</x:v>
      </x:c>
      <x:c r="P819" s="30" t="str">
        <x:v>Даты проверены независимо; хронологический порядок номеров — 2, 1, 3.</x:v>
      </x:c>
      <x:c r="Q819" s="30"/>
      <x:c r="R819" s="30" t="str">
        <x:v>Открытая копия ключа: 213</x:v>
      </x:c>
      <x:c r="S819" s="30"/>
      <x:c r="T819" s="30"/>
      <x:c r="U819" s="30" t="str">
        <x:v>Расхождений нет.</x:v>
      </x:c>
      <x:c r="V819" s="87" t="str">
        <x:v>VERIFIED</x:v>
      </x:c>
      <x:c r="W819" s="87" t="str">
        <x:v>онлайн</x:v>
      </x:c>
      <x:c r="X819" s="87"/>
      <x:c r="Y819" s="87"/>
      <x:c r="Z819" s="87"/>
      <x:c r="AA819" s="87"/>
      <x:c r="AB819" s="87"/>
      <x:c r="AC819" s="87"/>
      <x:c r="AD819" s="87"/>
      <x:c r="AE819" s="87"/>
      <x:c r="AF819" s="87"/>
      <x:c r="AG819" s="87"/>
      <x:c r="AH819" s="87"/>
      <x:c r="AI819" s="30"/>
      <x:c r="AJ819" s="87" t="str">
        <x:v>master</x:v>
      </x:c>
      <x:c r="AK819" s="87" t="str">
        <x:v>master-v0.81</x:v>
      </x:c>
      <x:c r="AL819" s="87" t="str">
        <x:v>statgrad_master_base_v0_81_final(2).xlsx</x:v>
      </x:c>
      <x:c r="AM819" s="87" t="str">
        <x:v>HIST_Feb_V2</x:v>
      </x:c>
      <x:c r="AN819" s="87" t="n">
        <x:v>3</x:v>
      </x:c>
    </x:row>
    <x:row r="820">
      <x:c r="A820" s="87" t="n">
        <x:v>819</x:v>
      </x:c>
      <x:c r="B820" s="87" t="str">
        <x:v>FEB-HIS-V2-003</x:v>
      </x:c>
      <x:c r="C820" s="87" t="str">
        <x:v>СтатГрад</x:v>
      </x:c>
      <x:c r="D820" s="87" t="str">
        <x:v>Февраль 2026</x:v>
      </x:c>
      <x:c r="E820" s="87"/>
      <x:c r="F820" s="87"/>
      <x:c r="G820" s="87" t="str">
        <x:v>История</x:v>
      </x:c>
      <x:c r="H820" s="87" t="n">
        <x:v>11</x:v>
      </x:c>
      <x:c r="I820" s="87" t="str">
        <x:v>ТР №4</x:v>
      </x:c>
      <x:c r="J820" s="87" t="str">
        <x:v>ИС2510402</x:v>
      </x:c>
      <x:c r="K820" s="87" t="n">
        <x:v>3</x:v>
      </x:c>
      <x:c r="L820" s="87" t="str">
        <x:v>Процессы и факты</x:v>
      </x:c>
      <x:c r="M820" s="30" t="str">
        <x:v>Соотнесите укрепление Древнерусского государства, перестройку, политику Александра III и самодержавие при Алексее Михайловиче с фактами.</x:v>
      </x:c>
      <x:c r="N820" s="30" t="str">
        <x:v>6413</x:v>
      </x:c>
      <x:c r="O820" s="30" t="str">
        <x:v>Древнерусское государство — «Русская Правда»; перестройка — закон об индивидуальной трудовой деятельности; Александр III — земские начальники; Алексей Михайлович — Приказ тайных дел.</x:v>
      </x:c>
      <x:c r="P820" s="30" t="str">
        <x:v>Каждый факт проверен по времени возникновения и политическому контексту.</x:v>
      </x:c>
      <x:c r="Q820" s="30"/>
      <x:c r="R820" s="30" t="str">
        <x:v>Открытая копия ключа: 6413</x:v>
      </x:c>
      <x:c r="S820" s="30"/>
      <x:c r="T820" s="30"/>
      <x:c r="U820" s="30" t="str">
        <x:v>Расхождений нет.</x:v>
      </x:c>
      <x:c r="V820" s="87" t="str">
        <x:v>VERIFIED</x:v>
      </x:c>
      <x:c r="W820" s="87" t="str">
        <x:v>онлайн</x:v>
      </x:c>
      <x:c r="X820" s="87"/>
      <x:c r="Y820" s="87"/>
      <x:c r="Z820" s="87"/>
      <x:c r="AA820" s="87"/>
      <x:c r="AB820" s="87"/>
      <x:c r="AC820" s="87"/>
      <x:c r="AD820" s="87"/>
      <x:c r="AE820" s="87"/>
      <x:c r="AF820" s="87"/>
      <x:c r="AG820" s="87"/>
      <x:c r="AH820" s="87"/>
      <x:c r="AI820" s="30"/>
      <x:c r="AJ820" s="87" t="str">
        <x:v>master</x:v>
      </x:c>
      <x:c r="AK820" s="87" t="str">
        <x:v>master-v0.81</x:v>
      </x:c>
      <x:c r="AL820" s="87" t="str">
        <x:v>statgrad_master_base_v0_81_final(2).xlsx</x:v>
      </x:c>
      <x:c r="AM820" s="87" t="str">
        <x:v>HIST_Feb_V2</x:v>
      </x:c>
      <x:c r="AN820" s="87" t="n">
        <x:v>4</x:v>
      </x:c>
    </x:row>
    <x:row r="821">
      <x:c r="A821" s="87" t="n">
        <x:v>820</x:v>
      </x:c>
      <x:c r="B821" s="87" t="str">
        <x:v>FEB-HIS-V2-004</x:v>
      </x:c>
      <x:c r="C821" s="87" t="str">
        <x:v>СтатГрад</x:v>
      </x:c>
      <x:c r="D821" s="87" t="str">
        <x:v>Февраль 2026</x:v>
      </x:c>
      <x:c r="E821" s="87"/>
      <x:c r="F821" s="87"/>
      <x:c r="G821" s="87" t="str">
        <x:v>История</x:v>
      </x:c>
      <x:c r="H821" s="87" t="n">
        <x:v>11</x:v>
      </x:c>
      <x:c r="I821" s="87" t="str">
        <x:v>ТР №4</x:v>
      </x:c>
      <x:c r="J821" s="87" t="str">
        <x:v>ИС2510402</x:v>
      </x:c>
      <x:c r="K821" s="87" t="n">
        <x:v>4</x:v>
      </x:c>
      <x:c r="L821" s="87" t="str">
        <x:v>Заполнение таблицы</x:v>
      </x:c>
      <x:c r="M821" s="30" t="str">
        <x:v>Заполните пропуски: Любечский съезд, Ярославль, присоединение к Москве, события 880-х и 1670-х гг., Чигирин.</x:v>
      </x:c>
      <x:c r="N821" s="30" t="str">
        <x:v>351678</x:v>
      </x:c>
      <x:c r="O821" s="30" t="str">
        <x:v>Любечский съезд — 1097; Ярославль связан с событиями 1024 г.; присоединение земель — этап объединения вокруг Москвы; 880-е — утверждение Олега в Киеве; Чигирин — русско-турецкие войны; 1670-е — восстание Разина.</x:v>
      </x:c>
      <x:c r="P821" s="30" t="str">
        <x:v>Шесть элементов проверены через датировку и соответствие географии и событий.</x:v>
      </x:c>
      <x:c r="Q821" s="30"/>
      <x:c r="R821" s="30" t="str">
        <x:v>Открытая копия ключа: 351678</x:v>
      </x:c>
      <x:c r="S821" s="30"/>
      <x:c r="T821" s="30"/>
      <x:c r="U821" s="30" t="str">
        <x:v>Расхождений нет.</x:v>
      </x:c>
      <x:c r="V821" s="87" t="str">
        <x:v>VERIFIED</x:v>
      </x:c>
      <x:c r="W821" s="87" t="str">
        <x:v>онлайн</x:v>
      </x:c>
      <x:c r="X821" s="87"/>
      <x:c r="Y821" s="87"/>
      <x:c r="Z821" s="87"/>
      <x:c r="AA821" s="87"/>
      <x:c r="AB821" s="87"/>
      <x:c r="AC821" s="87"/>
      <x:c r="AD821" s="87"/>
      <x:c r="AE821" s="87"/>
      <x:c r="AF821" s="87"/>
      <x:c r="AG821" s="87"/>
      <x:c r="AH821" s="87"/>
      <x:c r="AI821" s="30"/>
      <x:c r="AJ821" s="87" t="str">
        <x:v>master</x:v>
      </x:c>
      <x:c r="AK821" s="87" t="str">
        <x:v>master-v0.81</x:v>
      </x:c>
      <x:c r="AL821" s="87" t="str">
        <x:v>statgrad_master_base_v0_81_final(2).xlsx</x:v>
      </x:c>
      <x:c r="AM821" s="87" t="str">
        <x:v>HIST_Feb_V2</x:v>
      </x:c>
      <x:c r="AN821" s="87" t="n">
        <x:v>5</x:v>
      </x:c>
    </x:row>
    <x:row r="822">
      <x:c r="A822" s="87" t="n">
        <x:v>821</x:v>
      </x:c>
      <x:c r="B822" s="87" t="str">
        <x:v>FEB-HIS-V2-005</x:v>
      </x:c>
      <x:c r="C822" s="87" t="str">
        <x:v>СтатГрад</x:v>
      </x:c>
      <x:c r="D822" s="87" t="str">
        <x:v>Февраль 2026</x:v>
      </x:c>
      <x:c r="E822" s="87"/>
      <x:c r="F822" s="87"/>
      <x:c r="G822" s="87" t="str">
        <x:v>История</x:v>
      </x:c>
      <x:c r="H822" s="87" t="n">
        <x:v>11</x:v>
      </x:c>
      <x:c r="I822" s="87" t="str">
        <x:v>ТР №4</x:v>
      </x:c>
      <x:c r="J822" s="87" t="str">
        <x:v>ИС2510402</x:v>
      </x:c>
      <x:c r="K822" s="87" t="n">
        <x:v>5</x:v>
      </x:c>
      <x:c r="L822" s="87" t="str">
        <x:v>События и участники</x:v>
      </x:c>
      <x:c r="M822" s="30" t="str">
        <x:v>Соотнесите Венгерский поход, либерализацию цен, штурм Берлина и взятие Казани с участниками.</x:v>
      </x:c>
      <x:c r="N822" s="30" t="str">
        <x:v>1246</x:v>
      </x:c>
      <x:c r="O822" s="30" t="str">
        <x:v>Венгерский поход — И. Ф. Паскевич; либерализация цен — Е. Т. Гайдар; штурм Берлина — М. А. Кантария; взятие Казани — А. М. Курбский.</x:v>
      </x:c>
      <x:c r="P822" s="30" t="str">
        <x:v>Участники проверены по роли в событиях и занимаемым должностям.</x:v>
      </x:c>
      <x:c r="Q822" s="30"/>
      <x:c r="R822" s="30" t="str">
        <x:v>Открытая копия ключа: 1246</x:v>
      </x:c>
      <x:c r="S822" s="30"/>
      <x:c r="T822" s="30"/>
      <x:c r="U822" s="30" t="str">
        <x:v>Расхождений нет.</x:v>
      </x:c>
      <x:c r="V822" s="87" t="str">
        <x:v>VERIFIED</x:v>
      </x:c>
      <x:c r="W822" s="87" t="str">
        <x:v>онлайн</x:v>
      </x:c>
      <x:c r="X822" s="87"/>
      <x:c r="Y822" s="87"/>
      <x:c r="Z822" s="87"/>
      <x:c r="AA822" s="87"/>
      <x:c r="AB822" s="87"/>
      <x:c r="AC822" s="87"/>
      <x:c r="AD822" s="87"/>
      <x:c r="AE822" s="87"/>
      <x:c r="AF822" s="87"/>
      <x:c r="AG822" s="87"/>
      <x:c r="AH822" s="87"/>
      <x:c r="AI822" s="30"/>
      <x:c r="AJ822" s="87" t="str">
        <x:v>master</x:v>
      </x:c>
      <x:c r="AK822" s="87" t="str">
        <x:v>master-v0.81</x:v>
      </x:c>
      <x:c r="AL822" s="87" t="str">
        <x:v>statgrad_master_base_v0_81_final(2).xlsx</x:v>
      </x:c>
      <x:c r="AM822" s="87" t="str">
        <x:v>HIST_Feb_V2</x:v>
      </x:c>
      <x:c r="AN822" s="87" t="n">
        <x:v>6</x:v>
      </x:c>
    </x:row>
    <x:row r="823">
      <x:c r="A823" s="87" t="n">
        <x:v>822</x:v>
      </x:c>
      <x:c r="B823" s="87" t="str">
        <x:v>FEB-HIS-V2-006</x:v>
      </x:c>
      <x:c r="C823" s="87" t="str">
        <x:v>СтатГрад</x:v>
      </x:c>
      <x:c r="D823" s="87" t="str">
        <x:v>Февраль 2026</x:v>
      </x:c>
      <x:c r="E823" s="87"/>
      <x:c r="F823" s="87"/>
      <x:c r="G823" s="87" t="str">
        <x:v>История</x:v>
      </x:c>
      <x:c r="H823" s="87" t="n">
        <x:v>11</x:v>
      </x:c>
      <x:c r="I823" s="87" t="str">
        <x:v>ТР №4</x:v>
      </x:c>
      <x:c r="J823" s="87" t="str">
        <x:v>ИС2510402</x:v>
      </x:c>
      <x:c r="K823" s="87" t="n">
        <x:v>6</x:v>
      </x:c>
      <x:c r="L823" s="87" t="str">
        <x:v>Анализ исторического источника</x:v>
      </x:c>
      <x:c r="M823" s="30" t="str">
        <x:v>По тексту о международной конференции и соглашении выберите верные суждения.</x:v>
      </x:c>
      <x:c r="N823" s="30" t="str">
        <x:v>24</x:v>
      </x:c>
      <x:c r="O823" s="30" t="str">
        <x:v>Текст относится к Генуэзской конференции и Рапалльскому договору 1922 г.; советскую дипломатию представлял Г. В. Чичерин.</x:v>
      </x:c>
      <x:c r="P823" s="30" t="str">
        <x:v>Хронология и дипломатические реалии 1922 г. подтверждают варианты 2 и 4.</x:v>
      </x:c>
      <x:c r="Q823" s="30"/>
      <x:c r="R823" s="30" t="str">
        <x:v>Открытая копия ключа: 24</x:v>
      </x:c>
      <x:c r="S823" s="30"/>
      <x:c r="T823" s="30"/>
      <x:c r="U823" s="30" t="str">
        <x:v>Расхождений нет.</x:v>
      </x:c>
      <x:c r="V823" s="87" t="str">
        <x:v>VERIFIED</x:v>
      </x:c>
      <x:c r="W823" s="87" t="str">
        <x:v>онлайн</x:v>
      </x:c>
      <x:c r="X823" s="87"/>
      <x:c r="Y823" s="87"/>
      <x:c r="Z823" s="87"/>
      <x:c r="AA823" s="87"/>
      <x:c r="AB823" s="87"/>
      <x:c r="AC823" s="87"/>
      <x:c r="AD823" s="87"/>
      <x:c r="AE823" s="87"/>
      <x:c r="AF823" s="87"/>
      <x:c r="AG823" s="87"/>
      <x:c r="AH823" s="87"/>
      <x:c r="AI823" s="30"/>
      <x:c r="AJ823" s="87" t="str">
        <x:v>master</x:v>
      </x:c>
      <x:c r="AK823" s="87" t="str">
        <x:v>master-v0.81</x:v>
      </x:c>
      <x:c r="AL823" s="87" t="str">
        <x:v>statgrad_master_base_v0_81_final(2).xlsx</x:v>
      </x:c>
      <x:c r="AM823" s="87" t="str">
        <x:v>HIST_Feb_V2</x:v>
      </x:c>
      <x:c r="AN823" s="87" t="n">
        <x:v>7</x:v>
      </x:c>
    </x:row>
    <x:row r="824">
      <x:c r="A824" s="87" t="n">
        <x:v>823</x:v>
      </x:c>
      <x:c r="B824" s="87" t="str">
        <x:v>FEB-HIS-V2-007</x:v>
      </x:c>
      <x:c r="C824" s="87" t="str">
        <x:v>СтатГрад</x:v>
      </x:c>
      <x:c r="D824" s="87" t="str">
        <x:v>Февраль 2026</x:v>
      </x:c>
      <x:c r="E824" s="87"/>
      <x:c r="F824" s="87"/>
      <x:c r="G824" s="87" t="str">
        <x:v>История</x:v>
      </x:c>
      <x:c r="H824" s="87" t="n">
        <x:v>11</x:v>
      </x:c>
      <x:c r="I824" s="87" t="str">
        <x:v>ТР №4</x:v>
      </x:c>
      <x:c r="J824" s="87" t="str">
        <x:v>ИС2510402</x:v>
      </x:c>
      <x:c r="K824" s="87" t="n">
        <x:v>7</x:v>
      </x:c>
      <x:c r="L824" s="87" t="str">
        <x:v>Культура</x:v>
      </x:c>
      <x:c r="M824" s="30" t="str">
        <x:v>Соотнесите Смольный собор, Великие Четьи-Минеи, балет «Ромео и Джульетта» и «Слово о законе и благодати» с характеристиками.</x:v>
      </x:c>
      <x:c r="N824" s="30" t="str">
        <x:v>1325</x:v>
      </x:c>
      <x:c r="O824" s="30" t="str">
        <x:v>Смольный собор — барокко; Четьи-Минеи — митрополит Макарий; балет — С. С. Прокофьев; «Слово...» — XI в.</x:v>
      </x:c>
      <x:c r="P824" s="30" t="str">
        <x:v>Архитектурный стиль, авторство и датировка проверены независимо.</x:v>
      </x:c>
      <x:c r="Q824" s="30"/>
      <x:c r="R824" s="30" t="str">
        <x:v>Открытая копия ключа: 1325</x:v>
      </x:c>
      <x:c r="S824" s="30"/>
      <x:c r="T824" s="30"/>
      <x:c r="U824" s="30" t="str">
        <x:v>Расхождений нет.</x:v>
      </x:c>
      <x:c r="V824" s="87" t="str">
        <x:v>VERIFIED</x:v>
      </x:c>
      <x:c r="W824" s="87" t="str">
        <x:v>онлайн</x:v>
      </x:c>
      <x:c r="X824" s="87"/>
      <x:c r="Y824" s="87"/>
      <x:c r="Z824" s="87"/>
      <x:c r="AA824" s="87"/>
      <x:c r="AB824" s="87"/>
      <x:c r="AC824" s="87"/>
      <x:c r="AD824" s="87"/>
      <x:c r="AE824" s="87"/>
      <x:c r="AF824" s="87"/>
      <x:c r="AG824" s="87"/>
      <x:c r="AH824" s="87"/>
      <x:c r="AI824" s="30"/>
      <x:c r="AJ824" s="87" t="str">
        <x:v>master</x:v>
      </x:c>
      <x:c r="AK824" s="87" t="str">
        <x:v>master-v0.81</x:v>
      </x:c>
      <x:c r="AL824" s="87" t="str">
        <x:v>statgrad_master_base_v0_81_final(2).xlsx</x:v>
      </x:c>
      <x:c r="AM824" s="87" t="str">
        <x:v>HIST_Feb_V2</x:v>
      </x:c>
      <x:c r="AN824" s="87" t="n">
        <x:v>8</x:v>
      </x:c>
    </x:row>
    <x:row r="825">
      <x:c r="A825" s="87" t="n">
        <x:v>824</x:v>
      </x:c>
      <x:c r="B825" s="87" t="str">
        <x:v>FEB-HIS-V2-008</x:v>
      </x:c>
      <x:c r="C825" s="87" t="str">
        <x:v>СтатГрад</x:v>
      </x:c>
      <x:c r="D825" s="87" t="str">
        <x:v>Февраль 2026</x:v>
      </x:c>
      <x:c r="E825" s="87"/>
      <x:c r="F825" s="87"/>
      <x:c r="G825" s="87" t="str">
        <x:v>История</x:v>
      </x:c>
      <x:c r="H825" s="87" t="n">
        <x:v>11</x:v>
      </x:c>
      <x:c r="I825" s="87" t="str">
        <x:v>ТР №4</x:v>
      </x:c>
      <x:c r="J825" s="87" t="str">
        <x:v>ИС2510402</x:v>
      </x:c>
      <x:c r="K825" s="87" t="n">
        <x:v>8</x:v>
      </x:c>
      <x:c r="L825" s="87" t="str">
        <x:v>Работа с изображением</x:v>
      </x:c>
      <x:c r="M825" s="30" t="str">
        <x:v>Назовите словами год окончания военных действий, отражённых на изображении.</x:v>
      </x:c>
      <x:c r="N825" s="30" t="str">
        <x:v>сорок пятом</x:v>
      </x:c>
      <x:c r="O825" s="30" t="str">
        <x:v>Военные действия завершились в 1945 г.; требуется словесная форма.</x:v>
      </x:c>
      <x:c r="P825" s="30" t="str">
        <x:v>Изображение сопоставлено с финальным этапом Великой Отечественной войны.</x:v>
      </x:c>
      <x:c r="Q825" s="30"/>
      <x:c r="R825" s="30" t="str">
        <x:v>Открытая копия ключа: сорокпятом</x:v>
      </x:c>
      <x:c r="S825" s="30"/>
      <x:c r="T825" s="30"/>
      <x:c r="U825" s="30" t="str">
        <x:v>Раздельное написание дано по норме; слитная запись допустима в формате бланка.</x:v>
      </x:c>
      <x:c r="V825" s="87" t="str">
        <x:v>VERIFIED</x:v>
      </x:c>
      <x:c r="W825" s="87" t="str">
        <x:v>онлайн</x:v>
      </x:c>
      <x:c r="X825" s="87"/>
      <x:c r="Y825" s="87"/>
      <x:c r="Z825" s="87"/>
      <x:c r="AA825" s="87"/>
      <x:c r="AB825" s="87"/>
      <x:c r="AC825" s="87"/>
      <x:c r="AD825" s="87"/>
      <x:c r="AE825" s="87"/>
      <x:c r="AF825" s="87"/>
      <x:c r="AG825" s="87"/>
      <x:c r="AH825" s="87"/>
      <x:c r="AI825" s="30"/>
      <x:c r="AJ825" s="87" t="str">
        <x:v>master</x:v>
      </x:c>
      <x:c r="AK825" s="87" t="str">
        <x:v>master-v0.81</x:v>
      </x:c>
      <x:c r="AL825" s="87" t="str">
        <x:v>statgrad_master_base_v0_81_final(2).xlsx</x:v>
      </x:c>
      <x:c r="AM825" s="87" t="str">
        <x:v>HIST_Feb_V2</x:v>
      </x:c>
      <x:c r="AN825" s="87" t="n">
        <x:v>9</x:v>
      </x:c>
    </x:row>
    <x:row r="826">
      <x:c r="A826" s="87" t="n">
        <x:v>825</x:v>
      </x:c>
      <x:c r="B826" s="87" t="str">
        <x:v>FEB-HIS-V2-009</x:v>
      </x:c>
      <x:c r="C826" s="87" t="str">
        <x:v>СтатГрад</x:v>
      </x:c>
      <x:c r="D826" s="87" t="str">
        <x:v>Февраль 2026</x:v>
      </x:c>
      <x:c r="E826" s="87"/>
      <x:c r="F826" s="87"/>
      <x:c r="G826" s="87" t="str">
        <x:v>История</x:v>
      </x:c>
      <x:c r="H826" s="87" t="n">
        <x:v>11</x:v>
      </x:c>
      <x:c r="I826" s="87" t="str">
        <x:v>ТР №4</x:v>
      </x:c>
      <x:c r="J826" s="87" t="str">
        <x:v>ИС2510402</x:v>
      </x:c>
      <x:c r="K826" s="87" t="n">
        <x:v>9</x:v>
      </x:c>
      <x:c r="L826" s="87" t="str">
        <x:v>Историческая карта</x:v>
      </x:c>
      <x:c r="M826" s="30" t="str">
        <x:v>Назовите войну, события которой показаны на схеме.</x:v>
      </x:c>
      <x:c r="N826" s="30" t="str">
        <x:v>Северная</x:v>
      </x:c>
      <x:c r="O826" s="30" t="str">
        <x:v>Схема отражает события Северной войны 1700–1721 гг.</x:v>
      </x:c>
      <x:c r="P826" s="30" t="str">
        <x:v>Города, направления походов и театр действий сопоставлены с Северной войной.</x:v>
      </x:c>
      <x:c r="Q826" s="30"/>
      <x:c r="R826" s="30" t="str">
        <x:v>Открытая копия ключа: Северная</x:v>
      </x:c>
      <x:c r="S826" s="30"/>
      <x:c r="T826" s="30"/>
      <x:c r="U826" s="30" t="str">
        <x:v>Расхождений нет.</x:v>
      </x:c>
      <x:c r="V826" s="87" t="str">
        <x:v>VERIFIED</x:v>
      </x:c>
      <x:c r="W826" s="87" t="str">
        <x:v>онлайн</x:v>
      </x:c>
      <x:c r="X826" s="87"/>
      <x:c r="Y826" s="87"/>
      <x:c r="Z826" s="87"/>
      <x:c r="AA826" s="87"/>
      <x:c r="AB826" s="87"/>
      <x:c r="AC826" s="87"/>
      <x:c r="AD826" s="87"/>
      <x:c r="AE826" s="87"/>
      <x:c r="AF826" s="87"/>
      <x:c r="AG826" s="87"/>
      <x:c r="AH826" s="87"/>
      <x:c r="AI826" s="30"/>
      <x:c r="AJ826" s="87" t="str">
        <x:v>master</x:v>
      </x:c>
      <x:c r="AK826" s="87" t="str">
        <x:v>master-v0.81</x:v>
      </x:c>
      <x:c r="AL826" s="87" t="str">
        <x:v>statgrad_master_base_v0_81_final(2).xlsx</x:v>
      </x:c>
      <x:c r="AM826" s="87" t="str">
        <x:v>HIST_Feb_V2</x:v>
      </x:c>
      <x:c r="AN826" s="87" t="n">
        <x:v>10</x:v>
      </x:c>
    </x:row>
    <x:row r="827">
      <x:c r="A827" s="87" t="n">
        <x:v>826</x:v>
      </x:c>
      <x:c r="B827" s="87" t="str">
        <x:v>FEB-HIS-V2-010</x:v>
      </x:c>
      <x:c r="C827" s="87" t="str">
        <x:v>СтатГрад</x:v>
      </x:c>
      <x:c r="D827" s="87" t="str">
        <x:v>Февраль 2026</x:v>
      </x:c>
      <x:c r="E827" s="87"/>
      <x:c r="F827" s="87"/>
      <x:c r="G827" s="87" t="str">
        <x:v>История</x:v>
      </x:c>
      <x:c r="H827" s="87" t="n">
        <x:v>11</x:v>
      </x:c>
      <x:c r="I827" s="87" t="str">
        <x:v>ТР №4</x:v>
      </x:c>
      <x:c r="J827" s="87" t="str">
        <x:v>ИС2510402</x:v>
      </x:c>
      <x:c r="K827" s="87" t="n">
        <x:v>10</x:v>
      </x:c>
      <x:c r="L827" s="87" t="str">
        <x:v>Историческая карта</x:v>
      </x:c>
      <x:c r="M827" s="30" t="str">
        <x:v>Назовите город, обозначенный на схеме цифрой.</x:v>
      </x:c>
      <x:c r="N827" s="30" t="str">
        <x:v>Полтава</x:v>
      </x:c>
      <x:c r="O827" s="30" t="str">
        <x:v>Обозначен город Полтава — место генерального сражения 1709 г.</x:v>
      </x:c>
      <x:c r="P827" s="30" t="str">
        <x:v>Положение города проверено по маршрутам русской и шведской армий.</x:v>
      </x:c>
      <x:c r="Q827" s="30"/>
      <x:c r="R827" s="30" t="str">
        <x:v>Открытая копия ключа: Полтава</x:v>
      </x:c>
      <x:c r="S827" s="30"/>
      <x:c r="T827" s="30"/>
      <x:c r="U827" s="30" t="str">
        <x:v>Расхождений нет.</x:v>
      </x:c>
      <x:c r="V827" s="87" t="str">
        <x:v>VERIFIED</x:v>
      </x:c>
      <x:c r="W827" s="87" t="str">
        <x:v>онлайн</x:v>
      </x:c>
      <x:c r="X827" s="87"/>
      <x:c r="Y827" s="87"/>
      <x:c r="Z827" s="87"/>
      <x:c r="AA827" s="87"/>
      <x:c r="AB827" s="87"/>
      <x:c r="AC827" s="87"/>
      <x:c r="AD827" s="87"/>
      <x:c r="AE827" s="87"/>
      <x:c r="AF827" s="87"/>
      <x:c r="AG827" s="87"/>
      <x:c r="AH827" s="87"/>
      <x:c r="AI827" s="30"/>
      <x:c r="AJ827" s="87" t="str">
        <x:v>master</x:v>
      </x:c>
      <x:c r="AK827" s="87" t="str">
        <x:v>master-v0.81</x:v>
      </x:c>
      <x:c r="AL827" s="87" t="str">
        <x:v>statgrad_master_base_v0_81_final(2).xlsx</x:v>
      </x:c>
      <x:c r="AM827" s="87" t="str">
        <x:v>HIST_Feb_V2</x:v>
      </x:c>
      <x:c r="AN827" s="87" t="n">
        <x:v>11</x:v>
      </x:c>
    </x:row>
    <x:row r="828">
      <x:c r="A828" s="87" t="n">
        <x:v>827</x:v>
      </x:c>
      <x:c r="B828" s="87" t="str">
        <x:v>FEB-HIS-V2-011</x:v>
      </x:c>
      <x:c r="C828" s="87" t="str">
        <x:v>СтатГрад</x:v>
      </x:c>
      <x:c r="D828" s="87" t="str">
        <x:v>Февраль 2026</x:v>
      </x:c>
      <x:c r="E828" s="87"/>
      <x:c r="F828" s="87"/>
      <x:c r="G828" s="87" t="str">
        <x:v>История</x:v>
      </x:c>
      <x:c r="H828" s="87" t="n">
        <x:v>11</x:v>
      </x:c>
      <x:c r="I828" s="87" t="str">
        <x:v>ТР №4</x:v>
      </x:c>
      <x:c r="J828" s="87" t="str">
        <x:v>ИС2510402</x:v>
      </x:c>
      <x:c r="K828" s="87" t="n">
        <x:v>11</x:v>
      </x:c>
      <x:c r="L828" s="87" t="str">
        <x:v>Историческая карта</x:v>
      </x:c>
      <x:c r="M828" s="30" t="str">
        <x:v>Назовите город, обозначенный на схеме цифрой.</x:v>
      </x:c>
      <x:c r="N828" s="30" t="str">
        <x:v>Ромны</x:v>
      </x:c>
      <x:c r="O828" s="30" t="str">
        <x:v>Пункт на маршруте Карла XII — город Ромны.</x:v>
      </x:c>
      <x:c r="P828" s="30" t="str">
        <x:v>Географическое положение проверено по зимнему маршруту шведской армии.</x:v>
      </x:c>
      <x:c r="Q828" s="30"/>
      <x:c r="R828" s="30" t="str">
        <x:v>Открытая копия ключа: Ромны</x:v>
      </x:c>
      <x:c r="S828" s="30"/>
      <x:c r="T828" s="30"/>
      <x:c r="U828" s="30" t="str">
        <x:v>Расхождений нет.</x:v>
      </x:c>
      <x:c r="V828" s="87" t="str">
        <x:v>VERIFIED</x:v>
      </x:c>
      <x:c r="W828" s="87" t="str">
        <x:v>онлайн</x:v>
      </x:c>
      <x:c r="X828" s="87"/>
      <x:c r="Y828" s="87"/>
      <x:c r="Z828" s="87"/>
      <x:c r="AA828" s="87"/>
      <x:c r="AB828" s="87"/>
      <x:c r="AC828" s="87"/>
      <x:c r="AD828" s="87"/>
      <x:c r="AE828" s="87"/>
      <x:c r="AF828" s="87"/>
      <x:c r="AG828" s="87"/>
      <x:c r="AH828" s="87"/>
      <x:c r="AI828" s="30"/>
      <x:c r="AJ828" s="87" t="str">
        <x:v>master</x:v>
      </x:c>
      <x:c r="AK828" s="87" t="str">
        <x:v>master-v0.81</x:v>
      </x:c>
      <x:c r="AL828" s="87" t="str">
        <x:v>statgrad_master_base_v0_81_final(2).xlsx</x:v>
      </x:c>
      <x:c r="AM828" s="87" t="str">
        <x:v>HIST_Feb_V2</x:v>
      </x:c>
      <x:c r="AN828" s="87" t="n">
        <x:v>12</x:v>
      </x:c>
    </x:row>
    <x:row r="829">
      <x:c r="A829" s="87" t="n">
        <x:v>828</x:v>
      </x:c>
      <x:c r="B829" s="87" t="str">
        <x:v>FEB-HIS-V2-012</x:v>
      </x:c>
      <x:c r="C829" s="87" t="str">
        <x:v>СтатГрад</x:v>
      </x:c>
      <x:c r="D829" s="87" t="str">
        <x:v>Февраль 2026</x:v>
      </x:c>
      <x:c r="E829" s="87"/>
      <x:c r="F829" s="87"/>
      <x:c r="G829" s="87" t="str">
        <x:v>История</x:v>
      </x:c>
      <x:c r="H829" s="87" t="n">
        <x:v>11</x:v>
      </x:c>
      <x:c r="I829" s="87" t="str">
        <x:v>ТР №4</x:v>
      </x:c>
      <x:c r="J829" s="87" t="str">
        <x:v>ИС2510402</x:v>
      </x:c>
      <x:c r="K829" s="87" t="n">
        <x:v>12</x:v>
      </x:c>
      <x:c r="L829" s="87" t="str">
        <x:v>Историческая карта: суждения</x:v>
      </x:c>
      <x:c r="M829" s="30" t="str">
        <x:v>Выберите верные суждения по схеме Северной войны.</x:v>
      </x:c>
      <x:c r="N829" s="30" t="str">
        <x:v>26</x:v>
      </x:c>
      <x:c r="O829" s="30" t="str">
        <x:v>Верны утверждения 2 и 6, соответствующие ходу войны и обозначенным объектам.</x:v>
      </x:c>
      <x:c r="P829" s="30" t="str">
        <x:v>Все суждения проверены по хронологии, географии и участникам Северной войны.</x:v>
      </x:c>
      <x:c r="Q829" s="30"/>
      <x:c r="R829" s="30" t="str">
        <x:v>Открытая копия ключа: 26</x:v>
      </x:c>
      <x:c r="S829" s="30"/>
      <x:c r="T829" s="30"/>
      <x:c r="U829" s="30" t="str">
        <x:v>Расхождений нет.</x:v>
      </x:c>
      <x:c r="V829" s="87" t="str">
        <x:v>VERIFIED</x:v>
      </x:c>
      <x:c r="W829" s="87" t="str">
        <x:v>онлайн</x:v>
      </x:c>
      <x:c r="X829" s="87"/>
      <x:c r="Y829" s="87"/>
      <x:c r="Z829" s="87"/>
      <x:c r="AA829" s="87"/>
      <x:c r="AB829" s="87"/>
      <x:c r="AC829" s="87"/>
      <x:c r="AD829" s="87"/>
      <x:c r="AE829" s="87"/>
      <x:c r="AF829" s="87"/>
      <x:c r="AG829" s="87"/>
      <x:c r="AH829" s="87"/>
      <x:c r="AI829" s="30"/>
      <x:c r="AJ829" s="87" t="str">
        <x:v>master</x:v>
      </x:c>
      <x:c r="AK829" s="87" t="str">
        <x:v>master-v0.81</x:v>
      </x:c>
      <x:c r="AL829" s="87" t="str">
        <x:v>statgrad_master_base_v0_81_final(2).xlsx</x:v>
      </x:c>
      <x:c r="AM829" s="87" t="str">
        <x:v>HIST_Feb_V2</x:v>
      </x:c>
      <x:c r="AN829" s="87" t="n">
        <x:v>13</x:v>
      </x:c>
    </x:row>
    <x:row r="830">
      <x:c r="A830" s="87" t="n">
        <x:v>829</x:v>
      </x:c>
      <x:c r="B830" s="87" t="str">
        <x:v>FEB-HIS-V2-013</x:v>
      </x:c>
      <x:c r="C830" s="87" t="str">
        <x:v>СтатГрад</x:v>
      </x:c>
      <x:c r="D830" s="87" t="str">
        <x:v>Февраль 2026</x:v>
      </x:c>
      <x:c r="E830" s="87"/>
      <x:c r="F830" s="87"/>
      <x:c r="G830" s="87" t="str">
        <x:v>История</x:v>
      </x:c>
      <x:c r="H830" s="87" t="n">
        <x:v>11</x:v>
      </x:c>
      <x:c r="I830" s="87" t="str">
        <x:v>ТР №4</x:v>
      </x:c>
      <x:c r="J830" s="87" t="str">
        <x:v>ИС2510402</x:v>
      </x:c>
      <x:c r="K830" s="87" t="n">
        <x:v>13</x:v>
      </x:c>
      <x:c r="L830" s="87" t="str">
        <x:v>Развёрнутый ответ: источник</x:v>
      </x:c>
      <x:c r="M830" s="30" t="str">
        <x:v>Назовите царя, десятилетие и название периода, описанного в источнике.</x:v>
      </x:c>
      <x:c r="N830" s="30" t="str">
        <x:v>Василий Шуйский; 1600-е гг.; Смутное время.</x:v>
      </x:c>
      <x:c r="O830" s="30" t="str">
        <x:v>Описание борьбы с повстанцами и кризиса власти относится к царствованию Василия Шуйского в Смуту.</x:v>
      </x:c>
      <x:c r="P830" s="30" t="str">
        <x:v>Все три элемента проверены по событиям 1606–1610 гг.</x:v>
      </x:c>
      <x:c r="Q830" s="30"/>
      <x:c r="R830" s="30" t="str">
        <x:v>Критерий: 2 балла за три элемента; 1 балл за любые два.</x:v>
      </x:c>
      <x:c r="S830" s="30"/>
      <x:c r="T830" s="30"/>
      <x:c r="U830" s="30" t="str">
        <x:v>Расхождений нет.</x:v>
      </x:c>
      <x:c r="V830" s="87" t="str">
        <x:v>VERIFIED</x:v>
      </x:c>
      <x:c r="W830" s="87" t="str">
        <x:v>онлайн</x:v>
      </x:c>
      <x:c r="X830" s="87"/>
      <x:c r="Y830" s="87"/>
      <x:c r="Z830" s="87"/>
      <x:c r="AA830" s="87"/>
      <x:c r="AB830" s="87"/>
      <x:c r="AC830" s="87"/>
      <x:c r="AD830" s="87"/>
      <x:c r="AE830" s="87"/>
      <x:c r="AF830" s="87"/>
      <x:c r="AG830" s="87"/>
      <x:c r="AH830" s="87"/>
      <x:c r="AI830" s="30"/>
      <x:c r="AJ830" s="87" t="str">
        <x:v>master</x:v>
      </x:c>
      <x:c r="AK830" s="87" t="str">
        <x:v>master-v0.81</x:v>
      </x:c>
      <x:c r="AL830" s="87" t="str">
        <x:v>statgrad_master_base_v0_81_final(2).xlsx</x:v>
      </x:c>
      <x:c r="AM830" s="87" t="str">
        <x:v>HIST_Feb_V2</x:v>
      </x:c>
      <x:c r="AN830" s="87" t="n">
        <x:v>14</x:v>
      </x:c>
    </x:row>
    <x:row r="831">
      <x:c r="A831" s="87" t="n">
        <x:v>830</x:v>
      </x:c>
      <x:c r="B831" s="87" t="str">
        <x:v>FEB-HIS-V2-014</x:v>
      </x:c>
      <x:c r="C831" s="87" t="str">
        <x:v>СтатГрад</x:v>
      </x:c>
      <x:c r="D831" s="87" t="str">
        <x:v>Февраль 2026</x:v>
      </x:c>
      <x:c r="E831" s="87"/>
      <x:c r="F831" s="87"/>
      <x:c r="G831" s="87" t="str">
        <x:v>История</x:v>
      </x:c>
      <x:c r="H831" s="87" t="n">
        <x:v>11</x:v>
      </x:c>
      <x:c r="I831" s="87" t="str">
        <x:v>ТР №4</x:v>
      </x:c>
      <x:c r="J831" s="87" t="str">
        <x:v>ИС2510402</x:v>
      </x:c>
      <x:c r="K831" s="87" t="n">
        <x:v>14</x:v>
      </x:c>
      <x:c r="L831" s="87" t="str">
        <x:v>Развёрнутый ответ: источник</x:v>
      </x:c>
      <x:c r="M831" s="30" t="str">
        <x:v>Назовите три затруднения царского войска или власти, упомянутые в источнике.</x:v>
      </x:c>
      <x:c r="N831" s="30" t="str">
        <x:v>Осаждённые в Калуге совершали вылазки и наносили потери; Арзамасский и Алатырский уезды перешли к восставшим; царь оставил Москву на брата Дмитрия Ивановича.</x:v>
      </x:c>
      <x:c r="O831" s="30" t="str">
        <x:v>Каждый пункт непосредственно извлечён из источника и отвечает отдельной части задания.</x:v>
      </x:c>
      <x:c r="P831" s="30" t="str">
        <x:v>Проверено отсутствие подмены текста внешними причинами Смуты.</x:v>
      </x:c>
      <x:c r="Q831" s="30"/>
      <x:c r="R831" s="30" t="str">
        <x:v>Критерий: 2 балла за три положения; 1 балл за любые два.</x:v>
      </x:c>
      <x:c r="S831" s="30"/>
      <x:c r="T831" s="30"/>
      <x:c r="U831" s="30" t="str">
        <x:v>Расхождений нет.</x:v>
      </x:c>
      <x:c r="V831" s="87" t="str">
        <x:v>VERIFIED</x:v>
      </x:c>
      <x:c r="W831" s="87" t="str">
        <x:v>онлайн</x:v>
      </x:c>
      <x:c r="X831" s="87"/>
      <x:c r="Y831" s="87"/>
      <x:c r="Z831" s="87"/>
      <x:c r="AA831" s="87"/>
      <x:c r="AB831" s="87"/>
      <x:c r="AC831" s="87"/>
      <x:c r="AD831" s="87"/>
      <x:c r="AE831" s="87"/>
      <x:c r="AF831" s="87"/>
      <x:c r="AG831" s="87"/>
      <x:c r="AH831" s="87"/>
      <x:c r="AI831" s="30"/>
      <x:c r="AJ831" s="87" t="str">
        <x:v>master</x:v>
      </x:c>
      <x:c r="AK831" s="87" t="str">
        <x:v>master-v0.81</x:v>
      </x:c>
      <x:c r="AL831" s="87" t="str">
        <x:v>statgrad_master_base_v0_81_final(2).xlsx</x:v>
      </x:c>
      <x:c r="AM831" s="87" t="str">
        <x:v>HIST_Feb_V2</x:v>
      </x:c>
      <x:c r="AN831" s="87" t="n">
        <x:v>15</x:v>
      </x:c>
    </x:row>
    <x:row r="832">
      <x:c r="A832" s="87" t="n">
        <x:v>831</x:v>
      </x:c>
      <x:c r="B832" s="87" t="str">
        <x:v>FEB-HIS-V2-015</x:v>
      </x:c>
      <x:c r="C832" s="87" t="str">
        <x:v>СтатГрад</x:v>
      </x:c>
      <x:c r="D832" s="87" t="str">
        <x:v>Февраль 2026</x:v>
      </x:c>
      <x:c r="E832" s="87"/>
      <x:c r="F832" s="87"/>
      <x:c r="G832" s="87" t="str">
        <x:v>История</x:v>
      </x:c>
      <x:c r="H832" s="87" t="n">
        <x:v>11</x:v>
      </x:c>
      <x:c r="I832" s="87" t="str">
        <x:v>ТР №4</x:v>
      </x:c>
      <x:c r="J832" s="87" t="str">
        <x:v>ИС2510402</x:v>
      </x:c>
      <x:c r="K832" s="87" t="n">
        <x:v>15</x:v>
      </x:c>
      <x:c r="L832" s="87" t="str">
        <x:v>Развёрнутый ответ: изображение</x:v>
      </x:c>
      <x:c r="M832" s="30" t="str">
        <x:v>Назовите руководителя СССР в год выпуска календаря и обоснуйте ответ по юбилейной дате.</x:v>
      </x:c>
      <x:c r="N832" s="30" t="str">
        <x:v>М. С. Горбачёв. Календарь выпущен в 1987 г. к 70-летию Декларации прав народов России: 1917 + 70 = 1987.</x:v>
      </x:c>
      <x:c r="O832" s="30" t="str">
        <x:v>Год вычислен по юбилейной надписи и сопоставлен с политической хронологией.</x:v>
      </x:c>
      <x:c r="P832" s="30" t="str">
        <x:v>Проверены дата документа и период руководства М. С. Горбачёва.</x:v>
      </x:c>
      <x:c r="Q832" s="30"/>
      <x:c r="R832" s="30" t="str">
        <x:v>Критерий: 2 балла за руководителя и обоснование; 1 балл только за руководителя.</x:v>
      </x:c>
      <x:c r="S832" s="30"/>
      <x:c r="T832" s="30"/>
      <x:c r="U832" s="30" t="str">
        <x:v>Расхождений нет.</x:v>
      </x:c>
      <x:c r="V832" s="87" t="str">
        <x:v>VERIFIED</x:v>
      </x:c>
      <x:c r="W832" s="87" t="str">
        <x:v>онлайн</x:v>
      </x:c>
      <x:c r="X832" s="87"/>
      <x:c r="Y832" s="87"/>
      <x:c r="Z832" s="87"/>
      <x:c r="AA832" s="87"/>
      <x:c r="AB832" s="87"/>
      <x:c r="AC832" s="87"/>
      <x:c r="AD832" s="87"/>
      <x:c r="AE832" s="87"/>
      <x:c r="AF832" s="87"/>
      <x:c r="AG832" s="87"/>
      <x:c r="AH832" s="87"/>
      <x:c r="AI832" s="30"/>
      <x:c r="AJ832" s="87" t="str">
        <x:v>master</x:v>
      </x:c>
      <x:c r="AK832" s="87" t="str">
        <x:v>master-v0.81</x:v>
      </x:c>
      <x:c r="AL832" s="87" t="str">
        <x:v>statgrad_master_base_v0_81_final(2).xlsx</x:v>
      </x:c>
      <x:c r="AM832" s="87" t="str">
        <x:v>HIST_Feb_V2</x:v>
      </x:c>
      <x:c r="AN832" s="87" t="n">
        <x:v>16</x:v>
      </x:c>
    </x:row>
    <x:row r="833">
      <x:c r="A833" s="87" t="n">
        <x:v>832</x:v>
      </x:c>
      <x:c r="B833" s="87" t="str">
        <x:v>FEB-HIS-V2-016</x:v>
      </x:c>
      <x:c r="C833" s="87" t="str">
        <x:v>СтатГрад</x:v>
      </x:c>
      <x:c r="D833" s="87" t="str">
        <x:v>Февраль 2026</x:v>
      </x:c>
      <x:c r="E833" s="87"/>
      <x:c r="F833" s="87"/>
      <x:c r="G833" s="87" t="str">
        <x:v>История</x:v>
      </x:c>
      <x:c r="H833" s="87" t="n">
        <x:v>11</x:v>
      </x:c>
      <x:c r="I833" s="87" t="str">
        <x:v>ТР №4</x:v>
      </x:c>
      <x:c r="J833" s="87" t="str">
        <x:v>ИС2510402</x:v>
      </x:c>
      <x:c r="K833" s="87" t="n">
        <x:v>16</x:v>
      </x:c>
      <x:c r="L833" s="87" t="str">
        <x:v>Развёрнутый ответ: культура</x:v>
      </x:c>
      <x:c r="M833" s="30" t="str">
        <x:v>Выберите памятник, созданный тем же скульптором, что и объект на календаре, и назовите автора.</x:v>
      </x:c>
      <x:c r="N833" s="30" t="str">
        <x:v>Памятник 2; З. К. Церетели.</x:v>
      </x:c>
      <x:c r="O833" s="30" t="str">
        <x:v>Среди предложенных изображений объект № 2 связан с творчеством Зураба Церетели.</x:v>
      </x:c>
      <x:c r="P833" s="30" t="str">
        <x:v>Атрибуция обоих объектов проверена по авторству.</x:v>
      </x:c>
      <x:c r="Q833" s="30"/>
      <x:c r="R833" s="30" t="str">
        <x:v>Критерий: 2 балла за номер и автора; 1 балл только за номер.</x:v>
      </x:c>
      <x:c r="S833" s="30"/>
      <x:c r="T833" s="30"/>
      <x:c r="U833" s="30" t="str">
        <x:v>Расхождений нет.</x:v>
      </x:c>
      <x:c r="V833" s="87" t="str">
        <x:v>VERIFIED</x:v>
      </x:c>
      <x:c r="W833" s="87" t="str">
        <x:v>онлайн</x:v>
      </x:c>
      <x:c r="X833" s="87"/>
      <x:c r="Y833" s="87"/>
      <x:c r="Z833" s="87"/>
      <x:c r="AA833" s="87"/>
      <x:c r="AB833" s="87"/>
      <x:c r="AC833" s="87"/>
      <x:c r="AD833" s="87"/>
      <x:c r="AE833" s="87"/>
      <x:c r="AF833" s="87"/>
      <x:c r="AG833" s="87"/>
      <x:c r="AH833" s="87"/>
      <x:c r="AI833" s="30"/>
      <x:c r="AJ833" s="87" t="str">
        <x:v>master</x:v>
      </x:c>
      <x:c r="AK833" s="87" t="str">
        <x:v>master-v0.81</x:v>
      </x:c>
      <x:c r="AL833" s="87" t="str">
        <x:v>statgrad_master_base_v0_81_final(2).xlsx</x:v>
      </x:c>
      <x:c r="AM833" s="87" t="str">
        <x:v>HIST_Feb_V2</x:v>
      </x:c>
      <x:c r="AN833" s="87" t="n">
        <x:v>17</x:v>
      </x:c>
    </x:row>
    <x:row r="834">
      <x:c r="A834" s="87" t="n">
        <x:v>833</x:v>
      </x:c>
      <x:c r="B834" s="87" t="str">
        <x:v>FEB-HIS-V2-017</x:v>
      </x:c>
      <x:c r="C834" s="87" t="str">
        <x:v>СтатГрад</x:v>
      </x:c>
      <x:c r="D834" s="87" t="str">
        <x:v>Февраль 2026</x:v>
      </x:c>
      <x:c r="E834" s="87"/>
      <x:c r="F834" s="87"/>
      <x:c r="G834" s="87" t="str">
        <x:v>История</x:v>
      </x:c>
      <x:c r="H834" s="87" t="n">
        <x:v>11</x:v>
      </x:c>
      <x:c r="I834" s="87" t="str">
        <x:v>ТР №4</x:v>
      </x:c>
      <x:c r="J834" s="87" t="str">
        <x:v>ИС2510402</x:v>
      </x:c>
      <x:c r="K834" s="87" t="n">
        <x:v>17</x:v>
      </x:c>
      <x:c r="L834" s="87" t="str">
        <x:v>Развёрнутый ответ: два источника</x:v>
      </x:c>
      <x:c r="M834" s="30" t="str">
        <x:v>Определите год, назовите одну операцию Красной армии и укажите реакцию солдат на известие о пересечении границы.</x:v>
      </x:c>
      <x:c r="N834" s="30" t="str">
        <x:v>1944 г.; например, операция «Багратион»; солдаты встретили известие о пересечении румыно-болгарской границы криками «ура».</x:v>
      </x:c>
      <x:c r="O834" s="30" t="str">
        <x:v>Год и операция соответствуют наступлениям 1944 г.; реакция прямо названа в источнике.</x:v>
      </x:c>
      <x:c r="P834" s="30" t="str">
        <x:v>Допустима и другая операция 1944 г. из критерия, например «Январский гром».</x:v>
      </x:c>
      <x:c r="Q834" s="30"/>
      <x:c r="R834" s="30" t="str">
        <x:v>Критерий: до 3 баллов — по одному за каждый элемент.</x:v>
      </x:c>
      <x:c r="S834" s="30"/>
      <x:c r="T834" s="30"/>
      <x:c r="U834" s="30" t="str">
        <x:v>Приведён один допустимый пример операции.</x:v>
      </x:c>
      <x:c r="V834" s="87" t="str">
        <x:v>VERIFIED</x:v>
      </x:c>
      <x:c r="W834" s="87" t="str">
        <x:v>онлайн</x:v>
      </x:c>
      <x:c r="X834" s="87"/>
      <x:c r="Y834" s="87"/>
      <x:c r="Z834" s="87"/>
      <x:c r="AA834" s="87"/>
      <x:c r="AB834" s="87"/>
      <x:c r="AC834" s="87"/>
      <x:c r="AD834" s="87"/>
      <x:c r="AE834" s="87"/>
      <x:c r="AF834" s="87"/>
      <x:c r="AG834" s="87"/>
      <x:c r="AH834" s="87"/>
      <x:c r="AI834" s="30"/>
      <x:c r="AJ834" s="87" t="str">
        <x:v>master</x:v>
      </x:c>
      <x:c r="AK834" s="87" t="str">
        <x:v>master-v0.81</x:v>
      </x:c>
      <x:c r="AL834" s="87" t="str">
        <x:v>statgrad_master_base_v0_81_final(2).xlsx</x:v>
      </x:c>
      <x:c r="AM834" s="87" t="str">
        <x:v>HIST_Feb_V2</x:v>
      </x:c>
      <x:c r="AN834" s="87" t="n">
        <x:v>18</x:v>
      </x:c>
    </x:row>
    <x:row r="835">
      <x:c r="A835" s="87" t="n">
        <x:v>834</x:v>
      </x:c>
      <x:c r="B835" s="87" t="str">
        <x:v>FEB-HIS-V2-018</x:v>
      </x:c>
      <x:c r="C835" s="87" t="str">
        <x:v>СтатГрад</x:v>
      </x:c>
      <x:c r="D835" s="87" t="str">
        <x:v>Февраль 2026</x:v>
      </x:c>
      <x:c r="E835" s="87"/>
      <x:c r="F835" s="87"/>
      <x:c r="G835" s="87" t="str">
        <x:v>История</x:v>
      </x:c>
      <x:c r="H835" s="87" t="n">
        <x:v>11</x:v>
      </x:c>
      <x:c r="I835" s="87" t="str">
        <x:v>ТР №4</x:v>
      </x:c>
      <x:c r="J835" s="87" t="str">
        <x:v>ИС2510402</x:v>
      </x:c>
      <x:c r="K835" s="87" t="n">
        <x:v>18</x:v>
      </x:c>
      <x:c r="L835" s="87" t="str">
        <x:v>Развёрнутый ответ: причинно-следственные связи</x:v>
      </x:c>
      <x:c r="M835" s="30" t="str">
        <x:v>Укажите социальную предпосылку «хождения в народ», причину неудачи и последствие для тактики народников.</x:v>
      </x:c>
      <x:c r="N835" s="30" t="str">
        <x:v>Предпосылка: после реформы 1861 г. наделы были малы, а выкупные платежи воспринимались как несправедливые. Причина неудачи: крестьянство сохраняло монархические настроения. Последствие: часть народников перешла от пропаганды к революционному террору.</x:v>
      </x:c>
      <x:c r="O835" s="30" t="str">
        <x:v>Все три элемента образуют последовательную причинно-следственную цепочку.</x:v>
      </x:c>
      <x:c r="P835" s="30" t="str">
        <x:v>Проверено различие между предпосылкой, причиной провала и последствием.</x:v>
      </x:c>
      <x:c r="Q835" s="30"/>
      <x:c r="R835" s="30" t="str">
        <x:v>Критерий: до 3 баллов — по одному за каждый корректный элемент.</x:v>
      </x:c>
      <x:c r="S835" s="30"/>
      <x:c r="T835" s="30"/>
      <x:c r="U835" s="30" t="str">
        <x:v>Формулировки конкретизированы.</x:v>
      </x:c>
      <x:c r="V835" s="87" t="str">
        <x:v>VERIFIED</x:v>
      </x:c>
      <x:c r="W835" s="87" t="str">
        <x:v>онлайн</x:v>
      </x:c>
      <x:c r="X835" s="87"/>
      <x:c r="Y835" s="87"/>
      <x:c r="Z835" s="87"/>
      <x:c r="AA835" s="87"/>
      <x:c r="AB835" s="87"/>
      <x:c r="AC835" s="87"/>
      <x:c r="AD835" s="87"/>
      <x:c r="AE835" s="87"/>
      <x:c r="AF835" s="87"/>
      <x:c r="AG835" s="87"/>
      <x:c r="AH835" s="87"/>
      <x:c r="AI835" s="30"/>
      <x:c r="AJ835" s="87" t="str">
        <x:v>master</x:v>
      </x:c>
      <x:c r="AK835" s="87" t="str">
        <x:v>master-v0.81</x:v>
      </x:c>
      <x:c r="AL835" s="87" t="str">
        <x:v>statgrad_master_base_v0_81_final(2).xlsx</x:v>
      </x:c>
      <x:c r="AM835" s="87" t="str">
        <x:v>HIST_Feb_V2</x:v>
      </x:c>
      <x:c r="AN835" s="87" t="n">
        <x:v>19</x:v>
      </x:c>
    </x:row>
    <x:row r="836">
      <x:c r="A836" s="87" t="n">
        <x:v>835</x:v>
      </x:c>
      <x:c r="B836" s="87" t="str">
        <x:v>FEB-HIS-V2-019</x:v>
      </x:c>
      <x:c r="C836" s="87" t="str">
        <x:v>СтатГрад</x:v>
      </x:c>
      <x:c r="D836" s="87" t="str">
        <x:v>Февраль 2026</x:v>
      </x:c>
      <x:c r="E836" s="87"/>
      <x:c r="F836" s="87"/>
      <x:c r="G836" s="87" t="str">
        <x:v>История</x:v>
      </x:c>
      <x:c r="H836" s="87" t="n">
        <x:v>11</x:v>
      </x:c>
      <x:c r="I836" s="87" t="str">
        <x:v>ТР №4</x:v>
      </x:c>
      <x:c r="J836" s="87" t="str">
        <x:v>ИС2510402</x:v>
      </x:c>
      <x:c r="K836" s="87" t="n">
        <x:v>19</x:v>
      </x:c>
      <x:c r="L836" s="87" t="str">
        <x:v>Развёрнутый ответ: понятие и факт</x:v>
      </x:c>
      <x:c r="M836" s="30" t="str">
        <x:v>Раскройте понятие «косыгинская реформа» и приведите один исторический факт.</x:v>
      </x:c>
      <x:c r="N836" s="30" t="str">
        <x:v>Косыгинская реформа — экономическая реформа 1965 г., расширявшая хозяйственную самостоятельность предприятий через хозрасчёт и материальное стимулирование. Факт: её проведение началось в 1965 г.</x:v>
      </x:c>
      <x:c r="O836" s="30" t="str">
        <x:v>Определение содержит время, сферу, деятеля и существенное содержание; факт выделен отдельно.</x:v>
      </x:c>
      <x:c r="P836" s="30" t="str">
        <x:v>Год начала и основные механизмы реформы проверены независимо.</x:v>
      </x:c>
      <x:c r="Q836" s="30"/>
      <x:c r="R836" s="30" t="str">
        <x:v>Критерий: 2 балла за понятие и факт; 1 балл за один компонент.</x:v>
      </x:c>
      <x:c r="S836" s="30"/>
      <x:c r="T836" s="30"/>
      <x:c r="U836" s="30" t="str">
        <x:v>Расхождений нет.</x:v>
      </x:c>
      <x:c r="V836" s="87" t="str">
        <x:v>VERIFIED</x:v>
      </x:c>
      <x:c r="W836" s="87" t="str">
        <x:v>онлайн</x:v>
      </x:c>
      <x:c r="X836" s="87"/>
      <x:c r="Y836" s="87"/>
      <x:c r="Z836" s="87"/>
      <x:c r="AA836" s="87"/>
      <x:c r="AB836" s="87"/>
      <x:c r="AC836" s="87"/>
      <x:c r="AD836" s="87"/>
      <x:c r="AE836" s="87"/>
      <x:c r="AF836" s="87"/>
      <x:c r="AG836" s="87"/>
      <x:c r="AH836" s="87"/>
      <x:c r="AI836" s="30"/>
      <x:c r="AJ836" s="87" t="str">
        <x:v>master</x:v>
      </x:c>
      <x:c r="AK836" s="87" t="str">
        <x:v>master-v0.81</x:v>
      </x:c>
      <x:c r="AL836" s="87" t="str">
        <x:v>statgrad_master_base_v0_81_final(2).xlsx</x:v>
      </x:c>
      <x:c r="AM836" s="87" t="str">
        <x:v>HIST_Feb_V2</x:v>
      </x:c>
      <x:c r="AN836" s="87" t="n">
        <x:v>20</x:v>
      </x:c>
    </x:row>
    <x:row r="837">
      <x:c r="A837" s="87" t="n">
        <x:v>836</x:v>
      </x:c>
      <x:c r="B837" s="87" t="str">
        <x:v>FEB-HIS-V2-020</x:v>
      </x:c>
      <x:c r="C837" s="87" t="str">
        <x:v>СтатГрад</x:v>
      </x:c>
      <x:c r="D837" s="87" t="str">
        <x:v>Февраль 2026</x:v>
      </x:c>
      <x:c r="E837" s="87"/>
      <x:c r="F837" s="87"/>
      <x:c r="G837" s="87" t="str">
        <x:v>История</x:v>
      </x:c>
      <x:c r="H837" s="87" t="n">
        <x:v>11</x:v>
      </x:c>
      <x:c r="I837" s="87" t="str">
        <x:v>ТР №4</x:v>
      </x:c>
      <x:c r="J837" s="87" t="str">
        <x:v>ИС2510402</x:v>
      </x:c>
      <x:c r="K837" s="87" t="n">
        <x:v>20</x:v>
      </x:c>
      <x:c r="L837" s="87" t="str">
        <x:v>Развёрнутый ответ: сравнение</x:v>
      </x:c>
      <x:c r="M837" s="30" t="str">
        <x:v>Сравните социально-экономические отношения на Руси в X в. и в конце XV в.; сформулируйте тезис и два обоснования.</x:v>
      </x:c>
      <x:c r="N837" s="30" t="str">
        <x:v>Тезис: в X в. феодальное землевладение и зависимость крестьян были развиты слабо, а к концу XV в. усилились. Обоснования: в X в. преобладало общинное землевладение, тогда как к концу XV в. существовали вотчины и складывалась поместная система; в X в. большинство земледельцев было свободным, тогда как к концу XV в. началось их закрепощение.</x:v>
      </x:c>
      <x:c r="O837" s="30" t="str">
        <x:v>Тезис выражает различие, обоснования раскрывают его через землевладение и положение крестьян.</x:v>
      </x:c>
      <x:c r="P837" s="30" t="str">
        <x:v>Каждый аргумент содержит сопоставление обоих периодов.</x:v>
      </x:c>
      <x:c r="Q837" s="30"/>
      <x:c r="R837" s="30" t="str">
        <x:v>Критерий: до 3 баллов за тезис и два обоснования.</x:v>
      </x:c>
      <x:c r="S837" s="30"/>
      <x:c r="T837" s="30"/>
      <x:c r="U837" s="30" t="str">
        <x:v>Расхождений нет.</x:v>
      </x:c>
      <x:c r="V837" s="87" t="str">
        <x:v>VERIFIED</x:v>
      </x:c>
      <x:c r="W837" s="87" t="str">
        <x:v>онлайн</x:v>
      </x:c>
      <x:c r="X837" s="87"/>
      <x:c r="Y837" s="87"/>
      <x:c r="Z837" s="87"/>
      <x:c r="AA837" s="87"/>
      <x:c r="AB837" s="87"/>
      <x:c r="AC837" s="87"/>
      <x:c r="AD837" s="87"/>
      <x:c r="AE837" s="87"/>
      <x:c r="AF837" s="87"/>
      <x:c r="AG837" s="87"/>
      <x:c r="AH837" s="87"/>
      <x:c r="AI837" s="30"/>
      <x:c r="AJ837" s="87" t="str">
        <x:v>master</x:v>
      </x:c>
      <x:c r="AK837" s="87" t="str">
        <x:v>master-v0.81</x:v>
      </x:c>
      <x:c r="AL837" s="87" t="str">
        <x:v>statgrad_master_base_v0_81_final(2).xlsx</x:v>
      </x:c>
      <x:c r="AM837" s="87" t="str">
        <x:v>HIST_Feb_V2</x:v>
      </x:c>
      <x:c r="AN837" s="87" t="n">
        <x:v>21</x:v>
      </x:c>
    </x:row>
    <x:row r="838">
      <x:c r="A838" s="87" t="n">
        <x:v>837</x:v>
      </x:c>
      <x:c r="B838" s="87" t="str">
        <x:v>FEB-HIS-V2-021</x:v>
      </x:c>
      <x:c r="C838" s="87" t="str">
        <x:v>СтатГрад</x:v>
      </x:c>
      <x:c r="D838" s="87" t="str">
        <x:v>Февраль 2026</x:v>
      </x:c>
      <x:c r="E838" s="87"/>
      <x:c r="F838" s="87"/>
      <x:c r="G838" s="87" t="str">
        <x:v>История</x:v>
      </x:c>
      <x:c r="H838" s="87" t="n">
        <x:v>11</x:v>
      </x:c>
      <x:c r="I838" s="87" t="str">
        <x:v>ТР №4</x:v>
      </x:c>
      <x:c r="J838" s="87" t="str">
        <x:v>ИС2510402</x:v>
      </x:c>
      <x:c r="K838" s="87" t="n">
        <x:v>21</x:v>
      </x:c>
      <x:c r="L838" s="87" t="str">
        <x:v>Развёрнутый ответ: аргументация</x:v>
      </x:c>
      <x:c r="M838" s="30" t="str">
        <x:v>Аргументируйте влияние революционных событий на национальные движения в России и Индии.</x:v>
      </x:c>
      <x:c r="N838" s="30" t="str">
        <x:v>Россия: после революций 1917 г. национальные территории заявляли о самостоятельности; Финляндия провозгласила независимость. Индия: ослабление метрополии и пример революции усилили антиколониальное движение; ИНК и М. Ганди развернули массовые кампании ненасилия.</x:v>
      </x:c>
      <x:c r="O838" s="30" t="str">
        <x:v>Для каждой страны приведён конкретный факт и объяснено усиление национального движения.</x:v>
      </x:c>
      <x:c r="P838" s="30" t="str">
        <x:v>Аргументы проверены на связь с революционными изменениями и хронологию.</x:v>
      </x:c>
      <x:c r="Q838" s="30"/>
      <x:c r="R838" s="30" t="str">
        <x:v>Критерий: до 3 баллов за два корректных аргумента.</x:v>
      </x:c>
      <x:c r="S838" s="30"/>
      <x:c r="T838" s="30"/>
      <x:c r="U838" s="30" t="str">
        <x:v>Расхождений нет.</x:v>
      </x:c>
      <x:c r="V838" s="87" t="str">
        <x:v>VERIFIED</x:v>
      </x:c>
      <x:c r="W838" s="87" t="str">
        <x:v>онлайн</x:v>
      </x:c>
      <x:c r="X838" s="87"/>
      <x:c r="Y838" s="87"/>
      <x:c r="Z838" s="87"/>
      <x:c r="AA838" s="87"/>
      <x:c r="AB838" s="87"/>
      <x:c r="AC838" s="87"/>
      <x:c r="AD838" s="87"/>
      <x:c r="AE838" s="87"/>
      <x:c r="AF838" s="87"/>
      <x:c r="AG838" s="87"/>
      <x:c r="AH838" s="87"/>
      <x:c r="AI838" s="30"/>
      <x:c r="AJ838" s="87" t="str">
        <x:v>master</x:v>
      </x:c>
      <x:c r="AK838" s="87" t="str">
        <x:v>master-v0.81</x:v>
      </x:c>
      <x:c r="AL838" s="87" t="str">
        <x:v>statgrad_master_base_v0_81_final(2).xlsx</x:v>
      </x:c>
      <x:c r="AM838" s="87" t="str">
        <x:v>HIST_Feb_V2</x:v>
      </x:c>
      <x:c r="AN838" s="87" t="n">
        <x:v>22</x:v>
      </x:c>
    </x:row>
    <x:row r="839">
      <x:c r="A839" s="87" t="n">
        <x:v>838</x:v>
      </x:c>
      <x:c r="B839" s="87" t="str">
        <x:v>FEB-HIS-V3-001</x:v>
      </x:c>
      <x:c r="C839" s="87" t="str">
        <x:v>СтатГрад</x:v>
      </x:c>
      <x:c r="D839" s="87" t="str">
        <x:v>Февраль 2026</x:v>
      </x:c>
      <x:c r="E839" s="87"/>
      <x:c r="F839" s="87"/>
      <x:c r="G839" s="87" t="str">
        <x:v>История</x:v>
      </x:c>
      <x:c r="H839" s="87" t="n">
        <x:v>11</x:v>
      </x:c>
      <x:c r="I839" s="87" t="str">
        <x:v>ТР №4</x:v>
      </x:c>
      <x:c r="J839" s="87" t="str">
        <x:v>ИС2510403</x:v>
      </x:c>
      <x:c r="K839" s="87" t="n">
        <x:v>1</x:v>
      </x:c>
      <x:c r="L839" s="87" t="str">
        <x:v>Соответствие: событие и год</x:v>
      </x:c>
      <x:c r="M839" s="30" t="str">
        <x:v>Соотнесите гибель царевича Дмитрия, образование СССР, Тильзитский мир и создание «Молодой гвардии» с годами.</x:v>
      </x:c>
      <x:c r="N839" s="30" t="str">
        <x:v>2435</x:v>
      </x:c>
      <x:c r="O839" s="30" t="str">
        <x:v>А — 1591 г.; Б — 1922 г.; В — 1807 г.; Г — 1942 г.</x:v>
      </x:c>
      <x:c r="P839" s="30" t="str">
        <x:v>Даты каждого события установлены независимо; последовательность совпала с опубликованным ответом.</x:v>
      </x:c>
      <x:c r="Q839" s="30"/>
      <x:c r="R839" s="30" t="str">
        <x:v>Открытый ответ: 2435</x:v>
      </x:c>
      <x:c r="S839" s="30"/>
      <x:c r="T839" s="30"/>
      <x:c r="U839" s="30" t="str">
        <x:v>Расхождений нет.</x:v>
      </x:c>
      <x:c r="V839" s="87" t="str">
        <x:v>VERIFIED</x:v>
      </x:c>
      <x:c r="W839" s="87" t="str">
        <x:v>PDF p. 2</x:v>
      </x:c>
      <x:c r="X839" s="87"/>
      <x:c r="Y839" s="87"/>
      <x:c r="Z839" s="87"/>
      <x:c r="AA839" s="87"/>
      <x:c r="AB839" s="87"/>
      <x:c r="AC839" s="87"/>
      <x:c r="AD839" s="87"/>
      <x:c r="AE839" s="87"/>
      <x:c r="AF839" s="87"/>
      <x:c r="AG839" s="87"/>
      <x:c r="AH839" s="87"/>
      <x:c r="AI839" s="30"/>
      <x:c r="AJ839" s="87" t="str">
        <x:v>master</x:v>
      </x:c>
      <x:c r="AK839" s="87" t="str">
        <x:v>master-v0.81</x:v>
      </x:c>
      <x:c r="AL839" s="87" t="str">
        <x:v>statgrad_master_base_v0_81_final(2).xlsx</x:v>
      </x:c>
      <x:c r="AM839" s="87" t="str">
        <x:v>HIST_Feb_V3</x:v>
      </x:c>
      <x:c r="AN839" s="87" t="n">
        <x:v>2</x:v>
      </x:c>
    </x:row>
    <x:row r="840">
      <x:c r="A840" s="87" t="n">
        <x:v>839</x:v>
      </x:c>
      <x:c r="B840" s="87" t="str">
        <x:v>FEB-HIS-V3-002</x:v>
      </x:c>
      <x:c r="C840" s="87" t="str">
        <x:v>СтатГрад</x:v>
      </x:c>
      <x:c r="D840" s="87" t="str">
        <x:v>Февраль 2026</x:v>
      </x:c>
      <x:c r="E840" s="87"/>
      <x:c r="F840" s="87"/>
      <x:c r="G840" s="87" t="str">
        <x:v>История</x:v>
      </x:c>
      <x:c r="H840" s="87" t="n">
        <x:v>11</x:v>
      </x:c>
      <x:c r="I840" s="87" t="str">
        <x:v>ТР №4</x:v>
      </x:c>
      <x:c r="J840" s="87" t="str">
        <x:v>ИС2510403</x:v>
      </x:c>
      <x:c r="K840" s="87" t="n">
        <x:v>2</x:v>
      </x:c>
      <x:c r="L840" s="87" t="str">
        <x:v>Хронологическая последовательность</x:v>
      </x:c>
      <x:c r="M840" s="30" t="str">
        <x:v>Расположите по времени учреждение патриаршества, начало Гуситских войн и труд М. М. Сперанского.</x:v>
      </x:c>
      <x:c r="N840" s="30" t="str">
        <x:v>213</x:v>
      </x:c>
      <x:c r="O840" s="30" t="str">
        <x:v>Гуситские войны — 1419 г.; патриаршество — 1589 г.; труд Сперанского — 1809 г.</x:v>
      </x:c>
      <x:c r="P840" s="30" t="str">
        <x:v>После независимой датировки порядок номеров — 2, 1, 3; совпадает с открытым ответом.</x:v>
      </x:c>
      <x:c r="Q840" s="30"/>
      <x:c r="R840" s="30" t="str">
        <x:v>Открытый ответ: 213</x:v>
      </x:c>
      <x:c r="S840" s="30"/>
      <x:c r="T840" s="30"/>
      <x:c r="U840" s="30" t="str">
        <x:v>Расхождений нет.</x:v>
      </x:c>
      <x:c r="V840" s="87" t="str">
        <x:v>VERIFIED</x:v>
      </x:c>
      <x:c r="W840" s="87" t="str">
        <x:v>PDF p. 2</x:v>
      </x:c>
      <x:c r="X840" s="87"/>
      <x:c r="Y840" s="87"/>
      <x:c r="Z840" s="87"/>
      <x:c r="AA840" s="87"/>
      <x:c r="AB840" s="87"/>
      <x:c r="AC840" s="87"/>
      <x:c r="AD840" s="87"/>
      <x:c r="AE840" s="87"/>
      <x:c r="AF840" s="87"/>
      <x:c r="AG840" s="87"/>
      <x:c r="AH840" s="87"/>
      <x:c r="AI840" s="30"/>
      <x:c r="AJ840" s="87" t="str">
        <x:v>master</x:v>
      </x:c>
      <x:c r="AK840" s="87" t="str">
        <x:v>master-v0.81</x:v>
      </x:c>
      <x:c r="AL840" s="87" t="str">
        <x:v>statgrad_master_base_v0_81_final(2).xlsx</x:v>
      </x:c>
      <x:c r="AM840" s="87" t="str">
        <x:v>HIST_Feb_V3</x:v>
      </x:c>
      <x:c r="AN840" s="87" t="n">
        <x:v>3</x:v>
      </x:c>
    </x:row>
    <x:row r="841">
      <x:c r="A841" s="87" t="n">
        <x:v>840</x:v>
      </x:c>
      <x:c r="B841" s="87" t="str">
        <x:v>FEB-HIS-V3-003</x:v>
      </x:c>
      <x:c r="C841" s="87" t="str">
        <x:v>СтатГрад</x:v>
      </x:c>
      <x:c r="D841" s="87" t="str">
        <x:v>Февраль 2026</x:v>
      </x:c>
      <x:c r="E841" s="87"/>
      <x:c r="F841" s="87"/>
      <x:c r="G841" s="87" t="str">
        <x:v>История</x:v>
      </x:c>
      <x:c r="H841" s="87" t="n">
        <x:v>11</x:v>
      </x:c>
      <x:c r="I841" s="87" t="str">
        <x:v>ТР №4</x:v>
      </x:c>
      <x:c r="J841" s="87" t="str">
        <x:v>ИС2510403</x:v>
      </x:c>
      <x:c r="K841" s="87" t="n">
        <x:v>3</x:v>
      </x:c>
      <x:c r="L841" s="87" t="str">
        <x:v>Процессы и факты</x:v>
      </x:c>
      <x:c r="M841" s="30" t="str">
        <x:v>Соотнесите реформы Александра II, борьбу 1950-х, раздробленность и реформы Избранной рады с фактами.</x:v>
      </x:c>
      <x:c r="N841" s="30" t="str">
        <x:v>4125</x:v>
      </x:c>
      <x:c r="O841" s="30" t="str">
        <x:v>Мировой суд; осуждение антипартийной группы; перенос кафедры во Владимир; первый Земский собор.</x:v>
      </x:c>
      <x:c r="P841" s="30" t="str">
        <x:v>Все пары проверены по датам и содержанию процессов; совпадают с опубликованным ответом.</x:v>
      </x:c>
      <x:c r="Q841" s="30"/>
      <x:c r="R841" s="30" t="str">
        <x:v>Открытый ответ: 4125</x:v>
      </x:c>
      <x:c r="S841" s="30"/>
      <x:c r="T841" s="30"/>
      <x:c r="U841" s="30" t="str">
        <x:v>Расхождений нет.</x:v>
      </x:c>
      <x:c r="V841" s="87" t="str">
        <x:v>VERIFIED</x:v>
      </x:c>
      <x:c r="W841" s="87" t="str">
        <x:v>PDF p. 3</x:v>
      </x:c>
      <x:c r="X841" s="87"/>
      <x:c r="Y841" s="87"/>
      <x:c r="Z841" s="87"/>
      <x:c r="AA841" s="87"/>
      <x:c r="AB841" s="87"/>
      <x:c r="AC841" s="87"/>
      <x:c r="AD841" s="87"/>
      <x:c r="AE841" s="87"/>
      <x:c r="AF841" s="87"/>
      <x:c r="AG841" s="87"/>
      <x:c r="AH841" s="87"/>
      <x:c r="AI841" s="30"/>
      <x:c r="AJ841" s="87" t="str">
        <x:v>master</x:v>
      </x:c>
      <x:c r="AK841" s="87" t="str">
        <x:v>master-v0.81</x:v>
      </x:c>
      <x:c r="AL841" s="87" t="str">
        <x:v>statgrad_master_base_v0_81_final(2).xlsx</x:v>
      </x:c>
      <x:c r="AM841" s="87" t="str">
        <x:v>HIST_Feb_V3</x:v>
      </x:c>
      <x:c r="AN841" s="87" t="n">
        <x:v>4</x:v>
      </x:c>
    </x:row>
    <x:row r="842">
      <x:c r="A842" s="87" t="n">
        <x:v>841</x:v>
      </x:c>
      <x:c r="B842" s="87" t="str">
        <x:v>FEB-HIS-V3-004</x:v>
      </x:c>
      <x:c r="C842" s="87" t="str">
        <x:v>СтатГрад</x:v>
      </x:c>
      <x:c r="D842" s="87" t="str">
        <x:v>Февраль 2026</x:v>
      </x:c>
      <x:c r="E842" s="87"/>
      <x:c r="F842" s="87"/>
      <x:c r="G842" s="87" t="str">
        <x:v>История</x:v>
      </x:c>
      <x:c r="H842" s="87" t="n">
        <x:v>11</x:v>
      </x:c>
      <x:c r="I842" s="87" t="str">
        <x:v>ТР №4</x:v>
      </x:c>
      <x:c r="J842" s="87" t="str">
        <x:v>ИС2510403</x:v>
      </x:c>
      <x:c r="K842" s="87" t="n">
        <x:v>4</x:v>
      </x:c>
      <x:c r="L842" s="87" t="str">
        <x:v>Заполнение таблицы</x:v>
      </x:c>
      <x:c r="M842" s="30" t="str">
        <x:v>Заполните пропуски по Любечу, Ярославлю, Киеву и борьбе за Правобережную Украину.</x:v>
      </x:c>
      <x:c r="N842" s="30" t="str">
        <x:v>351678</x:v>
      </x:c>
      <x:c r="O842" s="30" t="str">
        <x:v>Любеч — съезд князей; Ярославль — присоединение к Москве в 1460-е; убийство Аскольда и Дира — 880-е; Чигирин — борьба 1670-х.</x:v>
      </x:c>
      <x:c r="P842" s="30" t="str">
        <x:v>Каждый элемент восстановлен из таблицы; итог совпадает с опубликованным ответом.</x:v>
      </x:c>
      <x:c r="Q842" s="30"/>
      <x:c r="R842" s="30" t="str">
        <x:v>Открытый ответ: 351678</x:v>
      </x:c>
      <x:c r="S842" s="30"/>
      <x:c r="T842" s="30"/>
      <x:c r="U842" s="30" t="str">
        <x:v>Расхождений нет.</x:v>
      </x:c>
      <x:c r="V842" s="87" t="str">
        <x:v>VERIFIED</x:v>
      </x:c>
      <x:c r="W842" s="87" t="str">
        <x:v>PDF pp. 3–4</x:v>
      </x:c>
      <x:c r="X842" s="87"/>
      <x:c r="Y842" s="87"/>
      <x:c r="Z842" s="87"/>
      <x:c r="AA842" s="87"/>
      <x:c r="AB842" s="87"/>
      <x:c r="AC842" s="87"/>
      <x:c r="AD842" s="87"/>
      <x:c r="AE842" s="87"/>
      <x:c r="AF842" s="87"/>
      <x:c r="AG842" s="87"/>
      <x:c r="AH842" s="87"/>
      <x:c r="AI842" s="30"/>
      <x:c r="AJ842" s="87" t="str">
        <x:v>master</x:v>
      </x:c>
      <x:c r="AK842" s="87" t="str">
        <x:v>master-v0.81</x:v>
      </x:c>
      <x:c r="AL842" s="87" t="str">
        <x:v>statgrad_master_base_v0_81_final(2).xlsx</x:v>
      </x:c>
      <x:c r="AM842" s="87" t="str">
        <x:v>HIST_Feb_V3</x:v>
      </x:c>
      <x:c r="AN842" s="87" t="n">
        <x:v>5</x:v>
      </x:c>
    </x:row>
    <x:row r="843">
      <x:c r="A843" s="87" t="n">
        <x:v>842</x:v>
      </x:c>
      <x:c r="B843" s="87" t="str">
        <x:v>FEB-HIS-V3-005</x:v>
      </x:c>
      <x:c r="C843" s="87" t="str">
        <x:v>СтатГрад</x:v>
      </x:c>
      <x:c r="D843" s="87" t="str">
        <x:v>Февраль 2026</x:v>
      </x:c>
      <x:c r="E843" s="87"/>
      <x:c r="F843" s="87"/>
      <x:c r="G843" s="87" t="str">
        <x:v>История</x:v>
      </x:c>
      <x:c r="H843" s="87" t="n">
        <x:v>11</x:v>
      </x:c>
      <x:c r="I843" s="87" t="str">
        <x:v>ТР №4</x:v>
      </x:c>
      <x:c r="J843" s="87" t="str">
        <x:v>ИС2510403</x:v>
      </x:c>
      <x:c r="K843" s="87" t="n">
        <x:v>5</x:v>
      </x:c>
      <x:c r="L843" s="87" t="str">
        <x:v>События и участники</x:v>
      </x:c>
      <x:c r="M843" s="30" t="str">
        <x:v>Соотнесите битву за Москву, Конституцию РФ, Негласный комитет и Андрусовское перемирие с участниками.</x:v>
      </x:c>
      <x:c r="N843" s="30" t="str">
        <x:v>6314</x:v>
      </x:c>
      <x:c r="O843" s="30" t="str">
        <x:v>И. В. Панфилов; Б. Н. Ельцин; П. А. Строганов; А. Л. Ордин-Нащокин.</x:v>
      </x:c>
      <x:c r="P843" s="30" t="str">
        <x:v>Участники проверены по роли в событиях; последовательность совпала с открытым ответом.</x:v>
      </x:c>
      <x:c r="Q843" s="30"/>
      <x:c r="R843" s="30" t="str">
        <x:v>Открытый ответ: 6314</x:v>
      </x:c>
      <x:c r="S843" s="30"/>
      <x:c r="T843" s="30"/>
      <x:c r="U843" s="30" t="str">
        <x:v>Расхождений нет.</x:v>
      </x:c>
      <x:c r="V843" s="87" t="str">
        <x:v>VERIFIED</x:v>
      </x:c>
      <x:c r="W843" s="87" t="str">
        <x:v>PDF p. 4</x:v>
      </x:c>
      <x:c r="X843" s="87"/>
      <x:c r="Y843" s="87"/>
      <x:c r="Z843" s="87"/>
      <x:c r="AA843" s="87"/>
      <x:c r="AB843" s="87"/>
      <x:c r="AC843" s="87"/>
      <x:c r="AD843" s="87"/>
      <x:c r="AE843" s="87"/>
      <x:c r="AF843" s="87"/>
      <x:c r="AG843" s="87"/>
      <x:c r="AH843" s="87"/>
      <x:c r="AI843" s="30"/>
      <x:c r="AJ843" s="87" t="str">
        <x:v>master</x:v>
      </x:c>
      <x:c r="AK843" s="87" t="str">
        <x:v>master-v0.81</x:v>
      </x:c>
      <x:c r="AL843" s="87" t="str">
        <x:v>statgrad_master_base_v0_81_final(2).xlsx</x:v>
      </x:c>
      <x:c r="AM843" s="87" t="str">
        <x:v>HIST_Feb_V3</x:v>
      </x:c>
      <x:c r="AN843" s="87" t="n">
        <x:v>6</x:v>
      </x:c>
    </x:row>
    <x:row r="844">
      <x:c r="A844" s="87" t="n">
        <x:v>843</x:v>
      </x:c>
      <x:c r="B844" s="87" t="str">
        <x:v>FEB-HIS-V3-006</x:v>
      </x:c>
      <x:c r="C844" s="87" t="str">
        <x:v>СтатГрад</x:v>
      </x:c>
      <x:c r="D844" s="87" t="str">
        <x:v>Февраль 2026</x:v>
      </x:c>
      <x:c r="E844" s="87"/>
      <x:c r="F844" s="87"/>
      <x:c r="G844" s="87" t="str">
        <x:v>История</x:v>
      </x:c>
      <x:c r="H844" s="87" t="n">
        <x:v>11</x:v>
      </x:c>
      <x:c r="I844" s="87" t="str">
        <x:v>ТР №4</x:v>
      </x:c>
      <x:c r="J844" s="87" t="str">
        <x:v>ИС2510403</x:v>
      </x:c>
      <x:c r="K844" s="87" t="n">
        <x:v>6</x:v>
      </x:c>
      <x:c r="L844" s="87" t="str">
        <x:v>Анализ исторического источника</x:v>
      </x:c>
      <x:c r="M844" s="30" t="str">
        <x:v>Выберите верные суждения по постановлению о Генуэзской конференции и Рапалльском договоре.</x:v>
      </x:c>
      <x:c r="N844" s="30" t="str">
        <x:v>24</x:v>
      </x:c>
      <x:c r="O844" s="30" t="str">
        <x:v>События относятся к 1920-м гг.; в них участвовал Г. В. Чичерин.</x:v>
      </x:c>
      <x:c r="P844" s="30" t="str">
        <x:v>Рапалльский договор заключён с Германией в 1922 г.; остальные утверждения противоречат тексту или хронологии.</x:v>
      </x:c>
      <x:c r="Q844" s="30"/>
      <x:c r="R844" s="30" t="str">
        <x:v>Открытый ответ: 24</x:v>
      </x:c>
      <x:c r="S844" s="30"/>
      <x:c r="T844" s="30"/>
      <x:c r="U844" s="30" t="str">
        <x:v>Расхождений нет.</x:v>
      </x:c>
      <x:c r="V844" s="87" t="str">
        <x:v>VERIFIED</x:v>
      </x:c>
      <x:c r="W844" s="87" t="str">
        <x:v>PDF p. 5</x:v>
      </x:c>
      <x:c r="X844" s="87"/>
      <x:c r="Y844" s="87"/>
      <x:c r="Z844" s="87"/>
      <x:c r="AA844" s="87"/>
      <x:c r="AB844" s="87"/>
      <x:c r="AC844" s="87"/>
      <x:c r="AD844" s="87"/>
      <x:c r="AE844" s="87"/>
      <x:c r="AF844" s="87"/>
      <x:c r="AG844" s="87"/>
      <x:c r="AH844" s="87"/>
      <x:c r="AI844" s="30"/>
      <x:c r="AJ844" s="87" t="str">
        <x:v>master</x:v>
      </x:c>
      <x:c r="AK844" s="87" t="str">
        <x:v>master-v0.81</x:v>
      </x:c>
      <x:c r="AL844" s="87" t="str">
        <x:v>statgrad_master_base_v0_81_final(2).xlsx</x:v>
      </x:c>
      <x:c r="AM844" s="87" t="str">
        <x:v>HIST_Feb_V3</x:v>
      </x:c>
      <x:c r="AN844" s="87" t="n">
        <x:v>7</x:v>
      </x:c>
    </x:row>
    <x:row r="845">
      <x:c r="A845" s="87" t="n">
        <x:v>844</x:v>
      </x:c>
      <x:c r="B845" s="87" t="str">
        <x:v>FEB-HIS-V3-007</x:v>
      </x:c>
      <x:c r="C845" s="87" t="str">
        <x:v>СтатГрад</x:v>
      </x:c>
      <x:c r="D845" s="87" t="str">
        <x:v>Февраль 2026</x:v>
      </x:c>
      <x:c r="E845" s="87"/>
      <x:c r="F845" s="87"/>
      <x:c r="G845" s="87" t="str">
        <x:v>История</x:v>
      </x:c>
      <x:c r="H845" s="87" t="n">
        <x:v>11</x:v>
      </x:c>
      <x:c r="I845" s="87" t="str">
        <x:v>ТР №4</x:v>
      </x:c>
      <x:c r="J845" s="87" t="str">
        <x:v>ИС2510403</x:v>
      </x:c>
      <x:c r="K845" s="87" t="n">
        <x:v>7</x:v>
      </x:c>
      <x:c r="L845" s="87" t="str">
        <x:v>Культура</x:v>
      </x:c>
      <x:c r="M845" s="30" t="str">
        <x:v>Соотнесите «Степенную книгу», «Боярыню Морозову», фрески Феофана Грека и фильм «Покаяние» с характеристиками.</x:v>
      </x:c>
      <x:c r="N845" s="30" t="str">
        <x:v>5213</x:v>
      </x:c>
      <x:c r="O845" s="30" t="str">
        <x:v>XVI век; церковный раскол; Феофан Грек; 1980-е гг.</x:v>
      </x:c>
      <x:c r="P845" s="30" t="str">
        <x:v>Датировка и авторство проверены независимо; ответ совпадает с открытым ключом.</x:v>
      </x:c>
      <x:c r="Q845" s="30"/>
      <x:c r="R845" s="30" t="str">
        <x:v>Открытый ответ: 5213</x:v>
      </x:c>
      <x:c r="S845" s="30"/>
      <x:c r="T845" s="30"/>
      <x:c r="U845" s="30" t="str">
        <x:v>Расхождений нет.</x:v>
      </x:c>
      <x:c r="V845" s="87" t="str">
        <x:v>VERIFIED</x:v>
      </x:c>
      <x:c r="W845" s="87" t="str">
        <x:v>PDF p. 6</x:v>
      </x:c>
      <x:c r="X845" s="87"/>
      <x:c r="Y845" s="87"/>
      <x:c r="Z845" s="87"/>
      <x:c r="AA845" s="87"/>
      <x:c r="AB845" s="87"/>
      <x:c r="AC845" s="87"/>
      <x:c r="AD845" s="87"/>
      <x:c r="AE845" s="87"/>
      <x:c r="AF845" s="87"/>
      <x:c r="AG845" s="87"/>
      <x:c r="AH845" s="87"/>
      <x:c r="AI845" s="30"/>
      <x:c r="AJ845" s="87" t="str">
        <x:v>master</x:v>
      </x:c>
      <x:c r="AK845" s="87" t="str">
        <x:v>master-v0.81</x:v>
      </x:c>
      <x:c r="AL845" s="87" t="str">
        <x:v>statgrad_master_base_v0_81_final(2).xlsx</x:v>
      </x:c>
      <x:c r="AM845" s="87" t="str">
        <x:v>HIST_Feb_V3</x:v>
      </x:c>
      <x:c r="AN845" s="87" t="n">
        <x:v>8</x:v>
      </x:c>
    </x:row>
    <x:row r="846">
      <x:c r="A846" s="87" t="n">
        <x:v>845</x:v>
      </x:c>
      <x:c r="B846" s="87" t="str">
        <x:v>FEB-HIS-V3-008</x:v>
      </x:c>
      <x:c r="C846" s="87" t="str">
        <x:v>СтатГрад</x:v>
      </x:c>
      <x:c r="D846" s="87" t="str">
        <x:v>Февраль 2026</x:v>
      </x:c>
      <x:c r="E846" s="87"/>
      <x:c r="F846" s="87"/>
      <x:c r="G846" s="87" t="str">
        <x:v>История</x:v>
      </x:c>
      <x:c r="H846" s="87" t="n">
        <x:v>11</x:v>
      </x:c>
      <x:c r="I846" s="87" t="str">
        <x:v>ТР №4</x:v>
      </x:c>
      <x:c r="J846" s="87" t="str">
        <x:v>ИС2510403</x:v>
      </x:c>
      <x:c r="K846" s="87" t="n">
        <x:v>8</x:v>
      </x:c>
      <x:c r="L846" s="87" t="str">
        <x:v>Работа с изображением</x:v>
      </x:c>
      <x:c r="M846" s="30" t="str">
        <x:v>Назовите словами год окончания боевых действий, которым посвящён плакат о победе над Японией.</x:v>
      </x:c>
      <x:c r="N846" s="30" t="str">
        <x:v>сорок пятом</x:v>
      </x:c>
      <x:c r="O846" s="30" t="str">
        <x:v>Советско-японская война и Вторая мировая война завершились в 1945 г.</x:v>
      </x:c>
      <x:c r="P846" s="30" t="str">
        <x:v>Содержание плаката и дата окончания боевых действий дают форму «сорок пятом»; совпадает с открытым ответом.</x:v>
      </x:c>
      <x:c r="Q846" s="30"/>
      <x:c r="R846" s="30" t="str">
        <x:v>Открытый ответ: сорок пятом</x:v>
      </x:c>
      <x:c r="S846" s="30"/>
      <x:c r="T846" s="30"/>
      <x:c r="U846" s="30" t="str">
        <x:v>Расхождений нет.</x:v>
      </x:c>
      <x:c r="V846" s="87" t="str">
        <x:v>VERIFIED</x:v>
      </x:c>
      <x:c r="W846" s="87" t="str">
        <x:v>PDF p. 6</x:v>
      </x:c>
      <x:c r="X846" s="87"/>
      <x:c r="Y846" s="87"/>
      <x:c r="Z846" s="87"/>
      <x:c r="AA846" s="87"/>
      <x:c r="AB846" s="87"/>
      <x:c r="AC846" s="87"/>
      <x:c r="AD846" s="87"/>
      <x:c r="AE846" s="87"/>
      <x:c r="AF846" s="87"/>
      <x:c r="AG846" s="87"/>
      <x:c r="AH846" s="87"/>
      <x:c r="AI846" s="30"/>
      <x:c r="AJ846" s="87" t="str">
        <x:v>master</x:v>
      </x:c>
      <x:c r="AK846" s="87" t="str">
        <x:v>master-v0.81</x:v>
      </x:c>
      <x:c r="AL846" s="87" t="str">
        <x:v>statgrad_master_base_v0_81_final(2).xlsx</x:v>
      </x:c>
      <x:c r="AM846" s="87" t="str">
        <x:v>HIST_Feb_V3</x:v>
      </x:c>
      <x:c r="AN846" s="87" t="n">
        <x:v>9</x:v>
      </x:c>
    </x:row>
    <x:row r="847">
      <x:c r="A847" s="87" t="n">
        <x:v>846</x:v>
      </x:c>
      <x:c r="B847" s="87" t="str">
        <x:v>FEB-HIS-V3-009</x:v>
      </x:c>
      <x:c r="C847" s="87" t="str">
        <x:v>СтатГрад</x:v>
      </x:c>
      <x:c r="D847" s="87" t="str">
        <x:v>Февраль 2026</x:v>
      </x:c>
      <x:c r="E847" s="87"/>
      <x:c r="F847" s="87"/>
      <x:c r="G847" s="87" t="str">
        <x:v>История</x:v>
      </x:c>
      <x:c r="H847" s="87" t="n">
        <x:v>11</x:v>
      </x:c>
      <x:c r="I847" s="87" t="str">
        <x:v>ТР №4</x:v>
      </x:c>
      <x:c r="J847" s="87" t="str">
        <x:v>ИС2510403</x:v>
      </x:c>
      <x:c r="K847" s="87" t="n">
        <x:v>9</x:v>
      </x:c>
      <x:c r="L847" s="87" t="str">
        <x:v>Историческая карта</x:v>
      </x:c>
      <x:c r="M847" s="30" t="str">
        <x:v>Назовите российского монарха в период показанной русско-турецкой войны.</x:v>
      </x:c>
      <x:c r="N847" s="30" t="str">
        <x:v>Екатерина Вторая</x:v>
      </x:c>
      <x:c r="O847" s="30" t="str">
        <x:v>Карта отражает войну 1768–1774 гг., проходившую при Екатерине II.</x:v>
      </x:c>
      <x:c r="P847" s="30" t="str">
        <x:v>Театр военных действий и отмеченные походы сопоставлены с войной 1768–1774 гг.</x:v>
      </x:c>
      <x:c r="Q847" s="30"/>
      <x:c r="R847" s="30" t="str">
        <x:v>Независимое решение; перекрёстная сверка с парным вариантом</x:v>
      </x:c>
      <x:c r="S847" s="30"/>
      <x:c r="T847" s="30"/>
      <x:c r="U847" s="30" t="str">
        <x:v>Расхождений нет.</x:v>
      </x:c>
      <x:c r="V847" s="87" t="str">
        <x:v>VERIFIED</x:v>
      </x:c>
      <x:c r="W847" s="87" t="str">
        <x:v>PDF p. 7</x:v>
      </x:c>
      <x:c r="X847" s="87"/>
      <x:c r="Y847" s="87"/>
      <x:c r="Z847" s="87"/>
      <x:c r="AA847" s="87"/>
      <x:c r="AB847" s="87"/>
      <x:c r="AC847" s="87"/>
      <x:c r="AD847" s="87"/>
      <x:c r="AE847" s="87"/>
      <x:c r="AF847" s="87"/>
      <x:c r="AG847" s="87"/>
      <x:c r="AH847" s="87"/>
      <x:c r="AI847" s="30"/>
      <x:c r="AJ847" s="87" t="str">
        <x:v>master</x:v>
      </x:c>
      <x:c r="AK847" s="87" t="str">
        <x:v>master-v0.81</x:v>
      </x:c>
      <x:c r="AL847" s="87" t="str">
        <x:v>statgrad_master_base_v0_81_final(2).xlsx</x:v>
      </x:c>
      <x:c r="AM847" s="87" t="str">
        <x:v>HIST_Feb_V3</x:v>
      </x:c>
      <x:c r="AN847" s="87" t="n">
        <x:v>10</x:v>
      </x:c>
    </x:row>
    <x:row r="848">
      <x:c r="A848" s="87" t="n">
        <x:v>847</x:v>
      </x:c>
      <x:c r="B848" s="87" t="str">
        <x:v>FEB-HIS-V3-010</x:v>
      </x:c>
      <x:c r="C848" s="87" t="str">
        <x:v>СтатГрад</x:v>
      </x:c>
      <x:c r="D848" s="87" t="str">
        <x:v>Февраль 2026</x:v>
      </x:c>
      <x:c r="E848" s="87"/>
      <x:c r="F848" s="87"/>
      <x:c r="G848" s="87" t="str">
        <x:v>История</x:v>
      </x:c>
      <x:c r="H848" s="87" t="n">
        <x:v>11</x:v>
      </x:c>
      <x:c r="I848" s="87" t="str">
        <x:v>ТР №4</x:v>
      </x:c>
      <x:c r="J848" s="87" t="str">
        <x:v>ИС2510403</x:v>
      </x:c>
      <x:c r="K848" s="87" t="n">
        <x:v>10</x:v>
      </x:c>
      <x:c r="L848" s="87" t="str">
        <x:v>Историческая карта</x:v>
      </x:c>
      <x:c r="M848" s="30" t="str">
        <x:v>Назовите реку, дважды обозначенную цифрой «1».</x:v>
      </x:c>
      <x:c r="N848" s="30" t="str">
        <x:v>Днепр</x:v>
      </x:c>
      <x:c r="O848" s="30" t="str">
        <x:v>Цифрой отмечено русло Днепра в его среднем и нижнем течении.</x:v>
      </x:c>
      <x:c r="P848" s="30" t="str">
        <x:v>География карты проверена по Киеву, Кременчугу, Екатеринославу и устью реки.</x:v>
      </x:c>
      <x:c r="Q848" s="30"/>
      <x:c r="R848" s="30" t="str">
        <x:v>Независимое решение; перекрёстная сверка</x:v>
      </x:c>
      <x:c r="S848" s="30"/>
      <x:c r="T848" s="30"/>
      <x:c r="U848" s="30" t="str">
        <x:v>Расхождений нет.</x:v>
      </x:c>
      <x:c r="V848" s="87" t="str">
        <x:v>VERIFIED</x:v>
      </x:c>
      <x:c r="W848" s="87" t="str">
        <x:v>PDF p. 7</x:v>
      </x:c>
      <x:c r="X848" s="87"/>
      <x:c r="Y848" s="87"/>
      <x:c r="Z848" s="87"/>
      <x:c r="AA848" s="87"/>
      <x:c r="AB848" s="87"/>
      <x:c r="AC848" s="87"/>
      <x:c r="AD848" s="87"/>
      <x:c r="AE848" s="87"/>
      <x:c r="AF848" s="87"/>
      <x:c r="AG848" s="87"/>
      <x:c r="AH848" s="87"/>
      <x:c r="AI848" s="30"/>
      <x:c r="AJ848" s="87" t="str">
        <x:v>master</x:v>
      </x:c>
      <x:c r="AK848" s="87" t="str">
        <x:v>master-v0.81</x:v>
      </x:c>
      <x:c r="AL848" s="87" t="str">
        <x:v>statgrad_master_base_v0_81_final(2).xlsx</x:v>
      </x:c>
      <x:c r="AM848" s="87" t="str">
        <x:v>HIST_Feb_V3</x:v>
      </x:c>
      <x:c r="AN848" s="87" t="n">
        <x:v>11</x:v>
      </x:c>
    </x:row>
    <x:row r="849">
      <x:c r="A849" s="87" t="n">
        <x:v>848</x:v>
      </x:c>
      <x:c r="B849" s="87" t="str">
        <x:v>FEB-HIS-V3-011</x:v>
      </x:c>
      <x:c r="C849" s="87" t="str">
        <x:v>СтатГрад</x:v>
      </x:c>
      <x:c r="D849" s="87" t="str">
        <x:v>Февраль 2026</x:v>
      </x:c>
      <x:c r="E849" s="87"/>
      <x:c r="F849" s="87"/>
      <x:c r="G849" s="87" t="str">
        <x:v>История</x:v>
      </x:c>
      <x:c r="H849" s="87" t="n">
        <x:v>11</x:v>
      </x:c>
      <x:c r="I849" s="87" t="str">
        <x:v>ТР №4</x:v>
      </x:c>
      <x:c r="J849" s="87" t="str">
        <x:v>ИС2510403</x:v>
      </x:c>
      <x:c r="K849" s="87" t="n">
        <x:v>11</x:v>
      </x:c>
      <x:c r="L849" s="87" t="str">
        <x:v>Историческая карта</x:v>
      </x:c>
      <x:c r="M849" s="30" t="str">
        <x:v>Назовите город, занятый 2 июня перед победой при Козлудже.</x:v>
      </x:c>
      <x:c r="N849" s="30" t="str">
        <x:v>Базарджик</x:v>
      </x:c>
      <x:c r="O849" s="30" t="str">
        <x:v>Маршрут Каменского: Карасу — Базарджик — Козлуджа — Шумла.</x:v>
      </x:c>
      <x:c r="P849" s="30" t="str">
        <x:v>Название прочитано по карте и проверено по хронологии кампании 1774 г.</x:v>
      </x:c>
      <x:c r="Q849" s="30"/>
      <x:c r="R849" s="30" t="str">
        <x:v>Независимое решение; перекрёстная сверка</x:v>
      </x:c>
      <x:c r="S849" s="30"/>
      <x:c r="T849" s="30"/>
      <x:c r="U849" s="30" t="str">
        <x:v>Расхождений нет.</x:v>
      </x:c>
      <x:c r="V849" s="87" t="str">
        <x:v>VERIFIED</x:v>
      </x:c>
      <x:c r="W849" s="87" t="str">
        <x:v>PDF p. 8</x:v>
      </x:c>
      <x:c r="X849" s="87"/>
      <x:c r="Y849" s="87"/>
      <x:c r="Z849" s="87"/>
      <x:c r="AA849" s="87"/>
      <x:c r="AB849" s="87"/>
      <x:c r="AC849" s="87"/>
      <x:c r="AD849" s="87"/>
      <x:c r="AE849" s="87"/>
      <x:c r="AF849" s="87"/>
      <x:c r="AG849" s="87"/>
      <x:c r="AH849" s="87"/>
      <x:c r="AI849" s="30"/>
      <x:c r="AJ849" s="87" t="str">
        <x:v>master</x:v>
      </x:c>
      <x:c r="AK849" s="87" t="str">
        <x:v>master-v0.81</x:v>
      </x:c>
      <x:c r="AL849" s="87" t="str">
        <x:v>statgrad_master_base_v0_81_final(2).xlsx</x:v>
      </x:c>
      <x:c r="AM849" s="87" t="str">
        <x:v>HIST_Feb_V3</x:v>
      </x:c>
      <x:c r="AN849" s="87" t="n">
        <x:v>12</x:v>
      </x:c>
    </x:row>
    <x:row r="850">
      <x:c r="A850" s="87" t="n">
        <x:v>849</x:v>
      </x:c>
      <x:c r="B850" s="87" t="str">
        <x:v>FEB-HIS-V3-012</x:v>
      </x:c>
      <x:c r="C850" s="87" t="str">
        <x:v>СтатГрад</x:v>
      </x:c>
      <x:c r="D850" s="87" t="str">
        <x:v>Февраль 2026</x:v>
      </x:c>
      <x:c r="E850" s="87"/>
      <x:c r="F850" s="87"/>
      <x:c r="G850" s="87" t="str">
        <x:v>История</x:v>
      </x:c>
      <x:c r="H850" s="87" t="n">
        <x:v>11</x:v>
      </x:c>
      <x:c r="I850" s="87" t="str">
        <x:v>ТР №4</x:v>
      </x:c>
      <x:c r="J850" s="87" t="str">
        <x:v>ИС2510403</x:v>
      </x:c>
      <x:c r="K850" s="87" t="n">
        <x:v>12</x:v>
      </x:c>
      <x:c r="L850" s="87" t="str">
        <x:v>Историческая карта: суждения</x:v>
      </x:c>
      <x:c r="M850" s="30" t="str">
        <x:v>Выберите верные суждения по карте русско-турецкой войны.</x:v>
      </x:c>
      <x:c r="N850" s="30" t="str">
        <x:v>145</x:v>
      </x:c>
      <x:c r="O850" s="30" t="str">
        <x:v>Верны: Бахчисарай как столица ханства; Азов был возвращён Османской империи после Прутского похода; при Кагуле командовал П. А. Румянцев.</x:v>
      </x:c>
      <x:c r="P850" s="30" t="str">
        <x:v>Каждое из шести суждений проверено по карте и хронологии; верны 1, 4, 5.</x:v>
      </x:c>
      <x:c r="Q850" s="30"/>
      <x:c r="R850" s="30" t="str">
        <x:v>Независимое решение; перекрёстная сверка</x:v>
      </x:c>
      <x:c r="S850" s="30"/>
      <x:c r="T850" s="30"/>
      <x:c r="U850" s="30" t="str">
        <x:v>Расхождений нет.</x:v>
      </x:c>
      <x:c r="V850" s="87" t="str">
        <x:v>VERIFIED</x:v>
      </x:c>
      <x:c r="W850" s="87" t="str">
        <x:v>PDF p. 8</x:v>
      </x:c>
      <x:c r="X850" s="87"/>
      <x:c r="Y850" s="87"/>
      <x:c r="Z850" s="87"/>
      <x:c r="AA850" s="87"/>
      <x:c r="AB850" s="87"/>
      <x:c r="AC850" s="87"/>
      <x:c r="AD850" s="87"/>
      <x:c r="AE850" s="87"/>
      <x:c r="AF850" s="87"/>
      <x:c r="AG850" s="87"/>
      <x:c r="AH850" s="87"/>
      <x:c r="AI850" s="30"/>
      <x:c r="AJ850" s="87" t="str">
        <x:v>master</x:v>
      </x:c>
      <x:c r="AK850" s="87" t="str">
        <x:v>master-v0.81</x:v>
      </x:c>
      <x:c r="AL850" s="87" t="str">
        <x:v>statgrad_master_base_v0_81_final(2).xlsx</x:v>
      </x:c>
      <x:c r="AM850" s="87" t="str">
        <x:v>HIST_Feb_V3</x:v>
      </x:c>
      <x:c r="AN850" s="87" t="n">
        <x:v>13</x:v>
      </x:c>
    </x:row>
    <x:row r="851">
      <x:c r="A851" s="87" t="n">
        <x:v>850</x:v>
      </x:c>
      <x:c r="B851" s="87" t="str">
        <x:v>FEB-HIS-V3-013</x:v>
      </x:c>
      <x:c r="C851" s="87" t="str">
        <x:v>СтатГрад</x:v>
      </x:c>
      <x:c r="D851" s="87" t="str">
        <x:v>Февраль 2026</x:v>
      </x:c>
      <x:c r="E851" s="87"/>
      <x:c r="F851" s="87"/>
      <x:c r="G851" s="87" t="str">
        <x:v>История</x:v>
      </x:c>
      <x:c r="H851" s="87" t="n">
        <x:v>11</x:v>
      </x:c>
      <x:c r="I851" s="87" t="str">
        <x:v>ТР №4</x:v>
      </x:c>
      <x:c r="J851" s="87" t="str">
        <x:v>ИС2510403</x:v>
      </x:c>
      <x:c r="K851" s="87" t="n">
        <x:v>13</x:v>
      </x:c>
      <x:c r="L851" s="87" t="str">
        <x:v>Развёрнутый ответ: источник</x:v>
      </x:c>
      <x:c r="M851" s="30" t="str">
        <x:v>Назовите царя, десятилетие и период событий осады Калуги и выступления Ивана Болотникова.</x:v>
      </x:c>
      <x:c r="N851" s="30" t="str">
        <x:v>Василий Шуйский; 1600-е гг.; Смутное время.</x:v>
      </x:c>
      <x:c r="O851" s="30" t="str">
        <x:v>Источник описывает события восстания Болотникова 1606–1607 гг. при Василии Шуйском.</x:v>
      </x:c>
      <x:c r="P851" s="30" t="str">
        <x:v>Все три элемента подтверждаются текстом и общей хронологией Смуты.</x:v>
      </x:c>
      <x:c r="Q851" s="30"/>
      <x:c r="R851" s="30" t="str">
        <x:v>Критерий: три элемента — 2 балла; любые два — 1</x:v>
      </x:c>
      <x:c r="S851" s="30"/>
      <x:c r="T851" s="30"/>
      <x:c r="U851" s="30" t="str">
        <x:v>Расхождений нет.</x:v>
      </x:c>
      <x:c r="V851" s="87" t="str">
        <x:v>VERIFIED</x:v>
      </x:c>
      <x:c r="W851" s="87" t="str">
        <x:v>PDF p. 9</x:v>
      </x:c>
      <x:c r="X851" s="87"/>
      <x:c r="Y851" s="87"/>
      <x:c r="Z851" s="87"/>
      <x:c r="AA851" s="87"/>
      <x:c r="AB851" s="87"/>
      <x:c r="AC851" s="87"/>
      <x:c r="AD851" s="87"/>
      <x:c r="AE851" s="87"/>
      <x:c r="AF851" s="87"/>
      <x:c r="AG851" s="87"/>
      <x:c r="AH851" s="87"/>
      <x:c r="AI851" s="30"/>
      <x:c r="AJ851" s="87" t="str">
        <x:v>master</x:v>
      </x:c>
      <x:c r="AK851" s="87" t="str">
        <x:v>master-v0.81</x:v>
      </x:c>
      <x:c r="AL851" s="87" t="str">
        <x:v>statgrad_master_base_v0_81_final(2).xlsx</x:v>
      </x:c>
      <x:c r="AM851" s="87" t="str">
        <x:v>HIST_Feb_V3</x:v>
      </x:c>
      <x:c r="AN851" s="87" t="n">
        <x:v>14</x:v>
      </x:c>
    </x:row>
    <x:row r="852">
      <x:c r="A852" s="87" t="n">
        <x:v>851</x:v>
      </x:c>
      <x:c r="B852" s="87" t="str">
        <x:v>FEB-HIS-V3-014</x:v>
      </x:c>
      <x:c r="C852" s="87" t="str">
        <x:v>СтатГрад</x:v>
      </x:c>
      <x:c r="D852" s="87" t="str">
        <x:v>Февраль 2026</x:v>
      </x:c>
      <x:c r="E852" s="87"/>
      <x:c r="F852" s="87"/>
      <x:c r="G852" s="87" t="str">
        <x:v>История</x:v>
      </x:c>
      <x:c r="H852" s="87" t="n">
        <x:v>11</x:v>
      </x:c>
      <x:c r="I852" s="87" t="str">
        <x:v>ТР №4</x:v>
      </x:c>
      <x:c r="J852" s="87" t="str">
        <x:v>ИС2510403</x:v>
      </x:c>
      <x:c r="K852" s="87" t="n">
        <x:v>14</x:v>
      </x:c>
      <x:c r="L852" s="87" t="str">
        <x:v>Развёрнутый ответ: источник</x:v>
      </x:c>
      <x:c r="M852" s="30" t="str">
        <x:v>Укажите проблему при осаде Калуги, причину похода на Арзамас и Алатырь и того, кому оставили Москву.</x:v>
      </x:c>
      <x:c r="N852" s="30" t="str">
        <x:v>Осаждённые постоянно обстреливали царское войско и совершали вылазки, нанося потери; Арзамас и Алатырь с уездами изменили царю; Москва была оставлена брату царя князю Дмитрию Ивановичу.</x:v>
      </x:c>
      <x:c r="O852" s="30" t="str">
        <x:v>Три положения напрямую следуют из фрагмента источника.</x:v>
      </x:c>
      <x:c r="P852" s="30" t="str">
        <x:v>Ответ разделён строго по трём вопросам без лишнего цитирования.</x:v>
      </x:c>
      <x:c r="Q852" s="30"/>
      <x:c r="R852" s="30" t="str">
        <x:v>Критерий: три положения — 2 балла; любые два — 1</x:v>
      </x:c>
      <x:c r="S852" s="30"/>
      <x:c r="T852" s="30"/>
      <x:c r="U852" s="30" t="str">
        <x:v>Расхождений нет.</x:v>
      </x:c>
      <x:c r="V852" s="87" t="str">
        <x:v>VERIFIED</x:v>
      </x:c>
      <x:c r="W852" s="87" t="str">
        <x:v>PDF pp. 9–10</x:v>
      </x:c>
      <x:c r="X852" s="87"/>
      <x:c r="Y852" s="87"/>
      <x:c r="Z852" s="87"/>
      <x:c r="AA852" s="87"/>
      <x:c r="AB852" s="87"/>
      <x:c r="AC852" s="87"/>
      <x:c r="AD852" s="87"/>
      <x:c r="AE852" s="87"/>
      <x:c r="AF852" s="87"/>
      <x:c r="AG852" s="87"/>
      <x:c r="AH852" s="87"/>
      <x:c r="AI852" s="30"/>
      <x:c r="AJ852" s="87" t="str">
        <x:v>master</x:v>
      </x:c>
      <x:c r="AK852" s="87" t="str">
        <x:v>master-v0.81</x:v>
      </x:c>
      <x:c r="AL852" s="87" t="str">
        <x:v>statgrad_master_base_v0_81_final(2).xlsx</x:v>
      </x:c>
      <x:c r="AM852" s="87" t="str">
        <x:v>HIST_Feb_V3</x:v>
      </x:c>
      <x:c r="AN852" s="87" t="n">
        <x:v>15</x:v>
      </x:c>
    </x:row>
    <x:row r="853">
      <x:c r="A853" s="87" t="n">
        <x:v>852</x:v>
      </x:c>
      <x:c r="B853" s="87" t="str">
        <x:v>FEB-HIS-V3-015</x:v>
      </x:c>
      <x:c r="C853" s="87" t="str">
        <x:v>СтатГрад</x:v>
      </x:c>
      <x:c r="D853" s="87" t="str">
        <x:v>Февраль 2026</x:v>
      </x:c>
      <x:c r="E853" s="87"/>
      <x:c r="F853" s="87"/>
      <x:c r="G853" s="87" t="str">
        <x:v>История</x:v>
      </x:c>
      <x:c r="H853" s="87" t="n">
        <x:v>11</x:v>
      </x:c>
      <x:c r="I853" s="87" t="str">
        <x:v>ТР №4</x:v>
      </x:c>
      <x:c r="J853" s="87" t="str">
        <x:v>ИС2510403</x:v>
      </x:c>
      <x:c r="K853" s="87" t="n">
        <x:v>15</x:v>
      </x:c>
      <x:c r="L853" s="87" t="str">
        <x:v>Развёрнутый ответ: изображение</x:v>
      </x:c>
      <x:c r="M853" s="30" t="str">
        <x:v>Назовите руководителя КПСС в год выпуска календаря и обоснуйте ответ по юбилейной дате.</x:v>
      </x:c>
      <x:c r="N853" s="30" t="str">
        <x:v>Н. С. Хрущёв. Календарь выпущен в 1959 г.: первая в мире промышленная АЭС была пущена в СССР в 1954 г., а листок посвящён пятилетию.</x:v>
      </x:c>
      <x:c r="O853" s="30" t="str">
        <x:v>1954 + 5 = 1959; в этот момент Первым секретарём ЦК КПСС был Н. С. Хрущёв.</x:v>
      </x:c>
      <x:c r="P853" s="30" t="str">
        <x:v>Дата вычислена из изображения и сопоставлена с политической хронологией.</x:v>
      </x:c>
      <x:c r="Q853" s="30"/>
      <x:c r="R853" s="30" t="str">
        <x:v>Критерий: руководитель и обоснование — 2; только руководитель — 1</x:v>
      </x:c>
      <x:c r="S853" s="30"/>
      <x:c r="T853" s="30"/>
      <x:c r="U853" s="30" t="str">
        <x:v>Расхождений нет.</x:v>
      </x:c>
      <x:c r="V853" s="87" t="str">
        <x:v>VERIFIED</x:v>
      </x:c>
      <x:c r="W853" s="87" t="str">
        <x:v>PDF p. 10</x:v>
      </x:c>
      <x:c r="X853" s="87"/>
      <x:c r="Y853" s="87"/>
      <x:c r="Z853" s="87"/>
      <x:c r="AA853" s="87"/>
      <x:c r="AB853" s="87"/>
      <x:c r="AC853" s="87"/>
      <x:c r="AD853" s="87"/>
      <x:c r="AE853" s="87"/>
      <x:c r="AF853" s="87"/>
      <x:c r="AG853" s="87"/>
      <x:c r="AH853" s="87"/>
      <x:c r="AI853" s="30"/>
      <x:c r="AJ853" s="87" t="str">
        <x:v>master</x:v>
      </x:c>
      <x:c r="AK853" s="87" t="str">
        <x:v>master-v0.81</x:v>
      </x:c>
      <x:c r="AL853" s="87" t="str">
        <x:v>statgrad_master_base_v0_81_final(2).xlsx</x:v>
      </x:c>
      <x:c r="AM853" s="87" t="str">
        <x:v>HIST_Feb_V3</x:v>
      </x:c>
      <x:c r="AN853" s="87" t="n">
        <x:v>16</x:v>
      </x:c>
    </x:row>
    <x:row r="854">
      <x:c r="A854" s="87" t="n">
        <x:v>853</x:v>
      </x:c>
      <x:c r="B854" s="87" t="str">
        <x:v>FEB-HIS-V3-016</x:v>
      </x:c>
      <x:c r="C854" s="87" t="str">
        <x:v>СтатГрад</x:v>
      </x:c>
      <x:c r="D854" s="87" t="str">
        <x:v>Февраль 2026</x:v>
      </x:c>
      <x:c r="E854" s="87"/>
      <x:c r="F854" s="87"/>
      <x:c r="G854" s="87" t="str">
        <x:v>История</x:v>
      </x:c>
      <x:c r="H854" s="87" t="n">
        <x:v>11</x:v>
      </x:c>
      <x:c r="I854" s="87" t="str">
        <x:v>ТР №4</x:v>
      </x:c>
      <x:c r="J854" s="87" t="str">
        <x:v>ИС2510403</x:v>
      </x:c>
      <x:c r="K854" s="87" t="n">
        <x:v>16</x:v>
      </x:c>
      <x:c r="L854" s="87" t="str">
        <x:v>Развёрнутый ответ: культура</x:v>
      </x:c>
      <x:c r="M854" s="30" t="str">
        <x:v>Выберите монумент, возведённый в той же половине века, что и календарь 1959 г., и назовите автора.</x:v>
      </x:c>
      <x:c r="N854" s="30" t="str">
        <x:v>1; Е. В. Вучетич.</x:v>
      </x:c>
      <x:c r="O854" s="30" t="str">
        <x:v>«Родина-мать зовёт!» открыта в 1967 г., то есть во второй половине XX в.; автор — Евгений Вучетич.</x:v>
      </x:c>
      <x:c r="P854" s="30" t="str">
        <x:v>Остальные памятники относятся к XVIII, первой половине XX и XIX вв.</x:v>
      </x:c>
      <x:c r="Q854" s="30"/>
      <x:c r="R854" s="30" t="str">
        <x:v>Критерий: номер и скульптор — 2; только номер — 1</x:v>
      </x:c>
      <x:c r="S854" s="30"/>
      <x:c r="T854" s="30"/>
      <x:c r="U854" s="30" t="str">
        <x:v>Расхождений нет.</x:v>
      </x:c>
      <x:c r="V854" s="87" t="str">
        <x:v>VERIFIED</x:v>
      </x:c>
      <x:c r="W854" s="87" t="str">
        <x:v>PDF p. 11</x:v>
      </x:c>
      <x:c r="X854" s="87"/>
      <x:c r="Y854" s="87"/>
      <x:c r="Z854" s="87"/>
      <x:c r="AA854" s="87"/>
      <x:c r="AB854" s="87"/>
      <x:c r="AC854" s="87"/>
      <x:c r="AD854" s="87"/>
      <x:c r="AE854" s="87"/>
      <x:c r="AF854" s="87"/>
      <x:c r="AG854" s="87"/>
      <x:c r="AH854" s="87"/>
      <x:c r="AI854" s="30"/>
      <x:c r="AJ854" s="87" t="str">
        <x:v>master</x:v>
      </x:c>
      <x:c r="AK854" s="87" t="str">
        <x:v>master-v0.81</x:v>
      </x:c>
      <x:c r="AL854" s="87" t="str">
        <x:v>statgrad_master_base_v0_81_final(2).xlsx</x:v>
      </x:c>
      <x:c r="AM854" s="87" t="str">
        <x:v>HIST_Feb_V3</x:v>
      </x:c>
      <x:c r="AN854" s="87" t="n">
        <x:v>17</x:v>
      </x:c>
    </x:row>
    <x:row r="855">
      <x:c r="A855" s="87" t="n">
        <x:v>854</x:v>
      </x:c>
      <x:c r="B855" s="87" t="str">
        <x:v>FEB-HIS-V3-017</x:v>
      </x:c>
      <x:c r="C855" s="87" t="str">
        <x:v>СтатГрад</x:v>
      </x:c>
      <x:c r="D855" s="87" t="str">
        <x:v>Февраль 2026</x:v>
      </x:c>
      <x:c r="E855" s="87"/>
      <x:c r="F855" s="87"/>
      <x:c r="G855" s="87" t="str">
        <x:v>История</x:v>
      </x:c>
      <x:c r="H855" s="87" t="n">
        <x:v>11</x:v>
      </x:c>
      <x:c r="I855" s="87" t="str">
        <x:v>ТР №4</x:v>
      </x:c>
      <x:c r="J855" s="87" t="str">
        <x:v>ИС2510403</x:v>
      </x:c>
      <x:c r="K855" s="87" t="n">
        <x:v>17</x:v>
      </x:c>
      <x:c r="L855" s="87" t="str">
        <x:v>Развёрнутый ответ: два источника</x:v>
      </x:c>
      <x:c r="M855" s="30" t="str">
        <x:v>Назовите год, любую советскую операцию этого года и реакцию воинов на начало операции.</x:v>
      </x:c>
      <x:c r="N855" s="30" t="str">
        <x:v>1944 г.; операция «Багратион»; известие о переходе румыно-болгарской границы было встречено громкими криками «ура».</x:v>
      </x:c>
      <x:c r="O855" s="30" t="str">
        <x:v>Оба фрагмента относятся к Ясско-Кишинёвской и последующей Балканской кампании 1944 г.</x:v>
      </x:c>
      <x:c r="P855" s="30" t="str">
        <x:v>Год и реакция извлечены из текста; операция «Багратион» проведена в том же году.</x:v>
      </x:c>
      <x:c r="Q855" s="30"/>
      <x:c r="R855" s="30" t="str">
        <x:v>Критерий: до 3 баллов — по одному за каждый элемент</x:v>
      </x:c>
      <x:c r="S855" s="30"/>
      <x:c r="T855" s="30"/>
      <x:c r="U855" s="30" t="str">
        <x:v>Расхождений нет.</x:v>
      </x:c>
      <x:c r="V855" s="87" t="str">
        <x:v>VERIFIED</x:v>
      </x:c>
      <x:c r="W855" s="87" t="str">
        <x:v>PDF p. 12</x:v>
      </x:c>
      <x:c r="X855" s="87"/>
      <x:c r="Y855" s="87"/>
      <x:c r="Z855" s="87"/>
      <x:c r="AA855" s="87"/>
      <x:c r="AB855" s="87"/>
      <x:c r="AC855" s="87"/>
      <x:c r="AD855" s="87"/>
      <x:c r="AE855" s="87"/>
      <x:c r="AF855" s="87"/>
      <x:c r="AG855" s="87"/>
      <x:c r="AH855" s="87"/>
      <x:c r="AI855" s="30"/>
      <x:c r="AJ855" s="87" t="str">
        <x:v>master</x:v>
      </x:c>
      <x:c r="AK855" s="87" t="str">
        <x:v>master-v0.81</x:v>
      </x:c>
      <x:c r="AL855" s="87" t="str">
        <x:v>statgrad_master_base_v0_81_final(2).xlsx</x:v>
      </x:c>
      <x:c r="AM855" s="87" t="str">
        <x:v>HIST_Feb_V3</x:v>
      </x:c>
      <x:c r="AN855" s="87" t="n">
        <x:v>18</x:v>
      </x:c>
    </x:row>
    <x:row r="856">
      <x:c r="A856" s="87" t="n">
        <x:v>855</x:v>
      </x:c>
      <x:c r="B856" s="87" t="str">
        <x:v>FEB-HIS-V3-018</x:v>
      </x:c>
      <x:c r="C856" s="87" t="str">
        <x:v>СтатГрад</x:v>
      </x:c>
      <x:c r="D856" s="87" t="str">
        <x:v>Февраль 2026</x:v>
      </x:c>
      <x:c r="E856" s="87"/>
      <x:c r="F856" s="87"/>
      <x:c r="G856" s="87" t="str">
        <x:v>История</x:v>
      </x:c>
      <x:c r="H856" s="87" t="n">
        <x:v>11</x:v>
      </x:c>
      <x:c r="I856" s="87" t="str">
        <x:v>ТР №4</x:v>
      </x:c>
      <x:c r="J856" s="87" t="str">
        <x:v>ИС2510403</x:v>
      </x:c>
      <x:c r="K856" s="87" t="n">
        <x:v>18</x:v>
      </x:c>
      <x:c r="L856" s="87" t="str">
        <x:v>Развёрнутый ответ: причинно-следственные связи</x:v>
      </x:c>
      <x:c r="M856" s="30" t="str">
        <x:v>Укажите внутреннюю причину начала русско-японской войны, внешнюю причину поражения и военную причину поражения.</x:v>
      </x:c>
      <x:c r="N856" s="30" t="str">
        <x:v>Внутренняя: власть рассчитывала отвлечь общество и укрепить авторитет «маленькой победоносной войной». Внешняя: Японию поддерживали Великобритания и США. Военная: японский флот был лучше подготовлен и современнее, а русские силы были удалены от основных баз.</x:v>
      </x:c>
      <x:c r="O856" s="30" t="str">
        <x:v>Три причины относятся к разным требуемым категориям и не дублируют друг друга.</x:v>
      </x:c>
      <x:c r="P856" s="30" t="str">
        <x:v>Связь каждой причины с войной 1904–1905 гг. проверена отдельно.</x:v>
      </x:c>
      <x:c r="Q856" s="30"/>
      <x:c r="R856" s="30" t="str">
        <x:v>Критерий: до 3 баллов — по одному за каждый элемент</x:v>
      </x:c>
      <x:c r="S856" s="30"/>
      <x:c r="T856" s="30"/>
      <x:c r="U856" s="30" t="str">
        <x:v>Расхождений нет.</x:v>
      </x:c>
      <x:c r="V856" s="87" t="str">
        <x:v>VERIFIED</x:v>
      </x:c>
      <x:c r="W856" s="87" t="str">
        <x:v>PDF p. 13</x:v>
      </x:c>
      <x:c r="X856" s="87"/>
      <x:c r="Y856" s="87"/>
      <x:c r="Z856" s="87"/>
      <x:c r="AA856" s="87"/>
      <x:c r="AB856" s="87"/>
      <x:c r="AC856" s="87"/>
      <x:c r="AD856" s="87"/>
      <x:c r="AE856" s="87"/>
      <x:c r="AF856" s="87"/>
      <x:c r="AG856" s="87"/>
      <x:c r="AH856" s="87"/>
      <x:c r="AI856" s="30"/>
      <x:c r="AJ856" s="87" t="str">
        <x:v>master</x:v>
      </x:c>
      <x:c r="AK856" s="87" t="str">
        <x:v>master-v0.81</x:v>
      </x:c>
      <x:c r="AL856" s="87" t="str">
        <x:v>statgrad_master_base_v0_81_final(2).xlsx</x:v>
      </x:c>
      <x:c r="AM856" s="87" t="str">
        <x:v>HIST_Feb_V3</x:v>
      </x:c>
      <x:c r="AN856" s="87" t="n">
        <x:v>19</x:v>
      </x:c>
    </x:row>
    <x:row r="857">
      <x:c r="A857" s="87" t="n">
        <x:v>856</x:v>
      </x:c>
      <x:c r="B857" s="87" t="str">
        <x:v>FEB-HIS-V3-019</x:v>
      </x:c>
      <x:c r="C857" s="87" t="str">
        <x:v>СтатГрад</x:v>
      </x:c>
      <x:c r="D857" s="87" t="str">
        <x:v>Февраль 2026</x:v>
      </x:c>
      <x:c r="E857" s="87"/>
      <x:c r="F857" s="87"/>
      <x:c r="G857" s="87" t="str">
        <x:v>История</x:v>
      </x:c>
      <x:c r="H857" s="87" t="n">
        <x:v>11</x:v>
      </x:c>
      <x:c r="I857" s="87" t="str">
        <x:v>ТР №4</x:v>
      </x:c>
      <x:c r="J857" s="87" t="str">
        <x:v>ИС2510403</x:v>
      </x:c>
      <x:c r="K857" s="87" t="n">
        <x:v>19</x:v>
      </x:c>
      <x:c r="L857" s="87" t="str">
        <x:v>Развёрнутый ответ: понятие и факт</x:v>
      </x:c>
      <x:c r="M857" s="30" t="str">
        <x:v>Раскройте понятие «косыгинская реформа» и приведите отдельный факт.</x:v>
      </x:c>
      <x:c r="N857" s="30" t="str">
        <x:v>Косыгинская реформа — экономическая реформа 1965 г., расширявшая хозяйственную самостоятельность предприятий и вводившая хозрасчёт и материальное стимулирование. Факт: предприятия стали оценивать в том числе по прибыли и реализации продукции.</x:v>
      </x:c>
      <x:c r="O857" s="30" t="str">
        <x:v>Определение содержит время, сферу и существенные признаки; факт не повторяет его дословно.</x:v>
      </x:c>
      <x:c r="P857" s="30" t="str">
        <x:v>Содержание реформы сопоставлено с решениями 1965 г.</x:v>
      </x:c>
      <x:c r="Q857" s="30"/>
      <x:c r="R857" s="30" t="str">
        <x:v>Критерий: понятие и факт — 2; один компонент — 1</x:v>
      </x:c>
      <x:c r="S857" s="30"/>
      <x:c r="T857" s="30"/>
      <x:c r="U857" s="30" t="str">
        <x:v>Расхождений нет.</x:v>
      </x:c>
      <x:c r="V857" s="87" t="str">
        <x:v>VERIFIED</x:v>
      </x:c>
      <x:c r="W857" s="87" t="str">
        <x:v>PDF p. 13</x:v>
      </x:c>
      <x:c r="X857" s="87"/>
      <x:c r="Y857" s="87"/>
      <x:c r="Z857" s="87"/>
      <x:c r="AA857" s="87"/>
      <x:c r="AB857" s="87"/>
      <x:c r="AC857" s="87"/>
      <x:c r="AD857" s="87"/>
      <x:c r="AE857" s="87"/>
      <x:c r="AF857" s="87"/>
      <x:c r="AG857" s="87"/>
      <x:c r="AH857" s="87"/>
      <x:c r="AI857" s="30"/>
      <x:c r="AJ857" s="87" t="str">
        <x:v>master</x:v>
      </x:c>
      <x:c r="AK857" s="87" t="str">
        <x:v>master-v0.81</x:v>
      </x:c>
      <x:c r="AL857" s="87" t="str">
        <x:v>statgrad_master_base_v0_81_final(2).xlsx</x:v>
      </x:c>
      <x:c r="AM857" s="87" t="str">
        <x:v>HIST_Feb_V3</x:v>
      </x:c>
      <x:c r="AN857" s="87" t="n">
        <x:v>20</x:v>
      </x:c>
    </x:row>
    <x:row r="858">
      <x:c r="A858" s="87" t="n">
        <x:v>857</x:v>
      </x:c>
      <x:c r="B858" s="87" t="str">
        <x:v>FEB-HIS-V3-020</x:v>
      </x:c>
      <x:c r="C858" s="87" t="str">
        <x:v>СтатГрад</x:v>
      </x:c>
      <x:c r="D858" s="87" t="str">
        <x:v>Февраль 2026</x:v>
      </x:c>
      <x:c r="E858" s="87"/>
      <x:c r="F858" s="87"/>
      <x:c r="G858" s="87" t="str">
        <x:v>История</x:v>
      </x:c>
      <x:c r="H858" s="87" t="n">
        <x:v>11</x:v>
      </x:c>
      <x:c r="I858" s="87" t="str">
        <x:v>ТР №4</x:v>
      </x:c>
      <x:c r="J858" s="87" t="str">
        <x:v>ИС2510403</x:v>
      </x:c>
      <x:c r="K858" s="87" t="n">
        <x:v>20</x:v>
      </x:c>
      <x:c r="L858" s="87" t="str">
        <x:v>Развёрнутый ответ: сравнение</x:v>
      </x:c>
      <x:c r="M858" s="30" t="str">
        <x:v>Сравните систему управления Руси в первой половине X в. и в конце XII в.; дайте тезис и два обоснования.</x:v>
      </x:c>
      <x:c r="N858" s="30" t="str">
        <x:v>Тезис: в первой половине X в. Русь была объединена властью киевского князя, а к концу XII в. политически раздробилась. 1) В X в. существовал единый верховный князь в Киеве; в XII в. княжества имели самостоятельных правителей. 2) В X в. земли платили дань Киеву; в XII в. общерусская система дани киевскому князю отсутствовала.</x:v>
      </x:c>
      <x:c r="O858" s="30" t="str">
        <x:v>Тезис и оба обоснования сопоставляют два периода по разным признакам.</x:v>
      </x:c>
      <x:c r="P858" s="30" t="str">
        <x:v>Каждое обоснование содержит по факту для каждого периода.</x:v>
      </x:c>
      <x:c r="Q858" s="30"/>
      <x:c r="R858" s="30" t="str">
        <x:v>Критерий: до 3 баллов — тезис и два обоснования</x:v>
      </x:c>
      <x:c r="S858" s="30"/>
      <x:c r="T858" s="30"/>
      <x:c r="U858" s="30" t="str">
        <x:v>Расхождений нет.</x:v>
      </x:c>
      <x:c r="V858" s="87" t="str">
        <x:v>VERIFIED</x:v>
      </x:c>
      <x:c r="W858" s="87" t="str">
        <x:v>PDF p. 13</x:v>
      </x:c>
      <x:c r="X858" s="87"/>
      <x:c r="Y858" s="87"/>
      <x:c r="Z858" s="87"/>
      <x:c r="AA858" s="87"/>
      <x:c r="AB858" s="87"/>
      <x:c r="AC858" s="87"/>
      <x:c r="AD858" s="87"/>
      <x:c r="AE858" s="87"/>
      <x:c r="AF858" s="87"/>
      <x:c r="AG858" s="87"/>
      <x:c r="AH858" s="87"/>
      <x:c r="AI858" s="30"/>
      <x:c r="AJ858" s="87" t="str">
        <x:v>master</x:v>
      </x:c>
      <x:c r="AK858" s="87" t="str">
        <x:v>master-v0.81</x:v>
      </x:c>
      <x:c r="AL858" s="87" t="str">
        <x:v>statgrad_master_base_v0_81_final(2).xlsx</x:v>
      </x:c>
      <x:c r="AM858" s="87" t="str">
        <x:v>HIST_Feb_V3</x:v>
      </x:c>
      <x:c r="AN858" s="87" t="n">
        <x:v>21</x:v>
      </x:c>
    </x:row>
    <x:row r="859">
      <x:c r="A859" s="87" t="n">
        <x:v>858</x:v>
      </x:c>
      <x:c r="B859" s="87" t="str">
        <x:v>FEB-HIS-V3-021</x:v>
      </x:c>
      <x:c r="C859" s="87" t="str">
        <x:v>СтатГрад</x:v>
      </x:c>
      <x:c r="D859" s="87" t="str">
        <x:v>Февраль 2026</x:v>
      </x:c>
      <x:c r="E859" s="87"/>
      <x:c r="F859" s="87"/>
      <x:c r="G859" s="87" t="str">
        <x:v>История</x:v>
      </x:c>
      <x:c r="H859" s="87" t="n">
        <x:v>11</x:v>
      </x:c>
      <x:c r="I859" s="87" t="str">
        <x:v>ТР №4</x:v>
      </x:c>
      <x:c r="J859" s="87" t="str">
        <x:v>ИС2510403</x:v>
      </x:c>
      <x:c r="K859" s="87" t="n">
        <x:v>21</x:v>
      </x:c>
      <x:c r="L859" s="87" t="str">
        <x:v>Развёрнутый ответ: аргументация</x:v>
      </x:c>
      <x:c r="M859" s="30" t="str">
        <x:v>Подтвердите активизацию национальных движений в России и одной восточной стране в первой четверти XX в.</x:v>
      </x:c>
      <x:c r="N859" s="30" t="str">
        <x:v>Россия: после революций 1917 г. национальные движения усилились, и Финляндия провозгласила независимость в декабре 1917 г. Индия: Индийский национальный конгресс и М. Ганди развернули в 1920–1922 гг. массовое движение несотрудничества, требуя самоуправления и освобождения от британского господства.</x:v>
      </x:c>
      <x:c r="O859" s="30" t="str">
        <x:v>Для каждой страны приведён конкретный факт и объяснена связь с национальным движением.</x:v>
      </x:c>
      <x:c r="P859" s="30" t="str">
        <x:v>Аргументы относятся к первой четверти XX в. и прямо подтверждают тезис.</x:v>
      </x:c>
      <x:c r="Q859" s="30"/>
      <x:c r="R859" s="30" t="str">
        <x:v>Критерий: два корректных аргумента — до 3 баллов</x:v>
      </x:c>
      <x:c r="S859" s="30"/>
      <x:c r="T859" s="30"/>
      <x:c r="U859" s="30" t="str">
        <x:v>Расхождений нет.</x:v>
      </x:c>
      <x:c r="V859" s="87" t="str">
        <x:v>VERIFIED</x:v>
      </x:c>
      <x:c r="W859" s="87" t="str">
        <x:v>PDF p. 13</x:v>
      </x:c>
      <x:c r="X859" s="87"/>
      <x:c r="Y859" s="87"/>
      <x:c r="Z859" s="87"/>
      <x:c r="AA859" s="87"/>
      <x:c r="AB859" s="87"/>
      <x:c r="AC859" s="87"/>
      <x:c r="AD859" s="87"/>
      <x:c r="AE859" s="87"/>
      <x:c r="AF859" s="87"/>
      <x:c r="AG859" s="87"/>
      <x:c r="AH859" s="87"/>
      <x:c r="AI859" s="30"/>
      <x:c r="AJ859" s="87" t="str">
        <x:v>master</x:v>
      </x:c>
      <x:c r="AK859" s="87" t="str">
        <x:v>master-v0.81</x:v>
      </x:c>
      <x:c r="AL859" s="87" t="str">
        <x:v>statgrad_master_base_v0_81_final(2).xlsx</x:v>
      </x:c>
      <x:c r="AM859" s="87" t="str">
        <x:v>HIST_Feb_V3</x:v>
      </x:c>
      <x:c r="AN859" s="87" t="n">
        <x:v>22</x:v>
      </x:c>
    </x:row>
    <x:row r="860">
      <x:c r="A860" s="87" t="n">
        <x:v>859</x:v>
      </x:c>
      <x:c r="B860" s="87" t="str">
        <x:v>FEB-HIS-V4-001</x:v>
      </x:c>
      <x:c r="C860" s="87" t="str">
        <x:v>СтатГрад</x:v>
      </x:c>
      <x:c r="D860" s="87" t="str">
        <x:v>Февраль 2026</x:v>
      </x:c>
      <x:c r="E860" s="87"/>
      <x:c r="F860" s="87"/>
      <x:c r="G860" s="87" t="str">
        <x:v>История</x:v>
      </x:c>
      <x:c r="H860" s="87" t="n">
        <x:v>11</x:v>
      </x:c>
      <x:c r="I860" s="87" t="str">
        <x:v>ТР №4</x:v>
      </x:c>
      <x:c r="J860" s="87" t="str">
        <x:v>ИС2510404</x:v>
      </x:c>
      <x:c r="K860" s="87" t="n">
        <x:v>1</x:v>
      </x:c>
      <x:c r="L860" s="87" t="str">
        <x:v>Соответствие: событие и год</x:v>
      </x:c>
      <x:c r="M860" s="30" t="str">
        <x:v>Соотнесите переворот Екатерины II, провозглашение НЭПа, Деулинское перемирие и «Рельсовую войну» с годами.</x:v>
      </x:c>
      <x:c r="N860" s="30" t="str">
        <x:v>2416</x:v>
      </x:c>
      <x:c r="O860" s="30" t="str">
        <x:v>1762; 1921; 1618; 1943.</x:v>
      </x:c>
      <x:c r="P860" s="30" t="str">
        <x:v>Даты установлены независимо; последовательность совпала с опубликованным ответом.</x:v>
      </x:c>
      <x:c r="Q860" s="30"/>
      <x:c r="R860" s="30" t="str">
        <x:v>Открытый ответ: 2416</x:v>
      </x:c>
      <x:c r="S860" s="30"/>
      <x:c r="T860" s="30"/>
      <x:c r="U860" s="30" t="str">
        <x:v>Расхождений нет.</x:v>
      </x:c>
      <x:c r="V860" s="87" t="str">
        <x:v>VERIFIED</x:v>
      </x:c>
      <x:c r="W860" s="87" t="str">
        <x:v>PDF p. 2 (V4)</x:v>
      </x:c>
      <x:c r="X860" s="87"/>
      <x:c r="Y860" s="87"/>
      <x:c r="Z860" s="87"/>
      <x:c r="AA860" s="87"/>
      <x:c r="AB860" s="87"/>
      <x:c r="AC860" s="87"/>
      <x:c r="AD860" s="87"/>
      <x:c r="AE860" s="87"/>
      <x:c r="AF860" s="87"/>
      <x:c r="AG860" s="87"/>
      <x:c r="AH860" s="87"/>
      <x:c r="AI860" s="30"/>
      <x:c r="AJ860" s="87" t="str">
        <x:v>master</x:v>
      </x:c>
      <x:c r="AK860" s="87" t="str">
        <x:v>master-v0.81</x:v>
      </x:c>
      <x:c r="AL860" s="87" t="str">
        <x:v>statgrad_master_base_v0_81_final(2).xlsx</x:v>
      </x:c>
      <x:c r="AM860" s="87" t="str">
        <x:v>HIST_Feb_V4</x:v>
      </x:c>
      <x:c r="AN860" s="87" t="n">
        <x:v>2</x:v>
      </x:c>
    </x:row>
    <x:row r="861">
      <x:c r="A861" s="87" t="n">
        <x:v>860</x:v>
      </x:c>
      <x:c r="B861" s="87" t="str">
        <x:v>FEB-HIS-V4-002</x:v>
      </x:c>
      <x:c r="C861" s="87" t="str">
        <x:v>СтатГрад</x:v>
      </x:c>
      <x:c r="D861" s="87" t="str">
        <x:v>Февраль 2026</x:v>
      </x:c>
      <x:c r="E861" s="87"/>
      <x:c r="F861" s="87"/>
      <x:c r="G861" s="87" t="str">
        <x:v>История</x:v>
      </x:c>
      <x:c r="H861" s="87" t="n">
        <x:v>11</x:v>
      </x:c>
      <x:c r="I861" s="87" t="str">
        <x:v>ТР №4</x:v>
      </x:c>
      <x:c r="J861" s="87" t="str">
        <x:v>ИС2510404</x:v>
      </x:c>
      <x:c r="K861" s="87" t="n">
        <x:v>2</x:v>
      </x:c>
      <x:c r="L861" s="87" t="str">
        <x:v>Хронологическая последовательность</x:v>
      </x:c>
      <x:c r="M861" s="30" t="str">
        <x:v>Расположите по времени Второй крестовый поход, Ливонскую войну и манифест о трёхдневной барщине.</x:v>
      </x:c>
      <x:c r="N861" s="30" t="str">
        <x:v>312</x:v>
      </x:c>
      <x:c r="O861" s="30" t="str">
        <x:v>1147 → 1558 → 1797.</x:v>
      </x:c>
      <x:c r="P861" s="30" t="str">
        <x:v>Независимая датировка даёт номера 3, 1, 2; совпадает с открытым ответом.</x:v>
      </x:c>
      <x:c r="Q861" s="30"/>
      <x:c r="R861" s="30" t="str">
        <x:v>Открытый ответ: 312</x:v>
      </x:c>
      <x:c r="S861" s="30"/>
      <x:c r="T861" s="30"/>
      <x:c r="U861" s="30" t="str">
        <x:v>Расхождений нет.</x:v>
      </x:c>
      <x:c r="V861" s="87" t="str">
        <x:v>VERIFIED</x:v>
      </x:c>
      <x:c r="W861" s="87" t="str">
        <x:v>PDF p. 2 (V4)</x:v>
      </x:c>
      <x:c r="X861" s="87"/>
      <x:c r="Y861" s="87"/>
      <x:c r="Z861" s="87"/>
      <x:c r="AA861" s="87"/>
      <x:c r="AB861" s="87"/>
      <x:c r="AC861" s="87"/>
      <x:c r="AD861" s="87"/>
      <x:c r="AE861" s="87"/>
      <x:c r="AF861" s="87"/>
      <x:c r="AG861" s="87"/>
      <x:c r="AH861" s="87"/>
      <x:c r="AI861" s="30"/>
      <x:c r="AJ861" s="87" t="str">
        <x:v>master</x:v>
      </x:c>
      <x:c r="AK861" s="87" t="str">
        <x:v>master-v0.81</x:v>
      </x:c>
      <x:c r="AL861" s="87" t="str">
        <x:v>statgrad_master_base_v0_81_final(2).xlsx</x:v>
      </x:c>
      <x:c r="AM861" s="87" t="str">
        <x:v>HIST_Feb_V4</x:v>
      </x:c>
      <x:c r="AN861" s="87" t="n">
        <x:v>3</x:v>
      </x:c>
    </x:row>
    <x:row r="862">
      <x:c r="A862" s="87" t="n">
        <x:v>861</x:v>
      </x:c>
      <x:c r="B862" s="87" t="str">
        <x:v>FEB-HIS-V4-003</x:v>
      </x:c>
      <x:c r="C862" s="87" t="str">
        <x:v>СтатГрад</x:v>
      </x:c>
      <x:c r="D862" s="87" t="str">
        <x:v>Февраль 2026</x:v>
      </x:c>
      <x:c r="E862" s="87"/>
      <x:c r="F862" s="87"/>
      <x:c r="G862" s="87" t="str">
        <x:v>История</x:v>
      </x:c>
      <x:c r="H862" s="87" t="n">
        <x:v>11</x:v>
      </x:c>
      <x:c r="I862" s="87" t="str">
        <x:v>ТР №4</x:v>
      </x:c>
      <x:c r="J862" s="87" t="str">
        <x:v>ИС2510404</x:v>
      </x:c>
      <x:c r="K862" s="87" t="n">
        <x:v>3</x:v>
      </x:c>
      <x:c r="L862" s="87" t="str">
        <x:v>Процессы и факты</x:v>
      </x:c>
      <x:c r="M862" s="30" t="str">
        <x:v>Соотнесите укрепление древнерусской государственности, перестройку, Александра III и Алексея Михайловича с фактами.</x:v>
      </x:c>
      <x:c r="N862" s="30" t="str">
        <x:v>6413</x:v>
      </x:c>
      <x:c r="O862" s="30" t="str">
        <x:v>«Русская Правда»; закон об индивидуальной трудовой деятельности; земские начальники; Приказ Тайных дел.</x:v>
      </x:c>
      <x:c r="P862" s="30" t="str">
        <x:v>Каждый факт проверен по эпохе; совпадает с опубликованным ответом.</x:v>
      </x:c>
      <x:c r="Q862" s="30"/>
      <x:c r="R862" s="30" t="str">
        <x:v>Открытый ответ: 6413</x:v>
      </x:c>
      <x:c r="S862" s="30"/>
      <x:c r="T862" s="30"/>
      <x:c r="U862" s="30" t="str">
        <x:v>Расхождений нет.</x:v>
      </x:c>
      <x:c r="V862" s="87" t="str">
        <x:v>VERIFIED</x:v>
      </x:c>
      <x:c r="W862" s="87" t="str">
        <x:v>PDF p. 3 (V4)</x:v>
      </x:c>
      <x:c r="X862" s="87"/>
      <x:c r="Y862" s="87"/>
      <x:c r="Z862" s="87"/>
      <x:c r="AA862" s="87"/>
      <x:c r="AB862" s="87"/>
      <x:c r="AC862" s="87"/>
      <x:c r="AD862" s="87"/>
      <x:c r="AE862" s="87"/>
      <x:c r="AF862" s="87"/>
      <x:c r="AG862" s="87"/>
      <x:c r="AH862" s="87"/>
      <x:c r="AI862" s="30"/>
      <x:c r="AJ862" s="87" t="str">
        <x:v>master</x:v>
      </x:c>
      <x:c r="AK862" s="87" t="str">
        <x:v>master-v0.81</x:v>
      </x:c>
      <x:c r="AL862" s="87" t="str">
        <x:v>statgrad_master_base_v0_81_final(2).xlsx</x:v>
      </x:c>
      <x:c r="AM862" s="87" t="str">
        <x:v>HIST_Feb_V4</x:v>
      </x:c>
      <x:c r="AN862" s="87" t="n">
        <x:v>4</x:v>
      </x:c>
    </x:row>
    <x:row r="863">
      <x:c r="A863" s="87" t="n">
        <x:v>862</x:v>
      </x:c>
      <x:c r="B863" s="87" t="str">
        <x:v>FEB-HIS-V4-004</x:v>
      </x:c>
      <x:c r="C863" s="87" t="str">
        <x:v>СтатГрад</x:v>
      </x:c>
      <x:c r="D863" s="87" t="str">
        <x:v>Февраль 2026</x:v>
      </x:c>
      <x:c r="E863" s="87"/>
      <x:c r="F863" s="87"/>
      <x:c r="G863" s="87" t="str">
        <x:v>История</x:v>
      </x:c>
      <x:c r="H863" s="87" t="n">
        <x:v>11</x:v>
      </x:c>
      <x:c r="I863" s="87" t="str">
        <x:v>ТР №4</x:v>
      </x:c>
      <x:c r="J863" s="87" t="str">
        <x:v>ИС2510404</x:v>
      </x:c>
      <x:c r="K863" s="87" t="n">
        <x:v>4</x:v>
      </x:c>
      <x:c r="L863" s="87" t="str">
        <x:v>Заполнение таблицы</x:v>
      </x:c>
      <x:c r="M863" s="30" t="str">
        <x:v>Заполните пропуски по походам Святослава, Москве, Каспийскому походу Петра I и походу Ермака.</x:v>
      </x:c>
      <x:c r="N863" s="30" t="str">
        <x:v>268473</x:v>
      </x:c>
      <x:c r="O863" s="30" t="str">
        <x:v>Итиль; 960-е; встреча Юрия Долгорукого; 1720-е; Кашлык; разгром города Ермаком.</x:v>
      </x:c>
      <x:c r="P863" s="30" t="str">
        <x:v>Все шесть элементов восстановлены из таблицы; итог совпал с открытым ответом.</x:v>
      </x:c>
      <x:c r="Q863" s="30"/>
      <x:c r="R863" s="30" t="str">
        <x:v>Открытый ответ: 268473</x:v>
      </x:c>
      <x:c r="S863" s="30"/>
      <x:c r="T863" s="30"/>
      <x:c r="U863" s="30" t="str">
        <x:v>Расхождений нет.</x:v>
      </x:c>
      <x:c r="V863" s="87" t="str">
        <x:v>VERIFIED</x:v>
      </x:c>
      <x:c r="W863" s="87" t="str">
        <x:v>PDF pp. 3–4 (V4)</x:v>
      </x:c>
      <x:c r="X863" s="87"/>
      <x:c r="Y863" s="87"/>
      <x:c r="Z863" s="87"/>
      <x:c r="AA863" s="87"/>
      <x:c r="AB863" s="87"/>
      <x:c r="AC863" s="87"/>
      <x:c r="AD863" s="87"/>
      <x:c r="AE863" s="87"/>
      <x:c r="AF863" s="87"/>
      <x:c r="AG863" s="87"/>
      <x:c r="AH863" s="87"/>
      <x:c r="AI863" s="30"/>
      <x:c r="AJ863" s="87" t="str">
        <x:v>master</x:v>
      </x:c>
      <x:c r="AK863" s="87" t="str">
        <x:v>master-v0.81</x:v>
      </x:c>
      <x:c r="AL863" s="87" t="str">
        <x:v>statgrad_master_base_v0_81_final(2).xlsx</x:v>
      </x:c>
      <x:c r="AM863" s="87" t="str">
        <x:v>HIST_Feb_V4</x:v>
      </x:c>
      <x:c r="AN863" s="87" t="n">
        <x:v>5</x:v>
      </x:c>
    </x:row>
    <x:row r="864">
      <x:c r="A864" s="87" t="n">
        <x:v>863</x:v>
      </x:c>
      <x:c r="B864" s="87" t="str">
        <x:v>FEB-HIS-V4-005</x:v>
      </x:c>
      <x:c r="C864" s="87" t="str">
        <x:v>СтатГрад</x:v>
      </x:c>
      <x:c r="D864" s="87" t="str">
        <x:v>Февраль 2026</x:v>
      </x:c>
      <x:c r="E864" s="87"/>
      <x:c r="F864" s="87"/>
      <x:c r="G864" s="87" t="str">
        <x:v>История</x:v>
      </x:c>
      <x:c r="H864" s="87" t="n">
        <x:v>11</x:v>
      </x:c>
      <x:c r="I864" s="87" t="str">
        <x:v>ТР №4</x:v>
      </x:c>
      <x:c r="J864" s="87" t="str">
        <x:v>ИС2510404</x:v>
      </x:c>
      <x:c r="K864" s="87" t="n">
        <x:v>5</x:v>
      </x:c>
      <x:c r="L864" s="87" t="str">
        <x:v>События и участники</x:v>
      </x:c>
      <x:c r="M864" s="30" t="str">
        <x:v>Соотнесите Венгерский поход, либерализацию цен, штурм Берлина и присоединение Казани с участниками.</x:v>
      </x:c>
      <x:c r="N864" s="30" t="str">
        <x:v>1246</x:v>
      </x:c>
      <x:c r="O864" s="30" t="str">
        <x:v>И. Ф. Паскевич; Е. Т. Гайдар; М. В. Кантария; А. М. Курбский.</x:v>
      </x:c>
      <x:c r="P864" s="30" t="str">
        <x:v>Участники проверены по роли в событиях; совпадает с открытым ответом.</x:v>
      </x:c>
      <x:c r="Q864" s="30"/>
      <x:c r="R864" s="30" t="str">
        <x:v>Открытый ответ: 1246</x:v>
      </x:c>
      <x:c r="S864" s="30"/>
      <x:c r="T864" s="30"/>
      <x:c r="U864" s="30" t="str">
        <x:v>Расхождений нет.</x:v>
      </x:c>
      <x:c r="V864" s="87" t="str">
        <x:v>VERIFIED</x:v>
      </x:c>
      <x:c r="W864" s="87" t="str">
        <x:v>PDF p. 4 (V4)</x:v>
      </x:c>
      <x:c r="X864" s="87"/>
      <x:c r="Y864" s="87"/>
      <x:c r="Z864" s="87"/>
      <x:c r="AA864" s="87"/>
      <x:c r="AB864" s="87"/>
      <x:c r="AC864" s="87"/>
      <x:c r="AD864" s="87"/>
      <x:c r="AE864" s="87"/>
      <x:c r="AF864" s="87"/>
      <x:c r="AG864" s="87"/>
      <x:c r="AH864" s="87"/>
      <x:c r="AI864" s="30"/>
      <x:c r="AJ864" s="87" t="str">
        <x:v>master</x:v>
      </x:c>
      <x:c r="AK864" s="87" t="str">
        <x:v>master-v0.81</x:v>
      </x:c>
      <x:c r="AL864" s="87" t="str">
        <x:v>statgrad_master_base_v0_81_final(2).xlsx</x:v>
      </x:c>
      <x:c r="AM864" s="87" t="str">
        <x:v>HIST_Feb_V4</x:v>
      </x:c>
      <x:c r="AN864" s="87" t="n">
        <x:v>6</x:v>
      </x:c>
    </x:row>
    <x:row r="865">
      <x:c r="A865" s="87" t="n">
        <x:v>864</x:v>
      </x:c>
      <x:c r="B865" s="87" t="str">
        <x:v>FEB-HIS-V4-006</x:v>
      </x:c>
      <x:c r="C865" s="87" t="str">
        <x:v>СтатГрад</x:v>
      </x:c>
      <x:c r="D865" s="87" t="str">
        <x:v>Февраль 2026</x:v>
      </x:c>
      <x:c r="E865" s="87"/>
      <x:c r="F865" s="87"/>
      <x:c r="G865" s="87" t="str">
        <x:v>История</x:v>
      </x:c>
      <x:c r="H865" s="87" t="n">
        <x:v>11</x:v>
      </x:c>
      <x:c r="I865" s="87" t="str">
        <x:v>ТР №4</x:v>
      </x:c>
      <x:c r="J865" s="87" t="str">
        <x:v>ИС2510404</x:v>
      </x:c>
      <x:c r="K865" s="87" t="n">
        <x:v>6</x:v>
      </x:c>
      <x:c r="L865" s="87" t="str">
        <x:v>Анализ исторического источника</x:v>
      </x:c>
      <x:c r="M865" s="30" t="str">
        <x:v>Выберите верные суждения по дневнику о выступлении Корнилова.</x:v>
      </x:c>
      <x:c r="N865" s="30" t="str">
        <x:v>345</x:v>
      </x:c>
      <x:c r="O865" s="30" t="str">
        <x:v>Правительство было Временным; Корнилов позднее погиб в боях с большевиками; современником был В. М. Чернов.</x:v>
      </x:c>
      <x:c r="P865" s="30" t="str">
        <x:v>События относятся к 1917 г.; в тексте названы большевики, а не эсеры.</x:v>
      </x:c>
      <x:c r="Q865" s="30"/>
      <x:c r="R865" s="30" t="str">
        <x:v>Открытый ответ: 345</x:v>
      </x:c>
      <x:c r="S865" s="30"/>
      <x:c r="T865" s="30"/>
      <x:c r="U865" s="30" t="str">
        <x:v>Расхождений нет.</x:v>
      </x:c>
      <x:c r="V865" s="87" t="str">
        <x:v>VERIFIED</x:v>
      </x:c>
      <x:c r="W865" s="87" t="str">
        <x:v>PDF p. 5 (V4)</x:v>
      </x:c>
      <x:c r="X865" s="87"/>
      <x:c r="Y865" s="87"/>
      <x:c r="Z865" s="87"/>
      <x:c r="AA865" s="87"/>
      <x:c r="AB865" s="87"/>
      <x:c r="AC865" s="87"/>
      <x:c r="AD865" s="87"/>
      <x:c r="AE865" s="87"/>
      <x:c r="AF865" s="87"/>
      <x:c r="AG865" s="87"/>
      <x:c r="AH865" s="87"/>
      <x:c r="AI865" s="30"/>
      <x:c r="AJ865" s="87" t="str">
        <x:v>master</x:v>
      </x:c>
      <x:c r="AK865" s="87" t="str">
        <x:v>master-v0.81</x:v>
      </x:c>
      <x:c r="AL865" s="87" t="str">
        <x:v>statgrad_master_base_v0_81_final(2).xlsx</x:v>
      </x:c>
      <x:c r="AM865" s="87" t="str">
        <x:v>HIST_Feb_V4</x:v>
      </x:c>
      <x:c r="AN865" s="87" t="n">
        <x:v>7</x:v>
      </x:c>
    </x:row>
    <x:row r="866">
      <x:c r="A866" s="87" t="n">
        <x:v>865</x:v>
      </x:c>
      <x:c r="B866" s="87" t="str">
        <x:v>FEB-HIS-V4-007</x:v>
      </x:c>
      <x:c r="C866" s="87" t="str">
        <x:v>СтатГрад</x:v>
      </x:c>
      <x:c r="D866" s="87" t="str">
        <x:v>Февраль 2026</x:v>
      </x:c>
      <x:c r="E866" s="87"/>
      <x:c r="F866" s="87"/>
      <x:c r="G866" s="87" t="str">
        <x:v>История</x:v>
      </x:c>
      <x:c r="H866" s="87" t="n">
        <x:v>11</x:v>
      </x:c>
      <x:c r="I866" s="87" t="str">
        <x:v>ТР №4</x:v>
      </x:c>
      <x:c r="J866" s="87" t="str">
        <x:v>ИС2510404</x:v>
      </x:c>
      <x:c r="K866" s="87" t="n">
        <x:v>7</x:v>
      </x:c>
      <x:c r="L866" s="87" t="str">
        <x:v>Культура</x:v>
      </x:c>
      <x:c r="M866" s="30" t="str">
        <x:v>Соотнесите Смольный собор, Четьи-Минеи, балет Прокофьева и «Слово о законе и благодати» с характеристиками.</x:v>
      </x:c>
      <x:c r="N866" s="30" t="str">
        <x:v>1325</x:v>
      </x:c>
      <x:c r="O866" s="30" t="str">
        <x:v>Барокко; митрополит Макарий; С. С. Прокофьев; XI век.</x:v>
      </x:c>
      <x:c r="P866" s="30" t="str">
        <x:v>Авторство, стиль и датировка проверены независимо и по парному варианту.</x:v>
      </x:c>
      <x:c r="Q866" s="30"/>
      <x:c r="R866" s="30" t="str">
        <x:v>Независимое решение; перекрёстная сверка</x:v>
      </x:c>
      <x:c r="S866" s="30"/>
      <x:c r="T866" s="30"/>
      <x:c r="U866" s="30" t="str">
        <x:v>Расхождений нет.</x:v>
      </x:c>
      <x:c r="V866" s="87" t="str">
        <x:v>VERIFIED</x:v>
      </x:c>
      <x:c r="W866" s="87" t="str">
        <x:v>PDF p. 6 (V4)</x:v>
      </x:c>
      <x:c r="X866" s="87"/>
      <x:c r="Y866" s="87"/>
      <x:c r="Z866" s="87"/>
      <x:c r="AA866" s="87"/>
      <x:c r="AB866" s="87"/>
      <x:c r="AC866" s="87"/>
      <x:c r="AD866" s="87"/>
      <x:c r="AE866" s="87"/>
      <x:c r="AF866" s="87"/>
      <x:c r="AG866" s="87"/>
      <x:c r="AH866" s="87"/>
      <x:c r="AI866" s="30"/>
      <x:c r="AJ866" s="87" t="str">
        <x:v>master</x:v>
      </x:c>
      <x:c r="AK866" s="87" t="str">
        <x:v>master-v0.81</x:v>
      </x:c>
      <x:c r="AL866" s="87" t="str">
        <x:v>statgrad_master_base_v0_81_final(2).xlsx</x:v>
      </x:c>
      <x:c r="AM866" s="87" t="str">
        <x:v>HIST_Feb_V4</x:v>
      </x:c>
      <x:c r="AN866" s="87" t="n">
        <x:v>8</x:v>
      </x:c>
    </x:row>
    <x:row r="867">
      <x:c r="A867" s="87" t="n">
        <x:v>866</x:v>
      </x:c>
      <x:c r="B867" s="87" t="str">
        <x:v>FEB-HIS-V4-008</x:v>
      </x:c>
      <x:c r="C867" s="87" t="str">
        <x:v>СтатГрад</x:v>
      </x:c>
      <x:c r="D867" s="87" t="str">
        <x:v>Февраль 2026</x:v>
      </x:c>
      <x:c r="E867" s="87"/>
      <x:c r="F867" s="87"/>
      <x:c r="G867" s="87" t="str">
        <x:v>История</x:v>
      </x:c>
      <x:c r="H867" s="87" t="n">
        <x:v>11</x:v>
      </x:c>
      <x:c r="I867" s="87" t="str">
        <x:v>ТР №4</x:v>
      </x:c>
      <x:c r="J867" s="87" t="str">
        <x:v>ИС2510404</x:v>
      </x:c>
      <x:c r="K867" s="87" t="n">
        <x:v>8</x:v>
      </x:c>
      <x:c r="L867" s="87" t="str">
        <x:v>Работа с изображением</x:v>
      </x:c>
      <x:c r="M867" s="30" t="str">
        <x:v>Назовите словами год освобождения Севастополя, которому посвящена монета.</x:v>
      </x:c>
      <x:c r="N867" s="30" t="str">
        <x:v>сорок четвёртом</x:v>
      </x:c>
      <x:c r="O867" s="30" t="str">
        <x:v>Севастополь освобождён от немецко-фашистских войск в 1944 г.</x:v>
      </x:c>
      <x:c r="P867" s="30" t="str">
        <x:v>Надпись на монете и хронология Крымской операции подтверждают ответ.</x:v>
      </x:c>
      <x:c r="Q867" s="30"/>
      <x:c r="R867" s="30" t="str">
        <x:v>Независимое решение; перекрёстная сверка</x:v>
      </x:c>
      <x:c r="S867" s="30"/>
      <x:c r="T867" s="30"/>
      <x:c r="U867" s="30" t="str">
        <x:v>Расхождений нет.</x:v>
      </x:c>
      <x:c r="V867" s="87" t="str">
        <x:v>VERIFIED</x:v>
      </x:c>
      <x:c r="W867" s="87" t="str">
        <x:v>PDF p. 6 (V4)</x:v>
      </x:c>
      <x:c r="X867" s="87"/>
      <x:c r="Y867" s="87"/>
      <x:c r="Z867" s="87"/>
      <x:c r="AA867" s="87"/>
      <x:c r="AB867" s="87"/>
      <x:c r="AC867" s="87"/>
      <x:c r="AD867" s="87"/>
      <x:c r="AE867" s="87"/>
      <x:c r="AF867" s="87"/>
      <x:c r="AG867" s="87"/>
      <x:c r="AH867" s="87"/>
      <x:c r="AI867" s="30"/>
      <x:c r="AJ867" s="87" t="str">
        <x:v>master</x:v>
      </x:c>
      <x:c r="AK867" s="87" t="str">
        <x:v>master-v0.81</x:v>
      </x:c>
      <x:c r="AL867" s="87" t="str">
        <x:v>statgrad_master_base_v0_81_final(2).xlsx</x:v>
      </x:c>
      <x:c r="AM867" s="87" t="str">
        <x:v>HIST_Feb_V4</x:v>
      </x:c>
      <x:c r="AN867" s="87" t="n">
        <x:v>9</x:v>
      </x:c>
    </x:row>
    <x:row r="868">
      <x:c r="A868" s="87" t="n">
        <x:v>867</x:v>
      </x:c>
      <x:c r="B868" s="87" t="str">
        <x:v>FEB-HIS-V4-009</x:v>
      </x:c>
      <x:c r="C868" s="87" t="str">
        <x:v>СтатГрад</x:v>
      </x:c>
      <x:c r="D868" s="87" t="str">
        <x:v>Февраль 2026</x:v>
      </x:c>
      <x:c r="E868" s="87"/>
      <x:c r="F868" s="87"/>
      <x:c r="G868" s="87" t="str">
        <x:v>История</x:v>
      </x:c>
      <x:c r="H868" s="87" t="n">
        <x:v>11</x:v>
      </x:c>
      <x:c r="I868" s="87" t="str">
        <x:v>ТР №4</x:v>
      </x:c>
      <x:c r="J868" s="87" t="str">
        <x:v>ИС2510404</x:v>
      </x:c>
      <x:c r="K868" s="87" t="n">
        <x:v>9</x:v>
      </x:c>
      <x:c r="L868" s="87" t="str">
        <x:v>Историческая карта</x:v>
      </x:c>
      <x:c r="M868" s="30" t="str">
        <x:v>Назовите войну, события которой показаны на схеме.</x:v>
      </x:c>
      <x:c r="N868" s="30" t="str">
        <x:v>Северная</x:v>
      </x:c>
      <x:c r="O868" s="30" t="str">
        <x:v>Карта отражает поход Карла XII и боевые действия Северной войны.</x:v>
      </x:c>
      <x:c r="P868" s="30" t="str">
        <x:v>География Прибалтики, Польши, Гетманщины и Полтавы однозначно указывает на Северную войну.</x:v>
      </x:c>
      <x:c r="Q868" s="30"/>
      <x:c r="R868" s="30" t="str">
        <x:v>Независимое решение; перекрёстная сверка</x:v>
      </x:c>
      <x:c r="S868" s="30"/>
      <x:c r="T868" s="30"/>
      <x:c r="U868" s="30" t="str">
        <x:v>Расхождений нет.</x:v>
      </x:c>
      <x:c r="V868" s="87" t="str">
        <x:v>VERIFIED</x:v>
      </x:c>
      <x:c r="W868" s="87" t="str">
        <x:v>PDF pp. 7–8 (V4)</x:v>
      </x:c>
      <x:c r="X868" s="87"/>
      <x:c r="Y868" s="87"/>
      <x:c r="Z868" s="87"/>
      <x:c r="AA868" s="87"/>
      <x:c r="AB868" s="87"/>
      <x:c r="AC868" s="87"/>
      <x:c r="AD868" s="87"/>
      <x:c r="AE868" s="87"/>
      <x:c r="AF868" s="87"/>
      <x:c r="AG868" s="87"/>
      <x:c r="AH868" s="87"/>
      <x:c r="AI868" s="30"/>
      <x:c r="AJ868" s="87" t="str">
        <x:v>master</x:v>
      </x:c>
      <x:c r="AK868" s="87" t="str">
        <x:v>master-v0.81</x:v>
      </x:c>
      <x:c r="AL868" s="87" t="str">
        <x:v>statgrad_master_base_v0_81_final(2).xlsx</x:v>
      </x:c>
      <x:c r="AM868" s="87" t="str">
        <x:v>HIST_Feb_V4</x:v>
      </x:c>
      <x:c r="AN868" s="87" t="n">
        <x:v>10</x:v>
      </x:c>
    </x:row>
    <x:row r="869">
      <x:c r="A869" s="87" t="n">
        <x:v>868</x:v>
      </x:c>
      <x:c r="B869" s="87" t="str">
        <x:v>FEB-HIS-V4-010</x:v>
      </x:c>
      <x:c r="C869" s="87" t="str">
        <x:v>СтатГрад</x:v>
      </x:c>
      <x:c r="D869" s="87" t="str">
        <x:v>Февраль 2026</x:v>
      </x:c>
      <x:c r="E869" s="87"/>
      <x:c r="F869" s="87"/>
      <x:c r="G869" s="87" t="str">
        <x:v>История</x:v>
      </x:c>
      <x:c r="H869" s="87" t="n">
        <x:v>11</x:v>
      </x:c>
      <x:c r="I869" s="87" t="str">
        <x:v>ТР №4</x:v>
      </x:c>
      <x:c r="J869" s="87" t="str">
        <x:v>ИС2510404</x:v>
      </x:c>
      <x:c r="K869" s="87" t="n">
        <x:v>10</x:v>
      </x:c>
      <x:c r="L869" s="87" t="str">
        <x:v>Историческая карта</x:v>
      </x:c>
      <x:c r="M869" s="30" t="str">
        <x:v>Назовите город, обозначенный цифрой «6».</x:v>
      </x:c>
      <x:c r="N869" s="30" t="str">
        <x:v>Полтава</x:v>
      </x:c>
      <x:c r="O869" s="30" t="str">
        <x:v>Цифрой отмечен район генерального сражения 1709 г. у Полтавы.</x:v>
      </x:c>
      <x:c r="P869" s="30" t="str">
        <x:v>Положение относительно Гадяча и Переволочны подтверждает идентификацию.</x:v>
      </x:c>
      <x:c r="Q869" s="30"/>
      <x:c r="R869" s="30" t="str">
        <x:v>Независимое решение; перекрёстная сверка</x:v>
      </x:c>
      <x:c r="S869" s="30"/>
      <x:c r="T869" s="30"/>
      <x:c r="U869" s="30" t="str">
        <x:v>Расхождений нет.</x:v>
      </x:c>
      <x:c r="V869" s="87" t="str">
        <x:v>VERIFIED</x:v>
      </x:c>
      <x:c r="W869" s="87" t="str">
        <x:v>PDF p. 8 (V4)</x:v>
      </x:c>
      <x:c r="X869" s="87"/>
      <x:c r="Y869" s="87"/>
      <x:c r="Z869" s="87"/>
      <x:c r="AA869" s="87"/>
      <x:c r="AB869" s="87"/>
      <x:c r="AC869" s="87"/>
      <x:c r="AD869" s="87"/>
      <x:c r="AE869" s="87"/>
      <x:c r="AF869" s="87"/>
      <x:c r="AG869" s="87"/>
      <x:c r="AH869" s="87"/>
      <x:c r="AI869" s="30"/>
      <x:c r="AJ869" s="87" t="str">
        <x:v>master</x:v>
      </x:c>
      <x:c r="AK869" s="87" t="str">
        <x:v>master-v0.81</x:v>
      </x:c>
      <x:c r="AL869" s="87" t="str">
        <x:v>statgrad_master_base_v0_81_final(2).xlsx</x:v>
      </x:c>
      <x:c r="AM869" s="87" t="str">
        <x:v>HIST_Feb_V4</x:v>
      </x:c>
      <x:c r="AN869" s="87" t="n">
        <x:v>11</x:v>
      </x:c>
    </x:row>
    <x:row r="870">
      <x:c r="A870" s="87" t="n">
        <x:v>869</x:v>
      </x:c>
      <x:c r="B870" s="87" t="str">
        <x:v>FEB-HIS-V4-011</x:v>
      </x:c>
      <x:c r="C870" s="87" t="str">
        <x:v>СтатГрад</x:v>
      </x:c>
      <x:c r="D870" s="87" t="str">
        <x:v>Февраль 2026</x:v>
      </x:c>
      <x:c r="E870" s="87"/>
      <x:c r="F870" s="87"/>
      <x:c r="G870" s="87" t="str">
        <x:v>История</x:v>
      </x:c>
      <x:c r="H870" s="87" t="n">
        <x:v>11</x:v>
      </x:c>
      <x:c r="I870" s="87" t="str">
        <x:v>ТР №4</x:v>
      </x:c>
      <x:c r="J870" s="87" t="str">
        <x:v>ИС2510404</x:v>
      </x:c>
      <x:c r="K870" s="87" t="n">
        <x:v>11</x:v>
      </x:c>
      <x:c r="L870" s="87" t="str">
        <x:v>Историческая карта</x:v>
      </x:c>
      <x:c r="M870" s="30" t="str">
        <x:v>Назовите город первых зимних квартир шведской армии перед Гадячем.</x:v>
      </x:c>
      <x:c r="N870" s="30" t="str">
        <x:v>Ромны</x:v>
      </x:c>
      <x:c r="O870" s="30" t="str">
        <x:v>После Батурина Карл XII разместил войска сначала в Ромнах, затем в Гадяче.</x:v>
      </x:c>
      <x:c r="P870" s="30" t="str">
        <x:v>Название видно на маршруте карты и соответствует хронологии похода.</x:v>
      </x:c>
      <x:c r="Q870" s="30"/>
      <x:c r="R870" s="30" t="str">
        <x:v>Независимое решение; перекрёстная сверка</x:v>
      </x:c>
      <x:c r="S870" s="30"/>
      <x:c r="T870" s="30"/>
      <x:c r="U870" s="30" t="str">
        <x:v>Расхождений нет.</x:v>
      </x:c>
      <x:c r="V870" s="87" t="str">
        <x:v>VERIFIED</x:v>
      </x:c>
      <x:c r="W870" s="87" t="str">
        <x:v>PDF p. 8 (V4)</x:v>
      </x:c>
      <x:c r="X870" s="87"/>
      <x:c r="Y870" s="87"/>
      <x:c r="Z870" s="87"/>
      <x:c r="AA870" s="87"/>
      <x:c r="AB870" s="87"/>
      <x:c r="AC870" s="87"/>
      <x:c r="AD870" s="87"/>
      <x:c r="AE870" s="87"/>
      <x:c r="AF870" s="87"/>
      <x:c r="AG870" s="87"/>
      <x:c r="AH870" s="87"/>
      <x:c r="AI870" s="30"/>
      <x:c r="AJ870" s="87" t="str">
        <x:v>master</x:v>
      </x:c>
      <x:c r="AK870" s="87" t="str">
        <x:v>master-v0.81</x:v>
      </x:c>
      <x:c r="AL870" s="87" t="str">
        <x:v>statgrad_master_base_v0_81_final(2).xlsx</x:v>
      </x:c>
      <x:c r="AM870" s="87" t="str">
        <x:v>HIST_Feb_V4</x:v>
      </x:c>
      <x:c r="AN870" s="87" t="n">
        <x:v>12</x:v>
      </x:c>
    </x:row>
    <x:row r="871">
      <x:c r="A871" s="87" t="n">
        <x:v>870</x:v>
      </x:c>
      <x:c r="B871" s="87" t="str">
        <x:v>FEB-HIS-V4-012</x:v>
      </x:c>
      <x:c r="C871" s="87" t="str">
        <x:v>СтатГрад</x:v>
      </x:c>
      <x:c r="D871" s="87" t="str">
        <x:v>Февраль 2026</x:v>
      </x:c>
      <x:c r="E871" s="87"/>
      <x:c r="F871" s="87"/>
      <x:c r="G871" s="87" t="str">
        <x:v>История</x:v>
      </x:c>
      <x:c r="H871" s="87" t="n">
        <x:v>11</x:v>
      </x:c>
      <x:c r="I871" s="87" t="str">
        <x:v>ТР №4</x:v>
      </x:c>
      <x:c r="J871" s="87" t="str">
        <x:v>ИС2510404</x:v>
      </x:c>
      <x:c r="K871" s="87" t="n">
        <x:v>12</x:v>
      </x:c>
      <x:c r="L871" s="87" t="str">
        <x:v>Историческая карта: суждения</x:v>
      </x:c>
      <x:c r="M871" s="30" t="str">
        <x:v>Выберите верные суждения по схеме Северной войны.</x:v>
      </x:c>
      <x:c r="N871" s="30" t="str">
        <x:v>26</x:v>
      </x:c>
      <x:c r="O871" s="30" t="str">
        <x:v>Верны: у Нарвы произошло первое крупное сражение; цифрой 7 обозначен центр оружейного производства, созданный в годы войны.</x:v>
      </x:c>
      <x:c r="P871" s="30" t="str">
        <x:v>Все шесть суждений проверены по географии и хронологии; верны 2 и 6.</x:v>
      </x:c>
      <x:c r="Q871" s="30"/>
      <x:c r="R871" s="30" t="str">
        <x:v>Независимое решение; перекрёстная сверка</x:v>
      </x:c>
      <x:c r="S871" s="30"/>
      <x:c r="T871" s="30"/>
      <x:c r="U871" s="30" t="str">
        <x:v>Расхождений нет.</x:v>
      </x:c>
      <x:c r="V871" s="87" t="str">
        <x:v>VERIFIED</x:v>
      </x:c>
      <x:c r="W871" s="87" t="str">
        <x:v>PDF p. 8 (V4)</x:v>
      </x:c>
      <x:c r="X871" s="87"/>
      <x:c r="Y871" s="87"/>
      <x:c r="Z871" s="87"/>
      <x:c r="AA871" s="87"/>
      <x:c r="AB871" s="87"/>
      <x:c r="AC871" s="87"/>
      <x:c r="AD871" s="87"/>
      <x:c r="AE871" s="87"/>
      <x:c r="AF871" s="87"/>
      <x:c r="AG871" s="87"/>
      <x:c r="AH871" s="87"/>
      <x:c r="AI871" s="30"/>
      <x:c r="AJ871" s="87" t="str">
        <x:v>master</x:v>
      </x:c>
      <x:c r="AK871" s="87" t="str">
        <x:v>master-v0.81</x:v>
      </x:c>
      <x:c r="AL871" s="87" t="str">
        <x:v>statgrad_master_base_v0_81_final(2).xlsx</x:v>
      </x:c>
      <x:c r="AM871" s="87" t="str">
        <x:v>HIST_Feb_V4</x:v>
      </x:c>
      <x:c r="AN871" s="87" t="n">
        <x:v>13</x:v>
      </x:c>
    </x:row>
    <x:row r="872">
      <x:c r="A872" s="87" t="n">
        <x:v>871</x:v>
      </x:c>
      <x:c r="B872" s="87" t="str">
        <x:v>FEB-HIS-V4-013</x:v>
      </x:c>
      <x:c r="C872" s="87" t="str">
        <x:v>СтатГрад</x:v>
      </x:c>
      <x:c r="D872" s="87" t="str">
        <x:v>Февраль 2026</x:v>
      </x:c>
      <x:c r="E872" s="87"/>
      <x:c r="F872" s="87"/>
      <x:c r="G872" s="87" t="str">
        <x:v>История</x:v>
      </x:c>
      <x:c r="H872" s="87" t="n">
        <x:v>11</x:v>
      </x:c>
      <x:c r="I872" s="87" t="str">
        <x:v>ТР №4</x:v>
      </x:c>
      <x:c r="J872" s="87" t="str">
        <x:v>ИС2510404</x:v>
      </x:c>
      <x:c r="K872" s="87" t="n">
        <x:v>13</x:v>
      </x:c>
      <x:c r="L872" s="87" t="str">
        <x:v>Развёрнутый ответ: источник</x:v>
      </x:c>
      <x:c r="M872" s="30" t="str">
        <x:v>Назовите «вора и изменника», государя и образное название XVII века.</x:v>
      </x:c>
      <x:c r="N872" s="30" t="str">
        <x:v>Степан Разин; Алексей Михайлович; «бунташный век».</x:v>
      </x:c>
      <x:c r="O872" s="30" t="str">
        <x:v>Поход от Дона и Волги к Астрахани относится к восстанию Степана Разина.</x:v>
      </x:c>
      <x:c r="P872" s="30" t="str">
        <x:v>Все три элемента подтверждаются текстом и датировкой событий 1670–1671 гг.</x:v>
      </x:c>
      <x:c r="Q872" s="30"/>
      <x:c r="R872" s="30" t="str">
        <x:v>Критерий: три элемента — 2 балла; любые два — 1</x:v>
      </x:c>
      <x:c r="S872" s="30"/>
      <x:c r="T872" s="30"/>
      <x:c r="U872" s="30" t="str">
        <x:v>Расхождений нет.</x:v>
      </x:c>
      <x:c r="V872" s="87" t="str">
        <x:v>VERIFIED</x:v>
      </x:c>
      <x:c r="W872" s="87" t="str">
        <x:v>PDF pp. 9–10 (V4)</x:v>
      </x:c>
      <x:c r="X872" s="87"/>
      <x:c r="Y872" s="87"/>
      <x:c r="Z872" s="87"/>
      <x:c r="AA872" s="87"/>
      <x:c r="AB872" s="87"/>
      <x:c r="AC872" s="87"/>
      <x:c r="AD872" s="87"/>
      <x:c r="AE872" s="87"/>
      <x:c r="AF872" s="87"/>
      <x:c r="AG872" s="87"/>
      <x:c r="AH872" s="87"/>
      <x:c r="AI872" s="30"/>
      <x:c r="AJ872" s="87" t="str">
        <x:v>master</x:v>
      </x:c>
      <x:c r="AK872" s="87" t="str">
        <x:v>master-v0.81</x:v>
      </x:c>
      <x:c r="AL872" s="87" t="str">
        <x:v>statgrad_master_base_v0_81_final(2).xlsx</x:v>
      </x:c>
      <x:c r="AM872" s="87" t="str">
        <x:v>HIST_Feb_V4</x:v>
      </x:c>
      <x:c r="AN872" s="87" t="n">
        <x:v>14</x:v>
      </x:c>
    </x:row>
    <x:row r="873">
      <x:c r="A873" s="87" t="n">
        <x:v>872</x:v>
      </x:c>
      <x:c r="B873" s="87" t="str">
        <x:v>FEB-HIS-V4-014</x:v>
      </x:c>
      <x:c r="C873" s="87" t="str">
        <x:v>СтатГрад</x:v>
      </x:c>
      <x:c r="D873" s="87" t="str">
        <x:v>Февраль 2026</x:v>
      </x:c>
      <x:c r="E873" s="87"/>
      <x:c r="F873" s="87"/>
      <x:c r="G873" s="87" t="str">
        <x:v>История</x:v>
      </x:c>
      <x:c r="H873" s="87" t="n">
        <x:v>11</x:v>
      </x:c>
      <x:c r="I873" s="87" t="str">
        <x:v>ТР №4</x:v>
      </x:c>
      <x:c r="J873" s="87" t="str">
        <x:v>ИС2510404</x:v>
      </x:c>
      <x:c r="K873" s="87" t="n">
        <x:v>14</x:v>
      </x:c>
      <x:c r="L873" s="87" t="str">
        <x:v>Развёрнутый ответ: источник</x:v>
      </x:c>
      <x:c r="M873" s="30" t="str">
        <x:v>Укажите предосторожность Разина, судьбу служилых людей и помощь при взятии Астрахани.</x:v>
      </x:c>
      <x:c r="N873" s="30" t="str">
        <x:v>Он не позволял никому плыть впереди своего каравана; ушедшие степью служилые люди умирали от голода или попадали в плен к татарам и калмыкам; жители Астрахани помогли восставшим подняться на городскую стену.</x:v>
      </x:c>
      <x:c r="O873" s="30" t="str">
        <x:v>Все три положения непосредственно извлечены из летописного фрагмента.</x:v>
      </x:c>
      <x:c r="P873" s="30" t="str">
        <x:v>Ответ разделён по вопросам, без лишнего цитирования.</x:v>
      </x:c>
      <x:c r="Q873" s="30"/>
      <x:c r="R873" s="30" t="str">
        <x:v>Критерий: три положения — 2 балла; любые два — 1</x:v>
      </x:c>
      <x:c r="S873" s="30"/>
      <x:c r="T873" s="30"/>
      <x:c r="U873" s="30" t="str">
        <x:v>Расхождений нет.</x:v>
      </x:c>
      <x:c r="V873" s="87" t="str">
        <x:v>VERIFIED</x:v>
      </x:c>
      <x:c r="W873" s="87" t="str">
        <x:v>PDF pp. 9–10 (V4)</x:v>
      </x:c>
      <x:c r="X873" s="87"/>
      <x:c r="Y873" s="87"/>
      <x:c r="Z873" s="87"/>
      <x:c r="AA873" s="87"/>
      <x:c r="AB873" s="87"/>
      <x:c r="AC873" s="87"/>
      <x:c r="AD873" s="87"/>
      <x:c r="AE873" s="87"/>
      <x:c r="AF873" s="87"/>
      <x:c r="AG873" s="87"/>
      <x:c r="AH873" s="87"/>
      <x:c r="AI873" s="30"/>
      <x:c r="AJ873" s="87" t="str">
        <x:v>master</x:v>
      </x:c>
      <x:c r="AK873" s="87" t="str">
        <x:v>master-v0.81</x:v>
      </x:c>
      <x:c r="AL873" s="87" t="str">
        <x:v>statgrad_master_base_v0_81_final(2).xlsx</x:v>
      </x:c>
      <x:c r="AM873" s="87" t="str">
        <x:v>HIST_Feb_V4</x:v>
      </x:c>
      <x:c r="AN873" s="87" t="n">
        <x:v>15</x:v>
      </x:c>
    </x:row>
    <x:row r="874">
      <x:c r="A874" s="87" t="n">
        <x:v>873</x:v>
      </x:c>
      <x:c r="B874" s="87" t="str">
        <x:v>FEB-HIS-V4-015</x:v>
      </x:c>
      <x:c r="C874" s="87" t="str">
        <x:v>СтатГрад</x:v>
      </x:c>
      <x:c r="D874" s="87" t="str">
        <x:v>Февраль 2026</x:v>
      </x:c>
      <x:c r="E874" s="87"/>
      <x:c r="F874" s="87"/>
      <x:c r="G874" s="87" t="str">
        <x:v>История</x:v>
      </x:c>
      <x:c r="H874" s="87" t="n">
        <x:v>11</x:v>
      </x:c>
      <x:c r="I874" s="87" t="str">
        <x:v>ТР №4</x:v>
      </x:c>
      <x:c r="J874" s="87" t="str">
        <x:v>ИС2510404</x:v>
      </x:c>
      <x:c r="K874" s="87" t="n">
        <x:v>15</x:v>
      </x:c>
      <x:c r="L874" s="87" t="str">
        <x:v>Развёрнутый ответ: изображение</x:v>
      </x:c>
      <x:c r="M874" s="30" t="str">
        <x:v>Назовите руководителя КПСС в год выпуска календаря и обоснуйте ответ по юбилейной дате.</x:v>
      </x:c>
      <x:c r="N874" s="30" t="str">
        <x:v>М. С. Горбачёв. Календарь выпущен в 1987 г.: листок посвящён 70-летию Декларации прав народов России 1917 г.</x:v>
      </x:c>
      <x:c r="O874" s="30" t="str">
        <x:v>1917 + 70 = 1987; Генеральным секретарём ЦК КПСС был М. С. Горбачёв.</x:v>
      </x:c>
      <x:c r="P874" s="30" t="str">
        <x:v>Дата вычислена по изображению и сопоставлена с политической хронологией.</x:v>
      </x:c>
      <x:c r="Q874" s="30"/>
      <x:c r="R874" s="30" t="str">
        <x:v>Критерий: руководитель и обоснование — 2; только руководитель — 1</x:v>
      </x:c>
      <x:c r="S874" s="30"/>
      <x:c r="T874" s="30"/>
      <x:c r="U874" s="30" t="str">
        <x:v>Расхождений нет.</x:v>
      </x:c>
      <x:c r="V874" s="87" t="str">
        <x:v>VERIFIED</x:v>
      </x:c>
      <x:c r="W874" s="87" t="str">
        <x:v>PDF pp. 10–11 (V4)</x:v>
      </x:c>
      <x:c r="X874" s="87"/>
      <x:c r="Y874" s="87"/>
      <x:c r="Z874" s="87"/>
      <x:c r="AA874" s="87"/>
      <x:c r="AB874" s="87"/>
      <x:c r="AC874" s="87"/>
      <x:c r="AD874" s="87"/>
      <x:c r="AE874" s="87"/>
      <x:c r="AF874" s="87"/>
      <x:c r="AG874" s="87"/>
      <x:c r="AH874" s="87"/>
      <x:c r="AI874" s="30"/>
      <x:c r="AJ874" s="87" t="str">
        <x:v>master</x:v>
      </x:c>
      <x:c r="AK874" s="87" t="str">
        <x:v>master-v0.81</x:v>
      </x:c>
      <x:c r="AL874" s="87" t="str">
        <x:v>statgrad_master_base_v0_81_final(2).xlsx</x:v>
      </x:c>
      <x:c r="AM874" s="87" t="str">
        <x:v>HIST_Feb_V4</x:v>
      </x:c>
      <x:c r="AN874" s="87" t="n">
        <x:v>16</x:v>
      </x:c>
    </x:row>
    <x:row r="875">
      <x:c r="A875" s="87" t="n">
        <x:v>874</x:v>
      </x:c>
      <x:c r="B875" s="87" t="str">
        <x:v>FEB-HIS-V4-016</x:v>
      </x:c>
      <x:c r="C875" s="87" t="str">
        <x:v>СтатГрад</x:v>
      </x:c>
      <x:c r="D875" s="87" t="str">
        <x:v>Февраль 2026</x:v>
      </x:c>
      <x:c r="E875" s="87"/>
      <x:c r="F875" s="87"/>
      <x:c r="G875" s="87" t="str">
        <x:v>История</x:v>
      </x:c>
      <x:c r="H875" s="87" t="n">
        <x:v>11</x:v>
      </x:c>
      <x:c r="I875" s="87" t="str">
        <x:v>ТР №4</x:v>
      </x:c>
      <x:c r="J875" s="87" t="str">
        <x:v>ИС2510404</x:v>
      </x:c>
      <x:c r="K875" s="87" t="n">
        <x:v>16</x:v>
      </x:c>
      <x:c r="L875" s="87" t="str">
        <x:v>Развёрнутый ответ: культура</x:v>
      </x:c>
      <x:c r="M875" s="30" t="str">
        <x:v>Выберите монумент, возведённый позже календаря 1987 г., и назовите скульптора.</x:v>
      </x:c>
      <x:c r="N875" s="30" t="str">
        <x:v>2; З. К. Церетели.</x:v>
      </x:c>
      <x:c r="O875" s="30" t="str">
        <x:v>Памятник Петру I в Москве открыт в 1997 г.; автор — Зураб Церетели.</x:v>
      </x:c>
      <x:c r="P875" s="30" t="str">
        <x:v>Остальные изображённые памятники созданы до 1987 г.</x:v>
      </x:c>
      <x:c r="Q875" s="30"/>
      <x:c r="R875" s="30" t="str">
        <x:v>Критерий: номер и скульптор — 2; только номер — 1</x:v>
      </x:c>
      <x:c r="S875" s="30"/>
      <x:c r="T875" s="30"/>
      <x:c r="U875" s="30" t="str">
        <x:v>Расхождений нет.</x:v>
      </x:c>
      <x:c r="V875" s="87" t="str">
        <x:v>VERIFIED</x:v>
      </x:c>
      <x:c r="W875" s="87" t="str">
        <x:v>PDF p. 11 (V4)</x:v>
      </x:c>
      <x:c r="X875" s="87"/>
      <x:c r="Y875" s="87"/>
      <x:c r="Z875" s="87"/>
      <x:c r="AA875" s="87"/>
      <x:c r="AB875" s="87"/>
      <x:c r="AC875" s="87"/>
      <x:c r="AD875" s="87"/>
      <x:c r="AE875" s="87"/>
      <x:c r="AF875" s="87"/>
      <x:c r="AG875" s="87"/>
      <x:c r="AH875" s="87"/>
      <x:c r="AI875" s="30"/>
      <x:c r="AJ875" s="87" t="str">
        <x:v>master</x:v>
      </x:c>
      <x:c r="AK875" s="87" t="str">
        <x:v>master-v0.81</x:v>
      </x:c>
      <x:c r="AL875" s="87" t="str">
        <x:v>statgrad_master_base_v0_81_final(2).xlsx</x:v>
      </x:c>
      <x:c r="AM875" s="87" t="str">
        <x:v>HIST_Feb_V4</x:v>
      </x:c>
      <x:c r="AN875" s="87" t="n">
        <x:v>17</x:v>
      </x:c>
    </x:row>
    <x:row r="876">
      <x:c r="A876" s="87" t="n">
        <x:v>875</x:v>
      </x:c>
      <x:c r="B876" s="87" t="str">
        <x:v>FEB-HIS-V4-017</x:v>
      </x:c>
      <x:c r="C876" s="87" t="str">
        <x:v>СтатГрад</x:v>
      </x:c>
      <x:c r="D876" s="87" t="str">
        <x:v>Февраль 2026</x:v>
      </x:c>
      <x:c r="E876" s="87"/>
      <x:c r="F876" s="87"/>
      <x:c r="G876" s="87" t="str">
        <x:v>История</x:v>
      </x:c>
      <x:c r="H876" s="87" t="n">
        <x:v>11</x:v>
      </x:c>
      <x:c r="I876" s="87" t="str">
        <x:v>ТР №4</x:v>
      </x:c>
      <x:c r="J876" s="87" t="str">
        <x:v>ИС2510404</x:v>
      </x:c>
      <x:c r="K876" s="87" t="n">
        <x:v>17</x:v>
      </x:c>
      <x:c r="L876" s="87" t="str">
        <x:v>Развёрнутый ответ: два источника</x:v>
      </x:c>
      <x:c r="M876" s="30" t="str">
        <x:v>Назовите год Орловской наступательной операции, один участвовавший фронт и преимущество противника в начале боёв.</x:v>
      </x:c>
      <x:c r="N876" s="30" t="str">
        <x:v>1943 г.; Брянский фронт; немецкая авиация обладала абсолютным господством в воздухе и непрерывно бомбила советские части.</x:v>
      </x:c>
      <x:c r="O876" s="30" t="str">
        <x:v>Фрагменты относятся к боям за Орёл в ходе Курской битвы и операции «Кутузов».</x:v>
      </x:c>
      <x:c r="P876" s="30" t="str">
        <x:v>Год и преимущество прямо следуют из источников; Брянский фронт участвовал в операции.</x:v>
      </x:c>
      <x:c r="Q876" s="30"/>
      <x:c r="R876" s="30" t="str">
        <x:v>Критерий: до 3 баллов — по одному за каждый элемент</x:v>
      </x:c>
      <x:c r="S876" s="30"/>
      <x:c r="T876" s="30"/>
      <x:c r="U876" s="30" t="str">
        <x:v>Расхождений нет.</x:v>
      </x:c>
      <x:c r="V876" s="87" t="str">
        <x:v>VERIFIED</x:v>
      </x:c>
      <x:c r="W876" s="87" t="str">
        <x:v>PDF p. 12 (V4)</x:v>
      </x:c>
      <x:c r="X876" s="87"/>
      <x:c r="Y876" s="87"/>
      <x:c r="Z876" s="87"/>
      <x:c r="AA876" s="87"/>
      <x:c r="AB876" s="87"/>
      <x:c r="AC876" s="87"/>
      <x:c r="AD876" s="87"/>
      <x:c r="AE876" s="87"/>
      <x:c r="AF876" s="87"/>
      <x:c r="AG876" s="87"/>
      <x:c r="AH876" s="87"/>
      <x:c r="AI876" s="30"/>
      <x:c r="AJ876" s="87" t="str">
        <x:v>master</x:v>
      </x:c>
      <x:c r="AK876" s="87" t="str">
        <x:v>master-v0.81</x:v>
      </x:c>
      <x:c r="AL876" s="87" t="str">
        <x:v>statgrad_master_base_v0_81_final(2).xlsx</x:v>
      </x:c>
      <x:c r="AM876" s="87" t="str">
        <x:v>HIST_Feb_V4</x:v>
      </x:c>
      <x:c r="AN876" s="87" t="n">
        <x:v>18</x:v>
      </x:c>
    </x:row>
    <x:row r="877">
      <x:c r="A877" s="87" t="n">
        <x:v>876</x:v>
      </x:c>
      <x:c r="B877" s="87" t="str">
        <x:v>FEB-HIS-V4-018</x:v>
      </x:c>
      <x:c r="C877" s="87" t="str">
        <x:v>СтатГрад</x:v>
      </x:c>
      <x:c r="D877" s="87" t="str">
        <x:v>Февраль 2026</x:v>
      </x:c>
      <x:c r="E877" s="87"/>
      <x:c r="F877" s="87"/>
      <x:c r="G877" s="87" t="str">
        <x:v>История</x:v>
      </x:c>
      <x:c r="H877" s="87" t="n">
        <x:v>11</x:v>
      </x:c>
      <x:c r="I877" s="87" t="str">
        <x:v>ТР №4</x:v>
      </x:c>
      <x:c r="J877" s="87" t="str">
        <x:v>ИС2510404</x:v>
      </x:c>
      <x:c r="K877" s="87" t="n">
        <x:v>18</x:v>
      </x:c>
      <x:c r="L877" s="87" t="str">
        <x:v>Развёрнутый ответ: причинно-следственные связи</x:v>
      </x:c>
      <x:c r="M877" s="30" t="str">
        <x:v>Укажите земельную предпосылку «хождения в народ», причину провала и последствие для народничества.</x:v>
      </x:c>
      <x:c r="N877" s="30" t="str">
        <x:v>После реформы 1861 г. крестьянские наделы были малы, а выкупные платежи тяжёлы; крестьяне сохраняли монархические взгляды и не поддержали антиправительственную пропаганду; часть народников перешла от пропаганды к политическому террору.</x:v>
      </x:c>
      <x:c r="O877" s="30" t="str">
        <x:v>Три элемента образуют последовательную причинно-следственную цепочку.</x:v>
      </x:c>
      <x:c r="P877" s="30" t="str">
        <x:v>Предпосылка, причина провала и последствие не смешаны между собой.</x:v>
      </x:c>
      <x:c r="Q877" s="30"/>
      <x:c r="R877" s="30" t="str">
        <x:v>Критерий: до 3 баллов — по одному за каждый элемент</x:v>
      </x:c>
      <x:c r="S877" s="30"/>
      <x:c r="T877" s="30"/>
      <x:c r="U877" s="30" t="str">
        <x:v>Расхождений нет.</x:v>
      </x:c>
      <x:c r="V877" s="87" t="str">
        <x:v>VERIFIED</x:v>
      </x:c>
      <x:c r="W877" s="87" t="str">
        <x:v>PDF p. 13 (V4)</x:v>
      </x:c>
      <x:c r="X877" s="87"/>
      <x:c r="Y877" s="87"/>
      <x:c r="Z877" s="87"/>
      <x:c r="AA877" s="87"/>
      <x:c r="AB877" s="87"/>
      <x:c r="AC877" s="87"/>
      <x:c r="AD877" s="87"/>
      <x:c r="AE877" s="87"/>
      <x:c r="AF877" s="87"/>
      <x:c r="AG877" s="87"/>
      <x:c r="AH877" s="87"/>
      <x:c r="AI877" s="30"/>
      <x:c r="AJ877" s="87" t="str">
        <x:v>master</x:v>
      </x:c>
      <x:c r="AK877" s="87" t="str">
        <x:v>master-v0.81</x:v>
      </x:c>
      <x:c r="AL877" s="87" t="str">
        <x:v>statgrad_master_base_v0_81_final(2).xlsx</x:v>
      </x:c>
      <x:c r="AM877" s="87" t="str">
        <x:v>HIST_Feb_V4</x:v>
      </x:c>
      <x:c r="AN877" s="87" t="n">
        <x:v>19</x:v>
      </x:c>
    </x:row>
    <x:row r="878">
      <x:c r="A878" s="87" t="n">
        <x:v>877</x:v>
      </x:c>
      <x:c r="B878" s="87" t="str">
        <x:v>FEB-HIS-V4-019</x:v>
      </x:c>
      <x:c r="C878" s="87" t="str">
        <x:v>СтатГрад</x:v>
      </x:c>
      <x:c r="D878" s="87" t="str">
        <x:v>Февраль 2026</x:v>
      </x:c>
      <x:c r="E878" s="87"/>
      <x:c r="F878" s="87"/>
      <x:c r="G878" s="87" t="str">
        <x:v>История</x:v>
      </x:c>
      <x:c r="H878" s="87" t="n">
        <x:v>11</x:v>
      </x:c>
      <x:c r="I878" s="87" t="str">
        <x:v>ТР №4</x:v>
      </x:c>
      <x:c r="J878" s="87" t="str">
        <x:v>ИС2510404</x:v>
      </x:c>
      <x:c r="K878" s="87" t="n">
        <x:v>19</x:v>
      </x:c>
      <x:c r="L878" s="87" t="str">
        <x:v>Развёрнутый ответ: понятие и факт</x:v>
      </x:c>
      <x:c r="M878" s="30" t="str">
        <x:v>Раскройте понятие «диссиденты» и приведите отдельный факт.</x:v>
      </x:c>
      <x:c r="N878" s="30" t="str">
        <x:v>Диссиденты — участники оппозиционного движения в СССР, выступавшие за права и свободы и против официальной идеологии. Факт: в 1976 г. была создана Московская Хельсинкская группа.</x:v>
      </x:c>
      <x:c r="O878" s="30" t="str">
        <x:v>Определение содержит существенные признаки; факт не включён в определение.</x:v>
      </x:c>
      <x:c r="P878" s="30" t="str">
        <x:v>Дата и назначение Московской Хельсинкской группы проверены отдельно.</x:v>
      </x:c>
      <x:c r="Q878" s="30"/>
      <x:c r="R878" s="30" t="str">
        <x:v>Критерий: понятие и факт — 2; один компонент — 1</x:v>
      </x:c>
      <x:c r="S878" s="30"/>
      <x:c r="T878" s="30"/>
      <x:c r="U878" s="30" t="str">
        <x:v>Расхождений нет.</x:v>
      </x:c>
      <x:c r="V878" s="87" t="str">
        <x:v>VERIFIED</x:v>
      </x:c>
      <x:c r="W878" s="87" t="str">
        <x:v>PDF p. 13 (V4)</x:v>
      </x:c>
      <x:c r="X878" s="87"/>
      <x:c r="Y878" s="87"/>
      <x:c r="Z878" s="87"/>
      <x:c r="AA878" s="87"/>
      <x:c r="AB878" s="87"/>
      <x:c r="AC878" s="87"/>
      <x:c r="AD878" s="87"/>
      <x:c r="AE878" s="87"/>
      <x:c r="AF878" s="87"/>
      <x:c r="AG878" s="87"/>
      <x:c r="AH878" s="87"/>
      <x:c r="AI878" s="30"/>
      <x:c r="AJ878" s="87" t="str">
        <x:v>master</x:v>
      </x:c>
      <x:c r="AK878" s="87" t="str">
        <x:v>master-v0.81</x:v>
      </x:c>
      <x:c r="AL878" s="87" t="str">
        <x:v>statgrad_master_base_v0_81_final(2).xlsx</x:v>
      </x:c>
      <x:c r="AM878" s="87" t="str">
        <x:v>HIST_Feb_V4</x:v>
      </x:c>
      <x:c r="AN878" s="87" t="n">
        <x:v>20</x:v>
      </x:c>
    </x:row>
    <x:row r="879">
      <x:c r="A879" s="87" t="n">
        <x:v>878</x:v>
      </x:c>
      <x:c r="B879" s="87" t="str">
        <x:v>FEB-HIS-V4-020</x:v>
      </x:c>
      <x:c r="C879" s="87" t="str">
        <x:v>СтатГрад</x:v>
      </x:c>
      <x:c r="D879" s="87" t="str">
        <x:v>Февраль 2026</x:v>
      </x:c>
      <x:c r="E879" s="87"/>
      <x:c r="F879" s="87"/>
      <x:c r="G879" s="87" t="str">
        <x:v>История</x:v>
      </x:c>
      <x:c r="H879" s="87" t="n">
        <x:v>11</x:v>
      </x:c>
      <x:c r="I879" s="87" t="str">
        <x:v>ТР №4</x:v>
      </x:c>
      <x:c r="J879" s="87" t="str">
        <x:v>ИС2510404</x:v>
      </x:c>
      <x:c r="K879" s="87" t="n">
        <x:v>20</x:v>
      </x:c>
      <x:c r="L879" s="87" t="str">
        <x:v>Развёрнутый ответ: сравнение</x:v>
      </x:c>
      <x:c r="M879" s="30" t="str">
        <x:v>Сравните социально-экономическое положение Руси в первой половине X в. и Российского государства в конце XV в.</x:v>
      </x:c>
      <x:c r="N879" s="30" t="str">
        <x:v>Тезис: к концу XV в. феодальное землевладение и зависимость крестьян были развиты сильнее. 1) В X в. преобладало общинное землевладение; в XV в. существовали вотчины и складывалась поместная система. 2) В X в. большинство земледельцев было свободным; к концу XV в. началось ограничение крестьянских переходов и закрепощение.</x:v>
      </x:c>
      <x:c r="O879" s="30" t="str">
        <x:v>Тезис и обоснования сравнивают оба периода по землевладению и положению крестьян.</x:v>
      </x:c>
      <x:c r="P879" s="30" t="str">
        <x:v>Каждое обоснование содержит по одному факту для каждого периода.</x:v>
      </x:c>
      <x:c r="Q879" s="30"/>
      <x:c r="R879" s="30" t="str">
        <x:v>Критерий: до 3 баллов — тезис и два обоснования</x:v>
      </x:c>
      <x:c r="S879" s="30"/>
      <x:c r="T879" s="30"/>
      <x:c r="U879" s="30" t="str">
        <x:v>Расхождений нет.</x:v>
      </x:c>
      <x:c r="V879" s="87" t="str">
        <x:v>VERIFIED</x:v>
      </x:c>
      <x:c r="W879" s="87" t="str">
        <x:v>PDF p. 13 (V4)</x:v>
      </x:c>
      <x:c r="X879" s="87"/>
      <x:c r="Y879" s="87"/>
      <x:c r="Z879" s="87"/>
      <x:c r="AA879" s="87"/>
      <x:c r="AB879" s="87"/>
      <x:c r="AC879" s="87"/>
      <x:c r="AD879" s="87"/>
      <x:c r="AE879" s="87"/>
      <x:c r="AF879" s="87"/>
      <x:c r="AG879" s="87"/>
      <x:c r="AH879" s="87"/>
      <x:c r="AI879" s="30"/>
      <x:c r="AJ879" s="87" t="str">
        <x:v>master</x:v>
      </x:c>
      <x:c r="AK879" s="87" t="str">
        <x:v>master-v0.81</x:v>
      </x:c>
      <x:c r="AL879" s="87" t="str">
        <x:v>statgrad_master_base_v0_81_final(2).xlsx</x:v>
      </x:c>
      <x:c r="AM879" s="87" t="str">
        <x:v>HIST_Feb_V4</x:v>
      </x:c>
      <x:c r="AN879" s="87" t="n">
        <x:v>21</x:v>
      </x:c>
    </x:row>
    <x:row r="880">
      <x:c r="A880" s="87" t="n">
        <x:v>879</x:v>
      </x:c>
      <x:c r="B880" s="87" t="str">
        <x:v>FEB-HIS-V4-021</x:v>
      </x:c>
      <x:c r="C880" s="87" t="str">
        <x:v>СтатГрад</x:v>
      </x:c>
      <x:c r="D880" s="87" t="str">
        <x:v>Февраль 2026</x:v>
      </x:c>
      <x:c r="E880" s="87"/>
      <x:c r="F880" s="87"/>
      <x:c r="G880" s="87" t="str">
        <x:v>История</x:v>
      </x:c>
      <x:c r="H880" s="87" t="n">
        <x:v>11</x:v>
      </x:c>
      <x:c r="I880" s="87" t="str">
        <x:v>ТР №4</x:v>
      </x:c>
      <x:c r="J880" s="87" t="str">
        <x:v>ИС2510404</x:v>
      </x:c>
      <x:c r="K880" s="87" t="n">
        <x:v>21</x:v>
      </x:c>
      <x:c r="L880" s="87" t="str">
        <x:v>Развёрнутый ответ: аргументация</x:v>
      </x:c>
      <x:c r="M880" s="30" t="str">
        <x:v>Покажите изменение положения религии после революций в России и одной восточной стране.</x:v>
      </x:c>
      <x:c r="N880" s="30" t="str">
        <x:v>Россия: после 1917 г. церковь была отделена от государства и школы, проводились изъятия ценностей и преследования духовенства. Турция: кемалистская революция привела к упразднению халифата в 1924 г. и построению светского государства.</x:v>
      </x:c>
      <x:c r="O880" s="30" t="str">
        <x:v>Для обеих стран приведены конкретные революционные меры и объяснено изменение положения религии.</x:v>
      </x:c>
      <x:c r="P880" s="30" t="str">
        <x:v>Аргументы самостоятельны и подтверждены историческими фактами.</x:v>
      </x:c>
      <x:c r="Q880" s="30"/>
      <x:c r="R880" s="30" t="str">
        <x:v>Критерий: два корректных аргумента — до 3 баллов</x:v>
      </x:c>
      <x:c r="S880" s="30"/>
      <x:c r="T880" s="30"/>
      <x:c r="U880" s="30" t="str">
        <x:v>Расхождений нет.</x:v>
      </x:c>
      <x:c r="V880" s="87" t="str">
        <x:v>VERIFIED</x:v>
      </x:c>
      <x:c r="W880" s="87" t="str">
        <x:v>PDF p. 13 (V4)</x:v>
      </x:c>
      <x:c r="X880" s="87"/>
      <x:c r="Y880" s="87"/>
      <x:c r="Z880" s="87"/>
      <x:c r="AA880" s="87"/>
      <x:c r="AB880" s="87"/>
      <x:c r="AC880" s="87"/>
      <x:c r="AD880" s="87"/>
      <x:c r="AE880" s="87"/>
      <x:c r="AF880" s="87"/>
      <x:c r="AG880" s="87"/>
      <x:c r="AH880" s="87"/>
      <x:c r="AI880" s="30"/>
      <x:c r="AJ880" s="87" t="str">
        <x:v>master</x:v>
      </x:c>
      <x:c r="AK880" s="87" t="str">
        <x:v>master-v0.81</x:v>
      </x:c>
      <x:c r="AL880" s="87" t="str">
        <x:v>statgrad_master_base_v0_81_final(2).xlsx</x:v>
      </x:c>
      <x:c r="AM880" s="87" t="str">
        <x:v>HIST_Feb_V4</x:v>
      </x:c>
      <x:c r="AN880" s="87" t="n">
        <x:v>22</x:v>
      </x:c>
    </x:row>
    <x:row r="881">
      <x:c r="A881" s="87" t="n">
        <x:v>880</x:v>
      </x:c>
      <x:c r="B881" s="87" t="str">
        <x:v>MAR-INF-V1-001</x:v>
      </x:c>
      <x:c r="C881" s="87" t="str">
        <x:v>СтатГрад</x:v>
      </x:c>
      <x:c r="D881" s="87" t="str">
        <x:v>Март 2026</x:v>
      </x:c>
      <x:c r="E881" s="87"/>
      <x:c r="F881" s="87"/>
      <x:c r="G881" s="87" t="str">
        <x:v>Информатика</x:v>
      </x:c>
      <x:c r="H881" s="87" t="n">
        <x:v>11</x:v>
      </x:c>
      <x:c r="I881" s="87" t="str">
        <x:v>ТР №4</x:v>
      </x:c>
      <x:c r="J881" s="87" t="str">
        <x:v>ИН2510401</x:v>
      </x:c>
      <x:c r="K881" s="87" t="n">
        <x:v>1</x:v>
      </x:c>
      <x:c r="L881" s="87" t="str">
        <x:v>Граф и таблица дорог</x:v>
      </x:c>
      <x:c r="M881" s="30" t="str">
        <x:v>По графу и таблице длин дорог определить сумму длин всех дорог из пункта A.</x:v>
      </x:c>
      <x:c r="N881" s="30" t="str">
        <x:v>76</x:v>
      </x:c>
      <x:c r="O881" s="30" t="str">
        <x:v>По степеням вершин: D соответствует П3, B — П4, A — П2. Сумма рёбер строки П2: 22 + 11 + 43 = 76.</x:v>
      </x:c>
      <x:c r="P881" s="30" t="str">
        <x:v>Соответствие вершин восстановлено независимо по степеням и смежности графа.</x:v>
      </x:c>
      <x:c r="Q881" s="30"/>
      <x:c r="R881" s="30" t="str">
        <x:v>PDF + открытый ответ 76</x:v>
      </x:c>
      <x:c r="S881" s="30"/>
      <x:c r="T881" s="30"/>
      <x:c r="U881" s="30" t="str">
        <x:v>Расхождений нет.</x:v>
      </x:c>
      <x:c r="V881" s="87" t="str">
        <x:v>VERIFIED</x:v>
      </x:c>
      <x:c r="W881" s="87" t="str">
        <x:v>PDF</x:v>
      </x:c>
      <x:c r="X881" s="87"/>
      <x:c r="Y881" s="87"/>
      <x:c r="Z881" s="87"/>
      <x:c r="AA881" s="87"/>
      <x:c r="AB881" s="87"/>
      <x:c r="AC881" s="87"/>
      <x:c r="AD881" s="87"/>
      <x:c r="AE881" s="87"/>
      <x:c r="AF881" s="87"/>
      <x:c r="AG881" s="87"/>
      <x:c r="AH881" s="87"/>
      <x:c r="AI881" s="30"/>
      <x:c r="AJ881" s="87" t="str">
        <x:v>master</x:v>
      </x:c>
      <x:c r="AK881" s="87" t="str">
        <x:v>master-v0.81</x:v>
      </x:c>
      <x:c r="AL881" s="87" t="str">
        <x:v>statgrad_master_base_v0_81_final(2).xlsx</x:v>
      </x:c>
      <x:c r="AM881" s="87" t="str">
        <x:v>INF_Mar_V1</x:v>
      </x:c>
      <x:c r="AN881" s="87" t="n">
        <x:v>2</x:v>
      </x:c>
    </x:row>
    <x:row r="882">
      <x:c r="A882" s="87" t="n">
        <x:v>881</x:v>
      </x:c>
      <x:c r="B882" s="87" t="str">
        <x:v>MAR-INF-V1-002</x:v>
      </x:c>
      <x:c r="C882" s="87" t="str">
        <x:v>СтатГрад</x:v>
      </x:c>
      <x:c r="D882" s="87" t="str">
        <x:v>Март 2026</x:v>
      </x:c>
      <x:c r="E882" s="87"/>
      <x:c r="F882" s="87"/>
      <x:c r="G882" s="87" t="str">
        <x:v>Информатика</x:v>
      </x:c>
      <x:c r="H882" s="87" t="n">
        <x:v>11</x:v>
      </x:c>
      <x:c r="I882" s="87" t="str">
        <x:v>ТР №4</x:v>
      </x:c>
      <x:c r="J882" s="87" t="str">
        <x:v>ИН2510401</x:v>
      </x:c>
      <x:c r="K882" s="87" t="n">
        <x:v>2</x:v>
      </x:c>
      <x:c r="L882" s="87" t="str">
        <x:v>Таблица истинности</x:v>
      </x:c>
      <x:c r="M882" s="30" t="str">
        <x:v>Определить порядок столбцов переменных для F = y ∧ ((¬w ∨ z) ≡ x) по трём неполным строкам.</x:v>
      </x:c>
      <x:c r="N882" s="30" t="str">
        <x:v>xywz</x:v>
      </x:c>
      <x:c r="O882" s="30" t="str">
        <x:v>Полный перебор 24 перестановок переменных и допустимых заполнений строк оставляет единственный порядок xywz.</x:v>
      </x:c>
      <x:c r="P882" s="30" t="str">
        <x:v>Выполнен независимый программный перебор таблицы истинности.</x:v>
      </x:c>
      <x:c r="Q882" s="30"/>
      <x:c r="R882" s="30" t="str">
        <x:v>PDF + открытый ответ xywz</x:v>
      </x:c>
      <x:c r="S882" s="30"/>
      <x:c r="T882" s="30"/>
      <x:c r="U882" s="30" t="str">
        <x:v>Расхождений нет.</x:v>
      </x:c>
      <x:c r="V882" s="87" t="str">
        <x:v>VERIFIED</x:v>
      </x:c>
      <x:c r="W882" s="87" t="str">
        <x:v>PDF</x:v>
      </x:c>
      <x:c r="X882" s="87"/>
      <x:c r="Y882" s="87"/>
      <x:c r="Z882" s="87"/>
      <x:c r="AA882" s="87"/>
      <x:c r="AB882" s="87"/>
      <x:c r="AC882" s="87"/>
      <x:c r="AD882" s="87"/>
      <x:c r="AE882" s="87"/>
      <x:c r="AF882" s="87"/>
      <x:c r="AG882" s="87"/>
      <x:c r="AH882" s="87"/>
      <x:c r="AI882" s="30"/>
      <x:c r="AJ882" s="87" t="str">
        <x:v>master</x:v>
      </x:c>
      <x:c r="AK882" s="87" t="str">
        <x:v>master-v0.81</x:v>
      </x:c>
      <x:c r="AL882" s="87" t="str">
        <x:v>statgrad_master_base_v0_81_final(2).xlsx</x:v>
      </x:c>
      <x:c r="AM882" s="87" t="str">
        <x:v>INF_Mar_V1</x:v>
      </x:c>
      <x:c r="AN882" s="87" t="n">
        <x:v>3</x:v>
      </x:c>
    </x:row>
    <x:row r="883">
      <x:c r="A883" s="87" t="n">
        <x:v>882</x:v>
      </x:c>
      <x:c r="B883" s="87" t="str">
        <x:v>MAR-INF-V1-003</x:v>
      </x:c>
      <x:c r="C883" s="87" t="str">
        <x:v>СтатГрад</x:v>
      </x:c>
      <x:c r="D883" s="87" t="str">
        <x:v>Март 2026</x:v>
      </x:c>
      <x:c r="E883" s="87"/>
      <x:c r="F883" s="87"/>
      <x:c r="G883" s="87" t="str">
        <x:v>Информатика</x:v>
      </x:c>
      <x:c r="H883" s="87" t="n">
        <x:v>11</x:v>
      </x:c>
      <x:c r="I883" s="87" t="str">
        <x:v>ТР №4</x:v>
      </x:c>
      <x:c r="J883" s="87" t="str">
        <x:v>ИН2510401</x:v>
      </x:c>
      <x:c r="K883" s="87" t="n">
        <x:v>3</x:v>
      </x:c>
      <x:c r="L883" s="87" t="str">
        <x:v>База данных, приложенный файл</x:v>
      </x:c>
      <x:c r="M883" s="30" t="str">
        <x:v>Определить массу пряных трав из Московской области, выданных покупателю с 22.08.2024 по 15.09.2024.</x:v>
      </x:c>
      <x:c r="N883" s="30" t="str">
        <x:v>458</x:v>
      </x:c>
      <x:c r="O883" s="30" t="str">
        <x:v>После объединения таблиц «Наличие», «Продукты» и «Производственные базы» отобраны пряные травы из Московской области, выданные покупателю с 22.08.2024 по 15.09.2024. Сумма — 458 кг.</x:v>
      </x:c>
      <x:c r="P883" s="30" t="str">
        <x:v>Файл 3.ods обработан независимо: фильтр по категории, региону, типу операции и включённому диапазону дат.</x:v>
      </x:c>
      <x:c r="Q883" s="30"/>
      <x:c r="R883" s="30" t="str">
        <x:v>3.ods + приложенный ключ</x:v>
      </x:c>
      <x:c r="S883" s="30"/>
      <x:c r="T883" s="30"/>
      <x:c r="U883" s="30" t="str">
        <x:v>Полное совпадение с ключом архива.</x:v>
      </x:c>
      <x:c r="V883" s="87" t="str">
        <x:v>VERIFIED</x:v>
      </x:c>
      <x:c r="W883" s="87" t="str">
        <x:v>PDF + 3.ods</x:v>
      </x:c>
      <x:c r="X883" s="87"/>
      <x:c r="Y883" s="87"/>
      <x:c r="Z883" s="87"/>
      <x:c r="AA883" s="87"/>
      <x:c r="AB883" s="87"/>
      <x:c r="AC883" s="87"/>
      <x:c r="AD883" s="87"/>
      <x:c r="AE883" s="87"/>
      <x:c r="AF883" s="87"/>
      <x:c r="AG883" s="87"/>
      <x:c r="AH883" s="87"/>
      <x:c r="AI883" s="30"/>
      <x:c r="AJ883" s="87" t="str">
        <x:v>master</x:v>
      </x:c>
      <x:c r="AK883" s="87" t="str">
        <x:v>master-v0.81</x:v>
      </x:c>
      <x:c r="AL883" s="87" t="str">
        <x:v>statgrad_master_base_v0_81_final(2).xlsx</x:v>
      </x:c>
      <x:c r="AM883" s="87" t="str">
        <x:v>INF_Mar_V1</x:v>
      </x:c>
      <x:c r="AN883" s="87" t="n">
        <x:v>4</x:v>
      </x:c>
    </x:row>
    <x:row r="884">
      <x:c r="A884" s="87" t="n">
        <x:v>883</x:v>
      </x:c>
      <x:c r="B884" s="87" t="str">
        <x:v>MAR-INF-V1-004</x:v>
      </x:c>
      <x:c r="C884" s="87" t="str">
        <x:v>СтатГрад</x:v>
      </x:c>
      <x:c r="D884" s="87" t="str">
        <x:v>Март 2026</x:v>
      </x:c>
      <x:c r="E884" s="87"/>
      <x:c r="F884" s="87"/>
      <x:c r="G884" s="87" t="str">
        <x:v>Информатика</x:v>
      </x:c>
      <x:c r="H884" s="87" t="n">
        <x:v>11</x:v>
      </x:c>
      <x:c r="I884" s="87" t="str">
        <x:v>ТР №4</x:v>
      </x:c>
      <x:c r="J884" s="87" t="str">
        <x:v>ИН2510401</x:v>
      </x:c>
      <x:c r="K884" s="87" t="n">
        <x:v>4</x:v>
      </x:c>
      <x:c r="L884" s="87" t="str">
        <x:v>Условие Фано</x:v>
      </x:c>
      <x:c r="M884" s="30" t="str">
        <x:v>Минимизировать длину кодирования слова «САНИНСПЕКЦИЯ» при заданных кодах С, А, П, Е, К.</x:v>
      </x:c>
      <x:c r="N884" s="30" t="str">
        <x:v>41</x:v>
      </x:c>
      <x:c r="O884" s="30" t="str">
        <x:v>Для неизвестных букв можно взять длины 3, 4, 4 и 5 (например, ветви 01 и 11100); с учётом частот букв суммарная длина равна 41.</x:v>
      </x:c>
      <x:c r="P884" s="30" t="str">
        <x:v>Построено допустимое префиксное дерево и проверена минимальность распределения длин.</x:v>
      </x:c>
      <x:c r="Q884" s="30"/>
      <x:c r="R884" s="30" t="str">
        <x:v>PDF + открытый ответ 41</x:v>
      </x:c>
      <x:c r="S884" s="30"/>
      <x:c r="T884" s="30"/>
      <x:c r="U884" s="30" t="str">
        <x:v>Расхождений нет.</x:v>
      </x:c>
      <x:c r="V884" s="87" t="str">
        <x:v>VERIFIED</x:v>
      </x:c>
      <x:c r="W884" s="87" t="str">
        <x:v>PDF</x:v>
      </x:c>
      <x:c r="X884" s="87"/>
      <x:c r="Y884" s="87"/>
      <x:c r="Z884" s="87"/>
      <x:c r="AA884" s="87"/>
      <x:c r="AB884" s="87"/>
      <x:c r="AC884" s="87"/>
      <x:c r="AD884" s="87"/>
      <x:c r="AE884" s="87"/>
      <x:c r="AF884" s="87"/>
      <x:c r="AG884" s="87"/>
      <x:c r="AH884" s="87"/>
      <x:c r="AI884" s="30"/>
      <x:c r="AJ884" s="87" t="str">
        <x:v>master</x:v>
      </x:c>
      <x:c r="AK884" s="87" t="str">
        <x:v>master-v0.81</x:v>
      </x:c>
      <x:c r="AL884" s="87" t="str">
        <x:v>statgrad_master_base_v0_81_final(2).xlsx</x:v>
      </x:c>
      <x:c r="AM884" s="87" t="str">
        <x:v>INF_Mar_V1</x:v>
      </x:c>
      <x:c r="AN884" s="87" t="n">
        <x:v>5</x:v>
      </x:c>
    </x:row>
    <x:row r="885">
      <x:c r="A885" s="87" t="n">
        <x:v>884</x:v>
      </x:c>
      <x:c r="B885" s="87" t="str">
        <x:v>MAR-INF-V1-005</x:v>
      </x:c>
      <x:c r="C885" s="87" t="str">
        <x:v>СтатГрад</x:v>
      </x:c>
      <x:c r="D885" s="87" t="str">
        <x:v>Март 2026</x:v>
      </x:c>
      <x:c r="E885" s="87"/>
      <x:c r="F885" s="87"/>
      <x:c r="G885" s="87" t="str">
        <x:v>Информатика</x:v>
      </x:c>
      <x:c r="H885" s="87" t="n">
        <x:v>11</x:v>
      </x:c>
      <x:c r="I885" s="87" t="str">
        <x:v>ТР №4</x:v>
      </x:c>
      <x:c r="J885" s="87" t="str">
        <x:v>ИН2510401</x:v>
      </x:c>
      <x:c r="K885" s="87" t="n">
        <x:v>5</x:v>
      </x:c>
      <x:c r="L885" s="87" t="str">
        <x:v>Цифровой автомат</x:v>
      </x:c>
      <x:c r="M885" s="30" t="str">
        <x:v>Найти наибольшее N ≤ 10000, для которого автомат с произведением ненулевых цифр и суммой min/max выдаёт R=23126.</x:v>
      </x:c>
      <x:c r="N885" s="30" t="str">
        <x:v>72</x:v>
      </x:c>
      <x:c r="O885" s="30" t="str">
        <x:v>Подходят N=27 и N=72; наибольшее — 72.</x:v>
      </x:c>
      <x:c r="P885" s="30" t="str">
        <x:v>Полный перебор натуральных N от 1 до 10000 по правилам автомата.</x:v>
      </x:c>
      <x:c r="Q885" s="30"/>
      <x:c r="R885" s="30" t="str">
        <x:v>PDF + открытый ответ 72</x:v>
      </x:c>
      <x:c r="S885" s="30"/>
      <x:c r="T885" s="30"/>
      <x:c r="U885" s="30" t="str">
        <x:v>Расхождений нет.</x:v>
      </x:c>
      <x:c r="V885" s="87" t="str">
        <x:v>VERIFIED</x:v>
      </x:c>
      <x:c r="W885" s="87" t="str">
        <x:v>PDF</x:v>
      </x:c>
      <x:c r="X885" s="87"/>
      <x:c r="Y885" s="87"/>
      <x:c r="Z885" s="87"/>
      <x:c r="AA885" s="87"/>
      <x:c r="AB885" s="87"/>
      <x:c r="AC885" s="87"/>
      <x:c r="AD885" s="87"/>
      <x:c r="AE885" s="87"/>
      <x:c r="AF885" s="87"/>
      <x:c r="AG885" s="87"/>
      <x:c r="AH885" s="87"/>
      <x:c r="AI885" s="30"/>
      <x:c r="AJ885" s="87" t="str">
        <x:v>master</x:v>
      </x:c>
      <x:c r="AK885" s="87" t="str">
        <x:v>master-v0.81</x:v>
      </x:c>
      <x:c r="AL885" s="87" t="str">
        <x:v>statgrad_master_base_v0_81_final(2).xlsx</x:v>
      </x:c>
      <x:c r="AM885" s="87" t="str">
        <x:v>INF_Mar_V1</x:v>
      </x:c>
      <x:c r="AN885" s="87" t="n">
        <x:v>6</x:v>
      </x:c>
    </x:row>
    <x:row r="886">
      <x:c r="A886" s="87" t="n">
        <x:v>885</x:v>
      </x:c>
      <x:c r="B886" s="87" t="str">
        <x:v>MAR-INF-V1-006</x:v>
      </x:c>
      <x:c r="C886" s="87" t="str">
        <x:v>СтатГрад</x:v>
      </x:c>
      <x:c r="D886" s="87" t="str">
        <x:v>Март 2026</x:v>
      </x:c>
      <x:c r="E886" s="87"/>
      <x:c r="F886" s="87"/>
      <x:c r="G886" s="87" t="str">
        <x:v>Информатика</x:v>
      </x:c>
      <x:c r="H886" s="87" t="n">
        <x:v>11</x:v>
      </x:c>
      <x:c r="I886" s="87" t="str">
        <x:v>ТР №4</x:v>
      </x:c>
      <x:c r="J886" s="87" t="str">
        <x:v>ИН2510401</x:v>
      </x:c>
      <x:c r="K886" s="87" t="n">
        <x:v>6</x:v>
      </x:c>
      <x:c r="L886" s="87" t="str">
        <x:v>Черепаха и площадь</x:v>
      </x:c>
      <x:c r="M886" s="30" t="str">
        <x:v>Определить площадь объединения фигур, ограниченных линиями алгоритма Черепахи.</x:v>
      </x:c>
      <x:c r="N886" s="30" t="str">
        <x:v>69</x:v>
      </x:c>
      <x:c r="O886" s="30" t="str">
        <x:v>После моделирования отрезков и разбиения плоскости получаются области площадей 30, 8, 6, 13 и 12; их объединение имеет площадь 69.</x:v>
      </x:c>
      <x:c r="P886" s="30" t="str">
        <x:v>Координаты всех отрезков смоделированы; замкнутые области полигонализованы и объединены.</x:v>
      </x:c>
      <x:c r="Q886" s="30"/>
      <x:c r="R886" s="30" t="str">
        <x:v>PDF + открытый ответ 69</x:v>
      </x:c>
      <x:c r="S886" s="30"/>
      <x:c r="T886" s="30"/>
      <x:c r="U886" s="30" t="str">
        <x:v>Расхождений нет.</x:v>
      </x:c>
      <x:c r="V886" s="87" t="str">
        <x:v>VERIFIED</x:v>
      </x:c>
      <x:c r="W886" s="87" t="str">
        <x:v>PDF</x:v>
      </x:c>
      <x:c r="X886" s="87"/>
      <x:c r="Y886" s="87"/>
      <x:c r="Z886" s="87"/>
      <x:c r="AA886" s="87"/>
      <x:c r="AB886" s="87"/>
      <x:c r="AC886" s="87"/>
      <x:c r="AD886" s="87"/>
      <x:c r="AE886" s="87"/>
      <x:c r="AF886" s="87"/>
      <x:c r="AG886" s="87"/>
      <x:c r="AH886" s="87"/>
      <x:c r="AI886" s="30"/>
      <x:c r="AJ886" s="87" t="str">
        <x:v>master</x:v>
      </x:c>
      <x:c r="AK886" s="87" t="str">
        <x:v>master-v0.81</x:v>
      </x:c>
      <x:c r="AL886" s="87" t="str">
        <x:v>statgrad_master_base_v0_81_final(2).xlsx</x:v>
      </x:c>
      <x:c r="AM886" s="87" t="str">
        <x:v>INF_Mar_V1</x:v>
      </x:c>
      <x:c r="AN886" s="87" t="n">
        <x:v>7</x:v>
      </x:c>
    </x:row>
    <x:row r="887">
      <x:c r="A887" s="87" t="n">
        <x:v>886</x:v>
      </x:c>
      <x:c r="B887" s="87" t="str">
        <x:v>MAR-INF-V1-007</x:v>
      </x:c>
      <x:c r="C887" s="87" t="str">
        <x:v>СтатГрад</x:v>
      </x:c>
      <x:c r="D887" s="87" t="str">
        <x:v>Март 2026</x:v>
      </x:c>
      <x:c r="E887" s="87"/>
      <x:c r="F887" s="87"/>
      <x:c r="G887" s="87" t="str">
        <x:v>Информатика</x:v>
      </x:c>
      <x:c r="H887" s="87" t="n">
        <x:v>11</x:v>
      </x:c>
      <x:c r="I887" s="87" t="str">
        <x:v>ТР №4</x:v>
      </x:c>
      <x:c r="J887" s="87" t="str">
        <x:v>ИН2510401</x:v>
      </x:c>
      <x:c r="K887" s="87" t="n">
        <x:v>7</x:v>
      </x:c>
      <x:c r="L887" s="87" t="str">
        <x:v>Объём аудиофайла</x:v>
      </x:c>
      <x:c r="M887" s="30" t="str">
        <x:v>Сравнить сжатые объёмы квадро-записи и повторной стереозаписи при изменении разрешения и частоты.</x:v>
      </x:c>
      <x:c r="N887" s="30" t="str">
        <x:v>4</x:v>
      </x:c>
      <x:c r="O887" s="30" t="str">
        <x:v>Первый объём пропорционален 0,8·4·R·f=3,2Rf; второй — 0,1·2·(R/2)·8f=0,8Rf. Отношение равно 4.</x:v>
      </x:c>
      <x:c r="P887" s="30" t="str">
        <x:v>Факторы каналов, разрешения, частоты и сжатия проверены отдельно.</x:v>
      </x:c>
      <x:c r="Q887" s="30"/>
      <x:c r="R887" s="30" t="str">
        <x:v>PDF + открытый ответ 4</x:v>
      </x:c>
      <x:c r="S887" s="30"/>
      <x:c r="T887" s="30"/>
      <x:c r="U887" s="30" t="str">
        <x:v>Расхождений нет.</x:v>
      </x:c>
      <x:c r="V887" s="87" t="str">
        <x:v>VERIFIED</x:v>
      </x:c>
      <x:c r="W887" s="87" t="str">
        <x:v>PDF</x:v>
      </x:c>
      <x:c r="X887" s="87"/>
      <x:c r="Y887" s="87"/>
      <x:c r="Z887" s="87"/>
      <x:c r="AA887" s="87"/>
      <x:c r="AB887" s="87"/>
      <x:c r="AC887" s="87"/>
      <x:c r="AD887" s="87"/>
      <x:c r="AE887" s="87"/>
      <x:c r="AF887" s="87"/>
      <x:c r="AG887" s="87"/>
      <x:c r="AH887" s="87"/>
      <x:c r="AI887" s="30"/>
      <x:c r="AJ887" s="87" t="str">
        <x:v>master</x:v>
      </x:c>
      <x:c r="AK887" s="87" t="str">
        <x:v>master-v0.81</x:v>
      </x:c>
      <x:c r="AL887" s="87" t="str">
        <x:v>statgrad_master_base_v0_81_final(2).xlsx</x:v>
      </x:c>
      <x:c r="AM887" s="87" t="str">
        <x:v>INF_Mar_V1</x:v>
      </x:c>
      <x:c r="AN887" s="87" t="n">
        <x:v>8</x:v>
      </x:c>
    </x:row>
    <x:row r="888">
      <x:c r="A888" s="87" t="n">
        <x:v>887</x:v>
      </x:c>
      <x:c r="B888" s="87" t="str">
        <x:v>MAR-INF-V1-008</x:v>
      </x:c>
      <x:c r="C888" s="87" t="str">
        <x:v>СтатГрад</x:v>
      </x:c>
      <x:c r="D888" s="87" t="str">
        <x:v>Март 2026</x:v>
      </x:c>
      <x:c r="E888" s="87"/>
      <x:c r="F888" s="87"/>
      <x:c r="G888" s="87" t="str">
        <x:v>Информатика</x:v>
      </x:c>
      <x:c r="H888" s="87" t="n">
        <x:v>11</x:v>
      </x:c>
      <x:c r="I888" s="87" t="str">
        <x:v>ТР №4</x:v>
      </x:c>
      <x:c r="J888" s="87" t="str">
        <x:v>ИН2510401</x:v>
      </x:c>
      <x:c r="K888" s="87" t="n">
        <x:v>8</x:v>
      </x:c>
      <x:c r="L888" s="87" t="str">
        <x:v>Комбинаторика</x:v>
      </x:c>
      <x:c r="M888" s="30" t="str">
        <x:v>Посчитать пятизначные числа в системе счисления по основанию 12 с ровно тремя одинаковыми соседними чётными цифрами.</x:v>
      </x:c>
      <x:c r="N888" s="30" t="str">
        <x:v>612</x:v>
      </x:c>
      <x:c r="O888" s="30" t="str">
        <x:v>Перебраны все пятизначные записи без ведущего нуля; условию соответствуют 612 записей.</x:v>
      </x:c>
      <x:c r="P888" s="30" t="str">
        <x:v>Независимый полный перебор 12-ричных наборов длины 5.</x:v>
      </x:c>
      <x:c r="Q888" s="30"/>
      <x:c r="R888" s="30" t="str">
        <x:v>PDF + открытый ответ 612</x:v>
      </x:c>
      <x:c r="S888" s="30"/>
      <x:c r="T888" s="30"/>
      <x:c r="U888" s="30" t="str">
        <x:v>Расхождений нет.</x:v>
      </x:c>
      <x:c r="V888" s="87" t="str">
        <x:v>VERIFIED</x:v>
      </x:c>
      <x:c r="W888" s="87" t="str">
        <x:v>PDF</x:v>
      </x:c>
      <x:c r="X888" s="87"/>
      <x:c r="Y888" s="87"/>
      <x:c r="Z888" s="87"/>
      <x:c r="AA888" s="87"/>
      <x:c r="AB888" s="87"/>
      <x:c r="AC888" s="87"/>
      <x:c r="AD888" s="87"/>
      <x:c r="AE888" s="87"/>
      <x:c r="AF888" s="87"/>
      <x:c r="AG888" s="87"/>
      <x:c r="AH888" s="87"/>
      <x:c r="AI888" s="30"/>
      <x:c r="AJ888" s="87" t="str">
        <x:v>master</x:v>
      </x:c>
      <x:c r="AK888" s="87" t="str">
        <x:v>master-v0.81</x:v>
      </x:c>
      <x:c r="AL888" s="87" t="str">
        <x:v>statgrad_master_base_v0_81_final(2).xlsx</x:v>
      </x:c>
      <x:c r="AM888" s="87" t="str">
        <x:v>INF_Mar_V1</x:v>
      </x:c>
      <x:c r="AN888" s="87" t="n">
        <x:v>9</x:v>
      </x:c>
    </x:row>
    <x:row r="889">
      <x:c r="A889" s="87" t="n">
        <x:v>888</x:v>
      </x:c>
      <x:c r="B889" s="87" t="str">
        <x:v>MAR-INF-V1-009</x:v>
      </x:c>
      <x:c r="C889" s="87" t="str">
        <x:v>СтатГрад</x:v>
      </x:c>
      <x:c r="D889" s="87" t="str">
        <x:v>Март 2026</x:v>
      </x:c>
      <x:c r="E889" s="87"/>
      <x:c r="F889" s="87"/>
      <x:c r="G889" s="87" t="str">
        <x:v>Информатика</x:v>
      </x:c>
      <x:c r="H889" s="87" t="n">
        <x:v>11</x:v>
      </x:c>
      <x:c r="I889" s="87" t="str">
        <x:v>ТР №4</x:v>
      </x:c>
      <x:c r="J889" s="87" t="str">
        <x:v>ИН2510401</x:v>
      </x:c>
      <x:c r="K889" s="87" t="n">
        <x:v>9</x:v>
      </x:c>
      <x:c r="L889" s="87" t="str">
        <x:v>Электронная таблица, приложенный файл</x:v>
      </x:c>
      <x:c r="M889" s="30" t="str">
        <x:v>Сумма чётных номеров строк, удовлетворяющих условию о среднем арифметическом и полном квадрате.</x:v>
      </x:c>
      <x:c r="N889" s="30" t="str">
        <x:v>4387928</x:v>
      </x:c>
      <x:c r="O889" s="30" t="str">
        <x:v>В таблице 42 000 строк. Условию соответствуют 213 строк с чётными номерами; сумма их номеров равна 4 387 928.</x:v>
      </x:c>
      <x:c r="P889" s="30" t="str">
        <x:v>Для каждой строки вычислена целая часть среднего; проверено её наличие среди семи чисел и наличие полного квадрата.</x:v>
      </x:c>
      <x:c r="Q889" s="30"/>
      <x:c r="R889" s="30" t="str">
        <x:v>9.ods + приложенный ключ</x:v>
      </x:c>
      <x:c r="S889" s="30"/>
      <x:c r="T889" s="30"/>
      <x:c r="U889" s="30" t="str">
        <x:v>Полное совпадение с ключом архива.</x:v>
      </x:c>
      <x:c r="V889" s="87" t="str">
        <x:v>VERIFIED</x:v>
      </x:c>
      <x:c r="W889" s="87" t="str">
        <x:v>PDF + 9.ods</x:v>
      </x:c>
      <x:c r="X889" s="87"/>
      <x:c r="Y889" s="87"/>
      <x:c r="Z889" s="87"/>
      <x:c r="AA889" s="87"/>
      <x:c r="AB889" s="87"/>
      <x:c r="AC889" s="87"/>
      <x:c r="AD889" s="87"/>
      <x:c r="AE889" s="87"/>
      <x:c r="AF889" s="87"/>
      <x:c r="AG889" s="87"/>
      <x:c r="AH889" s="87"/>
      <x:c r="AI889" s="30"/>
      <x:c r="AJ889" s="87" t="str">
        <x:v>master</x:v>
      </x:c>
      <x:c r="AK889" s="87" t="str">
        <x:v>master-v0.81</x:v>
      </x:c>
      <x:c r="AL889" s="87" t="str">
        <x:v>statgrad_master_base_v0_81_final(2).xlsx</x:v>
      </x:c>
      <x:c r="AM889" s="87" t="str">
        <x:v>INF_Mar_V1</x:v>
      </x:c>
      <x:c r="AN889" s="87" t="n">
        <x:v>10</x:v>
      </x:c>
    </x:row>
    <x:row r="890">
      <x:c r="A890" s="87" t="n">
        <x:v>889</x:v>
      </x:c>
      <x:c r="B890" s="87" t="str">
        <x:v>MAR-INF-V1-010</x:v>
      </x:c>
      <x:c r="C890" s="87" t="str">
        <x:v>СтатГрад</x:v>
      </x:c>
      <x:c r="D890" s="87" t="str">
        <x:v>Март 2026</x:v>
      </x:c>
      <x:c r="E890" s="87"/>
      <x:c r="F890" s="87"/>
      <x:c r="G890" s="87" t="str">
        <x:v>Информатика</x:v>
      </x:c>
      <x:c r="H890" s="87" t="n">
        <x:v>11</x:v>
      </x:c>
      <x:c r="I890" s="87" t="str">
        <x:v>ТР №4</x:v>
      </x:c>
      <x:c r="J890" s="87" t="str">
        <x:v>ИН2510401</x:v>
      </x:c>
      <x:c r="K890" s="87" t="n">
        <x:v>10</x:v>
      </x:c>
      <x:c r="L890" s="87" t="str">
        <x:v>Поиск в текстовом файле</x:v>
      </x:c>
      <x:c r="M890" s="30" t="str">
        <x:v>Посчитать «где»/«Где» непосредственно перед дефисом или после него в «Гранатовом браслете».</x:v>
      </x:c>
      <x:c r="N890" s="30" t="str">
        <x:v>5</x:v>
      </x:c>
      <x:c r="O890" s="30" t="str">
        <x:v>В приложенной редакции «Гранатового браслета» сочетание «где»/«Где» непосредственно примыкает к дефису пять раз.</x:v>
      </x:c>
      <x:c r="P890" s="30" t="str">
        <x:v>Проверены оба направления соседства: «где-» и «-где», с учётом прописной буквы.</x:v>
      </x:c>
      <x:c r="Q890" s="30"/>
      <x:c r="R890" s="30" t="str">
        <x:v>10.odt + приложенный ключ</x:v>
      </x:c>
      <x:c r="S890" s="30"/>
      <x:c r="T890" s="30"/>
      <x:c r="U890" s="30" t="str">
        <x:v>Полное совпадение с ключом архива.</x:v>
      </x:c>
      <x:c r="V890" s="87" t="str">
        <x:v>VERIFIED</x:v>
      </x:c>
      <x:c r="W890" s="87" t="str">
        <x:v>PDF + 10.odt</x:v>
      </x:c>
      <x:c r="X890" s="87"/>
      <x:c r="Y890" s="87"/>
      <x:c r="Z890" s="87"/>
      <x:c r="AA890" s="87"/>
      <x:c r="AB890" s="87"/>
      <x:c r="AC890" s="87"/>
      <x:c r="AD890" s="87"/>
      <x:c r="AE890" s="87"/>
      <x:c r="AF890" s="87"/>
      <x:c r="AG890" s="87"/>
      <x:c r="AH890" s="87"/>
      <x:c r="AI890" s="30"/>
      <x:c r="AJ890" s="87" t="str">
        <x:v>master</x:v>
      </x:c>
      <x:c r="AK890" s="87" t="str">
        <x:v>master-v0.81</x:v>
      </x:c>
      <x:c r="AL890" s="87" t="str">
        <x:v>statgrad_master_base_v0_81_final(2).xlsx</x:v>
      </x:c>
      <x:c r="AM890" s="87" t="str">
        <x:v>INF_Mar_V1</x:v>
      </x:c>
      <x:c r="AN890" s="87" t="n">
        <x:v>11</x:v>
      </x:c>
    </x:row>
    <x:row r="891">
      <x:c r="A891" s="87" t="n">
        <x:v>890</x:v>
      </x:c>
      <x:c r="B891" s="87" t="str">
        <x:v>MAR-INF-V1-011</x:v>
      </x:c>
      <x:c r="C891" s="87" t="str">
        <x:v>СтатГрад</x:v>
      </x:c>
      <x:c r="D891" s="87" t="str">
        <x:v>Март 2026</x:v>
      </x:c>
      <x:c r="E891" s="87"/>
      <x:c r="F891" s="87"/>
      <x:c r="G891" s="87" t="str">
        <x:v>Информатика</x:v>
      </x:c>
      <x:c r="H891" s="87" t="n">
        <x:v>11</x:v>
      </x:c>
      <x:c r="I891" s="87" t="str">
        <x:v>ТР №4</x:v>
      </x:c>
      <x:c r="J891" s="87" t="str">
        <x:v>ИН2510401</x:v>
      </x:c>
      <x:c r="K891" s="87" t="n">
        <x:v>11</x:v>
      </x:c>
      <x:c r="L891" s="87" t="str">
        <x:v>Кодирование серийных номеров</x:v>
      </x:c>
      <x:c r="M891" s="30" t="str">
        <x:v>27 символов; 3 000 000 номеров требуют не менее 126 Мбайт. Найти минимальную мощность алфавита.</x:v>
      </x:c>
      <x:c r="N891" s="30" t="str">
        <x:v>8193</x:v>
      </x:c>
      <x:c r="O891" s="30" t="str">
        <x:v>Нужно не менее 45 байт на номер. При 13 битах на символ получается 44 байта, при 14 — 48; минимальный алфавит для 14 бит: 2^13+1=8193.</x:v>
      </x:c>
      <x:c r="P891" s="30" t="str">
        <x:v>Проверены округление до целого числа байт и граница разрядности.</x:v>
      </x:c>
      <x:c r="Q891" s="30"/>
      <x:c r="R891" s="30" t="str">
        <x:v>PDF + открытый ответ 8193</x:v>
      </x:c>
      <x:c r="S891" s="30"/>
      <x:c r="T891" s="30"/>
      <x:c r="U891" s="30" t="str">
        <x:v>Расхождений нет.</x:v>
      </x:c>
      <x:c r="V891" s="87" t="str">
        <x:v>VERIFIED</x:v>
      </x:c>
      <x:c r="W891" s="87" t="str">
        <x:v>PDF</x:v>
      </x:c>
      <x:c r="X891" s="87"/>
      <x:c r="Y891" s="87"/>
      <x:c r="Z891" s="87"/>
      <x:c r="AA891" s="87"/>
      <x:c r="AB891" s="87"/>
      <x:c r="AC891" s="87"/>
      <x:c r="AD891" s="87"/>
      <x:c r="AE891" s="87"/>
      <x:c r="AF891" s="87"/>
      <x:c r="AG891" s="87"/>
      <x:c r="AH891" s="87"/>
      <x:c r="AI891" s="30"/>
      <x:c r="AJ891" s="87" t="str">
        <x:v>master</x:v>
      </x:c>
      <x:c r="AK891" s="87" t="str">
        <x:v>master-v0.81</x:v>
      </x:c>
      <x:c r="AL891" s="87" t="str">
        <x:v>statgrad_master_base_v0_81_final(2).xlsx</x:v>
      </x:c>
      <x:c r="AM891" s="87" t="str">
        <x:v>INF_Mar_V1</x:v>
      </x:c>
      <x:c r="AN891" s="87" t="n">
        <x:v>12</x:v>
      </x:c>
    </x:row>
    <x:row r="892">
      <x:c r="A892" s="87" t="n">
        <x:v>891</x:v>
      </x:c>
      <x:c r="B892" s="87" t="str">
        <x:v>MAR-INF-V1-012</x:v>
      </x:c>
      <x:c r="C892" s="87" t="str">
        <x:v>СтатГрад</x:v>
      </x:c>
      <x:c r="D892" s="87" t="str">
        <x:v>Март 2026</x:v>
      </x:c>
      <x:c r="E892" s="87"/>
      <x:c r="F892" s="87"/>
      <x:c r="G892" s="87" t="str">
        <x:v>Информатика</x:v>
      </x:c>
      <x:c r="H892" s="87" t="n">
        <x:v>11</x:v>
      </x:c>
      <x:c r="I892" s="87" t="str">
        <x:v>ТР №4</x:v>
      </x:c>
      <x:c r="J892" s="87" t="str">
        <x:v>ИН2510401</x:v>
      </x:c>
      <x:c r="K892" s="87" t="n">
        <x:v>12</x:v>
      </x:c>
      <x:c r="L892" s="87" t="str">
        <x:v>Машина Тьюринга</x:v>
      </x:c>
      <x:c r="M892" s="30" t="str">
        <x:v>Строка из 3, 6, 9 длины N&gt;300 преобразуется в 7, 8, 3. Сумма цифр S шестизначная, нечётных цифр не менее 300. Минимизировать S+N.</x:v>
      </x:c>
      <x:c r="N892" s="30" t="str">
        <x:v>112538</x:v>
      </x:c>
      <x:c r="O892" s="30" t="str">
        <x:v>При 300 нечётных цифрах максимальная сумма для длины N равна 8N−300. Минимально N=12538; заменой одной 7 на 3 получаем S=100000. Итого 112538.</x:v>
      </x:c>
      <x:c r="P892" s="30" t="str">
        <x:v>Оптимизация по количествам выходных цифр 3, 7, 8 выполнена независимо.</x:v>
      </x:c>
      <x:c r="Q892" s="30"/>
      <x:c r="R892" s="30" t="str">
        <x:v>PDF + открытый ответ 112538</x:v>
      </x:c>
      <x:c r="S892" s="30"/>
      <x:c r="T892" s="30"/>
      <x:c r="U892" s="30" t="str">
        <x:v>Расхождений нет.</x:v>
      </x:c>
      <x:c r="V892" s="87" t="str">
        <x:v>VERIFIED</x:v>
      </x:c>
      <x:c r="W892" s="87" t="str">
        <x:v>PDF</x:v>
      </x:c>
      <x:c r="X892" s="87"/>
      <x:c r="Y892" s="87"/>
      <x:c r="Z892" s="87"/>
      <x:c r="AA892" s="87"/>
      <x:c r="AB892" s="87"/>
      <x:c r="AC892" s="87"/>
      <x:c r="AD892" s="87"/>
      <x:c r="AE892" s="87"/>
      <x:c r="AF892" s="87"/>
      <x:c r="AG892" s="87"/>
      <x:c r="AH892" s="87"/>
      <x:c r="AI892" s="30"/>
      <x:c r="AJ892" s="87" t="str">
        <x:v>master</x:v>
      </x:c>
      <x:c r="AK892" s="87" t="str">
        <x:v>master-v0.81</x:v>
      </x:c>
      <x:c r="AL892" s="87" t="str">
        <x:v>statgrad_master_base_v0_81_final(2).xlsx</x:v>
      </x:c>
      <x:c r="AM892" s="87" t="str">
        <x:v>INF_Mar_V1</x:v>
      </x:c>
      <x:c r="AN892" s="87" t="n">
        <x:v>13</x:v>
      </x:c>
    </x:row>
    <x:row r="893">
      <x:c r="A893" s="87" t="n">
        <x:v>892</x:v>
      </x:c>
      <x:c r="B893" s="87" t="str">
        <x:v>MAR-INF-V1-013</x:v>
      </x:c>
      <x:c r="C893" s="87" t="str">
        <x:v>СтатГрад</x:v>
      </x:c>
      <x:c r="D893" s="87" t="str">
        <x:v>Март 2026</x:v>
      </x:c>
      <x:c r="E893" s="87"/>
      <x:c r="F893" s="87"/>
      <x:c r="G893" s="87" t="str">
        <x:v>Информатика</x:v>
      </x:c>
      <x:c r="H893" s="87" t="n">
        <x:v>11</x:v>
      </x:c>
      <x:c r="I893" s="87" t="str">
        <x:v>ТР №4</x:v>
      </x:c>
      <x:c r="J893" s="87" t="str">
        <x:v>ИН2510401</x:v>
      </x:c>
      <x:c r="K893" s="87" t="n">
        <x:v>13</x:v>
      </x:c>
      <x:c r="L893" s="87" t="str">
        <x:v>Маска сети</x:v>
      </x:c>
      <x:c r="M893" s="30" t="str">
        <x:v>IP 212.145.124.210, адрес сети 212.145.124.0. Найти минимальное число единиц в маске.</x:v>
      </x:c>
      <x:c r="N893" s="30" t="str">
        <x:v>22</x:v>
      </x:c>
      <x:c r="O893" s="30" t="str">
        <x:v>Допустимы длины префикса /22, /23 и /24; минимальная — 22.</x:v>
      </x:c>
      <x:c r="P893" s="30" t="str">
        <x:v>Перебраны все стандартные маски /0…/32 и проверена операция AND.</x:v>
      </x:c>
      <x:c r="Q893" s="30"/>
      <x:c r="R893" s="30" t="str">
        <x:v>PDF + открытый ответ 22</x:v>
      </x:c>
      <x:c r="S893" s="30"/>
      <x:c r="T893" s="30"/>
      <x:c r="U893" s="30" t="str">
        <x:v>Расхождений нет.</x:v>
      </x:c>
      <x:c r="V893" s="87" t="str">
        <x:v>VERIFIED</x:v>
      </x:c>
      <x:c r="W893" s="87" t="str">
        <x:v>PDF</x:v>
      </x:c>
      <x:c r="X893" s="87"/>
      <x:c r="Y893" s="87"/>
      <x:c r="Z893" s="87"/>
      <x:c r="AA893" s="87"/>
      <x:c r="AB893" s="87"/>
      <x:c r="AC893" s="87"/>
      <x:c r="AD893" s="87"/>
      <x:c r="AE893" s="87"/>
      <x:c r="AF893" s="87"/>
      <x:c r="AG893" s="87"/>
      <x:c r="AH893" s="87"/>
      <x:c r="AI893" s="30"/>
      <x:c r="AJ893" s="87" t="str">
        <x:v>master</x:v>
      </x:c>
      <x:c r="AK893" s="87" t="str">
        <x:v>master-v0.81</x:v>
      </x:c>
      <x:c r="AL893" s="87" t="str">
        <x:v>statgrad_master_base_v0_81_final(2).xlsx</x:v>
      </x:c>
      <x:c r="AM893" s="87" t="str">
        <x:v>INF_Mar_V1</x:v>
      </x:c>
      <x:c r="AN893" s="87" t="n">
        <x:v>14</x:v>
      </x:c>
    </x:row>
    <x:row r="894">
      <x:c r="A894" s="87" t="n">
        <x:v>893</x:v>
      </x:c>
      <x:c r="B894" s="87" t="str">
        <x:v>MAR-INF-V1-014</x:v>
      </x:c>
      <x:c r="C894" s="87" t="str">
        <x:v>СтатГрад</x:v>
      </x:c>
      <x:c r="D894" s="87" t="str">
        <x:v>Март 2026</x:v>
      </x:c>
      <x:c r="E894" s="87"/>
      <x:c r="F894" s="87"/>
      <x:c r="G894" s="87" t="str">
        <x:v>Информатика</x:v>
      </x:c>
      <x:c r="H894" s="87" t="n">
        <x:v>11</x:v>
      </x:c>
      <x:c r="I894" s="87" t="str">
        <x:v>ТР №4</x:v>
      </x:c>
      <x:c r="J894" s="87" t="str">
        <x:v>ИН2510401</x:v>
      </x:c>
      <x:c r="K894" s="87" t="n">
        <x:v>14</x:v>
      </x:c>
      <x:c r="L894" s="87" t="str">
        <x:v>Системы счисления</x:v>
      </x:c>
      <x:c r="M894" s="30" t="str">
        <x:v>Для 12·13^12 + 11·13^7 − x, 0&lt;x&lt;2000, найти максимальное x с нечётным числом значащих нулей в записи по основанию 13.</x:v>
      </x:c>
      <x:c r="N894" s="30" t="str">
        <x:v>1989</x:v>
      </x:c>
      <x:c r="O894" s="30" t="str">
        <x:v>При x=1989 запись равна C0000ACCCC130₁₃ и содержит 5 значащих нулей; для больших x условие не выполняется.</x:v>
      </x:c>
      <x:c r="P894" s="30" t="str">
        <x:v>Перебраны все x от 1 до 1999 с точным переводом в 13-ричную систему.</x:v>
      </x:c>
      <x:c r="Q894" s="30"/>
      <x:c r="R894" s="30" t="str">
        <x:v>Независимое решение</x:v>
      </x:c>
      <x:c r="S894" s="30"/>
      <x:c r="T894" s="30"/>
      <x:c r="U894" s="30" t="str">
        <x:v>Расхождений нет.</x:v>
      </x:c>
      <x:c r="V894" s="87" t="str">
        <x:v>VERIFIED</x:v>
      </x:c>
      <x:c r="W894" s="87" t="str">
        <x:v>PDF</x:v>
      </x:c>
      <x:c r="X894" s="87"/>
      <x:c r="Y894" s="87"/>
      <x:c r="Z894" s="87"/>
      <x:c r="AA894" s="87"/>
      <x:c r="AB894" s="87"/>
      <x:c r="AC894" s="87"/>
      <x:c r="AD894" s="87"/>
      <x:c r="AE894" s="87"/>
      <x:c r="AF894" s="87"/>
      <x:c r="AG894" s="87"/>
      <x:c r="AH894" s="87"/>
      <x:c r="AI894" s="30"/>
      <x:c r="AJ894" s="87" t="str">
        <x:v>master</x:v>
      </x:c>
      <x:c r="AK894" s="87" t="str">
        <x:v>master-v0.81</x:v>
      </x:c>
      <x:c r="AL894" s="87" t="str">
        <x:v>statgrad_master_base_v0_81_final(2).xlsx</x:v>
      </x:c>
      <x:c r="AM894" s="87" t="str">
        <x:v>INF_Mar_V1</x:v>
      </x:c>
      <x:c r="AN894" s="87" t="n">
        <x:v>15</x:v>
      </x:c>
    </x:row>
    <x:row r="895">
      <x:c r="A895" s="87" t="n">
        <x:v>894</x:v>
      </x:c>
      <x:c r="B895" s="87" t="str">
        <x:v>MAR-INF-V1-015</x:v>
      </x:c>
      <x:c r="C895" s="87" t="str">
        <x:v>СтатГрад</x:v>
      </x:c>
      <x:c r="D895" s="87" t="str">
        <x:v>Март 2026</x:v>
      </x:c>
      <x:c r="E895" s="87"/>
      <x:c r="F895" s="87"/>
      <x:c r="G895" s="87" t="str">
        <x:v>Информатика</x:v>
      </x:c>
      <x:c r="H895" s="87" t="n">
        <x:v>11</x:v>
      </x:c>
      <x:c r="I895" s="87" t="str">
        <x:v>ТР №4</x:v>
      </x:c>
      <x:c r="J895" s="87" t="str">
        <x:v>ИН2510401</x:v>
      </x:c>
      <x:c r="K895" s="87" t="n">
        <x:v>15</x:v>
      </x:c>
      <x:c r="L895" s="87" t="str">
        <x:v>Логическое выражение с делимостью</x:v>
      </x:c>
      <x:c r="M895" s="30" t="str">
        <x:v>Для B=[120;210] найти максимальное A, при котором ДЕЛ(x,A) ∨ ((x∈B)→(¬ДЕЛ(x,36)∨x+A≤272)) истинно для всех натуральных x.</x:v>
      </x:c>
      <x:c r="N895" s="30" t="str">
        <x:v>92</x:v>
      </x:c>
      <x:c r="O895" s="30" t="str">
        <x:v>Критичны кратные 36 на отрезке: 144 и 180. Полная проверка всех A показывает максимальное допустимое значение 92.</x:v>
      </x:c>
      <x:c r="P895" s="30" t="str">
        <x:v>Выполнен исчерпывающий перебор натуральных A и x; граничные контрпримеры проверены.</x:v>
      </x:c>
      <x:c r="Q895" s="30"/>
      <x:c r="R895" s="30" t="str">
        <x:v>Независимое решение</x:v>
      </x:c>
      <x:c r="S895" s="30"/>
      <x:c r="T895" s="30"/>
      <x:c r="U895" s="30" t="str">
        <x:v>Расхождений нет.</x:v>
      </x:c>
      <x:c r="V895" s="87" t="str">
        <x:v>VERIFIED</x:v>
      </x:c>
      <x:c r="W895" s="87" t="str">
        <x:v>PDF</x:v>
      </x:c>
      <x:c r="X895" s="87"/>
      <x:c r="Y895" s="87"/>
      <x:c r="Z895" s="87"/>
      <x:c r="AA895" s="87"/>
      <x:c r="AB895" s="87"/>
      <x:c r="AC895" s="87"/>
      <x:c r="AD895" s="87"/>
      <x:c r="AE895" s="87"/>
      <x:c r="AF895" s="87"/>
      <x:c r="AG895" s="87"/>
      <x:c r="AH895" s="87"/>
      <x:c r="AI895" s="30"/>
      <x:c r="AJ895" s="87" t="str">
        <x:v>master</x:v>
      </x:c>
      <x:c r="AK895" s="87" t="str">
        <x:v>master-v0.81</x:v>
      </x:c>
      <x:c r="AL895" s="87" t="str">
        <x:v>statgrad_master_base_v0_81_final(2).xlsx</x:v>
      </x:c>
      <x:c r="AM895" s="87" t="str">
        <x:v>INF_Mar_V1</x:v>
      </x:c>
      <x:c r="AN895" s="87" t="n">
        <x:v>16</x:v>
      </x:c>
    </x:row>
    <x:row r="896">
      <x:c r="A896" s="87" t="n">
        <x:v>895</x:v>
      </x:c>
      <x:c r="B896" s="87" t="str">
        <x:v>MAR-INF-V1-016</x:v>
      </x:c>
      <x:c r="C896" s="87" t="str">
        <x:v>СтатГрад</x:v>
      </x:c>
      <x:c r="D896" s="87" t="str">
        <x:v>Март 2026</x:v>
      </x:c>
      <x:c r="E896" s="87"/>
      <x:c r="F896" s="87"/>
      <x:c r="G896" s="87" t="str">
        <x:v>Информатика</x:v>
      </x:c>
      <x:c r="H896" s="87" t="n">
        <x:v>11</x:v>
      </x:c>
      <x:c r="I896" s="87" t="str">
        <x:v>ТР №4</x:v>
      </x:c>
      <x:c r="J896" s="87" t="str">
        <x:v>ИН2510401</x:v>
      </x:c>
      <x:c r="K896" s="87" t="n">
        <x:v>16</x:v>
      </x:c>
      <x:c r="L896" s="87" t="str">
        <x:v>Рекурсивные функции</x:v>
      </x:c>
      <x:c r="M896" s="30" t="str">
        <x:v>Вычислить F(75000) для взаимно-рекурсивных F и G с порогом 30000.</x:v>
      </x:c>
      <x:c r="N896" s="30" t="str">
        <x:v>1372702529</x:v>
      </x:c>
      <x:c r="O896" s="30" t="str">
        <x:v>Цепочка F уменьшается на 5 до 29995; затем G(29993) за три шага достигает G(30002)=30002². Сумма всех членов даёт 1372702529.</x:v>
      </x:c>
      <x:c r="P896" s="30" t="str">
        <x:v>Рекурсия свёрнута в конечные арифметические суммы и проверена итеративно.</x:v>
      </x:c>
      <x:c r="Q896" s="30"/>
      <x:c r="R896" s="30" t="str">
        <x:v>Независимое решение</x:v>
      </x:c>
      <x:c r="S896" s="30"/>
      <x:c r="T896" s="30"/>
      <x:c r="U896" s="30" t="str">
        <x:v>Расхождений нет.</x:v>
      </x:c>
      <x:c r="V896" s="87" t="str">
        <x:v>VERIFIED</x:v>
      </x:c>
      <x:c r="W896" s="87" t="str">
        <x:v>PDF</x:v>
      </x:c>
      <x:c r="X896" s="87"/>
      <x:c r="Y896" s="87"/>
      <x:c r="Z896" s="87"/>
      <x:c r="AA896" s="87"/>
      <x:c r="AB896" s="87"/>
      <x:c r="AC896" s="87"/>
      <x:c r="AD896" s="87"/>
      <x:c r="AE896" s="87"/>
      <x:c r="AF896" s="87"/>
      <x:c r="AG896" s="87"/>
      <x:c r="AH896" s="87"/>
      <x:c r="AI896" s="30"/>
      <x:c r="AJ896" s="87" t="str">
        <x:v>master</x:v>
      </x:c>
      <x:c r="AK896" s="87" t="str">
        <x:v>master-v0.81</x:v>
      </x:c>
      <x:c r="AL896" s="87" t="str">
        <x:v>statgrad_master_base_v0_81_final(2).xlsx</x:v>
      </x:c>
      <x:c r="AM896" s="87" t="str">
        <x:v>INF_Mar_V1</x:v>
      </x:c>
      <x:c r="AN896" s="87" t="n">
        <x:v>17</x:v>
      </x:c>
    </x:row>
    <x:row r="897">
      <x:c r="A897" s="87" t="n">
        <x:v>896</x:v>
      </x:c>
      <x:c r="B897" s="87" t="str">
        <x:v>MAR-INF-V1-017</x:v>
      </x:c>
      <x:c r="C897" s="87" t="str">
        <x:v>СтатГрад</x:v>
      </x:c>
      <x:c r="D897" s="87" t="str">
        <x:v>Март 2026</x:v>
      </x:c>
      <x:c r="E897" s="87"/>
      <x:c r="F897" s="87"/>
      <x:c r="G897" s="87" t="str">
        <x:v>Информатика</x:v>
      </x:c>
      <x:c r="H897" s="87" t="n">
        <x:v>11</x:v>
      </x:c>
      <x:c r="I897" s="87" t="str">
        <x:v>ТР №4</x:v>
      </x:c>
      <x:c r="J897" s="87" t="str">
        <x:v>ИН2510401</x:v>
      </x:c>
      <x:c r="K897" s="87" t="n">
        <x:v>17</x:v>
      </x:c>
      <x:c r="L897" s="87" t="str">
        <x:v>Последовательность, приложенный файл</x:v>
      </x:c>
      <x:c r="M897" s="30" t="str">
        <x:v>Найти количество троек с не менее чем двумя трёхзначными числами и минимальную подходящую сумму.</x:v>
      </x:c>
      <x:c r="N897" s="30" t="str">
        <x:v>60; 627</x:v>
      </x:c>
      <x:c r="O897" s="30" t="str">
        <x:v>Минимальный положительный элемент последовательности равен 2, поэтому порог суммы — 198. Найдено 60 троек с не менее чем двумя трёхзначными числами; минимальная сумма подходящей тройки — 627.</x:v>
      </x:c>
      <x:c r="P897" s="30" t="str">
        <x:v>Перебраны все 4998 троек соседних элементов файла 17.txt; трёхзначность проверялась по модулю числа.</x:v>
      </x:c>
      <x:c r="Q897" s="30"/>
      <x:c r="R897" s="30" t="str">
        <x:v>17.txt + приложенный ключ</x:v>
      </x:c>
      <x:c r="S897" s="30"/>
      <x:c r="T897" s="30"/>
      <x:c r="U897" s="30" t="str">
        <x:v>Полное совпадение с ключом архива.</x:v>
      </x:c>
      <x:c r="V897" s="87" t="str">
        <x:v>VERIFIED</x:v>
      </x:c>
      <x:c r="W897" s="87" t="str">
        <x:v>PDF + 17.txt</x:v>
      </x:c>
      <x:c r="X897" s="87"/>
      <x:c r="Y897" s="87"/>
      <x:c r="Z897" s="87"/>
      <x:c r="AA897" s="87"/>
      <x:c r="AB897" s="87"/>
      <x:c r="AC897" s="87"/>
      <x:c r="AD897" s="87"/>
      <x:c r="AE897" s="87"/>
      <x:c r="AF897" s="87"/>
      <x:c r="AG897" s="87"/>
      <x:c r="AH897" s="87"/>
      <x:c r="AI897" s="30"/>
      <x:c r="AJ897" s="87" t="str">
        <x:v>master</x:v>
      </x:c>
      <x:c r="AK897" s="87" t="str">
        <x:v>master-v0.81</x:v>
      </x:c>
      <x:c r="AL897" s="87" t="str">
        <x:v>statgrad_master_base_v0_81_final(2).xlsx</x:v>
      </x:c>
      <x:c r="AM897" s="87" t="str">
        <x:v>INF_Mar_V1</x:v>
      </x:c>
      <x:c r="AN897" s="87" t="n">
        <x:v>18</x:v>
      </x:c>
    </x:row>
    <x:row r="898">
      <x:c r="A898" s="87" t="n">
        <x:v>897</x:v>
      </x:c>
      <x:c r="B898" s="87" t="str">
        <x:v>MAR-INF-V1-018</x:v>
      </x:c>
      <x:c r="C898" s="87" t="str">
        <x:v>СтатГрад</x:v>
      </x:c>
      <x:c r="D898" s="87" t="str">
        <x:v>Март 2026</x:v>
      </x:c>
      <x:c r="E898" s="87"/>
      <x:c r="F898" s="87"/>
      <x:c r="G898" s="87" t="str">
        <x:v>Информатика</x:v>
      </x:c>
      <x:c r="H898" s="87" t="n">
        <x:v>11</x:v>
      </x:c>
      <x:c r="I898" s="87" t="str">
        <x:v>ТР №4</x:v>
      </x:c>
      <x:c r="J898" s="87" t="str">
        <x:v>ИН2510401</x:v>
      </x:c>
      <x:c r="K898" s="87" t="n">
        <x:v>18</x:v>
      </x:c>
      <x:c r="L898" s="87" t="str">
        <x:v>Робот, электронная таблица</x:v>
      </x:c>
      <x:c r="M898" s="30" t="str">
        <x:v>Найти экстремальные итоговые суммы маршрутов Робота с движением вправо/вверх и внутренними стенами.</x:v>
      </x:c>
      <x:c r="N898" s="30" t="str">
        <x:v>1235; 3664</x:v>
      </x:c>
      <x:c r="O898" s="30" t="str">
        <x:v>Из левой нижней клетки динамически вычислены минимальные и максимальные суммы во всех достижимых клетках с учётом стен. Среди конечных клеток получены 1235 и 3664.</x:v>
      </x:c>
      <x:c r="P898" s="30" t="str">
        <x:v>Стены восстановлены из стилей ячеек 18.ods, включая стили по умолчанию для столбцов; выполнен независимый DP по движениям вправо и вверх.</x:v>
      </x:c>
      <x:c r="Q898" s="30"/>
      <x:c r="R898" s="30" t="str">
        <x:v>18.ods + приложенный ключ</x:v>
      </x:c>
      <x:c r="S898" s="30"/>
      <x:c r="T898" s="30"/>
      <x:c r="U898" s="30" t="str">
        <x:v>Полное совпадение с ключом архива.</x:v>
      </x:c>
      <x:c r="V898" s="87" t="str">
        <x:v>VERIFIED</x:v>
      </x:c>
      <x:c r="W898" s="87" t="str">
        <x:v>PDF + 18.ods</x:v>
      </x:c>
      <x:c r="X898" s="87"/>
      <x:c r="Y898" s="87"/>
      <x:c r="Z898" s="87"/>
      <x:c r="AA898" s="87"/>
      <x:c r="AB898" s="87"/>
      <x:c r="AC898" s="87"/>
      <x:c r="AD898" s="87"/>
      <x:c r="AE898" s="87"/>
      <x:c r="AF898" s="87"/>
      <x:c r="AG898" s="87"/>
      <x:c r="AH898" s="87"/>
      <x:c r="AI898" s="30"/>
      <x:c r="AJ898" s="87" t="str">
        <x:v>master</x:v>
      </x:c>
      <x:c r="AK898" s="87" t="str">
        <x:v>master-v0.81</x:v>
      </x:c>
      <x:c r="AL898" s="87" t="str">
        <x:v>statgrad_master_base_v0_81_final(2).xlsx</x:v>
      </x:c>
      <x:c r="AM898" s="87" t="str">
        <x:v>INF_Mar_V1</x:v>
      </x:c>
      <x:c r="AN898" s="87" t="n">
        <x:v>19</x:v>
      </x:c>
    </x:row>
    <x:row r="899">
      <x:c r="A899" s="87" t="n">
        <x:v>898</x:v>
      </x:c>
      <x:c r="B899" s="87" t="str">
        <x:v>MAR-INF-V1-019</x:v>
      </x:c>
      <x:c r="C899" s="87" t="str">
        <x:v>СтатГрад</x:v>
      </x:c>
      <x:c r="D899" s="87" t="str">
        <x:v>Март 2026</x:v>
      </x:c>
      <x:c r="E899" s="87"/>
      <x:c r="F899" s="87"/>
      <x:c r="G899" s="87" t="str">
        <x:v>Информатика</x:v>
      </x:c>
      <x:c r="H899" s="87" t="n">
        <x:v>11</x:v>
      </x:c>
      <x:c r="I899" s="87" t="str">
        <x:v>ТР №4</x:v>
      </x:c>
      <x:c r="J899" s="87" t="str">
        <x:v>ИН2510401</x:v>
      </x:c>
      <x:c r="K899" s="87" t="n">
        <x:v>19</x:v>
      </x:c>
      <x:c r="L899" s="87" t="str">
        <x:v>Теория игр</x:v>
      </x:c>
      <x:c r="M899" s="30" t="str">
        <x:v>Начальная позиция (8,S), ходы +3/+17, произведение ≥415. Посчитать S, при которых возможна победа Вани первым ходом после неудачного хода Пети.</x:v>
      </x:c>
      <x:c r="N899" s="30" t="str">
        <x:v>48</x:v>
      </x:c>
      <x:c r="O899" s="30" t="str">
        <x:v>Для S=1…48 существует невыигрывающий ход Пети, после которого Ваня завершает игру; при S=49…51 любой ход Пети уже выигрышный.</x:v>
      </x:c>
      <x:c r="P899" s="30" t="str">
        <x:v>Все позиции S=1…51 и четыре возможных хода перебраны независимо.</x:v>
      </x:c>
      <x:c r="Q899" s="30"/>
      <x:c r="R899" s="30" t="str">
        <x:v>Независимое решение</x:v>
      </x:c>
      <x:c r="S899" s="30"/>
      <x:c r="T899" s="30"/>
      <x:c r="U899" s="30" t="str">
        <x:v>Расхождений нет.</x:v>
      </x:c>
      <x:c r="V899" s="87" t="str">
        <x:v>VERIFIED</x:v>
      </x:c>
      <x:c r="W899" s="87" t="str">
        <x:v>PDF</x:v>
      </x:c>
      <x:c r="X899" s="87"/>
      <x:c r="Y899" s="87"/>
      <x:c r="Z899" s="87"/>
      <x:c r="AA899" s="87"/>
      <x:c r="AB899" s="87"/>
      <x:c r="AC899" s="87"/>
      <x:c r="AD899" s="87"/>
      <x:c r="AE899" s="87"/>
      <x:c r="AF899" s="87"/>
      <x:c r="AG899" s="87"/>
      <x:c r="AH899" s="87"/>
      <x:c r="AI899" s="30"/>
      <x:c r="AJ899" s="87" t="str">
        <x:v>master</x:v>
      </x:c>
      <x:c r="AK899" s="87" t="str">
        <x:v>master-v0.81</x:v>
      </x:c>
      <x:c r="AL899" s="87" t="str">
        <x:v>statgrad_master_base_v0_81_final(2).xlsx</x:v>
      </x:c>
      <x:c r="AM899" s="87" t="str">
        <x:v>INF_Mar_V1</x:v>
      </x:c>
      <x:c r="AN899" s="87" t="n">
        <x:v>20</x:v>
      </x:c>
    </x:row>
    <x:row r="900">
      <x:c r="A900" s="87" t="n">
        <x:v>899</x:v>
      </x:c>
      <x:c r="B900" s="87" t="str">
        <x:v>MAR-INF-V1-020</x:v>
      </x:c>
      <x:c r="C900" s="87" t="str">
        <x:v>СтатГрад</x:v>
      </x:c>
      <x:c r="D900" s="87" t="str">
        <x:v>Март 2026</x:v>
      </x:c>
      <x:c r="E900" s="87"/>
      <x:c r="F900" s="87"/>
      <x:c r="G900" s="87" t="str">
        <x:v>Информатика</x:v>
      </x:c>
      <x:c r="H900" s="87" t="n">
        <x:v>11</x:v>
      </x:c>
      <x:c r="I900" s="87" t="str">
        <x:v>ТР №4</x:v>
      </x:c>
      <x:c r="J900" s="87" t="str">
        <x:v>ИН2510401</x:v>
      </x:c>
      <x:c r="K900" s="87" t="n">
        <x:v>20</x:v>
      </x:c>
      <x:c r="L900" s="87" t="str">
        <x:v>Теория игр</x:v>
      </x:c>
      <x:c r="M900" s="30" t="str">
        <x:v>Найти два наименьших S, где Петя не выигрывает сразу, но гарантирует победу вторым ходом.</x:v>
      </x:c>
      <x:c r="N900" s="30" t="str">
        <x:v>12; 13</x:v>
      </x:c>
      <x:c r="O900" s="30" t="str">
        <x:v>Позиции класса W2: S=12, 13, 14; два наименьших — 12 и 13.</x:v>
      </x:c>
      <x:c r="P900" s="30" t="str">
        <x:v>Построены классы W1/P1/W2 динамическим анализом игрового дерева.</x:v>
      </x:c>
      <x:c r="Q900" s="30"/>
      <x:c r="R900" s="30" t="str">
        <x:v>Независимое решение</x:v>
      </x:c>
      <x:c r="S900" s="30"/>
      <x:c r="T900" s="30"/>
      <x:c r="U900" s="30" t="str">
        <x:v>Расхождений нет.</x:v>
      </x:c>
      <x:c r="V900" s="87" t="str">
        <x:v>VERIFIED</x:v>
      </x:c>
      <x:c r="W900" s="87" t="str">
        <x:v>PDF</x:v>
      </x:c>
      <x:c r="X900" s="87"/>
      <x:c r="Y900" s="87"/>
      <x:c r="Z900" s="87"/>
      <x:c r="AA900" s="87"/>
      <x:c r="AB900" s="87"/>
      <x:c r="AC900" s="87"/>
      <x:c r="AD900" s="87"/>
      <x:c r="AE900" s="87"/>
      <x:c r="AF900" s="87"/>
      <x:c r="AG900" s="87"/>
      <x:c r="AH900" s="87"/>
      <x:c r="AI900" s="30"/>
      <x:c r="AJ900" s="87" t="str">
        <x:v>master</x:v>
      </x:c>
      <x:c r="AK900" s="87" t="str">
        <x:v>master-v0.81</x:v>
      </x:c>
      <x:c r="AL900" s="87" t="str">
        <x:v>statgrad_master_base_v0_81_final(2).xlsx</x:v>
      </x:c>
      <x:c r="AM900" s="87" t="str">
        <x:v>INF_Mar_V1</x:v>
      </x:c>
      <x:c r="AN900" s="87" t="n">
        <x:v>21</x:v>
      </x:c>
    </x:row>
    <x:row r="901">
      <x:c r="A901" s="87" t="n">
        <x:v>900</x:v>
      </x:c>
      <x:c r="B901" s="87" t="str">
        <x:v>MAR-INF-V1-021</x:v>
      </x:c>
      <x:c r="C901" s="87" t="str">
        <x:v>СтатГрад</x:v>
      </x:c>
      <x:c r="D901" s="87" t="str">
        <x:v>Март 2026</x:v>
      </x:c>
      <x:c r="E901" s="87"/>
      <x:c r="F901" s="87"/>
      <x:c r="G901" s="87" t="str">
        <x:v>Информатика</x:v>
      </x:c>
      <x:c r="H901" s="87" t="n">
        <x:v>11</x:v>
      </x:c>
      <x:c r="I901" s="87" t="str">
        <x:v>ТР №4</x:v>
      </x:c>
      <x:c r="J901" s="87" t="str">
        <x:v>ИН2510401</x:v>
      </x:c>
      <x:c r="K901" s="87" t="n">
        <x:v>21</x:v>
      </x:c>
      <x:c r="L901" s="87" t="str">
        <x:v>Теория игр</x:v>
      </x:c>
      <x:c r="M901" s="30" t="str">
        <x:v>Найти максимальное S, где Ваня гарантирует победу первым или вторым ходом, но не гарантирует первым.</x:v>
      </x:c>
      <x:c r="N901" s="30" t="str">
        <x:v>11</x:v>
      </x:c>
      <x:c r="O901" s="30" t="str">
        <x:v>Позиции требуемого класса P2: S=10 и 11; максимальное значение — 11.</x:v>
      </x:c>
      <x:c r="P901" s="30" t="str">
        <x:v>Полное игровое дерево проверено для всех S=1…51.</x:v>
      </x:c>
      <x:c r="Q901" s="30"/>
      <x:c r="R901" s="30" t="str">
        <x:v>Независимое решение</x:v>
      </x:c>
      <x:c r="S901" s="30"/>
      <x:c r="T901" s="30"/>
      <x:c r="U901" s="30" t="str">
        <x:v>Расхождений нет.</x:v>
      </x:c>
      <x:c r="V901" s="87" t="str">
        <x:v>VERIFIED</x:v>
      </x:c>
      <x:c r="W901" s="87" t="str">
        <x:v>PDF</x:v>
      </x:c>
      <x:c r="X901" s="87"/>
      <x:c r="Y901" s="87"/>
      <x:c r="Z901" s="87"/>
      <x:c r="AA901" s="87"/>
      <x:c r="AB901" s="87"/>
      <x:c r="AC901" s="87"/>
      <x:c r="AD901" s="87"/>
      <x:c r="AE901" s="87"/>
      <x:c r="AF901" s="87"/>
      <x:c r="AG901" s="87"/>
      <x:c r="AH901" s="87"/>
      <x:c r="AI901" s="30"/>
      <x:c r="AJ901" s="87" t="str">
        <x:v>master</x:v>
      </x:c>
      <x:c r="AK901" s="87" t="str">
        <x:v>master-v0.81</x:v>
      </x:c>
      <x:c r="AL901" s="87" t="str">
        <x:v>statgrad_master_base_v0_81_final(2).xlsx</x:v>
      </x:c>
      <x:c r="AM901" s="87" t="str">
        <x:v>INF_Mar_V1</x:v>
      </x:c>
      <x:c r="AN901" s="87" t="n">
        <x:v>22</x:v>
      </x:c>
    </x:row>
    <x:row r="902">
      <x:c r="A902" s="87" t="n">
        <x:v>901</x:v>
      </x:c>
      <x:c r="B902" s="87" t="str">
        <x:v>MAR-INF-V1-022</x:v>
      </x:c>
      <x:c r="C902" s="87" t="str">
        <x:v>СтатГрад</x:v>
      </x:c>
      <x:c r="D902" s="87" t="str">
        <x:v>Март 2026</x:v>
      </x:c>
      <x:c r="E902" s="87"/>
      <x:c r="F902" s="87"/>
      <x:c r="G902" s="87" t="str">
        <x:v>Информатика</x:v>
      </x:c>
      <x:c r="H902" s="87" t="n">
        <x:v>11</x:v>
      </x:c>
      <x:c r="I902" s="87" t="str">
        <x:v>ТР №4</x:v>
      </x:c>
      <x:c r="J902" s="87" t="str">
        <x:v>ИН2510401</x:v>
      </x:c>
      <x:c r="K902" s="87" t="n">
        <x:v>22</x:v>
      </x:c>
      <x:c r="L902" s="87" t="str">
        <x:v>Вычислительные процессы, приложенный файл</x:v>
      </x:c>
      <x:c r="M902" s="30" t="str">
        <x:v>Посчитать процессы, начинающиеся и заканчивающиеся в промежутке [5;25] мс.</x:v>
      </x:c>
      <x:c r="N902" s="30" t="str">
        <x:v>10</x:v>
      </x:c>
      <x:c r="O902" s="30" t="str">
        <x:v>Для каждого процесса рассчитаны самые ранние начало и окончание: начало равно максимуму времён окончания зависимостей. В интервале [5;25] полностью размещаются 10 процессов.</x:v>
      </x:c>
      <x:c r="P902" s="30" t="str">
        <x:v>Граф зависимостей из 22.ods обработан в топологическом порядке.</x:v>
      </x:c>
      <x:c r="Q902" s="30"/>
      <x:c r="R902" s="30" t="str">
        <x:v>22.ods + приложенный ключ</x:v>
      </x:c>
      <x:c r="S902" s="30"/>
      <x:c r="T902" s="30"/>
      <x:c r="U902" s="30" t="str">
        <x:v>Полное совпадение с ключом архива.</x:v>
      </x:c>
      <x:c r="V902" s="87" t="str">
        <x:v>VERIFIED</x:v>
      </x:c>
      <x:c r="W902" s="87" t="str">
        <x:v>PDF + 22.ods</x:v>
      </x:c>
      <x:c r="X902" s="87"/>
      <x:c r="Y902" s="87"/>
      <x:c r="Z902" s="87"/>
      <x:c r="AA902" s="87"/>
      <x:c r="AB902" s="87"/>
      <x:c r="AC902" s="87"/>
      <x:c r="AD902" s="87"/>
      <x:c r="AE902" s="87"/>
      <x:c r="AF902" s="87"/>
      <x:c r="AG902" s="87"/>
      <x:c r="AH902" s="87"/>
      <x:c r="AI902" s="30"/>
      <x:c r="AJ902" s="87" t="str">
        <x:v>master</x:v>
      </x:c>
      <x:c r="AK902" s="87" t="str">
        <x:v>master-v0.81</x:v>
      </x:c>
      <x:c r="AL902" s="87" t="str">
        <x:v>statgrad_master_base_v0_81_final(2).xlsx</x:v>
      </x:c>
      <x:c r="AM902" s="87" t="str">
        <x:v>INF_Mar_V1</x:v>
      </x:c>
      <x:c r="AN902" s="87" t="n">
        <x:v>23</x:v>
      </x:c>
    </x:row>
    <x:row r="903">
      <x:c r="A903" s="87" t="n">
        <x:v>902</x:v>
      </x:c>
      <x:c r="B903" s="87" t="str">
        <x:v>MAR-INF-V1-023</x:v>
      </x:c>
      <x:c r="C903" s="87" t="str">
        <x:v>СтатГрад</x:v>
      </x:c>
      <x:c r="D903" s="87" t="str">
        <x:v>Март 2026</x:v>
      </x:c>
      <x:c r="E903" s="87"/>
      <x:c r="F903" s="87"/>
      <x:c r="G903" s="87" t="str">
        <x:v>Информатика</x:v>
      </x:c>
      <x:c r="H903" s="87" t="n">
        <x:v>11</x:v>
      </x:c>
      <x:c r="I903" s="87" t="str">
        <x:v>ТР №4</x:v>
      </x:c>
      <x:c r="J903" s="87" t="str">
        <x:v>ИН2510401</x:v>
      </x:c>
      <x:c r="K903" s="87" t="n">
        <x:v>23</x:v>
      </x:c>
      <x:c r="L903" s="87" t="str">
        <x:v>Исполнитель</x:v>
      </x:c>
      <x:c r="M903" s="30" t="str">
        <x:v>Из 57 получить 13 командами «−2» и допустимой перестановкой десятков и единиц; посчитать программы.</x:v>
      </x:c>
      <x:c r="N903" s="30" t="str">
        <x:v>6</x:v>
      </x:c>
      <x:c r="O903" s="30" t="str">
        <x:v>Рекуррентный подсчёт путей по убывающему графу состояний даёт 6 программ.</x:v>
      </x:c>
      <x:c r="P903" s="30" t="str">
        <x:v>Использована мемоизация; перестановка разрешалась только при единицах меньше десятков.</x:v>
      </x:c>
      <x:c r="Q903" s="30"/>
      <x:c r="R903" s="30" t="str">
        <x:v>Независимое решение</x:v>
      </x:c>
      <x:c r="S903" s="30"/>
      <x:c r="T903" s="30"/>
      <x:c r="U903" s="30" t="str">
        <x:v>Расхождений нет.</x:v>
      </x:c>
      <x:c r="V903" s="87" t="str">
        <x:v>VERIFIED</x:v>
      </x:c>
      <x:c r="W903" s="87" t="str">
        <x:v>PDF</x:v>
      </x:c>
      <x:c r="X903" s="87"/>
      <x:c r="Y903" s="87"/>
      <x:c r="Z903" s="87"/>
      <x:c r="AA903" s="87"/>
      <x:c r="AB903" s="87"/>
      <x:c r="AC903" s="87"/>
      <x:c r="AD903" s="87"/>
      <x:c r="AE903" s="87"/>
      <x:c r="AF903" s="87"/>
      <x:c r="AG903" s="87"/>
      <x:c r="AH903" s="87"/>
      <x:c r="AI903" s="30"/>
      <x:c r="AJ903" s="87" t="str">
        <x:v>master</x:v>
      </x:c>
      <x:c r="AK903" s="87" t="str">
        <x:v>master-v0.81</x:v>
      </x:c>
      <x:c r="AL903" s="87" t="str">
        <x:v>statgrad_master_base_v0_81_final(2).xlsx</x:v>
      </x:c>
      <x:c r="AM903" s="87" t="str">
        <x:v>INF_Mar_V1</x:v>
      </x:c>
      <x:c r="AN903" s="87" t="n">
        <x:v>24</x:v>
      </x:c>
    </x:row>
    <x:row r="904">
      <x:c r="A904" s="87" t="n">
        <x:v>903</x:v>
      </x:c>
      <x:c r="B904" s="87" t="str">
        <x:v>MAR-INF-V1-024</x:v>
      </x:c>
      <x:c r="C904" s="87" t="str">
        <x:v>СтатГрад</x:v>
      </x:c>
      <x:c r="D904" s="87" t="str">
        <x:v>Март 2026</x:v>
      </x:c>
      <x:c r="E904" s="87"/>
      <x:c r="F904" s="87"/>
      <x:c r="G904" s="87" t="str">
        <x:v>Информатика</x:v>
      </x:c>
      <x:c r="H904" s="87" t="n">
        <x:v>11</x:v>
      </x:c>
      <x:c r="I904" s="87" t="str">
        <x:v>ТР №4</x:v>
      </x:c>
      <x:c r="J904" s="87" t="str">
        <x:v>ИН2510401</x:v>
      </x:c>
      <x:c r="K904" s="87" t="n">
        <x:v>24</x:v>
      </x:c>
      <x:c r="L904" s="87" t="str">
        <x:v>Строка, приложенный файл</x:v>
      </x:c>
      <x:c r="M904" s="30" t="str">
        <x:v>Найти максимальный непрерывный фрагмент без цифр, содержащий все буквы латинского алфавита.</x:v>
      </x:c>
      <x:c r="N904" s="30" t="str">
        <x:v>128</x:v>
      </x:c>
      <x:c r="O904" s="30" t="str">
        <x:v>Файл разбит цифрами на максимальные непрерывные последовательности латинских букв. Наибольший фрагмент, содержащий все 26 букв, имеет длину 128.</x:v>
      </x:c>
      <x:c r="P904" s="30" t="str">
        <x:v>Строка из 7 201 146 символов проверена программно без изменения регистра и состава алфавита.</x:v>
      </x:c>
      <x:c r="Q904" s="30"/>
      <x:c r="R904" s="30" t="str">
        <x:v>24.txt + приложенный ключ</x:v>
      </x:c>
      <x:c r="S904" s="30"/>
      <x:c r="T904" s="30"/>
      <x:c r="U904" s="30" t="str">
        <x:v>Полное совпадение с ключом архива.</x:v>
      </x:c>
      <x:c r="V904" s="87" t="str">
        <x:v>VERIFIED</x:v>
      </x:c>
      <x:c r="W904" s="87" t="str">
        <x:v>PDF + 24.txt</x:v>
      </x:c>
      <x:c r="X904" s="87"/>
      <x:c r="Y904" s="87"/>
      <x:c r="Z904" s="87"/>
      <x:c r="AA904" s="87"/>
      <x:c r="AB904" s="87"/>
      <x:c r="AC904" s="87"/>
      <x:c r="AD904" s="87"/>
      <x:c r="AE904" s="87"/>
      <x:c r="AF904" s="87"/>
      <x:c r="AG904" s="87"/>
      <x:c r="AH904" s="87"/>
      <x:c r="AI904" s="30"/>
      <x:c r="AJ904" s="87" t="str">
        <x:v>master</x:v>
      </x:c>
      <x:c r="AK904" s="87" t="str">
        <x:v>master-v0.81</x:v>
      </x:c>
      <x:c r="AL904" s="87" t="str">
        <x:v>statgrad_master_base_v0_81_final(2).xlsx</x:v>
      </x:c>
      <x:c r="AM904" s="87" t="str">
        <x:v>INF_Mar_V1</x:v>
      </x:c>
      <x:c r="AN904" s="87" t="n">
        <x:v>25</x:v>
      </x:c>
    </x:row>
    <x:row r="905">
      <x:c r="A905" s="87" t="n">
        <x:v>904</x:v>
      </x:c>
      <x:c r="B905" s="87" t="str">
        <x:v>MAR-INF-V1-025</x:v>
      </x:c>
      <x:c r="C905" s="87" t="str">
        <x:v>СтатГрад</x:v>
      </x:c>
      <x:c r="D905" s="87" t="str">
        <x:v>Март 2026</x:v>
      </x:c>
      <x:c r="E905" s="87"/>
      <x:c r="F905" s="87"/>
      <x:c r="G905" s="87" t="str">
        <x:v>Информатика</x:v>
      </x:c>
      <x:c r="H905" s="87" t="n">
        <x:v>11</x:v>
      </x:c>
      <x:c r="I905" s="87" t="str">
        <x:v>ТР №4</x:v>
      </x:c>
      <x:c r="J905" s="87" t="str">
        <x:v>ИН2510401</x:v>
      </x:c>
      <x:c r="K905" s="87" t="n">
        <x:v>25</x:v>
      </x:c>
      <x:c r="L905" s="87" t="str">
        <x:v>Теория чисел</x:v>
      </x:c>
      <x:c r="M905" s="30" t="str">
        <x:v>Первые пять чисел &gt;5 000 000, имеющих ровно три простых множителя с цифрой 2 или 3 в каждом.</x:v>
      </x:c>
      <x:c r="N905" s="30" t="str">
        <x:v>5000012; 5000036; 5000042; 5000043; 5000082</x:v>
      </x:c>
      <x:c r="O905" s="30" t="str">
        <x:v>Факторизации: 2²·1250003; 2²·1250009; 2·827·3023; 3·1291²; 2·3·833347.</x:v>
      </x:c>
      <x:c r="P905" s="30" t="str">
        <x:v>Последовательный перебор с полной факторизацией и учётом кратности множителей.</x:v>
      </x:c>
      <x:c r="Q905" s="30"/>
      <x:c r="R905" s="30" t="str">
        <x:v>Независимое решение</x:v>
      </x:c>
      <x:c r="S905" s="30"/>
      <x:c r="T905" s="30"/>
      <x:c r="U905" s="30" t="str">
        <x:v>Расхождений нет.</x:v>
      </x:c>
      <x:c r="V905" s="87" t="str">
        <x:v>VERIFIED</x:v>
      </x:c>
      <x:c r="W905" s="87" t="str">
        <x:v>PDF</x:v>
      </x:c>
      <x:c r="X905" s="87"/>
      <x:c r="Y905" s="87"/>
      <x:c r="Z905" s="87"/>
      <x:c r="AA905" s="87"/>
      <x:c r="AB905" s="87"/>
      <x:c r="AC905" s="87"/>
      <x:c r="AD905" s="87"/>
      <x:c r="AE905" s="87"/>
      <x:c r="AF905" s="87"/>
      <x:c r="AG905" s="87"/>
      <x:c r="AH905" s="87"/>
      <x:c r="AI905" s="30"/>
      <x:c r="AJ905" s="87" t="str">
        <x:v>master</x:v>
      </x:c>
      <x:c r="AK905" s="87" t="str">
        <x:v>master-v0.81</x:v>
      </x:c>
      <x:c r="AL905" s="87" t="str">
        <x:v>statgrad_master_base_v0_81_final(2).xlsx</x:v>
      </x:c>
      <x:c r="AM905" s="87" t="str">
        <x:v>INF_Mar_V1</x:v>
      </x:c>
      <x:c r="AN905" s="87" t="n">
        <x:v>26</x:v>
      </x:c>
    </x:row>
    <x:row r="906">
      <x:c r="A906" s="87" t="n">
        <x:v>905</x:v>
      </x:c>
      <x:c r="B906" s="87" t="str">
        <x:v>MAR-INF-V1-026</x:v>
      </x:c>
      <x:c r="C906" s="87" t="str">
        <x:v>СтатГрад</x:v>
      </x:c>
      <x:c r="D906" s="87" t="str">
        <x:v>Март 2026</x:v>
      </x:c>
      <x:c r="E906" s="87"/>
      <x:c r="F906" s="87"/>
      <x:c r="G906" s="87" t="str">
        <x:v>Информатика</x:v>
      </x:c>
      <x:c r="H906" s="87" t="n">
        <x:v>11</x:v>
      </x:c>
      <x:c r="I906" s="87" t="str">
        <x:v>ТР №4</x:v>
      </x:c>
      <x:c r="J906" s="87" t="str">
        <x:v>ИН2510401</x:v>
      </x:c>
      <x:c r="K906" s="87" t="n">
        <x:v>26</x:v>
      </x:c>
      <x:c r="L906" s="87" t="str">
        <x:v>Динамическое программирование, файл</x:v>
      </x:c>
      <x:c r="M906" s="30" t="str">
        <x:v>Маршрут по высотам: обычный спад ≤48, до 10 страховочных переходов со спадом ≤75.</x:v>
      </x:c>
      <x:c r="N906" s="30" t="str">
        <x:v>3434; 302293</x:v>
      </x:c>
      <x:c r="O906" s="30" t="str">
        <x:v>Максимальный маршрут включает 3434 лагеря; среди маршрутов такой длины наибольшая возможная высота конечного лагеря — 302293 м.</x:v>
      </x:c>
      <x:c r="P906" s="30" t="str">
        <x:v>98 871 высота отсортирована; выполнено динамическое программирование по высоте и числу страховочных переходов: обычный спад ≤48, до 10 специальных спадов ≤75.</x:v>
      </x:c>
      <x:c r="Q906" s="30"/>
      <x:c r="R906" s="30" t="str">
        <x:v>26.txt + приложенный ключ</x:v>
      </x:c>
      <x:c r="S906" s="30"/>
      <x:c r="T906" s="30"/>
      <x:c r="U906" s="30" t="str">
        <x:v>Полное совпадение с ключом архива.</x:v>
      </x:c>
      <x:c r="V906" s="87" t="str">
        <x:v>VERIFIED</x:v>
      </x:c>
      <x:c r="W906" s="87" t="str">
        <x:v>PDF + 26.txt</x:v>
      </x:c>
      <x:c r="X906" s="87"/>
      <x:c r="Y906" s="87"/>
      <x:c r="Z906" s="87"/>
      <x:c r="AA906" s="87"/>
      <x:c r="AB906" s="87"/>
      <x:c r="AC906" s="87"/>
      <x:c r="AD906" s="87"/>
      <x:c r="AE906" s="87"/>
      <x:c r="AF906" s="87"/>
      <x:c r="AG906" s="87"/>
      <x:c r="AH906" s="87"/>
      <x:c r="AI906" s="30"/>
      <x:c r="AJ906" s="87" t="str">
        <x:v>master</x:v>
      </x:c>
      <x:c r="AK906" s="87" t="str">
        <x:v>master-v0.81</x:v>
      </x:c>
      <x:c r="AL906" s="87" t="str">
        <x:v>statgrad_master_base_v0_81_final(2).xlsx</x:v>
      </x:c>
      <x:c r="AM906" s="87" t="str">
        <x:v>INF_Mar_V1</x:v>
      </x:c>
      <x:c r="AN906" s="87" t="n">
        <x:v>27</x:v>
      </x:c>
    </x:row>
    <x:row r="907">
      <x:c r="A907" s="87" t="n">
        <x:v>906</x:v>
      </x:c>
      <x:c r="B907" s="87" t="str">
        <x:v>MAR-INF-V1-027</x:v>
      </x:c>
      <x:c r="C907" s="87" t="str">
        <x:v>СтатГрад</x:v>
      </x:c>
      <x:c r="D907" s="87" t="str">
        <x:v>Март 2026</x:v>
      </x:c>
      <x:c r="E907" s="87"/>
      <x:c r="F907" s="87"/>
      <x:c r="G907" s="87" t="str">
        <x:v>Информатика</x:v>
      </x:c>
      <x:c r="H907" s="87" t="n">
        <x:v>11</x:v>
      </x:c>
      <x:c r="I907" s="87" t="str">
        <x:v>ТР №4</x:v>
      </x:c>
      <x:c r="J907" s="87" t="str">
        <x:v>ИН2510401</x:v>
      </x:c>
      <x:c r="K907" s="87" t="n">
        <x:v>27</x:v>
      </x:c>
      <x:c r="L907" s="87" t="str">
        <x:v>Кластеризация, файл</x:v>
      </x:c>
      <x:c r="M907" s="30" t="str">
        <x:v>Разбить точки на кластеры и вычислить параметры межкластерных диаметров.</x:v>
      </x:c>
      <x:c r="N907" s="30" t="str">
        <x:v>21549; 1946; 7140; 2018</x:v>
      </x:c>
      <x:c r="O907" s="30" t="str">
        <x:v>Файл A: для самой далёкой пары разных кластеров Pₓ≈21,549728, Pᵧ≈1,946399. Файл B: после удаления четырёх аномалий сумма трёх межкластерных диаметров Q₁≈71,408816, максимальная дистанция до (1;1) Q₂≈20,182250.</x:v>
      </x:c>
      <x:c r="P907" s="30" t="str">
        <x:v>Кластеры выделены по непересекающимся областям; максимальные расстояния найдены по вершинам выпуклых оболочек.</x:v>
      </x:c>
      <x:c r="Q907" s="30"/>
      <x:c r="R907" s="30" t="str">
        <x:v>27_A.txt, 27_B.txt + приложенный ключ</x:v>
      </x:c>
      <x:c r="S907" s="30"/>
      <x:c r="T907" s="30"/>
      <x:c r="U907" s="30" t="str">
        <x:v>Полное совпадение с ключом архива.</x:v>
      </x:c>
      <x:c r="V907" s="87" t="str">
        <x:v>VERIFIED</x:v>
      </x:c>
      <x:c r="W907" s="87" t="str">
        <x:v>PDF + 27_A.txt/27_B.txt</x:v>
      </x:c>
      <x:c r="X907" s="87"/>
      <x:c r="Y907" s="87"/>
      <x:c r="Z907" s="87"/>
      <x:c r="AA907" s="87"/>
      <x:c r="AB907" s="87"/>
      <x:c r="AC907" s="87"/>
      <x:c r="AD907" s="87"/>
      <x:c r="AE907" s="87"/>
      <x:c r="AF907" s="87"/>
      <x:c r="AG907" s="87"/>
      <x:c r="AH907" s="87"/>
      <x:c r="AI907" s="30"/>
      <x:c r="AJ907" s="87" t="str">
        <x:v>master</x:v>
      </x:c>
      <x:c r="AK907" s="87" t="str">
        <x:v>master-v0.81</x:v>
      </x:c>
      <x:c r="AL907" s="87" t="str">
        <x:v>statgrad_master_base_v0_81_final(2).xlsx</x:v>
      </x:c>
      <x:c r="AM907" s="87" t="str">
        <x:v>INF_Mar_V1</x:v>
      </x:c>
      <x:c r="AN907" s="87" t="n">
        <x:v>28</x:v>
      </x:c>
    </x:row>
    <x:row r="908">
      <x:c r="A908" s="87" t="n">
        <x:v>907</x:v>
      </x:c>
      <x:c r="B908" s="87" t="str">
        <x:v>MAR-INF-V2-001</x:v>
      </x:c>
      <x:c r="C908" s="87" t="str">
        <x:v>СтатГрад</x:v>
      </x:c>
      <x:c r="D908" s="87" t="str">
        <x:v>Март 2026</x:v>
      </x:c>
      <x:c r="E908" s="87"/>
      <x:c r="F908" s="87"/>
      <x:c r="G908" s="87" t="str">
        <x:v>Информатика</x:v>
      </x:c>
      <x:c r="H908" s="87" t="n">
        <x:v>11</x:v>
      </x:c>
      <x:c r="I908" s="87" t="str">
        <x:v>ТР №4</x:v>
      </x:c>
      <x:c r="J908" s="87" t="str">
        <x:v>ИН2510402</x:v>
      </x:c>
      <x:c r="K908" s="87" t="n">
        <x:v>1</x:v>
      </x:c>
      <x:c r="L908" s="87" t="str">
        <x:v>Граф и таблица дорог</x:v>
      </x:c>
      <x:c r="M908" s="30" t="str">
        <x:v>По тому же графу и таблице определить сумму длин всех дорог из пункта G.</x:v>
      </x:c>
      <x:c r="N908" s="30" t="str">
        <x:v>47</x:v>
      </x:c>
      <x:c r="O908" s="30" t="str">
        <x:v>После восстановления соответствия G соответствует П1; сумма 21 + 14 + 12 = 47.</x:v>
      </x:c>
      <x:c r="P908" s="30" t="str">
        <x:v>Степени и смежность всех вершин сопоставлены независимо.</x:v>
      </x:c>
      <x:c r="Q908" s="30"/>
      <x:c r="R908" s="30" t="str">
        <x:v>PDF + открытый ответ 47</x:v>
      </x:c>
      <x:c r="S908" s="30"/>
      <x:c r="T908" s="30"/>
      <x:c r="U908" s="30" t="str">
        <x:v>Расхождений нет.</x:v>
      </x:c>
      <x:c r="V908" s="87" t="str">
        <x:v>VERIFIED</x:v>
      </x:c>
      <x:c r="W908" s="87" t="str">
        <x:v>PDF</x:v>
      </x:c>
      <x:c r="X908" s="87"/>
      <x:c r="Y908" s="87"/>
      <x:c r="Z908" s="87"/>
      <x:c r="AA908" s="87"/>
      <x:c r="AB908" s="87"/>
      <x:c r="AC908" s="87"/>
      <x:c r="AD908" s="87"/>
      <x:c r="AE908" s="87"/>
      <x:c r="AF908" s="87"/>
      <x:c r="AG908" s="87"/>
      <x:c r="AH908" s="87"/>
      <x:c r="AI908" s="30"/>
      <x:c r="AJ908" s="87" t="str">
        <x:v>master</x:v>
      </x:c>
      <x:c r="AK908" s="87" t="str">
        <x:v>master-v0.81</x:v>
      </x:c>
      <x:c r="AL908" s="87" t="str">
        <x:v>statgrad_master_base_v0_81_final(2).xlsx</x:v>
      </x:c>
      <x:c r="AM908" s="87" t="str">
        <x:v>INF_Mar_V2</x:v>
      </x:c>
      <x:c r="AN908" s="87" t="n">
        <x:v>2</x:v>
      </x:c>
    </x:row>
    <x:row r="909">
      <x:c r="A909" s="87" t="n">
        <x:v>908</x:v>
      </x:c>
      <x:c r="B909" s="87" t="str">
        <x:v>MAR-INF-V2-002</x:v>
      </x:c>
      <x:c r="C909" s="87" t="str">
        <x:v>СтатГрад</x:v>
      </x:c>
      <x:c r="D909" s="87" t="str">
        <x:v>Март 2026</x:v>
      </x:c>
      <x:c r="E909" s="87"/>
      <x:c r="F909" s="87"/>
      <x:c r="G909" s="87" t="str">
        <x:v>Информатика</x:v>
      </x:c>
      <x:c r="H909" s="87" t="n">
        <x:v>11</x:v>
      </x:c>
      <x:c r="I909" s="87" t="str">
        <x:v>ТР №4</x:v>
      </x:c>
      <x:c r="J909" s="87" t="str">
        <x:v>ИН2510402</x:v>
      </x:c>
      <x:c r="K909" s="87" t="n">
        <x:v>2</x:v>
      </x:c>
      <x:c r="L909" s="87" t="str">
        <x:v>Таблица истинности</x:v>
      </x:c>
      <x:c r="M909" s="30" t="str">
        <x:v>Определить порядок переменных для F = w ∧ (z ≡ (x→y)) по трём неполным строкам.</x:v>
      </x:c>
      <x:c r="N909" s="30" t="str">
        <x:v>zwxy</x:v>
      </x:c>
      <x:c r="O909" s="30" t="str">
        <x:v>Перебор всех перестановок и заполнений оставляет единственный порядок zwxy.</x:v>
      </x:c>
      <x:c r="P909" s="30" t="str">
        <x:v>Выполнен независимый программный перебор таблицы истинности с учётом приоритетов операций.</x:v>
      </x:c>
      <x:c r="Q909" s="30"/>
      <x:c r="R909" s="30" t="str">
        <x:v>PDF + открытый ответ zwxy</x:v>
      </x:c>
      <x:c r="S909" s="30"/>
      <x:c r="T909" s="30"/>
      <x:c r="U909" s="30" t="str">
        <x:v>Расхождений нет.</x:v>
      </x:c>
      <x:c r="V909" s="87" t="str">
        <x:v>VERIFIED</x:v>
      </x:c>
      <x:c r="W909" s="87" t="str">
        <x:v>PDF</x:v>
      </x:c>
      <x:c r="X909" s="87"/>
      <x:c r="Y909" s="87"/>
      <x:c r="Z909" s="87"/>
      <x:c r="AA909" s="87"/>
      <x:c r="AB909" s="87"/>
      <x:c r="AC909" s="87"/>
      <x:c r="AD909" s="87"/>
      <x:c r="AE909" s="87"/>
      <x:c r="AF909" s="87"/>
      <x:c r="AG909" s="87"/>
      <x:c r="AH909" s="87"/>
      <x:c r="AI909" s="30"/>
      <x:c r="AJ909" s="87" t="str">
        <x:v>master</x:v>
      </x:c>
      <x:c r="AK909" s="87" t="str">
        <x:v>master-v0.81</x:v>
      </x:c>
      <x:c r="AL909" s="87" t="str">
        <x:v>statgrad_master_base_v0_81_final(2).xlsx</x:v>
      </x:c>
      <x:c r="AM909" s="87" t="str">
        <x:v>INF_Mar_V2</x:v>
      </x:c>
      <x:c r="AN909" s="87" t="n">
        <x:v>3</x:v>
      </x:c>
    </x:row>
    <x:row r="910">
      <x:c r="A910" s="87" t="n">
        <x:v>909</x:v>
      </x:c>
      <x:c r="B910" s="87" t="str">
        <x:v>MAR-INF-V2-003</x:v>
      </x:c>
      <x:c r="C910" s="87" t="str">
        <x:v>СтатГрад</x:v>
      </x:c>
      <x:c r="D910" s="87" t="str">
        <x:v>Март 2026</x:v>
      </x:c>
      <x:c r="E910" s="87"/>
      <x:c r="F910" s="87"/>
      <x:c r="G910" s="87" t="str">
        <x:v>Информатика</x:v>
      </x:c>
      <x:c r="H910" s="87" t="n">
        <x:v>11</x:v>
      </x:c>
      <x:c r="I910" s="87" t="str">
        <x:v>ТР №4</x:v>
      </x:c>
      <x:c r="J910" s="87" t="str">
        <x:v>ИН2510402</x:v>
      </x:c>
      <x:c r="K910" s="87" t="n">
        <x:v>3</x:v>
      </x:c>
      <x:c r="L910" s="87" t="str">
        <x:v>База данных, приложенный файл</x:v>
      </x:c>
      <x:c r="M910" s="30" t="str">
        <x:v>Определить массу фруктов из Владимирской области, поступивших с 18.08.2024 по 08.09.2024.</x:v>
      </x:c>
      <x:c r="N910" s="30" t="str">
        <x:v>693</x:v>
      </x:c>
      <x:c r="O910" s="30" t="str">
        <x:v>После объединения трёх таблиц отобраны фрукты из Владимирской области, поступившие с производства с 18.08.2024 по 08.09.2024. Сумма — 693 кг.</x:v>
      </x:c>
      <x:c r="P910" s="30" t="str">
        <x:v>Файл 3.ods обработан независимо по категории, региону, операции и диапазону дат.</x:v>
      </x:c>
      <x:c r="Q910" s="30"/>
      <x:c r="R910" s="30" t="str">
        <x:v>3.ods + приложенный ключ</x:v>
      </x:c>
      <x:c r="S910" s="30"/>
      <x:c r="T910" s="30"/>
      <x:c r="U910" s="30" t="str">
        <x:v>Полное совпадение с ключом архива.</x:v>
      </x:c>
      <x:c r="V910" s="87" t="str">
        <x:v>VERIFIED</x:v>
      </x:c>
      <x:c r="W910" s="87" t="str">
        <x:v>PDF + 3.ods</x:v>
      </x:c>
      <x:c r="X910" s="87"/>
      <x:c r="Y910" s="87"/>
      <x:c r="Z910" s="87"/>
      <x:c r="AA910" s="87"/>
      <x:c r="AB910" s="87"/>
      <x:c r="AC910" s="87"/>
      <x:c r="AD910" s="87"/>
      <x:c r="AE910" s="87"/>
      <x:c r="AF910" s="87"/>
      <x:c r="AG910" s="87"/>
      <x:c r="AH910" s="87"/>
      <x:c r="AI910" s="30"/>
      <x:c r="AJ910" s="87" t="str">
        <x:v>master</x:v>
      </x:c>
      <x:c r="AK910" s="87" t="str">
        <x:v>master-v0.81</x:v>
      </x:c>
      <x:c r="AL910" s="87" t="str">
        <x:v>statgrad_master_base_v0_81_final(2).xlsx</x:v>
      </x:c>
      <x:c r="AM910" s="87" t="str">
        <x:v>INF_Mar_V2</x:v>
      </x:c>
      <x:c r="AN910" s="87" t="n">
        <x:v>4</x:v>
      </x:c>
    </x:row>
    <x:row r="911">
      <x:c r="A911" s="87" t="n">
        <x:v>910</x:v>
      </x:c>
      <x:c r="B911" s="87" t="str">
        <x:v>MAR-INF-V2-004</x:v>
      </x:c>
      <x:c r="C911" s="87" t="str">
        <x:v>СтатГрад</x:v>
      </x:c>
      <x:c r="D911" s="87" t="str">
        <x:v>Март 2026</x:v>
      </x:c>
      <x:c r="E911" s="87"/>
      <x:c r="F911" s="87"/>
      <x:c r="G911" s="87" t="str">
        <x:v>Информатика</x:v>
      </x:c>
      <x:c r="H911" s="87" t="n">
        <x:v>11</x:v>
      </x:c>
      <x:c r="I911" s="87" t="str">
        <x:v>ТР №4</x:v>
      </x:c>
      <x:c r="J911" s="87" t="str">
        <x:v>ИН2510402</x:v>
      </x:c>
      <x:c r="K911" s="87" t="n">
        <x:v>4</x:v>
      </x:c>
      <x:c r="L911" s="87" t="str">
        <x:v>Условие Фано</x:v>
      </x:c>
      <x:c r="M911" s="30" t="str">
        <x:v>Минимизировать длину кодирования слова «ФАРМАКОФОБИЯ» при заданных кодах О, Р, М, Я, И.</x:v>
      </x:c>
      <x:c r="N911" s="30" t="str">
        <x:v>44</x:v>
      </x:c>
      <x:c r="O911" s="30" t="str">
        <x:v>Для неизвестных букв можно использовать коды длин 3, 3, 4, 4 в свободных ветвях 11 и 101; с учётом частот и известных кодов получается 44.</x:v>
      </x:c>
      <x:c r="P911" s="30" t="str">
        <x:v>Построено допустимое префиксное дерево и проверена минимальность.</x:v>
      </x:c>
      <x:c r="Q911" s="30"/>
      <x:c r="R911" s="30" t="str">
        <x:v>PDF + открытый ответ 44</x:v>
      </x:c>
      <x:c r="S911" s="30"/>
      <x:c r="T911" s="30"/>
      <x:c r="U911" s="30" t="str">
        <x:v>Расхождений нет.</x:v>
      </x:c>
      <x:c r="V911" s="87" t="str">
        <x:v>VERIFIED</x:v>
      </x:c>
      <x:c r="W911" s="87" t="str">
        <x:v>PDF</x:v>
      </x:c>
      <x:c r="X911" s="87"/>
      <x:c r="Y911" s="87"/>
      <x:c r="Z911" s="87"/>
      <x:c r="AA911" s="87"/>
      <x:c r="AB911" s="87"/>
      <x:c r="AC911" s="87"/>
      <x:c r="AD911" s="87"/>
      <x:c r="AE911" s="87"/>
      <x:c r="AF911" s="87"/>
      <x:c r="AG911" s="87"/>
      <x:c r="AH911" s="87"/>
      <x:c r="AI911" s="30"/>
      <x:c r="AJ911" s="87" t="str">
        <x:v>master</x:v>
      </x:c>
      <x:c r="AK911" s="87" t="str">
        <x:v>master-v0.81</x:v>
      </x:c>
      <x:c r="AL911" s="87" t="str">
        <x:v>statgrad_master_base_v0_81_final(2).xlsx</x:v>
      </x:c>
      <x:c r="AM911" s="87" t="str">
        <x:v>INF_Mar_V2</x:v>
      </x:c>
      <x:c r="AN911" s="87" t="n">
        <x:v>5</x:v>
      </x:c>
    </x:row>
    <x:row r="912">
      <x:c r="A912" s="87" t="n">
        <x:v>911</x:v>
      </x:c>
      <x:c r="B912" s="87" t="str">
        <x:v>MAR-INF-V2-005</x:v>
      </x:c>
      <x:c r="C912" s="87" t="str">
        <x:v>СтатГрад</x:v>
      </x:c>
      <x:c r="D912" s="87" t="str">
        <x:v>Март 2026</x:v>
      </x:c>
      <x:c r="E912" s="87"/>
      <x:c r="F912" s="87"/>
      <x:c r="G912" s="87" t="str">
        <x:v>Информатика</x:v>
      </x:c>
      <x:c r="H912" s="87" t="n">
        <x:v>11</x:v>
      </x:c>
      <x:c r="I912" s="87" t="str">
        <x:v>ТР №4</x:v>
      </x:c>
      <x:c r="J912" s="87" t="str">
        <x:v>ИН2510402</x:v>
      </x:c>
      <x:c r="K912" s="87" t="n">
        <x:v>5</x:v>
      </x:c>
      <x:c r="L912" s="87" t="str">
        <x:v>Цифровой автомат</x:v>
      </x:c>
      <x:c r="M912" s="30" t="str">
        <x:v>Найти наибольшее N≤10000, для которого автомат с произведением цифр и разностью max/min выдаёт R=25127.</x:v>
      </x:c>
      <x:c r="N912" s="30" t="str">
        <x:v>92</x:v>
      </x:c>
      <x:c r="O912" s="30" t="str">
        <x:v>Подходят N=29 и N=92; наибольшее — 92.</x:v>
      </x:c>
      <x:c r="P912" s="30" t="str">
        <x:v>Полный перебор N=1…10000 по заданным формулам.</x:v>
      </x:c>
      <x:c r="Q912" s="30"/>
      <x:c r="R912" s="30" t="str">
        <x:v>PDF + открытый ответ 92</x:v>
      </x:c>
      <x:c r="S912" s="30"/>
      <x:c r="T912" s="30"/>
      <x:c r="U912" s="30" t="str">
        <x:v>Расхождений нет.</x:v>
      </x:c>
      <x:c r="V912" s="87" t="str">
        <x:v>VERIFIED</x:v>
      </x:c>
      <x:c r="W912" s="87" t="str">
        <x:v>PDF</x:v>
      </x:c>
      <x:c r="X912" s="87"/>
      <x:c r="Y912" s="87"/>
      <x:c r="Z912" s="87"/>
      <x:c r="AA912" s="87"/>
      <x:c r="AB912" s="87"/>
      <x:c r="AC912" s="87"/>
      <x:c r="AD912" s="87"/>
      <x:c r="AE912" s="87"/>
      <x:c r="AF912" s="87"/>
      <x:c r="AG912" s="87"/>
      <x:c r="AH912" s="87"/>
      <x:c r="AI912" s="30"/>
      <x:c r="AJ912" s="87" t="str">
        <x:v>master</x:v>
      </x:c>
      <x:c r="AK912" s="87" t="str">
        <x:v>master-v0.81</x:v>
      </x:c>
      <x:c r="AL912" s="87" t="str">
        <x:v>statgrad_master_base_v0_81_final(2).xlsx</x:v>
      </x:c>
      <x:c r="AM912" s="87" t="str">
        <x:v>INF_Mar_V2</x:v>
      </x:c>
      <x:c r="AN912" s="87" t="n">
        <x:v>6</x:v>
      </x:c>
    </x:row>
    <x:row r="913">
      <x:c r="A913" s="87" t="n">
        <x:v>912</x:v>
      </x:c>
      <x:c r="B913" s="87" t="str">
        <x:v>MAR-INF-V2-006</x:v>
      </x:c>
      <x:c r="C913" s="87" t="str">
        <x:v>СтатГрад</x:v>
      </x:c>
      <x:c r="D913" s="87" t="str">
        <x:v>Март 2026</x:v>
      </x:c>
      <x:c r="E913" s="87"/>
      <x:c r="F913" s="87"/>
      <x:c r="G913" s="87" t="str">
        <x:v>Информатика</x:v>
      </x:c>
      <x:c r="H913" s="87" t="n">
        <x:v>11</x:v>
      </x:c>
      <x:c r="I913" s="87" t="str">
        <x:v>ТР №4</x:v>
      </x:c>
      <x:c r="J913" s="87" t="str">
        <x:v>ИН2510402</x:v>
      </x:c>
      <x:c r="K913" s="87" t="n">
        <x:v>6</x:v>
      </x:c>
      <x:c r="L913" s="87" t="str">
        <x:v>Черепаха и площадь</x:v>
      </x:c>
      <x:c r="M913" s="30" t="str">
        <x:v>Определить площадь объединения фигур, ограниченных линиями второго алгоритма Черепахи.</x:v>
      </x:c>
      <x:c r="N913" s="30" t="str">
        <x:v>114</x:v>
      </x:c>
      <x:c r="O913" s="30" t="str">
        <x:v>Моделирование линий и объединение замкнутых областей дают суммарную площадь 114.</x:v>
      </x:c>
      <x:c r="P913" s="30" t="str">
        <x:v>Все перемещения преобразованы в координатные отрезки и полигонализованы.</x:v>
      </x:c>
      <x:c r="Q913" s="30"/>
      <x:c r="R913" s="30" t="str">
        <x:v>PDF + открытый ответ 114</x:v>
      </x:c>
      <x:c r="S913" s="30"/>
      <x:c r="T913" s="30"/>
      <x:c r="U913" s="30" t="str">
        <x:v>Расхождений нет.</x:v>
      </x:c>
      <x:c r="V913" s="87" t="str">
        <x:v>VERIFIED</x:v>
      </x:c>
      <x:c r="W913" s="87" t="str">
        <x:v>PDF</x:v>
      </x:c>
      <x:c r="X913" s="87"/>
      <x:c r="Y913" s="87"/>
      <x:c r="Z913" s="87"/>
      <x:c r="AA913" s="87"/>
      <x:c r="AB913" s="87"/>
      <x:c r="AC913" s="87"/>
      <x:c r="AD913" s="87"/>
      <x:c r="AE913" s="87"/>
      <x:c r="AF913" s="87"/>
      <x:c r="AG913" s="87"/>
      <x:c r="AH913" s="87"/>
      <x:c r="AI913" s="30"/>
      <x:c r="AJ913" s="87" t="str">
        <x:v>master</x:v>
      </x:c>
      <x:c r="AK913" s="87" t="str">
        <x:v>master-v0.81</x:v>
      </x:c>
      <x:c r="AL913" s="87" t="str">
        <x:v>statgrad_master_base_v0_81_final(2).xlsx</x:v>
      </x:c>
      <x:c r="AM913" s="87" t="str">
        <x:v>INF_Mar_V2</x:v>
      </x:c>
      <x:c r="AN913" s="87" t="n">
        <x:v>7</x:v>
      </x:c>
    </x:row>
    <x:row r="914">
      <x:c r="A914" s="87" t="n">
        <x:v>913</x:v>
      </x:c>
      <x:c r="B914" s="87" t="str">
        <x:v>MAR-INF-V2-007</x:v>
      </x:c>
      <x:c r="C914" s="87" t="str">
        <x:v>СтатГрад</x:v>
      </x:c>
      <x:c r="D914" s="87" t="str">
        <x:v>Март 2026</x:v>
      </x:c>
      <x:c r="E914" s="87"/>
      <x:c r="F914" s="87"/>
      <x:c r="G914" s="87" t="str">
        <x:v>Информатика</x:v>
      </x:c>
      <x:c r="H914" s="87" t="n">
        <x:v>11</x:v>
      </x:c>
      <x:c r="I914" s="87" t="str">
        <x:v>ТР №4</x:v>
      </x:c>
      <x:c r="J914" s="87" t="str">
        <x:v>ИН2510402</x:v>
      </x:c>
      <x:c r="K914" s="87" t="n">
        <x:v>7</x:v>
      </x:c>
      <x:c r="L914" s="87" t="str">
        <x:v>Объём аудиофайла</x:v>
      </x:c>
      <x:c r="M914" s="30" t="str">
        <x:v>Сравнить сжатые объёмы стерео-записи и повторной моно-записи.</x:v>
      </x:c>
      <x:c r="N914" s="30" t="str">
        <x:v>8</x:v>
      </x:c>
      <x:c r="O914" s="30" t="str">
        <x:v>Первый объём: 0,8·2Rf=1,6Rf; второй: 0,1·1·(R/2)·4f=0,2Rf; отношение 8.</x:v>
      </x:c>
      <x:c r="P914" s="30" t="str">
        <x:v>Проверены все множители объёма.</x:v>
      </x:c>
      <x:c r="Q914" s="30"/>
      <x:c r="R914" s="30" t="str">
        <x:v>PDF + открытый ответ 8</x:v>
      </x:c>
      <x:c r="S914" s="30"/>
      <x:c r="T914" s="30"/>
      <x:c r="U914" s="30" t="str">
        <x:v>Расхождений нет.</x:v>
      </x:c>
      <x:c r="V914" s="87" t="str">
        <x:v>VERIFIED</x:v>
      </x:c>
      <x:c r="W914" s="87" t="str">
        <x:v>PDF</x:v>
      </x:c>
      <x:c r="X914" s="87"/>
      <x:c r="Y914" s="87"/>
      <x:c r="Z914" s="87"/>
      <x:c r="AA914" s="87"/>
      <x:c r="AB914" s="87"/>
      <x:c r="AC914" s="87"/>
      <x:c r="AD914" s="87"/>
      <x:c r="AE914" s="87"/>
      <x:c r="AF914" s="87"/>
      <x:c r="AG914" s="87"/>
      <x:c r="AH914" s="87"/>
      <x:c r="AI914" s="30"/>
      <x:c r="AJ914" s="87" t="str">
        <x:v>master</x:v>
      </x:c>
      <x:c r="AK914" s="87" t="str">
        <x:v>master-v0.81</x:v>
      </x:c>
      <x:c r="AL914" s="87" t="str">
        <x:v>statgrad_master_base_v0_81_final(2).xlsx</x:v>
      </x:c>
      <x:c r="AM914" s="87" t="str">
        <x:v>INF_Mar_V2</x:v>
      </x:c>
      <x:c r="AN914" s="87" t="n">
        <x:v>8</x:v>
      </x:c>
    </x:row>
    <x:row r="915">
      <x:c r="A915" s="87" t="n">
        <x:v>914</x:v>
      </x:c>
      <x:c r="B915" s="87" t="str">
        <x:v>MAR-INF-V2-008</x:v>
      </x:c>
      <x:c r="C915" s="87" t="str">
        <x:v>СтатГрад</x:v>
      </x:c>
      <x:c r="D915" s="87" t="str">
        <x:v>Март 2026</x:v>
      </x:c>
      <x:c r="E915" s="87"/>
      <x:c r="F915" s="87"/>
      <x:c r="G915" s="87" t="str">
        <x:v>Информатика</x:v>
      </x:c>
      <x:c r="H915" s="87" t="n">
        <x:v>11</x:v>
      </x:c>
      <x:c r="I915" s="87" t="str">
        <x:v>ТР №4</x:v>
      </x:c>
      <x:c r="J915" s="87" t="str">
        <x:v>ИН2510402</x:v>
      </x:c>
      <x:c r="K915" s="87" t="n">
        <x:v>8</x:v>
      </x:c>
      <x:c r="L915" s="87" t="str">
        <x:v>Комбинаторика</x:v>
      </x:c>
      <x:c r="M915" s="30" t="str">
        <x:v>Посчитать пятизначные 12-ричные числа с ровно тремя одинаковыми соседними нечётными цифрами.</x:v>
      </x:c>
      <x:c r="N915" s="30" t="str">
        <x:v>576</x:v>
      </x:c>
      <x:c r="O915" s="30" t="str">
        <x:v>Полный перебор допустимых пятизначных записей даёт 576.</x:v>
      </x:c>
      <x:c r="P915" s="30" t="str">
        <x:v>Независимый перебор всех наборов без ведущего нуля.</x:v>
      </x:c>
      <x:c r="Q915" s="30"/>
      <x:c r="R915" s="30" t="str">
        <x:v>PDF + открытый ответ 576</x:v>
      </x:c>
      <x:c r="S915" s="30"/>
      <x:c r="T915" s="30"/>
      <x:c r="U915" s="30" t="str">
        <x:v>Расхождений нет.</x:v>
      </x:c>
      <x:c r="V915" s="87" t="str">
        <x:v>VERIFIED</x:v>
      </x:c>
      <x:c r="W915" s="87" t="str">
        <x:v>PDF</x:v>
      </x:c>
      <x:c r="X915" s="87"/>
      <x:c r="Y915" s="87"/>
      <x:c r="Z915" s="87"/>
      <x:c r="AA915" s="87"/>
      <x:c r="AB915" s="87"/>
      <x:c r="AC915" s="87"/>
      <x:c r="AD915" s="87"/>
      <x:c r="AE915" s="87"/>
      <x:c r="AF915" s="87"/>
      <x:c r="AG915" s="87"/>
      <x:c r="AH915" s="87"/>
      <x:c r="AI915" s="30"/>
      <x:c r="AJ915" s="87" t="str">
        <x:v>master</x:v>
      </x:c>
      <x:c r="AK915" s="87" t="str">
        <x:v>master-v0.81</x:v>
      </x:c>
      <x:c r="AL915" s="87" t="str">
        <x:v>statgrad_master_base_v0_81_final(2).xlsx</x:v>
      </x:c>
      <x:c r="AM915" s="87" t="str">
        <x:v>INF_Mar_V2</x:v>
      </x:c>
      <x:c r="AN915" s="87" t="n">
        <x:v>9</x:v>
      </x:c>
    </x:row>
    <x:row r="916">
      <x:c r="A916" s="87" t="n">
        <x:v>915</x:v>
      </x:c>
      <x:c r="B916" s="87" t="str">
        <x:v>MAR-INF-V2-009</x:v>
      </x:c>
      <x:c r="C916" s="87" t="str">
        <x:v>СтатГрад</x:v>
      </x:c>
      <x:c r="D916" s="87" t="str">
        <x:v>Март 2026</x:v>
      </x:c>
      <x:c r="E916" s="87"/>
      <x:c r="F916" s="87"/>
      <x:c r="G916" s="87" t="str">
        <x:v>Информатика</x:v>
      </x:c>
      <x:c r="H916" s="87" t="n">
        <x:v>11</x:v>
      </x:c>
      <x:c r="I916" s="87" t="str">
        <x:v>ТР №4</x:v>
      </x:c>
      <x:c r="J916" s="87" t="str">
        <x:v>ИН2510402</x:v>
      </x:c>
      <x:c r="K916" s="87" t="n">
        <x:v>9</x:v>
      </x:c>
      <x:c r="L916" s="87" t="str">
        <x:v>Электронная таблица, приложенный файл</x:v>
      </x:c>
      <x:c r="M916" s="30" t="str">
        <x:v>Сумма нечётных номеров строк с условием о среднем и полном кубе.</x:v>
      </x:c>
      <x:c r="N916" s="30" t="str">
        <x:v>1412219</x:v>
      </x:c>
      <x:c r="O916" s="30" t="str">
        <x:v>Условию соответствуют 75 строк с нечётными номерами; сумма их номеров равна 1 412 219.</x:v>
      </x:c>
      <x:c r="P916" s="30" t="str">
        <x:v>Для каждой строки проверены наличие целой части среднего среди семи чисел и наличие полного куба.</x:v>
      </x:c>
      <x:c r="Q916" s="30"/>
      <x:c r="R916" s="30" t="str">
        <x:v>9.ods + приложенный ключ</x:v>
      </x:c>
      <x:c r="S916" s="30"/>
      <x:c r="T916" s="30"/>
      <x:c r="U916" s="30" t="str">
        <x:v>Полное совпадение с ключом архива.</x:v>
      </x:c>
      <x:c r="V916" s="87" t="str">
        <x:v>VERIFIED</x:v>
      </x:c>
      <x:c r="W916" s="87" t="str">
        <x:v>PDF + 9.ods</x:v>
      </x:c>
      <x:c r="X916" s="87"/>
      <x:c r="Y916" s="87"/>
      <x:c r="Z916" s="87"/>
      <x:c r="AA916" s="87"/>
      <x:c r="AB916" s="87"/>
      <x:c r="AC916" s="87"/>
      <x:c r="AD916" s="87"/>
      <x:c r="AE916" s="87"/>
      <x:c r="AF916" s="87"/>
      <x:c r="AG916" s="87"/>
      <x:c r="AH916" s="87"/>
      <x:c r="AI916" s="30"/>
      <x:c r="AJ916" s="87" t="str">
        <x:v>master</x:v>
      </x:c>
      <x:c r="AK916" s="87" t="str">
        <x:v>master-v0.81</x:v>
      </x:c>
      <x:c r="AL916" s="87" t="str">
        <x:v>statgrad_master_base_v0_81_final(2).xlsx</x:v>
      </x:c>
      <x:c r="AM916" s="87" t="str">
        <x:v>INF_Mar_V2</x:v>
      </x:c>
      <x:c r="AN916" s="87" t="n">
        <x:v>10</x:v>
      </x:c>
    </x:row>
    <x:row r="917">
      <x:c r="A917" s="87" t="n">
        <x:v>916</x:v>
      </x:c>
      <x:c r="B917" s="87" t="str">
        <x:v>MAR-INF-V2-010</x:v>
      </x:c>
      <x:c r="C917" s="87" t="str">
        <x:v>СтатГрад</x:v>
      </x:c>
      <x:c r="D917" s="87" t="str">
        <x:v>Март 2026</x:v>
      </x:c>
      <x:c r="E917" s="87"/>
      <x:c r="F917" s="87"/>
      <x:c r="G917" s="87" t="str">
        <x:v>Информатика</x:v>
      </x:c>
      <x:c r="H917" s="87" t="n">
        <x:v>11</x:v>
      </x:c>
      <x:c r="I917" s="87" t="str">
        <x:v>ТР №4</x:v>
      </x:c>
      <x:c r="J917" s="87" t="str">
        <x:v>ИН2510402</x:v>
      </x:c>
      <x:c r="K917" s="87" t="n">
        <x:v>10</x:v>
      </x:c>
      <x:c r="L917" s="87" t="str">
        <x:v>Поиск в текстовом файле</x:v>
      </x:c>
      <x:c r="M917" s="30" t="str">
        <x:v>Посчитать «что»/«Что» непосредственно перед дефисом или после него.</x:v>
      </x:c>
      <x:c r="N917" s="30" t="str">
        <x:v>13</x:v>
      </x:c>
      <x:c r="O917" s="30" t="str">
        <x:v>Сочетание «что»/«Что» непосредственно перед дефисом или после него встречается 13 раз.</x:v>
      </x:c>
      <x:c r="P917" s="30" t="str">
        <x:v>Проверены шаблоны «что-» и «-что» в приложенном тексте 10.odt.</x:v>
      </x:c>
      <x:c r="Q917" s="30"/>
      <x:c r="R917" s="30" t="str">
        <x:v>10.odt + приложенный ключ</x:v>
      </x:c>
      <x:c r="S917" s="30"/>
      <x:c r="T917" s="30"/>
      <x:c r="U917" s="30" t="str">
        <x:v>Полное совпадение с ключом архива.</x:v>
      </x:c>
      <x:c r="V917" s="87" t="str">
        <x:v>VERIFIED</x:v>
      </x:c>
      <x:c r="W917" s="87" t="str">
        <x:v>PDF + 10.odt</x:v>
      </x:c>
      <x:c r="X917" s="87"/>
      <x:c r="Y917" s="87"/>
      <x:c r="Z917" s="87"/>
      <x:c r="AA917" s="87"/>
      <x:c r="AB917" s="87"/>
      <x:c r="AC917" s="87"/>
      <x:c r="AD917" s="87"/>
      <x:c r="AE917" s="87"/>
      <x:c r="AF917" s="87"/>
      <x:c r="AG917" s="87"/>
      <x:c r="AH917" s="87"/>
      <x:c r="AI917" s="30"/>
      <x:c r="AJ917" s="87" t="str">
        <x:v>master</x:v>
      </x:c>
      <x:c r="AK917" s="87" t="str">
        <x:v>master-v0.81</x:v>
      </x:c>
      <x:c r="AL917" s="87" t="str">
        <x:v>statgrad_master_base_v0_81_final(2).xlsx</x:v>
      </x:c>
      <x:c r="AM917" s="87" t="str">
        <x:v>INF_Mar_V2</x:v>
      </x:c>
      <x:c r="AN917" s="87" t="n">
        <x:v>11</x:v>
      </x:c>
    </x:row>
    <x:row r="918">
      <x:c r="A918" s="87" t="n">
        <x:v>917</x:v>
      </x:c>
      <x:c r="B918" s="87" t="str">
        <x:v>MAR-INF-V2-011</x:v>
      </x:c>
      <x:c r="C918" s="87" t="str">
        <x:v>СтатГрад</x:v>
      </x:c>
      <x:c r="D918" s="87" t="str">
        <x:v>Март 2026</x:v>
      </x:c>
      <x:c r="E918" s="87"/>
      <x:c r="F918" s="87"/>
      <x:c r="G918" s="87" t="str">
        <x:v>Информатика</x:v>
      </x:c>
      <x:c r="H918" s="87" t="n">
        <x:v>11</x:v>
      </x:c>
      <x:c r="I918" s="87" t="str">
        <x:v>ТР №4</x:v>
      </x:c>
      <x:c r="J918" s="87" t="str">
        <x:v>ИН2510402</x:v>
      </x:c>
      <x:c r="K918" s="87" t="n">
        <x:v>11</x:v>
      </x:c>
      <x:c r="L918" s="87" t="str">
        <x:v>Кодирование серийных номеров</x:v>
      </x:c>
      <x:c r="M918" s="30" t="str">
        <x:v>27 символов; 3 000 000 номеров требуют не менее 146 Мбайт. Найти минимальную мощность алфавита.</x:v>
      </x:c>
      <x:c r="N918" s="30" t="str">
        <x:v>32769</x:v>
      </x:c>
      <x:c r="O918" s="30" t="str">
        <x:v>Нужно не менее 52 байт на номер. 15 бит дают 51 байт, 16 бит — 54; минимальная мощность для 16 бит: 2^15+1=32769.</x:v>
      </x:c>
      <x:c r="P918" s="30" t="str">
        <x:v>Проверены округления и граница числа бит.</x:v>
      </x:c>
      <x:c r="Q918" s="30"/>
      <x:c r="R918" s="30" t="str">
        <x:v>PDF + открытый ответ 32769</x:v>
      </x:c>
      <x:c r="S918" s="30"/>
      <x:c r="T918" s="30"/>
      <x:c r="U918" s="30" t="str">
        <x:v>Расхождений нет.</x:v>
      </x:c>
      <x:c r="V918" s="87" t="str">
        <x:v>VERIFIED</x:v>
      </x:c>
      <x:c r="W918" s="87" t="str">
        <x:v>PDF</x:v>
      </x:c>
      <x:c r="X918" s="87"/>
      <x:c r="Y918" s="87"/>
      <x:c r="Z918" s="87"/>
      <x:c r="AA918" s="87"/>
      <x:c r="AB918" s="87"/>
      <x:c r="AC918" s="87"/>
      <x:c r="AD918" s="87"/>
      <x:c r="AE918" s="87"/>
      <x:c r="AF918" s="87"/>
      <x:c r="AG918" s="87"/>
      <x:c r="AH918" s="87"/>
      <x:c r="AI918" s="30"/>
      <x:c r="AJ918" s="87" t="str">
        <x:v>master</x:v>
      </x:c>
      <x:c r="AK918" s="87" t="str">
        <x:v>master-v0.81</x:v>
      </x:c>
      <x:c r="AL918" s="87" t="str">
        <x:v>statgrad_master_base_v0_81_final(2).xlsx</x:v>
      </x:c>
      <x:c r="AM918" s="87" t="str">
        <x:v>INF_Mar_V2</x:v>
      </x:c>
      <x:c r="AN918" s="87" t="n">
        <x:v>12</x:v>
      </x:c>
    </x:row>
    <x:row r="919">
      <x:c r="A919" s="87" t="n">
        <x:v>918</x:v>
      </x:c>
      <x:c r="B919" s="87" t="str">
        <x:v>MAR-INF-V2-012</x:v>
      </x:c>
      <x:c r="C919" s="87" t="str">
        <x:v>СтатГрад</x:v>
      </x:c>
      <x:c r="D919" s="87" t="str">
        <x:v>Март 2026</x:v>
      </x:c>
      <x:c r="E919" s="87"/>
      <x:c r="F919" s="87"/>
      <x:c r="G919" s="87" t="str">
        <x:v>Информатика</x:v>
      </x:c>
      <x:c r="H919" s="87" t="n">
        <x:v>11</x:v>
      </x:c>
      <x:c r="I919" s="87" t="str">
        <x:v>ТР №4</x:v>
      </x:c>
      <x:c r="J919" s="87" t="str">
        <x:v>ИН2510402</x:v>
      </x:c>
      <x:c r="K919" s="87" t="n">
        <x:v>12</x:v>
      </x:c>
      <x:c r="L919" s="87" t="str">
        <x:v>Машина Тьюринга</x:v>
      </x:c>
      <x:c r="M919" s="30" t="str">
        <x:v>После замены 3→7, 6→8, 9→3 сумма S пятизначная, длина N&gt;100, чётных цифр не менее 100. Максимизировать S+N.</x:v>
      </x:c>
      <x:c r="N919" s="30" t="str">
        <x:v>133164</x:v>
      </x:c>
      <x:c r="O919" s="30" t="str">
        <x:v>При ровно 100 восьмёрках и 33066 тройках: S=99998, N=33166, S+N=133164; увеличение невозможно при S≤99999.</x:v>
      </x:c>
      <x:c r="P919" s="30" t="str">
        <x:v>Целочисленная оптимизация по количествам цифр 3, 7, 8 выполнена независимо.</x:v>
      </x:c>
      <x:c r="Q919" s="30"/>
      <x:c r="R919" s="30" t="str">
        <x:v>PDF + открытый ответ 133164</x:v>
      </x:c>
      <x:c r="S919" s="30"/>
      <x:c r="T919" s="30"/>
      <x:c r="U919" s="30" t="str">
        <x:v>Расхождений нет.</x:v>
      </x:c>
      <x:c r="V919" s="87" t="str">
        <x:v>VERIFIED</x:v>
      </x:c>
      <x:c r="W919" s="87" t="str">
        <x:v>PDF</x:v>
      </x:c>
      <x:c r="X919" s="87"/>
      <x:c r="Y919" s="87"/>
      <x:c r="Z919" s="87"/>
      <x:c r="AA919" s="87"/>
      <x:c r="AB919" s="87"/>
      <x:c r="AC919" s="87"/>
      <x:c r="AD919" s="87"/>
      <x:c r="AE919" s="87"/>
      <x:c r="AF919" s="87"/>
      <x:c r="AG919" s="87"/>
      <x:c r="AH919" s="87"/>
      <x:c r="AI919" s="30"/>
      <x:c r="AJ919" s="87" t="str">
        <x:v>master</x:v>
      </x:c>
      <x:c r="AK919" s="87" t="str">
        <x:v>master-v0.81</x:v>
      </x:c>
      <x:c r="AL919" s="87" t="str">
        <x:v>statgrad_master_base_v0_81_final(2).xlsx</x:v>
      </x:c>
      <x:c r="AM919" s="87" t="str">
        <x:v>INF_Mar_V2</x:v>
      </x:c>
      <x:c r="AN919" s="87" t="n">
        <x:v>13</x:v>
      </x:c>
    </x:row>
    <x:row r="920">
      <x:c r="A920" s="87" t="n">
        <x:v>919</x:v>
      </x:c>
      <x:c r="B920" s="87" t="str">
        <x:v>MAR-INF-V2-013</x:v>
      </x:c>
      <x:c r="C920" s="87" t="str">
        <x:v>СтатГрад</x:v>
      </x:c>
      <x:c r="D920" s="87" t="str">
        <x:v>Март 2026</x:v>
      </x:c>
      <x:c r="E920" s="87"/>
      <x:c r="F920" s="87"/>
      <x:c r="G920" s="87" t="str">
        <x:v>Информатика</x:v>
      </x:c>
      <x:c r="H920" s="87" t="n">
        <x:v>11</x:v>
      </x:c>
      <x:c r="I920" s="87" t="str">
        <x:v>ТР №4</x:v>
      </x:c>
      <x:c r="J920" s="87" t="str">
        <x:v>ИН2510402</x:v>
      </x:c>
      <x:c r="K920" s="87" t="n">
        <x:v>13</x:v>
      </x:c>
      <x:c r="L920" s="87" t="str">
        <x:v>Маска сети</x:v>
      </x:c>
      <x:c r="M920" s="30" t="str">
        <x:v>IP 231.150.114.158, сеть 231.150.114.128. Найти максимальное число единиц в маске.</x:v>
      </x:c>
      <x:c r="N920" s="30" t="str">
        <x:v>27</x:v>
      </x:c>
      <x:c r="O920" s="30" t="str">
        <x:v>Допустимы префиксы /25, /26, /27; максимальный — 27.</x:v>
      </x:c>
      <x:c r="P920" s="30" t="str">
        <x:v>Перебраны все стандартные маски.</x:v>
      </x:c>
      <x:c r="Q920" s="30"/>
      <x:c r="R920" s="30" t="str">
        <x:v>PDF + открытый ответ 27</x:v>
      </x:c>
      <x:c r="S920" s="30"/>
      <x:c r="T920" s="30"/>
      <x:c r="U920" s="30" t="str">
        <x:v>Расхождений нет.</x:v>
      </x:c>
      <x:c r="V920" s="87" t="str">
        <x:v>VERIFIED</x:v>
      </x:c>
      <x:c r="W920" s="87" t="str">
        <x:v>PDF</x:v>
      </x:c>
      <x:c r="X920" s="87"/>
      <x:c r="Y920" s="87"/>
      <x:c r="Z920" s="87"/>
      <x:c r="AA920" s="87"/>
      <x:c r="AB920" s="87"/>
      <x:c r="AC920" s="87"/>
      <x:c r="AD920" s="87"/>
      <x:c r="AE920" s="87"/>
      <x:c r="AF920" s="87"/>
      <x:c r="AG920" s="87"/>
      <x:c r="AH920" s="87"/>
      <x:c r="AI920" s="30"/>
      <x:c r="AJ920" s="87" t="str">
        <x:v>master</x:v>
      </x:c>
      <x:c r="AK920" s="87" t="str">
        <x:v>master-v0.81</x:v>
      </x:c>
      <x:c r="AL920" s="87" t="str">
        <x:v>statgrad_master_base_v0_81_final(2).xlsx</x:v>
      </x:c>
      <x:c r="AM920" s="87" t="str">
        <x:v>INF_Mar_V2</x:v>
      </x:c>
      <x:c r="AN920" s="87" t="n">
        <x:v>14</x:v>
      </x:c>
    </x:row>
    <x:row r="921">
      <x:c r="A921" s="87" t="n">
        <x:v>920</x:v>
      </x:c>
      <x:c r="B921" s="87" t="str">
        <x:v>MAR-INF-V2-014</x:v>
      </x:c>
      <x:c r="C921" s="87" t="str">
        <x:v>СтатГрад</x:v>
      </x:c>
      <x:c r="D921" s="87" t="str">
        <x:v>Март 2026</x:v>
      </x:c>
      <x:c r="E921" s="87"/>
      <x:c r="F921" s="87"/>
      <x:c r="G921" s="87" t="str">
        <x:v>Информатика</x:v>
      </x:c>
      <x:c r="H921" s="87" t="n">
        <x:v>11</x:v>
      </x:c>
      <x:c r="I921" s="87" t="str">
        <x:v>ТР №4</x:v>
      </x:c>
      <x:c r="J921" s="87" t="str">
        <x:v>ИН2510402</x:v>
      </x:c>
      <x:c r="K921" s="87" t="n">
        <x:v>14</x:v>
      </x:c>
      <x:c r="L921" s="87" t="str">
        <x:v>Системы счисления</x:v>
      </x:c>
      <x:c r="M921" s="30" t="str">
        <x:v>Для 11·15^13 + 14·15^8 − x, 0&lt;x&lt;2000, найти максимальное x с нечётным числом значащих нулей.</x:v>
      </x:c>
      <x:c r="N921" s="30" t="str">
        <x:v>1995</x:v>
      </x:c>
      <x:c r="O921" s="30" t="str">
        <x:v>При x=1995 запись B0000DEEEEE620₁₅ содержит 5 значащих нулей; большие x условию не удовлетворяют.</x:v>
      </x:c>
      <x:c r="P921" s="30" t="str">
        <x:v>Перебраны все x от 1 до 1999.</x:v>
      </x:c>
      <x:c r="Q921" s="30"/>
      <x:c r="R921" s="30" t="str">
        <x:v>Независимое решение</x:v>
      </x:c>
      <x:c r="S921" s="30"/>
      <x:c r="T921" s="30"/>
      <x:c r="U921" s="30" t="str">
        <x:v>Расхождений нет.</x:v>
      </x:c>
      <x:c r="V921" s="87" t="str">
        <x:v>VERIFIED</x:v>
      </x:c>
      <x:c r="W921" s="87" t="str">
        <x:v>PDF</x:v>
      </x:c>
      <x:c r="X921" s="87"/>
      <x:c r="Y921" s="87"/>
      <x:c r="Z921" s="87"/>
      <x:c r="AA921" s="87"/>
      <x:c r="AB921" s="87"/>
      <x:c r="AC921" s="87"/>
      <x:c r="AD921" s="87"/>
      <x:c r="AE921" s="87"/>
      <x:c r="AF921" s="87"/>
      <x:c r="AG921" s="87"/>
      <x:c r="AH921" s="87"/>
      <x:c r="AI921" s="30"/>
      <x:c r="AJ921" s="87" t="str">
        <x:v>master</x:v>
      </x:c>
      <x:c r="AK921" s="87" t="str">
        <x:v>master-v0.81</x:v>
      </x:c>
      <x:c r="AL921" s="87" t="str">
        <x:v>statgrad_master_base_v0_81_final(2).xlsx</x:v>
      </x:c>
      <x:c r="AM921" s="87" t="str">
        <x:v>INF_Mar_V2</x:v>
      </x:c>
      <x:c r="AN921" s="87" t="n">
        <x:v>15</x:v>
      </x:c>
    </x:row>
    <x:row r="922">
      <x:c r="A922" s="87" t="n">
        <x:v>921</x:v>
      </x:c>
      <x:c r="B922" s="87" t="str">
        <x:v>MAR-INF-V2-015</x:v>
      </x:c>
      <x:c r="C922" s="87" t="str">
        <x:v>СтатГрад</x:v>
      </x:c>
      <x:c r="D922" s="87" t="str">
        <x:v>Март 2026</x:v>
      </x:c>
      <x:c r="E922" s="87"/>
      <x:c r="F922" s="87"/>
      <x:c r="G922" s="87" t="str">
        <x:v>Информатика</x:v>
      </x:c>
      <x:c r="H922" s="87" t="n">
        <x:v>11</x:v>
      </x:c>
      <x:c r="I922" s="87" t="str">
        <x:v>ТР №4</x:v>
      </x:c>
      <x:c r="J922" s="87" t="str">
        <x:v>ИН2510402</x:v>
      </x:c>
      <x:c r="K922" s="87" t="n">
        <x:v>15</x:v>
      </x:c>
      <x:c r="L922" s="87" t="str">
        <x:v>Логическое выражение с делимостью</x:v>
      </x:c>
      <x:c r="M922" s="30" t="str">
        <x:v>Для B=[140;230] найти максимальное A, при котором ДЕЛ(x,A) ∨ ((x∈B)→(¬ДЕЛ(x,41)∨x+A≤306)) истинно для всех x.</x:v>
      </x:c>
      <x:c r="N922" s="30" t="str">
        <x:v>101</x:v>
      </x:c>
      <x:c r="O922" s="30" t="str">
        <x:v>Исчерпывающая проверка натуральных A и x даёт максимум 101.</x:v>
      </x:c>
      <x:c r="P922" s="30" t="str">
        <x:v>Формула проверена на всём критическом отрезке и кратных 41.</x:v>
      </x:c>
      <x:c r="Q922" s="30"/>
      <x:c r="R922" s="30" t="str">
        <x:v>Независимое решение</x:v>
      </x:c>
      <x:c r="S922" s="30"/>
      <x:c r="T922" s="30"/>
      <x:c r="U922" s="30" t="str">
        <x:v>Расхождений нет.</x:v>
      </x:c>
      <x:c r="V922" s="87" t="str">
        <x:v>VERIFIED</x:v>
      </x:c>
      <x:c r="W922" s="87" t="str">
        <x:v>PDF</x:v>
      </x:c>
      <x:c r="X922" s="87"/>
      <x:c r="Y922" s="87"/>
      <x:c r="Z922" s="87"/>
      <x:c r="AA922" s="87"/>
      <x:c r="AB922" s="87"/>
      <x:c r="AC922" s="87"/>
      <x:c r="AD922" s="87"/>
      <x:c r="AE922" s="87"/>
      <x:c r="AF922" s="87"/>
      <x:c r="AG922" s="87"/>
      <x:c r="AH922" s="87"/>
      <x:c r="AI922" s="30"/>
      <x:c r="AJ922" s="87" t="str">
        <x:v>master</x:v>
      </x:c>
      <x:c r="AK922" s="87" t="str">
        <x:v>master-v0.81</x:v>
      </x:c>
      <x:c r="AL922" s="87" t="str">
        <x:v>statgrad_master_base_v0_81_final(2).xlsx</x:v>
      </x:c>
      <x:c r="AM922" s="87" t="str">
        <x:v>INF_Mar_V2</x:v>
      </x:c>
      <x:c r="AN922" s="87" t="n">
        <x:v>16</x:v>
      </x:c>
    </x:row>
    <x:row r="923">
      <x:c r="A923" s="87" t="n">
        <x:v>922</x:v>
      </x:c>
      <x:c r="B923" s="87" t="str">
        <x:v>MAR-INF-V2-016</x:v>
      </x:c>
      <x:c r="C923" s="87" t="str">
        <x:v>СтатГрад</x:v>
      </x:c>
      <x:c r="D923" s="87" t="str">
        <x:v>Март 2026</x:v>
      </x:c>
      <x:c r="E923" s="87"/>
      <x:c r="F923" s="87"/>
      <x:c r="G923" s="87" t="str">
        <x:v>Информатика</x:v>
      </x:c>
      <x:c r="H923" s="87" t="n">
        <x:v>11</x:v>
      </x:c>
      <x:c r="I923" s="87" t="str">
        <x:v>ТР №4</x:v>
      </x:c>
      <x:c r="J923" s="87" t="str">
        <x:v>ИН2510402</x:v>
      </x:c>
      <x:c r="K923" s="87" t="n">
        <x:v>16</x:v>
      </x:c>
      <x:c r="L923" s="87" t="str">
        <x:v>Рекурсивные функции</x:v>
      </x:c>
      <x:c r="M923" s="30" t="str">
        <x:v>Вычислить F(65000) для F с шагом 6 и G с шагом +4 при пороге 20000.</x:v>
      </x:c>
      <x:c r="N923" s="30" t="str">
        <x:v>718932563</x:v>
      </x:c>
      <x:c r="O923" s="30" t="str">
        <x:v>Цепочка F доходит до 19994; затем G(19991) за три шага достигает 20003². Итоговая сумма равна 718932563.</x:v>
      </x:c>
      <x:c r="P923" s="30" t="str">
        <x:v>Рекурсия свёрнута и проверена итеративным расчётом.</x:v>
      </x:c>
      <x:c r="Q923" s="30"/>
      <x:c r="R923" s="30" t="str">
        <x:v>Независимое решение</x:v>
      </x:c>
      <x:c r="S923" s="30"/>
      <x:c r="T923" s="30"/>
      <x:c r="U923" s="30" t="str">
        <x:v>Расхождений нет.</x:v>
      </x:c>
      <x:c r="V923" s="87" t="str">
        <x:v>VERIFIED</x:v>
      </x:c>
      <x:c r="W923" s="87" t="str">
        <x:v>PDF</x:v>
      </x:c>
      <x:c r="X923" s="87"/>
      <x:c r="Y923" s="87"/>
      <x:c r="Z923" s="87"/>
      <x:c r="AA923" s="87"/>
      <x:c r="AB923" s="87"/>
      <x:c r="AC923" s="87"/>
      <x:c r="AD923" s="87"/>
      <x:c r="AE923" s="87"/>
      <x:c r="AF923" s="87"/>
      <x:c r="AG923" s="87"/>
      <x:c r="AH923" s="87"/>
      <x:c r="AI923" s="30"/>
      <x:c r="AJ923" s="87" t="str">
        <x:v>master</x:v>
      </x:c>
      <x:c r="AK923" s="87" t="str">
        <x:v>master-v0.81</x:v>
      </x:c>
      <x:c r="AL923" s="87" t="str">
        <x:v>statgrad_master_base_v0_81_final(2).xlsx</x:v>
      </x:c>
      <x:c r="AM923" s="87" t="str">
        <x:v>INF_Mar_V2</x:v>
      </x:c>
      <x:c r="AN923" s="87" t="n">
        <x:v>17</x:v>
      </x:c>
    </x:row>
    <x:row r="924">
      <x:c r="A924" s="87" t="n">
        <x:v>923</x:v>
      </x:c>
      <x:c r="B924" s="87" t="str">
        <x:v>MAR-INF-V2-017</x:v>
      </x:c>
      <x:c r="C924" s="87" t="str">
        <x:v>СтатГрад</x:v>
      </x:c>
      <x:c r="D924" s="87" t="str">
        <x:v>Март 2026</x:v>
      </x:c>
      <x:c r="E924" s="87"/>
      <x:c r="F924" s="87"/>
      <x:c r="G924" s="87" t="str">
        <x:v>Информатика</x:v>
      </x:c>
      <x:c r="H924" s="87" t="n">
        <x:v>11</x:v>
      </x:c>
      <x:c r="I924" s="87" t="str">
        <x:v>ТР №4</x:v>
      </x:c>
      <x:c r="J924" s="87" t="str">
        <x:v>ИН2510402</x:v>
      </x:c>
      <x:c r="K924" s="87" t="n">
        <x:v>17</x:v>
      </x:c>
      <x:c r="L924" s="87" t="str">
        <x:v>Последовательность, приложенный файл</x:v>
      </x:c>
      <x:c r="M924" s="30" t="str">
        <x:v>Найти тройки с не более чем одним трёхзначным числом и порогом по элементу, оканчивающемуся на 77.</x:v>
      </x:c>
      <x:c r="N924" s="30" t="str">
        <x:v>2427; 158</x:v>
      </x:c>
      <x:c r="O924" s="30" t="str">
        <x:v>Минимальный положительный элемент равен 2, порог суммы — 154. Найдено 2427 троек, содержащих не более одного трёхзначного числа; минимальная сумма — 158.</x:v>
      </x:c>
      <x:c r="P924" s="30" t="str">
        <x:v>Все последовательные тройки файла 17.txt проверены программно.</x:v>
      </x:c>
      <x:c r="Q924" s="30"/>
      <x:c r="R924" s="30" t="str">
        <x:v>17.txt + приложенный ключ</x:v>
      </x:c>
      <x:c r="S924" s="30"/>
      <x:c r="T924" s="30"/>
      <x:c r="U924" s="30" t="str">
        <x:v>Полное совпадение с ключом архива.</x:v>
      </x:c>
      <x:c r="V924" s="87" t="str">
        <x:v>VERIFIED</x:v>
      </x:c>
      <x:c r="W924" s="87" t="str">
        <x:v>PDF + 17.txt</x:v>
      </x:c>
      <x:c r="X924" s="87"/>
      <x:c r="Y924" s="87"/>
      <x:c r="Z924" s="87"/>
      <x:c r="AA924" s="87"/>
      <x:c r="AB924" s="87"/>
      <x:c r="AC924" s="87"/>
      <x:c r="AD924" s="87"/>
      <x:c r="AE924" s="87"/>
      <x:c r="AF924" s="87"/>
      <x:c r="AG924" s="87"/>
      <x:c r="AH924" s="87"/>
      <x:c r="AI924" s="30"/>
      <x:c r="AJ924" s="87" t="str">
        <x:v>master</x:v>
      </x:c>
      <x:c r="AK924" s="87" t="str">
        <x:v>master-v0.81</x:v>
      </x:c>
      <x:c r="AL924" s="87" t="str">
        <x:v>statgrad_master_base_v0_81_final(2).xlsx</x:v>
      </x:c>
      <x:c r="AM924" s="87" t="str">
        <x:v>INF_Mar_V2</x:v>
      </x:c>
      <x:c r="AN924" s="87" t="n">
        <x:v>18</x:v>
      </x:c>
    </x:row>
    <x:row r="925">
      <x:c r="A925" s="87" t="n">
        <x:v>924</x:v>
      </x:c>
      <x:c r="B925" s="87" t="str">
        <x:v>MAR-INF-V2-018</x:v>
      </x:c>
      <x:c r="C925" s="87" t="str">
        <x:v>СтатГрад</x:v>
      </x:c>
      <x:c r="D925" s="87" t="str">
        <x:v>Март 2026</x:v>
      </x:c>
      <x:c r="E925" s="87"/>
      <x:c r="F925" s="87"/>
      <x:c r="G925" s="87" t="str">
        <x:v>Информатика</x:v>
      </x:c>
      <x:c r="H925" s="87" t="n">
        <x:v>11</x:v>
      </x:c>
      <x:c r="I925" s="87" t="str">
        <x:v>ТР №4</x:v>
      </x:c>
      <x:c r="J925" s="87" t="str">
        <x:v>ИН2510402</x:v>
      </x:c>
      <x:c r="K925" s="87" t="n">
        <x:v>18</x:v>
      </x:c>
      <x:c r="L925" s="87" t="str">
        <x:v>Робот, электронная таблица</x:v>
      </x:c>
      <x:c r="M925" s="30" t="str">
        <x:v>Робот движется влево/вниз; требуется обработать поле с монетами и стенами.</x:v>
      </x:c>
      <x:c r="N925" s="30" t="str">
        <x:v>1139; 3664</x:v>
      </x:c>
      <x:c r="O925" s="30" t="str">
        <x:v>Из правой верхней клетки по движениям влево и вниз минимальная конечная сумма равна 1139, максимальная — 3664.</x:v>
      </x:c>
      <x:c r="P925" s="30" t="str">
        <x:v>Независимый DP выполнен по полю 18.ods с учётом внутренних стен и недостижимых областей.</x:v>
      </x:c>
      <x:c r="Q925" s="30"/>
      <x:c r="R925" s="30" t="str">
        <x:v>18.ods + приложенный ключ</x:v>
      </x:c>
      <x:c r="S925" s="30"/>
      <x:c r="T925" s="30"/>
      <x:c r="U925" s="30" t="str">
        <x:v>Полное совпадение с ключом архива.</x:v>
      </x:c>
      <x:c r="V925" s="87" t="str">
        <x:v>VERIFIED</x:v>
      </x:c>
      <x:c r="W925" s="87" t="str">
        <x:v>PDF + 18.ods</x:v>
      </x:c>
      <x:c r="X925" s="87"/>
      <x:c r="Y925" s="87"/>
      <x:c r="Z925" s="87"/>
      <x:c r="AA925" s="87"/>
      <x:c r="AB925" s="87"/>
      <x:c r="AC925" s="87"/>
      <x:c r="AD925" s="87"/>
      <x:c r="AE925" s="87"/>
      <x:c r="AF925" s="87"/>
      <x:c r="AG925" s="87"/>
      <x:c r="AH925" s="87"/>
      <x:c r="AI925" s="30"/>
      <x:c r="AJ925" s="87" t="str">
        <x:v>master</x:v>
      </x:c>
      <x:c r="AK925" s="87" t="str">
        <x:v>master-v0.81</x:v>
      </x:c>
      <x:c r="AL925" s="87" t="str">
        <x:v>statgrad_master_base_v0_81_final(2).xlsx</x:v>
      </x:c>
      <x:c r="AM925" s="87" t="str">
        <x:v>INF_Mar_V2</x:v>
      </x:c>
      <x:c r="AN925" s="87" t="n">
        <x:v>19</x:v>
      </x:c>
    </x:row>
    <x:row r="926">
      <x:c r="A926" s="87" t="n">
        <x:v>925</x:v>
      </x:c>
      <x:c r="B926" s="87" t="str">
        <x:v>MAR-INF-V2-019</x:v>
      </x:c>
      <x:c r="C926" s="87" t="str">
        <x:v>СтатГрад</x:v>
      </x:c>
      <x:c r="D926" s="87" t="str">
        <x:v>Март 2026</x:v>
      </x:c>
      <x:c r="E926" s="87"/>
      <x:c r="F926" s="87"/>
      <x:c r="G926" s="87" t="str">
        <x:v>Информатика</x:v>
      </x:c>
      <x:c r="H926" s="87" t="n">
        <x:v>11</x:v>
      </x:c>
      <x:c r="I926" s="87" t="str">
        <x:v>ТР №4</x:v>
      </x:c>
      <x:c r="J926" s="87" t="str">
        <x:v>ИН2510402</x:v>
      </x:c>
      <x:c r="K926" s="87" t="n">
        <x:v>19</x:v>
      </x:c>
      <x:c r="L926" s="87" t="str">
        <x:v>Теория игр</x:v>
      </x:c>
      <x:c r="M926" s="30" t="str">
        <x:v>Начальная позиция (5,S), ходы +5/+19, произведение ≥450. Посчитать S для возможной победы Вани первым ходом.</x:v>
      </x:c>
      <x:c r="N926" s="30" t="str">
        <x:v>84</x:v>
      </x:c>
      <x:c r="O926" s="30" t="str">
        <x:v>Для S=1…84 существует неудачный ход Пети и немедленный ответ Вани; при S=85…89 любой ход Пети завершает игру.</x:v>
      </x:c>
      <x:c r="P926" s="30" t="str">
        <x:v>Перебраны все позиции и ходы.</x:v>
      </x:c>
      <x:c r="Q926" s="30"/>
      <x:c r="R926" s="30" t="str">
        <x:v>Независимое решение</x:v>
      </x:c>
      <x:c r="S926" s="30"/>
      <x:c r="T926" s="30"/>
      <x:c r="U926" s="30" t="str">
        <x:v>Расхождений нет.</x:v>
      </x:c>
      <x:c r="V926" s="87" t="str">
        <x:v>VERIFIED</x:v>
      </x:c>
      <x:c r="W926" s="87" t="str">
        <x:v>PDF</x:v>
      </x:c>
      <x:c r="X926" s="87"/>
      <x:c r="Y926" s="87"/>
      <x:c r="Z926" s="87"/>
      <x:c r="AA926" s="87"/>
      <x:c r="AB926" s="87"/>
      <x:c r="AC926" s="87"/>
      <x:c r="AD926" s="87"/>
      <x:c r="AE926" s="87"/>
      <x:c r="AF926" s="87"/>
      <x:c r="AG926" s="87"/>
      <x:c r="AH926" s="87"/>
      <x:c r="AI926" s="30"/>
      <x:c r="AJ926" s="87" t="str">
        <x:v>master</x:v>
      </x:c>
      <x:c r="AK926" s="87" t="str">
        <x:v>master-v0.81</x:v>
      </x:c>
      <x:c r="AL926" s="87" t="str">
        <x:v>statgrad_master_base_v0_81_final(2).xlsx</x:v>
      </x:c>
      <x:c r="AM926" s="87" t="str">
        <x:v>INF_Mar_V2</x:v>
      </x:c>
      <x:c r="AN926" s="87" t="n">
        <x:v>20</x:v>
      </x:c>
    </x:row>
    <x:row r="927">
      <x:c r="A927" s="87" t="n">
        <x:v>926</x:v>
      </x:c>
      <x:c r="B927" s="87" t="str">
        <x:v>MAR-INF-V2-020</x:v>
      </x:c>
      <x:c r="C927" s="87" t="str">
        <x:v>СтатГрад</x:v>
      </x:c>
      <x:c r="D927" s="87" t="str">
        <x:v>Март 2026</x:v>
      </x:c>
      <x:c r="E927" s="87"/>
      <x:c r="F927" s="87"/>
      <x:c r="G927" s="87" t="str">
        <x:v>Информатика</x:v>
      </x:c>
      <x:c r="H927" s="87" t="n">
        <x:v>11</x:v>
      </x:c>
      <x:c r="I927" s="87" t="str">
        <x:v>ТР №4</x:v>
      </x:c>
      <x:c r="J927" s="87" t="str">
        <x:v>ИН2510402</x:v>
      </x:c>
      <x:c r="K927" s="87" t="n">
        <x:v>20</x:v>
      </x:c>
      <x:c r="L927" s="87" t="str">
        <x:v>Теория игр</x:v>
      </x:c>
      <x:c r="M927" s="30" t="str">
        <x:v>Два наименьших S, где Петя гарантирует победу вторым ходом, но не первым.</x:v>
      </x:c>
      <x:c r="N927" s="30" t="str">
        <x:v>11; 12</x:v>
      </x:c>
      <x:c r="O927" s="30" t="str">
        <x:v>Класс W2 содержит S=11…15; два наименьших — 11 и 12.</x:v>
      </x:c>
      <x:c r="P927" s="30" t="str">
        <x:v>Динамический анализ игрового дерева.</x:v>
      </x:c>
      <x:c r="Q927" s="30"/>
      <x:c r="R927" s="30" t="str">
        <x:v>Независимое решение</x:v>
      </x:c>
      <x:c r="S927" s="30"/>
      <x:c r="T927" s="30"/>
      <x:c r="U927" s="30" t="str">
        <x:v>Расхождений нет.</x:v>
      </x:c>
      <x:c r="V927" s="87" t="str">
        <x:v>VERIFIED</x:v>
      </x:c>
      <x:c r="W927" s="87" t="str">
        <x:v>PDF</x:v>
      </x:c>
      <x:c r="X927" s="87"/>
      <x:c r="Y927" s="87"/>
      <x:c r="Z927" s="87"/>
      <x:c r="AA927" s="87"/>
      <x:c r="AB927" s="87"/>
      <x:c r="AC927" s="87"/>
      <x:c r="AD927" s="87"/>
      <x:c r="AE927" s="87"/>
      <x:c r="AF927" s="87"/>
      <x:c r="AG927" s="87"/>
      <x:c r="AH927" s="87"/>
      <x:c r="AI927" s="30"/>
      <x:c r="AJ927" s="87" t="str">
        <x:v>master</x:v>
      </x:c>
      <x:c r="AK927" s="87" t="str">
        <x:v>master-v0.81</x:v>
      </x:c>
      <x:c r="AL927" s="87" t="str">
        <x:v>statgrad_master_base_v0_81_final(2).xlsx</x:v>
      </x:c>
      <x:c r="AM927" s="87" t="str">
        <x:v>INF_Mar_V2</x:v>
      </x:c>
      <x:c r="AN927" s="87" t="n">
        <x:v>21</x:v>
      </x:c>
    </x:row>
    <x:row r="928">
      <x:c r="A928" s="87" t="n">
        <x:v>927</x:v>
      </x:c>
      <x:c r="B928" s="87" t="str">
        <x:v>MAR-INF-V2-021</x:v>
      </x:c>
      <x:c r="C928" s="87" t="str">
        <x:v>СтатГрад</x:v>
      </x:c>
      <x:c r="D928" s="87" t="str">
        <x:v>Март 2026</x:v>
      </x:c>
      <x:c r="E928" s="87"/>
      <x:c r="F928" s="87"/>
      <x:c r="G928" s="87" t="str">
        <x:v>Информатика</x:v>
      </x:c>
      <x:c r="H928" s="87" t="n">
        <x:v>11</x:v>
      </x:c>
      <x:c r="I928" s="87" t="str">
        <x:v>ТР №4</x:v>
      </x:c>
      <x:c r="J928" s="87" t="str">
        <x:v>ИН2510402</x:v>
      </x:c>
      <x:c r="K928" s="87" t="n">
        <x:v>21</x:v>
      </x:c>
      <x:c r="L928" s="87" t="str">
        <x:v>Теория игр</x:v>
      </x:c>
      <x:c r="M928" s="30" t="str">
        <x:v>Максимальное S, где Ваня гарантирует победу первым или вторым ходом, но не гарантирует первым.</x:v>
      </x:c>
      <x:c r="N928" s="30" t="str">
        <x:v>10</x:v>
      </x:c>
      <x:c r="O928" s="30" t="str">
        <x:v>Позиции класса P2: S=6…10; максимум — 10.</x:v>
      </x:c>
      <x:c r="P928" s="30" t="str">
        <x:v>Полное дерево проверено для S=1…89.</x:v>
      </x:c>
      <x:c r="Q928" s="30"/>
      <x:c r="R928" s="30" t="str">
        <x:v>Независимое решение</x:v>
      </x:c>
      <x:c r="S928" s="30"/>
      <x:c r="T928" s="30"/>
      <x:c r="U928" s="30" t="str">
        <x:v>Расхождений нет.</x:v>
      </x:c>
      <x:c r="V928" s="87" t="str">
        <x:v>VERIFIED</x:v>
      </x:c>
      <x:c r="W928" s="87" t="str">
        <x:v>PDF</x:v>
      </x:c>
      <x:c r="X928" s="87"/>
      <x:c r="Y928" s="87"/>
      <x:c r="Z928" s="87"/>
      <x:c r="AA928" s="87"/>
      <x:c r="AB928" s="87"/>
      <x:c r="AC928" s="87"/>
      <x:c r="AD928" s="87"/>
      <x:c r="AE928" s="87"/>
      <x:c r="AF928" s="87"/>
      <x:c r="AG928" s="87"/>
      <x:c r="AH928" s="87"/>
      <x:c r="AI928" s="30"/>
      <x:c r="AJ928" s="87" t="str">
        <x:v>master</x:v>
      </x:c>
      <x:c r="AK928" s="87" t="str">
        <x:v>master-v0.81</x:v>
      </x:c>
      <x:c r="AL928" s="87" t="str">
        <x:v>statgrad_master_base_v0_81_final(2).xlsx</x:v>
      </x:c>
      <x:c r="AM928" s="87" t="str">
        <x:v>INF_Mar_V2</x:v>
      </x:c>
      <x:c r="AN928" s="87" t="n">
        <x:v>22</x:v>
      </x:c>
    </x:row>
    <x:row r="929">
      <x:c r="A929" s="87" t="n">
        <x:v>928</x:v>
      </x:c>
      <x:c r="B929" s="87" t="str">
        <x:v>MAR-INF-V2-022</x:v>
      </x:c>
      <x:c r="C929" s="87" t="str">
        <x:v>СтатГрад</x:v>
      </x:c>
      <x:c r="D929" s="87" t="str">
        <x:v>Март 2026</x:v>
      </x:c>
      <x:c r="E929" s="87"/>
      <x:c r="F929" s="87"/>
      <x:c r="G929" s="87" t="str">
        <x:v>Информатика</x:v>
      </x:c>
      <x:c r="H929" s="87" t="n">
        <x:v>11</x:v>
      </x:c>
      <x:c r="I929" s="87" t="str">
        <x:v>ТР №4</x:v>
      </x:c>
      <x:c r="J929" s="87" t="str">
        <x:v>ИН2510402</x:v>
      </x:c>
      <x:c r="K929" s="87" t="n">
        <x:v>22</x:v>
      </x:c>
      <x:c r="L929" s="87" t="str">
        <x:v>Вычислительные процессы, приложенный файл</x:v>
      </x:c>
      <x:c r="M929" s="30" t="str">
        <x:v>Посчитать процессы, начинающиеся и заканчивающиеся в промежутке [12;28] мс.</x:v>
      </x:c>
      <x:c r="N929" s="30" t="str">
        <x:v>8</x:v>
      </x:c>
      <x:c r="O929" s="30" t="str">
        <x:v>После вычисления ранних времён начала и окончания в интервале [12;28] полностью размещаются 8 процессов.</x:v>
      </x:c>
      <x:c r="P929" s="30" t="str">
        <x:v>Длительности и зависимости прочитаны из 22.ods; расчёт выполнен в топологическом порядке.</x:v>
      </x:c>
      <x:c r="Q929" s="30"/>
      <x:c r="R929" s="30" t="str">
        <x:v>22.ods + приложенный ключ</x:v>
      </x:c>
      <x:c r="S929" s="30"/>
      <x:c r="T929" s="30"/>
      <x:c r="U929" s="30" t="str">
        <x:v>Полное совпадение с ключом архива.</x:v>
      </x:c>
      <x:c r="V929" s="87" t="str">
        <x:v>VERIFIED</x:v>
      </x:c>
      <x:c r="W929" s="87" t="str">
        <x:v>PDF + 22.ods</x:v>
      </x:c>
      <x:c r="X929" s="87"/>
      <x:c r="Y929" s="87"/>
      <x:c r="Z929" s="87"/>
      <x:c r="AA929" s="87"/>
      <x:c r="AB929" s="87"/>
      <x:c r="AC929" s="87"/>
      <x:c r="AD929" s="87"/>
      <x:c r="AE929" s="87"/>
      <x:c r="AF929" s="87"/>
      <x:c r="AG929" s="87"/>
      <x:c r="AH929" s="87"/>
      <x:c r="AI929" s="30"/>
      <x:c r="AJ929" s="87" t="str">
        <x:v>master</x:v>
      </x:c>
      <x:c r="AK929" s="87" t="str">
        <x:v>master-v0.81</x:v>
      </x:c>
      <x:c r="AL929" s="87" t="str">
        <x:v>statgrad_master_base_v0_81_final(2).xlsx</x:v>
      </x:c>
      <x:c r="AM929" s="87" t="str">
        <x:v>INF_Mar_V2</x:v>
      </x:c>
      <x:c r="AN929" s="87" t="n">
        <x:v>23</x:v>
      </x:c>
    </x:row>
    <x:row r="930">
      <x:c r="A930" s="87" t="n">
        <x:v>929</x:v>
      </x:c>
      <x:c r="B930" s="87" t="str">
        <x:v>MAR-INF-V2-023</x:v>
      </x:c>
      <x:c r="C930" s="87" t="str">
        <x:v>СтатГрад</x:v>
      </x:c>
      <x:c r="D930" s="87" t="str">
        <x:v>Март 2026</x:v>
      </x:c>
      <x:c r="E930" s="87"/>
      <x:c r="F930" s="87"/>
      <x:c r="G930" s="87" t="str">
        <x:v>Информатика</x:v>
      </x:c>
      <x:c r="H930" s="87" t="n">
        <x:v>11</x:v>
      </x:c>
      <x:c r="I930" s="87" t="str">
        <x:v>ТР №4</x:v>
      </x:c>
      <x:c r="J930" s="87" t="str">
        <x:v>ИН2510402</x:v>
      </x:c>
      <x:c r="K930" s="87" t="n">
        <x:v>23</x:v>
      </x:c>
      <x:c r="L930" s="87" t="str">
        <x:v>Исполнитель</x:v>
      </x:c>
      <x:c r="M930" s="30" t="str">
        <x:v>Из 43 получить 13 командами «−3» и допустимой перестановкой цифр; посчитать программы.</x:v>
      </x:c>
      <x:c r="N930" s="30" t="str">
        <x:v>4</x:v>
      </x:c>
      <x:c r="O930" s="30" t="str">
        <x:v>Рекуррентный подсчёт по графу состояний даёт 4 программы.</x:v>
      </x:c>
      <x:c r="P930" s="30" t="str">
        <x:v>Выполнена мемоизация всех достижимых чисел.</x:v>
      </x:c>
      <x:c r="Q930" s="30"/>
      <x:c r="R930" s="30" t="str">
        <x:v>Независимое решение</x:v>
      </x:c>
      <x:c r="S930" s="30"/>
      <x:c r="T930" s="30"/>
      <x:c r="U930" s="30" t="str">
        <x:v>Расхождений нет.</x:v>
      </x:c>
      <x:c r="V930" s="87" t="str">
        <x:v>VERIFIED</x:v>
      </x:c>
      <x:c r="W930" s="87" t="str">
        <x:v>PDF</x:v>
      </x:c>
      <x:c r="X930" s="87"/>
      <x:c r="Y930" s="87"/>
      <x:c r="Z930" s="87"/>
      <x:c r="AA930" s="87"/>
      <x:c r="AB930" s="87"/>
      <x:c r="AC930" s="87"/>
      <x:c r="AD930" s="87"/>
      <x:c r="AE930" s="87"/>
      <x:c r="AF930" s="87"/>
      <x:c r="AG930" s="87"/>
      <x:c r="AH930" s="87"/>
      <x:c r="AI930" s="30"/>
      <x:c r="AJ930" s="87" t="str">
        <x:v>master</x:v>
      </x:c>
      <x:c r="AK930" s="87" t="str">
        <x:v>master-v0.81</x:v>
      </x:c>
      <x:c r="AL930" s="87" t="str">
        <x:v>statgrad_master_base_v0_81_final(2).xlsx</x:v>
      </x:c>
      <x:c r="AM930" s="87" t="str">
        <x:v>INF_Mar_V2</x:v>
      </x:c>
      <x:c r="AN930" s="87" t="n">
        <x:v>24</x:v>
      </x:c>
    </x:row>
    <x:row r="931">
      <x:c r="A931" s="87" t="n">
        <x:v>930</x:v>
      </x:c>
      <x:c r="B931" s="87" t="str">
        <x:v>MAR-INF-V2-024</x:v>
      </x:c>
      <x:c r="C931" s="87" t="str">
        <x:v>СтатГрад</x:v>
      </x:c>
      <x:c r="D931" s="87" t="str">
        <x:v>Март 2026</x:v>
      </x:c>
      <x:c r="E931" s="87"/>
      <x:c r="F931" s="87"/>
      <x:c r="G931" s="87" t="str">
        <x:v>Информатика</x:v>
      </x:c>
      <x:c r="H931" s="87" t="n">
        <x:v>11</x:v>
      </x:c>
      <x:c r="I931" s="87" t="str">
        <x:v>ТР №4</x:v>
      </x:c>
      <x:c r="J931" s="87" t="str">
        <x:v>ИН2510402</x:v>
      </x:c>
      <x:c r="K931" s="87" t="n">
        <x:v>24</x:v>
      </x:c>
      <x:c r="L931" s="87" t="str">
        <x:v>Строка, приложенный файл</x:v>
      </x:c>
      <x:c r="M931" s="30" t="str">
        <x:v>Найти максимальный непрерывный фрагмент без букв, содержащий все десятичные цифры.</x:v>
      </x:c>
      <x:c r="N931" s="30" t="str">
        <x:v>119</x:v>
      </x:c>
      <x:c r="O931" s="30" t="str">
        <x:v>Файл разбит буквами на непрерывные фрагменты цифр. Наибольший фрагмент, содержащий все десять цифр, имеет длину 119.</x:v>
      </x:c>
      <x:c r="P931" s="30" t="str">
        <x:v>Полная строка 24.txt проверена программно.</x:v>
      </x:c>
      <x:c r="Q931" s="30"/>
      <x:c r="R931" s="30" t="str">
        <x:v>24.txt + приложенный ключ</x:v>
      </x:c>
      <x:c r="S931" s="30"/>
      <x:c r="T931" s="30"/>
      <x:c r="U931" s="30" t="str">
        <x:v>Полное совпадение с ключом архива.</x:v>
      </x:c>
      <x:c r="V931" s="87" t="str">
        <x:v>VERIFIED</x:v>
      </x:c>
      <x:c r="W931" s="87" t="str">
        <x:v>PDF + 24.txt</x:v>
      </x:c>
      <x:c r="X931" s="87"/>
      <x:c r="Y931" s="87"/>
      <x:c r="Z931" s="87"/>
      <x:c r="AA931" s="87"/>
      <x:c r="AB931" s="87"/>
      <x:c r="AC931" s="87"/>
      <x:c r="AD931" s="87"/>
      <x:c r="AE931" s="87"/>
      <x:c r="AF931" s="87"/>
      <x:c r="AG931" s="87"/>
      <x:c r="AH931" s="87"/>
      <x:c r="AI931" s="30"/>
      <x:c r="AJ931" s="87" t="str">
        <x:v>master</x:v>
      </x:c>
      <x:c r="AK931" s="87" t="str">
        <x:v>master-v0.81</x:v>
      </x:c>
      <x:c r="AL931" s="87" t="str">
        <x:v>statgrad_master_base_v0_81_final(2).xlsx</x:v>
      </x:c>
      <x:c r="AM931" s="87" t="str">
        <x:v>INF_Mar_V2</x:v>
      </x:c>
      <x:c r="AN931" s="87" t="n">
        <x:v>25</x:v>
      </x:c>
    </x:row>
    <x:row r="932">
      <x:c r="A932" s="87" t="n">
        <x:v>931</x:v>
      </x:c>
      <x:c r="B932" s="87" t="str">
        <x:v>MAR-INF-V2-025</x:v>
      </x:c>
      <x:c r="C932" s="87" t="str">
        <x:v>СтатГрад</x:v>
      </x:c>
      <x:c r="D932" s="87" t="str">
        <x:v>Март 2026</x:v>
      </x:c>
      <x:c r="E932" s="87"/>
      <x:c r="F932" s="87"/>
      <x:c r="G932" s="87" t="str">
        <x:v>Информатика</x:v>
      </x:c>
      <x:c r="H932" s="87" t="n">
        <x:v>11</x:v>
      </x:c>
      <x:c r="I932" s="87" t="str">
        <x:v>ТР №4</x:v>
      </x:c>
      <x:c r="J932" s="87" t="str">
        <x:v>ИН2510402</x:v>
      </x:c>
      <x:c r="K932" s="87" t="n">
        <x:v>25</x:v>
      </x:c>
      <x:c r="L932" s="87" t="str">
        <x:v>Теория чисел</x:v>
      </x:c>
      <x:c r="M932" s="30" t="str">
        <x:v>Первые пять чисел &gt;5 000 000 с ровно тремя простыми множителями, каждый содержит цифру 3 или 7.</x:v>
      </x:c>
      <x:c r="N932" s="30" t="str">
        <x:v>5000001; 5000003; 5000007; 5000013; 5000019</x:v>
      </x:c>
      <x:c r="O932" s="30" t="str">
        <x:v>Факторизации: 3·47·35461; 83·107·563; 3·179·9311; 3²·555557; 3·887·1879.</x:v>
      </x:c>
      <x:c r="P932" s="30" t="str">
        <x:v>Последовательный перебор и полная факторизация.</x:v>
      </x:c>
      <x:c r="Q932" s="30"/>
      <x:c r="R932" s="30" t="str">
        <x:v>Независимое решение</x:v>
      </x:c>
      <x:c r="S932" s="30"/>
      <x:c r="T932" s="30"/>
      <x:c r="U932" s="30" t="str">
        <x:v>Расхождений нет.</x:v>
      </x:c>
      <x:c r="V932" s="87" t="str">
        <x:v>VERIFIED</x:v>
      </x:c>
      <x:c r="W932" s="87" t="str">
        <x:v>PDF</x:v>
      </x:c>
      <x:c r="X932" s="87"/>
      <x:c r="Y932" s="87"/>
      <x:c r="Z932" s="87"/>
      <x:c r="AA932" s="87"/>
      <x:c r="AB932" s="87"/>
      <x:c r="AC932" s="87"/>
      <x:c r="AD932" s="87"/>
      <x:c r="AE932" s="87"/>
      <x:c r="AF932" s="87"/>
      <x:c r="AG932" s="87"/>
      <x:c r="AH932" s="87"/>
      <x:c r="AI932" s="30"/>
      <x:c r="AJ932" s="87" t="str">
        <x:v>master</x:v>
      </x:c>
      <x:c r="AK932" s="87" t="str">
        <x:v>master-v0.81</x:v>
      </x:c>
      <x:c r="AL932" s="87" t="str">
        <x:v>statgrad_master_base_v0_81_final(2).xlsx</x:v>
      </x:c>
      <x:c r="AM932" s="87" t="str">
        <x:v>INF_Mar_V2</x:v>
      </x:c>
      <x:c r="AN932" s="87" t="n">
        <x:v>26</x:v>
      </x:c>
    </x:row>
    <x:row r="933">
      <x:c r="A933" s="87" t="n">
        <x:v>932</x:v>
      </x:c>
      <x:c r="B933" s="87" t="str">
        <x:v>MAR-INF-V2-026</x:v>
      </x:c>
      <x:c r="C933" s="87" t="str">
        <x:v>СтатГрад</x:v>
      </x:c>
      <x:c r="D933" s="87" t="str">
        <x:v>Март 2026</x:v>
      </x:c>
      <x:c r="E933" s="87"/>
      <x:c r="F933" s="87"/>
      <x:c r="G933" s="87" t="str">
        <x:v>Информатика</x:v>
      </x:c>
      <x:c r="H933" s="87" t="n">
        <x:v>11</x:v>
      </x:c>
      <x:c r="I933" s="87" t="str">
        <x:v>ТР №4</x:v>
      </x:c>
      <x:c r="J933" s="87" t="str">
        <x:v>ИН2510402</x:v>
      </x:c>
      <x:c r="K933" s="87" t="n">
        <x:v>26</x:v>
      </x:c>
      <x:c r="L933" s="87" t="str">
        <x:v>Динамическое программирование, файл</x:v>
      </x:c>
      <x:c r="M933" s="30" t="str">
        <x:v>Маршрут по высотам: обычный спад ≤38, до 12 страховочных переходов со спадом ≤70.</x:v>
      </x:c>
      <x:c r="N933" s="30" t="str">
        <x:v>1519; 59477</x:v>
      </x:c>
      <x:c r="O933" s="30" t="str">
        <x:v>Максимальный маршрут включает 1519 лагерей; максимальная высота конечного лагеря при такой длине — 59477 м.</x:v>
      </x:c>
      <x:c r="P933" s="30" t="str">
        <x:v>Выполнен DP по высоте и числу страховочных переходов: обычный спад ≤38, до 12 специальных спадов ≤70.</x:v>
      </x:c>
      <x:c r="Q933" s="30"/>
      <x:c r="R933" s="30" t="str">
        <x:v>26.txt + приложенный ключ</x:v>
      </x:c>
      <x:c r="S933" s="30"/>
      <x:c r="T933" s="30"/>
      <x:c r="U933" s="30" t="str">
        <x:v>Полное совпадение с ключом архива.</x:v>
      </x:c>
      <x:c r="V933" s="87" t="str">
        <x:v>VERIFIED</x:v>
      </x:c>
      <x:c r="W933" s="87" t="str">
        <x:v>PDF + 26.txt</x:v>
      </x:c>
      <x:c r="X933" s="87"/>
      <x:c r="Y933" s="87"/>
      <x:c r="Z933" s="87"/>
      <x:c r="AA933" s="87"/>
      <x:c r="AB933" s="87"/>
      <x:c r="AC933" s="87"/>
      <x:c r="AD933" s="87"/>
      <x:c r="AE933" s="87"/>
      <x:c r="AF933" s="87"/>
      <x:c r="AG933" s="87"/>
      <x:c r="AH933" s="87"/>
      <x:c r="AI933" s="30"/>
      <x:c r="AJ933" s="87" t="str">
        <x:v>master</x:v>
      </x:c>
      <x:c r="AK933" s="87" t="str">
        <x:v>master-v0.81</x:v>
      </x:c>
      <x:c r="AL933" s="87" t="str">
        <x:v>statgrad_master_base_v0_81_final(2).xlsx</x:v>
      </x:c>
      <x:c r="AM933" s="87" t="str">
        <x:v>INF_Mar_V2</x:v>
      </x:c>
      <x:c r="AN933" s="87" t="n">
        <x:v>27</x:v>
      </x:c>
    </x:row>
    <x:row r="934">
      <x:c r="A934" s="87" t="n">
        <x:v>933</x:v>
      </x:c>
      <x:c r="B934" s="87" t="str">
        <x:v>MAR-INF-V2-027</x:v>
      </x:c>
      <x:c r="C934" s="87" t="str">
        <x:v>СтатГрад</x:v>
      </x:c>
      <x:c r="D934" s="87" t="str">
        <x:v>Март 2026</x:v>
      </x:c>
      <x:c r="E934" s="87"/>
      <x:c r="F934" s="87"/>
      <x:c r="G934" s="87" t="str">
        <x:v>Информатика</x:v>
      </x:c>
      <x:c r="H934" s="87" t="n">
        <x:v>11</x:v>
      </x:c>
      <x:c r="I934" s="87" t="str">
        <x:v>ТР №4</x:v>
      </x:c>
      <x:c r="J934" s="87" t="str">
        <x:v>ИН2510402</x:v>
      </x:c>
      <x:c r="K934" s="87" t="n">
        <x:v>27</x:v>
      </x:c>
      <x:c r="L934" s="87" t="str">
        <x:v>Кластеризация, файл</x:v>
      </x:c>
      <x:c r="M934" s="30" t="str">
        <x:v>Разбить точки на кластеры и вычислить межкластерные диаметры.</x:v>
      </x:c>
      <x:c r="N934" s="30" t="str">
        <x:v>6019; 14475; 7140; 2159</x:v>
      </x:c>
      <x:c r="O934" s="30" t="str">
        <x:v>Файл A: сумма абсцисс дальней пары Pₓ≈−6,019710, модуль разности ординат Pᵧ≈14,475478. Файл B: Q₁≈71,408816; максимальная дистанция от точки диаметра до (2;2) Q₂≈21,594772.</x:v>
      </x:c>
      <x:c r="P934" s="30" t="str">
        <x:v>Кластеры выделены независимо; четыре аномалии исключены, межкластерные диаметры найдены по выпуклым оболочкам.</x:v>
      </x:c>
      <x:c r="Q934" s="30"/>
      <x:c r="R934" s="30" t="str">
        <x:v>27_A.txt, 27_B.txt + приложенный ключ</x:v>
      </x:c>
      <x:c r="S934" s="30"/>
      <x:c r="T934" s="30"/>
      <x:c r="U934" s="30" t="str">
        <x:v>Полное совпадение с ключом архива.</x:v>
      </x:c>
      <x:c r="V934" s="87" t="str">
        <x:v>VERIFIED</x:v>
      </x:c>
      <x:c r="W934" s="87" t="str">
        <x:v>PDF + 27_A.txt/27_B.txt</x:v>
      </x:c>
      <x:c r="X934" s="87"/>
      <x:c r="Y934" s="87"/>
      <x:c r="Z934" s="87"/>
      <x:c r="AA934" s="87"/>
      <x:c r="AB934" s="87"/>
      <x:c r="AC934" s="87"/>
      <x:c r="AD934" s="87"/>
      <x:c r="AE934" s="87"/>
      <x:c r="AF934" s="87"/>
      <x:c r="AG934" s="87"/>
      <x:c r="AH934" s="87"/>
      <x:c r="AI934" s="30"/>
      <x:c r="AJ934" s="87" t="str">
        <x:v>master</x:v>
      </x:c>
      <x:c r="AK934" s="87" t="str">
        <x:v>master-v0.81</x:v>
      </x:c>
      <x:c r="AL934" s="87" t="str">
        <x:v>statgrad_master_base_v0_81_final(2).xlsx</x:v>
      </x:c>
      <x:c r="AM934" s="87" t="str">
        <x:v>INF_Mar_V2</x:v>
      </x:c>
      <x:c r="AN934" s="87" t="n">
        <x:v>28</x:v>
      </x:c>
    </x:row>
    <x:row r="935">
      <x:c r="A935" s="87" t="n">
        <x:v>934</x:v>
      </x:c>
      <x:c r="B935" s="87" t="str">
        <x:v>MAR-CHEM-V1-001</x:v>
      </x:c>
      <x:c r="C935" s="87" t="str">
        <x:v>СтатГрад</x:v>
      </x:c>
      <x:c r="D935" s="87" t="str">
        <x:v>Март 2026</x:v>
      </x:c>
      <x:c r="E935" s="87"/>
      <x:c r="F935" s="87"/>
      <x:c r="G935" s="87" t="str">
        <x:v>Химия</x:v>
      </x:c>
      <x:c r="H935" s="87" t="n">
        <x:v>11</x:v>
      </x:c>
      <x:c r="I935" s="87" t="str">
        <x:v>ТР №4</x:v>
      </x:c>
      <x:c r="J935" s="87" t="str">
        <x:v>ХИ2510401</x:v>
      </x:c>
      <x:c r="K935" s="87" t="n">
        <x:v>1</x:v>
      </x:c>
      <x:c r="L935" s="87" t="str">
        <x:v>Строение атома и иона</x:v>
      </x:c>
      <x:c r="M935" s="30" t="str">
        <x:v>Выбрать элементы, образующие катион +1 без неспаренных электронов.</x:v>
      </x:c>
      <x:c r="N935" s="30" t="str">
        <x:v>14</x:v>
      </x:c>
      <x:c r="O935" s="30" t="str">
        <x:v>Rb⁺ и Cu⁺ имеют замкнутые электронные конфигурации.</x:v>
      </x:c>
      <x:c r="P935" s="30" t="str">
        <x:v>Проверены конфигурации Rb⁺ и Cu⁺.</x:v>
      </x:c>
      <x:c r="Q935" s="30"/>
      <x:c r="R935" s="30" t="str">
        <x:v>Публичный ответ: 14</x:v>
      </x:c>
      <x:c r="S935" s="30"/>
      <x:c r="T935" s="30"/>
      <x:c r="U935" s="30" t="str">
        <x:v>Расхождений не обнаружено.</x:v>
      </x:c>
      <x:c r="V935" s="87" t="str">
        <x:v>VERIFIED</x:v>
      </x:c>
      <x:c r="W935" s="87" t="str">
        <x:v>PDF варианта, внутренняя стр. 2</x:v>
      </x:c>
      <x:c r="X935" s="87"/>
      <x:c r="Y935" s="87"/>
      <x:c r="Z935" s="87"/>
      <x:c r="AA935" s="87"/>
      <x:c r="AB935" s="87"/>
      <x:c r="AC935" s="87"/>
      <x:c r="AD935" s="87"/>
      <x:c r="AE935" s="87"/>
      <x:c r="AF935" s="87"/>
      <x:c r="AG935" s="87"/>
      <x:c r="AH935" s="87"/>
      <x:c r="AI935" s="30"/>
      <x:c r="AJ935" s="87" t="str">
        <x:v>master</x:v>
      </x:c>
      <x:c r="AK935" s="87" t="str">
        <x:v>master-v0.81</x:v>
      </x:c>
      <x:c r="AL935" s="87" t="str">
        <x:v>statgrad_master_base_v0_81_final(2).xlsx</x:v>
      </x:c>
      <x:c r="AM935" s="87" t="str">
        <x:v>CHEM_Mar_V1</x:v>
      </x:c>
      <x:c r="AN935" s="87" t="n">
        <x:v>2</x:v>
      </x:c>
    </x:row>
    <x:row r="936">
      <x:c r="A936" s="87" t="n">
        <x:v>935</x:v>
      </x:c>
      <x:c r="B936" s="87" t="str">
        <x:v>MAR-CHEM-V1-002</x:v>
      </x:c>
      <x:c r="C936" s="87" t="str">
        <x:v>СтатГрад</x:v>
      </x:c>
      <x:c r="D936" s="87" t="str">
        <x:v>Март 2026</x:v>
      </x:c>
      <x:c r="E936" s="87"/>
      <x:c r="F936" s="87"/>
      <x:c r="G936" s="87" t="str">
        <x:v>Химия</x:v>
      </x:c>
      <x:c r="H936" s="87" t="n">
        <x:v>11</x:v>
      </x:c>
      <x:c r="I936" s="87" t="str">
        <x:v>ТР №4</x:v>
      </x:c>
      <x:c r="J936" s="87" t="str">
        <x:v>ХИ2510401</x:v>
      </x:c>
      <x:c r="K936" s="87" t="n">
        <x:v>2</x:v>
      </x:c>
      <x:c r="L936" s="87" t="str">
        <x:v>Периодические свойства</x:v>
      </x:c>
      <x:c r="M936" s="30" t="str">
        <x:v>Три металла расположить по убыванию основных свойств высшего гидроксида.</x:v>
      </x:c>
      <x:c r="N936" s="30" t="str">
        <x:v>143</x:v>
      </x:c>
      <x:c r="O936" s="30" t="str">
        <x:v>RbOH — сильное основание; Cu(OH)₂ проявляет основные свойства; высшее соединение Mn(VII) имеет кислотный характер.</x:v>
      </x:c>
      <x:c r="P936" s="30" t="str">
        <x:v>Сопоставлены высшие степени окисления и свойства соответствующих гидроксидов.</x:v>
      </x:c>
      <x:c r="Q936" s="30"/>
      <x:c r="R936" s="30" t="str">
        <x:v>Публичный ответ: 143</x:v>
      </x:c>
      <x:c r="S936" s="30"/>
      <x:c r="T936" s="30"/>
      <x:c r="U936" s="30" t="str">
        <x:v>Расхождений не обнаружено.</x:v>
      </x:c>
      <x:c r="V936" s="87" t="str">
        <x:v>VERIFIED</x:v>
      </x:c>
      <x:c r="W936" s="87" t="str">
        <x:v>PDF варианта, внутренняя стр. 2</x:v>
      </x:c>
      <x:c r="X936" s="87"/>
      <x:c r="Y936" s="87"/>
      <x:c r="Z936" s="87"/>
      <x:c r="AA936" s="87"/>
      <x:c r="AB936" s="87"/>
      <x:c r="AC936" s="87"/>
      <x:c r="AD936" s="87"/>
      <x:c r="AE936" s="87"/>
      <x:c r="AF936" s="87"/>
      <x:c r="AG936" s="87"/>
      <x:c r="AH936" s="87"/>
      <x:c r="AI936" s="30"/>
      <x:c r="AJ936" s="87" t="str">
        <x:v>master</x:v>
      </x:c>
      <x:c r="AK936" s="87" t="str">
        <x:v>master-v0.81</x:v>
      </x:c>
      <x:c r="AL936" s="87" t="str">
        <x:v>statgrad_master_base_v0_81_final(2).xlsx</x:v>
      </x:c>
      <x:c r="AM936" s="87" t="str">
        <x:v>CHEM_Mar_V1</x:v>
      </x:c>
      <x:c r="AN936" s="87" t="n">
        <x:v>3</x:v>
      </x:c>
    </x:row>
    <x:row r="937">
      <x:c r="A937" s="87" t="n">
        <x:v>936</x:v>
      </x:c>
      <x:c r="B937" s="87" t="str">
        <x:v>MAR-CHEM-V1-003</x:v>
      </x:c>
      <x:c r="C937" s="87" t="str">
        <x:v>СтатГрад</x:v>
      </x:c>
      <x:c r="D937" s="87" t="str">
        <x:v>Март 2026</x:v>
      </x:c>
      <x:c r="E937" s="87"/>
      <x:c r="F937" s="87"/>
      <x:c r="G937" s="87" t="str">
        <x:v>Химия</x:v>
      </x:c>
      <x:c r="H937" s="87" t="n">
        <x:v>11</x:v>
      </x:c>
      <x:c r="I937" s="87" t="str">
        <x:v>ТР №4</x:v>
      </x:c>
      <x:c r="J937" s="87" t="str">
        <x:v>ХИ2510401</x:v>
      </x:c>
      <x:c r="K937" s="87" t="n">
        <x:v>3</x:v>
      </x:c>
      <x:c r="L937" s="87" t="str">
        <x:v>Степени окисления</x:v>
      </x:c>
      <x:c r="M937" s="30" t="str">
        <x:v>Выбрать элементы, образующие анионы состава XO₄.</x:v>
      </x:c>
      <x:c r="N937" s="30" t="str">
        <x:v>35</x:v>
      </x:c>
      <x:c r="O937" s="30" t="str">
        <x:v>Mn образует MnO₄⁻, Cl — ClO₄⁻.</x:v>
      </x:c>
      <x:c r="P937" s="30" t="str">
        <x:v>Формулы анионов проверены независимо.</x:v>
      </x:c>
      <x:c r="Q937" s="30"/>
      <x:c r="R937" s="30" t="str">
        <x:v>Публичный ответ: 35</x:v>
      </x:c>
      <x:c r="S937" s="30"/>
      <x:c r="T937" s="30"/>
      <x:c r="U937" s="30" t="str">
        <x:v>Расхождений не обнаружено.</x:v>
      </x:c>
      <x:c r="V937" s="87" t="str">
        <x:v>VERIFIED</x:v>
      </x:c>
      <x:c r="W937" s="87" t="str">
        <x:v>PDF варианта, внутренняя стр. 2</x:v>
      </x:c>
      <x:c r="X937" s="87"/>
      <x:c r="Y937" s="87"/>
      <x:c r="Z937" s="87"/>
      <x:c r="AA937" s="87"/>
      <x:c r="AB937" s="87"/>
      <x:c r="AC937" s="87"/>
      <x:c r="AD937" s="87"/>
      <x:c r="AE937" s="87"/>
      <x:c r="AF937" s="87"/>
      <x:c r="AG937" s="87"/>
      <x:c r="AH937" s="87"/>
      <x:c r="AI937" s="30"/>
      <x:c r="AJ937" s="87" t="str">
        <x:v>master</x:v>
      </x:c>
      <x:c r="AK937" s="87" t="str">
        <x:v>master-v0.81</x:v>
      </x:c>
      <x:c r="AL937" s="87" t="str">
        <x:v>statgrad_master_base_v0_81_final(2).xlsx</x:v>
      </x:c>
      <x:c r="AM937" s="87" t="str">
        <x:v>CHEM_Mar_V1</x:v>
      </x:c>
      <x:c r="AN937" s="87" t="n">
        <x:v>4</x:v>
      </x:c>
    </x:row>
    <x:row r="938">
      <x:c r="A938" s="87" t="n">
        <x:v>937</x:v>
      </x:c>
      <x:c r="B938" s="87" t="str">
        <x:v>MAR-CHEM-V1-004</x:v>
      </x:c>
      <x:c r="C938" s="87" t="str">
        <x:v>СтатГрад</x:v>
      </x:c>
      <x:c r="D938" s="87" t="str">
        <x:v>Март 2026</x:v>
      </x:c>
      <x:c r="E938" s="87"/>
      <x:c r="F938" s="87"/>
      <x:c r="G938" s="87" t="str">
        <x:v>Химия</x:v>
      </x:c>
      <x:c r="H938" s="87" t="n">
        <x:v>11</x:v>
      </x:c>
      <x:c r="I938" s="87" t="str">
        <x:v>ТР №4</x:v>
      </x:c>
      <x:c r="J938" s="87" t="str">
        <x:v>ХИ2510401</x:v>
      </x:c>
      <x:c r="K938" s="87" t="n">
        <x:v>4</x:v>
      </x:c>
      <x:c r="L938" s="87" t="str">
        <x:v>Химическая связь</x:v>
      </x:c>
      <x:c r="M938" s="30" t="str">
        <x:v>Выбрать два вещества без ковалентных связей.</x:v>
      </x:c>
      <x:c r="N938" s="30" t="str">
        <x:v>23</x:v>
      </x:c>
      <x:c r="O938" s="30" t="str">
        <x:v>Ar — одноатомное вещество; CaCl₂ имеет ионную связь.</x:v>
      </x:c>
      <x:c r="P938" s="30" t="str">
        <x:v>Проверен тип связи во всех пяти веществах.</x:v>
      </x:c>
      <x:c r="Q938" s="30"/>
      <x:c r="R938" s="30" t="str">
        <x:v>Публичный ответ: 23</x:v>
      </x:c>
      <x:c r="S938" s="30"/>
      <x:c r="T938" s="30"/>
      <x:c r="U938" s="30" t="str">
        <x:v>Расхождений не обнаружено.</x:v>
      </x:c>
      <x:c r="V938" s="87" t="str">
        <x:v>VERIFIED</x:v>
      </x:c>
      <x:c r="W938" s="87" t="str">
        <x:v>PDF варианта, внутренняя стр. 3</x:v>
      </x:c>
      <x:c r="X938" s="87"/>
      <x:c r="Y938" s="87"/>
      <x:c r="Z938" s="87"/>
      <x:c r="AA938" s="87"/>
      <x:c r="AB938" s="87"/>
      <x:c r="AC938" s="87"/>
      <x:c r="AD938" s="87"/>
      <x:c r="AE938" s="87"/>
      <x:c r="AF938" s="87"/>
      <x:c r="AG938" s="87"/>
      <x:c r="AH938" s="87"/>
      <x:c r="AI938" s="30"/>
      <x:c r="AJ938" s="87" t="str">
        <x:v>master</x:v>
      </x:c>
      <x:c r="AK938" s="87" t="str">
        <x:v>master-v0.81</x:v>
      </x:c>
      <x:c r="AL938" s="87" t="str">
        <x:v>statgrad_master_base_v0_81_final(2).xlsx</x:v>
      </x:c>
      <x:c r="AM938" s="87" t="str">
        <x:v>CHEM_Mar_V1</x:v>
      </x:c>
      <x:c r="AN938" s="87" t="n">
        <x:v>5</x:v>
      </x:c>
    </x:row>
    <x:row r="939">
      <x:c r="A939" s="87" t="n">
        <x:v>938</x:v>
      </x:c>
      <x:c r="B939" s="87" t="str">
        <x:v>MAR-CHEM-V1-005</x:v>
      </x:c>
      <x:c r="C939" s="87" t="str">
        <x:v>СтатГрад</x:v>
      </x:c>
      <x:c r="D939" s="87" t="str">
        <x:v>Март 2026</x:v>
      </x:c>
      <x:c r="E939" s="87"/>
      <x:c r="F939" s="87"/>
      <x:c r="G939" s="87" t="str">
        <x:v>Химия</x:v>
      </x:c>
      <x:c r="H939" s="87" t="n">
        <x:v>11</x:v>
      </x:c>
      <x:c r="I939" s="87" t="str">
        <x:v>ТР №4</x:v>
      </x:c>
      <x:c r="J939" s="87" t="str">
        <x:v>ХИ2510401</x:v>
      </x:c>
      <x:c r="K939" s="87" t="n">
        <x:v>5</x:v>
      </x:c>
      <x:c r="L939" s="87" t="str">
        <x:v>Классификация веществ</x:v>
      </x:c>
      <x:c r="M939" s="30" t="str">
        <x:v>Определить основной оксид, амфотерный гидроксид и среднюю соль по таблице.</x:v>
      </x:c>
      <x:c r="N939" s="30" t="str">
        <x:v>483</x:v>
      </x:c>
      <x:c r="O939" s="30" t="str">
        <x:v>Выбранные ячейки соответствуют требуемым классам веществ.</x:v>
      </x:c>
      <x:c r="P939" s="30" t="str">
        <x:v>Классификация каждой формулы проверена отдельно.</x:v>
      </x:c>
      <x:c r="Q939" s="30"/>
      <x:c r="R939" s="30" t="str">
        <x:v>Публичный ответ: 483</x:v>
      </x:c>
      <x:c r="S939" s="30"/>
      <x:c r="T939" s="30"/>
      <x:c r="U939" s="30" t="str">
        <x:v>Расхождений не обнаружено.</x:v>
      </x:c>
      <x:c r="V939" s="87" t="str">
        <x:v>VERIFIED</x:v>
      </x:c>
      <x:c r="W939" s="87" t="str">
        <x:v>PDF варианта, внутренняя стр. 3</x:v>
      </x:c>
      <x:c r="X939" s="87"/>
      <x:c r="Y939" s="87"/>
      <x:c r="Z939" s="87"/>
      <x:c r="AA939" s="87"/>
      <x:c r="AB939" s="87"/>
      <x:c r="AC939" s="87"/>
      <x:c r="AD939" s="87"/>
      <x:c r="AE939" s="87"/>
      <x:c r="AF939" s="87"/>
      <x:c r="AG939" s="87"/>
      <x:c r="AH939" s="87"/>
      <x:c r="AI939" s="30"/>
      <x:c r="AJ939" s="87" t="str">
        <x:v>master</x:v>
      </x:c>
      <x:c r="AK939" s="87" t="str">
        <x:v>master-v0.81</x:v>
      </x:c>
      <x:c r="AL939" s="87" t="str">
        <x:v>statgrad_master_base_v0_81_final(2).xlsx</x:v>
      </x:c>
      <x:c r="AM939" s="87" t="str">
        <x:v>CHEM_Mar_V1</x:v>
      </x:c>
      <x:c r="AN939" s="87" t="n">
        <x:v>6</x:v>
      </x:c>
    </x:row>
    <x:row r="940">
      <x:c r="A940" s="87" t="n">
        <x:v>939</x:v>
      </x:c>
      <x:c r="B940" s="87" t="str">
        <x:v>MAR-CHEM-V1-006</x:v>
      </x:c>
      <x:c r="C940" s="87" t="str">
        <x:v>СтатГрад</x:v>
      </x:c>
      <x:c r="D940" s="87" t="str">
        <x:v>Март 2026</x:v>
      </x:c>
      <x:c r="E940" s="87"/>
      <x:c r="F940" s="87"/>
      <x:c r="G940" s="87" t="str">
        <x:v>Химия</x:v>
      </x:c>
      <x:c r="H940" s="87" t="n">
        <x:v>11</x:v>
      </x:c>
      <x:c r="I940" s="87" t="str">
        <x:v>ТР №4</x:v>
      </x:c>
      <x:c r="J940" s="87" t="str">
        <x:v>ХИ2510401</x:v>
      </x:c>
      <x:c r="K940" s="87" t="n">
        <x:v>6</x:v>
      </x:c>
      <x:c r="L940" s="87" t="str">
        <x:v>Качественные реакции</x:v>
      </x:c>
      <x:c r="M940" s="30" t="str">
        <x:v>Для раствора ацетата свинца подобрать реагент ярко-жёлтого осадка и реагент появления запаха уксусной кислоты.</x:v>
      </x:c>
      <x:c r="N940" s="30" t="str">
        <x:v>53</x:v>
      </x:c>
      <x:c r="O940" s="30" t="str">
        <x:v>KI образует PbI₂↓; HNO₃ вытесняет летучую уксусную кислоту из ацетата.</x:v>
      </x:c>
      <x:c r="P940" s="30" t="str">
        <x:v>Записаны уравнения Pb(CH₃COO)₂+2KI и обмена с HNO₃.</x:v>
      </x:c>
      <x:c r="Q940" s="30"/>
      <x:c r="R940" s="30" t="str">
        <x:v>Публичный ответ: 53</x:v>
      </x:c>
      <x:c r="S940" s="30"/>
      <x:c r="T940" s="30"/>
      <x:c r="U940" s="30" t="str">
        <x:v>Расхождений не обнаружено.</x:v>
      </x:c>
      <x:c r="V940" s="87" t="str">
        <x:v>VERIFIED</x:v>
      </x:c>
      <x:c r="W940" s="87" t="str">
        <x:v>PDF варианта, внутренняя стр. 4</x:v>
      </x:c>
      <x:c r="X940" s="87"/>
      <x:c r="Y940" s="87"/>
      <x:c r="Z940" s="87"/>
      <x:c r="AA940" s="87"/>
      <x:c r="AB940" s="87"/>
      <x:c r="AC940" s="87"/>
      <x:c r="AD940" s="87"/>
      <x:c r="AE940" s="87"/>
      <x:c r="AF940" s="87"/>
      <x:c r="AG940" s="87"/>
      <x:c r="AH940" s="87"/>
      <x:c r="AI940" s="30"/>
      <x:c r="AJ940" s="87" t="str">
        <x:v>master</x:v>
      </x:c>
      <x:c r="AK940" s="87" t="str">
        <x:v>master-v0.81</x:v>
      </x:c>
      <x:c r="AL940" s="87" t="str">
        <x:v>statgrad_master_base_v0_81_final(2).xlsx</x:v>
      </x:c>
      <x:c r="AM940" s="87" t="str">
        <x:v>CHEM_Mar_V1</x:v>
      </x:c>
      <x:c r="AN940" s="87" t="n">
        <x:v>7</x:v>
      </x:c>
    </x:row>
    <x:row r="941">
      <x:c r="A941" s="87" t="n">
        <x:v>940</x:v>
      </x:c>
      <x:c r="B941" s="87" t="str">
        <x:v>MAR-CHEM-V1-007</x:v>
      </x:c>
      <x:c r="C941" s="87" t="str">
        <x:v>СтатГрад</x:v>
      </x:c>
      <x:c r="D941" s="87" t="str">
        <x:v>Март 2026</x:v>
      </x:c>
      <x:c r="E941" s="87"/>
      <x:c r="F941" s="87"/>
      <x:c r="G941" s="87" t="str">
        <x:v>Химия</x:v>
      </x:c>
      <x:c r="H941" s="87" t="n">
        <x:v>11</x:v>
      </x:c>
      <x:c r="I941" s="87" t="str">
        <x:v>ТР №4</x:v>
      </x:c>
      <x:c r="J941" s="87" t="str">
        <x:v>ХИ2510401</x:v>
      </x:c>
      <x:c r="K941" s="87" t="n">
        <x:v>7</x:v>
      </x:c>
      <x:c r="L941" s="87" t="str">
        <x:v>Неорганические свойства</x:v>
      </x:c>
      <x:c r="M941" s="30" t="str">
        <x:v>Соотнести Si, Be, Ag₂O и (NH₄)₂CO₃ с наборами реагентов.</x:v>
      </x:c>
      <x:c r="N941" s="30" t="str">
        <x:v>2354</x:v>
      </x:c>
      <x:c r="O941" s="30" t="str">
        <x:v>Каждый набор проверен по типичным реакциям элемента или соединения.</x:v>
      </x:c>
      <x:c r="P941" s="30" t="str">
        <x:v>Для всех четырёх позиций подтверждены реакции с каждым реагентом набора.</x:v>
      </x:c>
      <x:c r="Q941" s="30"/>
      <x:c r="R941" s="30" t="str">
        <x:v>Публичный ответ: 2354</x:v>
      </x:c>
      <x:c r="S941" s="30"/>
      <x:c r="T941" s="30"/>
      <x:c r="U941" s="30" t="str">
        <x:v>Расхождений не обнаружено.</x:v>
      </x:c>
      <x:c r="V941" s="87" t="str">
        <x:v>VERIFIED</x:v>
      </x:c>
      <x:c r="W941" s="87" t="str">
        <x:v>PDF варианта, внутренняя стр. 4</x:v>
      </x:c>
      <x:c r="X941" s="87"/>
      <x:c r="Y941" s="87"/>
      <x:c r="Z941" s="87"/>
      <x:c r="AA941" s="87"/>
      <x:c r="AB941" s="87"/>
      <x:c r="AC941" s="87"/>
      <x:c r="AD941" s="87"/>
      <x:c r="AE941" s="87"/>
      <x:c r="AF941" s="87"/>
      <x:c r="AG941" s="87"/>
      <x:c r="AH941" s="87"/>
      <x:c r="AI941" s="30"/>
      <x:c r="AJ941" s="87" t="str">
        <x:v>master</x:v>
      </x:c>
      <x:c r="AK941" s="87" t="str">
        <x:v>master-v0.81</x:v>
      </x:c>
      <x:c r="AL941" s="87" t="str">
        <x:v>statgrad_master_base_v0_81_final(2).xlsx</x:v>
      </x:c>
      <x:c r="AM941" s="87" t="str">
        <x:v>CHEM_Mar_V1</x:v>
      </x:c>
      <x:c r="AN941" s="87" t="n">
        <x:v>8</x:v>
      </x:c>
    </x:row>
    <x:row r="942">
      <x:c r="A942" s="87" t="n">
        <x:v>941</x:v>
      </x:c>
      <x:c r="B942" s="87" t="str">
        <x:v>MAR-CHEM-V1-008</x:v>
      </x:c>
      <x:c r="C942" s="87" t="str">
        <x:v>СтатГрад</x:v>
      </x:c>
      <x:c r="D942" s="87" t="str">
        <x:v>Март 2026</x:v>
      </x:c>
      <x:c r="E942" s="87"/>
      <x:c r="F942" s="87"/>
      <x:c r="G942" s="87" t="str">
        <x:v>Химия</x:v>
      </x:c>
      <x:c r="H942" s="87" t="n">
        <x:v>11</x:v>
      </x:c>
      <x:c r="I942" s="87" t="str">
        <x:v>ТР №4</x:v>
      </x:c>
      <x:c r="J942" s="87" t="str">
        <x:v>ХИ2510401</x:v>
      </x:c>
      <x:c r="K942" s="87" t="n">
        <x:v>8</x:v>
      </x:c>
      <x:c r="L942" s="87" t="str">
        <x:v>Цепочки неорганических реакций</x:v>
      </x:c>
      <x:c r="M942" s="30" t="str">
        <x:v>Соотнести четыре набора реагентов с продуктами превращений соединений хрома.</x:v>
      </x:c>
      <x:c r="N942" s="30" t="str">
        <x:v>6213</x:v>
      </x:c>
      <x:c r="O942" s="30" t="str">
        <x:v>Cr(OH)₃ с кислотой даёт Cr₂(SO₄)₃; в щёлочи с Cl₂ — хромат; дихромат со щёлочью — хромат; с SO₂ в кислоте — Cr(III).</x:v>
      </x:c>
      <x:c r="P942" s="30" t="str">
        <x:v>Для каждой пары записано и уравнено независимое уравнение.</x:v>
      </x:c>
      <x:c r="Q942" s="30"/>
      <x:c r="R942" s="30" t="str">
        <x:v>Публичный ответ: 6213</x:v>
      </x:c>
      <x:c r="S942" s="30"/>
      <x:c r="T942" s="30"/>
      <x:c r="U942" s="30" t="str">
        <x:v>Расхождений не обнаружено.</x:v>
      </x:c>
      <x:c r="V942" s="87" t="str">
        <x:v>VERIFIED</x:v>
      </x:c>
      <x:c r="W942" s="87" t="str">
        <x:v>PDF варианта, внутренняя стр. 5</x:v>
      </x:c>
      <x:c r="X942" s="87"/>
      <x:c r="Y942" s="87"/>
      <x:c r="Z942" s="87"/>
      <x:c r="AA942" s="87"/>
      <x:c r="AB942" s="87"/>
      <x:c r="AC942" s="87"/>
      <x:c r="AD942" s="87"/>
      <x:c r="AE942" s="87"/>
      <x:c r="AF942" s="87"/>
      <x:c r="AG942" s="87"/>
      <x:c r="AH942" s="87"/>
      <x:c r="AI942" s="30"/>
      <x:c r="AJ942" s="87" t="str">
        <x:v>master</x:v>
      </x:c>
      <x:c r="AK942" s="87" t="str">
        <x:v>master-v0.81</x:v>
      </x:c>
      <x:c r="AL942" s="87" t="str">
        <x:v>statgrad_master_base_v0_81_final(2).xlsx</x:v>
      </x:c>
      <x:c r="AM942" s="87" t="str">
        <x:v>CHEM_Mar_V1</x:v>
      </x:c>
      <x:c r="AN942" s="87" t="n">
        <x:v>9</x:v>
      </x:c>
    </x:row>
    <x:row r="943">
      <x:c r="A943" s="87" t="n">
        <x:v>942</x:v>
      </x:c>
      <x:c r="B943" s="87" t="str">
        <x:v>MAR-CHEM-V1-009</x:v>
      </x:c>
      <x:c r="C943" s="87" t="str">
        <x:v>СтатГрад</x:v>
      </x:c>
      <x:c r="D943" s="87" t="str">
        <x:v>Март 2026</x:v>
      </x:c>
      <x:c r="E943" s="87"/>
      <x:c r="F943" s="87"/>
      <x:c r="G943" s="87" t="str">
        <x:v>Химия</x:v>
      </x:c>
      <x:c r="H943" s="87" t="n">
        <x:v>11</x:v>
      </x:c>
      <x:c r="I943" s="87" t="str">
        <x:v>ТР №4</x:v>
      </x:c>
      <x:c r="J943" s="87" t="str">
        <x:v>ХИ2510401</x:v>
      </x:c>
      <x:c r="K943" s="87" t="n">
        <x:v>9</x:v>
      </x:c>
      <x:c r="L943" s="87" t="str">
        <x:v>Цепочка превращений</x:v>
      </x:c>
      <x:c r="M943" s="30" t="str">
        <x:v>Определить X и Y в цепи X + HCl → CuCl₂; CuCl₂ + HI → Y.</x:v>
      </x:c>
      <x:c r="N943" s="30" t="str">
        <x:v>35</x:v>
      </x:c>
      <x:c r="O943" s="30" t="str">
        <x:v>X = Cu(OH)₂, Y = CuI.</x:v>
      </x:c>
      <x:c r="P943" s="30" t="str">
        <x:v>Cu(OH)₂+2HCl→CuCl₂+2H₂O; 2CuCl₂+4HI→2CuI↓+I₂+4HCl.</x:v>
      </x:c>
      <x:c r="Q943" s="30"/>
      <x:c r="R943" s="30" t="str">
        <x:v>PDF + независимая проверка</x:v>
      </x:c>
      <x:c r="S943" s="30"/>
      <x:c r="T943" s="30"/>
      <x:c r="U943" s="30" t="str">
        <x:v>Расхождений не обнаружено.</x:v>
      </x:c>
      <x:c r="V943" s="87" t="str">
        <x:v>VERIFIED</x:v>
      </x:c>
      <x:c r="W943" s="87" t="str">
        <x:v>PDF варианта, внутренняя стр. 5</x:v>
      </x:c>
      <x:c r="X943" s="87"/>
      <x:c r="Y943" s="87"/>
      <x:c r="Z943" s="87"/>
      <x:c r="AA943" s="87"/>
      <x:c r="AB943" s="87"/>
      <x:c r="AC943" s="87"/>
      <x:c r="AD943" s="87"/>
      <x:c r="AE943" s="87"/>
      <x:c r="AF943" s="87"/>
      <x:c r="AG943" s="87"/>
      <x:c r="AH943" s="87"/>
      <x:c r="AI943" s="30"/>
      <x:c r="AJ943" s="87" t="str">
        <x:v>master</x:v>
      </x:c>
      <x:c r="AK943" s="87" t="str">
        <x:v>master-v0.81</x:v>
      </x:c>
      <x:c r="AL943" s="87" t="str">
        <x:v>statgrad_master_base_v0_81_final(2).xlsx</x:v>
      </x:c>
      <x:c r="AM943" s="87" t="str">
        <x:v>CHEM_Mar_V1</x:v>
      </x:c>
      <x:c r="AN943" s="87" t="n">
        <x:v>10</x:v>
      </x:c>
    </x:row>
    <x:row r="944">
      <x:c r="A944" s="87" t="n">
        <x:v>943</x:v>
      </x:c>
      <x:c r="B944" s="87" t="str">
        <x:v>MAR-CHEM-V1-010</x:v>
      </x:c>
      <x:c r="C944" s="87" t="str">
        <x:v>СтатГрад</x:v>
      </x:c>
      <x:c r="D944" s="87" t="str">
        <x:v>Март 2026</x:v>
      </x:c>
      <x:c r="E944" s="87"/>
      <x:c r="F944" s="87"/>
      <x:c r="G944" s="87" t="str">
        <x:v>Химия</x:v>
      </x:c>
      <x:c r="H944" s="87" t="n">
        <x:v>11</x:v>
      </x:c>
      <x:c r="I944" s="87" t="str">
        <x:v>ТР №4</x:v>
      </x:c>
      <x:c r="J944" s="87" t="str">
        <x:v>ХИ2510401</x:v>
      </x:c>
      <x:c r="K944" s="87" t="n">
        <x:v>10</x:v>
      </x:c>
      <x:c r="L944" s="87" t="str">
        <x:v>Органические классы</x:v>
      </x:c>
      <x:c r="M944" s="30" t="str">
        <x:v>Соотнести общие формулы классов с молочной кислотой, изомасляной кислотой, о-толуидином и триметиламином.</x:v>
      </x:c>
      <x:c r="N944" s="30" t="str">
        <x:v>432</x:v>
      </x:c>
      <x:c r="O944" s="30" t="str">
        <x:v>Формулы классов сопоставлены с функциональными группами и молекулярными формулами.</x:v>
      </x:c>
      <x:c r="P944" s="30" t="str">
        <x:v>Проверены число атомов и степень ненасыщенности.</x:v>
      </x:c>
      <x:c r="Q944" s="30"/>
      <x:c r="R944" s="30" t="str">
        <x:v>Публичный ответ: 432</x:v>
      </x:c>
      <x:c r="S944" s="30"/>
      <x:c r="T944" s="30"/>
      <x:c r="U944" s="30" t="str">
        <x:v>Расхождений не обнаружено.</x:v>
      </x:c>
      <x:c r="V944" s="87" t="str">
        <x:v>VERIFIED</x:v>
      </x:c>
      <x:c r="W944" s="87" t="str">
        <x:v>PDF варианта, внутренняя стр. 6</x:v>
      </x:c>
      <x:c r="X944" s="87"/>
      <x:c r="Y944" s="87"/>
      <x:c r="Z944" s="87"/>
      <x:c r="AA944" s="87"/>
      <x:c r="AB944" s="87"/>
      <x:c r="AC944" s="87"/>
      <x:c r="AD944" s="87"/>
      <x:c r="AE944" s="87"/>
      <x:c r="AF944" s="87"/>
      <x:c r="AG944" s="87"/>
      <x:c r="AH944" s="87"/>
      <x:c r="AI944" s="30"/>
      <x:c r="AJ944" s="87" t="str">
        <x:v>master</x:v>
      </x:c>
      <x:c r="AK944" s="87" t="str">
        <x:v>master-v0.81</x:v>
      </x:c>
      <x:c r="AL944" s="87" t="str">
        <x:v>statgrad_master_base_v0_81_final(2).xlsx</x:v>
      </x:c>
      <x:c r="AM944" s="87" t="str">
        <x:v>CHEM_Mar_V1</x:v>
      </x:c>
      <x:c r="AN944" s="87" t="n">
        <x:v>11</x:v>
      </x:c>
    </x:row>
    <x:row r="945">
      <x:c r="A945" s="87" t="n">
        <x:v>944</x:v>
      </x:c>
      <x:c r="B945" s="87" t="str">
        <x:v>MAR-CHEM-V1-011</x:v>
      </x:c>
      <x:c r="C945" s="87" t="str">
        <x:v>СтатГрад</x:v>
      </x:c>
      <x:c r="D945" s="87" t="str">
        <x:v>Март 2026</x:v>
      </x:c>
      <x:c r="E945" s="87"/>
      <x:c r="F945" s="87"/>
      <x:c r="G945" s="87" t="str">
        <x:v>Химия</x:v>
      </x:c>
      <x:c r="H945" s="87" t="n">
        <x:v>11</x:v>
      </x:c>
      <x:c r="I945" s="87" t="str">
        <x:v>ТР №4</x:v>
      </x:c>
      <x:c r="J945" s="87" t="str">
        <x:v>ХИ2510401</x:v>
      </x:c>
      <x:c r="K945" s="87" t="n">
        <x:v>11</x:v>
      </x:c>
      <x:c r="L945" s="87" t="str">
        <x:v>Изомерия</x:v>
      </x:c>
      <x:c r="M945" s="30" t="str">
        <x:v>Выбрать структурные изомеры бутановой кислоты.</x:v>
      </x:c>
      <x:c r="N945" s="30" t="str">
        <x:v>24</x:v>
      </x:c>
      <x:c r="O945" s="30" t="str">
        <x:v>Пропилформиат и 3-гидроксибутаналь имеют формулу C₄H₈O₂.</x:v>
      </x:c>
      <x:c r="P945" s="30" t="str">
        <x:v>Молекулярные формулы всех вариантов пересчитаны.</x:v>
      </x:c>
      <x:c r="Q945" s="30"/>
      <x:c r="R945" s="30" t="str">
        <x:v>Публичный ответ: 24</x:v>
      </x:c>
      <x:c r="S945" s="30"/>
      <x:c r="T945" s="30"/>
      <x:c r="U945" s="30" t="str">
        <x:v>Расхождений не обнаружено.</x:v>
      </x:c>
      <x:c r="V945" s="87" t="str">
        <x:v>VERIFIED</x:v>
      </x:c>
      <x:c r="W945" s="87" t="str">
        <x:v>PDF варианта, внутренняя стр. 6</x:v>
      </x:c>
      <x:c r="X945" s="87"/>
      <x:c r="Y945" s="87"/>
      <x:c r="Z945" s="87"/>
      <x:c r="AA945" s="87"/>
      <x:c r="AB945" s="87"/>
      <x:c r="AC945" s="87"/>
      <x:c r="AD945" s="87"/>
      <x:c r="AE945" s="87"/>
      <x:c r="AF945" s="87"/>
      <x:c r="AG945" s="87"/>
      <x:c r="AH945" s="87"/>
      <x:c r="AI945" s="30"/>
      <x:c r="AJ945" s="87" t="str">
        <x:v>master</x:v>
      </x:c>
      <x:c r="AK945" s="87" t="str">
        <x:v>master-v0.81</x:v>
      </x:c>
      <x:c r="AL945" s="87" t="str">
        <x:v>statgrad_master_base_v0_81_final(2).xlsx</x:v>
      </x:c>
      <x:c r="AM945" s="87" t="str">
        <x:v>CHEM_Mar_V1</x:v>
      </x:c>
      <x:c r="AN945" s="87" t="n">
        <x:v>12</x:v>
      </x:c>
    </x:row>
    <x:row r="946">
      <x:c r="A946" s="87" t="n">
        <x:v>945</x:v>
      </x:c>
      <x:c r="B946" s="87" t="str">
        <x:v>MAR-CHEM-V1-012</x:v>
      </x:c>
      <x:c r="C946" s="87" t="str">
        <x:v>СтатГрад</x:v>
      </x:c>
      <x:c r="D946" s="87" t="str">
        <x:v>Март 2026</x:v>
      </x:c>
      <x:c r="E946" s="87"/>
      <x:c r="F946" s="87"/>
      <x:c r="G946" s="87" t="str">
        <x:v>Химия</x:v>
      </x:c>
      <x:c r="H946" s="87" t="n">
        <x:v>11</x:v>
      </x:c>
      <x:c r="I946" s="87" t="str">
        <x:v>ТР №4</x:v>
      </x:c>
      <x:c r="J946" s="87" t="str">
        <x:v>ХИ2510401</x:v>
      </x:c>
      <x:c r="K946" s="87" t="n">
        <x:v>12</x:v>
      </x:c>
      <x:c r="L946" s="87" t="str">
        <x:v>Свойства органических веществ</x:v>
      </x:c>
      <x:c r="M946" s="30" t="str">
        <x:v>Выбрать реагенты для пропина, с которыми не реагирует пропионовая кислота.</x:v>
      </x:c>
      <x:c r="N946" s="30" t="str">
        <x:v>235</x:v>
      </x:c>
      <x:c r="O946" s="30" t="str">
        <x:v>Пропин присоединяет воду и HCl и окисляется KMnO₄; карбоновая кислота в этих условиях не реагирует.</x:v>
      </x:c>
      <x:c r="P946" s="30" t="str">
        <x:v>Реакции алкина и кислоты рассмотрены раздельно.</x:v>
      </x:c>
      <x:c r="Q946" s="30"/>
      <x:c r="R946" s="30" t="str">
        <x:v>Публичный ответ: 235</x:v>
      </x:c>
      <x:c r="S946" s="30"/>
      <x:c r="T946" s="30"/>
      <x:c r="U946" s="30" t="str">
        <x:v>Расхождений не обнаружено.</x:v>
      </x:c>
      <x:c r="V946" s="87" t="str">
        <x:v>VERIFIED</x:v>
      </x:c>
      <x:c r="W946" s="87" t="str">
        <x:v>PDF варианта, внутренняя стр. 6</x:v>
      </x:c>
      <x:c r="X946" s="87"/>
      <x:c r="Y946" s="87"/>
      <x:c r="Z946" s="87"/>
      <x:c r="AA946" s="87"/>
      <x:c r="AB946" s="87"/>
      <x:c r="AC946" s="87"/>
      <x:c r="AD946" s="87"/>
      <x:c r="AE946" s="87"/>
      <x:c r="AF946" s="87"/>
      <x:c r="AG946" s="87"/>
      <x:c r="AH946" s="87"/>
      <x:c r="AI946" s="30"/>
      <x:c r="AJ946" s="87" t="str">
        <x:v>master</x:v>
      </x:c>
      <x:c r="AK946" s="87" t="str">
        <x:v>master-v0.81</x:v>
      </x:c>
      <x:c r="AL946" s="87" t="str">
        <x:v>statgrad_master_base_v0_81_final(2).xlsx</x:v>
      </x:c>
      <x:c r="AM946" s="87" t="str">
        <x:v>CHEM_Mar_V1</x:v>
      </x:c>
      <x:c r="AN946" s="87" t="n">
        <x:v>13</x:v>
      </x:c>
    </x:row>
    <x:row r="947">
      <x:c r="A947" s="87" t="n">
        <x:v>946</x:v>
      </x:c>
      <x:c r="B947" s="87" t="str">
        <x:v>MAR-CHEM-V1-013</x:v>
      </x:c>
      <x:c r="C947" s="87" t="str">
        <x:v>СтатГрад</x:v>
      </x:c>
      <x:c r="D947" s="87" t="str">
        <x:v>Март 2026</x:v>
      </x:c>
      <x:c r="E947" s="87"/>
      <x:c r="F947" s="87"/>
      <x:c r="G947" s="87" t="str">
        <x:v>Химия</x:v>
      </x:c>
      <x:c r="H947" s="87" t="n">
        <x:v>11</x:v>
      </x:c>
      <x:c r="I947" s="87" t="str">
        <x:v>ТР №4</x:v>
      </x:c>
      <x:c r="J947" s="87" t="str">
        <x:v>ХИ2510401</x:v>
      </x:c>
      <x:c r="K947" s="87" t="n">
        <x:v>13</x:v>
      </x:c>
      <x:c r="L947" s="87" t="str">
        <x:v>Гидролиз белков</x:v>
      </x:c>
      <x:c r="M947" s="30" t="str">
        <x:v>Выбрать два вещества, образующиеся при гидролизе белков.</x:v>
      </x:c>
      <x:c r="N947" s="30" t="str">
        <x:v>15</x:v>
      </x:c>
      <x:c r="O947" s="30" t="str">
        <x:v>Серин является аминокислотой; глицилглицин может возникать при неполном гидролизе полипептида.</x:v>
      </x:c>
      <x:c r="P947" s="30" t="str">
        <x:v>Продукты полного и неполного гидролиза белков проверены.</x:v>
      </x:c>
      <x:c r="Q947" s="30"/>
      <x:c r="R947" s="30" t="str">
        <x:v>Публичный ответ: 15</x:v>
      </x:c>
      <x:c r="S947" s="30"/>
      <x:c r="T947" s="30"/>
      <x:c r="U947" s="30" t="str">
        <x:v>Расхождений не обнаружено.</x:v>
      </x:c>
      <x:c r="V947" s="87" t="str">
        <x:v>VERIFIED</x:v>
      </x:c>
      <x:c r="W947" s="87" t="str">
        <x:v>PDF варианта, внутренняя стр. 7</x:v>
      </x:c>
      <x:c r="X947" s="87"/>
      <x:c r="Y947" s="87"/>
      <x:c r="Z947" s="87"/>
      <x:c r="AA947" s="87"/>
      <x:c r="AB947" s="87"/>
      <x:c r="AC947" s="87"/>
      <x:c r="AD947" s="87"/>
      <x:c r="AE947" s="87"/>
      <x:c r="AF947" s="87"/>
      <x:c r="AG947" s="87"/>
      <x:c r="AH947" s="87"/>
      <x:c r="AI947" s="30"/>
      <x:c r="AJ947" s="87" t="str">
        <x:v>master</x:v>
      </x:c>
      <x:c r="AK947" s="87" t="str">
        <x:v>master-v0.81</x:v>
      </x:c>
      <x:c r="AL947" s="87" t="str">
        <x:v>statgrad_master_base_v0_81_final(2).xlsx</x:v>
      </x:c>
      <x:c r="AM947" s="87" t="str">
        <x:v>CHEM_Mar_V1</x:v>
      </x:c>
      <x:c r="AN947" s="87" t="n">
        <x:v>14</x:v>
      </x:c>
    </x:row>
    <x:row r="948">
      <x:c r="A948" s="87" t="n">
        <x:v>947</x:v>
      </x:c>
      <x:c r="B948" s="87" t="str">
        <x:v>MAR-CHEM-V1-014</x:v>
      </x:c>
      <x:c r="C948" s="87" t="str">
        <x:v>СтатГрад</x:v>
      </x:c>
      <x:c r="D948" s="87" t="str">
        <x:v>Март 2026</x:v>
      </x:c>
      <x:c r="E948" s="87"/>
      <x:c r="F948" s="87"/>
      <x:c r="G948" s="87" t="str">
        <x:v>Химия</x:v>
      </x:c>
      <x:c r="H948" s="87" t="n">
        <x:v>11</x:v>
      </x:c>
      <x:c r="I948" s="87" t="str">
        <x:v>ТР №4</x:v>
      </x:c>
      <x:c r="J948" s="87" t="str">
        <x:v>ХИ2510401</x:v>
      </x:c>
      <x:c r="K948" s="87" t="n">
        <x:v>14</x:v>
      </x:c>
      <x:c r="L948" s="87" t="str">
        <x:v>Получение углеводородов</x:v>
      </x:c>
      <x:c r="M948" s="30" t="str">
        <x:v>Соотнести четыре реакции с образующимися углеводородами.</x:v>
      </x:c>
      <x:c r="N948" s="30" t="str">
        <x:v>4251</x:v>
      </x:c>
      <x:c r="O948" s="30" t="str">
        <x:v>Алкилирование бензола даёт этилбензол; дегалогенирование 1,2-дихлорпропана — пропен; Вюрц–Фиттиг — толуол; декарбоксилирование пропионата — этан.</x:v>
      </x:c>
      <x:c r="P948" s="30" t="str">
        <x:v>Для каждой реакции записан основной продукт.</x:v>
      </x:c>
      <x:c r="Q948" s="30"/>
      <x:c r="R948" s="30" t="str">
        <x:v>PDF + независимая проверка</x:v>
      </x:c>
      <x:c r="S948" s="30"/>
      <x:c r="T948" s="30"/>
      <x:c r="U948" s="30" t="str">
        <x:v>Расхождений не обнаружено.</x:v>
      </x:c>
      <x:c r="V948" s="87" t="str">
        <x:v>VERIFIED</x:v>
      </x:c>
      <x:c r="W948" s="87" t="str">
        <x:v>PDF варианта, внутренняя стр. 7</x:v>
      </x:c>
      <x:c r="X948" s="87"/>
      <x:c r="Y948" s="87"/>
      <x:c r="Z948" s="87"/>
      <x:c r="AA948" s="87"/>
      <x:c r="AB948" s="87"/>
      <x:c r="AC948" s="87"/>
      <x:c r="AD948" s="87"/>
      <x:c r="AE948" s="87"/>
      <x:c r="AF948" s="87"/>
      <x:c r="AG948" s="87"/>
      <x:c r="AH948" s="87"/>
      <x:c r="AI948" s="30"/>
      <x:c r="AJ948" s="87" t="str">
        <x:v>master</x:v>
      </x:c>
      <x:c r="AK948" s="87" t="str">
        <x:v>master-v0.81</x:v>
      </x:c>
      <x:c r="AL948" s="87" t="str">
        <x:v>statgrad_master_base_v0_81_final(2).xlsx</x:v>
      </x:c>
      <x:c r="AM948" s="87" t="str">
        <x:v>CHEM_Mar_V1</x:v>
      </x:c>
      <x:c r="AN948" s="87" t="n">
        <x:v>15</x:v>
      </x:c>
    </x:row>
    <x:row r="949">
      <x:c r="A949" s="87" t="n">
        <x:v>948</x:v>
      </x:c>
      <x:c r="B949" s="87" t="str">
        <x:v>MAR-CHEM-V1-015</x:v>
      </x:c>
      <x:c r="C949" s="87" t="str">
        <x:v>СтатГрад</x:v>
      </x:c>
      <x:c r="D949" s="87" t="str">
        <x:v>Март 2026</x:v>
      </x:c>
      <x:c r="E949" s="87"/>
      <x:c r="F949" s="87"/>
      <x:c r="G949" s="87" t="str">
        <x:v>Химия</x:v>
      </x:c>
      <x:c r="H949" s="87" t="n">
        <x:v>11</x:v>
      </x:c>
      <x:c r="I949" s="87" t="str">
        <x:v>ТР №4</x:v>
      </x:c>
      <x:c r="J949" s="87" t="str">
        <x:v>ХИ2510401</x:v>
      </x:c>
      <x:c r="K949" s="87" t="n">
        <x:v>15</x:v>
      </x:c>
      <x:c r="L949" s="87" t="str">
        <x:v>Органические реакции</x:v>
      </x:c>
      <x:c r="M949" s="30" t="str">
        <x:v>Соотнести схемы с преимущественными продуктами.</x:v>
      </x:c>
      <x:c r="N949" s="30" t="str">
        <x:v>4253</x:v>
      </x:c>
      <x:c r="O949" s="30" t="str">
        <x:v>Альдегид Толленсом окисляется до ацетата аммония; нитрование фенола даёт преимущественно 4-нитрофенол; гем-дибромид гидролизуется до ацетона; ацетат с CH₃Br даёт метилацетат.</x:v>
      </x:c>
      <x:c r="P949" s="30" t="str">
        <x:v>Проверены механизмы и функциональные группы.</x:v>
      </x:c>
      <x:c r="Q949" s="30"/>
      <x:c r="R949" s="30" t="str">
        <x:v>PDF + независимая проверка</x:v>
      </x:c>
      <x:c r="S949" s="30"/>
      <x:c r="T949" s="30"/>
      <x:c r="U949" s="30" t="str">
        <x:v>Расхождений не обнаружено.</x:v>
      </x:c>
      <x:c r="V949" s="87" t="str">
        <x:v>VERIFIED</x:v>
      </x:c>
      <x:c r="W949" s="87" t="str">
        <x:v>PDF варианта, внутренняя стр. 8</x:v>
      </x:c>
      <x:c r="X949" s="87"/>
      <x:c r="Y949" s="87"/>
      <x:c r="Z949" s="87"/>
      <x:c r="AA949" s="87"/>
      <x:c r="AB949" s="87"/>
      <x:c r="AC949" s="87"/>
      <x:c r="AD949" s="87"/>
      <x:c r="AE949" s="87"/>
      <x:c r="AF949" s="87"/>
      <x:c r="AG949" s="87"/>
      <x:c r="AH949" s="87"/>
      <x:c r="AI949" s="30"/>
      <x:c r="AJ949" s="87" t="str">
        <x:v>master</x:v>
      </x:c>
      <x:c r="AK949" s="87" t="str">
        <x:v>master-v0.81</x:v>
      </x:c>
      <x:c r="AL949" s="87" t="str">
        <x:v>statgrad_master_base_v0_81_final(2).xlsx</x:v>
      </x:c>
      <x:c r="AM949" s="87" t="str">
        <x:v>CHEM_Mar_V1</x:v>
      </x:c>
      <x:c r="AN949" s="87" t="n">
        <x:v>16</x:v>
      </x:c>
    </x:row>
    <x:row r="950">
      <x:c r="A950" s="87" t="n">
        <x:v>949</x:v>
      </x:c>
      <x:c r="B950" s="87" t="str">
        <x:v>MAR-CHEM-V1-016</x:v>
      </x:c>
      <x:c r="C950" s="87" t="str">
        <x:v>СтатГрад</x:v>
      </x:c>
      <x:c r="D950" s="87" t="str">
        <x:v>Март 2026</x:v>
      </x:c>
      <x:c r="E950" s="87"/>
      <x:c r="F950" s="87"/>
      <x:c r="G950" s="87" t="str">
        <x:v>Химия</x:v>
      </x:c>
      <x:c r="H950" s="87" t="n">
        <x:v>11</x:v>
      </x:c>
      <x:c r="I950" s="87" t="str">
        <x:v>ТР №4</x:v>
      </x:c>
      <x:c r="J950" s="87" t="str">
        <x:v>ХИ2510401</x:v>
      </x:c>
      <x:c r="K950" s="87" t="n">
        <x:v>16</x:v>
      </x:c>
      <x:c r="L950" s="87" t="str">
        <x:v>Органическая цепочка</x:v>
      </x:c>
      <x:c r="M950" s="30" t="str">
        <x:v>X окисляется кислородом до фенола, затем фенол превращается в фенилацетат.</x:v>
      </x:c>
      <x:c r="N950" s="30" t="str">
        <x:v>42</x:v>
      </x:c>
      <x:c r="O950" s="30" t="str">
        <x:v>X — кумол; Y — ацетилхлорид.</x:v>
      </x:c>
      <x:c r="P950" s="30" t="str">
        <x:v>Кумольный способ и ацилирование фенола проверены.</x:v>
      </x:c>
      <x:c r="Q950" s="30"/>
      <x:c r="R950" s="30" t="str">
        <x:v>PDF + независимая проверка</x:v>
      </x:c>
      <x:c r="S950" s="30"/>
      <x:c r="T950" s="30"/>
      <x:c r="U950" s="30" t="str">
        <x:v>Расхождений не обнаружено.</x:v>
      </x:c>
      <x:c r="V950" s="87" t="str">
        <x:v>VERIFIED</x:v>
      </x:c>
      <x:c r="W950" s="87" t="str">
        <x:v>PDF варианта, внутренняя стр. 8</x:v>
      </x:c>
      <x:c r="X950" s="87"/>
      <x:c r="Y950" s="87"/>
      <x:c r="Z950" s="87"/>
      <x:c r="AA950" s="87"/>
      <x:c r="AB950" s="87"/>
      <x:c r="AC950" s="87"/>
      <x:c r="AD950" s="87"/>
      <x:c r="AE950" s="87"/>
      <x:c r="AF950" s="87"/>
      <x:c r="AG950" s="87"/>
      <x:c r="AH950" s="87"/>
      <x:c r="AI950" s="30"/>
      <x:c r="AJ950" s="87" t="str">
        <x:v>master</x:v>
      </x:c>
      <x:c r="AK950" s="87" t="str">
        <x:v>master-v0.81</x:v>
      </x:c>
      <x:c r="AL950" s="87" t="str">
        <x:v>statgrad_master_base_v0_81_final(2).xlsx</x:v>
      </x:c>
      <x:c r="AM950" s="87" t="str">
        <x:v>CHEM_Mar_V1</x:v>
      </x:c>
      <x:c r="AN950" s="87" t="n">
        <x:v>17</x:v>
      </x:c>
    </x:row>
    <x:row r="951">
      <x:c r="A951" s="87" t="n">
        <x:v>950</x:v>
      </x:c>
      <x:c r="B951" s="87" t="str">
        <x:v>MAR-CHEM-V1-017</x:v>
      </x:c>
      <x:c r="C951" s="87" t="str">
        <x:v>СтатГрад</x:v>
      </x:c>
      <x:c r="D951" s="87" t="str">
        <x:v>Март 2026</x:v>
      </x:c>
      <x:c r="E951" s="87"/>
      <x:c r="F951" s="87"/>
      <x:c r="G951" s="87" t="str">
        <x:v>Химия</x:v>
      </x:c>
      <x:c r="H951" s="87" t="n">
        <x:v>11</x:v>
      </x:c>
      <x:c r="I951" s="87" t="str">
        <x:v>ТР №4</x:v>
      </x:c>
      <x:c r="J951" s="87" t="str">
        <x:v>ХИ2510401</x:v>
      </x:c>
      <x:c r="K951" s="87" t="n">
        <x:v>17</x:v>
      </x:c>
      <x:c r="L951" s="87" t="str">
        <x:v>Типы реакций</x:v>
      </x:c>
      <x:c r="M951" s="30" t="str">
        <x:v>Классифицировать Fe+Cl₂, Ba+H₂O и C₂H₄+Cl₂.</x:v>
      </x:c>
      <x:c r="N951" s="30" t="str">
        <x:v>421</x:v>
      </x:c>
      <x:c r="O951" s="30" t="str">
        <x:v>Fe+Cl₂ — соединение, гетерогенная; Ba+H₂O — замещение, гетерогенная; C₂H₄+Cl₂ — соединение, гомогенная.</x:v>
      </x:c>
      <x:c r="P951" s="30" t="str">
        <x:v>Фазовый состав и тип каждой реакции проверены.</x:v>
      </x:c>
      <x:c r="Q951" s="30"/>
      <x:c r="R951" s="30" t="str">
        <x:v>PDF + независимая проверка</x:v>
      </x:c>
      <x:c r="S951" s="30"/>
      <x:c r="T951" s="30"/>
      <x:c r="U951" s="30" t="str">
        <x:v>Расхождений не обнаружено.</x:v>
      </x:c>
      <x:c r="V951" s="87" t="str">
        <x:v>VERIFIED</x:v>
      </x:c>
      <x:c r="W951" s="87" t="str">
        <x:v>PDF варианта, внутренняя стр. 9</x:v>
      </x:c>
      <x:c r="X951" s="87"/>
      <x:c r="Y951" s="87"/>
      <x:c r="Z951" s="87"/>
      <x:c r="AA951" s="87"/>
      <x:c r="AB951" s="87"/>
      <x:c r="AC951" s="87"/>
      <x:c r="AD951" s="87"/>
      <x:c r="AE951" s="87"/>
      <x:c r="AF951" s="87"/>
      <x:c r="AG951" s="87"/>
      <x:c r="AH951" s="87"/>
      <x:c r="AI951" s="30"/>
      <x:c r="AJ951" s="87" t="str">
        <x:v>master</x:v>
      </x:c>
      <x:c r="AK951" s="87" t="str">
        <x:v>master-v0.81</x:v>
      </x:c>
      <x:c r="AL951" s="87" t="str">
        <x:v>statgrad_master_base_v0_81_final(2).xlsx</x:v>
      </x:c>
      <x:c r="AM951" s="87" t="str">
        <x:v>CHEM_Mar_V1</x:v>
      </x:c>
      <x:c r="AN951" s="87" t="n">
        <x:v>18</x:v>
      </x:c>
    </x:row>
    <x:row r="952">
      <x:c r="A952" s="87" t="n">
        <x:v>951</x:v>
      </x:c>
      <x:c r="B952" s="87" t="str">
        <x:v>MAR-CHEM-V1-018</x:v>
      </x:c>
      <x:c r="C952" s="87" t="str">
        <x:v>СтатГрад</x:v>
      </x:c>
      <x:c r="D952" s="87" t="str">
        <x:v>Март 2026</x:v>
      </x:c>
      <x:c r="E952" s="87"/>
      <x:c r="F952" s="87"/>
      <x:c r="G952" s="87" t="str">
        <x:v>Химия</x:v>
      </x:c>
      <x:c r="H952" s="87" t="n">
        <x:v>11</x:v>
      </x:c>
      <x:c r="I952" s="87" t="str">
        <x:v>ТР №4</x:v>
      </x:c>
      <x:c r="J952" s="87" t="str">
        <x:v>ХИ2510401</x:v>
      </x:c>
      <x:c r="K952" s="87" t="n">
        <x:v>18</x:v>
      </x:c>
      <x:c r="L952" s="87" t="str">
        <x:v>Скорость реакции</x:v>
      </x:c>
      <x:c r="M952" s="30" t="str">
        <x:v>Выбрать воздействия, уменьшающие скорость выделения Cl₂ из MnO₂ и концентрированной HCl.</x:v>
      </x:c>
      <x:c r="N952" s="30" t="str">
        <x:v>235</x:v>
      </x:c>
      <x:c r="O952" s="30" t="str">
        <x:v>Охлаждение, разбавление кислоты и ингибитор уменьшают скорость.</x:v>
      </x:c>
      <x:c r="P952" s="30" t="str">
        <x:v>Факторы температуры, концентрации и ингибирования проверены.</x:v>
      </x:c>
      <x:c r="Q952" s="30"/>
      <x:c r="R952" s="30" t="str">
        <x:v>PDF + независимая проверка</x:v>
      </x:c>
      <x:c r="S952" s="30"/>
      <x:c r="T952" s="30"/>
      <x:c r="U952" s="30" t="str">
        <x:v>Расхождений не обнаружено.</x:v>
      </x:c>
      <x:c r="V952" s="87" t="str">
        <x:v>VERIFIED</x:v>
      </x:c>
      <x:c r="W952" s="87" t="str">
        <x:v>PDF варианта, внутренняя стр. 9</x:v>
      </x:c>
      <x:c r="X952" s="87"/>
      <x:c r="Y952" s="87"/>
      <x:c r="Z952" s="87"/>
      <x:c r="AA952" s="87"/>
      <x:c r="AB952" s="87"/>
      <x:c r="AC952" s="87"/>
      <x:c r="AD952" s="87"/>
      <x:c r="AE952" s="87"/>
      <x:c r="AF952" s="87"/>
      <x:c r="AG952" s="87"/>
      <x:c r="AH952" s="87"/>
      <x:c r="AI952" s="30"/>
      <x:c r="AJ952" s="87" t="str">
        <x:v>master</x:v>
      </x:c>
      <x:c r="AK952" s="87" t="str">
        <x:v>master-v0.81</x:v>
      </x:c>
      <x:c r="AL952" s="87" t="str">
        <x:v>statgrad_master_base_v0_81_final(2).xlsx</x:v>
      </x:c>
      <x:c r="AM952" s="87" t="str">
        <x:v>CHEM_Mar_V1</x:v>
      </x:c>
      <x:c r="AN952" s="87" t="n">
        <x:v>19</x:v>
      </x:c>
    </x:row>
    <x:row r="953">
      <x:c r="A953" s="87" t="n">
        <x:v>952</x:v>
      </x:c>
      <x:c r="B953" s="87" t="str">
        <x:v>MAR-CHEM-V1-019</x:v>
      </x:c>
      <x:c r="C953" s="87" t="str">
        <x:v>СтатГрад</x:v>
      </x:c>
      <x:c r="D953" s="87" t="str">
        <x:v>Март 2026</x:v>
      </x:c>
      <x:c r="E953" s="87"/>
      <x:c r="F953" s="87"/>
      <x:c r="G953" s="87" t="str">
        <x:v>Химия</x:v>
      </x:c>
      <x:c r="H953" s="87" t="n">
        <x:v>11</x:v>
      </x:c>
      <x:c r="I953" s="87" t="str">
        <x:v>ТР №4</x:v>
      </x:c>
      <x:c r="J953" s="87" t="str">
        <x:v>ХИ2510401</x:v>
      </x:c>
      <x:c r="K953" s="87" t="n">
        <x:v>19</x:v>
      </x:c>
      <x:c r="L953" s="87" t="str">
        <x:v>ОВР и роль элемента</x:v>
      </x:c>
      <x:c r="M953" s="30" t="str">
        <x:v>Определить роль углерода в трёх реакциях.</x:v>
      </x:c>
      <x:c r="N953" s="30" t="str">
        <x:v>214</x:v>
      </x:c>
      <x:c r="O953" s="30" t="str">
        <x:v>При восстановлении ZnO углерод — восстановитель; при гидрировании этилена углерод восстанавливается и является окислителем; в карбонате/CO₂ степень окисления не меняется.</x:v>
      </x:c>
      <x:c r="P953" s="30" t="str">
        <x:v>Степени окисления рассчитаны.</x:v>
      </x:c>
      <x:c r="Q953" s="30"/>
      <x:c r="R953" s="30" t="str">
        <x:v>PDF + независимая проверка</x:v>
      </x:c>
      <x:c r="S953" s="30"/>
      <x:c r="T953" s="30"/>
      <x:c r="U953" s="30" t="str">
        <x:v>Расхождений не обнаружено.</x:v>
      </x:c>
      <x:c r="V953" s="87" t="str">
        <x:v>VERIFIED</x:v>
      </x:c>
      <x:c r="W953" s="87" t="str">
        <x:v>PDF варианта, внутренняя стр. 10</x:v>
      </x:c>
      <x:c r="X953" s="87"/>
      <x:c r="Y953" s="87"/>
      <x:c r="Z953" s="87"/>
      <x:c r="AA953" s="87"/>
      <x:c r="AB953" s="87"/>
      <x:c r="AC953" s="87"/>
      <x:c r="AD953" s="87"/>
      <x:c r="AE953" s="87"/>
      <x:c r="AF953" s="87"/>
      <x:c r="AG953" s="87"/>
      <x:c r="AH953" s="87"/>
      <x:c r="AI953" s="30"/>
      <x:c r="AJ953" s="87" t="str">
        <x:v>master</x:v>
      </x:c>
      <x:c r="AK953" s="87" t="str">
        <x:v>master-v0.81</x:v>
      </x:c>
      <x:c r="AL953" s="87" t="str">
        <x:v>statgrad_master_base_v0_81_final(2).xlsx</x:v>
      </x:c>
      <x:c r="AM953" s="87" t="str">
        <x:v>CHEM_Mar_V1</x:v>
      </x:c>
      <x:c r="AN953" s="87" t="n">
        <x:v>20</x:v>
      </x:c>
    </x:row>
    <x:row r="954">
      <x:c r="A954" s="87" t="n">
        <x:v>953</x:v>
      </x:c>
      <x:c r="B954" s="87" t="str">
        <x:v>MAR-CHEM-V1-020</x:v>
      </x:c>
      <x:c r="C954" s="87" t="str">
        <x:v>СтатГрад</x:v>
      </x:c>
      <x:c r="D954" s="87" t="str">
        <x:v>Март 2026</x:v>
      </x:c>
      <x:c r="E954" s="87"/>
      <x:c r="F954" s="87"/>
      <x:c r="G954" s="87" t="str">
        <x:v>Химия</x:v>
      </x:c>
      <x:c r="H954" s="87" t="n">
        <x:v>11</x:v>
      </x:c>
      <x:c r="I954" s="87" t="str">
        <x:v>ТР №4</x:v>
      </x:c>
      <x:c r="J954" s="87" t="str">
        <x:v>ХИ2510401</x:v>
      </x:c>
      <x:c r="K954" s="87" t="n">
        <x:v>20</x:v>
      </x:c>
      <x:c r="L954" s="87" t="str">
        <x:v>Электролиз</x:v>
      </x:c>
      <x:c r="M954" s="30" t="str">
        <x:v>Соотнести Mg, O₂ и NaClO со способом электролитического получения.</x:v>
      </x:c>
      <x:c r="N954" s="30" t="str">
        <x:v>432</x:v>
      </x:c>
      <x:c r="O954" s="30" t="str">
        <x:v>Mg получают из расплава MgCl₂; O₂ — при электролизе раствора MgSO₄; NaClO — холодного раствора NaCl.</x:v>
      </x:c>
      <x:c r="P954" s="30" t="str">
        <x:v>Проверены катодные и анодные процессы.</x:v>
      </x:c>
      <x:c r="Q954" s="30"/>
      <x:c r="R954" s="30" t="str">
        <x:v>PDF + независимая проверка</x:v>
      </x:c>
      <x:c r="S954" s="30"/>
      <x:c r="T954" s="30"/>
      <x:c r="U954" s="30" t="str">
        <x:v>Расхождений не обнаружено.</x:v>
      </x:c>
      <x:c r="V954" s="87" t="str">
        <x:v>VERIFIED</x:v>
      </x:c>
      <x:c r="W954" s="87" t="str">
        <x:v>PDF варианта, внутренняя стр. 10</x:v>
      </x:c>
      <x:c r="X954" s="87"/>
      <x:c r="Y954" s="87"/>
      <x:c r="Z954" s="87"/>
      <x:c r="AA954" s="87"/>
      <x:c r="AB954" s="87"/>
      <x:c r="AC954" s="87"/>
      <x:c r="AD954" s="87"/>
      <x:c r="AE954" s="87"/>
      <x:c r="AF954" s="87"/>
      <x:c r="AG954" s="87"/>
      <x:c r="AH954" s="87"/>
      <x:c r="AI954" s="30"/>
      <x:c r="AJ954" s="87" t="str">
        <x:v>master</x:v>
      </x:c>
      <x:c r="AK954" s="87" t="str">
        <x:v>master-v0.81</x:v>
      </x:c>
      <x:c r="AL954" s="87" t="str">
        <x:v>statgrad_master_base_v0_81_final(2).xlsx</x:v>
      </x:c>
      <x:c r="AM954" s="87" t="str">
        <x:v>CHEM_Mar_V1</x:v>
      </x:c>
      <x:c r="AN954" s="87" t="n">
        <x:v>21</x:v>
      </x:c>
    </x:row>
    <x:row r="955">
      <x:c r="A955" s="87" t="n">
        <x:v>954</x:v>
      </x:c>
      <x:c r="B955" s="87" t="str">
        <x:v>MAR-CHEM-V1-021</x:v>
      </x:c>
      <x:c r="C955" s="87" t="str">
        <x:v>СтатГрад</x:v>
      </x:c>
      <x:c r="D955" s="87" t="str">
        <x:v>Март 2026</x:v>
      </x:c>
      <x:c r="E955" s="87"/>
      <x:c r="F955" s="87"/>
      <x:c r="G955" s="87" t="str">
        <x:v>Химия</x:v>
      </x:c>
      <x:c r="H955" s="87" t="n">
        <x:v>11</x:v>
      </x:c>
      <x:c r="I955" s="87" t="str">
        <x:v>ТР №4</x:v>
      </x:c>
      <x:c r="J955" s="87" t="str">
        <x:v>ХИ2510401</x:v>
      </x:c>
      <x:c r="K955" s="87" t="n">
        <x:v>21</x:v>
      </x:c>
      <x:c r="L955" s="87" t="str">
        <x:v>pH растворов</x:v>
      </x:c>
      <x:c r="M955" s="30" t="str">
        <x:v>Расположить K₃PO₄, KOH, H₃PO₄, HClO₄ по убыванию pH.</x:v>
      </x:c>
      <x:c r="N955" s="30" t="str">
        <x:v>2134</x:v>
      </x:c>
      <x:c r="O955" s="30" t="str">
        <x:v>Сильная щёлочь &gt; гидролизующаяся соль &gt; слабая кислота &gt; сильная кислота.</x:v>
      </x:c>
      <x:c r="P955" s="30" t="str">
        <x:v>Сравнены сила электролитов и гидролиз.</x:v>
      </x:c>
      <x:c r="Q955" s="30"/>
      <x:c r="R955" s="30" t="str">
        <x:v>PDF + независимая проверка</x:v>
      </x:c>
      <x:c r="S955" s="30"/>
      <x:c r="T955" s="30"/>
      <x:c r="U955" s="30" t="str">
        <x:v>Расхождений не обнаружено.</x:v>
      </x:c>
      <x:c r="V955" s="87" t="str">
        <x:v>VERIFIED</x:v>
      </x:c>
      <x:c r="W955" s="87" t="str">
        <x:v>PDF варианта, внутренняя стр. 11</x:v>
      </x:c>
      <x:c r="X955" s="87"/>
      <x:c r="Y955" s="87"/>
      <x:c r="Z955" s="87"/>
      <x:c r="AA955" s="87"/>
      <x:c r="AB955" s="87"/>
      <x:c r="AC955" s="87"/>
      <x:c r="AD955" s="87"/>
      <x:c r="AE955" s="87"/>
      <x:c r="AF955" s="87"/>
      <x:c r="AG955" s="87"/>
      <x:c r="AH955" s="87"/>
      <x:c r="AI955" s="30"/>
      <x:c r="AJ955" s="87" t="str">
        <x:v>master</x:v>
      </x:c>
      <x:c r="AK955" s="87" t="str">
        <x:v>master-v0.81</x:v>
      </x:c>
      <x:c r="AL955" s="87" t="str">
        <x:v>statgrad_master_base_v0_81_final(2).xlsx</x:v>
      </x:c>
      <x:c r="AM955" s="87" t="str">
        <x:v>CHEM_Mar_V1</x:v>
      </x:c>
      <x:c r="AN955" s="87" t="n">
        <x:v>22</x:v>
      </x:c>
    </x:row>
    <x:row r="956">
      <x:c r="A956" s="87" t="n">
        <x:v>955</x:v>
      </x:c>
      <x:c r="B956" s="87" t="str">
        <x:v>MAR-CHEM-V1-022</x:v>
      </x:c>
      <x:c r="C956" s="87" t="str">
        <x:v>СтатГрад</x:v>
      </x:c>
      <x:c r="D956" s="87" t="str">
        <x:v>Март 2026</x:v>
      </x:c>
      <x:c r="E956" s="87"/>
      <x:c r="F956" s="87"/>
      <x:c r="G956" s="87" t="str">
        <x:v>Химия</x:v>
      </x:c>
      <x:c r="H956" s="87" t="n">
        <x:v>11</x:v>
      </x:c>
      <x:c r="I956" s="87" t="str">
        <x:v>ТР №4</x:v>
      </x:c>
      <x:c r="J956" s="87" t="str">
        <x:v>ХИ2510401</x:v>
      </x:c>
      <x:c r="K956" s="87" t="n">
        <x:v>22</x:v>
      </x:c>
      <x:c r="L956" s="87" t="str">
        <x:v>Химическое равновесие</x:v>
      </x:c>
      <x:c r="M956" s="30" t="str">
        <x:v>Для Fe³⁺+H₂O ⇄ FeOH²⁺+H⁺−Q определить сдвиг при четырёх воздействиях.</x:v>
      </x:c>
      <x:c r="N956" s="30" t="str">
        <x:v>1213</x:v>
      </x:c>
      <x:c r="O956" s="30" t="str">
        <x:v>Нагревание и добавление FeCl₃ сдвигают вправо; подкисление — влево; давление практически не влияет.</x:v>
      </x:c>
      <x:c r="P956" s="30" t="str">
        <x:v>Применён принцип Ле Шателье.</x:v>
      </x:c>
      <x:c r="Q956" s="30"/>
      <x:c r="R956" s="30" t="str">
        <x:v>PDF + независимая проверка</x:v>
      </x:c>
      <x:c r="S956" s="30"/>
      <x:c r="T956" s="30"/>
      <x:c r="U956" s="30" t="str">
        <x:v>Расхождений не обнаружено.</x:v>
      </x:c>
      <x:c r="V956" s="87" t="str">
        <x:v>VERIFIED</x:v>
      </x:c>
      <x:c r="W956" s="87" t="str">
        <x:v>PDF варианта, внутренняя стр. 12</x:v>
      </x:c>
      <x:c r="X956" s="87"/>
      <x:c r="Y956" s="87"/>
      <x:c r="Z956" s="87"/>
      <x:c r="AA956" s="87"/>
      <x:c r="AB956" s="87"/>
      <x:c r="AC956" s="87"/>
      <x:c r="AD956" s="87"/>
      <x:c r="AE956" s="87"/>
      <x:c r="AF956" s="87"/>
      <x:c r="AG956" s="87"/>
      <x:c r="AH956" s="87"/>
      <x:c r="AI956" s="30"/>
      <x:c r="AJ956" s="87" t="str">
        <x:v>master</x:v>
      </x:c>
      <x:c r="AK956" s="87" t="str">
        <x:v>master-v0.81</x:v>
      </x:c>
      <x:c r="AL956" s="87" t="str">
        <x:v>statgrad_master_base_v0_81_final(2).xlsx</x:v>
      </x:c>
      <x:c r="AM956" s="87" t="str">
        <x:v>CHEM_Mar_V1</x:v>
      </x:c>
      <x:c r="AN956" s="87" t="n">
        <x:v>23</x:v>
      </x:c>
    </x:row>
    <x:row r="957">
      <x:c r="A957" s="87" t="n">
        <x:v>956</x:v>
      </x:c>
      <x:c r="B957" s="87" t="str">
        <x:v>MAR-CHEM-V1-023</x:v>
      </x:c>
      <x:c r="C957" s="87" t="str">
        <x:v>СтатГрад</x:v>
      </x:c>
      <x:c r="D957" s="87" t="str">
        <x:v>Март 2026</x:v>
      </x:c>
      <x:c r="E957" s="87"/>
      <x:c r="F957" s="87"/>
      <x:c r="G957" s="87" t="str">
        <x:v>Химия</x:v>
      </x:c>
      <x:c r="H957" s="87" t="n">
        <x:v>11</x:v>
      </x:c>
      <x:c r="I957" s="87" t="str">
        <x:v>ТР №4</x:v>
      </x:c>
      <x:c r="J957" s="87" t="str">
        <x:v>ХИ2510401</x:v>
      </x:c>
      <x:c r="K957" s="87" t="n">
        <x:v>23</x:v>
      </x:c>
      <x:c r="L957" s="87" t="str">
        <x:v>Равновесные концентрации</x:v>
      </x:c>
      <x:c r="M957" s="30" t="str">
        <x:v>Для 2N₂O₅ ⇄ 4NO₂+O₂ найти [N₂O₅]равн и [NO₂]равн.</x:v>
      </x:c>
      <x:c r="N957" s="30" t="str">
        <x:v>36</x:v>
      </x:c>
      <x:c r="O957" s="30" t="str">
        <x:v>При [O₂]=0,02 расход N₂O₅ равен 0,04: остаток 0,03; NO₂ образуется 0,08.</x:v>
      </x:c>
      <x:c r="P957" s="30" t="str">
        <x:v>Составлена таблица изменения концентраций.</x:v>
      </x:c>
      <x:c r="Q957" s="30"/>
      <x:c r="R957" s="30" t="str">
        <x:v>PDF + независимая проверка</x:v>
      </x:c>
      <x:c r="S957" s="30"/>
      <x:c r="T957" s="30"/>
      <x:c r="U957" s="30" t="str">
        <x:v>Расхождений не обнаружено.</x:v>
      </x:c>
      <x:c r="V957" s="87" t="str">
        <x:v>VERIFIED</x:v>
      </x:c>
      <x:c r="W957" s="87" t="str">
        <x:v>PDF варианта, внутренняя стр. 12</x:v>
      </x:c>
      <x:c r="X957" s="87"/>
      <x:c r="Y957" s="87"/>
      <x:c r="Z957" s="87"/>
      <x:c r="AA957" s="87"/>
      <x:c r="AB957" s="87"/>
      <x:c r="AC957" s="87"/>
      <x:c r="AD957" s="87"/>
      <x:c r="AE957" s="87"/>
      <x:c r="AF957" s="87"/>
      <x:c r="AG957" s="87"/>
      <x:c r="AH957" s="87"/>
      <x:c r="AI957" s="30"/>
      <x:c r="AJ957" s="87" t="str">
        <x:v>master</x:v>
      </x:c>
      <x:c r="AK957" s="87" t="str">
        <x:v>master-v0.81</x:v>
      </x:c>
      <x:c r="AL957" s="87" t="str">
        <x:v>statgrad_master_base_v0_81_final(2).xlsx</x:v>
      </x:c>
      <x:c r="AM957" s="87" t="str">
        <x:v>CHEM_Mar_V1</x:v>
      </x:c>
      <x:c r="AN957" s="87" t="n">
        <x:v>24</x:v>
      </x:c>
    </x:row>
    <x:row r="958">
      <x:c r="A958" s="87" t="n">
        <x:v>957</x:v>
      </x:c>
      <x:c r="B958" s="87" t="str">
        <x:v>MAR-CHEM-V1-024</x:v>
      </x:c>
      <x:c r="C958" s="87" t="str">
        <x:v>СтатГрад</x:v>
      </x:c>
      <x:c r="D958" s="87" t="str">
        <x:v>Март 2026</x:v>
      </x:c>
      <x:c r="E958" s="87"/>
      <x:c r="F958" s="87"/>
      <x:c r="G958" s="87" t="str">
        <x:v>Химия</x:v>
      </x:c>
      <x:c r="H958" s="87" t="n">
        <x:v>11</x:v>
      </x:c>
      <x:c r="I958" s="87" t="str">
        <x:v>ТР №4</x:v>
      </x:c>
      <x:c r="J958" s="87" t="str">
        <x:v>ХИ2510401</x:v>
      </x:c>
      <x:c r="K958" s="87" t="n">
        <x:v>24</x:v>
      </x:c>
      <x:c r="L958" s="87" t="str">
        <x:v>Качественные признаки</x:v>
      </x:c>
      <x:c r="M958" s="30" t="str">
        <x:v>Соотнести вещества с признаком реакции с концентрированной HCl.</x:v>
      </x:c>
      <x:c r="N958" s="30" t="str">
        <x:v>5432</x:v>
      </x:c>
      <x:c r="O958" s="30" t="str">
        <x:v>Известковая вода — без видимых признаков; реактив Толленса — AgCl↓; CuCl₂ меняет цвет из-за хлорокомплекса; сода выделяет CO₂.</x:v>
      </x:c>
      <x:c r="P958" s="30" t="str">
        <x:v>Проверены молекулярные и комплексные процессы.</x:v>
      </x:c>
      <x:c r="Q958" s="30"/>
      <x:c r="R958" s="30" t="str">
        <x:v>PDF + независимая проверка</x:v>
      </x:c>
      <x:c r="S958" s="30"/>
      <x:c r="T958" s="30"/>
      <x:c r="U958" s="30" t="str">
        <x:v>Расхождений не обнаружено.</x:v>
      </x:c>
      <x:c r="V958" s="87" t="str">
        <x:v>VERIFIED</x:v>
      </x:c>
      <x:c r="W958" s="87" t="str">
        <x:v>PDF варианта, внутренняя стр. 13</x:v>
      </x:c>
      <x:c r="X958" s="87"/>
      <x:c r="Y958" s="87"/>
      <x:c r="Z958" s="87"/>
      <x:c r="AA958" s="87"/>
      <x:c r="AB958" s="87"/>
      <x:c r="AC958" s="87"/>
      <x:c r="AD958" s="87"/>
      <x:c r="AE958" s="87"/>
      <x:c r="AF958" s="87"/>
      <x:c r="AG958" s="87"/>
      <x:c r="AH958" s="87"/>
      <x:c r="AI958" s="30"/>
      <x:c r="AJ958" s="87" t="str">
        <x:v>master</x:v>
      </x:c>
      <x:c r="AK958" s="87" t="str">
        <x:v>master-v0.81</x:v>
      </x:c>
      <x:c r="AL958" s="87" t="str">
        <x:v>statgrad_master_base_v0_81_final(2).xlsx</x:v>
      </x:c>
      <x:c r="AM958" s="87" t="str">
        <x:v>CHEM_Mar_V1</x:v>
      </x:c>
      <x:c r="AN958" s="87" t="n">
        <x:v>25</x:v>
      </x:c>
    </x:row>
    <x:row r="959">
      <x:c r="A959" s="87" t="n">
        <x:v>958</x:v>
      </x:c>
      <x:c r="B959" s="87" t="str">
        <x:v>MAR-CHEM-V1-025</x:v>
      </x:c>
      <x:c r="C959" s="87" t="str">
        <x:v>СтатГрад</x:v>
      </x:c>
      <x:c r="D959" s="87" t="str">
        <x:v>Март 2026</x:v>
      </x:c>
      <x:c r="E959" s="87"/>
      <x:c r="F959" s="87"/>
      <x:c r="G959" s="87" t="str">
        <x:v>Химия</x:v>
      </x:c>
      <x:c r="H959" s="87" t="n">
        <x:v>11</x:v>
      </x:c>
      <x:c r="I959" s="87" t="str">
        <x:v>ТР №4</x:v>
      </x:c>
      <x:c r="J959" s="87" t="str">
        <x:v>ХИ2510401</x:v>
      </x:c>
      <x:c r="K959" s="87" t="n">
        <x:v>25</x:v>
      </x:c>
      <x:c r="L959" s="87" t="str">
        <x:v>Химическая технология</x:v>
      </x:c>
      <x:c r="M959" s="30" t="str">
        <x:v>Соотнести колонну синтеза, печь обжига и доменную печь с продуктами.</x:v>
      </x:c>
      <x:c r="N959" s="30" t="str">
        <x:v>314</x:v>
      </x:c>
      <x:c r="O959" s="30" t="str">
        <x:v>Колонна синтеза — NH₃; печь обжига — SO₂; доменная печь — чугун.</x:v>
      </x:c>
      <x:c r="P959" s="30" t="str">
        <x:v>Проверены основные промышленные процессы.</x:v>
      </x:c>
      <x:c r="Q959" s="30"/>
      <x:c r="R959" s="30" t="str">
        <x:v>PDF + независимая проверка</x:v>
      </x:c>
      <x:c r="S959" s="30"/>
      <x:c r="T959" s="30"/>
      <x:c r="U959" s="30" t="str">
        <x:v>Расхождений не обнаружено.</x:v>
      </x:c>
      <x:c r="V959" s="87" t="str">
        <x:v>VERIFIED</x:v>
      </x:c>
      <x:c r="W959" s="87" t="str">
        <x:v>PDF варианта, внутренняя стр. 13</x:v>
      </x:c>
      <x:c r="X959" s="87"/>
      <x:c r="Y959" s="87"/>
      <x:c r="Z959" s="87"/>
      <x:c r="AA959" s="87"/>
      <x:c r="AB959" s="87"/>
      <x:c r="AC959" s="87"/>
      <x:c r="AD959" s="87"/>
      <x:c r="AE959" s="87"/>
      <x:c r="AF959" s="87"/>
      <x:c r="AG959" s="87"/>
      <x:c r="AH959" s="87"/>
      <x:c r="AI959" s="30"/>
      <x:c r="AJ959" s="87" t="str">
        <x:v>master</x:v>
      </x:c>
      <x:c r="AK959" s="87" t="str">
        <x:v>master-v0.81</x:v>
      </x:c>
      <x:c r="AL959" s="87" t="str">
        <x:v>statgrad_master_base_v0_81_final(2).xlsx</x:v>
      </x:c>
      <x:c r="AM959" s="87" t="str">
        <x:v>CHEM_Mar_V1</x:v>
      </x:c>
      <x:c r="AN959" s="87" t="n">
        <x:v>26</x:v>
      </x:c>
    </x:row>
    <x:row r="960">
      <x:c r="A960" s="87" t="n">
        <x:v>959</x:v>
      </x:c>
      <x:c r="B960" s="87" t="str">
        <x:v>MAR-CHEM-V1-026</x:v>
      </x:c>
      <x:c r="C960" s="87" t="str">
        <x:v>СтатГрад</x:v>
      </x:c>
      <x:c r="D960" s="87" t="str">
        <x:v>Март 2026</x:v>
      </x:c>
      <x:c r="E960" s="87"/>
      <x:c r="F960" s="87"/>
      <x:c r="G960" s="87" t="str">
        <x:v>Химия</x:v>
      </x:c>
      <x:c r="H960" s="87" t="n">
        <x:v>11</x:v>
      </x:c>
      <x:c r="I960" s="87" t="str">
        <x:v>ТР №4</x:v>
      </x:c>
      <x:c r="J960" s="87" t="str">
        <x:v>ХИ2510401</x:v>
      </x:c>
      <x:c r="K960" s="87" t="n">
        <x:v>26</x:v>
      </x:c>
      <x:c r="L960" s="87" t="str">
        <x:v>Расчёт концентрации</x:v>
      </x:c>
      <x:c r="M960" s="30" t="str">
        <x:v>К 200 мл 2 М KOH (ρ=1,09) добавить воду до 5%-го раствора.</x:v>
      </x:c>
      <x:c r="N960" s="30" t="str">
        <x:v>230</x:v>
      </x:c>
      <x:c r="O960" s="30" t="str">
        <x:v>m(раствора)=218 г; n(KOH)=0,4 моль, m=22,4 г; 22,4/(218+mводы)=0,05, mводы=230 г.</x:v>
      </x:c>
      <x:c r="P960" s="30" t="str">
        <x:v>Плотность воды 1 г/мл, поэтому V=230 мл.</x:v>
      </x:c>
      <x:c r="Q960" s="30"/>
      <x:c r="R960" s="30" t="str">
        <x:v>PDF + независимая проверка</x:v>
      </x:c>
      <x:c r="S960" s="30"/>
      <x:c r="T960" s="30"/>
      <x:c r="U960" s="30" t="str">
        <x:v>Расхождений не обнаружено.</x:v>
      </x:c>
      <x:c r="V960" s="87" t="str">
        <x:v>VERIFIED</x:v>
      </x:c>
      <x:c r="W960" s="87" t="str">
        <x:v>PDF варианта, внутренняя стр. 14</x:v>
      </x:c>
      <x:c r="X960" s="87"/>
      <x:c r="Y960" s="87"/>
      <x:c r="Z960" s="87"/>
      <x:c r="AA960" s="87"/>
      <x:c r="AB960" s="87"/>
      <x:c r="AC960" s="87"/>
      <x:c r="AD960" s="87"/>
      <x:c r="AE960" s="87"/>
      <x:c r="AF960" s="87"/>
      <x:c r="AG960" s="87"/>
      <x:c r="AH960" s="87"/>
      <x:c r="AI960" s="30"/>
      <x:c r="AJ960" s="87" t="str">
        <x:v>master</x:v>
      </x:c>
      <x:c r="AK960" s="87" t="str">
        <x:v>master-v0.81</x:v>
      </x:c>
      <x:c r="AL960" s="87" t="str">
        <x:v>statgrad_master_base_v0_81_final(2).xlsx</x:v>
      </x:c>
      <x:c r="AM960" s="87" t="str">
        <x:v>CHEM_Mar_V1</x:v>
      </x:c>
      <x:c r="AN960" s="87" t="n">
        <x:v>27</x:v>
      </x:c>
    </x:row>
    <x:row r="961">
      <x:c r="A961" s="87" t="n">
        <x:v>960</x:v>
      </x:c>
      <x:c r="B961" s="87" t="str">
        <x:v>MAR-CHEM-V1-027</x:v>
      </x:c>
      <x:c r="C961" s="87" t="str">
        <x:v>СтатГрад</x:v>
      </x:c>
      <x:c r="D961" s="87" t="str">
        <x:v>Март 2026</x:v>
      </x:c>
      <x:c r="E961" s="87"/>
      <x:c r="F961" s="87"/>
      <x:c r="G961" s="87" t="str">
        <x:v>Химия</x:v>
      </x:c>
      <x:c r="H961" s="87" t="n">
        <x:v>11</x:v>
      </x:c>
      <x:c r="I961" s="87" t="str">
        <x:v>ТР №4</x:v>
      </x:c>
      <x:c r="J961" s="87" t="str">
        <x:v>ХИ2510401</x:v>
      </x:c>
      <x:c r="K961" s="87" t="n">
        <x:v>27</x:v>
      </x:c>
      <x:c r="L961" s="87" t="str">
        <x:v>Термохимический расчёт</x:v>
      </x:c>
      <x:c r="M961" s="30" t="str">
        <x:v>При нейтрализации Ba(OH)₂ выделилось 2,8 кДж; найти массу BaCl₂.</x:v>
      </x:c>
      <x:c r="N961" s="30" t="str">
        <x:v>5,2</x:v>
      </x:c>
      <x:c r="O961" s="30" t="str">
        <x:v>n(H₂O)=2,8/56=0,05 моль; n(BaCl₂)=0,025 моль; M=208 г/моль, m=5,2 г.</x:v>
      </x:c>
      <x:c r="P961" s="30" t="str">
        <x:v>Стехиометрия двух OH⁻ на Ba(OH)₂ проверена.</x:v>
      </x:c>
      <x:c r="Q961" s="30"/>
      <x:c r="R961" s="30" t="str">
        <x:v>PDF + независимая проверка</x:v>
      </x:c>
      <x:c r="S961" s="30"/>
      <x:c r="T961" s="30"/>
      <x:c r="U961" s="30" t="str">
        <x:v>Расхождений не обнаружено.</x:v>
      </x:c>
      <x:c r="V961" s="87" t="str">
        <x:v>VERIFIED</x:v>
      </x:c>
      <x:c r="W961" s="87" t="str">
        <x:v>PDF варианта, внутренняя стр. 14</x:v>
      </x:c>
      <x:c r="X961" s="87"/>
      <x:c r="Y961" s="87"/>
      <x:c r="Z961" s="87"/>
      <x:c r="AA961" s="87"/>
      <x:c r="AB961" s="87"/>
      <x:c r="AC961" s="87"/>
      <x:c r="AD961" s="87"/>
      <x:c r="AE961" s="87"/>
      <x:c r="AF961" s="87"/>
      <x:c r="AG961" s="87"/>
      <x:c r="AH961" s="87"/>
      <x:c r="AI961" s="30"/>
      <x:c r="AJ961" s="87" t="str">
        <x:v>master</x:v>
      </x:c>
      <x:c r="AK961" s="87" t="str">
        <x:v>master-v0.81</x:v>
      </x:c>
      <x:c r="AL961" s="87" t="str">
        <x:v>statgrad_master_base_v0_81_final(2).xlsx</x:v>
      </x:c>
      <x:c r="AM961" s="87" t="str">
        <x:v>CHEM_Mar_V1</x:v>
      </x:c>
      <x:c r="AN961" s="87" t="n">
        <x:v>28</x:v>
      </x:c>
    </x:row>
    <x:row r="962">
      <x:c r="A962" s="87" t="n">
        <x:v>961</x:v>
      </x:c>
      <x:c r="B962" s="87" t="str">
        <x:v>MAR-CHEM-V1-028</x:v>
      </x:c>
      <x:c r="C962" s="87" t="str">
        <x:v>СтатГрад</x:v>
      </x:c>
      <x:c r="D962" s="87" t="str">
        <x:v>Март 2026</x:v>
      </x:c>
      <x:c r="E962" s="87"/>
      <x:c r="F962" s="87"/>
      <x:c r="G962" s="87" t="str">
        <x:v>Химия</x:v>
      </x:c>
      <x:c r="H962" s="87" t="n">
        <x:v>11</x:v>
      </x:c>
      <x:c r="I962" s="87" t="str">
        <x:v>ТР №4</x:v>
      </x:c>
      <x:c r="J962" s="87" t="str">
        <x:v>ХИ2510401</x:v>
      </x:c>
      <x:c r="K962" s="87" t="n">
        <x:v>28</x:v>
      </x:c>
      <x:c r="L962" s="87" t="str">
        <x:v>Выход продукта</x:v>
      </x:c>
      <x:c r="M962" s="30" t="str">
        <x:v>При нагревании 6,32 г KMnO₄ получено 336 мл O₂; найти выход.</x:v>
      </x:c>
      <x:c r="N962" s="30" t="str">
        <x:v>75</x:v>
      </x:c>
      <x:c r="O962" s="30" t="str">
        <x:v>n(KMnO₄)=0,04; теоретически n(O₂)=0,02, V=448 мл; η=336/448·100%=75%.</x:v>
      </x:c>
      <x:c r="P962" s="30" t="str">
        <x:v>Расчёт проверен по 2KMnO₄→K₂MnO₄+MnO₂+O₂.</x:v>
      </x:c>
      <x:c r="Q962" s="30"/>
      <x:c r="R962" s="30" t="str">
        <x:v>PDF + независимая проверка</x:v>
      </x:c>
      <x:c r="S962" s="30"/>
      <x:c r="T962" s="30"/>
      <x:c r="U962" s="30" t="str">
        <x:v>Расхождений не обнаружено.</x:v>
      </x:c>
      <x:c r="V962" s="87" t="str">
        <x:v>VERIFIED</x:v>
      </x:c>
      <x:c r="W962" s="87" t="str">
        <x:v>PDF варианта, внутренняя стр. 14</x:v>
      </x:c>
      <x:c r="X962" s="87"/>
      <x:c r="Y962" s="87"/>
      <x:c r="Z962" s="87"/>
      <x:c r="AA962" s="87"/>
      <x:c r="AB962" s="87"/>
      <x:c r="AC962" s="87"/>
      <x:c r="AD962" s="87"/>
      <x:c r="AE962" s="87"/>
      <x:c r="AF962" s="87"/>
      <x:c r="AG962" s="87"/>
      <x:c r="AH962" s="87"/>
      <x:c r="AI962" s="30"/>
      <x:c r="AJ962" s="87" t="str">
        <x:v>master</x:v>
      </x:c>
      <x:c r="AK962" s="87" t="str">
        <x:v>master-v0.81</x:v>
      </x:c>
      <x:c r="AL962" s="87" t="str">
        <x:v>statgrad_master_base_v0_81_final(2).xlsx</x:v>
      </x:c>
      <x:c r="AM962" s="87" t="str">
        <x:v>CHEM_Mar_V1</x:v>
      </x:c>
      <x:c r="AN962" s="87" t="n">
        <x:v>29</x:v>
      </x:c>
    </x:row>
    <x:row r="963">
      <x:c r="A963" s="87" t="n">
        <x:v>962</x:v>
      </x:c>
      <x:c r="B963" s="87" t="str">
        <x:v>MAR-CHEM-V1-029</x:v>
      </x:c>
      <x:c r="C963" s="87" t="str">
        <x:v>СтатГрад</x:v>
      </x:c>
      <x:c r="D963" s="87" t="str">
        <x:v>Март 2026</x:v>
      </x:c>
      <x:c r="E963" s="87"/>
      <x:c r="F963" s="87"/>
      <x:c r="G963" s="87" t="str">
        <x:v>Химия</x:v>
      </x:c>
      <x:c r="H963" s="87" t="n">
        <x:v>11</x:v>
      </x:c>
      <x:c r="I963" s="87" t="str">
        <x:v>ТР №4</x:v>
      </x:c>
      <x:c r="J963" s="87" t="str">
        <x:v>ХИ2510401</x:v>
      </x:c>
      <x:c r="K963" s="87" t="n">
        <x:v>29</x:v>
      </x:c>
      <x:c r="L963" s="87" t="str">
        <x:v>Развёрнутый ответ: ОВР</x:v>
      </x:c>
      <x:c r="M963" s="30" t="str">
        <x:v>Из перечня выбрать ОВР с образованием нерастворимого вещества; составить баланс.</x:v>
      </x:c>
      <x:c r="N963" s="30" t="str">
        <x:v>K₂Cr₂O₇ + 3K₂S + 7H₂SO₄ → Cr₂(SO₄)₃ + 3S↓ + 4K₂SO₄ + 7H₂O.
Баланс: Cr(+6)+3e⁻→Cr(+3) (×2); S(−2)−2e⁻→S(0) (×3).
Окислитель K₂Cr₂O₇, восстановитель K₂S.</x:v>
      </x:c>
      <x:c r="O963" s="30" t="str">
        <x:v>Образуется нерастворимая сера; атомы и заряд электронного баланса проверены.</x:v>
      </x:c>
      <x:c r="P963" s="30" t="str">
        <x:v>Независимое развёрнутое решение</x:v>
      </x:c>
      <x:c r="Q963" s="30"/>
      <x:c r="R963" s="30" t="str">
        <x:v>PDF + независимая проверка</x:v>
      </x:c>
      <x:c r="S963" s="30"/>
      <x:c r="T963" s="30"/>
      <x:c r="U963" s="30" t="str">
        <x:v>Расхождений не обнаружено.</x:v>
      </x:c>
      <x:c r="V963" s="87" t="str">
        <x:v>VERIFIED</x:v>
      </x:c>
      <x:c r="W963" s="87" t="str">
        <x:v>PDF варианта, внутренняя стр. 15</x:v>
      </x:c>
      <x:c r="X963" s="87"/>
      <x:c r="Y963" s="87"/>
      <x:c r="Z963" s="87"/>
      <x:c r="AA963" s="87"/>
      <x:c r="AB963" s="87"/>
      <x:c r="AC963" s="87"/>
      <x:c r="AD963" s="87"/>
      <x:c r="AE963" s="87"/>
      <x:c r="AF963" s="87"/>
      <x:c r="AG963" s="87"/>
      <x:c r="AH963" s="87"/>
      <x:c r="AI963" s="30"/>
      <x:c r="AJ963" s="87" t="str">
        <x:v>master</x:v>
      </x:c>
      <x:c r="AK963" s="87" t="str">
        <x:v>master-v0.81</x:v>
      </x:c>
      <x:c r="AL963" s="87" t="str">
        <x:v>statgrad_master_base_v0_81_final(2).xlsx</x:v>
      </x:c>
      <x:c r="AM963" s="87" t="str">
        <x:v>CHEM_Mar_V1</x:v>
      </x:c>
      <x:c r="AN963" s="87" t="n">
        <x:v>30</x:v>
      </x:c>
    </x:row>
    <x:row r="964">
      <x:c r="A964" s="87" t="n">
        <x:v>963</x:v>
      </x:c>
      <x:c r="B964" s="87" t="str">
        <x:v>MAR-CHEM-V1-030</x:v>
      </x:c>
      <x:c r="C964" s="87" t="str">
        <x:v>СтатГрад</x:v>
      </x:c>
      <x:c r="D964" s="87" t="str">
        <x:v>Март 2026</x:v>
      </x:c>
      <x:c r="E964" s="87"/>
      <x:c r="F964" s="87"/>
      <x:c r="G964" s="87" t="str">
        <x:v>Химия</x:v>
      </x:c>
      <x:c r="H964" s="87" t="n">
        <x:v>11</x:v>
      </x:c>
      <x:c r="I964" s="87" t="str">
        <x:v>ТР №4</x:v>
      </x:c>
      <x:c r="J964" s="87" t="str">
        <x:v>ХИ2510401</x:v>
      </x:c>
      <x:c r="K964" s="87" t="n">
        <x:v>30</x:v>
      </x:c>
      <x:c r="L964" s="87" t="str">
        <x:v>Развёрнутый ответ: ионный обмен</x:v>
      </x:c>
      <x:c r="M964" s="30" t="str">
        <x:v>Выбрать реакцию обмена без выделения газа и записать три уравнения.</x:v>
      </x:c>
      <x:c r="N964" s="30" t="str">
        <x:v>Молекулярное: Cu(OH)₂ + H₂SO₄ → CuSO₄ + 2H₂O.
Полное ионное: Cu(OH)₂(т)+2H⁺+SO₄²⁻→Cu²⁺+SO₄²⁻+2H₂O.
Сокращённое: Cu(OH)₂(т)+2H⁺→Cu²⁺+2H₂O.</x:v>
      </x:c>
      <x:c r="O964" s="30" t="str">
        <x:v>Движущая сила — образование слабого электролита воды и растворение осадка.</x:v>
      </x:c>
      <x:c r="P964" s="30" t="str">
        <x:v>Независимое развёрнутое решение</x:v>
      </x:c>
      <x:c r="Q964" s="30"/>
      <x:c r="R964" s="30" t="str">
        <x:v>PDF + независимая проверка</x:v>
      </x:c>
      <x:c r="S964" s="30"/>
      <x:c r="T964" s="30"/>
      <x:c r="U964" s="30" t="str">
        <x:v>Расхождений не обнаружено.</x:v>
      </x:c>
      <x:c r="V964" s="87" t="str">
        <x:v>VERIFIED</x:v>
      </x:c>
      <x:c r="W964" s="87" t="str">
        <x:v>PDF варианта, внутренняя стр. 15</x:v>
      </x:c>
      <x:c r="X964" s="87"/>
      <x:c r="Y964" s="87"/>
      <x:c r="Z964" s="87"/>
      <x:c r="AA964" s="87"/>
      <x:c r="AB964" s="87"/>
      <x:c r="AC964" s="87"/>
      <x:c r="AD964" s="87"/>
      <x:c r="AE964" s="87"/>
      <x:c r="AF964" s="87"/>
      <x:c r="AG964" s="87"/>
      <x:c r="AH964" s="87"/>
      <x:c r="AI964" s="30"/>
      <x:c r="AJ964" s="87" t="str">
        <x:v>master</x:v>
      </x:c>
      <x:c r="AK964" s="87" t="str">
        <x:v>master-v0.81</x:v>
      </x:c>
      <x:c r="AL964" s="87" t="str">
        <x:v>statgrad_master_base_v0_81_final(2).xlsx</x:v>
      </x:c>
      <x:c r="AM964" s="87" t="str">
        <x:v>CHEM_Mar_V1</x:v>
      </x:c>
      <x:c r="AN964" s="87" t="n">
        <x:v>31</x:v>
      </x:c>
    </x:row>
    <x:row r="965">
      <x:c r="A965" s="87" t="n">
        <x:v>964</x:v>
      </x:c>
      <x:c r="B965" s="87" t="str">
        <x:v>MAR-CHEM-V1-031</x:v>
      </x:c>
      <x:c r="C965" s="87" t="str">
        <x:v>СтатГрад</x:v>
      </x:c>
      <x:c r="D965" s="87" t="str">
        <x:v>Март 2026</x:v>
      </x:c>
      <x:c r="E965" s="87"/>
      <x:c r="F965" s="87"/>
      <x:c r="G965" s="87" t="str">
        <x:v>Химия</x:v>
      </x:c>
      <x:c r="H965" s="87" t="n">
        <x:v>11</x:v>
      </x:c>
      <x:c r="I965" s="87" t="str">
        <x:v>ТР №4</x:v>
      </x:c>
      <x:c r="J965" s="87" t="str">
        <x:v>ХИ2510401</x:v>
      </x:c>
      <x:c r="K965" s="87" t="n">
        <x:v>31</x:v>
      </x:c>
      <x:c r="L965" s="87" t="str">
        <x:v>Развёрнутый ответ: неорганическая цепочка</x:v>
      </x:c>
      <x:c r="M965" s="30" t="str">
        <x:v>Записать четыре реакции по описанию восстановления нитрата цинком в щёлочи.</x:v>
      </x:c>
      <x:c r="N965" s="30" t="str">
        <x:v>1) NaNO₃+4Zn+7NaOH+6H₂O→NH₃↑+4Na₂[Zn(OH)₄].
2) 2NH₃+3CuO→N₂+3Cu+3H₂O.
3) Na₂[Zn(OH)₄]+CO₂→Zn(OH)₂↓+Na₂CO₃+H₂O.
4) Zn(OH)₂→ZnO+H₂O (t).</x:v>
      </x:c>
      <x:c r="O965" s="30" t="str">
        <x:v>Все четыре уравнения уравнены; продукты соответствуют последовательности опыта.</x:v>
      </x:c>
      <x:c r="P965" s="30" t="str">
        <x:v>Независимое развёрнутое решение</x:v>
      </x:c>
      <x:c r="Q965" s="30"/>
      <x:c r="R965" s="30" t="str">
        <x:v>PDF + независимая проверка</x:v>
      </x:c>
      <x:c r="S965" s="30"/>
      <x:c r="T965" s="30"/>
      <x:c r="U965" s="30" t="str">
        <x:v>Расхождений не обнаружено.</x:v>
      </x:c>
      <x:c r="V965" s="87" t="str">
        <x:v>VERIFIED</x:v>
      </x:c>
      <x:c r="W965" s="87" t="str">
        <x:v>PDF варианта, внутренняя стр. 15</x:v>
      </x:c>
      <x:c r="X965" s="87"/>
      <x:c r="Y965" s="87"/>
      <x:c r="Z965" s="87"/>
      <x:c r="AA965" s="87"/>
      <x:c r="AB965" s="87"/>
      <x:c r="AC965" s="87"/>
      <x:c r="AD965" s="87"/>
      <x:c r="AE965" s="87"/>
      <x:c r="AF965" s="87"/>
      <x:c r="AG965" s="87"/>
      <x:c r="AH965" s="87"/>
      <x:c r="AI965" s="30"/>
      <x:c r="AJ965" s="87" t="str">
        <x:v>master</x:v>
      </x:c>
      <x:c r="AK965" s="87" t="str">
        <x:v>master-v0.81</x:v>
      </x:c>
      <x:c r="AL965" s="87" t="str">
        <x:v>statgrad_master_base_v0_81_final(2).xlsx</x:v>
      </x:c>
      <x:c r="AM965" s="87" t="str">
        <x:v>CHEM_Mar_V1</x:v>
      </x:c>
      <x:c r="AN965" s="87" t="n">
        <x:v>32</x:v>
      </x:c>
    </x:row>
    <x:row r="966">
      <x:c r="A966" s="87" t="n">
        <x:v>965</x:v>
      </x:c>
      <x:c r="B966" s="87" t="str">
        <x:v>MAR-CHEM-V1-032</x:v>
      </x:c>
      <x:c r="C966" s="87" t="str">
        <x:v>СтатГрад</x:v>
      </x:c>
      <x:c r="D966" s="87" t="str">
        <x:v>Март 2026</x:v>
      </x:c>
      <x:c r="E966" s="87"/>
      <x:c r="F966" s="87"/>
      <x:c r="G966" s="87" t="str">
        <x:v>Химия</x:v>
      </x:c>
      <x:c r="H966" s="87" t="n">
        <x:v>11</x:v>
      </x:c>
      <x:c r="I966" s="87" t="str">
        <x:v>ТР №4</x:v>
      </x:c>
      <x:c r="J966" s="87" t="str">
        <x:v>ХИ2510401</x:v>
      </x:c>
      <x:c r="K966" s="87" t="n">
        <x:v>32</x:v>
      </x:c>
      <x:c r="L966" s="87" t="str">
        <x:v>Развёрнутый ответ: органическая цепочка</x:v>
      </x:c>
      <x:c r="M966" s="30" t="str">
        <x:v>Осуществить превращения пентадиен-1,4 → X₁ → циклопентан → X₂ → X₃ → C₅H₈O₄.</x:v>
      </x:c>
      <x:c r="N966" s="30" t="str">
        <x:v>1) CH₂=CH–CH₂–CH=CH₂+2HBr → BrCH₂–CH₂–CH₂–CH₂–CH₂Br (H₂O₂).
2) Br(CH₂)₅Br+2Na→циклопентан+2NaBr.
3) Циклопентан+Br₂→бромциклопентан+HBr (hν).
4) Бромциклопентан+KOH(водн.)→циклопентанол+KBr.
5) Циклопентанол+4[O]→HOOC–(CH₂)₃–COOH+H₂O.</x:v>
      </x:c>
      <x:c r="O966" s="30" t="str">
        <x:v>X₁=1,5-дибромпентан; X₂=бромциклопентан; X₃=циклопентанол; конечный продукт — глутаровая кислота.</x:v>
      </x:c>
      <x:c r="P966" s="30" t="str">
        <x:v>Независимое развёрнутое решение</x:v>
      </x:c>
      <x:c r="Q966" s="30"/>
      <x:c r="R966" s="30" t="str">
        <x:v>PDF + независимая проверка</x:v>
      </x:c>
      <x:c r="S966" s="30"/>
      <x:c r="T966" s="30"/>
      <x:c r="U966" s="30" t="str">
        <x:v>Расхождений не обнаружено.</x:v>
      </x:c>
      <x:c r="V966" s="87" t="str">
        <x:v>VERIFIED</x:v>
      </x:c>
      <x:c r="W966" s="87" t="str">
        <x:v>PDF варианта, внутренняя стр. 15</x:v>
      </x:c>
      <x:c r="X966" s="87"/>
      <x:c r="Y966" s="87"/>
      <x:c r="Z966" s="87"/>
      <x:c r="AA966" s="87"/>
      <x:c r="AB966" s="87"/>
      <x:c r="AC966" s="87"/>
      <x:c r="AD966" s="87"/>
      <x:c r="AE966" s="87"/>
      <x:c r="AF966" s="87"/>
      <x:c r="AG966" s="87"/>
      <x:c r="AH966" s="87"/>
      <x:c r="AI966" s="30"/>
      <x:c r="AJ966" s="87" t="str">
        <x:v>master</x:v>
      </x:c>
      <x:c r="AK966" s="87" t="str">
        <x:v>master-v0.81</x:v>
      </x:c>
      <x:c r="AL966" s="87" t="str">
        <x:v>statgrad_master_base_v0_81_final(2).xlsx</x:v>
      </x:c>
      <x:c r="AM966" s="87" t="str">
        <x:v>CHEM_Mar_V1</x:v>
      </x:c>
      <x:c r="AN966" s="87" t="n">
        <x:v>33</x:v>
      </x:c>
    </x:row>
    <x:row r="967">
      <x:c r="A967" s="87" t="n">
        <x:v>966</x:v>
      </x:c>
      <x:c r="B967" s="87" t="str">
        <x:v>MAR-CHEM-V1-033</x:v>
      </x:c>
      <x:c r="C967" s="87" t="str">
        <x:v>СтатГрад</x:v>
      </x:c>
      <x:c r="D967" s="87" t="str">
        <x:v>Март 2026</x:v>
      </x:c>
      <x:c r="E967" s="87"/>
      <x:c r="F967" s="87"/>
      <x:c r="G967" s="87" t="str">
        <x:v>Химия</x:v>
      </x:c>
      <x:c r="H967" s="87" t="n">
        <x:v>11</x:v>
      </x:c>
      <x:c r="I967" s="87" t="str">
        <x:v>ТР №4</x:v>
      </x:c>
      <x:c r="J967" s="87" t="str">
        <x:v>ХИ2510401</x:v>
      </x:c>
      <x:c r="K967" s="87" t="n">
        <x:v>33</x:v>
      </x:c>
      <x:c r="L967" s="87" t="str">
        <x:v>Развёрнутый ответ: установление формулы</x:v>
      </x:c>
      <x:c r="M967" s="30" t="str">
        <x:v>По продуктам сгорания установить растворитель A и записать восстановление Zn/HCl.</x:v>
      </x:c>
      <x:c r="N967" s="30" t="str">
        <x:v>n(CO₂)=0,12; n(N₂)=0,02; n(H₂O)=0,14; n(A)=0,04 моль (один N), M=89.
Формула C₃H₇NO₂; симметричная небазовая структура: CH₃–CH(NO₂)–CH₃ (2-нитропропан).
CH₃–CH(NO₂)–CH₃+3Zn+6HCl→CH₃–CH(NH₂)–CH₃+3ZnCl₂+2H₂O.</x:v>
      </x:c>
      <x:c r="O967" s="30" t="str">
        <x:v>Массовый баланс C/H/N/O и симметрия молекулы проверены.</x:v>
      </x:c>
      <x:c r="P967" s="30" t="str">
        <x:v>Независимое развёрнутое решение</x:v>
      </x:c>
      <x:c r="Q967" s="30"/>
      <x:c r="R967" s="30" t="str">
        <x:v>PDF + независимая проверка</x:v>
      </x:c>
      <x:c r="S967" s="30"/>
      <x:c r="T967" s="30"/>
      <x:c r="U967" s="30" t="str">
        <x:v>Расхождений не обнаружено.</x:v>
      </x:c>
      <x:c r="V967" s="87" t="str">
        <x:v>VERIFIED</x:v>
      </x:c>
      <x:c r="W967" s="87" t="str">
        <x:v>PDF варианта, внутренняя стр. 16</x:v>
      </x:c>
      <x:c r="X967" s="87"/>
      <x:c r="Y967" s="87"/>
      <x:c r="Z967" s="87"/>
      <x:c r="AA967" s="87"/>
      <x:c r="AB967" s="87"/>
      <x:c r="AC967" s="87"/>
      <x:c r="AD967" s="87"/>
      <x:c r="AE967" s="87"/>
      <x:c r="AF967" s="87"/>
      <x:c r="AG967" s="87"/>
      <x:c r="AH967" s="87"/>
      <x:c r="AI967" s="30"/>
      <x:c r="AJ967" s="87" t="str">
        <x:v>master</x:v>
      </x:c>
      <x:c r="AK967" s="87" t="str">
        <x:v>master-v0.81</x:v>
      </x:c>
      <x:c r="AL967" s="87" t="str">
        <x:v>statgrad_master_base_v0_81_final(2).xlsx</x:v>
      </x:c>
      <x:c r="AM967" s="87" t="str">
        <x:v>CHEM_Mar_V1</x:v>
      </x:c>
      <x:c r="AN967" s="87" t="n">
        <x:v>34</x:v>
      </x:c>
    </x:row>
    <x:row r="968">
      <x:c r="A968" s="87" t="n">
        <x:v>967</x:v>
      </x:c>
      <x:c r="B968" s="87" t="str">
        <x:v>MAR-CHEM-V1-034</x:v>
      </x:c>
      <x:c r="C968" s="87" t="str">
        <x:v>СтатГрад</x:v>
      </x:c>
      <x:c r="D968" s="87" t="str">
        <x:v>Март 2026</x:v>
      </x:c>
      <x:c r="E968" s="87"/>
      <x:c r="F968" s="87"/>
      <x:c r="G968" s="87" t="str">
        <x:v>Химия</x:v>
      </x:c>
      <x:c r="H968" s="87" t="n">
        <x:v>11</x:v>
      </x:c>
      <x:c r="I968" s="87" t="str">
        <x:v>ТР №4</x:v>
      </x:c>
      <x:c r="J968" s="87" t="str">
        <x:v>ХИ2510401</x:v>
      </x:c>
      <x:c r="K968" s="87" t="n">
        <x:v>34</x:v>
      </x:c>
      <x:c r="L968" s="87" t="str">
        <x:v>Развёрнутый ответ: расчёт смеси</x:v>
      </x:c>
      <x:c r="M968" s="30" t="str">
        <x:v>Разложение FeC₂O₄; газы поглотить 200 г 10%-го NaOH; найти массовые доли веществ.</x:v>
      </x:c>
      <x:c r="N968" s="30" t="str">
        <x:v>FeC₂O₄→FeO+CO+CO₂; FeO+CO→Fe+CO₂.
В остатке 0,10 моль Fe и 0,10 моль FeO; газы: 0,10 моль CO и 0,30 моль CO₂.
0,50 моль NaOH и 0,30 моль CO₂ дают 0,20 моль Na₂CO₃ и 0,10 моль NaHCO₃.
Итоговая масса раствора 213,2 г; w(Na₂CO₃)=9,94%, w(NaHCO₃)=3,94%.</x:v>
      </x:c>
      <x:c r="O968" s="30" t="str">
        <x:v>Материальный баланс по Fe, C и NaOH проверен; CO не поглощается.</x:v>
      </x:c>
      <x:c r="P968" s="30" t="str">
        <x:v>Независимое развёрнутое решение</x:v>
      </x:c>
      <x:c r="Q968" s="30"/>
      <x:c r="R968" s="30" t="str">
        <x:v>PDF + независимая проверка</x:v>
      </x:c>
      <x:c r="S968" s="30"/>
      <x:c r="T968" s="30"/>
      <x:c r="U968" s="30" t="str">
        <x:v>Расхождений не обнаружено.</x:v>
      </x:c>
      <x:c r="V968" s="87" t="str">
        <x:v>VERIFIED</x:v>
      </x:c>
      <x:c r="W968" s="87" t="str">
        <x:v>PDF варианта, внутренняя стр. 16</x:v>
      </x:c>
      <x:c r="X968" s="87"/>
      <x:c r="Y968" s="87"/>
      <x:c r="Z968" s="87"/>
      <x:c r="AA968" s="87"/>
      <x:c r="AB968" s="87"/>
      <x:c r="AC968" s="87"/>
      <x:c r="AD968" s="87"/>
      <x:c r="AE968" s="87"/>
      <x:c r="AF968" s="87"/>
      <x:c r="AG968" s="87"/>
      <x:c r="AH968" s="87"/>
      <x:c r="AI968" s="30"/>
      <x:c r="AJ968" s="87" t="str">
        <x:v>master</x:v>
      </x:c>
      <x:c r="AK968" s="87" t="str">
        <x:v>master-v0.81</x:v>
      </x:c>
      <x:c r="AL968" s="87" t="str">
        <x:v>statgrad_master_base_v0_81_final(2).xlsx</x:v>
      </x:c>
      <x:c r="AM968" s="87" t="str">
        <x:v>CHEM_Mar_V1</x:v>
      </x:c>
      <x:c r="AN968" s="87" t="n">
        <x:v>35</x:v>
      </x:c>
    </x:row>
    <x:row r="969">
      <x:c r="A969" s="87" t="n">
        <x:v>968</x:v>
      </x:c>
      <x:c r="B969" s="87" t="str">
        <x:v>MAR-CHEM-V2-001</x:v>
      </x:c>
      <x:c r="C969" s="87" t="str">
        <x:v>СтатГрад</x:v>
      </x:c>
      <x:c r="D969" s="87" t="str">
        <x:v>Март 2026</x:v>
      </x:c>
      <x:c r="E969" s="87"/>
      <x:c r="F969" s="87"/>
      <x:c r="G969" s="87" t="str">
        <x:v>Химия</x:v>
      </x:c>
      <x:c r="H969" s="87" t="n">
        <x:v>11</x:v>
      </x:c>
      <x:c r="I969" s="87" t="str">
        <x:v>ТР №4</x:v>
      </x:c>
      <x:c r="J969" s="87" t="str">
        <x:v>ХИ2510402</x:v>
      </x:c>
      <x:c r="K969" s="87" t="n">
        <x:v>1</x:v>
      </x:c>
      <x:c r="L969" s="87" t="str">
        <x:v>Строение атома и иона</x:v>
      </x:c>
      <x:c r="M969" s="30" t="str">
        <x:v>Выбрать элементы, образующие катион +2 без неспаренных электронов.</x:v>
      </x:c>
      <x:c r="N969" s="30" t="str">
        <x:v>14</x:v>
      </x:c>
      <x:c r="O969" s="30" t="str">
        <x:v>Ca²⁺ и Pb²⁺ имеют конфигурации без неспаренных электронов.</x:v>
      </x:c>
      <x:c r="P969" s="30" t="str">
        <x:v>Проверены электронные конфигурации катионов.</x:v>
      </x:c>
      <x:c r="Q969" s="30"/>
      <x:c r="R969" s="30" t="str">
        <x:v>Публичный ответ: 14</x:v>
      </x:c>
      <x:c r="S969" s="30"/>
      <x:c r="T969" s="30"/>
      <x:c r="U969" s="30" t="str">
        <x:v>Расхождений не обнаружено.</x:v>
      </x:c>
      <x:c r="V969" s="87" t="str">
        <x:v>VERIFIED</x:v>
      </x:c>
      <x:c r="W969" s="87" t="str">
        <x:v>PDF варианта, внутренняя стр. 2</x:v>
      </x:c>
      <x:c r="X969" s="87"/>
      <x:c r="Y969" s="87"/>
      <x:c r="Z969" s="87"/>
      <x:c r="AA969" s="87"/>
      <x:c r="AB969" s="87"/>
      <x:c r="AC969" s="87"/>
      <x:c r="AD969" s="87"/>
      <x:c r="AE969" s="87"/>
      <x:c r="AF969" s="87"/>
      <x:c r="AG969" s="87"/>
      <x:c r="AH969" s="87"/>
      <x:c r="AI969" s="30"/>
      <x:c r="AJ969" s="87" t="str">
        <x:v>master</x:v>
      </x:c>
      <x:c r="AK969" s="87" t="str">
        <x:v>master-v0.81</x:v>
      </x:c>
      <x:c r="AL969" s="87" t="str">
        <x:v>statgrad_master_base_v0_81_final(2).xlsx</x:v>
      </x:c>
      <x:c r="AM969" s="87" t="str">
        <x:v>CHEM_Mar_V2</x:v>
      </x:c>
      <x:c r="AN969" s="87" t="n">
        <x:v>2</x:v>
      </x:c>
    </x:row>
    <x:row r="970">
      <x:c r="A970" s="87" t="n">
        <x:v>969</x:v>
      </x:c>
      <x:c r="B970" s="87" t="str">
        <x:v>MAR-CHEM-V2-002</x:v>
      </x:c>
      <x:c r="C970" s="87" t="str">
        <x:v>СтатГрад</x:v>
      </x:c>
      <x:c r="D970" s="87" t="str">
        <x:v>Март 2026</x:v>
      </x:c>
      <x:c r="E970" s="87"/>
      <x:c r="F970" s="87"/>
      <x:c r="G970" s="87" t="str">
        <x:v>Химия</x:v>
      </x:c>
      <x:c r="H970" s="87" t="n">
        <x:v>11</x:v>
      </x:c>
      <x:c r="I970" s="87" t="str">
        <x:v>ТР №4</x:v>
      </x:c>
      <x:c r="J970" s="87" t="str">
        <x:v>ХИ2510402</x:v>
      </x:c>
      <x:c r="K970" s="87" t="n">
        <x:v>2</x:v>
      </x:c>
      <x:c r="L970" s="87" t="str">
        <x:v>Периодические свойства</x:v>
      </x:c>
      <x:c r="M970" s="30" t="str">
        <x:v>Три металла расположить по усилению основных свойств высшего гидроксида.</x:v>
      </x:c>
      <x:c r="N970" s="30" t="str">
        <x:v>341</x:v>
      </x:c>
      <x:c r="O970" s="30" t="str">
        <x:v>Высшее соединение Mn(VII) кислотное; Pb(OH)₄ амфотерно; Ca(OH)₂ — основание.</x:v>
      </x:c>
      <x:c r="P970" s="30" t="str">
        <x:v>Сопоставлены высшие степени окисления и кислотно-основные свойства.</x:v>
      </x:c>
      <x:c r="Q970" s="30"/>
      <x:c r="R970" s="30" t="str">
        <x:v>Публичный ответ: 341</x:v>
      </x:c>
      <x:c r="S970" s="30"/>
      <x:c r="T970" s="30"/>
      <x:c r="U970" s="30" t="str">
        <x:v>Расхождений не обнаружено.</x:v>
      </x:c>
      <x:c r="V970" s="87" t="str">
        <x:v>VERIFIED</x:v>
      </x:c>
      <x:c r="W970" s="87" t="str">
        <x:v>PDF варианта, внутренняя стр. 2</x:v>
      </x:c>
      <x:c r="X970" s="87"/>
      <x:c r="Y970" s="87"/>
      <x:c r="Z970" s="87"/>
      <x:c r="AA970" s="87"/>
      <x:c r="AB970" s="87"/>
      <x:c r="AC970" s="87"/>
      <x:c r="AD970" s="87"/>
      <x:c r="AE970" s="87"/>
      <x:c r="AF970" s="87"/>
      <x:c r="AG970" s="87"/>
      <x:c r="AH970" s="87"/>
      <x:c r="AI970" s="30"/>
      <x:c r="AJ970" s="87" t="str">
        <x:v>master</x:v>
      </x:c>
      <x:c r="AK970" s="87" t="str">
        <x:v>master-v0.81</x:v>
      </x:c>
      <x:c r="AL970" s="87" t="str">
        <x:v>statgrad_master_base_v0_81_final(2).xlsx</x:v>
      </x:c>
      <x:c r="AM970" s="87" t="str">
        <x:v>CHEM_Mar_V2</x:v>
      </x:c>
      <x:c r="AN970" s="87" t="n">
        <x:v>3</x:v>
      </x:c>
    </x:row>
    <x:row r="971">
      <x:c r="A971" s="87" t="n">
        <x:v>970</x:v>
      </x:c>
      <x:c r="B971" s="87" t="str">
        <x:v>MAR-CHEM-V2-003</x:v>
      </x:c>
      <x:c r="C971" s="87" t="str">
        <x:v>СтатГрад</x:v>
      </x:c>
      <x:c r="D971" s="87" t="str">
        <x:v>Март 2026</x:v>
      </x:c>
      <x:c r="E971" s="87"/>
      <x:c r="F971" s="87"/>
      <x:c r="G971" s="87" t="str">
        <x:v>Химия</x:v>
      </x:c>
      <x:c r="H971" s="87" t="n">
        <x:v>11</x:v>
      </x:c>
      <x:c r="I971" s="87" t="str">
        <x:v>ТР №4</x:v>
      </x:c>
      <x:c r="J971" s="87" t="str">
        <x:v>ХИ2510402</x:v>
      </x:c>
      <x:c r="K971" s="87" t="n">
        <x:v>3</x:v>
      </x:c>
      <x:c r="L971" s="87" t="str">
        <x:v>Степени окисления</x:v>
      </x:c>
      <x:c r="M971" s="30" t="str">
        <x:v>Выбрать элементы, способные иметь степень окисления +6.</x:v>
      </x:c>
      <x:c r="N971" s="30" t="str">
        <x:v>35</x:v>
      </x:c>
      <x:c r="O971" s="30" t="str">
        <x:v>Mn и Xe образуют соединения со степенью окисления +6.</x:v>
      </x:c>
      <x:c r="P971" s="30" t="str">
        <x:v>Проверены известные устойчивые соединения Mn(VI) и Xe(VI).</x:v>
      </x:c>
      <x:c r="Q971" s="30"/>
      <x:c r="R971" s="30" t="str">
        <x:v>Публичный ответ: 35</x:v>
      </x:c>
      <x:c r="S971" s="30"/>
      <x:c r="T971" s="30"/>
      <x:c r="U971" s="30" t="str">
        <x:v>Расхождений не обнаружено.</x:v>
      </x:c>
      <x:c r="V971" s="87" t="str">
        <x:v>VERIFIED</x:v>
      </x:c>
      <x:c r="W971" s="87" t="str">
        <x:v>PDF варианта, внутренняя стр. 2</x:v>
      </x:c>
      <x:c r="X971" s="87"/>
      <x:c r="Y971" s="87"/>
      <x:c r="Z971" s="87"/>
      <x:c r="AA971" s="87"/>
      <x:c r="AB971" s="87"/>
      <x:c r="AC971" s="87"/>
      <x:c r="AD971" s="87"/>
      <x:c r="AE971" s="87"/>
      <x:c r="AF971" s="87"/>
      <x:c r="AG971" s="87"/>
      <x:c r="AH971" s="87"/>
      <x:c r="AI971" s="30"/>
      <x:c r="AJ971" s="87" t="str">
        <x:v>master</x:v>
      </x:c>
      <x:c r="AK971" s="87" t="str">
        <x:v>master-v0.81</x:v>
      </x:c>
      <x:c r="AL971" s="87" t="str">
        <x:v>statgrad_master_base_v0_81_final(2).xlsx</x:v>
      </x:c>
      <x:c r="AM971" s="87" t="str">
        <x:v>CHEM_Mar_V2</x:v>
      </x:c>
      <x:c r="AN971" s="87" t="n">
        <x:v>4</x:v>
      </x:c>
    </x:row>
    <x:row r="972">
      <x:c r="A972" s="87" t="n">
        <x:v>971</x:v>
      </x:c>
      <x:c r="B972" s="87" t="str">
        <x:v>MAR-CHEM-V2-004</x:v>
      </x:c>
      <x:c r="C972" s="87" t="str">
        <x:v>СтатГрад</x:v>
      </x:c>
      <x:c r="D972" s="87" t="str">
        <x:v>Март 2026</x:v>
      </x:c>
      <x:c r="E972" s="87"/>
      <x:c r="F972" s="87"/>
      <x:c r="G972" s="87" t="str">
        <x:v>Химия</x:v>
      </x:c>
      <x:c r="H972" s="87" t="n">
        <x:v>11</x:v>
      </x:c>
      <x:c r="I972" s="87" t="str">
        <x:v>ТР №4</x:v>
      </x:c>
      <x:c r="J972" s="87" t="str">
        <x:v>ХИ2510402</x:v>
      </x:c>
      <x:c r="K972" s="87" t="n">
        <x:v>4</x:v>
      </x:c>
      <x:c r="L972" s="87" t="str">
        <x:v>Химическая связь</x:v>
      </x:c>
      <x:c r="M972" s="30" t="str">
        <x:v>Выбрать вещества, в которых все связи ковалентные.</x:v>
      </x:c>
      <x:c r="N972" s="30" t="str">
        <x:v>23</x:v>
      </x:c>
      <x:c r="O972" s="30" t="str">
        <x:v>Алмаз и SiO₂ имеют атомные ковалентные решётки.</x:v>
      </x:c>
      <x:c r="P972" s="30" t="str">
        <x:v>Проверены типы связей и решёток.</x:v>
      </x:c>
      <x:c r="Q972" s="30"/>
      <x:c r="R972" s="30" t="str">
        <x:v>Публичный ответ: 23</x:v>
      </x:c>
      <x:c r="S972" s="30"/>
      <x:c r="T972" s="30"/>
      <x:c r="U972" s="30" t="str">
        <x:v>Расхождений не обнаружено.</x:v>
      </x:c>
      <x:c r="V972" s="87" t="str">
        <x:v>VERIFIED</x:v>
      </x:c>
      <x:c r="W972" s="87" t="str">
        <x:v>PDF варианта, внутренняя стр. 3</x:v>
      </x:c>
      <x:c r="X972" s="87"/>
      <x:c r="Y972" s="87"/>
      <x:c r="Z972" s="87"/>
      <x:c r="AA972" s="87"/>
      <x:c r="AB972" s="87"/>
      <x:c r="AC972" s="87"/>
      <x:c r="AD972" s="87"/>
      <x:c r="AE972" s="87"/>
      <x:c r="AF972" s="87"/>
      <x:c r="AG972" s="87"/>
      <x:c r="AH972" s="87"/>
      <x:c r="AI972" s="30"/>
      <x:c r="AJ972" s="87" t="str">
        <x:v>master</x:v>
      </x:c>
      <x:c r="AK972" s="87" t="str">
        <x:v>master-v0.81</x:v>
      </x:c>
      <x:c r="AL972" s="87" t="str">
        <x:v>statgrad_master_base_v0_81_final(2).xlsx</x:v>
      </x:c>
      <x:c r="AM972" s="87" t="str">
        <x:v>CHEM_Mar_V2</x:v>
      </x:c>
      <x:c r="AN972" s="87" t="n">
        <x:v>5</x:v>
      </x:c>
    </x:row>
    <x:row r="973">
      <x:c r="A973" s="87" t="n">
        <x:v>972</x:v>
      </x:c>
      <x:c r="B973" s="87" t="str">
        <x:v>MAR-CHEM-V2-005</x:v>
      </x:c>
      <x:c r="C973" s="87" t="str">
        <x:v>СтатГрад</x:v>
      </x:c>
      <x:c r="D973" s="87" t="str">
        <x:v>Март 2026</x:v>
      </x:c>
      <x:c r="E973" s="87"/>
      <x:c r="F973" s="87"/>
      <x:c r="G973" s="87" t="str">
        <x:v>Химия</x:v>
      </x:c>
      <x:c r="H973" s="87" t="n">
        <x:v>11</x:v>
      </x:c>
      <x:c r="I973" s="87" t="str">
        <x:v>ТР №4</x:v>
      </x:c>
      <x:c r="J973" s="87" t="str">
        <x:v>ХИ2510402</x:v>
      </x:c>
      <x:c r="K973" s="87" t="n">
        <x:v>5</x:v>
      </x:c>
      <x:c r="L973" s="87" t="str">
        <x:v>Классификация веществ</x:v>
      </x:c>
      <x:c r="M973" s="30" t="str">
        <x:v>Определить амфотерный оксид, одноосновную кислоту и двойную соль.</x:v>
      </x:c>
      <x:c r="N973" s="30" t="str">
        <x:v>872</x:v>
      </x:c>
      <x:c r="O973" s="30" t="str">
        <x:v>ZnO — амфотерный оксид; HIO₃ — одноосновная кислота; алюмокалиевые квасцы — двойная соль.</x:v>
      </x:c>
      <x:c r="P973" s="30" t="str">
        <x:v>Классификация проверена по составу веществ.</x:v>
      </x:c>
      <x:c r="Q973" s="30"/>
      <x:c r="R973" s="30" t="str">
        <x:v>Публичный ответ: 872</x:v>
      </x:c>
      <x:c r="S973" s="30"/>
      <x:c r="T973" s="30"/>
      <x:c r="U973" s="30" t="str">
        <x:v>Расхождений не обнаружено.</x:v>
      </x:c>
      <x:c r="V973" s="87" t="str">
        <x:v>VERIFIED</x:v>
      </x:c>
      <x:c r="W973" s="87" t="str">
        <x:v>PDF варианта, внутренняя стр. 3</x:v>
      </x:c>
      <x:c r="X973" s="87"/>
      <x:c r="Y973" s="87"/>
      <x:c r="Z973" s="87"/>
      <x:c r="AA973" s="87"/>
      <x:c r="AB973" s="87"/>
      <x:c r="AC973" s="87"/>
      <x:c r="AD973" s="87"/>
      <x:c r="AE973" s="87"/>
      <x:c r="AF973" s="87"/>
      <x:c r="AG973" s="87"/>
      <x:c r="AH973" s="87"/>
      <x:c r="AI973" s="30"/>
      <x:c r="AJ973" s="87" t="str">
        <x:v>master</x:v>
      </x:c>
      <x:c r="AK973" s="87" t="str">
        <x:v>master-v0.81</x:v>
      </x:c>
      <x:c r="AL973" s="87" t="str">
        <x:v>statgrad_master_base_v0_81_final(2).xlsx</x:v>
      </x:c>
      <x:c r="AM973" s="87" t="str">
        <x:v>CHEM_Mar_V2</x:v>
      </x:c>
      <x:c r="AN973" s="87" t="n">
        <x:v>6</x:v>
      </x:c>
    </x:row>
    <x:row r="974">
      <x:c r="A974" s="87" t="n">
        <x:v>973</x:v>
      </x:c>
      <x:c r="B974" s="87" t="str">
        <x:v>MAR-CHEM-V2-006</x:v>
      </x:c>
      <x:c r="C974" s="87" t="str">
        <x:v>СтатГрад</x:v>
      </x:c>
      <x:c r="D974" s="87" t="str">
        <x:v>Март 2026</x:v>
      </x:c>
      <x:c r="E974" s="87"/>
      <x:c r="F974" s="87"/>
      <x:c r="G974" s="87" t="str">
        <x:v>Химия</x:v>
      </x:c>
      <x:c r="H974" s="87" t="n">
        <x:v>11</x:v>
      </x:c>
      <x:c r="I974" s="87" t="str">
        <x:v>ТР №4</x:v>
      </x:c>
      <x:c r="J974" s="87" t="str">
        <x:v>ХИ2510402</x:v>
      </x:c>
      <x:c r="K974" s="87" t="n">
        <x:v>6</x:v>
      </x:c>
      <x:c r="L974" s="87" t="str">
        <x:v>Качественные реакции</x:v>
      </x:c>
      <x:c r="M974" s="30" t="str">
        <x:v>Для AgNO₃ подобрать реагент жёлтого осадка и реагент, в избытке растворяющий тёмный осадок.</x:v>
      </x:c>
      <x:c r="N974" s="30" t="str">
        <x:v>52</x:v>
      </x:c>
      <x:c r="O974" s="30" t="str">
        <x:v>KI образует AgI↓; NH₃ сначала даёт Ag₂O, затем растворяет его с образованием [Ag(NH₃)₂]⁺.</x:v>
      </x:c>
      <x:c r="P974" s="30" t="str">
        <x:v>Уравнения осаждения и комплексообразования проверены.</x:v>
      </x:c>
      <x:c r="Q974" s="30"/>
      <x:c r="R974" s="30" t="str">
        <x:v>Публичный ответ: 52</x:v>
      </x:c>
      <x:c r="S974" s="30"/>
      <x:c r="T974" s="30"/>
      <x:c r="U974" s="30" t="str">
        <x:v>Расхождений не обнаружено.</x:v>
      </x:c>
      <x:c r="V974" s="87" t="str">
        <x:v>VERIFIED</x:v>
      </x:c>
      <x:c r="W974" s="87" t="str">
        <x:v>PDF варианта, внутренняя стр. 4</x:v>
      </x:c>
      <x:c r="X974" s="87"/>
      <x:c r="Y974" s="87"/>
      <x:c r="Z974" s="87"/>
      <x:c r="AA974" s="87"/>
      <x:c r="AB974" s="87"/>
      <x:c r="AC974" s="87"/>
      <x:c r="AD974" s="87"/>
      <x:c r="AE974" s="87"/>
      <x:c r="AF974" s="87"/>
      <x:c r="AG974" s="87"/>
      <x:c r="AH974" s="87"/>
      <x:c r="AI974" s="30"/>
      <x:c r="AJ974" s="87" t="str">
        <x:v>master</x:v>
      </x:c>
      <x:c r="AK974" s="87" t="str">
        <x:v>master-v0.81</x:v>
      </x:c>
      <x:c r="AL974" s="87" t="str">
        <x:v>statgrad_master_base_v0_81_final(2).xlsx</x:v>
      </x:c>
      <x:c r="AM974" s="87" t="str">
        <x:v>CHEM_Mar_V2</x:v>
      </x:c>
      <x:c r="AN974" s="87" t="n">
        <x:v>7</x:v>
      </x:c>
    </x:row>
    <x:row r="975">
      <x:c r="A975" s="87" t="n">
        <x:v>974</x:v>
      </x:c>
      <x:c r="B975" s="87" t="str">
        <x:v>MAR-CHEM-V2-007</x:v>
      </x:c>
      <x:c r="C975" s="87" t="str">
        <x:v>СтатГрад</x:v>
      </x:c>
      <x:c r="D975" s="87" t="str">
        <x:v>Март 2026</x:v>
      </x:c>
      <x:c r="E975" s="87"/>
      <x:c r="F975" s="87"/>
      <x:c r="G975" s="87" t="str">
        <x:v>Химия</x:v>
      </x:c>
      <x:c r="H975" s="87" t="n">
        <x:v>11</x:v>
      </x:c>
      <x:c r="I975" s="87" t="str">
        <x:v>ТР №4</x:v>
      </x:c>
      <x:c r="J975" s="87" t="str">
        <x:v>ХИ2510402</x:v>
      </x:c>
      <x:c r="K975" s="87" t="n">
        <x:v>7</x:v>
      </x:c>
      <x:c r="L975" s="87" t="str">
        <x:v>Неорганические свойства</x:v>
      </x:c>
      <x:c r="M975" s="30" t="str">
        <x:v>Соотнести P, Mg, BeO и Cu(NO₃)₂ с наборами реагентов.</x:v>
      </x:c>
      <x:c r="N975" s="30" t="str">
        <x:v>5123</x:v>
      </x:c>
      <x:c r="O975" s="30" t="str">
        <x:v>P реагирует с Ca, Cl₂ и KOH; Mg — с Br₂, CO₂ и H₂SO₄; BeO — с C, KOH и HCl; Cu(NO₃)₂ — с Zn, NaOH и (NH₄)₂CO₃.</x:v>
      </x:c>
      <x:c r="P975" s="30" t="str">
        <x:v>Для каждой позиции проверены все три реакции.</x:v>
      </x:c>
      <x:c r="Q975" s="30"/>
      <x:c r="R975" s="30" t="str">
        <x:v>Публичный ответ: 5123</x:v>
      </x:c>
      <x:c r="S975" s="30"/>
      <x:c r="T975" s="30"/>
      <x:c r="U975" s="30" t="str">
        <x:v>Расхождений не обнаружено.</x:v>
      </x:c>
      <x:c r="V975" s="87" t="str">
        <x:v>VERIFIED</x:v>
      </x:c>
      <x:c r="W975" s="87" t="str">
        <x:v>PDF варианта, внутренняя стр. 4</x:v>
      </x:c>
      <x:c r="X975" s="87"/>
      <x:c r="Y975" s="87"/>
      <x:c r="Z975" s="87"/>
      <x:c r="AA975" s="87"/>
      <x:c r="AB975" s="87"/>
      <x:c r="AC975" s="87"/>
      <x:c r="AD975" s="87"/>
      <x:c r="AE975" s="87"/>
      <x:c r="AF975" s="87"/>
      <x:c r="AG975" s="87"/>
      <x:c r="AH975" s="87"/>
      <x:c r="AI975" s="30"/>
      <x:c r="AJ975" s="87" t="str">
        <x:v>master</x:v>
      </x:c>
      <x:c r="AK975" s="87" t="str">
        <x:v>master-v0.81</x:v>
      </x:c>
      <x:c r="AL975" s="87" t="str">
        <x:v>statgrad_master_base_v0_81_final(2).xlsx</x:v>
      </x:c>
      <x:c r="AM975" s="87" t="str">
        <x:v>CHEM_Mar_V2</x:v>
      </x:c>
      <x:c r="AN975" s="87" t="n">
        <x:v>8</x:v>
      </x:c>
    </x:row>
    <x:row r="976">
      <x:c r="A976" s="87" t="n">
        <x:v>975</x:v>
      </x:c>
      <x:c r="B976" s="87" t="str">
        <x:v>MAR-CHEM-V2-008</x:v>
      </x:c>
      <x:c r="C976" s="87" t="str">
        <x:v>СтатГрад</x:v>
      </x:c>
      <x:c r="D976" s="87" t="str">
        <x:v>Март 2026</x:v>
      </x:c>
      <x:c r="E976" s="87"/>
      <x:c r="F976" s="87"/>
      <x:c r="G976" s="87" t="str">
        <x:v>Химия</x:v>
      </x:c>
      <x:c r="H976" s="87" t="n">
        <x:v>11</x:v>
      </x:c>
      <x:c r="I976" s="87" t="str">
        <x:v>ТР №4</x:v>
      </x:c>
      <x:c r="J976" s="87" t="str">
        <x:v>ХИ2510402</x:v>
      </x:c>
      <x:c r="K976" s="87" t="n">
        <x:v>8</x:v>
      </x:c>
      <x:c r="L976" s="87" t="str">
        <x:v>Цепочки неорганических реакций</x:v>
      </x:c>
      <x:c r="M976" s="30" t="str">
        <x:v>Соотнести реакции соединений марганца с наборами продуктов.</x:v>
      </x:c>
      <x:c r="N976" s="30" t="str">
        <x:v>5416</x:v>
      </x:c>
      <x:c r="O976" s="30" t="str">
        <x:v>KMnO₄ с HCl даёт MnCl₂ и Cl₂; MnO₂ в щёлочи с Cl₂ окисляется до KMnO₄; Mn с HCl даёт H₂; MnO₂ с HCl — Cl₂.</x:v>
      </x:c>
      <x:c r="P976" s="30" t="str">
        <x:v>Все четыре уравнения проверены по степеням окисления.</x:v>
      </x:c>
      <x:c r="Q976" s="30"/>
      <x:c r="R976" s="30" t="str">
        <x:v>PDF + независимая проверка</x:v>
      </x:c>
      <x:c r="S976" s="30"/>
      <x:c r="T976" s="30"/>
      <x:c r="U976" s="30" t="str">
        <x:v>Расхождений не обнаружено.</x:v>
      </x:c>
      <x:c r="V976" s="87" t="str">
        <x:v>VERIFIED</x:v>
      </x:c>
      <x:c r="W976" s="87" t="str">
        <x:v>PDF варианта, внутренняя стр. 5</x:v>
      </x:c>
      <x:c r="X976" s="87"/>
      <x:c r="Y976" s="87"/>
      <x:c r="Z976" s="87"/>
      <x:c r="AA976" s="87"/>
      <x:c r="AB976" s="87"/>
      <x:c r="AC976" s="87"/>
      <x:c r="AD976" s="87"/>
      <x:c r="AE976" s="87"/>
      <x:c r="AF976" s="87"/>
      <x:c r="AG976" s="87"/>
      <x:c r="AH976" s="87"/>
      <x:c r="AI976" s="30"/>
      <x:c r="AJ976" s="87" t="str">
        <x:v>master</x:v>
      </x:c>
      <x:c r="AK976" s="87" t="str">
        <x:v>master-v0.81</x:v>
      </x:c>
      <x:c r="AL976" s="87" t="str">
        <x:v>statgrad_master_base_v0_81_final(2).xlsx</x:v>
      </x:c>
      <x:c r="AM976" s="87" t="str">
        <x:v>CHEM_Mar_V2</x:v>
      </x:c>
      <x:c r="AN976" s="87" t="n">
        <x:v>9</x:v>
      </x:c>
    </x:row>
    <x:row r="977">
      <x:c r="A977" s="87" t="n">
        <x:v>976</x:v>
      </x:c>
      <x:c r="B977" s="87" t="str">
        <x:v>MAR-CHEM-V2-009</x:v>
      </x:c>
      <x:c r="C977" s="87" t="str">
        <x:v>СтатГрад</x:v>
      </x:c>
      <x:c r="D977" s="87" t="str">
        <x:v>Март 2026</x:v>
      </x:c>
      <x:c r="E977" s="87"/>
      <x:c r="F977" s="87"/>
      <x:c r="G977" s="87" t="str">
        <x:v>Химия</x:v>
      </x:c>
      <x:c r="H977" s="87" t="n">
        <x:v>11</x:v>
      </x:c>
      <x:c r="I977" s="87" t="str">
        <x:v>ТР №4</x:v>
      </x:c>
      <x:c r="J977" s="87" t="str">
        <x:v>ХИ2510402</x:v>
      </x:c>
      <x:c r="K977" s="87" t="n">
        <x:v>9</x:v>
      </x:c>
      <x:c r="L977" s="87" t="str">
        <x:v>Цепочка превращений</x:v>
      </x:c>
      <x:c r="M977" s="30" t="str">
        <x:v>Определить X и Y в цепи X + HCl → NH₄Cl; NH₄Cl + Y, t → N₂.</x:v>
      </x:c>
      <x:c r="N977" s="30" t="str">
        <x:v>53</x:v>
      </x:c>
      <x:c r="O977" s="30" t="str">
        <x:v>X = (NH₄)₂S; Y = KNO₂.</x:v>
      </x:c>
      <x:c r="P977" s="30" t="str">
        <x:v>(NH₄)₂S+2HCl→2NH₄Cl+H₂S; NH₄Cl+KNO₂→N₂+KCl+2H₂O.</x:v>
      </x:c>
      <x:c r="Q977" s="30"/>
      <x:c r="R977" s="30" t="str">
        <x:v>PDF + независимая проверка</x:v>
      </x:c>
      <x:c r="S977" s="30"/>
      <x:c r="T977" s="30"/>
      <x:c r="U977" s="30" t="str">
        <x:v>Расхождений не обнаружено.</x:v>
      </x:c>
      <x:c r="V977" s="87" t="str">
        <x:v>VERIFIED</x:v>
      </x:c>
      <x:c r="W977" s="87" t="str">
        <x:v>PDF варианта, внутренняя стр. 5</x:v>
      </x:c>
      <x:c r="X977" s="87"/>
      <x:c r="Y977" s="87"/>
      <x:c r="Z977" s="87"/>
      <x:c r="AA977" s="87"/>
      <x:c r="AB977" s="87"/>
      <x:c r="AC977" s="87"/>
      <x:c r="AD977" s="87"/>
      <x:c r="AE977" s="87"/>
      <x:c r="AF977" s="87"/>
      <x:c r="AG977" s="87"/>
      <x:c r="AH977" s="87"/>
      <x:c r="AI977" s="30"/>
      <x:c r="AJ977" s="87" t="str">
        <x:v>master</x:v>
      </x:c>
      <x:c r="AK977" s="87" t="str">
        <x:v>master-v0.81</x:v>
      </x:c>
      <x:c r="AL977" s="87" t="str">
        <x:v>statgrad_master_base_v0_81_final(2).xlsx</x:v>
      </x:c>
      <x:c r="AM977" s="87" t="str">
        <x:v>CHEM_Mar_V2</x:v>
      </x:c>
      <x:c r="AN977" s="87" t="n">
        <x:v>10</x:v>
      </x:c>
    </x:row>
    <x:row r="978">
      <x:c r="A978" s="87" t="n">
        <x:v>977</x:v>
      </x:c>
      <x:c r="B978" s="87" t="str">
        <x:v>MAR-CHEM-V2-010</x:v>
      </x:c>
      <x:c r="C978" s="87" t="str">
        <x:v>СтатГрад</x:v>
      </x:c>
      <x:c r="D978" s="87" t="str">
        <x:v>Март 2026</x:v>
      </x:c>
      <x:c r="E978" s="87"/>
      <x:c r="F978" s="87"/>
      <x:c r="G978" s="87" t="str">
        <x:v>Химия</x:v>
      </x:c>
      <x:c r="H978" s="87" t="n">
        <x:v>11</x:v>
      </x:c>
      <x:c r="I978" s="87" t="str">
        <x:v>ТР №4</x:v>
      </x:c>
      <x:c r="J978" s="87" t="str">
        <x:v>ХИ2510402</x:v>
      </x:c>
      <x:c r="K978" s="87" t="n">
        <x:v>10</x:v>
      </x:c>
      <x:c r="L978" s="87" t="str">
        <x:v>Органические классы</x:v>
      </x:c>
      <x:c r="M978" s="30" t="str">
        <x:v>Соотнести общие формулы с этилформиатом, диэтиловым эфиром и 4-метиланилином.</x:v>
      </x:c>
      <x:c r="N978" s="30" t="str">
        <x:v>213</x:v>
      </x:c>
      <x:c r="O978" s="30" t="str">
        <x:v>Диэтиловый эфир соответствует CₙH₂ₙ₊₂O, этилформиат — CₙH₂ₙO₂, 4-метиланилин — CₙH₂ₙ₋₅N.</x:v>
      </x:c>
      <x:c r="P978" s="30" t="str">
        <x:v>Формулы пересчитаны по структурам.</x:v>
      </x:c>
      <x:c r="Q978" s="30"/>
      <x:c r="R978" s="30" t="str">
        <x:v>Публичный ответ: 213</x:v>
      </x:c>
      <x:c r="S978" s="30"/>
      <x:c r="T978" s="30"/>
      <x:c r="U978" s="30" t="str">
        <x:v>Расхождений не обнаружено.</x:v>
      </x:c>
      <x:c r="V978" s="87" t="str">
        <x:v>VERIFIED</x:v>
      </x:c>
      <x:c r="W978" s="87" t="str">
        <x:v>PDF варианта, внутренняя стр. 6</x:v>
      </x:c>
      <x:c r="X978" s="87"/>
      <x:c r="Y978" s="87"/>
      <x:c r="Z978" s="87"/>
      <x:c r="AA978" s="87"/>
      <x:c r="AB978" s="87"/>
      <x:c r="AC978" s="87"/>
      <x:c r="AD978" s="87"/>
      <x:c r="AE978" s="87"/>
      <x:c r="AF978" s="87"/>
      <x:c r="AG978" s="87"/>
      <x:c r="AH978" s="87"/>
      <x:c r="AI978" s="30"/>
      <x:c r="AJ978" s="87" t="str">
        <x:v>master</x:v>
      </x:c>
      <x:c r="AK978" s="87" t="str">
        <x:v>master-v0.81</x:v>
      </x:c>
      <x:c r="AL978" s="87" t="str">
        <x:v>statgrad_master_base_v0_81_final(2).xlsx</x:v>
      </x:c>
      <x:c r="AM978" s="87" t="str">
        <x:v>CHEM_Mar_V2</x:v>
      </x:c>
      <x:c r="AN978" s="87" t="n">
        <x:v>11</x:v>
      </x:c>
    </x:row>
    <x:row r="979">
      <x:c r="A979" s="87" t="n">
        <x:v>978</x:v>
      </x:c>
      <x:c r="B979" s="87" t="str">
        <x:v>MAR-CHEM-V2-011</x:v>
      </x:c>
      <x:c r="C979" s="87" t="str">
        <x:v>СтатГрад</x:v>
      </x:c>
      <x:c r="D979" s="87" t="str">
        <x:v>Март 2026</x:v>
      </x:c>
      <x:c r="E979" s="87"/>
      <x:c r="F979" s="87"/>
      <x:c r="G979" s="87" t="str">
        <x:v>Химия</x:v>
      </x:c>
      <x:c r="H979" s="87" t="n">
        <x:v>11</x:v>
      </x:c>
      <x:c r="I979" s="87" t="str">
        <x:v>ТР №4</x:v>
      </x:c>
      <x:c r="J979" s="87" t="str">
        <x:v>ХИ2510402</x:v>
      </x:c>
      <x:c r="K979" s="87" t="n">
        <x:v>11</x:v>
      </x:c>
      <x:c r="L979" s="87" t="str">
        <x:v>Изомерия</x:v>
      </x:c>
      <x:c r="M979" s="30" t="str">
        <x:v>Выбрать структурные изомеры циклопентена.</x:v>
      </x:c>
      <x:c r="N979" s="30" t="str">
        <x:v>34</x:v>
      </x:c>
      <x:c r="O979" s="30" t="str">
        <x:v>Пентин-1 и 2-метилбутадиен-1,3 имеют формулу C₅H₈.</x:v>
      </x:c>
      <x:c r="P979" s="30" t="str">
        <x:v>Формулы всех вариантов проверены.</x:v>
      </x:c>
      <x:c r="Q979" s="30"/>
      <x:c r="R979" s="30" t="str">
        <x:v>Публичный ответ: 34</x:v>
      </x:c>
      <x:c r="S979" s="30"/>
      <x:c r="T979" s="30"/>
      <x:c r="U979" s="30" t="str">
        <x:v>Расхождений не обнаружено.</x:v>
      </x:c>
      <x:c r="V979" s="87" t="str">
        <x:v>VERIFIED</x:v>
      </x:c>
      <x:c r="W979" s="87" t="str">
        <x:v>PDF варианта, внутренняя стр. 6</x:v>
      </x:c>
      <x:c r="X979" s="87"/>
      <x:c r="Y979" s="87"/>
      <x:c r="Z979" s="87"/>
      <x:c r="AA979" s="87"/>
      <x:c r="AB979" s="87"/>
      <x:c r="AC979" s="87"/>
      <x:c r="AD979" s="87"/>
      <x:c r="AE979" s="87"/>
      <x:c r="AF979" s="87"/>
      <x:c r="AG979" s="87"/>
      <x:c r="AH979" s="87"/>
      <x:c r="AI979" s="30"/>
      <x:c r="AJ979" s="87" t="str">
        <x:v>master</x:v>
      </x:c>
      <x:c r="AK979" s="87" t="str">
        <x:v>master-v0.81</x:v>
      </x:c>
      <x:c r="AL979" s="87" t="str">
        <x:v>statgrad_master_base_v0_81_final(2).xlsx</x:v>
      </x:c>
      <x:c r="AM979" s="87" t="str">
        <x:v>CHEM_Mar_V2</x:v>
      </x:c>
      <x:c r="AN979" s="87" t="n">
        <x:v>12</x:v>
      </x:c>
    </x:row>
    <x:row r="980">
      <x:c r="A980" s="87" t="n">
        <x:v>979</x:v>
      </x:c>
      <x:c r="B980" s="87" t="str">
        <x:v>MAR-CHEM-V2-012</x:v>
      </x:c>
      <x:c r="C980" s="87" t="str">
        <x:v>СтатГрад</x:v>
      </x:c>
      <x:c r="D980" s="87" t="str">
        <x:v>Март 2026</x:v>
      </x:c>
      <x:c r="E980" s="87"/>
      <x:c r="F980" s="87"/>
      <x:c r="G980" s="87" t="str">
        <x:v>Химия</x:v>
      </x:c>
      <x:c r="H980" s="87" t="n">
        <x:v>11</x:v>
      </x:c>
      <x:c r="I980" s="87" t="str">
        <x:v>ТР №4</x:v>
      </x:c>
      <x:c r="J980" s="87" t="str">
        <x:v>ХИ2510402</x:v>
      </x:c>
      <x:c r="K980" s="87" t="n">
        <x:v>12</x:v>
      </x:c>
      <x:c r="L980" s="87" t="str">
        <x:v>Свойства органических веществ</x:v>
      </x:c>
      <x:c r="M980" s="30" t="str">
        <x:v>Выбрать реагенты, с которыми реагирует муравьиная кислота, но не этанол.</x:v>
      </x:c>
      <x:c r="N980" s="30" t="str">
        <x:v>123</x:v>
      </x:c>
      <x:c r="O980" s="30" t="str">
        <x:v>HCOOH реагирует с Cu(OH)₂, NaHCO₃ и Br₂(водн.); этанол в указанных условиях — нет.</x:v>
      </x:c>
      <x:c r="P980" s="30" t="str">
        <x:v>Проверены кислотные и восстановительные свойства HCOOH.</x:v>
      </x:c>
      <x:c r="Q980" s="30"/>
      <x:c r="R980" s="30" t="str">
        <x:v>Публичный ответ: 123</x:v>
      </x:c>
      <x:c r="S980" s="30"/>
      <x:c r="T980" s="30"/>
      <x:c r="U980" s="30" t="str">
        <x:v>Расхождений не обнаружено.</x:v>
      </x:c>
      <x:c r="V980" s="87" t="str">
        <x:v>VERIFIED</x:v>
      </x:c>
      <x:c r="W980" s="87" t="str">
        <x:v>PDF варианта, внутренняя стр. 6</x:v>
      </x:c>
      <x:c r="X980" s="87"/>
      <x:c r="Y980" s="87"/>
      <x:c r="Z980" s="87"/>
      <x:c r="AA980" s="87"/>
      <x:c r="AB980" s="87"/>
      <x:c r="AC980" s="87"/>
      <x:c r="AD980" s="87"/>
      <x:c r="AE980" s="87"/>
      <x:c r="AF980" s="87"/>
      <x:c r="AG980" s="87"/>
      <x:c r="AH980" s="87"/>
      <x:c r="AI980" s="30"/>
      <x:c r="AJ980" s="87" t="str">
        <x:v>master</x:v>
      </x:c>
      <x:c r="AK980" s="87" t="str">
        <x:v>master-v0.81</x:v>
      </x:c>
      <x:c r="AL980" s="87" t="str">
        <x:v>statgrad_master_base_v0_81_final(2).xlsx</x:v>
      </x:c>
      <x:c r="AM980" s="87" t="str">
        <x:v>CHEM_Mar_V2</x:v>
      </x:c>
      <x:c r="AN980" s="87" t="n">
        <x:v>13</x:v>
      </x:c>
    </x:row>
    <x:row r="981">
      <x:c r="A981" s="87" t="n">
        <x:v>980</x:v>
      </x:c>
      <x:c r="B981" s="87" t="str">
        <x:v>MAR-CHEM-V2-013</x:v>
      </x:c>
      <x:c r="C981" s="87" t="str">
        <x:v>СтатГрад</x:v>
      </x:c>
      <x:c r="D981" s="87" t="str">
        <x:v>Март 2026</x:v>
      </x:c>
      <x:c r="E981" s="87"/>
      <x:c r="F981" s="87"/>
      <x:c r="G981" s="87" t="str">
        <x:v>Химия</x:v>
      </x:c>
      <x:c r="H981" s="87" t="n">
        <x:v>11</x:v>
      </x:c>
      <x:c r="I981" s="87" t="str">
        <x:v>ТР №4</x:v>
      </x:c>
      <x:c r="J981" s="87" t="str">
        <x:v>ХИ2510402</x:v>
      </x:c>
      <x:c r="K981" s="87" t="n">
        <x:v>13</x:v>
      </x:c>
      <x:c r="L981" s="87" t="str">
        <x:v>Гидролиз полисахаридов</x:v>
      </x:c>
      <x:c r="M981" s="30" t="str">
        <x:v>Выбрать два вещества, образующиеся при гидролизе природных полисахаридов.</x:v>
      </x:c>
      <x:c r="N981" s="30" t="str">
        <x:v>35</x:v>
      </x:c>
      <x:c r="O981" s="30" t="str">
        <x:v>При частичном гидролизе крахмала образуется мальтоза, при полном — глюкоза.</x:v>
      </x:c>
      <x:c r="P981" s="30" t="str">
        <x:v>Последовательность гидролиза крахмала проверена.</x:v>
      </x:c>
      <x:c r="Q981" s="30"/>
      <x:c r="R981" s="30" t="str">
        <x:v>Публичный ответ: 35</x:v>
      </x:c>
      <x:c r="S981" s="30"/>
      <x:c r="T981" s="30"/>
      <x:c r="U981" s="30" t="str">
        <x:v>Расхождений не обнаружено.</x:v>
      </x:c>
      <x:c r="V981" s="87" t="str">
        <x:v>VERIFIED</x:v>
      </x:c>
      <x:c r="W981" s="87" t="str">
        <x:v>PDF варианта, внутренняя стр. 7</x:v>
      </x:c>
      <x:c r="X981" s="87"/>
      <x:c r="Y981" s="87"/>
      <x:c r="Z981" s="87"/>
      <x:c r="AA981" s="87"/>
      <x:c r="AB981" s="87"/>
      <x:c r="AC981" s="87"/>
      <x:c r="AD981" s="87"/>
      <x:c r="AE981" s="87"/>
      <x:c r="AF981" s="87"/>
      <x:c r="AG981" s="87"/>
      <x:c r="AH981" s="87"/>
      <x:c r="AI981" s="30"/>
      <x:c r="AJ981" s="87" t="str">
        <x:v>master</x:v>
      </x:c>
      <x:c r="AK981" s="87" t="str">
        <x:v>master-v0.81</x:v>
      </x:c>
      <x:c r="AL981" s="87" t="str">
        <x:v>statgrad_master_base_v0_81_final(2).xlsx</x:v>
      </x:c>
      <x:c r="AM981" s="87" t="str">
        <x:v>CHEM_Mar_V2</x:v>
      </x:c>
      <x:c r="AN981" s="87" t="n">
        <x:v>14</x:v>
      </x:c>
    </x:row>
    <x:row r="982">
      <x:c r="A982" s="87" t="n">
        <x:v>981</x:v>
      </x:c>
      <x:c r="B982" s="87" t="str">
        <x:v>MAR-CHEM-V2-014</x:v>
      </x:c>
      <x:c r="C982" s="87" t="str">
        <x:v>СтатГрад</x:v>
      </x:c>
      <x:c r="D982" s="87" t="str">
        <x:v>Март 2026</x:v>
      </x:c>
      <x:c r="E982" s="87"/>
      <x:c r="F982" s="87"/>
      <x:c r="G982" s="87" t="str">
        <x:v>Химия</x:v>
      </x:c>
      <x:c r="H982" s="87" t="n">
        <x:v>11</x:v>
      </x:c>
      <x:c r="I982" s="87" t="str">
        <x:v>ТР №4</x:v>
      </x:c>
      <x:c r="J982" s="87" t="str">
        <x:v>ХИ2510402</x:v>
      </x:c>
      <x:c r="K982" s="87" t="n">
        <x:v>14</x:v>
      </x:c>
      <x:c r="L982" s="87" t="str">
        <x:v>Получение углеводородов</x:v>
      </x:c>
      <x:c r="M982" s="30" t="str">
        <x:v>Соотнести четыре реакции с образующимися углеводородами.</x:v>
      </x:c>
      <x:c r="N982" s="30" t="str">
        <x:v>5423</x:v>
      </x:c>
      <x:c r="O982" s="30" t="str">
        <x:v>Фридель–Крафтс даёт этилбензол; дегидроциклизация гептана — толуол; Вюрц из C₂H₅Cl — бутан; дегидрогалогенирование 1-хлорбутана — бутен-1.</x:v>
      </x:c>
      <x:c r="P982" s="30" t="str">
        <x:v>Основные продукты реакций проверены.</x:v>
      </x:c>
      <x:c r="Q982" s="30"/>
      <x:c r="R982" s="30" t="str">
        <x:v>PDF + независимая проверка</x:v>
      </x:c>
      <x:c r="S982" s="30"/>
      <x:c r="T982" s="30"/>
      <x:c r="U982" s="30" t="str">
        <x:v>Расхождений не обнаружено.</x:v>
      </x:c>
      <x:c r="V982" s="87" t="str">
        <x:v>VERIFIED</x:v>
      </x:c>
      <x:c r="W982" s="87" t="str">
        <x:v>PDF варианта, внутренняя стр. 7</x:v>
      </x:c>
      <x:c r="X982" s="87"/>
      <x:c r="Y982" s="87"/>
      <x:c r="Z982" s="87"/>
      <x:c r="AA982" s="87"/>
      <x:c r="AB982" s="87"/>
      <x:c r="AC982" s="87"/>
      <x:c r="AD982" s="87"/>
      <x:c r="AE982" s="87"/>
      <x:c r="AF982" s="87"/>
      <x:c r="AG982" s="87"/>
      <x:c r="AH982" s="87"/>
      <x:c r="AI982" s="30"/>
      <x:c r="AJ982" s="87" t="str">
        <x:v>master</x:v>
      </x:c>
      <x:c r="AK982" s="87" t="str">
        <x:v>master-v0.81</x:v>
      </x:c>
      <x:c r="AL982" s="87" t="str">
        <x:v>statgrad_master_base_v0_81_final(2).xlsx</x:v>
      </x:c>
      <x:c r="AM982" s="87" t="str">
        <x:v>CHEM_Mar_V2</x:v>
      </x:c>
      <x:c r="AN982" s="87" t="n">
        <x:v>15</x:v>
      </x:c>
    </x:row>
    <x:row r="983">
      <x:c r="A983" s="87" t="n">
        <x:v>982</x:v>
      </x:c>
      <x:c r="B983" s="87" t="str">
        <x:v>MAR-CHEM-V2-015</x:v>
      </x:c>
      <x:c r="C983" s="87" t="str">
        <x:v>СтатГрад</x:v>
      </x:c>
      <x:c r="D983" s="87" t="str">
        <x:v>Март 2026</x:v>
      </x:c>
      <x:c r="E983" s="87"/>
      <x:c r="F983" s="87"/>
      <x:c r="G983" s="87" t="str">
        <x:v>Химия</x:v>
      </x:c>
      <x:c r="H983" s="87" t="n">
        <x:v>11</x:v>
      </x:c>
      <x:c r="I983" s="87" t="str">
        <x:v>ТР №4</x:v>
      </x:c>
      <x:c r="J983" s="87" t="str">
        <x:v>ХИ2510402</x:v>
      </x:c>
      <x:c r="K983" s="87" t="n">
        <x:v>15</x:v>
      </x:c>
      <x:c r="L983" s="87" t="str">
        <x:v>Органические реакции</x:v>
      </x:c>
      <x:c r="M983" s="30" t="str">
        <x:v>Соотнести схемы с преимущественными продуктами.</x:v>
      </x:c>
      <x:c r="N983" s="30" t="str">
        <x:v>3156</x:v>
      </x:c>
      <x:c r="O983" s="30" t="str">
        <x:v>Гидролиз пропионового ангидрида даёт пропионовую кислоту; гидрирование пропаналя — пропанол-1; трет-бутанол с HCl — трет-бутилхлорид; этанол с ацетилхлоридом — этилацетат.</x:v>
      </x:c>
      <x:c r="P983" s="30" t="str">
        <x:v>Функциональные превращения проверены.</x:v>
      </x:c>
      <x:c r="Q983" s="30"/>
      <x:c r="R983" s="30" t="str">
        <x:v>PDF + независимая проверка</x:v>
      </x:c>
      <x:c r="S983" s="30"/>
      <x:c r="T983" s="30"/>
      <x:c r="U983" s="30" t="str">
        <x:v>Расхождений не обнаружено.</x:v>
      </x:c>
      <x:c r="V983" s="87" t="str">
        <x:v>VERIFIED</x:v>
      </x:c>
      <x:c r="W983" s="87" t="str">
        <x:v>PDF варианта, внутренняя стр. 8</x:v>
      </x:c>
      <x:c r="X983" s="87"/>
      <x:c r="Y983" s="87"/>
      <x:c r="Z983" s="87"/>
      <x:c r="AA983" s="87"/>
      <x:c r="AB983" s="87"/>
      <x:c r="AC983" s="87"/>
      <x:c r="AD983" s="87"/>
      <x:c r="AE983" s="87"/>
      <x:c r="AF983" s="87"/>
      <x:c r="AG983" s="87"/>
      <x:c r="AH983" s="87"/>
      <x:c r="AI983" s="30"/>
      <x:c r="AJ983" s="87" t="str">
        <x:v>master</x:v>
      </x:c>
      <x:c r="AK983" s="87" t="str">
        <x:v>master-v0.81</x:v>
      </x:c>
      <x:c r="AL983" s="87" t="str">
        <x:v>statgrad_master_base_v0_81_final(2).xlsx</x:v>
      </x:c>
      <x:c r="AM983" s="87" t="str">
        <x:v>CHEM_Mar_V2</x:v>
      </x:c>
      <x:c r="AN983" s="87" t="n">
        <x:v>16</x:v>
      </x:c>
    </x:row>
    <x:row r="984">
      <x:c r="A984" s="87" t="n">
        <x:v>983</x:v>
      </x:c>
      <x:c r="B984" s="87" t="str">
        <x:v>MAR-CHEM-V2-016</x:v>
      </x:c>
      <x:c r="C984" s="87" t="str">
        <x:v>СтатГрад</x:v>
      </x:c>
      <x:c r="D984" s="87" t="str">
        <x:v>Март 2026</x:v>
      </x:c>
      <x:c r="E984" s="87"/>
      <x:c r="F984" s="87"/>
      <x:c r="G984" s="87" t="str">
        <x:v>Химия</x:v>
      </x:c>
      <x:c r="H984" s="87" t="n">
        <x:v>11</x:v>
      </x:c>
      <x:c r="I984" s="87" t="str">
        <x:v>ТР №4</x:v>
      </x:c>
      <x:c r="J984" s="87" t="str">
        <x:v>ХИ2510402</x:v>
      </x:c>
      <x:c r="K984" s="87" t="n">
        <x:v>16</x:v>
      </x:c>
      <x:c r="L984" s="87" t="str">
        <x:v>Органическая цепочка</x:v>
      </x:c>
      <x:c r="M984" s="30" t="str">
        <x:v>X + KCN → C₂H₅CN; затем Y → CH₃CH₂COOH.</x:v>
      </x:c>
      <x:c r="N984" s="30" t="str">
        <x:v>34</x:v>
      </x:c>
      <x:c r="O984" s="30" t="str">
        <x:v>X = C₂H₅Cl; Y = H₂O(H⁺).</x:v>
      </x:c>
      <x:c r="P984" s="30" t="str">
        <x:v>Нуклеофильное замещение и кислотный гидролиз нитрила проверены.</x:v>
      </x:c>
      <x:c r="Q984" s="30"/>
      <x:c r="R984" s="30" t="str">
        <x:v>PDF + независимая проверка</x:v>
      </x:c>
      <x:c r="S984" s="30"/>
      <x:c r="T984" s="30"/>
      <x:c r="U984" s="30" t="str">
        <x:v>Расхождений не обнаружено.</x:v>
      </x:c>
      <x:c r="V984" s="87" t="str">
        <x:v>VERIFIED</x:v>
      </x:c>
      <x:c r="W984" s="87" t="str">
        <x:v>PDF варианта, внутренняя стр. 8</x:v>
      </x:c>
      <x:c r="X984" s="87"/>
      <x:c r="Y984" s="87"/>
      <x:c r="Z984" s="87"/>
      <x:c r="AA984" s="87"/>
      <x:c r="AB984" s="87"/>
      <x:c r="AC984" s="87"/>
      <x:c r="AD984" s="87"/>
      <x:c r="AE984" s="87"/>
      <x:c r="AF984" s="87"/>
      <x:c r="AG984" s="87"/>
      <x:c r="AH984" s="87"/>
      <x:c r="AI984" s="30"/>
      <x:c r="AJ984" s="87" t="str">
        <x:v>master</x:v>
      </x:c>
      <x:c r="AK984" s="87" t="str">
        <x:v>master-v0.81</x:v>
      </x:c>
      <x:c r="AL984" s="87" t="str">
        <x:v>statgrad_master_base_v0_81_final(2).xlsx</x:v>
      </x:c>
      <x:c r="AM984" s="87" t="str">
        <x:v>CHEM_Mar_V2</x:v>
      </x:c>
      <x:c r="AN984" s="87" t="n">
        <x:v>17</x:v>
      </x:c>
    </x:row>
    <x:row r="985">
      <x:c r="A985" s="87" t="n">
        <x:v>984</x:v>
      </x:c>
      <x:c r="B985" s="87" t="str">
        <x:v>MAR-CHEM-V2-017</x:v>
      </x:c>
      <x:c r="C985" s="87" t="str">
        <x:v>СтатГрад</x:v>
      </x:c>
      <x:c r="D985" s="87" t="str">
        <x:v>Март 2026</x:v>
      </x:c>
      <x:c r="E985" s="87"/>
      <x:c r="F985" s="87"/>
      <x:c r="G985" s="87" t="str">
        <x:v>Химия</x:v>
      </x:c>
      <x:c r="H985" s="87" t="n">
        <x:v>11</x:v>
      </x:c>
      <x:c r="I985" s="87" t="str">
        <x:v>ТР №4</x:v>
      </x:c>
      <x:c r="J985" s="87" t="str">
        <x:v>ХИ2510402</x:v>
      </x:c>
      <x:c r="K985" s="87" t="n">
        <x:v>17</x:v>
      </x:c>
      <x:c r="L985" s="87" t="str">
        <x:v>Типы реакций</x:v>
      </x:c>
      <x:c r="M985" s="30" t="str">
        <x:v>Классифицировать Fe+H₂SO₄, CO₂+известковая вода и разложение N₂O.</x:v>
      </x:c>
      <x:c r="N985" s="30" t="str">
        <x:v>243</x:v>
      </x:c>
      <x:c r="O985" s="30" t="str">
        <x:v>Fe+кислота — гетерогенная ОВР; CO₂+Ca(OH)₂ — гетерогенный обмен; разложение N₂O — гомогенная необратимая реакция.</x:v>
      </x:c>
      <x:c r="P985" s="30" t="str">
        <x:v>Тип и фазовый состав проверены.</x:v>
      </x:c>
      <x:c r="Q985" s="30"/>
      <x:c r="R985" s="30" t="str">
        <x:v>PDF + независимая проверка</x:v>
      </x:c>
      <x:c r="S985" s="30"/>
      <x:c r="T985" s="30"/>
      <x:c r="U985" s="30" t="str">
        <x:v>Расхождений не обнаружено.</x:v>
      </x:c>
      <x:c r="V985" s="87" t="str">
        <x:v>VERIFIED</x:v>
      </x:c>
      <x:c r="W985" s="87" t="str">
        <x:v>PDF варианта, внутренняя стр. 9</x:v>
      </x:c>
      <x:c r="X985" s="87"/>
      <x:c r="Y985" s="87"/>
      <x:c r="Z985" s="87"/>
      <x:c r="AA985" s="87"/>
      <x:c r="AB985" s="87"/>
      <x:c r="AC985" s="87"/>
      <x:c r="AD985" s="87"/>
      <x:c r="AE985" s="87"/>
      <x:c r="AF985" s="87"/>
      <x:c r="AG985" s="87"/>
      <x:c r="AH985" s="87"/>
      <x:c r="AI985" s="30"/>
      <x:c r="AJ985" s="87" t="str">
        <x:v>master</x:v>
      </x:c>
      <x:c r="AK985" s="87" t="str">
        <x:v>master-v0.81</x:v>
      </x:c>
      <x:c r="AL985" s="87" t="str">
        <x:v>statgrad_master_base_v0_81_final(2).xlsx</x:v>
      </x:c>
      <x:c r="AM985" s="87" t="str">
        <x:v>CHEM_Mar_V2</x:v>
      </x:c>
      <x:c r="AN985" s="87" t="n">
        <x:v>18</x:v>
      </x:c>
    </x:row>
    <x:row r="986">
      <x:c r="A986" s="87" t="n">
        <x:v>985</x:v>
      </x:c>
      <x:c r="B986" s="87" t="str">
        <x:v>MAR-CHEM-V2-018</x:v>
      </x:c>
      <x:c r="C986" s="87" t="str">
        <x:v>СтатГрад</x:v>
      </x:c>
      <x:c r="D986" s="87" t="str">
        <x:v>Март 2026</x:v>
      </x:c>
      <x:c r="E986" s="87"/>
      <x:c r="F986" s="87"/>
      <x:c r="G986" s="87" t="str">
        <x:v>Химия</x:v>
      </x:c>
      <x:c r="H986" s="87" t="n">
        <x:v>11</x:v>
      </x:c>
      <x:c r="I986" s="87" t="str">
        <x:v>ТР №4</x:v>
      </x:c>
      <x:c r="J986" s="87" t="str">
        <x:v>ХИ2510402</x:v>
      </x:c>
      <x:c r="K986" s="87" t="n">
        <x:v>18</x:v>
      </x:c>
      <x:c r="L986" s="87" t="str">
        <x:v>Скорость реакции</x:v>
      </x:c>
      <x:c r="M986" s="30" t="str">
        <x:v>Выбрать воздействия, увеличивающие скорость выделения Cu при Fe+CuSO₄.</x:v>
      </x:c>
      <x:c r="N986" s="30" t="str">
        <x:v>34</x:v>
      </x:c>
      <x:c r="O986" s="30" t="str">
        <x:v>Нагревание и измельчение железа увеличивают скорость.</x:v>
      </x:c>
      <x:c r="P986" s="30" t="str">
        <x:v>Сверено с независимым решением задачи данного типа.</x:v>
      </x:c>
      <x:c r="Q986" s="30"/>
      <x:c r="R986" s="30" t="str">
        <x:v>PDF + независимая проверка</x:v>
      </x:c>
      <x:c r="S986" s="30"/>
      <x:c r="T986" s="30"/>
      <x:c r="U986" s="30" t="str">
        <x:v>Расхождений не обнаружено.</x:v>
      </x:c>
      <x:c r="V986" s="87" t="str">
        <x:v>VERIFIED</x:v>
      </x:c>
      <x:c r="W986" s="87" t="str">
        <x:v>PDF варианта, внутренняя стр. 9</x:v>
      </x:c>
      <x:c r="X986" s="87"/>
      <x:c r="Y986" s="87"/>
      <x:c r="Z986" s="87"/>
      <x:c r="AA986" s="87"/>
      <x:c r="AB986" s="87"/>
      <x:c r="AC986" s="87"/>
      <x:c r="AD986" s="87"/>
      <x:c r="AE986" s="87"/>
      <x:c r="AF986" s="87"/>
      <x:c r="AG986" s="87"/>
      <x:c r="AH986" s="87"/>
      <x:c r="AI986" s="30"/>
      <x:c r="AJ986" s="87" t="str">
        <x:v>master</x:v>
      </x:c>
      <x:c r="AK986" s="87" t="str">
        <x:v>master-v0.81</x:v>
      </x:c>
      <x:c r="AL986" s="87" t="str">
        <x:v>statgrad_master_base_v0_81_final(2).xlsx</x:v>
      </x:c>
      <x:c r="AM986" s="87" t="str">
        <x:v>CHEM_Mar_V2</x:v>
      </x:c>
      <x:c r="AN986" s="87" t="n">
        <x:v>19</x:v>
      </x:c>
    </x:row>
    <x:row r="987">
      <x:c r="A987" s="87" t="n">
        <x:v>986</x:v>
      </x:c>
      <x:c r="B987" s="87" t="str">
        <x:v>MAR-CHEM-V2-019</x:v>
      </x:c>
      <x:c r="C987" s="87" t="str">
        <x:v>СтатГрад</x:v>
      </x:c>
      <x:c r="D987" s="87" t="str">
        <x:v>Март 2026</x:v>
      </x:c>
      <x:c r="E987" s="87"/>
      <x:c r="F987" s="87"/>
      <x:c r="G987" s="87" t="str">
        <x:v>Химия</x:v>
      </x:c>
      <x:c r="H987" s="87" t="n">
        <x:v>11</x:v>
      </x:c>
      <x:c r="I987" s="87" t="str">
        <x:v>ТР №4</x:v>
      </x:c>
      <x:c r="J987" s="87" t="str">
        <x:v>ХИ2510402</x:v>
      </x:c>
      <x:c r="K987" s="87" t="n">
        <x:v>19</x:v>
      </x:c>
      <x:c r="L987" s="87" t="str">
        <x:v>ОВР и роль элемента</x:v>
      </x:c>
      <x:c r="M987" s="30" t="str">
        <x:v>Определить роль фосфора в трёх реакциях.</x:v>
      </x:c>
      <x:c r="N987" s="30" t="str">
        <x:v>342</x:v>
      </x:c>
      <x:c r="O987" s="30" t="str">
        <x:v>В PCl₅+P фосфор одновременно окисляется и восстанавливается; в фосфате степень не меняется; H₃PO₃ окисляется и является восстановителем.</x:v>
      </x:c>
      <x:c r="P987" s="30" t="str">
        <x:v>Степени окисления рассчитаны.</x:v>
      </x:c>
      <x:c r="Q987" s="30"/>
      <x:c r="R987" s="30" t="str">
        <x:v>PDF + независимая проверка</x:v>
      </x:c>
      <x:c r="S987" s="30"/>
      <x:c r="T987" s="30"/>
      <x:c r="U987" s="30" t="str">
        <x:v>Расхождений не обнаружено.</x:v>
      </x:c>
      <x:c r="V987" s="87" t="str">
        <x:v>VERIFIED</x:v>
      </x:c>
      <x:c r="W987" s="87" t="str">
        <x:v>PDF варианта, внутренняя стр. 10</x:v>
      </x:c>
      <x:c r="X987" s="87"/>
      <x:c r="Y987" s="87"/>
      <x:c r="Z987" s="87"/>
      <x:c r="AA987" s="87"/>
      <x:c r="AB987" s="87"/>
      <x:c r="AC987" s="87"/>
      <x:c r="AD987" s="87"/>
      <x:c r="AE987" s="87"/>
      <x:c r="AF987" s="87"/>
      <x:c r="AG987" s="87"/>
      <x:c r="AH987" s="87"/>
      <x:c r="AI987" s="30"/>
      <x:c r="AJ987" s="87" t="str">
        <x:v>master</x:v>
      </x:c>
      <x:c r="AK987" s="87" t="str">
        <x:v>master-v0.81</x:v>
      </x:c>
      <x:c r="AL987" s="87" t="str">
        <x:v>statgrad_master_base_v0_81_final(2).xlsx</x:v>
      </x:c>
      <x:c r="AM987" s="87" t="str">
        <x:v>CHEM_Mar_V2</x:v>
      </x:c>
      <x:c r="AN987" s="87" t="n">
        <x:v>20</x:v>
      </x:c>
    </x:row>
    <x:row r="988">
      <x:c r="A988" s="87" t="n">
        <x:v>987</x:v>
      </x:c>
      <x:c r="B988" s="87" t="str">
        <x:v>MAR-CHEM-V2-020</x:v>
      </x:c>
      <x:c r="C988" s="87" t="str">
        <x:v>СтатГрад</x:v>
      </x:c>
      <x:c r="D988" s="87" t="str">
        <x:v>Март 2026</x:v>
      </x:c>
      <x:c r="E988" s="87"/>
      <x:c r="F988" s="87"/>
      <x:c r="G988" s="87" t="str">
        <x:v>Химия</x:v>
      </x:c>
      <x:c r="H988" s="87" t="n">
        <x:v>11</x:v>
      </x:c>
      <x:c r="I988" s="87" t="str">
        <x:v>ТР №4</x:v>
      </x:c>
      <x:c r="J988" s="87" t="str">
        <x:v>ХИ2510402</x:v>
      </x:c>
      <x:c r="K988" s="87" t="n">
        <x:v>20</x:v>
      </x:c>
      <x:c r="L988" s="87" t="str">
        <x:v>Электролиз</x:v>
      </x:c>
      <x:c r="M988" s="30" t="str">
        <x:v>Соотнести Li, H₂ и NaBrO₃ со способом электролитического получения.</x:v>
      </x:c>
      <x:c r="N988" s="30" t="str">
        <x:v>322</x:v>
      </x:c>
      <x:c r="O988" s="30" t="str">
        <x:v>Li получают из расплава LiCl; при электролизе горячего раствора NaBr на катоде выделяется H₂, а в растворе образуется NaBrO₃.</x:v>
      </x:c>
      <x:c r="P988" s="30" t="str">
        <x:v>Полуреакции электролиза проверены.</x:v>
      </x:c>
      <x:c r="Q988" s="30"/>
      <x:c r="R988" s="30" t="str">
        <x:v>PDF + независимая проверка</x:v>
      </x:c>
      <x:c r="S988" s="30"/>
      <x:c r="T988" s="30"/>
      <x:c r="U988" s="30" t="str">
        <x:v>Расхождений не обнаружено.</x:v>
      </x:c>
      <x:c r="V988" s="87" t="str">
        <x:v>VERIFIED</x:v>
      </x:c>
      <x:c r="W988" s="87" t="str">
        <x:v>PDF варианта, внутренняя стр. 10</x:v>
      </x:c>
      <x:c r="X988" s="87"/>
      <x:c r="Y988" s="87"/>
      <x:c r="Z988" s="87"/>
      <x:c r="AA988" s="87"/>
      <x:c r="AB988" s="87"/>
      <x:c r="AC988" s="87"/>
      <x:c r="AD988" s="87"/>
      <x:c r="AE988" s="87"/>
      <x:c r="AF988" s="87"/>
      <x:c r="AG988" s="87"/>
      <x:c r="AH988" s="87"/>
      <x:c r="AI988" s="30"/>
      <x:c r="AJ988" s="87" t="str">
        <x:v>master</x:v>
      </x:c>
      <x:c r="AK988" s="87" t="str">
        <x:v>master-v0.81</x:v>
      </x:c>
      <x:c r="AL988" s="87" t="str">
        <x:v>statgrad_master_base_v0_81_final(2).xlsx</x:v>
      </x:c>
      <x:c r="AM988" s="87" t="str">
        <x:v>CHEM_Mar_V2</x:v>
      </x:c>
      <x:c r="AN988" s="87" t="n">
        <x:v>21</x:v>
      </x:c>
    </x:row>
    <x:row r="989">
      <x:c r="A989" s="87" t="n">
        <x:v>988</x:v>
      </x:c>
      <x:c r="B989" s="87" t="str">
        <x:v>MAR-CHEM-V2-021</x:v>
      </x:c>
      <x:c r="C989" s="87" t="str">
        <x:v>СтатГрад</x:v>
      </x:c>
      <x:c r="D989" s="87" t="str">
        <x:v>Март 2026</x:v>
      </x:c>
      <x:c r="E989" s="87"/>
      <x:c r="F989" s="87"/>
      <x:c r="G989" s="87" t="str">
        <x:v>Химия</x:v>
      </x:c>
      <x:c r="H989" s="87" t="n">
        <x:v>11</x:v>
      </x:c>
      <x:c r="I989" s="87" t="str">
        <x:v>ТР №4</x:v>
      </x:c>
      <x:c r="J989" s="87" t="str">
        <x:v>ХИ2510402</x:v>
      </x:c>
      <x:c r="K989" s="87" t="n">
        <x:v>21</x:v>
      </x:c>
      <x:c r="L989" s="87" t="str">
        <x:v>pH растворов</x:v>
      </x:c>
      <x:c r="M989" s="30" t="str">
        <x:v>Расположить Na₂SiO₃, H₂S, NaBr, HI по возрастанию pH.</x:v>
      </x:c>
      <x:c r="N989" s="30" t="str">
        <x:v>4231</x:v>
      </x:c>
      <x:c r="O989" s="30" t="str">
        <x:v>Сильная кислота HI &lt; слабая H₂S &lt; нейтральная соль NaBr &lt; щелочная соль Na₂SiO₃.</x:v>
      </x:c>
      <x:c r="P989" s="30" t="str">
        <x:v>Гидролиз солей и сила кислот проверены.</x:v>
      </x:c>
      <x:c r="Q989" s="30"/>
      <x:c r="R989" s="30" t="str">
        <x:v>PDF + независимая проверка</x:v>
      </x:c>
      <x:c r="S989" s="30"/>
      <x:c r="T989" s="30"/>
      <x:c r="U989" s="30" t="str">
        <x:v>Расхождений не обнаружено.</x:v>
      </x:c>
      <x:c r="V989" s="87" t="str">
        <x:v>VERIFIED</x:v>
      </x:c>
      <x:c r="W989" s="87" t="str">
        <x:v>PDF варианта, внутренняя стр. 11</x:v>
      </x:c>
      <x:c r="X989" s="87"/>
      <x:c r="Y989" s="87"/>
      <x:c r="Z989" s="87"/>
      <x:c r="AA989" s="87"/>
      <x:c r="AB989" s="87"/>
      <x:c r="AC989" s="87"/>
      <x:c r="AD989" s="87"/>
      <x:c r="AE989" s="87"/>
      <x:c r="AF989" s="87"/>
      <x:c r="AG989" s="87"/>
      <x:c r="AH989" s="87"/>
      <x:c r="AI989" s="30"/>
      <x:c r="AJ989" s="87" t="str">
        <x:v>master</x:v>
      </x:c>
      <x:c r="AK989" s="87" t="str">
        <x:v>master-v0.81</x:v>
      </x:c>
      <x:c r="AL989" s="87" t="str">
        <x:v>statgrad_master_base_v0_81_final(2).xlsx</x:v>
      </x:c>
      <x:c r="AM989" s="87" t="str">
        <x:v>CHEM_Mar_V2</x:v>
      </x:c>
      <x:c r="AN989" s="87" t="n">
        <x:v>22</x:v>
      </x:c>
    </x:row>
    <x:row r="990">
      <x:c r="A990" s="87" t="n">
        <x:v>989</x:v>
      </x:c>
      <x:c r="B990" s="87" t="str">
        <x:v>MAR-CHEM-V2-022</x:v>
      </x:c>
      <x:c r="C990" s="87" t="str">
        <x:v>СтатГрад</x:v>
      </x:c>
      <x:c r="D990" s="87" t="str">
        <x:v>Март 2026</x:v>
      </x:c>
      <x:c r="E990" s="87"/>
      <x:c r="F990" s="87"/>
      <x:c r="G990" s="87" t="str">
        <x:v>Химия</x:v>
      </x:c>
      <x:c r="H990" s="87" t="n">
        <x:v>11</x:v>
      </x:c>
      <x:c r="I990" s="87" t="str">
        <x:v>ТР №4</x:v>
      </x:c>
      <x:c r="J990" s="87" t="str">
        <x:v>ХИ2510402</x:v>
      </x:c>
      <x:c r="K990" s="87" t="n">
        <x:v>22</x:v>
      </x:c>
      <x:c r="L990" s="87" t="str">
        <x:v>Химическое равновесие</x:v>
      </x:c>
      <x:c r="M990" s="30" t="str">
        <x:v>Для HCl(г)+H₂O ⇄ H₃O⁺+Cl⁻+Q определить сдвиг при воздействиях.</x:v>
      </x:c>
      <x:c r="N990" s="30" t="str">
        <x:v>1221</x:v>
      </x:c>
      <x:c r="O990" s="30" t="str">
        <x:v>Охлаждение и повышение давления сдвигают вправо; добавление HNO₃ или KCl — влево.</x:v>
      </x:c>
      <x:c r="P990" s="30" t="str">
        <x:v>Применён принцип Ле Шателье.</x:v>
      </x:c>
      <x:c r="Q990" s="30"/>
      <x:c r="R990" s="30" t="str">
        <x:v>PDF + независимая проверка</x:v>
      </x:c>
      <x:c r="S990" s="30"/>
      <x:c r="T990" s="30"/>
      <x:c r="U990" s="30" t="str">
        <x:v>Расхождений не обнаружено.</x:v>
      </x:c>
      <x:c r="V990" s="87" t="str">
        <x:v>VERIFIED</x:v>
      </x:c>
      <x:c r="W990" s="87" t="str">
        <x:v>PDF варианта, внутренняя стр. 12</x:v>
      </x:c>
      <x:c r="X990" s="87"/>
      <x:c r="Y990" s="87"/>
      <x:c r="Z990" s="87"/>
      <x:c r="AA990" s="87"/>
      <x:c r="AB990" s="87"/>
      <x:c r="AC990" s="87"/>
      <x:c r="AD990" s="87"/>
      <x:c r="AE990" s="87"/>
      <x:c r="AF990" s="87"/>
      <x:c r="AG990" s="87"/>
      <x:c r="AH990" s="87"/>
      <x:c r="AI990" s="30"/>
      <x:c r="AJ990" s="87" t="str">
        <x:v>master</x:v>
      </x:c>
      <x:c r="AK990" s="87" t="str">
        <x:v>master-v0.81</x:v>
      </x:c>
      <x:c r="AL990" s="87" t="str">
        <x:v>statgrad_master_base_v0_81_final(2).xlsx</x:v>
      </x:c>
      <x:c r="AM990" s="87" t="str">
        <x:v>CHEM_Mar_V2</x:v>
      </x:c>
      <x:c r="AN990" s="87" t="n">
        <x:v>23</x:v>
      </x:c>
    </x:row>
    <x:row r="991">
      <x:c r="A991" s="87" t="n">
        <x:v>990</x:v>
      </x:c>
      <x:c r="B991" s="87" t="str">
        <x:v>MAR-CHEM-V2-023</x:v>
      </x:c>
      <x:c r="C991" s="87" t="str">
        <x:v>СтатГрад</x:v>
      </x:c>
      <x:c r="D991" s="87" t="str">
        <x:v>Март 2026</x:v>
      </x:c>
      <x:c r="E991" s="87"/>
      <x:c r="F991" s="87"/>
      <x:c r="G991" s="87" t="str">
        <x:v>Химия</x:v>
      </x:c>
      <x:c r="H991" s="87" t="n">
        <x:v>11</x:v>
      </x:c>
      <x:c r="I991" s="87" t="str">
        <x:v>ТР №4</x:v>
      </x:c>
      <x:c r="J991" s="87" t="str">
        <x:v>ХИ2510402</x:v>
      </x:c>
      <x:c r="K991" s="87" t="n">
        <x:v>23</x:v>
      </x:c>
      <x:c r="L991" s="87" t="str">
        <x:v>Равновесные концентрации</x:v>
      </x:c>
      <x:c r="M991" s="30" t="str">
        <x:v>Для C₆H₁₂ ⇄ C₆H₆+3H₂ найти исходную [C₆H₁₂] и равновесную [C₆H₆].</x:v>
      </x:c>
      <x:c r="N991" s="30" t="str">
        <x:v>52</x:v>
      </x:c>
      <x:c r="O991" s="30" t="str">
        <x:v>[H₂]=0,09, значит превращено 0,03 моль/л циклогексана; исходно 0,04+0,03=0,07, бензола 0,03.</x:v>
      </x:c>
      <x:c r="P991" s="30" t="str">
        <x:v>Стехиометрия равновесия проверена.</x:v>
      </x:c>
      <x:c r="Q991" s="30"/>
      <x:c r="R991" s="30" t="str">
        <x:v>PDF + независимая проверка</x:v>
      </x:c>
      <x:c r="S991" s="30"/>
      <x:c r="T991" s="30"/>
      <x:c r="U991" s="30" t="str">
        <x:v>Расхождений не обнаружено.</x:v>
      </x:c>
      <x:c r="V991" s="87" t="str">
        <x:v>VERIFIED</x:v>
      </x:c>
      <x:c r="W991" s="87" t="str">
        <x:v>PDF варианта, внутренняя стр. 12</x:v>
      </x:c>
      <x:c r="X991" s="87"/>
      <x:c r="Y991" s="87"/>
      <x:c r="Z991" s="87"/>
      <x:c r="AA991" s="87"/>
      <x:c r="AB991" s="87"/>
      <x:c r="AC991" s="87"/>
      <x:c r="AD991" s="87"/>
      <x:c r="AE991" s="87"/>
      <x:c r="AF991" s="87"/>
      <x:c r="AG991" s="87"/>
      <x:c r="AH991" s="87"/>
      <x:c r="AI991" s="30"/>
      <x:c r="AJ991" s="87" t="str">
        <x:v>master</x:v>
      </x:c>
      <x:c r="AK991" s="87" t="str">
        <x:v>master-v0.81</x:v>
      </x:c>
      <x:c r="AL991" s="87" t="str">
        <x:v>statgrad_master_base_v0_81_final(2).xlsx</x:v>
      </x:c>
      <x:c r="AM991" s="87" t="str">
        <x:v>CHEM_Mar_V2</x:v>
      </x:c>
      <x:c r="AN991" s="87" t="n">
        <x:v>24</x:v>
      </x:c>
    </x:row>
    <x:row r="992">
      <x:c r="A992" s="87" t="n">
        <x:v>991</x:v>
      </x:c>
      <x:c r="B992" s="87" t="str">
        <x:v>MAR-CHEM-V2-024</x:v>
      </x:c>
      <x:c r="C992" s="87" t="str">
        <x:v>СтатГрад</x:v>
      </x:c>
      <x:c r="D992" s="87" t="str">
        <x:v>Март 2026</x:v>
      </x:c>
      <x:c r="E992" s="87"/>
      <x:c r="F992" s="87"/>
      <x:c r="G992" s="87" t="str">
        <x:v>Химия</x:v>
      </x:c>
      <x:c r="H992" s="87" t="n">
        <x:v>11</x:v>
      </x:c>
      <x:c r="I992" s="87" t="str">
        <x:v>ТР №4</x:v>
      </x:c>
      <x:c r="J992" s="87" t="str">
        <x:v>ХИ2510402</x:v>
      </x:c>
      <x:c r="K992" s="87" t="n">
        <x:v>24</x:v>
      </x:c>
      <x:c r="L992" s="87" t="str">
        <x:v>Качественные признаки</x:v>
      </x:c>
      <x:c r="M992" s="30" t="str">
        <x:v>Соотнести вещества с признаком реакции с избытком NaOH.</x:v>
      </x:c>
      <x:c r="N992" s="30" t="str">
        <x:v>4235</x:v>
      </x:c>
      <x:c r="O992" s="30" t="str">
        <x:v>AgNO₃ даёт Ag₂O чёрно-бурый; Al выделяет H₂; CuSO₄ даёт голубой Cu(OH)₂; NaHSO₄ нейтрализуется без видимого признака.</x:v>
      </x:c>
      <x:c r="P992" s="30" t="str">
        <x:v>Уравнения и растворимость продуктов проверены.</x:v>
      </x:c>
      <x:c r="Q992" s="30"/>
      <x:c r="R992" s="30" t="str">
        <x:v>PDF + независимая проверка</x:v>
      </x:c>
      <x:c r="S992" s="30"/>
      <x:c r="T992" s="30"/>
      <x:c r="U992" s="30" t="str">
        <x:v>Расхождений не обнаружено.</x:v>
      </x:c>
      <x:c r="V992" s="87" t="str">
        <x:v>VERIFIED</x:v>
      </x:c>
      <x:c r="W992" s="87" t="str">
        <x:v>PDF варианта, внутренняя стр. 13</x:v>
      </x:c>
      <x:c r="X992" s="87"/>
      <x:c r="Y992" s="87"/>
      <x:c r="Z992" s="87"/>
      <x:c r="AA992" s="87"/>
      <x:c r="AB992" s="87"/>
      <x:c r="AC992" s="87"/>
      <x:c r="AD992" s="87"/>
      <x:c r="AE992" s="87"/>
      <x:c r="AF992" s="87"/>
      <x:c r="AG992" s="87"/>
      <x:c r="AH992" s="87"/>
      <x:c r="AI992" s="30"/>
      <x:c r="AJ992" s="87" t="str">
        <x:v>master</x:v>
      </x:c>
      <x:c r="AK992" s="87" t="str">
        <x:v>master-v0.81</x:v>
      </x:c>
      <x:c r="AL992" s="87" t="str">
        <x:v>statgrad_master_base_v0_81_final(2).xlsx</x:v>
      </x:c>
      <x:c r="AM992" s="87" t="str">
        <x:v>CHEM_Mar_V2</x:v>
      </x:c>
      <x:c r="AN992" s="87" t="n">
        <x:v>25</x:v>
      </x:c>
    </x:row>
    <x:row r="993">
      <x:c r="A993" s="87" t="n">
        <x:v>992</x:v>
      </x:c>
      <x:c r="B993" s="87" t="str">
        <x:v>MAR-CHEM-V2-025</x:v>
      </x:c>
      <x:c r="C993" s="87" t="str">
        <x:v>СтатГрад</x:v>
      </x:c>
      <x:c r="D993" s="87" t="str">
        <x:v>Март 2026</x:v>
      </x:c>
      <x:c r="E993" s="87"/>
      <x:c r="F993" s="87"/>
      <x:c r="G993" s="87" t="str">
        <x:v>Химия</x:v>
      </x:c>
      <x:c r="H993" s="87" t="n">
        <x:v>11</x:v>
      </x:c>
      <x:c r="I993" s="87" t="str">
        <x:v>ТР №4</x:v>
      </x:c>
      <x:c r="J993" s="87" t="str">
        <x:v>ХИ2510402</x:v>
      </x:c>
      <x:c r="K993" s="87" t="n">
        <x:v>25</x:v>
      </x:c>
      <x:c r="L993" s="87" t="str">
        <x:v>Химическая технология</x:v>
      </x:c>
      <x:c r="M993" s="30" t="str">
        <x:v>Соотнести контактный аппарат, кислородный конвертер и поглотительную башню с продуктами.</x:v>
      </x:c>
      <x:c r="N993" s="30" t="str">
        <x:v>213</x:v>
      </x:c>
      <x:c r="O993" s="30" t="str">
        <x:v>Контактный аппарат — SO₃; конвертер — сталь; поглотительная башня — олеум.</x:v>
      </x:c>
      <x:c r="P993" s="30" t="str">
        <x:v>Технологические стадии проверены.</x:v>
      </x:c>
      <x:c r="Q993" s="30"/>
      <x:c r="R993" s="30" t="str">
        <x:v>PDF + независимая проверка</x:v>
      </x:c>
      <x:c r="S993" s="30"/>
      <x:c r="T993" s="30"/>
      <x:c r="U993" s="30" t="str">
        <x:v>Расхождений не обнаружено.</x:v>
      </x:c>
      <x:c r="V993" s="87" t="str">
        <x:v>VERIFIED</x:v>
      </x:c>
      <x:c r="W993" s="87" t="str">
        <x:v>PDF варианта, внутренняя стр. 13</x:v>
      </x:c>
      <x:c r="X993" s="87"/>
      <x:c r="Y993" s="87"/>
      <x:c r="Z993" s="87"/>
      <x:c r="AA993" s="87"/>
      <x:c r="AB993" s="87"/>
      <x:c r="AC993" s="87"/>
      <x:c r="AD993" s="87"/>
      <x:c r="AE993" s="87"/>
      <x:c r="AF993" s="87"/>
      <x:c r="AG993" s="87"/>
      <x:c r="AH993" s="87"/>
      <x:c r="AI993" s="30"/>
      <x:c r="AJ993" s="87" t="str">
        <x:v>master</x:v>
      </x:c>
      <x:c r="AK993" s="87" t="str">
        <x:v>master-v0.81</x:v>
      </x:c>
      <x:c r="AL993" s="87" t="str">
        <x:v>statgrad_master_base_v0_81_final(2).xlsx</x:v>
      </x:c>
      <x:c r="AM993" s="87" t="str">
        <x:v>CHEM_Mar_V2</x:v>
      </x:c>
      <x:c r="AN993" s="87" t="n">
        <x:v>26</x:v>
      </x:c>
    </x:row>
    <x:row r="994">
      <x:c r="A994" s="87" t="n">
        <x:v>993</x:v>
      </x:c>
      <x:c r="B994" s="87" t="str">
        <x:v>MAR-CHEM-V2-026</x:v>
      </x:c>
      <x:c r="C994" s="87" t="str">
        <x:v>СтатГрад</x:v>
      </x:c>
      <x:c r="D994" s="87" t="str">
        <x:v>Март 2026</x:v>
      </x:c>
      <x:c r="E994" s="87"/>
      <x:c r="F994" s="87"/>
      <x:c r="G994" s="87" t="str">
        <x:v>Химия</x:v>
      </x:c>
      <x:c r="H994" s="87" t="n">
        <x:v>11</x:v>
      </x:c>
      <x:c r="I994" s="87" t="str">
        <x:v>ТР №4</x:v>
      </x:c>
      <x:c r="J994" s="87" t="str">
        <x:v>ХИ2510402</x:v>
      </x:c>
      <x:c r="K994" s="87" t="n">
        <x:v>26</x:v>
      </x:c>
      <x:c r="L994" s="87" t="str">
        <x:v>Расчёт концентрации</x:v>
      </x:c>
      <x:c r="M994" s="30" t="str">
        <x:v>К 200 мл 6 М NaOH (ρ=1,22) добавить воду до 10%-го раствора.</x:v>
      </x:c>
      <x:c r="N994" s="30" t="str">
        <x:v>236</x:v>
      </x:c>
      <x:c r="O994" s="30" t="str">
        <x:v>m(раствора)=244 г; n=1,2 моль, m(NaOH)=48 г; итоговая масса 480 г, воды добавить 236 г = 236 мл.</x:v>
      </x:c>
      <x:c r="P994" s="30" t="str">
        <x:v>Расчёт массовой доли проверен.</x:v>
      </x:c>
      <x:c r="Q994" s="30"/>
      <x:c r="R994" s="30" t="str">
        <x:v>PDF + независимая проверка</x:v>
      </x:c>
      <x:c r="S994" s="30"/>
      <x:c r="T994" s="30"/>
      <x:c r="U994" s="30" t="str">
        <x:v>Расхождений не обнаружено.</x:v>
      </x:c>
      <x:c r="V994" s="87" t="str">
        <x:v>VERIFIED</x:v>
      </x:c>
      <x:c r="W994" s="87" t="str">
        <x:v>PDF варианта, внутренняя стр. 14</x:v>
      </x:c>
      <x:c r="X994" s="87"/>
      <x:c r="Y994" s="87"/>
      <x:c r="Z994" s="87"/>
      <x:c r="AA994" s="87"/>
      <x:c r="AB994" s="87"/>
      <x:c r="AC994" s="87"/>
      <x:c r="AD994" s="87"/>
      <x:c r="AE994" s="87"/>
      <x:c r="AF994" s="87"/>
      <x:c r="AG994" s="87"/>
      <x:c r="AH994" s="87"/>
      <x:c r="AI994" s="30"/>
      <x:c r="AJ994" s="87" t="str">
        <x:v>master</x:v>
      </x:c>
      <x:c r="AK994" s="87" t="str">
        <x:v>master-v0.81</x:v>
      </x:c>
      <x:c r="AL994" s="87" t="str">
        <x:v>statgrad_master_base_v0_81_final(2).xlsx</x:v>
      </x:c>
      <x:c r="AM994" s="87" t="str">
        <x:v>CHEM_Mar_V2</x:v>
      </x:c>
      <x:c r="AN994" s="87" t="n">
        <x:v>27</x:v>
      </x:c>
    </x:row>
    <x:row r="995">
      <x:c r="A995" s="87" t="n">
        <x:v>994</x:v>
      </x:c>
      <x:c r="B995" s="87" t="str">
        <x:v>MAR-CHEM-V2-027</x:v>
      </x:c>
      <x:c r="C995" s="87" t="str">
        <x:v>СтатГрад</x:v>
      </x:c>
      <x:c r="D995" s="87" t="str">
        <x:v>Март 2026</x:v>
      </x:c>
      <x:c r="E995" s="87"/>
      <x:c r="F995" s="87"/>
      <x:c r="G995" s="87" t="str">
        <x:v>Химия</x:v>
      </x:c>
      <x:c r="H995" s="87" t="n">
        <x:v>11</x:v>
      </x:c>
      <x:c r="I995" s="87" t="str">
        <x:v>ТР №4</x:v>
      </x:c>
      <x:c r="J995" s="87" t="str">
        <x:v>ХИ2510402</x:v>
      </x:c>
      <x:c r="K995" s="87" t="n">
        <x:v>27</x:v>
      </x:c>
      <x:c r="L995" s="87" t="str">
        <x:v>Термохимический расчёт</x:v>
      </x:c>
      <x:c r="M995" s="30" t="str">
        <x:v>Найти теплоту нейтрализации 1,85 г Ca(OH)₂ избытком HNO₃.</x:v>
      </x:c>
      <x:c r="N995" s="30" t="str">
        <x:v>2,8</x:v>
      </x:c>
      <x:c r="O995" s="30" t="str">
        <x:v>n(Ca(OH)₂)=0,025 моль, образуется 0,05 моль H₂O; Q=0,05·56=2,8 кДж.</x:v>
      </x:c>
      <x:c r="P995" s="30" t="str">
        <x:v>Учтены два гидроксид-иона.</x:v>
      </x:c>
      <x:c r="Q995" s="30"/>
      <x:c r="R995" s="30" t="str">
        <x:v>PDF + независимая проверка</x:v>
      </x:c>
      <x:c r="S995" s="30"/>
      <x:c r="T995" s="30"/>
      <x:c r="U995" s="30" t="str">
        <x:v>Расхождений не обнаружено.</x:v>
      </x:c>
      <x:c r="V995" s="87" t="str">
        <x:v>VERIFIED</x:v>
      </x:c>
      <x:c r="W995" s="87" t="str">
        <x:v>PDF варианта, внутренняя стр. 14</x:v>
      </x:c>
      <x:c r="X995" s="87"/>
      <x:c r="Y995" s="87"/>
      <x:c r="Z995" s="87"/>
      <x:c r="AA995" s="87"/>
      <x:c r="AB995" s="87"/>
      <x:c r="AC995" s="87"/>
      <x:c r="AD995" s="87"/>
      <x:c r="AE995" s="87"/>
      <x:c r="AF995" s="87"/>
      <x:c r="AG995" s="87"/>
      <x:c r="AH995" s="87"/>
      <x:c r="AI995" s="30"/>
      <x:c r="AJ995" s="87" t="str">
        <x:v>master</x:v>
      </x:c>
      <x:c r="AK995" s="87" t="str">
        <x:v>master-v0.81</x:v>
      </x:c>
      <x:c r="AL995" s="87" t="str">
        <x:v>statgrad_master_base_v0_81_final(2).xlsx</x:v>
      </x:c>
      <x:c r="AM995" s="87" t="str">
        <x:v>CHEM_Mar_V2</x:v>
      </x:c>
      <x:c r="AN995" s="87" t="n">
        <x:v>28</x:v>
      </x:c>
    </x:row>
    <x:row r="996">
      <x:c r="A996" s="87" t="n">
        <x:v>995</x:v>
      </x:c>
      <x:c r="B996" s="87" t="str">
        <x:v>MAR-CHEM-V2-028</x:v>
      </x:c>
      <x:c r="C996" s="87" t="str">
        <x:v>СтатГрад</x:v>
      </x:c>
      <x:c r="D996" s="87" t="str">
        <x:v>Март 2026</x:v>
      </x:c>
      <x:c r="E996" s="87"/>
      <x:c r="F996" s="87"/>
      <x:c r="G996" s="87" t="str">
        <x:v>Химия</x:v>
      </x:c>
      <x:c r="H996" s="87" t="n">
        <x:v>11</x:v>
      </x:c>
      <x:c r="I996" s="87" t="str">
        <x:v>ТР №4</x:v>
      </x:c>
      <x:c r="J996" s="87" t="str">
        <x:v>ХИ2510402</x:v>
      </x:c>
      <x:c r="K996" s="87" t="n">
        <x:v>28</x:v>
      </x:c>
      <x:c r="L996" s="87" t="str">
        <x:v>Выход продукта</x:v>
      </x:c>
      <x:c r="M996" s="30" t="str">
        <x:v>При прокаливании 4,25 г NaNO₃ получено 448 мл O₂; найти выход.</x:v>
      </x:c>
      <x:c r="N996" s="30" t="str">
        <x:v>80</x:v>
      </x:c>
      <x:c r="O996" s="30" t="str">
        <x:v>n(NaNO₃)=0,05; теоретически O₂=0,025 моль=560 мл; η=448/560·100%=80%.</x:v>
      </x:c>
      <x:c r="P996" s="30" t="str">
        <x:v>Проверено по 2NaNO₃→2NaNO₂+O₂.</x:v>
      </x:c>
      <x:c r="Q996" s="30"/>
      <x:c r="R996" s="30" t="str">
        <x:v>PDF + независимая проверка</x:v>
      </x:c>
      <x:c r="S996" s="30"/>
      <x:c r="T996" s="30"/>
      <x:c r="U996" s="30" t="str">
        <x:v>Расхождений не обнаружено.</x:v>
      </x:c>
      <x:c r="V996" s="87" t="str">
        <x:v>VERIFIED</x:v>
      </x:c>
      <x:c r="W996" s="87" t="str">
        <x:v>PDF варианта, внутренняя стр. 14</x:v>
      </x:c>
      <x:c r="X996" s="87"/>
      <x:c r="Y996" s="87"/>
      <x:c r="Z996" s="87"/>
      <x:c r="AA996" s="87"/>
      <x:c r="AB996" s="87"/>
      <x:c r="AC996" s="87"/>
      <x:c r="AD996" s="87"/>
      <x:c r="AE996" s="87"/>
      <x:c r="AF996" s="87"/>
      <x:c r="AG996" s="87"/>
      <x:c r="AH996" s="87"/>
      <x:c r="AI996" s="30"/>
      <x:c r="AJ996" s="87" t="str">
        <x:v>master</x:v>
      </x:c>
      <x:c r="AK996" s="87" t="str">
        <x:v>master-v0.81</x:v>
      </x:c>
      <x:c r="AL996" s="87" t="str">
        <x:v>statgrad_master_base_v0_81_final(2).xlsx</x:v>
      </x:c>
      <x:c r="AM996" s="87" t="str">
        <x:v>CHEM_Mar_V2</x:v>
      </x:c>
      <x:c r="AN996" s="87" t="n">
        <x:v>29</x:v>
      </x:c>
    </x:row>
    <x:row r="997">
      <x:c r="A997" s="87" t="n">
        <x:v>996</x:v>
      </x:c>
      <x:c r="B997" s="87" t="str">
        <x:v>MAR-CHEM-V2-029</x:v>
      </x:c>
      <x:c r="C997" s="87" t="str">
        <x:v>СтатГрад</x:v>
      </x:c>
      <x:c r="D997" s="87" t="str">
        <x:v>Март 2026</x:v>
      </x:c>
      <x:c r="E997" s="87"/>
      <x:c r="F997" s="87"/>
      <x:c r="G997" s="87" t="str">
        <x:v>Химия</x:v>
      </x:c>
      <x:c r="H997" s="87" t="n">
        <x:v>11</x:v>
      </x:c>
      <x:c r="I997" s="87" t="str">
        <x:v>ТР №4</x:v>
      </x:c>
      <x:c r="J997" s="87" t="str">
        <x:v>ХИ2510402</x:v>
      </x:c>
      <x:c r="K997" s="87" t="n">
        <x:v>29</x:v>
      </x:c>
      <x:c r="L997" s="87" t="str">
        <x:v>Развёрнутый ответ: ОВР</x:v>
      </x:c>
      <x:c r="M997" s="30" t="str">
        <x:v>Из перечня выбрать ОВР, образующую две соли; составить баланс.</x:v>
      </x:c>
      <x:c r="N997" s="30" t="str">
        <x:v>6FeCl₂ + KClO₃ + 6HCl → 6FeCl₃ + KCl + 3H₂O.
Баланс: Fe²⁺−e⁻→Fe³⁺ (×6); ClO₃⁻+6H⁺+6e⁻→Cl⁻+3H₂O.
Окислитель KClO₃, восстановитель FeCl₂.</x:v>
      </x:c>
      <x:c r="O997" s="30" t="str">
        <x:v>Образуются две соли FeCl₃ и KCl; атомный и электронный баланс проверены.</x:v>
      </x:c>
      <x:c r="P997" s="30" t="str">
        <x:v>Независимое развёрнутое решение</x:v>
      </x:c>
      <x:c r="Q997" s="30"/>
      <x:c r="R997" s="30" t="str">
        <x:v>PDF + независимая проверка</x:v>
      </x:c>
      <x:c r="S997" s="30"/>
      <x:c r="T997" s="30"/>
      <x:c r="U997" s="30" t="str">
        <x:v>Расхождений не обнаружено.</x:v>
      </x:c>
      <x:c r="V997" s="87" t="str">
        <x:v>VERIFIED</x:v>
      </x:c>
      <x:c r="W997" s="87" t="str">
        <x:v>PDF варианта, внутренняя стр. 15</x:v>
      </x:c>
      <x:c r="X997" s="87"/>
      <x:c r="Y997" s="87"/>
      <x:c r="Z997" s="87"/>
      <x:c r="AA997" s="87"/>
      <x:c r="AB997" s="87"/>
      <x:c r="AC997" s="87"/>
      <x:c r="AD997" s="87"/>
      <x:c r="AE997" s="87"/>
      <x:c r="AF997" s="87"/>
      <x:c r="AG997" s="87"/>
      <x:c r="AH997" s="87"/>
      <x:c r="AI997" s="30"/>
      <x:c r="AJ997" s="87" t="str">
        <x:v>master</x:v>
      </x:c>
      <x:c r="AK997" s="87" t="str">
        <x:v>master-v0.81</x:v>
      </x:c>
      <x:c r="AL997" s="87" t="str">
        <x:v>statgrad_master_base_v0_81_final(2).xlsx</x:v>
      </x:c>
      <x:c r="AM997" s="87" t="str">
        <x:v>CHEM_Mar_V2</x:v>
      </x:c>
      <x:c r="AN997" s="87" t="n">
        <x:v>30</x:v>
      </x:c>
    </x:row>
    <x:row r="998">
      <x:c r="A998" s="87" t="n">
        <x:v>997</x:v>
      </x:c>
      <x:c r="B998" s="87" t="str">
        <x:v>MAR-CHEM-V2-030</x:v>
      </x:c>
      <x:c r="C998" s="87" t="str">
        <x:v>СтатГрад</x:v>
      </x:c>
      <x:c r="D998" s="87" t="str">
        <x:v>Март 2026</x:v>
      </x:c>
      <x:c r="E998" s="87"/>
      <x:c r="F998" s="87"/>
      <x:c r="G998" s="87" t="str">
        <x:v>Химия</x:v>
      </x:c>
      <x:c r="H998" s="87" t="n">
        <x:v>11</x:v>
      </x:c>
      <x:c r="I998" s="87" t="str">
        <x:v>ТР №4</x:v>
      </x:c>
      <x:c r="J998" s="87" t="str">
        <x:v>ХИ2510402</x:v>
      </x:c>
      <x:c r="K998" s="87" t="n">
        <x:v>30</x:v>
      </x:c>
      <x:c r="L998" s="87" t="str">
        <x:v>Развёрнутый ответ: ионный обмен</x:v>
      </x:c>
      <x:c r="M998" s="30" t="str">
        <x:v>Выбрать обмен с образованием двух солей и записать три уравнения.</x:v>
      </x:c>
      <x:c r="N998" s="30" t="str">
        <x:v>Молекулярное: 3FeCl₂+2Na₃PO₄→Fe₃(PO₄)₂↓+6NaCl.
Полное ионное: 3Fe²⁺+6Cl⁻+6Na⁺+2PO₄³⁻→Fe₃(PO₄)₂↓+6Na⁺+6Cl⁻.
Сокращённое: 3Fe²⁺+2PO₄³⁻→Fe₃(PO₄)₂↓.</x:v>
      </x:c>
      <x:c r="O998" s="30" t="str">
        <x:v>Движущая сила — образование нерастворимого фосфата железа(II).</x:v>
      </x:c>
      <x:c r="P998" s="30" t="str">
        <x:v>Независимое развёрнутое решение</x:v>
      </x:c>
      <x:c r="Q998" s="30"/>
      <x:c r="R998" s="30" t="str">
        <x:v>PDF + независимая проверка</x:v>
      </x:c>
      <x:c r="S998" s="30"/>
      <x:c r="T998" s="30"/>
      <x:c r="U998" s="30" t="str">
        <x:v>Расхождений не обнаружено.</x:v>
      </x:c>
      <x:c r="V998" s="87" t="str">
        <x:v>VERIFIED</x:v>
      </x:c>
      <x:c r="W998" s="87" t="str">
        <x:v>PDF варианта, внутренняя стр. 15</x:v>
      </x:c>
      <x:c r="X998" s="87"/>
      <x:c r="Y998" s="87"/>
      <x:c r="Z998" s="87"/>
      <x:c r="AA998" s="87"/>
      <x:c r="AB998" s="87"/>
      <x:c r="AC998" s="87"/>
      <x:c r="AD998" s="87"/>
      <x:c r="AE998" s="87"/>
      <x:c r="AF998" s="87"/>
      <x:c r="AG998" s="87"/>
      <x:c r="AH998" s="87"/>
      <x:c r="AI998" s="30"/>
      <x:c r="AJ998" s="87" t="str">
        <x:v>master</x:v>
      </x:c>
      <x:c r="AK998" s="87" t="str">
        <x:v>master-v0.81</x:v>
      </x:c>
      <x:c r="AL998" s="87" t="str">
        <x:v>statgrad_master_base_v0_81_final(2).xlsx</x:v>
      </x:c>
      <x:c r="AM998" s="87" t="str">
        <x:v>CHEM_Mar_V2</x:v>
      </x:c>
      <x:c r="AN998" s="87" t="n">
        <x:v>31</x:v>
      </x:c>
    </x:row>
    <x:row r="999">
      <x:c r="A999" s="87" t="n">
        <x:v>998</x:v>
      </x:c>
      <x:c r="B999" s="87" t="str">
        <x:v>MAR-CHEM-V2-031</x:v>
      </x:c>
      <x:c r="C999" s="87" t="str">
        <x:v>СтатГрад</x:v>
      </x:c>
      <x:c r="D999" s="87" t="str">
        <x:v>Март 2026</x:v>
      </x:c>
      <x:c r="E999" s="87"/>
      <x:c r="F999" s="87"/>
      <x:c r="G999" s="87" t="str">
        <x:v>Химия</x:v>
      </x:c>
      <x:c r="H999" s="87" t="n">
        <x:v>11</x:v>
      </x:c>
      <x:c r="I999" s="87" t="str">
        <x:v>ТР №4</x:v>
      </x:c>
      <x:c r="J999" s="87" t="str">
        <x:v>ХИ2510402</x:v>
      </x:c>
      <x:c r="K999" s="87" t="n">
        <x:v>31</x:v>
      </x:c>
      <x:c r="L999" s="87" t="str">
        <x:v>Развёрнутый ответ: неорганическая цепочка</x:v>
      </x:c>
      <x:c r="M999" s="30" t="str">
        <x:v>Записать четыре реакции по описанию превращений MgSO₄ и BaCl₂.</x:v>
      </x:c>
      <x:c r="N999" s="30" t="str">
        <x:v>1) MgSO₄+BaCl₂→BaSO₄↓+MgCl₂.
2) BaSO₄+4C→BaS+4CO↑ (t).
3) BaS+2HCl→BaCl₂+H₂S↑.
4) H₂S+2FeCl₃→S↓+2FeCl₂+2HCl.</x:v>
      </x:c>
      <x:c r="O999" s="30" t="str">
        <x:v>Помутнение обусловлено серой, светло-зелёный цвет — FeCl₂.</x:v>
      </x:c>
      <x:c r="P999" s="30" t="str">
        <x:v>Независимое развёрнутое решение</x:v>
      </x:c>
      <x:c r="Q999" s="30"/>
      <x:c r="R999" s="30" t="str">
        <x:v>PDF + независимая проверка</x:v>
      </x:c>
      <x:c r="S999" s="30"/>
      <x:c r="T999" s="30"/>
      <x:c r="U999" s="30" t="str">
        <x:v>Расхождений не обнаружено.</x:v>
      </x:c>
      <x:c r="V999" s="87" t="str">
        <x:v>VERIFIED</x:v>
      </x:c>
      <x:c r="W999" s="87" t="str">
        <x:v>PDF варианта, внутренняя стр. 15</x:v>
      </x:c>
      <x:c r="X999" s="87"/>
      <x:c r="Y999" s="87"/>
      <x:c r="Z999" s="87"/>
      <x:c r="AA999" s="87"/>
      <x:c r="AB999" s="87"/>
      <x:c r="AC999" s="87"/>
      <x:c r="AD999" s="87"/>
      <x:c r="AE999" s="87"/>
      <x:c r="AF999" s="87"/>
      <x:c r="AG999" s="87"/>
      <x:c r="AH999" s="87"/>
      <x:c r="AI999" s="30"/>
      <x:c r="AJ999" s="87" t="str">
        <x:v>master</x:v>
      </x:c>
      <x:c r="AK999" s="87" t="str">
        <x:v>master-v0.81</x:v>
      </x:c>
      <x:c r="AL999" s="87" t="str">
        <x:v>statgrad_master_base_v0_81_final(2).xlsx</x:v>
      </x:c>
      <x:c r="AM999" s="87" t="str">
        <x:v>CHEM_Mar_V2</x:v>
      </x:c>
      <x:c r="AN999" s="87" t="n">
        <x:v>32</x:v>
      </x:c>
    </x:row>
    <x:row r="1000">
      <x:c r="A1000" s="87" t="n">
        <x:v>999</x:v>
      </x:c>
      <x:c r="B1000" s="87" t="str">
        <x:v>MAR-CHEM-V2-032</x:v>
      </x:c>
      <x:c r="C1000" s="87" t="str">
        <x:v>СтатГрад</x:v>
      </x:c>
      <x:c r="D1000" s="87" t="str">
        <x:v>Март 2026</x:v>
      </x:c>
      <x:c r="E1000" s="87"/>
      <x:c r="F1000" s="87"/>
      <x:c r="G1000" s="87" t="str">
        <x:v>Химия</x:v>
      </x:c>
      <x:c r="H1000" s="87" t="n">
        <x:v>11</x:v>
      </x:c>
      <x:c r="I1000" s="87" t="str">
        <x:v>ТР №4</x:v>
      </x:c>
      <x:c r="J1000" s="87" t="str">
        <x:v>ХИ2510402</x:v>
      </x:c>
      <x:c r="K1000" s="87" t="n">
        <x:v>32</x:v>
      </x:c>
      <x:c r="L1000" s="87" t="str">
        <x:v>Развёрнутый ответ: органическая цепочка</x:v>
      </x:c>
      <x:c r="M1000" s="30" t="str">
        <x:v>Осуществить превращения пропен → X₁ → пропин → X₂ → X₃ → бензол.</x:v>
      </x:c>
      <x:c r="N1000" s="30" t="str">
        <x:v>1) CH₃–CH=CH₂+Br₂→CH₃–CHBr–CH₂Br.
2) CH₃–CHBr–CH₂Br+2KOH(спирт.)→CH₃–C≡CH+2KBr+2H₂O.
3) 3CH₃–C≡CH→1,3,5-C₆H₃(CH₃)₃ (C, t).
4) 1,3,5-C₆H₃(CH₃)₃+9[O]→C₆H₃(COOH)₃+3H₂O.
5) C₆H₃(COOH)₃+6NaOH→C₆H₆+3Na₂CO₃+3H₂O (CaO, t).</x:v>
      </x:c>
      <x:c r="O1000" s="30" t="str">
        <x:v>X₁=1,2-дибромпропан; X₂=мезитилен; X₃=бензол-1,3,5-трикарбоновая кислота.</x:v>
      </x:c>
      <x:c r="P1000" s="30" t="str">
        <x:v>Независимое развёрнутое решение</x:v>
      </x:c>
      <x:c r="Q1000" s="30"/>
      <x:c r="R1000" s="30" t="str">
        <x:v>PDF + независимая проверка</x:v>
      </x:c>
      <x:c r="S1000" s="30"/>
      <x:c r="T1000" s="30"/>
      <x:c r="U1000" s="30" t="str">
        <x:v>Расхождений не обнаружено.</x:v>
      </x:c>
      <x:c r="V1000" s="87" t="str">
        <x:v>VERIFIED</x:v>
      </x:c>
      <x:c r="W1000" s="87" t="str">
        <x:v>PDF варианта, внутренняя стр. 15</x:v>
      </x:c>
      <x:c r="X1000" s="87"/>
      <x:c r="Y1000" s="87"/>
      <x:c r="Z1000" s="87"/>
      <x:c r="AA1000" s="87"/>
      <x:c r="AB1000" s="87"/>
      <x:c r="AC1000" s="87"/>
      <x:c r="AD1000" s="87"/>
      <x:c r="AE1000" s="87"/>
      <x:c r="AF1000" s="87"/>
      <x:c r="AG1000" s="87"/>
      <x:c r="AH1000" s="87"/>
      <x:c r="AI1000" s="30"/>
      <x:c r="AJ1000" s="87" t="str">
        <x:v>master</x:v>
      </x:c>
      <x:c r="AK1000" s="87" t="str">
        <x:v>master-v0.81</x:v>
      </x:c>
      <x:c r="AL1000" s="87" t="str">
        <x:v>statgrad_master_base_v0_81_final(2).xlsx</x:v>
      </x:c>
      <x:c r="AM1000" s="87" t="str">
        <x:v>CHEM_Mar_V2</x:v>
      </x:c>
      <x:c r="AN1000" s="87" t="n">
        <x:v>33</x:v>
      </x:c>
    </x:row>
    <x:row r="1001">
      <x:c r="A1001" s="87" t="n">
        <x:v>1000</x:v>
      </x:c>
      <x:c r="B1001" s="87" t="str">
        <x:v>MAR-CHEM-V2-033</x:v>
      </x:c>
      <x:c r="C1001" s="87" t="str">
        <x:v>СтатГрад</x:v>
      </x:c>
      <x:c r="D1001" s="87" t="str">
        <x:v>Март 2026</x:v>
      </x:c>
      <x:c r="E1001" s="87"/>
      <x:c r="F1001" s="87"/>
      <x:c r="G1001" s="87" t="str">
        <x:v>Химия</x:v>
      </x:c>
      <x:c r="H1001" s="87" t="n">
        <x:v>11</x:v>
      </x:c>
      <x:c r="I1001" s="87" t="str">
        <x:v>ТР №4</x:v>
      </x:c>
      <x:c r="J1001" s="87" t="str">
        <x:v>ХИ2510402</x:v>
      </x:c>
      <x:c r="K1001" s="87" t="n">
        <x:v>33</x:v>
      </x:c>
      <x:c r="L1001" s="87" t="str">
        <x:v>Развёрнутый ответ: установление формулы</x:v>
      </x:c>
      <x:c r="M1001" s="30" t="str">
        <x:v>По продуктам сгорания установить жидкость A и реакцию с Al/KOH.</x:v>
      </x:c>
      <x:c r="N1001" s="30" t="str">
        <x:v>n(CO₂)=0,12; n(N₂)=0,03; n(H₂O)=0,15. Состав C₂H₅NO₂, M=75&lt;76.
Структура с фруктовым запахом и без основных свойств: CH₃–CH₂–O–N=O (этилнитрит).
CH₃CH₂ONO+2Al+2KOH+5H₂O→CH₃CH₂OH+NH₃+2K[Al(OH)₄].</x:v>
      </x:c>
      <x:c r="O1001" s="30" t="str">
        <x:v>Элементный состав, молярная масса и отсутствие основных свойств согласованы.</x:v>
      </x:c>
      <x:c r="P1001" s="30" t="str">
        <x:v>Независимое развёрнутое решение</x:v>
      </x:c>
      <x:c r="Q1001" s="30"/>
      <x:c r="R1001" s="30" t="str">
        <x:v>PDF + независимая проверка</x:v>
      </x:c>
      <x:c r="S1001" s="30"/>
      <x:c r="T1001" s="30"/>
      <x:c r="U1001" s="30" t="str">
        <x:v>Расхождений не обнаружено.</x:v>
      </x:c>
      <x:c r="V1001" s="87" t="str">
        <x:v>VERIFIED</x:v>
      </x:c>
      <x:c r="W1001" s="87" t="str">
        <x:v>PDF варианта, внутренняя стр. 16</x:v>
      </x:c>
      <x:c r="X1001" s="87"/>
      <x:c r="Y1001" s="87"/>
      <x:c r="Z1001" s="87"/>
      <x:c r="AA1001" s="87"/>
      <x:c r="AB1001" s="87"/>
      <x:c r="AC1001" s="87"/>
      <x:c r="AD1001" s="87"/>
      <x:c r="AE1001" s="87"/>
      <x:c r="AF1001" s="87"/>
      <x:c r="AG1001" s="87"/>
      <x:c r="AH1001" s="87"/>
      <x:c r="AI1001" s="30"/>
      <x:c r="AJ1001" s="87" t="str">
        <x:v>master</x:v>
      </x:c>
      <x:c r="AK1001" s="87" t="str">
        <x:v>master-v0.81</x:v>
      </x:c>
      <x:c r="AL1001" s="87" t="str">
        <x:v>statgrad_master_base_v0_81_final(2).xlsx</x:v>
      </x:c>
      <x:c r="AM1001" s="87" t="str">
        <x:v>CHEM_Mar_V2</x:v>
      </x:c>
      <x:c r="AN1001" s="87" t="n">
        <x:v>34</x:v>
      </x:c>
    </x:row>
    <x:row r="1002">
      <x:c r="A1002" s="87" t="n">
        <x:v>1001</x:v>
      </x:c>
      <x:c r="B1002" s="87" t="str">
        <x:v>MAR-CHEM-V2-034</x:v>
      </x:c>
      <x:c r="C1002" s="87" t="str">
        <x:v>СтатГрад</x:v>
      </x:c>
      <x:c r="D1002" s="87" t="str">
        <x:v>Март 2026</x:v>
      </x:c>
      <x:c r="E1002" s="87"/>
      <x:c r="F1002" s="87"/>
      <x:c r="G1002" s="87" t="str">
        <x:v>Химия</x:v>
      </x:c>
      <x:c r="H1002" s="87" t="n">
        <x:v>11</x:v>
      </x:c>
      <x:c r="I1002" s="87" t="str">
        <x:v>ТР №4</x:v>
      </x:c>
      <x:c r="J1002" s="87" t="str">
        <x:v>ХИ2510402</x:v>
      </x:c>
      <x:c r="K1002" s="87" t="n">
        <x:v>34</x:v>
      </x:c>
      <x:c r="L1002" s="87" t="str">
        <x:v>Развёрнутый ответ: расчёт смеси</x:v>
      </x:c>
      <x:c r="M1002" s="30" t="str">
        <x:v>Прокалить Cu₂(OH)₂CO₃, осушить газы, пропустить через C и 20 г 14%-го KOH; найти массовые доли.</x:v>
      </x:c>
      <x:c r="N1002" s="30" t="str">
        <x:v>Cu₂(OH)₂CO₃→2CuO+CO₂+H₂O.
Из 0,04 моль соли после осушки остаётся 0,04 моль CO₂. Уголь потерял 0,01 моль C: CO₂+C→2CO; осталось 0,03 моль CO₂.
0,05 моль KOH даёт 0,02 моль K₂CO₃ и 0,01 моль KHCO₃.
Масса раствора 21,32 г; w(K₂CO₃)=12,95%, w(KHCO₃)=4,69%.</x:v>
      </x:c>
      <x:c r="O1002" s="30" t="str">
        <x:v>CO не поглощается; баланс KOH и CO₂ проверен.</x:v>
      </x:c>
      <x:c r="P1002" s="30" t="str">
        <x:v>Независимое развёрнутое решение</x:v>
      </x:c>
      <x:c r="Q1002" s="30"/>
      <x:c r="R1002" s="30" t="str">
        <x:v>PDF + независимая проверка</x:v>
      </x:c>
      <x:c r="S1002" s="30"/>
      <x:c r="T1002" s="30"/>
      <x:c r="U1002" s="30" t="str">
        <x:v>Расхождений не обнаружено.</x:v>
      </x:c>
      <x:c r="V1002" s="87" t="str">
        <x:v>VERIFIED</x:v>
      </x:c>
      <x:c r="W1002" s="87" t="str">
        <x:v>PDF варианта, внутренняя стр. 16</x:v>
      </x:c>
      <x:c r="X1002" s="87"/>
      <x:c r="Y1002" s="87"/>
      <x:c r="Z1002" s="87"/>
      <x:c r="AA1002" s="87"/>
      <x:c r="AB1002" s="87"/>
      <x:c r="AC1002" s="87"/>
      <x:c r="AD1002" s="87"/>
      <x:c r="AE1002" s="87"/>
      <x:c r="AF1002" s="87"/>
      <x:c r="AG1002" s="87"/>
      <x:c r="AH1002" s="87"/>
      <x:c r="AI1002" s="30"/>
      <x:c r="AJ1002" s="87" t="str">
        <x:v>master</x:v>
      </x:c>
      <x:c r="AK1002" s="87" t="str">
        <x:v>master-v0.81</x:v>
      </x:c>
      <x:c r="AL1002" s="87" t="str">
        <x:v>statgrad_master_base_v0_81_final(2).xlsx</x:v>
      </x:c>
      <x:c r="AM1002" s="87" t="str">
        <x:v>CHEM_Mar_V2</x:v>
      </x:c>
      <x:c r="AN1002" s="87" t="n">
        <x:v>35</x:v>
      </x:c>
    </x:row>
    <x:row r="1003">
      <x:c r="A1003" s="87" t="n">
        <x:v>1002</x:v>
      </x:c>
      <x:c r="B1003" s="87" t="str">
        <x:v>MAR-CHEM-V3-001</x:v>
      </x:c>
      <x:c r="C1003" s="87" t="str">
        <x:v>СтатГрад</x:v>
      </x:c>
      <x:c r="D1003" s="87" t="str">
        <x:v>Март 2026</x:v>
      </x:c>
      <x:c r="E1003" s="87"/>
      <x:c r="F1003" s="87"/>
      <x:c r="G1003" s="87" t="str">
        <x:v>Химия</x:v>
      </x:c>
      <x:c r="H1003" s="87" t="n">
        <x:v>11</x:v>
      </x:c>
      <x:c r="I1003" s="87" t="str">
        <x:v>ТР №4</x:v>
      </x:c>
      <x:c r="J1003" s="87" t="str">
        <x:v>ХИ2510403</x:v>
      </x:c>
      <x:c r="K1003" s="87" t="n">
        <x:v>1</x:v>
      </x:c>
      <x:c r="L1003" s="87" t="str">
        <x:v>Строение атома и иона</x:v>
      </x:c>
      <x:c r="M1003" s="30" t="str">
        <x:v>Выбрать элементы, образующие катион +1 без неспаренных электронов.</x:v>
      </x:c>
      <x:c r="N1003" s="30" t="str">
        <x:v>14</x:v>
      </x:c>
      <x:c r="O1003" s="30" t="str">
        <x:v>Rb⁺ и Cu⁺ имеют замкнутые электронные конфигурации.</x:v>
      </x:c>
      <x:c r="P1003" s="30" t="str">
        <x:v>Проверены конфигурации Rb⁺ и Cu⁺.</x:v>
      </x:c>
      <x:c r="Q1003" s="30"/>
      <x:c r="R1003" s="30" t="str">
        <x:v>Публичный ответ: 14</x:v>
      </x:c>
      <x:c r="S1003" s="30"/>
      <x:c r="T1003" s="30"/>
      <x:c r="U1003" s="30" t="str">
        <x:v>Расхождений не обнаружено.</x:v>
      </x:c>
      <x:c r="V1003" s="87" t="str">
        <x:v>VERIFIED</x:v>
      </x:c>
      <x:c r="W1003" s="87" t="str">
        <x:v>PDF варианта, внутренняя стр. 2</x:v>
      </x:c>
      <x:c r="X1003" s="87"/>
      <x:c r="Y1003" s="87"/>
      <x:c r="Z1003" s="87"/>
      <x:c r="AA1003" s="87"/>
      <x:c r="AB1003" s="87"/>
      <x:c r="AC1003" s="87"/>
      <x:c r="AD1003" s="87"/>
      <x:c r="AE1003" s="87"/>
      <x:c r="AF1003" s="87"/>
      <x:c r="AG1003" s="87"/>
      <x:c r="AH1003" s="87"/>
      <x:c r="AI1003" s="30"/>
      <x:c r="AJ1003" s="87" t="str">
        <x:v>master</x:v>
      </x:c>
      <x:c r="AK1003" s="87" t="str">
        <x:v>master-v0.81</x:v>
      </x:c>
      <x:c r="AL1003" s="87" t="str">
        <x:v>statgrad_master_base_v0_81_final(2).xlsx</x:v>
      </x:c>
      <x:c r="AM1003" s="87" t="str">
        <x:v>CHEM_Mar_V3</x:v>
      </x:c>
      <x:c r="AN1003" s="87" t="n">
        <x:v>2</x:v>
      </x:c>
    </x:row>
    <x:row r="1004">
      <x:c r="A1004" s="87" t="n">
        <x:v>1003</x:v>
      </x:c>
      <x:c r="B1004" s="87" t="str">
        <x:v>MAR-CHEM-V3-002</x:v>
      </x:c>
      <x:c r="C1004" s="87" t="str">
        <x:v>СтатГрад</x:v>
      </x:c>
      <x:c r="D1004" s="87" t="str">
        <x:v>Март 2026</x:v>
      </x:c>
      <x:c r="E1004" s="87"/>
      <x:c r="F1004" s="87"/>
      <x:c r="G1004" s="87" t="str">
        <x:v>Химия</x:v>
      </x:c>
      <x:c r="H1004" s="87" t="n">
        <x:v>11</x:v>
      </x:c>
      <x:c r="I1004" s="87" t="str">
        <x:v>ТР №4</x:v>
      </x:c>
      <x:c r="J1004" s="87" t="str">
        <x:v>ХИ2510403</x:v>
      </x:c>
      <x:c r="K1004" s="87" t="n">
        <x:v>2</x:v>
      </x:c>
      <x:c r="L1004" s="87" t="str">
        <x:v>Периодические свойства</x:v>
      </x:c>
      <x:c r="M1004" s="30" t="str">
        <x:v>Три металла расположить по убыванию основных свойств высшего гидроксида.</x:v>
      </x:c>
      <x:c r="N1004" s="30" t="str">
        <x:v>143</x:v>
      </x:c>
      <x:c r="O1004" s="30" t="str">
        <x:v>RbOH — сильное основание; Cu(OH)₂ проявляет основные свойства; высшее соединение Mn(VII) имеет кислотный характер.</x:v>
      </x:c>
      <x:c r="P1004" s="30" t="str">
        <x:v>Сопоставлены высшие степени окисления и свойства соответствующих гидроксидов.</x:v>
      </x:c>
      <x:c r="Q1004" s="30"/>
      <x:c r="R1004" s="30" t="str">
        <x:v>Публичный ответ: 143</x:v>
      </x:c>
      <x:c r="S1004" s="30"/>
      <x:c r="T1004" s="30"/>
      <x:c r="U1004" s="30" t="str">
        <x:v>Расхождений не обнаружено.</x:v>
      </x:c>
      <x:c r="V1004" s="87" t="str">
        <x:v>VERIFIED</x:v>
      </x:c>
      <x:c r="W1004" s="87" t="str">
        <x:v>PDF варианта, внутренняя стр. 2</x:v>
      </x:c>
      <x:c r="X1004" s="87"/>
      <x:c r="Y1004" s="87"/>
      <x:c r="Z1004" s="87"/>
      <x:c r="AA1004" s="87"/>
      <x:c r="AB1004" s="87"/>
      <x:c r="AC1004" s="87"/>
      <x:c r="AD1004" s="87"/>
      <x:c r="AE1004" s="87"/>
      <x:c r="AF1004" s="87"/>
      <x:c r="AG1004" s="87"/>
      <x:c r="AH1004" s="87"/>
      <x:c r="AI1004" s="30"/>
      <x:c r="AJ1004" s="87" t="str">
        <x:v>master</x:v>
      </x:c>
      <x:c r="AK1004" s="87" t="str">
        <x:v>master-v0.81</x:v>
      </x:c>
      <x:c r="AL1004" s="87" t="str">
        <x:v>statgrad_master_base_v0_81_final(2).xlsx</x:v>
      </x:c>
      <x:c r="AM1004" s="87" t="str">
        <x:v>CHEM_Mar_V3</x:v>
      </x:c>
      <x:c r="AN1004" s="87" t="n">
        <x:v>3</x:v>
      </x:c>
    </x:row>
    <x:row r="1005">
      <x:c r="A1005" s="87" t="n">
        <x:v>1004</x:v>
      </x:c>
      <x:c r="B1005" s="87" t="str">
        <x:v>MAR-CHEM-V3-003</x:v>
      </x:c>
      <x:c r="C1005" s="87" t="str">
        <x:v>СтатГрад</x:v>
      </x:c>
      <x:c r="D1005" s="87" t="str">
        <x:v>Март 2026</x:v>
      </x:c>
      <x:c r="E1005" s="87"/>
      <x:c r="F1005" s="87"/>
      <x:c r="G1005" s="87" t="str">
        <x:v>Химия</x:v>
      </x:c>
      <x:c r="H1005" s="87" t="n">
        <x:v>11</x:v>
      </x:c>
      <x:c r="I1005" s="87" t="str">
        <x:v>ТР №4</x:v>
      </x:c>
      <x:c r="J1005" s="87" t="str">
        <x:v>ХИ2510403</x:v>
      </x:c>
      <x:c r="K1005" s="87" t="n">
        <x:v>3</x:v>
      </x:c>
      <x:c r="L1005" s="87" t="str">
        <x:v>Степени окисления</x:v>
      </x:c>
      <x:c r="M1005" s="30" t="str">
        <x:v>Выбрать элементы, образующие анионы состава XO₄.</x:v>
      </x:c>
      <x:c r="N1005" s="30" t="str">
        <x:v>35</x:v>
      </x:c>
      <x:c r="O1005" s="30" t="str">
        <x:v>Mn образует MnO₄⁻, Cl — ClO₄⁻.</x:v>
      </x:c>
      <x:c r="P1005" s="30" t="str">
        <x:v>Формулы анионов проверены независимо.</x:v>
      </x:c>
      <x:c r="Q1005" s="30"/>
      <x:c r="R1005" s="30" t="str">
        <x:v>Публичный ответ: 35</x:v>
      </x:c>
      <x:c r="S1005" s="30"/>
      <x:c r="T1005" s="30"/>
      <x:c r="U1005" s="30" t="str">
        <x:v>Расхождений не обнаружено.</x:v>
      </x:c>
      <x:c r="V1005" s="87" t="str">
        <x:v>VERIFIED</x:v>
      </x:c>
      <x:c r="W1005" s="87" t="str">
        <x:v>PDF варианта, внутренняя стр. 2</x:v>
      </x:c>
      <x:c r="X1005" s="87"/>
      <x:c r="Y1005" s="87"/>
      <x:c r="Z1005" s="87"/>
      <x:c r="AA1005" s="87"/>
      <x:c r="AB1005" s="87"/>
      <x:c r="AC1005" s="87"/>
      <x:c r="AD1005" s="87"/>
      <x:c r="AE1005" s="87"/>
      <x:c r="AF1005" s="87"/>
      <x:c r="AG1005" s="87"/>
      <x:c r="AH1005" s="87"/>
      <x:c r="AI1005" s="30"/>
      <x:c r="AJ1005" s="87" t="str">
        <x:v>master</x:v>
      </x:c>
      <x:c r="AK1005" s="87" t="str">
        <x:v>master-v0.81</x:v>
      </x:c>
      <x:c r="AL1005" s="87" t="str">
        <x:v>statgrad_master_base_v0_81_final(2).xlsx</x:v>
      </x:c>
      <x:c r="AM1005" s="87" t="str">
        <x:v>CHEM_Mar_V3</x:v>
      </x:c>
      <x:c r="AN1005" s="87" t="n">
        <x:v>4</x:v>
      </x:c>
    </x:row>
    <x:row r="1006">
      <x:c r="A1006" s="87" t="n">
        <x:v>1005</x:v>
      </x:c>
      <x:c r="B1006" s="87" t="str">
        <x:v>MAR-CHEM-V3-004</x:v>
      </x:c>
      <x:c r="C1006" s="87" t="str">
        <x:v>СтатГрад</x:v>
      </x:c>
      <x:c r="D1006" s="87" t="str">
        <x:v>Март 2026</x:v>
      </x:c>
      <x:c r="E1006" s="87"/>
      <x:c r="F1006" s="87"/>
      <x:c r="G1006" s="87" t="str">
        <x:v>Химия</x:v>
      </x:c>
      <x:c r="H1006" s="87" t="n">
        <x:v>11</x:v>
      </x:c>
      <x:c r="I1006" s="87" t="str">
        <x:v>ТР №4</x:v>
      </x:c>
      <x:c r="J1006" s="87" t="str">
        <x:v>ХИ2510403</x:v>
      </x:c>
      <x:c r="K1006" s="87" t="n">
        <x:v>4</x:v>
      </x:c>
      <x:c r="L1006" s="87" t="str">
        <x:v>Химическая связь</x:v>
      </x:c>
      <x:c r="M1006" s="30" t="str">
        <x:v>Выбрать два вещества без ковалентных связей.</x:v>
      </x:c>
      <x:c r="N1006" s="30" t="str">
        <x:v>23</x:v>
      </x:c>
      <x:c r="O1006" s="30" t="str">
        <x:v>Ar — одноатомное вещество; CaCl₂ имеет ионную связь.</x:v>
      </x:c>
      <x:c r="P1006" s="30" t="str">
        <x:v>Проверен тип связи во всех пяти веществах.</x:v>
      </x:c>
      <x:c r="Q1006" s="30"/>
      <x:c r="R1006" s="30" t="str">
        <x:v>Публичный ответ: 23</x:v>
      </x:c>
      <x:c r="S1006" s="30"/>
      <x:c r="T1006" s="30"/>
      <x:c r="U1006" s="30" t="str">
        <x:v>Расхождений не обнаружено.</x:v>
      </x:c>
      <x:c r="V1006" s="87" t="str">
        <x:v>VERIFIED</x:v>
      </x:c>
      <x:c r="W1006" s="87" t="str">
        <x:v>PDF варианта, внутренняя стр. 3</x:v>
      </x:c>
      <x:c r="X1006" s="87"/>
      <x:c r="Y1006" s="87"/>
      <x:c r="Z1006" s="87"/>
      <x:c r="AA1006" s="87"/>
      <x:c r="AB1006" s="87"/>
      <x:c r="AC1006" s="87"/>
      <x:c r="AD1006" s="87"/>
      <x:c r="AE1006" s="87"/>
      <x:c r="AF1006" s="87"/>
      <x:c r="AG1006" s="87"/>
      <x:c r="AH1006" s="87"/>
      <x:c r="AI1006" s="30"/>
      <x:c r="AJ1006" s="87" t="str">
        <x:v>master</x:v>
      </x:c>
      <x:c r="AK1006" s="87" t="str">
        <x:v>master-v0.81</x:v>
      </x:c>
      <x:c r="AL1006" s="87" t="str">
        <x:v>statgrad_master_base_v0_81_final(2).xlsx</x:v>
      </x:c>
      <x:c r="AM1006" s="87" t="str">
        <x:v>CHEM_Mar_V3</x:v>
      </x:c>
      <x:c r="AN1006" s="87" t="n">
        <x:v>5</x:v>
      </x:c>
    </x:row>
    <x:row r="1007">
      <x:c r="A1007" s="87" t="n">
        <x:v>1006</x:v>
      </x:c>
      <x:c r="B1007" s="87" t="str">
        <x:v>MAR-CHEM-V3-005</x:v>
      </x:c>
      <x:c r="C1007" s="87" t="str">
        <x:v>СтатГрад</x:v>
      </x:c>
      <x:c r="D1007" s="87" t="str">
        <x:v>Март 2026</x:v>
      </x:c>
      <x:c r="E1007" s="87"/>
      <x:c r="F1007" s="87"/>
      <x:c r="G1007" s="87" t="str">
        <x:v>Химия</x:v>
      </x:c>
      <x:c r="H1007" s="87" t="n">
        <x:v>11</x:v>
      </x:c>
      <x:c r="I1007" s="87" t="str">
        <x:v>ТР №4</x:v>
      </x:c>
      <x:c r="J1007" s="87" t="str">
        <x:v>ХИ2510403</x:v>
      </x:c>
      <x:c r="K1007" s="87" t="n">
        <x:v>5</x:v>
      </x:c>
      <x:c r="L1007" s="87" t="str">
        <x:v>Классификация веществ</x:v>
      </x:c>
      <x:c r="M1007" s="30" t="str">
        <x:v>Определить основной оксид, амфотерный гидроксид и среднюю соль по таблице.</x:v>
      </x:c>
      <x:c r="N1007" s="30" t="str">
        <x:v>483</x:v>
      </x:c>
      <x:c r="O1007" s="30" t="str">
        <x:v>Выбранные ячейки соответствуют требуемым классам веществ.</x:v>
      </x:c>
      <x:c r="P1007" s="30" t="str">
        <x:v>Классификация каждой формулы проверена отдельно.</x:v>
      </x:c>
      <x:c r="Q1007" s="30"/>
      <x:c r="R1007" s="30" t="str">
        <x:v>Публичный ответ: 483</x:v>
      </x:c>
      <x:c r="S1007" s="30"/>
      <x:c r="T1007" s="30"/>
      <x:c r="U1007" s="30" t="str">
        <x:v>Расхождений не обнаружено.</x:v>
      </x:c>
      <x:c r="V1007" s="87" t="str">
        <x:v>VERIFIED</x:v>
      </x:c>
      <x:c r="W1007" s="87" t="str">
        <x:v>PDF варианта, внутренняя стр. 3</x:v>
      </x:c>
      <x:c r="X1007" s="87"/>
      <x:c r="Y1007" s="87"/>
      <x:c r="Z1007" s="87"/>
      <x:c r="AA1007" s="87"/>
      <x:c r="AB1007" s="87"/>
      <x:c r="AC1007" s="87"/>
      <x:c r="AD1007" s="87"/>
      <x:c r="AE1007" s="87"/>
      <x:c r="AF1007" s="87"/>
      <x:c r="AG1007" s="87"/>
      <x:c r="AH1007" s="87"/>
      <x:c r="AI1007" s="30"/>
      <x:c r="AJ1007" s="87" t="str">
        <x:v>master</x:v>
      </x:c>
      <x:c r="AK1007" s="87" t="str">
        <x:v>master-v0.81</x:v>
      </x:c>
      <x:c r="AL1007" s="87" t="str">
        <x:v>statgrad_master_base_v0_81_final(2).xlsx</x:v>
      </x:c>
      <x:c r="AM1007" s="87" t="str">
        <x:v>CHEM_Mar_V3</x:v>
      </x:c>
      <x:c r="AN1007" s="87" t="n">
        <x:v>6</x:v>
      </x:c>
    </x:row>
    <x:row r="1008">
      <x:c r="A1008" s="87" t="n">
        <x:v>1007</x:v>
      </x:c>
      <x:c r="B1008" s="87" t="str">
        <x:v>MAR-CHEM-V3-006</x:v>
      </x:c>
      <x:c r="C1008" s="87" t="str">
        <x:v>СтатГрад</x:v>
      </x:c>
      <x:c r="D1008" s="87" t="str">
        <x:v>Март 2026</x:v>
      </x:c>
      <x:c r="E1008" s="87"/>
      <x:c r="F1008" s="87"/>
      <x:c r="G1008" s="87" t="str">
        <x:v>Химия</x:v>
      </x:c>
      <x:c r="H1008" s="87" t="n">
        <x:v>11</x:v>
      </x:c>
      <x:c r="I1008" s="87" t="str">
        <x:v>ТР №4</x:v>
      </x:c>
      <x:c r="J1008" s="87" t="str">
        <x:v>ХИ2510403</x:v>
      </x:c>
      <x:c r="K1008" s="87" t="n">
        <x:v>6</x:v>
      </x:c>
      <x:c r="L1008" s="87" t="str">
        <x:v>Качественные реакции</x:v>
      </x:c>
      <x:c r="M1008" s="30" t="str">
        <x:v>Для раствора ацетата свинца подобрать реагент ярко-жёлтого осадка и реагент появления запаха уксусной кислоты.</x:v>
      </x:c>
      <x:c r="N1008" s="30" t="str">
        <x:v>53</x:v>
      </x:c>
      <x:c r="O1008" s="30" t="str">
        <x:v>KI образует PbI₂↓; HNO₃ вытесняет летучую уксусную кислоту из ацетата.</x:v>
      </x:c>
      <x:c r="P1008" s="30" t="str">
        <x:v>Записаны уравнения Pb(CH₃COO)₂+2KI и обмена с HNO₃.</x:v>
      </x:c>
      <x:c r="Q1008" s="30"/>
      <x:c r="R1008" s="30" t="str">
        <x:v>Публичный ответ: 53</x:v>
      </x:c>
      <x:c r="S1008" s="30"/>
      <x:c r="T1008" s="30"/>
      <x:c r="U1008" s="30" t="str">
        <x:v>Расхождений не обнаружено.</x:v>
      </x:c>
      <x:c r="V1008" s="87" t="str">
        <x:v>VERIFIED</x:v>
      </x:c>
      <x:c r="W1008" s="87" t="str">
        <x:v>PDF варианта, внутренняя стр. 4</x:v>
      </x:c>
      <x:c r="X1008" s="87"/>
      <x:c r="Y1008" s="87"/>
      <x:c r="Z1008" s="87"/>
      <x:c r="AA1008" s="87"/>
      <x:c r="AB1008" s="87"/>
      <x:c r="AC1008" s="87"/>
      <x:c r="AD1008" s="87"/>
      <x:c r="AE1008" s="87"/>
      <x:c r="AF1008" s="87"/>
      <x:c r="AG1008" s="87"/>
      <x:c r="AH1008" s="87"/>
      <x:c r="AI1008" s="30"/>
      <x:c r="AJ1008" s="87" t="str">
        <x:v>master</x:v>
      </x:c>
      <x:c r="AK1008" s="87" t="str">
        <x:v>master-v0.81</x:v>
      </x:c>
      <x:c r="AL1008" s="87" t="str">
        <x:v>statgrad_master_base_v0_81_final(2).xlsx</x:v>
      </x:c>
      <x:c r="AM1008" s="87" t="str">
        <x:v>CHEM_Mar_V3</x:v>
      </x:c>
      <x:c r="AN1008" s="87" t="n">
        <x:v>7</x:v>
      </x:c>
    </x:row>
    <x:row r="1009">
      <x:c r="A1009" s="87" t="n">
        <x:v>1008</x:v>
      </x:c>
      <x:c r="B1009" s="87" t="str">
        <x:v>MAR-CHEM-V3-007</x:v>
      </x:c>
      <x:c r="C1009" s="87" t="str">
        <x:v>СтатГрад</x:v>
      </x:c>
      <x:c r="D1009" s="87" t="str">
        <x:v>Март 2026</x:v>
      </x:c>
      <x:c r="E1009" s="87"/>
      <x:c r="F1009" s="87"/>
      <x:c r="G1009" s="87" t="str">
        <x:v>Химия</x:v>
      </x:c>
      <x:c r="H1009" s="87" t="n">
        <x:v>11</x:v>
      </x:c>
      <x:c r="I1009" s="87" t="str">
        <x:v>ТР №4</x:v>
      </x:c>
      <x:c r="J1009" s="87" t="str">
        <x:v>ХИ2510403</x:v>
      </x:c>
      <x:c r="K1009" s="87" t="n">
        <x:v>7</x:v>
      </x:c>
      <x:c r="L1009" s="87" t="str">
        <x:v>Неорганические свойства</x:v>
      </x:c>
      <x:c r="M1009" s="30" t="str">
        <x:v>Соотнести Si, Be, Ag₂O и (NH₄)₂CO₃ с наборами реагентов.</x:v>
      </x:c>
      <x:c r="N1009" s="30" t="str">
        <x:v>2354</x:v>
      </x:c>
      <x:c r="O1009" s="30" t="str">
        <x:v>Каждый набор проверен по типичным реакциям элемента или соединения.</x:v>
      </x:c>
      <x:c r="P1009" s="30" t="str">
        <x:v>Для всех четырёх позиций подтверждены реакции с каждым реагентом набора.</x:v>
      </x:c>
      <x:c r="Q1009" s="30"/>
      <x:c r="R1009" s="30" t="str">
        <x:v>Публичный ответ: 2354</x:v>
      </x:c>
      <x:c r="S1009" s="30"/>
      <x:c r="T1009" s="30"/>
      <x:c r="U1009" s="30" t="str">
        <x:v>Расхождений не обнаружено.</x:v>
      </x:c>
      <x:c r="V1009" s="87" t="str">
        <x:v>VERIFIED</x:v>
      </x:c>
      <x:c r="W1009" s="87" t="str">
        <x:v>PDF варианта, внутренняя стр. 4</x:v>
      </x:c>
      <x:c r="X1009" s="87"/>
      <x:c r="Y1009" s="87"/>
      <x:c r="Z1009" s="87"/>
      <x:c r="AA1009" s="87"/>
      <x:c r="AB1009" s="87"/>
      <x:c r="AC1009" s="87"/>
      <x:c r="AD1009" s="87"/>
      <x:c r="AE1009" s="87"/>
      <x:c r="AF1009" s="87"/>
      <x:c r="AG1009" s="87"/>
      <x:c r="AH1009" s="87"/>
      <x:c r="AI1009" s="30"/>
      <x:c r="AJ1009" s="87" t="str">
        <x:v>master</x:v>
      </x:c>
      <x:c r="AK1009" s="87" t="str">
        <x:v>master-v0.81</x:v>
      </x:c>
      <x:c r="AL1009" s="87" t="str">
        <x:v>statgrad_master_base_v0_81_final(2).xlsx</x:v>
      </x:c>
      <x:c r="AM1009" s="87" t="str">
        <x:v>CHEM_Mar_V3</x:v>
      </x:c>
      <x:c r="AN1009" s="87" t="n">
        <x:v>8</x:v>
      </x:c>
    </x:row>
    <x:row r="1010">
      <x:c r="A1010" s="87" t="n">
        <x:v>1009</x:v>
      </x:c>
      <x:c r="B1010" s="87" t="str">
        <x:v>MAR-CHEM-V3-008</x:v>
      </x:c>
      <x:c r="C1010" s="87" t="str">
        <x:v>СтатГрад</x:v>
      </x:c>
      <x:c r="D1010" s="87" t="str">
        <x:v>Март 2026</x:v>
      </x:c>
      <x:c r="E1010" s="87"/>
      <x:c r="F1010" s="87"/>
      <x:c r="G1010" s="87" t="str">
        <x:v>Химия</x:v>
      </x:c>
      <x:c r="H1010" s="87" t="n">
        <x:v>11</x:v>
      </x:c>
      <x:c r="I1010" s="87" t="str">
        <x:v>ТР №4</x:v>
      </x:c>
      <x:c r="J1010" s="87" t="str">
        <x:v>ХИ2510403</x:v>
      </x:c>
      <x:c r="K1010" s="87" t="n">
        <x:v>8</x:v>
      </x:c>
      <x:c r="L1010" s="87" t="str">
        <x:v>Цепочки неорганических реакций</x:v>
      </x:c>
      <x:c r="M1010" s="30" t="str">
        <x:v>Соотнести четыре набора реагентов с продуктами превращений соединений хрома.</x:v>
      </x:c>
      <x:c r="N1010" s="30" t="str">
        <x:v>6213</x:v>
      </x:c>
      <x:c r="O1010" s="30" t="str">
        <x:v>Cr(OH)₃ с кислотой даёт Cr₂(SO₄)₃; в щёлочи с Cl₂ — хромат; дихромат со щёлочью — хромат; с SO₂ в кислоте — Cr(III).</x:v>
      </x:c>
      <x:c r="P1010" s="30" t="str">
        <x:v>Для каждой пары записано и уравнено независимое уравнение.</x:v>
      </x:c>
      <x:c r="Q1010" s="30"/>
      <x:c r="R1010" s="30" t="str">
        <x:v>Публичный ответ: 6213</x:v>
      </x:c>
      <x:c r="S1010" s="30"/>
      <x:c r="T1010" s="30"/>
      <x:c r="U1010" s="30" t="str">
        <x:v>Расхождений не обнаружено.</x:v>
      </x:c>
      <x:c r="V1010" s="87" t="str">
        <x:v>VERIFIED</x:v>
      </x:c>
      <x:c r="W1010" s="87" t="str">
        <x:v>PDF варианта, внутренняя стр. 5</x:v>
      </x:c>
      <x:c r="X1010" s="87"/>
      <x:c r="Y1010" s="87"/>
      <x:c r="Z1010" s="87"/>
      <x:c r="AA1010" s="87"/>
      <x:c r="AB1010" s="87"/>
      <x:c r="AC1010" s="87"/>
      <x:c r="AD1010" s="87"/>
      <x:c r="AE1010" s="87"/>
      <x:c r="AF1010" s="87"/>
      <x:c r="AG1010" s="87"/>
      <x:c r="AH1010" s="87"/>
      <x:c r="AI1010" s="30"/>
      <x:c r="AJ1010" s="87" t="str">
        <x:v>master</x:v>
      </x:c>
      <x:c r="AK1010" s="87" t="str">
        <x:v>master-v0.81</x:v>
      </x:c>
      <x:c r="AL1010" s="87" t="str">
        <x:v>statgrad_master_base_v0_81_final(2).xlsx</x:v>
      </x:c>
      <x:c r="AM1010" s="87" t="str">
        <x:v>CHEM_Mar_V3</x:v>
      </x:c>
      <x:c r="AN1010" s="87" t="n">
        <x:v>9</x:v>
      </x:c>
    </x:row>
    <x:row r="1011">
      <x:c r="A1011" s="87" t="n">
        <x:v>1010</x:v>
      </x:c>
      <x:c r="B1011" s="87" t="str">
        <x:v>MAR-CHEM-V3-009</x:v>
      </x:c>
      <x:c r="C1011" s="87" t="str">
        <x:v>СтатГрад</x:v>
      </x:c>
      <x:c r="D1011" s="87" t="str">
        <x:v>Март 2026</x:v>
      </x:c>
      <x:c r="E1011" s="87"/>
      <x:c r="F1011" s="87"/>
      <x:c r="G1011" s="87" t="str">
        <x:v>Химия</x:v>
      </x:c>
      <x:c r="H1011" s="87" t="n">
        <x:v>11</x:v>
      </x:c>
      <x:c r="I1011" s="87" t="str">
        <x:v>ТР №4</x:v>
      </x:c>
      <x:c r="J1011" s="87" t="str">
        <x:v>ХИ2510403</x:v>
      </x:c>
      <x:c r="K1011" s="87" t="n">
        <x:v>9</x:v>
      </x:c>
      <x:c r="L1011" s="87" t="str">
        <x:v>Цепочка превращений</x:v>
      </x:c>
      <x:c r="M1011" s="30" t="str">
        <x:v>Определить X и Y в цепи X + HCl → CuCl₂; CuCl₂ + HI → Y.</x:v>
      </x:c>
      <x:c r="N1011" s="30" t="str">
        <x:v>35</x:v>
      </x:c>
      <x:c r="O1011" s="30" t="str">
        <x:v>X = Cu(OH)₂, Y = CuI.</x:v>
      </x:c>
      <x:c r="P1011" s="30" t="str">
        <x:v>Cu(OH)₂+2HCl→CuCl₂+2H₂O; 2CuCl₂+4HI→2CuI↓+I₂+4HCl.</x:v>
      </x:c>
      <x:c r="Q1011" s="30"/>
      <x:c r="R1011" s="30" t="str">
        <x:v>PDF + независимая проверка</x:v>
      </x:c>
      <x:c r="S1011" s="30"/>
      <x:c r="T1011" s="30"/>
      <x:c r="U1011" s="30" t="str">
        <x:v>Расхождений не обнаружено.</x:v>
      </x:c>
      <x:c r="V1011" s="87" t="str">
        <x:v>VERIFIED</x:v>
      </x:c>
      <x:c r="W1011" s="87" t="str">
        <x:v>PDF варианта, внутренняя стр. 5</x:v>
      </x:c>
      <x:c r="X1011" s="87"/>
      <x:c r="Y1011" s="87"/>
      <x:c r="Z1011" s="87"/>
      <x:c r="AA1011" s="87"/>
      <x:c r="AB1011" s="87"/>
      <x:c r="AC1011" s="87"/>
      <x:c r="AD1011" s="87"/>
      <x:c r="AE1011" s="87"/>
      <x:c r="AF1011" s="87"/>
      <x:c r="AG1011" s="87"/>
      <x:c r="AH1011" s="87"/>
      <x:c r="AI1011" s="30"/>
      <x:c r="AJ1011" s="87" t="str">
        <x:v>master</x:v>
      </x:c>
      <x:c r="AK1011" s="87" t="str">
        <x:v>master-v0.81</x:v>
      </x:c>
      <x:c r="AL1011" s="87" t="str">
        <x:v>statgrad_master_base_v0_81_final(2).xlsx</x:v>
      </x:c>
      <x:c r="AM1011" s="87" t="str">
        <x:v>CHEM_Mar_V3</x:v>
      </x:c>
      <x:c r="AN1011" s="87" t="n">
        <x:v>10</x:v>
      </x:c>
    </x:row>
    <x:row r="1012">
      <x:c r="A1012" s="87" t="n">
        <x:v>1011</x:v>
      </x:c>
      <x:c r="B1012" s="87" t="str">
        <x:v>MAR-CHEM-V3-010</x:v>
      </x:c>
      <x:c r="C1012" s="87" t="str">
        <x:v>СтатГрад</x:v>
      </x:c>
      <x:c r="D1012" s="87" t="str">
        <x:v>Март 2026</x:v>
      </x:c>
      <x:c r="E1012" s="87"/>
      <x:c r="F1012" s="87"/>
      <x:c r="G1012" s="87" t="str">
        <x:v>Химия</x:v>
      </x:c>
      <x:c r="H1012" s="87" t="n">
        <x:v>11</x:v>
      </x:c>
      <x:c r="I1012" s="87" t="str">
        <x:v>ТР №4</x:v>
      </x:c>
      <x:c r="J1012" s="87" t="str">
        <x:v>ХИ2510403</x:v>
      </x:c>
      <x:c r="K1012" s="87" t="n">
        <x:v>10</x:v>
      </x:c>
      <x:c r="L1012" s="87" t="str">
        <x:v>Органические классы</x:v>
      </x:c>
      <x:c r="M1012" s="30" t="str">
        <x:v>Соотнести общие формулы классов с молочной кислотой, изомасляной кислотой, о-толуидином и триметиламином.</x:v>
      </x:c>
      <x:c r="N1012" s="30" t="str">
        <x:v>432</x:v>
      </x:c>
      <x:c r="O1012" s="30" t="str">
        <x:v>Формулы классов сопоставлены с функциональными группами и молекулярными формулами.</x:v>
      </x:c>
      <x:c r="P1012" s="30" t="str">
        <x:v>Проверены число атомов и степень ненасыщенности.</x:v>
      </x:c>
      <x:c r="Q1012" s="30"/>
      <x:c r="R1012" s="30" t="str">
        <x:v>Публичный ответ: 432</x:v>
      </x:c>
      <x:c r="S1012" s="30"/>
      <x:c r="T1012" s="30"/>
      <x:c r="U1012" s="30" t="str">
        <x:v>Расхождений не обнаружено.</x:v>
      </x:c>
      <x:c r="V1012" s="87" t="str">
        <x:v>VERIFIED</x:v>
      </x:c>
      <x:c r="W1012" s="87" t="str">
        <x:v>PDF варианта, внутренняя стр. 6</x:v>
      </x:c>
      <x:c r="X1012" s="87"/>
      <x:c r="Y1012" s="87"/>
      <x:c r="Z1012" s="87"/>
      <x:c r="AA1012" s="87"/>
      <x:c r="AB1012" s="87"/>
      <x:c r="AC1012" s="87"/>
      <x:c r="AD1012" s="87"/>
      <x:c r="AE1012" s="87"/>
      <x:c r="AF1012" s="87"/>
      <x:c r="AG1012" s="87"/>
      <x:c r="AH1012" s="87"/>
      <x:c r="AI1012" s="30"/>
      <x:c r="AJ1012" s="87" t="str">
        <x:v>master</x:v>
      </x:c>
      <x:c r="AK1012" s="87" t="str">
        <x:v>master-v0.81</x:v>
      </x:c>
      <x:c r="AL1012" s="87" t="str">
        <x:v>statgrad_master_base_v0_81_final(2).xlsx</x:v>
      </x:c>
      <x:c r="AM1012" s="87" t="str">
        <x:v>CHEM_Mar_V3</x:v>
      </x:c>
      <x:c r="AN1012" s="87" t="n">
        <x:v>11</x:v>
      </x:c>
    </x:row>
    <x:row r="1013">
      <x:c r="A1013" s="87" t="n">
        <x:v>1012</x:v>
      </x:c>
      <x:c r="B1013" s="87" t="str">
        <x:v>MAR-CHEM-V3-011</x:v>
      </x:c>
      <x:c r="C1013" s="87" t="str">
        <x:v>СтатГрад</x:v>
      </x:c>
      <x:c r="D1013" s="87" t="str">
        <x:v>Март 2026</x:v>
      </x:c>
      <x:c r="E1013" s="87"/>
      <x:c r="F1013" s="87"/>
      <x:c r="G1013" s="87" t="str">
        <x:v>Химия</x:v>
      </x:c>
      <x:c r="H1013" s="87" t="n">
        <x:v>11</x:v>
      </x:c>
      <x:c r="I1013" s="87" t="str">
        <x:v>ТР №4</x:v>
      </x:c>
      <x:c r="J1013" s="87" t="str">
        <x:v>ХИ2510403</x:v>
      </x:c>
      <x:c r="K1013" s="87" t="n">
        <x:v>11</x:v>
      </x:c>
      <x:c r="L1013" s="87" t="str">
        <x:v>Изомерия</x:v>
      </x:c>
      <x:c r="M1013" s="30" t="str">
        <x:v>Выбрать структурные изомеры бутановой кислоты.</x:v>
      </x:c>
      <x:c r="N1013" s="30" t="str">
        <x:v>24</x:v>
      </x:c>
      <x:c r="O1013" s="30" t="str">
        <x:v>Пропилформиат и 3-гидроксибутаналь имеют формулу C₄H₈O₂.</x:v>
      </x:c>
      <x:c r="P1013" s="30" t="str">
        <x:v>Молекулярные формулы всех вариантов пересчитаны.</x:v>
      </x:c>
      <x:c r="Q1013" s="30"/>
      <x:c r="R1013" s="30" t="str">
        <x:v>Публичный ответ: 24</x:v>
      </x:c>
      <x:c r="S1013" s="30"/>
      <x:c r="T1013" s="30"/>
      <x:c r="U1013" s="30" t="str">
        <x:v>Расхождений не обнаружено.</x:v>
      </x:c>
      <x:c r="V1013" s="87" t="str">
        <x:v>VERIFIED</x:v>
      </x:c>
      <x:c r="W1013" s="87" t="str">
        <x:v>PDF варианта, внутренняя стр. 6</x:v>
      </x:c>
      <x:c r="X1013" s="87"/>
      <x:c r="Y1013" s="87"/>
      <x:c r="Z1013" s="87"/>
      <x:c r="AA1013" s="87"/>
      <x:c r="AB1013" s="87"/>
      <x:c r="AC1013" s="87"/>
      <x:c r="AD1013" s="87"/>
      <x:c r="AE1013" s="87"/>
      <x:c r="AF1013" s="87"/>
      <x:c r="AG1013" s="87"/>
      <x:c r="AH1013" s="87"/>
      <x:c r="AI1013" s="30"/>
      <x:c r="AJ1013" s="87" t="str">
        <x:v>master</x:v>
      </x:c>
      <x:c r="AK1013" s="87" t="str">
        <x:v>master-v0.81</x:v>
      </x:c>
      <x:c r="AL1013" s="87" t="str">
        <x:v>statgrad_master_base_v0_81_final(2).xlsx</x:v>
      </x:c>
      <x:c r="AM1013" s="87" t="str">
        <x:v>CHEM_Mar_V3</x:v>
      </x:c>
      <x:c r="AN1013" s="87" t="n">
        <x:v>12</x:v>
      </x:c>
    </x:row>
    <x:row r="1014">
      <x:c r="A1014" s="87" t="n">
        <x:v>1013</x:v>
      </x:c>
      <x:c r="B1014" s="87" t="str">
        <x:v>MAR-CHEM-V3-012</x:v>
      </x:c>
      <x:c r="C1014" s="87" t="str">
        <x:v>СтатГрад</x:v>
      </x:c>
      <x:c r="D1014" s="87" t="str">
        <x:v>Март 2026</x:v>
      </x:c>
      <x:c r="E1014" s="87"/>
      <x:c r="F1014" s="87"/>
      <x:c r="G1014" s="87" t="str">
        <x:v>Химия</x:v>
      </x:c>
      <x:c r="H1014" s="87" t="n">
        <x:v>11</x:v>
      </x:c>
      <x:c r="I1014" s="87" t="str">
        <x:v>ТР №4</x:v>
      </x:c>
      <x:c r="J1014" s="87" t="str">
        <x:v>ХИ2510403</x:v>
      </x:c>
      <x:c r="K1014" s="87" t="n">
        <x:v>12</x:v>
      </x:c>
      <x:c r="L1014" s="87" t="str">
        <x:v>Свойства органических веществ</x:v>
      </x:c>
      <x:c r="M1014" s="30" t="str">
        <x:v>Выбрать реагенты для пропина, с которыми не реагирует пропионовая кислота.</x:v>
      </x:c>
      <x:c r="N1014" s="30" t="str">
        <x:v>235</x:v>
      </x:c>
      <x:c r="O1014" s="30" t="str">
        <x:v>Пропин присоединяет воду и HCl и окисляется KMnO₄; карбоновая кислота в этих условиях не реагирует.</x:v>
      </x:c>
      <x:c r="P1014" s="30" t="str">
        <x:v>Реакции алкина и кислоты рассмотрены раздельно.</x:v>
      </x:c>
      <x:c r="Q1014" s="30"/>
      <x:c r="R1014" s="30" t="str">
        <x:v>Публичный ответ: 235</x:v>
      </x:c>
      <x:c r="S1014" s="30"/>
      <x:c r="T1014" s="30"/>
      <x:c r="U1014" s="30" t="str">
        <x:v>Расхождений не обнаружено.</x:v>
      </x:c>
      <x:c r="V1014" s="87" t="str">
        <x:v>VERIFIED</x:v>
      </x:c>
      <x:c r="W1014" s="87" t="str">
        <x:v>PDF варианта, внутренняя стр. 6</x:v>
      </x:c>
      <x:c r="X1014" s="87"/>
      <x:c r="Y1014" s="87"/>
      <x:c r="Z1014" s="87"/>
      <x:c r="AA1014" s="87"/>
      <x:c r="AB1014" s="87"/>
      <x:c r="AC1014" s="87"/>
      <x:c r="AD1014" s="87"/>
      <x:c r="AE1014" s="87"/>
      <x:c r="AF1014" s="87"/>
      <x:c r="AG1014" s="87"/>
      <x:c r="AH1014" s="87"/>
      <x:c r="AI1014" s="30"/>
      <x:c r="AJ1014" s="87" t="str">
        <x:v>master</x:v>
      </x:c>
      <x:c r="AK1014" s="87" t="str">
        <x:v>master-v0.81</x:v>
      </x:c>
      <x:c r="AL1014" s="87" t="str">
        <x:v>statgrad_master_base_v0_81_final(2).xlsx</x:v>
      </x:c>
      <x:c r="AM1014" s="87" t="str">
        <x:v>CHEM_Mar_V3</x:v>
      </x:c>
      <x:c r="AN1014" s="87" t="n">
        <x:v>13</x:v>
      </x:c>
    </x:row>
    <x:row r="1015">
      <x:c r="A1015" s="87" t="n">
        <x:v>1014</x:v>
      </x:c>
      <x:c r="B1015" s="87" t="str">
        <x:v>MAR-CHEM-V3-013</x:v>
      </x:c>
      <x:c r="C1015" s="87" t="str">
        <x:v>СтатГрад</x:v>
      </x:c>
      <x:c r="D1015" s="87" t="str">
        <x:v>Март 2026</x:v>
      </x:c>
      <x:c r="E1015" s="87"/>
      <x:c r="F1015" s="87"/>
      <x:c r="G1015" s="87" t="str">
        <x:v>Химия</x:v>
      </x:c>
      <x:c r="H1015" s="87" t="n">
        <x:v>11</x:v>
      </x:c>
      <x:c r="I1015" s="87" t="str">
        <x:v>ТР №4</x:v>
      </x:c>
      <x:c r="J1015" s="87" t="str">
        <x:v>ХИ2510403</x:v>
      </x:c>
      <x:c r="K1015" s="87" t="n">
        <x:v>13</x:v>
      </x:c>
      <x:c r="L1015" s="87" t="str">
        <x:v>Гидролиз белков</x:v>
      </x:c>
      <x:c r="M1015" s="30" t="str">
        <x:v>Выбрать два вещества, образующиеся при гидролизе белков.</x:v>
      </x:c>
      <x:c r="N1015" s="30" t="str">
        <x:v>15</x:v>
      </x:c>
      <x:c r="O1015" s="30" t="str">
        <x:v>Серин является аминокислотой; глицилглицин может возникать при неполном гидролизе полипептида.</x:v>
      </x:c>
      <x:c r="P1015" s="30" t="str">
        <x:v>Продукты полного и неполного гидролиза белков проверены.</x:v>
      </x:c>
      <x:c r="Q1015" s="30"/>
      <x:c r="R1015" s="30" t="str">
        <x:v>Публичный ответ: 15</x:v>
      </x:c>
      <x:c r="S1015" s="30"/>
      <x:c r="T1015" s="30"/>
      <x:c r="U1015" s="30" t="str">
        <x:v>Расхождений не обнаружено.</x:v>
      </x:c>
      <x:c r="V1015" s="87" t="str">
        <x:v>VERIFIED</x:v>
      </x:c>
      <x:c r="W1015" s="87" t="str">
        <x:v>PDF варианта, внутренняя стр. 7</x:v>
      </x:c>
      <x:c r="X1015" s="87"/>
      <x:c r="Y1015" s="87"/>
      <x:c r="Z1015" s="87"/>
      <x:c r="AA1015" s="87"/>
      <x:c r="AB1015" s="87"/>
      <x:c r="AC1015" s="87"/>
      <x:c r="AD1015" s="87"/>
      <x:c r="AE1015" s="87"/>
      <x:c r="AF1015" s="87"/>
      <x:c r="AG1015" s="87"/>
      <x:c r="AH1015" s="87"/>
      <x:c r="AI1015" s="30"/>
      <x:c r="AJ1015" s="87" t="str">
        <x:v>master</x:v>
      </x:c>
      <x:c r="AK1015" s="87" t="str">
        <x:v>master-v0.81</x:v>
      </x:c>
      <x:c r="AL1015" s="87" t="str">
        <x:v>statgrad_master_base_v0_81_final(2).xlsx</x:v>
      </x:c>
      <x:c r="AM1015" s="87" t="str">
        <x:v>CHEM_Mar_V3</x:v>
      </x:c>
      <x:c r="AN1015" s="87" t="n">
        <x:v>14</x:v>
      </x:c>
    </x:row>
    <x:row r="1016">
      <x:c r="A1016" s="87" t="n">
        <x:v>1015</x:v>
      </x:c>
      <x:c r="B1016" s="87" t="str">
        <x:v>MAR-CHEM-V3-014</x:v>
      </x:c>
      <x:c r="C1016" s="87" t="str">
        <x:v>СтатГрад</x:v>
      </x:c>
      <x:c r="D1016" s="87" t="str">
        <x:v>Март 2026</x:v>
      </x:c>
      <x:c r="E1016" s="87"/>
      <x:c r="F1016" s="87"/>
      <x:c r="G1016" s="87" t="str">
        <x:v>Химия</x:v>
      </x:c>
      <x:c r="H1016" s="87" t="n">
        <x:v>11</x:v>
      </x:c>
      <x:c r="I1016" s="87" t="str">
        <x:v>ТР №4</x:v>
      </x:c>
      <x:c r="J1016" s="87" t="str">
        <x:v>ХИ2510403</x:v>
      </x:c>
      <x:c r="K1016" s="87" t="n">
        <x:v>14</x:v>
      </x:c>
      <x:c r="L1016" s="87" t="str">
        <x:v>Получение углеводородов</x:v>
      </x:c>
      <x:c r="M1016" s="30" t="str">
        <x:v>Соотнести четыре реакции с образующимися углеводородами.</x:v>
      </x:c>
      <x:c r="N1016" s="30" t="str">
        <x:v>5423</x:v>
      </x:c>
      <x:c r="O1016" s="30" t="str">
        <x:v>Фридель–Крафтс даёт этилбензол; дегидроциклизация гептана — толуол; Вюрц из C₂H₅Cl — бутан; дегидрогалогенирование 1-хлорбутана — бутен-1.</x:v>
      </x:c>
      <x:c r="P1016" s="30" t="str">
        <x:v>Основные продукты реакций проверены.</x:v>
      </x:c>
      <x:c r="Q1016" s="30"/>
      <x:c r="R1016" s="30" t="str">
        <x:v>PDF + независимая проверка</x:v>
      </x:c>
      <x:c r="S1016" s="30"/>
      <x:c r="T1016" s="30"/>
      <x:c r="U1016" s="30" t="str">
        <x:v>Расхождений не обнаружено.</x:v>
      </x:c>
      <x:c r="V1016" s="87" t="str">
        <x:v>VERIFIED</x:v>
      </x:c>
      <x:c r="W1016" s="87" t="str">
        <x:v>PDF варианта, внутренняя стр. 7</x:v>
      </x:c>
      <x:c r="X1016" s="87"/>
      <x:c r="Y1016" s="87"/>
      <x:c r="Z1016" s="87"/>
      <x:c r="AA1016" s="87"/>
      <x:c r="AB1016" s="87"/>
      <x:c r="AC1016" s="87"/>
      <x:c r="AD1016" s="87"/>
      <x:c r="AE1016" s="87"/>
      <x:c r="AF1016" s="87"/>
      <x:c r="AG1016" s="87"/>
      <x:c r="AH1016" s="87"/>
      <x:c r="AI1016" s="30"/>
      <x:c r="AJ1016" s="87" t="str">
        <x:v>master</x:v>
      </x:c>
      <x:c r="AK1016" s="87" t="str">
        <x:v>master-v0.81</x:v>
      </x:c>
      <x:c r="AL1016" s="87" t="str">
        <x:v>statgrad_master_base_v0_81_final(2).xlsx</x:v>
      </x:c>
      <x:c r="AM1016" s="87" t="str">
        <x:v>CHEM_Mar_V3</x:v>
      </x:c>
      <x:c r="AN1016" s="87" t="n">
        <x:v>15</x:v>
      </x:c>
    </x:row>
    <x:row r="1017">
      <x:c r="A1017" s="87" t="n">
        <x:v>1016</x:v>
      </x:c>
      <x:c r="B1017" s="87" t="str">
        <x:v>MAR-CHEM-V3-015</x:v>
      </x:c>
      <x:c r="C1017" s="87" t="str">
        <x:v>СтатГрад</x:v>
      </x:c>
      <x:c r="D1017" s="87" t="str">
        <x:v>Март 2026</x:v>
      </x:c>
      <x:c r="E1017" s="87"/>
      <x:c r="F1017" s="87"/>
      <x:c r="G1017" s="87" t="str">
        <x:v>Химия</x:v>
      </x:c>
      <x:c r="H1017" s="87" t="n">
        <x:v>11</x:v>
      </x:c>
      <x:c r="I1017" s="87" t="str">
        <x:v>ТР №4</x:v>
      </x:c>
      <x:c r="J1017" s="87" t="str">
        <x:v>ХИ2510403</x:v>
      </x:c>
      <x:c r="K1017" s="87" t="n">
        <x:v>15</x:v>
      </x:c>
      <x:c r="L1017" s="87" t="str">
        <x:v>Органические реакции</x:v>
      </x:c>
      <x:c r="M1017" s="30" t="str">
        <x:v>Соотнести схемы с преимущественными продуктами.</x:v>
      </x:c>
      <x:c r="N1017" s="30" t="str">
        <x:v>3156</x:v>
      </x:c>
      <x:c r="O1017" s="30" t="str">
        <x:v>Гидролиз пропионового ангидрида даёт пропионовую кислоту; гидрирование пропаналя — пропанол-1; трет-бутанол с HCl — трет-бутилхлорид; этанол с ацетилхлоридом — этилацетат.</x:v>
      </x:c>
      <x:c r="P1017" s="30" t="str">
        <x:v>Функциональные превращения проверены.</x:v>
      </x:c>
      <x:c r="Q1017" s="30"/>
      <x:c r="R1017" s="30" t="str">
        <x:v>PDF + независимая проверка</x:v>
      </x:c>
      <x:c r="S1017" s="30"/>
      <x:c r="T1017" s="30"/>
      <x:c r="U1017" s="30" t="str">
        <x:v>Расхождений не обнаружено.</x:v>
      </x:c>
      <x:c r="V1017" s="87" t="str">
        <x:v>VERIFIED</x:v>
      </x:c>
      <x:c r="W1017" s="87" t="str">
        <x:v>PDF варианта, внутренняя стр. 8</x:v>
      </x:c>
      <x:c r="X1017" s="87"/>
      <x:c r="Y1017" s="87"/>
      <x:c r="Z1017" s="87"/>
      <x:c r="AA1017" s="87"/>
      <x:c r="AB1017" s="87"/>
      <x:c r="AC1017" s="87"/>
      <x:c r="AD1017" s="87"/>
      <x:c r="AE1017" s="87"/>
      <x:c r="AF1017" s="87"/>
      <x:c r="AG1017" s="87"/>
      <x:c r="AH1017" s="87"/>
      <x:c r="AI1017" s="30"/>
      <x:c r="AJ1017" s="87" t="str">
        <x:v>master</x:v>
      </x:c>
      <x:c r="AK1017" s="87" t="str">
        <x:v>master-v0.81</x:v>
      </x:c>
      <x:c r="AL1017" s="87" t="str">
        <x:v>statgrad_master_base_v0_81_final(2).xlsx</x:v>
      </x:c>
      <x:c r="AM1017" s="87" t="str">
        <x:v>CHEM_Mar_V3</x:v>
      </x:c>
      <x:c r="AN1017" s="87" t="n">
        <x:v>16</x:v>
      </x:c>
    </x:row>
    <x:row r="1018">
      <x:c r="A1018" s="87" t="n">
        <x:v>1017</x:v>
      </x:c>
      <x:c r="B1018" s="87" t="str">
        <x:v>MAR-CHEM-V3-016</x:v>
      </x:c>
      <x:c r="C1018" s="87" t="str">
        <x:v>СтатГрад</x:v>
      </x:c>
      <x:c r="D1018" s="87" t="str">
        <x:v>Март 2026</x:v>
      </x:c>
      <x:c r="E1018" s="87"/>
      <x:c r="F1018" s="87"/>
      <x:c r="G1018" s="87" t="str">
        <x:v>Химия</x:v>
      </x:c>
      <x:c r="H1018" s="87" t="n">
        <x:v>11</x:v>
      </x:c>
      <x:c r="I1018" s="87" t="str">
        <x:v>ТР №4</x:v>
      </x:c>
      <x:c r="J1018" s="87" t="str">
        <x:v>ХИ2510403</x:v>
      </x:c>
      <x:c r="K1018" s="87" t="n">
        <x:v>16</x:v>
      </x:c>
      <x:c r="L1018" s="87" t="str">
        <x:v>Органическая цепочка</x:v>
      </x:c>
      <x:c r="M1018" s="30" t="str">
        <x:v>X + KCN → C₂H₅CN; затем Y → CH₃CH₂COOH.</x:v>
      </x:c>
      <x:c r="N1018" s="30" t="str">
        <x:v>34</x:v>
      </x:c>
      <x:c r="O1018" s="30" t="str">
        <x:v>X = C₂H₅Cl; Y = H₂O(H⁺).</x:v>
      </x:c>
      <x:c r="P1018" s="30" t="str">
        <x:v>Нуклеофильное замещение и кислотный гидролиз нитрила проверены.</x:v>
      </x:c>
      <x:c r="Q1018" s="30"/>
      <x:c r="R1018" s="30" t="str">
        <x:v>PDF + независимая проверка</x:v>
      </x:c>
      <x:c r="S1018" s="30"/>
      <x:c r="T1018" s="30"/>
      <x:c r="U1018" s="30" t="str">
        <x:v>Расхождений не обнаружено.</x:v>
      </x:c>
      <x:c r="V1018" s="87" t="str">
        <x:v>VERIFIED</x:v>
      </x:c>
      <x:c r="W1018" s="87" t="str">
        <x:v>PDF варианта, внутренняя стр. 8</x:v>
      </x:c>
      <x:c r="X1018" s="87"/>
      <x:c r="Y1018" s="87"/>
      <x:c r="Z1018" s="87"/>
      <x:c r="AA1018" s="87"/>
      <x:c r="AB1018" s="87"/>
      <x:c r="AC1018" s="87"/>
      <x:c r="AD1018" s="87"/>
      <x:c r="AE1018" s="87"/>
      <x:c r="AF1018" s="87"/>
      <x:c r="AG1018" s="87"/>
      <x:c r="AH1018" s="87"/>
      <x:c r="AI1018" s="30"/>
      <x:c r="AJ1018" s="87" t="str">
        <x:v>master</x:v>
      </x:c>
      <x:c r="AK1018" s="87" t="str">
        <x:v>master-v0.81</x:v>
      </x:c>
      <x:c r="AL1018" s="87" t="str">
        <x:v>statgrad_master_base_v0_81_final(2).xlsx</x:v>
      </x:c>
      <x:c r="AM1018" s="87" t="str">
        <x:v>CHEM_Mar_V3</x:v>
      </x:c>
      <x:c r="AN1018" s="87" t="n">
        <x:v>17</x:v>
      </x:c>
    </x:row>
    <x:row r="1019">
      <x:c r="A1019" s="87" t="n">
        <x:v>1018</x:v>
      </x:c>
      <x:c r="B1019" s="87" t="str">
        <x:v>MAR-CHEM-V3-017</x:v>
      </x:c>
      <x:c r="C1019" s="87" t="str">
        <x:v>СтатГрад</x:v>
      </x:c>
      <x:c r="D1019" s="87" t="str">
        <x:v>Март 2026</x:v>
      </x:c>
      <x:c r="E1019" s="87"/>
      <x:c r="F1019" s="87"/>
      <x:c r="G1019" s="87" t="str">
        <x:v>Химия</x:v>
      </x:c>
      <x:c r="H1019" s="87" t="n">
        <x:v>11</x:v>
      </x:c>
      <x:c r="I1019" s="87" t="str">
        <x:v>ТР №4</x:v>
      </x:c>
      <x:c r="J1019" s="87" t="str">
        <x:v>ХИ2510403</x:v>
      </x:c>
      <x:c r="K1019" s="87" t="n">
        <x:v>17</x:v>
      </x:c>
      <x:c r="L1019" s="87" t="str">
        <x:v>Типы реакций</x:v>
      </x:c>
      <x:c r="M1019" s="30" t="str">
        <x:v>Классифицировать Fe+H₂SO₄, CO₂+известковая вода и разложение N₂O.</x:v>
      </x:c>
      <x:c r="N1019" s="30" t="str">
        <x:v>243</x:v>
      </x:c>
      <x:c r="O1019" s="30" t="str">
        <x:v>Fe+кислота — гетерогенная ОВР; CO₂+Ca(OH)₂ — гетерогенный обмен; разложение N₂O — гомогенная необратимая реакция.</x:v>
      </x:c>
      <x:c r="P1019" s="30" t="str">
        <x:v>Тип и фазовый состав проверены.</x:v>
      </x:c>
      <x:c r="Q1019" s="30"/>
      <x:c r="R1019" s="30" t="str">
        <x:v>PDF + независимая проверка</x:v>
      </x:c>
      <x:c r="S1019" s="30"/>
      <x:c r="T1019" s="30"/>
      <x:c r="U1019" s="30" t="str">
        <x:v>Расхождений не обнаружено.</x:v>
      </x:c>
      <x:c r="V1019" s="87" t="str">
        <x:v>VERIFIED</x:v>
      </x:c>
      <x:c r="W1019" s="87" t="str">
        <x:v>PDF варианта, внутренняя стр. 9</x:v>
      </x:c>
      <x:c r="X1019" s="87"/>
      <x:c r="Y1019" s="87"/>
      <x:c r="Z1019" s="87"/>
      <x:c r="AA1019" s="87"/>
      <x:c r="AB1019" s="87"/>
      <x:c r="AC1019" s="87"/>
      <x:c r="AD1019" s="87"/>
      <x:c r="AE1019" s="87"/>
      <x:c r="AF1019" s="87"/>
      <x:c r="AG1019" s="87"/>
      <x:c r="AH1019" s="87"/>
      <x:c r="AI1019" s="30"/>
      <x:c r="AJ1019" s="87" t="str">
        <x:v>master</x:v>
      </x:c>
      <x:c r="AK1019" s="87" t="str">
        <x:v>master-v0.81</x:v>
      </x:c>
      <x:c r="AL1019" s="87" t="str">
        <x:v>statgrad_master_base_v0_81_final(2).xlsx</x:v>
      </x:c>
      <x:c r="AM1019" s="87" t="str">
        <x:v>CHEM_Mar_V3</x:v>
      </x:c>
      <x:c r="AN1019" s="87" t="n">
        <x:v>18</x:v>
      </x:c>
    </x:row>
    <x:row r="1020">
      <x:c r="A1020" s="87" t="n">
        <x:v>1019</x:v>
      </x:c>
      <x:c r="B1020" s="87" t="str">
        <x:v>MAR-CHEM-V3-018</x:v>
      </x:c>
      <x:c r="C1020" s="87" t="str">
        <x:v>СтатГрад</x:v>
      </x:c>
      <x:c r="D1020" s="87" t="str">
        <x:v>Март 2026</x:v>
      </x:c>
      <x:c r="E1020" s="87"/>
      <x:c r="F1020" s="87"/>
      <x:c r="G1020" s="87" t="str">
        <x:v>Химия</x:v>
      </x:c>
      <x:c r="H1020" s="87" t="n">
        <x:v>11</x:v>
      </x:c>
      <x:c r="I1020" s="87" t="str">
        <x:v>ТР №4</x:v>
      </x:c>
      <x:c r="J1020" s="87" t="str">
        <x:v>ХИ2510403</x:v>
      </x:c>
      <x:c r="K1020" s="87" t="n">
        <x:v>18</x:v>
      </x:c>
      <x:c r="L1020" s="87" t="str">
        <x:v>Скорость реакции</x:v>
      </x:c>
      <x:c r="M1020" s="30" t="str">
        <x:v>Выбрать воздействия, увеличивающие скорость выделения Cu при Fe+CuSO₄.</x:v>
      </x:c>
      <x:c r="N1020" s="30" t="str">
        <x:v>34</x:v>
      </x:c>
      <x:c r="O1020" s="30" t="str">
        <x:v>Нагревание и измельчение железа увеличивают скорость.</x:v>
      </x:c>
      <x:c r="P1020" s="30" t="str">
        <x:v>Сверено с независимым решением задачи данного типа.</x:v>
      </x:c>
      <x:c r="Q1020" s="30"/>
      <x:c r="R1020" s="30" t="str">
        <x:v>PDF + независимая проверка</x:v>
      </x:c>
      <x:c r="S1020" s="30"/>
      <x:c r="T1020" s="30"/>
      <x:c r="U1020" s="30" t="str">
        <x:v>Расхождений не обнаружено.</x:v>
      </x:c>
      <x:c r="V1020" s="87" t="str">
        <x:v>VERIFIED</x:v>
      </x:c>
      <x:c r="W1020" s="87" t="str">
        <x:v>PDF варианта, внутренняя стр. 9</x:v>
      </x:c>
      <x:c r="X1020" s="87"/>
      <x:c r="Y1020" s="87"/>
      <x:c r="Z1020" s="87"/>
      <x:c r="AA1020" s="87"/>
      <x:c r="AB1020" s="87"/>
      <x:c r="AC1020" s="87"/>
      <x:c r="AD1020" s="87"/>
      <x:c r="AE1020" s="87"/>
      <x:c r="AF1020" s="87"/>
      <x:c r="AG1020" s="87"/>
      <x:c r="AH1020" s="87"/>
      <x:c r="AI1020" s="30"/>
      <x:c r="AJ1020" s="87" t="str">
        <x:v>master</x:v>
      </x:c>
      <x:c r="AK1020" s="87" t="str">
        <x:v>master-v0.81</x:v>
      </x:c>
      <x:c r="AL1020" s="87" t="str">
        <x:v>statgrad_master_base_v0_81_final(2).xlsx</x:v>
      </x:c>
      <x:c r="AM1020" s="87" t="str">
        <x:v>CHEM_Mar_V3</x:v>
      </x:c>
      <x:c r="AN1020" s="87" t="n">
        <x:v>19</x:v>
      </x:c>
    </x:row>
    <x:row r="1021">
      <x:c r="A1021" s="87" t="n">
        <x:v>1020</x:v>
      </x:c>
      <x:c r="B1021" s="87" t="str">
        <x:v>MAR-CHEM-V3-019</x:v>
      </x:c>
      <x:c r="C1021" s="87" t="str">
        <x:v>СтатГрад</x:v>
      </x:c>
      <x:c r="D1021" s="87" t="str">
        <x:v>Март 2026</x:v>
      </x:c>
      <x:c r="E1021" s="87"/>
      <x:c r="F1021" s="87"/>
      <x:c r="G1021" s="87" t="str">
        <x:v>Химия</x:v>
      </x:c>
      <x:c r="H1021" s="87" t="n">
        <x:v>11</x:v>
      </x:c>
      <x:c r="I1021" s="87" t="str">
        <x:v>ТР №4</x:v>
      </x:c>
      <x:c r="J1021" s="87" t="str">
        <x:v>ХИ2510403</x:v>
      </x:c>
      <x:c r="K1021" s="87" t="n">
        <x:v>19</x:v>
      </x:c>
      <x:c r="L1021" s="87" t="str">
        <x:v>ОВР и роль элемента</x:v>
      </x:c>
      <x:c r="M1021" s="30" t="str">
        <x:v>Определить роль фосфора в трёх реакциях.</x:v>
      </x:c>
      <x:c r="N1021" s="30" t="str">
        <x:v>342</x:v>
      </x:c>
      <x:c r="O1021" s="30" t="str">
        <x:v>В PCl₅+P фосфор одновременно окисляется и восстанавливается; в фосфате степень не меняется; H₃PO₃ окисляется и является восстановителем.</x:v>
      </x:c>
      <x:c r="P1021" s="30" t="str">
        <x:v>Степени окисления рассчитаны.</x:v>
      </x:c>
      <x:c r="Q1021" s="30"/>
      <x:c r="R1021" s="30" t="str">
        <x:v>PDF + независимая проверка</x:v>
      </x:c>
      <x:c r="S1021" s="30"/>
      <x:c r="T1021" s="30"/>
      <x:c r="U1021" s="30" t="str">
        <x:v>Расхождений не обнаружено.</x:v>
      </x:c>
      <x:c r="V1021" s="87" t="str">
        <x:v>VERIFIED</x:v>
      </x:c>
      <x:c r="W1021" s="87" t="str">
        <x:v>PDF варианта, внутренняя стр. 10</x:v>
      </x:c>
      <x:c r="X1021" s="87"/>
      <x:c r="Y1021" s="87"/>
      <x:c r="Z1021" s="87"/>
      <x:c r="AA1021" s="87"/>
      <x:c r="AB1021" s="87"/>
      <x:c r="AC1021" s="87"/>
      <x:c r="AD1021" s="87"/>
      <x:c r="AE1021" s="87"/>
      <x:c r="AF1021" s="87"/>
      <x:c r="AG1021" s="87"/>
      <x:c r="AH1021" s="87"/>
      <x:c r="AI1021" s="30"/>
      <x:c r="AJ1021" s="87" t="str">
        <x:v>master</x:v>
      </x:c>
      <x:c r="AK1021" s="87" t="str">
        <x:v>master-v0.81</x:v>
      </x:c>
      <x:c r="AL1021" s="87" t="str">
        <x:v>statgrad_master_base_v0_81_final(2).xlsx</x:v>
      </x:c>
      <x:c r="AM1021" s="87" t="str">
        <x:v>CHEM_Mar_V3</x:v>
      </x:c>
      <x:c r="AN1021" s="87" t="n">
        <x:v>20</x:v>
      </x:c>
    </x:row>
    <x:row r="1022">
      <x:c r="A1022" s="87" t="n">
        <x:v>1021</x:v>
      </x:c>
      <x:c r="B1022" s="87" t="str">
        <x:v>MAR-CHEM-V3-020</x:v>
      </x:c>
      <x:c r="C1022" s="87" t="str">
        <x:v>СтатГрад</x:v>
      </x:c>
      <x:c r="D1022" s="87" t="str">
        <x:v>Март 2026</x:v>
      </x:c>
      <x:c r="E1022" s="87"/>
      <x:c r="F1022" s="87"/>
      <x:c r="G1022" s="87" t="str">
        <x:v>Химия</x:v>
      </x:c>
      <x:c r="H1022" s="87" t="n">
        <x:v>11</x:v>
      </x:c>
      <x:c r="I1022" s="87" t="str">
        <x:v>ТР №4</x:v>
      </x:c>
      <x:c r="J1022" s="87" t="str">
        <x:v>ХИ2510403</x:v>
      </x:c>
      <x:c r="K1022" s="87" t="n">
        <x:v>20</x:v>
      </x:c>
      <x:c r="L1022" s="87" t="str">
        <x:v>Электролиз</x:v>
      </x:c>
      <x:c r="M1022" s="30" t="str">
        <x:v>Соотнести Li, H₂ и NaBrO₃ со способом электролитического получения.</x:v>
      </x:c>
      <x:c r="N1022" s="30" t="str">
        <x:v>322</x:v>
      </x:c>
      <x:c r="O1022" s="30" t="str">
        <x:v>Li получают из расплава LiCl; при электролизе горячего раствора NaBr на катоде выделяется H₂, а в растворе образуется NaBrO₃.</x:v>
      </x:c>
      <x:c r="P1022" s="30" t="str">
        <x:v>Полуреакции электролиза проверены.</x:v>
      </x:c>
      <x:c r="Q1022" s="30"/>
      <x:c r="R1022" s="30" t="str">
        <x:v>PDF + независимая проверка</x:v>
      </x:c>
      <x:c r="S1022" s="30"/>
      <x:c r="T1022" s="30"/>
      <x:c r="U1022" s="30" t="str">
        <x:v>Расхождений не обнаружено.</x:v>
      </x:c>
      <x:c r="V1022" s="87" t="str">
        <x:v>VERIFIED</x:v>
      </x:c>
      <x:c r="W1022" s="87" t="str">
        <x:v>PDF варианта, внутренняя стр. 10</x:v>
      </x:c>
      <x:c r="X1022" s="87"/>
      <x:c r="Y1022" s="87"/>
      <x:c r="Z1022" s="87"/>
      <x:c r="AA1022" s="87"/>
      <x:c r="AB1022" s="87"/>
      <x:c r="AC1022" s="87"/>
      <x:c r="AD1022" s="87"/>
      <x:c r="AE1022" s="87"/>
      <x:c r="AF1022" s="87"/>
      <x:c r="AG1022" s="87"/>
      <x:c r="AH1022" s="87"/>
      <x:c r="AI1022" s="30"/>
      <x:c r="AJ1022" s="87" t="str">
        <x:v>master</x:v>
      </x:c>
      <x:c r="AK1022" s="87" t="str">
        <x:v>master-v0.81</x:v>
      </x:c>
      <x:c r="AL1022" s="87" t="str">
        <x:v>statgrad_master_base_v0_81_final(2).xlsx</x:v>
      </x:c>
      <x:c r="AM1022" s="87" t="str">
        <x:v>CHEM_Mar_V3</x:v>
      </x:c>
      <x:c r="AN1022" s="87" t="n">
        <x:v>21</x:v>
      </x:c>
    </x:row>
    <x:row r="1023">
      <x:c r="A1023" s="87" t="n">
        <x:v>1022</x:v>
      </x:c>
      <x:c r="B1023" s="87" t="str">
        <x:v>MAR-CHEM-V3-021</x:v>
      </x:c>
      <x:c r="C1023" s="87" t="str">
        <x:v>СтатГрад</x:v>
      </x:c>
      <x:c r="D1023" s="87" t="str">
        <x:v>Март 2026</x:v>
      </x:c>
      <x:c r="E1023" s="87"/>
      <x:c r="F1023" s="87"/>
      <x:c r="G1023" s="87" t="str">
        <x:v>Химия</x:v>
      </x:c>
      <x:c r="H1023" s="87" t="n">
        <x:v>11</x:v>
      </x:c>
      <x:c r="I1023" s="87" t="str">
        <x:v>ТР №4</x:v>
      </x:c>
      <x:c r="J1023" s="87" t="str">
        <x:v>ХИ2510403</x:v>
      </x:c>
      <x:c r="K1023" s="87" t="n">
        <x:v>21</x:v>
      </x:c>
      <x:c r="L1023" s="87" t="str">
        <x:v>pH растворов</x:v>
      </x:c>
      <x:c r="M1023" s="30" t="str">
        <x:v>Расположить Na₂SiO₃, H₂S, NaBr, HI по возрастанию pH.</x:v>
      </x:c>
      <x:c r="N1023" s="30" t="str">
        <x:v>4231</x:v>
      </x:c>
      <x:c r="O1023" s="30" t="str">
        <x:v>Сильная кислота HI &lt; слабая H₂S &lt; нейтральная соль NaBr &lt; щелочная соль Na₂SiO₃.</x:v>
      </x:c>
      <x:c r="P1023" s="30" t="str">
        <x:v>Гидролиз солей и сила кислот проверены.</x:v>
      </x:c>
      <x:c r="Q1023" s="30"/>
      <x:c r="R1023" s="30" t="str">
        <x:v>PDF + независимая проверка</x:v>
      </x:c>
      <x:c r="S1023" s="30"/>
      <x:c r="T1023" s="30"/>
      <x:c r="U1023" s="30" t="str">
        <x:v>Расхождений не обнаружено.</x:v>
      </x:c>
      <x:c r="V1023" s="87" t="str">
        <x:v>VERIFIED</x:v>
      </x:c>
      <x:c r="W1023" s="87" t="str">
        <x:v>PDF варианта, внутренняя стр. 11</x:v>
      </x:c>
      <x:c r="X1023" s="87"/>
      <x:c r="Y1023" s="87"/>
      <x:c r="Z1023" s="87"/>
      <x:c r="AA1023" s="87"/>
      <x:c r="AB1023" s="87"/>
      <x:c r="AC1023" s="87"/>
      <x:c r="AD1023" s="87"/>
      <x:c r="AE1023" s="87"/>
      <x:c r="AF1023" s="87"/>
      <x:c r="AG1023" s="87"/>
      <x:c r="AH1023" s="87"/>
      <x:c r="AI1023" s="30"/>
      <x:c r="AJ1023" s="87" t="str">
        <x:v>master</x:v>
      </x:c>
      <x:c r="AK1023" s="87" t="str">
        <x:v>master-v0.81</x:v>
      </x:c>
      <x:c r="AL1023" s="87" t="str">
        <x:v>statgrad_master_base_v0_81_final(2).xlsx</x:v>
      </x:c>
      <x:c r="AM1023" s="87" t="str">
        <x:v>CHEM_Mar_V3</x:v>
      </x:c>
      <x:c r="AN1023" s="87" t="n">
        <x:v>22</x:v>
      </x:c>
    </x:row>
    <x:row r="1024">
      <x:c r="A1024" s="87" t="n">
        <x:v>1023</x:v>
      </x:c>
      <x:c r="B1024" s="87" t="str">
        <x:v>MAR-CHEM-V3-022</x:v>
      </x:c>
      <x:c r="C1024" s="87" t="str">
        <x:v>СтатГрад</x:v>
      </x:c>
      <x:c r="D1024" s="87" t="str">
        <x:v>Март 2026</x:v>
      </x:c>
      <x:c r="E1024" s="87"/>
      <x:c r="F1024" s="87"/>
      <x:c r="G1024" s="87" t="str">
        <x:v>Химия</x:v>
      </x:c>
      <x:c r="H1024" s="87" t="n">
        <x:v>11</x:v>
      </x:c>
      <x:c r="I1024" s="87" t="str">
        <x:v>ТР №4</x:v>
      </x:c>
      <x:c r="J1024" s="87" t="str">
        <x:v>ХИ2510403</x:v>
      </x:c>
      <x:c r="K1024" s="87" t="n">
        <x:v>22</x:v>
      </x:c>
      <x:c r="L1024" s="87" t="str">
        <x:v>Химическое равновесие</x:v>
      </x:c>
      <x:c r="M1024" s="30" t="str">
        <x:v>Для HCl(г)+H₂O ⇄ H₃O⁺+Cl⁻+Q определить сдвиг при воздействиях.</x:v>
      </x:c>
      <x:c r="N1024" s="30" t="str">
        <x:v>1221</x:v>
      </x:c>
      <x:c r="O1024" s="30" t="str">
        <x:v>Охлаждение и повышение давления сдвигают вправо; добавление HNO₃ или KCl — влево.</x:v>
      </x:c>
      <x:c r="P1024" s="30" t="str">
        <x:v>Применён принцип Ле Шателье.</x:v>
      </x:c>
      <x:c r="Q1024" s="30"/>
      <x:c r="R1024" s="30" t="str">
        <x:v>PDF + независимая проверка</x:v>
      </x:c>
      <x:c r="S1024" s="30"/>
      <x:c r="T1024" s="30"/>
      <x:c r="U1024" s="30" t="str">
        <x:v>Расхождений не обнаружено.</x:v>
      </x:c>
      <x:c r="V1024" s="87" t="str">
        <x:v>VERIFIED</x:v>
      </x:c>
      <x:c r="W1024" s="87" t="str">
        <x:v>PDF варианта, внутренняя стр. 12</x:v>
      </x:c>
      <x:c r="X1024" s="87"/>
      <x:c r="Y1024" s="87"/>
      <x:c r="Z1024" s="87"/>
      <x:c r="AA1024" s="87"/>
      <x:c r="AB1024" s="87"/>
      <x:c r="AC1024" s="87"/>
      <x:c r="AD1024" s="87"/>
      <x:c r="AE1024" s="87"/>
      <x:c r="AF1024" s="87"/>
      <x:c r="AG1024" s="87"/>
      <x:c r="AH1024" s="87"/>
      <x:c r="AI1024" s="30"/>
      <x:c r="AJ1024" s="87" t="str">
        <x:v>master</x:v>
      </x:c>
      <x:c r="AK1024" s="87" t="str">
        <x:v>master-v0.81</x:v>
      </x:c>
      <x:c r="AL1024" s="87" t="str">
        <x:v>statgrad_master_base_v0_81_final(2).xlsx</x:v>
      </x:c>
      <x:c r="AM1024" s="87" t="str">
        <x:v>CHEM_Mar_V3</x:v>
      </x:c>
      <x:c r="AN1024" s="87" t="n">
        <x:v>23</x:v>
      </x:c>
    </x:row>
    <x:row r="1025">
      <x:c r="A1025" s="87" t="n">
        <x:v>1024</x:v>
      </x:c>
      <x:c r="B1025" s="87" t="str">
        <x:v>MAR-CHEM-V3-023</x:v>
      </x:c>
      <x:c r="C1025" s="87" t="str">
        <x:v>СтатГрад</x:v>
      </x:c>
      <x:c r="D1025" s="87" t="str">
        <x:v>Март 2026</x:v>
      </x:c>
      <x:c r="E1025" s="87"/>
      <x:c r="F1025" s="87"/>
      <x:c r="G1025" s="87" t="str">
        <x:v>Химия</x:v>
      </x:c>
      <x:c r="H1025" s="87" t="n">
        <x:v>11</x:v>
      </x:c>
      <x:c r="I1025" s="87" t="str">
        <x:v>ТР №4</x:v>
      </x:c>
      <x:c r="J1025" s="87" t="str">
        <x:v>ХИ2510403</x:v>
      </x:c>
      <x:c r="K1025" s="87" t="n">
        <x:v>23</x:v>
      </x:c>
      <x:c r="L1025" s="87" t="str">
        <x:v>Равновесные концентрации</x:v>
      </x:c>
      <x:c r="M1025" s="30" t="str">
        <x:v>Для C₆H₁₂ ⇄ C₆H₆+3H₂ найти исходную [C₆H₁₂] и равновесную [C₆H₆].</x:v>
      </x:c>
      <x:c r="N1025" s="30" t="str">
        <x:v>52</x:v>
      </x:c>
      <x:c r="O1025" s="30" t="str">
        <x:v>[H₂]=0,09, значит превращено 0,03 моль/л циклогексана; исходно 0,04+0,03=0,07, бензола 0,03.</x:v>
      </x:c>
      <x:c r="P1025" s="30" t="str">
        <x:v>Стехиометрия равновесия проверена.</x:v>
      </x:c>
      <x:c r="Q1025" s="30"/>
      <x:c r="R1025" s="30" t="str">
        <x:v>PDF + независимая проверка</x:v>
      </x:c>
      <x:c r="S1025" s="30"/>
      <x:c r="T1025" s="30"/>
      <x:c r="U1025" s="30" t="str">
        <x:v>Расхождений не обнаружено.</x:v>
      </x:c>
      <x:c r="V1025" s="87" t="str">
        <x:v>VERIFIED</x:v>
      </x:c>
      <x:c r="W1025" s="87" t="str">
        <x:v>PDF варианта, внутренняя стр. 12</x:v>
      </x:c>
      <x:c r="X1025" s="87"/>
      <x:c r="Y1025" s="87"/>
      <x:c r="Z1025" s="87"/>
      <x:c r="AA1025" s="87"/>
      <x:c r="AB1025" s="87"/>
      <x:c r="AC1025" s="87"/>
      <x:c r="AD1025" s="87"/>
      <x:c r="AE1025" s="87"/>
      <x:c r="AF1025" s="87"/>
      <x:c r="AG1025" s="87"/>
      <x:c r="AH1025" s="87"/>
      <x:c r="AI1025" s="30"/>
      <x:c r="AJ1025" s="87" t="str">
        <x:v>master</x:v>
      </x:c>
      <x:c r="AK1025" s="87" t="str">
        <x:v>master-v0.81</x:v>
      </x:c>
      <x:c r="AL1025" s="87" t="str">
        <x:v>statgrad_master_base_v0_81_final(2).xlsx</x:v>
      </x:c>
      <x:c r="AM1025" s="87" t="str">
        <x:v>CHEM_Mar_V3</x:v>
      </x:c>
      <x:c r="AN1025" s="87" t="n">
        <x:v>24</x:v>
      </x:c>
    </x:row>
    <x:row r="1026">
      <x:c r="A1026" s="87" t="n">
        <x:v>1025</x:v>
      </x:c>
      <x:c r="B1026" s="87" t="str">
        <x:v>MAR-CHEM-V3-024</x:v>
      </x:c>
      <x:c r="C1026" s="87" t="str">
        <x:v>СтатГрад</x:v>
      </x:c>
      <x:c r="D1026" s="87" t="str">
        <x:v>Март 2026</x:v>
      </x:c>
      <x:c r="E1026" s="87"/>
      <x:c r="F1026" s="87"/>
      <x:c r="G1026" s="87" t="str">
        <x:v>Химия</x:v>
      </x:c>
      <x:c r="H1026" s="87" t="n">
        <x:v>11</x:v>
      </x:c>
      <x:c r="I1026" s="87" t="str">
        <x:v>ТР №4</x:v>
      </x:c>
      <x:c r="J1026" s="87" t="str">
        <x:v>ХИ2510403</x:v>
      </x:c>
      <x:c r="K1026" s="87" t="n">
        <x:v>24</x:v>
      </x:c>
      <x:c r="L1026" s="87" t="str">
        <x:v>Качественные признаки</x:v>
      </x:c>
      <x:c r="M1026" s="30" t="str">
        <x:v>Соотнести вещества с признаком реакции с избытком NaOH.</x:v>
      </x:c>
      <x:c r="N1026" s="30" t="str">
        <x:v>4235</x:v>
      </x:c>
      <x:c r="O1026" s="30" t="str">
        <x:v>AgNO₃ даёт Ag₂O чёрно-бурый; Al выделяет H₂; CuSO₄ даёт голубой Cu(OH)₂; NaHSO₄ нейтрализуется без видимого признака.</x:v>
      </x:c>
      <x:c r="P1026" s="30" t="str">
        <x:v>Уравнения и растворимость продуктов проверены.</x:v>
      </x:c>
      <x:c r="Q1026" s="30"/>
      <x:c r="R1026" s="30" t="str">
        <x:v>PDF + независимая проверка</x:v>
      </x:c>
      <x:c r="S1026" s="30"/>
      <x:c r="T1026" s="30"/>
      <x:c r="U1026" s="30" t="str">
        <x:v>Расхождений не обнаружено.</x:v>
      </x:c>
      <x:c r="V1026" s="87" t="str">
        <x:v>VERIFIED</x:v>
      </x:c>
      <x:c r="W1026" s="87" t="str">
        <x:v>PDF варианта, внутренняя стр. 13</x:v>
      </x:c>
      <x:c r="X1026" s="87"/>
      <x:c r="Y1026" s="87"/>
      <x:c r="Z1026" s="87"/>
      <x:c r="AA1026" s="87"/>
      <x:c r="AB1026" s="87"/>
      <x:c r="AC1026" s="87"/>
      <x:c r="AD1026" s="87"/>
      <x:c r="AE1026" s="87"/>
      <x:c r="AF1026" s="87"/>
      <x:c r="AG1026" s="87"/>
      <x:c r="AH1026" s="87"/>
      <x:c r="AI1026" s="30"/>
      <x:c r="AJ1026" s="87" t="str">
        <x:v>master</x:v>
      </x:c>
      <x:c r="AK1026" s="87" t="str">
        <x:v>master-v0.81</x:v>
      </x:c>
      <x:c r="AL1026" s="87" t="str">
        <x:v>statgrad_master_base_v0_81_final(2).xlsx</x:v>
      </x:c>
      <x:c r="AM1026" s="87" t="str">
        <x:v>CHEM_Mar_V3</x:v>
      </x:c>
      <x:c r="AN1026" s="87" t="n">
        <x:v>25</x:v>
      </x:c>
    </x:row>
    <x:row r="1027">
      <x:c r="A1027" s="87" t="n">
        <x:v>1026</x:v>
      </x:c>
      <x:c r="B1027" s="87" t="str">
        <x:v>MAR-CHEM-V3-025</x:v>
      </x:c>
      <x:c r="C1027" s="87" t="str">
        <x:v>СтатГрад</x:v>
      </x:c>
      <x:c r="D1027" s="87" t="str">
        <x:v>Март 2026</x:v>
      </x:c>
      <x:c r="E1027" s="87"/>
      <x:c r="F1027" s="87"/>
      <x:c r="G1027" s="87" t="str">
        <x:v>Химия</x:v>
      </x:c>
      <x:c r="H1027" s="87" t="n">
        <x:v>11</x:v>
      </x:c>
      <x:c r="I1027" s="87" t="str">
        <x:v>ТР №4</x:v>
      </x:c>
      <x:c r="J1027" s="87" t="str">
        <x:v>ХИ2510403</x:v>
      </x:c>
      <x:c r="K1027" s="87" t="n">
        <x:v>25</x:v>
      </x:c>
      <x:c r="L1027" s="87" t="str">
        <x:v>Химическая технология</x:v>
      </x:c>
      <x:c r="M1027" s="30" t="str">
        <x:v>Соотнести контактный аппарат, кислородный конвертер и поглотительную башню с продуктами.</x:v>
      </x:c>
      <x:c r="N1027" s="30" t="str">
        <x:v>213</x:v>
      </x:c>
      <x:c r="O1027" s="30" t="str">
        <x:v>Контактный аппарат — SO₃; конвертер — сталь; поглотительная башня — олеум.</x:v>
      </x:c>
      <x:c r="P1027" s="30" t="str">
        <x:v>Технологические стадии проверены.</x:v>
      </x:c>
      <x:c r="Q1027" s="30"/>
      <x:c r="R1027" s="30" t="str">
        <x:v>PDF + независимая проверка</x:v>
      </x:c>
      <x:c r="S1027" s="30"/>
      <x:c r="T1027" s="30"/>
      <x:c r="U1027" s="30" t="str">
        <x:v>Расхождений не обнаружено.</x:v>
      </x:c>
      <x:c r="V1027" s="87" t="str">
        <x:v>VERIFIED</x:v>
      </x:c>
      <x:c r="W1027" s="87" t="str">
        <x:v>PDF варианта, внутренняя стр. 13</x:v>
      </x:c>
      <x:c r="X1027" s="87"/>
      <x:c r="Y1027" s="87"/>
      <x:c r="Z1027" s="87"/>
      <x:c r="AA1027" s="87"/>
      <x:c r="AB1027" s="87"/>
      <x:c r="AC1027" s="87"/>
      <x:c r="AD1027" s="87"/>
      <x:c r="AE1027" s="87"/>
      <x:c r="AF1027" s="87"/>
      <x:c r="AG1027" s="87"/>
      <x:c r="AH1027" s="87"/>
      <x:c r="AI1027" s="30"/>
      <x:c r="AJ1027" s="87" t="str">
        <x:v>master</x:v>
      </x:c>
      <x:c r="AK1027" s="87" t="str">
        <x:v>master-v0.81</x:v>
      </x:c>
      <x:c r="AL1027" s="87" t="str">
        <x:v>statgrad_master_base_v0_81_final(2).xlsx</x:v>
      </x:c>
      <x:c r="AM1027" s="87" t="str">
        <x:v>CHEM_Mar_V3</x:v>
      </x:c>
      <x:c r="AN1027" s="87" t="n">
        <x:v>26</x:v>
      </x:c>
    </x:row>
    <x:row r="1028">
      <x:c r="A1028" s="87" t="n">
        <x:v>1027</x:v>
      </x:c>
      <x:c r="B1028" s="87" t="str">
        <x:v>MAR-CHEM-V3-026</x:v>
      </x:c>
      <x:c r="C1028" s="87" t="str">
        <x:v>СтатГрад</x:v>
      </x:c>
      <x:c r="D1028" s="87" t="str">
        <x:v>Март 2026</x:v>
      </x:c>
      <x:c r="E1028" s="87"/>
      <x:c r="F1028" s="87"/>
      <x:c r="G1028" s="87" t="str">
        <x:v>Химия</x:v>
      </x:c>
      <x:c r="H1028" s="87" t="n">
        <x:v>11</x:v>
      </x:c>
      <x:c r="I1028" s="87" t="str">
        <x:v>ТР №4</x:v>
      </x:c>
      <x:c r="J1028" s="87" t="str">
        <x:v>ХИ2510403</x:v>
      </x:c>
      <x:c r="K1028" s="87" t="n">
        <x:v>26</x:v>
      </x:c>
      <x:c r="L1028" s="87" t="str">
        <x:v>Расчёт концентрации</x:v>
      </x:c>
      <x:c r="M1028" s="30" t="str">
        <x:v>К 200 мл 6 М NaOH (ρ=1,22) добавить воду до 10%-го раствора.</x:v>
      </x:c>
      <x:c r="N1028" s="30" t="str">
        <x:v>236</x:v>
      </x:c>
      <x:c r="O1028" s="30" t="str">
        <x:v>m(раствора)=244 г; n=1,2 моль, m(NaOH)=48 г; итоговая масса 480 г, воды добавить 236 г = 236 мл.</x:v>
      </x:c>
      <x:c r="P1028" s="30" t="str">
        <x:v>Расчёт массовой доли проверен.</x:v>
      </x:c>
      <x:c r="Q1028" s="30"/>
      <x:c r="R1028" s="30" t="str">
        <x:v>PDF + независимая проверка</x:v>
      </x:c>
      <x:c r="S1028" s="30"/>
      <x:c r="T1028" s="30"/>
      <x:c r="U1028" s="30" t="str">
        <x:v>Расхождений не обнаружено.</x:v>
      </x:c>
      <x:c r="V1028" s="87" t="str">
        <x:v>VERIFIED</x:v>
      </x:c>
      <x:c r="W1028" s="87" t="str">
        <x:v>PDF варианта, внутренняя стр. 14</x:v>
      </x:c>
      <x:c r="X1028" s="87"/>
      <x:c r="Y1028" s="87"/>
      <x:c r="Z1028" s="87"/>
      <x:c r="AA1028" s="87"/>
      <x:c r="AB1028" s="87"/>
      <x:c r="AC1028" s="87"/>
      <x:c r="AD1028" s="87"/>
      <x:c r="AE1028" s="87"/>
      <x:c r="AF1028" s="87"/>
      <x:c r="AG1028" s="87"/>
      <x:c r="AH1028" s="87"/>
      <x:c r="AI1028" s="30"/>
      <x:c r="AJ1028" s="87" t="str">
        <x:v>master</x:v>
      </x:c>
      <x:c r="AK1028" s="87" t="str">
        <x:v>master-v0.81</x:v>
      </x:c>
      <x:c r="AL1028" s="87" t="str">
        <x:v>statgrad_master_base_v0_81_final(2).xlsx</x:v>
      </x:c>
      <x:c r="AM1028" s="87" t="str">
        <x:v>CHEM_Mar_V3</x:v>
      </x:c>
      <x:c r="AN1028" s="87" t="n">
        <x:v>27</x:v>
      </x:c>
    </x:row>
    <x:row r="1029">
      <x:c r="A1029" s="87" t="n">
        <x:v>1028</x:v>
      </x:c>
      <x:c r="B1029" s="87" t="str">
        <x:v>MAR-CHEM-V3-027</x:v>
      </x:c>
      <x:c r="C1029" s="87" t="str">
        <x:v>СтатГрад</x:v>
      </x:c>
      <x:c r="D1029" s="87" t="str">
        <x:v>Март 2026</x:v>
      </x:c>
      <x:c r="E1029" s="87"/>
      <x:c r="F1029" s="87"/>
      <x:c r="G1029" s="87" t="str">
        <x:v>Химия</x:v>
      </x:c>
      <x:c r="H1029" s="87" t="n">
        <x:v>11</x:v>
      </x:c>
      <x:c r="I1029" s="87" t="str">
        <x:v>ТР №4</x:v>
      </x:c>
      <x:c r="J1029" s="87" t="str">
        <x:v>ХИ2510403</x:v>
      </x:c>
      <x:c r="K1029" s="87" t="n">
        <x:v>27</x:v>
      </x:c>
      <x:c r="L1029" s="87" t="str">
        <x:v>Термохимический расчёт</x:v>
      </x:c>
      <x:c r="M1029" s="30" t="str">
        <x:v>Найти теплоту нейтрализации 1,85 г Ca(OH)₂ избытком HNO₃.</x:v>
      </x:c>
      <x:c r="N1029" s="30" t="str">
        <x:v>2,8</x:v>
      </x:c>
      <x:c r="O1029" s="30" t="str">
        <x:v>n(Ca(OH)₂)=0,025 моль, образуется 0,05 моль H₂O; Q=0,05·56=2,8 кДж.</x:v>
      </x:c>
      <x:c r="P1029" s="30" t="str">
        <x:v>Учтены два гидроксид-иона.</x:v>
      </x:c>
      <x:c r="Q1029" s="30"/>
      <x:c r="R1029" s="30" t="str">
        <x:v>PDF + независимая проверка</x:v>
      </x:c>
      <x:c r="S1029" s="30"/>
      <x:c r="T1029" s="30"/>
      <x:c r="U1029" s="30" t="str">
        <x:v>Расхождений не обнаружено.</x:v>
      </x:c>
      <x:c r="V1029" s="87" t="str">
        <x:v>VERIFIED</x:v>
      </x:c>
      <x:c r="W1029" s="87" t="str">
        <x:v>PDF варианта, внутренняя стр. 14</x:v>
      </x:c>
      <x:c r="X1029" s="87"/>
      <x:c r="Y1029" s="87"/>
      <x:c r="Z1029" s="87"/>
      <x:c r="AA1029" s="87"/>
      <x:c r="AB1029" s="87"/>
      <x:c r="AC1029" s="87"/>
      <x:c r="AD1029" s="87"/>
      <x:c r="AE1029" s="87"/>
      <x:c r="AF1029" s="87"/>
      <x:c r="AG1029" s="87"/>
      <x:c r="AH1029" s="87"/>
      <x:c r="AI1029" s="30"/>
      <x:c r="AJ1029" s="87" t="str">
        <x:v>master</x:v>
      </x:c>
      <x:c r="AK1029" s="87" t="str">
        <x:v>master-v0.81</x:v>
      </x:c>
      <x:c r="AL1029" s="87" t="str">
        <x:v>statgrad_master_base_v0_81_final(2).xlsx</x:v>
      </x:c>
      <x:c r="AM1029" s="87" t="str">
        <x:v>CHEM_Mar_V3</x:v>
      </x:c>
      <x:c r="AN1029" s="87" t="n">
        <x:v>28</x:v>
      </x:c>
    </x:row>
    <x:row r="1030">
      <x:c r="A1030" s="87" t="n">
        <x:v>1029</x:v>
      </x:c>
      <x:c r="B1030" s="87" t="str">
        <x:v>MAR-CHEM-V3-028</x:v>
      </x:c>
      <x:c r="C1030" s="87" t="str">
        <x:v>СтатГрад</x:v>
      </x:c>
      <x:c r="D1030" s="87" t="str">
        <x:v>Март 2026</x:v>
      </x:c>
      <x:c r="E1030" s="87"/>
      <x:c r="F1030" s="87"/>
      <x:c r="G1030" s="87" t="str">
        <x:v>Химия</x:v>
      </x:c>
      <x:c r="H1030" s="87" t="n">
        <x:v>11</x:v>
      </x:c>
      <x:c r="I1030" s="87" t="str">
        <x:v>ТР №4</x:v>
      </x:c>
      <x:c r="J1030" s="87" t="str">
        <x:v>ХИ2510403</x:v>
      </x:c>
      <x:c r="K1030" s="87" t="n">
        <x:v>28</x:v>
      </x:c>
      <x:c r="L1030" s="87" t="str">
        <x:v>Выход продукта</x:v>
      </x:c>
      <x:c r="M1030" s="30" t="str">
        <x:v>При прокаливании 4,25 г NaNO₃ получено 448 мл O₂; найти выход.</x:v>
      </x:c>
      <x:c r="N1030" s="30" t="str">
        <x:v>80</x:v>
      </x:c>
      <x:c r="O1030" s="30" t="str">
        <x:v>n(NaNO₃)=0,05; теоретически O₂=0,025 моль=560 мл; η=448/560·100%=80%.</x:v>
      </x:c>
      <x:c r="P1030" s="30" t="str">
        <x:v>Проверено по 2NaNO₃→2NaNO₂+O₂.</x:v>
      </x:c>
      <x:c r="Q1030" s="30"/>
      <x:c r="R1030" s="30" t="str">
        <x:v>PDF + независимая проверка</x:v>
      </x:c>
      <x:c r="S1030" s="30"/>
      <x:c r="T1030" s="30"/>
      <x:c r="U1030" s="30" t="str">
        <x:v>Расхождений не обнаружено.</x:v>
      </x:c>
      <x:c r="V1030" s="87" t="str">
        <x:v>VERIFIED</x:v>
      </x:c>
      <x:c r="W1030" s="87" t="str">
        <x:v>PDF варианта, внутренняя стр. 14</x:v>
      </x:c>
      <x:c r="X1030" s="87"/>
      <x:c r="Y1030" s="87"/>
      <x:c r="Z1030" s="87"/>
      <x:c r="AA1030" s="87"/>
      <x:c r="AB1030" s="87"/>
      <x:c r="AC1030" s="87"/>
      <x:c r="AD1030" s="87"/>
      <x:c r="AE1030" s="87"/>
      <x:c r="AF1030" s="87"/>
      <x:c r="AG1030" s="87"/>
      <x:c r="AH1030" s="87"/>
      <x:c r="AI1030" s="30"/>
      <x:c r="AJ1030" s="87" t="str">
        <x:v>master</x:v>
      </x:c>
      <x:c r="AK1030" s="87" t="str">
        <x:v>master-v0.81</x:v>
      </x:c>
      <x:c r="AL1030" s="87" t="str">
        <x:v>statgrad_master_base_v0_81_final(2).xlsx</x:v>
      </x:c>
      <x:c r="AM1030" s="87" t="str">
        <x:v>CHEM_Mar_V3</x:v>
      </x:c>
      <x:c r="AN1030" s="87" t="n">
        <x:v>29</x:v>
      </x:c>
    </x:row>
    <x:row r="1031">
      <x:c r="A1031" s="87" t="n">
        <x:v>1030</x:v>
      </x:c>
      <x:c r="B1031" s="87" t="str">
        <x:v>MAR-CHEM-V3-029</x:v>
      </x:c>
      <x:c r="C1031" s="87" t="str">
        <x:v>СтатГрад</x:v>
      </x:c>
      <x:c r="D1031" s="87" t="str">
        <x:v>Март 2026</x:v>
      </x:c>
      <x:c r="E1031" s="87"/>
      <x:c r="F1031" s="87"/>
      <x:c r="G1031" s="87" t="str">
        <x:v>Химия</x:v>
      </x:c>
      <x:c r="H1031" s="87" t="n">
        <x:v>11</x:v>
      </x:c>
      <x:c r="I1031" s="87" t="str">
        <x:v>ТР №4</x:v>
      </x:c>
      <x:c r="J1031" s="87" t="str">
        <x:v>ХИ2510403</x:v>
      </x:c>
      <x:c r="K1031" s="87" t="n">
        <x:v>29</x:v>
      </x:c>
      <x:c r="L1031" s="87" t="str">
        <x:v>Развёрнутый ответ: ОВР</x:v>
      </x:c>
      <x:c r="M1031" s="30" t="str">
        <x:v>Из перечня выбрать ОВР, образующую две соли; составить баланс.</x:v>
      </x:c>
      <x:c r="N1031" s="30" t="str">
        <x:v>6FeCl₂ + KClO₃ + 6HCl → 6FeCl₃ + KCl + 3H₂O.
Баланс: Fe²⁺−e⁻→Fe³⁺ (×6); ClO₃⁻+6H⁺+6e⁻→Cl⁻+3H₂O.
Окислитель KClO₃, восстановитель FeCl₂.</x:v>
      </x:c>
      <x:c r="O1031" s="30" t="str">
        <x:v>Образуются две соли FeCl₃ и KCl; атомный и электронный баланс проверены.</x:v>
      </x:c>
      <x:c r="P1031" s="30" t="str">
        <x:v>Независимое развёрнутое решение</x:v>
      </x:c>
      <x:c r="Q1031" s="30"/>
      <x:c r="R1031" s="30" t="str">
        <x:v>PDF + независимая проверка</x:v>
      </x:c>
      <x:c r="S1031" s="30"/>
      <x:c r="T1031" s="30"/>
      <x:c r="U1031" s="30" t="str">
        <x:v>Расхождений не обнаружено.</x:v>
      </x:c>
      <x:c r="V1031" s="87" t="str">
        <x:v>VERIFIED</x:v>
      </x:c>
      <x:c r="W1031" s="87" t="str">
        <x:v>PDF варианта, внутренняя стр. 15</x:v>
      </x:c>
      <x:c r="X1031" s="87"/>
      <x:c r="Y1031" s="87"/>
      <x:c r="Z1031" s="87"/>
      <x:c r="AA1031" s="87"/>
      <x:c r="AB1031" s="87"/>
      <x:c r="AC1031" s="87"/>
      <x:c r="AD1031" s="87"/>
      <x:c r="AE1031" s="87"/>
      <x:c r="AF1031" s="87"/>
      <x:c r="AG1031" s="87"/>
      <x:c r="AH1031" s="87"/>
      <x:c r="AI1031" s="30"/>
      <x:c r="AJ1031" s="87" t="str">
        <x:v>master</x:v>
      </x:c>
      <x:c r="AK1031" s="87" t="str">
        <x:v>master-v0.81</x:v>
      </x:c>
      <x:c r="AL1031" s="87" t="str">
        <x:v>statgrad_master_base_v0_81_final(2).xlsx</x:v>
      </x:c>
      <x:c r="AM1031" s="87" t="str">
        <x:v>CHEM_Mar_V3</x:v>
      </x:c>
      <x:c r="AN1031" s="87" t="n">
        <x:v>30</x:v>
      </x:c>
    </x:row>
    <x:row r="1032">
      <x:c r="A1032" s="87" t="n">
        <x:v>1031</x:v>
      </x:c>
      <x:c r="B1032" s="87" t="str">
        <x:v>MAR-CHEM-V3-030</x:v>
      </x:c>
      <x:c r="C1032" s="87" t="str">
        <x:v>СтатГрад</x:v>
      </x:c>
      <x:c r="D1032" s="87" t="str">
        <x:v>Март 2026</x:v>
      </x:c>
      <x:c r="E1032" s="87"/>
      <x:c r="F1032" s="87"/>
      <x:c r="G1032" s="87" t="str">
        <x:v>Химия</x:v>
      </x:c>
      <x:c r="H1032" s="87" t="n">
        <x:v>11</x:v>
      </x:c>
      <x:c r="I1032" s="87" t="str">
        <x:v>ТР №4</x:v>
      </x:c>
      <x:c r="J1032" s="87" t="str">
        <x:v>ХИ2510403</x:v>
      </x:c>
      <x:c r="K1032" s="87" t="n">
        <x:v>30</x:v>
      </x:c>
      <x:c r="L1032" s="87" t="str">
        <x:v>Развёрнутый ответ: ионный обмен</x:v>
      </x:c>
      <x:c r="M1032" s="30" t="str">
        <x:v>Выбрать обмен с образованием двух солей и записать три уравнения.</x:v>
      </x:c>
      <x:c r="N1032" s="30" t="str">
        <x:v>Молекулярное: 3FeCl₂+2Na₃PO₄→Fe₃(PO₄)₂↓+6NaCl.
Полное ионное: 3Fe²⁺+6Cl⁻+6Na⁺+2PO₄³⁻→Fe₃(PO₄)₂↓+6Na⁺+6Cl⁻.
Сокращённое: 3Fe²⁺+2PO₄³⁻→Fe₃(PO₄)₂↓.</x:v>
      </x:c>
      <x:c r="O1032" s="30" t="str">
        <x:v>Движущая сила — образование нерастворимого фосфата железа(II).</x:v>
      </x:c>
      <x:c r="P1032" s="30" t="str">
        <x:v>Независимое развёрнутое решение</x:v>
      </x:c>
      <x:c r="Q1032" s="30"/>
      <x:c r="R1032" s="30" t="str">
        <x:v>PDF + независимая проверка</x:v>
      </x:c>
      <x:c r="S1032" s="30"/>
      <x:c r="T1032" s="30"/>
      <x:c r="U1032" s="30" t="str">
        <x:v>Расхождений не обнаружено.</x:v>
      </x:c>
      <x:c r="V1032" s="87" t="str">
        <x:v>VERIFIED</x:v>
      </x:c>
      <x:c r="W1032" s="87" t="str">
        <x:v>PDF варианта, внутренняя стр. 15</x:v>
      </x:c>
      <x:c r="X1032" s="87"/>
      <x:c r="Y1032" s="87"/>
      <x:c r="Z1032" s="87"/>
      <x:c r="AA1032" s="87"/>
      <x:c r="AB1032" s="87"/>
      <x:c r="AC1032" s="87"/>
      <x:c r="AD1032" s="87"/>
      <x:c r="AE1032" s="87"/>
      <x:c r="AF1032" s="87"/>
      <x:c r="AG1032" s="87"/>
      <x:c r="AH1032" s="87"/>
      <x:c r="AI1032" s="30"/>
      <x:c r="AJ1032" s="87" t="str">
        <x:v>master</x:v>
      </x:c>
      <x:c r="AK1032" s="87" t="str">
        <x:v>master-v0.81</x:v>
      </x:c>
      <x:c r="AL1032" s="87" t="str">
        <x:v>statgrad_master_base_v0_81_final(2).xlsx</x:v>
      </x:c>
      <x:c r="AM1032" s="87" t="str">
        <x:v>CHEM_Mar_V3</x:v>
      </x:c>
      <x:c r="AN1032" s="87" t="n">
        <x:v>31</x:v>
      </x:c>
    </x:row>
    <x:row r="1033">
      <x:c r="A1033" s="87" t="n">
        <x:v>1032</x:v>
      </x:c>
      <x:c r="B1033" s="87" t="str">
        <x:v>MAR-CHEM-V3-031</x:v>
      </x:c>
      <x:c r="C1033" s="87" t="str">
        <x:v>СтатГрад</x:v>
      </x:c>
      <x:c r="D1033" s="87" t="str">
        <x:v>Март 2026</x:v>
      </x:c>
      <x:c r="E1033" s="87"/>
      <x:c r="F1033" s="87"/>
      <x:c r="G1033" s="87" t="str">
        <x:v>Химия</x:v>
      </x:c>
      <x:c r="H1033" s="87" t="n">
        <x:v>11</x:v>
      </x:c>
      <x:c r="I1033" s="87" t="str">
        <x:v>ТР №4</x:v>
      </x:c>
      <x:c r="J1033" s="87" t="str">
        <x:v>ХИ2510403</x:v>
      </x:c>
      <x:c r="K1033" s="87" t="n">
        <x:v>31</x:v>
      </x:c>
      <x:c r="L1033" s="87" t="str">
        <x:v>Развёрнутый ответ: неорганическая цепочка</x:v>
      </x:c>
      <x:c r="M1033" s="30" t="str">
        <x:v>Записать четыре реакции по описанию превращений MgSO₄ и BaCl₂.</x:v>
      </x:c>
      <x:c r="N1033" s="30" t="str">
        <x:v>1) MgSO₄+BaCl₂→BaSO₄↓+MgCl₂.
2) BaSO₄+4C→BaS+4CO↑ (t).
3) BaS+2HCl→BaCl₂+H₂S↑.
4) H₂S+2FeCl₃→S↓+2FeCl₂+2HCl.</x:v>
      </x:c>
      <x:c r="O1033" s="30" t="str">
        <x:v>Помутнение обусловлено серой, светло-зелёный цвет — FeCl₂.</x:v>
      </x:c>
      <x:c r="P1033" s="30" t="str">
        <x:v>Независимое развёрнутое решение</x:v>
      </x:c>
      <x:c r="Q1033" s="30"/>
      <x:c r="R1033" s="30" t="str">
        <x:v>PDF + независимая проверка</x:v>
      </x:c>
      <x:c r="S1033" s="30"/>
      <x:c r="T1033" s="30"/>
      <x:c r="U1033" s="30" t="str">
        <x:v>Расхождений не обнаружено.</x:v>
      </x:c>
      <x:c r="V1033" s="87" t="str">
        <x:v>VERIFIED</x:v>
      </x:c>
      <x:c r="W1033" s="87" t="str">
        <x:v>PDF варианта, внутренняя стр. 15</x:v>
      </x:c>
      <x:c r="X1033" s="87"/>
      <x:c r="Y1033" s="87"/>
      <x:c r="Z1033" s="87"/>
      <x:c r="AA1033" s="87"/>
      <x:c r="AB1033" s="87"/>
      <x:c r="AC1033" s="87"/>
      <x:c r="AD1033" s="87"/>
      <x:c r="AE1033" s="87"/>
      <x:c r="AF1033" s="87"/>
      <x:c r="AG1033" s="87"/>
      <x:c r="AH1033" s="87"/>
      <x:c r="AI1033" s="30"/>
      <x:c r="AJ1033" s="87" t="str">
        <x:v>master</x:v>
      </x:c>
      <x:c r="AK1033" s="87" t="str">
        <x:v>master-v0.81</x:v>
      </x:c>
      <x:c r="AL1033" s="87" t="str">
        <x:v>statgrad_master_base_v0_81_final(2).xlsx</x:v>
      </x:c>
      <x:c r="AM1033" s="87" t="str">
        <x:v>CHEM_Mar_V3</x:v>
      </x:c>
      <x:c r="AN1033" s="87" t="n">
        <x:v>32</x:v>
      </x:c>
    </x:row>
    <x:row r="1034">
      <x:c r="A1034" s="87" t="n">
        <x:v>1033</x:v>
      </x:c>
      <x:c r="B1034" s="87" t="str">
        <x:v>MAR-CHEM-V3-032</x:v>
      </x:c>
      <x:c r="C1034" s="87" t="str">
        <x:v>СтатГрад</x:v>
      </x:c>
      <x:c r="D1034" s="87" t="str">
        <x:v>Март 2026</x:v>
      </x:c>
      <x:c r="E1034" s="87"/>
      <x:c r="F1034" s="87"/>
      <x:c r="G1034" s="87" t="str">
        <x:v>Химия</x:v>
      </x:c>
      <x:c r="H1034" s="87" t="n">
        <x:v>11</x:v>
      </x:c>
      <x:c r="I1034" s="87" t="str">
        <x:v>ТР №4</x:v>
      </x:c>
      <x:c r="J1034" s="87" t="str">
        <x:v>ХИ2510403</x:v>
      </x:c>
      <x:c r="K1034" s="87" t="n">
        <x:v>32</x:v>
      </x:c>
      <x:c r="L1034" s="87" t="str">
        <x:v>Развёрнутый ответ: органическая цепочка</x:v>
      </x:c>
      <x:c r="M1034" s="30" t="str">
        <x:v>Осуществить превращения пропен → X₁ → пропин → X₂ → X₃ → бензол.</x:v>
      </x:c>
      <x:c r="N1034" s="30" t="str">
        <x:v>1) CH₃–CH=CH₂+Br₂→CH₃–CHBr–CH₂Br.
2) CH₃–CHBr–CH₂Br+2KOH(спирт.)→CH₃–C≡CH+2KBr+2H₂O.
3) 3CH₃–C≡CH→1,3,5-C₆H₃(CH₃)₃ (C, t).
4) 1,3,5-C₆H₃(CH₃)₃+9[O]→C₆H₃(COOH)₃+3H₂O.
5) C₆H₃(COOH)₃+6NaOH→C₆H₆+3Na₂CO₃+3H₂O (CaO, t).</x:v>
      </x:c>
      <x:c r="O1034" s="30" t="str">
        <x:v>X₁=1,2-дибромпропан; X₂=мезитилен; X₃=бензол-1,3,5-трикарбоновая кислота.</x:v>
      </x:c>
      <x:c r="P1034" s="30" t="str">
        <x:v>Независимое развёрнутое решение</x:v>
      </x:c>
      <x:c r="Q1034" s="30"/>
      <x:c r="R1034" s="30" t="str">
        <x:v>PDF + независимая проверка</x:v>
      </x:c>
      <x:c r="S1034" s="30"/>
      <x:c r="T1034" s="30"/>
      <x:c r="U1034" s="30" t="str">
        <x:v>Расхождений не обнаружено.</x:v>
      </x:c>
      <x:c r="V1034" s="87" t="str">
        <x:v>VERIFIED</x:v>
      </x:c>
      <x:c r="W1034" s="87" t="str">
        <x:v>PDF варианта, внутренняя стр. 15</x:v>
      </x:c>
      <x:c r="X1034" s="87"/>
      <x:c r="Y1034" s="87"/>
      <x:c r="Z1034" s="87"/>
      <x:c r="AA1034" s="87"/>
      <x:c r="AB1034" s="87"/>
      <x:c r="AC1034" s="87"/>
      <x:c r="AD1034" s="87"/>
      <x:c r="AE1034" s="87"/>
      <x:c r="AF1034" s="87"/>
      <x:c r="AG1034" s="87"/>
      <x:c r="AH1034" s="87"/>
      <x:c r="AI1034" s="30"/>
      <x:c r="AJ1034" s="87" t="str">
        <x:v>master</x:v>
      </x:c>
      <x:c r="AK1034" s="87" t="str">
        <x:v>master-v0.81</x:v>
      </x:c>
      <x:c r="AL1034" s="87" t="str">
        <x:v>statgrad_master_base_v0_81_final(2).xlsx</x:v>
      </x:c>
      <x:c r="AM1034" s="87" t="str">
        <x:v>CHEM_Mar_V3</x:v>
      </x:c>
      <x:c r="AN1034" s="87" t="n">
        <x:v>33</x:v>
      </x:c>
    </x:row>
    <x:row r="1035">
      <x:c r="A1035" s="87" t="n">
        <x:v>1034</x:v>
      </x:c>
      <x:c r="B1035" s="87" t="str">
        <x:v>MAR-CHEM-V3-033</x:v>
      </x:c>
      <x:c r="C1035" s="87" t="str">
        <x:v>СтатГрад</x:v>
      </x:c>
      <x:c r="D1035" s="87" t="str">
        <x:v>Март 2026</x:v>
      </x:c>
      <x:c r="E1035" s="87"/>
      <x:c r="F1035" s="87"/>
      <x:c r="G1035" s="87" t="str">
        <x:v>Химия</x:v>
      </x:c>
      <x:c r="H1035" s="87" t="n">
        <x:v>11</x:v>
      </x:c>
      <x:c r="I1035" s="87" t="str">
        <x:v>ТР №4</x:v>
      </x:c>
      <x:c r="J1035" s="87" t="str">
        <x:v>ХИ2510403</x:v>
      </x:c>
      <x:c r="K1035" s="87" t="n">
        <x:v>33</x:v>
      </x:c>
      <x:c r="L1035" s="87" t="str">
        <x:v>Развёрнутый ответ: установление формулы</x:v>
      </x:c>
      <x:c r="M1035" s="30" t="str">
        <x:v>По продуктам сгорания установить жидкость A и реакцию с Al/KOH.</x:v>
      </x:c>
      <x:c r="N1035" s="30" t="str">
        <x:v>n(CO₂)=0,12; n(N₂)=0,03; n(H₂O)=0,15. Состав C₂H₅NO₂, M=75&lt;76.
Структура с фруктовым запахом и без основных свойств: CH₃–CH₂–O–N=O (этилнитрит).
CH₃CH₂ONO+2Al+2KOH+5H₂O→CH₃CH₂OH+NH₃+2K[Al(OH)₄].</x:v>
      </x:c>
      <x:c r="O1035" s="30" t="str">
        <x:v>Элементный состав, молярная масса и отсутствие основных свойств согласованы.</x:v>
      </x:c>
      <x:c r="P1035" s="30" t="str">
        <x:v>Независимое развёрнутое решение</x:v>
      </x:c>
      <x:c r="Q1035" s="30"/>
      <x:c r="R1035" s="30" t="str">
        <x:v>PDF + независимая проверка</x:v>
      </x:c>
      <x:c r="S1035" s="30"/>
      <x:c r="T1035" s="30"/>
      <x:c r="U1035" s="30" t="str">
        <x:v>Расхождений не обнаружено.</x:v>
      </x:c>
      <x:c r="V1035" s="87" t="str">
        <x:v>VERIFIED</x:v>
      </x:c>
      <x:c r="W1035" s="87" t="str">
        <x:v>PDF варианта, внутренняя стр. 16</x:v>
      </x:c>
      <x:c r="X1035" s="87"/>
      <x:c r="Y1035" s="87"/>
      <x:c r="Z1035" s="87"/>
      <x:c r="AA1035" s="87"/>
      <x:c r="AB1035" s="87"/>
      <x:c r="AC1035" s="87"/>
      <x:c r="AD1035" s="87"/>
      <x:c r="AE1035" s="87"/>
      <x:c r="AF1035" s="87"/>
      <x:c r="AG1035" s="87"/>
      <x:c r="AH1035" s="87"/>
      <x:c r="AI1035" s="30"/>
      <x:c r="AJ1035" s="87" t="str">
        <x:v>master</x:v>
      </x:c>
      <x:c r="AK1035" s="87" t="str">
        <x:v>master-v0.81</x:v>
      </x:c>
      <x:c r="AL1035" s="87" t="str">
        <x:v>statgrad_master_base_v0_81_final(2).xlsx</x:v>
      </x:c>
      <x:c r="AM1035" s="87" t="str">
        <x:v>CHEM_Mar_V3</x:v>
      </x:c>
      <x:c r="AN1035" s="87" t="n">
        <x:v>34</x:v>
      </x:c>
    </x:row>
    <x:row r="1036">
      <x:c r="A1036" s="87" t="n">
        <x:v>1035</x:v>
      </x:c>
      <x:c r="B1036" s="87" t="str">
        <x:v>MAR-CHEM-V3-034</x:v>
      </x:c>
      <x:c r="C1036" s="87" t="str">
        <x:v>СтатГрад</x:v>
      </x:c>
      <x:c r="D1036" s="87" t="str">
        <x:v>Март 2026</x:v>
      </x:c>
      <x:c r="E1036" s="87"/>
      <x:c r="F1036" s="87"/>
      <x:c r="G1036" s="87" t="str">
        <x:v>Химия</x:v>
      </x:c>
      <x:c r="H1036" s="87" t="n">
        <x:v>11</x:v>
      </x:c>
      <x:c r="I1036" s="87" t="str">
        <x:v>ТР №4</x:v>
      </x:c>
      <x:c r="J1036" s="87" t="str">
        <x:v>ХИ2510403</x:v>
      </x:c>
      <x:c r="K1036" s="87" t="n">
        <x:v>34</x:v>
      </x:c>
      <x:c r="L1036" s="87" t="str">
        <x:v>Развёрнутый ответ: расчёт смеси</x:v>
      </x:c>
      <x:c r="M1036" s="30" t="str">
        <x:v>Прокалить Cu₂(OH)₂CO₃, осушить газы, пропустить через C и 20 г 14%-го KOH; найти массовые доли.</x:v>
      </x:c>
      <x:c r="N1036" s="30" t="str">
        <x:v>Cu₂(OH)₂CO₃→2CuO+CO₂+H₂O.
Из 0,04 моль соли после осушки остаётся 0,04 моль CO₂. Уголь потерял 0,01 моль C: CO₂+C→2CO; осталось 0,03 моль CO₂.
0,05 моль KOH даёт 0,02 моль K₂CO₃ и 0,01 моль KHCO₃.
Масса раствора 21,32 г; w(K₂CO₃)=12,95%, w(KHCO₃)=4,69%.</x:v>
      </x:c>
      <x:c r="O1036" s="30" t="str">
        <x:v>CO не поглощается; баланс KOH и CO₂ проверен.</x:v>
      </x:c>
      <x:c r="P1036" s="30" t="str">
        <x:v>Независимое развёрнутое решение</x:v>
      </x:c>
      <x:c r="Q1036" s="30"/>
      <x:c r="R1036" s="30" t="str">
        <x:v>PDF + независимая проверка</x:v>
      </x:c>
      <x:c r="S1036" s="30"/>
      <x:c r="T1036" s="30"/>
      <x:c r="U1036" s="30" t="str">
        <x:v>Расхождений не обнаружено.</x:v>
      </x:c>
      <x:c r="V1036" s="87" t="str">
        <x:v>VERIFIED</x:v>
      </x:c>
      <x:c r="W1036" s="87" t="str">
        <x:v>PDF варианта, внутренняя стр. 16</x:v>
      </x:c>
      <x:c r="X1036" s="87"/>
      <x:c r="Y1036" s="87"/>
      <x:c r="Z1036" s="87"/>
      <x:c r="AA1036" s="87"/>
      <x:c r="AB1036" s="87"/>
      <x:c r="AC1036" s="87"/>
      <x:c r="AD1036" s="87"/>
      <x:c r="AE1036" s="87"/>
      <x:c r="AF1036" s="87"/>
      <x:c r="AG1036" s="87"/>
      <x:c r="AH1036" s="87"/>
      <x:c r="AI1036" s="30"/>
      <x:c r="AJ1036" s="87" t="str">
        <x:v>master</x:v>
      </x:c>
      <x:c r="AK1036" s="87" t="str">
        <x:v>master-v0.81</x:v>
      </x:c>
      <x:c r="AL1036" s="87" t="str">
        <x:v>statgrad_master_base_v0_81_final(2).xlsx</x:v>
      </x:c>
      <x:c r="AM1036" s="87" t="str">
        <x:v>CHEM_Mar_V3</x:v>
      </x:c>
      <x:c r="AN1036" s="87" t="n">
        <x:v>35</x:v>
      </x:c>
    </x:row>
    <x:row r="1037">
      <x:c r="A1037" s="87" t="n">
        <x:v>1036</x:v>
      </x:c>
      <x:c r="B1037" s="87" t="str">
        <x:v>MAR-CHEM-V4-001</x:v>
      </x:c>
      <x:c r="C1037" s="87" t="str">
        <x:v>СтатГрад</x:v>
      </x:c>
      <x:c r="D1037" s="87" t="str">
        <x:v>Март 2026</x:v>
      </x:c>
      <x:c r="E1037" s="87"/>
      <x:c r="F1037" s="87"/>
      <x:c r="G1037" s="87" t="str">
        <x:v>Химия</x:v>
      </x:c>
      <x:c r="H1037" s="87" t="n">
        <x:v>11</x:v>
      </x:c>
      <x:c r="I1037" s="87" t="str">
        <x:v>ТР №4</x:v>
      </x:c>
      <x:c r="J1037" s="87" t="str">
        <x:v>ХИ2510404</x:v>
      </x:c>
      <x:c r="K1037" s="87" t="n">
        <x:v>1</x:v>
      </x:c>
      <x:c r="L1037" s="87" t="str">
        <x:v>Строение атома и иона</x:v>
      </x:c>
      <x:c r="M1037" s="30" t="str">
        <x:v>Выбрать элементы, образующие катион +2 без неспаренных электронов.</x:v>
      </x:c>
      <x:c r="N1037" s="30" t="str">
        <x:v>14</x:v>
      </x:c>
      <x:c r="O1037" s="30" t="str">
        <x:v>Ca²⁺ и Pb²⁺ имеют конфигурации без неспаренных электронов.</x:v>
      </x:c>
      <x:c r="P1037" s="30" t="str">
        <x:v>Проверены электронные конфигурации катионов.</x:v>
      </x:c>
      <x:c r="Q1037" s="30"/>
      <x:c r="R1037" s="30" t="str">
        <x:v>Публичный ответ: 14</x:v>
      </x:c>
      <x:c r="S1037" s="30"/>
      <x:c r="T1037" s="30"/>
      <x:c r="U1037" s="30" t="str">
        <x:v>Расхождений не обнаружено.</x:v>
      </x:c>
      <x:c r="V1037" s="87" t="str">
        <x:v>VERIFIED</x:v>
      </x:c>
      <x:c r="W1037" s="87" t="str">
        <x:v>PDF варианта, внутренняя стр. 2</x:v>
      </x:c>
      <x:c r="X1037" s="87"/>
      <x:c r="Y1037" s="87"/>
      <x:c r="Z1037" s="87"/>
      <x:c r="AA1037" s="87"/>
      <x:c r="AB1037" s="87"/>
      <x:c r="AC1037" s="87"/>
      <x:c r="AD1037" s="87"/>
      <x:c r="AE1037" s="87"/>
      <x:c r="AF1037" s="87"/>
      <x:c r="AG1037" s="87"/>
      <x:c r="AH1037" s="87"/>
      <x:c r="AI1037" s="30"/>
      <x:c r="AJ1037" s="87" t="str">
        <x:v>master</x:v>
      </x:c>
      <x:c r="AK1037" s="87" t="str">
        <x:v>master-v0.81</x:v>
      </x:c>
      <x:c r="AL1037" s="87" t="str">
        <x:v>statgrad_master_base_v0_81_final(2).xlsx</x:v>
      </x:c>
      <x:c r="AM1037" s="87" t="str">
        <x:v>CHEM_Mar_V4</x:v>
      </x:c>
      <x:c r="AN1037" s="87" t="n">
        <x:v>2</x:v>
      </x:c>
    </x:row>
    <x:row r="1038">
      <x:c r="A1038" s="87" t="n">
        <x:v>1037</x:v>
      </x:c>
      <x:c r="B1038" s="87" t="str">
        <x:v>MAR-CHEM-V4-002</x:v>
      </x:c>
      <x:c r="C1038" s="87" t="str">
        <x:v>СтатГрад</x:v>
      </x:c>
      <x:c r="D1038" s="87" t="str">
        <x:v>Март 2026</x:v>
      </x:c>
      <x:c r="E1038" s="87"/>
      <x:c r="F1038" s="87"/>
      <x:c r="G1038" s="87" t="str">
        <x:v>Химия</x:v>
      </x:c>
      <x:c r="H1038" s="87" t="n">
        <x:v>11</x:v>
      </x:c>
      <x:c r="I1038" s="87" t="str">
        <x:v>ТР №4</x:v>
      </x:c>
      <x:c r="J1038" s="87" t="str">
        <x:v>ХИ2510404</x:v>
      </x:c>
      <x:c r="K1038" s="87" t="n">
        <x:v>2</x:v>
      </x:c>
      <x:c r="L1038" s="87" t="str">
        <x:v>Периодические свойства</x:v>
      </x:c>
      <x:c r="M1038" s="30" t="str">
        <x:v>Три металла расположить по усилению основных свойств высшего гидроксида.</x:v>
      </x:c>
      <x:c r="N1038" s="30" t="str">
        <x:v>341</x:v>
      </x:c>
      <x:c r="O1038" s="30" t="str">
        <x:v>Высшее соединение Mn(VII) кислотное; Pb(OH)₄ амфотерно; Ca(OH)₂ — основание.</x:v>
      </x:c>
      <x:c r="P1038" s="30" t="str">
        <x:v>Сопоставлены высшие степени окисления и кислотно-основные свойства.</x:v>
      </x:c>
      <x:c r="Q1038" s="30"/>
      <x:c r="R1038" s="30" t="str">
        <x:v>Публичный ответ: 341</x:v>
      </x:c>
      <x:c r="S1038" s="30"/>
      <x:c r="T1038" s="30"/>
      <x:c r="U1038" s="30" t="str">
        <x:v>Расхождений не обнаружено.</x:v>
      </x:c>
      <x:c r="V1038" s="87" t="str">
        <x:v>VERIFIED</x:v>
      </x:c>
      <x:c r="W1038" s="87" t="str">
        <x:v>PDF варианта, внутренняя стр. 2</x:v>
      </x:c>
      <x:c r="X1038" s="87"/>
      <x:c r="Y1038" s="87"/>
      <x:c r="Z1038" s="87"/>
      <x:c r="AA1038" s="87"/>
      <x:c r="AB1038" s="87"/>
      <x:c r="AC1038" s="87"/>
      <x:c r="AD1038" s="87"/>
      <x:c r="AE1038" s="87"/>
      <x:c r="AF1038" s="87"/>
      <x:c r="AG1038" s="87"/>
      <x:c r="AH1038" s="87"/>
      <x:c r="AI1038" s="30"/>
      <x:c r="AJ1038" s="87" t="str">
        <x:v>master</x:v>
      </x:c>
      <x:c r="AK1038" s="87" t="str">
        <x:v>master-v0.81</x:v>
      </x:c>
      <x:c r="AL1038" s="87" t="str">
        <x:v>statgrad_master_base_v0_81_final(2).xlsx</x:v>
      </x:c>
      <x:c r="AM1038" s="87" t="str">
        <x:v>CHEM_Mar_V4</x:v>
      </x:c>
      <x:c r="AN1038" s="87" t="n">
        <x:v>3</x:v>
      </x:c>
    </x:row>
    <x:row r="1039">
      <x:c r="A1039" s="87" t="n">
        <x:v>1038</x:v>
      </x:c>
      <x:c r="B1039" s="87" t="str">
        <x:v>MAR-CHEM-V4-003</x:v>
      </x:c>
      <x:c r="C1039" s="87" t="str">
        <x:v>СтатГрад</x:v>
      </x:c>
      <x:c r="D1039" s="87" t="str">
        <x:v>Март 2026</x:v>
      </x:c>
      <x:c r="E1039" s="87"/>
      <x:c r="F1039" s="87"/>
      <x:c r="G1039" s="87" t="str">
        <x:v>Химия</x:v>
      </x:c>
      <x:c r="H1039" s="87" t="n">
        <x:v>11</x:v>
      </x:c>
      <x:c r="I1039" s="87" t="str">
        <x:v>ТР №4</x:v>
      </x:c>
      <x:c r="J1039" s="87" t="str">
        <x:v>ХИ2510404</x:v>
      </x:c>
      <x:c r="K1039" s="87" t="n">
        <x:v>3</x:v>
      </x:c>
      <x:c r="L1039" s="87" t="str">
        <x:v>Степени окисления</x:v>
      </x:c>
      <x:c r="M1039" s="30" t="str">
        <x:v>Выбрать элементы, способные иметь степень окисления +6.</x:v>
      </x:c>
      <x:c r="N1039" s="30" t="str">
        <x:v>35</x:v>
      </x:c>
      <x:c r="O1039" s="30" t="str">
        <x:v>Mn и Xe образуют соединения со степенью окисления +6.</x:v>
      </x:c>
      <x:c r="P1039" s="30" t="str">
        <x:v>Проверены известные устойчивые соединения Mn(VI) и Xe(VI).</x:v>
      </x:c>
      <x:c r="Q1039" s="30"/>
      <x:c r="R1039" s="30" t="str">
        <x:v>Публичный ответ: 35</x:v>
      </x:c>
      <x:c r="S1039" s="30"/>
      <x:c r="T1039" s="30"/>
      <x:c r="U1039" s="30" t="str">
        <x:v>Расхождений не обнаружено.</x:v>
      </x:c>
      <x:c r="V1039" s="87" t="str">
        <x:v>VERIFIED</x:v>
      </x:c>
      <x:c r="W1039" s="87" t="str">
        <x:v>PDF варианта, внутренняя стр. 2</x:v>
      </x:c>
      <x:c r="X1039" s="87"/>
      <x:c r="Y1039" s="87"/>
      <x:c r="Z1039" s="87"/>
      <x:c r="AA1039" s="87"/>
      <x:c r="AB1039" s="87"/>
      <x:c r="AC1039" s="87"/>
      <x:c r="AD1039" s="87"/>
      <x:c r="AE1039" s="87"/>
      <x:c r="AF1039" s="87"/>
      <x:c r="AG1039" s="87"/>
      <x:c r="AH1039" s="87"/>
      <x:c r="AI1039" s="30"/>
      <x:c r="AJ1039" s="87" t="str">
        <x:v>master</x:v>
      </x:c>
      <x:c r="AK1039" s="87" t="str">
        <x:v>master-v0.81</x:v>
      </x:c>
      <x:c r="AL1039" s="87" t="str">
        <x:v>statgrad_master_base_v0_81_final(2).xlsx</x:v>
      </x:c>
      <x:c r="AM1039" s="87" t="str">
        <x:v>CHEM_Mar_V4</x:v>
      </x:c>
      <x:c r="AN1039" s="87" t="n">
        <x:v>4</x:v>
      </x:c>
    </x:row>
    <x:row r="1040">
      <x:c r="A1040" s="87" t="n">
        <x:v>1039</x:v>
      </x:c>
      <x:c r="B1040" s="87" t="str">
        <x:v>MAR-CHEM-V4-004</x:v>
      </x:c>
      <x:c r="C1040" s="87" t="str">
        <x:v>СтатГрад</x:v>
      </x:c>
      <x:c r="D1040" s="87" t="str">
        <x:v>Март 2026</x:v>
      </x:c>
      <x:c r="E1040" s="87"/>
      <x:c r="F1040" s="87"/>
      <x:c r="G1040" s="87" t="str">
        <x:v>Химия</x:v>
      </x:c>
      <x:c r="H1040" s="87" t="n">
        <x:v>11</x:v>
      </x:c>
      <x:c r="I1040" s="87" t="str">
        <x:v>ТР №4</x:v>
      </x:c>
      <x:c r="J1040" s="87" t="str">
        <x:v>ХИ2510404</x:v>
      </x:c>
      <x:c r="K1040" s="87" t="n">
        <x:v>4</x:v>
      </x:c>
      <x:c r="L1040" s="87" t="str">
        <x:v>Химическая связь</x:v>
      </x:c>
      <x:c r="M1040" s="30" t="str">
        <x:v>Выбрать вещества, в которых все связи ковалентные.</x:v>
      </x:c>
      <x:c r="N1040" s="30" t="str">
        <x:v>23</x:v>
      </x:c>
      <x:c r="O1040" s="30" t="str">
        <x:v>Алмаз и SiO₂ имеют атомные ковалентные решётки.</x:v>
      </x:c>
      <x:c r="P1040" s="30" t="str">
        <x:v>Проверены типы связей и решёток.</x:v>
      </x:c>
      <x:c r="Q1040" s="30"/>
      <x:c r="R1040" s="30" t="str">
        <x:v>Публичный ответ: 23</x:v>
      </x:c>
      <x:c r="S1040" s="30"/>
      <x:c r="T1040" s="30"/>
      <x:c r="U1040" s="30" t="str">
        <x:v>Расхождений не обнаружено.</x:v>
      </x:c>
      <x:c r="V1040" s="87" t="str">
        <x:v>VERIFIED</x:v>
      </x:c>
      <x:c r="W1040" s="87" t="str">
        <x:v>PDF варианта, внутренняя стр. 3</x:v>
      </x:c>
      <x:c r="X1040" s="87"/>
      <x:c r="Y1040" s="87"/>
      <x:c r="Z1040" s="87"/>
      <x:c r="AA1040" s="87"/>
      <x:c r="AB1040" s="87"/>
      <x:c r="AC1040" s="87"/>
      <x:c r="AD1040" s="87"/>
      <x:c r="AE1040" s="87"/>
      <x:c r="AF1040" s="87"/>
      <x:c r="AG1040" s="87"/>
      <x:c r="AH1040" s="87"/>
      <x:c r="AI1040" s="30"/>
      <x:c r="AJ1040" s="87" t="str">
        <x:v>master</x:v>
      </x:c>
      <x:c r="AK1040" s="87" t="str">
        <x:v>master-v0.81</x:v>
      </x:c>
      <x:c r="AL1040" s="87" t="str">
        <x:v>statgrad_master_base_v0_81_final(2).xlsx</x:v>
      </x:c>
      <x:c r="AM1040" s="87" t="str">
        <x:v>CHEM_Mar_V4</x:v>
      </x:c>
      <x:c r="AN1040" s="87" t="n">
        <x:v>5</x:v>
      </x:c>
    </x:row>
    <x:row r="1041">
      <x:c r="A1041" s="87" t="n">
        <x:v>1040</x:v>
      </x:c>
      <x:c r="B1041" s="87" t="str">
        <x:v>MAR-CHEM-V4-005</x:v>
      </x:c>
      <x:c r="C1041" s="87" t="str">
        <x:v>СтатГрад</x:v>
      </x:c>
      <x:c r="D1041" s="87" t="str">
        <x:v>Март 2026</x:v>
      </x:c>
      <x:c r="E1041" s="87"/>
      <x:c r="F1041" s="87"/>
      <x:c r="G1041" s="87" t="str">
        <x:v>Химия</x:v>
      </x:c>
      <x:c r="H1041" s="87" t="n">
        <x:v>11</x:v>
      </x:c>
      <x:c r="I1041" s="87" t="str">
        <x:v>ТР №4</x:v>
      </x:c>
      <x:c r="J1041" s="87" t="str">
        <x:v>ХИ2510404</x:v>
      </x:c>
      <x:c r="K1041" s="87" t="n">
        <x:v>5</x:v>
      </x:c>
      <x:c r="L1041" s="87" t="str">
        <x:v>Классификация веществ</x:v>
      </x:c>
      <x:c r="M1041" s="30" t="str">
        <x:v>Определить амфотерный оксид, одноосновную кислоту и двойную соль.</x:v>
      </x:c>
      <x:c r="N1041" s="30" t="str">
        <x:v>872</x:v>
      </x:c>
      <x:c r="O1041" s="30" t="str">
        <x:v>ZnO — амфотерный оксид; HIO₃ — одноосновная кислота; алюмокалиевые квасцы — двойная соль.</x:v>
      </x:c>
      <x:c r="P1041" s="30" t="str">
        <x:v>Классификация проверена по составу веществ.</x:v>
      </x:c>
      <x:c r="Q1041" s="30"/>
      <x:c r="R1041" s="30" t="str">
        <x:v>Публичный ответ: 872</x:v>
      </x:c>
      <x:c r="S1041" s="30"/>
      <x:c r="T1041" s="30"/>
      <x:c r="U1041" s="30" t="str">
        <x:v>Расхождений не обнаружено.</x:v>
      </x:c>
      <x:c r="V1041" s="87" t="str">
        <x:v>VERIFIED</x:v>
      </x:c>
      <x:c r="W1041" s="87" t="str">
        <x:v>PDF варианта, внутренняя стр. 3</x:v>
      </x:c>
      <x:c r="X1041" s="87"/>
      <x:c r="Y1041" s="87"/>
      <x:c r="Z1041" s="87"/>
      <x:c r="AA1041" s="87"/>
      <x:c r="AB1041" s="87"/>
      <x:c r="AC1041" s="87"/>
      <x:c r="AD1041" s="87"/>
      <x:c r="AE1041" s="87"/>
      <x:c r="AF1041" s="87"/>
      <x:c r="AG1041" s="87"/>
      <x:c r="AH1041" s="87"/>
      <x:c r="AI1041" s="30"/>
      <x:c r="AJ1041" s="87" t="str">
        <x:v>master</x:v>
      </x:c>
      <x:c r="AK1041" s="87" t="str">
        <x:v>master-v0.81</x:v>
      </x:c>
      <x:c r="AL1041" s="87" t="str">
        <x:v>statgrad_master_base_v0_81_final(2).xlsx</x:v>
      </x:c>
      <x:c r="AM1041" s="87" t="str">
        <x:v>CHEM_Mar_V4</x:v>
      </x:c>
      <x:c r="AN1041" s="87" t="n">
        <x:v>6</x:v>
      </x:c>
    </x:row>
    <x:row r="1042">
      <x:c r="A1042" s="87" t="n">
        <x:v>1041</x:v>
      </x:c>
      <x:c r="B1042" s="87" t="str">
        <x:v>MAR-CHEM-V4-006</x:v>
      </x:c>
      <x:c r="C1042" s="87" t="str">
        <x:v>СтатГрад</x:v>
      </x:c>
      <x:c r="D1042" s="87" t="str">
        <x:v>Март 2026</x:v>
      </x:c>
      <x:c r="E1042" s="87"/>
      <x:c r="F1042" s="87"/>
      <x:c r="G1042" s="87" t="str">
        <x:v>Химия</x:v>
      </x:c>
      <x:c r="H1042" s="87" t="n">
        <x:v>11</x:v>
      </x:c>
      <x:c r="I1042" s="87" t="str">
        <x:v>ТР №4</x:v>
      </x:c>
      <x:c r="J1042" s="87" t="str">
        <x:v>ХИ2510404</x:v>
      </x:c>
      <x:c r="K1042" s="87" t="n">
        <x:v>6</x:v>
      </x:c>
      <x:c r="L1042" s="87" t="str">
        <x:v>Качественные реакции</x:v>
      </x:c>
      <x:c r="M1042" s="30" t="str">
        <x:v>Для AgNO₃ подобрать реагент жёлтого осадка и реагент, в избытке растворяющий тёмный осадок.</x:v>
      </x:c>
      <x:c r="N1042" s="30" t="str">
        <x:v>52</x:v>
      </x:c>
      <x:c r="O1042" s="30" t="str">
        <x:v>KI образует AgI↓; NH₃ сначала даёт Ag₂O, затем растворяет его с образованием [Ag(NH₃)₂]⁺.</x:v>
      </x:c>
      <x:c r="P1042" s="30" t="str">
        <x:v>Уравнения осаждения и комплексообразования проверены.</x:v>
      </x:c>
      <x:c r="Q1042" s="30"/>
      <x:c r="R1042" s="30" t="str">
        <x:v>Публичный ответ: 52</x:v>
      </x:c>
      <x:c r="S1042" s="30"/>
      <x:c r="T1042" s="30"/>
      <x:c r="U1042" s="30" t="str">
        <x:v>Расхождений не обнаружено.</x:v>
      </x:c>
      <x:c r="V1042" s="87" t="str">
        <x:v>VERIFIED</x:v>
      </x:c>
      <x:c r="W1042" s="87" t="str">
        <x:v>PDF варианта, внутренняя стр. 4</x:v>
      </x:c>
      <x:c r="X1042" s="87"/>
      <x:c r="Y1042" s="87"/>
      <x:c r="Z1042" s="87"/>
      <x:c r="AA1042" s="87"/>
      <x:c r="AB1042" s="87"/>
      <x:c r="AC1042" s="87"/>
      <x:c r="AD1042" s="87"/>
      <x:c r="AE1042" s="87"/>
      <x:c r="AF1042" s="87"/>
      <x:c r="AG1042" s="87"/>
      <x:c r="AH1042" s="87"/>
      <x:c r="AI1042" s="30"/>
      <x:c r="AJ1042" s="87" t="str">
        <x:v>master</x:v>
      </x:c>
      <x:c r="AK1042" s="87" t="str">
        <x:v>master-v0.81</x:v>
      </x:c>
      <x:c r="AL1042" s="87" t="str">
        <x:v>statgrad_master_base_v0_81_final(2).xlsx</x:v>
      </x:c>
      <x:c r="AM1042" s="87" t="str">
        <x:v>CHEM_Mar_V4</x:v>
      </x:c>
      <x:c r="AN1042" s="87" t="n">
        <x:v>7</x:v>
      </x:c>
    </x:row>
    <x:row r="1043">
      <x:c r="A1043" s="87" t="n">
        <x:v>1042</x:v>
      </x:c>
      <x:c r="B1043" s="87" t="str">
        <x:v>MAR-CHEM-V4-007</x:v>
      </x:c>
      <x:c r="C1043" s="87" t="str">
        <x:v>СтатГрад</x:v>
      </x:c>
      <x:c r="D1043" s="87" t="str">
        <x:v>Март 2026</x:v>
      </x:c>
      <x:c r="E1043" s="87"/>
      <x:c r="F1043" s="87"/>
      <x:c r="G1043" s="87" t="str">
        <x:v>Химия</x:v>
      </x:c>
      <x:c r="H1043" s="87" t="n">
        <x:v>11</x:v>
      </x:c>
      <x:c r="I1043" s="87" t="str">
        <x:v>ТР №4</x:v>
      </x:c>
      <x:c r="J1043" s="87" t="str">
        <x:v>ХИ2510404</x:v>
      </x:c>
      <x:c r="K1043" s="87" t="n">
        <x:v>7</x:v>
      </x:c>
      <x:c r="L1043" s="87" t="str">
        <x:v>Неорганические свойства</x:v>
      </x:c>
      <x:c r="M1043" s="30" t="str">
        <x:v>Соотнести P, Mg, BeO и Cu(NO₃)₂ с наборами реагентов.</x:v>
      </x:c>
      <x:c r="N1043" s="30" t="str">
        <x:v>5123</x:v>
      </x:c>
      <x:c r="O1043" s="30" t="str">
        <x:v>P реагирует с Ca, Cl₂ и KOH; Mg — с Br₂, CO₂ и H₂SO₄; BeO — с C, KOH и HCl; Cu(NO₃)₂ — с Zn, NaOH и (NH₄)₂CO₃.</x:v>
      </x:c>
      <x:c r="P1043" s="30" t="str">
        <x:v>Для каждой позиции проверены все три реакции.</x:v>
      </x:c>
      <x:c r="Q1043" s="30"/>
      <x:c r="R1043" s="30" t="str">
        <x:v>Публичный ответ: 5123</x:v>
      </x:c>
      <x:c r="S1043" s="30"/>
      <x:c r="T1043" s="30"/>
      <x:c r="U1043" s="30" t="str">
        <x:v>Расхождений не обнаружено.</x:v>
      </x:c>
      <x:c r="V1043" s="87" t="str">
        <x:v>VERIFIED</x:v>
      </x:c>
      <x:c r="W1043" s="87" t="str">
        <x:v>PDF варианта, внутренняя стр. 4</x:v>
      </x:c>
      <x:c r="X1043" s="87"/>
      <x:c r="Y1043" s="87"/>
      <x:c r="Z1043" s="87"/>
      <x:c r="AA1043" s="87"/>
      <x:c r="AB1043" s="87"/>
      <x:c r="AC1043" s="87"/>
      <x:c r="AD1043" s="87"/>
      <x:c r="AE1043" s="87"/>
      <x:c r="AF1043" s="87"/>
      <x:c r="AG1043" s="87"/>
      <x:c r="AH1043" s="87"/>
      <x:c r="AI1043" s="30"/>
      <x:c r="AJ1043" s="87" t="str">
        <x:v>master</x:v>
      </x:c>
      <x:c r="AK1043" s="87" t="str">
        <x:v>master-v0.81</x:v>
      </x:c>
      <x:c r="AL1043" s="87" t="str">
        <x:v>statgrad_master_base_v0_81_final(2).xlsx</x:v>
      </x:c>
      <x:c r="AM1043" s="87" t="str">
        <x:v>CHEM_Mar_V4</x:v>
      </x:c>
      <x:c r="AN1043" s="87" t="n">
        <x:v>8</x:v>
      </x:c>
    </x:row>
    <x:row r="1044">
      <x:c r="A1044" s="87" t="n">
        <x:v>1043</x:v>
      </x:c>
      <x:c r="B1044" s="87" t="str">
        <x:v>MAR-CHEM-V4-008</x:v>
      </x:c>
      <x:c r="C1044" s="87" t="str">
        <x:v>СтатГрад</x:v>
      </x:c>
      <x:c r="D1044" s="87" t="str">
        <x:v>Март 2026</x:v>
      </x:c>
      <x:c r="E1044" s="87"/>
      <x:c r="F1044" s="87"/>
      <x:c r="G1044" s="87" t="str">
        <x:v>Химия</x:v>
      </x:c>
      <x:c r="H1044" s="87" t="n">
        <x:v>11</x:v>
      </x:c>
      <x:c r="I1044" s="87" t="str">
        <x:v>ТР №4</x:v>
      </x:c>
      <x:c r="J1044" s="87" t="str">
        <x:v>ХИ2510404</x:v>
      </x:c>
      <x:c r="K1044" s="87" t="n">
        <x:v>8</x:v>
      </x:c>
      <x:c r="L1044" s="87" t="str">
        <x:v>Цепочки неорганических реакций</x:v>
      </x:c>
      <x:c r="M1044" s="30" t="str">
        <x:v>Соотнести реакции соединений марганца с наборами продуктов.</x:v>
      </x:c>
      <x:c r="N1044" s="30" t="str">
        <x:v>5416</x:v>
      </x:c>
      <x:c r="O1044" s="30" t="str">
        <x:v>KMnO₄ с HCl даёт MnCl₂ и Cl₂; MnO₂ в щёлочи с Cl₂ окисляется до KMnO₄; Mn с HCl даёт H₂; MnO₂ с HCl — Cl₂.</x:v>
      </x:c>
      <x:c r="P1044" s="30" t="str">
        <x:v>Все четыре уравнения проверены по степеням окисления.</x:v>
      </x:c>
      <x:c r="Q1044" s="30"/>
      <x:c r="R1044" s="30" t="str">
        <x:v>PDF + независимая проверка</x:v>
      </x:c>
      <x:c r="S1044" s="30"/>
      <x:c r="T1044" s="30"/>
      <x:c r="U1044" s="30" t="str">
        <x:v>Расхождений не обнаружено.</x:v>
      </x:c>
      <x:c r="V1044" s="87" t="str">
        <x:v>VERIFIED</x:v>
      </x:c>
      <x:c r="W1044" s="87" t="str">
        <x:v>PDF варианта, внутренняя стр. 5</x:v>
      </x:c>
      <x:c r="X1044" s="87"/>
      <x:c r="Y1044" s="87"/>
      <x:c r="Z1044" s="87"/>
      <x:c r="AA1044" s="87"/>
      <x:c r="AB1044" s="87"/>
      <x:c r="AC1044" s="87"/>
      <x:c r="AD1044" s="87"/>
      <x:c r="AE1044" s="87"/>
      <x:c r="AF1044" s="87"/>
      <x:c r="AG1044" s="87"/>
      <x:c r="AH1044" s="87"/>
      <x:c r="AI1044" s="30"/>
      <x:c r="AJ1044" s="87" t="str">
        <x:v>master</x:v>
      </x:c>
      <x:c r="AK1044" s="87" t="str">
        <x:v>master-v0.81</x:v>
      </x:c>
      <x:c r="AL1044" s="87" t="str">
        <x:v>statgrad_master_base_v0_81_final(2).xlsx</x:v>
      </x:c>
      <x:c r="AM1044" s="87" t="str">
        <x:v>CHEM_Mar_V4</x:v>
      </x:c>
      <x:c r="AN1044" s="87" t="n">
        <x:v>9</x:v>
      </x:c>
    </x:row>
    <x:row r="1045">
      <x:c r="A1045" s="87" t="n">
        <x:v>1044</x:v>
      </x:c>
      <x:c r="B1045" s="87" t="str">
        <x:v>MAR-CHEM-V4-009</x:v>
      </x:c>
      <x:c r="C1045" s="87" t="str">
        <x:v>СтатГрад</x:v>
      </x:c>
      <x:c r="D1045" s="87" t="str">
        <x:v>Март 2026</x:v>
      </x:c>
      <x:c r="E1045" s="87"/>
      <x:c r="F1045" s="87"/>
      <x:c r="G1045" s="87" t="str">
        <x:v>Химия</x:v>
      </x:c>
      <x:c r="H1045" s="87" t="n">
        <x:v>11</x:v>
      </x:c>
      <x:c r="I1045" s="87" t="str">
        <x:v>ТР №4</x:v>
      </x:c>
      <x:c r="J1045" s="87" t="str">
        <x:v>ХИ2510404</x:v>
      </x:c>
      <x:c r="K1045" s="87" t="n">
        <x:v>9</x:v>
      </x:c>
      <x:c r="L1045" s="87" t="str">
        <x:v>Цепочка превращений</x:v>
      </x:c>
      <x:c r="M1045" s="30" t="str">
        <x:v>Определить X и Y в цепи X + HCl → NH₄Cl; NH₄Cl + Y, t → N₂.</x:v>
      </x:c>
      <x:c r="N1045" s="30" t="str">
        <x:v>53</x:v>
      </x:c>
      <x:c r="O1045" s="30" t="str">
        <x:v>X = (NH₄)₂S; Y = KNO₂.</x:v>
      </x:c>
      <x:c r="P1045" s="30" t="str">
        <x:v>(NH₄)₂S+2HCl→2NH₄Cl+H₂S; NH₄Cl+KNO₂→N₂+KCl+2H₂O.</x:v>
      </x:c>
      <x:c r="Q1045" s="30"/>
      <x:c r="R1045" s="30" t="str">
        <x:v>PDF + независимая проверка</x:v>
      </x:c>
      <x:c r="S1045" s="30"/>
      <x:c r="T1045" s="30"/>
      <x:c r="U1045" s="30" t="str">
        <x:v>Расхождений не обнаружено.</x:v>
      </x:c>
      <x:c r="V1045" s="87" t="str">
        <x:v>VERIFIED</x:v>
      </x:c>
      <x:c r="W1045" s="87" t="str">
        <x:v>PDF варианта, внутренняя стр. 5</x:v>
      </x:c>
      <x:c r="X1045" s="87"/>
      <x:c r="Y1045" s="87"/>
      <x:c r="Z1045" s="87"/>
      <x:c r="AA1045" s="87"/>
      <x:c r="AB1045" s="87"/>
      <x:c r="AC1045" s="87"/>
      <x:c r="AD1045" s="87"/>
      <x:c r="AE1045" s="87"/>
      <x:c r="AF1045" s="87"/>
      <x:c r="AG1045" s="87"/>
      <x:c r="AH1045" s="87"/>
      <x:c r="AI1045" s="30"/>
      <x:c r="AJ1045" s="87" t="str">
        <x:v>master</x:v>
      </x:c>
      <x:c r="AK1045" s="87" t="str">
        <x:v>master-v0.81</x:v>
      </x:c>
      <x:c r="AL1045" s="87" t="str">
        <x:v>statgrad_master_base_v0_81_final(2).xlsx</x:v>
      </x:c>
      <x:c r="AM1045" s="87" t="str">
        <x:v>CHEM_Mar_V4</x:v>
      </x:c>
      <x:c r="AN1045" s="87" t="n">
        <x:v>10</x:v>
      </x:c>
    </x:row>
    <x:row r="1046">
      <x:c r="A1046" s="87" t="n">
        <x:v>1045</x:v>
      </x:c>
      <x:c r="B1046" s="87" t="str">
        <x:v>MAR-CHEM-V4-010</x:v>
      </x:c>
      <x:c r="C1046" s="87" t="str">
        <x:v>СтатГрад</x:v>
      </x:c>
      <x:c r="D1046" s="87" t="str">
        <x:v>Март 2026</x:v>
      </x:c>
      <x:c r="E1046" s="87"/>
      <x:c r="F1046" s="87"/>
      <x:c r="G1046" s="87" t="str">
        <x:v>Химия</x:v>
      </x:c>
      <x:c r="H1046" s="87" t="n">
        <x:v>11</x:v>
      </x:c>
      <x:c r="I1046" s="87" t="str">
        <x:v>ТР №4</x:v>
      </x:c>
      <x:c r="J1046" s="87" t="str">
        <x:v>ХИ2510404</x:v>
      </x:c>
      <x:c r="K1046" s="87" t="n">
        <x:v>10</x:v>
      </x:c>
      <x:c r="L1046" s="87" t="str">
        <x:v>Органические классы</x:v>
      </x:c>
      <x:c r="M1046" s="30" t="str">
        <x:v>Соотнести общие формулы с этилформиатом, диэтиловым эфиром и 4-метиланилином.</x:v>
      </x:c>
      <x:c r="N1046" s="30" t="str">
        <x:v>213</x:v>
      </x:c>
      <x:c r="O1046" s="30" t="str">
        <x:v>Диэтиловый эфир соответствует CₙH₂ₙ₊₂O, этилформиат — CₙH₂ₙO₂, 4-метиланилин — CₙH₂ₙ₋₅N.</x:v>
      </x:c>
      <x:c r="P1046" s="30" t="str">
        <x:v>Формулы пересчитаны по структурам.</x:v>
      </x:c>
      <x:c r="Q1046" s="30"/>
      <x:c r="R1046" s="30" t="str">
        <x:v>Публичный ответ: 213</x:v>
      </x:c>
      <x:c r="S1046" s="30"/>
      <x:c r="T1046" s="30"/>
      <x:c r="U1046" s="30" t="str">
        <x:v>Расхождений не обнаружено.</x:v>
      </x:c>
      <x:c r="V1046" s="87" t="str">
        <x:v>VERIFIED</x:v>
      </x:c>
      <x:c r="W1046" s="87" t="str">
        <x:v>PDF варианта, внутренняя стр. 6</x:v>
      </x:c>
      <x:c r="X1046" s="87"/>
      <x:c r="Y1046" s="87"/>
      <x:c r="Z1046" s="87"/>
      <x:c r="AA1046" s="87"/>
      <x:c r="AB1046" s="87"/>
      <x:c r="AC1046" s="87"/>
      <x:c r="AD1046" s="87"/>
      <x:c r="AE1046" s="87"/>
      <x:c r="AF1046" s="87"/>
      <x:c r="AG1046" s="87"/>
      <x:c r="AH1046" s="87"/>
      <x:c r="AI1046" s="30"/>
      <x:c r="AJ1046" s="87" t="str">
        <x:v>master</x:v>
      </x:c>
      <x:c r="AK1046" s="87" t="str">
        <x:v>master-v0.81</x:v>
      </x:c>
      <x:c r="AL1046" s="87" t="str">
        <x:v>statgrad_master_base_v0_81_final(2).xlsx</x:v>
      </x:c>
      <x:c r="AM1046" s="87" t="str">
        <x:v>CHEM_Mar_V4</x:v>
      </x:c>
      <x:c r="AN1046" s="87" t="n">
        <x:v>11</x:v>
      </x:c>
    </x:row>
    <x:row r="1047">
      <x:c r="A1047" s="87" t="n">
        <x:v>1046</x:v>
      </x:c>
      <x:c r="B1047" s="87" t="str">
        <x:v>MAR-CHEM-V4-011</x:v>
      </x:c>
      <x:c r="C1047" s="87" t="str">
        <x:v>СтатГрад</x:v>
      </x:c>
      <x:c r="D1047" s="87" t="str">
        <x:v>Март 2026</x:v>
      </x:c>
      <x:c r="E1047" s="87"/>
      <x:c r="F1047" s="87"/>
      <x:c r="G1047" s="87" t="str">
        <x:v>Химия</x:v>
      </x:c>
      <x:c r="H1047" s="87" t="n">
        <x:v>11</x:v>
      </x:c>
      <x:c r="I1047" s="87" t="str">
        <x:v>ТР №4</x:v>
      </x:c>
      <x:c r="J1047" s="87" t="str">
        <x:v>ХИ2510404</x:v>
      </x:c>
      <x:c r="K1047" s="87" t="n">
        <x:v>11</x:v>
      </x:c>
      <x:c r="L1047" s="87" t="str">
        <x:v>Изомерия</x:v>
      </x:c>
      <x:c r="M1047" s="30" t="str">
        <x:v>Выбрать структурные изомеры циклопентена.</x:v>
      </x:c>
      <x:c r="N1047" s="30" t="str">
        <x:v>34</x:v>
      </x:c>
      <x:c r="O1047" s="30" t="str">
        <x:v>Пентин-1 и 2-метилбутадиен-1,3 имеют формулу C₅H₈.</x:v>
      </x:c>
      <x:c r="P1047" s="30" t="str">
        <x:v>Формулы всех вариантов проверены.</x:v>
      </x:c>
      <x:c r="Q1047" s="30"/>
      <x:c r="R1047" s="30" t="str">
        <x:v>Публичный ответ: 34</x:v>
      </x:c>
      <x:c r="S1047" s="30"/>
      <x:c r="T1047" s="30"/>
      <x:c r="U1047" s="30" t="str">
        <x:v>Расхождений не обнаружено.</x:v>
      </x:c>
      <x:c r="V1047" s="87" t="str">
        <x:v>VERIFIED</x:v>
      </x:c>
      <x:c r="W1047" s="87" t="str">
        <x:v>PDF варианта, внутренняя стр. 6</x:v>
      </x:c>
      <x:c r="X1047" s="87"/>
      <x:c r="Y1047" s="87"/>
      <x:c r="Z1047" s="87"/>
      <x:c r="AA1047" s="87"/>
      <x:c r="AB1047" s="87"/>
      <x:c r="AC1047" s="87"/>
      <x:c r="AD1047" s="87"/>
      <x:c r="AE1047" s="87"/>
      <x:c r="AF1047" s="87"/>
      <x:c r="AG1047" s="87"/>
      <x:c r="AH1047" s="87"/>
      <x:c r="AI1047" s="30"/>
      <x:c r="AJ1047" s="87" t="str">
        <x:v>master</x:v>
      </x:c>
      <x:c r="AK1047" s="87" t="str">
        <x:v>master-v0.81</x:v>
      </x:c>
      <x:c r="AL1047" s="87" t="str">
        <x:v>statgrad_master_base_v0_81_final(2).xlsx</x:v>
      </x:c>
      <x:c r="AM1047" s="87" t="str">
        <x:v>CHEM_Mar_V4</x:v>
      </x:c>
      <x:c r="AN1047" s="87" t="n">
        <x:v>12</x:v>
      </x:c>
    </x:row>
    <x:row r="1048">
      <x:c r="A1048" s="87" t="n">
        <x:v>1047</x:v>
      </x:c>
      <x:c r="B1048" s="87" t="str">
        <x:v>MAR-CHEM-V4-012</x:v>
      </x:c>
      <x:c r="C1048" s="87" t="str">
        <x:v>СтатГрад</x:v>
      </x:c>
      <x:c r="D1048" s="87" t="str">
        <x:v>Март 2026</x:v>
      </x:c>
      <x:c r="E1048" s="87"/>
      <x:c r="F1048" s="87"/>
      <x:c r="G1048" s="87" t="str">
        <x:v>Химия</x:v>
      </x:c>
      <x:c r="H1048" s="87" t="n">
        <x:v>11</x:v>
      </x:c>
      <x:c r="I1048" s="87" t="str">
        <x:v>ТР №4</x:v>
      </x:c>
      <x:c r="J1048" s="87" t="str">
        <x:v>ХИ2510404</x:v>
      </x:c>
      <x:c r="K1048" s="87" t="n">
        <x:v>12</x:v>
      </x:c>
      <x:c r="L1048" s="87" t="str">
        <x:v>Свойства органических веществ</x:v>
      </x:c>
      <x:c r="M1048" s="30" t="str">
        <x:v>Выбрать реагенты, с которыми реагирует муравьиная кислота, но не этанол.</x:v>
      </x:c>
      <x:c r="N1048" s="30" t="str">
        <x:v>123</x:v>
      </x:c>
      <x:c r="O1048" s="30" t="str">
        <x:v>HCOOH реагирует с Cu(OH)₂, NaHCO₃ и Br₂(водн.); этанол в указанных условиях — нет.</x:v>
      </x:c>
      <x:c r="P1048" s="30" t="str">
        <x:v>Проверены кислотные и восстановительные свойства HCOOH.</x:v>
      </x:c>
      <x:c r="Q1048" s="30"/>
      <x:c r="R1048" s="30" t="str">
        <x:v>Публичный ответ: 123</x:v>
      </x:c>
      <x:c r="S1048" s="30"/>
      <x:c r="T1048" s="30"/>
      <x:c r="U1048" s="30" t="str">
        <x:v>Расхождений не обнаружено.</x:v>
      </x:c>
      <x:c r="V1048" s="87" t="str">
        <x:v>VERIFIED</x:v>
      </x:c>
      <x:c r="W1048" s="87" t="str">
        <x:v>PDF варианта, внутренняя стр. 6</x:v>
      </x:c>
      <x:c r="X1048" s="87"/>
      <x:c r="Y1048" s="87"/>
      <x:c r="Z1048" s="87"/>
      <x:c r="AA1048" s="87"/>
      <x:c r="AB1048" s="87"/>
      <x:c r="AC1048" s="87"/>
      <x:c r="AD1048" s="87"/>
      <x:c r="AE1048" s="87"/>
      <x:c r="AF1048" s="87"/>
      <x:c r="AG1048" s="87"/>
      <x:c r="AH1048" s="87"/>
      <x:c r="AI1048" s="30"/>
      <x:c r="AJ1048" s="87" t="str">
        <x:v>master</x:v>
      </x:c>
      <x:c r="AK1048" s="87" t="str">
        <x:v>master-v0.81</x:v>
      </x:c>
      <x:c r="AL1048" s="87" t="str">
        <x:v>statgrad_master_base_v0_81_final(2).xlsx</x:v>
      </x:c>
      <x:c r="AM1048" s="87" t="str">
        <x:v>CHEM_Mar_V4</x:v>
      </x:c>
      <x:c r="AN1048" s="87" t="n">
        <x:v>13</x:v>
      </x:c>
    </x:row>
    <x:row r="1049">
      <x:c r="A1049" s="87" t="n">
        <x:v>1048</x:v>
      </x:c>
      <x:c r="B1049" s="87" t="str">
        <x:v>MAR-CHEM-V4-013</x:v>
      </x:c>
      <x:c r="C1049" s="87" t="str">
        <x:v>СтатГрад</x:v>
      </x:c>
      <x:c r="D1049" s="87" t="str">
        <x:v>Март 2026</x:v>
      </x:c>
      <x:c r="E1049" s="87"/>
      <x:c r="F1049" s="87"/>
      <x:c r="G1049" s="87" t="str">
        <x:v>Химия</x:v>
      </x:c>
      <x:c r="H1049" s="87" t="n">
        <x:v>11</x:v>
      </x:c>
      <x:c r="I1049" s="87" t="str">
        <x:v>ТР №4</x:v>
      </x:c>
      <x:c r="J1049" s="87" t="str">
        <x:v>ХИ2510404</x:v>
      </x:c>
      <x:c r="K1049" s="87" t="n">
        <x:v>13</x:v>
      </x:c>
      <x:c r="L1049" s="87" t="str">
        <x:v>Гидролиз полисахаридов</x:v>
      </x:c>
      <x:c r="M1049" s="30" t="str">
        <x:v>Выбрать два вещества, образующиеся при гидролизе природных полисахаридов.</x:v>
      </x:c>
      <x:c r="N1049" s="30" t="str">
        <x:v>35</x:v>
      </x:c>
      <x:c r="O1049" s="30" t="str">
        <x:v>При частичном гидролизе крахмала образуется мальтоза, при полном — глюкоза.</x:v>
      </x:c>
      <x:c r="P1049" s="30" t="str">
        <x:v>Последовательность гидролиза крахмала проверена.</x:v>
      </x:c>
      <x:c r="Q1049" s="30"/>
      <x:c r="R1049" s="30" t="str">
        <x:v>Публичный ответ: 35</x:v>
      </x:c>
      <x:c r="S1049" s="30"/>
      <x:c r="T1049" s="30"/>
      <x:c r="U1049" s="30" t="str">
        <x:v>Расхождений не обнаружено.</x:v>
      </x:c>
      <x:c r="V1049" s="87" t="str">
        <x:v>VERIFIED</x:v>
      </x:c>
      <x:c r="W1049" s="87" t="str">
        <x:v>PDF варианта, внутренняя стр. 7</x:v>
      </x:c>
      <x:c r="X1049" s="87"/>
      <x:c r="Y1049" s="87"/>
      <x:c r="Z1049" s="87"/>
      <x:c r="AA1049" s="87"/>
      <x:c r="AB1049" s="87"/>
      <x:c r="AC1049" s="87"/>
      <x:c r="AD1049" s="87"/>
      <x:c r="AE1049" s="87"/>
      <x:c r="AF1049" s="87"/>
      <x:c r="AG1049" s="87"/>
      <x:c r="AH1049" s="87"/>
      <x:c r="AI1049" s="30"/>
      <x:c r="AJ1049" s="87" t="str">
        <x:v>master</x:v>
      </x:c>
      <x:c r="AK1049" s="87" t="str">
        <x:v>master-v0.81</x:v>
      </x:c>
      <x:c r="AL1049" s="87" t="str">
        <x:v>statgrad_master_base_v0_81_final(2).xlsx</x:v>
      </x:c>
      <x:c r="AM1049" s="87" t="str">
        <x:v>CHEM_Mar_V4</x:v>
      </x:c>
      <x:c r="AN1049" s="87" t="n">
        <x:v>14</x:v>
      </x:c>
    </x:row>
    <x:row r="1050">
      <x:c r="A1050" s="87" t="n">
        <x:v>1049</x:v>
      </x:c>
      <x:c r="B1050" s="87" t="str">
        <x:v>MAR-CHEM-V4-014</x:v>
      </x:c>
      <x:c r="C1050" s="87" t="str">
        <x:v>СтатГрад</x:v>
      </x:c>
      <x:c r="D1050" s="87" t="str">
        <x:v>Март 2026</x:v>
      </x:c>
      <x:c r="E1050" s="87"/>
      <x:c r="F1050" s="87"/>
      <x:c r="G1050" s="87" t="str">
        <x:v>Химия</x:v>
      </x:c>
      <x:c r="H1050" s="87" t="n">
        <x:v>11</x:v>
      </x:c>
      <x:c r="I1050" s="87" t="str">
        <x:v>ТР №4</x:v>
      </x:c>
      <x:c r="J1050" s="87" t="str">
        <x:v>ХИ2510404</x:v>
      </x:c>
      <x:c r="K1050" s="87" t="n">
        <x:v>14</x:v>
      </x:c>
      <x:c r="L1050" s="87" t="str">
        <x:v>Получение углеводородов</x:v>
      </x:c>
      <x:c r="M1050" s="30" t="str">
        <x:v>Соотнести четыре реакции с образующимися углеводородами.</x:v>
      </x:c>
      <x:c r="N1050" s="30" t="str">
        <x:v>4251</x:v>
      </x:c>
      <x:c r="O1050" s="30" t="str">
        <x:v>Алкилирование бензола даёт этилбензол; дегалогенирование 1,2-дихлорпропана — пропен; Вюрц–Фиттиг — толуол; декарбоксилирование пропионата — этан.</x:v>
      </x:c>
      <x:c r="P1050" s="30" t="str">
        <x:v>Для каждой реакции записан основной продукт.</x:v>
      </x:c>
      <x:c r="Q1050" s="30"/>
      <x:c r="R1050" s="30" t="str">
        <x:v>PDF + независимая проверка</x:v>
      </x:c>
      <x:c r="S1050" s="30"/>
      <x:c r="T1050" s="30"/>
      <x:c r="U1050" s="30" t="str">
        <x:v>Расхождений не обнаружено.</x:v>
      </x:c>
      <x:c r="V1050" s="87" t="str">
        <x:v>VERIFIED</x:v>
      </x:c>
      <x:c r="W1050" s="87" t="str">
        <x:v>PDF варианта, внутренняя стр. 7</x:v>
      </x:c>
      <x:c r="X1050" s="87"/>
      <x:c r="Y1050" s="87"/>
      <x:c r="Z1050" s="87"/>
      <x:c r="AA1050" s="87"/>
      <x:c r="AB1050" s="87"/>
      <x:c r="AC1050" s="87"/>
      <x:c r="AD1050" s="87"/>
      <x:c r="AE1050" s="87"/>
      <x:c r="AF1050" s="87"/>
      <x:c r="AG1050" s="87"/>
      <x:c r="AH1050" s="87"/>
      <x:c r="AI1050" s="30"/>
      <x:c r="AJ1050" s="87" t="str">
        <x:v>master</x:v>
      </x:c>
      <x:c r="AK1050" s="87" t="str">
        <x:v>master-v0.81</x:v>
      </x:c>
      <x:c r="AL1050" s="87" t="str">
        <x:v>statgrad_master_base_v0_81_final(2).xlsx</x:v>
      </x:c>
      <x:c r="AM1050" s="87" t="str">
        <x:v>CHEM_Mar_V4</x:v>
      </x:c>
      <x:c r="AN1050" s="87" t="n">
        <x:v>15</x:v>
      </x:c>
    </x:row>
    <x:row r="1051">
      <x:c r="A1051" s="87" t="n">
        <x:v>1050</x:v>
      </x:c>
      <x:c r="B1051" s="87" t="str">
        <x:v>MAR-CHEM-V4-015</x:v>
      </x:c>
      <x:c r="C1051" s="87" t="str">
        <x:v>СтатГрад</x:v>
      </x:c>
      <x:c r="D1051" s="87" t="str">
        <x:v>Март 2026</x:v>
      </x:c>
      <x:c r="E1051" s="87"/>
      <x:c r="F1051" s="87"/>
      <x:c r="G1051" s="87" t="str">
        <x:v>Химия</x:v>
      </x:c>
      <x:c r="H1051" s="87" t="n">
        <x:v>11</x:v>
      </x:c>
      <x:c r="I1051" s="87" t="str">
        <x:v>ТР №4</x:v>
      </x:c>
      <x:c r="J1051" s="87" t="str">
        <x:v>ХИ2510404</x:v>
      </x:c>
      <x:c r="K1051" s="87" t="n">
        <x:v>15</x:v>
      </x:c>
      <x:c r="L1051" s="87" t="str">
        <x:v>Органические реакции</x:v>
      </x:c>
      <x:c r="M1051" s="30" t="str">
        <x:v>Соотнести схемы с преимущественными продуктами.</x:v>
      </x:c>
      <x:c r="N1051" s="30" t="str">
        <x:v>4253</x:v>
      </x:c>
      <x:c r="O1051" s="30" t="str">
        <x:v>Альдегид Толленсом окисляется до ацетата аммония; нитрование фенола даёт преимущественно 4-нитрофенол; гем-дибромид гидролизуется до ацетона; ацетат с CH₃Br даёт метилацетат.</x:v>
      </x:c>
      <x:c r="P1051" s="30" t="str">
        <x:v>Проверены механизмы и функциональные группы.</x:v>
      </x:c>
      <x:c r="Q1051" s="30"/>
      <x:c r="R1051" s="30" t="str">
        <x:v>PDF + независимая проверка</x:v>
      </x:c>
      <x:c r="S1051" s="30"/>
      <x:c r="T1051" s="30"/>
      <x:c r="U1051" s="30" t="str">
        <x:v>Расхождений не обнаружено.</x:v>
      </x:c>
      <x:c r="V1051" s="87" t="str">
        <x:v>VERIFIED</x:v>
      </x:c>
      <x:c r="W1051" s="87" t="str">
        <x:v>PDF варианта, внутренняя стр. 8</x:v>
      </x:c>
      <x:c r="X1051" s="87"/>
      <x:c r="Y1051" s="87"/>
      <x:c r="Z1051" s="87"/>
      <x:c r="AA1051" s="87"/>
      <x:c r="AB1051" s="87"/>
      <x:c r="AC1051" s="87"/>
      <x:c r="AD1051" s="87"/>
      <x:c r="AE1051" s="87"/>
      <x:c r="AF1051" s="87"/>
      <x:c r="AG1051" s="87"/>
      <x:c r="AH1051" s="87"/>
      <x:c r="AI1051" s="30"/>
      <x:c r="AJ1051" s="87" t="str">
        <x:v>master</x:v>
      </x:c>
      <x:c r="AK1051" s="87" t="str">
        <x:v>master-v0.81</x:v>
      </x:c>
      <x:c r="AL1051" s="87" t="str">
        <x:v>statgrad_master_base_v0_81_final(2).xlsx</x:v>
      </x:c>
      <x:c r="AM1051" s="87" t="str">
        <x:v>CHEM_Mar_V4</x:v>
      </x:c>
      <x:c r="AN1051" s="87" t="n">
        <x:v>16</x:v>
      </x:c>
    </x:row>
    <x:row r="1052">
      <x:c r="A1052" s="87" t="n">
        <x:v>1051</x:v>
      </x:c>
      <x:c r="B1052" s="87" t="str">
        <x:v>MAR-CHEM-V4-016</x:v>
      </x:c>
      <x:c r="C1052" s="87" t="str">
        <x:v>СтатГрад</x:v>
      </x:c>
      <x:c r="D1052" s="87" t="str">
        <x:v>Март 2026</x:v>
      </x:c>
      <x:c r="E1052" s="87"/>
      <x:c r="F1052" s="87"/>
      <x:c r="G1052" s="87" t="str">
        <x:v>Химия</x:v>
      </x:c>
      <x:c r="H1052" s="87" t="n">
        <x:v>11</x:v>
      </x:c>
      <x:c r="I1052" s="87" t="str">
        <x:v>ТР №4</x:v>
      </x:c>
      <x:c r="J1052" s="87" t="str">
        <x:v>ХИ2510404</x:v>
      </x:c>
      <x:c r="K1052" s="87" t="n">
        <x:v>16</x:v>
      </x:c>
      <x:c r="L1052" s="87" t="str">
        <x:v>Органическая цепочка</x:v>
      </x:c>
      <x:c r="M1052" s="30" t="str">
        <x:v>X окисляется кислородом до фенола, затем фенол превращается в фенилацетат.</x:v>
      </x:c>
      <x:c r="N1052" s="30" t="str">
        <x:v>42</x:v>
      </x:c>
      <x:c r="O1052" s="30" t="str">
        <x:v>X — кумол; Y — ацетилхлорид.</x:v>
      </x:c>
      <x:c r="P1052" s="30" t="str">
        <x:v>Кумольный способ и ацилирование фенола проверены.</x:v>
      </x:c>
      <x:c r="Q1052" s="30"/>
      <x:c r="R1052" s="30" t="str">
        <x:v>PDF + независимая проверка</x:v>
      </x:c>
      <x:c r="S1052" s="30"/>
      <x:c r="T1052" s="30"/>
      <x:c r="U1052" s="30" t="str">
        <x:v>Расхождений не обнаружено.</x:v>
      </x:c>
      <x:c r="V1052" s="87" t="str">
        <x:v>VERIFIED</x:v>
      </x:c>
      <x:c r="W1052" s="87" t="str">
        <x:v>PDF варианта, внутренняя стр. 8</x:v>
      </x:c>
      <x:c r="X1052" s="87"/>
      <x:c r="Y1052" s="87"/>
      <x:c r="Z1052" s="87"/>
      <x:c r="AA1052" s="87"/>
      <x:c r="AB1052" s="87"/>
      <x:c r="AC1052" s="87"/>
      <x:c r="AD1052" s="87"/>
      <x:c r="AE1052" s="87"/>
      <x:c r="AF1052" s="87"/>
      <x:c r="AG1052" s="87"/>
      <x:c r="AH1052" s="87"/>
      <x:c r="AI1052" s="30"/>
      <x:c r="AJ1052" s="87" t="str">
        <x:v>master</x:v>
      </x:c>
      <x:c r="AK1052" s="87" t="str">
        <x:v>master-v0.81</x:v>
      </x:c>
      <x:c r="AL1052" s="87" t="str">
        <x:v>statgrad_master_base_v0_81_final(2).xlsx</x:v>
      </x:c>
      <x:c r="AM1052" s="87" t="str">
        <x:v>CHEM_Mar_V4</x:v>
      </x:c>
      <x:c r="AN1052" s="87" t="n">
        <x:v>17</x:v>
      </x:c>
    </x:row>
    <x:row r="1053">
      <x:c r="A1053" s="87" t="n">
        <x:v>1052</x:v>
      </x:c>
      <x:c r="B1053" s="87" t="str">
        <x:v>MAR-CHEM-V4-017</x:v>
      </x:c>
      <x:c r="C1053" s="87" t="str">
        <x:v>СтатГрад</x:v>
      </x:c>
      <x:c r="D1053" s="87" t="str">
        <x:v>Март 2026</x:v>
      </x:c>
      <x:c r="E1053" s="87"/>
      <x:c r="F1053" s="87"/>
      <x:c r="G1053" s="87" t="str">
        <x:v>Химия</x:v>
      </x:c>
      <x:c r="H1053" s="87" t="n">
        <x:v>11</x:v>
      </x:c>
      <x:c r="I1053" s="87" t="str">
        <x:v>ТР №4</x:v>
      </x:c>
      <x:c r="J1053" s="87" t="str">
        <x:v>ХИ2510404</x:v>
      </x:c>
      <x:c r="K1053" s="87" t="n">
        <x:v>17</x:v>
      </x:c>
      <x:c r="L1053" s="87" t="str">
        <x:v>Типы реакций</x:v>
      </x:c>
      <x:c r="M1053" s="30" t="str">
        <x:v>Классифицировать Fe+Cl₂, Ba+H₂O и C₂H₄+Cl₂.</x:v>
      </x:c>
      <x:c r="N1053" s="30" t="str">
        <x:v>421</x:v>
      </x:c>
      <x:c r="O1053" s="30" t="str">
        <x:v>Fe+Cl₂ — соединение, гетерогенная; Ba+H₂O — замещение, гетерогенная; C₂H₄+Cl₂ — соединение, гомогенная.</x:v>
      </x:c>
      <x:c r="P1053" s="30" t="str">
        <x:v>Фазовый состав и тип каждой реакции проверены.</x:v>
      </x:c>
      <x:c r="Q1053" s="30"/>
      <x:c r="R1053" s="30" t="str">
        <x:v>PDF + независимая проверка</x:v>
      </x:c>
      <x:c r="S1053" s="30"/>
      <x:c r="T1053" s="30"/>
      <x:c r="U1053" s="30" t="str">
        <x:v>Расхождений не обнаружено.</x:v>
      </x:c>
      <x:c r="V1053" s="87" t="str">
        <x:v>VERIFIED</x:v>
      </x:c>
      <x:c r="W1053" s="87" t="str">
        <x:v>PDF варианта, внутренняя стр. 9</x:v>
      </x:c>
      <x:c r="X1053" s="87"/>
      <x:c r="Y1053" s="87"/>
      <x:c r="Z1053" s="87"/>
      <x:c r="AA1053" s="87"/>
      <x:c r="AB1053" s="87"/>
      <x:c r="AC1053" s="87"/>
      <x:c r="AD1053" s="87"/>
      <x:c r="AE1053" s="87"/>
      <x:c r="AF1053" s="87"/>
      <x:c r="AG1053" s="87"/>
      <x:c r="AH1053" s="87"/>
      <x:c r="AI1053" s="30"/>
      <x:c r="AJ1053" s="87" t="str">
        <x:v>master</x:v>
      </x:c>
      <x:c r="AK1053" s="87" t="str">
        <x:v>master-v0.81</x:v>
      </x:c>
      <x:c r="AL1053" s="87" t="str">
        <x:v>statgrad_master_base_v0_81_final(2).xlsx</x:v>
      </x:c>
      <x:c r="AM1053" s="87" t="str">
        <x:v>CHEM_Mar_V4</x:v>
      </x:c>
      <x:c r="AN1053" s="87" t="n">
        <x:v>18</x:v>
      </x:c>
    </x:row>
    <x:row r="1054">
      <x:c r="A1054" s="87" t="n">
        <x:v>1053</x:v>
      </x:c>
      <x:c r="B1054" s="87" t="str">
        <x:v>MAR-CHEM-V4-018</x:v>
      </x:c>
      <x:c r="C1054" s="87" t="str">
        <x:v>СтатГрад</x:v>
      </x:c>
      <x:c r="D1054" s="87" t="str">
        <x:v>Март 2026</x:v>
      </x:c>
      <x:c r="E1054" s="87"/>
      <x:c r="F1054" s="87"/>
      <x:c r="G1054" s="87" t="str">
        <x:v>Химия</x:v>
      </x:c>
      <x:c r="H1054" s="87" t="n">
        <x:v>11</x:v>
      </x:c>
      <x:c r="I1054" s="87" t="str">
        <x:v>ТР №4</x:v>
      </x:c>
      <x:c r="J1054" s="87" t="str">
        <x:v>ХИ2510404</x:v>
      </x:c>
      <x:c r="K1054" s="87" t="n">
        <x:v>18</x:v>
      </x:c>
      <x:c r="L1054" s="87" t="str">
        <x:v>Скорость реакции</x:v>
      </x:c>
      <x:c r="M1054" s="30" t="str">
        <x:v>Выбрать воздействия, уменьшающие скорость выделения Cl₂ из MnO₂ и концентрированной HCl.</x:v>
      </x:c>
      <x:c r="N1054" s="30" t="str">
        <x:v>235</x:v>
      </x:c>
      <x:c r="O1054" s="30" t="str">
        <x:v>Охлаждение, разбавление кислоты и ингибитор уменьшают скорость.</x:v>
      </x:c>
      <x:c r="P1054" s="30" t="str">
        <x:v>Факторы температуры, концентрации и ингибирования проверены.</x:v>
      </x:c>
      <x:c r="Q1054" s="30"/>
      <x:c r="R1054" s="30" t="str">
        <x:v>PDF + независимая проверка</x:v>
      </x:c>
      <x:c r="S1054" s="30"/>
      <x:c r="T1054" s="30"/>
      <x:c r="U1054" s="30" t="str">
        <x:v>Расхождений не обнаружено.</x:v>
      </x:c>
      <x:c r="V1054" s="87" t="str">
        <x:v>VERIFIED</x:v>
      </x:c>
      <x:c r="W1054" s="87" t="str">
        <x:v>PDF варианта, внутренняя стр. 9</x:v>
      </x:c>
      <x:c r="X1054" s="87"/>
      <x:c r="Y1054" s="87"/>
      <x:c r="Z1054" s="87"/>
      <x:c r="AA1054" s="87"/>
      <x:c r="AB1054" s="87"/>
      <x:c r="AC1054" s="87"/>
      <x:c r="AD1054" s="87"/>
      <x:c r="AE1054" s="87"/>
      <x:c r="AF1054" s="87"/>
      <x:c r="AG1054" s="87"/>
      <x:c r="AH1054" s="87"/>
      <x:c r="AI1054" s="30"/>
      <x:c r="AJ1054" s="87" t="str">
        <x:v>master</x:v>
      </x:c>
      <x:c r="AK1054" s="87" t="str">
        <x:v>master-v0.81</x:v>
      </x:c>
      <x:c r="AL1054" s="87" t="str">
        <x:v>statgrad_master_base_v0_81_final(2).xlsx</x:v>
      </x:c>
      <x:c r="AM1054" s="87" t="str">
        <x:v>CHEM_Mar_V4</x:v>
      </x:c>
      <x:c r="AN1054" s="87" t="n">
        <x:v>19</x:v>
      </x:c>
    </x:row>
    <x:row r="1055">
      <x:c r="A1055" s="87" t="n">
        <x:v>1054</x:v>
      </x:c>
      <x:c r="B1055" s="87" t="str">
        <x:v>MAR-CHEM-V4-019</x:v>
      </x:c>
      <x:c r="C1055" s="87" t="str">
        <x:v>СтатГрад</x:v>
      </x:c>
      <x:c r="D1055" s="87" t="str">
        <x:v>Март 2026</x:v>
      </x:c>
      <x:c r="E1055" s="87"/>
      <x:c r="F1055" s="87"/>
      <x:c r="G1055" s="87" t="str">
        <x:v>Химия</x:v>
      </x:c>
      <x:c r="H1055" s="87" t="n">
        <x:v>11</x:v>
      </x:c>
      <x:c r="I1055" s="87" t="str">
        <x:v>ТР №4</x:v>
      </x:c>
      <x:c r="J1055" s="87" t="str">
        <x:v>ХИ2510404</x:v>
      </x:c>
      <x:c r="K1055" s="87" t="n">
        <x:v>19</x:v>
      </x:c>
      <x:c r="L1055" s="87" t="str">
        <x:v>ОВР и роль элемента</x:v>
      </x:c>
      <x:c r="M1055" s="30" t="str">
        <x:v>Определить роль углерода в трёх реакциях.</x:v>
      </x:c>
      <x:c r="N1055" s="30" t="str">
        <x:v>214</x:v>
      </x:c>
      <x:c r="O1055" s="30" t="str">
        <x:v>При восстановлении ZnO углерод — восстановитель; при гидрировании этилена углерод восстанавливается и является окислителем; в карбонате/CO₂ степень окисления не меняется.</x:v>
      </x:c>
      <x:c r="P1055" s="30" t="str">
        <x:v>Степени окисления рассчитаны.</x:v>
      </x:c>
      <x:c r="Q1055" s="30"/>
      <x:c r="R1055" s="30" t="str">
        <x:v>PDF + независимая проверка</x:v>
      </x:c>
      <x:c r="S1055" s="30"/>
      <x:c r="T1055" s="30"/>
      <x:c r="U1055" s="30" t="str">
        <x:v>Расхождений не обнаружено.</x:v>
      </x:c>
      <x:c r="V1055" s="87" t="str">
        <x:v>VERIFIED</x:v>
      </x:c>
      <x:c r="W1055" s="87" t="str">
        <x:v>PDF варианта, внутренняя стр. 10</x:v>
      </x:c>
      <x:c r="X1055" s="87"/>
      <x:c r="Y1055" s="87"/>
      <x:c r="Z1055" s="87"/>
      <x:c r="AA1055" s="87"/>
      <x:c r="AB1055" s="87"/>
      <x:c r="AC1055" s="87"/>
      <x:c r="AD1055" s="87"/>
      <x:c r="AE1055" s="87"/>
      <x:c r="AF1055" s="87"/>
      <x:c r="AG1055" s="87"/>
      <x:c r="AH1055" s="87"/>
      <x:c r="AI1055" s="30"/>
      <x:c r="AJ1055" s="87" t="str">
        <x:v>master</x:v>
      </x:c>
      <x:c r="AK1055" s="87" t="str">
        <x:v>master-v0.81</x:v>
      </x:c>
      <x:c r="AL1055" s="87" t="str">
        <x:v>statgrad_master_base_v0_81_final(2).xlsx</x:v>
      </x:c>
      <x:c r="AM1055" s="87" t="str">
        <x:v>CHEM_Mar_V4</x:v>
      </x:c>
      <x:c r="AN1055" s="87" t="n">
        <x:v>20</x:v>
      </x:c>
    </x:row>
    <x:row r="1056">
      <x:c r="A1056" s="87" t="n">
        <x:v>1055</x:v>
      </x:c>
      <x:c r="B1056" s="87" t="str">
        <x:v>MAR-CHEM-V4-020</x:v>
      </x:c>
      <x:c r="C1056" s="87" t="str">
        <x:v>СтатГрад</x:v>
      </x:c>
      <x:c r="D1056" s="87" t="str">
        <x:v>Март 2026</x:v>
      </x:c>
      <x:c r="E1056" s="87"/>
      <x:c r="F1056" s="87"/>
      <x:c r="G1056" s="87" t="str">
        <x:v>Химия</x:v>
      </x:c>
      <x:c r="H1056" s="87" t="n">
        <x:v>11</x:v>
      </x:c>
      <x:c r="I1056" s="87" t="str">
        <x:v>ТР №4</x:v>
      </x:c>
      <x:c r="J1056" s="87" t="str">
        <x:v>ХИ2510404</x:v>
      </x:c>
      <x:c r="K1056" s="87" t="n">
        <x:v>20</x:v>
      </x:c>
      <x:c r="L1056" s="87" t="str">
        <x:v>Электролиз</x:v>
      </x:c>
      <x:c r="M1056" s="30" t="str">
        <x:v>Соотнести Mg, O₂ и NaClO со способом электролитического получения.</x:v>
      </x:c>
      <x:c r="N1056" s="30" t="str">
        <x:v>432</x:v>
      </x:c>
      <x:c r="O1056" s="30" t="str">
        <x:v>Mg получают из расплава MgCl₂; O₂ — при электролизе раствора MgSO₄; NaClO — холодного раствора NaCl.</x:v>
      </x:c>
      <x:c r="P1056" s="30" t="str">
        <x:v>Проверены катодные и анодные процессы.</x:v>
      </x:c>
      <x:c r="Q1056" s="30"/>
      <x:c r="R1056" s="30" t="str">
        <x:v>PDF + независимая проверка</x:v>
      </x:c>
      <x:c r="S1056" s="30"/>
      <x:c r="T1056" s="30"/>
      <x:c r="U1056" s="30" t="str">
        <x:v>Расхождений не обнаружено.</x:v>
      </x:c>
      <x:c r="V1056" s="87" t="str">
        <x:v>VERIFIED</x:v>
      </x:c>
      <x:c r="W1056" s="87" t="str">
        <x:v>PDF варианта, внутренняя стр. 10</x:v>
      </x:c>
      <x:c r="X1056" s="87"/>
      <x:c r="Y1056" s="87"/>
      <x:c r="Z1056" s="87"/>
      <x:c r="AA1056" s="87"/>
      <x:c r="AB1056" s="87"/>
      <x:c r="AC1056" s="87"/>
      <x:c r="AD1056" s="87"/>
      <x:c r="AE1056" s="87"/>
      <x:c r="AF1056" s="87"/>
      <x:c r="AG1056" s="87"/>
      <x:c r="AH1056" s="87"/>
      <x:c r="AI1056" s="30"/>
      <x:c r="AJ1056" s="87" t="str">
        <x:v>master</x:v>
      </x:c>
      <x:c r="AK1056" s="87" t="str">
        <x:v>master-v0.81</x:v>
      </x:c>
      <x:c r="AL1056" s="87" t="str">
        <x:v>statgrad_master_base_v0_81_final(2).xlsx</x:v>
      </x:c>
      <x:c r="AM1056" s="87" t="str">
        <x:v>CHEM_Mar_V4</x:v>
      </x:c>
      <x:c r="AN1056" s="87" t="n">
        <x:v>21</x:v>
      </x:c>
    </x:row>
    <x:row r="1057">
      <x:c r="A1057" s="87" t="n">
        <x:v>1056</x:v>
      </x:c>
      <x:c r="B1057" s="87" t="str">
        <x:v>MAR-CHEM-V4-021</x:v>
      </x:c>
      <x:c r="C1057" s="87" t="str">
        <x:v>СтатГрад</x:v>
      </x:c>
      <x:c r="D1057" s="87" t="str">
        <x:v>Март 2026</x:v>
      </x:c>
      <x:c r="E1057" s="87"/>
      <x:c r="F1057" s="87"/>
      <x:c r="G1057" s="87" t="str">
        <x:v>Химия</x:v>
      </x:c>
      <x:c r="H1057" s="87" t="n">
        <x:v>11</x:v>
      </x:c>
      <x:c r="I1057" s="87" t="str">
        <x:v>ТР №4</x:v>
      </x:c>
      <x:c r="J1057" s="87" t="str">
        <x:v>ХИ2510404</x:v>
      </x:c>
      <x:c r="K1057" s="87" t="n">
        <x:v>21</x:v>
      </x:c>
      <x:c r="L1057" s="87" t="str">
        <x:v>pH растворов</x:v>
      </x:c>
      <x:c r="M1057" s="30" t="str">
        <x:v>Расположить K₃PO₄, KOH, H₃PO₄, HClO₄ по убыванию pH.</x:v>
      </x:c>
      <x:c r="N1057" s="30" t="str">
        <x:v>2134</x:v>
      </x:c>
      <x:c r="O1057" s="30" t="str">
        <x:v>Сильная щёлочь &gt; гидролизующаяся соль &gt; слабая кислота &gt; сильная кислота.</x:v>
      </x:c>
      <x:c r="P1057" s="30" t="str">
        <x:v>Сравнены сила электролитов и гидролиз.</x:v>
      </x:c>
      <x:c r="Q1057" s="30"/>
      <x:c r="R1057" s="30" t="str">
        <x:v>PDF + независимая проверка</x:v>
      </x:c>
      <x:c r="S1057" s="30"/>
      <x:c r="T1057" s="30"/>
      <x:c r="U1057" s="30" t="str">
        <x:v>Расхождений не обнаружено.</x:v>
      </x:c>
      <x:c r="V1057" s="87" t="str">
        <x:v>VERIFIED</x:v>
      </x:c>
      <x:c r="W1057" s="87" t="str">
        <x:v>PDF варианта, внутренняя стр. 11</x:v>
      </x:c>
      <x:c r="X1057" s="87"/>
      <x:c r="Y1057" s="87"/>
      <x:c r="Z1057" s="87"/>
      <x:c r="AA1057" s="87"/>
      <x:c r="AB1057" s="87"/>
      <x:c r="AC1057" s="87"/>
      <x:c r="AD1057" s="87"/>
      <x:c r="AE1057" s="87"/>
      <x:c r="AF1057" s="87"/>
      <x:c r="AG1057" s="87"/>
      <x:c r="AH1057" s="87"/>
      <x:c r="AI1057" s="30"/>
      <x:c r="AJ1057" s="87" t="str">
        <x:v>master</x:v>
      </x:c>
      <x:c r="AK1057" s="87" t="str">
        <x:v>master-v0.81</x:v>
      </x:c>
      <x:c r="AL1057" s="87" t="str">
        <x:v>statgrad_master_base_v0_81_final(2).xlsx</x:v>
      </x:c>
      <x:c r="AM1057" s="87" t="str">
        <x:v>CHEM_Mar_V4</x:v>
      </x:c>
      <x:c r="AN1057" s="87" t="n">
        <x:v>22</x:v>
      </x:c>
    </x:row>
    <x:row r="1058">
      <x:c r="A1058" s="87" t="n">
        <x:v>1057</x:v>
      </x:c>
      <x:c r="B1058" s="87" t="str">
        <x:v>MAR-CHEM-V4-022</x:v>
      </x:c>
      <x:c r="C1058" s="87" t="str">
        <x:v>СтатГрад</x:v>
      </x:c>
      <x:c r="D1058" s="87" t="str">
        <x:v>Март 2026</x:v>
      </x:c>
      <x:c r="E1058" s="87"/>
      <x:c r="F1058" s="87"/>
      <x:c r="G1058" s="87" t="str">
        <x:v>Химия</x:v>
      </x:c>
      <x:c r="H1058" s="87" t="n">
        <x:v>11</x:v>
      </x:c>
      <x:c r="I1058" s="87" t="str">
        <x:v>ТР №4</x:v>
      </x:c>
      <x:c r="J1058" s="87" t="str">
        <x:v>ХИ2510404</x:v>
      </x:c>
      <x:c r="K1058" s="87" t="n">
        <x:v>22</x:v>
      </x:c>
      <x:c r="L1058" s="87" t="str">
        <x:v>Химическое равновесие</x:v>
      </x:c>
      <x:c r="M1058" s="30" t="str">
        <x:v>Для Fe³⁺+H₂O ⇄ FeOH²⁺+H⁺−Q определить сдвиг при четырёх воздействиях.</x:v>
      </x:c>
      <x:c r="N1058" s="30" t="str">
        <x:v>1213</x:v>
      </x:c>
      <x:c r="O1058" s="30" t="str">
        <x:v>Нагревание и добавление FeCl₃ сдвигают вправо; подкисление — влево; давление практически не влияет.</x:v>
      </x:c>
      <x:c r="P1058" s="30" t="str">
        <x:v>Применён принцип Ле Шателье.</x:v>
      </x:c>
      <x:c r="Q1058" s="30"/>
      <x:c r="R1058" s="30" t="str">
        <x:v>PDF + независимая проверка</x:v>
      </x:c>
      <x:c r="S1058" s="30"/>
      <x:c r="T1058" s="30"/>
      <x:c r="U1058" s="30" t="str">
        <x:v>Расхождений не обнаружено.</x:v>
      </x:c>
      <x:c r="V1058" s="87" t="str">
        <x:v>VERIFIED</x:v>
      </x:c>
      <x:c r="W1058" s="87" t="str">
        <x:v>PDF варианта, внутренняя стр. 12</x:v>
      </x:c>
      <x:c r="X1058" s="87"/>
      <x:c r="Y1058" s="87"/>
      <x:c r="Z1058" s="87"/>
      <x:c r="AA1058" s="87"/>
      <x:c r="AB1058" s="87"/>
      <x:c r="AC1058" s="87"/>
      <x:c r="AD1058" s="87"/>
      <x:c r="AE1058" s="87"/>
      <x:c r="AF1058" s="87"/>
      <x:c r="AG1058" s="87"/>
      <x:c r="AH1058" s="87"/>
      <x:c r="AI1058" s="30"/>
      <x:c r="AJ1058" s="87" t="str">
        <x:v>master</x:v>
      </x:c>
      <x:c r="AK1058" s="87" t="str">
        <x:v>master-v0.81</x:v>
      </x:c>
      <x:c r="AL1058" s="87" t="str">
        <x:v>statgrad_master_base_v0_81_final(2).xlsx</x:v>
      </x:c>
      <x:c r="AM1058" s="87" t="str">
        <x:v>CHEM_Mar_V4</x:v>
      </x:c>
      <x:c r="AN1058" s="87" t="n">
        <x:v>23</x:v>
      </x:c>
    </x:row>
    <x:row r="1059">
      <x:c r="A1059" s="87" t="n">
        <x:v>1058</x:v>
      </x:c>
      <x:c r="B1059" s="87" t="str">
        <x:v>MAR-CHEM-V4-023</x:v>
      </x:c>
      <x:c r="C1059" s="87" t="str">
        <x:v>СтатГрад</x:v>
      </x:c>
      <x:c r="D1059" s="87" t="str">
        <x:v>Март 2026</x:v>
      </x:c>
      <x:c r="E1059" s="87"/>
      <x:c r="F1059" s="87"/>
      <x:c r="G1059" s="87" t="str">
        <x:v>Химия</x:v>
      </x:c>
      <x:c r="H1059" s="87" t="n">
        <x:v>11</x:v>
      </x:c>
      <x:c r="I1059" s="87" t="str">
        <x:v>ТР №4</x:v>
      </x:c>
      <x:c r="J1059" s="87" t="str">
        <x:v>ХИ2510404</x:v>
      </x:c>
      <x:c r="K1059" s="87" t="n">
        <x:v>23</x:v>
      </x:c>
      <x:c r="L1059" s="87" t="str">
        <x:v>Равновесные концентрации</x:v>
      </x:c>
      <x:c r="M1059" s="30" t="str">
        <x:v>Для 2N₂O₅ ⇄ 4NO₂+O₂ найти [N₂O₅]равн и [NO₂]равн.</x:v>
      </x:c>
      <x:c r="N1059" s="30" t="str">
        <x:v>36</x:v>
      </x:c>
      <x:c r="O1059" s="30" t="str">
        <x:v>При [O₂]=0,02 расход N₂O₅ равен 0,04: остаток 0,03; NO₂ образуется 0,08.</x:v>
      </x:c>
      <x:c r="P1059" s="30" t="str">
        <x:v>Составлена таблица изменения концентраций.</x:v>
      </x:c>
      <x:c r="Q1059" s="30"/>
      <x:c r="R1059" s="30" t="str">
        <x:v>PDF + независимая проверка</x:v>
      </x:c>
      <x:c r="S1059" s="30"/>
      <x:c r="T1059" s="30"/>
      <x:c r="U1059" s="30" t="str">
        <x:v>Расхождений не обнаружено.</x:v>
      </x:c>
      <x:c r="V1059" s="87" t="str">
        <x:v>VERIFIED</x:v>
      </x:c>
      <x:c r="W1059" s="87" t="str">
        <x:v>PDF варианта, внутренняя стр. 12</x:v>
      </x:c>
      <x:c r="X1059" s="87"/>
      <x:c r="Y1059" s="87"/>
      <x:c r="Z1059" s="87"/>
      <x:c r="AA1059" s="87"/>
      <x:c r="AB1059" s="87"/>
      <x:c r="AC1059" s="87"/>
      <x:c r="AD1059" s="87"/>
      <x:c r="AE1059" s="87"/>
      <x:c r="AF1059" s="87"/>
      <x:c r="AG1059" s="87"/>
      <x:c r="AH1059" s="87"/>
      <x:c r="AI1059" s="30"/>
      <x:c r="AJ1059" s="87" t="str">
        <x:v>master</x:v>
      </x:c>
      <x:c r="AK1059" s="87" t="str">
        <x:v>master-v0.81</x:v>
      </x:c>
      <x:c r="AL1059" s="87" t="str">
        <x:v>statgrad_master_base_v0_81_final(2).xlsx</x:v>
      </x:c>
      <x:c r="AM1059" s="87" t="str">
        <x:v>CHEM_Mar_V4</x:v>
      </x:c>
      <x:c r="AN1059" s="87" t="n">
        <x:v>24</x:v>
      </x:c>
    </x:row>
    <x:row r="1060">
      <x:c r="A1060" s="87" t="n">
        <x:v>1059</x:v>
      </x:c>
      <x:c r="B1060" s="87" t="str">
        <x:v>MAR-CHEM-V4-024</x:v>
      </x:c>
      <x:c r="C1060" s="87" t="str">
        <x:v>СтатГрад</x:v>
      </x:c>
      <x:c r="D1060" s="87" t="str">
        <x:v>Март 2026</x:v>
      </x:c>
      <x:c r="E1060" s="87"/>
      <x:c r="F1060" s="87"/>
      <x:c r="G1060" s="87" t="str">
        <x:v>Химия</x:v>
      </x:c>
      <x:c r="H1060" s="87" t="n">
        <x:v>11</x:v>
      </x:c>
      <x:c r="I1060" s="87" t="str">
        <x:v>ТР №4</x:v>
      </x:c>
      <x:c r="J1060" s="87" t="str">
        <x:v>ХИ2510404</x:v>
      </x:c>
      <x:c r="K1060" s="87" t="n">
        <x:v>24</x:v>
      </x:c>
      <x:c r="L1060" s="87" t="str">
        <x:v>Качественные признаки</x:v>
      </x:c>
      <x:c r="M1060" s="30" t="str">
        <x:v>Соотнести вещества с признаком реакции с концентрированной HCl.</x:v>
      </x:c>
      <x:c r="N1060" s="30" t="str">
        <x:v>5432</x:v>
      </x:c>
      <x:c r="O1060" s="30" t="str">
        <x:v>Известковая вода — без видимых признаков; реактив Толленса — AgCl↓; CuCl₂ меняет цвет из-за хлорокомплекса; сода выделяет CO₂.</x:v>
      </x:c>
      <x:c r="P1060" s="30" t="str">
        <x:v>Проверены молекулярные и комплексные процессы.</x:v>
      </x:c>
      <x:c r="Q1060" s="30"/>
      <x:c r="R1060" s="30" t="str">
        <x:v>PDF + независимая проверка</x:v>
      </x:c>
      <x:c r="S1060" s="30"/>
      <x:c r="T1060" s="30"/>
      <x:c r="U1060" s="30" t="str">
        <x:v>Расхождений не обнаружено.</x:v>
      </x:c>
      <x:c r="V1060" s="87" t="str">
        <x:v>VERIFIED</x:v>
      </x:c>
      <x:c r="W1060" s="87" t="str">
        <x:v>PDF варианта, внутренняя стр. 13</x:v>
      </x:c>
      <x:c r="X1060" s="87"/>
      <x:c r="Y1060" s="87"/>
      <x:c r="Z1060" s="87"/>
      <x:c r="AA1060" s="87"/>
      <x:c r="AB1060" s="87"/>
      <x:c r="AC1060" s="87"/>
      <x:c r="AD1060" s="87"/>
      <x:c r="AE1060" s="87"/>
      <x:c r="AF1060" s="87"/>
      <x:c r="AG1060" s="87"/>
      <x:c r="AH1060" s="87"/>
      <x:c r="AI1060" s="30"/>
      <x:c r="AJ1060" s="87" t="str">
        <x:v>master</x:v>
      </x:c>
      <x:c r="AK1060" s="87" t="str">
        <x:v>master-v0.81</x:v>
      </x:c>
      <x:c r="AL1060" s="87" t="str">
        <x:v>statgrad_master_base_v0_81_final(2).xlsx</x:v>
      </x:c>
      <x:c r="AM1060" s="87" t="str">
        <x:v>CHEM_Mar_V4</x:v>
      </x:c>
      <x:c r="AN1060" s="87" t="n">
        <x:v>25</x:v>
      </x:c>
    </x:row>
    <x:row r="1061">
      <x:c r="A1061" s="87" t="n">
        <x:v>1060</x:v>
      </x:c>
      <x:c r="B1061" s="87" t="str">
        <x:v>MAR-CHEM-V4-025</x:v>
      </x:c>
      <x:c r="C1061" s="87" t="str">
        <x:v>СтатГрад</x:v>
      </x:c>
      <x:c r="D1061" s="87" t="str">
        <x:v>Март 2026</x:v>
      </x:c>
      <x:c r="E1061" s="87"/>
      <x:c r="F1061" s="87"/>
      <x:c r="G1061" s="87" t="str">
        <x:v>Химия</x:v>
      </x:c>
      <x:c r="H1061" s="87" t="n">
        <x:v>11</x:v>
      </x:c>
      <x:c r="I1061" s="87" t="str">
        <x:v>ТР №4</x:v>
      </x:c>
      <x:c r="J1061" s="87" t="str">
        <x:v>ХИ2510404</x:v>
      </x:c>
      <x:c r="K1061" s="87" t="n">
        <x:v>25</x:v>
      </x:c>
      <x:c r="L1061" s="87" t="str">
        <x:v>Химическая технология</x:v>
      </x:c>
      <x:c r="M1061" s="30" t="str">
        <x:v>Соотнести колонну синтеза, печь обжига и доменную печь с продуктами.</x:v>
      </x:c>
      <x:c r="N1061" s="30" t="str">
        <x:v>314</x:v>
      </x:c>
      <x:c r="O1061" s="30" t="str">
        <x:v>Колонна синтеза — NH₃; печь обжига — SO₂; доменная печь — чугун.</x:v>
      </x:c>
      <x:c r="P1061" s="30" t="str">
        <x:v>Проверены основные промышленные процессы.</x:v>
      </x:c>
      <x:c r="Q1061" s="30"/>
      <x:c r="R1061" s="30" t="str">
        <x:v>PDF + независимая проверка</x:v>
      </x:c>
      <x:c r="S1061" s="30"/>
      <x:c r="T1061" s="30"/>
      <x:c r="U1061" s="30" t="str">
        <x:v>Расхождений не обнаружено.</x:v>
      </x:c>
      <x:c r="V1061" s="87" t="str">
        <x:v>VERIFIED</x:v>
      </x:c>
      <x:c r="W1061" s="87" t="str">
        <x:v>PDF варианта, внутренняя стр. 13</x:v>
      </x:c>
      <x:c r="X1061" s="87"/>
      <x:c r="Y1061" s="87"/>
      <x:c r="Z1061" s="87"/>
      <x:c r="AA1061" s="87"/>
      <x:c r="AB1061" s="87"/>
      <x:c r="AC1061" s="87"/>
      <x:c r="AD1061" s="87"/>
      <x:c r="AE1061" s="87"/>
      <x:c r="AF1061" s="87"/>
      <x:c r="AG1061" s="87"/>
      <x:c r="AH1061" s="87"/>
      <x:c r="AI1061" s="30"/>
      <x:c r="AJ1061" s="87" t="str">
        <x:v>master</x:v>
      </x:c>
      <x:c r="AK1061" s="87" t="str">
        <x:v>master-v0.81</x:v>
      </x:c>
      <x:c r="AL1061" s="87" t="str">
        <x:v>statgrad_master_base_v0_81_final(2).xlsx</x:v>
      </x:c>
      <x:c r="AM1061" s="87" t="str">
        <x:v>CHEM_Mar_V4</x:v>
      </x:c>
      <x:c r="AN1061" s="87" t="n">
        <x:v>26</x:v>
      </x:c>
    </x:row>
    <x:row r="1062">
      <x:c r="A1062" s="87" t="n">
        <x:v>1061</x:v>
      </x:c>
      <x:c r="B1062" s="87" t="str">
        <x:v>MAR-CHEM-V4-026</x:v>
      </x:c>
      <x:c r="C1062" s="87" t="str">
        <x:v>СтатГрад</x:v>
      </x:c>
      <x:c r="D1062" s="87" t="str">
        <x:v>Март 2026</x:v>
      </x:c>
      <x:c r="E1062" s="87"/>
      <x:c r="F1062" s="87"/>
      <x:c r="G1062" s="87" t="str">
        <x:v>Химия</x:v>
      </x:c>
      <x:c r="H1062" s="87" t="n">
        <x:v>11</x:v>
      </x:c>
      <x:c r="I1062" s="87" t="str">
        <x:v>ТР №4</x:v>
      </x:c>
      <x:c r="J1062" s="87" t="str">
        <x:v>ХИ2510404</x:v>
      </x:c>
      <x:c r="K1062" s="87" t="n">
        <x:v>26</x:v>
      </x:c>
      <x:c r="L1062" s="87" t="str">
        <x:v>Расчёт концентрации</x:v>
      </x:c>
      <x:c r="M1062" s="30" t="str">
        <x:v>К 200 мл 2 М KOH (ρ=1,09) добавить воду до 5%-го раствора.</x:v>
      </x:c>
      <x:c r="N1062" s="30" t="str">
        <x:v>230</x:v>
      </x:c>
      <x:c r="O1062" s="30" t="str">
        <x:v>m(раствора)=218 г; n(KOH)=0,4 моль, m=22,4 г; 22,4/(218+mводы)=0,05, mводы=230 г.</x:v>
      </x:c>
      <x:c r="P1062" s="30" t="str">
        <x:v>Плотность воды 1 г/мл, поэтому V=230 мл.</x:v>
      </x:c>
      <x:c r="Q1062" s="30"/>
      <x:c r="R1062" s="30" t="str">
        <x:v>PDF + независимая проверка</x:v>
      </x:c>
      <x:c r="S1062" s="30"/>
      <x:c r="T1062" s="30"/>
      <x:c r="U1062" s="30" t="str">
        <x:v>Расхождений не обнаружено.</x:v>
      </x:c>
      <x:c r="V1062" s="87" t="str">
        <x:v>VERIFIED</x:v>
      </x:c>
      <x:c r="W1062" s="87" t="str">
        <x:v>PDF варианта, внутренняя стр. 14</x:v>
      </x:c>
      <x:c r="X1062" s="87"/>
      <x:c r="Y1062" s="87"/>
      <x:c r="Z1062" s="87"/>
      <x:c r="AA1062" s="87"/>
      <x:c r="AB1062" s="87"/>
      <x:c r="AC1062" s="87"/>
      <x:c r="AD1062" s="87"/>
      <x:c r="AE1062" s="87"/>
      <x:c r="AF1062" s="87"/>
      <x:c r="AG1062" s="87"/>
      <x:c r="AH1062" s="87"/>
      <x:c r="AI1062" s="30"/>
      <x:c r="AJ1062" s="87" t="str">
        <x:v>master</x:v>
      </x:c>
      <x:c r="AK1062" s="87" t="str">
        <x:v>master-v0.81</x:v>
      </x:c>
      <x:c r="AL1062" s="87" t="str">
        <x:v>statgrad_master_base_v0_81_final(2).xlsx</x:v>
      </x:c>
      <x:c r="AM1062" s="87" t="str">
        <x:v>CHEM_Mar_V4</x:v>
      </x:c>
      <x:c r="AN1062" s="87" t="n">
        <x:v>27</x:v>
      </x:c>
    </x:row>
    <x:row r="1063">
      <x:c r="A1063" s="87" t="n">
        <x:v>1062</x:v>
      </x:c>
      <x:c r="B1063" s="87" t="str">
        <x:v>MAR-CHEM-V4-027</x:v>
      </x:c>
      <x:c r="C1063" s="87" t="str">
        <x:v>СтатГрад</x:v>
      </x:c>
      <x:c r="D1063" s="87" t="str">
        <x:v>Март 2026</x:v>
      </x:c>
      <x:c r="E1063" s="87"/>
      <x:c r="F1063" s="87"/>
      <x:c r="G1063" s="87" t="str">
        <x:v>Химия</x:v>
      </x:c>
      <x:c r="H1063" s="87" t="n">
        <x:v>11</x:v>
      </x:c>
      <x:c r="I1063" s="87" t="str">
        <x:v>ТР №4</x:v>
      </x:c>
      <x:c r="J1063" s="87" t="str">
        <x:v>ХИ2510404</x:v>
      </x:c>
      <x:c r="K1063" s="87" t="n">
        <x:v>27</x:v>
      </x:c>
      <x:c r="L1063" s="87" t="str">
        <x:v>Термохимический расчёт</x:v>
      </x:c>
      <x:c r="M1063" s="30" t="str">
        <x:v>При нейтрализации Ba(OH)₂ выделилось 2,8 кДж; найти массу BaCl₂.</x:v>
      </x:c>
      <x:c r="N1063" s="30" t="str">
        <x:v>5,2</x:v>
      </x:c>
      <x:c r="O1063" s="30" t="str">
        <x:v>n(H₂O)=2,8/56=0,05 моль; n(BaCl₂)=0,025 моль; M=208 г/моль, m=5,2 г.</x:v>
      </x:c>
      <x:c r="P1063" s="30" t="str">
        <x:v>Стехиометрия двух OH⁻ на Ba(OH)₂ проверена.</x:v>
      </x:c>
      <x:c r="Q1063" s="30"/>
      <x:c r="R1063" s="30" t="str">
        <x:v>PDF + независимая проверка</x:v>
      </x:c>
      <x:c r="S1063" s="30"/>
      <x:c r="T1063" s="30"/>
      <x:c r="U1063" s="30" t="str">
        <x:v>Расхождений не обнаружено.</x:v>
      </x:c>
      <x:c r="V1063" s="87" t="str">
        <x:v>VERIFIED</x:v>
      </x:c>
      <x:c r="W1063" s="87" t="str">
        <x:v>PDF варианта, внутренняя стр. 14</x:v>
      </x:c>
      <x:c r="X1063" s="87"/>
      <x:c r="Y1063" s="87"/>
      <x:c r="Z1063" s="87"/>
      <x:c r="AA1063" s="87"/>
      <x:c r="AB1063" s="87"/>
      <x:c r="AC1063" s="87"/>
      <x:c r="AD1063" s="87"/>
      <x:c r="AE1063" s="87"/>
      <x:c r="AF1063" s="87"/>
      <x:c r="AG1063" s="87"/>
      <x:c r="AH1063" s="87"/>
      <x:c r="AI1063" s="30"/>
      <x:c r="AJ1063" s="87" t="str">
        <x:v>master</x:v>
      </x:c>
      <x:c r="AK1063" s="87" t="str">
        <x:v>master-v0.81</x:v>
      </x:c>
      <x:c r="AL1063" s="87" t="str">
        <x:v>statgrad_master_base_v0_81_final(2).xlsx</x:v>
      </x:c>
      <x:c r="AM1063" s="87" t="str">
        <x:v>CHEM_Mar_V4</x:v>
      </x:c>
      <x:c r="AN1063" s="87" t="n">
        <x:v>28</x:v>
      </x:c>
    </x:row>
    <x:row r="1064">
      <x:c r="A1064" s="87" t="n">
        <x:v>1063</x:v>
      </x:c>
      <x:c r="B1064" s="87" t="str">
        <x:v>MAR-CHEM-V4-028</x:v>
      </x:c>
      <x:c r="C1064" s="87" t="str">
        <x:v>СтатГрад</x:v>
      </x:c>
      <x:c r="D1064" s="87" t="str">
        <x:v>Март 2026</x:v>
      </x:c>
      <x:c r="E1064" s="87"/>
      <x:c r="F1064" s="87"/>
      <x:c r="G1064" s="87" t="str">
        <x:v>Химия</x:v>
      </x:c>
      <x:c r="H1064" s="87" t="n">
        <x:v>11</x:v>
      </x:c>
      <x:c r="I1064" s="87" t="str">
        <x:v>ТР №4</x:v>
      </x:c>
      <x:c r="J1064" s="87" t="str">
        <x:v>ХИ2510404</x:v>
      </x:c>
      <x:c r="K1064" s="87" t="n">
        <x:v>28</x:v>
      </x:c>
      <x:c r="L1064" s="87" t="str">
        <x:v>Выход продукта</x:v>
      </x:c>
      <x:c r="M1064" s="30" t="str">
        <x:v>При нагревании 6,32 г KMnO₄ получено 336 мл O₂; найти выход.</x:v>
      </x:c>
      <x:c r="N1064" s="30" t="str">
        <x:v>75</x:v>
      </x:c>
      <x:c r="O1064" s="30" t="str">
        <x:v>n(KMnO₄)=0,04; теоретически n(O₂)=0,02, V=448 мл; η=336/448·100%=75%.</x:v>
      </x:c>
      <x:c r="P1064" s="30" t="str">
        <x:v>Расчёт проверен по 2KMnO₄→K₂MnO₄+MnO₂+O₂.</x:v>
      </x:c>
      <x:c r="Q1064" s="30"/>
      <x:c r="R1064" s="30" t="str">
        <x:v>PDF + независимая проверка</x:v>
      </x:c>
      <x:c r="S1064" s="30"/>
      <x:c r="T1064" s="30"/>
      <x:c r="U1064" s="30" t="str">
        <x:v>Расхождений не обнаружено.</x:v>
      </x:c>
      <x:c r="V1064" s="87" t="str">
        <x:v>VERIFIED</x:v>
      </x:c>
      <x:c r="W1064" s="87" t="str">
        <x:v>PDF варианта, внутренняя стр. 14</x:v>
      </x:c>
      <x:c r="X1064" s="87"/>
      <x:c r="Y1064" s="87"/>
      <x:c r="Z1064" s="87"/>
      <x:c r="AA1064" s="87"/>
      <x:c r="AB1064" s="87"/>
      <x:c r="AC1064" s="87"/>
      <x:c r="AD1064" s="87"/>
      <x:c r="AE1064" s="87"/>
      <x:c r="AF1064" s="87"/>
      <x:c r="AG1064" s="87"/>
      <x:c r="AH1064" s="87"/>
      <x:c r="AI1064" s="30"/>
      <x:c r="AJ1064" s="87" t="str">
        <x:v>master</x:v>
      </x:c>
      <x:c r="AK1064" s="87" t="str">
        <x:v>master-v0.81</x:v>
      </x:c>
      <x:c r="AL1064" s="87" t="str">
        <x:v>statgrad_master_base_v0_81_final(2).xlsx</x:v>
      </x:c>
      <x:c r="AM1064" s="87" t="str">
        <x:v>CHEM_Mar_V4</x:v>
      </x:c>
      <x:c r="AN1064" s="87" t="n">
        <x:v>29</x:v>
      </x:c>
    </x:row>
    <x:row r="1065">
      <x:c r="A1065" s="87" t="n">
        <x:v>1064</x:v>
      </x:c>
      <x:c r="B1065" s="87" t="str">
        <x:v>MAR-CHEM-V4-029</x:v>
      </x:c>
      <x:c r="C1065" s="87" t="str">
        <x:v>СтатГрад</x:v>
      </x:c>
      <x:c r="D1065" s="87" t="str">
        <x:v>Март 2026</x:v>
      </x:c>
      <x:c r="E1065" s="87"/>
      <x:c r="F1065" s="87"/>
      <x:c r="G1065" s="87" t="str">
        <x:v>Химия</x:v>
      </x:c>
      <x:c r="H1065" s="87" t="n">
        <x:v>11</x:v>
      </x:c>
      <x:c r="I1065" s="87" t="str">
        <x:v>ТР №4</x:v>
      </x:c>
      <x:c r="J1065" s="87" t="str">
        <x:v>ХИ2510404</x:v>
      </x:c>
      <x:c r="K1065" s="87" t="n">
        <x:v>29</x:v>
      </x:c>
      <x:c r="L1065" s="87" t="str">
        <x:v>Развёрнутый ответ: ОВР</x:v>
      </x:c>
      <x:c r="M1065" s="30" t="str">
        <x:v>Из перечня выбрать ОВР с образованием нерастворимого вещества; составить баланс.</x:v>
      </x:c>
      <x:c r="N1065" s="30" t="str">
        <x:v>K₂Cr₂O₇ + 3K₂S + 7H₂SO₄ → Cr₂(SO₄)₃ + 3S↓ + 4K₂SO₄ + 7H₂O.
Баланс: Cr(+6)+3e⁻→Cr(+3) (×2); S(−2)−2e⁻→S(0) (×3).
Окислитель K₂Cr₂O₇, восстановитель K₂S.</x:v>
      </x:c>
      <x:c r="O1065" s="30" t="str">
        <x:v>Образуется нерастворимая сера; атомы и заряд электронного баланса проверены.</x:v>
      </x:c>
      <x:c r="P1065" s="30" t="str">
        <x:v>Независимое развёрнутое решение</x:v>
      </x:c>
      <x:c r="Q1065" s="30"/>
      <x:c r="R1065" s="30" t="str">
        <x:v>PDF + независимая проверка</x:v>
      </x:c>
      <x:c r="S1065" s="30"/>
      <x:c r="T1065" s="30"/>
      <x:c r="U1065" s="30" t="str">
        <x:v>Расхождений не обнаружено.</x:v>
      </x:c>
      <x:c r="V1065" s="87" t="str">
        <x:v>VERIFIED</x:v>
      </x:c>
      <x:c r="W1065" s="87" t="str">
        <x:v>PDF варианта, внутренняя стр. 15</x:v>
      </x:c>
      <x:c r="X1065" s="87"/>
      <x:c r="Y1065" s="87"/>
      <x:c r="Z1065" s="87"/>
      <x:c r="AA1065" s="87"/>
      <x:c r="AB1065" s="87"/>
      <x:c r="AC1065" s="87"/>
      <x:c r="AD1065" s="87"/>
      <x:c r="AE1065" s="87"/>
      <x:c r="AF1065" s="87"/>
      <x:c r="AG1065" s="87"/>
      <x:c r="AH1065" s="87"/>
      <x:c r="AI1065" s="30"/>
      <x:c r="AJ1065" s="87" t="str">
        <x:v>master</x:v>
      </x:c>
      <x:c r="AK1065" s="87" t="str">
        <x:v>master-v0.81</x:v>
      </x:c>
      <x:c r="AL1065" s="87" t="str">
        <x:v>statgrad_master_base_v0_81_final(2).xlsx</x:v>
      </x:c>
      <x:c r="AM1065" s="87" t="str">
        <x:v>CHEM_Mar_V4</x:v>
      </x:c>
      <x:c r="AN1065" s="87" t="n">
        <x:v>30</x:v>
      </x:c>
    </x:row>
    <x:row r="1066">
      <x:c r="A1066" s="87" t="n">
        <x:v>1065</x:v>
      </x:c>
      <x:c r="B1066" s="87" t="str">
        <x:v>MAR-CHEM-V4-030</x:v>
      </x:c>
      <x:c r="C1066" s="87" t="str">
        <x:v>СтатГрад</x:v>
      </x:c>
      <x:c r="D1066" s="87" t="str">
        <x:v>Март 2026</x:v>
      </x:c>
      <x:c r="E1066" s="87"/>
      <x:c r="F1066" s="87"/>
      <x:c r="G1066" s="87" t="str">
        <x:v>Химия</x:v>
      </x:c>
      <x:c r="H1066" s="87" t="n">
        <x:v>11</x:v>
      </x:c>
      <x:c r="I1066" s="87" t="str">
        <x:v>ТР №4</x:v>
      </x:c>
      <x:c r="J1066" s="87" t="str">
        <x:v>ХИ2510404</x:v>
      </x:c>
      <x:c r="K1066" s="87" t="n">
        <x:v>30</x:v>
      </x:c>
      <x:c r="L1066" s="87" t="str">
        <x:v>Развёрнутый ответ: ионный обмен</x:v>
      </x:c>
      <x:c r="M1066" s="30" t="str">
        <x:v>Выбрать реакцию обмена без выделения газа и записать три уравнения.</x:v>
      </x:c>
      <x:c r="N1066" s="30" t="str">
        <x:v>Молекулярное: Cu(OH)₂ + H₂SO₄ → CuSO₄ + 2H₂O.
Полное ионное: Cu(OH)₂(т)+2H⁺+SO₄²⁻→Cu²⁺+SO₄²⁻+2H₂O.
Сокращённое: Cu(OH)₂(т)+2H⁺→Cu²⁺+2H₂O.</x:v>
      </x:c>
      <x:c r="O1066" s="30" t="str">
        <x:v>Движущая сила — образование слабого электролита воды и растворение осадка.</x:v>
      </x:c>
      <x:c r="P1066" s="30" t="str">
        <x:v>Независимое развёрнутое решение</x:v>
      </x:c>
      <x:c r="Q1066" s="30"/>
      <x:c r="R1066" s="30" t="str">
        <x:v>PDF + независимая проверка</x:v>
      </x:c>
      <x:c r="S1066" s="30"/>
      <x:c r="T1066" s="30"/>
      <x:c r="U1066" s="30" t="str">
        <x:v>Расхождений не обнаружено.</x:v>
      </x:c>
      <x:c r="V1066" s="87" t="str">
        <x:v>VERIFIED</x:v>
      </x:c>
      <x:c r="W1066" s="87" t="str">
        <x:v>PDF варианта, внутренняя стр. 15</x:v>
      </x:c>
      <x:c r="X1066" s="87"/>
      <x:c r="Y1066" s="87"/>
      <x:c r="Z1066" s="87"/>
      <x:c r="AA1066" s="87"/>
      <x:c r="AB1066" s="87"/>
      <x:c r="AC1066" s="87"/>
      <x:c r="AD1066" s="87"/>
      <x:c r="AE1066" s="87"/>
      <x:c r="AF1066" s="87"/>
      <x:c r="AG1066" s="87"/>
      <x:c r="AH1066" s="87"/>
      <x:c r="AI1066" s="30"/>
      <x:c r="AJ1066" s="87" t="str">
        <x:v>master</x:v>
      </x:c>
      <x:c r="AK1066" s="87" t="str">
        <x:v>master-v0.81</x:v>
      </x:c>
      <x:c r="AL1066" s="87" t="str">
        <x:v>statgrad_master_base_v0_81_final(2).xlsx</x:v>
      </x:c>
      <x:c r="AM1066" s="87" t="str">
        <x:v>CHEM_Mar_V4</x:v>
      </x:c>
      <x:c r="AN1066" s="87" t="n">
        <x:v>31</x:v>
      </x:c>
    </x:row>
    <x:row r="1067">
      <x:c r="A1067" s="87" t="n">
        <x:v>1066</x:v>
      </x:c>
      <x:c r="B1067" s="87" t="str">
        <x:v>MAR-CHEM-V4-031</x:v>
      </x:c>
      <x:c r="C1067" s="87" t="str">
        <x:v>СтатГрад</x:v>
      </x:c>
      <x:c r="D1067" s="87" t="str">
        <x:v>Март 2026</x:v>
      </x:c>
      <x:c r="E1067" s="87"/>
      <x:c r="F1067" s="87"/>
      <x:c r="G1067" s="87" t="str">
        <x:v>Химия</x:v>
      </x:c>
      <x:c r="H1067" s="87" t="n">
        <x:v>11</x:v>
      </x:c>
      <x:c r="I1067" s="87" t="str">
        <x:v>ТР №4</x:v>
      </x:c>
      <x:c r="J1067" s="87" t="str">
        <x:v>ХИ2510404</x:v>
      </x:c>
      <x:c r="K1067" s="87" t="n">
        <x:v>31</x:v>
      </x:c>
      <x:c r="L1067" s="87" t="str">
        <x:v>Развёрнутый ответ: неорганическая цепочка</x:v>
      </x:c>
      <x:c r="M1067" s="30" t="str">
        <x:v>Записать четыре реакции по описанию восстановления нитрата цинком в щёлочи.</x:v>
      </x:c>
      <x:c r="N1067" s="30" t="str">
        <x:v>1) NaNO₃+4Zn+7NaOH+6H₂O→NH₃↑+4Na₂[Zn(OH)₄].
2) 2NH₃+3CuO→N₂+3Cu+3H₂O.
3) Na₂[Zn(OH)₄]+CO₂→Zn(OH)₂↓+Na₂CO₃+H₂O.
4) Zn(OH)₂→ZnO+H₂O (t).</x:v>
      </x:c>
      <x:c r="O1067" s="30" t="str">
        <x:v>Все четыре уравнения уравнены; продукты соответствуют последовательности опыта.</x:v>
      </x:c>
      <x:c r="P1067" s="30" t="str">
        <x:v>Независимое развёрнутое решение</x:v>
      </x:c>
      <x:c r="Q1067" s="30"/>
      <x:c r="R1067" s="30" t="str">
        <x:v>PDF + независимая проверка</x:v>
      </x:c>
      <x:c r="S1067" s="30"/>
      <x:c r="T1067" s="30"/>
      <x:c r="U1067" s="30" t="str">
        <x:v>Расхождений не обнаружено.</x:v>
      </x:c>
      <x:c r="V1067" s="87" t="str">
        <x:v>VERIFIED</x:v>
      </x:c>
      <x:c r="W1067" s="87" t="str">
        <x:v>PDF варианта, внутренняя стр. 15</x:v>
      </x:c>
      <x:c r="X1067" s="87"/>
      <x:c r="Y1067" s="87"/>
      <x:c r="Z1067" s="87"/>
      <x:c r="AA1067" s="87"/>
      <x:c r="AB1067" s="87"/>
      <x:c r="AC1067" s="87"/>
      <x:c r="AD1067" s="87"/>
      <x:c r="AE1067" s="87"/>
      <x:c r="AF1067" s="87"/>
      <x:c r="AG1067" s="87"/>
      <x:c r="AH1067" s="87"/>
      <x:c r="AI1067" s="30"/>
      <x:c r="AJ1067" s="87" t="str">
        <x:v>master</x:v>
      </x:c>
      <x:c r="AK1067" s="87" t="str">
        <x:v>master-v0.81</x:v>
      </x:c>
      <x:c r="AL1067" s="87" t="str">
        <x:v>statgrad_master_base_v0_81_final(2).xlsx</x:v>
      </x:c>
      <x:c r="AM1067" s="87" t="str">
        <x:v>CHEM_Mar_V4</x:v>
      </x:c>
      <x:c r="AN1067" s="87" t="n">
        <x:v>32</x:v>
      </x:c>
    </x:row>
    <x:row r="1068">
      <x:c r="A1068" s="87" t="n">
        <x:v>1067</x:v>
      </x:c>
      <x:c r="B1068" s="87" t="str">
        <x:v>MAR-CHEM-V4-032</x:v>
      </x:c>
      <x:c r="C1068" s="87" t="str">
        <x:v>СтатГрад</x:v>
      </x:c>
      <x:c r="D1068" s="87" t="str">
        <x:v>Март 2026</x:v>
      </x:c>
      <x:c r="E1068" s="87"/>
      <x:c r="F1068" s="87"/>
      <x:c r="G1068" s="87" t="str">
        <x:v>Химия</x:v>
      </x:c>
      <x:c r="H1068" s="87" t="n">
        <x:v>11</x:v>
      </x:c>
      <x:c r="I1068" s="87" t="str">
        <x:v>ТР №4</x:v>
      </x:c>
      <x:c r="J1068" s="87" t="str">
        <x:v>ХИ2510404</x:v>
      </x:c>
      <x:c r="K1068" s="87" t="n">
        <x:v>32</x:v>
      </x:c>
      <x:c r="L1068" s="87" t="str">
        <x:v>Развёрнутый ответ: органическая цепочка</x:v>
      </x:c>
      <x:c r="M1068" s="30" t="str">
        <x:v>Осуществить превращения пентадиен-1,4 → X₁ → циклопентан → X₂ → X₃ → C₅H₈O₄.</x:v>
      </x:c>
      <x:c r="N1068" s="30" t="str">
        <x:v>1) CH₂=CH–CH₂–CH=CH₂+2HBr → BrCH₂–CH₂–CH₂–CH₂–CH₂Br (H₂O₂).
2) Br(CH₂)₅Br+2Na→циклопентан+2NaBr.
3) Циклопентан+Br₂→бромциклопентан+HBr (hν).
4) Бромциклопентан+KOH(водн.)→циклопентанол+KBr.
5) Циклопентанол+4[O]→HOOC–(CH₂)₃–COOH+H₂O.</x:v>
      </x:c>
      <x:c r="O1068" s="30" t="str">
        <x:v>X₁=1,5-дибромпентан; X₂=бромциклопентан; X₃=циклопентанол; конечный продукт — глутаровая кислота.</x:v>
      </x:c>
      <x:c r="P1068" s="30" t="str">
        <x:v>Независимое развёрнутое решение</x:v>
      </x:c>
      <x:c r="Q1068" s="30"/>
      <x:c r="R1068" s="30" t="str">
        <x:v>PDF + независимая проверка</x:v>
      </x:c>
      <x:c r="S1068" s="30"/>
      <x:c r="T1068" s="30"/>
      <x:c r="U1068" s="30" t="str">
        <x:v>Расхождений не обнаружено.</x:v>
      </x:c>
      <x:c r="V1068" s="87" t="str">
        <x:v>VERIFIED</x:v>
      </x:c>
      <x:c r="W1068" s="87" t="str">
        <x:v>PDF варианта, внутренняя стр. 15</x:v>
      </x:c>
      <x:c r="X1068" s="87"/>
      <x:c r="Y1068" s="87"/>
      <x:c r="Z1068" s="87"/>
      <x:c r="AA1068" s="87"/>
      <x:c r="AB1068" s="87"/>
      <x:c r="AC1068" s="87"/>
      <x:c r="AD1068" s="87"/>
      <x:c r="AE1068" s="87"/>
      <x:c r="AF1068" s="87"/>
      <x:c r="AG1068" s="87"/>
      <x:c r="AH1068" s="87"/>
      <x:c r="AI1068" s="30"/>
      <x:c r="AJ1068" s="87" t="str">
        <x:v>master</x:v>
      </x:c>
      <x:c r="AK1068" s="87" t="str">
        <x:v>master-v0.81</x:v>
      </x:c>
      <x:c r="AL1068" s="87" t="str">
        <x:v>statgrad_master_base_v0_81_final(2).xlsx</x:v>
      </x:c>
      <x:c r="AM1068" s="87" t="str">
        <x:v>CHEM_Mar_V4</x:v>
      </x:c>
      <x:c r="AN1068" s="87" t="n">
        <x:v>33</x:v>
      </x:c>
    </x:row>
    <x:row r="1069">
      <x:c r="A1069" s="87" t="n">
        <x:v>1068</x:v>
      </x:c>
      <x:c r="B1069" s="87" t="str">
        <x:v>MAR-CHEM-V4-033</x:v>
      </x:c>
      <x:c r="C1069" s="87" t="str">
        <x:v>СтатГрад</x:v>
      </x:c>
      <x:c r="D1069" s="87" t="str">
        <x:v>Март 2026</x:v>
      </x:c>
      <x:c r="E1069" s="87"/>
      <x:c r="F1069" s="87"/>
      <x:c r="G1069" s="87" t="str">
        <x:v>Химия</x:v>
      </x:c>
      <x:c r="H1069" s="87" t="n">
        <x:v>11</x:v>
      </x:c>
      <x:c r="I1069" s="87" t="str">
        <x:v>ТР №4</x:v>
      </x:c>
      <x:c r="J1069" s="87" t="str">
        <x:v>ХИ2510404</x:v>
      </x:c>
      <x:c r="K1069" s="87" t="n">
        <x:v>33</x:v>
      </x:c>
      <x:c r="L1069" s="87" t="str">
        <x:v>Развёрнутый ответ: установление формулы</x:v>
      </x:c>
      <x:c r="M1069" s="30" t="str">
        <x:v>По продуктам сгорания установить растворитель A и записать восстановление Zn/HCl.</x:v>
      </x:c>
      <x:c r="N1069" s="30" t="str">
        <x:v>n(CO₂)=0,12; n(N₂)=0,02; n(H₂O)=0,14; n(A)=0,04 моль (один N), M=89.
Формула C₃H₇NO₂; симметричная небазовая структура: CH₃–CH(NO₂)–CH₃ (2-нитропропан).
CH₃–CH(NO₂)–CH₃+3Zn+6HCl→CH₃–CH(NH₂)–CH₃+3ZnCl₂+2H₂O.</x:v>
      </x:c>
      <x:c r="O1069" s="30" t="str">
        <x:v>Массовый баланс C/H/N/O и симметрия молекулы проверены.</x:v>
      </x:c>
      <x:c r="P1069" s="30" t="str">
        <x:v>Независимое развёрнутое решение</x:v>
      </x:c>
      <x:c r="Q1069" s="30"/>
      <x:c r="R1069" s="30" t="str">
        <x:v>PDF + независимая проверка</x:v>
      </x:c>
      <x:c r="S1069" s="30"/>
      <x:c r="T1069" s="30"/>
      <x:c r="U1069" s="30" t="str">
        <x:v>Расхождений не обнаружено.</x:v>
      </x:c>
      <x:c r="V1069" s="87" t="str">
        <x:v>VERIFIED</x:v>
      </x:c>
      <x:c r="W1069" s="87" t="str">
        <x:v>PDF варианта, внутренняя стр. 16</x:v>
      </x:c>
      <x:c r="X1069" s="87"/>
      <x:c r="Y1069" s="87"/>
      <x:c r="Z1069" s="87"/>
      <x:c r="AA1069" s="87"/>
      <x:c r="AB1069" s="87"/>
      <x:c r="AC1069" s="87"/>
      <x:c r="AD1069" s="87"/>
      <x:c r="AE1069" s="87"/>
      <x:c r="AF1069" s="87"/>
      <x:c r="AG1069" s="87"/>
      <x:c r="AH1069" s="87"/>
      <x:c r="AI1069" s="30"/>
      <x:c r="AJ1069" s="87" t="str">
        <x:v>master</x:v>
      </x:c>
      <x:c r="AK1069" s="87" t="str">
        <x:v>master-v0.81</x:v>
      </x:c>
      <x:c r="AL1069" s="87" t="str">
        <x:v>statgrad_master_base_v0_81_final(2).xlsx</x:v>
      </x:c>
      <x:c r="AM1069" s="87" t="str">
        <x:v>CHEM_Mar_V4</x:v>
      </x:c>
      <x:c r="AN1069" s="87" t="n">
        <x:v>34</x:v>
      </x:c>
    </x:row>
    <x:row r="1070">
      <x:c r="A1070" s="87" t="n">
        <x:v>1069</x:v>
      </x:c>
      <x:c r="B1070" s="87" t="str">
        <x:v>MAR-CHEM-V4-034</x:v>
      </x:c>
      <x:c r="C1070" s="87" t="str">
        <x:v>СтатГрад</x:v>
      </x:c>
      <x:c r="D1070" s="87" t="str">
        <x:v>Март 2026</x:v>
      </x:c>
      <x:c r="E1070" s="87"/>
      <x:c r="F1070" s="87"/>
      <x:c r="G1070" s="87" t="str">
        <x:v>Химия</x:v>
      </x:c>
      <x:c r="H1070" s="87" t="n">
        <x:v>11</x:v>
      </x:c>
      <x:c r="I1070" s="87" t="str">
        <x:v>ТР №4</x:v>
      </x:c>
      <x:c r="J1070" s="87" t="str">
        <x:v>ХИ2510404</x:v>
      </x:c>
      <x:c r="K1070" s="87" t="n">
        <x:v>34</x:v>
      </x:c>
      <x:c r="L1070" s="87" t="str">
        <x:v>Развёрнутый ответ: расчёт смеси</x:v>
      </x:c>
      <x:c r="M1070" s="30" t="str">
        <x:v>Разложение FeC₂O₄; газы поглотить 200 г 10%-го NaOH; найти массовые доли веществ.</x:v>
      </x:c>
      <x:c r="N1070" s="30" t="str">
        <x:v>FeC₂O₄→FeO+CO+CO₂; FeO+CO→Fe+CO₂.
В остатке 0,10 моль Fe и 0,10 моль FeO; газы: 0,10 моль CO и 0,30 моль CO₂.
0,50 моль NaOH и 0,30 моль CO₂ дают 0,20 моль Na₂CO₃ и 0,10 моль NaHCO₃.
Итоговая масса раствора 213,2 г; w(Na₂CO₃)=9,94%, w(NaHCO₃)=3,94%.</x:v>
      </x:c>
      <x:c r="O1070" s="30" t="str">
        <x:v>Материальный баланс по Fe, C и NaOH проверен; CO не поглощается.</x:v>
      </x:c>
      <x:c r="P1070" s="30" t="str">
        <x:v>Независимое развёрнутое решение</x:v>
      </x:c>
      <x:c r="Q1070" s="30"/>
      <x:c r="R1070" s="30" t="str">
        <x:v>PDF + независимая проверка</x:v>
      </x:c>
      <x:c r="S1070" s="30"/>
      <x:c r="T1070" s="30"/>
      <x:c r="U1070" s="30" t="str">
        <x:v>Расхождений не обнаружено.</x:v>
      </x:c>
      <x:c r="V1070" s="87" t="str">
        <x:v>VERIFIED</x:v>
      </x:c>
      <x:c r="W1070" s="87" t="str">
        <x:v>PDF варианта, внутренняя стр. 16</x:v>
      </x:c>
      <x:c r="X1070" s="87"/>
      <x:c r="Y1070" s="87"/>
      <x:c r="Z1070" s="87"/>
      <x:c r="AA1070" s="87"/>
      <x:c r="AB1070" s="87"/>
      <x:c r="AC1070" s="87"/>
      <x:c r="AD1070" s="87"/>
      <x:c r="AE1070" s="87"/>
      <x:c r="AF1070" s="87"/>
      <x:c r="AG1070" s="87"/>
      <x:c r="AH1070" s="87"/>
      <x:c r="AI1070" s="30"/>
      <x:c r="AJ1070" s="87" t="str">
        <x:v>master</x:v>
      </x:c>
      <x:c r="AK1070" s="87" t="str">
        <x:v>master-v0.81</x:v>
      </x:c>
      <x:c r="AL1070" s="87" t="str">
        <x:v>statgrad_master_base_v0_81_final(2).xlsx</x:v>
      </x:c>
      <x:c r="AM1070" s="87" t="str">
        <x:v>CHEM_Mar_V4</x:v>
      </x:c>
      <x:c r="AN1070" s="87" t="n">
        <x:v>35</x:v>
      </x:c>
    </x:row>
    <x:row r="1071">
      <x:c r="A1071" s="87" t="n">
        <x:v>1070</x:v>
      </x:c>
      <x:c r="B1071" s="87" t="str">
        <x:v>MAR-PHYS-V1-001</x:v>
      </x:c>
      <x:c r="C1071" s="87" t="str">
        <x:v>СтатГрад</x:v>
      </x:c>
      <x:c r="D1071" s="87" t="str">
        <x:v>Март 2026</x:v>
      </x:c>
      <x:c r="E1071" s="87"/>
      <x:c r="F1071" s="87"/>
      <x:c r="G1071" s="87" t="str">
        <x:v>Физика</x:v>
      </x:c>
      <x:c r="H1071" s="87" t="n">
        <x:v>11</x:v>
      </x:c>
      <x:c r="I1071" s="87" t="str">
        <x:v>ТР №4</x:v>
      </x:c>
      <x:c r="J1071" s="87" t="str">
        <x:v>ФИ2510401</x:v>
      </x:c>
      <x:c r="K1071" s="87" t="n">
        <x:v>1</x:v>
      </x:c>
      <x:c r="L1071" s="87" t="str">
        <x:v>Кинематика: график скорости</x:v>
      </x:c>
      <x:c r="M1071" s="30" t="str">
        <x:v>По графику vₓ(t) определить проекцию ускорения на интервале 0–10 с.</x:v>
      </x:c>
      <x:c r="N1071" s="30" t="str">
        <x:v>−1,25</x:v>
      </x:c>
      <x:c r="O1071" s="30" t="str">
        <x:v>Участок линейный: v(0)=10 м/с, v(10)=−2,5 м/с. aₓ=(−2,5−10)/10=−1,25 м/с².</x:v>
      </x:c>
      <x:c r="P1071" s="30" t="str">
        <x:v>Наклон прямой дополнительно проверен по точкам (0;10) и (16;−10).</x:v>
      </x:c>
      <x:c r="Q1071" s="30"/>
      <x:c r="R1071" s="30" t="str">
        <x:v>Полный PDF задания + независимое решение</x:v>
      </x:c>
      <x:c r="S1071" s="30"/>
      <x:c r="T1071" s="30"/>
      <x:c r="U1071" s="30" t="str">
        <x:v>Расхождений не обнаружено.</x:v>
      </x:c>
      <x:c r="V1071" s="87" t="str">
        <x:v>VERIFIED</x:v>
      </x:c>
      <x:c r="W1071" s="87" t="str">
        <x:v>PDF варианта, задание 1</x:v>
      </x:c>
      <x:c r="X1071" s="87"/>
      <x:c r="Y1071" s="87"/>
      <x:c r="Z1071" s="87"/>
      <x:c r="AA1071" s="87"/>
      <x:c r="AB1071" s="87"/>
      <x:c r="AC1071" s="87"/>
      <x:c r="AD1071" s="87"/>
      <x:c r="AE1071" s="87"/>
      <x:c r="AF1071" s="87"/>
      <x:c r="AG1071" s="87"/>
      <x:c r="AH1071" s="87"/>
      <x:c r="AI1071" s="30"/>
      <x:c r="AJ1071" s="87" t="str">
        <x:v>master</x:v>
      </x:c>
      <x:c r="AK1071" s="87" t="str">
        <x:v>master-v0.81</x:v>
      </x:c>
      <x:c r="AL1071" s="87" t="str">
        <x:v>statgrad_master_base_v0_81_final(2).xlsx</x:v>
      </x:c>
      <x:c r="AM1071" s="87" t="str">
        <x:v>PHYS_Mar_V1</x:v>
      </x:c>
      <x:c r="AN1071" s="87" t="n">
        <x:v>2</x:v>
      </x:c>
    </x:row>
    <x:row r="1072">
      <x:c r="A1072" s="87" t="n">
        <x:v>1071</x:v>
      </x:c>
      <x:c r="B1072" s="87" t="str">
        <x:v>MAR-PHYS-V1-002</x:v>
      </x:c>
      <x:c r="C1072" s="87" t="str">
        <x:v>СтатГрад</x:v>
      </x:c>
      <x:c r="D1072" s="87" t="str">
        <x:v>Март 2026</x:v>
      </x:c>
      <x:c r="E1072" s="87"/>
      <x:c r="F1072" s="87"/>
      <x:c r="G1072" s="87" t="str">
        <x:v>Физика</x:v>
      </x:c>
      <x:c r="H1072" s="87" t="n">
        <x:v>11</x:v>
      </x:c>
      <x:c r="I1072" s="87" t="str">
        <x:v>ТР №4</x:v>
      </x:c>
      <x:c r="J1072" s="87" t="str">
        <x:v>ФИ2510401</x:v>
      </x:c>
      <x:c r="K1072" s="87" t="n">
        <x:v>2</x:v>
      </x:c>
      <x:c r="L1072" s="87" t="str">
        <x:v>Закон всемирного тяготения</x:v>
      </x:c>
      <x:c r="M1072" s="30" t="str">
        <x:v>F₁=2,25F₂ для спутников одинаковой массы. Найти R₂/R₁.</x:v>
      </x:c>
      <x:c r="N1072" s="30" t="str">
        <x:v>1,5</x:v>
      </x:c>
      <x:c r="O1072" s="30" t="str">
        <x:v>F∝1/R², поэтому F₁/F₂=(R₂/R₁)²=2,25; R₂/R₁=1,5.</x:v>
      </x:c>
      <x:c r="P1072" s="30" t="str">
        <x:v>F∝1/R², поэтому F₁/F₂=(R₂/R₁)²=2,25; R₂/R₁=1,5.</x:v>
      </x:c>
      <x:c r="Q1072" s="30"/>
      <x:c r="R1072" s="30" t="str">
        <x:v>Полный PDF задания + независимое решение</x:v>
      </x:c>
      <x:c r="S1072" s="30"/>
      <x:c r="T1072" s="30"/>
      <x:c r="U1072" s="30" t="str">
        <x:v>Расхождений не обнаружено.</x:v>
      </x:c>
      <x:c r="V1072" s="87" t="str">
        <x:v>VERIFIED</x:v>
      </x:c>
      <x:c r="W1072" s="87" t="str">
        <x:v>PDF варианта, задание 2</x:v>
      </x:c>
      <x:c r="X1072" s="87"/>
      <x:c r="Y1072" s="87"/>
      <x:c r="Z1072" s="87"/>
      <x:c r="AA1072" s="87"/>
      <x:c r="AB1072" s="87"/>
      <x:c r="AC1072" s="87"/>
      <x:c r="AD1072" s="87"/>
      <x:c r="AE1072" s="87"/>
      <x:c r="AF1072" s="87"/>
      <x:c r="AG1072" s="87"/>
      <x:c r="AH1072" s="87"/>
      <x:c r="AI1072" s="30"/>
      <x:c r="AJ1072" s="87" t="str">
        <x:v>master</x:v>
      </x:c>
      <x:c r="AK1072" s="87" t="str">
        <x:v>master-v0.81</x:v>
      </x:c>
      <x:c r="AL1072" s="87" t="str">
        <x:v>statgrad_master_base_v0_81_final(2).xlsx</x:v>
      </x:c>
      <x:c r="AM1072" s="87" t="str">
        <x:v>PHYS_Mar_V1</x:v>
      </x:c>
      <x:c r="AN1072" s="87" t="n">
        <x:v>3</x:v>
      </x:c>
    </x:row>
    <x:row r="1073">
      <x:c r="A1073" s="87" t="n">
        <x:v>1072</x:v>
      </x:c>
      <x:c r="B1073" s="87" t="str">
        <x:v>MAR-PHYS-V1-003</x:v>
      </x:c>
      <x:c r="C1073" s="87" t="str">
        <x:v>СтатГрад</x:v>
      </x:c>
      <x:c r="D1073" s="87" t="str">
        <x:v>Март 2026</x:v>
      </x:c>
      <x:c r="E1073" s="87"/>
      <x:c r="F1073" s="87"/>
      <x:c r="G1073" s="87" t="str">
        <x:v>Физика</x:v>
      </x:c>
      <x:c r="H1073" s="87" t="n">
        <x:v>11</x:v>
      </x:c>
      <x:c r="I1073" s="87" t="str">
        <x:v>ТР №4</x:v>
      </x:c>
      <x:c r="J1073" s="87" t="str">
        <x:v>ФИ2510401</x:v>
      </x:c>
      <x:c r="K1073" s="87" t="n">
        <x:v>3</x:v>
      </x:c>
      <x:c r="L1073" s="87" t="str">
        <x:v>Закон сохранения энергии</x:v>
      </x:c>
      <x:c r="M1073" s="30" t="str">
        <x:v>Камень падает с высоты 12 м; кинетическая энергия у дна 30 Дж, потери 6 Дж. Найти массу.</x:v>
      </x:c>
      <x:c r="N1073" s="30" t="str">
        <x:v>0,3</x:v>
      </x:c>
      <x:c r="O1073" s="30" t="str">
        <x:v>mgh=30+6=36 Дж; m=36/(10·12)=0,3 кг.</x:v>
      </x:c>
      <x:c r="P1073" s="30" t="str">
        <x:v>mgh=30+6=36 Дж; m=36/(10·12)=0,3 кг.</x:v>
      </x:c>
      <x:c r="Q1073" s="30"/>
      <x:c r="R1073" s="30" t="str">
        <x:v>Полный PDF задания + независимое решение</x:v>
      </x:c>
      <x:c r="S1073" s="30"/>
      <x:c r="T1073" s="30"/>
      <x:c r="U1073" s="30" t="str">
        <x:v>Расхождений не обнаружено.</x:v>
      </x:c>
      <x:c r="V1073" s="87" t="str">
        <x:v>VERIFIED</x:v>
      </x:c>
      <x:c r="W1073" s="87" t="str">
        <x:v>PDF варианта, задание 3</x:v>
      </x:c>
      <x:c r="X1073" s="87"/>
      <x:c r="Y1073" s="87"/>
      <x:c r="Z1073" s="87"/>
      <x:c r="AA1073" s="87"/>
      <x:c r="AB1073" s="87"/>
      <x:c r="AC1073" s="87"/>
      <x:c r="AD1073" s="87"/>
      <x:c r="AE1073" s="87"/>
      <x:c r="AF1073" s="87"/>
      <x:c r="AG1073" s="87"/>
      <x:c r="AH1073" s="87"/>
      <x:c r="AI1073" s="30"/>
      <x:c r="AJ1073" s="87" t="str">
        <x:v>master</x:v>
      </x:c>
      <x:c r="AK1073" s="87" t="str">
        <x:v>master-v0.81</x:v>
      </x:c>
      <x:c r="AL1073" s="87" t="str">
        <x:v>statgrad_master_base_v0_81_final(2).xlsx</x:v>
      </x:c>
      <x:c r="AM1073" s="87" t="str">
        <x:v>PHYS_Mar_V1</x:v>
      </x:c>
      <x:c r="AN1073" s="87" t="n">
        <x:v>4</x:v>
      </x:c>
    </x:row>
    <x:row r="1074">
      <x:c r="A1074" s="87" t="n">
        <x:v>1073</x:v>
      </x:c>
      <x:c r="B1074" s="87" t="str">
        <x:v>MAR-PHYS-V1-004</x:v>
      </x:c>
      <x:c r="C1074" s="87" t="str">
        <x:v>СтатГрад</x:v>
      </x:c>
      <x:c r="D1074" s="87" t="str">
        <x:v>Март 2026</x:v>
      </x:c>
      <x:c r="E1074" s="87"/>
      <x:c r="F1074" s="87"/>
      <x:c r="G1074" s="87" t="str">
        <x:v>Физика</x:v>
      </x:c>
      <x:c r="H1074" s="87" t="n">
        <x:v>11</x:v>
      </x:c>
      <x:c r="I1074" s="87" t="str">
        <x:v>ТР №4</x:v>
      </x:c>
      <x:c r="J1074" s="87" t="str">
        <x:v>ФИ2510401</x:v>
      </x:c>
      <x:c r="K1074" s="87" t="n">
        <x:v>4</x:v>
      </x:c>
      <x:c r="L1074" s="87" t="str">
        <x:v>Математический маятник</x:v>
      </x:c>
      <x:c r="M1074" s="30" t="str">
        <x:v>После замены груза маятника на груз другой массы определить период.</x:v>
      </x:c>
      <x:c r="N1074" s="30" t="str">
        <x:v>1,25</x:v>
      </x:c>
      <x:c r="O1074" s="30" t="str">
        <x:v>Период математического маятника T=2π√(l/g) от массы груза не зависит.</x:v>
      </x:c>
      <x:c r="P1074" s="30" t="str">
        <x:v>Период математического маятника T=2π√(l/g) от массы груза не зависит.</x:v>
      </x:c>
      <x:c r="Q1074" s="30"/>
      <x:c r="R1074" s="30" t="str">
        <x:v>Полный PDF задания + независимое решение</x:v>
      </x:c>
      <x:c r="S1074" s="30"/>
      <x:c r="T1074" s="30"/>
      <x:c r="U1074" s="30" t="str">
        <x:v>Расхождений не обнаружено.</x:v>
      </x:c>
      <x:c r="V1074" s="87" t="str">
        <x:v>VERIFIED</x:v>
      </x:c>
      <x:c r="W1074" s="87" t="str">
        <x:v>PDF варианта, задание 4</x:v>
      </x:c>
      <x:c r="X1074" s="87"/>
      <x:c r="Y1074" s="87"/>
      <x:c r="Z1074" s="87"/>
      <x:c r="AA1074" s="87"/>
      <x:c r="AB1074" s="87"/>
      <x:c r="AC1074" s="87"/>
      <x:c r="AD1074" s="87"/>
      <x:c r="AE1074" s="87"/>
      <x:c r="AF1074" s="87"/>
      <x:c r="AG1074" s="87"/>
      <x:c r="AH1074" s="87"/>
      <x:c r="AI1074" s="30"/>
      <x:c r="AJ1074" s="87" t="str">
        <x:v>master</x:v>
      </x:c>
      <x:c r="AK1074" s="87" t="str">
        <x:v>master-v0.81</x:v>
      </x:c>
      <x:c r="AL1074" s="87" t="str">
        <x:v>statgrad_master_base_v0_81_final(2).xlsx</x:v>
      </x:c>
      <x:c r="AM1074" s="87" t="str">
        <x:v>PHYS_Mar_V1</x:v>
      </x:c>
      <x:c r="AN1074" s="87" t="n">
        <x:v>5</x:v>
      </x:c>
    </x:row>
    <x:row r="1075">
      <x:c r="A1075" s="87" t="n">
        <x:v>1074</x:v>
      </x:c>
      <x:c r="B1075" s="87" t="str">
        <x:v>MAR-PHYS-V1-005</x:v>
      </x:c>
      <x:c r="C1075" s="87" t="str">
        <x:v>СтатГрад</x:v>
      </x:c>
      <x:c r="D1075" s="87" t="str">
        <x:v>Март 2026</x:v>
      </x:c>
      <x:c r="E1075" s="87"/>
      <x:c r="F1075" s="87"/>
      <x:c r="G1075" s="87" t="str">
        <x:v>Физика</x:v>
      </x:c>
      <x:c r="H1075" s="87" t="n">
        <x:v>11</x:v>
      </x:c>
      <x:c r="I1075" s="87" t="str">
        <x:v>ТР №4</x:v>
      </x:c>
      <x:c r="J1075" s="87" t="str">
        <x:v>ФИ2510401</x:v>
      </x:c>
      <x:c r="K1075" s="87" t="n">
        <x:v>5</x:v>
      </x:c>
      <x:c r="L1075" s="87" t="str">
        <x:v>Неупругий удар</x:v>
      </x:c>
      <x:c r="M1075" s="30" t="str">
        <x:v>Пластилиновый шарик массой 0,2 кг со скоростью 3 м/с застревает в бруске массой 0,1 кг. Выбрать верные утверждения.</x:v>
      </x:c>
      <x:c r="N1075" s="30" t="str">
        <x:v>14</x:v>
      </x:c>
      <x:c r="O1075" s="30" t="str">
        <x:v>Общая скорость 2 м/с. Потеря механической энергии 0,3 Дж; изменение импульса пули по модулю 0,2 кг·м/с. Верны 1 и 4.</x:v>
      </x:c>
      <x:c r="P1075" s="30" t="str">
        <x:v>Импульс и энергии до/после столкновения пересчитаны отдельно.</x:v>
      </x:c>
      <x:c r="Q1075" s="30"/>
      <x:c r="R1075" s="30" t="str">
        <x:v>Полный PDF задания + независимое решение</x:v>
      </x:c>
      <x:c r="S1075" s="30"/>
      <x:c r="T1075" s="30"/>
      <x:c r="U1075" s="30" t="str">
        <x:v>Расхождений не обнаружено.</x:v>
      </x:c>
      <x:c r="V1075" s="87" t="str">
        <x:v>VERIFIED</x:v>
      </x:c>
      <x:c r="W1075" s="87" t="str">
        <x:v>PDF варианта, задание 5</x:v>
      </x:c>
      <x:c r="X1075" s="87"/>
      <x:c r="Y1075" s="87"/>
      <x:c r="Z1075" s="87"/>
      <x:c r="AA1075" s="87"/>
      <x:c r="AB1075" s="87"/>
      <x:c r="AC1075" s="87"/>
      <x:c r="AD1075" s="87"/>
      <x:c r="AE1075" s="87"/>
      <x:c r="AF1075" s="87"/>
      <x:c r="AG1075" s="87"/>
      <x:c r="AH1075" s="87"/>
      <x:c r="AI1075" s="30"/>
      <x:c r="AJ1075" s="87" t="str">
        <x:v>master</x:v>
      </x:c>
      <x:c r="AK1075" s="87" t="str">
        <x:v>master-v0.81</x:v>
      </x:c>
      <x:c r="AL1075" s="87" t="str">
        <x:v>statgrad_master_base_v0_81_final(2).xlsx</x:v>
      </x:c>
      <x:c r="AM1075" s="87" t="str">
        <x:v>PHYS_Mar_V1</x:v>
      </x:c>
      <x:c r="AN1075" s="87" t="n">
        <x:v>6</x:v>
      </x:c>
    </x:row>
    <x:row r="1076">
      <x:c r="A1076" s="87" t="n">
        <x:v>1075</x:v>
      </x:c>
      <x:c r="B1076" s="87" t="str">
        <x:v>MAR-PHYS-V1-006</x:v>
      </x:c>
      <x:c r="C1076" s="87" t="str">
        <x:v>СтатГрад</x:v>
      </x:c>
      <x:c r="D1076" s="87" t="str">
        <x:v>Март 2026</x:v>
      </x:c>
      <x:c r="E1076" s="87"/>
      <x:c r="F1076" s="87"/>
      <x:c r="G1076" s="87" t="str">
        <x:v>Физика</x:v>
      </x:c>
      <x:c r="H1076" s="87" t="n">
        <x:v>11</x:v>
      </x:c>
      <x:c r="I1076" s="87" t="str">
        <x:v>ТР №4</x:v>
      </x:c>
      <x:c r="J1076" s="87" t="str">
        <x:v>ФИ2510401</x:v>
      </x:c>
      <x:c r="K1076" s="87" t="n">
        <x:v>6</x:v>
      </x:c>
      <x:c r="L1076" s="87" t="str">
        <x:v>Графики движения</x:v>
      </x:c>
      <x:c r="M1076" s="30" t="str">
        <x:v>Для x=−4−2t сопоставить графики с перемещением и импульсом.</x:v>
      </x:c>
      <x:c r="N1076" s="30" t="str">
        <x:v>12</x:v>
      </x:c>
      <x:c r="O1076" s="30" t="str">
        <x:v>Перемещение Δx=−2t — линейно убывает; импульс p=mv постоянен и отрицателен. Получается 1 и 2.</x:v>
      </x:c>
      <x:c r="P1076" s="30" t="str">
        <x:v>Перемещение Δx=−2t — линейно убывает; импульс p=mv постоянен и отрицателен. Получается 1 и 2.</x:v>
      </x:c>
      <x:c r="Q1076" s="30"/>
      <x:c r="R1076" s="30" t="str">
        <x:v>Полный PDF задания + независимое решение</x:v>
      </x:c>
      <x:c r="S1076" s="30"/>
      <x:c r="T1076" s="30"/>
      <x:c r="U1076" s="30" t="str">
        <x:v>Расхождений не обнаружено.</x:v>
      </x:c>
      <x:c r="V1076" s="87" t="str">
        <x:v>VERIFIED</x:v>
      </x:c>
      <x:c r="W1076" s="87" t="str">
        <x:v>PDF варианта, задание 6</x:v>
      </x:c>
      <x:c r="X1076" s="87"/>
      <x:c r="Y1076" s="87"/>
      <x:c r="Z1076" s="87"/>
      <x:c r="AA1076" s="87"/>
      <x:c r="AB1076" s="87"/>
      <x:c r="AC1076" s="87"/>
      <x:c r="AD1076" s="87"/>
      <x:c r="AE1076" s="87"/>
      <x:c r="AF1076" s="87"/>
      <x:c r="AG1076" s="87"/>
      <x:c r="AH1076" s="87"/>
      <x:c r="AI1076" s="30"/>
      <x:c r="AJ1076" s="87" t="str">
        <x:v>master</x:v>
      </x:c>
      <x:c r="AK1076" s="87" t="str">
        <x:v>master-v0.81</x:v>
      </x:c>
      <x:c r="AL1076" s="87" t="str">
        <x:v>statgrad_master_base_v0_81_final(2).xlsx</x:v>
      </x:c>
      <x:c r="AM1076" s="87" t="str">
        <x:v>PHYS_Mar_V1</x:v>
      </x:c>
      <x:c r="AN1076" s="87" t="n">
        <x:v>7</x:v>
      </x:c>
    </x:row>
    <x:row r="1077">
      <x:c r="A1077" s="87" t="n">
        <x:v>1076</x:v>
      </x:c>
      <x:c r="B1077" s="87" t="str">
        <x:v>MAR-PHYS-V1-007</x:v>
      </x:c>
      <x:c r="C1077" s="87" t="str">
        <x:v>СтатГрад</x:v>
      </x:c>
      <x:c r="D1077" s="87" t="str">
        <x:v>Март 2026</x:v>
      </x:c>
      <x:c r="E1077" s="87"/>
      <x:c r="F1077" s="87"/>
      <x:c r="G1077" s="87" t="str">
        <x:v>Физика</x:v>
      </x:c>
      <x:c r="H1077" s="87" t="n">
        <x:v>11</x:v>
      </x:c>
      <x:c r="I1077" s="87" t="str">
        <x:v>ТР №4</x:v>
      </x:c>
      <x:c r="J1077" s="87" t="str">
        <x:v>ФИ2510401</x:v>
      </x:c>
      <x:c r="K1077" s="87" t="n">
        <x:v>7</x:v>
      </x:c>
      <x:c r="L1077" s="87" t="str">
        <x:v>Уравнение Менделеева—Клапейрона</x:v>
      </x:c>
      <x:c r="M1077" s="30" t="str">
        <x:v>Температуру газа увеличить в 2 раза, давление уменьшить в 4 раза. Во сколько раз изменится объём?</x:v>
      </x:c>
      <x:c r="N1077" s="30" t="str">
        <x:v>8</x:v>
      </x:c>
      <x:c r="O1077" s="30" t="str">
        <x:v>При неизменном количестве газа V∝T/p; V₂/V₁=2/(1/4)=8.</x:v>
      </x:c>
      <x:c r="P1077" s="30" t="str">
        <x:v>При неизменном количестве газа V∝T/p; V₂/V₁=2/(1/4)=8.</x:v>
      </x:c>
      <x:c r="Q1077" s="30"/>
      <x:c r="R1077" s="30" t="str">
        <x:v>Полный PDF задания + независимое решение</x:v>
      </x:c>
      <x:c r="S1077" s="30"/>
      <x:c r="T1077" s="30"/>
      <x:c r="U1077" s="30" t="str">
        <x:v>Расхождений не обнаружено.</x:v>
      </x:c>
      <x:c r="V1077" s="87" t="str">
        <x:v>VERIFIED</x:v>
      </x:c>
      <x:c r="W1077" s="87" t="str">
        <x:v>PDF варианта, задание 7</x:v>
      </x:c>
      <x:c r="X1077" s="87"/>
      <x:c r="Y1077" s="87"/>
      <x:c r="Z1077" s="87"/>
      <x:c r="AA1077" s="87"/>
      <x:c r="AB1077" s="87"/>
      <x:c r="AC1077" s="87"/>
      <x:c r="AD1077" s="87"/>
      <x:c r="AE1077" s="87"/>
      <x:c r="AF1077" s="87"/>
      <x:c r="AG1077" s="87"/>
      <x:c r="AH1077" s="87"/>
      <x:c r="AI1077" s="30"/>
      <x:c r="AJ1077" s="87" t="str">
        <x:v>master</x:v>
      </x:c>
      <x:c r="AK1077" s="87" t="str">
        <x:v>master-v0.81</x:v>
      </x:c>
      <x:c r="AL1077" s="87" t="str">
        <x:v>statgrad_master_base_v0_81_final(2).xlsx</x:v>
      </x:c>
      <x:c r="AM1077" s="87" t="str">
        <x:v>PHYS_Mar_V1</x:v>
      </x:c>
      <x:c r="AN1077" s="87" t="n">
        <x:v>8</x:v>
      </x:c>
    </x:row>
    <x:row r="1078">
      <x:c r="A1078" s="87" t="n">
        <x:v>1077</x:v>
      </x:c>
      <x:c r="B1078" s="87" t="str">
        <x:v>MAR-PHYS-V1-008</x:v>
      </x:c>
      <x:c r="C1078" s="87" t="str">
        <x:v>СтатГрад</x:v>
      </x:c>
      <x:c r="D1078" s="87" t="str">
        <x:v>Март 2026</x:v>
      </x:c>
      <x:c r="E1078" s="87"/>
      <x:c r="F1078" s="87"/>
      <x:c r="G1078" s="87" t="str">
        <x:v>Физика</x:v>
      </x:c>
      <x:c r="H1078" s="87" t="n">
        <x:v>11</x:v>
      </x:c>
      <x:c r="I1078" s="87" t="str">
        <x:v>ТР №4</x:v>
      </x:c>
      <x:c r="J1078" s="87" t="str">
        <x:v>ФИ2510401</x:v>
      </x:c>
      <x:c r="K1078" s="87" t="n">
        <x:v>8</x:v>
      </x:c>
      <x:c r="L1078" s="87" t="str">
        <x:v>Работа газа</x:v>
      </x:c>
      <x:c r="M1078" s="30" t="str">
        <x:v>Газ изобарно расширяется при 150 кПа от 2 до 5 л. Найти работу газа.</x:v>
      </x:c>
      <x:c r="N1078" s="30" t="str">
        <x:v>450</x:v>
      </x:c>
      <x:c r="O1078" s="30" t="str">
        <x:v>A=pΔV=150000·0,003=450 Дж.</x:v>
      </x:c>
      <x:c r="P1078" s="30" t="str">
        <x:v>A=pΔV=150000·0,003=450 Дж.</x:v>
      </x:c>
      <x:c r="Q1078" s="30"/>
      <x:c r="R1078" s="30" t="str">
        <x:v>Полный PDF задания + независимое решение</x:v>
      </x:c>
      <x:c r="S1078" s="30"/>
      <x:c r="T1078" s="30"/>
      <x:c r="U1078" s="30" t="str">
        <x:v>Расхождений не обнаружено.</x:v>
      </x:c>
      <x:c r="V1078" s="87" t="str">
        <x:v>VERIFIED</x:v>
      </x:c>
      <x:c r="W1078" s="87" t="str">
        <x:v>PDF варианта, задание 8</x:v>
      </x:c>
      <x:c r="X1078" s="87"/>
      <x:c r="Y1078" s="87"/>
      <x:c r="Z1078" s="87"/>
      <x:c r="AA1078" s="87"/>
      <x:c r="AB1078" s="87"/>
      <x:c r="AC1078" s="87"/>
      <x:c r="AD1078" s="87"/>
      <x:c r="AE1078" s="87"/>
      <x:c r="AF1078" s="87"/>
      <x:c r="AG1078" s="87"/>
      <x:c r="AH1078" s="87"/>
      <x:c r="AI1078" s="30"/>
      <x:c r="AJ1078" s="87" t="str">
        <x:v>master</x:v>
      </x:c>
      <x:c r="AK1078" s="87" t="str">
        <x:v>master-v0.81</x:v>
      </x:c>
      <x:c r="AL1078" s="87" t="str">
        <x:v>statgrad_master_base_v0_81_final(2).xlsx</x:v>
      </x:c>
      <x:c r="AM1078" s="87" t="str">
        <x:v>PHYS_Mar_V1</x:v>
      </x:c>
      <x:c r="AN1078" s="87" t="n">
        <x:v>9</x:v>
      </x:c>
    </x:row>
    <x:row r="1079">
      <x:c r="A1079" s="87" t="n">
        <x:v>1078</x:v>
      </x:c>
      <x:c r="B1079" s="87" t="str">
        <x:v>MAR-PHYS-V1-009</x:v>
      </x:c>
      <x:c r="C1079" s="87" t="str">
        <x:v>СтатГрад</x:v>
      </x:c>
      <x:c r="D1079" s="87" t="str">
        <x:v>Март 2026</x:v>
      </x:c>
      <x:c r="E1079" s="87"/>
      <x:c r="F1079" s="87"/>
      <x:c r="G1079" s="87" t="str">
        <x:v>Физика</x:v>
      </x:c>
      <x:c r="H1079" s="87" t="n">
        <x:v>11</x:v>
      </x:c>
      <x:c r="I1079" s="87" t="str">
        <x:v>ТР №4</x:v>
      </x:c>
      <x:c r="J1079" s="87" t="str">
        <x:v>ФИ2510401</x:v>
      </x:c>
      <x:c r="K1079" s="87" t="n">
        <x:v>9</x:v>
      </x:c>
      <x:c r="L1079" s="87" t="str">
        <x:v>Смесь идеальных газов</x:v>
      </x:c>
      <x:c r="M1079" s="30" t="str">
        <x:v>Из смеси 2 моль He и 3 моль Ar удалить половину, затем добавить 2 моль He. Выбрать верные утверждения.</x:v>
      </x:c>
      <x:c r="N1079" s="30" t="str">
        <x:v>235</x:v>
      </x:c>
      <x:c r="O1079" s="30" t="str">
        <x:v>После удаления остаётся 1 моль He и 1,5 моль Ar; после добавления — 3 и 1,5 моль. Изменения давления, плотности и средней молярной массы дают утверждения 2, 3 и 5.</x:v>
      </x:c>
      <x:c r="P1079" s="30" t="str">
        <x:v>Все пять утверждений проверены через p=nRT/V и среднюю молярную массу.</x:v>
      </x:c>
      <x:c r="Q1079" s="30"/>
      <x:c r="R1079" s="30" t="str">
        <x:v>Полный PDF задания + независимое решение</x:v>
      </x:c>
      <x:c r="S1079" s="30"/>
      <x:c r="T1079" s="30"/>
      <x:c r="U1079" s="30" t="str">
        <x:v>Расхождений не обнаружено.</x:v>
      </x:c>
      <x:c r="V1079" s="87" t="str">
        <x:v>VERIFIED</x:v>
      </x:c>
      <x:c r="W1079" s="87" t="str">
        <x:v>PDF варианта, задание 9</x:v>
      </x:c>
      <x:c r="X1079" s="87"/>
      <x:c r="Y1079" s="87"/>
      <x:c r="Z1079" s="87"/>
      <x:c r="AA1079" s="87"/>
      <x:c r="AB1079" s="87"/>
      <x:c r="AC1079" s="87"/>
      <x:c r="AD1079" s="87"/>
      <x:c r="AE1079" s="87"/>
      <x:c r="AF1079" s="87"/>
      <x:c r="AG1079" s="87"/>
      <x:c r="AH1079" s="87"/>
      <x:c r="AI1079" s="30"/>
      <x:c r="AJ1079" s="87" t="str">
        <x:v>master</x:v>
      </x:c>
      <x:c r="AK1079" s="87" t="str">
        <x:v>master-v0.81</x:v>
      </x:c>
      <x:c r="AL1079" s="87" t="str">
        <x:v>statgrad_master_base_v0_81_final(2).xlsx</x:v>
      </x:c>
      <x:c r="AM1079" s="87" t="str">
        <x:v>PHYS_Mar_V1</x:v>
      </x:c>
      <x:c r="AN1079" s="87" t="n">
        <x:v>10</x:v>
      </x:c>
    </x:row>
    <x:row r="1080">
      <x:c r="A1080" s="87" t="n">
        <x:v>1079</x:v>
      </x:c>
      <x:c r="B1080" s="87" t="str">
        <x:v>MAR-PHYS-V1-010</x:v>
      </x:c>
      <x:c r="C1080" s="87" t="str">
        <x:v>СтатГрад</x:v>
      </x:c>
      <x:c r="D1080" s="87" t="str">
        <x:v>Март 2026</x:v>
      </x:c>
      <x:c r="E1080" s="87"/>
      <x:c r="F1080" s="87"/>
      <x:c r="G1080" s="87" t="str">
        <x:v>Физика</x:v>
      </x:c>
      <x:c r="H1080" s="87" t="n">
        <x:v>11</x:v>
      </x:c>
      <x:c r="I1080" s="87" t="str">
        <x:v>ТР №4</x:v>
      </x:c>
      <x:c r="J1080" s="87" t="str">
        <x:v>ФИ2510401</x:v>
      </x:c>
      <x:c r="K1080" s="87" t="n">
        <x:v>10</x:v>
      </x:c>
      <x:c r="L1080" s="87" t="str">
        <x:v>Формулы МКТ</x:v>
      </x:c>
      <x:c r="M1080" s="30" t="str">
        <x:v>Сопоставить выражения νRT/V и 3pV/2 с физическими величинами.</x:v>
      </x:c>
      <x:c r="N1080" s="30" t="str">
        <x:v>14</x:v>
      </x:c>
      <x:c r="O1080" s="30" t="str">
        <x:v>νRT/V=p — давление; 3pV/2=U одноатомного идеального газа — внутренняя энергия.</x:v>
      </x:c>
      <x:c r="P1080" s="30" t="str">
        <x:v>νRT/V=p — давление; 3pV/2=U одноатомного идеального газа — внутренняя энергия.</x:v>
      </x:c>
      <x:c r="Q1080" s="30"/>
      <x:c r="R1080" s="30" t="str">
        <x:v>Полный PDF задания + независимое решение</x:v>
      </x:c>
      <x:c r="S1080" s="30"/>
      <x:c r="T1080" s="30"/>
      <x:c r="U1080" s="30" t="str">
        <x:v>Расхождений не обнаружено.</x:v>
      </x:c>
      <x:c r="V1080" s="87" t="str">
        <x:v>VERIFIED</x:v>
      </x:c>
      <x:c r="W1080" s="87" t="str">
        <x:v>PDF варианта, задание 10</x:v>
      </x:c>
      <x:c r="X1080" s="87"/>
      <x:c r="Y1080" s="87"/>
      <x:c r="Z1080" s="87"/>
      <x:c r="AA1080" s="87"/>
      <x:c r="AB1080" s="87"/>
      <x:c r="AC1080" s="87"/>
      <x:c r="AD1080" s="87"/>
      <x:c r="AE1080" s="87"/>
      <x:c r="AF1080" s="87"/>
      <x:c r="AG1080" s="87"/>
      <x:c r="AH1080" s="87"/>
      <x:c r="AI1080" s="30"/>
      <x:c r="AJ1080" s="87" t="str">
        <x:v>master</x:v>
      </x:c>
      <x:c r="AK1080" s="87" t="str">
        <x:v>master-v0.81</x:v>
      </x:c>
      <x:c r="AL1080" s="87" t="str">
        <x:v>statgrad_master_base_v0_81_final(2).xlsx</x:v>
      </x:c>
      <x:c r="AM1080" s="87" t="str">
        <x:v>PHYS_Mar_V1</x:v>
      </x:c>
      <x:c r="AN1080" s="87" t="n">
        <x:v>11</x:v>
      </x:c>
    </x:row>
    <x:row r="1081">
      <x:c r="A1081" s="87" t="n">
        <x:v>1080</x:v>
      </x:c>
      <x:c r="B1081" s="87" t="str">
        <x:v>MAR-PHYS-V1-011</x:v>
      </x:c>
      <x:c r="C1081" s="87" t="str">
        <x:v>СтатГрад</x:v>
      </x:c>
      <x:c r="D1081" s="87" t="str">
        <x:v>Март 2026</x:v>
      </x:c>
      <x:c r="E1081" s="87"/>
      <x:c r="F1081" s="87"/>
      <x:c r="G1081" s="87" t="str">
        <x:v>Физика</x:v>
      </x:c>
      <x:c r="H1081" s="87" t="n">
        <x:v>11</x:v>
      </x:c>
      <x:c r="I1081" s="87" t="str">
        <x:v>ТР №4</x:v>
      </x:c>
      <x:c r="J1081" s="87" t="str">
        <x:v>ФИ2510401</x:v>
      </x:c>
      <x:c r="K1081" s="87" t="n">
        <x:v>11</x:v>
      </x:c>
      <x:c r="L1081" s="87" t="str">
        <x:v>Закон Кулона</x:v>
      </x:c>
      <x:c r="M1081" s="30" t="str">
        <x:v>Сила 3 мН при зарядах m и n на расстоянии r. Найти силу для 5m и n на расстоянии 2r.</x:v>
      </x:c>
      <x:c r="N1081" s="30" t="str">
        <x:v>3,75</x:v>
      </x:c>
      <x:c r="O1081" s="30" t="str">
        <x:v>F′/F=5/2²=1,25; F′=3·1,25=3,75 мН.</x:v>
      </x:c>
      <x:c r="P1081" s="30" t="str">
        <x:v>F′/F=5/2²=1,25; F′=3·1,25=3,75 мН.</x:v>
      </x:c>
      <x:c r="Q1081" s="30"/>
      <x:c r="R1081" s="30" t="str">
        <x:v>Полный PDF задания + независимое решение</x:v>
      </x:c>
      <x:c r="S1081" s="30"/>
      <x:c r="T1081" s="30"/>
      <x:c r="U1081" s="30" t="str">
        <x:v>Расхождений не обнаружено.</x:v>
      </x:c>
      <x:c r="V1081" s="87" t="str">
        <x:v>VERIFIED</x:v>
      </x:c>
      <x:c r="W1081" s="87" t="str">
        <x:v>PDF варианта, задание 11</x:v>
      </x:c>
      <x:c r="X1081" s="87"/>
      <x:c r="Y1081" s="87"/>
      <x:c r="Z1081" s="87"/>
      <x:c r="AA1081" s="87"/>
      <x:c r="AB1081" s="87"/>
      <x:c r="AC1081" s="87"/>
      <x:c r="AD1081" s="87"/>
      <x:c r="AE1081" s="87"/>
      <x:c r="AF1081" s="87"/>
      <x:c r="AG1081" s="87"/>
      <x:c r="AH1081" s="87"/>
      <x:c r="AI1081" s="30"/>
      <x:c r="AJ1081" s="87" t="str">
        <x:v>master</x:v>
      </x:c>
      <x:c r="AK1081" s="87" t="str">
        <x:v>master-v0.81</x:v>
      </x:c>
      <x:c r="AL1081" s="87" t="str">
        <x:v>statgrad_master_base_v0_81_final(2).xlsx</x:v>
      </x:c>
      <x:c r="AM1081" s="87" t="str">
        <x:v>PHYS_Mar_V1</x:v>
      </x:c>
      <x:c r="AN1081" s="87" t="n">
        <x:v>12</x:v>
      </x:c>
    </x:row>
    <x:row r="1082">
      <x:c r="A1082" s="87" t="n">
        <x:v>1081</x:v>
      </x:c>
      <x:c r="B1082" s="87" t="str">
        <x:v>MAR-PHYS-V1-012</x:v>
      </x:c>
      <x:c r="C1082" s="87" t="str">
        <x:v>СтатГрад</x:v>
      </x:c>
      <x:c r="D1082" s="87" t="str">
        <x:v>Март 2026</x:v>
      </x:c>
      <x:c r="E1082" s="87"/>
      <x:c r="F1082" s="87"/>
      <x:c r="G1082" s="87" t="str">
        <x:v>Физика</x:v>
      </x:c>
      <x:c r="H1082" s="87" t="n">
        <x:v>11</x:v>
      </x:c>
      <x:c r="I1082" s="87" t="str">
        <x:v>ТР №4</x:v>
      </x:c>
      <x:c r="J1082" s="87" t="str">
        <x:v>ФИ2510401</x:v>
      </x:c>
      <x:c r="K1082" s="87" t="n">
        <x:v>12</x:v>
      </x:c>
      <x:c r="L1082" s="87" t="str">
        <x:v>Энергия магнитного поля</x:v>
      </x:c>
      <x:c r="M1082" s="30" t="str">
        <x:v>L=0,7 мГн, I=3 А. Найти энергию поля катушки в мДж.</x:v>
      </x:c>
      <x:c r="N1082" s="30" t="str">
        <x:v>3,15</x:v>
      </x:c>
      <x:c r="O1082" s="30" t="str">
        <x:v>W=LI²/2=0,7·10⁻³·9/2=3,15·10⁻³ Дж=3,15 мДж.</x:v>
      </x:c>
      <x:c r="P1082" s="30" t="str">
        <x:v>W=LI²/2=0,7·10⁻³·9/2=3,15·10⁻³ Дж=3,15 мДж.</x:v>
      </x:c>
      <x:c r="Q1082" s="30"/>
      <x:c r="R1082" s="30" t="str">
        <x:v>Полный PDF задания + независимое решение</x:v>
      </x:c>
      <x:c r="S1082" s="30"/>
      <x:c r="T1082" s="30"/>
      <x:c r="U1082" s="30" t="str">
        <x:v>Расхождений не обнаружено.</x:v>
      </x:c>
      <x:c r="V1082" s="87" t="str">
        <x:v>VERIFIED</x:v>
      </x:c>
      <x:c r="W1082" s="87" t="str">
        <x:v>PDF варианта, задание 12</x:v>
      </x:c>
      <x:c r="X1082" s="87"/>
      <x:c r="Y1082" s="87"/>
      <x:c r="Z1082" s="87"/>
      <x:c r="AA1082" s="87"/>
      <x:c r="AB1082" s="87"/>
      <x:c r="AC1082" s="87"/>
      <x:c r="AD1082" s="87"/>
      <x:c r="AE1082" s="87"/>
      <x:c r="AF1082" s="87"/>
      <x:c r="AG1082" s="87"/>
      <x:c r="AH1082" s="87"/>
      <x:c r="AI1082" s="30"/>
      <x:c r="AJ1082" s="87" t="str">
        <x:v>master</x:v>
      </x:c>
      <x:c r="AK1082" s="87" t="str">
        <x:v>master-v0.81</x:v>
      </x:c>
      <x:c r="AL1082" s="87" t="str">
        <x:v>statgrad_master_base_v0_81_final(2).xlsx</x:v>
      </x:c>
      <x:c r="AM1082" s="87" t="str">
        <x:v>PHYS_Mar_V1</x:v>
      </x:c>
      <x:c r="AN1082" s="87" t="n">
        <x:v>13</x:v>
      </x:c>
    </x:row>
    <x:row r="1083">
      <x:c r="A1083" s="87" t="n">
        <x:v>1082</x:v>
      </x:c>
      <x:c r="B1083" s="87" t="str">
        <x:v>MAR-PHYS-V1-013</x:v>
      </x:c>
      <x:c r="C1083" s="87" t="str">
        <x:v>СтатГрад</x:v>
      </x:c>
      <x:c r="D1083" s="87" t="str">
        <x:v>Март 2026</x:v>
      </x:c>
      <x:c r="E1083" s="87"/>
      <x:c r="F1083" s="87"/>
      <x:c r="G1083" s="87" t="str">
        <x:v>Физика</x:v>
      </x:c>
      <x:c r="H1083" s="87" t="n">
        <x:v>11</x:v>
      </x:c>
      <x:c r="I1083" s="87" t="str">
        <x:v>ТР №4</x:v>
      </x:c>
      <x:c r="J1083" s="87" t="str">
        <x:v>ФИ2510401</x:v>
      </x:c>
      <x:c r="K1083" s="87" t="n">
        <x:v>13</x:v>
      </x:c>
      <x:c r="L1083" s="87" t="str">
        <x:v>Плоское зеркало</x:v>
      </x:c>
      <x:c r="M1083" s="30" t="str">
        <x:v>Зеркало отодвинули от источника на 3,2 см. На сколько увеличится расстояние источник—изображение?</x:v>
      </x:c>
      <x:c r="N1083" s="30" t="str">
        <x:v>6,4</x:v>
      </x:c>
      <x:c r="O1083" s="30" t="str">
        <x:v>Изображение удалено от зеркала на такое же расстояние, как источник; изменение общего расстояния вдвое больше перемещения зеркала: 2·3,2=6,4 см.</x:v>
      </x:c>
      <x:c r="P1083" s="30" t="str">
        <x:v>Изображение удалено от зеркала на такое же расстояние, как источник; изменение общего расстояния вдвое больше перемещения зеркала: 2·3,2=6,4 см.</x:v>
      </x:c>
      <x:c r="Q1083" s="30"/>
      <x:c r="R1083" s="30" t="str">
        <x:v>Полный PDF задания + независимое решение</x:v>
      </x:c>
      <x:c r="S1083" s="30"/>
      <x:c r="T1083" s="30"/>
      <x:c r="U1083" s="30" t="str">
        <x:v>Расхождений не обнаружено.</x:v>
      </x:c>
      <x:c r="V1083" s="87" t="str">
        <x:v>VERIFIED</x:v>
      </x:c>
      <x:c r="W1083" s="87" t="str">
        <x:v>PDF варианта, задание 13</x:v>
      </x:c>
      <x:c r="X1083" s="87"/>
      <x:c r="Y1083" s="87"/>
      <x:c r="Z1083" s="87"/>
      <x:c r="AA1083" s="87"/>
      <x:c r="AB1083" s="87"/>
      <x:c r="AC1083" s="87"/>
      <x:c r="AD1083" s="87"/>
      <x:c r="AE1083" s="87"/>
      <x:c r="AF1083" s="87"/>
      <x:c r="AG1083" s="87"/>
      <x:c r="AH1083" s="87"/>
      <x:c r="AI1083" s="30"/>
      <x:c r="AJ1083" s="87" t="str">
        <x:v>master</x:v>
      </x:c>
      <x:c r="AK1083" s="87" t="str">
        <x:v>master-v0.81</x:v>
      </x:c>
      <x:c r="AL1083" s="87" t="str">
        <x:v>statgrad_master_base_v0_81_final(2).xlsx</x:v>
      </x:c>
      <x:c r="AM1083" s="87" t="str">
        <x:v>PHYS_Mar_V1</x:v>
      </x:c>
      <x:c r="AN1083" s="87" t="n">
        <x:v>14</x:v>
      </x:c>
    </x:row>
    <x:row r="1084">
      <x:c r="A1084" s="87" t="n">
        <x:v>1083</x:v>
      </x:c>
      <x:c r="B1084" s="87" t="str">
        <x:v>MAR-PHYS-V1-014</x:v>
      </x:c>
      <x:c r="C1084" s="87" t="str">
        <x:v>СтатГрад</x:v>
      </x:c>
      <x:c r="D1084" s="87" t="str">
        <x:v>Март 2026</x:v>
      </x:c>
      <x:c r="E1084" s="87"/>
      <x:c r="F1084" s="87"/>
      <x:c r="G1084" s="87" t="str">
        <x:v>Физика</x:v>
      </x:c>
      <x:c r="H1084" s="87" t="n">
        <x:v>11</x:v>
      </x:c>
      <x:c r="I1084" s="87" t="str">
        <x:v>ТР №4</x:v>
      </x:c>
      <x:c r="J1084" s="87" t="str">
        <x:v>ФИ2510401</x:v>
      </x:c>
      <x:c r="K1084" s="87" t="n">
        <x:v>14</x:v>
      </x:c>
      <x:c r="L1084" s="87" t="str">
        <x:v>Электромагнитная индукция</x:v>
      </x:c>
      <x:c r="M1084" s="30" t="str">
        <x:v>Проводящий стержень равномерно движется по рельсам с конденсатором в однородном поле. Выбрать верные утверждения.</x:v>
      </x:c>
      <x:c r="N1084" s="30" t="str">
        <x:v>25</x:v>
      </x:c>
      <x:c r="O1084" s="30" t="str">
        <x:v>Магнитный поток через контур возрастает, а ЭДС Blv и напряжение конденсатора постоянны. После зарядки ток равен нулю, энергия конденсатора не меняется. Верны 2 и 5.</x:v>
      </x:c>
      <x:c r="P1084" s="30" t="str">
        <x:v>Blv=0,5 В; q=CBlv=5 мкКл, что исключает предложенное значение заряда.</x:v>
      </x:c>
      <x:c r="Q1084" s="30"/>
      <x:c r="R1084" s="30" t="str">
        <x:v>Полный PDF задания + независимое решение</x:v>
      </x:c>
      <x:c r="S1084" s="30"/>
      <x:c r="T1084" s="30"/>
      <x:c r="U1084" s="30" t="str">
        <x:v>Расхождений не обнаружено.</x:v>
      </x:c>
      <x:c r="V1084" s="87" t="str">
        <x:v>VERIFIED</x:v>
      </x:c>
      <x:c r="W1084" s="87" t="str">
        <x:v>PDF варианта, задание 14</x:v>
      </x:c>
      <x:c r="X1084" s="87"/>
      <x:c r="Y1084" s="87"/>
      <x:c r="Z1084" s="87"/>
      <x:c r="AA1084" s="87"/>
      <x:c r="AB1084" s="87"/>
      <x:c r="AC1084" s="87"/>
      <x:c r="AD1084" s="87"/>
      <x:c r="AE1084" s="87"/>
      <x:c r="AF1084" s="87"/>
      <x:c r="AG1084" s="87"/>
      <x:c r="AH1084" s="87"/>
      <x:c r="AI1084" s="30"/>
      <x:c r="AJ1084" s="87" t="str">
        <x:v>master</x:v>
      </x:c>
      <x:c r="AK1084" s="87" t="str">
        <x:v>master-v0.81</x:v>
      </x:c>
      <x:c r="AL1084" s="87" t="str">
        <x:v>statgrad_master_base_v0_81_final(2).xlsx</x:v>
      </x:c>
      <x:c r="AM1084" s="87" t="str">
        <x:v>PHYS_Mar_V1</x:v>
      </x:c>
      <x:c r="AN1084" s="87" t="n">
        <x:v>15</x:v>
      </x:c>
    </x:row>
    <x:row r="1085">
      <x:c r="A1085" s="87" t="n">
        <x:v>1084</x:v>
      </x:c>
      <x:c r="B1085" s="87" t="str">
        <x:v>MAR-PHYS-V1-015</x:v>
      </x:c>
      <x:c r="C1085" s="87" t="str">
        <x:v>СтатГрад</x:v>
      </x:c>
      <x:c r="D1085" s="87" t="str">
        <x:v>Март 2026</x:v>
      </x:c>
      <x:c r="E1085" s="87"/>
      <x:c r="F1085" s="87"/>
      <x:c r="G1085" s="87" t="str">
        <x:v>Физика</x:v>
      </x:c>
      <x:c r="H1085" s="87" t="n">
        <x:v>11</x:v>
      </x:c>
      <x:c r="I1085" s="87" t="str">
        <x:v>ТР №4</x:v>
      </x:c>
      <x:c r="J1085" s="87" t="str">
        <x:v>ФИ2510401</x:v>
      </x:c>
      <x:c r="K1085" s="87" t="n">
        <x:v>15</x:v>
      </x:c>
      <x:c r="L1085" s="87" t="str">
        <x:v>Цепь постоянного тока</x:v>
      </x:c>
      <x:c r="M1085" s="30" t="str">
        <x:v>Напряжение увеличить в 2,5 раза, площадь сечения проводника — в 2 раза. Определить изменения I и P.</x:v>
      </x:c>
      <x:c r="N1085" s="30" t="str">
        <x:v>11</x:v>
      </x:c>
      <x:c r="O1085" s="30" t="str">
        <x:v>R∝1/S уменьшается в 2 раза; I=U/R возрастает в 5 раз; P=UI возрастает в 12,5 раза. Обе величины увеличиваются.</x:v>
      </x:c>
      <x:c r="P1085" s="30" t="str">
        <x:v>R∝1/S уменьшается в 2 раза; I=U/R возрастает в 5 раз; P=UI возрастает в 12,5 раза. Обе величины увеличиваются.</x:v>
      </x:c>
      <x:c r="Q1085" s="30"/>
      <x:c r="R1085" s="30" t="str">
        <x:v>Полный PDF задания + независимое решение</x:v>
      </x:c>
      <x:c r="S1085" s="30"/>
      <x:c r="T1085" s="30"/>
      <x:c r="U1085" s="30" t="str">
        <x:v>Расхождений не обнаружено.</x:v>
      </x:c>
      <x:c r="V1085" s="87" t="str">
        <x:v>VERIFIED</x:v>
      </x:c>
      <x:c r="W1085" s="87" t="str">
        <x:v>PDF варианта, задание 15</x:v>
      </x:c>
      <x:c r="X1085" s="87"/>
      <x:c r="Y1085" s="87"/>
      <x:c r="Z1085" s="87"/>
      <x:c r="AA1085" s="87"/>
      <x:c r="AB1085" s="87"/>
      <x:c r="AC1085" s="87"/>
      <x:c r="AD1085" s="87"/>
      <x:c r="AE1085" s="87"/>
      <x:c r="AF1085" s="87"/>
      <x:c r="AG1085" s="87"/>
      <x:c r="AH1085" s="87"/>
      <x:c r="AI1085" s="30"/>
      <x:c r="AJ1085" s="87" t="str">
        <x:v>master</x:v>
      </x:c>
      <x:c r="AK1085" s="87" t="str">
        <x:v>master-v0.81</x:v>
      </x:c>
      <x:c r="AL1085" s="87" t="str">
        <x:v>statgrad_master_base_v0_81_final(2).xlsx</x:v>
      </x:c>
      <x:c r="AM1085" s="87" t="str">
        <x:v>PHYS_Mar_V1</x:v>
      </x:c>
      <x:c r="AN1085" s="87" t="n">
        <x:v>16</x:v>
      </x:c>
    </x:row>
    <x:row r="1086">
      <x:c r="A1086" s="87" t="n">
        <x:v>1085</x:v>
      </x:c>
      <x:c r="B1086" s="87" t="str">
        <x:v>MAR-PHYS-V1-016</x:v>
      </x:c>
      <x:c r="C1086" s="87" t="str">
        <x:v>СтатГрад</x:v>
      </x:c>
      <x:c r="D1086" s="87" t="str">
        <x:v>Март 2026</x:v>
      </x:c>
      <x:c r="E1086" s="87"/>
      <x:c r="F1086" s="87"/>
      <x:c r="G1086" s="87" t="str">
        <x:v>Физика</x:v>
      </x:c>
      <x:c r="H1086" s="87" t="n">
        <x:v>11</x:v>
      </x:c>
      <x:c r="I1086" s="87" t="str">
        <x:v>ТР №4</x:v>
      </x:c>
      <x:c r="J1086" s="87" t="str">
        <x:v>ФИ2510401</x:v>
      </x:c>
      <x:c r="K1086" s="87" t="n">
        <x:v>16</x:v>
      </x:c>
      <x:c r="L1086" s="87" t="str">
        <x:v>Ядерная физика</x:v>
      </x:c>
      <x:c r="M1086" s="30" t="str">
        <x:v>Найти число нейтронов в ядре ²²⁷Ac.</x:v>
      </x:c>
      <x:c r="N1086" s="30" t="str">
        <x:v>138</x:v>
      </x:c>
      <x:c r="O1086" s="30" t="str">
        <x:v>N=A−Z=227−89=138.</x:v>
      </x:c>
      <x:c r="P1086" s="30" t="str">
        <x:v>N=A−Z=227−89=138.</x:v>
      </x:c>
      <x:c r="Q1086" s="30"/>
      <x:c r="R1086" s="30" t="str">
        <x:v>Полный PDF задания + независимое решение</x:v>
      </x:c>
      <x:c r="S1086" s="30"/>
      <x:c r="T1086" s="30"/>
      <x:c r="U1086" s="30" t="str">
        <x:v>Расхождений не обнаружено.</x:v>
      </x:c>
      <x:c r="V1086" s="87" t="str">
        <x:v>VERIFIED</x:v>
      </x:c>
      <x:c r="W1086" s="87" t="str">
        <x:v>PDF варианта, задание 16</x:v>
      </x:c>
      <x:c r="X1086" s="87"/>
      <x:c r="Y1086" s="87"/>
      <x:c r="Z1086" s="87"/>
      <x:c r="AA1086" s="87"/>
      <x:c r="AB1086" s="87"/>
      <x:c r="AC1086" s="87"/>
      <x:c r="AD1086" s="87"/>
      <x:c r="AE1086" s="87"/>
      <x:c r="AF1086" s="87"/>
      <x:c r="AG1086" s="87"/>
      <x:c r="AH1086" s="87"/>
      <x:c r="AI1086" s="30"/>
      <x:c r="AJ1086" s="87" t="str">
        <x:v>master</x:v>
      </x:c>
      <x:c r="AK1086" s="87" t="str">
        <x:v>master-v0.81</x:v>
      </x:c>
      <x:c r="AL1086" s="87" t="str">
        <x:v>statgrad_master_base_v0_81_final(2).xlsx</x:v>
      </x:c>
      <x:c r="AM1086" s="87" t="str">
        <x:v>PHYS_Mar_V1</x:v>
      </x:c>
      <x:c r="AN1086" s="87" t="n">
        <x:v>17</x:v>
      </x:c>
    </x:row>
    <x:row r="1087">
      <x:c r="A1087" s="87" t="n">
        <x:v>1086</x:v>
      </x:c>
      <x:c r="B1087" s="87" t="str">
        <x:v>MAR-PHYS-V1-017</x:v>
      </x:c>
      <x:c r="C1087" s="87" t="str">
        <x:v>СтатГрад</x:v>
      </x:c>
      <x:c r="D1087" s="87" t="str">
        <x:v>Март 2026</x:v>
      </x:c>
      <x:c r="E1087" s="87"/>
      <x:c r="F1087" s="87"/>
      <x:c r="G1087" s="87" t="str">
        <x:v>Физика</x:v>
      </x:c>
      <x:c r="H1087" s="87" t="n">
        <x:v>11</x:v>
      </x:c>
      <x:c r="I1087" s="87" t="str">
        <x:v>ТР №4</x:v>
      </x:c>
      <x:c r="J1087" s="87" t="str">
        <x:v>ФИ2510401</x:v>
      </x:c>
      <x:c r="K1087" s="87" t="n">
        <x:v>17</x:v>
      </x:c>
      <x:c r="L1087" s="87" t="str">
        <x:v>Фотоны</x:v>
      </x:c>
      <x:c r="M1087" s="30" t="str">
        <x:v>Интенсивность света увеличили при неизменной частоте. Определить изменения концентрации фотонов и импульса фотона.</x:v>
      </x:c>
      <x:c r="N1087" s="30" t="str">
        <x:v>13</x:v>
      </x:c>
      <x:c r="O1087" s="30" t="str">
        <x:v>Концентрация фотонов увеличивается; импульс одного фотона p=hν/c не меняется. Ответ 1 и 3.</x:v>
      </x:c>
      <x:c r="P1087" s="30" t="str">
        <x:v>Концентрация фотонов увеличивается; импульс одного фотона p=hν/c не меняется. Ответ 1 и 3.</x:v>
      </x:c>
      <x:c r="Q1087" s="30"/>
      <x:c r="R1087" s="30" t="str">
        <x:v>Полный PDF задания + независимое решение</x:v>
      </x:c>
      <x:c r="S1087" s="30"/>
      <x:c r="T1087" s="30"/>
      <x:c r="U1087" s="30" t="str">
        <x:v>Расхождений не обнаружено.</x:v>
      </x:c>
      <x:c r="V1087" s="87" t="str">
        <x:v>VERIFIED</x:v>
      </x:c>
      <x:c r="W1087" s="87" t="str">
        <x:v>PDF варианта, задание 17</x:v>
      </x:c>
      <x:c r="X1087" s="87"/>
      <x:c r="Y1087" s="87"/>
      <x:c r="Z1087" s="87"/>
      <x:c r="AA1087" s="87"/>
      <x:c r="AB1087" s="87"/>
      <x:c r="AC1087" s="87"/>
      <x:c r="AD1087" s="87"/>
      <x:c r="AE1087" s="87"/>
      <x:c r="AF1087" s="87"/>
      <x:c r="AG1087" s="87"/>
      <x:c r="AH1087" s="87"/>
      <x:c r="AI1087" s="30"/>
      <x:c r="AJ1087" s="87" t="str">
        <x:v>master</x:v>
      </x:c>
      <x:c r="AK1087" s="87" t="str">
        <x:v>master-v0.81</x:v>
      </x:c>
      <x:c r="AL1087" s="87" t="str">
        <x:v>statgrad_master_base_v0_81_final(2).xlsx</x:v>
      </x:c>
      <x:c r="AM1087" s="87" t="str">
        <x:v>PHYS_Mar_V1</x:v>
      </x:c>
      <x:c r="AN1087" s="87" t="n">
        <x:v>18</x:v>
      </x:c>
    </x:row>
    <x:row r="1088">
      <x:c r="A1088" s="87" t="n">
        <x:v>1087</x:v>
      </x:c>
      <x:c r="B1088" s="87" t="str">
        <x:v>MAR-PHYS-V1-018</x:v>
      </x:c>
      <x:c r="C1088" s="87" t="str">
        <x:v>СтатГрад</x:v>
      </x:c>
      <x:c r="D1088" s="87" t="str">
        <x:v>Март 2026</x:v>
      </x:c>
      <x:c r="E1088" s="87"/>
      <x:c r="F1088" s="87"/>
      <x:c r="G1088" s="87" t="str">
        <x:v>Физика</x:v>
      </x:c>
      <x:c r="H1088" s="87" t="n">
        <x:v>11</x:v>
      </x:c>
      <x:c r="I1088" s="87" t="str">
        <x:v>ТР №4</x:v>
      </x:c>
      <x:c r="J1088" s="87" t="str">
        <x:v>ФИ2510401</x:v>
      </x:c>
      <x:c r="K1088" s="87" t="n">
        <x:v>18</x:v>
      </x:c>
      <x:c r="L1088" s="87" t="str">
        <x:v>Физические закономерности</x:v>
      </x:c>
      <x:c r="M1088" s="30" t="str">
        <x:v>Выбрать все верные утверждения общего характера.</x:v>
      </x:c>
      <x:c r="N1088" s="30" t="str">
        <x:v>234</x:v>
      </x:c>
      <x:c r="O1088" s="30" t="str">
        <x:v>Верны: U идеального одноатомного газа зависит только от T; скорость ЭМ-волн в вакууме равна c; фототок при фиксированных условиях растёт с интенсивностью. Ответ 234.</x:v>
      </x:c>
      <x:c r="P1088" s="30" t="str">
        <x:v>Верны: U идеального одноатомного газа зависит только от T; скорость ЭМ-волн в вакууме равна c; фототок при фиксированных условиях растёт с интенсивностью. Ответ 234.</x:v>
      </x:c>
      <x:c r="Q1088" s="30"/>
      <x:c r="R1088" s="30" t="str">
        <x:v>Полный PDF задания + независимое решение</x:v>
      </x:c>
      <x:c r="S1088" s="30"/>
      <x:c r="T1088" s="30"/>
      <x:c r="U1088" s="30" t="str">
        <x:v>Расхождений не обнаружено.</x:v>
      </x:c>
      <x:c r="V1088" s="87" t="str">
        <x:v>VERIFIED</x:v>
      </x:c>
      <x:c r="W1088" s="87" t="str">
        <x:v>PDF варианта, задание 18</x:v>
      </x:c>
      <x:c r="X1088" s="87"/>
      <x:c r="Y1088" s="87"/>
      <x:c r="Z1088" s="87"/>
      <x:c r="AA1088" s="87"/>
      <x:c r="AB1088" s="87"/>
      <x:c r="AC1088" s="87"/>
      <x:c r="AD1088" s="87"/>
      <x:c r="AE1088" s="87"/>
      <x:c r="AF1088" s="87"/>
      <x:c r="AG1088" s="87"/>
      <x:c r="AH1088" s="87"/>
      <x:c r="AI1088" s="30"/>
      <x:c r="AJ1088" s="87" t="str">
        <x:v>master</x:v>
      </x:c>
      <x:c r="AK1088" s="87" t="str">
        <x:v>master-v0.81</x:v>
      </x:c>
      <x:c r="AL1088" s="87" t="str">
        <x:v>statgrad_master_base_v0_81_final(2).xlsx</x:v>
      </x:c>
      <x:c r="AM1088" s="87" t="str">
        <x:v>PHYS_Mar_V1</x:v>
      </x:c>
      <x:c r="AN1088" s="87" t="n">
        <x:v>19</x:v>
      </x:c>
    </x:row>
    <x:row r="1089">
      <x:c r="A1089" s="87" t="n">
        <x:v>1088</x:v>
      </x:c>
      <x:c r="B1089" s="87" t="str">
        <x:v>MAR-PHYS-V1-019</x:v>
      </x:c>
      <x:c r="C1089" s="87" t="str">
        <x:v>СтатГрад</x:v>
      </x:c>
      <x:c r="D1089" s="87" t="str">
        <x:v>Март 2026</x:v>
      </x:c>
      <x:c r="E1089" s="87"/>
      <x:c r="F1089" s="87"/>
      <x:c r="G1089" s="87" t="str">
        <x:v>Физика</x:v>
      </x:c>
      <x:c r="H1089" s="87" t="n">
        <x:v>11</x:v>
      </x:c>
      <x:c r="I1089" s="87" t="str">
        <x:v>ТР №4</x:v>
      </x:c>
      <x:c r="J1089" s="87" t="str">
        <x:v>ФИ2510401</x:v>
      </x:c>
      <x:c r="K1089" s="87" t="n">
        <x:v>19</x:v>
      </x:c>
      <x:c r="L1089" s="87" t="str">
        <x:v>Измерительный прибор</x:v>
      </x:c>
      <x:c r="M1089" s="30" t="str">
        <x:v>Считать показание амперметра и записать погрешность, равную половине цены деления.</x:v>
      </x:c>
      <x:c r="N1089" s="30" t="str">
        <x:v>0,7; 0,05</x:v>
      </x:c>
      <x:c r="O1089" s="30" t="str">
        <x:v>Цена деления 0,1 А, стрелка показывает 0,7 А; погрешность 0,05 А. Результат: (0,70±0,05) А.</x:v>
      </x:c>
      <x:c r="P1089" s="30" t="str">
        <x:v>Шкала пересчитана по отметкам 0; 0,5; 1 А.</x:v>
      </x:c>
      <x:c r="Q1089" s="30"/>
      <x:c r="R1089" s="30" t="str">
        <x:v>Полный PDF задания + независимое решение</x:v>
      </x:c>
      <x:c r="S1089" s="30"/>
      <x:c r="T1089" s="30"/>
      <x:c r="U1089" s="30" t="str">
        <x:v>Расхождений не обнаружено.</x:v>
      </x:c>
      <x:c r="V1089" s="87" t="str">
        <x:v>VERIFIED</x:v>
      </x:c>
      <x:c r="W1089" s="87" t="str">
        <x:v>PDF варианта, задание 19</x:v>
      </x:c>
      <x:c r="X1089" s="87"/>
      <x:c r="Y1089" s="87"/>
      <x:c r="Z1089" s="87"/>
      <x:c r="AA1089" s="87"/>
      <x:c r="AB1089" s="87"/>
      <x:c r="AC1089" s="87"/>
      <x:c r="AD1089" s="87"/>
      <x:c r="AE1089" s="87"/>
      <x:c r="AF1089" s="87"/>
      <x:c r="AG1089" s="87"/>
      <x:c r="AH1089" s="87"/>
      <x:c r="AI1089" s="30"/>
      <x:c r="AJ1089" s="87" t="str">
        <x:v>master</x:v>
      </x:c>
      <x:c r="AK1089" s="87" t="str">
        <x:v>master-v0.81</x:v>
      </x:c>
      <x:c r="AL1089" s="87" t="str">
        <x:v>statgrad_master_base_v0_81_final(2).xlsx</x:v>
      </x:c>
      <x:c r="AM1089" s="87" t="str">
        <x:v>PHYS_Mar_V1</x:v>
      </x:c>
      <x:c r="AN1089" s="87" t="n">
        <x:v>20</x:v>
      </x:c>
    </x:row>
    <x:row r="1090">
      <x:c r="A1090" s="87" t="n">
        <x:v>1089</x:v>
      </x:c>
      <x:c r="B1090" s="87" t="str">
        <x:v>MAR-PHYS-V1-020</x:v>
      </x:c>
      <x:c r="C1090" s="87" t="str">
        <x:v>СтатГрад</x:v>
      </x:c>
      <x:c r="D1090" s="87" t="str">
        <x:v>Март 2026</x:v>
      </x:c>
      <x:c r="E1090" s="87"/>
      <x:c r="F1090" s="87"/>
      <x:c r="G1090" s="87" t="str">
        <x:v>Физика</x:v>
      </x:c>
      <x:c r="H1090" s="87" t="n">
        <x:v>11</x:v>
      </x:c>
      <x:c r="I1090" s="87" t="str">
        <x:v>ТР №4</x:v>
      </x:c>
      <x:c r="J1090" s="87" t="str">
        <x:v>ФИ2510401</x:v>
      </x:c>
      <x:c r="K1090" s="87" t="n">
        <x:v>20</x:v>
      </x:c>
      <x:c r="L1090" s="87" t="str">
        <x:v>Планирование эксперимента</x:v>
      </x:c>
      <x:c r="M1090" s="30" t="str">
        <x:v>Выбрать два проводника для исследования зависимости сопротивления от диаметра при прочих равных условиях.</x:v>
      </x:c>
      <x:c r="N1090" s="30" t="str">
        <x:v>24</x:v>
      </x:c>
      <x:c r="O1090" s="30" t="str">
        <x:v>Проводники 2 и 4 имеют одинаковые длину и материал, но разные диаметры.</x:v>
      </x:c>
      <x:c r="P1090" s="30" t="str">
        <x:v>Проводники 2 и 4 имеют одинаковые длину и материал, но разные диаметры.</x:v>
      </x:c>
      <x:c r="Q1090" s="30"/>
      <x:c r="R1090" s="30" t="str">
        <x:v>Полный PDF задания + независимое решение</x:v>
      </x:c>
      <x:c r="S1090" s="30"/>
      <x:c r="T1090" s="30"/>
      <x:c r="U1090" s="30" t="str">
        <x:v>Расхождений не обнаружено.</x:v>
      </x:c>
      <x:c r="V1090" s="87" t="str">
        <x:v>VERIFIED</x:v>
      </x:c>
      <x:c r="W1090" s="87" t="str">
        <x:v>PDF варианта, задание 20</x:v>
      </x:c>
      <x:c r="X1090" s="87"/>
      <x:c r="Y1090" s="87"/>
      <x:c r="Z1090" s="87"/>
      <x:c r="AA1090" s="87"/>
      <x:c r="AB1090" s="87"/>
      <x:c r="AC1090" s="87"/>
      <x:c r="AD1090" s="87"/>
      <x:c r="AE1090" s="87"/>
      <x:c r="AF1090" s="87"/>
      <x:c r="AG1090" s="87"/>
      <x:c r="AH1090" s="87"/>
      <x:c r="AI1090" s="30"/>
      <x:c r="AJ1090" s="87" t="str">
        <x:v>master</x:v>
      </x:c>
      <x:c r="AK1090" s="87" t="str">
        <x:v>master-v0.81</x:v>
      </x:c>
      <x:c r="AL1090" s="87" t="str">
        <x:v>statgrad_master_base_v0_81_final(2).xlsx</x:v>
      </x:c>
      <x:c r="AM1090" s="87" t="str">
        <x:v>PHYS_Mar_V1</x:v>
      </x:c>
      <x:c r="AN1090" s="87" t="n">
        <x:v>21</x:v>
      </x:c>
    </x:row>
    <x:row r="1091">
      <x:c r="A1091" s="87" t="n">
        <x:v>1090</x:v>
      </x:c>
      <x:c r="B1091" s="87" t="str">
        <x:v>MAR-PHYS-V1-021</x:v>
      </x:c>
      <x:c r="C1091" s="87" t="str">
        <x:v>СтатГрад</x:v>
      </x:c>
      <x:c r="D1091" s="87" t="str">
        <x:v>Март 2026</x:v>
      </x:c>
      <x:c r="E1091" s="87"/>
      <x:c r="F1091" s="87"/>
      <x:c r="G1091" s="87" t="str">
        <x:v>Физика</x:v>
      </x:c>
      <x:c r="H1091" s="87" t="n">
        <x:v>11</x:v>
      </x:c>
      <x:c r="I1091" s="87" t="str">
        <x:v>ТР №4</x:v>
      </x:c>
      <x:c r="J1091" s="87" t="str">
        <x:v>ФИ2510401</x:v>
      </x:c>
      <x:c r="K1091" s="87" t="n">
        <x:v>21</x:v>
      </x:c>
      <x:c r="L1091" s="87" t="str">
        <x:v>Развёрнутый ответ: водяной пар</x:v>
      </x:c>
      <x:c r="M1091" s="30" t="str">
        <x:v>Жёсткий закрытый сосуд с ненасыщенным водяным паром нагрели. Объяснить изменения T, p и относительной влажности.</x:v>
      </x:c>
      <x:c r="N1091" s="30" t="str">
        <x:v>Температура и парциальное давление увеличатся, относительная влажность уменьшится.</x:v>
      </x:c>
      <x:c r="O1091" s="30" t="str">
        <x:v>Полученное тепло повышает среднюю кинетическую энергию молекул, поэтому T растёт. При постоянных n и V давление p=nRT/V увеличивается. Давление насыщенного пара с температурой растёт быстрее, чем давление неизменного количества ненасыщенного пара, поэтому φ=p/pₙₐₛ уменьшается.</x:v>
      </x:c>
      <x:c r="P1091" s="30" t="str">
        <x:v>Проверены отсутствие конденсации/испарения жидкости, постоянство массы пара и объёма.</x:v>
      </x:c>
      <x:c r="Q1091" s="30"/>
      <x:c r="R1091" s="30" t="str">
        <x:v>Полный PDF задания + независимое решение</x:v>
      </x:c>
      <x:c r="S1091" s="30"/>
      <x:c r="T1091" s="30"/>
      <x:c r="U1091" s="30" t="str">
        <x:v>Расхождений не обнаружено.</x:v>
      </x:c>
      <x:c r="V1091" s="87" t="str">
        <x:v>VERIFIED</x:v>
      </x:c>
      <x:c r="W1091" s="87" t="str">
        <x:v>PDF варианта, задание 21</x:v>
      </x:c>
      <x:c r="X1091" s="87"/>
      <x:c r="Y1091" s="87"/>
      <x:c r="Z1091" s="87"/>
      <x:c r="AA1091" s="87"/>
      <x:c r="AB1091" s="87"/>
      <x:c r="AC1091" s="87"/>
      <x:c r="AD1091" s="87"/>
      <x:c r="AE1091" s="87"/>
      <x:c r="AF1091" s="87"/>
      <x:c r="AG1091" s="87"/>
      <x:c r="AH1091" s="87"/>
      <x:c r="AI1091" s="30"/>
      <x:c r="AJ1091" s="87" t="str">
        <x:v>master</x:v>
      </x:c>
      <x:c r="AK1091" s="87" t="str">
        <x:v>master-v0.81</x:v>
      </x:c>
      <x:c r="AL1091" s="87" t="str">
        <x:v>statgrad_master_base_v0_81_final(2).xlsx</x:v>
      </x:c>
      <x:c r="AM1091" s="87" t="str">
        <x:v>PHYS_Mar_V1</x:v>
      </x:c>
      <x:c r="AN1091" s="87" t="n">
        <x:v>22</x:v>
      </x:c>
    </x:row>
    <x:row r="1092">
      <x:c r="A1092" s="87" t="n">
        <x:v>1091</x:v>
      </x:c>
      <x:c r="B1092" s="87" t="str">
        <x:v>MAR-PHYS-V1-022</x:v>
      </x:c>
      <x:c r="C1092" s="87" t="str">
        <x:v>СтатГрад</x:v>
      </x:c>
      <x:c r="D1092" s="87" t="str">
        <x:v>Март 2026</x:v>
      </x:c>
      <x:c r="E1092" s="87"/>
      <x:c r="F1092" s="87"/>
      <x:c r="G1092" s="87" t="str">
        <x:v>Физика</x:v>
      </x:c>
      <x:c r="H1092" s="87" t="n">
        <x:v>11</x:v>
      </x:c>
      <x:c r="I1092" s="87" t="str">
        <x:v>ТР №4</x:v>
      </x:c>
      <x:c r="J1092" s="87" t="str">
        <x:v>ФИ2510401</x:v>
      </x:c>
      <x:c r="K1092" s="87" t="n">
        <x:v>22</x:v>
      </x:c>
      <x:c r="L1092" s="87" t="str">
        <x:v>Развёрнутый ответ: статика и блок</x:v>
      </x:c>
      <x:c r="M1092" s="30" t="str">
        <x:v>Невесомый стержень L=0,9 м; ось в 0,1 м от левого края; поддерживающая нить в 0,2 м от правого. Груз 2 кг на подвижном блоке. Найти натяжение поддерживающей нити.</x:v>
      </x:c>
      <x:c r="N1092" s="30" t="str">
        <x:v>13,3 Н</x:v>
      </x:c>
      <x:c r="O1092" s="30" t="str">
        <x:v>Натяжение верёвки подвижного блока τ=mg/2=10 Н. Относительно оси O: T·(0,9−0,2−0,1)=τ·(0,9−0,1). Отсюда T=10·0,8/0,6=13,3 Н.</x:v>
      </x:c>
      <x:c r="P1092" s="30" t="str">
        <x:v>Условие равновесия блока и сумма моментов стержня проверены раздельно.</x:v>
      </x:c>
      <x:c r="Q1092" s="30"/>
      <x:c r="R1092" s="30" t="str">
        <x:v>Полный PDF задания + независимое решение</x:v>
      </x:c>
      <x:c r="S1092" s="30"/>
      <x:c r="T1092" s="30"/>
      <x:c r="U1092" s="30" t="str">
        <x:v>Расхождений не обнаружено.</x:v>
      </x:c>
      <x:c r="V1092" s="87" t="str">
        <x:v>VERIFIED</x:v>
      </x:c>
      <x:c r="W1092" s="87" t="str">
        <x:v>PDF варианта, задание 22</x:v>
      </x:c>
      <x:c r="X1092" s="87"/>
      <x:c r="Y1092" s="87"/>
      <x:c r="Z1092" s="87"/>
      <x:c r="AA1092" s="87"/>
      <x:c r="AB1092" s="87"/>
      <x:c r="AC1092" s="87"/>
      <x:c r="AD1092" s="87"/>
      <x:c r="AE1092" s="87"/>
      <x:c r="AF1092" s="87"/>
      <x:c r="AG1092" s="87"/>
      <x:c r="AH1092" s="87"/>
      <x:c r="AI1092" s="30"/>
      <x:c r="AJ1092" s="87" t="str">
        <x:v>master</x:v>
      </x:c>
      <x:c r="AK1092" s="87" t="str">
        <x:v>master-v0.81</x:v>
      </x:c>
      <x:c r="AL1092" s="87" t="str">
        <x:v>statgrad_master_base_v0_81_final(2).xlsx</x:v>
      </x:c>
      <x:c r="AM1092" s="87" t="str">
        <x:v>PHYS_Mar_V1</x:v>
      </x:c>
      <x:c r="AN1092" s="87" t="n">
        <x:v>23</x:v>
      </x:c>
    </x:row>
    <x:row r="1093">
      <x:c r="A1093" s="87" t="n">
        <x:v>1092</x:v>
      </x:c>
      <x:c r="B1093" s="87" t="str">
        <x:v>MAR-PHYS-V1-023</x:v>
      </x:c>
      <x:c r="C1093" s="87" t="str">
        <x:v>СтатГрад</x:v>
      </x:c>
      <x:c r="D1093" s="87" t="str">
        <x:v>Март 2026</x:v>
      </x:c>
      <x:c r="E1093" s="87"/>
      <x:c r="F1093" s="87"/>
      <x:c r="G1093" s="87" t="str">
        <x:v>Физика</x:v>
      </x:c>
      <x:c r="H1093" s="87" t="n">
        <x:v>11</x:v>
      </x:c>
      <x:c r="I1093" s="87" t="str">
        <x:v>ТР №4</x:v>
      </x:c>
      <x:c r="J1093" s="87" t="str">
        <x:v>ФИ2510401</x:v>
      </x:c>
      <x:c r="K1093" s="87" t="n">
        <x:v>23</x:v>
      </x:c>
      <x:c r="L1093" s="87" t="str">
        <x:v>Развёрнутый ответ: электромагнитная индукция</x:v>
      </x:c>
      <x:c r="M1093" s="30" t="str">
        <x:v>Квадратная рамка a=10 см, B=3 мТл, R=0,5 Ом повёрнута на 30°. Найти прошедший заряд.</x:v>
      </x:c>
      <x:c r="N1093" s="30" t="str">
        <x:v>30 мкКл</x:v>
      </x:c>
      <x:c r="O1093" s="30" t="str">
        <x:v>Изначально поток равен нулю, после поворота ΔΦ=Ba²sinβ. q=|ΔΦ|/R=3·10⁻³·0,01·0,5/0,5=3·10⁻⁵ Кл=30 мкКл.</x:v>
      </x:c>
      <x:c r="P1093" s="30" t="str">
        <x:v>Использован интегральный закон Фарадея: q=ΔΦ/R.</x:v>
      </x:c>
      <x:c r="Q1093" s="30"/>
      <x:c r="R1093" s="30" t="str">
        <x:v>Полный PDF задания + независимое решение</x:v>
      </x:c>
      <x:c r="S1093" s="30"/>
      <x:c r="T1093" s="30"/>
      <x:c r="U1093" s="30" t="str">
        <x:v>Расхождений не обнаружено.</x:v>
      </x:c>
      <x:c r="V1093" s="87" t="str">
        <x:v>VERIFIED</x:v>
      </x:c>
      <x:c r="W1093" s="87" t="str">
        <x:v>PDF варианта, задание 23</x:v>
      </x:c>
      <x:c r="X1093" s="87"/>
      <x:c r="Y1093" s="87"/>
      <x:c r="Z1093" s="87"/>
      <x:c r="AA1093" s="87"/>
      <x:c r="AB1093" s="87"/>
      <x:c r="AC1093" s="87"/>
      <x:c r="AD1093" s="87"/>
      <x:c r="AE1093" s="87"/>
      <x:c r="AF1093" s="87"/>
      <x:c r="AG1093" s="87"/>
      <x:c r="AH1093" s="87"/>
      <x:c r="AI1093" s="30"/>
      <x:c r="AJ1093" s="87" t="str">
        <x:v>master</x:v>
      </x:c>
      <x:c r="AK1093" s="87" t="str">
        <x:v>master-v0.81</x:v>
      </x:c>
      <x:c r="AL1093" s="87" t="str">
        <x:v>statgrad_master_base_v0_81_final(2).xlsx</x:v>
      </x:c>
      <x:c r="AM1093" s="87" t="str">
        <x:v>PHYS_Mar_V1</x:v>
      </x:c>
      <x:c r="AN1093" s="87" t="n">
        <x:v>24</x:v>
      </x:c>
    </x:row>
    <x:row r="1094">
      <x:c r="A1094" s="87" t="n">
        <x:v>1093</x:v>
      </x:c>
      <x:c r="B1094" s="87" t="str">
        <x:v>MAR-PHYS-V1-024</x:v>
      </x:c>
      <x:c r="C1094" s="87" t="str">
        <x:v>СтатГрад</x:v>
      </x:c>
      <x:c r="D1094" s="87" t="str">
        <x:v>Март 2026</x:v>
      </x:c>
      <x:c r="E1094" s="87"/>
      <x:c r="F1094" s="87"/>
      <x:c r="G1094" s="87" t="str">
        <x:v>Физика</x:v>
      </x:c>
      <x:c r="H1094" s="87" t="n">
        <x:v>11</x:v>
      </x:c>
      <x:c r="I1094" s="87" t="str">
        <x:v>ТР №4</x:v>
      </x:c>
      <x:c r="J1094" s="87" t="str">
        <x:v>ФИ2510401</x:v>
      </x:c>
      <x:c r="K1094" s="87" t="n">
        <x:v>24</x:v>
      </x:c>
      <x:c r="L1094" s="87" t="str">
        <x:v>Развёрнутый ответ: газ и столбик ртути</x:v>
      </x:c>
      <x:c r="M1094" s="30" t="str">
        <x:v>Горизонтальную запаянную трубку с равными воздушными объёмами l и столбиком ртути h повернули вертикально запаянным концом вверх; ртуть сместилась на d. Найти p₀.</x:v>
      </x:c>
      <x:c r="N1094" s="30" t="str">
        <x:v>p₀ = ρgh(l²−d²)/(2ld)</x:v>
      </x:c>
      <x:c r="O1094" s="30" t="str">
        <x:v>После поворота верхний объём S(l+d), нижний S(l−d). По закону Бойля p₁=p₀l/(l+d), p₂=p₀l/(l−d). Условие p₂−p₁=ρgh приводит к p₀=ρgh(l²−d²)/(2ld).</x:v>
      </x:c>
      <x:c r="P1094" s="30" t="str">
        <x:v>Направление смещения проверено: нижний газ сжимается, верхний расширяется.</x:v>
      </x:c>
      <x:c r="Q1094" s="30"/>
      <x:c r="R1094" s="30" t="str">
        <x:v>Полный PDF задания + независимое решение</x:v>
      </x:c>
      <x:c r="S1094" s="30"/>
      <x:c r="T1094" s="30"/>
      <x:c r="U1094" s="30" t="str">
        <x:v>Расхождений не обнаружено.</x:v>
      </x:c>
      <x:c r="V1094" s="87" t="str">
        <x:v>VERIFIED</x:v>
      </x:c>
      <x:c r="W1094" s="87" t="str">
        <x:v>PDF варианта, задание 24</x:v>
      </x:c>
      <x:c r="X1094" s="87"/>
      <x:c r="Y1094" s="87"/>
      <x:c r="Z1094" s="87"/>
      <x:c r="AA1094" s="87"/>
      <x:c r="AB1094" s="87"/>
      <x:c r="AC1094" s="87"/>
      <x:c r="AD1094" s="87"/>
      <x:c r="AE1094" s="87"/>
      <x:c r="AF1094" s="87"/>
      <x:c r="AG1094" s="87"/>
      <x:c r="AH1094" s="87"/>
      <x:c r="AI1094" s="30"/>
      <x:c r="AJ1094" s="87" t="str">
        <x:v>master</x:v>
      </x:c>
      <x:c r="AK1094" s="87" t="str">
        <x:v>master-v0.81</x:v>
      </x:c>
      <x:c r="AL1094" s="87" t="str">
        <x:v>statgrad_master_base_v0_81_final(2).xlsx</x:v>
      </x:c>
      <x:c r="AM1094" s="87" t="str">
        <x:v>PHYS_Mar_V1</x:v>
      </x:c>
      <x:c r="AN1094" s="87" t="n">
        <x:v>25</x:v>
      </x:c>
    </x:row>
    <x:row r="1095">
      <x:c r="A1095" s="87" t="n">
        <x:v>1094</x:v>
      </x:c>
      <x:c r="B1095" s="87" t="str">
        <x:v>MAR-PHYS-V1-025</x:v>
      </x:c>
      <x:c r="C1095" s="87" t="str">
        <x:v>СтатГрад</x:v>
      </x:c>
      <x:c r="D1095" s="87" t="str">
        <x:v>Март 2026</x:v>
      </x:c>
      <x:c r="E1095" s="87"/>
      <x:c r="F1095" s="87"/>
      <x:c r="G1095" s="87" t="str">
        <x:v>Физика</x:v>
      </x:c>
      <x:c r="H1095" s="87" t="n">
        <x:v>11</x:v>
      </x:c>
      <x:c r="I1095" s="87" t="str">
        <x:v>ТР №4</x:v>
      </x:c>
      <x:c r="J1095" s="87" t="str">
        <x:v>ФИ2510401</x:v>
      </x:c>
      <x:c r="K1095" s="87" t="n">
        <x:v>25</x:v>
      </x:c>
      <x:c r="L1095" s="87" t="str">
        <x:v>Развёрнутый ответ: система линз</x:v>
      </x:c>
      <x:c r="M1095" s="30" t="str">
        <x:v>Собирающая линза F₁=30 см и рассеивающая F₂=−20 см разделены на 30 см; источник в 60 см слева от первой. Найти конечное изображение.</x:v>
      </x:c>
      <x:c r="N1095" s="30" t="str">
        <x:v>60 см слева от второй линзы; изображение мнимое</x:v>
      </x:c>
      <x:c r="O1095" s="30" t="str">
        <x:v>Первая линза: 1/30=1/60+1/b₁, поэтому b₁=60 см. Для второй линзы это виртуальный предмет в 30 см справа: a₂=−30 см. 1/(−20)=1/(−30)+1/b₂, откуда b₂=−60 см.</x:v>
      </x:c>
      <x:c r="P1095" s="30" t="str">
        <x:v>Знаки расстояний и построение главных лучей проверены.</x:v>
      </x:c>
      <x:c r="Q1095" s="30"/>
      <x:c r="R1095" s="30" t="str">
        <x:v>Полный PDF задания + независимое решение</x:v>
      </x:c>
      <x:c r="S1095" s="30"/>
      <x:c r="T1095" s="30"/>
      <x:c r="U1095" s="30" t="str">
        <x:v>Расхождений не обнаружено.</x:v>
      </x:c>
      <x:c r="V1095" s="87" t="str">
        <x:v>VERIFIED</x:v>
      </x:c>
      <x:c r="W1095" s="87" t="str">
        <x:v>PDF варианта, задание 25</x:v>
      </x:c>
      <x:c r="X1095" s="87"/>
      <x:c r="Y1095" s="87"/>
      <x:c r="Z1095" s="87"/>
      <x:c r="AA1095" s="87"/>
      <x:c r="AB1095" s="87"/>
      <x:c r="AC1095" s="87"/>
      <x:c r="AD1095" s="87"/>
      <x:c r="AE1095" s="87"/>
      <x:c r="AF1095" s="87"/>
      <x:c r="AG1095" s="87"/>
      <x:c r="AH1095" s="87"/>
      <x:c r="AI1095" s="30"/>
      <x:c r="AJ1095" s="87" t="str">
        <x:v>master</x:v>
      </x:c>
      <x:c r="AK1095" s="87" t="str">
        <x:v>master-v0.81</x:v>
      </x:c>
      <x:c r="AL1095" s="87" t="str">
        <x:v>statgrad_master_base_v0_81_final(2).xlsx</x:v>
      </x:c>
      <x:c r="AM1095" s="87" t="str">
        <x:v>PHYS_Mar_V1</x:v>
      </x:c>
      <x:c r="AN1095" s="87" t="n">
        <x:v>26</x:v>
      </x:c>
    </x:row>
    <x:row r="1096">
      <x:c r="A1096" s="87" t="n">
        <x:v>1095</x:v>
      </x:c>
      <x:c r="B1096" s="87" t="str">
        <x:v>MAR-PHYS-V1-026</x:v>
      </x:c>
      <x:c r="C1096" s="87" t="str">
        <x:v>СтатГрад</x:v>
      </x:c>
      <x:c r="D1096" s="87" t="str">
        <x:v>Март 2026</x:v>
      </x:c>
      <x:c r="E1096" s="87"/>
      <x:c r="F1096" s="87"/>
      <x:c r="G1096" s="87" t="str">
        <x:v>Физика</x:v>
      </x:c>
      <x:c r="H1096" s="87" t="n">
        <x:v>11</x:v>
      </x:c>
      <x:c r="I1096" s="87" t="str">
        <x:v>ТР №4</x:v>
      </x:c>
      <x:c r="J1096" s="87" t="str">
        <x:v>ФИ2510401</x:v>
      </x:c>
      <x:c r="K1096" s="87" t="n">
        <x:v>26</x:v>
      </x:c>
      <x:c r="L1096" s="87" t="str">
        <x:v>Развёрнутый ответ: упругий удар и пружина</x:v>
      </x:c>
      <x:c r="M1096" s="30" t="str">
        <x:v>Шарик 40 г со скоростью 11 м/с упруго ударяет брусок массой 10m на гладкой плоскости; k=1000 Н/м. Найти максимальное сжатие.</x:v>
      </x:c>
      <x:c r="N1096" s="30" t="str">
        <x:v>4 см</x:v>
      </x:c>
      <x:c r="O1096" s="30" t="str">
        <x:v>После центрального упругого удара скорость бруска V=2m v₀/(m+10m)=2 м/с. Затем MV²/2=kx²/2, где M=0,4 кг. x=V√(M/k)=2√(0,4/1000)=0,04 м.</x:v>
      </x:c>
      <x:c r="P1096" s="30" t="str">
        <x:v>Для удара использованы сохранение импульса и кинетической энергии; далее — сохранение энергии брусок–пружина.</x:v>
      </x:c>
      <x:c r="Q1096" s="30"/>
      <x:c r="R1096" s="30" t="str">
        <x:v>Полный PDF задания + независимое решение</x:v>
      </x:c>
      <x:c r="S1096" s="30"/>
      <x:c r="T1096" s="30"/>
      <x:c r="U1096" s="30" t="str">
        <x:v>Расхождений не обнаружено.</x:v>
      </x:c>
      <x:c r="V1096" s="87" t="str">
        <x:v>VERIFIED</x:v>
      </x:c>
      <x:c r="W1096" s="87" t="str">
        <x:v>PDF варианта, задание 26</x:v>
      </x:c>
      <x:c r="X1096" s="87"/>
      <x:c r="Y1096" s="87"/>
      <x:c r="Z1096" s="87"/>
      <x:c r="AA1096" s="87"/>
      <x:c r="AB1096" s="87"/>
      <x:c r="AC1096" s="87"/>
      <x:c r="AD1096" s="87"/>
      <x:c r="AE1096" s="87"/>
      <x:c r="AF1096" s="87"/>
      <x:c r="AG1096" s="87"/>
      <x:c r="AH1096" s="87"/>
      <x:c r="AI1096" s="30"/>
      <x:c r="AJ1096" s="87" t="str">
        <x:v>master</x:v>
      </x:c>
      <x:c r="AK1096" s="87" t="str">
        <x:v>master-v0.81</x:v>
      </x:c>
      <x:c r="AL1096" s="87" t="str">
        <x:v>statgrad_master_base_v0_81_final(2).xlsx</x:v>
      </x:c>
      <x:c r="AM1096" s="87" t="str">
        <x:v>PHYS_Mar_V1</x:v>
      </x:c>
      <x:c r="AN1096" s="87" t="n">
        <x:v>27</x:v>
      </x:c>
    </x:row>
    <x:row r="1097">
      <x:c r="A1097" s="87" t="n">
        <x:v>1096</x:v>
      </x:c>
      <x:c r="B1097" s="87" t="str">
        <x:v>MAR-PHYS-V2-001</x:v>
      </x:c>
      <x:c r="C1097" s="87" t="str">
        <x:v>СтатГрад</x:v>
      </x:c>
      <x:c r="D1097" s="87" t="str">
        <x:v>Март 2026</x:v>
      </x:c>
      <x:c r="E1097" s="87"/>
      <x:c r="F1097" s="87"/>
      <x:c r="G1097" s="87" t="str">
        <x:v>Физика</x:v>
      </x:c>
      <x:c r="H1097" s="87" t="n">
        <x:v>11</x:v>
      </x:c>
      <x:c r="I1097" s="87" t="str">
        <x:v>ТР №4</x:v>
      </x:c>
      <x:c r="J1097" s="87" t="str">
        <x:v>ФИ2510402</x:v>
      </x:c>
      <x:c r="K1097" s="87" t="n">
        <x:v>1</x:v>
      </x:c>
      <x:c r="L1097" s="87" t="str">
        <x:v>Кинематика: график скорости</x:v>
      </x:c>
      <x:c r="M1097" s="30" t="str">
        <x:v>По графику vₓ(t) определить проекцию ускорения на интервале 16–22 с.</x:v>
      </x:c>
      <x:c r="N1097" s="30" t="str">
        <x:v>2,5</x:v>
      </x:c>
      <x:c r="O1097" s="30" t="str">
        <x:v>v(16)=−10 м/с, v(22)=5 м/с; aₓ=(5−(−10))/6=2,5 м/с².</x:v>
      </x:c>
      <x:c r="P1097" s="30" t="str">
        <x:v>Наклон возрастающей прямой проверен по узлам координатной сетки.</x:v>
      </x:c>
      <x:c r="Q1097" s="30"/>
      <x:c r="R1097" s="30" t="str">
        <x:v>Полный PDF задания + независимое решение</x:v>
      </x:c>
      <x:c r="S1097" s="30"/>
      <x:c r="T1097" s="30"/>
      <x:c r="U1097" s="30" t="str">
        <x:v>Расхождений не обнаружено.</x:v>
      </x:c>
      <x:c r="V1097" s="87" t="str">
        <x:v>VERIFIED</x:v>
      </x:c>
      <x:c r="W1097" s="87" t="str">
        <x:v>PDF варианта, задание 1</x:v>
      </x:c>
      <x:c r="X1097" s="87"/>
      <x:c r="Y1097" s="87"/>
      <x:c r="Z1097" s="87"/>
      <x:c r="AA1097" s="87"/>
      <x:c r="AB1097" s="87"/>
      <x:c r="AC1097" s="87"/>
      <x:c r="AD1097" s="87"/>
      <x:c r="AE1097" s="87"/>
      <x:c r="AF1097" s="87"/>
      <x:c r="AG1097" s="87"/>
      <x:c r="AH1097" s="87"/>
      <x:c r="AI1097" s="30"/>
      <x:c r="AJ1097" s="87" t="str">
        <x:v>master</x:v>
      </x:c>
      <x:c r="AK1097" s="87" t="str">
        <x:v>master-v0.81</x:v>
      </x:c>
      <x:c r="AL1097" s="87" t="str">
        <x:v>statgrad_master_base_v0_81_final(2).xlsx</x:v>
      </x:c>
      <x:c r="AM1097" s="87" t="str">
        <x:v>PHYS_Mar_V2</x:v>
      </x:c>
      <x:c r="AN1097" s="87" t="n">
        <x:v>2</x:v>
      </x:c>
    </x:row>
    <x:row r="1098">
      <x:c r="A1098" s="87" t="n">
        <x:v>1097</x:v>
      </x:c>
      <x:c r="B1098" s="87" t="str">
        <x:v>MAR-PHYS-V2-002</x:v>
      </x:c>
      <x:c r="C1098" s="87" t="str">
        <x:v>СтатГрад</x:v>
      </x:c>
      <x:c r="D1098" s="87" t="str">
        <x:v>Март 2026</x:v>
      </x:c>
      <x:c r="E1098" s="87"/>
      <x:c r="F1098" s="87"/>
      <x:c r="G1098" s="87" t="str">
        <x:v>Физика</x:v>
      </x:c>
      <x:c r="H1098" s="87" t="n">
        <x:v>11</x:v>
      </x:c>
      <x:c r="I1098" s="87" t="str">
        <x:v>ТР №4</x:v>
      </x:c>
      <x:c r="J1098" s="87" t="str">
        <x:v>ФИ2510402</x:v>
      </x:c>
      <x:c r="K1098" s="87" t="n">
        <x:v>2</x:v>
      </x:c>
      <x:c r="L1098" s="87" t="str">
        <x:v>Закон всемирного тяготения</x:v>
      </x:c>
      <x:c r="M1098" s="30" t="str">
        <x:v>R₂/R₁=1,6 для спутников одинаковой массы. Найти F₁/F₂.</x:v>
      </x:c>
      <x:c r="N1098" s="30" t="str">
        <x:v>2,56</x:v>
      </x:c>
      <x:c r="O1098" s="30" t="str">
        <x:v>F∝1/R², поэтому F₁/F₂=(R₂/R₁)²=1,6²=2,56.</x:v>
      </x:c>
      <x:c r="P1098" s="30" t="str">
        <x:v>F∝1/R², поэтому F₁/F₂=(R₂/R₁)²=1,6²=2,56.</x:v>
      </x:c>
      <x:c r="Q1098" s="30"/>
      <x:c r="R1098" s="30" t="str">
        <x:v>Полный PDF задания + независимое решение</x:v>
      </x:c>
      <x:c r="S1098" s="30"/>
      <x:c r="T1098" s="30"/>
      <x:c r="U1098" s="30" t="str">
        <x:v>Расхождений не обнаружено.</x:v>
      </x:c>
      <x:c r="V1098" s="87" t="str">
        <x:v>VERIFIED</x:v>
      </x:c>
      <x:c r="W1098" s="87" t="str">
        <x:v>PDF варианта, задание 2</x:v>
      </x:c>
      <x:c r="X1098" s="87"/>
      <x:c r="Y1098" s="87"/>
      <x:c r="Z1098" s="87"/>
      <x:c r="AA1098" s="87"/>
      <x:c r="AB1098" s="87"/>
      <x:c r="AC1098" s="87"/>
      <x:c r="AD1098" s="87"/>
      <x:c r="AE1098" s="87"/>
      <x:c r="AF1098" s="87"/>
      <x:c r="AG1098" s="87"/>
      <x:c r="AH1098" s="87"/>
      <x:c r="AI1098" s="30"/>
      <x:c r="AJ1098" s="87" t="str">
        <x:v>master</x:v>
      </x:c>
      <x:c r="AK1098" s="87" t="str">
        <x:v>master-v0.81</x:v>
      </x:c>
      <x:c r="AL1098" s="87" t="str">
        <x:v>statgrad_master_base_v0_81_final(2).xlsx</x:v>
      </x:c>
      <x:c r="AM1098" s="87" t="str">
        <x:v>PHYS_Mar_V2</x:v>
      </x:c>
      <x:c r="AN1098" s="87" t="n">
        <x:v>3</x:v>
      </x:c>
    </x:row>
    <x:row r="1099">
      <x:c r="A1099" s="87" t="n">
        <x:v>1098</x:v>
      </x:c>
      <x:c r="B1099" s="87" t="str">
        <x:v>MAR-PHYS-V2-003</x:v>
      </x:c>
      <x:c r="C1099" s="87" t="str">
        <x:v>СтатГрад</x:v>
      </x:c>
      <x:c r="D1099" s="87" t="str">
        <x:v>Март 2026</x:v>
      </x:c>
      <x:c r="E1099" s="87"/>
      <x:c r="F1099" s="87"/>
      <x:c r="G1099" s="87" t="str">
        <x:v>Физика</x:v>
      </x:c>
      <x:c r="H1099" s="87" t="n">
        <x:v>11</x:v>
      </x:c>
      <x:c r="I1099" s="87" t="str">
        <x:v>ТР №4</x:v>
      </x:c>
      <x:c r="J1099" s="87" t="str">
        <x:v>ФИ2510402</x:v>
      </x:c>
      <x:c r="K1099" s="87" t="n">
        <x:v>3</x:v>
      </x:c>
      <x:c r="L1099" s="87" t="str">
        <x:v>Закон сохранения энергии</x:v>
      </x:c>
      <x:c r="M1099" s="30" t="str">
        <x:v>Камень массой 0,5 кг падает; у дна K=45 Дж, потери 8 Дж. Найти высоту.</x:v>
      </x:c>
      <x:c r="N1099" s="30" t="str">
        <x:v>10,6</x:v>
      </x:c>
      <x:c r="O1099" s="30" t="str">
        <x:v>mgh=45+8=53 Дж; h=53/(0,5·10)=10,6 м.</x:v>
      </x:c>
      <x:c r="P1099" s="30" t="str">
        <x:v>mgh=45+8=53 Дж; h=53/(0,5·10)=10,6 м.</x:v>
      </x:c>
      <x:c r="Q1099" s="30"/>
      <x:c r="R1099" s="30" t="str">
        <x:v>Полный PDF задания + независимое решение</x:v>
      </x:c>
      <x:c r="S1099" s="30"/>
      <x:c r="T1099" s="30"/>
      <x:c r="U1099" s="30" t="str">
        <x:v>Расхождений не обнаружено.</x:v>
      </x:c>
      <x:c r="V1099" s="87" t="str">
        <x:v>VERIFIED</x:v>
      </x:c>
      <x:c r="W1099" s="87" t="str">
        <x:v>PDF варианта, задание 3</x:v>
      </x:c>
      <x:c r="X1099" s="87"/>
      <x:c r="Y1099" s="87"/>
      <x:c r="Z1099" s="87"/>
      <x:c r="AA1099" s="87"/>
      <x:c r="AB1099" s="87"/>
      <x:c r="AC1099" s="87"/>
      <x:c r="AD1099" s="87"/>
      <x:c r="AE1099" s="87"/>
      <x:c r="AF1099" s="87"/>
      <x:c r="AG1099" s="87"/>
      <x:c r="AH1099" s="87"/>
      <x:c r="AI1099" s="30"/>
      <x:c r="AJ1099" s="87" t="str">
        <x:v>master</x:v>
      </x:c>
      <x:c r="AK1099" s="87" t="str">
        <x:v>master-v0.81</x:v>
      </x:c>
      <x:c r="AL1099" s="87" t="str">
        <x:v>statgrad_master_base_v0_81_final(2).xlsx</x:v>
      </x:c>
      <x:c r="AM1099" s="87" t="str">
        <x:v>PHYS_Mar_V2</x:v>
      </x:c>
      <x:c r="AN1099" s="87" t="n">
        <x:v>4</x:v>
      </x:c>
    </x:row>
    <x:row r="1100">
      <x:c r="A1100" s="87" t="n">
        <x:v>1099</x:v>
      </x:c>
      <x:c r="B1100" s="87" t="str">
        <x:v>MAR-PHYS-V2-004</x:v>
      </x:c>
      <x:c r="C1100" s="87" t="str">
        <x:v>СтатГрад</x:v>
      </x:c>
      <x:c r="D1100" s="87" t="str">
        <x:v>Март 2026</x:v>
      </x:c>
      <x:c r="E1100" s="87"/>
      <x:c r="F1100" s="87"/>
      <x:c r="G1100" s="87" t="str">
        <x:v>Физика</x:v>
      </x:c>
      <x:c r="H1100" s="87" t="n">
        <x:v>11</x:v>
      </x:c>
      <x:c r="I1100" s="87" t="str">
        <x:v>ТР №4</x:v>
      </x:c>
      <x:c r="J1100" s="87" t="str">
        <x:v>ФИ2510402</x:v>
      </x:c>
      <x:c r="K1100" s="87" t="n">
        <x:v>4</x:v>
      </x:c>
      <x:c r="L1100" s="87" t="str">
        <x:v>Математический маятник</x:v>
      </x:c>
      <x:c r="M1100" s="30" t="str">
        <x:v>После замены груза маятника на груз другой массы определить период.</x:v>
      </x:c>
      <x:c r="N1100" s="30" t="str">
        <x:v>1,4</x:v>
      </x:c>
      <x:c r="O1100" s="30" t="str">
        <x:v>T=2π√(l/g) не зависит от массы.</x:v>
      </x:c>
      <x:c r="P1100" s="30" t="str">
        <x:v>T=2π√(l/g) не зависит от массы.</x:v>
      </x:c>
      <x:c r="Q1100" s="30"/>
      <x:c r="R1100" s="30" t="str">
        <x:v>Полный PDF задания + независимое решение</x:v>
      </x:c>
      <x:c r="S1100" s="30"/>
      <x:c r="T1100" s="30"/>
      <x:c r="U1100" s="30" t="str">
        <x:v>Расхождений не обнаружено.</x:v>
      </x:c>
      <x:c r="V1100" s="87" t="str">
        <x:v>VERIFIED</x:v>
      </x:c>
      <x:c r="W1100" s="87" t="str">
        <x:v>PDF варианта, задание 4</x:v>
      </x:c>
      <x:c r="X1100" s="87"/>
      <x:c r="Y1100" s="87"/>
      <x:c r="Z1100" s="87"/>
      <x:c r="AA1100" s="87"/>
      <x:c r="AB1100" s="87"/>
      <x:c r="AC1100" s="87"/>
      <x:c r="AD1100" s="87"/>
      <x:c r="AE1100" s="87"/>
      <x:c r="AF1100" s="87"/>
      <x:c r="AG1100" s="87"/>
      <x:c r="AH1100" s="87"/>
      <x:c r="AI1100" s="30"/>
      <x:c r="AJ1100" s="87" t="str">
        <x:v>master</x:v>
      </x:c>
      <x:c r="AK1100" s="87" t="str">
        <x:v>master-v0.81</x:v>
      </x:c>
      <x:c r="AL1100" s="87" t="str">
        <x:v>statgrad_master_base_v0_81_final(2).xlsx</x:v>
      </x:c>
      <x:c r="AM1100" s="87" t="str">
        <x:v>PHYS_Mar_V2</x:v>
      </x:c>
      <x:c r="AN1100" s="87" t="n">
        <x:v>5</x:v>
      </x:c>
    </x:row>
    <x:row r="1101">
      <x:c r="A1101" s="87" t="n">
        <x:v>1100</x:v>
      </x:c>
      <x:c r="B1101" s="87" t="str">
        <x:v>MAR-PHYS-V2-005</x:v>
      </x:c>
      <x:c r="C1101" s="87" t="str">
        <x:v>СтатГрад</x:v>
      </x:c>
      <x:c r="D1101" s="87" t="str">
        <x:v>Март 2026</x:v>
      </x:c>
      <x:c r="E1101" s="87"/>
      <x:c r="F1101" s="87"/>
      <x:c r="G1101" s="87" t="str">
        <x:v>Физика</x:v>
      </x:c>
      <x:c r="H1101" s="87" t="n">
        <x:v>11</x:v>
      </x:c>
      <x:c r="I1101" s="87" t="str">
        <x:v>ТР №4</x:v>
      </x:c>
      <x:c r="J1101" s="87" t="str">
        <x:v>ФИ2510402</x:v>
      </x:c>
      <x:c r="K1101" s="87" t="n">
        <x:v>5</x:v>
      </x:c>
      <x:c r="L1101" s="87" t="str">
        <x:v>Неупругий удар</x:v>
      </x:c>
      <x:c r="M1101" s="30" t="str">
        <x:v>Пластилиновый шарик массой 0,2 кг со скоростью 3 м/с застревает в бруске массой 0,1 кг. Выбрать другой набор верных утверждений.</x:v>
      </x:c>
      <x:c r="N1101" s="30" t="str">
        <x:v>235</x:v>
      </x:c>
      <x:c r="O1101" s="30" t="str">
        <x:v>Общая скорость 2 м/с, импульс системы сохраняется, выделяется 0,3 Дж тепла. С формулировками варианта согласуются утверждения 2, 3 и 5.</x:v>
      </x:c>
      <x:c r="P1101" s="30" t="str">
        <x:v>Импульсы и энергии пересчитаны независимо.</x:v>
      </x:c>
      <x:c r="Q1101" s="30"/>
      <x:c r="R1101" s="30" t="str">
        <x:v>Полный PDF задания + независимое решение</x:v>
      </x:c>
      <x:c r="S1101" s="30"/>
      <x:c r="T1101" s="30"/>
      <x:c r="U1101" s="30" t="str">
        <x:v>Расхождений не обнаружено.</x:v>
      </x:c>
      <x:c r="V1101" s="87" t="str">
        <x:v>VERIFIED</x:v>
      </x:c>
      <x:c r="W1101" s="87" t="str">
        <x:v>PDF варианта, задание 5</x:v>
      </x:c>
      <x:c r="X1101" s="87"/>
      <x:c r="Y1101" s="87"/>
      <x:c r="Z1101" s="87"/>
      <x:c r="AA1101" s="87"/>
      <x:c r="AB1101" s="87"/>
      <x:c r="AC1101" s="87"/>
      <x:c r="AD1101" s="87"/>
      <x:c r="AE1101" s="87"/>
      <x:c r="AF1101" s="87"/>
      <x:c r="AG1101" s="87"/>
      <x:c r="AH1101" s="87"/>
      <x:c r="AI1101" s="30"/>
      <x:c r="AJ1101" s="87" t="str">
        <x:v>master</x:v>
      </x:c>
      <x:c r="AK1101" s="87" t="str">
        <x:v>master-v0.81</x:v>
      </x:c>
      <x:c r="AL1101" s="87" t="str">
        <x:v>statgrad_master_base_v0_81_final(2).xlsx</x:v>
      </x:c>
      <x:c r="AM1101" s="87" t="str">
        <x:v>PHYS_Mar_V2</x:v>
      </x:c>
      <x:c r="AN1101" s="87" t="n">
        <x:v>6</x:v>
      </x:c>
    </x:row>
    <x:row r="1102">
      <x:c r="A1102" s="87" t="n">
        <x:v>1101</x:v>
      </x:c>
      <x:c r="B1102" s="87" t="str">
        <x:v>MAR-PHYS-V2-006</x:v>
      </x:c>
      <x:c r="C1102" s="87" t="str">
        <x:v>СтатГрад</x:v>
      </x:c>
      <x:c r="D1102" s="87" t="str">
        <x:v>Март 2026</x:v>
      </x:c>
      <x:c r="E1102" s="87"/>
      <x:c r="F1102" s="87"/>
      <x:c r="G1102" s="87" t="str">
        <x:v>Физика</x:v>
      </x:c>
      <x:c r="H1102" s="87" t="n">
        <x:v>11</x:v>
      </x:c>
      <x:c r="I1102" s="87" t="str">
        <x:v>ТР №4</x:v>
      </x:c>
      <x:c r="J1102" s="87" t="str">
        <x:v>ФИ2510402</x:v>
      </x:c>
      <x:c r="K1102" s="87" t="n">
        <x:v>6</x:v>
      </x:c>
      <x:c r="L1102" s="87" t="str">
        <x:v>Графики движения</x:v>
      </x:c>
      <x:c r="M1102" s="30" t="str">
        <x:v>Для x=−4−4t² сопоставить графики со скоростью и ускорением.</x:v>
      </x:c>
      <x:c r="N1102" s="30" t="str">
        <x:v>23</x:v>
      </x:c>
      <x:c r="O1102" s="30" t="str">
        <x:v>v=−8t — линейно убывающая функция; a=−8 — постоянное отрицательное значение. Ответ 2 и 3.</x:v>
      </x:c>
      <x:c r="P1102" s="30" t="str">
        <x:v>v=−8t — линейно убывающая функция; a=−8 — постоянное отрицательное значение. Ответ 2 и 3.</x:v>
      </x:c>
      <x:c r="Q1102" s="30"/>
      <x:c r="R1102" s="30" t="str">
        <x:v>Полный PDF задания + независимое решение</x:v>
      </x:c>
      <x:c r="S1102" s="30"/>
      <x:c r="T1102" s="30"/>
      <x:c r="U1102" s="30" t="str">
        <x:v>Расхождений не обнаружено.</x:v>
      </x:c>
      <x:c r="V1102" s="87" t="str">
        <x:v>VERIFIED</x:v>
      </x:c>
      <x:c r="W1102" s="87" t="str">
        <x:v>PDF варианта, задание 6</x:v>
      </x:c>
      <x:c r="X1102" s="87"/>
      <x:c r="Y1102" s="87"/>
      <x:c r="Z1102" s="87"/>
      <x:c r="AA1102" s="87"/>
      <x:c r="AB1102" s="87"/>
      <x:c r="AC1102" s="87"/>
      <x:c r="AD1102" s="87"/>
      <x:c r="AE1102" s="87"/>
      <x:c r="AF1102" s="87"/>
      <x:c r="AG1102" s="87"/>
      <x:c r="AH1102" s="87"/>
      <x:c r="AI1102" s="30"/>
      <x:c r="AJ1102" s="87" t="str">
        <x:v>master</x:v>
      </x:c>
      <x:c r="AK1102" s="87" t="str">
        <x:v>master-v0.81</x:v>
      </x:c>
      <x:c r="AL1102" s="87" t="str">
        <x:v>statgrad_master_base_v0_81_final(2).xlsx</x:v>
      </x:c>
      <x:c r="AM1102" s="87" t="str">
        <x:v>PHYS_Mar_V2</x:v>
      </x:c>
      <x:c r="AN1102" s="87" t="n">
        <x:v>7</x:v>
      </x:c>
    </x:row>
    <x:row r="1103">
      <x:c r="A1103" s="87" t="n">
        <x:v>1102</x:v>
      </x:c>
      <x:c r="B1103" s="87" t="str">
        <x:v>MAR-PHYS-V2-007</x:v>
      </x:c>
      <x:c r="C1103" s="87" t="str">
        <x:v>СтатГрад</x:v>
      </x:c>
      <x:c r="D1103" s="87" t="str">
        <x:v>Март 2026</x:v>
      </x:c>
      <x:c r="E1103" s="87"/>
      <x:c r="F1103" s="87"/>
      <x:c r="G1103" s="87" t="str">
        <x:v>Физика</x:v>
      </x:c>
      <x:c r="H1103" s="87" t="n">
        <x:v>11</x:v>
      </x:c>
      <x:c r="I1103" s="87" t="str">
        <x:v>ТР №4</x:v>
      </x:c>
      <x:c r="J1103" s="87" t="str">
        <x:v>ФИ2510402</x:v>
      </x:c>
      <x:c r="K1103" s="87" t="n">
        <x:v>7</x:v>
      </x:c>
      <x:c r="L1103" s="87" t="str">
        <x:v>Уравнение Менделеева—Клапейрона</x:v>
      </x:c>
      <x:c r="M1103" s="30" t="str">
        <x:v>Температуру увеличить в 2 раза, объём уменьшить в 6 раз. Во сколько раз изменится давление?</x:v>
      </x:c>
      <x:c r="N1103" s="30" t="str">
        <x:v>12</x:v>
      </x:c>
      <x:c r="O1103" s="30" t="str">
        <x:v>p∝T/V; p₂/p₁=2/(1/6)=12.</x:v>
      </x:c>
      <x:c r="P1103" s="30" t="str">
        <x:v>p∝T/V; p₂/p₁=2/(1/6)=12.</x:v>
      </x:c>
      <x:c r="Q1103" s="30"/>
      <x:c r="R1103" s="30" t="str">
        <x:v>Полный PDF задания + независимое решение</x:v>
      </x:c>
      <x:c r="S1103" s="30"/>
      <x:c r="T1103" s="30"/>
      <x:c r="U1103" s="30" t="str">
        <x:v>Расхождений не обнаружено.</x:v>
      </x:c>
      <x:c r="V1103" s="87" t="str">
        <x:v>VERIFIED</x:v>
      </x:c>
      <x:c r="W1103" s="87" t="str">
        <x:v>PDF варианта, задание 7</x:v>
      </x:c>
      <x:c r="X1103" s="87"/>
      <x:c r="Y1103" s="87"/>
      <x:c r="Z1103" s="87"/>
      <x:c r="AA1103" s="87"/>
      <x:c r="AB1103" s="87"/>
      <x:c r="AC1103" s="87"/>
      <x:c r="AD1103" s="87"/>
      <x:c r="AE1103" s="87"/>
      <x:c r="AF1103" s="87"/>
      <x:c r="AG1103" s="87"/>
      <x:c r="AH1103" s="87"/>
      <x:c r="AI1103" s="30"/>
      <x:c r="AJ1103" s="87" t="str">
        <x:v>master</x:v>
      </x:c>
      <x:c r="AK1103" s="87" t="str">
        <x:v>master-v0.81</x:v>
      </x:c>
      <x:c r="AL1103" s="87" t="str">
        <x:v>statgrad_master_base_v0_81_final(2).xlsx</x:v>
      </x:c>
      <x:c r="AM1103" s="87" t="str">
        <x:v>PHYS_Mar_V2</x:v>
      </x:c>
      <x:c r="AN1103" s="87" t="n">
        <x:v>8</x:v>
      </x:c>
    </x:row>
    <x:row r="1104">
      <x:c r="A1104" s="87" t="n">
        <x:v>1103</x:v>
      </x:c>
      <x:c r="B1104" s="87" t="str">
        <x:v>MAR-PHYS-V2-008</x:v>
      </x:c>
      <x:c r="C1104" s="87" t="str">
        <x:v>СтатГрад</x:v>
      </x:c>
      <x:c r="D1104" s="87" t="str">
        <x:v>Март 2026</x:v>
      </x:c>
      <x:c r="E1104" s="87"/>
      <x:c r="F1104" s="87"/>
      <x:c r="G1104" s="87" t="str">
        <x:v>Физика</x:v>
      </x:c>
      <x:c r="H1104" s="87" t="n">
        <x:v>11</x:v>
      </x:c>
      <x:c r="I1104" s="87" t="str">
        <x:v>ТР №4</x:v>
      </x:c>
      <x:c r="J1104" s="87" t="str">
        <x:v>ФИ2510402</x:v>
      </x:c>
      <x:c r="K1104" s="87" t="n">
        <x:v>8</x:v>
      </x:c>
      <x:c r="L1104" s="87" t="str">
        <x:v>Работа внешней силы</x:v>
      </x:c>
      <x:c r="M1104" s="30" t="str">
        <x:v>Газ изобарно сжимают при 200 кПа от 5 до 1 л. Найти работу внешних сил.</x:v>
      </x:c>
      <x:c r="N1104" s="30" t="str">
        <x:v>800</x:v>
      </x:c>
      <x:c r="O1104" s="30" t="str">
        <x:v>Aвнеш=p(V₁−V₂)=200000·0,004=800 Дж.</x:v>
      </x:c>
      <x:c r="P1104" s="30" t="str">
        <x:v>Aвнеш=p(V₁−V₂)=200000·0,004=800 Дж.</x:v>
      </x:c>
      <x:c r="Q1104" s="30"/>
      <x:c r="R1104" s="30" t="str">
        <x:v>Полный PDF задания + независимое решение</x:v>
      </x:c>
      <x:c r="S1104" s="30"/>
      <x:c r="T1104" s="30"/>
      <x:c r="U1104" s="30" t="str">
        <x:v>Расхождений не обнаружено.</x:v>
      </x:c>
      <x:c r="V1104" s="87" t="str">
        <x:v>VERIFIED</x:v>
      </x:c>
      <x:c r="W1104" s="87" t="str">
        <x:v>PDF варианта, задание 8</x:v>
      </x:c>
      <x:c r="X1104" s="87"/>
      <x:c r="Y1104" s="87"/>
      <x:c r="Z1104" s="87"/>
      <x:c r="AA1104" s="87"/>
      <x:c r="AB1104" s="87"/>
      <x:c r="AC1104" s="87"/>
      <x:c r="AD1104" s="87"/>
      <x:c r="AE1104" s="87"/>
      <x:c r="AF1104" s="87"/>
      <x:c r="AG1104" s="87"/>
      <x:c r="AH1104" s="87"/>
      <x:c r="AI1104" s="30"/>
      <x:c r="AJ1104" s="87" t="str">
        <x:v>master</x:v>
      </x:c>
      <x:c r="AK1104" s="87" t="str">
        <x:v>master-v0.81</x:v>
      </x:c>
      <x:c r="AL1104" s="87" t="str">
        <x:v>statgrad_master_base_v0_81_final(2).xlsx</x:v>
      </x:c>
      <x:c r="AM1104" s="87" t="str">
        <x:v>PHYS_Mar_V2</x:v>
      </x:c>
      <x:c r="AN1104" s="87" t="n">
        <x:v>9</x:v>
      </x:c>
    </x:row>
    <x:row r="1105">
      <x:c r="A1105" s="87" t="n">
        <x:v>1104</x:v>
      </x:c>
      <x:c r="B1105" s="87" t="str">
        <x:v>MAR-PHYS-V2-009</x:v>
      </x:c>
      <x:c r="C1105" s="87" t="str">
        <x:v>СтатГрад</x:v>
      </x:c>
      <x:c r="D1105" s="87" t="str">
        <x:v>Март 2026</x:v>
      </x:c>
      <x:c r="E1105" s="87"/>
      <x:c r="F1105" s="87"/>
      <x:c r="G1105" s="87" t="str">
        <x:v>Физика</x:v>
      </x:c>
      <x:c r="H1105" s="87" t="n">
        <x:v>11</x:v>
      </x:c>
      <x:c r="I1105" s="87" t="str">
        <x:v>ТР №4</x:v>
      </x:c>
      <x:c r="J1105" s="87" t="str">
        <x:v>ФИ2510402</x:v>
      </x:c>
      <x:c r="K1105" s="87" t="n">
        <x:v>9</x:v>
      </x:c>
      <x:c r="L1105" s="87" t="str">
        <x:v>Смесь идеальных газов</x:v>
      </x:c>
      <x:c r="M1105" s="30" t="str">
        <x:v>Для изменения смеси He и Ar выбрать верные утверждения второй формулировки.</x:v>
      </x:c>
      <x:c r="N1105" s="30" t="str">
        <x:v>134</x:v>
      </x:c>
      <x:c r="O1105" s="30" t="str">
        <x:v>После преобразования состава и при заданных условиях истинны утверждения 1, 3 и 4.</x:v>
      </x:c>
      <x:c r="P1105" s="30" t="str">
        <x:v>Доли компонентов, средняя молярная масса и термодинамические величины пересчитаны.</x:v>
      </x:c>
      <x:c r="Q1105" s="30"/>
      <x:c r="R1105" s="30" t="str">
        <x:v>Полный PDF задания + независимое решение</x:v>
      </x:c>
      <x:c r="S1105" s="30"/>
      <x:c r="T1105" s="30"/>
      <x:c r="U1105" s="30" t="str">
        <x:v>Расхождений не обнаружено.</x:v>
      </x:c>
      <x:c r="V1105" s="87" t="str">
        <x:v>VERIFIED</x:v>
      </x:c>
      <x:c r="W1105" s="87" t="str">
        <x:v>PDF варианта, задание 9</x:v>
      </x:c>
      <x:c r="X1105" s="87"/>
      <x:c r="Y1105" s="87"/>
      <x:c r="Z1105" s="87"/>
      <x:c r="AA1105" s="87"/>
      <x:c r="AB1105" s="87"/>
      <x:c r="AC1105" s="87"/>
      <x:c r="AD1105" s="87"/>
      <x:c r="AE1105" s="87"/>
      <x:c r="AF1105" s="87"/>
      <x:c r="AG1105" s="87"/>
      <x:c r="AH1105" s="87"/>
      <x:c r="AI1105" s="30"/>
      <x:c r="AJ1105" s="87" t="str">
        <x:v>master</x:v>
      </x:c>
      <x:c r="AK1105" s="87" t="str">
        <x:v>master-v0.81</x:v>
      </x:c>
      <x:c r="AL1105" s="87" t="str">
        <x:v>statgrad_master_base_v0_81_final(2).xlsx</x:v>
      </x:c>
      <x:c r="AM1105" s="87" t="str">
        <x:v>PHYS_Mar_V2</x:v>
      </x:c>
      <x:c r="AN1105" s="87" t="n">
        <x:v>10</x:v>
      </x:c>
    </x:row>
    <x:row r="1106">
      <x:c r="A1106" s="87" t="n">
        <x:v>1105</x:v>
      </x:c>
      <x:c r="B1106" s="87" t="str">
        <x:v>MAR-PHYS-V2-010</x:v>
      </x:c>
      <x:c r="C1106" s="87" t="str">
        <x:v>СтатГрад</x:v>
      </x:c>
      <x:c r="D1106" s="87" t="str">
        <x:v>Март 2026</x:v>
      </x:c>
      <x:c r="E1106" s="87"/>
      <x:c r="F1106" s="87"/>
      <x:c r="G1106" s="87" t="str">
        <x:v>Физика</x:v>
      </x:c>
      <x:c r="H1106" s="87" t="n">
        <x:v>11</x:v>
      </x:c>
      <x:c r="I1106" s="87" t="str">
        <x:v>ТР №4</x:v>
      </x:c>
      <x:c r="J1106" s="87" t="str">
        <x:v>ФИ2510402</x:v>
      </x:c>
      <x:c r="K1106" s="87" t="n">
        <x:v>10</x:v>
      </x:c>
      <x:c r="L1106" s="87" t="str">
        <x:v>Формулы МКТ</x:v>
      </x:c>
      <x:c r="M1106" s="30" t="str">
        <x:v>Сопоставить pV/(νR) и pμ/(RT) с физическими величинами.</x:v>
      </x:c>
      <x:c r="N1106" s="30" t="str">
        <x:v>32</x:v>
      </x:c>
      <x:c r="O1106" s="30" t="str">
        <x:v>pV/(νR)=T — температура; pμ/(RT)=ρ — плотность. Ответ 3 и 2.</x:v>
      </x:c>
      <x:c r="P1106" s="30" t="str">
        <x:v>pV/(νR)=T — температура; pμ/(RT)=ρ — плотность. Ответ 3 и 2.</x:v>
      </x:c>
      <x:c r="Q1106" s="30"/>
      <x:c r="R1106" s="30" t="str">
        <x:v>Полный PDF задания + независимое решение</x:v>
      </x:c>
      <x:c r="S1106" s="30"/>
      <x:c r="T1106" s="30"/>
      <x:c r="U1106" s="30" t="str">
        <x:v>Расхождений не обнаружено.</x:v>
      </x:c>
      <x:c r="V1106" s="87" t="str">
        <x:v>VERIFIED</x:v>
      </x:c>
      <x:c r="W1106" s="87" t="str">
        <x:v>PDF варианта, задание 10</x:v>
      </x:c>
      <x:c r="X1106" s="87"/>
      <x:c r="Y1106" s="87"/>
      <x:c r="Z1106" s="87"/>
      <x:c r="AA1106" s="87"/>
      <x:c r="AB1106" s="87"/>
      <x:c r="AC1106" s="87"/>
      <x:c r="AD1106" s="87"/>
      <x:c r="AE1106" s="87"/>
      <x:c r="AF1106" s="87"/>
      <x:c r="AG1106" s="87"/>
      <x:c r="AH1106" s="87"/>
      <x:c r="AI1106" s="30"/>
      <x:c r="AJ1106" s="87" t="str">
        <x:v>master</x:v>
      </x:c>
      <x:c r="AK1106" s="87" t="str">
        <x:v>master-v0.81</x:v>
      </x:c>
      <x:c r="AL1106" s="87" t="str">
        <x:v>statgrad_master_base_v0_81_final(2).xlsx</x:v>
      </x:c>
      <x:c r="AM1106" s="87" t="str">
        <x:v>PHYS_Mar_V2</x:v>
      </x:c>
      <x:c r="AN1106" s="87" t="n">
        <x:v>11</x:v>
      </x:c>
    </x:row>
    <x:row r="1107">
      <x:c r="A1107" s="87" t="n">
        <x:v>1106</x:v>
      </x:c>
      <x:c r="B1107" s="87" t="str">
        <x:v>MAR-PHYS-V2-011</x:v>
      </x:c>
      <x:c r="C1107" s="87" t="str">
        <x:v>СтатГрад</x:v>
      </x:c>
      <x:c r="D1107" s="87" t="str">
        <x:v>Март 2026</x:v>
      </x:c>
      <x:c r="E1107" s="87"/>
      <x:c r="F1107" s="87"/>
      <x:c r="G1107" s="87" t="str">
        <x:v>Физика</x:v>
      </x:c>
      <x:c r="H1107" s="87" t="n">
        <x:v>11</x:v>
      </x:c>
      <x:c r="I1107" s="87" t="str">
        <x:v>ТР №4</x:v>
      </x:c>
      <x:c r="J1107" s="87" t="str">
        <x:v>ФИ2510402</x:v>
      </x:c>
      <x:c r="K1107" s="87" t="n">
        <x:v>11</x:v>
      </x:c>
      <x:c r="L1107" s="87" t="str">
        <x:v>Закон Кулона</x:v>
      </x:c>
      <x:c r="M1107" s="30" t="str">
        <x:v>По изменению зарядов и расстояния определить коэффициент k в условии задачи.</x:v>
      </x:c>
      <x:c r="N1107" s="30" t="str">
        <x:v>1,5</x:v>
      </x:c>
      <x:c r="O1107" s="30" t="str">
        <x:v>Из отношения сил 6=4,5·3/k² получаем k²=2,25 и k=1,5.</x:v>
      </x:c>
      <x:c r="P1107" s="30" t="str">
        <x:v>Из отношения сил 6=4,5·3/k² получаем k²=2,25 и k=1,5.</x:v>
      </x:c>
      <x:c r="Q1107" s="30"/>
      <x:c r="R1107" s="30" t="str">
        <x:v>Полный PDF задания + независимое решение</x:v>
      </x:c>
      <x:c r="S1107" s="30"/>
      <x:c r="T1107" s="30"/>
      <x:c r="U1107" s="30" t="str">
        <x:v>Расхождений не обнаружено.</x:v>
      </x:c>
      <x:c r="V1107" s="87" t="str">
        <x:v>VERIFIED</x:v>
      </x:c>
      <x:c r="W1107" s="87" t="str">
        <x:v>PDF варианта, задание 11</x:v>
      </x:c>
      <x:c r="X1107" s="87"/>
      <x:c r="Y1107" s="87"/>
      <x:c r="Z1107" s="87"/>
      <x:c r="AA1107" s="87"/>
      <x:c r="AB1107" s="87"/>
      <x:c r="AC1107" s="87"/>
      <x:c r="AD1107" s="87"/>
      <x:c r="AE1107" s="87"/>
      <x:c r="AF1107" s="87"/>
      <x:c r="AG1107" s="87"/>
      <x:c r="AH1107" s="87"/>
      <x:c r="AI1107" s="30"/>
      <x:c r="AJ1107" s="87" t="str">
        <x:v>master</x:v>
      </x:c>
      <x:c r="AK1107" s="87" t="str">
        <x:v>master-v0.81</x:v>
      </x:c>
      <x:c r="AL1107" s="87" t="str">
        <x:v>statgrad_master_base_v0_81_final(2).xlsx</x:v>
      </x:c>
      <x:c r="AM1107" s="87" t="str">
        <x:v>PHYS_Mar_V2</x:v>
      </x:c>
      <x:c r="AN1107" s="87" t="n">
        <x:v>12</x:v>
      </x:c>
    </x:row>
    <x:row r="1108">
      <x:c r="A1108" s="87" t="n">
        <x:v>1107</x:v>
      </x:c>
      <x:c r="B1108" s="87" t="str">
        <x:v>MAR-PHYS-V2-012</x:v>
      </x:c>
      <x:c r="C1108" s="87" t="str">
        <x:v>СтатГрад</x:v>
      </x:c>
      <x:c r="D1108" s="87" t="str">
        <x:v>Март 2026</x:v>
      </x:c>
      <x:c r="E1108" s="87"/>
      <x:c r="F1108" s="87"/>
      <x:c r="G1108" s="87" t="str">
        <x:v>Физика</x:v>
      </x:c>
      <x:c r="H1108" s="87" t="n">
        <x:v>11</x:v>
      </x:c>
      <x:c r="I1108" s="87" t="str">
        <x:v>ТР №4</x:v>
      </x:c>
      <x:c r="J1108" s="87" t="str">
        <x:v>ФИ2510402</x:v>
      </x:c>
      <x:c r="K1108" s="87" t="n">
        <x:v>12</x:v>
      </x:c>
      <x:c r="L1108" s="87" t="str">
        <x:v>Энергия магнитного поля</x:v>
      </x:c>
      <x:c r="M1108" s="30" t="str">
        <x:v>L=0,7 мГн, W=5,6 мДж. Найти силу тока.</x:v>
      </x:c>
      <x:c r="N1108" s="30" t="str">
        <x:v>4</x:v>
      </x:c>
      <x:c r="O1108" s="30" t="str">
        <x:v>I=√(2W/L)=√(2·5,6·10⁻³/(0,7·10⁻³))=4 А.</x:v>
      </x:c>
      <x:c r="P1108" s="30" t="str">
        <x:v>I=√(2W/L)=√(2·5,6·10⁻³/(0,7·10⁻³))=4 А.</x:v>
      </x:c>
      <x:c r="Q1108" s="30"/>
      <x:c r="R1108" s="30" t="str">
        <x:v>Полный PDF задания + независимое решение</x:v>
      </x:c>
      <x:c r="S1108" s="30"/>
      <x:c r="T1108" s="30"/>
      <x:c r="U1108" s="30" t="str">
        <x:v>Расхождений не обнаружено.</x:v>
      </x:c>
      <x:c r="V1108" s="87" t="str">
        <x:v>VERIFIED</x:v>
      </x:c>
      <x:c r="W1108" s="87" t="str">
        <x:v>PDF варианта, задание 12</x:v>
      </x:c>
      <x:c r="X1108" s="87"/>
      <x:c r="Y1108" s="87"/>
      <x:c r="Z1108" s="87"/>
      <x:c r="AA1108" s="87"/>
      <x:c r="AB1108" s="87"/>
      <x:c r="AC1108" s="87"/>
      <x:c r="AD1108" s="87"/>
      <x:c r="AE1108" s="87"/>
      <x:c r="AF1108" s="87"/>
      <x:c r="AG1108" s="87"/>
      <x:c r="AH1108" s="87"/>
      <x:c r="AI1108" s="30"/>
      <x:c r="AJ1108" s="87" t="str">
        <x:v>master</x:v>
      </x:c>
      <x:c r="AK1108" s="87" t="str">
        <x:v>master-v0.81</x:v>
      </x:c>
      <x:c r="AL1108" s="87" t="str">
        <x:v>statgrad_master_base_v0_81_final(2).xlsx</x:v>
      </x:c>
      <x:c r="AM1108" s="87" t="str">
        <x:v>PHYS_Mar_V2</x:v>
      </x:c>
      <x:c r="AN1108" s="87" t="n">
        <x:v>13</x:v>
      </x:c>
    </x:row>
    <x:row r="1109">
      <x:c r="A1109" s="87" t="n">
        <x:v>1108</x:v>
      </x:c>
      <x:c r="B1109" s="87" t="str">
        <x:v>MAR-PHYS-V2-013</x:v>
      </x:c>
      <x:c r="C1109" s="87" t="str">
        <x:v>СтатГрад</x:v>
      </x:c>
      <x:c r="D1109" s="87" t="str">
        <x:v>Март 2026</x:v>
      </x:c>
      <x:c r="E1109" s="87"/>
      <x:c r="F1109" s="87"/>
      <x:c r="G1109" s="87" t="str">
        <x:v>Физика</x:v>
      </x:c>
      <x:c r="H1109" s="87" t="n">
        <x:v>11</x:v>
      </x:c>
      <x:c r="I1109" s="87" t="str">
        <x:v>ТР №4</x:v>
      </x:c>
      <x:c r="J1109" s="87" t="str">
        <x:v>ФИ2510402</x:v>
      </x:c>
      <x:c r="K1109" s="87" t="n">
        <x:v>13</x:v>
      </x:c>
      <x:c r="L1109" s="87" t="str">
        <x:v>Плоское зеркало</x:v>
      </x:c>
      <x:c r="M1109" s="30" t="str">
        <x:v>Источник в 15 см от зеркала; зеркало отодвинули ещё на 4,8 см. Найти новое расстояние источник—изображение.</x:v>
      </x:c>
      <x:c r="N1109" s="30" t="str">
        <x:v>39,6</x:v>
      </x:c>
      <x:c r="O1109" s="30" t="str">
        <x:v>Новое расстояние до зеркала 19,8 см, поэтому источник—изображение равно 2·19,8=39,6 см.</x:v>
      </x:c>
      <x:c r="P1109" s="30" t="str">
        <x:v>Новое расстояние до зеркала 19,8 см, поэтому источник—изображение равно 2·19,8=39,6 см.</x:v>
      </x:c>
      <x:c r="Q1109" s="30"/>
      <x:c r="R1109" s="30" t="str">
        <x:v>Полный PDF задания + независимое решение</x:v>
      </x:c>
      <x:c r="S1109" s="30"/>
      <x:c r="T1109" s="30"/>
      <x:c r="U1109" s="30" t="str">
        <x:v>Расхождений не обнаружено.</x:v>
      </x:c>
      <x:c r="V1109" s="87" t="str">
        <x:v>VERIFIED</x:v>
      </x:c>
      <x:c r="W1109" s="87" t="str">
        <x:v>PDF варианта, задание 13</x:v>
      </x:c>
      <x:c r="X1109" s="87"/>
      <x:c r="Y1109" s="87"/>
      <x:c r="Z1109" s="87"/>
      <x:c r="AA1109" s="87"/>
      <x:c r="AB1109" s="87"/>
      <x:c r="AC1109" s="87"/>
      <x:c r="AD1109" s="87"/>
      <x:c r="AE1109" s="87"/>
      <x:c r="AF1109" s="87"/>
      <x:c r="AG1109" s="87"/>
      <x:c r="AH1109" s="87"/>
      <x:c r="AI1109" s="30"/>
      <x:c r="AJ1109" s="87" t="str">
        <x:v>master</x:v>
      </x:c>
      <x:c r="AK1109" s="87" t="str">
        <x:v>master-v0.81</x:v>
      </x:c>
      <x:c r="AL1109" s="87" t="str">
        <x:v>statgrad_master_base_v0_81_final(2).xlsx</x:v>
      </x:c>
      <x:c r="AM1109" s="87" t="str">
        <x:v>PHYS_Mar_V2</x:v>
      </x:c>
      <x:c r="AN1109" s="87" t="n">
        <x:v>14</x:v>
      </x:c>
    </x:row>
    <x:row r="1110">
      <x:c r="A1110" s="87" t="n">
        <x:v>1109</x:v>
      </x:c>
      <x:c r="B1110" s="87" t="str">
        <x:v>MAR-PHYS-V2-014</x:v>
      </x:c>
      <x:c r="C1110" s="87" t="str">
        <x:v>СтатГрад</x:v>
      </x:c>
      <x:c r="D1110" s="87" t="str">
        <x:v>Март 2026</x:v>
      </x:c>
      <x:c r="E1110" s="87"/>
      <x:c r="F1110" s="87"/>
      <x:c r="G1110" s="87" t="str">
        <x:v>Физика</x:v>
      </x:c>
      <x:c r="H1110" s="87" t="n">
        <x:v>11</x:v>
      </x:c>
      <x:c r="I1110" s="87" t="str">
        <x:v>ТР №4</x:v>
      </x:c>
      <x:c r="J1110" s="87" t="str">
        <x:v>ФИ2510402</x:v>
      </x:c>
      <x:c r="K1110" s="87" t="n">
        <x:v>14</x:v>
      </x:c>
      <x:c r="L1110" s="87" t="str">
        <x:v>Электромагнитная индукция</x:v>
      </x:c>
      <x:c r="M1110" s="30" t="str">
        <x:v>Равномерно движущийся стержень на рельсах с конденсатором: выбрать верные утверждения второй формулировки.</x:v>
      </x:c>
      <x:c r="N1110" s="30" t="str">
        <x:v>13</x:v>
      </x:c>
      <x:c r="O1110" s="30" t="str">
        <x:v>ЭДС и напряжение равны Blv=0,5 В и постоянны; после зарядки ток через перемычку равен нулю. Верны 1 и 3.</x:v>
      </x:c>
      <x:c r="P1110" s="30" t="str">
        <x:v>Поток возрастает, q=5 мкКл, энергия не меняется — остальные формулировки отвергнуты.</x:v>
      </x:c>
      <x:c r="Q1110" s="30"/>
      <x:c r="R1110" s="30" t="str">
        <x:v>Полный PDF задания + независимое решение</x:v>
      </x:c>
      <x:c r="S1110" s="30"/>
      <x:c r="T1110" s="30"/>
      <x:c r="U1110" s="30" t="str">
        <x:v>Расхождений не обнаружено.</x:v>
      </x:c>
      <x:c r="V1110" s="87" t="str">
        <x:v>VERIFIED</x:v>
      </x:c>
      <x:c r="W1110" s="87" t="str">
        <x:v>PDF варианта, задание 14</x:v>
      </x:c>
      <x:c r="X1110" s="87"/>
      <x:c r="Y1110" s="87"/>
      <x:c r="Z1110" s="87"/>
      <x:c r="AA1110" s="87"/>
      <x:c r="AB1110" s="87"/>
      <x:c r="AC1110" s="87"/>
      <x:c r="AD1110" s="87"/>
      <x:c r="AE1110" s="87"/>
      <x:c r="AF1110" s="87"/>
      <x:c r="AG1110" s="87"/>
      <x:c r="AH1110" s="87"/>
      <x:c r="AI1110" s="30"/>
      <x:c r="AJ1110" s="87" t="str">
        <x:v>master</x:v>
      </x:c>
      <x:c r="AK1110" s="87" t="str">
        <x:v>master-v0.81</x:v>
      </x:c>
      <x:c r="AL1110" s="87" t="str">
        <x:v>statgrad_master_base_v0_81_final(2).xlsx</x:v>
      </x:c>
      <x:c r="AM1110" s="87" t="str">
        <x:v>PHYS_Mar_V2</x:v>
      </x:c>
      <x:c r="AN1110" s="87" t="n">
        <x:v>15</x:v>
      </x:c>
    </x:row>
    <x:row r="1111">
      <x:c r="A1111" s="87" t="n">
        <x:v>1110</x:v>
      </x:c>
      <x:c r="B1111" s="87" t="str">
        <x:v>MAR-PHYS-V2-015</x:v>
      </x:c>
      <x:c r="C1111" s="87" t="str">
        <x:v>СтатГрад</x:v>
      </x:c>
      <x:c r="D1111" s="87" t="str">
        <x:v>Март 2026</x:v>
      </x:c>
      <x:c r="E1111" s="87"/>
      <x:c r="F1111" s="87"/>
      <x:c r="G1111" s="87" t="str">
        <x:v>Физика</x:v>
      </x:c>
      <x:c r="H1111" s="87" t="n">
        <x:v>11</x:v>
      </x:c>
      <x:c r="I1111" s="87" t="str">
        <x:v>ТР №4</x:v>
      </x:c>
      <x:c r="J1111" s="87" t="str">
        <x:v>ФИ2510402</x:v>
      </x:c>
      <x:c r="K1111" s="87" t="n">
        <x:v>15</x:v>
      </x:c>
      <x:c r="L1111" s="87" t="str">
        <x:v>Цепь постоянного тока</x:v>
      </x:c>
      <x:c r="M1111" s="30" t="str">
        <x:v>Напряжение уменьшить в 1,5 раза, площадь сечения увеличить в 3 раза. Определить изменения P и R.</x:v>
      </x:c>
      <x:c r="N1111" s="30" t="str">
        <x:v>21</x:v>
      </x:c>
      <x:c r="O1111" s="30" t="str">
        <x:v>R уменьшается в 3 раза. P=U²/R меняется в 3/1,5²=4/3 раза, то есть увеличивается. Ответ 2 и 1.</x:v>
      </x:c>
      <x:c r="P1111" s="30" t="str">
        <x:v>R уменьшается в 3 раза. P=U²/R меняется в 3/1,5²=4/3 раза, то есть увеличивается. Ответ 2 и 1.</x:v>
      </x:c>
      <x:c r="Q1111" s="30"/>
      <x:c r="R1111" s="30" t="str">
        <x:v>Полный PDF задания + независимое решение</x:v>
      </x:c>
      <x:c r="S1111" s="30"/>
      <x:c r="T1111" s="30"/>
      <x:c r="U1111" s="30" t="str">
        <x:v>Расхождений не обнаружено.</x:v>
      </x:c>
      <x:c r="V1111" s="87" t="str">
        <x:v>VERIFIED</x:v>
      </x:c>
      <x:c r="W1111" s="87" t="str">
        <x:v>PDF варианта, задание 15</x:v>
      </x:c>
      <x:c r="X1111" s="87"/>
      <x:c r="Y1111" s="87"/>
      <x:c r="Z1111" s="87"/>
      <x:c r="AA1111" s="87"/>
      <x:c r="AB1111" s="87"/>
      <x:c r="AC1111" s="87"/>
      <x:c r="AD1111" s="87"/>
      <x:c r="AE1111" s="87"/>
      <x:c r="AF1111" s="87"/>
      <x:c r="AG1111" s="87"/>
      <x:c r="AH1111" s="87"/>
      <x:c r="AI1111" s="30"/>
      <x:c r="AJ1111" s="87" t="str">
        <x:v>master</x:v>
      </x:c>
      <x:c r="AK1111" s="87" t="str">
        <x:v>master-v0.81</x:v>
      </x:c>
      <x:c r="AL1111" s="87" t="str">
        <x:v>statgrad_master_base_v0_81_final(2).xlsx</x:v>
      </x:c>
      <x:c r="AM1111" s="87" t="str">
        <x:v>PHYS_Mar_V2</x:v>
      </x:c>
      <x:c r="AN1111" s="87" t="n">
        <x:v>16</x:v>
      </x:c>
    </x:row>
    <x:row r="1112">
      <x:c r="A1112" s="87" t="n">
        <x:v>1111</x:v>
      </x:c>
      <x:c r="B1112" s="87" t="str">
        <x:v>MAR-PHYS-V2-016</x:v>
      </x:c>
      <x:c r="C1112" s="87" t="str">
        <x:v>СтатГрад</x:v>
      </x:c>
      <x:c r="D1112" s="87" t="str">
        <x:v>Март 2026</x:v>
      </x:c>
      <x:c r="E1112" s="87"/>
      <x:c r="F1112" s="87"/>
      <x:c r="G1112" s="87" t="str">
        <x:v>Физика</x:v>
      </x:c>
      <x:c r="H1112" s="87" t="n">
        <x:v>11</x:v>
      </x:c>
      <x:c r="I1112" s="87" t="str">
        <x:v>ТР №4</x:v>
      </x:c>
      <x:c r="J1112" s="87" t="str">
        <x:v>ФИ2510402</x:v>
      </x:c>
      <x:c r="K1112" s="87" t="n">
        <x:v>16</x:v>
      </x:c>
      <x:c r="L1112" s="87" t="str">
        <x:v>Ядерная физика</x:v>
      </x:c>
      <x:c r="M1112" s="30" t="str">
        <x:v>Найти число нейтронов в ядре ²²⁶Ra.</x:v>
      </x:c>
      <x:c r="N1112" s="30" t="str">
        <x:v>138</x:v>
      </x:c>
      <x:c r="O1112" s="30" t="str">
        <x:v>N=226−88=138.</x:v>
      </x:c>
      <x:c r="P1112" s="30" t="str">
        <x:v>N=226−88=138.</x:v>
      </x:c>
      <x:c r="Q1112" s="30"/>
      <x:c r="R1112" s="30" t="str">
        <x:v>Полный PDF задания + независимое решение</x:v>
      </x:c>
      <x:c r="S1112" s="30"/>
      <x:c r="T1112" s="30"/>
      <x:c r="U1112" s="30" t="str">
        <x:v>Расхождений не обнаружено.</x:v>
      </x:c>
      <x:c r="V1112" s="87" t="str">
        <x:v>VERIFIED</x:v>
      </x:c>
      <x:c r="W1112" s="87" t="str">
        <x:v>PDF варианта, задание 16</x:v>
      </x:c>
      <x:c r="X1112" s="87"/>
      <x:c r="Y1112" s="87"/>
      <x:c r="Z1112" s="87"/>
      <x:c r="AA1112" s="87"/>
      <x:c r="AB1112" s="87"/>
      <x:c r="AC1112" s="87"/>
      <x:c r="AD1112" s="87"/>
      <x:c r="AE1112" s="87"/>
      <x:c r="AF1112" s="87"/>
      <x:c r="AG1112" s="87"/>
      <x:c r="AH1112" s="87"/>
      <x:c r="AI1112" s="30"/>
      <x:c r="AJ1112" s="87" t="str">
        <x:v>master</x:v>
      </x:c>
      <x:c r="AK1112" s="87" t="str">
        <x:v>master-v0.81</x:v>
      </x:c>
      <x:c r="AL1112" s="87" t="str">
        <x:v>statgrad_master_base_v0_81_final(2).xlsx</x:v>
      </x:c>
      <x:c r="AM1112" s="87" t="str">
        <x:v>PHYS_Mar_V2</x:v>
      </x:c>
      <x:c r="AN1112" s="87" t="n">
        <x:v>17</x:v>
      </x:c>
    </x:row>
    <x:row r="1113">
      <x:c r="A1113" s="87" t="n">
        <x:v>1112</x:v>
      </x:c>
      <x:c r="B1113" s="87" t="str">
        <x:v>MAR-PHYS-V2-017</x:v>
      </x:c>
      <x:c r="C1113" s="87" t="str">
        <x:v>СтатГрад</x:v>
      </x:c>
      <x:c r="D1113" s="87" t="str">
        <x:v>Март 2026</x:v>
      </x:c>
      <x:c r="E1113" s="87"/>
      <x:c r="F1113" s="87"/>
      <x:c r="G1113" s="87" t="str">
        <x:v>Физика</x:v>
      </x:c>
      <x:c r="H1113" s="87" t="n">
        <x:v>11</x:v>
      </x:c>
      <x:c r="I1113" s="87" t="str">
        <x:v>ТР №4</x:v>
      </x:c>
      <x:c r="J1113" s="87" t="str">
        <x:v>ФИ2510402</x:v>
      </x:c>
      <x:c r="K1113" s="87" t="n">
        <x:v>17</x:v>
      </x:c>
      <x:c r="L1113" s="87" t="str">
        <x:v>Фотоны</x:v>
      </x:c>
      <x:c r="M1113" s="30" t="str">
        <x:v>Интенсивность света уменьшили, частоту увеличили. Определить изменения энергии и концентрации фотонов.</x:v>
      </x:c>
      <x:c r="N1113" s="30" t="str">
        <x:v>21</x:v>
      </x:c>
      <x:c r="O1113" s="30" t="str">
        <x:v>Энергия фотона hν увеличивается, концентрация фотонов уменьшается. В порядке величин варианта: 2 и 1.</x:v>
      </x:c>
      <x:c r="P1113" s="30" t="str">
        <x:v>Энергия фотона hν увеличивается, концентрация фотонов уменьшается. В порядке величин варианта: 2 и 1.</x:v>
      </x:c>
      <x:c r="Q1113" s="30"/>
      <x:c r="R1113" s="30" t="str">
        <x:v>Полный PDF задания + независимое решение</x:v>
      </x:c>
      <x:c r="S1113" s="30"/>
      <x:c r="T1113" s="30"/>
      <x:c r="U1113" s="30" t="str">
        <x:v>Расхождений не обнаружено.</x:v>
      </x:c>
      <x:c r="V1113" s="87" t="str">
        <x:v>VERIFIED</x:v>
      </x:c>
      <x:c r="W1113" s="87" t="str">
        <x:v>PDF варианта, задание 17</x:v>
      </x:c>
      <x:c r="X1113" s="87"/>
      <x:c r="Y1113" s="87"/>
      <x:c r="Z1113" s="87"/>
      <x:c r="AA1113" s="87"/>
      <x:c r="AB1113" s="87"/>
      <x:c r="AC1113" s="87"/>
      <x:c r="AD1113" s="87"/>
      <x:c r="AE1113" s="87"/>
      <x:c r="AF1113" s="87"/>
      <x:c r="AG1113" s="87"/>
      <x:c r="AH1113" s="87"/>
      <x:c r="AI1113" s="30"/>
      <x:c r="AJ1113" s="87" t="str">
        <x:v>master</x:v>
      </x:c>
      <x:c r="AK1113" s="87" t="str">
        <x:v>master-v0.81</x:v>
      </x:c>
      <x:c r="AL1113" s="87" t="str">
        <x:v>statgrad_master_base_v0_81_final(2).xlsx</x:v>
      </x:c>
      <x:c r="AM1113" s="87" t="str">
        <x:v>PHYS_Mar_V2</x:v>
      </x:c>
      <x:c r="AN1113" s="87" t="n">
        <x:v>18</x:v>
      </x:c>
    </x:row>
    <x:row r="1114">
      <x:c r="A1114" s="87" t="n">
        <x:v>1113</x:v>
      </x:c>
      <x:c r="B1114" s="87" t="str">
        <x:v>MAR-PHYS-V2-018</x:v>
      </x:c>
      <x:c r="C1114" s="87" t="str">
        <x:v>СтатГрад</x:v>
      </x:c>
      <x:c r="D1114" s="87" t="str">
        <x:v>Март 2026</x:v>
      </x:c>
      <x:c r="E1114" s="87"/>
      <x:c r="F1114" s="87"/>
      <x:c r="G1114" s="87" t="str">
        <x:v>Физика</x:v>
      </x:c>
      <x:c r="H1114" s="87" t="n">
        <x:v>11</x:v>
      </x:c>
      <x:c r="I1114" s="87" t="str">
        <x:v>ТР №4</x:v>
      </x:c>
      <x:c r="J1114" s="87" t="str">
        <x:v>ФИ2510402</x:v>
      </x:c>
      <x:c r="K1114" s="87" t="n">
        <x:v>18</x:v>
      </x:c>
      <x:c r="L1114" s="87" t="str">
        <x:v>Физические закономерности</x:v>
      </x:c>
      <x:c r="M1114" s="30" t="str">
        <x:v>Выбрать все верные утверждения общего характера во втором варианте.</x:v>
      </x:c>
      <x:c r="N1114" s="30" t="str">
        <x:v>12</x:v>
      </x:c>
      <x:c r="O1114" s="30" t="str">
        <x:v>Верны одинаковость ускорения свободного падения без сопротивления и неизменность U идеального газа в изотермическом процессе. Ответ 12.</x:v>
      </x:c>
      <x:c r="P1114" s="30" t="str">
        <x:v>Верны одинаковость ускорения свободного падения без сопротивления и неизменность U идеального газа в изотермическом процессе. Ответ 12.</x:v>
      </x:c>
      <x:c r="Q1114" s="30"/>
      <x:c r="R1114" s="30" t="str">
        <x:v>Полный PDF задания + независимое решение</x:v>
      </x:c>
      <x:c r="S1114" s="30"/>
      <x:c r="T1114" s="30"/>
      <x:c r="U1114" s="30" t="str">
        <x:v>Расхождений не обнаружено.</x:v>
      </x:c>
      <x:c r="V1114" s="87" t="str">
        <x:v>VERIFIED</x:v>
      </x:c>
      <x:c r="W1114" s="87" t="str">
        <x:v>PDF варианта, задание 18</x:v>
      </x:c>
      <x:c r="X1114" s="87"/>
      <x:c r="Y1114" s="87"/>
      <x:c r="Z1114" s="87"/>
      <x:c r="AA1114" s="87"/>
      <x:c r="AB1114" s="87"/>
      <x:c r="AC1114" s="87"/>
      <x:c r="AD1114" s="87"/>
      <x:c r="AE1114" s="87"/>
      <x:c r="AF1114" s="87"/>
      <x:c r="AG1114" s="87"/>
      <x:c r="AH1114" s="87"/>
      <x:c r="AI1114" s="30"/>
      <x:c r="AJ1114" s="87" t="str">
        <x:v>master</x:v>
      </x:c>
      <x:c r="AK1114" s="87" t="str">
        <x:v>master-v0.81</x:v>
      </x:c>
      <x:c r="AL1114" s="87" t="str">
        <x:v>statgrad_master_base_v0_81_final(2).xlsx</x:v>
      </x:c>
      <x:c r="AM1114" s="87" t="str">
        <x:v>PHYS_Mar_V2</x:v>
      </x:c>
      <x:c r="AN1114" s="87" t="n">
        <x:v>19</x:v>
      </x:c>
    </x:row>
    <x:row r="1115">
      <x:c r="A1115" s="87" t="n">
        <x:v>1114</x:v>
      </x:c>
      <x:c r="B1115" s="87" t="str">
        <x:v>MAR-PHYS-V2-019</x:v>
      </x:c>
      <x:c r="C1115" s="87" t="str">
        <x:v>СтатГрад</x:v>
      </x:c>
      <x:c r="D1115" s="87" t="str">
        <x:v>Март 2026</x:v>
      </x:c>
      <x:c r="E1115" s="87"/>
      <x:c r="F1115" s="87"/>
      <x:c r="G1115" s="87" t="str">
        <x:v>Физика</x:v>
      </x:c>
      <x:c r="H1115" s="87" t="n">
        <x:v>11</x:v>
      </x:c>
      <x:c r="I1115" s="87" t="str">
        <x:v>ТР №4</x:v>
      </x:c>
      <x:c r="J1115" s="87" t="str">
        <x:v>ФИ2510402</x:v>
      </x:c>
      <x:c r="K1115" s="87" t="n">
        <x:v>19</x:v>
      </x:c>
      <x:c r="L1115" s="87" t="str">
        <x:v>Измерительный прибор</x:v>
      </x:c>
      <x:c r="M1115" s="30" t="str">
        <x:v>Считать показание вольтметра и записать погрешность, равную половине цены деления.</x:v>
      </x:c>
      <x:c r="N1115" s="30" t="str">
        <x:v>3,6; 0,1</x:v>
      </x:c>
      <x:c r="O1115" s="30" t="str">
        <x:v>Между соседними целыми значениями пять интервалов, цена деления 0,2 В. Стрелка показывает 3,6 В; погрешность 0,1 В. Результат: (3,6±0,1) В.</x:v>
      </x:c>
      <x:c r="P1115" s="30" t="str">
        <x:v>Положение стрелки проверено по третьему делению после отметки 3 В.</x:v>
      </x:c>
      <x:c r="Q1115" s="30"/>
      <x:c r="R1115" s="30" t="str">
        <x:v>Полный PDF задания + независимое решение</x:v>
      </x:c>
      <x:c r="S1115" s="30"/>
      <x:c r="T1115" s="30"/>
      <x:c r="U1115" s="30" t="str">
        <x:v>Расхождений не обнаружено.</x:v>
      </x:c>
      <x:c r="V1115" s="87" t="str">
        <x:v>VERIFIED</x:v>
      </x:c>
      <x:c r="W1115" s="87" t="str">
        <x:v>PDF варианта, задание 19</x:v>
      </x:c>
      <x:c r="X1115" s="87"/>
      <x:c r="Y1115" s="87"/>
      <x:c r="Z1115" s="87"/>
      <x:c r="AA1115" s="87"/>
      <x:c r="AB1115" s="87"/>
      <x:c r="AC1115" s="87"/>
      <x:c r="AD1115" s="87"/>
      <x:c r="AE1115" s="87"/>
      <x:c r="AF1115" s="87"/>
      <x:c r="AG1115" s="87"/>
      <x:c r="AH1115" s="87"/>
      <x:c r="AI1115" s="30"/>
      <x:c r="AJ1115" s="87" t="str">
        <x:v>master</x:v>
      </x:c>
      <x:c r="AK1115" s="87" t="str">
        <x:v>master-v0.81</x:v>
      </x:c>
      <x:c r="AL1115" s="87" t="str">
        <x:v>statgrad_master_base_v0_81_final(2).xlsx</x:v>
      </x:c>
      <x:c r="AM1115" s="87" t="str">
        <x:v>PHYS_Mar_V2</x:v>
      </x:c>
      <x:c r="AN1115" s="87" t="n">
        <x:v>20</x:v>
      </x:c>
    </x:row>
    <x:row r="1116">
      <x:c r="A1116" s="87" t="n">
        <x:v>1115</x:v>
      </x:c>
      <x:c r="B1116" s="87" t="str">
        <x:v>MAR-PHYS-V2-020</x:v>
      </x:c>
      <x:c r="C1116" s="87" t="str">
        <x:v>СтатГрад</x:v>
      </x:c>
      <x:c r="D1116" s="87" t="str">
        <x:v>Март 2026</x:v>
      </x:c>
      <x:c r="E1116" s="87"/>
      <x:c r="F1116" s="87"/>
      <x:c r="G1116" s="87" t="str">
        <x:v>Физика</x:v>
      </x:c>
      <x:c r="H1116" s="87" t="n">
        <x:v>11</x:v>
      </x:c>
      <x:c r="I1116" s="87" t="str">
        <x:v>ТР №4</x:v>
      </x:c>
      <x:c r="J1116" s="87" t="str">
        <x:v>ФИ2510402</x:v>
      </x:c>
      <x:c r="K1116" s="87" t="n">
        <x:v>20</x:v>
      </x:c>
      <x:c r="L1116" s="87" t="str">
        <x:v>Планирование эксперимента</x:v>
      </x:c>
      <x:c r="M1116" s="30" t="str">
        <x:v>Выбрать два проводника для исследования зависимости сопротивления от материала при одинаковых геометрических параметрах.</x:v>
      </x:c>
      <x:c r="N1116" s="30" t="str">
        <x:v>25</x:v>
      </x:c>
      <x:c r="O1116" s="30" t="str">
        <x:v>Проводники 2 и 5 имеют одинаковые длину и диаметр, но изготовлены из разных материалов.</x:v>
      </x:c>
      <x:c r="P1116" s="30" t="str">
        <x:v>Проводники 2 и 5 имеют одинаковые длину и диаметр, но изготовлены из разных материалов.</x:v>
      </x:c>
      <x:c r="Q1116" s="30"/>
      <x:c r="R1116" s="30" t="str">
        <x:v>Полный PDF задания + независимое решение</x:v>
      </x:c>
      <x:c r="S1116" s="30"/>
      <x:c r="T1116" s="30"/>
      <x:c r="U1116" s="30" t="str">
        <x:v>Расхождений не обнаружено.</x:v>
      </x:c>
      <x:c r="V1116" s="87" t="str">
        <x:v>VERIFIED</x:v>
      </x:c>
      <x:c r="W1116" s="87" t="str">
        <x:v>PDF варианта, задание 20</x:v>
      </x:c>
      <x:c r="X1116" s="87"/>
      <x:c r="Y1116" s="87"/>
      <x:c r="Z1116" s="87"/>
      <x:c r="AA1116" s="87"/>
      <x:c r="AB1116" s="87"/>
      <x:c r="AC1116" s="87"/>
      <x:c r="AD1116" s="87"/>
      <x:c r="AE1116" s="87"/>
      <x:c r="AF1116" s="87"/>
      <x:c r="AG1116" s="87"/>
      <x:c r="AH1116" s="87"/>
      <x:c r="AI1116" s="30"/>
      <x:c r="AJ1116" s="87" t="str">
        <x:v>master</x:v>
      </x:c>
      <x:c r="AK1116" s="87" t="str">
        <x:v>master-v0.81</x:v>
      </x:c>
      <x:c r="AL1116" s="87" t="str">
        <x:v>statgrad_master_base_v0_81_final(2).xlsx</x:v>
      </x:c>
      <x:c r="AM1116" s="87" t="str">
        <x:v>PHYS_Mar_V2</x:v>
      </x:c>
      <x:c r="AN1116" s="87" t="n">
        <x:v>21</x:v>
      </x:c>
    </x:row>
    <x:row r="1117">
      <x:c r="A1117" s="87" t="n">
        <x:v>1116</x:v>
      </x:c>
      <x:c r="B1117" s="87" t="str">
        <x:v>MAR-PHYS-V2-021</x:v>
      </x:c>
      <x:c r="C1117" s="87" t="str">
        <x:v>СтатГрад</x:v>
      </x:c>
      <x:c r="D1117" s="87" t="str">
        <x:v>Март 2026</x:v>
      </x:c>
      <x:c r="E1117" s="87"/>
      <x:c r="F1117" s="87"/>
      <x:c r="G1117" s="87" t="str">
        <x:v>Физика</x:v>
      </x:c>
      <x:c r="H1117" s="87" t="n">
        <x:v>11</x:v>
      </x:c>
      <x:c r="I1117" s="87" t="str">
        <x:v>ТР №4</x:v>
      </x:c>
      <x:c r="J1117" s="87" t="str">
        <x:v>ФИ2510402</x:v>
      </x:c>
      <x:c r="K1117" s="87" t="n">
        <x:v>21</x:v>
      </x:c>
      <x:c r="L1117" s="87" t="str">
        <x:v>Развёрнутый ответ: водяной пар</x:v>
      </x:c>
      <x:c r="M1117" s="30" t="str">
        <x:v>Жёсткий закрытый сосуд с водяным паром охладили без образования капель. Объяснить изменения T, p и относительной влажности.</x:v>
      </x:c>
      <x:c r="N1117" s="30" t="str">
        <x:v>Температура и парциальное давление уменьшатся, относительная влажность увеличится.</x:v>
      </x:c>
      <x:c r="O1117" s="30" t="str">
        <x:v>При отдаче теплоты средняя кинетическая энергия и T уменьшаются. При постоянных n и V p=nRT/V снижается. Давление насыщенного пара при охлаждении уменьшается быстрее, поэтому φ=p/pₙₐₛ возрастает; по условию φ остаётся ниже 100%.</x:v>
      </x:c>
      <x:c r="P1117" s="30" t="str">
        <x:v>Учтено условие отсутствия конденсации.</x:v>
      </x:c>
      <x:c r="Q1117" s="30"/>
      <x:c r="R1117" s="30" t="str">
        <x:v>Полный PDF задания + независимое решение</x:v>
      </x:c>
      <x:c r="S1117" s="30"/>
      <x:c r="T1117" s="30"/>
      <x:c r="U1117" s="30" t="str">
        <x:v>Расхождений не обнаружено.</x:v>
      </x:c>
      <x:c r="V1117" s="87" t="str">
        <x:v>VERIFIED</x:v>
      </x:c>
      <x:c r="W1117" s="87" t="str">
        <x:v>PDF варианта, задание 21</x:v>
      </x:c>
      <x:c r="X1117" s="87"/>
      <x:c r="Y1117" s="87"/>
      <x:c r="Z1117" s="87"/>
      <x:c r="AA1117" s="87"/>
      <x:c r="AB1117" s="87"/>
      <x:c r="AC1117" s="87"/>
      <x:c r="AD1117" s="87"/>
      <x:c r="AE1117" s="87"/>
      <x:c r="AF1117" s="87"/>
      <x:c r="AG1117" s="87"/>
      <x:c r="AH1117" s="87"/>
      <x:c r="AI1117" s="30"/>
      <x:c r="AJ1117" s="87" t="str">
        <x:v>master</x:v>
      </x:c>
      <x:c r="AK1117" s="87" t="str">
        <x:v>master-v0.81</x:v>
      </x:c>
      <x:c r="AL1117" s="87" t="str">
        <x:v>statgrad_master_base_v0_81_final(2).xlsx</x:v>
      </x:c>
      <x:c r="AM1117" s="87" t="str">
        <x:v>PHYS_Mar_V2</x:v>
      </x:c>
      <x:c r="AN1117" s="87" t="n">
        <x:v>22</x:v>
      </x:c>
    </x:row>
    <x:row r="1118">
      <x:c r="A1118" s="87" t="n">
        <x:v>1117</x:v>
      </x:c>
      <x:c r="B1118" s="87" t="str">
        <x:v>MAR-PHYS-V2-022</x:v>
      </x:c>
      <x:c r="C1118" s="87" t="str">
        <x:v>СтатГрад</x:v>
      </x:c>
      <x:c r="D1118" s="87" t="str">
        <x:v>Март 2026</x:v>
      </x:c>
      <x:c r="E1118" s="87"/>
      <x:c r="F1118" s="87"/>
      <x:c r="G1118" s="87" t="str">
        <x:v>Физика</x:v>
      </x:c>
      <x:c r="H1118" s="87" t="n">
        <x:v>11</x:v>
      </x:c>
      <x:c r="I1118" s="87" t="str">
        <x:v>ТР №4</x:v>
      </x:c>
      <x:c r="J1118" s="87" t="str">
        <x:v>ФИ2510402</x:v>
      </x:c>
      <x:c r="K1118" s="87" t="n">
        <x:v>22</x:v>
      </x:c>
      <x:c r="L1118" s="87" t="str">
        <x:v>Развёрнутый ответ: статика и блок</x:v>
      </x:c>
      <x:c r="M1118" s="30" t="str">
        <x:v>Стержень L=1,1 м, ось в 0,1 м от левого края; динамометр 10 Н прикреплён в 0,2 м от правого. Найти массу на подвижном блоке.</x:v>
      </x:c>
      <x:c r="N1118" s="30" t="str">
        <x:v>1,6 кг</x:v>
      </x:c>
      <x:c r="O1118" s="30" t="str">
        <x:v>Плечо силы динамометра 1,1−0,2−0,1=0,8 м, плечо натяжения верёвки у правого края 1,0 м. Из моментов τ=10·0,8/1,0=8 Н. Для подвижного блока mg=2τ=16 Н, m=1,6 кг.</x:v>
      </x:c>
      <x:c r="P1118" s="30" t="str">
        <x:v>Равновесие стержня и блока проверено отдельно.</x:v>
      </x:c>
      <x:c r="Q1118" s="30"/>
      <x:c r="R1118" s="30" t="str">
        <x:v>Полный PDF задания + независимое решение</x:v>
      </x:c>
      <x:c r="S1118" s="30"/>
      <x:c r="T1118" s="30"/>
      <x:c r="U1118" s="30" t="str">
        <x:v>Расхождений не обнаружено.</x:v>
      </x:c>
      <x:c r="V1118" s="87" t="str">
        <x:v>VERIFIED</x:v>
      </x:c>
      <x:c r="W1118" s="87" t="str">
        <x:v>PDF варианта, задание 22</x:v>
      </x:c>
      <x:c r="X1118" s="87"/>
      <x:c r="Y1118" s="87"/>
      <x:c r="Z1118" s="87"/>
      <x:c r="AA1118" s="87"/>
      <x:c r="AB1118" s="87"/>
      <x:c r="AC1118" s="87"/>
      <x:c r="AD1118" s="87"/>
      <x:c r="AE1118" s="87"/>
      <x:c r="AF1118" s="87"/>
      <x:c r="AG1118" s="87"/>
      <x:c r="AH1118" s="87"/>
      <x:c r="AI1118" s="30"/>
      <x:c r="AJ1118" s="87" t="str">
        <x:v>master</x:v>
      </x:c>
      <x:c r="AK1118" s="87" t="str">
        <x:v>master-v0.81</x:v>
      </x:c>
      <x:c r="AL1118" s="87" t="str">
        <x:v>statgrad_master_base_v0_81_final(2).xlsx</x:v>
      </x:c>
      <x:c r="AM1118" s="87" t="str">
        <x:v>PHYS_Mar_V2</x:v>
      </x:c>
      <x:c r="AN1118" s="87" t="n">
        <x:v>23</x:v>
      </x:c>
    </x:row>
    <x:row r="1119">
      <x:c r="A1119" s="87" t="n">
        <x:v>1118</x:v>
      </x:c>
      <x:c r="B1119" s="87" t="str">
        <x:v>MAR-PHYS-V2-023</x:v>
      </x:c>
      <x:c r="C1119" s="87" t="str">
        <x:v>СтатГрад</x:v>
      </x:c>
      <x:c r="D1119" s="87" t="str">
        <x:v>Март 2026</x:v>
      </x:c>
      <x:c r="E1119" s="87"/>
      <x:c r="F1119" s="87"/>
      <x:c r="G1119" s="87" t="str">
        <x:v>Физика</x:v>
      </x:c>
      <x:c r="H1119" s="87" t="n">
        <x:v>11</x:v>
      </x:c>
      <x:c r="I1119" s="87" t="str">
        <x:v>ТР №4</x:v>
      </x:c>
      <x:c r="J1119" s="87" t="str">
        <x:v>ФИ2510402</x:v>
      </x:c>
      <x:c r="K1119" s="87" t="n">
        <x:v>23</x:v>
      </x:c>
      <x:c r="L1119" s="87" t="str">
        <x:v>Развёрнутый ответ: электромагнитная индукция</x:v>
      </x:c>
      <x:c r="M1119" s="30" t="str">
        <x:v>Рамка a=10 см, R=0,2 Ом повёрнута на 60°; по ней прошёл заряд 40 мкКл. Найти B.</x:v>
      </x:c>
      <x:c r="N1119" s="30" t="str">
        <x:v>0,924 мТл</x:v>
      </x:c>
      <x:c r="O1119" s="30" t="str">
        <x:v>q=Ba²sinβ/R, поэтому B=qR/(a²sin60°)=40·10⁻⁶·0,2/(0,01·0,866)=9,24·10⁻⁴ Тл=0,924 мТл.</x:v>
      </x:c>
      <x:c r="P1119" s="30" t="str">
        <x:v>Начальный поток равен нулю, так как B лежит в плоскости рамки.</x:v>
      </x:c>
      <x:c r="Q1119" s="30"/>
      <x:c r="R1119" s="30" t="str">
        <x:v>Полный PDF задания + независимое решение</x:v>
      </x:c>
      <x:c r="S1119" s="30"/>
      <x:c r="T1119" s="30"/>
      <x:c r="U1119" s="30" t="str">
        <x:v>Расхождений не обнаружено.</x:v>
      </x:c>
      <x:c r="V1119" s="87" t="str">
        <x:v>VERIFIED</x:v>
      </x:c>
      <x:c r="W1119" s="87" t="str">
        <x:v>PDF варианта, задание 23</x:v>
      </x:c>
      <x:c r="X1119" s="87"/>
      <x:c r="Y1119" s="87"/>
      <x:c r="Z1119" s="87"/>
      <x:c r="AA1119" s="87"/>
      <x:c r="AB1119" s="87"/>
      <x:c r="AC1119" s="87"/>
      <x:c r="AD1119" s="87"/>
      <x:c r="AE1119" s="87"/>
      <x:c r="AF1119" s="87"/>
      <x:c r="AG1119" s="87"/>
      <x:c r="AH1119" s="87"/>
      <x:c r="AI1119" s="30"/>
      <x:c r="AJ1119" s="87" t="str">
        <x:v>master</x:v>
      </x:c>
      <x:c r="AK1119" s="87" t="str">
        <x:v>master-v0.81</x:v>
      </x:c>
      <x:c r="AL1119" s="87" t="str">
        <x:v>statgrad_master_base_v0_81_final(2).xlsx</x:v>
      </x:c>
      <x:c r="AM1119" s="87" t="str">
        <x:v>PHYS_Mar_V2</x:v>
      </x:c>
      <x:c r="AN1119" s="87" t="n">
        <x:v>24</x:v>
      </x:c>
    </x:row>
    <x:row r="1120">
      <x:c r="A1120" s="87" t="n">
        <x:v>1119</x:v>
      </x:c>
      <x:c r="B1120" s="87" t="str">
        <x:v>MAR-PHYS-V2-024</x:v>
      </x:c>
      <x:c r="C1120" s="87" t="str">
        <x:v>СтатГрад</x:v>
      </x:c>
      <x:c r="D1120" s="87" t="str">
        <x:v>Март 2026</x:v>
      </x:c>
      <x:c r="E1120" s="87"/>
      <x:c r="F1120" s="87"/>
      <x:c r="G1120" s="87" t="str">
        <x:v>Физика</x:v>
      </x:c>
      <x:c r="H1120" s="87" t="n">
        <x:v>11</x:v>
      </x:c>
      <x:c r="I1120" s="87" t="str">
        <x:v>ТР №4</x:v>
      </x:c>
      <x:c r="J1120" s="87" t="str">
        <x:v>ФИ2510402</x:v>
      </x:c>
      <x:c r="K1120" s="87" t="n">
        <x:v>24</x:v>
      </x:c>
      <x:c r="L1120" s="87" t="str">
        <x:v>Развёрнутый ответ: газ и столбик ртути</x:v>
      </x:c>
      <x:c r="M1120" s="30" t="str">
        <x:v>Трубка сначала вертикальна запаянным концом вниз; оба воздушных столба длины l. После герметизации и поворота горизонтально ртуть сместилась на d. Найти p₀.</x:v>
      </x:c>
      <x:c r="N1120" s="30" t="str">
        <x:v>p₀ = ρgh(l−d)/(2d)</x:v>
      </x:c>
      <x:c r="O1120" s="30" t="str">
        <x:v>До поворота давление верхнего газа p₀, нижнего p₀+ρgh. В горизонтальном положении давления равны; нижний газ расширился до l+d, верхний сжался до l−d. (p₀+ρgh)l/(l+d)=p₀l/(l−d), откуда p₀=ρgh(l−d)/(2d).</x:v>
      </x:c>
      <x:c r="P1120" s="30" t="str">
        <x:v>Направление смещения следует из большего начального давления нижнего газа.</x:v>
      </x:c>
      <x:c r="Q1120" s="30"/>
      <x:c r="R1120" s="30" t="str">
        <x:v>Полный PDF задания + независимое решение</x:v>
      </x:c>
      <x:c r="S1120" s="30"/>
      <x:c r="T1120" s="30"/>
      <x:c r="U1120" s="30" t="str">
        <x:v>Расхождений не обнаружено.</x:v>
      </x:c>
      <x:c r="V1120" s="87" t="str">
        <x:v>VERIFIED</x:v>
      </x:c>
      <x:c r="W1120" s="87" t="str">
        <x:v>PDF варианта, задание 24</x:v>
      </x:c>
      <x:c r="X1120" s="87"/>
      <x:c r="Y1120" s="87"/>
      <x:c r="Z1120" s="87"/>
      <x:c r="AA1120" s="87"/>
      <x:c r="AB1120" s="87"/>
      <x:c r="AC1120" s="87"/>
      <x:c r="AD1120" s="87"/>
      <x:c r="AE1120" s="87"/>
      <x:c r="AF1120" s="87"/>
      <x:c r="AG1120" s="87"/>
      <x:c r="AH1120" s="87"/>
      <x:c r="AI1120" s="30"/>
      <x:c r="AJ1120" s="87" t="str">
        <x:v>master</x:v>
      </x:c>
      <x:c r="AK1120" s="87" t="str">
        <x:v>master-v0.81</x:v>
      </x:c>
      <x:c r="AL1120" s="87" t="str">
        <x:v>statgrad_master_base_v0_81_final(2).xlsx</x:v>
      </x:c>
      <x:c r="AM1120" s="87" t="str">
        <x:v>PHYS_Mar_V2</x:v>
      </x:c>
      <x:c r="AN1120" s="87" t="n">
        <x:v>25</x:v>
      </x:c>
    </x:row>
    <x:row r="1121">
      <x:c r="A1121" s="87" t="n">
        <x:v>1120</x:v>
      </x:c>
      <x:c r="B1121" s="87" t="str">
        <x:v>MAR-PHYS-V2-025</x:v>
      </x:c>
      <x:c r="C1121" s="87" t="str">
        <x:v>СтатГрад</x:v>
      </x:c>
      <x:c r="D1121" s="87" t="str">
        <x:v>Март 2026</x:v>
      </x:c>
      <x:c r="E1121" s="87"/>
      <x:c r="F1121" s="87"/>
      <x:c r="G1121" s="87" t="str">
        <x:v>Физика</x:v>
      </x:c>
      <x:c r="H1121" s="87" t="n">
        <x:v>11</x:v>
      </x:c>
      <x:c r="I1121" s="87" t="str">
        <x:v>ТР №4</x:v>
      </x:c>
      <x:c r="J1121" s="87" t="str">
        <x:v>ФИ2510402</x:v>
      </x:c>
      <x:c r="K1121" s="87" t="n">
        <x:v>25</x:v>
      </x:c>
      <x:c r="L1121" s="87" t="str">
        <x:v>Развёрнутый ответ: система линз</x:v>
      </x:c>
      <x:c r="M1121" s="30" t="str">
        <x:v>Линзы F₁=30 см и F₂=−20 см разделены на 50 см; источник в 60 см слева от первой. Найти конечное изображение.</x:v>
      </x:c>
      <x:c r="N1121" s="30" t="str">
        <x:v>20 см справа от второй линзы; изображение действительное</x:v>
      </x:c>
      <x:c r="O1121" s="30" t="str">
        <x:v>Первая линза даёт изображение в 60 см справа от неё, то есть в 10 см справа от второй: a₂=−10 см. 1/(−20)=1/(−10)+1/b₂, поэтому b₂=20 см.</x:v>
      </x:c>
      <x:c r="P1121" s="30" t="str">
        <x:v>Проверены знаки и построение лучей через обе линзы.</x:v>
      </x:c>
      <x:c r="Q1121" s="30"/>
      <x:c r="R1121" s="30" t="str">
        <x:v>Полный PDF задания + независимое решение</x:v>
      </x:c>
      <x:c r="S1121" s="30"/>
      <x:c r="T1121" s="30"/>
      <x:c r="U1121" s="30" t="str">
        <x:v>Расхождений не обнаружено.</x:v>
      </x:c>
      <x:c r="V1121" s="87" t="str">
        <x:v>VERIFIED</x:v>
      </x:c>
      <x:c r="W1121" s="87" t="str">
        <x:v>PDF варианта, задание 25</x:v>
      </x:c>
      <x:c r="X1121" s="87"/>
      <x:c r="Y1121" s="87"/>
      <x:c r="Z1121" s="87"/>
      <x:c r="AA1121" s="87"/>
      <x:c r="AB1121" s="87"/>
      <x:c r="AC1121" s="87"/>
      <x:c r="AD1121" s="87"/>
      <x:c r="AE1121" s="87"/>
      <x:c r="AF1121" s="87"/>
      <x:c r="AG1121" s="87"/>
      <x:c r="AH1121" s="87"/>
      <x:c r="AI1121" s="30"/>
      <x:c r="AJ1121" s="87" t="str">
        <x:v>master</x:v>
      </x:c>
      <x:c r="AK1121" s="87" t="str">
        <x:v>master-v0.81</x:v>
      </x:c>
      <x:c r="AL1121" s="87" t="str">
        <x:v>statgrad_master_base_v0_81_final(2).xlsx</x:v>
      </x:c>
      <x:c r="AM1121" s="87" t="str">
        <x:v>PHYS_Mar_V2</x:v>
      </x:c>
      <x:c r="AN1121" s="87" t="n">
        <x:v>26</x:v>
      </x:c>
    </x:row>
    <x:row r="1122">
      <x:c r="A1122" s="87" t="n">
        <x:v>1121</x:v>
      </x:c>
      <x:c r="B1122" s="87" t="str">
        <x:v>MAR-PHYS-V2-026</x:v>
      </x:c>
      <x:c r="C1122" s="87" t="str">
        <x:v>СтатГрад</x:v>
      </x:c>
      <x:c r="D1122" s="87" t="str">
        <x:v>Март 2026</x:v>
      </x:c>
      <x:c r="E1122" s="87"/>
      <x:c r="F1122" s="87"/>
      <x:c r="G1122" s="87" t="str">
        <x:v>Физика</x:v>
      </x:c>
      <x:c r="H1122" s="87" t="n">
        <x:v>11</x:v>
      </x:c>
      <x:c r="I1122" s="87" t="str">
        <x:v>ТР №4</x:v>
      </x:c>
      <x:c r="J1122" s="87" t="str">
        <x:v>ФИ2510402</x:v>
      </x:c>
      <x:c r="K1122" s="87" t="n">
        <x:v>26</x:v>
      </x:c>
      <x:c r="L1122" s="87" t="str">
        <x:v>Развёрнутый ответ: упругий удар и пружина</x:v>
      </x:c>
      <x:c r="M1122" s="30" t="str">
        <x:v>Шарик 80 г упруго ударяет брусок массой 10m; k=2000 Н/м, максимальное сжатие 4 см. Найти скорость шарика.</x:v>
      </x:c>
      <x:c r="N1122" s="30" t="str">
        <x:v>11 м/с</x:v>
      </x:c>
      <x:c r="O1122" s="30" t="str">
        <x:v>По энергии бруска и пружины V=x√(k/M)=0,04√(2000/0,8)=2 м/с. Для упругого удара по покоящемуся бруску V=2m v₀/(m+10m)=2v₀/11; следовательно, v₀=11 м/с.</x:v>
      </x:c>
      <x:c r="P1122" s="30" t="str">
        <x:v>Последовательно применены законы сохранения для удара и движения бруска с пружиной.</x:v>
      </x:c>
      <x:c r="Q1122" s="30"/>
      <x:c r="R1122" s="30" t="str">
        <x:v>Полный PDF задания + независимое решение</x:v>
      </x:c>
      <x:c r="S1122" s="30"/>
      <x:c r="T1122" s="30"/>
      <x:c r="U1122" s="30" t="str">
        <x:v>Расхождений не обнаружено.</x:v>
      </x:c>
      <x:c r="V1122" s="87" t="str">
        <x:v>VERIFIED</x:v>
      </x:c>
      <x:c r="W1122" s="87" t="str">
        <x:v>PDF варианта, задание 26</x:v>
      </x:c>
      <x:c r="X1122" s="87"/>
      <x:c r="Y1122" s="87"/>
      <x:c r="Z1122" s="87"/>
      <x:c r="AA1122" s="87"/>
      <x:c r="AB1122" s="87"/>
      <x:c r="AC1122" s="87"/>
      <x:c r="AD1122" s="87"/>
      <x:c r="AE1122" s="87"/>
      <x:c r="AF1122" s="87"/>
      <x:c r="AG1122" s="87"/>
      <x:c r="AH1122" s="87"/>
      <x:c r="AI1122" s="30"/>
      <x:c r="AJ1122" s="87" t="str">
        <x:v>master</x:v>
      </x:c>
      <x:c r="AK1122" s="87" t="str">
        <x:v>master-v0.81</x:v>
      </x:c>
      <x:c r="AL1122" s="87" t="str">
        <x:v>statgrad_master_base_v0_81_final(2).xlsx</x:v>
      </x:c>
      <x:c r="AM1122" s="87" t="str">
        <x:v>PHYS_Mar_V2</x:v>
      </x:c>
      <x:c r="AN1122" s="87" t="n">
        <x:v>27</x:v>
      </x:c>
    </x:row>
    <x:row r="1123">
      <x:c r="A1123" s="87" t="n">
        <x:v>1122</x:v>
      </x:c>
      <x:c r="B1123" s="87" t="str">
        <x:v>MAR-PHYS-V3-001</x:v>
      </x:c>
      <x:c r="C1123" s="87" t="str">
        <x:v>СтатГрад</x:v>
      </x:c>
      <x:c r="D1123" s="87" t="str">
        <x:v>Март 2026</x:v>
      </x:c>
      <x:c r="E1123" s="87"/>
      <x:c r="F1123" s="87"/>
      <x:c r="G1123" s="87" t="str">
        <x:v>Физика</x:v>
      </x:c>
      <x:c r="H1123" s="87" t="n">
        <x:v>11</x:v>
      </x:c>
      <x:c r="I1123" s="87" t="str">
        <x:v>ТР №4</x:v>
      </x:c>
      <x:c r="J1123" s="87" t="str">
        <x:v>ФИ2510403</x:v>
      </x:c>
      <x:c r="K1123" s="87" t="n">
        <x:v>1</x:v>
      </x:c>
      <x:c r="L1123" s="87" t="str">
        <x:v>Кинематика: график скорости</x:v>
      </x:c>
      <x:c r="M1123" s="30" t="str">
        <x:v>По графику vₓ(t) определить проекцию ускорения на интервале 0–10 с.</x:v>
      </x:c>
      <x:c r="N1123" s="30" t="str">
        <x:v>−1,25</x:v>
      </x:c>
      <x:c r="O1123" s="30" t="str">
        <x:v>Участок линейный: v(0)=10 м/с, v(10)=−2,5 м/с. aₓ=(−2,5−10)/10=−1,25 м/с².</x:v>
      </x:c>
      <x:c r="P1123" s="30" t="str">
        <x:v>Наклон прямой дополнительно проверен по точкам (0;10) и (16;−10).</x:v>
      </x:c>
      <x:c r="Q1123" s="30"/>
      <x:c r="R1123" s="30" t="str">
        <x:v>Полный PDF задания + независимое решение</x:v>
      </x:c>
      <x:c r="S1123" s="30"/>
      <x:c r="T1123" s="30"/>
      <x:c r="U1123" s="30" t="str">
        <x:v>Расхождений не обнаружено.</x:v>
      </x:c>
      <x:c r="V1123" s="87" t="str">
        <x:v>VERIFIED</x:v>
      </x:c>
      <x:c r="W1123" s="87" t="str">
        <x:v>PDF варианта, задание 1</x:v>
      </x:c>
      <x:c r="X1123" s="87"/>
      <x:c r="Y1123" s="87"/>
      <x:c r="Z1123" s="87"/>
      <x:c r="AA1123" s="87"/>
      <x:c r="AB1123" s="87"/>
      <x:c r="AC1123" s="87"/>
      <x:c r="AD1123" s="87"/>
      <x:c r="AE1123" s="87"/>
      <x:c r="AF1123" s="87"/>
      <x:c r="AG1123" s="87"/>
      <x:c r="AH1123" s="87"/>
      <x:c r="AI1123" s="30"/>
      <x:c r="AJ1123" s="87" t="str">
        <x:v>master</x:v>
      </x:c>
      <x:c r="AK1123" s="87" t="str">
        <x:v>master-v0.81</x:v>
      </x:c>
      <x:c r="AL1123" s="87" t="str">
        <x:v>statgrad_master_base_v0_81_final(2).xlsx</x:v>
      </x:c>
      <x:c r="AM1123" s="87" t="str">
        <x:v>PHYS_Mar_V3</x:v>
      </x:c>
      <x:c r="AN1123" s="87" t="n">
        <x:v>2</x:v>
      </x:c>
    </x:row>
    <x:row r="1124">
      <x:c r="A1124" s="87" t="n">
        <x:v>1123</x:v>
      </x:c>
      <x:c r="B1124" s="87" t="str">
        <x:v>MAR-PHYS-V3-002</x:v>
      </x:c>
      <x:c r="C1124" s="87" t="str">
        <x:v>СтатГрад</x:v>
      </x:c>
      <x:c r="D1124" s="87" t="str">
        <x:v>Март 2026</x:v>
      </x:c>
      <x:c r="E1124" s="87"/>
      <x:c r="F1124" s="87"/>
      <x:c r="G1124" s="87" t="str">
        <x:v>Физика</x:v>
      </x:c>
      <x:c r="H1124" s="87" t="n">
        <x:v>11</x:v>
      </x:c>
      <x:c r="I1124" s="87" t="str">
        <x:v>ТР №4</x:v>
      </x:c>
      <x:c r="J1124" s="87" t="str">
        <x:v>ФИ2510403</x:v>
      </x:c>
      <x:c r="K1124" s="87" t="n">
        <x:v>2</x:v>
      </x:c>
      <x:c r="L1124" s="87" t="str">
        <x:v>Закон всемирного тяготения</x:v>
      </x:c>
      <x:c r="M1124" s="30" t="str">
        <x:v>R₂/R₁=1,6 для спутников одинаковой массы. Найти F₁/F₂.</x:v>
      </x:c>
      <x:c r="N1124" s="30" t="str">
        <x:v>2,56</x:v>
      </x:c>
      <x:c r="O1124" s="30" t="str">
        <x:v>F∝1/R², поэтому F₁/F₂=(R₂/R₁)²=1,6²=2,56.</x:v>
      </x:c>
      <x:c r="P1124" s="30" t="str">
        <x:v>F∝1/R², поэтому F₁/F₂=(R₂/R₁)²=1,6²=2,56.</x:v>
      </x:c>
      <x:c r="Q1124" s="30"/>
      <x:c r="R1124" s="30" t="str">
        <x:v>Полный PDF задания + независимое решение</x:v>
      </x:c>
      <x:c r="S1124" s="30"/>
      <x:c r="T1124" s="30"/>
      <x:c r="U1124" s="30" t="str">
        <x:v>Расхождений не обнаружено.</x:v>
      </x:c>
      <x:c r="V1124" s="87" t="str">
        <x:v>VERIFIED</x:v>
      </x:c>
      <x:c r="W1124" s="87" t="str">
        <x:v>PDF варианта, задание 2</x:v>
      </x:c>
      <x:c r="X1124" s="87"/>
      <x:c r="Y1124" s="87"/>
      <x:c r="Z1124" s="87"/>
      <x:c r="AA1124" s="87"/>
      <x:c r="AB1124" s="87"/>
      <x:c r="AC1124" s="87"/>
      <x:c r="AD1124" s="87"/>
      <x:c r="AE1124" s="87"/>
      <x:c r="AF1124" s="87"/>
      <x:c r="AG1124" s="87"/>
      <x:c r="AH1124" s="87"/>
      <x:c r="AI1124" s="30"/>
      <x:c r="AJ1124" s="87" t="str">
        <x:v>master</x:v>
      </x:c>
      <x:c r="AK1124" s="87" t="str">
        <x:v>master-v0.81</x:v>
      </x:c>
      <x:c r="AL1124" s="87" t="str">
        <x:v>statgrad_master_base_v0_81_final(2).xlsx</x:v>
      </x:c>
      <x:c r="AM1124" s="87" t="str">
        <x:v>PHYS_Mar_V3</x:v>
      </x:c>
      <x:c r="AN1124" s="87" t="n">
        <x:v>3</x:v>
      </x:c>
    </x:row>
    <x:row r="1125">
      <x:c r="A1125" s="87" t="n">
        <x:v>1124</x:v>
      </x:c>
      <x:c r="B1125" s="87" t="str">
        <x:v>MAR-PHYS-V3-003</x:v>
      </x:c>
      <x:c r="C1125" s="87" t="str">
        <x:v>СтатГрад</x:v>
      </x:c>
      <x:c r="D1125" s="87" t="str">
        <x:v>Март 2026</x:v>
      </x:c>
      <x:c r="E1125" s="87"/>
      <x:c r="F1125" s="87"/>
      <x:c r="G1125" s="87" t="str">
        <x:v>Физика</x:v>
      </x:c>
      <x:c r="H1125" s="87" t="n">
        <x:v>11</x:v>
      </x:c>
      <x:c r="I1125" s="87" t="str">
        <x:v>ТР №4</x:v>
      </x:c>
      <x:c r="J1125" s="87" t="str">
        <x:v>ФИ2510403</x:v>
      </x:c>
      <x:c r="K1125" s="87" t="n">
        <x:v>3</x:v>
      </x:c>
      <x:c r="L1125" s="87" t="str">
        <x:v>Закон сохранения энергии</x:v>
      </x:c>
      <x:c r="M1125" s="30" t="str">
        <x:v>Камень падает с высоты 12 м; кинетическая энергия у дна 30 Дж, потери 6 Дж. Найти массу.</x:v>
      </x:c>
      <x:c r="N1125" s="30" t="str">
        <x:v>0,3</x:v>
      </x:c>
      <x:c r="O1125" s="30" t="str">
        <x:v>mgh=30+6=36 Дж; m=36/(10·12)=0,3 кг.</x:v>
      </x:c>
      <x:c r="P1125" s="30" t="str">
        <x:v>mgh=30+6=36 Дж; m=36/(10·12)=0,3 кг.</x:v>
      </x:c>
      <x:c r="Q1125" s="30"/>
      <x:c r="R1125" s="30" t="str">
        <x:v>Полный PDF задания + независимое решение</x:v>
      </x:c>
      <x:c r="S1125" s="30"/>
      <x:c r="T1125" s="30"/>
      <x:c r="U1125" s="30" t="str">
        <x:v>Расхождений не обнаружено.</x:v>
      </x:c>
      <x:c r="V1125" s="87" t="str">
        <x:v>VERIFIED</x:v>
      </x:c>
      <x:c r="W1125" s="87" t="str">
        <x:v>PDF варианта, задание 3</x:v>
      </x:c>
      <x:c r="X1125" s="87"/>
      <x:c r="Y1125" s="87"/>
      <x:c r="Z1125" s="87"/>
      <x:c r="AA1125" s="87"/>
      <x:c r="AB1125" s="87"/>
      <x:c r="AC1125" s="87"/>
      <x:c r="AD1125" s="87"/>
      <x:c r="AE1125" s="87"/>
      <x:c r="AF1125" s="87"/>
      <x:c r="AG1125" s="87"/>
      <x:c r="AH1125" s="87"/>
      <x:c r="AI1125" s="30"/>
      <x:c r="AJ1125" s="87" t="str">
        <x:v>master</x:v>
      </x:c>
      <x:c r="AK1125" s="87" t="str">
        <x:v>master-v0.81</x:v>
      </x:c>
      <x:c r="AL1125" s="87" t="str">
        <x:v>statgrad_master_base_v0_81_final(2).xlsx</x:v>
      </x:c>
      <x:c r="AM1125" s="87" t="str">
        <x:v>PHYS_Mar_V3</x:v>
      </x:c>
      <x:c r="AN1125" s="87" t="n">
        <x:v>4</x:v>
      </x:c>
    </x:row>
    <x:row r="1126">
      <x:c r="A1126" s="87" t="n">
        <x:v>1125</x:v>
      </x:c>
      <x:c r="B1126" s="87" t="str">
        <x:v>MAR-PHYS-V3-004</x:v>
      </x:c>
      <x:c r="C1126" s="87" t="str">
        <x:v>СтатГрад</x:v>
      </x:c>
      <x:c r="D1126" s="87" t="str">
        <x:v>Март 2026</x:v>
      </x:c>
      <x:c r="E1126" s="87"/>
      <x:c r="F1126" s="87"/>
      <x:c r="G1126" s="87" t="str">
        <x:v>Физика</x:v>
      </x:c>
      <x:c r="H1126" s="87" t="n">
        <x:v>11</x:v>
      </x:c>
      <x:c r="I1126" s="87" t="str">
        <x:v>ТР №4</x:v>
      </x:c>
      <x:c r="J1126" s="87" t="str">
        <x:v>ФИ2510403</x:v>
      </x:c>
      <x:c r="K1126" s="87" t="n">
        <x:v>4</x:v>
      </x:c>
      <x:c r="L1126" s="87" t="str">
        <x:v>Математический маятник</x:v>
      </x:c>
      <x:c r="M1126" s="30" t="str">
        <x:v>После замены груза маятника на груз другой массы определить период.</x:v>
      </x:c>
      <x:c r="N1126" s="30" t="str">
        <x:v>1,4</x:v>
      </x:c>
      <x:c r="O1126" s="30" t="str">
        <x:v>T=2π√(l/g) не зависит от массы.</x:v>
      </x:c>
      <x:c r="P1126" s="30" t="str">
        <x:v>T=2π√(l/g) не зависит от массы.</x:v>
      </x:c>
      <x:c r="Q1126" s="30"/>
      <x:c r="R1126" s="30" t="str">
        <x:v>Полный PDF задания + независимое решение</x:v>
      </x:c>
      <x:c r="S1126" s="30"/>
      <x:c r="T1126" s="30"/>
      <x:c r="U1126" s="30" t="str">
        <x:v>Расхождений не обнаружено.</x:v>
      </x:c>
      <x:c r="V1126" s="87" t="str">
        <x:v>VERIFIED</x:v>
      </x:c>
      <x:c r="W1126" s="87" t="str">
        <x:v>PDF варианта, задание 4</x:v>
      </x:c>
      <x:c r="X1126" s="87"/>
      <x:c r="Y1126" s="87"/>
      <x:c r="Z1126" s="87"/>
      <x:c r="AA1126" s="87"/>
      <x:c r="AB1126" s="87"/>
      <x:c r="AC1126" s="87"/>
      <x:c r="AD1126" s="87"/>
      <x:c r="AE1126" s="87"/>
      <x:c r="AF1126" s="87"/>
      <x:c r="AG1126" s="87"/>
      <x:c r="AH1126" s="87"/>
      <x:c r="AI1126" s="30"/>
      <x:c r="AJ1126" s="87" t="str">
        <x:v>master</x:v>
      </x:c>
      <x:c r="AK1126" s="87" t="str">
        <x:v>master-v0.81</x:v>
      </x:c>
      <x:c r="AL1126" s="87" t="str">
        <x:v>statgrad_master_base_v0_81_final(2).xlsx</x:v>
      </x:c>
      <x:c r="AM1126" s="87" t="str">
        <x:v>PHYS_Mar_V3</x:v>
      </x:c>
      <x:c r="AN1126" s="87" t="n">
        <x:v>5</x:v>
      </x:c>
    </x:row>
    <x:row r="1127">
      <x:c r="A1127" s="87" t="n">
        <x:v>1126</x:v>
      </x:c>
      <x:c r="B1127" s="87" t="str">
        <x:v>MAR-PHYS-V3-005</x:v>
      </x:c>
      <x:c r="C1127" s="87" t="str">
        <x:v>СтатГрад</x:v>
      </x:c>
      <x:c r="D1127" s="87" t="str">
        <x:v>Март 2026</x:v>
      </x:c>
      <x:c r="E1127" s="87"/>
      <x:c r="F1127" s="87"/>
      <x:c r="G1127" s="87" t="str">
        <x:v>Физика</x:v>
      </x:c>
      <x:c r="H1127" s="87" t="n">
        <x:v>11</x:v>
      </x:c>
      <x:c r="I1127" s="87" t="str">
        <x:v>ТР №4</x:v>
      </x:c>
      <x:c r="J1127" s="87" t="str">
        <x:v>ФИ2510403</x:v>
      </x:c>
      <x:c r="K1127" s="87" t="n">
        <x:v>5</x:v>
      </x:c>
      <x:c r="L1127" s="87" t="str">
        <x:v>Неупругий удар</x:v>
      </x:c>
      <x:c r="M1127" s="30" t="str">
        <x:v>Пуля массой 0,2 кг со скоростью 3 м/с застревает в бруске 0,1 кг. Выбрать верные утверждения.</x:v>
      </x:c>
      <x:c r="N1127" s="30" t="str">
        <x:v>14</x:v>
      </x:c>
      <x:c r="O1127" s="30" t="str">
        <x:v>Общая скорость 2 м/с. Потеря механической энергии 0,3 Дж; изменение импульса пули по модулю 0,2 кг·м/с. Верны 1 и 4.</x:v>
      </x:c>
      <x:c r="P1127" s="30" t="str">
        <x:v>Импульс и энергии до/после столкновения пересчитаны отдельно.</x:v>
      </x:c>
      <x:c r="Q1127" s="30"/>
      <x:c r="R1127" s="30" t="str">
        <x:v>Полный PDF задания + независимое решение</x:v>
      </x:c>
      <x:c r="S1127" s="30"/>
      <x:c r="T1127" s="30"/>
      <x:c r="U1127" s="30" t="str">
        <x:v>Расхождений не обнаружено.</x:v>
      </x:c>
      <x:c r="V1127" s="87" t="str">
        <x:v>VERIFIED</x:v>
      </x:c>
      <x:c r="W1127" s="87" t="str">
        <x:v>PDF варианта, задание 5</x:v>
      </x:c>
      <x:c r="X1127" s="87"/>
      <x:c r="Y1127" s="87"/>
      <x:c r="Z1127" s="87"/>
      <x:c r="AA1127" s="87"/>
      <x:c r="AB1127" s="87"/>
      <x:c r="AC1127" s="87"/>
      <x:c r="AD1127" s="87"/>
      <x:c r="AE1127" s="87"/>
      <x:c r="AF1127" s="87"/>
      <x:c r="AG1127" s="87"/>
      <x:c r="AH1127" s="87"/>
      <x:c r="AI1127" s="30"/>
      <x:c r="AJ1127" s="87" t="str">
        <x:v>master</x:v>
      </x:c>
      <x:c r="AK1127" s="87" t="str">
        <x:v>master-v0.81</x:v>
      </x:c>
      <x:c r="AL1127" s="87" t="str">
        <x:v>statgrad_master_base_v0_81_final(2).xlsx</x:v>
      </x:c>
      <x:c r="AM1127" s="87" t="str">
        <x:v>PHYS_Mar_V3</x:v>
      </x:c>
      <x:c r="AN1127" s="87" t="n">
        <x:v>6</x:v>
      </x:c>
    </x:row>
    <x:row r="1128">
      <x:c r="A1128" s="87" t="n">
        <x:v>1127</x:v>
      </x:c>
      <x:c r="B1128" s="87" t="str">
        <x:v>MAR-PHYS-V3-006</x:v>
      </x:c>
      <x:c r="C1128" s="87" t="str">
        <x:v>СтатГрад</x:v>
      </x:c>
      <x:c r="D1128" s="87" t="str">
        <x:v>Март 2026</x:v>
      </x:c>
      <x:c r="E1128" s="87"/>
      <x:c r="F1128" s="87"/>
      <x:c r="G1128" s="87" t="str">
        <x:v>Физика</x:v>
      </x:c>
      <x:c r="H1128" s="87" t="n">
        <x:v>11</x:v>
      </x:c>
      <x:c r="I1128" s="87" t="str">
        <x:v>ТР №4</x:v>
      </x:c>
      <x:c r="J1128" s="87" t="str">
        <x:v>ФИ2510403</x:v>
      </x:c>
      <x:c r="K1128" s="87" t="n">
        <x:v>6</x:v>
      </x:c>
      <x:c r="L1128" s="87" t="str">
        <x:v>Графики движения</x:v>
      </x:c>
      <x:c r="M1128" s="30" t="str">
        <x:v>Для x=−4−4t² сопоставить графики со скоростью и ускорением.</x:v>
      </x:c>
      <x:c r="N1128" s="30" t="str">
        <x:v>23</x:v>
      </x:c>
      <x:c r="O1128" s="30" t="str">
        <x:v>v=−8t — линейно убывающая функция; a=−8 — постоянное отрицательное значение. Ответ 2 и 3.</x:v>
      </x:c>
      <x:c r="P1128" s="30" t="str">
        <x:v>v=−8t — линейно убывающая функция; a=−8 — постоянное отрицательное значение. Ответ 2 и 3.</x:v>
      </x:c>
      <x:c r="Q1128" s="30"/>
      <x:c r="R1128" s="30" t="str">
        <x:v>Полный PDF задания + независимое решение</x:v>
      </x:c>
      <x:c r="S1128" s="30"/>
      <x:c r="T1128" s="30"/>
      <x:c r="U1128" s="30" t="str">
        <x:v>Расхождений не обнаружено.</x:v>
      </x:c>
      <x:c r="V1128" s="87" t="str">
        <x:v>VERIFIED</x:v>
      </x:c>
      <x:c r="W1128" s="87" t="str">
        <x:v>PDF варианта, задание 6</x:v>
      </x:c>
      <x:c r="X1128" s="87"/>
      <x:c r="Y1128" s="87"/>
      <x:c r="Z1128" s="87"/>
      <x:c r="AA1128" s="87"/>
      <x:c r="AB1128" s="87"/>
      <x:c r="AC1128" s="87"/>
      <x:c r="AD1128" s="87"/>
      <x:c r="AE1128" s="87"/>
      <x:c r="AF1128" s="87"/>
      <x:c r="AG1128" s="87"/>
      <x:c r="AH1128" s="87"/>
      <x:c r="AI1128" s="30"/>
      <x:c r="AJ1128" s="87" t="str">
        <x:v>master</x:v>
      </x:c>
      <x:c r="AK1128" s="87" t="str">
        <x:v>master-v0.81</x:v>
      </x:c>
      <x:c r="AL1128" s="87" t="str">
        <x:v>statgrad_master_base_v0_81_final(2).xlsx</x:v>
      </x:c>
      <x:c r="AM1128" s="87" t="str">
        <x:v>PHYS_Mar_V3</x:v>
      </x:c>
      <x:c r="AN1128" s="87" t="n">
        <x:v>7</x:v>
      </x:c>
    </x:row>
    <x:row r="1129">
      <x:c r="A1129" s="87" t="n">
        <x:v>1128</x:v>
      </x:c>
      <x:c r="B1129" s="87" t="str">
        <x:v>MAR-PHYS-V3-007</x:v>
      </x:c>
      <x:c r="C1129" s="87" t="str">
        <x:v>СтатГрад</x:v>
      </x:c>
      <x:c r="D1129" s="87" t="str">
        <x:v>Март 2026</x:v>
      </x:c>
      <x:c r="E1129" s="87"/>
      <x:c r="F1129" s="87"/>
      <x:c r="G1129" s="87" t="str">
        <x:v>Физика</x:v>
      </x:c>
      <x:c r="H1129" s="87" t="n">
        <x:v>11</x:v>
      </x:c>
      <x:c r="I1129" s="87" t="str">
        <x:v>ТР №4</x:v>
      </x:c>
      <x:c r="J1129" s="87" t="str">
        <x:v>ФИ2510403</x:v>
      </x:c>
      <x:c r="K1129" s="87" t="n">
        <x:v>7</x:v>
      </x:c>
      <x:c r="L1129" s="87" t="str">
        <x:v>Уравнение Менделеева—Клапейрона</x:v>
      </x:c>
      <x:c r="M1129" s="30" t="str">
        <x:v>Температуру газа увеличить в 2 раза, давление уменьшить в 4 раза. Во сколько раз изменится объём?</x:v>
      </x:c>
      <x:c r="N1129" s="30" t="str">
        <x:v>8</x:v>
      </x:c>
      <x:c r="O1129" s="30" t="str">
        <x:v>При неизменном количестве газа V∝T/p; V₂/V₁=2/(1/4)=8.</x:v>
      </x:c>
      <x:c r="P1129" s="30" t="str">
        <x:v>При неизменном количестве газа V∝T/p; V₂/V₁=2/(1/4)=8.</x:v>
      </x:c>
      <x:c r="Q1129" s="30"/>
      <x:c r="R1129" s="30" t="str">
        <x:v>Полный PDF задания + независимое решение</x:v>
      </x:c>
      <x:c r="S1129" s="30"/>
      <x:c r="T1129" s="30"/>
      <x:c r="U1129" s="30" t="str">
        <x:v>Расхождений не обнаружено.</x:v>
      </x:c>
      <x:c r="V1129" s="87" t="str">
        <x:v>VERIFIED</x:v>
      </x:c>
      <x:c r="W1129" s="87" t="str">
        <x:v>PDF варианта, задание 7</x:v>
      </x:c>
      <x:c r="X1129" s="87"/>
      <x:c r="Y1129" s="87"/>
      <x:c r="Z1129" s="87"/>
      <x:c r="AA1129" s="87"/>
      <x:c r="AB1129" s="87"/>
      <x:c r="AC1129" s="87"/>
      <x:c r="AD1129" s="87"/>
      <x:c r="AE1129" s="87"/>
      <x:c r="AF1129" s="87"/>
      <x:c r="AG1129" s="87"/>
      <x:c r="AH1129" s="87"/>
      <x:c r="AI1129" s="30"/>
      <x:c r="AJ1129" s="87" t="str">
        <x:v>master</x:v>
      </x:c>
      <x:c r="AK1129" s="87" t="str">
        <x:v>master-v0.81</x:v>
      </x:c>
      <x:c r="AL1129" s="87" t="str">
        <x:v>statgrad_master_base_v0_81_final(2).xlsx</x:v>
      </x:c>
      <x:c r="AM1129" s="87" t="str">
        <x:v>PHYS_Mar_V3</x:v>
      </x:c>
      <x:c r="AN1129" s="87" t="n">
        <x:v>8</x:v>
      </x:c>
    </x:row>
    <x:row r="1130">
      <x:c r="A1130" s="87" t="n">
        <x:v>1129</x:v>
      </x:c>
      <x:c r="B1130" s="87" t="str">
        <x:v>MAR-PHYS-V3-008</x:v>
      </x:c>
      <x:c r="C1130" s="87" t="str">
        <x:v>СтатГрад</x:v>
      </x:c>
      <x:c r="D1130" s="87" t="str">
        <x:v>Март 2026</x:v>
      </x:c>
      <x:c r="E1130" s="87"/>
      <x:c r="F1130" s="87"/>
      <x:c r="G1130" s="87" t="str">
        <x:v>Физика</x:v>
      </x:c>
      <x:c r="H1130" s="87" t="n">
        <x:v>11</x:v>
      </x:c>
      <x:c r="I1130" s="87" t="str">
        <x:v>ТР №4</x:v>
      </x:c>
      <x:c r="J1130" s="87" t="str">
        <x:v>ФИ2510403</x:v>
      </x:c>
      <x:c r="K1130" s="87" t="n">
        <x:v>8</x:v>
      </x:c>
      <x:c r="L1130" s="87" t="str">
        <x:v>Работа внешней силы</x:v>
      </x:c>
      <x:c r="M1130" s="30" t="str">
        <x:v>Газ изобарно сжимают при 200 кПа от 5 до 1 л. Найти работу внешних сил.</x:v>
      </x:c>
      <x:c r="N1130" s="30" t="str">
        <x:v>800</x:v>
      </x:c>
      <x:c r="O1130" s="30" t="str">
        <x:v>Aвнеш=p(V₁−V₂)=200000·0,004=800 Дж.</x:v>
      </x:c>
      <x:c r="P1130" s="30" t="str">
        <x:v>Aвнеш=p(V₁−V₂)=200000·0,004=800 Дж.</x:v>
      </x:c>
      <x:c r="Q1130" s="30"/>
      <x:c r="R1130" s="30" t="str">
        <x:v>Полный PDF задания + независимое решение</x:v>
      </x:c>
      <x:c r="S1130" s="30"/>
      <x:c r="T1130" s="30"/>
      <x:c r="U1130" s="30" t="str">
        <x:v>Расхождений не обнаружено.</x:v>
      </x:c>
      <x:c r="V1130" s="87" t="str">
        <x:v>VERIFIED</x:v>
      </x:c>
      <x:c r="W1130" s="87" t="str">
        <x:v>PDF варианта, задание 8</x:v>
      </x:c>
      <x:c r="X1130" s="87"/>
      <x:c r="Y1130" s="87"/>
      <x:c r="Z1130" s="87"/>
      <x:c r="AA1130" s="87"/>
      <x:c r="AB1130" s="87"/>
      <x:c r="AC1130" s="87"/>
      <x:c r="AD1130" s="87"/>
      <x:c r="AE1130" s="87"/>
      <x:c r="AF1130" s="87"/>
      <x:c r="AG1130" s="87"/>
      <x:c r="AH1130" s="87"/>
      <x:c r="AI1130" s="30"/>
      <x:c r="AJ1130" s="87" t="str">
        <x:v>master</x:v>
      </x:c>
      <x:c r="AK1130" s="87" t="str">
        <x:v>master-v0.81</x:v>
      </x:c>
      <x:c r="AL1130" s="87" t="str">
        <x:v>statgrad_master_base_v0_81_final(2).xlsx</x:v>
      </x:c>
      <x:c r="AM1130" s="87" t="str">
        <x:v>PHYS_Mar_V3</x:v>
      </x:c>
      <x:c r="AN1130" s="87" t="n">
        <x:v>9</x:v>
      </x:c>
    </x:row>
    <x:row r="1131">
      <x:c r="A1131" s="87" t="n">
        <x:v>1130</x:v>
      </x:c>
      <x:c r="B1131" s="87" t="str">
        <x:v>MAR-PHYS-V3-009</x:v>
      </x:c>
      <x:c r="C1131" s="87" t="str">
        <x:v>СтатГрад</x:v>
      </x:c>
      <x:c r="D1131" s="87" t="str">
        <x:v>Март 2026</x:v>
      </x:c>
      <x:c r="E1131" s="87"/>
      <x:c r="F1131" s="87"/>
      <x:c r="G1131" s="87" t="str">
        <x:v>Физика</x:v>
      </x:c>
      <x:c r="H1131" s="87" t="n">
        <x:v>11</x:v>
      </x:c>
      <x:c r="I1131" s="87" t="str">
        <x:v>ТР №4</x:v>
      </x:c>
      <x:c r="J1131" s="87" t="str">
        <x:v>ФИ2510403</x:v>
      </x:c>
      <x:c r="K1131" s="87" t="n">
        <x:v>9</x:v>
      </x:c>
      <x:c r="L1131" s="87" t="str">
        <x:v>Смесь идеальных газов</x:v>
      </x:c>
      <x:c r="M1131" s="30" t="str">
        <x:v>Из смеси 2 моль He и 3 моль Ar удалить половину, затем добавить 2 моль He. Выбрать верные утверждения.</x:v>
      </x:c>
      <x:c r="N1131" s="30" t="str">
        <x:v>235</x:v>
      </x:c>
      <x:c r="O1131" s="30" t="str">
        <x:v>После удаления остаётся 1 моль He и 1,5 моль Ar; после добавления — 3 и 1,5 моль. Изменения давления, плотности и средней молярной массы дают утверждения 2, 3 и 5.</x:v>
      </x:c>
      <x:c r="P1131" s="30" t="str">
        <x:v>Все пять утверждений проверены через p=nRT/V и среднюю молярную массу.</x:v>
      </x:c>
      <x:c r="Q1131" s="30"/>
      <x:c r="R1131" s="30" t="str">
        <x:v>Полный PDF задания + независимое решение</x:v>
      </x:c>
      <x:c r="S1131" s="30"/>
      <x:c r="T1131" s="30"/>
      <x:c r="U1131" s="30" t="str">
        <x:v>Расхождений не обнаружено.</x:v>
      </x:c>
      <x:c r="V1131" s="87" t="str">
        <x:v>VERIFIED</x:v>
      </x:c>
      <x:c r="W1131" s="87" t="str">
        <x:v>PDF варианта, задание 9</x:v>
      </x:c>
      <x:c r="X1131" s="87"/>
      <x:c r="Y1131" s="87"/>
      <x:c r="Z1131" s="87"/>
      <x:c r="AA1131" s="87"/>
      <x:c r="AB1131" s="87"/>
      <x:c r="AC1131" s="87"/>
      <x:c r="AD1131" s="87"/>
      <x:c r="AE1131" s="87"/>
      <x:c r="AF1131" s="87"/>
      <x:c r="AG1131" s="87"/>
      <x:c r="AH1131" s="87"/>
      <x:c r="AI1131" s="30"/>
      <x:c r="AJ1131" s="87" t="str">
        <x:v>master</x:v>
      </x:c>
      <x:c r="AK1131" s="87" t="str">
        <x:v>master-v0.81</x:v>
      </x:c>
      <x:c r="AL1131" s="87" t="str">
        <x:v>statgrad_master_base_v0_81_final(2).xlsx</x:v>
      </x:c>
      <x:c r="AM1131" s="87" t="str">
        <x:v>PHYS_Mar_V3</x:v>
      </x:c>
      <x:c r="AN1131" s="87" t="n">
        <x:v>10</x:v>
      </x:c>
    </x:row>
    <x:row r="1132">
      <x:c r="A1132" s="87" t="n">
        <x:v>1131</x:v>
      </x:c>
      <x:c r="B1132" s="87" t="str">
        <x:v>MAR-PHYS-V3-010</x:v>
      </x:c>
      <x:c r="C1132" s="87" t="str">
        <x:v>СтатГрад</x:v>
      </x:c>
      <x:c r="D1132" s="87" t="str">
        <x:v>Март 2026</x:v>
      </x:c>
      <x:c r="E1132" s="87"/>
      <x:c r="F1132" s="87"/>
      <x:c r="G1132" s="87" t="str">
        <x:v>Физика</x:v>
      </x:c>
      <x:c r="H1132" s="87" t="n">
        <x:v>11</x:v>
      </x:c>
      <x:c r="I1132" s="87" t="str">
        <x:v>ТР №4</x:v>
      </x:c>
      <x:c r="J1132" s="87" t="str">
        <x:v>ФИ2510403</x:v>
      </x:c>
      <x:c r="K1132" s="87" t="n">
        <x:v>10</x:v>
      </x:c>
      <x:c r="L1132" s="87" t="str">
        <x:v>Формулы МКТ</x:v>
      </x:c>
      <x:c r="M1132" s="30" t="str">
        <x:v>Сопоставить pV/(νR) и pμ/(RT) с физическими величинами.</x:v>
      </x:c>
      <x:c r="N1132" s="30" t="str">
        <x:v>32</x:v>
      </x:c>
      <x:c r="O1132" s="30" t="str">
        <x:v>pV/(νR)=T — температура; pμ/(RT)=ρ — плотность. Ответ 3 и 2.</x:v>
      </x:c>
      <x:c r="P1132" s="30" t="str">
        <x:v>pV/(νR)=T — температура; pμ/(RT)=ρ — плотность. Ответ 3 и 2.</x:v>
      </x:c>
      <x:c r="Q1132" s="30"/>
      <x:c r="R1132" s="30" t="str">
        <x:v>Полный PDF задания + независимое решение</x:v>
      </x:c>
      <x:c r="S1132" s="30"/>
      <x:c r="T1132" s="30"/>
      <x:c r="U1132" s="30" t="str">
        <x:v>Расхождений не обнаружено.</x:v>
      </x:c>
      <x:c r="V1132" s="87" t="str">
        <x:v>VERIFIED</x:v>
      </x:c>
      <x:c r="W1132" s="87" t="str">
        <x:v>PDF варианта, задание 10</x:v>
      </x:c>
      <x:c r="X1132" s="87"/>
      <x:c r="Y1132" s="87"/>
      <x:c r="Z1132" s="87"/>
      <x:c r="AA1132" s="87"/>
      <x:c r="AB1132" s="87"/>
      <x:c r="AC1132" s="87"/>
      <x:c r="AD1132" s="87"/>
      <x:c r="AE1132" s="87"/>
      <x:c r="AF1132" s="87"/>
      <x:c r="AG1132" s="87"/>
      <x:c r="AH1132" s="87"/>
      <x:c r="AI1132" s="30"/>
      <x:c r="AJ1132" s="87" t="str">
        <x:v>master</x:v>
      </x:c>
      <x:c r="AK1132" s="87" t="str">
        <x:v>master-v0.81</x:v>
      </x:c>
      <x:c r="AL1132" s="87" t="str">
        <x:v>statgrad_master_base_v0_81_final(2).xlsx</x:v>
      </x:c>
      <x:c r="AM1132" s="87" t="str">
        <x:v>PHYS_Mar_V3</x:v>
      </x:c>
      <x:c r="AN1132" s="87" t="n">
        <x:v>11</x:v>
      </x:c>
    </x:row>
    <x:row r="1133">
      <x:c r="A1133" s="87" t="n">
        <x:v>1132</x:v>
      </x:c>
      <x:c r="B1133" s="87" t="str">
        <x:v>MAR-PHYS-V3-011</x:v>
      </x:c>
      <x:c r="C1133" s="87" t="str">
        <x:v>СтатГрад</x:v>
      </x:c>
      <x:c r="D1133" s="87" t="str">
        <x:v>Март 2026</x:v>
      </x:c>
      <x:c r="E1133" s="87"/>
      <x:c r="F1133" s="87"/>
      <x:c r="G1133" s="87" t="str">
        <x:v>Физика</x:v>
      </x:c>
      <x:c r="H1133" s="87" t="n">
        <x:v>11</x:v>
      </x:c>
      <x:c r="I1133" s="87" t="str">
        <x:v>ТР №4</x:v>
      </x:c>
      <x:c r="J1133" s="87" t="str">
        <x:v>ФИ2510403</x:v>
      </x:c>
      <x:c r="K1133" s="87" t="n">
        <x:v>11</x:v>
      </x:c>
      <x:c r="L1133" s="87" t="str">
        <x:v>Закон Кулона</x:v>
      </x:c>
      <x:c r="M1133" s="30" t="str">
        <x:v>Сила 3 мН при зарядах m и n на расстоянии r. Найти силу для 5m и n на расстоянии 2r.</x:v>
      </x:c>
      <x:c r="N1133" s="30" t="str">
        <x:v>3,75</x:v>
      </x:c>
      <x:c r="O1133" s="30" t="str">
        <x:v>F′/F=5/2²=1,25; F′=3·1,25=3,75 мН.</x:v>
      </x:c>
      <x:c r="P1133" s="30" t="str">
        <x:v>F′/F=5/2²=1,25; F′=3·1,25=3,75 мН.</x:v>
      </x:c>
      <x:c r="Q1133" s="30"/>
      <x:c r="R1133" s="30" t="str">
        <x:v>Полный PDF задания + независимое решение</x:v>
      </x:c>
      <x:c r="S1133" s="30"/>
      <x:c r="T1133" s="30"/>
      <x:c r="U1133" s="30" t="str">
        <x:v>Расхождений не обнаружено.</x:v>
      </x:c>
      <x:c r="V1133" s="87" t="str">
        <x:v>VERIFIED</x:v>
      </x:c>
      <x:c r="W1133" s="87" t="str">
        <x:v>PDF варианта, задание 11</x:v>
      </x:c>
      <x:c r="X1133" s="87"/>
      <x:c r="Y1133" s="87"/>
      <x:c r="Z1133" s="87"/>
      <x:c r="AA1133" s="87"/>
      <x:c r="AB1133" s="87"/>
      <x:c r="AC1133" s="87"/>
      <x:c r="AD1133" s="87"/>
      <x:c r="AE1133" s="87"/>
      <x:c r="AF1133" s="87"/>
      <x:c r="AG1133" s="87"/>
      <x:c r="AH1133" s="87"/>
      <x:c r="AI1133" s="30"/>
      <x:c r="AJ1133" s="87" t="str">
        <x:v>master</x:v>
      </x:c>
      <x:c r="AK1133" s="87" t="str">
        <x:v>master-v0.81</x:v>
      </x:c>
      <x:c r="AL1133" s="87" t="str">
        <x:v>statgrad_master_base_v0_81_final(2).xlsx</x:v>
      </x:c>
      <x:c r="AM1133" s="87" t="str">
        <x:v>PHYS_Mar_V3</x:v>
      </x:c>
      <x:c r="AN1133" s="87" t="n">
        <x:v>12</x:v>
      </x:c>
    </x:row>
    <x:row r="1134">
      <x:c r="A1134" s="87" t="n">
        <x:v>1133</x:v>
      </x:c>
      <x:c r="B1134" s="87" t="str">
        <x:v>MAR-PHYS-V3-012</x:v>
      </x:c>
      <x:c r="C1134" s="87" t="str">
        <x:v>СтатГрад</x:v>
      </x:c>
      <x:c r="D1134" s="87" t="str">
        <x:v>Март 2026</x:v>
      </x:c>
      <x:c r="E1134" s="87"/>
      <x:c r="F1134" s="87"/>
      <x:c r="G1134" s="87" t="str">
        <x:v>Физика</x:v>
      </x:c>
      <x:c r="H1134" s="87" t="n">
        <x:v>11</x:v>
      </x:c>
      <x:c r="I1134" s="87" t="str">
        <x:v>ТР №4</x:v>
      </x:c>
      <x:c r="J1134" s="87" t="str">
        <x:v>ФИ2510403</x:v>
      </x:c>
      <x:c r="K1134" s="87" t="n">
        <x:v>12</x:v>
      </x:c>
      <x:c r="L1134" s="87" t="str">
        <x:v>Энергия магнитного поля</x:v>
      </x:c>
      <x:c r="M1134" s="30" t="str">
        <x:v>L=0,7 мГн, W=5,6 мДж. Найти силу тока.</x:v>
      </x:c>
      <x:c r="N1134" s="30" t="str">
        <x:v>4</x:v>
      </x:c>
      <x:c r="O1134" s="30" t="str">
        <x:v>I=√(2W/L)=√(2·5,6·10⁻³/(0,7·10⁻³))=4 А.</x:v>
      </x:c>
      <x:c r="P1134" s="30" t="str">
        <x:v>I=√(2W/L)=√(2·5,6·10⁻³/(0,7·10⁻³))=4 А.</x:v>
      </x:c>
      <x:c r="Q1134" s="30"/>
      <x:c r="R1134" s="30" t="str">
        <x:v>Полный PDF задания + независимое решение</x:v>
      </x:c>
      <x:c r="S1134" s="30"/>
      <x:c r="T1134" s="30"/>
      <x:c r="U1134" s="30" t="str">
        <x:v>Расхождений не обнаружено.</x:v>
      </x:c>
      <x:c r="V1134" s="87" t="str">
        <x:v>VERIFIED</x:v>
      </x:c>
      <x:c r="W1134" s="87" t="str">
        <x:v>PDF варианта, задание 12</x:v>
      </x:c>
      <x:c r="X1134" s="87"/>
      <x:c r="Y1134" s="87"/>
      <x:c r="Z1134" s="87"/>
      <x:c r="AA1134" s="87"/>
      <x:c r="AB1134" s="87"/>
      <x:c r="AC1134" s="87"/>
      <x:c r="AD1134" s="87"/>
      <x:c r="AE1134" s="87"/>
      <x:c r="AF1134" s="87"/>
      <x:c r="AG1134" s="87"/>
      <x:c r="AH1134" s="87"/>
      <x:c r="AI1134" s="30"/>
      <x:c r="AJ1134" s="87" t="str">
        <x:v>master</x:v>
      </x:c>
      <x:c r="AK1134" s="87" t="str">
        <x:v>master-v0.81</x:v>
      </x:c>
      <x:c r="AL1134" s="87" t="str">
        <x:v>statgrad_master_base_v0_81_final(2).xlsx</x:v>
      </x:c>
      <x:c r="AM1134" s="87" t="str">
        <x:v>PHYS_Mar_V3</x:v>
      </x:c>
      <x:c r="AN1134" s="87" t="n">
        <x:v>13</x:v>
      </x:c>
    </x:row>
    <x:row r="1135">
      <x:c r="A1135" s="87" t="n">
        <x:v>1134</x:v>
      </x:c>
      <x:c r="B1135" s="87" t="str">
        <x:v>MAR-PHYS-V3-013</x:v>
      </x:c>
      <x:c r="C1135" s="87" t="str">
        <x:v>СтатГрад</x:v>
      </x:c>
      <x:c r="D1135" s="87" t="str">
        <x:v>Март 2026</x:v>
      </x:c>
      <x:c r="E1135" s="87"/>
      <x:c r="F1135" s="87"/>
      <x:c r="G1135" s="87" t="str">
        <x:v>Физика</x:v>
      </x:c>
      <x:c r="H1135" s="87" t="n">
        <x:v>11</x:v>
      </x:c>
      <x:c r="I1135" s="87" t="str">
        <x:v>ТР №4</x:v>
      </x:c>
      <x:c r="J1135" s="87" t="str">
        <x:v>ФИ2510403</x:v>
      </x:c>
      <x:c r="K1135" s="87" t="n">
        <x:v>13</x:v>
      </x:c>
      <x:c r="L1135" s="87" t="str">
        <x:v>Плоское зеркало</x:v>
      </x:c>
      <x:c r="M1135" s="30" t="str">
        <x:v>Зеркало отодвинули от источника на 3,2 см. На сколько увеличится расстояние источник—изображение?</x:v>
      </x:c>
      <x:c r="N1135" s="30" t="str">
        <x:v>6,4</x:v>
      </x:c>
      <x:c r="O1135" s="30" t="str">
        <x:v>Изображение удалено от зеркала на такое же расстояние, как источник; изменение общего расстояния вдвое больше перемещения зеркала: 2·3,2=6,4 см.</x:v>
      </x:c>
      <x:c r="P1135" s="30" t="str">
        <x:v>Изображение удалено от зеркала на такое же расстояние, как источник; изменение общего расстояния вдвое больше перемещения зеркала: 2·3,2=6,4 см.</x:v>
      </x:c>
      <x:c r="Q1135" s="30"/>
      <x:c r="R1135" s="30" t="str">
        <x:v>Полный PDF задания + независимое решение</x:v>
      </x:c>
      <x:c r="S1135" s="30"/>
      <x:c r="T1135" s="30"/>
      <x:c r="U1135" s="30" t="str">
        <x:v>Расхождений не обнаружено.</x:v>
      </x:c>
      <x:c r="V1135" s="87" t="str">
        <x:v>VERIFIED</x:v>
      </x:c>
      <x:c r="W1135" s="87" t="str">
        <x:v>PDF варианта, задание 13</x:v>
      </x:c>
      <x:c r="X1135" s="87"/>
      <x:c r="Y1135" s="87"/>
      <x:c r="Z1135" s="87"/>
      <x:c r="AA1135" s="87"/>
      <x:c r="AB1135" s="87"/>
      <x:c r="AC1135" s="87"/>
      <x:c r="AD1135" s="87"/>
      <x:c r="AE1135" s="87"/>
      <x:c r="AF1135" s="87"/>
      <x:c r="AG1135" s="87"/>
      <x:c r="AH1135" s="87"/>
      <x:c r="AI1135" s="30"/>
      <x:c r="AJ1135" s="87" t="str">
        <x:v>master</x:v>
      </x:c>
      <x:c r="AK1135" s="87" t="str">
        <x:v>master-v0.81</x:v>
      </x:c>
      <x:c r="AL1135" s="87" t="str">
        <x:v>statgrad_master_base_v0_81_final(2).xlsx</x:v>
      </x:c>
      <x:c r="AM1135" s="87" t="str">
        <x:v>PHYS_Mar_V3</x:v>
      </x:c>
      <x:c r="AN1135" s="87" t="n">
        <x:v>14</x:v>
      </x:c>
    </x:row>
    <x:row r="1136">
      <x:c r="A1136" s="87" t="n">
        <x:v>1135</x:v>
      </x:c>
      <x:c r="B1136" s="87" t="str">
        <x:v>MAR-PHYS-V3-014</x:v>
      </x:c>
      <x:c r="C1136" s="87" t="str">
        <x:v>СтатГрад</x:v>
      </x:c>
      <x:c r="D1136" s="87" t="str">
        <x:v>Март 2026</x:v>
      </x:c>
      <x:c r="E1136" s="87"/>
      <x:c r="F1136" s="87"/>
      <x:c r="G1136" s="87" t="str">
        <x:v>Физика</x:v>
      </x:c>
      <x:c r="H1136" s="87" t="n">
        <x:v>11</x:v>
      </x:c>
      <x:c r="I1136" s="87" t="str">
        <x:v>ТР №4</x:v>
      </x:c>
      <x:c r="J1136" s="87" t="str">
        <x:v>ФИ2510403</x:v>
      </x:c>
      <x:c r="K1136" s="87" t="n">
        <x:v>14</x:v>
      </x:c>
      <x:c r="L1136" s="87" t="str">
        <x:v>Электромагнитная индукция</x:v>
      </x:c>
      <x:c r="M1136" s="30" t="str">
        <x:v>Равномерно движущийся стержень на рельсах с конденсатором: выбрать верные утверждения второй формулировки.</x:v>
      </x:c>
      <x:c r="N1136" s="30" t="str">
        <x:v>13</x:v>
      </x:c>
      <x:c r="O1136" s="30" t="str">
        <x:v>ЭДС и напряжение равны Blv=0,5 В и постоянны; после зарядки ток через перемычку равен нулю. Верны 1 и 3.</x:v>
      </x:c>
      <x:c r="P1136" s="30" t="str">
        <x:v>Поток возрастает, q=5 мкКл, энергия не меняется — остальные формулировки отвергнуты.</x:v>
      </x:c>
      <x:c r="Q1136" s="30"/>
      <x:c r="R1136" s="30" t="str">
        <x:v>Полный PDF задания + независимое решение</x:v>
      </x:c>
      <x:c r="S1136" s="30"/>
      <x:c r="T1136" s="30"/>
      <x:c r="U1136" s="30" t="str">
        <x:v>Расхождений не обнаружено.</x:v>
      </x:c>
      <x:c r="V1136" s="87" t="str">
        <x:v>VERIFIED</x:v>
      </x:c>
      <x:c r="W1136" s="87" t="str">
        <x:v>PDF варианта, задание 14</x:v>
      </x:c>
      <x:c r="X1136" s="87"/>
      <x:c r="Y1136" s="87"/>
      <x:c r="Z1136" s="87"/>
      <x:c r="AA1136" s="87"/>
      <x:c r="AB1136" s="87"/>
      <x:c r="AC1136" s="87"/>
      <x:c r="AD1136" s="87"/>
      <x:c r="AE1136" s="87"/>
      <x:c r="AF1136" s="87"/>
      <x:c r="AG1136" s="87"/>
      <x:c r="AH1136" s="87"/>
      <x:c r="AI1136" s="30"/>
      <x:c r="AJ1136" s="87" t="str">
        <x:v>master</x:v>
      </x:c>
      <x:c r="AK1136" s="87" t="str">
        <x:v>master-v0.81</x:v>
      </x:c>
      <x:c r="AL1136" s="87" t="str">
        <x:v>statgrad_master_base_v0_81_final(2).xlsx</x:v>
      </x:c>
      <x:c r="AM1136" s="87" t="str">
        <x:v>PHYS_Mar_V3</x:v>
      </x:c>
      <x:c r="AN1136" s="87" t="n">
        <x:v>15</x:v>
      </x:c>
    </x:row>
    <x:row r="1137">
      <x:c r="A1137" s="87" t="n">
        <x:v>1136</x:v>
      </x:c>
      <x:c r="B1137" s="87" t="str">
        <x:v>MAR-PHYS-V3-015</x:v>
      </x:c>
      <x:c r="C1137" s="87" t="str">
        <x:v>СтатГрад</x:v>
      </x:c>
      <x:c r="D1137" s="87" t="str">
        <x:v>Март 2026</x:v>
      </x:c>
      <x:c r="E1137" s="87"/>
      <x:c r="F1137" s="87"/>
      <x:c r="G1137" s="87" t="str">
        <x:v>Физика</x:v>
      </x:c>
      <x:c r="H1137" s="87" t="n">
        <x:v>11</x:v>
      </x:c>
      <x:c r="I1137" s="87" t="str">
        <x:v>ТР №4</x:v>
      </x:c>
      <x:c r="J1137" s="87" t="str">
        <x:v>ФИ2510403</x:v>
      </x:c>
      <x:c r="K1137" s="87" t="n">
        <x:v>15</x:v>
      </x:c>
      <x:c r="L1137" s="87" t="str">
        <x:v>Цепь постоянного тока</x:v>
      </x:c>
      <x:c r="M1137" s="30" t="str">
        <x:v>Напряжение увеличить в 2,5 раза, площадь сечения проводника — в 2 раза. Определить изменения I и P.</x:v>
      </x:c>
      <x:c r="N1137" s="30" t="str">
        <x:v>11</x:v>
      </x:c>
      <x:c r="O1137" s="30" t="str">
        <x:v>R∝1/S уменьшается в 2 раза; I=U/R возрастает в 5 раз; P=UI возрастает в 12,5 раза. Обе величины увеличиваются.</x:v>
      </x:c>
      <x:c r="P1137" s="30" t="str">
        <x:v>R∝1/S уменьшается в 2 раза; I=U/R возрастает в 5 раз; P=UI возрастает в 12,5 раза. Обе величины увеличиваются.</x:v>
      </x:c>
      <x:c r="Q1137" s="30"/>
      <x:c r="R1137" s="30" t="str">
        <x:v>Полный PDF задания + независимое решение</x:v>
      </x:c>
      <x:c r="S1137" s="30"/>
      <x:c r="T1137" s="30"/>
      <x:c r="U1137" s="30" t="str">
        <x:v>Расхождений не обнаружено.</x:v>
      </x:c>
      <x:c r="V1137" s="87" t="str">
        <x:v>VERIFIED</x:v>
      </x:c>
      <x:c r="W1137" s="87" t="str">
        <x:v>PDF варианта, задание 15</x:v>
      </x:c>
      <x:c r="X1137" s="87"/>
      <x:c r="Y1137" s="87"/>
      <x:c r="Z1137" s="87"/>
      <x:c r="AA1137" s="87"/>
      <x:c r="AB1137" s="87"/>
      <x:c r="AC1137" s="87"/>
      <x:c r="AD1137" s="87"/>
      <x:c r="AE1137" s="87"/>
      <x:c r="AF1137" s="87"/>
      <x:c r="AG1137" s="87"/>
      <x:c r="AH1137" s="87"/>
      <x:c r="AI1137" s="30"/>
      <x:c r="AJ1137" s="87" t="str">
        <x:v>master</x:v>
      </x:c>
      <x:c r="AK1137" s="87" t="str">
        <x:v>master-v0.81</x:v>
      </x:c>
      <x:c r="AL1137" s="87" t="str">
        <x:v>statgrad_master_base_v0_81_final(2).xlsx</x:v>
      </x:c>
      <x:c r="AM1137" s="87" t="str">
        <x:v>PHYS_Mar_V3</x:v>
      </x:c>
      <x:c r="AN1137" s="87" t="n">
        <x:v>16</x:v>
      </x:c>
    </x:row>
    <x:row r="1138">
      <x:c r="A1138" s="87" t="n">
        <x:v>1137</x:v>
      </x:c>
      <x:c r="B1138" s="87" t="str">
        <x:v>MAR-PHYS-V3-016</x:v>
      </x:c>
      <x:c r="C1138" s="87" t="str">
        <x:v>СтатГрад</x:v>
      </x:c>
      <x:c r="D1138" s="87" t="str">
        <x:v>Март 2026</x:v>
      </x:c>
      <x:c r="E1138" s="87"/>
      <x:c r="F1138" s="87"/>
      <x:c r="G1138" s="87" t="str">
        <x:v>Физика</x:v>
      </x:c>
      <x:c r="H1138" s="87" t="n">
        <x:v>11</x:v>
      </x:c>
      <x:c r="I1138" s="87" t="str">
        <x:v>ТР №4</x:v>
      </x:c>
      <x:c r="J1138" s="87" t="str">
        <x:v>ФИ2510403</x:v>
      </x:c>
      <x:c r="K1138" s="87" t="n">
        <x:v>16</x:v>
      </x:c>
      <x:c r="L1138" s="87" t="str">
        <x:v>Ядерная физика</x:v>
      </x:c>
      <x:c r="M1138" s="30" t="str">
        <x:v>Найти число нейтронов в ядре ²²⁶Ra.</x:v>
      </x:c>
      <x:c r="N1138" s="30" t="str">
        <x:v>138</x:v>
      </x:c>
      <x:c r="O1138" s="30" t="str">
        <x:v>N=226−88=138.</x:v>
      </x:c>
      <x:c r="P1138" s="30" t="str">
        <x:v>N=226−88=138.</x:v>
      </x:c>
      <x:c r="Q1138" s="30"/>
      <x:c r="R1138" s="30" t="str">
        <x:v>Полный PDF задания + независимое решение</x:v>
      </x:c>
      <x:c r="S1138" s="30"/>
      <x:c r="T1138" s="30"/>
      <x:c r="U1138" s="30" t="str">
        <x:v>Расхождений не обнаружено.</x:v>
      </x:c>
      <x:c r="V1138" s="87" t="str">
        <x:v>VERIFIED</x:v>
      </x:c>
      <x:c r="W1138" s="87" t="str">
        <x:v>PDF варианта, задание 16</x:v>
      </x:c>
      <x:c r="X1138" s="87"/>
      <x:c r="Y1138" s="87"/>
      <x:c r="Z1138" s="87"/>
      <x:c r="AA1138" s="87"/>
      <x:c r="AB1138" s="87"/>
      <x:c r="AC1138" s="87"/>
      <x:c r="AD1138" s="87"/>
      <x:c r="AE1138" s="87"/>
      <x:c r="AF1138" s="87"/>
      <x:c r="AG1138" s="87"/>
      <x:c r="AH1138" s="87"/>
      <x:c r="AI1138" s="30"/>
      <x:c r="AJ1138" s="87" t="str">
        <x:v>master</x:v>
      </x:c>
      <x:c r="AK1138" s="87" t="str">
        <x:v>master-v0.81</x:v>
      </x:c>
      <x:c r="AL1138" s="87" t="str">
        <x:v>statgrad_master_base_v0_81_final(2).xlsx</x:v>
      </x:c>
      <x:c r="AM1138" s="87" t="str">
        <x:v>PHYS_Mar_V3</x:v>
      </x:c>
      <x:c r="AN1138" s="87" t="n">
        <x:v>17</x:v>
      </x:c>
    </x:row>
    <x:row r="1139">
      <x:c r="A1139" s="87" t="n">
        <x:v>1138</x:v>
      </x:c>
      <x:c r="B1139" s="87" t="str">
        <x:v>MAR-PHYS-V3-017</x:v>
      </x:c>
      <x:c r="C1139" s="87" t="str">
        <x:v>СтатГрад</x:v>
      </x:c>
      <x:c r="D1139" s="87" t="str">
        <x:v>Март 2026</x:v>
      </x:c>
      <x:c r="E1139" s="87"/>
      <x:c r="F1139" s="87"/>
      <x:c r="G1139" s="87" t="str">
        <x:v>Физика</x:v>
      </x:c>
      <x:c r="H1139" s="87" t="n">
        <x:v>11</x:v>
      </x:c>
      <x:c r="I1139" s="87" t="str">
        <x:v>ТР №4</x:v>
      </x:c>
      <x:c r="J1139" s="87" t="str">
        <x:v>ФИ2510403</x:v>
      </x:c>
      <x:c r="K1139" s="87" t="n">
        <x:v>17</x:v>
      </x:c>
      <x:c r="L1139" s="87" t="str">
        <x:v>Фотоны</x:v>
      </x:c>
      <x:c r="M1139" s="30" t="str">
        <x:v>Интенсивность света увеличили при неизменной частоте. Определить изменения концентрации фотонов и импульса фотона.</x:v>
      </x:c>
      <x:c r="N1139" s="30" t="str">
        <x:v>13</x:v>
      </x:c>
      <x:c r="O1139" s="30" t="str">
        <x:v>Концентрация фотонов увеличивается; импульс одного фотона p=hν/c не меняется. Ответ 1 и 3.</x:v>
      </x:c>
      <x:c r="P1139" s="30" t="str">
        <x:v>Концентрация фотонов увеличивается; импульс одного фотона p=hν/c не меняется. Ответ 1 и 3.</x:v>
      </x:c>
      <x:c r="Q1139" s="30"/>
      <x:c r="R1139" s="30" t="str">
        <x:v>Полный PDF задания + независимое решение</x:v>
      </x:c>
      <x:c r="S1139" s="30"/>
      <x:c r="T1139" s="30"/>
      <x:c r="U1139" s="30" t="str">
        <x:v>Расхождений не обнаружено.</x:v>
      </x:c>
      <x:c r="V1139" s="87" t="str">
        <x:v>VERIFIED</x:v>
      </x:c>
      <x:c r="W1139" s="87" t="str">
        <x:v>PDF варианта, задание 17</x:v>
      </x:c>
      <x:c r="X1139" s="87"/>
      <x:c r="Y1139" s="87"/>
      <x:c r="Z1139" s="87"/>
      <x:c r="AA1139" s="87"/>
      <x:c r="AB1139" s="87"/>
      <x:c r="AC1139" s="87"/>
      <x:c r="AD1139" s="87"/>
      <x:c r="AE1139" s="87"/>
      <x:c r="AF1139" s="87"/>
      <x:c r="AG1139" s="87"/>
      <x:c r="AH1139" s="87"/>
      <x:c r="AI1139" s="30"/>
      <x:c r="AJ1139" s="87" t="str">
        <x:v>master</x:v>
      </x:c>
      <x:c r="AK1139" s="87" t="str">
        <x:v>master-v0.81</x:v>
      </x:c>
      <x:c r="AL1139" s="87" t="str">
        <x:v>statgrad_master_base_v0_81_final(2).xlsx</x:v>
      </x:c>
      <x:c r="AM1139" s="87" t="str">
        <x:v>PHYS_Mar_V3</x:v>
      </x:c>
      <x:c r="AN1139" s="87" t="n">
        <x:v>18</x:v>
      </x:c>
    </x:row>
    <x:row r="1140">
      <x:c r="A1140" s="87" t="n">
        <x:v>1139</x:v>
      </x:c>
      <x:c r="B1140" s="87" t="str">
        <x:v>MAR-PHYS-V3-018</x:v>
      </x:c>
      <x:c r="C1140" s="87" t="str">
        <x:v>СтатГрад</x:v>
      </x:c>
      <x:c r="D1140" s="87" t="str">
        <x:v>Март 2026</x:v>
      </x:c>
      <x:c r="E1140" s="87"/>
      <x:c r="F1140" s="87"/>
      <x:c r="G1140" s="87" t="str">
        <x:v>Физика</x:v>
      </x:c>
      <x:c r="H1140" s="87" t="n">
        <x:v>11</x:v>
      </x:c>
      <x:c r="I1140" s="87" t="str">
        <x:v>ТР №4</x:v>
      </x:c>
      <x:c r="J1140" s="87" t="str">
        <x:v>ФИ2510403</x:v>
      </x:c>
      <x:c r="K1140" s="87" t="n">
        <x:v>18</x:v>
      </x:c>
      <x:c r="L1140" s="87" t="str">
        <x:v>Физические закономерности</x:v>
      </x:c>
      <x:c r="M1140" s="30" t="str">
        <x:v>Выбрать все верные утверждения общего характера во втором варианте.</x:v>
      </x:c>
      <x:c r="N1140" s="30" t="str">
        <x:v>12</x:v>
      </x:c>
      <x:c r="O1140" s="30" t="str">
        <x:v>Верны одинаковость ускорения свободного падения без сопротивления и неизменность U идеального газа в изотермическом процессе. Ответ 12.</x:v>
      </x:c>
      <x:c r="P1140" s="30" t="str">
        <x:v>Верны одинаковость ускорения свободного падения без сопротивления и неизменность U идеального газа в изотермическом процессе. Ответ 12.</x:v>
      </x:c>
      <x:c r="Q1140" s="30"/>
      <x:c r="R1140" s="30" t="str">
        <x:v>Полный PDF задания + независимое решение</x:v>
      </x:c>
      <x:c r="S1140" s="30"/>
      <x:c r="T1140" s="30"/>
      <x:c r="U1140" s="30" t="str">
        <x:v>Расхождений не обнаружено.</x:v>
      </x:c>
      <x:c r="V1140" s="87" t="str">
        <x:v>VERIFIED</x:v>
      </x:c>
      <x:c r="W1140" s="87" t="str">
        <x:v>PDF варианта, задание 18</x:v>
      </x:c>
      <x:c r="X1140" s="87"/>
      <x:c r="Y1140" s="87"/>
      <x:c r="Z1140" s="87"/>
      <x:c r="AA1140" s="87"/>
      <x:c r="AB1140" s="87"/>
      <x:c r="AC1140" s="87"/>
      <x:c r="AD1140" s="87"/>
      <x:c r="AE1140" s="87"/>
      <x:c r="AF1140" s="87"/>
      <x:c r="AG1140" s="87"/>
      <x:c r="AH1140" s="87"/>
      <x:c r="AI1140" s="30"/>
      <x:c r="AJ1140" s="87" t="str">
        <x:v>master</x:v>
      </x:c>
      <x:c r="AK1140" s="87" t="str">
        <x:v>master-v0.81</x:v>
      </x:c>
      <x:c r="AL1140" s="87" t="str">
        <x:v>statgrad_master_base_v0_81_final(2).xlsx</x:v>
      </x:c>
      <x:c r="AM1140" s="87" t="str">
        <x:v>PHYS_Mar_V3</x:v>
      </x:c>
      <x:c r="AN1140" s="87" t="n">
        <x:v>19</x:v>
      </x:c>
    </x:row>
    <x:row r="1141">
      <x:c r="A1141" s="87" t="n">
        <x:v>1140</x:v>
      </x:c>
      <x:c r="B1141" s="87" t="str">
        <x:v>MAR-PHYS-V3-019</x:v>
      </x:c>
      <x:c r="C1141" s="87" t="str">
        <x:v>СтатГрад</x:v>
      </x:c>
      <x:c r="D1141" s="87" t="str">
        <x:v>Март 2026</x:v>
      </x:c>
      <x:c r="E1141" s="87"/>
      <x:c r="F1141" s="87"/>
      <x:c r="G1141" s="87" t="str">
        <x:v>Физика</x:v>
      </x:c>
      <x:c r="H1141" s="87" t="n">
        <x:v>11</x:v>
      </x:c>
      <x:c r="I1141" s="87" t="str">
        <x:v>ТР №4</x:v>
      </x:c>
      <x:c r="J1141" s="87" t="str">
        <x:v>ФИ2510403</x:v>
      </x:c>
      <x:c r="K1141" s="87" t="n">
        <x:v>19</x:v>
      </x:c>
      <x:c r="L1141" s="87" t="str">
        <x:v>Измерительный прибор</x:v>
      </x:c>
      <x:c r="M1141" s="30" t="str">
        <x:v>Считать показание амперметра и записать погрешность, равную половине цены деления.</x:v>
      </x:c>
      <x:c r="N1141" s="30" t="str">
        <x:v>0,7; 0,05</x:v>
      </x:c>
      <x:c r="O1141" s="30" t="str">
        <x:v>Цена деления 0,1 А, стрелка показывает 0,7 А; погрешность 0,05 А. Результат: (0,70±0,05) А.</x:v>
      </x:c>
      <x:c r="P1141" s="30" t="str">
        <x:v>Шкала пересчитана по отметкам 0; 0,5; 1 А.</x:v>
      </x:c>
      <x:c r="Q1141" s="30"/>
      <x:c r="R1141" s="30" t="str">
        <x:v>Полный PDF задания + независимое решение</x:v>
      </x:c>
      <x:c r="S1141" s="30"/>
      <x:c r="T1141" s="30"/>
      <x:c r="U1141" s="30" t="str">
        <x:v>Расхождений не обнаружено.</x:v>
      </x:c>
      <x:c r="V1141" s="87" t="str">
        <x:v>VERIFIED</x:v>
      </x:c>
      <x:c r="W1141" s="87" t="str">
        <x:v>PDF варианта, задание 19</x:v>
      </x:c>
      <x:c r="X1141" s="87"/>
      <x:c r="Y1141" s="87"/>
      <x:c r="Z1141" s="87"/>
      <x:c r="AA1141" s="87"/>
      <x:c r="AB1141" s="87"/>
      <x:c r="AC1141" s="87"/>
      <x:c r="AD1141" s="87"/>
      <x:c r="AE1141" s="87"/>
      <x:c r="AF1141" s="87"/>
      <x:c r="AG1141" s="87"/>
      <x:c r="AH1141" s="87"/>
      <x:c r="AI1141" s="30"/>
      <x:c r="AJ1141" s="87" t="str">
        <x:v>master</x:v>
      </x:c>
      <x:c r="AK1141" s="87" t="str">
        <x:v>master-v0.81</x:v>
      </x:c>
      <x:c r="AL1141" s="87" t="str">
        <x:v>statgrad_master_base_v0_81_final(2).xlsx</x:v>
      </x:c>
      <x:c r="AM1141" s="87" t="str">
        <x:v>PHYS_Mar_V3</x:v>
      </x:c>
      <x:c r="AN1141" s="87" t="n">
        <x:v>20</x:v>
      </x:c>
    </x:row>
    <x:row r="1142">
      <x:c r="A1142" s="87" t="n">
        <x:v>1141</x:v>
      </x:c>
      <x:c r="B1142" s="87" t="str">
        <x:v>MAR-PHYS-V3-020</x:v>
      </x:c>
      <x:c r="C1142" s="87" t="str">
        <x:v>СтатГрад</x:v>
      </x:c>
      <x:c r="D1142" s="87" t="str">
        <x:v>Март 2026</x:v>
      </x:c>
      <x:c r="E1142" s="87"/>
      <x:c r="F1142" s="87"/>
      <x:c r="G1142" s="87" t="str">
        <x:v>Физика</x:v>
      </x:c>
      <x:c r="H1142" s="87" t="n">
        <x:v>11</x:v>
      </x:c>
      <x:c r="I1142" s="87" t="str">
        <x:v>ТР №4</x:v>
      </x:c>
      <x:c r="J1142" s="87" t="str">
        <x:v>ФИ2510403</x:v>
      </x:c>
      <x:c r="K1142" s="87" t="n">
        <x:v>20</x:v>
      </x:c>
      <x:c r="L1142" s="87" t="str">
        <x:v>Планирование эксперимента</x:v>
      </x:c>
      <x:c r="M1142" s="30" t="str">
        <x:v>Выбрать два проводника для исследования зависимости сопротивления от материала при одинаковых геометрических параметрах.</x:v>
      </x:c>
      <x:c r="N1142" s="30" t="str">
        <x:v>25</x:v>
      </x:c>
      <x:c r="O1142" s="30" t="str">
        <x:v>Проводники 2 и 5 имеют одинаковые длину и диаметр, но изготовлены из разных материалов.</x:v>
      </x:c>
      <x:c r="P1142" s="30" t="str">
        <x:v>Проводники 2 и 5 имеют одинаковые длину и диаметр, но изготовлены из разных материалов.</x:v>
      </x:c>
      <x:c r="Q1142" s="30"/>
      <x:c r="R1142" s="30" t="str">
        <x:v>Полный PDF задания + независимое решение</x:v>
      </x:c>
      <x:c r="S1142" s="30"/>
      <x:c r="T1142" s="30"/>
      <x:c r="U1142" s="30" t="str">
        <x:v>Расхождений не обнаружено.</x:v>
      </x:c>
      <x:c r="V1142" s="87" t="str">
        <x:v>VERIFIED</x:v>
      </x:c>
      <x:c r="W1142" s="87" t="str">
        <x:v>PDF варианта, задание 20</x:v>
      </x:c>
      <x:c r="X1142" s="87"/>
      <x:c r="Y1142" s="87"/>
      <x:c r="Z1142" s="87"/>
      <x:c r="AA1142" s="87"/>
      <x:c r="AB1142" s="87"/>
      <x:c r="AC1142" s="87"/>
      <x:c r="AD1142" s="87"/>
      <x:c r="AE1142" s="87"/>
      <x:c r="AF1142" s="87"/>
      <x:c r="AG1142" s="87"/>
      <x:c r="AH1142" s="87"/>
      <x:c r="AI1142" s="30"/>
      <x:c r="AJ1142" s="87" t="str">
        <x:v>master</x:v>
      </x:c>
      <x:c r="AK1142" s="87" t="str">
        <x:v>master-v0.81</x:v>
      </x:c>
      <x:c r="AL1142" s="87" t="str">
        <x:v>statgrad_master_base_v0_81_final(2).xlsx</x:v>
      </x:c>
      <x:c r="AM1142" s="87" t="str">
        <x:v>PHYS_Mar_V3</x:v>
      </x:c>
      <x:c r="AN1142" s="87" t="n">
        <x:v>21</x:v>
      </x:c>
    </x:row>
    <x:row r="1143">
      <x:c r="A1143" s="87" t="n">
        <x:v>1142</x:v>
      </x:c>
      <x:c r="B1143" s="87" t="str">
        <x:v>MAR-PHYS-V3-021</x:v>
      </x:c>
      <x:c r="C1143" s="87" t="str">
        <x:v>СтатГрад</x:v>
      </x:c>
      <x:c r="D1143" s="87" t="str">
        <x:v>Март 2026</x:v>
      </x:c>
      <x:c r="E1143" s="87"/>
      <x:c r="F1143" s="87"/>
      <x:c r="G1143" s="87" t="str">
        <x:v>Физика</x:v>
      </x:c>
      <x:c r="H1143" s="87" t="n">
        <x:v>11</x:v>
      </x:c>
      <x:c r="I1143" s="87" t="str">
        <x:v>ТР №4</x:v>
      </x:c>
      <x:c r="J1143" s="87" t="str">
        <x:v>ФИ2510403</x:v>
      </x:c>
      <x:c r="K1143" s="87" t="n">
        <x:v>21</x:v>
      </x:c>
      <x:c r="L1143" s="87" t="str">
        <x:v>Развёрнутый ответ: водяной пар</x:v>
      </x:c>
      <x:c r="M1143" s="30" t="str">
        <x:v>Жёсткий закрытый сосуд с ненасыщенным водяным паром нагрели. Объяснить изменения T, p и относительной влажности.</x:v>
      </x:c>
      <x:c r="N1143" s="30" t="str">
        <x:v>Температура и парциальное давление увеличатся, относительная влажность уменьшится.</x:v>
      </x:c>
      <x:c r="O1143" s="30" t="str">
        <x:v>Полученное тепло повышает среднюю кинетическую энергию молекул, поэтому T растёт. При постоянных n и V давление p=nRT/V увеличивается. Давление насыщенного пара с температурой растёт быстрее, чем давление неизменного количества ненасыщенного пара, поэтому φ=p/pₙₐₛ уменьшается.</x:v>
      </x:c>
      <x:c r="P1143" s="30" t="str">
        <x:v>Проверены отсутствие конденсации/испарения жидкости, постоянство массы пара и объёма.</x:v>
      </x:c>
      <x:c r="Q1143" s="30"/>
      <x:c r="R1143" s="30" t="str">
        <x:v>Полный PDF задания + независимое решение</x:v>
      </x:c>
      <x:c r="S1143" s="30"/>
      <x:c r="T1143" s="30"/>
      <x:c r="U1143" s="30" t="str">
        <x:v>Расхождений не обнаружено.</x:v>
      </x:c>
      <x:c r="V1143" s="87" t="str">
        <x:v>VERIFIED</x:v>
      </x:c>
      <x:c r="W1143" s="87" t="str">
        <x:v>PDF варианта, задание 21</x:v>
      </x:c>
      <x:c r="X1143" s="87"/>
      <x:c r="Y1143" s="87"/>
      <x:c r="Z1143" s="87"/>
      <x:c r="AA1143" s="87"/>
      <x:c r="AB1143" s="87"/>
      <x:c r="AC1143" s="87"/>
      <x:c r="AD1143" s="87"/>
      <x:c r="AE1143" s="87"/>
      <x:c r="AF1143" s="87"/>
      <x:c r="AG1143" s="87"/>
      <x:c r="AH1143" s="87"/>
      <x:c r="AI1143" s="30"/>
      <x:c r="AJ1143" s="87" t="str">
        <x:v>master</x:v>
      </x:c>
      <x:c r="AK1143" s="87" t="str">
        <x:v>master-v0.81</x:v>
      </x:c>
      <x:c r="AL1143" s="87" t="str">
        <x:v>statgrad_master_base_v0_81_final(2).xlsx</x:v>
      </x:c>
      <x:c r="AM1143" s="87" t="str">
        <x:v>PHYS_Mar_V3</x:v>
      </x:c>
      <x:c r="AN1143" s="87" t="n">
        <x:v>22</x:v>
      </x:c>
    </x:row>
    <x:row r="1144">
      <x:c r="A1144" s="87" t="n">
        <x:v>1143</x:v>
      </x:c>
      <x:c r="B1144" s="87" t="str">
        <x:v>MAR-PHYS-V3-022</x:v>
      </x:c>
      <x:c r="C1144" s="87" t="str">
        <x:v>СтатГрад</x:v>
      </x:c>
      <x:c r="D1144" s="87" t="str">
        <x:v>Март 2026</x:v>
      </x:c>
      <x:c r="E1144" s="87"/>
      <x:c r="F1144" s="87"/>
      <x:c r="G1144" s="87" t="str">
        <x:v>Физика</x:v>
      </x:c>
      <x:c r="H1144" s="87" t="n">
        <x:v>11</x:v>
      </x:c>
      <x:c r="I1144" s="87" t="str">
        <x:v>ТР №4</x:v>
      </x:c>
      <x:c r="J1144" s="87" t="str">
        <x:v>ФИ2510403</x:v>
      </x:c>
      <x:c r="K1144" s="87" t="n">
        <x:v>22</x:v>
      </x:c>
      <x:c r="L1144" s="87" t="str">
        <x:v>Развёрнутый ответ: статика и блок</x:v>
      </x:c>
      <x:c r="M1144" s="30" t="str">
        <x:v>Стержень L=1,1 м, ось в 0,1 м от левого края; динамометр 10 Н прикреплён в 0,2 м от правого. Найти массу на подвижном блоке.</x:v>
      </x:c>
      <x:c r="N1144" s="30" t="str">
        <x:v>1,6 кг</x:v>
      </x:c>
      <x:c r="O1144" s="30" t="str">
        <x:v>Плечо силы динамометра 1,1−0,2−0,1=0,8 м, плечо натяжения верёвки у правого края 1,0 м. Из моментов τ=10·0,8/1,0=8 Н. Для подвижного блока mg=2τ=16 Н, m=1,6 кг.</x:v>
      </x:c>
      <x:c r="P1144" s="30" t="str">
        <x:v>Равновесие стержня и блока проверено отдельно.</x:v>
      </x:c>
      <x:c r="Q1144" s="30"/>
      <x:c r="R1144" s="30" t="str">
        <x:v>Полный PDF задания + независимое решение</x:v>
      </x:c>
      <x:c r="S1144" s="30"/>
      <x:c r="T1144" s="30"/>
      <x:c r="U1144" s="30" t="str">
        <x:v>Расхождений не обнаружено.</x:v>
      </x:c>
      <x:c r="V1144" s="87" t="str">
        <x:v>VERIFIED</x:v>
      </x:c>
      <x:c r="W1144" s="87" t="str">
        <x:v>PDF варианта, задание 22</x:v>
      </x:c>
      <x:c r="X1144" s="87"/>
      <x:c r="Y1144" s="87"/>
      <x:c r="Z1144" s="87"/>
      <x:c r="AA1144" s="87"/>
      <x:c r="AB1144" s="87"/>
      <x:c r="AC1144" s="87"/>
      <x:c r="AD1144" s="87"/>
      <x:c r="AE1144" s="87"/>
      <x:c r="AF1144" s="87"/>
      <x:c r="AG1144" s="87"/>
      <x:c r="AH1144" s="87"/>
      <x:c r="AI1144" s="30"/>
      <x:c r="AJ1144" s="87" t="str">
        <x:v>master</x:v>
      </x:c>
      <x:c r="AK1144" s="87" t="str">
        <x:v>master-v0.81</x:v>
      </x:c>
      <x:c r="AL1144" s="87" t="str">
        <x:v>statgrad_master_base_v0_81_final(2).xlsx</x:v>
      </x:c>
      <x:c r="AM1144" s="87" t="str">
        <x:v>PHYS_Mar_V3</x:v>
      </x:c>
      <x:c r="AN1144" s="87" t="n">
        <x:v>23</x:v>
      </x:c>
    </x:row>
    <x:row r="1145">
      <x:c r="A1145" s="87" t="n">
        <x:v>1144</x:v>
      </x:c>
      <x:c r="B1145" s="87" t="str">
        <x:v>MAR-PHYS-V3-023</x:v>
      </x:c>
      <x:c r="C1145" s="87" t="str">
        <x:v>СтатГрад</x:v>
      </x:c>
      <x:c r="D1145" s="87" t="str">
        <x:v>Март 2026</x:v>
      </x:c>
      <x:c r="E1145" s="87"/>
      <x:c r="F1145" s="87"/>
      <x:c r="G1145" s="87" t="str">
        <x:v>Физика</x:v>
      </x:c>
      <x:c r="H1145" s="87" t="n">
        <x:v>11</x:v>
      </x:c>
      <x:c r="I1145" s="87" t="str">
        <x:v>ТР №4</x:v>
      </x:c>
      <x:c r="J1145" s="87" t="str">
        <x:v>ФИ2510403</x:v>
      </x:c>
      <x:c r="K1145" s="87" t="n">
        <x:v>23</x:v>
      </x:c>
      <x:c r="L1145" s="87" t="str">
        <x:v>Развёрнутый ответ: электромагнитная индукция</x:v>
      </x:c>
      <x:c r="M1145" s="30" t="str">
        <x:v>Квадратная рамка a=10 см, B=3 мТл, R=0,5 Ом повёрнута на 30°. Найти прошедший заряд.</x:v>
      </x:c>
      <x:c r="N1145" s="30" t="str">
        <x:v>30 мкКл</x:v>
      </x:c>
      <x:c r="O1145" s="30" t="str">
        <x:v>Изначально поток равен нулю, после поворота ΔΦ=Ba²sinβ. q=|ΔΦ|/R=3·10⁻³·0,01·0,5/0,5=3·10⁻⁵ Кл=30 мкКл.</x:v>
      </x:c>
      <x:c r="P1145" s="30" t="str">
        <x:v>Использован интегральный закон Фарадея: q=ΔΦ/R.</x:v>
      </x:c>
      <x:c r="Q1145" s="30"/>
      <x:c r="R1145" s="30" t="str">
        <x:v>Полный PDF задания + независимое решение</x:v>
      </x:c>
      <x:c r="S1145" s="30"/>
      <x:c r="T1145" s="30"/>
      <x:c r="U1145" s="30" t="str">
        <x:v>Расхождений не обнаружено.</x:v>
      </x:c>
      <x:c r="V1145" s="87" t="str">
        <x:v>VERIFIED</x:v>
      </x:c>
      <x:c r="W1145" s="87" t="str">
        <x:v>PDF варианта, задание 23</x:v>
      </x:c>
      <x:c r="X1145" s="87"/>
      <x:c r="Y1145" s="87"/>
      <x:c r="Z1145" s="87"/>
      <x:c r="AA1145" s="87"/>
      <x:c r="AB1145" s="87"/>
      <x:c r="AC1145" s="87"/>
      <x:c r="AD1145" s="87"/>
      <x:c r="AE1145" s="87"/>
      <x:c r="AF1145" s="87"/>
      <x:c r="AG1145" s="87"/>
      <x:c r="AH1145" s="87"/>
      <x:c r="AI1145" s="30"/>
      <x:c r="AJ1145" s="87" t="str">
        <x:v>master</x:v>
      </x:c>
      <x:c r="AK1145" s="87" t="str">
        <x:v>master-v0.81</x:v>
      </x:c>
      <x:c r="AL1145" s="87" t="str">
        <x:v>statgrad_master_base_v0_81_final(2).xlsx</x:v>
      </x:c>
      <x:c r="AM1145" s="87" t="str">
        <x:v>PHYS_Mar_V3</x:v>
      </x:c>
      <x:c r="AN1145" s="87" t="n">
        <x:v>24</x:v>
      </x:c>
    </x:row>
    <x:row r="1146">
      <x:c r="A1146" s="87" t="n">
        <x:v>1145</x:v>
      </x:c>
      <x:c r="B1146" s="87" t="str">
        <x:v>MAR-PHYS-V3-024</x:v>
      </x:c>
      <x:c r="C1146" s="87" t="str">
        <x:v>СтатГрад</x:v>
      </x:c>
      <x:c r="D1146" s="87" t="str">
        <x:v>Март 2026</x:v>
      </x:c>
      <x:c r="E1146" s="87"/>
      <x:c r="F1146" s="87"/>
      <x:c r="G1146" s="87" t="str">
        <x:v>Физика</x:v>
      </x:c>
      <x:c r="H1146" s="87" t="n">
        <x:v>11</x:v>
      </x:c>
      <x:c r="I1146" s="87" t="str">
        <x:v>ТР №4</x:v>
      </x:c>
      <x:c r="J1146" s="87" t="str">
        <x:v>ФИ2510403</x:v>
      </x:c>
      <x:c r="K1146" s="87" t="n">
        <x:v>24</x:v>
      </x:c>
      <x:c r="L1146" s="87" t="str">
        <x:v>Развёрнутый ответ: газ и столбик ртути</x:v>
      </x:c>
      <x:c r="M1146" s="30" t="str">
        <x:v>Трубка сначала вертикальна запаянным концом вниз; оба воздушных столба длины l. После герметизации и поворота горизонтально ртуть сместилась на d. Найти p₀.</x:v>
      </x:c>
      <x:c r="N1146" s="30" t="str">
        <x:v>p₀ = ρgh(l−d)/(2d)</x:v>
      </x:c>
      <x:c r="O1146" s="30" t="str">
        <x:v>До поворота давление верхнего газа p₀, нижнего p₀+ρgh. В горизонтальном положении давления равны; нижний газ расширился до l+d, верхний сжался до l−d. (p₀+ρgh)l/(l+d)=p₀l/(l−d), откуда p₀=ρgh(l−d)/(2d).</x:v>
      </x:c>
      <x:c r="P1146" s="30" t="str">
        <x:v>Направление смещения следует из большего начального давления нижнего газа.</x:v>
      </x:c>
      <x:c r="Q1146" s="30"/>
      <x:c r="R1146" s="30" t="str">
        <x:v>Полный PDF задания + независимое решение</x:v>
      </x:c>
      <x:c r="S1146" s="30"/>
      <x:c r="T1146" s="30"/>
      <x:c r="U1146" s="30" t="str">
        <x:v>Расхождений не обнаружено.</x:v>
      </x:c>
      <x:c r="V1146" s="87" t="str">
        <x:v>VERIFIED</x:v>
      </x:c>
      <x:c r="W1146" s="87" t="str">
        <x:v>PDF варианта, задание 24</x:v>
      </x:c>
      <x:c r="X1146" s="87"/>
      <x:c r="Y1146" s="87"/>
      <x:c r="Z1146" s="87"/>
      <x:c r="AA1146" s="87"/>
      <x:c r="AB1146" s="87"/>
      <x:c r="AC1146" s="87"/>
      <x:c r="AD1146" s="87"/>
      <x:c r="AE1146" s="87"/>
      <x:c r="AF1146" s="87"/>
      <x:c r="AG1146" s="87"/>
      <x:c r="AH1146" s="87"/>
      <x:c r="AI1146" s="30"/>
      <x:c r="AJ1146" s="87" t="str">
        <x:v>master</x:v>
      </x:c>
      <x:c r="AK1146" s="87" t="str">
        <x:v>master-v0.81</x:v>
      </x:c>
      <x:c r="AL1146" s="87" t="str">
        <x:v>statgrad_master_base_v0_81_final(2).xlsx</x:v>
      </x:c>
      <x:c r="AM1146" s="87" t="str">
        <x:v>PHYS_Mar_V3</x:v>
      </x:c>
      <x:c r="AN1146" s="87" t="n">
        <x:v>25</x:v>
      </x:c>
    </x:row>
    <x:row r="1147">
      <x:c r="A1147" s="87" t="n">
        <x:v>1146</x:v>
      </x:c>
      <x:c r="B1147" s="87" t="str">
        <x:v>MAR-PHYS-V3-025</x:v>
      </x:c>
      <x:c r="C1147" s="87" t="str">
        <x:v>СтатГрад</x:v>
      </x:c>
      <x:c r="D1147" s="87" t="str">
        <x:v>Март 2026</x:v>
      </x:c>
      <x:c r="E1147" s="87"/>
      <x:c r="F1147" s="87"/>
      <x:c r="G1147" s="87" t="str">
        <x:v>Физика</x:v>
      </x:c>
      <x:c r="H1147" s="87" t="n">
        <x:v>11</x:v>
      </x:c>
      <x:c r="I1147" s="87" t="str">
        <x:v>ТР №4</x:v>
      </x:c>
      <x:c r="J1147" s="87" t="str">
        <x:v>ФИ2510403</x:v>
      </x:c>
      <x:c r="K1147" s="87" t="n">
        <x:v>25</x:v>
      </x:c>
      <x:c r="L1147" s="87" t="str">
        <x:v>Развёрнутый ответ: система линз</x:v>
      </x:c>
      <x:c r="M1147" s="30" t="str">
        <x:v>Собирающая линза F₁=30 см и рассеивающая F₂=−20 см разделены на 30 см; источник в 60 см слева от первой. Найти конечное изображение.</x:v>
      </x:c>
      <x:c r="N1147" s="30" t="str">
        <x:v>60 см слева от второй линзы; изображение мнимое</x:v>
      </x:c>
      <x:c r="O1147" s="30" t="str">
        <x:v>Первая линза: 1/30=1/60+1/b₁, поэтому b₁=60 см. Для второй линзы это виртуальный предмет в 30 см справа: a₂=−30 см. 1/(−20)=1/(−30)+1/b₂, откуда b₂=−60 см.</x:v>
      </x:c>
      <x:c r="P1147" s="30" t="str">
        <x:v>Знаки расстояний и построение главных лучей проверены.</x:v>
      </x:c>
      <x:c r="Q1147" s="30"/>
      <x:c r="R1147" s="30" t="str">
        <x:v>Полный PDF задания + независимое решение</x:v>
      </x:c>
      <x:c r="S1147" s="30"/>
      <x:c r="T1147" s="30"/>
      <x:c r="U1147" s="30" t="str">
        <x:v>Расхождений не обнаружено.</x:v>
      </x:c>
      <x:c r="V1147" s="87" t="str">
        <x:v>VERIFIED</x:v>
      </x:c>
      <x:c r="W1147" s="87" t="str">
        <x:v>PDF варианта, задание 25</x:v>
      </x:c>
      <x:c r="X1147" s="87"/>
      <x:c r="Y1147" s="87"/>
      <x:c r="Z1147" s="87"/>
      <x:c r="AA1147" s="87"/>
      <x:c r="AB1147" s="87"/>
      <x:c r="AC1147" s="87"/>
      <x:c r="AD1147" s="87"/>
      <x:c r="AE1147" s="87"/>
      <x:c r="AF1147" s="87"/>
      <x:c r="AG1147" s="87"/>
      <x:c r="AH1147" s="87"/>
      <x:c r="AI1147" s="30"/>
      <x:c r="AJ1147" s="87" t="str">
        <x:v>master</x:v>
      </x:c>
      <x:c r="AK1147" s="87" t="str">
        <x:v>master-v0.81</x:v>
      </x:c>
      <x:c r="AL1147" s="87" t="str">
        <x:v>statgrad_master_base_v0_81_final(2).xlsx</x:v>
      </x:c>
      <x:c r="AM1147" s="87" t="str">
        <x:v>PHYS_Mar_V3</x:v>
      </x:c>
      <x:c r="AN1147" s="87" t="n">
        <x:v>26</x:v>
      </x:c>
    </x:row>
    <x:row r="1148">
      <x:c r="A1148" s="87" t="n">
        <x:v>1147</x:v>
      </x:c>
      <x:c r="B1148" s="87" t="str">
        <x:v>MAR-PHYS-V3-026</x:v>
      </x:c>
      <x:c r="C1148" s="87" t="str">
        <x:v>СтатГрад</x:v>
      </x:c>
      <x:c r="D1148" s="87" t="str">
        <x:v>Март 2026</x:v>
      </x:c>
      <x:c r="E1148" s="87"/>
      <x:c r="F1148" s="87"/>
      <x:c r="G1148" s="87" t="str">
        <x:v>Физика</x:v>
      </x:c>
      <x:c r="H1148" s="87" t="n">
        <x:v>11</x:v>
      </x:c>
      <x:c r="I1148" s="87" t="str">
        <x:v>ТР №4</x:v>
      </x:c>
      <x:c r="J1148" s="87" t="str">
        <x:v>ФИ2510403</x:v>
      </x:c>
      <x:c r="K1148" s="87" t="n">
        <x:v>26</x:v>
      </x:c>
      <x:c r="L1148" s="87" t="str">
        <x:v>Развёрнутый ответ: упругий удар и пружина</x:v>
      </x:c>
      <x:c r="M1148" s="30" t="str">
        <x:v>Шарик 80 г упруго ударяет брусок массой 10m; k=2000 Н/м, максимальное сжатие 4 см. Найти скорость шарика.</x:v>
      </x:c>
      <x:c r="N1148" s="30" t="str">
        <x:v>11 м/с</x:v>
      </x:c>
      <x:c r="O1148" s="30" t="str">
        <x:v>По энергии бруска и пружины V=x√(k/M)=0,04√(2000/0,8)=2 м/с. Для упругого удара по покоящемуся бруску V=2m v₀/(m+10m)=2v₀/11; следовательно, v₀=11 м/с.</x:v>
      </x:c>
      <x:c r="P1148" s="30" t="str">
        <x:v>Последовательно применены законы сохранения для удара и движения бруска с пружиной.</x:v>
      </x:c>
      <x:c r="Q1148" s="30"/>
      <x:c r="R1148" s="30" t="str">
        <x:v>Полный PDF задания + независимое решение</x:v>
      </x:c>
      <x:c r="S1148" s="30"/>
      <x:c r="T1148" s="30"/>
      <x:c r="U1148" s="30" t="str">
        <x:v>Расхождений не обнаружено.</x:v>
      </x:c>
      <x:c r="V1148" s="87" t="str">
        <x:v>VERIFIED</x:v>
      </x:c>
      <x:c r="W1148" s="87" t="str">
        <x:v>PDF варианта, задание 26</x:v>
      </x:c>
      <x:c r="X1148" s="87"/>
      <x:c r="Y1148" s="87"/>
      <x:c r="Z1148" s="87"/>
      <x:c r="AA1148" s="87"/>
      <x:c r="AB1148" s="87"/>
      <x:c r="AC1148" s="87"/>
      <x:c r="AD1148" s="87"/>
      <x:c r="AE1148" s="87"/>
      <x:c r="AF1148" s="87"/>
      <x:c r="AG1148" s="87"/>
      <x:c r="AH1148" s="87"/>
      <x:c r="AI1148" s="30"/>
      <x:c r="AJ1148" s="87" t="str">
        <x:v>master</x:v>
      </x:c>
      <x:c r="AK1148" s="87" t="str">
        <x:v>master-v0.81</x:v>
      </x:c>
      <x:c r="AL1148" s="87" t="str">
        <x:v>statgrad_master_base_v0_81_final(2).xlsx</x:v>
      </x:c>
      <x:c r="AM1148" s="87" t="str">
        <x:v>PHYS_Mar_V3</x:v>
      </x:c>
      <x:c r="AN1148" s="87" t="n">
        <x:v>27</x:v>
      </x:c>
    </x:row>
    <x:row r="1149">
      <x:c r="A1149" s="87" t="n">
        <x:v>1148</x:v>
      </x:c>
      <x:c r="B1149" s="87" t="str">
        <x:v>MAR-PHYS-V4-001</x:v>
      </x:c>
      <x:c r="C1149" s="87" t="str">
        <x:v>СтатГрад</x:v>
      </x:c>
      <x:c r="D1149" s="87" t="str">
        <x:v>Март 2026</x:v>
      </x:c>
      <x:c r="E1149" s="87"/>
      <x:c r="F1149" s="87"/>
      <x:c r="G1149" s="87" t="str">
        <x:v>Физика</x:v>
      </x:c>
      <x:c r="H1149" s="87" t="n">
        <x:v>11</x:v>
      </x:c>
      <x:c r="I1149" s="87" t="str">
        <x:v>ТР №4</x:v>
      </x:c>
      <x:c r="J1149" s="87" t="str">
        <x:v>ФИ2510404</x:v>
      </x:c>
      <x:c r="K1149" s="87" t="n">
        <x:v>1</x:v>
      </x:c>
      <x:c r="L1149" s="87" t="str">
        <x:v>Кинематика: график скорости</x:v>
      </x:c>
      <x:c r="M1149" s="30" t="str">
        <x:v>По графику vₓ(t) определить проекцию ускорения на интервале 16–22 с.</x:v>
      </x:c>
      <x:c r="N1149" s="30" t="str">
        <x:v>2,5</x:v>
      </x:c>
      <x:c r="O1149" s="30" t="str">
        <x:v>v(16)=−10 м/с, v(22)=5 м/с; aₓ=(5−(−10))/6=2,5 м/с².</x:v>
      </x:c>
      <x:c r="P1149" s="30" t="str">
        <x:v>Наклон возрастающей прямой проверен по узлам координатной сетки.</x:v>
      </x:c>
      <x:c r="Q1149" s="30"/>
      <x:c r="R1149" s="30" t="str">
        <x:v>Полный PDF задания + независимое решение</x:v>
      </x:c>
      <x:c r="S1149" s="30"/>
      <x:c r="T1149" s="30"/>
      <x:c r="U1149" s="30" t="str">
        <x:v>Расхождений не обнаружено.</x:v>
      </x:c>
      <x:c r="V1149" s="87" t="str">
        <x:v>VERIFIED</x:v>
      </x:c>
      <x:c r="W1149" s="87" t="str">
        <x:v>PDF варианта, задание 1</x:v>
      </x:c>
      <x:c r="X1149" s="87"/>
      <x:c r="Y1149" s="87"/>
      <x:c r="Z1149" s="87"/>
      <x:c r="AA1149" s="87"/>
      <x:c r="AB1149" s="87"/>
      <x:c r="AC1149" s="87"/>
      <x:c r="AD1149" s="87"/>
      <x:c r="AE1149" s="87"/>
      <x:c r="AF1149" s="87"/>
      <x:c r="AG1149" s="87"/>
      <x:c r="AH1149" s="87"/>
      <x:c r="AI1149" s="30"/>
      <x:c r="AJ1149" s="87" t="str">
        <x:v>master</x:v>
      </x:c>
      <x:c r="AK1149" s="87" t="str">
        <x:v>master-v0.81</x:v>
      </x:c>
      <x:c r="AL1149" s="87" t="str">
        <x:v>statgrad_master_base_v0_81_final(2).xlsx</x:v>
      </x:c>
      <x:c r="AM1149" s="87" t="str">
        <x:v>PHYS_Mar_V4</x:v>
      </x:c>
      <x:c r="AN1149" s="87" t="n">
        <x:v>2</x:v>
      </x:c>
    </x:row>
    <x:row r="1150">
      <x:c r="A1150" s="87" t="n">
        <x:v>1149</x:v>
      </x:c>
      <x:c r="B1150" s="87" t="str">
        <x:v>MAR-PHYS-V4-002</x:v>
      </x:c>
      <x:c r="C1150" s="87" t="str">
        <x:v>СтатГрад</x:v>
      </x:c>
      <x:c r="D1150" s="87" t="str">
        <x:v>Март 2026</x:v>
      </x:c>
      <x:c r="E1150" s="87"/>
      <x:c r="F1150" s="87"/>
      <x:c r="G1150" s="87" t="str">
        <x:v>Физика</x:v>
      </x:c>
      <x:c r="H1150" s="87" t="n">
        <x:v>11</x:v>
      </x:c>
      <x:c r="I1150" s="87" t="str">
        <x:v>ТР №4</x:v>
      </x:c>
      <x:c r="J1150" s="87" t="str">
        <x:v>ФИ2510404</x:v>
      </x:c>
      <x:c r="K1150" s="87" t="n">
        <x:v>2</x:v>
      </x:c>
      <x:c r="L1150" s="87" t="str">
        <x:v>Закон всемирного тяготения</x:v>
      </x:c>
      <x:c r="M1150" s="30" t="str">
        <x:v>F₁=2,25F₂ для спутников одинаковой массы. Найти R₂/R₁.</x:v>
      </x:c>
      <x:c r="N1150" s="30" t="str">
        <x:v>1,5</x:v>
      </x:c>
      <x:c r="O1150" s="30" t="str">
        <x:v>F∝1/R², поэтому F₁/F₂=(R₂/R₁)²=2,25; R₂/R₁=1,5.</x:v>
      </x:c>
      <x:c r="P1150" s="30" t="str">
        <x:v>F∝1/R², поэтому F₁/F₂=(R₂/R₁)²=2,25; R₂/R₁=1,5.</x:v>
      </x:c>
      <x:c r="Q1150" s="30"/>
      <x:c r="R1150" s="30" t="str">
        <x:v>Полный PDF задания + независимое решение</x:v>
      </x:c>
      <x:c r="S1150" s="30"/>
      <x:c r="T1150" s="30"/>
      <x:c r="U1150" s="30" t="str">
        <x:v>Расхождений не обнаружено.</x:v>
      </x:c>
      <x:c r="V1150" s="87" t="str">
        <x:v>VERIFIED</x:v>
      </x:c>
      <x:c r="W1150" s="87" t="str">
        <x:v>PDF варианта, задание 2</x:v>
      </x:c>
      <x:c r="X1150" s="87"/>
      <x:c r="Y1150" s="87"/>
      <x:c r="Z1150" s="87"/>
      <x:c r="AA1150" s="87"/>
      <x:c r="AB1150" s="87"/>
      <x:c r="AC1150" s="87"/>
      <x:c r="AD1150" s="87"/>
      <x:c r="AE1150" s="87"/>
      <x:c r="AF1150" s="87"/>
      <x:c r="AG1150" s="87"/>
      <x:c r="AH1150" s="87"/>
      <x:c r="AI1150" s="30"/>
      <x:c r="AJ1150" s="87" t="str">
        <x:v>master</x:v>
      </x:c>
      <x:c r="AK1150" s="87" t="str">
        <x:v>master-v0.81</x:v>
      </x:c>
      <x:c r="AL1150" s="87" t="str">
        <x:v>statgrad_master_base_v0_81_final(2).xlsx</x:v>
      </x:c>
      <x:c r="AM1150" s="87" t="str">
        <x:v>PHYS_Mar_V4</x:v>
      </x:c>
      <x:c r="AN1150" s="87" t="n">
        <x:v>3</x:v>
      </x:c>
    </x:row>
    <x:row r="1151">
      <x:c r="A1151" s="87" t="n">
        <x:v>1150</x:v>
      </x:c>
      <x:c r="B1151" s="87" t="str">
        <x:v>MAR-PHYS-V4-003</x:v>
      </x:c>
      <x:c r="C1151" s="87" t="str">
        <x:v>СтатГрад</x:v>
      </x:c>
      <x:c r="D1151" s="87" t="str">
        <x:v>Март 2026</x:v>
      </x:c>
      <x:c r="E1151" s="87"/>
      <x:c r="F1151" s="87"/>
      <x:c r="G1151" s="87" t="str">
        <x:v>Физика</x:v>
      </x:c>
      <x:c r="H1151" s="87" t="n">
        <x:v>11</x:v>
      </x:c>
      <x:c r="I1151" s="87" t="str">
        <x:v>ТР №4</x:v>
      </x:c>
      <x:c r="J1151" s="87" t="str">
        <x:v>ФИ2510404</x:v>
      </x:c>
      <x:c r="K1151" s="87" t="n">
        <x:v>3</x:v>
      </x:c>
      <x:c r="L1151" s="87" t="str">
        <x:v>Закон сохранения энергии</x:v>
      </x:c>
      <x:c r="M1151" s="30" t="str">
        <x:v>Камень массой 0,5 кг падает; у дна K=45 Дж, потери 8 Дж. Найти высоту.</x:v>
      </x:c>
      <x:c r="N1151" s="30" t="str">
        <x:v>10,6</x:v>
      </x:c>
      <x:c r="O1151" s="30" t="str">
        <x:v>mgh=45+8=53 Дж; h=53/(0,5·10)=10,6 м.</x:v>
      </x:c>
      <x:c r="P1151" s="30" t="str">
        <x:v>mgh=45+8=53 Дж; h=53/(0,5·10)=10,6 м.</x:v>
      </x:c>
      <x:c r="Q1151" s="30"/>
      <x:c r="R1151" s="30" t="str">
        <x:v>Полный PDF задания + независимое решение</x:v>
      </x:c>
      <x:c r="S1151" s="30"/>
      <x:c r="T1151" s="30"/>
      <x:c r="U1151" s="30" t="str">
        <x:v>Расхождений не обнаружено.</x:v>
      </x:c>
      <x:c r="V1151" s="87" t="str">
        <x:v>VERIFIED</x:v>
      </x:c>
      <x:c r="W1151" s="87" t="str">
        <x:v>PDF варианта, задание 3</x:v>
      </x:c>
      <x:c r="X1151" s="87"/>
      <x:c r="Y1151" s="87"/>
      <x:c r="Z1151" s="87"/>
      <x:c r="AA1151" s="87"/>
      <x:c r="AB1151" s="87"/>
      <x:c r="AC1151" s="87"/>
      <x:c r="AD1151" s="87"/>
      <x:c r="AE1151" s="87"/>
      <x:c r="AF1151" s="87"/>
      <x:c r="AG1151" s="87"/>
      <x:c r="AH1151" s="87"/>
      <x:c r="AI1151" s="30"/>
      <x:c r="AJ1151" s="87" t="str">
        <x:v>master</x:v>
      </x:c>
      <x:c r="AK1151" s="87" t="str">
        <x:v>master-v0.81</x:v>
      </x:c>
      <x:c r="AL1151" s="87" t="str">
        <x:v>statgrad_master_base_v0_81_final(2).xlsx</x:v>
      </x:c>
      <x:c r="AM1151" s="87" t="str">
        <x:v>PHYS_Mar_V4</x:v>
      </x:c>
      <x:c r="AN1151" s="87" t="n">
        <x:v>4</x:v>
      </x:c>
    </x:row>
    <x:row r="1152">
      <x:c r="A1152" s="87" t="n">
        <x:v>1151</x:v>
      </x:c>
      <x:c r="B1152" s="87" t="str">
        <x:v>MAR-PHYS-V4-004</x:v>
      </x:c>
      <x:c r="C1152" s="87" t="str">
        <x:v>СтатГрад</x:v>
      </x:c>
      <x:c r="D1152" s="87" t="str">
        <x:v>Март 2026</x:v>
      </x:c>
      <x:c r="E1152" s="87"/>
      <x:c r="F1152" s="87"/>
      <x:c r="G1152" s="87" t="str">
        <x:v>Физика</x:v>
      </x:c>
      <x:c r="H1152" s="87" t="n">
        <x:v>11</x:v>
      </x:c>
      <x:c r="I1152" s="87" t="str">
        <x:v>ТР №4</x:v>
      </x:c>
      <x:c r="J1152" s="87" t="str">
        <x:v>ФИ2510404</x:v>
      </x:c>
      <x:c r="K1152" s="87" t="n">
        <x:v>4</x:v>
      </x:c>
      <x:c r="L1152" s="87" t="str">
        <x:v>Математический маятник</x:v>
      </x:c>
      <x:c r="M1152" s="30" t="str">
        <x:v>После замены груза маятника на груз другой массы определить период.</x:v>
      </x:c>
      <x:c r="N1152" s="30" t="str">
        <x:v>1,25</x:v>
      </x:c>
      <x:c r="O1152" s="30" t="str">
        <x:v>Период математического маятника T=2π√(l/g) от массы груза не зависит.</x:v>
      </x:c>
      <x:c r="P1152" s="30" t="str">
        <x:v>Период математического маятника T=2π√(l/g) от массы груза не зависит.</x:v>
      </x:c>
      <x:c r="Q1152" s="30"/>
      <x:c r="R1152" s="30" t="str">
        <x:v>Полный PDF задания + независимое решение</x:v>
      </x:c>
      <x:c r="S1152" s="30"/>
      <x:c r="T1152" s="30"/>
      <x:c r="U1152" s="30" t="str">
        <x:v>Расхождений не обнаружено.</x:v>
      </x:c>
      <x:c r="V1152" s="87" t="str">
        <x:v>VERIFIED</x:v>
      </x:c>
      <x:c r="W1152" s="87" t="str">
        <x:v>PDF варианта, задание 4</x:v>
      </x:c>
      <x:c r="X1152" s="87"/>
      <x:c r="Y1152" s="87"/>
      <x:c r="Z1152" s="87"/>
      <x:c r="AA1152" s="87"/>
      <x:c r="AB1152" s="87"/>
      <x:c r="AC1152" s="87"/>
      <x:c r="AD1152" s="87"/>
      <x:c r="AE1152" s="87"/>
      <x:c r="AF1152" s="87"/>
      <x:c r="AG1152" s="87"/>
      <x:c r="AH1152" s="87"/>
      <x:c r="AI1152" s="30"/>
      <x:c r="AJ1152" s="87" t="str">
        <x:v>master</x:v>
      </x:c>
      <x:c r="AK1152" s="87" t="str">
        <x:v>master-v0.81</x:v>
      </x:c>
      <x:c r="AL1152" s="87" t="str">
        <x:v>statgrad_master_base_v0_81_final(2).xlsx</x:v>
      </x:c>
      <x:c r="AM1152" s="87" t="str">
        <x:v>PHYS_Mar_V4</x:v>
      </x:c>
      <x:c r="AN1152" s="87" t="n">
        <x:v>5</x:v>
      </x:c>
    </x:row>
    <x:row r="1153">
      <x:c r="A1153" s="87" t="n">
        <x:v>1152</x:v>
      </x:c>
      <x:c r="B1153" s="87" t="str">
        <x:v>MAR-PHYS-V4-005</x:v>
      </x:c>
      <x:c r="C1153" s="87" t="str">
        <x:v>СтатГрад</x:v>
      </x:c>
      <x:c r="D1153" s="87" t="str">
        <x:v>Март 2026</x:v>
      </x:c>
      <x:c r="E1153" s="87"/>
      <x:c r="F1153" s="87"/>
      <x:c r="G1153" s="87" t="str">
        <x:v>Физика</x:v>
      </x:c>
      <x:c r="H1153" s="87" t="n">
        <x:v>11</x:v>
      </x:c>
      <x:c r="I1153" s="87" t="str">
        <x:v>ТР №4</x:v>
      </x:c>
      <x:c r="J1153" s="87" t="str">
        <x:v>ФИ2510404</x:v>
      </x:c>
      <x:c r="K1153" s="87" t="n">
        <x:v>5</x:v>
      </x:c>
      <x:c r="L1153" s="87" t="str">
        <x:v>Неупругий удар</x:v>
      </x:c>
      <x:c r="M1153" s="30" t="str">
        <x:v>Для того же столкновения пули и бруска выбрать другой набор верных утверждений.</x:v>
      </x:c>
      <x:c r="N1153" s="30" t="str">
        <x:v>235</x:v>
      </x:c>
      <x:c r="O1153" s="30" t="str">
        <x:v>Общая скорость 2 м/с, импульс системы сохраняется, выделяется 0,3 Дж тепла. С формулировками варианта согласуются утверждения 2, 3 и 5.</x:v>
      </x:c>
      <x:c r="P1153" s="30" t="str">
        <x:v>Импульсы и энергии пересчитаны независимо.</x:v>
      </x:c>
      <x:c r="Q1153" s="30"/>
      <x:c r="R1153" s="30" t="str">
        <x:v>Полный PDF задания + независимое решение</x:v>
      </x:c>
      <x:c r="S1153" s="30"/>
      <x:c r="T1153" s="30"/>
      <x:c r="U1153" s="30" t="str">
        <x:v>Расхождений не обнаружено.</x:v>
      </x:c>
      <x:c r="V1153" s="87" t="str">
        <x:v>VERIFIED</x:v>
      </x:c>
      <x:c r="W1153" s="87" t="str">
        <x:v>PDF варианта, задание 5</x:v>
      </x:c>
      <x:c r="X1153" s="87"/>
      <x:c r="Y1153" s="87"/>
      <x:c r="Z1153" s="87"/>
      <x:c r="AA1153" s="87"/>
      <x:c r="AB1153" s="87"/>
      <x:c r="AC1153" s="87"/>
      <x:c r="AD1153" s="87"/>
      <x:c r="AE1153" s="87"/>
      <x:c r="AF1153" s="87"/>
      <x:c r="AG1153" s="87"/>
      <x:c r="AH1153" s="87"/>
      <x:c r="AI1153" s="30"/>
      <x:c r="AJ1153" s="87" t="str">
        <x:v>master</x:v>
      </x:c>
      <x:c r="AK1153" s="87" t="str">
        <x:v>master-v0.81</x:v>
      </x:c>
      <x:c r="AL1153" s="87" t="str">
        <x:v>statgrad_master_base_v0_81_final(2).xlsx</x:v>
      </x:c>
      <x:c r="AM1153" s="87" t="str">
        <x:v>PHYS_Mar_V4</x:v>
      </x:c>
      <x:c r="AN1153" s="87" t="n">
        <x:v>6</x:v>
      </x:c>
    </x:row>
    <x:row r="1154">
      <x:c r="A1154" s="87" t="n">
        <x:v>1153</x:v>
      </x:c>
      <x:c r="B1154" s="87" t="str">
        <x:v>MAR-PHYS-V4-006</x:v>
      </x:c>
      <x:c r="C1154" s="87" t="str">
        <x:v>СтатГрад</x:v>
      </x:c>
      <x:c r="D1154" s="87" t="str">
        <x:v>Март 2026</x:v>
      </x:c>
      <x:c r="E1154" s="87"/>
      <x:c r="F1154" s="87"/>
      <x:c r="G1154" s="87" t="str">
        <x:v>Физика</x:v>
      </x:c>
      <x:c r="H1154" s="87" t="n">
        <x:v>11</x:v>
      </x:c>
      <x:c r="I1154" s="87" t="str">
        <x:v>ТР №4</x:v>
      </x:c>
      <x:c r="J1154" s="87" t="str">
        <x:v>ФИ2510404</x:v>
      </x:c>
      <x:c r="K1154" s="87" t="n">
        <x:v>6</x:v>
      </x:c>
      <x:c r="L1154" s="87" t="str">
        <x:v>Графики движения</x:v>
      </x:c>
      <x:c r="M1154" s="30" t="str">
        <x:v>Для x=−4−2t сопоставить графики с перемещением и импульсом.</x:v>
      </x:c>
      <x:c r="N1154" s="30" t="str">
        <x:v>12</x:v>
      </x:c>
      <x:c r="O1154" s="30" t="str">
        <x:v>Перемещение Δx=−2t — линейно убывает; импульс p=mv постоянен и отрицателен. Получается 1 и 2.</x:v>
      </x:c>
      <x:c r="P1154" s="30" t="str">
        <x:v>Перемещение Δx=−2t — линейно убывает; импульс p=mv постоянен и отрицателен. Получается 1 и 2.</x:v>
      </x:c>
      <x:c r="Q1154" s="30"/>
      <x:c r="R1154" s="30" t="str">
        <x:v>Полный PDF задания + независимое решение</x:v>
      </x:c>
      <x:c r="S1154" s="30"/>
      <x:c r="T1154" s="30"/>
      <x:c r="U1154" s="30" t="str">
        <x:v>Расхождений не обнаружено.</x:v>
      </x:c>
      <x:c r="V1154" s="87" t="str">
        <x:v>VERIFIED</x:v>
      </x:c>
      <x:c r="W1154" s="87" t="str">
        <x:v>PDF варианта, задание 6</x:v>
      </x:c>
      <x:c r="X1154" s="87"/>
      <x:c r="Y1154" s="87"/>
      <x:c r="Z1154" s="87"/>
      <x:c r="AA1154" s="87"/>
      <x:c r="AB1154" s="87"/>
      <x:c r="AC1154" s="87"/>
      <x:c r="AD1154" s="87"/>
      <x:c r="AE1154" s="87"/>
      <x:c r="AF1154" s="87"/>
      <x:c r="AG1154" s="87"/>
      <x:c r="AH1154" s="87"/>
      <x:c r="AI1154" s="30"/>
      <x:c r="AJ1154" s="87" t="str">
        <x:v>master</x:v>
      </x:c>
      <x:c r="AK1154" s="87" t="str">
        <x:v>master-v0.81</x:v>
      </x:c>
      <x:c r="AL1154" s="87" t="str">
        <x:v>statgrad_master_base_v0_81_final(2).xlsx</x:v>
      </x:c>
      <x:c r="AM1154" s="87" t="str">
        <x:v>PHYS_Mar_V4</x:v>
      </x:c>
      <x:c r="AN1154" s="87" t="n">
        <x:v>7</x:v>
      </x:c>
    </x:row>
    <x:row r="1155">
      <x:c r="A1155" s="87" t="n">
        <x:v>1154</x:v>
      </x:c>
      <x:c r="B1155" s="87" t="str">
        <x:v>MAR-PHYS-V4-007</x:v>
      </x:c>
      <x:c r="C1155" s="87" t="str">
        <x:v>СтатГрад</x:v>
      </x:c>
      <x:c r="D1155" s="87" t="str">
        <x:v>Март 2026</x:v>
      </x:c>
      <x:c r="E1155" s="87"/>
      <x:c r="F1155" s="87"/>
      <x:c r="G1155" s="87" t="str">
        <x:v>Физика</x:v>
      </x:c>
      <x:c r="H1155" s="87" t="n">
        <x:v>11</x:v>
      </x:c>
      <x:c r="I1155" s="87" t="str">
        <x:v>ТР №4</x:v>
      </x:c>
      <x:c r="J1155" s="87" t="str">
        <x:v>ФИ2510404</x:v>
      </x:c>
      <x:c r="K1155" s="87" t="n">
        <x:v>7</x:v>
      </x:c>
      <x:c r="L1155" s="87" t="str">
        <x:v>Уравнение Менделеева—Клапейрона</x:v>
      </x:c>
      <x:c r="M1155" s="30" t="str">
        <x:v>Температуру увеличить в 2 раза, объём уменьшить в 6 раз. Во сколько раз изменится давление?</x:v>
      </x:c>
      <x:c r="N1155" s="30" t="str">
        <x:v>12</x:v>
      </x:c>
      <x:c r="O1155" s="30" t="str">
        <x:v>p∝T/V; p₂/p₁=2/(1/6)=12.</x:v>
      </x:c>
      <x:c r="P1155" s="30" t="str">
        <x:v>p∝T/V; p₂/p₁=2/(1/6)=12.</x:v>
      </x:c>
      <x:c r="Q1155" s="30"/>
      <x:c r="R1155" s="30" t="str">
        <x:v>Полный PDF задания + независимое решение</x:v>
      </x:c>
      <x:c r="S1155" s="30"/>
      <x:c r="T1155" s="30"/>
      <x:c r="U1155" s="30" t="str">
        <x:v>Расхождений не обнаружено.</x:v>
      </x:c>
      <x:c r="V1155" s="87" t="str">
        <x:v>VERIFIED</x:v>
      </x:c>
      <x:c r="W1155" s="87" t="str">
        <x:v>PDF варианта, задание 7</x:v>
      </x:c>
      <x:c r="X1155" s="87"/>
      <x:c r="Y1155" s="87"/>
      <x:c r="Z1155" s="87"/>
      <x:c r="AA1155" s="87"/>
      <x:c r="AB1155" s="87"/>
      <x:c r="AC1155" s="87"/>
      <x:c r="AD1155" s="87"/>
      <x:c r="AE1155" s="87"/>
      <x:c r="AF1155" s="87"/>
      <x:c r="AG1155" s="87"/>
      <x:c r="AH1155" s="87"/>
      <x:c r="AI1155" s="30"/>
      <x:c r="AJ1155" s="87" t="str">
        <x:v>master</x:v>
      </x:c>
      <x:c r="AK1155" s="87" t="str">
        <x:v>master-v0.81</x:v>
      </x:c>
      <x:c r="AL1155" s="87" t="str">
        <x:v>statgrad_master_base_v0_81_final(2).xlsx</x:v>
      </x:c>
      <x:c r="AM1155" s="87" t="str">
        <x:v>PHYS_Mar_V4</x:v>
      </x:c>
      <x:c r="AN1155" s="87" t="n">
        <x:v>8</x:v>
      </x:c>
    </x:row>
    <x:row r="1156">
      <x:c r="A1156" s="87" t="n">
        <x:v>1155</x:v>
      </x:c>
      <x:c r="B1156" s="87" t="str">
        <x:v>MAR-PHYS-V4-008</x:v>
      </x:c>
      <x:c r="C1156" s="87" t="str">
        <x:v>СтатГрад</x:v>
      </x:c>
      <x:c r="D1156" s="87" t="str">
        <x:v>Март 2026</x:v>
      </x:c>
      <x:c r="E1156" s="87"/>
      <x:c r="F1156" s="87"/>
      <x:c r="G1156" s="87" t="str">
        <x:v>Физика</x:v>
      </x:c>
      <x:c r="H1156" s="87" t="n">
        <x:v>11</x:v>
      </x:c>
      <x:c r="I1156" s="87" t="str">
        <x:v>ТР №4</x:v>
      </x:c>
      <x:c r="J1156" s="87" t="str">
        <x:v>ФИ2510404</x:v>
      </x:c>
      <x:c r="K1156" s="87" t="n">
        <x:v>8</x:v>
      </x:c>
      <x:c r="L1156" s="87" t="str">
        <x:v>Работа газа</x:v>
      </x:c>
      <x:c r="M1156" s="30" t="str">
        <x:v>Газ изобарно расширяется при 150 кПа от 2 до 5 л. Найти работу газа.</x:v>
      </x:c>
      <x:c r="N1156" s="30" t="str">
        <x:v>450</x:v>
      </x:c>
      <x:c r="O1156" s="30" t="str">
        <x:v>A=pΔV=150000·0,003=450 Дж.</x:v>
      </x:c>
      <x:c r="P1156" s="30" t="str">
        <x:v>A=pΔV=150000·0,003=450 Дж.</x:v>
      </x:c>
      <x:c r="Q1156" s="30"/>
      <x:c r="R1156" s="30" t="str">
        <x:v>Полный PDF задания + независимое решение</x:v>
      </x:c>
      <x:c r="S1156" s="30"/>
      <x:c r="T1156" s="30"/>
      <x:c r="U1156" s="30" t="str">
        <x:v>Расхождений не обнаружено.</x:v>
      </x:c>
      <x:c r="V1156" s="87" t="str">
        <x:v>VERIFIED</x:v>
      </x:c>
      <x:c r="W1156" s="87" t="str">
        <x:v>PDF варианта, задание 8</x:v>
      </x:c>
      <x:c r="X1156" s="87"/>
      <x:c r="Y1156" s="87"/>
      <x:c r="Z1156" s="87"/>
      <x:c r="AA1156" s="87"/>
      <x:c r="AB1156" s="87"/>
      <x:c r="AC1156" s="87"/>
      <x:c r="AD1156" s="87"/>
      <x:c r="AE1156" s="87"/>
      <x:c r="AF1156" s="87"/>
      <x:c r="AG1156" s="87"/>
      <x:c r="AH1156" s="87"/>
      <x:c r="AI1156" s="30"/>
      <x:c r="AJ1156" s="87" t="str">
        <x:v>master</x:v>
      </x:c>
      <x:c r="AK1156" s="87" t="str">
        <x:v>master-v0.81</x:v>
      </x:c>
      <x:c r="AL1156" s="87" t="str">
        <x:v>statgrad_master_base_v0_81_final(2).xlsx</x:v>
      </x:c>
      <x:c r="AM1156" s="87" t="str">
        <x:v>PHYS_Mar_V4</x:v>
      </x:c>
      <x:c r="AN1156" s="87" t="n">
        <x:v>9</x:v>
      </x:c>
    </x:row>
    <x:row r="1157">
      <x:c r="A1157" s="87" t="n">
        <x:v>1156</x:v>
      </x:c>
      <x:c r="B1157" s="87" t="str">
        <x:v>MAR-PHYS-V4-009</x:v>
      </x:c>
      <x:c r="C1157" s="87" t="str">
        <x:v>СтатГрад</x:v>
      </x:c>
      <x:c r="D1157" s="87" t="str">
        <x:v>Март 2026</x:v>
      </x:c>
      <x:c r="E1157" s="87"/>
      <x:c r="F1157" s="87"/>
      <x:c r="G1157" s="87" t="str">
        <x:v>Физика</x:v>
      </x:c>
      <x:c r="H1157" s="87" t="n">
        <x:v>11</x:v>
      </x:c>
      <x:c r="I1157" s="87" t="str">
        <x:v>ТР №4</x:v>
      </x:c>
      <x:c r="J1157" s="87" t="str">
        <x:v>ФИ2510404</x:v>
      </x:c>
      <x:c r="K1157" s="87" t="n">
        <x:v>9</x:v>
      </x:c>
      <x:c r="L1157" s="87" t="str">
        <x:v>Смесь идеальных газов</x:v>
      </x:c>
      <x:c r="M1157" s="30" t="str">
        <x:v>Для изменения смеси He и Ar выбрать верные утверждения второй формулировки.</x:v>
      </x:c>
      <x:c r="N1157" s="30" t="str">
        <x:v>134</x:v>
      </x:c>
      <x:c r="O1157" s="30" t="str">
        <x:v>После преобразования состава и при заданных условиях истинны утверждения 1, 3 и 4.</x:v>
      </x:c>
      <x:c r="P1157" s="30" t="str">
        <x:v>Доли компонентов, средняя молярная масса и термодинамические величины пересчитаны.</x:v>
      </x:c>
      <x:c r="Q1157" s="30"/>
      <x:c r="R1157" s="30" t="str">
        <x:v>Полный PDF задания + независимое решение</x:v>
      </x:c>
      <x:c r="S1157" s="30"/>
      <x:c r="T1157" s="30"/>
      <x:c r="U1157" s="30" t="str">
        <x:v>Расхождений не обнаружено.</x:v>
      </x:c>
      <x:c r="V1157" s="87" t="str">
        <x:v>VERIFIED</x:v>
      </x:c>
      <x:c r="W1157" s="87" t="str">
        <x:v>PDF варианта, задание 9</x:v>
      </x:c>
      <x:c r="X1157" s="87"/>
      <x:c r="Y1157" s="87"/>
      <x:c r="Z1157" s="87"/>
      <x:c r="AA1157" s="87"/>
      <x:c r="AB1157" s="87"/>
      <x:c r="AC1157" s="87"/>
      <x:c r="AD1157" s="87"/>
      <x:c r="AE1157" s="87"/>
      <x:c r="AF1157" s="87"/>
      <x:c r="AG1157" s="87"/>
      <x:c r="AH1157" s="87"/>
      <x:c r="AI1157" s="30"/>
      <x:c r="AJ1157" s="87" t="str">
        <x:v>master</x:v>
      </x:c>
      <x:c r="AK1157" s="87" t="str">
        <x:v>master-v0.81</x:v>
      </x:c>
      <x:c r="AL1157" s="87" t="str">
        <x:v>statgrad_master_base_v0_81_final(2).xlsx</x:v>
      </x:c>
      <x:c r="AM1157" s="87" t="str">
        <x:v>PHYS_Mar_V4</x:v>
      </x:c>
      <x:c r="AN1157" s="87" t="n">
        <x:v>10</x:v>
      </x:c>
    </x:row>
    <x:row r="1158">
      <x:c r="A1158" s="87" t="n">
        <x:v>1157</x:v>
      </x:c>
      <x:c r="B1158" s="87" t="str">
        <x:v>MAR-PHYS-V4-010</x:v>
      </x:c>
      <x:c r="C1158" s="87" t="str">
        <x:v>СтатГрад</x:v>
      </x:c>
      <x:c r="D1158" s="87" t="str">
        <x:v>Март 2026</x:v>
      </x:c>
      <x:c r="E1158" s="87"/>
      <x:c r="F1158" s="87"/>
      <x:c r="G1158" s="87" t="str">
        <x:v>Физика</x:v>
      </x:c>
      <x:c r="H1158" s="87" t="n">
        <x:v>11</x:v>
      </x:c>
      <x:c r="I1158" s="87" t="str">
        <x:v>ТР №4</x:v>
      </x:c>
      <x:c r="J1158" s="87" t="str">
        <x:v>ФИ2510404</x:v>
      </x:c>
      <x:c r="K1158" s="87" t="n">
        <x:v>10</x:v>
      </x:c>
      <x:c r="L1158" s="87" t="str">
        <x:v>Формулы МКТ</x:v>
      </x:c>
      <x:c r="M1158" s="30" t="str">
        <x:v>Сопоставить выражения νRT/V и 3pV/2 с физическими величинами.</x:v>
      </x:c>
      <x:c r="N1158" s="30" t="str">
        <x:v>14</x:v>
      </x:c>
      <x:c r="O1158" s="30" t="str">
        <x:v>νRT/V=p — давление; 3pV/2=U одноатомного идеального газа — внутренняя энергия.</x:v>
      </x:c>
      <x:c r="P1158" s="30" t="str">
        <x:v>νRT/V=p — давление; 3pV/2=U одноатомного идеального газа — внутренняя энергия.</x:v>
      </x:c>
      <x:c r="Q1158" s="30"/>
      <x:c r="R1158" s="30" t="str">
        <x:v>Полный PDF задания + независимое решение</x:v>
      </x:c>
      <x:c r="S1158" s="30"/>
      <x:c r="T1158" s="30"/>
      <x:c r="U1158" s="30" t="str">
        <x:v>Расхождений не обнаружено.</x:v>
      </x:c>
      <x:c r="V1158" s="87" t="str">
        <x:v>VERIFIED</x:v>
      </x:c>
      <x:c r="W1158" s="87" t="str">
        <x:v>PDF варианта, задание 10</x:v>
      </x:c>
      <x:c r="X1158" s="87"/>
      <x:c r="Y1158" s="87"/>
      <x:c r="Z1158" s="87"/>
      <x:c r="AA1158" s="87"/>
      <x:c r="AB1158" s="87"/>
      <x:c r="AC1158" s="87"/>
      <x:c r="AD1158" s="87"/>
      <x:c r="AE1158" s="87"/>
      <x:c r="AF1158" s="87"/>
      <x:c r="AG1158" s="87"/>
      <x:c r="AH1158" s="87"/>
      <x:c r="AI1158" s="30"/>
      <x:c r="AJ1158" s="87" t="str">
        <x:v>master</x:v>
      </x:c>
      <x:c r="AK1158" s="87" t="str">
        <x:v>master-v0.81</x:v>
      </x:c>
      <x:c r="AL1158" s="87" t="str">
        <x:v>statgrad_master_base_v0_81_final(2).xlsx</x:v>
      </x:c>
      <x:c r="AM1158" s="87" t="str">
        <x:v>PHYS_Mar_V4</x:v>
      </x:c>
      <x:c r="AN1158" s="87" t="n">
        <x:v>11</x:v>
      </x:c>
    </x:row>
    <x:row r="1159">
      <x:c r="A1159" s="87" t="n">
        <x:v>1158</x:v>
      </x:c>
      <x:c r="B1159" s="87" t="str">
        <x:v>MAR-PHYS-V4-011</x:v>
      </x:c>
      <x:c r="C1159" s="87" t="str">
        <x:v>СтатГрад</x:v>
      </x:c>
      <x:c r="D1159" s="87" t="str">
        <x:v>Март 2026</x:v>
      </x:c>
      <x:c r="E1159" s="87"/>
      <x:c r="F1159" s="87"/>
      <x:c r="G1159" s="87" t="str">
        <x:v>Физика</x:v>
      </x:c>
      <x:c r="H1159" s="87" t="n">
        <x:v>11</x:v>
      </x:c>
      <x:c r="I1159" s="87" t="str">
        <x:v>ТР №4</x:v>
      </x:c>
      <x:c r="J1159" s="87" t="str">
        <x:v>ФИ2510404</x:v>
      </x:c>
      <x:c r="K1159" s="87" t="n">
        <x:v>11</x:v>
      </x:c>
      <x:c r="L1159" s="87" t="str">
        <x:v>Закон Кулона</x:v>
      </x:c>
      <x:c r="M1159" s="30" t="str">
        <x:v>По изменению зарядов и расстояния определить коэффициент k в условии задачи.</x:v>
      </x:c>
      <x:c r="N1159" s="30" t="str">
        <x:v>1,5</x:v>
      </x:c>
      <x:c r="O1159" s="30" t="str">
        <x:v>Из отношения сил 6=4,5·3/k² получаем k²=2,25 и k=1,5.</x:v>
      </x:c>
      <x:c r="P1159" s="30" t="str">
        <x:v>Из отношения сил 6=4,5·3/k² получаем k²=2,25 и k=1,5.</x:v>
      </x:c>
      <x:c r="Q1159" s="30"/>
      <x:c r="R1159" s="30" t="str">
        <x:v>Полный PDF задания + независимое решение</x:v>
      </x:c>
      <x:c r="S1159" s="30"/>
      <x:c r="T1159" s="30"/>
      <x:c r="U1159" s="30" t="str">
        <x:v>Расхождений не обнаружено.</x:v>
      </x:c>
      <x:c r="V1159" s="87" t="str">
        <x:v>VERIFIED</x:v>
      </x:c>
      <x:c r="W1159" s="87" t="str">
        <x:v>PDF варианта, задание 11</x:v>
      </x:c>
      <x:c r="X1159" s="87"/>
      <x:c r="Y1159" s="87"/>
      <x:c r="Z1159" s="87"/>
      <x:c r="AA1159" s="87"/>
      <x:c r="AB1159" s="87"/>
      <x:c r="AC1159" s="87"/>
      <x:c r="AD1159" s="87"/>
      <x:c r="AE1159" s="87"/>
      <x:c r="AF1159" s="87"/>
      <x:c r="AG1159" s="87"/>
      <x:c r="AH1159" s="87"/>
      <x:c r="AI1159" s="30"/>
      <x:c r="AJ1159" s="87" t="str">
        <x:v>master</x:v>
      </x:c>
      <x:c r="AK1159" s="87" t="str">
        <x:v>master-v0.81</x:v>
      </x:c>
      <x:c r="AL1159" s="87" t="str">
        <x:v>statgrad_master_base_v0_81_final(2).xlsx</x:v>
      </x:c>
      <x:c r="AM1159" s="87" t="str">
        <x:v>PHYS_Mar_V4</x:v>
      </x:c>
      <x:c r="AN1159" s="87" t="n">
        <x:v>12</x:v>
      </x:c>
    </x:row>
    <x:row r="1160">
      <x:c r="A1160" s="87" t="n">
        <x:v>1159</x:v>
      </x:c>
      <x:c r="B1160" s="87" t="str">
        <x:v>MAR-PHYS-V4-012</x:v>
      </x:c>
      <x:c r="C1160" s="87" t="str">
        <x:v>СтатГрад</x:v>
      </x:c>
      <x:c r="D1160" s="87" t="str">
        <x:v>Март 2026</x:v>
      </x:c>
      <x:c r="E1160" s="87"/>
      <x:c r="F1160" s="87"/>
      <x:c r="G1160" s="87" t="str">
        <x:v>Физика</x:v>
      </x:c>
      <x:c r="H1160" s="87" t="n">
        <x:v>11</x:v>
      </x:c>
      <x:c r="I1160" s="87" t="str">
        <x:v>ТР №4</x:v>
      </x:c>
      <x:c r="J1160" s="87" t="str">
        <x:v>ФИ2510404</x:v>
      </x:c>
      <x:c r="K1160" s="87" t="n">
        <x:v>12</x:v>
      </x:c>
      <x:c r="L1160" s="87" t="str">
        <x:v>Энергия магнитного поля</x:v>
      </x:c>
      <x:c r="M1160" s="30" t="str">
        <x:v>L=0,7 мГн, I=3 А. Найти энергию поля катушки в мДж.</x:v>
      </x:c>
      <x:c r="N1160" s="30" t="str">
        <x:v>3,15</x:v>
      </x:c>
      <x:c r="O1160" s="30" t="str">
        <x:v>W=LI²/2=0,7·10⁻³·9/2=3,15·10⁻³ Дж=3,15 мДж.</x:v>
      </x:c>
      <x:c r="P1160" s="30" t="str">
        <x:v>W=LI²/2=0,7·10⁻³·9/2=3,15·10⁻³ Дж=3,15 мДж.</x:v>
      </x:c>
      <x:c r="Q1160" s="30"/>
      <x:c r="R1160" s="30" t="str">
        <x:v>Полный PDF задания + независимое решение</x:v>
      </x:c>
      <x:c r="S1160" s="30"/>
      <x:c r="T1160" s="30"/>
      <x:c r="U1160" s="30" t="str">
        <x:v>Расхождений не обнаружено.</x:v>
      </x:c>
      <x:c r="V1160" s="87" t="str">
        <x:v>VERIFIED</x:v>
      </x:c>
      <x:c r="W1160" s="87" t="str">
        <x:v>PDF варианта, задание 12</x:v>
      </x:c>
      <x:c r="X1160" s="87"/>
      <x:c r="Y1160" s="87"/>
      <x:c r="Z1160" s="87"/>
      <x:c r="AA1160" s="87"/>
      <x:c r="AB1160" s="87"/>
      <x:c r="AC1160" s="87"/>
      <x:c r="AD1160" s="87"/>
      <x:c r="AE1160" s="87"/>
      <x:c r="AF1160" s="87"/>
      <x:c r="AG1160" s="87"/>
      <x:c r="AH1160" s="87"/>
      <x:c r="AI1160" s="30"/>
      <x:c r="AJ1160" s="87" t="str">
        <x:v>master</x:v>
      </x:c>
      <x:c r="AK1160" s="87" t="str">
        <x:v>master-v0.81</x:v>
      </x:c>
      <x:c r="AL1160" s="87" t="str">
        <x:v>statgrad_master_base_v0_81_final(2).xlsx</x:v>
      </x:c>
      <x:c r="AM1160" s="87" t="str">
        <x:v>PHYS_Mar_V4</x:v>
      </x:c>
      <x:c r="AN1160" s="87" t="n">
        <x:v>13</x:v>
      </x:c>
    </x:row>
    <x:row r="1161">
      <x:c r="A1161" s="87" t="n">
        <x:v>1160</x:v>
      </x:c>
      <x:c r="B1161" s="87" t="str">
        <x:v>MAR-PHYS-V4-013</x:v>
      </x:c>
      <x:c r="C1161" s="87" t="str">
        <x:v>СтатГрад</x:v>
      </x:c>
      <x:c r="D1161" s="87" t="str">
        <x:v>Март 2026</x:v>
      </x:c>
      <x:c r="E1161" s="87"/>
      <x:c r="F1161" s="87"/>
      <x:c r="G1161" s="87" t="str">
        <x:v>Физика</x:v>
      </x:c>
      <x:c r="H1161" s="87" t="n">
        <x:v>11</x:v>
      </x:c>
      <x:c r="I1161" s="87" t="str">
        <x:v>ТР №4</x:v>
      </x:c>
      <x:c r="J1161" s="87" t="str">
        <x:v>ФИ2510404</x:v>
      </x:c>
      <x:c r="K1161" s="87" t="n">
        <x:v>13</x:v>
      </x:c>
      <x:c r="L1161" s="87" t="str">
        <x:v>Плоское зеркало</x:v>
      </x:c>
      <x:c r="M1161" s="30" t="str">
        <x:v>Источник в 15 см от зеркала; зеркало отодвинули ещё на 4,8 см. Найти новое расстояние источник—изображение.</x:v>
      </x:c>
      <x:c r="N1161" s="30" t="str">
        <x:v>39,6</x:v>
      </x:c>
      <x:c r="O1161" s="30" t="str">
        <x:v>Новое расстояние до зеркала 19,8 см, поэтому источник—изображение равно 2·19,8=39,6 см.</x:v>
      </x:c>
      <x:c r="P1161" s="30" t="str">
        <x:v>Новое расстояние до зеркала 19,8 см, поэтому источник—изображение равно 2·19,8=39,6 см.</x:v>
      </x:c>
      <x:c r="Q1161" s="30"/>
      <x:c r="R1161" s="30" t="str">
        <x:v>Полный PDF задания + независимое решение</x:v>
      </x:c>
      <x:c r="S1161" s="30"/>
      <x:c r="T1161" s="30"/>
      <x:c r="U1161" s="30" t="str">
        <x:v>Расхождений не обнаружено.</x:v>
      </x:c>
      <x:c r="V1161" s="87" t="str">
        <x:v>VERIFIED</x:v>
      </x:c>
      <x:c r="W1161" s="87" t="str">
        <x:v>PDF варианта, задание 13</x:v>
      </x:c>
      <x:c r="X1161" s="87"/>
      <x:c r="Y1161" s="87"/>
      <x:c r="Z1161" s="87"/>
      <x:c r="AA1161" s="87"/>
      <x:c r="AB1161" s="87"/>
      <x:c r="AC1161" s="87"/>
      <x:c r="AD1161" s="87"/>
      <x:c r="AE1161" s="87"/>
      <x:c r="AF1161" s="87"/>
      <x:c r="AG1161" s="87"/>
      <x:c r="AH1161" s="87"/>
      <x:c r="AI1161" s="30"/>
      <x:c r="AJ1161" s="87" t="str">
        <x:v>master</x:v>
      </x:c>
      <x:c r="AK1161" s="87" t="str">
        <x:v>master-v0.81</x:v>
      </x:c>
      <x:c r="AL1161" s="87" t="str">
        <x:v>statgrad_master_base_v0_81_final(2).xlsx</x:v>
      </x:c>
      <x:c r="AM1161" s="87" t="str">
        <x:v>PHYS_Mar_V4</x:v>
      </x:c>
      <x:c r="AN1161" s="87" t="n">
        <x:v>14</x:v>
      </x:c>
    </x:row>
    <x:row r="1162">
      <x:c r="A1162" s="87" t="n">
        <x:v>1161</x:v>
      </x:c>
      <x:c r="B1162" s="87" t="str">
        <x:v>MAR-PHYS-V4-014</x:v>
      </x:c>
      <x:c r="C1162" s="87" t="str">
        <x:v>СтатГрад</x:v>
      </x:c>
      <x:c r="D1162" s="87" t="str">
        <x:v>Март 2026</x:v>
      </x:c>
      <x:c r="E1162" s="87"/>
      <x:c r="F1162" s="87"/>
      <x:c r="G1162" s="87" t="str">
        <x:v>Физика</x:v>
      </x:c>
      <x:c r="H1162" s="87" t="n">
        <x:v>11</x:v>
      </x:c>
      <x:c r="I1162" s="87" t="str">
        <x:v>ТР №4</x:v>
      </x:c>
      <x:c r="J1162" s="87" t="str">
        <x:v>ФИ2510404</x:v>
      </x:c>
      <x:c r="K1162" s="87" t="n">
        <x:v>14</x:v>
      </x:c>
      <x:c r="L1162" s="87" t="str">
        <x:v>Электромагнитная индукция</x:v>
      </x:c>
      <x:c r="M1162" s="30" t="str">
        <x:v>Проводящий стержень равномерно движется по рельсам с конденсатором в однородном поле. Выбрать верные утверждения.</x:v>
      </x:c>
      <x:c r="N1162" s="30" t="str">
        <x:v>25</x:v>
      </x:c>
      <x:c r="O1162" s="30" t="str">
        <x:v>Магнитный поток через контур возрастает, а ЭДС Blv и напряжение конденсатора постоянны. После зарядки ток равен нулю, энергия конденсатора не меняется. Верны 2 и 5.</x:v>
      </x:c>
      <x:c r="P1162" s="30" t="str">
        <x:v>Blv=0,5 В; q=CBlv=5 мкКл, что исключает предложенное значение заряда.</x:v>
      </x:c>
      <x:c r="Q1162" s="30"/>
      <x:c r="R1162" s="30" t="str">
        <x:v>Полный PDF задания + независимое решение</x:v>
      </x:c>
      <x:c r="S1162" s="30"/>
      <x:c r="T1162" s="30"/>
      <x:c r="U1162" s="30" t="str">
        <x:v>Расхождений не обнаружено.</x:v>
      </x:c>
      <x:c r="V1162" s="87" t="str">
        <x:v>VERIFIED</x:v>
      </x:c>
      <x:c r="W1162" s="87" t="str">
        <x:v>PDF варианта, задание 14</x:v>
      </x:c>
      <x:c r="X1162" s="87"/>
      <x:c r="Y1162" s="87"/>
      <x:c r="Z1162" s="87"/>
      <x:c r="AA1162" s="87"/>
      <x:c r="AB1162" s="87"/>
      <x:c r="AC1162" s="87"/>
      <x:c r="AD1162" s="87"/>
      <x:c r="AE1162" s="87"/>
      <x:c r="AF1162" s="87"/>
      <x:c r="AG1162" s="87"/>
      <x:c r="AH1162" s="87"/>
      <x:c r="AI1162" s="30"/>
      <x:c r="AJ1162" s="87" t="str">
        <x:v>master</x:v>
      </x:c>
      <x:c r="AK1162" s="87" t="str">
        <x:v>master-v0.81</x:v>
      </x:c>
      <x:c r="AL1162" s="87" t="str">
        <x:v>statgrad_master_base_v0_81_final(2).xlsx</x:v>
      </x:c>
      <x:c r="AM1162" s="87" t="str">
        <x:v>PHYS_Mar_V4</x:v>
      </x:c>
      <x:c r="AN1162" s="87" t="n">
        <x:v>15</x:v>
      </x:c>
    </x:row>
    <x:row r="1163">
      <x:c r="A1163" s="87" t="n">
        <x:v>1162</x:v>
      </x:c>
      <x:c r="B1163" s="87" t="str">
        <x:v>MAR-PHYS-V4-015</x:v>
      </x:c>
      <x:c r="C1163" s="87" t="str">
        <x:v>СтатГрад</x:v>
      </x:c>
      <x:c r="D1163" s="87" t="str">
        <x:v>Март 2026</x:v>
      </x:c>
      <x:c r="E1163" s="87"/>
      <x:c r="F1163" s="87"/>
      <x:c r="G1163" s="87" t="str">
        <x:v>Физика</x:v>
      </x:c>
      <x:c r="H1163" s="87" t="n">
        <x:v>11</x:v>
      </x:c>
      <x:c r="I1163" s="87" t="str">
        <x:v>ТР №4</x:v>
      </x:c>
      <x:c r="J1163" s="87" t="str">
        <x:v>ФИ2510404</x:v>
      </x:c>
      <x:c r="K1163" s="87" t="n">
        <x:v>15</x:v>
      </x:c>
      <x:c r="L1163" s="87" t="str">
        <x:v>Цепь постоянного тока</x:v>
      </x:c>
      <x:c r="M1163" s="30" t="str">
        <x:v>Напряжение уменьшить в 1,5 раза, площадь сечения увеличить в 3 раза. Определить изменения P и R.</x:v>
      </x:c>
      <x:c r="N1163" s="30" t="str">
        <x:v>21</x:v>
      </x:c>
      <x:c r="O1163" s="30" t="str">
        <x:v>R уменьшается в 3 раза. P=U²/R меняется в 3/1,5²=4/3 раза, то есть увеличивается. Ответ 2 и 1.</x:v>
      </x:c>
      <x:c r="P1163" s="30" t="str">
        <x:v>R уменьшается в 3 раза. P=U²/R меняется в 3/1,5²=4/3 раза, то есть увеличивается. Ответ 2 и 1.</x:v>
      </x:c>
      <x:c r="Q1163" s="30"/>
      <x:c r="R1163" s="30" t="str">
        <x:v>Полный PDF задания + независимое решение</x:v>
      </x:c>
      <x:c r="S1163" s="30"/>
      <x:c r="T1163" s="30"/>
      <x:c r="U1163" s="30" t="str">
        <x:v>Расхождений не обнаружено.</x:v>
      </x:c>
      <x:c r="V1163" s="87" t="str">
        <x:v>VERIFIED</x:v>
      </x:c>
      <x:c r="W1163" s="87" t="str">
        <x:v>PDF варианта, задание 15</x:v>
      </x:c>
      <x:c r="X1163" s="87"/>
      <x:c r="Y1163" s="87"/>
      <x:c r="Z1163" s="87"/>
      <x:c r="AA1163" s="87"/>
      <x:c r="AB1163" s="87"/>
      <x:c r="AC1163" s="87"/>
      <x:c r="AD1163" s="87"/>
      <x:c r="AE1163" s="87"/>
      <x:c r="AF1163" s="87"/>
      <x:c r="AG1163" s="87"/>
      <x:c r="AH1163" s="87"/>
      <x:c r="AI1163" s="30"/>
      <x:c r="AJ1163" s="87" t="str">
        <x:v>master</x:v>
      </x:c>
      <x:c r="AK1163" s="87" t="str">
        <x:v>master-v0.81</x:v>
      </x:c>
      <x:c r="AL1163" s="87" t="str">
        <x:v>statgrad_master_base_v0_81_final(2).xlsx</x:v>
      </x:c>
      <x:c r="AM1163" s="87" t="str">
        <x:v>PHYS_Mar_V4</x:v>
      </x:c>
      <x:c r="AN1163" s="87" t="n">
        <x:v>16</x:v>
      </x:c>
    </x:row>
    <x:row r="1164">
      <x:c r="A1164" s="87" t="n">
        <x:v>1163</x:v>
      </x:c>
      <x:c r="B1164" s="87" t="str">
        <x:v>MAR-PHYS-V4-016</x:v>
      </x:c>
      <x:c r="C1164" s="87" t="str">
        <x:v>СтатГрад</x:v>
      </x:c>
      <x:c r="D1164" s="87" t="str">
        <x:v>Март 2026</x:v>
      </x:c>
      <x:c r="E1164" s="87"/>
      <x:c r="F1164" s="87"/>
      <x:c r="G1164" s="87" t="str">
        <x:v>Физика</x:v>
      </x:c>
      <x:c r="H1164" s="87" t="n">
        <x:v>11</x:v>
      </x:c>
      <x:c r="I1164" s="87" t="str">
        <x:v>ТР №4</x:v>
      </x:c>
      <x:c r="J1164" s="87" t="str">
        <x:v>ФИ2510404</x:v>
      </x:c>
      <x:c r="K1164" s="87" t="n">
        <x:v>16</x:v>
      </x:c>
      <x:c r="L1164" s="87" t="str">
        <x:v>Ядерная физика</x:v>
      </x:c>
      <x:c r="M1164" s="30" t="str">
        <x:v>Найти число нейтронов в ядре ²²⁷Ac.</x:v>
      </x:c>
      <x:c r="N1164" s="30" t="str">
        <x:v>138</x:v>
      </x:c>
      <x:c r="O1164" s="30" t="str">
        <x:v>N=A−Z=227−89=138.</x:v>
      </x:c>
      <x:c r="P1164" s="30" t="str">
        <x:v>N=A−Z=227−89=138.</x:v>
      </x:c>
      <x:c r="Q1164" s="30"/>
      <x:c r="R1164" s="30" t="str">
        <x:v>Полный PDF задания + независимое решение</x:v>
      </x:c>
      <x:c r="S1164" s="30"/>
      <x:c r="T1164" s="30"/>
      <x:c r="U1164" s="30" t="str">
        <x:v>Расхождений не обнаружено.</x:v>
      </x:c>
      <x:c r="V1164" s="87" t="str">
        <x:v>VERIFIED</x:v>
      </x:c>
      <x:c r="W1164" s="87" t="str">
        <x:v>PDF варианта, задание 16</x:v>
      </x:c>
      <x:c r="X1164" s="87"/>
      <x:c r="Y1164" s="87"/>
      <x:c r="Z1164" s="87"/>
      <x:c r="AA1164" s="87"/>
      <x:c r="AB1164" s="87"/>
      <x:c r="AC1164" s="87"/>
      <x:c r="AD1164" s="87"/>
      <x:c r="AE1164" s="87"/>
      <x:c r="AF1164" s="87"/>
      <x:c r="AG1164" s="87"/>
      <x:c r="AH1164" s="87"/>
      <x:c r="AI1164" s="30"/>
      <x:c r="AJ1164" s="87" t="str">
        <x:v>master</x:v>
      </x:c>
      <x:c r="AK1164" s="87" t="str">
        <x:v>master-v0.81</x:v>
      </x:c>
      <x:c r="AL1164" s="87" t="str">
        <x:v>statgrad_master_base_v0_81_final(2).xlsx</x:v>
      </x:c>
      <x:c r="AM1164" s="87" t="str">
        <x:v>PHYS_Mar_V4</x:v>
      </x:c>
      <x:c r="AN1164" s="87" t="n">
        <x:v>17</x:v>
      </x:c>
    </x:row>
    <x:row r="1165">
      <x:c r="A1165" s="87" t="n">
        <x:v>1164</x:v>
      </x:c>
      <x:c r="B1165" s="87" t="str">
        <x:v>MAR-PHYS-V4-017</x:v>
      </x:c>
      <x:c r="C1165" s="87" t="str">
        <x:v>СтатГрад</x:v>
      </x:c>
      <x:c r="D1165" s="87" t="str">
        <x:v>Март 2026</x:v>
      </x:c>
      <x:c r="E1165" s="87"/>
      <x:c r="F1165" s="87"/>
      <x:c r="G1165" s="87" t="str">
        <x:v>Физика</x:v>
      </x:c>
      <x:c r="H1165" s="87" t="n">
        <x:v>11</x:v>
      </x:c>
      <x:c r="I1165" s="87" t="str">
        <x:v>ТР №4</x:v>
      </x:c>
      <x:c r="J1165" s="87" t="str">
        <x:v>ФИ2510404</x:v>
      </x:c>
      <x:c r="K1165" s="87" t="n">
        <x:v>17</x:v>
      </x:c>
      <x:c r="L1165" s="87" t="str">
        <x:v>Фотоны</x:v>
      </x:c>
      <x:c r="M1165" s="30" t="str">
        <x:v>Интенсивность света уменьшили, частоту увеличили. Определить изменения энергии и концентрации фотонов.</x:v>
      </x:c>
      <x:c r="N1165" s="30" t="str">
        <x:v>21</x:v>
      </x:c>
      <x:c r="O1165" s="30" t="str">
        <x:v>Энергия фотона hν увеличивается, концентрация фотонов уменьшается. В порядке величин варианта: 2 и 1.</x:v>
      </x:c>
      <x:c r="P1165" s="30" t="str">
        <x:v>Энергия фотона hν увеличивается, концентрация фотонов уменьшается. В порядке величин варианта: 2 и 1.</x:v>
      </x:c>
      <x:c r="Q1165" s="30"/>
      <x:c r="R1165" s="30" t="str">
        <x:v>Полный PDF задания + независимое решение</x:v>
      </x:c>
      <x:c r="S1165" s="30"/>
      <x:c r="T1165" s="30"/>
      <x:c r="U1165" s="30" t="str">
        <x:v>Расхождений не обнаружено.</x:v>
      </x:c>
      <x:c r="V1165" s="87" t="str">
        <x:v>VERIFIED</x:v>
      </x:c>
      <x:c r="W1165" s="87" t="str">
        <x:v>PDF варианта, задание 17</x:v>
      </x:c>
      <x:c r="X1165" s="87"/>
      <x:c r="Y1165" s="87"/>
      <x:c r="Z1165" s="87"/>
      <x:c r="AA1165" s="87"/>
      <x:c r="AB1165" s="87"/>
      <x:c r="AC1165" s="87"/>
      <x:c r="AD1165" s="87"/>
      <x:c r="AE1165" s="87"/>
      <x:c r="AF1165" s="87"/>
      <x:c r="AG1165" s="87"/>
      <x:c r="AH1165" s="87"/>
      <x:c r="AI1165" s="30"/>
      <x:c r="AJ1165" s="87" t="str">
        <x:v>master</x:v>
      </x:c>
      <x:c r="AK1165" s="87" t="str">
        <x:v>master-v0.81</x:v>
      </x:c>
      <x:c r="AL1165" s="87" t="str">
        <x:v>statgrad_master_base_v0_81_final(2).xlsx</x:v>
      </x:c>
      <x:c r="AM1165" s="87" t="str">
        <x:v>PHYS_Mar_V4</x:v>
      </x:c>
      <x:c r="AN1165" s="87" t="n">
        <x:v>18</x:v>
      </x:c>
    </x:row>
    <x:row r="1166">
      <x:c r="A1166" s="87" t="n">
        <x:v>1165</x:v>
      </x:c>
      <x:c r="B1166" s="87" t="str">
        <x:v>MAR-PHYS-V4-018</x:v>
      </x:c>
      <x:c r="C1166" s="87" t="str">
        <x:v>СтатГрад</x:v>
      </x:c>
      <x:c r="D1166" s="87" t="str">
        <x:v>Март 2026</x:v>
      </x:c>
      <x:c r="E1166" s="87"/>
      <x:c r="F1166" s="87"/>
      <x:c r="G1166" s="87" t="str">
        <x:v>Физика</x:v>
      </x:c>
      <x:c r="H1166" s="87" t="n">
        <x:v>11</x:v>
      </x:c>
      <x:c r="I1166" s="87" t="str">
        <x:v>ТР №4</x:v>
      </x:c>
      <x:c r="J1166" s="87" t="str">
        <x:v>ФИ2510404</x:v>
      </x:c>
      <x:c r="K1166" s="87" t="n">
        <x:v>18</x:v>
      </x:c>
      <x:c r="L1166" s="87" t="str">
        <x:v>Физические закономерности</x:v>
      </x:c>
      <x:c r="M1166" s="30" t="str">
        <x:v>Выбрать все верные утверждения общего характера.</x:v>
      </x:c>
      <x:c r="N1166" s="30" t="str">
        <x:v>234</x:v>
      </x:c>
      <x:c r="O1166" s="30" t="str">
        <x:v>Верны: U идеального одноатомного газа зависит только от T; скорость ЭМ-волн в вакууме равна c; фототок при фиксированных условиях растёт с интенсивностью. Ответ 234.</x:v>
      </x:c>
      <x:c r="P1166" s="30" t="str">
        <x:v>Верны: U идеального одноатомного газа зависит только от T; скорость ЭМ-волн в вакууме равна c; фототок при фиксированных условиях растёт с интенсивностью. Ответ 234.</x:v>
      </x:c>
      <x:c r="Q1166" s="30"/>
      <x:c r="R1166" s="30" t="str">
        <x:v>Полный PDF задания + независимое решение</x:v>
      </x:c>
      <x:c r="S1166" s="30"/>
      <x:c r="T1166" s="30"/>
      <x:c r="U1166" s="30" t="str">
        <x:v>Расхождений не обнаружено.</x:v>
      </x:c>
      <x:c r="V1166" s="87" t="str">
        <x:v>VERIFIED</x:v>
      </x:c>
      <x:c r="W1166" s="87" t="str">
        <x:v>PDF варианта, задание 18</x:v>
      </x:c>
      <x:c r="X1166" s="87"/>
      <x:c r="Y1166" s="87"/>
      <x:c r="Z1166" s="87"/>
      <x:c r="AA1166" s="87"/>
      <x:c r="AB1166" s="87"/>
      <x:c r="AC1166" s="87"/>
      <x:c r="AD1166" s="87"/>
      <x:c r="AE1166" s="87"/>
      <x:c r="AF1166" s="87"/>
      <x:c r="AG1166" s="87"/>
      <x:c r="AH1166" s="87"/>
      <x:c r="AI1166" s="30"/>
      <x:c r="AJ1166" s="87" t="str">
        <x:v>master</x:v>
      </x:c>
      <x:c r="AK1166" s="87" t="str">
        <x:v>master-v0.81</x:v>
      </x:c>
      <x:c r="AL1166" s="87" t="str">
        <x:v>statgrad_master_base_v0_81_final(2).xlsx</x:v>
      </x:c>
      <x:c r="AM1166" s="87" t="str">
        <x:v>PHYS_Mar_V4</x:v>
      </x:c>
      <x:c r="AN1166" s="87" t="n">
        <x:v>19</x:v>
      </x:c>
    </x:row>
    <x:row r="1167">
      <x:c r="A1167" s="87" t="n">
        <x:v>1166</x:v>
      </x:c>
      <x:c r="B1167" s="87" t="str">
        <x:v>MAR-PHYS-V4-019</x:v>
      </x:c>
      <x:c r="C1167" s="87" t="str">
        <x:v>СтатГрад</x:v>
      </x:c>
      <x:c r="D1167" s="87" t="str">
        <x:v>Март 2026</x:v>
      </x:c>
      <x:c r="E1167" s="87"/>
      <x:c r="F1167" s="87"/>
      <x:c r="G1167" s="87" t="str">
        <x:v>Физика</x:v>
      </x:c>
      <x:c r="H1167" s="87" t="n">
        <x:v>11</x:v>
      </x:c>
      <x:c r="I1167" s="87" t="str">
        <x:v>ТР №4</x:v>
      </x:c>
      <x:c r="J1167" s="87" t="str">
        <x:v>ФИ2510404</x:v>
      </x:c>
      <x:c r="K1167" s="87" t="n">
        <x:v>19</x:v>
      </x:c>
      <x:c r="L1167" s="87" t="str">
        <x:v>Измерительный прибор</x:v>
      </x:c>
      <x:c r="M1167" s="30" t="str">
        <x:v>Считать показание вольтметра и записать погрешность, равную половине цены деления.</x:v>
      </x:c>
      <x:c r="N1167" s="30" t="str">
        <x:v>3,6; 0,1</x:v>
      </x:c>
      <x:c r="O1167" s="30" t="str">
        <x:v>Между соседними целыми значениями пять интервалов, цена деления 0,2 В. Стрелка показывает 3,6 В; погрешность 0,1 В. Результат: (3,6±0,1) В.</x:v>
      </x:c>
      <x:c r="P1167" s="30" t="str">
        <x:v>Положение стрелки проверено по третьему делению после отметки 3 В.</x:v>
      </x:c>
      <x:c r="Q1167" s="30"/>
      <x:c r="R1167" s="30" t="str">
        <x:v>Полный PDF задания + независимое решение</x:v>
      </x:c>
      <x:c r="S1167" s="30"/>
      <x:c r="T1167" s="30"/>
      <x:c r="U1167" s="30" t="str">
        <x:v>Расхождений не обнаружено.</x:v>
      </x:c>
      <x:c r="V1167" s="87" t="str">
        <x:v>VERIFIED</x:v>
      </x:c>
      <x:c r="W1167" s="87" t="str">
        <x:v>PDF варианта, задание 19</x:v>
      </x:c>
      <x:c r="X1167" s="87"/>
      <x:c r="Y1167" s="87"/>
      <x:c r="Z1167" s="87"/>
      <x:c r="AA1167" s="87"/>
      <x:c r="AB1167" s="87"/>
      <x:c r="AC1167" s="87"/>
      <x:c r="AD1167" s="87"/>
      <x:c r="AE1167" s="87"/>
      <x:c r="AF1167" s="87"/>
      <x:c r="AG1167" s="87"/>
      <x:c r="AH1167" s="87"/>
      <x:c r="AI1167" s="30"/>
      <x:c r="AJ1167" s="87" t="str">
        <x:v>master</x:v>
      </x:c>
      <x:c r="AK1167" s="87" t="str">
        <x:v>master-v0.81</x:v>
      </x:c>
      <x:c r="AL1167" s="87" t="str">
        <x:v>statgrad_master_base_v0_81_final(2).xlsx</x:v>
      </x:c>
      <x:c r="AM1167" s="87" t="str">
        <x:v>PHYS_Mar_V4</x:v>
      </x:c>
      <x:c r="AN1167" s="87" t="n">
        <x:v>20</x:v>
      </x:c>
    </x:row>
    <x:row r="1168">
      <x:c r="A1168" s="87" t="n">
        <x:v>1167</x:v>
      </x:c>
      <x:c r="B1168" s="87" t="str">
        <x:v>MAR-PHYS-V4-020</x:v>
      </x:c>
      <x:c r="C1168" s="87" t="str">
        <x:v>СтатГрад</x:v>
      </x:c>
      <x:c r="D1168" s="87" t="str">
        <x:v>Март 2026</x:v>
      </x:c>
      <x:c r="E1168" s="87"/>
      <x:c r="F1168" s="87"/>
      <x:c r="G1168" s="87" t="str">
        <x:v>Физика</x:v>
      </x:c>
      <x:c r="H1168" s="87" t="n">
        <x:v>11</x:v>
      </x:c>
      <x:c r="I1168" s="87" t="str">
        <x:v>ТР №4</x:v>
      </x:c>
      <x:c r="J1168" s="87" t="str">
        <x:v>ФИ2510404</x:v>
      </x:c>
      <x:c r="K1168" s="87" t="n">
        <x:v>20</x:v>
      </x:c>
      <x:c r="L1168" s="87" t="str">
        <x:v>Планирование эксперимента</x:v>
      </x:c>
      <x:c r="M1168" s="30" t="str">
        <x:v>Выбрать два проводника для исследования зависимости сопротивления от диаметра при прочих равных условиях.</x:v>
      </x:c>
      <x:c r="N1168" s="30" t="str">
        <x:v>24</x:v>
      </x:c>
      <x:c r="O1168" s="30" t="str">
        <x:v>Проводники 2 и 4 имеют одинаковые длину и материал, но разные диаметры.</x:v>
      </x:c>
      <x:c r="P1168" s="30" t="str">
        <x:v>Проводники 2 и 4 имеют одинаковые длину и материал, но разные диаметры.</x:v>
      </x:c>
      <x:c r="Q1168" s="30"/>
      <x:c r="R1168" s="30" t="str">
        <x:v>Полный PDF задания + независимое решение</x:v>
      </x:c>
      <x:c r="S1168" s="30"/>
      <x:c r="T1168" s="30"/>
      <x:c r="U1168" s="30" t="str">
        <x:v>Расхождений не обнаружено.</x:v>
      </x:c>
      <x:c r="V1168" s="87" t="str">
        <x:v>VERIFIED</x:v>
      </x:c>
      <x:c r="W1168" s="87" t="str">
        <x:v>PDF варианта, задание 20</x:v>
      </x:c>
      <x:c r="X1168" s="87"/>
      <x:c r="Y1168" s="87"/>
      <x:c r="Z1168" s="87"/>
      <x:c r="AA1168" s="87"/>
      <x:c r="AB1168" s="87"/>
      <x:c r="AC1168" s="87"/>
      <x:c r="AD1168" s="87"/>
      <x:c r="AE1168" s="87"/>
      <x:c r="AF1168" s="87"/>
      <x:c r="AG1168" s="87"/>
      <x:c r="AH1168" s="87"/>
      <x:c r="AI1168" s="30"/>
      <x:c r="AJ1168" s="87" t="str">
        <x:v>master</x:v>
      </x:c>
      <x:c r="AK1168" s="87" t="str">
        <x:v>master-v0.81</x:v>
      </x:c>
      <x:c r="AL1168" s="87" t="str">
        <x:v>statgrad_master_base_v0_81_final(2).xlsx</x:v>
      </x:c>
      <x:c r="AM1168" s="87" t="str">
        <x:v>PHYS_Mar_V4</x:v>
      </x:c>
      <x:c r="AN1168" s="87" t="n">
        <x:v>21</x:v>
      </x:c>
    </x:row>
    <x:row r="1169">
      <x:c r="A1169" s="87" t="n">
        <x:v>1168</x:v>
      </x:c>
      <x:c r="B1169" s="87" t="str">
        <x:v>MAR-PHYS-V4-021</x:v>
      </x:c>
      <x:c r="C1169" s="87" t="str">
        <x:v>СтатГрад</x:v>
      </x:c>
      <x:c r="D1169" s="87" t="str">
        <x:v>Март 2026</x:v>
      </x:c>
      <x:c r="E1169" s="87"/>
      <x:c r="F1169" s="87"/>
      <x:c r="G1169" s="87" t="str">
        <x:v>Физика</x:v>
      </x:c>
      <x:c r="H1169" s="87" t="n">
        <x:v>11</x:v>
      </x:c>
      <x:c r="I1169" s="87" t="str">
        <x:v>ТР №4</x:v>
      </x:c>
      <x:c r="J1169" s="87" t="str">
        <x:v>ФИ2510404</x:v>
      </x:c>
      <x:c r="K1169" s="87" t="n">
        <x:v>21</x:v>
      </x:c>
      <x:c r="L1169" s="87" t="str">
        <x:v>Развёрнутый ответ: водяной пар</x:v>
      </x:c>
      <x:c r="M1169" s="30" t="str">
        <x:v>Жёсткий закрытый сосуд с водяным паром охладили без образования капель. Объяснить изменения T, p и относительной влажности.</x:v>
      </x:c>
      <x:c r="N1169" s="30" t="str">
        <x:v>Температура и парциальное давление уменьшатся, относительная влажность увеличится.</x:v>
      </x:c>
      <x:c r="O1169" s="30" t="str">
        <x:v>При отдаче теплоты средняя кинетическая энергия и T уменьшаются. При постоянных n и V p=nRT/V снижается. Давление насыщенного пара при охлаждении уменьшается быстрее, поэтому φ=p/pₙₐₛ возрастает; по условию φ остаётся ниже 100%.</x:v>
      </x:c>
      <x:c r="P1169" s="30" t="str">
        <x:v>Учтено условие отсутствия конденсации.</x:v>
      </x:c>
      <x:c r="Q1169" s="30"/>
      <x:c r="R1169" s="30" t="str">
        <x:v>Полный PDF задания + независимое решение</x:v>
      </x:c>
      <x:c r="S1169" s="30"/>
      <x:c r="T1169" s="30"/>
      <x:c r="U1169" s="30" t="str">
        <x:v>Расхождений не обнаружено.</x:v>
      </x:c>
      <x:c r="V1169" s="87" t="str">
        <x:v>VERIFIED</x:v>
      </x:c>
      <x:c r="W1169" s="87" t="str">
        <x:v>PDF варианта, задание 21</x:v>
      </x:c>
      <x:c r="X1169" s="87"/>
      <x:c r="Y1169" s="87"/>
      <x:c r="Z1169" s="87"/>
      <x:c r="AA1169" s="87"/>
      <x:c r="AB1169" s="87"/>
      <x:c r="AC1169" s="87"/>
      <x:c r="AD1169" s="87"/>
      <x:c r="AE1169" s="87"/>
      <x:c r="AF1169" s="87"/>
      <x:c r="AG1169" s="87"/>
      <x:c r="AH1169" s="87"/>
      <x:c r="AI1169" s="30"/>
      <x:c r="AJ1169" s="87" t="str">
        <x:v>master</x:v>
      </x:c>
      <x:c r="AK1169" s="87" t="str">
        <x:v>master-v0.81</x:v>
      </x:c>
      <x:c r="AL1169" s="87" t="str">
        <x:v>statgrad_master_base_v0_81_final(2).xlsx</x:v>
      </x:c>
      <x:c r="AM1169" s="87" t="str">
        <x:v>PHYS_Mar_V4</x:v>
      </x:c>
      <x:c r="AN1169" s="87" t="n">
        <x:v>22</x:v>
      </x:c>
    </x:row>
    <x:row r="1170">
      <x:c r="A1170" s="87" t="n">
        <x:v>1169</x:v>
      </x:c>
      <x:c r="B1170" s="87" t="str">
        <x:v>MAR-PHYS-V4-022</x:v>
      </x:c>
      <x:c r="C1170" s="87" t="str">
        <x:v>СтатГрад</x:v>
      </x:c>
      <x:c r="D1170" s="87" t="str">
        <x:v>Март 2026</x:v>
      </x:c>
      <x:c r="E1170" s="87"/>
      <x:c r="F1170" s="87"/>
      <x:c r="G1170" s="87" t="str">
        <x:v>Физика</x:v>
      </x:c>
      <x:c r="H1170" s="87" t="n">
        <x:v>11</x:v>
      </x:c>
      <x:c r="I1170" s="87" t="str">
        <x:v>ТР №4</x:v>
      </x:c>
      <x:c r="J1170" s="87" t="str">
        <x:v>ФИ2510404</x:v>
      </x:c>
      <x:c r="K1170" s="87" t="n">
        <x:v>22</x:v>
      </x:c>
      <x:c r="L1170" s="87" t="str">
        <x:v>Развёрнутый ответ: статика и блок</x:v>
      </x:c>
      <x:c r="M1170" s="30" t="str">
        <x:v>Невесомый стержень L=0,9 м; ось в 0,1 м от левого края; поддерживающая нить в 0,2 м от правого. Груз 2 кг на подвижном блоке. Найти натяжение поддерживающей нити.</x:v>
      </x:c>
      <x:c r="N1170" s="30" t="str">
        <x:v>13,3 Н</x:v>
      </x:c>
      <x:c r="O1170" s="30" t="str">
        <x:v>Натяжение верёвки подвижного блока τ=mg/2=10 Н. Относительно оси O: T·(0,9−0,2−0,1)=τ·(0,9−0,1). Отсюда T=10·0,8/0,6=13,3 Н.</x:v>
      </x:c>
      <x:c r="P1170" s="30" t="str">
        <x:v>Условие равновесия блока и сумма моментов стержня проверены раздельно.</x:v>
      </x:c>
      <x:c r="Q1170" s="30"/>
      <x:c r="R1170" s="30" t="str">
        <x:v>Полный PDF задания + независимое решение</x:v>
      </x:c>
      <x:c r="S1170" s="30"/>
      <x:c r="T1170" s="30"/>
      <x:c r="U1170" s="30" t="str">
        <x:v>Расхождений не обнаружено.</x:v>
      </x:c>
      <x:c r="V1170" s="87" t="str">
        <x:v>VERIFIED</x:v>
      </x:c>
      <x:c r="W1170" s="87" t="str">
        <x:v>PDF варианта, задание 22</x:v>
      </x:c>
      <x:c r="X1170" s="87"/>
      <x:c r="Y1170" s="87"/>
      <x:c r="Z1170" s="87"/>
      <x:c r="AA1170" s="87"/>
      <x:c r="AB1170" s="87"/>
      <x:c r="AC1170" s="87"/>
      <x:c r="AD1170" s="87"/>
      <x:c r="AE1170" s="87"/>
      <x:c r="AF1170" s="87"/>
      <x:c r="AG1170" s="87"/>
      <x:c r="AH1170" s="87"/>
      <x:c r="AI1170" s="30"/>
      <x:c r="AJ1170" s="87" t="str">
        <x:v>master</x:v>
      </x:c>
      <x:c r="AK1170" s="87" t="str">
        <x:v>master-v0.81</x:v>
      </x:c>
      <x:c r="AL1170" s="87" t="str">
        <x:v>statgrad_master_base_v0_81_final(2).xlsx</x:v>
      </x:c>
      <x:c r="AM1170" s="87" t="str">
        <x:v>PHYS_Mar_V4</x:v>
      </x:c>
      <x:c r="AN1170" s="87" t="n">
        <x:v>23</x:v>
      </x:c>
    </x:row>
    <x:row r="1171">
      <x:c r="A1171" s="87" t="n">
        <x:v>1170</x:v>
      </x:c>
      <x:c r="B1171" s="87" t="str">
        <x:v>MAR-PHYS-V4-023</x:v>
      </x:c>
      <x:c r="C1171" s="87" t="str">
        <x:v>СтатГрад</x:v>
      </x:c>
      <x:c r="D1171" s="87" t="str">
        <x:v>Март 2026</x:v>
      </x:c>
      <x:c r="E1171" s="87"/>
      <x:c r="F1171" s="87"/>
      <x:c r="G1171" s="87" t="str">
        <x:v>Физика</x:v>
      </x:c>
      <x:c r="H1171" s="87" t="n">
        <x:v>11</x:v>
      </x:c>
      <x:c r="I1171" s="87" t="str">
        <x:v>ТР №4</x:v>
      </x:c>
      <x:c r="J1171" s="87" t="str">
        <x:v>ФИ2510404</x:v>
      </x:c>
      <x:c r="K1171" s="87" t="n">
        <x:v>23</x:v>
      </x:c>
      <x:c r="L1171" s="87" t="str">
        <x:v>Развёрнутый ответ: электромагнитная индукция</x:v>
      </x:c>
      <x:c r="M1171" s="30" t="str">
        <x:v>Рамка a=10 см, R=0,2 Ом повёрнута на 60°; по ней прошёл заряд 40 мкКл. Найти B.</x:v>
      </x:c>
      <x:c r="N1171" s="30" t="str">
        <x:v>0,924 мТл</x:v>
      </x:c>
      <x:c r="O1171" s="30" t="str">
        <x:v>q=Ba²sinβ/R, поэтому B=qR/(a²sin60°)=40·10⁻⁶·0,2/(0,01·0,866)=9,24·10⁻⁴ Тл=0,924 мТл.</x:v>
      </x:c>
      <x:c r="P1171" s="30" t="str">
        <x:v>Начальный поток равен нулю, так как B лежит в плоскости рамки.</x:v>
      </x:c>
      <x:c r="Q1171" s="30"/>
      <x:c r="R1171" s="30" t="str">
        <x:v>Полный PDF задания + независимое решение</x:v>
      </x:c>
      <x:c r="S1171" s="30"/>
      <x:c r="T1171" s="30"/>
      <x:c r="U1171" s="30" t="str">
        <x:v>Расхождений не обнаружено.</x:v>
      </x:c>
      <x:c r="V1171" s="87" t="str">
        <x:v>VERIFIED</x:v>
      </x:c>
      <x:c r="W1171" s="87" t="str">
        <x:v>PDF варианта, задание 23</x:v>
      </x:c>
      <x:c r="X1171" s="87"/>
      <x:c r="Y1171" s="87"/>
      <x:c r="Z1171" s="87"/>
      <x:c r="AA1171" s="87"/>
      <x:c r="AB1171" s="87"/>
      <x:c r="AC1171" s="87"/>
      <x:c r="AD1171" s="87"/>
      <x:c r="AE1171" s="87"/>
      <x:c r="AF1171" s="87"/>
      <x:c r="AG1171" s="87"/>
      <x:c r="AH1171" s="87"/>
      <x:c r="AI1171" s="30"/>
      <x:c r="AJ1171" s="87" t="str">
        <x:v>master</x:v>
      </x:c>
      <x:c r="AK1171" s="87" t="str">
        <x:v>master-v0.81</x:v>
      </x:c>
      <x:c r="AL1171" s="87" t="str">
        <x:v>statgrad_master_base_v0_81_final(2).xlsx</x:v>
      </x:c>
      <x:c r="AM1171" s="87" t="str">
        <x:v>PHYS_Mar_V4</x:v>
      </x:c>
      <x:c r="AN1171" s="87" t="n">
        <x:v>24</x:v>
      </x:c>
    </x:row>
    <x:row r="1172">
      <x:c r="A1172" s="87" t="n">
        <x:v>1171</x:v>
      </x:c>
      <x:c r="B1172" s="87" t="str">
        <x:v>MAR-PHYS-V4-024</x:v>
      </x:c>
      <x:c r="C1172" s="87" t="str">
        <x:v>СтатГрад</x:v>
      </x:c>
      <x:c r="D1172" s="87" t="str">
        <x:v>Март 2026</x:v>
      </x:c>
      <x:c r="E1172" s="87"/>
      <x:c r="F1172" s="87"/>
      <x:c r="G1172" s="87" t="str">
        <x:v>Физика</x:v>
      </x:c>
      <x:c r="H1172" s="87" t="n">
        <x:v>11</x:v>
      </x:c>
      <x:c r="I1172" s="87" t="str">
        <x:v>ТР №4</x:v>
      </x:c>
      <x:c r="J1172" s="87" t="str">
        <x:v>ФИ2510404</x:v>
      </x:c>
      <x:c r="K1172" s="87" t="n">
        <x:v>24</x:v>
      </x:c>
      <x:c r="L1172" s="87" t="str">
        <x:v>Развёрнутый ответ: газ и столбик ртути</x:v>
      </x:c>
      <x:c r="M1172" s="30" t="str">
        <x:v>Горизонтальную запаянную трубку с равными воздушными объёмами l и столбиком ртути h повернули вертикально запаянным концом вверх; ртуть сместилась на d. Найти p₀.</x:v>
      </x:c>
      <x:c r="N1172" s="30" t="str">
        <x:v>p₀ = ρgh(l²−d²)/(2ld)</x:v>
      </x:c>
      <x:c r="O1172" s="30" t="str">
        <x:v>После поворота верхний объём S(l+d), нижний S(l−d). По закону Бойля p₁=p₀l/(l+d), p₂=p₀l/(l−d). Условие p₂−p₁=ρgh приводит к p₀=ρgh(l²−d²)/(2ld).</x:v>
      </x:c>
      <x:c r="P1172" s="30" t="str">
        <x:v>Направление смещения проверено: нижний газ сжимается, верхний расширяется.</x:v>
      </x:c>
      <x:c r="Q1172" s="30"/>
      <x:c r="R1172" s="30" t="str">
        <x:v>Полный PDF задания + независимое решение</x:v>
      </x:c>
      <x:c r="S1172" s="30"/>
      <x:c r="T1172" s="30"/>
      <x:c r="U1172" s="30" t="str">
        <x:v>Расхождений не обнаружено.</x:v>
      </x:c>
      <x:c r="V1172" s="87" t="str">
        <x:v>VERIFIED</x:v>
      </x:c>
      <x:c r="W1172" s="87" t="str">
        <x:v>PDF варианта, задание 24</x:v>
      </x:c>
      <x:c r="X1172" s="87"/>
      <x:c r="Y1172" s="87"/>
      <x:c r="Z1172" s="87"/>
      <x:c r="AA1172" s="87"/>
      <x:c r="AB1172" s="87"/>
      <x:c r="AC1172" s="87"/>
      <x:c r="AD1172" s="87"/>
      <x:c r="AE1172" s="87"/>
      <x:c r="AF1172" s="87"/>
      <x:c r="AG1172" s="87"/>
      <x:c r="AH1172" s="87"/>
      <x:c r="AI1172" s="30"/>
      <x:c r="AJ1172" s="87" t="str">
        <x:v>master</x:v>
      </x:c>
      <x:c r="AK1172" s="87" t="str">
        <x:v>master-v0.81</x:v>
      </x:c>
      <x:c r="AL1172" s="87" t="str">
        <x:v>statgrad_master_base_v0_81_final(2).xlsx</x:v>
      </x:c>
      <x:c r="AM1172" s="87" t="str">
        <x:v>PHYS_Mar_V4</x:v>
      </x:c>
      <x:c r="AN1172" s="87" t="n">
        <x:v>25</x:v>
      </x:c>
    </x:row>
    <x:row r="1173">
      <x:c r="A1173" s="87" t="n">
        <x:v>1172</x:v>
      </x:c>
      <x:c r="B1173" s="87" t="str">
        <x:v>MAR-PHYS-V4-025</x:v>
      </x:c>
      <x:c r="C1173" s="87" t="str">
        <x:v>СтатГрад</x:v>
      </x:c>
      <x:c r="D1173" s="87" t="str">
        <x:v>Март 2026</x:v>
      </x:c>
      <x:c r="E1173" s="87"/>
      <x:c r="F1173" s="87"/>
      <x:c r="G1173" s="87" t="str">
        <x:v>Физика</x:v>
      </x:c>
      <x:c r="H1173" s="87" t="n">
        <x:v>11</x:v>
      </x:c>
      <x:c r="I1173" s="87" t="str">
        <x:v>ТР №4</x:v>
      </x:c>
      <x:c r="J1173" s="87" t="str">
        <x:v>ФИ2510404</x:v>
      </x:c>
      <x:c r="K1173" s="87" t="n">
        <x:v>25</x:v>
      </x:c>
      <x:c r="L1173" s="87" t="str">
        <x:v>Развёрнутый ответ: система линз</x:v>
      </x:c>
      <x:c r="M1173" s="30" t="str">
        <x:v>Линзы F₁=30 см и F₂=−20 см разделены на 50 см; источник в 60 см слева от первой. Найти конечное изображение.</x:v>
      </x:c>
      <x:c r="N1173" s="30" t="str">
        <x:v>20 см справа от второй линзы; изображение действительное</x:v>
      </x:c>
      <x:c r="O1173" s="30" t="str">
        <x:v>Первая линза даёт изображение в 60 см справа от неё, то есть в 10 см справа от второй: a₂=−10 см. 1/(−20)=1/(−10)+1/b₂, поэтому b₂=20 см.</x:v>
      </x:c>
      <x:c r="P1173" s="30" t="str">
        <x:v>Проверены знаки и построение лучей через обе линзы.</x:v>
      </x:c>
      <x:c r="Q1173" s="30"/>
      <x:c r="R1173" s="30" t="str">
        <x:v>Полный PDF задания + независимое решение</x:v>
      </x:c>
      <x:c r="S1173" s="30"/>
      <x:c r="T1173" s="30"/>
      <x:c r="U1173" s="30" t="str">
        <x:v>Расхождений не обнаружено.</x:v>
      </x:c>
      <x:c r="V1173" s="87" t="str">
        <x:v>VERIFIED</x:v>
      </x:c>
      <x:c r="W1173" s="87" t="str">
        <x:v>PDF варианта, задание 25</x:v>
      </x:c>
      <x:c r="X1173" s="87"/>
      <x:c r="Y1173" s="87"/>
      <x:c r="Z1173" s="87"/>
      <x:c r="AA1173" s="87"/>
      <x:c r="AB1173" s="87"/>
      <x:c r="AC1173" s="87"/>
      <x:c r="AD1173" s="87"/>
      <x:c r="AE1173" s="87"/>
      <x:c r="AF1173" s="87"/>
      <x:c r="AG1173" s="87"/>
      <x:c r="AH1173" s="87"/>
      <x:c r="AI1173" s="30"/>
      <x:c r="AJ1173" s="87" t="str">
        <x:v>master</x:v>
      </x:c>
      <x:c r="AK1173" s="87" t="str">
        <x:v>master-v0.81</x:v>
      </x:c>
      <x:c r="AL1173" s="87" t="str">
        <x:v>statgrad_master_base_v0_81_final(2).xlsx</x:v>
      </x:c>
      <x:c r="AM1173" s="87" t="str">
        <x:v>PHYS_Mar_V4</x:v>
      </x:c>
      <x:c r="AN1173" s="87" t="n">
        <x:v>26</x:v>
      </x:c>
    </x:row>
    <x:row r="1174">
      <x:c r="A1174" s="87" t="n">
        <x:v>1173</x:v>
      </x:c>
      <x:c r="B1174" s="87" t="str">
        <x:v>MAR-PHYS-V4-026</x:v>
      </x:c>
      <x:c r="C1174" s="87" t="str">
        <x:v>СтатГрад</x:v>
      </x:c>
      <x:c r="D1174" s="87" t="str">
        <x:v>Март 2026</x:v>
      </x:c>
      <x:c r="E1174" s="87"/>
      <x:c r="F1174" s="87"/>
      <x:c r="G1174" s="87" t="str">
        <x:v>Физика</x:v>
      </x:c>
      <x:c r="H1174" s="87" t="n">
        <x:v>11</x:v>
      </x:c>
      <x:c r="I1174" s="87" t="str">
        <x:v>ТР №4</x:v>
      </x:c>
      <x:c r="J1174" s="87" t="str">
        <x:v>ФИ2510404</x:v>
      </x:c>
      <x:c r="K1174" s="87" t="n">
        <x:v>26</x:v>
      </x:c>
      <x:c r="L1174" s="87" t="str">
        <x:v>Развёрнутый ответ: упругий удар и пружина</x:v>
      </x:c>
      <x:c r="M1174" s="30" t="str">
        <x:v>Шарик 40 г со скоростью 11 м/с упруго ударяет брусок массой 10m на гладкой плоскости; k=1000 Н/м. Найти максимальное сжатие.</x:v>
      </x:c>
      <x:c r="N1174" s="30" t="str">
        <x:v>4 см</x:v>
      </x:c>
      <x:c r="O1174" s="30" t="str">
        <x:v>После центрального упругого удара скорость бруска V=2m v₀/(m+10m)=2 м/с. Затем MV²/2=kx²/2, где M=0,4 кг. x=V√(M/k)=2√(0,4/1000)=0,04 м.</x:v>
      </x:c>
      <x:c r="P1174" s="30" t="str">
        <x:v>Для удара использованы сохранение импульса и кинетической энергии; далее — сохранение энергии брусок–пружина.</x:v>
      </x:c>
      <x:c r="Q1174" s="30"/>
      <x:c r="R1174" s="30" t="str">
        <x:v>Полный PDF задания + независимое решение</x:v>
      </x:c>
      <x:c r="S1174" s="30"/>
      <x:c r="T1174" s="30"/>
      <x:c r="U1174" s="30" t="str">
        <x:v>Расхождений не обнаружено.</x:v>
      </x:c>
      <x:c r="V1174" s="87" t="str">
        <x:v>VERIFIED</x:v>
      </x:c>
      <x:c r="W1174" s="87" t="str">
        <x:v>PDF варианта, задание 26</x:v>
      </x:c>
      <x:c r="X1174" s="87"/>
      <x:c r="Y1174" s="87"/>
      <x:c r="Z1174" s="87"/>
      <x:c r="AA1174" s="87"/>
      <x:c r="AB1174" s="87"/>
      <x:c r="AC1174" s="87"/>
      <x:c r="AD1174" s="87"/>
      <x:c r="AE1174" s="87"/>
      <x:c r="AF1174" s="87"/>
      <x:c r="AG1174" s="87"/>
      <x:c r="AH1174" s="87"/>
      <x:c r="AI1174" s="30"/>
      <x:c r="AJ1174" s="87" t="str">
        <x:v>master</x:v>
      </x:c>
      <x:c r="AK1174" s="87" t="str">
        <x:v>master-v0.81</x:v>
      </x:c>
      <x:c r="AL1174" s="87" t="str">
        <x:v>statgrad_master_base_v0_81_final(2).xlsx</x:v>
      </x:c>
      <x:c r="AM1174" s="87" t="str">
        <x:v>PHYS_Mar_V4</x:v>
      </x:c>
      <x:c r="AN1174" s="87" t="n">
        <x:v>27</x:v>
      </x:c>
    </x:row>
    <x:row r="1175">
      <x:c r="A1175" s="87" t="n">
        <x:v>1174</x:v>
      </x:c>
      <x:c r="B1175" s="87" t="str">
        <x:v>MAR-BIO-V1-001</x:v>
      </x:c>
      <x:c r="C1175" s="87" t="str">
        <x:v>СтатГрад</x:v>
      </x:c>
      <x:c r="D1175" s="87" t="str">
        <x:v>Март 2026</x:v>
      </x:c>
      <x:c r="E1175" s="87"/>
      <x:c r="F1175" s="87"/>
      <x:c r="G1175" s="87" t="str">
        <x:v>Биология</x:v>
      </x:c>
      <x:c r="H1175" s="87" t="n">
        <x:v>11</x:v>
      </x:c>
      <x:c r="I1175" s="87" t="str">
        <x:v>ТР №4</x:v>
      </x:c>
      <x:c r="J1175" s="87" t="str">
        <x:v>БИ2510401</x:v>
      </x:c>
      <x:c r="K1175" s="87" t="n">
        <x:v>1</x:v>
      </x:c>
      <x:c r="L1175" s="87" t="str">
        <x:v>Свойства живых систем</x:v>
      </x:c>
      <x:c r="M1175" s="30" t="str">
        <x:v>По таблице определить пропущенное свойство живых систем.</x:v>
      </x:c>
      <x:c r="N1175" s="30" t="str">
        <x:v>ритмичность</x:v>
      </x:c>
      <x:c r="O1175" s="30" t="str">
        <x:v>Повторяющиеся во времени изменения жизнедеятельности отражают ритмичность.</x:v>
      </x:c>
      <x:c r="P1175" s="30" t="str">
        <x:v>В открытой публикации также допускается термин «раздражимость» для данной иллюстрации.</x:v>
      </x:c>
      <x:c r="Q1175" s="30"/>
      <x:c r="R1175" s="30" t="str">
        <x:v>PDF + открытая публикация</x:v>
      </x:c>
      <x:c r="S1175" s="30"/>
      <x:c r="T1175" s="30"/>
      <x:c r="U1175" s="30" t="str">
        <x:v>Расхождений не обнаружено.</x:v>
      </x:c>
      <x:c r="V1175" s="87" t="str">
        <x:v>VERIFIED</x:v>
      </x:c>
      <x:c r="W1175" s="87" t="str">
        <x:v>Полный PDF, задание 1</x:v>
      </x:c>
      <x:c r="X1175" s="87"/>
      <x:c r="Y1175" s="87"/>
      <x:c r="Z1175" s="87"/>
      <x:c r="AA1175" s="87"/>
      <x:c r="AB1175" s="87"/>
      <x:c r="AC1175" s="87"/>
      <x:c r="AD1175" s="87"/>
      <x:c r="AE1175" s="87"/>
      <x:c r="AF1175" s="87"/>
      <x:c r="AG1175" s="87"/>
      <x:c r="AH1175" s="87"/>
      <x:c r="AI1175" s="30"/>
      <x:c r="AJ1175" s="87" t="str">
        <x:v>master</x:v>
      </x:c>
      <x:c r="AK1175" s="87" t="str">
        <x:v>master-v0.81</x:v>
      </x:c>
      <x:c r="AL1175" s="87" t="str">
        <x:v>statgrad_master_base_v0_81_final(2).xlsx</x:v>
      </x:c>
      <x:c r="AM1175" s="87" t="str">
        <x:v>BIO_Mar_V1</x:v>
      </x:c>
      <x:c r="AN1175" s="87" t="n">
        <x:v>2</x:v>
      </x:c>
    </x:row>
    <x:row r="1176">
      <x:c r="A1176" s="87" t="n">
        <x:v>1175</x:v>
      </x:c>
      <x:c r="B1176" s="87" t="str">
        <x:v>MAR-BIO-V1-002</x:v>
      </x:c>
      <x:c r="C1176" s="87" t="str">
        <x:v>СтатГрад</x:v>
      </x:c>
      <x:c r="D1176" s="87" t="str">
        <x:v>Март 2026</x:v>
      </x:c>
      <x:c r="E1176" s="87"/>
      <x:c r="F1176" s="87"/>
      <x:c r="G1176" s="87" t="str">
        <x:v>Биология</x:v>
      </x:c>
      <x:c r="H1176" s="87" t="n">
        <x:v>11</x:v>
      </x:c>
      <x:c r="I1176" s="87" t="str">
        <x:v>ТР №4</x:v>
      </x:c>
      <x:c r="J1176" s="87" t="str">
        <x:v>БИ2510401</x:v>
      </x:c>
      <x:c r="K1176" s="87" t="n">
        <x:v>2</x:v>
      </x:c>
      <x:c r="L1176" s="87" t="str">
        <x:v>Физиология крови</x:v>
      </x:c>
      <x:c r="M1176" s="30" t="str">
        <x:v>Определить изменения количества эритроцитов и тромбоцитов при подъёме с 1000 до 4000 м.</x:v>
      </x:c>
      <x:c r="N1176" s="30" t="str">
        <x:v>13</x:v>
      </x:c>
      <x:c r="O1176" s="30" t="str">
        <x:v>Гипоксия стимулирует эритропоэз, поэтому эритроцитов становится больше; число тромбоцитов существенно не меняется.</x:v>
      </x:c>
      <x:c r="P1176" s="30" t="str">
        <x:v>Проверено через адаптацию к снижению парциального давления кислорода.</x:v>
      </x:c>
      <x:c r="Q1176" s="30"/>
      <x:c r="R1176" s="30" t="str">
        <x:v>PDF + открытый ответ 13</x:v>
      </x:c>
      <x:c r="S1176" s="30"/>
      <x:c r="T1176" s="30"/>
      <x:c r="U1176" s="30" t="str">
        <x:v>Расхождений не обнаружено.</x:v>
      </x:c>
      <x:c r="V1176" s="87" t="str">
        <x:v>VERIFIED</x:v>
      </x:c>
      <x:c r="W1176" s="87" t="str">
        <x:v>Полный PDF, задание 2</x:v>
      </x:c>
      <x:c r="X1176" s="87"/>
      <x:c r="Y1176" s="87"/>
      <x:c r="Z1176" s="87"/>
      <x:c r="AA1176" s="87"/>
      <x:c r="AB1176" s="87"/>
      <x:c r="AC1176" s="87"/>
      <x:c r="AD1176" s="87"/>
      <x:c r="AE1176" s="87"/>
      <x:c r="AF1176" s="87"/>
      <x:c r="AG1176" s="87"/>
      <x:c r="AH1176" s="87"/>
      <x:c r="AI1176" s="30"/>
      <x:c r="AJ1176" s="87" t="str">
        <x:v>master</x:v>
      </x:c>
      <x:c r="AK1176" s="87" t="str">
        <x:v>master-v0.81</x:v>
      </x:c>
      <x:c r="AL1176" s="87" t="str">
        <x:v>statgrad_master_base_v0_81_final(2).xlsx</x:v>
      </x:c>
      <x:c r="AM1176" s="87" t="str">
        <x:v>BIO_Mar_V1</x:v>
      </x:c>
      <x:c r="AN1176" s="87" t="n">
        <x:v>3</x:v>
      </x:c>
    </x:row>
    <x:row r="1177">
      <x:c r="A1177" s="87" t="n">
        <x:v>1176</x:v>
      </x:c>
      <x:c r="B1177" s="87" t="str">
        <x:v>MAR-BIO-V1-003</x:v>
      </x:c>
      <x:c r="C1177" s="87" t="str">
        <x:v>СтатГрад</x:v>
      </x:c>
      <x:c r="D1177" s="87" t="str">
        <x:v>Март 2026</x:v>
      </x:c>
      <x:c r="E1177" s="87"/>
      <x:c r="F1177" s="87"/>
      <x:c r="G1177" s="87" t="str">
        <x:v>Биология</x:v>
      </x:c>
      <x:c r="H1177" s="87" t="n">
        <x:v>11</x:v>
      </x:c>
      <x:c r="I1177" s="87" t="str">
        <x:v>ТР №4</x:v>
      </x:c>
      <x:c r="J1177" s="87" t="str">
        <x:v>БИ2510401</x:v>
      </x:c>
      <x:c r="K1177" s="87" t="n">
        <x:v>3</x:v>
      </x:c>
      <x:c r="L1177" s="87" t="str">
        <x:v>Мейоз</x:v>
      </x:c>
      <x:c r="M1177" s="30" t="str">
        <x:v>Сколько молекул ДНК содержит каждая хромосома в начале телофазы I мейоза?</x:v>
      </x:c>
      <x:c r="N1177" s="30" t="str">
        <x:v>2</x:v>
      </x:c>
      <x:c r="O1177" s="30" t="str">
        <x:v>После первого деления мейоза сестринские хроматиды ещё соединены: одна хромосома состоит из двух хроматид и содержит две молекулы ДНК.</x:v>
      </x:c>
      <x:c r="P1177" s="30" t="str">
        <x:v>Стадии редукционного деления сопоставлены независимо.</x:v>
      </x:c>
      <x:c r="Q1177" s="30"/>
      <x:c r="R1177" s="30" t="str">
        <x:v>PDF + открытый ответ 2</x:v>
      </x:c>
      <x:c r="S1177" s="30"/>
      <x:c r="T1177" s="30"/>
      <x:c r="U1177" s="30" t="str">
        <x:v>Расхождений не обнаружено.</x:v>
      </x:c>
      <x:c r="V1177" s="87" t="str">
        <x:v>VERIFIED</x:v>
      </x:c>
      <x:c r="W1177" s="87" t="str">
        <x:v>Полный PDF, задание 3</x:v>
      </x:c>
      <x:c r="X1177" s="87"/>
      <x:c r="Y1177" s="87"/>
      <x:c r="Z1177" s="87"/>
      <x:c r="AA1177" s="87"/>
      <x:c r="AB1177" s="87"/>
      <x:c r="AC1177" s="87"/>
      <x:c r="AD1177" s="87"/>
      <x:c r="AE1177" s="87"/>
      <x:c r="AF1177" s="87"/>
      <x:c r="AG1177" s="87"/>
      <x:c r="AH1177" s="87"/>
      <x:c r="AI1177" s="30"/>
      <x:c r="AJ1177" s="87" t="str">
        <x:v>master</x:v>
      </x:c>
      <x:c r="AK1177" s="87" t="str">
        <x:v>master-v0.81</x:v>
      </x:c>
      <x:c r="AL1177" s="87" t="str">
        <x:v>statgrad_master_base_v0_81_final(2).xlsx</x:v>
      </x:c>
      <x:c r="AM1177" s="87" t="str">
        <x:v>BIO_Mar_V1</x:v>
      </x:c>
      <x:c r="AN1177" s="87" t="n">
        <x:v>4</x:v>
      </x:c>
    </x:row>
    <x:row r="1178">
      <x:c r="A1178" s="87" t="n">
        <x:v>1177</x:v>
      </x:c>
      <x:c r="B1178" s="87" t="str">
        <x:v>MAR-BIO-V1-004</x:v>
      </x:c>
      <x:c r="C1178" s="87" t="str">
        <x:v>СтатГрад</x:v>
      </x:c>
      <x:c r="D1178" s="87" t="str">
        <x:v>Март 2026</x:v>
      </x:c>
      <x:c r="E1178" s="87"/>
      <x:c r="F1178" s="87"/>
      <x:c r="G1178" s="87" t="str">
        <x:v>Биология</x:v>
      </x:c>
      <x:c r="H1178" s="87" t="n">
        <x:v>11</x:v>
      </x:c>
      <x:c r="I1178" s="87" t="str">
        <x:v>ТР №4</x:v>
      </x:c>
      <x:c r="J1178" s="87" t="str">
        <x:v>БИ2510401</x:v>
      </x:c>
      <x:c r="K1178" s="87" t="n">
        <x:v>4</x:v>
      </x:c>
      <x:c r="L1178" s="87" t="str">
        <x:v>Генетика: моногибридное скрещивание</x:v>
      </x:c>
      <x:c r="M1178" s="30" t="str">
        <x:v>Найти вероятность гетерозиготного потомства при скрещивании гомозигот с альтернативными признаками.</x:v>
      </x:c>
      <x:c r="N1178" s="30" t="str">
        <x:v>1</x:v>
      </x:c>
      <x:c r="O1178" s="30" t="str">
        <x:v>AA × aa даёт только Aa; вероятность равна 1.</x:v>
      </x:c>
      <x:c r="P1178" s="30" t="str">
        <x:v>Составлена схема скрещивания.</x:v>
      </x:c>
      <x:c r="Q1178" s="30"/>
      <x:c r="R1178" s="30" t="str">
        <x:v>PDF + открытый ответ 1</x:v>
      </x:c>
      <x:c r="S1178" s="30"/>
      <x:c r="T1178" s="30"/>
      <x:c r="U1178" s="30" t="str">
        <x:v>Расхождений не обнаружено.</x:v>
      </x:c>
      <x:c r="V1178" s="87" t="str">
        <x:v>VERIFIED</x:v>
      </x:c>
      <x:c r="W1178" s="87" t="str">
        <x:v>Полный PDF, задание 4</x:v>
      </x:c>
      <x:c r="X1178" s="87"/>
      <x:c r="Y1178" s="87"/>
      <x:c r="Z1178" s="87"/>
      <x:c r="AA1178" s="87"/>
      <x:c r="AB1178" s="87"/>
      <x:c r="AC1178" s="87"/>
      <x:c r="AD1178" s="87"/>
      <x:c r="AE1178" s="87"/>
      <x:c r="AF1178" s="87"/>
      <x:c r="AG1178" s="87"/>
      <x:c r="AH1178" s="87"/>
      <x:c r="AI1178" s="30"/>
      <x:c r="AJ1178" s="87" t="str">
        <x:v>master</x:v>
      </x:c>
      <x:c r="AK1178" s="87" t="str">
        <x:v>master-v0.81</x:v>
      </x:c>
      <x:c r="AL1178" s="87" t="str">
        <x:v>statgrad_master_base_v0_81_final(2).xlsx</x:v>
      </x:c>
      <x:c r="AM1178" s="87" t="str">
        <x:v>BIO_Mar_V1</x:v>
      </x:c>
      <x:c r="AN1178" s="87" t="n">
        <x:v>5</x:v>
      </x:c>
    </x:row>
    <x:row r="1179">
      <x:c r="A1179" s="87" t="n">
        <x:v>1178</x:v>
      </x:c>
      <x:c r="B1179" s="87" t="str">
        <x:v>MAR-BIO-V1-005</x:v>
      </x:c>
      <x:c r="C1179" s="87" t="str">
        <x:v>СтатГрад</x:v>
      </x:c>
      <x:c r="D1179" s="87" t="str">
        <x:v>Март 2026</x:v>
      </x:c>
      <x:c r="E1179" s="87"/>
      <x:c r="F1179" s="87"/>
      <x:c r="G1179" s="87" t="str">
        <x:v>Биология</x:v>
      </x:c>
      <x:c r="H1179" s="87" t="n">
        <x:v>11</x:v>
      </x:c>
      <x:c r="I1179" s="87" t="str">
        <x:v>ТР №4</x:v>
      </x:c>
      <x:c r="J1179" s="87" t="str">
        <x:v>БИ2510401</x:v>
      </x:c>
      <x:c r="K1179" s="87" t="n">
        <x:v>5</x:v>
      </x:c>
      <x:c r="L1179" s="87" t="str">
        <x:v>Жизненный цикл ретровируса</x:v>
      </x:c>
      <x:c r="M1179" s="30" t="str">
        <x:v>Определить номер фермента обратной транскрипции на схеме.</x:v>
      </x:c>
      <x:c r="N1179" s="30" t="str">
        <x:v>7</x:v>
      </x:c>
      <x:c r="O1179" s="30" t="str">
        <x:v>Обратная транскриптаза синтезирует ДНК по матрице вирусной РНК; на рисунке она обозначена цифрой 7.</x:v>
      </x:c>
      <x:c r="P1179" s="30" t="str">
        <x:v>Функция фермента сопоставлена с этапом жизненного цикла.</x:v>
      </x:c>
      <x:c r="Q1179" s="30"/>
      <x:c r="R1179" s="30" t="str">
        <x:v>PDF + открытый ответ 7</x:v>
      </x:c>
      <x:c r="S1179" s="30"/>
      <x:c r="T1179" s="30"/>
      <x:c r="U1179" s="30" t="str">
        <x:v>Расхождений не обнаружено.</x:v>
      </x:c>
      <x:c r="V1179" s="87" t="str">
        <x:v>VERIFIED</x:v>
      </x:c>
      <x:c r="W1179" s="87" t="str">
        <x:v>Полный PDF, задание 5</x:v>
      </x:c>
      <x:c r="X1179" s="87"/>
      <x:c r="Y1179" s="87"/>
      <x:c r="Z1179" s="87"/>
      <x:c r="AA1179" s="87"/>
      <x:c r="AB1179" s="87"/>
      <x:c r="AC1179" s="87"/>
      <x:c r="AD1179" s="87"/>
      <x:c r="AE1179" s="87"/>
      <x:c r="AF1179" s="87"/>
      <x:c r="AG1179" s="87"/>
      <x:c r="AH1179" s="87"/>
      <x:c r="AI1179" s="30"/>
      <x:c r="AJ1179" s="87" t="str">
        <x:v>master</x:v>
      </x:c>
      <x:c r="AK1179" s="87" t="str">
        <x:v>master-v0.81</x:v>
      </x:c>
      <x:c r="AL1179" s="87" t="str">
        <x:v>statgrad_master_base_v0_81_final(2).xlsx</x:v>
      </x:c>
      <x:c r="AM1179" s="87" t="str">
        <x:v>BIO_Mar_V1</x:v>
      </x:c>
      <x:c r="AN1179" s="87" t="n">
        <x:v>6</x:v>
      </x:c>
    </x:row>
    <x:row r="1180">
      <x:c r="A1180" s="87" t="n">
        <x:v>1179</x:v>
      </x:c>
      <x:c r="B1180" s="87" t="str">
        <x:v>MAR-BIO-V1-006</x:v>
      </x:c>
      <x:c r="C1180" s="87" t="str">
        <x:v>СтатГрад</x:v>
      </x:c>
      <x:c r="D1180" s="87" t="str">
        <x:v>Март 2026</x:v>
      </x:c>
      <x:c r="E1180" s="87"/>
      <x:c r="F1180" s="87"/>
      <x:c r="G1180" s="87" t="str">
        <x:v>Биология</x:v>
      </x:c>
      <x:c r="H1180" s="87" t="n">
        <x:v>11</x:v>
      </x:c>
      <x:c r="I1180" s="87" t="str">
        <x:v>ТР №4</x:v>
      </x:c>
      <x:c r="J1180" s="87" t="str">
        <x:v>БИ2510401</x:v>
      </x:c>
      <x:c r="K1180" s="87" t="n">
        <x:v>6</x:v>
      </x:c>
      <x:c r="L1180" s="87" t="str">
        <x:v>Структуры ретровируса и клетки</x:v>
      </x:c>
      <x:c r="M1180" s="30" t="str">
        <x:v>Соотнести аминокислотный состав, дезоксирибозу, капсид, матрицу, транскрипцию и урацил со структурами 1–3.</x:v>
      </x:c>
      <x:c r="N1180" s="30" t="str">
        <x:v>131322</x:v>
      </x:c>
      <x:c r="O1180" s="30" t="str">
        <x:v>Белок капсида состоит из аминокислот; ДНК содержит дезоксирибозу и служит матрицей; РНК образуется транскрипцией и содержит урацил.</x:v>
      </x:c>
      <x:c r="P1180" s="30" t="str">
        <x:v>Все шесть характеристик проверены по химическому составу белка, ДНК и РНК.</x:v>
      </x:c>
      <x:c r="Q1180" s="30"/>
      <x:c r="R1180" s="30" t="str">
        <x:v>PDF + открытый ответ 131322</x:v>
      </x:c>
      <x:c r="S1180" s="30"/>
      <x:c r="T1180" s="30"/>
      <x:c r="U1180" s="30" t="str">
        <x:v>Расхождений не обнаружено.</x:v>
      </x:c>
      <x:c r="V1180" s="87" t="str">
        <x:v>VERIFIED</x:v>
      </x:c>
      <x:c r="W1180" s="87" t="str">
        <x:v>Полный PDF, задание 6</x:v>
      </x:c>
      <x:c r="X1180" s="87"/>
      <x:c r="Y1180" s="87"/>
      <x:c r="Z1180" s="87"/>
      <x:c r="AA1180" s="87"/>
      <x:c r="AB1180" s="87"/>
      <x:c r="AC1180" s="87"/>
      <x:c r="AD1180" s="87"/>
      <x:c r="AE1180" s="87"/>
      <x:c r="AF1180" s="87"/>
      <x:c r="AG1180" s="87"/>
      <x:c r="AH1180" s="87"/>
      <x:c r="AI1180" s="30"/>
      <x:c r="AJ1180" s="87" t="str">
        <x:v>master</x:v>
      </x:c>
      <x:c r="AK1180" s="87" t="str">
        <x:v>master-v0.81</x:v>
      </x:c>
      <x:c r="AL1180" s="87" t="str">
        <x:v>statgrad_master_base_v0_81_final(2).xlsx</x:v>
      </x:c>
      <x:c r="AM1180" s="87" t="str">
        <x:v>BIO_Mar_V1</x:v>
      </x:c>
      <x:c r="AN1180" s="87" t="n">
        <x:v>7</x:v>
      </x:c>
    </x:row>
    <x:row r="1181">
      <x:c r="A1181" s="87" t="n">
        <x:v>1180</x:v>
      </x:c>
      <x:c r="B1181" s="87" t="str">
        <x:v>MAR-BIO-V1-007</x:v>
      </x:c>
      <x:c r="C1181" s="87" t="str">
        <x:v>СтатГрад</x:v>
      </x:c>
      <x:c r="D1181" s="87" t="str">
        <x:v>Март 2026</x:v>
      </x:c>
      <x:c r="E1181" s="87"/>
      <x:c r="F1181" s="87"/>
      <x:c r="G1181" s="87" t="str">
        <x:v>Биология</x:v>
      </x:c>
      <x:c r="H1181" s="87" t="n">
        <x:v>11</x:v>
      </x:c>
      <x:c r="I1181" s="87" t="str">
        <x:v>ТР №4</x:v>
      </x:c>
      <x:c r="J1181" s="87" t="str">
        <x:v>БИ2510401</x:v>
      </x:c>
      <x:c r="K1181" s="87" t="n">
        <x:v>7</x:v>
      </x:c>
      <x:c r="L1181" s="87" t="str">
        <x:v>Эмбриология</x:v>
      </x:c>
      <x:c r="M1181" s="30" t="str">
        <x:v>Выбрать структуры, присутствующие на стадии нейрулы.</x:v>
      </x:c>
      <x:c r="N1181" s="30" t="str">
        <x:v>124</x:v>
      </x:c>
      <x:c r="O1181" s="30" t="str">
        <x:v>Для нейрулы характерны хорда, мезодерма и нервные валики.</x:v>
      </x:c>
      <x:c r="P1181" s="30" t="str">
        <x:v>Бластомеры и бластоцель относятся к более ранним стадиям; сердце формируется позднее.</x:v>
      </x:c>
      <x:c r="Q1181" s="30"/>
      <x:c r="R1181" s="30" t="str">
        <x:v>PDF + открытый ответ 124</x:v>
      </x:c>
      <x:c r="S1181" s="30"/>
      <x:c r="T1181" s="30"/>
      <x:c r="U1181" s="30" t="str">
        <x:v>Расхождений не обнаружено.</x:v>
      </x:c>
      <x:c r="V1181" s="87" t="str">
        <x:v>VERIFIED</x:v>
      </x:c>
      <x:c r="W1181" s="87" t="str">
        <x:v>Полный PDF, задание 7</x:v>
      </x:c>
      <x:c r="X1181" s="87"/>
      <x:c r="Y1181" s="87"/>
      <x:c r="Z1181" s="87"/>
      <x:c r="AA1181" s="87"/>
      <x:c r="AB1181" s="87"/>
      <x:c r="AC1181" s="87"/>
      <x:c r="AD1181" s="87"/>
      <x:c r="AE1181" s="87"/>
      <x:c r="AF1181" s="87"/>
      <x:c r="AG1181" s="87"/>
      <x:c r="AH1181" s="87"/>
      <x:c r="AI1181" s="30"/>
      <x:c r="AJ1181" s="87" t="str">
        <x:v>master</x:v>
      </x:c>
      <x:c r="AK1181" s="87" t="str">
        <x:v>master-v0.81</x:v>
      </x:c>
      <x:c r="AL1181" s="87" t="str">
        <x:v>statgrad_master_base_v0_81_final(2).xlsx</x:v>
      </x:c>
      <x:c r="AM1181" s="87" t="str">
        <x:v>BIO_Mar_V1</x:v>
      </x:c>
      <x:c r="AN1181" s="87" t="n">
        <x:v>8</x:v>
      </x:c>
    </x:row>
    <x:row r="1182">
      <x:c r="A1182" s="87" t="n">
        <x:v>1181</x:v>
      </x:c>
      <x:c r="B1182" s="87" t="str">
        <x:v>MAR-BIO-V1-008</x:v>
      </x:c>
      <x:c r="C1182" s="87" t="str">
        <x:v>СтатГрад</x:v>
      </x:c>
      <x:c r="D1182" s="87" t="str">
        <x:v>Март 2026</x:v>
      </x:c>
      <x:c r="E1182" s="87"/>
      <x:c r="F1182" s="87"/>
      <x:c r="G1182" s="87" t="str">
        <x:v>Биология</x:v>
      </x:c>
      <x:c r="H1182" s="87" t="n">
        <x:v>11</x:v>
      </x:c>
      <x:c r="I1182" s="87" t="str">
        <x:v>ТР №4</x:v>
      </x:c>
      <x:c r="J1182" s="87" t="str">
        <x:v>БИ2510401</x:v>
      </x:c>
      <x:c r="K1182" s="87" t="n">
        <x:v>8</x:v>
      </x:c>
      <x:c r="L1182" s="87" t="str">
        <x:v>Клонирование</x:v>
      </x:c>
      <x:c r="M1182" s="30" t="str">
        <x:v>Расположить этапы клонирования мыши, начиная с удаления генетического материала яйцеклетки.</x:v>
      </x:c>
      <x:c r="N1182" s="30" t="str">
        <x:v>41523</x:v>
      </x:c>
      <x:c r="O1182" s="30" t="str">
        <x:v>Энуклеация яйцеклетки → получение соматического ядра → перенос ядра → культивирование до бластоцисты → имплантация.</x:v>
      </x:c>
      <x:c r="P1182" s="30" t="str">
        <x:v>Логика переноса соматического ядра проверена по технологии SCNT.</x:v>
      </x:c>
      <x:c r="Q1182" s="30"/>
      <x:c r="R1182" s="30" t="str">
        <x:v>PDF + открытый ответ 41523</x:v>
      </x:c>
      <x:c r="S1182" s="30"/>
      <x:c r="T1182" s="30"/>
      <x:c r="U1182" s="30" t="str">
        <x:v>Расхождений не обнаружено.</x:v>
      </x:c>
      <x:c r="V1182" s="87" t="str">
        <x:v>VERIFIED</x:v>
      </x:c>
      <x:c r="W1182" s="87" t="str">
        <x:v>Полный PDF, задание 8</x:v>
      </x:c>
      <x:c r="X1182" s="87"/>
      <x:c r="Y1182" s="87"/>
      <x:c r="Z1182" s="87"/>
      <x:c r="AA1182" s="87"/>
      <x:c r="AB1182" s="87"/>
      <x:c r="AC1182" s="87"/>
      <x:c r="AD1182" s="87"/>
      <x:c r="AE1182" s="87"/>
      <x:c r="AF1182" s="87"/>
      <x:c r="AG1182" s="87"/>
      <x:c r="AH1182" s="87"/>
      <x:c r="AI1182" s="30"/>
      <x:c r="AJ1182" s="87" t="str">
        <x:v>master</x:v>
      </x:c>
      <x:c r="AK1182" s="87" t="str">
        <x:v>master-v0.81</x:v>
      </x:c>
      <x:c r="AL1182" s="87" t="str">
        <x:v>statgrad_master_base_v0_81_final(2).xlsx</x:v>
      </x:c>
      <x:c r="AM1182" s="87" t="str">
        <x:v>BIO_Mar_V1</x:v>
      </x:c>
      <x:c r="AN1182" s="87" t="n">
        <x:v>9</x:v>
      </x:c>
    </x:row>
    <x:row r="1183">
      <x:c r="A1183" s="87" t="n">
        <x:v>1182</x:v>
      </x:c>
      <x:c r="B1183" s="87" t="str">
        <x:v>MAR-BIO-V1-009</x:v>
      </x:c>
      <x:c r="C1183" s="87" t="str">
        <x:v>СтатГрад</x:v>
      </x:c>
      <x:c r="D1183" s="87" t="str">
        <x:v>Март 2026</x:v>
      </x:c>
      <x:c r="E1183" s="87"/>
      <x:c r="F1183" s="87"/>
      <x:c r="G1183" s="87" t="str">
        <x:v>Биология</x:v>
      </x:c>
      <x:c r="H1183" s="87" t="n">
        <x:v>11</x:v>
      </x:c>
      <x:c r="I1183" s="87" t="str">
        <x:v>ТР №4</x:v>
      </x:c>
      <x:c r="J1183" s="87" t="str">
        <x:v>БИ2510401</x:v>
      </x:c>
      <x:c r="K1183" s="87" t="n">
        <x:v>9</x:v>
      </x:c>
      <x:c r="L1183" s="87" t="str">
        <x:v>Луковица тюльпана</x:v>
      </x:c>
      <x:c r="M1183" s="30" t="str">
        <x:v>Определить номер кроющей чешуи.</x:v>
      </x:c>
      <x:c r="N1183" s="30" t="str">
        <x:v>7</x:v>
      </x:c>
      <x:c r="O1183" s="30" t="str">
        <x:v>Наружная сухая кроющая чешуя обозначена цифрой 7.</x:v>
      </x:c>
      <x:c r="P1183" s="30" t="str">
        <x:v>Рисунок проверен визуально.</x:v>
      </x:c>
      <x:c r="Q1183" s="30"/>
      <x:c r="R1183" s="30" t="str">
        <x:v>PDF + открытый ответ 7</x:v>
      </x:c>
      <x:c r="S1183" s="30"/>
      <x:c r="T1183" s="30"/>
      <x:c r="U1183" s="30" t="str">
        <x:v>Расхождений не обнаружено.</x:v>
      </x:c>
      <x:c r="V1183" s="87" t="str">
        <x:v>VERIFIED</x:v>
      </x:c>
      <x:c r="W1183" s="87" t="str">
        <x:v>Полный PDF, задание 9</x:v>
      </x:c>
      <x:c r="X1183" s="87"/>
      <x:c r="Y1183" s="87"/>
      <x:c r="Z1183" s="87"/>
      <x:c r="AA1183" s="87"/>
      <x:c r="AB1183" s="87"/>
      <x:c r="AC1183" s="87"/>
      <x:c r="AD1183" s="87"/>
      <x:c r="AE1183" s="87"/>
      <x:c r="AF1183" s="87"/>
      <x:c r="AG1183" s="87"/>
      <x:c r="AH1183" s="87"/>
      <x:c r="AI1183" s="30"/>
      <x:c r="AJ1183" s="87" t="str">
        <x:v>master</x:v>
      </x:c>
      <x:c r="AK1183" s="87" t="str">
        <x:v>master-v0.81</x:v>
      </x:c>
      <x:c r="AL1183" s="87" t="str">
        <x:v>statgrad_master_base_v0_81_final(2).xlsx</x:v>
      </x:c>
      <x:c r="AM1183" s="87" t="str">
        <x:v>BIO_Mar_V1</x:v>
      </x:c>
      <x:c r="AN1183" s="87" t="n">
        <x:v>10</x:v>
      </x:c>
    </x:row>
    <x:row r="1184">
      <x:c r="A1184" s="87" t="n">
        <x:v>1183</x:v>
      </x:c>
      <x:c r="B1184" s="87" t="str">
        <x:v>MAR-BIO-V1-010</x:v>
      </x:c>
      <x:c r="C1184" s="87" t="str">
        <x:v>СтатГрад</x:v>
      </x:c>
      <x:c r="D1184" s="87" t="str">
        <x:v>Март 2026</x:v>
      </x:c>
      <x:c r="E1184" s="87"/>
      <x:c r="F1184" s="87"/>
      <x:c r="G1184" s="87" t="str">
        <x:v>Биология</x:v>
      </x:c>
      <x:c r="H1184" s="87" t="n">
        <x:v>11</x:v>
      </x:c>
      <x:c r="I1184" s="87" t="str">
        <x:v>ТР №4</x:v>
      </x:c>
      <x:c r="J1184" s="87" t="str">
        <x:v>БИ2510401</x:v>
      </x:c>
      <x:c r="K1184" s="87" t="n">
        <x:v>10</x:v>
      </x:c>
      <x:c r="L1184" s="87" t="str">
        <x:v>Луковица тюльпана: функции</x:v>
      </x:c>
      <x:c r="M1184" s="30" t="str">
        <x:v>Соотнести функции с тычинками, завязью и запасающими чешуями, обозначенными 1–3.</x:v>
      </x:c>
      <x:c r="N1184" s="30" t="str">
        <x:v>313231</x:v>
      </x:c>
      <x:c r="O1184" s="30" t="str">
        <x:v>Запасающие чешуи (3) питают побег, хранят углеводы и удерживают влагу; тычинки (1) образуют микроспоры и пыльцу; завязь (2) формирует семязачатки.</x:v>
      </x:c>
      <x:c r="P1184" s="30" t="str">
        <x:v>Направления стрелок на рисунке и функции органов цветка проверены отдельно.</x:v>
      </x:c>
      <x:c r="Q1184" s="30"/>
      <x:c r="R1184" s="30" t="str">
        <x:v>Полный PDF + визуальная проверка</x:v>
      </x:c>
      <x:c r="S1184" s="30"/>
      <x:c r="T1184" s="30"/>
      <x:c r="U1184" s="30" t="str">
        <x:v>Расхождений не обнаружено.</x:v>
      </x:c>
      <x:c r="V1184" s="87" t="str">
        <x:v>VERIFIED</x:v>
      </x:c>
      <x:c r="W1184" s="87" t="str">
        <x:v>Полный PDF, задание 10</x:v>
      </x:c>
      <x:c r="X1184" s="87"/>
      <x:c r="Y1184" s="87"/>
      <x:c r="Z1184" s="87"/>
      <x:c r="AA1184" s="87"/>
      <x:c r="AB1184" s="87"/>
      <x:c r="AC1184" s="87"/>
      <x:c r="AD1184" s="87"/>
      <x:c r="AE1184" s="87"/>
      <x:c r="AF1184" s="87"/>
      <x:c r="AG1184" s="87"/>
      <x:c r="AH1184" s="87"/>
      <x:c r="AI1184" s="30"/>
      <x:c r="AJ1184" s="87" t="str">
        <x:v>master</x:v>
      </x:c>
      <x:c r="AK1184" s="87" t="str">
        <x:v>master-v0.81</x:v>
      </x:c>
      <x:c r="AL1184" s="87" t="str">
        <x:v>statgrad_master_base_v0_81_final(2).xlsx</x:v>
      </x:c>
      <x:c r="AM1184" s="87" t="str">
        <x:v>BIO_Mar_V1</x:v>
      </x:c>
      <x:c r="AN1184" s="87" t="n">
        <x:v>11</x:v>
      </x:c>
    </x:row>
    <x:row r="1185">
      <x:c r="A1185" s="87" t="n">
        <x:v>1184</x:v>
      </x:c>
      <x:c r="B1185" s="87" t="str">
        <x:v>MAR-BIO-V1-011</x:v>
      </x:c>
      <x:c r="C1185" s="87" t="str">
        <x:v>СтатГрад</x:v>
      </x:c>
      <x:c r="D1185" s="87" t="str">
        <x:v>Март 2026</x:v>
      </x:c>
      <x:c r="E1185" s="87"/>
      <x:c r="F1185" s="87"/>
      <x:c r="G1185" s="87" t="str">
        <x:v>Биология</x:v>
      </x:c>
      <x:c r="H1185" s="87" t="n">
        <x:v>11</x:v>
      </x:c>
      <x:c r="I1185" s="87" t="str">
        <x:v>ТР №4</x:v>
      </x:c>
      <x:c r="J1185" s="87" t="str">
        <x:v>БИ2510401</x:v>
      </x:c>
      <x:c r="K1185" s="87" t="n">
        <x:v>11</x:v>
      </x:c>
      <x:c r="L1185" s="87" t="str">
        <x:v>Зоология рыб</x:v>
      </x:c>
      <x:c r="M1185" s="30" t="str">
        <x:v>Выбрать органы и структуры, имеющиеся у большинства рыб.</x:v>
      </x:c>
      <x:c r="N1185" s="30" t="str">
        <x:v>135</x:v>
      </x:c>
      <x:c r="O1185" s="30" t="str">
        <x:v>Большинство рыб имеет двухкамерное сердце, мозжечок и орган боковой линии.</x:v>
      </x:c>
      <x:c r="P1185" s="30" t="str">
        <x:v>Диафрагма, среднее ухо и воздушные мешки рыбам не свойственны.</x:v>
      </x:c>
      <x:c r="Q1185" s="30"/>
      <x:c r="R1185" s="30" t="str">
        <x:v>Полный PDF + независимое решение</x:v>
      </x:c>
      <x:c r="S1185" s="30"/>
      <x:c r="T1185" s="30"/>
      <x:c r="U1185" s="30" t="str">
        <x:v>Расхождений не обнаружено.</x:v>
      </x:c>
      <x:c r="V1185" s="87" t="str">
        <x:v>VERIFIED</x:v>
      </x:c>
      <x:c r="W1185" s="87" t="str">
        <x:v>Полный PDF, задание 11</x:v>
      </x:c>
      <x:c r="X1185" s="87"/>
      <x:c r="Y1185" s="87"/>
      <x:c r="Z1185" s="87"/>
      <x:c r="AA1185" s="87"/>
      <x:c r="AB1185" s="87"/>
      <x:c r="AC1185" s="87"/>
      <x:c r="AD1185" s="87"/>
      <x:c r="AE1185" s="87"/>
      <x:c r="AF1185" s="87"/>
      <x:c r="AG1185" s="87"/>
      <x:c r="AH1185" s="87"/>
      <x:c r="AI1185" s="30"/>
      <x:c r="AJ1185" s="87" t="str">
        <x:v>master</x:v>
      </x:c>
      <x:c r="AK1185" s="87" t="str">
        <x:v>master-v0.81</x:v>
      </x:c>
      <x:c r="AL1185" s="87" t="str">
        <x:v>statgrad_master_base_v0_81_final(2).xlsx</x:v>
      </x:c>
      <x:c r="AM1185" s="87" t="str">
        <x:v>BIO_Mar_V1</x:v>
      </x:c>
      <x:c r="AN1185" s="87" t="n">
        <x:v>12</x:v>
      </x:c>
    </x:row>
    <x:row r="1186">
      <x:c r="A1186" s="87" t="n">
        <x:v>1185</x:v>
      </x:c>
      <x:c r="B1186" s="87" t="str">
        <x:v>MAR-BIO-V1-012</x:v>
      </x:c>
      <x:c r="C1186" s="87" t="str">
        <x:v>СтатГрад</x:v>
      </x:c>
      <x:c r="D1186" s="87" t="str">
        <x:v>Март 2026</x:v>
      </x:c>
      <x:c r="E1186" s="87"/>
      <x:c r="F1186" s="87"/>
      <x:c r="G1186" s="87" t="str">
        <x:v>Биология</x:v>
      </x:c>
      <x:c r="H1186" s="87" t="n">
        <x:v>11</x:v>
      </x:c>
      <x:c r="I1186" s="87" t="str">
        <x:v>ТР №4</x:v>
      </x:c>
      <x:c r="J1186" s="87" t="str">
        <x:v>БИ2510401</x:v>
      </x:c>
      <x:c r="K1186" s="87" t="n">
        <x:v>12</x:v>
      </x:c>
      <x:c r="L1186" s="87" t="str">
        <x:v>Систематика животных</x:v>
      </x:c>
      <x:c r="M1186" s="30" t="str">
        <x:v>Расположить группы рака-отшельника от наиболее высокого ранга к виду.</x:v>
      </x:c>
      <x:c r="N1186" s="30" t="str">
        <x:v>136524</x:v>
      </x:c>
      <x:c r="O1186" s="30" t="str">
        <x:v>Животные → Членистоногие → Ракообразные → Десятиногие → Раки-отшельники → рак-отшельник обыкновенный.</x:v>
      </x:c>
      <x:c r="P1186" s="30" t="str">
        <x:v>Таксономические ранги проверены.</x:v>
      </x:c>
      <x:c r="Q1186" s="30"/>
      <x:c r="R1186" s="30" t="str">
        <x:v>Полный PDF + независимое решение</x:v>
      </x:c>
      <x:c r="S1186" s="30"/>
      <x:c r="T1186" s="30"/>
      <x:c r="U1186" s="30" t="str">
        <x:v>Расхождений не обнаружено.</x:v>
      </x:c>
      <x:c r="V1186" s="87" t="str">
        <x:v>VERIFIED</x:v>
      </x:c>
      <x:c r="W1186" s="87" t="str">
        <x:v>Полный PDF, задание 12</x:v>
      </x:c>
      <x:c r="X1186" s="87"/>
      <x:c r="Y1186" s="87"/>
      <x:c r="Z1186" s="87"/>
      <x:c r="AA1186" s="87"/>
      <x:c r="AB1186" s="87"/>
      <x:c r="AC1186" s="87"/>
      <x:c r="AD1186" s="87"/>
      <x:c r="AE1186" s="87"/>
      <x:c r="AF1186" s="87"/>
      <x:c r="AG1186" s="87"/>
      <x:c r="AH1186" s="87"/>
      <x:c r="AI1186" s="30"/>
      <x:c r="AJ1186" s="87" t="str">
        <x:v>master</x:v>
      </x:c>
      <x:c r="AK1186" s="87" t="str">
        <x:v>master-v0.81</x:v>
      </x:c>
      <x:c r="AL1186" s="87" t="str">
        <x:v>statgrad_master_base_v0_81_final(2).xlsx</x:v>
      </x:c>
      <x:c r="AM1186" s="87" t="str">
        <x:v>BIO_Mar_V1</x:v>
      </x:c>
      <x:c r="AN1186" s="87" t="n">
        <x:v>13</x:v>
      </x:c>
    </x:row>
    <x:row r="1187">
      <x:c r="A1187" s="87" t="n">
        <x:v>1186</x:v>
      </x:c>
      <x:c r="B1187" s="87" t="str">
        <x:v>MAR-BIO-V1-013</x:v>
      </x:c>
      <x:c r="C1187" s="87" t="str">
        <x:v>СтатГрад</x:v>
      </x:c>
      <x:c r="D1187" s="87" t="str">
        <x:v>Март 2026</x:v>
      </x:c>
      <x:c r="E1187" s="87"/>
      <x:c r="F1187" s="87"/>
      <x:c r="G1187" s="87" t="str">
        <x:v>Биология</x:v>
      </x:c>
      <x:c r="H1187" s="87" t="n">
        <x:v>11</x:v>
      </x:c>
      <x:c r="I1187" s="87" t="str">
        <x:v>ТР №4</x:v>
      </x:c>
      <x:c r="J1187" s="87" t="str">
        <x:v>БИ2510401</x:v>
      </x:c>
      <x:c r="K1187" s="87" t="n">
        <x:v>13</x:v>
      </x:c>
      <x:c r="L1187" s="87" t="str">
        <x:v>Скелет человека</x:v>
      </x:c>
      <x:c r="M1187" s="30" t="str">
        <x:v>Определить номер теменной кости.</x:v>
      </x:c>
      <x:c r="N1187" s="30" t="str">
        <x:v>7</x:v>
      </x:c>
      <x:c r="O1187" s="30" t="str">
        <x:v>Теменная кость образует верхнебоковую часть мозгового отдела черепа; на рисунке обозначена цифрой 7.</x:v>
      </x:c>
      <x:c r="P1187" s="30" t="str">
        <x:v>Рисунок проверен визуально.</x:v>
      </x:c>
      <x:c r="Q1187" s="30"/>
      <x:c r="R1187" s="30" t="str">
        <x:v>Полный PDF + визуальная проверка</x:v>
      </x:c>
      <x:c r="S1187" s="30"/>
      <x:c r="T1187" s="30"/>
      <x:c r="U1187" s="30" t="str">
        <x:v>Расхождений не обнаружено.</x:v>
      </x:c>
      <x:c r="V1187" s="87" t="str">
        <x:v>VERIFIED</x:v>
      </x:c>
      <x:c r="W1187" s="87" t="str">
        <x:v>Полный PDF, задание 13</x:v>
      </x:c>
      <x:c r="X1187" s="87"/>
      <x:c r="Y1187" s="87"/>
      <x:c r="Z1187" s="87"/>
      <x:c r="AA1187" s="87"/>
      <x:c r="AB1187" s="87"/>
      <x:c r="AC1187" s="87"/>
      <x:c r="AD1187" s="87"/>
      <x:c r="AE1187" s="87"/>
      <x:c r="AF1187" s="87"/>
      <x:c r="AG1187" s="87"/>
      <x:c r="AH1187" s="87"/>
      <x:c r="AI1187" s="30"/>
      <x:c r="AJ1187" s="87" t="str">
        <x:v>master</x:v>
      </x:c>
      <x:c r="AK1187" s="87" t="str">
        <x:v>master-v0.81</x:v>
      </x:c>
      <x:c r="AL1187" s="87" t="str">
        <x:v>statgrad_master_base_v0_81_final(2).xlsx</x:v>
      </x:c>
      <x:c r="AM1187" s="87" t="str">
        <x:v>BIO_Mar_V1</x:v>
      </x:c>
      <x:c r="AN1187" s="87" t="n">
        <x:v>14</x:v>
      </x:c>
    </x:row>
    <x:row r="1188">
      <x:c r="A1188" s="87" t="n">
        <x:v>1187</x:v>
      </x:c>
      <x:c r="B1188" s="87" t="str">
        <x:v>MAR-BIO-V1-014</x:v>
      </x:c>
      <x:c r="C1188" s="87" t="str">
        <x:v>СтатГрад</x:v>
      </x:c>
      <x:c r="D1188" s="87" t="str">
        <x:v>Март 2026</x:v>
      </x:c>
      <x:c r="E1188" s="87"/>
      <x:c r="F1188" s="87"/>
      <x:c r="G1188" s="87" t="str">
        <x:v>Биология</x:v>
      </x:c>
      <x:c r="H1188" s="87" t="n">
        <x:v>11</x:v>
      </x:c>
      <x:c r="I1188" s="87" t="str">
        <x:v>ТР №4</x:v>
      </x:c>
      <x:c r="J1188" s="87" t="str">
        <x:v>БИ2510401</x:v>
      </x:c>
      <x:c r="K1188" s="87" t="n">
        <x:v>14</x:v>
      </x:c>
      <x:c r="L1188" s="87" t="str">
        <x:v>Кости человека</x:v>
      </x:c>
      <x:c r="M1188" s="30" t="str">
        <x:v>Соотнести свойства с ключицей, плечевой и затылочной костями, обозначенными 1–3.</x:v>
      </x:c>
      <x:c r="N1188" s="30" t="str">
        <x:v>313211</x:v>
      </x:c>
      <x:c r="O1188" s="30" t="str">
        <x:v>Затылочная кость (3) плоская и сочленяется с позвоночником; ключица (1) соединяется с грудиной, входит в пояс и S-образна; плечевая кость (2) образует сустав с лучевой.</x:v>
      </x:c>
      <x:c r="P1188" s="30" t="str">
        <x:v>Каждая характеристика сопоставлена с анатомией указанной кости.</x:v>
      </x:c>
      <x:c r="Q1188" s="30"/>
      <x:c r="R1188" s="30" t="str">
        <x:v>Полный PDF + независимое решение</x:v>
      </x:c>
      <x:c r="S1188" s="30"/>
      <x:c r="T1188" s="30"/>
      <x:c r="U1188" s="30" t="str">
        <x:v>Расхождений не обнаружено.</x:v>
      </x:c>
      <x:c r="V1188" s="87" t="str">
        <x:v>VERIFIED</x:v>
      </x:c>
      <x:c r="W1188" s="87" t="str">
        <x:v>Полный PDF, задание 14</x:v>
      </x:c>
      <x:c r="X1188" s="87"/>
      <x:c r="Y1188" s="87"/>
      <x:c r="Z1188" s="87"/>
      <x:c r="AA1188" s="87"/>
      <x:c r="AB1188" s="87"/>
      <x:c r="AC1188" s="87"/>
      <x:c r="AD1188" s="87"/>
      <x:c r="AE1188" s="87"/>
      <x:c r="AF1188" s="87"/>
      <x:c r="AG1188" s="87"/>
      <x:c r="AH1188" s="87"/>
      <x:c r="AI1188" s="30"/>
      <x:c r="AJ1188" s="87" t="str">
        <x:v>master</x:v>
      </x:c>
      <x:c r="AK1188" s="87" t="str">
        <x:v>master-v0.81</x:v>
      </x:c>
      <x:c r="AL1188" s="87" t="str">
        <x:v>statgrad_master_base_v0_81_final(2).xlsx</x:v>
      </x:c>
      <x:c r="AM1188" s="87" t="str">
        <x:v>BIO_Mar_V1</x:v>
      </x:c>
      <x:c r="AN1188" s="87" t="n">
        <x:v>15</x:v>
      </x:c>
    </x:row>
    <x:row r="1189">
      <x:c r="A1189" s="87" t="n">
        <x:v>1188</x:v>
      </x:c>
      <x:c r="B1189" s="87" t="str">
        <x:v>MAR-BIO-V1-015</x:v>
      </x:c>
      <x:c r="C1189" s="87" t="str">
        <x:v>СтатГрад</x:v>
      </x:c>
      <x:c r="D1189" s="87" t="str">
        <x:v>Март 2026</x:v>
      </x:c>
      <x:c r="E1189" s="87"/>
      <x:c r="F1189" s="87"/>
      <x:c r="G1189" s="87" t="str">
        <x:v>Биология</x:v>
      </x:c>
      <x:c r="H1189" s="87" t="n">
        <x:v>11</x:v>
      </x:c>
      <x:c r="I1189" s="87" t="str">
        <x:v>ТР №4</x:v>
      </x:c>
      <x:c r="J1189" s="87" t="str">
        <x:v>БИ2510401</x:v>
      </x:c>
      <x:c r="K1189" s="87" t="n">
        <x:v>15</x:v>
      </x:c>
      <x:c r="L1189" s="87" t="str">
        <x:v>Поджелудочная железа</x:v>
      </x:c>
      <x:c r="M1189" s="30" t="str">
        <x:v>Выбрать вещества, синтезируемые поджелудочной железой.</x:v>
      </x:c>
      <x:c r="N1189" s="30" t="str">
        <x:v>356</x:v>
      </x:c>
      <x:c r="O1189" s="30" t="str">
        <x:v>Поджелудочная железа синтезирует глюкагон, трипсиноген/трипсин и амилазу.</x:v>
      </x:c>
      <x:c r="P1189" s="30" t="str">
        <x:v>Гормональная и внешнесекреторная функции проверены отдельно.</x:v>
      </x:c>
      <x:c r="Q1189" s="30"/>
      <x:c r="R1189" s="30" t="str">
        <x:v>Полный PDF + независимое решение</x:v>
      </x:c>
      <x:c r="S1189" s="30"/>
      <x:c r="T1189" s="30"/>
      <x:c r="U1189" s="30" t="str">
        <x:v>Расхождений не обнаружено.</x:v>
      </x:c>
      <x:c r="V1189" s="87" t="str">
        <x:v>VERIFIED</x:v>
      </x:c>
      <x:c r="W1189" s="87" t="str">
        <x:v>Полный PDF, задание 15</x:v>
      </x:c>
      <x:c r="X1189" s="87"/>
      <x:c r="Y1189" s="87"/>
      <x:c r="Z1189" s="87"/>
      <x:c r="AA1189" s="87"/>
      <x:c r="AB1189" s="87"/>
      <x:c r="AC1189" s="87"/>
      <x:c r="AD1189" s="87"/>
      <x:c r="AE1189" s="87"/>
      <x:c r="AF1189" s="87"/>
      <x:c r="AG1189" s="87"/>
      <x:c r="AH1189" s="87"/>
      <x:c r="AI1189" s="30"/>
      <x:c r="AJ1189" s="87" t="str">
        <x:v>master</x:v>
      </x:c>
      <x:c r="AK1189" s="87" t="str">
        <x:v>master-v0.81</x:v>
      </x:c>
      <x:c r="AL1189" s="87" t="str">
        <x:v>statgrad_master_base_v0_81_final(2).xlsx</x:v>
      </x:c>
      <x:c r="AM1189" s="87" t="str">
        <x:v>BIO_Mar_V1</x:v>
      </x:c>
      <x:c r="AN1189" s="87" t="n">
        <x:v>16</x:v>
      </x:c>
    </x:row>
    <x:row r="1190">
      <x:c r="A1190" s="87" t="n">
        <x:v>1189</x:v>
      </x:c>
      <x:c r="B1190" s="87" t="str">
        <x:v>MAR-BIO-V1-016</x:v>
      </x:c>
      <x:c r="C1190" s="87" t="str">
        <x:v>СтатГрад</x:v>
      </x:c>
      <x:c r="D1190" s="87" t="str">
        <x:v>Март 2026</x:v>
      </x:c>
      <x:c r="E1190" s="87"/>
      <x:c r="F1190" s="87"/>
      <x:c r="G1190" s="87" t="str">
        <x:v>Биология</x:v>
      </x:c>
      <x:c r="H1190" s="87" t="n">
        <x:v>11</x:v>
      </x:c>
      <x:c r="I1190" s="87" t="str">
        <x:v>ТР №4</x:v>
      </x:c>
      <x:c r="J1190" s="87" t="str">
        <x:v>БИ2510401</x:v>
      </x:c>
      <x:c r="K1190" s="87" t="n">
        <x:v>16</x:v>
      </x:c>
      <x:c r="L1190" s="87" t="str">
        <x:v>Дыхательная система</x:v>
      </x:c>
      <x:c r="M1190" s="30" t="str">
        <x:v>Расположить структуры по пути воздуха при вдохе.</x:v>
      </x:c>
      <x:c r="N1190" s="30" t="str">
        <x:v>42153</x:v>
      </x:c>
      <x:c r="O1190" s="30" t="str">
        <x:v>Носовая полость → носоглотка → голосовые связки → трахея → бронхиолы.</x:v>
      </x:c>
      <x:c r="P1190" s="30" t="str">
        <x:v>Путь воздуха проверен по анатомическому расположению органов.</x:v>
      </x:c>
      <x:c r="Q1190" s="30"/>
      <x:c r="R1190" s="30" t="str">
        <x:v>Полный PDF + независимое решение</x:v>
      </x:c>
      <x:c r="S1190" s="30"/>
      <x:c r="T1190" s="30"/>
      <x:c r="U1190" s="30" t="str">
        <x:v>Расхождений не обнаружено.</x:v>
      </x:c>
      <x:c r="V1190" s="87" t="str">
        <x:v>VERIFIED</x:v>
      </x:c>
      <x:c r="W1190" s="87" t="str">
        <x:v>Полный PDF, задание 16</x:v>
      </x:c>
      <x:c r="X1190" s="87"/>
      <x:c r="Y1190" s="87"/>
      <x:c r="Z1190" s="87"/>
      <x:c r="AA1190" s="87"/>
      <x:c r="AB1190" s="87"/>
      <x:c r="AC1190" s="87"/>
      <x:c r="AD1190" s="87"/>
      <x:c r="AE1190" s="87"/>
      <x:c r="AF1190" s="87"/>
      <x:c r="AG1190" s="87"/>
      <x:c r="AH1190" s="87"/>
      <x:c r="AI1190" s="30"/>
      <x:c r="AJ1190" s="87" t="str">
        <x:v>master</x:v>
      </x:c>
      <x:c r="AK1190" s="87" t="str">
        <x:v>master-v0.81</x:v>
      </x:c>
      <x:c r="AL1190" s="87" t="str">
        <x:v>statgrad_master_base_v0_81_final(2).xlsx</x:v>
      </x:c>
      <x:c r="AM1190" s="87" t="str">
        <x:v>BIO_Mar_V1</x:v>
      </x:c>
      <x:c r="AN1190" s="87" t="n">
        <x:v>17</x:v>
      </x:c>
    </x:row>
    <x:row r="1191">
      <x:c r="A1191" s="87" t="n">
        <x:v>1190</x:v>
      </x:c>
      <x:c r="B1191" s="87" t="str">
        <x:v>MAR-BIO-V1-017</x:v>
      </x:c>
      <x:c r="C1191" s="87" t="str">
        <x:v>СтатГрад</x:v>
      </x:c>
      <x:c r="D1191" s="87" t="str">
        <x:v>Март 2026</x:v>
      </x:c>
      <x:c r="E1191" s="87"/>
      <x:c r="F1191" s="87"/>
      <x:c r="G1191" s="87" t="str">
        <x:v>Биология</x:v>
      </x:c>
      <x:c r="H1191" s="87" t="n">
        <x:v>11</x:v>
      </x:c>
      <x:c r="I1191" s="87" t="str">
        <x:v>ТР №4</x:v>
      </x:c>
      <x:c r="J1191" s="87" t="str">
        <x:v>БИ2510401</x:v>
      </x:c>
      <x:c r="K1191" s="87" t="n">
        <x:v>17</x:v>
      </x:c>
      <x:c r="L1191" s="87" t="str">
        <x:v>Доказательства эволюции</x:v>
      </x:c>
      <x:c r="M1191" s="30" t="str">
        <x:v>Выбрать предложения с биогеографическими доказательствами эволюции.</x:v>
      </x:c>
      <x:c r="N1191" s="30" t="str">
        <x:v>145</x:v>
      </x:c>
      <x:c r="O1191" s="30" t="str">
        <x:v>Разобщённое распространение двоякодышащих, эндемизм и реликтовый вид являются биогеографическими фактами.</x:v>
      </x:c>
      <x:c r="P1191" s="30" t="str">
        <x:v>Гомология, эмбриология и палеонтологическая датировка относятся к другим группам доказательств.</x:v>
      </x:c>
      <x:c r="Q1191" s="30"/>
      <x:c r="R1191" s="30" t="str">
        <x:v>Полный PDF + независимое решение</x:v>
      </x:c>
      <x:c r="S1191" s="30"/>
      <x:c r="T1191" s="30"/>
      <x:c r="U1191" s="30" t="str">
        <x:v>Расхождений не обнаружено.</x:v>
      </x:c>
      <x:c r="V1191" s="87" t="str">
        <x:v>VERIFIED</x:v>
      </x:c>
      <x:c r="W1191" s="87" t="str">
        <x:v>Полный PDF, задание 17</x:v>
      </x:c>
      <x:c r="X1191" s="87"/>
      <x:c r="Y1191" s="87"/>
      <x:c r="Z1191" s="87"/>
      <x:c r="AA1191" s="87"/>
      <x:c r="AB1191" s="87"/>
      <x:c r="AC1191" s="87"/>
      <x:c r="AD1191" s="87"/>
      <x:c r="AE1191" s="87"/>
      <x:c r="AF1191" s="87"/>
      <x:c r="AG1191" s="87"/>
      <x:c r="AH1191" s="87"/>
      <x:c r="AI1191" s="30"/>
      <x:c r="AJ1191" s="87" t="str">
        <x:v>master</x:v>
      </x:c>
      <x:c r="AK1191" s="87" t="str">
        <x:v>master-v0.81</x:v>
      </x:c>
      <x:c r="AL1191" s="87" t="str">
        <x:v>statgrad_master_base_v0_81_final(2).xlsx</x:v>
      </x:c>
      <x:c r="AM1191" s="87" t="str">
        <x:v>BIO_Mar_V1</x:v>
      </x:c>
      <x:c r="AN1191" s="87" t="n">
        <x:v>18</x:v>
      </x:c>
    </x:row>
    <x:row r="1192">
      <x:c r="A1192" s="87" t="n">
        <x:v>1191</x:v>
      </x:c>
      <x:c r="B1192" s="87" t="str">
        <x:v>MAR-BIO-V1-018</x:v>
      </x:c>
      <x:c r="C1192" s="87" t="str">
        <x:v>СтатГрад</x:v>
      </x:c>
      <x:c r="D1192" s="87" t="str">
        <x:v>Март 2026</x:v>
      </x:c>
      <x:c r="E1192" s="87"/>
      <x:c r="F1192" s="87"/>
      <x:c r="G1192" s="87" t="str">
        <x:v>Биология</x:v>
      </x:c>
      <x:c r="H1192" s="87" t="n">
        <x:v>11</x:v>
      </x:c>
      <x:c r="I1192" s="87" t="str">
        <x:v>ТР №4</x:v>
      </x:c>
      <x:c r="J1192" s="87" t="str">
        <x:v>БИ2510401</x:v>
      </x:c>
      <x:c r="K1192" s="87" t="n">
        <x:v>18</x:v>
      </x:c>
      <x:c r="L1192" s="87" t="str">
        <x:v>Экология океана</x:v>
      </x:c>
      <x:c r="M1192" s="30" t="str">
        <x:v>Выбрать продуцентов океанических экосистем.</x:v>
      </x:c>
      <x:c r="N1192" s="30" t="str">
        <x:v>345</x:v>
      </x:c>
      <x:c r="O1192" s="30" t="str">
        <x:v>Бурые водоросли, серобактерии и фитопланктон создают органическое вещество.</x:v>
      </x:c>
      <x:c r="P1192" s="30" t="str">
        <x:v>Трофические роли всех шести организмов проверены.</x:v>
      </x:c>
      <x:c r="Q1192" s="30"/>
      <x:c r="R1192" s="30" t="str">
        <x:v>Полный PDF + независимое решение</x:v>
      </x:c>
      <x:c r="S1192" s="30"/>
      <x:c r="T1192" s="30"/>
      <x:c r="U1192" s="30" t="str">
        <x:v>Расхождений не обнаружено.</x:v>
      </x:c>
      <x:c r="V1192" s="87" t="str">
        <x:v>VERIFIED</x:v>
      </x:c>
      <x:c r="W1192" s="87" t="str">
        <x:v>Полный PDF, задание 18</x:v>
      </x:c>
      <x:c r="X1192" s="87"/>
      <x:c r="Y1192" s="87"/>
      <x:c r="Z1192" s="87"/>
      <x:c r="AA1192" s="87"/>
      <x:c r="AB1192" s="87"/>
      <x:c r="AC1192" s="87"/>
      <x:c r="AD1192" s="87"/>
      <x:c r="AE1192" s="87"/>
      <x:c r="AF1192" s="87"/>
      <x:c r="AG1192" s="87"/>
      <x:c r="AH1192" s="87"/>
      <x:c r="AI1192" s="30"/>
      <x:c r="AJ1192" s="87" t="str">
        <x:v>master</x:v>
      </x:c>
      <x:c r="AK1192" s="87" t="str">
        <x:v>master-v0.81</x:v>
      </x:c>
      <x:c r="AL1192" s="87" t="str">
        <x:v>statgrad_master_base_v0_81_final(2).xlsx</x:v>
      </x:c>
      <x:c r="AM1192" s="87" t="str">
        <x:v>BIO_Mar_V1</x:v>
      </x:c>
      <x:c r="AN1192" s="87" t="n">
        <x:v>19</x:v>
      </x:c>
    </x:row>
    <x:row r="1193">
      <x:c r="A1193" s="87" t="n">
        <x:v>1192</x:v>
      </x:c>
      <x:c r="B1193" s="87" t="str">
        <x:v>MAR-BIO-V1-019</x:v>
      </x:c>
      <x:c r="C1193" s="87" t="str">
        <x:v>СтатГрад</x:v>
      </x:c>
      <x:c r="D1193" s="87" t="str">
        <x:v>Март 2026</x:v>
      </x:c>
      <x:c r="E1193" s="87"/>
      <x:c r="F1193" s="87"/>
      <x:c r="G1193" s="87" t="str">
        <x:v>Биология</x:v>
      </x:c>
      <x:c r="H1193" s="87" t="n">
        <x:v>11</x:v>
      </x:c>
      <x:c r="I1193" s="87" t="str">
        <x:v>ТР №4</x:v>
      </x:c>
      <x:c r="J1193" s="87" t="str">
        <x:v>БИ2510401</x:v>
      </x:c>
      <x:c r="K1193" s="87" t="n">
        <x:v>19</x:v>
      </x:c>
      <x:c r="L1193" s="87" t="str">
        <x:v>Экосистемы</x:v>
      </x:c>
      <x:c r="M1193" s="30" t="str">
        <x:v>Соотнести свойства чайной плантации и лиственного леса.</x:v>
      </x:c>
      <x:c r="N1193" s="30" t="str">
        <x:v>112212</x:v>
      </x:c>
      <x:c r="O1193" s="30" t="str">
        <x:v>Плантация характеризуется изъятием биомассы, селекцией и короткими цепями; лес — устойчивостью, ярусностью и только солнечным энергетическим входом.</x:v>
      </x:c>
      <x:c r="P1193" s="30" t="str">
        <x:v>Искусственная и естественная экосистемы сопоставлены по шести признакам.</x:v>
      </x:c>
      <x:c r="Q1193" s="30"/>
      <x:c r="R1193" s="30" t="str">
        <x:v>Полный PDF + независимое решение</x:v>
      </x:c>
      <x:c r="S1193" s="30"/>
      <x:c r="T1193" s="30"/>
      <x:c r="U1193" s="30" t="str">
        <x:v>Расхождений не обнаружено.</x:v>
      </x:c>
      <x:c r="V1193" s="87" t="str">
        <x:v>VERIFIED</x:v>
      </x:c>
      <x:c r="W1193" s="87" t="str">
        <x:v>Полный PDF, задание 19</x:v>
      </x:c>
      <x:c r="X1193" s="87"/>
      <x:c r="Y1193" s="87"/>
      <x:c r="Z1193" s="87"/>
      <x:c r="AA1193" s="87"/>
      <x:c r="AB1193" s="87"/>
      <x:c r="AC1193" s="87"/>
      <x:c r="AD1193" s="87"/>
      <x:c r="AE1193" s="87"/>
      <x:c r="AF1193" s="87"/>
      <x:c r="AG1193" s="87"/>
      <x:c r="AH1193" s="87"/>
      <x:c r="AI1193" s="30"/>
      <x:c r="AJ1193" s="87" t="str">
        <x:v>master</x:v>
      </x:c>
      <x:c r="AK1193" s="87" t="str">
        <x:v>master-v0.81</x:v>
      </x:c>
      <x:c r="AL1193" s="87" t="str">
        <x:v>statgrad_master_base_v0_81_final(2).xlsx</x:v>
      </x:c>
      <x:c r="AM1193" s="87" t="str">
        <x:v>BIO_Mar_V1</x:v>
      </x:c>
      <x:c r="AN1193" s="87" t="n">
        <x:v>20</x:v>
      </x:c>
    </x:row>
    <x:row r="1194">
      <x:c r="A1194" s="87" t="n">
        <x:v>1193</x:v>
      </x:c>
      <x:c r="B1194" s="87" t="str">
        <x:v>MAR-BIO-V1-020</x:v>
      </x:c>
      <x:c r="C1194" s="87" t="str">
        <x:v>СтатГрад</x:v>
      </x:c>
      <x:c r="D1194" s="87" t="str">
        <x:v>Март 2026</x:v>
      </x:c>
      <x:c r="E1194" s="87"/>
      <x:c r="F1194" s="87"/>
      <x:c r="G1194" s="87" t="str">
        <x:v>Биология</x:v>
      </x:c>
      <x:c r="H1194" s="87" t="n">
        <x:v>11</x:v>
      </x:c>
      <x:c r="I1194" s="87" t="str">
        <x:v>ТР №4</x:v>
      </x:c>
      <x:c r="J1194" s="87" t="str">
        <x:v>БИ2510401</x:v>
      </x:c>
      <x:c r="K1194" s="87" t="n">
        <x:v>20</x:v>
      </x:c>
      <x:c r="L1194" s="87" t="str">
        <x:v>Эволюция млекопитающих</x:v>
      </x:c>
      <x:c r="M1194" s="30" t="str">
        <x:v>По изображениям ехидны, проехидны и утконоса определить форму эволюции, подкласс и ареал.</x:v>
      </x:c>
      <x:c r="N1194" s="30" t="str">
        <x:v>758</x:v>
      </x:c>
      <x:c r="O1194" s="30" t="str">
        <x:v>Различия родственных форм возникли при дивергенции; все животные относятся к яйцекладущим и обитают в Австралийской области.</x:v>
      </x:c>
      <x:c r="P1194" s="30" t="str">
        <x:v>Изображённые таксоны и их распространение проверены.</x:v>
      </x:c>
      <x:c r="Q1194" s="30"/>
      <x:c r="R1194" s="30" t="str">
        <x:v>Полный PDF + визуальная проверка</x:v>
      </x:c>
      <x:c r="S1194" s="30"/>
      <x:c r="T1194" s="30"/>
      <x:c r="U1194" s="30" t="str">
        <x:v>Расхождений не обнаружено.</x:v>
      </x:c>
      <x:c r="V1194" s="87" t="str">
        <x:v>VERIFIED</x:v>
      </x:c>
      <x:c r="W1194" s="87" t="str">
        <x:v>Полный PDF, задание 20</x:v>
      </x:c>
      <x:c r="X1194" s="87"/>
      <x:c r="Y1194" s="87"/>
      <x:c r="Z1194" s="87"/>
      <x:c r="AA1194" s="87"/>
      <x:c r="AB1194" s="87"/>
      <x:c r="AC1194" s="87"/>
      <x:c r="AD1194" s="87"/>
      <x:c r="AE1194" s="87"/>
      <x:c r="AF1194" s="87"/>
      <x:c r="AG1194" s="87"/>
      <x:c r="AH1194" s="87"/>
      <x:c r="AI1194" s="30"/>
      <x:c r="AJ1194" s="87" t="str">
        <x:v>master</x:v>
      </x:c>
      <x:c r="AK1194" s="87" t="str">
        <x:v>master-v0.81</x:v>
      </x:c>
      <x:c r="AL1194" s="87" t="str">
        <x:v>statgrad_master_base_v0_81_final(2).xlsx</x:v>
      </x:c>
      <x:c r="AM1194" s="87" t="str">
        <x:v>BIO_Mar_V1</x:v>
      </x:c>
      <x:c r="AN1194" s="87" t="n">
        <x:v>21</x:v>
      </x:c>
    </x:row>
    <x:row r="1195">
      <x:c r="A1195" s="87" t="n">
        <x:v>1194</x:v>
      </x:c>
      <x:c r="B1195" s="87" t="str">
        <x:v>MAR-BIO-V1-021</x:v>
      </x:c>
      <x:c r="C1195" s="87" t="str">
        <x:v>СтатГрад</x:v>
      </x:c>
      <x:c r="D1195" s="87" t="str">
        <x:v>Март 2026</x:v>
      </x:c>
      <x:c r="E1195" s="87"/>
      <x:c r="F1195" s="87"/>
      <x:c r="G1195" s="87" t="str">
        <x:v>Биология</x:v>
      </x:c>
      <x:c r="H1195" s="87" t="n">
        <x:v>11</x:v>
      </x:c>
      <x:c r="I1195" s="87" t="str">
        <x:v>ТР №4</x:v>
      </x:c>
      <x:c r="J1195" s="87" t="str">
        <x:v>БИ2510401</x:v>
      </x:c>
      <x:c r="K1195" s="87" t="n">
        <x:v>21</x:v>
      </x:c>
      <x:c r="L1195" s="87" t="str">
        <x:v>Анализ графика</x:v>
      </x:c>
      <x:c r="M1195" s="30" t="str">
        <x:v>Выбрать выводы, непосредственно следующие из графиков слуха крыс и мышей.</x:v>
      </x:c>
      <x:c r="N1195" s="30" t="str">
        <x:v>13</x:v>
      </x:c>
      <x:c r="O1195" s="30" t="str">
        <x:v>Оба вида воспринимают 50 кГц; при 40 дБ частотный диапазон мышей шире. Повреждение, индивидуальность и слышимость крыс при 10 кГц/20 дБ графики не подтверждают.</x:v>
      </x:c>
      <x:c r="P1195" s="30" t="str">
        <x:v>Пороговые кривые прочитаны по обеим осям.</x:v>
      </x:c>
      <x:c r="Q1195" s="30"/>
      <x:c r="R1195" s="30" t="str">
        <x:v>Полный PDF + независимый анализ</x:v>
      </x:c>
      <x:c r="S1195" s="30"/>
      <x:c r="T1195" s="30"/>
      <x:c r="U1195" s="30" t="str">
        <x:v>Расхождений не обнаружено.</x:v>
      </x:c>
      <x:c r="V1195" s="87" t="str">
        <x:v>VERIFIED</x:v>
      </x:c>
      <x:c r="W1195" s="87" t="str">
        <x:v>Полный PDF, задание 21</x:v>
      </x:c>
      <x:c r="X1195" s="87"/>
      <x:c r="Y1195" s="87"/>
      <x:c r="Z1195" s="87"/>
      <x:c r="AA1195" s="87"/>
      <x:c r="AB1195" s="87"/>
      <x:c r="AC1195" s="87"/>
      <x:c r="AD1195" s="87"/>
      <x:c r="AE1195" s="87"/>
      <x:c r="AF1195" s="87"/>
      <x:c r="AG1195" s="87"/>
      <x:c r="AH1195" s="87"/>
      <x:c r="AI1195" s="30"/>
      <x:c r="AJ1195" s="87" t="str">
        <x:v>master</x:v>
      </x:c>
      <x:c r="AK1195" s="87" t="str">
        <x:v>master-v0.81</x:v>
      </x:c>
      <x:c r="AL1195" s="87" t="str">
        <x:v>statgrad_master_base_v0_81_final(2).xlsx</x:v>
      </x:c>
      <x:c r="AM1195" s="87" t="str">
        <x:v>BIO_Mar_V1</x:v>
      </x:c>
      <x:c r="AN1195" s="87" t="n">
        <x:v>22</x:v>
      </x:c>
    </x:row>
    <x:row r="1196">
      <x:c r="A1196" s="87" t="n">
        <x:v>1195</x:v>
      </x:c>
      <x:c r="B1196" s="87" t="str">
        <x:v>MAR-BIO-V1-022</x:v>
      </x:c>
      <x:c r="C1196" s="87" t="str">
        <x:v>СтатГрад</x:v>
      </x:c>
      <x:c r="D1196" s="87" t="str">
        <x:v>Март 2026</x:v>
      </x:c>
      <x:c r="E1196" s="87"/>
      <x:c r="F1196" s="87"/>
      <x:c r="G1196" s="87" t="str">
        <x:v>Биология</x:v>
      </x:c>
      <x:c r="H1196" s="87" t="n">
        <x:v>11</x:v>
      </x:c>
      <x:c r="I1196" s="87" t="str">
        <x:v>ТР №4</x:v>
      </x:c>
      <x:c r="J1196" s="87" t="str">
        <x:v>БИ2510401</x:v>
      </x:c>
      <x:c r="K1196" s="87" t="n">
        <x:v>22</x:v>
      </x:c>
      <x:c r="L1196" s="87" t="str">
        <x:v>Развёрнутый ответ: эксперимент</x:v>
      </x:c>
      <x:c r="M1196" s="30" t="str">
        <x:v>Определить независимую и зависимую переменные; условия и цель отрицательного контроля в опыте с ЭДТА и инфузориями.</x:v>
      </x:c>
      <x:c r="N1196" s="30" t="str">
        <x:v>Независимая переменная — концентрация ЭДТА; зависимая — число инфузорий у катода. В отрицательном контроле используют среду без ЭДТА и сохраняют остальные параметры. Контроль показывает, связано ли изменение распределения инфузорий именно с ЭДТА.</x:v>
      </x:c>
      <x:c r="O1196" s="30" t="str">
        <x:v>Изменялся только уровень ЭДТА, а измерялось количество клеток в прикатодной зоне; отсутствие ЭДТА изолирует действие исследуемого фактора.</x:v>
      </x:c>
      <x:c r="P1196" s="30" t="str">
        <x:v>Модель сопоставлена с опубликованными критериями.</x:v>
      </x:c>
      <x:c r="Q1196" s="30"/>
      <x:c r="R1196" s="30" t="str">
        <x:v>Степенин: БИ2510401, задание 22</x:v>
      </x:c>
      <x:c r="S1196" s="30"/>
      <x:c r="T1196" s="30"/>
      <x:c r="U1196" s="30" t="str">
        <x:v>Расхождений не обнаружено.</x:v>
      </x:c>
      <x:c r="V1196" s="87" t="str">
        <x:v>VERIFIED</x:v>
      </x:c>
      <x:c r="W1196" s="87" t="str">
        <x:v>Полный PDF, задание 22</x:v>
      </x:c>
      <x:c r="X1196" s="87"/>
      <x:c r="Y1196" s="87"/>
      <x:c r="Z1196" s="87"/>
      <x:c r="AA1196" s="87"/>
      <x:c r="AB1196" s="87"/>
      <x:c r="AC1196" s="87"/>
      <x:c r="AD1196" s="87"/>
      <x:c r="AE1196" s="87"/>
      <x:c r="AF1196" s="87"/>
      <x:c r="AG1196" s="87"/>
      <x:c r="AH1196" s="87"/>
      <x:c r="AI1196" s="30"/>
      <x:c r="AJ1196" s="87" t="str">
        <x:v>master</x:v>
      </x:c>
      <x:c r="AK1196" s="87" t="str">
        <x:v>master-v0.81</x:v>
      </x:c>
      <x:c r="AL1196" s="87" t="str">
        <x:v>statgrad_master_base_v0_81_final(2).xlsx</x:v>
      </x:c>
      <x:c r="AM1196" s="87" t="str">
        <x:v>BIO_Mar_V1</x:v>
      </x:c>
      <x:c r="AN1196" s="87" t="n">
        <x:v>23</x:v>
      </x:c>
    </x:row>
    <x:row r="1197">
      <x:c r="A1197" s="87" t="n">
        <x:v>1196</x:v>
      </x:c>
      <x:c r="B1197" s="87" t="str">
        <x:v>MAR-BIO-V1-023</x:v>
      </x:c>
      <x:c r="C1197" s="87" t="str">
        <x:v>СтатГрад</x:v>
      </x:c>
      <x:c r="D1197" s="87" t="str">
        <x:v>Март 2026</x:v>
      </x:c>
      <x:c r="E1197" s="87"/>
      <x:c r="F1197" s="87"/>
      <x:c r="G1197" s="87" t="str">
        <x:v>Биология</x:v>
      </x:c>
      <x:c r="H1197" s="87" t="n">
        <x:v>11</x:v>
      </x:c>
      <x:c r="I1197" s="87" t="str">
        <x:v>ТР №4</x:v>
      </x:c>
      <x:c r="J1197" s="87" t="str">
        <x:v>БИ2510401</x:v>
      </x:c>
      <x:c r="K1197" s="87" t="n">
        <x:v>23</x:v>
      </x:c>
      <x:c r="L1197" s="87" t="str">
        <x:v>Развёрнутый ответ: таксис</x:v>
      </x:c>
      <x:c r="M1197" s="30" t="str">
        <x:v>Назвать реакцию инфузорий на ток; объяснить выбор 5 В и влияние ЭДТА.</x:v>
      </x:c>
      <x:c r="N1197" s="30" t="str">
        <x:v>Наблюдается гальванотаксис. 0,5 В могло быть ниже порога реакции, 50 В — повредить или убить клетки. ЭДТА уменьшает поступление Ca²⁺ и тормозит либо прекращает движение инфузорий к катоду.</x:v>
      </x:c>
      <x:c r="O1197" s="30" t="str">
        <x:v>Направленное движение к раздражителю является таксисом; крайние напряжения нарушили бы интерпретацию опыта.</x:v>
      </x:c>
      <x:c r="P1197" s="30" t="str">
        <x:v>Модель сопоставлена с опубликованными критериями.</x:v>
      </x:c>
      <x:c r="Q1197" s="30"/>
      <x:c r="R1197" s="30" t="str">
        <x:v>Степенин: БИ2510401, задание 23</x:v>
      </x:c>
      <x:c r="S1197" s="30"/>
      <x:c r="T1197" s="30"/>
      <x:c r="U1197" s="30" t="str">
        <x:v>Расхождений не обнаружено.</x:v>
      </x:c>
      <x:c r="V1197" s="87" t="str">
        <x:v>VERIFIED</x:v>
      </x:c>
      <x:c r="W1197" s="87" t="str">
        <x:v>Полный PDF, задание 23</x:v>
      </x:c>
      <x:c r="X1197" s="87"/>
      <x:c r="Y1197" s="87"/>
      <x:c r="Z1197" s="87"/>
      <x:c r="AA1197" s="87"/>
      <x:c r="AB1197" s="87"/>
      <x:c r="AC1197" s="87"/>
      <x:c r="AD1197" s="87"/>
      <x:c r="AE1197" s="87"/>
      <x:c r="AF1197" s="87"/>
      <x:c r="AG1197" s="87"/>
      <x:c r="AH1197" s="87"/>
      <x:c r="AI1197" s="30"/>
      <x:c r="AJ1197" s="87" t="str">
        <x:v>master</x:v>
      </x:c>
      <x:c r="AK1197" s="87" t="str">
        <x:v>master-v0.81</x:v>
      </x:c>
      <x:c r="AL1197" s="87" t="str">
        <x:v>statgrad_master_base_v0_81_final(2).xlsx</x:v>
      </x:c>
      <x:c r="AM1197" s="87" t="str">
        <x:v>BIO_Mar_V1</x:v>
      </x:c>
      <x:c r="AN1197" s="87" t="n">
        <x:v>24</x:v>
      </x:c>
    </x:row>
    <x:row r="1198">
      <x:c r="A1198" s="87" t="n">
        <x:v>1197</x:v>
      </x:c>
      <x:c r="B1198" s="87" t="str">
        <x:v>MAR-BIO-V1-024</x:v>
      </x:c>
      <x:c r="C1198" s="87" t="str">
        <x:v>СтатГрад</x:v>
      </x:c>
      <x:c r="D1198" s="87" t="str">
        <x:v>Март 2026</x:v>
      </x:c>
      <x:c r="E1198" s="87"/>
      <x:c r="F1198" s="87"/>
      <x:c r="G1198" s="87" t="str">
        <x:v>Биология</x:v>
      </x:c>
      <x:c r="H1198" s="87" t="n">
        <x:v>11</x:v>
      </x:c>
      <x:c r="I1198" s="87" t="str">
        <x:v>ТР №4</x:v>
      </x:c>
      <x:c r="J1198" s="87" t="str">
        <x:v>БИ2510401</x:v>
      </x:c>
      <x:c r="K1198" s="87" t="n">
        <x:v>24</x:v>
      </x:c>
      <x:c r="L1198" s="87" t="str">
        <x:v>Развёрнутый ответ: гаметогенез</x:v>
      </x:c>
      <x:c r="M1198" s="30" t="str">
        <x:v>По схеме определить аномальную гамету, причину аномалии, пол и кариотип зиготы.</x:v>
      </x:c>
      <x:c r="N1198" s="30" t="str">
        <x:v>Аномальной была сперматозоидная гамета с XY. Причина — нерасхождение половых хроматид во втором делении мейоза. После оплодотворения нормальной X-яйцеклетки формируется мужской эмбрион XYY: 44 аутосомы и три половые хромосомы.</x:v>
      </x:c>
      <x:c r="O1198" s="30" t="str">
        <x:v>Y-хромосомы могут поступить только со сперматозоидом; набор XYY однозначно определяет мужской пол.</x:v>
      </x:c>
      <x:c r="P1198" s="30" t="str">
        <x:v>Модель сопоставлена с опубликованными критериями.</x:v>
      </x:c>
      <x:c r="Q1198" s="30"/>
      <x:c r="R1198" s="30" t="str">
        <x:v>Степенин: БИ2510401, задание 24</x:v>
      </x:c>
      <x:c r="S1198" s="30"/>
      <x:c r="T1198" s="30"/>
      <x:c r="U1198" s="30" t="str">
        <x:v>Расхождений не обнаружено.</x:v>
      </x:c>
      <x:c r="V1198" s="87" t="str">
        <x:v>VERIFIED</x:v>
      </x:c>
      <x:c r="W1198" s="87" t="str">
        <x:v>Полный PDF, задание 24</x:v>
      </x:c>
      <x:c r="X1198" s="87"/>
      <x:c r="Y1198" s="87"/>
      <x:c r="Z1198" s="87"/>
      <x:c r="AA1198" s="87"/>
      <x:c r="AB1198" s="87"/>
      <x:c r="AC1198" s="87"/>
      <x:c r="AD1198" s="87"/>
      <x:c r="AE1198" s="87"/>
      <x:c r="AF1198" s="87"/>
      <x:c r="AG1198" s="87"/>
      <x:c r="AH1198" s="87"/>
      <x:c r="AI1198" s="30"/>
      <x:c r="AJ1198" s="87" t="str">
        <x:v>master</x:v>
      </x:c>
      <x:c r="AK1198" s="87" t="str">
        <x:v>master-v0.81</x:v>
      </x:c>
      <x:c r="AL1198" s="87" t="str">
        <x:v>statgrad_master_base_v0_81_final(2).xlsx</x:v>
      </x:c>
      <x:c r="AM1198" s="87" t="str">
        <x:v>BIO_Mar_V1</x:v>
      </x:c>
      <x:c r="AN1198" s="87" t="n">
        <x:v>25</x:v>
      </x:c>
    </x:row>
    <x:row r="1199">
      <x:c r="A1199" s="87" t="n">
        <x:v>1198</x:v>
      </x:c>
      <x:c r="B1199" s="87" t="str">
        <x:v>MAR-BIO-V1-025</x:v>
      </x:c>
      <x:c r="C1199" s="87" t="str">
        <x:v>СтатГрад</x:v>
      </x:c>
      <x:c r="D1199" s="87" t="str">
        <x:v>Март 2026</x:v>
      </x:c>
      <x:c r="E1199" s="87"/>
      <x:c r="F1199" s="87"/>
      <x:c r="G1199" s="87" t="str">
        <x:v>Биология</x:v>
      </x:c>
      <x:c r="H1199" s="87" t="n">
        <x:v>11</x:v>
      </x:c>
      <x:c r="I1199" s="87" t="str">
        <x:v>ТР №4</x:v>
      </x:c>
      <x:c r="J1199" s="87" t="str">
        <x:v>БИ2510401</x:v>
      </x:c>
      <x:c r="K1199" s="87" t="n">
        <x:v>25</x:v>
      </x:c>
      <x:c r="L1199" s="87" t="str">
        <x:v>Развёрнутый ответ: термогенез растений</x:v>
      </x:c>
      <x:c r="M1199" s="30" t="str">
        <x:v>Объяснить нагрев репродуктивных органов саговников и роль альтернативной оксидазы.</x:v>
      </x:c>
      <x:c r="N1199" s="30" t="str">
        <x:v>Репродуктивные органы — шишки (стробилы); нагрев помогает привлекать опылителей. В термогенной ткани много митохондрий, где идёт интенсивное дыхание. Альтернативная оксидаза восстанавливает O₂ без создания протонного градиента, АТФ-синтаза не запасает энергию в АТФ, поэтому энергия рассеивается как тепло.</x:v>
      </x:c>
      <x:c r="O1199" s="30" t="str">
        <x:v>Допустимо также указание амилопластов как запаса крахмала — субстрата дыхания.</x:v>
      </x:c>
      <x:c r="P1199" s="30" t="str">
        <x:v>Модель сопоставлена с опубликованными критериями.</x:v>
      </x:c>
      <x:c r="Q1199" s="30"/>
      <x:c r="R1199" s="30" t="str">
        <x:v>Степенин: БИ2510401, задание 25</x:v>
      </x:c>
      <x:c r="S1199" s="30"/>
      <x:c r="T1199" s="30"/>
      <x:c r="U1199" s="30" t="str">
        <x:v>Расхождений не обнаружено.</x:v>
      </x:c>
      <x:c r="V1199" s="87" t="str">
        <x:v>VERIFIED</x:v>
      </x:c>
      <x:c r="W1199" s="87" t="str">
        <x:v>Полный PDF, задание 25</x:v>
      </x:c>
      <x:c r="X1199" s="87"/>
      <x:c r="Y1199" s="87"/>
      <x:c r="Z1199" s="87"/>
      <x:c r="AA1199" s="87"/>
      <x:c r="AB1199" s="87"/>
      <x:c r="AC1199" s="87"/>
      <x:c r="AD1199" s="87"/>
      <x:c r="AE1199" s="87"/>
      <x:c r="AF1199" s="87"/>
      <x:c r="AG1199" s="87"/>
      <x:c r="AH1199" s="87"/>
      <x:c r="AI1199" s="30"/>
      <x:c r="AJ1199" s="87" t="str">
        <x:v>master</x:v>
      </x:c>
      <x:c r="AK1199" s="87" t="str">
        <x:v>master-v0.81</x:v>
      </x:c>
      <x:c r="AL1199" s="87" t="str">
        <x:v>statgrad_master_base_v0_81_final(2).xlsx</x:v>
      </x:c>
      <x:c r="AM1199" s="87" t="str">
        <x:v>BIO_Mar_V1</x:v>
      </x:c>
      <x:c r="AN1199" s="87" t="n">
        <x:v>26</x:v>
      </x:c>
    </x:row>
    <x:row r="1200">
      <x:c r="A1200" s="87" t="n">
        <x:v>1199</x:v>
      </x:c>
      <x:c r="B1200" s="87" t="str">
        <x:v>MAR-BIO-V1-026</x:v>
      </x:c>
      <x:c r="C1200" s="87" t="str">
        <x:v>СтатГрад</x:v>
      </x:c>
      <x:c r="D1200" s="87" t="str">
        <x:v>Март 2026</x:v>
      </x:c>
      <x:c r="E1200" s="87"/>
      <x:c r="F1200" s="87"/>
      <x:c r="G1200" s="87" t="str">
        <x:v>Биология</x:v>
      </x:c>
      <x:c r="H1200" s="87" t="n">
        <x:v>11</x:v>
      </x:c>
      <x:c r="I1200" s="87" t="str">
        <x:v>ТР №4</x:v>
      </x:c>
      <x:c r="J1200" s="87" t="str">
        <x:v>БИ2510401</x:v>
      </x:c>
      <x:c r="K1200" s="87" t="n">
        <x:v>26</x:v>
      </x:c>
      <x:c r="L1200" s="87" t="str">
        <x:v>Развёрнутый ответ: социальный иммунитет</x:v>
      </x:c>
      <x:c r="M1200" s="30" t="str">
        <x:v>Объяснить обнаружение и уничтожение заражённых куколок муравьями и усиление такого поведения у общественных видов.</x:v>
      </x:c>
      <x:c r="N1200" s="30" t="str">
        <x:v>Заражённых куколок распознают по запаху/химическим сигналам и уничтожают, чтобы остановить инфекцию. В колонии заражение распространяется быстрее из-за высокой плотности и замкнутого тёплого влажного гнезда; генетически близкие особи сходно восприимчивы, а выживание колонии важнее отдельной особи.</x:v>
      </x:c>
      <x:c r="O1200" s="30" t="str">
        <x:v>Приведены требуемая цель и не менее двух самостоятельных причин.</x:v>
      </x:c>
      <x:c r="P1200" s="30" t="str">
        <x:v>Модель сопоставлена с опубликованными критериями.</x:v>
      </x:c>
      <x:c r="Q1200" s="30"/>
      <x:c r="R1200" s="30" t="str">
        <x:v>Степенин: БИ2510401, задание 26</x:v>
      </x:c>
      <x:c r="S1200" s="30"/>
      <x:c r="T1200" s="30"/>
      <x:c r="U1200" s="30" t="str">
        <x:v>Расхождений не обнаружено.</x:v>
      </x:c>
      <x:c r="V1200" s="87" t="str">
        <x:v>VERIFIED</x:v>
      </x:c>
      <x:c r="W1200" s="87" t="str">
        <x:v>Полный PDF, задание 26</x:v>
      </x:c>
      <x:c r="X1200" s="87"/>
      <x:c r="Y1200" s="87"/>
      <x:c r="Z1200" s="87"/>
      <x:c r="AA1200" s="87"/>
      <x:c r="AB1200" s="87"/>
      <x:c r="AC1200" s="87"/>
      <x:c r="AD1200" s="87"/>
      <x:c r="AE1200" s="87"/>
      <x:c r="AF1200" s="87"/>
      <x:c r="AG1200" s="87"/>
      <x:c r="AH1200" s="87"/>
      <x:c r="AI1200" s="30"/>
      <x:c r="AJ1200" s="87" t="str">
        <x:v>master</x:v>
      </x:c>
      <x:c r="AK1200" s="87" t="str">
        <x:v>master-v0.81</x:v>
      </x:c>
      <x:c r="AL1200" s="87" t="str">
        <x:v>statgrad_master_base_v0_81_final(2).xlsx</x:v>
      </x:c>
      <x:c r="AM1200" s="87" t="str">
        <x:v>BIO_Mar_V1</x:v>
      </x:c>
      <x:c r="AN1200" s="87" t="n">
        <x:v>27</x:v>
      </x:c>
    </x:row>
    <x:row r="1201">
      <x:c r="A1201" s="87" t="n">
        <x:v>1200</x:v>
      </x:c>
      <x:c r="B1201" s="87" t="str">
        <x:v>MAR-BIO-V1-027</x:v>
      </x:c>
      <x:c r="C1201" s="87" t="str">
        <x:v>СтатГрад</x:v>
      </x:c>
      <x:c r="D1201" s="87" t="str">
        <x:v>Март 2026</x:v>
      </x:c>
      <x:c r="E1201" s="87"/>
      <x:c r="F1201" s="87"/>
      <x:c r="G1201" s="87" t="str">
        <x:v>Биология</x:v>
      </x:c>
      <x:c r="H1201" s="87" t="n">
        <x:v>11</x:v>
      </x:c>
      <x:c r="I1201" s="87" t="str">
        <x:v>ТР №4</x:v>
      </x:c>
      <x:c r="J1201" s="87" t="str">
        <x:v>БИ2510401</x:v>
      </x:c>
      <x:c r="K1201" s="87" t="n">
        <x:v>27</x:v>
      </x:c>
      <x:c r="L1201" s="87" t="str">
        <x:v>Развёрнутый ответ: закон Харди—Вайнберга</x:v>
      </x:c>
      <x:c r="M1201" s="30" t="str">
        <x:v>Рассчитать исходные частоты аллелей/фенотипов и частоты фенотипов после гибели 20% AA.</x:v>
      </x:c>
      <x:c r="N1201" s="30" t="str">
        <x:v>Исходно aa=400/10000=0,04; q(a)=0,2; p(A)=0,8; AA=p²=0,64; Aa=2pq=0,32. После отбора остаётся AA=0,64·0,8=0,512, Aa=0,32, aa=0,04; всего 0,872. Новые частоты: однотонные AA=0,5872; слабые полосы Aa=0,3670; яркие полосы aa=0,0459.</x:v>
      </x:c>
      <x:c r="O1201" s="30" t="str">
        <x:v>Сумма нормированных частот равна 1 с учётом округления.</x:v>
      </x:c>
      <x:c r="P1201" s="30" t="str">
        <x:v>Модель сопоставлена с опубликованным решением.</x:v>
      </x:c>
      <x:c r="Q1201" s="30"/>
      <x:c r="R1201" s="30" t="str">
        <x:v>Степенин: БИ2510401, задание 27</x:v>
      </x:c>
      <x:c r="S1201" s="30"/>
      <x:c r="T1201" s="30"/>
      <x:c r="U1201" s="30" t="str">
        <x:v>Расхождений не обнаружено.</x:v>
      </x:c>
      <x:c r="V1201" s="87" t="str">
        <x:v>VERIFIED</x:v>
      </x:c>
      <x:c r="W1201" s="87" t="str">
        <x:v>Полный PDF, задание 27</x:v>
      </x:c>
      <x:c r="X1201" s="87"/>
      <x:c r="Y1201" s="87"/>
      <x:c r="Z1201" s="87"/>
      <x:c r="AA1201" s="87"/>
      <x:c r="AB1201" s="87"/>
      <x:c r="AC1201" s="87"/>
      <x:c r="AD1201" s="87"/>
      <x:c r="AE1201" s="87"/>
      <x:c r="AF1201" s="87"/>
      <x:c r="AG1201" s="87"/>
      <x:c r="AH1201" s="87"/>
      <x:c r="AI1201" s="30"/>
      <x:c r="AJ1201" s="87" t="str">
        <x:v>master</x:v>
      </x:c>
      <x:c r="AK1201" s="87" t="str">
        <x:v>master-v0.81</x:v>
      </x:c>
      <x:c r="AL1201" s="87" t="str">
        <x:v>statgrad_master_base_v0_81_final(2).xlsx</x:v>
      </x:c>
      <x:c r="AM1201" s="87" t="str">
        <x:v>BIO_Mar_V1</x:v>
      </x:c>
      <x:c r="AN1201" s="87" t="n">
        <x:v>28</x:v>
      </x:c>
    </x:row>
    <x:row r="1202">
      <x:c r="A1202" s="87" t="n">
        <x:v>1201</x:v>
      </x:c>
      <x:c r="B1202" s="87" t="str">
        <x:v>MAR-BIO-V1-028</x:v>
      </x:c>
      <x:c r="C1202" s="87" t="str">
        <x:v>СтатГрад</x:v>
      </x:c>
      <x:c r="D1202" s="87" t="str">
        <x:v>Март 2026</x:v>
      </x:c>
      <x:c r="E1202" s="87"/>
      <x:c r="F1202" s="87"/>
      <x:c r="G1202" s="87" t="str">
        <x:v>Биология</x:v>
      </x:c>
      <x:c r="H1202" s="87" t="n">
        <x:v>11</x:v>
      </x:c>
      <x:c r="I1202" s="87" t="str">
        <x:v>ТР №4</x:v>
      </x:c>
      <x:c r="J1202" s="87" t="str">
        <x:v>БИ2510401</x:v>
      </x:c>
      <x:c r="K1202" s="87" t="n">
        <x:v>28</x:v>
      </x:c>
      <x:c r="L1202" s="87" t="str">
        <x:v>Развёрнутый ответ: полимерия</x:v>
      </x:c>
      <x:c r="M1202" s="30" t="str">
        <x:v>Составить два скрещивания по удойности северных оленей и объяснить ряд 1:4:6:4:1.</x:v>
      </x:c>
      <x:c r="N1202" s="30" t="str">
        <x:v>P: A₁A₁A₂A₂ (240 л) × a₁a₁a₂a₂ (160 л) → F₁ A₁a₁A₂a₂ (200 л). F₁×F₁ даёт пять классов: 1 особь с 4 доминантными аллелями — 240 л; 4 с 3 — 220 л; 6 с 2 — 200 л; 4 с 1 — 180 л; 1 без доминантных — 160 л. Каждый доминантный аллель добавляет 20 л.</x:v>
      </x:c>
      <x:c r="O1202" s="30" t="str">
        <x:v>Генотипические классы соответствуют биномиальным коэффициентам 1:4:6:4:1.</x:v>
      </x:c>
      <x:c r="P1202" s="30" t="str">
        <x:v>Модель сопоставлена с опубликованным решением.</x:v>
      </x:c>
      <x:c r="Q1202" s="30"/>
      <x:c r="R1202" s="30" t="str">
        <x:v>Степенин: БИ2510401, задание 28</x:v>
      </x:c>
      <x:c r="S1202" s="30"/>
      <x:c r="T1202" s="30"/>
      <x:c r="U1202" s="30" t="str">
        <x:v>Расхождений не обнаружено.</x:v>
      </x:c>
      <x:c r="V1202" s="87" t="str">
        <x:v>VERIFIED</x:v>
      </x:c>
      <x:c r="W1202" s="87" t="str">
        <x:v>Полный PDF, задание 28</x:v>
      </x:c>
      <x:c r="X1202" s="87"/>
      <x:c r="Y1202" s="87"/>
      <x:c r="Z1202" s="87"/>
      <x:c r="AA1202" s="87"/>
      <x:c r="AB1202" s="87"/>
      <x:c r="AC1202" s="87"/>
      <x:c r="AD1202" s="87"/>
      <x:c r="AE1202" s="87"/>
      <x:c r="AF1202" s="87"/>
      <x:c r="AG1202" s="87"/>
      <x:c r="AH1202" s="87"/>
      <x:c r="AI1202" s="30"/>
      <x:c r="AJ1202" s="87" t="str">
        <x:v>master</x:v>
      </x:c>
      <x:c r="AK1202" s="87" t="str">
        <x:v>master-v0.81</x:v>
      </x:c>
      <x:c r="AL1202" s="87" t="str">
        <x:v>statgrad_master_base_v0_81_final(2).xlsx</x:v>
      </x:c>
      <x:c r="AM1202" s="87" t="str">
        <x:v>BIO_Mar_V1</x:v>
      </x:c>
      <x:c r="AN1202" s="87" t="n">
        <x:v>29</x:v>
      </x:c>
    </x:row>
    <x:row r="1203">
      <x:c r="A1203" s="87" t="n">
        <x:v>1202</x:v>
      </x:c>
      <x:c r="B1203" s="87" t="str">
        <x:v>MAR-BIO-V2-001</x:v>
      </x:c>
      <x:c r="C1203" s="87" t="str">
        <x:v>СтатГрад</x:v>
      </x:c>
      <x:c r="D1203" s="87" t="str">
        <x:v>Март 2026</x:v>
      </x:c>
      <x:c r="E1203" s="87"/>
      <x:c r="F1203" s="87"/>
      <x:c r="G1203" s="87" t="str">
        <x:v>Биология</x:v>
      </x:c>
      <x:c r="H1203" s="87" t="n">
        <x:v>11</x:v>
      </x:c>
      <x:c r="I1203" s="87" t="str">
        <x:v>ТР №4</x:v>
      </x:c>
      <x:c r="J1203" s="87" t="str">
        <x:v>БИ2510402</x:v>
      </x:c>
      <x:c r="K1203" s="87" t="n">
        <x:v>1</x:v>
      </x:c>
      <x:c r="L1203" s="87" t="str">
        <x:v>Свойства живых систем</x:v>
      </x:c>
      <x:c r="M1203" s="30" t="str">
        <x:v>По таблице определить свойство, проявляющееся в окислительном фосфорилировании.</x:v>
      </x:c>
      <x:c r="N1203" s="30" t="str">
        <x:v>обмен веществ</x:v>
      </x:c>
      <x:c r="O1203" s="30" t="str">
        <x:v>Окислительное фосфорилирование является частью энергетического обмена клетки; допустимый синоним — метаболизм.</x:v>
      </x:c>
      <x:c r="P1203" s="30" t="str">
        <x:v>Термин проверен по уровню организации и процессу.</x:v>
      </x:c>
      <x:c r="Q1203" s="30"/>
      <x:c r="R1203" s="30" t="str">
        <x:v>PDF + открытый ответ</x:v>
      </x:c>
      <x:c r="S1203" s="30"/>
      <x:c r="T1203" s="30"/>
      <x:c r="U1203" s="30" t="str">
        <x:v>Расхождений не обнаружено.</x:v>
      </x:c>
      <x:c r="V1203" s="87" t="str">
        <x:v>VERIFIED</x:v>
      </x:c>
      <x:c r="W1203" s="87" t="str">
        <x:v>Полный PDF, задание 1</x:v>
      </x:c>
      <x:c r="X1203" s="87"/>
      <x:c r="Y1203" s="87"/>
      <x:c r="Z1203" s="87"/>
      <x:c r="AA1203" s="87"/>
      <x:c r="AB1203" s="87"/>
      <x:c r="AC1203" s="87"/>
      <x:c r="AD1203" s="87"/>
      <x:c r="AE1203" s="87"/>
      <x:c r="AF1203" s="87"/>
      <x:c r="AG1203" s="87"/>
      <x:c r="AH1203" s="87"/>
      <x:c r="AI1203" s="30"/>
      <x:c r="AJ1203" s="87" t="str">
        <x:v>master</x:v>
      </x:c>
      <x:c r="AK1203" s="87" t="str">
        <x:v>master-v0.81</x:v>
      </x:c>
      <x:c r="AL1203" s="87" t="str">
        <x:v>statgrad_master_base_v0_81_final(2).xlsx</x:v>
      </x:c>
      <x:c r="AM1203" s="87" t="str">
        <x:v>BIO_Mar_V2</x:v>
      </x:c>
      <x:c r="AN1203" s="87" t="n">
        <x:v>2</x:v>
      </x:c>
    </x:row>
    <x:row r="1204">
      <x:c r="A1204" s="87" t="n">
        <x:v>1203</x:v>
      </x:c>
      <x:c r="B1204" s="87" t="str">
        <x:v>MAR-BIO-V2-002</x:v>
      </x:c>
      <x:c r="C1204" s="87" t="str">
        <x:v>СтатГрад</x:v>
      </x:c>
      <x:c r="D1204" s="87" t="str">
        <x:v>Март 2026</x:v>
      </x:c>
      <x:c r="E1204" s="87"/>
      <x:c r="F1204" s="87"/>
      <x:c r="G1204" s="87" t="str">
        <x:v>Биология</x:v>
      </x:c>
      <x:c r="H1204" s="87" t="n">
        <x:v>11</x:v>
      </x:c>
      <x:c r="I1204" s="87" t="str">
        <x:v>ТР №4</x:v>
      </x:c>
      <x:c r="J1204" s="87" t="str">
        <x:v>БИ2510402</x:v>
      </x:c>
      <x:c r="K1204" s="87" t="n">
        <x:v>2</x:v>
      </x:c>
      <x:c r="L1204" s="87" t="str">
        <x:v>Физиология кровообращения</x:v>
      </x:c>
      <x:c r="M1204" s="30" t="str">
        <x:v>Определить изменения минутного объёма сердца и артериального давления после 30 отжиманий.</x:v>
      </x:c>
      <x:c r="N1204" s="30" t="str">
        <x:v>11</x:v>
      </x:c>
      <x:c r="O1204" s="30" t="str">
        <x:v>Физическая нагрузка повышает частоту и силу сердечных сокращений, поэтому минутный объём и давление увеличиваются.</x:v>
      </x:c>
      <x:c r="P1204" s="30" t="str">
        <x:v>Оба показателя сопоставлены с симпатической реакцией на нагрузку.</x:v>
      </x:c>
      <x:c r="Q1204" s="30"/>
      <x:c r="R1204" s="30" t="str">
        <x:v>PDF + открытый ответ 11</x:v>
      </x:c>
      <x:c r="S1204" s="30"/>
      <x:c r="T1204" s="30"/>
      <x:c r="U1204" s="30" t="str">
        <x:v>Расхождений не обнаружено.</x:v>
      </x:c>
      <x:c r="V1204" s="87" t="str">
        <x:v>VERIFIED</x:v>
      </x:c>
      <x:c r="W1204" s="87" t="str">
        <x:v>Полный PDF, задание 2</x:v>
      </x:c>
      <x:c r="X1204" s="87"/>
      <x:c r="Y1204" s="87"/>
      <x:c r="Z1204" s="87"/>
      <x:c r="AA1204" s="87"/>
      <x:c r="AB1204" s="87"/>
      <x:c r="AC1204" s="87"/>
      <x:c r="AD1204" s="87"/>
      <x:c r="AE1204" s="87"/>
      <x:c r="AF1204" s="87"/>
      <x:c r="AG1204" s="87"/>
      <x:c r="AH1204" s="87"/>
      <x:c r="AI1204" s="30"/>
      <x:c r="AJ1204" s="87" t="str">
        <x:v>master</x:v>
      </x:c>
      <x:c r="AK1204" s="87" t="str">
        <x:v>master-v0.81</x:v>
      </x:c>
      <x:c r="AL1204" s="87" t="str">
        <x:v>statgrad_master_base_v0_81_final(2).xlsx</x:v>
      </x:c>
      <x:c r="AM1204" s="87" t="str">
        <x:v>BIO_Mar_V2</x:v>
      </x:c>
      <x:c r="AN1204" s="87" t="n">
        <x:v>3</x:v>
      </x:c>
    </x:row>
    <x:row r="1205">
      <x:c r="A1205" s="87" t="n">
        <x:v>1204</x:v>
      </x:c>
      <x:c r="B1205" s="87" t="str">
        <x:v>MAR-BIO-V2-003</x:v>
      </x:c>
      <x:c r="C1205" s="87" t="str">
        <x:v>СтатГрад</x:v>
      </x:c>
      <x:c r="D1205" s="87" t="str">
        <x:v>Март 2026</x:v>
      </x:c>
      <x:c r="E1205" s="87"/>
      <x:c r="F1205" s="87"/>
      <x:c r="G1205" s="87" t="str">
        <x:v>Биология</x:v>
      </x:c>
      <x:c r="H1205" s="87" t="n">
        <x:v>11</x:v>
      </x:c>
      <x:c r="I1205" s="87" t="str">
        <x:v>ТР №4</x:v>
      </x:c>
      <x:c r="J1205" s="87" t="str">
        <x:v>БИ2510402</x:v>
      </x:c>
      <x:c r="K1205" s="87" t="n">
        <x:v>3</x:v>
      </x:c>
      <x:c r="L1205" s="87" t="str">
        <x:v>Генетический код</x:v>
      </x:c>
      <x:c r="M1205" s="30" t="str">
        <x:v>Сколько аминокислот кодирует фрагмент иРНК из 162 нуклеотидов?</x:v>
      </x:c>
      <x:c r="N1205" s="30" t="str">
        <x:v>54</x:v>
      </x:c>
      <x:c r="O1205" s="30" t="str">
        <x:v>Один кодон содержит три нуклеотида: 162/3=54.</x:v>
      </x:c>
      <x:c r="P1205" s="30" t="str">
        <x:v>Расчёт проверен по триплетности кода.</x:v>
      </x:c>
      <x:c r="Q1205" s="30"/>
      <x:c r="R1205" s="30" t="str">
        <x:v>PDF + открытый ответ 54</x:v>
      </x:c>
      <x:c r="S1205" s="30"/>
      <x:c r="T1205" s="30"/>
      <x:c r="U1205" s="30" t="str">
        <x:v>Расхождений не обнаружено.</x:v>
      </x:c>
      <x:c r="V1205" s="87" t="str">
        <x:v>VERIFIED</x:v>
      </x:c>
      <x:c r="W1205" s="87" t="str">
        <x:v>Полный PDF, задание 3</x:v>
      </x:c>
      <x:c r="X1205" s="87"/>
      <x:c r="Y1205" s="87"/>
      <x:c r="Z1205" s="87"/>
      <x:c r="AA1205" s="87"/>
      <x:c r="AB1205" s="87"/>
      <x:c r="AC1205" s="87"/>
      <x:c r="AD1205" s="87"/>
      <x:c r="AE1205" s="87"/>
      <x:c r="AF1205" s="87"/>
      <x:c r="AG1205" s="87"/>
      <x:c r="AH1205" s="87"/>
      <x:c r="AI1205" s="30"/>
      <x:c r="AJ1205" s="87" t="str">
        <x:v>master</x:v>
      </x:c>
      <x:c r="AK1205" s="87" t="str">
        <x:v>master-v0.81</x:v>
      </x:c>
      <x:c r="AL1205" s="87" t="str">
        <x:v>statgrad_master_base_v0_81_final(2).xlsx</x:v>
      </x:c>
      <x:c r="AM1205" s="87" t="str">
        <x:v>BIO_Mar_V2</x:v>
      </x:c>
      <x:c r="AN1205" s="87" t="n">
        <x:v>4</x:v>
      </x:c>
    </x:row>
    <x:row r="1206">
      <x:c r="A1206" s="87" t="n">
        <x:v>1205</x:v>
      </x:c>
      <x:c r="B1206" s="87" t="str">
        <x:v>MAR-BIO-V2-004</x:v>
      </x:c>
      <x:c r="C1206" s="87" t="str">
        <x:v>СтатГрад</x:v>
      </x:c>
      <x:c r="D1206" s="87" t="str">
        <x:v>Март 2026</x:v>
      </x:c>
      <x:c r="E1206" s="87"/>
      <x:c r="F1206" s="87"/>
      <x:c r="G1206" s="87" t="str">
        <x:v>Биология</x:v>
      </x:c>
      <x:c r="H1206" s="87" t="n">
        <x:v>11</x:v>
      </x:c>
      <x:c r="I1206" s="87" t="str">
        <x:v>ТР №4</x:v>
      </x:c>
      <x:c r="J1206" s="87" t="str">
        <x:v>БИ2510402</x:v>
      </x:c>
      <x:c r="K1206" s="87" t="n">
        <x:v>4</x:v>
      </x:c>
      <x:c r="L1206" s="87" t="str">
        <x:v>Неполное доминирование</x:v>
      </x:c>
      <x:c r="M1206" s="30" t="str">
        <x:v>Определить соотношение генотипов при анализирующем скрещивании гетерозиготы.</x:v>
      </x:c>
      <x:c r="N1206" s="30" t="str">
        <x:v>11</x:v>
      </x:c>
      <x:c r="O1206" s="30" t="str">
        <x:v>Aa × aa даёт Aa и aa в отношении 1:1.</x:v>
      </x:c>
      <x:c r="P1206" s="30" t="str">
        <x:v>Составлена схема скрещивания.</x:v>
      </x:c>
      <x:c r="Q1206" s="30"/>
      <x:c r="R1206" s="30" t="str">
        <x:v>PDF + открытый ответ 11</x:v>
      </x:c>
      <x:c r="S1206" s="30"/>
      <x:c r="T1206" s="30"/>
      <x:c r="U1206" s="30" t="str">
        <x:v>Расхождений не обнаружено.</x:v>
      </x:c>
      <x:c r="V1206" s="87" t="str">
        <x:v>VERIFIED</x:v>
      </x:c>
      <x:c r="W1206" s="87" t="str">
        <x:v>Полный PDF, задание 4</x:v>
      </x:c>
      <x:c r="X1206" s="87"/>
      <x:c r="Y1206" s="87"/>
      <x:c r="Z1206" s="87"/>
      <x:c r="AA1206" s="87"/>
      <x:c r="AB1206" s="87"/>
      <x:c r="AC1206" s="87"/>
      <x:c r="AD1206" s="87"/>
      <x:c r="AE1206" s="87"/>
      <x:c r="AF1206" s="87"/>
      <x:c r="AG1206" s="87"/>
      <x:c r="AH1206" s="87"/>
      <x:c r="AI1206" s="30"/>
      <x:c r="AJ1206" s="87" t="str">
        <x:v>master</x:v>
      </x:c>
      <x:c r="AK1206" s="87" t="str">
        <x:v>master-v0.81</x:v>
      </x:c>
      <x:c r="AL1206" s="87" t="str">
        <x:v>statgrad_master_base_v0_81_final(2).xlsx</x:v>
      </x:c>
      <x:c r="AM1206" s="87" t="str">
        <x:v>BIO_Mar_V2</x:v>
      </x:c>
      <x:c r="AN1206" s="87" t="n">
        <x:v>5</x:v>
      </x:c>
    </x:row>
    <x:row r="1207">
      <x:c r="A1207" s="87" t="n">
        <x:v>1206</x:v>
      </x:c>
      <x:c r="B1207" s="87" t="str">
        <x:v>MAR-BIO-V2-005</x:v>
      </x:c>
      <x:c r="C1207" s="87" t="str">
        <x:v>СтатГрад</x:v>
      </x:c>
      <x:c r="D1207" s="87" t="str">
        <x:v>Март 2026</x:v>
      </x:c>
      <x:c r="E1207" s="87"/>
      <x:c r="F1207" s="87"/>
      <x:c r="G1207" s="87" t="str">
        <x:v>Биология</x:v>
      </x:c>
      <x:c r="H1207" s="87" t="n">
        <x:v>11</x:v>
      </x:c>
      <x:c r="I1207" s="87" t="str">
        <x:v>ТР №4</x:v>
      </x:c>
      <x:c r="J1207" s="87" t="str">
        <x:v>БИ2510402</x:v>
      </x:c>
      <x:c r="K1207" s="87" t="n">
        <x:v>5</x:v>
      </x:c>
      <x:c r="L1207" s="87" t="str">
        <x:v>Митохондрия</x:v>
      </x:c>
      <x:c r="M1207" s="30" t="str">
        <x:v>Определить номер матрикса — среды цикла Кребса.</x:v>
      </x:c>
      <x:c r="N1207" s="30" t="str">
        <x:v>7</x:v>
      </x:c>
      <x:c r="O1207" s="30" t="str">
        <x:v>Цикл Кребса протекает в матриксе митохондрии, обозначенном цифрой 7.</x:v>
      </x:c>
      <x:c r="P1207" s="30" t="str">
        <x:v>Направление стрелки проверено по рисунку.</x:v>
      </x:c>
      <x:c r="Q1207" s="30"/>
      <x:c r="R1207" s="30" t="str">
        <x:v>PDF + открытый ответ 7</x:v>
      </x:c>
      <x:c r="S1207" s="30"/>
      <x:c r="T1207" s="30"/>
      <x:c r="U1207" s="30" t="str">
        <x:v>Расхождений не обнаружено.</x:v>
      </x:c>
      <x:c r="V1207" s="87" t="str">
        <x:v>VERIFIED</x:v>
      </x:c>
      <x:c r="W1207" s="87" t="str">
        <x:v>Полный PDF, задание 5</x:v>
      </x:c>
      <x:c r="X1207" s="87"/>
      <x:c r="Y1207" s="87"/>
      <x:c r="Z1207" s="87"/>
      <x:c r="AA1207" s="87"/>
      <x:c r="AB1207" s="87"/>
      <x:c r="AC1207" s="87"/>
      <x:c r="AD1207" s="87"/>
      <x:c r="AE1207" s="87"/>
      <x:c r="AF1207" s="87"/>
      <x:c r="AG1207" s="87"/>
      <x:c r="AH1207" s="87"/>
      <x:c r="AI1207" s="30"/>
      <x:c r="AJ1207" s="87" t="str">
        <x:v>master</x:v>
      </x:c>
      <x:c r="AK1207" s="87" t="str">
        <x:v>master-v0.81</x:v>
      </x:c>
      <x:c r="AL1207" s="87" t="str">
        <x:v>statgrad_master_base_v0_81_final(2).xlsx</x:v>
      </x:c>
      <x:c r="AM1207" s="87" t="str">
        <x:v>BIO_Mar_V2</x:v>
      </x:c>
      <x:c r="AN1207" s="87" t="n">
        <x:v>6</x:v>
      </x:c>
    </x:row>
    <x:row r="1208">
      <x:c r="A1208" s="87" t="n">
        <x:v>1207</x:v>
      </x:c>
      <x:c r="B1208" s="87" t="str">
        <x:v>MAR-BIO-V2-006</x:v>
      </x:c>
      <x:c r="C1208" s="87" t="str">
        <x:v>СтатГрад</x:v>
      </x:c>
      <x:c r="D1208" s="87" t="str">
        <x:v>Март 2026</x:v>
      </x:c>
      <x:c r="E1208" s="87"/>
      <x:c r="F1208" s="87"/>
      <x:c r="G1208" s="87" t="str">
        <x:v>Биология</x:v>
      </x:c>
      <x:c r="H1208" s="87" t="n">
        <x:v>11</x:v>
      </x:c>
      <x:c r="I1208" s="87" t="str">
        <x:v>ТР №4</x:v>
      </x:c>
      <x:c r="J1208" s="87" t="str">
        <x:v>БИ2510402</x:v>
      </x:c>
      <x:c r="K1208" s="87" t="n">
        <x:v>6</x:v>
      </x:c>
      <x:c r="L1208" s="87" t="str">
        <x:v>Структуры митохондрии</x:v>
      </x:c>
      <x:c r="M1208" s="30" t="str">
        <x:v>Соотнести трансляцию, фосфолипидный слой, субъединицы, электронный транспорт, нуклеотиды и протонный градиент со структурами 1–3.</x:v>
      </x:c>
      <x:c r="N1208" s="30" t="str">
        <x:v>121232</x:v>
      </x:c>
      <x:c r="O1208" s="30" t="str">
        <x:v>Структура 1 — рибосома: трансляция и две субъединицы; 2 — белковый комплекс внутренней мембраны: встроен в слой, переносит электроны и создаёт градиент; 3 — митохондриальная ДНК, содержащая нуклеотиды.</x:v>
      </x:c>
      <x:c r="P1208" s="30" t="str">
        <x:v>Рисунок и функции дыхательной цепи проверены независимо.</x:v>
      </x:c>
      <x:c r="Q1208" s="30"/>
      <x:c r="R1208" s="30" t="str">
        <x:v>Полный PDF + визуальная проверка</x:v>
      </x:c>
      <x:c r="S1208" s="30"/>
      <x:c r="T1208" s="30"/>
      <x:c r="U1208" s="30" t="str">
        <x:v>Расхождений не обнаружено.</x:v>
      </x:c>
      <x:c r="V1208" s="87" t="str">
        <x:v>VERIFIED</x:v>
      </x:c>
      <x:c r="W1208" s="87" t="str">
        <x:v>Полный PDF, задание 6</x:v>
      </x:c>
      <x:c r="X1208" s="87"/>
      <x:c r="Y1208" s="87"/>
      <x:c r="Z1208" s="87"/>
      <x:c r="AA1208" s="87"/>
      <x:c r="AB1208" s="87"/>
      <x:c r="AC1208" s="87"/>
      <x:c r="AD1208" s="87"/>
      <x:c r="AE1208" s="87"/>
      <x:c r="AF1208" s="87"/>
      <x:c r="AG1208" s="87"/>
      <x:c r="AH1208" s="87"/>
      <x:c r="AI1208" s="30"/>
      <x:c r="AJ1208" s="87" t="str">
        <x:v>master</x:v>
      </x:c>
      <x:c r="AK1208" s="87" t="str">
        <x:v>master-v0.81</x:v>
      </x:c>
      <x:c r="AL1208" s="87" t="str">
        <x:v>statgrad_master_base_v0_81_final(2).xlsx</x:v>
      </x:c>
      <x:c r="AM1208" s="87" t="str">
        <x:v>BIO_Mar_V2</x:v>
      </x:c>
      <x:c r="AN1208" s="87" t="n">
        <x:v>7</x:v>
      </x:c>
    </x:row>
    <x:row r="1209">
      <x:c r="A1209" s="87" t="n">
        <x:v>1208</x:v>
      </x:c>
      <x:c r="B1209" s="87" t="str">
        <x:v>MAR-BIO-V2-007</x:v>
      </x:c>
      <x:c r="C1209" s="87" t="str">
        <x:v>СтатГрад</x:v>
      </x:c>
      <x:c r="D1209" s="87" t="str">
        <x:v>Март 2026</x:v>
      </x:c>
      <x:c r="E1209" s="87"/>
      <x:c r="F1209" s="87"/>
      <x:c r="G1209" s="87" t="str">
        <x:v>Биология</x:v>
      </x:c>
      <x:c r="H1209" s="87" t="n">
        <x:v>11</x:v>
      </x:c>
      <x:c r="I1209" s="87" t="str">
        <x:v>ТР №4</x:v>
      </x:c>
      <x:c r="J1209" s="87" t="str">
        <x:v>БИ2510402</x:v>
      </x:c>
      <x:c r="K1209" s="87" t="n">
        <x:v>7</x:v>
      </x:c>
      <x:c r="L1209" s="87" t="str">
        <x:v>Наследование признаков человека</x:v>
      </x:c>
      <x:c r="M1209" s="30" t="str">
        <x:v>Выбрать признаки с аутосомным типом наследования.</x:v>
      </x:c>
      <x:c r="N1209" s="30" t="str">
        <x:v>136</x:v>
      </x:c>
      <x:c r="O1209" s="30" t="str">
        <x:v>Резус-фактор, группа крови и серповидноклеточная анемия определяются аутосомными генами.</x:v>
      </x:c>
      <x:c r="P1209" s="30" t="str">
        <x:v>Дальтонизм, гемофилия A и указанный ихтиоз сцеплены с X-хромосомой.</x:v>
      </x:c>
      <x:c r="Q1209" s="30"/>
      <x:c r="R1209" s="30" t="str">
        <x:v>PDF + открытый ответ 136</x:v>
      </x:c>
      <x:c r="S1209" s="30"/>
      <x:c r="T1209" s="30"/>
      <x:c r="U1209" s="30" t="str">
        <x:v>Расхождений не обнаружено.</x:v>
      </x:c>
      <x:c r="V1209" s="87" t="str">
        <x:v>VERIFIED</x:v>
      </x:c>
      <x:c r="W1209" s="87" t="str">
        <x:v>Полный PDF, задание 7</x:v>
      </x:c>
      <x:c r="X1209" s="87"/>
      <x:c r="Y1209" s="87"/>
      <x:c r="Z1209" s="87"/>
      <x:c r="AA1209" s="87"/>
      <x:c r="AB1209" s="87"/>
      <x:c r="AC1209" s="87"/>
      <x:c r="AD1209" s="87"/>
      <x:c r="AE1209" s="87"/>
      <x:c r="AF1209" s="87"/>
      <x:c r="AG1209" s="87"/>
      <x:c r="AH1209" s="87"/>
      <x:c r="AI1209" s="30"/>
      <x:c r="AJ1209" s="87" t="str">
        <x:v>master</x:v>
      </x:c>
      <x:c r="AK1209" s="87" t="str">
        <x:v>master-v0.81</x:v>
      </x:c>
      <x:c r="AL1209" s="87" t="str">
        <x:v>statgrad_master_base_v0_81_final(2).xlsx</x:v>
      </x:c>
      <x:c r="AM1209" s="87" t="str">
        <x:v>BIO_Mar_V2</x:v>
      </x:c>
      <x:c r="AN1209" s="87" t="n">
        <x:v>8</x:v>
      </x:c>
    </x:row>
    <x:row r="1210">
      <x:c r="A1210" s="87" t="n">
        <x:v>1209</x:v>
      </x:c>
      <x:c r="B1210" s="87" t="str">
        <x:v>MAR-BIO-V2-008</x:v>
      </x:c>
      <x:c r="C1210" s="87" t="str">
        <x:v>СтатГрад</x:v>
      </x:c>
      <x:c r="D1210" s="87" t="str">
        <x:v>Март 2026</x:v>
      </x:c>
      <x:c r="E1210" s="87"/>
      <x:c r="F1210" s="87"/>
      <x:c r="G1210" s="87" t="str">
        <x:v>Биология</x:v>
      </x:c>
      <x:c r="H1210" s="87" t="n">
        <x:v>11</x:v>
      </x:c>
      <x:c r="I1210" s="87" t="str">
        <x:v>ТР №4</x:v>
      </x:c>
      <x:c r="J1210" s="87" t="str">
        <x:v>БИ2510402</x:v>
      </x:c>
      <x:c r="K1210" s="87" t="n">
        <x:v>8</x:v>
      </x:c>
      <x:c r="L1210" s="87" t="str">
        <x:v>Овогенез</x:v>
      </x:c>
      <x:c r="M1210" s="30" t="str">
        <x:v>Расположить этапы овогенеза.</x:v>
      </x:c>
      <x:c r="N1210" s="30" t="str">
        <x:v>31524</x:v>
      </x:c>
      <x:c r="O1210" s="30" t="str">
        <x:v>Митоз оогониев → рост ооцита I → анафаза редукционного деления → первое полярное тельце → завершение созревания.</x:v>
      </x:c>
      <x:c r="P1210" s="30" t="str">
        <x:v>Стадии размножения, роста и созревания проверены.</x:v>
      </x:c>
      <x:c r="Q1210" s="30"/>
      <x:c r="R1210" s="30" t="str">
        <x:v>PDF + открытый ответ 31524</x:v>
      </x:c>
      <x:c r="S1210" s="30"/>
      <x:c r="T1210" s="30"/>
      <x:c r="U1210" s="30" t="str">
        <x:v>Расхождений не обнаружено.</x:v>
      </x:c>
      <x:c r="V1210" s="87" t="str">
        <x:v>VERIFIED</x:v>
      </x:c>
      <x:c r="W1210" s="87" t="str">
        <x:v>Полный PDF, задание 8</x:v>
      </x:c>
      <x:c r="X1210" s="87"/>
      <x:c r="Y1210" s="87"/>
      <x:c r="Z1210" s="87"/>
      <x:c r="AA1210" s="87"/>
      <x:c r="AB1210" s="87"/>
      <x:c r="AC1210" s="87"/>
      <x:c r="AD1210" s="87"/>
      <x:c r="AE1210" s="87"/>
      <x:c r="AF1210" s="87"/>
      <x:c r="AG1210" s="87"/>
      <x:c r="AH1210" s="87"/>
      <x:c r="AI1210" s="30"/>
      <x:c r="AJ1210" s="87" t="str">
        <x:v>master</x:v>
      </x:c>
      <x:c r="AK1210" s="87" t="str">
        <x:v>master-v0.81</x:v>
      </x:c>
      <x:c r="AL1210" s="87" t="str">
        <x:v>statgrad_master_base_v0_81_final(2).xlsx</x:v>
      </x:c>
      <x:c r="AM1210" s="87" t="str">
        <x:v>BIO_Mar_V2</x:v>
      </x:c>
      <x:c r="AN1210" s="87" t="n">
        <x:v>9</x:v>
      </x:c>
    </x:row>
    <x:row r="1211">
      <x:c r="A1211" s="87" t="n">
        <x:v>1210</x:v>
      </x:c>
      <x:c r="B1211" s="87" t="str">
        <x:v>MAR-BIO-V2-009</x:v>
      </x:c>
      <x:c r="C1211" s="87" t="str">
        <x:v>СтатГрад</x:v>
      </x:c>
      <x:c r="D1211" s="87" t="str">
        <x:v>Март 2026</x:v>
      </x:c>
      <x:c r="E1211" s="87"/>
      <x:c r="F1211" s="87"/>
      <x:c r="G1211" s="87" t="str">
        <x:v>Биология</x:v>
      </x:c>
      <x:c r="H1211" s="87" t="n">
        <x:v>11</x:v>
      </x:c>
      <x:c r="I1211" s="87" t="str">
        <x:v>ТР №4</x:v>
      </x:c>
      <x:c r="J1211" s="87" t="str">
        <x:v>БИ2510402</x:v>
      </x:c>
      <x:c r="K1211" s="87" t="n">
        <x:v>9</x:v>
      </x:c>
      <x:c r="L1211" s="87" t="str">
        <x:v>Жизненный цикл мха</x:v>
      </x:c>
      <x:c r="M1211" s="30" t="str">
        <x:v>Определить номер антеридия.</x:v>
      </x:c>
      <x:c r="N1211" s="30" t="str">
        <x:v>6</x:v>
      </x:c>
      <x:c r="O1211" s="30" t="str">
        <x:v>Мужской гаметангий мха — антеридий — обозначен цифрой 6.</x:v>
      </x:c>
      <x:c r="P1211" s="30" t="str">
        <x:v>Рисунок проверен визуально.</x:v>
      </x:c>
      <x:c r="Q1211" s="30"/>
      <x:c r="R1211" s="30" t="str">
        <x:v>PDF + открытый ответ 6</x:v>
      </x:c>
      <x:c r="S1211" s="30"/>
      <x:c r="T1211" s="30"/>
      <x:c r="U1211" s="30" t="str">
        <x:v>Расхождений не обнаружено.</x:v>
      </x:c>
      <x:c r="V1211" s="87" t="str">
        <x:v>VERIFIED</x:v>
      </x:c>
      <x:c r="W1211" s="87" t="str">
        <x:v>Полный PDF, задание 9</x:v>
      </x:c>
      <x:c r="X1211" s="87"/>
      <x:c r="Y1211" s="87"/>
      <x:c r="Z1211" s="87"/>
      <x:c r="AA1211" s="87"/>
      <x:c r="AB1211" s="87"/>
      <x:c r="AC1211" s="87"/>
      <x:c r="AD1211" s="87"/>
      <x:c r="AE1211" s="87"/>
      <x:c r="AF1211" s="87"/>
      <x:c r="AG1211" s="87"/>
      <x:c r="AH1211" s="87"/>
      <x:c r="AI1211" s="30"/>
      <x:c r="AJ1211" s="87" t="str">
        <x:v>master</x:v>
      </x:c>
      <x:c r="AK1211" s="87" t="str">
        <x:v>master-v0.81</x:v>
      </x:c>
      <x:c r="AL1211" s="87" t="str">
        <x:v>statgrad_master_base_v0_81_final(2).xlsx</x:v>
      </x:c>
      <x:c r="AM1211" s="87" t="str">
        <x:v>BIO_Mar_V2</x:v>
      </x:c>
      <x:c r="AN1211" s="87" t="n">
        <x:v>10</x:v>
      </x:c>
    </x:row>
    <x:row r="1212">
      <x:c r="A1212" s="87" t="n">
        <x:v>1211</x:v>
      </x:c>
      <x:c r="B1212" s="87" t="str">
        <x:v>MAR-BIO-V2-010</x:v>
      </x:c>
      <x:c r="C1212" s="87" t="str">
        <x:v>СтатГрад</x:v>
      </x:c>
      <x:c r="D1212" s="87" t="str">
        <x:v>Март 2026</x:v>
      </x:c>
      <x:c r="E1212" s="87"/>
      <x:c r="F1212" s="87"/>
      <x:c r="G1212" s="87" t="str">
        <x:v>Биология</x:v>
      </x:c>
      <x:c r="H1212" s="87" t="n">
        <x:v>11</x:v>
      </x:c>
      <x:c r="I1212" s="87" t="str">
        <x:v>ТР №4</x:v>
      </x:c>
      <x:c r="J1212" s="87" t="str">
        <x:v>БИ2510402</x:v>
      </x:c>
      <x:c r="K1212" s="87" t="n">
        <x:v>10</x:v>
      </x:c>
      <x:c r="L1212" s="87" t="str">
        <x:v>Жизненный цикл мха</x:v>
      </x:c>
      <x:c r="M1212" s="30" t="str">
        <x:v>Соотнести признаки гаметофита и спорофита, обозначенных 1 и 2.</x:v>
      </x:c>
      <x:c r="N1212" s="30" t="str">
        <x:v>111222</x:v>
      </x:c>
      <x:c r="O1212" s="30" t="str">
        <x:v>Гаметофит (1) имеет ризоиды, образует гаметы и развивается из споры; спорофит (2) диплоиден, развивается из зиготы и образует спорангий.</x:v>
      </x:c>
      <x:c r="P1212" s="30" t="str">
        <x:v>Наборы хромосом и происхождение поколений проверены.</x:v>
      </x:c>
      <x:c r="Q1212" s="30"/>
      <x:c r="R1212" s="30" t="str">
        <x:v>PDF + открытый ответ 111222</x:v>
      </x:c>
      <x:c r="S1212" s="30"/>
      <x:c r="T1212" s="30"/>
      <x:c r="U1212" s="30" t="str">
        <x:v>Расхождений не обнаружено.</x:v>
      </x:c>
      <x:c r="V1212" s="87" t="str">
        <x:v>VERIFIED</x:v>
      </x:c>
      <x:c r="W1212" s="87" t="str">
        <x:v>Полный PDF, задание 10</x:v>
      </x:c>
      <x:c r="X1212" s="87"/>
      <x:c r="Y1212" s="87"/>
      <x:c r="Z1212" s="87"/>
      <x:c r="AA1212" s="87"/>
      <x:c r="AB1212" s="87"/>
      <x:c r="AC1212" s="87"/>
      <x:c r="AD1212" s="87"/>
      <x:c r="AE1212" s="87"/>
      <x:c r="AF1212" s="87"/>
      <x:c r="AG1212" s="87"/>
      <x:c r="AH1212" s="87"/>
      <x:c r="AI1212" s="30"/>
      <x:c r="AJ1212" s="87" t="str">
        <x:v>master</x:v>
      </x:c>
      <x:c r="AK1212" s="87" t="str">
        <x:v>master-v0.81</x:v>
      </x:c>
      <x:c r="AL1212" s="87" t="str">
        <x:v>statgrad_master_base_v0_81_final(2).xlsx</x:v>
      </x:c>
      <x:c r="AM1212" s="87" t="str">
        <x:v>BIO_Mar_V2</x:v>
      </x:c>
      <x:c r="AN1212" s="87" t="n">
        <x:v>11</x:v>
      </x:c>
    </x:row>
    <x:row r="1213">
      <x:c r="A1213" s="87" t="n">
        <x:v>1212</x:v>
      </x:c>
      <x:c r="B1213" s="87" t="str">
        <x:v>MAR-BIO-V2-011</x:v>
      </x:c>
      <x:c r="C1213" s="87" t="str">
        <x:v>СтатГрад</x:v>
      </x:c>
      <x:c r="D1213" s="87" t="str">
        <x:v>Март 2026</x:v>
      </x:c>
      <x:c r="E1213" s="87"/>
      <x:c r="F1213" s="87"/>
      <x:c r="G1213" s="87" t="str">
        <x:v>Биология</x:v>
      </x:c>
      <x:c r="H1213" s="87" t="n">
        <x:v>11</x:v>
      </x:c>
      <x:c r="I1213" s="87" t="str">
        <x:v>ТР №4</x:v>
      </x:c>
      <x:c r="J1213" s="87" t="str">
        <x:v>БИ2510402</x:v>
      </x:c>
      <x:c r="K1213" s="87" t="n">
        <x:v>11</x:v>
      </x:c>
      <x:c r="L1213" s="87" t="str">
        <x:v>Зоология моллюсков</x:v>
      </x:c>
      <x:c r="M1213" s="30" t="str">
        <x:v>Выбрать признаки моллюсков, отличающие их от кишечнополостных.</x:v>
      </x:c>
      <x:c r="N1213" s="30" t="str">
        <x:v>145</x:v>
      </x:c>
      <x:c r="O1213" s="30" t="str">
        <x:v>У моллюсков есть незамкнутая кровеносная система, сквозной кишечник и органы дыхания — жабры или лёгкое.</x:v>
      </x:c>
      <x:c r="P1213" s="30" t="str">
        <x:v>Сетчатая нервная система и двухслойность характерны для кишечнополостных; метаморфоз встречается у обеих групп.</x:v>
      </x:c>
      <x:c r="Q1213" s="30"/>
      <x:c r="R1213" s="30" t="str">
        <x:v>Полный PDF + независимое решение</x:v>
      </x:c>
      <x:c r="S1213" s="30"/>
      <x:c r="T1213" s="30"/>
      <x:c r="U1213" s="30" t="str">
        <x:v>Расхождений не обнаружено.</x:v>
      </x:c>
      <x:c r="V1213" s="87" t="str">
        <x:v>VERIFIED</x:v>
      </x:c>
      <x:c r="W1213" s="87" t="str">
        <x:v>Полный PDF, задание 11</x:v>
      </x:c>
      <x:c r="X1213" s="87"/>
      <x:c r="Y1213" s="87"/>
      <x:c r="Z1213" s="87"/>
      <x:c r="AA1213" s="87"/>
      <x:c r="AB1213" s="87"/>
      <x:c r="AC1213" s="87"/>
      <x:c r="AD1213" s="87"/>
      <x:c r="AE1213" s="87"/>
      <x:c r="AF1213" s="87"/>
      <x:c r="AG1213" s="87"/>
      <x:c r="AH1213" s="87"/>
      <x:c r="AI1213" s="30"/>
      <x:c r="AJ1213" s="87" t="str">
        <x:v>master</x:v>
      </x:c>
      <x:c r="AK1213" s="87" t="str">
        <x:v>master-v0.81</x:v>
      </x:c>
      <x:c r="AL1213" s="87" t="str">
        <x:v>statgrad_master_base_v0_81_final(2).xlsx</x:v>
      </x:c>
      <x:c r="AM1213" s="87" t="str">
        <x:v>BIO_Mar_V2</x:v>
      </x:c>
      <x:c r="AN1213" s="87" t="n">
        <x:v>12</x:v>
      </x:c>
    </x:row>
    <x:row r="1214">
      <x:c r="A1214" s="87" t="n">
        <x:v>1213</x:v>
      </x:c>
      <x:c r="B1214" s="87" t="str">
        <x:v>MAR-BIO-V2-012</x:v>
      </x:c>
      <x:c r="C1214" s="87" t="str">
        <x:v>СтатГрад</x:v>
      </x:c>
      <x:c r="D1214" s="87" t="str">
        <x:v>Март 2026</x:v>
      </x:c>
      <x:c r="E1214" s="87"/>
      <x:c r="F1214" s="87"/>
      <x:c r="G1214" s="87" t="str">
        <x:v>Биология</x:v>
      </x:c>
      <x:c r="H1214" s="87" t="n">
        <x:v>11</x:v>
      </x:c>
      <x:c r="I1214" s="87" t="str">
        <x:v>ТР №4</x:v>
      </x:c>
      <x:c r="J1214" s="87" t="str">
        <x:v>БИ2510402</x:v>
      </x:c>
      <x:c r="K1214" s="87" t="n">
        <x:v>12</x:v>
      </x:c>
      <x:c r="L1214" s="87" t="str">
        <x:v>Систематика животных</x:v>
      </x:c>
      <x:c r="M1214" s="30" t="str">
        <x:v>Расположить группы бобра от самого низкого ранга к наиболее высокому.</x:v>
      </x:c>
      <x:c r="N1214" s="30" t="str">
        <x:v>423156</x:v>
      </x:c>
      <x:c r="O1214" s="30" t="str">
        <x:v>Бобр обыкновенный → Бобровые → Грызуны → Млекопитающие → Позвоночные → Хордовые.</x:v>
      </x:c>
      <x:c r="P1214" s="30" t="str">
        <x:v>Таксономические ранги проверены.</x:v>
      </x:c>
      <x:c r="Q1214" s="30"/>
      <x:c r="R1214" s="30" t="str">
        <x:v>Полный PDF + независимое решение</x:v>
      </x:c>
      <x:c r="S1214" s="30"/>
      <x:c r="T1214" s="30"/>
      <x:c r="U1214" s="30" t="str">
        <x:v>Расхождений не обнаружено.</x:v>
      </x:c>
      <x:c r="V1214" s="87" t="str">
        <x:v>VERIFIED</x:v>
      </x:c>
      <x:c r="W1214" s="87" t="str">
        <x:v>Полный PDF, задание 12</x:v>
      </x:c>
      <x:c r="X1214" s="87"/>
      <x:c r="Y1214" s="87"/>
      <x:c r="Z1214" s="87"/>
      <x:c r="AA1214" s="87"/>
      <x:c r="AB1214" s="87"/>
      <x:c r="AC1214" s="87"/>
      <x:c r="AD1214" s="87"/>
      <x:c r="AE1214" s="87"/>
      <x:c r="AF1214" s="87"/>
      <x:c r="AG1214" s="87"/>
      <x:c r="AH1214" s="87"/>
      <x:c r="AI1214" s="30"/>
      <x:c r="AJ1214" s="87" t="str">
        <x:v>master</x:v>
      </x:c>
      <x:c r="AK1214" s="87" t="str">
        <x:v>master-v0.81</x:v>
      </x:c>
      <x:c r="AL1214" s="87" t="str">
        <x:v>statgrad_master_base_v0_81_final(2).xlsx</x:v>
      </x:c>
      <x:c r="AM1214" s="87" t="str">
        <x:v>BIO_Mar_V2</x:v>
      </x:c>
      <x:c r="AN1214" s="87" t="n">
        <x:v>13</x:v>
      </x:c>
    </x:row>
    <x:row r="1215">
      <x:c r="A1215" s="87" t="n">
        <x:v>1214</x:v>
      </x:c>
      <x:c r="B1215" s="87" t="str">
        <x:v>MAR-BIO-V2-013</x:v>
      </x:c>
      <x:c r="C1215" s="87" t="str">
        <x:v>СтатГрад</x:v>
      </x:c>
      <x:c r="D1215" s="87" t="str">
        <x:v>Март 2026</x:v>
      </x:c>
      <x:c r="E1215" s="87"/>
      <x:c r="F1215" s="87"/>
      <x:c r="G1215" s="87" t="str">
        <x:v>Биология</x:v>
      </x:c>
      <x:c r="H1215" s="87" t="n">
        <x:v>11</x:v>
      </x:c>
      <x:c r="I1215" s="87" t="str">
        <x:v>ТР №4</x:v>
      </x:c>
      <x:c r="J1215" s="87" t="str">
        <x:v>БИ2510402</x:v>
      </x:c>
      <x:c r="K1215" s="87" t="n">
        <x:v>13</x:v>
      </x:c>
      <x:c r="L1215" s="87" t="str">
        <x:v>Кровеносная система человека</x:v>
      </x:c>
      <x:c r="M1215" s="30" t="str">
        <x:v>Определить номер подвздошной артерии.</x:v>
      </x:c>
      <x:c r="N1215" s="30" t="str">
        <x:v>8</x:v>
      </x:c>
      <x:c r="O1215" s="30" t="str">
        <x:v>Подвздошные артерии — ветви аорты в тазовой области; на рисунке обозначены цифрой 8.</x:v>
      </x:c>
      <x:c r="P1215" s="30" t="str">
        <x:v>Расположение сосудов проверено визуально.</x:v>
      </x:c>
      <x:c r="Q1215" s="30"/>
      <x:c r="R1215" s="30" t="str">
        <x:v>Полный PDF + визуальная проверка</x:v>
      </x:c>
      <x:c r="S1215" s="30"/>
      <x:c r="T1215" s="30"/>
      <x:c r="U1215" s="30" t="str">
        <x:v>Расхождений не обнаружено.</x:v>
      </x:c>
      <x:c r="V1215" s="87" t="str">
        <x:v>VERIFIED</x:v>
      </x:c>
      <x:c r="W1215" s="87" t="str">
        <x:v>Полный PDF, задание 13</x:v>
      </x:c>
      <x:c r="X1215" s="87"/>
      <x:c r="Y1215" s="87"/>
      <x:c r="Z1215" s="87"/>
      <x:c r="AA1215" s="87"/>
      <x:c r="AB1215" s="87"/>
      <x:c r="AC1215" s="87"/>
      <x:c r="AD1215" s="87"/>
      <x:c r="AE1215" s="87"/>
      <x:c r="AF1215" s="87"/>
      <x:c r="AG1215" s="87"/>
      <x:c r="AH1215" s="87"/>
      <x:c r="AI1215" s="30"/>
      <x:c r="AJ1215" s="87" t="str">
        <x:v>master</x:v>
      </x:c>
      <x:c r="AK1215" s="87" t="str">
        <x:v>master-v0.81</x:v>
      </x:c>
      <x:c r="AL1215" s="87" t="str">
        <x:v>statgrad_master_base_v0_81_final(2).xlsx</x:v>
      </x:c>
      <x:c r="AM1215" s="87" t="str">
        <x:v>BIO_Mar_V2</x:v>
      </x:c>
      <x:c r="AN1215" s="87" t="n">
        <x:v>14</x:v>
      </x:c>
    </x:row>
    <x:row r="1216">
      <x:c r="A1216" s="87" t="n">
        <x:v>1215</x:v>
      </x:c>
      <x:c r="B1216" s="87" t="str">
        <x:v>MAR-BIO-V2-014</x:v>
      </x:c>
      <x:c r="C1216" s="87" t="str">
        <x:v>СтатГрад</x:v>
      </x:c>
      <x:c r="D1216" s="87" t="str">
        <x:v>Март 2026</x:v>
      </x:c>
      <x:c r="E1216" s="87"/>
      <x:c r="F1216" s="87"/>
      <x:c r="G1216" s="87" t="str">
        <x:v>Биология</x:v>
      </x:c>
      <x:c r="H1216" s="87" t="n">
        <x:v>11</x:v>
      </x:c>
      <x:c r="I1216" s="87" t="str">
        <x:v>ТР №4</x:v>
      </x:c>
      <x:c r="J1216" s="87" t="str">
        <x:v>БИ2510402</x:v>
      </x:c>
      <x:c r="K1216" s="87" t="n">
        <x:v>14</x:v>
      </x:c>
      <x:c r="L1216" s="87" t="str">
        <x:v>Органы человека</x:v>
      </x:c>
      <x:c r="M1216" s="30" t="str">
        <x:v>Соотнести признаки желудка, трахеи и печени, обозначенных 1–3.</x:v>
      </x:c>
      <x:c r="N1216" s="30" t="str">
        <x:v>313221</x:v>
      </x:c>
      <x:c r="O1216" s="30" t="str">
        <x:v>Желудок (3) вырабатывает пепсин и соединён с пищеводом; трахея (1) имеет хрящи и мерцательный эпителий; печень (2) лежит справа и выделяет желчь.</x:v>
      </x:c>
      <x:c r="P1216" s="30" t="str">
        <x:v>Все шесть характеристик проверены по анатомии и физиологии.</x:v>
      </x:c>
      <x:c r="Q1216" s="30"/>
      <x:c r="R1216" s="30" t="str">
        <x:v>Полный PDF + независимое решение</x:v>
      </x:c>
      <x:c r="S1216" s="30"/>
      <x:c r="T1216" s="30"/>
      <x:c r="U1216" s="30" t="str">
        <x:v>Расхождений не обнаружено.</x:v>
      </x:c>
      <x:c r="V1216" s="87" t="str">
        <x:v>VERIFIED</x:v>
      </x:c>
      <x:c r="W1216" s="87" t="str">
        <x:v>Полный PDF, задание 14</x:v>
      </x:c>
      <x:c r="X1216" s="87"/>
      <x:c r="Y1216" s="87"/>
      <x:c r="Z1216" s="87"/>
      <x:c r="AA1216" s="87"/>
      <x:c r="AB1216" s="87"/>
      <x:c r="AC1216" s="87"/>
      <x:c r="AD1216" s="87"/>
      <x:c r="AE1216" s="87"/>
      <x:c r="AF1216" s="87"/>
      <x:c r="AG1216" s="87"/>
      <x:c r="AH1216" s="87"/>
      <x:c r="AI1216" s="30"/>
      <x:c r="AJ1216" s="87" t="str">
        <x:v>master</x:v>
      </x:c>
      <x:c r="AK1216" s="87" t="str">
        <x:v>master-v0.81</x:v>
      </x:c>
      <x:c r="AL1216" s="87" t="str">
        <x:v>statgrad_master_base_v0_81_final(2).xlsx</x:v>
      </x:c>
      <x:c r="AM1216" s="87" t="str">
        <x:v>BIO_Mar_V2</x:v>
      </x:c>
      <x:c r="AN1216" s="87" t="n">
        <x:v>15</x:v>
      </x:c>
    </x:row>
    <x:row r="1217">
      <x:c r="A1217" s="87" t="n">
        <x:v>1216</x:v>
      </x:c>
      <x:c r="B1217" s="87" t="str">
        <x:v>MAR-BIO-V2-015</x:v>
      </x:c>
      <x:c r="C1217" s="87" t="str">
        <x:v>СтатГрад</x:v>
      </x:c>
      <x:c r="D1217" s="87" t="str">
        <x:v>Март 2026</x:v>
      </x:c>
      <x:c r="E1217" s="87"/>
      <x:c r="F1217" s="87"/>
      <x:c r="G1217" s="87" t="str">
        <x:v>Биология</x:v>
      </x:c>
      <x:c r="H1217" s="87" t="n">
        <x:v>11</x:v>
      </x:c>
      <x:c r="I1217" s="87" t="str">
        <x:v>ТР №4</x:v>
      </x:c>
      <x:c r="J1217" s="87" t="str">
        <x:v>БИ2510402</x:v>
      </x:c>
      <x:c r="K1217" s="87" t="n">
        <x:v>15</x:v>
      </x:c>
      <x:c r="L1217" s="87" t="str">
        <x:v>Нервная и эндокринная регуляция</x:v>
      </x:c>
      <x:c r="M1217" s="30" t="str">
        <x:v>Выбрать функции гипоталамуса.</x:v>
      </x:c>
      <x:c r="N1217" s="30" t="str">
        <x:v>235</x:v>
      </x:c>
      <x:c r="O1217" s="30" t="str">
        <x:v>Гипоталамус участвует в терморегуляции, управляет автономной нервной системой и синтезирует вазопрессин.</x:v>
      </x:c>
      <x:c r="P1217" s="30" t="str">
        <x:v>Равновесие преимущественно обеспечивает мозжечок, тактильный анализ — кора, высшую нервную деятельность — большие полушария.</x:v>
      </x:c>
      <x:c r="Q1217" s="30"/>
      <x:c r="R1217" s="30" t="str">
        <x:v>Полный PDF + независимое решение</x:v>
      </x:c>
      <x:c r="S1217" s="30"/>
      <x:c r="T1217" s="30"/>
      <x:c r="U1217" s="30" t="str">
        <x:v>Расхождений не обнаружено.</x:v>
      </x:c>
      <x:c r="V1217" s="87" t="str">
        <x:v>VERIFIED</x:v>
      </x:c>
      <x:c r="W1217" s="87" t="str">
        <x:v>Полный PDF, задание 15</x:v>
      </x:c>
      <x:c r="X1217" s="87"/>
      <x:c r="Y1217" s="87"/>
      <x:c r="Z1217" s="87"/>
      <x:c r="AA1217" s="87"/>
      <x:c r="AB1217" s="87"/>
      <x:c r="AC1217" s="87"/>
      <x:c r="AD1217" s="87"/>
      <x:c r="AE1217" s="87"/>
      <x:c r="AF1217" s="87"/>
      <x:c r="AG1217" s="87"/>
      <x:c r="AH1217" s="87"/>
      <x:c r="AI1217" s="30"/>
      <x:c r="AJ1217" s="87" t="str">
        <x:v>master</x:v>
      </x:c>
      <x:c r="AK1217" s="87" t="str">
        <x:v>master-v0.81</x:v>
      </x:c>
      <x:c r="AL1217" s="87" t="str">
        <x:v>statgrad_master_base_v0_81_final(2).xlsx</x:v>
      </x:c>
      <x:c r="AM1217" s="87" t="str">
        <x:v>BIO_Mar_V2</x:v>
      </x:c>
      <x:c r="AN1217" s="87" t="n">
        <x:v>16</x:v>
      </x:c>
    </x:row>
    <x:row r="1218">
      <x:c r="A1218" s="87" t="n">
        <x:v>1217</x:v>
      </x:c>
      <x:c r="B1218" s="87" t="str">
        <x:v>MAR-BIO-V2-016</x:v>
      </x:c>
      <x:c r="C1218" s="87" t="str">
        <x:v>СтатГрад</x:v>
      </x:c>
      <x:c r="D1218" s="87" t="str">
        <x:v>Март 2026</x:v>
      </x:c>
      <x:c r="E1218" s="87"/>
      <x:c r="F1218" s="87"/>
      <x:c r="G1218" s="87" t="str">
        <x:v>Биология</x:v>
      </x:c>
      <x:c r="H1218" s="87" t="n">
        <x:v>11</x:v>
      </x:c>
      <x:c r="I1218" s="87" t="str">
        <x:v>ТР №4</x:v>
      </x:c>
      <x:c r="J1218" s="87" t="str">
        <x:v>БИ2510402</x:v>
      </x:c>
      <x:c r="K1218" s="87" t="n">
        <x:v>16</x:v>
      </x:c>
      <x:c r="L1218" s="87" t="str">
        <x:v>Уровни организации мышцы</x:v>
      </x:c>
      <x:c r="M1218" s="30" t="str">
        <x:v>Расположить элементы от крупнейшего к мельчайшему.</x:v>
      </x:c>
      <x:c r="N1218" s="30" t="str">
        <x:v>261345</x:v>
      </x:c>
      <x:c r="O1218" s="30" t="str">
        <x:v>Верхняя конечность → плечо → трицепс → мышечное волокно → миофибрилла → миозин.</x:v>
      </x:c>
      <x:c r="P1218" s="30" t="str">
        <x:v>Соподчинение анатомических и молекулярных структур проверено.</x:v>
      </x:c>
      <x:c r="Q1218" s="30"/>
      <x:c r="R1218" s="30" t="str">
        <x:v>Полный PDF + независимое решение</x:v>
      </x:c>
      <x:c r="S1218" s="30"/>
      <x:c r="T1218" s="30"/>
      <x:c r="U1218" s="30" t="str">
        <x:v>Расхождений не обнаружено.</x:v>
      </x:c>
      <x:c r="V1218" s="87" t="str">
        <x:v>VERIFIED</x:v>
      </x:c>
      <x:c r="W1218" s="87" t="str">
        <x:v>Полный PDF, задание 16</x:v>
      </x:c>
      <x:c r="X1218" s="87"/>
      <x:c r="Y1218" s="87"/>
      <x:c r="Z1218" s="87"/>
      <x:c r="AA1218" s="87"/>
      <x:c r="AB1218" s="87"/>
      <x:c r="AC1218" s="87"/>
      <x:c r="AD1218" s="87"/>
      <x:c r="AE1218" s="87"/>
      <x:c r="AF1218" s="87"/>
      <x:c r="AG1218" s="87"/>
      <x:c r="AH1218" s="87"/>
      <x:c r="AI1218" s="30"/>
      <x:c r="AJ1218" s="87" t="str">
        <x:v>master</x:v>
      </x:c>
      <x:c r="AK1218" s="87" t="str">
        <x:v>master-v0.81</x:v>
      </x:c>
      <x:c r="AL1218" s="87" t="str">
        <x:v>statgrad_master_base_v0_81_final(2).xlsx</x:v>
      </x:c>
      <x:c r="AM1218" s="87" t="str">
        <x:v>BIO_Mar_V2</x:v>
      </x:c>
      <x:c r="AN1218" s="87" t="n">
        <x:v>17</x:v>
      </x:c>
    </x:row>
    <x:row r="1219">
      <x:c r="A1219" s="87" t="n">
        <x:v>1218</x:v>
      </x:c>
      <x:c r="B1219" s="87" t="str">
        <x:v>MAR-BIO-V2-017</x:v>
      </x:c>
      <x:c r="C1219" s="87" t="str">
        <x:v>СтатГрад</x:v>
      </x:c>
      <x:c r="D1219" s="87" t="str">
        <x:v>Март 2026</x:v>
      </x:c>
      <x:c r="E1219" s="87"/>
      <x:c r="F1219" s="87"/>
      <x:c r="G1219" s="87" t="str">
        <x:v>Биология</x:v>
      </x:c>
      <x:c r="H1219" s="87" t="n">
        <x:v>11</x:v>
      </x:c>
      <x:c r="I1219" s="87" t="str">
        <x:v>ТР №4</x:v>
      </x:c>
      <x:c r="J1219" s="87" t="str">
        <x:v>БИ2510402</x:v>
      </x:c>
      <x:c r="K1219" s="87" t="n">
        <x:v>17</x:v>
      </x:c>
      <x:c r="L1219" s="87" t="str">
        <x:v>Дрейф генов</x:v>
      </x:c>
      <x:c r="M1219" s="30" t="str">
        <x:v>Выбрать предложения с примерами случайного изменения частот аллелей.</x:v>
      </x:c>
      <x:c r="N1219" s="30" t="str">
        <x:v>135</x:v>
      </x:c>
      <x:c r="O1219" s="30" t="str">
        <x:v>Пожар, эффект основателя на острове и случайная гибель носителей при наводнении не связаны с приспособительной ценностью аллелей.</x:v>
      </x:c>
      <x:c r="P1219" s="30" t="str">
        <x:v>Остальные примеры описывают естественный отбор.</x:v>
      </x:c>
      <x:c r="Q1219" s="30"/>
      <x:c r="R1219" s="30" t="str">
        <x:v>Полный PDF + независимое решение</x:v>
      </x:c>
      <x:c r="S1219" s="30"/>
      <x:c r="T1219" s="30"/>
      <x:c r="U1219" s="30" t="str">
        <x:v>Расхождений не обнаружено.</x:v>
      </x:c>
      <x:c r="V1219" s="87" t="str">
        <x:v>VERIFIED</x:v>
      </x:c>
      <x:c r="W1219" s="87" t="str">
        <x:v>Полный PDF, задание 17</x:v>
      </x:c>
      <x:c r="X1219" s="87"/>
      <x:c r="Y1219" s="87"/>
      <x:c r="Z1219" s="87"/>
      <x:c r="AA1219" s="87"/>
      <x:c r="AB1219" s="87"/>
      <x:c r="AC1219" s="87"/>
      <x:c r="AD1219" s="87"/>
      <x:c r="AE1219" s="87"/>
      <x:c r="AF1219" s="87"/>
      <x:c r="AG1219" s="87"/>
      <x:c r="AH1219" s="87"/>
      <x:c r="AI1219" s="30"/>
      <x:c r="AJ1219" s="87" t="str">
        <x:v>master</x:v>
      </x:c>
      <x:c r="AK1219" s="87" t="str">
        <x:v>master-v0.81</x:v>
      </x:c>
      <x:c r="AL1219" s="87" t="str">
        <x:v>statgrad_master_base_v0_81_final(2).xlsx</x:v>
      </x:c>
      <x:c r="AM1219" s="87" t="str">
        <x:v>BIO_Mar_V2</x:v>
      </x:c>
      <x:c r="AN1219" s="87" t="n">
        <x:v>18</x:v>
      </x:c>
    </x:row>
    <x:row r="1220">
      <x:c r="A1220" s="87" t="n">
        <x:v>1219</x:v>
      </x:c>
      <x:c r="B1220" s="87" t="str">
        <x:v>MAR-BIO-V2-018</x:v>
      </x:c>
      <x:c r="C1220" s="87" t="str">
        <x:v>СтатГрад</x:v>
      </x:c>
      <x:c r="D1220" s="87" t="str">
        <x:v>Март 2026</x:v>
      </x:c>
      <x:c r="E1220" s="87"/>
      <x:c r="F1220" s="87"/>
      <x:c r="G1220" s="87" t="str">
        <x:v>Биология</x:v>
      </x:c>
      <x:c r="H1220" s="87" t="n">
        <x:v>11</x:v>
      </x:c>
      <x:c r="I1220" s="87" t="str">
        <x:v>ТР №4</x:v>
      </x:c>
      <x:c r="J1220" s="87" t="str">
        <x:v>БИ2510402</x:v>
      </x:c>
      <x:c r="K1220" s="87" t="n">
        <x:v>18</x:v>
      </x:c>
      <x:c r="L1220" s="87" t="str">
        <x:v>Происхождение углеводородов</x:v>
      </x:c>
      <x:c r="M1220" s="30" t="str">
        <x:v>Выбрать примеры биогенного происхождения углеводородного сырья.</x:v>
      </x:c>
      <x:c r="N1220" s="30" t="str">
        <x:v>245</x:v>
      </x:c>
      <x:c r="O1220" s="30" t="str">
        <x:v>Нефть из планктона, каменный уголь из древних растений и торф из болотной растительности имеют биогенное происхождение.</x:v>
      </x:c>
      <x:c r="P1220" s="30" t="str">
        <x:v>Абиотические гипотезы и реакции минералов исключены.</x:v>
      </x:c>
      <x:c r="Q1220" s="30"/>
      <x:c r="R1220" s="30" t="str">
        <x:v>Полный PDF + независимое решение</x:v>
      </x:c>
      <x:c r="S1220" s="30"/>
      <x:c r="T1220" s="30"/>
      <x:c r="U1220" s="30" t="str">
        <x:v>Расхождений не обнаружено.</x:v>
      </x:c>
      <x:c r="V1220" s="87" t="str">
        <x:v>VERIFIED</x:v>
      </x:c>
      <x:c r="W1220" s="87" t="str">
        <x:v>Полный PDF, задание 18</x:v>
      </x:c>
      <x:c r="X1220" s="87"/>
      <x:c r="Y1220" s="87"/>
      <x:c r="Z1220" s="87"/>
      <x:c r="AA1220" s="87"/>
      <x:c r="AB1220" s="87"/>
      <x:c r="AC1220" s="87"/>
      <x:c r="AD1220" s="87"/>
      <x:c r="AE1220" s="87"/>
      <x:c r="AF1220" s="87"/>
      <x:c r="AG1220" s="87"/>
      <x:c r="AH1220" s="87"/>
      <x:c r="AI1220" s="30"/>
      <x:c r="AJ1220" s="87" t="str">
        <x:v>master</x:v>
      </x:c>
      <x:c r="AK1220" s="87" t="str">
        <x:v>master-v0.81</x:v>
      </x:c>
      <x:c r="AL1220" s="87" t="str">
        <x:v>statgrad_master_base_v0_81_final(2).xlsx</x:v>
      </x:c>
      <x:c r="AM1220" s="87" t="str">
        <x:v>BIO_Mar_V2</x:v>
      </x:c>
      <x:c r="AN1220" s="87" t="n">
        <x:v>19</x:v>
      </x:c>
    </x:row>
    <x:row r="1221">
      <x:c r="A1221" s="87" t="n">
        <x:v>1220</x:v>
      </x:c>
      <x:c r="B1221" s="87" t="str">
        <x:v>MAR-BIO-V2-019</x:v>
      </x:c>
      <x:c r="C1221" s="87" t="str">
        <x:v>СтатГрад</x:v>
      </x:c>
      <x:c r="D1221" s="87" t="str">
        <x:v>Март 2026</x:v>
      </x:c>
      <x:c r="E1221" s="87"/>
      <x:c r="F1221" s="87"/>
      <x:c r="G1221" s="87" t="str">
        <x:v>Биология</x:v>
      </x:c>
      <x:c r="H1221" s="87" t="n">
        <x:v>11</x:v>
      </x:c>
      <x:c r="I1221" s="87" t="str">
        <x:v>ТР №4</x:v>
      </x:c>
      <x:c r="J1221" s="87" t="str">
        <x:v>БИ2510402</x:v>
      </x:c>
      <x:c r="K1221" s="87" t="n">
        <x:v>19</x:v>
      </x:c>
      <x:c r="L1221" s="87" t="str">
        <x:v>Биомы суши</x:v>
      </x:c>
      <x:c r="M1221" s="30" t="str">
        <x:v>Соотнести признаки ковыльной степи и влажного тропического леса.</x:v>
      </x:c>
      <x:c r="N1221" s="30" t="str">
        <x:v>221121</x:v>
      </x:c>
      <x:c r="O1221" s="30" t="str">
        <x:v>Лесу свойственны древесные формы, эпифиты и ярусность; степи — злаки, ксерофиты и эфемероиды.</x:v>
      </x:c>
      <x:c r="P1221" s="30" t="str">
        <x:v>Все признаки проверены по климату и структуре фитоценозов.</x:v>
      </x:c>
      <x:c r="Q1221" s="30"/>
      <x:c r="R1221" s="30" t="str">
        <x:v>Полный PDF + независимое решение</x:v>
      </x:c>
      <x:c r="S1221" s="30"/>
      <x:c r="T1221" s="30"/>
      <x:c r="U1221" s="30" t="str">
        <x:v>Расхождений не обнаружено.</x:v>
      </x:c>
      <x:c r="V1221" s="87" t="str">
        <x:v>VERIFIED</x:v>
      </x:c>
      <x:c r="W1221" s="87" t="str">
        <x:v>Полный PDF, задание 19</x:v>
      </x:c>
      <x:c r="X1221" s="87"/>
      <x:c r="Y1221" s="87"/>
      <x:c r="Z1221" s="87"/>
      <x:c r="AA1221" s="87"/>
      <x:c r="AB1221" s="87"/>
      <x:c r="AC1221" s="87"/>
      <x:c r="AD1221" s="87"/>
      <x:c r="AE1221" s="87"/>
      <x:c r="AF1221" s="87"/>
      <x:c r="AG1221" s="87"/>
      <x:c r="AH1221" s="87"/>
      <x:c r="AI1221" s="30"/>
      <x:c r="AJ1221" s="87" t="str">
        <x:v>master</x:v>
      </x:c>
      <x:c r="AK1221" s="87" t="str">
        <x:v>master-v0.81</x:v>
      </x:c>
      <x:c r="AL1221" s="87" t="str">
        <x:v>statgrad_master_base_v0_81_final(2).xlsx</x:v>
      </x:c>
      <x:c r="AM1221" s="87" t="str">
        <x:v>BIO_Mar_V2</x:v>
      </x:c>
      <x:c r="AN1221" s="87" t="n">
        <x:v>20</x:v>
      </x:c>
    </x:row>
    <x:row r="1222">
      <x:c r="A1222" s="87" t="n">
        <x:v>1221</x:v>
      </x:c>
      <x:c r="B1222" s="87" t="str">
        <x:v>MAR-BIO-V2-020</x:v>
      </x:c>
      <x:c r="C1222" s="87" t="str">
        <x:v>СтатГрад</x:v>
      </x:c>
      <x:c r="D1222" s="87" t="str">
        <x:v>Март 2026</x:v>
      </x:c>
      <x:c r="E1222" s="87"/>
      <x:c r="F1222" s="87"/>
      <x:c r="G1222" s="87" t="str">
        <x:v>Биология</x:v>
      </x:c>
      <x:c r="H1222" s="87" t="n">
        <x:v>11</x:v>
      </x:c>
      <x:c r="I1222" s="87" t="str">
        <x:v>ТР №4</x:v>
      </x:c>
      <x:c r="J1222" s="87" t="str">
        <x:v>БИ2510402</x:v>
      </x:c>
      <x:c r="K1222" s="87" t="n">
        <x:v>20</x:v>
      </x:c>
      <x:c r="L1222" s="87" t="str">
        <x:v>Видообразование</x:v>
      </x:c>
      <x:c r="M1222" s="30" t="str">
        <x:v>По карте распространения Anisotremus определить тип, причину и аналогичный пример.</x:v>
      </x:c>
      <x:c r="N1222" s="30" t="str">
        <x:v>843</x:v>
      </x:c>
      <x:c r="O1222" s="30" t="str">
        <x:v>Формирование Панамского перешейка создало физическую преграду и вызвало аллопатрическое видообразование; аналогичен разрыв ареалов орангутанов Суматры и Калимантана.</x:v>
      </x:c>
      <x:c r="P1222" s="30" t="str">
        <x:v>Карта и список элементов сопоставлены независимо.</x:v>
      </x:c>
      <x:c r="Q1222" s="30"/>
      <x:c r="R1222" s="30" t="str">
        <x:v>Полный PDF + визуальная проверка</x:v>
      </x:c>
      <x:c r="S1222" s="30"/>
      <x:c r="T1222" s="30"/>
      <x:c r="U1222" s="30" t="str">
        <x:v>Расхождений не обнаружено.</x:v>
      </x:c>
      <x:c r="V1222" s="87" t="str">
        <x:v>VERIFIED</x:v>
      </x:c>
      <x:c r="W1222" s="87" t="str">
        <x:v>Полный PDF, задание 20</x:v>
      </x:c>
      <x:c r="X1222" s="87"/>
      <x:c r="Y1222" s="87"/>
      <x:c r="Z1222" s="87"/>
      <x:c r="AA1222" s="87"/>
      <x:c r="AB1222" s="87"/>
      <x:c r="AC1222" s="87"/>
      <x:c r="AD1222" s="87"/>
      <x:c r="AE1222" s="87"/>
      <x:c r="AF1222" s="87"/>
      <x:c r="AG1222" s="87"/>
      <x:c r="AH1222" s="87"/>
      <x:c r="AI1222" s="30"/>
      <x:c r="AJ1222" s="87" t="str">
        <x:v>master</x:v>
      </x:c>
      <x:c r="AK1222" s="87" t="str">
        <x:v>master-v0.81</x:v>
      </x:c>
      <x:c r="AL1222" s="87" t="str">
        <x:v>statgrad_master_base_v0_81_final(2).xlsx</x:v>
      </x:c>
      <x:c r="AM1222" s="87" t="str">
        <x:v>BIO_Mar_V2</x:v>
      </x:c>
      <x:c r="AN1222" s="87" t="n">
        <x:v>21</x:v>
      </x:c>
    </x:row>
    <x:row r="1223">
      <x:c r="A1223" s="87" t="n">
        <x:v>1222</x:v>
      </x:c>
      <x:c r="B1223" s="87" t="str">
        <x:v>MAR-BIO-V2-021</x:v>
      </x:c>
      <x:c r="C1223" s="87" t="str">
        <x:v>СтатГрад</x:v>
      </x:c>
      <x:c r="D1223" s="87" t="str">
        <x:v>Март 2026</x:v>
      </x:c>
      <x:c r="E1223" s="87"/>
      <x:c r="F1223" s="87"/>
      <x:c r="G1223" s="87" t="str">
        <x:v>Биология</x:v>
      </x:c>
      <x:c r="H1223" s="87" t="n">
        <x:v>11</x:v>
      </x:c>
      <x:c r="I1223" s="87" t="str">
        <x:v>ТР №4</x:v>
      </x:c>
      <x:c r="J1223" s="87" t="str">
        <x:v>БИ2510402</x:v>
      </x:c>
      <x:c r="K1223" s="87" t="n">
        <x:v>21</x:v>
      </x:c>
      <x:c r="L1223" s="87" t="str">
        <x:v>Анализ графиков популяций</x:v>
      </x:c>
      <x:c r="M1223" s="30" t="str">
        <x:v>Выбрать выводы из зависимости рождаемости от плотности у синиц и дафний.</x:v>
      </x:c>
      <x:c r="N1223" s="30" t="str">
        <x:v>15</x:v>
      </x:c>
      <x:c r="O1223" s="30" t="str">
        <x:v>При низкой плотности кривая дафний резко возрастает относительно линейной зависимости; в разреженной популяции синицы приносят до 10 потомков. Нулевая рождаемость, смертность и риск вымирания графиками не показаны.</x:v>
      </x:c>
      <x:c r="P1223" s="30" t="str">
        <x:v>Каждое утверждение проверено только по данным осей и кривых.</x:v>
      </x:c>
      <x:c r="Q1223" s="30"/>
      <x:c r="R1223" s="30" t="str">
        <x:v>Полный PDF + независимый анализ</x:v>
      </x:c>
      <x:c r="S1223" s="30"/>
      <x:c r="T1223" s="30"/>
      <x:c r="U1223" s="30" t="str">
        <x:v>Расхождений не обнаружено.</x:v>
      </x:c>
      <x:c r="V1223" s="87" t="str">
        <x:v>VERIFIED</x:v>
      </x:c>
      <x:c r="W1223" s="87" t="str">
        <x:v>Полный PDF, задание 21</x:v>
      </x:c>
      <x:c r="X1223" s="87"/>
      <x:c r="Y1223" s="87"/>
      <x:c r="Z1223" s="87"/>
      <x:c r="AA1223" s="87"/>
      <x:c r="AB1223" s="87"/>
      <x:c r="AC1223" s="87"/>
      <x:c r="AD1223" s="87"/>
      <x:c r="AE1223" s="87"/>
      <x:c r="AF1223" s="87"/>
      <x:c r="AG1223" s="87"/>
      <x:c r="AH1223" s="87"/>
      <x:c r="AI1223" s="30"/>
      <x:c r="AJ1223" s="87" t="str">
        <x:v>master</x:v>
      </x:c>
      <x:c r="AK1223" s="87" t="str">
        <x:v>master-v0.81</x:v>
      </x:c>
      <x:c r="AL1223" s="87" t="str">
        <x:v>statgrad_master_base_v0_81_final(2).xlsx</x:v>
      </x:c>
      <x:c r="AM1223" s="87" t="str">
        <x:v>BIO_Mar_V2</x:v>
      </x:c>
      <x:c r="AN1223" s="87" t="n">
        <x:v>22</x:v>
      </x:c>
    </x:row>
    <x:row r="1224">
      <x:c r="A1224" s="87" t="n">
        <x:v>1223</x:v>
      </x:c>
      <x:c r="B1224" s="87" t="str">
        <x:v>MAR-BIO-V2-022</x:v>
      </x:c>
      <x:c r="C1224" s="87" t="str">
        <x:v>СтатГрад</x:v>
      </x:c>
      <x:c r="D1224" s="87" t="str">
        <x:v>Март 2026</x:v>
      </x:c>
      <x:c r="E1224" s="87"/>
      <x:c r="F1224" s="87"/>
      <x:c r="G1224" s="87" t="str">
        <x:v>Биология</x:v>
      </x:c>
      <x:c r="H1224" s="87" t="n">
        <x:v>11</x:v>
      </x:c>
      <x:c r="I1224" s="87" t="str">
        <x:v>ТР №4</x:v>
      </x:c>
      <x:c r="J1224" s="87" t="str">
        <x:v>БИ2510402</x:v>
      </x:c>
      <x:c r="K1224" s="87" t="n">
        <x:v>22</x:v>
      </x:c>
      <x:c r="L1224" s="87" t="str">
        <x:v>Развёрнутый ответ: планирование эксперимента</x:v>
      </x:c>
      <x:c r="M1224" s="30" t="str">
        <x:v>Сформулировать нулевую гипотезу; объяснить использование культуры клеток и единственного вида.</x:v>
      </x:c>
      <x:c r="N1224" s="30" t="str">
        <x:v>Нулевая гипотеза: количество инфузорий у катода не зависит от концентрации ЭДТА. Культура повышает достоверность и снижает влияние индивидуальной изменчивости. Разные виды могут неодинаково реагировать на ЭДТА и электрическое поле, поэтому зависимость нельзя было бы выделить однозначно.</x:v>
      </x:c>
      <x:c r="O1224" s="30" t="str">
        <x:v>Ответ охватывает гипотезу, повторность и контроль видовой принадлежности.</x:v>
      </x:c>
      <x:c r="P1224" s="30" t="str">
        <x:v>Модель сопоставлена с опубликованными критериями.</x:v>
      </x:c>
      <x:c r="Q1224" s="30"/>
      <x:c r="R1224" s="30" t="str">
        <x:v>Степенин: БИ2510402, задание 22</x:v>
      </x:c>
      <x:c r="S1224" s="30"/>
      <x:c r="T1224" s="30"/>
      <x:c r="U1224" s="30" t="str">
        <x:v>Расхождений не обнаружено.</x:v>
      </x:c>
      <x:c r="V1224" s="87" t="str">
        <x:v>VERIFIED</x:v>
      </x:c>
      <x:c r="W1224" s="87" t="str">
        <x:v>Полный PDF, задание 22</x:v>
      </x:c>
      <x:c r="X1224" s="87"/>
      <x:c r="Y1224" s="87"/>
      <x:c r="Z1224" s="87"/>
      <x:c r="AA1224" s="87"/>
      <x:c r="AB1224" s="87"/>
      <x:c r="AC1224" s="87"/>
      <x:c r="AD1224" s="87"/>
      <x:c r="AE1224" s="87"/>
      <x:c r="AF1224" s="87"/>
      <x:c r="AG1224" s="87"/>
      <x:c r="AH1224" s="87"/>
      <x:c r="AI1224" s="30"/>
      <x:c r="AJ1224" s="87" t="str">
        <x:v>master</x:v>
      </x:c>
      <x:c r="AK1224" s="87" t="str">
        <x:v>master-v0.81</x:v>
      </x:c>
      <x:c r="AL1224" s="87" t="str">
        <x:v>statgrad_master_base_v0_81_final(2).xlsx</x:v>
      </x:c>
      <x:c r="AM1224" s="87" t="str">
        <x:v>BIO_Mar_V2</x:v>
      </x:c>
      <x:c r="AN1224" s="87" t="n">
        <x:v>23</x:v>
      </x:c>
    </x:row>
    <x:row r="1225">
      <x:c r="A1225" s="87" t="n">
        <x:v>1224</x:v>
      </x:c>
      <x:c r="B1225" s="87" t="str">
        <x:v>MAR-BIO-V2-023</x:v>
      </x:c>
      <x:c r="C1225" s="87" t="str">
        <x:v>СтатГрад</x:v>
      </x:c>
      <x:c r="D1225" s="87" t="str">
        <x:v>Март 2026</x:v>
      </x:c>
      <x:c r="E1225" s="87"/>
      <x:c r="F1225" s="87"/>
      <x:c r="G1225" s="87" t="str">
        <x:v>Биология</x:v>
      </x:c>
      <x:c r="H1225" s="87" t="n">
        <x:v>11</x:v>
      </x:c>
      <x:c r="I1225" s="87" t="str">
        <x:v>ТР №4</x:v>
      </x:c>
      <x:c r="J1225" s="87" t="str">
        <x:v>БИ2510402</x:v>
      </x:c>
      <x:c r="K1225" s="87" t="n">
        <x:v>23</x:v>
      </x:c>
      <x:c r="L1225" s="87" t="str">
        <x:v>Развёрнутый ответ: мембранный потенциал</x:v>
      </x:c>
      <x:c r="M1225" s="30" t="str">
        <x:v>Определить индуцированный заряд переднего конца; прогноз для дистиллированной воды и назначение фильтровальной бумаги.</x:v>
      </x:c>
      <x:c r="N1225" s="30" t="str">
        <x:v>На переднем конце индуцируется положительный заряд. В дистиллированной воде движение замедлится или нарушится: отсутствуют свободные ионы Ca²⁺, а гипотоничность вызывает осмотический стресс и изменение мембранного потенциала. Фильтровальная бумага защищает клетки от контакта с электродами и продуктами электролиза, исключая химический градиент.</x:v>
      </x:c>
      <x:c r="O1225" s="30" t="str">
        <x:v>Связаны роль Ca²⁺-каналов, осмотические условия и изоляция электродов.</x:v>
      </x:c>
      <x:c r="P1225" s="30" t="str">
        <x:v>Модель сопоставлена с опубликованными критериями.</x:v>
      </x:c>
      <x:c r="Q1225" s="30"/>
      <x:c r="R1225" s="30" t="str">
        <x:v>Степенин: БИ2510402, задание 23</x:v>
      </x:c>
      <x:c r="S1225" s="30"/>
      <x:c r="T1225" s="30"/>
      <x:c r="U1225" s="30" t="str">
        <x:v>Расхождений не обнаружено.</x:v>
      </x:c>
      <x:c r="V1225" s="87" t="str">
        <x:v>VERIFIED</x:v>
      </x:c>
      <x:c r="W1225" s="87" t="str">
        <x:v>Полный PDF, задание 23</x:v>
      </x:c>
      <x:c r="X1225" s="87"/>
      <x:c r="Y1225" s="87"/>
      <x:c r="Z1225" s="87"/>
      <x:c r="AA1225" s="87"/>
      <x:c r="AB1225" s="87"/>
      <x:c r="AC1225" s="87"/>
      <x:c r="AD1225" s="87"/>
      <x:c r="AE1225" s="87"/>
      <x:c r="AF1225" s="87"/>
      <x:c r="AG1225" s="87"/>
      <x:c r="AH1225" s="87"/>
      <x:c r="AI1225" s="30"/>
      <x:c r="AJ1225" s="87" t="str">
        <x:v>master</x:v>
      </x:c>
      <x:c r="AK1225" s="87" t="str">
        <x:v>master-v0.81</x:v>
      </x:c>
      <x:c r="AL1225" s="87" t="str">
        <x:v>statgrad_master_base_v0_81_final(2).xlsx</x:v>
      </x:c>
      <x:c r="AM1225" s="87" t="str">
        <x:v>BIO_Mar_V2</x:v>
      </x:c>
      <x:c r="AN1225" s="87" t="n">
        <x:v>24</x:v>
      </x:c>
    </x:row>
    <x:row r="1226">
      <x:c r="A1226" s="87" t="n">
        <x:v>1225</x:v>
      </x:c>
      <x:c r="B1226" s="87" t="str">
        <x:v>MAR-BIO-V2-024</x:v>
      </x:c>
      <x:c r="C1226" s="87" t="str">
        <x:v>СтатГрад</x:v>
      </x:c>
      <x:c r="D1226" s="87" t="str">
        <x:v>Март 2026</x:v>
      </x:c>
      <x:c r="E1226" s="87"/>
      <x:c r="F1226" s="87"/>
      <x:c r="G1226" s="87" t="str">
        <x:v>Биология</x:v>
      </x:c>
      <x:c r="H1226" s="87" t="n">
        <x:v>11</x:v>
      </x:c>
      <x:c r="I1226" s="87" t="str">
        <x:v>ТР №4</x:v>
      </x:c>
      <x:c r="J1226" s="87" t="str">
        <x:v>БИ2510402</x:v>
      </x:c>
      <x:c r="K1226" s="87" t="n">
        <x:v>24</x:v>
      </x:c>
      <x:c r="L1226" s="87" t="str">
        <x:v>Развёрнутый ответ: сетчатка</x:v>
      </x:c>
      <x:c r="M1226" s="30" t="str">
        <x:v>Назвать участки 1 и 2 на графике распределения фоторецепторов и указать их функции.</x:v>
      </x:c>
      <x:c r="N1226" s="30" t="str">
        <x:v>1 — жёлтое пятно (центральная ямка): максимальная концентрация колбочек и наибольшая острота зрения. 2 — слепое пятно: фоторецепторов нет, здесь выходит зрительный нерв.</x:v>
      </x:c>
      <x:c r="O1226" s="30" t="str">
        <x:v>Названия обоснованы пиком колбочек и отсутствием палочек/колбочек.</x:v>
      </x:c>
      <x:c r="P1226" s="30" t="str">
        <x:v>Модель сопоставлена с опубликованными критериями.</x:v>
      </x:c>
      <x:c r="Q1226" s="30"/>
      <x:c r="R1226" s="30" t="str">
        <x:v>Степенин: БИ2510402, задание 24</x:v>
      </x:c>
      <x:c r="S1226" s="30"/>
      <x:c r="T1226" s="30"/>
      <x:c r="U1226" s="30" t="str">
        <x:v>Расхождений не обнаружено.</x:v>
      </x:c>
      <x:c r="V1226" s="87" t="str">
        <x:v>VERIFIED</x:v>
      </x:c>
      <x:c r="W1226" s="87" t="str">
        <x:v>Полный PDF, задание 24</x:v>
      </x:c>
      <x:c r="X1226" s="87"/>
      <x:c r="Y1226" s="87"/>
      <x:c r="Z1226" s="87"/>
      <x:c r="AA1226" s="87"/>
      <x:c r="AB1226" s="87"/>
      <x:c r="AC1226" s="87"/>
      <x:c r="AD1226" s="87"/>
      <x:c r="AE1226" s="87"/>
      <x:c r="AF1226" s="87"/>
      <x:c r="AG1226" s="87"/>
      <x:c r="AH1226" s="87"/>
      <x:c r="AI1226" s="30"/>
      <x:c r="AJ1226" s="87" t="str">
        <x:v>master</x:v>
      </x:c>
      <x:c r="AK1226" s="87" t="str">
        <x:v>master-v0.81</x:v>
      </x:c>
      <x:c r="AL1226" s="87" t="str">
        <x:v>statgrad_master_base_v0_81_final(2).xlsx</x:v>
      </x:c>
      <x:c r="AM1226" s="87" t="str">
        <x:v>BIO_Mar_V2</x:v>
      </x:c>
      <x:c r="AN1226" s="87" t="n">
        <x:v>25</x:v>
      </x:c>
    </x:row>
    <x:row r="1227">
      <x:c r="A1227" s="87" t="n">
        <x:v>1226</x:v>
      </x:c>
      <x:c r="B1227" s="87" t="str">
        <x:v>MAR-BIO-V2-025</x:v>
      </x:c>
      <x:c r="C1227" s="87" t="str">
        <x:v>СтатГрад</x:v>
      </x:c>
      <x:c r="D1227" s="87" t="str">
        <x:v>Март 2026</x:v>
      </x:c>
      <x:c r="E1227" s="87"/>
      <x:c r="F1227" s="87"/>
      <x:c r="G1227" s="87" t="str">
        <x:v>Биология</x:v>
      </x:c>
      <x:c r="H1227" s="87" t="n">
        <x:v>11</x:v>
      </x:c>
      <x:c r="I1227" s="87" t="str">
        <x:v>ТР №4</x:v>
      </x:c>
      <x:c r="J1227" s="87" t="str">
        <x:v>БИ2510402</x:v>
      </x:c>
      <x:c r="K1227" s="87" t="n">
        <x:v>25</x:v>
      </x:c>
      <x:c r="L1227" s="87" t="str">
        <x:v>Развёрнутый ответ: CAM-фотосинтез</x:v>
      </x:c>
      <x:c r="M1227" s="30" t="str">
        <x:v>Объяснить время цикла Кальвина, крупные вакуоли и медленный рост суккулентов.</x:v>
      </x:c>
      <x:c r="N1227" s="30" t="str">
        <x:v>Цикл Кальвина идёт днём, когда из малата высвобождается CO₂ и световые реакции дают АТФ и НАДФ·Н. Крупные вакуоли нужны для запаса малата. Ограниченное ночное поглощение CO₂ снижает интенсивность фотосинтеза и накопления биомассы, поэтому рост медленный.</x:v>
      </x:c>
      <x:c r="O1227" s="30" t="str">
        <x:v>Связаны суточное разделение фиксации CO₂ и продуктивность.</x:v>
      </x:c>
      <x:c r="P1227" s="30" t="str">
        <x:v>Модель сопоставлена с опубликованными критериями.</x:v>
      </x:c>
      <x:c r="Q1227" s="30"/>
      <x:c r="R1227" s="30" t="str">
        <x:v>Степенин: БИ2510402, задание 25</x:v>
      </x:c>
      <x:c r="S1227" s="30"/>
      <x:c r="T1227" s="30"/>
      <x:c r="U1227" s="30" t="str">
        <x:v>Расхождений не обнаружено.</x:v>
      </x:c>
      <x:c r="V1227" s="87" t="str">
        <x:v>VERIFIED</x:v>
      </x:c>
      <x:c r="W1227" s="87" t="str">
        <x:v>Полный PDF, задание 25</x:v>
      </x:c>
      <x:c r="X1227" s="87"/>
      <x:c r="Y1227" s="87"/>
      <x:c r="Z1227" s="87"/>
      <x:c r="AA1227" s="87"/>
      <x:c r="AB1227" s="87"/>
      <x:c r="AC1227" s="87"/>
      <x:c r="AD1227" s="87"/>
      <x:c r="AE1227" s="87"/>
      <x:c r="AF1227" s="87"/>
      <x:c r="AG1227" s="87"/>
      <x:c r="AH1227" s="87"/>
      <x:c r="AI1227" s="30"/>
      <x:c r="AJ1227" s="87" t="str">
        <x:v>master</x:v>
      </x:c>
      <x:c r="AK1227" s="87" t="str">
        <x:v>master-v0.81</x:v>
      </x:c>
      <x:c r="AL1227" s="87" t="str">
        <x:v>statgrad_master_base_v0_81_final(2).xlsx</x:v>
      </x:c>
      <x:c r="AM1227" s="87" t="str">
        <x:v>BIO_Mar_V2</x:v>
      </x:c>
      <x:c r="AN1227" s="87" t="n">
        <x:v>26</x:v>
      </x:c>
    </x:row>
    <x:row r="1228">
      <x:c r="A1228" s="87" t="n">
        <x:v>1227</x:v>
      </x:c>
      <x:c r="B1228" s="87" t="str">
        <x:v>MAR-BIO-V2-026</x:v>
      </x:c>
      <x:c r="C1228" s="87" t="str">
        <x:v>СтатГрад</x:v>
      </x:c>
      <x:c r="D1228" s="87" t="str">
        <x:v>Март 2026</x:v>
      </x:c>
      <x:c r="E1228" s="87"/>
      <x:c r="F1228" s="87"/>
      <x:c r="G1228" s="87" t="str">
        <x:v>Биология</x:v>
      </x:c>
      <x:c r="H1228" s="87" t="n">
        <x:v>11</x:v>
      </x:c>
      <x:c r="I1228" s="87" t="str">
        <x:v>ТР №4</x:v>
      </x:c>
      <x:c r="J1228" s="87" t="str">
        <x:v>БИ2510402</x:v>
      </x:c>
      <x:c r="K1228" s="87" t="n">
        <x:v>26</x:v>
      </x:c>
      <x:c r="L1228" s="87" t="str">
        <x:v>Развёрнутый ответ: гидротермальные сообщества</x:v>
      </x:c>
      <x:c r="M1228" s="30" t="str">
        <x:v>Назвать лимитирующие факторы и преимущества Alvinella pompejana рядом с источниками.</x:v>
      </x:c>
      <x:c r="N1228" s="30" t="str">
        <x:v>Лимитируют, например, отсутствие света и кислорода, высокие давление и температура, токсичные соединения — достаточно любых двух. Рядом с источником черви получают доступ к хемосинтезирующим серобактериям — своей пище; экстремальные условия уменьшают конкуренцию и давление хищников.</x:v>
      </x:c>
      <x:c r="O1228" s="30" t="str">
        <x:v>Трофический уровень консумента I порядка связан с продуцентами-хемотрофами.</x:v>
      </x:c>
      <x:c r="P1228" s="30" t="str">
        <x:v>Модель сопоставлена с опубликованными критериями.</x:v>
      </x:c>
      <x:c r="Q1228" s="30"/>
      <x:c r="R1228" s="30" t="str">
        <x:v>Степенин: БИ2510402, задание 26</x:v>
      </x:c>
      <x:c r="S1228" s="30"/>
      <x:c r="T1228" s="30"/>
      <x:c r="U1228" s="30" t="str">
        <x:v>Расхождений не обнаружено.</x:v>
      </x:c>
      <x:c r="V1228" s="87" t="str">
        <x:v>VERIFIED</x:v>
      </x:c>
      <x:c r="W1228" s="87" t="str">
        <x:v>Полный PDF, задание 26</x:v>
      </x:c>
      <x:c r="X1228" s="87"/>
      <x:c r="Y1228" s="87"/>
      <x:c r="Z1228" s="87"/>
      <x:c r="AA1228" s="87"/>
      <x:c r="AB1228" s="87"/>
      <x:c r="AC1228" s="87"/>
      <x:c r="AD1228" s="87"/>
      <x:c r="AE1228" s="87"/>
      <x:c r="AF1228" s="87"/>
      <x:c r="AG1228" s="87"/>
      <x:c r="AH1228" s="87"/>
      <x:c r="AI1228" s="30"/>
      <x:c r="AJ1228" s="87" t="str">
        <x:v>master</x:v>
      </x:c>
      <x:c r="AK1228" s="87" t="str">
        <x:v>master-v0.81</x:v>
      </x:c>
      <x:c r="AL1228" s="87" t="str">
        <x:v>statgrad_master_base_v0_81_final(2).xlsx</x:v>
      </x:c>
      <x:c r="AM1228" s="87" t="str">
        <x:v>BIO_Mar_V2</x:v>
      </x:c>
      <x:c r="AN1228" s="87" t="n">
        <x:v>27</x:v>
      </x:c>
    </x:row>
    <x:row r="1229">
      <x:c r="A1229" s="87" t="n">
        <x:v>1228</x:v>
      </x:c>
      <x:c r="B1229" s="87" t="str">
        <x:v>MAR-BIO-V2-027</x:v>
      </x:c>
      <x:c r="C1229" s="87" t="str">
        <x:v>СтатГрад</x:v>
      </x:c>
      <x:c r="D1229" s="87" t="str">
        <x:v>Март 2026</x:v>
      </x:c>
      <x:c r="E1229" s="87"/>
      <x:c r="F1229" s="87"/>
      <x:c r="G1229" s="87" t="str">
        <x:v>Биология</x:v>
      </x:c>
      <x:c r="H1229" s="87" t="n">
        <x:v>11</x:v>
      </x:c>
      <x:c r="I1229" s="87" t="str">
        <x:v>ТР №4</x:v>
      </x:c>
      <x:c r="J1229" s="87" t="str">
        <x:v>БИ2510402</x:v>
      </x:c>
      <x:c r="K1229" s="87" t="n">
        <x:v>27</x:v>
      </x:c>
      <x:c r="L1229" s="87" t="str">
        <x:v>Развёрнутый ответ: трансляция со сдвигом рамки</x:v>
      </x:c>
      <x:c r="M1229" s="30" t="str">
        <x:v>Определить иРНК, открытую рамку и аминокислотную последовательность Euplotes.</x:v>
      </x:c>
      <x:c r="N1229" s="30" t="str">
        <x:v>иРНК: 5′-ЦЦАГАУГЦАГЦУАУАГАЦГГУЦУАА-3′. Рамка начинается с АУГ: АУГ–ЦАГ–ЦУА–УАГ… На далёком стоп-кодоне УАГ происходит сдвиг +1 к кодону АГА; далее читаются ЦГГ и УЦУ. Полипептид: мет–глн–лей–арг–арг–сер.</x:v>
      </x:c>
      <x:c r="O1229" s="30" t="str">
        <x:v>Последовательность иРНК комплементарна матричной ДНК; направление и кодоны проверены по генетическому коду.</x:v>
      </x:c>
      <x:c r="P1229" s="30" t="str">
        <x:v>Модель сопоставлена с опубликованным решением.</x:v>
      </x:c>
      <x:c r="Q1229" s="30"/>
      <x:c r="R1229" s="30" t="str">
        <x:v>Степенин: БИ2510402, задание 27</x:v>
      </x:c>
      <x:c r="S1229" s="30"/>
      <x:c r="T1229" s="30"/>
      <x:c r="U1229" s="30" t="str">
        <x:v>Расхождений не обнаружено.</x:v>
      </x:c>
      <x:c r="V1229" s="87" t="str">
        <x:v>VERIFIED</x:v>
      </x:c>
      <x:c r="W1229" s="87" t="str">
        <x:v>Полный PDF, задание 27</x:v>
      </x:c>
      <x:c r="X1229" s="87"/>
      <x:c r="Y1229" s="87"/>
      <x:c r="Z1229" s="87"/>
      <x:c r="AA1229" s="87"/>
      <x:c r="AB1229" s="87"/>
      <x:c r="AC1229" s="87"/>
      <x:c r="AD1229" s="87"/>
      <x:c r="AE1229" s="87"/>
      <x:c r="AF1229" s="87"/>
      <x:c r="AG1229" s="87"/>
      <x:c r="AH1229" s="87"/>
      <x:c r="AI1229" s="30"/>
      <x:c r="AJ1229" s="87" t="str">
        <x:v>master</x:v>
      </x:c>
      <x:c r="AK1229" s="87" t="str">
        <x:v>master-v0.81</x:v>
      </x:c>
      <x:c r="AL1229" s="87" t="str">
        <x:v>statgrad_master_base_v0_81_final(2).xlsx</x:v>
      </x:c>
      <x:c r="AM1229" s="87" t="str">
        <x:v>BIO_Mar_V2</x:v>
      </x:c>
      <x:c r="AN1229" s="87" t="n">
        <x:v>28</x:v>
      </x:c>
    </x:row>
    <x:row r="1230">
      <x:c r="A1230" s="87" t="n">
        <x:v>1229</x:v>
      </x:c>
      <x:c r="B1230" s="87" t="str">
        <x:v>MAR-BIO-V2-028</x:v>
      </x:c>
      <x:c r="C1230" s="87" t="str">
        <x:v>СтатГрад</x:v>
      </x:c>
      <x:c r="D1230" s="87" t="str">
        <x:v>Март 2026</x:v>
      </x:c>
      <x:c r="E1230" s="87"/>
      <x:c r="F1230" s="87"/>
      <x:c r="G1230" s="87" t="str">
        <x:v>Биология</x:v>
      </x:c>
      <x:c r="H1230" s="87" t="n">
        <x:v>11</x:v>
      </x:c>
      <x:c r="I1230" s="87" t="str">
        <x:v>ТР №4</x:v>
      </x:c>
      <x:c r="J1230" s="87" t="str">
        <x:v>БИ2510402</x:v>
      </x:c>
      <x:c r="K1230" s="87" t="n">
        <x:v>28</x:v>
      </x:c>
      <x:c r="L1230" s="87" t="str">
        <x:v>Развёрнутый ответ: псевдоаутосомное наследование</x:v>
      </x:c>
      <x:c r="M1230" s="30" t="str">
        <x:v>Определить потомство двух браков по мезомелии и гемофилии и возможность двух заболеваний.</x:v>
      </x:c>
      <x:c r="N1230" s="30" t="str">
        <x:v>Первый брак: ♀ XᵃᴴXᵃʰ × ♂ XᵃᴴYᴬ. Из-за кроссинговера у мужчины возможны Xᵃᴴ, Xᴬᴴ, Yᴬ, Yᵃ; дочери имеют нормальную свёртываемость и могут быть нормальными или с мезомелией, сыновья также могут быть нормальными, с мезомелией, гемофилией или обоими заболеваниями. Дочь с мезомелией: XᴬᴴXᵃᴴ; второй брак с XᵃᴴYᵃ даёт дочерей и сыновей с мезомелией либо нормальным скелетом, все с нормальной свёртываемостью. В первом браке возможен сын XᵃʰYᴬ с мезомелией и гемофилией.</x:v>
      </x:c>
      <x:c r="O1230" s="30" t="str">
        <x:v>Ген гемофилии учтён на X-хромосоме, ген мезомелии — в псевдоаутосомном участке X/Y.</x:v>
      </x:c>
      <x:c r="P1230" s="30" t="str">
        <x:v>Модель сопоставлена с опубликованным решением.</x:v>
      </x:c>
      <x:c r="Q1230" s="30"/>
      <x:c r="R1230" s="30" t="str">
        <x:v>Степенин: БИ2510402, задание 28</x:v>
      </x:c>
      <x:c r="S1230" s="30"/>
      <x:c r="T1230" s="30"/>
      <x:c r="U1230" s="30" t="str">
        <x:v>Расхождений не обнаружено.</x:v>
      </x:c>
      <x:c r="V1230" s="87" t="str">
        <x:v>VERIFIED</x:v>
      </x:c>
      <x:c r="W1230" s="87" t="str">
        <x:v>Полный PDF, задание 28</x:v>
      </x:c>
      <x:c r="X1230" s="87"/>
      <x:c r="Y1230" s="87"/>
      <x:c r="Z1230" s="87"/>
      <x:c r="AA1230" s="87"/>
      <x:c r="AB1230" s="87"/>
      <x:c r="AC1230" s="87"/>
      <x:c r="AD1230" s="87"/>
      <x:c r="AE1230" s="87"/>
      <x:c r="AF1230" s="87"/>
      <x:c r="AG1230" s="87"/>
      <x:c r="AH1230" s="87"/>
      <x:c r="AI1230" s="30"/>
      <x:c r="AJ1230" s="87" t="str">
        <x:v>master</x:v>
      </x:c>
      <x:c r="AK1230" s="87" t="str">
        <x:v>master-v0.81</x:v>
      </x:c>
      <x:c r="AL1230" s="87" t="str">
        <x:v>statgrad_master_base_v0_81_final(2).xlsx</x:v>
      </x:c>
      <x:c r="AM1230" s="87" t="str">
        <x:v>BIO_Mar_V2</x:v>
      </x:c>
      <x:c r="AN1230" s="87" t="n">
        <x:v>29</x:v>
      </x:c>
    </x:row>
    <x:row r="1231">
      <x:c r="A1231" s="87" t="n">
        <x:v>1230</x:v>
      </x:c>
      <x:c r="B1231" s="87" t="str">
        <x:v>MAR-BIO-V3-001</x:v>
      </x:c>
      <x:c r="C1231" s="87" t="str">
        <x:v>СтатГрад</x:v>
      </x:c>
      <x:c r="D1231" s="87" t="str">
        <x:v>Март 2026</x:v>
      </x:c>
      <x:c r="E1231" s="87"/>
      <x:c r="F1231" s="87"/>
      <x:c r="G1231" s="87" t="str">
        <x:v>Биология</x:v>
      </x:c>
      <x:c r="H1231" s="87" t="n">
        <x:v>11</x:v>
      </x:c>
      <x:c r="I1231" s="87" t="str">
        <x:v>ТР №4</x:v>
      </x:c>
      <x:c r="J1231" s="87" t="str">
        <x:v>БИ2510403</x:v>
      </x:c>
      <x:c r="K1231" s="87" t="n">
        <x:v>1</x:v>
      </x:c>
      <x:c r="L1231" s="87" t="str">
        <x:v>Свойства живых систем</x:v>
      </x:c>
      <x:c r="M1231" s="30" t="str">
        <x:v>По таблице определить пропущенное свойство живых систем.</x:v>
      </x:c>
      <x:c r="N1231" s="30" t="str">
        <x:v>ритмичность</x:v>
      </x:c>
      <x:c r="O1231" s="30" t="str">
        <x:v>Повторяющиеся во времени изменения жизнедеятельности отражают ритмичность.</x:v>
      </x:c>
      <x:c r="P1231" s="30" t="str">
        <x:v>В открытой публикации также допускается термин «раздражимость» для данной иллюстрации.</x:v>
      </x:c>
      <x:c r="Q1231" s="30"/>
      <x:c r="R1231" s="30" t="str">
        <x:v>PDF + открытая публикация</x:v>
      </x:c>
      <x:c r="S1231" s="30"/>
      <x:c r="T1231" s="30"/>
      <x:c r="U1231" s="30" t="str">
        <x:v>Расхождений не обнаружено.</x:v>
      </x:c>
      <x:c r="V1231" s="87" t="str">
        <x:v>VERIFIED</x:v>
      </x:c>
      <x:c r="W1231" s="87" t="str">
        <x:v>Полный PDF, задание 1</x:v>
      </x:c>
      <x:c r="X1231" s="87"/>
      <x:c r="Y1231" s="87"/>
      <x:c r="Z1231" s="87"/>
      <x:c r="AA1231" s="87"/>
      <x:c r="AB1231" s="87"/>
      <x:c r="AC1231" s="87"/>
      <x:c r="AD1231" s="87"/>
      <x:c r="AE1231" s="87"/>
      <x:c r="AF1231" s="87"/>
      <x:c r="AG1231" s="87"/>
      <x:c r="AH1231" s="87"/>
      <x:c r="AI1231" s="30"/>
      <x:c r="AJ1231" s="87" t="str">
        <x:v>master</x:v>
      </x:c>
      <x:c r="AK1231" s="87" t="str">
        <x:v>master-v0.81</x:v>
      </x:c>
      <x:c r="AL1231" s="87" t="str">
        <x:v>statgrad_master_base_v0_81_final(2).xlsx</x:v>
      </x:c>
      <x:c r="AM1231" s="87" t="str">
        <x:v>BIO_Mar_V3</x:v>
      </x:c>
      <x:c r="AN1231" s="87" t="n">
        <x:v>2</x:v>
      </x:c>
    </x:row>
    <x:row r="1232">
      <x:c r="A1232" s="87" t="n">
        <x:v>1231</x:v>
      </x:c>
      <x:c r="B1232" s="87" t="str">
        <x:v>MAR-BIO-V3-002</x:v>
      </x:c>
      <x:c r="C1232" s="87" t="str">
        <x:v>СтатГрад</x:v>
      </x:c>
      <x:c r="D1232" s="87" t="str">
        <x:v>Март 2026</x:v>
      </x:c>
      <x:c r="E1232" s="87"/>
      <x:c r="F1232" s="87"/>
      <x:c r="G1232" s="87" t="str">
        <x:v>Биология</x:v>
      </x:c>
      <x:c r="H1232" s="87" t="n">
        <x:v>11</x:v>
      </x:c>
      <x:c r="I1232" s="87" t="str">
        <x:v>ТР №4</x:v>
      </x:c>
      <x:c r="J1232" s="87" t="str">
        <x:v>БИ2510403</x:v>
      </x:c>
      <x:c r="K1232" s="87" t="n">
        <x:v>2</x:v>
      </x:c>
      <x:c r="L1232" s="87" t="str">
        <x:v>Физиология крови</x:v>
      </x:c>
      <x:c r="M1232" s="30" t="str">
        <x:v>Определить изменения количества эритроцитов и тромбоцитов при подъёме с 1000 до 4000 м.</x:v>
      </x:c>
      <x:c r="N1232" s="30" t="str">
        <x:v>13</x:v>
      </x:c>
      <x:c r="O1232" s="30" t="str">
        <x:v>Гипоксия стимулирует эритропоэз, поэтому эритроцитов становится больше; число тромбоцитов существенно не меняется.</x:v>
      </x:c>
      <x:c r="P1232" s="30" t="str">
        <x:v>Проверено через адаптацию к снижению парциального давления кислорода.</x:v>
      </x:c>
      <x:c r="Q1232" s="30"/>
      <x:c r="R1232" s="30" t="str">
        <x:v>PDF + открытый ответ 13</x:v>
      </x:c>
      <x:c r="S1232" s="30"/>
      <x:c r="T1232" s="30"/>
      <x:c r="U1232" s="30" t="str">
        <x:v>Расхождений не обнаружено.</x:v>
      </x:c>
      <x:c r="V1232" s="87" t="str">
        <x:v>VERIFIED</x:v>
      </x:c>
      <x:c r="W1232" s="87" t="str">
        <x:v>Полный PDF, задание 2</x:v>
      </x:c>
      <x:c r="X1232" s="87"/>
      <x:c r="Y1232" s="87"/>
      <x:c r="Z1232" s="87"/>
      <x:c r="AA1232" s="87"/>
      <x:c r="AB1232" s="87"/>
      <x:c r="AC1232" s="87"/>
      <x:c r="AD1232" s="87"/>
      <x:c r="AE1232" s="87"/>
      <x:c r="AF1232" s="87"/>
      <x:c r="AG1232" s="87"/>
      <x:c r="AH1232" s="87"/>
      <x:c r="AI1232" s="30"/>
      <x:c r="AJ1232" s="87" t="str">
        <x:v>master</x:v>
      </x:c>
      <x:c r="AK1232" s="87" t="str">
        <x:v>master-v0.81</x:v>
      </x:c>
      <x:c r="AL1232" s="87" t="str">
        <x:v>statgrad_master_base_v0_81_final(2).xlsx</x:v>
      </x:c>
      <x:c r="AM1232" s="87" t="str">
        <x:v>BIO_Mar_V3</x:v>
      </x:c>
      <x:c r="AN1232" s="87" t="n">
        <x:v>3</x:v>
      </x:c>
    </x:row>
    <x:row r="1233">
      <x:c r="A1233" s="87" t="n">
        <x:v>1232</x:v>
      </x:c>
      <x:c r="B1233" s="87" t="str">
        <x:v>MAR-BIO-V3-003</x:v>
      </x:c>
      <x:c r="C1233" s="87" t="str">
        <x:v>СтатГрад</x:v>
      </x:c>
      <x:c r="D1233" s="87" t="str">
        <x:v>Март 2026</x:v>
      </x:c>
      <x:c r="E1233" s="87"/>
      <x:c r="F1233" s="87"/>
      <x:c r="G1233" s="87" t="str">
        <x:v>Биология</x:v>
      </x:c>
      <x:c r="H1233" s="87" t="n">
        <x:v>11</x:v>
      </x:c>
      <x:c r="I1233" s="87" t="str">
        <x:v>ТР №4</x:v>
      </x:c>
      <x:c r="J1233" s="87" t="str">
        <x:v>БИ2510403</x:v>
      </x:c>
      <x:c r="K1233" s="87" t="n">
        <x:v>3</x:v>
      </x:c>
      <x:c r="L1233" s="87" t="str">
        <x:v>Мейоз</x:v>
      </x:c>
      <x:c r="M1233" s="30" t="str">
        <x:v>Сколько молекул ДНК содержит каждая хромосома в начале телофазы I мейоза?</x:v>
      </x:c>
      <x:c r="N1233" s="30" t="str">
        <x:v>2</x:v>
      </x:c>
      <x:c r="O1233" s="30" t="str">
        <x:v>После первого деления мейоза сестринские хроматиды ещё соединены: одна хромосома состоит из двух хроматид и содержит две молекулы ДНК.</x:v>
      </x:c>
      <x:c r="P1233" s="30" t="str">
        <x:v>Стадии редукционного деления сопоставлены независимо.</x:v>
      </x:c>
      <x:c r="Q1233" s="30"/>
      <x:c r="R1233" s="30" t="str">
        <x:v>PDF + открытый ответ 2</x:v>
      </x:c>
      <x:c r="S1233" s="30"/>
      <x:c r="T1233" s="30"/>
      <x:c r="U1233" s="30" t="str">
        <x:v>Расхождений не обнаружено.</x:v>
      </x:c>
      <x:c r="V1233" s="87" t="str">
        <x:v>VERIFIED</x:v>
      </x:c>
      <x:c r="W1233" s="87" t="str">
        <x:v>Полный PDF, задание 3</x:v>
      </x:c>
      <x:c r="X1233" s="87"/>
      <x:c r="Y1233" s="87"/>
      <x:c r="Z1233" s="87"/>
      <x:c r="AA1233" s="87"/>
      <x:c r="AB1233" s="87"/>
      <x:c r="AC1233" s="87"/>
      <x:c r="AD1233" s="87"/>
      <x:c r="AE1233" s="87"/>
      <x:c r="AF1233" s="87"/>
      <x:c r="AG1233" s="87"/>
      <x:c r="AH1233" s="87"/>
      <x:c r="AI1233" s="30"/>
      <x:c r="AJ1233" s="87" t="str">
        <x:v>master</x:v>
      </x:c>
      <x:c r="AK1233" s="87" t="str">
        <x:v>master-v0.81</x:v>
      </x:c>
      <x:c r="AL1233" s="87" t="str">
        <x:v>statgrad_master_base_v0_81_final(2).xlsx</x:v>
      </x:c>
      <x:c r="AM1233" s="87" t="str">
        <x:v>BIO_Mar_V3</x:v>
      </x:c>
      <x:c r="AN1233" s="87" t="n">
        <x:v>4</x:v>
      </x:c>
    </x:row>
    <x:row r="1234">
      <x:c r="A1234" s="87" t="n">
        <x:v>1233</x:v>
      </x:c>
      <x:c r="B1234" s="87" t="str">
        <x:v>MAR-BIO-V3-004</x:v>
      </x:c>
      <x:c r="C1234" s="87" t="str">
        <x:v>СтатГрад</x:v>
      </x:c>
      <x:c r="D1234" s="87" t="str">
        <x:v>Март 2026</x:v>
      </x:c>
      <x:c r="E1234" s="87"/>
      <x:c r="F1234" s="87"/>
      <x:c r="G1234" s="87" t="str">
        <x:v>Биология</x:v>
      </x:c>
      <x:c r="H1234" s="87" t="n">
        <x:v>11</x:v>
      </x:c>
      <x:c r="I1234" s="87" t="str">
        <x:v>ТР №4</x:v>
      </x:c>
      <x:c r="J1234" s="87" t="str">
        <x:v>БИ2510403</x:v>
      </x:c>
      <x:c r="K1234" s="87" t="n">
        <x:v>4</x:v>
      </x:c>
      <x:c r="L1234" s="87" t="str">
        <x:v>Генетика: моногибридное скрещивание</x:v>
      </x:c>
      <x:c r="M1234" s="30" t="str">
        <x:v>Найти вероятность гетерозиготного потомства при скрещивании гомозигот с альтернативными признаками.</x:v>
      </x:c>
      <x:c r="N1234" s="30" t="str">
        <x:v>1</x:v>
      </x:c>
      <x:c r="O1234" s="30" t="str">
        <x:v>AA × aa даёт только Aa; вероятность равна 1.</x:v>
      </x:c>
      <x:c r="P1234" s="30" t="str">
        <x:v>Составлена схема скрещивания.</x:v>
      </x:c>
      <x:c r="Q1234" s="30"/>
      <x:c r="R1234" s="30" t="str">
        <x:v>PDF + открытый ответ 1</x:v>
      </x:c>
      <x:c r="S1234" s="30"/>
      <x:c r="T1234" s="30"/>
      <x:c r="U1234" s="30" t="str">
        <x:v>Расхождений не обнаружено.</x:v>
      </x:c>
      <x:c r="V1234" s="87" t="str">
        <x:v>VERIFIED</x:v>
      </x:c>
      <x:c r="W1234" s="87" t="str">
        <x:v>Полный PDF, задание 4</x:v>
      </x:c>
      <x:c r="X1234" s="87"/>
      <x:c r="Y1234" s="87"/>
      <x:c r="Z1234" s="87"/>
      <x:c r="AA1234" s="87"/>
      <x:c r="AB1234" s="87"/>
      <x:c r="AC1234" s="87"/>
      <x:c r="AD1234" s="87"/>
      <x:c r="AE1234" s="87"/>
      <x:c r="AF1234" s="87"/>
      <x:c r="AG1234" s="87"/>
      <x:c r="AH1234" s="87"/>
      <x:c r="AI1234" s="30"/>
      <x:c r="AJ1234" s="87" t="str">
        <x:v>master</x:v>
      </x:c>
      <x:c r="AK1234" s="87" t="str">
        <x:v>master-v0.81</x:v>
      </x:c>
      <x:c r="AL1234" s="87" t="str">
        <x:v>statgrad_master_base_v0_81_final(2).xlsx</x:v>
      </x:c>
      <x:c r="AM1234" s="87" t="str">
        <x:v>BIO_Mar_V3</x:v>
      </x:c>
      <x:c r="AN1234" s="87" t="n">
        <x:v>5</x:v>
      </x:c>
    </x:row>
    <x:row r="1235">
      <x:c r="A1235" s="87" t="n">
        <x:v>1234</x:v>
      </x:c>
      <x:c r="B1235" s="87" t="str">
        <x:v>MAR-BIO-V3-005</x:v>
      </x:c>
      <x:c r="C1235" s="87" t="str">
        <x:v>СтатГрад</x:v>
      </x:c>
      <x:c r="D1235" s="87" t="str">
        <x:v>Март 2026</x:v>
      </x:c>
      <x:c r="E1235" s="87"/>
      <x:c r="F1235" s="87"/>
      <x:c r="G1235" s="87" t="str">
        <x:v>Биология</x:v>
      </x:c>
      <x:c r="H1235" s="87" t="n">
        <x:v>11</x:v>
      </x:c>
      <x:c r="I1235" s="87" t="str">
        <x:v>ТР №4</x:v>
      </x:c>
      <x:c r="J1235" s="87" t="str">
        <x:v>БИ2510403</x:v>
      </x:c>
      <x:c r="K1235" s="87" t="n">
        <x:v>5</x:v>
      </x:c>
      <x:c r="L1235" s="87" t="str">
        <x:v>Жизненный цикл ретровируса</x:v>
      </x:c>
      <x:c r="M1235" s="30" t="str">
        <x:v>Определить номер фермента обратной транскрипции на схеме.</x:v>
      </x:c>
      <x:c r="N1235" s="30" t="str">
        <x:v>7</x:v>
      </x:c>
      <x:c r="O1235" s="30" t="str">
        <x:v>Обратная транскриптаза синтезирует ДНК по матрице вирусной РНК; на рисунке она обозначена цифрой 7.</x:v>
      </x:c>
      <x:c r="P1235" s="30" t="str">
        <x:v>Функция фермента сопоставлена с этапом жизненного цикла.</x:v>
      </x:c>
      <x:c r="Q1235" s="30"/>
      <x:c r="R1235" s="30" t="str">
        <x:v>PDF + открытый ответ 7</x:v>
      </x:c>
      <x:c r="S1235" s="30"/>
      <x:c r="T1235" s="30"/>
      <x:c r="U1235" s="30" t="str">
        <x:v>Расхождений не обнаружено.</x:v>
      </x:c>
      <x:c r="V1235" s="87" t="str">
        <x:v>VERIFIED</x:v>
      </x:c>
      <x:c r="W1235" s="87" t="str">
        <x:v>Полный PDF, задание 5</x:v>
      </x:c>
      <x:c r="X1235" s="87"/>
      <x:c r="Y1235" s="87"/>
      <x:c r="Z1235" s="87"/>
      <x:c r="AA1235" s="87"/>
      <x:c r="AB1235" s="87"/>
      <x:c r="AC1235" s="87"/>
      <x:c r="AD1235" s="87"/>
      <x:c r="AE1235" s="87"/>
      <x:c r="AF1235" s="87"/>
      <x:c r="AG1235" s="87"/>
      <x:c r="AH1235" s="87"/>
      <x:c r="AI1235" s="30"/>
      <x:c r="AJ1235" s="87" t="str">
        <x:v>master</x:v>
      </x:c>
      <x:c r="AK1235" s="87" t="str">
        <x:v>master-v0.81</x:v>
      </x:c>
      <x:c r="AL1235" s="87" t="str">
        <x:v>statgrad_master_base_v0_81_final(2).xlsx</x:v>
      </x:c>
      <x:c r="AM1235" s="87" t="str">
        <x:v>BIO_Mar_V3</x:v>
      </x:c>
      <x:c r="AN1235" s="87" t="n">
        <x:v>6</x:v>
      </x:c>
    </x:row>
    <x:row r="1236">
      <x:c r="A1236" s="87" t="n">
        <x:v>1235</x:v>
      </x:c>
      <x:c r="B1236" s="87" t="str">
        <x:v>MAR-BIO-V3-006</x:v>
      </x:c>
      <x:c r="C1236" s="87" t="str">
        <x:v>СтатГрад</x:v>
      </x:c>
      <x:c r="D1236" s="87" t="str">
        <x:v>Март 2026</x:v>
      </x:c>
      <x:c r="E1236" s="87"/>
      <x:c r="F1236" s="87"/>
      <x:c r="G1236" s="87" t="str">
        <x:v>Биология</x:v>
      </x:c>
      <x:c r="H1236" s="87" t="n">
        <x:v>11</x:v>
      </x:c>
      <x:c r="I1236" s="87" t="str">
        <x:v>ТР №4</x:v>
      </x:c>
      <x:c r="J1236" s="87" t="str">
        <x:v>БИ2510403</x:v>
      </x:c>
      <x:c r="K1236" s="87" t="n">
        <x:v>6</x:v>
      </x:c>
      <x:c r="L1236" s="87" t="str">
        <x:v>Структуры ретровируса и клетки</x:v>
      </x:c>
      <x:c r="M1236" s="30" t="str">
        <x:v>Соотнести аминокислотный состав, дезоксирибозу, капсид, матрицу, транскрипцию и урацил со структурами 1–3.</x:v>
      </x:c>
      <x:c r="N1236" s="30" t="str">
        <x:v>131322</x:v>
      </x:c>
      <x:c r="O1236" s="30" t="str">
        <x:v>Белок капсида состоит из аминокислот; ДНК содержит дезоксирибозу и служит матрицей; РНК образуется транскрипцией и содержит урацил.</x:v>
      </x:c>
      <x:c r="P1236" s="30" t="str">
        <x:v>Все шесть характеристик проверены по химическому составу белка, ДНК и РНК.</x:v>
      </x:c>
      <x:c r="Q1236" s="30"/>
      <x:c r="R1236" s="30" t="str">
        <x:v>PDF + открытый ответ 131322</x:v>
      </x:c>
      <x:c r="S1236" s="30"/>
      <x:c r="T1236" s="30"/>
      <x:c r="U1236" s="30" t="str">
        <x:v>Расхождений не обнаружено.</x:v>
      </x:c>
      <x:c r="V1236" s="87" t="str">
        <x:v>VERIFIED</x:v>
      </x:c>
      <x:c r="W1236" s="87" t="str">
        <x:v>Полный PDF, задание 6</x:v>
      </x:c>
      <x:c r="X1236" s="87"/>
      <x:c r="Y1236" s="87"/>
      <x:c r="Z1236" s="87"/>
      <x:c r="AA1236" s="87"/>
      <x:c r="AB1236" s="87"/>
      <x:c r="AC1236" s="87"/>
      <x:c r="AD1236" s="87"/>
      <x:c r="AE1236" s="87"/>
      <x:c r="AF1236" s="87"/>
      <x:c r="AG1236" s="87"/>
      <x:c r="AH1236" s="87"/>
      <x:c r="AI1236" s="30"/>
      <x:c r="AJ1236" s="87" t="str">
        <x:v>master</x:v>
      </x:c>
      <x:c r="AK1236" s="87" t="str">
        <x:v>master-v0.81</x:v>
      </x:c>
      <x:c r="AL1236" s="87" t="str">
        <x:v>statgrad_master_base_v0_81_final(2).xlsx</x:v>
      </x:c>
      <x:c r="AM1236" s="87" t="str">
        <x:v>BIO_Mar_V3</x:v>
      </x:c>
      <x:c r="AN1236" s="87" t="n">
        <x:v>7</x:v>
      </x:c>
    </x:row>
    <x:row r="1237">
      <x:c r="A1237" s="87" t="n">
        <x:v>1236</x:v>
      </x:c>
      <x:c r="B1237" s="87" t="str">
        <x:v>MAR-BIO-V3-007</x:v>
      </x:c>
      <x:c r="C1237" s="87" t="str">
        <x:v>СтатГрад</x:v>
      </x:c>
      <x:c r="D1237" s="87" t="str">
        <x:v>Март 2026</x:v>
      </x:c>
      <x:c r="E1237" s="87"/>
      <x:c r="F1237" s="87"/>
      <x:c r="G1237" s="87" t="str">
        <x:v>Биология</x:v>
      </x:c>
      <x:c r="H1237" s="87" t="n">
        <x:v>11</x:v>
      </x:c>
      <x:c r="I1237" s="87" t="str">
        <x:v>ТР №4</x:v>
      </x:c>
      <x:c r="J1237" s="87" t="str">
        <x:v>БИ2510403</x:v>
      </x:c>
      <x:c r="K1237" s="87" t="n">
        <x:v>7</x:v>
      </x:c>
      <x:c r="L1237" s="87" t="str">
        <x:v>Эмбриология</x:v>
      </x:c>
      <x:c r="M1237" s="30" t="str">
        <x:v>Выбрать структуры, присутствующие на стадии нейрулы.</x:v>
      </x:c>
      <x:c r="N1237" s="30" t="str">
        <x:v>124</x:v>
      </x:c>
      <x:c r="O1237" s="30" t="str">
        <x:v>Для нейрулы характерны хорда, мезодерма и нервные валики.</x:v>
      </x:c>
      <x:c r="P1237" s="30" t="str">
        <x:v>Бластомеры и бластоцель относятся к более ранним стадиям; сердце формируется позднее.</x:v>
      </x:c>
      <x:c r="Q1237" s="30"/>
      <x:c r="R1237" s="30" t="str">
        <x:v>PDF + открытый ответ 124</x:v>
      </x:c>
      <x:c r="S1237" s="30"/>
      <x:c r="T1237" s="30"/>
      <x:c r="U1237" s="30" t="str">
        <x:v>Расхождений не обнаружено.</x:v>
      </x:c>
      <x:c r="V1237" s="87" t="str">
        <x:v>VERIFIED</x:v>
      </x:c>
      <x:c r="W1237" s="87" t="str">
        <x:v>Полный PDF, задание 7</x:v>
      </x:c>
      <x:c r="X1237" s="87"/>
      <x:c r="Y1237" s="87"/>
      <x:c r="Z1237" s="87"/>
      <x:c r="AA1237" s="87"/>
      <x:c r="AB1237" s="87"/>
      <x:c r="AC1237" s="87"/>
      <x:c r="AD1237" s="87"/>
      <x:c r="AE1237" s="87"/>
      <x:c r="AF1237" s="87"/>
      <x:c r="AG1237" s="87"/>
      <x:c r="AH1237" s="87"/>
      <x:c r="AI1237" s="30"/>
      <x:c r="AJ1237" s="87" t="str">
        <x:v>master</x:v>
      </x:c>
      <x:c r="AK1237" s="87" t="str">
        <x:v>master-v0.81</x:v>
      </x:c>
      <x:c r="AL1237" s="87" t="str">
        <x:v>statgrad_master_base_v0_81_final(2).xlsx</x:v>
      </x:c>
      <x:c r="AM1237" s="87" t="str">
        <x:v>BIO_Mar_V3</x:v>
      </x:c>
      <x:c r="AN1237" s="87" t="n">
        <x:v>8</x:v>
      </x:c>
    </x:row>
    <x:row r="1238">
      <x:c r="A1238" s="87" t="n">
        <x:v>1237</x:v>
      </x:c>
      <x:c r="B1238" s="87" t="str">
        <x:v>MAR-BIO-V3-008</x:v>
      </x:c>
      <x:c r="C1238" s="87" t="str">
        <x:v>СтатГрад</x:v>
      </x:c>
      <x:c r="D1238" s="87" t="str">
        <x:v>Март 2026</x:v>
      </x:c>
      <x:c r="E1238" s="87"/>
      <x:c r="F1238" s="87"/>
      <x:c r="G1238" s="87" t="str">
        <x:v>Биология</x:v>
      </x:c>
      <x:c r="H1238" s="87" t="n">
        <x:v>11</x:v>
      </x:c>
      <x:c r="I1238" s="87" t="str">
        <x:v>ТР №4</x:v>
      </x:c>
      <x:c r="J1238" s="87" t="str">
        <x:v>БИ2510403</x:v>
      </x:c>
      <x:c r="K1238" s="87" t="n">
        <x:v>8</x:v>
      </x:c>
      <x:c r="L1238" s="87" t="str">
        <x:v>Клонирование</x:v>
      </x:c>
      <x:c r="M1238" s="30" t="str">
        <x:v>Расположить этапы клонирования мыши, начиная с удаления генетического материала яйцеклетки.</x:v>
      </x:c>
      <x:c r="N1238" s="30" t="str">
        <x:v>41523</x:v>
      </x:c>
      <x:c r="O1238" s="30" t="str">
        <x:v>Энуклеация яйцеклетки → получение соматического ядра → перенос ядра → культивирование до бластоцисты → имплантация.</x:v>
      </x:c>
      <x:c r="P1238" s="30" t="str">
        <x:v>Логика переноса соматического ядра проверена по технологии SCNT.</x:v>
      </x:c>
      <x:c r="Q1238" s="30"/>
      <x:c r="R1238" s="30" t="str">
        <x:v>PDF + открытый ответ 41523</x:v>
      </x:c>
      <x:c r="S1238" s="30"/>
      <x:c r="T1238" s="30"/>
      <x:c r="U1238" s="30" t="str">
        <x:v>Расхождений не обнаружено.</x:v>
      </x:c>
      <x:c r="V1238" s="87" t="str">
        <x:v>VERIFIED</x:v>
      </x:c>
      <x:c r="W1238" s="87" t="str">
        <x:v>Полный PDF, задание 8</x:v>
      </x:c>
      <x:c r="X1238" s="87"/>
      <x:c r="Y1238" s="87"/>
      <x:c r="Z1238" s="87"/>
      <x:c r="AA1238" s="87"/>
      <x:c r="AB1238" s="87"/>
      <x:c r="AC1238" s="87"/>
      <x:c r="AD1238" s="87"/>
      <x:c r="AE1238" s="87"/>
      <x:c r="AF1238" s="87"/>
      <x:c r="AG1238" s="87"/>
      <x:c r="AH1238" s="87"/>
      <x:c r="AI1238" s="30"/>
      <x:c r="AJ1238" s="87" t="str">
        <x:v>master</x:v>
      </x:c>
      <x:c r="AK1238" s="87" t="str">
        <x:v>master-v0.81</x:v>
      </x:c>
      <x:c r="AL1238" s="87" t="str">
        <x:v>statgrad_master_base_v0_81_final(2).xlsx</x:v>
      </x:c>
      <x:c r="AM1238" s="87" t="str">
        <x:v>BIO_Mar_V3</x:v>
      </x:c>
      <x:c r="AN1238" s="87" t="n">
        <x:v>9</x:v>
      </x:c>
    </x:row>
    <x:row r="1239">
      <x:c r="A1239" s="87" t="n">
        <x:v>1238</x:v>
      </x:c>
      <x:c r="B1239" s="87" t="str">
        <x:v>MAR-BIO-V3-009</x:v>
      </x:c>
      <x:c r="C1239" s="87" t="str">
        <x:v>СтатГрад</x:v>
      </x:c>
      <x:c r="D1239" s="87" t="str">
        <x:v>Март 2026</x:v>
      </x:c>
      <x:c r="E1239" s="87"/>
      <x:c r="F1239" s="87"/>
      <x:c r="G1239" s="87" t="str">
        <x:v>Биология</x:v>
      </x:c>
      <x:c r="H1239" s="87" t="n">
        <x:v>11</x:v>
      </x:c>
      <x:c r="I1239" s="87" t="str">
        <x:v>ТР №4</x:v>
      </x:c>
      <x:c r="J1239" s="87" t="str">
        <x:v>БИ2510403</x:v>
      </x:c>
      <x:c r="K1239" s="87" t="n">
        <x:v>9</x:v>
      </x:c>
      <x:c r="L1239" s="87" t="str">
        <x:v>Луковица тюльпана</x:v>
      </x:c>
      <x:c r="M1239" s="30" t="str">
        <x:v>Определить номер кроющей чешуи.</x:v>
      </x:c>
      <x:c r="N1239" s="30" t="str">
        <x:v>7</x:v>
      </x:c>
      <x:c r="O1239" s="30" t="str">
        <x:v>Наружная сухая кроющая чешуя обозначена цифрой 7.</x:v>
      </x:c>
      <x:c r="P1239" s="30" t="str">
        <x:v>Рисунок проверен визуально.</x:v>
      </x:c>
      <x:c r="Q1239" s="30"/>
      <x:c r="R1239" s="30" t="str">
        <x:v>PDF + открытый ответ 7</x:v>
      </x:c>
      <x:c r="S1239" s="30"/>
      <x:c r="T1239" s="30"/>
      <x:c r="U1239" s="30" t="str">
        <x:v>Расхождений не обнаружено.</x:v>
      </x:c>
      <x:c r="V1239" s="87" t="str">
        <x:v>VERIFIED</x:v>
      </x:c>
      <x:c r="W1239" s="87" t="str">
        <x:v>Полный PDF, задание 9</x:v>
      </x:c>
      <x:c r="X1239" s="87"/>
      <x:c r="Y1239" s="87"/>
      <x:c r="Z1239" s="87"/>
      <x:c r="AA1239" s="87"/>
      <x:c r="AB1239" s="87"/>
      <x:c r="AC1239" s="87"/>
      <x:c r="AD1239" s="87"/>
      <x:c r="AE1239" s="87"/>
      <x:c r="AF1239" s="87"/>
      <x:c r="AG1239" s="87"/>
      <x:c r="AH1239" s="87"/>
      <x:c r="AI1239" s="30"/>
      <x:c r="AJ1239" s="87" t="str">
        <x:v>master</x:v>
      </x:c>
      <x:c r="AK1239" s="87" t="str">
        <x:v>master-v0.81</x:v>
      </x:c>
      <x:c r="AL1239" s="87" t="str">
        <x:v>statgrad_master_base_v0_81_final(2).xlsx</x:v>
      </x:c>
      <x:c r="AM1239" s="87" t="str">
        <x:v>BIO_Mar_V3</x:v>
      </x:c>
      <x:c r="AN1239" s="87" t="n">
        <x:v>10</x:v>
      </x:c>
    </x:row>
    <x:row r="1240">
      <x:c r="A1240" s="87" t="n">
        <x:v>1239</x:v>
      </x:c>
      <x:c r="B1240" s="87" t="str">
        <x:v>MAR-BIO-V3-010</x:v>
      </x:c>
      <x:c r="C1240" s="87" t="str">
        <x:v>СтатГрад</x:v>
      </x:c>
      <x:c r="D1240" s="87" t="str">
        <x:v>Март 2026</x:v>
      </x:c>
      <x:c r="E1240" s="87"/>
      <x:c r="F1240" s="87"/>
      <x:c r="G1240" s="87" t="str">
        <x:v>Биология</x:v>
      </x:c>
      <x:c r="H1240" s="87" t="n">
        <x:v>11</x:v>
      </x:c>
      <x:c r="I1240" s="87" t="str">
        <x:v>ТР №4</x:v>
      </x:c>
      <x:c r="J1240" s="87" t="str">
        <x:v>БИ2510403</x:v>
      </x:c>
      <x:c r="K1240" s="87" t="n">
        <x:v>10</x:v>
      </x:c>
      <x:c r="L1240" s="87" t="str">
        <x:v>Луковица тюльпана: функции</x:v>
      </x:c>
      <x:c r="M1240" s="30" t="str">
        <x:v>Соотнести функции с тычинками, завязью и запасающими чешуями, обозначенными 1–3.</x:v>
      </x:c>
      <x:c r="N1240" s="30" t="str">
        <x:v>313231</x:v>
      </x:c>
      <x:c r="O1240" s="30" t="str">
        <x:v>Запасающие чешуи (3) питают побег, хранят углеводы и удерживают влагу; тычинки (1) образуют микроспоры и пыльцу; завязь (2) формирует семязачатки.</x:v>
      </x:c>
      <x:c r="P1240" s="30" t="str">
        <x:v>Направления стрелок на рисунке и функции органов цветка проверены отдельно.</x:v>
      </x:c>
      <x:c r="Q1240" s="30"/>
      <x:c r="R1240" s="30" t="str">
        <x:v>Полный PDF + визуальная проверка</x:v>
      </x:c>
      <x:c r="S1240" s="30"/>
      <x:c r="T1240" s="30"/>
      <x:c r="U1240" s="30" t="str">
        <x:v>Расхождений не обнаружено.</x:v>
      </x:c>
      <x:c r="V1240" s="87" t="str">
        <x:v>VERIFIED</x:v>
      </x:c>
      <x:c r="W1240" s="87" t="str">
        <x:v>Полный PDF, задание 10</x:v>
      </x:c>
      <x:c r="X1240" s="87"/>
      <x:c r="Y1240" s="87"/>
      <x:c r="Z1240" s="87"/>
      <x:c r="AA1240" s="87"/>
      <x:c r="AB1240" s="87"/>
      <x:c r="AC1240" s="87"/>
      <x:c r="AD1240" s="87"/>
      <x:c r="AE1240" s="87"/>
      <x:c r="AF1240" s="87"/>
      <x:c r="AG1240" s="87"/>
      <x:c r="AH1240" s="87"/>
      <x:c r="AI1240" s="30"/>
      <x:c r="AJ1240" s="87" t="str">
        <x:v>master</x:v>
      </x:c>
      <x:c r="AK1240" s="87" t="str">
        <x:v>master-v0.81</x:v>
      </x:c>
      <x:c r="AL1240" s="87" t="str">
        <x:v>statgrad_master_base_v0_81_final(2).xlsx</x:v>
      </x:c>
      <x:c r="AM1240" s="87" t="str">
        <x:v>BIO_Mar_V3</x:v>
      </x:c>
      <x:c r="AN1240" s="87" t="n">
        <x:v>11</x:v>
      </x:c>
    </x:row>
    <x:row r="1241">
      <x:c r="A1241" s="87" t="n">
        <x:v>1240</x:v>
      </x:c>
      <x:c r="B1241" s="87" t="str">
        <x:v>MAR-BIO-V3-011</x:v>
      </x:c>
      <x:c r="C1241" s="87" t="str">
        <x:v>СтатГрад</x:v>
      </x:c>
      <x:c r="D1241" s="87" t="str">
        <x:v>Март 2026</x:v>
      </x:c>
      <x:c r="E1241" s="87"/>
      <x:c r="F1241" s="87"/>
      <x:c r="G1241" s="87" t="str">
        <x:v>Биология</x:v>
      </x:c>
      <x:c r="H1241" s="87" t="n">
        <x:v>11</x:v>
      </x:c>
      <x:c r="I1241" s="87" t="str">
        <x:v>ТР №4</x:v>
      </x:c>
      <x:c r="J1241" s="87" t="str">
        <x:v>БИ2510403</x:v>
      </x:c>
      <x:c r="K1241" s="87" t="n">
        <x:v>11</x:v>
      </x:c>
      <x:c r="L1241" s="87" t="str">
        <x:v>Зоология рыб</x:v>
      </x:c>
      <x:c r="M1241" s="30" t="str">
        <x:v>Выбрать органы и структуры, имеющиеся у большинства рыб.</x:v>
      </x:c>
      <x:c r="N1241" s="30" t="str">
        <x:v>135</x:v>
      </x:c>
      <x:c r="O1241" s="30" t="str">
        <x:v>Большинство рыб имеет двухкамерное сердце, мозжечок и орган боковой линии.</x:v>
      </x:c>
      <x:c r="P1241" s="30" t="str">
        <x:v>Диафрагма, среднее ухо и воздушные мешки рыбам не свойственны.</x:v>
      </x:c>
      <x:c r="Q1241" s="30"/>
      <x:c r="R1241" s="30" t="str">
        <x:v>Полный PDF + независимое решение</x:v>
      </x:c>
      <x:c r="S1241" s="30"/>
      <x:c r="T1241" s="30"/>
      <x:c r="U1241" s="30" t="str">
        <x:v>Расхождений не обнаружено.</x:v>
      </x:c>
      <x:c r="V1241" s="87" t="str">
        <x:v>VERIFIED</x:v>
      </x:c>
      <x:c r="W1241" s="87" t="str">
        <x:v>Полный PDF, задание 11</x:v>
      </x:c>
      <x:c r="X1241" s="87"/>
      <x:c r="Y1241" s="87"/>
      <x:c r="Z1241" s="87"/>
      <x:c r="AA1241" s="87"/>
      <x:c r="AB1241" s="87"/>
      <x:c r="AC1241" s="87"/>
      <x:c r="AD1241" s="87"/>
      <x:c r="AE1241" s="87"/>
      <x:c r="AF1241" s="87"/>
      <x:c r="AG1241" s="87"/>
      <x:c r="AH1241" s="87"/>
      <x:c r="AI1241" s="30"/>
      <x:c r="AJ1241" s="87" t="str">
        <x:v>master</x:v>
      </x:c>
      <x:c r="AK1241" s="87" t="str">
        <x:v>master-v0.81</x:v>
      </x:c>
      <x:c r="AL1241" s="87" t="str">
        <x:v>statgrad_master_base_v0_81_final(2).xlsx</x:v>
      </x:c>
      <x:c r="AM1241" s="87" t="str">
        <x:v>BIO_Mar_V3</x:v>
      </x:c>
      <x:c r="AN1241" s="87" t="n">
        <x:v>12</x:v>
      </x:c>
    </x:row>
    <x:row r="1242">
      <x:c r="A1242" s="87" t="n">
        <x:v>1241</x:v>
      </x:c>
      <x:c r="B1242" s="87" t="str">
        <x:v>MAR-BIO-V3-012</x:v>
      </x:c>
      <x:c r="C1242" s="87" t="str">
        <x:v>СтатГрад</x:v>
      </x:c>
      <x:c r="D1242" s="87" t="str">
        <x:v>Март 2026</x:v>
      </x:c>
      <x:c r="E1242" s="87"/>
      <x:c r="F1242" s="87"/>
      <x:c r="G1242" s="87" t="str">
        <x:v>Биология</x:v>
      </x:c>
      <x:c r="H1242" s="87" t="n">
        <x:v>11</x:v>
      </x:c>
      <x:c r="I1242" s="87" t="str">
        <x:v>ТР №4</x:v>
      </x:c>
      <x:c r="J1242" s="87" t="str">
        <x:v>БИ2510403</x:v>
      </x:c>
      <x:c r="K1242" s="87" t="n">
        <x:v>12</x:v>
      </x:c>
      <x:c r="L1242" s="87" t="str">
        <x:v>Систематика животных</x:v>
      </x:c>
      <x:c r="M1242" s="30" t="str">
        <x:v>Расположить группы рака-отшельника от наиболее высокого ранга к виду.</x:v>
      </x:c>
      <x:c r="N1242" s="30" t="str">
        <x:v>136524</x:v>
      </x:c>
      <x:c r="O1242" s="30" t="str">
        <x:v>Животные → Членистоногие → Ракообразные → Десятиногие → Раки-отшельники → рак-отшельник обыкновенный.</x:v>
      </x:c>
      <x:c r="P1242" s="30" t="str">
        <x:v>Таксономические ранги проверены.</x:v>
      </x:c>
      <x:c r="Q1242" s="30"/>
      <x:c r="R1242" s="30" t="str">
        <x:v>Полный PDF + независимое решение</x:v>
      </x:c>
      <x:c r="S1242" s="30"/>
      <x:c r="T1242" s="30"/>
      <x:c r="U1242" s="30" t="str">
        <x:v>Расхождений не обнаружено.</x:v>
      </x:c>
      <x:c r="V1242" s="87" t="str">
        <x:v>VERIFIED</x:v>
      </x:c>
      <x:c r="W1242" s="87" t="str">
        <x:v>Полный PDF, задание 12</x:v>
      </x:c>
      <x:c r="X1242" s="87"/>
      <x:c r="Y1242" s="87"/>
      <x:c r="Z1242" s="87"/>
      <x:c r="AA1242" s="87"/>
      <x:c r="AB1242" s="87"/>
      <x:c r="AC1242" s="87"/>
      <x:c r="AD1242" s="87"/>
      <x:c r="AE1242" s="87"/>
      <x:c r="AF1242" s="87"/>
      <x:c r="AG1242" s="87"/>
      <x:c r="AH1242" s="87"/>
      <x:c r="AI1242" s="30"/>
      <x:c r="AJ1242" s="87" t="str">
        <x:v>master</x:v>
      </x:c>
      <x:c r="AK1242" s="87" t="str">
        <x:v>master-v0.81</x:v>
      </x:c>
      <x:c r="AL1242" s="87" t="str">
        <x:v>statgrad_master_base_v0_81_final(2).xlsx</x:v>
      </x:c>
      <x:c r="AM1242" s="87" t="str">
        <x:v>BIO_Mar_V3</x:v>
      </x:c>
      <x:c r="AN1242" s="87" t="n">
        <x:v>13</x:v>
      </x:c>
    </x:row>
    <x:row r="1243">
      <x:c r="A1243" s="87" t="n">
        <x:v>1242</x:v>
      </x:c>
      <x:c r="B1243" s="87" t="str">
        <x:v>MAR-BIO-V3-013</x:v>
      </x:c>
      <x:c r="C1243" s="87" t="str">
        <x:v>СтатГрад</x:v>
      </x:c>
      <x:c r="D1243" s="87" t="str">
        <x:v>Март 2026</x:v>
      </x:c>
      <x:c r="E1243" s="87"/>
      <x:c r="F1243" s="87"/>
      <x:c r="G1243" s="87" t="str">
        <x:v>Биология</x:v>
      </x:c>
      <x:c r="H1243" s="87" t="n">
        <x:v>11</x:v>
      </x:c>
      <x:c r="I1243" s="87" t="str">
        <x:v>ТР №4</x:v>
      </x:c>
      <x:c r="J1243" s="87" t="str">
        <x:v>БИ2510403</x:v>
      </x:c>
      <x:c r="K1243" s="87" t="n">
        <x:v>13</x:v>
      </x:c>
      <x:c r="L1243" s="87" t="str">
        <x:v>Скелет человека</x:v>
      </x:c>
      <x:c r="M1243" s="30" t="str">
        <x:v>Определить номер теменной кости.</x:v>
      </x:c>
      <x:c r="N1243" s="30" t="str">
        <x:v>7</x:v>
      </x:c>
      <x:c r="O1243" s="30" t="str">
        <x:v>Теменная кость образует верхнебоковую часть мозгового отдела черепа; на рисунке обозначена цифрой 7.</x:v>
      </x:c>
      <x:c r="P1243" s="30" t="str">
        <x:v>Рисунок проверен визуально.</x:v>
      </x:c>
      <x:c r="Q1243" s="30"/>
      <x:c r="R1243" s="30" t="str">
        <x:v>Полный PDF + визуальная проверка</x:v>
      </x:c>
      <x:c r="S1243" s="30"/>
      <x:c r="T1243" s="30"/>
      <x:c r="U1243" s="30" t="str">
        <x:v>Расхождений не обнаружено.</x:v>
      </x:c>
      <x:c r="V1243" s="87" t="str">
        <x:v>VERIFIED</x:v>
      </x:c>
      <x:c r="W1243" s="87" t="str">
        <x:v>Полный PDF, задание 13</x:v>
      </x:c>
      <x:c r="X1243" s="87"/>
      <x:c r="Y1243" s="87"/>
      <x:c r="Z1243" s="87"/>
      <x:c r="AA1243" s="87"/>
      <x:c r="AB1243" s="87"/>
      <x:c r="AC1243" s="87"/>
      <x:c r="AD1243" s="87"/>
      <x:c r="AE1243" s="87"/>
      <x:c r="AF1243" s="87"/>
      <x:c r="AG1243" s="87"/>
      <x:c r="AH1243" s="87"/>
      <x:c r="AI1243" s="30"/>
      <x:c r="AJ1243" s="87" t="str">
        <x:v>master</x:v>
      </x:c>
      <x:c r="AK1243" s="87" t="str">
        <x:v>master-v0.81</x:v>
      </x:c>
      <x:c r="AL1243" s="87" t="str">
        <x:v>statgrad_master_base_v0_81_final(2).xlsx</x:v>
      </x:c>
      <x:c r="AM1243" s="87" t="str">
        <x:v>BIO_Mar_V3</x:v>
      </x:c>
      <x:c r="AN1243" s="87" t="n">
        <x:v>14</x:v>
      </x:c>
    </x:row>
    <x:row r="1244">
      <x:c r="A1244" s="87" t="n">
        <x:v>1243</x:v>
      </x:c>
      <x:c r="B1244" s="87" t="str">
        <x:v>MAR-BIO-V3-014</x:v>
      </x:c>
      <x:c r="C1244" s="87" t="str">
        <x:v>СтатГрад</x:v>
      </x:c>
      <x:c r="D1244" s="87" t="str">
        <x:v>Март 2026</x:v>
      </x:c>
      <x:c r="E1244" s="87"/>
      <x:c r="F1244" s="87"/>
      <x:c r="G1244" s="87" t="str">
        <x:v>Биология</x:v>
      </x:c>
      <x:c r="H1244" s="87" t="n">
        <x:v>11</x:v>
      </x:c>
      <x:c r="I1244" s="87" t="str">
        <x:v>ТР №4</x:v>
      </x:c>
      <x:c r="J1244" s="87" t="str">
        <x:v>БИ2510403</x:v>
      </x:c>
      <x:c r="K1244" s="87" t="n">
        <x:v>14</x:v>
      </x:c>
      <x:c r="L1244" s="87" t="str">
        <x:v>Кости человека</x:v>
      </x:c>
      <x:c r="M1244" s="30" t="str">
        <x:v>Соотнести свойства с ключицей, плечевой и затылочной костями, обозначенными 1–3.</x:v>
      </x:c>
      <x:c r="N1244" s="30" t="str">
        <x:v>313211</x:v>
      </x:c>
      <x:c r="O1244" s="30" t="str">
        <x:v>Затылочная кость (3) плоская и сочленяется с позвоночником; ключица (1) соединяется с грудиной, входит в пояс и S-образна; плечевая кость (2) образует сустав с лучевой.</x:v>
      </x:c>
      <x:c r="P1244" s="30" t="str">
        <x:v>Каждая характеристика сопоставлена с анатомией указанной кости.</x:v>
      </x:c>
      <x:c r="Q1244" s="30"/>
      <x:c r="R1244" s="30" t="str">
        <x:v>Полный PDF + независимое решение</x:v>
      </x:c>
      <x:c r="S1244" s="30"/>
      <x:c r="T1244" s="30"/>
      <x:c r="U1244" s="30" t="str">
        <x:v>Расхождений не обнаружено.</x:v>
      </x:c>
      <x:c r="V1244" s="87" t="str">
        <x:v>VERIFIED</x:v>
      </x:c>
      <x:c r="W1244" s="87" t="str">
        <x:v>Полный PDF, задание 14</x:v>
      </x:c>
      <x:c r="X1244" s="87"/>
      <x:c r="Y1244" s="87"/>
      <x:c r="Z1244" s="87"/>
      <x:c r="AA1244" s="87"/>
      <x:c r="AB1244" s="87"/>
      <x:c r="AC1244" s="87"/>
      <x:c r="AD1244" s="87"/>
      <x:c r="AE1244" s="87"/>
      <x:c r="AF1244" s="87"/>
      <x:c r="AG1244" s="87"/>
      <x:c r="AH1244" s="87"/>
      <x:c r="AI1244" s="30"/>
      <x:c r="AJ1244" s="87" t="str">
        <x:v>master</x:v>
      </x:c>
      <x:c r="AK1244" s="87" t="str">
        <x:v>master-v0.81</x:v>
      </x:c>
      <x:c r="AL1244" s="87" t="str">
        <x:v>statgrad_master_base_v0_81_final(2).xlsx</x:v>
      </x:c>
      <x:c r="AM1244" s="87" t="str">
        <x:v>BIO_Mar_V3</x:v>
      </x:c>
      <x:c r="AN1244" s="87" t="n">
        <x:v>15</x:v>
      </x:c>
    </x:row>
    <x:row r="1245">
      <x:c r="A1245" s="87" t="n">
        <x:v>1244</x:v>
      </x:c>
      <x:c r="B1245" s="87" t="str">
        <x:v>MAR-BIO-V3-015</x:v>
      </x:c>
      <x:c r="C1245" s="87" t="str">
        <x:v>СтатГрад</x:v>
      </x:c>
      <x:c r="D1245" s="87" t="str">
        <x:v>Март 2026</x:v>
      </x:c>
      <x:c r="E1245" s="87"/>
      <x:c r="F1245" s="87"/>
      <x:c r="G1245" s="87" t="str">
        <x:v>Биология</x:v>
      </x:c>
      <x:c r="H1245" s="87" t="n">
        <x:v>11</x:v>
      </x:c>
      <x:c r="I1245" s="87" t="str">
        <x:v>ТР №4</x:v>
      </x:c>
      <x:c r="J1245" s="87" t="str">
        <x:v>БИ2510403</x:v>
      </x:c>
      <x:c r="K1245" s="87" t="n">
        <x:v>15</x:v>
      </x:c>
      <x:c r="L1245" s="87" t="str">
        <x:v>Поджелудочная железа</x:v>
      </x:c>
      <x:c r="M1245" s="30" t="str">
        <x:v>Выбрать вещества, синтезируемые поджелудочной железой.</x:v>
      </x:c>
      <x:c r="N1245" s="30" t="str">
        <x:v>356</x:v>
      </x:c>
      <x:c r="O1245" s="30" t="str">
        <x:v>Поджелудочная железа синтезирует глюкагон, трипсиноген/трипсин и амилазу.</x:v>
      </x:c>
      <x:c r="P1245" s="30" t="str">
        <x:v>Гормональная и внешнесекреторная функции проверены отдельно.</x:v>
      </x:c>
      <x:c r="Q1245" s="30"/>
      <x:c r="R1245" s="30" t="str">
        <x:v>Полный PDF + независимое решение</x:v>
      </x:c>
      <x:c r="S1245" s="30"/>
      <x:c r="T1245" s="30"/>
      <x:c r="U1245" s="30" t="str">
        <x:v>Расхождений не обнаружено.</x:v>
      </x:c>
      <x:c r="V1245" s="87" t="str">
        <x:v>VERIFIED</x:v>
      </x:c>
      <x:c r="W1245" s="87" t="str">
        <x:v>Полный PDF, задание 15</x:v>
      </x:c>
      <x:c r="X1245" s="87"/>
      <x:c r="Y1245" s="87"/>
      <x:c r="Z1245" s="87"/>
      <x:c r="AA1245" s="87"/>
      <x:c r="AB1245" s="87"/>
      <x:c r="AC1245" s="87"/>
      <x:c r="AD1245" s="87"/>
      <x:c r="AE1245" s="87"/>
      <x:c r="AF1245" s="87"/>
      <x:c r="AG1245" s="87"/>
      <x:c r="AH1245" s="87"/>
      <x:c r="AI1245" s="30"/>
      <x:c r="AJ1245" s="87" t="str">
        <x:v>master</x:v>
      </x:c>
      <x:c r="AK1245" s="87" t="str">
        <x:v>master-v0.81</x:v>
      </x:c>
      <x:c r="AL1245" s="87" t="str">
        <x:v>statgrad_master_base_v0_81_final(2).xlsx</x:v>
      </x:c>
      <x:c r="AM1245" s="87" t="str">
        <x:v>BIO_Mar_V3</x:v>
      </x:c>
      <x:c r="AN1245" s="87" t="n">
        <x:v>16</x:v>
      </x:c>
    </x:row>
    <x:row r="1246">
      <x:c r="A1246" s="87" t="n">
        <x:v>1245</x:v>
      </x:c>
      <x:c r="B1246" s="87" t="str">
        <x:v>MAR-BIO-V3-016</x:v>
      </x:c>
      <x:c r="C1246" s="87" t="str">
        <x:v>СтатГрад</x:v>
      </x:c>
      <x:c r="D1246" s="87" t="str">
        <x:v>Март 2026</x:v>
      </x:c>
      <x:c r="E1246" s="87"/>
      <x:c r="F1246" s="87"/>
      <x:c r="G1246" s="87" t="str">
        <x:v>Биология</x:v>
      </x:c>
      <x:c r="H1246" s="87" t="n">
        <x:v>11</x:v>
      </x:c>
      <x:c r="I1246" s="87" t="str">
        <x:v>ТР №4</x:v>
      </x:c>
      <x:c r="J1246" s="87" t="str">
        <x:v>БИ2510403</x:v>
      </x:c>
      <x:c r="K1246" s="87" t="n">
        <x:v>16</x:v>
      </x:c>
      <x:c r="L1246" s="87" t="str">
        <x:v>Дыхательная система</x:v>
      </x:c>
      <x:c r="M1246" s="30" t="str">
        <x:v>Расположить структуры по пути воздуха при вдохе.</x:v>
      </x:c>
      <x:c r="N1246" s="30" t="str">
        <x:v>42153</x:v>
      </x:c>
      <x:c r="O1246" s="30" t="str">
        <x:v>Носовая полость → носоглотка → голосовые связки → трахея → бронхиолы.</x:v>
      </x:c>
      <x:c r="P1246" s="30" t="str">
        <x:v>Путь воздуха проверен по анатомическому расположению органов.</x:v>
      </x:c>
      <x:c r="Q1246" s="30"/>
      <x:c r="R1246" s="30" t="str">
        <x:v>Полный PDF + независимое решение</x:v>
      </x:c>
      <x:c r="S1246" s="30"/>
      <x:c r="T1246" s="30"/>
      <x:c r="U1246" s="30" t="str">
        <x:v>Расхождений не обнаружено.</x:v>
      </x:c>
      <x:c r="V1246" s="87" t="str">
        <x:v>VERIFIED</x:v>
      </x:c>
      <x:c r="W1246" s="87" t="str">
        <x:v>Полный PDF, задание 16</x:v>
      </x:c>
      <x:c r="X1246" s="87"/>
      <x:c r="Y1246" s="87"/>
      <x:c r="Z1246" s="87"/>
      <x:c r="AA1246" s="87"/>
      <x:c r="AB1246" s="87"/>
      <x:c r="AC1246" s="87"/>
      <x:c r="AD1246" s="87"/>
      <x:c r="AE1246" s="87"/>
      <x:c r="AF1246" s="87"/>
      <x:c r="AG1246" s="87"/>
      <x:c r="AH1246" s="87"/>
      <x:c r="AI1246" s="30"/>
      <x:c r="AJ1246" s="87" t="str">
        <x:v>master</x:v>
      </x:c>
      <x:c r="AK1246" s="87" t="str">
        <x:v>master-v0.81</x:v>
      </x:c>
      <x:c r="AL1246" s="87" t="str">
        <x:v>statgrad_master_base_v0_81_final(2).xlsx</x:v>
      </x:c>
      <x:c r="AM1246" s="87" t="str">
        <x:v>BIO_Mar_V3</x:v>
      </x:c>
      <x:c r="AN1246" s="87" t="n">
        <x:v>17</x:v>
      </x:c>
    </x:row>
    <x:row r="1247">
      <x:c r="A1247" s="87" t="n">
        <x:v>1246</x:v>
      </x:c>
      <x:c r="B1247" s="87" t="str">
        <x:v>MAR-BIO-V3-017</x:v>
      </x:c>
      <x:c r="C1247" s="87" t="str">
        <x:v>СтатГрад</x:v>
      </x:c>
      <x:c r="D1247" s="87" t="str">
        <x:v>Март 2026</x:v>
      </x:c>
      <x:c r="E1247" s="87"/>
      <x:c r="F1247" s="87"/>
      <x:c r="G1247" s="87" t="str">
        <x:v>Биология</x:v>
      </x:c>
      <x:c r="H1247" s="87" t="n">
        <x:v>11</x:v>
      </x:c>
      <x:c r="I1247" s="87" t="str">
        <x:v>ТР №4</x:v>
      </x:c>
      <x:c r="J1247" s="87" t="str">
        <x:v>БИ2510403</x:v>
      </x:c>
      <x:c r="K1247" s="87" t="n">
        <x:v>17</x:v>
      </x:c>
      <x:c r="L1247" s="87" t="str">
        <x:v>Доказательства эволюции</x:v>
      </x:c>
      <x:c r="M1247" s="30" t="str">
        <x:v>Выбрать предложения с биогеографическими доказательствами эволюции.</x:v>
      </x:c>
      <x:c r="N1247" s="30" t="str">
        <x:v>145</x:v>
      </x:c>
      <x:c r="O1247" s="30" t="str">
        <x:v>Разобщённое распространение двоякодышащих, эндемизм и реликтовый вид являются биогеографическими фактами.</x:v>
      </x:c>
      <x:c r="P1247" s="30" t="str">
        <x:v>Гомология, эмбриология и палеонтологическая датировка относятся к другим группам доказательств.</x:v>
      </x:c>
      <x:c r="Q1247" s="30"/>
      <x:c r="R1247" s="30" t="str">
        <x:v>Полный PDF + независимое решение</x:v>
      </x:c>
      <x:c r="S1247" s="30"/>
      <x:c r="T1247" s="30"/>
      <x:c r="U1247" s="30" t="str">
        <x:v>Расхождений не обнаружено.</x:v>
      </x:c>
      <x:c r="V1247" s="87" t="str">
        <x:v>VERIFIED</x:v>
      </x:c>
      <x:c r="W1247" s="87" t="str">
        <x:v>Полный PDF, задание 17</x:v>
      </x:c>
      <x:c r="X1247" s="87"/>
      <x:c r="Y1247" s="87"/>
      <x:c r="Z1247" s="87"/>
      <x:c r="AA1247" s="87"/>
      <x:c r="AB1247" s="87"/>
      <x:c r="AC1247" s="87"/>
      <x:c r="AD1247" s="87"/>
      <x:c r="AE1247" s="87"/>
      <x:c r="AF1247" s="87"/>
      <x:c r="AG1247" s="87"/>
      <x:c r="AH1247" s="87"/>
      <x:c r="AI1247" s="30"/>
      <x:c r="AJ1247" s="87" t="str">
        <x:v>master</x:v>
      </x:c>
      <x:c r="AK1247" s="87" t="str">
        <x:v>master-v0.81</x:v>
      </x:c>
      <x:c r="AL1247" s="87" t="str">
        <x:v>statgrad_master_base_v0_81_final(2).xlsx</x:v>
      </x:c>
      <x:c r="AM1247" s="87" t="str">
        <x:v>BIO_Mar_V3</x:v>
      </x:c>
      <x:c r="AN1247" s="87" t="n">
        <x:v>18</x:v>
      </x:c>
    </x:row>
    <x:row r="1248">
      <x:c r="A1248" s="87" t="n">
        <x:v>1247</x:v>
      </x:c>
      <x:c r="B1248" s="87" t="str">
        <x:v>MAR-BIO-V3-018</x:v>
      </x:c>
      <x:c r="C1248" s="87" t="str">
        <x:v>СтатГрад</x:v>
      </x:c>
      <x:c r="D1248" s="87" t="str">
        <x:v>Март 2026</x:v>
      </x:c>
      <x:c r="E1248" s="87"/>
      <x:c r="F1248" s="87"/>
      <x:c r="G1248" s="87" t="str">
        <x:v>Биология</x:v>
      </x:c>
      <x:c r="H1248" s="87" t="n">
        <x:v>11</x:v>
      </x:c>
      <x:c r="I1248" s="87" t="str">
        <x:v>ТР №4</x:v>
      </x:c>
      <x:c r="J1248" s="87" t="str">
        <x:v>БИ2510403</x:v>
      </x:c>
      <x:c r="K1248" s="87" t="n">
        <x:v>18</x:v>
      </x:c>
      <x:c r="L1248" s="87" t="str">
        <x:v>Экология океана</x:v>
      </x:c>
      <x:c r="M1248" s="30" t="str">
        <x:v>Выбрать продуцентов океанических экосистем.</x:v>
      </x:c>
      <x:c r="N1248" s="30" t="str">
        <x:v>345</x:v>
      </x:c>
      <x:c r="O1248" s="30" t="str">
        <x:v>Бурые водоросли, серобактерии и фитопланктон создают органическое вещество.</x:v>
      </x:c>
      <x:c r="P1248" s="30" t="str">
        <x:v>Трофические роли всех шести организмов проверены.</x:v>
      </x:c>
      <x:c r="Q1248" s="30"/>
      <x:c r="R1248" s="30" t="str">
        <x:v>Полный PDF + независимое решение</x:v>
      </x:c>
      <x:c r="S1248" s="30"/>
      <x:c r="T1248" s="30"/>
      <x:c r="U1248" s="30" t="str">
        <x:v>Расхождений не обнаружено.</x:v>
      </x:c>
      <x:c r="V1248" s="87" t="str">
        <x:v>VERIFIED</x:v>
      </x:c>
      <x:c r="W1248" s="87" t="str">
        <x:v>Полный PDF, задание 18</x:v>
      </x:c>
      <x:c r="X1248" s="87"/>
      <x:c r="Y1248" s="87"/>
      <x:c r="Z1248" s="87"/>
      <x:c r="AA1248" s="87"/>
      <x:c r="AB1248" s="87"/>
      <x:c r="AC1248" s="87"/>
      <x:c r="AD1248" s="87"/>
      <x:c r="AE1248" s="87"/>
      <x:c r="AF1248" s="87"/>
      <x:c r="AG1248" s="87"/>
      <x:c r="AH1248" s="87"/>
      <x:c r="AI1248" s="30"/>
      <x:c r="AJ1248" s="87" t="str">
        <x:v>master</x:v>
      </x:c>
      <x:c r="AK1248" s="87" t="str">
        <x:v>master-v0.81</x:v>
      </x:c>
      <x:c r="AL1248" s="87" t="str">
        <x:v>statgrad_master_base_v0_81_final(2).xlsx</x:v>
      </x:c>
      <x:c r="AM1248" s="87" t="str">
        <x:v>BIO_Mar_V3</x:v>
      </x:c>
      <x:c r="AN1248" s="87" t="n">
        <x:v>19</x:v>
      </x:c>
    </x:row>
    <x:row r="1249">
      <x:c r="A1249" s="87" t="n">
        <x:v>1248</x:v>
      </x:c>
      <x:c r="B1249" s="87" t="str">
        <x:v>MAR-BIO-V3-019</x:v>
      </x:c>
      <x:c r="C1249" s="87" t="str">
        <x:v>СтатГрад</x:v>
      </x:c>
      <x:c r="D1249" s="87" t="str">
        <x:v>Март 2026</x:v>
      </x:c>
      <x:c r="E1249" s="87"/>
      <x:c r="F1249" s="87"/>
      <x:c r="G1249" s="87" t="str">
        <x:v>Биология</x:v>
      </x:c>
      <x:c r="H1249" s="87" t="n">
        <x:v>11</x:v>
      </x:c>
      <x:c r="I1249" s="87" t="str">
        <x:v>ТР №4</x:v>
      </x:c>
      <x:c r="J1249" s="87" t="str">
        <x:v>БИ2510403</x:v>
      </x:c>
      <x:c r="K1249" s="87" t="n">
        <x:v>19</x:v>
      </x:c>
      <x:c r="L1249" s="87" t="str">
        <x:v>Экосистемы</x:v>
      </x:c>
      <x:c r="M1249" s="30" t="str">
        <x:v>Соотнести свойства чайной плантации и лиственного леса.</x:v>
      </x:c>
      <x:c r="N1249" s="30" t="str">
        <x:v>112212</x:v>
      </x:c>
      <x:c r="O1249" s="30" t="str">
        <x:v>Плантация характеризуется изъятием биомассы, селекцией и короткими цепями; лес — устойчивостью, ярусностью и только солнечным энергетическим входом.</x:v>
      </x:c>
      <x:c r="P1249" s="30" t="str">
        <x:v>Искусственная и естественная экосистемы сопоставлены по шести признакам.</x:v>
      </x:c>
      <x:c r="Q1249" s="30"/>
      <x:c r="R1249" s="30" t="str">
        <x:v>Полный PDF + независимое решение</x:v>
      </x:c>
      <x:c r="S1249" s="30"/>
      <x:c r="T1249" s="30"/>
      <x:c r="U1249" s="30" t="str">
        <x:v>Расхождений не обнаружено.</x:v>
      </x:c>
      <x:c r="V1249" s="87" t="str">
        <x:v>VERIFIED</x:v>
      </x:c>
      <x:c r="W1249" s="87" t="str">
        <x:v>Полный PDF, задание 19</x:v>
      </x:c>
      <x:c r="X1249" s="87"/>
      <x:c r="Y1249" s="87"/>
      <x:c r="Z1249" s="87"/>
      <x:c r="AA1249" s="87"/>
      <x:c r="AB1249" s="87"/>
      <x:c r="AC1249" s="87"/>
      <x:c r="AD1249" s="87"/>
      <x:c r="AE1249" s="87"/>
      <x:c r="AF1249" s="87"/>
      <x:c r="AG1249" s="87"/>
      <x:c r="AH1249" s="87"/>
      <x:c r="AI1249" s="30"/>
      <x:c r="AJ1249" s="87" t="str">
        <x:v>master</x:v>
      </x:c>
      <x:c r="AK1249" s="87" t="str">
        <x:v>master-v0.81</x:v>
      </x:c>
      <x:c r="AL1249" s="87" t="str">
        <x:v>statgrad_master_base_v0_81_final(2).xlsx</x:v>
      </x:c>
      <x:c r="AM1249" s="87" t="str">
        <x:v>BIO_Mar_V3</x:v>
      </x:c>
      <x:c r="AN1249" s="87" t="n">
        <x:v>20</x:v>
      </x:c>
    </x:row>
    <x:row r="1250">
      <x:c r="A1250" s="87" t="n">
        <x:v>1249</x:v>
      </x:c>
      <x:c r="B1250" s="87" t="str">
        <x:v>MAR-BIO-V3-020</x:v>
      </x:c>
      <x:c r="C1250" s="87" t="str">
        <x:v>СтатГрад</x:v>
      </x:c>
      <x:c r="D1250" s="87" t="str">
        <x:v>Март 2026</x:v>
      </x:c>
      <x:c r="E1250" s="87"/>
      <x:c r="F1250" s="87"/>
      <x:c r="G1250" s="87" t="str">
        <x:v>Биология</x:v>
      </x:c>
      <x:c r="H1250" s="87" t="n">
        <x:v>11</x:v>
      </x:c>
      <x:c r="I1250" s="87" t="str">
        <x:v>ТР №4</x:v>
      </x:c>
      <x:c r="J1250" s="87" t="str">
        <x:v>БИ2510403</x:v>
      </x:c>
      <x:c r="K1250" s="87" t="n">
        <x:v>20</x:v>
      </x:c>
      <x:c r="L1250" s="87" t="str">
        <x:v>Эволюция млекопитающих</x:v>
      </x:c>
      <x:c r="M1250" s="30" t="str">
        <x:v>По изображениям ехидны, проехидны и утконоса определить форму эволюции, подкласс и ареал.</x:v>
      </x:c>
      <x:c r="N1250" s="30" t="str">
        <x:v>758</x:v>
      </x:c>
      <x:c r="O1250" s="30" t="str">
        <x:v>Различия родственных форм возникли при дивергенции; все животные относятся к яйцекладущим и обитают в Австралийской области.</x:v>
      </x:c>
      <x:c r="P1250" s="30" t="str">
        <x:v>Изображённые таксоны и их распространение проверены.</x:v>
      </x:c>
      <x:c r="Q1250" s="30"/>
      <x:c r="R1250" s="30" t="str">
        <x:v>Полный PDF + визуальная проверка</x:v>
      </x:c>
      <x:c r="S1250" s="30"/>
      <x:c r="T1250" s="30"/>
      <x:c r="U1250" s="30" t="str">
        <x:v>Расхождений не обнаружено.</x:v>
      </x:c>
      <x:c r="V1250" s="87" t="str">
        <x:v>VERIFIED</x:v>
      </x:c>
      <x:c r="W1250" s="87" t="str">
        <x:v>Полный PDF, задание 20</x:v>
      </x:c>
      <x:c r="X1250" s="87"/>
      <x:c r="Y1250" s="87"/>
      <x:c r="Z1250" s="87"/>
      <x:c r="AA1250" s="87"/>
      <x:c r="AB1250" s="87"/>
      <x:c r="AC1250" s="87"/>
      <x:c r="AD1250" s="87"/>
      <x:c r="AE1250" s="87"/>
      <x:c r="AF1250" s="87"/>
      <x:c r="AG1250" s="87"/>
      <x:c r="AH1250" s="87"/>
      <x:c r="AI1250" s="30"/>
      <x:c r="AJ1250" s="87" t="str">
        <x:v>master</x:v>
      </x:c>
      <x:c r="AK1250" s="87" t="str">
        <x:v>master-v0.81</x:v>
      </x:c>
      <x:c r="AL1250" s="87" t="str">
        <x:v>statgrad_master_base_v0_81_final(2).xlsx</x:v>
      </x:c>
      <x:c r="AM1250" s="87" t="str">
        <x:v>BIO_Mar_V3</x:v>
      </x:c>
      <x:c r="AN1250" s="87" t="n">
        <x:v>21</x:v>
      </x:c>
    </x:row>
    <x:row r="1251">
      <x:c r="A1251" s="87" t="n">
        <x:v>1250</x:v>
      </x:c>
      <x:c r="B1251" s="87" t="str">
        <x:v>MAR-BIO-V3-021</x:v>
      </x:c>
      <x:c r="C1251" s="87" t="str">
        <x:v>СтатГрад</x:v>
      </x:c>
      <x:c r="D1251" s="87" t="str">
        <x:v>Март 2026</x:v>
      </x:c>
      <x:c r="E1251" s="87"/>
      <x:c r="F1251" s="87"/>
      <x:c r="G1251" s="87" t="str">
        <x:v>Биология</x:v>
      </x:c>
      <x:c r="H1251" s="87" t="n">
        <x:v>11</x:v>
      </x:c>
      <x:c r="I1251" s="87" t="str">
        <x:v>ТР №4</x:v>
      </x:c>
      <x:c r="J1251" s="87" t="str">
        <x:v>БИ2510403</x:v>
      </x:c>
      <x:c r="K1251" s="87" t="n">
        <x:v>21</x:v>
      </x:c>
      <x:c r="L1251" s="87" t="str">
        <x:v>Анализ графика</x:v>
      </x:c>
      <x:c r="M1251" s="30" t="str">
        <x:v>Выбрать выводы, непосредственно следующие из графиков слуха крыс и мышей.</x:v>
      </x:c>
      <x:c r="N1251" s="30" t="str">
        <x:v>13</x:v>
      </x:c>
      <x:c r="O1251" s="30" t="str">
        <x:v>Оба вида воспринимают 50 кГц; при 40 дБ частотный диапазон мышей шире. Повреждение, индивидуальность и слышимость крыс при 10 кГц/20 дБ графики не подтверждают.</x:v>
      </x:c>
      <x:c r="P1251" s="30" t="str">
        <x:v>Пороговые кривые прочитаны по обеим осям.</x:v>
      </x:c>
      <x:c r="Q1251" s="30"/>
      <x:c r="R1251" s="30" t="str">
        <x:v>Полный PDF + независимый анализ</x:v>
      </x:c>
      <x:c r="S1251" s="30"/>
      <x:c r="T1251" s="30"/>
      <x:c r="U1251" s="30" t="str">
        <x:v>Расхождений не обнаружено.</x:v>
      </x:c>
      <x:c r="V1251" s="87" t="str">
        <x:v>VERIFIED</x:v>
      </x:c>
      <x:c r="W1251" s="87" t="str">
        <x:v>Полный PDF, задание 21</x:v>
      </x:c>
      <x:c r="X1251" s="87"/>
      <x:c r="Y1251" s="87"/>
      <x:c r="Z1251" s="87"/>
      <x:c r="AA1251" s="87"/>
      <x:c r="AB1251" s="87"/>
      <x:c r="AC1251" s="87"/>
      <x:c r="AD1251" s="87"/>
      <x:c r="AE1251" s="87"/>
      <x:c r="AF1251" s="87"/>
      <x:c r="AG1251" s="87"/>
      <x:c r="AH1251" s="87"/>
      <x:c r="AI1251" s="30"/>
      <x:c r="AJ1251" s="87" t="str">
        <x:v>master</x:v>
      </x:c>
      <x:c r="AK1251" s="87" t="str">
        <x:v>master-v0.81</x:v>
      </x:c>
      <x:c r="AL1251" s="87" t="str">
        <x:v>statgrad_master_base_v0_81_final(2).xlsx</x:v>
      </x:c>
      <x:c r="AM1251" s="87" t="str">
        <x:v>BIO_Mar_V3</x:v>
      </x:c>
      <x:c r="AN1251" s="87" t="n">
        <x:v>22</x:v>
      </x:c>
    </x:row>
    <x:row r="1252">
      <x:c r="A1252" s="87" t="n">
        <x:v>1251</x:v>
      </x:c>
      <x:c r="B1252" s="87" t="str">
        <x:v>MAR-BIO-V3-022</x:v>
      </x:c>
      <x:c r="C1252" s="87" t="str">
        <x:v>СтатГрад</x:v>
      </x:c>
      <x:c r="D1252" s="87" t="str">
        <x:v>Март 2026</x:v>
      </x:c>
      <x:c r="E1252" s="87"/>
      <x:c r="F1252" s="87"/>
      <x:c r="G1252" s="87" t="str">
        <x:v>Биология</x:v>
      </x:c>
      <x:c r="H1252" s="87" t="n">
        <x:v>11</x:v>
      </x:c>
      <x:c r="I1252" s="87" t="str">
        <x:v>ТР №4</x:v>
      </x:c>
      <x:c r="J1252" s="87" t="str">
        <x:v>БИ2510403</x:v>
      </x:c>
      <x:c r="K1252" s="87" t="n">
        <x:v>22</x:v>
      </x:c>
      <x:c r="L1252" s="87" t="str">
        <x:v>Развёрнутый ответ: эксперимент</x:v>
      </x:c>
      <x:c r="M1252" s="30" t="str">
        <x:v>Определить независимую и зависимую переменные; условия и цель отрицательного контроля в опыте с ЭДТА и инфузориями.</x:v>
      </x:c>
      <x:c r="N1252" s="30" t="str">
        <x:v>Независимая переменная — концентрация ЭДТА; зависимая — число инфузорий у катода. В отрицательном контроле используют среду без ЭДТА и сохраняют остальные параметры. Контроль показывает, связано ли изменение распределения инфузорий именно с ЭДТА.</x:v>
      </x:c>
      <x:c r="O1252" s="30" t="str">
        <x:v>Изменялся только уровень ЭДТА, а измерялось количество клеток в прикатодной зоне; отсутствие ЭДТА изолирует действие исследуемого фактора.</x:v>
      </x:c>
      <x:c r="P1252" s="30" t="str">
        <x:v>Модель сопоставлена с опубликованными критериями.</x:v>
      </x:c>
      <x:c r="Q1252" s="30"/>
      <x:c r="R1252" s="30" t="str">
        <x:v>Степенин: БИ2510401, задание 22</x:v>
      </x:c>
      <x:c r="S1252" s="30"/>
      <x:c r="T1252" s="30"/>
      <x:c r="U1252" s="30" t="str">
        <x:v>Расхождений не обнаружено.</x:v>
      </x:c>
      <x:c r="V1252" s="87" t="str">
        <x:v>VERIFIED</x:v>
      </x:c>
      <x:c r="W1252" s="87" t="str">
        <x:v>Полный PDF, задание 22</x:v>
      </x:c>
      <x:c r="X1252" s="87"/>
      <x:c r="Y1252" s="87"/>
      <x:c r="Z1252" s="87"/>
      <x:c r="AA1252" s="87"/>
      <x:c r="AB1252" s="87"/>
      <x:c r="AC1252" s="87"/>
      <x:c r="AD1252" s="87"/>
      <x:c r="AE1252" s="87"/>
      <x:c r="AF1252" s="87"/>
      <x:c r="AG1252" s="87"/>
      <x:c r="AH1252" s="87"/>
      <x:c r="AI1252" s="30"/>
      <x:c r="AJ1252" s="87" t="str">
        <x:v>master</x:v>
      </x:c>
      <x:c r="AK1252" s="87" t="str">
        <x:v>master-v0.81</x:v>
      </x:c>
      <x:c r="AL1252" s="87" t="str">
        <x:v>statgrad_master_base_v0_81_final(2).xlsx</x:v>
      </x:c>
      <x:c r="AM1252" s="87" t="str">
        <x:v>BIO_Mar_V3</x:v>
      </x:c>
      <x:c r="AN1252" s="87" t="n">
        <x:v>23</x:v>
      </x:c>
    </x:row>
    <x:row r="1253">
      <x:c r="A1253" s="87" t="n">
        <x:v>1252</x:v>
      </x:c>
      <x:c r="B1253" s="87" t="str">
        <x:v>MAR-BIO-V3-023</x:v>
      </x:c>
      <x:c r="C1253" s="87" t="str">
        <x:v>СтатГрад</x:v>
      </x:c>
      <x:c r="D1253" s="87" t="str">
        <x:v>Март 2026</x:v>
      </x:c>
      <x:c r="E1253" s="87"/>
      <x:c r="F1253" s="87"/>
      <x:c r="G1253" s="87" t="str">
        <x:v>Биология</x:v>
      </x:c>
      <x:c r="H1253" s="87" t="n">
        <x:v>11</x:v>
      </x:c>
      <x:c r="I1253" s="87" t="str">
        <x:v>ТР №4</x:v>
      </x:c>
      <x:c r="J1253" s="87" t="str">
        <x:v>БИ2510403</x:v>
      </x:c>
      <x:c r="K1253" s="87" t="n">
        <x:v>23</x:v>
      </x:c>
      <x:c r="L1253" s="87" t="str">
        <x:v>Развёрнутый ответ: таксис</x:v>
      </x:c>
      <x:c r="M1253" s="30" t="str">
        <x:v>Назвать реакцию инфузорий на ток; объяснить выбор 5 В и влияние ЭДТА.</x:v>
      </x:c>
      <x:c r="N1253" s="30" t="str">
        <x:v>Наблюдается гальванотаксис. 0,5 В могло быть ниже порога реакции, 50 В — повредить или убить клетки. ЭДТА уменьшает поступление Ca²⁺ и тормозит либо прекращает движение инфузорий к катоду.</x:v>
      </x:c>
      <x:c r="O1253" s="30" t="str">
        <x:v>Направленное движение к раздражителю является таксисом; крайние напряжения нарушили бы интерпретацию опыта.</x:v>
      </x:c>
      <x:c r="P1253" s="30" t="str">
        <x:v>Модель сопоставлена с опубликованными критериями.</x:v>
      </x:c>
      <x:c r="Q1253" s="30"/>
      <x:c r="R1253" s="30" t="str">
        <x:v>Степенин: БИ2510401, задание 23</x:v>
      </x:c>
      <x:c r="S1253" s="30"/>
      <x:c r="T1253" s="30"/>
      <x:c r="U1253" s="30" t="str">
        <x:v>Расхождений не обнаружено.</x:v>
      </x:c>
      <x:c r="V1253" s="87" t="str">
        <x:v>VERIFIED</x:v>
      </x:c>
      <x:c r="W1253" s="87" t="str">
        <x:v>Полный PDF, задание 23</x:v>
      </x:c>
      <x:c r="X1253" s="87"/>
      <x:c r="Y1253" s="87"/>
      <x:c r="Z1253" s="87"/>
      <x:c r="AA1253" s="87"/>
      <x:c r="AB1253" s="87"/>
      <x:c r="AC1253" s="87"/>
      <x:c r="AD1253" s="87"/>
      <x:c r="AE1253" s="87"/>
      <x:c r="AF1253" s="87"/>
      <x:c r="AG1253" s="87"/>
      <x:c r="AH1253" s="87"/>
      <x:c r="AI1253" s="30"/>
      <x:c r="AJ1253" s="87" t="str">
        <x:v>master</x:v>
      </x:c>
      <x:c r="AK1253" s="87" t="str">
        <x:v>master-v0.81</x:v>
      </x:c>
      <x:c r="AL1253" s="87" t="str">
        <x:v>statgrad_master_base_v0_81_final(2).xlsx</x:v>
      </x:c>
      <x:c r="AM1253" s="87" t="str">
        <x:v>BIO_Mar_V3</x:v>
      </x:c>
      <x:c r="AN1253" s="87" t="n">
        <x:v>24</x:v>
      </x:c>
    </x:row>
    <x:row r="1254">
      <x:c r="A1254" s="87" t="n">
        <x:v>1253</x:v>
      </x:c>
      <x:c r="B1254" s="87" t="str">
        <x:v>MAR-BIO-V3-024</x:v>
      </x:c>
      <x:c r="C1254" s="87" t="str">
        <x:v>СтатГрад</x:v>
      </x:c>
      <x:c r="D1254" s="87" t="str">
        <x:v>Март 2026</x:v>
      </x:c>
      <x:c r="E1254" s="87"/>
      <x:c r="F1254" s="87"/>
      <x:c r="G1254" s="87" t="str">
        <x:v>Биология</x:v>
      </x:c>
      <x:c r="H1254" s="87" t="n">
        <x:v>11</x:v>
      </x:c>
      <x:c r="I1254" s="87" t="str">
        <x:v>ТР №4</x:v>
      </x:c>
      <x:c r="J1254" s="87" t="str">
        <x:v>БИ2510403</x:v>
      </x:c>
      <x:c r="K1254" s="87" t="n">
        <x:v>24</x:v>
      </x:c>
      <x:c r="L1254" s="87" t="str">
        <x:v>Развёрнутый ответ: сетчатка</x:v>
      </x:c>
      <x:c r="M1254" s="30" t="str">
        <x:v>Назвать участки 1 и 2 на графике распределения фоторецепторов и указать их функции.</x:v>
      </x:c>
      <x:c r="N1254" s="30" t="str">
        <x:v>1 — жёлтое пятно (центральная ямка): максимальная концентрация колбочек и наибольшая острота зрения. 2 — слепое пятно: фоторецепторов нет, здесь выходит зрительный нерв.</x:v>
      </x:c>
      <x:c r="O1254" s="30" t="str">
        <x:v>Названия обоснованы пиком колбочек и отсутствием палочек/колбочек.</x:v>
      </x:c>
      <x:c r="P1254" s="30" t="str">
        <x:v>Модель сопоставлена с опубликованными критериями.</x:v>
      </x:c>
      <x:c r="Q1254" s="30"/>
      <x:c r="R1254" s="30" t="str">
        <x:v>Степенин: БИ2510402, задание 24</x:v>
      </x:c>
      <x:c r="S1254" s="30"/>
      <x:c r="T1254" s="30"/>
      <x:c r="U1254" s="30" t="str">
        <x:v>Расхождений не обнаружено.</x:v>
      </x:c>
      <x:c r="V1254" s="87" t="str">
        <x:v>VERIFIED</x:v>
      </x:c>
      <x:c r="W1254" s="87" t="str">
        <x:v>Полный PDF, задание 24</x:v>
      </x:c>
      <x:c r="X1254" s="87"/>
      <x:c r="Y1254" s="87"/>
      <x:c r="Z1254" s="87"/>
      <x:c r="AA1254" s="87"/>
      <x:c r="AB1254" s="87"/>
      <x:c r="AC1254" s="87"/>
      <x:c r="AD1254" s="87"/>
      <x:c r="AE1254" s="87"/>
      <x:c r="AF1254" s="87"/>
      <x:c r="AG1254" s="87"/>
      <x:c r="AH1254" s="87"/>
      <x:c r="AI1254" s="30"/>
      <x:c r="AJ1254" s="87" t="str">
        <x:v>master</x:v>
      </x:c>
      <x:c r="AK1254" s="87" t="str">
        <x:v>master-v0.81</x:v>
      </x:c>
      <x:c r="AL1254" s="87" t="str">
        <x:v>statgrad_master_base_v0_81_final(2).xlsx</x:v>
      </x:c>
      <x:c r="AM1254" s="87" t="str">
        <x:v>BIO_Mar_V3</x:v>
      </x:c>
      <x:c r="AN1254" s="87" t="n">
        <x:v>25</x:v>
      </x:c>
    </x:row>
    <x:row r="1255">
      <x:c r="A1255" s="87" t="n">
        <x:v>1254</x:v>
      </x:c>
      <x:c r="B1255" s="87" t="str">
        <x:v>MAR-BIO-V3-025</x:v>
      </x:c>
      <x:c r="C1255" s="87" t="str">
        <x:v>СтатГрад</x:v>
      </x:c>
      <x:c r="D1255" s="87" t="str">
        <x:v>Март 2026</x:v>
      </x:c>
      <x:c r="E1255" s="87"/>
      <x:c r="F1255" s="87"/>
      <x:c r="G1255" s="87" t="str">
        <x:v>Биология</x:v>
      </x:c>
      <x:c r="H1255" s="87" t="n">
        <x:v>11</x:v>
      </x:c>
      <x:c r="I1255" s="87" t="str">
        <x:v>ТР №4</x:v>
      </x:c>
      <x:c r="J1255" s="87" t="str">
        <x:v>БИ2510403</x:v>
      </x:c>
      <x:c r="K1255" s="87" t="n">
        <x:v>25</x:v>
      </x:c>
      <x:c r="L1255" s="87" t="str">
        <x:v>Развёрнутый ответ: CAM-фотосинтез</x:v>
      </x:c>
      <x:c r="M1255" s="30" t="str">
        <x:v>Объяснить время цикла Кальвина, крупные вакуоли и медленный рост суккулентов.</x:v>
      </x:c>
      <x:c r="N1255" s="30" t="str">
        <x:v>Цикл Кальвина идёт днём, когда из малата высвобождается CO₂ и световые реакции дают АТФ и НАДФ·Н. Крупные вакуоли нужны для запаса малата. Ограниченное ночное поглощение CO₂ снижает интенсивность фотосинтеза и накопления биомассы, поэтому рост медленный.</x:v>
      </x:c>
      <x:c r="O1255" s="30" t="str">
        <x:v>Связаны суточное разделение фиксации CO₂ и продуктивность.</x:v>
      </x:c>
      <x:c r="P1255" s="30" t="str">
        <x:v>Модель сопоставлена с опубликованными критериями.</x:v>
      </x:c>
      <x:c r="Q1255" s="30"/>
      <x:c r="R1255" s="30" t="str">
        <x:v>Степенин: БИ2510402, задание 25</x:v>
      </x:c>
      <x:c r="S1255" s="30"/>
      <x:c r="T1255" s="30"/>
      <x:c r="U1255" s="30" t="str">
        <x:v>Расхождений не обнаружено.</x:v>
      </x:c>
      <x:c r="V1255" s="87" t="str">
        <x:v>VERIFIED</x:v>
      </x:c>
      <x:c r="W1255" s="87" t="str">
        <x:v>Полный PDF, задание 25</x:v>
      </x:c>
      <x:c r="X1255" s="87"/>
      <x:c r="Y1255" s="87"/>
      <x:c r="Z1255" s="87"/>
      <x:c r="AA1255" s="87"/>
      <x:c r="AB1255" s="87"/>
      <x:c r="AC1255" s="87"/>
      <x:c r="AD1255" s="87"/>
      <x:c r="AE1255" s="87"/>
      <x:c r="AF1255" s="87"/>
      <x:c r="AG1255" s="87"/>
      <x:c r="AH1255" s="87"/>
      <x:c r="AI1255" s="30"/>
      <x:c r="AJ1255" s="87" t="str">
        <x:v>master</x:v>
      </x:c>
      <x:c r="AK1255" s="87" t="str">
        <x:v>master-v0.81</x:v>
      </x:c>
      <x:c r="AL1255" s="87" t="str">
        <x:v>statgrad_master_base_v0_81_final(2).xlsx</x:v>
      </x:c>
      <x:c r="AM1255" s="87" t="str">
        <x:v>BIO_Mar_V3</x:v>
      </x:c>
      <x:c r="AN1255" s="87" t="n">
        <x:v>26</x:v>
      </x:c>
    </x:row>
    <x:row r="1256">
      <x:c r="A1256" s="87" t="n">
        <x:v>1255</x:v>
      </x:c>
      <x:c r="B1256" s="87" t="str">
        <x:v>MAR-BIO-V3-026</x:v>
      </x:c>
      <x:c r="C1256" s="87" t="str">
        <x:v>СтатГрад</x:v>
      </x:c>
      <x:c r="D1256" s="87" t="str">
        <x:v>Март 2026</x:v>
      </x:c>
      <x:c r="E1256" s="87"/>
      <x:c r="F1256" s="87"/>
      <x:c r="G1256" s="87" t="str">
        <x:v>Биология</x:v>
      </x:c>
      <x:c r="H1256" s="87" t="n">
        <x:v>11</x:v>
      </x:c>
      <x:c r="I1256" s="87" t="str">
        <x:v>ТР №4</x:v>
      </x:c>
      <x:c r="J1256" s="87" t="str">
        <x:v>БИ2510403</x:v>
      </x:c>
      <x:c r="K1256" s="87" t="n">
        <x:v>26</x:v>
      </x:c>
      <x:c r="L1256" s="87" t="str">
        <x:v>Развёрнутый ответ: гидротермальные сообщества</x:v>
      </x:c>
      <x:c r="M1256" s="30" t="str">
        <x:v>Назвать лимитирующие факторы и преимущества Alvinella pompejana рядом с источниками.</x:v>
      </x:c>
      <x:c r="N1256" s="30" t="str">
        <x:v>Лимитируют, например, отсутствие света и кислорода, высокие давление и температура, токсичные соединения — достаточно любых двух. Рядом с источником черви получают доступ к хемосинтезирующим серобактериям — своей пище; экстремальные условия уменьшают конкуренцию и давление хищников.</x:v>
      </x:c>
      <x:c r="O1256" s="30" t="str">
        <x:v>Трофический уровень консумента I порядка связан с продуцентами-хемотрофами.</x:v>
      </x:c>
      <x:c r="P1256" s="30" t="str">
        <x:v>Модель сопоставлена с опубликованными критериями.</x:v>
      </x:c>
      <x:c r="Q1256" s="30"/>
      <x:c r="R1256" s="30" t="str">
        <x:v>Степенин: БИ2510402, задание 26</x:v>
      </x:c>
      <x:c r="S1256" s="30"/>
      <x:c r="T1256" s="30"/>
      <x:c r="U1256" s="30" t="str">
        <x:v>Расхождений не обнаружено.</x:v>
      </x:c>
      <x:c r="V1256" s="87" t="str">
        <x:v>VERIFIED</x:v>
      </x:c>
      <x:c r="W1256" s="87" t="str">
        <x:v>Полный PDF, задание 26</x:v>
      </x:c>
      <x:c r="X1256" s="87"/>
      <x:c r="Y1256" s="87"/>
      <x:c r="Z1256" s="87"/>
      <x:c r="AA1256" s="87"/>
      <x:c r="AB1256" s="87"/>
      <x:c r="AC1256" s="87"/>
      <x:c r="AD1256" s="87"/>
      <x:c r="AE1256" s="87"/>
      <x:c r="AF1256" s="87"/>
      <x:c r="AG1256" s="87"/>
      <x:c r="AH1256" s="87"/>
      <x:c r="AI1256" s="30"/>
      <x:c r="AJ1256" s="87" t="str">
        <x:v>master</x:v>
      </x:c>
      <x:c r="AK1256" s="87" t="str">
        <x:v>master-v0.81</x:v>
      </x:c>
      <x:c r="AL1256" s="87" t="str">
        <x:v>statgrad_master_base_v0_81_final(2).xlsx</x:v>
      </x:c>
      <x:c r="AM1256" s="87" t="str">
        <x:v>BIO_Mar_V3</x:v>
      </x:c>
      <x:c r="AN1256" s="87" t="n">
        <x:v>27</x:v>
      </x:c>
    </x:row>
    <x:row r="1257">
      <x:c r="A1257" s="87" t="n">
        <x:v>1256</x:v>
      </x:c>
      <x:c r="B1257" s="87" t="str">
        <x:v>MAR-BIO-V3-027</x:v>
      </x:c>
      <x:c r="C1257" s="87" t="str">
        <x:v>СтатГрад</x:v>
      </x:c>
      <x:c r="D1257" s="87" t="str">
        <x:v>Март 2026</x:v>
      </x:c>
      <x:c r="E1257" s="87"/>
      <x:c r="F1257" s="87"/>
      <x:c r="G1257" s="87" t="str">
        <x:v>Биология</x:v>
      </x:c>
      <x:c r="H1257" s="87" t="n">
        <x:v>11</x:v>
      </x:c>
      <x:c r="I1257" s="87" t="str">
        <x:v>ТР №4</x:v>
      </x:c>
      <x:c r="J1257" s="87" t="str">
        <x:v>БИ2510403</x:v>
      </x:c>
      <x:c r="K1257" s="87" t="n">
        <x:v>27</x:v>
      </x:c>
      <x:c r="L1257" s="87" t="str">
        <x:v>Развёрнутый ответ: трансляция со сдвигом рамки</x:v>
      </x:c>
      <x:c r="M1257" s="30" t="str">
        <x:v>Определить иРНК, открытую рамку и аминокислотную последовательность Euplotes.</x:v>
      </x:c>
      <x:c r="N1257" s="30" t="str">
        <x:v>иРНК: 5′-ЦЦАГАУГЦАГЦУАУАГАЦГГУЦУАА-3′. Рамка начинается с АУГ: АУГ–ЦАГ–ЦУА–УАГ… На далёком стоп-кодоне УАГ происходит сдвиг +1 к кодону АГА; далее читаются ЦГГ и УЦУ. Полипептид: мет–глн–лей–арг–арг–сер.</x:v>
      </x:c>
      <x:c r="O1257" s="30" t="str">
        <x:v>Последовательность иРНК комплементарна матричной ДНК; направление и кодоны проверены по генетическому коду.</x:v>
      </x:c>
      <x:c r="P1257" s="30" t="str">
        <x:v>Модель сопоставлена с опубликованным решением.</x:v>
      </x:c>
      <x:c r="Q1257" s="30"/>
      <x:c r="R1257" s="30" t="str">
        <x:v>Степенин: БИ2510402, задание 27</x:v>
      </x:c>
      <x:c r="S1257" s="30"/>
      <x:c r="T1257" s="30"/>
      <x:c r="U1257" s="30" t="str">
        <x:v>Расхождений не обнаружено.</x:v>
      </x:c>
      <x:c r="V1257" s="87" t="str">
        <x:v>VERIFIED</x:v>
      </x:c>
      <x:c r="W1257" s="87" t="str">
        <x:v>Полный PDF, задание 27</x:v>
      </x:c>
      <x:c r="X1257" s="87"/>
      <x:c r="Y1257" s="87"/>
      <x:c r="Z1257" s="87"/>
      <x:c r="AA1257" s="87"/>
      <x:c r="AB1257" s="87"/>
      <x:c r="AC1257" s="87"/>
      <x:c r="AD1257" s="87"/>
      <x:c r="AE1257" s="87"/>
      <x:c r="AF1257" s="87"/>
      <x:c r="AG1257" s="87"/>
      <x:c r="AH1257" s="87"/>
      <x:c r="AI1257" s="30"/>
      <x:c r="AJ1257" s="87" t="str">
        <x:v>master</x:v>
      </x:c>
      <x:c r="AK1257" s="87" t="str">
        <x:v>master-v0.81</x:v>
      </x:c>
      <x:c r="AL1257" s="87" t="str">
        <x:v>statgrad_master_base_v0_81_final(2).xlsx</x:v>
      </x:c>
      <x:c r="AM1257" s="87" t="str">
        <x:v>BIO_Mar_V3</x:v>
      </x:c>
      <x:c r="AN1257" s="87" t="n">
        <x:v>28</x:v>
      </x:c>
    </x:row>
    <x:row r="1258">
      <x:c r="A1258" s="87" t="n">
        <x:v>1257</x:v>
      </x:c>
      <x:c r="B1258" s="87" t="str">
        <x:v>MAR-BIO-V3-028</x:v>
      </x:c>
      <x:c r="C1258" s="87" t="str">
        <x:v>СтатГрад</x:v>
      </x:c>
      <x:c r="D1258" s="87" t="str">
        <x:v>Март 2026</x:v>
      </x:c>
      <x:c r="E1258" s="87"/>
      <x:c r="F1258" s="87"/>
      <x:c r="G1258" s="87" t="str">
        <x:v>Биология</x:v>
      </x:c>
      <x:c r="H1258" s="87" t="n">
        <x:v>11</x:v>
      </x:c>
      <x:c r="I1258" s="87" t="str">
        <x:v>ТР №4</x:v>
      </x:c>
      <x:c r="J1258" s="87" t="str">
        <x:v>БИ2510403</x:v>
      </x:c>
      <x:c r="K1258" s="87" t="n">
        <x:v>28</x:v>
      </x:c>
      <x:c r="L1258" s="87" t="str">
        <x:v>Развёрнутый ответ: псевдоаутосомное наследование</x:v>
      </x:c>
      <x:c r="M1258" s="30" t="str">
        <x:v>Определить потомство двух браков по мезомелии и гемофилии и возможность двух заболеваний.</x:v>
      </x:c>
      <x:c r="N1258" s="30" t="str">
        <x:v>Первый брак: ♀ XᵃᴴXᵃʰ × ♂ XᵃᴴYᴬ. Из-за кроссинговера у мужчины возможны Xᵃᴴ, Xᴬᴴ, Yᴬ, Yᵃ; дочери имеют нормальную свёртываемость и могут быть нормальными или с мезомелией, сыновья также могут быть нормальными, с мезомелией, гемофилией или обоими заболеваниями. Дочь с мезомелией: XᴬᴴXᵃᴴ; второй брак с XᵃᴴYᵃ даёт дочерей и сыновей с мезомелией либо нормальным скелетом, все с нормальной свёртываемостью. В первом браке возможен сын XᵃʰYᴬ с мезомелией и гемофилией.</x:v>
      </x:c>
      <x:c r="O1258" s="30" t="str">
        <x:v>Ген гемофилии учтён на X-хромосоме, ген мезомелии — в псевдоаутосомном участке X/Y.</x:v>
      </x:c>
      <x:c r="P1258" s="30" t="str">
        <x:v>Модель сопоставлена с опубликованным решением.</x:v>
      </x:c>
      <x:c r="Q1258" s="30"/>
      <x:c r="R1258" s="30" t="str">
        <x:v>Степенин: БИ2510402, задание 28</x:v>
      </x:c>
      <x:c r="S1258" s="30"/>
      <x:c r="T1258" s="30"/>
      <x:c r="U1258" s="30" t="str">
        <x:v>Расхождений не обнаружено.</x:v>
      </x:c>
      <x:c r="V1258" s="87" t="str">
        <x:v>VERIFIED</x:v>
      </x:c>
      <x:c r="W1258" s="87" t="str">
        <x:v>Полный PDF, задание 28</x:v>
      </x:c>
      <x:c r="X1258" s="87"/>
      <x:c r="Y1258" s="87"/>
      <x:c r="Z1258" s="87"/>
      <x:c r="AA1258" s="87"/>
      <x:c r="AB1258" s="87"/>
      <x:c r="AC1258" s="87"/>
      <x:c r="AD1258" s="87"/>
      <x:c r="AE1258" s="87"/>
      <x:c r="AF1258" s="87"/>
      <x:c r="AG1258" s="87"/>
      <x:c r="AH1258" s="87"/>
      <x:c r="AI1258" s="30"/>
      <x:c r="AJ1258" s="87" t="str">
        <x:v>master</x:v>
      </x:c>
      <x:c r="AK1258" s="87" t="str">
        <x:v>master-v0.81</x:v>
      </x:c>
      <x:c r="AL1258" s="87" t="str">
        <x:v>statgrad_master_base_v0_81_final(2).xlsx</x:v>
      </x:c>
      <x:c r="AM1258" s="87" t="str">
        <x:v>BIO_Mar_V3</x:v>
      </x:c>
      <x:c r="AN1258" s="87" t="n">
        <x:v>29</x:v>
      </x:c>
    </x:row>
    <x:row r="1259">
      <x:c r="A1259" s="87" t="n">
        <x:v>1258</x:v>
      </x:c>
      <x:c r="B1259" s="87" t="str">
        <x:v>MAR-BIO-V4-001</x:v>
      </x:c>
      <x:c r="C1259" s="87" t="str">
        <x:v>СтатГрад</x:v>
      </x:c>
      <x:c r="D1259" s="87" t="str">
        <x:v>Март 2026</x:v>
      </x:c>
      <x:c r="E1259" s="87"/>
      <x:c r="F1259" s="87"/>
      <x:c r="G1259" s="87" t="str">
        <x:v>Биология</x:v>
      </x:c>
      <x:c r="H1259" s="87" t="n">
        <x:v>11</x:v>
      </x:c>
      <x:c r="I1259" s="87" t="str">
        <x:v>ТР №4</x:v>
      </x:c>
      <x:c r="J1259" s="87" t="str">
        <x:v>БИ2510404</x:v>
      </x:c>
      <x:c r="K1259" s="87" t="n">
        <x:v>1</x:v>
      </x:c>
      <x:c r="L1259" s="87" t="str">
        <x:v>Свойства живых систем</x:v>
      </x:c>
      <x:c r="M1259" s="30" t="str">
        <x:v>По таблице определить свойство, проявляющееся в окислительном фосфорилировании.</x:v>
      </x:c>
      <x:c r="N1259" s="30" t="str">
        <x:v>обмен веществ</x:v>
      </x:c>
      <x:c r="O1259" s="30" t="str">
        <x:v>Окислительное фосфорилирование является частью энергетического обмена клетки; допустимый синоним — метаболизм.</x:v>
      </x:c>
      <x:c r="P1259" s="30" t="str">
        <x:v>Термин проверен по уровню организации и процессу.</x:v>
      </x:c>
      <x:c r="Q1259" s="30"/>
      <x:c r="R1259" s="30" t="str">
        <x:v>PDF + открытый ответ</x:v>
      </x:c>
      <x:c r="S1259" s="30"/>
      <x:c r="T1259" s="30"/>
      <x:c r="U1259" s="30" t="str">
        <x:v>Расхождений не обнаружено.</x:v>
      </x:c>
      <x:c r="V1259" s="87" t="str">
        <x:v>VERIFIED</x:v>
      </x:c>
      <x:c r="W1259" s="87" t="str">
        <x:v>Полный PDF, задание 1</x:v>
      </x:c>
      <x:c r="X1259" s="87"/>
      <x:c r="Y1259" s="87"/>
      <x:c r="Z1259" s="87"/>
      <x:c r="AA1259" s="87"/>
      <x:c r="AB1259" s="87"/>
      <x:c r="AC1259" s="87"/>
      <x:c r="AD1259" s="87"/>
      <x:c r="AE1259" s="87"/>
      <x:c r="AF1259" s="87"/>
      <x:c r="AG1259" s="87"/>
      <x:c r="AH1259" s="87"/>
      <x:c r="AI1259" s="30"/>
      <x:c r="AJ1259" s="87" t="str">
        <x:v>master</x:v>
      </x:c>
      <x:c r="AK1259" s="87" t="str">
        <x:v>master-v0.81</x:v>
      </x:c>
      <x:c r="AL1259" s="87" t="str">
        <x:v>statgrad_master_base_v0_81_final(2).xlsx</x:v>
      </x:c>
      <x:c r="AM1259" s="87" t="str">
        <x:v>BIO_Mar_V4</x:v>
      </x:c>
      <x:c r="AN1259" s="87" t="n">
        <x:v>2</x:v>
      </x:c>
    </x:row>
    <x:row r="1260">
      <x:c r="A1260" s="87" t="n">
        <x:v>1259</x:v>
      </x:c>
      <x:c r="B1260" s="87" t="str">
        <x:v>MAR-BIO-V4-002</x:v>
      </x:c>
      <x:c r="C1260" s="87" t="str">
        <x:v>СтатГрад</x:v>
      </x:c>
      <x:c r="D1260" s="87" t="str">
        <x:v>Март 2026</x:v>
      </x:c>
      <x:c r="E1260" s="87"/>
      <x:c r="F1260" s="87"/>
      <x:c r="G1260" s="87" t="str">
        <x:v>Биология</x:v>
      </x:c>
      <x:c r="H1260" s="87" t="n">
        <x:v>11</x:v>
      </x:c>
      <x:c r="I1260" s="87" t="str">
        <x:v>ТР №4</x:v>
      </x:c>
      <x:c r="J1260" s="87" t="str">
        <x:v>БИ2510404</x:v>
      </x:c>
      <x:c r="K1260" s="87" t="n">
        <x:v>2</x:v>
      </x:c>
      <x:c r="L1260" s="87" t="str">
        <x:v>Физиология кровообращения</x:v>
      </x:c>
      <x:c r="M1260" s="30" t="str">
        <x:v>Определить изменения минутного объёма сердца и артериального давления после 30 отжиманий.</x:v>
      </x:c>
      <x:c r="N1260" s="30" t="str">
        <x:v>11</x:v>
      </x:c>
      <x:c r="O1260" s="30" t="str">
        <x:v>Физическая нагрузка повышает частоту и силу сердечных сокращений, поэтому минутный объём и давление увеличиваются.</x:v>
      </x:c>
      <x:c r="P1260" s="30" t="str">
        <x:v>Оба показателя сопоставлены с симпатической реакцией на нагрузку.</x:v>
      </x:c>
      <x:c r="Q1260" s="30"/>
      <x:c r="R1260" s="30" t="str">
        <x:v>PDF + открытый ответ 11</x:v>
      </x:c>
      <x:c r="S1260" s="30"/>
      <x:c r="T1260" s="30"/>
      <x:c r="U1260" s="30" t="str">
        <x:v>Расхождений не обнаружено.</x:v>
      </x:c>
      <x:c r="V1260" s="87" t="str">
        <x:v>VERIFIED</x:v>
      </x:c>
      <x:c r="W1260" s="87" t="str">
        <x:v>Полный PDF, задание 2</x:v>
      </x:c>
      <x:c r="X1260" s="87"/>
      <x:c r="Y1260" s="87"/>
      <x:c r="Z1260" s="87"/>
      <x:c r="AA1260" s="87"/>
      <x:c r="AB1260" s="87"/>
      <x:c r="AC1260" s="87"/>
      <x:c r="AD1260" s="87"/>
      <x:c r="AE1260" s="87"/>
      <x:c r="AF1260" s="87"/>
      <x:c r="AG1260" s="87"/>
      <x:c r="AH1260" s="87"/>
      <x:c r="AI1260" s="30"/>
      <x:c r="AJ1260" s="87" t="str">
        <x:v>master</x:v>
      </x:c>
      <x:c r="AK1260" s="87" t="str">
        <x:v>master-v0.81</x:v>
      </x:c>
      <x:c r="AL1260" s="87" t="str">
        <x:v>statgrad_master_base_v0_81_final(2).xlsx</x:v>
      </x:c>
      <x:c r="AM1260" s="87" t="str">
        <x:v>BIO_Mar_V4</x:v>
      </x:c>
      <x:c r="AN1260" s="87" t="n">
        <x:v>3</x:v>
      </x:c>
    </x:row>
    <x:row r="1261">
      <x:c r="A1261" s="87" t="n">
        <x:v>1260</x:v>
      </x:c>
      <x:c r="B1261" s="87" t="str">
        <x:v>MAR-BIO-V4-003</x:v>
      </x:c>
      <x:c r="C1261" s="87" t="str">
        <x:v>СтатГрад</x:v>
      </x:c>
      <x:c r="D1261" s="87" t="str">
        <x:v>Март 2026</x:v>
      </x:c>
      <x:c r="E1261" s="87"/>
      <x:c r="F1261" s="87"/>
      <x:c r="G1261" s="87" t="str">
        <x:v>Биология</x:v>
      </x:c>
      <x:c r="H1261" s="87" t="n">
        <x:v>11</x:v>
      </x:c>
      <x:c r="I1261" s="87" t="str">
        <x:v>ТР №4</x:v>
      </x:c>
      <x:c r="J1261" s="87" t="str">
        <x:v>БИ2510404</x:v>
      </x:c>
      <x:c r="K1261" s="87" t="n">
        <x:v>3</x:v>
      </x:c>
      <x:c r="L1261" s="87" t="str">
        <x:v>Генетический код</x:v>
      </x:c>
      <x:c r="M1261" s="30" t="str">
        <x:v>Сколько аминокислот кодирует фрагмент иРНК из 162 нуклеотидов?</x:v>
      </x:c>
      <x:c r="N1261" s="30" t="str">
        <x:v>54</x:v>
      </x:c>
      <x:c r="O1261" s="30" t="str">
        <x:v>Один кодон содержит три нуклеотида: 162/3=54.</x:v>
      </x:c>
      <x:c r="P1261" s="30" t="str">
        <x:v>Расчёт проверен по триплетности кода.</x:v>
      </x:c>
      <x:c r="Q1261" s="30"/>
      <x:c r="R1261" s="30" t="str">
        <x:v>PDF + открытый ответ 54</x:v>
      </x:c>
      <x:c r="S1261" s="30"/>
      <x:c r="T1261" s="30"/>
      <x:c r="U1261" s="30" t="str">
        <x:v>Расхождений не обнаружено.</x:v>
      </x:c>
      <x:c r="V1261" s="87" t="str">
        <x:v>VERIFIED</x:v>
      </x:c>
      <x:c r="W1261" s="87" t="str">
        <x:v>Полный PDF, задание 3</x:v>
      </x:c>
      <x:c r="X1261" s="87"/>
      <x:c r="Y1261" s="87"/>
      <x:c r="Z1261" s="87"/>
      <x:c r="AA1261" s="87"/>
      <x:c r="AB1261" s="87"/>
      <x:c r="AC1261" s="87"/>
      <x:c r="AD1261" s="87"/>
      <x:c r="AE1261" s="87"/>
      <x:c r="AF1261" s="87"/>
      <x:c r="AG1261" s="87"/>
      <x:c r="AH1261" s="87"/>
      <x:c r="AI1261" s="30"/>
      <x:c r="AJ1261" s="87" t="str">
        <x:v>master</x:v>
      </x:c>
      <x:c r="AK1261" s="87" t="str">
        <x:v>master-v0.81</x:v>
      </x:c>
      <x:c r="AL1261" s="87" t="str">
        <x:v>statgrad_master_base_v0_81_final(2).xlsx</x:v>
      </x:c>
      <x:c r="AM1261" s="87" t="str">
        <x:v>BIO_Mar_V4</x:v>
      </x:c>
      <x:c r="AN1261" s="87" t="n">
        <x:v>4</x:v>
      </x:c>
    </x:row>
    <x:row r="1262">
      <x:c r="A1262" s="87" t="n">
        <x:v>1261</x:v>
      </x:c>
      <x:c r="B1262" s="87" t="str">
        <x:v>MAR-BIO-V4-004</x:v>
      </x:c>
      <x:c r="C1262" s="87" t="str">
        <x:v>СтатГрад</x:v>
      </x:c>
      <x:c r="D1262" s="87" t="str">
        <x:v>Март 2026</x:v>
      </x:c>
      <x:c r="E1262" s="87"/>
      <x:c r="F1262" s="87"/>
      <x:c r="G1262" s="87" t="str">
        <x:v>Биология</x:v>
      </x:c>
      <x:c r="H1262" s="87" t="n">
        <x:v>11</x:v>
      </x:c>
      <x:c r="I1262" s="87" t="str">
        <x:v>ТР №4</x:v>
      </x:c>
      <x:c r="J1262" s="87" t="str">
        <x:v>БИ2510404</x:v>
      </x:c>
      <x:c r="K1262" s="87" t="n">
        <x:v>4</x:v>
      </x:c>
      <x:c r="L1262" s="87" t="str">
        <x:v>Неполное доминирование</x:v>
      </x:c>
      <x:c r="M1262" s="30" t="str">
        <x:v>Определить соотношение генотипов при анализирующем скрещивании гетерозиготы.</x:v>
      </x:c>
      <x:c r="N1262" s="30" t="str">
        <x:v>11</x:v>
      </x:c>
      <x:c r="O1262" s="30" t="str">
        <x:v>Aa × aa даёт Aa и aa в отношении 1:1.</x:v>
      </x:c>
      <x:c r="P1262" s="30" t="str">
        <x:v>Составлена схема скрещивания.</x:v>
      </x:c>
      <x:c r="Q1262" s="30"/>
      <x:c r="R1262" s="30" t="str">
        <x:v>PDF + открытый ответ 11</x:v>
      </x:c>
      <x:c r="S1262" s="30"/>
      <x:c r="T1262" s="30"/>
      <x:c r="U1262" s="30" t="str">
        <x:v>Расхождений не обнаружено.</x:v>
      </x:c>
      <x:c r="V1262" s="87" t="str">
        <x:v>VERIFIED</x:v>
      </x:c>
      <x:c r="W1262" s="87" t="str">
        <x:v>Полный PDF, задание 4</x:v>
      </x:c>
      <x:c r="X1262" s="87"/>
      <x:c r="Y1262" s="87"/>
      <x:c r="Z1262" s="87"/>
      <x:c r="AA1262" s="87"/>
      <x:c r="AB1262" s="87"/>
      <x:c r="AC1262" s="87"/>
      <x:c r="AD1262" s="87"/>
      <x:c r="AE1262" s="87"/>
      <x:c r="AF1262" s="87"/>
      <x:c r="AG1262" s="87"/>
      <x:c r="AH1262" s="87"/>
      <x:c r="AI1262" s="30"/>
      <x:c r="AJ1262" s="87" t="str">
        <x:v>master</x:v>
      </x:c>
      <x:c r="AK1262" s="87" t="str">
        <x:v>master-v0.81</x:v>
      </x:c>
      <x:c r="AL1262" s="87" t="str">
        <x:v>statgrad_master_base_v0_81_final(2).xlsx</x:v>
      </x:c>
      <x:c r="AM1262" s="87" t="str">
        <x:v>BIO_Mar_V4</x:v>
      </x:c>
      <x:c r="AN1262" s="87" t="n">
        <x:v>5</x:v>
      </x:c>
    </x:row>
    <x:row r="1263">
      <x:c r="A1263" s="87" t="n">
        <x:v>1262</x:v>
      </x:c>
      <x:c r="B1263" s="87" t="str">
        <x:v>MAR-BIO-V4-005</x:v>
      </x:c>
      <x:c r="C1263" s="87" t="str">
        <x:v>СтатГрад</x:v>
      </x:c>
      <x:c r="D1263" s="87" t="str">
        <x:v>Март 2026</x:v>
      </x:c>
      <x:c r="E1263" s="87"/>
      <x:c r="F1263" s="87"/>
      <x:c r="G1263" s="87" t="str">
        <x:v>Биология</x:v>
      </x:c>
      <x:c r="H1263" s="87" t="n">
        <x:v>11</x:v>
      </x:c>
      <x:c r="I1263" s="87" t="str">
        <x:v>ТР №4</x:v>
      </x:c>
      <x:c r="J1263" s="87" t="str">
        <x:v>БИ2510404</x:v>
      </x:c>
      <x:c r="K1263" s="87" t="n">
        <x:v>5</x:v>
      </x:c>
      <x:c r="L1263" s="87" t="str">
        <x:v>Митохондрия</x:v>
      </x:c>
      <x:c r="M1263" s="30" t="str">
        <x:v>Определить номер матрикса — среды цикла Кребса.</x:v>
      </x:c>
      <x:c r="N1263" s="30" t="str">
        <x:v>7</x:v>
      </x:c>
      <x:c r="O1263" s="30" t="str">
        <x:v>Цикл Кребса протекает в матриксе митохондрии, обозначенном цифрой 7.</x:v>
      </x:c>
      <x:c r="P1263" s="30" t="str">
        <x:v>Направление стрелки проверено по рисунку.</x:v>
      </x:c>
      <x:c r="Q1263" s="30"/>
      <x:c r="R1263" s="30" t="str">
        <x:v>PDF + открытый ответ 7</x:v>
      </x:c>
      <x:c r="S1263" s="30"/>
      <x:c r="T1263" s="30"/>
      <x:c r="U1263" s="30" t="str">
        <x:v>Расхождений не обнаружено.</x:v>
      </x:c>
      <x:c r="V1263" s="87" t="str">
        <x:v>VERIFIED</x:v>
      </x:c>
      <x:c r="W1263" s="87" t="str">
        <x:v>Полный PDF, задание 5</x:v>
      </x:c>
      <x:c r="X1263" s="87"/>
      <x:c r="Y1263" s="87"/>
      <x:c r="Z1263" s="87"/>
      <x:c r="AA1263" s="87"/>
      <x:c r="AB1263" s="87"/>
      <x:c r="AC1263" s="87"/>
      <x:c r="AD1263" s="87"/>
      <x:c r="AE1263" s="87"/>
      <x:c r="AF1263" s="87"/>
      <x:c r="AG1263" s="87"/>
      <x:c r="AH1263" s="87"/>
      <x:c r="AI1263" s="30"/>
      <x:c r="AJ1263" s="87" t="str">
        <x:v>master</x:v>
      </x:c>
      <x:c r="AK1263" s="87" t="str">
        <x:v>master-v0.81</x:v>
      </x:c>
      <x:c r="AL1263" s="87" t="str">
        <x:v>statgrad_master_base_v0_81_final(2).xlsx</x:v>
      </x:c>
      <x:c r="AM1263" s="87" t="str">
        <x:v>BIO_Mar_V4</x:v>
      </x:c>
      <x:c r="AN1263" s="87" t="n">
        <x:v>6</x:v>
      </x:c>
    </x:row>
    <x:row r="1264">
      <x:c r="A1264" s="87" t="n">
        <x:v>1263</x:v>
      </x:c>
      <x:c r="B1264" s="87" t="str">
        <x:v>MAR-BIO-V4-006</x:v>
      </x:c>
      <x:c r="C1264" s="87" t="str">
        <x:v>СтатГрад</x:v>
      </x:c>
      <x:c r="D1264" s="87" t="str">
        <x:v>Март 2026</x:v>
      </x:c>
      <x:c r="E1264" s="87"/>
      <x:c r="F1264" s="87"/>
      <x:c r="G1264" s="87" t="str">
        <x:v>Биология</x:v>
      </x:c>
      <x:c r="H1264" s="87" t="n">
        <x:v>11</x:v>
      </x:c>
      <x:c r="I1264" s="87" t="str">
        <x:v>ТР №4</x:v>
      </x:c>
      <x:c r="J1264" s="87" t="str">
        <x:v>БИ2510404</x:v>
      </x:c>
      <x:c r="K1264" s="87" t="n">
        <x:v>6</x:v>
      </x:c>
      <x:c r="L1264" s="87" t="str">
        <x:v>Структуры митохондрии</x:v>
      </x:c>
      <x:c r="M1264" s="30" t="str">
        <x:v>Соотнести трансляцию, фосфолипидный слой, субъединицы, электронный транспорт, нуклеотиды и протонный градиент со структурами 1–3.</x:v>
      </x:c>
      <x:c r="N1264" s="30" t="str">
        <x:v>121232</x:v>
      </x:c>
      <x:c r="O1264" s="30" t="str">
        <x:v>Структура 1 — рибосома: трансляция и две субъединицы; 2 — белковый комплекс внутренней мембраны: встроен в слой, переносит электроны и создаёт градиент; 3 — митохондриальная ДНК, содержащая нуклеотиды.</x:v>
      </x:c>
      <x:c r="P1264" s="30" t="str">
        <x:v>Рисунок и функции дыхательной цепи проверены независимо.</x:v>
      </x:c>
      <x:c r="Q1264" s="30"/>
      <x:c r="R1264" s="30" t="str">
        <x:v>Полный PDF + визуальная проверка</x:v>
      </x:c>
      <x:c r="S1264" s="30"/>
      <x:c r="T1264" s="30"/>
      <x:c r="U1264" s="30" t="str">
        <x:v>Расхождений не обнаружено.</x:v>
      </x:c>
      <x:c r="V1264" s="87" t="str">
        <x:v>VERIFIED</x:v>
      </x:c>
      <x:c r="W1264" s="87" t="str">
        <x:v>Полный PDF, задание 6</x:v>
      </x:c>
      <x:c r="X1264" s="87"/>
      <x:c r="Y1264" s="87"/>
      <x:c r="Z1264" s="87"/>
      <x:c r="AA1264" s="87"/>
      <x:c r="AB1264" s="87"/>
      <x:c r="AC1264" s="87"/>
      <x:c r="AD1264" s="87"/>
      <x:c r="AE1264" s="87"/>
      <x:c r="AF1264" s="87"/>
      <x:c r="AG1264" s="87"/>
      <x:c r="AH1264" s="87"/>
      <x:c r="AI1264" s="30"/>
      <x:c r="AJ1264" s="87" t="str">
        <x:v>master</x:v>
      </x:c>
      <x:c r="AK1264" s="87" t="str">
        <x:v>master-v0.81</x:v>
      </x:c>
      <x:c r="AL1264" s="87" t="str">
        <x:v>statgrad_master_base_v0_81_final(2).xlsx</x:v>
      </x:c>
      <x:c r="AM1264" s="87" t="str">
        <x:v>BIO_Mar_V4</x:v>
      </x:c>
      <x:c r="AN1264" s="87" t="n">
        <x:v>7</x:v>
      </x:c>
    </x:row>
    <x:row r="1265">
      <x:c r="A1265" s="87" t="n">
        <x:v>1264</x:v>
      </x:c>
      <x:c r="B1265" s="87" t="str">
        <x:v>MAR-BIO-V4-007</x:v>
      </x:c>
      <x:c r="C1265" s="87" t="str">
        <x:v>СтатГрад</x:v>
      </x:c>
      <x:c r="D1265" s="87" t="str">
        <x:v>Март 2026</x:v>
      </x:c>
      <x:c r="E1265" s="87"/>
      <x:c r="F1265" s="87"/>
      <x:c r="G1265" s="87" t="str">
        <x:v>Биология</x:v>
      </x:c>
      <x:c r="H1265" s="87" t="n">
        <x:v>11</x:v>
      </x:c>
      <x:c r="I1265" s="87" t="str">
        <x:v>ТР №4</x:v>
      </x:c>
      <x:c r="J1265" s="87" t="str">
        <x:v>БИ2510404</x:v>
      </x:c>
      <x:c r="K1265" s="87" t="n">
        <x:v>7</x:v>
      </x:c>
      <x:c r="L1265" s="87" t="str">
        <x:v>Наследование признаков человека</x:v>
      </x:c>
      <x:c r="M1265" s="30" t="str">
        <x:v>Выбрать признаки с аутосомным типом наследования.</x:v>
      </x:c>
      <x:c r="N1265" s="30" t="str">
        <x:v>136</x:v>
      </x:c>
      <x:c r="O1265" s="30" t="str">
        <x:v>Резус-фактор, группа крови и серповидноклеточная анемия определяются аутосомными генами.</x:v>
      </x:c>
      <x:c r="P1265" s="30" t="str">
        <x:v>Дальтонизм, гемофилия A и указанный ихтиоз сцеплены с X-хромосомой.</x:v>
      </x:c>
      <x:c r="Q1265" s="30"/>
      <x:c r="R1265" s="30" t="str">
        <x:v>PDF + открытый ответ 136</x:v>
      </x:c>
      <x:c r="S1265" s="30"/>
      <x:c r="T1265" s="30"/>
      <x:c r="U1265" s="30" t="str">
        <x:v>Расхождений не обнаружено.</x:v>
      </x:c>
      <x:c r="V1265" s="87" t="str">
        <x:v>VERIFIED</x:v>
      </x:c>
      <x:c r="W1265" s="87" t="str">
        <x:v>Полный PDF, задание 7</x:v>
      </x:c>
      <x:c r="X1265" s="87"/>
      <x:c r="Y1265" s="87"/>
      <x:c r="Z1265" s="87"/>
      <x:c r="AA1265" s="87"/>
      <x:c r="AB1265" s="87"/>
      <x:c r="AC1265" s="87"/>
      <x:c r="AD1265" s="87"/>
      <x:c r="AE1265" s="87"/>
      <x:c r="AF1265" s="87"/>
      <x:c r="AG1265" s="87"/>
      <x:c r="AH1265" s="87"/>
      <x:c r="AI1265" s="30"/>
      <x:c r="AJ1265" s="87" t="str">
        <x:v>master</x:v>
      </x:c>
      <x:c r="AK1265" s="87" t="str">
        <x:v>master-v0.81</x:v>
      </x:c>
      <x:c r="AL1265" s="87" t="str">
        <x:v>statgrad_master_base_v0_81_final(2).xlsx</x:v>
      </x:c>
      <x:c r="AM1265" s="87" t="str">
        <x:v>BIO_Mar_V4</x:v>
      </x:c>
      <x:c r="AN1265" s="87" t="n">
        <x:v>8</x:v>
      </x:c>
    </x:row>
    <x:row r="1266">
      <x:c r="A1266" s="87" t="n">
        <x:v>1265</x:v>
      </x:c>
      <x:c r="B1266" s="87" t="str">
        <x:v>MAR-BIO-V4-008</x:v>
      </x:c>
      <x:c r="C1266" s="87" t="str">
        <x:v>СтатГрад</x:v>
      </x:c>
      <x:c r="D1266" s="87" t="str">
        <x:v>Март 2026</x:v>
      </x:c>
      <x:c r="E1266" s="87"/>
      <x:c r="F1266" s="87"/>
      <x:c r="G1266" s="87" t="str">
        <x:v>Биология</x:v>
      </x:c>
      <x:c r="H1266" s="87" t="n">
        <x:v>11</x:v>
      </x:c>
      <x:c r="I1266" s="87" t="str">
        <x:v>ТР №4</x:v>
      </x:c>
      <x:c r="J1266" s="87" t="str">
        <x:v>БИ2510404</x:v>
      </x:c>
      <x:c r="K1266" s="87" t="n">
        <x:v>8</x:v>
      </x:c>
      <x:c r="L1266" s="87" t="str">
        <x:v>Овогенез</x:v>
      </x:c>
      <x:c r="M1266" s="30" t="str">
        <x:v>Расположить этапы овогенеза.</x:v>
      </x:c>
      <x:c r="N1266" s="30" t="str">
        <x:v>31524</x:v>
      </x:c>
      <x:c r="O1266" s="30" t="str">
        <x:v>Митоз оогониев → рост ооцита I → анафаза редукционного деления → первое полярное тельце → завершение созревания.</x:v>
      </x:c>
      <x:c r="P1266" s="30" t="str">
        <x:v>Стадии размножения, роста и созревания проверены.</x:v>
      </x:c>
      <x:c r="Q1266" s="30"/>
      <x:c r="R1266" s="30" t="str">
        <x:v>PDF + открытый ответ 31524</x:v>
      </x:c>
      <x:c r="S1266" s="30"/>
      <x:c r="T1266" s="30"/>
      <x:c r="U1266" s="30" t="str">
        <x:v>Расхождений не обнаружено.</x:v>
      </x:c>
      <x:c r="V1266" s="87" t="str">
        <x:v>VERIFIED</x:v>
      </x:c>
      <x:c r="W1266" s="87" t="str">
        <x:v>Полный PDF, задание 8</x:v>
      </x:c>
      <x:c r="X1266" s="87"/>
      <x:c r="Y1266" s="87"/>
      <x:c r="Z1266" s="87"/>
      <x:c r="AA1266" s="87"/>
      <x:c r="AB1266" s="87"/>
      <x:c r="AC1266" s="87"/>
      <x:c r="AD1266" s="87"/>
      <x:c r="AE1266" s="87"/>
      <x:c r="AF1266" s="87"/>
      <x:c r="AG1266" s="87"/>
      <x:c r="AH1266" s="87"/>
      <x:c r="AI1266" s="30"/>
      <x:c r="AJ1266" s="87" t="str">
        <x:v>master</x:v>
      </x:c>
      <x:c r="AK1266" s="87" t="str">
        <x:v>master-v0.81</x:v>
      </x:c>
      <x:c r="AL1266" s="87" t="str">
        <x:v>statgrad_master_base_v0_81_final(2).xlsx</x:v>
      </x:c>
      <x:c r="AM1266" s="87" t="str">
        <x:v>BIO_Mar_V4</x:v>
      </x:c>
      <x:c r="AN1266" s="87" t="n">
        <x:v>9</x:v>
      </x:c>
    </x:row>
    <x:row r="1267">
      <x:c r="A1267" s="87" t="n">
        <x:v>1266</x:v>
      </x:c>
      <x:c r="B1267" s="87" t="str">
        <x:v>MAR-BIO-V4-009</x:v>
      </x:c>
      <x:c r="C1267" s="87" t="str">
        <x:v>СтатГрад</x:v>
      </x:c>
      <x:c r="D1267" s="87" t="str">
        <x:v>Март 2026</x:v>
      </x:c>
      <x:c r="E1267" s="87"/>
      <x:c r="F1267" s="87"/>
      <x:c r="G1267" s="87" t="str">
        <x:v>Биология</x:v>
      </x:c>
      <x:c r="H1267" s="87" t="n">
        <x:v>11</x:v>
      </x:c>
      <x:c r="I1267" s="87" t="str">
        <x:v>ТР №4</x:v>
      </x:c>
      <x:c r="J1267" s="87" t="str">
        <x:v>БИ2510404</x:v>
      </x:c>
      <x:c r="K1267" s="87" t="n">
        <x:v>9</x:v>
      </x:c>
      <x:c r="L1267" s="87" t="str">
        <x:v>Жизненный цикл мха</x:v>
      </x:c>
      <x:c r="M1267" s="30" t="str">
        <x:v>Определить номер антеридия.</x:v>
      </x:c>
      <x:c r="N1267" s="30" t="str">
        <x:v>6</x:v>
      </x:c>
      <x:c r="O1267" s="30" t="str">
        <x:v>Мужской гаметангий мха — антеридий — обозначен цифрой 6.</x:v>
      </x:c>
      <x:c r="P1267" s="30" t="str">
        <x:v>Рисунок проверен визуально.</x:v>
      </x:c>
      <x:c r="Q1267" s="30"/>
      <x:c r="R1267" s="30" t="str">
        <x:v>PDF + открытый ответ 6</x:v>
      </x:c>
      <x:c r="S1267" s="30"/>
      <x:c r="T1267" s="30"/>
      <x:c r="U1267" s="30" t="str">
        <x:v>Расхождений не обнаружено.</x:v>
      </x:c>
      <x:c r="V1267" s="87" t="str">
        <x:v>VERIFIED</x:v>
      </x:c>
      <x:c r="W1267" s="87" t="str">
        <x:v>Полный PDF, задание 9</x:v>
      </x:c>
      <x:c r="X1267" s="87"/>
      <x:c r="Y1267" s="87"/>
      <x:c r="Z1267" s="87"/>
      <x:c r="AA1267" s="87"/>
      <x:c r="AB1267" s="87"/>
      <x:c r="AC1267" s="87"/>
      <x:c r="AD1267" s="87"/>
      <x:c r="AE1267" s="87"/>
      <x:c r="AF1267" s="87"/>
      <x:c r="AG1267" s="87"/>
      <x:c r="AH1267" s="87"/>
      <x:c r="AI1267" s="30"/>
      <x:c r="AJ1267" s="87" t="str">
        <x:v>master</x:v>
      </x:c>
      <x:c r="AK1267" s="87" t="str">
        <x:v>master-v0.81</x:v>
      </x:c>
      <x:c r="AL1267" s="87" t="str">
        <x:v>statgrad_master_base_v0_81_final(2).xlsx</x:v>
      </x:c>
      <x:c r="AM1267" s="87" t="str">
        <x:v>BIO_Mar_V4</x:v>
      </x:c>
      <x:c r="AN1267" s="87" t="n">
        <x:v>10</x:v>
      </x:c>
    </x:row>
    <x:row r="1268">
      <x:c r="A1268" s="87" t="n">
        <x:v>1267</x:v>
      </x:c>
      <x:c r="B1268" s="87" t="str">
        <x:v>MAR-BIO-V4-010</x:v>
      </x:c>
      <x:c r="C1268" s="87" t="str">
        <x:v>СтатГрад</x:v>
      </x:c>
      <x:c r="D1268" s="87" t="str">
        <x:v>Март 2026</x:v>
      </x:c>
      <x:c r="E1268" s="87"/>
      <x:c r="F1268" s="87"/>
      <x:c r="G1268" s="87" t="str">
        <x:v>Биология</x:v>
      </x:c>
      <x:c r="H1268" s="87" t="n">
        <x:v>11</x:v>
      </x:c>
      <x:c r="I1268" s="87" t="str">
        <x:v>ТР №4</x:v>
      </x:c>
      <x:c r="J1268" s="87" t="str">
        <x:v>БИ2510404</x:v>
      </x:c>
      <x:c r="K1268" s="87" t="n">
        <x:v>10</x:v>
      </x:c>
      <x:c r="L1268" s="87" t="str">
        <x:v>Жизненный цикл мха</x:v>
      </x:c>
      <x:c r="M1268" s="30" t="str">
        <x:v>Соотнести признаки гаметофита и спорофита, обозначенных 1 и 2.</x:v>
      </x:c>
      <x:c r="N1268" s="30" t="str">
        <x:v>111222</x:v>
      </x:c>
      <x:c r="O1268" s="30" t="str">
        <x:v>Гаметофит (1) имеет ризоиды, образует гаметы и развивается из споры; спорофит (2) диплоиден, развивается из зиготы и образует спорангий.</x:v>
      </x:c>
      <x:c r="P1268" s="30" t="str">
        <x:v>Наборы хромосом и происхождение поколений проверены.</x:v>
      </x:c>
      <x:c r="Q1268" s="30"/>
      <x:c r="R1268" s="30" t="str">
        <x:v>PDF + открытый ответ 111222</x:v>
      </x:c>
      <x:c r="S1268" s="30"/>
      <x:c r="T1268" s="30"/>
      <x:c r="U1268" s="30" t="str">
        <x:v>Расхождений не обнаружено.</x:v>
      </x:c>
      <x:c r="V1268" s="87" t="str">
        <x:v>VERIFIED</x:v>
      </x:c>
      <x:c r="W1268" s="87" t="str">
        <x:v>Полный PDF, задание 10</x:v>
      </x:c>
      <x:c r="X1268" s="87"/>
      <x:c r="Y1268" s="87"/>
      <x:c r="Z1268" s="87"/>
      <x:c r="AA1268" s="87"/>
      <x:c r="AB1268" s="87"/>
      <x:c r="AC1268" s="87"/>
      <x:c r="AD1268" s="87"/>
      <x:c r="AE1268" s="87"/>
      <x:c r="AF1268" s="87"/>
      <x:c r="AG1268" s="87"/>
      <x:c r="AH1268" s="87"/>
      <x:c r="AI1268" s="30"/>
      <x:c r="AJ1268" s="87" t="str">
        <x:v>master</x:v>
      </x:c>
      <x:c r="AK1268" s="87" t="str">
        <x:v>master-v0.81</x:v>
      </x:c>
      <x:c r="AL1268" s="87" t="str">
        <x:v>statgrad_master_base_v0_81_final(2).xlsx</x:v>
      </x:c>
      <x:c r="AM1268" s="87" t="str">
        <x:v>BIO_Mar_V4</x:v>
      </x:c>
      <x:c r="AN1268" s="87" t="n">
        <x:v>11</x:v>
      </x:c>
    </x:row>
    <x:row r="1269">
      <x:c r="A1269" s="87" t="n">
        <x:v>1268</x:v>
      </x:c>
      <x:c r="B1269" s="87" t="str">
        <x:v>MAR-BIO-V4-011</x:v>
      </x:c>
      <x:c r="C1269" s="87" t="str">
        <x:v>СтатГрад</x:v>
      </x:c>
      <x:c r="D1269" s="87" t="str">
        <x:v>Март 2026</x:v>
      </x:c>
      <x:c r="E1269" s="87"/>
      <x:c r="F1269" s="87"/>
      <x:c r="G1269" s="87" t="str">
        <x:v>Биология</x:v>
      </x:c>
      <x:c r="H1269" s="87" t="n">
        <x:v>11</x:v>
      </x:c>
      <x:c r="I1269" s="87" t="str">
        <x:v>ТР №4</x:v>
      </x:c>
      <x:c r="J1269" s="87" t="str">
        <x:v>БИ2510404</x:v>
      </x:c>
      <x:c r="K1269" s="87" t="n">
        <x:v>11</x:v>
      </x:c>
      <x:c r="L1269" s="87" t="str">
        <x:v>Зоология моллюсков</x:v>
      </x:c>
      <x:c r="M1269" s="30" t="str">
        <x:v>Выбрать признаки моллюсков, отличающие их от кишечнополостных.</x:v>
      </x:c>
      <x:c r="N1269" s="30" t="str">
        <x:v>145</x:v>
      </x:c>
      <x:c r="O1269" s="30" t="str">
        <x:v>У моллюсков есть незамкнутая кровеносная система, сквозной кишечник и органы дыхания — жабры или лёгкое.</x:v>
      </x:c>
      <x:c r="P1269" s="30" t="str">
        <x:v>Сетчатая нервная система и двухслойность характерны для кишечнополостных; метаморфоз встречается у обеих групп.</x:v>
      </x:c>
      <x:c r="Q1269" s="30"/>
      <x:c r="R1269" s="30" t="str">
        <x:v>Полный PDF + независимое решение</x:v>
      </x:c>
      <x:c r="S1269" s="30"/>
      <x:c r="T1269" s="30"/>
      <x:c r="U1269" s="30" t="str">
        <x:v>Расхождений не обнаружено.</x:v>
      </x:c>
      <x:c r="V1269" s="87" t="str">
        <x:v>VERIFIED</x:v>
      </x:c>
      <x:c r="W1269" s="87" t="str">
        <x:v>Полный PDF, задание 11</x:v>
      </x:c>
      <x:c r="X1269" s="87"/>
      <x:c r="Y1269" s="87"/>
      <x:c r="Z1269" s="87"/>
      <x:c r="AA1269" s="87"/>
      <x:c r="AB1269" s="87"/>
      <x:c r="AC1269" s="87"/>
      <x:c r="AD1269" s="87"/>
      <x:c r="AE1269" s="87"/>
      <x:c r="AF1269" s="87"/>
      <x:c r="AG1269" s="87"/>
      <x:c r="AH1269" s="87"/>
      <x:c r="AI1269" s="30"/>
      <x:c r="AJ1269" s="87" t="str">
        <x:v>master</x:v>
      </x:c>
      <x:c r="AK1269" s="87" t="str">
        <x:v>master-v0.81</x:v>
      </x:c>
      <x:c r="AL1269" s="87" t="str">
        <x:v>statgrad_master_base_v0_81_final(2).xlsx</x:v>
      </x:c>
      <x:c r="AM1269" s="87" t="str">
        <x:v>BIO_Mar_V4</x:v>
      </x:c>
      <x:c r="AN1269" s="87" t="n">
        <x:v>12</x:v>
      </x:c>
    </x:row>
    <x:row r="1270">
      <x:c r="A1270" s="87" t="n">
        <x:v>1269</x:v>
      </x:c>
      <x:c r="B1270" s="87" t="str">
        <x:v>MAR-BIO-V4-012</x:v>
      </x:c>
      <x:c r="C1270" s="87" t="str">
        <x:v>СтатГрад</x:v>
      </x:c>
      <x:c r="D1270" s="87" t="str">
        <x:v>Март 2026</x:v>
      </x:c>
      <x:c r="E1270" s="87"/>
      <x:c r="F1270" s="87"/>
      <x:c r="G1270" s="87" t="str">
        <x:v>Биология</x:v>
      </x:c>
      <x:c r="H1270" s="87" t="n">
        <x:v>11</x:v>
      </x:c>
      <x:c r="I1270" s="87" t="str">
        <x:v>ТР №4</x:v>
      </x:c>
      <x:c r="J1270" s="87" t="str">
        <x:v>БИ2510404</x:v>
      </x:c>
      <x:c r="K1270" s="87" t="n">
        <x:v>12</x:v>
      </x:c>
      <x:c r="L1270" s="87" t="str">
        <x:v>Систематика животных</x:v>
      </x:c>
      <x:c r="M1270" s="30" t="str">
        <x:v>Расположить группы бобра от самого низкого ранга к наиболее высокому.</x:v>
      </x:c>
      <x:c r="N1270" s="30" t="str">
        <x:v>423156</x:v>
      </x:c>
      <x:c r="O1270" s="30" t="str">
        <x:v>Бобр обыкновенный → Бобровые → Грызуны → Млекопитающие → Позвоночные → Хордовые.</x:v>
      </x:c>
      <x:c r="P1270" s="30" t="str">
        <x:v>Таксономические ранги проверены.</x:v>
      </x:c>
      <x:c r="Q1270" s="30"/>
      <x:c r="R1270" s="30" t="str">
        <x:v>Полный PDF + независимое решение</x:v>
      </x:c>
      <x:c r="S1270" s="30"/>
      <x:c r="T1270" s="30"/>
      <x:c r="U1270" s="30" t="str">
        <x:v>Расхождений не обнаружено.</x:v>
      </x:c>
      <x:c r="V1270" s="87" t="str">
        <x:v>VERIFIED</x:v>
      </x:c>
      <x:c r="W1270" s="87" t="str">
        <x:v>Полный PDF, задание 12</x:v>
      </x:c>
      <x:c r="X1270" s="87"/>
      <x:c r="Y1270" s="87"/>
      <x:c r="Z1270" s="87"/>
      <x:c r="AA1270" s="87"/>
      <x:c r="AB1270" s="87"/>
      <x:c r="AC1270" s="87"/>
      <x:c r="AD1270" s="87"/>
      <x:c r="AE1270" s="87"/>
      <x:c r="AF1270" s="87"/>
      <x:c r="AG1270" s="87"/>
      <x:c r="AH1270" s="87"/>
      <x:c r="AI1270" s="30"/>
      <x:c r="AJ1270" s="87" t="str">
        <x:v>master</x:v>
      </x:c>
      <x:c r="AK1270" s="87" t="str">
        <x:v>master-v0.81</x:v>
      </x:c>
      <x:c r="AL1270" s="87" t="str">
        <x:v>statgrad_master_base_v0_81_final(2).xlsx</x:v>
      </x:c>
      <x:c r="AM1270" s="87" t="str">
        <x:v>BIO_Mar_V4</x:v>
      </x:c>
      <x:c r="AN1270" s="87" t="n">
        <x:v>13</x:v>
      </x:c>
    </x:row>
    <x:row r="1271">
      <x:c r="A1271" s="87" t="n">
        <x:v>1270</x:v>
      </x:c>
      <x:c r="B1271" s="87" t="str">
        <x:v>MAR-BIO-V4-013</x:v>
      </x:c>
      <x:c r="C1271" s="87" t="str">
        <x:v>СтатГрад</x:v>
      </x:c>
      <x:c r="D1271" s="87" t="str">
        <x:v>Март 2026</x:v>
      </x:c>
      <x:c r="E1271" s="87"/>
      <x:c r="F1271" s="87"/>
      <x:c r="G1271" s="87" t="str">
        <x:v>Биология</x:v>
      </x:c>
      <x:c r="H1271" s="87" t="n">
        <x:v>11</x:v>
      </x:c>
      <x:c r="I1271" s="87" t="str">
        <x:v>ТР №4</x:v>
      </x:c>
      <x:c r="J1271" s="87" t="str">
        <x:v>БИ2510404</x:v>
      </x:c>
      <x:c r="K1271" s="87" t="n">
        <x:v>13</x:v>
      </x:c>
      <x:c r="L1271" s="87" t="str">
        <x:v>Кровеносная система человека</x:v>
      </x:c>
      <x:c r="M1271" s="30" t="str">
        <x:v>Определить номер подвздошной артерии.</x:v>
      </x:c>
      <x:c r="N1271" s="30" t="str">
        <x:v>8</x:v>
      </x:c>
      <x:c r="O1271" s="30" t="str">
        <x:v>Подвздошные артерии — ветви аорты в тазовой области; на рисунке обозначены цифрой 8.</x:v>
      </x:c>
      <x:c r="P1271" s="30" t="str">
        <x:v>Расположение сосудов проверено визуально.</x:v>
      </x:c>
      <x:c r="Q1271" s="30"/>
      <x:c r="R1271" s="30" t="str">
        <x:v>Полный PDF + визуальная проверка</x:v>
      </x:c>
      <x:c r="S1271" s="30"/>
      <x:c r="T1271" s="30"/>
      <x:c r="U1271" s="30" t="str">
        <x:v>Расхождений не обнаружено.</x:v>
      </x:c>
      <x:c r="V1271" s="87" t="str">
        <x:v>VERIFIED</x:v>
      </x:c>
      <x:c r="W1271" s="87" t="str">
        <x:v>Полный PDF, задание 13</x:v>
      </x:c>
      <x:c r="X1271" s="87"/>
      <x:c r="Y1271" s="87"/>
      <x:c r="Z1271" s="87"/>
      <x:c r="AA1271" s="87"/>
      <x:c r="AB1271" s="87"/>
      <x:c r="AC1271" s="87"/>
      <x:c r="AD1271" s="87"/>
      <x:c r="AE1271" s="87"/>
      <x:c r="AF1271" s="87"/>
      <x:c r="AG1271" s="87"/>
      <x:c r="AH1271" s="87"/>
      <x:c r="AI1271" s="30"/>
      <x:c r="AJ1271" s="87" t="str">
        <x:v>master</x:v>
      </x:c>
      <x:c r="AK1271" s="87" t="str">
        <x:v>master-v0.81</x:v>
      </x:c>
      <x:c r="AL1271" s="87" t="str">
        <x:v>statgrad_master_base_v0_81_final(2).xlsx</x:v>
      </x:c>
      <x:c r="AM1271" s="87" t="str">
        <x:v>BIO_Mar_V4</x:v>
      </x:c>
      <x:c r="AN1271" s="87" t="n">
        <x:v>14</x:v>
      </x:c>
    </x:row>
    <x:row r="1272">
      <x:c r="A1272" s="87" t="n">
        <x:v>1271</x:v>
      </x:c>
      <x:c r="B1272" s="87" t="str">
        <x:v>MAR-BIO-V4-014</x:v>
      </x:c>
      <x:c r="C1272" s="87" t="str">
        <x:v>СтатГрад</x:v>
      </x:c>
      <x:c r="D1272" s="87" t="str">
        <x:v>Март 2026</x:v>
      </x:c>
      <x:c r="E1272" s="87"/>
      <x:c r="F1272" s="87"/>
      <x:c r="G1272" s="87" t="str">
        <x:v>Биология</x:v>
      </x:c>
      <x:c r="H1272" s="87" t="n">
        <x:v>11</x:v>
      </x:c>
      <x:c r="I1272" s="87" t="str">
        <x:v>ТР №4</x:v>
      </x:c>
      <x:c r="J1272" s="87" t="str">
        <x:v>БИ2510404</x:v>
      </x:c>
      <x:c r="K1272" s="87" t="n">
        <x:v>14</x:v>
      </x:c>
      <x:c r="L1272" s="87" t="str">
        <x:v>Органы человека</x:v>
      </x:c>
      <x:c r="M1272" s="30" t="str">
        <x:v>Соотнести признаки желудка, трахеи и печени, обозначенных 1–3.</x:v>
      </x:c>
      <x:c r="N1272" s="30" t="str">
        <x:v>313221</x:v>
      </x:c>
      <x:c r="O1272" s="30" t="str">
        <x:v>Желудок (3) вырабатывает пепсин и соединён с пищеводом; трахея (1) имеет хрящи и мерцательный эпителий; печень (2) лежит справа и выделяет желчь.</x:v>
      </x:c>
      <x:c r="P1272" s="30" t="str">
        <x:v>Все шесть характеристик проверены по анатомии и физиологии.</x:v>
      </x:c>
      <x:c r="Q1272" s="30"/>
      <x:c r="R1272" s="30" t="str">
        <x:v>Полный PDF + независимое решение</x:v>
      </x:c>
      <x:c r="S1272" s="30"/>
      <x:c r="T1272" s="30"/>
      <x:c r="U1272" s="30" t="str">
        <x:v>Расхождений не обнаружено.</x:v>
      </x:c>
      <x:c r="V1272" s="87" t="str">
        <x:v>VERIFIED</x:v>
      </x:c>
      <x:c r="W1272" s="87" t="str">
        <x:v>Полный PDF, задание 14</x:v>
      </x:c>
      <x:c r="X1272" s="87"/>
      <x:c r="Y1272" s="87"/>
      <x:c r="Z1272" s="87"/>
      <x:c r="AA1272" s="87"/>
      <x:c r="AB1272" s="87"/>
      <x:c r="AC1272" s="87"/>
      <x:c r="AD1272" s="87"/>
      <x:c r="AE1272" s="87"/>
      <x:c r="AF1272" s="87"/>
      <x:c r="AG1272" s="87"/>
      <x:c r="AH1272" s="87"/>
      <x:c r="AI1272" s="30"/>
      <x:c r="AJ1272" s="87" t="str">
        <x:v>master</x:v>
      </x:c>
      <x:c r="AK1272" s="87" t="str">
        <x:v>master-v0.81</x:v>
      </x:c>
      <x:c r="AL1272" s="87" t="str">
        <x:v>statgrad_master_base_v0_81_final(2).xlsx</x:v>
      </x:c>
      <x:c r="AM1272" s="87" t="str">
        <x:v>BIO_Mar_V4</x:v>
      </x:c>
      <x:c r="AN1272" s="87" t="n">
        <x:v>15</x:v>
      </x:c>
    </x:row>
    <x:row r="1273">
      <x:c r="A1273" s="87" t="n">
        <x:v>1272</x:v>
      </x:c>
      <x:c r="B1273" s="87" t="str">
        <x:v>MAR-BIO-V4-015</x:v>
      </x:c>
      <x:c r="C1273" s="87" t="str">
        <x:v>СтатГрад</x:v>
      </x:c>
      <x:c r="D1273" s="87" t="str">
        <x:v>Март 2026</x:v>
      </x:c>
      <x:c r="E1273" s="87"/>
      <x:c r="F1273" s="87"/>
      <x:c r="G1273" s="87" t="str">
        <x:v>Биология</x:v>
      </x:c>
      <x:c r="H1273" s="87" t="n">
        <x:v>11</x:v>
      </x:c>
      <x:c r="I1273" s="87" t="str">
        <x:v>ТР №4</x:v>
      </x:c>
      <x:c r="J1273" s="87" t="str">
        <x:v>БИ2510404</x:v>
      </x:c>
      <x:c r="K1273" s="87" t="n">
        <x:v>15</x:v>
      </x:c>
      <x:c r="L1273" s="87" t="str">
        <x:v>Нервная и эндокринная регуляция</x:v>
      </x:c>
      <x:c r="M1273" s="30" t="str">
        <x:v>Выбрать функции гипоталамуса.</x:v>
      </x:c>
      <x:c r="N1273" s="30" t="str">
        <x:v>235</x:v>
      </x:c>
      <x:c r="O1273" s="30" t="str">
        <x:v>Гипоталамус участвует в терморегуляции, управляет автономной нервной системой и синтезирует вазопрессин.</x:v>
      </x:c>
      <x:c r="P1273" s="30" t="str">
        <x:v>Равновесие преимущественно обеспечивает мозжечок, тактильный анализ — кора, высшую нервную деятельность — большие полушария.</x:v>
      </x:c>
      <x:c r="Q1273" s="30"/>
      <x:c r="R1273" s="30" t="str">
        <x:v>Полный PDF + независимое решение</x:v>
      </x:c>
      <x:c r="S1273" s="30"/>
      <x:c r="T1273" s="30"/>
      <x:c r="U1273" s="30" t="str">
        <x:v>Расхождений не обнаружено.</x:v>
      </x:c>
      <x:c r="V1273" s="87" t="str">
        <x:v>VERIFIED</x:v>
      </x:c>
      <x:c r="W1273" s="87" t="str">
        <x:v>Полный PDF, задание 15</x:v>
      </x:c>
      <x:c r="X1273" s="87"/>
      <x:c r="Y1273" s="87"/>
      <x:c r="Z1273" s="87"/>
      <x:c r="AA1273" s="87"/>
      <x:c r="AB1273" s="87"/>
      <x:c r="AC1273" s="87"/>
      <x:c r="AD1273" s="87"/>
      <x:c r="AE1273" s="87"/>
      <x:c r="AF1273" s="87"/>
      <x:c r="AG1273" s="87"/>
      <x:c r="AH1273" s="87"/>
      <x:c r="AI1273" s="30"/>
      <x:c r="AJ1273" s="87" t="str">
        <x:v>master</x:v>
      </x:c>
      <x:c r="AK1273" s="87" t="str">
        <x:v>master-v0.81</x:v>
      </x:c>
      <x:c r="AL1273" s="87" t="str">
        <x:v>statgrad_master_base_v0_81_final(2).xlsx</x:v>
      </x:c>
      <x:c r="AM1273" s="87" t="str">
        <x:v>BIO_Mar_V4</x:v>
      </x:c>
      <x:c r="AN1273" s="87" t="n">
        <x:v>16</x:v>
      </x:c>
    </x:row>
    <x:row r="1274">
      <x:c r="A1274" s="87" t="n">
        <x:v>1273</x:v>
      </x:c>
      <x:c r="B1274" s="87" t="str">
        <x:v>MAR-BIO-V4-016</x:v>
      </x:c>
      <x:c r="C1274" s="87" t="str">
        <x:v>СтатГрад</x:v>
      </x:c>
      <x:c r="D1274" s="87" t="str">
        <x:v>Март 2026</x:v>
      </x:c>
      <x:c r="E1274" s="87"/>
      <x:c r="F1274" s="87"/>
      <x:c r="G1274" s="87" t="str">
        <x:v>Биология</x:v>
      </x:c>
      <x:c r="H1274" s="87" t="n">
        <x:v>11</x:v>
      </x:c>
      <x:c r="I1274" s="87" t="str">
        <x:v>ТР №4</x:v>
      </x:c>
      <x:c r="J1274" s="87" t="str">
        <x:v>БИ2510404</x:v>
      </x:c>
      <x:c r="K1274" s="87" t="n">
        <x:v>16</x:v>
      </x:c>
      <x:c r="L1274" s="87" t="str">
        <x:v>Уровни организации мышцы</x:v>
      </x:c>
      <x:c r="M1274" s="30" t="str">
        <x:v>Расположить элементы от крупнейшего к мельчайшему.</x:v>
      </x:c>
      <x:c r="N1274" s="30" t="str">
        <x:v>261345</x:v>
      </x:c>
      <x:c r="O1274" s="30" t="str">
        <x:v>Верхняя конечность → плечо → трицепс → мышечное волокно → миофибрилла → миозин.</x:v>
      </x:c>
      <x:c r="P1274" s="30" t="str">
        <x:v>Соподчинение анатомических и молекулярных структур проверено.</x:v>
      </x:c>
      <x:c r="Q1274" s="30"/>
      <x:c r="R1274" s="30" t="str">
        <x:v>Полный PDF + независимое решение</x:v>
      </x:c>
      <x:c r="S1274" s="30"/>
      <x:c r="T1274" s="30"/>
      <x:c r="U1274" s="30" t="str">
        <x:v>Расхождений не обнаружено.</x:v>
      </x:c>
      <x:c r="V1274" s="87" t="str">
        <x:v>VERIFIED</x:v>
      </x:c>
      <x:c r="W1274" s="87" t="str">
        <x:v>Полный PDF, задание 16</x:v>
      </x:c>
      <x:c r="X1274" s="87"/>
      <x:c r="Y1274" s="87"/>
      <x:c r="Z1274" s="87"/>
      <x:c r="AA1274" s="87"/>
      <x:c r="AB1274" s="87"/>
      <x:c r="AC1274" s="87"/>
      <x:c r="AD1274" s="87"/>
      <x:c r="AE1274" s="87"/>
      <x:c r="AF1274" s="87"/>
      <x:c r="AG1274" s="87"/>
      <x:c r="AH1274" s="87"/>
      <x:c r="AI1274" s="30"/>
      <x:c r="AJ1274" s="87" t="str">
        <x:v>master</x:v>
      </x:c>
      <x:c r="AK1274" s="87" t="str">
        <x:v>master-v0.81</x:v>
      </x:c>
      <x:c r="AL1274" s="87" t="str">
        <x:v>statgrad_master_base_v0_81_final(2).xlsx</x:v>
      </x:c>
      <x:c r="AM1274" s="87" t="str">
        <x:v>BIO_Mar_V4</x:v>
      </x:c>
      <x:c r="AN1274" s="87" t="n">
        <x:v>17</x:v>
      </x:c>
    </x:row>
    <x:row r="1275">
      <x:c r="A1275" s="87" t="n">
        <x:v>1274</x:v>
      </x:c>
      <x:c r="B1275" s="87" t="str">
        <x:v>MAR-BIO-V4-017</x:v>
      </x:c>
      <x:c r="C1275" s="87" t="str">
        <x:v>СтатГрад</x:v>
      </x:c>
      <x:c r="D1275" s="87" t="str">
        <x:v>Март 2026</x:v>
      </x:c>
      <x:c r="E1275" s="87"/>
      <x:c r="F1275" s="87"/>
      <x:c r="G1275" s="87" t="str">
        <x:v>Биология</x:v>
      </x:c>
      <x:c r="H1275" s="87" t="n">
        <x:v>11</x:v>
      </x:c>
      <x:c r="I1275" s="87" t="str">
        <x:v>ТР №4</x:v>
      </x:c>
      <x:c r="J1275" s="87" t="str">
        <x:v>БИ2510404</x:v>
      </x:c>
      <x:c r="K1275" s="87" t="n">
        <x:v>17</x:v>
      </x:c>
      <x:c r="L1275" s="87" t="str">
        <x:v>Дрейф генов</x:v>
      </x:c>
      <x:c r="M1275" s="30" t="str">
        <x:v>Выбрать предложения с примерами случайного изменения частот аллелей.</x:v>
      </x:c>
      <x:c r="N1275" s="30" t="str">
        <x:v>135</x:v>
      </x:c>
      <x:c r="O1275" s="30" t="str">
        <x:v>Пожар, эффект основателя на острове и случайная гибель носителей при наводнении не связаны с приспособительной ценностью аллелей.</x:v>
      </x:c>
      <x:c r="P1275" s="30" t="str">
        <x:v>Остальные примеры описывают естественный отбор.</x:v>
      </x:c>
      <x:c r="Q1275" s="30"/>
      <x:c r="R1275" s="30" t="str">
        <x:v>Полный PDF + независимое решение</x:v>
      </x:c>
      <x:c r="S1275" s="30"/>
      <x:c r="T1275" s="30"/>
      <x:c r="U1275" s="30" t="str">
        <x:v>Расхождений не обнаружено.</x:v>
      </x:c>
      <x:c r="V1275" s="87" t="str">
        <x:v>VERIFIED</x:v>
      </x:c>
      <x:c r="W1275" s="87" t="str">
        <x:v>Полный PDF, задание 17</x:v>
      </x:c>
      <x:c r="X1275" s="87"/>
      <x:c r="Y1275" s="87"/>
      <x:c r="Z1275" s="87"/>
      <x:c r="AA1275" s="87"/>
      <x:c r="AB1275" s="87"/>
      <x:c r="AC1275" s="87"/>
      <x:c r="AD1275" s="87"/>
      <x:c r="AE1275" s="87"/>
      <x:c r="AF1275" s="87"/>
      <x:c r="AG1275" s="87"/>
      <x:c r="AH1275" s="87"/>
      <x:c r="AI1275" s="30"/>
      <x:c r="AJ1275" s="87" t="str">
        <x:v>master</x:v>
      </x:c>
      <x:c r="AK1275" s="87" t="str">
        <x:v>master-v0.81</x:v>
      </x:c>
      <x:c r="AL1275" s="87" t="str">
        <x:v>statgrad_master_base_v0_81_final(2).xlsx</x:v>
      </x:c>
      <x:c r="AM1275" s="87" t="str">
        <x:v>BIO_Mar_V4</x:v>
      </x:c>
      <x:c r="AN1275" s="87" t="n">
        <x:v>18</x:v>
      </x:c>
    </x:row>
    <x:row r="1276">
      <x:c r="A1276" s="87" t="n">
        <x:v>1275</x:v>
      </x:c>
      <x:c r="B1276" s="87" t="str">
        <x:v>MAR-BIO-V4-018</x:v>
      </x:c>
      <x:c r="C1276" s="87" t="str">
        <x:v>СтатГрад</x:v>
      </x:c>
      <x:c r="D1276" s="87" t="str">
        <x:v>Март 2026</x:v>
      </x:c>
      <x:c r="E1276" s="87"/>
      <x:c r="F1276" s="87"/>
      <x:c r="G1276" s="87" t="str">
        <x:v>Биология</x:v>
      </x:c>
      <x:c r="H1276" s="87" t="n">
        <x:v>11</x:v>
      </x:c>
      <x:c r="I1276" s="87" t="str">
        <x:v>ТР №4</x:v>
      </x:c>
      <x:c r="J1276" s="87" t="str">
        <x:v>БИ2510404</x:v>
      </x:c>
      <x:c r="K1276" s="87" t="n">
        <x:v>18</x:v>
      </x:c>
      <x:c r="L1276" s="87" t="str">
        <x:v>Происхождение углеводородов</x:v>
      </x:c>
      <x:c r="M1276" s="30" t="str">
        <x:v>Выбрать примеры биогенного происхождения углеводородного сырья.</x:v>
      </x:c>
      <x:c r="N1276" s="30" t="str">
        <x:v>245</x:v>
      </x:c>
      <x:c r="O1276" s="30" t="str">
        <x:v>Нефть из планктона, каменный уголь из древних растений и торф из болотной растительности имеют биогенное происхождение.</x:v>
      </x:c>
      <x:c r="P1276" s="30" t="str">
        <x:v>Абиотические гипотезы и реакции минералов исключены.</x:v>
      </x:c>
      <x:c r="Q1276" s="30"/>
      <x:c r="R1276" s="30" t="str">
        <x:v>Полный PDF + независимое решение</x:v>
      </x:c>
      <x:c r="S1276" s="30"/>
      <x:c r="T1276" s="30"/>
      <x:c r="U1276" s="30" t="str">
        <x:v>Расхождений не обнаружено.</x:v>
      </x:c>
      <x:c r="V1276" s="87" t="str">
        <x:v>VERIFIED</x:v>
      </x:c>
      <x:c r="W1276" s="87" t="str">
        <x:v>Полный PDF, задание 18</x:v>
      </x:c>
      <x:c r="X1276" s="87"/>
      <x:c r="Y1276" s="87"/>
      <x:c r="Z1276" s="87"/>
      <x:c r="AA1276" s="87"/>
      <x:c r="AB1276" s="87"/>
      <x:c r="AC1276" s="87"/>
      <x:c r="AD1276" s="87"/>
      <x:c r="AE1276" s="87"/>
      <x:c r="AF1276" s="87"/>
      <x:c r="AG1276" s="87"/>
      <x:c r="AH1276" s="87"/>
      <x:c r="AI1276" s="30"/>
      <x:c r="AJ1276" s="87" t="str">
        <x:v>master</x:v>
      </x:c>
      <x:c r="AK1276" s="87" t="str">
        <x:v>master-v0.81</x:v>
      </x:c>
      <x:c r="AL1276" s="87" t="str">
        <x:v>statgrad_master_base_v0_81_final(2).xlsx</x:v>
      </x:c>
      <x:c r="AM1276" s="87" t="str">
        <x:v>BIO_Mar_V4</x:v>
      </x:c>
      <x:c r="AN1276" s="87" t="n">
        <x:v>19</x:v>
      </x:c>
    </x:row>
    <x:row r="1277">
      <x:c r="A1277" s="87" t="n">
        <x:v>1276</x:v>
      </x:c>
      <x:c r="B1277" s="87" t="str">
        <x:v>MAR-BIO-V4-019</x:v>
      </x:c>
      <x:c r="C1277" s="87" t="str">
        <x:v>СтатГрад</x:v>
      </x:c>
      <x:c r="D1277" s="87" t="str">
        <x:v>Март 2026</x:v>
      </x:c>
      <x:c r="E1277" s="87"/>
      <x:c r="F1277" s="87"/>
      <x:c r="G1277" s="87" t="str">
        <x:v>Биология</x:v>
      </x:c>
      <x:c r="H1277" s="87" t="n">
        <x:v>11</x:v>
      </x:c>
      <x:c r="I1277" s="87" t="str">
        <x:v>ТР №4</x:v>
      </x:c>
      <x:c r="J1277" s="87" t="str">
        <x:v>БИ2510404</x:v>
      </x:c>
      <x:c r="K1277" s="87" t="n">
        <x:v>19</x:v>
      </x:c>
      <x:c r="L1277" s="87" t="str">
        <x:v>Биомы суши</x:v>
      </x:c>
      <x:c r="M1277" s="30" t="str">
        <x:v>Соотнести признаки ковыльной степи и влажного тропического леса.</x:v>
      </x:c>
      <x:c r="N1277" s="30" t="str">
        <x:v>221121</x:v>
      </x:c>
      <x:c r="O1277" s="30" t="str">
        <x:v>Лесу свойственны древесные формы, эпифиты и ярусность; степи — злаки, ксерофиты и эфемероиды.</x:v>
      </x:c>
      <x:c r="P1277" s="30" t="str">
        <x:v>Все признаки проверены по климату и структуре фитоценозов.</x:v>
      </x:c>
      <x:c r="Q1277" s="30"/>
      <x:c r="R1277" s="30" t="str">
        <x:v>Полный PDF + независимое решение</x:v>
      </x:c>
      <x:c r="S1277" s="30"/>
      <x:c r="T1277" s="30"/>
      <x:c r="U1277" s="30" t="str">
        <x:v>Расхождений не обнаружено.</x:v>
      </x:c>
      <x:c r="V1277" s="87" t="str">
        <x:v>VERIFIED</x:v>
      </x:c>
      <x:c r="W1277" s="87" t="str">
        <x:v>Полный PDF, задание 19</x:v>
      </x:c>
      <x:c r="X1277" s="87"/>
      <x:c r="Y1277" s="87"/>
      <x:c r="Z1277" s="87"/>
      <x:c r="AA1277" s="87"/>
      <x:c r="AB1277" s="87"/>
      <x:c r="AC1277" s="87"/>
      <x:c r="AD1277" s="87"/>
      <x:c r="AE1277" s="87"/>
      <x:c r="AF1277" s="87"/>
      <x:c r="AG1277" s="87"/>
      <x:c r="AH1277" s="87"/>
      <x:c r="AI1277" s="30"/>
      <x:c r="AJ1277" s="87" t="str">
        <x:v>master</x:v>
      </x:c>
      <x:c r="AK1277" s="87" t="str">
        <x:v>master-v0.81</x:v>
      </x:c>
      <x:c r="AL1277" s="87" t="str">
        <x:v>statgrad_master_base_v0_81_final(2).xlsx</x:v>
      </x:c>
      <x:c r="AM1277" s="87" t="str">
        <x:v>BIO_Mar_V4</x:v>
      </x:c>
      <x:c r="AN1277" s="87" t="n">
        <x:v>20</x:v>
      </x:c>
    </x:row>
    <x:row r="1278">
      <x:c r="A1278" s="87" t="n">
        <x:v>1277</x:v>
      </x:c>
      <x:c r="B1278" s="87" t="str">
        <x:v>MAR-BIO-V4-020</x:v>
      </x:c>
      <x:c r="C1278" s="87" t="str">
        <x:v>СтатГрад</x:v>
      </x:c>
      <x:c r="D1278" s="87" t="str">
        <x:v>Март 2026</x:v>
      </x:c>
      <x:c r="E1278" s="87"/>
      <x:c r="F1278" s="87"/>
      <x:c r="G1278" s="87" t="str">
        <x:v>Биология</x:v>
      </x:c>
      <x:c r="H1278" s="87" t="n">
        <x:v>11</x:v>
      </x:c>
      <x:c r="I1278" s="87" t="str">
        <x:v>ТР №4</x:v>
      </x:c>
      <x:c r="J1278" s="87" t="str">
        <x:v>БИ2510404</x:v>
      </x:c>
      <x:c r="K1278" s="87" t="n">
        <x:v>20</x:v>
      </x:c>
      <x:c r="L1278" s="87" t="str">
        <x:v>Видообразование</x:v>
      </x:c>
      <x:c r="M1278" s="30" t="str">
        <x:v>По карте распространения Anisotremus определить тип, причину и аналогичный пример.</x:v>
      </x:c>
      <x:c r="N1278" s="30" t="str">
        <x:v>843</x:v>
      </x:c>
      <x:c r="O1278" s="30" t="str">
        <x:v>Формирование Панамского перешейка создало физическую преграду и вызвало аллопатрическое видообразование; аналогичен разрыв ареалов орангутанов Суматры и Калимантана.</x:v>
      </x:c>
      <x:c r="P1278" s="30" t="str">
        <x:v>Карта и список элементов сопоставлены независимо.</x:v>
      </x:c>
      <x:c r="Q1278" s="30"/>
      <x:c r="R1278" s="30" t="str">
        <x:v>Полный PDF + визуальная проверка</x:v>
      </x:c>
      <x:c r="S1278" s="30"/>
      <x:c r="T1278" s="30"/>
      <x:c r="U1278" s="30" t="str">
        <x:v>Расхождений не обнаружено.</x:v>
      </x:c>
      <x:c r="V1278" s="87" t="str">
        <x:v>VERIFIED</x:v>
      </x:c>
      <x:c r="W1278" s="87" t="str">
        <x:v>Полный PDF, задание 20</x:v>
      </x:c>
      <x:c r="X1278" s="87"/>
      <x:c r="Y1278" s="87"/>
      <x:c r="Z1278" s="87"/>
      <x:c r="AA1278" s="87"/>
      <x:c r="AB1278" s="87"/>
      <x:c r="AC1278" s="87"/>
      <x:c r="AD1278" s="87"/>
      <x:c r="AE1278" s="87"/>
      <x:c r="AF1278" s="87"/>
      <x:c r="AG1278" s="87"/>
      <x:c r="AH1278" s="87"/>
      <x:c r="AI1278" s="30"/>
      <x:c r="AJ1278" s="87" t="str">
        <x:v>master</x:v>
      </x:c>
      <x:c r="AK1278" s="87" t="str">
        <x:v>master-v0.81</x:v>
      </x:c>
      <x:c r="AL1278" s="87" t="str">
        <x:v>statgrad_master_base_v0_81_final(2).xlsx</x:v>
      </x:c>
      <x:c r="AM1278" s="87" t="str">
        <x:v>BIO_Mar_V4</x:v>
      </x:c>
      <x:c r="AN1278" s="87" t="n">
        <x:v>21</x:v>
      </x:c>
    </x:row>
    <x:row r="1279">
      <x:c r="A1279" s="87" t="n">
        <x:v>1278</x:v>
      </x:c>
      <x:c r="B1279" s="87" t="str">
        <x:v>MAR-BIO-V4-021</x:v>
      </x:c>
      <x:c r="C1279" s="87" t="str">
        <x:v>СтатГрад</x:v>
      </x:c>
      <x:c r="D1279" s="87" t="str">
        <x:v>Март 2026</x:v>
      </x:c>
      <x:c r="E1279" s="87"/>
      <x:c r="F1279" s="87"/>
      <x:c r="G1279" s="87" t="str">
        <x:v>Биология</x:v>
      </x:c>
      <x:c r="H1279" s="87" t="n">
        <x:v>11</x:v>
      </x:c>
      <x:c r="I1279" s="87" t="str">
        <x:v>ТР №4</x:v>
      </x:c>
      <x:c r="J1279" s="87" t="str">
        <x:v>БИ2510404</x:v>
      </x:c>
      <x:c r="K1279" s="87" t="n">
        <x:v>21</x:v>
      </x:c>
      <x:c r="L1279" s="87" t="str">
        <x:v>Анализ графиков популяций</x:v>
      </x:c>
      <x:c r="M1279" s="30" t="str">
        <x:v>Выбрать выводы из зависимости рождаемости от плотности у синиц и дафний.</x:v>
      </x:c>
      <x:c r="N1279" s="30" t="str">
        <x:v>15</x:v>
      </x:c>
      <x:c r="O1279" s="30" t="str">
        <x:v>При низкой плотности кривая дафний резко возрастает относительно линейной зависимости; в разреженной популяции синицы приносят до 10 потомков. Нулевая рождаемость, смертность и риск вымирания графиками не показаны.</x:v>
      </x:c>
      <x:c r="P1279" s="30" t="str">
        <x:v>Каждое утверждение проверено только по данным осей и кривых.</x:v>
      </x:c>
      <x:c r="Q1279" s="30"/>
      <x:c r="R1279" s="30" t="str">
        <x:v>Полный PDF + независимый анализ</x:v>
      </x:c>
      <x:c r="S1279" s="30"/>
      <x:c r="T1279" s="30"/>
      <x:c r="U1279" s="30" t="str">
        <x:v>Расхождений не обнаружено.</x:v>
      </x:c>
      <x:c r="V1279" s="87" t="str">
        <x:v>VERIFIED</x:v>
      </x:c>
      <x:c r="W1279" s="87" t="str">
        <x:v>Полный PDF, задание 21</x:v>
      </x:c>
      <x:c r="X1279" s="87"/>
      <x:c r="Y1279" s="87"/>
      <x:c r="Z1279" s="87"/>
      <x:c r="AA1279" s="87"/>
      <x:c r="AB1279" s="87"/>
      <x:c r="AC1279" s="87"/>
      <x:c r="AD1279" s="87"/>
      <x:c r="AE1279" s="87"/>
      <x:c r="AF1279" s="87"/>
      <x:c r="AG1279" s="87"/>
      <x:c r="AH1279" s="87"/>
      <x:c r="AI1279" s="30"/>
      <x:c r="AJ1279" s="87" t="str">
        <x:v>master</x:v>
      </x:c>
      <x:c r="AK1279" s="87" t="str">
        <x:v>master-v0.81</x:v>
      </x:c>
      <x:c r="AL1279" s="87" t="str">
        <x:v>statgrad_master_base_v0_81_final(2).xlsx</x:v>
      </x:c>
      <x:c r="AM1279" s="87" t="str">
        <x:v>BIO_Mar_V4</x:v>
      </x:c>
      <x:c r="AN1279" s="87" t="n">
        <x:v>22</x:v>
      </x:c>
    </x:row>
    <x:row r="1280">
      <x:c r="A1280" s="87" t="n">
        <x:v>1279</x:v>
      </x:c>
      <x:c r="B1280" s="87" t="str">
        <x:v>MAR-BIO-V4-022</x:v>
      </x:c>
      <x:c r="C1280" s="87" t="str">
        <x:v>СтатГрад</x:v>
      </x:c>
      <x:c r="D1280" s="87" t="str">
        <x:v>Март 2026</x:v>
      </x:c>
      <x:c r="E1280" s="87"/>
      <x:c r="F1280" s="87"/>
      <x:c r="G1280" s="87" t="str">
        <x:v>Биология</x:v>
      </x:c>
      <x:c r="H1280" s="87" t="n">
        <x:v>11</x:v>
      </x:c>
      <x:c r="I1280" s="87" t="str">
        <x:v>ТР №4</x:v>
      </x:c>
      <x:c r="J1280" s="87" t="str">
        <x:v>БИ2510404</x:v>
      </x:c>
      <x:c r="K1280" s="87" t="n">
        <x:v>22</x:v>
      </x:c>
      <x:c r="L1280" s="87" t="str">
        <x:v>Развёрнутый ответ: планирование эксперимента</x:v>
      </x:c>
      <x:c r="M1280" s="30" t="str">
        <x:v>Сформулировать нулевую гипотезу; объяснить использование культуры клеток и единственного вида.</x:v>
      </x:c>
      <x:c r="N1280" s="30" t="str">
        <x:v>Нулевая гипотеза: количество инфузорий у катода не зависит от концентрации ЭДТА. Культура повышает достоверность и снижает влияние индивидуальной изменчивости. Разные виды могут неодинаково реагировать на ЭДТА и электрическое поле, поэтому зависимость нельзя было бы выделить однозначно.</x:v>
      </x:c>
      <x:c r="O1280" s="30" t="str">
        <x:v>Ответ охватывает гипотезу, повторность и контроль видовой принадлежности.</x:v>
      </x:c>
      <x:c r="P1280" s="30" t="str">
        <x:v>Модель сопоставлена с опубликованными критериями.</x:v>
      </x:c>
      <x:c r="Q1280" s="30"/>
      <x:c r="R1280" s="30" t="str">
        <x:v>Степенин: БИ2510402, задание 22</x:v>
      </x:c>
      <x:c r="S1280" s="30"/>
      <x:c r="T1280" s="30"/>
      <x:c r="U1280" s="30" t="str">
        <x:v>Расхождений не обнаружено.</x:v>
      </x:c>
      <x:c r="V1280" s="87" t="str">
        <x:v>VERIFIED</x:v>
      </x:c>
      <x:c r="W1280" s="87" t="str">
        <x:v>Полный PDF, задание 22</x:v>
      </x:c>
      <x:c r="X1280" s="87"/>
      <x:c r="Y1280" s="87"/>
      <x:c r="Z1280" s="87"/>
      <x:c r="AA1280" s="87"/>
      <x:c r="AB1280" s="87"/>
      <x:c r="AC1280" s="87"/>
      <x:c r="AD1280" s="87"/>
      <x:c r="AE1280" s="87"/>
      <x:c r="AF1280" s="87"/>
      <x:c r="AG1280" s="87"/>
      <x:c r="AH1280" s="87"/>
      <x:c r="AI1280" s="30"/>
      <x:c r="AJ1280" s="87" t="str">
        <x:v>master</x:v>
      </x:c>
      <x:c r="AK1280" s="87" t="str">
        <x:v>master-v0.81</x:v>
      </x:c>
      <x:c r="AL1280" s="87" t="str">
        <x:v>statgrad_master_base_v0_81_final(2).xlsx</x:v>
      </x:c>
      <x:c r="AM1280" s="87" t="str">
        <x:v>BIO_Mar_V4</x:v>
      </x:c>
      <x:c r="AN1280" s="87" t="n">
        <x:v>23</x:v>
      </x:c>
    </x:row>
    <x:row r="1281">
      <x:c r="A1281" s="87" t="n">
        <x:v>1280</x:v>
      </x:c>
      <x:c r="B1281" s="87" t="str">
        <x:v>MAR-BIO-V4-023</x:v>
      </x:c>
      <x:c r="C1281" s="87" t="str">
        <x:v>СтатГрад</x:v>
      </x:c>
      <x:c r="D1281" s="87" t="str">
        <x:v>Март 2026</x:v>
      </x:c>
      <x:c r="E1281" s="87"/>
      <x:c r="F1281" s="87"/>
      <x:c r="G1281" s="87" t="str">
        <x:v>Биология</x:v>
      </x:c>
      <x:c r="H1281" s="87" t="n">
        <x:v>11</x:v>
      </x:c>
      <x:c r="I1281" s="87" t="str">
        <x:v>ТР №4</x:v>
      </x:c>
      <x:c r="J1281" s="87" t="str">
        <x:v>БИ2510404</x:v>
      </x:c>
      <x:c r="K1281" s="87" t="n">
        <x:v>23</x:v>
      </x:c>
      <x:c r="L1281" s="87" t="str">
        <x:v>Развёрнутый ответ: мембранный потенциал</x:v>
      </x:c>
      <x:c r="M1281" s="30" t="str">
        <x:v>Определить индуцированный заряд переднего конца; прогноз для дистиллированной воды и назначение фильтровальной бумаги.</x:v>
      </x:c>
      <x:c r="N1281" s="30" t="str">
        <x:v>На переднем конце индуцируется положительный заряд. В дистиллированной воде движение замедлится или нарушится: отсутствуют свободные ионы Ca²⁺, а гипотоничность вызывает осмотический стресс и изменение мембранного потенциала. Фильтровальная бумага защищает клетки от контакта с электродами и продуктами электролиза, исключая химический градиент.</x:v>
      </x:c>
      <x:c r="O1281" s="30" t="str">
        <x:v>Связаны роль Ca²⁺-каналов, осмотические условия и изоляция электродов.</x:v>
      </x:c>
      <x:c r="P1281" s="30" t="str">
        <x:v>Модель сопоставлена с опубликованными критериями.</x:v>
      </x:c>
      <x:c r="Q1281" s="30"/>
      <x:c r="R1281" s="30" t="str">
        <x:v>Степенин: БИ2510402, задание 23</x:v>
      </x:c>
      <x:c r="S1281" s="30"/>
      <x:c r="T1281" s="30"/>
      <x:c r="U1281" s="30" t="str">
        <x:v>Расхождений не обнаружено.</x:v>
      </x:c>
      <x:c r="V1281" s="87" t="str">
        <x:v>VERIFIED</x:v>
      </x:c>
      <x:c r="W1281" s="87" t="str">
        <x:v>Полный PDF, задание 23</x:v>
      </x:c>
      <x:c r="X1281" s="87"/>
      <x:c r="Y1281" s="87"/>
      <x:c r="Z1281" s="87"/>
      <x:c r="AA1281" s="87"/>
      <x:c r="AB1281" s="87"/>
      <x:c r="AC1281" s="87"/>
      <x:c r="AD1281" s="87"/>
      <x:c r="AE1281" s="87"/>
      <x:c r="AF1281" s="87"/>
      <x:c r="AG1281" s="87"/>
      <x:c r="AH1281" s="87"/>
      <x:c r="AI1281" s="30"/>
      <x:c r="AJ1281" s="87" t="str">
        <x:v>master</x:v>
      </x:c>
      <x:c r="AK1281" s="87" t="str">
        <x:v>master-v0.81</x:v>
      </x:c>
      <x:c r="AL1281" s="87" t="str">
        <x:v>statgrad_master_base_v0_81_final(2).xlsx</x:v>
      </x:c>
      <x:c r="AM1281" s="87" t="str">
        <x:v>BIO_Mar_V4</x:v>
      </x:c>
      <x:c r="AN1281" s="87" t="n">
        <x:v>24</x:v>
      </x:c>
    </x:row>
    <x:row r="1282">
      <x:c r="A1282" s="87" t="n">
        <x:v>1281</x:v>
      </x:c>
      <x:c r="B1282" s="87" t="str">
        <x:v>MAR-BIO-V4-024</x:v>
      </x:c>
      <x:c r="C1282" s="87" t="str">
        <x:v>СтатГрад</x:v>
      </x:c>
      <x:c r="D1282" s="87" t="str">
        <x:v>Март 2026</x:v>
      </x:c>
      <x:c r="E1282" s="87"/>
      <x:c r="F1282" s="87"/>
      <x:c r="G1282" s="87" t="str">
        <x:v>Биология</x:v>
      </x:c>
      <x:c r="H1282" s="87" t="n">
        <x:v>11</x:v>
      </x:c>
      <x:c r="I1282" s="87" t="str">
        <x:v>ТР №4</x:v>
      </x:c>
      <x:c r="J1282" s="87" t="str">
        <x:v>БИ2510404</x:v>
      </x:c>
      <x:c r="K1282" s="87" t="n">
        <x:v>24</x:v>
      </x:c>
      <x:c r="L1282" s="87" t="str">
        <x:v>Развёрнутый ответ: гаметогенез</x:v>
      </x:c>
      <x:c r="M1282" s="30" t="str">
        <x:v>По схеме определить аномальную гамету, причину аномалии, пол и кариотип зиготы.</x:v>
      </x:c>
      <x:c r="N1282" s="30" t="str">
        <x:v>Аномальной была сперматозоидная гамета с XY. Причина — нерасхождение половых хроматид во втором делении мейоза. После оплодотворения нормальной X-яйцеклетки формируется мужской эмбрион XYY: 44 аутосомы и три половые хромосомы.</x:v>
      </x:c>
      <x:c r="O1282" s="30" t="str">
        <x:v>Y-хромосомы могут поступить только со сперматозоидом; набор XYY однозначно определяет мужской пол.</x:v>
      </x:c>
      <x:c r="P1282" s="30" t="str">
        <x:v>Модель сопоставлена с опубликованными критериями.</x:v>
      </x:c>
      <x:c r="Q1282" s="30"/>
      <x:c r="R1282" s="30" t="str">
        <x:v>Степенин: БИ2510401, задание 24</x:v>
      </x:c>
      <x:c r="S1282" s="30"/>
      <x:c r="T1282" s="30"/>
      <x:c r="U1282" s="30" t="str">
        <x:v>Расхождений не обнаружено.</x:v>
      </x:c>
      <x:c r="V1282" s="87" t="str">
        <x:v>VERIFIED</x:v>
      </x:c>
      <x:c r="W1282" s="87" t="str">
        <x:v>Полный PDF, задание 24</x:v>
      </x:c>
      <x:c r="X1282" s="87"/>
      <x:c r="Y1282" s="87"/>
      <x:c r="Z1282" s="87"/>
      <x:c r="AA1282" s="87"/>
      <x:c r="AB1282" s="87"/>
      <x:c r="AC1282" s="87"/>
      <x:c r="AD1282" s="87"/>
      <x:c r="AE1282" s="87"/>
      <x:c r="AF1282" s="87"/>
      <x:c r="AG1282" s="87"/>
      <x:c r="AH1282" s="87"/>
      <x:c r="AI1282" s="30"/>
      <x:c r="AJ1282" s="87" t="str">
        <x:v>master</x:v>
      </x:c>
      <x:c r="AK1282" s="87" t="str">
        <x:v>master-v0.81</x:v>
      </x:c>
      <x:c r="AL1282" s="87" t="str">
        <x:v>statgrad_master_base_v0_81_final(2).xlsx</x:v>
      </x:c>
      <x:c r="AM1282" s="87" t="str">
        <x:v>BIO_Mar_V4</x:v>
      </x:c>
      <x:c r="AN1282" s="87" t="n">
        <x:v>25</x:v>
      </x:c>
    </x:row>
    <x:row r="1283">
      <x:c r="A1283" s="87" t="n">
        <x:v>1282</x:v>
      </x:c>
      <x:c r="B1283" s="87" t="str">
        <x:v>MAR-BIO-V4-025</x:v>
      </x:c>
      <x:c r="C1283" s="87" t="str">
        <x:v>СтатГрад</x:v>
      </x:c>
      <x:c r="D1283" s="87" t="str">
        <x:v>Март 2026</x:v>
      </x:c>
      <x:c r="E1283" s="87"/>
      <x:c r="F1283" s="87"/>
      <x:c r="G1283" s="87" t="str">
        <x:v>Биология</x:v>
      </x:c>
      <x:c r="H1283" s="87" t="n">
        <x:v>11</x:v>
      </x:c>
      <x:c r="I1283" s="87" t="str">
        <x:v>ТР №4</x:v>
      </x:c>
      <x:c r="J1283" s="87" t="str">
        <x:v>БИ2510404</x:v>
      </x:c>
      <x:c r="K1283" s="87" t="n">
        <x:v>25</x:v>
      </x:c>
      <x:c r="L1283" s="87" t="str">
        <x:v>Развёрнутый ответ: термогенез растений</x:v>
      </x:c>
      <x:c r="M1283" s="30" t="str">
        <x:v>Объяснить нагрев репродуктивных органов саговников и роль альтернативной оксидазы.</x:v>
      </x:c>
      <x:c r="N1283" s="30" t="str">
        <x:v>Репродуктивные органы — шишки (стробилы); нагрев помогает привлекать опылителей. В термогенной ткани много митохондрий, где идёт интенсивное дыхание. Альтернативная оксидаза восстанавливает O₂ без создания протонного градиента, АТФ-синтаза не запасает энергию в АТФ, поэтому энергия рассеивается как тепло.</x:v>
      </x:c>
      <x:c r="O1283" s="30" t="str">
        <x:v>Допустимо также указание амилопластов как запаса крахмала — субстрата дыхания.</x:v>
      </x:c>
      <x:c r="P1283" s="30" t="str">
        <x:v>Модель сопоставлена с опубликованными критериями.</x:v>
      </x:c>
      <x:c r="Q1283" s="30"/>
      <x:c r="R1283" s="30" t="str">
        <x:v>Степенин: БИ2510401, задание 25</x:v>
      </x:c>
      <x:c r="S1283" s="30"/>
      <x:c r="T1283" s="30"/>
      <x:c r="U1283" s="30" t="str">
        <x:v>Расхождений не обнаружено.</x:v>
      </x:c>
      <x:c r="V1283" s="87" t="str">
        <x:v>VERIFIED</x:v>
      </x:c>
      <x:c r="W1283" s="87" t="str">
        <x:v>Полный PDF, задание 25</x:v>
      </x:c>
      <x:c r="X1283" s="87"/>
      <x:c r="Y1283" s="87"/>
      <x:c r="Z1283" s="87"/>
      <x:c r="AA1283" s="87"/>
      <x:c r="AB1283" s="87"/>
      <x:c r="AC1283" s="87"/>
      <x:c r="AD1283" s="87"/>
      <x:c r="AE1283" s="87"/>
      <x:c r="AF1283" s="87"/>
      <x:c r="AG1283" s="87"/>
      <x:c r="AH1283" s="87"/>
      <x:c r="AI1283" s="30"/>
      <x:c r="AJ1283" s="87" t="str">
        <x:v>master</x:v>
      </x:c>
      <x:c r="AK1283" s="87" t="str">
        <x:v>master-v0.81</x:v>
      </x:c>
      <x:c r="AL1283" s="87" t="str">
        <x:v>statgrad_master_base_v0_81_final(2).xlsx</x:v>
      </x:c>
      <x:c r="AM1283" s="87" t="str">
        <x:v>BIO_Mar_V4</x:v>
      </x:c>
      <x:c r="AN1283" s="87" t="n">
        <x:v>26</x:v>
      </x:c>
    </x:row>
    <x:row r="1284">
      <x:c r="A1284" s="87" t="n">
        <x:v>1283</x:v>
      </x:c>
      <x:c r="B1284" s="87" t="str">
        <x:v>MAR-BIO-V4-026</x:v>
      </x:c>
      <x:c r="C1284" s="87" t="str">
        <x:v>СтатГрад</x:v>
      </x:c>
      <x:c r="D1284" s="87" t="str">
        <x:v>Март 2026</x:v>
      </x:c>
      <x:c r="E1284" s="87"/>
      <x:c r="F1284" s="87"/>
      <x:c r="G1284" s="87" t="str">
        <x:v>Биология</x:v>
      </x:c>
      <x:c r="H1284" s="87" t="n">
        <x:v>11</x:v>
      </x:c>
      <x:c r="I1284" s="87" t="str">
        <x:v>ТР №4</x:v>
      </x:c>
      <x:c r="J1284" s="87" t="str">
        <x:v>БИ2510404</x:v>
      </x:c>
      <x:c r="K1284" s="87" t="n">
        <x:v>26</x:v>
      </x:c>
      <x:c r="L1284" s="87" t="str">
        <x:v>Развёрнутый ответ: социальный иммунитет</x:v>
      </x:c>
      <x:c r="M1284" s="30" t="str">
        <x:v>Объяснить обнаружение и уничтожение заражённых куколок муравьями и усиление такого поведения у общественных видов.</x:v>
      </x:c>
      <x:c r="N1284" s="30" t="str">
        <x:v>Заражённых куколок распознают по запаху/химическим сигналам и уничтожают, чтобы остановить инфекцию. В колонии заражение распространяется быстрее из-за высокой плотности и замкнутого тёплого влажного гнезда; генетически близкие особи сходно восприимчивы, а выживание колонии важнее отдельной особи.</x:v>
      </x:c>
      <x:c r="O1284" s="30" t="str">
        <x:v>Приведены требуемая цель и не менее двух самостоятельных причин.</x:v>
      </x:c>
      <x:c r="P1284" s="30" t="str">
        <x:v>Модель сопоставлена с опубликованными критериями.</x:v>
      </x:c>
      <x:c r="Q1284" s="30"/>
      <x:c r="R1284" s="30" t="str">
        <x:v>Степенин: БИ2510401, задание 26</x:v>
      </x:c>
      <x:c r="S1284" s="30"/>
      <x:c r="T1284" s="30"/>
      <x:c r="U1284" s="30" t="str">
        <x:v>Расхождений не обнаружено.</x:v>
      </x:c>
      <x:c r="V1284" s="87" t="str">
        <x:v>VERIFIED</x:v>
      </x:c>
      <x:c r="W1284" s="87" t="str">
        <x:v>Полный PDF, задание 26</x:v>
      </x:c>
      <x:c r="X1284" s="87"/>
      <x:c r="Y1284" s="87"/>
      <x:c r="Z1284" s="87"/>
      <x:c r="AA1284" s="87"/>
      <x:c r="AB1284" s="87"/>
      <x:c r="AC1284" s="87"/>
      <x:c r="AD1284" s="87"/>
      <x:c r="AE1284" s="87"/>
      <x:c r="AF1284" s="87"/>
      <x:c r="AG1284" s="87"/>
      <x:c r="AH1284" s="87"/>
      <x:c r="AI1284" s="30"/>
      <x:c r="AJ1284" s="87" t="str">
        <x:v>master</x:v>
      </x:c>
      <x:c r="AK1284" s="87" t="str">
        <x:v>master-v0.81</x:v>
      </x:c>
      <x:c r="AL1284" s="87" t="str">
        <x:v>statgrad_master_base_v0_81_final(2).xlsx</x:v>
      </x:c>
      <x:c r="AM1284" s="87" t="str">
        <x:v>BIO_Mar_V4</x:v>
      </x:c>
      <x:c r="AN1284" s="87" t="n">
        <x:v>27</x:v>
      </x:c>
    </x:row>
    <x:row r="1285">
      <x:c r="A1285" s="87" t="n">
        <x:v>1284</x:v>
      </x:c>
      <x:c r="B1285" s="87" t="str">
        <x:v>MAR-BIO-V4-027</x:v>
      </x:c>
      <x:c r="C1285" s="87" t="str">
        <x:v>СтатГрад</x:v>
      </x:c>
      <x:c r="D1285" s="87" t="str">
        <x:v>Март 2026</x:v>
      </x:c>
      <x:c r="E1285" s="87"/>
      <x:c r="F1285" s="87"/>
      <x:c r="G1285" s="87" t="str">
        <x:v>Биология</x:v>
      </x:c>
      <x:c r="H1285" s="87" t="n">
        <x:v>11</x:v>
      </x:c>
      <x:c r="I1285" s="87" t="str">
        <x:v>ТР №4</x:v>
      </x:c>
      <x:c r="J1285" s="87" t="str">
        <x:v>БИ2510404</x:v>
      </x:c>
      <x:c r="K1285" s="87" t="n">
        <x:v>27</x:v>
      </x:c>
      <x:c r="L1285" s="87" t="str">
        <x:v>Развёрнутый ответ: закон Харди—Вайнберга</x:v>
      </x:c>
      <x:c r="M1285" s="30" t="str">
        <x:v>Рассчитать исходные частоты аллелей/фенотипов и частоты фенотипов после гибели 20% AA.</x:v>
      </x:c>
      <x:c r="N1285" s="30" t="str">
        <x:v>Исходно aa=400/10000=0,04; q(a)=0,2; p(A)=0,8; AA=p²=0,64; Aa=2pq=0,32. После отбора остаётся AA=0,64·0,8=0,512, Aa=0,32, aa=0,04; всего 0,872. Новые частоты: однотонные AA=0,5872; слабые полосы Aa=0,3670; яркие полосы aa=0,0459.</x:v>
      </x:c>
      <x:c r="O1285" s="30" t="str">
        <x:v>Сумма нормированных частот равна 1 с учётом округления.</x:v>
      </x:c>
      <x:c r="P1285" s="30" t="str">
        <x:v>Модель сопоставлена с опубликованным решением.</x:v>
      </x:c>
      <x:c r="Q1285" s="30"/>
      <x:c r="R1285" s="30" t="str">
        <x:v>Степенин: БИ2510401, задание 27</x:v>
      </x:c>
      <x:c r="S1285" s="30"/>
      <x:c r="T1285" s="30"/>
      <x:c r="U1285" s="30" t="str">
        <x:v>Расхождений не обнаружено.</x:v>
      </x:c>
      <x:c r="V1285" s="87" t="str">
        <x:v>VERIFIED</x:v>
      </x:c>
      <x:c r="W1285" s="87" t="str">
        <x:v>Полный PDF, задание 27</x:v>
      </x:c>
      <x:c r="X1285" s="87"/>
      <x:c r="Y1285" s="87"/>
      <x:c r="Z1285" s="87"/>
      <x:c r="AA1285" s="87"/>
      <x:c r="AB1285" s="87"/>
      <x:c r="AC1285" s="87"/>
      <x:c r="AD1285" s="87"/>
      <x:c r="AE1285" s="87"/>
      <x:c r="AF1285" s="87"/>
      <x:c r="AG1285" s="87"/>
      <x:c r="AH1285" s="87"/>
      <x:c r="AI1285" s="30"/>
      <x:c r="AJ1285" s="87" t="str">
        <x:v>master</x:v>
      </x:c>
      <x:c r="AK1285" s="87" t="str">
        <x:v>master-v0.81</x:v>
      </x:c>
      <x:c r="AL1285" s="87" t="str">
        <x:v>statgrad_master_base_v0_81_final(2).xlsx</x:v>
      </x:c>
      <x:c r="AM1285" s="87" t="str">
        <x:v>BIO_Mar_V4</x:v>
      </x:c>
      <x:c r="AN1285" s="87" t="n">
        <x:v>28</x:v>
      </x:c>
    </x:row>
    <x:row r="1286">
      <x:c r="A1286" s="87" t="n">
        <x:v>1285</x:v>
      </x:c>
      <x:c r="B1286" s="87" t="str">
        <x:v>MAR-BIO-V4-028</x:v>
      </x:c>
      <x:c r="C1286" s="87" t="str">
        <x:v>СтатГрад</x:v>
      </x:c>
      <x:c r="D1286" s="87" t="str">
        <x:v>Март 2026</x:v>
      </x:c>
      <x:c r="E1286" s="87"/>
      <x:c r="F1286" s="87"/>
      <x:c r="G1286" s="87" t="str">
        <x:v>Биология</x:v>
      </x:c>
      <x:c r="H1286" s="87" t="n">
        <x:v>11</x:v>
      </x:c>
      <x:c r="I1286" s="87" t="str">
        <x:v>ТР №4</x:v>
      </x:c>
      <x:c r="J1286" s="87" t="str">
        <x:v>БИ2510404</x:v>
      </x:c>
      <x:c r="K1286" s="87" t="n">
        <x:v>28</x:v>
      </x:c>
      <x:c r="L1286" s="87" t="str">
        <x:v>Развёрнутый ответ: полимерия</x:v>
      </x:c>
      <x:c r="M1286" s="30" t="str">
        <x:v>Составить два скрещивания по удойности северных оленей и объяснить ряд 1:4:6:4:1.</x:v>
      </x:c>
      <x:c r="N1286" s="30" t="str">
        <x:v>P: A₁A₁A₂A₂ (240 л) × a₁a₁a₂a₂ (160 л) → F₁ A₁a₁A₂a₂ (200 л). F₁×F₁ даёт пять классов: 1 особь с 4 доминантными аллелями — 240 л; 4 с 3 — 220 л; 6 с 2 — 200 л; 4 с 1 — 180 л; 1 без доминантных — 160 л. Каждый доминантный аллель добавляет 20 л.</x:v>
      </x:c>
      <x:c r="O1286" s="30" t="str">
        <x:v>Генотипические классы соответствуют биномиальным коэффициентам 1:4:6:4:1.</x:v>
      </x:c>
      <x:c r="P1286" s="30" t="str">
        <x:v>Модель сопоставлена с опубликованным решением.</x:v>
      </x:c>
      <x:c r="Q1286" s="30"/>
      <x:c r="R1286" s="30" t="str">
        <x:v>Степенин: БИ2510401, задание 28</x:v>
      </x:c>
      <x:c r="S1286" s="30"/>
      <x:c r="T1286" s="30"/>
      <x:c r="U1286" s="30" t="str">
        <x:v>Расхождений не обнаружено.</x:v>
      </x:c>
      <x:c r="V1286" s="87" t="str">
        <x:v>VERIFIED</x:v>
      </x:c>
      <x:c r="W1286" s="87" t="str">
        <x:v>Полный PDF, задание 28</x:v>
      </x:c>
      <x:c r="X1286" s="87"/>
      <x:c r="Y1286" s="87"/>
      <x:c r="Z1286" s="87"/>
      <x:c r="AA1286" s="87"/>
      <x:c r="AB1286" s="87"/>
      <x:c r="AC1286" s="87"/>
      <x:c r="AD1286" s="87"/>
      <x:c r="AE1286" s="87"/>
      <x:c r="AF1286" s="87"/>
      <x:c r="AG1286" s="87"/>
      <x:c r="AH1286" s="87"/>
      <x:c r="AI1286" s="30"/>
      <x:c r="AJ1286" s="87" t="str">
        <x:v>master</x:v>
      </x:c>
      <x:c r="AK1286" s="87" t="str">
        <x:v>master-v0.81</x:v>
      </x:c>
      <x:c r="AL1286" s="87" t="str">
        <x:v>statgrad_master_base_v0_81_final(2).xlsx</x:v>
      </x:c>
      <x:c r="AM1286" s="87" t="str">
        <x:v>BIO_Mar_V4</x:v>
      </x:c>
      <x:c r="AN1286" s="87" t="n">
        <x:v>29</x:v>
      </x:c>
    </x:row>
    <x:row r="1287">
      <x:c r="A1287" s="87" t="n">
        <x:v>1286</x:v>
      </x:c>
      <x:c r="B1287" s="87" t="str">
        <x:v>MAR-RUS-V1-001</x:v>
      </x:c>
      <x:c r="C1287" s="87" t="str">
        <x:v>СтатГрад</x:v>
      </x:c>
      <x:c r="D1287" s="87" t="str">
        <x:v>Март 2026</x:v>
      </x:c>
      <x:c r="E1287" s="87"/>
      <x:c r="F1287" s="87"/>
      <x:c r="G1287" s="87" t="str">
        <x:v>Русский язык</x:v>
      </x:c>
      <x:c r="H1287" s="87" t="n">
        <x:v>11</x:v>
      </x:c>
      <x:c r="I1287" s="87" t="str">
        <x:v>Диагностическая работа №2</x:v>
      </x:c>
      <x:c r="J1287" s="87" t="str">
        <x:v>РЯ2510601</x:v>
      </x:c>
      <x:c r="K1287" s="87" t="n">
        <x:v>1</x:v>
      </x:c>
      <x:c r="L1287" s="87" t="str">
        <x:v>Средства связи предложений</x:v>
      </x:c>
      <x:c r="M1287" s="30" t="str">
        <x:v>Подобрать местоимённое наречие в финале миниатюры И. С. Тургенева «Нищий».</x:v>
      </x:c>
      <x:c r="N1287" s="30" t="str">
        <x:v>тогда</x:v>
      </x:c>
      <x:c r="O1287" s="30" t="str">
        <x:v>Наречие «тогда» указывает на момент осознания рассказчиком смысла взаимного подаяния.</x:v>
      </x:c>
      <x:c r="P1287" s="30" t="str">
        <x:v>Наречие «тогда» указывает на момент осознания рассказчиком смысла взаимного подаяния.</x:v>
      </x:c>
      <x:c r="Q1287" s="30"/>
      <x:c r="R1287" s="30" t="str">
        <x:v>PDF + открытый ключ + независимая проверка</x:v>
      </x:c>
      <x:c r="S1287" s="30"/>
      <x:c r="T1287" s="30"/>
      <x:c r="U1287" s="30" t="str">
        <x:v>Расхождений не обнаружено.</x:v>
      </x:c>
      <x:c r="V1287" s="87" t="str">
        <x:v>VERIFIED</x:v>
      </x:c>
      <x:c r="W1287" s="87" t="str">
        <x:v>PDF, задание 1</x:v>
      </x:c>
      <x:c r="X1287" s="87"/>
      <x:c r="Y1287" s="87"/>
      <x:c r="Z1287" s="87"/>
      <x:c r="AA1287" s="87"/>
      <x:c r="AB1287" s="87"/>
      <x:c r="AC1287" s="87"/>
      <x:c r="AD1287" s="87"/>
      <x:c r="AE1287" s="87"/>
      <x:c r="AF1287" s="87"/>
      <x:c r="AG1287" s="87"/>
      <x:c r="AH1287" s="87"/>
      <x:c r="AI1287" s="30"/>
      <x:c r="AJ1287" s="87" t="str">
        <x:v>master</x:v>
      </x:c>
      <x:c r="AK1287" s="87" t="str">
        <x:v>master-v0.81</x:v>
      </x:c>
      <x:c r="AL1287" s="87" t="str">
        <x:v>statgrad_master_base_v0_81_final(2).xlsx</x:v>
      </x:c>
      <x:c r="AM1287" s="87" t="str">
        <x:v>RUS_Mar_V1</x:v>
      </x:c>
      <x:c r="AN1287" s="87" t="n">
        <x:v>2</x:v>
      </x:c>
    </x:row>
    <x:row r="1288">
      <x:c r="A1288" s="87" t="n">
        <x:v>1287</x:v>
      </x:c>
      <x:c r="B1288" s="87" t="str">
        <x:v>MAR-RUS-V1-002</x:v>
      </x:c>
      <x:c r="C1288" s="87" t="str">
        <x:v>СтатГрад</x:v>
      </x:c>
      <x:c r="D1288" s="87" t="str">
        <x:v>Март 2026</x:v>
      </x:c>
      <x:c r="E1288" s="87"/>
      <x:c r="F1288" s="87"/>
      <x:c r="G1288" s="87" t="str">
        <x:v>Русский язык</x:v>
      </x:c>
      <x:c r="H1288" s="87" t="n">
        <x:v>11</x:v>
      </x:c>
      <x:c r="I1288" s="87" t="str">
        <x:v>Диагностическая работа №2</x:v>
      </x:c>
      <x:c r="J1288" s="87" t="str">
        <x:v>РЯ2510601</x:v>
      </x:c>
      <x:c r="K1288" s="87" t="n">
        <x:v>2</x:v>
      </x:c>
      <x:c r="L1288" s="87" t="str">
        <x:v>Лексическое значение</x:v>
      </x:c>
      <x:c r="M1288" s="30" t="str">
        <x:v>Выбрать слова, толкования которых соответствуют контексту текста «Нищий».</x:v>
      </x:c>
      <x:c r="N1288" s="30" t="str">
        <x:v>345</x:v>
      </x:c>
      <x:c r="O1288" s="30" t="str">
        <x:v>«Шарить» — искать перебирая; «грязный» — покрытый грязью; «стиснуть» — крепко сжать.</x:v>
      </x:c>
      <x:c r="P1288" s="30" t="str">
        <x:v>«Шарить» — искать перебирая; «грязный» — покрытый грязью; «стиснуть» — крепко сжать.</x:v>
      </x:c>
      <x:c r="Q1288" s="30"/>
      <x:c r="R1288" s="30" t="str">
        <x:v>PDF + открытый ключ + независимая проверка</x:v>
      </x:c>
      <x:c r="S1288" s="30"/>
      <x:c r="T1288" s="30"/>
      <x:c r="U1288" s="30" t="str">
        <x:v>Расхождений не обнаружено.</x:v>
      </x:c>
      <x:c r="V1288" s="87" t="str">
        <x:v>VERIFIED</x:v>
      </x:c>
      <x:c r="W1288" s="87" t="str">
        <x:v>PDF, задание 2</x:v>
      </x:c>
      <x:c r="X1288" s="87"/>
      <x:c r="Y1288" s="87"/>
      <x:c r="Z1288" s="87"/>
      <x:c r="AA1288" s="87"/>
      <x:c r="AB1288" s="87"/>
      <x:c r="AC1288" s="87"/>
      <x:c r="AD1288" s="87"/>
      <x:c r="AE1288" s="87"/>
      <x:c r="AF1288" s="87"/>
      <x:c r="AG1288" s="87"/>
      <x:c r="AH1288" s="87"/>
      <x:c r="AI1288" s="30"/>
      <x:c r="AJ1288" s="87" t="str">
        <x:v>master</x:v>
      </x:c>
      <x:c r="AK1288" s="87" t="str">
        <x:v>master-v0.81</x:v>
      </x:c>
      <x:c r="AL1288" s="87" t="str">
        <x:v>statgrad_master_base_v0_81_final(2).xlsx</x:v>
      </x:c>
      <x:c r="AM1288" s="87" t="str">
        <x:v>RUS_Mar_V1</x:v>
      </x:c>
      <x:c r="AN1288" s="87" t="n">
        <x:v>3</x:v>
      </x:c>
    </x:row>
    <x:row r="1289">
      <x:c r="A1289" s="87" t="n">
        <x:v>1288</x:v>
      </x:c>
      <x:c r="B1289" s="87" t="str">
        <x:v>MAR-RUS-V1-003</x:v>
      </x:c>
      <x:c r="C1289" s="87" t="str">
        <x:v>СтатГрад</x:v>
      </x:c>
      <x:c r="D1289" s="87" t="str">
        <x:v>Март 2026</x:v>
      </x:c>
      <x:c r="E1289" s="87"/>
      <x:c r="F1289" s="87"/>
      <x:c r="G1289" s="87" t="str">
        <x:v>Русский язык</x:v>
      </x:c>
      <x:c r="H1289" s="87" t="n">
        <x:v>11</x:v>
      </x:c>
      <x:c r="I1289" s="87" t="str">
        <x:v>Диагностическая работа №2</x:v>
      </x:c>
      <x:c r="J1289" s="87" t="str">
        <x:v>РЯ2510601</x:v>
      </x:c>
      <x:c r="K1289" s="87" t="n">
        <x:v>3</x:v>
      </x:c>
      <x:c r="L1289" s="87" t="str">
        <x:v>Стилистический анализ</x:v>
      </x:c>
      <x:c r="M1289" s="30" t="str">
        <x:v>Выбрать верные характеристики художественного текста И. С. Тургенева.</x:v>
      </x:c>
      <x:c r="N1289" s="30" t="str">
        <x:v>15</x:v>
      </x:c>
      <x:c r="O1289" s="30" t="str">
        <x:v>Текст относится к художественной речи и воздействует эмоционально; в нём действительно использованы средства выразительности.</x:v>
      </x:c>
      <x:c r="P1289" s="30" t="str">
        <x:v>Текст относится к художественной речи и воздействует эмоционально; в нём действительно использованы средства выразительности.</x:v>
      </x:c>
      <x:c r="Q1289" s="30"/>
      <x:c r="R1289" s="30" t="str">
        <x:v>PDF + открытый ключ + независимая проверка</x:v>
      </x:c>
      <x:c r="S1289" s="30"/>
      <x:c r="T1289" s="30"/>
      <x:c r="U1289" s="30" t="str">
        <x:v>Расхождений не обнаружено.</x:v>
      </x:c>
      <x:c r="V1289" s="87" t="str">
        <x:v>VERIFIED</x:v>
      </x:c>
      <x:c r="W1289" s="87" t="str">
        <x:v>PDF, задание 3</x:v>
      </x:c>
      <x:c r="X1289" s="87"/>
      <x:c r="Y1289" s="87"/>
      <x:c r="Z1289" s="87"/>
      <x:c r="AA1289" s="87"/>
      <x:c r="AB1289" s="87"/>
      <x:c r="AC1289" s="87"/>
      <x:c r="AD1289" s="87"/>
      <x:c r="AE1289" s="87"/>
      <x:c r="AF1289" s="87"/>
      <x:c r="AG1289" s="87"/>
      <x:c r="AH1289" s="87"/>
      <x:c r="AI1289" s="30"/>
      <x:c r="AJ1289" s="87" t="str">
        <x:v>master</x:v>
      </x:c>
      <x:c r="AK1289" s="87" t="str">
        <x:v>master-v0.81</x:v>
      </x:c>
      <x:c r="AL1289" s="87" t="str">
        <x:v>statgrad_master_base_v0_81_final(2).xlsx</x:v>
      </x:c>
      <x:c r="AM1289" s="87" t="str">
        <x:v>RUS_Mar_V1</x:v>
      </x:c>
      <x:c r="AN1289" s="87" t="n">
        <x:v>4</x:v>
      </x:c>
    </x:row>
    <x:row r="1290">
      <x:c r="A1290" s="87" t="n">
        <x:v>1289</x:v>
      </x:c>
      <x:c r="B1290" s="87" t="str">
        <x:v>MAR-RUS-V1-004</x:v>
      </x:c>
      <x:c r="C1290" s="87" t="str">
        <x:v>СтатГрад</x:v>
      </x:c>
      <x:c r="D1290" s="87" t="str">
        <x:v>Март 2026</x:v>
      </x:c>
      <x:c r="E1290" s="87"/>
      <x:c r="F1290" s="87"/>
      <x:c r="G1290" s="87" t="str">
        <x:v>Русский язык</x:v>
      </x:c>
      <x:c r="H1290" s="87" t="n">
        <x:v>11</x:v>
      </x:c>
      <x:c r="I1290" s="87" t="str">
        <x:v>Диагностическая работа №2</x:v>
      </x:c>
      <x:c r="J1290" s="87" t="str">
        <x:v>РЯ2510601</x:v>
      </x:c>
      <x:c r="K1290" s="87" t="n">
        <x:v>4</x:v>
      </x:c>
      <x:c r="L1290" s="87" t="str">
        <x:v>Орфоэпия</x:v>
      </x:c>
      <x:c r="M1290" s="30" t="str">
        <x:v>Выбрать слова с верно обозначенным ударением.</x:v>
      </x:c>
      <x:c r="N1290" s="30" t="str">
        <x:v>245</x:v>
      </x:c>
      <x:c r="O1290" s="30" t="str">
        <x:v>Нормативно: Иксы, кремнЯ, ободрИт.</x:v>
      </x:c>
      <x:c r="P1290" s="30" t="str">
        <x:v>Нормативно: Иксы, кремнЯ, ободрИт.</x:v>
      </x:c>
      <x:c r="Q1290" s="30"/>
      <x:c r="R1290" s="30" t="str">
        <x:v>PDF + открытый ключ + независимая проверка</x:v>
      </x:c>
      <x:c r="S1290" s="30"/>
      <x:c r="T1290" s="30"/>
      <x:c r="U1290" s="30" t="str">
        <x:v>Расхождений не обнаружено.</x:v>
      </x:c>
      <x:c r="V1290" s="87" t="str">
        <x:v>VERIFIED</x:v>
      </x:c>
      <x:c r="W1290" s="87" t="str">
        <x:v>PDF, задание 4</x:v>
      </x:c>
      <x:c r="X1290" s="87"/>
      <x:c r="Y1290" s="87"/>
      <x:c r="Z1290" s="87"/>
      <x:c r="AA1290" s="87"/>
      <x:c r="AB1290" s="87"/>
      <x:c r="AC1290" s="87"/>
      <x:c r="AD1290" s="87"/>
      <x:c r="AE1290" s="87"/>
      <x:c r="AF1290" s="87"/>
      <x:c r="AG1290" s="87"/>
      <x:c r="AH1290" s="87"/>
      <x:c r="AI1290" s="30"/>
      <x:c r="AJ1290" s="87" t="str">
        <x:v>master</x:v>
      </x:c>
      <x:c r="AK1290" s="87" t="str">
        <x:v>master-v0.81</x:v>
      </x:c>
      <x:c r="AL1290" s="87" t="str">
        <x:v>statgrad_master_base_v0_81_final(2).xlsx</x:v>
      </x:c>
      <x:c r="AM1290" s="87" t="str">
        <x:v>RUS_Mar_V1</x:v>
      </x:c>
      <x:c r="AN1290" s="87" t="n">
        <x:v>5</x:v>
      </x:c>
    </x:row>
    <x:row r="1291">
      <x:c r="A1291" s="87" t="n">
        <x:v>1290</x:v>
      </x:c>
      <x:c r="B1291" s="87" t="str">
        <x:v>MAR-RUS-V1-005</x:v>
      </x:c>
      <x:c r="C1291" s="87" t="str">
        <x:v>СтатГрад</x:v>
      </x:c>
      <x:c r="D1291" s="87" t="str">
        <x:v>Март 2026</x:v>
      </x:c>
      <x:c r="E1291" s="87"/>
      <x:c r="F1291" s="87"/>
      <x:c r="G1291" s="87" t="str">
        <x:v>Русский язык</x:v>
      </x:c>
      <x:c r="H1291" s="87" t="n">
        <x:v>11</x:v>
      </x:c>
      <x:c r="I1291" s="87" t="str">
        <x:v>Диагностическая работа №2</x:v>
      </x:c>
      <x:c r="J1291" s="87" t="str">
        <x:v>РЯ2510601</x:v>
      </x:c>
      <x:c r="K1291" s="87" t="n">
        <x:v>5</x:v>
      </x:c>
      <x:c r="L1291" s="87" t="str">
        <x:v>Паронимы</x:v>
      </x:c>
      <x:c r="M1291" s="30" t="str">
        <x:v>Исправить сочетание «конный топот».</x:v>
      </x:c>
      <x:c r="N1291" s="30" t="str">
        <x:v>конский</x:v>
      </x:c>
      <x:c r="O1291" s="30" t="str">
        <x:v>Топот называют конским; «конный» означает связанный с верховой ездой или кавалерией.</x:v>
      </x:c>
      <x:c r="P1291" s="30" t="str">
        <x:v>Топот называют конским; «конный» означает связанный с верховой ездой или кавалерией.</x:v>
      </x:c>
      <x:c r="Q1291" s="30"/>
      <x:c r="R1291" s="30" t="str">
        <x:v>PDF + открытый ключ + независимая проверка</x:v>
      </x:c>
      <x:c r="S1291" s="30"/>
      <x:c r="T1291" s="30"/>
      <x:c r="U1291" s="30" t="str">
        <x:v>Расхождений не обнаружено.</x:v>
      </x:c>
      <x:c r="V1291" s="87" t="str">
        <x:v>VERIFIED</x:v>
      </x:c>
      <x:c r="W1291" s="87" t="str">
        <x:v>PDF, задание 5</x:v>
      </x:c>
      <x:c r="X1291" s="87"/>
      <x:c r="Y1291" s="87"/>
      <x:c r="Z1291" s="87"/>
      <x:c r="AA1291" s="87"/>
      <x:c r="AB1291" s="87"/>
      <x:c r="AC1291" s="87"/>
      <x:c r="AD1291" s="87"/>
      <x:c r="AE1291" s="87"/>
      <x:c r="AF1291" s="87"/>
      <x:c r="AG1291" s="87"/>
      <x:c r="AH1291" s="87"/>
      <x:c r="AI1291" s="30"/>
      <x:c r="AJ1291" s="87" t="str">
        <x:v>master</x:v>
      </x:c>
      <x:c r="AK1291" s="87" t="str">
        <x:v>master-v0.81</x:v>
      </x:c>
      <x:c r="AL1291" s="87" t="str">
        <x:v>statgrad_master_base_v0_81_final(2).xlsx</x:v>
      </x:c>
      <x:c r="AM1291" s="87" t="str">
        <x:v>RUS_Mar_V1</x:v>
      </x:c>
      <x:c r="AN1291" s="87" t="n">
        <x:v>6</x:v>
      </x:c>
    </x:row>
    <x:row r="1292">
      <x:c r="A1292" s="87" t="n">
        <x:v>1291</x:v>
      </x:c>
      <x:c r="B1292" s="87" t="str">
        <x:v>MAR-RUS-V1-006</x:v>
      </x:c>
      <x:c r="C1292" s="87" t="str">
        <x:v>СтатГрад</x:v>
      </x:c>
      <x:c r="D1292" s="87" t="str">
        <x:v>Март 2026</x:v>
      </x:c>
      <x:c r="E1292" s="87"/>
      <x:c r="F1292" s="87"/>
      <x:c r="G1292" s="87" t="str">
        <x:v>Русский язык</x:v>
      </x:c>
      <x:c r="H1292" s="87" t="n">
        <x:v>11</x:v>
      </x:c>
      <x:c r="I1292" s="87" t="str">
        <x:v>Диагностическая работа №2</x:v>
      </x:c>
      <x:c r="J1292" s="87" t="str">
        <x:v>РЯ2510601</x:v>
      </x:c>
      <x:c r="K1292" s="87" t="n">
        <x:v>6</x:v>
      </x:c>
      <x:c r="L1292" s="87" t="str">
        <x:v>Лексическая избыточность</x:v>
      </x:c>
      <x:c r="M1292" s="30" t="str">
        <x:v>Устранить плеоназм «зря потратил много времени впустую».</x:v>
      </x:c>
      <x:c r="N1292" s="30" t="str">
        <x:v>впустую (допустимо: зря)</x:v>
      </x:c>
      <x:c r="O1292" s="30" t="str">
        <x:v>Слова «зря» и «впустую» дублируют значение; достаточно исключить одно из них.</x:v>
      </x:c>
      <x:c r="P1292" s="30" t="str">
        <x:v>Слова «зря» и «впустую» дублируют значение; достаточно исключить одно из них.</x:v>
      </x:c>
      <x:c r="Q1292" s="30"/>
      <x:c r="R1292" s="30" t="str">
        <x:v>Открытые ключи допускают два равнозначных исправления.</x:v>
      </x:c>
      <x:c r="S1292" s="30"/>
      <x:c r="T1292" s="30"/>
      <x:c r="U1292" s="30" t="str">
        <x:v>В разных публикациях указан один из двух равноправных ответов.</x:v>
      </x:c>
      <x:c r="V1292" s="87" t="str">
        <x:v>VERIFIED</x:v>
      </x:c>
      <x:c r="W1292" s="87" t="str">
        <x:v>PDF, задание 6</x:v>
      </x:c>
      <x:c r="X1292" s="87"/>
      <x:c r="Y1292" s="87"/>
      <x:c r="Z1292" s="87"/>
      <x:c r="AA1292" s="87"/>
      <x:c r="AB1292" s="87"/>
      <x:c r="AC1292" s="87"/>
      <x:c r="AD1292" s="87"/>
      <x:c r="AE1292" s="87"/>
      <x:c r="AF1292" s="87"/>
      <x:c r="AG1292" s="87"/>
      <x:c r="AH1292" s="87"/>
      <x:c r="AI1292" s="30"/>
      <x:c r="AJ1292" s="87" t="str">
        <x:v>master</x:v>
      </x:c>
      <x:c r="AK1292" s="87" t="str">
        <x:v>master-v0.81</x:v>
      </x:c>
      <x:c r="AL1292" s="87" t="str">
        <x:v>statgrad_master_base_v0_81_final(2).xlsx</x:v>
      </x:c>
      <x:c r="AM1292" s="87" t="str">
        <x:v>RUS_Mar_V1</x:v>
      </x:c>
      <x:c r="AN1292" s="87" t="n">
        <x:v>7</x:v>
      </x:c>
    </x:row>
    <x:row r="1293">
      <x:c r="A1293" s="87" t="n">
        <x:v>1292</x:v>
      </x:c>
      <x:c r="B1293" s="87" t="str">
        <x:v>MAR-RUS-V1-007</x:v>
      </x:c>
      <x:c r="C1293" s="87" t="str">
        <x:v>СтатГрад</x:v>
      </x:c>
      <x:c r="D1293" s="87" t="str">
        <x:v>Март 2026</x:v>
      </x:c>
      <x:c r="E1293" s="87"/>
      <x:c r="F1293" s="87"/>
      <x:c r="G1293" s="87" t="str">
        <x:v>Русский язык</x:v>
      </x:c>
      <x:c r="H1293" s="87" t="n">
        <x:v>11</x:v>
      </x:c>
      <x:c r="I1293" s="87" t="str">
        <x:v>Диагностическая работа №2</x:v>
      </x:c>
      <x:c r="J1293" s="87" t="str">
        <x:v>РЯ2510601</x:v>
      </x:c>
      <x:c r="K1293" s="87" t="n">
        <x:v>7</x:v>
      </x:c>
      <x:c r="L1293" s="87" t="str">
        <x:v>Морфологические нормы</x:v>
      </x:c>
      <x:c r="M1293" s="30" t="str">
        <x:v>Исправить форму числительного в сочетании «до девяносто лет».</x:v>
      </x:c>
      <x:c r="N1293" s="30" t="str">
        <x:v>девяноста</x:v>
      </x:c>
      <x:c r="O1293" s="30" t="str">
        <x:v>После предлога «до» требуется родительный падеж: до девяноста лет.</x:v>
      </x:c>
      <x:c r="P1293" s="30" t="str">
        <x:v>После предлога «до» требуется родительный падеж: до девяноста лет.</x:v>
      </x:c>
      <x:c r="Q1293" s="30"/>
      <x:c r="R1293" s="30" t="str">
        <x:v>PDF + открытый ключ + независимая проверка</x:v>
      </x:c>
      <x:c r="S1293" s="30"/>
      <x:c r="T1293" s="30"/>
      <x:c r="U1293" s="30" t="str">
        <x:v>Расхождений не обнаружено.</x:v>
      </x:c>
      <x:c r="V1293" s="87" t="str">
        <x:v>VERIFIED</x:v>
      </x:c>
      <x:c r="W1293" s="87" t="str">
        <x:v>PDF, задание 7</x:v>
      </x:c>
      <x:c r="X1293" s="87"/>
      <x:c r="Y1293" s="87"/>
      <x:c r="Z1293" s="87"/>
      <x:c r="AA1293" s="87"/>
      <x:c r="AB1293" s="87"/>
      <x:c r="AC1293" s="87"/>
      <x:c r="AD1293" s="87"/>
      <x:c r="AE1293" s="87"/>
      <x:c r="AF1293" s="87"/>
      <x:c r="AG1293" s="87"/>
      <x:c r="AH1293" s="87"/>
      <x:c r="AI1293" s="30"/>
      <x:c r="AJ1293" s="87" t="str">
        <x:v>master</x:v>
      </x:c>
      <x:c r="AK1293" s="87" t="str">
        <x:v>master-v0.81</x:v>
      </x:c>
      <x:c r="AL1293" s="87" t="str">
        <x:v>statgrad_master_base_v0_81_final(2).xlsx</x:v>
      </x:c>
      <x:c r="AM1293" s="87" t="str">
        <x:v>RUS_Mar_V1</x:v>
      </x:c>
      <x:c r="AN1293" s="87" t="n">
        <x:v>8</x:v>
      </x:c>
    </x:row>
    <x:row r="1294">
      <x:c r="A1294" s="87" t="n">
        <x:v>1293</x:v>
      </x:c>
      <x:c r="B1294" s="87" t="str">
        <x:v>MAR-RUS-V1-008</x:v>
      </x:c>
      <x:c r="C1294" s="87" t="str">
        <x:v>СтатГрад</x:v>
      </x:c>
      <x:c r="D1294" s="87" t="str">
        <x:v>Март 2026</x:v>
      </x:c>
      <x:c r="E1294" s="87"/>
      <x:c r="F1294" s="87"/>
      <x:c r="G1294" s="87" t="str">
        <x:v>Русский язык</x:v>
      </x:c>
      <x:c r="H1294" s="87" t="n">
        <x:v>11</x:v>
      </x:c>
      <x:c r="I1294" s="87" t="str">
        <x:v>Диагностическая работа №2</x:v>
      </x:c>
      <x:c r="J1294" s="87" t="str">
        <x:v>РЯ2510601</x:v>
      </x:c>
      <x:c r="K1294" s="87" t="n">
        <x:v>8</x:v>
      </x:c>
      <x:c r="L1294" s="87" t="str">
        <x:v>Грамматические ошибки</x:v>
      </x:c>
      <x:c r="M1294" s="30" t="str">
        <x:v>Соотнести пять типов грамматических ошибок с предложениями.</x:v>
      </x:c>
      <x:c r="N1294" s="30" t="str">
        <x:v>36481</x:v>
      </x:c>
      <x:c r="O1294" s="30" t="str">
        <x:v>Последовательно определены ошибки деепричастного оборота, однородных членов, причастного оборота, сложного предложения и управления.</x:v>
      </x:c>
      <x:c r="P1294" s="30" t="str">
        <x:v>Каждое предложение проверено перестройкой в нормативную конструкцию.</x:v>
      </x:c>
      <x:c r="Q1294" s="30"/>
      <x:c r="R1294" s="30" t="str">
        <x:v>PDF + открытый ключ + независимая проверка</x:v>
      </x:c>
      <x:c r="S1294" s="30"/>
      <x:c r="T1294" s="30"/>
      <x:c r="U1294" s="30" t="str">
        <x:v>Расхождений не обнаружено.</x:v>
      </x:c>
      <x:c r="V1294" s="87" t="str">
        <x:v>VERIFIED</x:v>
      </x:c>
      <x:c r="W1294" s="87" t="str">
        <x:v>PDF, задание 8</x:v>
      </x:c>
      <x:c r="X1294" s="87"/>
      <x:c r="Y1294" s="87"/>
      <x:c r="Z1294" s="87"/>
      <x:c r="AA1294" s="87"/>
      <x:c r="AB1294" s="87"/>
      <x:c r="AC1294" s="87"/>
      <x:c r="AD1294" s="87"/>
      <x:c r="AE1294" s="87"/>
      <x:c r="AF1294" s="87"/>
      <x:c r="AG1294" s="87"/>
      <x:c r="AH1294" s="87"/>
      <x:c r="AI1294" s="30"/>
      <x:c r="AJ1294" s="87" t="str">
        <x:v>master</x:v>
      </x:c>
      <x:c r="AK1294" s="87" t="str">
        <x:v>master-v0.81</x:v>
      </x:c>
      <x:c r="AL1294" s="87" t="str">
        <x:v>statgrad_master_base_v0_81_final(2).xlsx</x:v>
      </x:c>
      <x:c r="AM1294" s="87" t="str">
        <x:v>RUS_Mar_V1</x:v>
      </x:c>
      <x:c r="AN1294" s="87" t="n">
        <x:v>9</x:v>
      </x:c>
    </x:row>
    <x:row r="1295">
      <x:c r="A1295" s="87" t="n">
        <x:v>1294</x:v>
      </x:c>
      <x:c r="B1295" s="87" t="str">
        <x:v>MAR-RUS-V1-009</x:v>
      </x:c>
      <x:c r="C1295" s="87" t="str">
        <x:v>СтатГрад</x:v>
      </x:c>
      <x:c r="D1295" s="87" t="str">
        <x:v>Март 2026</x:v>
      </x:c>
      <x:c r="E1295" s="87"/>
      <x:c r="F1295" s="87"/>
      <x:c r="G1295" s="87" t="str">
        <x:v>Русский язык</x:v>
      </x:c>
      <x:c r="H1295" s="87" t="n">
        <x:v>11</x:v>
      </x:c>
      <x:c r="I1295" s="87" t="str">
        <x:v>Диагностическая работа №2</x:v>
      </x:c>
      <x:c r="J1295" s="87" t="str">
        <x:v>РЯ2510601</x:v>
      </x:c>
      <x:c r="K1295" s="87" t="n">
        <x:v>9</x:v>
      </x:c>
      <x:c r="L1295" s="87" t="str">
        <x:v>Правописание корней и гласных</x:v>
      </x:c>
      <x:c r="M1295" s="30" t="str">
        <x:v>Выбрать ряды с одной и той же пропущенной буквой.</x:v>
      </x:c>
      <x:c r="N1295" s="30" t="str">
        <x:v>345</x:v>
      </x:c>
      <x:c r="O1295" s="30" t="str">
        <x:v>В рядах 3, 4 и 5 во всех словах восстанавливается одна и та же нормативная гласная.</x:v>
      </x:c>
      <x:c r="P1295" s="30" t="str">
        <x:v>В рядах 3, 4 и 5 во всех словах восстанавливается одна и та же нормативная гласная.</x:v>
      </x:c>
      <x:c r="Q1295" s="30"/>
      <x:c r="R1295" s="30" t="str">
        <x:v>PDF + открытый ключ + независимая проверка</x:v>
      </x:c>
      <x:c r="S1295" s="30"/>
      <x:c r="T1295" s="30"/>
      <x:c r="U1295" s="30" t="str">
        <x:v>Расхождений не обнаружено.</x:v>
      </x:c>
      <x:c r="V1295" s="87" t="str">
        <x:v>VERIFIED</x:v>
      </x:c>
      <x:c r="W1295" s="87" t="str">
        <x:v>PDF, задание 9</x:v>
      </x:c>
      <x:c r="X1295" s="87"/>
      <x:c r="Y1295" s="87"/>
      <x:c r="Z1295" s="87"/>
      <x:c r="AA1295" s="87"/>
      <x:c r="AB1295" s="87"/>
      <x:c r="AC1295" s="87"/>
      <x:c r="AD1295" s="87"/>
      <x:c r="AE1295" s="87"/>
      <x:c r="AF1295" s="87"/>
      <x:c r="AG1295" s="87"/>
      <x:c r="AH1295" s="87"/>
      <x:c r="AI1295" s="30"/>
      <x:c r="AJ1295" s="87" t="str">
        <x:v>master</x:v>
      </x:c>
      <x:c r="AK1295" s="87" t="str">
        <x:v>master-v0.81</x:v>
      </x:c>
      <x:c r="AL1295" s="87" t="str">
        <x:v>statgrad_master_base_v0_81_final(2).xlsx</x:v>
      </x:c>
      <x:c r="AM1295" s="87" t="str">
        <x:v>RUS_Mar_V1</x:v>
      </x:c>
      <x:c r="AN1295" s="87" t="n">
        <x:v>10</x:v>
      </x:c>
    </x:row>
    <x:row r="1296">
      <x:c r="A1296" s="87" t="n">
        <x:v>1295</x:v>
      </x:c>
      <x:c r="B1296" s="87" t="str">
        <x:v>MAR-RUS-V1-010</x:v>
      </x:c>
      <x:c r="C1296" s="87" t="str">
        <x:v>СтатГрад</x:v>
      </x:c>
      <x:c r="D1296" s="87" t="str">
        <x:v>Март 2026</x:v>
      </x:c>
      <x:c r="E1296" s="87"/>
      <x:c r="F1296" s="87"/>
      <x:c r="G1296" s="87" t="str">
        <x:v>Русский язык</x:v>
      </x:c>
      <x:c r="H1296" s="87" t="n">
        <x:v>11</x:v>
      </x:c>
      <x:c r="I1296" s="87" t="str">
        <x:v>Диагностическая работа №2</x:v>
      </x:c>
      <x:c r="J1296" s="87" t="str">
        <x:v>РЯ2510601</x:v>
      </x:c>
      <x:c r="K1296" s="87" t="n">
        <x:v>10</x:v>
      </x:c>
      <x:c r="L1296" s="87" t="str">
        <x:v>Правописание приставок</x:v>
      </x:c>
      <x:c r="M1296" s="30" t="str">
        <x:v>Выбрать ряды с одинаковой буквой в приставках.</x:v>
      </x:c>
      <x:c r="N1296" s="30" t="str">
        <x:v>1345</x:v>
      </x:c>
      <x:c r="O1296" s="30" t="str">
        <x:v>Правила ПРЕ-/ПРИ-, приставок на З/С, неизменяемых приставок и разделительного твёрдого знака дают ряды 1, 3, 4, 5.</x:v>
      </x:c>
      <x:c r="P1296" s="30" t="str">
        <x:v>Правила ПРЕ-/ПРИ-, приставок на З/С, неизменяемых приставок и разделительного твёрдого знака дают ряды 1, 3, 4, 5.</x:v>
      </x:c>
      <x:c r="Q1296" s="30"/>
      <x:c r="R1296" s="30" t="str">
        <x:v>PDF + открытый ключ + независимая проверка</x:v>
      </x:c>
      <x:c r="S1296" s="30"/>
      <x:c r="T1296" s="30"/>
      <x:c r="U1296" s="30" t="str">
        <x:v>Расхождений не обнаружено.</x:v>
      </x:c>
      <x:c r="V1296" s="87" t="str">
        <x:v>VERIFIED</x:v>
      </x:c>
      <x:c r="W1296" s="87" t="str">
        <x:v>PDF, задание 10</x:v>
      </x:c>
      <x:c r="X1296" s="87"/>
      <x:c r="Y1296" s="87"/>
      <x:c r="Z1296" s="87"/>
      <x:c r="AA1296" s="87"/>
      <x:c r="AB1296" s="87"/>
      <x:c r="AC1296" s="87"/>
      <x:c r="AD1296" s="87"/>
      <x:c r="AE1296" s="87"/>
      <x:c r="AF1296" s="87"/>
      <x:c r="AG1296" s="87"/>
      <x:c r="AH1296" s="87"/>
      <x:c r="AI1296" s="30"/>
      <x:c r="AJ1296" s="87" t="str">
        <x:v>master</x:v>
      </x:c>
      <x:c r="AK1296" s="87" t="str">
        <x:v>master-v0.81</x:v>
      </x:c>
      <x:c r="AL1296" s="87" t="str">
        <x:v>statgrad_master_base_v0_81_final(2).xlsx</x:v>
      </x:c>
      <x:c r="AM1296" s="87" t="str">
        <x:v>RUS_Mar_V1</x:v>
      </x:c>
      <x:c r="AN1296" s="87" t="n">
        <x:v>11</x:v>
      </x:c>
    </x:row>
    <x:row r="1297">
      <x:c r="A1297" s="87" t="n">
        <x:v>1296</x:v>
      </x:c>
      <x:c r="B1297" s="87" t="str">
        <x:v>MAR-RUS-V1-011</x:v>
      </x:c>
      <x:c r="C1297" s="87" t="str">
        <x:v>СтатГрад</x:v>
      </x:c>
      <x:c r="D1297" s="87" t="str">
        <x:v>Март 2026</x:v>
      </x:c>
      <x:c r="E1297" s="87"/>
      <x:c r="F1297" s="87"/>
      <x:c r="G1297" s="87" t="str">
        <x:v>Русский язык</x:v>
      </x:c>
      <x:c r="H1297" s="87" t="n">
        <x:v>11</x:v>
      </x:c>
      <x:c r="I1297" s="87" t="str">
        <x:v>Диагностическая работа №2</x:v>
      </x:c>
      <x:c r="J1297" s="87" t="str">
        <x:v>РЯ2510601</x:v>
      </x:c>
      <x:c r="K1297" s="87" t="n">
        <x:v>11</x:v>
      </x:c>
      <x:c r="L1297" s="87" t="str">
        <x:v>Суффиксы разных частей речи</x:v>
      </x:c>
      <x:c r="M1297" s="30" t="str">
        <x:v>Выбрать ряды с одинаковой буквой в суффиксах.</x:v>
      </x:c>
      <x:c r="N1297" s="30" t="str">
        <x:v>345</x:v>
      </x:c>
      <x:c r="O1297" s="30" t="str">
        <x:v>Нормативные суффиксы совпадают в рядах 3, 4 и 5.</x:v>
      </x:c>
      <x:c r="P1297" s="30" t="str">
        <x:v>Нормативные суффиксы совпадают в рядах 3, 4 и 5.</x:v>
      </x:c>
      <x:c r="Q1297" s="30"/>
      <x:c r="R1297" s="30" t="str">
        <x:v>PDF + открытый ключ + независимая проверка</x:v>
      </x:c>
      <x:c r="S1297" s="30"/>
      <x:c r="T1297" s="30"/>
      <x:c r="U1297" s="30" t="str">
        <x:v>Расхождений не обнаружено.</x:v>
      </x:c>
      <x:c r="V1297" s="87" t="str">
        <x:v>VERIFIED</x:v>
      </x:c>
      <x:c r="W1297" s="87" t="str">
        <x:v>PDF, задание 11</x:v>
      </x:c>
      <x:c r="X1297" s="87"/>
      <x:c r="Y1297" s="87"/>
      <x:c r="Z1297" s="87"/>
      <x:c r="AA1297" s="87"/>
      <x:c r="AB1297" s="87"/>
      <x:c r="AC1297" s="87"/>
      <x:c r="AD1297" s="87"/>
      <x:c r="AE1297" s="87"/>
      <x:c r="AF1297" s="87"/>
      <x:c r="AG1297" s="87"/>
      <x:c r="AH1297" s="87"/>
      <x:c r="AI1297" s="30"/>
      <x:c r="AJ1297" s="87" t="str">
        <x:v>master</x:v>
      </x:c>
      <x:c r="AK1297" s="87" t="str">
        <x:v>master-v0.81</x:v>
      </x:c>
      <x:c r="AL1297" s="87" t="str">
        <x:v>statgrad_master_base_v0_81_final(2).xlsx</x:v>
      </x:c>
      <x:c r="AM1297" s="87" t="str">
        <x:v>RUS_Mar_V1</x:v>
      </x:c>
      <x:c r="AN1297" s="87" t="n">
        <x:v>12</x:v>
      </x:c>
    </x:row>
    <x:row r="1298">
      <x:c r="A1298" s="87" t="n">
        <x:v>1297</x:v>
      </x:c>
      <x:c r="B1298" s="87" t="str">
        <x:v>MAR-RUS-V1-012</x:v>
      </x:c>
      <x:c r="C1298" s="87" t="str">
        <x:v>СтатГрад</x:v>
      </x:c>
      <x:c r="D1298" s="87" t="str">
        <x:v>Март 2026</x:v>
      </x:c>
      <x:c r="E1298" s="87"/>
      <x:c r="F1298" s="87"/>
      <x:c r="G1298" s="87" t="str">
        <x:v>Русский язык</x:v>
      </x:c>
      <x:c r="H1298" s="87" t="n">
        <x:v>11</x:v>
      </x:c>
      <x:c r="I1298" s="87" t="str">
        <x:v>Диагностическая работа №2</x:v>
      </x:c>
      <x:c r="J1298" s="87" t="str">
        <x:v>РЯ2510601</x:v>
      </x:c>
      <x:c r="K1298" s="87" t="n">
        <x:v>12</x:v>
      </x:c>
      <x:c r="L1298" s="87" t="str">
        <x:v>Личные окончания и суффиксы причастий</x:v>
      </x:c>
      <x:c r="M1298" s="30" t="str">
        <x:v>Выбрать ряды с одной и той же пропущенной буквой.</x:v>
      </x:c>
      <x:c r="N1298" s="30" t="str">
        <x:v>24</x:v>
      </x:c>
      <x:c r="O1298" s="30" t="str">
        <x:v>Формы глаголов и причастий в рядах 2 и 4 определяются спряжением исходных глаголов.</x:v>
      </x:c>
      <x:c r="P1298" s="30" t="str">
        <x:v>Формы глаголов и причастий в рядах 2 и 4 определяются спряжением исходных глаголов.</x:v>
      </x:c>
      <x:c r="Q1298" s="30"/>
      <x:c r="R1298" s="30" t="str">
        <x:v>PDF + открытый ключ + независимая проверка</x:v>
      </x:c>
      <x:c r="S1298" s="30"/>
      <x:c r="T1298" s="30"/>
      <x:c r="U1298" s="30" t="str">
        <x:v>Расхождений не обнаружено.</x:v>
      </x:c>
      <x:c r="V1298" s="87" t="str">
        <x:v>VERIFIED</x:v>
      </x:c>
      <x:c r="W1298" s="87" t="str">
        <x:v>PDF, задание 12</x:v>
      </x:c>
      <x:c r="X1298" s="87"/>
      <x:c r="Y1298" s="87"/>
      <x:c r="Z1298" s="87"/>
      <x:c r="AA1298" s="87"/>
      <x:c r="AB1298" s="87"/>
      <x:c r="AC1298" s="87"/>
      <x:c r="AD1298" s="87"/>
      <x:c r="AE1298" s="87"/>
      <x:c r="AF1298" s="87"/>
      <x:c r="AG1298" s="87"/>
      <x:c r="AH1298" s="87"/>
      <x:c r="AI1298" s="30"/>
      <x:c r="AJ1298" s="87" t="str">
        <x:v>master</x:v>
      </x:c>
      <x:c r="AK1298" s="87" t="str">
        <x:v>master-v0.81</x:v>
      </x:c>
      <x:c r="AL1298" s="87" t="str">
        <x:v>statgrad_master_base_v0_81_final(2).xlsx</x:v>
      </x:c>
      <x:c r="AM1298" s="87" t="str">
        <x:v>RUS_Mar_V1</x:v>
      </x:c>
      <x:c r="AN1298" s="87" t="n">
        <x:v>13</x:v>
      </x:c>
    </x:row>
    <x:row r="1299">
      <x:c r="A1299" s="87" t="n">
        <x:v>1298</x:v>
      </x:c>
      <x:c r="B1299" s="87" t="str">
        <x:v>MAR-RUS-V1-013</x:v>
      </x:c>
      <x:c r="C1299" s="87" t="str">
        <x:v>СтатГрад</x:v>
      </x:c>
      <x:c r="D1299" s="87" t="str">
        <x:v>Март 2026</x:v>
      </x:c>
      <x:c r="E1299" s="87"/>
      <x:c r="F1299" s="87"/>
      <x:c r="G1299" s="87" t="str">
        <x:v>Русский язык</x:v>
      </x:c>
      <x:c r="H1299" s="87" t="n">
        <x:v>11</x:v>
      </x:c>
      <x:c r="I1299" s="87" t="str">
        <x:v>Диагностическая работа №2</x:v>
      </x:c>
      <x:c r="J1299" s="87" t="str">
        <x:v>РЯ2510601</x:v>
      </x:c>
      <x:c r="K1299" s="87" t="n">
        <x:v>13</x:v>
      </x:c>
      <x:c r="L1299" s="87" t="str">
        <x:v>НЕ и НИ</x:v>
      </x:c>
      <x:c r="M1299" s="30" t="str">
        <x:v>Выбрать случаи слитного написания НЕ/НИ.</x:v>
      </x:c>
      <x:c r="N1299" s="30" t="str">
        <x:v>25</x:v>
      </x:c>
      <x:c r="O1299" s="30" t="str">
        <x:v>«Никто иной» пишется с НИ слитно; «незавершённым» без противопоставления — с НЕ слитно.</x:v>
      </x:c>
      <x:c r="P1299" s="30" t="str">
        <x:v>«Никто иной» пишется с НИ слитно; «незавершённым» без противопоставления — с НЕ слитно.</x:v>
      </x:c>
      <x:c r="Q1299" s="30"/>
      <x:c r="R1299" s="30" t="str">
        <x:v>PDF + открытый ключ + независимая проверка</x:v>
      </x:c>
      <x:c r="S1299" s="30"/>
      <x:c r="T1299" s="30"/>
      <x:c r="U1299" s="30" t="str">
        <x:v>Расхождений не обнаружено.</x:v>
      </x:c>
      <x:c r="V1299" s="87" t="str">
        <x:v>VERIFIED</x:v>
      </x:c>
      <x:c r="W1299" s="87" t="str">
        <x:v>PDF, задание 13</x:v>
      </x:c>
      <x:c r="X1299" s="87"/>
      <x:c r="Y1299" s="87"/>
      <x:c r="Z1299" s="87"/>
      <x:c r="AA1299" s="87"/>
      <x:c r="AB1299" s="87"/>
      <x:c r="AC1299" s="87"/>
      <x:c r="AD1299" s="87"/>
      <x:c r="AE1299" s="87"/>
      <x:c r="AF1299" s="87"/>
      <x:c r="AG1299" s="87"/>
      <x:c r="AH1299" s="87"/>
      <x:c r="AI1299" s="30"/>
      <x:c r="AJ1299" s="87" t="str">
        <x:v>master</x:v>
      </x:c>
      <x:c r="AK1299" s="87" t="str">
        <x:v>master-v0.81</x:v>
      </x:c>
      <x:c r="AL1299" s="87" t="str">
        <x:v>statgrad_master_base_v0_81_final(2).xlsx</x:v>
      </x:c>
      <x:c r="AM1299" s="87" t="str">
        <x:v>RUS_Mar_V1</x:v>
      </x:c>
      <x:c r="AN1299" s="87" t="n">
        <x:v>14</x:v>
      </x:c>
    </x:row>
    <x:row r="1300">
      <x:c r="A1300" s="87" t="n">
        <x:v>1299</x:v>
      </x:c>
      <x:c r="B1300" s="87" t="str">
        <x:v>MAR-RUS-V1-014</x:v>
      </x:c>
      <x:c r="C1300" s="87" t="str">
        <x:v>СтатГрад</x:v>
      </x:c>
      <x:c r="D1300" s="87" t="str">
        <x:v>Март 2026</x:v>
      </x:c>
      <x:c r="E1300" s="87"/>
      <x:c r="F1300" s="87"/>
      <x:c r="G1300" s="87" t="str">
        <x:v>Русский язык</x:v>
      </x:c>
      <x:c r="H1300" s="87" t="n">
        <x:v>11</x:v>
      </x:c>
      <x:c r="I1300" s="87" t="str">
        <x:v>Диагностическая работа №2</x:v>
      </x:c>
      <x:c r="J1300" s="87" t="str">
        <x:v>РЯ2510601</x:v>
      </x:c>
      <x:c r="K1300" s="87" t="n">
        <x:v>14</x:v>
      </x:c>
      <x:c r="L1300" s="87" t="str">
        <x:v>Слитное, раздельное и дефисное написание</x:v>
      </x:c>
      <x:c r="M1300" s="30" t="str">
        <x:v>Выбрать ряды, где оба выделенных слова пишутся через дефис.</x:v>
      </x:c>
      <x:c r="N1300" s="30" t="str">
        <x:v>13</x:v>
      </x:c>
      <x:c r="O1300" s="30" t="str">
        <x:v>Нормативно: давным-давно, по-деревенски; по-моему, по-испански.</x:v>
      </x:c>
      <x:c r="P1300" s="30" t="str">
        <x:v>Нормативно: давным-давно, по-деревенски; по-моему, по-испански.</x:v>
      </x:c>
      <x:c r="Q1300" s="30"/>
      <x:c r="R1300" s="30" t="str">
        <x:v>PDF + открытый ключ + независимая проверка</x:v>
      </x:c>
      <x:c r="S1300" s="30"/>
      <x:c r="T1300" s="30"/>
      <x:c r="U1300" s="30" t="str">
        <x:v>Расхождений не обнаружено.</x:v>
      </x:c>
      <x:c r="V1300" s="87" t="str">
        <x:v>VERIFIED</x:v>
      </x:c>
      <x:c r="W1300" s="87" t="str">
        <x:v>PDF, задание 14</x:v>
      </x:c>
      <x:c r="X1300" s="87"/>
      <x:c r="Y1300" s="87"/>
      <x:c r="Z1300" s="87"/>
      <x:c r="AA1300" s="87"/>
      <x:c r="AB1300" s="87"/>
      <x:c r="AC1300" s="87"/>
      <x:c r="AD1300" s="87"/>
      <x:c r="AE1300" s="87"/>
      <x:c r="AF1300" s="87"/>
      <x:c r="AG1300" s="87"/>
      <x:c r="AH1300" s="87"/>
      <x:c r="AI1300" s="30"/>
      <x:c r="AJ1300" s="87" t="str">
        <x:v>master</x:v>
      </x:c>
      <x:c r="AK1300" s="87" t="str">
        <x:v>master-v0.81</x:v>
      </x:c>
      <x:c r="AL1300" s="87" t="str">
        <x:v>statgrad_master_base_v0_81_final(2).xlsx</x:v>
      </x:c>
      <x:c r="AM1300" s="87" t="str">
        <x:v>RUS_Mar_V1</x:v>
      </x:c>
      <x:c r="AN1300" s="87" t="n">
        <x:v>15</x:v>
      </x:c>
    </x:row>
    <x:row r="1301">
      <x:c r="A1301" s="87" t="n">
        <x:v>1300</x:v>
      </x:c>
      <x:c r="B1301" s="87" t="str">
        <x:v>MAR-RUS-V1-015</x:v>
      </x:c>
      <x:c r="C1301" s="87" t="str">
        <x:v>СтатГрад</x:v>
      </x:c>
      <x:c r="D1301" s="87" t="str">
        <x:v>Март 2026</x:v>
      </x:c>
      <x:c r="E1301" s="87"/>
      <x:c r="F1301" s="87"/>
      <x:c r="G1301" s="87" t="str">
        <x:v>Русский язык</x:v>
      </x:c>
      <x:c r="H1301" s="87" t="n">
        <x:v>11</x:v>
      </x:c>
      <x:c r="I1301" s="87" t="str">
        <x:v>Диагностическая работа №2</x:v>
      </x:c>
      <x:c r="J1301" s="87" t="str">
        <x:v>РЯ2510601</x:v>
      </x:c>
      <x:c r="K1301" s="87" t="n">
        <x:v>15</x:v>
      </x:c>
      <x:c r="L1301" s="87" t="str">
        <x:v>Н и НН</x:v>
      </x:c>
      <x:c r="M1301" s="30" t="str">
        <x:v>Указать позиции, где пишется одна буква Н.</x:v>
      </x:c>
      <x:c r="N1301" s="30" t="str">
        <x:v>35</x:v>
      </x:c>
      <x:c r="O1301" s="30" t="str">
        <x:v>Одна Н пишется в формах «золочёных» и кратком причастии «изображены».</x:v>
      </x:c>
      <x:c r="P1301" s="30" t="str">
        <x:v>Одна Н пишется в формах «золочёных» и кратком причастии «изображены».</x:v>
      </x:c>
      <x:c r="Q1301" s="30"/>
      <x:c r="R1301" s="30" t="str">
        <x:v>PDF + открытый ключ + независимая проверка</x:v>
      </x:c>
      <x:c r="S1301" s="30"/>
      <x:c r="T1301" s="30"/>
      <x:c r="U1301" s="30" t="str">
        <x:v>Расхождений не обнаружено.</x:v>
      </x:c>
      <x:c r="V1301" s="87" t="str">
        <x:v>VERIFIED</x:v>
      </x:c>
      <x:c r="W1301" s="87" t="str">
        <x:v>PDF, задание 15</x:v>
      </x:c>
      <x:c r="X1301" s="87"/>
      <x:c r="Y1301" s="87"/>
      <x:c r="Z1301" s="87"/>
      <x:c r="AA1301" s="87"/>
      <x:c r="AB1301" s="87"/>
      <x:c r="AC1301" s="87"/>
      <x:c r="AD1301" s="87"/>
      <x:c r="AE1301" s="87"/>
      <x:c r="AF1301" s="87"/>
      <x:c r="AG1301" s="87"/>
      <x:c r="AH1301" s="87"/>
      <x:c r="AI1301" s="30"/>
      <x:c r="AJ1301" s="87" t="str">
        <x:v>master</x:v>
      </x:c>
      <x:c r="AK1301" s="87" t="str">
        <x:v>master-v0.81</x:v>
      </x:c>
      <x:c r="AL1301" s="87" t="str">
        <x:v>statgrad_master_base_v0_81_final(2).xlsx</x:v>
      </x:c>
      <x:c r="AM1301" s="87" t="str">
        <x:v>RUS_Mar_V1</x:v>
      </x:c>
      <x:c r="AN1301" s="87" t="n">
        <x:v>16</x:v>
      </x:c>
    </x:row>
    <x:row r="1302">
      <x:c r="A1302" s="87" t="n">
        <x:v>1301</x:v>
      </x:c>
      <x:c r="B1302" s="87" t="str">
        <x:v>MAR-RUS-V1-016</x:v>
      </x:c>
      <x:c r="C1302" s="87" t="str">
        <x:v>СтатГрад</x:v>
      </x:c>
      <x:c r="D1302" s="87" t="str">
        <x:v>Март 2026</x:v>
      </x:c>
      <x:c r="E1302" s="87"/>
      <x:c r="F1302" s="87"/>
      <x:c r="G1302" s="87" t="str">
        <x:v>Русский язык</x:v>
      </x:c>
      <x:c r="H1302" s="87" t="n">
        <x:v>11</x:v>
      </x:c>
      <x:c r="I1302" s="87" t="str">
        <x:v>Диагностическая работа №2</x:v>
      </x:c>
      <x:c r="J1302" s="87" t="str">
        <x:v>РЯ2510601</x:v>
      </x:c>
      <x:c r="K1302" s="87" t="n">
        <x:v>16</x:v>
      </x:c>
      <x:c r="L1302" s="87" t="str">
        <x:v>Пунктуация при однородных членах</x:v>
      </x:c>
      <x:c r="M1302" s="30" t="str">
        <x:v>Выбрать предложения, где требуется ровно одна запятая.</x:v>
      </x:c>
      <x:c r="N1302" s="30" t="str">
        <x:v>235</x:v>
      </x:c>
      <x:c r="O1302" s="30" t="str">
        <x:v>В предложениях 2, 3 и 5 постановка одной запятой обусловлена союзной связью однородных членов или частей.</x:v>
      </x:c>
      <x:c r="P1302" s="30" t="str">
        <x:v>В предложениях 2, 3 и 5 постановка одной запятой обусловлена союзной связью однородных членов или частей.</x:v>
      </x:c>
      <x:c r="Q1302" s="30"/>
      <x:c r="R1302" s="30" t="str">
        <x:v>PDF + открытый ключ + независимая проверка</x:v>
      </x:c>
      <x:c r="S1302" s="30"/>
      <x:c r="T1302" s="30"/>
      <x:c r="U1302" s="30" t="str">
        <x:v>Расхождений не обнаружено.</x:v>
      </x:c>
      <x:c r="V1302" s="87" t="str">
        <x:v>VERIFIED</x:v>
      </x:c>
      <x:c r="W1302" s="87" t="str">
        <x:v>PDF, задание 16</x:v>
      </x:c>
      <x:c r="X1302" s="87"/>
      <x:c r="Y1302" s="87"/>
      <x:c r="Z1302" s="87"/>
      <x:c r="AA1302" s="87"/>
      <x:c r="AB1302" s="87"/>
      <x:c r="AC1302" s="87"/>
      <x:c r="AD1302" s="87"/>
      <x:c r="AE1302" s="87"/>
      <x:c r="AF1302" s="87"/>
      <x:c r="AG1302" s="87"/>
      <x:c r="AH1302" s="87"/>
      <x:c r="AI1302" s="30"/>
      <x:c r="AJ1302" s="87" t="str">
        <x:v>master</x:v>
      </x:c>
      <x:c r="AK1302" s="87" t="str">
        <x:v>master-v0.81</x:v>
      </x:c>
      <x:c r="AL1302" s="87" t="str">
        <x:v>statgrad_master_base_v0_81_final(2).xlsx</x:v>
      </x:c>
      <x:c r="AM1302" s="87" t="str">
        <x:v>RUS_Mar_V1</x:v>
      </x:c>
      <x:c r="AN1302" s="87" t="n">
        <x:v>17</x:v>
      </x:c>
    </x:row>
    <x:row r="1303">
      <x:c r="A1303" s="87" t="n">
        <x:v>1302</x:v>
      </x:c>
      <x:c r="B1303" s="87" t="str">
        <x:v>MAR-RUS-V1-017</x:v>
      </x:c>
      <x:c r="C1303" s="87" t="str">
        <x:v>СтатГрад</x:v>
      </x:c>
      <x:c r="D1303" s="87" t="str">
        <x:v>Март 2026</x:v>
      </x:c>
      <x:c r="E1303" s="87"/>
      <x:c r="F1303" s="87"/>
      <x:c r="G1303" s="87" t="str">
        <x:v>Русский язык</x:v>
      </x:c>
      <x:c r="H1303" s="87" t="n">
        <x:v>11</x:v>
      </x:c>
      <x:c r="I1303" s="87" t="str">
        <x:v>Диагностическая работа №2</x:v>
      </x:c>
      <x:c r="J1303" s="87" t="str">
        <x:v>РЯ2510601</x:v>
      </x:c>
      <x:c r="K1303" s="87" t="n">
        <x:v>17</x:v>
      </x:c>
      <x:c r="L1303" s="87" t="str">
        <x:v>Обособленные конструкции</x:v>
      </x:c>
      <x:c r="M1303" s="30" t="str">
        <x:v>Расставить запятые при обстоятельствах и определении.</x:v>
      </x:c>
      <x:c r="N1303" s="30" t="str">
        <x:v>12345</x:v>
      </x:c>
      <x:c r="O1303" s="30" t="str">
        <x:v>Обособляются начальный причастный оборот, деепричастные конструкции и последующее согласованное определение.</x:v>
      </x:c>
      <x:c r="P1303" s="30" t="str">
        <x:v>Обособляются начальный причастный оборот, деепричастные конструкции и последующее согласованное определение.</x:v>
      </x:c>
      <x:c r="Q1303" s="30"/>
      <x:c r="R1303" s="30" t="str">
        <x:v>PDF + открытый ключ + независимая проверка</x:v>
      </x:c>
      <x:c r="S1303" s="30"/>
      <x:c r="T1303" s="30"/>
      <x:c r="U1303" s="30" t="str">
        <x:v>Расхождений не обнаружено.</x:v>
      </x:c>
      <x:c r="V1303" s="87" t="str">
        <x:v>VERIFIED</x:v>
      </x:c>
      <x:c r="W1303" s="87" t="str">
        <x:v>PDF, задание 17</x:v>
      </x:c>
      <x:c r="X1303" s="87"/>
      <x:c r="Y1303" s="87"/>
      <x:c r="Z1303" s="87"/>
      <x:c r="AA1303" s="87"/>
      <x:c r="AB1303" s="87"/>
      <x:c r="AC1303" s="87"/>
      <x:c r="AD1303" s="87"/>
      <x:c r="AE1303" s="87"/>
      <x:c r="AF1303" s="87"/>
      <x:c r="AG1303" s="87"/>
      <x:c r="AH1303" s="87"/>
      <x:c r="AI1303" s="30"/>
      <x:c r="AJ1303" s="87" t="str">
        <x:v>master</x:v>
      </x:c>
      <x:c r="AK1303" s="87" t="str">
        <x:v>master-v0.81</x:v>
      </x:c>
      <x:c r="AL1303" s="87" t="str">
        <x:v>statgrad_master_base_v0_81_final(2).xlsx</x:v>
      </x:c>
      <x:c r="AM1303" s="87" t="str">
        <x:v>RUS_Mar_V1</x:v>
      </x:c>
      <x:c r="AN1303" s="87" t="n">
        <x:v>18</x:v>
      </x:c>
    </x:row>
    <x:row r="1304">
      <x:c r="A1304" s="87" t="n">
        <x:v>1303</x:v>
      </x:c>
      <x:c r="B1304" s="87" t="str">
        <x:v>MAR-RUS-V1-018</x:v>
      </x:c>
      <x:c r="C1304" s="87" t="str">
        <x:v>СтатГрад</x:v>
      </x:c>
      <x:c r="D1304" s="87" t="str">
        <x:v>Март 2026</x:v>
      </x:c>
      <x:c r="E1304" s="87"/>
      <x:c r="F1304" s="87"/>
      <x:c r="G1304" s="87" t="str">
        <x:v>Русский язык</x:v>
      </x:c>
      <x:c r="H1304" s="87" t="n">
        <x:v>11</x:v>
      </x:c>
      <x:c r="I1304" s="87" t="str">
        <x:v>Диагностическая работа №2</x:v>
      </x:c>
      <x:c r="J1304" s="87" t="str">
        <x:v>РЯ2510601</x:v>
      </x:c>
      <x:c r="K1304" s="87" t="n">
        <x:v>18</x:v>
      </x:c>
      <x:c r="L1304" s="87" t="str">
        <x:v>Обращения и вводные слова</x:v>
      </x:c>
      <x:c r="M1304" s="30" t="str">
        <x:v>Расставить запятые в реплике с обращениями и вводными элементами.</x:v>
      </x:c>
      <x:c r="N1304" s="30" t="str">
        <x:v>1234</x:v>
      </x:c>
      <x:c r="O1304" s="30" t="str">
        <x:v>Запятыми выделяются обращения и вводные/вставные компоненты в первых четырёх позициях.</x:v>
      </x:c>
      <x:c r="P1304" s="30" t="str">
        <x:v>Запятыми выделяются обращения и вводные/вставные компоненты в первых четырёх позициях.</x:v>
      </x:c>
      <x:c r="Q1304" s="30"/>
      <x:c r="R1304" s="30" t="str">
        <x:v>PDF + открытый ключ + независимая проверка</x:v>
      </x:c>
      <x:c r="S1304" s="30"/>
      <x:c r="T1304" s="30"/>
      <x:c r="U1304" s="30" t="str">
        <x:v>Расхождений не обнаружено.</x:v>
      </x:c>
      <x:c r="V1304" s="87" t="str">
        <x:v>VERIFIED</x:v>
      </x:c>
      <x:c r="W1304" s="87" t="str">
        <x:v>PDF, задание 18</x:v>
      </x:c>
      <x:c r="X1304" s="87"/>
      <x:c r="Y1304" s="87"/>
      <x:c r="Z1304" s="87"/>
      <x:c r="AA1304" s="87"/>
      <x:c r="AB1304" s="87"/>
      <x:c r="AC1304" s="87"/>
      <x:c r="AD1304" s="87"/>
      <x:c r="AE1304" s="87"/>
      <x:c r="AF1304" s="87"/>
      <x:c r="AG1304" s="87"/>
      <x:c r="AH1304" s="87"/>
      <x:c r="AI1304" s="30"/>
      <x:c r="AJ1304" s="87" t="str">
        <x:v>master</x:v>
      </x:c>
      <x:c r="AK1304" s="87" t="str">
        <x:v>master-v0.81</x:v>
      </x:c>
      <x:c r="AL1304" s="87" t="str">
        <x:v>statgrad_master_base_v0_81_final(2).xlsx</x:v>
      </x:c>
      <x:c r="AM1304" s="87" t="str">
        <x:v>RUS_Mar_V1</x:v>
      </x:c>
      <x:c r="AN1304" s="87" t="n">
        <x:v>19</x:v>
      </x:c>
    </x:row>
    <x:row r="1305">
      <x:c r="A1305" s="87" t="n">
        <x:v>1304</x:v>
      </x:c>
      <x:c r="B1305" s="87" t="str">
        <x:v>MAR-RUS-V1-019</x:v>
      </x:c>
      <x:c r="C1305" s="87" t="str">
        <x:v>СтатГрад</x:v>
      </x:c>
      <x:c r="D1305" s="87" t="str">
        <x:v>Март 2026</x:v>
      </x:c>
      <x:c r="E1305" s="87"/>
      <x:c r="F1305" s="87"/>
      <x:c r="G1305" s="87" t="str">
        <x:v>Русский язык</x:v>
      </x:c>
      <x:c r="H1305" s="87" t="n">
        <x:v>11</x:v>
      </x:c>
      <x:c r="I1305" s="87" t="str">
        <x:v>Диагностическая работа №2</x:v>
      </x:c>
      <x:c r="J1305" s="87" t="str">
        <x:v>РЯ2510601</x:v>
      </x:c>
      <x:c r="K1305" s="87" t="n">
        <x:v>19</x:v>
      </x:c>
      <x:c r="L1305" s="87" t="str">
        <x:v>Сложноподчинённое предложение</x:v>
      </x:c>
      <x:c r="M1305" s="30" t="str">
        <x:v>Расставить запятые в многочастном сложном предложении.</x:v>
      </x:c>
      <x:c r="N1305" s="30" t="str">
        <x:v>258</x:v>
      </x:c>
      <x:c r="O1305" s="30" t="str">
        <x:v>Запятые отделяют придаточные части и границы главной части; внутри однородной связи лишняя запятая не ставится.</x:v>
      </x:c>
      <x:c r="P1305" s="30" t="str">
        <x:v>Запятые отделяют придаточные части и границы главной части; внутри однородной связи лишняя запятая не ставится.</x:v>
      </x:c>
      <x:c r="Q1305" s="30"/>
      <x:c r="R1305" s="30" t="str">
        <x:v>PDF + открытый ключ + независимая проверка</x:v>
      </x:c>
      <x:c r="S1305" s="30"/>
      <x:c r="T1305" s="30"/>
      <x:c r="U1305" s="30" t="str">
        <x:v>Расхождений не обнаружено.</x:v>
      </x:c>
      <x:c r="V1305" s="87" t="str">
        <x:v>VERIFIED</x:v>
      </x:c>
      <x:c r="W1305" s="87" t="str">
        <x:v>PDF, задание 19</x:v>
      </x:c>
      <x:c r="X1305" s="87"/>
      <x:c r="Y1305" s="87"/>
      <x:c r="Z1305" s="87"/>
      <x:c r="AA1305" s="87"/>
      <x:c r="AB1305" s="87"/>
      <x:c r="AC1305" s="87"/>
      <x:c r="AD1305" s="87"/>
      <x:c r="AE1305" s="87"/>
      <x:c r="AF1305" s="87"/>
      <x:c r="AG1305" s="87"/>
      <x:c r="AH1305" s="87"/>
      <x:c r="AI1305" s="30"/>
      <x:c r="AJ1305" s="87" t="str">
        <x:v>master</x:v>
      </x:c>
      <x:c r="AK1305" s="87" t="str">
        <x:v>master-v0.81</x:v>
      </x:c>
      <x:c r="AL1305" s="87" t="str">
        <x:v>statgrad_master_base_v0_81_final(2).xlsx</x:v>
      </x:c>
      <x:c r="AM1305" s="87" t="str">
        <x:v>RUS_Mar_V1</x:v>
      </x:c>
      <x:c r="AN1305" s="87" t="n">
        <x:v>20</x:v>
      </x:c>
    </x:row>
    <x:row r="1306">
      <x:c r="A1306" s="87" t="n">
        <x:v>1305</x:v>
      </x:c>
      <x:c r="B1306" s="87" t="str">
        <x:v>MAR-RUS-V1-020</x:v>
      </x:c>
      <x:c r="C1306" s="87" t="str">
        <x:v>СтатГрад</x:v>
      </x:c>
      <x:c r="D1306" s="87" t="str">
        <x:v>Март 2026</x:v>
      </x:c>
      <x:c r="E1306" s="87"/>
      <x:c r="F1306" s="87"/>
      <x:c r="G1306" s="87" t="str">
        <x:v>Русский язык</x:v>
      </x:c>
      <x:c r="H1306" s="87" t="n">
        <x:v>11</x:v>
      </x:c>
      <x:c r="I1306" s="87" t="str">
        <x:v>Диагностическая работа №2</x:v>
      </x:c>
      <x:c r="J1306" s="87" t="str">
        <x:v>РЯ2510601</x:v>
      </x:c>
      <x:c r="K1306" s="87" t="n">
        <x:v>20</x:v>
      </x:c>
      <x:c r="L1306" s="87" t="str">
        <x:v>Сложное предложение с разными видами связи</x:v>
      </x:c>
      <x:c r="M1306" s="30" t="str">
        <x:v>Определить позиции запятых.</x:v>
      </x:c>
      <x:c r="N1306" s="30" t="str">
        <x:v>136</x:v>
      </x:c>
      <x:c r="O1306" s="30" t="str">
        <x:v>Знаки разделяют придаточные определительные и границу придаточной причины с главной частью.</x:v>
      </x:c>
      <x:c r="P1306" s="30" t="str">
        <x:v>Знаки разделяют придаточные определительные и границу придаточной причины с главной частью.</x:v>
      </x:c>
      <x:c r="Q1306" s="30"/>
      <x:c r="R1306" s="30" t="str">
        <x:v>PDF + открытый ключ + независимая проверка</x:v>
      </x:c>
      <x:c r="S1306" s="30"/>
      <x:c r="T1306" s="30"/>
      <x:c r="U1306" s="30" t="str">
        <x:v>Расхождений не обнаружено.</x:v>
      </x:c>
      <x:c r="V1306" s="87" t="str">
        <x:v>VERIFIED</x:v>
      </x:c>
      <x:c r="W1306" s="87" t="str">
        <x:v>PDF, задание 20</x:v>
      </x:c>
      <x:c r="X1306" s="87"/>
      <x:c r="Y1306" s="87"/>
      <x:c r="Z1306" s="87"/>
      <x:c r="AA1306" s="87"/>
      <x:c r="AB1306" s="87"/>
      <x:c r="AC1306" s="87"/>
      <x:c r="AD1306" s="87"/>
      <x:c r="AE1306" s="87"/>
      <x:c r="AF1306" s="87"/>
      <x:c r="AG1306" s="87"/>
      <x:c r="AH1306" s="87"/>
      <x:c r="AI1306" s="30"/>
      <x:c r="AJ1306" s="87" t="str">
        <x:v>master</x:v>
      </x:c>
      <x:c r="AK1306" s="87" t="str">
        <x:v>master-v0.81</x:v>
      </x:c>
      <x:c r="AL1306" s="87" t="str">
        <x:v>statgrad_master_base_v0_81_final(2).xlsx</x:v>
      </x:c>
      <x:c r="AM1306" s="87" t="str">
        <x:v>RUS_Mar_V1</x:v>
      </x:c>
      <x:c r="AN1306" s="87" t="n">
        <x:v>21</x:v>
      </x:c>
    </x:row>
    <x:row r="1307">
      <x:c r="A1307" s="87" t="n">
        <x:v>1306</x:v>
      </x:c>
      <x:c r="B1307" s="87" t="str">
        <x:v>MAR-RUS-V1-021</x:v>
      </x:c>
      <x:c r="C1307" s="87" t="str">
        <x:v>СтатГрад</x:v>
      </x:c>
      <x:c r="D1307" s="87" t="str">
        <x:v>Март 2026</x:v>
      </x:c>
      <x:c r="E1307" s="87"/>
      <x:c r="F1307" s="87"/>
      <x:c r="G1307" s="87" t="str">
        <x:v>Русский язык</x:v>
      </x:c>
      <x:c r="H1307" s="87" t="n">
        <x:v>11</x:v>
      </x:c>
      <x:c r="I1307" s="87" t="str">
        <x:v>Диагностическая работа №2</x:v>
      </x:c>
      <x:c r="J1307" s="87" t="str">
        <x:v>РЯ2510601</x:v>
      </x:c>
      <x:c r="K1307" s="87" t="n">
        <x:v>21</x:v>
      </x:c>
      <x:c r="L1307" s="87" t="str">
        <x:v>Пунктуационный анализ</x:v>
      </x:c>
      <x:c r="M1307" s="30" t="str">
        <x:v>Найти предложения с запятыми по одному и тому же правилу.</x:v>
      </x:c>
      <x:c r="N1307" s="30" t="str">
        <x:v>59</x:v>
      </x:c>
      <x:c r="O1307" s="30" t="str">
        <x:v>В предложениях 5 и 9 запятые разделяют однородные сказуемые/члены при сходной союзной организации.</x:v>
      </x:c>
      <x:c r="P1307" s="30" t="str">
        <x:v>В предложениях 5 и 9 запятые разделяют однородные сказуемые/члены при сходной союзной организации.</x:v>
      </x:c>
      <x:c r="Q1307" s="30"/>
      <x:c r="R1307" s="30" t="str">
        <x:v>PDF + открытый ключ + независимая проверка</x:v>
      </x:c>
      <x:c r="S1307" s="30"/>
      <x:c r="T1307" s="30"/>
      <x:c r="U1307" s="30" t="str">
        <x:v>Расхождений не обнаружено.</x:v>
      </x:c>
      <x:c r="V1307" s="87" t="str">
        <x:v>VERIFIED</x:v>
      </x:c>
      <x:c r="W1307" s="87" t="str">
        <x:v>PDF, задание 21</x:v>
      </x:c>
      <x:c r="X1307" s="87"/>
      <x:c r="Y1307" s="87"/>
      <x:c r="Z1307" s="87"/>
      <x:c r="AA1307" s="87"/>
      <x:c r="AB1307" s="87"/>
      <x:c r="AC1307" s="87"/>
      <x:c r="AD1307" s="87"/>
      <x:c r="AE1307" s="87"/>
      <x:c r="AF1307" s="87"/>
      <x:c r="AG1307" s="87"/>
      <x:c r="AH1307" s="87"/>
      <x:c r="AI1307" s="30"/>
      <x:c r="AJ1307" s="87" t="str">
        <x:v>master</x:v>
      </x:c>
      <x:c r="AK1307" s="87" t="str">
        <x:v>master-v0.81</x:v>
      </x:c>
      <x:c r="AL1307" s="87" t="str">
        <x:v>statgrad_master_base_v0_81_final(2).xlsx</x:v>
      </x:c>
      <x:c r="AM1307" s="87" t="str">
        <x:v>RUS_Mar_V1</x:v>
      </x:c>
      <x:c r="AN1307" s="87" t="n">
        <x:v>22</x:v>
      </x:c>
    </x:row>
    <x:row r="1308">
      <x:c r="A1308" s="87" t="n">
        <x:v>1307</x:v>
      </x:c>
      <x:c r="B1308" s="87" t="str">
        <x:v>MAR-RUS-V1-022</x:v>
      </x:c>
      <x:c r="C1308" s="87" t="str">
        <x:v>СтатГрад</x:v>
      </x:c>
      <x:c r="D1308" s="87" t="str">
        <x:v>Март 2026</x:v>
      </x:c>
      <x:c r="E1308" s="87"/>
      <x:c r="F1308" s="87"/>
      <x:c r="G1308" s="87" t="str">
        <x:v>Русский язык</x:v>
      </x:c>
      <x:c r="H1308" s="87" t="n">
        <x:v>11</x:v>
      </x:c>
      <x:c r="I1308" s="87" t="str">
        <x:v>Диагностическая работа №2</x:v>
      </x:c>
      <x:c r="J1308" s="87" t="str">
        <x:v>РЯ2510601</x:v>
      </x:c>
      <x:c r="K1308" s="87" t="n">
        <x:v>22</x:v>
      </x:c>
      <x:c r="L1308" s="87" t="str">
        <x:v>Средства выразительности</x:v>
      </x:c>
      <x:c r="M1308" s="30" t="str">
        <x:v>Соотнести пять фрагментов с тропами и фигурами речи.</x:v>
      </x:c>
      <x:c r="N1308" s="30" t="str">
        <x:v>97326</x:v>
      </x:c>
      <x:c r="O1308" s="30" t="str">
        <x:v>В последовательности распознаны метафоричность, ироническая оценка, олицетворение, синтаксическая организация перечисления и риторические вопросы.</x:v>
      </x:c>
      <x:c r="P1308" s="30" t="str">
        <x:v>Ответ сверён с полным набором терминов в варианте.</x:v>
      </x:c>
      <x:c r="Q1308" s="30"/>
      <x:c r="R1308" s="30" t="str">
        <x:v>PDF + открытый ключ + независимая проверка</x:v>
      </x:c>
      <x:c r="S1308" s="30"/>
      <x:c r="T1308" s="30"/>
      <x:c r="U1308" s="30" t="str">
        <x:v>Расхождений не обнаружено.</x:v>
      </x:c>
      <x:c r="V1308" s="87" t="str">
        <x:v>VERIFIED</x:v>
      </x:c>
      <x:c r="W1308" s="87" t="str">
        <x:v>PDF, задание 22</x:v>
      </x:c>
      <x:c r="X1308" s="87"/>
      <x:c r="Y1308" s="87"/>
      <x:c r="Z1308" s="87"/>
      <x:c r="AA1308" s="87"/>
      <x:c r="AB1308" s="87"/>
      <x:c r="AC1308" s="87"/>
      <x:c r="AD1308" s="87"/>
      <x:c r="AE1308" s="87"/>
      <x:c r="AF1308" s="87"/>
      <x:c r="AG1308" s="87"/>
      <x:c r="AH1308" s="87"/>
      <x:c r="AI1308" s="30"/>
      <x:c r="AJ1308" s="87" t="str">
        <x:v>master</x:v>
      </x:c>
      <x:c r="AK1308" s="87" t="str">
        <x:v>master-v0.81</x:v>
      </x:c>
      <x:c r="AL1308" s="87" t="str">
        <x:v>statgrad_master_base_v0_81_final(2).xlsx</x:v>
      </x:c>
      <x:c r="AM1308" s="87" t="str">
        <x:v>RUS_Mar_V1</x:v>
      </x:c>
      <x:c r="AN1308" s="87" t="n">
        <x:v>23</x:v>
      </x:c>
    </x:row>
    <x:row r="1309">
      <x:c r="A1309" s="87" t="n">
        <x:v>1308</x:v>
      </x:c>
      <x:c r="B1309" s="87" t="str">
        <x:v>MAR-RUS-V1-023</x:v>
      </x:c>
      <x:c r="C1309" s="87" t="str">
        <x:v>СтатГрад</x:v>
      </x:c>
      <x:c r="D1309" s="87" t="str">
        <x:v>Март 2026</x:v>
      </x:c>
      <x:c r="E1309" s="87"/>
      <x:c r="F1309" s="87"/>
      <x:c r="G1309" s="87" t="str">
        <x:v>Русский язык</x:v>
      </x:c>
      <x:c r="H1309" s="87" t="n">
        <x:v>11</x:v>
      </x:c>
      <x:c r="I1309" s="87" t="str">
        <x:v>Диагностическая работа №2</x:v>
      </x:c>
      <x:c r="J1309" s="87" t="str">
        <x:v>РЯ2510601</x:v>
      </x:c>
      <x:c r="K1309" s="87" t="n">
        <x:v>23</x:v>
      </x:c>
      <x:c r="L1309" s="87" t="str">
        <x:v>Содержание текста</x:v>
      </x:c>
      <x:c r="M1309" s="30" t="str">
        <x:v>Выбрать утверждения, не соответствующие рассказу О. М. Куваева.</x:v>
      </x:c>
      <x:c r="N1309" s="30" t="str">
        <x:v>23</x:v>
      </x:c>
      <x:c r="O1309" s="30" t="str">
        <x:v>Неверны утверждения 2 и 3: место для бани расчищал Салахов, а сведения о судьбе семьи Бога Огня переданы иначе.</x:v>
      </x:c>
      <x:c r="P1309" s="30" t="str">
        <x:v>Неверны утверждения 2 и 3: место для бани расчищал Салахов, а сведения о судьбе семьи Бога Огня переданы иначе.</x:v>
      </x:c>
      <x:c r="Q1309" s="30"/>
      <x:c r="R1309" s="30" t="str">
        <x:v>PDF + открытый ключ + независимая проверка</x:v>
      </x:c>
      <x:c r="S1309" s="30"/>
      <x:c r="T1309" s="30"/>
      <x:c r="U1309" s="30" t="str">
        <x:v>Расхождений не обнаружено.</x:v>
      </x:c>
      <x:c r="V1309" s="87" t="str">
        <x:v>VERIFIED</x:v>
      </x:c>
      <x:c r="W1309" s="87" t="str">
        <x:v>PDF, задание 23</x:v>
      </x:c>
      <x:c r="X1309" s="87"/>
      <x:c r="Y1309" s="87"/>
      <x:c r="Z1309" s="87"/>
      <x:c r="AA1309" s="87"/>
      <x:c r="AB1309" s="87"/>
      <x:c r="AC1309" s="87"/>
      <x:c r="AD1309" s="87"/>
      <x:c r="AE1309" s="87"/>
      <x:c r="AF1309" s="87"/>
      <x:c r="AG1309" s="87"/>
      <x:c r="AH1309" s="87"/>
      <x:c r="AI1309" s="30"/>
      <x:c r="AJ1309" s="87" t="str">
        <x:v>master</x:v>
      </x:c>
      <x:c r="AK1309" s="87" t="str">
        <x:v>master-v0.81</x:v>
      </x:c>
      <x:c r="AL1309" s="87" t="str">
        <x:v>statgrad_master_base_v0_81_final(2).xlsx</x:v>
      </x:c>
      <x:c r="AM1309" s="87" t="str">
        <x:v>RUS_Mar_V1</x:v>
      </x:c>
      <x:c r="AN1309" s="87" t="n">
        <x:v>24</x:v>
      </x:c>
    </x:row>
    <x:row r="1310">
      <x:c r="A1310" s="87" t="n">
        <x:v>1309</x:v>
      </x:c>
      <x:c r="B1310" s="87" t="str">
        <x:v>MAR-RUS-V1-024</x:v>
      </x:c>
      <x:c r="C1310" s="87" t="str">
        <x:v>СтатГрад</x:v>
      </x:c>
      <x:c r="D1310" s="87" t="str">
        <x:v>Март 2026</x:v>
      </x:c>
      <x:c r="E1310" s="87"/>
      <x:c r="F1310" s="87"/>
      <x:c r="G1310" s="87" t="str">
        <x:v>Русский язык</x:v>
      </x:c>
      <x:c r="H1310" s="87" t="n">
        <x:v>11</x:v>
      </x:c>
      <x:c r="I1310" s="87" t="str">
        <x:v>Диагностическая работа №2</x:v>
      </x:c>
      <x:c r="J1310" s="87" t="str">
        <x:v>РЯ2510601</x:v>
      </x:c>
      <x:c r="K1310" s="87" t="n">
        <x:v>24</x:v>
      </x:c>
      <x:c r="L1310" s="87" t="str">
        <x:v>Функционально-смысловые типы речи</x:v>
      </x:c>
      <x:c r="M1310" s="30" t="str">
        <x:v>Выбрать верные утверждения о повествовании, описании и смысловой связи предложений.</x:v>
      </x:c>
      <x:c r="N1310" s="30" t="str">
        <x:v>124</x:v>
      </x:c>
      <x:c r="O1310" s="30" t="str">
        <x:v>Верно определены повествовательные фрагменты и противопоставление; утверждение о следствии не соответствует логике текста.</x:v>
      </x:c>
      <x:c r="P1310" s="30" t="str">
        <x:v>Верно определены повествовательные фрагменты и противопоставление; утверждение о следствии не соответствует логике текста.</x:v>
      </x:c>
      <x:c r="Q1310" s="30"/>
      <x:c r="R1310" s="30" t="str">
        <x:v>PDF + открытый ключ + независимая проверка</x:v>
      </x:c>
      <x:c r="S1310" s="30"/>
      <x:c r="T1310" s="30"/>
      <x:c r="U1310" s="30" t="str">
        <x:v>Расхождений не обнаружено.</x:v>
      </x:c>
      <x:c r="V1310" s="87" t="str">
        <x:v>VERIFIED</x:v>
      </x:c>
      <x:c r="W1310" s="87" t="str">
        <x:v>PDF, задание 24</x:v>
      </x:c>
      <x:c r="X1310" s="87"/>
      <x:c r="Y1310" s="87"/>
      <x:c r="Z1310" s="87"/>
      <x:c r="AA1310" s="87"/>
      <x:c r="AB1310" s="87"/>
      <x:c r="AC1310" s="87"/>
      <x:c r="AD1310" s="87"/>
      <x:c r="AE1310" s="87"/>
      <x:c r="AF1310" s="87"/>
      <x:c r="AG1310" s="87"/>
      <x:c r="AH1310" s="87"/>
      <x:c r="AI1310" s="30"/>
      <x:c r="AJ1310" s="87" t="str">
        <x:v>master</x:v>
      </x:c>
      <x:c r="AK1310" s="87" t="str">
        <x:v>master-v0.81</x:v>
      </x:c>
      <x:c r="AL1310" s="87" t="str">
        <x:v>statgrad_master_base_v0_81_final(2).xlsx</x:v>
      </x:c>
      <x:c r="AM1310" s="87" t="str">
        <x:v>RUS_Mar_V1</x:v>
      </x:c>
      <x:c r="AN1310" s="87" t="n">
        <x:v>25</x:v>
      </x:c>
    </x:row>
    <x:row r="1311">
      <x:c r="A1311" s="87" t="n">
        <x:v>1310</x:v>
      </x:c>
      <x:c r="B1311" s="87" t="str">
        <x:v>MAR-RUS-V1-025</x:v>
      </x:c>
      <x:c r="C1311" s="87" t="str">
        <x:v>СтатГрад</x:v>
      </x:c>
      <x:c r="D1311" s="87" t="str">
        <x:v>Март 2026</x:v>
      </x:c>
      <x:c r="E1311" s="87"/>
      <x:c r="F1311" s="87"/>
      <x:c r="G1311" s="87" t="str">
        <x:v>Русский язык</x:v>
      </x:c>
      <x:c r="H1311" s="87" t="n">
        <x:v>11</x:v>
      </x:c>
      <x:c r="I1311" s="87" t="str">
        <x:v>Диагностическая работа №2</x:v>
      </x:c>
      <x:c r="J1311" s="87" t="str">
        <x:v>РЯ2510601</x:v>
      </x:c>
      <x:c r="K1311" s="87" t="n">
        <x:v>25</x:v>
      </x:c>
      <x:c r="L1311" s="87" t="str">
        <x:v>Лексические отношения</x:v>
      </x:c>
      <x:c r="M1311" s="30" t="str">
        <x:v>Выписать антонимическую пару из предложений 5–11.</x:v>
      </x:c>
      <x:c r="N1311" s="30" t="str">
        <x:v>взял положил</x:v>
      </x:c>
      <x:c r="O1311" s="30" t="str">
        <x:v>В контексте действия «взял» и «положил» противопоставлены по направлению действия.</x:v>
      </x:c>
      <x:c r="P1311" s="30" t="str">
        <x:v>В контексте действия «взял» и «положил» противопоставлены по направлению действия.</x:v>
      </x:c>
      <x:c r="Q1311" s="30"/>
      <x:c r="R1311" s="30" t="str">
        <x:v>PDF + открытый ключ + независимая проверка</x:v>
      </x:c>
      <x:c r="S1311" s="30"/>
      <x:c r="T1311" s="30"/>
      <x:c r="U1311" s="30" t="str">
        <x:v>Расхождений не обнаружено.</x:v>
      </x:c>
      <x:c r="V1311" s="87" t="str">
        <x:v>VERIFIED</x:v>
      </x:c>
      <x:c r="W1311" s="87" t="str">
        <x:v>PDF, задание 25</x:v>
      </x:c>
      <x:c r="X1311" s="87"/>
      <x:c r="Y1311" s="87"/>
      <x:c r="Z1311" s="87"/>
      <x:c r="AA1311" s="87"/>
      <x:c r="AB1311" s="87"/>
      <x:c r="AC1311" s="87"/>
      <x:c r="AD1311" s="87"/>
      <x:c r="AE1311" s="87"/>
      <x:c r="AF1311" s="87"/>
      <x:c r="AG1311" s="87"/>
      <x:c r="AH1311" s="87"/>
      <x:c r="AI1311" s="30"/>
      <x:c r="AJ1311" s="87" t="str">
        <x:v>master</x:v>
      </x:c>
      <x:c r="AK1311" s="87" t="str">
        <x:v>master-v0.81</x:v>
      </x:c>
      <x:c r="AL1311" s="87" t="str">
        <x:v>statgrad_master_base_v0_81_final(2).xlsx</x:v>
      </x:c>
      <x:c r="AM1311" s="87" t="str">
        <x:v>RUS_Mar_V1</x:v>
      </x:c>
      <x:c r="AN1311" s="87" t="n">
        <x:v>26</x:v>
      </x:c>
    </x:row>
    <x:row r="1312">
      <x:c r="A1312" s="87" t="n">
        <x:v>1311</x:v>
      </x:c>
      <x:c r="B1312" s="87" t="str">
        <x:v>MAR-RUS-V1-026</x:v>
      </x:c>
      <x:c r="C1312" s="87" t="str">
        <x:v>СтатГрад</x:v>
      </x:c>
      <x:c r="D1312" s="87" t="str">
        <x:v>Март 2026</x:v>
      </x:c>
      <x:c r="E1312" s="87"/>
      <x:c r="F1312" s="87"/>
      <x:c r="G1312" s="87" t="str">
        <x:v>Русский язык</x:v>
      </x:c>
      <x:c r="H1312" s="87" t="n">
        <x:v>11</x:v>
      </x:c>
      <x:c r="I1312" s="87" t="str">
        <x:v>Диагностическая работа №2</x:v>
      </x:c>
      <x:c r="J1312" s="87" t="str">
        <x:v>РЯ2510601</x:v>
      </x:c>
      <x:c r="K1312" s="87" t="n">
        <x:v>26</x:v>
      </x:c>
      <x:c r="L1312" s="87" t="str">
        <x:v>Средства связи предложений</x:v>
      </x:c>
      <x:c r="M1312" s="30" t="str">
        <x:v>Найти предложение, связанное с предыдущим местоимением, формами слова, повтором и контекстными синонимами.</x:v>
      </x:c>
      <x:c r="N1312" s="30" t="str">
        <x:v>4</x:v>
      </x:c>
      <x:c r="O1312" s="30" t="str">
        <x:v>Именно предложение 4 объединяет перечисленные средства межфразовой связи.</x:v>
      </x:c>
      <x:c r="P1312" s="30" t="str">
        <x:v>Именно предложение 4 объединяет перечисленные средства межфразовой связи.</x:v>
      </x:c>
      <x:c r="Q1312" s="30"/>
      <x:c r="R1312" s="30" t="str">
        <x:v>PDF + открытый ключ + независимая проверка</x:v>
      </x:c>
      <x:c r="S1312" s="30"/>
      <x:c r="T1312" s="30"/>
      <x:c r="U1312" s="30" t="str">
        <x:v>Расхождений не обнаружено.</x:v>
      </x:c>
      <x:c r="V1312" s="87" t="str">
        <x:v>VERIFIED</x:v>
      </x:c>
      <x:c r="W1312" s="87" t="str">
        <x:v>PDF, задание 26</x:v>
      </x:c>
      <x:c r="X1312" s="87"/>
      <x:c r="Y1312" s="87"/>
      <x:c r="Z1312" s="87"/>
      <x:c r="AA1312" s="87"/>
      <x:c r="AB1312" s="87"/>
      <x:c r="AC1312" s="87"/>
      <x:c r="AD1312" s="87"/>
      <x:c r="AE1312" s="87"/>
      <x:c r="AF1312" s="87"/>
      <x:c r="AG1312" s="87"/>
      <x:c r="AH1312" s="87"/>
      <x:c r="AI1312" s="30"/>
      <x:c r="AJ1312" s="87" t="str">
        <x:v>master</x:v>
      </x:c>
      <x:c r="AK1312" s="87" t="str">
        <x:v>master-v0.81</x:v>
      </x:c>
      <x:c r="AL1312" s="87" t="str">
        <x:v>statgrad_master_base_v0_81_final(2).xlsx</x:v>
      </x:c>
      <x:c r="AM1312" s="87" t="str">
        <x:v>RUS_Mar_V1</x:v>
      </x:c>
      <x:c r="AN1312" s="87" t="n">
        <x:v>27</x:v>
      </x:c>
    </x:row>
    <x:row r="1313">
      <x:c r="A1313" s="87" t="n">
        <x:v>1312</x:v>
      </x:c>
      <x:c r="B1313" s="87" t="str">
        <x:v>MAR-RUS-V1-027</x:v>
      </x:c>
      <x:c r="C1313" s="87" t="str">
        <x:v>СтатГрад</x:v>
      </x:c>
      <x:c r="D1313" s="87" t="str">
        <x:v>Март 2026</x:v>
      </x:c>
      <x:c r="E1313" s="87"/>
      <x:c r="F1313" s="87"/>
      <x:c r="G1313" s="87" t="str">
        <x:v>Русский язык</x:v>
      </x:c>
      <x:c r="H1313" s="87" t="n">
        <x:v>11</x:v>
      </x:c>
      <x:c r="I1313" s="87" t="str">
        <x:v>Диагностическая работа №2</x:v>
      </x:c>
      <x:c r="J1313" s="87" t="str">
        <x:v>РЯ2510601</x:v>
      </x:c>
      <x:c r="K1313" s="87" t="n">
        <x:v>27</x:v>
      </x:c>
      <x:c r="L1313" s="87" t="str">
        <x:v>Сочинение-рассуждение</x:v>
      </x:c>
      <x:c r="M1313" s="30" t="str">
        <x:v>Написать сочинение по проблеме: «В чём заключается противоречивость человеческой натуры?»</x:v>
      </x:c>
      <x:c r="N1313" s="30" t="str">
        <x:v>В предложенном тексте О. М. Куваев размышляет о противоречивости человеческой натуры. Позиция автора такова: в человеке одновременно существуют способность к состраданию и склонность к эгоизму; трудности могут пробуждать лучшие качества, а благополучие — обнаруживать слабости.
Сначала Салахов искренне заботится о заболевшем Боге Огня: несёт его рюкзак, устраивает импровизированную баню, согревает товарища и поит чаем. Этот пример показывает, что тяжёлые обстоятельства способны объединить людей и вызвать бескорыстное желание помочь. Затем выздоровевший Бог Огня начинает жадно ловить рыбу и думает лишь о запасе для себя. Салахов с горечью видит в нём «шкурника» и вспоминает собственные прежние ошибки. Второй пример противопоставлен первому: забота и облегчение не гарантируют нравственного роста, а иногда пробуждают жадность.
Я согласен с автором. Человеческие качества проявляются не раз и навсегда: обстоятельства испытывают человека, но окончательный выбор делает он сам. В романе Ф. М. Достоевского «Преступление и наказание» Раскольников подчиняется гордыне и совершает преступление, однако страдание и любовь Сони помогают ему начать путь к раскаянию. Следовательно, противоречивость человеческой натуры выражается в борьбе добра и эгоизма, а нравственный выбор определяет, какая сторона победит.</x:v>
      </x:c>
      <x:c r="O1313" s="30" t="str">
        <x:v>Модель содержит позицию автора, два прокомментированных примера, связь-противопоставление, собственную позицию и литературный аргумент.</x:v>
      </x:c>
      <x:c r="P1313" s="30" t="str">
        <x:v>Модель содержит позицию автора, два прокомментированных примера, связь-противопоставление, собственную позицию и литературный аргумент.</x:v>
      </x:c>
      <x:c r="Q1313" s="30"/>
      <x:c r="R1313" s="30" t="str">
        <x:v>Полный текст Куваева + открытая модель + независимая редакция</x:v>
      </x:c>
      <x:c r="S1313" s="30"/>
      <x:c r="T1313" s="30"/>
      <x:c r="U1313" s="30" t="str">
        <x:v>Расхождений не обнаружено.</x:v>
      </x:c>
      <x:c r="V1313" s="87" t="str">
        <x:v>VERIFIED</x:v>
      </x:c>
      <x:c r="W1313" s="87" t="str">
        <x:v>PDF, задание 27</x:v>
      </x:c>
      <x:c r="X1313" s="87"/>
      <x:c r="Y1313" s="87"/>
      <x:c r="Z1313" s="87"/>
      <x:c r="AA1313" s="87"/>
      <x:c r="AB1313" s="87"/>
      <x:c r="AC1313" s="87"/>
      <x:c r="AD1313" s="87"/>
      <x:c r="AE1313" s="87"/>
      <x:c r="AF1313" s="87"/>
      <x:c r="AG1313" s="87"/>
      <x:c r="AH1313" s="87"/>
      <x:c r="AI1313" s="30"/>
      <x:c r="AJ1313" s="87" t="str">
        <x:v>master</x:v>
      </x:c>
      <x:c r="AK1313" s="87" t="str">
        <x:v>master-v0.81</x:v>
      </x:c>
      <x:c r="AL1313" s="87" t="str">
        <x:v>statgrad_master_base_v0_81_final(2).xlsx</x:v>
      </x:c>
      <x:c r="AM1313" s="87" t="str">
        <x:v>RUS_Mar_V1</x:v>
      </x:c>
      <x:c r="AN1313" s="87" t="n">
        <x:v>28</x:v>
      </x:c>
    </x:row>
    <x:row r="1314">
      <x:c r="A1314" s="87" t="n">
        <x:v>1313</x:v>
      </x:c>
      <x:c r="B1314" s="87" t="str">
        <x:v>MAR-RUS-V2-001</x:v>
      </x:c>
      <x:c r="C1314" s="87" t="str">
        <x:v>СтатГрад</x:v>
      </x:c>
      <x:c r="D1314" s="87" t="str">
        <x:v>Март 2026</x:v>
      </x:c>
      <x:c r="E1314" s="87"/>
      <x:c r="F1314" s="87"/>
      <x:c r="G1314" s="87" t="str">
        <x:v>Русский язык</x:v>
      </x:c>
      <x:c r="H1314" s="87" t="n">
        <x:v>11</x:v>
      </x:c>
      <x:c r="I1314" s="87" t="str">
        <x:v>Диагностическая работа №2</x:v>
      </x:c>
      <x:c r="J1314" s="87" t="str">
        <x:v>РЯ2510602</x:v>
      </x:c>
      <x:c r="K1314" s="87" t="n">
        <x:v>1</x:v>
      </x:c>
      <x:c r="L1314" s="87" t="str">
        <x:v>Средства связи предложений</x:v>
      </x:c>
      <x:c r="M1314" s="30" t="str">
        <x:v>Подобрать притяжательное местоимение в тексте о Ломоносове.</x:v>
      </x:c>
      <x:c r="N1314" s="30" t="str">
        <x:v>его</x:v>
      </x:c>
      <x:c r="O1314" s="30" t="str">
        <x:v>Местоимение «его» соотносит масштаб личности с Ломоносовым.</x:v>
      </x:c>
      <x:c r="P1314" s="30" t="str">
        <x:v>Местоимение «его» соотносит масштаб личности с Ломоносовым.</x:v>
      </x:c>
      <x:c r="Q1314" s="30"/>
      <x:c r="R1314" s="30" t="str">
        <x:v>PDF + открытый ключ + независимая проверка</x:v>
      </x:c>
      <x:c r="S1314" s="30"/>
      <x:c r="T1314" s="30"/>
      <x:c r="U1314" s="30" t="str">
        <x:v>Расхождений не обнаружено.</x:v>
      </x:c>
      <x:c r="V1314" s="87" t="str">
        <x:v>VERIFIED</x:v>
      </x:c>
      <x:c r="W1314" s="87" t="str">
        <x:v>PDF, задание 1</x:v>
      </x:c>
      <x:c r="X1314" s="87"/>
      <x:c r="Y1314" s="87"/>
      <x:c r="Z1314" s="87"/>
      <x:c r="AA1314" s="87"/>
      <x:c r="AB1314" s="87"/>
      <x:c r="AC1314" s="87"/>
      <x:c r="AD1314" s="87"/>
      <x:c r="AE1314" s="87"/>
      <x:c r="AF1314" s="87"/>
      <x:c r="AG1314" s="87"/>
      <x:c r="AH1314" s="87"/>
      <x:c r="AI1314" s="30"/>
      <x:c r="AJ1314" s="87" t="str">
        <x:v>master</x:v>
      </x:c>
      <x:c r="AK1314" s="87" t="str">
        <x:v>master-v0.81</x:v>
      </x:c>
      <x:c r="AL1314" s="87" t="str">
        <x:v>statgrad_master_base_v0_81_final(2).xlsx</x:v>
      </x:c>
      <x:c r="AM1314" s="87" t="str">
        <x:v>RUS_Mar_V2</x:v>
      </x:c>
      <x:c r="AN1314" s="87" t="n">
        <x:v>2</x:v>
      </x:c>
    </x:row>
    <x:row r="1315">
      <x:c r="A1315" s="87" t="n">
        <x:v>1314</x:v>
      </x:c>
      <x:c r="B1315" s="87" t="str">
        <x:v>MAR-RUS-V2-002</x:v>
      </x:c>
      <x:c r="C1315" s="87" t="str">
        <x:v>СтатГрад</x:v>
      </x:c>
      <x:c r="D1315" s="87" t="str">
        <x:v>Март 2026</x:v>
      </x:c>
      <x:c r="E1315" s="87"/>
      <x:c r="F1315" s="87"/>
      <x:c r="G1315" s="87" t="str">
        <x:v>Русский язык</x:v>
      </x:c>
      <x:c r="H1315" s="87" t="n">
        <x:v>11</x:v>
      </x:c>
      <x:c r="I1315" s="87" t="str">
        <x:v>Диагностическая работа №2</x:v>
      </x:c>
      <x:c r="J1315" s="87" t="str">
        <x:v>РЯ2510602</x:v>
      </x:c>
      <x:c r="K1315" s="87" t="n">
        <x:v>2</x:v>
      </x:c>
      <x:c r="L1315" s="87" t="str">
        <x:v>Лексическое значение</x:v>
      </x:c>
      <x:c r="M1315" s="30" t="str">
        <x:v>Выбрать контекстно верные словарные толкования.</x:v>
      </x:c>
      <x:c r="N1315" s="30" t="str">
        <x:v>1345</x:v>
      </x:c>
      <x:c r="O1315" s="30" t="str">
        <x:v>Контексту соответствуют значения слов «число», «пробуждать», «сын» и «пласт».</x:v>
      </x:c>
      <x:c r="P1315" s="30" t="str">
        <x:v>Контексту соответствуют значения слов «число», «пробуждать», «сын» и «пласт».</x:v>
      </x:c>
      <x:c r="Q1315" s="30"/>
      <x:c r="R1315" s="30" t="str">
        <x:v>PDF + открытый ключ + независимая проверка</x:v>
      </x:c>
      <x:c r="S1315" s="30"/>
      <x:c r="T1315" s="30"/>
      <x:c r="U1315" s="30" t="str">
        <x:v>Расхождений не обнаружено.</x:v>
      </x:c>
      <x:c r="V1315" s="87" t="str">
        <x:v>VERIFIED</x:v>
      </x:c>
      <x:c r="W1315" s="87" t="str">
        <x:v>PDF, задание 2</x:v>
      </x:c>
      <x:c r="X1315" s="87"/>
      <x:c r="Y1315" s="87"/>
      <x:c r="Z1315" s="87"/>
      <x:c r="AA1315" s="87"/>
      <x:c r="AB1315" s="87"/>
      <x:c r="AC1315" s="87"/>
      <x:c r="AD1315" s="87"/>
      <x:c r="AE1315" s="87"/>
      <x:c r="AF1315" s="87"/>
      <x:c r="AG1315" s="87"/>
      <x:c r="AH1315" s="87"/>
      <x:c r="AI1315" s="30"/>
      <x:c r="AJ1315" s="87" t="str">
        <x:v>master</x:v>
      </x:c>
      <x:c r="AK1315" s="87" t="str">
        <x:v>master-v0.81</x:v>
      </x:c>
      <x:c r="AL1315" s="87" t="str">
        <x:v>statgrad_master_base_v0_81_final(2).xlsx</x:v>
      </x:c>
      <x:c r="AM1315" s="87" t="str">
        <x:v>RUS_Mar_V2</x:v>
      </x:c>
      <x:c r="AN1315" s="87" t="n">
        <x:v>3</x:v>
      </x:c>
    </x:row>
    <x:row r="1316">
      <x:c r="A1316" s="87" t="n">
        <x:v>1315</x:v>
      </x:c>
      <x:c r="B1316" s="87" t="str">
        <x:v>MAR-RUS-V2-003</x:v>
      </x:c>
      <x:c r="C1316" s="87" t="str">
        <x:v>СтатГрад</x:v>
      </x:c>
      <x:c r="D1316" s="87" t="str">
        <x:v>Март 2026</x:v>
      </x:c>
      <x:c r="E1316" s="87"/>
      <x:c r="F1316" s="87"/>
      <x:c r="G1316" s="87" t="str">
        <x:v>Русский язык</x:v>
      </x:c>
      <x:c r="H1316" s="87" t="n">
        <x:v>11</x:v>
      </x:c>
      <x:c r="I1316" s="87" t="str">
        <x:v>Диагностическая работа №2</x:v>
      </x:c>
      <x:c r="J1316" s="87" t="str">
        <x:v>РЯ2510602</x:v>
      </x:c>
      <x:c r="K1316" s="87" t="n">
        <x:v>3</x:v>
      </x:c>
      <x:c r="L1316" s="87" t="str">
        <x:v>Стилистический анализ</x:v>
      </x:c>
      <x:c r="M1316" s="30" t="str">
        <x:v>Выбрать верные характеристики публицистического предисловия.</x:v>
      </x:c>
      <x:c r="N1316" s="30" t="str">
        <x:v>25</x:v>
      </x:c>
      <x:c r="O1316" s="30" t="str">
        <x:v>Текст является предисловием публицистического характера и содержит метафоры и эпитеты.</x:v>
      </x:c>
      <x:c r="P1316" s="30" t="str">
        <x:v>Текст является предисловием публицистического характера и содержит метафоры и эпитеты.</x:v>
      </x:c>
      <x:c r="Q1316" s="30"/>
      <x:c r="R1316" s="30" t="str">
        <x:v>PDF + открытый ключ + независимая проверка</x:v>
      </x:c>
      <x:c r="S1316" s="30"/>
      <x:c r="T1316" s="30"/>
      <x:c r="U1316" s="30" t="str">
        <x:v>Расхождений не обнаружено.</x:v>
      </x:c>
      <x:c r="V1316" s="87" t="str">
        <x:v>VERIFIED</x:v>
      </x:c>
      <x:c r="W1316" s="87" t="str">
        <x:v>PDF, задание 3</x:v>
      </x:c>
      <x:c r="X1316" s="87"/>
      <x:c r="Y1316" s="87"/>
      <x:c r="Z1316" s="87"/>
      <x:c r="AA1316" s="87"/>
      <x:c r="AB1316" s="87"/>
      <x:c r="AC1316" s="87"/>
      <x:c r="AD1316" s="87"/>
      <x:c r="AE1316" s="87"/>
      <x:c r="AF1316" s="87"/>
      <x:c r="AG1316" s="87"/>
      <x:c r="AH1316" s="87"/>
      <x:c r="AI1316" s="30"/>
      <x:c r="AJ1316" s="87" t="str">
        <x:v>master</x:v>
      </x:c>
      <x:c r="AK1316" s="87" t="str">
        <x:v>master-v0.81</x:v>
      </x:c>
      <x:c r="AL1316" s="87" t="str">
        <x:v>statgrad_master_base_v0_81_final(2).xlsx</x:v>
      </x:c>
      <x:c r="AM1316" s="87" t="str">
        <x:v>RUS_Mar_V2</x:v>
      </x:c>
      <x:c r="AN1316" s="87" t="n">
        <x:v>4</x:v>
      </x:c>
    </x:row>
    <x:row r="1317">
      <x:c r="A1317" s="87" t="n">
        <x:v>1316</x:v>
      </x:c>
      <x:c r="B1317" s="87" t="str">
        <x:v>MAR-RUS-V2-004</x:v>
      </x:c>
      <x:c r="C1317" s="87" t="str">
        <x:v>СтатГрад</x:v>
      </x:c>
      <x:c r="D1317" s="87" t="str">
        <x:v>Март 2026</x:v>
      </x:c>
      <x:c r="E1317" s="87"/>
      <x:c r="F1317" s="87"/>
      <x:c r="G1317" s="87" t="str">
        <x:v>Русский язык</x:v>
      </x:c>
      <x:c r="H1317" s="87" t="n">
        <x:v>11</x:v>
      </x:c>
      <x:c r="I1317" s="87" t="str">
        <x:v>Диагностическая работа №2</x:v>
      </x:c>
      <x:c r="J1317" s="87" t="str">
        <x:v>РЯ2510602</x:v>
      </x:c>
      <x:c r="K1317" s="87" t="n">
        <x:v>4</x:v>
      </x:c>
      <x:c r="L1317" s="87" t="str">
        <x:v>Орфоэпия</x:v>
      </x:c>
      <x:c r="M1317" s="30" t="str">
        <x:v>Выбрать слова с верным ударением.</x:v>
      </x:c>
      <x:c r="N1317" s="30" t="str">
        <x:v>123</x:v>
      </x:c>
      <x:c r="O1317" s="30" t="str">
        <x:v>Нормативно: послАла, прИбыл, нЕдруг.</x:v>
      </x:c>
      <x:c r="P1317" s="30" t="str">
        <x:v>Нормативно: послАла, прИбыл, нЕдруг.</x:v>
      </x:c>
      <x:c r="Q1317" s="30"/>
      <x:c r="R1317" s="30" t="str">
        <x:v>PDF + открытый ключ + независимая проверка</x:v>
      </x:c>
      <x:c r="S1317" s="30"/>
      <x:c r="T1317" s="30"/>
      <x:c r="U1317" s="30" t="str">
        <x:v>Расхождений не обнаружено.</x:v>
      </x:c>
      <x:c r="V1317" s="87" t="str">
        <x:v>VERIFIED</x:v>
      </x:c>
      <x:c r="W1317" s="87" t="str">
        <x:v>PDF, задание 4</x:v>
      </x:c>
      <x:c r="X1317" s="87"/>
      <x:c r="Y1317" s="87"/>
      <x:c r="Z1317" s="87"/>
      <x:c r="AA1317" s="87"/>
      <x:c r="AB1317" s="87"/>
      <x:c r="AC1317" s="87"/>
      <x:c r="AD1317" s="87"/>
      <x:c r="AE1317" s="87"/>
      <x:c r="AF1317" s="87"/>
      <x:c r="AG1317" s="87"/>
      <x:c r="AH1317" s="87"/>
      <x:c r="AI1317" s="30"/>
      <x:c r="AJ1317" s="87" t="str">
        <x:v>master</x:v>
      </x:c>
      <x:c r="AK1317" s="87" t="str">
        <x:v>master-v0.81</x:v>
      </x:c>
      <x:c r="AL1317" s="87" t="str">
        <x:v>statgrad_master_base_v0_81_final(2).xlsx</x:v>
      </x:c>
      <x:c r="AM1317" s="87" t="str">
        <x:v>RUS_Mar_V2</x:v>
      </x:c>
      <x:c r="AN1317" s="87" t="n">
        <x:v>5</x:v>
      </x:c>
    </x:row>
    <x:row r="1318">
      <x:c r="A1318" s="87" t="n">
        <x:v>1317</x:v>
      </x:c>
      <x:c r="B1318" s="87" t="str">
        <x:v>MAR-RUS-V2-005</x:v>
      </x:c>
      <x:c r="C1318" s="87" t="str">
        <x:v>СтатГрад</x:v>
      </x:c>
      <x:c r="D1318" s="87" t="str">
        <x:v>Март 2026</x:v>
      </x:c>
      <x:c r="E1318" s="87"/>
      <x:c r="F1318" s="87"/>
      <x:c r="G1318" s="87" t="str">
        <x:v>Русский язык</x:v>
      </x:c>
      <x:c r="H1318" s="87" t="n">
        <x:v>11</x:v>
      </x:c>
      <x:c r="I1318" s="87" t="str">
        <x:v>Диагностическая работа №2</x:v>
      </x:c>
      <x:c r="J1318" s="87" t="str">
        <x:v>РЯ2510602</x:v>
      </x:c>
      <x:c r="K1318" s="87" t="n">
        <x:v>5</x:v>
      </x:c>
      <x:c r="L1318" s="87" t="str">
        <x:v>Паронимы</x:v>
      </x:c>
      <x:c r="M1318" s="30" t="str">
        <x:v>Исправить сочетание «человек памятный».</x:v>
      </x:c>
      <x:c r="N1318" s="30" t="str">
        <x:v>памятливый</x:v>
      </x:c>
      <x:c r="O1318" s="30" t="str">
        <x:v>Памятливый — обладающий хорошей памятью; памятный — сохраняющийся в памяти.</x:v>
      </x:c>
      <x:c r="P1318" s="30" t="str">
        <x:v>Памятливый — обладающий хорошей памятью; памятный — сохраняющийся в памяти.</x:v>
      </x:c>
      <x:c r="Q1318" s="30"/>
      <x:c r="R1318" s="30" t="str">
        <x:v>PDF + открытый ключ + независимая проверка</x:v>
      </x:c>
      <x:c r="S1318" s="30"/>
      <x:c r="T1318" s="30"/>
      <x:c r="U1318" s="30" t="str">
        <x:v>Расхождений не обнаружено.</x:v>
      </x:c>
      <x:c r="V1318" s="87" t="str">
        <x:v>VERIFIED</x:v>
      </x:c>
      <x:c r="W1318" s="87" t="str">
        <x:v>PDF, задание 5</x:v>
      </x:c>
      <x:c r="X1318" s="87"/>
      <x:c r="Y1318" s="87"/>
      <x:c r="Z1318" s="87"/>
      <x:c r="AA1318" s="87"/>
      <x:c r="AB1318" s="87"/>
      <x:c r="AC1318" s="87"/>
      <x:c r="AD1318" s="87"/>
      <x:c r="AE1318" s="87"/>
      <x:c r="AF1318" s="87"/>
      <x:c r="AG1318" s="87"/>
      <x:c r="AH1318" s="87"/>
      <x:c r="AI1318" s="30"/>
      <x:c r="AJ1318" s="87" t="str">
        <x:v>master</x:v>
      </x:c>
      <x:c r="AK1318" s="87" t="str">
        <x:v>master-v0.81</x:v>
      </x:c>
      <x:c r="AL1318" s="87" t="str">
        <x:v>statgrad_master_base_v0_81_final(2).xlsx</x:v>
      </x:c>
      <x:c r="AM1318" s="87" t="str">
        <x:v>RUS_Mar_V2</x:v>
      </x:c>
      <x:c r="AN1318" s="87" t="n">
        <x:v>6</x:v>
      </x:c>
    </x:row>
    <x:row r="1319">
      <x:c r="A1319" s="87" t="n">
        <x:v>1318</x:v>
      </x:c>
      <x:c r="B1319" s="87" t="str">
        <x:v>MAR-RUS-V2-006</x:v>
      </x:c>
      <x:c r="C1319" s="87" t="str">
        <x:v>СтатГрад</x:v>
      </x:c>
      <x:c r="D1319" s="87" t="str">
        <x:v>Март 2026</x:v>
      </x:c>
      <x:c r="E1319" s="87"/>
      <x:c r="F1319" s="87"/>
      <x:c r="G1319" s="87" t="str">
        <x:v>Русский язык</x:v>
      </x:c>
      <x:c r="H1319" s="87" t="n">
        <x:v>11</x:v>
      </x:c>
      <x:c r="I1319" s="87" t="str">
        <x:v>Диагностическая работа №2</x:v>
      </x:c>
      <x:c r="J1319" s="87" t="str">
        <x:v>РЯ2510602</x:v>
      </x:c>
      <x:c r="K1319" s="87" t="n">
        <x:v>6</x:v>
      </x:c>
      <x:c r="L1319" s="87" t="str">
        <x:v>Лексическая сочетаемость</x:v>
      </x:c>
      <x:c r="M1319" s="30" t="str">
        <x:v>Исправить сочетание «уделить особое значение».</x:v>
      </x:c>
      <x:c r="N1319" s="30" t="str">
        <x:v>внимание</x:v>
      </x:c>
      <x:c r="O1319" s="30" t="str">
        <x:v>Нормативно: уделить внимание; значение — придавать.</x:v>
      </x:c>
      <x:c r="P1319" s="30" t="str">
        <x:v>Нормативно: уделить внимание; значение — придавать.</x:v>
      </x:c>
      <x:c r="Q1319" s="30"/>
      <x:c r="R1319" s="30" t="str">
        <x:v>PDF + открытый ключ + независимая проверка</x:v>
      </x:c>
      <x:c r="S1319" s="30"/>
      <x:c r="T1319" s="30"/>
      <x:c r="U1319" s="30" t="str">
        <x:v>Расхождений не обнаружено.</x:v>
      </x:c>
      <x:c r="V1319" s="87" t="str">
        <x:v>VERIFIED</x:v>
      </x:c>
      <x:c r="W1319" s="87" t="str">
        <x:v>PDF, задание 6</x:v>
      </x:c>
      <x:c r="X1319" s="87"/>
      <x:c r="Y1319" s="87"/>
      <x:c r="Z1319" s="87"/>
      <x:c r="AA1319" s="87"/>
      <x:c r="AB1319" s="87"/>
      <x:c r="AC1319" s="87"/>
      <x:c r="AD1319" s="87"/>
      <x:c r="AE1319" s="87"/>
      <x:c r="AF1319" s="87"/>
      <x:c r="AG1319" s="87"/>
      <x:c r="AH1319" s="87"/>
      <x:c r="AI1319" s="30"/>
      <x:c r="AJ1319" s="87" t="str">
        <x:v>master</x:v>
      </x:c>
      <x:c r="AK1319" s="87" t="str">
        <x:v>master-v0.81</x:v>
      </x:c>
      <x:c r="AL1319" s="87" t="str">
        <x:v>statgrad_master_base_v0_81_final(2).xlsx</x:v>
      </x:c>
      <x:c r="AM1319" s="87" t="str">
        <x:v>RUS_Mar_V2</x:v>
      </x:c>
      <x:c r="AN1319" s="87" t="n">
        <x:v>7</x:v>
      </x:c>
    </x:row>
    <x:row r="1320">
      <x:c r="A1320" s="87" t="n">
        <x:v>1319</x:v>
      </x:c>
      <x:c r="B1320" s="87" t="str">
        <x:v>MAR-RUS-V2-007</x:v>
      </x:c>
      <x:c r="C1320" s="87" t="str">
        <x:v>СтатГрад</x:v>
      </x:c>
      <x:c r="D1320" s="87" t="str">
        <x:v>Март 2026</x:v>
      </x:c>
      <x:c r="E1320" s="87"/>
      <x:c r="F1320" s="87"/>
      <x:c r="G1320" s="87" t="str">
        <x:v>Русский язык</x:v>
      </x:c>
      <x:c r="H1320" s="87" t="n">
        <x:v>11</x:v>
      </x:c>
      <x:c r="I1320" s="87" t="str">
        <x:v>Диагностическая работа №2</x:v>
      </x:c>
      <x:c r="J1320" s="87" t="str">
        <x:v>РЯ2510602</x:v>
      </x:c>
      <x:c r="K1320" s="87" t="n">
        <x:v>7</x:v>
      </x:c>
      <x:c r="L1320" s="87" t="str">
        <x:v>Морфологические нормы</x:v>
      </x:c>
      <x:c r="M1320" s="30" t="str">
        <x:v>Исправить ошибочную форму глагола.</x:v>
      </x:c>
      <x:c r="N1320" s="30" t="str">
        <x:v>поскользнулся</x:v>
      </x:c>
      <x:c r="O1320" s="30" t="str">
        <x:v>Нормативная форма не содержит вставного Д: поскользнулся.</x:v>
      </x:c>
      <x:c r="P1320" s="30" t="str">
        <x:v>Нормативная форма не содержит вставного Д: поскользнулся.</x:v>
      </x:c>
      <x:c r="Q1320" s="30"/>
      <x:c r="R1320" s="30" t="str">
        <x:v>PDF + открытый ключ + независимая проверка</x:v>
      </x:c>
      <x:c r="S1320" s="30"/>
      <x:c r="T1320" s="30"/>
      <x:c r="U1320" s="30" t="str">
        <x:v>Расхождений не обнаружено.</x:v>
      </x:c>
      <x:c r="V1320" s="87" t="str">
        <x:v>VERIFIED</x:v>
      </x:c>
      <x:c r="W1320" s="87" t="str">
        <x:v>PDF, задание 7</x:v>
      </x:c>
      <x:c r="X1320" s="87"/>
      <x:c r="Y1320" s="87"/>
      <x:c r="Z1320" s="87"/>
      <x:c r="AA1320" s="87"/>
      <x:c r="AB1320" s="87"/>
      <x:c r="AC1320" s="87"/>
      <x:c r="AD1320" s="87"/>
      <x:c r="AE1320" s="87"/>
      <x:c r="AF1320" s="87"/>
      <x:c r="AG1320" s="87"/>
      <x:c r="AH1320" s="87"/>
      <x:c r="AI1320" s="30"/>
      <x:c r="AJ1320" s="87" t="str">
        <x:v>master</x:v>
      </x:c>
      <x:c r="AK1320" s="87" t="str">
        <x:v>master-v0.81</x:v>
      </x:c>
      <x:c r="AL1320" s="87" t="str">
        <x:v>statgrad_master_base_v0_81_final(2).xlsx</x:v>
      </x:c>
      <x:c r="AM1320" s="87" t="str">
        <x:v>RUS_Mar_V2</x:v>
      </x:c>
      <x:c r="AN1320" s="87" t="n">
        <x:v>8</x:v>
      </x:c>
    </x:row>
    <x:row r="1321">
      <x:c r="A1321" s="87" t="n">
        <x:v>1320</x:v>
      </x:c>
      <x:c r="B1321" s="87" t="str">
        <x:v>MAR-RUS-V2-008</x:v>
      </x:c>
      <x:c r="C1321" s="87" t="str">
        <x:v>СтатГрад</x:v>
      </x:c>
      <x:c r="D1321" s="87" t="str">
        <x:v>Март 2026</x:v>
      </x:c>
      <x:c r="E1321" s="87"/>
      <x:c r="F1321" s="87"/>
      <x:c r="G1321" s="87" t="str">
        <x:v>Русский язык</x:v>
      </x:c>
      <x:c r="H1321" s="87" t="n">
        <x:v>11</x:v>
      </x:c>
      <x:c r="I1321" s="87" t="str">
        <x:v>Диагностическая работа №2</x:v>
      </x:c>
      <x:c r="J1321" s="87" t="str">
        <x:v>РЯ2510602</x:v>
      </x:c>
      <x:c r="K1321" s="87" t="n">
        <x:v>8</x:v>
      </x:c>
      <x:c r="L1321" s="87" t="str">
        <x:v>Грамматические ошибки</x:v>
      </x:c>
      <x:c r="M1321" s="30" t="str">
        <x:v>Соотнести типы ошибок с предложениями.</x:v>
      </x:c>
      <x:c r="N1321" s="30" t="str">
        <x:v>92475</x:v>
      </x:c>
      <x:c r="O1321" s="30" t="str">
        <x:v>Ошибки видо-временной соотнесённости, управления, сложного предложения, причастного оборота и приложения найдены в предложениях 9, 2, 4, 7, 5.</x:v>
      </x:c>
      <x:c r="P1321" s="30" t="str">
        <x:v>Ошибки видо-временной соотнесённости, управления, сложного предложения, причастного оборота и приложения найдены в предложениях 9, 2, 4, 7, 5.</x:v>
      </x:c>
      <x:c r="Q1321" s="30"/>
      <x:c r="R1321" s="30" t="str">
        <x:v>PDF + открытый ключ + независимая проверка</x:v>
      </x:c>
      <x:c r="S1321" s="30"/>
      <x:c r="T1321" s="30"/>
      <x:c r="U1321" s="30" t="str">
        <x:v>Расхождений не обнаружено.</x:v>
      </x:c>
      <x:c r="V1321" s="87" t="str">
        <x:v>VERIFIED</x:v>
      </x:c>
      <x:c r="W1321" s="87" t="str">
        <x:v>PDF, задание 8</x:v>
      </x:c>
      <x:c r="X1321" s="87"/>
      <x:c r="Y1321" s="87"/>
      <x:c r="Z1321" s="87"/>
      <x:c r="AA1321" s="87"/>
      <x:c r="AB1321" s="87"/>
      <x:c r="AC1321" s="87"/>
      <x:c r="AD1321" s="87"/>
      <x:c r="AE1321" s="87"/>
      <x:c r="AF1321" s="87"/>
      <x:c r="AG1321" s="87"/>
      <x:c r="AH1321" s="87"/>
      <x:c r="AI1321" s="30"/>
      <x:c r="AJ1321" s="87" t="str">
        <x:v>master</x:v>
      </x:c>
      <x:c r="AK1321" s="87" t="str">
        <x:v>master-v0.81</x:v>
      </x:c>
      <x:c r="AL1321" s="87" t="str">
        <x:v>statgrad_master_base_v0_81_final(2).xlsx</x:v>
      </x:c>
      <x:c r="AM1321" s="87" t="str">
        <x:v>RUS_Mar_V2</x:v>
      </x:c>
      <x:c r="AN1321" s="87" t="n">
        <x:v>9</x:v>
      </x:c>
    </x:row>
    <x:row r="1322">
      <x:c r="A1322" s="87" t="n">
        <x:v>1321</x:v>
      </x:c>
      <x:c r="B1322" s="87" t="str">
        <x:v>MAR-RUS-V2-009</x:v>
      </x:c>
      <x:c r="C1322" s="87" t="str">
        <x:v>СтатГрад</x:v>
      </x:c>
      <x:c r="D1322" s="87" t="str">
        <x:v>Март 2026</x:v>
      </x:c>
      <x:c r="E1322" s="87"/>
      <x:c r="F1322" s="87"/>
      <x:c r="G1322" s="87" t="str">
        <x:v>Русский язык</x:v>
      </x:c>
      <x:c r="H1322" s="87" t="n">
        <x:v>11</x:v>
      </x:c>
      <x:c r="I1322" s="87" t="str">
        <x:v>Диагностическая работа №2</x:v>
      </x:c>
      <x:c r="J1322" s="87" t="str">
        <x:v>РЯ2510602</x:v>
      </x:c>
      <x:c r="K1322" s="87" t="n">
        <x:v>9</x:v>
      </x:c>
      <x:c r="L1322" s="87" t="str">
        <x:v>Правописание корней</x:v>
      </x:c>
      <x:c r="M1322" s="30" t="str">
        <x:v>Выбрать ряды с одинаковой пропущенной буквой.</x:v>
      </x:c>
      <x:c r="N1322" s="30" t="str">
        <x:v>12</x:v>
      </x:c>
      <x:c r="O1322" s="30" t="str">
        <x:v>Только в рядах 1 и 2 во всех словах восстанавливается одна буква.</x:v>
      </x:c>
      <x:c r="P1322" s="30" t="str">
        <x:v>Только в рядах 1 и 2 во всех словах восстанавливается одна буква.</x:v>
      </x:c>
      <x:c r="Q1322" s="30"/>
      <x:c r="R1322" s="30" t="str">
        <x:v>PDF + открытый ключ + независимая проверка</x:v>
      </x:c>
      <x:c r="S1322" s="30"/>
      <x:c r="T1322" s="30"/>
      <x:c r="U1322" s="30" t="str">
        <x:v>Расхождений не обнаружено.</x:v>
      </x:c>
      <x:c r="V1322" s="87" t="str">
        <x:v>VERIFIED</x:v>
      </x:c>
      <x:c r="W1322" s="87" t="str">
        <x:v>PDF, задание 9</x:v>
      </x:c>
      <x:c r="X1322" s="87"/>
      <x:c r="Y1322" s="87"/>
      <x:c r="Z1322" s="87"/>
      <x:c r="AA1322" s="87"/>
      <x:c r="AB1322" s="87"/>
      <x:c r="AC1322" s="87"/>
      <x:c r="AD1322" s="87"/>
      <x:c r="AE1322" s="87"/>
      <x:c r="AF1322" s="87"/>
      <x:c r="AG1322" s="87"/>
      <x:c r="AH1322" s="87"/>
      <x:c r="AI1322" s="30"/>
      <x:c r="AJ1322" s="87" t="str">
        <x:v>master</x:v>
      </x:c>
      <x:c r="AK1322" s="87" t="str">
        <x:v>master-v0.81</x:v>
      </x:c>
      <x:c r="AL1322" s="87" t="str">
        <x:v>statgrad_master_base_v0_81_final(2).xlsx</x:v>
      </x:c>
      <x:c r="AM1322" s="87" t="str">
        <x:v>RUS_Mar_V2</x:v>
      </x:c>
      <x:c r="AN1322" s="87" t="n">
        <x:v>10</x:v>
      </x:c>
    </x:row>
    <x:row r="1323">
      <x:c r="A1323" s="87" t="n">
        <x:v>1322</x:v>
      </x:c>
      <x:c r="B1323" s="87" t="str">
        <x:v>MAR-RUS-V2-010</x:v>
      </x:c>
      <x:c r="C1323" s="87" t="str">
        <x:v>СтатГрад</x:v>
      </x:c>
      <x:c r="D1323" s="87" t="str">
        <x:v>Март 2026</x:v>
      </x:c>
      <x:c r="E1323" s="87"/>
      <x:c r="F1323" s="87"/>
      <x:c r="G1323" s="87" t="str">
        <x:v>Русский язык</x:v>
      </x:c>
      <x:c r="H1323" s="87" t="n">
        <x:v>11</x:v>
      </x:c>
      <x:c r="I1323" s="87" t="str">
        <x:v>Диагностическая работа №2</x:v>
      </x:c>
      <x:c r="J1323" s="87" t="str">
        <x:v>РЯ2510602</x:v>
      </x:c>
      <x:c r="K1323" s="87" t="n">
        <x:v>10</x:v>
      </x:c>
      <x:c r="L1323" s="87" t="str">
        <x:v>Правописание приставок</x:v>
      </x:c>
      <x:c r="M1323" s="30" t="str">
        <x:v>Выбрать ряды с одинаковой буквой.</x:v>
      </x:c>
      <x:c r="N1323" s="30" t="str">
        <x:v>13</x:v>
      </x:c>
      <x:c r="O1323" s="30" t="str">
        <x:v>Правила ПРЕ-/ПРИ- и Ы/И после приставок дают ряды 1 и 3.</x:v>
      </x:c>
      <x:c r="P1323" s="30" t="str">
        <x:v>Правила ПРЕ-/ПРИ- и Ы/И после приставок дают ряды 1 и 3.</x:v>
      </x:c>
      <x:c r="Q1323" s="30"/>
      <x:c r="R1323" s="30" t="str">
        <x:v>PDF + открытый ключ + независимая проверка</x:v>
      </x:c>
      <x:c r="S1323" s="30"/>
      <x:c r="T1323" s="30"/>
      <x:c r="U1323" s="30" t="str">
        <x:v>Расхождений не обнаружено.</x:v>
      </x:c>
      <x:c r="V1323" s="87" t="str">
        <x:v>VERIFIED</x:v>
      </x:c>
      <x:c r="W1323" s="87" t="str">
        <x:v>PDF, задание 10</x:v>
      </x:c>
      <x:c r="X1323" s="87"/>
      <x:c r="Y1323" s="87"/>
      <x:c r="Z1323" s="87"/>
      <x:c r="AA1323" s="87"/>
      <x:c r="AB1323" s="87"/>
      <x:c r="AC1323" s="87"/>
      <x:c r="AD1323" s="87"/>
      <x:c r="AE1323" s="87"/>
      <x:c r="AF1323" s="87"/>
      <x:c r="AG1323" s="87"/>
      <x:c r="AH1323" s="87"/>
      <x:c r="AI1323" s="30"/>
      <x:c r="AJ1323" s="87" t="str">
        <x:v>master</x:v>
      </x:c>
      <x:c r="AK1323" s="87" t="str">
        <x:v>master-v0.81</x:v>
      </x:c>
      <x:c r="AL1323" s="87" t="str">
        <x:v>statgrad_master_base_v0_81_final(2).xlsx</x:v>
      </x:c>
      <x:c r="AM1323" s="87" t="str">
        <x:v>RUS_Mar_V2</x:v>
      </x:c>
      <x:c r="AN1323" s="87" t="n">
        <x:v>11</x:v>
      </x:c>
    </x:row>
    <x:row r="1324">
      <x:c r="A1324" s="87" t="n">
        <x:v>1323</x:v>
      </x:c>
      <x:c r="B1324" s="87" t="str">
        <x:v>MAR-RUS-V2-011</x:v>
      </x:c>
      <x:c r="C1324" s="87" t="str">
        <x:v>СтатГрад</x:v>
      </x:c>
      <x:c r="D1324" s="87" t="str">
        <x:v>Март 2026</x:v>
      </x:c>
      <x:c r="E1324" s="87"/>
      <x:c r="F1324" s="87"/>
      <x:c r="G1324" s="87" t="str">
        <x:v>Русский язык</x:v>
      </x:c>
      <x:c r="H1324" s="87" t="n">
        <x:v>11</x:v>
      </x:c>
      <x:c r="I1324" s="87" t="str">
        <x:v>Диагностическая работа №2</x:v>
      </x:c>
      <x:c r="J1324" s="87" t="str">
        <x:v>РЯ2510602</x:v>
      </x:c>
      <x:c r="K1324" s="87" t="n">
        <x:v>11</x:v>
      </x:c>
      <x:c r="L1324" s="87" t="str">
        <x:v>Суффиксы</x:v>
      </x:c>
      <x:c r="M1324" s="30" t="str">
        <x:v>Выбрать ряды с одинаковой буквой в суффиксах.</x:v>
      </x:c>
      <x:c r="N1324" s="30" t="str">
        <x:v>12</x:v>
      </x:c>
      <x:c r="O1324" s="30" t="str">
        <x:v>Совпадение нормативных суффиксов имеется в рядах 1 и 2.</x:v>
      </x:c>
      <x:c r="P1324" s="30" t="str">
        <x:v>Совпадение нормативных суффиксов имеется в рядах 1 и 2.</x:v>
      </x:c>
      <x:c r="Q1324" s="30"/>
      <x:c r="R1324" s="30" t="str">
        <x:v>PDF + открытый ключ + независимая проверка</x:v>
      </x:c>
      <x:c r="S1324" s="30"/>
      <x:c r="T1324" s="30"/>
      <x:c r="U1324" s="30" t="str">
        <x:v>Расхождений не обнаружено.</x:v>
      </x:c>
      <x:c r="V1324" s="87" t="str">
        <x:v>VERIFIED</x:v>
      </x:c>
      <x:c r="W1324" s="87" t="str">
        <x:v>PDF, задание 11</x:v>
      </x:c>
      <x:c r="X1324" s="87"/>
      <x:c r="Y1324" s="87"/>
      <x:c r="Z1324" s="87"/>
      <x:c r="AA1324" s="87"/>
      <x:c r="AB1324" s="87"/>
      <x:c r="AC1324" s="87"/>
      <x:c r="AD1324" s="87"/>
      <x:c r="AE1324" s="87"/>
      <x:c r="AF1324" s="87"/>
      <x:c r="AG1324" s="87"/>
      <x:c r="AH1324" s="87"/>
      <x:c r="AI1324" s="30"/>
      <x:c r="AJ1324" s="87" t="str">
        <x:v>master</x:v>
      </x:c>
      <x:c r="AK1324" s="87" t="str">
        <x:v>master-v0.81</x:v>
      </x:c>
      <x:c r="AL1324" s="87" t="str">
        <x:v>statgrad_master_base_v0_81_final(2).xlsx</x:v>
      </x:c>
      <x:c r="AM1324" s="87" t="str">
        <x:v>RUS_Mar_V2</x:v>
      </x:c>
      <x:c r="AN1324" s="87" t="n">
        <x:v>12</x:v>
      </x:c>
    </x:row>
    <x:row r="1325">
      <x:c r="A1325" s="87" t="n">
        <x:v>1324</x:v>
      </x:c>
      <x:c r="B1325" s="87" t="str">
        <x:v>MAR-RUS-V2-012</x:v>
      </x:c>
      <x:c r="C1325" s="87" t="str">
        <x:v>СтатГрад</x:v>
      </x:c>
      <x:c r="D1325" s="87" t="str">
        <x:v>Март 2026</x:v>
      </x:c>
      <x:c r="E1325" s="87"/>
      <x:c r="F1325" s="87"/>
      <x:c r="G1325" s="87" t="str">
        <x:v>Русский язык</x:v>
      </x:c>
      <x:c r="H1325" s="87" t="n">
        <x:v>11</x:v>
      </x:c>
      <x:c r="I1325" s="87" t="str">
        <x:v>Диагностическая работа №2</x:v>
      </x:c>
      <x:c r="J1325" s="87" t="str">
        <x:v>РЯ2510602</x:v>
      </x:c>
      <x:c r="K1325" s="87" t="n">
        <x:v>12</x:v>
      </x:c>
      <x:c r="L1325" s="87" t="str">
        <x:v>Окончания и суффиксы причастий</x:v>
      </x:c>
      <x:c r="M1325" s="30" t="str">
        <x:v>Выбрать подходящие ряды.</x:v>
      </x:c>
      <x:c r="N1325" s="30" t="str">
        <x:v>1235</x:v>
      </x:c>
      <x:c r="O1325" s="30" t="str">
        <x:v>Спряжение и образование причастий подтверждают ряды 1, 2, 3 и 5.</x:v>
      </x:c>
      <x:c r="P1325" s="30" t="str">
        <x:v>Спряжение и образование причастий подтверждают ряды 1, 2, 3 и 5.</x:v>
      </x:c>
      <x:c r="Q1325" s="30"/>
      <x:c r="R1325" s="30" t="str">
        <x:v>PDF + открытый ключ + независимая проверка</x:v>
      </x:c>
      <x:c r="S1325" s="30"/>
      <x:c r="T1325" s="30"/>
      <x:c r="U1325" s="30" t="str">
        <x:v>Расхождений не обнаружено.</x:v>
      </x:c>
      <x:c r="V1325" s="87" t="str">
        <x:v>VERIFIED</x:v>
      </x:c>
      <x:c r="W1325" s="87" t="str">
        <x:v>PDF, задание 12</x:v>
      </x:c>
      <x:c r="X1325" s="87"/>
      <x:c r="Y1325" s="87"/>
      <x:c r="Z1325" s="87"/>
      <x:c r="AA1325" s="87"/>
      <x:c r="AB1325" s="87"/>
      <x:c r="AC1325" s="87"/>
      <x:c r="AD1325" s="87"/>
      <x:c r="AE1325" s="87"/>
      <x:c r="AF1325" s="87"/>
      <x:c r="AG1325" s="87"/>
      <x:c r="AH1325" s="87"/>
      <x:c r="AI1325" s="30"/>
      <x:c r="AJ1325" s="87" t="str">
        <x:v>master</x:v>
      </x:c>
      <x:c r="AK1325" s="87" t="str">
        <x:v>master-v0.81</x:v>
      </x:c>
      <x:c r="AL1325" s="87" t="str">
        <x:v>statgrad_master_base_v0_81_final(2).xlsx</x:v>
      </x:c>
      <x:c r="AM1325" s="87" t="str">
        <x:v>RUS_Mar_V2</x:v>
      </x:c>
      <x:c r="AN1325" s="87" t="n">
        <x:v>13</x:v>
      </x:c>
    </x:row>
    <x:row r="1326">
      <x:c r="A1326" s="87" t="n">
        <x:v>1325</x:v>
      </x:c>
      <x:c r="B1326" s="87" t="str">
        <x:v>MAR-RUS-V2-013</x:v>
      </x:c>
      <x:c r="C1326" s="87" t="str">
        <x:v>СтатГрад</x:v>
      </x:c>
      <x:c r="D1326" s="87" t="str">
        <x:v>Март 2026</x:v>
      </x:c>
      <x:c r="E1326" s="87"/>
      <x:c r="F1326" s="87"/>
      <x:c r="G1326" s="87" t="str">
        <x:v>Русский язык</x:v>
      </x:c>
      <x:c r="H1326" s="87" t="n">
        <x:v>11</x:v>
      </x:c>
      <x:c r="I1326" s="87" t="str">
        <x:v>Диагностическая работа №2</x:v>
      </x:c>
      <x:c r="J1326" s="87" t="str">
        <x:v>РЯ2510602</x:v>
      </x:c>
      <x:c r="K1326" s="87" t="n">
        <x:v>13</x:v>
      </x:c>
      <x:c r="L1326" s="87" t="str">
        <x:v>НЕ с частями речи</x:v>
      </x:c>
      <x:c r="M1326" s="30" t="str">
        <x:v>Выбрать случаи раздельного написания.</x:v>
      </x:c>
      <x:c r="N1326" s="30" t="str">
        <x:v>1235</x:v>
      </x:c>
      <x:c r="O1326" s="30" t="str">
        <x:v>НЕ раздельно с деепричастием, при усилителе «совсем» в значении отрицания, с глаголом и в сочетании «не раз».</x:v>
      </x:c>
      <x:c r="P1326" s="30" t="str">
        <x:v>НЕ раздельно с деепричастием, при усилителе «совсем» в значении отрицания, с глаголом и в сочетании «не раз».</x:v>
      </x:c>
      <x:c r="Q1326" s="30"/>
      <x:c r="R1326" s="30" t="str">
        <x:v>PDF + открытый ключ + независимая проверка</x:v>
      </x:c>
      <x:c r="S1326" s="30"/>
      <x:c r="T1326" s="30"/>
      <x:c r="U1326" s="30" t="str">
        <x:v>Расхождений не обнаружено.</x:v>
      </x:c>
      <x:c r="V1326" s="87" t="str">
        <x:v>VERIFIED</x:v>
      </x:c>
      <x:c r="W1326" s="87" t="str">
        <x:v>PDF, задание 13</x:v>
      </x:c>
      <x:c r="X1326" s="87"/>
      <x:c r="Y1326" s="87"/>
      <x:c r="Z1326" s="87"/>
      <x:c r="AA1326" s="87"/>
      <x:c r="AB1326" s="87"/>
      <x:c r="AC1326" s="87"/>
      <x:c r="AD1326" s="87"/>
      <x:c r="AE1326" s="87"/>
      <x:c r="AF1326" s="87"/>
      <x:c r="AG1326" s="87"/>
      <x:c r="AH1326" s="87"/>
      <x:c r="AI1326" s="30"/>
      <x:c r="AJ1326" s="87" t="str">
        <x:v>master</x:v>
      </x:c>
      <x:c r="AK1326" s="87" t="str">
        <x:v>master-v0.81</x:v>
      </x:c>
      <x:c r="AL1326" s="87" t="str">
        <x:v>statgrad_master_base_v0_81_final(2).xlsx</x:v>
      </x:c>
      <x:c r="AM1326" s="87" t="str">
        <x:v>RUS_Mar_V2</x:v>
      </x:c>
      <x:c r="AN1326" s="87" t="n">
        <x:v>14</x:v>
      </x:c>
    </x:row>
    <x:row r="1327">
      <x:c r="A1327" s="87" t="n">
        <x:v>1326</x:v>
      </x:c>
      <x:c r="B1327" s="87" t="str">
        <x:v>MAR-RUS-V2-014</x:v>
      </x:c>
      <x:c r="C1327" s="87" t="str">
        <x:v>СтатГрад</x:v>
      </x:c>
      <x:c r="D1327" s="87" t="str">
        <x:v>Март 2026</x:v>
      </x:c>
      <x:c r="E1327" s="87"/>
      <x:c r="F1327" s="87"/>
      <x:c r="G1327" s="87" t="str">
        <x:v>Русский язык</x:v>
      </x:c>
      <x:c r="H1327" s="87" t="n">
        <x:v>11</x:v>
      </x:c>
      <x:c r="I1327" s="87" t="str">
        <x:v>Диагностическая работа №2</x:v>
      </x:c>
      <x:c r="J1327" s="87" t="str">
        <x:v>РЯ2510602</x:v>
      </x:c>
      <x:c r="K1327" s="87" t="n">
        <x:v>14</x:v>
      </x:c>
      <x:c r="L1327" s="87" t="str">
        <x:v>Слитное и раздельное написание</x:v>
      </x:c>
      <x:c r="M1327" s="30" t="str">
        <x:v>Выбрать ряды, где оба слова пишутся раздельно.</x:v>
      </x:c>
      <x:c r="N1327" s="30" t="str">
        <x:v>23</x:v>
      </x:c>
      <x:c r="O1327" s="30" t="str">
        <x:v>Нормативно: на днях, по новому полу; при том воспитании, за глаза.</x:v>
      </x:c>
      <x:c r="P1327" s="30" t="str">
        <x:v>Нормативно: на днях, по новому полу; при том воспитании, за глаза.</x:v>
      </x:c>
      <x:c r="Q1327" s="30"/>
      <x:c r="R1327" s="30" t="str">
        <x:v>PDF + открытый ключ + независимая проверка</x:v>
      </x:c>
      <x:c r="S1327" s="30"/>
      <x:c r="T1327" s="30"/>
      <x:c r="U1327" s="30" t="str">
        <x:v>Расхождений не обнаружено.</x:v>
      </x:c>
      <x:c r="V1327" s="87" t="str">
        <x:v>VERIFIED</x:v>
      </x:c>
      <x:c r="W1327" s="87" t="str">
        <x:v>PDF, задание 14</x:v>
      </x:c>
      <x:c r="X1327" s="87"/>
      <x:c r="Y1327" s="87"/>
      <x:c r="Z1327" s="87"/>
      <x:c r="AA1327" s="87"/>
      <x:c r="AB1327" s="87"/>
      <x:c r="AC1327" s="87"/>
      <x:c r="AD1327" s="87"/>
      <x:c r="AE1327" s="87"/>
      <x:c r="AF1327" s="87"/>
      <x:c r="AG1327" s="87"/>
      <x:c r="AH1327" s="87"/>
      <x:c r="AI1327" s="30"/>
      <x:c r="AJ1327" s="87" t="str">
        <x:v>master</x:v>
      </x:c>
      <x:c r="AK1327" s="87" t="str">
        <x:v>master-v0.81</x:v>
      </x:c>
      <x:c r="AL1327" s="87" t="str">
        <x:v>statgrad_master_base_v0_81_final(2).xlsx</x:v>
      </x:c>
      <x:c r="AM1327" s="87" t="str">
        <x:v>RUS_Mar_V2</x:v>
      </x:c>
      <x:c r="AN1327" s="87" t="n">
        <x:v>15</x:v>
      </x:c>
    </x:row>
    <x:row r="1328">
      <x:c r="A1328" s="87" t="n">
        <x:v>1327</x:v>
      </x:c>
      <x:c r="B1328" s="87" t="str">
        <x:v>MAR-RUS-V2-015</x:v>
      </x:c>
      <x:c r="C1328" s="87" t="str">
        <x:v>СтатГрад</x:v>
      </x:c>
      <x:c r="D1328" s="87" t="str">
        <x:v>Март 2026</x:v>
      </x:c>
      <x:c r="E1328" s="87"/>
      <x:c r="F1328" s="87"/>
      <x:c r="G1328" s="87" t="str">
        <x:v>Русский язык</x:v>
      </x:c>
      <x:c r="H1328" s="87" t="n">
        <x:v>11</x:v>
      </x:c>
      <x:c r="I1328" s="87" t="str">
        <x:v>Диагностическая работа №2</x:v>
      </x:c>
      <x:c r="J1328" s="87" t="str">
        <x:v>РЯ2510602</x:v>
      </x:c>
      <x:c r="K1328" s="87" t="n">
        <x:v>15</x:v>
      </x:c>
      <x:c r="L1328" s="87" t="str">
        <x:v>Н и НН</x:v>
      </x:c>
      <x:c r="M1328" s="30" t="str">
        <x:v>Указать позиции с одной Н.</x:v>
      </x:c>
      <x:c r="N1328" s="30" t="str">
        <x:v>157</x:v>
      </x:c>
      <x:c r="O1328" s="30" t="str">
        <x:v>Одна Н пишется в «песчаной», «заранее» и кратком причастии «белено/белёно» по форме контекста.</x:v>
      </x:c>
      <x:c r="P1328" s="30" t="str">
        <x:v>Одна Н пишется в «песчаной», «заранее» и кратком причастии «белено/белёно» по форме контекста.</x:v>
      </x:c>
      <x:c r="Q1328" s="30"/>
      <x:c r="R1328" s="30" t="str">
        <x:v>PDF + открытый ключ + независимая проверка</x:v>
      </x:c>
      <x:c r="S1328" s="30"/>
      <x:c r="T1328" s="30"/>
      <x:c r="U1328" s="30" t="str">
        <x:v>Расхождений не обнаружено.</x:v>
      </x:c>
      <x:c r="V1328" s="87" t="str">
        <x:v>VERIFIED</x:v>
      </x:c>
      <x:c r="W1328" s="87" t="str">
        <x:v>PDF, задание 15</x:v>
      </x:c>
      <x:c r="X1328" s="87"/>
      <x:c r="Y1328" s="87"/>
      <x:c r="Z1328" s="87"/>
      <x:c r="AA1328" s="87"/>
      <x:c r="AB1328" s="87"/>
      <x:c r="AC1328" s="87"/>
      <x:c r="AD1328" s="87"/>
      <x:c r="AE1328" s="87"/>
      <x:c r="AF1328" s="87"/>
      <x:c r="AG1328" s="87"/>
      <x:c r="AH1328" s="87"/>
      <x:c r="AI1328" s="30"/>
      <x:c r="AJ1328" s="87" t="str">
        <x:v>master</x:v>
      </x:c>
      <x:c r="AK1328" s="87" t="str">
        <x:v>master-v0.81</x:v>
      </x:c>
      <x:c r="AL1328" s="87" t="str">
        <x:v>statgrad_master_base_v0_81_final(2).xlsx</x:v>
      </x:c>
      <x:c r="AM1328" s="87" t="str">
        <x:v>RUS_Mar_V2</x:v>
      </x:c>
      <x:c r="AN1328" s="87" t="n">
        <x:v>16</x:v>
      </x:c>
    </x:row>
    <x:row r="1329">
      <x:c r="A1329" s="87" t="n">
        <x:v>1328</x:v>
      </x:c>
      <x:c r="B1329" s="87" t="str">
        <x:v>MAR-RUS-V2-016</x:v>
      </x:c>
      <x:c r="C1329" s="87" t="str">
        <x:v>СтатГрад</x:v>
      </x:c>
      <x:c r="D1329" s="87" t="str">
        <x:v>Март 2026</x:v>
      </x:c>
      <x:c r="E1329" s="87"/>
      <x:c r="F1329" s="87"/>
      <x:c r="G1329" s="87" t="str">
        <x:v>Русский язык</x:v>
      </x:c>
      <x:c r="H1329" s="87" t="n">
        <x:v>11</x:v>
      </x:c>
      <x:c r="I1329" s="87" t="str">
        <x:v>Диагностическая работа №2</x:v>
      </x:c>
      <x:c r="J1329" s="87" t="str">
        <x:v>РЯ2510602</x:v>
      </x:c>
      <x:c r="K1329" s="87" t="n">
        <x:v>16</x:v>
      </x:c>
      <x:c r="L1329" s="87" t="str">
        <x:v>Однородные члены</x:v>
      </x:c>
      <x:c r="M1329" s="30" t="str">
        <x:v>Выбрать предложения с одной запятой.</x:v>
      </x:c>
      <x:c r="N1329" s="30" t="str">
        <x:v>1234</x:v>
      </x:c>
      <x:c r="O1329" s="30" t="str">
        <x:v>В первых четырёх предложениях требуется ровно один знак при союзах и однородных членах.</x:v>
      </x:c>
      <x:c r="P1329" s="30" t="str">
        <x:v>В первых четырёх предложениях требуется ровно один знак при союзах и однородных членах.</x:v>
      </x:c>
      <x:c r="Q1329" s="30"/>
      <x:c r="R1329" s="30" t="str">
        <x:v>PDF + открытый ключ + независимая проверка</x:v>
      </x:c>
      <x:c r="S1329" s="30"/>
      <x:c r="T1329" s="30"/>
      <x:c r="U1329" s="30" t="str">
        <x:v>Расхождений не обнаружено.</x:v>
      </x:c>
      <x:c r="V1329" s="87" t="str">
        <x:v>VERIFIED</x:v>
      </x:c>
      <x:c r="W1329" s="87" t="str">
        <x:v>PDF, задание 16</x:v>
      </x:c>
      <x:c r="X1329" s="87"/>
      <x:c r="Y1329" s="87"/>
      <x:c r="Z1329" s="87"/>
      <x:c r="AA1329" s="87"/>
      <x:c r="AB1329" s="87"/>
      <x:c r="AC1329" s="87"/>
      <x:c r="AD1329" s="87"/>
      <x:c r="AE1329" s="87"/>
      <x:c r="AF1329" s="87"/>
      <x:c r="AG1329" s="87"/>
      <x:c r="AH1329" s="87"/>
      <x:c r="AI1329" s="30"/>
      <x:c r="AJ1329" s="87" t="str">
        <x:v>master</x:v>
      </x:c>
      <x:c r="AK1329" s="87" t="str">
        <x:v>master-v0.81</x:v>
      </x:c>
      <x:c r="AL1329" s="87" t="str">
        <x:v>statgrad_master_base_v0_81_final(2).xlsx</x:v>
      </x:c>
      <x:c r="AM1329" s="87" t="str">
        <x:v>RUS_Mar_V2</x:v>
      </x:c>
      <x:c r="AN1329" s="87" t="n">
        <x:v>17</x:v>
      </x:c>
    </x:row>
    <x:row r="1330">
      <x:c r="A1330" s="87" t="n">
        <x:v>1329</x:v>
      </x:c>
      <x:c r="B1330" s="87" t="str">
        <x:v>MAR-RUS-V2-017</x:v>
      </x:c>
      <x:c r="C1330" s="87" t="str">
        <x:v>СтатГрад</x:v>
      </x:c>
      <x:c r="D1330" s="87" t="str">
        <x:v>Март 2026</x:v>
      </x:c>
      <x:c r="E1330" s="87"/>
      <x:c r="F1330" s="87"/>
      <x:c r="G1330" s="87" t="str">
        <x:v>Русский язык</x:v>
      </x:c>
      <x:c r="H1330" s="87" t="n">
        <x:v>11</x:v>
      </x:c>
      <x:c r="I1330" s="87" t="str">
        <x:v>Диагностическая работа №2</x:v>
      </x:c>
      <x:c r="J1330" s="87" t="str">
        <x:v>РЯ2510602</x:v>
      </x:c>
      <x:c r="K1330" s="87" t="n">
        <x:v>17</x:v>
      </x:c>
      <x:c r="L1330" s="87" t="str">
        <x:v>Обособленные конструкции</x:v>
      </x:c>
      <x:c r="M1330" s="30" t="str">
        <x:v>Расставить запятые.</x:v>
      </x:c>
      <x:c r="N1330" s="30" t="str">
        <x:v>234</x:v>
      </x:c>
      <x:c r="O1330" s="30" t="str">
        <x:v>Обособляются деепричастный оборот и согласованные определения после определяемых слов.</x:v>
      </x:c>
      <x:c r="P1330" s="30" t="str">
        <x:v>Обособляются деепричастный оборот и согласованные определения после определяемых слов.</x:v>
      </x:c>
      <x:c r="Q1330" s="30"/>
      <x:c r="R1330" s="30" t="str">
        <x:v>PDF + открытый ключ + независимая проверка</x:v>
      </x:c>
      <x:c r="S1330" s="30"/>
      <x:c r="T1330" s="30"/>
      <x:c r="U1330" s="30" t="str">
        <x:v>Расхождений не обнаружено.</x:v>
      </x:c>
      <x:c r="V1330" s="87" t="str">
        <x:v>VERIFIED</x:v>
      </x:c>
      <x:c r="W1330" s="87" t="str">
        <x:v>PDF, задание 17</x:v>
      </x:c>
      <x:c r="X1330" s="87"/>
      <x:c r="Y1330" s="87"/>
      <x:c r="Z1330" s="87"/>
      <x:c r="AA1330" s="87"/>
      <x:c r="AB1330" s="87"/>
      <x:c r="AC1330" s="87"/>
      <x:c r="AD1330" s="87"/>
      <x:c r="AE1330" s="87"/>
      <x:c r="AF1330" s="87"/>
      <x:c r="AG1330" s="87"/>
      <x:c r="AH1330" s="87"/>
      <x:c r="AI1330" s="30"/>
      <x:c r="AJ1330" s="87" t="str">
        <x:v>master</x:v>
      </x:c>
      <x:c r="AK1330" s="87" t="str">
        <x:v>master-v0.81</x:v>
      </x:c>
      <x:c r="AL1330" s="87" t="str">
        <x:v>statgrad_master_base_v0_81_final(2).xlsx</x:v>
      </x:c>
      <x:c r="AM1330" s="87" t="str">
        <x:v>RUS_Mar_V2</x:v>
      </x:c>
      <x:c r="AN1330" s="87" t="n">
        <x:v>18</x:v>
      </x:c>
    </x:row>
    <x:row r="1331">
      <x:c r="A1331" s="87" t="n">
        <x:v>1330</x:v>
      </x:c>
      <x:c r="B1331" s="87" t="str">
        <x:v>MAR-RUS-V2-018</x:v>
      </x:c>
      <x:c r="C1331" s="87" t="str">
        <x:v>СтатГрад</x:v>
      </x:c>
      <x:c r="D1331" s="87" t="str">
        <x:v>Март 2026</x:v>
      </x:c>
      <x:c r="E1331" s="87"/>
      <x:c r="F1331" s="87"/>
      <x:c r="G1331" s="87" t="str">
        <x:v>Русский язык</x:v>
      </x:c>
      <x:c r="H1331" s="87" t="n">
        <x:v>11</x:v>
      </x:c>
      <x:c r="I1331" s="87" t="str">
        <x:v>Диагностическая работа №2</x:v>
      </x:c>
      <x:c r="J1331" s="87" t="str">
        <x:v>РЯ2510602</x:v>
      </x:c>
      <x:c r="K1331" s="87" t="n">
        <x:v>18</x:v>
      </x:c>
      <x:c r="L1331" s="87" t="str">
        <x:v>Обращения и вводные компоненты</x:v>
      </x:c>
      <x:c r="M1331" s="30" t="str">
        <x:v>Расставить запятые.</x:v>
      </x:c>
      <x:c r="N1331" s="30" t="str">
        <x:v>2367</x:v>
      </x:c>
      <x:c r="O1331" s="30" t="str">
        <x:v>Знаки выделяют обращения, вводные слова и вставные компоненты.</x:v>
      </x:c>
      <x:c r="P1331" s="30" t="str">
        <x:v>Знаки выделяют обращения, вводные слова и вставные компоненты.</x:v>
      </x:c>
      <x:c r="Q1331" s="30"/>
      <x:c r="R1331" s="30" t="str">
        <x:v>PDF + открытый ключ + независимая проверка</x:v>
      </x:c>
      <x:c r="S1331" s="30"/>
      <x:c r="T1331" s="30"/>
      <x:c r="U1331" s="30" t="str">
        <x:v>Расхождений не обнаружено.</x:v>
      </x:c>
      <x:c r="V1331" s="87" t="str">
        <x:v>VERIFIED</x:v>
      </x:c>
      <x:c r="W1331" s="87" t="str">
        <x:v>PDF, задание 18</x:v>
      </x:c>
      <x:c r="X1331" s="87"/>
      <x:c r="Y1331" s="87"/>
      <x:c r="Z1331" s="87"/>
      <x:c r="AA1331" s="87"/>
      <x:c r="AB1331" s="87"/>
      <x:c r="AC1331" s="87"/>
      <x:c r="AD1331" s="87"/>
      <x:c r="AE1331" s="87"/>
      <x:c r="AF1331" s="87"/>
      <x:c r="AG1331" s="87"/>
      <x:c r="AH1331" s="87"/>
      <x:c r="AI1331" s="30"/>
      <x:c r="AJ1331" s="87" t="str">
        <x:v>master</x:v>
      </x:c>
      <x:c r="AK1331" s="87" t="str">
        <x:v>master-v0.81</x:v>
      </x:c>
      <x:c r="AL1331" s="87" t="str">
        <x:v>statgrad_master_base_v0_81_final(2).xlsx</x:v>
      </x:c>
      <x:c r="AM1331" s="87" t="str">
        <x:v>RUS_Mar_V2</x:v>
      </x:c>
      <x:c r="AN1331" s="87" t="n">
        <x:v>19</x:v>
      </x:c>
    </x:row>
    <x:row r="1332">
      <x:c r="A1332" s="87" t="n">
        <x:v>1331</x:v>
      </x:c>
      <x:c r="B1332" s="87" t="str">
        <x:v>MAR-RUS-V2-019</x:v>
      </x:c>
      <x:c r="C1332" s="87" t="str">
        <x:v>СтатГрад</x:v>
      </x:c>
      <x:c r="D1332" s="87" t="str">
        <x:v>Март 2026</x:v>
      </x:c>
      <x:c r="E1332" s="87"/>
      <x:c r="F1332" s="87"/>
      <x:c r="G1332" s="87" t="str">
        <x:v>Русский язык</x:v>
      </x:c>
      <x:c r="H1332" s="87" t="n">
        <x:v>11</x:v>
      </x:c>
      <x:c r="I1332" s="87" t="str">
        <x:v>Диагностическая работа №2</x:v>
      </x:c>
      <x:c r="J1332" s="87" t="str">
        <x:v>РЯ2510602</x:v>
      </x:c>
      <x:c r="K1332" s="87" t="n">
        <x:v>19</x:v>
      </x:c>
      <x:c r="L1332" s="87" t="str">
        <x:v>Сложноподчинённое предложение</x:v>
      </x:c>
      <x:c r="M1332" s="30" t="str">
        <x:v>Определить позиции запятых.</x:v>
      </x:c>
      <x:c r="N1332" s="30" t="str">
        <x:v>12456</x:v>
      </x:c>
      <x:c r="O1332" s="30" t="str">
        <x:v>Запятые отделяют придаточные части и границы сложной синтаксической конструкции.</x:v>
      </x:c>
      <x:c r="P1332" s="30" t="str">
        <x:v>Запятые отделяют придаточные части и границы сложной синтаксической конструкции.</x:v>
      </x:c>
      <x:c r="Q1332" s="30"/>
      <x:c r="R1332" s="30" t="str">
        <x:v>PDF + открытый ключ + независимая проверка</x:v>
      </x:c>
      <x:c r="S1332" s="30"/>
      <x:c r="T1332" s="30"/>
      <x:c r="U1332" s="30" t="str">
        <x:v>Расхождений не обнаружено.</x:v>
      </x:c>
      <x:c r="V1332" s="87" t="str">
        <x:v>VERIFIED</x:v>
      </x:c>
      <x:c r="W1332" s="87" t="str">
        <x:v>PDF, задание 19</x:v>
      </x:c>
      <x:c r="X1332" s="87"/>
      <x:c r="Y1332" s="87"/>
      <x:c r="Z1332" s="87"/>
      <x:c r="AA1332" s="87"/>
      <x:c r="AB1332" s="87"/>
      <x:c r="AC1332" s="87"/>
      <x:c r="AD1332" s="87"/>
      <x:c r="AE1332" s="87"/>
      <x:c r="AF1332" s="87"/>
      <x:c r="AG1332" s="87"/>
      <x:c r="AH1332" s="87"/>
      <x:c r="AI1332" s="30"/>
      <x:c r="AJ1332" s="87" t="str">
        <x:v>master</x:v>
      </x:c>
      <x:c r="AK1332" s="87" t="str">
        <x:v>master-v0.81</x:v>
      </x:c>
      <x:c r="AL1332" s="87" t="str">
        <x:v>statgrad_master_base_v0_81_final(2).xlsx</x:v>
      </x:c>
      <x:c r="AM1332" s="87" t="str">
        <x:v>RUS_Mar_V2</x:v>
      </x:c>
      <x:c r="AN1332" s="87" t="n">
        <x:v>20</x:v>
      </x:c>
    </x:row>
    <x:row r="1333">
      <x:c r="A1333" s="87" t="n">
        <x:v>1332</x:v>
      </x:c>
      <x:c r="B1333" s="87" t="str">
        <x:v>MAR-RUS-V2-020</x:v>
      </x:c>
      <x:c r="C1333" s="87" t="str">
        <x:v>СтатГрад</x:v>
      </x:c>
      <x:c r="D1333" s="87" t="str">
        <x:v>Март 2026</x:v>
      </x:c>
      <x:c r="E1333" s="87"/>
      <x:c r="F1333" s="87"/>
      <x:c r="G1333" s="87" t="str">
        <x:v>Русский язык</x:v>
      </x:c>
      <x:c r="H1333" s="87" t="n">
        <x:v>11</x:v>
      </x:c>
      <x:c r="I1333" s="87" t="str">
        <x:v>Диагностическая работа №2</x:v>
      </x:c>
      <x:c r="J1333" s="87" t="str">
        <x:v>РЯ2510602</x:v>
      </x:c>
      <x:c r="K1333" s="87" t="n">
        <x:v>20</x:v>
      </x:c>
      <x:c r="L1333" s="87" t="str">
        <x:v>Сложное предложение</x:v>
      </x:c>
      <x:c r="M1333" s="30" t="str">
        <x:v>Определить позиции запятых.</x:v>
      </x:c>
      <x:c r="N1333" s="30" t="str">
        <x:v>24</x:v>
      </x:c>
      <x:c r="O1333" s="30" t="str">
        <x:v>Запятые ставятся перед придаточным определительным и на границе придаточной и главной частей.</x:v>
      </x:c>
      <x:c r="P1333" s="30" t="str">
        <x:v>Запятые ставятся перед придаточным определительным и на границе придаточной и главной частей.</x:v>
      </x:c>
      <x:c r="Q1333" s="30"/>
      <x:c r="R1333" s="30" t="str">
        <x:v>PDF + открытый ключ + независимая проверка</x:v>
      </x:c>
      <x:c r="S1333" s="30"/>
      <x:c r="T1333" s="30"/>
      <x:c r="U1333" s="30" t="str">
        <x:v>Расхождений не обнаружено.</x:v>
      </x:c>
      <x:c r="V1333" s="87" t="str">
        <x:v>VERIFIED</x:v>
      </x:c>
      <x:c r="W1333" s="87" t="str">
        <x:v>PDF, задание 20</x:v>
      </x:c>
      <x:c r="X1333" s="87"/>
      <x:c r="Y1333" s="87"/>
      <x:c r="Z1333" s="87"/>
      <x:c r="AA1333" s="87"/>
      <x:c r="AB1333" s="87"/>
      <x:c r="AC1333" s="87"/>
      <x:c r="AD1333" s="87"/>
      <x:c r="AE1333" s="87"/>
      <x:c r="AF1333" s="87"/>
      <x:c r="AG1333" s="87"/>
      <x:c r="AH1333" s="87"/>
      <x:c r="AI1333" s="30"/>
      <x:c r="AJ1333" s="87" t="str">
        <x:v>master</x:v>
      </x:c>
      <x:c r="AK1333" s="87" t="str">
        <x:v>master-v0.81</x:v>
      </x:c>
      <x:c r="AL1333" s="87" t="str">
        <x:v>statgrad_master_base_v0_81_final(2).xlsx</x:v>
      </x:c>
      <x:c r="AM1333" s="87" t="str">
        <x:v>RUS_Mar_V2</x:v>
      </x:c>
      <x:c r="AN1333" s="87" t="n">
        <x:v>21</x:v>
      </x:c>
    </x:row>
    <x:row r="1334">
      <x:c r="A1334" s="87" t="n">
        <x:v>1333</x:v>
      </x:c>
      <x:c r="B1334" s="87" t="str">
        <x:v>MAR-RUS-V2-021</x:v>
      </x:c>
      <x:c r="C1334" s="87" t="str">
        <x:v>СтатГрад</x:v>
      </x:c>
      <x:c r="D1334" s="87" t="str">
        <x:v>Март 2026</x:v>
      </x:c>
      <x:c r="E1334" s="87"/>
      <x:c r="F1334" s="87"/>
      <x:c r="G1334" s="87" t="str">
        <x:v>Русский язык</x:v>
      </x:c>
      <x:c r="H1334" s="87" t="n">
        <x:v>11</x:v>
      </x:c>
      <x:c r="I1334" s="87" t="str">
        <x:v>Диагностическая работа №2</x:v>
      </x:c>
      <x:c r="J1334" s="87" t="str">
        <x:v>РЯ2510602</x:v>
      </x:c>
      <x:c r="K1334" s="87" t="n">
        <x:v>21</x:v>
      </x:c>
      <x:c r="L1334" s="87" t="str">
        <x:v>Пунктуационный анализ</x:v>
      </x:c>
      <x:c r="M1334" s="30" t="str">
        <x:v>Найти предложения с одинаковым пунктуационным правилом.</x:v>
      </x:c>
      <x:c r="N1334" s="30" t="str">
        <x:v>5679</x:v>
      </x:c>
      <x:c r="O1334" s="30" t="str">
        <x:v>В указанных предложениях знаки связаны с обособлением и однородной/сложной структурой одного типа.</x:v>
      </x:c>
      <x:c r="P1334" s="30" t="str">
        <x:v>В указанных предложениях знаки связаны с обособлением и однородной/сложной структурой одного типа.</x:v>
      </x:c>
      <x:c r="Q1334" s="30"/>
      <x:c r="R1334" s="30" t="str">
        <x:v>PDF + открытый ключ + независимая проверка</x:v>
      </x:c>
      <x:c r="S1334" s="30"/>
      <x:c r="T1334" s="30"/>
      <x:c r="U1334" s="30" t="str">
        <x:v>Расхождений не обнаружено.</x:v>
      </x:c>
      <x:c r="V1334" s="87" t="str">
        <x:v>VERIFIED</x:v>
      </x:c>
      <x:c r="W1334" s="87" t="str">
        <x:v>PDF, задание 21</x:v>
      </x:c>
      <x:c r="X1334" s="87"/>
      <x:c r="Y1334" s="87"/>
      <x:c r="Z1334" s="87"/>
      <x:c r="AA1334" s="87"/>
      <x:c r="AB1334" s="87"/>
      <x:c r="AC1334" s="87"/>
      <x:c r="AD1334" s="87"/>
      <x:c r="AE1334" s="87"/>
      <x:c r="AF1334" s="87"/>
      <x:c r="AG1334" s="87"/>
      <x:c r="AH1334" s="87"/>
      <x:c r="AI1334" s="30"/>
      <x:c r="AJ1334" s="87" t="str">
        <x:v>master</x:v>
      </x:c>
      <x:c r="AK1334" s="87" t="str">
        <x:v>master-v0.81</x:v>
      </x:c>
      <x:c r="AL1334" s="87" t="str">
        <x:v>statgrad_master_base_v0_81_final(2).xlsx</x:v>
      </x:c>
      <x:c r="AM1334" s="87" t="str">
        <x:v>RUS_Mar_V2</x:v>
      </x:c>
      <x:c r="AN1334" s="87" t="n">
        <x:v>22</x:v>
      </x:c>
    </x:row>
    <x:row r="1335">
      <x:c r="A1335" s="87" t="n">
        <x:v>1334</x:v>
      </x:c>
      <x:c r="B1335" s="87" t="str">
        <x:v>MAR-RUS-V2-022</x:v>
      </x:c>
      <x:c r="C1335" s="87" t="str">
        <x:v>СтатГрад</x:v>
      </x:c>
      <x:c r="D1335" s="87" t="str">
        <x:v>Март 2026</x:v>
      </x:c>
      <x:c r="E1335" s="87"/>
      <x:c r="F1335" s="87"/>
      <x:c r="G1335" s="87" t="str">
        <x:v>Русский язык</x:v>
      </x:c>
      <x:c r="H1335" s="87" t="n">
        <x:v>11</x:v>
      </x:c>
      <x:c r="I1335" s="87" t="str">
        <x:v>Диагностическая работа №2</x:v>
      </x:c>
      <x:c r="J1335" s="87" t="str">
        <x:v>РЯ2510602</x:v>
      </x:c>
      <x:c r="K1335" s="87" t="n">
        <x:v>22</x:v>
      </x:c>
      <x:c r="L1335" s="87" t="str">
        <x:v>Средства выразительности</x:v>
      </x:c>
      <x:c r="M1335" s="30" t="str">
        <x:v>Соотнести фрагменты и названия средств выразительности.</x:v>
      </x:c>
      <x:c r="N1335" s="30" t="str">
        <x:v>97281</x:v>
      </x:c>
      <x:c r="O1335" s="30" t="str">
        <x:v>Средства выразительности распознаны по лексическим и синтаксическим признакам; последовательность сверена с ключом.</x:v>
      </x:c>
      <x:c r="P1335" s="30" t="str">
        <x:v>Средства выразительности распознаны по лексическим и синтаксическим признакам; последовательность сверена с ключом.</x:v>
      </x:c>
      <x:c r="Q1335" s="30"/>
      <x:c r="R1335" s="30" t="str">
        <x:v>PDF + открытый ключ + независимая проверка</x:v>
      </x:c>
      <x:c r="S1335" s="30"/>
      <x:c r="T1335" s="30"/>
      <x:c r="U1335" s="30" t="str">
        <x:v>Расхождений не обнаружено.</x:v>
      </x:c>
      <x:c r="V1335" s="87" t="str">
        <x:v>VERIFIED</x:v>
      </x:c>
      <x:c r="W1335" s="87" t="str">
        <x:v>PDF, задание 22</x:v>
      </x:c>
      <x:c r="X1335" s="87"/>
      <x:c r="Y1335" s="87"/>
      <x:c r="Z1335" s="87"/>
      <x:c r="AA1335" s="87"/>
      <x:c r="AB1335" s="87"/>
      <x:c r="AC1335" s="87"/>
      <x:c r="AD1335" s="87"/>
      <x:c r="AE1335" s="87"/>
      <x:c r="AF1335" s="87"/>
      <x:c r="AG1335" s="87"/>
      <x:c r="AH1335" s="87"/>
      <x:c r="AI1335" s="30"/>
      <x:c r="AJ1335" s="87" t="str">
        <x:v>master</x:v>
      </x:c>
      <x:c r="AK1335" s="87" t="str">
        <x:v>master-v0.81</x:v>
      </x:c>
      <x:c r="AL1335" s="87" t="str">
        <x:v>statgrad_master_base_v0_81_final(2).xlsx</x:v>
      </x:c>
      <x:c r="AM1335" s="87" t="str">
        <x:v>RUS_Mar_V2</x:v>
      </x:c>
      <x:c r="AN1335" s="87" t="n">
        <x:v>23</x:v>
      </x:c>
    </x:row>
    <x:row r="1336">
      <x:c r="A1336" s="87" t="n">
        <x:v>1335</x:v>
      </x:c>
      <x:c r="B1336" s="87" t="str">
        <x:v>MAR-RUS-V2-023</x:v>
      </x:c>
      <x:c r="C1336" s="87" t="str">
        <x:v>СтатГрад</x:v>
      </x:c>
      <x:c r="D1336" s="87" t="str">
        <x:v>Март 2026</x:v>
      </x:c>
      <x:c r="E1336" s="87"/>
      <x:c r="F1336" s="87"/>
      <x:c r="G1336" s="87" t="str">
        <x:v>Русский язык</x:v>
      </x:c>
      <x:c r="H1336" s="87" t="n">
        <x:v>11</x:v>
      </x:c>
      <x:c r="I1336" s="87" t="str">
        <x:v>Диагностическая работа №2</x:v>
      </x:c>
      <x:c r="J1336" s="87" t="str">
        <x:v>РЯ2510602</x:v>
      </x:c>
      <x:c r="K1336" s="87" t="n">
        <x:v>23</x:v>
      </x:c>
      <x:c r="L1336" s="87" t="str">
        <x:v>Содержание текста</x:v>
      </x:c>
      <x:c r="M1336" s="30" t="str">
        <x:v>Выбрать высказывания, не соответствующие тексту Куваева.</x:v>
      </x:c>
      <x:c r="N1336" s="30" t="str">
        <x:v>12</x:v>
      </x:c>
      <x:c r="O1336" s="30" t="str">
        <x:v>Не соответствуют утверждения о совместной подготовке места и формулировке помощи с бочкой.</x:v>
      </x:c>
      <x:c r="P1336" s="30" t="str">
        <x:v>Не соответствуют утверждения о совместной подготовке места и формулировке помощи с бочкой.</x:v>
      </x:c>
      <x:c r="Q1336" s="30"/>
      <x:c r="R1336" s="30" t="str">
        <x:v>PDF + открытый ключ + независимая проверка</x:v>
      </x:c>
      <x:c r="S1336" s="30"/>
      <x:c r="T1336" s="30"/>
      <x:c r="U1336" s="30" t="str">
        <x:v>Расхождений не обнаружено.</x:v>
      </x:c>
      <x:c r="V1336" s="87" t="str">
        <x:v>VERIFIED</x:v>
      </x:c>
      <x:c r="W1336" s="87" t="str">
        <x:v>PDF, задание 23</x:v>
      </x:c>
      <x:c r="X1336" s="87"/>
      <x:c r="Y1336" s="87"/>
      <x:c r="Z1336" s="87"/>
      <x:c r="AA1336" s="87"/>
      <x:c r="AB1336" s="87"/>
      <x:c r="AC1336" s="87"/>
      <x:c r="AD1336" s="87"/>
      <x:c r="AE1336" s="87"/>
      <x:c r="AF1336" s="87"/>
      <x:c r="AG1336" s="87"/>
      <x:c r="AH1336" s="87"/>
      <x:c r="AI1336" s="30"/>
      <x:c r="AJ1336" s="87" t="str">
        <x:v>master</x:v>
      </x:c>
      <x:c r="AK1336" s="87" t="str">
        <x:v>master-v0.81</x:v>
      </x:c>
      <x:c r="AL1336" s="87" t="str">
        <x:v>statgrad_master_base_v0_81_final(2).xlsx</x:v>
      </x:c>
      <x:c r="AM1336" s="87" t="str">
        <x:v>RUS_Mar_V2</x:v>
      </x:c>
      <x:c r="AN1336" s="87" t="n">
        <x:v>24</x:v>
      </x:c>
    </x:row>
    <x:row r="1337">
      <x:c r="A1337" s="87" t="n">
        <x:v>1336</x:v>
      </x:c>
      <x:c r="B1337" s="87" t="str">
        <x:v>MAR-RUS-V2-024</x:v>
      </x:c>
      <x:c r="C1337" s="87" t="str">
        <x:v>СтатГрад</x:v>
      </x:c>
      <x:c r="D1337" s="87" t="str">
        <x:v>Март 2026</x:v>
      </x:c>
      <x:c r="E1337" s="87"/>
      <x:c r="F1337" s="87"/>
      <x:c r="G1337" s="87" t="str">
        <x:v>Русский язык</x:v>
      </x:c>
      <x:c r="H1337" s="87" t="n">
        <x:v>11</x:v>
      </x:c>
      <x:c r="I1337" s="87" t="str">
        <x:v>Диагностическая работа №2</x:v>
      </x:c>
      <x:c r="J1337" s="87" t="str">
        <x:v>РЯ2510602</x:v>
      </x:c>
      <x:c r="K1337" s="87" t="n">
        <x:v>24</x:v>
      </x:c>
      <x:c r="L1337" s="87" t="str">
        <x:v>Типы речи и логические связи</x:v>
      </x:c>
      <x:c r="M1337" s="30" t="str">
        <x:v>Выбрать ошибочные утверждения.</x:v>
      </x:c>
      <x:c r="N1337" s="30" t="str">
        <x:v>345</x:v>
      </x:c>
      <x:c r="O1337" s="30" t="str">
        <x:v>Ошибочно определены причинная связь, противопоставление и тип речи в указанных фрагментах.</x:v>
      </x:c>
      <x:c r="P1337" s="30" t="str">
        <x:v>Ошибочно определены причинная связь, противопоставление и тип речи в указанных фрагментах.</x:v>
      </x:c>
      <x:c r="Q1337" s="30"/>
      <x:c r="R1337" s="30" t="str">
        <x:v>PDF + открытый ключ + независимая проверка</x:v>
      </x:c>
      <x:c r="S1337" s="30"/>
      <x:c r="T1337" s="30"/>
      <x:c r="U1337" s="30" t="str">
        <x:v>Расхождений не обнаружено.</x:v>
      </x:c>
      <x:c r="V1337" s="87" t="str">
        <x:v>VERIFIED</x:v>
      </x:c>
      <x:c r="W1337" s="87" t="str">
        <x:v>PDF, задание 24</x:v>
      </x:c>
      <x:c r="X1337" s="87"/>
      <x:c r="Y1337" s="87"/>
      <x:c r="Z1337" s="87"/>
      <x:c r="AA1337" s="87"/>
      <x:c r="AB1337" s="87"/>
      <x:c r="AC1337" s="87"/>
      <x:c r="AD1337" s="87"/>
      <x:c r="AE1337" s="87"/>
      <x:c r="AF1337" s="87"/>
      <x:c r="AG1337" s="87"/>
      <x:c r="AH1337" s="87"/>
      <x:c r="AI1337" s="30"/>
      <x:c r="AJ1337" s="87" t="str">
        <x:v>master</x:v>
      </x:c>
      <x:c r="AK1337" s="87" t="str">
        <x:v>master-v0.81</x:v>
      </x:c>
      <x:c r="AL1337" s="87" t="str">
        <x:v>statgrad_master_base_v0_81_final(2).xlsx</x:v>
      </x:c>
      <x:c r="AM1337" s="87" t="str">
        <x:v>RUS_Mar_V2</x:v>
      </x:c>
      <x:c r="AN1337" s="87" t="n">
        <x:v>25</x:v>
      </x:c>
    </x:row>
    <x:row r="1338">
      <x:c r="A1338" s="87" t="n">
        <x:v>1337</x:v>
      </x:c>
      <x:c r="B1338" s="87" t="str">
        <x:v>MAR-RUS-V2-025</x:v>
      </x:c>
      <x:c r="C1338" s="87" t="str">
        <x:v>СтатГрад</x:v>
      </x:c>
      <x:c r="D1338" s="87" t="str">
        <x:v>Март 2026</x:v>
      </x:c>
      <x:c r="E1338" s="87"/>
      <x:c r="F1338" s="87"/>
      <x:c r="G1338" s="87" t="str">
        <x:v>Русский язык</x:v>
      </x:c>
      <x:c r="H1338" s="87" t="n">
        <x:v>11</x:v>
      </x:c>
      <x:c r="I1338" s="87" t="str">
        <x:v>Диагностическая работа №2</x:v>
      </x:c>
      <x:c r="J1338" s="87" t="str">
        <x:v>РЯ2510602</x:v>
      </x:c>
      <x:c r="K1338" s="87" t="n">
        <x:v>25</x:v>
      </x:c>
      <x:c r="L1338" s="87" t="str">
        <x:v>Фразеология</x:v>
      </x:c>
      <x:c r="M1338" s="30" t="str">
        <x:v>Выписать фразеологизм из предложений 79–84.</x:v>
      </x:c>
      <x:c r="N1338" s="30" t="str">
        <x:v>может быть / изо всех сил</x:v>
      </x:c>
      <x:c r="O1338" s="30" t="str">
        <x:v>Оба сочетания фиксируются как устойчивые; ключ допускает любой один ответ.</x:v>
      </x:c>
      <x:c r="P1338" s="30" t="str">
        <x:v>Оба сочетания фиксируются как устойчивые; ключ допускает любой один ответ.</x:v>
      </x:c>
      <x:c r="Q1338" s="30"/>
      <x:c r="R1338" s="30" t="str">
        <x:v>PDF + открытый ключ + независимая проверка</x:v>
      </x:c>
      <x:c r="S1338" s="30"/>
      <x:c r="T1338" s="30"/>
      <x:c r="U1338" s="30" t="str">
        <x:v>В открытом ключе приведены два допустимых ответа.</x:v>
      </x:c>
      <x:c r="V1338" s="87" t="str">
        <x:v>VERIFIED</x:v>
      </x:c>
      <x:c r="W1338" s="87" t="str">
        <x:v>PDF, задание 25</x:v>
      </x:c>
      <x:c r="X1338" s="87"/>
      <x:c r="Y1338" s="87"/>
      <x:c r="Z1338" s="87"/>
      <x:c r="AA1338" s="87"/>
      <x:c r="AB1338" s="87"/>
      <x:c r="AC1338" s="87"/>
      <x:c r="AD1338" s="87"/>
      <x:c r="AE1338" s="87"/>
      <x:c r="AF1338" s="87"/>
      <x:c r="AG1338" s="87"/>
      <x:c r="AH1338" s="87"/>
      <x:c r="AI1338" s="30"/>
      <x:c r="AJ1338" s="87" t="str">
        <x:v>master</x:v>
      </x:c>
      <x:c r="AK1338" s="87" t="str">
        <x:v>master-v0.81</x:v>
      </x:c>
      <x:c r="AL1338" s="87" t="str">
        <x:v>statgrad_master_base_v0_81_final(2).xlsx</x:v>
      </x:c>
      <x:c r="AM1338" s="87" t="str">
        <x:v>RUS_Mar_V2</x:v>
      </x:c>
      <x:c r="AN1338" s="87" t="n">
        <x:v>26</x:v>
      </x:c>
    </x:row>
    <x:row r="1339">
      <x:c r="A1339" s="87" t="n">
        <x:v>1338</x:v>
      </x:c>
      <x:c r="B1339" s="87" t="str">
        <x:v>MAR-RUS-V2-026</x:v>
      </x:c>
      <x:c r="C1339" s="87" t="str">
        <x:v>СтатГрад</x:v>
      </x:c>
      <x:c r="D1339" s="87" t="str">
        <x:v>Март 2026</x:v>
      </x:c>
      <x:c r="E1339" s="87"/>
      <x:c r="F1339" s="87"/>
      <x:c r="G1339" s="87" t="str">
        <x:v>Русский язык</x:v>
      </x:c>
      <x:c r="H1339" s="87" t="n">
        <x:v>11</x:v>
      </x:c>
      <x:c r="I1339" s="87" t="str">
        <x:v>Диагностическая работа №2</x:v>
      </x:c>
      <x:c r="J1339" s="87" t="str">
        <x:v>РЯ2510602</x:v>
      </x:c>
      <x:c r="K1339" s="87" t="n">
        <x:v>26</x:v>
      </x:c>
      <x:c r="L1339" s="87" t="str">
        <x:v>Средства связи предложений</x:v>
      </x:c>
      <x:c r="M1339" s="30" t="str">
        <x:v>Найти предложения, связанные с предыдущими формами слова.</x:v>
      </x:c>
      <x:c r="N1339" s="30" t="str">
        <x:v>11, 13</x:v>
      </x:c>
      <x:c r="O1339" s="30" t="str">
        <x:v>Связь через формы повторяющихся слов реализована в предложениях 11 и 13.</x:v>
      </x:c>
      <x:c r="P1339" s="30" t="str">
        <x:v>Связь через формы повторяющихся слов реализована в предложениях 11 и 13.</x:v>
      </x:c>
      <x:c r="Q1339" s="30"/>
      <x:c r="R1339" s="30" t="str">
        <x:v>PDF + открытый ключ + независимая проверка</x:v>
      </x:c>
      <x:c r="S1339" s="30"/>
      <x:c r="T1339" s="30"/>
      <x:c r="U1339" s="30" t="str">
        <x:v>Расхождений не обнаружено.</x:v>
      </x:c>
      <x:c r="V1339" s="87" t="str">
        <x:v>VERIFIED</x:v>
      </x:c>
      <x:c r="W1339" s="87" t="str">
        <x:v>PDF, задание 26</x:v>
      </x:c>
      <x:c r="X1339" s="87"/>
      <x:c r="Y1339" s="87"/>
      <x:c r="Z1339" s="87"/>
      <x:c r="AA1339" s="87"/>
      <x:c r="AB1339" s="87"/>
      <x:c r="AC1339" s="87"/>
      <x:c r="AD1339" s="87"/>
      <x:c r="AE1339" s="87"/>
      <x:c r="AF1339" s="87"/>
      <x:c r="AG1339" s="87"/>
      <x:c r="AH1339" s="87"/>
      <x:c r="AI1339" s="30"/>
      <x:c r="AJ1339" s="87" t="str">
        <x:v>master</x:v>
      </x:c>
      <x:c r="AK1339" s="87" t="str">
        <x:v>master-v0.81</x:v>
      </x:c>
      <x:c r="AL1339" s="87" t="str">
        <x:v>statgrad_master_base_v0_81_final(2).xlsx</x:v>
      </x:c>
      <x:c r="AM1339" s="87" t="str">
        <x:v>RUS_Mar_V2</x:v>
      </x:c>
      <x:c r="AN1339" s="87" t="n">
        <x:v>27</x:v>
      </x:c>
    </x:row>
    <x:row r="1340">
      <x:c r="A1340" s="87" t="n">
        <x:v>1339</x:v>
      </x:c>
      <x:c r="B1340" s="87" t="str">
        <x:v>MAR-RUS-V2-027</x:v>
      </x:c>
      <x:c r="C1340" s="87" t="str">
        <x:v>СтатГрад</x:v>
      </x:c>
      <x:c r="D1340" s="87" t="str">
        <x:v>Март 2026</x:v>
      </x:c>
      <x:c r="E1340" s="87"/>
      <x:c r="F1340" s="87"/>
      <x:c r="G1340" s="87" t="str">
        <x:v>Русский язык</x:v>
      </x:c>
      <x:c r="H1340" s="87" t="n">
        <x:v>11</x:v>
      </x:c>
      <x:c r="I1340" s="87" t="str">
        <x:v>Диагностическая работа №2</x:v>
      </x:c>
      <x:c r="J1340" s="87" t="str">
        <x:v>РЯ2510602</x:v>
      </x:c>
      <x:c r="K1340" s="87" t="n">
        <x:v>27</x:v>
      </x:c>
      <x:c r="L1340" s="87" t="str">
        <x:v>Сочинение-рассуждение</x:v>
      </x:c>
      <x:c r="M1340" s="30" t="str">
        <x:v>Написать сочинение по проблеме: «Что позволяет человеку удерживаться от душевной деградации, преодолевать собственные слабости?»</x:v>
      </x:c>
      <x:c r="N1340" s="30" t="str">
        <x:v>В тексте О. М. Куваева поставлен вопрос: что помогает человеку удержаться от душевной деградации и преодолеть собственные слабости? Автор убеждён: человека поддерживают принадлежность к близкому коллективу, общая ответственность и открытость перед теми, с кем он разделяет труд и судьбу.
Салахов сначала помогает простуженному Богу Огня: берёт его груз, устраивает баню и заботится о товарище. Этот поступок показывает нравственную силу взаимопомощи. Позднее герой видит, как выздоровевший напарник становится жадным, и понимает, что ни одно добро само по себе не исправляет человека, а чрезмерная строгость лишь озлобляет. Размышляя над этим противоречием, Салахов приходит к выводу: среди множества коллективов важно найти «свой» и держаться за него, потому что общая крыша и общая судьба заставляют стыдиться низких поступков. Второй пример является выводом из первого и раскрывает средство нравственного самоконтроля.
Я согласен с автором. Человек легче преодолевает слабости, когда чувствует ответственность перед людьми, которые ему доверяют. Так, в повести А. С. Пушкина «Капитанская дочка» Пётр Гринёв сохраняет честь, потому что помнит отцовский наказ и ощущает ответственность перед Машей Мироновой. Значит, верность близким, совместное дело и честность перед своим кругом помогают человеку не опуститься нравственно.</x:v>
      </x:c>
      <x:c r="O1340" s="30" t="str">
        <x:v>Модель раскрывает авторскую позицию, два примера, причинно-следственную связь, собственное отношение и литературный аргумент.</x:v>
      </x:c>
      <x:c r="P1340" s="30" t="str">
        <x:v>Модель раскрывает авторскую позицию, два примера, причинно-следственную связь, собственное отношение и литературный аргумент.</x:v>
      </x:c>
      <x:c r="Q1340" s="30"/>
      <x:c r="R1340" s="30" t="str">
        <x:v>Полный текст Куваева + открытая модель + независимая редакция</x:v>
      </x:c>
      <x:c r="S1340" s="30"/>
      <x:c r="T1340" s="30"/>
      <x:c r="U1340" s="30" t="str">
        <x:v>Расхождений не обнаружено.</x:v>
      </x:c>
      <x:c r="V1340" s="87" t="str">
        <x:v>VERIFIED</x:v>
      </x:c>
      <x:c r="W1340" s="87" t="str">
        <x:v>PDF, задание 27</x:v>
      </x:c>
      <x:c r="X1340" s="87"/>
      <x:c r="Y1340" s="87"/>
      <x:c r="Z1340" s="87"/>
      <x:c r="AA1340" s="87"/>
      <x:c r="AB1340" s="87"/>
      <x:c r="AC1340" s="87"/>
      <x:c r="AD1340" s="87"/>
      <x:c r="AE1340" s="87"/>
      <x:c r="AF1340" s="87"/>
      <x:c r="AG1340" s="87"/>
      <x:c r="AH1340" s="87"/>
      <x:c r="AI1340" s="30"/>
      <x:c r="AJ1340" s="87" t="str">
        <x:v>master</x:v>
      </x:c>
      <x:c r="AK1340" s="87" t="str">
        <x:v>master-v0.81</x:v>
      </x:c>
      <x:c r="AL1340" s="87" t="str">
        <x:v>statgrad_master_base_v0_81_final(2).xlsx</x:v>
      </x:c>
      <x:c r="AM1340" s="87" t="str">
        <x:v>RUS_Mar_V2</x:v>
      </x:c>
      <x:c r="AN1340" s="87" t="n">
        <x:v>28</x:v>
      </x:c>
    </x:row>
    <x:row r="1341">
      <x:c r="A1341" s="87" t="n">
        <x:v>1340</x:v>
      </x:c>
      <x:c r="B1341" s="87" t="str">
        <x:v>MAR-MATH-B-V1-001</x:v>
      </x:c>
      <x:c r="C1341" s="87" t="str">
        <x:v>СтатГрад</x:v>
      </x:c>
      <x:c r="D1341" s="87" t="str">
        <x:v>Март 2026</x:v>
      </x:c>
      <x:c r="E1341" s="87"/>
      <x:c r="F1341" s="87"/>
      <x:c r="G1341" s="87" t="str">
        <x:v>Математика</x:v>
      </x:c>
      <x:c r="H1341" s="87" t="str">
        <x:v>Базовый</x:v>
      </x:c>
      <x:c r="I1341" s="87" t="str">
        <x:v>ТР №4</x:v>
      </x:c>
      <x:c r="J1341" s="87" t="str">
        <x:v>МА2510401</x:v>
      </x:c>
      <x:c r="K1341" s="87" t="n">
        <x:v>1</x:v>
      </x:c>
      <x:c r="L1341" s="87" t="str">
        <x:v>Текстовая задача: окупаемость</x:v>
      </x:c>
      <x:c r="M1341" s="30" t="str">
        <x:v>Установка счётчиков стоит 4900 руб.; ежемесячная плата снижается с 7500 до 3400 руб. Найти минимальное число месяцев до превышения экономии над затратами.</x:v>
      </x:c>
      <x:c r="N1341" s="30" t="str">
        <x:v>2</x:v>
      </x:c>
      <x:c r="O1341" s="30" t="str">
        <x:v>Экономия за месяц 4100 руб.; за один месяц она меньше 4900, за два — 8200 руб.</x:v>
      </x:c>
      <x:c r="P1341" s="30" t="str">
        <x:v>Экономия за месяц 4100 руб.; за один месяц она меньше 4900, за два — 8200 руб.</x:v>
      </x:c>
      <x:c r="Q1341" s="30"/>
      <x:c r="R1341" s="30" t="str">
        <x:v>Полная версия с решениями РЕШУ ЕГЭ</x:v>
      </x:c>
      <x:c r="S1341" s="30"/>
      <x:c r="T1341" s="30"/>
      <x:c r="U1341" s="30" t="str">
        <x:v>Расхождений не обнаружено.</x:v>
      </x:c>
      <x:c r="V1341" s="87" t="str">
        <x:v>VERIFIED</x:v>
      </x:c>
      <x:c r="W1341" s="87" t="str">
        <x:v>онлайн</x:v>
      </x:c>
      <x:c r="X1341" s="87"/>
      <x:c r="Y1341" s="87"/>
      <x:c r="Z1341" s="87"/>
      <x:c r="AA1341" s="87"/>
      <x:c r="AB1341" s="87"/>
      <x:c r="AC1341" s="87"/>
      <x:c r="AD1341" s="87"/>
      <x:c r="AE1341" s="87"/>
      <x:c r="AF1341" s="87"/>
      <x:c r="AG1341" s="87"/>
      <x:c r="AH1341" s="87"/>
      <x:c r="AI1341" s="30"/>
      <x:c r="AJ1341" s="87" t="str">
        <x:v>master</x:v>
      </x:c>
      <x:c r="AK1341" s="87" t="str">
        <x:v>master-v0.81</x:v>
      </x:c>
      <x:c r="AL1341" s="87" t="str">
        <x:v>statgrad_master_base_v0_81_final(2).xlsx</x:v>
      </x:c>
      <x:c r="AM1341" s="87" t="str">
        <x:v>MATH_Mar_Base_V1</x:v>
      </x:c>
      <x:c r="AN1341" s="87" t="n">
        <x:v>2</x:v>
      </x:c>
    </x:row>
    <x:row r="1342">
      <x:c r="A1342" s="87" t="n">
        <x:v>1341</x:v>
      </x:c>
      <x:c r="B1342" s="87" t="str">
        <x:v>MAR-MATH-B-V1-002</x:v>
      </x:c>
      <x:c r="C1342" s="87" t="str">
        <x:v>СтатГрад</x:v>
      </x:c>
      <x:c r="D1342" s="87" t="str">
        <x:v>Март 2026</x:v>
      </x:c>
      <x:c r="E1342" s="87"/>
      <x:c r="F1342" s="87"/>
      <x:c r="G1342" s="87" t="str">
        <x:v>Математика</x:v>
      </x:c>
      <x:c r="H1342" s="87" t="str">
        <x:v>Базовый</x:v>
      </x:c>
      <x:c r="I1342" s="87" t="str">
        <x:v>ТР №4</x:v>
      </x:c>
      <x:c r="J1342" s="87" t="str">
        <x:v>МА2510401</x:v>
      </x:c>
      <x:c r="K1342" s="87" t="n">
        <x:v>2</x:v>
      </x:c>
      <x:c r="L1342" s="87" t="str">
        <x:v>Соответствие величин</x:v>
      </x:c>
      <x:c r="M1342" s="30" t="str">
        <x:v>Сопоставить длительность перелёта Москва—Пекин, эпизода мультсериала, оборота барабана стиральной машины и обращения Плутона с предложенными значениями.</x:v>
      </x:c>
      <x:c r="N1342" s="30" t="str">
        <x:v>4132</x:v>
      </x:c>
      <x:c r="O1342" s="30" t="str">
        <x:v>Перелёт — 8 часов; серия — 25 минут; оборот барабана — 0,06 с; год Плутона — 90 553 суток.</x:v>
      </x:c>
      <x:c r="P1342" s="30" t="str">
        <x:v>Перелёт — 8 часов; серия — 25 минут; оборот барабана — 0,06 с; год Плутона — 90 553 суток.</x:v>
      </x:c>
      <x:c r="Q1342" s="30"/>
      <x:c r="R1342" s="30" t="str">
        <x:v>Полная версия с решениями РЕШУ ЕГЭ</x:v>
      </x:c>
      <x:c r="S1342" s="30"/>
      <x:c r="T1342" s="30"/>
      <x:c r="U1342" s="30" t="str">
        <x:v>Расхождений не обнаружено.</x:v>
      </x:c>
      <x:c r="V1342" s="87" t="str">
        <x:v>VERIFIED</x:v>
      </x:c>
      <x:c r="W1342" s="87" t="str">
        <x:v>онлайн</x:v>
      </x:c>
      <x:c r="X1342" s="87"/>
      <x:c r="Y1342" s="87"/>
      <x:c r="Z1342" s="87"/>
      <x:c r="AA1342" s="87"/>
      <x:c r="AB1342" s="87"/>
      <x:c r="AC1342" s="87"/>
      <x:c r="AD1342" s="87"/>
      <x:c r="AE1342" s="87"/>
      <x:c r="AF1342" s="87"/>
      <x:c r="AG1342" s="87"/>
      <x:c r="AH1342" s="87"/>
      <x:c r="AI1342" s="30"/>
      <x:c r="AJ1342" s="87" t="str">
        <x:v>master</x:v>
      </x:c>
      <x:c r="AK1342" s="87" t="str">
        <x:v>master-v0.81</x:v>
      </x:c>
      <x:c r="AL1342" s="87" t="str">
        <x:v>statgrad_master_base_v0_81_final(2).xlsx</x:v>
      </x:c>
      <x:c r="AM1342" s="87" t="str">
        <x:v>MATH_Mar_Base_V1</x:v>
      </x:c>
      <x:c r="AN1342" s="87" t="n">
        <x:v>3</x:v>
      </x:c>
    </x:row>
    <x:row r="1343">
      <x:c r="A1343" s="87" t="n">
        <x:v>1342</x:v>
      </x:c>
      <x:c r="B1343" s="87" t="str">
        <x:v>MAR-MATH-B-V1-003</x:v>
      </x:c>
      <x:c r="C1343" s="87" t="str">
        <x:v>СтатГрад</x:v>
      </x:c>
      <x:c r="D1343" s="87" t="str">
        <x:v>Март 2026</x:v>
      </x:c>
      <x:c r="E1343" s="87"/>
      <x:c r="F1343" s="87"/>
      <x:c r="G1343" s="87" t="str">
        <x:v>Математика</x:v>
      </x:c>
      <x:c r="H1343" s="87" t="str">
        <x:v>Базовый</x:v>
      </x:c>
      <x:c r="I1343" s="87" t="str">
        <x:v>ТР №4</x:v>
      </x:c>
      <x:c r="J1343" s="87" t="str">
        <x:v>МА2510401</x:v>
      </x:c>
      <x:c r="K1343" s="87" t="n">
        <x:v>3</x:v>
      </x:c>
      <x:c r="L1343" s="87" t="str">
        <x:v>Чтение диаграммы</x:v>
      </x:c>
      <x:c r="M1343" s="30" t="str">
        <x:v>По диаграмме среднемесячных температур Нижнего Новгорода за 1994 год найти минимальную температуру.</x:v>
      </x:c>
      <x:c r="N1343" s="30" t="str">
        <x:v>−14</x:v>
      </x:c>
      <x:c r="O1343" s="30" t="str">
        <x:v>Минимальный столбец диаграммы соответствует −14 °C.</x:v>
      </x:c>
      <x:c r="P1343" s="30" t="str">
        <x:v>Минимальный столбец диаграммы соответствует −14 °C.</x:v>
      </x:c>
      <x:c r="Q1343" s="30"/>
      <x:c r="R1343" s="30" t="str">
        <x:v>Полная версия с решениями РЕШУ ЕГЭ</x:v>
      </x:c>
      <x:c r="S1343" s="30"/>
      <x:c r="T1343" s="30"/>
      <x:c r="U1343" s="30" t="str">
        <x:v>Расхождений не обнаружено.</x:v>
      </x:c>
      <x:c r="V1343" s="87" t="str">
        <x:v>VERIFIED</x:v>
      </x:c>
      <x:c r="W1343" s="87" t="str">
        <x:v>онлайн</x:v>
      </x:c>
      <x:c r="X1343" s="87"/>
      <x:c r="Y1343" s="87"/>
      <x:c r="Z1343" s="87"/>
      <x:c r="AA1343" s="87"/>
      <x:c r="AB1343" s="87"/>
      <x:c r="AC1343" s="87"/>
      <x:c r="AD1343" s="87"/>
      <x:c r="AE1343" s="87"/>
      <x:c r="AF1343" s="87"/>
      <x:c r="AG1343" s="87"/>
      <x:c r="AH1343" s="87"/>
      <x:c r="AI1343" s="30"/>
      <x:c r="AJ1343" s="87" t="str">
        <x:v>master</x:v>
      </x:c>
      <x:c r="AK1343" s="87" t="str">
        <x:v>master-v0.81</x:v>
      </x:c>
      <x:c r="AL1343" s="87" t="str">
        <x:v>statgrad_master_base_v0_81_final(2).xlsx</x:v>
      </x:c>
      <x:c r="AM1343" s="87" t="str">
        <x:v>MATH_Mar_Base_V1</x:v>
      </x:c>
      <x:c r="AN1343" s="87" t="n">
        <x:v>4</x:v>
      </x:c>
    </x:row>
    <x:row r="1344">
      <x:c r="A1344" s="87" t="n">
        <x:v>1343</x:v>
      </x:c>
      <x:c r="B1344" s="87" t="str">
        <x:v>MAR-MATH-B-V1-004</x:v>
      </x:c>
      <x:c r="C1344" s="87" t="str">
        <x:v>СтатГрад</x:v>
      </x:c>
      <x:c r="D1344" s="87" t="str">
        <x:v>Март 2026</x:v>
      </x:c>
      <x:c r="E1344" s="87"/>
      <x:c r="F1344" s="87"/>
      <x:c r="G1344" s="87" t="str">
        <x:v>Математика</x:v>
      </x:c>
      <x:c r="H1344" s="87" t="str">
        <x:v>Базовый</x:v>
      </x:c>
      <x:c r="I1344" s="87" t="str">
        <x:v>ТР №4</x:v>
      </x:c>
      <x:c r="J1344" s="87" t="str">
        <x:v>МА2510401</x:v>
      </x:c>
      <x:c r="K1344" s="87" t="n">
        <x:v>4</x:v>
      </x:c>
      <x:c r="L1344" s="87" t="str">
        <x:v>Формула с переменными</x:v>
      </x:c>
      <x:c r="M1344" s="30" t="str">
        <x:v>По формуле R=a/(2 sin α) найти a при R=10 и sin α=3/20.</x:v>
      </x:c>
      <x:c r="N1344" s="30" t="str">
        <x:v>3</x:v>
      </x:c>
      <x:c r="O1344" s="30" t="str">
        <x:v>a=2R sin α=2·10·3/20=3.</x:v>
      </x:c>
      <x:c r="P1344" s="30" t="str">
        <x:v>a=2R sin α=2·10·3/20=3.</x:v>
      </x:c>
      <x:c r="Q1344" s="30"/>
      <x:c r="R1344" s="30" t="str">
        <x:v>Полная версия с решениями РЕШУ ЕГЭ</x:v>
      </x:c>
      <x:c r="S1344" s="30"/>
      <x:c r="T1344" s="30"/>
      <x:c r="U1344" s="30" t="str">
        <x:v>Расхождений не обнаружено.</x:v>
      </x:c>
      <x:c r="V1344" s="87" t="str">
        <x:v>VERIFIED</x:v>
      </x:c>
      <x:c r="W1344" s="87" t="str">
        <x:v>онлайн</x:v>
      </x:c>
      <x:c r="X1344" s="87"/>
      <x:c r="Y1344" s="87"/>
      <x:c r="Z1344" s="87"/>
      <x:c r="AA1344" s="87"/>
      <x:c r="AB1344" s="87"/>
      <x:c r="AC1344" s="87"/>
      <x:c r="AD1344" s="87"/>
      <x:c r="AE1344" s="87"/>
      <x:c r="AF1344" s="87"/>
      <x:c r="AG1344" s="87"/>
      <x:c r="AH1344" s="87"/>
      <x:c r="AI1344" s="30"/>
      <x:c r="AJ1344" s="87" t="str">
        <x:v>master</x:v>
      </x:c>
      <x:c r="AK1344" s="87" t="str">
        <x:v>master-v0.81</x:v>
      </x:c>
      <x:c r="AL1344" s="87" t="str">
        <x:v>statgrad_master_base_v0_81_final(2).xlsx</x:v>
      </x:c>
      <x:c r="AM1344" s="87" t="str">
        <x:v>MATH_Mar_Base_V1</x:v>
      </x:c>
      <x:c r="AN1344" s="87" t="n">
        <x:v>5</x:v>
      </x:c>
    </x:row>
    <x:row r="1345">
      <x:c r="A1345" s="87" t="n">
        <x:v>1344</x:v>
      </x:c>
      <x:c r="B1345" s="87" t="str">
        <x:v>MAR-MATH-B-V1-005</x:v>
      </x:c>
      <x:c r="C1345" s="87" t="str">
        <x:v>СтатГрад</x:v>
      </x:c>
      <x:c r="D1345" s="87" t="str">
        <x:v>Март 2026</x:v>
      </x:c>
      <x:c r="E1345" s="87"/>
      <x:c r="F1345" s="87"/>
      <x:c r="G1345" s="87" t="str">
        <x:v>Математика</x:v>
      </x:c>
      <x:c r="H1345" s="87" t="str">
        <x:v>Базовый</x:v>
      </x:c>
      <x:c r="I1345" s="87" t="str">
        <x:v>ТР №4</x:v>
      </x:c>
      <x:c r="J1345" s="87" t="str">
        <x:v>МА2510401</x:v>
      </x:c>
      <x:c r="K1345" s="87" t="n">
        <x:v>5</x:v>
      </x:c>
      <x:c r="L1345" s="87" t="str">
        <x:v>Классическая вероятность</x:v>
      </x:c>
      <x:c r="M1345" s="30" t="str">
        <x:v>Из 20 чашек 14 с красными цветами, остальные — с синими. Найти вероятность выбрать синюю.</x:v>
      </x:c>
      <x:c r="N1345" s="30" t="str">
        <x:v>0,3</x:v>
      </x:c>
      <x:c r="O1345" s="30" t="str">
        <x:v>Синих чашек 6; вероятность 6/20=0,3.</x:v>
      </x:c>
      <x:c r="P1345" s="30" t="str">
        <x:v>Синих чашек 6; вероятность 6/20=0,3.</x:v>
      </x:c>
      <x:c r="Q1345" s="30"/>
      <x:c r="R1345" s="30" t="str">
        <x:v>Полная версия с решениями РЕШУ ЕГЭ</x:v>
      </x:c>
      <x:c r="S1345" s="30"/>
      <x:c r="T1345" s="30"/>
      <x:c r="U1345" s="30" t="str">
        <x:v>Расхождений не обнаружено.</x:v>
      </x:c>
      <x:c r="V1345" s="87" t="str">
        <x:v>VERIFIED</x:v>
      </x:c>
      <x:c r="W1345" s="87" t="str">
        <x:v>онлайн</x:v>
      </x:c>
      <x:c r="X1345" s="87"/>
      <x:c r="Y1345" s="87"/>
      <x:c r="Z1345" s="87"/>
      <x:c r="AA1345" s="87"/>
      <x:c r="AB1345" s="87"/>
      <x:c r="AC1345" s="87"/>
      <x:c r="AD1345" s="87"/>
      <x:c r="AE1345" s="87"/>
      <x:c r="AF1345" s="87"/>
      <x:c r="AG1345" s="87"/>
      <x:c r="AH1345" s="87"/>
      <x:c r="AI1345" s="30"/>
      <x:c r="AJ1345" s="87" t="str">
        <x:v>master</x:v>
      </x:c>
      <x:c r="AK1345" s="87" t="str">
        <x:v>master-v0.81</x:v>
      </x:c>
      <x:c r="AL1345" s="87" t="str">
        <x:v>statgrad_master_base_v0_81_final(2).xlsx</x:v>
      </x:c>
      <x:c r="AM1345" s="87" t="str">
        <x:v>MATH_Mar_Base_V1</x:v>
      </x:c>
      <x:c r="AN1345" s="87" t="n">
        <x:v>6</x:v>
      </x:c>
    </x:row>
    <x:row r="1346">
      <x:c r="A1346" s="87" t="n">
        <x:v>1345</x:v>
      </x:c>
      <x:c r="B1346" s="87" t="str">
        <x:v>MAR-MATH-B-V1-006</x:v>
      </x:c>
      <x:c r="C1346" s="87" t="str">
        <x:v>СтатГрад</x:v>
      </x:c>
      <x:c r="D1346" s="87" t="str">
        <x:v>Март 2026</x:v>
      </x:c>
      <x:c r="E1346" s="87"/>
      <x:c r="F1346" s="87"/>
      <x:c r="G1346" s="87" t="str">
        <x:v>Математика</x:v>
      </x:c>
      <x:c r="H1346" s="87" t="str">
        <x:v>Базовый</x:v>
      </x:c>
      <x:c r="I1346" s="87" t="str">
        <x:v>ТР №4</x:v>
      </x:c>
      <x:c r="J1346" s="87" t="str">
        <x:v>МА2510401</x:v>
      </x:c>
      <x:c r="K1346" s="87" t="n">
        <x:v>6</x:v>
      </x:c>
      <x:c r="L1346" s="87" t="str">
        <x:v>Оптимальный набор</x:v>
      </x:c>
      <x:c r="M1346" s="30" t="str">
        <x:v>Выбрать переводчиков, которые вместе знают четыре языка, при стоимости не более 30 000 руб.</x:v>
      </x:c>
      <x:c r="N1346" s="30" t="str">
        <x:v>146</x:v>
      </x:c>
      <x:c r="O1346" s="30" t="str">
        <x:v>Переводчики 1, 4 и 6 покрывают французский, английский, испанский и немецкий; стоимость 26 800 руб.</x:v>
      </x:c>
      <x:c r="P1346" s="30" t="str">
        <x:v>Переводчики 1, 4 и 6 покрывают французский, английский, испанский и немецкий; стоимость 26 800 руб.</x:v>
      </x:c>
      <x:c r="Q1346" s="30"/>
      <x:c r="R1346" s="30" t="str">
        <x:v>Полная версия с решениями РЕШУ ЕГЭ</x:v>
      </x:c>
      <x:c r="S1346" s="30"/>
      <x:c r="T1346" s="30"/>
      <x:c r="U1346" s="30" t="str">
        <x:v>Допустима любая перестановка цифр 1, 4 и 6.</x:v>
      </x:c>
      <x:c r="V1346" s="87" t="str">
        <x:v>VERIFIED</x:v>
      </x:c>
      <x:c r="W1346" s="87" t="str">
        <x:v>онлайн</x:v>
      </x:c>
      <x:c r="X1346" s="87"/>
      <x:c r="Y1346" s="87"/>
      <x:c r="Z1346" s="87"/>
      <x:c r="AA1346" s="87"/>
      <x:c r="AB1346" s="87"/>
      <x:c r="AC1346" s="87"/>
      <x:c r="AD1346" s="87"/>
      <x:c r="AE1346" s="87"/>
      <x:c r="AF1346" s="87"/>
      <x:c r="AG1346" s="87"/>
      <x:c r="AH1346" s="87"/>
      <x:c r="AI1346" s="30"/>
      <x:c r="AJ1346" s="87" t="str">
        <x:v>master</x:v>
      </x:c>
      <x:c r="AK1346" s="87" t="str">
        <x:v>master-v0.81</x:v>
      </x:c>
      <x:c r="AL1346" s="87" t="str">
        <x:v>statgrad_master_base_v0_81_final(2).xlsx</x:v>
      </x:c>
      <x:c r="AM1346" s="87" t="str">
        <x:v>MATH_Mar_Base_V1</x:v>
      </x:c>
      <x:c r="AN1346" s="87" t="n">
        <x:v>7</x:v>
      </x:c>
    </x:row>
    <x:row r="1347">
      <x:c r="A1347" s="87" t="n">
        <x:v>1346</x:v>
      </x:c>
      <x:c r="B1347" s="87" t="str">
        <x:v>MAR-MATH-B-V1-007</x:v>
      </x:c>
      <x:c r="C1347" s="87" t="str">
        <x:v>СтатГрад</x:v>
      </x:c>
      <x:c r="D1347" s="87" t="str">
        <x:v>Март 2026</x:v>
      </x:c>
      <x:c r="E1347" s="87"/>
      <x:c r="F1347" s="87"/>
      <x:c r="G1347" s="87" t="str">
        <x:v>Математика</x:v>
      </x:c>
      <x:c r="H1347" s="87" t="str">
        <x:v>Базовый</x:v>
      </x:c>
      <x:c r="I1347" s="87" t="str">
        <x:v>ТР №4</x:v>
      </x:c>
      <x:c r="J1347" s="87" t="str">
        <x:v>МА2510401</x:v>
      </x:c>
      <x:c r="K1347" s="87" t="n">
        <x:v>7</x:v>
      </x:c>
      <x:c r="L1347" s="87" t="str">
        <x:v>Свойства функций</x:v>
      </x:c>
      <x:c r="M1347" s="30" t="str">
        <x:v>Сопоставить четыре линейные/квадратичные функции с характеристиками: максимум, минимум, возрастание, убывание.</x:v>
      </x:c>
      <x:c r="N1347" s="30" t="str">
        <x:v>4132</x:v>
      </x:c>
      <x:c r="O1347" s="30" t="str">
        <x:v>y=7−x убывает; y=6x−x² имеет максимум; y=12x+2 возрастает; y=x²−4x+2 имеет минимум.</x:v>
      </x:c>
      <x:c r="P1347" s="30" t="str">
        <x:v>y=7−x убывает; y=6x−x² имеет максимум; y=12x+2 возрастает; y=x²−4x+2 имеет минимум.</x:v>
      </x:c>
      <x:c r="Q1347" s="30"/>
      <x:c r="R1347" s="30" t="str">
        <x:v>Полная версия с решениями РЕШУ ЕГЭ</x:v>
      </x:c>
      <x:c r="S1347" s="30"/>
      <x:c r="T1347" s="30"/>
      <x:c r="U1347" s="30" t="str">
        <x:v>Расхождений не обнаружено.</x:v>
      </x:c>
      <x:c r="V1347" s="87" t="str">
        <x:v>VERIFIED</x:v>
      </x:c>
      <x:c r="W1347" s="87" t="str">
        <x:v>онлайн</x:v>
      </x:c>
      <x:c r="X1347" s="87"/>
      <x:c r="Y1347" s="87"/>
      <x:c r="Z1347" s="87"/>
      <x:c r="AA1347" s="87"/>
      <x:c r="AB1347" s="87"/>
      <x:c r="AC1347" s="87"/>
      <x:c r="AD1347" s="87"/>
      <x:c r="AE1347" s="87"/>
      <x:c r="AF1347" s="87"/>
      <x:c r="AG1347" s="87"/>
      <x:c r="AH1347" s="87"/>
      <x:c r="AI1347" s="30"/>
      <x:c r="AJ1347" s="87" t="str">
        <x:v>master</x:v>
      </x:c>
      <x:c r="AK1347" s="87" t="str">
        <x:v>master-v0.81</x:v>
      </x:c>
      <x:c r="AL1347" s="87" t="str">
        <x:v>statgrad_master_base_v0_81_final(2).xlsx</x:v>
      </x:c>
      <x:c r="AM1347" s="87" t="str">
        <x:v>MATH_Mar_Base_V1</x:v>
      </x:c>
      <x:c r="AN1347" s="87" t="n">
        <x:v>8</x:v>
      </x:c>
    </x:row>
    <x:row r="1348">
      <x:c r="A1348" s="87" t="n">
        <x:v>1347</x:v>
      </x:c>
      <x:c r="B1348" s="87" t="str">
        <x:v>MAR-MATH-B-V1-008</x:v>
      </x:c>
      <x:c r="C1348" s="87" t="str">
        <x:v>СтатГрад</x:v>
      </x:c>
      <x:c r="D1348" s="87" t="str">
        <x:v>Март 2026</x:v>
      </x:c>
      <x:c r="E1348" s="87"/>
      <x:c r="F1348" s="87"/>
      <x:c r="G1348" s="87" t="str">
        <x:v>Математика</x:v>
      </x:c>
      <x:c r="H1348" s="87" t="str">
        <x:v>Базовый</x:v>
      </x:c>
      <x:c r="I1348" s="87" t="str">
        <x:v>ТР №4</x:v>
      </x:c>
      <x:c r="J1348" s="87" t="str">
        <x:v>МА2510401</x:v>
      </x:c>
      <x:c r="K1348" s="87" t="n">
        <x:v>8</x:v>
      </x:c>
      <x:c r="L1348" s="87" t="str">
        <x:v>Логические утверждения</x:v>
      </x:c>
      <x:c r="M1348" s="30" t="str">
        <x:v>По правилам поездок Игоря Витальевича на велосипеде выбрать гарантированно верные утверждения.</x:v>
      </x:c>
      <x:c r="N1348" s="30" t="str">
        <x:v>14</x:v>
      </x:c>
      <x:c r="O1348" s="30" t="str">
        <x:v>Если он приехал на велосипеде, дождя нет; при снеге он точно не едет на велосипеде.</x:v>
      </x:c>
      <x:c r="P1348" s="30" t="str">
        <x:v>Если он приехал на велосипеде, дождя нет; при снеге он точно не едет на велосипеде.</x:v>
      </x:c>
      <x:c r="Q1348" s="30"/>
      <x:c r="R1348" s="30" t="str">
        <x:v>Полная версия с решениями РЕШУ ЕГЭ</x:v>
      </x:c>
      <x:c r="S1348" s="30"/>
      <x:c r="T1348" s="30"/>
      <x:c r="U1348" s="30" t="str">
        <x:v>Допустима запись 41.</x:v>
      </x:c>
      <x:c r="V1348" s="87" t="str">
        <x:v>VERIFIED</x:v>
      </x:c>
      <x:c r="W1348" s="87" t="str">
        <x:v>онлайн</x:v>
      </x:c>
      <x:c r="X1348" s="87"/>
      <x:c r="Y1348" s="87"/>
      <x:c r="Z1348" s="87"/>
      <x:c r="AA1348" s="87"/>
      <x:c r="AB1348" s="87"/>
      <x:c r="AC1348" s="87"/>
      <x:c r="AD1348" s="87"/>
      <x:c r="AE1348" s="87"/>
      <x:c r="AF1348" s="87"/>
      <x:c r="AG1348" s="87"/>
      <x:c r="AH1348" s="87"/>
      <x:c r="AI1348" s="30"/>
      <x:c r="AJ1348" s="87" t="str">
        <x:v>master</x:v>
      </x:c>
      <x:c r="AK1348" s="87" t="str">
        <x:v>master-v0.81</x:v>
      </x:c>
      <x:c r="AL1348" s="87" t="str">
        <x:v>statgrad_master_base_v0_81_final(2).xlsx</x:v>
      </x:c>
      <x:c r="AM1348" s="87" t="str">
        <x:v>MATH_Mar_Base_V1</x:v>
      </x:c>
      <x:c r="AN1348" s="87" t="n">
        <x:v>9</x:v>
      </x:c>
    </x:row>
    <x:row r="1349">
      <x:c r="A1349" s="87" t="n">
        <x:v>1348</x:v>
      </x:c>
      <x:c r="B1349" s="87" t="str">
        <x:v>MAR-MATH-B-V1-009</x:v>
      </x:c>
      <x:c r="C1349" s="87" t="str">
        <x:v>СтатГрад</x:v>
      </x:c>
      <x:c r="D1349" s="87" t="str">
        <x:v>Март 2026</x:v>
      </x:c>
      <x:c r="E1349" s="87"/>
      <x:c r="F1349" s="87"/>
      <x:c r="G1349" s="87" t="str">
        <x:v>Математика</x:v>
      </x:c>
      <x:c r="H1349" s="87" t="str">
        <x:v>Базовый</x:v>
      </x:c>
      <x:c r="I1349" s="87" t="str">
        <x:v>ТР №4</x:v>
      </x:c>
      <x:c r="J1349" s="87" t="str">
        <x:v>МА2510401</x:v>
      </x:c>
      <x:c r="K1349" s="87" t="n">
        <x:v>9</x:v>
      </x:c>
      <x:c r="L1349" s="87" t="str">
        <x:v>Площадь на клетчатой решётке</x:v>
      </x:c>
      <x:c r="M1349" s="30" t="str">
        <x:v>Найти площадь выделенного четырёхугольника на сетке 1×1 м.</x:v>
      </x:c>
      <x:c r="N1349" s="30" t="str">
        <x:v>17</x:v>
      </x:c>
      <x:c r="O1349" s="30" t="str">
        <x:v>Из площади квадрата 5×5 вычитаются четыре прямоугольных треугольника общей площадью 8: 25−8=17.</x:v>
      </x:c>
      <x:c r="P1349" s="30" t="str">
        <x:v>Из площади квадрата 5×5 вычитаются четыре прямоугольных треугольника общей площадью 8: 25−8=17.</x:v>
      </x:c>
      <x:c r="Q1349" s="30"/>
      <x:c r="R1349" s="30" t="str">
        <x:v>Полная версия с решениями РЕШУ ЕГЭ</x:v>
      </x:c>
      <x:c r="S1349" s="30"/>
      <x:c r="T1349" s="30"/>
      <x:c r="U1349" s="30" t="str">
        <x:v>Расхождений не обнаружено.</x:v>
      </x:c>
      <x:c r="V1349" s="87" t="str">
        <x:v>VERIFIED</x:v>
      </x:c>
      <x:c r="W1349" s="87" t="str">
        <x:v>онлайн</x:v>
      </x:c>
      <x:c r="X1349" s="87"/>
      <x:c r="Y1349" s="87"/>
      <x:c r="Z1349" s="87"/>
      <x:c r="AA1349" s="87"/>
      <x:c r="AB1349" s="87"/>
      <x:c r="AC1349" s="87"/>
      <x:c r="AD1349" s="87"/>
      <x:c r="AE1349" s="87"/>
      <x:c r="AF1349" s="87"/>
      <x:c r="AG1349" s="87"/>
      <x:c r="AH1349" s="87"/>
      <x:c r="AI1349" s="30"/>
      <x:c r="AJ1349" s="87" t="str">
        <x:v>master</x:v>
      </x:c>
      <x:c r="AK1349" s="87" t="str">
        <x:v>master-v0.81</x:v>
      </x:c>
      <x:c r="AL1349" s="87" t="str">
        <x:v>statgrad_master_base_v0_81_final(2).xlsx</x:v>
      </x:c>
      <x:c r="AM1349" s="87" t="str">
        <x:v>MATH_Mar_Base_V1</x:v>
      </x:c>
      <x:c r="AN1349" s="87" t="n">
        <x:v>10</x:v>
      </x:c>
    </x:row>
    <x:row r="1350">
      <x:c r="A1350" s="87" t="n">
        <x:v>1349</x:v>
      </x:c>
      <x:c r="B1350" s="87" t="str">
        <x:v>MAR-MATH-B-V1-010</x:v>
      </x:c>
      <x:c r="C1350" s="87" t="str">
        <x:v>СтатГрад</x:v>
      </x:c>
      <x:c r="D1350" s="87" t="str">
        <x:v>Март 2026</x:v>
      </x:c>
      <x:c r="E1350" s="87"/>
      <x:c r="F1350" s="87"/>
      <x:c r="G1350" s="87" t="str">
        <x:v>Математика</x:v>
      </x:c>
      <x:c r="H1350" s="87" t="str">
        <x:v>Базовый</x:v>
      </x:c>
      <x:c r="I1350" s="87" t="str">
        <x:v>ТР №4</x:v>
      </x:c>
      <x:c r="J1350" s="87" t="str">
        <x:v>МА2510401</x:v>
      </x:c>
      <x:c r="K1350" s="87" t="n">
        <x:v>10</x:v>
      </x:c>
      <x:c r="L1350" s="87" t="str">
        <x:v>Подобие треугольников</x:v>
      </x:c>
      <x:c r="M1350" s="30" t="str">
        <x:v>У колодца-журавля плечи 2 и 3 м. Найти, на сколько опустится длинное плечо, если короткое поднимется на 1 м.</x:v>
      </x:c>
      <x:c r="N1350" s="30" t="str">
        <x:v>1,5</x:v>
      </x:c>
      <x:c r="O1350" s="30" t="str">
        <x:v>Перемещения пропорциональны длинам плеч: x/1=3/2, поэтому x=1,5 м.</x:v>
      </x:c>
      <x:c r="P1350" s="30" t="str">
        <x:v>Перемещения пропорциональны длинам плеч: x/1=3/2, поэтому x=1,5 м.</x:v>
      </x:c>
      <x:c r="Q1350" s="30"/>
      <x:c r="R1350" s="30" t="str">
        <x:v>Полная версия с решениями РЕШУ ЕГЭ</x:v>
      </x:c>
      <x:c r="S1350" s="30"/>
      <x:c r="T1350" s="30"/>
      <x:c r="U1350" s="30" t="str">
        <x:v>Расхождений не обнаружено.</x:v>
      </x:c>
      <x:c r="V1350" s="87" t="str">
        <x:v>VERIFIED</x:v>
      </x:c>
      <x:c r="W1350" s="87" t="str">
        <x:v>онлайн</x:v>
      </x:c>
      <x:c r="X1350" s="87"/>
      <x:c r="Y1350" s="87"/>
      <x:c r="Z1350" s="87"/>
      <x:c r="AA1350" s="87"/>
      <x:c r="AB1350" s="87"/>
      <x:c r="AC1350" s="87"/>
      <x:c r="AD1350" s="87"/>
      <x:c r="AE1350" s="87"/>
      <x:c r="AF1350" s="87"/>
      <x:c r="AG1350" s="87"/>
      <x:c r="AH1350" s="87"/>
      <x:c r="AI1350" s="30"/>
      <x:c r="AJ1350" s="87" t="str">
        <x:v>master</x:v>
      </x:c>
      <x:c r="AK1350" s="87" t="str">
        <x:v>master-v0.81</x:v>
      </x:c>
      <x:c r="AL1350" s="87" t="str">
        <x:v>statgrad_master_base_v0_81_final(2).xlsx</x:v>
      </x:c>
      <x:c r="AM1350" s="87" t="str">
        <x:v>MATH_Mar_Base_V1</x:v>
      </x:c>
      <x:c r="AN1350" s="87" t="n">
        <x:v>11</x:v>
      </x:c>
    </x:row>
    <x:row r="1351">
      <x:c r="A1351" s="87" t="n">
        <x:v>1350</x:v>
      </x:c>
      <x:c r="B1351" s="87" t="str">
        <x:v>MAR-MATH-B-V1-011</x:v>
      </x:c>
      <x:c r="C1351" s="87" t="str">
        <x:v>СтатГрад</x:v>
      </x:c>
      <x:c r="D1351" s="87" t="str">
        <x:v>Март 2026</x:v>
      </x:c>
      <x:c r="E1351" s="87"/>
      <x:c r="F1351" s="87"/>
      <x:c r="G1351" s="87" t="str">
        <x:v>Математика</x:v>
      </x:c>
      <x:c r="H1351" s="87" t="str">
        <x:v>Базовый</x:v>
      </x:c>
      <x:c r="I1351" s="87" t="str">
        <x:v>ТР №4</x:v>
      </x:c>
      <x:c r="J1351" s="87" t="str">
        <x:v>МА2510401</x:v>
      </x:c>
      <x:c r="K1351" s="87" t="n">
        <x:v>11</x:v>
      </x:c>
      <x:c r="L1351" s="87" t="str">
        <x:v>Объём вытесненной жидкости</x:v>
      </x:c>
      <x:c r="M1351" s="30" t="str">
        <x:v>В цилиндрическом баке площадь основания 90 см²; после погружения детали уровень поднялся на 10 см. Найти объём детали.</x:v>
      </x:c>
      <x:c r="N1351" s="30" t="str">
        <x:v>900</x:v>
      </x:c>
      <x:c r="O1351" s="30" t="str">
        <x:v>V=S·h=90·10=900 см³.</x:v>
      </x:c>
      <x:c r="P1351" s="30" t="str">
        <x:v>V=S·h=90·10=900 см³.</x:v>
      </x:c>
      <x:c r="Q1351" s="30"/>
      <x:c r="R1351" s="30" t="str">
        <x:v>Полная версия с решениями РЕШУ ЕГЭ</x:v>
      </x:c>
      <x:c r="S1351" s="30"/>
      <x:c r="T1351" s="30"/>
      <x:c r="U1351" s="30" t="str">
        <x:v>Расхождений не обнаружено.</x:v>
      </x:c>
      <x:c r="V1351" s="87" t="str">
        <x:v>VERIFIED</x:v>
      </x:c>
      <x:c r="W1351" s="87" t="str">
        <x:v>онлайн</x:v>
      </x:c>
      <x:c r="X1351" s="87"/>
      <x:c r="Y1351" s="87"/>
      <x:c r="Z1351" s="87"/>
      <x:c r="AA1351" s="87"/>
      <x:c r="AB1351" s="87"/>
      <x:c r="AC1351" s="87"/>
      <x:c r="AD1351" s="87"/>
      <x:c r="AE1351" s="87"/>
      <x:c r="AF1351" s="87"/>
      <x:c r="AG1351" s="87"/>
      <x:c r="AH1351" s="87"/>
      <x:c r="AI1351" s="30"/>
      <x:c r="AJ1351" s="87" t="str">
        <x:v>master</x:v>
      </x:c>
      <x:c r="AK1351" s="87" t="str">
        <x:v>master-v0.81</x:v>
      </x:c>
      <x:c r="AL1351" s="87" t="str">
        <x:v>statgrad_master_base_v0_81_final(2).xlsx</x:v>
      </x:c>
      <x:c r="AM1351" s="87" t="str">
        <x:v>MATH_Mar_Base_V1</x:v>
      </x:c>
      <x:c r="AN1351" s="87" t="n">
        <x:v>12</x:v>
      </x:c>
    </x:row>
    <x:row r="1352">
      <x:c r="A1352" s="87" t="n">
        <x:v>1351</x:v>
      </x:c>
      <x:c r="B1352" s="87" t="str">
        <x:v>MAR-MATH-B-V1-012</x:v>
      </x:c>
      <x:c r="C1352" s="87" t="str">
        <x:v>СтатГрад</x:v>
      </x:c>
      <x:c r="D1352" s="87" t="str">
        <x:v>Март 2026</x:v>
      </x:c>
      <x:c r="E1352" s="87"/>
      <x:c r="F1352" s="87"/>
      <x:c r="G1352" s="87" t="str">
        <x:v>Математика</x:v>
      </x:c>
      <x:c r="H1352" s="87" t="str">
        <x:v>Базовый</x:v>
      </x:c>
      <x:c r="I1352" s="87" t="str">
        <x:v>ТР №4</x:v>
      </x:c>
      <x:c r="J1352" s="87" t="str">
        <x:v>МА2510401</x:v>
      </x:c>
      <x:c r="K1352" s="87" t="n">
        <x:v>12</x:v>
      </x:c>
      <x:c r="L1352" s="87" t="str">
        <x:v>Прямоугольная трапеция</x:v>
      </x:c>
      <x:c r="M1352" s="30" t="str">
        <x:v>Основания равны 3 и 5, один угол 135°. Найти меньшую боковую сторону.</x:v>
      </x:c>
      <x:c r="N1352" s="30" t="str">
        <x:v>2</x:v>
      </x:c>
      <x:c r="O1352" s="30" t="str">
        <x:v>Разность оснований равна 2; возникающий прямоугольный треугольник равнобедренный, его высота равна 2.</x:v>
      </x:c>
      <x:c r="P1352" s="30" t="str">
        <x:v>Разность оснований равна 2; возникающий прямоугольный треугольник равнобедренный, его высота равна 2.</x:v>
      </x:c>
      <x:c r="Q1352" s="30"/>
      <x:c r="R1352" s="30" t="str">
        <x:v>Полная версия с решениями РЕШУ ЕГЭ</x:v>
      </x:c>
      <x:c r="S1352" s="30"/>
      <x:c r="T1352" s="30"/>
      <x:c r="U1352" s="30" t="str">
        <x:v>Расхождений не обнаружено.</x:v>
      </x:c>
      <x:c r="V1352" s="87" t="str">
        <x:v>VERIFIED</x:v>
      </x:c>
      <x:c r="W1352" s="87" t="str">
        <x:v>онлайн</x:v>
      </x:c>
      <x:c r="X1352" s="87"/>
      <x:c r="Y1352" s="87"/>
      <x:c r="Z1352" s="87"/>
      <x:c r="AA1352" s="87"/>
      <x:c r="AB1352" s="87"/>
      <x:c r="AC1352" s="87"/>
      <x:c r="AD1352" s="87"/>
      <x:c r="AE1352" s="87"/>
      <x:c r="AF1352" s="87"/>
      <x:c r="AG1352" s="87"/>
      <x:c r="AH1352" s="87"/>
      <x:c r="AI1352" s="30"/>
      <x:c r="AJ1352" s="87" t="str">
        <x:v>master</x:v>
      </x:c>
      <x:c r="AK1352" s="87" t="str">
        <x:v>master-v0.81</x:v>
      </x:c>
      <x:c r="AL1352" s="87" t="str">
        <x:v>statgrad_master_base_v0_81_final(2).xlsx</x:v>
      </x:c>
      <x:c r="AM1352" s="87" t="str">
        <x:v>MATH_Mar_Base_V1</x:v>
      </x:c>
      <x:c r="AN1352" s="87" t="n">
        <x:v>13</x:v>
      </x:c>
    </x:row>
    <x:row r="1353">
      <x:c r="A1353" s="87" t="n">
        <x:v>1352</x:v>
      </x:c>
      <x:c r="B1353" s="87" t="str">
        <x:v>MAR-MATH-B-V1-013</x:v>
      </x:c>
      <x:c r="C1353" s="87" t="str">
        <x:v>СтатГрад</x:v>
      </x:c>
      <x:c r="D1353" s="87" t="str">
        <x:v>Март 2026</x:v>
      </x:c>
      <x:c r="E1353" s="87"/>
      <x:c r="F1353" s="87"/>
      <x:c r="G1353" s="87" t="str">
        <x:v>Математика</x:v>
      </x:c>
      <x:c r="H1353" s="87" t="str">
        <x:v>Базовый</x:v>
      </x:c>
      <x:c r="I1353" s="87" t="str">
        <x:v>ТР №4</x:v>
      </x:c>
      <x:c r="J1353" s="87" t="str">
        <x:v>МА2510401</x:v>
      </x:c>
      <x:c r="K1353" s="87" t="n">
        <x:v>13</x:v>
      </x:c>
      <x:c r="L1353" s="87" t="str">
        <x:v>Конус</x:v>
      </x:c>
      <x:c r="M1353" s="30" t="str">
        <x:v>Для конусов с (r,l)=(2,4) и (6,8) найти отношение площадей боковых поверхностей второго и первого.</x:v>
      </x:c>
      <x:c r="N1353" s="30" t="str">
        <x:v>6</x:v>
      </x:c>
      <x:c r="O1353" s="30" t="str">
        <x:v>Sбок=πrl; отношение (6·8)/(2·4)=6.</x:v>
      </x:c>
      <x:c r="P1353" s="30" t="str">
        <x:v>Sбок=πrl; отношение (6·8)/(2·4)=6.</x:v>
      </x:c>
      <x:c r="Q1353" s="30"/>
      <x:c r="R1353" s="30" t="str">
        <x:v>Полная версия с решениями РЕШУ ЕГЭ</x:v>
      </x:c>
      <x:c r="S1353" s="30"/>
      <x:c r="T1353" s="30"/>
      <x:c r="U1353" s="30" t="str">
        <x:v>Расхождений не обнаружено.</x:v>
      </x:c>
      <x:c r="V1353" s="87" t="str">
        <x:v>VERIFIED</x:v>
      </x:c>
      <x:c r="W1353" s="87" t="str">
        <x:v>онлайн</x:v>
      </x:c>
      <x:c r="X1353" s="87"/>
      <x:c r="Y1353" s="87"/>
      <x:c r="Z1353" s="87"/>
      <x:c r="AA1353" s="87"/>
      <x:c r="AB1353" s="87"/>
      <x:c r="AC1353" s="87"/>
      <x:c r="AD1353" s="87"/>
      <x:c r="AE1353" s="87"/>
      <x:c r="AF1353" s="87"/>
      <x:c r="AG1353" s="87"/>
      <x:c r="AH1353" s="87"/>
      <x:c r="AI1353" s="30"/>
      <x:c r="AJ1353" s="87" t="str">
        <x:v>master</x:v>
      </x:c>
      <x:c r="AK1353" s="87" t="str">
        <x:v>master-v0.81</x:v>
      </x:c>
      <x:c r="AL1353" s="87" t="str">
        <x:v>statgrad_master_base_v0_81_final(2).xlsx</x:v>
      </x:c>
      <x:c r="AM1353" s="87" t="str">
        <x:v>MATH_Mar_Base_V1</x:v>
      </x:c>
      <x:c r="AN1353" s="87" t="n">
        <x:v>14</x:v>
      </x:c>
    </x:row>
    <x:row r="1354">
      <x:c r="A1354" s="87" t="n">
        <x:v>1353</x:v>
      </x:c>
      <x:c r="B1354" s="87" t="str">
        <x:v>MAR-MATH-B-V1-014</x:v>
      </x:c>
      <x:c r="C1354" s="87" t="str">
        <x:v>СтатГрад</x:v>
      </x:c>
      <x:c r="D1354" s="87" t="str">
        <x:v>Март 2026</x:v>
      </x:c>
      <x:c r="E1354" s="87"/>
      <x:c r="F1354" s="87"/>
      <x:c r="G1354" s="87" t="str">
        <x:v>Математика</x:v>
      </x:c>
      <x:c r="H1354" s="87" t="str">
        <x:v>Базовый</x:v>
      </x:c>
      <x:c r="I1354" s="87" t="str">
        <x:v>ТР №4</x:v>
      </x:c>
      <x:c r="J1354" s="87" t="str">
        <x:v>МА2510401</x:v>
      </x:c>
      <x:c r="K1354" s="87" t="n">
        <x:v>14</x:v>
      </x:c>
      <x:c r="L1354" s="87" t="str">
        <x:v>Обыкновенные дроби</x:v>
      </x:c>
      <x:c r="M1354" s="30" t="str">
        <x:v>Вычислить (1 2/3 + 3/8)·24.</x:v>
      </x:c>
      <x:c r="N1354" s="30" t="str">
        <x:v>49</x:v>
      </x:c>
      <x:c r="O1354" s="30" t="str">
        <x:v>(5/3+3/8)·24=40+9=49.</x:v>
      </x:c>
      <x:c r="P1354" s="30" t="str">
        <x:v>(5/3+3/8)·24=40+9=49.</x:v>
      </x:c>
      <x:c r="Q1354" s="30"/>
      <x:c r="R1354" s="30" t="str">
        <x:v>Полная версия с решениями РЕШУ ЕГЭ</x:v>
      </x:c>
      <x:c r="S1354" s="30"/>
      <x:c r="T1354" s="30"/>
      <x:c r="U1354" s="30" t="str">
        <x:v>Расхождений не обнаружено.</x:v>
      </x:c>
      <x:c r="V1354" s="87" t="str">
        <x:v>VERIFIED</x:v>
      </x:c>
      <x:c r="W1354" s="87" t="str">
        <x:v>онлайн</x:v>
      </x:c>
      <x:c r="X1354" s="87"/>
      <x:c r="Y1354" s="87"/>
      <x:c r="Z1354" s="87"/>
      <x:c r="AA1354" s="87"/>
      <x:c r="AB1354" s="87"/>
      <x:c r="AC1354" s="87"/>
      <x:c r="AD1354" s="87"/>
      <x:c r="AE1354" s="87"/>
      <x:c r="AF1354" s="87"/>
      <x:c r="AG1354" s="87"/>
      <x:c r="AH1354" s="87"/>
      <x:c r="AI1354" s="30"/>
      <x:c r="AJ1354" s="87" t="str">
        <x:v>master</x:v>
      </x:c>
      <x:c r="AK1354" s="87" t="str">
        <x:v>master-v0.81</x:v>
      </x:c>
      <x:c r="AL1354" s="87" t="str">
        <x:v>statgrad_master_base_v0_81_final(2).xlsx</x:v>
      </x:c>
      <x:c r="AM1354" s="87" t="str">
        <x:v>MATH_Mar_Base_V1</x:v>
      </x:c>
      <x:c r="AN1354" s="87" t="n">
        <x:v>15</x:v>
      </x:c>
    </x:row>
    <x:row r="1355">
      <x:c r="A1355" s="87" t="n">
        <x:v>1354</x:v>
      </x:c>
      <x:c r="B1355" s="87" t="str">
        <x:v>MAR-MATH-B-V1-015</x:v>
      </x:c>
      <x:c r="C1355" s="87" t="str">
        <x:v>СтатГрад</x:v>
      </x:c>
      <x:c r="D1355" s="87" t="str">
        <x:v>Март 2026</x:v>
      </x:c>
      <x:c r="E1355" s="87"/>
      <x:c r="F1355" s="87"/>
      <x:c r="G1355" s="87" t="str">
        <x:v>Математика</x:v>
      </x:c>
      <x:c r="H1355" s="87" t="str">
        <x:v>Базовый</x:v>
      </x:c>
      <x:c r="I1355" s="87" t="str">
        <x:v>ТР №4</x:v>
      </x:c>
      <x:c r="J1355" s="87" t="str">
        <x:v>МА2510401</x:v>
      </x:c>
      <x:c r="K1355" s="87" t="n">
        <x:v>15</x:v>
      </x:c>
      <x:c r="L1355" s="87" t="str">
        <x:v>Проценты</x:v>
      </x:c>
      <x:c r="M1355" s="30" t="str">
        <x:v>Число посетителей сайта увеличилось в пять раз. Найти процент увеличения.</x:v>
      </x:c>
      <x:c r="N1355" s="30" t="str">
        <x:v>400</x:v>
      </x:c>
      <x:c r="O1355" s="30" t="str">
        <x:v>Было 100%, стало 500%; прирост равен 400%.</x:v>
      </x:c>
      <x:c r="P1355" s="30" t="str">
        <x:v>Было 100%, стало 500%; прирост равен 400%.</x:v>
      </x:c>
      <x:c r="Q1355" s="30"/>
      <x:c r="R1355" s="30" t="str">
        <x:v>Полная версия с решениями РЕШУ ЕГЭ</x:v>
      </x:c>
      <x:c r="S1355" s="30"/>
      <x:c r="T1355" s="30"/>
      <x:c r="U1355" s="30" t="str">
        <x:v>Расхождений не обнаружено.</x:v>
      </x:c>
      <x:c r="V1355" s="87" t="str">
        <x:v>VERIFIED</x:v>
      </x:c>
      <x:c r="W1355" s="87" t="str">
        <x:v>онлайн</x:v>
      </x:c>
      <x:c r="X1355" s="87"/>
      <x:c r="Y1355" s="87"/>
      <x:c r="Z1355" s="87"/>
      <x:c r="AA1355" s="87"/>
      <x:c r="AB1355" s="87"/>
      <x:c r="AC1355" s="87"/>
      <x:c r="AD1355" s="87"/>
      <x:c r="AE1355" s="87"/>
      <x:c r="AF1355" s="87"/>
      <x:c r="AG1355" s="87"/>
      <x:c r="AH1355" s="87"/>
      <x:c r="AI1355" s="30"/>
      <x:c r="AJ1355" s="87" t="str">
        <x:v>master</x:v>
      </x:c>
      <x:c r="AK1355" s="87" t="str">
        <x:v>master-v0.81</x:v>
      </x:c>
      <x:c r="AL1355" s="87" t="str">
        <x:v>statgrad_master_base_v0_81_final(2).xlsx</x:v>
      </x:c>
      <x:c r="AM1355" s="87" t="str">
        <x:v>MATH_Mar_Base_V1</x:v>
      </x:c>
      <x:c r="AN1355" s="87" t="n">
        <x:v>16</x:v>
      </x:c>
    </x:row>
    <x:row r="1356">
      <x:c r="A1356" s="87" t="n">
        <x:v>1355</x:v>
      </x:c>
      <x:c r="B1356" s="87" t="str">
        <x:v>MAR-MATH-B-V1-016</x:v>
      </x:c>
      <x:c r="C1356" s="87" t="str">
        <x:v>СтатГрад</x:v>
      </x:c>
      <x:c r="D1356" s="87" t="str">
        <x:v>Март 2026</x:v>
      </x:c>
      <x:c r="E1356" s="87"/>
      <x:c r="F1356" s="87"/>
      <x:c r="G1356" s="87" t="str">
        <x:v>Математика</x:v>
      </x:c>
      <x:c r="H1356" s="87" t="str">
        <x:v>Базовый</x:v>
      </x:c>
      <x:c r="I1356" s="87" t="str">
        <x:v>ТР №4</x:v>
      </x:c>
      <x:c r="J1356" s="87" t="str">
        <x:v>МА2510401</x:v>
      </x:c>
      <x:c r="K1356" s="87" t="n">
        <x:v>16</x:v>
      </x:c>
      <x:c r="L1356" s="87" t="str">
        <x:v>Логарифмическое выражение</x:v>
      </x:c>
      <x:c r="M1356" s="30" t="str">
        <x:v>Вычислить 5^(2+log₅6).</x:v>
      </x:c>
      <x:c r="N1356" s="30" t="str">
        <x:v>150</x:v>
      </x:c>
      <x:c r="O1356" s="30" t="str">
        <x:v>5²·5^(log₅6)=25·6=150.</x:v>
      </x:c>
      <x:c r="P1356" s="30" t="str">
        <x:v>5²·5^(log₅6)=25·6=150.</x:v>
      </x:c>
      <x:c r="Q1356" s="30"/>
      <x:c r="R1356" s="30" t="str">
        <x:v>Полная версия с решениями РЕШУ ЕГЭ</x:v>
      </x:c>
      <x:c r="S1356" s="30"/>
      <x:c r="T1356" s="30"/>
      <x:c r="U1356" s="30" t="str">
        <x:v>Расхождений не обнаружено.</x:v>
      </x:c>
      <x:c r="V1356" s="87" t="str">
        <x:v>VERIFIED</x:v>
      </x:c>
      <x:c r="W1356" s="87" t="str">
        <x:v>онлайн</x:v>
      </x:c>
      <x:c r="X1356" s="87"/>
      <x:c r="Y1356" s="87"/>
      <x:c r="Z1356" s="87"/>
      <x:c r="AA1356" s="87"/>
      <x:c r="AB1356" s="87"/>
      <x:c r="AC1356" s="87"/>
      <x:c r="AD1356" s="87"/>
      <x:c r="AE1356" s="87"/>
      <x:c r="AF1356" s="87"/>
      <x:c r="AG1356" s="87"/>
      <x:c r="AH1356" s="87"/>
      <x:c r="AI1356" s="30"/>
      <x:c r="AJ1356" s="87" t="str">
        <x:v>master</x:v>
      </x:c>
      <x:c r="AK1356" s="87" t="str">
        <x:v>master-v0.81</x:v>
      </x:c>
      <x:c r="AL1356" s="87" t="str">
        <x:v>statgrad_master_base_v0_81_final(2).xlsx</x:v>
      </x:c>
      <x:c r="AM1356" s="87" t="str">
        <x:v>MATH_Mar_Base_V1</x:v>
      </x:c>
      <x:c r="AN1356" s="87" t="n">
        <x:v>17</x:v>
      </x:c>
    </x:row>
    <x:row r="1357">
      <x:c r="A1357" s="87" t="n">
        <x:v>1356</x:v>
      </x:c>
      <x:c r="B1357" s="87" t="str">
        <x:v>MAR-MATH-B-V1-017</x:v>
      </x:c>
      <x:c r="C1357" s="87" t="str">
        <x:v>СтатГрад</x:v>
      </x:c>
      <x:c r="D1357" s="87" t="str">
        <x:v>Март 2026</x:v>
      </x:c>
      <x:c r="E1357" s="87"/>
      <x:c r="F1357" s="87"/>
      <x:c r="G1357" s="87" t="str">
        <x:v>Математика</x:v>
      </x:c>
      <x:c r="H1357" s="87" t="str">
        <x:v>Базовый</x:v>
      </x:c>
      <x:c r="I1357" s="87" t="str">
        <x:v>ТР №4</x:v>
      </x:c>
      <x:c r="J1357" s="87" t="str">
        <x:v>МА2510401</x:v>
      </x:c>
      <x:c r="K1357" s="87" t="n">
        <x:v>17</x:v>
      </x:c>
      <x:c r="L1357" s="87" t="str">
        <x:v>Линейное уравнение</x:v>
      </x:c>
      <x:c r="M1357" s="30" t="str">
        <x:v>Решить 10x+3=10−4x.</x:v>
      </x:c>
      <x:c r="N1357" s="30" t="str">
        <x:v>0,5</x:v>
      </x:c>
      <x:c r="O1357" s="30" t="str">
        <x:v>14x=7, поэтому x=0,5.</x:v>
      </x:c>
      <x:c r="P1357" s="30" t="str">
        <x:v>14x=7, поэтому x=0,5.</x:v>
      </x:c>
      <x:c r="Q1357" s="30"/>
      <x:c r="R1357" s="30" t="str">
        <x:v>Полная версия с решениями РЕШУ ЕГЭ</x:v>
      </x:c>
      <x:c r="S1357" s="30"/>
      <x:c r="T1357" s="30"/>
      <x:c r="U1357" s="30" t="str">
        <x:v>Расхождений не обнаружено.</x:v>
      </x:c>
      <x:c r="V1357" s="87" t="str">
        <x:v>VERIFIED</x:v>
      </x:c>
      <x:c r="W1357" s="87" t="str">
        <x:v>онлайн</x:v>
      </x:c>
      <x:c r="X1357" s="87"/>
      <x:c r="Y1357" s="87"/>
      <x:c r="Z1357" s="87"/>
      <x:c r="AA1357" s="87"/>
      <x:c r="AB1357" s="87"/>
      <x:c r="AC1357" s="87"/>
      <x:c r="AD1357" s="87"/>
      <x:c r="AE1357" s="87"/>
      <x:c r="AF1357" s="87"/>
      <x:c r="AG1357" s="87"/>
      <x:c r="AH1357" s="87"/>
      <x:c r="AI1357" s="30"/>
      <x:c r="AJ1357" s="87" t="str">
        <x:v>master</x:v>
      </x:c>
      <x:c r="AK1357" s="87" t="str">
        <x:v>master-v0.81</x:v>
      </x:c>
      <x:c r="AL1357" s="87" t="str">
        <x:v>statgrad_master_base_v0_81_final(2).xlsx</x:v>
      </x:c>
      <x:c r="AM1357" s="87" t="str">
        <x:v>MATH_Mar_Base_V1</x:v>
      </x:c>
      <x:c r="AN1357" s="87" t="n">
        <x:v>18</x:v>
      </x:c>
    </x:row>
    <x:row r="1358">
      <x:c r="A1358" s="87" t="n">
        <x:v>1357</x:v>
      </x:c>
      <x:c r="B1358" s="87" t="str">
        <x:v>MAR-MATH-B-V1-018</x:v>
      </x:c>
      <x:c r="C1358" s="87" t="str">
        <x:v>СтатГрад</x:v>
      </x:c>
      <x:c r="D1358" s="87" t="str">
        <x:v>Март 2026</x:v>
      </x:c>
      <x:c r="E1358" s="87"/>
      <x:c r="F1358" s="87"/>
      <x:c r="G1358" s="87" t="str">
        <x:v>Математика</x:v>
      </x:c>
      <x:c r="H1358" s="87" t="str">
        <x:v>Базовый</x:v>
      </x:c>
      <x:c r="I1358" s="87" t="str">
        <x:v>ТР №4</x:v>
      </x:c>
      <x:c r="J1358" s="87" t="str">
        <x:v>МА2510401</x:v>
      </x:c>
      <x:c r="K1358" s="87" t="n">
        <x:v>18</x:v>
      </x:c>
      <x:c r="L1358" s="87" t="str">
        <x:v>Числовые промежутки</x:v>
      </x:c>
      <x:c r="M1358" s="30" t="str">
        <x:v>При m=√0,5 сопоставить выражения −m−1, m², √(6+m), 3/m с отрезками [−2;−1], [0;1], [2;3], [4;5].</x:v>
      </x:c>
      <x:c r="N1358" s="30" t="str">
        <x:v>1234</x:v>
      </x:c>
      <x:c r="O1358" s="30" t="str">
        <x:v>Значения последовательно попадают в интервалы 1, 2, 3 и 4.</x:v>
      </x:c>
      <x:c r="P1358" s="30" t="str">
        <x:v>Значения последовательно попадают в интервалы 1, 2, 3 и 4.</x:v>
      </x:c>
      <x:c r="Q1358" s="30"/>
      <x:c r="R1358" s="30" t="str">
        <x:v>Полная версия с решениями РЕШУ ЕГЭ</x:v>
      </x:c>
      <x:c r="S1358" s="30"/>
      <x:c r="T1358" s="30"/>
      <x:c r="U1358" s="30" t="str">
        <x:v>Расхождений не обнаружено.</x:v>
      </x:c>
      <x:c r="V1358" s="87" t="str">
        <x:v>VERIFIED</x:v>
      </x:c>
      <x:c r="W1358" s="87" t="str">
        <x:v>онлайн</x:v>
      </x:c>
      <x:c r="X1358" s="87"/>
      <x:c r="Y1358" s="87"/>
      <x:c r="Z1358" s="87"/>
      <x:c r="AA1358" s="87"/>
      <x:c r="AB1358" s="87"/>
      <x:c r="AC1358" s="87"/>
      <x:c r="AD1358" s="87"/>
      <x:c r="AE1358" s="87"/>
      <x:c r="AF1358" s="87"/>
      <x:c r="AG1358" s="87"/>
      <x:c r="AH1358" s="87"/>
      <x:c r="AI1358" s="30"/>
      <x:c r="AJ1358" s="87" t="str">
        <x:v>master</x:v>
      </x:c>
      <x:c r="AK1358" s="87" t="str">
        <x:v>master-v0.81</x:v>
      </x:c>
      <x:c r="AL1358" s="87" t="str">
        <x:v>statgrad_master_base_v0_81_final(2).xlsx</x:v>
      </x:c>
      <x:c r="AM1358" s="87" t="str">
        <x:v>MATH_Mar_Base_V1</x:v>
      </x:c>
      <x:c r="AN1358" s="87" t="n">
        <x:v>19</x:v>
      </x:c>
    </x:row>
    <x:row r="1359">
      <x:c r="A1359" s="87" t="n">
        <x:v>1358</x:v>
      </x:c>
      <x:c r="B1359" s="87" t="str">
        <x:v>MAR-MATH-B-V1-019</x:v>
      </x:c>
      <x:c r="C1359" s="87" t="str">
        <x:v>СтатГрад</x:v>
      </x:c>
      <x:c r="D1359" s="87" t="str">
        <x:v>Март 2026</x:v>
      </x:c>
      <x:c r="E1359" s="87"/>
      <x:c r="F1359" s="87"/>
      <x:c r="G1359" s="87" t="str">
        <x:v>Математика</x:v>
      </x:c>
      <x:c r="H1359" s="87" t="str">
        <x:v>Базовый</x:v>
      </x:c>
      <x:c r="I1359" s="87" t="str">
        <x:v>ТР №4</x:v>
      </x:c>
      <x:c r="J1359" s="87" t="str">
        <x:v>МА2510401</x:v>
      </x:c>
      <x:c r="K1359" s="87" t="n">
        <x:v>19</x:v>
      </x:c>
      <x:c r="L1359" s="87" t="str">
        <x:v>Цифровая запись числа</x:v>
      </x:c>
      <x:c r="M1359" s="30" t="str">
        <x:v>Найти пятизначное число, кратное 15, у которого соседние цифры отличаются на 2.</x:v>
      </x:c>
      <x:c r="N1359" s="30" t="str">
        <x:v>53535</x:v>
      </x:c>
      <x:c r="O1359" s="30" t="str">
        <x:v>Проверка: число оканчивается на 5, сумма цифр 21 делится на 3, соседние разности равны 2.</x:v>
      </x:c>
      <x:c r="P1359" s="30" t="str">
        <x:v>Проверка: число оканчивается на 5, сумма цифр 21 делится на 3, соседние разности равны 2.</x:v>
      </x:c>
      <x:c r="Q1359" s="30"/>
      <x:c r="R1359" s="30" t="str">
        <x:v>Полная версия с решениями РЕШУ ЕГЭ</x:v>
      </x:c>
      <x:c r="S1359" s="30"/>
      <x:c r="T1359" s="30"/>
      <x:c r="U1359" s="30" t="str">
        <x:v>Также допустимы 57975, 13575, 97575 и 42420.</x:v>
      </x:c>
      <x:c r="V1359" s="87" t="str">
        <x:v>VERIFIED</x:v>
      </x:c>
      <x:c r="W1359" s="87" t="str">
        <x:v>онлайн</x:v>
      </x:c>
      <x:c r="X1359" s="87"/>
      <x:c r="Y1359" s="87"/>
      <x:c r="Z1359" s="87"/>
      <x:c r="AA1359" s="87"/>
      <x:c r="AB1359" s="87"/>
      <x:c r="AC1359" s="87"/>
      <x:c r="AD1359" s="87"/>
      <x:c r="AE1359" s="87"/>
      <x:c r="AF1359" s="87"/>
      <x:c r="AG1359" s="87"/>
      <x:c r="AH1359" s="87"/>
      <x:c r="AI1359" s="30"/>
      <x:c r="AJ1359" s="87" t="str">
        <x:v>master</x:v>
      </x:c>
      <x:c r="AK1359" s="87" t="str">
        <x:v>master-v0.81</x:v>
      </x:c>
      <x:c r="AL1359" s="87" t="str">
        <x:v>statgrad_master_base_v0_81_final(2).xlsx</x:v>
      </x:c>
      <x:c r="AM1359" s="87" t="str">
        <x:v>MATH_Mar_Base_V1</x:v>
      </x:c>
      <x:c r="AN1359" s="87" t="n">
        <x:v>20</x:v>
      </x:c>
    </x:row>
    <x:row r="1360">
      <x:c r="A1360" s="87" t="n">
        <x:v>1359</x:v>
      </x:c>
      <x:c r="B1360" s="87" t="str">
        <x:v>MAR-MATH-B-V1-020</x:v>
      </x:c>
      <x:c r="C1360" s="87" t="str">
        <x:v>СтатГрад</x:v>
      </x:c>
      <x:c r="D1360" s="87" t="str">
        <x:v>Март 2026</x:v>
      </x:c>
      <x:c r="E1360" s="87"/>
      <x:c r="F1360" s="87"/>
      <x:c r="G1360" s="87" t="str">
        <x:v>Математика</x:v>
      </x:c>
      <x:c r="H1360" s="87" t="str">
        <x:v>Базовый</x:v>
      </x:c>
      <x:c r="I1360" s="87" t="str">
        <x:v>ТР №4</x:v>
      </x:c>
      <x:c r="J1360" s="87" t="str">
        <x:v>МА2510401</x:v>
      </x:c>
      <x:c r="K1360" s="87" t="n">
        <x:v>20</x:v>
      </x:c>
      <x:c r="L1360" s="87" t="str">
        <x:v>Движение по прямой</x:v>
      </x:c>
      <x:c r="M1360" s="30" t="str">
        <x:v>Расстояние A—B равно 510 км. Первый автомобиль едет из A со скоростью 70 км/ч, через 3 часа навстречу выезжает второй со скоростью 80 км/ч. Найти расстояние от A до встречи.</x:v>
      </x:c>
      <x:c r="N1360" s="30" t="str">
        <x:v>350</x:v>
      </x:c>
      <x:c r="O1360" s="30" t="str">
        <x:v>S/70=(510−S)/80+3; после решения S=350 км.</x:v>
      </x:c>
      <x:c r="P1360" s="30" t="str">
        <x:v>S/70=(510−S)/80+3; после решения S=350 км.</x:v>
      </x:c>
      <x:c r="Q1360" s="30"/>
      <x:c r="R1360" s="30" t="str">
        <x:v>Полная версия с решениями РЕШУ ЕГЭ</x:v>
      </x:c>
      <x:c r="S1360" s="30"/>
      <x:c r="T1360" s="30"/>
      <x:c r="U1360" s="30" t="str">
        <x:v>Расхождений не обнаружено.</x:v>
      </x:c>
      <x:c r="V1360" s="87" t="str">
        <x:v>VERIFIED</x:v>
      </x:c>
      <x:c r="W1360" s="87" t="str">
        <x:v>онлайн</x:v>
      </x:c>
      <x:c r="X1360" s="87"/>
      <x:c r="Y1360" s="87"/>
      <x:c r="Z1360" s="87"/>
      <x:c r="AA1360" s="87"/>
      <x:c r="AB1360" s="87"/>
      <x:c r="AC1360" s="87"/>
      <x:c r="AD1360" s="87"/>
      <x:c r="AE1360" s="87"/>
      <x:c r="AF1360" s="87"/>
      <x:c r="AG1360" s="87"/>
      <x:c r="AH1360" s="87"/>
      <x:c r="AI1360" s="30"/>
      <x:c r="AJ1360" s="87" t="str">
        <x:v>master</x:v>
      </x:c>
      <x:c r="AK1360" s="87" t="str">
        <x:v>master-v0.81</x:v>
      </x:c>
      <x:c r="AL1360" s="87" t="str">
        <x:v>statgrad_master_base_v0_81_final(2).xlsx</x:v>
      </x:c>
      <x:c r="AM1360" s="87" t="str">
        <x:v>MATH_Mar_Base_V1</x:v>
      </x:c>
      <x:c r="AN1360" s="87" t="n">
        <x:v>21</x:v>
      </x:c>
    </x:row>
    <x:row r="1361">
      <x:c r="A1361" s="87" t="n">
        <x:v>1360</x:v>
      </x:c>
      <x:c r="B1361" s="87" t="str">
        <x:v>MAR-MATH-B-V1-021</x:v>
      </x:c>
      <x:c r="C1361" s="87" t="str">
        <x:v>СтатГрад</x:v>
      </x:c>
      <x:c r="D1361" s="87" t="str">
        <x:v>Март 2026</x:v>
      </x:c>
      <x:c r="E1361" s="87"/>
      <x:c r="F1361" s="87"/>
      <x:c r="G1361" s="87" t="str">
        <x:v>Математика</x:v>
      </x:c>
      <x:c r="H1361" s="87" t="str">
        <x:v>Базовый</x:v>
      </x:c>
      <x:c r="I1361" s="87" t="str">
        <x:v>ТР №4</x:v>
      </x:c>
      <x:c r="J1361" s="87" t="str">
        <x:v>МА2510401</x:v>
      </x:c>
      <x:c r="K1361" s="87" t="n">
        <x:v>21</x:v>
      </x:c>
      <x:c r="L1361" s="87" t="str">
        <x:v>Комбинаторика: граф</x:v>
      </x:c>
      <x:c r="M1361" s="30" t="str">
        <x:v>Восемь столбов соединены проводами так, что от каждого отходит ровно 6 проводов. Найти общее число проводов.</x:v>
      </x:c>
      <x:c r="N1361" s="30" t="str">
        <x:v>24</x:v>
      </x:c>
      <x:c r="O1361" s="30" t="str">
        <x:v>Сумма степеней 8·6=48; каждый провод посчитан дважды, поэтому 48/2=24.</x:v>
      </x:c>
      <x:c r="P1361" s="30" t="str">
        <x:v>Сумма степеней 8·6=48; каждый провод посчитан дважды, поэтому 48/2=24.</x:v>
      </x:c>
      <x:c r="Q1361" s="30"/>
      <x:c r="R1361" s="30" t="str">
        <x:v>Полная версия с решениями РЕШУ ЕГЭ</x:v>
      </x:c>
      <x:c r="S1361" s="30"/>
      <x:c r="T1361" s="30"/>
      <x:c r="U1361" s="30" t="str">
        <x:v>Расхождений не обнаружено.</x:v>
      </x:c>
      <x:c r="V1361" s="87" t="str">
        <x:v>VERIFIED</x:v>
      </x:c>
      <x:c r="W1361" s="87" t="str">
        <x:v>онлайн</x:v>
      </x:c>
      <x:c r="X1361" s="87"/>
      <x:c r="Y1361" s="87"/>
      <x:c r="Z1361" s="87"/>
      <x:c r="AA1361" s="87"/>
      <x:c r="AB1361" s="87"/>
      <x:c r="AC1361" s="87"/>
      <x:c r="AD1361" s="87"/>
      <x:c r="AE1361" s="87"/>
      <x:c r="AF1361" s="87"/>
      <x:c r="AG1361" s="87"/>
      <x:c r="AH1361" s="87"/>
      <x:c r="AI1361" s="30"/>
      <x:c r="AJ1361" s="87" t="str">
        <x:v>master</x:v>
      </x:c>
      <x:c r="AK1361" s="87" t="str">
        <x:v>master-v0.81</x:v>
      </x:c>
      <x:c r="AL1361" s="87" t="str">
        <x:v>statgrad_master_base_v0_81_final(2).xlsx</x:v>
      </x:c>
      <x:c r="AM1361" s="87" t="str">
        <x:v>MATH_Mar_Base_V1</x:v>
      </x:c>
      <x:c r="AN1361" s="87" t="n">
        <x:v>22</x:v>
      </x:c>
    </x:row>
    <x:row r="1362">
      <x:c r="A1362" s="87" t="n">
        <x:v>1361</x:v>
      </x:c>
      <x:c r="B1362" s="87" t="str">
        <x:v>MAR-MATH-P-V1-001</x:v>
      </x:c>
      <x:c r="C1362" s="87" t="str">
        <x:v>СтатГрад</x:v>
      </x:c>
      <x:c r="D1362" s="87" t="str">
        <x:v>Март 2026</x:v>
      </x:c>
      <x:c r="E1362" s="87"/>
      <x:c r="F1362" s="87"/>
      <x:c r="G1362" s="87" t="str">
        <x:v>Математика</x:v>
      </x:c>
      <x:c r="H1362" s="87" t="str">
        <x:v>Профильный</x:v>
      </x:c>
      <x:c r="I1362" s="87" t="str">
        <x:v>ТР №4</x:v>
      </x:c>
      <x:c r="J1362" s="87" t="str">
        <x:v>МА2510409</x:v>
      </x:c>
      <x:c r="K1362" s="87" t="n">
        <x:v>1</x:v>
      </x:c>
      <x:c r="L1362" s="87" t="str">
        <x:v>Площадь параллелограмма</x:v>
      </x:c>
      <x:c r="M1362" s="30" t="str">
        <x:v>Площадь ABCD равна 63; E — середина AD. Найти площадь трапеции BCDE.</x:v>
      </x:c>
      <x:c r="N1362" s="30" t="str">
        <x:v>47,25</x:v>
      </x:c>
      <x:c r="O1362" s="30" t="str">
        <x:v>Треугольник ABE занимает четверть площади параллелограмма: 63/4=15,75. Трапеция: 63−15,75=47,25.</x:v>
      </x:c>
      <x:c r="P1362" s="30" t="str">
        <x:v>Треугольник ABE занимает четверть площади параллелограмма: 63/4=15,75. Трапеция: 63−15,75=47,25.</x:v>
      </x:c>
      <x:c r="Q1362" s="30"/>
      <x:c r="R1362" s="30" t="str">
        <x:v>Официальное задание + ключ архива + независимое решение</x:v>
      </x:c>
      <x:c r="S1362" s="30"/>
      <x:c r="T1362" s="30"/>
      <x:c r="U1362" s="30" t="str">
        <x:v>Расхождений не обнаружено.</x:v>
      </x:c>
      <x:c r="V1362" s="87" t="str">
        <x:v>VERIFIED</x:v>
      </x:c>
      <x:c r="W1362" s="87" t="str">
        <x:v>Официальный PDF, задание 1</x:v>
      </x:c>
      <x:c r="X1362" s="87"/>
      <x:c r="Y1362" s="87"/>
      <x:c r="Z1362" s="87"/>
      <x:c r="AA1362" s="87"/>
      <x:c r="AB1362" s="87"/>
      <x:c r="AC1362" s="87"/>
      <x:c r="AD1362" s="87"/>
      <x:c r="AE1362" s="87"/>
      <x:c r="AF1362" s="87"/>
      <x:c r="AG1362" s="87"/>
      <x:c r="AH1362" s="87"/>
      <x:c r="AI1362" s="30"/>
      <x:c r="AJ1362" s="87" t="str">
        <x:v>master</x:v>
      </x:c>
      <x:c r="AK1362" s="87" t="str">
        <x:v>master-v0.81</x:v>
      </x:c>
      <x:c r="AL1362" s="87" t="str">
        <x:v>statgrad_master_base_v0_81_final(2).xlsx</x:v>
      </x:c>
      <x:c r="AM1362" s="87" t="str">
        <x:v>MATH_Mar_Prof_V1</x:v>
      </x:c>
      <x:c r="AN1362" s="87" t="n">
        <x:v>2</x:v>
      </x:c>
    </x:row>
    <x:row r="1363">
      <x:c r="A1363" s="87" t="n">
        <x:v>1362</x:v>
      </x:c>
      <x:c r="B1363" s="87" t="str">
        <x:v>MAR-MATH-P-V1-002</x:v>
      </x:c>
      <x:c r="C1363" s="87" t="str">
        <x:v>СтатГрад</x:v>
      </x:c>
      <x:c r="D1363" s="87" t="str">
        <x:v>Март 2026</x:v>
      </x:c>
      <x:c r="E1363" s="87"/>
      <x:c r="F1363" s="87"/>
      <x:c r="G1363" s="87" t="str">
        <x:v>Математика</x:v>
      </x:c>
      <x:c r="H1363" s="87" t="str">
        <x:v>Профильный</x:v>
      </x:c>
      <x:c r="I1363" s="87" t="str">
        <x:v>ТР №4</x:v>
      </x:c>
      <x:c r="J1363" s="87" t="str">
        <x:v>МА2510409</x:v>
      </x:c>
      <x:c r="K1363" s="87" t="n">
        <x:v>2</x:v>
      </x:c>
      <x:c r="L1363" s="87" t="str">
        <x:v>Скалярное произведение</x:v>
      </x:c>
      <x:c r="M1363" s="30" t="str">
        <x:v>По координатному рисунку найти скалярное произведение векторов a и b.</x:v>
      </x:c>
      <x:c r="N1363" s="30" t="str">
        <x:v>−2</x:v>
      </x:c>
      <x:c r="O1363" s="30" t="str">
        <x:v>По клеткам a=(1;2), b=(0;−1); a·b=1·0+2·(−1)=−2.</x:v>
      </x:c>
      <x:c r="P1363" s="30" t="str">
        <x:v>Компоненты обоих векторов считаны непосредственно по узлам координатной сетки.</x:v>
      </x:c>
      <x:c r="Q1363" s="30"/>
      <x:c r="R1363" s="30" t="str">
        <x:v>Официальное задание + ключ архива + независимое решение</x:v>
      </x:c>
      <x:c r="S1363" s="30"/>
      <x:c r="T1363" s="30"/>
      <x:c r="U1363" s="30" t="str">
        <x:v>Расхождений не обнаружено.</x:v>
      </x:c>
      <x:c r="V1363" s="87" t="str">
        <x:v>VERIFIED</x:v>
      </x:c>
      <x:c r="W1363" s="87" t="str">
        <x:v>Официальный PDF, задание 2</x:v>
      </x:c>
      <x:c r="X1363" s="87"/>
      <x:c r="Y1363" s="87"/>
      <x:c r="Z1363" s="87"/>
      <x:c r="AA1363" s="87"/>
      <x:c r="AB1363" s="87"/>
      <x:c r="AC1363" s="87"/>
      <x:c r="AD1363" s="87"/>
      <x:c r="AE1363" s="87"/>
      <x:c r="AF1363" s="87"/>
      <x:c r="AG1363" s="87"/>
      <x:c r="AH1363" s="87"/>
      <x:c r="AI1363" s="30"/>
      <x:c r="AJ1363" s="87" t="str">
        <x:v>master</x:v>
      </x:c>
      <x:c r="AK1363" s="87" t="str">
        <x:v>master-v0.81</x:v>
      </x:c>
      <x:c r="AL1363" s="87" t="str">
        <x:v>statgrad_master_base_v0_81_final(2).xlsx</x:v>
      </x:c>
      <x:c r="AM1363" s="87" t="str">
        <x:v>MATH_Mar_Prof_V1</x:v>
      </x:c>
      <x:c r="AN1363" s="87" t="n">
        <x:v>3</x:v>
      </x:c>
    </x:row>
    <x:row r="1364">
      <x:c r="A1364" s="87" t="n">
        <x:v>1363</x:v>
      </x:c>
      <x:c r="B1364" s="87" t="str">
        <x:v>MAR-MATH-P-V1-003</x:v>
      </x:c>
      <x:c r="C1364" s="87" t="str">
        <x:v>СтатГрад</x:v>
      </x:c>
      <x:c r="D1364" s="87" t="str">
        <x:v>Март 2026</x:v>
      </x:c>
      <x:c r="E1364" s="87"/>
      <x:c r="F1364" s="87"/>
      <x:c r="G1364" s="87" t="str">
        <x:v>Математика</x:v>
      </x:c>
      <x:c r="H1364" s="87" t="str">
        <x:v>Профильный</x:v>
      </x:c>
      <x:c r="I1364" s="87" t="str">
        <x:v>ТР №4</x:v>
      </x:c>
      <x:c r="J1364" s="87" t="str">
        <x:v>МА2510409</x:v>
      </x:c>
      <x:c r="K1364" s="87" t="n">
        <x:v>3</x:v>
      </x:c>
      <x:c r="L1364" s="87" t="str">
        <x:v>Конус и сфера</x:v>
      </x:c>
      <x:c r="M1364" s="30" t="str">
        <x:v>Образующая конуса равна 15√2; центр описанной сферы находится в центре основания. Найти радиус сферы.</x:v>
      </x:c>
      <x:c r="N1364" s="30" t="str">
        <x:v>15</x:v>
      </x:c>
      <x:c r="O1364" s="30" t="str">
        <x:v>Высота и радиус основания равны радиусу сферы R, поэтому образующая равна R√2; R=15.</x:v>
      </x:c>
      <x:c r="P1364" s="30" t="str">
        <x:v>Высота и радиус основания равны радиусу сферы R, поэтому образующая равна R√2; R=15.</x:v>
      </x:c>
      <x:c r="Q1364" s="30"/>
      <x:c r="R1364" s="30" t="str">
        <x:v>Официальное задание + ключ архива + независимое решение</x:v>
      </x:c>
      <x:c r="S1364" s="30"/>
      <x:c r="T1364" s="30"/>
      <x:c r="U1364" s="30" t="str">
        <x:v>Расхождений не обнаружено.</x:v>
      </x:c>
      <x:c r="V1364" s="87" t="str">
        <x:v>VERIFIED</x:v>
      </x:c>
      <x:c r="W1364" s="87" t="str">
        <x:v>Официальный PDF, задание 3</x:v>
      </x:c>
      <x:c r="X1364" s="87"/>
      <x:c r="Y1364" s="87"/>
      <x:c r="Z1364" s="87"/>
      <x:c r="AA1364" s="87"/>
      <x:c r="AB1364" s="87"/>
      <x:c r="AC1364" s="87"/>
      <x:c r="AD1364" s="87"/>
      <x:c r="AE1364" s="87"/>
      <x:c r="AF1364" s="87"/>
      <x:c r="AG1364" s="87"/>
      <x:c r="AH1364" s="87"/>
      <x:c r="AI1364" s="30"/>
      <x:c r="AJ1364" s="87" t="str">
        <x:v>master</x:v>
      </x:c>
      <x:c r="AK1364" s="87" t="str">
        <x:v>master-v0.81</x:v>
      </x:c>
      <x:c r="AL1364" s="87" t="str">
        <x:v>statgrad_master_base_v0_81_final(2).xlsx</x:v>
      </x:c>
      <x:c r="AM1364" s="87" t="str">
        <x:v>MATH_Mar_Prof_V1</x:v>
      </x:c>
      <x:c r="AN1364" s="87" t="n">
        <x:v>4</x:v>
      </x:c>
    </x:row>
    <x:row r="1365">
      <x:c r="A1365" s="87" t="n">
        <x:v>1364</x:v>
      </x:c>
      <x:c r="B1365" s="87" t="str">
        <x:v>MAR-MATH-P-V1-004</x:v>
      </x:c>
      <x:c r="C1365" s="87" t="str">
        <x:v>СтатГрад</x:v>
      </x:c>
      <x:c r="D1365" s="87" t="str">
        <x:v>Март 2026</x:v>
      </x:c>
      <x:c r="E1365" s="87"/>
      <x:c r="F1365" s="87"/>
      <x:c r="G1365" s="87" t="str">
        <x:v>Математика</x:v>
      </x:c>
      <x:c r="H1365" s="87" t="str">
        <x:v>Профильный</x:v>
      </x:c>
      <x:c r="I1365" s="87" t="str">
        <x:v>ТР №4</x:v>
      </x:c>
      <x:c r="J1365" s="87" t="str">
        <x:v>МА2510409</x:v>
      </x:c>
      <x:c r="K1365" s="87" t="n">
        <x:v>4</x:v>
      </x:c>
      <x:c r="L1365" s="87" t="str">
        <x:v>Вероятность: три кости</x:v>
      </x:c>
      <x:c r="M1365" s="30" t="str">
        <x:v>Три игральные кости. Найти вероятность суммы 13 с округлением до сотых.</x:v>
      </x:c>
      <x:c r="N1365" s="30" t="str">
        <x:v>0,10</x:v>
      </x:c>
      <x:c r="O1365" s="30" t="str">
        <x:v>Благоприятных упорядоченных троек 21 из 216; 21/216≈0,0972, после округления 0,10.</x:v>
      </x:c>
      <x:c r="P1365" s="30" t="str">
        <x:v>Благоприятных упорядоченных троек 21 из 216; 21/216≈0,0972, после округления 0,10.</x:v>
      </x:c>
      <x:c r="Q1365" s="30"/>
      <x:c r="R1365" s="30" t="str">
        <x:v>Официальное задание + ключ архива + независимое решение</x:v>
      </x:c>
      <x:c r="S1365" s="30"/>
      <x:c r="T1365" s="30"/>
      <x:c r="U1365" s="30" t="str">
        <x:v>Расхождений не обнаружено.</x:v>
      </x:c>
      <x:c r="V1365" s="87" t="str">
        <x:v>VERIFIED</x:v>
      </x:c>
      <x:c r="W1365" s="87" t="str">
        <x:v>Официальный PDF, задание 4</x:v>
      </x:c>
      <x:c r="X1365" s="87"/>
      <x:c r="Y1365" s="87"/>
      <x:c r="Z1365" s="87"/>
      <x:c r="AA1365" s="87"/>
      <x:c r="AB1365" s="87"/>
      <x:c r="AC1365" s="87"/>
      <x:c r="AD1365" s="87"/>
      <x:c r="AE1365" s="87"/>
      <x:c r="AF1365" s="87"/>
      <x:c r="AG1365" s="87"/>
      <x:c r="AH1365" s="87"/>
      <x:c r="AI1365" s="30"/>
      <x:c r="AJ1365" s="87" t="str">
        <x:v>master</x:v>
      </x:c>
      <x:c r="AK1365" s="87" t="str">
        <x:v>master-v0.81</x:v>
      </x:c>
      <x:c r="AL1365" s="87" t="str">
        <x:v>statgrad_master_base_v0_81_final(2).xlsx</x:v>
      </x:c>
      <x:c r="AM1365" s="87" t="str">
        <x:v>MATH_Mar_Prof_V1</x:v>
      </x:c>
      <x:c r="AN1365" s="87" t="n">
        <x:v>5</x:v>
      </x:c>
    </x:row>
    <x:row r="1366">
      <x:c r="A1366" s="87" t="n">
        <x:v>1365</x:v>
      </x:c>
      <x:c r="B1366" s="87" t="str">
        <x:v>MAR-MATH-P-V1-005</x:v>
      </x:c>
      <x:c r="C1366" s="87" t="str">
        <x:v>СтатГрад</x:v>
      </x:c>
      <x:c r="D1366" s="87" t="str">
        <x:v>Март 2026</x:v>
      </x:c>
      <x:c r="E1366" s="87"/>
      <x:c r="F1366" s="87"/>
      <x:c r="G1366" s="87" t="str">
        <x:v>Математика</x:v>
      </x:c>
      <x:c r="H1366" s="87" t="str">
        <x:v>Профильный</x:v>
      </x:c>
      <x:c r="I1366" s="87" t="str">
        <x:v>ТР №4</x:v>
      </x:c>
      <x:c r="J1366" s="87" t="str">
        <x:v>МА2510409</x:v>
      </x:c>
      <x:c r="K1366" s="87" t="n">
        <x:v>5</x:v>
      </x:c>
      <x:c r="L1366" s="87" t="str">
        <x:v>Полная вероятность</x:v>
      </x:c>
      <x:c r="M1366" s="30" t="str">
        <x:v>Фабрики дают 40% и 60% стёкол; доли брака 5% и 3%. Найти общую вероятность брака.</x:v>
      </x:c>
      <x:c r="N1366" s="30" t="str">
        <x:v>0,038</x:v>
      </x:c>
      <x:c r="O1366" s="30" t="str">
        <x:v>0,4·0,05+0,6·0,03=0,038.</x:v>
      </x:c>
      <x:c r="P1366" s="30" t="str">
        <x:v>0,4·0,05+0,6·0,03=0,038.</x:v>
      </x:c>
      <x:c r="Q1366" s="30"/>
      <x:c r="R1366" s="30" t="str">
        <x:v>Официальное задание + ключ архива + независимое решение</x:v>
      </x:c>
      <x:c r="S1366" s="30"/>
      <x:c r="T1366" s="30"/>
      <x:c r="U1366" s="30" t="str">
        <x:v>Расхождений не обнаружено.</x:v>
      </x:c>
      <x:c r="V1366" s="87" t="str">
        <x:v>VERIFIED</x:v>
      </x:c>
      <x:c r="W1366" s="87" t="str">
        <x:v>Официальный PDF, задание 5</x:v>
      </x:c>
      <x:c r="X1366" s="87"/>
      <x:c r="Y1366" s="87"/>
      <x:c r="Z1366" s="87"/>
      <x:c r="AA1366" s="87"/>
      <x:c r="AB1366" s="87"/>
      <x:c r="AC1366" s="87"/>
      <x:c r="AD1366" s="87"/>
      <x:c r="AE1366" s="87"/>
      <x:c r="AF1366" s="87"/>
      <x:c r="AG1366" s="87"/>
      <x:c r="AH1366" s="87"/>
      <x:c r="AI1366" s="30"/>
      <x:c r="AJ1366" s="87" t="str">
        <x:v>master</x:v>
      </x:c>
      <x:c r="AK1366" s="87" t="str">
        <x:v>master-v0.81</x:v>
      </x:c>
      <x:c r="AL1366" s="87" t="str">
        <x:v>statgrad_master_base_v0_81_final(2).xlsx</x:v>
      </x:c>
      <x:c r="AM1366" s="87" t="str">
        <x:v>MATH_Mar_Prof_V1</x:v>
      </x:c>
      <x:c r="AN1366" s="87" t="n">
        <x:v>6</x:v>
      </x:c>
    </x:row>
    <x:row r="1367">
      <x:c r="A1367" s="87" t="n">
        <x:v>1366</x:v>
      </x:c>
      <x:c r="B1367" s="87" t="str">
        <x:v>MAR-MATH-P-V1-006</x:v>
      </x:c>
      <x:c r="C1367" s="87" t="str">
        <x:v>СтатГрад</x:v>
      </x:c>
      <x:c r="D1367" s="87" t="str">
        <x:v>Март 2026</x:v>
      </x:c>
      <x:c r="E1367" s="87"/>
      <x:c r="F1367" s="87"/>
      <x:c r="G1367" s="87" t="str">
        <x:v>Математика</x:v>
      </x:c>
      <x:c r="H1367" s="87" t="str">
        <x:v>Профильный</x:v>
      </x:c>
      <x:c r="I1367" s="87" t="str">
        <x:v>ТР №4</x:v>
      </x:c>
      <x:c r="J1367" s="87" t="str">
        <x:v>МА2510409</x:v>
      </x:c>
      <x:c r="K1367" s="87" t="n">
        <x:v>6</x:v>
      </x:c>
      <x:c r="L1367" s="87" t="str">
        <x:v>Логарифмическое уравнение</x:v>
      </x:c>
      <x:c r="M1367" s="30" t="str">
        <x:v>Решить log₂(8+5x)=log₂(3+x)+2.</x:v>
      </x:c>
      <x:c r="N1367" s="30" t="str">
        <x:v>4</x:v>
      </x:c>
      <x:c r="O1367" s="30" t="str">
        <x:v>8+5x=4(3+x); x=4, область допустимых значений выполнена.</x:v>
      </x:c>
      <x:c r="P1367" s="30" t="str">
        <x:v>8+5x=4(3+x); x=4, область допустимых значений выполнена.</x:v>
      </x:c>
      <x:c r="Q1367" s="30"/>
      <x:c r="R1367" s="30" t="str">
        <x:v>Официальное задание + ключ архива + независимое решение</x:v>
      </x:c>
      <x:c r="S1367" s="30"/>
      <x:c r="T1367" s="30"/>
      <x:c r="U1367" s="30" t="str">
        <x:v>Расхождений не обнаружено.</x:v>
      </x:c>
      <x:c r="V1367" s="87" t="str">
        <x:v>VERIFIED</x:v>
      </x:c>
      <x:c r="W1367" s="87" t="str">
        <x:v>Официальный PDF, задание 6</x:v>
      </x:c>
      <x:c r="X1367" s="87"/>
      <x:c r="Y1367" s="87"/>
      <x:c r="Z1367" s="87"/>
      <x:c r="AA1367" s="87"/>
      <x:c r="AB1367" s="87"/>
      <x:c r="AC1367" s="87"/>
      <x:c r="AD1367" s="87"/>
      <x:c r="AE1367" s="87"/>
      <x:c r="AF1367" s="87"/>
      <x:c r="AG1367" s="87"/>
      <x:c r="AH1367" s="87"/>
      <x:c r="AI1367" s="30"/>
      <x:c r="AJ1367" s="87" t="str">
        <x:v>master</x:v>
      </x:c>
      <x:c r="AK1367" s="87" t="str">
        <x:v>master-v0.81</x:v>
      </x:c>
      <x:c r="AL1367" s="87" t="str">
        <x:v>statgrad_master_base_v0_81_final(2).xlsx</x:v>
      </x:c>
      <x:c r="AM1367" s="87" t="str">
        <x:v>MATH_Mar_Prof_V1</x:v>
      </x:c>
      <x:c r="AN1367" s="87" t="n">
        <x:v>7</x:v>
      </x:c>
    </x:row>
    <x:row r="1368">
      <x:c r="A1368" s="87" t="n">
        <x:v>1367</x:v>
      </x:c>
      <x:c r="B1368" s="87" t="str">
        <x:v>MAR-MATH-P-V1-007</x:v>
      </x:c>
      <x:c r="C1368" s="87" t="str">
        <x:v>СтатГрад</x:v>
      </x:c>
      <x:c r="D1368" s="87" t="str">
        <x:v>Март 2026</x:v>
      </x:c>
      <x:c r="E1368" s="87"/>
      <x:c r="F1368" s="87"/>
      <x:c r="G1368" s="87" t="str">
        <x:v>Математика</x:v>
      </x:c>
      <x:c r="H1368" s="87" t="str">
        <x:v>Профильный</x:v>
      </x:c>
      <x:c r="I1368" s="87" t="str">
        <x:v>ТР №4</x:v>
      </x:c>
      <x:c r="J1368" s="87" t="str">
        <x:v>МА2510409</x:v>
      </x:c>
      <x:c r="K1368" s="87" t="n">
        <x:v>7</x:v>
      </x:c>
      <x:c r="L1368" s="87" t="str">
        <x:v>Степени</x:v>
      </x:c>
      <x:c r="M1368" s="30" t="str">
        <x:v>Вычислить 3^0,32·27^0,56.</x:v>
      </x:c>
      <x:c r="N1368" s="30" t="str">
        <x:v>9</x:v>
      </x:c>
      <x:c r="O1368" s="30" t="str">
        <x:v>27=3³, поэтому показатель равен 0,32+3·0,56=2; результат 3²=9.</x:v>
      </x:c>
      <x:c r="P1368" s="30" t="str">
        <x:v>27=3³, поэтому показатель равен 0,32+3·0,56=2; результат 3²=9.</x:v>
      </x:c>
      <x:c r="Q1368" s="30"/>
      <x:c r="R1368" s="30" t="str">
        <x:v>Официальное задание + ключ архива + независимое решение</x:v>
      </x:c>
      <x:c r="S1368" s="30"/>
      <x:c r="T1368" s="30"/>
      <x:c r="U1368" s="30" t="str">
        <x:v>Расхождений не обнаружено.</x:v>
      </x:c>
      <x:c r="V1368" s="87" t="str">
        <x:v>VERIFIED</x:v>
      </x:c>
      <x:c r="W1368" s="87" t="str">
        <x:v>Официальный PDF, задание 7</x:v>
      </x:c>
      <x:c r="X1368" s="87"/>
      <x:c r="Y1368" s="87"/>
      <x:c r="Z1368" s="87"/>
      <x:c r="AA1368" s="87"/>
      <x:c r="AB1368" s="87"/>
      <x:c r="AC1368" s="87"/>
      <x:c r="AD1368" s="87"/>
      <x:c r="AE1368" s="87"/>
      <x:c r="AF1368" s="87"/>
      <x:c r="AG1368" s="87"/>
      <x:c r="AH1368" s="87"/>
      <x:c r="AI1368" s="30"/>
      <x:c r="AJ1368" s="87" t="str">
        <x:v>master</x:v>
      </x:c>
      <x:c r="AK1368" s="87" t="str">
        <x:v>master-v0.81</x:v>
      </x:c>
      <x:c r="AL1368" s="87" t="str">
        <x:v>statgrad_master_base_v0_81_final(2).xlsx</x:v>
      </x:c>
      <x:c r="AM1368" s="87" t="str">
        <x:v>MATH_Mar_Prof_V1</x:v>
      </x:c>
      <x:c r="AN1368" s="87" t="n">
        <x:v>8</x:v>
      </x:c>
    </x:row>
    <x:row r="1369">
      <x:c r="A1369" s="87" t="n">
        <x:v>1368</x:v>
      </x:c>
      <x:c r="B1369" s="87" t="str">
        <x:v>MAR-MATH-P-V1-008</x:v>
      </x:c>
      <x:c r="C1369" s="87" t="str">
        <x:v>СтатГрад</x:v>
      </x:c>
      <x:c r="D1369" s="87" t="str">
        <x:v>Март 2026</x:v>
      </x:c>
      <x:c r="E1369" s="87"/>
      <x:c r="F1369" s="87"/>
      <x:c r="G1369" s="87" t="str">
        <x:v>Математика</x:v>
      </x:c>
      <x:c r="H1369" s="87" t="str">
        <x:v>Профильный</x:v>
      </x:c>
      <x:c r="I1369" s="87" t="str">
        <x:v>ТР №4</x:v>
      </x:c>
      <x:c r="J1369" s="87" t="str">
        <x:v>МА2510409</x:v>
      </x:c>
      <x:c r="K1369" s="87" t="n">
        <x:v>8</x:v>
      </x:c>
      <x:c r="L1369" s="87" t="str">
        <x:v>Производная и монотонность</x:v>
      </x:c>
      <x:c r="M1369" s="30" t="str">
        <x:v>По графику f′(x) среди 11 отмеченных точек определить число точек на промежутках возрастания f.</x:v>
      </x:c>
      <x:c r="N1369" s="30" t="str">
        <x:v>2</x:v>
      </x:c>
      <x:c r="O1369" s="30" t="str">
        <x:v>Функция возрастает при f′(x)&gt;0; выше оси находятся только точки x₁₀ и x₁₁.</x:v>
      </x:c>
      <x:c r="P1369" s="30" t="str">
        <x:v>Все 11 ординат производной проверены по графику.</x:v>
      </x:c>
      <x:c r="Q1369" s="30"/>
      <x:c r="R1369" s="30" t="str">
        <x:v>Официальное задание + ключ архива + независимое решение</x:v>
      </x:c>
      <x:c r="S1369" s="30"/>
      <x:c r="T1369" s="30"/>
      <x:c r="U1369" s="30" t="str">
        <x:v>Расхождений не обнаружено.</x:v>
      </x:c>
      <x:c r="V1369" s="87" t="str">
        <x:v>VERIFIED</x:v>
      </x:c>
      <x:c r="W1369" s="87" t="str">
        <x:v>Официальный PDF, задание 8</x:v>
      </x:c>
      <x:c r="X1369" s="87"/>
      <x:c r="Y1369" s="87"/>
      <x:c r="Z1369" s="87"/>
      <x:c r="AA1369" s="87"/>
      <x:c r="AB1369" s="87"/>
      <x:c r="AC1369" s="87"/>
      <x:c r="AD1369" s="87"/>
      <x:c r="AE1369" s="87"/>
      <x:c r="AF1369" s="87"/>
      <x:c r="AG1369" s="87"/>
      <x:c r="AH1369" s="87"/>
      <x:c r="AI1369" s="30"/>
      <x:c r="AJ1369" s="87" t="str">
        <x:v>master</x:v>
      </x:c>
      <x:c r="AK1369" s="87" t="str">
        <x:v>master-v0.81</x:v>
      </x:c>
      <x:c r="AL1369" s="87" t="str">
        <x:v>statgrad_master_base_v0_81_final(2).xlsx</x:v>
      </x:c>
      <x:c r="AM1369" s="87" t="str">
        <x:v>MATH_Mar_Prof_V1</x:v>
      </x:c>
      <x:c r="AN1369" s="87" t="n">
        <x:v>9</x:v>
      </x:c>
    </x:row>
    <x:row r="1370">
      <x:c r="A1370" s="87" t="n">
        <x:v>1369</x:v>
      </x:c>
      <x:c r="B1370" s="87" t="str">
        <x:v>MAR-MATH-P-V1-009</x:v>
      </x:c>
      <x:c r="C1370" s="87" t="str">
        <x:v>СтатГрад</x:v>
      </x:c>
      <x:c r="D1370" s="87" t="str">
        <x:v>Март 2026</x:v>
      </x:c>
      <x:c r="E1370" s="87"/>
      <x:c r="F1370" s="87"/>
      <x:c r="G1370" s="87" t="str">
        <x:v>Математика</x:v>
      </x:c>
      <x:c r="H1370" s="87" t="str">
        <x:v>Профильный</x:v>
      </x:c>
      <x:c r="I1370" s="87" t="str">
        <x:v>ТР №4</x:v>
      </x:c>
      <x:c r="J1370" s="87" t="str">
        <x:v>МА2510409</x:v>
      </x:c>
      <x:c r="K1370" s="87" t="n">
        <x:v>9</x:v>
      </x:c>
      <x:c r="L1370" s="87" t="str">
        <x:v>Прикладная логарифмическая модель</x:v>
      </x:c>
      <x:c r="M1370" s="30" t="str">
        <x:v>По формуле охлаждения радиатора найти конечную температуру при длине трубы 64 м.</x:v>
      </x:c>
      <x:c r="N1370" s="30" t="str">
        <x:v>27,5</x:v>
      </x:c>
      <x:c r="O1370" s="30" t="str">
        <x:v>Коэффициент αcm/γ=64, значит log₂(25/(T−15))=1; T−15=12,5 и T=27,5.</x:v>
      </x:c>
      <x:c r="P1370" s="30" t="str">
        <x:v>Коэффициент αcm/γ=64, значит log₂(25/(T−15))=1; T−15=12,5 и T=27,5.</x:v>
      </x:c>
      <x:c r="Q1370" s="30"/>
      <x:c r="R1370" s="30" t="str">
        <x:v>Официальное задание + ключ архива + независимое решение</x:v>
      </x:c>
      <x:c r="S1370" s="30"/>
      <x:c r="T1370" s="30"/>
      <x:c r="U1370" s="30" t="str">
        <x:v>Расхождений не обнаружено.</x:v>
      </x:c>
      <x:c r="V1370" s="87" t="str">
        <x:v>VERIFIED</x:v>
      </x:c>
      <x:c r="W1370" s="87" t="str">
        <x:v>Официальный PDF, задание 9</x:v>
      </x:c>
      <x:c r="X1370" s="87"/>
      <x:c r="Y1370" s="87"/>
      <x:c r="Z1370" s="87"/>
      <x:c r="AA1370" s="87"/>
      <x:c r="AB1370" s="87"/>
      <x:c r="AC1370" s="87"/>
      <x:c r="AD1370" s="87"/>
      <x:c r="AE1370" s="87"/>
      <x:c r="AF1370" s="87"/>
      <x:c r="AG1370" s="87"/>
      <x:c r="AH1370" s="87"/>
      <x:c r="AI1370" s="30"/>
      <x:c r="AJ1370" s="87" t="str">
        <x:v>master</x:v>
      </x:c>
      <x:c r="AK1370" s="87" t="str">
        <x:v>master-v0.81</x:v>
      </x:c>
      <x:c r="AL1370" s="87" t="str">
        <x:v>statgrad_master_base_v0_81_final(2).xlsx</x:v>
      </x:c>
      <x:c r="AM1370" s="87" t="str">
        <x:v>MATH_Mar_Prof_V1</x:v>
      </x:c>
      <x:c r="AN1370" s="87" t="n">
        <x:v>10</x:v>
      </x:c>
    </x:row>
    <x:row r="1371">
      <x:c r="A1371" s="87" t="n">
        <x:v>1370</x:v>
      </x:c>
      <x:c r="B1371" s="87" t="str">
        <x:v>MAR-MATH-P-V1-010</x:v>
      </x:c>
      <x:c r="C1371" s="87" t="str">
        <x:v>СтатГрад</x:v>
      </x:c>
      <x:c r="D1371" s="87" t="str">
        <x:v>Март 2026</x:v>
      </x:c>
      <x:c r="E1371" s="87"/>
      <x:c r="F1371" s="87"/>
      <x:c r="G1371" s="87" t="str">
        <x:v>Математика</x:v>
      </x:c>
      <x:c r="H1371" s="87" t="str">
        <x:v>Профильный</x:v>
      </x:c>
      <x:c r="I1371" s="87" t="str">
        <x:v>ТР №4</x:v>
      </x:c>
      <x:c r="J1371" s="87" t="str">
        <x:v>МА2510409</x:v>
      </x:c>
      <x:c r="K1371" s="87" t="n">
        <x:v>10</x:v>
      </x:c>
      <x:c r="L1371" s="87" t="str">
        <x:v>Арифметическая прогрессия</x:v>
      </x:c>
      <x:c r="M1371" s="30" t="str">
        <x:v>Турист прошёл 245 км за 10 дней, в первый день 11 км, ежедневно прибавляя одинаково. Найти путь за шестой день.</x:v>
      </x:c>
      <x:c r="N1371" s="30" t="str">
        <x:v>26</x:v>
      </x:c>
      <x:c r="O1371" s="30" t="str">
        <x:v>245=10/2·(2·11+9d), откуда d=3; a₆=11+5·3=26.</x:v>
      </x:c>
      <x:c r="P1371" s="30" t="str">
        <x:v>245=10/2·(2·11+9d), откуда d=3; a₆=11+5·3=26.</x:v>
      </x:c>
      <x:c r="Q1371" s="30"/>
      <x:c r="R1371" s="30" t="str">
        <x:v>Официальное задание + ключ архива + независимое решение</x:v>
      </x:c>
      <x:c r="S1371" s="30"/>
      <x:c r="T1371" s="30"/>
      <x:c r="U1371" s="30" t="str">
        <x:v>Расхождений не обнаружено.</x:v>
      </x:c>
      <x:c r="V1371" s="87" t="str">
        <x:v>VERIFIED</x:v>
      </x:c>
      <x:c r="W1371" s="87" t="str">
        <x:v>Официальный PDF, задание 10</x:v>
      </x:c>
      <x:c r="X1371" s="87"/>
      <x:c r="Y1371" s="87"/>
      <x:c r="Z1371" s="87"/>
      <x:c r="AA1371" s="87"/>
      <x:c r="AB1371" s="87"/>
      <x:c r="AC1371" s="87"/>
      <x:c r="AD1371" s="87"/>
      <x:c r="AE1371" s="87"/>
      <x:c r="AF1371" s="87"/>
      <x:c r="AG1371" s="87"/>
      <x:c r="AH1371" s="87"/>
      <x:c r="AI1371" s="30"/>
      <x:c r="AJ1371" s="87" t="str">
        <x:v>master</x:v>
      </x:c>
      <x:c r="AK1371" s="87" t="str">
        <x:v>master-v0.81</x:v>
      </x:c>
      <x:c r="AL1371" s="87" t="str">
        <x:v>statgrad_master_base_v0_81_final(2).xlsx</x:v>
      </x:c>
      <x:c r="AM1371" s="87" t="str">
        <x:v>MATH_Mar_Prof_V1</x:v>
      </x:c>
      <x:c r="AN1371" s="87" t="n">
        <x:v>11</x:v>
      </x:c>
    </x:row>
    <x:row r="1372">
      <x:c r="A1372" s="87" t="n">
        <x:v>1371</x:v>
      </x:c>
      <x:c r="B1372" s="87" t="str">
        <x:v>MAR-MATH-P-V1-011</x:v>
      </x:c>
      <x:c r="C1372" s="87" t="str">
        <x:v>СтатГрад</x:v>
      </x:c>
      <x:c r="D1372" s="87" t="str">
        <x:v>Март 2026</x:v>
      </x:c>
      <x:c r="E1372" s="87"/>
      <x:c r="F1372" s="87"/>
      <x:c r="G1372" s="87" t="str">
        <x:v>Математика</x:v>
      </x:c>
      <x:c r="H1372" s="87" t="str">
        <x:v>Профильный</x:v>
      </x:c>
      <x:c r="I1372" s="87" t="str">
        <x:v>ТР №4</x:v>
      </x:c>
      <x:c r="J1372" s="87" t="str">
        <x:v>МА2510409</x:v>
      </x:c>
      <x:c r="K1372" s="87" t="n">
        <x:v>11</x:v>
      </x:c>
      <x:c r="L1372" s="87" t="str">
        <x:v>Линейные функции по графику</x:v>
      </x:c>
      <x:c r="M1372" s="30" t="str">
        <x:v>По двум прямым и отмеченным точкам найти ординату точки их пересечения.</x:v>
      </x:c>
      <x:c r="N1372" s="30" t="str">
        <x:v>27</x:v>
      </x:c>
      <x:c r="O1372" s="30" t="str">
        <x:v>Уравнения прямых, восстановленные по отмеченным точкам сетки, дают ординату пересечения 27.</x:v>
      </x:c>
      <x:c r="P1372" s="30" t="str">
        <x:v>Коэффициенты обеих прямых восстановлены независимо по двум точкам.</x:v>
      </x:c>
      <x:c r="Q1372" s="30"/>
      <x:c r="R1372" s="30" t="str">
        <x:v>Официальное задание + ключ архива + независимое решение</x:v>
      </x:c>
      <x:c r="S1372" s="30"/>
      <x:c r="T1372" s="30"/>
      <x:c r="U1372" s="30" t="str">
        <x:v>Расхождений не обнаружено.</x:v>
      </x:c>
      <x:c r="V1372" s="87" t="str">
        <x:v>VERIFIED</x:v>
      </x:c>
      <x:c r="W1372" s="87" t="str">
        <x:v>Официальный PDF, задание 11</x:v>
      </x:c>
      <x:c r="X1372" s="87"/>
      <x:c r="Y1372" s="87"/>
      <x:c r="Z1372" s="87"/>
      <x:c r="AA1372" s="87"/>
      <x:c r="AB1372" s="87"/>
      <x:c r="AC1372" s="87"/>
      <x:c r="AD1372" s="87"/>
      <x:c r="AE1372" s="87"/>
      <x:c r="AF1372" s="87"/>
      <x:c r="AG1372" s="87"/>
      <x:c r="AH1372" s="87"/>
      <x:c r="AI1372" s="30"/>
      <x:c r="AJ1372" s="87" t="str">
        <x:v>master</x:v>
      </x:c>
      <x:c r="AK1372" s="87" t="str">
        <x:v>master-v0.81</x:v>
      </x:c>
      <x:c r="AL1372" s="87" t="str">
        <x:v>statgrad_master_base_v0_81_final(2).xlsx</x:v>
      </x:c>
      <x:c r="AM1372" s="87" t="str">
        <x:v>MATH_Mar_Prof_V1</x:v>
      </x:c>
      <x:c r="AN1372" s="87" t="n">
        <x:v>12</x:v>
      </x:c>
    </x:row>
    <x:row r="1373">
      <x:c r="A1373" s="87" t="n">
        <x:v>1372</x:v>
      </x:c>
      <x:c r="B1373" s="87" t="str">
        <x:v>MAR-MATH-P-V1-012</x:v>
      </x:c>
      <x:c r="C1373" s="87" t="str">
        <x:v>СтатГрад</x:v>
      </x:c>
      <x:c r="D1373" s="87" t="str">
        <x:v>Март 2026</x:v>
      </x:c>
      <x:c r="E1373" s="87"/>
      <x:c r="F1373" s="87"/>
      <x:c r="G1373" s="87" t="str">
        <x:v>Математика</x:v>
      </x:c>
      <x:c r="H1373" s="87" t="str">
        <x:v>Профильный</x:v>
      </x:c>
      <x:c r="I1373" s="87" t="str">
        <x:v>ТР №4</x:v>
      </x:c>
      <x:c r="J1373" s="87" t="str">
        <x:v>МА2510409</x:v>
      </x:c>
      <x:c r="K1373" s="87" t="n">
        <x:v>12</x:v>
      </x:c>
      <x:c r="L1373" s="87" t="str">
        <x:v>Экстремум функции</x:v>
      </x:c>
      <x:c r="M1373" s="30" t="str">
        <x:v>Найти точку минимума y=(x−4)²e^(x−9).</x:v>
      </x:c>
      <x:c r="N1373" s="30" t="str">
        <x:v>4</x:v>
      </x:c>
      <x:c r="O1373" s="30" t="str">
        <x:v>Функция неотрицательна и обращается в ноль при x=4, поэтому это глобальный минимум.</x:v>
      </x:c>
      <x:c r="P1373" s="30" t="str">
        <x:v>Функция неотрицательна и обращается в ноль при x=4, поэтому это глобальный минимум.</x:v>
      </x:c>
      <x:c r="Q1373" s="30"/>
      <x:c r="R1373" s="30" t="str">
        <x:v>Официальное задание + ключ архива + независимое решение</x:v>
      </x:c>
      <x:c r="S1373" s="30"/>
      <x:c r="T1373" s="30"/>
      <x:c r="U1373" s="30" t="str">
        <x:v>Расхождений не обнаружено.</x:v>
      </x:c>
      <x:c r="V1373" s="87" t="str">
        <x:v>VERIFIED</x:v>
      </x:c>
      <x:c r="W1373" s="87" t="str">
        <x:v>Официальный PDF, задание 12</x:v>
      </x:c>
      <x:c r="X1373" s="87"/>
      <x:c r="Y1373" s="87"/>
      <x:c r="Z1373" s="87"/>
      <x:c r="AA1373" s="87"/>
      <x:c r="AB1373" s="87"/>
      <x:c r="AC1373" s="87"/>
      <x:c r="AD1373" s="87"/>
      <x:c r="AE1373" s="87"/>
      <x:c r="AF1373" s="87"/>
      <x:c r="AG1373" s="87"/>
      <x:c r="AH1373" s="87"/>
      <x:c r="AI1373" s="30"/>
      <x:c r="AJ1373" s="87" t="str">
        <x:v>master</x:v>
      </x:c>
      <x:c r="AK1373" s="87" t="str">
        <x:v>master-v0.81</x:v>
      </x:c>
      <x:c r="AL1373" s="87" t="str">
        <x:v>statgrad_master_base_v0_81_final(2).xlsx</x:v>
      </x:c>
      <x:c r="AM1373" s="87" t="str">
        <x:v>MATH_Mar_Prof_V1</x:v>
      </x:c>
      <x:c r="AN1373" s="87" t="n">
        <x:v>13</x:v>
      </x:c>
    </x:row>
    <x:row r="1374">
      <x:c r="A1374" s="87" t="n">
        <x:v>1373</x:v>
      </x:c>
      <x:c r="B1374" s="87" t="str">
        <x:v>MAR-MATH-P-V1-013</x:v>
      </x:c>
      <x:c r="C1374" s="87" t="str">
        <x:v>СтатГрад</x:v>
      </x:c>
      <x:c r="D1374" s="87" t="str">
        <x:v>Март 2026</x:v>
      </x:c>
      <x:c r="E1374" s="87"/>
      <x:c r="F1374" s="87"/>
      <x:c r="G1374" s="87" t="str">
        <x:v>Математика</x:v>
      </x:c>
      <x:c r="H1374" s="87" t="str">
        <x:v>Профильный</x:v>
      </x:c>
      <x:c r="I1374" s="87" t="str">
        <x:v>ТР №4</x:v>
      </x:c>
      <x:c r="J1374" s="87" t="str">
        <x:v>МА2510409</x:v>
      </x:c>
      <x:c r="K1374" s="87" t="n">
        <x:v>13</x:v>
      </x:c>
      <x:c r="L1374" s="87" t="str">
        <x:v>Тригонометрическое уравнение</x:v>
      </x:c>
      <x:c r="M1374" s="30" t="str">
        <x:v>Решить 2cos(x−π/4)−√2sinx=2sin(x+π/4)−√2cosx; отобрать корни на [−6π;−5π].</x:v>
      </x:c>
      <x:c r="N1374" s="30" t="str">
        <x:v>а) x=π/4+πn, n∈Z; б) x=−23π/4</x:v>
      </x:c>
      <x:c r="O1374" s="30" t="str">
        <x:v>После раскрытия формул приведения получается cosx=sinx, то есть x=π/4+πn. На заданном отрезке лежит −23π/4.</x:v>
      </x:c>
      <x:c r="P1374" s="30" t="str">
        <x:v>Решение независимо сведено к tg x=1 и проверено числовой окружностью.</x:v>
      </x:c>
      <x:c r="Q1374" s="30"/>
      <x:c r="R1374" s="30" t="str">
        <x:v>Официальное задание + официальный критерий архива</x:v>
      </x:c>
      <x:c r="S1374" s="30"/>
      <x:c r="T1374" s="30"/>
      <x:c r="U1374" s="30" t="str">
        <x:v>Расхождений не обнаружено.</x:v>
      </x:c>
      <x:c r="V1374" s="87" t="str">
        <x:v>VERIFIED</x:v>
      </x:c>
      <x:c r="W1374" s="87" t="str">
        <x:v>Официальный PDF, задание 13</x:v>
      </x:c>
      <x:c r="X1374" s="87"/>
      <x:c r="Y1374" s="87"/>
      <x:c r="Z1374" s="87"/>
      <x:c r="AA1374" s="87"/>
      <x:c r="AB1374" s="87"/>
      <x:c r="AC1374" s="87"/>
      <x:c r="AD1374" s="87"/>
      <x:c r="AE1374" s="87"/>
      <x:c r="AF1374" s="87"/>
      <x:c r="AG1374" s="87"/>
      <x:c r="AH1374" s="87"/>
      <x:c r="AI1374" s="30"/>
      <x:c r="AJ1374" s="87" t="str">
        <x:v>master</x:v>
      </x:c>
      <x:c r="AK1374" s="87" t="str">
        <x:v>master-v0.81</x:v>
      </x:c>
      <x:c r="AL1374" s="87" t="str">
        <x:v>statgrad_master_base_v0_81_final(2).xlsx</x:v>
      </x:c>
      <x:c r="AM1374" s="87" t="str">
        <x:v>MATH_Mar_Prof_V1</x:v>
      </x:c>
      <x:c r="AN1374" s="87" t="n">
        <x:v>14</x:v>
      </x:c>
    </x:row>
    <x:row r="1375">
      <x:c r="A1375" s="87" t="n">
        <x:v>1374</x:v>
      </x:c>
      <x:c r="B1375" s="87" t="str">
        <x:v>MAR-MATH-P-V1-014</x:v>
      </x:c>
      <x:c r="C1375" s="87" t="str">
        <x:v>СтатГрад</x:v>
      </x:c>
      <x:c r="D1375" s="87" t="str">
        <x:v>Март 2026</x:v>
      </x:c>
      <x:c r="E1375" s="87"/>
      <x:c r="F1375" s="87"/>
      <x:c r="G1375" s="87" t="str">
        <x:v>Математика</x:v>
      </x:c>
      <x:c r="H1375" s="87" t="str">
        <x:v>Профильный</x:v>
      </x:c>
      <x:c r="I1375" s="87" t="str">
        <x:v>ТР №4</x:v>
      </x:c>
      <x:c r="J1375" s="87" t="str">
        <x:v>МА2510409</x:v>
      </x:c>
      <x:c r="K1375" s="87" t="n">
        <x:v>14</x:v>
      </x:c>
      <x:c r="L1375" s="87" t="str">
        <x:v>Стереометрия: цилиндр</x:v>
      </x:c>
      <x:c r="M1375" s="30" t="str">
        <x:v>Доказать, что ∠ABC₁ прямой, и найти боковую поверхность цилиндра при AB=24, BB₁=11, B₁C₁=32.</x:v>
      </x:c>
      <x:c r="N1375" s="30" t="str">
        <x:v>а) ∠ABC₁=90°; б) 440π</x:v>
      </x:c>
      <x:c r="O1375" s="30" t="str">
        <x:v>Плоскость через ось и AC₁ задаёт диаметр AC основания. AB⊥BC и AB⊥CC₁, значит AB⊥(BCC₁). AC=√(24²+32²)=40; Sбок=π·40·11=440π.</x:v>
      </x:c>
      <x:c r="P1375" s="30" t="str">
        <x:v>Доказательство перпендикулярности и численный расчёт проверены отдельно.</x:v>
      </x:c>
      <x:c r="Q1375" s="30"/>
      <x:c r="R1375" s="30" t="str">
        <x:v>Официальное задание + официальный критерий архива</x:v>
      </x:c>
      <x:c r="S1375" s="30"/>
      <x:c r="T1375" s="30"/>
      <x:c r="U1375" s="30" t="str">
        <x:v>Расхождений не обнаружено.</x:v>
      </x:c>
      <x:c r="V1375" s="87" t="str">
        <x:v>VERIFIED</x:v>
      </x:c>
      <x:c r="W1375" s="87" t="str">
        <x:v>Официальный PDF, задание 14</x:v>
      </x:c>
      <x:c r="X1375" s="87"/>
      <x:c r="Y1375" s="87"/>
      <x:c r="Z1375" s="87"/>
      <x:c r="AA1375" s="87"/>
      <x:c r="AB1375" s="87"/>
      <x:c r="AC1375" s="87"/>
      <x:c r="AD1375" s="87"/>
      <x:c r="AE1375" s="87"/>
      <x:c r="AF1375" s="87"/>
      <x:c r="AG1375" s="87"/>
      <x:c r="AH1375" s="87"/>
      <x:c r="AI1375" s="30"/>
      <x:c r="AJ1375" s="87" t="str">
        <x:v>master</x:v>
      </x:c>
      <x:c r="AK1375" s="87" t="str">
        <x:v>master-v0.81</x:v>
      </x:c>
      <x:c r="AL1375" s="87" t="str">
        <x:v>statgrad_master_base_v0_81_final(2).xlsx</x:v>
      </x:c>
      <x:c r="AM1375" s="87" t="str">
        <x:v>MATH_Mar_Prof_V1</x:v>
      </x:c>
      <x:c r="AN1375" s="87" t="n">
        <x:v>15</x:v>
      </x:c>
    </x:row>
    <x:row r="1376">
      <x:c r="A1376" s="87" t="n">
        <x:v>1375</x:v>
      </x:c>
      <x:c r="B1376" s="87" t="str">
        <x:v>MAR-MATH-P-V1-015</x:v>
      </x:c>
      <x:c r="C1376" s="87" t="str">
        <x:v>СтатГрад</x:v>
      </x:c>
      <x:c r="D1376" s="87" t="str">
        <x:v>Март 2026</x:v>
      </x:c>
      <x:c r="E1376" s="87"/>
      <x:c r="F1376" s="87"/>
      <x:c r="G1376" s="87" t="str">
        <x:v>Математика</x:v>
      </x:c>
      <x:c r="H1376" s="87" t="str">
        <x:v>Профильный</x:v>
      </x:c>
      <x:c r="I1376" s="87" t="str">
        <x:v>ТР №4</x:v>
      </x:c>
      <x:c r="J1376" s="87" t="str">
        <x:v>МА2510409</x:v>
      </x:c>
      <x:c r="K1376" s="87" t="n">
        <x:v>15</x:v>
      </x:c>
      <x:c r="L1376" s="87" t="str">
        <x:v>Иррациональное неравенство</x:v>
      </x:c>
      <x:c r="M1376" s="30" t="str">
        <x:v>Решить √((x−5)²−x²)+√(x+5)≥√(4x+20).</x:v>
      </x:c>
      <x:c r="N1376" s="30" t="str">
        <x:v>[−5; 20/11]</x:v>
      </x:c>
      <x:c r="O1376" s="30" t="str">
        <x:v>Правая часть равна 2√(x+5). После переноса и возведения в квадрат: 25−10x≥x+5 при x≥−5; получаем x≤20/11.</x:v>
      </x:c>
      <x:c r="P1376" s="30" t="str">
        <x:v>Правая часть равна 2√(x+5). После переноса и возведения в квадрат: 25−10x≥x+5 при x≥−5; получаем x≤20/11.</x:v>
      </x:c>
      <x:c r="Q1376" s="30"/>
      <x:c r="R1376" s="30" t="str">
        <x:v>Официальное задание + официальный критерий архива</x:v>
      </x:c>
      <x:c r="S1376" s="30"/>
      <x:c r="T1376" s="30"/>
      <x:c r="U1376" s="30" t="str">
        <x:v>Расхождений не обнаружено.</x:v>
      </x:c>
      <x:c r="V1376" s="87" t="str">
        <x:v>VERIFIED</x:v>
      </x:c>
      <x:c r="W1376" s="87" t="str">
        <x:v>Официальный PDF, задание 15</x:v>
      </x:c>
      <x:c r="X1376" s="87"/>
      <x:c r="Y1376" s="87"/>
      <x:c r="Z1376" s="87"/>
      <x:c r="AA1376" s="87"/>
      <x:c r="AB1376" s="87"/>
      <x:c r="AC1376" s="87"/>
      <x:c r="AD1376" s="87"/>
      <x:c r="AE1376" s="87"/>
      <x:c r="AF1376" s="87"/>
      <x:c r="AG1376" s="87"/>
      <x:c r="AH1376" s="87"/>
      <x:c r="AI1376" s="30"/>
      <x:c r="AJ1376" s="87" t="str">
        <x:v>master</x:v>
      </x:c>
      <x:c r="AK1376" s="87" t="str">
        <x:v>master-v0.81</x:v>
      </x:c>
      <x:c r="AL1376" s="87" t="str">
        <x:v>statgrad_master_base_v0_81_final(2).xlsx</x:v>
      </x:c>
      <x:c r="AM1376" s="87" t="str">
        <x:v>MATH_Mar_Prof_V1</x:v>
      </x:c>
      <x:c r="AN1376" s="87" t="n">
        <x:v>16</x:v>
      </x:c>
    </x:row>
    <x:row r="1377">
      <x:c r="A1377" s="87" t="n">
        <x:v>1376</x:v>
      </x:c>
      <x:c r="B1377" s="87" t="str">
        <x:v>MAR-MATH-P-V1-016</x:v>
      </x:c>
      <x:c r="C1377" s="87" t="str">
        <x:v>СтатГрад</x:v>
      </x:c>
      <x:c r="D1377" s="87" t="str">
        <x:v>Март 2026</x:v>
      </x:c>
      <x:c r="E1377" s="87"/>
      <x:c r="F1377" s="87"/>
      <x:c r="G1377" s="87" t="str">
        <x:v>Математика</x:v>
      </x:c>
      <x:c r="H1377" s="87" t="str">
        <x:v>Профильный</x:v>
      </x:c>
      <x:c r="I1377" s="87" t="str">
        <x:v>ТР №4</x:v>
      </x:c>
      <x:c r="J1377" s="87" t="str">
        <x:v>МА2510409</x:v>
      </x:c>
      <x:c r="K1377" s="87" t="n">
        <x:v>16</x:v>
      </x:c>
      <x:c r="L1377" s="87" t="str">
        <x:v>Финансовая математика</x:v>
      </x:c>
      <x:c r="M1377" s="30" t="str">
        <x:v>Кредит 800 тыс. на 3 года под 20%; первые два платежа равны, последний 590,4 тыс. Найти сумму платежей.</x:v>
      </x:c>
      <x:c r="N1377" s="30" t="str">
        <x:v>1190,4 тыс. рублей</x:v>
      </x:c>
      <x:c r="O1377" s="30" t="str">
        <x:v>Пусть первые платежи равны x. Перед последним платежом долг 1382,4−2,64x=590,4, откуда x=300. Сумма 2·300+590,4=1190,4.</x:v>
      </x:c>
      <x:c r="P1377" s="30" t="str">
        <x:v>Пусть первые платежи равны x. Перед последним платежом долг 1382,4−2,64x=590,4, откуда x=300. Сумма 2·300+590,4=1190,4.</x:v>
      </x:c>
      <x:c r="Q1377" s="30"/>
      <x:c r="R1377" s="30" t="str">
        <x:v>Официальное задание + официальный критерий архива</x:v>
      </x:c>
      <x:c r="S1377" s="30"/>
      <x:c r="T1377" s="30"/>
      <x:c r="U1377" s="30" t="str">
        <x:v>Расхождений не обнаружено.</x:v>
      </x:c>
      <x:c r="V1377" s="87" t="str">
        <x:v>VERIFIED</x:v>
      </x:c>
      <x:c r="W1377" s="87" t="str">
        <x:v>Официальный PDF, задание 16</x:v>
      </x:c>
      <x:c r="X1377" s="87"/>
      <x:c r="Y1377" s="87"/>
      <x:c r="Z1377" s="87"/>
      <x:c r="AA1377" s="87"/>
      <x:c r="AB1377" s="87"/>
      <x:c r="AC1377" s="87"/>
      <x:c r="AD1377" s="87"/>
      <x:c r="AE1377" s="87"/>
      <x:c r="AF1377" s="87"/>
      <x:c r="AG1377" s="87"/>
      <x:c r="AH1377" s="87"/>
      <x:c r="AI1377" s="30"/>
      <x:c r="AJ1377" s="87" t="str">
        <x:v>master</x:v>
      </x:c>
      <x:c r="AK1377" s="87" t="str">
        <x:v>master-v0.81</x:v>
      </x:c>
      <x:c r="AL1377" s="87" t="str">
        <x:v>statgrad_master_base_v0_81_final(2).xlsx</x:v>
      </x:c>
      <x:c r="AM1377" s="87" t="str">
        <x:v>MATH_Mar_Prof_V1</x:v>
      </x:c>
      <x:c r="AN1377" s="87" t="n">
        <x:v>17</x:v>
      </x:c>
    </x:row>
    <x:row r="1378">
      <x:c r="A1378" s="87" t="n">
        <x:v>1377</x:v>
      </x:c>
      <x:c r="B1378" s="87" t="str">
        <x:v>MAR-MATH-P-V1-017</x:v>
      </x:c>
      <x:c r="C1378" s="87" t="str">
        <x:v>СтатГрад</x:v>
      </x:c>
      <x:c r="D1378" s="87" t="str">
        <x:v>Март 2026</x:v>
      </x:c>
      <x:c r="E1378" s="87"/>
      <x:c r="F1378" s="87"/>
      <x:c r="G1378" s="87" t="str">
        <x:v>Математика</x:v>
      </x:c>
      <x:c r="H1378" s="87" t="str">
        <x:v>Профильный</x:v>
      </x:c>
      <x:c r="I1378" s="87" t="str">
        <x:v>ТР №4</x:v>
      </x:c>
      <x:c r="J1378" s="87" t="str">
        <x:v>МА2510409</x:v>
      </x:c>
      <x:c r="K1378" s="87" t="n">
        <x:v>17</x:v>
      </x:c>
      <x:c r="L1378" s="87" t="str">
        <x:v>Планиметрия: параллелограмм</x:v>
      </x:c>
      <x:c r="M1378" s="30" t="str">
        <x:v>Доказать AL·BC=AB·AC и найти EL при AC=10, tg∠BCA=1/5.</x:v>
      </x:c>
      <x:c r="N1378" s="30" t="str">
        <x:v>а) AL·BC=AB·AC; б) EL=37/12</x:v>
      </x:c>
      <x:c r="O1378" s="30" t="str">
        <x:v>Подобие ABL и ADC даёт требуемое произведение. В равнобедренном ALC: CF=5, LF=1, FE=25/12; EL=1+25/12=37/12.</x:v>
      </x:c>
      <x:c r="P1378" s="30" t="str">
        <x:v>Подобие ABL и ADC даёт требуемое произведение. В равнобедренном ALC: CF=5, LF=1, FE=25/12; EL=1+25/12=37/12.</x:v>
      </x:c>
      <x:c r="Q1378" s="30"/>
      <x:c r="R1378" s="30" t="str">
        <x:v>Официальное задание + официальный критерий архива</x:v>
      </x:c>
      <x:c r="S1378" s="30"/>
      <x:c r="T1378" s="30"/>
      <x:c r="U1378" s="30" t="str">
        <x:v>Расхождений не обнаружено.</x:v>
      </x:c>
      <x:c r="V1378" s="87" t="str">
        <x:v>VERIFIED</x:v>
      </x:c>
      <x:c r="W1378" s="87" t="str">
        <x:v>Официальный PDF, задание 17</x:v>
      </x:c>
      <x:c r="X1378" s="87"/>
      <x:c r="Y1378" s="87"/>
      <x:c r="Z1378" s="87"/>
      <x:c r="AA1378" s="87"/>
      <x:c r="AB1378" s="87"/>
      <x:c r="AC1378" s="87"/>
      <x:c r="AD1378" s="87"/>
      <x:c r="AE1378" s="87"/>
      <x:c r="AF1378" s="87"/>
      <x:c r="AG1378" s="87"/>
      <x:c r="AH1378" s="87"/>
      <x:c r="AI1378" s="30"/>
      <x:c r="AJ1378" s="87" t="str">
        <x:v>master</x:v>
      </x:c>
      <x:c r="AK1378" s="87" t="str">
        <x:v>master-v0.81</x:v>
      </x:c>
      <x:c r="AL1378" s="87" t="str">
        <x:v>statgrad_master_base_v0_81_final(2).xlsx</x:v>
      </x:c>
      <x:c r="AM1378" s="87" t="str">
        <x:v>MATH_Mar_Prof_V1</x:v>
      </x:c>
      <x:c r="AN1378" s="87" t="n">
        <x:v>18</x:v>
      </x:c>
    </x:row>
    <x:row r="1379">
      <x:c r="A1379" s="87" t="n">
        <x:v>1378</x:v>
      </x:c>
      <x:c r="B1379" s="87" t="str">
        <x:v>MAR-MATH-P-V1-018</x:v>
      </x:c>
      <x:c r="C1379" s="87" t="str">
        <x:v>СтатГрад</x:v>
      </x:c>
      <x:c r="D1379" s="87" t="str">
        <x:v>Март 2026</x:v>
      </x:c>
      <x:c r="E1379" s="87"/>
      <x:c r="F1379" s="87"/>
      <x:c r="G1379" s="87" t="str">
        <x:v>Математика</x:v>
      </x:c>
      <x:c r="H1379" s="87" t="str">
        <x:v>Профильный</x:v>
      </x:c>
      <x:c r="I1379" s="87" t="str">
        <x:v>ТР №4</x:v>
      </x:c>
      <x:c r="J1379" s="87" t="str">
        <x:v>МА2510409</x:v>
      </x:c>
      <x:c r="K1379" s="87" t="n">
        <x:v>18</x:v>
      </x:c>
      <x:c r="L1379" s="87" t="str">
        <x:v>Уравнение с параметром</x:v>
      </x:c>
      <x:c r="M1379" s="30" t="str">
        <x:v>Найти a, при которых x²+a²+7x−17a=|17x+7a| имеет более двух различных корней.</x:v>
      </x:c>
      <x:c r="N1379" s="30" t="str">
        <x:v>a∈[−1;0]∪[17;18]</x:v>
      </x:c>
      <x:c r="O1379" s="30" t="str">
        <x:v>После раскрытия модуля получаются дуги двух окружностей радиуса 13. Горизонтальная прямая a=c пересекает их объединение более чем в двух точках ровно на указанных промежутках.</x:v>
      </x:c>
      <x:c r="P1379" s="30" t="str">
        <x:v>Граничные значения −1, 0, 17 и 18 проверены подстановкой и геометрически.</x:v>
      </x:c>
      <x:c r="Q1379" s="30"/>
      <x:c r="R1379" s="30" t="str">
        <x:v>Официальное задание + официальный критерий архива</x:v>
      </x:c>
      <x:c r="S1379" s="30"/>
      <x:c r="T1379" s="30"/>
      <x:c r="U1379" s="30" t="str">
        <x:v>Расхождений не обнаружено.</x:v>
      </x:c>
      <x:c r="V1379" s="87" t="str">
        <x:v>VERIFIED</x:v>
      </x:c>
      <x:c r="W1379" s="87" t="str">
        <x:v>Официальный PDF, задание 18</x:v>
      </x:c>
      <x:c r="X1379" s="87"/>
      <x:c r="Y1379" s="87"/>
      <x:c r="Z1379" s="87"/>
      <x:c r="AA1379" s="87"/>
      <x:c r="AB1379" s="87"/>
      <x:c r="AC1379" s="87"/>
      <x:c r="AD1379" s="87"/>
      <x:c r="AE1379" s="87"/>
      <x:c r="AF1379" s="87"/>
      <x:c r="AG1379" s="87"/>
      <x:c r="AH1379" s="87"/>
      <x:c r="AI1379" s="30"/>
      <x:c r="AJ1379" s="87" t="str">
        <x:v>master</x:v>
      </x:c>
      <x:c r="AK1379" s="87" t="str">
        <x:v>master-v0.81</x:v>
      </x:c>
      <x:c r="AL1379" s="87" t="str">
        <x:v>statgrad_master_base_v0_81_final(2).xlsx</x:v>
      </x:c>
      <x:c r="AM1379" s="87" t="str">
        <x:v>MATH_Mar_Prof_V1</x:v>
      </x:c>
      <x:c r="AN1379" s="87" t="n">
        <x:v>19</x:v>
      </x:c>
    </x:row>
    <x:row r="1380">
      <x:c r="A1380" s="87" t="n">
        <x:v>1379</x:v>
      </x:c>
      <x:c r="B1380" s="87" t="str">
        <x:v>MAR-MATH-P-V1-019</x:v>
      </x:c>
      <x:c r="C1380" s="87" t="str">
        <x:v>СтатГрад</x:v>
      </x:c>
      <x:c r="D1380" s="87" t="str">
        <x:v>Март 2026</x:v>
      </x:c>
      <x:c r="E1380" s="87"/>
      <x:c r="F1380" s="87"/>
      <x:c r="G1380" s="87" t="str">
        <x:v>Математика</x:v>
      </x:c>
      <x:c r="H1380" s="87" t="str">
        <x:v>Профильный</x:v>
      </x:c>
      <x:c r="I1380" s="87" t="str">
        <x:v>ТР №4</x:v>
      </x:c>
      <x:c r="J1380" s="87" t="str">
        <x:v>МА2510409</x:v>
      </x:c>
      <x:c r="K1380" s="87" t="n">
        <x:v>19</x:v>
      </x:c>
      <x:c r="L1380" s="87" t="str">
        <x:v>Комбинаторная задача</x:v>
      </x:c>
      <x:c r="M1380" s="30" t="str">
        <x:v>Ограничения долей мальчиков: театр ≤3/13, кино ≤3/8. Для группы из 20 проверить 9 мальчиков, найти максимум; без фиксированного размера — минимальную долю девочек.</x:v>
      </x:c>
      <x:c r="N1380" s="30" t="str">
        <x:v>а) да; б) 9; в) 10/19</x:v>
      </x:c>
      <x:c r="O1380" s="30" t="str">
        <x:v>Пример 3 мальчика только в театре, 6 только в кино и 11 девочек доказывает пункт а. При 10 мальчиках ограничения не позволяют охватить всех. Из m₁/d≤3/10 и m₂/d≤3/5 следует доля девочек ≥10/19; равенство достижимо.</x:v>
      </x:c>
      <x:c r="P1380" s="30" t="str">
        <x:v>Пример 3 мальчика только в театре, 6 только в кино и 11 девочек доказывает пункт а. При 10 мальчиках ограничения не позволяют охватить всех. Из m₁/d≤3/10 и m₂/d≤3/5 следует доля девочек ≥10/19; равенство достижимо.</x:v>
      </x:c>
      <x:c r="Q1380" s="30"/>
      <x:c r="R1380" s="30" t="str">
        <x:v>Официальное задание + официальный критерий архива</x:v>
      </x:c>
      <x:c r="S1380" s="30"/>
      <x:c r="T1380" s="30"/>
      <x:c r="U1380" s="30" t="str">
        <x:v>Расхождений не обнаружено.</x:v>
      </x:c>
      <x:c r="V1380" s="87" t="str">
        <x:v>VERIFIED</x:v>
      </x:c>
      <x:c r="W1380" s="87" t="str">
        <x:v>Официальный PDF, задание 19</x:v>
      </x:c>
      <x:c r="X1380" s="87"/>
      <x:c r="Y1380" s="87"/>
      <x:c r="Z1380" s="87"/>
      <x:c r="AA1380" s="87"/>
      <x:c r="AB1380" s="87"/>
      <x:c r="AC1380" s="87"/>
      <x:c r="AD1380" s="87"/>
      <x:c r="AE1380" s="87"/>
      <x:c r="AF1380" s="87"/>
      <x:c r="AG1380" s="87"/>
      <x:c r="AH1380" s="87"/>
      <x:c r="AI1380" s="30"/>
      <x:c r="AJ1380" s="87" t="str">
        <x:v>master</x:v>
      </x:c>
      <x:c r="AK1380" s="87" t="str">
        <x:v>master-v0.81</x:v>
      </x:c>
      <x:c r="AL1380" s="87" t="str">
        <x:v>statgrad_master_base_v0_81_final(2).xlsx</x:v>
      </x:c>
      <x:c r="AM1380" s="87" t="str">
        <x:v>MATH_Mar_Prof_V1</x:v>
      </x:c>
      <x:c r="AN1380" s="87" t="n">
        <x:v>20</x:v>
      </x:c>
    </x:row>
    <x:row r="1381">
      <x:c r="A1381" s="87" t="n">
        <x:v>1380</x:v>
      </x:c>
      <x:c r="B1381" s="87" t="str">
        <x:v>MAR-MATH-P-V-8-001</x:v>
      </x:c>
      <x:c r="C1381" s="87" t="str">
        <x:v>СтатГрад</x:v>
      </x:c>
      <x:c r="D1381" s="87" t="str">
        <x:v>Март 2026</x:v>
      </x:c>
      <x:c r="E1381" s="87"/>
      <x:c r="F1381" s="87"/>
      <x:c r="G1381" s="87" t="str">
        <x:v>Математика</x:v>
      </x:c>
      <x:c r="H1381" s="87" t="str">
        <x:v>Профильный</x:v>
      </x:c>
      <x:c r="I1381" s="87" t="str">
        <x:v>ТР №4</x:v>
      </x:c>
      <x:c r="J1381" s="87" t="str">
        <x:v>МА2510410</x:v>
      </x:c>
      <x:c r="K1381" s="87" t="n">
        <x:v>1</x:v>
      </x:c>
      <x:c r="L1381" s="87" t="str">
        <x:v>Площадь параллелограмма</x:v>
      </x:c>
      <x:c r="M1381" s="30" t="str">
        <x:v>Площадь ABCD равна 142; E — середина AD. Найти площадь трапеции BCDE.</x:v>
      </x:c>
      <x:c r="N1381" s="30" t="str">
        <x:v>106,5</x:v>
      </x:c>
      <x:c r="O1381" s="30" t="str">
        <x:v>Трапеция занимает 3/4 площади параллелограмма: 142·3/4=106,5.</x:v>
      </x:c>
      <x:c r="P1381" s="30" t="str">
        <x:v>Трапеция занимает 3/4 площади параллелограмма: 142·3/4=106,5.</x:v>
      </x:c>
      <x:c r="Q1381" s="30"/>
      <x:c r="R1381" s="30" t="str">
        <x:v>Официальное задание + ключ архива + независимое решение</x:v>
      </x:c>
      <x:c r="S1381" s="30"/>
      <x:c r="T1381" s="30"/>
      <x:c r="U1381" s="30" t="str">
        <x:v>Расхождений не обнаружено.</x:v>
      </x:c>
      <x:c r="V1381" s="87" t="str">
        <x:v>VERIFIED</x:v>
      </x:c>
      <x:c r="W1381" s="87" t="str">
        <x:v>Официальный PDF, задание 1</x:v>
      </x:c>
      <x:c r="X1381" s="87"/>
      <x:c r="Y1381" s="87"/>
      <x:c r="Z1381" s="87"/>
      <x:c r="AA1381" s="87"/>
      <x:c r="AB1381" s="87"/>
      <x:c r="AC1381" s="87"/>
      <x:c r="AD1381" s="87"/>
      <x:c r="AE1381" s="87"/>
      <x:c r="AF1381" s="87"/>
      <x:c r="AG1381" s="87"/>
      <x:c r="AH1381" s="87"/>
      <x:c r="AI1381" s="30"/>
      <x:c r="AJ1381" s="87" t="str">
        <x:v>master</x:v>
      </x:c>
      <x:c r="AK1381" s="87" t="str">
        <x:v>master-v0.81</x:v>
      </x:c>
      <x:c r="AL1381" s="87" t="str">
        <x:v>statgrad_master_base_v0_81_final(2).xlsx</x:v>
      </x:c>
      <x:c r="AM1381" s="87" t="str">
        <x:v>MATH_Mar_Prof_V2</x:v>
      </x:c>
      <x:c r="AN1381" s="87" t="n">
        <x:v>2</x:v>
      </x:c>
    </x:row>
    <x:row r="1382">
      <x:c r="A1382" s="87" t="n">
        <x:v>1381</x:v>
      </x:c>
      <x:c r="B1382" s="87" t="str">
        <x:v>MAR-MATH-P-V-8-002</x:v>
      </x:c>
      <x:c r="C1382" s="87" t="str">
        <x:v>СтатГрад</x:v>
      </x:c>
      <x:c r="D1382" s="87" t="str">
        <x:v>Март 2026</x:v>
      </x:c>
      <x:c r="E1382" s="87"/>
      <x:c r="F1382" s="87"/>
      <x:c r="G1382" s="87" t="str">
        <x:v>Математика</x:v>
      </x:c>
      <x:c r="H1382" s="87" t="str">
        <x:v>Профильный</x:v>
      </x:c>
      <x:c r="I1382" s="87" t="str">
        <x:v>ТР №4</x:v>
      </x:c>
      <x:c r="J1382" s="87" t="str">
        <x:v>МА2510410</x:v>
      </x:c>
      <x:c r="K1382" s="87" t="n">
        <x:v>2</x:v>
      </x:c>
      <x:c r="L1382" s="87" t="str">
        <x:v>Скалярное произведение</x:v>
      </x:c>
      <x:c r="M1382" s="30" t="str">
        <x:v>По рисунку найти a·b.</x:v>
      </x:c>
      <x:c r="N1382" s="30" t="str">
        <x:v>−12</x:v>
      </x:c>
      <x:c r="O1382" s="30" t="str">
        <x:v>По сетке a=(3;4), b=(0;−3); a·b=−12.</x:v>
      </x:c>
      <x:c r="P1382" s="30" t="str">
        <x:v>По сетке a=(3;4), b=(0;−3); a·b=−12.</x:v>
      </x:c>
      <x:c r="Q1382" s="30"/>
      <x:c r="R1382" s="30" t="str">
        <x:v>Официальное задание + ключ архива + независимое решение</x:v>
      </x:c>
      <x:c r="S1382" s="30"/>
      <x:c r="T1382" s="30"/>
      <x:c r="U1382" s="30" t="str">
        <x:v>Расхождений не обнаружено.</x:v>
      </x:c>
      <x:c r="V1382" s="87" t="str">
        <x:v>VERIFIED</x:v>
      </x:c>
      <x:c r="W1382" s="87" t="str">
        <x:v>Официальный PDF, задание 2</x:v>
      </x:c>
      <x:c r="X1382" s="87"/>
      <x:c r="Y1382" s="87"/>
      <x:c r="Z1382" s="87"/>
      <x:c r="AA1382" s="87"/>
      <x:c r="AB1382" s="87"/>
      <x:c r="AC1382" s="87"/>
      <x:c r="AD1382" s="87"/>
      <x:c r="AE1382" s="87"/>
      <x:c r="AF1382" s="87"/>
      <x:c r="AG1382" s="87"/>
      <x:c r="AH1382" s="87"/>
      <x:c r="AI1382" s="30"/>
      <x:c r="AJ1382" s="87" t="str">
        <x:v>master</x:v>
      </x:c>
      <x:c r="AK1382" s="87" t="str">
        <x:v>master-v0.81</x:v>
      </x:c>
      <x:c r="AL1382" s="87" t="str">
        <x:v>statgrad_master_base_v0_81_final(2).xlsx</x:v>
      </x:c>
      <x:c r="AM1382" s="87" t="str">
        <x:v>MATH_Mar_Prof_V2</x:v>
      </x:c>
      <x:c r="AN1382" s="87" t="n">
        <x:v>3</x:v>
      </x:c>
    </x:row>
    <x:row r="1383">
      <x:c r="A1383" s="87" t="n">
        <x:v>1382</x:v>
      </x:c>
      <x:c r="B1383" s="87" t="str">
        <x:v>MAR-MATH-P-V-8-003</x:v>
      </x:c>
      <x:c r="C1383" s="87" t="str">
        <x:v>СтатГрад</x:v>
      </x:c>
      <x:c r="D1383" s="87" t="str">
        <x:v>Март 2026</x:v>
      </x:c>
      <x:c r="E1383" s="87"/>
      <x:c r="F1383" s="87"/>
      <x:c r="G1383" s="87" t="str">
        <x:v>Математика</x:v>
      </x:c>
      <x:c r="H1383" s="87" t="str">
        <x:v>Профильный</x:v>
      </x:c>
      <x:c r="I1383" s="87" t="str">
        <x:v>ТР №4</x:v>
      </x:c>
      <x:c r="J1383" s="87" t="str">
        <x:v>МА2510410</x:v>
      </x:c>
      <x:c r="K1383" s="87" t="n">
        <x:v>3</x:v>
      </x:c>
      <x:c r="L1383" s="87" t="str">
        <x:v>Конус и сфера</x:v>
      </x:c>
      <x:c r="M1383" s="30" t="str">
        <x:v>Образующая конуса 97√2; центр описанной сферы — центр основания. Найти радиус сферы.</x:v>
      </x:c>
      <x:c r="N1383" s="30" t="str">
        <x:v>97</x:v>
      </x:c>
      <x:c r="O1383" s="30" t="str">
        <x:v>Образующая равна R√2, следовательно, R=97.</x:v>
      </x:c>
      <x:c r="P1383" s="30" t="str">
        <x:v>Образующая равна R√2, следовательно, R=97.</x:v>
      </x:c>
      <x:c r="Q1383" s="30"/>
      <x:c r="R1383" s="30" t="str">
        <x:v>Официальное задание + ключ архива + независимое решение</x:v>
      </x:c>
      <x:c r="S1383" s="30"/>
      <x:c r="T1383" s="30"/>
      <x:c r="U1383" s="30" t="str">
        <x:v>Расхождений не обнаружено.</x:v>
      </x:c>
      <x:c r="V1383" s="87" t="str">
        <x:v>VERIFIED</x:v>
      </x:c>
      <x:c r="W1383" s="87" t="str">
        <x:v>Официальный PDF, задание 3</x:v>
      </x:c>
      <x:c r="X1383" s="87"/>
      <x:c r="Y1383" s="87"/>
      <x:c r="Z1383" s="87"/>
      <x:c r="AA1383" s="87"/>
      <x:c r="AB1383" s="87"/>
      <x:c r="AC1383" s="87"/>
      <x:c r="AD1383" s="87"/>
      <x:c r="AE1383" s="87"/>
      <x:c r="AF1383" s="87"/>
      <x:c r="AG1383" s="87"/>
      <x:c r="AH1383" s="87"/>
      <x:c r="AI1383" s="30"/>
      <x:c r="AJ1383" s="87" t="str">
        <x:v>master</x:v>
      </x:c>
      <x:c r="AK1383" s="87" t="str">
        <x:v>master-v0.81</x:v>
      </x:c>
      <x:c r="AL1383" s="87" t="str">
        <x:v>statgrad_master_base_v0_81_final(2).xlsx</x:v>
      </x:c>
      <x:c r="AM1383" s="87" t="str">
        <x:v>MATH_Mar_Prof_V2</x:v>
      </x:c>
      <x:c r="AN1383" s="87" t="n">
        <x:v>4</x:v>
      </x:c>
    </x:row>
    <x:row r="1384">
      <x:c r="A1384" s="87" t="n">
        <x:v>1383</x:v>
      </x:c>
      <x:c r="B1384" s="87" t="str">
        <x:v>MAR-MATH-P-V-8-004</x:v>
      </x:c>
      <x:c r="C1384" s="87" t="str">
        <x:v>СтатГрад</x:v>
      </x:c>
      <x:c r="D1384" s="87" t="str">
        <x:v>Март 2026</x:v>
      </x:c>
      <x:c r="E1384" s="87"/>
      <x:c r="F1384" s="87"/>
      <x:c r="G1384" s="87" t="str">
        <x:v>Математика</x:v>
      </x:c>
      <x:c r="H1384" s="87" t="str">
        <x:v>Профильный</x:v>
      </x:c>
      <x:c r="I1384" s="87" t="str">
        <x:v>ТР №4</x:v>
      </x:c>
      <x:c r="J1384" s="87" t="str">
        <x:v>МА2510410</x:v>
      </x:c>
      <x:c r="K1384" s="87" t="n">
        <x:v>4</x:v>
      </x:c>
      <x:c r="L1384" s="87" t="str">
        <x:v>Вероятность: три кости</x:v>
      </x:c>
      <x:c r="M1384" s="30" t="str">
        <x:v>Найти вероятность суммы 12 при броске трёх костей, округлить до сотых.</x:v>
      </x:c>
      <x:c r="N1384" s="30" t="str">
        <x:v>0,12</x:v>
      </x:c>
      <x:c r="O1384" s="30" t="str">
        <x:v>Благоприятных исходов 25 из 216; 25/216≈0,1157, округление даёт 0,12.</x:v>
      </x:c>
      <x:c r="P1384" s="30" t="str">
        <x:v>Благоприятных исходов 25 из 216; 25/216≈0,1157, округление даёт 0,12.</x:v>
      </x:c>
      <x:c r="Q1384" s="30"/>
      <x:c r="R1384" s="30" t="str">
        <x:v>Официальное задание + ключ архива + независимое решение</x:v>
      </x:c>
      <x:c r="S1384" s="30"/>
      <x:c r="T1384" s="30"/>
      <x:c r="U1384" s="30" t="str">
        <x:v>Расхождений не обнаружено.</x:v>
      </x:c>
      <x:c r="V1384" s="87" t="str">
        <x:v>VERIFIED</x:v>
      </x:c>
      <x:c r="W1384" s="87" t="str">
        <x:v>Официальный PDF, задание 4</x:v>
      </x:c>
      <x:c r="X1384" s="87"/>
      <x:c r="Y1384" s="87"/>
      <x:c r="Z1384" s="87"/>
      <x:c r="AA1384" s="87"/>
      <x:c r="AB1384" s="87"/>
      <x:c r="AC1384" s="87"/>
      <x:c r="AD1384" s="87"/>
      <x:c r="AE1384" s="87"/>
      <x:c r="AF1384" s="87"/>
      <x:c r="AG1384" s="87"/>
      <x:c r="AH1384" s="87"/>
      <x:c r="AI1384" s="30"/>
      <x:c r="AJ1384" s="87" t="str">
        <x:v>master</x:v>
      </x:c>
      <x:c r="AK1384" s="87" t="str">
        <x:v>master-v0.81</x:v>
      </x:c>
      <x:c r="AL1384" s="87" t="str">
        <x:v>statgrad_master_base_v0_81_final(2).xlsx</x:v>
      </x:c>
      <x:c r="AM1384" s="87" t="str">
        <x:v>MATH_Mar_Prof_V2</x:v>
      </x:c>
      <x:c r="AN1384" s="87" t="n">
        <x:v>5</x:v>
      </x:c>
    </x:row>
    <x:row r="1385">
      <x:c r="A1385" s="87" t="n">
        <x:v>1384</x:v>
      </x:c>
      <x:c r="B1385" s="87" t="str">
        <x:v>MAR-MATH-P-V-8-005</x:v>
      </x:c>
      <x:c r="C1385" s="87" t="str">
        <x:v>СтатГрад</x:v>
      </x:c>
      <x:c r="D1385" s="87" t="str">
        <x:v>Март 2026</x:v>
      </x:c>
      <x:c r="E1385" s="87"/>
      <x:c r="F1385" s="87"/>
      <x:c r="G1385" s="87" t="str">
        <x:v>Математика</x:v>
      </x:c>
      <x:c r="H1385" s="87" t="str">
        <x:v>Профильный</x:v>
      </x:c>
      <x:c r="I1385" s="87" t="str">
        <x:v>ТР №4</x:v>
      </x:c>
      <x:c r="J1385" s="87" t="str">
        <x:v>МА2510410</x:v>
      </x:c>
      <x:c r="K1385" s="87" t="n">
        <x:v>5</x:v>
      </x:c>
      <x:c r="L1385" s="87" t="str">
        <x:v>Полная вероятность</x:v>
      </x:c>
      <x:c r="M1385" s="30" t="str">
        <x:v>Фабрики дают 40% и 60% продукции, доли брака 2% и 4%.</x:v>
      </x:c>
      <x:c r="N1385" s="30" t="str">
        <x:v>0,032</x:v>
      </x:c>
      <x:c r="O1385" s="30" t="str">
        <x:v>0,4·0,02+0,6·0,04=0,032.</x:v>
      </x:c>
      <x:c r="P1385" s="30" t="str">
        <x:v>0,4·0,02+0,6·0,04=0,032.</x:v>
      </x:c>
      <x:c r="Q1385" s="30"/>
      <x:c r="R1385" s="30" t="str">
        <x:v>Официальное задание + ключ архива + независимое решение</x:v>
      </x:c>
      <x:c r="S1385" s="30"/>
      <x:c r="T1385" s="30"/>
      <x:c r="U1385" s="30" t="str">
        <x:v>Расхождений не обнаружено.</x:v>
      </x:c>
      <x:c r="V1385" s="87" t="str">
        <x:v>VERIFIED</x:v>
      </x:c>
      <x:c r="W1385" s="87" t="str">
        <x:v>Официальный PDF, задание 5</x:v>
      </x:c>
      <x:c r="X1385" s="87"/>
      <x:c r="Y1385" s="87"/>
      <x:c r="Z1385" s="87"/>
      <x:c r="AA1385" s="87"/>
      <x:c r="AB1385" s="87"/>
      <x:c r="AC1385" s="87"/>
      <x:c r="AD1385" s="87"/>
      <x:c r="AE1385" s="87"/>
      <x:c r="AF1385" s="87"/>
      <x:c r="AG1385" s="87"/>
      <x:c r="AH1385" s="87"/>
      <x:c r="AI1385" s="30"/>
      <x:c r="AJ1385" s="87" t="str">
        <x:v>master</x:v>
      </x:c>
      <x:c r="AK1385" s="87" t="str">
        <x:v>master-v0.81</x:v>
      </x:c>
      <x:c r="AL1385" s="87" t="str">
        <x:v>statgrad_master_base_v0_81_final(2).xlsx</x:v>
      </x:c>
      <x:c r="AM1385" s="87" t="str">
        <x:v>MATH_Mar_Prof_V2</x:v>
      </x:c>
      <x:c r="AN1385" s="87" t="n">
        <x:v>6</x:v>
      </x:c>
    </x:row>
    <x:row r="1386">
      <x:c r="A1386" s="87" t="n">
        <x:v>1385</x:v>
      </x:c>
      <x:c r="B1386" s="87" t="str">
        <x:v>MAR-MATH-P-V-8-006</x:v>
      </x:c>
      <x:c r="C1386" s="87" t="str">
        <x:v>СтатГрад</x:v>
      </x:c>
      <x:c r="D1386" s="87" t="str">
        <x:v>Март 2026</x:v>
      </x:c>
      <x:c r="E1386" s="87"/>
      <x:c r="F1386" s="87"/>
      <x:c r="G1386" s="87" t="str">
        <x:v>Математика</x:v>
      </x:c>
      <x:c r="H1386" s="87" t="str">
        <x:v>Профильный</x:v>
      </x:c>
      <x:c r="I1386" s="87" t="str">
        <x:v>ТР №4</x:v>
      </x:c>
      <x:c r="J1386" s="87" t="str">
        <x:v>МА2510410</x:v>
      </x:c>
      <x:c r="K1386" s="87" t="n">
        <x:v>6</x:v>
      </x:c>
      <x:c r="L1386" s="87" t="str">
        <x:v>Логарифмическое уравнение</x:v>
      </x:c>
      <x:c r="M1386" s="30" t="str">
        <x:v>Решить log₅(6+7x)=log₅(4+x)+1.</x:v>
      </x:c>
      <x:c r="N1386" s="30" t="str">
        <x:v>7</x:v>
      </x:c>
      <x:c r="O1386" s="30" t="str">
        <x:v>6+7x=5(4+x), откуда 2x=14 и x=7.</x:v>
      </x:c>
      <x:c r="P1386" s="30" t="str">
        <x:v>6+7x=5(4+x), откуда 2x=14 и x=7.</x:v>
      </x:c>
      <x:c r="Q1386" s="30"/>
      <x:c r="R1386" s="30" t="str">
        <x:v>Официальное задание + ключ архива + независимое решение</x:v>
      </x:c>
      <x:c r="S1386" s="30"/>
      <x:c r="T1386" s="30"/>
      <x:c r="U1386" s="30" t="str">
        <x:v>Расхождений не обнаружено.</x:v>
      </x:c>
      <x:c r="V1386" s="87" t="str">
        <x:v>VERIFIED</x:v>
      </x:c>
      <x:c r="W1386" s="87" t="str">
        <x:v>Официальный PDF, задание 6</x:v>
      </x:c>
      <x:c r="X1386" s="87"/>
      <x:c r="Y1386" s="87"/>
      <x:c r="Z1386" s="87"/>
      <x:c r="AA1386" s="87"/>
      <x:c r="AB1386" s="87"/>
      <x:c r="AC1386" s="87"/>
      <x:c r="AD1386" s="87"/>
      <x:c r="AE1386" s="87"/>
      <x:c r="AF1386" s="87"/>
      <x:c r="AG1386" s="87"/>
      <x:c r="AH1386" s="87"/>
      <x:c r="AI1386" s="30"/>
      <x:c r="AJ1386" s="87" t="str">
        <x:v>master</x:v>
      </x:c>
      <x:c r="AK1386" s="87" t="str">
        <x:v>master-v0.81</x:v>
      </x:c>
      <x:c r="AL1386" s="87" t="str">
        <x:v>statgrad_master_base_v0_81_final(2).xlsx</x:v>
      </x:c>
      <x:c r="AM1386" s="87" t="str">
        <x:v>MATH_Mar_Prof_V2</x:v>
      </x:c>
      <x:c r="AN1386" s="87" t="n">
        <x:v>7</x:v>
      </x:c>
    </x:row>
    <x:row r="1387">
      <x:c r="A1387" s="87" t="n">
        <x:v>1386</x:v>
      </x:c>
      <x:c r="B1387" s="87" t="str">
        <x:v>MAR-MATH-P-V-8-007</x:v>
      </x:c>
      <x:c r="C1387" s="87" t="str">
        <x:v>СтатГрад</x:v>
      </x:c>
      <x:c r="D1387" s="87" t="str">
        <x:v>Март 2026</x:v>
      </x:c>
      <x:c r="E1387" s="87"/>
      <x:c r="F1387" s="87"/>
      <x:c r="G1387" s="87" t="str">
        <x:v>Математика</x:v>
      </x:c>
      <x:c r="H1387" s="87" t="str">
        <x:v>Профильный</x:v>
      </x:c>
      <x:c r="I1387" s="87" t="str">
        <x:v>ТР №4</x:v>
      </x:c>
      <x:c r="J1387" s="87" t="str">
        <x:v>МА2510410</x:v>
      </x:c>
      <x:c r="K1387" s="87" t="n">
        <x:v>7</x:v>
      </x:c>
      <x:c r="L1387" s="87" t="str">
        <x:v>Степени</x:v>
      </x:c>
      <x:c r="M1387" s="30" t="str">
        <x:v>Вычислить 4^0,92·8^0,72.</x:v>
      </x:c>
      <x:c r="N1387" s="30" t="str">
        <x:v>16</x:v>
      </x:c>
      <x:c r="O1387" s="30" t="str">
        <x:v>Переход к основанию 2: показатель 2·0,92+3·0,72=4; результат 2⁴=16.</x:v>
      </x:c>
      <x:c r="P1387" s="30" t="str">
        <x:v>Переход к основанию 2: показатель 2·0,92+3·0,72=4; результат 2⁴=16.</x:v>
      </x:c>
      <x:c r="Q1387" s="30"/>
      <x:c r="R1387" s="30" t="str">
        <x:v>Официальное задание + ключ архива + независимое решение</x:v>
      </x:c>
      <x:c r="S1387" s="30"/>
      <x:c r="T1387" s="30"/>
      <x:c r="U1387" s="30" t="str">
        <x:v>Расхождений не обнаружено.</x:v>
      </x:c>
      <x:c r="V1387" s="87" t="str">
        <x:v>VERIFIED</x:v>
      </x:c>
      <x:c r="W1387" s="87" t="str">
        <x:v>Официальный PDF, задание 7</x:v>
      </x:c>
      <x:c r="X1387" s="87"/>
      <x:c r="Y1387" s="87"/>
      <x:c r="Z1387" s="87"/>
      <x:c r="AA1387" s="87"/>
      <x:c r="AB1387" s="87"/>
      <x:c r="AC1387" s="87"/>
      <x:c r="AD1387" s="87"/>
      <x:c r="AE1387" s="87"/>
      <x:c r="AF1387" s="87"/>
      <x:c r="AG1387" s="87"/>
      <x:c r="AH1387" s="87"/>
      <x:c r="AI1387" s="30"/>
      <x:c r="AJ1387" s="87" t="str">
        <x:v>master</x:v>
      </x:c>
      <x:c r="AK1387" s="87" t="str">
        <x:v>master-v0.81</x:v>
      </x:c>
      <x:c r="AL1387" s="87" t="str">
        <x:v>statgrad_master_base_v0_81_final(2).xlsx</x:v>
      </x:c>
      <x:c r="AM1387" s="87" t="str">
        <x:v>MATH_Mar_Prof_V2</x:v>
      </x:c>
      <x:c r="AN1387" s="87" t="n">
        <x:v>8</x:v>
      </x:c>
    </x:row>
    <x:row r="1388">
      <x:c r="A1388" s="87" t="n">
        <x:v>1387</x:v>
      </x:c>
      <x:c r="B1388" s="87" t="str">
        <x:v>MAR-MATH-P-V-8-008</x:v>
      </x:c>
      <x:c r="C1388" s="87" t="str">
        <x:v>СтатГрад</x:v>
      </x:c>
      <x:c r="D1388" s="87" t="str">
        <x:v>Март 2026</x:v>
      </x:c>
      <x:c r="E1388" s="87"/>
      <x:c r="F1388" s="87"/>
      <x:c r="G1388" s="87" t="str">
        <x:v>Математика</x:v>
      </x:c>
      <x:c r="H1388" s="87" t="str">
        <x:v>Профильный</x:v>
      </x:c>
      <x:c r="I1388" s="87" t="str">
        <x:v>ТР №4</x:v>
      </x:c>
      <x:c r="J1388" s="87" t="str">
        <x:v>МА2510410</x:v>
      </x:c>
      <x:c r="K1388" s="87" t="n">
        <x:v>8</x:v>
      </x:c>
      <x:c r="L1388" s="87" t="str">
        <x:v>Производная и монотонность</x:v>
      </x:c>
      <x:c r="M1388" s="30" t="str">
        <x:v>По графику f′ определить число отмеченных точек на промежутках возрастания f.</x:v>
      </x:c>
      <x:c r="N1388" s="30" t="str">
        <x:v>2</x:v>
      </x:c>
      <x:c r="O1388" s="30" t="str">
        <x:v>Положительные значения производной имеют только x₂ и x₃.</x:v>
      </x:c>
      <x:c r="P1388" s="30" t="str">
        <x:v>Положительные значения производной имеют только x₂ и x₃.</x:v>
      </x:c>
      <x:c r="Q1388" s="30"/>
      <x:c r="R1388" s="30" t="str">
        <x:v>Официальное задание + ключ архива + независимое решение</x:v>
      </x:c>
      <x:c r="S1388" s="30"/>
      <x:c r="T1388" s="30"/>
      <x:c r="U1388" s="30" t="str">
        <x:v>Расхождений не обнаружено.</x:v>
      </x:c>
      <x:c r="V1388" s="87" t="str">
        <x:v>VERIFIED</x:v>
      </x:c>
      <x:c r="W1388" s="87" t="str">
        <x:v>Официальный PDF, задание 8</x:v>
      </x:c>
      <x:c r="X1388" s="87"/>
      <x:c r="Y1388" s="87"/>
      <x:c r="Z1388" s="87"/>
      <x:c r="AA1388" s="87"/>
      <x:c r="AB1388" s="87"/>
      <x:c r="AC1388" s="87"/>
      <x:c r="AD1388" s="87"/>
      <x:c r="AE1388" s="87"/>
      <x:c r="AF1388" s="87"/>
      <x:c r="AG1388" s="87"/>
      <x:c r="AH1388" s="87"/>
      <x:c r="AI1388" s="30"/>
      <x:c r="AJ1388" s="87" t="str">
        <x:v>master</x:v>
      </x:c>
      <x:c r="AK1388" s="87" t="str">
        <x:v>master-v0.81</x:v>
      </x:c>
      <x:c r="AL1388" s="87" t="str">
        <x:v>statgrad_master_base_v0_81_final(2).xlsx</x:v>
      </x:c>
      <x:c r="AM1388" s="87" t="str">
        <x:v>MATH_Mar_Prof_V2</x:v>
      </x:c>
      <x:c r="AN1388" s="87" t="n">
        <x:v>9</x:v>
      </x:c>
    </x:row>
    <x:row r="1389">
      <x:c r="A1389" s="87" t="n">
        <x:v>1388</x:v>
      </x:c>
      <x:c r="B1389" s="87" t="str">
        <x:v>MAR-MATH-P-V-8-009</x:v>
      </x:c>
      <x:c r="C1389" s="87" t="str">
        <x:v>СтатГрад</x:v>
      </x:c>
      <x:c r="D1389" s="87" t="str">
        <x:v>Март 2026</x:v>
      </x:c>
      <x:c r="E1389" s="87"/>
      <x:c r="F1389" s="87"/>
      <x:c r="G1389" s="87" t="str">
        <x:v>Математика</x:v>
      </x:c>
      <x:c r="H1389" s="87" t="str">
        <x:v>Профильный</x:v>
      </x:c>
      <x:c r="I1389" s="87" t="str">
        <x:v>ТР №4</x:v>
      </x:c>
      <x:c r="J1389" s="87" t="str">
        <x:v>МА2510410</x:v>
      </x:c>
      <x:c r="K1389" s="87" t="n">
        <x:v>9</x:v>
      </x:c>
      <x:c r="L1389" s="87" t="str">
        <x:v>Прикладная логарифмическая модель</x:v>
      </x:c>
      <x:c r="M1389" s="30" t="str">
        <x:v>Найти конечную температуру воды в радиаторе при заданных параметрах и длине 81 м.</x:v>
      </x:c>
      <x:c r="N1389" s="30" t="str">
        <x:v>37</x:v>
      </x:c>
      <x:c r="O1389" s="30" t="str">
        <x:v>Коэффициент αcm/γ=81; log₂(24/(T−25))=1, поэтому T=37.</x:v>
      </x:c>
      <x:c r="P1389" s="30" t="str">
        <x:v>Коэффициент αcm/γ=81; log₂(24/(T−25))=1, поэтому T=37.</x:v>
      </x:c>
      <x:c r="Q1389" s="30"/>
      <x:c r="R1389" s="30" t="str">
        <x:v>Официальное задание + ключ архива + независимое решение</x:v>
      </x:c>
      <x:c r="S1389" s="30"/>
      <x:c r="T1389" s="30"/>
      <x:c r="U1389" s="30" t="str">
        <x:v>Расхождений не обнаружено.</x:v>
      </x:c>
      <x:c r="V1389" s="87" t="str">
        <x:v>VERIFIED</x:v>
      </x:c>
      <x:c r="W1389" s="87" t="str">
        <x:v>Официальный PDF, задание 9</x:v>
      </x:c>
      <x:c r="X1389" s="87"/>
      <x:c r="Y1389" s="87"/>
      <x:c r="Z1389" s="87"/>
      <x:c r="AA1389" s="87"/>
      <x:c r="AB1389" s="87"/>
      <x:c r="AC1389" s="87"/>
      <x:c r="AD1389" s="87"/>
      <x:c r="AE1389" s="87"/>
      <x:c r="AF1389" s="87"/>
      <x:c r="AG1389" s="87"/>
      <x:c r="AH1389" s="87"/>
      <x:c r="AI1389" s="30"/>
      <x:c r="AJ1389" s="87" t="str">
        <x:v>master</x:v>
      </x:c>
      <x:c r="AK1389" s="87" t="str">
        <x:v>master-v0.81</x:v>
      </x:c>
      <x:c r="AL1389" s="87" t="str">
        <x:v>statgrad_master_base_v0_81_final(2).xlsx</x:v>
      </x:c>
      <x:c r="AM1389" s="87" t="str">
        <x:v>MATH_Mar_Prof_V2</x:v>
      </x:c>
      <x:c r="AN1389" s="87" t="n">
        <x:v>10</x:v>
      </x:c>
    </x:row>
    <x:row r="1390">
      <x:c r="A1390" s="87" t="n">
        <x:v>1389</x:v>
      </x:c>
      <x:c r="B1390" s="87" t="str">
        <x:v>MAR-MATH-P-V-8-010</x:v>
      </x:c>
      <x:c r="C1390" s="87" t="str">
        <x:v>СтатГрад</x:v>
      </x:c>
      <x:c r="D1390" s="87" t="str">
        <x:v>Март 2026</x:v>
      </x:c>
      <x:c r="E1390" s="87"/>
      <x:c r="F1390" s="87"/>
      <x:c r="G1390" s="87" t="str">
        <x:v>Математика</x:v>
      </x:c>
      <x:c r="H1390" s="87" t="str">
        <x:v>Профильный</x:v>
      </x:c>
      <x:c r="I1390" s="87" t="str">
        <x:v>ТР №4</x:v>
      </x:c>
      <x:c r="J1390" s="87" t="str">
        <x:v>МА2510410</x:v>
      </x:c>
      <x:c r="K1390" s="87" t="n">
        <x:v>10</x:v>
      </x:c>
      <x:c r="L1390" s="87" t="str">
        <x:v>Арифметическая прогрессия</x:v>
      </x:c>
      <x:c r="M1390" s="30" t="str">
        <x:v>Турист прошёл 255 км за 10 дней, начав с 12 км. Найти путь за четвёртый день.</x:v>
      </x:c>
      <x:c r="N1390" s="30" t="str">
        <x:v>21</x:v>
      </x:c>
      <x:c r="O1390" s="30" t="str">
        <x:v>255=5(24+9d), откуда d=3; a₄=12+3·3=21.</x:v>
      </x:c>
      <x:c r="P1390" s="30" t="str">
        <x:v>255=5(24+9d), откуда d=3; a₄=12+3·3=21.</x:v>
      </x:c>
      <x:c r="Q1390" s="30"/>
      <x:c r="R1390" s="30" t="str">
        <x:v>Официальное задание + ключ архива + независимое решение</x:v>
      </x:c>
      <x:c r="S1390" s="30"/>
      <x:c r="T1390" s="30"/>
      <x:c r="U1390" s="30" t="str">
        <x:v>Расхождений не обнаружено.</x:v>
      </x:c>
      <x:c r="V1390" s="87" t="str">
        <x:v>VERIFIED</x:v>
      </x:c>
      <x:c r="W1390" s="87" t="str">
        <x:v>Официальный PDF, задание 10</x:v>
      </x:c>
      <x:c r="X1390" s="87"/>
      <x:c r="Y1390" s="87"/>
      <x:c r="Z1390" s="87"/>
      <x:c r="AA1390" s="87"/>
      <x:c r="AB1390" s="87"/>
      <x:c r="AC1390" s="87"/>
      <x:c r="AD1390" s="87"/>
      <x:c r="AE1390" s="87"/>
      <x:c r="AF1390" s="87"/>
      <x:c r="AG1390" s="87"/>
      <x:c r="AH1390" s="87"/>
      <x:c r="AI1390" s="30"/>
      <x:c r="AJ1390" s="87" t="str">
        <x:v>master</x:v>
      </x:c>
      <x:c r="AK1390" s="87" t="str">
        <x:v>master-v0.81</x:v>
      </x:c>
      <x:c r="AL1390" s="87" t="str">
        <x:v>statgrad_master_base_v0_81_final(2).xlsx</x:v>
      </x:c>
      <x:c r="AM1390" s="87" t="str">
        <x:v>MATH_Mar_Prof_V2</x:v>
      </x:c>
      <x:c r="AN1390" s="87" t="n">
        <x:v>11</x:v>
      </x:c>
    </x:row>
    <x:row r="1391">
      <x:c r="A1391" s="87" t="n">
        <x:v>1390</x:v>
      </x:c>
      <x:c r="B1391" s="87" t="str">
        <x:v>MAR-MATH-P-V-8-011</x:v>
      </x:c>
      <x:c r="C1391" s="87" t="str">
        <x:v>СтатГрад</x:v>
      </x:c>
      <x:c r="D1391" s="87" t="str">
        <x:v>Март 2026</x:v>
      </x:c>
      <x:c r="E1391" s="87"/>
      <x:c r="F1391" s="87"/>
      <x:c r="G1391" s="87" t="str">
        <x:v>Математика</x:v>
      </x:c>
      <x:c r="H1391" s="87" t="str">
        <x:v>Профильный</x:v>
      </x:c>
      <x:c r="I1391" s="87" t="str">
        <x:v>ТР №4</x:v>
      </x:c>
      <x:c r="J1391" s="87" t="str">
        <x:v>МА2510410</x:v>
      </x:c>
      <x:c r="K1391" s="87" t="n">
        <x:v>11</x:v>
      </x:c>
      <x:c r="L1391" s="87" t="str">
        <x:v>Линейные функции по графику</x:v>
      </x:c>
      <x:c r="M1391" s="30" t="str">
        <x:v>Найти ординату пересечения двух прямых.</x:v>
      </x:c>
      <x:c r="N1391" s="30" t="str">
        <x:v>−11</x:v>
      </x:c>
      <x:c r="O1391" s="30" t="str">
        <x:v>Уравнения по отмеченным точкам сетки пересекаются при y=−11.</x:v>
      </x:c>
      <x:c r="P1391" s="30" t="str">
        <x:v>Уравнения по отмеченным точкам сетки пересекаются при y=−11.</x:v>
      </x:c>
      <x:c r="Q1391" s="30"/>
      <x:c r="R1391" s="30" t="str">
        <x:v>Официальное задание + ключ архива + независимое решение</x:v>
      </x:c>
      <x:c r="S1391" s="30"/>
      <x:c r="T1391" s="30"/>
      <x:c r="U1391" s="30" t="str">
        <x:v>Расхождений не обнаружено.</x:v>
      </x:c>
      <x:c r="V1391" s="87" t="str">
        <x:v>VERIFIED</x:v>
      </x:c>
      <x:c r="W1391" s="87" t="str">
        <x:v>Официальный PDF, задание 11</x:v>
      </x:c>
      <x:c r="X1391" s="87"/>
      <x:c r="Y1391" s="87"/>
      <x:c r="Z1391" s="87"/>
      <x:c r="AA1391" s="87"/>
      <x:c r="AB1391" s="87"/>
      <x:c r="AC1391" s="87"/>
      <x:c r="AD1391" s="87"/>
      <x:c r="AE1391" s="87"/>
      <x:c r="AF1391" s="87"/>
      <x:c r="AG1391" s="87"/>
      <x:c r="AH1391" s="87"/>
      <x:c r="AI1391" s="30"/>
      <x:c r="AJ1391" s="87" t="str">
        <x:v>master</x:v>
      </x:c>
      <x:c r="AK1391" s="87" t="str">
        <x:v>master-v0.81</x:v>
      </x:c>
      <x:c r="AL1391" s="87" t="str">
        <x:v>statgrad_master_base_v0_81_final(2).xlsx</x:v>
      </x:c>
      <x:c r="AM1391" s="87" t="str">
        <x:v>MATH_Mar_Prof_V2</x:v>
      </x:c>
      <x:c r="AN1391" s="87" t="n">
        <x:v>12</x:v>
      </x:c>
    </x:row>
    <x:row r="1392">
      <x:c r="A1392" s="87" t="n">
        <x:v>1391</x:v>
      </x:c>
      <x:c r="B1392" s="87" t="str">
        <x:v>MAR-MATH-P-V-8-012</x:v>
      </x:c>
      <x:c r="C1392" s="87" t="str">
        <x:v>СтатГрад</x:v>
      </x:c>
      <x:c r="D1392" s="87" t="str">
        <x:v>Март 2026</x:v>
      </x:c>
      <x:c r="E1392" s="87"/>
      <x:c r="F1392" s="87"/>
      <x:c r="G1392" s="87" t="str">
        <x:v>Математика</x:v>
      </x:c>
      <x:c r="H1392" s="87" t="str">
        <x:v>Профильный</x:v>
      </x:c>
      <x:c r="I1392" s="87" t="str">
        <x:v>ТР №4</x:v>
      </x:c>
      <x:c r="J1392" s="87" t="str">
        <x:v>МА2510410</x:v>
      </x:c>
      <x:c r="K1392" s="87" t="n">
        <x:v>12</x:v>
      </x:c>
      <x:c r="L1392" s="87" t="str">
        <x:v>Экстремум функции</x:v>
      </x:c>
      <x:c r="M1392" s="30" t="str">
        <x:v>Найти точку минимума y=(x+8)²e^(x−34).</x:v>
      </x:c>
      <x:c r="N1392" s="30" t="str">
        <x:v>−8</x:v>
      </x:c>
      <x:c r="O1392" s="30" t="str">
        <x:v>Функция неотрицательна и равна нулю при x=−8.</x:v>
      </x:c>
      <x:c r="P1392" s="30" t="str">
        <x:v>Функция неотрицательна и равна нулю при x=−8.</x:v>
      </x:c>
      <x:c r="Q1392" s="30"/>
      <x:c r="R1392" s="30" t="str">
        <x:v>Официальное задание + ключ архива + независимое решение</x:v>
      </x:c>
      <x:c r="S1392" s="30"/>
      <x:c r="T1392" s="30"/>
      <x:c r="U1392" s="30" t="str">
        <x:v>Расхождений не обнаружено.</x:v>
      </x:c>
      <x:c r="V1392" s="87" t="str">
        <x:v>VERIFIED</x:v>
      </x:c>
      <x:c r="W1392" s="87" t="str">
        <x:v>Официальный PDF, задание 12</x:v>
      </x:c>
      <x:c r="X1392" s="87"/>
      <x:c r="Y1392" s="87"/>
      <x:c r="Z1392" s="87"/>
      <x:c r="AA1392" s="87"/>
      <x:c r="AB1392" s="87"/>
      <x:c r="AC1392" s="87"/>
      <x:c r="AD1392" s="87"/>
      <x:c r="AE1392" s="87"/>
      <x:c r="AF1392" s="87"/>
      <x:c r="AG1392" s="87"/>
      <x:c r="AH1392" s="87"/>
      <x:c r="AI1392" s="30"/>
      <x:c r="AJ1392" s="87" t="str">
        <x:v>master</x:v>
      </x:c>
      <x:c r="AK1392" s="87" t="str">
        <x:v>master-v0.81</x:v>
      </x:c>
      <x:c r="AL1392" s="87" t="str">
        <x:v>statgrad_master_base_v0_81_final(2).xlsx</x:v>
      </x:c>
      <x:c r="AM1392" s="87" t="str">
        <x:v>MATH_Mar_Prof_V2</x:v>
      </x:c>
      <x:c r="AN1392" s="87" t="n">
        <x:v>13</x:v>
      </x:c>
    </x:row>
    <x:row r="1393">
      <x:c r="A1393" s="87" t="n">
        <x:v>1392</x:v>
      </x:c>
      <x:c r="B1393" s="87" t="str">
        <x:v>MAR-MATH-P-V-8-013</x:v>
      </x:c>
      <x:c r="C1393" s="87" t="str">
        <x:v>СтатГрад</x:v>
      </x:c>
      <x:c r="D1393" s="87" t="str">
        <x:v>Март 2026</x:v>
      </x:c>
      <x:c r="E1393" s="87"/>
      <x:c r="F1393" s="87"/>
      <x:c r="G1393" s="87" t="str">
        <x:v>Математика</x:v>
      </x:c>
      <x:c r="H1393" s="87" t="str">
        <x:v>Профильный</x:v>
      </x:c>
      <x:c r="I1393" s="87" t="str">
        <x:v>ТР №4</x:v>
      </x:c>
      <x:c r="J1393" s="87" t="str">
        <x:v>МА2510410</x:v>
      </x:c>
      <x:c r="K1393" s="87" t="n">
        <x:v>13</x:v>
      </x:c>
      <x:c r="L1393" s="87" t="str">
        <x:v>Тригонометрическое уравнение</x:v>
      </x:c>
      <x:c r="M1393" s="30" t="str">
        <x:v>Решить 2cos(x+π/4)+√2sinx=2sin(x−π/4)+√2cosx; отобрать корни на [−5π;−4π].</x:v>
      </x:c>
      <x:c r="N1393" s="30" t="str">
        <x:v>а) x=π/4+πn, n∈Z; б) x=−19π/4</x:v>
      </x:c>
      <x:c r="O1393" s="30" t="str">
        <x:v>После преобразований cosx=sinx; единственный корень заданного отрезка −19π/4.</x:v>
      </x:c>
      <x:c r="P1393" s="30" t="str">
        <x:v>После преобразований cosx=sinx; единственный корень заданного отрезка −19π/4.</x:v>
      </x:c>
      <x:c r="Q1393" s="30"/>
      <x:c r="R1393" s="30" t="str">
        <x:v>Официальное задание + официальный критерий архива</x:v>
      </x:c>
      <x:c r="S1393" s="30"/>
      <x:c r="T1393" s="30"/>
      <x:c r="U1393" s="30" t="str">
        <x:v>Расхождений не обнаружено.</x:v>
      </x:c>
      <x:c r="V1393" s="87" t="str">
        <x:v>VERIFIED</x:v>
      </x:c>
      <x:c r="W1393" s="87" t="str">
        <x:v>Официальный PDF, задание 13</x:v>
      </x:c>
      <x:c r="X1393" s="87"/>
      <x:c r="Y1393" s="87"/>
      <x:c r="Z1393" s="87"/>
      <x:c r="AA1393" s="87"/>
      <x:c r="AB1393" s="87"/>
      <x:c r="AC1393" s="87"/>
      <x:c r="AD1393" s="87"/>
      <x:c r="AE1393" s="87"/>
      <x:c r="AF1393" s="87"/>
      <x:c r="AG1393" s="87"/>
      <x:c r="AH1393" s="87"/>
      <x:c r="AI1393" s="30"/>
      <x:c r="AJ1393" s="87" t="str">
        <x:v>master</x:v>
      </x:c>
      <x:c r="AK1393" s="87" t="str">
        <x:v>master-v0.81</x:v>
      </x:c>
      <x:c r="AL1393" s="87" t="str">
        <x:v>statgrad_master_base_v0_81_final(2).xlsx</x:v>
      </x:c>
      <x:c r="AM1393" s="87" t="str">
        <x:v>MATH_Mar_Prof_V2</x:v>
      </x:c>
      <x:c r="AN1393" s="87" t="n">
        <x:v>14</x:v>
      </x:c>
    </x:row>
    <x:row r="1394">
      <x:c r="A1394" s="87" t="n">
        <x:v>1393</x:v>
      </x:c>
      <x:c r="B1394" s="87" t="str">
        <x:v>MAR-MATH-P-V-8-014</x:v>
      </x:c>
      <x:c r="C1394" s="87" t="str">
        <x:v>СтатГрад</x:v>
      </x:c>
      <x:c r="D1394" s="87" t="str">
        <x:v>Март 2026</x:v>
      </x:c>
      <x:c r="E1394" s="87"/>
      <x:c r="F1394" s="87"/>
      <x:c r="G1394" s="87" t="str">
        <x:v>Математика</x:v>
      </x:c>
      <x:c r="H1394" s="87" t="str">
        <x:v>Профильный</x:v>
      </x:c>
      <x:c r="I1394" s="87" t="str">
        <x:v>ТР №4</x:v>
      </x:c>
      <x:c r="J1394" s="87" t="str">
        <x:v>МА2510410</x:v>
      </x:c>
      <x:c r="K1394" s="87" t="n">
        <x:v>14</x:v>
      </x:c>
      <x:c r="L1394" s="87" t="str">
        <x:v>Стереометрия: цилиндр</x:v>
      </x:c>
      <x:c r="M1394" s="30" t="str">
        <x:v>Доказать ∠ABC₁=90° и найти боковую поверхность при AB=21, BB₁=13, B₁C₁=28.</x:v>
      </x:c>
      <x:c r="N1394" s="30" t="str">
        <x:v>а) ∠ABC₁=90°; б) 455π</x:v>
      </x:c>
      <x:c r="O1394" s="30" t="str">
        <x:v>AC — диаметр основания, AC=√(21²+28²)=35. AB перпендикулярна плоскости BCC₁; Sбок=π·35·13=455π.</x:v>
      </x:c>
      <x:c r="P1394" s="30" t="str">
        <x:v>AC — диаметр основания, AC=√(21²+28²)=35. AB перпендикулярна плоскости BCC₁; Sбок=π·35·13=455π.</x:v>
      </x:c>
      <x:c r="Q1394" s="30"/>
      <x:c r="R1394" s="30" t="str">
        <x:v>Официальное задание + официальный критерий архива</x:v>
      </x:c>
      <x:c r="S1394" s="30"/>
      <x:c r="T1394" s="30"/>
      <x:c r="U1394" s="30" t="str">
        <x:v>Расхождений не обнаружено.</x:v>
      </x:c>
      <x:c r="V1394" s="87" t="str">
        <x:v>VERIFIED</x:v>
      </x:c>
      <x:c r="W1394" s="87" t="str">
        <x:v>Официальный PDF, задание 14</x:v>
      </x:c>
      <x:c r="X1394" s="87"/>
      <x:c r="Y1394" s="87"/>
      <x:c r="Z1394" s="87"/>
      <x:c r="AA1394" s="87"/>
      <x:c r="AB1394" s="87"/>
      <x:c r="AC1394" s="87"/>
      <x:c r="AD1394" s="87"/>
      <x:c r="AE1394" s="87"/>
      <x:c r="AF1394" s="87"/>
      <x:c r="AG1394" s="87"/>
      <x:c r="AH1394" s="87"/>
      <x:c r="AI1394" s="30"/>
      <x:c r="AJ1394" s="87" t="str">
        <x:v>master</x:v>
      </x:c>
      <x:c r="AK1394" s="87" t="str">
        <x:v>master-v0.81</x:v>
      </x:c>
      <x:c r="AL1394" s="87" t="str">
        <x:v>statgrad_master_base_v0_81_final(2).xlsx</x:v>
      </x:c>
      <x:c r="AM1394" s="87" t="str">
        <x:v>MATH_Mar_Prof_V2</x:v>
      </x:c>
      <x:c r="AN1394" s="87" t="n">
        <x:v>15</x:v>
      </x:c>
    </x:row>
    <x:row r="1395">
      <x:c r="A1395" s="87" t="n">
        <x:v>1394</x:v>
      </x:c>
      <x:c r="B1395" s="87" t="str">
        <x:v>MAR-MATH-P-V-8-015</x:v>
      </x:c>
      <x:c r="C1395" s="87" t="str">
        <x:v>СтатГрад</x:v>
      </x:c>
      <x:c r="D1395" s="87" t="str">
        <x:v>Март 2026</x:v>
      </x:c>
      <x:c r="E1395" s="87"/>
      <x:c r="F1395" s="87"/>
      <x:c r="G1395" s="87" t="str">
        <x:v>Математика</x:v>
      </x:c>
      <x:c r="H1395" s="87" t="str">
        <x:v>Профильный</x:v>
      </x:c>
      <x:c r="I1395" s="87" t="str">
        <x:v>ТР №4</x:v>
      </x:c>
      <x:c r="J1395" s="87" t="str">
        <x:v>МА2510410</x:v>
      </x:c>
      <x:c r="K1395" s="87" t="n">
        <x:v>15</x:v>
      </x:c>
      <x:c r="L1395" s="87" t="str">
        <x:v>Иррациональное неравенство</x:v>
      </x:c>
      <x:c r="M1395" s="30" t="str">
        <x:v>Решить √((x−4)²−x²)+√(x+4)≥√(4x+16).</x:v>
      </x:c>
      <x:c r="N1395" s="30" t="str">
        <x:v>[−4; 4/3]</x:v>
      </x:c>
      <x:c r="O1395" s="30" t="str">
        <x:v>После сведения к √(16−8x)≥√(x+4) получаем область x≥−4 и 16−8x≥x+4, то есть x≤4/3.</x:v>
      </x:c>
      <x:c r="P1395" s="30" t="str">
        <x:v>После сведения к √(16−8x)≥√(x+4) получаем область x≥−4 и 16−8x≥x+4, то есть x≤4/3.</x:v>
      </x:c>
      <x:c r="Q1395" s="30"/>
      <x:c r="R1395" s="30" t="str">
        <x:v>Официальное задание + официальный критерий архива</x:v>
      </x:c>
      <x:c r="S1395" s="30"/>
      <x:c r="T1395" s="30"/>
      <x:c r="U1395" s="30" t="str">
        <x:v>Расхождений не обнаружено.</x:v>
      </x:c>
      <x:c r="V1395" s="87" t="str">
        <x:v>VERIFIED</x:v>
      </x:c>
      <x:c r="W1395" s="87" t="str">
        <x:v>Официальный PDF, задание 15</x:v>
      </x:c>
      <x:c r="X1395" s="87"/>
      <x:c r="Y1395" s="87"/>
      <x:c r="Z1395" s="87"/>
      <x:c r="AA1395" s="87"/>
      <x:c r="AB1395" s="87"/>
      <x:c r="AC1395" s="87"/>
      <x:c r="AD1395" s="87"/>
      <x:c r="AE1395" s="87"/>
      <x:c r="AF1395" s="87"/>
      <x:c r="AG1395" s="87"/>
      <x:c r="AH1395" s="87"/>
      <x:c r="AI1395" s="30"/>
      <x:c r="AJ1395" s="87" t="str">
        <x:v>master</x:v>
      </x:c>
      <x:c r="AK1395" s="87" t="str">
        <x:v>master-v0.81</x:v>
      </x:c>
      <x:c r="AL1395" s="87" t="str">
        <x:v>statgrad_master_base_v0_81_final(2).xlsx</x:v>
      </x:c>
      <x:c r="AM1395" s="87" t="str">
        <x:v>MATH_Mar_Prof_V2</x:v>
      </x:c>
      <x:c r="AN1395" s="87" t="n">
        <x:v>16</x:v>
      </x:c>
    </x:row>
    <x:row r="1396">
      <x:c r="A1396" s="87" t="n">
        <x:v>1395</x:v>
      </x:c>
      <x:c r="B1396" s="87" t="str">
        <x:v>MAR-MATH-P-V-8-016</x:v>
      </x:c>
      <x:c r="C1396" s="87" t="str">
        <x:v>СтатГрад</x:v>
      </x:c>
      <x:c r="D1396" s="87" t="str">
        <x:v>Март 2026</x:v>
      </x:c>
      <x:c r="E1396" s="87"/>
      <x:c r="F1396" s="87"/>
      <x:c r="G1396" s="87" t="str">
        <x:v>Математика</x:v>
      </x:c>
      <x:c r="H1396" s="87" t="str">
        <x:v>Профильный</x:v>
      </x:c>
      <x:c r="I1396" s="87" t="str">
        <x:v>ТР №4</x:v>
      </x:c>
      <x:c r="J1396" s="87" t="str">
        <x:v>МА2510410</x:v>
      </x:c>
      <x:c r="K1396" s="87" t="n">
        <x:v>16</x:v>
      </x:c>
      <x:c r="L1396" s="87" t="str">
        <x:v>Финансовая математика</x:v>
      </x:c>
      <x:c r="M1396" s="30" t="str">
        <x:v>Кредит 700 тыс. на 3 года под 20%; первые два платежа равны, последний 549,6 тыс. Найти сумму платежей.</x:v>
      </x:c>
      <x:c r="N1396" s="30" t="str">
        <x:v>1049,6 тыс. рублей</x:v>
      </x:c>
      <x:c r="O1396" s="30" t="str">
        <x:v>Перед третьим платежом долг 1209,6−2,64x=549,6; x=250. Сумма 500+549,6=1049,6.</x:v>
      </x:c>
      <x:c r="P1396" s="30" t="str">
        <x:v>Перед третьим платежом долг 1209,6−2,64x=549,6; x=250. Сумма 500+549,6=1049,6.</x:v>
      </x:c>
      <x:c r="Q1396" s="30"/>
      <x:c r="R1396" s="30" t="str">
        <x:v>Официальное задание + официальный критерий архива</x:v>
      </x:c>
      <x:c r="S1396" s="30"/>
      <x:c r="T1396" s="30"/>
      <x:c r="U1396" s="30" t="str">
        <x:v>Расхождений не обнаружено.</x:v>
      </x:c>
      <x:c r="V1396" s="87" t="str">
        <x:v>VERIFIED</x:v>
      </x:c>
      <x:c r="W1396" s="87" t="str">
        <x:v>Официальный PDF, задание 16</x:v>
      </x:c>
      <x:c r="X1396" s="87"/>
      <x:c r="Y1396" s="87"/>
      <x:c r="Z1396" s="87"/>
      <x:c r="AA1396" s="87"/>
      <x:c r="AB1396" s="87"/>
      <x:c r="AC1396" s="87"/>
      <x:c r="AD1396" s="87"/>
      <x:c r="AE1396" s="87"/>
      <x:c r="AF1396" s="87"/>
      <x:c r="AG1396" s="87"/>
      <x:c r="AH1396" s="87"/>
      <x:c r="AI1396" s="30"/>
      <x:c r="AJ1396" s="87" t="str">
        <x:v>master</x:v>
      </x:c>
      <x:c r="AK1396" s="87" t="str">
        <x:v>master-v0.81</x:v>
      </x:c>
      <x:c r="AL1396" s="87" t="str">
        <x:v>statgrad_master_base_v0_81_final(2).xlsx</x:v>
      </x:c>
      <x:c r="AM1396" s="87" t="str">
        <x:v>MATH_Mar_Prof_V2</x:v>
      </x:c>
      <x:c r="AN1396" s="87" t="n">
        <x:v>17</x:v>
      </x:c>
    </x:row>
    <x:row r="1397">
      <x:c r="A1397" s="87" t="n">
        <x:v>1396</x:v>
      </x:c>
      <x:c r="B1397" s="87" t="str">
        <x:v>MAR-MATH-P-V-8-017</x:v>
      </x:c>
      <x:c r="C1397" s="87" t="str">
        <x:v>СтатГрад</x:v>
      </x:c>
      <x:c r="D1397" s="87" t="str">
        <x:v>Март 2026</x:v>
      </x:c>
      <x:c r="E1397" s="87"/>
      <x:c r="F1397" s="87"/>
      <x:c r="G1397" s="87" t="str">
        <x:v>Математика</x:v>
      </x:c>
      <x:c r="H1397" s="87" t="str">
        <x:v>Профильный</x:v>
      </x:c>
      <x:c r="I1397" s="87" t="str">
        <x:v>ТР №4</x:v>
      </x:c>
      <x:c r="J1397" s="87" t="str">
        <x:v>МА2510410</x:v>
      </x:c>
      <x:c r="K1397" s="87" t="n">
        <x:v>17</x:v>
      </x:c>
      <x:c r="L1397" s="87" t="str">
        <x:v>Планиметрия: параллелограмм</x:v>
      </x:c>
      <x:c r="M1397" s="30" t="str">
        <x:v>Доказать AL·BC=AB·AC и найти EL при AC=24, tg∠BCA=1/4.</x:v>
      </x:c>
      <x:c r="N1397" s="30" t="str">
        <x:v>а) AL·BC=AB·AC; б) EL=47/5=9,4</x:v>
      </x:c>
      <x:c r="O1397" s="30" t="str">
        <x:v>Подобие даёт пункт а. При CF=12: LF=3, FE=32/5; EL=47/5.</x:v>
      </x:c>
      <x:c r="P1397" s="30" t="str">
        <x:v>Подобие даёт пункт а. При CF=12: LF=3, FE=32/5; EL=47/5.</x:v>
      </x:c>
      <x:c r="Q1397" s="30"/>
      <x:c r="R1397" s="30" t="str">
        <x:v>Официальное задание + официальный критерий архива</x:v>
      </x:c>
      <x:c r="S1397" s="30"/>
      <x:c r="T1397" s="30"/>
      <x:c r="U1397" s="30" t="str">
        <x:v>Расхождений не обнаружено.</x:v>
      </x:c>
      <x:c r="V1397" s="87" t="str">
        <x:v>VERIFIED</x:v>
      </x:c>
      <x:c r="W1397" s="87" t="str">
        <x:v>Официальный PDF, задание 17</x:v>
      </x:c>
      <x:c r="X1397" s="87"/>
      <x:c r="Y1397" s="87"/>
      <x:c r="Z1397" s="87"/>
      <x:c r="AA1397" s="87"/>
      <x:c r="AB1397" s="87"/>
      <x:c r="AC1397" s="87"/>
      <x:c r="AD1397" s="87"/>
      <x:c r="AE1397" s="87"/>
      <x:c r="AF1397" s="87"/>
      <x:c r="AG1397" s="87"/>
      <x:c r="AH1397" s="87"/>
      <x:c r="AI1397" s="30"/>
      <x:c r="AJ1397" s="87" t="str">
        <x:v>master</x:v>
      </x:c>
      <x:c r="AK1397" s="87" t="str">
        <x:v>master-v0.81</x:v>
      </x:c>
      <x:c r="AL1397" s="87" t="str">
        <x:v>statgrad_master_base_v0_81_final(2).xlsx</x:v>
      </x:c>
      <x:c r="AM1397" s="87" t="str">
        <x:v>MATH_Mar_Prof_V2</x:v>
      </x:c>
      <x:c r="AN1397" s="87" t="n">
        <x:v>18</x:v>
      </x:c>
    </x:row>
    <x:row r="1398">
      <x:c r="A1398" s="87" t="n">
        <x:v>1397</x:v>
      </x:c>
      <x:c r="B1398" s="87" t="str">
        <x:v>MAR-MATH-P-V-8-018</x:v>
      </x:c>
      <x:c r="C1398" s="87" t="str">
        <x:v>СтатГрад</x:v>
      </x:c>
      <x:c r="D1398" s="87" t="str">
        <x:v>Март 2026</x:v>
      </x:c>
      <x:c r="E1398" s="87"/>
      <x:c r="F1398" s="87"/>
      <x:c r="G1398" s="87" t="str">
        <x:v>Математика</x:v>
      </x:c>
      <x:c r="H1398" s="87" t="str">
        <x:v>Профильный</x:v>
      </x:c>
      <x:c r="I1398" s="87" t="str">
        <x:v>ТР №4</x:v>
      </x:c>
      <x:c r="J1398" s="87" t="str">
        <x:v>МА2510410</x:v>
      </x:c>
      <x:c r="K1398" s="87" t="n">
        <x:v>18</x:v>
      </x:c>
      <x:c r="L1398" s="87" t="str">
        <x:v>Уравнение с параметром</x:v>
      </x:c>
      <x:c r="M1398" s="30" t="str">
        <x:v>Найти a, при которых x²+a²−2x+14a=|14x+2a| имеет более двух корней.</x:v>
      </x:c>
      <x:c r="N1398" s="30" t="str">
        <x:v>a∈[−16;−14]∪[0;2]</x:v>
      </x:c>
      <x:c r="O1398" s="30" t="str">
        <x:v>Две ветви модуля задают дуги окружностей радиуса 10; анализ горизонтальных сечений даёт указанные интервалы.</x:v>
      </x:c>
      <x:c r="P1398" s="30" t="str">
        <x:v>Две ветви модуля задают дуги окружностей радиуса 10; анализ горизонтальных сечений даёт указанные интервалы.</x:v>
      </x:c>
      <x:c r="Q1398" s="30"/>
      <x:c r="R1398" s="30" t="str">
        <x:v>Официальное задание + официальный критерий архива</x:v>
      </x:c>
      <x:c r="S1398" s="30"/>
      <x:c r="T1398" s="30"/>
      <x:c r="U1398" s="30" t="str">
        <x:v>Расхождений не обнаружено.</x:v>
      </x:c>
      <x:c r="V1398" s="87" t="str">
        <x:v>VERIFIED</x:v>
      </x:c>
      <x:c r="W1398" s="87" t="str">
        <x:v>Официальный PDF, задание 18</x:v>
      </x:c>
      <x:c r="X1398" s="87"/>
      <x:c r="Y1398" s="87"/>
      <x:c r="Z1398" s="87"/>
      <x:c r="AA1398" s="87"/>
      <x:c r="AB1398" s="87"/>
      <x:c r="AC1398" s="87"/>
      <x:c r="AD1398" s="87"/>
      <x:c r="AE1398" s="87"/>
      <x:c r="AF1398" s="87"/>
      <x:c r="AG1398" s="87"/>
      <x:c r="AH1398" s="87"/>
      <x:c r="AI1398" s="30"/>
      <x:c r="AJ1398" s="87" t="str">
        <x:v>master</x:v>
      </x:c>
      <x:c r="AK1398" s="87" t="str">
        <x:v>master-v0.81</x:v>
      </x:c>
      <x:c r="AL1398" s="87" t="str">
        <x:v>statgrad_master_base_v0_81_final(2).xlsx</x:v>
      </x:c>
      <x:c r="AM1398" s="87" t="str">
        <x:v>MATH_Mar_Prof_V2</x:v>
      </x:c>
      <x:c r="AN1398" s="87" t="n">
        <x:v>19</x:v>
      </x:c>
    </x:row>
    <x:row r="1399">
      <x:c r="A1399" s="87" t="n">
        <x:v>1398</x:v>
      </x:c>
      <x:c r="B1399" s="87" t="str">
        <x:v>MAR-MATH-P-V-8-019</x:v>
      </x:c>
      <x:c r="C1399" s="87" t="str">
        <x:v>СтатГрад</x:v>
      </x:c>
      <x:c r="D1399" s="87" t="str">
        <x:v>Март 2026</x:v>
      </x:c>
      <x:c r="E1399" s="87"/>
      <x:c r="F1399" s="87"/>
      <x:c r="G1399" s="87" t="str">
        <x:v>Математика</x:v>
      </x:c>
      <x:c r="H1399" s="87" t="str">
        <x:v>Профильный</x:v>
      </x:c>
      <x:c r="I1399" s="87" t="str">
        <x:v>ТР №4</x:v>
      </x:c>
      <x:c r="J1399" s="87" t="str">
        <x:v>МА2510410</x:v>
      </x:c>
      <x:c r="K1399" s="87" t="n">
        <x:v>19</x:v>
      </x:c>
      <x:c r="L1399" s="87" t="str">
        <x:v>Комбинаторная задача</x:v>
      </x:c>
      <x:c r="M1399" s="30" t="str">
        <x:v>Ограничения: театр ≤5/17 мальчиков, кино ≤1/3. Для 24 учащихся проверить 11 мальчиков, найти максимум и минимальную долю девочек.</x:v>
      </x:c>
      <x:c r="N1399" s="30" t="str">
        <x:v>а) да; б) 11; в) 12/23</x:v>
      </x:c>
      <x:c r="O1399" s="30" t="str">
        <x:v>Конструкция 5 мальчиков только в театре, 6 только в кино и 13 девочек даёт 11 мальчиков. Больше невозможно. Из m₁/d≤5/12 и m₂/d≤1/2 следует доля девочек ≥12/23; граница достижима.</x:v>
      </x:c>
      <x:c r="P1399" s="30" t="str">
        <x:v>Конструкция 5 мальчиков только в театре, 6 только в кино и 13 девочек даёт 11 мальчиков. Больше невозможно. Из m₁/d≤5/12 и m₂/d≤1/2 следует доля девочек ≥12/23; граница достижима.</x:v>
      </x:c>
      <x:c r="Q1399" s="30"/>
      <x:c r="R1399" s="30" t="str">
        <x:v>Официальное задание + официальный критерий архива</x:v>
      </x:c>
      <x:c r="S1399" s="30"/>
      <x:c r="T1399" s="30"/>
      <x:c r="U1399" s="30" t="str">
        <x:v>Расхождений не обнаружено.</x:v>
      </x:c>
      <x:c r="V1399" s="87" t="str">
        <x:v>VERIFIED</x:v>
      </x:c>
      <x:c r="W1399" s="87" t="str">
        <x:v>Официальный PDF, задание 19</x:v>
      </x:c>
      <x:c r="X1399" s="87"/>
      <x:c r="Y1399" s="87"/>
      <x:c r="Z1399" s="87"/>
      <x:c r="AA1399" s="87"/>
      <x:c r="AB1399" s="87"/>
      <x:c r="AC1399" s="87"/>
      <x:c r="AD1399" s="87"/>
      <x:c r="AE1399" s="87"/>
      <x:c r="AF1399" s="87"/>
      <x:c r="AG1399" s="87"/>
      <x:c r="AH1399" s="87"/>
      <x:c r="AI1399" s="30"/>
      <x:c r="AJ1399" s="87" t="str">
        <x:v>master</x:v>
      </x:c>
      <x:c r="AK1399" s="87" t="str">
        <x:v>master-v0.81</x:v>
      </x:c>
      <x:c r="AL1399" s="87" t="str">
        <x:v>statgrad_master_base_v0_81_final(2).xlsx</x:v>
      </x:c>
      <x:c r="AM1399" s="87" t="str">
        <x:v>MATH_Mar_Prof_V2</x:v>
      </x:c>
      <x:c r="AN1399" s="87" t="n">
        <x:v>20</x:v>
      </x:c>
    </x:row>
    <x:row r="1400">
      <x:c r="A1400" s="87" t="n">
        <x:v>1399</x:v>
      </x:c>
      <x:c r="B1400" s="87" t="str">
        <x:v>MAR-MATH-P-V-7-001</x:v>
      </x:c>
      <x:c r="C1400" s="87" t="str">
        <x:v>СтатГрад</x:v>
      </x:c>
      <x:c r="D1400" s="87" t="str">
        <x:v>Март 2026</x:v>
      </x:c>
      <x:c r="E1400" s="87"/>
      <x:c r="F1400" s="87"/>
      <x:c r="G1400" s="87" t="str">
        <x:v>Математика</x:v>
      </x:c>
      <x:c r="H1400" s="87" t="str">
        <x:v>Профильный</x:v>
      </x:c>
      <x:c r="I1400" s="87" t="str">
        <x:v>ТР №4</x:v>
      </x:c>
      <x:c r="J1400" s="87" t="str">
        <x:v>МА2510411</x:v>
      </x:c>
      <x:c r="K1400" s="87" t="n">
        <x:v>1</x:v>
      </x:c>
      <x:c r="L1400" s="87" t="str">
        <x:v>Площадь параллелограмма</x:v>
      </x:c>
      <x:c r="M1400" s="30" t="str">
        <x:v>Площадь ABCD равна 115; E — середина AD. Найти площадь треугольника ABE.</x:v>
      </x:c>
      <x:c r="N1400" s="30" t="str">
        <x:v>28,75</x:v>
      </x:c>
      <x:c r="O1400" s="30" t="str">
        <x:v>AE=AD/2, а площадь треугольника с основанием AE равна половине площади треугольника ABD: S=115/4=28,75.</x:v>
      </x:c>
      <x:c r="P1400" s="30" t="str">
        <x:v>AE=AD/2, а площадь треугольника с основанием AE равна половине площади треугольника ABD: S=115/4=28,75.</x:v>
      </x:c>
      <x:c r="Q1400" s="30"/>
      <x:c r="R1400" s="30" t="str">
        <x:v>Официальное задание + ключ архива + независимое решение</x:v>
      </x:c>
      <x:c r="S1400" s="30"/>
      <x:c r="T1400" s="30"/>
      <x:c r="U1400" s="30" t="str">
        <x:v>Расхождений не обнаружено.</x:v>
      </x:c>
      <x:c r="V1400" s="87" t="str">
        <x:v>VERIFIED</x:v>
      </x:c>
      <x:c r="W1400" s="87" t="str">
        <x:v>Официальный PDF, задание 1</x:v>
      </x:c>
      <x:c r="X1400" s="87"/>
      <x:c r="Y1400" s="87"/>
      <x:c r="Z1400" s="87"/>
      <x:c r="AA1400" s="87"/>
      <x:c r="AB1400" s="87"/>
      <x:c r="AC1400" s="87"/>
      <x:c r="AD1400" s="87"/>
      <x:c r="AE1400" s="87"/>
      <x:c r="AF1400" s="87"/>
      <x:c r="AG1400" s="87"/>
      <x:c r="AH1400" s="87"/>
      <x:c r="AI1400" s="30"/>
      <x:c r="AJ1400" s="87" t="str">
        <x:v>master</x:v>
      </x:c>
      <x:c r="AK1400" s="87" t="str">
        <x:v>master-v0.81</x:v>
      </x:c>
      <x:c r="AL1400" s="87" t="str">
        <x:v>statgrad_master_base_v0_81_final(2).xlsx</x:v>
      </x:c>
      <x:c r="AM1400" s="87" t="str">
        <x:v>MATH_Mar_Prof_V3</x:v>
      </x:c>
      <x:c r="AN1400" s="87" t="n">
        <x:v>2</x:v>
      </x:c>
    </x:row>
    <x:row r="1401">
      <x:c r="A1401" s="87" t="n">
        <x:v>1400</x:v>
      </x:c>
      <x:c r="B1401" s="87" t="str">
        <x:v>MAR-MATH-P-V-7-002</x:v>
      </x:c>
      <x:c r="C1401" s="87" t="str">
        <x:v>СтатГрад</x:v>
      </x:c>
      <x:c r="D1401" s="87" t="str">
        <x:v>Март 2026</x:v>
      </x:c>
      <x:c r="E1401" s="87"/>
      <x:c r="F1401" s="87"/>
      <x:c r="G1401" s="87" t="str">
        <x:v>Математика</x:v>
      </x:c>
      <x:c r="H1401" s="87" t="str">
        <x:v>Профильный</x:v>
      </x:c>
      <x:c r="I1401" s="87" t="str">
        <x:v>ТР №4</x:v>
      </x:c>
      <x:c r="J1401" s="87" t="str">
        <x:v>МА2510411</x:v>
      </x:c>
      <x:c r="K1401" s="87" t="n">
        <x:v>2</x:v>
      </x:c>
      <x:c r="L1401" s="87" t="str">
        <x:v>Квадрат длины вектора</x:v>
      </x:c>
      <x:c r="M1401" s="30" t="str">
        <x:v>По рисунку найти AB·AB.</x:v>
      </x:c>
      <x:c r="N1401" s="30" t="str">
        <x:v>25</x:v>
      </x:c>
      <x:c r="O1401" s="30" t="str">
        <x:v>A=(3;−3), B=(6;1), поэтому AB=(3;4), а AB·AB=3²+4²=25.</x:v>
      </x:c>
      <x:c r="P1401" s="30" t="str">
        <x:v>A=(3;−3), B=(6;1), поэтому AB=(3;4), а AB·AB=3²+4²=25.</x:v>
      </x:c>
      <x:c r="Q1401" s="30"/>
      <x:c r="R1401" s="30" t="str">
        <x:v>Официальное задание + ключ архива + независимое решение</x:v>
      </x:c>
      <x:c r="S1401" s="30"/>
      <x:c r="T1401" s="30"/>
      <x:c r="U1401" s="30" t="str">
        <x:v>Расхождений не обнаружено.</x:v>
      </x:c>
      <x:c r="V1401" s="87" t="str">
        <x:v>VERIFIED</x:v>
      </x:c>
      <x:c r="W1401" s="87" t="str">
        <x:v>Официальный PDF, задание 2</x:v>
      </x:c>
      <x:c r="X1401" s="87"/>
      <x:c r="Y1401" s="87"/>
      <x:c r="Z1401" s="87"/>
      <x:c r="AA1401" s="87"/>
      <x:c r="AB1401" s="87"/>
      <x:c r="AC1401" s="87"/>
      <x:c r="AD1401" s="87"/>
      <x:c r="AE1401" s="87"/>
      <x:c r="AF1401" s="87"/>
      <x:c r="AG1401" s="87"/>
      <x:c r="AH1401" s="87"/>
      <x:c r="AI1401" s="30"/>
      <x:c r="AJ1401" s="87" t="str">
        <x:v>master</x:v>
      </x:c>
      <x:c r="AK1401" s="87" t="str">
        <x:v>master-v0.81</x:v>
      </x:c>
      <x:c r="AL1401" s="87" t="str">
        <x:v>statgrad_master_base_v0_81_final(2).xlsx</x:v>
      </x:c>
      <x:c r="AM1401" s="87" t="str">
        <x:v>MATH_Mar_Prof_V3</x:v>
      </x:c>
      <x:c r="AN1401" s="87" t="n">
        <x:v>3</x:v>
      </x:c>
    </x:row>
    <x:row r="1402">
      <x:c r="A1402" s="87" t="n">
        <x:v>1401</x:v>
      </x:c>
      <x:c r="B1402" s="87" t="str">
        <x:v>MAR-MATH-P-V-7-003</x:v>
      </x:c>
      <x:c r="C1402" s="87" t="str">
        <x:v>СтатГрад</x:v>
      </x:c>
      <x:c r="D1402" s="87" t="str">
        <x:v>Март 2026</x:v>
      </x:c>
      <x:c r="E1402" s="87"/>
      <x:c r="F1402" s="87"/>
      <x:c r="G1402" s="87" t="str">
        <x:v>Математика</x:v>
      </x:c>
      <x:c r="H1402" s="87" t="str">
        <x:v>Профильный</x:v>
      </x:c>
      <x:c r="I1402" s="87" t="str">
        <x:v>ТР №4</x:v>
      </x:c>
      <x:c r="J1402" s="87" t="str">
        <x:v>МА2510411</x:v>
      </x:c>
      <x:c r="K1402" s="87" t="n">
        <x:v>3</x:v>
      </x:c>
      <x:c r="L1402" s="87" t="str">
        <x:v>Конус и сфера</x:v>
      </x:c>
      <x:c r="M1402" s="30" t="str">
        <x:v>Радиус описанной сферы 16√2; центр сферы — центр основания конуса. Найти образующую.</x:v>
      </x:c>
      <x:c r="N1402" s="30" t="str">
        <x:v>32</x:v>
      </x:c>
      <x:c r="O1402" s="30" t="str">
        <x:v>Высота и радиус основания равны R; образующая R√2=16√2·√2=32.</x:v>
      </x:c>
      <x:c r="P1402" s="30" t="str">
        <x:v>Высота и радиус основания равны R; образующая R√2=16√2·√2=32.</x:v>
      </x:c>
      <x:c r="Q1402" s="30"/>
      <x:c r="R1402" s="30" t="str">
        <x:v>Официальное задание + ключ архива + независимое решение</x:v>
      </x:c>
      <x:c r="S1402" s="30"/>
      <x:c r="T1402" s="30"/>
      <x:c r="U1402" s="30" t="str">
        <x:v>Расхождений не обнаружено.</x:v>
      </x:c>
      <x:c r="V1402" s="87" t="str">
        <x:v>VERIFIED</x:v>
      </x:c>
      <x:c r="W1402" s="87" t="str">
        <x:v>Официальный PDF, задание 3</x:v>
      </x:c>
      <x:c r="X1402" s="87"/>
      <x:c r="Y1402" s="87"/>
      <x:c r="Z1402" s="87"/>
      <x:c r="AA1402" s="87"/>
      <x:c r="AB1402" s="87"/>
      <x:c r="AC1402" s="87"/>
      <x:c r="AD1402" s="87"/>
      <x:c r="AE1402" s="87"/>
      <x:c r="AF1402" s="87"/>
      <x:c r="AG1402" s="87"/>
      <x:c r="AH1402" s="87"/>
      <x:c r="AI1402" s="30"/>
      <x:c r="AJ1402" s="87" t="str">
        <x:v>master</x:v>
      </x:c>
      <x:c r="AK1402" s="87" t="str">
        <x:v>master-v0.81</x:v>
      </x:c>
      <x:c r="AL1402" s="87" t="str">
        <x:v>statgrad_master_base_v0_81_final(2).xlsx</x:v>
      </x:c>
      <x:c r="AM1402" s="87" t="str">
        <x:v>MATH_Mar_Prof_V3</x:v>
      </x:c>
      <x:c r="AN1402" s="87" t="n">
        <x:v>4</x:v>
      </x:c>
    </x:row>
    <x:row r="1403">
      <x:c r="A1403" s="87" t="n">
        <x:v>1402</x:v>
      </x:c>
      <x:c r="B1403" s="87" t="str">
        <x:v>MAR-MATH-P-V-7-004</x:v>
      </x:c>
      <x:c r="C1403" s="87" t="str">
        <x:v>СтатГрад</x:v>
      </x:c>
      <x:c r="D1403" s="87" t="str">
        <x:v>Март 2026</x:v>
      </x:c>
      <x:c r="E1403" s="87"/>
      <x:c r="F1403" s="87"/>
      <x:c r="G1403" s="87" t="str">
        <x:v>Математика</x:v>
      </x:c>
      <x:c r="H1403" s="87" t="str">
        <x:v>Профильный</x:v>
      </x:c>
      <x:c r="I1403" s="87" t="str">
        <x:v>ТР №4</x:v>
      </x:c>
      <x:c r="J1403" s="87" t="str">
        <x:v>МА2510411</x:v>
      </x:c>
      <x:c r="K1403" s="87" t="n">
        <x:v>4</x:v>
      </x:c>
      <x:c r="L1403" s="87" t="str">
        <x:v>Вероятность: монеты</x:v>
      </x:c>
      <x:c r="M1403" s="30" t="str">
        <x:v>Симметричную монету бросают дважды. Вероятность двух орлов.</x:v>
      </x:c>
      <x:c r="N1403" s="30" t="str">
        <x:v>0,25</x:v>
      </x:c>
      <x:c r="O1403" s="30" t="str">
        <x:v>Единственный подходящий исход из четырёх равновероятных: 1/4=0,25.</x:v>
      </x:c>
      <x:c r="P1403" s="30" t="str">
        <x:v>Единственный подходящий исход из четырёх равновероятных: 1/4=0,25.</x:v>
      </x:c>
      <x:c r="Q1403" s="30"/>
      <x:c r="R1403" s="30" t="str">
        <x:v>Официальное задание + ключ архива + независимое решение</x:v>
      </x:c>
      <x:c r="S1403" s="30"/>
      <x:c r="T1403" s="30"/>
      <x:c r="U1403" s="30" t="str">
        <x:v>Расхождений не обнаружено.</x:v>
      </x:c>
      <x:c r="V1403" s="87" t="str">
        <x:v>VERIFIED</x:v>
      </x:c>
      <x:c r="W1403" s="87" t="str">
        <x:v>Официальный PDF, задание 4</x:v>
      </x:c>
      <x:c r="X1403" s="87"/>
      <x:c r="Y1403" s="87"/>
      <x:c r="Z1403" s="87"/>
      <x:c r="AA1403" s="87"/>
      <x:c r="AB1403" s="87"/>
      <x:c r="AC1403" s="87"/>
      <x:c r="AD1403" s="87"/>
      <x:c r="AE1403" s="87"/>
      <x:c r="AF1403" s="87"/>
      <x:c r="AG1403" s="87"/>
      <x:c r="AH1403" s="87"/>
      <x:c r="AI1403" s="30"/>
      <x:c r="AJ1403" s="87" t="str">
        <x:v>master</x:v>
      </x:c>
      <x:c r="AK1403" s="87" t="str">
        <x:v>master-v0.81</x:v>
      </x:c>
      <x:c r="AL1403" s="87" t="str">
        <x:v>statgrad_master_base_v0_81_final(2).xlsx</x:v>
      </x:c>
      <x:c r="AM1403" s="87" t="str">
        <x:v>MATH_Mar_Prof_V3</x:v>
      </x:c>
      <x:c r="AN1403" s="87" t="n">
        <x:v>5</x:v>
      </x:c>
    </x:row>
    <x:row r="1404">
      <x:c r="A1404" s="87" t="n">
        <x:v>1403</x:v>
      </x:c>
      <x:c r="B1404" s="87" t="str">
        <x:v>MAR-MATH-P-V-7-005</x:v>
      </x:c>
      <x:c r="C1404" s="87" t="str">
        <x:v>СтатГрад</x:v>
      </x:c>
      <x:c r="D1404" s="87" t="str">
        <x:v>Март 2026</x:v>
      </x:c>
      <x:c r="E1404" s="87"/>
      <x:c r="F1404" s="87"/>
      <x:c r="G1404" s="87" t="str">
        <x:v>Математика</x:v>
      </x:c>
      <x:c r="H1404" s="87" t="str">
        <x:v>Профильный</x:v>
      </x:c>
      <x:c r="I1404" s="87" t="str">
        <x:v>ТР №4</x:v>
      </x:c>
      <x:c r="J1404" s="87" t="str">
        <x:v>МА2510411</x:v>
      </x:c>
      <x:c r="K1404" s="87" t="n">
        <x:v>5</x:v>
      </x:c>
      <x:c r="L1404" s="87" t="str">
        <x:v>Формула полной вероятности</x:v>
      </x:c>
      <x:c r="M1404" s="30" t="str">
        <x:v>35% яиц первого хозяйства и 15% второго — высшей категории; всего 30%. Найти долю первого хозяйства.</x:v>
      </x:c>
      <x:c r="N1404" s="30" t="str">
        <x:v>0,75</x:v>
      </x:c>
      <x:c r="O1404" s="30" t="str">
        <x:v>0,35p+0,15(1−p)=0,30; 0,2p=0,15; p=0,75.</x:v>
      </x:c>
      <x:c r="P1404" s="30" t="str">
        <x:v>0,35p+0,15(1−p)=0,30; 0,2p=0,15; p=0,75.</x:v>
      </x:c>
      <x:c r="Q1404" s="30"/>
      <x:c r="R1404" s="30" t="str">
        <x:v>Официальное задание + ключ архива + независимое решение</x:v>
      </x:c>
      <x:c r="S1404" s="30"/>
      <x:c r="T1404" s="30"/>
      <x:c r="U1404" s="30" t="str">
        <x:v>Расхождений не обнаружено.</x:v>
      </x:c>
      <x:c r="V1404" s="87" t="str">
        <x:v>VERIFIED</x:v>
      </x:c>
      <x:c r="W1404" s="87" t="str">
        <x:v>Официальный PDF, задание 5</x:v>
      </x:c>
      <x:c r="X1404" s="87"/>
      <x:c r="Y1404" s="87"/>
      <x:c r="Z1404" s="87"/>
      <x:c r="AA1404" s="87"/>
      <x:c r="AB1404" s="87"/>
      <x:c r="AC1404" s="87"/>
      <x:c r="AD1404" s="87"/>
      <x:c r="AE1404" s="87"/>
      <x:c r="AF1404" s="87"/>
      <x:c r="AG1404" s="87"/>
      <x:c r="AH1404" s="87"/>
      <x:c r="AI1404" s="30"/>
      <x:c r="AJ1404" s="87" t="str">
        <x:v>master</x:v>
      </x:c>
      <x:c r="AK1404" s="87" t="str">
        <x:v>master-v0.81</x:v>
      </x:c>
      <x:c r="AL1404" s="87" t="str">
        <x:v>statgrad_master_base_v0_81_final(2).xlsx</x:v>
      </x:c>
      <x:c r="AM1404" s="87" t="str">
        <x:v>MATH_Mar_Prof_V3</x:v>
      </x:c>
      <x:c r="AN1404" s="87" t="n">
        <x:v>6</x:v>
      </x:c>
    </x:row>
    <x:row r="1405">
      <x:c r="A1405" s="87" t="n">
        <x:v>1404</x:v>
      </x:c>
      <x:c r="B1405" s="87" t="str">
        <x:v>MAR-MATH-P-V-7-006</x:v>
      </x:c>
      <x:c r="C1405" s="87" t="str">
        <x:v>СтатГрад</x:v>
      </x:c>
      <x:c r="D1405" s="87" t="str">
        <x:v>Март 2026</x:v>
      </x:c>
      <x:c r="E1405" s="87"/>
      <x:c r="F1405" s="87"/>
      <x:c r="G1405" s="87" t="str">
        <x:v>Математика</x:v>
      </x:c>
      <x:c r="H1405" s="87" t="str">
        <x:v>Профильный</x:v>
      </x:c>
      <x:c r="I1405" s="87" t="str">
        <x:v>ТР №4</x:v>
      </x:c>
      <x:c r="J1405" s="87" t="str">
        <x:v>МА2510411</x:v>
      </x:c>
      <x:c r="K1405" s="87" t="n">
        <x:v>6</x:v>
      </x:c>
      <x:c r="L1405" s="87" t="str">
        <x:v>Логарифмическое уравнение</x:v>
      </x:c>
      <x:c r="M1405" s="30" t="str">
        <x:v>Решить log₂(2−x)=log₂(2−3x)+1.</x:v>
      </x:c>
      <x:c r="N1405" s="30" t="str">
        <x:v>0,4</x:v>
      </x:c>
      <x:c r="O1405" s="30" t="str">
        <x:v>2−x=2(2−3x); 5x=2; x=0,4. ОДЗ выполнена.</x:v>
      </x:c>
      <x:c r="P1405" s="30" t="str">
        <x:v>2−x=2(2−3x); 5x=2; x=0,4. ОДЗ выполнена.</x:v>
      </x:c>
      <x:c r="Q1405" s="30"/>
      <x:c r="R1405" s="30" t="str">
        <x:v>Официальное задание + ключ архива + независимое решение</x:v>
      </x:c>
      <x:c r="S1405" s="30"/>
      <x:c r="T1405" s="30"/>
      <x:c r="U1405" s="30" t="str">
        <x:v>Расхождений не обнаружено.</x:v>
      </x:c>
      <x:c r="V1405" s="87" t="str">
        <x:v>VERIFIED</x:v>
      </x:c>
      <x:c r="W1405" s="87" t="str">
        <x:v>Официальный PDF, задание 6</x:v>
      </x:c>
      <x:c r="X1405" s="87"/>
      <x:c r="Y1405" s="87"/>
      <x:c r="Z1405" s="87"/>
      <x:c r="AA1405" s="87"/>
      <x:c r="AB1405" s="87"/>
      <x:c r="AC1405" s="87"/>
      <x:c r="AD1405" s="87"/>
      <x:c r="AE1405" s="87"/>
      <x:c r="AF1405" s="87"/>
      <x:c r="AG1405" s="87"/>
      <x:c r="AH1405" s="87"/>
      <x:c r="AI1405" s="30"/>
      <x:c r="AJ1405" s="87" t="str">
        <x:v>master</x:v>
      </x:c>
      <x:c r="AK1405" s="87" t="str">
        <x:v>master-v0.81</x:v>
      </x:c>
      <x:c r="AL1405" s="87" t="str">
        <x:v>statgrad_master_base_v0_81_final(2).xlsx</x:v>
      </x:c>
      <x:c r="AM1405" s="87" t="str">
        <x:v>MATH_Mar_Prof_V3</x:v>
      </x:c>
      <x:c r="AN1405" s="87" t="n">
        <x:v>7</x:v>
      </x:c>
    </x:row>
    <x:row r="1406">
      <x:c r="A1406" s="87" t="n">
        <x:v>1405</x:v>
      </x:c>
      <x:c r="B1406" s="87" t="str">
        <x:v>MAR-MATH-P-V-7-007</x:v>
      </x:c>
      <x:c r="C1406" s="87" t="str">
        <x:v>СтатГрад</x:v>
      </x:c>
      <x:c r="D1406" s="87" t="str">
        <x:v>Март 2026</x:v>
      </x:c>
      <x:c r="E1406" s="87"/>
      <x:c r="F1406" s="87"/>
      <x:c r="G1406" s="87" t="str">
        <x:v>Математика</x:v>
      </x:c>
      <x:c r="H1406" s="87" t="str">
        <x:v>Профильный</x:v>
      </x:c>
      <x:c r="I1406" s="87" t="str">
        <x:v>ТР №4</x:v>
      </x:c>
      <x:c r="J1406" s="87" t="str">
        <x:v>МА2510411</x:v>
      </x:c>
      <x:c r="K1406" s="87" t="n">
        <x:v>7</x:v>
      </x:c>
      <x:c r="L1406" s="87" t="str">
        <x:v>Степени</x:v>
      </x:c>
      <x:c r="M1406" s="30" t="str">
        <x:v>Вычислить 4^(8/9)·16^(1/18).</x:v>
      </x:c>
      <x:c r="N1406" s="30" t="str">
        <x:v>4</x:v>
      </x:c>
      <x:c r="O1406" s="30" t="str">
        <x:v>В основании 2 получаем показатель 16/9+2/9=2; ответ 4.</x:v>
      </x:c>
      <x:c r="P1406" s="30" t="str">
        <x:v>В основании 2 получаем показатель 16/9+2/9=2; ответ 4.</x:v>
      </x:c>
      <x:c r="Q1406" s="30"/>
      <x:c r="R1406" s="30" t="str">
        <x:v>Официальное задание + ключ архива + независимое решение</x:v>
      </x:c>
      <x:c r="S1406" s="30"/>
      <x:c r="T1406" s="30"/>
      <x:c r="U1406" s="30" t="str">
        <x:v>Расхождений не обнаружено.</x:v>
      </x:c>
      <x:c r="V1406" s="87" t="str">
        <x:v>VERIFIED</x:v>
      </x:c>
      <x:c r="W1406" s="87" t="str">
        <x:v>Официальный PDF, задание 7</x:v>
      </x:c>
      <x:c r="X1406" s="87"/>
      <x:c r="Y1406" s="87"/>
      <x:c r="Z1406" s="87"/>
      <x:c r="AA1406" s="87"/>
      <x:c r="AB1406" s="87"/>
      <x:c r="AC1406" s="87"/>
      <x:c r="AD1406" s="87"/>
      <x:c r="AE1406" s="87"/>
      <x:c r="AF1406" s="87"/>
      <x:c r="AG1406" s="87"/>
      <x:c r="AH1406" s="87"/>
      <x:c r="AI1406" s="30"/>
      <x:c r="AJ1406" s="87" t="str">
        <x:v>master</x:v>
      </x:c>
      <x:c r="AK1406" s="87" t="str">
        <x:v>master-v0.81</x:v>
      </x:c>
      <x:c r="AL1406" s="87" t="str">
        <x:v>statgrad_master_base_v0_81_final(2).xlsx</x:v>
      </x:c>
      <x:c r="AM1406" s="87" t="str">
        <x:v>MATH_Mar_Prof_V3</x:v>
      </x:c>
      <x:c r="AN1406" s="87" t="n">
        <x:v>8</x:v>
      </x:c>
    </x:row>
    <x:row r="1407">
      <x:c r="A1407" s="87" t="n">
        <x:v>1406</x:v>
      </x:c>
      <x:c r="B1407" s="87" t="str">
        <x:v>MAR-MATH-P-V-7-008</x:v>
      </x:c>
      <x:c r="C1407" s="87" t="str">
        <x:v>СтатГрад</x:v>
      </x:c>
      <x:c r="D1407" s="87" t="str">
        <x:v>Март 2026</x:v>
      </x:c>
      <x:c r="E1407" s="87"/>
      <x:c r="F1407" s="87"/>
      <x:c r="G1407" s="87" t="str">
        <x:v>Математика</x:v>
      </x:c>
      <x:c r="H1407" s="87" t="str">
        <x:v>Профильный</x:v>
      </x:c>
      <x:c r="I1407" s="87" t="str">
        <x:v>ТР №4</x:v>
      </x:c>
      <x:c r="J1407" s="87" t="str">
        <x:v>МА2510411</x:v>
      </x:c>
      <x:c r="K1407" s="87" t="n">
        <x:v>8</x:v>
      </x:c>
      <x:c r="L1407" s="87" t="str">
        <x:v>Производная и монотонность</x:v>
      </x:c>
      <x:c r="M1407" s="30" t="str">
        <x:v>По графику f′ определить число отмеченных точек на промежутках убывания f.</x:v>
      </x:c>
      <x:c r="N1407" s="30" t="str">
        <x:v>4</x:v>
      </x:c>
      <x:c r="O1407" s="30" t="str">
        <x:v>Производная отрицательна в точках x₆, x₇, x₉ и x₁₀.</x:v>
      </x:c>
      <x:c r="P1407" s="30" t="str">
        <x:v>Производная отрицательна в точках x₆, x₇, x₉ и x₁₀.</x:v>
      </x:c>
      <x:c r="Q1407" s="30"/>
      <x:c r="R1407" s="30" t="str">
        <x:v>Официальное задание + ключ архива + независимое решение</x:v>
      </x:c>
      <x:c r="S1407" s="30"/>
      <x:c r="T1407" s="30"/>
      <x:c r="U1407" s="30" t="str">
        <x:v>Расхождений не обнаружено.</x:v>
      </x:c>
      <x:c r="V1407" s="87" t="str">
        <x:v>VERIFIED</x:v>
      </x:c>
      <x:c r="W1407" s="87" t="str">
        <x:v>Официальный PDF, задание 8</x:v>
      </x:c>
      <x:c r="X1407" s="87"/>
      <x:c r="Y1407" s="87"/>
      <x:c r="Z1407" s="87"/>
      <x:c r="AA1407" s="87"/>
      <x:c r="AB1407" s="87"/>
      <x:c r="AC1407" s="87"/>
      <x:c r="AD1407" s="87"/>
      <x:c r="AE1407" s="87"/>
      <x:c r="AF1407" s="87"/>
      <x:c r="AG1407" s="87"/>
      <x:c r="AH1407" s="87"/>
      <x:c r="AI1407" s="30"/>
      <x:c r="AJ1407" s="87" t="str">
        <x:v>master</x:v>
      </x:c>
      <x:c r="AK1407" s="87" t="str">
        <x:v>master-v0.81</x:v>
      </x:c>
      <x:c r="AL1407" s="87" t="str">
        <x:v>statgrad_master_base_v0_81_final(2).xlsx</x:v>
      </x:c>
      <x:c r="AM1407" s="87" t="str">
        <x:v>MATH_Mar_Prof_V3</x:v>
      </x:c>
      <x:c r="AN1407" s="87" t="n">
        <x:v>9</x:v>
      </x:c>
    </x:row>
    <x:row r="1408">
      <x:c r="A1408" s="87" t="n">
        <x:v>1407</x:v>
      </x:c>
      <x:c r="B1408" s="87" t="str">
        <x:v>MAR-MATH-P-V-7-009</x:v>
      </x:c>
      <x:c r="C1408" s="87" t="str">
        <x:v>СтатГрад</x:v>
      </x:c>
      <x:c r="D1408" s="87" t="str">
        <x:v>Март 2026</x:v>
      </x:c>
      <x:c r="E1408" s="87"/>
      <x:c r="F1408" s="87"/>
      <x:c r="G1408" s="87" t="str">
        <x:v>Математика</x:v>
      </x:c>
      <x:c r="H1408" s="87" t="str">
        <x:v>Профильный</x:v>
      </x:c>
      <x:c r="I1408" s="87" t="str">
        <x:v>ТР №4</x:v>
      </x:c>
      <x:c r="J1408" s="87" t="str">
        <x:v>МА2510411</x:v>
      </x:c>
      <x:c r="K1408" s="87" t="n">
        <x:v>9</x:v>
      </x:c>
      <x:c r="L1408" s="87" t="str">
        <x:v>Прикладная логарифмическая модель</x:v>
      </x:c>
      <x:c r="M1408" s="30" t="str">
        <x:v>Водолазный колокол: ν=2, V₁=4 л, α=5,75, T=300, работа 10350 Дж. Найти V₂.</x:v>
      </x:c>
      <x:c r="N1408" s="30" t="str">
        <x:v>0,5</x:v>
      </x:c>
      <x:c r="O1408" s="30" t="str">
        <x:v>ανT=3450; log₂(4/V₂)=10350/3450=3; 4/V₂=8, значит V₂=0,5 л.</x:v>
      </x:c>
      <x:c r="P1408" s="30" t="str">
        <x:v>ανT=3450; log₂(4/V₂)=10350/3450=3; 4/V₂=8, значит V₂=0,5 л.</x:v>
      </x:c>
      <x:c r="Q1408" s="30"/>
      <x:c r="R1408" s="30" t="str">
        <x:v>Официальное задание + ключ архива + независимое решение</x:v>
      </x:c>
      <x:c r="S1408" s="30"/>
      <x:c r="T1408" s="30"/>
      <x:c r="U1408" s="30" t="str">
        <x:v>Расхождений не обнаружено.</x:v>
      </x:c>
      <x:c r="V1408" s="87" t="str">
        <x:v>VERIFIED</x:v>
      </x:c>
      <x:c r="W1408" s="87" t="str">
        <x:v>Официальный PDF, задание 9</x:v>
      </x:c>
      <x:c r="X1408" s="87"/>
      <x:c r="Y1408" s="87"/>
      <x:c r="Z1408" s="87"/>
      <x:c r="AA1408" s="87"/>
      <x:c r="AB1408" s="87"/>
      <x:c r="AC1408" s="87"/>
      <x:c r="AD1408" s="87"/>
      <x:c r="AE1408" s="87"/>
      <x:c r="AF1408" s="87"/>
      <x:c r="AG1408" s="87"/>
      <x:c r="AH1408" s="87"/>
      <x:c r="AI1408" s="30"/>
      <x:c r="AJ1408" s="87" t="str">
        <x:v>master</x:v>
      </x:c>
      <x:c r="AK1408" s="87" t="str">
        <x:v>master-v0.81</x:v>
      </x:c>
      <x:c r="AL1408" s="87" t="str">
        <x:v>statgrad_master_base_v0_81_final(2).xlsx</x:v>
      </x:c>
      <x:c r="AM1408" s="87" t="str">
        <x:v>MATH_Mar_Prof_V3</x:v>
      </x:c>
      <x:c r="AN1408" s="87" t="n">
        <x:v>10</x:v>
      </x:c>
    </x:row>
    <x:row r="1409">
      <x:c r="A1409" s="87" t="n">
        <x:v>1408</x:v>
      </x:c>
      <x:c r="B1409" s="87" t="str">
        <x:v>MAR-MATH-P-V-7-010</x:v>
      </x:c>
      <x:c r="C1409" s="87" t="str">
        <x:v>СтатГрад</x:v>
      </x:c>
      <x:c r="D1409" s="87" t="str">
        <x:v>Март 2026</x:v>
      </x:c>
      <x:c r="E1409" s="87"/>
      <x:c r="F1409" s="87"/>
      <x:c r="G1409" s="87" t="str">
        <x:v>Математика</x:v>
      </x:c>
      <x:c r="H1409" s="87" t="str">
        <x:v>Профильный</x:v>
      </x:c>
      <x:c r="I1409" s="87" t="str">
        <x:v>ТР №4</x:v>
      </x:c>
      <x:c r="J1409" s="87" t="str">
        <x:v>МА2510411</x:v>
      </x:c>
      <x:c r="K1409" s="87" t="n">
        <x:v>10</x:v>
      </x:c>
      <x:c r="L1409" s="87" t="str">
        <x:v>Арифметическая прогрессия</x:v>
      </x:c>
      <x:c r="M1409" s="30" t="str">
        <x:v>187 т за 17 дней, в первый день 3 т. Найти объём четырнадцатого дня.</x:v>
      </x:c>
      <x:c r="N1409" s="30" t="str">
        <x:v>16</x:v>
      </x:c>
      <x:c r="O1409" s="30" t="str">
        <x:v>187=17/2(6+16d), откуда d=1; a₁₄=3+13=16.</x:v>
      </x:c>
      <x:c r="P1409" s="30" t="str">
        <x:v>187=17/2(6+16d), откуда d=1; a₁₄=3+13=16.</x:v>
      </x:c>
      <x:c r="Q1409" s="30"/>
      <x:c r="R1409" s="30" t="str">
        <x:v>Официальное задание + ключ архива + независимое решение</x:v>
      </x:c>
      <x:c r="S1409" s="30"/>
      <x:c r="T1409" s="30"/>
      <x:c r="U1409" s="30" t="str">
        <x:v>Расхождений не обнаружено.</x:v>
      </x:c>
      <x:c r="V1409" s="87" t="str">
        <x:v>VERIFIED</x:v>
      </x:c>
      <x:c r="W1409" s="87" t="str">
        <x:v>Официальный PDF, задание 10</x:v>
      </x:c>
      <x:c r="X1409" s="87"/>
      <x:c r="Y1409" s="87"/>
      <x:c r="Z1409" s="87"/>
      <x:c r="AA1409" s="87"/>
      <x:c r="AB1409" s="87"/>
      <x:c r="AC1409" s="87"/>
      <x:c r="AD1409" s="87"/>
      <x:c r="AE1409" s="87"/>
      <x:c r="AF1409" s="87"/>
      <x:c r="AG1409" s="87"/>
      <x:c r="AH1409" s="87"/>
      <x:c r="AI1409" s="30"/>
      <x:c r="AJ1409" s="87" t="str">
        <x:v>master</x:v>
      </x:c>
      <x:c r="AK1409" s="87" t="str">
        <x:v>master-v0.81</x:v>
      </x:c>
      <x:c r="AL1409" s="87" t="str">
        <x:v>statgrad_master_base_v0_81_final(2).xlsx</x:v>
      </x:c>
      <x:c r="AM1409" s="87" t="str">
        <x:v>MATH_Mar_Prof_V3</x:v>
      </x:c>
      <x:c r="AN1409" s="87" t="n">
        <x:v>11</x:v>
      </x:c>
    </x:row>
    <x:row r="1410">
      <x:c r="A1410" s="87" t="n">
        <x:v>1409</x:v>
      </x:c>
      <x:c r="B1410" s="87" t="str">
        <x:v>MAR-MATH-P-V-7-011</x:v>
      </x:c>
      <x:c r="C1410" s="87" t="str">
        <x:v>СтатГрад</x:v>
      </x:c>
      <x:c r="D1410" s="87" t="str">
        <x:v>Март 2026</x:v>
      </x:c>
      <x:c r="E1410" s="87"/>
      <x:c r="F1410" s="87"/>
      <x:c r="G1410" s="87" t="str">
        <x:v>Математика</x:v>
      </x:c>
      <x:c r="H1410" s="87" t="str">
        <x:v>Профильный</x:v>
      </x:c>
      <x:c r="I1410" s="87" t="str">
        <x:v>ТР №4</x:v>
      </x:c>
      <x:c r="J1410" s="87" t="str">
        <x:v>МА2510411</x:v>
      </x:c>
      <x:c r="K1410" s="87" t="n">
        <x:v>11</x:v>
      </x:c>
      <x:c r="L1410" s="87" t="str">
        <x:v>Линейные функции по графику</x:v>
      </x:c>
      <x:c r="M1410" s="30" t="str">
        <x:v>Найти абсциссу точки пересечения двух прямых.</x:v>
      </x:c>
      <x:c r="N1410" s="30" t="str">
        <x:v>−1,2</x:v>
      </x:c>
      <x:c r="O1410" s="30" t="str">
        <x:v>Уравнения прямых, восстановленные по отмеченным точкам, дают x=−6/5=−1,2.</x:v>
      </x:c>
      <x:c r="P1410" s="30" t="str">
        <x:v>Уравнения прямых, восстановленные по отмеченным точкам, дают x=−6/5=−1,2.</x:v>
      </x:c>
      <x:c r="Q1410" s="30"/>
      <x:c r="R1410" s="30" t="str">
        <x:v>Официальное задание + ключ архива + независимое решение</x:v>
      </x:c>
      <x:c r="S1410" s="30"/>
      <x:c r="T1410" s="30"/>
      <x:c r="U1410" s="30" t="str">
        <x:v>Расхождений не обнаружено.</x:v>
      </x:c>
      <x:c r="V1410" s="87" t="str">
        <x:v>VERIFIED</x:v>
      </x:c>
      <x:c r="W1410" s="87" t="str">
        <x:v>Официальный PDF, задание 11</x:v>
      </x:c>
      <x:c r="X1410" s="87"/>
      <x:c r="Y1410" s="87"/>
      <x:c r="Z1410" s="87"/>
      <x:c r="AA1410" s="87"/>
      <x:c r="AB1410" s="87"/>
      <x:c r="AC1410" s="87"/>
      <x:c r="AD1410" s="87"/>
      <x:c r="AE1410" s="87"/>
      <x:c r="AF1410" s="87"/>
      <x:c r="AG1410" s="87"/>
      <x:c r="AH1410" s="87"/>
      <x:c r="AI1410" s="30"/>
      <x:c r="AJ1410" s="87" t="str">
        <x:v>master</x:v>
      </x:c>
      <x:c r="AK1410" s="87" t="str">
        <x:v>master-v0.81</x:v>
      </x:c>
      <x:c r="AL1410" s="87" t="str">
        <x:v>statgrad_master_base_v0_81_final(2).xlsx</x:v>
      </x:c>
      <x:c r="AM1410" s="87" t="str">
        <x:v>MATH_Mar_Prof_V3</x:v>
      </x:c>
      <x:c r="AN1410" s="87" t="n">
        <x:v>12</x:v>
      </x:c>
    </x:row>
    <x:row r="1411">
      <x:c r="A1411" s="87" t="n">
        <x:v>1410</x:v>
      </x:c>
      <x:c r="B1411" s="87" t="str">
        <x:v>MAR-MATH-P-V-7-012</x:v>
      </x:c>
      <x:c r="C1411" s="87" t="str">
        <x:v>СтатГрад</x:v>
      </x:c>
      <x:c r="D1411" s="87" t="str">
        <x:v>Март 2026</x:v>
      </x:c>
      <x:c r="E1411" s="87"/>
      <x:c r="F1411" s="87"/>
      <x:c r="G1411" s="87" t="str">
        <x:v>Математика</x:v>
      </x:c>
      <x:c r="H1411" s="87" t="str">
        <x:v>Профильный</x:v>
      </x:c>
      <x:c r="I1411" s="87" t="str">
        <x:v>ТР №4</x:v>
      </x:c>
      <x:c r="J1411" s="87" t="str">
        <x:v>МА2510411</x:v>
      </x:c>
      <x:c r="K1411" s="87" t="n">
        <x:v>12</x:v>
      </x:c>
      <x:c r="L1411" s="87" t="str">
        <x:v>Экстремум функции</x:v>
      </x:c>
      <x:c r="M1411" s="30" t="str">
        <x:v>Найти точку максимума y=(x+4)²e^(8−x).</x:v>
      </x:c>
      <x:c r="N1411" s="30" t="str">
        <x:v>−2</x:v>
      </x:c>
      <x:c r="O1411" s="30" t="str">
        <x:v>y′=−e^(8−x)(x+4)(x+2). Знак производной меняется с плюса на минус при x=−2; это максимум.</x:v>
      </x:c>
      <x:c r="P1411" s="30" t="str">
        <x:v>Производная вычислена независимо; официальный ключ архива подтверждает −2.</x:v>
      </x:c>
      <x:c r="Q1411" s="30"/>
      <x:c r="R1411" s="30" t="str">
        <x:v>Официальное задание + ключ архива + независимое решение</x:v>
      </x:c>
      <x:c r="S1411" s="30"/>
      <x:c r="T1411" s="30"/>
      <x:c r="U1411" s="30" t="str">
        <x:v>Исправлена прежняя запись −3: она противоречила условию и официальному ключу.</x:v>
      </x:c>
      <x:c r="V1411" s="87" t="str">
        <x:v>VERIFIED</x:v>
      </x:c>
      <x:c r="W1411" s="87" t="str">
        <x:v>Официальный PDF, задание 12</x:v>
      </x:c>
      <x:c r="X1411" s="87"/>
      <x:c r="Y1411" s="87"/>
      <x:c r="Z1411" s="87"/>
      <x:c r="AA1411" s="87"/>
      <x:c r="AB1411" s="87"/>
      <x:c r="AC1411" s="87"/>
      <x:c r="AD1411" s="87"/>
      <x:c r="AE1411" s="87"/>
      <x:c r="AF1411" s="87"/>
      <x:c r="AG1411" s="87"/>
      <x:c r="AH1411" s="87"/>
      <x:c r="AI1411" s="30"/>
      <x:c r="AJ1411" s="87" t="str">
        <x:v>master</x:v>
      </x:c>
      <x:c r="AK1411" s="87" t="str">
        <x:v>master-v0.81</x:v>
      </x:c>
      <x:c r="AL1411" s="87" t="str">
        <x:v>statgrad_master_base_v0_81_final(2).xlsx</x:v>
      </x:c>
      <x:c r="AM1411" s="87" t="str">
        <x:v>MATH_Mar_Prof_V3</x:v>
      </x:c>
      <x:c r="AN1411" s="87" t="n">
        <x:v>13</x:v>
      </x:c>
    </x:row>
    <x:row r="1412">
      <x:c r="A1412" s="87" t="n">
        <x:v>1411</x:v>
      </x:c>
      <x:c r="B1412" s="87" t="str">
        <x:v>MAR-MATH-P-V-7-013</x:v>
      </x:c>
      <x:c r="C1412" s="87" t="str">
        <x:v>СтатГрад</x:v>
      </x:c>
      <x:c r="D1412" s="87" t="str">
        <x:v>Март 2026</x:v>
      </x:c>
      <x:c r="E1412" s="87"/>
      <x:c r="F1412" s="87"/>
      <x:c r="G1412" s="87" t="str">
        <x:v>Математика</x:v>
      </x:c>
      <x:c r="H1412" s="87" t="str">
        <x:v>Профильный</x:v>
      </x:c>
      <x:c r="I1412" s="87" t="str">
        <x:v>ТР №4</x:v>
      </x:c>
      <x:c r="J1412" s="87" t="str">
        <x:v>МА2510411</x:v>
      </x:c>
      <x:c r="K1412" s="87" t="n">
        <x:v>13</x:v>
      </x:c>
      <x:c r="L1412" s="87" t="str">
        <x:v>Тригонометрическое уравнение</x:v>
      </x:c>
      <x:c r="M1412" s="30" t="str">
        <x:v>Решить 2cos(x−π/3)−√3sinx=2sin(x+π/3)−√3cosx; отобрать корни на [−9π/2;−7π/2].</x:v>
      </x:c>
      <x:c r="N1412" s="30" t="str">
        <x:v>а) x=π/4+πn, n∈Z; б) x=−15π/4</x:v>
      </x:c>
      <x:c r="O1412" s="30" t="str">
        <x:v>После раскрытия формул получаем cosx=sinx; на отрезке находится −15π/4.</x:v>
      </x:c>
      <x:c r="P1412" s="30" t="str">
        <x:v>После раскрытия формул получаем cosx=sinx; на отрезке находится −15π/4.</x:v>
      </x:c>
      <x:c r="Q1412" s="30"/>
      <x:c r="R1412" s="30" t="str">
        <x:v>Официальное задание + официальный критерий архива</x:v>
      </x:c>
      <x:c r="S1412" s="30"/>
      <x:c r="T1412" s="30"/>
      <x:c r="U1412" s="30" t="str">
        <x:v>Расхождений не обнаружено.</x:v>
      </x:c>
      <x:c r="V1412" s="87" t="str">
        <x:v>VERIFIED</x:v>
      </x:c>
      <x:c r="W1412" s="87" t="str">
        <x:v>Официальный PDF, задание 13</x:v>
      </x:c>
      <x:c r="X1412" s="87"/>
      <x:c r="Y1412" s="87"/>
      <x:c r="Z1412" s="87"/>
      <x:c r="AA1412" s="87"/>
      <x:c r="AB1412" s="87"/>
      <x:c r="AC1412" s="87"/>
      <x:c r="AD1412" s="87"/>
      <x:c r="AE1412" s="87"/>
      <x:c r="AF1412" s="87"/>
      <x:c r="AG1412" s="87"/>
      <x:c r="AH1412" s="87"/>
      <x:c r="AI1412" s="30"/>
      <x:c r="AJ1412" s="87" t="str">
        <x:v>master</x:v>
      </x:c>
      <x:c r="AK1412" s="87" t="str">
        <x:v>master-v0.81</x:v>
      </x:c>
      <x:c r="AL1412" s="87" t="str">
        <x:v>statgrad_master_base_v0_81_final(2).xlsx</x:v>
      </x:c>
      <x:c r="AM1412" s="87" t="str">
        <x:v>MATH_Mar_Prof_V3</x:v>
      </x:c>
      <x:c r="AN1412" s="87" t="n">
        <x:v>14</x:v>
      </x:c>
    </x:row>
    <x:row r="1413">
      <x:c r="A1413" s="87" t="n">
        <x:v>1412</x:v>
      </x:c>
      <x:c r="B1413" s="87" t="str">
        <x:v>MAR-MATH-P-V-7-014</x:v>
      </x:c>
      <x:c r="C1413" s="87" t="str">
        <x:v>СтатГрад</x:v>
      </x:c>
      <x:c r="D1413" s="87" t="str">
        <x:v>Март 2026</x:v>
      </x:c>
      <x:c r="E1413" s="87"/>
      <x:c r="F1413" s="87"/>
      <x:c r="G1413" s="87" t="str">
        <x:v>Математика</x:v>
      </x:c>
      <x:c r="H1413" s="87" t="str">
        <x:v>Профильный</x:v>
      </x:c>
      <x:c r="I1413" s="87" t="str">
        <x:v>ТР №4</x:v>
      </x:c>
      <x:c r="J1413" s="87" t="str">
        <x:v>МА2510411</x:v>
      </x:c>
      <x:c r="K1413" s="87" t="n">
        <x:v>14</x:v>
      </x:c>
      <x:c r="L1413" s="87" t="str">
        <x:v>Стереометрия: цилиндр</x:v>
      </x:c>
      <x:c r="M1413" s="30" t="str">
        <x:v>Доказать ∠ABC₁=90° и найти боковую поверхность при AB=15, BB₁=14, B₁C₁=20.</x:v>
      </x:c>
      <x:c r="N1413" s="30" t="str">
        <x:v>а) ∠ABC₁=90°; б) 350π</x:v>
      </x:c>
      <x:c r="O1413" s="30" t="str">
        <x:v>AC — диаметр основания: AC=√(15²+20²)=25. AB⊥BC и AB⊥CC₁, следовательно, AB⊥BCC₁. Sбок=π·25·14=350π.</x:v>
      </x:c>
      <x:c r="P1413" s="30" t="str">
        <x:v>AC — диаметр основания: AC=√(15²+20²)=25. AB⊥BC и AB⊥CC₁, следовательно, AB⊥BCC₁. Sбок=π·25·14=350π.</x:v>
      </x:c>
      <x:c r="Q1413" s="30"/>
      <x:c r="R1413" s="30" t="str">
        <x:v>Официальное задание + официальный критерий архива</x:v>
      </x:c>
      <x:c r="S1413" s="30"/>
      <x:c r="T1413" s="30"/>
      <x:c r="U1413" s="30" t="str">
        <x:v>Расхождений не обнаружено.</x:v>
      </x:c>
      <x:c r="V1413" s="87" t="str">
        <x:v>VERIFIED</x:v>
      </x:c>
      <x:c r="W1413" s="87" t="str">
        <x:v>Официальный PDF, задание 14</x:v>
      </x:c>
      <x:c r="X1413" s="87"/>
      <x:c r="Y1413" s="87"/>
      <x:c r="Z1413" s="87"/>
      <x:c r="AA1413" s="87"/>
      <x:c r="AB1413" s="87"/>
      <x:c r="AC1413" s="87"/>
      <x:c r="AD1413" s="87"/>
      <x:c r="AE1413" s="87"/>
      <x:c r="AF1413" s="87"/>
      <x:c r="AG1413" s="87"/>
      <x:c r="AH1413" s="87"/>
      <x:c r="AI1413" s="30"/>
      <x:c r="AJ1413" s="87" t="str">
        <x:v>master</x:v>
      </x:c>
      <x:c r="AK1413" s="87" t="str">
        <x:v>master-v0.81</x:v>
      </x:c>
      <x:c r="AL1413" s="87" t="str">
        <x:v>statgrad_master_base_v0_81_final(2).xlsx</x:v>
      </x:c>
      <x:c r="AM1413" s="87" t="str">
        <x:v>MATH_Mar_Prof_V3</x:v>
      </x:c>
      <x:c r="AN1413" s="87" t="n">
        <x:v>15</x:v>
      </x:c>
    </x:row>
    <x:row r="1414">
      <x:c r="A1414" s="87" t="n">
        <x:v>1413</x:v>
      </x:c>
      <x:c r="B1414" s="87" t="str">
        <x:v>MAR-MATH-P-V-7-015</x:v>
      </x:c>
      <x:c r="C1414" s="87" t="str">
        <x:v>СтатГрад</x:v>
      </x:c>
      <x:c r="D1414" s="87" t="str">
        <x:v>Март 2026</x:v>
      </x:c>
      <x:c r="E1414" s="87"/>
      <x:c r="F1414" s="87"/>
      <x:c r="G1414" s="87" t="str">
        <x:v>Математика</x:v>
      </x:c>
      <x:c r="H1414" s="87" t="str">
        <x:v>Профильный</x:v>
      </x:c>
      <x:c r="I1414" s="87" t="str">
        <x:v>ТР №4</x:v>
      </x:c>
      <x:c r="J1414" s="87" t="str">
        <x:v>МА2510411</x:v>
      </x:c>
      <x:c r="K1414" s="87" t="n">
        <x:v>15</x:v>
      </x:c>
      <x:c r="L1414" s="87" t="str">
        <x:v>Иррациональное неравенство</x:v>
      </x:c>
      <x:c r="M1414" s="30" t="str">
        <x:v>Решить √((x−3)²−x²)+√(x+3)≥√(4x+12).</x:v>
      </x:c>
      <x:c r="N1414" s="30" t="str">
        <x:v>[−3; 6/7]</x:v>
      </x:c>
      <x:c r="O1414" s="30" t="str">
        <x:v>Неравенство сводится к √(9−6x)≥√(x+3), при x≥−3. После возведения в квадрат x≤6/7.</x:v>
      </x:c>
      <x:c r="P1414" s="30" t="str">
        <x:v>Неравенство сводится к √(9−6x)≥√(x+3), при x≥−3. После возведения в квадрат x≤6/7.</x:v>
      </x:c>
      <x:c r="Q1414" s="30"/>
      <x:c r="R1414" s="30" t="str">
        <x:v>Официальное задание + официальный критерий архива</x:v>
      </x:c>
      <x:c r="S1414" s="30"/>
      <x:c r="T1414" s="30"/>
      <x:c r="U1414" s="30" t="str">
        <x:v>Расхождений не обнаружено.</x:v>
      </x:c>
      <x:c r="V1414" s="87" t="str">
        <x:v>VERIFIED</x:v>
      </x:c>
      <x:c r="W1414" s="87" t="str">
        <x:v>Официальный PDF, задание 15</x:v>
      </x:c>
      <x:c r="X1414" s="87"/>
      <x:c r="Y1414" s="87"/>
      <x:c r="Z1414" s="87"/>
      <x:c r="AA1414" s="87"/>
      <x:c r="AB1414" s="87"/>
      <x:c r="AC1414" s="87"/>
      <x:c r="AD1414" s="87"/>
      <x:c r="AE1414" s="87"/>
      <x:c r="AF1414" s="87"/>
      <x:c r="AG1414" s="87"/>
      <x:c r="AH1414" s="87"/>
      <x:c r="AI1414" s="30"/>
      <x:c r="AJ1414" s="87" t="str">
        <x:v>master</x:v>
      </x:c>
      <x:c r="AK1414" s="87" t="str">
        <x:v>master-v0.81</x:v>
      </x:c>
      <x:c r="AL1414" s="87" t="str">
        <x:v>statgrad_master_base_v0_81_final(2).xlsx</x:v>
      </x:c>
      <x:c r="AM1414" s="87" t="str">
        <x:v>MATH_Mar_Prof_V3</x:v>
      </x:c>
      <x:c r="AN1414" s="87" t="n">
        <x:v>16</x:v>
      </x:c>
    </x:row>
    <x:row r="1415">
      <x:c r="A1415" s="87" t="n">
        <x:v>1414</x:v>
      </x:c>
      <x:c r="B1415" s="87" t="str">
        <x:v>MAR-MATH-P-V-7-016</x:v>
      </x:c>
      <x:c r="C1415" s="87" t="str">
        <x:v>СтатГрад</x:v>
      </x:c>
      <x:c r="D1415" s="87" t="str">
        <x:v>Март 2026</x:v>
      </x:c>
      <x:c r="E1415" s="87"/>
      <x:c r="F1415" s="87"/>
      <x:c r="G1415" s="87" t="str">
        <x:v>Математика</x:v>
      </x:c>
      <x:c r="H1415" s="87" t="str">
        <x:v>Профильный</x:v>
      </x:c>
      <x:c r="I1415" s="87" t="str">
        <x:v>ТР №4</x:v>
      </x:c>
      <x:c r="J1415" s="87" t="str">
        <x:v>МА2510411</x:v>
      </x:c>
      <x:c r="K1415" s="87" t="n">
        <x:v>16</x:v>
      </x:c>
      <x:c r="L1415" s="87" t="str">
        <x:v>Финансовая математика</x:v>
      </x:c>
      <x:c r="M1415" s="30" t="str">
        <x:v>Кредит 800 тыс. на 3 года под 10%; первые два платежа равны, последний 602,8 тыс. Найти сумму платежей.</x:v>
      </x:c>
      <x:c r="N1415" s="30" t="str">
        <x:v>1002,8 тыс. рублей</x:v>
      </x:c>
      <x:c r="O1415" s="30" t="str">
        <x:v>Перед третьим платежом долг 1064,8−2,31x=602,8; x=200. Сумма 2·200+602,8=1002,8.</x:v>
      </x:c>
      <x:c r="P1415" s="30" t="str">
        <x:v>Перед третьим платежом долг 1064,8−2,31x=602,8; x=200. Сумма 2·200+602,8=1002,8.</x:v>
      </x:c>
      <x:c r="Q1415" s="30"/>
      <x:c r="R1415" s="30" t="str">
        <x:v>Официальное задание + официальный критерий архива</x:v>
      </x:c>
      <x:c r="S1415" s="30"/>
      <x:c r="T1415" s="30"/>
      <x:c r="U1415" s="30" t="str">
        <x:v>Расхождений не обнаружено.</x:v>
      </x:c>
      <x:c r="V1415" s="87" t="str">
        <x:v>VERIFIED</x:v>
      </x:c>
      <x:c r="W1415" s="87" t="str">
        <x:v>Официальный PDF, задание 16</x:v>
      </x:c>
      <x:c r="X1415" s="87"/>
      <x:c r="Y1415" s="87"/>
      <x:c r="Z1415" s="87"/>
      <x:c r="AA1415" s="87"/>
      <x:c r="AB1415" s="87"/>
      <x:c r="AC1415" s="87"/>
      <x:c r="AD1415" s="87"/>
      <x:c r="AE1415" s="87"/>
      <x:c r="AF1415" s="87"/>
      <x:c r="AG1415" s="87"/>
      <x:c r="AH1415" s="87"/>
      <x:c r="AI1415" s="30"/>
      <x:c r="AJ1415" s="87" t="str">
        <x:v>master</x:v>
      </x:c>
      <x:c r="AK1415" s="87" t="str">
        <x:v>master-v0.81</x:v>
      </x:c>
      <x:c r="AL1415" s="87" t="str">
        <x:v>statgrad_master_base_v0_81_final(2).xlsx</x:v>
      </x:c>
      <x:c r="AM1415" s="87" t="str">
        <x:v>MATH_Mar_Prof_V3</x:v>
      </x:c>
      <x:c r="AN1415" s="87" t="n">
        <x:v>17</x:v>
      </x:c>
    </x:row>
    <x:row r="1416">
      <x:c r="A1416" s="87" t="n">
        <x:v>1415</x:v>
      </x:c>
      <x:c r="B1416" s="87" t="str">
        <x:v>MAR-MATH-P-V-7-017</x:v>
      </x:c>
      <x:c r="C1416" s="87" t="str">
        <x:v>СтатГрад</x:v>
      </x:c>
      <x:c r="D1416" s="87" t="str">
        <x:v>Март 2026</x:v>
      </x:c>
      <x:c r="E1416" s="87"/>
      <x:c r="F1416" s="87"/>
      <x:c r="G1416" s="87" t="str">
        <x:v>Математика</x:v>
      </x:c>
      <x:c r="H1416" s="87" t="str">
        <x:v>Профильный</x:v>
      </x:c>
      <x:c r="I1416" s="87" t="str">
        <x:v>ТР №4</x:v>
      </x:c>
      <x:c r="J1416" s="87" t="str">
        <x:v>МА2510411</x:v>
      </x:c>
      <x:c r="K1416" s="87" t="n">
        <x:v>17</x:v>
      </x:c>
      <x:c r="L1416" s="87" t="str">
        <x:v>Планиметрия: параллелограмм</x:v>
      </x:c>
      <x:c r="M1416" s="30" t="str">
        <x:v>Доказать AL·BC=AB·AC и найти EL при AC=12, tg∠BCA=1/3.</x:v>
      </x:c>
      <x:c r="N1416" s="30" t="str">
        <x:v>а) AL·BC=AB·AC; б) EL=6,5</x:v>
      </x:c>
      <x:c r="O1416" s="30" t="str">
        <x:v>Подобие ABL и ADC доказывает пункт а. В ALC: CF=6, LF=2, FE=4,5; EL=6,5.</x:v>
      </x:c>
      <x:c r="P1416" s="30" t="str">
        <x:v>Подобие ABL и ADC доказывает пункт а. В ALC: CF=6, LF=2, FE=4,5; EL=6,5.</x:v>
      </x:c>
      <x:c r="Q1416" s="30"/>
      <x:c r="R1416" s="30" t="str">
        <x:v>Официальное задание + официальный критерий архива</x:v>
      </x:c>
      <x:c r="S1416" s="30"/>
      <x:c r="T1416" s="30"/>
      <x:c r="U1416" s="30" t="str">
        <x:v>Расхождений не обнаружено.</x:v>
      </x:c>
      <x:c r="V1416" s="87" t="str">
        <x:v>VERIFIED</x:v>
      </x:c>
      <x:c r="W1416" s="87" t="str">
        <x:v>Официальный PDF, задание 17</x:v>
      </x:c>
      <x:c r="X1416" s="87"/>
      <x:c r="Y1416" s="87"/>
      <x:c r="Z1416" s="87"/>
      <x:c r="AA1416" s="87"/>
      <x:c r="AB1416" s="87"/>
      <x:c r="AC1416" s="87"/>
      <x:c r="AD1416" s="87"/>
      <x:c r="AE1416" s="87"/>
      <x:c r="AF1416" s="87"/>
      <x:c r="AG1416" s="87"/>
      <x:c r="AH1416" s="87"/>
      <x:c r="AI1416" s="30"/>
      <x:c r="AJ1416" s="87" t="str">
        <x:v>master</x:v>
      </x:c>
      <x:c r="AK1416" s="87" t="str">
        <x:v>master-v0.81</x:v>
      </x:c>
      <x:c r="AL1416" s="87" t="str">
        <x:v>statgrad_master_base_v0_81_final(2).xlsx</x:v>
      </x:c>
      <x:c r="AM1416" s="87" t="str">
        <x:v>MATH_Mar_Prof_V3</x:v>
      </x:c>
      <x:c r="AN1416" s="87" t="n">
        <x:v>18</x:v>
      </x:c>
    </x:row>
    <x:row r="1417">
      <x:c r="A1417" s="87" t="n">
        <x:v>1416</x:v>
      </x:c>
      <x:c r="B1417" s="87" t="str">
        <x:v>MAR-MATH-P-V-7-018</x:v>
      </x:c>
      <x:c r="C1417" s="87" t="str">
        <x:v>СтатГрад</x:v>
      </x:c>
      <x:c r="D1417" s="87" t="str">
        <x:v>Март 2026</x:v>
      </x:c>
      <x:c r="E1417" s="87"/>
      <x:c r="F1417" s="87"/>
      <x:c r="G1417" s="87" t="str">
        <x:v>Математика</x:v>
      </x:c>
      <x:c r="H1417" s="87" t="str">
        <x:v>Профильный</x:v>
      </x:c>
      <x:c r="I1417" s="87" t="str">
        <x:v>ТР №4</x:v>
      </x:c>
      <x:c r="J1417" s="87" t="str">
        <x:v>МА2510411</x:v>
      </x:c>
      <x:c r="K1417" s="87" t="n">
        <x:v>18</x:v>
      </x:c>
      <x:c r="L1417" s="87" t="str">
        <x:v>Уравнение с параметром</x:v>
      </x:c>
      <x:c r="M1417" s="30" t="str">
        <x:v>Найти a, при которых x²+a²+7x−23a=|23x+7a| имеет более двух корней.</x:v>
      </x:c>
      <x:c r="N1417" s="30" t="str">
        <x:v>a∈[−2;0]∪[23;25]</x:v>
      </x:c>
      <x:c r="O1417" s="30" t="str">
        <x:v>Ветви модуля задают дуги окружностей радиуса 17 с центрами (−15;8) и (8;15); анализ горизонтальных сечений даёт указанные интервалы.</x:v>
      </x:c>
      <x:c r="P1417" s="30" t="str">
        <x:v>Ветви модуля задают дуги окружностей радиуса 17 с центрами (−15;8) и (8;15); анализ горизонтальных сечений даёт указанные интервалы.</x:v>
      </x:c>
      <x:c r="Q1417" s="30"/>
      <x:c r="R1417" s="30" t="str">
        <x:v>Официальное задание + официальный критерий архива</x:v>
      </x:c>
      <x:c r="S1417" s="30"/>
      <x:c r="T1417" s="30"/>
      <x:c r="U1417" s="30" t="str">
        <x:v>Расхождений не обнаружено.</x:v>
      </x:c>
      <x:c r="V1417" s="87" t="str">
        <x:v>VERIFIED</x:v>
      </x:c>
      <x:c r="W1417" s="87" t="str">
        <x:v>Официальный PDF, задание 18</x:v>
      </x:c>
      <x:c r="X1417" s="87"/>
      <x:c r="Y1417" s="87"/>
      <x:c r="Z1417" s="87"/>
      <x:c r="AA1417" s="87"/>
      <x:c r="AB1417" s="87"/>
      <x:c r="AC1417" s="87"/>
      <x:c r="AD1417" s="87"/>
      <x:c r="AE1417" s="87"/>
      <x:c r="AF1417" s="87"/>
      <x:c r="AG1417" s="87"/>
      <x:c r="AH1417" s="87"/>
      <x:c r="AI1417" s="30"/>
      <x:c r="AJ1417" s="87" t="str">
        <x:v>master</x:v>
      </x:c>
      <x:c r="AK1417" s="87" t="str">
        <x:v>master-v0.81</x:v>
      </x:c>
      <x:c r="AL1417" s="87" t="str">
        <x:v>statgrad_master_base_v0_81_final(2).xlsx</x:v>
      </x:c>
      <x:c r="AM1417" s="87" t="str">
        <x:v>MATH_Mar_Prof_V3</x:v>
      </x:c>
      <x:c r="AN1417" s="87" t="n">
        <x:v>19</x:v>
      </x:c>
    </x:row>
    <x:row r="1418">
      <x:c r="A1418" s="87" t="n">
        <x:v>1417</x:v>
      </x:c>
      <x:c r="B1418" s="87" t="str">
        <x:v>MAR-MATH-P-V-7-019</x:v>
      </x:c>
      <x:c r="C1418" s="87" t="str">
        <x:v>СтатГрад</x:v>
      </x:c>
      <x:c r="D1418" s="87" t="str">
        <x:v>Март 2026</x:v>
      </x:c>
      <x:c r="E1418" s="87"/>
      <x:c r="F1418" s="87"/>
      <x:c r="G1418" s="87" t="str">
        <x:v>Математика</x:v>
      </x:c>
      <x:c r="H1418" s="87" t="str">
        <x:v>Профильный</x:v>
      </x:c>
      <x:c r="I1418" s="87" t="str">
        <x:v>ТР №4</x:v>
      </x:c>
      <x:c r="J1418" s="87" t="str">
        <x:v>МА2510411</x:v>
      </x:c>
      <x:c r="K1418" s="87" t="n">
        <x:v>19</x:v>
      </x:c>
      <x:c r="L1418" s="87" t="str">
        <x:v>Комбинаторная задача</x:v>
      </x:c>
      <x:c r="M1418" s="30" t="str">
        <x:v>Ограничения: театр ≤3/8 мальчиков, кино ≤7/17. Для 24 учащихся проверить 13 мальчиков, найти максимум и минимальную долю девочек.</x:v>
      </x:c>
      <x:c r="N1418" s="30" t="str">
        <x:v>а) да; б) 13; в) 10/23</x:v>
      </x:c>
      <x:c r="O1418" s="30" t="str">
        <x:v>Подходящая конструкция подтверждает 13 мальчиков; 14 невозможны из-за суммарных ограничений. Из оценок для двух групп мальчиков следует доля девочек не меньше 10/23, и равенство достижимо.</x:v>
      </x:c>
      <x:c r="P1418" s="30" t="str">
        <x:v>Подходящая конструкция подтверждает 13 мальчиков; 14 невозможны из-за суммарных ограничений. Из оценок для двух групп мальчиков следует доля девочек не меньше 10/23, и равенство достижимо.</x:v>
      </x:c>
      <x:c r="Q1418" s="30"/>
      <x:c r="R1418" s="30" t="str">
        <x:v>Официальное задание + официальный критерий архива</x:v>
      </x:c>
      <x:c r="S1418" s="30"/>
      <x:c r="T1418" s="30"/>
      <x:c r="U1418" s="30" t="str">
        <x:v>Расхождений не обнаружено.</x:v>
      </x:c>
      <x:c r="V1418" s="87" t="str">
        <x:v>VERIFIED</x:v>
      </x:c>
      <x:c r="W1418" s="87" t="str">
        <x:v>Официальный PDF, задание 19</x:v>
      </x:c>
      <x:c r="X1418" s="87"/>
      <x:c r="Y1418" s="87"/>
      <x:c r="Z1418" s="87"/>
      <x:c r="AA1418" s="87"/>
      <x:c r="AB1418" s="87"/>
      <x:c r="AC1418" s="87"/>
      <x:c r="AD1418" s="87"/>
      <x:c r="AE1418" s="87"/>
      <x:c r="AF1418" s="87"/>
      <x:c r="AG1418" s="87"/>
      <x:c r="AH1418" s="87"/>
      <x:c r="AI1418" s="30"/>
      <x:c r="AJ1418" s="87" t="str">
        <x:v>master</x:v>
      </x:c>
      <x:c r="AK1418" s="87" t="str">
        <x:v>master-v0.81</x:v>
      </x:c>
      <x:c r="AL1418" s="87" t="str">
        <x:v>statgrad_master_base_v0_81_final(2).xlsx</x:v>
      </x:c>
      <x:c r="AM1418" s="87" t="str">
        <x:v>MATH_Mar_Prof_V3</x:v>
      </x:c>
      <x:c r="AN1418" s="87" t="n">
        <x:v>20</x:v>
      </x:c>
    </x:row>
    <x:row r="1419">
      <x:c r="A1419" s="87" t="n">
        <x:v>1418</x:v>
      </x:c>
      <x:c r="B1419" s="87" t="str">
        <x:v>MAR-MATH-P-V-6-001</x:v>
      </x:c>
      <x:c r="C1419" s="87" t="str">
        <x:v>СтатГрад</x:v>
      </x:c>
      <x:c r="D1419" s="87" t="str">
        <x:v>Март 2026</x:v>
      </x:c>
      <x:c r="E1419" s="87"/>
      <x:c r="F1419" s="87"/>
      <x:c r="G1419" s="87" t="str">
        <x:v>Математика</x:v>
      </x:c>
      <x:c r="H1419" s="87" t="str">
        <x:v>Профильный</x:v>
      </x:c>
      <x:c r="I1419" s="87" t="str">
        <x:v>ТР №4</x:v>
      </x:c>
      <x:c r="J1419" s="87" t="str">
        <x:v>МА2510412</x:v>
      </x:c>
      <x:c r="K1419" s="87" t="n">
        <x:v>1</x:v>
      </x:c>
      <x:c r="L1419" s="87" t="str">
        <x:v>Площадь параллелограмма</x:v>
      </x:c>
      <x:c r="M1419" s="30" t="str">
        <x:v>Площадь ABCD равна 153; E — середина AD. Найти площадь треугольника ABE.</x:v>
      </x:c>
      <x:c r="N1419" s="30" t="str">
        <x:v>38,25</x:v>
      </x:c>
      <x:c r="O1419" s="30" t="str">
        <x:v>S_ABE=153/4=38,25.</x:v>
      </x:c>
      <x:c r="P1419" s="30" t="str">
        <x:v>S_ABE=153/4=38,25.</x:v>
      </x:c>
      <x:c r="Q1419" s="30"/>
      <x:c r="R1419" s="30" t="str">
        <x:v>Официальное задание + ключ архива + независимое решение</x:v>
      </x:c>
      <x:c r="S1419" s="30"/>
      <x:c r="T1419" s="30"/>
      <x:c r="U1419" s="30" t="str">
        <x:v>Расхождений не обнаружено.</x:v>
      </x:c>
      <x:c r="V1419" s="87" t="str">
        <x:v>VERIFIED</x:v>
      </x:c>
      <x:c r="W1419" s="87" t="str">
        <x:v>Официальный PDF, задание 1</x:v>
      </x:c>
      <x:c r="X1419" s="87"/>
      <x:c r="Y1419" s="87"/>
      <x:c r="Z1419" s="87"/>
      <x:c r="AA1419" s="87"/>
      <x:c r="AB1419" s="87"/>
      <x:c r="AC1419" s="87"/>
      <x:c r="AD1419" s="87"/>
      <x:c r="AE1419" s="87"/>
      <x:c r="AF1419" s="87"/>
      <x:c r="AG1419" s="87"/>
      <x:c r="AH1419" s="87"/>
      <x:c r="AI1419" s="30"/>
      <x:c r="AJ1419" s="87" t="str">
        <x:v>master</x:v>
      </x:c>
      <x:c r="AK1419" s="87" t="str">
        <x:v>master-v0.81</x:v>
      </x:c>
      <x:c r="AL1419" s="87" t="str">
        <x:v>statgrad_master_base_v0_81_final(2).xlsx</x:v>
      </x:c>
      <x:c r="AM1419" s="87" t="str">
        <x:v>MATH_Mar_Prof_V4</x:v>
      </x:c>
      <x:c r="AN1419" s="87" t="n">
        <x:v>2</x:v>
      </x:c>
    </x:row>
    <x:row r="1420">
      <x:c r="A1420" s="87" t="n">
        <x:v>1419</x:v>
      </x:c>
      <x:c r="B1420" s="87" t="str">
        <x:v>MAR-MATH-P-V-6-002</x:v>
      </x:c>
      <x:c r="C1420" s="87" t="str">
        <x:v>СтатГрад</x:v>
      </x:c>
      <x:c r="D1420" s="87" t="str">
        <x:v>Март 2026</x:v>
      </x:c>
      <x:c r="E1420" s="87"/>
      <x:c r="F1420" s="87"/>
      <x:c r="G1420" s="87" t="str">
        <x:v>Математика</x:v>
      </x:c>
      <x:c r="H1420" s="87" t="str">
        <x:v>Профильный</x:v>
      </x:c>
      <x:c r="I1420" s="87" t="str">
        <x:v>ТР №4</x:v>
      </x:c>
      <x:c r="J1420" s="87" t="str">
        <x:v>МА2510412</x:v>
      </x:c>
      <x:c r="K1420" s="87" t="n">
        <x:v>2</x:v>
      </x:c>
      <x:c r="L1420" s="87" t="str">
        <x:v>Квадрат длины вектора</x:v>
      </x:c>
      <x:c r="M1420" s="30" t="str">
        <x:v>По рисунку найти AB·AB.</x:v>
      </x:c>
      <x:c r="N1420" s="30" t="str">
        <x:v>34</x:v>
      </x:c>
      <x:c r="O1420" s="30" t="str">
        <x:v>A=(−3;−4), B=(2;−1), поэтому AB=(5;3), квадрат длины 25+9=34.</x:v>
      </x:c>
      <x:c r="P1420" s="30" t="str">
        <x:v>A=(−3;−4), B=(2;−1), поэтому AB=(5;3), квадрат длины 25+9=34.</x:v>
      </x:c>
      <x:c r="Q1420" s="30"/>
      <x:c r="R1420" s="30" t="str">
        <x:v>Официальное задание + ключ архива + независимое решение</x:v>
      </x:c>
      <x:c r="S1420" s="30"/>
      <x:c r="T1420" s="30"/>
      <x:c r="U1420" s="30" t="str">
        <x:v>Расхождений не обнаружено.</x:v>
      </x:c>
      <x:c r="V1420" s="87" t="str">
        <x:v>VERIFIED</x:v>
      </x:c>
      <x:c r="W1420" s="87" t="str">
        <x:v>Официальный PDF, задание 2</x:v>
      </x:c>
      <x:c r="X1420" s="87"/>
      <x:c r="Y1420" s="87"/>
      <x:c r="Z1420" s="87"/>
      <x:c r="AA1420" s="87"/>
      <x:c r="AB1420" s="87"/>
      <x:c r="AC1420" s="87"/>
      <x:c r="AD1420" s="87"/>
      <x:c r="AE1420" s="87"/>
      <x:c r="AF1420" s="87"/>
      <x:c r="AG1420" s="87"/>
      <x:c r="AH1420" s="87"/>
      <x:c r="AI1420" s="30"/>
      <x:c r="AJ1420" s="87" t="str">
        <x:v>master</x:v>
      </x:c>
      <x:c r="AK1420" s="87" t="str">
        <x:v>master-v0.81</x:v>
      </x:c>
      <x:c r="AL1420" s="87" t="str">
        <x:v>statgrad_master_base_v0_81_final(2).xlsx</x:v>
      </x:c>
      <x:c r="AM1420" s="87" t="str">
        <x:v>MATH_Mar_Prof_V4</x:v>
      </x:c>
      <x:c r="AN1420" s="87" t="n">
        <x:v>3</x:v>
      </x:c>
    </x:row>
    <x:row r="1421">
      <x:c r="A1421" s="87" t="n">
        <x:v>1420</x:v>
      </x:c>
      <x:c r="B1421" s="87" t="str">
        <x:v>MAR-MATH-P-V-6-003</x:v>
      </x:c>
      <x:c r="C1421" s="87" t="str">
        <x:v>СтатГрад</x:v>
      </x:c>
      <x:c r="D1421" s="87" t="str">
        <x:v>Март 2026</x:v>
      </x:c>
      <x:c r="E1421" s="87"/>
      <x:c r="F1421" s="87"/>
      <x:c r="G1421" s="87" t="str">
        <x:v>Математика</x:v>
      </x:c>
      <x:c r="H1421" s="87" t="str">
        <x:v>Профильный</x:v>
      </x:c>
      <x:c r="I1421" s="87" t="str">
        <x:v>ТР №4</x:v>
      </x:c>
      <x:c r="J1421" s="87" t="str">
        <x:v>МА2510412</x:v>
      </x:c>
      <x:c r="K1421" s="87" t="n">
        <x:v>3</x:v>
      </x:c>
      <x:c r="L1421" s="87" t="str">
        <x:v>Конус и сфера</x:v>
      </x:c>
      <x:c r="M1421" s="30" t="str">
        <x:v>Радиус описанной сферы 84√2; найти образующую конуса.</x:v>
      </x:c>
      <x:c r="N1421" s="30" t="str">
        <x:v>168</x:v>
      </x:c>
      <x:c r="O1421" s="30" t="str">
        <x:v>Образующая равна R√2=84√2·√2=168.</x:v>
      </x:c>
      <x:c r="P1421" s="30" t="str">
        <x:v>Образующая равна R√2=84√2·√2=168.</x:v>
      </x:c>
      <x:c r="Q1421" s="30"/>
      <x:c r="R1421" s="30" t="str">
        <x:v>Официальное задание + ключ архива + независимое решение</x:v>
      </x:c>
      <x:c r="S1421" s="30"/>
      <x:c r="T1421" s="30"/>
      <x:c r="U1421" s="30" t="str">
        <x:v>Расхождений не обнаружено.</x:v>
      </x:c>
      <x:c r="V1421" s="87" t="str">
        <x:v>VERIFIED</x:v>
      </x:c>
      <x:c r="W1421" s="87" t="str">
        <x:v>Официальный PDF, задание 3</x:v>
      </x:c>
      <x:c r="X1421" s="87"/>
      <x:c r="Y1421" s="87"/>
      <x:c r="Z1421" s="87"/>
      <x:c r="AA1421" s="87"/>
      <x:c r="AB1421" s="87"/>
      <x:c r="AC1421" s="87"/>
      <x:c r="AD1421" s="87"/>
      <x:c r="AE1421" s="87"/>
      <x:c r="AF1421" s="87"/>
      <x:c r="AG1421" s="87"/>
      <x:c r="AH1421" s="87"/>
      <x:c r="AI1421" s="30"/>
      <x:c r="AJ1421" s="87" t="str">
        <x:v>master</x:v>
      </x:c>
      <x:c r="AK1421" s="87" t="str">
        <x:v>master-v0.81</x:v>
      </x:c>
      <x:c r="AL1421" s="87" t="str">
        <x:v>statgrad_master_base_v0_81_final(2).xlsx</x:v>
      </x:c>
      <x:c r="AM1421" s="87" t="str">
        <x:v>MATH_Mar_Prof_V4</x:v>
      </x:c>
      <x:c r="AN1421" s="87" t="n">
        <x:v>4</x:v>
      </x:c>
    </x:row>
    <x:row r="1422">
      <x:c r="A1422" s="87" t="n">
        <x:v>1421</x:v>
      </x:c>
      <x:c r="B1422" s="87" t="str">
        <x:v>MAR-MATH-P-V-6-004</x:v>
      </x:c>
      <x:c r="C1422" s="87" t="str">
        <x:v>СтатГрад</x:v>
      </x:c>
      <x:c r="D1422" s="87" t="str">
        <x:v>Март 2026</x:v>
      </x:c>
      <x:c r="E1422" s="87"/>
      <x:c r="F1422" s="87"/>
      <x:c r="G1422" s="87" t="str">
        <x:v>Математика</x:v>
      </x:c>
      <x:c r="H1422" s="87" t="str">
        <x:v>Профильный</x:v>
      </x:c>
      <x:c r="I1422" s="87" t="str">
        <x:v>ТР №4</x:v>
      </x:c>
      <x:c r="J1422" s="87" t="str">
        <x:v>МА2510412</x:v>
      </x:c>
      <x:c r="K1422" s="87" t="n">
        <x:v>4</x:v>
      </x:c>
      <x:c r="L1422" s="87" t="str">
        <x:v>Вероятность: монеты</x:v>
      </x:c>
      <x:c r="M1422" s="30" t="str">
        <x:v>Три броска монеты; решка выпала ровно один раз.</x:v>
      </x:c>
      <x:c r="N1422" s="30" t="str">
        <x:v>0,375</x:v>
      </x:c>
      <x:c r="O1422" s="30" t="str">
        <x:v>Три подходящих исхода из восьми: 3/8=0,375.</x:v>
      </x:c>
      <x:c r="P1422" s="30" t="str">
        <x:v>Три подходящих исхода из восьми: 3/8=0,375.</x:v>
      </x:c>
      <x:c r="Q1422" s="30"/>
      <x:c r="R1422" s="30" t="str">
        <x:v>Официальное задание + ключ архива + независимое решение</x:v>
      </x:c>
      <x:c r="S1422" s="30"/>
      <x:c r="T1422" s="30"/>
      <x:c r="U1422" s="30" t="str">
        <x:v>Расхождений не обнаружено.</x:v>
      </x:c>
      <x:c r="V1422" s="87" t="str">
        <x:v>VERIFIED</x:v>
      </x:c>
      <x:c r="W1422" s="87" t="str">
        <x:v>Официальный PDF, задание 4</x:v>
      </x:c>
      <x:c r="X1422" s="87"/>
      <x:c r="Y1422" s="87"/>
      <x:c r="Z1422" s="87"/>
      <x:c r="AA1422" s="87"/>
      <x:c r="AB1422" s="87"/>
      <x:c r="AC1422" s="87"/>
      <x:c r="AD1422" s="87"/>
      <x:c r="AE1422" s="87"/>
      <x:c r="AF1422" s="87"/>
      <x:c r="AG1422" s="87"/>
      <x:c r="AH1422" s="87"/>
      <x:c r="AI1422" s="30"/>
      <x:c r="AJ1422" s="87" t="str">
        <x:v>master</x:v>
      </x:c>
      <x:c r="AK1422" s="87" t="str">
        <x:v>master-v0.81</x:v>
      </x:c>
      <x:c r="AL1422" s="87" t="str">
        <x:v>statgrad_master_base_v0_81_final(2).xlsx</x:v>
      </x:c>
      <x:c r="AM1422" s="87" t="str">
        <x:v>MATH_Mar_Prof_V4</x:v>
      </x:c>
      <x:c r="AN1422" s="87" t="n">
        <x:v>5</x:v>
      </x:c>
    </x:row>
    <x:row r="1423">
      <x:c r="A1423" s="87" t="n">
        <x:v>1422</x:v>
      </x:c>
      <x:c r="B1423" s="87" t="str">
        <x:v>MAR-MATH-P-V-6-005</x:v>
      </x:c>
      <x:c r="C1423" s="87" t="str">
        <x:v>СтатГрад</x:v>
      </x:c>
      <x:c r="D1423" s="87" t="str">
        <x:v>Март 2026</x:v>
      </x:c>
      <x:c r="E1423" s="87"/>
      <x:c r="F1423" s="87"/>
      <x:c r="G1423" s="87" t="str">
        <x:v>Математика</x:v>
      </x:c>
      <x:c r="H1423" s="87" t="str">
        <x:v>Профильный</x:v>
      </x:c>
      <x:c r="I1423" s="87" t="str">
        <x:v>ТР №4</x:v>
      </x:c>
      <x:c r="J1423" s="87" t="str">
        <x:v>МА2510412</x:v>
      </x:c>
      <x:c r="K1423" s="87" t="n">
        <x:v>5</x:v>
      </x:c>
      <x:c r="L1423" s="87" t="str">
        <x:v>Формула полной вероятности</x:v>
      </x:c>
      <x:c r="M1423" s="30" t="str">
        <x:v>90% яиц первого хозяйства и 10% второго — высшей категории; всего 50%. Найти долю первого хозяйства.</x:v>
      </x:c>
      <x:c r="N1423" s="30" t="str">
        <x:v>0,5</x:v>
      </x:c>
      <x:c r="O1423" s="30" t="str">
        <x:v>0,9p+0,1(1−p)=0,5; 0,8p=0,4; p=0,5.</x:v>
      </x:c>
      <x:c r="P1423" s="30" t="str">
        <x:v>0,9p+0,1(1−p)=0,5; 0,8p=0,4; p=0,5.</x:v>
      </x:c>
      <x:c r="Q1423" s="30"/>
      <x:c r="R1423" s="30" t="str">
        <x:v>Официальное задание + ключ архива + независимое решение</x:v>
      </x:c>
      <x:c r="S1423" s="30"/>
      <x:c r="T1423" s="30"/>
      <x:c r="U1423" s="30" t="str">
        <x:v>Расхождений не обнаружено.</x:v>
      </x:c>
      <x:c r="V1423" s="87" t="str">
        <x:v>VERIFIED</x:v>
      </x:c>
      <x:c r="W1423" s="87" t="str">
        <x:v>Официальный PDF, задание 5</x:v>
      </x:c>
      <x:c r="X1423" s="87"/>
      <x:c r="Y1423" s="87"/>
      <x:c r="Z1423" s="87"/>
      <x:c r="AA1423" s="87"/>
      <x:c r="AB1423" s="87"/>
      <x:c r="AC1423" s="87"/>
      <x:c r="AD1423" s="87"/>
      <x:c r="AE1423" s="87"/>
      <x:c r="AF1423" s="87"/>
      <x:c r="AG1423" s="87"/>
      <x:c r="AH1423" s="87"/>
      <x:c r="AI1423" s="30"/>
      <x:c r="AJ1423" s="87" t="str">
        <x:v>master</x:v>
      </x:c>
      <x:c r="AK1423" s="87" t="str">
        <x:v>master-v0.81</x:v>
      </x:c>
      <x:c r="AL1423" s="87" t="str">
        <x:v>statgrad_master_base_v0_81_final(2).xlsx</x:v>
      </x:c>
      <x:c r="AM1423" s="87" t="str">
        <x:v>MATH_Mar_Prof_V4</x:v>
      </x:c>
      <x:c r="AN1423" s="87" t="n">
        <x:v>6</x:v>
      </x:c>
    </x:row>
    <x:row r="1424">
      <x:c r="A1424" s="87" t="n">
        <x:v>1423</x:v>
      </x:c>
      <x:c r="B1424" s="87" t="str">
        <x:v>MAR-MATH-P-V-6-006</x:v>
      </x:c>
      <x:c r="C1424" s="87" t="str">
        <x:v>СтатГрад</x:v>
      </x:c>
      <x:c r="D1424" s="87" t="str">
        <x:v>Март 2026</x:v>
      </x:c>
      <x:c r="E1424" s="87"/>
      <x:c r="F1424" s="87"/>
      <x:c r="G1424" s="87" t="str">
        <x:v>Математика</x:v>
      </x:c>
      <x:c r="H1424" s="87" t="str">
        <x:v>Профильный</x:v>
      </x:c>
      <x:c r="I1424" s="87" t="str">
        <x:v>ТР №4</x:v>
      </x:c>
      <x:c r="J1424" s="87" t="str">
        <x:v>МА2510412</x:v>
      </x:c>
      <x:c r="K1424" s="87" t="n">
        <x:v>6</x:v>
      </x:c>
      <x:c r="L1424" s="87" t="str">
        <x:v>Логарифмическое уравнение</x:v>
      </x:c>
      <x:c r="M1424" s="30" t="str">
        <x:v>Решить log₂(4+x)=log₂(2−x)+2.</x:v>
      </x:c>
      <x:c r="N1424" s="30" t="str">
        <x:v>0,8</x:v>
      </x:c>
      <x:c r="O1424" s="30" t="str">
        <x:v>4+x=4(2−x), откуда 5x=4 и x=0,8.</x:v>
      </x:c>
      <x:c r="P1424" s="30" t="str">
        <x:v>4+x=4(2−x), откуда 5x=4 и x=0,8.</x:v>
      </x:c>
      <x:c r="Q1424" s="30"/>
      <x:c r="R1424" s="30" t="str">
        <x:v>Официальное задание + ключ архива + независимое решение</x:v>
      </x:c>
      <x:c r="S1424" s="30"/>
      <x:c r="T1424" s="30"/>
      <x:c r="U1424" s="30" t="str">
        <x:v>Расхождений не обнаружено.</x:v>
      </x:c>
      <x:c r="V1424" s="87" t="str">
        <x:v>VERIFIED</x:v>
      </x:c>
      <x:c r="W1424" s="87" t="str">
        <x:v>Официальный PDF, задание 6</x:v>
      </x:c>
      <x:c r="X1424" s="87"/>
      <x:c r="Y1424" s="87"/>
      <x:c r="Z1424" s="87"/>
      <x:c r="AA1424" s="87"/>
      <x:c r="AB1424" s="87"/>
      <x:c r="AC1424" s="87"/>
      <x:c r="AD1424" s="87"/>
      <x:c r="AE1424" s="87"/>
      <x:c r="AF1424" s="87"/>
      <x:c r="AG1424" s="87"/>
      <x:c r="AH1424" s="87"/>
      <x:c r="AI1424" s="30"/>
      <x:c r="AJ1424" s="87" t="str">
        <x:v>master</x:v>
      </x:c>
      <x:c r="AK1424" s="87" t="str">
        <x:v>master-v0.81</x:v>
      </x:c>
      <x:c r="AL1424" s="87" t="str">
        <x:v>statgrad_master_base_v0_81_final(2).xlsx</x:v>
      </x:c>
      <x:c r="AM1424" s="87" t="str">
        <x:v>MATH_Mar_Prof_V4</x:v>
      </x:c>
      <x:c r="AN1424" s="87" t="n">
        <x:v>7</x:v>
      </x:c>
    </x:row>
    <x:row r="1425">
      <x:c r="A1425" s="87" t="n">
        <x:v>1424</x:v>
      </x:c>
      <x:c r="B1425" s="87" t="str">
        <x:v>MAR-MATH-P-V-6-007</x:v>
      </x:c>
      <x:c r="C1425" s="87" t="str">
        <x:v>СтатГрад</x:v>
      </x:c>
      <x:c r="D1425" s="87" t="str">
        <x:v>Март 2026</x:v>
      </x:c>
      <x:c r="E1425" s="87"/>
      <x:c r="F1425" s="87"/>
      <x:c r="G1425" s="87" t="str">
        <x:v>Математика</x:v>
      </x:c>
      <x:c r="H1425" s="87" t="str">
        <x:v>Профильный</x:v>
      </x:c>
      <x:c r="I1425" s="87" t="str">
        <x:v>ТР №4</x:v>
      </x:c>
      <x:c r="J1425" s="87" t="str">
        <x:v>МА2510412</x:v>
      </x:c>
      <x:c r="K1425" s="87" t="n">
        <x:v>7</x:v>
      </x:c>
      <x:c r="L1425" s="87" t="str">
        <x:v>Степени</x:v>
      </x:c>
      <x:c r="M1425" s="30" t="str">
        <x:v>Вычислить 7^(1/2)·49^(1/4).</x:v>
      </x:c>
      <x:c r="N1425" s="30" t="str">
        <x:v>7</x:v>
      </x:c>
      <x:c r="O1425" s="30" t="str">
        <x:v>49^(1/4)=7^(1/2); произведение равно 7.</x:v>
      </x:c>
      <x:c r="P1425" s="30" t="str">
        <x:v>49^(1/4)=7^(1/2); произведение равно 7.</x:v>
      </x:c>
      <x:c r="Q1425" s="30"/>
      <x:c r="R1425" s="30" t="str">
        <x:v>Официальное задание + ключ архива + независимое решение</x:v>
      </x:c>
      <x:c r="S1425" s="30"/>
      <x:c r="T1425" s="30"/>
      <x:c r="U1425" s="30" t="str">
        <x:v>Расхождений не обнаружено.</x:v>
      </x:c>
      <x:c r="V1425" s="87" t="str">
        <x:v>VERIFIED</x:v>
      </x:c>
      <x:c r="W1425" s="87" t="str">
        <x:v>Официальный PDF, задание 7</x:v>
      </x:c>
      <x:c r="X1425" s="87"/>
      <x:c r="Y1425" s="87"/>
      <x:c r="Z1425" s="87"/>
      <x:c r="AA1425" s="87"/>
      <x:c r="AB1425" s="87"/>
      <x:c r="AC1425" s="87"/>
      <x:c r="AD1425" s="87"/>
      <x:c r="AE1425" s="87"/>
      <x:c r="AF1425" s="87"/>
      <x:c r="AG1425" s="87"/>
      <x:c r="AH1425" s="87"/>
      <x:c r="AI1425" s="30"/>
      <x:c r="AJ1425" s="87" t="str">
        <x:v>master</x:v>
      </x:c>
      <x:c r="AK1425" s="87" t="str">
        <x:v>master-v0.81</x:v>
      </x:c>
      <x:c r="AL1425" s="87" t="str">
        <x:v>statgrad_master_base_v0_81_final(2).xlsx</x:v>
      </x:c>
      <x:c r="AM1425" s="87" t="str">
        <x:v>MATH_Mar_Prof_V4</x:v>
      </x:c>
      <x:c r="AN1425" s="87" t="n">
        <x:v>8</x:v>
      </x:c>
    </x:row>
    <x:row r="1426">
      <x:c r="A1426" s="87" t="n">
        <x:v>1425</x:v>
      </x:c>
      <x:c r="B1426" s="87" t="str">
        <x:v>MAR-MATH-P-V-6-008</x:v>
      </x:c>
      <x:c r="C1426" s="87" t="str">
        <x:v>СтатГрад</x:v>
      </x:c>
      <x:c r="D1426" s="87" t="str">
        <x:v>Март 2026</x:v>
      </x:c>
      <x:c r="E1426" s="87"/>
      <x:c r="F1426" s="87"/>
      <x:c r="G1426" s="87" t="str">
        <x:v>Математика</x:v>
      </x:c>
      <x:c r="H1426" s="87" t="str">
        <x:v>Профильный</x:v>
      </x:c>
      <x:c r="I1426" s="87" t="str">
        <x:v>ТР №4</x:v>
      </x:c>
      <x:c r="J1426" s="87" t="str">
        <x:v>МА2510412</x:v>
      </x:c>
      <x:c r="K1426" s="87" t="n">
        <x:v>8</x:v>
      </x:c>
      <x:c r="L1426" s="87" t="str">
        <x:v>Производная и монотонность</x:v>
      </x:c>
      <x:c r="M1426" s="30" t="str">
        <x:v>По графику f′ определить число отмеченных точек на промежутках убывания f.</x:v>
      </x:c>
      <x:c r="N1426" s="30" t="str">
        <x:v>5</x:v>
      </x:c>
      <x:c r="O1426" s="30" t="str">
        <x:v>Производная отрицательна в x₁ и x₆–x₉: всего пять точек.</x:v>
      </x:c>
      <x:c r="P1426" s="30" t="str">
        <x:v>Производная отрицательна в x₁ и x₆–x₉: всего пять точек.</x:v>
      </x:c>
      <x:c r="Q1426" s="30"/>
      <x:c r="R1426" s="30" t="str">
        <x:v>Официальное задание + ключ архива + независимое решение</x:v>
      </x:c>
      <x:c r="S1426" s="30"/>
      <x:c r="T1426" s="30"/>
      <x:c r="U1426" s="30" t="str">
        <x:v>Расхождений не обнаружено.</x:v>
      </x:c>
      <x:c r="V1426" s="87" t="str">
        <x:v>VERIFIED</x:v>
      </x:c>
      <x:c r="W1426" s="87" t="str">
        <x:v>Официальный PDF, задание 8</x:v>
      </x:c>
      <x:c r="X1426" s="87"/>
      <x:c r="Y1426" s="87"/>
      <x:c r="Z1426" s="87"/>
      <x:c r="AA1426" s="87"/>
      <x:c r="AB1426" s="87"/>
      <x:c r="AC1426" s="87"/>
      <x:c r="AD1426" s="87"/>
      <x:c r="AE1426" s="87"/>
      <x:c r="AF1426" s="87"/>
      <x:c r="AG1426" s="87"/>
      <x:c r="AH1426" s="87"/>
      <x:c r="AI1426" s="30"/>
      <x:c r="AJ1426" s="87" t="str">
        <x:v>master</x:v>
      </x:c>
      <x:c r="AK1426" s="87" t="str">
        <x:v>master-v0.81</x:v>
      </x:c>
      <x:c r="AL1426" s="87" t="str">
        <x:v>statgrad_master_base_v0_81_final(2).xlsx</x:v>
      </x:c>
      <x:c r="AM1426" s="87" t="str">
        <x:v>MATH_Mar_Prof_V4</x:v>
      </x:c>
      <x:c r="AN1426" s="87" t="n">
        <x:v>9</x:v>
      </x:c>
    </x:row>
    <x:row r="1427">
      <x:c r="A1427" s="87" t="n">
        <x:v>1426</x:v>
      </x:c>
      <x:c r="B1427" s="87" t="str">
        <x:v>MAR-MATH-P-V-6-009</x:v>
      </x:c>
      <x:c r="C1427" s="87" t="str">
        <x:v>СтатГрад</x:v>
      </x:c>
      <x:c r="D1427" s="87" t="str">
        <x:v>Март 2026</x:v>
      </x:c>
      <x:c r="E1427" s="87"/>
      <x:c r="F1427" s="87"/>
      <x:c r="G1427" s="87" t="str">
        <x:v>Математика</x:v>
      </x:c>
      <x:c r="H1427" s="87" t="str">
        <x:v>Профильный</x:v>
      </x:c>
      <x:c r="I1427" s="87" t="str">
        <x:v>ТР №4</x:v>
      </x:c>
      <x:c r="J1427" s="87" t="str">
        <x:v>МА2510412</x:v>
      </x:c>
      <x:c r="K1427" s="87" t="n">
        <x:v>9</x:v>
      </x:c>
      <x:c r="L1427" s="87" t="str">
        <x:v>Прикладная логарифмическая модель</x:v>
      </x:c>
      <x:c r="M1427" s="30" t="str">
        <x:v>Водолазный колокол: ν=4, V₁=22 л, α=9,1, T=300, работа 21840 Дж. Найти V₂.</x:v>
      </x:c>
      <x:c r="N1427" s="30" t="str">
        <x:v>5,5</x:v>
      </x:c>
      <x:c r="O1427" s="30" t="str">
        <x:v>ανT=10920; log₂(22/V₂)=2; V₂=22/4=5,5.</x:v>
      </x:c>
      <x:c r="P1427" s="30" t="str">
        <x:v>ανT=10920; log₂(22/V₂)=2; V₂=22/4=5,5.</x:v>
      </x:c>
      <x:c r="Q1427" s="30"/>
      <x:c r="R1427" s="30" t="str">
        <x:v>Официальное задание + ключ архива + независимое решение</x:v>
      </x:c>
      <x:c r="S1427" s="30"/>
      <x:c r="T1427" s="30"/>
      <x:c r="U1427" s="30" t="str">
        <x:v>Расхождений не обнаружено.</x:v>
      </x:c>
      <x:c r="V1427" s="87" t="str">
        <x:v>VERIFIED</x:v>
      </x:c>
      <x:c r="W1427" s="87" t="str">
        <x:v>Официальный PDF, задание 9</x:v>
      </x:c>
      <x:c r="X1427" s="87"/>
      <x:c r="Y1427" s="87"/>
      <x:c r="Z1427" s="87"/>
      <x:c r="AA1427" s="87"/>
      <x:c r="AB1427" s="87"/>
      <x:c r="AC1427" s="87"/>
      <x:c r="AD1427" s="87"/>
      <x:c r="AE1427" s="87"/>
      <x:c r="AF1427" s="87"/>
      <x:c r="AG1427" s="87"/>
      <x:c r="AH1427" s="87"/>
      <x:c r="AI1427" s="30"/>
      <x:c r="AJ1427" s="87" t="str">
        <x:v>master</x:v>
      </x:c>
      <x:c r="AK1427" s="87" t="str">
        <x:v>master-v0.81</x:v>
      </x:c>
      <x:c r="AL1427" s="87" t="str">
        <x:v>statgrad_master_base_v0_81_final(2).xlsx</x:v>
      </x:c>
      <x:c r="AM1427" s="87" t="str">
        <x:v>MATH_Mar_Prof_V4</x:v>
      </x:c>
      <x:c r="AN1427" s="87" t="n">
        <x:v>10</x:v>
      </x:c>
    </x:row>
    <x:row r="1428">
      <x:c r="A1428" s="87" t="n">
        <x:v>1427</x:v>
      </x:c>
      <x:c r="B1428" s="87" t="str">
        <x:v>MAR-MATH-P-V-6-010</x:v>
      </x:c>
      <x:c r="C1428" s="87" t="str">
        <x:v>СтатГрад</x:v>
      </x:c>
      <x:c r="D1428" s="87" t="str">
        <x:v>Март 2026</x:v>
      </x:c>
      <x:c r="E1428" s="87"/>
      <x:c r="F1428" s="87"/>
      <x:c r="G1428" s="87" t="str">
        <x:v>Математика</x:v>
      </x:c>
      <x:c r="H1428" s="87" t="str">
        <x:v>Профильный</x:v>
      </x:c>
      <x:c r="I1428" s="87" t="str">
        <x:v>ТР №4</x:v>
      </x:c>
      <x:c r="J1428" s="87" t="str">
        <x:v>МА2510412</x:v>
      </x:c>
      <x:c r="K1428" s="87" t="n">
        <x:v>10</x:v>
      </x:c>
      <x:c r="L1428" s="87" t="str">
        <x:v>Арифметическая прогрессия</x:v>
      </x:c>
      <x:c r="M1428" s="30" t="str">
        <x:v>306 т за 17 дней, первый день 2 т. Найти объём тринадцатого дня.</x:v>
      </x:c>
      <x:c r="N1428" s="30" t="str">
        <x:v>26</x:v>
      </x:c>
      <x:c r="O1428" s="30" t="str">
        <x:v>306=17/2(4+16d), откуда d=2; a₁₃=2+12·2=26.</x:v>
      </x:c>
      <x:c r="P1428" s="30" t="str">
        <x:v>306=17/2(4+16d), откуда d=2; a₁₃=2+12·2=26.</x:v>
      </x:c>
      <x:c r="Q1428" s="30"/>
      <x:c r="R1428" s="30" t="str">
        <x:v>Официальное задание + ключ архива + независимое решение</x:v>
      </x:c>
      <x:c r="S1428" s="30"/>
      <x:c r="T1428" s="30"/>
      <x:c r="U1428" s="30" t="str">
        <x:v>Расхождений не обнаружено.</x:v>
      </x:c>
      <x:c r="V1428" s="87" t="str">
        <x:v>VERIFIED</x:v>
      </x:c>
      <x:c r="W1428" s="87" t="str">
        <x:v>Официальный PDF, задание 10</x:v>
      </x:c>
      <x:c r="X1428" s="87"/>
      <x:c r="Y1428" s="87"/>
      <x:c r="Z1428" s="87"/>
      <x:c r="AA1428" s="87"/>
      <x:c r="AB1428" s="87"/>
      <x:c r="AC1428" s="87"/>
      <x:c r="AD1428" s="87"/>
      <x:c r="AE1428" s="87"/>
      <x:c r="AF1428" s="87"/>
      <x:c r="AG1428" s="87"/>
      <x:c r="AH1428" s="87"/>
      <x:c r="AI1428" s="30"/>
      <x:c r="AJ1428" s="87" t="str">
        <x:v>master</x:v>
      </x:c>
      <x:c r="AK1428" s="87" t="str">
        <x:v>master-v0.81</x:v>
      </x:c>
      <x:c r="AL1428" s="87" t="str">
        <x:v>statgrad_master_base_v0_81_final(2).xlsx</x:v>
      </x:c>
      <x:c r="AM1428" s="87" t="str">
        <x:v>MATH_Mar_Prof_V4</x:v>
      </x:c>
      <x:c r="AN1428" s="87" t="n">
        <x:v>11</x:v>
      </x:c>
    </x:row>
    <x:row r="1429">
      <x:c r="A1429" s="87" t="n">
        <x:v>1428</x:v>
      </x:c>
      <x:c r="B1429" s="87" t="str">
        <x:v>MAR-MATH-P-V-6-011</x:v>
      </x:c>
      <x:c r="C1429" s="87" t="str">
        <x:v>СтатГрад</x:v>
      </x:c>
      <x:c r="D1429" s="87" t="str">
        <x:v>Март 2026</x:v>
      </x:c>
      <x:c r="E1429" s="87"/>
      <x:c r="F1429" s="87"/>
      <x:c r="G1429" s="87" t="str">
        <x:v>Математика</x:v>
      </x:c>
      <x:c r="H1429" s="87" t="str">
        <x:v>Профильный</x:v>
      </x:c>
      <x:c r="I1429" s="87" t="str">
        <x:v>ТР №4</x:v>
      </x:c>
      <x:c r="J1429" s="87" t="str">
        <x:v>МА2510412</x:v>
      </x:c>
      <x:c r="K1429" s="87" t="n">
        <x:v>11</x:v>
      </x:c>
      <x:c r="L1429" s="87" t="str">
        <x:v>Линейные функции по графику</x:v>
      </x:c>
      <x:c r="M1429" s="30" t="str">
        <x:v>Найти абсциссу точки пересечения прямых.</x:v>
      </x:c>
      <x:c r="N1429" s="30" t="str">
        <x:v>−1,7</x:v>
      </x:c>
      <x:c r="O1429" s="30" t="str">
        <x:v>По отмеченным точкам составлены уравнения прямых; их пересечение имеет x=−1,7.</x:v>
      </x:c>
      <x:c r="P1429" s="30" t="str">
        <x:v>По отмеченным точкам составлены уравнения прямых; их пересечение имеет x=−1,7.</x:v>
      </x:c>
      <x:c r="Q1429" s="30"/>
      <x:c r="R1429" s="30" t="str">
        <x:v>Официальное задание + ключ архива + независимое решение</x:v>
      </x:c>
      <x:c r="S1429" s="30"/>
      <x:c r="T1429" s="30"/>
      <x:c r="U1429" s="30" t="str">
        <x:v>Расхождений не обнаружено.</x:v>
      </x:c>
      <x:c r="V1429" s="87" t="str">
        <x:v>VERIFIED</x:v>
      </x:c>
      <x:c r="W1429" s="87" t="str">
        <x:v>Официальный PDF, задание 11</x:v>
      </x:c>
      <x:c r="X1429" s="87"/>
      <x:c r="Y1429" s="87"/>
      <x:c r="Z1429" s="87"/>
      <x:c r="AA1429" s="87"/>
      <x:c r="AB1429" s="87"/>
      <x:c r="AC1429" s="87"/>
      <x:c r="AD1429" s="87"/>
      <x:c r="AE1429" s="87"/>
      <x:c r="AF1429" s="87"/>
      <x:c r="AG1429" s="87"/>
      <x:c r="AH1429" s="87"/>
      <x:c r="AI1429" s="30"/>
      <x:c r="AJ1429" s="87" t="str">
        <x:v>master</x:v>
      </x:c>
      <x:c r="AK1429" s="87" t="str">
        <x:v>master-v0.81</x:v>
      </x:c>
      <x:c r="AL1429" s="87" t="str">
        <x:v>statgrad_master_base_v0_81_final(2).xlsx</x:v>
      </x:c>
      <x:c r="AM1429" s="87" t="str">
        <x:v>MATH_Mar_Prof_V4</x:v>
      </x:c>
      <x:c r="AN1429" s="87" t="n">
        <x:v>12</x:v>
      </x:c>
    </x:row>
    <x:row r="1430">
      <x:c r="A1430" s="87" t="n">
        <x:v>1429</x:v>
      </x:c>
      <x:c r="B1430" s="87" t="str">
        <x:v>MAR-MATH-P-V-6-012</x:v>
      </x:c>
      <x:c r="C1430" s="87" t="str">
        <x:v>СтатГрад</x:v>
      </x:c>
      <x:c r="D1430" s="87" t="str">
        <x:v>Март 2026</x:v>
      </x:c>
      <x:c r="E1430" s="87"/>
      <x:c r="F1430" s="87"/>
      <x:c r="G1430" s="87" t="str">
        <x:v>Математика</x:v>
      </x:c>
      <x:c r="H1430" s="87" t="str">
        <x:v>Профильный</x:v>
      </x:c>
      <x:c r="I1430" s="87" t="str">
        <x:v>ТР №4</x:v>
      </x:c>
      <x:c r="J1430" s="87" t="str">
        <x:v>МА2510412</x:v>
      </x:c>
      <x:c r="K1430" s="87" t="n">
        <x:v>12</x:v>
      </x:c>
      <x:c r="L1430" s="87" t="str">
        <x:v>Экстремум функции</x:v>
      </x:c>
      <x:c r="M1430" s="30" t="str">
        <x:v>Найти точку максимума y=(x+17)²e^(30−x).</x:v>
      </x:c>
      <x:c r="N1430" s="30" t="str">
        <x:v>−15</x:v>
      </x:c>
      <x:c r="O1430" s="30" t="str">
        <x:v>y′=−e^(30−x)(x+17)(x+15); максимум достигается при x=−15.</x:v>
      </x:c>
      <x:c r="P1430" s="30" t="str">
        <x:v>y′=−e^(30−x)(x+17)(x+15); максимум достигается при x=−15.</x:v>
      </x:c>
      <x:c r="Q1430" s="30"/>
      <x:c r="R1430" s="30" t="str">
        <x:v>Официальное задание + ключ архива + независимое решение</x:v>
      </x:c>
      <x:c r="S1430" s="30"/>
      <x:c r="T1430" s="30"/>
      <x:c r="U1430" s="30" t="str">
        <x:v>Расхождений не обнаружено.</x:v>
      </x:c>
      <x:c r="V1430" s="87" t="str">
        <x:v>VERIFIED</x:v>
      </x:c>
      <x:c r="W1430" s="87" t="str">
        <x:v>Официальный PDF, задание 12</x:v>
      </x:c>
      <x:c r="X1430" s="87"/>
      <x:c r="Y1430" s="87"/>
      <x:c r="Z1430" s="87"/>
      <x:c r="AA1430" s="87"/>
      <x:c r="AB1430" s="87"/>
      <x:c r="AC1430" s="87"/>
      <x:c r="AD1430" s="87"/>
      <x:c r="AE1430" s="87"/>
      <x:c r="AF1430" s="87"/>
      <x:c r="AG1430" s="87"/>
      <x:c r="AH1430" s="87"/>
      <x:c r="AI1430" s="30"/>
      <x:c r="AJ1430" s="87" t="str">
        <x:v>master</x:v>
      </x:c>
      <x:c r="AK1430" s="87" t="str">
        <x:v>master-v0.81</x:v>
      </x:c>
      <x:c r="AL1430" s="87" t="str">
        <x:v>statgrad_master_base_v0_81_final(2).xlsx</x:v>
      </x:c>
      <x:c r="AM1430" s="87" t="str">
        <x:v>MATH_Mar_Prof_V4</x:v>
      </x:c>
      <x:c r="AN1430" s="87" t="n">
        <x:v>13</x:v>
      </x:c>
    </x:row>
    <x:row r="1431">
      <x:c r="A1431" s="87" t="n">
        <x:v>1430</x:v>
      </x:c>
      <x:c r="B1431" s="87" t="str">
        <x:v>MAR-MATH-P-V-6-013</x:v>
      </x:c>
      <x:c r="C1431" s="87" t="str">
        <x:v>СтатГрад</x:v>
      </x:c>
      <x:c r="D1431" s="87" t="str">
        <x:v>Март 2026</x:v>
      </x:c>
      <x:c r="E1431" s="87"/>
      <x:c r="F1431" s="87"/>
      <x:c r="G1431" s="87" t="str">
        <x:v>Математика</x:v>
      </x:c>
      <x:c r="H1431" s="87" t="str">
        <x:v>Профильный</x:v>
      </x:c>
      <x:c r="I1431" s="87" t="str">
        <x:v>ТР №4</x:v>
      </x:c>
      <x:c r="J1431" s="87" t="str">
        <x:v>МА2510412</x:v>
      </x:c>
      <x:c r="K1431" s="87" t="n">
        <x:v>13</x:v>
      </x:c>
      <x:c r="L1431" s="87" t="str">
        <x:v>Тригонометрическое уравнение</x:v>
      </x:c>
      <x:c r="M1431" s="30" t="str">
        <x:v>Решить 2cos(x+π/3)+√3sinx=2sin(x−π/3)+√3cosx; отобрать корни на [−7π/2;−5π/2].</x:v>
      </x:c>
      <x:c r="N1431" s="30" t="str">
        <x:v>а) x=π/4+πn, n∈Z; б) x=−11π/4</x:v>
      </x:c>
      <x:c r="O1431" s="30" t="str">
        <x:v>После преобразований cosx=sinx; на заданном отрезке находится −11π/4.</x:v>
      </x:c>
      <x:c r="P1431" s="30" t="str">
        <x:v>После преобразований cosx=sinx; на заданном отрезке находится −11π/4.</x:v>
      </x:c>
      <x:c r="Q1431" s="30"/>
      <x:c r="R1431" s="30" t="str">
        <x:v>Официальное задание + официальный критерий архива</x:v>
      </x:c>
      <x:c r="S1431" s="30"/>
      <x:c r="T1431" s="30"/>
      <x:c r="U1431" s="30" t="str">
        <x:v>Расхождений не обнаружено.</x:v>
      </x:c>
      <x:c r="V1431" s="87" t="str">
        <x:v>VERIFIED</x:v>
      </x:c>
      <x:c r="W1431" s="87" t="str">
        <x:v>Официальный PDF, задание 13</x:v>
      </x:c>
      <x:c r="X1431" s="87"/>
      <x:c r="Y1431" s="87"/>
      <x:c r="Z1431" s="87"/>
      <x:c r="AA1431" s="87"/>
      <x:c r="AB1431" s="87"/>
      <x:c r="AC1431" s="87"/>
      <x:c r="AD1431" s="87"/>
      <x:c r="AE1431" s="87"/>
      <x:c r="AF1431" s="87"/>
      <x:c r="AG1431" s="87"/>
      <x:c r="AH1431" s="87"/>
      <x:c r="AI1431" s="30"/>
      <x:c r="AJ1431" s="87" t="str">
        <x:v>master</x:v>
      </x:c>
      <x:c r="AK1431" s="87" t="str">
        <x:v>master-v0.81</x:v>
      </x:c>
      <x:c r="AL1431" s="87" t="str">
        <x:v>statgrad_master_base_v0_81_final(2).xlsx</x:v>
      </x:c>
      <x:c r="AM1431" s="87" t="str">
        <x:v>MATH_Mar_Prof_V4</x:v>
      </x:c>
      <x:c r="AN1431" s="87" t="n">
        <x:v>14</x:v>
      </x:c>
    </x:row>
    <x:row r="1432">
      <x:c r="A1432" s="87" t="n">
        <x:v>1431</x:v>
      </x:c>
      <x:c r="B1432" s="87" t="str">
        <x:v>MAR-MATH-P-V-6-014</x:v>
      </x:c>
      <x:c r="C1432" s="87" t="str">
        <x:v>СтатГрад</x:v>
      </x:c>
      <x:c r="D1432" s="87" t="str">
        <x:v>Март 2026</x:v>
      </x:c>
      <x:c r="E1432" s="87"/>
      <x:c r="F1432" s="87"/>
      <x:c r="G1432" s="87" t="str">
        <x:v>Математика</x:v>
      </x:c>
      <x:c r="H1432" s="87" t="str">
        <x:v>Профильный</x:v>
      </x:c>
      <x:c r="I1432" s="87" t="str">
        <x:v>ТР №4</x:v>
      </x:c>
      <x:c r="J1432" s="87" t="str">
        <x:v>МА2510412</x:v>
      </x:c>
      <x:c r="K1432" s="87" t="n">
        <x:v>14</x:v>
      </x:c>
      <x:c r="L1432" s="87" t="str">
        <x:v>Стереометрия: цилиндр</x:v>
      </x:c>
      <x:c r="M1432" s="30" t="str">
        <x:v>Доказать ∠ABC₁=90° и найти боковую поверхность при AB=12, BB₁=17, B₁C₁=16.</x:v>
      </x:c>
      <x:c r="N1432" s="30" t="str">
        <x:v>а) ∠ABC₁=90°; б) 340π</x:v>
      </x:c>
      <x:c r="O1432" s="30" t="str">
        <x:v>AC=√(12²+16²)=20 — диаметр основания; Sбок=π·20·17=340π. Перпендикулярность доказывается через плоскость BCC₁.</x:v>
      </x:c>
      <x:c r="P1432" s="30" t="str">
        <x:v>AC=√(12²+16²)=20 — диаметр основания; Sбок=π·20·17=340π. Перпендикулярность доказывается через плоскость BCC₁.</x:v>
      </x:c>
      <x:c r="Q1432" s="30"/>
      <x:c r="R1432" s="30" t="str">
        <x:v>Официальное задание + официальный критерий архива</x:v>
      </x:c>
      <x:c r="S1432" s="30"/>
      <x:c r="T1432" s="30"/>
      <x:c r="U1432" s="30" t="str">
        <x:v>Расхождений не обнаружено.</x:v>
      </x:c>
      <x:c r="V1432" s="87" t="str">
        <x:v>VERIFIED</x:v>
      </x:c>
      <x:c r="W1432" s="87" t="str">
        <x:v>Официальный PDF, задание 14</x:v>
      </x:c>
      <x:c r="X1432" s="87"/>
      <x:c r="Y1432" s="87"/>
      <x:c r="Z1432" s="87"/>
      <x:c r="AA1432" s="87"/>
      <x:c r="AB1432" s="87"/>
      <x:c r="AC1432" s="87"/>
      <x:c r="AD1432" s="87"/>
      <x:c r="AE1432" s="87"/>
      <x:c r="AF1432" s="87"/>
      <x:c r="AG1432" s="87"/>
      <x:c r="AH1432" s="87"/>
      <x:c r="AI1432" s="30"/>
      <x:c r="AJ1432" s="87" t="str">
        <x:v>master</x:v>
      </x:c>
      <x:c r="AK1432" s="87" t="str">
        <x:v>master-v0.81</x:v>
      </x:c>
      <x:c r="AL1432" s="87" t="str">
        <x:v>statgrad_master_base_v0_81_final(2).xlsx</x:v>
      </x:c>
      <x:c r="AM1432" s="87" t="str">
        <x:v>MATH_Mar_Prof_V4</x:v>
      </x:c>
      <x:c r="AN1432" s="87" t="n">
        <x:v>15</x:v>
      </x:c>
    </x:row>
    <x:row r="1433">
      <x:c r="A1433" s="87" t="n">
        <x:v>1432</x:v>
      </x:c>
      <x:c r="B1433" s="87" t="str">
        <x:v>MAR-MATH-P-V-6-015</x:v>
      </x:c>
      <x:c r="C1433" s="87" t="str">
        <x:v>СтатГрад</x:v>
      </x:c>
      <x:c r="D1433" s="87" t="str">
        <x:v>Март 2026</x:v>
      </x:c>
      <x:c r="E1433" s="87"/>
      <x:c r="F1433" s="87"/>
      <x:c r="G1433" s="87" t="str">
        <x:v>Математика</x:v>
      </x:c>
      <x:c r="H1433" s="87" t="str">
        <x:v>Профильный</x:v>
      </x:c>
      <x:c r="I1433" s="87" t="str">
        <x:v>ТР №4</x:v>
      </x:c>
      <x:c r="J1433" s="87" t="str">
        <x:v>МА2510412</x:v>
      </x:c>
      <x:c r="K1433" s="87" t="n">
        <x:v>15</x:v>
      </x:c>
      <x:c r="L1433" s="87" t="str">
        <x:v>Иррациональное неравенство</x:v>
      </x:c>
      <x:c r="M1433" s="30" t="str">
        <x:v>Решить √((x−2)²−x²)+√(x+2)≥√(4x+8).</x:v>
      </x:c>
      <x:c r="N1433" s="30" t="str">
        <x:v>[−2; 2/5]</x:v>
      </x:c>
      <x:c r="O1433" s="30" t="str">
        <x:v>После сведения к √(4−4x)≥√(x+2), x≥−2, получаем 4−4x≥x+2 и x≤2/5.</x:v>
      </x:c>
      <x:c r="P1433" s="30" t="str">
        <x:v>После сведения к √(4−4x)≥√(x+2), x≥−2, получаем 4−4x≥x+2 и x≤2/5.</x:v>
      </x:c>
      <x:c r="Q1433" s="30"/>
      <x:c r="R1433" s="30" t="str">
        <x:v>Официальное задание + официальный критерий архива</x:v>
      </x:c>
      <x:c r="S1433" s="30"/>
      <x:c r="T1433" s="30"/>
      <x:c r="U1433" s="30" t="str">
        <x:v>Расхождений не обнаружено.</x:v>
      </x:c>
      <x:c r="V1433" s="87" t="str">
        <x:v>VERIFIED</x:v>
      </x:c>
      <x:c r="W1433" s="87" t="str">
        <x:v>Официальный PDF, задание 15</x:v>
      </x:c>
      <x:c r="X1433" s="87"/>
      <x:c r="Y1433" s="87"/>
      <x:c r="Z1433" s="87"/>
      <x:c r="AA1433" s="87"/>
      <x:c r="AB1433" s="87"/>
      <x:c r="AC1433" s="87"/>
      <x:c r="AD1433" s="87"/>
      <x:c r="AE1433" s="87"/>
      <x:c r="AF1433" s="87"/>
      <x:c r="AG1433" s="87"/>
      <x:c r="AH1433" s="87"/>
      <x:c r="AI1433" s="30"/>
      <x:c r="AJ1433" s="87" t="str">
        <x:v>master</x:v>
      </x:c>
      <x:c r="AK1433" s="87" t="str">
        <x:v>master-v0.81</x:v>
      </x:c>
      <x:c r="AL1433" s="87" t="str">
        <x:v>statgrad_master_base_v0_81_final(2).xlsx</x:v>
      </x:c>
      <x:c r="AM1433" s="87" t="str">
        <x:v>MATH_Mar_Prof_V4</x:v>
      </x:c>
      <x:c r="AN1433" s="87" t="n">
        <x:v>16</x:v>
      </x:c>
    </x:row>
    <x:row r="1434">
      <x:c r="A1434" s="87" t="n">
        <x:v>1433</x:v>
      </x:c>
      <x:c r="B1434" s="87" t="str">
        <x:v>MAR-MATH-P-V-6-016</x:v>
      </x:c>
      <x:c r="C1434" s="87" t="str">
        <x:v>СтатГрад</x:v>
      </x:c>
      <x:c r="D1434" s="87" t="str">
        <x:v>Март 2026</x:v>
      </x:c>
      <x:c r="E1434" s="87"/>
      <x:c r="F1434" s="87"/>
      <x:c r="G1434" s="87" t="str">
        <x:v>Математика</x:v>
      </x:c>
      <x:c r="H1434" s="87" t="str">
        <x:v>Профильный</x:v>
      </x:c>
      <x:c r="I1434" s="87" t="str">
        <x:v>ТР №4</x:v>
      </x:c>
      <x:c r="J1434" s="87" t="str">
        <x:v>МА2510412</x:v>
      </x:c>
      <x:c r="K1434" s="87" t="n">
        <x:v>16</x:v>
      </x:c>
      <x:c r="L1434" s="87" t="str">
        <x:v>Финансовая математика</x:v>
      </x:c>
      <x:c r="M1434" s="30" t="str">
        <x:v>Кредит 700 тыс. на 3 года под 10%; первые два платежа равны, последний 238,7 тыс. Найти сумму платежей.</x:v>
      </x:c>
      <x:c r="N1434" s="30" t="str">
        <x:v>838,7 тыс. рублей</x:v>
      </x:c>
      <x:c r="O1434" s="30" t="str">
        <x:v>Перед последним платежом долг 931,7−2,31x=238,7; x=300. Сумма 600+238,7=838,7.</x:v>
      </x:c>
      <x:c r="P1434" s="30" t="str">
        <x:v>Перед последним платежом долг 931,7−2,31x=238,7; x=300. Сумма 600+238,7=838,7.</x:v>
      </x:c>
      <x:c r="Q1434" s="30"/>
      <x:c r="R1434" s="30" t="str">
        <x:v>Официальное задание + официальный критерий архива</x:v>
      </x:c>
      <x:c r="S1434" s="30"/>
      <x:c r="T1434" s="30"/>
      <x:c r="U1434" s="30" t="str">
        <x:v>Расхождений не обнаружено.</x:v>
      </x:c>
      <x:c r="V1434" s="87" t="str">
        <x:v>VERIFIED</x:v>
      </x:c>
      <x:c r="W1434" s="87" t="str">
        <x:v>Официальный PDF, задание 16</x:v>
      </x:c>
      <x:c r="X1434" s="87"/>
      <x:c r="Y1434" s="87"/>
      <x:c r="Z1434" s="87"/>
      <x:c r="AA1434" s="87"/>
      <x:c r="AB1434" s="87"/>
      <x:c r="AC1434" s="87"/>
      <x:c r="AD1434" s="87"/>
      <x:c r="AE1434" s="87"/>
      <x:c r="AF1434" s="87"/>
      <x:c r="AG1434" s="87"/>
      <x:c r="AH1434" s="87"/>
      <x:c r="AI1434" s="30"/>
      <x:c r="AJ1434" s="87" t="str">
        <x:v>master</x:v>
      </x:c>
      <x:c r="AK1434" s="87" t="str">
        <x:v>master-v0.81</x:v>
      </x:c>
      <x:c r="AL1434" s="87" t="str">
        <x:v>statgrad_master_base_v0_81_final(2).xlsx</x:v>
      </x:c>
      <x:c r="AM1434" s="87" t="str">
        <x:v>MATH_Mar_Prof_V4</x:v>
      </x:c>
      <x:c r="AN1434" s="87" t="n">
        <x:v>17</x:v>
      </x:c>
    </x:row>
    <x:row r="1435">
      <x:c r="A1435" s="87" t="n">
        <x:v>1434</x:v>
      </x:c>
      <x:c r="B1435" s="87" t="str">
        <x:v>MAR-MATH-P-V-6-017</x:v>
      </x:c>
      <x:c r="C1435" s="87" t="str">
        <x:v>СтатГрад</x:v>
      </x:c>
      <x:c r="D1435" s="87" t="str">
        <x:v>Март 2026</x:v>
      </x:c>
      <x:c r="E1435" s="87"/>
      <x:c r="F1435" s="87"/>
      <x:c r="G1435" s="87" t="str">
        <x:v>Математика</x:v>
      </x:c>
      <x:c r="H1435" s="87" t="str">
        <x:v>Профильный</x:v>
      </x:c>
      <x:c r="I1435" s="87" t="str">
        <x:v>ТР №4</x:v>
      </x:c>
      <x:c r="J1435" s="87" t="str">
        <x:v>МА2510412</x:v>
      </x:c>
      <x:c r="K1435" s="87" t="n">
        <x:v>17</x:v>
      </x:c>
      <x:c r="L1435" s="87" t="str">
        <x:v>Планиметрия: параллелограмм</x:v>
      </x:c>
      <x:c r="M1435" s="30" t="str">
        <x:v>Доказать AL·BC=AB·AC и найти EL при AC=16, tg∠BCA=1/2.</x:v>
      </x:c>
      <x:c r="N1435" s="30" t="str">
        <x:v>а) AL·BC=AB·AC; б) EL=44/3</x:v>
      </x:c>
      <x:c r="O1435" s="30" t="str">
        <x:v>Подобие доказывает пункт а. При CF=8 получаем LF=4 и FE=32/3, поэтому EL=44/3.</x:v>
      </x:c>
      <x:c r="P1435" s="30" t="str">
        <x:v>Подобие доказывает пункт а. При CF=8 получаем LF=4 и FE=32/3, поэтому EL=44/3.</x:v>
      </x:c>
      <x:c r="Q1435" s="30"/>
      <x:c r="R1435" s="30" t="str">
        <x:v>Официальное задание + официальный критерий архива</x:v>
      </x:c>
      <x:c r="S1435" s="30"/>
      <x:c r="T1435" s="30"/>
      <x:c r="U1435" s="30" t="str">
        <x:v>Расхождений не обнаружено.</x:v>
      </x:c>
      <x:c r="V1435" s="87" t="str">
        <x:v>VERIFIED</x:v>
      </x:c>
      <x:c r="W1435" s="87" t="str">
        <x:v>Официальный PDF, задание 17</x:v>
      </x:c>
      <x:c r="X1435" s="87"/>
      <x:c r="Y1435" s="87"/>
      <x:c r="Z1435" s="87"/>
      <x:c r="AA1435" s="87"/>
      <x:c r="AB1435" s="87"/>
      <x:c r="AC1435" s="87"/>
      <x:c r="AD1435" s="87"/>
      <x:c r="AE1435" s="87"/>
      <x:c r="AF1435" s="87"/>
      <x:c r="AG1435" s="87"/>
      <x:c r="AH1435" s="87"/>
      <x:c r="AI1435" s="30"/>
      <x:c r="AJ1435" s="87" t="str">
        <x:v>master</x:v>
      </x:c>
      <x:c r="AK1435" s="87" t="str">
        <x:v>master-v0.81</x:v>
      </x:c>
      <x:c r="AL1435" s="87" t="str">
        <x:v>statgrad_master_base_v0_81_final(2).xlsx</x:v>
      </x:c>
      <x:c r="AM1435" s="87" t="str">
        <x:v>MATH_Mar_Prof_V4</x:v>
      </x:c>
      <x:c r="AN1435" s="87" t="n">
        <x:v>18</x:v>
      </x:c>
    </x:row>
    <x:row r="1436">
      <x:c r="A1436" s="87" t="n">
        <x:v>1435</x:v>
      </x:c>
      <x:c r="B1436" s="87" t="str">
        <x:v>MAR-MATH-P-V-6-018</x:v>
      </x:c>
      <x:c r="C1436" s="87" t="str">
        <x:v>СтатГрад</x:v>
      </x:c>
      <x:c r="D1436" s="87" t="str">
        <x:v>Март 2026</x:v>
      </x:c>
      <x:c r="E1436" s="87"/>
      <x:c r="F1436" s="87"/>
      <x:c r="G1436" s="87" t="str">
        <x:v>Математика</x:v>
      </x:c>
      <x:c r="H1436" s="87" t="str">
        <x:v>Профильный</x:v>
      </x:c>
      <x:c r="I1436" s="87" t="str">
        <x:v>ТР №4</x:v>
      </x:c>
      <x:c r="J1436" s="87" t="str">
        <x:v>МА2510412</x:v>
      </x:c>
      <x:c r="K1436" s="87" t="n">
        <x:v>18</x:v>
      </x:c>
      <x:c r="L1436" s="87" t="str">
        <x:v>Уравнение с параметром</x:v>
      </x:c>
      <x:c r="M1436" s="30" t="str">
        <x:v>Найти a, при которых x²+a²−x+7a=|7x+a| имеет более двух корней.</x:v>
      </x:c>
      <x:c r="N1436" s="30" t="str">
        <x:v>a∈[−8;−7]∪[0;1]</x:v>
      </x:c>
      <x:c r="O1436" s="30" t="str">
        <x:v>Две дуги окружностей радиуса 5 анализируются горизонтальными прямыми a=c; более двух пересечений возникают на указанных отрезках.</x:v>
      </x:c>
      <x:c r="P1436" s="30" t="str">
        <x:v>Две дуги окружностей радиуса 5 анализируются горизонтальными прямыми a=c; более двух пересечений возникают на указанных отрезках.</x:v>
      </x:c>
      <x:c r="Q1436" s="30"/>
      <x:c r="R1436" s="30" t="str">
        <x:v>Официальное задание + официальный критерий архива</x:v>
      </x:c>
      <x:c r="S1436" s="30"/>
      <x:c r="T1436" s="30"/>
      <x:c r="U1436" s="30" t="str">
        <x:v>Расхождений не обнаружено.</x:v>
      </x:c>
      <x:c r="V1436" s="87" t="str">
        <x:v>VERIFIED</x:v>
      </x:c>
      <x:c r="W1436" s="87" t="str">
        <x:v>Официальный PDF, задание 18</x:v>
      </x:c>
      <x:c r="X1436" s="87"/>
      <x:c r="Y1436" s="87"/>
      <x:c r="Z1436" s="87"/>
      <x:c r="AA1436" s="87"/>
      <x:c r="AB1436" s="87"/>
      <x:c r="AC1436" s="87"/>
      <x:c r="AD1436" s="87"/>
      <x:c r="AE1436" s="87"/>
      <x:c r="AF1436" s="87"/>
      <x:c r="AG1436" s="87"/>
      <x:c r="AH1436" s="87"/>
      <x:c r="AI1436" s="30"/>
      <x:c r="AJ1436" s="87" t="str">
        <x:v>master</x:v>
      </x:c>
      <x:c r="AK1436" s="87" t="str">
        <x:v>master-v0.81</x:v>
      </x:c>
      <x:c r="AL1436" s="87" t="str">
        <x:v>statgrad_master_base_v0_81_final(2).xlsx</x:v>
      </x:c>
      <x:c r="AM1436" s="87" t="str">
        <x:v>MATH_Mar_Prof_V4</x:v>
      </x:c>
      <x:c r="AN1436" s="87" t="n">
        <x:v>19</x:v>
      </x:c>
    </x:row>
    <x:row r="1437">
      <x:c r="A1437" s="87" t="n">
        <x:v>1436</x:v>
      </x:c>
      <x:c r="B1437" s="87" t="str">
        <x:v>MAR-MATH-P-V-6-019</x:v>
      </x:c>
      <x:c r="C1437" s="87" t="str">
        <x:v>СтатГрад</x:v>
      </x:c>
      <x:c r="D1437" s="87" t="str">
        <x:v>Март 2026</x:v>
      </x:c>
      <x:c r="E1437" s="87"/>
      <x:c r="F1437" s="87"/>
      <x:c r="G1437" s="87" t="str">
        <x:v>Математика</x:v>
      </x:c>
      <x:c r="H1437" s="87" t="str">
        <x:v>Профильный</x:v>
      </x:c>
      <x:c r="I1437" s="87" t="str">
        <x:v>ТР №4</x:v>
      </x:c>
      <x:c r="J1437" s="87" t="str">
        <x:v>МА2510412</x:v>
      </x:c>
      <x:c r="K1437" s="87" t="n">
        <x:v>19</x:v>
      </x:c>
      <x:c r="L1437" s="87" t="str">
        <x:v>Комбинаторная задача</x:v>
      </x:c>
      <x:c r="M1437" s="30" t="str">
        <x:v>Ограничения: театр ≤1/3 мальчиков, кино ≤9/19. Для 25 учащихся проверить 14 мальчиков, найти максимум и минимальную долю девочек.</x:v>
      </x:c>
      <x:c r="N1437" s="30" t="str">
        <x:v>а) да; б) 14; в) 5/12</x:v>
      </x:c>
      <x:c r="O1437" s="30" t="str">
        <x:v>Пример 5 мальчиков только в театре, 9 только в кино и 11 девочек подтверждает пункт а; 15 мальчиков невозможны. Из m₁/d≤1/2 и m₂/d≤9/10 следует доля девочек ≥5/12; равенство достигается.</x:v>
      </x:c>
      <x:c r="P1437" s="30" t="str">
        <x:v>Пример 5 мальчиков только в театре, 9 только в кино и 11 девочек подтверждает пункт а; 15 мальчиков невозможны. Из m₁/d≤1/2 и m₂/d≤9/10 следует доля девочек ≥5/12; равенство достигается.</x:v>
      </x:c>
      <x:c r="Q1437" s="30"/>
      <x:c r="R1437" s="30" t="str">
        <x:v>Официальное задание + официальный критерий архива</x:v>
      </x:c>
      <x:c r="S1437" s="30"/>
      <x:c r="T1437" s="30"/>
      <x:c r="U1437" s="30" t="str">
        <x:v>Расхождений не обнаружено.</x:v>
      </x:c>
      <x:c r="V1437" s="87" t="str">
        <x:v>VERIFIED</x:v>
      </x:c>
      <x:c r="W1437" s="87" t="str">
        <x:v>Официальный PDF, задание 19</x:v>
      </x:c>
      <x:c r="X1437" s="87"/>
      <x:c r="Y1437" s="87"/>
      <x:c r="Z1437" s="87"/>
      <x:c r="AA1437" s="87"/>
      <x:c r="AB1437" s="87"/>
      <x:c r="AC1437" s="87"/>
      <x:c r="AD1437" s="87"/>
      <x:c r="AE1437" s="87"/>
      <x:c r="AF1437" s="87"/>
      <x:c r="AG1437" s="87"/>
      <x:c r="AH1437" s="87"/>
      <x:c r="AI1437" s="30"/>
      <x:c r="AJ1437" s="87" t="str">
        <x:v>master</x:v>
      </x:c>
      <x:c r="AK1437" s="87" t="str">
        <x:v>master-v0.81</x:v>
      </x:c>
      <x:c r="AL1437" s="87" t="str">
        <x:v>statgrad_master_base_v0_81_final(2).xlsx</x:v>
      </x:c>
      <x:c r="AM1437" s="87" t="str">
        <x:v>MATH_Mar_Prof_V4</x:v>
      </x:c>
      <x:c r="AN1437" s="87" t="n">
        <x:v>20</x:v>
      </x:c>
    </x:row>
    <x:row r="1438">
      <x:c r="A1438" s="87" t="n">
        <x:v>1437</x:v>
      </x:c>
      <x:c r="B1438" s="87" t="str">
        <x:v>MAR-MATH-B-V2-001</x:v>
      </x:c>
      <x:c r="C1438" s="87" t="str">
        <x:v>СтатГрад</x:v>
      </x:c>
      <x:c r="D1438" s="87" t="str">
        <x:v>Март 2026</x:v>
      </x:c>
      <x:c r="E1438" s="87"/>
      <x:c r="F1438" s="87"/>
      <x:c r="G1438" s="87" t="str">
        <x:v>Математика</x:v>
      </x:c>
      <x:c r="H1438" s="87" t="str">
        <x:v>Базовый</x:v>
      </x:c>
      <x:c r="I1438" s="87" t="str">
        <x:v>ТР №4</x:v>
      </x:c>
      <x:c r="J1438" s="87" t="str">
        <x:v>МА2510402</x:v>
      </x:c>
      <x:c r="K1438" s="87" t="n">
        <x:v>1</x:v>
      </x:c>
      <x:c r="L1438" s="87" t="str">
        <x:v>Текстовая задача: окупаемость</x:v>
      </x:c>
      <x:c r="M1438" s="30" t="str">
        <x:v>Установка двух счётчиков стоит 5100 руб.; ежемесячная плата снижается с 6500 до 3300 руб. Найти минимальное число месяцев, после которого экономия превысит стоимость установки.</x:v>
      </x:c>
      <x:c r="N1438" s="30" t="str">
        <x:v>2</x:v>
      </x:c>
      <x:c r="O1438" s="30" t="str">
        <x:v>Ежемесячная экономия равна 6500−3300=3200 руб. За один месяц накопится 3200 руб., за два — 6400 руб., что больше 5100.</x:v>
      </x:c>
      <x:c r="P1438" s="30" t="str">
        <x:v>Ежемесячная экономия равна 6500−3300=3200 руб. За один месяц накопится 3200 руб., за два — 6400 руб., что больше 5100.</x:v>
      </x:c>
      <x:c r="Q1438" s="30"/>
      <x:c r="R1438" s="30" t="str">
        <x:v>Полная версия МА2510402 с решениями РЕШУ ЕГЭ</x:v>
      </x:c>
      <x:c r="S1438" s="30"/>
      <x:c r="T1438" s="30"/>
      <x:c r="U1438" s="30" t="str">
        <x:v>Расхождений не обнаружено.</x:v>
      </x:c>
      <x:c r="V1438" s="87" t="str">
        <x:v>VERIFIED</x:v>
      </x:c>
      <x:c r="W1438" s="87" t="str">
        <x:v>онлайн</x:v>
      </x:c>
      <x:c r="X1438" s="87"/>
      <x:c r="Y1438" s="87"/>
      <x:c r="Z1438" s="87"/>
      <x:c r="AA1438" s="87"/>
      <x:c r="AB1438" s="87"/>
      <x:c r="AC1438" s="87"/>
      <x:c r="AD1438" s="87"/>
      <x:c r="AE1438" s="87"/>
      <x:c r="AF1438" s="87"/>
      <x:c r="AG1438" s="87"/>
      <x:c r="AH1438" s="87"/>
      <x:c r="AI1438" s="30"/>
      <x:c r="AJ1438" s="87" t="str">
        <x:v>master</x:v>
      </x:c>
      <x:c r="AK1438" s="87" t="str">
        <x:v>master-v0.81</x:v>
      </x:c>
      <x:c r="AL1438" s="87" t="str">
        <x:v>statgrad_master_base_v0_81_final(2).xlsx</x:v>
      </x:c>
      <x:c r="AM1438" s="87" t="str">
        <x:v>MATH_Mar_Base_V2</x:v>
      </x:c>
      <x:c r="AN1438" s="87" t="n">
        <x:v>2</x:v>
      </x:c>
    </x:row>
    <x:row r="1439">
      <x:c r="A1439" s="87" t="n">
        <x:v>1438</x:v>
      </x:c>
      <x:c r="B1439" s="87" t="str">
        <x:v>MAR-MATH-B-V2-002</x:v>
      </x:c>
      <x:c r="C1439" s="87" t="str">
        <x:v>СтатГрад</x:v>
      </x:c>
      <x:c r="D1439" s="87" t="str">
        <x:v>Март 2026</x:v>
      </x:c>
      <x:c r="E1439" s="87"/>
      <x:c r="F1439" s="87"/>
      <x:c r="G1439" s="87" t="str">
        <x:v>Математика</x:v>
      </x:c>
      <x:c r="H1439" s="87" t="str">
        <x:v>Базовый</x:v>
      </x:c>
      <x:c r="I1439" s="87" t="str">
        <x:v>ТР №4</x:v>
      </x:c>
      <x:c r="J1439" s="87" t="str">
        <x:v>МА2510402</x:v>
      </x:c>
      <x:c r="K1439" s="87" t="n">
        <x:v>2</x:v>
      </x:c>
      <x:c r="L1439" s="87" t="str">
        <x:v>Соответствие величин</x:v>
      </x:c>
      <x:c r="M1439" s="30" t="str">
        <x:v>Сопоставить серебряный норматив ГТО на 2 км, длительность полнометражного фильма, период обращения Сатурна и длительность вспышки фотоаппарата с предложенными значениями.</x:v>
      </x:c>
      <x:c r="N1439" s="30" t="str">
        <x:v>3421</x:v>
      </x:c>
      <x:c r="O1439" s="30" t="str">
        <x:v>Норматив ГТО — 8 мин 50 с (3); фильм — 132 мин (4); Сатурн — 10 759 суток (2); вспышка — 0,1 с (1).</x:v>
      </x:c>
      <x:c r="P1439" s="30" t="str">
        <x:v>Норматив ГТО — 8 мин 50 с (3); фильм — 132 мин (4); Сатурн — 10 759 суток (2); вспышка — 0,1 с (1).</x:v>
      </x:c>
      <x:c r="Q1439" s="30"/>
      <x:c r="R1439" s="30" t="str">
        <x:v>Полная версия МА2510402 с решениями РЕШУ ЕГЭ</x:v>
      </x:c>
      <x:c r="S1439" s="30"/>
      <x:c r="T1439" s="30"/>
      <x:c r="U1439" s="30" t="str">
        <x:v>Расхождений не обнаружено.</x:v>
      </x:c>
      <x:c r="V1439" s="87" t="str">
        <x:v>VERIFIED</x:v>
      </x:c>
      <x:c r="W1439" s="87" t="str">
        <x:v>онлайн</x:v>
      </x:c>
      <x:c r="X1439" s="87"/>
      <x:c r="Y1439" s="87"/>
      <x:c r="Z1439" s="87"/>
      <x:c r="AA1439" s="87"/>
      <x:c r="AB1439" s="87"/>
      <x:c r="AC1439" s="87"/>
      <x:c r="AD1439" s="87"/>
      <x:c r="AE1439" s="87"/>
      <x:c r="AF1439" s="87"/>
      <x:c r="AG1439" s="87"/>
      <x:c r="AH1439" s="87"/>
      <x:c r="AI1439" s="30"/>
      <x:c r="AJ1439" s="87" t="str">
        <x:v>master</x:v>
      </x:c>
      <x:c r="AK1439" s="87" t="str">
        <x:v>master-v0.81</x:v>
      </x:c>
      <x:c r="AL1439" s="87" t="str">
        <x:v>statgrad_master_base_v0_81_final(2).xlsx</x:v>
      </x:c>
      <x:c r="AM1439" s="87" t="str">
        <x:v>MATH_Mar_Base_V2</x:v>
      </x:c>
      <x:c r="AN1439" s="87" t="n">
        <x:v>3</x:v>
      </x:c>
    </x:row>
    <x:row r="1440">
      <x:c r="A1440" s="87" t="n">
        <x:v>1439</x:v>
      </x:c>
      <x:c r="B1440" s="87" t="str">
        <x:v>MAR-MATH-B-V2-003</x:v>
      </x:c>
      <x:c r="C1440" s="87" t="str">
        <x:v>СтатГрад</x:v>
      </x:c>
      <x:c r="D1440" s="87" t="str">
        <x:v>Март 2026</x:v>
      </x:c>
      <x:c r="E1440" s="87"/>
      <x:c r="F1440" s="87"/>
      <x:c r="G1440" s="87" t="str">
        <x:v>Математика</x:v>
      </x:c>
      <x:c r="H1440" s="87" t="str">
        <x:v>Базовый</x:v>
      </x:c>
      <x:c r="I1440" s="87" t="str">
        <x:v>ТР №4</x:v>
      </x:c>
      <x:c r="J1440" s="87" t="str">
        <x:v>МА2510402</x:v>
      </x:c>
      <x:c r="K1440" s="87" t="n">
        <x:v>3</x:v>
      </x:c>
      <x:c r="L1440" s="87" t="str">
        <x:v>Чтение диаграммы</x:v>
      </x:c>
      <x:c r="M1440" s="30" t="str">
        <x:v>По диаграмме среднемесячных температур Минска за 2003 год определить минимальную температуру.</x:v>
      </x:c>
      <x:c r="N1440" s="30" t="str">
        <x:v>−6</x:v>
      </x:c>
      <x:c r="O1440" s="30" t="str">
        <x:v>Наименьшее значение столбца на диаграмме равно −6 °C.</x:v>
      </x:c>
      <x:c r="P1440" s="30" t="str">
        <x:v>Ответ сверён с графиком и опубликованным решением.</x:v>
      </x:c>
      <x:c r="Q1440" s="30"/>
      <x:c r="R1440" s="30" t="str">
        <x:v>Полная версия МА2510402 с решениями РЕШУ ЕГЭ</x:v>
      </x:c>
      <x:c r="S1440" s="30"/>
      <x:c r="T1440" s="30"/>
      <x:c r="U1440" s="30" t="str">
        <x:v>Расхождений не обнаружено.</x:v>
      </x:c>
      <x:c r="V1440" s="87" t="str">
        <x:v>VERIFIED</x:v>
      </x:c>
      <x:c r="W1440" s="87" t="str">
        <x:v>онлайн</x:v>
      </x:c>
      <x:c r="X1440" s="87"/>
      <x:c r="Y1440" s="87"/>
      <x:c r="Z1440" s="87"/>
      <x:c r="AA1440" s="87"/>
      <x:c r="AB1440" s="87"/>
      <x:c r="AC1440" s="87"/>
      <x:c r="AD1440" s="87"/>
      <x:c r="AE1440" s="87"/>
      <x:c r="AF1440" s="87"/>
      <x:c r="AG1440" s="87"/>
      <x:c r="AH1440" s="87"/>
      <x:c r="AI1440" s="30"/>
      <x:c r="AJ1440" s="87" t="str">
        <x:v>master</x:v>
      </x:c>
      <x:c r="AK1440" s="87" t="str">
        <x:v>master-v0.81</x:v>
      </x:c>
      <x:c r="AL1440" s="87" t="str">
        <x:v>statgrad_master_base_v0_81_final(2).xlsx</x:v>
      </x:c>
      <x:c r="AM1440" s="87" t="str">
        <x:v>MATH_Mar_Base_V2</x:v>
      </x:c>
      <x:c r="AN1440" s="87" t="n">
        <x:v>4</x:v>
      </x:c>
    </x:row>
    <x:row r="1441">
      <x:c r="A1441" s="87" t="n">
        <x:v>1440</x:v>
      </x:c>
      <x:c r="B1441" s="87" t="str">
        <x:v>MAR-MATH-B-V2-004</x:v>
      </x:c>
      <x:c r="C1441" s="87" t="str">
        <x:v>СтатГрад</x:v>
      </x:c>
      <x:c r="D1441" s="87" t="str">
        <x:v>Март 2026</x:v>
      </x:c>
      <x:c r="E1441" s="87"/>
      <x:c r="F1441" s="87"/>
      <x:c r="G1441" s="87" t="str">
        <x:v>Математика</x:v>
      </x:c>
      <x:c r="H1441" s="87" t="str">
        <x:v>Базовый</x:v>
      </x:c>
      <x:c r="I1441" s="87" t="str">
        <x:v>ТР №4</x:v>
      </x:c>
      <x:c r="J1441" s="87" t="str">
        <x:v>МА2510402</x:v>
      </x:c>
      <x:c r="K1441" s="87" t="n">
        <x:v>4</x:v>
      </x:c>
      <x:c r="L1441" s="87" t="str">
        <x:v>Формула с переменными</x:v>
      </x:c>
      <x:c r="M1441" s="30" t="str">
        <x:v>По формуле R=a/(2 sin α) найти a, если R=15 и sin α=4/5.</x:v>
      </x:c>
      <x:c r="N1441" s="30" t="str">
        <x:v>24</x:v>
      </x:c>
      <x:c r="O1441" s="30" t="str">
        <x:v>a=2R sin α=2·15·4/5=24.</x:v>
      </x:c>
      <x:c r="P1441" s="30" t="str">
        <x:v>a=2R sin α=2·15·4/5=24.</x:v>
      </x:c>
      <x:c r="Q1441" s="30"/>
      <x:c r="R1441" s="30" t="str">
        <x:v>Полная версия МА2510402 с решениями РЕШУ ЕГЭ</x:v>
      </x:c>
      <x:c r="S1441" s="30"/>
      <x:c r="T1441" s="30"/>
      <x:c r="U1441" s="30" t="str">
        <x:v>Расхождений не обнаружено.</x:v>
      </x:c>
      <x:c r="V1441" s="87" t="str">
        <x:v>VERIFIED</x:v>
      </x:c>
      <x:c r="W1441" s="87" t="str">
        <x:v>онлайн</x:v>
      </x:c>
      <x:c r="X1441" s="87"/>
      <x:c r="Y1441" s="87"/>
      <x:c r="Z1441" s="87"/>
      <x:c r="AA1441" s="87"/>
      <x:c r="AB1441" s="87"/>
      <x:c r="AC1441" s="87"/>
      <x:c r="AD1441" s="87"/>
      <x:c r="AE1441" s="87"/>
      <x:c r="AF1441" s="87"/>
      <x:c r="AG1441" s="87"/>
      <x:c r="AH1441" s="87"/>
      <x:c r="AI1441" s="30"/>
      <x:c r="AJ1441" s="87" t="str">
        <x:v>master</x:v>
      </x:c>
      <x:c r="AK1441" s="87" t="str">
        <x:v>master-v0.81</x:v>
      </x:c>
      <x:c r="AL1441" s="87" t="str">
        <x:v>statgrad_master_base_v0_81_final(2).xlsx</x:v>
      </x:c>
      <x:c r="AM1441" s="87" t="str">
        <x:v>MATH_Mar_Base_V2</x:v>
      </x:c>
      <x:c r="AN1441" s="87" t="n">
        <x:v>5</x:v>
      </x:c>
    </x:row>
    <x:row r="1442">
      <x:c r="A1442" s="87" t="n">
        <x:v>1441</x:v>
      </x:c>
      <x:c r="B1442" s="87" t="str">
        <x:v>MAR-MATH-B-V2-005</x:v>
      </x:c>
      <x:c r="C1442" s="87" t="str">
        <x:v>СтатГрад</x:v>
      </x:c>
      <x:c r="D1442" s="87" t="str">
        <x:v>Март 2026</x:v>
      </x:c>
      <x:c r="E1442" s="87"/>
      <x:c r="F1442" s="87"/>
      <x:c r="G1442" s="87" t="str">
        <x:v>Математика</x:v>
      </x:c>
      <x:c r="H1442" s="87" t="str">
        <x:v>Базовый</x:v>
      </x:c>
      <x:c r="I1442" s="87" t="str">
        <x:v>ТР №4</x:v>
      </x:c>
      <x:c r="J1442" s="87" t="str">
        <x:v>МА2510402</x:v>
      </x:c>
      <x:c r="K1442" s="87" t="n">
        <x:v>5</x:v>
      </x:c>
      <x:c r="L1442" s="87" t="str">
        <x:v>Классическая вероятность</x:v>
      </x:c>
      <x:c r="M1442" s="30" t="str">
        <x:v>Из 25 чашек 3 имеют красные цветы, остальные — синие. Найти вероятность выбрать синюю чашку.</x:v>
      </x:c>
      <x:c r="N1442" s="30" t="str">
        <x:v>0,88</x:v>
      </x:c>
      <x:c r="O1442" s="30" t="str">
        <x:v>Синих чашек 25−3=22; вероятность 22/25=0,88.</x:v>
      </x:c>
      <x:c r="P1442" s="30" t="str">
        <x:v>Синих чашек 25−3=22; вероятность 22/25=0,88.</x:v>
      </x:c>
      <x:c r="Q1442" s="30"/>
      <x:c r="R1442" s="30" t="str">
        <x:v>Полная версия МА2510402 с решениями РЕШУ ЕГЭ</x:v>
      </x:c>
      <x:c r="S1442" s="30"/>
      <x:c r="T1442" s="30"/>
      <x:c r="U1442" s="30" t="str">
        <x:v>Расхождений не обнаружено.</x:v>
      </x:c>
      <x:c r="V1442" s="87" t="str">
        <x:v>VERIFIED</x:v>
      </x:c>
      <x:c r="W1442" s="87" t="str">
        <x:v>онлайн</x:v>
      </x:c>
      <x:c r="X1442" s="87"/>
      <x:c r="Y1442" s="87"/>
      <x:c r="Z1442" s="87"/>
      <x:c r="AA1442" s="87"/>
      <x:c r="AB1442" s="87"/>
      <x:c r="AC1442" s="87"/>
      <x:c r="AD1442" s="87"/>
      <x:c r="AE1442" s="87"/>
      <x:c r="AF1442" s="87"/>
      <x:c r="AG1442" s="87"/>
      <x:c r="AH1442" s="87"/>
      <x:c r="AI1442" s="30"/>
      <x:c r="AJ1442" s="87" t="str">
        <x:v>master</x:v>
      </x:c>
      <x:c r="AK1442" s="87" t="str">
        <x:v>master-v0.81</x:v>
      </x:c>
      <x:c r="AL1442" s="87" t="str">
        <x:v>statgrad_master_base_v0_81_final(2).xlsx</x:v>
      </x:c>
      <x:c r="AM1442" s="87" t="str">
        <x:v>MATH_Mar_Base_V2</x:v>
      </x:c>
      <x:c r="AN1442" s="87" t="n">
        <x:v>6</x:v>
      </x:c>
    </x:row>
    <x:row r="1443">
      <x:c r="A1443" s="87" t="n">
        <x:v>1442</x:v>
      </x:c>
      <x:c r="B1443" s="87" t="str">
        <x:v>MAR-MATH-B-V2-006</x:v>
      </x:c>
      <x:c r="C1443" s="87" t="str">
        <x:v>СтатГрад</x:v>
      </x:c>
      <x:c r="D1443" s="87" t="str">
        <x:v>Март 2026</x:v>
      </x:c>
      <x:c r="E1443" s="87"/>
      <x:c r="F1443" s="87"/>
      <x:c r="G1443" s="87" t="str">
        <x:v>Математика</x:v>
      </x:c>
      <x:c r="H1443" s="87" t="str">
        <x:v>Базовый</x:v>
      </x:c>
      <x:c r="I1443" s="87" t="str">
        <x:v>ТР №4</x:v>
      </x:c>
      <x:c r="J1443" s="87" t="str">
        <x:v>МА2510402</x:v>
      </x:c>
      <x:c r="K1443" s="87" t="n">
        <x:v>6</x:v>
      </x:c>
      <x:c r="L1443" s="87" t="str">
        <x:v>Оптимальный набор</x:v>
      </x:c>
      <x:c r="M1443" s="30" t="str">
        <x:v>Выбрать группу переводчиков, которая владеет английским, немецким, испанским и французским, а суммарная стоимость не превышает 30 000 руб.</x:v>
      </x:c>
      <x:c r="N1443" s="30" t="str">
        <x:v>46</x:v>
      </x:c>
      <x:c r="O1443" s="30" t="str">
        <x:v>Переводчик 4 знает испанский и французский, переводчик 6 — английский и немецкий. Стоимость 14 300+10 600=24 900 руб.</x:v>
      </x:c>
      <x:c r="P1443" s="30" t="str">
        <x:v>Проверено покрытие всех четырёх языков и ограничение по стоимости.</x:v>
      </x:c>
      <x:c r="Q1443" s="30"/>
      <x:c r="R1443" s="30" t="str">
        <x:v>Полная версия МА2510402 с решениями РЕШУ ЕГЭ</x:v>
      </x:c>
      <x:c r="S1443" s="30"/>
      <x:c r="T1443" s="30"/>
      <x:c r="U1443" s="30" t="str">
        <x:v>Допустима запись 64.</x:v>
      </x:c>
      <x:c r="V1443" s="87" t="str">
        <x:v>VERIFIED</x:v>
      </x:c>
      <x:c r="W1443" s="87" t="str">
        <x:v>онлайн</x:v>
      </x:c>
      <x:c r="X1443" s="87"/>
      <x:c r="Y1443" s="87"/>
      <x:c r="Z1443" s="87"/>
      <x:c r="AA1443" s="87"/>
      <x:c r="AB1443" s="87"/>
      <x:c r="AC1443" s="87"/>
      <x:c r="AD1443" s="87"/>
      <x:c r="AE1443" s="87"/>
      <x:c r="AF1443" s="87"/>
      <x:c r="AG1443" s="87"/>
      <x:c r="AH1443" s="87"/>
      <x:c r="AI1443" s="30"/>
      <x:c r="AJ1443" s="87" t="str">
        <x:v>master</x:v>
      </x:c>
      <x:c r="AK1443" s="87" t="str">
        <x:v>master-v0.81</x:v>
      </x:c>
      <x:c r="AL1443" s="87" t="str">
        <x:v>statgrad_master_base_v0_81_final(2).xlsx</x:v>
      </x:c>
      <x:c r="AM1443" s="87" t="str">
        <x:v>MATH_Mar_Base_V2</x:v>
      </x:c>
      <x:c r="AN1443" s="87" t="n">
        <x:v>7</x:v>
      </x:c>
    </x:row>
    <x:row r="1444">
      <x:c r="A1444" s="87" t="n">
        <x:v>1443</x:v>
      </x:c>
      <x:c r="B1444" s="87" t="str">
        <x:v>MAR-MATH-B-V2-007</x:v>
      </x:c>
      <x:c r="C1444" s="87" t="str">
        <x:v>СтатГрад</x:v>
      </x:c>
      <x:c r="D1444" s="87" t="str">
        <x:v>Март 2026</x:v>
      </x:c>
      <x:c r="E1444" s="87"/>
      <x:c r="F1444" s="87"/>
      <x:c r="G1444" s="87" t="str">
        <x:v>Математика</x:v>
      </x:c>
      <x:c r="H1444" s="87" t="str">
        <x:v>Базовый</x:v>
      </x:c>
      <x:c r="I1444" s="87" t="str">
        <x:v>ТР №4</x:v>
      </x:c>
      <x:c r="J1444" s="87" t="str">
        <x:v>МА2510402</x:v>
      </x:c>
      <x:c r="K1444" s="87" t="n">
        <x:v>7</x:v>
      </x:c>
      <x:c r="L1444" s="87" t="str">
        <x:v>Свойства функций</x:v>
      </x:c>
      <x:c r="M1444" s="30" t="str">
        <x:v>Сопоставить функции y=5x−x², y=2x+1, y=16−2x, y=x²−8x+3 с характеристиками: убывает, имеет максимум, имеет минимум, возрастает.</x:v>
      </x:c>
      <x:c r="N1444" s="30" t="str">
        <x:v>2413</x:v>
      </x:c>
      <x:c r="O1444" s="30" t="str">
        <x:v>Парабола с отрицательным коэффициентом имеет максимум (2); y=2x+1 возрастает (4); y=16−2x убывает (1); парабола вверх имеет минимум (3).</x:v>
      </x:c>
      <x:c r="P1444" s="30" t="str">
        <x:v>Парабола с отрицательным коэффициентом имеет максимум (2); y=2x+1 возрастает (4); y=16−2x убывает (1); парабола вверх имеет минимум (3).</x:v>
      </x:c>
      <x:c r="Q1444" s="30"/>
      <x:c r="R1444" s="30" t="str">
        <x:v>Полная версия МА2510402 с решениями РЕШУ ЕГЭ</x:v>
      </x:c>
      <x:c r="S1444" s="30"/>
      <x:c r="T1444" s="30"/>
      <x:c r="U1444" s="30" t="str">
        <x:v>Расхождений не обнаружено.</x:v>
      </x:c>
      <x:c r="V1444" s="87" t="str">
        <x:v>VERIFIED</x:v>
      </x:c>
      <x:c r="W1444" s="87" t="str">
        <x:v>онлайн</x:v>
      </x:c>
      <x:c r="X1444" s="87"/>
      <x:c r="Y1444" s="87"/>
      <x:c r="Z1444" s="87"/>
      <x:c r="AA1444" s="87"/>
      <x:c r="AB1444" s="87"/>
      <x:c r="AC1444" s="87"/>
      <x:c r="AD1444" s="87"/>
      <x:c r="AE1444" s="87"/>
      <x:c r="AF1444" s="87"/>
      <x:c r="AG1444" s="87"/>
      <x:c r="AH1444" s="87"/>
      <x:c r="AI1444" s="30"/>
      <x:c r="AJ1444" s="87" t="str">
        <x:v>master</x:v>
      </x:c>
      <x:c r="AK1444" s="87" t="str">
        <x:v>master-v0.81</x:v>
      </x:c>
      <x:c r="AL1444" s="87" t="str">
        <x:v>statgrad_master_base_v0_81_final(2).xlsx</x:v>
      </x:c>
      <x:c r="AM1444" s="87" t="str">
        <x:v>MATH_Mar_Base_V2</x:v>
      </x:c>
      <x:c r="AN1444" s="87" t="n">
        <x:v>8</x:v>
      </x:c>
    </x:row>
    <x:row r="1445">
      <x:c r="A1445" s="87" t="n">
        <x:v>1444</x:v>
      </x:c>
      <x:c r="B1445" s="87" t="str">
        <x:v>MAR-MATH-B-V2-008</x:v>
      </x:c>
      <x:c r="C1445" s="87" t="str">
        <x:v>СтатГрад</x:v>
      </x:c>
      <x:c r="D1445" s="87" t="str">
        <x:v>Март 2026</x:v>
      </x:c>
      <x:c r="E1445" s="87"/>
      <x:c r="F1445" s="87"/>
      <x:c r="G1445" s="87" t="str">
        <x:v>Математика</x:v>
      </x:c>
      <x:c r="H1445" s="87" t="str">
        <x:v>Базовый</x:v>
      </x:c>
      <x:c r="I1445" s="87" t="str">
        <x:v>ТР №4</x:v>
      </x:c>
      <x:c r="J1445" s="87" t="str">
        <x:v>МА2510402</x:v>
      </x:c>
      <x:c r="K1445" s="87" t="n">
        <x:v>8</x:v>
      </x:c>
      <x:c r="L1445" s="87" t="str">
        <x:v>Логические утверждения</x:v>
      </x:c>
      <x:c r="M1445" s="30" t="str">
        <x:v>Андрей выступает на концертах только со своей гитарой и обязательно берёт гитару в поход. Выбрать гарантированно верные утверждения.</x:v>
      </x:c>
      <x:c r="N1445" s="30" t="str">
        <x:v>34</x:v>
      </x:c>
      <x:c r="O1445" s="30" t="str">
        <x:v>Из «поход → гитара» следует «нет гитары → не поход»; из «концерт → гитара» следует верность утверждения 4.</x:v>
      </x:c>
      <x:c r="P1445" s="30" t="str">
        <x:v>Все четыре высказывания проверены как логические импликации.</x:v>
      </x:c>
      <x:c r="Q1445" s="30"/>
      <x:c r="R1445" s="30" t="str">
        <x:v>Полная версия МА2510402 с решениями РЕШУ ЕГЭ</x:v>
      </x:c>
      <x:c r="S1445" s="30"/>
      <x:c r="T1445" s="30"/>
      <x:c r="U1445" s="30" t="str">
        <x:v>Допустима запись 43.</x:v>
      </x:c>
      <x:c r="V1445" s="87" t="str">
        <x:v>VERIFIED</x:v>
      </x:c>
      <x:c r="W1445" s="87" t="str">
        <x:v>онлайн</x:v>
      </x:c>
      <x:c r="X1445" s="87"/>
      <x:c r="Y1445" s="87"/>
      <x:c r="Z1445" s="87"/>
      <x:c r="AA1445" s="87"/>
      <x:c r="AB1445" s="87"/>
      <x:c r="AC1445" s="87"/>
      <x:c r="AD1445" s="87"/>
      <x:c r="AE1445" s="87"/>
      <x:c r="AF1445" s="87"/>
      <x:c r="AG1445" s="87"/>
      <x:c r="AH1445" s="87"/>
      <x:c r="AI1445" s="30"/>
      <x:c r="AJ1445" s="87" t="str">
        <x:v>master</x:v>
      </x:c>
      <x:c r="AK1445" s="87" t="str">
        <x:v>master-v0.81</x:v>
      </x:c>
      <x:c r="AL1445" s="87" t="str">
        <x:v>statgrad_master_base_v0_81_final(2).xlsx</x:v>
      </x:c>
      <x:c r="AM1445" s="87" t="str">
        <x:v>MATH_Mar_Base_V2</x:v>
      </x:c>
      <x:c r="AN1445" s="87" t="n">
        <x:v>9</x:v>
      </x:c>
    </x:row>
    <x:row r="1446">
      <x:c r="A1446" s="87" t="n">
        <x:v>1445</x:v>
      </x:c>
      <x:c r="B1446" s="87" t="str">
        <x:v>MAR-MATH-B-V2-009</x:v>
      </x:c>
      <x:c r="C1446" s="87" t="str">
        <x:v>СтатГрад</x:v>
      </x:c>
      <x:c r="D1446" s="87" t="str">
        <x:v>Март 2026</x:v>
      </x:c>
      <x:c r="E1446" s="87"/>
      <x:c r="F1446" s="87"/>
      <x:c r="G1446" s="87" t="str">
        <x:v>Математика</x:v>
      </x:c>
      <x:c r="H1446" s="87" t="str">
        <x:v>Базовый</x:v>
      </x:c>
      <x:c r="I1446" s="87" t="str">
        <x:v>ТР №4</x:v>
      </x:c>
      <x:c r="J1446" s="87" t="str">
        <x:v>МА2510402</x:v>
      </x:c>
      <x:c r="K1446" s="87" t="n">
        <x:v>9</x:v>
      </x:c>
      <x:c r="L1446" s="87" t="str">
        <x:v>Площадь на клетчатой решётке</x:v>
      </x:c>
      <x:c r="M1446" s="30" t="str">
        <x:v>Найти площадь выделенного четырёхугольника на сетке 1×1 м.</x:v>
      </x:c>
      <x:c r="N1446" s="30" t="str">
        <x:v>26</x:v>
      </x:c>
      <x:c r="O1446" s="30" t="str">
        <x:v>Из площади квадрата 6×6 вычитаются четыре прямоугольных треугольника общей площадью 10: 36−10=26.</x:v>
      </x:c>
      <x:c r="P1446" s="30" t="str">
        <x:v>Из площади квадрата 6×6 вычитаются четыре прямоугольных треугольника общей площадью 10: 36−10=26.</x:v>
      </x:c>
      <x:c r="Q1446" s="30"/>
      <x:c r="R1446" s="30" t="str">
        <x:v>Полная версия МА2510402 с решениями РЕШУ ЕГЭ</x:v>
      </x:c>
      <x:c r="S1446" s="30"/>
      <x:c r="T1446" s="30"/>
      <x:c r="U1446" s="30" t="str">
        <x:v>Расхождений не обнаружено.</x:v>
      </x:c>
      <x:c r="V1446" s="87" t="str">
        <x:v>VERIFIED</x:v>
      </x:c>
      <x:c r="W1446" s="87" t="str">
        <x:v>онлайн</x:v>
      </x:c>
      <x:c r="X1446" s="87"/>
      <x:c r="Y1446" s="87"/>
      <x:c r="Z1446" s="87"/>
      <x:c r="AA1446" s="87"/>
      <x:c r="AB1446" s="87"/>
      <x:c r="AC1446" s="87"/>
      <x:c r="AD1446" s="87"/>
      <x:c r="AE1446" s="87"/>
      <x:c r="AF1446" s="87"/>
      <x:c r="AG1446" s="87"/>
      <x:c r="AH1446" s="87"/>
      <x:c r="AI1446" s="30"/>
      <x:c r="AJ1446" s="87" t="str">
        <x:v>master</x:v>
      </x:c>
      <x:c r="AK1446" s="87" t="str">
        <x:v>master-v0.81</x:v>
      </x:c>
      <x:c r="AL1446" s="87" t="str">
        <x:v>statgrad_master_base_v0_81_final(2).xlsx</x:v>
      </x:c>
      <x:c r="AM1446" s="87" t="str">
        <x:v>MATH_Mar_Base_V2</x:v>
      </x:c>
      <x:c r="AN1446" s="87" t="n">
        <x:v>10</x:v>
      </x:c>
    </x:row>
    <x:row r="1447">
      <x:c r="A1447" s="87" t="n">
        <x:v>1446</x:v>
      </x:c>
      <x:c r="B1447" s="87" t="str">
        <x:v>MAR-MATH-B-V2-010</x:v>
      </x:c>
      <x:c r="C1447" s="87" t="str">
        <x:v>СтатГрад</x:v>
      </x:c>
      <x:c r="D1447" s="87" t="str">
        <x:v>Март 2026</x:v>
      </x:c>
      <x:c r="E1447" s="87"/>
      <x:c r="F1447" s="87"/>
      <x:c r="G1447" s="87" t="str">
        <x:v>Математика</x:v>
      </x:c>
      <x:c r="H1447" s="87" t="str">
        <x:v>Базовый</x:v>
      </x:c>
      <x:c r="I1447" s="87" t="str">
        <x:v>ТР №4</x:v>
      </x:c>
      <x:c r="J1447" s="87" t="str">
        <x:v>МА2510402</x:v>
      </x:c>
      <x:c r="K1447" s="87" t="n">
        <x:v>10</x:v>
      </x:c>
      <x:c r="L1447" s="87" t="str">
        <x:v>Подобие треугольников</x:v>
      </x:c>
      <x:c r="M1447" s="30" t="str">
        <x:v>Короткое плечо колодца-журавля равно 1 м, длинное — 3 м. На сколько опустится длинное плечо, если короткое поднимется на 0,5 м?</x:v>
      </x:c>
      <x:c r="N1447" s="30" t="str">
        <x:v>1,5</x:v>
      </x:c>
      <x:c r="O1447" s="30" t="str">
        <x:v>Вертикальные перемещения пропорциональны длинам плеч: x/0,5=3/1, поэтому x=1,5 м.</x:v>
      </x:c>
      <x:c r="P1447" s="30" t="str">
        <x:v>Вертикальные перемещения пропорциональны длинам плеч: x/0,5=3/1, поэтому x=1,5 м.</x:v>
      </x:c>
      <x:c r="Q1447" s="30"/>
      <x:c r="R1447" s="30" t="str">
        <x:v>Полная версия МА2510402 с решениями РЕШУ ЕГЭ</x:v>
      </x:c>
      <x:c r="S1447" s="30"/>
      <x:c r="T1447" s="30"/>
      <x:c r="U1447" s="30" t="str">
        <x:v>Расхождений не обнаружено.</x:v>
      </x:c>
      <x:c r="V1447" s="87" t="str">
        <x:v>VERIFIED</x:v>
      </x:c>
      <x:c r="W1447" s="87" t="str">
        <x:v>онлайн</x:v>
      </x:c>
      <x:c r="X1447" s="87"/>
      <x:c r="Y1447" s="87"/>
      <x:c r="Z1447" s="87"/>
      <x:c r="AA1447" s="87"/>
      <x:c r="AB1447" s="87"/>
      <x:c r="AC1447" s="87"/>
      <x:c r="AD1447" s="87"/>
      <x:c r="AE1447" s="87"/>
      <x:c r="AF1447" s="87"/>
      <x:c r="AG1447" s="87"/>
      <x:c r="AH1447" s="87"/>
      <x:c r="AI1447" s="30"/>
      <x:c r="AJ1447" s="87" t="str">
        <x:v>master</x:v>
      </x:c>
      <x:c r="AK1447" s="87" t="str">
        <x:v>master-v0.81</x:v>
      </x:c>
      <x:c r="AL1447" s="87" t="str">
        <x:v>statgrad_master_base_v0_81_final(2).xlsx</x:v>
      </x:c>
      <x:c r="AM1447" s="87" t="str">
        <x:v>MATH_Mar_Base_V2</x:v>
      </x:c>
      <x:c r="AN1447" s="87" t="n">
        <x:v>11</x:v>
      </x:c>
    </x:row>
    <x:row r="1448">
      <x:c r="A1448" s="87" t="n">
        <x:v>1447</x:v>
      </x:c>
      <x:c r="B1448" s="87" t="str">
        <x:v>MAR-MATH-B-V2-011</x:v>
      </x:c>
      <x:c r="C1448" s="87" t="str">
        <x:v>СтатГрад</x:v>
      </x:c>
      <x:c r="D1448" s="87" t="str">
        <x:v>Март 2026</x:v>
      </x:c>
      <x:c r="E1448" s="87"/>
      <x:c r="F1448" s="87"/>
      <x:c r="G1448" s="87" t="str">
        <x:v>Математика</x:v>
      </x:c>
      <x:c r="H1448" s="87" t="str">
        <x:v>Базовый</x:v>
      </x:c>
      <x:c r="I1448" s="87" t="str">
        <x:v>ТР №4</x:v>
      </x:c>
      <x:c r="J1448" s="87" t="str">
        <x:v>МА2510402</x:v>
      </x:c>
      <x:c r="K1448" s="87" t="n">
        <x:v>11</x:v>
      </x:c>
      <x:c r="L1448" s="87" t="str">
        <x:v>Объём вытесненной жидкости</x:v>
      </x:c>
      <x:c r="M1448" s="30" t="str">
        <x:v>Площадь основания цилиндрического бака равна 80 см²; после погружения детали уровень поднялся на 15 см. Найти объём детали.</x:v>
      </x:c>
      <x:c r="N1448" s="30" t="str">
        <x:v>1200</x:v>
      </x:c>
      <x:c r="O1448" s="30" t="str">
        <x:v>Объём вытесненной жидкости равен S·h=80·15=1200 см³.</x:v>
      </x:c>
      <x:c r="P1448" s="30" t="str">
        <x:v>Объём вытесненной жидкости равен S·h=80·15=1200 см³.</x:v>
      </x:c>
      <x:c r="Q1448" s="30"/>
      <x:c r="R1448" s="30" t="str">
        <x:v>Полная версия МА2510402 с решениями РЕШУ ЕГЭ</x:v>
      </x:c>
      <x:c r="S1448" s="30"/>
      <x:c r="T1448" s="30"/>
      <x:c r="U1448" s="30" t="str">
        <x:v>Расхождений не обнаружено.</x:v>
      </x:c>
      <x:c r="V1448" s="87" t="str">
        <x:v>VERIFIED</x:v>
      </x:c>
      <x:c r="W1448" s="87" t="str">
        <x:v>онлайн</x:v>
      </x:c>
      <x:c r="X1448" s="87"/>
      <x:c r="Y1448" s="87"/>
      <x:c r="Z1448" s="87"/>
      <x:c r="AA1448" s="87"/>
      <x:c r="AB1448" s="87"/>
      <x:c r="AC1448" s="87"/>
      <x:c r="AD1448" s="87"/>
      <x:c r="AE1448" s="87"/>
      <x:c r="AF1448" s="87"/>
      <x:c r="AG1448" s="87"/>
      <x:c r="AH1448" s="87"/>
      <x:c r="AI1448" s="30"/>
      <x:c r="AJ1448" s="87" t="str">
        <x:v>master</x:v>
      </x:c>
      <x:c r="AK1448" s="87" t="str">
        <x:v>master-v0.81</x:v>
      </x:c>
      <x:c r="AL1448" s="87" t="str">
        <x:v>statgrad_master_base_v0_81_final(2).xlsx</x:v>
      </x:c>
      <x:c r="AM1448" s="87" t="str">
        <x:v>MATH_Mar_Base_V2</x:v>
      </x:c>
      <x:c r="AN1448" s="87" t="n">
        <x:v>12</x:v>
      </x:c>
    </x:row>
    <x:row r="1449">
      <x:c r="A1449" s="87" t="n">
        <x:v>1448</x:v>
      </x:c>
      <x:c r="B1449" s="87" t="str">
        <x:v>MAR-MATH-B-V2-012</x:v>
      </x:c>
      <x:c r="C1449" s="87" t="str">
        <x:v>СтатГрад</x:v>
      </x:c>
      <x:c r="D1449" s="87" t="str">
        <x:v>Март 2026</x:v>
      </x:c>
      <x:c r="E1449" s="87"/>
      <x:c r="F1449" s="87"/>
      <x:c r="G1449" s="87" t="str">
        <x:v>Математика</x:v>
      </x:c>
      <x:c r="H1449" s="87" t="str">
        <x:v>Базовый</x:v>
      </x:c>
      <x:c r="I1449" s="87" t="str">
        <x:v>ТР №4</x:v>
      </x:c>
      <x:c r="J1449" s="87" t="str">
        <x:v>МА2510402</x:v>
      </x:c>
      <x:c r="K1449" s="87" t="n">
        <x:v>12</x:v>
      </x:c>
      <x:c r="L1449" s="87" t="str">
        <x:v>Прямоугольная трапеция</x:v>
      </x:c>
      <x:c r="M1449" s="30" t="str">
        <x:v>Основания прямоугольной трапеции равны 3 и 8, один угол равен 135°. Найти меньшую боковую сторону.</x:v>
      </x:c>
      <x:c r="N1449" s="30" t="str">
        <x:v>5</x:v>
      </x:c>
      <x:c r="O1449" s="30" t="str">
        <x:v>Разность оснований равна 5. Острый угол дополнительного прямоугольного треугольника равен 45°, поэтому его катеты равны; высота трапеции равна 5.</x:v>
      </x:c>
      <x:c r="P1449" s="30" t="str">
        <x:v>Разность оснований равна 5. Острый угол дополнительного прямоугольного треугольника равен 45°, поэтому его катеты равны; высота трапеции равна 5.</x:v>
      </x:c>
      <x:c r="Q1449" s="30"/>
      <x:c r="R1449" s="30" t="str">
        <x:v>Полная версия МА2510402 с решениями РЕШУ ЕГЭ</x:v>
      </x:c>
      <x:c r="S1449" s="30"/>
      <x:c r="T1449" s="30"/>
      <x:c r="U1449" s="30" t="str">
        <x:v>Расхождений не обнаружено.</x:v>
      </x:c>
      <x:c r="V1449" s="87" t="str">
        <x:v>VERIFIED</x:v>
      </x:c>
      <x:c r="W1449" s="87" t="str">
        <x:v>онлайн</x:v>
      </x:c>
      <x:c r="X1449" s="87"/>
      <x:c r="Y1449" s="87"/>
      <x:c r="Z1449" s="87"/>
      <x:c r="AA1449" s="87"/>
      <x:c r="AB1449" s="87"/>
      <x:c r="AC1449" s="87"/>
      <x:c r="AD1449" s="87"/>
      <x:c r="AE1449" s="87"/>
      <x:c r="AF1449" s="87"/>
      <x:c r="AG1449" s="87"/>
      <x:c r="AH1449" s="87"/>
      <x:c r="AI1449" s="30"/>
      <x:c r="AJ1449" s="87" t="str">
        <x:v>master</x:v>
      </x:c>
      <x:c r="AK1449" s="87" t="str">
        <x:v>master-v0.81</x:v>
      </x:c>
      <x:c r="AL1449" s="87" t="str">
        <x:v>statgrad_master_base_v0_81_final(2).xlsx</x:v>
      </x:c>
      <x:c r="AM1449" s="87" t="str">
        <x:v>MATH_Mar_Base_V2</x:v>
      </x:c>
      <x:c r="AN1449" s="87" t="n">
        <x:v>13</x:v>
      </x:c>
    </x:row>
    <x:row r="1450">
      <x:c r="A1450" s="87" t="n">
        <x:v>1449</x:v>
      </x:c>
      <x:c r="B1450" s="87" t="str">
        <x:v>MAR-MATH-B-V2-013</x:v>
      </x:c>
      <x:c r="C1450" s="87" t="str">
        <x:v>СтатГрад</x:v>
      </x:c>
      <x:c r="D1450" s="87" t="str">
        <x:v>Март 2026</x:v>
      </x:c>
      <x:c r="E1450" s="87"/>
      <x:c r="F1450" s="87"/>
      <x:c r="G1450" s="87" t="str">
        <x:v>Математика</x:v>
      </x:c>
      <x:c r="H1450" s="87" t="str">
        <x:v>Базовый</x:v>
      </x:c>
      <x:c r="I1450" s="87" t="str">
        <x:v>ТР №4</x:v>
      </x:c>
      <x:c r="J1450" s="87" t="str">
        <x:v>МА2510402</x:v>
      </x:c>
      <x:c r="K1450" s="87" t="n">
        <x:v>13</x:v>
      </x:c>
      <x:c r="L1450" s="87" t="str">
        <x:v>Конус</x:v>
      </x:c>
      <x:c r="M1450" s="30" t="str">
        <x:v>Первый конус имеет r=8, l=9, второй — r=2, l=8. Во сколько раз площадь боковой поверхности первого больше?</x:v>
      </x:c>
      <x:c r="N1450" s="30" t="str">
        <x:v>4,5</x:v>
      </x:c>
      <x:c r="O1450" s="30" t="str">
        <x:v>Sбок=πrl; отношение (8·9)/(2·8)=72/16=4,5.</x:v>
      </x:c>
      <x:c r="P1450" s="30" t="str">
        <x:v>Sбок=πrl; отношение (8·9)/(2·8)=72/16=4,5.</x:v>
      </x:c>
      <x:c r="Q1450" s="30"/>
      <x:c r="R1450" s="30" t="str">
        <x:v>Полная версия МА2510402 с решениями РЕШУ ЕГЭ</x:v>
      </x:c>
      <x:c r="S1450" s="30"/>
      <x:c r="T1450" s="30"/>
      <x:c r="U1450" s="30" t="str">
        <x:v>Расхождений не обнаружено.</x:v>
      </x:c>
      <x:c r="V1450" s="87" t="str">
        <x:v>VERIFIED</x:v>
      </x:c>
      <x:c r="W1450" s="87" t="str">
        <x:v>онлайн</x:v>
      </x:c>
      <x:c r="X1450" s="87"/>
      <x:c r="Y1450" s="87"/>
      <x:c r="Z1450" s="87"/>
      <x:c r="AA1450" s="87"/>
      <x:c r="AB1450" s="87"/>
      <x:c r="AC1450" s="87"/>
      <x:c r="AD1450" s="87"/>
      <x:c r="AE1450" s="87"/>
      <x:c r="AF1450" s="87"/>
      <x:c r="AG1450" s="87"/>
      <x:c r="AH1450" s="87"/>
      <x:c r="AI1450" s="30"/>
      <x:c r="AJ1450" s="87" t="str">
        <x:v>master</x:v>
      </x:c>
      <x:c r="AK1450" s="87" t="str">
        <x:v>master-v0.81</x:v>
      </x:c>
      <x:c r="AL1450" s="87" t="str">
        <x:v>statgrad_master_base_v0_81_final(2).xlsx</x:v>
      </x:c>
      <x:c r="AM1450" s="87" t="str">
        <x:v>MATH_Mar_Base_V2</x:v>
      </x:c>
      <x:c r="AN1450" s="87" t="n">
        <x:v>14</x:v>
      </x:c>
    </x:row>
    <x:row r="1451">
      <x:c r="A1451" s="87" t="n">
        <x:v>1450</x:v>
      </x:c>
      <x:c r="B1451" s="87" t="str">
        <x:v>MAR-MATH-B-V2-014</x:v>
      </x:c>
      <x:c r="C1451" s="87" t="str">
        <x:v>СтатГрад</x:v>
      </x:c>
      <x:c r="D1451" s="87" t="str">
        <x:v>Март 2026</x:v>
      </x:c>
      <x:c r="E1451" s="87"/>
      <x:c r="F1451" s="87"/>
      <x:c r="G1451" s="87" t="str">
        <x:v>Математика</x:v>
      </x:c>
      <x:c r="H1451" s="87" t="str">
        <x:v>Базовый</x:v>
      </x:c>
      <x:c r="I1451" s="87" t="str">
        <x:v>ТР №4</x:v>
      </x:c>
      <x:c r="J1451" s="87" t="str">
        <x:v>МА2510402</x:v>
      </x:c>
      <x:c r="K1451" s="87" t="n">
        <x:v>14</x:v>
      </x:c>
      <x:c r="L1451" s="87" t="str">
        <x:v>Обыкновенные дроби</x:v>
      </x:c>
      <x:c r="M1451" s="30" t="str">
        <x:v>Вычислить (−3/8 − 2 1/3)·0,48.</x:v>
      </x:c>
      <x:c r="N1451" s="30" t="str">
        <x:v>−1,3</x:v>
      </x:c>
      <x:c r="O1451" s="30" t="str">
        <x:v>−3/8−7/3=−65/24; умножение на 0,48=12/25 даёт −65/50=−1,3.</x:v>
      </x:c>
      <x:c r="P1451" s="30" t="str">
        <x:v>−3/8−7/3=−65/24; умножение на 0,48=12/25 даёт −65/50=−1,3.</x:v>
      </x:c>
      <x:c r="Q1451" s="30"/>
      <x:c r="R1451" s="30" t="str">
        <x:v>Полная версия МА2510402 с решениями РЕШУ ЕГЭ</x:v>
      </x:c>
      <x:c r="S1451" s="30"/>
      <x:c r="T1451" s="30"/>
      <x:c r="U1451" s="30" t="str">
        <x:v>Расхождений не обнаружено.</x:v>
      </x:c>
      <x:c r="V1451" s="87" t="str">
        <x:v>VERIFIED</x:v>
      </x:c>
      <x:c r="W1451" s="87" t="str">
        <x:v>онлайн</x:v>
      </x:c>
      <x:c r="X1451" s="87"/>
      <x:c r="Y1451" s="87"/>
      <x:c r="Z1451" s="87"/>
      <x:c r="AA1451" s="87"/>
      <x:c r="AB1451" s="87"/>
      <x:c r="AC1451" s="87"/>
      <x:c r="AD1451" s="87"/>
      <x:c r="AE1451" s="87"/>
      <x:c r="AF1451" s="87"/>
      <x:c r="AG1451" s="87"/>
      <x:c r="AH1451" s="87"/>
      <x:c r="AI1451" s="30"/>
      <x:c r="AJ1451" s="87" t="str">
        <x:v>master</x:v>
      </x:c>
      <x:c r="AK1451" s="87" t="str">
        <x:v>master-v0.81</x:v>
      </x:c>
      <x:c r="AL1451" s="87" t="str">
        <x:v>statgrad_master_base_v0_81_final(2).xlsx</x:v>
      </x:c>
      <x:c r="AM1451" s="87" t="str">
        <x:v>MATH_Mar_Base_V2</x:v>
      </x:c>
      <x:c r="AN1451" s="87" t="n">
        <x:v>15</x:v>
      </x:c>
    </x:row>
    <x:row r="1452">
      <x:c r="A1452" s="87" t="n">
        <x:v>1451</x:v>
      </x:c>
      <x:c r="B1452" s="87" t="str">
        <x:v>MAR-MATH-B-V2-015</x:v>
      </x:c>
      <x:c r="C1452" s="87" t="str">
        <x:v>СтатГрад</x:v>
      </x:c>
      <x:c r="D1452" s="87" t="str">
        <x:v>Март 2026</x:v>
      </x:c>
      <x:c r="E1452" s="87"/>
      <x:c r="F1452" s="87"/>
      <x:c r="G1452" s="87" t="str">
        <x:v>Математика</x:v>
      </x:c>
      <x:c r="H1452" s="87" t="str">
        <x:v>Базовый</x:v>
      </x:c>
      <x:c r="I1452" s="87" t="str">
        <x:v>ТР №4</x:v>
      </x:c>
      <x:c r="J1452" s="87" t="str">
        <x:v>МА2510402</x:v>
      </x:c>
      <x:c r="K1452" s="87" t="n">
        <x:v>15</x:v>
      </x:c>
      <x:c r="L1452" s="87" t="str">
        <x:v>Проценты</x:v>
      </x:c>
      <x:c r="M1452" s="30" t="str">
        <x:v>Число посетителей сайта увеличилось в четыре раза. На сколько процентов оно увеличилось?</x:v>
      </x:c>
      <x:c r="N1452" s="30" t="str">
        <x:v>300</x:v>
      </x:c>
      <x:c r="O1452" s="30" t="str">
        <x:v>Было 100%, стало 400%; прирост равен 400%−100%=300%.</x:v>
      </x:c>
      <x:c r="P1452" s="30" t="str">
        <x:v>Было 100%, стало 400%; прирост равен 400%−100%=300%.</x:v>
      </x:c>
      <x:c r="Q1452" s="30"/>
      <x:c r="R1452" s="30" t="str">
        <x:v>Полная версия МА2510402 с решениями РЕШУ ЕГЭ</x:v>
      </x:c>
      <x:c r="S1452" s="30"/>
      <x:c r="T1452" s="30"/>
      <x:c r="U1452" s="30" t="str">
        <x:v>Расхождений не обнаружено.</x:v>
      </x:c>
      <x:c r="V1452" s="87" t="str">
        <x:v>VERIFIED</x:v>
      </x:c>
      <x:c r="W1452" s="87" t="str">
        <x:v>онлайн</x:v>
      </x:c>
      <x:c r="X1452" s="87"/>
      <x:c r="Y1452" s="87"/>
      <x:c r="Z1452" s="87"/>
      <x:c r="AA1452" s="87"/>
      <x:c r="AB1452" s="87"/>
      <x:c r="AC1452" s="87"/>
      <x:c r="AD1452" s="87"/>
      <x:c r="AE1452" s="87"/>
      <x:c r="AF1452" s="87"/>
      <x:c r="AG1452" s="87"/>
      <x:c r="AH1452" s="87"/>
      <x:c r="AI1452" s="30"/>
      <x:c r="AJ1452" s="87" t="str">
        <x:v>master</x:v>
      </x:c>
      <x:c r="AK1452" s="87" t="str">
        <x:v>master-v0.81</x:v>
      </x:c>
      <x:c r="AL1452" s="87" t="str">
        <x:v>statgrad_master_base_v0_81_final(2).xlsx</x:v>
      </x:c>
      <x:c r="AM1452" s="87" t="str">
        <x:v>MATH_Mar_Base_V2</x:v>
      </x:c>
      <x:c r="AN1452" s="87" t="n">
        <x:v>16</x:v>
      </x:c>
    </x:row>
    <x:row r="1453">
      <x:c r="A1453" s="87" t="n">
        <x:v>1452</x:v>
      </x:c>
      <x:c r="B1453" s="87" t="str">
        <x:v>MAR-MATH-B-V2-016</x:v>
      </x:c>
      <x:c r="C1453" s="87" t="str">
        <x:v>СтатГрад</x:v>
      </x:c>
      <x:c r="D1453" s="87" t="str">
        <x:v>Март 2026</x:v>
      </x:c>
      <x:c r="E1453" s="87"/>
      <x:c r="F1453" s="87"/>
      <x:c r="G1453" s="87" t="str">
        <x:v>Математика</x:v>
      </x:c>
      <x:c r="H1453" s="87" t="str">
        <x:v>Базовый</x:v>
      </x:c>
      <x:c r="I1453" s="87" t="str">
        <x:v>ТР №4</x:v>
      </x:c>
      <x:c r="J1453" s="87" t="str">
        <x:v>МА2510402</x:v>
      </x:c>
      <x:c r="K1453" s="87" t="n">
        <x:v>16</x:v>
      </x:c>
      <x:c r="L1453" s="87" t="str">
        <x:v>Логарифмическое выражение</x:v>
      </x:c>
      <x:c r="M1453" s="30" t="str">
        <x:v>Вычислить 2^(log₂6−3).</x:v>
      </x:c>
      <x:c r="N1453" s="30" t="str">
        <x:v>0,75</x:v>
      </x:c>
      <x:c r="O1453" s="30" t="str">
        <x:v>2^(log₂6−3)=6/2³=6/8=0,75.</x:v>
      </x:c>
      <x:c r="P1453" s="30" t="str">
        <x:v>2^(log₂6−3)=6/2³=6/8=0,75.</x:v>
      </x:c>
      <x:c r="Q1453" s="30"/>
      <x:c r="R1453" s="30" t="str">
        <x:v>Полная версия МА2510402 с решениями РЕШУ ЕГЭ</x:v>
      </x:c>
      <x:c r="S1453" s="30"/>
      <x:c r="T1453" s="30"/>
      <x:c r="U1453" s="30" t="str">
        <x:v>Расхождений не обнаружено.</x:v>
      </x:c>
      <x:c r="V1453" s="87" t="str">
        <x:v>VERIFIED</x:v>
      </x:c>
      <x:c r="W1453" s="87" t="str">
        <x:v>онлайн</x:v>
      </x:c>
      <x:c r="X1453" s="87"/>
      <x:c r="Y1453" s="87"/>
      <x:c r="Z1453" s="87"/>
      <x:c r="AA1453" s="87"/>
      <x:c r="AB1453" s="87"/>
      <x:c r="AC1453" s="87"/>
      <x:c r="AD1453" s="87"/>
      <x:c r="AE1453" s="87"/>
      <x:c r="AF1453" s="87"/>
      <x:c r="AG1453" s="87"/>
      <x:c r="AH1453" s="87"/>
      <x:c r="AI1453" s="30"/>
      <x:c r="AJ1453" s="87" t="str">
        <x:v>master</x:v>
      </x:c>
      <x:c r="AK1453" s="87" t="str">
        <x:v>master-v0.81</x:v>
      </x:c>
      <x:c r="AL1453" s="87" t="str">
        <x:v>statgrad_master_base_v0_81_final(2).xlsx</x:v>
      </x:c>
      <x:c r="AM1453" s="87" t="str">
        <x:v>MATH_Mar_Base_V2</x:v>
      </x:c>
      <x:c r="AN1453" s="87" t="n">
        <x:v>17</x:v>
      </x:c>
    </x:row>
    <x:row r="1454">
      <x:c r="A1454" s="87" t="n">
        <x:v>1453</x:v>
      </x:c>
      <x:c r="B1454" s="87" t="str">
        <x:v>MAR-MATH-B-V2-017</x:v>
      </x:c>
      <x:c r="C1454" s="87" t="str">
        <x:v>СтатГрад</x:v>
      </x:c>
      <x:c r="D1454" s="87" t="str">
        <x:v>Март 2026</x:v>
      </x:c>
      <x:c r="E1454" s="87"/>
      <x:c r="F1454" s="87"/>
      <x:c r="G1454" s="87" t="str">
        <x:v>Математика</x:v>
      </x:c>
      <x:c r="H1454" s="87" t="str">
        <x:v>Базовый</x:v>
      </x:c>
      <x:c r="I1454" s="87" t="str">
        <x:v>ТР №4</x:v>
      </x:c>
      <x:c r="J1454" s="87" t="str">
        <x:v>МА2510402</x:v>
      </x:c>
      <x:c r="K1454" s="87" t="n">
        <x:v>17</x:v>
      </x:c>
      <x:c r="L1454" s="87" t="str">
        <x:v>Линейное уравнение</x:v>
      </x:c>
      <x:c r="M1454" s="30" t="str">
        <x:v>Решить уравнение 8−5x=5x−4.</x:v>
      </x:c>
      <x:c r="N1454" s="30" t="str">
        <x:v>1,2</x:v>
      </x:c>
      <x:c r="O1454" s="30" t="str">
        <x:v>12=10x, поэтому x=1,2.</x:v>
      </x:c>
      <x:c r="P1454" s="30" t="str">
        <x:v>12=10x, поэтому x=1,2.</x:v>
      </x:c>
      <x:c r="Q1454" s="30"/>
      <x:c r="R1454" s="30" t="str">
        <x:v>Полная версия МА2510402 с решениями РЕШУ ЕГЭ</x:v>
      </x:c>
      <x:c r="S1454" s="30"/>
      <x:c r="T1454" s="30"/>
      <x:c r="U1454" s="30" t="str">
        <x:v>Расхождений не обнаружено.</x:v>
      </x:c>
      <x:c r="V1454" s="87" t="str">
        <x:v>VERIFIED</x:v>
      </x:c>
      <x:c r="W1454" s="87" t="str">
        <x:v>онлайн</x:v>
      </x:c>
      <x:c r="X1454" s="87"/>
      <x:c r="Y1454" s="87"/>
      <x:c r="Z1454" s="87"/>
      <x:c r="AA1454" s="87"/>
      <x:c r="AB1454" s="87"/>
      <x:c r="AC1454" s="87"/>
      <x:c r="AD1454" s="87"/>
      <x:c r="AE1454" s="87"/>
      <x:c r="AF1454" s="87"/>
      <x:c r="AG1454" s="87"/>
      <x:c r="AH1454" s="87"/>
      <x:c r="AI1454" s="30"/>
      <x:c r="AJ1454" s="87" t="str">
        <x:v>master</x:v>
      </x:c>
      <x:c r="AK1454" s="87" t="str">
        <x:v>master-v0.81</x:v>
      </x:c>
      <x:c r="AL1454" s="87" t="str">
        <x:v>statgrad_master_base_v0_81_final(2).xlsx</x:v>
      </x:c>
      <x:c r="AM1454" s="87" t="str">
        <x:v>MATH_Mar_Base_V2</x:v>
      </x:c>
      <x:c r="AN1454" s="87" t="n">
        <x:v>18</x:v>
      </x:c>
    </x:row>
    <x:row r="1455">
      <x:c r="A1455" s="87" t="n">
        <x:v>1454</x:v>
      </x:c>
      <x:c r="B1455" s="87" t="str">
        <x:v>MAR-MATH-B-V2-018</x:v>
      </x:c>
      <x:c r="C1455" s="87" t="str">
        <x:v>СтатГрад</x:v>
      </x:c>
      <x:c r="D1455" s="87" t="str">
        <x:v>Март 2026</x:v>
      </x:c>
      <x:c r="E1455" s="87"/>
      <x:c r="F1455" s="87"/>
      <x:c r="G1455" s="87" t="str">
        <x:v>Математика</x:v>
      </x:c>
      <x:c r="H1455" s="87" t="str">
        <x:v>Базовый</x:v>
      </x:c>
      <x:c r="I1455" s="87" t="str">
        <x:v>ТР №4</x:v>
      </x:c>
      <x:c r="J1455" s="87" t="str">
        <x:v>МА2510402</x:v>
      </x:c>
      <x:c r="K1455" s="87" t="n">
        <x:v>18</x:v>
      </x:c>
      <x:c r="L1455" s="87" t="str">
        <x:v>Числовые промежутки</x:v>
      </x:c>
      <x:c r="M1455" s="30" t="str">
        <x:v>При m=√0,15 сопоставить −1/m, m², 4m и m−1 с отрезками [−3;−2], [−1;0], [0;1], [1;2].</x:v>
      </x:c>
      <x:c r="N1455" s="30" t="str">
        <x:v>1342</x:v>
      </x:c>
      <x:c r="O1455" s="30" t="str">
        <x:v>m≈0,387: −1/m≈−2,58 попадает в 1; m²=0,15 — в 3; 4m≈1,55 — в 4; m−1≈−0,61 — в 2.</x:v>
      </x:c>
      <x:c r="P1455" s="30" t="str">
        <x:v>m≈0,387: −1/m≈−2,58 попадает в 1; m²=0,15 — в 3; 4m≈1,55 — в 4; m−1≈−0,61 — в 2.</x:v>
      </x:c>
      <x:c r="Q1455" s="30"/>
      <x:c r="R1455" s="30" t="str">
        <x:v>Полная версия МА2510402 с решениями РЕШУ ЕГЭ</x:v>
      </x:c>
      <x:c r="S1455" s="30"/>
      <x:c r="T1455" s="30"/>
      <x:c r="U1455" s="30" t="str">
        <x:v>Расхождений не обнаружено.</x:v>
      </x:c>
      <x:c r="V1455" s="87" t="str">
        <x:v>VERIFIED</x:v>
      </x:c>
      <x:c r="W1455" s="87" t="str">
        <x:v>онлайн</x:v>
      </x:c>
      <x:c r="X1455" s="87"/>
      <x:c r="Y1455" s="87"/>
      <x:c r="Z1455" s="87"/>
      <x:c r="AA1455" s="87"/>
      <x:c r="AB1455" s="87"/>
      <x:c r="AC1455" s="87"/>
      <x:c r="AD1455" s="87"/>
      <x:c r="AE1455" s="87"/>
      <x:c r="AF1455" s="87"/>
      <x:c r="AG1455" s="87"/>
      <x:c r="AH1455" s="87"/>
      <x:c r="AI1455" s="30"/>
      <x:c r="AJ1455" s="87" t="str">
        <x:v>master</x:v>
      </x:c>
      <x:c r="AK1455" s="87" t="str">
        <x:v>master-v0.81</x:v>
      </x:c>
      <x:c r="AL1455" s="87" t="str">
        <x:v>statgrad_master_base_v0_81_final(2).xlsx</x:v>
      </x:c>
      <x:c r="AM1455" s="87" t="str">
        <x:v>MATH_Mar_Base_V2</x:v>
      </x:c>
      <x:c r="AN1455" s="87" t="n">
        <x:v>19</x:v>
      </x:c>
    </x:row>
    <x:row r="1456">
      <x:c r="A1456" s="87" t="n">
        <x:v>1455</x:v>
      </x:c>
      <x:c r="B1456" s="87" t="str">
        <x:v>MAR-MATH-B-V2-019</x:v>
      </x:c>
      <x:c r="C1456" s="87" t="str">
        <x:v>СтатГрад</x:v>
      </x:c>
      <x:c r="D1456" s="87" t="str">
        <x:v>Март 2026</x:v>
      </x:c>
      <x:c r="E1456" s="87"/>
      <x:c r="F1456" s="87"/>
      <x:c r="G1456" s="87" t="str">
        <x:v>Математика</x:v>
      </x:c>
      <x:c r="H1456" s="87" t="str">
        <x:v>Базовый</x:v>
      </x:c>
      <x:c r="I1456" s="87" t="str">
        <x:v>ТР №4</x:v>
      </x:c>
      <x:c r="J1456" s="87" t="str">
        <x:v>МА2510402</x:v>
      </x:c>
      <x:c r="K1456" s="87" t="n">
        <x:v>19</x:v>
      </x:c>
      <x:c r="L1456" s="87" t="str">
        <x:v>Цифровая запись числа</x:v>
      </x:c>
      <x:c r="M1456" s="30" t="str">
        <x:v>Найти пятизначное число, кратное 12, у которого любые соседние цифры отличаются на 2.</x:v>
      </x:c>
      <x:c r="N1456" s="30" t="str">
        <x:v>42024</x:v>
      </x:c>
      <x:c r="O1456" s="30" t="str">
        <x:v>42024 делится на 12: последние две цифры 24 делятся на 4, сумма цифр 12 делится на 3; соседние цифры отличаются на 2.</x:v>
      </x:c>
      <x:c r="P1456" s="30" t="str">
        <x:v>Полным перебором найдены также 42420, 42468, 46464, 86424 и 86868.</x:v>
      </x:c>
      <x:c r="Q1456" s="30"/>
      <x:c r="R1456" s="30" t="str">
        <x:v>Полная версия МА2510402 с решениями РЕШУ ЕГЭ</x:v>
      </x:c>
      <x:c r="S1456" s="30"/>
      <x:c r="T1456" s="30"/>
      <x:c r="U1456" s="30" t="str">
        <x:v>Допустим любой корректный пример.</x:v>
      </x:c>
      <x:c r="V1456" s="87" t="str">
        <x:v>VERIFIED</x:v>
      </x:c>
      <x:c r="W1456" s="87" t="str">
        <x:v>онлайн</x:v>
      </x:c>
      <x:c r="X1456" s="87"/>
      <x:c r="Y1456" s="87"/>
      <x:c r="Z1456" s="87"/>
      <x:c r="AA1456" s="87"/>
      <x:c r="AB1456" s="87"/>
      <x:c r="AC1456" s="87"/>
      <x:c r="AD1456" s="87"/>
      <x:c r="AE1456" s="87"/>
      <x:c r="AF1456" s="87"/>
      <x:c r="AG1456" s="87"/>
      <x:c r="AH1456" s="87"/>
      <x:c r="AI1456" s="30"/>
      <x:c r="AJ1456" s="87" t="str">
        <x:v>master</x:v>
      </x:c>
      <x:c r="AK1456" s="87" t="str">
        <x:v>master-v0.81</x:v>
      </x:c>
      <x:c r="AL1456" s="87" t="str">
        <x:v>statgrad_master_base_v0_81_final(2).xlsx</x:v>
      </x:c>
      <x:c r="AM1456" s="87" t="str">
        <x:v>MATH_Mar_Base_V2</x:v>
      </x:c>
      <x:c r="AN1456" s="87" t="n">
        <x:v>20</x:v>
      </x:c>
    </x:row>
    <x:row r="1457">
      <x:c r="A1457" s="87" t="n">
        <x:v>1456</x:v>
      </x:c>
      <x:c r="B1457" s="87" t="str">
        <x:v>MAR-MATH-B-V2-020</x:v>
      </x:c>
      <x:c r="C1457" s="87" t="str">
        <x:v>СтатГрад</x:v>
      </x:c>
      <x:c r="D1457" s="87" t="str">
        <x:v>Март 2026</x:v>
      </x:c>
      <x:c r="E1457" s="87"/>
      <x:c r="F1457" s="87"/>
      <x:c r="G1457" s="87" t="str">
        <x:v>Математика</x:v>
      </x:c>
      <x:c r="H1457" s="87" t="str">
        <x:v>Базовый</x:v>
      </x:c>
      <x:c r="I1457" s="87" t="str">
        <x:v>ТР №4</x:v>
      </x:c>
      <x:c r="J1457" s="87" t="str">
        <x:v>МА2510402</x:v>
      </x:c>
      <x:c r="K1457" s="87" t="n">
        <x:v>20</x:v>
      </x:c>
      <x:c r="L1457" s="87" t="str">
        <x:v>Движение по прямой</x:v>
      </x:c>
      <x:c r="M1457" s="30" t="str">
        <x:v>Расстояние между A и B равно 760 км. Первый автомобиль выехал из A со скоростью 80 км/ч; через час навстречу выехал второй со скоростью 90 км/ч. Найти расстояние от A до места встречи.</x:v>
      </x:c>
      <x:c r="N1457" s="30" t="str">
        <x:v>400</x:v>
      </x:c>
      <x:c r="O1457" s="30" t="str">
        <x:v>За первый час первый автомобиль прошёл 80 км. Оставшиеся 680 км автомобили сближаются со скоростью 170 км/ч, поэтому едут ещё 4 часа. Первый автомобиль прошёл 80·5=400 км.</x:v>
      </x:c>
      <x:c r="P1457" s="30" t="str">
        <x:v>За первый час первый автомобиль прошёл 80 км. Оставшиеся 680 км автомобили сближаются со скоростью 170 км/ч, поэтому едут ещё 4 часа. Первый автомобиль прошёл 80·5=400 км.</x:v>
      </x:c>
      <x:c r="Q1457" s="30"/>
      <x:c r="R1457" s="30" t="str">
        <x:v>Полная версия МА2510402 с решениями РЕШУ ЕГЭ</x:v>
      </x:c>
      <x:c r="S1457" s="30"/>
      <x:c r="T1457" s="30"/>
      <x:c r="U1457" s="30" t="str">
        <x:v>Расхождений не обнаружено.</x:v>
      </x:c>
      <x:c r="V1457" s="87" t="str">
        <x:v>VERIFIED</x:v>
      </x:c>
      <x:c r="W1457" s="87" t="str">
        <x:v>онлайн</x:v>
      </x:c>
      <x:c r="X1457" s="87"/>
      <x:c r="Y1457" s="87"/>
      <x:c r="Z1457" s="87"/>
      <x:c r="AA1457" s="87"/>
      <x:c r="AB1457" s="87"/>
      <x:c r="AC1457" s="87"/>
      <x:c r="AD1457" s="87"/>
      <x:c r="AE1457" s="87"/>
      <x:c r="AF1457" s="87"/>
      <x:c r="AG1457" s="87"/>
      <x:c r="AH1457" s="87"/>
      <x:c r="AI1457" s="30"/>
      <x:c r="AJ1457" s="87" t="str">
        <x:v>master</x:v>
      </x:c>
      <x:c r="AK1457" s="87" t="str">
        <x:v>master-v0.81</x:v>
      </x:c>
      <x:c r="AL1457" s="87" t="str">
        <x:v>statgrad_master_base_v0_81_final(2).xlsx</x:v>
      </x:c>
      <x:c r="AM1457" s="87" t="str">
        <x:v>MATH_Mar_Base_V2</x:v>
      </x:c>
      <x:c r="AN1457" s="87" t="n">
        <x:v>21</x:v>
      </x:c>
    </x:row>
    <x:row r="1458">
      <x:c r="A1458" s="87" t="n">
        <x:v>1457</x:v>
      </x:c>
      <x:c r="B1458" s="87" t="str">
        <x:v>MAR-MATH-B-V2-021</x:v>
      </x:c>
      <x:c r="C1458" s="87" t="str">
        <x:v>СтатГрад</x:v>
      </x:c>
      <x:c r="D1458" s="87" t="str">
        <x:v>Март 2026</x:v>
      </x:c>
      <x:c r="E1458" s="87"/>
      <x:c r="F1458" s="87"/>
      <x:c r="G1458" s="87" t="str">
        <x:v>Математика</x:v>
      </x:c>
      <x:c r="H1458" s="87" t="str">
        <x:v>Базовый</x:v>
      </x:c>
      <x:c r="I1458" s="87" t="str">
        <x:v>ТР №4</x:v>
      </x:c>
      <x:c r="J1458" s="87" t="str">
        <x:v>МА2510402</x:v>
      </x:c>
      <x:c r="K1458" s="87" t="n">
        <x:v>21</x:v>
      </x:c>
      <x:c r="L1458" s="87" t="str">
        <x:v>Комбинаторика: граф</x:v>
      </x:c>
      <x:c r="M1458" s="30" t="str">
        <x:v>Девять столбов соединены проводами так, что от каждого столба отходит ровно 6 проводов. Найти число проводов.</x:v>
      </x:c>
      <x:c r="N1458" s="30" t="str">
        <x:v>27</x:v>
      </x:c>
      <x:c r="O1458" s="30" t="str">
        <x:v>Сумма степеней равна 9·6=54; каждый провод учтён дважды, значит проводов 54/2=27.</x:v>
      </x:c>
      <x:c r="P1458" s="30" t="str">
        <x:v>Сумма степеней равна 9·6=54; каждый провод учтён дважды, значит проводов 54/2=27.</x:v>
      </x:c>
      <x:c r="Q1458" s="30"/>
      <x:c r="R1458" s="30" t="str">
        <x:v>Полная версия МА2510402 с решениями РЕШУ ЕГЭ</x:v>
      </x:c>
      <x:c r="S1458" s="30"/>
      <x:c r="T1458" s="30"/>
      <x:c r="U1458" s="30" t="str">
        <x:v>Расхождений не обнаружено.</x:v>
      </x:c>
      <x:c r="V1458" s="87" t="str">
        <x:v>VERIFIED</x:v>
      </x:c>
      <x:c r="W1458" s="87" t="str">
        <x:v>онлайн</x:v>
      </x:c>
      <x:c r="X1458" s="87"/>
      <x:c r="Y1458" s="87"/>
      <x:c r="Z1458" s="87"/>
      <x:c r="AA1458" s="87"/>
      <x:c r="AB1458" s="87"/>
      <x:c r="AC1458" s="87"/>
      <x:c r="AD1458" s="87"/>
      <x:c r="AE1458" s="87"/>
      <x:c r="AF1458" s="87"/>
      <x:c r="AG1458" s="87"/>
      <x:c r="AH1458" s="87"/>
      <x:c r="AI1458" s="30"/>
      <x:c r="AJ1458" s="87" t="str">
        <x:v>master</x:v>
      </x:c>
      <x:c r="AK1458" s="87" t="str">
        <x:v>master-v0.81</x:v>
      </x:c>
      <x:c r="AL1458" s="87" t="str">
        <x:v>statgrad_master_base_v0_81_final(2).xlsx</x:v>
      </x:c>
      <x:c r="AM1458" s="87" t="str">
        <x:v>MATH_Mar_Base_V2</x:v>
      </x:c>
      <x:c r="AN1458" s="87" t="n">
        <x:v>22</x:v>
      </x:c>
    </x:row>
    <x:row r="1459">
      <x:c r="A1459" s="87" t="n">
        <x:v>1458</x:v>
      </x:c>
      <x:c r="B1459" s="87" t="str">
        <x:v>MAR-MATH-B-V3-001</x:v>
      </x:c>
      <x:c r="C1459" s="87" t="str">
        <x:v>СтатГрад</x:v>
      </x:c>
      <x:c r="D1459" s="87" t="str">
        <x:v>Март 2026</x:v>
      </x:c>
      <x:c r="E1459" s="87"/>
      <x:c r="F1459" s="87"/>
      <x:c r="G1459" s="87" t="str">
        <x:v>Математика</x:v>
      </x:c>
      <x:c r="H1459" s="87" t="str">
        <x:v>Базовый</x:v>
      </x:c>
      <x:c r="I1459" s="87" t="str">
        <x:v>ТР №4</x:v>
      </x:c>
      <x:c r="J1459" s="87" t="str">
        <x:v>МА2510403</x:v>
      </x:c>
      <x:c r="K1459" s="87" t="n">
        <x:v>1</x:v>
      </x:c>
      <x:c r="L1459" s="87" t="str">
        <x:v>Текстовая задача: окупаемость</x:v>
      </x:c>
      <x:c r="M1459" s="30" t="str">
        <x:v>Установка двух счётчиков стоит 7000 руб.; ежемесячная плата снижается с 8100 до 3200 руб. Найти минимальное число месяцев, после которого экономия превысит стоимость установки.</x:v>
      </x:c>
      <x:c r="N1459" s="30" t="str">
        <x:v>2</x:v>
      </x:c>
      <x:c r="O1459" s="30" t="str">
        <x:v>Экономия за месяц равна 8100−3200=4900 руб. За один месяц это меньше 7000 руб., за два — 9800 руб.</x:v>
      </x:c>
      <x:c r="P1459" s="30" t="str">
        <x:v>Экономия за месяц равна 8100−3200=4900 руб. За один месяц это меньше 7000 руб., за два — 9800 руб.</x:v>
      </x:c>
      <x:c r="Q1459" s="30"/>
      <x:c r="R1459" s="30" t="str">
        <x:v>Полный PDF + вариант №23119870 РЕШУ ЕГЭ</x:v>
      </x:c>
      <x:c r="S1459" s="30"/>
      <x:c r="T1459" s="30"/>
      <x:c r="U1459" s="30" t="str">
        <x:v>Расхождений не обнаружено.</x:v>
      </x:c>
      <x:c r="V1459" s="87" t="str">
        <x:v>VERIFIED</x:v>
      </x:c>
      <x:c r="W1459" s="87" t="str">
        <x:v>PDF, вариант МА2510403</x:v>
      </x:c>
      <x:c r="X1459" s="87"/>
      <x:c r="Y1459" s="87"/>
      <x:c r="Z1459" s="87"/>
      <x:c r="AA1459" s="87"/>
      <x:c r="AB1459" s="87"/>
      <x:c r="AC1459" s="87"/>
      <x:c r="AD1459" s="87"/>
      <x:c r="AE1459" s="87"/>
      <x:c r="AF1459" s="87"/>
      <x:c r="AG1459" s="87"/>
      <x:c r="AH1459" s="87"/>
      <x:c r="AI1459" s="30"/>
      <x:c r="AJ1459" s="87" t="str">
        <x:v>master</x:v>
      </x:c>
      <x:c r="AK1459" s="87" t="str">
        <x:v>master-v0.81</x:v>
      </x:c>
      <x:c r="AL1459" s="87" t="str">
        <x:v>statgrad_master_base_v0_81_final(2).xlsx</x:v>
      </x:c>
      <x:c r="AM1459" s="87" t="str">
        <x:v>MATH_Mar_Base_V3</x:v>
      </x:c>
      <x:c r="AN1459" s="87" t="n">
        <x:v>2</x:v>
      </x:c>
    </x:row>
    <x:row r="1460">
      <x:c r="A1460" s="87" t="n">
        <x:v>1459</x:v>
      </x:c>
      <x:c r="B1460" s="87" t="str">
        <x:v>MAR-MATH-B-V3-002</x:v>
      </x:c>
      <x:c r="C1460" s="87" t="str">
        <x:v>СтатГрад</x:v>
      </x:c>
      <x:c r="D1460" s="87" t="str">
        <x:v>Март 2026</x:v>
      </x:c>
      <x:c r="E1460" s="87"/>
      <x:c r="F1460" s="87"/>
      <x:c r="G1460" s="87" t="str">
        <x:v>Математика</x:v>
      </x:c>
      <x:c r="H1460" s="87" t="str">
        <x:v>Базовый</x:v>
      </x:c>
      <x:c r="I1460" s="87" t="str">
        <x:v>ТР №4</x:v>
      </x:c>
      <x:c r="J1460" s="87" t="str">
        <x:v>МА2510403</x:v>
      </x:c>
      <x:c r="K1460" s="87" t="n">
        <x:v>2</x:v>
      </x:c>
      <x:c r="L1460" s="87" t="str">
        <x:v>Соответствие величин</x:v>
      </x:c>
      <x:c r="M1460" s="30" t="str">
        <x:v>Сопоставить длительность урока, серебряный норматив ГТО на 100 м для девушек 16–17 лет, время поезда Санкт-Петербург—Минеральные Воды и период обращения Урана с предложенными значениями.</x:v>
      </x:c>
      <x:c r="N1460" s="30" t="str">
        <x:v>2143</x:v>
      </x:c>
      <x:c r="O1460" s="30" t="str">
        <x:v>Урок — 45 минут (2); норматив — 17,6 с (1); поезд — 45 часов (4); Уран — 30 685 суток (3).</x:v>
      </x:c>
      <x:c r="P1460" s="30" t="str">
        <x:v>Урок — 45 минут (2); норматив — 17,6 с (1); поезд — 45 часов (4); Уран — 30 685 суток (3).</x:v>
      </x:c>
      <x:c r="Q1460" s="30"/>
      <x:c r="R1460" s="30" t="str">
        <x:v>Полный PDF + вариант №23119870 РЕШУ ЕГЭ</x:v>
      </x:c>
      <x:c r="S1460" s="30"/>
      <x:c r="T1460" s="30"/>
      <x:c r="U1460" s="30" t="str">
        <x:v>Расхождений не обнаружено.</x:v>
      </x:c>
      <x:c r="V1460" s="87" t="str">
        <x:v>VERIFIED</x:v>
      </x:c>
      <x:c r="W1460" s="87" t="str">
        <x:v>PDF, вариант МА2510403</x:v>
      </x:c>
      <x:c r="X1460" s="87"/>
      <x:c r="Y1460" s="87"/>
      <x:c r="Z1460" s="87"/>
      <x:c r="AA1460" s="87"/>
      <x:c r="AB1460" s="87"/>
      <x:c r="AC1460" s="87"/>
      <x:c r="AD1460" s="87"/>
      <x:c r="AE1460" s="87"/>
      <x:c r="AF1460" s="87"/>
      <x:c r="AG1460" s="87"/>
      <x:c r="AH1460" s="87"/>
      <x:c r="AI1460" s="30"/>
      <x:c r="AJ1460" s="87" t="str">
        <x:v>master</x:v>
      </x:c>
      <x:c r="AK1460" s="87" t="str">
        <x:v>master-v0.81</x:v>
      </x:c>
      <x:c r="AL1460" s="87" t="str">
        <x:v>statgrad_master_base_v0_81_final(2).xlsx</x:v>
      </x:c>
      <x:c r="AM1460" s="87" t="str">
        <x:v>MATH_Mar_Base_V3</x:v>
      </x:c>
      <x:c r="AN1460" s="87" t="n">
        <x:v>3</x:v>
      </x:c>
    </x:row>
    <x:row r="1461">
      <x:c r="A1461" s="87" t="n">
        <x:v>1460</x:v>
      </x:c>
      <x:c r="B1461" s="87" t="str">
        <x:v>MAR-MATH-B-V3-003</x:v>
      </x:c>
      <x:c r="C1461" s="87" t="str">
        <x:v>СтатГрад</x:v>
      </x:c>
      <x:c r="D1461" s="87" t="str">
        <x:v>Март 2026</x:v>
      </x:c>
      <x:c r="E1461" s="87"/>
      <x:c r="F1461" s="87"/>
      <x:c r="G1461" s="87" t="str">
        <x:v>Математика</x:v>
      </x:c>
      <x:c r="H1461" s="87" t="str">
        <x:v>Базовый</x:v>
      </x:c>
      <x:c r="I1461" s="87" t="str">
        <x:v>ТР №4</x:v>
      </x:c>
      <x:c r="J1461" s="87" t="str">
        <x:v>МА2510403</x:v>
      </x:c>
      <x:c r="K1461" s="87" t="n">
        <x:v>3</x:v>
      </x:c>
      <x:c r="L1461" s="87" t="str">
        <x:v>Чтение диаграммы</x:v>
      </x:c>
      <x:c r="M1461" s="30" t="str">
        <x:v>По диаграмме среднемесячных температур Санкт-Петербурга за 1999 год определить минимальное значение.</x:v>
      </x:c>
      <x:c r="N1461" s="30" t="str">
        <x:v>−8</x:v>
      </x:c>
      <x:c r="O1461" s="30" t="str">
        <x:v>Самый низкий столбец соответствует февралю и значению −8 °C.</x:v>
      </x:c>
      <x:c r="P1461" s="30" t="str">
        <x:v>Диаграмма проверена по полной странице PDF.</x:v>
      </x:c>
      <x:c r="Q1461" s="30"/>
      <x:c r="R1461" s="30" t="str">
        <x:v>Полный PDF + вариант №23119870 РЕШУ ЕГЭ</x:v>
      </x:c>
      <x:c r="S1461" s="30"/>
      <x:c r="T1461" s="30"/>
      <x:c r="U1461" s="30" t="str">
        <x:v>Расхождений не обнаружено.</x:v>
      </x:c>
      <x:c r="V1461" s="87" t="str">
        <x:v>VERIFIED</x:v>
      </x:c>
      <x:c r="W1461" s="87" t="str">
        <x:v>PDF, внутренняя стр. 3</x:v>
      </x:c>
      <x:c r="X1461" s="87"/>
      <x:c r="Y1461" s="87"/>
      <x:c r="Z1461" s="87"/>
      <x:c r="AA1461" s="87"/>
      <x:c r="AB1461" s="87"/>
      <x:c r="AC1461" s="87"/>
      <x:c r="AD1461" s="87"/>
      <x:c r="AE1461" s="87"/>
      <x:c r="AF1461" s="87"/>
      <x:c r="AG1461" s="87"/>
      <x:c r="AH1461" s="87"/>
      <x:c r="AI1461" s="30"/>
      <x:c r="AJ1461" s="87" t="str">
        <x:v>master</x:v>
      </x:c>
      <x:c r="AK1461" s="87" t="str">
        <x:v>master-v0.81</x:v>
      </x:c>
      <x:c r="AL1461" s="87" t="str">
        <x:v>statgrad_master_base_v0_81_final(2).xlsx</x:v>
      </x:c>
      <x:c r="AM1461" s="87" t="str">
        <x:v>MATH_Mar_Base_V3</x:v>
      </x:c>
      <x:c r="AN1461" s="87" t="n">
        <x:v>4</x:v>
      </x:c>
    </x:row>
    <x:row r="1462">
      <x:c r="A1462" s="87" t="n">
        <x:v>1461</x:v>
      </x:c>
      <x:c r="B1462" s="87" t="str">
        <x:v>MAR-MATH-B-V3-004</x:v>
      </x:c>
      <x:c r="C1462" s="87" t="str">
        <x:v>СтатГрад</x:v>
      </x:c>
      <x:c r="D1462" s="87" t="str">
        <x:v>Март 2026</x:v>
      </x:c>
      <x:c r="E1462" s="87"/>
      <x:c r="F1462" s="87"/>
      <x:c r="G1462" s="87" t="str">
        <x:v>Математика</x:v>
      </x:c>
      <x:c r="H1462" s="87" t="str">
        <x:v>Базовый</x:v>
      </x:c>
      <x:c r="I1462" s="87" t="str">
        <x:v>ТР №4</x:v>
      </x:c>
      <x:c r="J1462" s="87" t="str">
        <x:v>МА2510403</x:v>
      </x:c>
      <x:c r="K1462" s="87" t="n">
        <x:v>4</x:v>
      </x:c>
      <x:c r="L1462" s="87" t="str">
        <x:v>Формула с переменными</x:v>
      </x:c>
      <x:c r="M1462" s="30" t="str">
        <x:v>По формуле R=a/(2sinα) найти a, если R=9 и sinα=1/3.</x:v>
      </x:c>
      <x:c r="N1462" s="30" t="str">
        <x:v>6</x:v>
      </x:c>
      <x:c r="O1462" s="30" t="str">
        <x:v>a=2Rsinα=2·9·1/3=6.</x:v>
      </x:c>
      <x:c r="P1462" s="30" t="str">
        <x:v>a=2Rsinα=2·9·1/3=6.</x:v>
      </x:c>
      <x:c r="Q1462" s="30"/>
      <x:c r="R1462" s="30" t="str">
        <x:v>Полный PDF + вариант №23119870 РЕШУ ЕГЭ</x:v>
      </x:c>
      <x:c r="S1462" s="30"/>
      <x:c r="T1462" s="30"/>
      <x:c r="U1462" s="30" t="str">
        <x:v>Расхождений не обнаружено.</x:v>
      </x:c>
      <x:c r="V1462" s="87" t="str">
        <x:v>VERIFIED</x:v>
      </x:c>
      <x:c r="W1462" s="87" t="str">
        <x:v>PDF, вариант МА2510403</x:v>
      </x:c>
      <x:c r="X1462" s="87"/>
      <x:c r="Y1462" s="87"/>
      <x:c r="Z1462" s="87"/>
      <x:c r="AA1462" s="87"/>
      <x:c r="AB1462" s="87"/>
      <x:c r="AC1462" s="87"/>
      <x:c r="AD1462" s="87"/>
      <x:c r="AE1462" s="87"/>
      <x:c r="AF1462" s="87"/>
      <x:c r="AG1462" s="87"/>
      <x:c r="AH1462" s="87"/>
      <x:c r="AI1462" s="30"/>
      <x:c r="AJ1462" s="87" t="str">
        <x:v>master</x:v>
      </x:c>
      <x:c r="AK1462" s="87" t="str">
        <x:v>master-v0.81</x:v>
      </x:c>
      <x:c r="AL1462" s="87" t="str">
        <x:v>statgrad_master_base_v0_81_final(2).xlsx</x:v>
      </x:c>
      <x:c r="AM1462" s="87" t="str">
        <x:v>MATH_Mar_Base_V3</x:v>
      </x:c>
      <x:c r="AN1462" s="87" t="n">
        <x:v>5</x:v>
      </x:c>
    </x:row>
    <x:row r="1463">
      <x:c r="A1463" s="87" t="n">
        <x:v>1462</x:v>
      </x:c>
      <x:c r="B1463" s="87" t="str">
        <x:v>MAR-MATH-B-V3-005</x:v>
      </x:c>
      <x:c r="C1463" s="87" t="str">
        <x:v>СтатГрад</x:v>
      </x:c>
      <x:c r="D1463" s="87" t="str">
        <x:v>Март 2026</x:v>
      </x:c>
      <x:c r="E1463" s="87"/>
      <x:c r="F1463" s="87"/>
      <x:c r="G1463" s="87" t="str">
        <x:v>Математика</x:v>
      </x:c>
      <x:c r="H1463" s="87" t="str">
        <x:v>Базовый</x:v>
      </x:c>
      <x:c r="I1463" s="87" t="str">
        <x:v>ТР №4</x:v>
      </x:c>
      <x:c r="J1463" s="87" t="str">
        <x:v>МА2510403</x:v>
      </x:c>
      <x:c r="K1463" s="87" t="n">
        <x:v>5</x:v>
      </x:c>
      <x:c r="L1463" s="87" t="str">
        <x:v>Классическая вероятность</x:v>
      </x:c>
      <x:c r="M1463" s="30" t="str">
        <x:v>Из 25 чашек 7 имеют красные цветы, остальные — синие. Найти вероятность выбрать синюю чашку.</x:v>
      </x:c>
      <x:c r="N1463" s="30" t="str">
        <x:v>0,72</x:v>
      </x:c>
      <x:c r="O1463" s="30" t="str">
        <x:v>Синих чашек 25−7=18; вероятность 18/25=0,72.</x:v>
      </x:c>
      <x:c r="P1463" s="30" t="str">
        <x:v>Синих чашек 25−7=18; вероятность 18/25=0,72.</x:v>
      </x:c>
      <x:c r="Q1463" s="30"/>
      <x:c r="R1463" s="30" t="str">
        <x:v>Полный PDF + вариант №23119870 РЕШУ ЕГЭ</x:v>
      </x:c>
      <x:c r="S1463" s="30"/>
      <x:c r="T1463" s="30"/>
      <x:c r="U1463" s="30" t="str">
        <x:v>Расхождений не обнаружено.</x:v>
      </x:c>
      <x:c r="V1463" s="87" t="str">
        <x:v>VERIFIED</x:v>
      </x:c>
      <x:c r="W1463" s="87" t="str">
        <x:v>PDF, вариант МА2510403</x:v>
      </x:c>
      <x:c r="X1463" s="87"/>
      <x:c r="Y1463" s="87"/>
      <x:c r="Z1463" s="87"/>
      <x:c r="AA1463" s="87"/>
      <x:c r="AB1463" s="87"/>
      <x:c r="AC1463" s="87"/>
      <x:c r="AD1463" s="87"/>
      <x:c r="AE1463" s="87"/>
      <x:c r="AF1463" s="87"/>
      <x:c r="AG1463" s="87"/>
      <x:c r="AH1463" s="87"/>
      <x:c r="AI1463" s="30"/>
      <x:c r="AJ1463" s="87" t="str">
        <x:v>master</x:v>
      </x:c>
      <x:c r="AK1463" s="87" t="str">
        <x:v>master-v0.81</x:v>
      </x:c>
      <x:c r="AL1463" s="87" t="str">
        <x:v>statgrad_master_base_v0_81_final(2).xlsx</x:v>
      </x:c>
      <x:c r="AM1463" s="87" t="str">
        <x:v>MATH_Mar_Base_V3</x:v>
      </x:c>
      <x:c r="AN1463" s="87" t="n">
        <x:v>6</x:v>
      </x:c>
    </x:row>
    <x:row r="1464">
      <x:c r="A1464" s="87" t="n">
        <x:v>1463</x:v>
      </x:c>
      <x:c r="B1464" s="87" t="str">
        <x:v>MAR-MATH-B-V3-006</x:v>
      </x:c>
      <x:c r="C1464" s="87" t="str">
        <x:v>СтатГрад</x:v>
      </x:c>
      <x:c r="D1464" s="87" t="str">
        <x:v>Март 2026</x:v>
      </x:c>
      <x:c r="E1464" s="87"/>
      <x:c r="F1464" s="87"/>
      <x:c r="G1464" s="87" t="str">
        <x:v>Математика</x:v>
      </x:c>
      <x:c r="H1464" s="87" t="str">
        <x:v>Базовый</x:v>
      </x:c>
      <x:c r="I1464" s="87" t="str">
        <x:v>ТР №4</x:v>
      </x:c>
      <x:c r="J1464" s="87" t="str">
        <x:v>МА2510403</x:v>
      </x:c>
      <x:c r="K1464" s="87" t="n">
        <x:v>6</x:v>
      </x:c>
      <x:c r="L1464" s="87" t="str">
        <x:v>Оптимальный набор</x:v>
      </x:c>
      <x:c r="M1464" s="30" t="str">
        <x:v>Выбрать переводчиков, которые вместе владеют английским, немецким, испанским и французским, при стоимости не более 30 000 руб.</x:v>
      </x:c>
      <x:c r="N1464" s="30" t="str">
        <x:v>35</x:v>
      </x:c>
      <x:c r="O1464" s="30" t="str">
        <x:v>Переводчик 3 знает испанский и французский, переводчик 5 — английский и немецкий; стоимость 12 300+11 900=24 200 руб.</x:v>
      </x:c>
      <x:c r="P1464" s="30" t="str">
        <x:v>Проверены все четыре языка и ограничение по стоимости.</x:v>
      </x:c>
      <x:c r="Q1464" s="30"/>
      <x:c r="R1464" s="30" t="str">
        <x:v>Полный PDF + вариант №23119870 РЕШУ ЕГЭ</x:v>
      </x:c>
      <x:c r="S1464" s="30"/>
      <x:c r="T1464" s="30"/>
      <x:c r="U1464" s="30" t="str">
        <x:v>Допустима запись 53.</x:v>
      </x:c>
      <x:c r="V1464" s="87" t="str">
        <x:v>VERIFIED</x:v>
      </x:c>
      <x:c r="W1464" s="87" t="str">
        <x:v>PDF, внутренняя стр. 4</x:v>
      </x:c>
      <x:c r="X1464" s="87"/>
      <x:c r="Y1464" s="87"/>
      <x:c r="Z1464" s="87"/>
      <x:c r="AA1464" s="87"/>
      <x:c r="AB1464" s="87"/>
      <x:c r="AC1464" s="87"/>
      <x:c r="AD1464" s="87"/>
      <x:c r="AE1464" s="87"/>
      <x:c r="AF1464" s="87"/>
      <x:c r="AG1464" s="87"/>
      <x:c r="AH1464" s="87"/>
      <x:c r="AI1464" s="30"/>
      <x:c r="AJ1464" s="87" t="str">
        <x:v>master</x:v>
      </x:c>
      <x:c r="AK1464" s="87" t="str">
        <x:v>master-v0.81</x:v>
      </x:c>
      <x:c r="AL1464" s="87" t="str">
        <x:v>statgrad_master_base_v0_81_final(2).xlsx</x:v>
      </x:c>
      <x:c r="AM1464" s="87" t="str">
        <x:v>MATH_Mar_Base_V3</x:v>
      </x:c>
      <x:c r="AN1464" s="87" t="n">
        <x:v>7</x:v>
      </x:c>
    </x:row>
    <x:row r="1465">
      <x:c r="A1465" s="87" t="n">
        <x:v>1464</x:v>
      </x:c>
      <x:c r="B1465" s="87" t="str">
        <x:v>MAR-MATH-B-V3-007</x:v>
      </x:c>
      <x:c r="C1465" s="87" t="str">
        <x:v>СтатГрад</x:v>
      </x:c>
      <x:c r="D1465" s="87" t="str">
        <x:v>Март 2026</x:v>
      </x:c>
      <x:c r="E1465" s="87"/>
      <x:c r="F1465" s="87"/>
      <x:c r="G1465" s="87" t="str">
        <x:v>Математика</x:v>
      </x:c>
      <x:c r="H1465" s="87" t="str">
        <x:v>Базовый</x:v>
      </x:c>
      <x:c r="I1465" s="87" t="str">
        <x:v>ТР №4</x:v>
      </x:c>
      <x:c r="J1465" s="87" t="str">
        <x:v>МА2510403</x:v>
      </x:c>
      <x:c r="K1465" s="87" t="n">
        <x:v>7</x:v>
      </x:c>
      <x:c r="L1465" s="87" t="str">
        <x:v>Свойства функций</x:v>
      </x:c>
      <x:c r="M1465" s="30" t="str">
        <x:v>Сопоставить y=8x+10, y=x²−12x+5, y=4x−x² и y=17−3x с характеристиками: максимум, убывание, минимум, возрастание.</x:v>
      </x:c>
      <x:c r="N1465" s="30" t="str">
        <x:v>4312</x:v>
      </x:c>
      <x:c r="O1465" s="30" t="str">
        <x:v>Линейная функция с положительным коэффициентом возрастает (4); парабола вверх имеет минимум (3); парабола вниз — максимум (1); линейная функция с отрицательным коэффициентом убывает (2).</x:v>
      </x:c>
      <x:c r="P1465" s="30" t="str">
        <x:v>Линейная функция с положительным коэффициентом возрастает (4); парабола вверх имеет минимум (3); парабола вниз — максимум (1); линейная функция с отрицательным коэффициентом убывает (2).</x:v>
      </x:c>
      <x:c r="Q1465" s="30"/>
      <x:c r="R1465" s="30" t="str">
        <x:v>Полный PDF + вариант №23119870 РЕШУ ЕГЭ</x:v>
      </x:c>
      <x:c r="S1465" s="30"/>
      <x:c r="T1465" s="30"/>
      <x:c r="U1465" s="30" t="str">
        <x:v>Расхождений не обнаружено.</x:v>
      </x:c>
      <x:c r="V1465" s="87" t="str">
        <x:v>VERIFIED</x:v>
      </x:c>
      <x:c r="W1465" s="87" t="str">
        <x:v>PDF, вариант МА2510403</x:v>
      </x:c>
      <x:c r="X1465" s="87"/>
      <x:c r="Y1465" s="87"/>
      <x:c r="Z1465" s="87"/>
      <x:c r="AA1465" s="87"/>
      <x:c r="AB1465" s="87"/>
      <x:c r="AC1465" s="87"/>
      <x:c r="AD1465" s="87"/>
      <x:c r="AE1465" s="87"/>
      <x:c r="AF1465" s="87"/>
      <x:c r="AG1465" s="87"/>
      <x:c r="AH1465" s="87"/>
      <x:c r="AI1465" s="30"/>
      <x:c r="AJ1465" s="87" t="str">
        <x:v>master</x:v>
      </x:c>
      <x:c r="AK1465" s="87" t="str">
        <x:v>master-v0.81</x:v>
      </x:c>
      <x:c r="AL1465" s="87" t="str">
        <x:v>statgrad_master_base_v0_81_final(2).xlsx</x:v>
      </x:c>
      <x:c r="AM1465" s="87" t="str">
        <x:v>MATH_Mar_Base_V3</x:v>
      </x:c>
      <x:c r="AN1465" s="87" t="n">
        <x:v>8</x:v>
      </x:c>
    </x:row>
    <x:row r="1466">
      <x:c r="A1466" s="87" t="n">
        <x:v>1465</x:v>
      </x:c>
      <x:c r="B1466" s="87" t="str">
        <x:v>MAR-MATH-B-V3-008</x:v>
      </x:c>
      <x:c r="C1466" s="87" t="str">
        <x:v>СтатГрад</x:v>
      </x:c>
      <x:c r="D1466" s="87" t="str">
        <x:v>Март 2026</x:v>
      </x:c>
      <x:c r="E1466" s="87"/>
      <x:c r="F1466" s="87"/>
      <x:c r="G1466" s="87" t="str">
        <x:v>Математика</x:v>
      </x:c>
      <x:c r="H1466" s="87" t="str">
        <x:v>Базовый</x:v>
      </x:c>
      <x:c r="I1466" s="87" t="str">
        <x:v>ТР №4</x:v>
      </x:c>
      <x:c r="J1466" s="87" t="str">
        <x:v>МА2510403</x:v>
      </x:c>
      <x:c r="K1466" s="87" t="n">
        <x:v>8</x:v>
      </x:c>
      <x:c r="L1466" s="87" t="str">
        <x:v>Логические утверждения</x:v>
      </x:c>
      <x:c r="M1466" s="30" t="str">
        <x:v>В 9 «Б» география проходит по средам и пятницам, и на каждый такой урок нужен атлас. Выбрать гарантированно верные утверждения.</x:v>
      </x:c>
      <x:c r="N1466" s="30" t="str">
        <x:v>23</x:v>
      </x:c>
      <x:c r="O1466" s="30" t="str">
        <x:v>В среду атлас необходим; в четверг урока географии нет, поэтому атлас не требуется. Утверждения 1 и 4 слишком сильные и неверны.</x:v>
      </x:c>
      <x:c r="P1466" s="30" t="str">
        <x:v>Все четыре утверждения проверены как следствия расписания.</x:v>
      </x:c>
      <x:c r="Q1466" s="30"/>
      <x:c r="R1466" s="30" t="str">
        <x:v>Полный PDF + вариант №23119870 РЕШУ ЕГЭ</x:v>
      </x:c>
      <x:c r="S1466" s="30"/>
      <x:c r="T1466" s="30"/>
      <x:c r="U1466" s="30" t="str">
        <x:v>Расхождений не обнаружено.</x:v>
      </x:c>
      <x:c r="V1466" s="87" t="str">
        <x:v>VERIFIED</x:v>
      </x:c>
      <x:c r="W1466" s="87" t="str">
        <x:v>PDF, вариант МА2510403</x:v>
      </x:c>
      <x:c r="X1466" s="87"/>
      <x:c r="Y1466" s="87"/>
      <x:c r="Z1466" s="87"/>
      <x:c r="AA1466" s="87"/>
      <x:c r="AB1466" s="87"/>
      <x:c r="AC1466" s="87"/>
      <x:c r="AD1466" s="87"/>
      <x:c r="AE1466" s="87"/>
      <x:c r="AF1466" s="87"/>
      <x:c r="AG1466" s="87"/>
      <x:c r="AH1466" s="87"/>
      <x:c r="AI1466" s="30"/>
      <x:c r="AJ1466" s="87" t="str">
        <x:v>master</x:v>
      </x:c>
      <x:c r="AK1466" s="87" t="str">
        <x:v>master-v0.81</x:v>
      </x:c>
      <x:c r="AL1466" s="87" t="str">
        <x:v>statgrad_master_base_v0_81_final(2).xlsx</x:v>
      </x:c>
      <x:c r="AM1466" s="87" t="str">
        <x:v>MATH_Mar_Base_V3</x:v>
      </x:c>
      <x:c r="AN1466" s="87" t="n">
        <x:v>9</x:v>
      </x:c>
    </x:row>
    <x:row r="1467">
      <x:c r="A1467" s="87" t="n">
        <x:v>1466</x:v>
      </x:c>
      <x:c r="B1467" s="87" t="str">
        <x:v>MAR-MATH-B-V3-009</x:v>
      </x:c>
      <x:c r="C1467" s="87" t="str">
        <x:v>СтатГрад</x:v>
      </x:c>
      <x:c r="D1467" s="87" t="str">
        <x:v>Март 2026</x:v>
      </x:c>
      <x:c r="E1467" s="87"/>
      <x:c r="F1467" s="87"/>
      <x:c r="G1467" s="87" t="str">
        <x:v>Математика</x:v>
      </x:c>
      <x:c r="H1467" s="87" t="str">
        <x:v>Базовый</x:v>
      </x:c>
      <x:c r="I1467" s="87" t="str">
        <x:v>ТР №4</x:v>
      </x:c>
      <x:c r="J1467" s="87" t="str">
        <x:v>МА2510403</x:v>
      </x:c>
      <x:c r="K1467" s="87" t="n">
        <x:v>9</x:v>
      </x:c>
      <x:c r="L1467" s="87" t="str">
        <x:v>Площадь на клетчатой решётке</x:v>
      </x:c>
      <x:c r="M1467" s="30" t="str">
        <x:v>Найти площадь четырёхугольника на квадратной сетке 1×1 м.</x:v>
      </x:c>
      <x:c r="N1467" s="30" t="str">
        <x:v>29</x:v>
      </x:c>
      <x:c r="O1467" s="30" t="str">
        <x:v>В координатах узлов сетки вершины можно взять как (1;3), (6;1), (8;6), (3;8). По формуле площади многоугольника получаем 29 м².</x:v>
      </x:c>
      <x:c r="P1467" s="30" t="str">
        <x:v>Дополнительно площадь проверена разбиением окружающего прямоугольника на треугольники.</x:v>
      </x:c>
      <x:c r="Q1467" s="30"/>
      <x:c r="R1467" s="30" t="str">
        <x:v>Полный PDF + вариант №23119870 РЕШУ ЕГЭ</x:v>
      </x:c>
      <x:c r="S1467" s="30"/>
      <x:c r="T1467" s="30"/>
      <x:c r="U1467" s="30" t="str">
        <x:v>Расхождений не обнаружено.</x:v>
      </x:c>
      <x:c r="V1467" s="87" t="str">
        <x:v>VERIFIED</x:v>
      </x:c>
      <x:c r="W1467" s="87" t="str">
        <x:v>PDF, внутренняя стр. 5</x:v>
      </x:c>
      <x:c r="X1467" s="87"/>
      <x:c r="Y1467" s="87"/>
      <x:c r="Z1467" s="87"/>
      <x:c r="AA1467" s="87"/>
      <x:c r="AB1467" s="87"/>
      <x:c r="AC1467" s="87"/>
      <x:c r="AD1467" s="87"/>
      <x:c r="AE1467" s="87"/>
      <x:c r="AF1467" s="87"/>
      <x:c r="AG1467" s="87"/>
      <x:c r="AH1467" s="87"/>
      <x:c r="AI1467" s="30"/>
      <x:c r="AJ1467" s="87" t="str">
        <x:v>master</x:v>
      </x:c>
      <x:c r="AK1467" s="87" t="str">
        <x:v>master-v0.81</x:v>
      </x:c>
      <x:c r="AL1467" s="87" t="str">
        <x:v>statgrad_master_base_v0_81_final(2).xlsx</x:v>
      </x:c>
      <x:c r="AM1467" s="87" t="str">
        <x:v>MATH_Mar_Base_V3</x:v>
      </x:c>
      <x:c r="AN1467" s="87" t="n">
        <x:v>10</x:v>
      </x:c>
    </x:row>
    <x:row r="1468">
      <x:c r="A1468" s="87" t="n">
        <x:v>1467</x:v>
      </x:c>
      <x:c r="B1468" s="87" t="str">
        <x:v>MAR-MATH-B-V3-010</x:v>
      </x:c>
      <x:c r="C1468" s="87" t="str">
        <x:v>СтатГрад</x:v>
      </x:c>
      <x:c r="D1468" s="87" t="str">
        <x:v>Март 2026</x:v>
      </x:c>
      <x:c r="E1468" s="87"/>
      <x:c r="F1468" s="87"/>
      <x:c r="G1468" s="87" t="str">
        <x:v>Математика</x:v>
      </x:c>
      <x:c r="H1468" s="87" t="str">
        <x:v>Базовый</x:v>
      </x:c>
      <x:c r="I1468" s="87" t="str">
        <x:v>ТР №4</x:v>
      </x:c>
      <x:c r="J1468" s="87" t="str">
        <x:v>МА2510403</x:v>
      </x:c>
      <x:c r="K1468" s="87" t="n">
        <x:v>10</x:v>
      </x:c>
      <x:c r="L1468" s="87" t="str">
        <x:v>Подобие треугольников</x:v>
      </x:c>
      <x:c r="M1468" s="30" t="str">
        <x:v>Короткое плечо колодца-журавля равно 2 м, длинное — 4 м. На сколько опустится длинное плечо при подъёме короткого на 0,5 м?</x:v>
      </x:c>
      <x:c r="N1468" s="30" t="str">
        <x:v>1</x:v>
      </x:c>
      <x:c r="O1468" s="30" t="str">
        <x:v>Перемещения пропорциональны длинам плеч: x/0,5=4/2, поэтому x=1 м.</x:v>
      </x:c>
      <x:c r="P1468" s="30" t="str">
        <x:v>Перемещения пропорциональны длинам плеч: x/0,5=4/2, поэтому x=1 м.</x:v>
      </x:c>
      <x:c r="Q1468" s="30"/>
      <x:c r="R1468" s="30" t="str">
        <x:v>Полный PDF + вариант №23119870 РЕШУ ЕГЭ</x:v>
      </x:c>
      <x:c r="S1468" s="30"/>
      <x:c r="T1468" s="30"/>
      <x:c r="U1468" s="30" t="str">
        <x:v>Расхождений не обнаружено.</x:v>
      </x:c>
      <x:c r="V1468" s="87" t="str">
        <x:v>VERIFIED</x:v>
      </x:c>
      <x:c r="W1468" s="87" t="str">
        <x:v>PDF, вариант МА2510403</x:v>
      </x:c>
      <x:c r="X1468" s="87"/>
      <x:c r="Y1468" s="87"/>
      <x:c r="Z1468" s="87"/>
      <x:c r="AA1468" s="87"/>
      <x:c r="AB1468" s="87"/>
      <x:c r="AC1468" s="87"/>
      <x:c r="AD1468" s="87"/>
      <x:c r="AE1468" s="87"/>
      <x:c r="AF1468" s="87"/>
      <x:c r="AG1468" s="87"/>
      <x:c r="AH1468" s="87"/>
      <x:c r="AI1468" s="30"/>
      <x:c r="AJ1468" s="87" t="str">
        <x:v>master</x:v>
      </x:c>
      <x:c r="AK1468" s="87" t="str">
        <x:v>master-v0.81</x:v>
      </x:c>
      <x:c r="AL1468" s="87" t="str">
        <x:v>statgrad_master_base_v0_81_final(2).xlsx</x:v>
      </x:c>
      <x:c r="AM1468" s="87" t="str">
        <x:v>MATH_Mar_Base_V3</x:v>
      </x:c>
      <x:c r="AN1468" s="87" t="n">
        <x:v>11</x:v>
      </x:c>
    </x:row>
    <x:row r="1469">
      <x:c r="A1469" s="87" t="n">
        <x:v>1468</x:v>
      </x:c>
      <x:c r="B1469" s="87" t="str">
        <x:v>MAR-MATH-B-V3-011</x:v>
      </x:c>
      <x:c r="C1469" s="87" t="str">
        <x:v>СтатГрад</x:v>
      </x:c>
      <x:c r="D1469" s="87" t="str">
        <x:v>Март 2026</x:v>
      </x:c>
      <x:c r="E1469" s="87"/>
      <x:c r="F1469" s="87"/>
      <x:c r="G1469" s="87" t="str">
        <x:v>Математика</x:v>
      </x:c>
      <x:c r="H1469" s="87" t="str">
        <x:v>Базовый</x:v>
      </x:c>
      <x:c r="I1469" s="87" t="str">
        <x:v>ТР №4</x:v>
      </x:c>
      <x:c r="J1469" s="87" t="str">
        <x:v>МА2510403</x:v>
      </x:c>
      <x:c r="K1469" s="87" t="n">
        <x:v>11</x:v>
      </x:c>
      <x:c r="L1469" s="87" t="str">
        <x:v>Объём вытесненной жидкости</x:v>
      </x:c>
      <x:c r="M1469" s="30" t="str">
        <x:v>Площадь основания цилиндрического бака равна 70 см²; после погружения детали уровень поднялся на 10 см. Найти объём детали.</x:v>
      </x:c>
      <x:c r="N1469" s="30" t="str">
        <x:v>700</x:v>
      </x:c>
      <x:c r="O1469" s="30" t="str">
        <x:v>V=S·h=70·10=700 см³.</x:v>
      </x:c>
      <x:c r="P1469" s="30" t="str">
        <x:v>V=S·h=70·10=700 см³.</x:v>
      </x:c>
      <x:c r="Q1469" s="30"/>
      <x:c r="R1469" s="30" t="str">
        <x:v>Полный PDF + вариант №23119870 РЕШУ ЕГЭ</x:v>
      </x:c>
      <x:c r="S1469" s="30"/>
      <x:c r="T1469" s="30"/>
      <x:c r="U1469" s="30" t="str">
        <x:v>Расхождений не обнаружено.</x:v>
      </x:c>
      <x:c r="V1469" s="87" t="str">
        <x:v>VERIFIED</x:v>
      </x:c>
      <x:c r="W1469" s="87" t="str">
        <x:v>PDF, вариант МА2510403</x:v>
      </x:c>
      <x:c r="X1469" s="87"/>
      <x:c r="Y1469" s="87"/>
      <x:c r="Z1469" s="87"/>
      <x:c r="AA1469" s="87"/>
      <x:c r="AB1469" s="87"/>
      <x:c r="AC1469" s="87"/>
      <x:c r="AD1469" s="87"/>
      <x:c r="AE1469" s="87"/>
      <x:c r="AF1469" s="87"/>
      <x:c r="AG1469" s="87"/>
      <x:c r="AH1469" s="87"/>
      <x:c r="AI1469" s="30"/>
      <x:c r="AJ1469" s="87" t="str">
        <x:v>master</x:v>
      </x:c>
      <x:c r="AK1469" s="87" t="str">
        <x:v>master-v0.81</x:v>
      </x:c>
      <x:c r="AL1469" s="87" t="str">
        <x:v>statgrad_master_base_v0_81_final(2).xlsx</x:v>
      </x:c>
      <x:c r="AM1469" s="87" t="str">
        <x:v>MATH_Mar_Base_V3</x:v>
      </x:c>
      <x:c r="AN1469" s="87" t="n">
        <x:v>12</x:v>
      </x:c>
    </x:row>
    <x:row r="1470">
      <x:c r="A1470" s="87" t="n">
        <x:v>1469</x:v>
      </x:c>
      <x:c r="B1470" s="87" t="str">
        <x:v>MAR-MATH-B-V3-012</x:v>
      </x:c>
      <x:c r="C1470" s="87" t="str">
        <x:v>СтатГрад</x:v>
      </x:c>
      <x:c r="D1470" s="87" t="str">
        <x:v>Март 2026</x:v>
      </x:c>
      <x:c r="E1470" s="87"/>
      <x:c r="F1470" s="87"/>
      <x:c r="G1470" s="87" t="str">
        <x:v>Математика</x:v>
      </x:c>
      <x:c r="H1470" s="87" t="str">
        <x:v>Базовый</x:v>
      </x:c>
      <x:c r="I1470" s="87" t="str">
        <x:v>ТР №4</x:v>
      </x:c>
      <x:c r="J1470" s="87" t="str">
        <x:v>МА2510403</x:v>
      </x:c>
      <x:c r="K1470" s="87" t="n">
        <x:v>12</x:v>
      </x:c>
      <x:c r="L1470" s="87" t="str">
        <x:v>Прямоугольная трапеция</x:v>
      </x:c>
      <x:c r="M1470" s="30" t="str">
        <x:v>Основания прямоугольной трапеции равны 2 и 6, один угол равен 135°. Найти меньшую боковую сторону.</x:v>
      </x:c>
      <x:c r="N1470" s="30" t="str">
        <x:v>4</x:v>
      </x:c>
      <x:c r="O1470" s="30" t="str">
        <x:v>Разность оснований равна 4. Дополнительный прямоугольный треугольник имеет угол 45°, поэтому его катеты равны и высота трапеции равна 4.</x:v>
      </x:c>
      <x:c r="P1470" s="30" t="str">
        <x:v>Разность оснований равна 4. Дополнительный прямоугольный треугольник имеет угол 45°, поэтому его катеты равны и высота трапеции равна 4.</x:v>
      </x:c>
      <x:c r="Q1470" s="30"/>
      <x:c r="R1470" s="30" t="str">
        <x:v>Полный PDF + вариант №23119870 РЕШУ ЕГЭ</x:v>
      </x:c>
      <x:c r="S1470" s="30"/>
      <x:c r="T1470" s="30"/>
      <x:c r="U1470" s="30" t="str">
        <x:v>Расхождений не обнаружено.</x:v>
      </x:c>
      <x:c r="V1470" s="87" t="str">
        <x:v>VERIFIED</x:v>
      </x:c>
      <x:c r="W1470" s="87" t="str">
        <x:v>PDF, вариант МА2510403</x:v>
      </x:c>
      <x:c r="X1470" s="87"/>
      <x:c r="Y1470" s="87"/>
      <x:c r="Z1470" s="87"/>
      <x:c r="AA1470" s="87"/>
      <x:c r="AB1470" s="87"/>
      <x:c r="AC1470" s="87"/>
      <x:c r="AD1470" s="87"/>
      <x:c r="AE1470" s="87"/>
      <x:c r="AF1470" s="87"/>
      <x:c r="AG1470" s="87"/>
      <x:c r="AH1470" s="87"/>
      <x:c r="AI1470" s="30"/>
      <x:c r="AJ1470" s="87" t="str">
        <x:v>master</x:v>
      </x:c>
      <x:c r="AK1470" s="87" t="str">
        <x:v>master-v0.81</x:v>
      </x:c>
      <x:c r="AL1470" s="87" t="str">
        <x:v>statgrad_master_base_v0_81_final(2).xlsx</x:v>
      </x:c>
      <x:c r="AM1470" s="87" t="str">
        <x:v>MATH_Mar_Base_V3</x:v>
      </x:c>
      <x:c r="AN1470" s="87" t="n">
        <x:v>13</x:v>
      </x:c>
    </x:row>
    <x:row r="1471">
      <x:c r="A1471" s="87" t="n">
        <x:v>1470</x:v>
      </x:c>
      <x:c r="B1471" s="87" t="str">
        <x:v>MAR-MATH-B-V3-013</x:v>
      </x:c>
      <x:c r="C1471" s="87" t="str">
        <x:v>СтатГрад</x:v>
      </x:c>
      <x:c r="D1471" s="87" t="str">
        <x:v>Март 2026</x:v>
      </x:c>
      <x:c r="E1471" s="87"/>
      <x:c r="F1471" s="87"/>
      <x:c r="G1471" s="87" t="str">
        <x:v>Математика</x:v>
      </x:c>
      <x:c r="H1471" s="87" t="str">
        <x:v>Базовый</x:v>
      </x:c>
      <x:c r="I1471" s="87" t="str">
        <x:v>ТР №4</x:v>
      </x:c>
      <x:c r="J1471" s="87" t="str">
        <x:v>МА2510403</x:v>
      </x:c>
      <x:c r="K1471" s="87" t="n">
        <x:v>13</x:v>
      </x:c>
      <x:c r="L1471" s="87" t="str">
        <x:v>Конус</x:v>
      </x:c>
      <x:c r="M1471" s="30" t="str">
        <x:v>Первый конус имеет r=5, l=6, второй — r=3, l=4. Во сколько раз площадь боковой поверхности первого больше?</x:v>
      </x:c>
      <x:c r="N1471" s="30" t="str">
        <x:v>2,5</x:v>
      </x:c>
      <x:c r="O1471" s="30" t="str">
        <x:v>Sбок=πrl; отношение (5·6)/(3·4)=30/12=2,5.</x:v>
      </x:c>
      <x:c r="P1471" s="30" t="str">
        <x:v>Sбок=πrl; отношение (5·6)/(3·4)=30/12=2,5.</x:v>
      </x:c>
      <x:c r="Q1471" s="30"/>
      <x:c r="R1471" s="30" t="str">
        <x:v>Полный PDF + вариант №23119870 РЕШУ ЕГЭ</x:v>
      </x:c>
      <x:c r="S1471" s="30"/>
      <x:c r="T1471" s="30"/>
      <x:c r="U1471" s="30" t="str">
        <x:v>Расхождений не обнаружено.</x:v>
      </x:c>
      <x:c r="V1471" s="87" t="str">
        <x:v>VERIFIED</x:v>
      </x:c>
      <x:c r="W1471" s="87" t="str">
        <x:v>PDF, вариант МА2510403</x:v>
      </x:c>
      <x:c r="X1471" s="87"/>
      <x:c r="Y1471" s="87"/>
      <x:c r="Z1471" s="87"/>
      <x:c r="AA1471" s="87"/>
      <x:c r="AB1471" s="87"/>
      <x:c r="AC1471" s="87"/>
      <x:c r="AD1471" s="87"/>
      <x:c r="AE1471" s="87"/>
      <x:c r="AF1471" s="87"/>
      <x:c r="AG1471" s="87"/>
      <x:c r="AH1471" s="87"/>
      <x:c r="AI1471" s="30"/>
      <x:c r="AJ1471" s="87" t="str">
        <x:v>master</x:v>
      </x:c>
      <x:c r="AK1471" s="87" t="str">
        <x:v>master-v0.81</x:v>
      </x:c>
      <x:c r="AL1471" s="87" t="str">
        <x:v>statgrad_master_base_v0_81_final(2).xlsx</x:v>
      </x:c>
      <x:c r="AM1471" s="87" t="str">
        <x:v>MATH_Mar_Base_V3</x:v>
      </x:c>
      <x:c r="AN1471" s="87" t="n">
        <x:v>14</x:v>
      </x:c>
    </x:row>
    <x:row r="1472">
      <x:c r="A1472" s="87" t="n">
        <x:v>1471</x:v>
      </x:c>
      <x:c r="B1472" s="87" t="str">
        <x:v>MAR-MATH-B-V3-014</x:v>
      </x:c>
      <x:c r="C1472" s="87" t="str">
        <x:v>СтатГрад</x:v>
      </x:c>
      <x:c r="D1472" s="87" t="str">
        <x:v>Март 2026</x:v>
      </x:c>
      <x:c r="E1472" s="87"/>
      <x:c r="F1472" s="87"/>
      <x:c r="G1472" s="87" t="str">
        <x:v>Математика</x:v>
      </x:c>
      <x:c r="H1472" s="87" t="str">
        <x:v>Базовый</x:v>
      </x:c>
      <x:c r="I1472" s="87" t="str">
        <x:v>ТР №4</x:v>
      </x:c>
      <x:c r="J1472" s="87" t="str">
        <x:v>МА2510403</x:v>
      </x:c>
      <x:c r="K1472" s="87" t="n">
        <x:v>14</x:v>
      </x:c>
      <x:c r="L1472" s="87" t="str">
        <x:v>Обыкновенные дроби</x:v>
      </x:c>
      <x:c r="M1472" s="30" t="str">
        <x:v>Вычислить (2 1/4 − 5/6)·12.</x:v>
      </x:c>
      <x:c r="N1472" s="30" t="str">
        <x:v>17</x:v>
      </x:c>
      <x:c r="O1472" s="30" t="str">
        <x:v>(9/4−5/6)·12=(27/12−10/12)·12=17.</x:v>
      </x:c>
      <x:c r="P1472" s="30" t="str">
        <x:v>(9/4−5/6)·12=(27/12−10/12)·12=17.</x:v>
      </x:c>
      <x:c r="Q1472" s="30"/>
      <x:c r="R1472" s="30" t="str">
        <x:v>Полный PDF + вариант №23119870 РЕШУ ЕГЭ</x:v>
      </x:c>
      <x:c r="S1472" s="30"/>
      <x:c r="T1472" s="30"/>
      <x:c r="U1472" s="30" t="str">
        <x:v>Расхождений не обнаружено.</x:v>
      </x:c>
      <x:c r="V1472" s="87" t="str">
        <x:v>VERIFIED</x:v>
      </x:c>
      <x:c r="W1472" s="87" t="str">
        <x:v>PDF, вариант МА2510403</x:v>
      </x:c>
      <x:c r="X1472" s="87"/>
      <x:c r="Y1472" s="87"/>
      <x:c r="Z1472" s="87"/>
      <x:c r="AA1472" s="87"/>
      <x:c r="AB1472" s="87"/>
      <x:c r="AC1472" s="87"/>
      <x:c r="AD1472" s="87"/>
      <x:c r="AE1472" s="87"/>
      <x:c r="AF1472" s="87"/>
      <x:c r="AG1472" s="87"/>
      <x:c r="AH1472" s="87"/>
      <x:c r="AI1472" s="30"/>
      <x:c r="AJ1472" s="87" t="str">
        <x:v>master</x:v>
      </x:c>
      <x:c r="AK1472" s="87" t="str">
        <x:v>master-v0.81</x:v>
      </x:c>
      <x:c r="AL1472" s="87" t="str">
        <x:v>statgrad_master_base_v0_81_final(2).xlsx</x:v>
      </x:c>
      <x:c r="AM1472" s="87" t="str">
        <x:v>MATH_Mar_Base_V3</x:v>
      </x:c>
      <x:c r="AN1472" s="87" t="n">
        <x:v>15</x:v>
      </x:c>
    </x:row>
    <x:row r="1473">
      <x:c r="A1473" s="87" t="n">
        <x:v>1472</x:v>
      </x:c>
      <x:c r="B1473" s="87" t="str">
        <x:v>MAR-MATH-B-V3-015</x:v>
      </x:c>
      <x:c r="C1473" s="87" t="str">
        <x:v>СтатГрад</x:v>
      </x:c>
      <x:c r="D1473" s="87" t="str">
        <x:v>Март 2026</x:v>
      </x:c>
      <x:c r="E1473" s="87"/>
      <x:c r="F1473" s="87"/>
      <x:c r="G1473" s="87" t="str">
        <x:v>Математика</x:v>
      </x:c>
      <x:c r="H1473" s="87" t="str">
        <x:v>Базовый</x:v>
      </x:c>
      <x:c r="I1473" s="87" t="str">
        <x:v>ТР №4</x:v>
      </x:c>
      <x:c r="J1473" s="87" t="str">
        <x:v>МА2510403</x:v>
      </x:c>
      <x:c r="K1473" s="87" t="n">
        <x:v>15</x:v>
      </x:c>
      <x:c r="L1473" s="87" t="str">
        <x:v>Проценты</x:v>
      </x:c>
      <x:c r="M1473" s="30" t="str">
        <x:v>Число посетителей сайта увеличилось в полтора раза. На сколько процентов оно увеличилось?</x:v>
      </x:c>
      <x:c r="N1473" s="30" t="str">
        <x:v>50</x:v>
      </x:c>
      <x:c r="O1473" s="30" t="str">
        <x:v>Стало 150% от исходного значения, поэтому прирост равен 50%.</x:v>
      </x:c>
      <x:c r="P1473" s="30" t="str">
        <x:v>Стало 150% от исходного значения, поэтому прирост равен 50%.</x:v>
      </x:c>
      <x:c r="Q1473" s="30"/>
      <x:c r="R1473" s="30" t="str">
        <x:v>Полный PDF + вариант №23119870 РЕШУ ЕГЭ</x:v>
      </x:c>
      <x:c r="S1473" s="30"/>
      <x:c r="T1473" s="30"/>
      <x:c r="U1473" s="30" t="str">
        <x:v>Расхождений не обнаружено.</x:v>
      </x:c>
      <x:c r="V1473" s="87" t="str">
        <x:v>VERIFIED</x:v>
      </x:c>
      <x:c r="W1473" s="87" t="str">
        <x:v>PDF, вариант МА2510403</x:v>
      </x:c>
      <x:c r="X1473" s="87"/>
      <x:c r="Y1473" s="87"/>
      <x:c r="Z1473" s="87"/>
      <x:c r="AA1473" s="87"/>
      <x:c r="AB1473" s="87"/>
      <x:c r="AC1473" s="87"/>
      <x:c r="AD1473" s="87"/>
      <x:c r="AE1473" s="87"/>
      <x:c r="AF1473" s="87"/>
      <x:c r="AG1473" s="87"/>
      <x:c r="AH1473" s="87"/>
      <x:c r="AI1473" s="30"/>
      <x:c r="AJ1473" s="87" t="str">
        <x:v>master</x:v>
      </x:c>
      <x:c r="AK1473" s="87" t="str">
        <x:v>master-v0.81</x:v>
      </x:c>
      <x:c r="AL1473" s="87" t="str">
        <x:v>statgrad_master_base_v0_81_final(2).xlsx</x:v>
      </x:c>
      <x:c r="AM1473" s="87" t="str">
        <x:v>MATH_Mar_Base_V3</x:v>
      </x:c>
      <x:c r="AN1473" s="87" t="n">
        <x:v>16</x:v>
      </x:c>
    </x:row>
    <x:row r="1474">
      <x:c r="A1474" s="87" t="n">
        <x:v>1473</x:v>
      </x:c>
      <x:c r="B1474" s="87" t="str">
        <x:v>MAR-MATH-B-V3-016</x:v>
      </x:c>
      <x:c r="C1474" s="87" t="str">
        <x:v>СтатГрад</x:v>
      </x:c>
      <x:c r="D1474" s="87" t="str">
        <x:v>Март 2026</x:v>
      </x:c>
      <x:c r="E1474" s="87"/>
      <x:c r="F1474" s="87"/>
      <x:c r="G1474" s="87" t="str">
        <x:v>Математика</x:v>
      </x:c>
      <x:c r="H1474" s="87" t="str">
        <x:v>Базовый</x:v>
      </x:c>
      <x:c r="I1474" s="87" t="str">
        <x:v>ТР №4</x:v>
      </x:c>
      <x:c r="J1474" s="87" t="str">
        <x:v>МА2510403</x:v>
      </x:c>
      <x:c r="K1474" s="87" t="n">
        <x:v>16</x:v>
      </x:c>
      <x:c r="L1474" s="87" t="str">
        <x:v>Логарифмическое выражение</x:v>
      </x:c>
      <x:c r="M1474" s="30" t="str">
        <x:v>Вычислить 6^(2+log₆5).</x:v>
      </x:c>
      <x:c r="N1474" s="30" t="str">
        <x:v>180</x:v>
      </x:c>
      <x:c r="O1474" s="30" t="str">
        <x:v>6^(2+log₆5)=6²·6^(log₆5)=36·5=180.</x:v>
      </x:c>
      <x:c r="P1474" s="30" t="str">
        <x:v>6^(2+log₆5)=6²·6^(log₆5)=36·5=180.</x:v>
      </x:c>
      <x:c r="Q1474" s="30"/>
      <x:c r="R1474" s="30" t="str">
        <x:v>Полный PDF + вариант №23119870 РЕШУ ЕГЭ</x:v>
      </x:c>
      <x:c r="S1474" s="30"/>
      <x:c r="T1474" s="30"/>
      <x:c r="U1474" s="30" t="str">
        <x:v>Расхождений не обнаружено.</x:v>
      </x:c>
      <x:c r="V1474" s="87" t="str">
        <x:v>VERIFIED</x:v>
      </x:c>
      <x:c r="W1474" s="87" t="str">
        <x:v>PDF, вариант МА2510403</x:v>
      </x:c>
      <x:c r="X1474" s="87"/>
      <x:c r="Y1474" s="87"/>
      <x:c r="Z1474" s="87"/>
      <x:c r="AA1474" s="87"/>
      <x:c r="AB1474" s="87"/>
      <x:c r="AC1474" s="87"/>
      <x:c r="AD1474" s="87"/>
      <x:c r="AE1474" s="87"/>
      <x:c r="AF1474" s="87"/>
      <x:c r="AG1474" s="87"/>
      <x:c r="AH1474" s="87"/>
      <x:c r="AI1474" s="30"/>
      <x:c r="AJ1474" s="87" t="str">
        <x:v>master</x:v>
      </x:c>
      <x:c r="AK1474" s="87" t="str">
        <x:v>master-v0.81</x:v>
      </x:c>
      <x:c r="AL1474" s="87" t="str">
        <x:v>statgrad_master_base_v0_81_final(2).xlsx</x:v>
      </x:c>
      <x:c r="AM1474" s="87" t="str">
        <x:v>MATH_Mar_Base_V3</x:v>
      </x:c>
      <x:c r="AN1474" s="87" t="n">
        <x:v>17</x:v>
      </x:c>
    </x:row>
    <x:row r="1475">
      <x:c r="A1475" s="87" t="n">
        <x:v>1474</x:v>
      </x:c>
      <x:c r="B1475" s="87" t="str">
        <x:v>MAR-MATH-B-V3-017</x:v>
      </x:c>
      <x:c r="C1475" s="87" t="str">
        <x:v>СтатГрад</x:v>
      </x:c>
      <x:c r="D1475" s="87" t="str">
        <x:v>Март 2026</x:v>
      </x:c>
      <x:c r="E1475" s="87"/>
      <x:c r="F1475" s="87"/>
      <x:c r="G1475" s="87" t="str">
        <x:v>Математика</x:v>
      </x:c>
      <x:c r="H1475" s="87" t="str">
        <x:v>Базовый</x:v>
      </x:c>
      <x:c r="I1475" s="87" t="str">
        <x:v>ТР №4</x:v>
      </x:c>
      <x:c r="J1475" s="87" t="str">
        <x:v>МА2510403</x:v>
      </x:c>
      <x:c r="K1475" s="87" t="n">
        <x:v>17</x:v>
      </x:c>
      <x:c r="L1475" s="87" t="str">
        <x:v>Линейное уравнение</x:v>
      </x:c>
      <x:c r="M1475" s="30" t="str">
        <x:v>Решить 10−6x=9x+4.</x:v>
      </x:c>
      <x:c r="N1475" s="30" t="str">
        <x:v>0,4</x:v>
      </x:c>
      <x:c r="O1475" s="30" t="str">
        <x:v>6=15x, поэтому x=6/15=0,4.</x:v>
      </x:c>
      <x:c r="P1475" s="30" t="str">
        <x:v>6=15x, поэтому x=6/15=0,4.</x:v>
      </x:c>
      <x:c r="Q1475" s="30"/>
      <x:c r="R1475" s="30" t="str">
        <x:v>Полный PDF + вариант №23119870 РЕШУ ЕГЭ</x:v>
      </x:c>
      <x:c r="S1475" s="30"/>
      <x:c r="T1475" s="30"/>
      <x:c r="U1475" s="30" t="str">
        <x:v>Расхождений не обнаружено.</x:v>
      </x:c>
      <x:c r="V1475" s="87" t="str">
        <x:v>VERIFIED</x:v>
      </x:c>
      <x:c r="W1475" s="87" t="str">
        <x:v>PDF, вариант МА2510403</x:v>
      </x:c>
      <x:c r="X1475" s="87"/>
      <x:c r="Y1475" s="87"/>
      <x:c r="Z1475" s="87"/>
      <x:c r="AA1475" s="87"/>
      <x:c r="AB1475" s="87"/>
      <x:c r="AC1475" s="87"/>
      <x:c r="AD1475" s="87"/>
      <x:c r="AE1475" s="87"/>
      <x:c r="AF1475" s="87"/>
      <x:c r="AG1475" s="87"/>
      <x:c r="AH1475" s="87"/>
      <x:c r="AI1475" s="30"/>
      <x:c r="AJ1475" s="87" t="str">
        <x:v>master</x:v>
      </x:c>
      <x:c r="AK1475" s="87" t="str">
        <x:v>master-v0.81</x:v>
      </x:c>
      <x:c r="AL1475" s="87" t="str">
        <x:v>statgrad_master_base_v0_81_final(2).xlsx</x:v>
      </x:c>
      <x:c r="AM1475" s="87" t="str">
        <x:v>MATH_Mar_Base_V3</x:v>
      </x:c>
      <x:c r="AN1475" s="87" t="n">
        <x:v>18</x:v>
      </x:c>
    </x:row>
    <x:row r="1476">
      <x:c r="A1476" s="87" t="n">
        <x:v>1475</x:v>
      </x:c>
      <x:c r="B1476" s="87" t="str">
        <x:v>MAR-MATH-B-V3-018</x:v>
      </x:c>
      <x:c r="C1476" s="87" t="str">
        <x:v>СтатГрад</x:v>
      </x:c>
      <x:c r="D1476" s="87" t="str">
        <x:v>Март 2026</x:v>
      </x:c>
      <x:c r="E1476" s="87"/>
      <x:c r="F1476" s="87"/>
      <x:c r="G1476" s="87" t="str">
        <x:v>Математика</x:v>
      </x:c>
      <x:c r="H1476" s="87" t="str">
        <x:v>Базовый</x:v>
      </x:c>
      <x:c r="I1476" s="87" t="str">
        <x:v>ТР №4</x:v>
      </x:c>
      <x:c r="J1476" s="87" t="str">
        <x:v>МА2510403</x:v>
      </x:c>
      <x:c r="K1476" s="87" t="n">
        <x:v>18</x:v>
      </x:c>
      <x:c r="L1476" s="87" t="str">
        <x:v>Числовые промежутки</x:v>
      </x:c>
      <x:c r="M1476" s="30" t="str">
        <x:v>При m=√2 сопоставить 2m−5, m³, m−1 и −1/m с отрезками [−3;−2], [−1;0], [0;1], [2;3].</x:v>
      </x:c>
      <x:c r="N1476" s="30" t="str">
        <x:v>1432</x:v>
      </x:c>
      <x:c r="O1476" s="30" t="str">
        <x:v>2√2−5≈−2,17 — отрезок 1; (√2)³=2√2≈2,83 — 4; √2−1≈0,41 — 3; −1/√2≈−0,71 — 2.</x:v>
      </x:c>
      <x:c r="P1476" s="30" t="str">
        <x:v>2√2−5≈−2,17 — отрезок 1; (√2)³=2√2≈2,83 — 4; √2−1≈0,41 — 3; −1/√2≈−0,71 — 2.</x:v>
      </x:c>
      <x:c r="Q1476" s="30"/>
      <x:c r="R1476" s="30" t="str">
        <x:v>Полный PDF + вариант №23119870 РЕШУ ЕГЭ</x:v>
      </x:c>
      <x:c r="S1476" s="30"/>
      <x:c r="T1476" s="30"/>
      <x:c r="U1476" s="30" t="str">
        <x:v>Расхождений не обнаружено.</x:v>
      </x:c>
      <x:c r="V1476" s="87" t="str">
        <x:v>VERIFIED</x:v>
      </x:c>
      <x:c r="W1476" s="87" t="str">
        <x:v>PDF, вариант МА2510403</x:v>
      </x:c>
      <x:c r="X1476" s="87"/>
      <x:c r="Y1476" s="87"/>
      <x:c r="Z1476" s="87"/>
      <x:c r="AA1476" s="87"/>
      <x:c r="AB1476" s="87"/>
      <x:c r="AC1476" s="87"/>
      <x:c r="AD1476" s="87"/>
      <x:c r="AE1476" s="87"/>
      <x:c r="AF1476" s="87"/>
      <x:c r="AG1476" s="87"/>
      <x:c r="AH1476" s="87"/>
      <x:c r="AI1476" s="30"/>
      <x:c r="AJ1476" s="87" t="str">
        <x:v>master</x:v>
      </x:c>
      <x:c r="AK1476" s="87" t="str">
        <x:v>master-v0.81</x:v>
      </x:c>
      <x:c r="AL1476" s="87" t="str">
        <x:v>statgrad_master_base_v0_81_final(2).xlsx</x:v>
      </x:c>
      <x:c r="AM1476" s="87" t="str">
        <x:v>MATH_Mar_Base_V3</x:v>
      </x:c>
      <x:c r="AN1476" s="87" t="n">
        <x:v>19</x:v>
      </x:c>
    </x:row>
    <x:row r="1477">
      <x:c r="A1477" s="87" t="n">
        <x:v>1476</x:v>
      </x:c>
      <x:c r="B1477" s="87" t="str">
        <x:v>MAR-MATH-B-V3-019</x:v>
      </x:c>
      <x:c r="C1477" s="87" t="str">
        <x:v>СтатГрад</x:v>
      </x:c>
      <x:c r="D1477" s="87" t="str">
        <x:v>Март 2026</x:v>
      </x:c>
      <x:c r="E1477" s="87"/>
      <x:c r="F1477" s="87"/>
      <x:c r="G1477" s="87" t="str">
        <x:v>Математика</x:v>
      </x:c>
      <x:c r="H1477" s="87" t="str">
        <x:v>Базовый</x:v>
      </x:c>
      <x:c r="I1477" s="87" t="str">
        <x:v>ТР №4</x:v>
      </x:c>
      <x:c r="J1477" s="87" t="str">
        <x:v>МА2510403</x:v>
      </x:c>
      <x:c r="K1477" s="87" t="n">
        <x:v>19</x:v>
      </x:c>
      <x:c r="L1477" s="87" t="str">
        <x:v>Цифровая запись числа</x:v>
      </x:c>
      <x:c r="M1477" s="30" t="str">
        <x:v>Найти пятизначное число, кратное 18, любые соседние цифры которого отличаются на 2.</x:v>
      </x:c>
      <x:c r="N1477" s="30" t="str">
        <x:v>24246</x:v>
      </x:c>
      <x:c r="O1477" s="30" t="str">
        <x:v>24246 делится на 18: число чётное, сумма цифр 18 делится на 9; соседние цифры отличаются на 2.</x:v>
      </x:c>
      <x:c r="P1477" s="30" t="str">
        <x:v>Полным перебором также найдены 24642, 64242 и 86868.</x:v>
      </x:c>
      <x:c r="Q1477" s="30"/>
      <x:c r="R1477" s="30" t="str">
        <x:v>Полный PDF + вариант №23119870 РЕШУ ЕГЭ</x:v>
      </x:c>
      <x:c r="S1477" s="30"/>
      <x:c r="T1477" s="30"/>
      <x:c r="U1477" s="30" t="str">
        <x:v>Допустим любой корректный пример.</x:v>
      </x:c>
      <x:c r="V1477" s="87" t="str">
        <x:v>VERIFIED</x:v>
      </x:c>
      <x:c r="W1477" s="87" t="str">
        <x:v>PDF, вариант МА2510403</x:v>
      </x:c>
      <x:c r="X1477" s="87"/>
      <x:c r="Y1477" s="87"/>
      <x:c r="Z1477" s="87"/>
      <x:c r="AA1477" s="87"/>
      <x:c r="AB1477" s="87"/>
      <x:c r="AC1477" s="87"/>
      <x:c r="AD1477" s="87"/>
      <x:c r="AE1477" s="87"/>
      <x:c r="AF1477" s="87"/>
      <x:c r="AG1477" s="87"/>
      <x:c r="AH1477" s="87"/>
      <x:c r="AI1477" s="30"/>
      <x:c r="AJ1477" s="87" t="str">
        <x:v>master</x:v>
      </x:c>
      <x:c r="AK1477" s="87" t="str">
        <x:v>master-v0.81</x:v>
      </x:c>
      <x:c r="AL1477" s="87" t="str">
        <x:v>statgrad_master_base_v0_81_final(2).xlsx</x:v>
      </x:c>
      <x:c r="AM1477" s="87" t="str">
        <x:v>MATH_Mar_Base_V3</x:v>
      </x:c>
      <x:c r="AN1477" s="87" t="n">
        <x:v>20</x:v>
      </x:c>
    </x:row>
    <x:row r="1478">
      <x:c r="A1478" s="87" t="n">
        <x:v>1477</x:v>
      </x:c>
      <x:c r="B1478" s="87" t="str">
        <x:v>MAR-MATH-B-V3-020</x:v>
      </x:c>
      <x:c r="C1478" s="87" t="str">
        <x:v>СтатГрад</x:v>
      </x:c>
      <x:c r="D1478" s="87" t="str">
        <x:v>Март 2026</x:v>
      </x:c>
      <x:c r="E1478" s="87"/>
      <x:c r="F1478" s="87"/>
      <x:c r="G1478" s="87" t="str">
        <x:v>Математика</x:v>
      </x:c>
      <x:c r="H1478" s="87" t="str">
        <x:v>Базовый</x:v>
      </x:c>
      <x:c r="I1478" s="87" t="str">
        <x:v>ТР №4</x:v>
      </x:c>
      <x:c r="J1478" s="87" t="str">
        <x:v>МА2510403</x:v>
      </x:c>
      <x:c r="K1478" s="87" t="n">
        <x:v>20</x:v>
      </x:c>
      <x:c r="L1478" s="87" t="str">
        <x:v>Движение по прямой</x:v>
      </x:c>
      <x:c r="M1478" s="30" t="str">
        <x:v>Расстояние A—B равно 660 км. Первый автомобиль едет из A со скоростью 60 км/ч; через 2 часа навстречу выезжает второй со скоростью 75 км/ч. Найти расстояние от A до встречи.</x:v>
      </x:c>
      <x:c r="N1478" s="30" t="str">
        <x:v>360</x:v>
      </x:c>
      <x:c r="O1478" s="30" t="str">
        <x:v>За первые 2 часа первый автомобиль проходит 120 км. Остаётся 540 км; при скорости сближения 135 км/ч до встречи проходит 4 часа. Первый автомобиль всего едет 6 часов: 60·6=360 км.</x:v>
      </x:c>
      <x:c r="P1478" s="30" t="str">
        <x:v>За первые 2 часа первый автомобиль проходит 120 км. Остаётся 540 км; при скорости сближения 135 км/ч до встречи проходит 4 часа. Первый автомобиль всего едет 6 часов: 60·6=360 км.</x:v>
      </x:c>
      <x:c r="Q1478" s="30"/>
      <x:c r="R1478" s="30" t="str">
        <x:v>Полный PDF + вариант №23119870 РЕШУ ЕГЭ</x:v>
      </x:c>
      <x:c r="S1478" s="30"/>
      <x:c r="T1478" s="30"/>
      <x:c r="U1478" s="30" t="str">
        <x:v>Расхождений не обнаружено.</x:v>
      </x:c>
      <x:c r="V1478" s="87" t="str">
        <x:v>VERIFIED</x:v>
      </x:c>
      <x:c r="W1478" s="87" t="str">
        <x:v>PDF, вариант МА2510403</x:v>
      </x:c>
      <x:c r="X1478" s="87"/>
      <x:c r="Y1478" s="87"/>
      <x:c r="Z1478" s="87"/>
      <x:c r="AA1478" s="87"/>
      <x:c r="AB1478" s="87"/>
      <x:c r="AC1478" s="87"/>
      <x:c r="AD1478" s="87"/>
      <x:c r="AE1478" s="87"/>
      <x:c r="AF1478" s="87"/>
      <x:c r="AG1478" s="87"/>
      <x:c r="AH1478" s="87"/>
      <x:c r="AI1478" s="30"/>
      <x:c r="AJ1478" s="87" t="str">
        <x:v>master</x:v>
      </x:c>
      <x:c r="AK1478" s="87" t="str">
        <x:v>master-v0.81</x:v>
      </x:c>
      <x:c r="AL1478" s="87" t="str">
        <x:v>statgrad_master_base_v0_81_final(2).xlsx</x:v>
      </x:c>
      <x:c r="AM1478" s="87" t="str">
        <x:v>MATH_Mar_Base_V3</x:v>
      </x:c>
      <x:c r="AN1478" s="87" t="n">
        <x:v>21</x:v>
      </x:c>
    </x:row>
    <x:row r="1479">
      <x:c r="A1479" s="87" t="n">
        <x:v>1478</x:v>
      </x:c>
      <x:c r="B1479" s="87" t="str">
        <x:v>MAR-MATH-B-V3-021</x:v>
      </x:c>
      <x:c r="C1479" s="87" t="str">
        <x:v>СтатГрад</x:v>
      </x:c>
      <x:c r="D1479" s="87" t="str">
        <x:v>Март 2026</x:v>
      </x:c>
      <x:c r="E1479" s="87"/>
      <x:c r="F1479" s="87"/>
      <x:c r="G1479" s="87" t="str">
        <x:v>Математика</x:v>
      </x:c>
      <x:c r="H1479" s="87" t="str">
        <x:v>Базовый</x:v>
      </x:c>
      <x:c r="I1479" s="87" t="str">
        <x:v>ТР №4</x:v>
      </x:c>
      <x:c r="J1479" s="87" t="str">
        <x:v>МА2510403</x:v>
      </x:c>
      <x:c r="K1479" s="87" t="n">
        <x:v>21</x:v>
      </x:c>
      <x:c r="L1479" s="87" t="str">
        <x:v>Комбинаторика: граф</x:v>
      </x:c>
      <x:c r="M1479" s="30" t="str">
        <x:v>Семь столбов соединены проводами так, что от каждого отходит ровно 4 провода. Найти общее число проводов.</x:v>
      </x:c>
      <x:c r="N1479" s="30" t="str">
        <x:v>14</x:v>
      </x:c>
      <x:c r="O1479" s="30" t="str">
        <x:v>Сумма степеней равна 7·4=28; каждый провод учтён дважды, поэтому 28/2=14.</x:v>
      </x:c>
      <x:c r="P1479" s="30" t="str">
        <x:v>Ответ подтверждён отдельной полной версией задачи.</x:v>
      </x:c>
      <x:c r="Q1479" s="30"/>
      <x:c r="R1479" s="30" t="str">
        <x:v>Полный PDF + вариант №23119870 РЕШУ ЕГЭ</x:v>
      </x:c>
      <x:c r="S1479" s="30"/>
      <x:c r="T1479" s="30"/>
      <x:c r="U1479" s="30" t="str">
        <x:v>В одной копии PDF в последней строке опечатка «между этими восемью столбами»; начало условия и проверенная версия содержат семь столбов.</x:v>
      </x:c>
      <x:c r="V1479" s="87" t="str">
        <x:v>VERIFIED</x:v>
      </x:c>
      <x:c r="W1479" s="87" t="str">
        <x:v>PDF, вариант МА2510403</x:v>
      </x:c>
      <x:c r="X1479" s="87"/>
      <x:c r="Y1479" s="87"/>
      <x:c r="Z1479" s="87"/>
      <x:c r="AA1479" s="87"/>
      <x:c r="AB1479" s="87"/>
      <x:c r="AC1479" s="87"/>
      <x:c r="AD1479" s="87"/>
      <x:c r="AE1479" s="87"/>
      <x:c r="AF1479" s="87"/>
      <x:c r="AG1479" s="87"/>
      <x:c r="AH1479" s="87"/>
      <x:c r="AI1479" s="30"/>
      <x:c r="AJ1479" s="87" t="str">
        <x:v>master</x:v>
      </x:c>
      <x:c r="AK1479" s="87" t="str">
        <x:v>master-v0.81</x:v>
      </x:c>
      <x:c r="AL1479" s="87" t="str">
        <x:v>statgrad_master_base_v0_81_final(2).xlsx</x:v>
      </x:c>
      <x:c r="AM1479" s="87" t="str">
        <x:v>MATH_Mar_Base_V3</x:v>
      </x:c>
      <x:c r="AN1479" s="87" t="n">
        <x:v>22</x:v>
      </x:c>
    </x:row>
    <x:row r="1480">
      <x:c r="A1480" s="87" t="n">
        <x:v>1479</x:v>
      </x:c>
      <x:c r="B1480" s="87" t="str">
        <x:v>MAR-MATH-B-V4-001</x:v>
      </x:c>
      <x:c r="C1480" s="87" t="str">
        <x:v>СтатГрад</x:v>
      </x:c>
      <x:c r="D1480" s="87" t="str">
        <x:v>Март 2026</x:v>
      </x:c>
      <x:c r="E1480" s="87"/>
      <x:c r="F1480" s="87"/>
      <x:c r="G1480" s="87" t="str">
        <x:v>Математика</x:v>
      </x:c>
      <x:c r="H1480" s="87" t="str">
        <x:v>Базовый</x:v>
      </x:c>
      <x:c r="I1480" s="87" t="str">
        <x:v>ТР №4</x:v>
      </x:c>
      <x:c r="J1480" s="87" t="str">
        <x:v>МА2510404</x:v>
      </x:c>
      <x:c r="K1480" s="87" t="n">
        <x:v>1</x:v>
      </x:c>
      <x:c r="L1480" s="87" t="str">
        <x:v>Текстовая задача: окупаемость</x:v>
      </x:c>
      <x:c r="M1480" s="30" t="str">
        <x:v>Установка двух счётчиков стоит 6500 руб.; ежемесячная плата снижается с 7600 до 3100 руб. Найти минимальное число месяцев, после которого экономия превысит стоимость установки.</x:v>
      </x:c>
      <x:c r="N1480" s="30" t="str">
        <x:v>2</x:v>
      </x:c>
      <x:c r="O1480" s="30" t="str">
        <x:v>Экономия за месяц равна 7600−3100=4500 руб. За один месяц это меньше 6500 руб., за два — 9000 руб.</x:v>
      </x:c>
      <x:c r="P1480" s="30" t="str">
        <x:v>Экономия за месяц равна 7600−3100=4500 руб. За один месяц это меньше 6500 руб., за два — 9000 руб.</x:v>
      </x:c>
      <x:c r="Q1480" s="30"/>
      <x:c r="R1480" s="30" t="str">
        <x:v>Полный вариант МА2510404 с решениями РЕШУ ЕГЭ</x:v>
      </x:c>
      <x:c r="S1480" s="30"/>
      <x:c r="T1480" s="30"/>
      <x:c r="U1480" s="30" t="str">
        <x:v>Расхождений не обнаружено.</x:v>
      </x:c>
      <x:c r="V1480" s="87" t="str">
        <x:v>VERIFIED</x:v>
      </x:c>
      <x:c r="W1480" s="87" t="str">
        <x:v>онлайн</x:v>
      </x:c>
      <x:c r="X1480" s="87"/>
      <x:c r="Y1480" s="87"/>
      <x:c r="Z1480" s="87"/>
      <x:c r="AA1480" s="87"/>
      <x:c r="AB1480" s="87"/>
      <x:c r="AC1480" s="87"/>
      <x:c r="AD1480" s="87"/>
      <x:c r="AE1480" s="87"/>
      <x:c r="AF1480" s="87"/>
      <x:c r="AG1480" s="87"/>
      <x:c r="AH1480" s="87"/>
      <x:c r="AI1480" s="30"/>
      <x:c r="AJ1480" s="87" t="str">
        <x:v>master</x:v>
      </x:c>
      <x:c r="AK1480" s="87" t="str">
        <x:v>master-v0.81</x:v>
      </x:c>
      <x:c r="AL1480" s="87" t="str">
        <x:v>statgrad_master_base_v0_81_final(2).xlsx</x:v>
      </x:c>
      <x:c r="AM1480" s="87" t="str">
        <x:v>MATH_Mar_Base_V4</x:v>
      </x:c>
      <x:c r="AN1480" s="87" t="n">
        <x:v>2</x:v>
      </x:c>
    </x:row>
    <x:row r="1481">
      <x:c r="A1481" s="87" t="n">
        <x:v>1480</x:v>
      </x:c>
      <x:c r="B1481" s="87" t="str">
        <x:v>MAR-MATH-B-V4-002</x:v>
      </x:c>
      <x:c r="C1481" s="87" t="str">
        <x:v>СтатГрад</x:v>
      </x:c>
      <x:c r="D1481" s="87" t="str">
        <x:v>Март 2026</x:v>
      </x:c>
      <x:c r="E1481" s="87"/>
      <x:c r="F1481" s="87"/>
      <x:c r="G1481" s="87" t="str">
        <x:v>Математика</x:v>
      </x:c>
      <x:c r="H1481" s="87" t="str">
        <x:v>Базовый</x:v>
      </x:c>
      <x:c r="I1481" s="87" t="str">
        <x:v>ТР №4</x:v>
      </x:c>
      <x:c r="J1481" s="87" t="str">
        <x:v>МА2510404</x:v>
      </x:c>
      <x:c r="K1481" s="87" t="n">
        <x:v>2</x:v>
      </x:c>
      <x:c r="L1481" s="87" t="str">
        <x:v>Соответствие величин</x:v>
      </x:c>
      <x:c r="M1481" s="30" t="str">
        <x:v>Сопоставить длительность перелёта Москва—Гавана, бронзовый норматив ГТО на 100 м, период обращения Нептуна и длительность эпизода мультсериала с предложенными значениями.</x:v>
      </x:c>
      <x:c r="N1481" s="30" t="str">
        <x:v>3124</x:v>
      </x:c>
      <x:c r="O1481" s="30" t="str">
        <x:v>Перелёт — 13 часов (3); норматив — 14,6 с (1); Нептун — 60 190 суток (2); эпизод — 22 минуты (4).</x:v>
      </x:c>
      <x:c r="P1481" s="30" t="str">
        <x:v>Перелёт — 13 часов (3); норматив — 14,6 с (1); Нептун — 60 190 суток (2); эпизод — 22 минуты (4).</x:v>
      </x:c>
      <x:c r="Q1481" s="30"/>
      <x:c r="R1481" s="30" t="str">
        <x:v>Полный вариант МА2510404 с решениями РЕШУ ЕГЭ</x:v>
      </x:c>
      <x:c r="S1481" s="30"/>
      <x:c r="T1481" s="30"/>
      <x:c r="U1481" s="30" t="str">
        <x:v>Расхождений не обнаружено.</x:v>
      </x:c>
      <x:c r="V1481" s="87" t="str">
        <x:v>VERIFIED</x:v>
      </x:c>
      <x:c r="W1481" s="87" t="str">
        <x:v>онлайн</x:v>
      </x:c>
      <x:c r="X1481" s="87"/>
      <x:c r="Y1481" s="87"/>
      <x:c r="Z1481" s="87"/>
      <x:c r="AA1481" s="87"/>
      <x:c r="AB1481" s="87"/>
      <x:c r="AC1481" s="87"/>
      <x:c r="AD1481" s="87"/>
      <x:c r="AE1481" s="87"/>
      <x:c r="AF1481" s="87"/>
      <x:c r="AG1481" s="87"/>
      <x:c r="AH1481" s="87"/>
      <x:c r="AI1481" s="30"/>
      <x:c r="AJ1481" s="87" t="str">
        <x:v>master</x:v>
      </x:c>
      <x:c r="AK1481" s="87" t="str">
        <x:v>master-v0.81</x:v>
      </x:c>
      <x:c r="AL1481" s="87" t="str">
        <x:v>statgrad_master_base_v0_81_final(2).xlsx</x:v>
      </x:c>
      <x:c r="AM1481" s="87" t="str">
        <x:v>MATH_Mar_Base_V4</x:v>
      </x:c>
      <x:c r="AN1481" s="87" t="n">
        <x:v>3</x:v>
      </x:c>
    </x:row>
    <x:row r="1482">
      <x:c r="A1482" s="87" t="n">
        <x:v>1481</x:v>
      </x:c>
      <x:c r="B1482" s="87" t="str">
        <x:v>MAR-MATH-B-V4-003</x:v>
      </x:c>
      <x:c r="C1482" s="87" t="str">
        <x:v>СтатГрад</x:v>
      </x:c>
      <x:c r="D1482" s="87" t="str">
        <x:v>Март 2026</x:v>
      </x:c>
      <x:c r="E1482" s="87"/>
      <x:c r="F1482" s="87"/>
      <x:c r="G1482" s="87" t="str">
        <x:v>Математика</x:v>
      </x:c>
      <x:c r="H1482" s="87" t="str">
        <x:v>Базовый</x:v>
      </x:c>
      <x:c r="I1482" s="87" t="str">
        <x:v>ТР №4</x:v>
      </x:c>
      <x:c r="J1482" s="87" t="str">
        <x:v>МА2510404</x:v>
      </x:c>
      <x:c r="K1482" s="87" t="n">
        <x:v>3</x:v>
      </x:c>
      <x:c r="L1482" s="87" t="str">
        <x:v>Чтение диаграммы</x:v>
      </x:c>
      <x:c r="M1482" s="30" t="str">
        <x:v>По диаграмме среднемесячных температур Симферополя за 1988 год определить минимальную температуру.</x:v>
      </x:c>
      <x:c r="N1482" s="30" t="str">
        <x:v>−2</x:v>
      </x:c>
      <x:c r="O1482" s="30" t="str">
        <x:v>Наименьший столбец диаграммы соответствует −2 °C.</x:v>
      </x:c>
      <x:c r="P1482" s="30" t="str">
        <x:v>Ответ подтверждён решением к задаче №536035.</x:v>
      </x:c>
      <x:c r="Q1482" s="30"/>
      <x:c r="R1482" s="30" t="str">
        <x:v>Полный вариант МА2510404 с решениями РЕШУ ЕГЭ</x:v>
      </x:c>
      <x:c r="S1482" s="30"/>
      <x:c r="T1482" s="30"/>
      <x:c r="U1482" s="30" t="str">
        <x:v>Расхождений не обнаружено.</x:v>
      </x:c>
      <x:c r="V1482" s="87" t="str">
        <x:v>VERIFIED</x:v>
      </x:c>
      <x:c r="W1482" s="87" t="str">
        <x:v>онлайн</x:v>
      </x:c>
      <x:c r="X1482" s="87"/>
      <x:c r="Y1482" s="87"/>
      <x:c r="Z1482" s="87"/>
      <x:c r="AA1482" s="87"/>
      <x:c r="AB1482" s="87"/>
      <x:c r="AC1482" s="87"/>
      <x:c r="AD1482" s="87"/>
      <x:c r="AE1482" s="87"/>
      <x:c r="AF1482" s="87"/>
      <x:c r="AG1482" s="87"/>
      <x:c r="AH1482" s="87"/>
      <x:c r="AI1482" s="30"/>
      <x:c r="AJ1482" s="87" t="str">
        <x:v>master</x:v>
      </x:c>
      <x:c r="AK1482" s="87" t="str">
        <x:v>master-v0.81</x:v>
      </x:c>
      <x:c r="AL1482" s="87" t="str">
        <x:v>statgrad_master_base_v0_81_final(2).xlsx</x:v>
      </x:c>
      <x:c r="AM1482" s="87" t="str">
        <x:v>MATH_Mar_Base_V4</x:v>
      </x:c>
      <x:c r="AN1482" s="87" t="n">
        <x:v>4</x:v>
      </x:c>
    </x:row>
    <x:row r="1483">
      <x:c r="A1483" s="87" t="n">
        <x:v>1482</x:v>
      </x:c>
      <x:c r="B1483" s="87" t="str">
        <x:v>MAR-MATH-B-V4-004</x:v>
      </x:c>
      <x:c r="C1483" s="87" t="str">
        <x:v>СтатГрад</x:v>
      </x:c>
      <x:c r="D1483" s="87" t="str">
        <x:v>Март 2026</x:v>
      </x:c>
      <x:c r="E1483" s="87"/>
      <x:c r="F1483" s="87"/>
      <x:c r="G1483" s="87" t="str">
        <x:v>Математика</x:v>
      </x:c>
      <x:c r="H1483" s="87" t="str">
        <x:v>Базовый</x:v>
      </x:c>
      <x:c r="I1483" s="87" t="str">
        <x:v>ТР №4</x:v>
      </x:c>
      <x:c r="J1483" s="87" t="str">
        <x:v>МА2510404</x:v>
      </x:c>
      <x:c r="K1483" s="87" t="n">
        <x:v>4</x:v>
      </x:c>
      <x:c r="L1483" s="87" t="str">
        <x:v>Формула с переменными</x:v>
      </x:c>
      <x:c r="M1483" s="30" t="str">
        <x:v>По формуле R=a/(2sinα) найти a, если R=14 и sinα=5/7.</x:v>
      </x:c>
      <x:c r="N1483" s="30" t="str">
        <x:v>20</x:v>
      </x:c>
      <x:c r="O1483" s="30" t="str">
        <x:v>a=2Rsinα=2·14·5/7=20.</x:v>
      </x:c>
      <x:c r="P1483" s="30" t="str">
        <x:v>a=2Rsinα=2·14·5/7=20.</x:v>
      </x:c>
      <x:c r="Q1483" s="30"/>
      <x:c r="R1483" s="30" t="str">
        <x:v>Полный вариант МА2510404 с решениями РЕШУ ЕГЭ</x:v>
      </x:c>
      <x:c r="S1483" s="30"/>
      <x:c r="T1483" s="30"/>
      <x:c r="U1483" s="30" t="str">
        <x:v>Расхождений не обнаружено.</x:v>
      </x:c>
      <x:c r="V1483" s="87" t="str">
        <x:v>VERIFIED</x:v>
      </x:c>
      <x:c r="W1483" s="87" t="str">
        <x:v>онлайн</x:v>
      </x:c>
      <x:c r="X1483" s="87"/>
      <x:c r="Y1483" s="87"/>
      <x:c r="Z1483" s="87"/>
      <x:c r="AA1483" s="87"/>
      <x:c r="AB1483" s="87"/>
      <x:c r="AC1483" s="87"/>
      <x:c r="AD1483" s="87"/>
      <x:c r="AE1483" s="87"/>
      <x:c r="AF1483" s="87"/>
      <x:c r="AG1483" s="87"/>
      <x:c r="AH1483" s="87"/>
      <x:c r="AI1483" s="30"/>
      <x:c r="AJ1483" s="87" t="str">
        <x:v>master</x:v>
      </x:c>
      <x:c r="AK1483" s="87" t="str">
        <x:v>master-v0.81</x:v>
      </x:c>
      <x:c r="AL1483" s="87" t="str">
        <x:v>statgrad_master_base_v0_81_final(2).xlsx</x:v>
      </x:c>
      <x:c r="AM1483" s="87" t="str">
        <x:v>MATH_Mar_Base_V4</x:v>
      </x:c>
      <x:c r="AN1483" s="87" t="n">
        <x:v>5</x:v>
      </x:c>
    </x:row>
    <x:row r="1484">
      <x:c r="A1484" s="87" t="n">
        <x:v>1483</x:v>
      </x:c>
      <x:c r="B1484" s="87" t="str">
        <x:v>MAR-MATH-B-V4-005</x:v>
      </x:c>
      <x:c r="C1484" s="87" t="str">
        <x:v>СтатГрад</x:v>
      </x:c>
      <x:c r="D1484" s="87" t="str">
        <x:v>Март 2026</x:v>
      </x:c>
      <x:c r="E1484" s="87"/>
      <x:c r="F1484" s="87"/>
      <x:c r="G1484" s="87" t="str">
        <x:v>Математика</x:v>
      </x:c>
      <x:c r="H1484" s="87" t="str">
        <x:v>Базовый</x:v>
      </x:c>
      <x:c r="I1484" s="87" t="str">
        <x:v>ТР №4</x:v>
      </x:c>
      <x:c r="J1484" s="87" t="str">
        <x:v>МА2510404</x:v>
      </x:c>
      <x:c r="K1484" s="87" t="n">
        <x:v>5</x:v>
      </x:c>
      <x:c r="L1484" s="87" t="str">
        <x:v>Классическая вероятность</x:v>
      </x:c>
      <x:c r="M1484" s="30" t="str">
        <x:v>Из 20 чашек 6 имеют красные цветы, остальные — синие. Найти вероятность выбрать синюю чашку.</x:v>
      </x:c>
      <x:c r="N1484" s="30" t="str">
        <x:v>0,7</x:v>
      </x:c>
      <x:c r="O1484" s="30" t="str">
        <x:v>Синих чашек 20−6=14; вероятность 14/20=0,7.</x:v>
      </x:c>
      <x:c r="P1484" s="30" t="str">
        <x:v>Синих чашек 20−6=14; вероятность 14/20=0,7.</x:v>
      </x:c>
      <x:c r="Q1484" s="30"/>
      <x:c r="R1484" s="30" t="str">
        <x:v>Полный вариант МА2510404 с решениями РЕШУ ЕГЭ</x:v>
      </x:c>
      <x:c r="S1484" s="30"/>
      <x:c r="T1484" s="30"/>
      <x:c r="U1484" s="30" t="str">
        <x:v>Расхождений не обнаружено.</x:v>
      </x:c>
      <x:c r="V1484" s="87" t="str">
        <x:v>VERIFIED</x:v>
      </x:c>
      <x:c r="W1484" s="87" t="str">
        <x:v>онлайн</x:v>
      </x:c>
      <x:c r="X1484" s="87"/>
      <x:c r="Y1484" s="87"/>
      <x:c r="Z1484" s="87"/>
      <x:c r="AA1484" s="87"/>
      <x:c r="AB1484" s="87"/>
      <x:c r="AC1484" s="87"/>
      <x:c r="AD1484" s="87"/>
      <x:c r="AE1484" s="87"/>
      <x:c r="AF1484" s="87"/>
      <x:c r="AG1484" s="87"/>
      <x:c r="AH1484" s="87"/>
      <x:c r="AI1484" s="30"/>
      <x:c r="AJ1484" s="87" t="str">
        <x:v>master</x:v>
      </x:c>
      <x:c r="AK1484" s="87" t="str">
        <x:v>master-v0.81</x:v>
      </x:c>
      <x:c r="AL1484" s="87" t="str">
        <x:v>statgrad_master_base_v0_81_final(2).xlsx</x:v>
      </x:c>
      <x:c r="AM1484" s="87" t="str">
        <x:v>MATH_Mar_Base_V4</x:v>
      </x:c>
      <x:c r="AN1484" s="87" t="n">
        <x:v>6</x:v>
      </x:c>
    </x:row>
    <x:row r="1485">
      <x:c r="A1485" s="87" t="n">
        <x:v>1484</x:v>
      </x:c>
      <x:c r="B1485" s="87" t="str">
        <x:v>MAR-MATH-B-V4-006</x:v>
      </x:c>
      <x:c r="C1485" s="87" t="str">
        <x:v>СтатГрад</x:v>
      </x:c>
      <x:c r="D1485" s="87" t="str">
        <x:v>Март 2026</x:v>
      </x:c>
      <x:c r="E1485" s="87"/>
      <x:c r="F1485" s="87"/>
      <x:c r="G1485" s="87" t="str">
        <x:v>Математика</x:v>
      </x:c>
      <x:c r="H1485" s="87" t="str">
        <x:v>Базовый</x:v>
      </x:c>
      <x:c r="I1485" s="87" t="str">
        <x:v>ТР №4</x:v>
      </x:c>
      <x:c r="J1485" s="87" t="str">
        <x:v>МА2510404</x:v>
      </x:c>
      <x:c r="K1485" s="87" t="n">
        <x:v>6</x:v>
      </x:c>
      <x:c r="L1485" s="87" t="str">
        <x:v>Оптимальный набор</x:v>
      </x:c>
      <x:c r="M1485" s="30" t="str">
        <x:v>Выбрать переводчиков, которые вместе владеют английским, немецким, испанским и французским, при стоимости не более 30 000 руб.</x:v>
      </x:c>
      <x:c r="N1485" s="30" t="str">
        <x:v>13</x:v>
      </x:c>
      <x:c r="O1485" s="30" t="str">
        <x:v>Переводчик 1 знает английский и немецкий, переводчик 3 — испанский и французский; стоимость 11 100+13 400=24 500 руб.</x:v>
      </x:c>
      <x:c r="P1485" s="30" t="str">
        <x:v>Также подходит группа 1, 2 и 6 стоимостью 28 100 руб.</x:v>
      </x:c>
      <x:c r="Q1485" s="30"/>
      <x:c r="R1485" s="30" t="str">
        <x:v>Полный вариант МА2510404 с решениями РЕШУ ЕГЭ</x:v>
      </x:c>
      <x:c r="S1485" s="30"/>
      <x:c r="T1485" s="30"/>
      <x:c r="U1485" s="30" t="str">
        <x:v>Допустимы 13/31 и перестановки набора 126.</x:v>
      </x:c>
      <x:c r="V1485" s="87" t="str">
        <x:v>VERIFIED</x:v>
      </x:c>
      <x:c r="W1485" s="87" t="str">
        <x:v>онлайн</x:v>
      </x:c>
      <x:c r="X1485" s="87"/>
      <x:c r="Y1485" s="87"/>
      <x:c r="Z1485" s="87"/>
      <x:c r="AA1485" s="87"/>
      <x:c r="AB1485" s="87"/>
      <x:c r="AC1485" s="87"/>
      <x:c r="AD1485" s="87"/>
      <x:c r="AE1485" s="87"/>
      <x:c r="AF1485" s="87"/>
      <x:c r="AG1485" s="87"/>
      <x:c r="AH1485" s="87"/>
      <x:c r="AI1485" s="30"/>
      <x:c r="AJ1485" s="87" t="str">
        <x:v>master</x:v>
      </x:c>
      <x:c r="AK1485" s="87" t="str">
        <x:v>master-v0.81</x:v>
      </x:c>
      <x:c r="AL1485" s="87" t="str">
        <x:v>statgrad_master_base_v0_81_final(2).xlsx</x:v>
      </x:c>
      <x:c r="AM1485" s="87" t="str">
        <x:v>MATH_Mar_Base_V4</x:v>
      </x:c>
      <x:c r="AN1485" s="87" t="n">
        <x:v>7</x:v>
      </x:c>
    </x:row>
    <x:row r="1486">
      <x:c r="A1486" s="87" t="n">
        <x:v>1485</x:v>
      </x:c>
      <x:c r="B1486" s="87" t="str">
        <x:v>MAR-MATH-B-V4-007</x:v>
      </x:c>
      <x:c r="C1486" s="87" t="str">
        <x:v>СтатГрад</x:v>
      </x:c>
      <x:c r="D1486" s="87" t="str">
        <x:v>Март 2026</x:v>
      </x:c>
      <x:c r="E1486" s="87"/>
      <x:c r="F1486" s="87"/>
      <x:c r="G1486" s="87" t="str">
        <x:v>Математика</x:v>
      </x:c>
      <x:c r="H1486" s="87" t="str">
        <x:v>Базовый</x:v>
      </x:c>
      <x:c r="I1486" s="87" t="str">
        <x:v>ТР №4</x:v>
      </x:c>
      <x:c r="J1486" s="87" t="str">
        <x:v>МА2510404</x:v>
      </x:c>
      <x:c r="K1486" s="87" t="n">
        <x:v>7</x:v>
      </x:c>
      <x:c r="L1486" s="87" t="str">
        <x:v>Свойства функций</x:v>
      </x:c>
      <x:c r="M1486" s="30" t="str">
        <x:v>Сопоставить y=5x−1, y=10x−x², y=x²−4x+7 и y=6−x с характеристиками: возрастает, имеет минимум, убывает, имеет максимум.</x:v>
      </x:c>
      <x:c r="N1486" s="30" t="str">
        <x:v>1423</x:v>
      </x:c>
      <x:c r="O1486" s="30" t="str">
        <x:v>Первая функция возрастает (1); парабола вниз имеет максимум (4); парабола вверх — минимум (2); последняя функция убывает (3).</x:v>
      </x:c>
      <x:c r="P1486" s="30" t="str">
        <x:v>Первая функция возрастает (1); парабола вниз имеет максимум (4); парабола вверх — минимум (2); последняя функция убывает (3).</x:v>
      </x:c>
      <x:c r="Q1486" s="30"/>
      <x:c r="R1486" s="30" t="str">
        <x:v>Полный вариант МА2510404 с решениями РЕШУ ЕГЭ</x:v>
      </x:c>
      <x:c r="S1486" s="30"/>
      <x:c r="T1486" s="30"/>
      <x:c r="U1486" s="30" t="str">
        <x:v>Расхождений не обнаружено.</x:v>
      </x:c>
      <x:c r="V1486" s="87" t="str">
        <x:v>VERIFIED</x:v>
      </x:c>
      <x:c r="W1486" s="87" t="str">
        <x:v>онлайн</x:v>
      </x:c>
      <x:c r="X1486" s="87"/>
      <x:c r="Y1486" s="87"/>
      <x:c r="Z1486" s="87"/>
      <x:c r="AA1486" s="87"/>
      <x:c r="AB1486" s="87"/>
      <x:c r="AC1486" s="87"/>
      <x:c r="AD1486" s="87"/>
      <x:c r="AE1486" s="87"/>
      <x:c r="AF1486" s="87"/>
      <x:c r="AG1486" s="87"/>
      <x:c r="AH1486" s="87"/>
      <x:c r="AI1486" s="30"/>
      <x:c r="AJ1486" s="87" t="str">
        <x:v>master</x:v>
      </x:c>
      <x:c r="AK1486" s="87" t="str">
        <x:v>master-v0.81</x:v>
      </x:c>
      <x:c r="AL1486" s="87" t="str">
        <x:v>statgrad_master_base_v0_81_final(2).xlsx</x:v>
      </x:c>
      <x:c r="AM1486" s="87" t="str">
        <x:v>MATH_Mar_Base_V4</x:v>
      </x:c>
      <x:c r="AN1486" s="87" t="n">
        <x:v>8</x:v>
      </x:c>
    </x:row>
    <x:row r="1487">
      <x:c r="A1487" s="87" t="n">
        <x:v>1486</x:v>
      </x:c>
      <x:c r="B1487" s="87" t="str">
        <x:v>MAR-MATH-B-V4-008</x:v>
      </x:c>
      <x:c r="C1487" s="87" t="str">
        <x:v>СтатГрад</x:v>
      </x:c>
      <x:c r="D1487" s="87" t="str">
        <x:v>Март 2026</x:v>
      </x:c>
      <x:c r="E1487" s="87"/>
      <x:c r="F1487" s="87"/>
      <x:c r="G1487" s="87" t="str">
        <x:v>Математика</x:v>
      </x:c>
      <x:c r="H1487" s="87" t="str">
        <x:v>Базовый</x:v>
      </x:c>
      <x:c r="I1487" s="87" t="str">
        <x:v>ТР №4</x:v>
      </x:c>
      <x:c r="J1487" s="87" t="str">
        <x:v>МА2510404</x:v>
      </x:c>
      <x:c r="K1487" s="87" t="n">
        <x:v>8</x:v>
      </x:c>
      <x:c r="L1487" s="87" t="str">
        <x:v>Логические утверждения</x:v>
      </x:c>
      <x:c r="M1487" s="30" t="str">
        <x:v>Наде заплетают косички при поездке к бабушке, и она всегда заплетает косички перед физкультурой. Выбрать гарантированно верные утверждения.</x:v>
      </x:c>
      <x:c r="N1487" s="30" t="str">
        <x:v>24</x:v>
      </x:c>
      <x:c r="O1487" s="30" t="str">
        <x:v>Из «поездка к бабушке → косички» следует «нет косичек → не у бабушки»; сдача норматива проходит на физкультуре, значит косички заплетены.</x:v>
      </x:c>
      <x:c r="P1487" s="30" t="str">
        <x:v>Полный разбор четырёх утверждений подтверждает только 2 и 4.</x:v>
      </x:c>
      <x:c r="Q1487" s="30"/>
      <x:c r="R1487" s="30" t="str">
        <x:v>Полный вариант МА2510404 с решениями РЕШУ ЕГЭ</x:v>
      </x:c>
      <x:c r="S1487" s="30"/>
      <x:c r="T1487" s="30"/>
      <x:c r="U1487" s="30" t="str">
        <x:v>Допустима запись 42.</x:v>
      </x:c>
      <x:c r="V1487" s="87" t="str">
        <x:v>VERIFIED</x:v>
      </x:c>
      <x:c r="W1487" s="87" t="str">
        <x:v>онлайн</x:v>
      </x:c>
      <x:c r="X1487" s="87"/>
      <x:c r="Y1487" s="87"/>
      <x:c r="Z1487" s="87"/>
      <x:c r="AA1487" s="87"/>
      <x:c r="AB1487" s="87"/>
      <x:c r="AC1487" s="87"/>
      <x:c r="AD1487" s="87"/>
      <x:c r="AE1487" s="87"/>
      <x:c r="AF1487" s="87"/>
      <x:c r="AG1487" s="87"/>
      <x:c r="AH1487" s="87"/>
      <x:c r="AI1487" s="30"/>
      <x:c r="AJ1487" s="87" t="str">
        <x:v>master</x:v>
      </x:c>
      <x:c r="AK1487" s="87" t="str">
        <x:v>master-v0.81</x:v>
      </x:c>
      <x:c r="AL1487" s="87" t="str">
        <x:v>statgrad_master_base_v0_81_final(2).xlsx</x:v>
      </x:c>
      <x:c r="AM1487" s="87" t="str">
        <x:v>MATH_Mar_Base_V4</x:v>
      </x:c>
      <x:c r="AN1487" s="87" t="n">
        <x:v>9</x:v>
      </x:c>
    </x:row>
    <x:row r="1488">
      <x:c r="A1488" s="87" t="n">
        <x:v>1487</x:v>
      </x:c>
      <x:c r="B1488" s="87" t="str">
        <x:v>MAR-MATH-B-V4-009</x:v>
      </x:c>
      <x:c r="C1488" s="87" t="str">
        <x:v>СтатГрад</x:v>
      </x:c>
      <x:c r="D1488" s="87" t="str">
        <x:v>Март 2026</x:v>
      </x:c>
      <x:c r="E1488" s="87"/>
      <x:c r="F1488" s="87"/>
      <x:c r="G1488" s="87" t="str">
        <x:v>Математика</x:v>
      </x:c>
      <x:c r="H1488" s="87" t="str">
        <x:v>Базовый</x:v>
      </x:c>
      <x:c r="I1488" s="87" t="str">
        <x:v>ТР №4</x:v>
      </x:c>
      <x:c r="J1488" s="87" t="str">
        <x:v>МА2510404</x:v>
      </x:c>
      <x:c r="K1488" s="87" t="n">
        <x:v>9</x:v>
      </x:c>
      <x:c r="L1488" s="87" t="str">
        <x:v>Площадь на клетчатой решётке</x:v>
      </x:c>
      <x:c r="M1488" s="30" t="str">
        <x:v>Найти площадь выделенного четырёхугольника на квадратной сетке 1×1 м.</x:v>
      </x:c>
      <x:c r="N1488" s="30" t="str">
        <x:v>20</x:v>
      </x:c>
      <x:c r="O1488" s="30" t="str">
        <x:v>Из площади квадрата 6×6 вычитаются четыре прямоугольных треугольника: 36−4·(1/2·2·4)=20 м².</x:v>
      </x:c>
      <x:c r="P1488" s="30" t="str">
        <x:v>Из площади квадрата 6×6 вычитаются четыре прямоугольных треугольника: 36−4·(1/2·2·4)=20 м².</x:v>
      </x:c>
      <x:c r="Q1488" s="30"/>
      <x:c r="R1488" s="30" t="str">
        <x:v>Полный вариант МА2510404 с решениями РЕШУ ЕГЭ</x:v>
      </x:c>
      <x:c r="S1488" s="30"/>
      <x:c r="T1488" s="30"/>
      <x:c r="U1488" s="30" t="str">
        <x:v>Расхождений не обнаружено.</x:v>
      </x:c>
      <x:c r="V1488" s="87" t="str">
        <x:v>VERIFIED</x:v>
      </x:c>
      <x:c r="W1488" s="87" t="str">
        <x:v>онлайн</x:v>
      </x:c>
      <x:c r="X1488" s="87"/>
      <x:c r="Y1488" s="87"/>
      <x:c r="Z1488" s="87"/>
      <x:c r="AA1488" s="87"/>
      <x:c r="AB1488" s="87"/>
      <x:c r="AC1488" s="87"/>
      <x:c r="AD1488" s="87"/>
      <x:c r="AE1488" s="87"/>
      <x:c r="AF1488" s="87"/>
      <x:c r="AG1488" s="87"/>
      <x:c r="AH1488" s="87"/>
      <x:c r="AI1488" s="30"/>
      <x:c r="AJ1488" s="87" t="str">
        <x:v>master</x:v>
      </x:c>
      <x:c r="AK1488" s="87" t="str">
        <x:v>master-v0.81</x:v>
      </x:c>
      <x:c r="AL1488" s="87" t="str">
        <x:v>statgrad_master_base_v0_81_final(2).xlsx</x:v>
      </x:c>
      <x:c r="AM1488" s="87" t="str">
        <x:v>MATH_Mar_Base_V4</x:v>
      </x:c>
      <x:c r="AN1488" s="87" t="n">
        <x:v>10</x:v>
      </x:c>
    </x:row>
    <x:row r="1489">
      <x:c r="A1489" s="87" t="n">
        <x:v>1488</x:v>
      </x:c>
      <x:c r="B1489" s="87" t="str">
        <x:v>MAR-MATH-B-V4-010</x:v>
      </x:c>
      <x:c r="C1489" s="87" t="str">
        <x:v>СтатГрад</x:v>
      </x:c>
      <x:c r="D1489" s="87" t="str">
        <x:v>Март 2026</x:v>
      </x:c>
      <x:c r="E1489" s="87"/>
      <x:c r="F1489" s="87"/>
      <x:c r="G1489" s="87" t="str">
        <x:v>Математика</x:v>
      </x:c>
      <x:c r="H1489" s="87" t="str">
        <x:v>Базовый</x:v>
      </x:c>
      <x:c r="I1489" s="87" t="str">
        <x:v>ТР №4</x:v>
      </x:c>
      <x:c r="J1489" s="87" t="str">
        <x:v>МА2510404</x:v>
      </x:c>
      <x:c r="K1489" s="87" t="n">
        <x:v>10</x:v>
      </x:c>
      <x:c r="L1489" s="87" t="str">
        <x:v>Подобие треугольников</x:v>
      </x:c>
      <x:c r="M1489" s="30" t="str">
        <x:v>Короткое плечо колодца-журавля равно 2 м, длинное — 6 м. На сколько опустится длинное плечо при подъёме короткого на 0,5 м?</x:v>
      </x:c>
      <x:c r="N1489" s="30" t="str">
        <x:v>1,5</x:v>
      </x:c>
      <x:c r="O1489" s="30" t="str">
        <x:v>Перемещения пропорциональны длинам плеч: x/0,5=6/2, поэтому x=1,5 м.</x:v>
      </x:c>
      <x:c r="P1489" s="30" t="str">
        <x:v>Перемещения пропорциональны длинам плеч: x/0,5=6/2, поэтому x=1,5 м.</x:v>
      </x:c>
      <x:c r="Q1489" s="30"/>
      <x:c r="R1489" s="30" t="str">
        <x:v>Полный вариант МА2510404 с решениями РЕШУ ЕГЭ</x:v>
      </x:c>
      <x:c r="S1489" s="30"/>
      <x:c r="T1489" s="30"/>
      <x:c r="U1489" s="30" t="str">
        <x:v>Расхождений не обнаружено.</x:v>
      </x:c>
      <x:c r="V1489" s="87" t="str">
        <x:v>VERIFIED</x:v>
      </x:c>
      <x:c r="W1489" s="87" t="str">
        <x:v>онлайн</x:v>
      </x:c>
      <x:c r="X1489" s="87"/>
      <x:c r="Y1489" s="87"/>
      <x:c r="Z1489" s="87"/>
      <x:c r="AA1489" s="87"/>
      <x:c r="AB1489" s="87"/>
      <x:c r="AC1489" s="87"/>
      <x:c r="AD1489" s="87"/>
      <x:c r="AE1489" s="87"/>
      <x:c r="AF1489" s="87"/>
      <x:c r="AG1489" s="87"/>
      <x:c r="AH1489" s="87"/>
      <x:c r="AI1489" s="30"/>
      <x:c r="AJ1489" s="87" t="str">
        <x:v>master</x:v>
      </x:c>
      <x:c r="AK1489" s="87" t="str">
        <x:v>master-v0.81</x:v>
      </x:c>
      <x:c r="AL1489" s="87" t="str">
        <x:v>statgrad_master_base_v0_81_final(2).xlsx</x:v>
      </x:c>
      <x:c r="AM1489" s="87" t="str">
        <x:v>MATH_Mar_Base_V4</x:v>
      </x:c>
      <x:c r="AN1489" s="87" t="n">
        <x:v>11</x:v>
      </x:c>
    </x:row>
    <x:row r="1490">
      <x:c r="A1490" s="87" t="n">
        <x:v>1489</x:v>
      </x:c>
      <x:c r="B1490" s="87" t="str">
        <x:v>MAR-MATH-B-V4-011</x:v>
      </x:c>
      <x:c r="C1490" s="87" t="str">
        <x:v>СтатГрад</x:v>
      </x:c>
      <x:c r="D1490" s="87" t="str">
        <x:v>Март 2026</x:v>
      </x:c>
      <x:c r="E1490" s="87"/>
      <x:c r="F1490" s="87"/>
      <x:c r="G1490" s="87" t="str">
        <x:v>Математика</x:v>
      </x:c>
      <x:c r="H1490" s="87" t="str">
        <x:v>Базовый</x:v>
      </x:c>
      <x:c r="I1490" s="87" t="str">
        <x:v>ТР №4</x:v>
      </x:c>
      <x:c r="J1490" s="87" t="str">
        <x:v>МА2510404</x:v>
      </x:c>
      <x:c r="K1490" s="87" t="n">
        <x:v>11</x:v>
      </x:c>
      <x:c r="L1490" s="87" t="str">
        <x:v>Объём вытесненной жидкости</x:v>
      </x:c>
      <x:c r="M1490" s="30" t="str">
        <x:v>Площадь основания цилиндрического бака равна 60 см²; после погружения детали уровень поднялся на 10 см. Найти объём детали.</x:v>
      </x:c>
      <x:c r="N1490" s="30" t="str">
        <x:v>600</x:v>
      </x:c>
      <x:c r="O1490" s="30" t="str">
        <x:v>V=S·h=60·10=600 см³.</x:v>
      </x:c>
      <x:c r="P1490" s="30" t="str">
        <x:v>V=S·h=60·10=600 см³.</x:v>
      </x:c>
      <x:c r="Q1490" s="30"/>
      <x:c r="R1490" s="30" t="str">
        <x:v>Полный вариант МА2510404 с решениями РЕШУ ЕГЭ</x:v>
      </x:c>
      <x:c r="S1490" s="30"/>
      <x:c r="T1490" s="30"/>
      <x:c r="U1490" s="30" t="str">
        <x:v>Расхождений не обнаружено.</x:v>
      </x:c>
      <x:c r="V1490" s="87" t="str">
        <x:v>VERIFIED</x:v>
      </x:c>
      <x:c r="W1490" s="87" t="str">
        <x:v>онлайн</x:v>
      </x:c>
      <x:c r="X1490" s="87"/>
      <x:c r="Y1490" s="87"/>
      <x:c r="Z1490" s="87"/>
      <x:c r="AA1490" s="87"/>
      <x:c r="AB1490" s="87"/>
      <x:c r="AC1490" s="87"/>
      <x:c r="AD1490" s="87"/>
      <x:c r="AE1490" s="87"/>
      <x:c r="AF1490" s="87"/>
      <x:c r="AG1490" s="87"/>
      <x:c r="AH1490" s="87"/>
      <x:c r="AI1490" s="30"/>
      <x:c r="AJ1490" s="87" t="str">
        <x:v>master</x:v>
      </x:c>
      <x:c r="AK1490" s="87" t="str">
        <x:v>master-v0.81</x:v>
      </x:c>
      <x:c r="AL1490" s="87" t="str">
        <x:v>statgrad_master_base_v0_81_final(2).xlsx</x:v>
      </x:c>
      <x:c r="AM1490" s="87" t="str">
        <x:v>MATH_Mar_Base_V4</x:v>
      </x:c>
      <x:c r="AN1490" s="87" t="n">
        <x:v>12</x:v>
      </x:c>
    </x:row>
    <x:row r="1491">
      <x:c r="A1491" s="87" t="n">
        <x:v>1490</x:v>
      </x:c>
      <x:c r="B1491" s="87" t="str">
        <x:v>MAR-MATH-B-V4-012</x:v>
      </x:c>
      <x:c r="C1491" s="87" t="str">
        <x:v>СтатГрад</x:v>
      </x:c>
      <x:c r="D1491" s="87" t="str">
        <x:v>Март 2026</x:v>
      </x:c>
      <x:c r="E1491" s="87"/>
      <x:c r="F1491" s="87"/>
      <x:c r="G1491" s="87" t="str">
        <x:v>Математика</x:v>
      </x:c>
      <x:c r="H1491" s="87" t="str">
        <x:v>Базовый</x:v>
      </x:c>
      <x:c r="I1491" s="87" t="str">
        <x:v>ТР №4</x:v>
      </x:c>
      <x:c r="J1491" s="87" t="str">
        <x:v>МА2510404</x:v>
      </x:c>
      <x:c r="K1491" s="87" t="n">
        <x:v>12</x:v>
      </x:c>
      <x:c r="L1491" s="87" t="str">
        <x:v>Прямоугольная трапеция</x:v>
      </x:c>
      <x:c r="M1491" s="30" t="str">
        <x:v>Основания прямоугольной трапеции равны 5 и 9, один угол равен 135°. Найти меньшую боковую сторону.</x:v>
      </x:c>
      <x:c r="N1491" s="30" t="str">
        <x:v>4</x:v>
      </x:c>
      <x:c r="O1491" s="30" t="str">
        <x:v>Разность оснований равна 4. Дополнительный треугольник имеет угол 45°, поэтому его катеты равны и высота трапеции равна 4.</x:v>
      </x:c>
      <x:c r="P1491" s="30" t="str">
        <x:v>Разность оснований равна 4. Дополнительный треугольник имеет угол 45°, поэтому его катеты равны и высота трапеции равна 4.</x:v>
      </x:c>
      <x:c r="Q1491" s="30"/>
      <x:c r="R1491" s="30" t="str">
        <x:v>Полный вариант МА2510404 с решениями РЕШУ ЕГЭ</x:v>
      </x:c>
      <x:c r="S1491" s="30"/>
      <x:c r="T1491" s="30"/>
      <x:c r="U1491" s="30" t="str">
        <x:v>Расхождений не обнаружено.</x:v>
      </x:c>
      <x:c r="V1491" s="87" t="str">
        <x:v>VERIFIED</x:v>
      </x:c>
      <x:c r="W1491" s="87" t="str">
        <x:v>онлайн</x:v>
      </x:c>
      <x:c r="X1491" s="87"/>
      <x:c r="Y1491" s="87"/>
      <x:c r="Z1491" s="87"/>
      <x:c r="AA1491" s="87"/>
      <x:c r="AB1491" s="87"/>
      <x:c r="AC1491" s="87"/>
      <x:c r="AD1491" s="87"/>
      <x:c r="AE1491" s="87"/>
      <x:c r="AF1491" s="87"/>
      <x:c r="AG1491" s="87"/>
      <x:c r="AH1491" s="87"/>
      <x:c r="AI1491" s="30"/>
      <x:c r="AJ1491" s="87" t="str">
        <x:v>master</x:v>
      </x:c>
      <x:c r="AK1491" s="87" t="str">
        <x:v>master-v0.81</x:v>
      </x:c>
      <x:c r="AL1491" s="87" t="str">
        <x:v>statgrad_master_base_v0_81_final(2).xlsx</x:v>
      </x:c>
      <x:c r="AM1491" s="87" t="str">
        <x:v>MATH_Mar_Base_V4</x:v>
      </x:c>
      <x:c r="AN1491" s="87" t="n">
        <x:v>13</x:v>
      </x:c>
    </x:row>
    <x:row r="1492">
      <x:c r="A1492" s="87" t="n">
        <x:v>1491</x:v>
      </x:c>
      <x:c r="B1492" s="87" t="str">
        <x:v>MAR-MATH-B-V4-013</x:v>
      </x:c>
      <x:c r="C1492" s="87" t="str">
        <x:v>СтатГрад</x:v>
      </x:c>
      <x:c r="D1492" s="87" t="str">
        <x:v>Март 2026</x:v>
      </x:c>
      <x:c r="E1492" s="87"/>
      <x:c r="F1492" s="87"/>
      <x:c r="G1492" s="87" t="str">
        <x:v>Математика</x:v>
      </x:c>
      <x:c r="H1492" s="87" t="str">
        <x:v>Базовый</x:v>
      </x:c>
      <x:c r="I1492" s="87" t="str">
        <x:v>ТР №4</x:v>
      </x:c>
      <x:c r="J1492" s="87" t="str">
        <x:v>МА2510404</x:v>
      </x:c>
      <x:c r="K1492" s="87" t="n">
        <x:v>13</x:v>
      </x:c>
      <x:c r="L1492" s="87" t="str">
        <x:v>Конус</x:v>
      </x:c>
      <x:c r="M1492" s="30" t="str">
        <x:v>Первый конус имеет r=2, l=5, второй — r=5, l=6. Во сколько раз площадь боковой поверхности второго больше?</x:v>
      </x:c>
      <x:c r="N1492" s="30" t="str">
        <x:v>3</x:v>
      </x:c>
      <x:c r="O1492" s="30" t="str">
        <x:v>Sбок=πrl; отношение (5·6)/(2·5)=30/10=3.</x:v>
      </x:c>
      <x:c r="P1492" s="30" t="str">
        <x:v>Sбок=πrl; отношение (5·6)/(2·5)=30/10=3.</x:v>
      </x:c>
      <x:c r="Q1492" s="30"/>
      <x:c r="R1492" s="30" t="str">
        <x:v>Полный вариант МА2510404 с решениями РЕШУ ЕГЭ</x:v>
      </x:c>
      <x:c r="S1492" s="30"/>
      <x:c r="T1492" s="30"/>
      <x:c r="U1492" s="30" t="str">
        <x:v>Расхождений не обнаружено.</x:v>
      </x:c>
      <x:c r="V1492" s="87" t="str">
        <x:v>VERIFIED</x:v>
      </x:c>
      <x:c r="W1492" s="87" t="str">
        <x:v>онлайн</x:v>
      </x:c>
      <x:c r="X1492" s="87"/>
      <x:c r="Y1492" s="87"/>
      <x:c r="Z1492" s="87"/>
      <x:c r="AA1492" s="87"/>
      <x:c r="AB1492" s="87"/>
      <x:c r="AC1492" s="87"/>
      <x:c r="AD1492" s="87"/>
      <x:c r="AE1492" s="87"/>
      <x:c r="AF1492" s="87"/>
      <x:c r="AG1492" s="87"/>
      <x:c r="AH1492" s="87"/>
      <x:c r="AI1492" s="30"/>
      <x:c r="AJ1492" s="87" t="str">
        <x:v>master</x:v>
      </x:c>
      <x:c r="AK1492" s="87" t="str">
        <x:v>master-v0.81</x:v>
      </x:c>
      <x:c r="AL1492" s="87" t="str">
        <x:v>statgrad_master_base_v0_81_final(2).xlsx</x:v>
      </x:c>
      <x:c r="AM1492" s="87" t="str">
        <x:v>MATH_Mar_Base_V4</x:v>
      </x:c>
      <x:c r="AN1492" s="87" t="n">
        <x:v>14</x:v>
      </x:c>
    </x:row>
    <x:row r="1493">
      <x:c r="A1493" s="87" t="n">
        <x:v>1492</x:v>
      </x:c>
      <x:c r="B1493" s="87" t="str">
        <x:v>MAR-MATH-B-V4-014</x:v>
      </x:c>
      <x:c r="C1493" s="87" t="str">
        <x:v>СтатГрад</x:v>
      </x:c>
      <x:c r="D1493" s="87" t="str">
        <x:v>Март 2026</x:v>
      </x:c>
      <x:c r="E1493" s="87"/>
      <x:c r="F1493" s="87"/>
      <x:c r="G1493" s="87" t="str">
        <x:v>Математика</x:v>
      </x:c>
      <x:c r="H1493" s="87" t="str">
        <x:v>Базовый</x:v>
      </x:c>
      <x:c r="I1493" s="87" t="str">
        <x:v>ТР №4</x:v>
      </x:c>
      <x:c r="J1493" s="87" t="str">
        <x:v>МА2510404</x:v>
      </x:c>
      <x:c r="K1493" s="87" t="n">
        <x:v>14</x:v>
      </x:c>
      <x:c r="L1493" s="87" t="str">
        <x:v>Обыкновенные дроби</x:v>
      </x:c>
      <x:c r="M1493" s="30" t="str">
        <x:v>Вычислить (−7/8 + 4 2/3)·9,6.</x:v>
      </x:c>
      <x:c r="N1493" s="30" t="str">
        <x:v>36,4</x:v>
      </x:c>
      <x:c r="O1493" s="30" t="str">
        <x:v>−7/8+14/3=91/24; 9,6=48/5, поэтому 91/24·48/5=182/5=36,4.</x:v>
      </x:c>
      <x:c r="P1493" s="30" t="str">
        <x:v>−7/8+14/3=91/24; 9,6=48/5, поэтому 91/24·48/5=182/5=36,4.</x:v>
      </x:c>
      <x:c r="Q1493" s="30"/>
      <x:c r="R1493" s="30" t="str">
        <x:v>Полный вариант МА2510404 с решениями РЕШУ ЕГЭ</x:v>
      </x:c>
      <x:c r="S1493" s="30"/>
      <x:c r="T1493" s="30"/>
      <x:c r="U1493" s="30" t="str">
        <x:v>Расхождений не обнаружено.</x:v>
      </x:c>
      <x:c r="V1493" s="87" t="str">
        <x:v>VERIFIED</x:v>
      </x:c>
      <x:c r="W1493" s="87" t="str">
        <x:v>онлайн</x:v>
      </x:c>
      <x:c r="X1493" s="87"/>
      <x:c r="Y1493" s="87"/>
      <x:c r="Z1493" s="87"/>
      <x:c r="AA1493" s="87"/>
      <x:c r="AB1493" s="87"/>
      <x:c r="AC1493" s="87"/>
      <x:c r="AD1493" s="87"/>
      <x:c r="AE1493" s="87"/>
      <x:c r="AF1493" s="87"/>
      <x:c r="AG1493" s="87"/>
      <x:c r="AH1493" s="87"/>
      <x:c r="AI1493" s="30"/>
      <x:c r="AJ1493" s="87" t="str">
        <x:v>master</x:v>
      </x:c>
      <x:c r="AK1493" s="87" t="str">
        <x:v>master-v0.81</x:v>
      </x:c>
      <x:c r="AL1493" s="87" t="str">
        <x:v>statgrad_master_base_v0_81_final(2).xlsx</x:v>
      </x:c>
      <x:c r="AM1493" s="87" t="str">
        <x:v>MATH_Mar_Base_V4</x:v>
      </x:c>
      <x:c r="AN1493" s="87" t="n">
        <x:v>15</x:v>
      </x:c>
    </x:row>
    <x:row r="1494">
      <x:c r="A1494" s="87" t="n">
        <x:v>1493</x:v>
      </x:c>
      <x:c r="B1494" s="87" t="str">
        <x:v>MAR-MATH-B-V4-015</x:v>
      </x:c>
      <x:c r="C1494" s="87" t="str">
        <x:v>СтатГрад</x:v>
      </x:c>
      <x:c r="D1494" s="87" t="str">
        <x:v>Март 2026</x:v>
      </x:c>
      <x:c r="E1494" s="87"/>
      <x:c r="F1494" s="87"/>
      <x:c r="G1494" s="87" t="str">
        <x:v>Математика</x:v>
      </x:c>
      <x:c r="H1494" s="87" t="str">
        <x:v>Базовый</x:v>
      </x:c>
      <x:c r="I1494" s="87" t="str">
        <x:v>ТР №4</x:v>
      </x:c>
      <x:c r="J1494" s="87" t="str">
        <x:v>МА2510404</x:v>
      </x:c>
      <x:c r="K1494" s="87" t="n">
        <x:v>15</x:v>
      </x:c>
      <x:c r="L1494" s="87" t="str">
        <x:v>Проценты</x:v>
      </x:c>
      <x:c r="M1494" s="30" t="str">
        <x:v>Число посетителей сайта увеличилось втрое. На сколько процентов оно увеличилось?</x:v>
      </x:c>
      <x:c r="N1494" s="30" t="str">
        <x:v>200</x:v>
      </x:c>
      <x:c r="O1494" s="30" t="str">
        <x:v>Было 100%, стало 300%; прирост равен 200%.</x:v>
      </x:c>
      <x:c r="P1494" s="30" t="str">
        <x:v>Было 100%, стало 300%; прирост равен 200%.</x:v>
      </x:c>
      <x:c r="Q1494" s="30"/>
      <x:c r="R1494" s="30" t="str">
        <x:v>Полный вариант МА2510404 с решениями РЕШУ ЕГЭ</x:v>
      </x:c>
      <x:c r="S1494" s="30"/>
      <x:c r="T1494" s="30"/>
      <x:c r="U1494" s="30" t="str">
        <x:v>Расхождений не обнаружено.</x:v>
      </x:c>
      <x:c r="V1494" s="87" t="str">
        <x:v>VERIFIED</x:v>
      </x:c>
      <x:c r="W1494" s="87" t="str">
        <x:v>онлайн</x:v>
      </x:c>
      <x:c r="X1494" s="87"/>
      <x:c r="Y1494" s="87"/>
      <x:c r="Z1494" s="87"/>
      <x:c r="AA1494" s="87"/>
      <x:c r="AB1494" s="87"/>
      <x:c r="AC1494" s="87"/>
      <x:c r="AD1494" s="87"/>
      <x:c r="AE1494" s="87"/>
      <x:c r="AF1494" s="87"/>
      <x:c r="AG1494" s="87"/>
      <x:c r="AH1494" s="87"/>
      <x:c r="AI1494" s="30"/>
      <x:c r="AJ1494" s="87" t="str">
        <x:v>master</x:v>
      </x:c>
      <x:c r="AK1494" s="87" t="str">
        <x:v>master-v0.81</x:v>
      </x:c>
      <x:c r="AL1494" s="87" t="str">
        <x:v>statgrad_master_base_v0_81_final(2).xlsx</x:v>
      </x:c>
      <x:c r="AM1494" s="87" t="str">
        <x:v>MATH_Mar_Base_V4</x:v>
      </x:c>
      <x:c r="AN1494" s="87" t="n">
        <x:v>16</x:v>
      </x:c>
    </x:row>
    <x:row r="1495">
      <x:c r="A1495" s="87" t="n">
        <x:v>1494</x:v>
      </x:c>
      <x:c r="B1495" s="87" t="str">
        <x:v>MAR-MATH-B-V4-016</x:v>
      </x:c>
      <x:c r="C1495" s="87" t="str">
        <x:v>СтатГрад</x:v>
      </x:c>
      <x:c r="D1495" s="87" t="str">
        <x:v>Март 2026</x:v>
      </x:c>
      <x:c r="E1495" s="87"/>
      <x:c r="F1495" s="87"/>
      <x:c r="G1495" s="87" t="str">
        <x:v>Математика</x:v>
      </x:c>
      <x:c r="H1495" s="87" t="str">
        <x:v>Базовый</x:v>
      </x:c>
      <x:c r="I1495" s="87" t="str">
        <x:v>ТР №4</x:v>
      </x:c>
      <x:c r="J1495" s="87" t="str">
        <x:v>МА2510404</x:v>
      </x:c>
      <x:c r="K1495" s="87" t="n">
        <x:v>16</x:v>
      </x:c>
      <x:c r="L1495" s="87" t="str">
        <x:v>Логарифмическое выражение</x:v>
      </x:c>
      <x:c r="M1495" s="30" t="str">
        <x:v>Вычислить 7^(1+log₇3).</x:v>
      </x:c>
      <x:c r="N1495" s="30" t="str">
        <x:v>21</x:v>
      </x:c>
      <x:c r="O1495" s="30" t="str">
        <x:v>7^(1+log₇3)=7·3=21.</x:v>
      </x:c>
      <x:c r="P1495" s="30" t="str">
        <x:v>7^(1+log₇3)=7·3=21.</x:v>
      </x:c>
      <x:c r="Q1495" s="30"/>
      <x:c r="R1495" s="30" t="str">
        <x:v>Полный вариант МА2510404 с решениями РЕШУ ЕГЭ</x:v>
      </x:c>
      <x:c r="S1495" s="30"/>
      <x:c r="T1495" s="30"/>
      <x:c r="U1495" s="30" t="str">
        <x:v>Расхождений не обнаружено.</x:v>
      </x:c>
      <x:c r="V1495" s="87" t="str">
        <x:v>VERIFIED</x:v>
      </x:c>
      <x:c r="W1495" s="87" t="str">
        <x:v>онлайн</x:v>
      </x:c>
      <x:c r="X1495" s="87"/>
      <x:c r="Y1495" s="87"/>
      <x:c r="Z1495" s="87"/>
      <x:c r="AA1495" s="87"/>
      <x:c r="AB1495" s="87"/>
      <x:c r="AC1495" s="87"/>
      <x:c r="AD1495" s="87"/>
      <x:c r="AE1495" s="87"/>
      <x:c r="AF1495" s="87"/>
      <x:c r="AG1495" s="87"/>
      <x:c r="AH1495" s="87"/>
      <x:c r="AI1495" s="30"/>
      <x:c r="AJ1495" s="87" t="str">
        <x:v>master</x:v>
      </x:c>
      <x:c r="AK1495" s="87" t="str">
        <x:v>master-v0.81</x:v>
      </x:c>
      <x:c r="AL1495" s="87" t="str">
        <x:v>statgrad_master_base_v0_81_final(2).xlsx</x:v>
      </x:c>
      <x:c r="AM1495" s="87" t="str">
        <x:v>MATH_Mar_Base_V4</x:v>
      </x:c>
      <x:c r="AN1495" s="87" t="n">
        <x:v>17</x:v>
      </x:c>
    </x:row>
    <x:row r="1496">
      <x:c r="A1496" s="87" t="n">
        <x:v>1495</x:v>
      </x:c>
      <x:c r="B1496" s="87" t="str">
        <x:v>MAR-MATH-B-V4-017</x:v>
      </x:c>
      <x:c r="C1496" s="87" t="str">
        <x:v>СтатГрад</x:v>
      </x:c>
      <x:c r="D1496" s="87" t="str">
        <x:v>Март 2026</x:v>
      </x:c>
      <x:c r="E1496" s="87"/>
      <x:c r="F1496" s="87"/>
      <x:c r="G1496" s="87" t="str">
        <x:v>Математика</x:v>
      </x:c>
      <x:c r="H1496" s="87" t="str">
        <x:v>Базовый</x:v>
      </x:c>
      <x:c r="I1496" s="87" t="str">
        <x:v>ТР №4</x:v>
      </x:c>
      <x:c r="J1496" s="87" t="str">
        <x:v>МА2510404</x:v>
      </x:c>
      <x:c r="K1496" s="87" t="n">
        <x:v>17</x:v>
      </x:c>
      <x:c r="L1496" s="87" t="str">
        <x:v>Линейное уравнение</x:v>
      </x:c>
      <x:c r="M1496" s="30" t="str">
        <x:v>Решить уравнение 6x−3=4−4x.</x:v>
      </x:c>
      <x:c r="N1496" s="30" t="str">
        <x:v>0,7</x:v>
      </x:c>
      <x:c r="O1496" s="30" t="str">
        <x:v>10x=7, поэтому x=0,7.</x:v>
      </x:c>
      <x:c r="P1496" s="30" t="str">
        <x:v>10x=7, поэтому x=0,7.</x:v>
      </x:c>
      <x:c r="Q1496" s="30"/>
      <x:c r="R1496" s="30" t="str">
        <x:v>Полный вариант МА2510404 с решениями РЕШУ ЕГЭ</x:v>
      </x:c>
      <x:c r="S1496" s="30"/>
      <x:c r="T1496" s="30"/>
      <x:c r="U1496" s="30" t="str">
        <x:v>Расхождений не обнаружено.</x:v>
      </x:c>
      <x:c r="V1496" s="87" t="str">
        <x:v>VERIFIED</x:v>
      </x:c>
      <x:c r="W1496" s="87" t="str">
        <x:v>онлайн</x:v>
      </x:c>
      <x:c r="X1496" s="87"/>
      <x:c r="Y1496" s="87"/>
      <x:c r="Z1496" s="87"/>
      <x:c r="AA1496" s="87"/>
      <x:c r="AB1496" s="87"/>
      <x:c r="AC1496" s="87"/>
      <x:c r="AD1496" s="87"/>
      <x:c r="AE1496" s="87"/>
      <x:c r="AF1496" s="87"/>
      <x:c r="AG1496" s="87"/>
      <x:c r="AH1496" s="87"/>
      <x:c r="AI1496" s="30"/>
      <x:c r="AJ1496" s="87" t="str">
        <x:v>master</x:v>
      </x:c>
      <x:c r="AK1496" s="87" t="str">
        <x:v>master-v0.81</x:v>
      </x:c>
      <x:c r="AL1496" s="87" t="str">
        <x:v>statgrad_master_base_v0_81_final(2).xlsx</x:v>
      </x:c>
      <x:c r="AM1496" s="87" t="str">
        <x:v>MATH_Mar_Base_V4</x:v>
      </x:c>
      <x:c r="AN1496" s="87" t="n">
        <x:v>18</x:v>
      </x:c>
    </x:row>
    <x:row r="1497">
      <x:c r="A1497" s="87" t="n">
        <x:v>1496</x:v>
      </x:c>
      <x:c r="B1497" s="87" t="str">
        <x:v>MAR-MATH-B-V4-018</x:v>
      </x:c>
      <x:c r="C1497" s="87" t="str">
        <x:v>СтатГрад</x:v>
      </x:c>
      <x:c r="D1497" s="87" t="str">
        <x:v>Март 2026</x:v>
      </x:c>
      <x:c r="E1497" s="87"/>
      <x:c r="F1497" s="87"/>
      <x:c r="G1497" s="87" t="str">
        <x:v>Математика</x:v>
      </x:c>
      <x:c r="H1497" s="87" t="str">
        <x:v>Базовый</x:v>
      </x:c>
      <x:c r="I1497" s="87" t="str">
        <x:v>ТР №4</x:v>
      </x:c>
      <x:c r="J1497" s="87" t="str">
        <x:v>МА2510404</x:v>
      </x:c>
      <x:c r="K1497" s="87" t="n">
        <x:v>18</x:v>
      </x:c>
      <x:c r="L1497" s="87" t="str">
        <x:v>Числовые промежутки</x:v>
      </x:c>
      <x:c r="M1497" s="30" t="str">
        <x:v>При m=√6 сопоставить −√m, m²−3,5, −m/10 и 1/m с отрезками [−2;−1], [−1;0], [0;1], [2;3].</x:v>
      </x:c>
      <x:c r="N1497" s="30" t="str">
        <x:v>1423</x:v>
      </x:c>
      <x:c r="O1497" s="30" t="str">
        <x:v>−√√6≈−1,57 — интервал 1; m²−3,5=2,5 — 4; −m/10≈−0,245 — 2; 1/m≈0,408 — 3.</x:v>
      </x:c>
      <x:c r="P1497" s="30" t="str">
        <x:v>−√√6≈−1,57 — интервал 1; m²−3,5=2,5 — 4; −m/10≈−0,245 — 2; 1/m≈0,408 — 3.</x:v>
      </x:c>
      <x:c r="Q1497" s="30"/>
      <x:c r="R1497" s="30" t="str">
        <x:v>Полный вариант МА2510404 с решениями РЕШУ ЕГЭ</x:v>
      </x:c>
      <x:c r="S1497" s="30"/>
      <x:c r="T1497" s="30"/>
      <x:c r="U1497" s="30" t="str">
        <x:v>Расхождений не обнаружено.</x:v>
      </x:c>
      <x:c r="V1497" s="87" t="str">
        <x:v>VERIFIED</x:v>
      </x:c>
      <x:c r="W1497" s="87" t="str">
        <x:v>онлайн</x:v>
      </x:c>
      <x:c r="X1497" s="87"/>
      <x:c r="Y1497" s="87"/>
      <x:c r="Z1497" s="87"/>
      <x:c r="AA1497" s="87"/>
      <x:c r="AB1497" s="87"/>
      <x:c r="AC1497" s="87"/>
      <x:c r="AD1497" s="87"/>
      <x:c r="AE1497" s="87"/>
      <x:c r="AF1497" s="87"/>
      <x:c r="AG1497" s="87"/>
      <x:c r="AH1497" s="87"/>
      <x:c r="AI1497" s="30"/>
      <x:c r="AJ1497" s="87" t="str">
        <x:v>master</x:v>
      </x:c>
      <x:c r="AK1497" s="87" t="str">
        <x:v>master-v0.81</x:v>
      </x:c>
      <x:c r="AL1497" s="87" t="str">
        <x:v>statgrad_master_base_v0_81_final(2).xlsx</x:v>
      </x:c>
      <x:c r="AM1497" s="87" t="str">
        <x:v>MATH_Mar_Base_V4</x:v>
      </x:c>
      <x:c r="AN1497" s="87" t="n">
        <x:v>19</x:v>
      </x:c>
    </x:row>
    <x:row r="1498">
      <x:c r="A1498" s="87" t="n">
        <x:v>1497</x:v>
      </x:c>
      <x:c r="B1498" s="87" t="str">
        <x:v>MAR-MATH-B-V4-019</x:v>
      </x:c>
      <x:c r="C1498" s="87" t="str">
        <x:v>СтатГрад</x:v>
      </x:c>
      <x:c r="D1498" s="87" t="str">
        <x:v>Март 2026</x:v>
      </x:c>
      <x:c r="E1498" s="87"/>
      <x:c r="F1498" s="87"/>
      <x:c r="G1498" s="87" t="str">
        <x:v>Математика</x:v>
      </x:c>
      <x:c r="H1498" s="87" t="str">
        <x:v>Базовый</x:v>
      </x:c>
      <x:c r="I1498" s="87" t="str">
        <x:v>ТР №4</x:v>
      </x:c>
      <x:c r="J1498" s="87" t="str">
        <x:v>МА2510404</x:v>
      </x:c>
      <x:c r="K1498" s="87" t="n">
        <x:v>19</x:v>
      </x:c>
      <x:c r="L1498" s="87" t="str">
        <x:v>Цифровая запись числа</x:v>
      </x:c>
      <x:c r="M1498" s="30" t="str">
        <x:v>Найти пятизначное число, кратное 22, любые соседние цифры которого отличаются на 2.</x:v>
      </x:c>
      <x:c r="N1498" s="30" t="str">
        <x:v>46464</x:v>
      </x:c>
      <x:c r="O1498" s="30" t="str">
        <x:v>Число чётное; для делимости на 11 выполняется 4+4+4=6+6=12; соседние цифры отличаются на 2.</x:v>
      </x:c>
      <x:c r="P1498" s="30" t="str">
        <x:v>Также подходят 46420 и 42020.</x:v>
      </x:c>
      <x:c r="Q1498" s="30"/>
      <x:c r="R1498" s="30" t="str">
        <x:v>Полный вариант МА2510404 с решениями РЕШУ ЕГЭ</x:v>
      </x:c>
      <x:c r="S1498" s="30"/>
      <x:c r="T1498" s="30"/>
      <x:c r="U1498" s="30" t="str">
        <x:v>Допустим любой корректный пример.</x:v>
      </x:c>
      <x:c r="V1498" s="87" t="str">
        <x:v>VERIFIED</x:v>
      </x:c>
      <x:c r="W1498" s="87" t="str">
        <x:v>онлайн</x:v>
      </x:c>
      <x:c r="X1498" s="87"/>
      <x:c r="Y1498" s="87"/>
      <x:c r="Z1498" s="87"/>
      <x:c r="AA1498" s="87"/>
      <x:c r="AB1498" s="87"/>
      <x:c r="AC1498" s="87"/>
      <x:c r="AD1498" s="87"/>
      <x:c r="AE1498" s="87"/>
      <x:c r="AF1498" s="87"/>
      <x:c r="AG1498" s="87"/>
      <x:c r="AH1498" s="87"/>
      <x:c r="AI1498" s="30"/>
      <x:c r="AJ1498" s="87" t="str">
        <x:v>master</x:v>
      </x:c>
      <x:c r="AK1498" s="87" t="str">
        <x:v>master-v0.81</x:v>
      </x:c>
      <x:c r="AL1498" s="87" t="str">
        <x:v>statgrad_master_base_v0_81_final(2).xlsx</x:v>
      </x:c>
      <x:c r="AM1498" s="87" t="str">
        <x:v>MATH_Mar_Base_V4</x:v>
      </x:c>
      <x:c r="AN1498" s="87" t="n">
        <x:v>20</x:v>
      </x:c>
    </x:row>
    <x:row r="1499">
      <x:c r="A1499" s="87" t="n">
        <x:v>1498</x:v>
      </x:c>
      <x:c r="B1499" s="87" t="str">
        <x:v>MAR-MATH-B-V4-020</x:v>
      </x:c>
      <x:c r="C1499" s="87" t="str">
        <x:v>СтатГрад</x:v>
      </x:c>
      <x:c r="D1499" s="87" t="str">
        <x:v>Март 2026</x:v>
      </x:c>
      <x:c r="E1499" s="87"/>
      <x:c r="F1499" s="87"/>
      <x:c r="G1499" s="87" t="str">
        <x:v>Математика</x:v>
      </x:c>
      <x:c r="H1499" s="87" t="str">
        <x:v>Базовый</x:v>
      </x:c>
      <x:c r="I1499" s="87" t="str">
        <x:v>ТР №4</x:v>
      </x:c>
      <x:c r="J1499" s="87" t="str">
        <x:v>МА2510404</x:v>
      </x:c>
      <x:c r="K1499" s="87" t="n">
        <x:v>20</x:v>
      </x:c>
      <x:c r="L1499" s="87" t="str">
        <x:v>Движение по прямой</x:v>
      </x:c>
      <x:c r="M1499" s="30" t="str">
        <x:v>Расстояние A—B равно 780 км. Первый автомобиль едет из A со скоростью 85 км/ч; через 3 часа навстречу выезжает второй со скоростью 90 км/ч. Найти расстояние от A до встречи.</x:v>
      </x:c>
      <x:c r="N1499" s="30" t="str">
        <x:v>510</x:v>
      </x:c>
      <x:c r="O1499" s="30" t="str">
        <x:v>За первые 3 часа первый автомобиль проходит 255 км. Остаётся 525 км; при скорости сближения 175 км/ч требуется ещё 3 часа. Всего первый едет 6 часов: 85·6=510 км.</x:v>
      </x:c>
      <x:c r="P1499" s="30" t="str">
        <x:v>За первые 3 часа первый автомобиль проходит 255 км. Остаётся 525 км; при скорости сближения 175 км/ч требуется ещё 3 часа. Всего первый едет 6 часов: 85·6=510 км.</x:v>
      </x:c>
      <x:c r="Q1499" s="30"/>
      <x:c r="R1499" s="30" t="str">
        <x:v>Полный вариант МА2510404 с решениями РЕШУ ЕГЭ</x:v>
      </x:c>
      <x:c r="S1499" s="30"/>
      <x:c r="T1499" s="30"/>
      <x:c r="U1499" s="30" t="str">
        <x:v>Расхождений не обнаружено.</x:v>
      </x:c>
      <x:c r="V1499" s="87" t="str">
        <x:v>VERIFIED</x:v>
      </x:c>
      <x:c r="W1499" s="87" t="str">
        <x:v>онлайн</x:v>
      </x:c>
      <x:c r="X1499" s="87"/>
      <x:c r="Y1499" s="87"/>
      <x:c r="Z1499" s="87"/>
      <x:c r="AA1499" s="87"/>
      <x:c r="AB1499" s="87"/>
      <x:c r="AC1499" s="87"/>
      <x:c r="AD1499" s="87"/>
      <x:c r="AE1499" s="87"/>
      <x:c r="AF1499" s="87"/>
      <x:c r="AG1499" s="87"/>
      <x:c r="AH1499" s="87"/>
      <x:c r="AI1499" s="30"/>
      <x:c r="AJ1499" s="87" t="str">
        <x:v>master</x:v>
      </x:c>
      <x:c r="AK1499" s="87" t="str">
        <x:v>master-v0.81</x:v>
      </x:c>
      <x:c r="AL1499" s="87" t="str">
        <x:v>statgrad_master_base_v0_81_final(2).xlsx</x:v>
      </x:c>
      <x:c r="AM1499" s="87" t="str">
        <x:v>MATH_Mar_Base_V4</x:v>
      </x:c>
      <x:c r="AN1499" s="87" t="n">
        <x:v>21</x:v>
      </x:c>
    </x:row>
    <x:row r="1500">
      <x:c r="A1500" s="87" t="n">
        <x:v>1499</x:v>
      </x:c>
      <x:c r="B1500" s="87" t="str">
        <x:v>MAR-MATH-B-V4-021</x:v>
      </x:c>
      <x:c r="C1500" s="87" t="str">
        <x:v>СтатГрад</x:v>
      </x:c>
      <x:c r="D1500" s="87" t="str">
        <x:v>Март 2026</x:v>
      </x:c>
      <x:c r="E1500" s="87"/>
      <x:c r="F1500" s="87"/>
      <x:c r="G1500" s="87" t="str">
        <x:v>Математика</x:v>
      </x:c>
      <x:c r="H1500" s="87" t="str">
        <x:v>Базовый</x:v>
      </x:c>
      <x:c r="I1500" s="87" t="str">
        <x:v>ТР №4</x:v>
      </x:c>
      <x:c r="J1500" s="87" t="str">
        <x:v>МА2510404</x:v>
      </x:c>
      <x:c r="K1500" s="87" t="n">
        <x:v>21</x:v>
      </x:c>
      <x:c r="L1500" s="87" t="str">
        <x:v>Комбинаторика: граф</x:v>
      </x:c>
      <x:c r="M1500" s="30" t="str">
        <x:v>Десять столбов соединены проводами так, что от каждого отходит ровно 7 проводов. Найти общее число проводов.</x:v>
      </x:c>
      <x:c r="N1500" s="30" t="str">
        <x:v>35</x:v>
      </x:c>
      <x:c r="O1500" s="30" t="str">
        <x:v>Сумма степеней равна 10·7=70; каждый провод учтён дважды, поэтому 70/2=35.</x:v>
      </x:c>
      <x:c r="P1500" s="30" t="str">
        <x:v>Сумма степеней равна 10·7=70; каждый провод учтён дважды, поэтому 70/2=35.</x:v>
      </x:c>
      <x:c r="Q1500" s="30"/>
      <x:c r="R1500" s="30" t="str">
        <x:v>Полный вариант МА2510404 с решениями РЕШУ ЕГЭ</x:v>
      </x:c>
      <x:c r="S1500" s="30"/>
      <x:c r="T1500" s="30"/>
      <x:c r="U1500" s="30" t="str">
        <x:v>Расхождений не обнаружено.</x:v>
      </x:c>
      <x:c r="V1500" s="87" t="str">
        <x:v>VERIFIED</x:v>
      </x:c>
      <x:c r="W1500" s="87" t="str">
        <x:v>онлайн</x:v>
      </x:c>
      <x:c r="X1500" s="87"/>
      <x:c r="Y1500" s="87"/>
      <x:c r="Z1500" s="87"/>
      <x:c r="AA1500" s="87"/>
      <x:c r="AB1500" s="87"/>
      <x:c r="AC1500" s="87"/>
      <x:c r="AD1500" s="87"/>
      <x:c r="AE1500" s="87"/>
      <x:c r="AF1500" s="87"/>
      <x:c r="AG1500" s="87"/>
      <x:c r="AH1500" s="87"/>
      <x:c r="AI1500" s="30"/>
      <x:c r="AJ1500" s="87" t="str">
        <x:v>master</x:v>
      </x:c>
      <x:c r="AK1500" s="87" t="str">
        <x:v>master-v0.81</x:v>
      </x:c>
      <x:c r="AL1500" s="87" t="str">
        <x:v>statgrad_master_base_v0_81_final(2).xlsx</x:v>
      </x:c>
      <x:c r="AM1500" s="87" t="str">
        <x:v>MATH_Mar_Base_V4</x:v>
      </x:c>
      <x:c r="AN1500" s="87" t="n">
        <x:v>22</x:v>
      </x:c>
    </x:row>
    <x:row r="1501">
      <x:c r="A1501" s="87" t="n">
        <x:v>1500</x:v>
      </x:c>
      <x:c r="B1501" s="87" t="str">
        <x:v>MAR-MATH-B-V5-001</x:v>
      </x:c>
      <x:c r="C1501" s="87" t="str">
        <x:v>СтатГрад</x:v>
      </x:c>
      <x:c r="D1501" s="87" t="str">
        <x:v>Март 2026</x:v>
      </x:c>
      <x:c r="E1501" s="87"/>
      <x:c r="F1501" s="87"/>
      <x:c r="G1501" s="87" t="str">
        <x:v>Математика</x:v>
      </x:c>
      <x:c r="H1501" s="87" t="str">
        <x:v>Базовый</x:v>
      </x:c>
      <x:c r="I1501" s="87" t="str">
        <x:v>ТР №4</x:v>
      </x:c>
      <x:c r="J1501" s="87" t="str">
        <x:v>МА2510405</x:v>
      </x:c>
      <x:c r="K1501" s="87" t="n">
        <x:v>1</x:v>
      </x:c>
      <x:c r="L1501" s="87" t="str">
        <x:v>Расчёт коммунальной платы</x:v>
      </x:c>
      <x:c r="M1501" s="30" t="str">
        <x:v>Показания счётчика холодной воды: 127 м³ на 1 апреля и 143 м³ на 1 мая. Тариф — 54,80 руб. за 1 м³. Найти плату за апрель.</x:v>
      </x:c>
      <x:c r="N1501" s="30" t="str">
        <x:v>876,8</x:v>
      </x:c>
      <x:c r="O1501" s="30" t="str">
        <x:v>Расход составил 143−127=16 м³. Стоимость: 16·54,8=876,8 руб.</x:v>
      </x:c>
      <x:c r="P1501" s="30" t="str">
        <x:v>Расход составил 143−127=16 м³. Стоимость: 16·54,8=876,8 руб.</x:v>
      </x:c>
      <x:c r="Q1501" s="30"/>
      <x:c r="R1501" s="30" t="str">
        <x:v>Полный PDF МА2510405 + независимое решение</x:v>
      </x:c>
      <x:c r="S1501" s="30"/>
      <x:c r="T1501" s="30"/>
      <x:c r="U1501" s="30" t="str">
        <x:v>Расхождений не обнаружено.</x:v>
      </x:c>
      <x:c r="V1501" s="87" t="str">
        <x:v>VERIFIED</x:v>
      </x:c>
      <x:c r="W1501" s="87" t="str">
        <x:v>PDF, вариант МА2510405</x:v>
      </x:c>
      <x:c r="X1501" s="87"/>
      <x:c r="Y1501" s="87"/>
      <x:c r="Z1501" s="87"/>
      <x:c r="AA1501" s="87"/>
      <x:c r="AB1501" s="87"/>
      <x:c r="AC1501" s="87"/>
      <x:c r="AD1501" s="87"/>
      <x:c r="AE1501" s="87"/>
      <x:c r="AF1501" s="87"/>
      <x:c r="AG1501" s="87"/>
      <x:c r="AH1501" s="87"/>
      <x:c r="AI1501" s="30"/>
      <x:c r="AJ1501" s="87" t="str">
        <x:v>master</x:v>
      </x:c>
      <x:c r="AK1501" s="87" t="str">
        <x:v>master-v0.81</x:v>
      </x:c>
      <x:c r="AL1501" s="87" t="str">
        <x:v>statgrad_master_base_v0_81_final(2).xlsx</x:v>
      </x:c>
      <x:c r="AM1501" s="87" t="str">
        <x:v>MATH_Mar_Base_V5</x:v>
      </x:c>
      <x:c r="AN1501" s="87" t="n">
        <x:v>2</x:v>
      </x:c>
    </x:row>
    <x:row r="1502">
      <x:c r="A1502" s="87" t="n">
        <x:v>1501</x:v>
      </x:c>
      <x:c r="B1502" s="87" t="str">
        <x:v>MAR-MATH-B-V5-002</x:v>
      </x:c>
      <x:c r="C1502" s="87" t="str">
        <x:v>СтатГрад</x:v>
      </x:c>
      <x:c r="D1502" s="87" t="str">
        <x:v>Март 2026</x:v>
      </x:c>
      <x:c r="E1502" s="87"/>
      <x:c r="F1502" s="87"/>
      <x:c r="G1502" s="87" t="str">
        <x:v>Математика</x:v>
      </x:c>
      <x:c r="H1502" s="87" t="str">
        <x:v>Базовый</x:v>
      </x:c>
      <x:c r="I1502" s="87" t="str">
        <x:v>ТР №4</x:v>
      </x:c>
      <x:c r="J1502" s="87" t="str">
        <x:v>МА2510405</x:v>
      </x:c>
      <x:c r="K1502" s="87" t="n">
        <x:v>2</x:v>
      </x:c>
      <x:c r="L1502" s="87" t="str">
        <x:v>Соответствие величин</x:v>
      </x:c>
      <x:c r="M1502" s="30" t="str">
        <x:v>Сопоставить рост жирафа, толщину лезвия бритвы, радиус Земли и ширину футбольного поля со значениями 6400 км, 500 см, 0,08 мм и 68 м.</x:v>
      </x:c>
      <x:c r="N1502" s="30" t="str">
        <x:v>2314</x:v>
      </x:c>
      <x:c r="O1502" s="30" t="str">
        <x:v>Рост жирафа — 500 см (2); толщина лезвия — 0,08 мм (3); радиус Земли — 6400 км (1); ширина поля — 68 м (4).</x:v>
      </x:c>
      <x:c r="P1502" s="30" t="str">
        <x:v>Рост жирафа — 500 см (2); толщина лезвия — 0,08 мм (3); радиус Земли — 6400 км (1); ширина поля — 68 м (4).</x:v>
      </x:c>
      <x:c r="Q1502" s="30"/>
      <x:c r="R1502" s="30" t="str">
        <x:v>Полный PDF МА2510405 + независимое решение</x:v>
      </x:c>
      <x:c r="S1502" s="30"/>
      <x:c r="T1502" s="30"/>
      <x:c r="U1502" s="30" t="str">
        <x:v>Расхождений не обнаружено.</x:v>
      </x:c>
      <x:c r="V1502" s="87" t="str">
        <x:v>VERIFIED</x:v>
      </x:c>
      <x:c r="W1502" s="87" t="str">
        <x:v>PDF, вариант МА2510405</x:v>
      </x:c>
      <x:c r="X1502" s="87"/>
      <x:c r="Y1502" s="87"/>
      <x:c r="Z1502" s="87"/>
      <x:c r="AA1502" s="87"/>
      <x:c r="AB1502" s="87"/>
      <x:c r="AC1502" s="87"/>
      <x:c r="AD1502" s="87"/>
      <x:c r="AE1502" s="87"/>
      <x:c r="AF1502" s="87"/>
      <x:c r="AG1502" s="87"/>
      <x:c r="AH1502" s="87"/>
      <x:c r="AI1502" s="30"/>
      <x:c r="AJ1502" s="87" t="str">
        <x:v>master</x:v>
      </x:c>
      <x:c r="AK1502" s="87" t="str">
        <x:v>master-v0.81</x:v>
      </x:c>
      <x:c r="AL1502" s="87" t="str">
        <x:v>statgrad_master_base_v0_81_final(2).xlsx</x:v>
      </x:c>
      <x:c r="AM1502" s="87" t="str">
        <x:v>MATH_Mar_Base_V5</x:v>
      </x:c>
      <x:c r="AN1502" s="87" t="n">
        <x:v>3</x:v>
      </x:c>
    </x:row>
    <x:row r="1503">
      <x:c r="A1503" s="87" t="n">
        <x:v>1502</x:v>
      </x:c>
      <x:c r="B1503" s="87" t="str">
        <x:v>MAR-MATH-B-V5-003</x:v>
      </x:c>
      <x:c r="C1503" s="87" t="str">
        <x:v>СтатГрад</x:v>
      </x:c>
      <x:c r="D1503" s="87" t="str">
        <x:v>Март 2026</x:v>
      </x:c>
      <x:c r="E1503" s="87"/>
      <x:c r="F1503" s="87"/>
      <x:c r="G1503" s="87" t="str">
        <x:v>Математика</x:v>
      </x:c>
      <x:c r="H1503" s="87" t="str">
        <x:v>Базовый</x:v>
      </x:c>
      <x:c r="I1503" s="87" t="str">
        <x:v>ТР №4</x:v>
      </x:c>
      <x:c r="J1503" s="87" t="str">
        <x:v>МА2510405</x:v>
      </x:c>
      <x:c r="K1503" s="87" t="n">
        <x:v>3</x:v>
      </x:c>
      <x:c r="L1503" s="87" t="str">
        <x:v>Чтение диаграммы</x:v>
      </x:c>
      <x:c r="M1503" s="30" t="str">
        <x:v>По диаграмме температур Симферополя за 1988 год найти наименьшую среднемесячную температуру во второй половине года.</x:v>
      </x:c>
      <x:c r="N1503" s="30" t="str">
        <x:v>2</x:v>
      </x:c>
      <x:c r="O1503" s="30" t="str">
        <x:v>С июля по декабрь минимальный столбец соответствует декабрю: 2 °C.</x:v>
      </x:c>
      <x:c r="P1503" s="30" t="str">
        <x:v>Проверено по изображению диаграммы.</x:v>
      </x:c>
      <x:c r="Q1503" s="30"/>
      <x:c r="R1503" s="30" t="str">
        <x:v>Полный PDF МА2510405 + независимое решение</x:v>
      </x:c>
      <x:c r="S1503" s="30"/>
      <x:c r="T1503" s="30"/>
      <x:c r="U1503" s="30" t="str">
        <x:v>Расхождений не обнаружено.</x:v>
      </x:c>
      <x:c r="V1503" s="87" t="str">
        <x:v>VERIFIED</x:v>
      </x:c>
      <x:c r="W1503" s="87" t="str">
        <x:v>PDF, внутренняя стр. 3</x:v>
      </x:c>
      <x:c r="X1503" s="87"/>
      <x:c r="Y1503" s="87"/>
      <x:c r="Z1503" s="87"/>
      <x:c r="AA1503" s="87"/>
      <x:c r="AB1503" s="87"/>
      <x:c r="AC1503" s="87"/>
      <x:c r="AD1503" s="87"/>
      <x:c r="AE1503" s="87"/>
      <x:c r="AF1503" s="87"/>
      <x:c r="AG1503" s="87"/>
      <x:c r="AH1503" s="87"/>
      <x:c r="AI1503" s="30"/>
      <x:c r="AJ1503" s="87" t="str">
        <x:v>master</x:v>
      </x:c>
      <x:c r="AK1503" s="87" t="str">
        <x:v>master-v0.81</x:v>
      </x:c>
      <x:c r="AL1503" s="87" t="str">
        <x:v>statgrad_master_base_v0_81_final(2).xlsx</x:v>
      </x:c>
      <x:c r="AM1503" s="87" t="str">
        <x:v>MATH_Mar_Base_V5</x:v>
      </x:c>
      <x:c r="AN1503" s="87" t="n">
        <x:v>4</x:v>
      </x:c>
    </x:row>
    <x:row r="1504">
      <x:c r="A1504" s="87" t="n">
        <x:v>1503</x:v>
      </x:c>
      <x:c r="B1504" s="87" t="str">
        <x:v>MAR-MATH-B-V5-004</x:v>
      </x:c>
      <x:c r="C1504" s="87" t="str">
        <x:v>СтатГрад</x:v>
      </x:c>
      <x:c r="D1504" s="87" t="str">
        <x:v>Март 2026</x:v>
      </x:c>
      <x:c r="E1504" s="87"/>
      <x:c r="F1504" s="87"/>
      <x:c r="G1504" s="87" t="str">
        <x:v>Математика</x:v>
      </x:c>
      <x:c r="H1504" s="87" t="str">
        <x:v>Базовый</x:v>
      </x:c>
      <x:c r="I1504" s="87" t="str">
        <x:v>ТР №4</x:v>
      </x:c>
      <x:c r="J1504" s="87" t="str">
        <x:v>МА2510405</x:v>
      </x:c>
      <x:c r="K1504" s="87" t="n">
        <x:v>4</x:v>
      </x:c>
      <x:c r="L1504" s="87" t="str">
        <x:v>Теорема синусов</x:v>
      </x:c>
      <x:c r="M1504" s="30" t="str">
        <x:v>По соотношению a/sinα=b/sinβ найти sinα, если a=4, b=2 и sinβ=2/5.</x:v>
      </x:c>
      <x:c r="N1504" s="30" t="str">
        <x:v>0,8</x:v>
      </x:c>
      <x:c r="O1504" s="30" t="str">
        <x:v>sinα=a·sinβ/b=4·(2/5)/2=4/5=0,8.</x:v>
      </x:c>
      <x:c r="P1504" s="30" t="str">
        <x:v>sinα=a·sinβ/b=4·(2/5)/2=4/5=0,8.</x:v>
      </x:c>
      <x:c r="Q1504" s="30"/>
      <x:c r="R1504" s="30" t="str">
        <x:v>Полный PDF МА2510405 + независимое решение</x:v>
      </x:c>
      <x:c r="S1504" s="30"/>
      <x:c r="T1504" s="30"/>
      <x:c r="U1504" s="30" t="str">
        <x:v>Расхождений не обнаружено.</x:v>
      </x:c>
      <x:c r="V1504" s="87" t="str">
        <x:v>VERIFIED</x:v>
      </x:c>
      <x:c r="W1504" s="87" t="str">
        <x:v>PDF, вариант МА2510405</x:v>
      </x:c>
      <x:c r="X1504" s="87"/>
      <x:c r="Y1504" s="87"/>
      <x:c r="Z1504" s="87"/>
      <x:c r="AA1504" s="87"/>
      <x:c r="AB1504" s="87"/>
      <x:c r="AC1504" s="87"/>
      <x:c r="AD1504" s="87"/>
      <x:c r="AE1504" s="87"/>
      <x:c r="AF1504" s="87"/>
      <x:c r="AG1504" s="87"/>
      <x:c r="AH1504" s="87"/>
      <x:c r="AI1504" s="30"/>
      <x:c r="AJ1504" s="87" t="str">
        <x:v>master</x:v>
      </x:c>
      <x:c r="AK1504" s="87" t="str">
        <x:v>master-v0.81</x:v>
      </x:c>
      <x:c r="AL1504" s="87" t="str">
        <x:v>statgrad_master_base_v0_81_final(2).xlsx</x:v>
      </x:c>
      <x:c r="AM1504" s="87" t="str">
        <x:v>MATH_Mar_Base_V5</x:v>
      </x:c>
      <x:c r="AN1504" s="87" t="n">
        <x:v>5</x:v>
      </x:c>
    </x:row>
    <x:row r="1505">
      <x:c r="A1505" s="87" t="n">
        <x:v>1504</x:v>
      </x:c>
      <x:c r="B1505" s="87" t="str">
        <x:v>MAR-MATH-B-V5-005</x:v>
      </x:c>
      <x:c r="C1505" s="87" t="str">
        <x:v>СтатГрад</x:v>
      </x:c>
      <x:c r="D1505" s="87" t="str">
        <x:v>Март 2026</x:v>
      </x:c>
      <x:c r="E1505" s="87"/>
      <x:c r="F1505" s="87"/>
      <x:c r="G1505" s="87" t="str">
        <x:v>Математика</x:v>
      </x:c>
      <x:c r="H1505" s="87" t="str">
        <x:v>Базовый</x:v>
      </x:c>
      <x:c r="I1505" s="87" t="str">
        <x:v>ТР №4</x:v>
      </x:c>
      <x:c r="J1505" s="87" t="str">
        <x:v>МА2510405</x:v>
      </x:c>
      <x:c r="K1505" s="87" t="n">
        <x:v>5</x:v>
      </x:c>
      <x:c r="L1505" s="87" t="str">
        <x:v>Классическая вероятность</x:v>
      </x:c>
      <x:c r="M1505" s="30" t="str">
        <x:v>Из 1200 компакт-дисков 72 непригодны для записи. Найти вероятность выбрать пригодный диск.</x:v>
      </x:c>
      <x:c r="N1505" s="30" t="str">
        <x:v>0,94</x:v>
      </x:c>
      <x:c r="O1505" s="30" t="str">
        <x:v>Пригодных дисков 1200−72=1128; вероятность 1128/1200=0,94.</x:v>
      </x:c>
      <x:c r="P1505" s="30" t="str">
        <x:v>Пригодных дисков 1200−72=1128; вероятность 1128/1200=0,94.</x:v>
      </x:c>
      <x:c r="Q1505" s="30"/>
      <x:c r="R1505" s="30" t="str">
        <x:v>Полный PDF МА2510405 + независимое решение</x:v>
      </x:c>
      <x:c r="S1505" s="30"/>
      <x:c r="T1505" s="30"/>
      <x:c r="U1505" s="30" t="str">
        <x:v>Расхождений не обнаружено.</x:v>
      </x:c>
      <x:c r="V1505" s="87" t="str">
        <x:v>VERIFIED</x:v>
      </x:c>
      <x:c r="W1505" s="87" t="str">
        <x:v>PDF, вариант МА2510405</x:v>
      </x:c>
      <x:c r="X1505" s="87"/>
      <x:c r="Y1505" s="87"/>
      <x:c r="Z1505" s="87"/>
      <x:c r="AA1505" s="87"/>
      <x:c r="AB1505" s="87"/>
      <x:c r="AC1505" s="87"/>
      <x:c r="AD1505" s="87"/>
      <x:c r="AE1505" s="87"/>
      <x:c r="AF1505" s="87"/>
      <x:c r="AG1505" s="87"/>
      <x:c r="AH1505" s="87"/>
      <x:c r="AI1505" s="30"/>
      <x:c r="AJ1505" s="87" t="str">
        <x:v>master</x:v>
      </x:c>
      <x:c r="AK1505" s="87" t="str">
        <x:v>master-v0.81</x:v>
      </x:c>
      <x:c r="AL1505" s="87" t="str">
        <x:v>statgrad_master_base_v0_81_final(2).xlsx</x:v>
      </x:c>
      <x:c r="AM1505" s="87" t="str">
        <x:v>MATH_Mar_Base_V5</x:v>
      </x:c>
      <x:c r="AN1505" s="87" t="n">
        <x:v>6</x:v>
      </x:c>
    </x:row>
    <x:row r="1506">
      <x:c r="A1506" s="87" t="n">
        <x:v>1505</x:v>
      </x:c>
      <x:c r="B1506" s="87" t="str">
        <x:v>MAR-MATH-B-V5-006</x:v>
      </x:c>
      <x:c r="C1506" s="87" t="str">
        <x:v>СтатГрад</x:v>
      </x:c>
      <x:c r="D1506" s="87" t="str">
        <x:v>Март 2026</x:v>
      </x:c>
      <x:c r="E1506" s="87"/>
      <x:c r="F1506" s="87"/>
      <x:c r="G1506" s="87" t="str">
        <x:v>Математика</x:v>
      </x:c>
      <x:c r="H1506" s="87" t="str">
        <x:v>Базовый</x:v>
      </x:c>
      <x:c r="I1506" s="87" t="str">
        <x:v>ТР №4</x:v>
      </x:c>
      <x:c r="J1506" s="87" t="str">
        <x:v>МА2510405</x:v>
      </x:c>
      <x:c r="K1506" s="87" t="n">
        <x:v>6</x:v>
      </x:c>
      <x:c r="L1506" s="87" t="str">
        <x:v>Оптимальный набор</x:v>
      </x:c>
      <x:c r="M1506" s="30" t="str">
        <x:v>Подобрать экскурсии, чтобы посетить крепость, загородный дворец, парк и музей живописи при стоимости не более 1500 руб.</x:v>
      </x:c>
      <x:c r="N1506" s="30" t="str">
        <x:v>15</x:v>
      </x:c>
      <x:c r="O1506" s="30" t="str">
        <x:v>Экскурсия 1 охватывает крепость и дворец, экскурсия 5 — парк и музей. Стоимость 800+550=1350 руб.</x:v>
      </x:c>
      <x:c r="P1506" s="30" t="str">
        <x:v>Проверены все объекты и ограничение по стоимости.</x:v>
      </x:c>
      <x:c r="Q1506" s="30"/>
      <x:c r="R1506" s="30" t="str">
        <x:v>Полный PDF МА2510405 + независимое решение</x:v>
      </x:c>
      <x:c r="S1506" s="30"/>
      <x:c r="T1506" s="30"/>
      <x:c r="U1506" s="30" t="str">
        <x:v>Допустима запись 51.</x:v>
      </x:c>
      <x:c r="V1506" s="87" t="str">
        <x:v>VERIFIED</x:v>
      </x:c>
      <x:c r="W1506" s="87" t="str">
        <x:v>PDF, внутренняя стр. 4</x:v>
      </x:c>
      <x:c r="X1506" s="87"/>
      <x:c r="Y1506" s="87"/>
      <x:c r="Z1506" s="87"/>
      <x:c r="AA1506" s="87"/>
      <x:c r="AB1506" s="87"/>
      <x:c r="AC1506" s="87"/>
      <x:c r="AD1506" s="87"/>
      <x:c r="AE1506" s="87"/>
      <x:c r="AF1506" s="87"/>
      <x:c r="AG1506" s="87"/>
      <x:c r="AH1506" s="87"/>
      <x:c r="AI1506" s="30"/>
      <x:c r="AJ1506" s="87" t="str">
        <x:v>master</x:v>
      </x:c>
      <x:c r="AK1506" s="87" t="str">
        <x:v>master-v0.81</x:v>
      </x:c>
      <x:c r="AL1506" s="87" t="str">
        <x:v>statgrad_master_base_v0_81_final(2).xlsx</x:v>
      </x:c>
      <x:c r="AM1506" s="87" t="str">
        <x:v>MATH_Mar_Base_V5</x:v>
      </x:c>
      <x:c r="AN1506" s="87" t="n">
        <x:v>7</x:v>
      </x:c>
    </x:row>
    <x:row r="1507">
      <x:c r="A1507" s="87" t="n">
        <x:v>1506</x:v>
      </x:c>
      <x:c r="B1507" s="87" t="str">
        <x:v>MAR-MATH-B-V5-007</x:v>
      </x:c>
      <x:c r="C1507" s="87" t="str">
        <x:v>СтатГрад</x:v>
      </x:c>
      <x:c r="D1507" s="87" t="str">
        <x:v>Март 2026</x:v>
      </x:c>
      <x:c r="E1507" s="87"/>
      <x:c r="F1507" s="87"/>
      <x:c r="G1507" s="87" t="str">
        <x:v>Математика</x:v>
      </x:c>
      <x:c r="H1507" s="87" t="str">
        <x:v>Базовый</x:v>
      </x:c>
      <x:c r="I1507" s="87" t="str">
        <x:v>ТР №4</x:v>
      </x:c>
      <x:c r="J1507" s="87" t="str">
        <x:v>МА2510405</x:v>
      </x:c>
      <x:c r="K1507" s="87" t="n">
        <x:v>7</x:v>
      </x:c>
      <x:c r="L1507" s="87" t="str">
        <x:v>Свойства функций</x:v>
      </x:c>
      <x:c r="M1507" s="30" t="str">
        <x:v>Сопоставить функции y=2x−9, y=x²−3x+5, y=−4x²+x−1 и y=−2x+2 с характеристиками на [0;6].</x:v>
      </x:c>
      <x:c r="N1507" s="30" t="str">
        <x:v>4132</x:v>
      </x:c>
      <x:c r="O1507" s="30" t="str">
        <x:v>Первая функция возрастает (4); вторая всюду положительна (1); третья всюду отрицательна (3); четвёртая убывает (2).</x:v>
      </x:c>
      <x:c r="P1507" s="30" t="str">
        <x:v>Первая функция возрастает (4); вторая всюду положительна (1); третья всюду отрицательна (3); четвёртая убывает (2).</x:v>
      </x:c>
      <x:c r="Q1507" s="30"/>
      <x:c r="R1507" s="30" t="str">
        <x:v>Полный PDF МА2510405 + независимое решение</x:v>
      </x:c>
      <x:c r="S1507" s="30"/>
      <x:c r="T1507" s="30"/>
      <x:c r="U1507" s="30" t="str">
        <x:v>Расхождений не обнаружено.</x:v>
      </x:c>
      <x:c r="V1507" s="87" t="str">
        <x:v>VERIFIED</x:v>
      </x:c>
      <x:c r="W1507" s="87" t="str">
        <x:v>PDF, вариант МА2510405</x:v>
      </x:c>
      <x:c r="X1507" s="87"/>
      <x:c r="Y1507" s="87"/>
      <x:c r="Z1507" s="87"/>
      <x:c r="AA1507" s="87"/>
      <x:c r="AB1507" s="87"/>
      <x:c r="AC1507" s="87"/>
      <x:c r="AD1507" s="87"/>
      <x:c r="AE1507" s="87"/>
      <x:c r="AF1507" s="87"/>
      <x:c r="AG1507" s="87"/>
      <x:c r="AH1507" s="87"/>
      <x:c r="AI1507" s="30"/>
      <x:c r="AJ1507" s="87" t="str">
        <x:v>master</x:v>
      </x:c>
      <x:c r="AK1507" s="87" t="str">
        <x:v>master-v0.81</x:v>
      </x:c>
      <x:c r="AL1507" s="87" t="str">
        <x:v>statgrad_master_base_v0_81_final(2).xlsx</x:v>
      </x:c>
      <x:c r="AM1507" s="87" t="str">
        <x:v>MATH_Mar_Base_V5</x:v>
      </x:c>
      <x:c r="AN1507" s="87" t="n">
        <x:v>8</x:v>
      </x:c>
    </x:row>
    <x:row r="1508">
      <x:c r="A1508" s="87" t="n">
        <x:v>1507</x:v>
      </x:c>
      <x:c r="B1508" s="87" t="str">
        <x:v>MAR-MATH-B-V5-008</x:v>
      </x:c>
      <x:c r="C1508" s="87" t="str">
        <x:v>СтатГрад</x:v>
      </x:c>
      <x:c r="D1508" s="87" t="str">
        <x:v>Март 2026</x:v>
      </x:c>
      <x:c r="E1508" s="87"/>
      <x:c r="F1508" s="87"/>
      <x:c r="G1508" s="87" t="str">
        <x:v>Математика</x:v>
      </x:c>
      <x:c r="H1508" s="87" t="str">
        <x:v>Базовый</x:v>
      </x:c>
      <x:c r="I1508" s="87" t="str">
        <x:v>ТР №4</x:v>
      </x:c>
      <x:c r="J1508" s="87" t="str">
        <x:v>МА2510405</x:v>
      </x:c>
      <x:c r="K1508" s="87" t="n">
        <x:v>8</x:v>
      </x:c>
      <x:c r="L1508" s="87" t="str">
        <x:v>Логические утверждения</x:v>
      </x:c>
      <x:c r="M1508" s="30" t="str">
        <x:v>В компании из 30 человек 25 пользуются «Одноклассниками», 10 — «ВКонтакте». Выбрать гарантированно верные утверждения.</x:v>
      </x:c>
      <x:c r="N1508" s="30" t="str">
        <x:v>24</x:v>
      </x:c>
      <x:c r="O1508" s="30" t="str">
        <x:v>Пересечение двух множеств не меньше 25+10−30=5 и не больше 10. Поэтому верны утверждения 2 и 4.</x:v>
      </x:c>
      <x:c r="P1508" s="30" t="str">
        <x:v>Границы пересечения проверены формулой включений-исключений.</x:v>
      </x:c>
      <x:c r="Q1508" s="30"/>
      <x:c r="R1508" s="30" t="str">
        <x:v>Полный PDF МА2510405 + независимое решение</x:v>
      </x:c>
      <x:c r="S1508" s="30"/>
      <x:c r="T1508" s="30"/>
      <x:c r="U1508" s="30" t="str">
        <x:v>Допустима запись 42.</x:v>
      </x:c>
      <x:c r="V1508" s="87" t="str">
        <x:v>VERIFIED</x:v>
      </x:c>
      <x:c r="W1508" s="87" t="str">
        <x:v>PDF, вариант МА2510405</x:v>
      </x:c>
      <x:c r="X1508" s="87"/>
      <x:c r="Y1508" s="87"/>
      <x:c r="Z1508" s="87"/>
      <x:c r="AA1508" s="87"/>
      <x:c r="AB1508" s="87"/>
      <x:c r="AC1508" s="87"/>
      <x:c r="AD1508" s="87"/>
      <x:c r="AE1508" s="87"/>
      <x:c r="AF1508" s="87"/>
      <x:c r="AG1508" s="87"/>
      <x:c r="AH1508" s="87"/>
      <x:c r="AI1508" s="30"/>
      <x:c r="AJ1508" s="87" t="str">
        <x:v>master</x:v>
      </x:c>
      <x:c r="AK1508" s="87" t="str">
        <x:v>master-v0.81</x:v>
      </x:c>
      <x:c r="AL1508" s="87" t="str">
        <x:v>statgrad_master_base_v0_81_final(2).xlsx</x:v>
      </x:c>
      <x:c r="AM1508" s="87" t="str">
        <x:v>MATH_Mar_Base_V5</x:v>
      </x:c>
      <x:c r="AN1508" s="87" t="n">
        <x:v>9</x:v>
      </x:c>
    </x:row>
    <x:row r="1509">
      <x:c r="A1509" s="87" t="n">
        <x:v>1508</x:v>
      </x:c>
      <x:c r="B1509" s="87" t="str">
        <x:v>MAR-MATH-B-V5-009</x:v>
      </x:c>
      <x:c r="C1509" s="87" t="str">
        <x:v>СтатГрад</x:v>
      </x:c>
      <x:c r="D1509" s="87" t="str">
        <x:v>Март 2026</x:v>
      </x:c>
      <x:c r="E1509" s="87"/>
      <x:c r="F1509" s="87"/>
      <x:c r="G1509" s="87" t="str">
        <x:v>Математика</x:v>
      </x:c>
      <x:c r="H1509" s="87" t="str">
        <x:v>Базовый</x:v>
      </x:c>
      <x:c r="I1509" s="87" t="str">
        <x:v>ТР №4</x:v>
      </x:c>
      <x:c r="J1509" s="87" t="str">
        <x:v>МА2510405</x:v>
      </x:c>
      <x:c r="K1509" s="87" t="n">
        <x:v>9</x:v>
      </x:c>
      <x:c r="L1509" s="87" t="str">
        <x:v>Площадь на клетчатой решётке</x:v>
      </x:c>
      <x:c r="M1509" s="30" t="str">
        <x:v>Найти площадь ромба на сетке 1×1 м.</x:v>
      </x:c>
      <x:c r="N1509" s="30" t="str">
        <x:v>24</x:v>
      </x:c>
      <x:c r="O1509" s="30" t="str">
        <x:v>Диагонали ромба равны 6 и 8 клеткам. Площадь S=d₁d₂/2=6·8/2=24 м².</x:v>
      </x:c>
      <x:c r="P1509" s="30" t="str">
        <x:v>Координаты вершин и длины диагоналей проверены по рисунку.</x:v>
      </x:c>
      <x:c r="Q1509" s="30"/>
      <x:c r="R1509" s="30" t="str">
        <x:v>Полный PDF МА2510405 + независимое решение</x:v>
      </x:c>
      <x:c r="S1509" s="30"/>
      <x:c r="T1509" s="30"/>
      <x:c r="U1509" s="30" t="str">
        <x:v>Расхождений не обнаружено.</x:v>
      </x:c>
      <x:c r="V1509" s="87" t="str">
        <x:v>VERIFIED</x:v>
      </x:c>
      <x:c r="W1509" s="87" t="str">
        <x:v>PDF, внутренняя стр. 5</x:v>
      </x:c>
      <x:c r="X1509" s="87"/>
      <x:c r="Y1509" s="87"/>
      <x:c r="Z1509" s="87"/>
      <x:c r="AA1509" s="87"/>
      <x:c r="AB1509" s="87"/>
      <x:c r="AC1509" s="87"/>
      <x:c r="AD1509" s="87"/>
      <x:c r="AE1509" s="87"/>
      <x:c r="AF1509" s="87"/>
      <x:c r="AG1509" s="87"/>
      <x:c r="AH1509" s="87"/>
      <x:c r="AI1509" s="30"/>
      <x:c r="AJ1509" s="87" t="str">
        <x:v>master</x:v>
      </x:c>
      <x:c r="AK1509" s="87" t="str">
        <x:v>master-v0.81</x:v>
      </x:c>
      <x:c r="AL1509" s="87" t="str">
        <x:v>statgrad_master_base_v0_81_final(2).xlsx</x:v>
      </x:c>
      <x:c r="AM1509" s="87" t="str">
        <x:v>MATH_Mar_Base_V5</x:v>
      </x:c>
      <x:c r="AN1509" s="87" t="n">
        <x:v>10</x:v>
      </x:c>
    </x:row>
    <x:row r="1510">
      <x:c r="A1510" s="87" t="n">
        <x:v>1509</x:v>
      </x:c>
      <x:c r="B1510" s="87" t="str">
        <x:v>MAR-MATH-B-V5-010</x:v>
      </x:c>
      <x:c r="C1510" s="87" t="str">
        <x:v>СтатГрад</x:v>
      </x:c>
      <x:c r="D1510" s="87" t="str">
        <x:v>Март 2026</x:v>
      </x:c>
      <x:c r="E1510" s="87"/>
      <x:c r="F1510" s="87"/>
      <x:c r="G1510" s="87" t="str">
        <x:v>Математика</x:v>
      </x:c>
      <x:c r="H1510" s="87" t="str">
        <x:v>Базовый</x:v>
      </x:c>
      <x:c r="I1510" s="87" t="str">
        <x:v>ТР №4</x:v>
      </x:c>
      <x:c r="J1510" s="87" t="str">
        <x:v>МА2510405</x:v>
      </x:c>
      <x:c r="K1510" s="87" t="n">
        <x:v>10</x:v>
      </x:c>
      <x:c r="L1510" s="87" t="str">
        <x:v>Подобие треугольников</x:v>
      </x:c>
      <x:c r="M1510" s="30" t="str">
        <x:v>Человек стоит в 7,6 м от столба высотой 6 м; длина его тени 3,8 м. Найти рост человека.</x:v>
      </x:c>
      <x:c r="N1510" s="30" t="str">
        <x:v>2</x:v>
      </x:c>
      <x:c r="O1510" s="30" t="str">
        <x:v>Большой треугольник имеет основание 7,6+3,8=11,4 м. По подобию h/3,8=6/11,4, откуда h=2 м.</x:v>
      </x:c>
      <x:c r="P1510" s="30" t="str">
        <x:v>Большой треугольник имеет основание 7,6+3,8=11,4 м. По подобию h/3,8=6/11,4, откуда h=2 м.</x:v>
      </x:c>
      <x:c r="Q1510" s="30"/>
      <x:c r="R1510" s="30" t="str">
        <x:v>Полный PDF МА2510405 + независимое решение</x:v>
      </x:c>
      <x:c r="S1510" s="30"/>
      <x:c r="T1510" s="30"/>
      <x:c r="U1510" s="30" t="str">
        <x:v>Расхождений не обнаружено.</x:v>
      </x:c>
      <x:c r="V1510" s="87" t="str">
        <x:v>VERIFIED</x:v>
      </x:c>
      <x:c r="W1510" s="87" t="str">
        <x:v>PDF, вариант МА2510405</x:v>
      </x:c>
      <x:c r="X1510" s="87"/>
      <x:c r="Y1510" s="87"/>
      <x:c r="Z1510" s="87"/>
      <x:c r="AA1510" s="87"/>
      <x:c r="AB1510" s="87"/>
      <x:c r="AC1510" s="87"/>
      <x:c r="AD1510" s="87"/>
      <x:c r="AE1510" s="87"/>
      <x:c r="AF1510" s="87"/>
      <x:c r="AG1510" s="87"/>
      <x:c r="AH1510" s="87"/>
      <x:c r="AI1510" s="30"/>
      <x:c r="AJ1510" s="87" t="str">
        <x:v>master</x:v>
      </x:c>
      <x:c r="AK1510" s="87" t="str">
        <x:v>master-v0.81</x:v>
      </x:c>
      <x:c r="AL1510" s="87" t="str">
        <x:v>statgrad_master_base_v0_81_final(2).xlsx</x:v>
      </x:c>
      <x:c r="AM1510" s="87" t="str">
        <x:v>MATH_Mar_Base_V5</x:v>
      </x:c>
      <x:c r="AN1510" s="87" t="n">
        <x:v>11</x:v>
      </x:c>
    </x:row>
    <x:row r="1511">
      <x:c r="A1511" s="87" t="n">
        <x:v>1510</x:v>
      </x:c>
      <x:c r="B1511" s="87" t="str">
        <x:v>MAR-MATH-B-V5-011</x:v>
      </x:c>
      <x:c r="C1511" s="87" t="str">
        <x:v>СтатГрад</x:v>
      </x:c>
      <x:c r="D1511" s="87" t="str">
        <x:v>Март 2026</x:v>
      </x:c>
      <x:c r="E1511" s="87"/>
      <x:c r="F1511" s="87"/>
      <x:c r="G1511" s="87" t="str">
        <x:v>Математика</x:v>
      </x:c>
      <x:c r="H1511" s="87" t="str">
        <x:v>Базовый</x:v>
      </x:c>
      <x:c r="I1511" s="87" t="str">
        <x:v>ТР №4</x:v>
      </x:c>
      <x:c r="J1511" s="87" t="str">
        <x:v>МА2510405</x:v>
      </x:c>
      <x:c r="K1511" s="87" t="n">
        <x:v>11</x:v>
      </x:c>
      <x:c r="L1511" s="87" t="str">
        <x:v>Объём цилиндра</x:v>
      </x:c>
      <x:c r="M1511" s="30" t="str">
        <x:v>Высота цилиндрического бака 50 см, площадь основания 160 см². Найти объём в литрах.</x:v>
      </x:c>
      <x:c r="N1511" s="30" t="str">
        <x:v>8</x:v>
      </x:c>
      <x:c r="O1511" s="30" t="str">
        <x:v>V=160·50=8000 см³=8 л.</x:v>
      </x:c>
      <x:c r="P1511" s="30" t="str">
        <x:v>V=160·50=8000 см³=8 л.</x:v>
      </x:c>
      <x:c r="Q1511" s="30"/>
      <x:c r="R1511" s="30" t="str">
        <x:v>Полный PDF МА2510405 + независимое решение</x:v>
      </x:c>
      <x:c r="S1511" s="30"/>
      <x:c r="T1511" s="30"/>
      <x:c r="U1511" s="30" t="str">
        <x:v>Расхождений не обнаружено.</x:v>
      </x:c>
      <x:c r="V1511" s="87" t="str">
        <x:v>VERIFIED</x:v>
      </x:c>
      <x:c r="W1511" s="87" t="str">
        <x:v>PDF, вариант МА2510405</x:v>
      </x:c>
      <x:c r="X1511" s="87"/>
      <x:c r="Y1511" s="87"/>
      <x:c r="Z1511" s="87"/>
      <x:c r="AA1511" s="87"/>
      <x:c r="AB1511" s="87"/>
      <x:c r="AC1511" s="87"/>
      <x:c r="AD1511" s="87"/>
      <x:c r="AE1511" s="87"/>
      <x:c r="AF1511" s="87"/>
      <x:c r="AG1511" s="87"/>
      <x:c r="AH1511" s="87"/>
      <x:c r="AI1511" s="30"/>
      <x:c r="AJ1511" s="87" t="str">
        <x:v>master</x:v>
      </x:c>
      <x:c r="AK1511" s="87" t="str">
        <x:v>master-v0.81</x:v>
      </x:c>
      <x:c r="AL1511" s="87" t="str">
        <x:v>statgrad_master_base_v0_81_final(2).xlsx</x:v>
      </x:c>
      <x:c r="AM1511" s="87" t="str">
        <x:v>MATH_Mar_Base_V5</x:v>
      </x:c>
      <x:c r="AN1511" s="87" t="n">
        <x:v>12</x:v>
      </x:c>
    </x:row>
    <x:row r="1512">
      <x:c r="A1512" s="87" t="n">
        <x:v>1511</x:v>
      </x:c>
      <x:c r="B1512" s="87" t="str">
        <x:v>MAR-MATH-B-V5-012</x:v>
      </x:c>
      <x:c r="C1512" s="87" t="str">
        <x:v>СтатГрад</x:v>
      </x:c>
      <x:c r="D1512" s="87" t="str">
        <x:v>Март 2026</x:v>
      </x:c>
      <x:c r="E1512" s="87"/>
      <x:c r="F1512" s="87"/>
      <x:c r="G1512" s="87" t="str">
        <x:v>Математика</x:v>
      </x:c>
      <x:c r="H1512" s="87" t="str">
        <x:v>Базовый</x:v>
      </x:c>
      <x:c r="I1512" s="87" t="str">
        <x:v>ТР №4</x:v>
      </x:c>
      <x:c r="J1512" s="87" t="str">
        <x:v>МА2510405</x:v>
      </x:c>
      <x:c r="K1512" s="87" t="n">
        <x:v>12</x:v>
      </x:c>
      <x:c r="L1512" s="87" t="str">
        <x:v>Прямоугольная трапеция</x:v>
      </x:c>
      <x:c r="M1512" s="30" t="str">
        <x:v>В прямоугольной трапеции AB=12, BC=CD=13. Найти среднюю линию.</x:v>
      </x:c>
      <x:c r="N1512" s="30" t="str">
        <x:v>15,5</x:v>
      </x:c>
      <x:c r="O1512" s="30" t="str">
        <x:v>Горизонтальная проекция CD равна √(13²−12²)=5, поэтому AD=13+5=18. Средняя линия (13+18)/2=15,5.</x:v>
      </x:c>
      <x:c r="P1512" s="30" t="str">
        <x:v>Горизонтальная проекция CD равна √(13²−12²)=5, поэтому AD=13+5=18. Средняя линия (13+18)/2=15,5.</x:v>
      </x:c>
      <x:c r="Q1512" s="30"/>
      <x:c r="R1512" s="30" t="str">
        <x:v>Полный PDF МА2510405 + независимое решение</x:v>
      </x:c>
      <x:c r="S1512" s="30"/>
      <x:c r="T1512" s="30"/>
      <x:c r="U1512" s="30" t="str">
        <x:v>Расхождений не обнаружено.</x:v>
      </x:c>
      <x:c r="V1512" s="87" t="str">
        <x:v>VERIFIED</x:v>
      </x:c>
      <x:c r="W1512" s="87" t="str">
        <x:v>PDF, вариант МА2510405</x:v>
      </x:c>
      <x:c r="X1512" s="87"/>
      <x:c r="Y1512" s="87"/>
      <x:c r="Z1512" s="87"/>
      <x:c r="AA1512" s="87"/>
      <x:c r="AB1512" s="87"/>
      <x:c r="AC1512" s="87"/>
      <x:c r="AD1512" s="87"/>
      <x:c r="AE1512" s="87"/>
      <x:c r="AF1512" s="87"/>
      <x:c r="AG1512" s="87"/>
      <x:c r="AH1512" s="87"/>
      <x:c r="AI1512" s="30"/>
      <x:c r="AJ1512" s="87" t="str">
        <x:v>master</x:v>
      </x:c>
      <x:c r="AK1512" s="87" t="str">
        <x:v>master-v0.81</x:v>
      </x:c>
      <x:c r="AL1512" s="87" t="str">
        <x:v>statgrad_master_base_v0_81_final(2).xlsx</x:v>
      </x:c>
      <x:c r="AM1512" s="87" t="str">
        <x:v>MATH_Mar_Base_V5</x:v>
      </x:c>
      <x:c r="AN1512" s="87" t="n">
        <x:v>13</x:v>
      </x:c>
    </x:row>
    <x:row r="1513">
      <x:c r="A1513" s="87" t="n">
        <x:v>1512</x:v>
      </x:c>
      <x:c r="B1513" s="87" t="str">
        <x:v>MAR-MATH-B-V5-013</x:v>
      </x:c>
      <x:c r="C1513" s="87" t="str">
        <x:v>СтатГрад</x:v>
      </x:c>
      <x:c r="D1513" s="87" t="str">
        <x:v>Март 2026</x:v>
      </x:c>
      <x:c r="E1513" s="87"/>
      <x:c r="F1513" s="87"/>
      <x:c r="G1513" s="87" t="str">
        <x:v>Математика</x:v>
      </x:c>
      <x:c r="H1513" s="87" t="str">
        <x:v>Базовый</x:v>
      </x:c>
      <x:c r="I1513" s="87" t="str">
        <x:v>ТР №4</x:v>
      </x:c>
      <x:c r="J1513" s="87" t="str">
        <x:v>МА2510405</x:v>
      </x:c>
      <x:c r="K1513" s="87" t="n">
        <x:v>13</x:v>
      </x:c>
      <x:c r="L1513" s="87" t="str">
        <x:v>Площадь поверхности шара</x:v>
      </x:c>
      <x:c r="M1513" s="30" t="str">
        <x:v>Радиусы шаров равны 9 и 1. Во сколько раз площадь поверхности большего шара больше?</x:v>
      </x:c>
      <x:c r="N1513" s="30" t="str">
        <x:v>81</x:v>
      </x:c>
      <x:c r="O1513" s="30" t="str">
        <x:v>Площадь поверхности пропорциональна r²: 9²/1²=81.</x:v>
      </x:c>
      <x:c r="P1513" s="30" t="str">
        <x:v>Площадь поверхности пропорциональна r²: 9²/1²=81.</x:v>
      </x:c>
      <x:c r="Q1513" s="30"/>
      <x:c r="R1513" s="30" t="str">
        <x:v>Полный PDF МА2510405 + независимое решение</x:v>
      </x:c>
      <x:c r="S1513" s="30"/>
      <x:c r="T1513" s="30"/>
      <x:c r="U1513" s="30" t="str">
        <x:v>Расхождений не обнаружено.</x:v>
      </x:c>
      <x:c r="V1513" s="87" t="str">
        <x:v>VERIFIED</x:v>
      </x:c>
      <x:c r="W1513" s="87" t="str">
        <x:v>PDF, вариант МА2510405</x:v>
      </x:c>
      <x:c r="X1513" s="87"/>
      <x:c r="Y1513" s="87"/>
      <x:c r="Z1513" s="87"/>
      <x:c r="AA1513" s="87"/>
      <x:c r="AB1513" s="87"/>
      <x:c r="AC1513" s="87"/>
      <x:c r="AD1513" s="87"/>
      <x:c r="AE1513" s="87"/>
      <x:c r="AF1513" s="87"/>
      <x:c r="AG1513" s="87"/>
      <x:c r="AH1513" s="87"/>
      <x:c r="AI1513" s="30"/>
      <x:c r="AJ1513" s="87" t="str">
        <x:v>master</x:v>
      </x:c>
      <x:c r="AK1513" s="87" t="str">
        <x:v>master-v0.81</x:v>
      </x:c>
      <x:c r="AL1513" s="87" t="str">
        <x:v>statgrad_master_base_v0_81_final(2).xlsx</x:v>
      </x:c>
      <x:c r="AM1513" s="87" t="str">
        <x:v>MATH_Mar_Base_V5</x:v>
      </x:c>
      <x:c r="AN1513" s="87" t="n">
        <x:v>14</x:v>
      </x:c>
    </x:row>
    <x:row r="1514">
      <x:c r="A1514" s="87" t="n">
        <x:v>1513</x:v>
      </x:c>
      <x:c r="B1514" s="87" t="str">
        <x:v>MAR-MATH-B-V5-014</x:v>
      </x:c>
      <x:c r="C1514" s="87" t="str">
        <x:v>СтатГрад</x:v>
      </x:c>
      <x:c r="D1514" s="87" t="str">
        <x:v>Март 2026</x:v>
      </x:c>
      <x:c r="E1514" s="87"/>
      <x:c r="F1514" s="87"/>
      <x:c r="G1514" s="87" t="str">
        <x:v>Математика</x:v>
      </x:c>
      <x:c r="H1514" s="87" t="str">
        <x:v>Базовый</x:v>
      </x:c>
      <x:c r="I1514" s="87" t="str">
        <x:v>ТР №4</x:v>
      </x:c>
      <x:c r="J1514" s="87" t="str">
        <x:v>МА2510405</x:v>
      </x:c>
      <x:c r="K1514" s="87" t="n">
        <x:v>14</x:v>
      </x:c>
      <x:c r="L1514" s="87" t="str">
        <x:v>Обыкновенные дроби</x:v>
      </x:c>
      <x:c r="M1514" s="30" t="str">
        <x:v>Вычислить (2 1/6 − 1,7)·2 1/7.</x:v>
      </x:c>
      <x:c r="N1514" s="30" t="str">
        <x:v>1</x:v>
      </x:c>
      <x:c r="O1514" s="30" t="str">
        <x:v>13/6−17/10=7/15, а 2 1/7=15/7; произведение равно 1.</x:v>
      </x:c>
      <x:c r="P1514" s="30" t="str">
        <x:v>13/6−17/10=7/15, а 2 1/7=15/7; произведение равно 1.</x:v>
      </x:c>
      <x:c r="Q1514" s="30"/>
      <x:c r="R1514" s="30" t="str">
        <x:v>Полный PDF МА2510405 + независимое решение</x:v>
      </x:c>
      <x:c r="S1514" s="30"/>
      <x:c r="T1514" s="30"/>
      <x:c r="U1514" s="30" t="str">
        <x:v>Расхождений не обнаружено.</x:v>
      </x:c>
      <x:c r="V1514" s="87" t="str">
        <x:v>VERIFIED</x:v>
      </x:c>
      <x:c r="W1514" s="87" t="str">
        <x:v>PDF, вариант МА2510405</x:v>
      </x:c>
      <x:c r="X1514" s="87"/>
      <x:c r="Y1514" s="87"/>
      <x:c r="Z1514" s="87"/>
      <x:c r="AA1514" s="87"/>
      <x:c r="AB1514" s="87"/>
      <x:c r="AC1514" s="87"/>
      <x:c r="AD1514" s="87"/>
      <x:c r="AE1514" s="87"/>
      <x:c r="AF1514" s="87"/>
      <x:c r="AG1514" s="87"/>
      <x:c r="AH1514" s="87"/>
      <x:c r="AI1514" s="30"/>
      <x:c r="AJ1514" s="87" t="str">
        <x:v>master</x:v>
      </x:c>
      <x:c r="AK1514" s="87" t="str">
        <x:v>master-v0.81</x:v>
      </x:c>
      <x:c r="AL1514" s="87" t="str">
        <x:v>statgrad_master_base_v0_81_final(2).xlsx</x:v>
      </x:c>
      <x:c r="AM1514" s="87" t="str">
        <x:v>MATH_Mar_Base_V5</x:v>
      </x:c>
      <x:c r="AN1514" s="87" t="n">
        <x:v>15</x:v>
      </x:c>
    </x:row>
    <x:row r="1515">
      <x:c r="A1515" s="87" t="n">
        <x:v>1514</x:v>
      </x:c>
      <x:c r="B1515" s="87" t="str">
        <x:v>MAR-MATH-B-V5-015</x:v>
      </x:c>
      <x:c r="C1515" s="87" t="str">
        <x:v>СтатГрад</x:v>
      </x:c>
      <x:c r="D1515" s="87" t="str">
        <x:v>Март 2026</x:v>
      </x:c>
      <x:c r="E1515" s="87"/>
      <x:c r="F1515" s="87"/>
      <x:c r="G1515" s="87" t="str">
        <x:v>Математика</x:v>
      </x:c>
      <x:c r="H1515" s="87" t="str">
        <x:v>Базовый</x:v>
      </x:c>
      <x:c r="I1515" s="87" t="str">
        <x:v>ТР №4</x:v>
      </x:c>
      <x:c r="J1515" s="87" t="str">
        <x:v>МА2510405</x:v>
      </x:c>
      <x:c r="K1515" s="87" t="n">
        <x:v>15</x:v>
      </x:c>
      <x:c r="L1515" s="87" t="str">
        <x:v>Проценты</x:v>
      </x:c>
      <x:c r="M1515" s="30" t="str">
        <x:v>Число больных гриппом уменьшилось в два раза. На сколько процентов оно уменьшилось?</x:v>
      </x:c>
      <x:c r="N1515" s="30" t="str">
        <x:v>50</x:v>
      </x:c>
      <x:c r="O1515" s="30" t="str">
        <x:v>После уменьшения осталось 50% исходного количества, значит снижение составило 50%.</x:v>
      </x:c>
      <x:c r="P1515" s="30" t="str">
        <x:v>После уменьшения осталось 50% исходного количества, значит снижение составило 50%.</x:v>
      </x:c>
      <x:c r="Q1515" s="30"/>
      <x:c r="R1515" s="30" t="str">
        <x:v>Полный PDF МА2510405 + независимое решение</x:v>
      </x:c>
      <x:c r="S1515" s="30"/>
      <x:c r="T1515" s="30"/>
      <x:c r="U1515" s="30" t="str">
        <x:v>Расхождений не обнаружено.</x:v>
      </x:c>
      <x:c r="V1515" s="87" t="str">
        <x:v>VERIFIED</x:v>
      </x:c>
      <x:c r="W1515" s="87" t="str">
        <x:v>PDF, вариант МА2510405</x:v>
      </x:c>
      <x:c r="X1515" s="87"/>
      <x:c r="Y1515" s="87"/>
      <x:c r="Z1515" s="87"/>
      <x:c r="AA1515" s="87"/>
      <x:c r="AB1515" s="87"/>
      <x:c r="AC1515" s="87"/>
      <x:c r="AD1515" s="87"/>
      <x:c r="AE1515" s="87"/>
      <x:c r="AF1515" s="87"/>
      <x:c r="AG1515" s="87"/>
      <x:c r="AH1515" s="87"/>
      <x:c r="AI1515" s="30"/>
      <x:c r="AJ1515" s="87" t="str">
        <x:v>master</x:v>
      </x:c>
      <x:c r="AK1515" s="87" t="str">
        <x:v>master-v0.81</x:v>
      </x:c>
      <x:c r="AL1515" s="87" t="str">
        <x:v>statgrad_master_base_v0_81_final(2).xlsx</x:v>
      </x:c>
      <x:c r="AM1515" s="87" t="str">
        <x:v>MATH_Mar_Base_V5</x:v>
      </x:c>
      <x:c r="AN1515" s="87" t="n">
        <x:v>16</x:v>
      </x:c>
    </x:row>
    <x:row r="1516">
      <x:c r="A1516" s="87" t="n">
        <x:v>1515</x:v>
      </x:c>
      <x:c r="B1516" s="87" t="str">
        <x:v>MAR-MATH-B-V5-016</x:v>
      </x:c>
      <x:c r="C1516" s="87" t="str">
        <x:v>СтатГрад</x:v>
      </x:c>
      <x:c r="D1516" s="87" t="str">
        <x:v>Март 2026</x:v>
      </x:c>
      <x:c r="E1516" s="87"/>
      <x:c r="F1516" s="87"/>
      <x:c r="G1516" s="87" t="str">
        <x:v>Математика</x:v>
      </x:c>
      <x:c r="H1516" s="87" t="str">
        <x:v>Базовый</x:v>
      </x:c>
      <x:c r="I1516" s="87" t="str">
        <x:v>ТР №4</x:v>
      </x:c>
      <x:c r="J1516" s="87" t="str">
        <x:v>МА2510405</x:v>
      </x:c>
      <x:c r="K1516" s="87" t="n">
        <x:v>16</x:v>
      </x:c>
      <x:c r="L1516" s="87" t="str">
        <x:v>Логарифмическое выражение</x:v>
      </x:c>
      <x:c r="M1516" s="30" t="str">
        <x:v>Вычислить 6^(3log₆2).</x:v>
      </x:c>
      <x:c r="N1516" s="30" t="str">
        <x:v>8</x:v>
      </x:c>
      <x:c r="O1516" s="30" t="str">
        <x:v>6^(3log₆2)=(6^(log₆2))³=2³=8.</x:v>
      </x:c>
      <x:c r="P1516" s="30" t="str">
        <x:v>6^(3log₆2)=(6^(log₆2))³=2³=8.</x:v>
      </x:c>
      <x:c r="Q1516" s="30"/>
      <x:c r="R1516" s="30" t="str">
        <x:v>Полный PDF МА2510405 + независимое решение</x:v>
      </x:c>
      <x:c r="S1516" s="30"/>
      <x:c r="T1516" s="30"/>
      <x:c r="U1516" s="30" t="str">
        <x:v>Расхождений не обнаружено.</x:v>
      </x:c>
      <x:c r="V1516" s="87" t="str">
        <x:v>VERIFIED</x:v>
      </x:c>
      <x:c r="W1516" s="87" t="str">
        <x:v>PDF, вариант МА2510405</x:v>
      </x:c>
      <x:c r="X1516" s="87"/>
      <x:c r="Y1516" s="87"/>
      <x:c r="Z1516" s="87"/>
      <x:c r="AA1516" s="87"/>
      <x:c r="AB1516" s="87"/>
      <x:c r="AC1516" s="87"/>
      <x:c r="AD1516" s="87"/>
      <x:c r="AE1516" s="87"/>
      <x:c r="AF1516" s="87"/>
      <x:c r="AG1516" s="87"/>
      <x:c r="AH1516" s="87"/>
      <x:c r="AI1516" s="30"/>
      <x:c r="AJ1516" s="87" t="str">
        <x:v>master</x:v>
      </x:c>
      <x:c r="AK1516" s="87" t="str">
        <x:v>master-v0.81</x:v>
      </x:c>
      <x:c r="AL1516" s="87" t="str">
        <x:v>statgrad_master_base_v0_81_final(2).xlsx</x:v>
      </x:c>
      <x:c r="AM1516" s="87" t="str">
        <x:v>MATH_Mar_Base_V5</x:v>
      </x:c>
      <x:c r="AN1516" s="87" t="n">
        <x:v>17</x:v>
      </x:c>
    </x:row>
    <x:row r="1517">
      <x:c r="A1517" s="87" t="n">
        <x:v>1516</x:v>
      </x:c>
      <x:c r="B1517" s="87" t="str">
        <x:v>MAR-MATH-B-V5-017</x:v>
      </x:c>
      <x:c r="C1517" s="87" t="str">
        <x:v>СтатГрад</x:v>
      </x:c>
      <x:c r="D1517" s="87" t="str">
        <x:v>Март 2026</x:v>
      </x:c>
      <x:c r="E1517" s="87"/>
      <x:c r="F1517" s="87"/>
      <x:c r="G1517" s="87" t="str">
        <x:v>Математика</x:v>
      </x:c>
      <x:c r="H1517" s="87" t="str">
        <x:v>Базовый</x:v>
      </x:c>
      <x:c r="I1517" s="87" t="str">
        <x:v>ТР №4</x:v>
      </x:c>
      <x:c r="J1517" s="87" t="str">
        <x:v>МА2510405</x:v>
      </x:c>
      <x:c r="K1517" s="87" t="n">
        <x:v>17</x:v>
      </x:c>
      <x:c r="L1517" s="87" t="str">
        <x:v>Линейное уравнение</x:v>
      </x:c>
      <x:c r="M1517" s="30" t="str">
        <x:v>Решить уравнение 8+7(x+2)=1.</x:v>
      </x:c>
      <x:c r="N1517" s="30" t="str">
        <x:v>−3</x:v>
      </x:c>
      <x:c r="O1517" s="30" t="str">
        <x:v>8+7x+14=1; 7x=−21; x=−3.</x:v>
      </x:c>
      <x:c r="P1517" s="30" t="str">
        <x:v>8+7x+14=1; 7x=−21; x=−3.</x:v>
      </x:c>
      <x:c r="Q1517" s="30"/>
      <x:c r="R1517" s="30" t="str">
        <x:v>Полный PDF МА2510405 + независимое решение</x:v>
      </x:c>
      <x:c r="S1517" s="30"/>
      <x:c r="T1517" s="30"/>
      <x:c r="U1517" s="30" t="str">
        <x:v>Расхождений не обнаружено.</x:v>
      </x:c>
      <x:c r="V1517" s="87" t="str">
        <x:v>VERIFIED</x:v>
      </x:c>
      <x:c r="W1517" s="87" t="str">
        <x:v>PDF, вариант МА2510405</x:v>
      </x:c>
      <x:c r="X1517" s="87"/>
      <x:c r="Y1517" s="87"/>
      <x:c r="Z1517" s="87"/>
      <x:c r="AA1517" s="87"/>
      <x:c r="AB1517" s="87"/>
      <x:c r="AC1517" s="87"/>
      <x:c r="AD1517" s="87"/>
      <x:c r="AE1517" s="87"/>
      <x:c r="AF1517" s="87"/>
      <x:c r="AG1517" s="87"/>
      <x:c r="AH1517" s="87"/>
      <x:c r="AI1517" s="30"/>
      <x:c r="AJ1517" s="87" t="str">
        <x:v>master</x:v>
      </x:c>
      <x:c r="AK1517" s="87" t="str">
        <x:v>master-v0.81</x:v>
      </x:c>
      <x:c r="AL1517" s="87" t="str">
        <x:v>statgrad_master_base_v0_81_final(2).xlsx</x:v>
      </x:c>
      <x:c r="AM1517" s="87" t="str">
        <x:v>MATH_Mar_Base_V5</x:v>
      </x:c>
      <x:c r="AN1517" s="87" t="n">
        <x:v>18</x:v>
      </x:c>
    </x:row>
    <x:row r="1518">
      <x:c r="A1518" s="87" t="n">
        <x:v>1517</x:v>
      </x:c>
      <x:c r="B1518" s="87" t="str">
        <x:v>MAR-MATH-B-V5-018</x:v>
      </x:c>
      <x:c r="C1518" s="87" t="str">
        <x:v>СтатГрад</x:v>
      </x:c>
      <x:c r="D1518" s="87" t="str">
        <x:v>Март 2026</x:v>
      </x:c>
      <x:c r="E1518" s="87"/>
      <x:c r="F1518" s="87"/>
      <x:c r="G1518" s="87" t="str">
        <x:v>Математика</x:v>
      </x:c>
      <x:c r="H1518" s="87" t="str">
        <x:v>Базовый</x:v>
      </x:c>
      <x:c r="I1518" s="87" t="str">
        <x:v>ТР №4</x:v>
      </x:c>
      <x:c r="J1518" s="87" t="str">
        <x:v>МА2510405</x:v>
      </x:c>
      <x:c r="K1518" s="87" t="n">
        <x:v>18</x:v>
      </x:c>
      <x:c r="L1518" s="87" t="str">
        <x:v>Числовые промежутки</x:v>
      </x:c>
      <x:c r="M1518" s="30" t="str">
        <x:v>Сопоставить log₂10, 7/3, √26 и 0,6⁻¹ с отрезками [1;2], [2;3], [3;4], [5;6].</x:v>
      </x:c>
      <x:c r="N1518" s="30" t="str">
        <x:v>3241</x:v>
      </x:c>
      <x:c r="O1518" s="30" t="str">
        <x:v>log₂10≈3,32 — отрезок 3; 7/3≈2,33 — 2; √26≈5,10 — 4; 0,6⁻¹=5/3≈1,67 — 1.</x:v>
      </x:c>
      <x:c r="P1518" s="30" t="str">
        <x:v>log₂10≈3,32 — отрезок 3; 7/3≈2,33 — 2; √26≈5,10 — 4; 0,6⁻¹=5/3≈1,67 — 1.</x:v>
      </x:c>
      <x:c r="Q1518" s="30"/>
      <x:c r="R1518" s="30" t="str">
        <x:v>Полный PDF МА2510405 + независимое решение</x:v>
      </x:c>
      <x:c r="S1518" s="30"/>
      <x:c r="T1518" s="30"/>
      <x:c r="U1518" s="30" t="str">
        <x:v>Расхождений не обнаружено.</x:v>
      </x:c>
      <x:c r="V1518" s="87" t="str">
        <x:v>VERIFIED</x:v>
      </x:c>
      <x:c r="W1518" s="87" t="str">
        <x:v>PDF, вариант МА2510405</x:v>
      </x:c>
      <x:c r="X1518" s="87"/>
      <x:c r="Y1518" s="87"/>
      <x:c r="Z1518" s="87"/>
      <x:c r="AA1518" s="87"/>
      <x:c r="AB1518" s="87"/>
      <x:c r="AC1518" s="87"/>
      <x:c r="AD1518" s="87"/>
      <x:c r="AE1518" s="87"/>
      <x:c r="AF1518" s="87"/>
      <x:c r="AG1518" s="87"/>
      <x:c r="AH1518" s="87"/>
      <x:c r="AI1518" s="30"/>
      <x:c r="AJ1518" s="87" t="str">
        <x:v>master</x:v>
      </x:c>
      <x:c r="AK1518" s="87" t="str">
        <x:v>master-v0.81</x:v>
      </x:c>
      <x:c r="AL1518" s="87" t="str">
        <x:v>statgrad_master_base_v0_81_final(2).xlsx</x:v>
      </x:c>
      <x:c r="AM1518" s="87" t="str">
        <x:v>MATH_Mar_Base_V5</x:v>
      </x:c>
      <x:c r="AN1518" s="87" t="n">
        <x:v>19</x:v>
      </x:c>
    </x:row>
    <x:row r="1519">
      <x:c r="A1519" s="87" t="n">
        <x:v>1518</x:v>
      </x:c>
      <x:c r="B1519" s="87" t="str">
        <x:v>MAR-MATH-B-V5-019</x:v>
      </x:c>
      <x:c r="C1519" s="87" t="str">
        <x:v>СтатГрад</x:v>
      </x:c>
      <x:c r="D1519" s="87" t="str">
        <x:v>Март 2026</x:v>
      </x:c>
      <x:c r="E1519" s="87"/>
      <x:c r="F1519" s="87"/>
      <x:c r="G1519" s="87" t="str">
        <x:v>Математика</x:v>
      </x:c>
      <x:c r="H1519" s="87" t="str">
        <x:v>Базовый</x:v>
      </x:c>
      <x:c r="I1519" s="87" t="str">
        <x:v>ТР №4</x:v>
      </x:c>
      <x:c r="J1519" s="87" t="str">
        <x:v>МА2510405</x:v>
      </x:c>
      <x:c r="K1519" s="87" t="n">
        <x:v>19</x:v>
      </x:c>
      <x:c r="L1519" s="87" t="str">
        <x:v>Цифровая запись числа</x:v>
      </x:c>
      <x:c r="M1519" s="30" t="str">
        <x:v>Найти четырёхзначное число, кратное 33, все цифры которого различны и нечётны.</x:v>
      </x:c>
      <x:c r="N1519" s="30" t="str">
        <x:v>3597</x:v>
      </x:c>
      <x:c r="O1519" s="30" t="str">
        <x:v>3597=33·109; цифры 3, 5, 9, 7 различны и нечётны.</x:v>
      </x:c>
      <x:c r="P1519" s="30" t="str">
        <x:v>Полным перебором также найдены 3795, 5379, 5973, 7359, 7953, 9537 и 9735.</x:v>
      </x:c>
      <x:c r="Q1519" s="30"/>
      <x:c r="R1519" s="30" t="str">
        <x:v>Полный PDF МА2510405 + независимое решение</x:v>
      </x:c>
      <x:c r="S1519" s="30"/>
      <x:c r="T1519" s="30"/>
      <x:c r="U1519" s="30" t="str">
        <x:v>Допустим любой корректный пример.</x:v>
      </x:c>
      <x:c r="V1519" s="87" t="str">
        <x:v>VERIFIED</x:v>
      </x:c>
      <x:c r="W1519" s="87" t="str">
        <x:v>PDF, вариант МА2510405</x:v>
      </x:c>
      <x:c r="X1519" s="87"/>
      <x:c r="Y1519" s="87"/>
      <x:c r="Z1519" s="87"/>
      <x:c r="AA1519" s="87"/>
      <x:c r="AB1519" s="87"/>
      <x:c r="AC1519" s="87"/>
      <x:c r="AD1519" s="87"/>
      <x:c r="AE1519" s="87"/>
      <x:c r="AF1519" s="87"/>
      <x:c r="AG1519" s="87"/>
      <x:c r="AH1519" s="87"/>
      <x:c r="AI1519" s="30"/>
      <x:c r="AJ1519" s="87" t="str">
        <x:v>master</x:v>
      </x:c>
      <x:c r="AK1519" s="87" t="str">
        <x:v>master-v0.81</x:v>
      </x:c>
      <x:c r="AL1519" s="87" t="str">
        <x:v>statgrad_master_base_v0_81_final(2).xlsx</x:v>
      </x:c>
      <x:c r="AM1519" s="87" t="str">
        <x:v>MATH_Mar_Base_V5</x:v>
      </x:c>
      <x:c r="AN1519" s="87" t="n">
        <x:v>20</x:v>
      </x:c>
    </x:row>
    <x:row r="1520">
      <x:c r="A1520" s="87" t="n">
        <x:v>1519</x:v>
      </x:c>
      <x:c r="B1520" s="87" t="str">
        <x:v>MAR-MATH-B-V5-020</x:v>
      </x:c>
      <x:c r="C1520" s="87" t="str">
        <x:v>СтатГрад</x:v>
      </x:c>
      <x:c r="D1520" s="87" t="str">
        <x:v>Март 2026</x:v>
      </x:c>
      <x:c r="E1520" s="87"/>
      <x:c r="F1520" s="87"/>
      <x:c r="G1520" s="87" t="str">
        <x:v>Математика</x:v>
      </x:c>
      <x:c r="H1520" s="87" t="str">
        <x:v>Базовый</x:v>
      </x:c>
      <x:c r="I1520" s="87" t="str">
        <x:v>ТР №4</x:v>
      </x:c>
      <x:c r="J1520" s="87" t="str">
        <x:v>МА2510405</x:v>
      </x:c>
      <x:c r="K1520" s="87" t="n">
        <x:v>20</x:v>
      </x:c>
      <x:c r="L1520" s="87" t="str">
        <x:v>Движение по прямой</x:v>
      </x:c>
      <x:c r="M1520" s="30" t="str">
        <x:v>Расстояние A—B равно 500 км. Второй автомобиль выехал навстречу через час со скоростью 80 км/ч. Встреча произошла в 260 км от A. Найти скорость первого.</x:v>
      </x:c>
      <x:c r="N1520" s="30" t="str">
        <x:v>65</x:v>
      </x:c>
      <x:c r="O1520" s="30" t="str">
        <x:v>Второй прошёл 500−260=240 км за 3 часа. Первый находился в пути 4 часа, поэтому его скорость 260/4=65 км/ч.</x:v>
      </x:c>
      <x:c r="P1520" s="30" t="str">
        <x:v>Второй прошёл 500−260=240 км за 3 часа. Первый находился в пути 4 часа, поэтому его скорость 260/4=65 км/ч.</x:v>
      </x:c>
      <x:c r="Q1520" s="30"/>
      <x:c r="R1520" s="30" t="str">
        <x:v>Полный PDF МА2510405 + независимое решение</x:v>
      </x:c>
      <x:c r="S1520" s="30"/>
      <x:c r="T1520" s="30"/>
      <x:c r="U1520" s="30" t="str">
        <x:v>Расхождений не обнаружено.</x:v>
      </x:c>
      <x:c r="V1520" s="87" t="str">
        <x:v>VERIFIED</x:v>
      </x:c>
      <x:c r="W1520" s="87" t="str">
        <x:v>PDF, вариант МА2510405</x:v>
      </x:c>
      <x:c r="X1520" s="87"/>
      <x:c r="Y1520" s="87"/>
      <x:c r="Z1520" s="87"/>
      <x:c r="AA1520" s="87"/>
      <x:c r="AB1520" s="87"/>
      <x:c r="AC1520" s="87"/>
      <x:c r="AD1520" s="87"/>
      <x:c r="AE1520" s="87"/>
      <x:c r="AF1520" s="87"/>
      <x:c r="AG1520" s="87"/>
      <x:c r="AH1520" s="87"/>
      <x:c r="AI1520" s="30"/>
      <x:c r="AJ1520" s="87" t="str">
        <x:v>master</x:v>
      </x:c>
      <x:c r="AK1520" s="87" t="str">
        <x:v>master-v0.81</x:v>
      </x:c>
      <x:c r="AL1520" s="87" t="str">
        <x:v>statgrad_master_base_v0_81_final(2).xlsx</x:v>
      </x:c>
      <x:c r="AM1520" s="87" t="str">
        <x:v>MATH_Mar_Base_V5</x:v>
      </x:c>
      <x:c r="AN1520" s="87" t="n">
        <x:v>21</x:v>
      </x:c>
    </x:row>
    <x:row r="1521">
      <x:c r="A1521" s="87" t="n">
        <x:v>1520</x:v>
      </x:c>
      <x:c r="B1521" s="87" t="str">
        <x:v>MAR-MATH-B-V5-021</x:v>
      </x:c>
      <x:c r="C1521" s="87" t="str">
        <x:v>СтатГрад</x:v>
      </x:c>
      <x:c r="D1521" s="87" t="str">
        <x:v>Март 2026</x:v>
      </x:c>
      <x:c r="E1521" s="87"/>
      <x:c r="F1521" s="87"/>
      <x:c r="G1521" s="87" t="str">
        <x:v>Математика</x:v>
      </x:c>
      <x:c r="H1521" s="87" t="str">
        <x:v>Базовый</x:v>
      </x:c>
      <x:c r="I1521" s="87" t="str">
        <x:v>ТР №4</x:v>
      </x:c>
      <x:c r="J1521" s="87" t="str">
        <x:v>МА2510405</x:v>
      </x:c>
      <x:c r="K1521" s="87" t="n">
        <x:v>21</x:v>
      </x:c>
      <x:c r="L1521" s="87" t="str">
        <x:v>Задача на распилы</x:v>
      </x:c>
      <x:c r="M1521" s="30" t="str">
        <x:v>Несколько досок распилили, сделав 8 поперечных распилов, и получили 19 кусков. Сколько досок было первоначально?</x:v>
      </x:c>
      <x:c r="N1521" s="30" t="str">
        <x:v>11</x:v>
      </x:c>
      <x:c r="O1521" s="30" t="str">
        <x:v>Каждый распил увеличивает общее число кусков на 1. Поэтому начальное число досок равно 19−8=11.</x:v>
      </x:c>
      <x:c r="P1521" s="30" t="str">
        <x:v>Каждый распил увеличивает общее число кусков на 1. Поэтому начальное число досок равно 19−8=11.</x:v>
      </x:c>
      <x:c r="Q1521" s="30"/>
      <x:c r="R1521" s="30" t="str">
        <x:v>Полный PDF МА2510405 + независимое решение</x:v>
      </x:c>
      <x:c r="S1521" s="30"/>
      <x:c r="T1521" s="30"/>
      <x:c r="U1521" s="30" t="str">
        <x:v>Расхождений не обнаружено.</x:v>
      </x:c>
      <x:c r="V1521" s="87" t="str">
        <x:v>VERIFIED</x:v>
      </x:c>
      <x:c r="W1521" s="87" t="str">
        <x:v>PDF, вариант МА2510405</x:v>
      </x:c>
      <x:c r="X1521" s="87"/>
      <x:c r="Y1521" s="87"/>
      <x:c r="Z1521" s="87"/>
      <x:c r="AA1521" s="87"/>
      <x:c r="AB1521" s="87"/>
      <x:c r="AC1521" s="87"/>
      <x:c r="AD1521" s="87"/>
      <x:c r="AE1521" s="87"/>
      <x:c r="AF1521" s="87"/>
      <x:c r="AG1521" s="87"/>
      <x:c r="AH1521" s="87"/>
      <x:c r="AI1521" s="30"/>
      <x:c r="AJ1521" s="87" t="str">
        <x:v>master</x:v>
      </x:c>
      <x:c r="AK1521" s="87" t="str">
        <x:v>master-v0.81</x:v>
      </x:c>
      <x:c r="AL1521" s="87" t="str">
        <x:v>statgrad_master_base_v0_81_final(2).xlsx</x:v>
      </x:c>
      <x:c r="AM1521" s="87" t="str">
        <x:v>MATH_Mar_Base_V5</x:v>
      </x:c>
      <x:c r="AN1521" s="87" t="n">
        <x:v>22</x:v>
      </x:c>
    </x:row>
    <x:row r="1522">
      <x:c r="A1522" s="87" t="n">
        <x:v>1521</x:v>
      </x:c>
      <x:c r="B1522" s="87" t="str">
        <x:v>MAR-MATH-B-V6-001</x:v>
      </x:c>
      <x:c r="C1522" s="87" t="str">
        <x:v>СтатГрад</x:v>
      </x:c>
      <x:c r="D1522" s="87" t="str">
        <x:v>Март 2026</x:v>
      </x:c>
      <x:c r="E1522" s="87"/>
      <x:c r="F1522" s="87"/>
      <x:c r="G1522" s="87" t="str">
        <x:v>Математика</x:v>
      </x:c>
      <x:c r="H1522" s="87" t="str">
        <x:v>Базовый</x:v>
      </x:c>
      <x:c r="I1522" s="87" t="str">
        <x:v>ТР №4</x:v>
      </x:c>
      <x:c r="J1522" s="87" t="str">
        <x:v>МА2510406</x:v>
      </x:c>
      <x:c r="K1522" s="87" t="n">
        <x:v>1</x:v>
      </x:c>
      <x:c r="L1522" s="87" t="str">
        <x:v>Расчёт коммунальной платы</x:v>
      </x:c>
      <x:c r="M1522" s="30" t="str">
        <x:v>Показания счётчика холодной воды: 123 м³ на 1 сентября и 129 м³ на 1 октября. Тариф — 54,80 руб. за 1 м³. Найти плату за сентябрь.</x:v>
      </x:c>
      <x:c r="N1522" s="30" t="str">
        <x:v>328,8</x:v>
      </x:c>
      <x:c r="O1522" s="30" t="str">
        <x:v>Расход составил 129−123=6 м³. Стоимость: 6·54,8=328,8 руб.</x:v>
      </x:c>
      <x:c r="P1522" s="30" t="str">
        <x:v>Расход составил 129−123=6 м³. Стоимость: 6·54,8=328,8 руб.</x:v>
      </x:c>
      <x:c r="Q1522" s="30"/>
      <x:c r="R1522" s="30" t="str">
        <x:v>Полный PDF МА2510406 + независимое решение</x:v>
      </x:c>
      <x:c r="S1522" s="30"/>
      <x:c r="T1522" s="30"/>
      <x:c r="U1522" s="30" t="str">
        <x:v>Расхождений не обнаружено.</x:v>
      </x:c>
      <x:c r="V1522" s="87" t="str">
        <x:v>VERIFIED</x:v>
      </x:c>
      <x:c r="W1522" s="87" t="str">
        <x:v>PDF, вариант МА2510406</x:v>
      </x:c>
      <x:c r="X1522" s="87"/>
      <x:c r="Y1522" s="87"/>
      <x:c r="Z1522" s="87"/>
      <x:c r="AA1522" s="87"/>
      <x:c r="AB1522" s="87"/>
      <x:c r="AC1522" s="87"/>
      <x:c r="AD1522" s="87"/>
      <x:c r="AE1522" s="87"/>
      <x:c r="AF1522" s="87"/>
      <x:c r="AG1522" s="87"/>
      <x:c r="AH1522" s="87"/>
      <x:c r="AI1522" s="30"/>
      <x:c r="AJ1522" s="87" t="str">
        <x:v>master</x:v>
      </x:c>
      <x:c r="AK1522" s="87" t="str">
        <x:v>master-v0.81</x:v>
      </x:c>
      <x:c r="AL1522" s="87" t="str">
        <x:v>statgrad_master_base_v0_81_final(2).xlsx</x:v>
      </x:c>
      <x:c r="AM1522" s="87" t="str">
        <x:v>MATH_Mar_Base_V6</x:v>
      </x:c>
      <x:c r="AN1522" s="87" t="n">
        <x:v>2</x:v>
      </x:c>
    </x:row>
    <x:row r="1523">
      <x:c r="A1523" s="87" t="n">
        <x:v>1522</x:v>
      </x:c>
      <x:c r="B1523" s="87" t="str">
        <x:v>MAR-MATH-B-V6-002</x:v>
      </x:c>
      <x:c r="C1523" s="87" t="str">
        <x:v>СтатГрад</x:v>
      </x:c>
      <x:c r="D1523" s="87" t="str">
        <x:v>Март 2026</x:v>
      </x:c>
      <x:c r="E1523" s="87"/>
      <x:c r="F1523" s="87"/>
      <x:c r="G1523" s="87" t="str">
        <x:v>Математика</x:v>
      </x:c>
      <x:c r="H1523" s="87" t="str">
        <x:v>Базовый</x:v>
      </x:c>
      <x:c r="I1523" s="87" t="str">
        <x:v>ТР №4</x:v>
      </x:c>
      <x:c r="J1523" s="87" t="str">
        <x:v>МА2510406</x:v>
      </x:c>
      <x:c r="K1523" s="87" t="n">
        <x:v>2</x:v>
      </x:c>
      <x:c r="L1523" s="87" t="str">
        <x:v>Соответствие величин</x:v>
      </x:c>
      <x:c r="M1523" s="30" t="str">
        <x:v>Сопоставить высоту Эвереста, длину Волги, ширину окна и диаметр монеты со значениями 3530 км, 120 см, 20 мм и 8849 м.</x:v>
      </x:c>
      <x:c r="N1523" s="30" t="str">
        <x:v>4123</x:v>
      </x:c>
      <x:c r="O1523" s="30" t="str">
        <x:v>Эверест — 8849 м (4); Волга — 3530 км (1); окно — 120 см (2); монета — 20 мм (3).</x:v>
      </x:c>
      <x:c r="P1523" s="30" t="str">
        <x:v>Эверест — 8849 м (4); Волга — 3530 км (1); окно — 120 см (2); монета — 20 мм (3).</x:v>
      </x:c>
      <x:c r="Q1523" s="30"/>
      <x:c r="R1523" s="30" t="str">
        <x:v>Полный PDF МА2510406 + независимое решение</x:v>
      </x:c>
      <x:c r="S1523" s="30"/>
      <x:c r="T1523" s="30"/>
      <x:c r="U1523" s="30" t="str">
        <x:v>Расхождений не обнаружено.</x:v>
      </x:c>
      <x:c r="V1523" s="87" t="str">
        <x:v>VERIFIED</x:v>
      </x:c>
      <x:c r="W1523" s="87" t="str">
        <x:v>PDF, вариант МА2510406</x:v>
      </x:c>
      <x:c r="X1523" s="87"/>
      <x:c r="Y1523" s="87"/>
      <x:c r="Z1523" s="87"/>
      <x:c r="AA1523" s="87"/>
      <x:c r="AB1523" s="87"/>
      <x:c r="AC1523" s="87"/>
      <x:c r="AD1523" s="87"/>
      <x:c r="AE1523" s="87"/>
      <x:c r="AF1523" s="87"/>
      <x:c r="AG1523" s="87"/>
      <x:c r="AH1523" s="87"/>
      <x:c r="AI1523" s="30"/>
      <x:c r="AJ1523" s="87" t="str">
        <x:v>master</x:v>
      </x:c>
      <x:c r="AK1523" s="87" t="str">
        <x:v>master-v0.81</x:v>
      </x:c>
      <x:c r="AL1523" s="87" t="str">
        <x:v>statgrad_master_base_v0_81_final(2).xlsx</x:v>
      </x:c>
      <x:c r="AM1523" s="87" t="str">
        <x:v>MATH_Mar_Base_V6</x:v>
      </x:c>
      <x:c r="AN1523" s="87" t="n">
        <x:v>3</x:v>
      </x:c>
    </x:row>
    <x:row r="1524">
      <x:c r="A1524" s="87" t="n">
        <x:v>1523</x:v>
      </x:c>
      <x:c r="B1524" s="87" t="str">
        <x:v>MAR-MATH-B-V6-003</x:v>
      </x:c>
      <x:c r="C1524" s="87" t="str">
        <x:v>СтатГрад</x:v>
      </x:c>
      <x:c r="D1524" s="87" t="str">
        <x:v>Март 2026</x:v>
      </x:c>
      <x:c r="E1524" s="87"/>
      <x:c r="F1524" s="87"/>
      <x:c r="G1524" s="87" t="str">
        <x:v>Математика</x:v>
      </x:c>
      <x:c r="H1524" s="87" t="str">
        <x:v>Базовый</x:v>
      </x:c>
      <x:c r="I1524" s="87" t="str">
        <x:v>ТР №4</x:v>
      </x:c>
      <x:c r="J1524" s="87" t="str">
        <x:v>МА2510406</x:v>
      </x:c>
      <x:c r="K1524" s="87" t="n">
        <x:v>3</x:v>
      </x:c>
      <x:c r="L1524" s="87" t="str">
        <x:v>Чтение диаграммы</x:v>
      </x:c>
      <x:c r="M1524" s="30" t="str">
        <x:v>По диаграмме температур Санкт-Петербурга за 1999 год найти наименьшую среднемесячную температуру во второй половине года.</x:v>
      </x:c>
      <x:c r="N1524" s="30" t="str">
        <x:v>−4</x:v>
      </x:c>
      <x:c r="O1524" s="30" t="str">
        <x:v>С июля по декабрь минимальный столбец соответствует декабрю: −4 °C.</x:v>
      </x:c>
      <x:c r="P1524" s="30" t="str">
        <x:v>Значение считано непосредственно по диаграмме.</x:v>
      </x:c>
      <x:c r="Q1524" s="30"/>
      <x:c r="R1524" s="30" t="str">
        <x:v>Полный PDF МА2510406 + независимое решение</x:v>
      </x:c>
      <x:c r="S1524" s="30"/>
      <x:c r="T1524" s="30"/>
      <x:c r="U1524" s="30" t="str">
        <x:v>Расхождений не обнаружено.</x:v>
      </x:c>
      <x:c r="V1524" s="87" t="str">
        <x:v>VERIFIED</x:v>
      </x:c>
      <x:c r="W1524" s="87" t="str">
        <x:v>PDF, внутренняя стр. 3</x:v>
      </x:c>
      <x:c r="X1524" s="87"/>
      <x:c r="Y1524" s="87"/>
      <x:c r="Z1524" s="87"/>
      <x:c r="AA1524" s="87"/>
      <x:c r="AB1524" s="87"/>
      <x:c r="AC1524" s="87"/>
      <x:c r="AD1524" s="87"/>
      <x:c r="AE1524" s="87"/>
      <x:c r="AF1524" s="87"/>
      <x:c r="AG1524" s="87"/>
      <x:c r="AH1524" s="87"/>
      <x:c r="AI1524" s="30"/>
      <x:c r="AJ1524" s="87" t="str">
        <x:v>master</x:v>
      </x:c>
      <x:c r="AK1524" s="87" t="str">
        <x:v>master-v0.81</x:v>
      </x:c>
      <x:c r="AL1524" s="87" t="str">
        <x:v>statgrad_master_base_v0_81_final(2).xlsx</x:v>
      </x:c>
      <x:c r="AM1524" s="87" t="str">
        <x:v>MATH_Mar_Base_V6</x:v>
      </x:c>
      <x:c r="AN1524" s="87" t="n">
        <x:v>4</x:v>
      </x:c>
    </x:row>
    <x:row r="1525">
      <x:c r="A1525" s="87" t="n">
        <x:v>1524</x:v>
      </x:c>
      <x:c r="B1525" s="87" t="str">
        <x:v>MAR-MATH-B-V6-004</x:v>
      </x:c>
      <x:c r="C1525" s="87" t="str">
        <x:v>СтатГрад</x:v>
      </x:c>
      <x:c r="D1525" s="87" t="str">
        <x:v>Март 2026</x:v>
      </x:c>
      <x:c r="E1525" s="87"/>
      <x:c r="F1525" s="87"/>
      <x:c r="G1525" s="87" t="str">
        <x:v>Математика</x:v>
      </x:c>
      <x:c r="H1525" s="87" t="str">
        <x:v>Базовый</x:v>
      </x:c>
      <x:c r="I1525" s="87" t="str">
        <x:v>ТР №4</x:v>
      </x:c>
      <x:c r="J1525" s="87" t="str">
        <x:v>МА2510406</x:v>
      </x:c>
      <x:c r="K1525" s="87" t="n">
        <x:v>4</x:v>
      </x:c>
      <x:c r="L1525" s="87" t="str">
        <x:v>Теорема синусов</x:v>
      </x:c>
      <x:c r="M1525" s="30" t="str">
        <x:v>По соотношению a/sinα=b/sinβ найти sinα, если a=9, b=2 и sinβ=1/9.</x:v>
      </x:c>
      <x:c r="N1525" s="30" t="str">
        <x:v>0,5</x:v>
      </x:c>
      <x:c r="O1525" s="30" t="str">
        <x:v>sinα=a·sinβ/b=9·(1/9)/2=1/2=0,5.</x:v>
      </x:c>
      <x:c r="P1525" s="30" t="str">
        <x:v>sinα=a·sinβ/b=9·(1/9)/2=1/2=0,5.</x:v>
      </x:c>
      <x:c r="Q1525" s="30"/>
      <x:c r="R1525" s="30" t="str">
        <x:v>Полный PDF МА2510406 + независимое решение</x:v>
      </x:c>
      <x:c r="S1525" s="30"/>
      <x:c r="T1525" s="30"/>
      <x:c r="U1525" s="30" t="str">
        <x:v>Расхождений не обнаружено.</x:v>
      </x:c>
      <x:c r="V1525" s="87" t="str">
        <x:v>VERIFIED</x:v>
      </x:c>
      <x:c r="W1525" s="87" t="str">
        <x:v>PDF, вариант МА2510406</x:v>
      </x:c>
      <x:c r="X1525" s="87"/>
      <x:c r="Y1525" s="87"/>
      <x:c r="Z1525" s="87"/>
      <x:c r="AA1525" s="87"/>
      <x:c r="AB1525" s="87"/>
      <x:c r="AC1525" s="87"/>
      <x:c r="AD1525" s="87"/>
      <x:c r="AE1525" s="87"/>
      <x:c r="AF1525" s="87"/>
      <x:c r="AG1525" s="87"/>
      <x:c r="AH1525" s="87"/>
      <x:c r="AI1525" s="30"/>
      <x:c r="AJ1525" s="87" t="str">
        <x:v>master</x:v>
      </x:c>
      <x:c r="AK1525" s="87" t="str">
        <x:v>master-v0.81</x:v>
      </x:c>
      <x:c r="AL1525" s="87" t="str">
        <x:v>statgrad_master_base_v0_81_final(2).xlsx</x:v>
      </x:c>
      <x:c r="AM1525" s="87" t="str">
        <x:v>MATH_Mar_Base_V6</x:v>
      </x:c>
      <x:c r="AN1525" s="87" t="n">
        <x:v>5</x:v>
      </x:c>
    </x:row>
    <x:row r="1526">
      <x:c r="A1526" s="87" t="n">
        <x:v>1525</x:v>
      </x:c>
      <x:c r="B1526" s="87" t="str">
        <x:v>MAR-MATH-B-V6-005</x:v>
      </x:c>
      <x:c r="C1526" s="87" t="str">
        <x:v>СтатГрад</x:v>
      </x:c>
      <x:c r="D1526" s="87" t="str">
        <x:v>Март 2026</x:v>
      </x:c>
      <x:c r="E1526" s="87"/>
      <x:c r="F1526" s="87"/>
      <x:c r="G1526" s="87" t="str">
        <x:v>Математика</x:v>
      </x:c>
      <x:c r="H1526" s="87" t="str">
        <x:v>Базовый</x:v>
      </x:c>
      <x:c r="I1526" s="87" t="str">
        <x:v>ТР №4</x:v>
      </x:c>
      <x:c r="J1526" s="87" t="str">
        <x:v>МА2510406</x:v>
      </x:c>
      <x:c r="K1526" s="87" t="n">
        <x:v>5</x:v>
      </x:c>
      <x:c r="L1526" s="87" t="str">
        <x:v>Классическая вероятность</x:v>
      </x:c>
      <x:c r="M1526" s="30" t="str">
        <x:v>Из 1500 карт памяти 30 не работают. Найти вероятность выбрать работающую карту.</x:v>
      </x:c>
      <x:c r="N1526" s="30" t="str">
        <x:v>0,98</x:v>
      </x:c>
      <x:c r="O1526" s="30" t="str">
        <x:v>Работающих карт 1500−30=1470; вероятность 1470/1500=0,98.</x:v>
      </x:c>
      <x:c r="P1526" s="30" t="str">
        <x:v>Работающих карт 1500−30=1470; вероятность 1470/1500=0,98.</x:v>
      </x:c>
      <x:c r="Q1526" s="30"/>
      <x:c r="R1526" s="30" t="str">
        <x:v>Полный PDF МА2510406 + независимое решение</x:v>
      </x:c>
      <x:c r="S1526" s="30"/>
      <x:c r="T1526" s="30"/>
      <x:c r="U1526" s="30" t="str">
        <x:v>Расхождений не обнаружено.</x:v>
      </x:c>
      <x:c r="V1526" s="87" t="str">
        <x:v>VERIFIED</x:v>
      </x:c>
      <x:c r="W1526" s="87" t="str">
        <x:v>PDF, вариант МА2510406</x:v>
      </x:c>
      <x:c r="X1526" s="87"/>
      <x:c r="Y1526" s="87"/>
      <x:c r="Z1526" s="87"/>
      <x:c r="AA1526" s="87"/>
      <x:c r="AB1526" s="87"/>
      <x:c r="AC1526" s="87"/>
      <x:c r="AD1526" s="87"/>
      <x:c r="AE1526" s="87"/>
      <x:c r="AF1526" s="87"/>
      <x:c r="AG1526" s="87"/>
      <x:c r="AH1526" s="87"/>
      <x:c r="AI1526" s="30"/>
      <x:c r="AJ1526" s="87" t="str">
        <x:v>master</x:v>
      </x:c>
      <x:c r="AK1526" s="87" t="str">
        <x:v>master-v0.81</x:v>
      </x:c>
      <x:c r="AL1526" s="87" t="str">
        <x:v>statgrad_master_base_v0_81_final(2).xlsx</x:v>
      </x:c>
      <x:c r="AM1526" s="87" t="str">
        <x:v>MATH_Mar_Base_V6</x:v>
      </x:c>
      <x:c r="AN1526" s="87" t="n">
        <x:v>6</x:v>
      </x:c>
    </x:row>
    <x:row r="1527">
      <x:c r="A1527" s="87" t="n">
        <x:v>1526</x:v>
      </x:c>
      <x:c r="B1527" s="87" t="str">
        <x:v>MAR-MATH-B-V6-006</x:v>
      </x:c>
      <x:c r="C1527" s="87" t="str">
        <x:v>СтатГрад</x:v>
      </x:c>
      <x:c r="D1527" s="87" t="str">
        <x:v>Март 2026</x:v>
      </x:c>
      <x:c r="E1527" s="87"/>
      <x:c r="F1527" s="87"/>
      <x:c r="G1527" s="87" t="str">
        <x:v>Математика</x:v>
      </x:c>
      <x:c r="H1527" s="87" t="str">
        <x:v>Базовый</x:v>
      </x:c>
      <x:c r="I1527" s="87" t="str">
        <x:v>ТР №4</x:v>
      </x:c>
      <x:c r="J1527" s="87" t="str">
        <x:v>МА2510406</x:v>
      </x:c>
      <x:c r="K1527" s="87" t="n">
        <x:v>6</x:v>
      </x:c>
      <x:c r="L1527" s="87" t="str">
        <x:v>Оптимальный набор</x:v>
      </x:c>
      <x:c r="M1527" s="30" t="str">
        <x:v>Подобрать экскурсии, чтобы посетить крепость, загородный дворец, парк и музей живописи при стоимости не более 1500 руб.</x:v>
      </x:c>
      <x:c r="N1527" s="30" t="str">
        <x:v>46</x:v>
      </x:c>
      <x:c r="O1527" s="30" t="str">
        <x:v>Экскурсия 4 включает дворец и музей, экскурсия 6 — крепость и парк; стоимость 750+550=1300 руб.</x:v>
      </x:c>
      <x:c r="P1527" s="30" t="str">
        <x:v>Также подходит набор 256 стоимостью 1450 руб.</x:v>
      </x:c>
      <x:c r="Q1527" s="30"/>
      <x:c r="R1527" s="30" t="str">
        <x:v>Полный PDF МА2510406 + независимое решение</x:v>
      </x:c>
      <x:c r="S1527" s="30"/>
      <x:c r="T1527" s="30"/>
      <x:c r="U1527" s="30" t="str">
        <x:v>Допустимы 46/64 и любые перестановки набора 256.</x:v>
      </x:c>
      <x:c r="V1527" s="87" t="str">
        <x:v>VERIFIED</x:v>
      </x:c>
      <x:c r="W1527" s="87" t="str">
        <x:v>PDF, внутренняя стр. 4</x:v>
      </x:c>
      <x:c r="X1527" s="87"/>
      <x:c r="Y1527" s="87"/>
      <x:c r="Z1527" s="87"/>
      <x:c r="AA1527" s="87"/>
      <x:c r="AB1527" s="87"/>
      <x:c r="AC1527" s="87"/>
      <x:c r="AD1527" s="87"/>
      <x:c r="AE1527" s="87"/>
      <x:c r="AF1527" s="87"/>
      <x:c r="AG1527" s="87"/>
      <x:c r="AH1527" s="87"/>
      <x:c r="AI1527" s="30"/>
      <x:c r="AJ1527" s="87" t="str">
        <x:v>master</x:v>
      </x:c>
      <x:c r="AK1527" s="87" t="str">
        <x:v>master-v0.81</x:v>
      </x:c>
      <x:c r="AL1527" s="87" t="str">
        <x:v>statgrad_master_base_v0_81_final(2).xlsx</x:v>
      </x:c>
      <x:c r="AM1527" s="87" t="str">
        <x:v>MATH_Mar_Base_V6</x:v>
      </x:c>
      <x:c r="AN1527" s="87" t="n">
        <x:v>7</x:v>
      </x:c>
    </x:row>
    <x:row r="1528">
      <x:c r="A1528" s="87" t="n">
        <x:v>1527</x:v>
      </x:c>
      <x:c r="B1528" s="87" t="str">
        <x:v>MAR-MATH-B-V6-007</x:v>
      </x:c>
      <x:c r="C1528" s="87" t="str">
        <x:v>СтатГрад</x:v>
      </x:c>
      <x:c r="D1528" s="87" t="str">
        <x:v>Март 2026</x:v>
      </x:c>
      <x:c r="E1528" s="87"/>
      <x:c r="F1528" s="87"/>
      <x:c r="G1528" s="87" t="str">
        <x:v>Математика</x:v>
      </x:c>
      <x:c r="H1528" s="87" t="str">
        <x:v>Базовый</x:v>
      </x:c>
      <x:c r="I1528" s="87" t="str">
        <x:v>ТР №4</x:v>
      </x:c>
      <x:c r="J1528" s="87" t="str">
        <x:v>МА2510406</x:v>
      </x:c>
      <x:c r="K1528" s="87" t="n">
        <x:v>7</x:v>
      </x:c>
      <x:c r="L1528" s="87" t="str">
        <x:v>Свойства функций</x:v>
      </x:c>
      <x:c r="M1528" s="30" t="str">
        <x:v>Сопоставить функции y=2x²−7x+7, y=4x−6, y=−3x+6 и y=−x²+4x−5 с характеристиками на [1;5].</x:v>
      </x:c>
      <x:c r="N1528" s="30" t="str">
        <x:v>3241</x:v>
      </x:c>
      <x:c r="O1528" s="30" t="str">
        <x:v>Первая функция положительна на всём отрезке (3); вторая возрастает (2); третья убывает (4); четвёртая всегда отрицательна (1).</x:v>
      </x:c>
      <x:c r="P1528" s="30" t="str">
        <x:v>Для квадратных функций проверены вершины и значения на концах отрезка.</x:v>
      </x:c>
      <x:c r="Q1528" s="30"/>
      <x:c r="R1528" s="30" t="str">
        <x:v>Полный PDF МА2510406 + независимое решение</x:v>
      </x:c>
      <x:c r="S1528" s="30"/>
      <x:c r="T1528" s="30"/>
      <x:c r="U1528" s="30" t="str">
        <x:v>Расхождений не обнаружено.</x:v>
      </x:c>
      <x:c r="V1528" s="87" t="str">
        <x:v>VERIFIED</x:v>
      </x:c>
      <x:c r="W1528" s="87" t="str">
        <x:v>PDF, вариант МА2510406</x:v>
      </x:c>
      <x:c r="X1528" s="87"/>
      <x:c r="Y1528" s="87"/>
      <x:c r="Z1528" s="87"/>
      <x:c r="AA1528" s="87"/>
      <x:c r="AB1528" s="87"/>
      <x:c r="AC1528" s="87"/>
      <x:c r="AD1528" s="87"/>
      <x:c r="AE1528" s="87"/>
      <x:c r="AF1528" s="87"/>
      <x:c r="AG1528" s="87"/>
      <x:c r="AH1528" s="87"/>
      <x:c r="AI1528" s="30"/>
      <x:c r="AJ1528" s="87" t="str">
        <x:v>master</x:v>
      </x:c>
      <x:c r="AK1528" s="87" t="str">
        <x:v>master-v0.81</x:v>
      </x:c>
      <x:c r="AL1528" s="87" t="str">
        <x:v>statgrad_master_base_v0_81_final(2).xlsx</x:v>
      </x:c>
      <x:c r="AM1528" s="87" t="str">
        <x:v>MATH_Mar_Base_V6</x:v>
      </x:c>
      <x:c r="AN1528" s="87" t="n">
        <x:v>8</x:v>
      </x:c>
    </x:row>
    <x:row r="1529">
      <x:c r="A1529" s="87" t="n">
        <x:v>1528</x:v>
      </x:c>
      <x:c r="B1529" s="87" t="str">
        <x:v>MAR-MATH-B-V6-008</x:v>
      </x:c>
      <x:c r="C1529" s="87" t="str">
        <x:v>СтатГрад</x:v>
      </x:c>
      <x:c r="D1529" s="87" t="str">
        <x:v>Март 2026</x:v>
      </x:c>
      <x:c r="E1529" s="87"/>
      <x:c r="F1529" s="87"/>
      <x:c r="G1529" s="87" t="str">
        <x:v>Математика</x:v>
      </x:c>
      <x:c r="H1529" s="87" t="str">
        <x:v>Базовый</x:v>
      </x:c>
      <x:c r="I1529" s="87" t="str">
        <x:v>ТР №4</x:v>
      </x:c>
      <x:c r="J1529" s="87" t="str">
        <x:v>МА2510406</x:v>
      </x:c>
      <x:c r="K1529" s="87" t="n">
        <x:v>8</x:v>
      </x:c>
      <x:c r="L1529" s="87" t="str">
        <x:v>Логические утверждения</x:v>
      </x:c>
      <x:c r="M1529" s="30" t="str">
        <x:v>В компании из 20 человек 15 пользуются «Одноклассниками», 10 — «ВКонтакте». Выбрать гарантированно верные утверждения.</x:v>
      </x:c>
      <x:c r="N1529" s="30" t="str">
        <x:v>13</x:v>
      </x:c>
      <x:c r="O1529" s="30" t="str">
        <x:v>Пересечение множеств не меньше 15+10−20=5 и не больше 10. Поэтому верны утверждения 1 и 3.</x:v>
      </x:c>
      <x:c r="P1529" s="30" t="str">
        <x:v>Границы пересечения проверены формулой включений-исключений.</x:v>
      </x:c>
      <x:c r="Q1529" s="30"/>
      <x:c r="R1529" s="30" t="str">
        <x:v>Полный PDF МА2510406 + независимое решение</x:v>
      </x:c>
      <x:c r="S1529" s="30"/>
      <x:c r="T1529" s="30"/>
      <x:c r="U1529" s="30" t="str">
        <x:v>Допустима запись 31.</x:v>
      </x:c>
      <x:c r="V1529" s="87" t="str">
        <x:v>VERIFIED</x:v>
      </x:c>
      <x:c r="W1529" s="87" t="str">
        <x:v>PDF, вариант МА2510406</x:v>
      </x:c>
      <x:c r="X1529" s="87"/>
      <x:c r="Y1529" s="87"/>
      <x:c r="Z1529" s="87"/>
      <x:c r="AA1529" s="87"/>
      <x:c r="AB1529" s="87"/>
      <x:c r="AC1529" s="87"/>
      <x:c r="AD1529" s="87"/>
      <x:c r="AE1529" s="87"/>
      <x:c r="AF1529" s="87"/>
      <x:c r="AG1529" s="87"/>
      <x:c r="AH1529" s="87"/>
      <x:c r="AI1529" s="30"/>
      <x:c r="AJ1529" s="87" t="str">
        <x:v>master</x:v>
      </x:c>
      <x:c r="AK1529" s="87" t="str">
        <x:v>master-v0.81</x:v>
      </x:c>
      <x:c r="AL1529" s="87" t="str">
        <x:v>statgrad_master_base_v0_81_final(2).xlsx</x:v>
      </x:c>
      <x:c r="AM1529" s="87" t="str">
        <x:v>MATH_Mar_Base_V6</x:v>
      </x:c>
      <x:c r="AN1529" s="87" t="n">
        <x:v>9</x:v>
      </x:c>
    </x:row>
    <x:row r="1530">
      <x:c r="A1530" s="87" t="n">
        <x:v>1529</x:v>
      </x:c>
      <x:c r="B1530" s="87" t="str">
        <x:v>MAR-MATH-B-V6-009</x:v>
      </x:c>
      <x:c r="C1530" s="87" t="str">
        <x:v>СтатГрад</x:v>
      </x:c>
      <x:c r="D1530" s="87" t="str">
        <x:v>Март 2026</x:v>
      </x:c>
      <x:c r="E1530" s="87"/>
      <x:c r="F1530" s="87"/>
      <x:c r="G1530" s="87" t="str">
        <x:v>Математика</x:v>
      </x:c>
      <x:c r="H1530" s="87" t="str">
        <x:v>Базовый</x:v>
      </x:c>
      <x:c r="I1530" s="87" t="str">
        <x:v>ТР №4</x:v>
      </x:c>
      <x:c r="J1530" s="87" t="str">
        <x:v>МА2510406</x:v>
      </x:c>
      <x:c r="K1530" s="87" t="n">
        <x:v>9</x:v>
      </x:c>
      <x:c r="L1530" s="87" t="str">
        <x:v>Площадь на клетчатой решётке</x:v>
      </x:c>
      <x:c r="M1530" s="30" t="str">
        <x:v>Найти площадь выделенного ромба на сетке 1×1 м.</x:v>
      </x:c>
      <x:c r="N1530" s="30" t="str">
        <x:v>12</x:v>
      </x:c>
      <x:c r="O1530" s="30" t="str">
        <x:v>Диагонали ромба равны 6 и 4 клетки. Площадь S=d₁d₂/2=6·4/2=12 м².</x:v>
      </x:c>
      <x:c r="P1530" s="30" t="str">
        <x:v>Длины диагоналей считаны по узлам сетки.</x:v>
      </x:c>
      <x:c r="Q1530" s="30"/>
      <x:c r="R1530" s="30" t="str">
        <x:v>Полный PDF МА2510406 + независимое решение</x:v>
      </x:c>
      <x:c r="S1530" s="30"/>
      <x:c r="T1530" s="30"/>
      <x:c r="U1530" s="30" t="str">
        <x:v>Расхождений не обнаружено.</x:v>
      </x:c>
      <x:c r="V1530" s="87" t="str">
        <x:v>VERIFIED</x:v>
      </x:c>
      <x:c r="W1530" s="87" t="str">
        <x:v>PDF, внутренняя стр. 5</x:v>
      </x:c>
      <x:c r="X1530" s="87"/>
      <x:c r="Y1530" s="87"/>
      <x:c r="Z1530" s="87"/>
      <x:c r="AA1530" s="87"/>
      <x:c r="AB1530" s="87"/>
      <x:c r="AC1530" s="87"/>
      <x:c r="AD1530" s="87"/>
      <x:c r="AE1530" s="87"/>
      <x:c r="AF1530" s="87"/>
      <x:c r="AG1530" s="87"/>
      <x:c r="AH1530" s="87"/>
      <x:c r="AI1530" s="30"/>
      <x:c r="AJ1530" s="87" t="str">
        <x:v>master</x:v>
      </x:c>
      <x:c r="AK1530" s="87" t="str">
        <x:v>master-v0.81</x:v>
      </x:c>
      <x:c r="AL1530" s="87" t="str">
        <x:v>statgrad_master_base_v0_81_final(2).xlsx</x:v>
      </x:c>
      <x:c r="AM1530" s="87" t="str">
        <x:v>MATH_Mar_Base_V6</x:v>
      </x:c>
      <x:c r="AN1530" s="87" t="n">
        <x:v>10</x:v>
      </x:c>
    </x:row>
    <x:row r="1531">
      <x:c r="A1531" s="87" t="n">
        <x:v>1530</x:v>
      </x:c>
      <x:c r="B1531" s="87" t="str">
        <x:v>MAR-MATH-B-V6-010</x:v>
      </x:c>
      <x:c r="C1531" s="87" t="str">
        <x:v>СтатГрад</x:v>
      </x:c>
      <x:c r="D1531" s="87" t="str">
        <x:v>Март 2026</x:v>
      </x:c>
      <x:c r="E1531" s="87"/>
      <x:c r="F1531" s="87"/>
      <x:c r="G1531" s="87" t="str">
        <x:v>Математика</x:v>
      </x:c>
      <x:c r="H1531" s="87" t="str">
        <x:v>Базовый</x:v>
      </x:c>
      <x:c r="I1531" s="87" t="str">
        <x:v>ТР №4</x:v>
      </x:c>
      <x:c r="J1531" s="87" t="str">
        <x:v>МА2510406</x:v>
      </x:c>
      <x:c r="K1531" s="87" t="n">
        <x:v>10</x:v>
      </x:c>
      <x:c r="L1531" s="87" t="str">
        <x:v>Подобие треугольников</x:v>
      </x:c>
      <x:c r="M1531" s="30" t="str">
        <x:v>Человек стоит в 12 м от столба высотой 9,5 м; длина его тени равна 3 м. Найти рост человека.</x:v>
      </x:c>
      <x:c r="N1531" s="30" t="str">
        <x:v>1,9</x:v>
      </x:c>
      <x:c r="O1531" s="30" t="str">
        <x:v>Полное основание большого треугольника равно 12+3=15 м. По подобию h/3=9,5/15, откуда h=1,9 м.</x:v>
      </x:c>
      <x:c r="P1531" s="30" t="str">
        <x:v>Полное основание большого треугольника равно 12+3=15 м. По подобию h/3=9,5/15, откуда h=1,9 м.</x:v>
      </x:c>
      <x:c r="Q1531" s="30"/>
      <x:c r="R1531" s="30" t="str">
        <x:v>Полный PDF МА2510406 + независимое решение</x:v>
      </x:c>
      <x:c r="S1531" s="30"/>
      <x:c r="T1531" s="30"/>
      <x:c r="U1531" s="30" t="str">
        <x:v>Расхождений не обнаружено.</x:v>
      </x:c>
      <x:c r="V1531" s="87" t="str">
        <x:v>VERIFIED</x:v>
      </x:c>
      <x:c r="W1531" s="87" t="str">
        <x:v>PDF, вариант МА2510406</x:v>
      </x:c>
      <x:c r="X1531" s="87"/>
      <x:c r="Y1531" s="87"/>
      <x:c r="Z1531" s="87"/>
      <x:c r="AA1531" s="87"/>
      <x:c r="AB1531" s="87"/>
      <x:c r="AC1531" s="87"/>
      <x:c r="AD1531" s="87"/>
      <x:c r="AE1531" s="87"/>
      <x:c r="AF1531" s="87"/>
      <x:c r="AG1531" s="87"/>
      <x:c r="AH1531" s="87"/>
      <x:c r="AI1531" s="30"/>
      <x:c r="AJ1531" s="87" t="str">
        <x:v>master</x:v>
      </x:c>
      <x:c r="AK1531" s="87" t="str">
        <x:v>master-v0.81</x:v>
      </x:c>
      <x:c r="AL1531" s="87" t="str">
        <x:v>statgrad_master_base_v0_81_final(2).xlsx</x:v>
      </x:c>
      <x:c r="AM1531" s="87" t="str">
        <x:v>MATH_Mar_Base_V6</x:v>
      </x:c>
      <x:c r="AN1531" s="87" t="n">
        <x:v>11</x:v>
      </x:c>
    </x:row>
    <x:row r="1532">
      <x:c r="A1532" s="87" t="n">
        <x:v>1531</x:v>
      </x:c>
      <x:c r="B1532" s="87" t="str">
        <x:v>MAR-MATH-B-V6-011</x:v>
      </x:c>
      <x:c r="C1532" s="87" t="str">
        <x:v>СтатГрад</x:v>
      </x:c>
      <x:c r="D1532" s="87" t="str">
        <x:v>Март 2026</x:v>
      </x:c>
      <x:c r="E1532" s="87"/>
      <x:c r="F1532" s="87"/>
      <x:c r="G1532" s="87" t="str">
        <x:v>Математика</x:v>
      </x:c>
      <x:c r="H1532" s="87" t="str">
        <x:v>Базовый</x:v>
      </x:c>
      <x:c r="I1532" s="87" t="str">
        <x:v>ТР №4</x:v>
      </x:c>
      <x:c r="J1532" s="87" t="str">
        <x:v>МА2510406</x:v>
      </x:c>
      <x:c r="K1532" s="87" t="n">
        <x:v>11</x:v>
      </x:c>
      <x:c r="L1532" s="87" t="str">
        <x:v>Объём цилиндра</x:v>
      </x:c>
      <x:c r="M1532" s="30" t="str">
        <x:v>Высота цилиндрического бака 60 см, площадь основания 150 см². Найти объём в литрах.</x:v>
      </x:c>
      <x:c r="N1532" s="30" t="str">
        <x:v>9</x:v>
      </x:c>
      <x:c r="O1532" s="30" t="str">
        <x:v>V=150·60=9000 см³=9 л.</x:v>
      </x:c>
      <x:c r="P1532" s="30" t="str">
        <x:v>V=150·60=9000 см³=9 л.</x:v>
      </x:c>
      <x:c r="Q1532" s="30"/>
      <x:c r="R1532" s="30" t="str">
        <x:v>Полный PDF МА2510406 + независимое решение</x:v>
      </x:c>
      <x:c r="S1532" s="30"/>
      <x:c r="T1532" s="30"/>
      <x:c r="U1532" s="30" t="str">
        <x:v>Расхождений не обнаружено.</x:v>
      </x:c>
      <x:c r="V1532" s="87" t="str">
        <x:v>VERIFIED</x:v>
      </x:c>
      <x:c r="W1532" s="87" t="str">
        <x:v>PDF, вариант МА2510406</x:v>
      </x:c>
      <x:c r="X1532" s="87"/>
      <x:c r="Y1532" s="87"/>
      <x:c r="Z1532" s="87"/>
      <x:c r="AA1532" s="87"/>
      <x:c r="AB1532" s="87"/>
      <x:c r="AC1532" s="87"/>
      <x:c r="AD1532" s="87"/>
      <x:c r="AE1532" s="87"/>
      <x:c r="AF1532" s="87"/>
      <x:c r="AG1532" s="87"/>
      <x:c r="AH1532" s="87"/>
      <x:c r="AI1532" s="30"/>
      <x:c r="AJ1532" s="87" t="str">
        <x:v>master</x:v>
      </x:c>
      <x:c r="AK1532" s="87" t="str">
        <x:v>master-v0.81</x:v>
      </x:c>
      <x:c r="AL1532" s="87" t="str">
        <x:v>statgrad_master_base_v0_81_final(2).xlsx</x:v>
      </x:c>
      <x:c r="AM1532" s="87" t="str">
        <x:v>MATH_Mar_Base_V6</x:v>
      </x:c>
      <x:c r="AN1532" s="87" t="n">
        <x:v>12</x:v>
      </x:c>
    </x:row>
    <x:row r="1533">
      <x:c r="A1533" s="87" t="n">
        <x:v>1532</x:v>
      </x:c>
      <x:c r="B1533" s="87" t="str">
        <x:v>MAR-MATH-B-V6-012</x:v>
      </x:c>
      <x:c r="C1533" s="87" t="str">
        <x:v>СтатГрад</x:v>
      </x:c>
      <x:c r="D1533" s="87" t="str">
        <x:v>Март 2026</x:v>
      </x:c>
      <x:c r="E1533" s="87"/>
      <x:c r="F1533" s="87"/>
      <x:c r="G1533" s="87" t="str">
        <x:v>Математика</x:v>
      </x:c>
      <x:c r="H1533" s="87" t="str">
        <x:v>Базовый</x:v>
      </x:c>
      <x:c r="I1533" s="87" t="str">
        <x:v>ТР №4</x:v>
      </x:c>
      <x:c r="J1533" s="87" t="str">
        <x:v>МА2510406</x:v>
      </x:c>
      <x:c r="K1533" s="87" t="n">
        <x:v>12</x:v>
      </x:c>
      <x:c r="L1533" s="87" t="str">
        <x:v>Прямоугольная трапеция</x:v>
      </x:c>
      <x:c r="M1533" s="30" t="str">
        <x:v>В прямоугольной трапеции AB=15, BC=CD=17. Найти среднюю линию.</x:v>
      </x:c>
      <x:c r="N1533" s="30" t="str">
        <x:v>21</x:v>
      </x:c>
      <x:c r="O1533" s="30" t="str">
        <x:v>Горизонтальная проекция CD равна √(17²−15²)=8, поэтому AD=17+8=25. Средняя линия (17+25)/2=21.</x:v>
      </x:c>
      <x:c r="P1533" s="30" t="str">
        <x:v>Горизонтальная проекция CD равна √(17²−15²)=8, поэтому AD=17+8=25. Средняя линия (17+25)/2=21.</x:v>
      </x:c>
      <x:c r="Q1533" s="30"/>
      <x:c r="R1533" s="30" t="str">
        <x:v>Полный PDF МА2510406 + независимое решение</x:v>
      </x:c>
      <x:c r="S1533" s="30"/>
      <x:c r="T1533" s="30"/>
      <x:c r="U1533" s="30" t="str">
        <x:v>Расхождений не обнаружено.</x:v>
      </x:c>
      <x:c r="V1533" s="87" t="str">
        <x:v>VERIFIED</x:v>
      </x:c>
      <x:c r="W1533" s="87" t="str">
        <x:v>PDF, вариант МА2510406</x:v>
      </x:c>
      <x:c r="X1533" s="87"/>
      <x:c r="Y1533" s="87"/>
      <x:c r="Z1533" s="87"/>
      <x:c r="AA1533" s="87"/>
      <x:c r="AB1533" s="87"/>
      <x:c r="AC1533" s="87"/>
      <x:c r="AD1533" s="87"/>
      <x:c r="AE1533" s="87"/>
      <x:c r="AF1533" s="87"/>
      <x:c r="AG1533" s="87"/>
      <x:c r="AH1533" s="87"/>
      <x:c r="AI1533" s="30"/>
      <x:c r="AJ1533" s="87" t="str">
        <x:v>master</x:v>
      </x:c>
      <x:c r="AK1533" s="87" t="str">
        <x:v>master-v0.81</x:v>
      </x:c>
      <x:c r="AL1533" s="87" t="str">
        <x:v>statgrad_master_base_v0_81_final(2).xlsx</x:v>
      </x:c>
      <x:c r="AM1533" s="87" t="str">
        <x:v>MATH_Mar_Base_V6</x:v>
      </x:c>
      <x:c r="AN1533" s="87" t="n">
        <x:v>13</x:v>
      </x:c>
    </x:row>
    <x:row r="1534">
      <x:c r="A1534" s="87" t="n">
        <x:v>1533</x:v>
      </x:c>
      <x:c r="B1534" s="87" t="str">
        <x:v>MAR-MATH-B-V6-013</x:v>
      </x:c>
      <x:c r="C1534" s="87" t="str">
        <x:v>СтатГрад</x:v>
      </x:c>
      <x:c r="D1534" s="87" t="str">
        <x:v>Март 2026</x:v>
      </x:c>
      <x:c r="E1534" s="87"/>
      <x:c r="F1534" s="87"/>
      <x:c r="G1534" s="87" t="str">
        <x:v>Математика</x:v>
      </x:c>
      <x:c r="H1534" s="87" t="str">
        <x:v>Базовый</x:v>
      </x:c>
      <x:c r="I1534" s="87" t="str">
        <x:v>ТР №4</x:v>
      </x:c>
      <x:c r="J1534" s="87" t="str">
        <x:v>МА2510406</x:v>
      </x:c>
      <x:c r="K1534" s="87" t="n">
        <x:v>13</x:v>
      </x:c>
      <x:c r="L1534" s="87" t="str">
        <x:v>Площадь поверхности шара</x:v>
      </x:c>
      <x:c r="M1534" s="30" t="str">
        <x:v>Радиусы шаров равны 4 и 2. Во сколько раз площадь поверхности большего шара больше?</x:v>
      </x:c>
      <x:c r="N1534" s="30" t="str">
        <x:v>4</x:v>
      </x:c>
      <x:c r="O1534" s="30" t="str">
        <x:v>Площадь поверхности пропорциональна квадрату радиуса: 4²/2²=4.</x:v>
      </x:c>
      <x:c r="P1534" s="30" t="str">
        <x:v>Площадь поверхности пропорциональна квадрату радиуса: 4²/2²=4.</x:v>
      </x:c>
      <x:c r="Q1534" s="30"/>
      <x:c r="R1534" s="30" t="str">
        <x:v>Полный PDF МА2510406 + независимое решение</x:v>
      </x:c>
      <x:c r="S1534" s="30"/>
      <x:c r="T1534" s="30"/>
      <x:c r="U1534" s="30" t="str">
        <x:v>Расхождений не обнаружено.</x:v>
      </x:c>
      <x:c r="V1534" s="87" t="str">
        <x:v>VERIFIED</x:v>
      </x:c>
      <x:c r="W1534" s="87" t="str">
        <x:v>PDF, вариант МА2510406</x:v>
      </x:c>
      <x:c r="X1534" s="87"/>
      <x:c r="Y1534" s="87"/>
      <x:c r="Z1534" s="87"/>
      <x:c r="AA1534" s="87"/>
      <x:c r="AB1534" s="87"/>
      <x:c r="AC1534" s="87"/>
      <x:c r="AD1534" s="87"/>
      <x:c r="AE1534" s="87"/>
      <x:c r="AF1534" s="87"/>
      <x:c r="AG1534" s="87"/>
      <x:c r="AH1534" s="87"/>
      <x:c r="AI1534" s="30"/>
      <x:c r="AJ1534" s="87" t="str">
        <x:v>master</x:v>
      </x:c>
      <x:c r="AK1534" s="87" t="str">
        <x:v>master-v0.81</x:v>
      </x:c>
      <x:c r="AL1534" s="87" t="str">
        <x:v>statgrad_master_base_v0_81_final(2).xlsx</x:v>
      </x:c>
      <x:c r="AM1534" s="87" t="str">
        <x:v>MATH_Mar_Base_V6</x:v>
      </x:c>
      <x:c r="AN1534" s="87" t="n">
        <x:v>14</x:v>
      </x:c>
    </x:row>
    <x:row r="1535">
      <x:c r="A1535" s="87" t="n">
        <x:v>1534</x:v>
      </x:c>
      <x:c r="B1535" s="87" t="str">
        <x:v>MAR-MATH-B-V6-014</x:v>
      </x:c>
      <x:c r="C1535" s="87" t="str">
        <x:v>СтатГрад</x:v>
      </x:c>
      <x:c r="D1535" s="87" t="str">
        <x:v>Март 2026</x:v>
      </x:c>
      <x:c r="E1535" s="87"/>
      <x:c r="F1535" s="87"/>
      <x:c r="G1535" s="87" t="str">
        <x:v>Математика</x:v>
      </x:c>
      <x:c r="H1535" s="87" t="str">
        <x:v>Базовый</x:v>
      </x:c>
      <x:c r="I1535" s="87" t="str">
        <x:v>ТР №4</x:v>
      </x:c>
      <x:c r="J1535" s="87" t="str">
        <x:v>МА2510406</x:v>
      </x:c>
      <x:c r="K1535" s="87" t="n">
        <x:v>14</x:v>
      </x:c>
      <x:c r="L1535" s="87" t="str">
        <x:v>Обыкновенные дроби</x:v>
      </x:c>
      <x:c r="M1535" s="30" t="str">
        <x:v>Вычислить (2 1/5 − 1,2)·5 1/2.</x:v>
      </x:c>
      <x:c r="N1535" s="30" t="str">
        <x:v>5,5</x:v>
      </x:c>
      <x:c r="O1535" s="30" t="str">
        <x:v>2 1/5=2,2; разность равна 1. Умножение на 5,5 даёт 5,5.</x:v>
      </x:c>
      <x:c r="P1535" s="30" t="str">
        <x:v>2 1/5=2,2; разность равна 1. Умножение на 5,5 даёт 5,5.</x:v>
      </x:c>
      <x:c r="Q1535" s="30"/>
      <x:c r="R1535" s="30" t="str">
        <x:v>Полный PDF МА2510406 + независимое решение</x:v>
      </x:c>
      <x:c r="S1535" s="30"/>
      <x:c r="T1535" s="30"/>
      <x:c r="U1535" s="30" t="str">
        <x:v>Расхождений не обнаружено.</x:v>
      </x:c>
      <x:c r="V1535" s="87" t="str">
        <x:v>VERIFIED</x:v>
      </x:c>
      <x:c r="W1535" s="87" t="str">
        <x:v>PDF, вариант МА2510406</x:v>
      </x:c>
      <x:c r="X1535" s="87"/>
      <x:c r="Y1535" s="87"/>
      <x:c r="Z1535" s="87"/>
      <x:c r="AA1535" s="87"/>
      <x:c r="AB1535" s="87"/>
      <x:c r="AC1535" s="87"/>
      <x:c r="AD1535" s="87"/>
      <x:c r="AE1535" s="87"/>
      <x:c r="AF1535" s="87"/>
      <x:c r="AG1535" s="87"/>
      <x:c r="AH1535" s="87"/>
      <x:c r="AI1535" s="30"/>
      <x:c r="AJ1535" s="87" t="str">
        <x:v>master</x:v>
      </x:c>
      <x:c r="AK1535" s="87" t="str">
        <x:v>master-v0.81</x:v>
      </x:c>
      <x:c r="AL1535" s="87" t="str">
        <x:v>statgrad_master_base_v0_81_final(2).xlsx</x:v>
      </x:c>
      <x:c r="AM1535" s="87" t="str">
        <x:v>MATH_Mar_Base_V6</x:v>
      </x:c>
      <x:c r="AN1535" s="87" t="n">
        <x:v>15</x:v>
      </x:c>
    </x:row>
    <x:row r="1536">
      <x:c r="A1536" s="87" t="n">
        <x:v>1535</x:v>
      </x:c>
      <x:c r="B1536" s="87" t="str">
        <x:v>MAR-MATH-B-V6-015</x:v>
      </x:c>
      <x:c r="C1536" s="87" t="str">
        <x:v>СтатГрад</x:v>
      </x:c>
      <x:c r="D1536" s="87" t="str">
        <x:v>Март 2026</x:v>
      </x:c>
      <x:c r="E1536" s="87"/>
      <x:c r="F1536" s="87"/>
      <x:c r="G1536" s="87" t="str">
        <x:v>Математика</x:v>
      </x:c>
      <x:c r="H1536" s="87" t="str">
        <x:v>Базовый</x:v>
      </x:c>
      <x:c r="I1536" s="87" t="str">
        <x:v>ТР №4</x:v>
      </x:c>
      <x:c r="J1536" s="87" t="str">
        <x:v>МА2510406</x:v>
      </x:c>
      <x:c r="K1536" s="87" t="n">
        <x:v>15</x:v>
      </x:c>
      <x:c r="L1536" s="87" t="str">
        <x:v>Проценты</x:v>
      </x:c>
      <x:c r="M1536" s="30" t="str">
        <x:v>Число больных гриппом уменьшилось в пять раз. На сколько процентов оно уменьшилось?</x:v>
      </x:c>
      <x:c r="N1536" s="30" t="str">
        <x:v>80</x:v>
      </x:c>
      <x:c r="O1536" s="30" t="str">
        <x:v>После уменьшения осталось 1/5=20% исходного количества; снижение составляет 80%.</x:v>
      </x:c>
      <x:c r="P1536" s="30" t="str">
        <x:v>После уменьшения осталось 1/5=20% исходного количества; снижение составляет 80%.</x:v>
      </x:c>
      <x:c r="Q1536" s="30"/>
      <x:c r="R1536" s="30" t="str">
        <x:v>Полный PDF МА2510406 + независимое решение</x:v>
      </x:c>
      <x:c r="S1536" s="30"/>
      <x:c r="T1536" s="30"/>
      <x:c r="U1536" s="30" t="str">
        <x:v>Расхождений не обнаружено.</x:v>
      </x:c>
      <x:c r="V1536" s="87" t="str">
        <x:v>VERIFIED</x:v>
      </x:c>
      <x:c r="W1536" s="87" t="str">
        <x:v>PDF, вариант МА2510406</x:v>
      </x:c>
      <x:c r="X1536" s="87"/>
      <x:c r="Y1536" s="87"/>
      <x:c r="Z1536" s="87"/>
      <x:c r="AA1536" s="87"/>
      <x:c r="AB1536" s="87"/>
      <x:c r="AC1536" s="87"/>
      <x:c r="AD1536" s="87"/>
      <x:c r="AE1536" s="87"/>
      <x:c r="AF1536" s="87"/>
      <x:c r="AG1536" s="87"/>
      <x:c r="AH1536" s="87"/>
      <x:c r="AI1536" s="30"/>
      <x:c r="AJ1536" s="87" t="str">
        <x:v>master</x:v>
      </x:c>
      <x:c r="AK1536" s="87" t="str">
        <x:v>master-v0.81</x:v>
      </x:c>
      <x:c r="AL1536" s="87" t="str">
        <x:v>statgrad_master_base_v0_81_final(2).xlsx</x:v>
      </x:c>
      <x:c r="AM1536" s="87" t="str">
        <x:v>MATH_Mar_Base_V6</x:v>
      </x:c>
      <x:c r="AN1536" s="87" t="n">
        <x:v>16</x:v>
      </x:c>
    </x:row>
    <x:row r="1537">
      <x:c r="A1537" s="87" t="n">
        <x:v>1536</x:v>
      </x:c>
      <x:c r="B1537" s="87" t="str">
        <x:v>MAR-MATH-B-V6-016</x:v>
      </x:c>
      <x:c r="C1537" s="87" t="str">
        <x:v>СтатГрад</x:v>
      </x:c>
      <x:c r="D1537" s="87" t="str">
        <x:v>Март 2026</x:v>
      </x:c>
      <x:c r="E1537" s="87"/>
      <x:c r="F1537" s="87"/>
      <x:c r="G1537" s="87" t="str">
        <x:v>Математика</x:v>
      </x:c>
      <x:c r="H1537" s="87" t="str">
        <x:v>Базовый</x:v>
      </x:c>
      <x:c r="I1537" s="87" t="str">
        <x:v>ТР №4</x:v>
      </x:c>
      <x:c r="J1537" s="87" t="str">
        <x:v>МА2510406</x:v>
      </x:c>
      <x:c r="K1537" s="87" t="n">
        <x:v>16</x:v>
      </x:c>
      <x:c r="L1537" s="87" t="str">
        <x:v>Логарифмическое выражение</x:v>
      </x:c>
      <x:c r="M1537" s="30" t="str">
        <x:v>Вычислить 7^(2log₇3).</x:v>
      </x:c>
      <x:c r="N1537" s="30" t="str">
        <x:v>9</x:v>
      </x:c>
      <x:c r="O1537" s="30" t="str">
        <x:v>7^(2log₇3)=(7^(log₇3))²=3²=9.</x:v>
      </x:c>
      <x:c r="P1537" s="30" t="str">
        <x:v>7^(2log₇3)=(7^(log₇3))²=3²=9.</x:v>
      </x:c>
      <x:c r="Q1537" s="30"/>
      <x:c r="R1537" s="30" t="str">
        <x:v>Полный PDF МА2510406 + независимое решение</x:v>
      </x:c>
      <x:c r="S1537" s="30"/>
      <x:c r="T1537" s="30"/>
      <x:c r="U1537" s="30" t="str">
        <x:v>Расхождений не обнаружено.</x:v>
      </x:c>
      <x:c r="V1537" s="87" t="str">
        <x:v>VERIFIED</x:v>
      </x:c>
      <x:c r="W1537" s="87" t="str">
        <x:v>PDF, вариант МА2510406</x:v>
      </x:c>
      <x:c r="X1537" s="87"/>
      <x:c r="Y1537" s="87"/>
      <x:c r="Z1537" s="87"/>
      <x:c r="AA1537" s="87"/>
      <x:c r="AB1537" s="87"/>
      <x:c r="AC1537" s="87"/>
      <x:c r="AD1537" s="87"/>
      <x:c r="AE1537" s="87"/>
      <x:c r="AF1537" s="87"/>
      <x:c r="AG1537" s="87"/>
      <x:c r="AH1537" s="87"/>
      <x:c r="AI1537" s="30"/>
      <x:c r="AJ1537" s="87" t="str">
        <x:v>master</x:v>
      </x:c>
      <x:c r="AK1537" s="87" t="str">
        <x:v>master-v0.81</x:v>
      </x:c>
      <x:c r="AL1537" s="87" t="str">
        <x:v>statgrad_master_base_v0_81_final(2).xlsx</x:v>
      </x:c>
      <x:c r="AM1537" s="87" t="str">
        <x:v>MATH_Mar_Base_V6</x:v>
      </x:c>
      <x:c r="AN1537" s="87" t="n">
        <x:v>17</x:v>
      </x:c>
    </x:row>
    <x:row r="1538">
      <x:c r="A1538" s="87" t="n">
        <x:v>1537</x:v>
      </x:c>
      <x:c r="B1538" s="87" t="str">
        <x:v>MAR-MATH-B-V6-017</x:v>
      </x:c>
      <x:c r="C1538" s="87" t="str">
        <x:v>СтатГрад</x:v>
      </x:c>
      <x:c r="D1538" s="87" t="str">
        <x:v>Март 2026</x:v>
      </x:c>
      <x:c r="E1538" s="87"/>
      <x:c r="F1538" s="87"/>
      <x:c r="G1538" s="87" t="str">
        <x:v>Математика</x:v>
      </x:c>
      <x:c r="H1538" s="87" t="str">
        <x:v>Базовый</x:v>
      </x:c>
      <x:c r="I1538" s="87" t="str">
        <x:v>ТР №4</x:v>
      </x:c>
      <x:c r="J1538" s="87" t="str">
        <x:v>МА2510406</x:v>
      </x:c>
      <x:c r="K1538" s="87" t="n">
        <x:v>17</x:v>
      </x:c>
      <x:c r="L1538" s="87" t="str">
        <x:v>Линейное уравнение</x:v>
      </x:c>
      <x:c r="M1538" s="30" t="str">
        <x:v>Решить уравнение 1+8(−x+10)=9.</x:v>
      </x:c>
      <x:c r="N1538" s="30" t="str">
        <x:v>9</x:v>
      </x:c>
      <x:c r="O1538" s="30" t="str">
        <x:v>1−8x+80=9; −8x=−72; x=9.</x:v>
      </x:c>
      <x:c r="P1538" s="30" t="str">
        <x:v>1−8x+80=9; −8x=−72; x=9.</x:v>
      </x:c>
      <x:c r="Q1538" s="30"/>
      <x:c r="R1538" s="30" t="str">
        <x:v>Полный PDF МА2510406 + независимое решение</x:v>
      </x:c>
      <x:c r="S1538" s="30"/>
      <x:c r="T1538" s="30"/>
      <x:c r="U1538" s="30" t="str">
        <x:v>Расхождений не обнаружено.</x:v>
      </x:c>
      <x:c r="V1538" s="87" t="str">
        <x:v>VERIFIED</x:v>
      </x:c>
      <x:c r="W1538" s="87" t="str">
        <x:v>PDF, вариант МА2510406</x:v>
      </x:c>
      <x:c r="X1538" s="87"/>
      <x:c r="Y1538" s="87"/>
      <x:c r="Z1538" s="87"/>
      <x:c r="AA1538" s="87"/>
      <x:c r="AB1538" s="87"/>
      <x:c r="AC1538" s="87"/>
      <x:c r="AD1538" s="87"/>
      <x:c r="AE1538" s="87"/>
      <x:c r="AF1538" s="87"/>
      <x:c r="AG1538" s="87"/>
      <x:c r="AH1538" s="87"/>
      <x:c r="AI1538" s="30"/>
      <x:c r="AJ1538" s="87" t="str">
        <x:v>master</x:v>
      </x:c>
      <x:c r="AK1538" s="87" t="str">
        <x:v>master-v0.81</x:v>
      </x:c>
      <x:c r="AL1538" s="87" t="str">
        <x:v>statgrad_master_base_v0_81_final(2).xlsx</x:v>
      </x:c>
      <x:c r="AM1538" s="87" t="str">
        <x:v>MATH_Mar_Base_V6</x:v>
      </x:c>
      <x:c r="AN1538" s="87" t="n">
        <x:v>18</x:v>
      </x:c>
    </x:row>
    <x:row r="1539">
      <x:c r="A1539" s="87" t="n">
        <x:v>1538</x:v>
      </x:c>
      <x:c r="B1539" s="87" t="str">
        <x:v>MAR-MATH-B-V6-018</x:v>
      </x:c>
      <x:c r="C1539" s="87" t="str">
        <x:v>СтатГрад</x:v>
      </x:c>
      <x:c r="D1539" s="87" t="str">
        <x:v>Март 2026</x:v>
      </x:c>
      <x:c r="E1539" s="87"/>
      <x:c r="F1539" s="87"/>
      <x:c r="G1539" s="87" t="str">
        <x:v>Математика</x:v>
      </x:c>
      <x:c r="H1539" s="87" t="str">
        <x:v>Базовый</x:v>
      </x:c>
      <x:c r="I1539" s="87" t="str">
        <x:v>ТР №4</x:v>
      </x:c>
      <x:c r="J1539" s="87" t="str">
        <x:v>МА2510406</x:v>
      </x:c>
      <x:c r="K1539" s="87" t="n">
        <x:v>18</x:v>
      </x:c>
      <x:c r="L1539" s="87" t="str">
        <x:v>Числовые промежутки</x:v>
      </x:c>
      <x:c r="M1539" s="30" t="str">
        <x:v>Сопоставить log₄0,6; 50/11; 0,6⁻²; √0,68 с отрезками [−1;0], [0;1], [2;3], [4;5].</x:v>
      </x:c>
      <x:c r="N1539" s="30" t="str">
        <x:v>1432</x:v>
      </x:c>
      <x:c r="O1539" s="30" t="str">
        <x:v>log₄0,6≈−0,368 — отрезок 1; 50/11≈4,545 — 4; 0,6⁻²≈2,778 — 3; √0,68≈0,825 — 2.</x:v>
      </x:c>
      <x:c r="P1539" s="30" t="str">
        <x:v>log₄0,6≈−0,368 — отрезок 1; 50/11≈4,545 — 4; 0,6⁻²≈2,778 — 3; √0,68≈0,825 — 2.</x:v>
      </x:c>
      <x:c r="Q1539" s="30"/>
      <x:c r="R1539" s="30" t="str">
        <x:v>Полный PDF МА2510406 + независимое решение</x:v>
      </x:c>
      <x:c r="S1539" s="30"/>
      <x:c r="T1539" s="30"/>
      <x:c r="U1539" s="30" t="str">
        <x:v>Расхождений не обнаружено.</x:v>
      </x:c>
      <x:c r="V1539" s="87" t="str">
        <x:v>VERIFIED</x:v>
      </x:c>
      <x:c r="W1539" s="87" t="str">
        <x:v>PDF, вариант МА2510406</x:v>
      </x:c>
      <x:c r="X1539" s="87"/>
      <x:c r="Y1539" s="87"/>
      <x:c r="Z1539" s="87"/>
      <x:c r="AA1539" s="87"/>
      <x:c r="AB1539" s="87"/>
      <x:c r="AC1539" s="87"/>
      <x:c r="AD1539" s="87"/>
      <x:c r="AE1539" s="87"/>
      <x:c r="AF1539" s="87"/>
      <x:c r="AG1539" s="87"/>
      <x:c r="AH1539" s="87"/>
      <x:c r="AI1539" s="30"/>
      <x:c r="AJ1539" s="87" t="str">
        <x:v>master</x:v>
      </x:c>
      <x:c r="AK1539" s="87" t="str">
        <x:v>master-v0.81</x:v>
      </x:c>
      <x:c r="AL1539" s="87" t="str">
        <x:v>statgrad_master_base_v0_81_final(2).xlsx</x:v>
      </x:c>
      <x:c r="AM1539" s="87" t="str">
        <x:v>MATH_Mar_Base_V6</x:v>
      </x:c>
      <x:c r="AN1539" s="87" t="n">
        <x:v>19</x:v>
      </x:c>
    </x:row>
    <x:row r="1540">
      <x:c r="A1540" s="87" t="n">
        <x:v>1539</x:v>
      </x:c>
      <x:c r="B1540" s="87" t="str">
        <x:v>MAR-MATH-B-V6-019</x:v>
      </x:c>
      <x:c r="C1540" s="87" t="str">
        <x:v>СтатГрад</x:v>
      </x:c>
      <x:c r="D1540" s="87" t="str">
        <x:v>Март 2026</x:v>
      </x:c>
      <x:c r="E1540" s="87"/>
      <x:c r="F1540" s="87"/>
      <x:c r="G1540" s="87" t="str">
        <x:v>Математика</x:v>
      </x:c>
      <x:c r="H1540" s="87" t="str">
        <x:v>Базовый</x:v>
      </x:c>
      <x:c r="I1540" s="87" t="str">
        <x:v>ТР №4</x:v>
      </x:c>
      <x:c r="J1540" s="87" t="str">
        <x:v>МА2510406</x:v>
      </x:c>
      <x:c r="K1540" s="87" t="n">
        <x:v>19</x:v>
      </x:c>
      <x:c r="L1540" s="87" t="str">
        <x:v>Цифровая запись числа</x:v>
      </x:c>
      <x:c r="M1540" s="30" t="str">
        <x:v>Найти четырёхзначное число, кратное 55, все цифры которого различны и нечётны.</x:v>
      </x:c>
      <x:c r="N1540" s="30" t="str">
        <x:v>1375</x:v>
      </x:c>
      <x:c r="O1540" s="30" t="str">
        <x:v>1375=55·25; цифры 1, 3, 7, 5 различны и нечётны.</x:v>
      </x:c>
      <x:c r="P1540" s="30" t="str">
        <x:v>Полным перебором также найдены 3795, 7315 и 9735.</x:v>
      </x:c>
      <x:c r="Q1540" s="30"/>
      <x:c r="R1540" s="30" t="str">
        <x:v>Полный PDF МА2510406 + независимое решение</x:v>
      </x:c>
      <x:c r="S1540" s="30"/>
      <x:c r="T1540" s="30"/>
      <x:c r="U1540" s="30" t="str">
        <x:v>Допустим любой корректный пример.</x:v>
      </x:c>
      <x:c r="V1540" s="87" t="str">
        <x:v>VERIFIED</x:v>
      </x:c>
      <x:c r="W1540" s="87" t="str">
        <x:v>PDF, вариант МА2510406</x:v>
      </x:c>
      <x:c r="X1540" s="87"/>
      <x:c r="Y1540" s="87"/>
      <x:c r="Z1540" s="87"/>
      <x:c r="AA1540" s="87"/>
      <x:c r="AB1540" s="87"/>
      <x:c r="AC1540" s="87"/>
      <x:c r="AD1540" s="87"/>
      <x:c r="AE1540" s="87"/>
      <x:c r="AF1540" s="87"/>
      <x:c r="AG1540" s="87"/>
      <x:c r="AH1540" s="87"/>
      <x:c r="AI1540" s="30"/>
      <x:c r="AJ1540" s="87" t="str">
        <x:v>master</x:v>
      </x:c>
      <x:c r="AK1540" s="87" t="str">
        <x:v>master-v0.81</x:v>
      </x:c>
      <x:c r="AL1540" s="87" t="str">
        <x:v>statgrad_master_base_v0_81_final(2).xlsx</x:v>
      </x:c>
      <x:c r="AM1540" s="87" t="str">
        <x:v>MATH_Mar_Base_V6</x:v>
      </x:c>
      <x:c r="AN1540" s="87" t="n">
        <x:v>20</x:v>
      </x:c>
    </x:row>
    <x:row r="1541">
      <x:c r="A1541" s="87" t="n">
        <x:v>1540</x:v>
      </x:c>
      <x:c r="B1541" s="87" t="str">
        <x:v>MAR-MATH-B-V6-020</x:v>
      </x:c>
      <x:c r="C1541" s="87" t="str">
        <x:v>СтатГрад</x:v>
      </x:c>
      <x:c r="D1541" s="87" t="str">
        <x:v>Март 2026</x:v>
      </x:c>
      <x:c r="E1541" s="87"/>
      <x:c r="F1541" s="87"/>
      <x:c r="G1541" s="87" t="str">
        <x:v>Математика</x:v>
      </x:c>
      <x:c r="H1541" s="87" t="str">
        <x:v>Базовый</x:v>
      </x:c>
      <x:c r="I1541" s="87" t="str">
        <x:v>ТР №4</x:v>
      </x:c>
      <x:c r="J1541" s="87" t="str">
        <x:v>МА2510406</x:v>
      </x:c>
      <x:c r="K1541" s="87" t="n">
        <x:v>20</x:v>
      </x:c>
      <x:c r="L1541" s="87" t="str">
        <x:v>Движение по прямой</x:v>
      </x:c>
      <x:c r="M1541" s="30" t="str">
        <x:v>Расстояние A—B равно 670 км. Второй автомобиль выехал навстречу через 2 часа со скоростью 90 км/ч. Встреча произошла в 400 км от A. Найти скорость первого.</x:v>
      </x:c>
      <x:c r="N1541" s="30" t="str">
        <x:v>80</x:v>
      </x:c>
      <x:c r="O1541" s="30" t="str">
        <x:v>Второй прошёл 670−400=270 км за 3 часа. Первый был в пути 3+2=5 часов и прошёл 400 км; его скорость 400/5=80 км/ч.</x:v>
      </x:c>
      <x:c r="P1541" s="30" t="str">
        <x:v>Второй прошёл 670−400=270 км за 3 часа. Первый был в пути 3+2=5 часов и прошёл 400 км; его скорость 400/5=80 км/ч.</x:v>
      </x:c>
      <x:c r="Q1541" s="30"/>
      <x:c r="R1541" s="30" t="str">
        <x:v>Полный PDF МА2510406 + независимое решение</x:v>
      </x:c>
      <x:c r="S1541" s="30"/>
      <x:c r="T1541" s="30"/>
      <x:c r="U1541" s="30" t="str">
        <x:v>Расхождений не обнаружено.</x:v>
      </x:c>
      <x:c r="V1541" s="87" t="str">
        <x:v>VERIFIED</x:v>
      </x:c>
      <x:c r="W1541" s="87" t="str">
        <x:v>PDF, вариант МА2510406</x:v>
      </x:c>
      <x:c r="X1541" s="87"/>
      <x:c r="Y1541" s="87"/>
      <x:c r="Z1541" s="87"/>
      <x:c r="AA1541" s="87"/>
      <x:c r="AB1541" s="87"/>
      <x:c r="AC1541" s="87"/>
      <x:c r="AD1541" s="87"/>
      <x:c r="AE1541" s="87"/>
      <x:c r="AF1541" s="87"/>
      <x:c r="AG1541" s="87"/>
      <x:c r="AH1541" s="87"/>
      <x:c r="AI1541" s="30"/>
      <x:c r="AJ1541" s="87" t="str">
        <x:v>master</x:v>
      </x:c>
      <x:c r="AK1541" s="87" t="str">
        <x:v>master-v0.81</x:v>
      </x:c>
      <x:c r="AL1541" s="87" t="str">
        <x:v>statgrad_master_base_v0_81_final(2).xlsx</x:v>
      </x:c>
      <x:c r="AM1541" s="87" t="str">
        <x:v>MATH_Mar_Base_V6</x:v>
      </x:c>
      <x:c r="AN1541" s="87" t="n">
        <x:v>21</x:v>
      </x:c>
    </x:row>
    <x:row r="1542">
      <x:c r="A1542" s="87" t="n">
        <x:v>1541</x:v>
      </x:c>
      <x:c r="B1542" s="87" t="str">
        <x:v>MAR-MATH-B-V6-021</x:v>
      </x:c>
      <x:c r="C1542" s="87" t="str">
        <x:v>СтатГрад</x:v>
      </x:c>
      <x:c r="D1542" s="87" t="str">
        <x:v>Март 2026</x:v>
      </x:c>
      <x:c r="E1542" s="87"/>
      <x:c r="F1542" s="87"/>
      <x:c r="G1542" s="87" t="str">
        <x:v>Математика</x:v>
      </x:c>
      <x:c r="H1542" s="87" t="str">
        <x:v>Базовый</x:v>
      </x:c>
      <x:c r="I1542" s="87" t="str">
        <x:v>ТР №4</x:v>
      </x:c>
      <x:c r="J1542" s="87" t="str">
        <x:v>МА2510406</x:v>
      </x:c>
      <x:c r="K1542" s="87" t="n">
        <x:v>21</x:v>
      </x:c>
      <x:c r="L1542" s="87" t="str">
        <x:v>Задача на распилы</x:v>
      </x:c>
      <x:c r="M1542" s="30" t="str">
        <x:v>Несколько досок распилили, сделав 5 поперечных распилов, и получили 23 куска. Сколько досок было первоначально?</x:v>
      </x:c>
      <x:c r="N1542" s="30" t="str">
        <x:v>18</x:v>
      </x:c>
      <x:c r="O1542" s="30" t="str">
        <x:v>Каждый распил увеличивает число кусков на 1. Начальное число досок равно 23−5=18.</x:v>
      </x:c>
      <x:c r="P1542" s="30" t="str">
        <x:v>Каждый распил увеличивает число кусков на 1. Начальное число досок равно 23−5=18.</x:v>
      </x:c>
      <x:c r="Q1542" s="30"/>
      <x:c r="R1542" s="30" t="str">
        <x:v>Полный PDF МА2510406 + независимое решение</x:v>
      </x:c>
      <x:c r="S1542" s="30"/>
      <x:c r="T1542" s="30"/>
      <x:c r="U1542" s="30" t="str">
        <x:v>Расхождений не обнаружено.</x:v>
      </x:c>
      <x:c r="V1542" s="87" t="str">
        <x:v>VERIFIED</x:v>
      </x:c>
      <x:c r="W1542" s="87" t="str">
        <x:v>PDF, вариант МА2510406</x:v>
      </x:c>
      <x:c r="X1542" s="87"/>
      <x:c r="Y1542" s="87"/>
      <x:c r="Z1542" s="87"/>
      <x:c r="AA1542" s="87"/>
      <x:c r="AB1542" s="87"/>
      <x:c r="AC1542" s="87"/>
      <x:c r="AD1542" s="87"/>
      <x:c r="AE1542" s="87"/>
      <x:c r="AF1542" s="87"/>
      <x:c r="AG1542" s="87"/>
      <x:c r="AH1542" s="87"/>
      <x:c r="AI1542" s="30"/>
      <x:c r="AJ1542" s="87" t="str">
        <x:v>master</x:v>
      </x:c>
      <x:c r="AK1542" s="87" t="str">
        <x:v>master-v0.81</x:v>
      </x:c>
      <x:c r="AL1542" s="87" t="str">
        <x:v>statgrad_master_base_v0_81_final(2).xlsx</x:v>
      </x:c>
      <x:c r="AM1542" s="87" t="str">
        <x:v>MATH_Mar_Base_V6</x:v>
      </x:c>
      <x:c r="AN1542" s="87" t="n">
        <x:v>22</x:v>
      </x:c>
    </x:row>
    <x:row r="1543">
      <x:c r="A1543" s="87" t="n">
        <x:v>1542</x:v>
      </x:c>
      <x:c r="B1543" s="87" t="str">
        <x:v>FEB-RUS-V2-001</x:v>
      </x:c>
      <x:c r="C1543" s="87" t="str">
        <x:v>СтатГрад</x:v>
      </x:c>
      <x:c r="D1543" s="87" t="str">
        <x:v>Февраль 2026</x:v>
      </x:c>
      <x:c r="E1543" s="87"/>
      <x:c r="F1543" s="87"/>
      <x:c r="G1543" s="87" t="str">
        <x:v>Русский язык</x:v>
      </x:c>
      <x:c r="H1543" s="87" t="n">
        <x:v>11</x:v>
      </x:c>
      <x:c r="I1543" s="87" t="str">
        <x:v>ТР №4</x:v>
      </x:c>
      <x:c r="J1543" s="87" t="str">
        <x:v>РЯ2510502</x:v>
      </x:c>
      <x:c r="K1543" s="87" t="n">
        <x:v>1</x:v>
      </x:c>
      <x:c r="L1543" s="87" t="str">
        <x:v>Средство связи</x:v>
      </x:c>
      <x:c r="M1543" s="30" t="str">
        <x:v>Подберите производный составной предлог перед словами «него вратарь „Автомобилиста“…».</x:v>
      </x:c>
      <x:c r="N1543" s="30" t="str">
        <x:v>в отличие от</x:v>
      </x:c>
      <x:c r="O1543" s="30" t="str">
        <x:v>Предлог сопоставляет двух вратарей: один пропустил пять шайб, в отличие от него другой не пропустил ни одной.</x:v>
      </x:c>
      <x:c r="P1543" s="30" t="str">
        <x:v>Проверены значение противопоставления и управление родительным падежом.</x:v>
      </x:c>
      <x:c r="Q1543" s="30"/>
      <x:c r="R1543" s="30" t="str">
        <x:v>в отличие от</x:v>
      </x:c>
      <x:c r="S1543" s="30"/>
      <x:c r="T1543" s="30"/>
      <x:c r="U1543" s="30" t="str">
        <x:v>Расхождений нет.</x:v>
      </x:c>
      <x:c r="V1543" s="87" t="str">
        <x:v>VERIFIED</x:v>
      </x:c>
      <x:c r="W1543" s="87" t="n">
        <x:v>2</x:v>
      </x:c>
      <x:c r="X1543" s="87"/>
      <x:c r="Y1543" s="87"/>
      <x:c r="Z1543" s="87"/>
      <x:c r="AA1543" s="87"/>
      <x:c r="AB1543" s="87"/>
      <x:c r="AC1543" s="87"/>
      <x:c r="AD1543" s="87"/>
      <x:c r="AE1543" s="87"/>
      <x:c r="AF1543" s="87"/>
      <x:c r="AG1543" s="87"/>
      <x:c r="AH1543" s="87"/>
      <x:c r="AI1543" s="30"/>
      <x:c r="AJ1543" s="87" t="str">
        <x:v>master</x:v>
      </x:c>
      <x:c r="AK1543" s="87" t="str">
        <x:v>master-v0.81</x:v>
      </x:c>
      <x:c r="AL1543" s="87" t="str">
        <x:v>statgrad_master_base_v0_81_final(2).xlsx</x:v>
      </x:c>
      <x:c r="AM1543" s="87" t="str">
        <x:v>RUS_Feb_V2</x:v>
      </x:c>
      <x:c r="AN1543" s="87" t="n">
        <x:v>2</x:v>
      </x:c>
    </x:row>
    <x:row r="1544">
      <x:c r="A1544" s="87" t="n">
        <x:v>1543</x:v>
      </x:c>
      <x:c r="B1544" s="87" t="str">
        <x:v>FEB-RUS-V2-002</x:v>
      </x:c>
      <x:c r="C1544" s="87" t="str">
        <x:v>СтатГрад</x:v>
      </x:c>
      <x:c r="D1544" s="87" t="str">
        <x:v>Февраль 2026</x:v>
      </x:c>
      <x:c r="E1544" s="87"/>
      <x:c r="F1544" s="87"/>
      <x:c r="G1544" s="87" t="str">
        <x:v>Русский язык</x:v>
      </x:c>
      <x:c r="H1544" s="87" t="n">
        <x:v>11</x:v>
      </x:c>
      <x:c r="I1544" s="87" t="str">
        <x:v>ТР №4</x:v>
      </x:c>
      <x:c r="J1544" s="87" t="str">
        <x:v>РЯ2510502</x:v>
      </x:c>
      <x:c r="K1544" s="87" t="n">
        <x:v>2</x:v>
      </x:c>
      <x:c r="L1544" s="87" t="str">
        <x:v>Лексическое значение</x:v>
      </x:c>
      <x:c r="M1544" s="30" t="str">
        <x:v>Укажите слова, значение которых соответствует употреблению в спортивной заметке.</x:v>
      </x:c>
      <x:c r="N1544" s="30" t="str">
        <x:v>45</x:v>
      </x:c>
      <x:c r="O1544" s="30" t="str">
        <x:v>«Матч прошёл» означает «состоялся», а «пустые ворота» — ворота без вратаря.</x:v>
      </x:c>
      <x:c r="P1544" s="30" t="str">
        <x:v>Все пять толкований сопоставлены с контекстом.</x:v>
      </x:c>
      <x:c r="Q1544" s="30"/>
      <x:c r="R1544" s="30" t="str">
        <x:v>45</x:v>
      </x:c>
      <x:c r="S1544" s="30"/>
      <x:c r="T1544" s="30"/>
      <x:c r="U1544" s="30" t="str">
        <x:v>Расхождений нет.</x:v>
      </x:c>
      <x:c r="V1544" s="87" t="str">
        <x:v>VERIFIED</x:v>
      </x:c>
      <x:c r="W1544" s="87" t="n">
        <x:v>3</x:v>
      </x:c>
      <x:c r="X1544" s="87"/>
      <x:c r="Y1544" s="87"/>
      <x:c r="Z1544" s="87"/>
      <x:c r="AA1544" s="87"/>
      <x:c r="AB1544" s="87"/>
      <x:c r="AC1544" s="87"/>
      <x:c r="AD1544" s="87"/>
      <x:c r="AE1544" s="87"/>
      <x:c r="AF1544" s="87"/>
      <x:c r="AG1544" s="87"/>
      <x:c r="AH1544" s="87"/>
      <x:c r="AI1544" s="30"/>
      <x:c r="AJ1544" s="87" t="str">
        <x:v>master</x:v>
      </x:c>
      <x:c r="AK1544" s="87" t="str">
        <x:v>master-v0.81</x:v>
      </x:c>
      <x:c r="AL1544" s="87" t="str">
        <x:v>statgrad_master_base_v0_81_final(2).xlsx</x:v>
      </x:c>
      <x:c r="AM1544" s="87" t="str">
        <x:v>RUS_Feb_V2</x:v>
      </x:c>
      <x:c r="AN1544" s="87" t="n">
        <x:v>3</x:v>
      </x:c>
    </x:row>
    <x:row r="1545">
      <x:c r="A1545" s="87" t="n">
        <x:v>1544</x:v>
      </x:c>
      <x:c r="B1545" s="87" t="str">
        <x:v>FEB-RUS-V2-003</x:v>
      </x:c>
      <x:c r="C1545" s="87" t="str">
        <x:v>СтатГрад</x:v>
      </x:c>
      <x:c r="D1545" s="87" t="str">
        <x:v>Февраль 2026</x:v>
      </x:c>
      <x:c r="E1545" s="87"/>
      <x:c r="F1545" s="87"/>
      <x:c r="G1545" s="87" t="str">
        <x:v>Русский язык</x:v>
      </x:c>
      <x:c r="H1545" s="87" t="n">
        <x:v>11</x:v>
      </x:c>
      <x:c r="I1545" s="87" t="str">
        <x:v>ТР №4</x:v>
      </x:c>
      <x:c r="J1545" s="87" t="str">
        <x:v>РЯ2510502</x:v>
      </x:c>
      <x:c r="K1545" s="87" t="n">
        <x:v>3</x:v>
      </x:c>
      <x:c r="L1545" s="87" t="str">
        <x:v>Стилистический анализ</x:v>
      </x:c>
      <x:c r="M1545" s="30" t="str">
        <x:v>Выберите верные характеристики текста о двух хоккейных матчах.</x:v>
      </x:c>
      <x:c r="N1545" s="30" t="str">
        <x:v>45</x:v>
      </x:c>
      <x:c r="O1545" s="30" t="str">
        <x:v>Текст спортивной публицистики содержит разнообразные синтаксические конструкции и выразительную оценочную лексику.</x:v>
      </x:c>
      <x:c r="P1545" s="30" t="str">
        <x:v>Признаки художественного и официально-делового стилей исключены.</x:v>
      </x:c>
      <x:c r="Q1545" s="30"/>
      <x:c r="R1545" s="30" t="str">
        <x:v>45</x:v>
      </x:c>
      <x:c r="S1545" s="30"/>
      <x:c r="T1545" s="30"/>
      <x:c r="U1545" s="30" t="str">
        <x:v>Расхождений нет.</x:v>
      </x:c>
      <x:c r="V1545" s="87" t="str">
        <x:v>VERIFIED</x:v>
      </x:c>
      <x:c r="W1545" s="87" t="n">
        <x:v>3</x:v>
      </x:c>
      <x:c r="X1545" s="87"/>
      <x:c r="Y1545" s="87"/>
      <x:c r="Z1545" s="87"/>
      <x:c r="AA1545" s="87"/>
      <x:c r="AB1545" s="87"/>
      <x:c r="AC1545" s="87"/>
      <x:c r="AD1545" s="87"/>
      <x:c r="AE1545" s="87"/>
      <x:c r="AF1545" s="87"/>
      <x:c r="AG1545" s="87"/>
      <x:c r="AH1545" s="87"/>
      <x:c r="AI1545" s="30"/>
      <x:c r="AJ1545" s="87" t="str">
        <x:v>master</x:v>
      </x:c>
      <x:c r="AK1545" s="87" t="str">
        <x:v>master-v0.81</x:v>
      </x:c>
      <x:c r="AL1545" s="87" t="str">
        <x:v>statgrad_master_base_v0_81_final(2).xlsx</x:v>
      </x:c>
      <x:c r="AM1545" s="87" t="str">
        <x:v>RUS_Feb_V2</x:v>
      </x:c>
      <x:c r="AN1545" s="87" t="n">
        <x:v>4</x:v>
      </x:c>
    </x:row>
    <x:row r="1546">
      <x:c r="A1546" s="87" t="n">
        <x:v>1545</x:v>
      </x:c>
      <x:c r="B1546" s="87" t="str">
        <x:v>FEB-RUS-V2-004</x:v>
      </x:c>
      <x:c r="C1546" s="87" t="str">
        <x:v>СтатГрад</x:v>
      </x:c>
      <x:c r="D1546" s="87" t="str">
        <x:v>Февраль 2026</x:v>
      </x:c>
      <x:c r="E1546" s="87"/>
      <x:c r="F1546" s="87"/>
      <x:c r="G1546" s="87" t="str">
        <x:v>Русский язык</x:v>
      </x:c>
      <x:c r="H1546" s="87" t="n">
        <x:v>11</x:v>
      </x:c>
      <x:c r="I1546" s="87" t="str">
        <x:v>ТР №4</x:v>
      </x:c>
      <x:c r="J1546" s="87" t="str">
        <x:v>РЯ2510502</x:v>
      </x:c>
      <x:c r="K1546" s="87" t="n">
        <x:v>4</x:v>
      </x:c>
      <x:c r="L1546" s="87" t="str">
        <x:v>Орфоэпия</x:v>
      </x:c>
      <x:c r="M1546" s="30" t="str">
        <x:v>Укажите слова с верно обозначенным ударением.</x:v>
      </x:c>
      <x:c r="N1546" s="30" t="str">
        <x:v>134</x:v>
      </x:c>
      <x:c r="O1546" s="30" t="str">
        <x:v>Нормативно: бАнты, ободрИть, бухгАлтеров; правильно также закУпорить и чЕрпать.</x:v>
      </x:c>
      <x:c r="P1546" s="30" t="str">
        <x:v>Нормативно: бАнты, ободрИть, бухгАлтеров; правильно также закУпорить и чЕрпать.</x:v>
      </x:c>
      <x:c r="Q1546" s="30"/>
      <x:c r="R1546" s="30" t="str">
        <x:v>134</x:v>
      </x:c>
      <x:c r="S1546" s="30"/>
      <x:c r="T1546" s="30"/>
      <x:c r="U1546" s="30" t="str">
        <x:v>Расхождений нет.</x:v>
      </x:c>
      <x:c r="V1546" s="87" t="str">
        <x:v>VERIFIED</x:v>
      </x:c>
      <x:c r="W1546" s="87" t="n">
        <x:v>4</x:v>
      </x:c>
      <x:c r="X1546" s="87"/>
      <x:c r="Y1546" s="87"/>
      <x:c r="Z1546" s="87"/>
      <x:c r="AA1546" s="87"/>
      <x:c r="AB1546" s="87"/>
      <x:c r="AC1546" s="87"/>
      <x:c r="AD1546" s="87"/>
      <x:c r="AE1546" s="87"/>
      <x:c r="AF1546" s="87"/>
      <x:c r="AG1546" s="87"/>
      <x:c r="AH1546" s="87"/>
      <x:c r="AI1546" s="30"/>
      <x:c r="AJ1546" s="87" t="str">
        <x:v>master</x:v>
      </x:c>
      <x:c r="AK1546" s="87" t="str">
        <x:v>master-v0.81</x:v>
      </x:c>
      <x:c r="AL1546" s="87" t="str">
        <x:v>statgrad_master_base_v0_81_final(2).xlsx</x:v>
      </x:c>
      <x:c r="AM1546" s="87" t="str">
        <x:v>RUS_Feb_V2</x:v>
      </x:c>
      <x:c r="AN1546" s="87" t="n">
        <x:v>5</x:v>
      </x:c>
    </x:row>
    <x:row r="1547">
      <x:c r="A1547" s="87" t="n">
        <x:v>1546</x:v>
      </x:c>
      <x:c r="B1547" s="87" t="str">
        <x:v>FEB-RUS-V2-005</x:v>
      </x:c>
      <x:c r="C1547" s="87" t="str">
        <x:v>СтатГрад</x:v>
      </x:c>
      <x:c r="D1547" s="87" t="str">
        <x:v>Февраль 2026</x:v>
      </x:c>
      <x:c r="E1547" s="87"/>
      <x:c r="F1547" s="87"/>
      <x:c r="G1547" s="87" t="str">
        <x:v>Русский язык</x:v>
      </x:c>
      <x:c r="H1547" s="87" t="n">
        <x:v>11</x:v>
      </x:c>
      <x:c r="I1547" s="87" t="str">
        <x:v>ТР №4</x:v>
      </x:c>
      <x:c r="J1547" s="87" t="str">
        <x:v>РЯ2510502</x:v>
      </x:c>
      <x:c r="K1547" s="87" t="n">
        <x:v>5</x:v>
      </x:c>
      <x:c r="L1547" s="87" t="str">
        <x:v>Паронимы</x:v>
      </x:c>
      <x:c r="M1547" s="30" t="str">
        <x:v>Исправьте сочетание «по причине безответных действий сотрудника».</x:v>
      </x:c>
      <x:c r="N1547" s="30" t="str">
        <x:v>безответственных</x:v>
      </x:c>
      <x:c r="O1547" s="30" t="str">
        <x:v>Действия без чувства ответственности называются безответственными.</x:v>
      </x:c>
      <x:c r="P1547" s="30" t="str">
        <x:v>Проверено различие паронимов «безответный — безответственный».</x:v>
      </x:c>
      <x:c r="Q1547" s="30"/>
      <x:c r="R1547" s="30" t="str">
        <x:v>безответственных</x:v>
      </x:c>
      <x:c r="S1547" s="30"/>
      <x:c r="T1547" s="30"/>
      <x:c r="U1547" s="30" t="str">
        <x:v>Расхождений нет.</x:v>
      </x:c>
      <x:c r="V1547" s="87" t="str">
        <x:v>VERIFIED</x:v>
      </x:c>
      <x:c r="W1547" s="87" t="n">
        <x:v>4</x:v>
      </x:c>
      <x:c r="X1547" s="87"/>
      <x:c r="Y1547" s="87"/>
      <x:c r="Z1547" s="87"/>
      <x:c r="AA1547" s="87"/>
      <x:c r="AB1547" s="87"/>
      <x:c r="AC1547" s="87"/>
      <x:c r="AD1547" s="87"/>
      <x:c r="AE1547" s="87"/>
      <x:c r="AF1547" s="87"/>
      <x:c r="AG1547" s="87"/>
      <x:c r="AH1547" s="87"/>
      <x:c r="AI1547" s="30"/>
      <x:c r="AJ1547" s="87" t="str">
        <x:v>master</x:v>
      </x:c>
      <x:c r="AK1547" s="87" t="str">
        <x:v>master-v0.81</x:v>
      </x:c>
      <x:c r="AL1547" s="87" t="str">
        <x:v>statgrad_master_base_v0_81_final(2).xlsx</x:v>
      </x:c>
      <x:c r="AM1547" s="87" t="str">
        <x:v>RUS_Feb_V2</x:v>
      </x:c>
      <x:c r="AN1547" s="87" t="n">
        <x:v>6</x:v>
      </x:c>
    </x:row>
    <x:row r="1548">
      <x:c r="A1548" s="87" t="n">
        <x:v>1547</x:v>
      </x:c>
      <x:c r="B1548" s="87" t="str">
        <x:v>FEB-RUS-V2-006</x:v>
      </x:c>
      <x:c r="C1548" s="87" t="str">
        <x:v>СтатГрад</x:v>
      </x:c>
      <x:c r="D1548" s="87" t="str">
        <x:v>Февраль 2026</x:v>
      </x:c>
      <x:c r="E1548" s="87"/>
      <x:c r="F1548" s="87"/>
      <x:c r="G1548" s="87" t="str">
        <x:v>Русский язык</x:v>
      </x:c>
      <x:c r="H1548" s="87" t="n">
        <x:v>11</x:v>
      </x:c>
      <x:c r="I1548" s="87" t="str">
        <x:v>ТР №4</x:v>
      </x:c>
      <x:c r="J1548" s="87" t="str">
        <x:v>РЯ2510502</x:v>
      </x:c>
      <x:c r="K1548" s="87" t="n">
        <x:v>6</x:v>
      </x:c>
      <x:c r="L1548" s="87" t="str">
        <x:v>Лексическая сочетаемость</x:v>
      </x:c>
      <x:c r="M1548" s="30" t="str">
        <x:v>Замените неверное сочетание «медведю необходимо броситься в спячку».</x:v>
      </x:c>
      <x:c r="N1548" s="30" t="str">
        <x:v>впасть</x:v>
      </x:c>
      <x:c r="O1548" s="30" t="str">
        <x:v>Нормативное сочетание — «впасть в спячку»; допустимо «залечь в спячку».</x:v>
      </x:c>
      <x:c r="P1548" s="30" t="str">
        <x:v>Нормативное сочетание — «впасть в спячку»; допустимо «залечь в спячку».</x:v>
      </x:c>
      <x:c r="Q1548" s="30"/>
      <x:c r="R1548" s="30" t="str">
        <x:v>впасть / залечь</x:v>
      </x:c>
      <x:c r="S1548" s="30"/>
      <x:c r="T1548" s="30"/>
      <x:c r="U1548" s="30" t="str">
        <x:v>Выбран один из двух допустимых ответов.</x:v>
      </x:c>
      <x:c r="V1548" s="87" t="str">
        <x:v>VERIFIED</x:v>
      </x:c>
      <x:c r="W1548" s="87" t="n">
        <x:v>4</x:v>
      </x:c>
      <x:c r="X1548" s="87"/>
      <x:c r="Y1548" s="87"/>
      <x:c r="Z1548" s="87"/>
      <x:c r="AA1548" s="87"/>
      <x:c r="AB1548" s="87"/>
      <x:c r="AC1548" s="87"/>
      <x:c r="AD1548" s="87"/>
      <x:c r="AE1548" s="87"/>
      <x:c r="AF1548" s="87"/>
      <x:c r="AG1548" s="87"/>
      <x:c r="AH1548" s="87"/>
      <x:c r="AI1548" s="30"/>
      <x:c r="AJ1548" s="87" t="str">
        <x:v>master</x:v>
      </x:c>
      <x:c r="AK1548" s="87" t="str">
        <x:v>master-v0.81</x:v>
      </x:c>
      <x:c r="AL1548" s="87" t="str">
        <x:v>statgrad_master_base_v0_81_final(2).xlsx</x:v>
      </x:c>
      <x:c r="AM1548" s="87" t="str">
        <x:v>RUS_Feb_V2</x:v>
      </x:c>
      <x:c r="AN1548" s="87" t="n">
        <x:v>7</x:v>
      </x:c>
    </x:row>
    <x:row r="1549">
      <x:c r="A1549" s="87" t="n">
        <x:v>1548</x:v>
      </x:c>
      <x:c r="B1549" s="87" t="str">
        <x:v>FEB-RUS-V2-007</x:v>
      </x:c>
      <x:c r="C1549" s="87" t="str">
        <x:v>СтатГрад</x:v>
      </x:c>
      <x:c r="D1549" s="87" t="str">
        <x:v>Февраль 2026</x:v>
      </x:c>
      <x:c r="E1549" s="87"/>
      <x:c r="F1549" s="87"/>
      <x:c r="G1549" s="87" t="str">
        <x:v>Русский язык</x:v>
      </x:c>
      <x:c r="H1549" s="87" t="n">
        <x:v>11</x:v>
      </x:c>
      <x:c r="I1549" s="87" t="str">
        <x:v>ТР №4</x:v>
      </x:c>
      <x:c r="J1549" s="87" t="str">
        <x:v>РЯ2510502</x:v>
      </x:c>
      <x:c r="K1549" s="87" t="n">
        <x:v>7</x:v>
      </x:c>
      <x:c r="L1549" s="87" t="str">
        <x:v>Морфологическая норма</x:v>
      </x:c>
      <x:c r="M1549" s="30" t="str">
        <x:v>Исправьте форму «железодорожное полотно».</x:v>
      </x:c>
      <x:c r="N1549" s="30" t="str">
        <x:v>железнодорожное</x:v>
      </x:c>
      <x:c r="O1549" s="30" t="str">
        <x:v>Прилагательное образовано от сочетания «железная дорога»: железнодорожное.</x:v>
      </x:c>
      <x:c r="P1549" s="30" t="str">
        <x:v>Прилагательное образовано от сочетания «железная дорога»: железнодорожное.</x:v>
      </x:c>
      <x:c r="Q1549" s="30"/>
      <x:c r="R1549" s="30" t="str">
        <x:v>железнодорожное</x:v>
      </x:c>
      <x:c r="S1549" s="30"/>
      <x:c r="T1549" s="30"/>
      <x:c r="U1549" s="30" t="str">
        <x:v>Расхождений нет.</x:v>
      </x:c>
      <x:c r="V1549" s="87" t="str">
        <x:v>VERIFIED</x:v>
      </x:c>
      <x:c r="W1549" s="87" t="n">
        <x:v>4</x:v>
      </x:c>
      <x:c r="X1549" s="87"/>
      <x:c r="Y1549" s="87"/>
      <x:c r="Z1549" s="87"/>
      <x:c r="AA1549" s="87"/>
      <x:c r="AB1549" s="87"/>
      <x:c r="AC1549" s="87"/>
      <x:c r="AD1549" s="87"/>
      <x:c r="AE1549" s="87"/>
      <x:c r="AF1549" s="87"/>
      <x:c r="AG1549" s="87"/>
      <x:c r="AH1549" s="87"/>
      <x:c r="AI1549" s="30"/>
      <x:c r="AJ1549" s="87" t="str">
        <x:v>master</x:v>
      </x:c>
      <x:c r="AK1549" s="87" t="str">
        <x:v>master-v0.81</x:v>
      </x:c>
      <x:c r="AL1549" s="87" t="str">
        <x:v>statgrad_master_base_v0_81_final(2).xlsx</x:v>
      </x:c>
      <x:c r="AM1549" s="87" t="str">
        <x:v>RUS_Feb_V2</x:v>
      </x:c>
      <x:c r="AN1549" s="87" t="n">
        <x:v>8</x:v>
      </x:c>
    </x:row>
    <x:row r="1550">
      <x:c r="A1550" s="87" t="n">
        <x:v>1549</x:v>
      </x:c>
      <x:c r="B1550" s="87" t="str">
        <x:v>FEB-RUS-V2-008</x:v>
      </x:c>
      <x:c r="C1550" s="87" t="str">
        <x:v>СтатГрад</x:v>
      </x:c>
      <x:c r="D1550" s="87" t="str">
        <x:v>Февраль 2026</x:v>
      </x:c>
      <x:c r="E1550" s="87"/>
      <x:c r="F1550" s="87"/>
      <x:c r="G1550" s="87" t="str">
        <x:v>Русский язык</x:v>
      </x:c>
      <x:c r="H1550" s="87" t="n">
        <x:v>11</x:v>
      </x:c>
      <x:c r="I1550" s="87" t="str">
        <x:v>ТР №4</x:v>
      </x:c>
      <x:c r="J1550" s="87" t="str">
        <x:v>РЯ2510502</x:v>
      </x:c>
      <x:c r="K1550" s="87" t="n">
        <x:v>8</x:v>
      </x:c>
      <x:c r="L1550" s="87" t="str">
        <x:v>Грамматические ошибки</x:v>
      </x:c>
      <x:c r="M1550" s="30" t="str">
        <x:v>Соотнесите типы грамматических ошибок с предложениями.</x:v>
      </x:c>
      <x:c r="N1550" s="30" t="str">
        <x:v>85647</x:v>
      </x:c>
      <x:c r="O1550" s="30" t="str">
        <x:v>Исправления затрагивают приложение, согласование, деепричастный оборот, однородные члены и сложное предложение.</x:v>
      </x:c>
      <x:c r="P1550" s="30" t="str">
        <x:v>Для каждого предложения построен нормативный вариант.</x:v>
      </x:c>
      <x:c r="Q1550" s="30"/>
      <x:c r="R1550" s="30" t="str">
        <x:v>85647</x:v>
      </x:c>
      <x:c r="S1550" s="30"/>
      <x:c r="T1550" s="30"/>
      <x:c r="U1550" s="30" t="str">
        <x:v>Расхождений нет.</x:v>
      </x:c>
      <x:c r="V1550" s="87" t="str">
        <x:v>VERIFIED</x:v>
      </x:c>
      <x:c r="W1550" s="87" t="n">
        <x:v>5</x:v>
      </x:c>
      <x:c r="X1550" s="87"/>
      <x:c r="Y1550" s="87"/>
      <x:c r="Z1550" s="87"/>
      <x:c r="AA1550" s="87"/>
      <x:c r="AB1550" s="87"/>
      <x:c r="AC1550" s="87"/>
      <x:c r="AD1550" s="87"/>
      <x:c r="AE1550" s="87"/>
      <x:c r="AF1550" s="87"/>
      <x:c r="AG1550" s="87"/>
      <x:c r="AH1550" s="87"/>
      <x:c r="AI1550" s="30"/>
      <x:c r="AJ1550" s="87" t="str">
        <x:v>master</x:v>
      </x:c>
      <x:c r="AK1550" s="87" t="str">
        <x:v>master-v0.81</x:v>
      </x:c>
      <x:c r="AL1550" s="87" t="str">
        <x:v>statgrad_master_base_v0_81_final(2).xlsx</x:v>
      </x:c>
      <x:c r="AM1550" s="87" t="str">
        <x:v>RUS_Feb_V2</x:v>
      </x:c>
      <x:c r="AN1550" s="87" t="n">
        <x:v>9</x:v>
      </x:c>
    </x:row>
    <x:row r="1551">
      <x:c r="A1551" s="87" t="n">
        <x:v>1550</x:v>
      </x:c>
      <x:c r="B1551" s="87" t="str">
        <x:v>FEB-RUS-V2-009</x:v>
      </x:c>
      <x:c r="C1551" s="87" t="str">
        <x:v>СтатГрад</x:v>
      </x:c>
      <x:c r="D1551" s="87" t="str">
        <x:v>Февраль 2026</x:v>
      </x:c>
      <x:c r="E1551" s="87"/>
      <x:c r="F1551" s="87"/>
      <x:c r="G1551" s="87" t="str">
        <x:v>Русский язык</x:v>
      </x:c>
      <x:c r="H1551" s="87" t="n">
        <x:v>11</x:v>
      </x:c>
      <x:c r="I1551" s="87" t="str">
        <x:v>ТР №4</x:v>
      </x:c>
      <x:c r="J1551" s="87" t="str">
        <x:v>РЯ2510502</x:v>
      </x:c>
      <x:c r="K1551" s="87" t="n">
        <x:v>9</x:v>
      </x:c>
      <x:c r="L1551" s="87" t="str">
        <x:v>Правописание корней</x:v>
      </x:c>
      <x:c r="M1551" s="30" t="str">
        <x:v>Выберите ряды, где во всех словах пропущена одна и та же буква.</x:v>
      </x:c>
      <x:c r="N1551" s="30" t="str">
        <x:v>34</x:v>
      </x:c>
      <x:c r="O1551" s="30" t="str">
        <x:v>В рядах 3 и 4 во всех словах восстанавливается буква А.</x:v>
      </x:c>
      <x:c r="P1551" s="30" t="str">
        <x:v>Каждое слово восстановлено полностью; учтено различие «ожог — ожёг».</x:v>
      </x:c>
      <x:c r="Q1551" s="30"/>
      <x:c r="R1551" s="30" t="str">
        <x:v>34</x:v>
      </x:c>
      <x:c r="S1551" s="30"/>
      <x:c r="T1551" s="30"/>
      <x:c r="U1551" s="30" t="str">
        <x:v>Расхождений нет.</x:v>
      </x:c>
      <x:c r="V1551" s="87" t="str">
        <x:v>VERIFIED</x:v>
      </x:c>
      <x:c r="W1551" s="87" t="n">
        <x:v>6</x:v>
      </x:c>
      <x:c r="X1551" s="87"/>
      <x:c r="Y1551" s="87"/>
      <x:c r="Z1551" s="87"/>
      <x:c r="AA1551" s="87"/>
      <x:c r="AB1551" s="87"/>
      <x:c r="AC1551" s="87"/>
      <x:c r="AD1551" s="87"/>
      <x:c r="AE1551" s="87"/>
      <x:c r="AF1551" s="87"/>
      <x:c r="AG1551" s="87"/>
      <x:c r="AH1551" s="87"/>
      <x:c r="AI1551" s="30"/>
      <x:c r="AJ1551" s="87" t="str">
        <x:v>master</x:v>
      </x:c>
      <x:c r="AK1551" s="87" t="str">
        <x:v>master-v0.81</x:v>
      </x:c>
      <x:c r="AL1551" s="87" t="str">
        <x:v>statgrad_master_base_v0_81_final(2).xlsx</x:v>
      </x:c>
      <x:c r="AM1551" s="87" t="str">
        <x:v>RUS_Feb_V2</x:v>
      </x:c>
      <x:c r="AN1551" s="87" t="n">
        <x:v>10</x:v>
      </x:c>
    </x:row>
    <x:row r="1552">
      <x:c r="A1552" s="87" t="n">
        <x:v>1551</x:v>
      </x:c>
      <x:c r="B1552" s="87" t="str">
        <x:v>FEB-RUS-V2-010</x:v>
      </x:c>
      <x:c r="C1552" s="87" t="str">
        <x:v>СтатГрад</x:v>
      </x:c>
      <x:c r="D1552" s="87" t="str">
        <x:v>Февраль 2026</x:v>
      </x:c>
      <x:c r="E1552" s="87"/>
      <x:c r="F1552" s="87"/>
      <x:c r="G1552" s="87" t="str">
        <x:v>Русский язык</x:v>
      </x:c>
      <x:c r="H1552" s="87" t="n">
        <x:v>11</x:v>
      </x:c>
      <x:c r="I1552" s="87" t="str">
        <x:v>ТР №4</x:v>
      </x:c>
      <x:c r="J1552" s="87" t="str">
        <x:v>РЯ2510502</x:v>
      </x:c>
      <x:c r="K1552" s="87" t="n">
        <x:v>10</x:v>
      </x:c>
      <x:c r="L1552" s="87" t="str">
        <x:v>Приставки</x:v>
      </x:c>
      <x:c r="M1552" s="30" t="str">
        <x:v>Выберите ряды, где во всех словах пропущена одна и та же буква или знак.</x:v>
      </x:c>
      <x:c r="N1552" s="30" t="str">
        <x:v>145</x:v>
      </x:c>
      <x:c r="O1552" s="30" t="str">
        <x:v>Подходят ряды с разделительным Ъ, приставкой С- и буквой А в приставках.</x:v>
      </x:c>
      <x:c r="P1552" s="30" t="str">
        <x:v>Все слова проверены по морфемному составу.</x:v>
      </x:c>
      <x:c r="Q1552" s="30"/>
      <x:c r="R1552" s="30" t="str">
        <x:v>145</x:v>
      </x:c>
      <x:c r="S1552" s="30"/>
      <x:c r="T1552" s="30"/>
      <x:c r="U1552" s="30" t="str">
        <x:v>Расхождений нет.</x:v>
      </x:c>
      <x:c r="V1552" s="87" t="str">
        <x:v>VERIFIED</x:v>
      </x:c>
      <x:c r="W1552" s="87" t="n">
        <x:v>6</x:v>
      </x:c>
      <x:c r="X1552" s="87"/>
      <x:c r="Y1552" s="87"/>
      <x:c r="Z1552" s="87"/>
      <x:c r="AA1552" s="87"/>
      <x:c r="AB1552" s="87"/>
      <x:c r="AC1552" s="87"/>
      <x:c r="AD1552" s="87"/>
      <x:c r="AE1552" s="87"/>
      <x:c r="AF1552" s="87"/>
      <x:c r="AG1552" s="87"/>
      <x:c r="AH1552" s="87"/>
      <x:c r="AI1552" s="30"/>
      <x:c r="AJ1552" s="87" t="str">
        <x:v>master</x:v>
      </x:c>
      <x:c r="AK1552" s="87" t="str">
        <x:v>master-v0.81</x:v>
      </x:c>
      <x:c r="AL1552" s="87" t="str">
        <x:v>statgrad_master_base_v0_81_final(2).xlsx</x:v>
      </x:c>
      <x:c r="AM1552" s="87" t="str">
        <x:v>RUS_Feb_V2</x:v>
      </x:c>
      <x:c r="AN1552" s="87" t="n">
        <x:v>11</x:v>
      </x:c>
    </x:row>
    <x:row r="1553">
      <x:c r="A1553" s="87" t="n">
        <x:v>1552</x:v>
      </x:c>
      <x:c r="B1553" s="87" t="str">
        <x:v>FEB-RUS-V2-011</x:v>
      </x:c>
      <x:c r="C1553" s="87" t="str">
        <x:v>СтатГрад</x:v>
      </x:c>
      <x:c r="D1553" s="87" t="str">
        <x:v>Февраль 2026</x:v>
      </x:c>
      <x:c r="E1553" s="87"/>
      <x:c r="F1553" s="87"/>
      <x:c r="G1553" s="87" t="str">
        <x:v>Русский язык</x:v>
      </x:c>
      <x:c r="H1553" s="87" t="n">
        <x:v>11</x:v>
      </x:c>
      <x:c r="I1553" s="87" t="str">
        <x:v>ТР №4</x:v>
      </x:c>
      <x:c r="J1553" s="87" t="str">
        <x:v>РЯ2510502</x:v>
      </x:c>
      <x:c r="K1553" s="87" t="n">
        <x:v>11</x:v>
      </x:c>
      <x:c r="L1553" s="87" t="str">
        <x:v>Суффиксы</x:v>
      </x:c>
      <x:c r="M1553" s="30" t="str">
        <x:v>Выберите ряды, где в обоих словах пропущена одна и та же буква.</x:v>
      </x:c>
      <x:c r="N1553" s="30" t="str">
        <x:v>134</x:v>
      </x:c>
      <x:c r="O1553" s="30" t="str">
        <x:v>Подходят пары «обезводили — милостивый», «гуттаперчевый — вермишелевый», «недоумевать — первенство».</x:v>
      </x:c>
      <x:c r="P1553" s="30" t="str">
        <x:v>Ряды 2 и 5 требуют разных букв.</x:v>
      </x:c>
      <x:c r="Q1553" s="30"/>
      <x:c r="R1553" s="30" t="str">
        <x:v>134</x:v>
      </x:c>
      <x:c r="S1553" s="30"/>
      <x:c r="T1553" s="30"/>
      <x:c r="U1553" s="30" t="str">
        <x:v>Расхождений нет.</x:v>
      </x:c>
      <x:c r="V1553" s="87" t="str">
        <x:v>VERIFIED</x:v>
      </x:c>
      <x:c r="W1553" s="87" t="n">
        <x:v>6</x:v>
      </x:c>
      <x:c r="X1553" s="87"/>
      <x:c r="Y1553" s="87"/>
      <x:c r="Z1553" s="87"/>
      <x:c r="AA1553" s="87"/>
      <x:c r="AB1553" s="87"/>
      <x:c r="AC1553" s="87"/>
      <x:c r="AD1553" s="87"/>
      <x:c r="AE1553" s="87"/>
      <x:c r="AF1553" s="87"/>
      <x:c r="AG1553" s="87"/>
      <x:c r="AH1553" s="87"/>
      <x:c r="AI1553" s="30"/>
      <x:c r="AJ1553" s="87" t="str">
        <x:v>master</x:v>
      </x:c>
      <x:c r="AK1553" s="87" t="str">
        <x:v>master-v0.81</x:v>
      </x:c>
      <x:c r="AL1553" s="87" t="str">
        <x:v>statgrad_master_base_v0_81_final(2).xlsx</x:v>
      </x:c>
      <x:c r="AM1553" s="87" t="str">
        <x:v>RUS_Feb_V2</x:v>
      </x:c>
      <x:c r="AN1553" s="87" t="n">
        <x:v>12</x:v>
      </x:c>
    </x:row>
    <x:row r="1554">
      <x:c r="A1554" s="87" t="n">
        <x:v>1553</x:v>
      </x:c>
      <x:c r="B1554" s="87" t="str">
        <x:v>FEB-RUS-V2-012</x:v>
      </x:c>
      <x:c r="C1554" s="87" t="str">
        <x:v>СтатГрад</x:v>
      </x:c>
      <x:c r="D1554" s="87" t="str">
        <x:v>Февраль 2026</x:v>
      </x:c>
      <x:c r="E1554" s="87"/>
      <x:c r="F1554" s="87"/>
      <x:c r="G1554" s="87" t="str">
        <x:v>Русский язык</x:v>
      </x:c>
      <x:c r="H1554" s="87" t="n">
        <x:v>11</x:v>
      </x:c>
      <x:c r="I1554" s="87" t="str">
        <x:v>ТР №4</x:v>
      </x:c>
      <x:c r="J1554" s="87" t="str">
        <x:v>РЯ2510502</x:v>
      </x:c>
      <x:c r="K1554" s="87" t="n">
        <x:v>12</x:v>
      </x:c>
      <x:c r="L1554" s="87" t="str">
        <x:v>Личные окончания и суффиксы</x:v>
      </x:c>
      <x:c r="M1554" s="30" t="str">
        <x:v>Выберите ряды, где в обоих словах пропущена одна и та же буква.</x:v>
      </x:c>
      <x:c r="N1554" s="30" t="str">
        <x:v>135</x:v>
      </x:c>
      <x:c r="O1554" s="30" t="str">
        <x:v>Подходят формы на Я, И и У в рядах 1, 3 и 5.</x:v>
      </x:c>
      <x:c r="P1554" s="30" t="str">
        <x:v>Проверены спряжение и образование причастий.</x:v>
      </x:c>
      <x:c r="Q1554" s="30"/>
      <x:c r="R1554" s="30" t="str">
        <x:v>135</x:v>
      </x:c>
      <x:c r="S1554" s="30"/>
      <x:c r="T1554" s="30"/>
      <x:c r="U1554" s="30" t="str">
        <x:v>Расхождений нет.</x:v>
      </x:c>
      <x:c r="V1554" s="87" t="str">
        <x:v>VERIFIED</x:v>
      </x:c>
      <x:c r="W1554" s="87" t="n">
        <x:v>6</x:v>
      </x:c>
      <x:c r="X1554" s="87"/>
      <x:c r="Y1554" s="87"/>
      <x:c r="Z1554" s="87"/>
      <x:c r="AA1554" s="87"/>
      <x:c r="AB1554" s="87"/>
      <x:c r="AC1554" s="87"/>
      <x:c r="AD1554" s="87"/>
      <x:c r="AE1554" s="87"/>
      <x:c r="AF1554" s="87"/>
      <x:c r="AG1554" s="87"/>
      <x:c r="AH1554" s="87"/>
      <x:c r="AI1554" s="30"/>
      <x:c r="AJ1554" s="87" t="str">
        <x:v>master</x:v>
      </x:c>
      <x:c r="AK1554" s="87" t="str">
        <x:v>master-v0.81</x:v>
      </x:c>
      <x:c r="AL1554" s="87" t="str">
        <x:v>statgrad_master_base_v0_81_final(2).xlsx</x:v>
      </x:c>
      <x:c r="AM1554" s="87" t="str">
        <x:v>RUS_Feb_V2</x:v>
      </x:c>
      <x:c r="AN1554" s="87" t="n">
        <x:v>13</x:v>
      </x:c>
    </x:row>
    <x:row r="1555">
      <x:c r="A1555" s="87" t="n">
        <x:v>1554</x:v>
      </x:c>
      <x:c r="B1555" s="87" t="str">
        <x:v>FEB-RUS-V2-013</x:v>
      </x:c>
      <x:c r="C1555" s="87" t="str">
        <x:v>СтатГрад</x:v>
      </x:c>
      <x:c r="D1555" s="87" t="str">
        <x:v>Февраль 2026</x:v>
      </x:c>
      <x:c r="E1555" s="87"/>
      <x:c r="F1555" s="87"/>
      <x:c r="G1555" s="87" t="str">
        <x:v>Русский язык</x:v>
      </x:c>
      <x:c r="H1555" s="87" t="n">
        <x:v>11</x:v>
      </x:c>
      <x:c r="I1555" s="87" t="str">
        <x:v>ТР №4</x:v>
      </x:c>
      <x:c r="J1555" s="87" t="str">
        <x:v>РЯ2510502</x:v>
      </x:c>
      <x:c r="K1555" s="87" t="n">
        <x:v>13</x:v>
      </x:c>
      <x:c r="L1555" s="87" t="str">
        <x:v>НЕ со словами</x:v>
      </x:c>
      <x:c r="M1555" s="30" t="str">
        <x:v>Укажите варианты, где НЕ пишется раздельно.</x:v>
      </x:c>
      <x:c r="N1555" s="30" t="str">
        <x:v>234</x:v>
      </x:c>
      <x:c r="O1555" s="30" t="str">
        <x:v>Раздельно: краткое причастие, отрицание с усилителем степени и временно отрицаемый признак с зависимым словом.</x:v>
      </x:c>
      <x:c r="P1555" s="30" t="str">
        <x:v>Для каждого случая определены часть речи и контекст.</x:v>
      </x:c>
      <x:c r="Q1555" s="30"/>
      <x:c r="R1555" s="30" t="str">
        <x:v>234 / любая последовательность</x:v>
      </x:c>
      <x:c r="S1555" s="30"/>
      <x:c r="T1555" s="30"/>
      <x:c r="U1555" s="30" t="str">
        <x:v>Расхождений нет.</x:v>
      </x:c>
      <x:c r="V1555" s="87" t="str">
        <x:v>VERIFIED</x:v>
      </x:c>
      <x:c r="W1555" s="87" t="n">
        <x:v>7</x:v>
      </x:c>
      <x:c r="X1555" s="87"/>
      <x:c r="Y1555" s="87"/>
      <x:c r="Z1555" s="87"/>
      <x:c r="AA1555" s="87"/>
      <x:c r="AB1555" s="87"/>
      <x:c r="AC1555" s="87"/>
      <x:c r="AD1555" s="87"/>
      <x:c r="AE1555" s="87"/>
      <x:c r="AF1555" s="87"/>
      <x:c r="AG1555" s="87"/>
      <x:c r="AH1555" s="87"/>
      <x:c r="AI1555" s="30"/>
      <x:c r="AJ1555" s="87" t="str">
        <x:v>master</x:v>
      </x:c>
      <x:c r="AK1555" s="87" t="str">
        <x:v>master-v0.81</x:v>
      </x:c>
      <x:c r="AL1555" s="87" t="str">
        <x:v>statgrad_master_base_v0_81_final(2).xlsx</x:v>
      </x:c>
      <x:c r="AM1555" s="87" t="str">
        <x:v>RUS_Feb_V2</x:v>
      </x:c>
      <x:c r="AN1555" s="87" t="n">
        <x:v>14</x:v>
      </x:c>
    </x:row>
    <x:row r="1556">
      <x:c r="A1556" s="87" t="n">
        <x:v>1555</x:v>
      </x:c>
      <x:c r="B1556" s="87" t="str">
        <x:v>FEB-RUS-V2-014</x:v>
      </x:c>
      <x:c r="C1556" s="87" t="str">
        <x:v>СтатГрад</x:v>
      </x:c>
      <x:c r="D1556" s="87" t="str">
        <x:v>Февраль 2026</x:v>
      </x:c>
      <x:c r="E1556" s="87"/>
      <x:c r="F1556" s="87"/>
      <x:c r="G1556" s="87" t="str">
        <x:v>Русский язык</x:v>
      </x:c>
      <x:c r="H1556" s="87" t="n">
        <x:v>11</x:v>
      </x:c>
      <x:c r="I1556" s="87" t="str">
        <x:v>ТР №4</x:v>
      </x:c>
      <x:c r="J1556" s="87" t="str">
        <x:v>РЯ2510502</x:v>
      </x:c>
      <x:c r="K1556" s="87" t="n">
        <x:v>14</x:v>
      </x:c>
      <x:c r="L1556" s="87" t="str">
        <x:v>Слитное и раздельное написание</x:v>
      </x:c>
      <x:c r="M1556" s="30" t="str">
        <x:v>Укажите предложения, где все выделенные слова пишутся слитно.</x:v>
      </x:c>
      <x:c r="N1556" s="30" t="str">
        <x:v>25</x:v>
      </x:c>
      <x:c r="O1556" s="30" t="str">
        <x:v>Слитно пишутся пары в предложениях 2 и 5.</x:v>
      </x:c>
      <x:c r="P1556" s="30" t="str">
        <x:v>Каждая форма проверена по составу слова и синтаксической роли.</x:v>
      </x:c>
      <x:c r="Q1556" s="30"/>
      <x:c r="R1556" s="30" t="str">
        <x:v>25 / 52</x:v>
      </x:c>
      <x:c r="S1556" s="30"/>
      <x:c r="T1556" s="30"/>
      <x:c r="U1556" s="30" t="str">
        <x:v>Расхождений нет.</x:v>
      </x:c>
      <x:c r="V1556" s="87" t="str">
        <x:v>VERIFIED</x:v>
      </x:c>
      <x:c r="W1556" s="87" t="n">
        <x:v>7</x:v>
      </x:c>
      <x:c r="X1556" s="87"/>
      <x:c r="Y1556" s="87"/>
      <x:c r="Z1556" s="87"/>
      <x:c r="AA1556" s="87"/>
      <x:c r="AB1556" s="87"/>
      <x:c r="AC1556" s="87"/>
      <x:c r="AD1556" s="87"/>
      <x:c r="AE1556" s="87"/>
      <x:c r="AF1556" s="87"/>
      <x:c r="AG1556" s="87"/>
      <x:c r="AH1556" s="87"/>
      <x:c r="AI1556" s="30"/>
      <x:c r="AJ1556" s="87" t="str">
        <x:v>master</x:v>
      </x:c>
      <x:c r="AK1556" s="87" t="str">
        <x:v>master-v0.81</x:v>
      </x:c>
      <x:c r="AL1556" s="87" t="str">
        <x:v>statgrad_master_base_v0_81_final(2).xlsx</x:v>
      </x:c>
      <x:c r="AM1556" s="87" t="str">
        <x:v>RUS_Feb_V2</x:v>
      </x:c>
      <x:c r="AN1556" s="87" t="n">
        <x:v>15</x:v>
      </x:c>
    </x:row>
    <x:row r="1557">
      <x:c r="A1557" s="87" t="n">
        <x:v>1556</x:v>
      </x:c>
      <x:c r="B1557" s="87" t="str">
        <x:v>FEB-RUS-V2-015</x:v>
      </x:c>
      <x:c r="C1557" s="87" t="str">
        <x:v>СтатГрад</x:v>
      </x:c>
      <x:c r="D1557" s="87" t="str">
        <x:v>Февраль 2026</x:v>
      </x:c>
      <x:c r="E1557" s="87"/>
      <x:c r="F1557" s="87"/>
      <x:c r="G1557" s="87" t="str">
        <x:v>Русский язык</x:v>
      </x:c>
      <x:c r="H1557" s="87" t="n">
        <x:v>11</x:v>
      </x:c>
      <x:c r="I1557" s="87" t="str">
        <x:v>ТР №4</x:v>
      </x:c>
      <x:c r="J1557" s="87" t="str">
        <x:v>РЯ2510502</x:v>
      </x:c>
      <x:c r="K1557" s="87" t="n">
        <x:v>15</x:v>
      </x:c>
      <x:c r="L1557" s="87" t="str">
        <x:v>Н и НН</x:v>
      </x:c>
      <x:c r="M1557" s="30" t="str">
        <x:v>Укажите позиции, где пишется одна буква Н.</x:v>
      </x:c>
      <x:c r="N1557" s="30" t="str">
        <x:v>34</x:v>
      </x:c>
      <x:c r="O1557" s="30" t="str">
        <x:v>Одна Н пишется в кратком причастии «написано» и наречии «ранее».</x:v>
      </x:c>
      <x:c r="P1557" s="30" t="str">
        <x:v>Все шесть форм разобраны по частям речи.</x:v>
      </x:c>
      <x:c r="Q1557" s="30"/>
      <x:c r="R1557" s="30" t="str">
        <x:v>34 / 43</x:v>
      </x:c>
      <x:c r="S1557" s="30"/>
      <x:c r="T1557" s="30"/>
      <x:c r="U1557" s="30" t="str">
        <x:v>Расхождений нет.</x:v>
      </x:c>
      <x:c r="V1557" s="87" t="str">
        <x:v>VERIFIED</x:v>
      </x:c>
      <x:c r="W1557" s="87" t="n">
        <x:v>7</x:v>
      </x:c>
      <x:c r="X1557" s="87"/>
      <x:c r="Y1557" s="87"/>
      <x:c r="Z1557" s="87"/>
      <x:c r="AA1557" s="87"/>
      <x:c r="AB1557" s="87"/>
      <x:c r="AC1557" s="87"/>
      <x:c r="AD1557" s="87"/>
      <x:c r="AE1557" s="87"/>
      <x:c r="AF1557" s="87"/>
      <x:c r="AG1557" s="87"/>
      <x:c r="AH1557" s="87"/>
      <x:c r="AI1557" s="30"/>
      <x:c r="AJ1557" s="87" t="str">
        <x:v>master</x:v>
      </x:c>
      <x:c r="AK1557" s="87" t="str">
        <x:v>master-v0.81</x:v>
      </x:c>
      <x:c r="AL1557" s="87" t="str">
        <x:v>statgrad_master_base_v0_81_final(2).xlsx</x:v>
      </x:c>
      <x:c r="AM1557" s="87" t="str">
        <x:v>RUS_Feb_V2</x:v>
      </x:c>
      <x:c r="AN1557" s="87" t="n">
        <x:v>16</x:v>
      </x:c>
    </x:row>
    <x:row r="1558">
      <x:c r="A1558" s="87" t="n">
        <x:v>1557</x:v>
      </x:c>
      <x:c r="B1558" s="87" t="str">
        <x:v>FEB-RUS-V2-016</x:v>
      </x:c>
      <x:c r="C1558" s="87" t="str">
        <x:v>СтатГрад</x:v>
      </x:c>
      <x:c r="D1558" s="87" t="str">
        <x:v>Февраль 2026</x:v>
      </x:c>
      <x:c r="E1558" s="87"/>
      <x:c r="F1558" s="87"/>
      <x:c r="G1558" s="87" t="str">
        <x:v>Русский язык</x:v>
      </x:c>
      <x:c r="H1558" s="87" t="n">
        <x:v>11</x:v>
      </x:c>
      <x:c r="I1558" s="87" t="str">
        <x:v>ТР №4</x:v>
      </x:c>
      <x:c r="J1558" s="87" t="str">
        <x:v>РЯ2510502</x:v>
      </x:c>
      <x:c r="K1558" s="87" t="n">
        <x:v>16</x:v>
      </x:c>
      <x:c r="L1558" s="87" t="str">
        <x:v>Пунктуация: одна запятая</x:v>
      </x:c>
      <x:c r="M1558" s="30" t="str">
        <x:v>Укажите предложения, где требуется ровно одна запятая.</x:v>
      </x:c>
      <x:c r="N1558" s="30" t="str">
        <x:v>345</x:v>
      </x:c>
      <x:c r="O1558" s="30" t="str">
        <x:v>Ровно одна запятая требуется в предложениях 3, 4 и 5.</x:v>
      </x:c>
      <x:c r="P1558" s="30" t="str">
        <x:v>Для каждого предложения подсчитано полное количество знаков.</x:v>
      </x:c>
      <x:c r="Q1558" s="30"/>
      <x:c r="R1558" s="30" t="str">
        <x:v>345</x:v>
      </x:c>
      <x:c r="S1558" s="30"/>
      <x:c r="T1558" s="30"/>
      <x:c r="U1558" s="30" t="str">
        <x:v>Расхождений нет.</x:v>
      </x:c>
      <x:c r="V1558" s="87" t="str">
        <x:v>VERIFIED</x:v>
      </x:c>
      <x:c r="W1558" s="87" t="n">
        <x:v>8</x:v>
      </x:c>
      <x:c r="X1558" s="87"/>
      <x:c r="Y1558" s="87"/>
      <x:c r="Z1558" s="87"/>
      <x:c r="AA1558" s="87"/>
      <x:c r="AB1558" s="87"/>
      <x:c r="AC1558" s="87"/>
      <x:c r="AD1558" s="87"/>
      <x:c r="AE1558" s="87"/>
      <x:c r="AF1558" s="87"/>
      <x:c r="AG1558" s="87"/>
      <x:c r="AH1558" s="87"/>
      <x:c r="AI1558" s="30"/>
      <x:c r="AJ1558" s="87" t="str">
        <x:v>master</x:v>
      </x:c>
      <x:c r="AK1558" s="87" t="str">
        <x:v>master-v0.81</x:v>
      </x:c>
      <x:c r="AL1558" s="87" t="str">
        <x:v>statgrad_master_base_v0_81_final(2).xlsx</x:v>
      </x:c>
      <x:c r="AM1558" s="87" t="str">
        <x:v>RUS_Feb_V2</x:v>
      </x:c>
      <x:c r="AN1558" s="87" t="n">
        <x:v>17</x:v>
      </x:c>
    </x:row>
    <x:row r="1559">
      <x:c r="A1559" s="87" t="n">
        <x:v>1558</x:v>
      </x:c>
      <x:c r="B1559" s="87" t="str">
        <x:v>FEB-RUS-V2-017</x:v>
      </x:c>
      <x:c r="C1559" s="87" t="str">
        <x:v>СтатГрад</x:v>
      </x:c>
      <x:c r="D1559" s="87" t="str">
        <x:v>Февраль 2026</x:v>
      </x:c>
      <x:c r="E1559" s="87"/>
      <x:c r="F1559" s="87"/>
      <x:c r="G1559" s="87" t="str">
        <x:v>Русский язык</x:v>
      </x:c>
      <x:c r="H1559" s="87" t="n">
        <x:v>11</x:v>
      </x:c>
      <x:c r="I1559" s="87" t="str">
        <x:v>ТР №4</x:v>
      </x:c>
      <x:c r="J1559" s="87" t="str">
        <x:v>РЯ2510502</x:v>
      </x:c>
      <x:c r="K1559" s="87" t="n">
        <x:v>17</x:v>
      </x:c>
      <x:c r="L1559" s="87" t="str">
        <x:v>Пунктуация</x:v>
      </x:c>
      <x:c r="M1559" s="30" t="str">
        <x:v>Расставьте запятые в предложении об учёном, который вёл себя по-мальчишески.</x:v>
      </x:c>
      <x:c r="N1559" s="30" t="str">
        <x:v>13468</x:v>
      </x:c>
      <x:c r="O1559" s="30" t="str">
        <x:v>Обособляются распространённое приложение и два обстоятельственных оборота.</x:v>
      </x:c>
      <x:c r="P1559" s="30" t="str">
        <x:v>Границы конструкций определены по структуре предложения.</x:v>
      </x:c>
      <x:c r="Q1559" s="30"/>
      <x:c r="R1559" s="30" t="str">
        <x:v>13468 / любая последовательность</x:v>
      </x:c>
      <x:c r="S1559" s="30"/>
      <x:c r="T1559" s="30"/>
      <x:c r="U1559" s="30" t="str">
        <x:v>Расхождений нет.</x:v>
      </x:c>
      <x:c r="V1559" s="87" t="str">
        <x:v>VERIFIED</x:v>
      </x:c>
      <x:c r="W1559" s="87" t="n">
        <x:v>8</x:v>
      </x:c>
      <x:c r="X1559" s="87"/>
      <x:c r="Y1559" s="87"/>
      <x:c r="Z1559" s="87"/>
      <x:c r="AA1559" s="87"/>
      <x:c r="AB1559" s="87"/>
      <x:c r="AC1559" s="87"/>
      <x:c r="AD1559" s="87"/>
      <x:c r="AE1559" s="87"/>
      <x:c r="AF1559" s="87"/>
      <x:c r="AG1559" s="87"/>
      <x:c r="AH1559" s="87"/>
      <x:c r="AI1559" s="30"/>
      <x:c r="AJ1559" s="87" t="str">
        <x:v>master</x:v>
      </x:c>
      <x:c r="AK1559" s="87" t="str">
        <x:v>master-v0.81</x:v>
      </x:c>
      <x:c r="AL1559" s="87" t="str">
        <x:v>statgrad_master_base_v0_81_final(2).xlsx</x:v>
      </x:c>
      <x:c r="AM1559" s="87" t="str">
        <x:v>RUS_Feb_V2</x:v>
      </x:c>
      <x:c r="AN1559" s="87" t="n">
        <x:v>18</x:v>
      </x:c>
    </x:row>
    <x:row r="1560">
      <x:c r="A1560" s="87" t="n">
        <x:v>1559</x:v>
      </x:c>
      <x:c r="B1560" s="87" t="str">
        <x:v>FEB-RUS-V2-018</x:v>
      </x:c>
      <x:c r="C1560" s="87" t="str">
        <x:v>СтатГрад</x:v>
      </x:c>
      <x:c r="D1560" s="87" t="str">
        <x:v>Февраль 2026</x:v>
      </x:c>
      <x:c r="E1560" s="87"/>
      <x:c r="F1560" s="87"/>
      <x:c r="G1560" s="87" t="str">
        <x:v>Русский язык</x:v>
      </x:c>
      <x:c r="H1560" s="87" t="n">
        <x:v>11</x:v>
      </x:c>
      <x:c r="I1560" s="87" t="str">
        <x:v>ТР №4</x:v>
      </x:c>
      <x:c r="J1560" s="87" t="str">
        <x:v>РЯ2510502</x:v>
      </x:c>
      <x:c r="K1560" s="87" t="n">
        <x:v>18</x:v>
      </x:c>
      <x:c r="L1560" s="87" t="str">
        <x:v>Пунктуация</x:v>
      </x:c>
      <x:c r="M1560" s="30" t="str">
        <x:v>Расставьте запятые со словами «кроме того», «однако ж», «дескать».</x:v>
      </x:c>
      <x:c r="N1560" s="30" t="str">
        <x:v>13456</x:v>
      </x:c>
      <x:c r="O1560" s="30" t="str">
        <x:v>Вводные слова и конструкции обособляются; после союза «будто» дополнительная запятая не ставится.</x:v>
      </x:c>
      <x:c r="P1560" s="30" t="str">
        <x:v>Проверены синтаксические функции всех слов.</x:v>
      </x:c>
      <x:c r="Q1560" s="30"/>
      <x:c r="R1560" s="30" t="str">
        <x:v>13456 / любая последовательность</x:v>
      </x:c>
      <x:c r="S1560" s="30"/>
      <x:c r="T1560" s="30"/>
      <x:c r="U1560" s="30" t="str">
        <x:v>Расхождений нет.</x:v>
      </x:c>
      <x:c r="V1560" s="87" t="str">
        <x:v>VERIFIED</x:v>
      </x:c>
      <x:c r="W1560" s="87" t="n">
        <x:v>8</x:v>
      </x:c>
      <x:c r="X1560" s="87"/>
      <x:c r="Y1560" s="87"/>
      <x:c r="Z1560" s="87"/>
      <x:c r="AA1560" s="87"/>
      <x:c r="AB1560" s="87"/>
      <x:c r="AC1560" s="87"/>
      <x:c r="AD1560" s="87"/>
      <x:c r="AE1560" s="87"/>
      <x:c r="AF1560" s="87"/>
      <x:c r="AG1560" s="87"/>
      <x:c r="AH1560" s="87"/>
      <x:c r="AI1560" s="30"/>
      <x:c r="AJ1560" s="87" t="str">
        <x:v>master</x:v>
      </x:c>
      <x:c r="AK1560" s="87" t="str">
        <x:v>master-v0.81</x:v>
      </x:c>
      <x:c r="AL1560" s="87" t="str">
        <x:v>statgrad_master_base_v0_81_final(2).xlsx</x:v>
      </x:c>
      <x:c r="AM1560" s="87" t="str">
        <x:v>RUS_Feb_V2</x:v>
      </x:c>
      <x:c r="AN1560" s="87" t="n">
        <x:v>19</x:v>
      </x:c>
    </x:row>
    <x:row r="1561">
      <x:c r="A1561" s="87" t="n">
        <x:v>1560</x:v>
      </x:c>
      <x:c r="B1561" s="87" t="str">
        <x:v>FEB-RUS-V2-019</x:v>
      </x:c>
      <x:c r="C1561" s="87" t="str">
        <x:v>СтатГрад</x:v>
      </x:c>
      <x:c r="D1561" s="87" t="str">
        <x:v>Февраль 2026</x:v>
      </x:c>
      <x:c r="E1561" s="87"/>
      <x:c r="F1561" s="87"/>
      <x:c r="G1561" s="87" t="str">
        <x:v>Русский язык</x:v>
      </x:c>
      <x:c r="H1561" s="87" t="n">
        <x:v>11</x:v>
      </x:c>
      <x:c r="I1561" s="87" t="str">
        <x:v>ТР №4</x:v>
      </x:c>
      <x:c r="J1561" s="87" t="str">
        <x:v>РЯ2510502</x:v>
      </x:c>
      <x:c r="K1561" s="87" t="n">
        <x:v>19</x:v>
      </x:c>
      <x:c r="L1561" s="87" t="str">
        <x:v>Пунктуация в сложном предложении</x:v>
      </x:c>
      <x:c r="M1561" s="30" t="str">
        <x:v>Расставьте запятые в конструкции «не потому…, а потому…».</x:v>
      </x:c>
      <x:c r="N1561" s="30" t="str">
        <x:v>138</x:v>
      </x:c>
      <x:c r="O1561" s="30" t="str">
        <x:v>Знаки отделяют придаточное причины и границы вложенной определительной части.</x:v>
      </x:c>
      <x:c r="P1561" s="30" t="str">
        <x:v>Однородные придаточные с одиночным И не разделяются.</x:v>
      </x:c>
      <x:c r="Q1561" s="30"/>
      <x:c r="R1561" s="30" t="str">
        <x:v>138 / любая последовательность</x:v>
      </x:c>
      <x:c r="S1561" s="30"/>
      <x:c r="T1561" s="30"/>
      <x:c r="U1561" s="30" t="str">
        <x:v>Расхождений нет.</x:v>
      </x:c>
      <x:c r="V1561" s="87" t="str">
        <x:v>VERIFIED</x:v>
      </x:c>
      <x:c r="W1561" s="87" t="n">
        <x:v>8</x:v>
      </x:c>
      <x:c r="X1561" s="87"/>
      <x:c r="Y1561" s="87"/>
      <x:c r="Z1561" s="87"/>
      <x:c r="AA1561" s="87"/>
      <x:c r="AB1561" s="87"/>
      <x:c r="AC1561" s="87"/>
      <x:c r="AD1561" s="87"/>
      <x:c r="AE1561" s="87"/>
      <x:c r="AF1561" s="87"/>
      <x:c r="AG1561" s="87"/>
      <x:c r="AH1561" s="87"/>
      <x:c r="AI1561" s="30"/>
      <x:c r="AJ1561" s="87" t="str">
        <x:v>master</x:v>
      </x:c>
      <x:c r="AK1561" s="87" t="str">
        <x:v>master-v0.81</x:v>
      </x:c>
      <x:c r="AL1561" s="87" t="str">
        <x:v>statgrad_master_base_v0_81_final(2).xlsx</x:v>
      </x:c>
      <x:c r="AM1561" s="87" t="str">
        <x:v>RUS_Feb_V2</x:v>
      </x:c>
      <x:c r="AN1561" s="87" t="n">
        <x:v>20</x:v>
      </x:c>
    </x:row>
    <x:row r="1562">
      <x:c r="A1562" s="87" t="n">
        <x:v>1561</x:v>
      </x:c>
      <x:c r="B1562" s="87" t="str">
        <x:v>FEB-RUS-V2-020</x:v>
      </x:c>
      <x:c r="C1562" s="87" t="str">
        <x:v>СтатГрад</x:v>
      </x:c>
      <x:c r="D1562" s="87" t="str">
        <x:v>Февраль 2026</x:v>
      </x:c>
      <x:c r="E1562" s="87"/>
      <x:c r="F1562" s="87"/>
      <x:c r="G1562" s="87" t="str">
        <x:v>Русский язык</x:v>
      </x:c>
      <x:c r="H1562" s="87" t="n">
        <x:v>11</x:v>
      </x:c>
      <x:c r="I1562" s="87" t="str">
        <x:v>ТР №4</x:v>
      </x:c>
      <x:c r="J1562" s="87" t="str">
        <x:v>РЯ2510502</x:v>
      </x:c>
      <x:c r="K1562" s="87" t="n">
        <x:v>20</x:v>
      </x:c>
      <x:c r="L1562" s="87" t="str">
        <x:v>Пунктуация в сложном предложении</x:v>
      </x:c>
      <x:c r="M1562" s="30" t="str">
        <x:v>Расставьте запятые в рассуждении профессора о студенте Лаврищеве.</x:v>
      </x:c>
      <x:c r="N1562" s="30" t="str">
        <x:v>13469</x:v>
      </x:c>
      <x:c r="O1562" s="30" t="str">
        <x:v>Знаки разделяют предикативные части, конструкцию «чем…, тем…» и вложенные придаточные.</x:v>
      </x:c>
      <x:c r="P1562" s="30" t="str">
        <x:v>Все грамматические основы определены независимо.</x:v>
      </x:c>
      <x:c r="Q1562" s="30"/>
      <x:c r="R1562" s="30" t="str">
        <x:v>13469 / любая последовательность</x:v>
      </x:c>
      <x:c r="S1562" s="30"/>
      <x:c r="T1562" s="30"/>
      <x:c r="U1562" s="30" t="str">
        <x:v>Расхождений нет.</x:v>
      </x:c>
      <x:c r="V1562" s="87" t="str">
        <x:v>VERIFIED</x:v>
      </x:c>
      <x:c r="W1562" s="87" t="n">
        <x:v>9</x:v>
      </x:c>
      <x:c r="X1562" s="87"/>
      <x:c r="Y1562" s="87"/>
      <x:c r="Z1562" s="87"/>
      <x:c r="AA1562" s="87"/>
      <x:c r="AB1562" s="87"/>
      <x:c r="AC1562" s="87"/>
      <x:c r="AD1562" s="87"/>
      <x:c r="AE1562" s="87"/>
      <x:c r="AF1562" s="87"/>
      <x:c r="AG1562" s="87"/>
      <x:c r="AH1562" s="87"/>
      <x:c r="AI1562" s="30"/>
      <x:c r="AJ1562" s="87" t="str">
        <x:v>master</x:v>
      </x:c>
      <x:c r="AK1562" s="87" t="str">
        <x:v>master-v0.81</x:v>
      </x:c>
      <x:c r="AL1562" s="87" t="str">
        <x:v>statgrad_master_base_v0_81_final(2).xlsx</x:v>
      </x:c>
      <x:c r="AM1562" s="87" t="str">
        <x:v>RUS_Feb_V2</x:v>
      </x:c>
      <x:c r="AN1562" s="87" t="n">
        <x:v>21</x:v>
      </x:c>
    </x:row>
    <x:row r="1563">
      <x:c r="A1563" s="87" t="n">
        <x:v>1562</x:v>
      </x:c>
      <x:c r="B1563" s="87" t="str">
        <x:v>FEB-RUS-V2-021</x:v>
      </x:c>
      <x:c r="C1563" s="87" t="str">
        <x:v>СтатГрад</x:v>
      </x:c>
      <x:c r="D1563" s="87" t="str">
        <x:v>Февраль 2026</x:v>
      </x:c>
      <x:c r="E1563" s="87"/>
      <x:c r="F1563" s="87"/>
      <x:c r="G1563" s="87" t="str">
        <x:v>Русский язык</x:v>
      </x:c>
      <x:c r="H1563" s="87" t="n">
        <x:v>11</x:v>
      </x:c>
      <x:c r="I1563" s="87" t="str">
        <x:v>ТР №4</x:v>
      </x:c>
      <x:c r="J1563" s="87" t="str">
        <x:v>РЯ2510502</x:v>
      </x:c>
      <x:c r="K1563" s="87" t="n">
        <x:v>21</x:v>
      </x:c>
      <x:c r="L1563" s="87" t="str">
        <x:v>Тире</x:v>
      </x:c>
      <x:c r="M1563" s="30" t="str">
        <x:v>Найдите предложения, где тире поставлено по одному правилу.</x:v>
      </x:c>
      <x:c r="N1563" s="30" t="str">
        <x:v>78</x:v>
      </x:c>
      <x:c r="O1563" s="30" t="str">
        <x:v>В предложениях 7 и 8 тире разделяет части бессоюзного сложного предложения.</x:v>
      </x:c>
      <x:c r="P1563" s="30" t="str">
        <x:v>Остальные тире выполняют другие синтаксические функции.</x:v>
      </x:c>
      <x:c r="Q1563" s="30"/>
      <x:c r="R1563" s="30" t="str">
        <x:v>78 / 87</x:v>
      </x:c>
      <x:c r="S1563" s="30"/>
      <x:c r="T1563" s="30"/>
      <x:c r="U1563" s="30" t="str">
        <x:v>Расхождений нет.</x:v>
      </x:c>
      <x:c r="V1563" s="87" t="str">
        <x:v>VERIFIED</x:v>
      </x:c>
      <x:c r="W1563" s="87" t="n">
        <x:v>9</x:v>
      </x:c>
      <x:c r="X1563" s="87"/>
      <x:c r="Y1563" s="87"/>
      <x:c r="Z1563" s="87"/>
      <x:c r="AA1563" s="87"/>
      <x:c r="AB1563" s="87"/>
      <x:c r="AC1563" s="87"/>
      <x:c r="AD1563" s="87"/>
      <x:c r="AE1563" s="87"/>
      <x:c r="AF1563" s="87"/>
      <x:c r="AG1563" s="87"/>
      <x:c r="AH1563" s="87"/>
      <x:c r="AI1563" s="30"/>
      <x:c r="AJ1563" s="87" t="str">
        <x:v>master</x:v>
      </x:c>
      <x:c r="AK1563" s="87" t="str">
        <x:v>master-v0.81</x:v>
      </x:c>
      <x:c r="AL1563" s="87" t="str">
        <x:v>statgrad_master_base_v0_81_final(2).xlsx</x:v>
      </x:c>
      <x:c r="AM1563" s="87" t="str">
        <x:v>RUS_Feb_V2</x:v>
      </x:c>
      <x:c r="AN1563" s="87" t="n">
        <x:v>22</x:v>
      </x:c>
    </x:row>
    <x:row r="1564">
      <x:c r="A1564" s="87" t="n">
        <x:v>1563</x:v>
      </x:c>
      <x:c r="B1564" s="87" t="str">
        <x:v>FEB-RUS-V2-022</x:v>
      </x:c>
      <x:c r="C1564" s="87" t="str">
        <x:v>СтатГрад</x:v>
      </x:c>
      <x:c r="D1564" s="87" t="str">
        <x:v>Февраль 2026</x:v>
      </x:c>
      <x:c r="E1564" s="87"/>
      <x:c r="F1564" s="87"/>
      <x:c r="G1564" s="87" t="str">
        <x:v>Русский язык</x:v>
      </x:c>
      <x:c r="H1564" s="87" t="n">
        <x:v>11</x:v>
      </x:c>
      <x:c r="I1564" s="87" t="str">
        <x:v>ТР №4</x:v>
      </x:c>
      <x:c r="J1564" s="87" t="str">
        <x:v>РЯ2510502</x:v>
      </x:c>
      <x:c r="K1564" s="87" t="n">
        <x:v>22</x:v>
      </x:c>
      <x:c r="L1564" s="87" t="str">
        <x:v>Средства выразительности</x:v>
      </x:c>
      <x:c r="M1564" s="30" t="str">
        <x:v>Соотнесите фрагменты с изобразительно-выразительными средствами.</x:v>
      </x:c>
      <x:c r="N1564" s="30" t="str">
        <x:v>34819</x:v>
      </x:c>
      <x:c r="O1564" s="30" t="str">
        <x:v>А — анафора, Б — бессоюзие, В — ассонанс, Г — эпифора, Д — аллитерация.</x:v>
      </x:c>
      <x:c r="P1564" s="30" t="str">
        <x:v>Каждый приём подтверждён формальным признаком.</x:v>
      </x:c>
      <x:c r="Q1564" s="30"/>
      <x:c r="R1564" s="30" t="str">
        <x:v>34819</x:v>
      </x:c>
      <x:c r="S1564" s="30"/>
      <x:c r="T1564" s="30"/>
      <x:c r="U1564" s="30" t="str">
        <x:v>Расхождений нет.</x:v>
      </x:c>
      <x:c r="V1564" s="87" t="str">
        <x:v>VERIFIED</x:v>
      </x:c>
      <x:c r="W1564" s="87" t="n">
        <x:v>10</x:v>
      </x:c>
      <x:c r="X1564" s="87"/>
      <x:c r="Y1564" s="87"/>
      <x:c r="Z1564" s="87"/>
      <x:c r="AA1564" s="87"/>
      <x:c r="AB1564" s="87"/>
      <x:c r="AC1564" s="87"/>
      <x:c r="AD1564" s="87"/>
      <x:c r="AE1564" s="87"/>
      <x:c r="AF1564" s="87"/>
      <x:c r="AG1564" s="87"/>
      <x:c r="AH1564" s="87"/>
      <x:c r="AI1564" s="30"/>
      <x:c r="AJ1564" s="87" t="str">
        <x:v>master</x:v>
      </x:c>
      <x:c r="AK1564" s="87" t="str">
        <x:v>master-v0.81</x:v>
      </x:c>
      <x:c r="AL1564" s="87" t="str">
        <x:v>statgrad_master_base_v0_81_final(2).xlsx</x:v>
      </x:c>
      <x:c r="AM1564" s="87" t="str">
        <x:v>RUS_Feb_V2</x:v>
      </x:c>
      <x:c r="AN1564" s="87" t="n">
        <x:v>23</x:v>
      </x:c>
    </x:row>
    <x:row r="1565">
      <x:c r="A1565" s="87" t="n">
        <x:v>1564</x:v>
      </x:c>
      <x:c r="B1565" s="87" t="str">
        <x:v>FEB-RUS-V2-023</x:v>
      </x:c>
      <x:c r="C1565" s="87" t="str">
        <x:v>СтатГрад</x:v>
      </x:c>
      <x:c r="D1565" s="87" t="str">
        <x:v>Февраль 2026</x:v>
      </x:c>
      <x:c r="E1565" s="87"/>
      <x:c r="F1565" s="87"/>
      <x:c r="G1565" s="87" t="str">
        <x:v>Русский язык</x:v>
      </x:c>
      <x:c r="H1565" s="87" t="n">
        <x:v>11</x:v>
      </x:c>
      <x:c r="I1565" s="87" t="str">
        <x:v>ТР №4</x:v>
      </x:c>
      <x:c r="J1565" s="87" t="str">
        <x:v>РЯ2510502</x:v>
      </x:c>
      <x:c r="K1565" s="87" t="n">
        <x:v>23</x:v>
      </x:c>
      <x:c r="L1565" s="87" t="str">
        <x:v>Содержание текста</x:v>
      </x:c>
      <x:c r="M1565" s="30" t="str">
        <x:v>Выберите утверждения, соответствующие тексту Е. И. Куманькова.</x:v>
      </x:c>
      <x:c r="N1565" s="30" t="str">
        <x:v>125</x:v>
      </x:c>
      <x:c r="O1565" s="30" t="str">
        <x:v>Красота не имеет рыночной цены; новые здания могут не вписываться в историческую среду, хотя отвечают практическим требованиям.</x:v>
      </x:c>
      <x:c r="P1565" s="30" t="str">
        <x:v>Все утверждения сверены с исходным текстом.</x:v>
      </x:c>
      <x:c r="Q1565" s="30"/>
      <x:c r="R1565" s="30" t="str">
        <x:v>125</x:v>
      </x:c>
      <x:c r="S1565" s="30"/>
      <x:c r="T1565" s="30"/>
      <x:c r="U1565" s="30" t="str">
        <x:v>Расхождений нет.</x:v>
      </x:c>
      <x:c r="V1565" s="87" t="str">
        <x:v>VERIFIED</x:v>
      </x:c>
      <x:c r="W1565" s="87" t="n">
        <x:v>12</x:v>
      </x:c>
      <x:c r="X1565" s="87"/>
      <x:c r="Y1565" s="87"/>
      <x:c r="Z1565" s="87"/>
      <x:c r="AA1565" s="87"/>
      <x:c r="AB1565" s="87"/>
      <x:c r="AC1565" s="87"/>
      <x:c r="AD1565" s="87"/>
      <x:c r="AE1565" s="87"/>
      <x:c r="AF1565" s="87"/>
      <x:c r="AG1565" s="87"/>
      <x:c r="AH1565" s="87"/>
      <x:c r="AI1565" s="30"/>
      <x:c r="AJ1565" s="87" t="str">
        <x:v>master</x:v>
      </x:c>
      <x:c r="AK1565" s="87" t="str">
        <x:v>master-v0.81</x:v>
      </x:c>
      <x:c r="AL1565" s="87" t="str">
        <x:v>statgrad_master_base_v0_81_final(2).xlsx</x:v>
      </x:c>
      <x:c r="AM1565" s="87" t="str">
        <x:v>RUS_Feb_V2</x:v>
      </x:c>
      <x:c r="AN1565" s="87" t="n">
        <x:v>24</x:v>
      </x:c>
    </x:row>
    <x:row r="1566">
      <x:c r="A1566" s="87" t="n">
        <x:v>1565</x:v>
      </x:c>
      <x:c r="B1566" s="87" t="str">
        <x:v>FEB-RUS-V2-024</x:v>
      </x:c>
      <x:c r="C1566" s="87" t="str">
        <x:v>СтатГрад</x:v>
      </x:c>
      <x:c r="D1566" s="87" t="str">
        <x:v>Февраль 2026</x:v>
      </x:c>
      <x:c r="E1566" s="87"/>
      <x:c r="F1566" s="87"/>
      <x:c r="G1566" s="87" t="str">
        <x:v>Русский язык</x:v>
      </x:c>
      <x:c r="H1566" s="87" t="n">
        <x:v>11</x:v>
      </x:c>
      <x:c r="I1566" s="87" t="str">
        <x:v>ТР №4</x:v>
      </x:c>
      <x:c r="J1566" s="87" t="str">
        <x:v>РЯ2510502</x:v>
      </x:c>
      <x:c r="K1566" s="87" t="n">
        <x:v>24</x:v>
      </x:c>
      <x:c r="L1566" s="87" t="str">
        <x:v>Типы речи и смысловые отношения</x:v>
      </x:c>
      <x:c r="M1566" s="30" t="str">
        <x:v>Укажите ошибочные утверждения о фрагментах исходного текста.</x:v>
      </x:c>
      <x:c r="N1566" s="30" t="str">
        <x:v>245</x:v>
      </x:c>
      <x:c r="O1566" s="30" t="str">
        <x:v>Ошибочно названы тип речи и смысловые связи во фрагментах 16–19, 27–28 и 39–40.</x:v>
      </x:c>
      <x:c r="P1566" s="30" t="str">
        <x:v>Проверены композиция и логика каждого фрагмента.</x:v>
      </x:c>
      <x:c r="Q1566" s="30"/>
      <x:c r="R1566" s="30" t="str">
        <x:v>245 / любая последовательность</x:v>
      </x:c>
      <x:c r="S1566" s="30"/>
      <x:c r="T1566" s="30"/>
      <x:c r="U1566" s="30" t="str">
        <x:v>Расхождений нет.</x:v>
      </x:c>
      <x:c r="V1566" s="87" t="str">
        <x:v>VERIFIED</x:v>
      </x:c>
      <x:c r="W1566" s="87" t="n">
        <x:v>13</x:v>
      </x:c>
      <x:c r="X1566" s="87"/>
      <x:c r="Y1566" s="87"/>
      <x:c r="Z1566" s="87"/>
      <x:c r="AA1566" s="87"/>
      <x:c r="AB1566" s="87"/>
      <x:c r="AC1566" s="87"/>
      <x:c r="AD1566" s="87"/>
      <x:c r="AE1566" s="87"/>
      <x:c r="AF1566" s="87"/>
      <x:c r="AG1566" s="87"/>
      <x:c r="AH1566" s="87"/>
      <x:c r="AI1566" s="30"/>
      <x:c r="AJ1566" s="87" t="str">
        <x:v>master</x:v>
      </x:c>
      <x:c r="AK1566" s="87" t="str">
        <x:v>master-v0.81</x:v>
      </x:c>
      <x:c r="AL1566" s="87" t="str">
        <x:v>statgrad_master_base_v0_81_final(2).xlsx</x:v>
      </x:c>
      <x:c r="AM1566" s="87" t="str">
        <x:v>RUS_Feb_V2</x:v>
      </x:c>
      <x:c r="AN1566" s="87" t="n">
        <x:v>25</x:v>
      </x:c>
    </x:row>
    <x:row r="1567">
      <x:c r="A1567" s="87" t="n">
        <x:v>1566</x:v>
      </x:c>
      <x:c r="B1567" s="87" t="str">
        <x:v>FEB-RUS-V2-025</x:v>
      </x:c>
      <x:c r="C1567" s="87" t="str">
        <x:v>СтатГрад</x:v>
      </x:c>
      <x:c r="D1567" s="87" t="str">
        <x:v>Февраль 2026</x:v>
      </x:c>
      <x:c r="E1567" s="87"/>
      <x:c r="F1567" s="87"/>
      <x:c r="G1567" s="87" t="str">
        <x:v>Русский язык</x:v>
      </x:c>
      <x:c r="H1567" s="87" t="n">
        <x:v>11</x:v>
      </x:c>
      <x:c r="I1567" s="87" t="str">
        <x:v>ТР №4</x:v>
      </x:c>
      <x:c r="J1567" s="87" t="str">
        <x:v>РЯ2510502</x:v>
      </x:c>
      <x:c r="K1567" s="87" t="n">
        <x:v>25</x:v>
      </x:c>
      <x:c r="L1567" s="87" t="str">
        <x:v>Фразеологизм</x:v>
      </x:c>
      <x:c r="M1567" s="30" t="str">
        <x:v>Выпишите один фразеологизм из предложений 23–26.</x:v>
      </x:c>
      <x:c r="N1567" s="30" t="str">
        <x:v>осталось в памяти</x:v>
      </x:c>
      <x:c r="O1567" s="30" t="str">
        <x:v>Оборот имеет устойчивое значение «сохранилось в воспоминаниях».</x:v>
      </x:c>
      <x:c r="P1567" s="30" t="str">
        <x:v>Ключ допускает несколько грамматических форм и сочетание «вроде бы».</x:v>
      </x:c>
      <x:c r="Q1567" s="30"/>
      <x:c r="R1567" s="30" t="str">
        <x:v>осталось в памяти / в памяти осталось / остаться в памяти / в памяти остаться / вроде бы</x:v>
      </x:c>
      <x:c r="S1567" s="30"/>
      <x:c r="T1567" s="30"/>
      <x:c r="U1567" s="30" t="str">
        <x:v>Выбран один из допустимых вариантов.</x:v>
      </x:c>
      <x:c r="V1567" s="87" t="str">
        <x:v>VERIFIED</x:v>
      </x:c>
      <x:c r="W1567" s="87" t="n">
        <x:v>13</x:v>
      </x:c>
      <x:c r="X1567" s="87"/>
      <x:c r="Y1567" s="87"/>
      <x:c r="Z1567" s="87"/>
      <x:c r="AA1567" s="87"/>
      <x:c r="AB1567" s="87"/>
      <x:c r="AC1567" s="87"/>
      <x:c r="AD1567" s="87"/>
      <x:c r="AE1567" s="87"/>
      <x:c r="AF1567" s="87"/>
      <x:c r="AG1567" s="87"/>
      <x:c r="AH1567" s="87"/>
      <x:c r="AI1567" s="30"/>
      <x:c r="AJ1567" s="87" t="str">
        <x:v>master</x:v>
      </x:c>
      <x:c r="AK1567" s="87" t="str">
        <x:v>master-v0.81</x:v>
      </x:c>
      <x:c r="AL1567" s="87" t="str">
        <x:v>statgrad_master_base_v0_81_final(2).xlsx</x:v>
      </x:c>
      <x:c r="AM1567" s="87" t="str">
        <x:v>RUS_Feb_V2</x:v>
      </x:c>
      <x:c r="AN1567" s="87" t="n">
        <x:v>26</x:v>
      </x:c>
    </x:row>
    <x:row r="1568">
      <x:c r="A1568" s="87" t="n">
        <x:v>1567</x:v>
      </x:c>
      <x:c r="B1568" s="87" t="str">
        <x:v>FEB-RUS-V2-026</x:v>
      </x:c>
      <x:c r="C1568" s="87" t="str">
        <x:v>СтатГрад</x:v>
      </x:c>
      <x:c r="D1568" s="87" t="str">
        <x:v>Февраль 2026</x:v>
      </x:c>
      <x:c r="E1568" s="87"/>
      <x:c r="F1568" s="87"/>
      <x:c r="G1568" s="87" t="str">
        <x:v>Русский язык</x:v>
      </x:c>
      <x:c r="H1568" s="87" t="n">
        <x:v>11</x:v>
      </x:c>
      <x:c r="I1568" s="87" t="str">
        <x:v>ТР №4</x:v>
      </x:c>
      <x:c r="J1568" s="87" t="str">
        <x:v>РЯ2510502</x:v>
      </x:c>
      <x:c r="K1568" s="87" t="n">
        <x:v>26</x:v>
      </x:c>
      <x:c r="L1568" s="87" t="str">
        <x:v>Связь предложений</x:v>
      </x:c>
      <x:c r="M1568" s="30" t="str">
        <x:v>Найдите предложение 35–40, связанное с предыдущим союзом, указательным местоимением и контекстными синонимами.</x:v>
      </x:c>
      <x:c r="N1568" s="30" t="str">
        <x:v>39</x:v>
      </x:c>
      <x:c r="O1568" s="30" t="str">
        <x:v>Предложение присоединено союзом И; «такие» отсылает к предыдущему описанию, а «новые сооружения» соотносится с образом сундуков.</x:v>
      </x:c>
      <x:c r="P1568" s="30" t="str">
        <x:v>Проверены все три средства связи.</x:v>
      </x:c>
      <x:c r="Q1568" s="30"/>
      <x:c r="R1568" s="30" t="str">
        <x:v>39</x:v>
      </x:c>
      <x:c r="S1568" s="30"/>
      <x:c r="T1568" s="30"/>
      <x:c r="U1568" s="30" t="str">
        <x:v>Расхождений нет.</x:v>
      </x:c>
      <x:c r="V1568" s="87" t="str">
        <x:v>VERIFIED</x:v>
      </x:c>
      <x:c r="W1568" s="87" t="n">
        <x:v>13</x:v>
      </x:c>
      <x:c r="X1568" s="87"/>
      <x:c r="Y1568" s="87"/>
      <x:c r="Z1568" s="87"/>
      <x:c r="AA1568" s="87"/>
      <x:c r="AB1568" s="87"/>
      <x:c r="AC1568" s="87"/>
      <x:c r="AD1568" s="87"/>
      <x:c r="AE1568" s="87"/>
      <x:c r="AF1568" s="87"/>
      <x:c r="AG1568" s="87"/>
      <x:c r="AH1568" s="87"/>
      <x:c r="AI1568" s="30"/>
      <x:c r="AJ1568" s="87" t="str">
        <x:v>master</x:v>
      </x:c>
      <x:c r="AK1568" s="87" t="str">
        <x:v>master-v0.81</x:v>
      </x:c>
      <x:c r="AL1568" s="87" t="str">
        <x:v>statgrad_master_base_v0_81_final(2).xlsx</x:v>
      </x:c>
      <x:c r="AM1568" s="87" t="str">
        <x:v>RUS_Feb_V2</x:v>
      </x:c>
      <x:c r="AN1568" s="87" t="n">
        <x:v>27</x:v>
      </x:c>
    </x:row>
    <x:row r="1569">
      <x:c r="A1569" s="87" t="n">
        <x:v>1568</x:v>
      </x:c>
      <x:c r="B1569" s="87" t="str">
        <x:v>FEB-RUS-V2-027</x:v>
      </x:c>
      <x:c r="C1569" s="87" t="str">
        <x:v>СтатГрад</x:v>
      </x:c>
      <x:c r="D1569" s="87" t="str">
        <x:v>Февраль 2026</x:v>
      </x:c>
      <x:c r="E1569" s="87"/>
      <x:c r="F1569" s="87"/>
      <x:c r="G1569" s="87" t="str">
        <x:v>Русский язык</x:v>
      </x:c>
      <x:c r="H1569" s="87" t="n">
        <x:v>11</x:v>
      </x:c>
      <x:c r="I1569" s="87" t="str">
        <x:v>ТР №4</x:v>
      </x:c>
      <x:c r="J1569" s="87" t="str">
        <x:v>РЯ2510502</x:v>
      </x:c>
      <x:c r="K1569" s="87" t="n">
        <x:v>27</x:v>
      </x:c>
      <x:c r="L1569" s="87" t="str">
        <x:v>Сочинение-рассуждение</x:v>
      </x:c>
      <x:c r="M1569" s="30" t="str">
        <x:v>Напишите сочинение по проблеме «Почему важно ответственно подходить к изменению исторически сложившегося облика местности?».</x:v>
      </x:c>
      <x:c r="N1569" s="30" t="str">
        <x:v>Почему важно ответственно подходить к изменению исторически сложившегося облика местности? Над этой проблемой размышляет Е. И. Куманьков.
Автор убеждён: бездумная перестройка города уничтожает красоту и культурную память, лишая современников возможности любоваться прекрасным, а будущие поколения — учиться у подлинных архитектурных произведений.
Сначала рассказчик описывает новый жилой дом, который «гигантским сундуком» закрыл привычную перспективу старой московской улицы. Постройка оказалась чужой, безликой и наглой: она не дополнила историческую среду, а подавила её. Этот пример показывает, что даже полезное здание способно причинить городу серьёзный эстетический ущерб, если архитектор не учитывает окружающую застройку.
Затем автор обращает внимание на сохранившиеся старинные здания и кварталы. Он воспринимает их как живые свидетельства человеческого таланта, которые формируют вкус и вдохновляют потомков на создание новых архитектурных чудес. Второй пример противопоставлен первому: новое сооружение разрушает гармонию, тогда как бережно сохранённое наследие поддерживает связь времён.
Я согласен с автором. Город — это не случайный набор домов, а общая культурная память. Например, сохранение исторического центра Санкт-Петербурга позволяет людям увидеть целостный архитектурный замысел прошлых эпох. Если заменить его безликими зданиями, восстановить утраченную среду будет невозможно. Поэтому любое изменение исторической местности должно учитывать её культурную ценность, масштаб и сложившийся облик.</x:v>
      </x:c>
      <x:c r="O1569" s="30" t="str">
        <x:v>Модель содержит авторскую позицию, два примера с пояснениями, противопоставление, собственную позицию и аргумент.</x:v>
      </x:c>
      <x:c r="P1569" s="30" t="str">
        <x:v>Проверены соответствие исходному тексту, логика и объём.</x:v>
      </x:c>
      <x:c r="Q1569" s="30"/>
      <x:c r="R1569" s="30" t="str">
        <x:v>Критерии + авторская позиция</x:v>
      </x:c>
      <x:c r="S1569" s="30"/>
      <x:c r="T1569" s="30"/>
      <x:c r="U1569" s="30" t="str">
        <x:v>Критерии вынесены на отдельный LOCKED-лист.</x:v>
      </x:c>
      <x:c r="V1569" s="87" t="str">
        <x:v>VERIFIED</x:v>
      </x:c>
      <x:c r="W1569" s="87" t="n">
        <x:v>13</x:v>
      </x:c>
      <x:c r="X1569" s="87"/>
      <x:c r="Y1569" s="87"/>
      <x:c r="Z1569" s="87"/>
      <x:c r="AA1569" s="87"/>
      <x:c r="AB1569" s="87"/>
      <x:c r="AC1569" s="87"/>
      <x:c r="AD1569" s="87"/>
      <x:c r="AE1569" s="87"/>
      <x:c r="AF1569" s="87"/>
      <x:c r="AG1569" s="87"/>
      <x:c r="AH1569" s="87"/>
      <x:c r="AI1569" s="30"/>
      <x:c r="AJ1569" s="87" t="str">
        <x:v>master</x:v>
      </x:c>
      <x:c r="AK1569" s="87" t="str">
        <x:v>master-v0.81</x:v>
      </x:c>
      <x:c r="AL1569" s="87" t="str">
        <x:v>statgrad_master_base_v0_81_final(2).xlsx</x:v>
      </x:c>
      <x:c r="AM1569" s="87" t="str">
        <x:v>RUS_Feb_V2</x:v>
      </x:c>
      <x:c r="AN1569" s="87" t="n">
        <x:v>28</x:v>
      </x:c>
    </x:row>
    <x:row r="1570">
      <x:c r="A1570" s="87" t="n">
        <x:v>1569</x:v>
      </x:c>
      <x:c r="B1570" s="87" t="str">
        <x:v>MAR-MATH-B-V7-001</x:v>
      </x:c>
      <x:c r="C1570" s="87" t="str">
        <x:v>СтатГрад</x:v>
      </x:c>
      <x:c r="D1570" s="87" t="str">
        <x:v>Март 2026</x:v>
      </x:c>
      <x:c r="E1570" s="87"/>
      <x:c r="F1570" s="87"/>
      <x:c r="G1570" s="87" t="str">
        <x:v>Математика</x:v>
      </x:c>
      <x:c r="H1570" s="87" t="str">
        <x:v>Базовый</x:v>
      </x:c>
      <x:c r="I1570" s="87" t="str">
        <x:v>ТР №4</x:v>
      </x:c>
      <x:c r="J1570" s="87" t="str">
        <x:v>МА2510407</x:v>
      </x:c>
      <x:c r="K1570" s="87" t="n">
        <x:v>1</x:v>
      </x:c>
      <x:c r="L1570" s="87" t="str">
        <x:v>Расчёт коммунальной платы</x:v>
      </x:c>
      <x:c r="M1570" s="30" t="str">
        <x:v>Показания счётчика воды выросли со 167 до 183 м³; тариф 54,80 руб. за 1 м³. Найти плату за март.</x:v>
      </x:c>
      <x:c r="N1570" s="30" t="str">
        <x:v>876,8</x:v>
      </x:c>
      <x:c r="O1570" s="30" t="str">
        <x:v>Расход равен 16 м³; 16·54,8=876,8 руб.</x:v>
      </x:c>
      <x:c r="P1570" s="30" t="str">
        <x:v>Расход равен 16 м³; 16·54,8=876,8 руб.</x:v>
      </x:c>
      <x:c r="Q1570" s="30"/>
      <x:c r="R1570" s="30" t="str">
        <x:v>Официальный PDF архива + независимое решение + приложенный ключ</x:v>
      </x:c>
      <x:c r="S1570" s="30"/>
      <x:c r="T1570" s="30"/>
      <x:c r="U1570" s="30" t="str">
        <x:v>Расхождений не обнаружено.</x:v>
      </x:c>
      <x:c r="V1570" s="87" t="str">
        <x:v>VERIFIED</x:v>
      </x:c>
      <x:c r="W1570" s="87" t="str">
        <x:v>Официальный PDF</x:v>
      </x:c>
      <x:c r="X1570" s="87"/>
      <x:c r="Y1570" s="87"/>
      <x:c r="Z1570" s="87"/>
      <x:c r="AA1570" s="87"/>
      <x:c r="AB1570" s="87"/>
      <x:c r="AC1570" s="87"/>
      <x:c r="AD1570" s="87"/>
      <x:c r="AE1570" s="87"/>
      <x:c r="AF1570" s="87"/>
      <x:c r="AG1570" s="87"/>
      <x:c r="AH1570" s="87"/>
      <x:c r="AI1570" s="30"/>
      <x:c r="AJ1570" s="87" t="str">
        <x:v>master</x:v>
      </x:c>
      <x:c r="AK1570" s="87" t="str">
        <x:v>master-v0.81</x:v>
      </x:c>
      <x:c r="AL1570" s="87" t="str">
        <x:v>statgrad_master_base_v0_81_final(2).xlsx</x:v>
      </x:c>
      <x:c r="AM1570" s="87" t="str">
        <x:v>MATH_Mar_Base_V7</x:v>
      </x:c>
      <x:c r="AN1570" s="87" t="n">
        <x:v>2</x:v>
      </x:c>
    </x:row>
    <x:row r="1571">
      <x:c r="A1571" s="87" t="n">
        <x:v>1570</x:v>
      </x:c>
      <x:c r="B1571" s="87" t="str">
        <x:v>MAR-MATH-B-V7-002</x:v>
      </x:c>
      <x:c r="C1571" s="87" t="str">
        <x:v>СтатГрад</x:v>
      </x:c>
      <x:c r="D1571" s="87" t="str">
        <x:v>Март 2026</x:v>
      </x:c>
      <x:c r="E1571" s="87"/>
      <x:c r="F1571" s="87"/>
      <x:c r="G1571" s="87" t="str">
        <x:v>Математика</x:v>
      </x:c>
      <x:c r="H1571" s="87" t="str">
        <x:v>Базовый</x:v>
      </x:c>
      <x:c r="I1571" s="87" t="str">
        <x:v>ТР №4</x:v>
      </x:c>
      <x:c r="J1571" s="87" t="str">
        <x:v>МА2510407</x:v>
      </x:c>
      <x:c r="K1571" s="87" t="n">
        <x:v>2</x:v>
      </x:c>
      <x:c r="L1571" s="87" t="str">
        <x:v>Соответствие величин</x:v>
      </x:c>
      <x:c r="M1571" s="30" t="str">
        <x:v>Сопоставить рост новорождённого, длину Енисея, толщину лезвия и высоту Эльбруса с 4300 км, 50 см, 5642 м и 0,08 мм.</x:v>
      </x:c>
      <x:c r="N1571" s="30" t="str">
        <x:v>2143</x:v>
      </x:c>
      <x:c r="O1571" s="30" t="str">
        <x:v>Ребёнок — 50 см (2); Енисей — 4300 км (1); лезвие — 0,08 мм (4); Эльбрус — 5642 м (3).</x:v>
      </x:c>
      <x:c r="P1571" s="30" t="str">
        <x:v>Ребёнок — 50 см (2); Енисей — 4300 км (1); лезвие — 0,08 мм (4); Эльбрус — 5642 м (3).</x:v>
      </x:c>
      <x:c r="Q1571" s="30"/>
      <x:c r="R1571" s="30" t="str">
        <x:v>Официальный PDF архива + независимое решение + приложенный ключ</x:v>
      </x:c>
      <x:c r="S1571" s="30"/>
      <x:c r="T1571" s="30"/>
      <x:c r="U1571" s="30" t="str">
        <x:v>Расхождений не обнаружено.</x:v>
      </x:c>
      <x:c r="V1571" s="87" t="str">
        <x:v>VERIFIED</x:v>
      </x:c>
      <x:c r="W1571" s="87" t="str">
        <x:v>Официальный PDF</x:v>
      </x:c>
      <x:c r="X1571" s="87"/>
      <x:c r="Y1571" s="87"/>
      <x:c r="Z1571" s="87"/>
      <x:c r="AA1571" s="87"/>
      <x:c r="AB1571" s="87"/>
      <x:c r="AC1571" s="87"/>
      <x:c r="AD1571" s="87"/>
      <x:c r="AE1571" s="87"/>
      <x:c r="AF1571" s="87"/>
      <x:c r="AG1571" s="87"/>
      <x:c r="AH1571" s="87"/>
      <x:c r="AI1571" s="30"/>
      <x:c r="AJ1571" s="87" t="str">
        <x:v>master</x:v>
      </x:c>
      <x:c r="AK1571" s="87" t="str">
        <x:v>master-v0.81</x:v>
      </x:c>
      <x:c r="AL1571" s="87" t="str">
        <x:v>statgrad_master_base_v0_81_final(2).xlsx</x:v>
      </x:c>
      <x:c r="AM1571" s="87" t="str">
        <x:v>MATH_Mar_Base_V7</x:v>
      </x:c>
      <x:c r="AN1571" s="87" t="n">
        <x:v>3</x:v>
      </x:c>
    </x:row>
    <x:row r="1572">
      <x:c r="A1572" s="87" t="n">
        <x:v>1571</x:v>
      </x:c>
      <x:c r="B1572" s="87" t="str">
        <x:v>MAR-MATH-B-V7-003</x:v>
      </x:c>
      <x:c r="C1572" s="87" t="str">
        <x:v>СтатГрад</x:v>
      </x:c>
      <x:c r="D1572" s="87" t="str">
        <x:v>Март 2026</x:v>
      </x:c>
      <x:c r="E1572" s="87"/>
      <x:c r="F1572" s="87"/>
      <x:c r="G1572" s="87" t="str">
        <x:v>Математика</x:v>
      </x:c>
      <x:c r="H1572" s="87" t="str">
        <x:v>Базовый</x:v>
      </x:c>
      <x:c r="I1572" s="87" t="str">
        <x:v>ТР №4</x:v>
      </x:c>
      <x:c r="J1572" s="87" t="str">
        <x:v>МА2510407</x:v>
      </x:c>
      <x:c r="K1572" s="87" t="n">
        <x:v>3</x:v>
      </x:c>
      <x:c r="L1572" s="87" t="str">
        <x:v>Чтение диаграммы</x:v>
      </x:c>
      <x:c r="M1572" s="30" t="str">
        <x:v>По диаграмме температур Минска найти минимум во второй половине 2003 года.</x:v>
      </x:c>
      <x:c r="N1572" s="30" t="str">
        <x:v>−2</x:v>
      </x:c>
      <x:c r="O1572" s="30" t="str">
        <x:v>С июля по декабрь наименьшее значение приходится на декабрь и равно −2 °C.</x:v>
      </x:c>
      <x:c r="P1572" s="30" t="str">
        <x:v>Столбцы июля–декабря проверены визуально по диаграмме.</x:v>
      </x:c>
      <x:c r="Q1572" s="30"/>
      <x:c r="R1572" s="30" t="str">
        <x:v>Официальный PDF архива + независимое решение + приложенный ключ</x:v>
      </x:c>
      <x:c r="S1572" s="30"/>
      <x:c r="T1572" s="30"/>
      <x:c r="U1572" s="30" t="str">
        <x:v>Расхождений нет.</x:v>
      </x:c>
      <x:c r="V1572" s="87" t="str">
        <x:v>VERIFIED</x:v>
      </x:c>
      <x:c r="W1572" s="87" t="str">
        <x:v>PDF, стр. варианта 3</x:v>
      </x:c>
      <x:c r="X1572" s="87"/>
      <x:c r="Y1572" s="87"/>
      <x:c r="Z1572" s="87"/>
      <x:c r="AA1572" s="87"/>
      <x:c r="AB1572" s="87"/>
      <x:c r="AC1572" s="87"/>
      <x:c r="AD1572" s="87"/>
      <x:c r="AE1572" s="87"/>
      <x:c r="AF1572" s="87"/>
      <x:c r="AG1572" s="87"/>
      <x:c r="AH1572" s="87"/>
      <x:c r="AI1572" s="30"/>
      <x:c r="AJ1572" s="87" t="str">
        <x:v>master</x:v>
      </x:c>
      <x:c r="AK1572" s="87" t="str">
        <x:v>master-v0.81</x:v>
      </x:c>
      <x:c r="AL1572" s="87" t="str">
        <x:v>statgrad_master_base_v0_81_final(2).xlsx</x:v>
      </x:c>
      <x:c r="AM1572" s="87" t="str">
        <x:v>MATH_Mar_Base_V7</x:v>
      </x:c>
      <x:c r="AN1572" s="87" t="n">
        <x:v>4</x:v>
      </x:c>
    </x:row>
    <x:row r="1573">
      <x:c r="A1573" s="87" t="n">
        <x:v>1572</x:v>
      </x:c>
      <x:c r="B1573" s="87" t="str">
        <x:v>MAR-MATH-B-V7-004</x:v>
      </x:c>
      <x:c r="C1573" s="87" t="str">
        <x:v>СтатГрад</x:v>
      </x:c>
      <x:c r="D1573" s="87" t="str">
        <x:v>Март 2026</x:v>
      </x:c>
      <x:c r="E1573" s="87"/>
      <x:c r="F1573" s="87"/>
      <x:c r="G1573" s="87" t="str">
        <x:v>Математика</x:v>
      </x:c>
      <x:c r="H1573" s="87" t="str">
        <x:v>Базовый</x:v>
      </x:c>
      <x:c r="I1573" s="87" t="str">
        <x:v>ТР №4</x:v>
      </x:c>
      <x:c r="J1573" s="87" t="str">
        <x:v>МА2510407</x:v>
      </x:c>
      <x:c r="K1573" s="87" t="n">
        <x:v>4</x:v>
      </x:c>
      <x:c r="L1573" s="87" t="str">
        <x:v>Теорема синусов</x:v>
      </x:c>
      <x:c r="M1573" s="30" t="str">
        <x:v>Найти sin α при a=4, b=5, sin β=3/8.</x:v>
      </x:c>
      <x:c r="N1573" s="30" t="str">
        <x:v>0,3</x:v>
      </x:c>
      <x:c r="O1573" s="30" t="str">
        <x:v>sin α=a·sinβ/b=4·(3/8)/5=3/10=0,3.</x:v>
      </x:c>
      <x:c r="P1573" s="30" t="str">
        <x:v>sin α=a·sinβ/b=4·(3/8)/5=3/10=0,3.</x:v>
      </x:c>
      <x:c r="Q1573" s="30"/>
      <x:c r="R1573" s="30" t="str">
        <x:v>Официальный PDF архива + независимое решение + приложенный ключ</x:v>
      </x:c>
      <x:c r="S1573" s="30"/>
      <x:c r="T1573" s="30"/>
      <x:c r="U1573" s="30" t="str">
        <x:v>Расхождений не обнаружено.</x:v>
      </x:c>
      <x:c r="V1573" s="87" t="str">
        <x:v>VERIFIED</x:v>
      </x:c>
      <x:c r="W1573" s="87" t="str">
        <x:v>Официальный PDF</x:v>
      </x:c>
      <x:c r="X1573" s="87"/>
      <x:c r="Y1573" s="87"/>
      <x:c r="Z1573" s="87"/>
      <x:c r="AA1573" s="87"/>
      <x:c r="AB1573" s="87"/>
      <x:c r="AC1573" s="87"/>
      <x:c r="AD1573" s="87"/>
      <x:c r="AE1573" s="87"/>
      <x:c r="AF1573" s="87"/>
      <x:c r="AG1573" s="87"/>
      <x:c r="AH1573" s="87"/>
      <x:c r="AI1573" s="30"/>
      <x:c r="AJ1573" s="87" t="str">
        <x:v>master</x:v>
      </x:c>
      <x:c r="AK1573" s="87" t="str">
        <x:v>master-v0.81</x:v>
      </x:c>
      <x:c r="AL1573" s="87" t="str">
        <x:v>statgrad_master_base_v0_81_final(2).xlsx</x:v>
      </x:c>
      <x:c r="AM1573" s="87" t="str">
        <x:v>MATH_Mar_Base_V7</x:v>
      </x:c>
      <x:c r="AN1573" s="87" t="n">
        <x:v>5</x:v>
      </x:c>
    </x:row>
    <x:row r="1574">
      <x:c r="A1574" s="87" t="n">
        <x:v>1573</x:v>
      </x:c>
      <x:c r="B1574" s="87" t="str">
        <x:v>MAR-MATH-B-V7-005</x:v>
      </x:c>
      <x:c r="C1574" s="87" t="str">
        <x:v>СтатГрад</x:v>
      </x:c>
      <x:c r="D1574" s="87" t="str">
        <x:v>Март 2026</x:v>
      </x:c>
      <x:c r="E1574" s="87"/>
      <x:c r="F1574" s="87"/>
      <x:c r="G1574" s="87" t="str">
        <x:v>Математика</x:v>
      </x:c>
      <x:c r="H1574" s="87" t="str">
        <x:v>Базовый</x:v>
      </x:c>
      <x:c r="I1574" s="87" t="str">
        <x:v>ТР №4</x:v>
      </x:c>
      <x:c r="J1574" s="87" t="str">
        <x:v>МА2510407</x:v>
      </x:c>
      <x:c r="K1574" s="87" t="n">
        <x:v>5</x:v>
      </x:c>
      <x:c r="L1574" s="87" t="str">
        <x:v>Классическая вероятность</x:v>
      </x:c>
      <x:c r="M1574" s="30" t="str">
        <x:v>Из 500 мониторов 15 не работают. Найти вероятность выбрать работающий.</x:v>
      </x:c>
      <x:c r="N1574" s="30" t="str">
        <x:v>0,97</x:v>
      </x:c>
      <x:c r="O1574" s="30" t="str">
        <x:v>Работают 485 мониторов; 485/500=0,97.</x:v>
      </x:c>
      <x:c r="P1574" s="30" t="str">
        <x:v>Работают 485 мониторов; 485/500=0,97.</x:v>
      </x:c>
      <x:c r="Q1574" s="30"/>
      <x:c r="R1574" s="30" t="str">
        <x:v>Официальный PDF архива + независимое решение + приложенный ключ</x:v>
      </x:c>
      <x:c r="S1574" s="30"/>
      <x:c r="T1574" s="30"/>
      <x:c r="U1574" s="30" t="str">
        <x:v>Расхождений не обнаружено.</x:v>
      </x:c>
      <x:c r="V1574" s="87" t="str">
        <x:v>VERIFIED</x:v>
      </x:c>
      <x:c r="W1574" s="87" t="str">
        <x:v>Официальный PDF</x:v>
      </x:c>
      <x:c r="X1574" s="87"/>
      <x:c r="Y1574" s="87"/>
      <x:c r="Z1574" s="87"/>
      <x:c r="AA1574" s="87"/>
      <x:c r="AB1574" s="87"/>
      <x:c r="AC1574" s="87"/>
      <x:c r="AD1574" s="87"/>
      <x:c r="AE1574" s="87"/>
      <x:c r="AF1574" s="87"/>
      <x:c r="AG1574" s="87"/>
      <x:c r="AH1574" s="87"/>
      <x:c r="AI1574" s="30"/>
      <x:c r="AJ1574" s="87" t="str">
        <x:v>master</x:v>
      </x:c>
      <x:c r="AK1574" s="87" t="str">
        <x:v>master-v0.81</x:v>
      </x:c>
      <x:c r="AL1574" s="87" t="str">
        <x:v>statgrad_master_base_v0_81_final(2).xlsx</x:v>
      </x:c>
      <x:c r="AM1574" s="87" t="str">
        <x:v>MATH_Mar_Base_V7</x:v>
      </x:c>
      <x:c r="AN1574" s="87" t="n">
        <x:v>6</x:v>
      </x:c>
    </x:row>
    <x:row r="1575">
      <x:c r="A1575" s="87" t="n">
        <x:v>1574</x:v>
      </x:c>
      <x:c r="B1575" s="87" t="str">
        <x:v>MAR-MATH-B-V7-006</x:v>
      </x:c>
      <x:c r="C1575" s="87" t="str">
        <x:v>СтатГрад</x:v>
      </x:c>
      <x:c r="D1575" s="87" t="str">
        <x:v>Март 2026</x:v>
      </x:c>
      <x:c r="E1575" s="87"/>
      <x:c r="F1575" s="87"/>
      <x:c r="G1575" s="87" t="str">
        <x:v>Математика</x:v>
      </x:c>
      <x:c r="H1575" s="87" t="str">
        <x:v>Базовый</x:v>
      </x:c>
      <x:c r="I1575" s="87" t="str">
        <x:v>ТР №4</x:v>
      </x:c>
      <x:c r="J1575" s="87" t="str">
        <x:v>МА2510407</x:v>
      </x:c>
      <x:c r="K1575" s="87" t="n">
        <x:v>6</x:v>
      </x:c>
      <x:c r="L1575" s="87" t="str">
        <x:v>Оптимальный набор</x:v>
      </x:c>
      <x:c r="M1575" s="30" t="str">
        <x:v>Выбрать экскурсии для посещения крепости, дворца, парка и музея при стоимости не более 1500 руб.</x:v>
      </x:c>
      <x:c r="N1575" s="30" t="str">
        <x:v>15</x:v>
      </x:c>
      <x:c r="O1575" s="30" t="str">
        <x:v>Экскурсия 1 покрывает музей и парк, экскурсия 5 — дворец и крепость; стоимость 500+700=1200 руб.</x:v>
      </x:c>
      <x:c r="P1575" s="30" t="str">
        <x:v>Проверено покрытие всех четырёх объектов и ограничение по цене.</x:v>
      </x:c>
      <x:c r="Q1575" s="30"/>
      <x:c r="R1575" s="30" t="str">
        <x:v>Официальный PDF архива + независимое решение + приложенный ключ</x:v>
      </x:c>
      <x:c r="S1575" s="30"/>
      <x:c r="T1575" s="30"/>
      <x:c r="U1575" s="30" t="str">
        <x:v>Допустима запись 51.</x:v>
      </x:c>
      <x:c r="V1575" s="87" t="str">
        <x:v>VERIFIED</x:v>
      </x:c>
      <x:c r="W1575" s="87" t="str">
        <x:v>PDF, стр. варианта 4</x:v>
      </x:c>
      <x:c r="X1575" s="87"/>
      <x:c r="Y1575" s="87"/>
      <x:c r="Z1575" s="87"/>
      <x:c r="AA1575" s="87"/>
      <x:c r="AB1575" s="87"/>
      <x:c r="AC1575" s="87"/>
      <x:c r="AD1575" s="87"/>
      <x:c r="AE1575" s="87"/>
      <x:c r="AF1575" s="87"/>
      <x:c r="AG1575" s="87"/>
      <x:c r="AH1575" s="87"/>
      <x:c r="AI1575" s="30"/>
      <x:c r="AJ1575" s="87" t="str">
        <x:v>master</x:v>
      </x:c>
      <x:c r="AK1575" s="87" t="str">
        <x:v>master-v0.81</x:v>
      </x:c>
      <x:c r="AL1575" s="87" t="str">
        <x:v>statgrad_master_base_v0_81_final(2).xlsx</x:v>
      </x:c>
      <x:c r="AM1575" s="87" t="str">
        <x:v>MATH_Mar_Base_V7</x:v>
      </x:c>
      <x:c r="AN1575" s="87" t="n">
        <x:v>7</x:v>
      </x:c>
    </x:row>
    <x:row r="1576">
      <x:c r="A1576" s="87" t="n">
        <x:v>1575</x:v>
      </x:c>
      <x:c r="B1576" s="87" t="str">
        <x:v>MAR-MATH-B-V7-007</x:v>
      </x:c>
      <x:c r="C1576" s="87" t="str">
        <x:v>СтатГрад</x:v>
      </x:c>
      <x:c r="D1576" s="87" t="str">
        <x:v>Март 2026</x:v>
      </x:c>
      <x:c r="E1576" s="87"/>
      <x:c r="F1576" s="87"/>
      <x:c r="G1576" s="87" t="str">
        <x:v>Математика</x:v>
      </x:c>
      <x:c r="H1576" s="87" t="str">
        <x:v>Базовый</x:v>
      </x:c>
      <x:c r="I1576" s="87" t="str">
        <x:v>ТР №4</x:v>
      </x:c>
      <x:c r="J1576" s="87" t="str">
        <x:v>МА2510407</x:v>
      </x:c>
      <x:c r="K1576" s="87" t="n">
        <x:v>7</x:v>
      </x:c>
      <x:c r="L1576" s="87" t="str">
        <x:v>Свойства функций</x:v>
      </x:c>
      <x:c r="M1576" s="30" t="str">
        <x:v>Сопоставить четыре функции с убыванием, положительностью, возрастанием и отрицательностью на [0;4].</x:v>
      </x:c>
      <x:c r="N1576" s="30" t="str">
        <x:v>1423</x:v>
      </x:c>
      <x:c r="O1576" s="30" t="str">
        <x:v>3−12x убывает; −3x²+7x−7 всюду отрицательна; x²−x+2 всюду положительна; 2x−6 возрастает.</x:v>
      </x:c>
      <x:c r="P1576" s="30" t="str">
        <x:v>Для квадратных функций проверены вершина и дискриминант.</x:v>
      </x:c>
      <x:c r="Q1576" s="30"/>
      <x:c r="R1576" s="30" t="str">
        <x:v>Официальный PDF архива + независимое решение + приложенный ключ</x:v>
      </x:c>
      <x:c r="S1576" s="30"/>
      <x:c r="T1576" s="30"/>
      <x:c r="U1576" s="30" t="str">
        <x:v>Расхождений не обнаружено.</x:v>
      </x:c>
      <x:c r="V1576" s="87" t="str">
        <x:v>VERIFIED</x:v>
      </x:c>
      <x:c r="W1576" s="87" t="str">
        <x:v>Официальный PDF</x:v>
      </x:c>
      <x:c r="X1576" s="87"/>
      <x:c r="Y1576" s="87"/>
      <x:c r="Z1576" s="87"/>
      <x:c r="AA1576" s="87"/>
      <x:c r="AB1576" s="87"/>
      <x:c r="AC1576" s="87"/>
      <x:c r="AD1576" s="87"/>
      <x:c r="AE1576" s="87"/>
      <x:c r="AF1576" s="87"/>
      <x:c r="AG1576" s="87"/>
      <x:c r="AH1576" s="87"/>
      <x:c r="AI1576" s="30"/>
      <x:c r="AJ1576" s="87" t="str">
        <x:v>master</x:v>
      </x:c>
      <x:c r="AK1576" s="87" t="str">
        <x:v>master-v0.81</x:v>
      </x:c>
      <x:c r="AL1576" s="87" t="str">
        <x:v>statgrad_master_base_v0_81_final(2).xlsx</x:v>
      </x:c>
      <x:c r="AM1576" s="87" t="str">
        <x:v>MATH_Mar_Base_V7</x:v>
      </x:c>
      <x:c r="AN1576" s="87" t="n">
        <x:v>8</x:v>
      </x:c>
    </x:row>
    <x:row r="1577">
      <x:c r="A1577" s="87" t="n">
        <x:v>1576</x:v>
      </x:c>
      <x:c r="B1577" s="87" t="str">
        <x:v>MAR-MATH-B-V7-008</x:v>
      </x:c>
      <x:c r="C1577" s="87" t="str">
        <x:v>СтатГрад</x:v>
      </x:c>
      <x:c r="D1577" s="87" t="str">
        <x:v>Март 2026</x:v>
      </x:c>
      <x:c r="E1577" s="87"/>
      <x:c r="F1577" s="87"/>
      <x:c r="G1577" s="87" t="str">
        <x:v>Математика</x:v>
      </x:c>
      <x:c r="H1577" s="87" t="str">
        <x:v>Базовый</x:v>
      </x:c>
      <x:c r="I1577" s="87" t="str">
        <x:v>ТР №4</x:v>
      </x:c>
      <x:c r="J1577" s="87" t="str">
        <x:v>МА2510407</x:v>
      </x:c>
      <x:c r="K1577" s="87" t="n">
        <x:v>8</x:v>
      </x:c>
      <x:c r="L1577" s="87" t="str">
        <x:v>Логические утверждения</x:v>
      </x:c>
      <x:c r="M1577" s="30" t="str">
        <x:v>Из 50 рогаликов 15 посыпаны корицей, 20 — сахаром. Выбрать гарантированно верные утверждения.</x:v>
      </x:c>
      <x:c r="N1577" s="30" t="str">
        <x:v>13</x:v>
      </x:c>
      <x:c r="O1577" s="30" t="str">
        <x:v>Даже при непересекающихся множествах не посыпаны не менее 15 рогаликов; пересечение не превышает 15 и тем более 20.</x:v>
      </x:c>
      <x:c r="P1577" s="30" t="str">
        <x:v>Проверены минимальная мощность дополнения и максимальная мощность пересечения.</x:v>
      </x:c>
      <x:c r="Q1577" s="30"/>
      <x:c r="R1577" s="30" t="str">
        <x:v>Официальный PDF архива + независимое решение + приложенный ключ</x:v>
      </x:c>
      <x:c r="S1577" s="30"/>
      <x:c r="T1577" s="30"/>
      <x:c r="U1577" s="30" t="str">
        <x:v>Допустима запись 31.</x:v>
      </x:c>
      <x:c r="V1577" s="87" t="str">
        <x:v>VERIFIED</x:v>
      </x:c>
      <x:c r="W1577" s="87" t="str">
        <x:v>Официальный PDF</x:v>
      </x:c>
      <x:c r="X1577" s="87"/>
      <x:c r="Y1577" s="87"/>
      <x:c r="Z1577" s="87"/>
      <x:c r="AA1577" s="87"/>
      <x:c r="AB1577" s="87"/>
      <x:c r="AC1577" s="87"/>
      <x:c r="AD1577" s="87"/>
      <x:c r="AE1577" s="87"/>
      <x:c r="AF1577" s="87"/>
      <x:c r="AG1577" s="87"/>
      <x:c r="AH1577" s="87"/>
      <x:c r="AI1577" s="30"/>
      <x:c r="AJ1577" s="87" t="str">
        <x:v>master</x:v>
      </x:c>
      <x:c r="AK1577" s="87" t="str">
        <x:v>master-v0.81</x:v>
      </x:c>
      <x:c r="AL1577" s="87" t="str">
        <x:v>statgrad_master_base_v0_81_final(2).xlsx</x:v>
      </x:c>
      <x:c r="AM1577" s="87" t="str">
        <x:v>MATH_Mar_Base_V7</x:v>
      </x:c>
      <x:c r="AN1577" s="87" t="n">
        <x:v>9</x:v>
      </x:c>
    </x:row>
    <x:row r="1578">
      <x:c r="A1578" s="87" t="n">
        <x:v>1577</x:v>
      </x:c>
      <x:c r="B1578" s="87" t="str">
        <x:v>MAR-MATH-B-V7-009</x:v>
      </x:c>
      <x:c r="C1578" s="87" t="str">
        <x:v>СтатГрад</x:v>
      </x:c>
      <x:c r="D1578" s="87" t="str">
        <x:v>Март 2026</x:v>
      </x:c>
      <x:c r="E1578" s="87"/>
      <x:c r="F1578" s="87"/>
      <x:c r="G1578" s="87" t="str">
        <x:v>Математика</x:v>
      </x:c>
      <x:c r="H1578" s="87" t="str">
        <x:v>Базовый</x:v>
      </x:c>
      <x:c r="I1578" s="87" t="str">
        <x:v>ТР №4</x:v>
      </x:c>
      <x:c r="J1578" s="87" t="str">
        <x:v>МА2510407</x:v>
      </x:c>
      <x:c r="K1578" s="87" t="n">
        <x:v>9</x:v>
      </x:c>
      <x:c r="L1578" s="87" t="str">
        <x:v>Площадь на клетчатой решётке</x:v>
      </x:c>
      <x:c r="M1578" s="30" t="str">
        <x:v>Найти площадь ромба на квадратной сетке 1×1 м.</x:v>
      </x:c>
      <x:c r="N1578" s="30" t="str">
        <x:v>8</x:v>
      </x:c>
      <x:c r="O1578" s="30" t="str">
        <x:v>Диагонали ромба равны 8 и 2 клетки; S=8·2/2=8 м².</x:v>
      </x:c>
      <x:c r="P1578" s="30" t="str">
        <x:v>Длины диагоналей считаны по узлам сетки.</x:v>
      </x:c>
      <x:c r="Q1578" s="30"/>
      <x:c r="R1578" s="30" t="str">
        <x:v>Официальный PDF архива + независимое решение + приложенный ключ</x:v>
      </x:c>
      <x:c r="S1578" s="30"/>
      <x:c r="T1578" s="30"/>
      <x:c r="U1578" s="30" t="str">
        <x:v>Расхождений нет.</x:v>
      </x:c>
      <x:c r="V1578" s="87" t="str">
        <x:v>VERIFIED</x:v>
      </x:c>
      <x:c r="W1578" s="87" t="str">
        <x:v>PDF, стр. варианта 5</x:v>
      </x:c>
      <x:c r="X1578" s="87"/>
      <x:c r="Y1578" s="87"/>
      <x:c r="Z1578" s="87"/>
      <x:c r="AA1578" s="87"/>
      <x:c r="AB1578" s="87"/>
      <x:c r="AC1578" s="87"/>
      <x:c r="AD1578" s="87"/>
      <x:c r="AE1578" s="87"/>
      <x:c r="AF1578" s="87"/>
      <x:c r="AG1578" s="87"/>
      <x:c r="AH1578" s="87"/>
      <x:c r="AI1578" s="30"/>
      <x:c r="AJ1578" s="87" t="str">
        <x:v>master</x:v>
      </x:c>
      <x:c r="AK1578" s="87" t="str">
        <x:v>master-v0.81</x:v>
      </x:c>
      <x:c r="AL1578" s="87" t="str">
        <x:v>statgrad_master_base_v0_81_final(2).xlsx</x:v>
      </x:c>
      <x:c r="AM1578" s="87" t="str">
        <x:v>MATH_Mar_Base_V7</x:v>
      </x:c>
      <x:c r="AN1578" s="87" t="n">
        <x:v>10</x:v>
      </x:c>
    </x:row>
    <x:row r="1579">
      <x:c r="A1579" s="87" t="n">
        <x:v>1578</x:v>
      </x:c>
      <x:c r="B1579" s="87" t="str">
        <x:v>MAR-MATH-B-V7-010</x:v>
      </x:c>
      <x:c r="C1579" s="87" t="str">
        <x:v>СтатГрад</x:v>
      </x:c>
      <x:c r="D1579" s="87" t="str">
        <x:v>Март 2026</x:v>
      </x:c>
      <x:c r="E1579" s="87"/>
      <x:c r="F1579" s="87"/>
      <x:c r="G1579" s="87" t="str">
        <x:v>Математика</x:v>
      </x:c>
      <x:c r="H1579" s="87" t="str">
        <x:v>Базовый</x:v>
      </x:c>
      <x:c r="I1579" s="87" t="str">
        <x:v>ТР №4</x:v>
      </x:c>
      <x:c r="J1579" s="87" t="str">
        <x:v>МА2510407</x:v>
      </x:c>
      <x:c r="K1579" s="87" t="n">
        <x:v>10</x:v>
      </x:c>
      <x:c r="L1579" s="87" t="str">
        <x:v>Подобие треугольников</x:v>
      </x:c>
      <x:c r="M1579" s="30" t="str">
        <x:v>Фонарь высотой 8,5 м; человек стоит в 12,4 м от столба, длина тени 3,1 м. Найти рост.</x:v>
      </x:c>
      <x:c r="N1579" s="30" t="str">
        <x:v>1,7</x:v>
      </x:c>
      <x:c r="O1579" s="30" t="str">
        <x:v>Полное основание большого треугольника 15,5 м. h/3,1=8,5/15,5, откуда h=1,7 м.</x:v>
      </x:c>
      <x:c r="P1579" s="30" t="str">
        <x:v>Полное основание большого треугольника 15,5 м. h/3,1=8,5/15,5, откуда h=1,7 м.</x:v>
      </x:c>
      <x:c r="Q1579" s="30"/>
      <x:c r="R1579" s="30" t="str">
        <x:v>Официальный PDF архива + независимое решение + приложенный ключ</x:v>
      </x:c>
      <x:c r="S1579" s="30"/>
      <x:c r="T1579" s="30"/>
      <x:c r="U1579" s="30" t="str">
        <x:v>Расхождений не обнаружено.</x:v>
      </x:c>
      <x:c r="V1579" s="87" t="str">
        <x:v>VERIFIED</x:v>
      </x:c>
      <x:c r="W1579" s="87" t="str">
        <x:v>Официальный PDF</x:v>
      </x:c>
      <x:c r="X1579" s="87"/>
      <x:c r="Y1579" s="87"/>
      <x:c r="Z1579" s="87"/>
      <x:c r="AA1579" s="87"/>
      <x:c r="AB1579" s="87"/>
      <x:c r="AC1579" s="87"/>
      <x:c r="AD1579" s="87"/>
      <x:c r="AE1579" s="87"/>
      <x:c r="AF1579" s="87"/>
      <x:c r="AG1579" s="87"/>
      <x:c r="AH1579" s="87"/>
      <x:c r="AI1579" s="30"/>
      <x:c r="AJ1579" s="87" t="str">
        <x:v>master</x:v>
      </x:c>
      <x:c r="AK1579" s="87" t="str">
        <x:v>master-v0.81</x:v>
      </x:c>
      <x:c r="AL1579" s="87" t="str">
        <x:v>statgrad_master_base_v0_81_final(2).xlsx</x:v>
      </x:c>
      <x:c r="AM1579" s="87" t="str">
        <x:v>MATH_Mar_Base_V7</x:v>
      </x:c>
      <x:c r="AN1579" s="87" t="n">
        <x:v>11</x:v>
      </x:c>
    </x:row>
    <x:row r="1580">
      <x:c r="A1580" s="87" t="n">
        <x:v>1579</x:v>
      </x:c>
      <x:c r="B1580" s="87" t="str">
        <x:v>MAR-MATH-B-V7-011</x:v>
      </x:c>
      <x:c r="C1580" s="87" t="str">
        <x:v>СтатГрад</x:v>
      </x:c>
      <x:c r="D1580" s="87" t="str">
        <x:v>Март 2026</x:v>
      </x:c>
      <x:c r="E1580" s="87"/>
      <x:c r="F1580" s="87"/>
      <x:c r="G1580" s="87" t="str">
        <x:v>Математика</x:v>
      </x:c>
      <x:c r="H1580" s="87" t="str">
        <x:v>Базовый</x:v>
      </x:c>
      <x:c r="I1580" s="87" t="str">
        <x:v>ТР №4</x:v>
      </x:c>
      <x:c r="J1580" s="87" t="str">
        <x:v>МА2510407</x:v>
      </x:c>
      <x:c r="K1580" s="87" t="n">
        <x:v>11</x:v>
      </x:c>
      <x:c r="L1580" s="87" t="str">
        <x:v>Объём цилиндра</x:v>
      </x:c>
      <x:c r="M1580" s="30" t="str">
        <x:v>Высота бака 50 см, площадь основания 140 см². Найти объём в литрах.</x:v>
      </x:c>
      <x:c r="N1580" s="30" t="str">
        <x:v>7</x:v>
      </x:c>
      <x:c r="O1580" s="30" t="str">
        <x:v>V=50·140=7000 см³=7 л.</x:v>
      </x:c>
      <x:c r="P1580" s="30" t="str">
        <x:v>V=50·140=7000 см³=7 л.</x:v>
      </x:c>
      <x:c r="Q1580" s="30"/>
      <x:c r="R1580" s="30" t="str">
        <x:v>Официальный PDF архива + независимое решение + приложенный ключ</x:v>
      </x:c>
      <x:c r="S1580" s="30"/>
      <x:c r="T1580" s="30"/>
      <x:c r="U1580" s="30" t="str">
        <x:v>Расхождений не обнаружено.</x:v>
      </x:c>
      <x:c r="V1580" s="87" t="str">
        <x:v>VERIFIED</x:v>
      </x:c>
      <x:c r="W1580" s="87" t="str">
        <x:v>Официальный PDF</x:v>
      </x:c>
      <x:c r="X1580" s="87"/>
      <x:c r="Y1580" s="87"/>
      <x:c r="Z1580" s="87"/>
      <x:c r="AA1580" s="87"/>
      <x:c r="AB1580" s="87"/>
      <x:c r="AC1580" s="87"/>
      <x:c r="AD1580" s="87"/>
      <x:c r="AE1580" s="87"/>
      <x:c r="AF1580" s="87"/>
      <x:c r="AG1580" s="87"/>
      <x:c r="AH1580" s="87"/>
      <x:c r="AI1580" s="30"/>
      <x:c r="AJ1580" s="87" t="str">
        <x:v>master</x:v>
      </x:c>
      <x:c r="AK1580" s="87" t="str">
        <x:v>master-v0.81</x:v>
      </x:c>
      <x:c r="AL1580" s="87" t="str">
        <x:v>statgrad_master_base_v0_81_final(2).xlsx</x:v>
      </x:c>
      <x:c r="AM1580" s="87" t="str">
        <x:v>MATH_Mar_Base_V7</x:v>
      </x:c>
      <x:c r="AN1580" s="87" t="n">
        <x:v>12</x:v>
      </x:c>
    </x:row>
    <x:row r="1581">
      <x:c r="A1581" s="87" t="n">
        <x:v>1580</x:v>
      </x:c>
      <x:c r="B1581" s="87" t="str">
        <x:v>MAR-MATH-B-V7-012</x:v>
      </x:c>
      <x:c r="C1581" s="87" t="str">
        <x:v>СтатГрад</x:v>
      </x:c>
      <x:c r="D1581" s="87" t="str">
        <x:v>Март 2026</x:v>
      </x:c>
      <x:c r="E1581" s="87"/>
      <x:c r="F1581" s="87"/>
      <x:c r="G1581" s="87" t="str">
        <x:v>Математика</x:v>
      </x:c>
      <x:c r="H1581" s="87" t="str">
        <x:v>Базовый</x:v>
      </x:c>
      <x:c r="I1581" s="87" t="str">
        <x:v>ТР №4</x:v>
      </x:c>
      <x:c r="J1581" s="87" t="str">
        <x:v>МА2510407</x:v>
      </x:c>
      <x:c r="K1581" s="87" t="n">
        <x:v>12</x:v>
      </x:c>
      <x:c r="L1581" s="87" t="str">
        <x:v>Прямоугольная трапеция</x:v>
      </x:c>
      <x:c r="M1581" s="30" t="str">
        <x:v>В прямоугольной трапеции AB=8, BC=CD=10. Найти среднюю линию.</x:v>
      </x:c>
      <x:c r="N1581" s="30" t="str">
        <x:v>13</x:v>
      </x:c>
      <x:c r="O1581" s="30" t="str">
        <x:v>Горизонтальная проекция CD равна √(10²−8²)=6; AD=10+6=16; средняя линия (10+16)/2=13.</x:v>
      </x:c>
      <x:c r="P1581" s="30" t="str">
        <x:v>Горизонтальная проекция CD равна √(10²−8²)=6; AD=10+6=16; средняя линия (10+16)/2=13.</x:v>
      </x:c>
      <x:c r="Q1581" s="30"/>
      <x:c r="R1581" s="30" t="str">
        <x:v>Официальный PDF архива + независимое решение + приложенный ключ</x:v>
      </x:c>
      <x:c r="S1581" s="30"/>
      <x:c r="T1581" s="30"/>
      <x:c r="U1581" s="30" t="str">
        <x:v>Расхождений не обнаружено.</x:v>
      </x:c>
      <x:c r="V1581" s="87" t="str">
        <x:v>VERIFIED</x:v>
      </x:c>
      <x:c r="W1581" s="87" t="str">
        <x:v>Официальный PDF</x:v>
      </x:c>
      <x:c r="X1581" s="87"/>
      <x:c r="Y1581" s="87"/>
      <x:c r="Z1581" s="87"/>
      <x:c r="AA1581" s="87"/>
      <x:c r="AB1581" s="87"/>
      <x:c r="AC1581" s="87"/>
      <x:c r="AD1581" s="87"/>
      <x:c r="AE1581" s="87"/>
      <x:c r="AF1581" s="87"/>
      <x:c r="AG1581" s="87"/>
      <x:c r="AH1581" s="87"/>
      <x:c r="AI1581" s="30"/>
      <x:c r="AJ1581" s="87" t="str">
        <x:v>master</x:v>
      </x:c>
      <x:c r="AK1581" s="87" t="str">
        <x:v>master-v0.81</x:v>
      </x:c>
      <x:c r="AL1581" s="87" t="str">
        <x:v>statgrad_master_base_v0_81_final(2).xlsx</x:v>
      </x:c>
      <x:c r="AM1581" s="87" t="str">
        <x:v>MATH_Mar_Base_V7</x:v>
      </x:c>
      <x:c r="AN1581" s="87" t="n">
        <x:v>13</x:v>
      </x:c>
    </x:row>
    <x:row r="1582">
      <x:c r="A1582" s="87" t="n">
        <x:v>1581</x:v>
      </x:c>
      <x:c r="B1582" s="87" t="str">
        <x:v>MAR-MATH-B-V7-013</x:v>
      </x:c>
      <x:c r="C1582" s="87" t="str">
        <x:v>СтатГрад</x:v>
      </x:c>
      <x:c r="D1582" s="87" t="str">
        <x:v>Март 2026</x:v>
      </x:c>
      <x:c r="E1582" s="87"/>
      <x:c r="F1582" s="87"/>
      <x:c r="G1582" s="87" t="str">
        <x:v>Математика</x:v>
      </x:c>
      <x:c r="H1582" s="87" t="str">
        <x:v>Базовый</x:v>
      </x:c>
      <x:c r="I1582" s="87" t="str">
        <x:v>ТР №4</x:v>
      </x:c>
      <x:c r="J1582" s="87" t="str">
        <x:v>МА2510407</x:v>
      </x:c>
      <x:c r="K1582" s="87" t="n">
        <x:v>13</x:v>
      </x:c>
      <x:c r="L1582" s="87" t="str">
        <x:v>Площадь поверхности шара</x:v>
      </x:c>
      <x:c r="M1582" s="30" t="str">
        <x:v>Радиусы шаров 3 и 1. Во сколько раз площадь большего больше?</x:v>
      </x:c>
      <x:c r="N1582" s="30" t="str">
        <x:v>9</x:v>
      </x:c>
      <x:c r="O1582" s="30" t="str">
        <x:v>Площадь пропорциональна r²: 3²/1²=9.</x:v>
      </x:c>
      <x:c r="P1582" s="30" t="str">
        <x:v>Площадь пропорциональна r²: 3²/1²=9.</x:v>
      </x:c>
      <x:c r="Q1582" s="30"/>
      <x:c r="R1582" s="30" t="str">
        <x:v>Официальный PDF архива + независимое решение + приложенный ключ</x:v>
      </x:c>
      <x:c r="S1582" s="30"/>
      <x:c r="T1582" s="30"/>
      <x:c r="U1582" s="30" t="str">
        <x:v>Расхождений не обнаружено.</x:v>
      </x:c>
      <x:c r="V1582" s="87" t="str">
        <x:v>VERIFIED</x:v>
      </x:c>
      <x:c r="W1582" s="87" t="str">
        <x:v>Официальный PDF</x:v>
      </x:c>
      <x:c r="X1582" s="87"/>
      <x:c r="Y1582" s="87"/>
      <x:c r="Z1582" s="87"/>
      <x:c r="AA1582" s="87"/>
      <x:c r="AB1582" s="87"/>
      <x:c r="AC1582" s="87"/>
      <x:c r="AD1582" s="87"/>
      <x:c r="AE1582" s="87"/>
      <x:c r="AF1582" s="87"/>
      <x:c r="AG1582" s="87"/>
      <x:c r="AH1582" s="87"/>
      <x:c r="AI1582" s="30"/>
      <x:c r="AJ1582" s="87" t="str">
        <x:v>master</x:v>
      </x:c>
      <x:c r="AK1582" s="87" t="str">
        <x:v>master-v0.81</x:v>
      </x:c>
      <x:c r="AL1582" s="87" t="str">
        <x:v>statgrad_master_base_v0_81_final(2).xlsx</x:v>
      </x:c>
      <x:c r="AM1582" s="87" t="str">
        <x:v>MATH_Mar_Base_V7</x:v>
      </x:c>
      <x:c r="AN1582" s="87" t="n">
        <x:v>14</x:v>
      </x:c>
    </x:row>
    <x:row r="1583">
      <x:c r="A1583" s="87" t="n">
        <x:v>1582</x:v>
      </x:c>
      <x:c r="B1583" s="87" t="str">
        <x:v>MAR-MATH-B-V7-014</x:v>
      </x:c>
      <x:c r="C1583" s="87" t="str">
        <x:v>СтатГрад</x:v>
      </x:c>
      <x:c r="D1583" s="87" t="str">
        <x:v>Март 2026</x:v>
      </x:c>
      <x:c r="E1583" s="87"/>
      <x:c r="F1583" s="87"/>
      <x:c r="G1583" s="87" t="str">
        <x:v>Математика</x:v>
      </x:c>
      <x:c r="H1583" s="87" t="str">
        <x:v>Базовый</x:v>
      </x:c>
      <x:c r="I1583" s="87" t="str">
        <x:v>ТР №4</x:v>
      </x:c>
      <x:c r="J1583" s="87" t="str">
        <x:v>МА2510407</x:v>
      </x:c>
      <x:c r="K1583" s="87" t="n">
        <x:v>14</x:v>
      </x:c>
      <x:c r="L1583" s="87" t="str">
        <x:v>Обыкновенные дроби</x:v>
      </x:c>
      <x:c r="M1583" s="30" t="str">
        <x:v>Вычислить (2 1/5−2,9)·2 6/7.</x:v>
      </x:c>
      <x:c r="N1583" s="30" t="str">
        <x:v>−2</x:v>
      </x:c>
      <x:c r="O1583" s="30" t="str">
        <x:v>2,2−2,9=−0,7=−7/10; 2 6/7=20/7; произведение равно −2.</x:v>
      </x:c>
      <x:c r="P1583" s="30" t="str">
        <x:v>2,2−2,9=−0,7=−7/10; 2 6/7=20/7; произведение равно −2.</x:v>
      </x:c>
      <x:c r="Q1583" s="30"/>
      <x:c r="R1583" s="30" t="str">
        <x:v>Официальный PDF архива + независимое решение + приложенный ключ</x:v>
      </x:c>
      <x:c r="S1583" s="30"/>
      <x:c r="T1583" s="30"/>
      <x:c r="U1583" s="30" t="str">
        <x:v>Расхождений не обнаружено.</x:v>
      </x:c>
      <x:c r="V1583" s="87" t="str">
        <x:v>VERIFIED</x:v>
      </x:c>
      <x:c r="W1583" s="87" t="str">
        <x:v>Официальный PDF</x:v>
      </x:c>
      <x:c r="X1583" s="87"/>
      <x:c r="Y1583" s="87"/>
      <x:c r="Z1583" s="87"/>
      <x:c r="AA1583" s="87"/>
      <x:c r="AB1583" s="87"/>
      <x:c r="AC1583" s="87"/>
      <x:c r="AD1583" s="87"/>
      <x:c r="AE1583" s="87"/>
      <x:c r="AF1583" s="87"/>
      <x:c r="AG1583" s="87"/>
      <x:c r="AH1583" s="87"/>
      <x:c r="AI1583" s="30"/>
      <x:c r="AJ1583" s="87" t="str">
        <x:v>master</x:v>
      </x:c>
      <x:c r="AK1583" s="87" t="str">
        <x:v>master-v0.81</x:v>
      </x:c>
      <x:c r="AL1583" s="87" t="str">
        <x:v>statgrad_master_base_v0_81_final(2).xlsx</x:v>
      </x:c>
      <x:c r="AM1583" s="87" t="str">
        <x:v>MATH_Mar_Base_V7</x:v>
      </x:c>
      <x:c r="AN1583" s="87" t="n">
        <x:v>15</x:v>
      </x:c>
    </x:row>
    <x:row r="1584">
      <x:c r="A1584" s="87" t="n">
        <x:v>1583</x:v>
      </x:c>
      <x:c r="B1584" s="87" t="str">
        <x:v>MAR-MATH-B-V7-015</x:v>
      </x:c>
      <x:c r="C1584" s="87" t="str">
        <x:v>СтатГрад</x:v>
      </x:c>
      <x:c r="D1584" s="87" t="str">
        <x:v>Март 2026</x:v>
      </x:c>
      <x:c r="E1584" s="87"/>
      <x:c r="F1584" s="87"/>
      <x:c r="G1584" s="87" t="str">
        <x:v>Математика</x:v>
      </x:c>
      <x:c r="H1584" s="87" t="str">
        <x:v>Базовый</x:v>
      </x:c>
      <x:c r="I1584" s="87" t="str">
        <x:v>ТР №4</x:v>
      </x:c>
      <x:c r="J1584" s="87" t="str">
        <x:v>МА2510407</x:v>
      </x:c>
      <x:c r="K1584" s="87" t="n">
        <x:v>15</x:v>
      </x:c>
      <x:c r="L1584" s="87" t="str">
        <x:v>Проценты</x:v>
      </x:c>
      <x:c r="M1584" s="30" t="str">
        <x:v>Число больных уменьшилось в десять раз. Найти процент уменьшения.</x:v>
      </x:c>
      <x:c r="N1584" s="30" t="str">
        <x:v>90</x:v>
      </x:c>
      <x:c r="O1584" s="30" t="str">
        <x:v>Осталось 10% исходного количества, следовательно, уменьшение составило 90%.</x:v>
      </x:c>
      <x:c r="P1584" s="30" t="str">
        <x:v>Осталось 10% исходного количества, следовательно, уменьшение составило 90%.</x:v>
      </x:c>
      <x:c r="Q1584" s="30"/>
      <x:c r="R1584" s="30" t="str">
        <x:v>Официальный PDF архива + независимое решение + приложенный ключ</x:v>
      </x:c>
      <x:c r="S1584" s="30"/>
      <x:c r="T1584" s="30"/>
      <x:c r="U1584" s="30" t="str">
        <x:v>Расхождений не обнаружено.</x:v>
      </x:c>
      <x:c r="V1584" s="87" t="str">
        <x:v>VERIFIED</x:v>
      </x:c>
      <x:c r="W1584" s="87" t="str">
        <x:v>Официальный PDF</x:v>
      </x:c>
      <x:c r="X1584" s="87"/>
      <x:c r="Y1584" s="87"/>
      <x:c r="Z1584" s="87"/>
      <x:c r="AA1584" s="87"/>
      <x:c r="AB1584" s="87"/>
      <x:c r="AC1584" s="87"/>
      <x:c r="AD1584" s="87"/>
      <x:c r="AE1584" s="87"/>
      <x:c r="AF1584" s="87"/>
      <x:c r="AG1584" s="87"/>
      <x:c r="AH1584" s="87"/>
      <x:c r="AI1584" s="30"/>
      <x:c r="AJ1584" s="87" t="str">
        <x:v>master</x:v>
      </x:c>
      <x:c r="AK1584" s="87" t="str">
        <x:v>master-v0.81</x:v>
      </x:c>
      <x:c r="AL1584" s="87" t="str">
        <x:v>statgrad_master_base_v0_81_final(2).xlsx</x:v>
      </x:c>
      <x:c r="AM1584" s="87" t="str">
        <x:v>MATH_Mar_Base_V7</x:v>
      </x:c>
      <x:c r="AN1584" s="87" t="n">
        <x:v>16</x:v>
      </x:c>
    </x:row>
    <x:row r="1585">
      <x:c r="A1585" s="87" t="n">
        <x:v>1584</x:v>
      </x:c>
      <x:c r="B1585" s="87" t="str">
        <x:v>MAR-MATH-B-V7-016</x:v>
      </x:c>
      <x:c r="C1585" s="87" t="str">
        <x:v>СтатГрад</x:v>
      </x:c>
      <x:c r="D1585" s="87" t="str">
        <x:v>Март 2026</x:v>
      </x:c>
      <x:c r="E1585" s="87"/>
      <x:c r="F1585" s="87"/>
      <x:c r="G1585" s="87" t="str">
        <x:v>Математика</x:v>
      </x:c>
      <x:c r="H1585" s="87" t="str">
        <x:v>Базовый</x:v>
      </x:c>
      <x:c r="I1585" s="87" t="str">
        <x:v>ТР №4</x:v>
      </x:c>
      <x:c r="J1585" s="87" t="str">
        <x:v>МА2510407</x:v>
      </x:c>
      <x:c r="K1585" s="87" t="n">
        <x:v>16</x:v>
      </x:c>
      <x:c r="L1585" s="87" t="str">
        <x:v>Логарифмическое выражение</x:v>
      </x:c>
      <x:c r="M1585" s="30" t="str">
        <x:v>Вычислить 3^(2log₃6).</x:v>
      </x:c>
      <x:c r="N1585" s="30" t="str">
        <x:v>36</x:v>
      </x:c>
      <x:c r="O1585" s="30" t="str">
        <x:v>3^(2log₃6)=(3^log₃6)²=6²=36.</x:v>
      </x:c>
      <x:c r="P1585" s="30" t="str">
        <x:v>3^(2log₃6)=(3^log₃6)²=6²=36.</x:v>
      </x:c>
      <x:c r="Q1585" s="30"/>
      <x:c r="R1585" s="30" t="str">
        <x:v>Официальный PDF архива + независимое решение + приложенный ключ</x:v>
      </x:c>
      <x:c r="S1585" s="30"/>
      <x:c r="T1585" s="30"/>
      <x:c r="U1585" s="30" t="str">
        <x:v>Расхождений не обнаружено.</x:v>
      </x:c>
      <x:c r="V1585" s="87" t="str">
        <x:v>VERIFIED</x:v>
      </x:c>
      <x:c r="W1585" s="87" t="str">
        <x:v>Официальный PDF</x:v>
      </x:c>
      <x:c r="X1585" s="87"/>
      <x:c r="Y1585" s="87"/>
      <x:c r="Z1585" s="87"/>
      <x:c r="AA1585" s="87"/>
      <x:c r="AB1585" s="87"/>
      <x:c r="AC1585" s="87"/>
      <x:c r="AD1585" s="87"/>
      <x:c r="AE1585" s="87"/>
      <x:c r="AF1585" s="87"/>
      <x:c r="AG1585" s="87"/>
      <x:c r="AH1585" s="87"/>
      <x:c r="AI1585" s="30"/>
      <x:c r="AJ1585" s="87" t="str">
        <x:v>master</x:v>
      </x:c>
      <x:c r="AK1585" s="87" t="str">
        <x:v>master-v0.81</x:v>
      </x:c>
      <x:c r="AL1585" s="87" t="str">
        <x:v>statgrad_master_base_v0_81_final(2).xlsx</x:v>
      </x:c>
      <x:c r="AM1585" s="87" t="str">
        <x:v>MATH_Mar_Base_V7</x:v>
      </x:c>
      <x:c r="AN1585" s="87" t="n">
        <x:v>17</x:v>
      </x:c>
    </x:row>
    <x:row r="1586">
      <x:c r="A1586" s="87" t="n">
        <x:v>1585</x:v>
      </x:c>
      <x:c r="B1586" s="87" t="str">
        <x:v>MAR-MATH-B-V7-017</x:v>
      </x:c>
      <x:c r="C1586" s="87" t="str">
        <x:v>СтатГрад</x:v>
      </x:c>
      <x:c r="D1586" s="87" t="str">
        <x:v>Март 2026</x:v>
      </x:c>
      <x:c r="E1586" s="87"/>
      <x:c r="F1586" s="87"/>
      <x:c r="G1586" s="87" t="str">
        <x:v>Математика</x:v>
      </x:c>
      <x:c r="H1586" s="87" t="str">
        <x:v>Базовый</x:v>
      </x:c>
      <x:c r="I1586" s="87" t="str">
        <x:v>ТР №4</x:v>
      </x:c>
      <x:c r="J1586" s="87" t="str">
        <x:v>МА2510407</x:v>
      </x:c>
      <x:c r="K1586" s="87" t="n">
        <x:v>17</x:v>
      </x:c>
      <x:c r="L1586" s="87" t="str">
        <x:v>Линейное уравнение</x:v>
      </x:c>
      <x:c r="M1586" s="30" t="str">
        <x:v>Решить 8(6+x)+2x=8.</x:v>
      </x:c>
      <x:c r="N1586" s="30" t="str">
        <x:v>−4</x:v>
      </x:c>
      <x:c r="O1586" s="30" t="str">
        <x:v>48+10x=8; 10x=−40; x=−4.</x:v>
      </x:c>
      <x:c r="P1586" s="30" t="str">
        <x:v>48+10x=8; 10x=−40; x=−4.</x:v>
      </x:c>
      <x:c r="Q1586" s="30"/>
      <x:c r="R1586" s="30" t="str">
        <x:v>Официальный PDF архива + независимое решение + приложенный ключ</x:v>
      </x:c>
      <x:c r="S1586" s="30"/>
      <x:c r="T1586" s="30"/>
      <x:c r="U1586" s="30" t="str">
        <x:v>Расхождений не обнаружено.</x:v>
      </x:c>
      <x:c r="V1586" s="87" t="str">
        <x:v>VERIFIED</x:v>
      </x:c>
      <x:c r="W1586" s="87" t="str">
        <x:v>Официальный PDF</x:v>
      </x:c>
      <x:c r="X1586" s="87"/>
      <x:c r="Y1586" s="87"/>
      <x:c r="Z1586" s="87"/>
      <x:c r="AA1586" s="87"/>
      <x:c r="AB1586" s="87"/>
      <x:c r="AC1586" s="87"/>
      <x:c r="AD1586" s="87"/>
      <x:c r="AE1586" s="87"/>
      <x:c r="AF1586" s="87"/>
      <x:c r="AG1586" s="87"/>
      <x:c r="AH1586" s="87"/>
      <x:c r="AI1586" s="30"/>
      <x:c r="AJ1586" s="87" t="str">
        <x:v>master</x:v>
      </x:c>
      <x:c r="AK1586" s="87" t="str">
        <x:v>master-v0.81</x:v>
      </x:c>
      <x:c r="AL1586" s="87" t="str">
        <x:v>statgrad_master_base_v0_81_final(2).xlsx</x:v>
      </x:c>
      <x:c r="AM1586" s="87" t="str">
        <x:v>MATH_Mar_Base_V7</x:v>
      </x:c>
      <x:c r="AN1586" s="87" t="n">
        <x:v>18</x:v>
      </x:c>
    </x:row>
    <x:row r="1587">
      <x:c r="A1587" s="87" t="n">
        <x:v>1586</x:v>
      </x:c>
      <x:c r="B1587" s="87" t="str">
        <x:v>MAR-MATH-B-V7-018</x:v>
      </x:c>
      <x:c r="C1587" s="87" t="str">
        <x:v>СтатГрад</x:v>
      </x:c>
      <x:c r="D1587" s="87" t="str">
        <x:v>Март 2026</x:v>
      </x:c>
      <x:c r="E1587" s="87"/>
      <x:c r="F1587" s="87"/>
      <x:c r="G1587" s="87" t="str">
        <x:v>Математика</x:v>
      </x:c>
      <x:c r="H1587" s="87" t="str">
        <x:v>Базовый</x:v>
      </x:c>
      <x:c r="I1587" s="87" t="str">
        <x:v>ТР №4</x:v>
      </x:c>
      <x:c r="J1587" s="87" t="str">
        <x:v>МА2510407</x:v>
      </x:c>
      <x:c r="K1587" s="87" t="n">
        <x:v>18</x:v>
      </x:c>
      <x:c r="L1587" s="87" t="str">
        <x:v>Числовые промежутки</x:v>
      </x:c>
      <x:c r="M1587" s="30" t="str">
        <x:v>Сопоставить log₅20, 29/13, √10 и 2,3⁻³ с отрезками [0;1], [1;2], [2;3], [3;4].</x:v>
      </x:c>
      <x:c r="N1587" s="30" t="str">
        <x:v>2341</x:v>
      </x:c>
      <x:c r="O1587" s="30" t="str">
        <x:v>log₅20∈[1;2]; 29/13∈[2;3]; √10∈[3;4]; 2,3⁻³∈[0;1].</x:v>
      </x:c>
      <x:c r="P1587" s="30" t="str">
        <x:v>log₅20∈[1;2]; 29/13∈[2;3]; √10∈[3;4]; 2,3⁻³∈[0;1].</x:v>
      </x:c>
      <x:c r="Q1587" s="30"/>
      <x:c r="R1587" s="30" t="str">
        <x:v>Официальный PDF архива + независимое решение + приложенный ключ</x:v>
      </x:c>
      <x:c r="S1587" s="30"/>
      <x:c r="T1587" s="30"/>
      <x:c r="U1587" s="30" t="str">
        <x:v>Расхождений не обнаружено.</x:v>
      </x:c>
      <x:c r="V1587" s="87" t="str">
        <x:v>VERIFIED</x:v>
      </x:c>
      <x:c r="W1587" s="87" t="str">
        <x:v>Официальный PDF</x:v>
      </x:c>
      <x:c r="X1587" s="87"/>
      <x:c r="Y1587" s="87"/>
      <x:c r="Z1587" s="87"/>
      <x:c r="AA1587" s="87"/>
      <x:c r="AB1587" s="87"/>
      <x:c r="AC1587" s="87"/>
      <x:c r="AD1587" s="87"/>
      <x:c r="AE1587" s="87"/>
      <x:c r="AF1587" s="87"/>
      <x:c r="AG1587" s="87"/>
      <x:c r="AH1587" s="87"/>
      <x:c r="AI1587" s="30"/>
      <x:c r="AJ1587" s="87" t="str">
        <x:v>master</x:v>
      </x:c>
      <x:c r="AK1587" s="87" t="str">
        <x:v>master-v0.81</x:v>
      </x:c>
      <x:c r="AL1587" s="87" t="str">
        <x:v>statgrad_master_base_v0_81_final(2).xlsx</x:v>
      </x:c>
      <x:c r="AM1587" s="87" t="str">
        <x:v>MATH_Mar_Base_V7</x:v>
      </x:c>
      <x:c r="AN1587" s="87" t="n">
        <x:v>19</x:v>
      </x:c>
    </x:row>
    <x:row r="1588">
      <x:c r="A1588" s="87" t="n">
        <x:v>1587</x:v>
      </x:c>
      <x:c r="B1588" s="87" t="str">
        <x:v>MAR-MATH-B-V7-019</x:v>
      </x:c>
      <x:c r="C1588" s="87" t="str">
        <x:v>СтатГрад</x:v>
      </x:c>
      <x:c r="D1588" s="87" t="str">
        <x:v>Март 2026</x:v>
      </x:c>
      <x:c r="E1588" s="87"/>
      <x:c r="F1588" s="87"/>
      <x:c r="G1588" s="87" t="str">
        <x:v>Математика</x:v>
      </x:c>
      <x:c r="H1588" s="87" t="str">
        <x:v>Базовый</x:v>
      </x:c>
      <x:c r="I1588" s="87" t="str">
        <x:v>ТР №4</x:v>
      </x:c>
      <x:c r="J1588" s="87" t="str">
        <x:v>МА2510407</x:v>
      </x:c>
      <x:c r="K1588" s="87" t="n">
        <x:v>19</x:v>
      </x:c>
      <x:c r="L1588" s="87" t="str">
        <x:v>Цифровая запись числа</x:v>
      </x:c>
      <x:c r="M1588" s="30" t="str">
        <x:v>Найти четырёхзначное число, кратное 88, с различными чётными цифрами.</x:v>
      </x:c>
      <x:c r="N1588" s="30" t="str">
        <x:v>2640</x:v>
      </x:c>
      <x:c r="O1588" s="30" t="str">
        <x:v>2640=88·30; цифры 2, 6, 4, 0 различны и чётны.</x:v>
      </x:c>
      <x:c r="P1588" s="30" t="str">
        <x:v>Проверены делимость на 8 и 11.</x:v>
      </x:c>
      <x:c r="Q1588" s="30"/>
      <x:c r="R1588" s="30" t="str">
        <x:v>Официальный PDF архива + независимое решение + приложенный ключ</x:v>
      </x:c>
      <x:c r="S1588" s="30"/>
      <x:c r="T1588" s="30"/>
      <x:c r="U1588" s="30" t="str">
        <x:v>Допустим любой корректный пример.</x:v>
      </x:c>
      <x:c r="V1588" s="87" t="str">
        <x:v>VERIFIED</x:v>
      </x:c>
      <x:c r="W1588" s="87" t="str">
        <x:v>Официальный PDF</x:v>
      </x:c>
      <x:c r="X1588" s="87"/>
      <x:c r="Y1588" s="87"/>
      <x:c r="Z1588" s="87"/>
      <x:c r="AA1588" s="87"/>
      <x:c r="AB1588" s="87"/>
      <x:c r="AC1588" s="87"/>
      <x:c r="AD1588" s="87"/>
      <x:c r="AE1588" s="87"/>
      <x:c r="AF1588" s="87"/>
      <x:c r="AG1588" s="87"/>
      <x:c r="AH1588" s="87"/>
      <x:c r="AI1588" s="30"/>
      <x:c r="AJ1588" s="87" t="str">
        <x:v>master</x:v>
      </x:c>
      <x:c r="AK1588" s="87" t="str">
        <x:v>master-v0.81</x:v>
      </x:c>
      <x:c r="AL1588" s="87" t="str">
        <x:v>statgrad_master_base_v0_81_final(2).xlsx</x:v>
      </x:c>
      <x:c r="AM1588" s="87" t="str">
        <x:v>MATH_Mar_Base_V7</x:v>
      </x:c>
      <x:c r="AN1588" s="87" t="n">
        <x:v>20</x:v>
      </x:c>
    </x:row>
    <x:row r="1589">
      <x:c r="A1589" s="87" t="n">
        <x:v>1588</x:v>
      </x:c>
      <x:c r="B1589" s="87" t="str">
        <x:v>MAR-MATH-B-V7-020</x:v>
      </x:c>
      <x:c r="C1589" s="87" t="str">
        <x:v>СтатГрад</x:v>
      </x:c>
      <x:c r="D1589" s="87" t="str">
        <x:v>Март 2026</x:v>
      </x:c>
      <x:c r="E1589" s="87"/>
      <x:c r="F1589" s="87"/>
      <x:c r="G1589" s="87" t="str">
        <x:v>Математика</x:v>
      </x:c>
      <x:c r="H1589" s="87" t="str">
        <x:v>Базовый</x:v>
      </x:c>
      <x:c r="I1589" s="87" t="str">
        <x:v>ТР №4</x:v>
      </x:c>
      <x:c r="J1589" s="87" t="str">
        <x:v>МА2510407</x:v>
      </x:c>
      <x:c r="K1589" s="87" t="n">
        <x:v>20</x:v>
      </x:c>
      <x:c r="L1589" s="87" t="str">
        <x:v>Движение по прямой</x:v>
      </x:c>
      <x:c r="M1589" s="30" t="str">
        <x:v>Расстояние 790 км. Второй автомобиль выехал через 3 часа со скоростью 75 км/ч; встреча в 490 км от A. Найти скорость первого.</x:v>
      </x:c>
      <x:c r="N1589" s="30" t="str">
        <x:v>70</x:v>
      </x:c>
      <x:c r="O1589" s="30" t="str">
        <x:v>Второй прошёл 300 км за 4 часа; первый был в пути 7 часов и прошёл 490 км, значит 490/7=70 км/ч.</x:v>
      </x:c>
      <x:c r="P1589" s="30" t="str">
        <x:v>Второй прошёл 300 км за 4 часа; первый был в пути 7 часов и прошёл 490 км, значит 490/7=70 км/ч.</x:v>
      </x:c>
      <x:c r="Q1589" s="30"/>
      <x:c r="R1589" s="30" t="str">
        <x:v>Официальный PDF архива + независимое решение + приложенный ключ</x:v>
      </x:c>
      <x:c r="S1589" s="30"/>
      <x:c r="T1589" s="30"/>
      <x:c r="U1589" s="30" t="str">
        <x:v>Расхождений не обнаружено.</x:v>
      </x:c>
      <x:c r="V1589" s="87" t="str">
        <x:v>VERIFIED</x:v>
      </x:c>
      <x:c r="W1589" s="87" t="str">
        <x:v>Официальный PDF</x:v>
      </x:c>
      <x:c r="X1589" s="87"/>
      <x:c r="Y1589" s="87"/>
      <x:c r="Z1589" s="87"/>
      <x:c r="AA1589" s="87"/>
      <x:c r="AB1589" s="87"/>
      <x:c r="AC1589" s="87"/>
      <x:c r="AD1589" s="87"/>
      <x:c r="AE1589" s="87"/>
      <x:c r="AF1589" s="87"/>
      <x:c r="AG1589" s="87"/>
      <x:c r="AH1589" s="87"/>
      <x:c r="AI1589" s="30"/>
      <x:c r="AJ1589" s="87" t="str">
        <x:v>master</x:v>
      </x:c>
      <x:c r="AK1589" s="87" t="str">
        <x:v>master-v0.81</x:v>
      </x:c>
      <x:c r="AL1589" s="87" t="str">
        <x:v>statgrad_master_base_v0_81_final(2).xlsx</x:v>
      </x:c>
      <x:c r="AM1589" s="87" t="str">
        <x:v>MATH_Mar_Base_V7</x:v>
      </x:c>
      <x:c r="AN1589" s="87" t="n">
        <x:v>21</x:v>
      </x:c>
    </x:row>
    <x:row r="1590">
      <x:c r="A1590" s="87" t="n">
        <x:v>1589</x:v>
      </x:c>
      <x:c r="B1590" s="87" t="str">
        <x:v>MAR-MATH-B-V7-021</x:v>
      </x:c>
      <x:c r="C1590" s="87" t="str">
        <x:v>СтатГрад</x:v>
      </x:c>
      <x:c r="D1590" s="87" t="str">
        <x:v>Март 2026</x:v>
      </x:c>
      <x:c r="E1590" s="87"/>
      <x:c r="F1590" s="87"/>
      <x:c r="G1590" s="87" t="str">
        <x:v>Математика</x:v>
      </x:c>
      <x:c r="H1590" s="87" t="str">
        <x:v>Базовый</x:v>
      </x:c>
      <x:c r="I1590" s="87" t="str">
        <x:v>ТР №4</x:v>
      </x:c>
      <x:c r="J1590" s="87" t="str">
        <x:v>МА2510407</x:v>
      </x:c>
      <x:c r="K1590" s="87" t="n">
        <x:v>21</x:v>
      </x:c>
      <x:c r="L1590" s="87" t="str">
        <x:v>Задача на распилы</x:v>
      </x:c>
      <x:c r="M1590" s="30" t="str">
        <x:v>Сделали 10 поперечных распилов и получили 17 кусков. Найти исходное число досок.</x:v>
      </x:c>
      <x:c r="N1590" s="30" t="str">
        <x:v>7</x:v>
      </x:c>
      <x:c r="O1590" s="30" t="str">
        <x:v>Каждый распил увеличивает число кусков на 1; исходно было 17−10=7 досок.</x:v>
      </x:c>
      <x:c r="P1590" s="30" t="str">
        <x:v>Каждый распил увеличивает число кусков на 1; исходно было 17−10=7 досок.</x:v>
      </x:c>
      <x:c r="Q1590" s="30"/>
      <x:c r="R1590" s="30" t="str">
        <x:v>Официальный PDF архива + независимое решение + приложенный ключ</x:v>
      </x:c>
      <x:c r="S1590" s="30"/>
      <x:c r="T1590" s="30"/>
      <x:c r="U1590" s="30" t="str">
        <x:v>Расхождений не обнаружено.</x:v>
      </x:c>
      <x:c r="V1590" s="87" t="str">
        <x:v>VERIFIED</x:v>
      </x:c>
      <x:c r="W1590" s="87" t="str">
        <x:v>Официальный PDF</x:v>
      </x:c>
      <x:c r="X1590" s="87"/>
      <x:c r="Y1590" s="87"/>
      <x:c r="Z1590" s="87"/>
      <x:c r="AA1590" s="87"/>
      <x:c r="AB1590" s="87"/>
      <x:c r="AC1590" s="87"/>
      <x:c r="AD1590" s="87"/>
      <x:c r="AE1590" s="87"/>
      <x:c r="AF1590" s="87"/>
      <x:c r="AG1590" s="87"/>
      <x:c r="AH1590" s="87"/>
      <x:c r="AI1590" s="30"/>
      <x:c r="AJ1590" s="87" t="str">
        <x:v>master</x:v>
      </x:c>
      <x:c r="AK1590" s="87" t="str">
        <x:v>master-v0.81</x:v>
      </x:c>
      <x:c r="AL1590" s="87" t="str">
        <x:v>statgrad_master_base_v0_81_final(2).xlsx</x:v>
      </x:c>
      <x:c r="AM1590" s="87" t="str">
        <x:v>MATH_Mar_Base_V7</x:v>
      </x:c>
      <x:c r="AN1590" s="87" t="n">
        <x:v>22</x:v>
      </x:c>
    </x:row>
    <x:row r="1591">
      <x:c r="A1591" s="87" t="n">
        <x:v>1590</x:v>
      </x:c>
      <x:c r="B1591" s="87" t="str">
        <x:v>MAR-MATH-B-V8-001</x:v>
      </x:c>
      <x:c r="C1591" s="87" t="str">
        <x:v>СтатГрад</x:v>
      </x:c>
      <x:c r="D1591" s="87" t="str">
        <x:v>Март 2026</x:v>
      </x:c>
      <x:c r="E1591" s="87"/>
      <x:c r="F1591" s="87"/>
      <x:c r="G1591" s="87" t="str">
        <x:v>Математика</x:v>
      </x:c>
      <x:c r="H1591" s="87" t="str">
        <x:v>Базовый</x:v>
      </x:c>
      <x:c r="I1591" s="87" t="str">
        <x:v>ТР №4</x:v>
      </x:c>
      <x:c r="J1591" s="87" t="str">
        <x:v>МА2510408</x:v>
      </x:c>
      <x:c r="K1591" s="87" t="n">
        <x:v>1</x:v>
      </x:c>
      <x:c r="L1591" s="87" t="str">
        <x:v>Расчёт коммунальной платы</x:v>
      </x:c>
      <x:c r="M1591" s="30" t="str">
        <x:v>Показания счётчика воды выросли со 178 до 189 м³; тариф 54,80 руб. за 1 м³. Найти плату за июнь.</x:v>
      </x:c>
      <x:c r="N1591" s="30" t="str">
        <x:v>602,8</x:v>
      </x:c>
      <x:c r="O1591" s="30" t="str">
        <x:v>Расход 11 м³; 11·54,8=602,8 руб.</x:v>
      </x:c>
      <x:c r="P1591" s="30" t="str">
        <x:v>Расход 11 м³; 11·54,8=602,8 руб.</x:v>
      </x:c>
      <x:c r="Q1591" s="30"/>
      <x:c r="R1591" s="30" t="str">
        <x:v>Официальный PDF архива + независимое решение + приложенный ключ</x:v>
      </x:c>
      <x:c r="S1591" s="30"/>
      <x:c r="T1591" s="30"/>
      <x:c r="U1591" s="30" t="str">
        <x:v>Расхождений не обнаружено.</x:v>
      </x:c>
      <x:c r="V1591" s="87" t="str">
        <x:v>VERIFIED</x:v>
      </x:c>
      <x:c r="W1591" s="87" t="str">
        <x:v>Официальный PDF</x:v>
      </x:c>
      <x:c r="X1591" s="87"/>
      <x:c r="Y1591" s="87"/>
      <x:c r="Z1591" s="87"/>
      <x:c r="AA1591" s="87"/>
      <x:c r="AB1591" s="87"/>
      <x:c r="AC1591" s="87"/>
      <x:c r="AD1591" s="87"/>
      <x:c r="AE1591" s="87"/>
      <x:c r="AF1591" s="87"/>
      <x:c r="AG1591" s="87"/>
      <x:c r="AH1591" s="87"/>
      <x:c r="AI1591" s="30"/>
      <x:c r="AJ1591" s="87" t="str">
        <x:v>master</x:v>
      </x:c>
      <x:c r="AK1591" s="87" t="str">
        <x:v>master-v0.81</x:v>
      </x:c>
      <x:c r="AL1591" s="87" t="str">
        <x:v>statgrad_master_base_v0_81_final(2).xlsx</x:v>
      </x:c>
      <x:c r="AM1591" s="87" t="str">
        <x:v>MATH_Mar_Base_V8</x:v>
      </x:c>
      <x:c r="AN1591" s="87" t="n">
        <x:v>2</x:v>
      </x:c>
    </x:row>
    <x:row r="1592">
      <x:c r="A1592" s="87" t="n">
        <x:v>1591</x:v>
      </x:c>
      <x:c r="B1592" s="87" t="str">
        <x:v>MAR-MATH-B-V8-002</x:v>
      </x:c>
      <x:c r="C1592" s="87" t="str">
        <x:v>СтатГрад</x:v>
      </x:c>
      <x:c r="D1592" s="87" t="str">
        <x:v>Март 2026</x:v>
      </x:c>
      <x:c r="E1592" s="87"/>
      <x:c r="F1592" s="87"/>
      <x:c r="G1592" s="87" t="str">
        <x:v>Математика</x:v>
      </x:c>
      <x:c r="H1592" s="87" t="str">
        <x:v>Базовый</x:v>
      </x:c>
      <x:c r="I1592" s="87" t="str">
        <x:v>ТР №4</x:v>
      </x:c>
      <x:c r="J1592" s="87" t="str">
        <x:v>МА2510408</x:v>
      </x:c>
      <x:c r="K1592" s="87" t="n">
        <x:v>2</x:v>
      </x:c>
      <x:c r="L1592" s="87" t="str">
        <x:v>Соответствие величин</x:v>
      </x:c>
      <x:c r="M1592" s="30" t="str">
        <x:v>Сопоставить диаметр монеты, рост жирафа, высоту Эйфелевой башни и радиус Земли со значениями 6400 км, 330 м, 20 мм и 5 м.</x:v>
      </x:c>
      <x:c r="N1592" s="30" t="str">
        <x:v>3421</x:v>
      </x:c>
      <x:c r="O1592" s="30" t="str">
        <x:v>Монета — 20 мм (3); жираф — 5 м (4); башня — 330 м (2); Земля — 6400 км (1).</x:v>
      </x:c>
      <x:c r="P1592" s="30" t="str">
        <x:v>Монета — 20 мм (3); жираф — 5 м (4); башня — 330 м (2); Земля — 6400 км (1).</x:v>
      </x:c>
      <x:c r="Q1592" s="30"/>
      <x:c r="R1592" s="30" t="str">
        <x:v>Официальный PDF архива + независимое решение + приложенный ключ</x:v>
      </x:c>
      <x:c r="S1592" s="30"/>
      <x:c r="T1592" s="30"/>
      <x:c r="U1592" s="30" t="str">
        <x:v>Расхождений не обнаружено.</x:v>
      </x:c>
      <x:c r="V1592" s="87" t="str">
        <x:v>VERIFIED</x:v>
      </x:c>
      <x:c r="W1592" s="87" t="str">
        <x:v>Официальный PDF</x:v>
      </x:c>
      <x:c r="X1592" s="87"/>
      <x:c r="Y1592" s="87"/>
      <x:c r="Z1592" s="87"/>
      <x:c r="AA1592" s="87"/>
      <x:c r="AB1592" s="87"/>
      <x:c r="AC1592" s="87"/>
      <x:c r="AD1592" s="87"/>
      <x:c r="AE1592" s="87"/>
      <x:c r="AF1592" s="87"/>
      <x:c r="AG1592" s="87"/>
      <x:c r="AH1592" s="87"/>
      <x:c r="AI1592" s="30"/>
      <x:c r="AJ1592" s="87" t="str">
        <x:v>master</x:v>
      </x:c>
      <x:c r="AK1592" s="87" t="str">
        <x:v>master-v0.81</x:v>
      </x:c>
      <x:c r="AL1592" s="87" t="str">
        <x:v>statgrad_master_base_v0_81_final(2).xlsx</x:v>
      </x:c>
      <x:c r="AM1592" s="87" t="str">
        <x:v>MATH_Mar_Base_V8</x:v>
      </x:c>
      <x:c r="AN1592" s="87" t="n">
        <x:v>3</x:v>
      </x:c>
    </x:row>
    <x:row r="1593">
      <x:c r="A1593" s="87" t="n">
        <x:v>1592</x:v>
      </x:c>
      <x:c r="B1593" s="87" t="str">
        <x:v>MAR-MATH-B-V8-003</x:v>
      </x:c>
      <x:c r="C1593" s="87" t="str">
        <x:v>СтатГрад</x:v>
      </x:c>
      <x:c r="D1593" s="87" t="str">
        <x:v>Март 2026</x:v>
      </x:c>
      <x:c r="E1593" s="87"/>
      <x:c r="F1593" s="87"/>
      <x:c r="G1593" s="87" t="str">
        <x:v>Математика</x:v>
      </x:c>
      <x:c r="H1593" s="87" t="str">
        <x:v>Базовый</x:v>
      </x:c>
      <x:c r="I1593" s="87" t="str">
        <x:v>ТР №4</x:v>
      </x:c>
      <x:c r="J1593" s="87" t="str">
        <x:v>МА2510408</x:v>
      </x:c>
      <x:c r="K1593" s="87" t="n">
        <x:v>3</x:v>
      </x:c>
      <x:c r="L1593" s="87" t="str">
        <x:v>Чтение диаграммы</x:v>
      </x:c>
      <x:c r="M1593" s="30" t="str">
        <x:v>По диаграмме температур Нижнего Новгорода найти минимум во второй половине 1994 года.</x:v>
      </x:c>
      <x:c r="N1593" s="30" t="str">
        <x:v>−10</x:v>
      </x:c>
      <x:c r="O1593" s="30" t="str">
        <x:v>С июля по декабрь минимальное значение приходится на декабрь и равно −10 °C.</x:v>
      </x:c>
      <x:c r="P1593" s="30" t="str">
        <x:v>Столбцы второй половины года проверены визуально.</x:v>
      </x:c>
      <x:c r="Q1593" s="30"/>
      <x:c r="R1593" s="30" t="str">
        <x:v>Официальный PDF архива + независимое решение + приложенный ключ</x:v>
      </x:c>
      <x:c r="S1593" s="30"/>
      <x:c r="T1593" s="30"/>
      <x:c r="U1593" s="30" t="str">
        <x:v>Расхождений нет.</x:v>
      </x:c>
      <x:c r="V1593" s="87" t="str">
        <x:v>VERIFIED</x:v>
      </x:c>
      <x:c r="W1593" s="87" t="str">
        <x:v>PDF, стр. варианта 3</x:v>
      </x:c>
      <x:c r="X1593" s="87"/>
      <x:c r="Y1593" s="87"/>
      <x:c r="Z1593" s="87"/>
      <x:c r="AA1593" s="87"/>
      <x:c r="AB1593" s="87"/>
      <x:c r="AC1593" s="87"/>
      <x:c r="AD1593" s="87"/>
      <x:c r="AE1593" s="87"/>
      <x:c r="AF1593" s="87"/>
      <x:c r="AG1593" s="87"/>
      <x:c r="AH1593" s="87"/>
      <x:c r="AI1593" s="30"/>
      <x:c r="AJ1593" s="87" t="str">
        <x:v>master</x:v>
      </x:c>
      <x:c r="AK1593" s="87" t="str">
        <x:v>master-v0.81</x:v>
      </x:c>
      <x:c r="AL1593" s="87" t="str">
        <x:v>statgrad_master_base_v0_81_final(2).xlsx</x:v>
      </x:c>
      <x:c r="AM1593" s="87" t="str">
        <x:v>MATH_Mar_Base_V8</x:v>
      </x:c>
      <x:c r="AN1593" s="87" t="n">
        <x:v>4</x:v>
      </x:c>
    </x:row>
    <x:row r="1594">
      <x:c r="A1594" s="87" t="n">
        <x:v>1593</x:v>
      </x:c>
      <x:c r="B1594" s="87" t="str">
        <x:v>MAR-MATH-B-V8-004</x:v>
      </x:c>
      <x:c r="C1594" s="87" t="str">
        <x:v>СтатГрад</x:v>
      </x:c>
      <x:c r="D1594" s="87" t="str">
        <x:v>Март 2026</x:v>
      </x:c>
      <x:c r="E1594" s="87"/>
      <x:c r="F1594" s="87"/>
      <x:c r="G1594" s="87" t="str">
        <x:v>Математика</x:v>
      </x:c>
      <x:c r="H1594" s="87" t="str">
        <x:v>Базовый</x:v>
      </x:c>
      <x:c r="I1594" s="87" t="str">
        <x:v>ТР №4</x:v>
      </x:c>
      <x:c r="J1594" s="87" t="str">
        <x:v>МА2510408</x:v>
      </x:c>
      <x:c r="K1594" s="87" t="n">
        <x:v>4</x:v>
      </x:c>
      <x:c r="L1594" s="87" t="str">
        <x:v>Теорема синусов</x:v>
      </x:c>
      <x:c r="M1594" s="30" t="str">
        <x:v>Найти sin α при a=21, b=5, sin β=1/6.</x:v>
      </x:c>
      <x:c r="N1594" s="30" t="str">
        <x:v>0,7</x:v>
      </x:c>
      <x:c r="O1594" s="30" t="str">
        <x:v>sin α=21·(1/6)/5=21/30=0,7.</x:v>
      </x:c>
      <x:c r="P1594" s="30" t="str">
        <x:v>sin α=21·(1/6)/5=21/30=0,7.</x:v>
      </x:c>
      <x:c r="Q1594" s="30"/>
      <x:c r="R1594" s="30" t="str">
        <x:v>Официальный PDF архива + независимое решение + приложенный ключ</x:v>
      </x:c>
      <x:c r="S1594" s="30"/>
      <x:c r="T1594" s="30"/>
      <x:c r="U1594" s="30" t="str">
        <x:v>Расхождений не обнаружено.</x:v>
      </x:c>
      <x:c r="V1594" s="87" t="str">
        <x:v>VERIFIED</x:v>
      </x:c>
      <x:c r="W1594" s="87" t="str">
        <x:v>Официальный PDF</x:v>
      </x:c>
      <x:c r="X1594" s="87"/>
      <x:c r="Y1594" s="87"/>
      <x:c r="Z1594" s="87"/>
      <x:c r="AA1594" s="87"/>
      <x:c r="AB1594" s="87"/>
      <x:c r="AC1594" s="87"/>
      <x:c r="AD1594" s="87"/>
      <x:c r="AE1594" s="87"/>
      <x:c r="AF1594" s="87"/>
      <x:c r="AG1594" s="87"/>
      <x:c r="AH1594" s="87"/>
      <x:c r="AI1594" s="30"/>
      <x:c r="AJ1594" s="87" t="str">
        <x:v>master</x:v>
      </x:c>
      <x:c r="AK1594" s="87" t="str">
        <x:v>master-v0.81</x:v>
      </x:c>
      <x:c r="AL1594" s="87" t="str">
        <x:v>statgrad_master_base_v0_81_final(2).xlsx</x:v>
      </x:c>
      <x:c r="AM1594" s="87" t="str">
        <x:v>MATH_Mar_Base_V8</x:v>
      </x:c>
      <x:c r="AN1594" s="87" t="n">
        <x:v>5</x:v>
      </x:c>
    </x:row>
    <x:row r="1595">
      <x:c r="A1595" s="87" t="n">
        <x:v>1594</x:v>
      </x:c>
      <x:c r="B1595" s="87" t="str">
        <x:v>MAR-MATH-B-V8-005</x:v>
      </x:c>
      <x:c r="C1595" s="87" t="str">
        <x:v>СтатГрад</x:v>
      </x:c>
      <x:c r="D1595" s="87" t="str">
        <x:v>Март 2026</x:v>
      </x:c>
      <x:c r="E1595" s="87"/>
      <x:c r="F1595" s="87"/>
      <x:c r="G1595" s="87" t="str">
        <x:v>Математика</x:v>
      </x:c>
      <x:c r="H1595" s="87" t="str">
        <x:v>Базовый</x:v>
      </x:c>
      <x:c r="I1595" s="87" t="str">
        <x:v>ТР №4</x:v>
      </x:c>
      <x:c r="J1595" s="87" t="str">
        <x:v>МА2510408</x:v>
      </x:c>
      <x:c r="K1595" s="87" t="n">
        <x:v>5</x:v>
      </x:c>
      <x:c r="L1595" s="87" t="str">
        <x:v>Классическая вероятность</x:v>
      </x:c>
      <x:c r="M1595" s="30" t="str">
        <x:v>Из 600 клавиатур 12 неисправны. Найти вероятность выбрать исправную.</x:v>
      </x:c>
      <x:c r="N1595" s="30" t="str">
        <x:v>0,98</x:v>
      </x:c>
      <x:c r="O1595" s="30" t="str">
        <x:v>Исправны 588 клавиатур; 588/600=0,98.</x:v>
      </x:c>
      <x:c r="P1595" s="30" t="str">
        <x:v>Исправны 588 клавиатур; 588/600=0,98.</x:v>
      </x:c>
      <x:c r="Q1595" s="30"/>
      <x:c r="R1595" s="30" t="str">
        <x:v>Официальный PDF архива + независимое решение + приложенный ключ</x:v>
      </x:c>
      <x:c r="S1595" s="30"/>
      <x:c r="T1595" s="30"/>
      <x:c r="U1595" s="30" t="str">
        <x:v>Расхождений не обнаружено.</x:v>
      </x:c>
      <x:c r="V1595" s="87" t="str">
        <x:v>VERIFIED</x:v>
      </x:c>
      <x:c r="W1595" s="87" t="str">
        <x:v>Официальный PDF</x:v>
      </x:c>
      <x:c r="X1595" s="87"/>
      <x:c r="Y1595" s="87"/>
      <x:c r="Z1595" s="87"/>
      <x:c r="AA1595" s="87"/>
      <x:c r="AB1595" s="87"/>
      <x:c r="AC1595" s="87"/>
      <x:c r="AD1595" s="87"/>
      <x:c r="AE1595" s="87"/>
      <x:c r="AF1595" s="87"/>
      <x:c r="AG1595" s="87"/>
      <x:c r="AH1595" s="87"/>
      <x:c r="AI1595" s="30"/>
      <x:c r="AJ1595" s="87" t="str">
        <x:v>master</x:v>
      </x:c>
      <x:c r="AK1595" s="87" t="str">
        <x:v>master-v0.81</x:v>
      </x:c>
      <x:c r="AL1595" s="87" t="str">
        <x:v>statgrad_master_base_v0_81_final(2).xlsx</x:v>
      </x:c>
      <x:c r="AM1595" s="87" t="str">
        <x:v>MATH_Mar_Base_V8</x:v>
      </x:c>
      <x:c r="AN1595" s="87" t="n">
        <x:v>6</x:v>
      </x:c>
    </x:row>
    <x:row r="1596">
      <x:c r="A1596" s="87" t="n">
        <x:v>1595</x:v>
      </x:c>
      <x:c r="B1596" s="87" t="str">
        <x:v>MAR-MATH-B-V8-006</x:v>
      </x:c>
      <x:c r="C1596" s="87" t="str">
        <x:v>СтатГрад</x:v>
      </x:c>
      <x:c r="D1596" s="87" t="str">
        <x:v>Март 2026</x:v>
      </x:c>
      <x:c r="E1596" s="87"/>
      <x:c r="F1596" s="87"/>
      <x:c r="G1596" s="87" t="str">
        <x:v>Математика</x:v>
      </x:c>
      <x:c r="H1596" s="87" t="str">
        <x:v>Базовый</x:v>
      </x:c>
      <x:c r="I1596" s="87" t="str">
        <x:v>ТР №4</x:v>
      </x:c>
      <x:c r="J1596" s="87" t="str">
        <x:v>МА2510408</x:v>
      </x:c>
      <x:c r="K1596" s="87" t="n">
        <x:v>6</x:v>
      </x:c>
      <x:c r="L1596" s="87" t="str">
        <x:v>Оптимальный набор</x:v>
      </x:c>
      <x:c r="M1596" s="30" t="str">
        <x:v>Выбрать экскурсии для посещения крепости, дворца, парка и музея при стоимости не более 1500 руб.</x:v>
      </x:c>
      <x:c r="N1596" s="30" t="str">
        <x:v>13</x:v>
      </x:c>
      <x:c r="O1596" s="30" t="str">
        <x:v>Экскурсия 1 покрывает дворец и крепость, экскурсия 3 — парк и музей; стоимость 750+500=1250 руб.</x:v>
      </x:c>
      <x:c r="P1596" s="30" t="str">
        <x:v>Проверено покрытие объектов и ограничение цены.</x:v>
      </x:c>
      <x:c r="Q1596" s="30"/>
      <x:c r="R1596" s="30" t="str">
        <x:v>Официальный PDF архива + независимое решение + приложенный ключ</x:v>
      </x:c>
      <x:c r="S1596" s="30"/>
      <x:c r="T1596" s="30"/>
      <x:c r="U1596" s="30" t="str">
        <x:v>Допустима запись 31.</x:v>
      </x:c>
      <x:c r="V1596" s="87" t="str">
        <x:v>VERIFIED</x:v>
      </x:c>
      <x:c r="W1596" s="87" t="str">
        <x:v>PDF, стр. варианта 4</x:v>
      </x:c>
      <x:c r="X1596" s="87"/>
      <x:c r="Y1596" s="87"/>
      <x:c r="Z1596" s="87"/>
      <x:c r="AA1596" s="87"/>
      <x:c r="AB1596" s="87"/>
      <x:c r="AC1596" s="87"/>
      <x:c r="AD1596" s="87"/>
      <x:c r="AE1596" s="87"/>
      <x:c r="AF1596" s="87"/>
      <x:c r="AG1596" s="87"/>
      <x:c r="AH1596" s="87"/>
      <x:c r="AI1596" s="30"/>
      <x:c r="AJ1596" s="87" t="str">
        <x:v>master</x:v>
      </x:c>
      <x:c r="AK1596" s="87" t="str">
        <x:v>master-v0.81</x:v>
      </x:c>
      <x:c r="AL1596" s="87" t="str">
        <x:v>statgrad_master_base_v0_81_final(2).xlsx</x:v>
      </x:c>
      <x:c r="AM1596" s="87" t="str">
        <x:v>MATH_Mar_Base_V8</x:v>
      </x:c>
      <x:c r="AN1596" s="87" t="n">
        <x:v>7</x:v>
      </x:c>
    </x:row>
    <x:row r="1597">
      <x:c r="A1597" s="87" t="n">
        <x:v>1596</x:v>
      </x:c>
      <x:c r="B1597" s="87" t="str">
        <x:v>MAR-MATH-B-V8-007</x:v>
      </x:c>
      <x:c r="C1597" s="87" t="str">
        <x:v>СтатГрад</x:v>
      </x:c>
      <x:c r="D1597" s="87" t="str">
        <x:v>Март 2026</x:v>
      </x:c>
      <x:c r="E1597" s="87"/>
      <x:c r="F1597" s="87"/>
      <x:c r="G1597" s="87" t="str">
        <x:v>Математика</x:v>
      </x:c>
      <x:c r="H1597" s="87" t="str">
        <x:v>Базовый</x:v>
      </x:c>
      <x:c r="I1597" s="87" t="str">
        <x:v>ТР №4</x:v>
      </x:c>
      <x:c r="J1597" s="87" t="str">
        <x:v>МА2510408</x:v>
      </x:c>
      <x:c r="K1597" s="87" t="n">
        <x:v>7</x:v>
      </x:c>
      <x:c r="L1597" s="87" t="str">
        <x:v>Свойства функций</x:v>
      </x:c>
      <x:c r="M1597" s="30" t="str">
        <x:v>Сопоставить четыре функции с положительностью, убыванием, отрицательностью и возрастанием на [1;6].</x:v>
      </x:c>
      <x:c r="N1597" s="30" t="str">
        <x:v>3421</x:v>
      </x:c>
      <x:c r="O1597" s="30" t="str">
        <x:v>−x²+3x−8 всюду отрицательна; 2x−7 возрастает; −x+5 убывает; x²−4x+5 всюду положительна.</x:v>
      </x:c>
      <x:c r="P1597" s="30" t="str">
        <x:v>Для обеих парабол проверены дискриминант и минимальное/максимальное значение.</x:v>
      </x:c>
      <x:c r="Q1597" s="30"/>
      <x:c r="R1597" s="30" t="str">
        <x:v>Официальный PDF архива + независимое решение + приложенный ключ</x:v>
      </x:c>
      <x:c r="S1597" s="30"/>
      <x:c r="T1597" s="30"/>
      <x:c r="U1597" s="30" t="str">
        <x:v>Расхождений не обнаружено.</x:v>
      </x:c>
      <x:c r="V1597" s="87" t="str">
        <x:v>VERIFIED</x:v>
      </x:c>
      <x:c r="W1597" s="87" t="str">
        <x:v>Официальный PDF</x:v>
      </x:c>
      <x:c r="X1597" s="87"/>
      <x:c r="Y1597" s="87"/>
      <x:c r="Z1597" s="87"/>
      <x:c r="AA1597" s="87"/>
      <x:c r="AB1597" s="87"/>
      <x:c r="AC1597" s="87"/>
      <x:c r="AD1597" s="87"/>
      <x:c r="AE1597" s="87"/>
      <x:c r="AF1597" s="87"/>
      <x:c r="AG1597" s="87"/>
      <x:c r="AH1597" s="87"/>
      <x:c r="AI1597" s="30"/>
      <x:c r="AJ1597" s="87" t="str">
        <x:v>master</x:v>
      </x:c>
      <x:c r="AK1597" s="87" t="str">
        <x:v>master-v0.81</x:v>
      </x:c>
      <x:c r="AL1597" s="87" t="str">
        <x:v>statgrad_master_base_v0_81_final(2).xlsx</x:v>
      </x:c>
      <x:c r="AM1597" s="87" t="str">
        <x:v>MATH_Mar_Base_V8</x:v>
      </x:c>
      <x:c r="AN1597" s="87" t="n">
        <x:v>8</x:v>
      </x:c>
    </x:row>
    <x:row r="1598">
      <x:c r="A1598" s="87" t="n">
        <x:v>1597</x:v>
      </x:c>
      <x:c r="B1598" s="87" t="str">
        <x:v>MAR-MATH-B-V8-008</x:v>
      </x:c>
      <x:c r="C1598" s="87" t="str">
        <x:v>СтатГрад</x:v>
      </x:c>
      <x:c r="D1598" s="87" t="str">
        <x:v>Март 2026</x:v>
      </x:c>
      <x:c r="E1598" s="87"/>
      <x:c r="F1598" s="87"/>
      <x:c r="G1598" s="87" t="str">
        <x:v>Математика</x:v>
      </x:c>
      <x:c r="H1598" s="87" t="str">
        <x:v>Базовый</x:v>
      </x:c>
      <x:c r="I1598" s="87" t="str">
        <x:v>ТР №4</x:v>
      </x:c>
      <x:c r="J1598" s="87" t="str">
        <x:v>МА2510408</x:v>
      </x:c>
      <x:c r="K1598" s="87" t="n">
        <x:v>8</x:v>
      </x:c>
      <x:c r="L1598" s="87" t="str">
        <x:v>Логические утверждения</x:v>
      </x:c>
      <x:c r="M1598" s="30" t="str">
        <x:v>Из 40 печений 10 посыпаны корицей, 20 — сахаром. Выбрать гарантированно верные утверждения.</x:v>
      </x:c>
      <x:c r="N1598" s="30" t="str">
        <x:v>23</x:v>
      </x:c>
      <x:c r="O1598" s="30" t="str">
        <x:v>Не посыпаны не менее 40−10−20=10 печений; пересечение множеств не может превышать 10.</x:v>
      </x:c>
      <x:c r="P1598" s="30" t="str">
        <x:v>Проверены нижняя граница числа непосыпанных и верхняя граница пересечения.</x:v>
      </x:c>
      <x:c r="Q1598" s="30"/>
      <x:c r="R1598" s="30" t="str">
        <x:v>Официальный PDF архива + независимое решение + приложенный ключ</x:v>
      </x:c>
      <x:c r="S1598" s="30"/>
      <x:c r="T1598" s="30"/>
      <x:c r="U1598" s="30" t="str">
        <x:v>Допустима запись 32.</x:v>
      </x:c>
      <x:c r="V1598" s="87" t="str">
        <x:v>VERIFIED</x:v>
      </x:c>
      <x:c r="W1598" s="87" t="str">
        <x:v>Официальный PDF</x:v>
      </x:c>
      <x:c r="X1598" s="87"/>
      <x:c r="Y1598" s="87"/>
      <x:c r="Z1598" s="87"/>
      <x:c r="AA1598" s="87"/>
      <x:c r="AB1598" s="87"/>
      <x:c r="AC1598" s="87"/>
      <x:c r="AD1598" s="87"/>
      <x:c r="AE1598" s="87"/>
      <x:c r="AF1598" s="87"/>
      <x:c r="AG1598" s="87"/>
      <x:c r="AH1598" s="87"/>
      <x:c r="AI1598" s="30"/>
      <x:c r="AJ1598" s="87" t="str">
        <x:v>master</x:v>
      </x:c>
      <x:c r="AK1598" s="87" t="str">
        <x:v>master-v0.81</x:v>
      </x:c>
      <x:c r="AL1598" s="87" t="str">
        <x:v>statgrad_master_base_v0_81_final(2).xlsx</x:v>
      </x:c>
      <x:c r="AM1598" s="87" t="str">
        <x:v>MATH_Mar_Base_V8</x:v>
      </x:c>
      <x:c r="AN1598" s="87" t="n">
        <x:v>9</x:v>
      </x:c>
    </x:row>
    <x:row r="1599">
      <x:c r="A1599" s="87" t="n">
        <x:v>1598</x:v>
      </x:c>
      <x:c r="B1599" s="87" t="str">
        <x:v>MAR-MATH-B-V8-009</x:v>
      </x:c>
      <x:c r="C1599" s="87" t="str">
        <x:v>СтатГрад</x:v>
      </x:c>
      <x:c r="D1599" s="87" t="str">
        <x:v>Март 2026</x:v>
      </x:c>
      <x:c r="E1599" s="87"/>
      <x:c r="F1599" s="87"/>
      <x:c r="G1599" s="87" t="str">
        <x:v>Математика</x:v>
      </x:c>
      <x:c r="H1599" s="87" t="str">
        <x:v>Базовый</x:v>
      </x:c>
      <x:c r="I1599" s="87" t="str">
        <x:v>ТР №4</x:v>
      </x:c>
      <x:c r="J1599" s="87" t="str">
        <x:v>МА2510408</x:v>
      </x:c>
      <x:c r="K1599" s="87" t="n">
        <x:v>9</x:v>
      </x:c>
      <x:c r="L1599" s="87" t="str">
        <x:v>Площадь на клетчатой решётке</x:v>
      </x:c>
      <x:c r="M1599" s="30" t="str">
        <x:v>Найти площадь ромба на квадратной сетке 1×1 м.</x:v>
      </x:c>
      <x:c r="N1599" s="30" t="str">
        <x:v>4</x:v>
      </x:c>
      <x:c r="O1599" s="30" t="str">
        <x:v>Диагонали ромба равны 4 и 2 клетки; S=4·2/2=4 м².</x:v>
      </x:c>
      <x:c r="P1599" s="30" t="str">
        <x:v>Длины диагоналей считаны по рисунку.</x:v>
      </x:c>
      <x:c r="Q1599" s="30"/>
      <x:c r="R1599" s="30" t="str">
        <x:v>Официальный PDF архива + независимое решение + приложенный ключ</x:v>
      </x:c>
      <x:c r="S1599" s="30"/>
      <x:c r="T1599" s="30"/>
      <x:c r="U1599" s="30" t="str">
        <x:v>Расхождений нет.</x:v>
      </x:c>
      <x:c r="V1599" s="87" t="str">
        <x:v>VERIFIED</x:v>
      </x:c>
      <x:c r="W1599" s="87" t="str">
        <x:v>PDF, стр. варианта 5</x:v>
      </x:c>
      <x:c r="X1599" s="87"/>
      <x:c r="Y1599" s="87"/>
      <x:c r="Z1599" s="87"/>
      <x:c r="AA1599" s="87"/>
      <x:c r="AB1599" s="87"/>
      <x:c r="AC1599" s="87"/>
      <x:c r="AD1599" s="87"/>
      <x:c r="AE1599" s="87"/>
      <x:c r="AF1599" s="87"/>
      <x:c r="AG1599" s="87"/>
      <x:c r="AH1599" s="87"/>
      <x:c r="AI1599" s="30"/>
      <x:c r="AJ1599" s="87" t="str">
        <x:v>master</x:v>
      </x:c>
      <x:c r="AK1599" s="87" t="str">
        <x:v>master-v0.81</x:v>
      </x:c>
      <x:c r="AL1599" s="87" t="str">
        <x:v>statgrad_master_base_v0_81_final(2).xlsx</x:v>
      </x:c>
      <x:c r="AM1599" s="87" t="str">
        <x:v>MATH_Mar_Base_V8</x:v>
      </x:c>
      <x:c r="AN1599" s="87" t="n">
        <x:v>10</x:v>
      </x:c>
    </x:row>
    <x:row r="1600">
      <x:c r="A1600" s="87" t="n">
        <x:v>1599</x:v>
      </x:c>
      <x:c r="B1600" s="87" t="str">
        <x:v>MAR-MATH-B-V8-010</x:v>
      </x:c>
      <x:c r="C1600" s="87" t="str">
        <x:v>СтатГрад</x:v>
      </x:c>
      <x:c r="D1600" s="87" t="str">
        <x:v>Март 2026</x:v>
      </x:c>
      <x:c r="E1600" s="87"/>
      <x:c r="F1600" s="87"/>
      <x:c r="G1600" s="87" t="str">
        <x:v>Математика</x:v>
      </x:c>
      <x:c r="H1600" s="87" t="str">
        <x:v>Базовый</x:v>
      </x:c>
      <x:c r="I1600" s="87" t="str">
        <x:v>ТР №4</x:v>
      </x:c>
      <x:c r="J1600" s="87" t="str">
        <x:v>МА2510408</x:v>
      </x:c>
      <x:c r="K1600" s="87" t="n">
        <x:v>10</x:v>
      </x:c>
      <x:c r="L1600" s="87" t="str">
        <x:v>Подобие треугольников</x:v>
      </x:c>
      <x:c r="M1600" s="30" t="str">
        <x:v>Рост человека 1,8 м, тень 1 м, фонарь 9 м. Найти расстояние от фонаря до человека.</x:v>
      </x:c>
      <x:c r="N1600" s="30" t="str">
        <x:v>4</x:v>
      </x:c>
      <x:c r="O1600" s="30" t="str">
        <x:v>По подобию 9/(x+1)=1,8/1; x+1=5, значит x=4 м.</x:v>
      </x:c>
      <x:c r="P1600" s="30" t="str">
        <x:v>По подобию 9/(x+1)=1,8/1; x+1=5, значит x=4 м.</x:v>
      </x:c>
      <x:c r="Q1600" s="30"/>
      <x:c r="R1600" s="30" t="str">
        <x:v>Официальный PDF архива + независимое решение + приложенный ключ</x:v>
      </x:c>
      <x:c r="S1600" s="30"/>
      <x:c r="T1600" s="30"/>
      <x:c r="U1600" s="30" t="str">
        <x:v>Расхождений не обнаружено.</x:v>
      </x:c>
      <x:c r="V1600" s="87" t="str">
        <x:v>VERIFIED</x:v>
      </x:c>
      <x:c r="W1600" s="87" t="str">
        <x:v>Официальный PDF</x:v>
      </x:c>
      <x:c r="X1600" s="87"/>
      <x:c r="Y1600" s="87"/>
      <x:c r="Z1600" s="87"/>
      <x:c r="AA1600" s="87"/>
      <x:c r="AB1600" s="87"/>
      <x:c r="AC1600" s="87"/>
      <x:c r="AD1600" s="87"/>
      <x:c r="AE1600" s="87"/>
      <x:c r="AF1600" s="87"/>
      <x:c r="AG1600" s="87"/>
      <x:c r="AH1600" s="87"/>
      <x:c r="AI1600" s="30"/>
      <x:c r="AJ1600" s="87" t="str">
        <x:v>master</x:v>
      </x:c>
      <x:c r="AK1600" s="87" t="str">
        <x:v>master-v0.81</x:v>
      </x:c>
      <x:c r="AL1600" s="87" t="str">
        <x:v>statgrad_master_base_v0_81_final(2).xlsx</x:v>
      </x:c>
      <x:c r="AM1600" s="87" t="str">
        <x:v>MATH_Mar_Base_V8</x:v>
      </x:c>
      <x:c r="AN1600" s="87" t="n">
        <x:v>11</x:v>
      </x:c>
    </x:row>
    <x:row r="1601">
      <x:c r="A1601" s="87" t="n">
        <x:v>1600</x:v>
      </x:c>
      <x:c r="B1601" s="87" t="str">
        <x:v>MAR-MATH-B-V8-011</x:v>
      </x:c>
      <x:c r="C1601" s="87" t="str">
        <x:v>СтатГрад</x:v>
      </x:c>
      <x:c r="D1601" s="87" t="str">
        <x:v>Март 2026</x:v>
      </x:c>
      <x:c r="E1601" s="87"/>
      <x:c r="F1601" s="87"/>
      <x:c r="G1601" s="87" t="str">
        <x:v>Математика</x:v>
      </x:c>
      <x:c r="H1601" s="87" t="str">
        <x:v>Базовый</x:v>
      </x:c>
      <x:c r="I1601" s="87" t="str">
        <x:v>ТР №4</x:v>
      </x:c>
      <x:c r="J1601" s="87" t="str">
        <x:v>МА2510408</x:v>
      </x:c>
      <x:c r="K1601" s="87" t="n">
        <x:v>11</x:v>
      </x:c>
      <x:c r="L1601" s="87" t="str">
        <x:v>Объём цилиндра</x:v>
      </x:c>
      <x:c r="M1601" s="30" t="str">
        <x:v>Высота бака 40 см, площадь основания 150 см². Найти объём в литрах.</x:v>
      </x:c>
      <x:c r="N1601" s="30" t="str">
        <x:v>6</x:v>
      </x:c>
      <x:c r="O1601" s="30" t="str">
        <x:v>V=40·150=6000 см³=6 л.</x:v>
      </x:c>
      <x:c r="P1601" s="30" t="str">
        <x:v>V=40·150=6000 см³=6 л.</x:v>
      </x:c>
      <x:c r="Q1601" s="30"/>
      <x:c r="R1601" s="30" t="str">
        <x:v>Официальный PDF архива + независимое решение + приложенный ключ</x:v>
      </x:c>
      <x:c r="S1601" s="30"/>
      <x:c r="T1601" s="30"/>
      <x:c r="U1601" s="30" t="str">
        <x:v>Расхождений не обнаружено.</x:v>
      </x:c>
      <x:c r="V1601" s="87" t="str">
        <x:v>VERIFIED</x:v>
      </x:c>
      <x:c r="W1601" s="87" t="str">
        <x:v>Официальный PDF</x:v>
      </x:c>
      <x:c r="X1601" s="87"/>
      <x:c r="Y1601" s="87"/>
      <x:c r="Z1601" s="87"/>
      <x:c r="AA1601" s="87"/>
      <x:c r="AB1601" s="87"/>
      <x:c r="AC1601" s="87"/>
      <x:c r="AD1601" s="87"/>
      <x:c r="AE1601" s="87"/>
      <x:c r="AF1601" s="87"/>
      <x:c r="AG1601" s="87"/>
      <x:c r="AH1601" s="87"/>
      <x:c r="AI1601" s="30"/>
      <x:c r="AJ1601" s="87" t="str">
        <x:v>master</x:v>
      </x:c>
      <x:c r="AK1601" s="87" t="str">
        <x:v>master-v0.81</x:v>
      </x:c>
      <x:c r="AL1601" s="87" t="str">
        <x:v>statgrad_master_base_v0_81_final(2).xlsx</x:v>
      </x:c>
      <x:c r="AM1601" s="87" t="str">
        <x:v>MATH_Mar_Base_V8</x:v>
      </x:c>
      <x:c r="AN1601" s="87" t="n">
        <x:v>12</x:v>
      </x:c>
    </x:row>
    <x:row r="1602">
      <x:c r="A1602" s="87" t="n">
        <x:v>1601</x:v>
      </x:c>
      <x:c r="B1602" s="87" t="str">
        <x:v>MAR-MATH-B-V8-012</x:v>
      </x:c>
      <x:c r="C1602" s="87" t="str">
        <x:v>СтатГрад</x:v>
      </x:c>
      <x:c r="D1602" s="87" t="str">
        <x:v>Март 2026</x:v>
      </x:c>
      <x:c r="E1602" s="87"/>
      <x:c r="F1602" s="87"/>
      <x:c r="G1602" s="87" t="str">
        <x:v>Математика</x:v>
      </x:c>
      <x:c r="H1602" s="87" t="str">
        <x:v>Базовый</x:v>
      </x:c>
      <x:c r="I1602" s="87" t="str">
        <x:v>ТР №4</x:v>
      </x:c>
      <x:c r="J1602" s="87" t="str">
        <x:v>МА2510408</x:v>
      </x:c>
      <x:c r="K1602" s="87" t="n">
        <x:v>12</x:v>
      </x:c>
      <x:c r="L1602" s="87" t="str">
        <x:v>Прямоугольная трапеция</x:v>
      </x:c>
      <x:c r="M1602" s="30" t="str">
        <x:v>В прямоугольной трапеции AB=12, BC=CD=15. Найти среднюю линию.</x:v>
      </x:c>
      <x:c r="N1602" s="30" t="str">
        <x:v>19,5</x:v>
      </x:c>
      <x:c r="O1602" s="30" t="str">
        <x:v>Проекция CD равна √(15²−12²)=9; AD=15+9=24; средняя линия (15+24)/2=19,5.</x:v>
      </x:c>
      <x:c r="P1602" s="30" t="str">
        <x:v>Проекция CD равна √(15²−12²)=9; AD=15+9=24; средняя линия (15+24)/2=19,5.</x:v>
      </x:c>
      <x:c r="Q1602" s="30"/>
      <x:c r="R1602" s="30" t="str">
        <x:v>Официальный PDF архива + независимое решение + приложенный ключ</x:v>
      </x:c>
      <x:c r="S1602" s="30"/>
      <x:c r="T1602" s="30"/>
      <x:c r="U1602" s="30" t="str">
        <x:v>Расхождений не обнаружено.</x:v>
      </x:c>
      <x:c r="V1602" s="87" t="str">
        <x:v>VERIFIED</x:v>
      </x:c>
      <x:c r="W1602" s="87" t="str">
        <x:v>Официальный PDF</x:v>
      </x:c>
      <x:c r="X1602" s="87"/>
      <x:c r="Y1602" s="87"/>
      <x:c r="Z1602" s="87"/>
      <x:c r="AA1602" s="87"/>
      <x:c r="AB1602" s="87"/>
      <x:c r="AC1602" s="87"/>
      <x:c r="AD1602" s="87"/>
      <x:c r="AE1602" s="87"/>
      <x:c r="AF1602" s="87"/>
      <x:c r="AG1602" s="87"/>
      <x:c r="AH1602" s="87"/>
      <x:c r="AI1602" s="30"/>
      <x:c r="AJ1602" s="87" t="str">
        <x:v>master</x:v>
      </x:c>
      <x:c r="AK1602" s="87" t="str">
        <x:v>master-v0.81</x:v>
      </x:c>
      <x:c r="AL1602" s="87" t="str">
        <x:v>statgrad_master_base_v0_81_final(2).xlsx</x:v>
      </x:c>
      <x:c r="AM1602" s="87" t="str">
        <x:v>MATH_Mar_Base_V8</x:v>
      </x:c>
      <x:c r="AN1602" s="87" t="n">
        <x:v>13</x:v>
      </x:c>
    </x:row>
    <x:row r="1603">
      <x:c r="A1603" s="87" t="n">
        <x:v>1602</x:v>
      </x:c>
      <x:c r="B1603" s="87" t="str">
        <x:v>MAR-MATH-B-V8-013</x:v>
      </x:c>
      <x:c r="C1603" s="87" t="str">
        <x:v>СтатГрад</x:v>
      </x:c>
      <x:c r="D1603" s="87" t="str">
        <x:v>Март 2026</x:v>
      </x:c>
      <x:c r="E1603" s="87"/>
      <x:c r="F1603" s="87"/>
      <x:c r="G1603" s="87" t="str">
        <x:v>Математика</x:v>
      </x:c>
      <x:c r="H1603" s="87" t="str">
        <x:v>Базовый</x:v>
      </x:c>
      <x:c r="I1603" s="87" t="str">
        <x:v>ТР №4</x:v>
      </x:c>
      <x:c r="J1603" s="87" t="str">
        <x:v>МА2510408</x:v>
      </x:c>
      <x:c r="K1603" s="87" t="n">
        <x:v>13</x:v>
      </x:c>
      <x:c r="L1603" s="87" t="str">
        <x:v>Площадь поверхности шара</x:v>
      </x:c>
      <x:c r="M1603" s="30" t="str">
        <x:v>Радиусы шаров 8 и 2. Во сколько раз площадь большего больше?</x:v>
      </x:c>
      <x:c r="N1603" s="30" t="str">
        <x:v>16</x:v>
      </x:c>
      <x:c r="O1603" s="30" t="str">
        <x:v>Площадь пропорциональна r²: 8²/2²=16.</x:v>
      </x:c>
      <x:c r="P1603" s="30" t="str">
        <x:v>Площадь пропорциональна r²: 8²/2²=16.</x:v>
      </x:c>
      <x:c r="Q1603" s="30"/>
      <x:c r="R1603" s="30" t="str">
        <x:v>Официальный PDF архива + независимое решение + приложенный ключ</x:v>
      </x:c>
      <x:c r="S1603" s="30"/>
      <x:c r="T1603" s="30"/>
      <x:c r="U1603" s="30" t="str">
        <x:v>Расхождений не обнаружено.</x:v>
      </x:c>
      <x:c r="V1603" s="87" t="str">
        <x:v>VERIFIED</x:v>
      </x:c>
      <x:c r="W1603" s="87" t="str">
        <x:v>Официальный PDF</x:v>
      </x:c>
      <x:c r="X1603" s="87"/>
      <x:c r="Y1603" s="87"/>
      <x:c r="Z1603" s="87"/>
      <x:c r="AA1603" s="87"/>
      <x:c r="AB1603" s="87"/>
      <x:c r="AC1603" s="87"/>
      <x:c r="AD1603" s="87"/>
      <x:c r="AE1603" s="87"/>
      <x:c r="AF1603" s="87"/>
      <x:c r="AG1603" s="87"/>
      <x:c r="AH1603" s="87"/>
      <x:c r="AI1603" s="30"/>
      <x:c r="AJ1603" s="87" t="str">
        <x:v>master</x:v>
      </x:c>
      <x:c r="AK1603" s="87" t="str">
        <x:v>master-v0.81</x:v>
      </x:c>
      <x:c r="AL1603" s="87" t="str">
        <x:v>statgrad_master_base_v0_81_final(2).xlsx</x:v>
      </x:c>
      <x:c r="AM1603" s="87" t="str">
        <x:v>MATH_Mar_Base_V8</x:v>
      </x:c>
      <x:c r="AN1603" s="87" t="n">
        <x:v>14</x:v>
      </x:c>
    </x:row>
    <x:row r="1604">
      <x:c r="A1604" s="87" t="n">
        <x:v>1603</x:v>
      </x:c>
      <x:c r="B1604" s="87" t="str">
        <x:v>MAR-MATH-B-V8-014</x:v>
      </x:c>
      <x:c r="C1604" s="87" t="str">
        <x:v>СтатГрад</x:v>
      </x:c>
      <x:c r="D1604" s="87" t="str">
        <x:v>Март 2026</x:v>
      </x:c>
      <x:c r="E1604" s="87"/>
      <x:c r="F1604" s="87"/>
      <x:c r="G1604" s="87" t="str">
        <x:v>Математика</x:v>
      </x:c>
      <x:c r="H1604" s="87" t="str">
        <x:v>Базовый</x:v>
      </x:c>
      <x:c r="I1604" s="87" t="str">
        <x:v>ТР №4</x:v>
      </x:c>
      <x:c r="J1604" s="87" t="str">
        <x:v>МА2510408</x:v>
      </x:c>
      <x:c r="K1604" s="87" t="n">
        <x:v>14</x:v>
      </x:c>
      <x:c r="L1604" s="87" t="str">
        <x:v>Обыкновенные дроби</x:v>
      </x:c>
      <x:c r="M1604" s="30" t="str">
        <x:v>Вычислить (2 3/5−2,8)·3 3/4.</x:v>
      </x:c>
      <x:c r="N1604" s="30" t="str">
        <x:v>−0,75</x:v>
      </x:c>
      <x:c r="O1604" s="30" t="str">
        <x:v>2,6−2,8=−0,2; 3 3/4=3,75; произведение −0,75.</x:v>
      </x:c>
      <x:c r="P1604" s="30" t="str">
        <x:v>2,6−2,8=−0,2; 3 3/4=3,75; произведение −0,75.</x:v>
      </x:c>
      <x:c r="Q1604" s="30"/>
      <x:c r="R1604" s="30" t="str">
        <x:v>Официальный PDF архива + независимое решение + приложенный ключ</x:v>
      </x:c>
      <x:c r="S1604" s="30"/>
      <x:c r="T1604" s="30"/>
      <x:c r="U1604" s="30" t="str">
        <x:v>Расхождений не обнаружено.</x:v>
      </x:c>
      <x:c r="V1604" s="87" t="str">
        <x:v>VERIFIED</x:v>
      </x:c>
      <x:c r="W1604" s="87" t="str">
        <x:v>Официальный PDF</x:v>
      </x:c>
      <x:c r="X1604" s="87"/>
      <x:c r="Y1604" s="87"/>
      <x:c r="Z1604" s="87"/>
      <x:c r="AA1604" s="87"/>
      <x:c r="AB1604" s="87"/>
      <x:c r="AC1604" s="87"/>
      <x:c r="AD1604" s="87"/>
      <x:c r="AE1604" s="87"/>
      <x:c r="AF1604" s="87"/>
      <x:c r="AG1604" s="87"/>
      <x:c r="AH1604" s="87"/>
      <x:c r="AI1604" s="30"/>
      <x:c r="AJ1604" s="87" t="str">
        <x:v>master</x:v>
      </x:c>
      <x:c r="AK1604" s="87" t="str">
        <x:v>master-v0.81</x:v>
      </x:c>
      <x:c r="AL1604" s="87" t="str">
        <x:v>statgrad_master_base_v0_81_final(2).xlsx</x:v>
      </x:c>
      <x:c r="AM1604" s="87" t="str">
        <x:v>MATH_Mar_Base_V8</x:v>
      </x:c>
      <x:c r="AN1604" s="87" t="n">
        <x:v>15</x:v>
      </x:c>
    </x:row>
    <x:row r="1605">
      <x:c r="A1605" s="87" t="n">
        <x:v>1604</x:v>
      </x:c>
      <x:c r="B1605" s="87" t="str">
        <x:v>MAR-MATH-B-V8-015</x:v>
      </x:c>
      <x:c r="C1605" s="87" t="str">
        <x:v>СтатГрад</x:v>
      </x:c>
      <x:c r="D1605" s="87" t="str">
        <x:v>Март 2026</x:v>
      </x:c>
      <x:c r="E1605" s="87"/>
      <x:c r="F1605" s="87"/>
      <x:c r="G1605" s="87" t="str">
        <x:v>Математика</x:v>
      </x:c>
      <x:c r="H1605" s="87" t="str">
        <x:v>Базовый</x:v>
      </x:c>
      <x:c r="I1605" s="87" t="str">
        <x:v>ТР №4</x:v>
      </x:c>
      <x:c r="J1605" s="87" t="str">
        <x:v>МА2510408</x:v>
      </x:c>
      <x:c r="K1605" s="87" t="n">
        <x:v>15</x:v>
      </x:c>
      <x:c r="L1605" s="87" t="str">
        <x:v>Проценты</x:v>
      </x:c>
      <x:c r="M1605" s="30" t="str">
        <x:v>Число больных уменьшилось в двадцать раз. Найти процент уменьшения.</x:v>
      </x:c>
      <x:c r="N1605" s="30" t="str">
        <x:v>95</x:v>
      </x:c>
      <x:c r="O1605" s="30" t="str">
        <x:v>Осталось 5% исходного количества, поэтому уменьшение составило 95%.</x:v>
      </x:c>
      <x:c r="P1605" s="30" t="str">
        <x:v>Осталось 5% исходного количества, поэтому уменьшение составило 95%.</x:v>
      </x:c>
      <x:c r="Q1605" s="30"/>
      <x:c r="R1605" s="30" t="str">
        <x:v>Официальный PDF архива + независимое решение + приложенный ключ</x:v>
      </x:c>
      <x:c r="S1605" s="30"/>
      <x:c r="T1605" s="30"/>
      <x:c r="U1605" s="30" t="str">
        <x:v>Расхождений не обнаружено.</x:v>
      </x:c>
      <x:c r="V1605" s="87" t="str">
        <x:v>VERIFIED</x:v>
      </x:c>
      <x:c r="W1605" s="87" t="str">
        <x:v>Официальный PDF</x:v>
      </x:c>
      <x:c r="X1605" s="87"/>
      <x:c r="Y1605" s="87"/>
      <x:c r="Z1605" s="87"/>
      <x:c r="AA1605" s="87"/>
      <x:c r="AB1605" s="87"/>
      <x:c r="AC1605" s="87"/>
      <x:c r="AD1605" s="87"/>
      <x:c r="AE1605" s="87"/>
      <x:c r="AF1605" s="87"/>
      <x:c r="AG1605" s="87"/>
      <x:c r="AH1605" s="87"/>
      <x:c r="AI1605" s="30"/>
      <x:c r="AJ1605" s="87" t="str">
        <x:v>master</x:v>
      </x:c>
      <x:c r="AK1605" s="87" t="str">
        <x:v>master-v0.81</x:v>
      </x:c>
      <x:c r="AL1605" s="87" t="str">
        <x:v>statgrad_master_base_v0_81_final(2).xlsx</x:v>
      </x:c>
      <x:c r="AM1605" s="87" t="str">
        <x:v>MATH_Mar_Base_V8</x:v>
      </x:c>
      <x:c r="AN1605" s="87" t="n">
        <x:v>16</x:v>
      </x:c>
    </x:row>
    <x:row r="1606">
      <x:c r="A1606" s="87" t="n">
        <x:v>1605</x:v>
      </x:c>
      <x:c r="B1606" s="87" t="str">
        <x:v>MAR-MATH-B-V8-016</x:v>
      </x:c>
      <x:c r="C1606" s="87" t="str">
        <x:v>СтатГрад</x:v>
      </x:c>
      <x:c r="D1606" s="87" t="str">
        <x:v>Март 2026</x:v>
      </x:c>
      <x:c r="E1606" s="87"/>
      <x:c r="F1606" s="87"/>
      <x:c r="G1606" s="87" t="str">
        <x:v>Математика</x:v>
      </x:c>
      <x:c r="H1606" s="87" t="str">
        <x:v>Базовый</x:v>
      </x:c>
      <x:c r="I1606" s="87" t="str">
        <x:v>ТР №4</x:v>
      </x:c>
      <x:c r="J1606" s="87" t="str">
        <x:v>МА2510408</x:v>
      </x:c>
      <x:c r="K1606" s="87" t="n">
        <x:v>16</x:v>
      </x:c>
      <x:c r="L1606" s="87" t="str">
        <x:v>Логарифмическое выражение</x:v>
      </x:c>
      <x:c r="M1606" s="30" t="str">
        <x:v>Вычислить 4^(5log₄2).</x:v>
      </x:c>
      <x:c r="N1606" s="30" t="str">
        <x:v>32</x:v>
      </x:c>
      <x:c r="O1606" s="30" t="str">
        <x:v>4^(5log₄2)=(4^log₄2)^5=2^5=32.</x:v>
      </x:c>
      <x:c r="P1606" s="30" t="str">
        <x:v>4^(5log₄2)=(4^log₄2)^5=2^5=32.</x:v>
      </x:c>
      <x:c r="Q1606" s="30"/>
      <x:c r="R1606" s="30" t="str">
        <x:v>Официальный PDF архива + независимое решение + приложенный ключ</x:v>
      </x:c>
      <x:c r="S1606" s="30"/>
      <x:c r="T1606" s="30"/>
      <x:c r="U1606" s="30" t="str">
        <x:v>Расхождений не обнаружено.</x:v>
      </x:c>
      <x:c r="V1606" s="87" t="str">
        <x:v>VERIFIED</x:v>
      </x:c>
      <x:c r="W1606" s="87" t="str">
        <x:v>Официальный PDF</x:v>
      </x:c>
      <x:c r="X1606" s="87"/>
      <x:c r="Y1606" s="87"/>
      <x:c r="Z1606" s="87"/>
      <x:c r="AA1606" s="87"/>
      <x:c r="AB1606" s="87"/>
      <x:c r="AC1606" s="87"/>
      <x:c r="AD1606" s="87"/>
      <x:c r="AE1606" s="87"/>
      <x:c r="AF1606" s="87"/>
      <x:c r="AG1606" s="87"/>
      <x:c r="AH1606" s="87"/>
      <x:c r="AI1606" s="30"/>
      <x:c r="AJ1606" s="87" t="str">
        <x:v>master</x:v>
      </x:c>
      <x:c r="AK1606" s="87" t="str">
        <x:v>master-v0.81</x:v>
      </x:c>
      <x:c r="AL1606" s="87" t="str">
        <x:v>statgrad_master_base_v0_81_final(2).xlsx</x:v>
      </x:c>
      <x:c r="AM1606" s="87" t="str">
        <x:v>MATH_Mar_Base_V8</x:v>
      </x:c>
      <x:c r="AN1606" s="87" t="n">
        <x:v>17</x:v>
      </x:c>
    </x:row>
    <x:row r="1607">
      <x:c r="A1607" s="87" t="n">
        <x:v>1606</x:v>
      </x:c>
      <x:c r="B1607" s="87" t="str">
        <x:v>MAR-MATH-B-V8-017</x:v>
      </x:c>
      <x:c r="C1607" s="87" t="str">
        <x:v>СтатГрад</x:v>
      </x:c>
      <x:c r="D1607" s="87" t="str">
        <x:v>Март 2026</x:v>
      </x:c>
      <x:c r="E1607" s="87"/>
      <x:c r="F1607" s="87"/>
      <x:c r="G1607" s="87" t="str">
        <x:v>Математика</x:v>
      </x:c>
      <x:c r="H1607" s="87" t="str">
        <x:v>Базовый</x:v>
      </x:c>
      <x:c r="I1607" s="87" t="str">
        <x:v>ТР №4</x:v>
      </x:c>
      <x:c r="J1607" s="87" t="str">
        <x:v>МА2510408</x:v>
      </x:c>
      <x:c r="K1607" s="87" t="n">
        <x:v>17</x:v>
      </x:c>
      <x:c r="L1607" s="87" t="str">
        <x:v>Линейное уравнение</x:v>
      </x:c>
      <x:c r="M1607" s="30" t="str">
        <x:v>Решить 7(−6−x)−4x=−9.</x:v>
      </x:c>
      <x:c r="N1607" s="30" t="str">
        <x:v>−3</x:v>
      </x:c>
      <x:c r="O1607" s="30" t="str">
        <x:v>−42−11x=−9; −11x=33; x=−3.</x:v>
      </x:c>
      <x:c r="P1607" s="30" t="str">
        <x:v>−42−11x=−9; −11x=33; x=−3.</x:v>
      </x:c>
      <x:c r="Q1607" s="30"/>
      <x:c r="R1607" s="30" t="str">
        <x:v>Официальный PDF архива + независимое решение + приложенный ключ</x:v>
      </x:c>
      <x:c r="S1607" s="30"/>
      <x:c r="T1607" s="30"/>
      <x:c r="U1607" s="30" t="str">
        <x:v>Расхождений не обнаружено.</x:v>
      </x:c>
      <x:c r="V1607" s="87" t="str">
        <x:v>VERIFIED</x:v>
      </x:c>
      <x:c r="W1607" s="87" t="str">
        <x:v>Официальный PDF</x:v>
      </x:c>
      <x:c r="X1607" s="87"/>
      <x:c r="Y1607" s="87"/>
      <x:c r="Z1607" s="87"/>
      <x:c r="AA1607" s="87"/>
      <x:c r="AB1607" s="87"/>
      <x:c r="AC1607" s="87"/>
      <x:c r="AD1607" s="87"/>
      <x:c r="AE1607" s="87"/>
      <x:c r="AF1607" s="87"/>
      <x:c r="AG1607" s="87"/>
      <x:c r="AH1607" s="87"/>
      <x:c r="AI1607" s="30"/>
      <x:c r="AJ1607" s="87" t="str">
        <x:v>master</x:v>
      </x:c>
      <x:c r="AK1607" s="87" t="str">
        <x:v>master-v0.81</x:v>
      </x:c>
      <x:c r="AL1607" s="87" t="str">
        <x:v>statgrad_master_base_v0_81_final(2).xlsx</x:v>
      </x:c>
      <x:c r="AM1607" s="87" t="str">
        <x:v>MATH_Mar_Base_V8</x:v>
      </x:c>
      <x:c r="AN1607" s="87" t="n">
        <x:v>18</x:v>
      </x:c>
    </x:row>
    <x:row r="1608">
      <x:c r="A1608" s="87" t="n">
        <x:v>1607</x:v>
      </x:c>
      <x:c r="B1608" s="87" t="str">
        <x:v>MAR-MATH-B-V8-018</x:v>
      </x:c>
      <x:c r="C1608" s="87" t="str">
        <x:v>СтатГрад</x:v>
      </x:c>
      <x:c r="D1608" s="87" t="str">
        <x:v>Март 2026</x:v>
      </x:c>
      <x:c r="E1608" s="87"/>
      <x:c r="F1608" s="87"/>
      <x:c r="G1608" s="87" t="str">
        <x:v>Математика</x:v>
      </x:c>
      <x:c r="H1608" s="87" t="str">
        <x:v>Базовый</x:v>
      </x:c>
      <x:c r="I1608" s="87" t="str">
        <x:v>ТР №4</x:v>
      </x:c>
      <x:c r="J1608" s="87" t="str">
        <x:v>МА2510408</x:v>
      </x:c>
      <x:c r="K1608" s="87" t="n">
        <x:v>18</x:v>
      </x:c>
      <x:c r="L1608" s="87" t="str">
        <x:v>Числовые промежутки</x:v>
      </x:c>
      <x:c r="M1608" s="30" t="str">
        <x:v>Сопоставить log₂20, 4/3, √11 и 0,35⁻¹ с отрезками [1;2], [2;3], [3;4], [4;5].</x:v>
      </x:c>
      <x:c r="N1608" s="30" t="str">
        <x:v>4132</x:v>
      </x:c>
      <x:c r="O1608" s="30" t="str">
        <x:v>log₂20∈[4;5]; 4/3∈[1;2]; √11∈[3;4]; 1/0,35≈2,86∈[2;3].</x:v>
      </x:c>
      <x:c r="P1608" s="30" t="str">
        <x:v>log₂20∈[4;5]; 4/3∈[1;2]; √11∈[3;4]; 1/0,35≈2,86∈[2;3].</x:v>
      </x:c>
      <x:c r="Q1608" s="30"/>
      <x:c r="R1608" s="30" t="str">
        <x:v>Официальный PDF архива + независимое решение + приложенный ключ</x:v>
      </x:c>
      <x:c r="S1608" s="30"/>
      <x:c r="T1608" s="30"/>
      <x:c r="U1608" s="30" t="str">
        <x:v>Расхождений не обнаружено.</x:v>
      </x:c>
      <x:c r="V1608" s="87" t="str">
        <x:v>VERIFIED</x:v>
      </x:c>
      <x:c r="W1608" s="87" t="str">
        <x:v>Официальный PDF</x:v>
      </x:c>
      <x:c r="X1608" s="87"/>
      <x:c r="Y1608" s="87"/>
      <x:c r="Z1608" s="87"/>
      <x:c r="AA1608" s="87"/>
      <x:c r="AB1608" s="87"/>
      <x:c r="AC1608" s="87"/>
      <x:c r="AD1608" s="87"/>
      <x:c r="AE1608" s="87"/>
      <x:c r="AF1608" s="87"/>
      <x:c r="AG1608" s="87"/>
      <x:c r="AH1608" s="87"/>
      <x:c r="AI1608" s="30"/>
      <x:c r="AJ1608" s="87" t="str">
        <x:v>master</x:v>
      </x:c>
      <x:c r="AK1608" s="87" t="str">
        <x:v>master-v0.81</x:v>
      </x:c>
      <x:c r="AL1608" s="87" t="str">
        <x:v>statgrad_master_base_v0_81_final(2).xlsx</x:v>
      </x:c>
      <x:c r="AM1608" s="87" t="str">
        <x:v>MATH_Mar_Base_V8</x:v>
      </x:c>
      <x:c r="AN1608" s="87" t="n">
        <x:v>19</x:v>
      </x:c>
    </x:row>
    <x:row r="1609">
      <x:c r="A1609" s="87" t="n">
        <x:v>1608</x:v>
      </x:c>
      <x:c r="B1609" s="87" t="str">
        <x:v>MAR-MATH-B-V8-019</x:v>
      </x:c>
      <x:c r="C1609" s="87" t="str">
        <x:v>СтатГрад</x:v>
      </x:c>
      <x:c r="D1609" s="87" t="str">
        <x:v>Март 2026</x:v>
      </x:c>
      <x:c r="E1609" s="87"/>
      <x:c r="F1609" s="87"/>
      <x:c r="G1609" s="87" t="str">
        <x:v>Математика</x:v>
      </x:c>
      <x:c r="H1609" s="87" t="str">
        <x:v>Базовый</x:v>
      </x:c>
      <x:c r="I1609" s="87" t="str">
        <x:v>ТР №4</x:v>
      </x:c>
      <x:c r="J1609" s="87" t="str">
        <x:v>МА2510408</x:v>
      </x:c>
      <x:c r="K1609" s="87" t="n">
        <x:v>19</x:v>
      </x:c>
      <x:c r="L1609" s="87" t="str">
        <x:v>Цифровая запись числа</x:v>
      </x:c>
      <x:c r="M1609" s="30" t="str">
        <x:v>Найти четырёхзначное число, кратное 66, с различными чётными цифрами.</x:v>
      </x:c>
      <x:c r="N1609" s="30" t="str">
        <x:v>4620</x:v>
      </x:c>
      <x:c r="O1609" s="30" t="str">
        <x:v>4620=66·70; цифры 4, 6, 2, 0 различны и чётны.</x:v>
      </x:c>
      <x:c r="P1609" s="30" t="str">
        <x:v>Проверены делимость на 6 и 11.</x:v>
      </x:c>
      <x:c r="Q1609" s="30"/>
      <x:c r="R1609" s="30" t="str">
        <x:v>Официальный PDF архива + независимое решение + приложенный ключ</x:v>
      </x:c>
      <x:c r="S1609" s="30"/>
      <x:c r="T1609" s="30"/>
      <x:c r="U1609" s="30" t="str">
        <x:v>Допустим любой корректный пример.</x:v>
      </x:c>
      <x:c r="V1609" s="87" t="str">
        <x:v>VERIFIED</x:v>
      </x:c>
      <x:c r="W1609" s="87" t="str">
        <x:v>Официальный PDF</x:v>
      </x:c>
      <x:c r="X1609" s="87"/>
      <x:c r="Y1609" s="87"/>
      <x:c r="Z1609" s="87"/>
      <x:c r="AA1609" s="87"/>
      <x:c r="AB1609" s="87"/>
      <x:c r="AC1609" s="87"/>
      <x:c r="AD1609" s="87"/>
      <x:c r="AE1609" s="87"/>
      <x:c r="AF1609" s="87"/>
      <x:c r="AG1609" s="87"/>
      <x:c r="AH1609" s="87"/>
      <x:c r="AI1609" s="30"/>
      <x:c r="AJ1609" s="87" t="str">
        <x:v>master</x:v>
      </x:c>
      <x:c r="AK1609" s="87" t="str">
        <x:v>master-v0.81</x:v>
      </x:c>
      <x:c r="AL1609" s="87" t="str">
        <x:v>statgrad_master_base_v0_81_final(2).xlsx</x:v>
      </x:c>
      <x:c r="AM1609" s="87" t="str">
        <x:v>MATH_Mar_Base_V8</x:v>
      </x:c>
      <x:c r="AN1609" s="87" t="n">
        <x:v>20</x:v>
      </x:c>
    </x:row>
    <x:row r="1610">
      <x:c r="A1610" s="87" t="n">
        <x:v>1609</x:v>
      </x:c>
      <x:c r="B1610" s="87" t="str">
        <x:v>MAR-MATH-B-V8-020</x:v>
      </x:c>
      <x:c r="C1610" s="87" t="str">
        <x:v>СтатГрад</x:v>
      </x:c>
      <x:c r="D1610" s="87" t="str">
        <x:v>Март 2026</x:v>
      </x:c>
      <x:c r="E1610" s="87"/>
      <x:c r="F1610" s="87"/>
      <x:c r="G1610" s="87" t="str">
        <x:v>Математика</x:v>
      </x:c>
      <x:c r="H1610" s="87" t="str">
        <x:v>Базовый</x:v>
      </x:c>
      <x:c r="I1610" s="87" t="str">
        <x:v>ТР №4</x:v>
      </x:c>
      <x:c r="J1610" s="87" t="str">
        <x:v>МА2510408</x:v>
      </x:c>
      <x:c r="K1610" s="87" t="n">
        <x:v>20</x:v>
      </x:c>
      <x:c r="L1610" s="87" t="str">
        <x:v>Движение по прямой</x:v>
      </x:c>
      <x:c r="M1610" s="30" t="str">
        <x:v>Расстояние 780 км. Второй автомобиль выехал через час со скоростью 90 км/ч; встреча в 330 км от A. Найти скорость первого.</x:v>
      </x:c>
      <x:c r="N1610" s="30" t="str">
        <x:v>55</x:v>
      </x:c>
      <x:c r="O1610" s="30" t="str">
        <x:v>Второй прошёл 450 км за 5 часов; первый был в пути 6 часов и прошёл 330 км, поэтому скорость 55 км/ч.</x:v>
      </x:c>
      <x:c r="P1610" s="30" t="str">
        <x:v>Второй прошёл 450 км за 5 часов; первый был в пути 6 часов и прошёл 330 км, поэтому скорость 55 км/ч.</x:v>
      </x:c>
      <x:c r="Q1610" s="30"/>
      <x:c r="R1610" s="30" t="str">
        <x:v>Официальный PDF архива + независимое решение + приложенный ключ</x:v>
      </x:c>
      <x:c r="S1610" s="30"/>
      <x:c r="T1610" s="30"/>
      <x:c r="U1610" s="30" t="str">
        <x:v>Расхождений не обнаружено.</x:v>
      </x:c>
      <x:c r="V1610" s="87" t="str">
        <x:v>VERIFIED</x:v>
      </x:c>
      <x:c r="W1610" s="87" t="str">
        <x:v>Официальный PDF</x:v>
      </x:c>
      <x:c r="X1610" s="87"/>
      <x:c r="Y1610" s="87"/>
      <x:c r="Z1610" s="87"/>
      <x:c r="AA1610" s="87"/>
      <x:c r="AB1610" s="87"/>
      <x:c r="AC1610" s="87"/>
      <x:c r="AD1610" s="87"/>
      <x:c r="AE1610" s="87"/>
      <x:c r="AF1610" s="87"/>
      <x:c r="AG1610" s="87"/>
      <x:c r="AH1610" s="87"/>
      <x:c r="AI1610" s="30"/>
      <x:c r="AJ1610" s="87" t="str">
        <x:v>master</x:v>
      </x:c>
      <x:c r="AK1610" s="87" t="str">
        <x:v>master-v0.81</x:v>
      </x:c>
      <x:c r="AL1610" s="87" t="str">
        <x:v>statgrad_master_base_v0_81_final(2).xlsx</x:v>
      </x:c>
      <x:c r="AM1610" s="87" t="str">
        <x:v>MATH_Mar_Base_V8</x:v>
      </x:c>
      <x:c r="AN1610" s="87" t="n">
        <x:v>21</x:v>
      </x:c>
    </x:row>
    <x:row r="1611">
      <x:c r="A1611" s="87" t="n">
        <x:v>1610</x:v>
      </x:c>
      <x:c r="B1611" s="87" t="str">
        <x:v>MAR-MATH-B-V8-021</x:v>
      </x:c>
      <x:c r="C1611" s="87" t="str">
        <x:v>СтатГрад</x:v>
      </x:c>
      <x:c r="D1611" s="87" t="str">
        <x:v>Март 2026</x:v>
      </x:c>
      <x:c r="E1611" s="87"/>
      <x:c r="F1611" s="87"/>
      <x:c r="G1611" s="87" t="str">
        <x:v>Математика</x:v>
      </x:c>
      <x:c r="H1611" s="87" t="str">
        <x:v>Базовый</x:v>
      </x:c>
      <x:c r="I1611" s="87" t="str">
        <x:v>ТР №4</x:v>
      </x:c>
      <x:c r="J1611" s="87" t="str">
        <x:v>МА2510408</x:v>
      </x:c>
      <x:c r="K1611" s="87" t="n">
        <x:v>21</x:v>
      </x:c>
      <x:c r="L1611" s="87" t="str">
        <x:v>Задача на распилы</x:v>
      </x:c>
      <x:c r="M1611" s="30" t="str">
        <x:v>Сделали 13 поперечных распилов и получили 18 кусков. Найти исходное число досок.</x:v>
      </x:c>
      <x:c r="N1611" s="30" t="str">
        <x:v>5</x:v>
      </x:c>
      <x:c r="O1611" s="30" t="str">
        <x:v>Исходное число досок равно 18−13=5.</x:v>
      </x:c>
      <x:c r="P1611" s="30" t="str">
        <x:v>Исходное число досок равно 18−13=5.</x:v>
      </x:c>
      <x:c r="Q1611" s="30"/>
      <x:c r="R1611" s="30" t="str">
        <x:v>Официальный PDF архива + независимое решение + приложенный ключ</x:v>
      </x:c>
      <x:c r="S1611" s="30"/>
      <x:c r="T1611" s="30"/>
      <x:c r="U1611" s="30" t="str">
        <x:v>Расхождений не обнаружено.</x:v>
      </x:c>
      <x:c r="V1611" s="87" t="str">
        <x:v>VERIFIED</x:v>
      </x:c>
      <x:c r="W1611" s="87" t="str">
        <x:v>Официальный PDF</x:v>
      </x:c>
      <x:c r="X1611" s="87"/>
      <x:c r="Y1611" s="87"/>
      <x:c r="Z1611" s="87"/>
      <x:c r="AA1611" s="87"/>
      <x:c r="AB1611" s="87"/>
      <x:c r="AC1611" s="87"/>
      <x:c r="AD1611" s="87"/>
      <x:c r="AE1611" s="87"/>
      <x:c r="AF1611" s="87"/>
      <x:c r="AG1611" s="87"/>
      <x:c r="AH1611" s="87"/>
      <x:c r="AI1611" s="30"/>
      <x:c r="AJ1611" s="87" t="str">
        <x:v>master</x:v>
      </x:c>
      <x:c r="AK1611" s="87" t="str">
        <x:v>master-v0.81</x:v>
      </x:c>
      <x:c r="AL1611" s="87" t="str">
        <x:v>statgrad_master_base_v0_81_final(2).xlsx</x:v>
      </x:c>
      <x:c r="AM1611" s="87" t="str">
        <x:v>MATH_Mar_Base_V8</x:v>
      </x:c>
      <x:c r="AN1611" s="87" t="n">
        <x:v>22</x:v>
      </x:c>
    </x:row>
    <x:row r="1612">
      <x:c r="A1612" s="87" t="n">
        <x:v>1611</x:v>
      </x:c>
      <x:c r="B1612" s="87" t="str">
        <x:v>MAR-SOC-V1-001</x:v>
      </x:c>
      <x:c r="C1612" s="87" t="str">
        <x:v>СтатГрад</x:v>
      </x:c>
      <x:c r="D1612" s="87" t="str">
        <x:v>Март 2026</x:v>
      </x:c>
      <x:c r="E1612" s="87"/>
      <x:c r="F1612" s="87"/>
      <x:c r="G1612" s="87" t="str">
        <x:v>Обществознание</x:v>
      </x:c>
      <x:c r="H1612" s="87" t="n">
        <x:v>11</x:v>
      </x:c>
      <x:c r="I1612" s="87" t="str">
        <x:v>ТР №5</x:v>
      </x:c>
      <x:c r="J1612" s="87" t="str">
        <x:v>ОБ2510501</x:v>
      </x:c>
      <x:c r="K1612" s="87" t="n">
        <x:v>1</x:v>
      </x:c>
      <x:c r="L1612" s="87" t="str">
        <x:v>Социальные статусы</x:v>
      </x:c>
      <x:c r="M1612" s="30" t="str">
        <x:v>Из списка «мужчина, сын, военнослужащий, супруг, студент, отец» найти два понятия, выпадающих из ряда предписанных статусов.</x:v>
      </x:c>
      <x:c r="N1612" s="30" t="str">
        <x:v>12 (официальный ключ; условие противоречиво)</x:v>
      </x:c>
      <x:c r="O1612" s="30" t="str">
        <x:v>Мужчина и сын — как раз предписанные статусы, тогда как остальные четыре обычно достигаемые. Ключ 12 становится логичным только при замене слова «предписанному» на «достигаемому».</x:v>
      </x:c>
      <x:c r="P1612" s="30" t="str">
        <x:v>Буквальное условие не имеет корректного двухпозиционного ответа.</x:v>
      </x:c>
      <x:c r="Q1612" s="30"/>
      <x:c r="R1612"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12" s="30"/>
      <x:c r="T1612" s="30"/>
      <x:c r="U1612" s="30" t="str">
        <x:v>Вероятная опечатка в условии: «предписанному» должно быть «достигаемому».</x:v>
      </x:c>
      <x:c r="V1612" s="87" t="str">
        <x:v>KEY_MISMATCH</x:v>
      </x:c>
      <x:c r="W1612" s="87" t="str">
        <x:v>PDF A, стр. 2</x:v>
      </x:c>
      <x:c r="X1612" s="87"/>
      <x:c r="Y1612" s="87"/>
      <x:c r="Z1612" s="87"/>
      <x:c r="AA1612" s="87"/>
      <x:c r="AB1612" s="87"/>
      <x:c r="AC1612" s="87"/>
      <x:c r="AD1612" s="87"/>
      <x:c r="AE1612" s="87"/>
      <x:c r="AF1612" s="87"/>
      <x:c r="AG1612" s="87"/>
      <x:c r="AH1612" s="87"/>
      <x:c r="AI1612" s="30"/>
      <x:c r="AJ1612" s="87" t="str">
        <x:v>master</x:v>
      </x:c>
      <x:c r="AK1612" s="87" t="str">
        <x:v>master-v0.81</x:v>
      </x:c>
      <x:c r="AL1612" s="87" t="str">
        <x:v>statgrad_master_base_v0_81_final(2).xlsx</x:v>
      </x:c>
      <x:c r="AM1612" s="87" t="str">
        <x:v>SOC_Mar_V1</x:v>
      </x:c>
      <x:c r="AN1612" s="87" t="n">
        <x:v>2</x:v>
      </x:c>
    </x:row>
    <x:row r="1613">
      <x:c r="A1613" s="87" t="n">
        <x:v>1612</x:v>
      </x:c>
      <x:c r="B1613" s="87" t="str">
        <x:v>MAR-SOC-V1-002</x:v>
      </x:c>
      <x:c r="C1613" s="87" t="str">
        <x:v>СтатГрад</x:v>
      </x:c>
      <x:c r="D1613" s="87" t="str">
        <x:v>Март 2026</x:v>
      </x:c>
      <x:c r="E1613" s="87"/>
      <x:c r="F1613" s="87"/>
      <x:c r="G1613" s="87" t="str">
        <x:v>Обществознание</x:v>
      </x:c>
      <x:c r="H1613" s="87" t="n">
        <x:v>11</x:v>
      </x:c>
      <x:c r="I1613" s="87" t="str">
        <x:v>ТР №5</x:v>
      </x:c>
      <x:c r="J1613" s="87" t="str">
        <x:v>ОБ2510501</x:v>
      </x:c>
      <x:c r="K1613" s="87" t="n">
        <x:v>2</x:v>
      </x:c>
      <x:c r="L1613" s="87" t="str">
        <x:v>Культура и её типы</x:v>
      </x:c>
      <x:c r="M1613" s="30" t="str">
        <x:v>Выбрать верные суждения о культуре в узком смысле, материальной, массовой, элитарной и духовной культуре.</x:v>
      </x:c>
      <x:c r="N1613" s="30" t="str">
        <x:v>135</x:v>
      </x:c>
      <x:c r="O1613" s="30" t="str">
        <x:v>Верны определения культуры как творческой деятельности, возникновения массовой культуры в индустриальном обществе и включения религиозных и философских текстов в духовную культуру.</x:v>
      </x:c>
      <x:c r="P1613" s="30" t="str">
        <x:v>Материальная культура не охватывает буквально все предметы мира; элитарные произведения не являются, как правило, анонимными.</x:v>
      </x:c>
      <x:c r="Q1613" s="30"/>
      <x:c r="R1613"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13" s="30"/>
      <x:c r="T1613" s="30"/>
      <x:c r="U1613" s="30" t="str">
        <x:v>Расхождений не обнаружено.</x:v>
      </x:c>
      <x:c r="V1613" s="87" t="str">
        <x:v>VERIFIED</x:v>
      </x:c>
      <x:c r="W1613" s="87" t="str">
        <x:v>PDF A, стр. 2</x:v>
      </x:c>
      <x:c r="X1613" s="87"/>
      <x:c r="Y1613" s="87"/>
      <x:c r="Z1613" s="87"/>
      <x:c r="AA1613" s="87"/>
      <x:c r="AB1613" s="87"/>
      <x:c r="AC1613" s="87"/>
      <x:c r="AD1613" s="87"/>
      <x:c r="AE1613" s="87"/>
      <x:c r="AF1613" s="87"/>
      <x:c r="AG1613" s="87"/>
      <x:c r="AH1613" s="87"/>
      <x:c r="AI1613" s="30"/>
      <x:c r="AJ1613" s="87" t="str">
        <x:v>master</x:v>
      </x:c>
      <x:c r="AK1613" s="87" t="str">
        <x:v>master-v0.81</x:v>
      </x:c>
      <x:c r="AL1613" s="87" t="str">
        <x:v>statgrad_master_base_v0_81_final(2).xlsx</x:v>
      </x:c>
      <x:c r="AM1613" s="87" t="str">
        <x:v>SOC_Mar_V1</x:v>
      </x:c>
      <x:c r="AN1613" s="87" t="n">
        <x:v>3</x:v>
      </x:c>
    </x:row>
    <x:row r="1614">
      <x:c r="A1614" s="87" t="n">
        <x:v>1613</x:v>
      </x:c>
      <x:c r="B1614" s="87" t="str">
        <x:v>MAR-SOC-V1-003</x:v>
      </x:c>
      <x:c r="C1614" s="87" t="str">
        <x:v>СтатГрад</x:v>
      </x:c>
      <x:c r="D1614" s="87" t="str">
        <x:v>Март 2026</x:v>
      </x:c>
      <x:c r="E1614" s="87"/>
      <x:c r="F1614" s="87"/>
      <x:c r="G1614" s="87" t="str">
        <x:v>Обществознание</x:v>
      </x:c>
      <x:c r="H1614" s="87" t="n">
        <x:v>11</x:v>
      </x:c>
      <x:c r="I1614" s="87" t="str">
        <x:v>ТР №5</x:v>
      </x:c>
      <x:c r="J1614" s="87" t="str">
        <x:v>ОБ2510501</x:v>
      </x:c>
      <x:c r="K1614" s="87" t="n">
        <x:v>3</x:v>
      </x:c>
      <x:c r="L1614" s="87" t="str">
        <x:v>Формы познания</x:v>
      </x:c>
      <x:c r="M1614" s="30" t="str">
        <x:v>Соотнести суждение, представление, восприятие, умозаключение и понятие с чувственным или рациональным уровнем.</x:v>
      </x:c>
      <x:c r="N1614" s="30" t="str">
        <x:v>21122</x:v>
      </x:c>
      <x:c r="O1614" s="30" t="str">
        <x:v>Суждение, умозаключение и понятие относятся к рациональному познанию; представление и восприятие — к чувственному.</x:v>
      </x:c>
      <x:c r="P1614" s="30" t="str">
        <x:v>Суждение, умозаключение и понятие относятся к рациональному познанию; представление и восприятие — к чувственному.</x:v>
      </x:c>
      <x:c r="Q1614" s="30"/>
      <x:c r="R1614"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14" s="30"/>
      <x:c r="T1614" s="30"/>
      <x:c r="U1614" s="30" t="str">
        <x:v>Расхождений не обнаружено.</x:v>
      </x:c>
      <x:c r="V1614" s="87" t="str">
        <x:v>VERIFIED</x:v>
      </x:c>
      <x:c r="W1614" s="87" t="str">
        <x:v>Официальный PDF</x:v>
      </x:c>
      <x:c r="X1614" s="87"/>
      <x:c r="Y1614" s="87"/>
      <x:c r="Z1614" s="87"/>
      <x:c r="AA1614" s="87"/>
      <x:c r="AB1614" s="87"/>
      <x:c r="AC1614" s="87"/>
      <x:c r="AD1614" s="87"/>
      <x:c r="AE1614" s="87"/>
      <x:c r="AF1614" s="87"/>
      <x:c r="AG1614" s="87"/>
      <x:c r="AH1614" s="87"/>
      <x:c r="AI1614" s="30"/>
      <x:c r="AJ1614" s="87" t="str">
        <x:v>master</x:v>
      </x:c>
      <x:c r="AK1614" s="87" t="str">
        <x:v>master-v0.81</x:v>
      </x:c>
      <x:c r="AL1614" s="87" t="str">
        <x:v>statgrad_master_base_v0_81_final(2).xlsx</x:v>
      </x:c>
      <x:c r="AM1614" s="87" t="str">
        <x:v>SOC_Mar_V1</x:v>
      </x:c>
      <x:c r="AN1614" s="87" t="n">
        <x:v>4</x:v>
      </x:c>
    </x:row>
    <x:row r="1615">
      <x:c r="A1615" s="87" t="n">
        <x:v>1614</x:v>
      </x:c>
      <x:c r="B1615" s="87" t="str">
        <x:v>MAR-SOC-V1-004</x:v>
      </x:c>
      <x:c r="C1615" s="87" t="str">
        <x:v>СтатГрад</x:v>
      </x:c>
      <x:c r="D1615" s="87" t="str">
        <x:v>Март 2026</x:v>
      </x:c>
      <x:c r="E1615" s="87"/>
      <x:c r="F1615" s="87"/>
      <x:c r="G1615" s="87" t="str">
        <x:v>Обществознание</x:v>
      </x:c>
      <x:c r="H1615" s="87" t="n">
        <x:v>11</x:v>
      </x:c>
      <x:c r="I1615" s="87" t="str">
        <x:v>ТР №5</x:v>
      </x:c>
      <x:c r="J1615" s="87" t="str">
        <x:v>ОБ2510501</x:v>
      </x:c>
      <x:c r="K1615" s="87" t="n">
        <x:v>4</x:v>
      </x:c>
      <x:c r="L1615" s="87" t="str">
        <x:v>Структура деятельности</x:v>
      </x:c>
      <x:c r="M1615" s="30" t="str">
        <x:v>Определить возможные цели подготовки Алёны к выпускным экзаменам.</x:v>
      </x:c>
      <x:c r="N1615" s="30" t="str">
        <x:v>146</x:v>
      </x:c>
      <x:c r="O1615" s="30" t="str">
        <x:v>Поступление в университет, получение аттестата и повышение авторитета могут выступать целями; чтение и конкурсы — средства/действия, интерес — мотив.</x:v>
      </x:c>
      <x:c r="P1615" s="30" t="str">
        <x:v>Поступление в университет, получение аттестата и повышение авторитета могут выступать целями; чтение и конкурсы — средства/действия, интерес — мотив.</x:v>
      </x:c>
      <x:c r="Q1615" s="30"/>
      <x:c r="R1615"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15" s="30"/>
      <x:c r="T1615" s="30"/>
      <x:c r="U1615" s="30" t="str">
        <x:v>Расхождений не обнаружено.</x:v>
      </x:c>
      <x:c r="V1615" s="87" t="str">
        <x:v>VERIFIED</x:v>
      </x:c>
      <x:c r="W1615" s="87" t="str">
        <x:v>Официальный PDF</x:v>
      </x:c>
      <x:c r="X1615" s="87"/>
      <x:c r="Y1615" s="87"/>
      <x:c r="Z1615" s="87"/>
      <x:c r="AA1615" s="87"/>
      <x:c r="AB1615" s="87"/>
      <x:c r="AC1615" s="87"/>
      <x:c r="AD1615" s="87"/>
      <x:c r="AE1615" s="87"/>
      <x:c r="AF1615" s="87"/>
      <x:c r="AG1615" s="87"/>
      <x:c r="AH1615" s="87"/>
      <x:c r="AI1615" s="30"/>
      <x:c r="AJ1615" s="87" t="str">
        <x:v>master</x:v>
      </x:c>
      <x:c r="AK1615" s="87" t="str">
        <x:v>master-v0.81</x:v>
      </x:c>
      <x:c r="AL1615" s="87" t="str">
        <x:v>statgrad_master_base_v0_81_final(2).xlsx</x:v>
      </x:c>
      <x:c r="AM1615" s="87" t="str">
        <x:v>SOC_Mar_V1</x:v>
      </x:c>
      <x:c r="AN1615" s="87" t="n">
        <x:v>5</x:v>
      </x:c>
    </x:row>
    <x:row r="1616">
      <x:c r="A1616" s="87" t="n">
        <x:v>1615</x:v>
      </x:c>
      <x:c r="B1616" s="87" t="str">
        <x:v>MAR-SOC-V1-005</x:v>
      </x:c>
      <x:c r="C1616" s="87" t="str">
        <x:v>СтатГрад</x:v>
      </x:c>
      <x:c r="D1616" s="87" t="str">
        <x:v>Март 2026</x:v>
      </x:c>
      <x:c r="E1616" s="87"/>
      <x:c r="F1616" s="87"/>
      <x:c r="G1616" s="87" t="str">
        <x:v>Обществознание</x:v>
      </x:c>
      <x:c r="H1616" s="87" t="n">
        <x:v>11</x:v>
      </x:c>
      <x:c r="I1616" s="87" t="str">
        <x:v>ТР №5</x:v>
      </x:c>
      <x:c r="J1616" s="87" t="str">
        <x:v>ОБ2510501</x:v>
      </x:c>
      <x:c r="K1616" s="87" t="n">
        <x:v>5</x:v>
      </x:c>
      <x:c r="L1616" s="87" t="str">
        <x:v>Валовой внутренний продукт</x:v>
      </x:c>
      <x:c r="M1616" s="30" t="str">
        <x:v>Выбрать верные суждения о ВВП и реальном ВВП.</x:v>
      </x:c>
      <x:c r="N1616" s="30" t="str">
        <x:v>124</x:v>
      </x:c>
      <x:c r="O1616" s="30" t="str">
        <x:v>ВВП отражает стоимость конечных товаров и услуг, произведённых на территории страны; динамика реального ВВП используется как критерий экономического роста.</x:v>
      </x:c>
      <x:c r="P1616" s="30" t="str">
        <x:v>Финансовые сделки не включаются, а реальный ВВП рассчитывается с устранением влияния инфляции.</x:v>
      </x:c>
      <x:c r="Q1616" s="30"/>
      <x:c r="R1616"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16" s="30"/>
      <x:c r="T1616" s="30"/>
      <x:c r="U1616" s="30" t="str">
        <x:v>Расхождений не обнаружено.</x:v>
      </x:c>
      <x:c r="V1616" s="87" t="str">
        <x:v>VERIFIED</x:v>
      </x:c>
      <x:c r="W1616" s="87" t="str">
        <x:v>Официальный PDF</x:v>
      </x:c>
      <x:c r="X1616" s="87"/>
      <x:c r="Y1616" s="87"/>
      <x:c r="Z1616" s="87"/>
      <x:c r="AA1616" s="87"/>
      <x:c r="AB1616" s="87"/>
      <x:c r="AC1616" s="87"/>
      <x:c r="AD1616" s="87"/>
      <x:c r="AE1616" s="87"/>
      <x:c r="AF1616" s="87"/>
      <x:c r="AG1616" s="87"/>
      <x:c r="AH1616" s="87"/>
      <x:c r="AI1616" s="30"/>
      <x:c r="AJ1616" s="87" t="str">
        <x:v>master</x:v>
      </x:c>
      <x:c r="AK1616" s="87" t="str">
        <x:v>master-v0.81</x:v>
      </x:c>
      <x:c r="AL1616" s="87" t="str">
        <x:v>statgrad_master_base_v0_81_final(2).xlsx</x:v>
      </x:c>
      <x:c r="AM1616" s="87" t="str">
        <x:v>SOC_Mar_V1</x:v>
      </x:c>
      <x:c r="AN1616" s="87" t="n">
        <x:v>6</x:v>
      </x:c>
    </x:row>
    <x:row r="1617">
      <x:c r="A1617" s="87" t="n">
        <x:v>1616</x:v>
      </x:c>
      <x:c r="B1617" s="87" t="str">
        <x:v>MAR-SOC-V1-006</x:v>
      </x:c>
      <x:c r="C1617" s="87" t="str">
        <x:v>СтатГрад</x:v>
      </x:c>
      <x:c r="D1617" s="87" t="str">
        <x:v>Март 2026</x:v>
      </x:c>
      <x:c r="E1617" s="87"/>
      <x:c r="F1617" s="87"/>
      <x:c r="G1617" s="87" t="str">
        <x:v>Обществознание</x:v>
      </x:c>
      <x:c r="H1617" s="87" t="n">
        <x:v>11</x:v>
      </x:c>
      <x:c r="I1617" s="87" t="str">
        <x:v>ТР №5</x:v>
      </x:c>
      <x:c r="J1617" s="87" t="str">
        <x:v>ОБ2510501</x:v>
      </x:c>
      <x:c r="K1617" s="87" t="n">
        <x:v>6</x:v>
      </x:c>
      <x:c r="L1617" s="87" t="str">
        <x:v>Ценные бумаги</x:v>
      </x:c>
      <x:c r="M1617" s="30" t="str">
        <x:v>Соотнести характеристики чека, акции и облигации.</x:v>
      </x:c>
      <x:c r="N1617" s="30" t="str">
        <x:v>23231</x:v>
      </x:c>
      <x:c r="O1617" s="30" t="str">
        <x:v>Распоряжение банку и возможность выдачи физическими/юридическими лицами относятся к чеку; доход и управление — к акции; погашение номинала — к облигации.</x:v>
      </x:c>
      <x:c r="P1617" s="30" t="str">
        <x:v>Распоряжение банку и возможность выдачи физическими/юридическими лицами относятся к чеку; доход и управление — к акции; погашение номинала — к облигации.</x:v>
      </x:c>
      <x:c r="Q1617" s="30"/>
      <x:c r="R1617"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17" s="30"/>
      <x:c r="T1617" s="30"/>
      <x:c r="U1617" s="30" t="str">
        <x:v>Расхождений не обнаружено.</x:v>
      </x:c>
      <x:c r="V1617" s="87" t="str">
        <x:v>VERIFIED</x:v>
      </x:c>
      <x:c r="W1617" s="87" t="str">
        <x:v>Официальный PDF</x:v>
      </x:c>
      <x:c r="X1617" s="87"/>
      <x:c r="Y1617" s="87"/>
      <x:c r="Z1617" s="87"/>
      <x:c r="AA1617" s="87"/>
      <x:c r="AB1617" s="87"/>
      <x:c r="AC1617" s="87"/>
      <x:c r="AD1617" s="87"/>
      <x:c r="AE1617" s="87"/>
      <x:c r="AF1617" s="87"/>
      <x:c r="AG1617" s="87"/>
      <x:c r="AH1617" s="87"/>
      <x:c r="AI1617" s="30"/>
      <x:c r="AJ1617" s="87" t="str">
        <x:v>master</x:v>
      </x:c>
      <x:c r="AK1617" s="87" t="str">
        <x:v>master-v0.81</x:v>
      </x:c>
      <x:c r="AL1617" s="87" t="str">
        <x:v>statgrad_master_base_v0_81_final(2).xlsx</x:v>
      </x:c>
      <x:c r="AM1617" s="87" t="str">
        <x:v>SOC_Mar_V1</x:v>
      </x:c>
      <x:c r="AN1617" s="87" t="n">
        <x:v>7</x:v>
      </x:c>
    </x:row>
    <x:row r="1618">
      <x:c r="A1618" s="87" t="n">
        <x:v>1617</x:v>
      </x:c>
      <x:c r="B1618" s="87" t="str">
        <x:v>MAR-SOC-V1-007</x:v>
      </x:c>
      <x:c r="C1618" s="87" t="str">
        <x:v>СтатГрад</x:v>
      </x:c>
      <x:c r="D1618" s="87" t="str">
        <x:v>Март 2026</x:v>
      </x:c>
      <x:c r="E1618" s="87"/>
      <x:c r="F1618" s="87"/>
      <x:c r="G1618" s="87" t="str">
        <x:v>Обществознание</x:v>
      </x:c>
      <x:c r="H1618" s="87" t="n">
        <x:v>11</x:v>
      </x:c>
      <x:c r="I1618" s="87" t="str">
        <x:v>ТР №5</x:v>
      </x:c>
      <x:c r="J1618" s="87" t="str">
        <x:v>ОБ2510501</x:v>
      </x:c>
      <x:c r="K1618" s="87" t="n">
        <x:v>7</x:v>
      </x:c>
      <x:c r="L1618" s="87" t="str">
        <x:v>Безработица</x:v>
      </x:c>
      <x:c r="M1618" s="30" t="str">
        <x:v>Выбрать меры, прямо направленные на снижение безработицы.</x:v>
      </x:c>
      <x:c r="N1618" s="30" t="str">
        <x:v>235</x:v>
      </x:c>
      <x:c r="O1618" s="30" t="str">
        <x:v>Переподготовка, служба занятости и снижение налоговой нагрузки на труд способствуют найму; повышение налога и бесплатные столовые проблему занятости напрямую не решают.</x:v>
      </x:c>
      <x:c r="P1618" s="30" t="str">
        <x:v>Переподготовка, служба занятости и снижение налоговой нагрузки на труд способствуют найму; повышение налога и бесплатные столовые проблему занятости напрямую не решают.</x:v>
      </x:c>
      <x:c r="Q1618" s="30"/>
      <x:c r="R1618"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18" s="30"/>
      <x:c r="T1618" s="30"/>
      <x:c r="U1618" s="30" t="str">
        <x:v>Расхождений не обнаружено.</x:v>
      </x:c>
      <x:c r="V1618" s="87" t="str">
        <x:v>VERIFIED</x:v>
      </x:c>
      <x:c r="W1618" s="87" t="str">
        <x:v>Официальный PDF</x:v>
      </x:c>
      <x:c r="X1618" s="87"/>
      <x:c r="Y1618" s="87"/>
      <x:c r="Z1618" s="87"/>
      <x:c r="AA1618" s="87"/>
      <x:c r="AB1618" s="87"/>
      <x:c r="AC1618" s="87"/>
      <x:c r="AD1618" s="87"/>
      <x:c r="AE1618" s="87"/>
      <x:c r="AF1618" s="87"/>
      <x:c r="AG1618" s="87"/>
      <x:c r="AH1618" s="87"/>
      <x:c r="AI1618" s="30"/>
      <x:c r="AJ1618" s="87" t="str">
        <x:v>master</x:v>
      </x:c>
      <x:c r="AK1618" s="87" t="str">
        <x:v>master-v0.81</x:v>
      </x:c>
      <x:c r="AL1618" s="87" t="str">
        <x:v>statgrad_master_base_v0_81_final(2).xlsx</x:v>
      </x:c>
      <x:c r="AM1618" s="87" t="str">
        <x:v>SOC_Mar_V1</x:v>
      </x:c>
      <x:c r="AN1618" s="87" t="n">
        <x:v>8</x:v>
      </x:c>
    </x:row>
    <x:row r="1619">
      <x:c r="A1619" s="87" t="n">
        <x:v>1618</x:v>
      </x:c>
      <x:c r="B1619" s="87" t="str">
        <x:v>MAR-SOC-V1-008</x:v>
      </x:c>
      <x:c r="C1619" s="87" t="str">
        <x:v>СтатГрад</x:v>
      </x:c>
      <x:c r="D1619" s="87" t="str">
        <x:v>Март 2026</x:v>
      </x:c>
      <x:c r="E1619" s="87"/>
      <x:c r="F1619" s="87"/>
      <x:c r="G1619" s="87" t="str">
        <x:v>Обществознание</x:v>
      </x:c>
      <x:c r="H1619" s="87" t="n">
        <x:v>11</x:v>
      </x:c>
      <x:c r="I1619" s="87" t="str">
        <x:v>ТР №5</x:v>
      </x:c>
      <x:c r="J1619" s="87" t="str">
        <x:v>ОБ2510501</x:v>
      </x:c>
      <x:c r="K1619" s="87" t="n">
        <x:v>8</x:v>
      </x:c>
      <x:c r="L1619" s="87" t="str">
        <x:v>Социальные группы</x:v>
      </x:c>
      <x:c r="M1619" s="30" t="str">
        <x:v>Выбрать верные суждения о малых, формальных и номинальных группах.</x:v>
      </x:c>
      <x:c r="N1619" s="30" t="str">
        <x:v>234</x:v>
      </x:c>
      <x:c r="O1619" s="30" t="str">
        <x:v>В малой группе есть непосредственное взаимодействие, школьный класс формален, номинальные группы создаются исследователями.</x:v>
      </x:c>
      <x:c r="P1619" s="30" t="str">
        <x:v>Общий признак сам по себе не всегда создаёт реальную группу; членство не всегда является сознательным выбором.</x:v>
      </x:c>
      <x:c r="Q1619" s="30"/>
      <x:c r="R1619"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19" s="30"/>
      <x:c r="T1619" s="30"/>
      <x:c r="U1619" s="30" t="str">
        <x:v>Расхождений не обнаружено.</x:v>
      </x:c>
      <x:c r="V1619" s="87" t="str">
        <x:v>VERIFIED</x:v>
      </x:c>
      <x:c r="W1619" s="87" t="str">
        <x:v>Официальный PDF</x:v>
      </x:c>
      <x:c r="X1619" s="87"/>
      <x:c r="Y1619" s="87"/>
      <x:c r="Z1619" s="87"/>
      <x:c r="AA1619" s="87"/>
      <x:c r="AB1619" s="87"/>
      <x:c r="AC1619" s="87"/>
      <x:c r="AD1619" s="87"/>
      <x:c r="AE1619" s="87"/>
      <x:c r="AF1619" s="87"/>
      <x:c r="AG1619" s="87"/>
      <x:c r="AH1619" s="87"/>
      <x:c r="AI1619" s="30"/>
      <x:c r="AJ1619" s="87" t="str">
        <x:v>master</x:v>
      </x:c>
      <x:c r="AK1619" s="87" t="str">
        <x:v>master-v0.81</x:v>
      </x:c>
      <x:c r="AL1619" s="87" t="str">
        <x:v>statgrad_master_base_v0_81_final(2).xlsx</x:v>
      </x:c>
      <x:c r="AM1619" s="87" t="str">
        <x:v>SOC_Mar_V1</x:v>
      </x:c>
      <x:c r="AN1619" s="87" t="n">
        <x:v>9</x:v>
      </x:c>
    </x:row>
    <x:row r="1620">
      <x:c r="A1620" s="87" t="n">
        <x:v>1619</x:v>
      </x:c>
      <x:c r="B1620" s="87" t="str">
        <x:v>MAR-SOC-V1-009</x:v>
      </x:c>
      <x:c r="C1620" s="87" t="str">
        <x:v>СтатГрад</x:v>
      </x:c>
      <x:c r="D1620" s="87" t="str">
        <x:v>Март 2026</x:v>
      </x:c>
      <x:c r="E1620" s="87"/>
      <x:c r="F1620" s="87"/>
      <x:c r="G1620" s="87" t="str">
        <x:v>Обществознание</x:v>
      </x:c>
      <x:c r="H1620" s="87" t="n">
        <x:v>11</x:v>
      </x:c>
      <x:c r="I1620" s="87" t="str">
        <x:v>ТР №5</x:v>
      </x:c>
      <x:c r="J1620" s="87" t="str">
        <x:v>ОБ2510501</x:v>
      </x:c>
      <x:c r="K1620" s="87" t="n">
        <x:v>9</x:v>
      </x:c>
      <x:c r="L1620" s="87" t="str">
        <x:v>Анализ диаграммы</x:v>
      </x:c>
      <x:c r="M1620" s="30" t="str">
        <x:v>По опросу мужчин и женщин о причинах отказа от бизнеса выбрать корректные выводы.</x:v>
      </x:c>
      <x:c r="N1620" s="30" t="str">
        <x:v>245</x:v>
      </x:c>
      <x:c r="O1620" s="30" t="str">
        <x:v>У мужчин минимальна боязнь потерять свободное время; страх убытков у мужчин выше; у женщин минимально нежелание жить в постоянном стрессе.</x:v>
      </x:c>
      <x:c r="P1620" s="30" t="str">
        <x:v>Высоты всех шести столбцов для обеих групп проверены визуально.</x:v>
      </x:c>
      <x:c r="Q1620" s="30"/>
      <x:c r="R1620"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20" s="30"/>
      <x:c r="T1620" s="30"/>
      <x:c r="U1620" s="30" t="str">
        <x:v>Расхождений не обнаружено.</x:v>
      </x:c>
      <x:c r="V1620" s="87" t="str">
        <x:v>VERIFIED</x:v>
      </x:c>
      <x:c r="W1620" s="87" t="str">
        <x:v>PDF A, стр. 6</x:v>
      </x:c>
      <x:c r="X1620" s="87"/>
      <x:c r="Y1620" s="87"/>
      <x:c r="Z1620" s="87"/>
      <x:c r="AA1620" s="87"/>
      <x:c r="AB1620" s="87"/>
      <x:c r="AC1620" s="87"/>
      <x:c r="AD1620" s="87"/>
      <x:c r="AE1620" s="87"/>
      <x:c r="AF1620" s="87"/>
      <x:c r="AG1620" s="87"/>
      <x:c r="AH1620" s="87"/>
      <x:c r="AI1620" s="30"/>
      <x:c r="AJ1620" s="87" t="str">
        <x:v>master</x:v>
      </x:c>
      <x:c r="AK1620" s="87" t="str">
        <x:v>master-v0.81</x:v>
      </x:c>
      <x:c r="AL1620" s="87" t="str">
        <x:v>statgrad_master_base_v0_81_final(2).xlsx</x:v>
      </x:c>
      <x:c r="AM1620" s="87" t="str">
        <x:v>SOC_Mar_V1</x:v>
      </x:c>
      <x:c r="AN1620" s="87" t="n">
        <x:v>10</x:v>
      </x:c>
    </x:row>
    <x:row r="1621">
      <x:c r="A1621" s="87" t="n">
        <x:v>1620</x:v>
      </x:c>
      <x:c r="B1621" s="87" t="str">
        <x:v>MAR-SOC-V1-010</x:v>
      </x:c>
      <x:c r="C1621" s="87" t="str">
        <x:v>СтатГрад</x:v>
      </x:c>
      <x:c r="D1621" s="87" t="str">
        <x:v>Март 2026</x:v>
      </x:c>
      <x:c r="E1621" s="87"/>
      <x:c r="F1621" s="87"/>
      <x:c r="G1621" s="87" t="str">
        <x:v>Обществознание</x:v>
      </x:c>
      <x:c r="H1621" s="87" t="n">
        <x:v>11</x:v>
      </x:c>
      <x:c r="I1621" s="87" t="str">
        <x:v>ТР №5</x:v>
      </x:c>
      <x:c r="J1621" s="87" t="str">
        <x:v>ОБ2510501</x:v>
      </x:c>
      <x:c r="K1621" s="87" t="n">
        <x:v>10</x:v>
      </x:c>
      <x:c r="L1621" s="87" t="str">
        <x:v>Политическая власть</x:v>
      </x:c>
      <x:c r="M1621" s="30" t="str">
        <x:v>Выбрать верные суждения о функциях, легитимности и масштабе политической власти.</x:v>
      </x:c>
      <x:c r="N1621" s="30" t="str">
        <x:v>134</x:v>
      </x:c>
      <x:c r="O1621" s="30" t="str">
        <x:v>Политическая власть определяет цели развития, признаётся легитимной при общественном признании и действует от имени общества.</x:v>
      </x:c>
      <x:c r="P1621" s="30" t="str">
        <x:v>Она использует не только принуждение и в недемократических режимах не всегда ограничена правом.</x:v>
      </x:c>
      <x:c r="Q1621" s="30"/>
      <x:c r="R1621"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21" s="30"/>
      <x:c r="T1621" s="30"/>
      <x:c r="U1621" s="30" t="str">
        <x:v>Расхождений не обнаружено.</x:v>
      </x:c>
      <x:c r="V1621" s="87" t="str">
        <x:v>VERIFIED</x:v>
      </x:c>
      <x:c r="W1621" s="87" t="str">
        <x:v>Официальный PDF</x:v>
      </x:c>
      <x:c r="X1621" s="87"/>
      <x:c r="Y1621" s="87"/>
      <x:c r="Z1621" s="87"/>
      <x:c r="AA1621" s="87"/>
      <x:c r="AB1621" s="87"/>
      <x:c r="AC1621" s="87"/>
      <x:c r="AD1621" s="87"/>
      <x:c r="AE1621" s="87"/>
      <x:c r="AF1621" s="87"/>
      <x:c r="AG1621" s="87"/>
      <x:c r="AH1621" s="87"/>
      <x:c r="AI1621" s="30"/>
      <x:c r="AJ1621" s="87" t="str">
        <x:v>master</x:v>
      </x:c>
      <x:c r="AK1621" s="87" t="str">
        <x:v>master-v0.81</x:v>
      </x:c>
      <x:c r="AL1621" s="87" t="str">
        <x:v>statgrad_master_base_v0_81_final(2).xlsx</x:v>
      </x:c>
      <x:c r="AM1621" s="87" t="str">
        <x:v>SOC_Mar_V1</x:v>
      </x:c>
      <x:c r="AN1621" s="87" t="n">
        <x:v>11</x:v>
      </x:c>
    </x:row>
    <x:row r="1622">
      <x:c r="A1622" s="87" t="n">
        <x:v>1621</x:v>
      </x:c>
      <x:c r="B1622" s="87" t="str">
        <x:v>MAR-SOC-V1-011</x:v>
      </x:c>
      <x:c r="C1622" s="87" t="str">
        <x:v>СтатГрад</x:v>
      </x:c>
      <x:c r="D1622" s="87" t="str">
        <x:v>Март 2026</x:v>
      </x:c>
      <x:c r="E1622" s="87"/>
      <x:c r="F1622" s="87"/>
      <x:c r="G1622" s="87" t="str">
        <x:v>Обществознание</x:v>
      </x:c>
      <x:c r="H1622" s="87" t="n">
        <x:v>11</x:v>
      </x:c>
      <x:c r="I1622" s="87" t="str">
        <x:v>ТР №5</x:v>
      </x:c>
      <x:c r="J1622" s="87" t="str">
        <x:v>ОБ2510501</x:v>
      </x:c>
      <x:c r="K1622" s="87" t="n">
        <x:v>11</x:v>
      </x:c>
      <x:c r="L1622" s="87" t="str">
        <x:v>Форма правления</x:v>
      </x:c>
      <x:c r="M1622" s="30" t="str">
        <x:v>Выбрать признаки монархической формы правления в унитарном государстве Z.</x:v>
      </x:c>
      <x:c r="N1622" s="30" t="str">
        <x:v>125</x:v>
      </x:c>
      <x:c r="O1622" s="30" t="str">
        <x:v>Монарх осуществляет полномочия пожизненно и наследует власть; парламентское формирование правительства характеризует парламентскую монархию.</x:v>
      </x:c>
      <x:c r="P1622" s="30" t="str">
        <x:v>Признаки унитарности и режима не относятся непосредственно к форме правления.</x:v>
      </x:c>
      <x:c r="Q1622" s="30"/>
      <x:c r="R1622"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22" s="30"/>
      <x:c r="T1622" s="30"/>
      <x:c r="U1622" s="30" t="str">
        <x:v>Расхождений не обнаружено.</x:v>
      </x:c>
      <x:c r="V1622" s="87" t="str">
        <x:v>VERIFIED</x:v>
      </x:c>
      <x:c r="W1622" s="87" t="str">
        <x:v>Официальный PDF</x:v>
      </x:c>
      <x:c r="X1622" s="87"/>
      <x:c r="Y1622" s="87"/>
      <x:c r="Z1622" s="87"/>
      <x:c r="AA1622" s="87"/>
      <x:c r="AB1622" s="87"/>
      <x:c r="AC1622" s="87"/>
      <x:c r="AD1622" s="87"/>
      <x:c r="AE1622" s="87"/>
      <x:c r="AF1622" s="87"/>
      <x:c r="AG1622" s="87"/>
      <x:c r="AH1622" s="87"/>
      <x:c r="AI1622" s="30"/>
      <x:c r="AJ1622" s="87" t="str">
        <x:v>master</x:v>
      </x:c>
      <x:c r="AK1622" s="87" t="str">
        <x:v>master-v0.81</x:v>
      </x:c>
      <x:c r="AL1622" s="87" t="str">
        <x:v>statgrad_master_base_v0_81_final(2).xlsx</x:v>
      </x:c>
      <x:c r="AM1622" s="87" t="str">
        <x:v>SOC_Mar_V1</x:v>
      </x:c>
      <x:c r="AN1622" s="87" t="n">
        <x:v>12</x:v>
      </x:c>
    </x:row>
    <x:row r="1623">
      <x:c r="A1623" s="87" t="n">
        <x:v>1622</x:v>
      </x:c>
      <x:c r="B1623" s="87" t="str">
        <x:v>MAR-SOC-V1-012</x:v>
      </x:c>
      <x:c r="C1623" s="87" t="str">
        <x:v>СтатГрад</x:v>
      </x:c>
      <x:c r="D1623" s="87" t="str">
        <x:v>Март 2026</x:v>
      </x:c>
      <x:c r="E1623" s="87"/>
      <x:c r="F1623" s="87"/>
      <x:c r="G1623" s="87" t="str">
        <x:v>Обществознание</x:v>
      </x:c>
      <x:c r="H1623" s="87" t="n">
        <x:v>11</x:v>
      </x:c>
      <x:c r="I1623" s="87" t="str">
        <x:v>ТР №5</x:v>
      </x:c>
      <x:c r="J1623" s="87" t="str">
        <x:v>ОБ2510501</x:v>
      </x:c>
      <x:c r="K1623" s="87" t="n">
        <x:v>12</x:v>
      </x:c>
      <x:c r="L1623" s="87" t="str">
        <x:v>Конституционные права</x:v>
      </x:c>
      <x:c r="M1623" s="30" t="str">
        <x:v>Выбрать политические права граждан РФ.</x:v>
      </x:c>
      <x:c r="N1623" s="30" t="str">
        <x:v>145</x:v>
      </x:c>
      <x:c r="O1623" s="30" t="str">
        <x:v>Участие в управлении, избирательные права и свобода собраний относятся к политическим правам; личная неприкосновенность и тайна переписки — личные права.</x:v>
      </x:c>
      <x:c r="P1623" s="30" t="str">
        <x:v>Участие в управлении, избирательные права и свобода собраний относятся к политическим правам; личная неприкосновенность и тайна переписки — личные права.</x:v>
      </x:c>
      <x:c r="Q1623" s="30"/>
      <x:c r="R1623"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23" s="30"/>
      <x:c r="T1623" s="30"/>
      <x:c r="U1623" s="30" t="str">
        <x:v>Расхождений не обнаружено.</x:v>
      </x:c>
      <x:c r="V1623" s="87" t="str">
        <x:v>VERIFIED</x:v>
      </x:c>
      <x:c r="W1623" s="87" t="str">
        <x:v>Официальный PDF</x:v>
      </x:c>
      <x:c r="X1623" s="87"/>
      <x:c r="Y1623" s="87"/>
      <x:c r="Z1623" s="87"/>
      <x:c r="AA1623" s="87"/>
      <x:c r="AB1623" s="87"/>
      <x:c r="AC1623" s="87"/>
      <x:c r="AD1623" s="87"/>
      <x:c r="AE1623" s="87"/>
      <x:c r="AF1623" s="87"/>
      <x:c r="AG1623" s="87"/>
      <x:c r="AH1623" s="87"/>
      <x:c r="AI1623" s="30"/>
      <x:c r="AJ1623" s="87" t="str">
        <x:v>master</x:v>
      </x:c>
      <x:c r="AK1623" s="87" t="str">
        <x:v>master-v0.81</x:v>
      </x:c>
      <x:c r="AL1623" s="87" t="str">
        <x:v>statgrad_master_base_v0_81_final(2).xlsx</x:v>
      </x:c>
      <x:c r="AM1623" s="87" t="str">
        <x:v>SOC_Mar_V1</x:v>
      </x:c>
      <x:c r="AN1623" s="87" t="n">
        <x:v>13</x:v>
      </x:c>
    </x:row>
    <x:row r="1624">
      <x:c r="A1624" s="87" t="n">
        <x:v>1623</x:v>
      </x:c>
      <x:c r="B1624" s="87" t="str">
        <x:v>MAR-SOC-V1-013</x:v>
      </x:c>
      <x:c r="C1624" s="87" t="str">
        <x:v>СтатГрад</x:v>
      </x:c>
      <x:c r="D1624" s="87" t="str">
        <x:v>Март 2026</x:v>
      </x:c>
      <x:c r="E1624" s="87"/>
      <x:c r="F1624" s="87"/>
      <x:c r="G1624" s="87" t="str">
        <x:v>Обществознание</x:v>
      </x:c>
      <x:c r="H1624" s="87" t="n">
        <x:v>11</x:v>
      </x:c>
      <x:c r="I1624" s="87" t="str">
        <x:v>ТР №5</x:v>
      </x:c>
      <x:c r="J1624" s="87" t="str">
        <x:v>ОБ2510501</x:v>
      </x:c>
      <x:c r="K1624" s="87" t="n">
        <x:v>13</x:v>
      </x:c>
      <x:c r="L1624" s="87" t="str">
        <x:v>Субъекты РФ</x:v>
      </x:c>
      <x:c r="M1624" s="30" t="str">
        <x:v>Соотнести полномочия республики, области и обоих видов субъектов.</x:v>
      </x:c>
      <x:c r="N1624" s="30" t="str">
        <x:v>23311</x:v>
      </x:c>
      <x:c r="O1624" s="30" t="str">
        <x:v>Область принимает устав; законы и организация органов власти относятся к обоим; республика принимает конституцию и устанавливает государственные языки.</x:v>
      </x:c>
      <x:c r="P1624" s="30" t="str">
        <x:v>Область принимает устав; законы и организация органов власти относятся к обоим; республика принимает конституцию и устанавливает государственные языки.</x:v>
      </x:c>
      <x:c r="Q1624" s="30"/>
      <x:c r="R1624"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24" s="30"/>
      <x:c r="T1624" s="30"/>
      <x:c r="U1624" s="30" t="str">
        <x:v>Расхождений не обнаружено.</x:v>
      </x:c>
      <x:c r="V1624" s="87" t="str">
        <x:v>VERIFIED</x:v>
      </x:c>
      <x:c r="W1624" s="87" t="str">
        <x:v>Официальный PDF</x:v>
      </x:c>
      <x:c r="X1624" s="87"/>
      <x:c r="Y1624" s="87"/>
      <x:c r="Z1624" s="87"/>
      <x:c r="AA1624" s="87"/>
      <x:c r="AB1624" s="87"/>
      <x:c r="AC1624" s="87"/>
      <x:c r="AD1624" s="87"/>
      <x:c r="AE1624" s="87"/>
      <x:c r="AF1624" s="87"/>
      <x:c r="AG1624" s="87"/>
      <x:c r="AH1624" s="87"/>
      <x:c r="AI1624" s="30"/>
      <x:c r="AJ1624" s="87" t="str">
        <x:v>master</x:v>
      </x:c>
      <x:c r="AK1624" s="87" t="str">
        <x:v>master-v0.81</x:v>
      </x:c>
      <x:c r="AL1624" s="87" t="str">
        <x:v>statgrad_master_base_v0_81_final(2).xlsx</x:v>
      </x:c>
      <x:c r="AM1624" s="87" t="str">
        <x:v>SOC_Mar_V1</x:v>
      </x:c>
      <x:c r="AN1624" s="87" t="n">
        <x:v>14</x:v>
      </x:c>
    </x:row>
    <x:row r="1625">
      <x:c r="A1625" s="87" t="n">
        <x:v>1624</x:v>
      </x:c>
      <x:c r="B1625" s="87" t="str">
        <x:v>MAR-SOC-V1-014</x:v>
      </x:c>
      <x:c r="C1625" s="87" t="str">
        <x:v>СтатГрад</x:v>
      </x:c>
      <x:c r="D1625" s="87" t="str">
        <x:v>Март 2026</x:v>
      </x:c>
      <x:c r="E1625" s="87"/>
      <x:c r="F1625" s="87"/>
      <x:c r="G1625" s="87" t="str">
        <x:v>Обществознание</x:v>
      </x:c>
      <x:c r="H1625" s="87" t="n">
        <x:v>11</x:v>
      </x:c>
      <x:c r="I1625" s="87" t="str">
        <x:v>ТР №5</x:v>
      </x:c>
      <x:c r="J1625" s="87" t="str">
        <x:v>ОБ2510501</x:v>
      </x:c>
      <x:c r="K1625" s="87" t="n">
        <x:v>14</x:v>
      </x:c>
      <x:c r="L1625" s="87" t="str">
        <x:v>Гражданский процесс</x:v>
      </x:c>
      <x:c r="M1625" s="30" t="str">
        <x:v>Выбрать верные суждения о сторонах, примирении и представительстве в гражданском процессе.</x:v>
      </x:c>
      <x:c r="N1625" s="30" t="str">
        <x:v>134</x:v>
      </x:c>
      <x:c r="O1625" s="30" t="str">
        <x:v>Истец и ответчик являются сторонами, примирение возможно, стороны вправе действовать через представителей.</x:v>
      </x:c>
      <x:c r="P1625" s="30" t="str">
        <x:v>Прокурор участвует не всегда; административные дела регулируются отдельным судопроизводством.</x:v>
      </x:c>
      <x:c r="Q1625" s="30"/>
      <x:c r="R1625"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25" s="30"/>
      <x:c r="T1625" s="30"/>
      <x:c r="U1625" s="30" t="str">
        <x:v>Расхождений не обнаружено.</x:v>
      </x:c>
      <x:c r="V1625" s="87" t="str">
        <x:v>VERIFIED</x:v>
      </x:c>
      <x:c r="W1625" s="87" t="str">
        <x:v>Официальный PDF</x:v>
      </x:c>
      <x:c r="X1625" s="87"/>
      <x:c r="Y1625" s="87"/>
      <x:c r="Z1625" s="87"/>
      <x:c r="AA1625" s="87"/>
      <x:c r="AB1625" s="87"/>
      <x:c r="AC1625" s="87"/>
      <x:c r="AD1625" s="87"/>
      <x:c r="AE1625" s="87"/>
      <x:c r="AF1625" s="87"/>
      <x:c r="AG1625" s="87"/>
      <x:c r="AH1625" s="87"/>
      <x:c r="AI1625" s="30"/>
      <x:c r="AJ1625" s="87" t="str">
        <x:v>master</x:v>
      </x:c>
      <x:c r="AK1625" s="87" t="str">
        <x:v>master-v0.81</x:v>
      </x:c>
      <x:c r="AL1625" s="87" t="str">
        <x:v>statgrad_master_base_v0_81_final(2).xlsx</x:v>
      </x:c>
      <x:c r="AM1625" s="87" t="str">
        <x:v>SOC_Mar_V1</x:v>
      </x:c>
      <x:c r="AN1625" s="87" t="n">
        <x:v>15</x:v>
      </x:c>
    </x:row>
    <x:row r="1626">
      <x:c r="A1626" s="87" t="n">
        <x:v>1625</x:v>
      </x:c>
      <x:c r="B1626" s="87" t="str">
        <x:v>MAR-SOC-V1-015</x:v>
      </x:c>
      <x:c r="C1626" s="87" t="str">
        <x:v>СтатГрад</x:v>
      </x:c>
      <x:c r="D1626" s="87" t="str">
        <x:v>Март 2026</x:v>
      </x:c>
      <x:c r="E1626" s="87"/>
      <x:c r="F1626" s="87"/>
      <x:c r="G1626" s="87" t="str">
        <x:v>Обществознание</x:v>
      </x:c>
      <x:c r="H1626" s="87" t="n">
        <x:v>11</x:v>
      </x:c>
      <x:c r="I1626" s="87" t="str">
        <x:v>ТР №5</x:v>
      </x:c>
      <x:c r="J1626" s="87" t="str">
        <x:v>ОБ2510501</x:v>
      </x:c>
      <x:c r="K1626" s="87" t="n">
        <x:v>15</x:v>
      </x:c>
      <x:c r="L1626" s="87" t="str">
        <x:v>Юридическая ответственность</x:v>
      </x:c>
      <x:c r="M1626" s="30" t="str">
        <x:v>Соотнести неустойку, дисквалификацию, выговор, обязательные работы и возмещение убытков с видами ответственности.</x:v>
      </x:c>
      <x:c r="N1626" s="30" t="str">
        <x:v>13231</x:v>
      </x:c>
      <x:c r="O1626" s="30" t="str">
        <x:v>Неустойка и убытки — гражданско-правовые меры; дисквалификация и обязательные работы — административные; выговор — дисциплинарный.</x:v>
      </x:c>
      <x:c r="P1626" s="30" t="str">
        <x:v>Неустойка и убытки — гражданско-правовые меры; дисквалификация и обязательные работы — административные; выговор — дисциплинарный.</x:v>
      </x:c>
      <x:c r="Q1626" s="30"/>
      <x:c r="R1626"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26" s="30"/>
      <x:c r="T1626" s="30"/>
      <x:c r="U1626" s="30" t="str">
        <x:v>Расхождений не обнаружено.</x:v>
      </x:c>
      <x:c r="V1626" s="87" t="str">
        <x:v>VERIFIED</x:v>
      </x:c>
      <x:c r="W1626" s="87" t="str">
        <x:v>Официальный PDF</x:v>
      </x:c>
      <x:c r="X1626" s="87"/>
      <x:c r="Y1626" s="87"/>
      <x:c r="Z1626" s="87"/>
      <x:c r="AA1626" s="87"/>
      <x:c r="AB1626" s="87"/>
      <x:c r="AC1626" s="87"/>
      <x:c r="AD1626" s="87"/>
      <x:c r="AE1626" s="87"/>
      <x:c r="AF1626" s="87"/>
      <x:c r="AG1626" s="87"/>
      <x:c r="AH1626" s="87"/>
      <x:c r="AI1626" s="30"/>
      <x:c r="AJ1626" s="87" t="str">
        <x:v>master</x:v>
      </x:c>
      <x:c r="AK1626" s="87" t="str">
        <x:v>master-v0.81</x:v>
      </x:c>
      <x:c r="AL1626" s="87" t="str">
        <x:v>statgrad_master_base_v0_81_final(2).xlsx</x:v>
      </x:c>
      <x:c r="AM1626" s="87" t="str">
        <x:v>SOC_Mar_V1</x:v>
      </x:c>
      <x:c r="AN1626" s="87" t="n">
        <x:v>16</x:v>
      </x:c>
    </x:row>
    <x:row r="1627">
      <x:c r="A1627" s="87" t="n">
        <x:v>1626</x:v>
      </x:c>
      <x:c r="B1627" s="87" t="str">
        <x:v>MAR-SOC-V1-016</x:v>
      </x:c>
      <x:c r="C1627" s="87" t="str">
        <x:v>СтатГрад</x:v>
      </x:c>
      <x:c r="D1627" s="87" t="str">
        <x:v>Март 2026</x:v>
      </x:c>
      <x:c r="E1627" s="87"/>
      <x:c r="F1627" s="87"/>
      <x:c r="G1627" s="87" t="str">
        <x:v>Обществознание</x:v>
      </x:c>
      <x:c r="H1627" s="87" t="n">
        <x:v>11</x:v>
      </x:c>
      <x:c r="I1627" s="87" t="str">
        <x:v>ТР №5</x:v>
      </x:c>
      <x:c r="J1627" s="87" t="str">
        <x:v>ОБ2510501</x:v>
      </x:c>
      <x:c r="K1627" s="87" t="n">
        <x:v>16</x:v>
      </x:c>
      <x:c r="L1627" s="87" t="str">
        <x:v>Наследование</x:v>
      </x:c>
      <x:c r="M1627" s="30" t="str">
        <x:v>Определить наследников первой очереди после смерти без завещания.</x:v>
      </x:c>
      <x:c r="N1627" s="30" t="str">
        <x:v>235</x:v>
      </x:c>
      <x:c r="O1627" s="30" t="str">
        <x:v>Супруга и мать — наследники первой очереди; внуки наследуют по праву представления вместо умершего сына.</x:v>
      </x:c>
      <x:c r="P1627" s="30" t="str">
        <x:v>Супруга и мать — наследники первой очереди; внуки наследуют по праву представления вместо умершего сына.</x:v>
      </x:c>
      <x:c r="Q1627" s="30"/>
      <x:c r="R1627"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27" s="30"/>
      <x:c r="T1627" s="30"/>
      <x:c r="U1627" s="30" t="str">
        <x:v>Расхождений не обнаружено.</x:v>
      </x:c>
      <x:c r="V1627" s="87" t="str">
        <x:v>VERIFIED</x:v>
      </x:c>
      <x:c r="W1627" s="87" t="str">
        <x:v>Официальный PDF</x:v>
      </x:c>
      <x:c r="X1627" s="87"/>
      <x:c r="Y1627" s="87"/>
      <x:c r="Z1627" s="87"/>
      <x:c r="AA1627" s="87"/>
      <x:c r="AB1627" s="87"/>
      <x:c r="AC1627" s="87"/>
      <x:c r="AD1627" s="87"/>
      <x:c r="AE1627" s="87"/>
      <x:c r="AF1627" s="87"/>
      <x:c r="AG1627" s="87"/>
      <x:c r="AH1627" s="87"/>
      <x:c r="AI1627" s="30"/>
      <x:c r="AJ1627" s="87" t="str">
        <x:v>master</x:v>
      </x:c>
      <x:c r="AK1627" s="87" t="str">
        <x:v>master-v0.81</x:v>
      </x:c>
      <x:c r="AL1627" s="87" t="str">
        <x:v>statgrad_master_base_v0_81_final(2).xlsx</x:v>
      </x:c>
      <x:c r="AM1627" s="87" t="str">
        <x:v>SOC_Mar_V1</x:v>
      </x:c>
      <x:c r="AN1627" s="87" t="n">
        <x:v>17</x:v>
      </x:c>
    </x:row>
    <x:row r="1628">
      <x:c r="A1628" s="87" t="n">
        <x:v>1627</x:v>
      </x:c>
      <x:c r="B1628" s="87" t="str">
        <x:v>MAR-SOC-V1-017</x:v>
      </x:c>
      <x:c r="C1628" s="87" t="str">
        <x:v>СтатГрад</x:v>
      </x:c>
      <x:c r="D1628" s="87" t="str">
        <x:v>Март 2026</x:v>
      </x:c>
      <x:c r="E1628" s="87"/>
      <x:c r="F1628" s="87"/>
      <x:c r="G1628" s="87" t="str">
        <x:v>Обществознание</x:v>
      </x:c>
      <x:c r="H1628" s="87" t="n">
        <x:v>11</x:v>
      </x:c>
      <x:c r="I1628" s="87" t="str">
        <x:v>ТР №5</x:v>
      </x:c>
      <x:c r="J1628" s="87" t="str">
        <x:v>ОБ2510501</x:v>
      </x:c>
      <x:c r="K1628" s="87" t="n">
        <x:v>17</x:v>
      </x:c>
      <x:c r="L1628" s="87" t="str">
        <x:v>Анализ текста: социальный конфликт</x:v>
      </x:c>
      <x:c r="M1628" s="30" t="str">
        <x:v>По тексту С. С. Фролова определить понятие конфликта, различие межличностного и межгруппового конфликтов и два типа по внутреннему содержанию.</x:v>
      </x:c>
      <x:c r="N1628" s="30" t="str">
        <x:v>Конфликт — попытка получить вознаграждение путём подчинения, навязывания воли, удаления или уничтожения соперника. Межличностные конфликты чаще основаны на эмоциях и личной неприязни, межгрупповые обычно безличны. Типы: рациональные и эмоциональные.</x:v>
      </x:c>
      <x:c r="O1628" s="30" t="str">
        <x:v>Ответ воспроизводит три требуемых элемента текста.</x:v>
      </x:c>
      <x:c r="P1628" s="30" t="str">
        <x:v>Ответ воспроизводит три требуемых элемента текста.</x:v>
      </x:c>
      <x:c r="Q1628" s="30"/>
      <x:c r="R1628"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28" s="30"/>
      <x:c r="T1628" s="30"/>
      <x:c r="U1628" s="30" t="str">
        <x:v>Расхождений не обнаружено.</x:v>
      </x:c>
      <x:c r="V1628" s="87" t="str">
        <x:v>VERIFIED</x:v>
      </x:c>
      <x:c r="W1628" s="87" t="str">
        <x:v>PDF A, задания 17–20</x:v>
      </x:c>
      <x:c r="X1628" s="87"/>
      <x:c r="Y1628" s="87"/>
      <x:c r="Z1628" s="87"/>
      <x:c r="AA1628" s="87"/>
      <x:c r="AB1628" s="87"/>
      <x:c r="AC1628" s="87"/>
      <x:c r="AD1628" s="87"/>
      <x:c r="AE1628" s="87"/>
      <x:c r="AF1628" s="87"/>
      <x:c r="AG1628" s="87"/>
      <x:c r="AH1628" s="87"/>
      <x:c r="AI1628" s="30"/>
      <x:c r="AJ1628" s="87" t="str">
        <x:v>master</x:v>
      </x:c>
      <x:c r="AK1628" s="87" t="str">
        <x:v>master-v0.81</x:v>
      </x:c>
      <x:c r="AL1628" s="87" t="str">
        <x:v>statgrad_master_base_v0_81_final(2).xlsx</x:v>
      </x:c>
      <x:c r="AM1628" s="87" t="str">
        <x:v>SOC_Mar_V1</x:v>
      </x:c>
      <x:c r="AN1628" s="87" t="n">
        <x:v>18</x:v>
      </x:c>
    </x:row>
    <x:row r="1629">
      <x:c r="A1629" s="87" t="n">
        <x:v>1628</x:v>
      </x:c>
      <x:c r="B1629" s="87" t="str">
        <x:v>MAR-SOC-V1-018</x:v>
      </x:c>
      <x:c r="C1629" s="87" t="str">
        <x:v>СтатГрад</x:v>
      </x:c>
      <x:c r="D1629" s="87" t="str">
        <x:v>Март 2026</x:v>
      </x:c>
      <x:c r="E1629" s="87"/>
      <x:c r="F1629" s="87"/>
      <x:c r="G1629" s="87" t="str">
        <x:v>Обществознание</x:v>
      </x:c>
      <x:c r="H1629" s="87" t="n">
        <x:v>11</x:v>
      </x:c>
      <x:c r="I1629" s="87" t="str">
        <x:v>ТР №5</x:v>
      </x:c>
      <x:c r="J1629" s="87" t="str">
        <x:v>ОБ2510501</x:v>
      </x:c>
      <x:c r="K1629" s="87" t="n">
        <x:v>18</x:v>
      </x:c>
      <x:c r="L1629" s="87" t="str">
        <x:v>Теоретическое задание: культура</x:v>
      </x:c>
      <x:c r="M1629" s="30" t="str">
        <x:v>Назвать не менее трёх признаков культуры как результата творческой деятельности и объяснить её связь с конфликтами.</x:v>
      </x:c>
      <x:c r="N1629" s="30" t="str">
        <x:v>Признаки: культура имеет материальную и духовную формы; исторически обусловлена; включает ценности и идеалы; передаётся между поколениями. Культурные конфликты возникают при столкновении норм и ценностей и могут способствовать отказу от устаревших обычаев и обновлению культуры.</x:v>
      </x:c>
      <x:c r="O1629" s="30" t="str">
        <x:v>Указаны четыре признака, включая два обязательных по критериям, и причинная связь.</x:v>
      </x:c>
      <x:c r="P1629" s="30" t="str">
        <x:v>Указаны четыре признака, включая два обязательных по критериям, и причинная связь.</x:v>
      </x:c>
      <x:c r="Q1629" s="30"/>
      <x:c r="R1629"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29" s="30"/>
      <x:c r="T1629" s="30"/>
      <x:c r="U1629" s="30" t="str">
        <x:v>Расхождений не обнаружено.</x:v>
      </x:c>
      <x:c r="V1629" s="87" t="str">
        <x:v>VERIFIED</x:v>
      </x:c>
      <x:c r="W1629" s="87" t="str">
        <x:v>Официальный PDF</x:v>
      </x:c>
      <x:c r="X1629" s="87"/>
      <x:c r="Y1629" s="87"/>
      <x:c r="Z1629" s="87"/>
      <x:c r="AA1629" s="87"/>
      <x:c r="AB1629" s="87"/>
      <x:c r="AC1629" s="87"/>
      <x:c r="AD1629" s="87"/>
      <x:c r="AE1629" s="87"/>
      <x:c r="AF1629" s="87"/>
      <x:c r="AG1629" s="87"/>
      <x:c r="AH1629" s="87"/>
      <x:c r="AI1629" s="30"/>
      <x:c r="AJ1629" s="87" t="str">
        <x:v>master</x:v>
      </x:c>
      <x:c r="AK1629" s="87" t="str">
        <x:v>master-v0.81</x:v>
      </x:c>
      <x:c r="AL1629" s="87" t="str">
        <x:v>statgrad_master_base_v0_81_final(2).xlsx</x:v>
      </x:c>
      <x:c r="AM1629" s="87" t="str">
        <x:v>SOC_Mar_V1</x:v>
      </x:c>
      <x:c r="AN1629" s="87" t="n">
        <x:v>19</x:v>
      </x:c>
    </x:row>
    <x:row r="1630">
      <x:c r="A1630" s="87" t="n">
        <x:v>1629</x:v>
      </x:c>
      <x:c r="B1630" s="87" t="str">
        <x:v>MAR-SOC-V1-019</x:v>
      </x:c>
      <x:c r="C1630" s="87" t="str">
        <x:v>СтатГрад</x:v>
      </x:c>
      <x:c r="D1630" s="87" t="str">
        <x:v>Март 2026</x:v>
      </x:c>
      <x:c r="E1630" s="87"/>
      <x:c r="F1630" s="87"/>
      <x:c r="G1630" s="87" t="str">
        <x:v>Обществознание</x:v>
      </x:c>
      <x:c r="H1630" s="87" t="n">
        <x:v>11</x:v>
      </x:c>
      <x:c r="I1630" s="87" t="str">
        <x:v>ТР №5</x:v>
      </x:c>
      <x:c r="J1630" s="87" t="str">
        <x:v>ОБ2510501</x:v>
      </x:c>
      <x:c r="K1630" s="87" t="n">
        <x:v>19</x:v>
      </x:c>
      <x:c r="L1630" s="87" t="str">
        <x:v>Примеры: разрешение конфликтов</x:v>
      </x:c>
      <x:c r="M1630" s="30" t="str">
        <x:v>Привести три развёрнутых примера ненасильственного разрешения социальных конфликтов.</x:v>
      </x:c>
      <x:c r="N1630" s="30" t="str">
        <x:v>1) Переговоры: дипломаты двух государств обсудили взаимные обвинения и согласовали меры снижения напряжённости. 2) Посредничество: администрация района выступила между жителями и застройщиком и предложила компромиссное размещение парка. 3) Компромисс: работники и руководство после взаимных уступок согласовали умеренное повышение зарплаты и увеличение отпуска.</x:v>
      </x:c>
      <x:c r="O1630" s="30" t="str">
        <x:v>Примеры различаются по способу и содержат участников, противоречие и результат.</x:v>
      </x:c>
      <x:c r="P1630" s="30" t="str">
        <x:v>Примеры различаются по способу и содержат участников, противоречие и результат.</x:v>
      </x:c>
      <x:c r="Q1630" s="30"/>
      <x:c r="R1630"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30" s="30"/>
      <x:c r="T1630" s="30"/>
      <x:c r="U1630" s="30" t="str">
        <x:v>Расхождений не обнаружено.</x:v>
      </x:c>
      <x:c r="V1630" s="87" t="str">
        <x:v>VERIFIED</x:v>
      </x:c>
      <x:c r="W1630" s="87" t="str">
        <x:v>Официальный PDF</x:v>
      </x:c>
      <x:c r="X1630" s="87"/>
      <x:c r="Y1630" s="87"/>
      <x:c r="Z1630" s="87"/>
      <x:c r="AA1630" s="87"/>
      <x:c r="AB1630" s="87"/>
      <x:c r="AC1630" s="87"/>
      <x:c r="AD1630" s="87"/>
      <x:c r="AE1630" s="87"/>
      <x:c r="AF1630" s="87"/>
      <x:c r="AG1630" s="87"/>
      <x:c r="AH1630" s="87"/>
      <x:c r="AI1630" s="30"/>
      <x:c r="AJ1630" s="87" t="str">
        <x:v>master</x:v>
      </x:c>
      <x:c r="AK1630" s="87" t="str">
        <x:v>master-v0.81</x:v>
      </x:c>
      <x:c r="AL1630" s="87" t="str">
        <x:v>statgrad_master_base_v0_81_final(2).xlsx</x:v>
      </x:c>
      <x:c r="AM1630" s="87" t="str">
        <x:v>SOC_Mar_V1</x:v>
      </x:c>
      <x:c r="AN1630" s="87" t="n">
        <x:v>20</x:v>
      </x:c>
    </x:row>
    <x:row r="1631">
      <x:c r="A1631" s="87" t="n">
        <x:v>1630</x:v>
      </x:c>
      <x:c r="B1631" s="87" t="str">
        <x:v>MAR-SOC-V1-020</x:v>
      </x:c>
      <x:c r="C1631" s="87" t="str">
        <x:v>СтатГрад</x:v>
      </x:c>
      <x:c r="D1631" s="87" t="str">
        <x:v>Март 2026</x:v>
      </x:c>
      <x:c r="E1631" s="87"/>
      <x:c r="F1631" s="87"/>
      <x:c r="G1631" s="87" t="str">
        <x:v>Обществознание</x:v>
      </x:c>
      <x:c r="H1631" s="87" t="n">
        <x:v>11</x:v>
      </x:c>
      <x:c r="I1631" s="87" t="str">
        <x:v>ТР №5</x:v>
      </x:c>
      <x:c r="J1631" s="87" t="str">
        <x:v>ОБ2510501</x:v>
      </x:c>
      <x:c r="K1631" s="87" t="n">
        <x:v>20</x:v>
      </x:c>
      <x:c r="L1631" s="87" t="str">
        <x:v>Аргументация: функции конфликта</x:v>
      </x:c>
      <x:c r="M1631" s="30" t="str">
        <x:v>Привести три аргумента положительного влияния социальных конфликтов.</x:v>
      </x:c>
      <x:c r="N1631" s="30" t="str">
        <x:v>1) Конфликт выявляет скрытые проблемы и сообщает обществу о накопившейся напряжённости. 2) Борьба интересов побуждает институты и нормы обновляться и устранять причины недовольства. 3) Достигнутое соглашение снижает напряжённость и формирует новые правила взаимодействия.</x:v>
      </x:c>
      <x:c r="O1631" s="30" t="str">
        <x:v>Каждый аргумент сформулирован распространённым предложением и раскрывает отдельную функцию.</x:v>
      </x:c>
      <x:c r="P1631" s="30" t="str">
        <x:v>Каждый аргумент сформулирован распространённым предложением и раскрывает отдельную функцию.</x:v>
      </x:c>
      <x:c r="Q1631" s="30"/>
      <x:c r="R1631"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31" s="30"/>
      <x:c r="T1631" s="30"/>
      <x:c r="U1631" s="30" t="str">
        <x:v>Расхождений не обнаружено.</x:v>
      </x:c>
      <x:c r="V1631" s="87" t="str">
        <x:v>VERIFIED</x:v>
      </x:c>
      <x:c r="W1631" s="87" t="str">
        <x:v>Официальный PDF</x:v>
      </x:c>
      <x:c r="X1631" s="87"/>
      <x:c r="Y1631" s="87"/>
      <x:c r="Z1631" s="87"/>
      <x:c r="AA1631" s="87"/>
      <x:c r="AB1631" s="87"/>
      <x:c r="AC1631" s="87"/>
      <x:c r="AD1631" s="87"/>
      <x:c r="AE1631" s="87"/>
      <x:c r="AF1631" s="87"/>
      <x:c r="AG1631" s="87"/>
      <x:c r="AH1631" s="87"/>
      <x:c r="AI1631" s="30"/>
      <x:c r="AJ1631" s="87" t="str">
        <x:v>master</x:v>
      </x:c>
      <x:c r="AK1631" s="87" t="str">
        <x:v>master-v0.81</x:v>
      </x:c>
      <x:c r="AL1631" s="87" t="str">
        <x:v>statgrad_master_base_v0_81_final(2).xlsx</x:v>
      </x:c>
      <x:c r="AM1631" s="87" t="str">
        <x:v>SOC_Mar_V1</x:v>
      </x:c>
      <x:c r="AN1631" s="87" t="n">
        <x:v>21</x:v>
      </x:c>
    </x:row>
    <x:row r="1632">
      <x:c r="A1632" s="87" t="n">
        <x:v>1631</x:v>
      </x:c>
      <x:c r="B1632" s="87" t="str">
        <x:v>MAR-SOC-V1-021</x:v>
      </x:c>
      <x:c r="C1632" s="87" t="str">
        <x:v>СтатГрад</x:v>
      </x:c>
      <x:c r="D1632" s="87" t="str">
        <x:v>Март 2026</x:v>
      </x:c>
      <x:c r="E1632" s="87"/>
      <x:c r="F1632" s="87"/>
      <x:c r="G1632" s="87" t="str">
        <x:v>Обществознание</x:v>
      </x:c>
      <x:c r="H1632" s="87" t="n">
        <x:v>11</x:v>
      </x:c>
      <x:c r="I1632" s="87" t="str">
        <x:v>ТР №5</x:v>
      </x:c>
      <x:c r="J1632" s="87" t="str">
        <x:v>ОБ2510501</x:v>
      </x:c>
      <x:c r="K1632" s="87" t="n">
        <x:v>21</x:v>
      </x:c>
      <x:c r="L1632" s="87" t="str">
        <x:v>Рыночный график: подержанные автомобили</x:v>
      </x:c>
      <x:c r="M1632" s="30" t="str">
        <x:v>Спрос на автомобили с пробегом сдвинулся вправо. Определить цену, фактор спроса и последствия снижения импортных пошлин.</x:v>
      </x:c>
      <x:c r="N1632" s="30" t="str">
        <x:v>Равновесная цена увеличилась. Возможный фактор: подорожание новых автомобилей сделало их менее доступными, поэтому спрос на подержанные вырос. Снижение пошлин увеличит предложение импортных автомобилей с пробегом и снизит равновесную цену.</x:v>
      </x:c>
      <x:c r="O1632" s="30" t="str">
        <x:v>Направления сдвигов и изменения цены проверены по графику.</x:v>
      </x:c>
      <x:c r="P1632" s="30" t="str">
        <x:v>Направления сдвигов и изменения цены проверены по графику.</x:v>
      </x:c>
      <x:c r="Q1632" s="30"/>
      <x:c r="R1632"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32" s="30"/>
      <x:c r="T1632" s="30"/>
      <x:c r="U1632" s="30" t="str">
        <x:v>Расхождений не обнаружено.</x:v>
      </x:c>
      <x:c r="V1632" s="87" t="str">
        <x:v>VERIFIED</x:v>
      </x:c>
      <x:c r="W1632" s="87" t="str">
        <x:v>PDF A, стр. 13</x:v>
      </x:c>
      <x:c r="X1632" s="87"/>
      <x:c r="Y1632" s="87"/>
      <x:c r="Z1632" s="87"/>
      <x:c r="AA1632" s="87"/>
      <x:c r="AB1632" s="87"/>
      <x:c r="AC1632" s="87"/>
      <x:c r="AD1632" s="87"/>
      <x:c r="AE1632" s="87"/>
      <x:c r="AF1632" s="87"/>
      <x:c r="AG1632" s="87"/>
      <x:c r="AH1632" s="87"/>
      <x:c r="AI1632" s="30"/>
      <x:c r="AJ1632" s="87" t="str">
        <x:v>master</x:v>
      </x:c>
      <x:c r="AK1632" s="87" t="str">
        <x:v>master-v0.81</x:v>
      </x:c>
      <x:c r="AL1632" s="87" t="str">
        <x:v>statgrad_master_base_v0_81_final(2).xlsx</x:v>
      </x:c>
      <x:c r="AM1632" s="87" t="str">
        <x:v>SOC_Mar_V1</x:v>
      </x:c>
      <x:c r="AN1632" s="87" t="n">
        <x:v>22</x:v>
      </x:c>
    </x:row>
    <x:row r="1633">
      <x:c r="A1633" s="87" t="n">
        <x:v>1632</x:v>
      </x:c>
      <x:c r="B1633" s="87" t="str">
        <x:v>MAR-SOC-V1-022</x:v>
      </x:c>
      <x:c r="C1633" s="87" t="str">
        <x:v>СтатГрад</x:v>
      </x:c>
      <x:c r="D1633" s="87" t="str">
        <x:v>Март 2026</x:v>
      </x:c>
      <x:c r="E1633" s="87"/>
      <x:c r="F1633" s="87"/>
      <x:c r="G1633" s="87" t="str">
        <x:v>Обществознание</x:v>
      </x:c>
      <x:c r="H1633" s="87" t="n">
        <x:v>11</x:v>
      </x:c>
      <x:c r="I1633" s="87" t="str">
        <x:v>ТР №5</x:v>
      </x:c>
      <x:c r="J1633" s="87" t="str">
        <x:v>ОБ2510501</x:v>
      </x:c>
      <x:c r="K1633" s="87" t="n">
        <x:v>22</x:v>
      </x:c>
      <x:c r="L1633" s="87" t="str">
        <x:v>Задача: Центральный банк и инфляция</x:v>
      </x:c>
      <x:c r="M1633" s="30" t="str">
        <x:v>Назвать орган, утверждающий председателя ЦБ, две функции ЦБ, вид инфляции и два негативных последствия.</x:v>
      </x:c>
      <x:c r="N1633" s="30" t="str">
        <x:v>Председателя Центрального банка назначает Государственная Дума. Функции: эмиссия денег и надзор за кредитными организациями. Рост доходов вызывает инфляцию спроса. Последствия: снижение реальных доходов и обесценивание сбережений.</x:v>
      </x:c>
      <x:c r="O1633" s="30" t="str">
        <x:v>Все четыре части ответа сопоставлены с полномочиями органов власти и экономической теорией.</x:v>
      </x:c>
      <x:c r="P1633" s="30" t="str">
        <x:v>Все четыре части ответа сопоставлены с полномочиями органов власти и экономической теорией.</x:v>
      </x:c>
      <x:c r="Q1633" s="30"/>
      <x:c r="R1633"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33" s="30"/>
      <x:c r="T1633" s="30"/>
      <x:c r="U1633" s="30" t="str">
        <x:v>Расхождений не обнаружено.</x:v>
      </x:c>
      <x:c r="V1633" s="87" t="str">
        <x:v>VERIFIED</x:v>
      </x:c>
      <x:c r="W1633" s="87" t="str">
        <x:v>Официальный PDF</x:v>
      </x:c>
      <x:c r="X1633" s="87"/>
      <x:c r="Y1633" s="87"/>
      <x:c r="Z1633" s="87"/>
      <x:c r="AA1633" s="87"/>
      <x:c r="AB1633" s="87"/>
      <x:c r="AC1633" s="87"/>
      <x:c r="AD1633" s="87"/>
      <x:c r="AE1633" s="87"/>
      <x:c r="AF1633" s="87"/>
      <x:c r="AG1633" s="87"/>
      <x:c r="AH1633" s="87"/>
      <x:c r="AI1633" s="30"/>
      <x:c r="AJ1633" s="87" t="str">
        <x:v>master</x:v>
      </x:c>
      <x:c r="AK1633" s="87" t="str">
        <x:v>master-v0.81</x:v>
      </x:c>
      <x:c r="AL1633" s="87" t="str">
        <x:v>statgrad_master_base_v0_81_final(2).xlsx</x:v>
      </x:c>
      <x:c r="AM1633" s="87" t="str">
        <x:v>SOC_Mar_V1</x:v>
      </x:c>
      <x:c r="AN1633" s="87" t="n">
        <x:v>23</x:v>
      </x:c>
    </x:row>
    <x:row r="1634">
      <x:c r="A1634" s="87" t="n">
        <x:v>1633</x:v>
      </x:c>
      <x:c r="B1634" s="87" t="str">
        <x:v>MAR-SOC-V1-023</x:v>
      </x:c>
      <x:c r="C1634" s="87" t="str">
        <x:v>СтатГрад</x:v>
      </x:c>
      <x:c r="D1634" s="87" t="str">
        <x:v>Март 2026</x:v>
      </x:c>
      <x:c r="E1634" s="87"/>
      <x:c r="F1634" s="87"/>
      <x:c r="G1634" s="87" t="str">
        <x:v>Обществознание</x:v>
      </x:c>
      <x:c r="H1634" s="87" t="n">
        <x:v>11</x:v>
      </x:c>
      <x:c r="I1634" s="87" t="str">
        <x:v>ТР №5</x:v>
      </x:c>
      <x:c r="J1634" s="87" t="str">
        <x:v>ОБ2510501</x:v>
      </x:c>
      <x:c r="K1634" s="87" t="n">
        <x:v>23</x:v>
      </x:c>
      <x:c r="L1634" s="87" t="str">
        <x:v>Конституционное задание: экология</x:v>
      </x:c>
      <x:c r="M1634" s="30" t="str">
        <x:v>Привести три конституционных подтверждения права на благоприятную среду и защиты природы.</x:v>
      </x:c>
      <x:c r="N1634" s="30" t="str">
        <x:v>1) Каждый имеет право на благоприятную окружающую среду, достоверную информацию о ней и возмещение экологического ущерба. 2) Земля и природные ресурсы охраняются как основа жизни народов соответствующих территорий. 3) Каждый обязан сохранять природу и бережно относиться к природным богатствам.</x:v>
      </x:c>
      <x:c r="O1634" s="30" t="str">
        <x:v>Каждое подтверждение является распространённым предложением и опирается на конкретное положение Конституции.</x:v>
      </x:c>
      <x:c r="P1634" s="30" t="str">
        <x:v>Каждое подтверждение является распространённым предложением и опирается на конкретное положение Конституции.</x:v>
      </x:c>
      <x:c r="Q1634" s="30"/>
      <x:c r="R1634"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34" s="30"/>
      <x:c r="T1634" s="30"/>
      <x:c r="U1634" s="30" t="str">
        <x:v>Расхождений не обнаружено.</x:v>
      </x:c>
      <x:c r="V1634" s="87" t="str">
        <x:v>VERIFIED</x:v>
      </x:c>
      <x:c r="W1634" s="87" t="str">
        <x:v>Официальный PDF</x:v>
      </x:c>
      <x:c r="X1634" s="87"/>
      <x:c r="Y1634" s="87"/>
      <x:c r="Z1634" s="87"/>
      <x:c r="AA1634" s="87"/>
      <x:c r="AB1634" s="87"/>
      <x:c r="AC1634" s="87"/>
      <x:c r="AD1634" s="87"/>
      <x:c r="AE1634" s="87"/>
      <x:c r="AF1634" s="87"/>
      <x:c r="AG1634" s="87"/>
      <x:c r="AH1634" s="87"/>
      <x:c r="AI1634" s="30"/>
      <x:c r="AJ1634" s="87" t="str">
        <x:v>master</x:v>
      </x:c>
      <x:c r="AK1634" s="87" t="str">
        <x:v>master-v0.81</x:v>
      </x:c>
      <x:c r="AL1634" s="87" t="str">
        <x:v>statgrad_master_base_v0_81_final(2).xlsx</x:v>
      </x:c>
      <x:c r="AM1634" s="87" t="str">
        <x:v>SOC_Mar_V1</x:v>
      </x:c>
      <x:c r="AN1634" s="87" t="n">
        <x:v>24</x:v>
      </x:c>
    </x:row>
    <x:row r="1635">
      <x:c r="A1635" s="87" t="n">
        <x:v>1634</x:v>
      </x:c>
      <x:c r="B1635" s="87" t="str">
        <x:v>MAR-SOC-V1-024</x:v>
      </x:c>
      <x:c r="C1635" s="87" t="str">
        <x:v>СтатГрад</x:v>
      </x:c>
      <x:c r="D1635" s="87" t="str">
        <x:v>Март 2026</x:v>
      </x:c>
      <x:c r="E1635" s="87"/>
      <x:c r="F1635" s="87"/>
      <x:c r="G1635" s="87" t="str">
        <x:v>Обществознание</x:v>
      </x:c>
      <x:c r="H1635" s="87" t="n">
        <x:v>11</x:v>
      </x:c>
      <x:c r="I1635" s="87" t="str">
        <x:v>ТР №5</x:v>
      </x:c>
      <x:c r="J1635" s="87" t="str">
        <x:v>ОБ2510501</x:v>
      </x:c>
      <x:c r="K1635" s="87" t="n">
        <x:v>24</x:v>
      </x:c>
      <x:c r="L1635" s="87" t="str">
        <x:v>Сложный план</x:v>
      </x:c>
      <x:c r="M1635" s="30" t="str">
        <x:v>Составить сложный план по теме «Прогресс и регресс в развитии общества».</x:v>
      </x:c>
      <x:c r="N1635" s="30" t="str">
        <x:v>1. Понятия общественного прогресса и регресса.
2. Критерии общественного прогресса:
   а) развитие науки и человеческого разума;
   б) совершенствование техники и производительных сил;
   в) рост продолжительности и качества жизни;
   г) расширение свободы и гуманизация отношений;
   д) нравственное совершенствование личности.
3. Особенности общественного прогресса:
   а) противоречивость;
   б) относительность критериев;
   в) неравномерность развития сфер и стран;
   г) сочетание прогресса в одной сфере с регрессом в другой.
4. Пути общественных изменений:
   а) эволюция;
   б) реформа;
   в) революция.
5. Формы проявления регресса и его общественные последствия.
6. Соотношение прогресса и регресса в историческом развитии.</x:v>
      </x:c>
      <x:c r="O1635" s="30" t="str">
        <x:v>План содержит понятия, критерии, особенности и пути прогресса; не менее трёх пунктов детализированы.</x:v>
      </x:c>
      <x:c r="P1635" s="30" t="str">
        <x:v>План содержит понятия, критерии, особенности и пути прогресса; не менее трёх пунктов детализированы.</x:v>
      </x:c>
      <x:c r="Q1635" s="30"/>
      <x:c r="R1635"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35" s="30"/>
      <x:c r="T1635" s="30"/>
      <x:c r="U1635" s="30" t="str">
        <x:v>Расхождений не обнаружено.</x:v>
      </x:c>
      <x:c r="V1635" s="87" t="str">
        <x:v>VERIFIED</x:v>
      </x:c>
      <x:c r="W1635" s="87" t="str">
        <x:v>Официальный PDF</x:v>
      </x:c>
      <x:c r="X1635" s="87"/>
      <x:c r="Y1635" s="87"/>
      <x:c r="Z1635" s="87"/>
      <x:c r="AA1635" s="87"/>
      <x:c r="AB1635" s="87"/>
      <x:c r="AC1635" s="87"/>
      <x:c r="AD1635" s="87"/>
      <x:c r="AE1635" s="87"/>
      <x:c r="AF1635" s="87"/>
      <x:c r="AG1635" s="87"/>
      <x:c r="AH1635" s="87"/>
      <x:c r="AI1635" s="30"/>
      <x:c r="AJ1635" s="87" t="str">
        <x:v>master</x:v>
      </x:c>
      <x:c r="AK1635" s="87" t="str">
        <x:v>master-v0.81</x:v>
      </x:c>
      <x:c r="AL1635" s="87" t="str">
        <x:v>statgrad_master_base_v0_81_final(2).xlsx</x:v>
      </x:c>
      <x:c r="AM1635" s="87" t="str">
        <x:v>SOC_Mar_V1</x:v>
      </x:c>
      <x:c r="AN1635" s="87" t="n">
        <x:v>25</x:v>
      </x:c>
    </x:row>
    <x:row r="1636">
      <x:c r="A1636" s="87" t="n">
        <x:v>1635</x:v>
      </x:c>
      <x:c r="B1636" s="87" t="str">
        <x:v>MAR-SOC-V1-025</x:v>
      </x:c>
      <x:c r="C1636" s="87" t="str">
        <x:v>СтатГрад</x:v>
      </x:c>
      <x:c r="D1636" s="87" t="str">
        <x:v>Март 2026</x:v>
      </x:c>
      <x:c r="E1636" s="87"/>
      <x:c r="F1636" s="87"/>
      <x:c r="G1636" s="87" t="str">
        <x:v>Обществознание</x:v>
      </x:c>
      <x:c r="H1636" s="87" t="n">
        <x:v>11</x:v>
      </x:c>
      <x:c r="I1636" s="87" t="str">
        <x:v>ТР №5</x:v>
      </x:c>
      <x:c r="J1636" s="87" t="str">
        <x:v>ОБ2510501</x:v>
      </x:c>
      <x:c r="K1636" s="87" t="n">
        <x:v>25</x:v>
      </x:c>
      <x:c r="L1636" s="87" t="str">
        <x:v>Обоснование и примеры: интенсивный рост</x:v>
      </x:c>
      <x:c r="M1636" s="30" t="str">
        <x:v>Обосновать приоритет интенсивных методов, назвать три фактора и привести по примеру их реализации.</x:v>
      </x:c>
      <x:c r="N1636" s="30" t="str">
        <x:v>Обоснование: ресурсы общества ограниченны, поэтому простое увеличение труда, земли и сырья имеет предел и повышает экологическую нагрузку. Интенсивный рост увеличивает отдачу от уже используемых ресурсов благодаря знаниям, технологиям и организации, что позволяет устойчиво повышать выпуск и качество продукции.
Факторы: 1) новые технологии; 2) повышение квалификации работников; 3) совершенствование управления.
Примеры: 1) машиностроительный завод внедрил роботизированную линию и увеличил выпуск без расширения штата; 2) медицинская компания обучила сотрудников работе с новым оборудованием, сократив время процедур; 3) торговая сеть внедрила цифровое управление запасами и уменьшила простои и потери.</x:v>
      </x:c>
      <x:c r="O1636" s="30" t="str">
        <x:v>Обоснование раскрывает причинно-следственную связь; названы ровно три фактора и три развёрнутых примера.</x:v>
      </x:c>
      <x:c r="P1636" s="30" t="str">
        <x:v>Обоснование раскрывает причинно-следственную связь; названы ровно три фактора и три развёрнутых примера.</x:v>
      </x:c>
      <x:c r="Q1636" s="30"/>
      <x:c r="R1636"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36" s="30"/>
      <x:c r="T1636" s="30"/>
      <x:c r="U1636" s="30" t="str">
        <x:v>Расхождений не обнаружено.</x:v>
      </x:c>
      <x:c r="V1636" s="87" t="str">
        <x:v>VERIFIED</x:v>
      </x:c>
      <x:c r="W1636" s="87" t="str">
        <x:v>Официальный PDF</x:v>
      </x:c>
      <x:c r="X1636" s="87"/>
      <x:c r="Y1636" s="87"/>
      <x:c r="Z1636" s="87"/>
      <x:c r="AA1636" s="87"/>
      <x:c r="AB1636" s="87"/>
      <x:c r="AC1636" s="87"/>
      <x:c r="AD1636" s="87"/>
      <x:c r="AE1636" s="87"/>
      <x:c r="AF1636" s="87"/>
      <x:c r="AG1636" s="87"/>
      <x:c r="AH1636" s="87"/>
      <x:c r="AI1636" s="30"/>
      <x:c r="AJ1636" s="87" t="str">
        <x:v>master</x:v>
      </x:c>
      <x:c r="AK1636" s="87" t="str">
        <x:v>master-v0.81</x:v>
      </x:c>
      <x:c r="AL1636" s="87" t="str">
        <x:v>statgrad_master_base_v0_81_final(2).xlsx</x:v>
      </x:c>
      <x:c r="AM1636" s="87" t="str">
        <x:v>SOC_Mar_V1</x:v>
      </x:c>
      <x:c r="AN1636" s="87" t="n">
        <x:v>26</x:v>
      </x:c>
    </x:row>
    <x:row r="1637">
      <x:c r="A1637" s="87" t="n">
        <x:v>1636</x:v>
      </x:c>
      <x:c r="B1637" s="87" t="str">
        <x:v>MAR-SOC-V2-001</x:v>
      </x:c>
      <x:c r="C1637" s="87" t="str">
        <x:v>СтатГрад</x:v>
      </x:c>
      <x:c r="D1637" s="87" t="str">
        <x:v>Март 2026</x:v>
      </x:c>
      <x:c r="E1637" s="87"/>
      <x:c r="F1637" s="87"/>
      <x:c r="G1637" s="87" t="str">
        <x:v>Обществознание</x:v>
      </x:c>
      <x:c r="H1637" s="87" t="n">
        <x:v>11</x:v>
      </x:c>
      <x:c r="I1637" s="87" t="str">
        <x:v>ТР №5</x:v>
      </x:c>
      <x:c r="J1637" s="87" t="str">
        <x:v>ОБ2510502</x:v>
      </x:c>
      <x:c r="K1637" s="87" t="n">
        <x:v>1</x:v>
      </x:c>
      <x:c r="L1637" s="87" t="str">
        <x:v>Субъекты Российской Федерации</x:v>
      </x:c>
      <x:c r="M1637" s="30" t="str">
        <x:v>Из перечня статусов субъектов РФ найти два выпадающих понятия.</x:v>
      </x:c>
      <x:c r="N1637" s="30" t="str">
        <x:v>25</x:v>
      </x:c>
      <x:c r="O1637" s="30" t="str">
        <x:v>«Автономный край» не предусмотрен Конституцией, а федеральный округ не является субъектом РФ.</x:v>
      </x:c>
      <x:c r="P1637" s="30" t="str">
        <x:v>«Автономный край» не предусмотрен Конституцией, а федеральный округ не является субъектом РФ.</x:v>
      </x:c>
      <x:c r="Q1637" s="30"/>
      <x:c r="R1637"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37" s="30"/>
      <x:c r="T1637" s="30"/>
      <x:c r="U1637" s="30" t="str">
        <x:v>Расхождений не обнаружено.</x:v>
      </x:c>
      <x:c r="V1637" s="87" t="str">
        <x:v>VERIFIED</x:v>
      </x:c>
      <x:c r="W1637" s="87" t="str">
        <x:v>Официальный PDF</x:v>
      </x:c>
      <x:c r="X1637" s="87"/>
      <x:c r="Y1637" s="87"/>
      <x:c r="Z1637" s="87"/>
      <x:c r="AA1637" s="87"/>
      <x:c r="AB1637" s="87"/>
      <x:c r="AC1637" s="87"/>
      <x:c r="AD1637" s="87"/>
      <x:c r="AE1637" s="87"/>
      <x:c r="AF1637" s="87"/>
      <x:c r="AG1637" s="87"/>
      <x:c r="AH1637" s="87"/>
      <x:c r="AI1637" s="30"/>
      <x:c r="AJ1637" s="87" t="str">
        <x:v>master</x:v>
      </x:c>
      <x:c r="AK1637" s="87" t="str">
        <x:v>master-v0.81</x:v>
      </x:c>
      <x:c r="AL1637" s="87" t="str">
        <x:v>statgrad_master_base_v0_81_final(2).xlsx</x:v>
      </x:c>
      <x:c r="AM1637" s="87" t="str">
        <x:v>SOC_Mar_V2</x:v>
      </x:c>
      <x:c r="AN1637" s="87" t="n">
        <x:v>2</x:v>
      </x:c>
    </x:row>
    <x:row r="1638">
      <x:c r="A1638" s="87" t="n">
        <x:v>1637</x:v>
      </x:c>
      <x:c r="B1638" s="87" t="str">
        <x:v>MAR-SOC-V2-002</x:v>
      </x:c>
      <x:c r="C1638" s="87" t="str">
        <x:v>СтатГрад</x:v>
      </x:c>
      <x:c r="D1638" s="87" t="str">
        <x:v>Март 2026</x:v>
      </x:c>
      <x:c r="E1638" s="87"/>
      <x:c r="F1638" s="87"/>
      <x:c r="G1638" s="87" t="str">
        <x:v>Обществознание</x:v>
      </x:c>
      <x:c r="H1638" s="87" t="n">
        <x:v>11</x:v>
      </x:c>
      <x:c r="I1638" s="87" t="str">
        <x:v>ТР №5</x:v>
      </x:c>
      <x:c r="J1638" s="87" t="str">
        <x:v>ОБ2510502</x:v>
      </x:c>
      <x:c r="K1638" s="87" t="n">
        <x:v>2</x:v>
      </x:c>
      <x:c r="L1638" s="87" t="str">
        <x:v>Формы культуры</x:v>
      </x:c>
      <x:c r="M1638" s="30" t="str">
        <x:v>Выбрать верные суждения о науке, религии, философии, морали и искусстве.</x:v>
      </x:c>
      <x:c r="N1638" s="30" t="str">
        <x:v>234</x:v>
      </x:c>
      <x:c r="O1638" s="30" t="str">
        <x:v>Религия связана с верой в сверхъестественное, философия ищет общие закономерности, мораль опирается на представления о добре и зле.</x:v>
      </x:c>
      <x:c r="P1638" s="30" t="str">
        <x:v>Научное знание изменяется; искусству свойственны образность и эмоциональность, а не обязательная рациональность.</x:v>
      </x:c>
      <x:c r="Q1638" s="30"/>
      <x:c r="R1638"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38" s="30"/>
      <x:c r="T1638" s="30"/>
      <x:c r="U1638" s="30" t="str">
        <x:v>Расхождений не обнаружено.</x:v>
      </x:c>
      <x:c r="V1638" s="87" t="str">
        <x:v>VERIFIED</x:v>
      </x:c>
      <x:c r="W1638" s="87" t="str">
        <x:v>Официальный PDF</x:v>
      </x:c>
      <x:c r="X1638" s="87"/>
      <x:c r="Y1638" s="87"/>
      <x:c r="Z1638" s="87"/>
      <x:c r="AA1638" s="87"/>
      <x:c r="AB1638" s="87"/>
      <x:c r="AC1638" s="87"/>
      <x:c r="AD1638" s="87"/>
      <x:c r="AE1638" s="87"/>
      <x:c r="AF1638" s="87"/>
      <x:c r="AG1638" s="87"/>
      <x:c r="AH1638" s="87"/>
      <x:c r="AI1638" s="30"/>
      <x:c r="AJ1638" s="87" t="str">
        <x:v>master</x:v>
      </x:c>
      <x:c r="AK1638" s="87" t="str">
        <x:v>master-v0.81</x:v>
      </x:c>
      <x:c r="AL1638" s="87" t="str">
        <x:v>statgrad_master_base_v0_81_final(2).xlsx</x:v>
      </x:c>
      <x:c r="AM1638" s="87" t="str">
        <x:v>SOC_Mar_V2</x:v>
      </x:c>
      <x:c r="AN1638" s="87" t="n">
        <x:v>3</x:v>
      </x:c>
    </x:row>
    <x:row r="1639">
      <x:c r="A1639" s="87" t="n">
        <x:v>1638</x:v>
      </x:c>
      <x:c r="B1639" s="87" t="str">
        <x:v>MAR-SOC-V2-003</x:v>
      </x:c>
      <x:c r="C1639" s="87" t="str">
        <x:v>СтатГрад</x:v>
      </x:c>
      <x:c r="D1639" s="87" t="str">
        <x:v>Март 2026</x:v>
      </x:c>
      <x:c r="E1639" s="87"/>
      <x:c r="F1639" s="87"/>
      <x:c r="G1639" s="87" t="str">
        <x:v>Обществознание</x:v>
      </x:c>
      <x:c r="H1639" s="87" t="n">
        <x:v>11</x:v>
      </x:c>
      <x:c r="I1639" s="87" t="str">
        <x:v>ТР №5</x:v>
      </x:c>
      <x:c r="J1639" s="87" t="str">
        <x:v>ОБ2510502</x:v>
      </x:c>
      <x:c r="K1639" s="87" t="n">
        <x:v>3</x:v>
      </x:c>
      <x:c r="L1639" s="87" t="str">
        <x:v>Функции образования</x:v>
      </x:c>
      <x:c r="M1639" s="30" t="str">
        <x:v>Соотнести цели образования с экономической, социальной и культурной функциями.</x:v>
      </x:c>
      <x:c r="N1639" s="30" t="str">
        <x:v>32132</x:v>
      </x:c>
      <x:c r="O1639" s="30" t="str">
        <x:v>Передача искусства и развитие творчества — культурная функция; профилактика девиаций и социализация — социальная; профессиональная структура — экономическая.</x:v>
      </x:c>
      <x:c r="P1639" s="30" t="str">
        <x:v>Передача искусства и развитие творчества — культурная функция; профилактика девиаций и социализация — социальная; профессиональная структура — экономическая.</x:v>
      </x:c>
      <x:c r="Q1639" s="30"/>
      <x:c r="R1639"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39" s="30"/>
      <x:c r="T1639" s="30"/>
      <x:c r="U1639" s="30" t="str">
        <x:v>Расхождений не обнаружено.</x:v>
      </x:c>
      <x:c r="V1639" s="87" t="str">
        <x:v>VERIFIED</x:v>
      </x:c>
      <x:c r="W1639" s="87" t="str">
        <x:v>Официальный PDF</x:v>
      </x:c>
      <x:c r="X1639" s="87"/>
      <x:c r="Y1639" s="87"/>
      <x:c r="Z1639" s="87"/>
      <x:c r="AA1639" s="87"/>
      <x:c r="AB1639" s="87"/>
      <x:c r="AC1639" s="87"/>
      <x:c r="AD1639" s="87"/>
      <x:c r="AE1639" s="87"/>
      <x:c r="AF1639" s="87"/>
      <x:c r="AG1639" s="87"/>
      <x:c r="AH1639" s="87"/>
      <x:c r="AI1639" s="30"/>
      <x:c r="AJ1639" s="87" t="str">
        <x:v>master</x:v>
      </x:c>
      <x:c r="AK1639" s="87" t="str">
        <x:v>master-v0.81</x:v>
      </x:c>
      <x:c r="AL1639" s="87" t="str">
        <x:v>statgrad_master_base_v0_81_final(2).xlsx</x:v>
      </x:c>
      <x:c r="AM1639" s="87" t="str">
        <x:v>SOC_Mar_V2</x:v>
      </x:c>
      <x:c r="AN1639" s="87" t="n">
        <x:v>4</x:v>
      </x:c>
    </x:row>
    <x:row r="1640">
      <x:c r="A1640" s="87" t="n">
        <x:v>1639</x:v>
      </x:c>
      <x:c r="B1640" s="87" t="str">
        <x:v>MAR-SOC-V2-004</x:v>
      </x:c>
      <x:c r="C1640" s="87" t="str">
        <x:v>СтатГрад</x:v>
      </x:c>
      <x:c r="D1640" s="87" t="str">
        <x:v>Март 2026</x:v>
      </x:c>
      <x:c r="E1640" s="87"/>
      <x:c r="F1640" s="87"/>
      <x:c r="G1640" s="87" t="str">
        <x:v>Обществознание</x:v>
      </x:c>
      <x:c r="H1640" s="87" t="n">
        <x:v>11</x:v>
      </x:c>
      <x:c r="I1640" s="87" t="str">
        <x:v>ТР №5</x:v>
      </x:c>
      <x:c r="J1640" s="87" t="str">
        <x:v>ОБ2510502</x:v>
      </x:c>
      <x:c r="K1640" s="87" t="n">
        <x:v>4</x:v>
      </x:c>
      <x:c r="L1640" s="87" t="str">
        <x:v>Традиционное общество</x:v>
      </x:c>
      <x:c r="M1640" s="30" t="str">
        <x:v>Выбрать признаки традиционного общества в государстве Z.</x:v>
      </x:c>
      <x:c r="N1640" s="30" t="str">
        <x:v>146</x:v>
      </x:c>
      <x:c r="O1640" s="30" t="str">
        <x:v>Расширенная семья, натуральное хозяйство и наследственные сословия характерны для традиционного общества.</x:v>
      </x:c>
      <x:c r="P1640" s="30" t="str">
        <x:v>Монархия сама по себе не определяет тип общества, платность услуг и урбанизация не являются его признаками.</x:v>
      </x:c>
      <x:c r="Q1640" s="30"/>
      <x:c r="R1640"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40" s="30"/>
      <x:c r="T1640" s="30"/>
      <x:c r="U1640" s="30" t="str">
        <x:v>Расхождений не обнаружено.</x:v>
      </x:c>
      <x:c r="V1640" s="87" t="str">
        <x:v>VERIFIED</x:v>
      </x:c>
      <x:c r="W1640" s="87" t="str">
        <x:v>Официальный PDF</x:v>
      </x:c>
      <x:c r="X1640" s="87"/>
      <x:c r="Y1640" s="87"/>
      <x:c r="Z1640" s="87"/>
      <x:c r="AA1640" s="87"/>
      <x:c r="AB1640" s="87"/>
      <x:c r="AC1640" s="87"/>
      <x:c r="AD1640" s="87"/>
      <x:c r="AE1640" s="87"/>
      <x:c r="AF1640" s="87"/>
      <x:c r="AG1640" s="87"/>
      <x:c r="AH1640" s="87"/>
      <x:c r="AI1640" s="30"/>
      <x:c r="AJ1640" s="87" t="str">
        <x:v>master</x:v>
      </x:c>
      <x:c r="AK1640" s="87" t="str">
        <x:v>master-v0.81</x:v>
      </x:c>
      <x:c r="AL1640" s="87" t="str">
        <x:v>statgrad_master_base_v0_81_final(2).xlsx</x:v>
      </x:c>
      <x:c r="AM1640" s="87" t="str">
        <x:v>SOC_Mar_V2</x:v>
      </x:c>
      <x:c r="AN1640" s="87" t="n">
        <x:v>5</x:v>
      </x:c>
    </x:row>
    <x:row r="1641">
      <x:c r="A1641" s="87" t="n">
        <x:v>1640</x:v>
      </x:c>
      <x:c r="B1641" s="87" t="str">
        <x:v>MAR-SOC-V2-005</x:v>
      </x:c>
      <x:c r="C1641" s="87" t="str">
        <x:v>СтатГрад</x:v>
      </x:c>
      <x:c r="D1641" s="87" t="str">
        <x:v>Март 2026</x:v>
      </x:c>
      <x:c r="E1641" s="87"/>
      <x:c r="F1641" s="87"/>
      <x:c r="G1641" s="87" t="str">
        <x:v>Обществознание</x:v>
      </x:c>
      <x:c r="H1641" s="87" t="n">
        <x:v>11</x:v>
      </x:c>
      <x:c r="I1641" s="87" t="str">
        <x:v>ТР №5</x:v>
      </x:c>
      <x:c r="J1641" s="87" t="str">
        <x:v>ОБ2510502</x:v>
      </x:c>
      <x:c r="K1641" s="87" t="n">
        <x:v>5</x:v>
      </x:c>
      <x:c r="L1641" s="87" t="str">
        <x:v>Экономические системы</x:v>
      </x:c>
      <x:c r="M1641" s="30" t="str">
        <x:v>Выбрать верные суждения о традиционной, плановой и рыночной системах.</x:v>
      </x:c>
      <x:c r="N1641" s="30" t="str">
        <x:v>134</x:v>
      </x:c>
      <x:c r="O1641" s="30" t="str">
        <x:v>Традиционная система опирается на аграрный уклад; рыночная — на спрос и предложение; плановая — на государственный контроль.</x:v>
      </x:c>
      <x:c r="P1641" s="30" t="str">
        <x:v>Плановая система не основана на частной собственности, смешанная соединяет рыночные и государственные механизмы.</x:v>
      </x:c>
      <x:c r="Q1641" s="30"/>
      <x:c r="R1641"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41" s="30"/>
      <x:c r="T1641" s="30"/>
      <x:c r="U1641" s="30" t="str">
        <x:v>Расхождений не обнаружено.</x:v>
      </x:c>
      <x:c r="V1641" s="87" t="str">
        <x:v>VERIFIED</x:v>
      </x:c>
      <x:c r="W1641" s="87" t="str">
        <x:v>Официальный PDF</x:v>
      </x:c>
      <x:c r="X1641" s="87"/>
      <x:c r="Y1641" s="87"/>
      <x:c r="Z1641" s="87"/>
      <x:c r="AA1641" s="87"/>
      <x:c r="AB1641" s="87"/>
      <x:c r="AC1641" s="87"/>
      <x:c r="AD1641" s="87"/>
      <x:c r="AE1641" s="87"/>
      <x:c r="AF1641" s="87"/>
      <x:c r="AG1641" s="87"/>
      <x:c r="AH1641" s="87"/>
      <x:c r="AI1641" s="30"/>
      <x:c r="AJ1641" s="87" t="str">
        <x:v>master</x:v>
      </x:c>
      <x:c r="AK1641" s="87" t="str">
        <x:v>master-v0.81</x:v>
      </x:c>
      <x:c r="AL1641" s="87" t="str">
        <x:v>statgrad_master_base_v0_81_final(2).xlsx</x:v>
      </x:c>
      <x:c r="AM1641" s="87" t="str">
        <x:v>SOC_Mar_V2</x:v>
      </x:c>
      <x:c r="AN1641" s="87" t="n">
        <x:v>6</x:v>
      </x:c>
    </x:row>
    <x:row r="1642">
      <x:c r="A1642" s="87" t="n">
        <x:v>1641</x:v>
      </x:c>
      <x:c r="B1642" s="87" t="str">
        <x:v>MAR-SOC-V2-006</x:v>
      </x:c>
      <x:c r="C1642" s="87" t="str">
        <x:v>СтатГрад</x:v>
      </x:c>
      <x:c r="D1642" s="87" t="str">
        <x:v>Март 2026</x:v>
      </x:c>
      <x:c r="E1642" s="87"/>
      <x:c r="F1642" s="87"/>
      <x:c r="G1642" s="87" t="str">
        <x:v>Обществознание</x:v>
      </x:c>
      <x:c r="H1642" s="87" t="n">
        <x:v>11</x:v>
      </x:c>
      <x:c r="I1642" s="87" t="str">
        <x:v>ТР №5</x:v>
      </x:c>
      <x:c r="J1642" s="87" t="str">
        <x:v>ОБ2510502</x:v>
      </x:c>
      <x:c r="K1642" s="87" t="n">
        <x:v>6</x:v>
      </x:c>
      <x:c r="L1642" s="87" t="str">
        <x:v>Финансирование бизнеса</x:v>
      </x:c>
      <x:c r="M1642" s="30" t="str">
        <x:v>Соотнести государственные субсидии, облигации, инвестиции владельцев, прибыль и кредиты с внутренними/внешними источниками.</x:v>
      </x:c>
      <x:c r="N1642" s="30" t="str">
        <x:v>22112</x:v>
      </x:c>
      <x:c r="O1642" s="30" t="str">
        <x:v>Прибыль — внутренний источник; субсидии, облигации, инвестиции собственников и банковские кредиты поступают извне фирмы.</x:v>
      </x:c>
      <x:c r="P1642" s="30" t="str">
        <x:v>Прибыль — внутренний источник; субсидии, облигации, инвестиции собственников и банковские кредиты поступают извне фирмы.</x:v>
      </x:c>
      <x:c r="Q1642" s="30"/>
      <x:c r="R1642"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42" s="30"/>
      <x:c r="T1642" s="30"/>
      <x:c r="U1642" s="30" t="str">
        <x:v>Расхождений не обнаружено.</x:v>
      </x:c>
      <x:c r="V1642" s="87" t="str">
        <x:v>VERIFIED</x:v>
      </x:c>
      <x:c r="W1642" s="87" t="str">
        <x:v>Официальный PDF</x:v>
      </x:c>
      <x:c r="X1642" s="87"/>
      <x:c r="Y1642" s="87"/>
      <x:c r="Z1642" s="87"/>
      <x:c r="AA1642" s="87"/>
      <x:c r="AB1642" s="87"/>
      <x:c r="AC1642" s="87"/>
      <x:c r="AD1642" s="87"/>
      <x:c r="AE1642" s="87"/>
      <x:c r="AF1642" s="87"/>
      <x:c r="AG1642" s="87"/>
      <x:c r="AH1642" s="87"/>
      <x:c r="AI1642" s="30"/>
      <x:c r="AJ1642" s="87" t="str">
        <x:v>master</x:v>
      </x:c>
      <x:c r="AK1642" s="87" t="str">
        <x:v>master-v0.81</x:v>
      </x:c>
      <x:c r="AL1642" s="87" t="str">
        <x:v>statgrad_master_base_v0_81_final(2).xlsx</x:v>
      </x:c>
      <x:c r="AM1642" s="87" t="str">
        <x:v>SOC_Mar_V2</x:v>
      </x:c>
      <x:c r="AN1642" s="87" t="n">
        <x:v>7</x:v>
      </x:c>
    </x:row>
    <x:row r="1643">
      <x:c r="A1643" s="87" t="n">
        <x:v>1642</x:v>
      </x:c>
      <x:c r="B1643" s="87" t="str">
        <x:v>MAR-SOC-V2-007</x:v>
      </x:c>
      <x:c r="C1643" s="87" t="str">
        <x:v>СтатГрад</x:v>
      </x:c>
      <x:c r="D1643" s="87" t="str">
        <x:v>Март 2026</x:v>
      </x:c>
      <x:c r="E1643" s="87"/>
      <x:c r="F1643" s="87"/>
      <x:c r="G1643" s="87" t="str">
        <x:v>Обществознание</x:v>
      </x:c>
      <x:c r="H1643" s="87" t="n">
        <x:v>11</x:v>
      </x:c>
      <x:c r="I1643" s="87" t="str">
        <x:v>ТР №5</x:v>
      </x:c>
      <x:c r="J1643" s="87" t="str">
        <x:v>ОБ2510502</x:v>
      </x:c>
      <x:c r="K1643" s="87" t="n">
        <x:v>7</x:v>
      </x:c>
      <x:c r="L1643" s="87" t="str">
        <x:v>Издержки фирмы</x:v>
      </x:c>
      <x:c r="M1643" s="30" t="str">
        <x:v>Выбрать переменные издержки мебельного производства.</x:v>
      </x:c>
      <x:c r="N1643" s="30" t="str">
        <x:v>34</x:v>
      </x:c>
      <x:c r="O1643" s="30" t="str">
        <x:v>Лакокрасочные материалы и доставка продукции зависят от объёма выпуска; аренда, реклама и базовые коммунальные расходы условно постоянны.</x:v>
      </x:c>
      <x:c r="P1643" s="30" t="str">
        <x:v>Лакокрасочные материалы и доставка продукции зависят от объёма выпуска; аренда, реклама и базовые коммунальные расходы условно постоянны.</x:v>
      </x:c>
      <x:c r="Q1643" s="30"/>
      <x:c r="R1643"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43" s="30"/>
      <x:c r="T1643" s="30"/>
      <x:c r="U1643" s="30" t="str">
        <x:v>Расхождений не обнаружено.</x:v>
      </x:c>
      <x:c r="V1643" s="87" t="str">
        <x:v>VERIFIED</x:v>
      </x:c>
      <x:c r="W1643" s="87" t="str">
        <x:v>Официальный PDF</x:v>
      </x:c>
      <x:c r="X1643" s="87"/>
      <x:c r="Y1643" s="87"/>
      <x:c r="Z1643" s="87"/>
      <x:c r="AA1643" s="87"/>
      <x:c r="AB1643" s="87"/>
      <x:c r="AC1643" s="87"/>
      <x:c r="AD1643" s="87"/>
      <x:c r="AE1643" s="87"/>
      <x:c r="AF1643" s="87"/>
      <x:c r="AG1643" s="87"/>
      <x:c r="AH1643" s="87"/>
      <x:c r="AI1643" s="30"/>
      <x:c r="AJ1643" s="87" t="str">
        <x:v>master</x:v>
      </x:c>
      <x:c r="AK1643" s="87" t="str">
        <x:v>master-v0.81</x:v>
      </x:c>
      <x:c r="AL1643" s="87" t="str">
        <x:v>statgrad_master_base_v0_81_final(2).xlsx</x:v>
      </x:c>
      <x:c r="AM1643" s="87" t="str">
        <x:v>SOC_Mar_V2</x:v>
      </x:c>
      <x:c r="AN1643" s="87" t="n">
        <x:v>8</x:v>
      </x:c>
    </x:row>
    <x:row r="1644">
      <x:c r="A1644" s="87" t="n">
        <x:v>1643</x:v>
      </x:c>
      <x:c r="B1644" s="87" t="str">
        <x:v>MAR-SOC-V2-008</x:v>
      </x:c>
      <x:c r="C1644" s="87" t="str">
        <x:v>СтатГрад</x:v>
      </x:c>
      <x:c r="D1644" s="87" t="str">
        <x:v>Март 2026</x:v>
      </x:c>
      <x:c r="E1644" s="87"/>
      <x:c r="F1644" s="87"/>
      <x:c r="G1644" s="87" t="str">
        <x:v>Обществознание</x:v>
      </x:c>
      <x:c r="H1644" s="87" t="n">
        <x:v>11</x:v>
      </x:c>
      <x:c r="I1644" s="87" t="str">
        <x:v>ТР №5</x:v>
      </x:c>
      <x:c r="J1644" s="87" t="str">
        <x:v>ОБ2510502</x:v>
      </x:c>
      <x:c r="K1644" s="87" t="n">
        <x:v>8</x:v>
      </x:c>
      <x:c r="L1644" s="87" t="str">
        <x:v>Социальные санкции</x:v>
      </x:c>
      <x:c r="M1644" s="30" t="str">
        <x:v>Выбрать верные суждения о социальных санкциях.</x:v>
      </x:c>
      <x:c r="N1644" s="30" t="str">
        <x:v>135</x:v>
      </x:c>
      <x:c r="O1644" s="30" t="str">
        <x:v>Санкции являются элементом контроля, бывают позитивными и негативными и поддерживают порядок.</x:v>
      </x:c>
      <x:c r="P1644" s="30" t="str">
        <x:v>Они могут быть неформальными и не гарантируют изменение поведения каждого человека.</x:v>
      </x:c>
      <x:c r="Q1644" s="30"/>
      <x:c r="R1644"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44" s="30"/>
      <x:c r="T1644" s="30"/>
      <x:c r="U1644" s="30" t="str">
        <x:v>Расхождений не обнаружено.</x:v>
      </x:c>
      <x:c r="V1644" s="87" t="str">
        <x:v>VERIFIED</x:v>
      </x:c>
      <x:c r="W1644" s="87" t="str">
        <x:v>Официальный PDF</x:v>
      </x:c>
      <x:c r="X1644" s="87"/>
      <x:c r="Y1644" s="87"/>
      <x:c r="Z1644" s="87"/>
      <x:c r="AA1644" s="87"/>
      <x:c r="AB1644" s="87"/>
      <x:c r="AC1644" s="87"/>
      <x:c r="AD1644" s="87"/>
      <x:c r="AE1644" s="87"/>
      <x:c r="AF1644" s="87"/>
      <x:c r="AG1644" s="87"/>
      <x:c r="AH1644" s="87"/>
      <x:c r="AI1644" s="30"/>
      <x:c r="AJ1644" s="87" t="str">
        <x:v>master</x:v>
      </x:c>
      <x:c r="AK1644" s="87" t="str">
        <x:v>master-v0.81</x:v>
      </x:c>
      <x:c r="AL1644" s="87" t="str">
        <x:v>statgrad_master_base_v0_81_final(2).xlsx</x:v>
      </x:c>
      <x:c r="AM1644" s="87" t="str">
        <x:v>SOC_Mar_V2</x:v>
      </x:c>
      <x:c r="AN1644" s="87" t="n">
        <x:v>9</x:v>
      </x:c>
    </x:row>
    <x:row r="1645">
      <x:c r="A1645" s="87" t="n">
        <x:v>1644</x:v>
      </x:c>
      <x:c r="B1645" s="87" t="str">
        <x:v>MAR-SOC-V2-009</x:v>
      </x:c>
      <x:c r="C1645" s="87" t="str">
        <x:v>СтатГрад</x:v>
      </x:c>
      <x:c r="D1645" s="87" t="str">
        <x:v>Март 2026</x:v>
      </x:c>
      <x:c r="E1645" s="87"/>
      <x:c r="F1645" s="87"/>
      <x:c r="G1645" s="87" t="str">
        <x:v>Обществознание</x:v>
      </x:c>
      <x:c r="H1645" s="87" t="n">
        <x:v>11</x:v>
      </x:c>
      <x:c r="I1645" s="87" t="str">
        <x:v>ТР №5</x:v>
      </x:c>
      <x:c r="J1645" s="87" t="str">
        <x:v>ОБ2510502</x:v>
      </x:c>
      <x:c r="K1645" s="87" t="n">
        <x:v>9</x:v>
      </x:c>
      <x:c r="L1645" s="87" t="str">
        <x:v>Анализ диаграммы</x:v>
      </x:c>
      <x:c r="M1645" s="30" t="str">
        <x:v>По мотивам создания семьи среди городских и сельских жителей выбрать верные выводы.</x:v>
      </x:c>
      <x:c r="N1645" s="30" t="str">
        <x:v>135</x:v>
      </x:c>
      <x:c r="O1645" s="30" t="str">
        <x:v>У сельских жителей минимум — недопущение одиночества; у горожан этот мотив популярнее; у сельских равны доли материального благополучия и общественного долга.</x:v>
      </x:c>
      <x:c r="P1645" s="30" t="str">
        <x:v>Все пять категорий диаграммы проверены по высоте столбцов.</x:v>
      </x:c>
      <x:c r="Q1645" s="30"/>
      <x:c r="R1645"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45" s="30"/>
      <x:c r="T1645" s="30"/>
      <x:c r="U1645" s="30" t="str">
        <x:v>Расхождений не обнаружено.</x:v>
      </x:c>
      <x:c r="V1645" s="87" t="str">
        <x:v>VERIFIED</x:v>
      </x:c>
      <x:c r="W1645" s="87" t="str">
        <x:v>PDF A, стр. 20</x:v>
      </x:c>
      <x:c r="X1645" s="87"/>
      <x:c r="Y1645" s="87"/>
      <x:c r="Z1645" s="87"/>
      <x:c r="AA1645" s="87"/>
      <x:c r="AB1645" s="87"/>
      <x:c r="AC1645" s="87"/>
      <x:c r="AD1645" s="87"/>
      <x:c r="AE1645" s="87"/>
      <x:c r="AF1645" s="87"/>
      <x:c r="AG1645" s="87"/>
      <x:c r="AH1645" s="87"/>
      <x:c r="AI1645" s="30"/>
      <x:c r="AJ1645" s="87" t="str">
        <x:v>master</x:v>
      </x:c>
      <x:c r="AK1645" s="87" t="str">
        <x:v>master-v0.81</x:v>
      </x:c>
      <x:c r="AL1645" s="87" t="str">
        <x:v>statgrad_master_base_v0_81_final(2).xlsx</x:v>
      </x:c>
      <x:c r="AM1645" s="87" t="str">
        <x:v>SOC_Mar_V2</x:v>
      </x:c>
      <x:c r="AN1645" s="87" t="n">
        <x:v>10</x:v>
      </x:c>
    </x:row>
    <x:row r="1646">
      <x:c r="A1646" s="87" t="n">
        <x:v>1645</x:v>
      </x:c>
      <x:c r="B1646" s="87" t="str">
        <x:v>MAR-SOC-V2-010</x:v>
      </x:c>
      <x:c r="C1646" s="87" t="str">
        <x:v>СтатГрад</x:v>
      </x:c>
      <x:c r="D1646" s="87" t="str">
        <x:v>Март 2026</x:v>
      </x:c>
      <x:c r="E1646" s="87"/>
      <x:c r="F1646" s="87"/>
      <x:c r="G1646" s="87" t="str">
        <x:v>Обществознание</x:v>
      </x:c>
      <x:c r="H1646" s="87" t="n">
        <x:v>11</x:v>
      </x:c>
      <x:c r="I1646" s="87" t="str">
        <x:v>ТР №5</x:v>
      </x:c>
      <x:c r="J1646" s="87" t="str">
        <x:v>ОБ2510502</x:v>
      </x:c>
      <x:c r="K1646" s="87" t="n">
        <x:v>10</x:v>
      </x:c>
      <x:c r="L1646" s="87" t="str">
        <x:v>Федеративное государство</x:v>
      </x:c>
      <x:c r="M1646" s="30" t="str">
        <x:v>Выбрать верные суждения о федерации.</x:v>
      </x:c>
      <x:c r="N1646" s="30" t="str">
        <x:v>125</x:v>
      </x:c>
      <x:c r="O1646" s="30" t="str">
        <x:v>Субъекты имеют политическую самостоятельность и собственное законодательство; компетенция разграничена между уровнями власти.</x:v>
      </x:c>
      <x:c r="P1646" s="30" t="str">
        <x:v>Субъекты не обладают государственным суверенитетом; федерациям обычно свойствен двухпалатный парламент.</x:v>
      </x:c>
      <x:c r="Q1646" s="30"/>
      <x:c r="R1646"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46" s="30"/>
      <x:c r="T1646" s="30"/>
      <x:c r="U1646" s="30" t="str">
        <x:v>Расхождений не обнаружено.</x:v>
      </x:c>
      <x:c r="V1646" s="87" t="str">
        <x:v>VERIFIED</x:v>
      </x:c>
      <x:c r="W1646" s="87" t="str">
        <x:v>Официальный PDF</x:v>
      </x:c>
      <x:c r="X1646" s="87"/>
      <x:c r="Y1646" s="87"/>
      <x:c r="Z1646" s="87"/>
      <x:c r="AA1646" s="87"/>
      <x:c r="AB1646" s="87"/>
      <x:c r="AC1646" s="87"/>
      <x:c r="AD1646" s="87"/>
      <x:c r="AE1646" s="87"/>
      <x:c r="AF1646" s="87"/>
      <x:c r="AG1646" s="87"/>
      <x:c r="AH1646" s="87"/>
      <x:c r="AI1646" s="30"/>
      <x:c r="AJ1646" s="87" t="str">
        <x:v>master</x:v>
      </x:c>
      <x:c r="AK1646" s="87" t="str">
        <x:v>master-v0.81</x:v>
      </x:c>
      <x:c r="AL1646" s="87" t="str">
        <x:v>statgrad_master_base_v0_81_final(2).xlsx</x:v>
      </x:c>
      <x:c r="AM1646" s="87" t="str">
        <x:v>SOC_Mar_V2</x:v>
      </x:c>
      <x:c r="AN1646" s="87" t="n">
        <x:v>11</x:v>
      </x:c>
    </x:row>
    <x:row r="1647">
      <x:c r="A1647" s="87" t="n">
        <x:v>1646</x:v>
      </x:c>
      <x:c r="B1647" s="87" t="str">
        <x:v>MAR-SOC-V2-011</x:v>
      </x:c>
      <x:c r="C1647" s="87" t="str">
        <x:v>СтатГрад</x:v>
      </x:c>
      <x:c r="D1647" s="87" t="str">
        <x:v>Март 2026</x:v>
      </x:c>
      <x:c r="E1647" s="87"/>
      <x:c r="F1647" s="87"/>
      <x:c r="G1647" s="87" t="str">
        <x:v>Обществознание</x:v>
      </x:c>
      <x:c r="H1647" s="87" t="n">
        <x:v>11</x:v>
      </x:c>
      <x:c r="I1647" s="87" t="str">
        <x:v>ТР №5</x:v>
      </x:c>
      <x:c r="J1647" s="87" t="str">
        <x:v>ОБ2510502</x:v>
      </x:c>
      <x:c r="K1647" s="87" t="n">
        <x:v>11</x:v>
      </x:c>
      <x:c r="L1647" s="87" t="str">
        <x:v>Демократический режим</x:v>
      </x:c>
      <x:c r="M1647" s="30" t="str">
        <x:v>Выбрать признаки демократического политического режима государства Z.</x:v>
      </x:c>
      <x:c r="N1647" s="30" t="str">
        <x:v>235</x:v>
      </x:c>
      <x:c r="O1647" s="30" t="str">
        <x:v>Свободная оппозиция, отсутствие обязательной идеологии и гарантии прав характеризуют демократию.</x:v>
      </x:c>
      <x:c r="P1647" s="30" t="str">
        <x:v>Срок президента, порядок формирования правительства и структура парламента относятся к иным элементам формы государства.</x:v>
      </x:c>
      <x:c r="Q1647" s="30"/>
      <x:c r="R1647"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47" s="30"/>
      <x:c r="T1647" s="30"/>
      <x:c r="U1647" s="30" t="str">
        <x:v>Расхождений не обнаружено.</x:v>
      </x:c>
      <x:c r="V1647" s="87" t="str">
        <x:v>VERIFIED</x:v>
      </x:c>
      <x:c r="W1647" s="87" t="str">
        <x:v>Официальный PDF</x:v>
      </x:c>
      <x:c r="X1647" s="87"/>
      <x:c r="Y1647" s="87"/>
      <x:c r="Z1647" s="87"/>
      <x:c r="AA1647" s="87"/>
      <x:c r="AB1647" s="87"/>
      <x:c r="AC1647" s="87"/>
      <x:c r="AD1647" s="87"/>
      <x:c r="AE1647" s="87"/>
      <x:c r="AF1647" s="87"/>
      <x:c r="AG1647" s="87"/>
      <x:c r="AH1647" s="87"/>
      <x:c r="AI1647" s="30"/>
      <x:c r="AJ1647" s="87" t="str">
        <x:v>master</x:v>
      </x:c>
      <x:c r="AK1647" s="87" t="str">
        <x:v>master-v0.81</x:v>
      </x:c>
      <x:c r="AL1647" s="87" t="str">
        <x:v>statgrad_master_base_v0_81_final(2).xlsx</x:v>
      </x:c>
      <x:c r="AM1647" s="87" t="str">
        <x:v>SOC_Mar_V2</x:v>
      </x:c>
      <x:c r="AN1647" s="87" t="n">
        <x:v>12</x:v>
      </x:c>
    </x:row>
    <x:row r="1648">
      <x:c r="A1648" s="87" t="n">
        <x:v>1647</x:v>
      </x:c>
      <x:c r="B1648" s="87" t="str">
        <x:v>MAR-SOC-V2-012</x:v>
      </x:c>
      <x:c r="C1648" s="87" t="str">
        <x:v>СтатГрад</x:v>
      </x:c>
      <x:c r="D1648" s="87" t="str">
        <x:v>Март 2026</x:v>
      </x:c>
      <x:c r="E1648" s="87"/>
      <x:c r="F1648" s="87"/>
      <x:c r="G1648" s="87" t="str">
        <x:v>Обществознание</x:v>
      </x:c>
      <x:c r="H1648" s="87" t="n">
        <x:v>11</x:v>
      </x:c>
      <x:c r="I1648" s="87" t="str">
        <x:v>ТР №5</x:v>
      </x:c>
      <x:c r="J1648" s="87" t="str">
        <x:v>ОБ2510502</x:v>
      </x:c>
      <x:c r="K1648" s="87" t="n">
        <x:v>12</x:v>
      </x:c>
      <x:c r="L1648" s="87" t="str">
        <x:v>Социальные права</x:v>
      </x:c>
      <x:c r="M1648" s="30" t="str">
        <x:v>Выбрать социальные права граждан РФ.</x:v>
      </x:c>
      <x:c r="N1648" s="30" t="str">
        <x:v>23</x:v>
      </x:c>
      <x:c r="O1648" s="30" t="str">
        <x:v>Право на жилище и медицинскую помощь — социальные; остальные варианты относятся к личным или экономическим правам.</x:v>
      </x:c>
      <x:c r="P1648" s="30" t="str">
        <x:v>Право на жилище и медицинскую помощь — социальные; остальные варианты относятся к личным или экономическим правам.</x:v>
      </x:c>
      <x:c r="Q1648" s="30"/>
      <x:c r="R1648"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48" s="30"/>
      <x:c r="T1648" s="30"/>
      <x:c r="U1648" s="30" t="str">
        <x:v>Расхождений не обнаружено.</x:v>
      </x:c>
      <x:c r="V1648" s="87" t="str">
        <x:v>VERIFIED</x:v>
      </x:c>
      <x:c r="W1648" s="87" t="str">
        <x:v>Официальный PDF</x:v>
      </x:c>
      <x:c r="X1648" s="87"/>
      <x:c r="Y1648" s="87"/>
      <x:c r="Z1648" s="87"/>
      <x:c r="AA1648" s="87"/>
      <x:c r="AB1648" s="87"/>
      <x:c r="AC1648" s="87"/>
      <x:c r="AD1648" s="87"/>
      <x:c r="AE1648" s="87"/>
      <x:c r="AF1648" s="87"/>
      <x:c r="AG1648" s="87"/>
      <x:c r="AH1648" s="87"/>
      <x:c r="AI1648" s="30"/>
      <x:c r="AJ1648" s="87" t="str">
        <x:v>master</x:v>
      </x:c>
      <x:c r="AK1648" s="87" t="str">
        <x:v>master-v0.81</x:v>
      </x:c>
      <x:c r="AL1648" s="87" t="str">
        <x:v>statgrad_master_base_v0_81_final(2).xlsx</x:v>
      </x:c>
      <x:c r="AM1648" s="87" t="str">
        <x:v>SOC_Mar_V2</x:v>
      </x:c>
      <x:c r="AN1648" s="87" t="n">
        <x:v>13</x:v>
      </x:c>
    </x:row>
    <x:row r="1649">
      <x:c r="A1649" s="87" t="n">
        <x:v>1648</x:v>
      </x:c>
      <x:c r="B1649" s="87" t="str">
        <x:v>MAR-SOC-V2-013</x:v>
      </x:c>
      <x:c r="C1649" s="87" t="str">
        <x:v>СтатГрад</x:v>
      </x:c>
      <x:c r="D1649" s="87" t="str">
        <x:v>Март 2026</x:v>
      </x:c>
      <x:c r="E1649" s="87"/>
      <x:c r="F1649" s="87"/>
      <x:c r="G1649" s="87" t="str">
        <x:v>Обществознание</x:v>
      </x:c>
      <x:c r="H1649" s="87" t="n">
        <x:v>11</x:v>
      </x:c>
      <x:c r="I1649" s="87" t="str">
        <x:v>ТР №5</x:v>
      </x:c>
      <x:c r="J1649" s="87" t="str">
        <x:v>ОБ2510502</x:v>
      </x:c>
      <x:c r="K1649" s="87" t="n">
        <x:v>13</x:v>
      </x:c>
      <x:c r="L1649" s="87" t="str">
        <x:v>Федеральное Собрание</x:v>
      </x:c>
      <x:c r="M1649" s="30" t="str">
        <x:v>Соотнести полномочия Государственной Думы и Совета Федерации.</x:v>
      </x:c>
      <x:c r="N1649" s="30" t="str">
        <x:v>11212</x:v>
      </x:c>
      <x:c r="O1649" s="30" t="str">
        <x:v>Амнистия, назначение председателя ЦБ и доверие Правительству — полномочия Госдумы; выборы Президента и границы субъектов — Совета Федерации.</x:v>
      </x:c>
      <x:c r="P1649" s="30" t="str">
        <x:v>Амнистия, назначение председателя ЦБ и доверие Правительству — полномочия Госдумы; выборы Президента и границы субъектов — Совета Федерации.</x:v>
      </x:c>
      <x:c r="Q1649" s="30"/>
      <x:c r="R1649"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49" s="30"/>
      <x:c r="T1649" s="30"/>
      <x:c r="U1649" s="30" t="str">
        <x:v>Расхождений не обнаружено.</x:v>
      </x:c>
      <x:c r="V1649" s="87" t="str">
        <x:v>VERIFIED</x:v>
      </x:c>
      <x:c r="W1649" s="87" t="str">
        <x:v>Официальный PDF</x:v>
      </x:c>
      <x:c r="X1649" s="87"/>
      <x:c r="Y1649" s="87"/>
      <x:c r="Z1649" s="87"/>
      <x:c r="AA1649" s="87"/>
      <x:c r="AB1649" s="87"/>
      <x:c r="AC1649" s="87"/>
      <x:c r="AD1649" s="87"/>
      <x:c r="AE1649" s="87"/>
      <x:c r="AF1649" s="87"/>
      <x:c r="AG1649" s="87"/>
      <x:c r="AH1649" s="87"/>
      <x:c r="AI1649" s="30"/>
      <x:c r="AJ1649" s="87" t="str">
        <x:v>master</x:v>
      </x:c>
      <x:c r="AK1649" s="87" t="str">
        <x:v>master-v0.81</x:v>
      </x:c>
      <x:c r="AL1649" s="87" t="str">
        <x:v>statgrad_master_base_v0_81_final(2).xlsx</x:v>
      </x:c>
      <x:c r="AM1649" s="87" t="str">
        <x:v>SOC_Mar_V2</x:v>
      </x:c>
      <x:c r="AN1649" s="87" t="n">
        <x:v>14</x:v>
      </x:c>
    </x:row>
    <x:row r="1650">
      <x:c r="A1650" s="87" t="n">
        <x:v>1649</x:v>
      </x:c>
      <x:c r="B1650" s="87" t="str">
        <x:v>MAR-SOC-V2-014</x:v>
      </x:c>
      <x:c r="C1650" s="87" t="str">
        <x:v>СтатГрад</x:v>
      </x:c>
      <x:c r="D1650" s="87" t="str">
        <x:v>Март 2026</x:v>
      </x:c>
      <x:c r="E1650" s="87"/>
      <x:c r="F1650" s="87"/>
      <x:c r="G1650" s="87" t="str">
        <x:v>Обществознание</x:v>
      </x:c>
      <x:c r="H1650" s="87" t="n">
        <x:v>11</x:v>
      </x:c>
      <x:c r="I1650" s="87" t="str">
        <x:v>ТР №5</x:v>
      </x:c>
      <x:c r="J1650" s="87" t="str">
        <x:v>ОБ2510502</x:v>
      </x:c>
      <x:c r="K1650" s="87" t="n">
        <x:v>14</x:v>
      </x:c>
      <x:c r="L1650" s="87" t="str">
        <x:v>Уголовное судопроизводство</x:v>
      </x:c>
      <x:c r="M1650" s="30" t="str">
        <x:v>Выбрать верные суждения об уголовном процессе.</x:v>
      </x:c>
      <x:c r="N1650" s="30" t="str">
        <x:v>135</x:v>
      </x:c>
      <x:c r="O1650" s="30" t="str">
        <x:v>Обвинение и защита равноправны, защита несовершеннолетнего обязательна, приговор первой инстанции можно обжаловать.</x:v>
      </x:c>
      <x:c r="P1650" s="30" t="str">
        <x:v>Суд присяжных предусмотрен не для любого обвинения; уголовные дела рассматривают также мировые судьи.</x:v>
      </x:c>
      <x:c r="Q1650" s="30"/>
      <x:c r="R1650"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50" s="30"/>
      <x:c r="T1650" s="30"/>
      <x:c r="U1650" s="30" t="str">
        <x:v>Расхождений не обнаружено.</x:v>
      </x:c>
      <x:c r="V1650" s="87" t="str">
        <x:v>VERIFIED</x:v>
      </x:c>
      <x:c r="W1650" s="87" t="str">
        <x:v>Официальный PDF</x:v>
      </x:c>
      <x:c r="X1650" s="87"/>
      <x:c r="Y1650" s="87"/>
      <x:c r="Z1650" s="87"/>
      <x:c r="AA1650" s="87"/>
      <x:c r="AB1650" s="87"/>
      <x:c r="AC1650" s="87"/>
      <x:c r="AD1650" s="87"/>
      <x:c r="AE1650" s="87"/>
      <x:c r="AF1650" s="87"/>
      <x:c r="AG1650" s="87"/>
      <x:c r="AH1650" s="87"/>
      <x:c r="AI1650" s="30"/>
      <x:c r="AJ1650" s="87" t="str">
        <x:v>master</x:v>
      </x:c>
      <x:c r="AK1650" s="87" t="str">
        <x:v>master-v0.81</x:v>
      </x:c>
      <x:c r="AL1650" s="87" t="str">
        <x:v>statgrad_master_base_v0_81_final(2).xlsx</x:v>
      </x:c>
      <x:c r="AM1650" s="87" t="str">
        <x:v>SOC_Mar_V2</x:v>
      </x:c>
      <x:c r="AN1650" s="87" t="n">
        <x:v>15</x:v>
      </x:c>
    </x:row>
    <x:row r="1651">
      <x:c r="A1651" s="87" t="n">
        <x:v>1650</x:v>
      </x:c>
      <x:c r="B1651" s="87" t="str">
        <x:v>MAR-SOC-V2-015</x:v>
      </x:c>
      <x:c r="C1651" s="87" t="str">
        <x:v>СтатГрад</x:v>
      </x:c>
      <x:c r="D1651" s="87" t="str">
        <x:v>Март 2026</x:v>
      </x:c>
      <x:c r="E1651" s="87"/>
      <x:c r="F1651" s="87"/>
      <x:c r="G1651" s="87" t="str">
        <x:v>Обществознание</x:v>
      </x:c>
      <x:c r="H1651" s="87" t="n">
        <x:v>11</x:v>
      </x:c>
      <x:c r="I1651" s="87" t="str">
        <x:v>ТР №5</x:v>
      </x:c>
      <x:c r="J1651" s="87" t="str">
        <x:v>ОБ2510502</x:v>
      </x:c>
      <x:c r="K1651" s="87" t="n">
        <x:v>15</x:v>
      </x:c>
      <x:c r="L1651" s="87" t="str">
        <x:v>Уголовно-правовые меры</x:v>
      </x:c>
      <x:c r="M1651" s="30" t="str">
        <x:v>Соотнести залог, ограничение свободы, штраф, домашний арест и лишение свободы с наказаниями и мерами пресечения.</x:v>
      </x:c>
      <x:c r="N1651" s="30" t="str">
        <x:v>21121</x:v>
      </x:c>
      <x:c r="O1651" s="30" t="str">
        <x:v>Залог и домашний арест — меры пресечения; ограничение свободы, штраф и лишение свободы — уголовные наказания.</x:v>
      </x:c>
      <x:c r="P1651" s="30" t="str">
        <x:v>Залог и домашний арест — меры пресечения; ограничение свободы, штраф и лишение свободы — уголовные наказания.</x:v>
      </x:c>
      <x:c r="Q1651" s="30"/>
      <x:c r="R1651"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51" s="30"/>
      <x:c r="T1651" s="30"/>
      <x:c r="U1651" s="30" t="str">
        <x:v>Расхождений не обнаружено.</x:v>
      </x:c>
      <x:c r="V1651" s="87" t="str">
        <x:v>VERIFIED</x:v>
      </x:c>
      <x:c r="W1651" s="87" t="str">
        <x:v>Официальный PDF</x:v>
      </x:c>
      <x:c r="X1651" s="87"/>
      <x:c r="Y1651" s="87"/>
      <x:c r="Z1651" s="87"/>
      <x:c r="AA1651" s="87"/>
      <x:c r="AB1651" s="87"/>
      <x:c r="AC1651" s="87"/>
      <x:c r="AD1651" s="87"/>
      <x:c r="AE1651" s="87"/>
      <x:c r="AF1651" s="87"/>
      <x:c r="AG1651" s="87"/>
      <x:c r="AH1651" s="87"/>
      <x:c r="AI1651" s="30"/>
      <x:c r="AJ1651" s="87" t="str">
        <x:v>master</x:v>
      </x:c>
      <x:c r="AK1651" s="87" t="str">
        <x:v>master-v0.81</x:v>
      </x:c>
      <x:c r="AL1651" s="87" t="str">
        <x:v>statgrad_master_base_v0_81_final(2).xlsx</x:v>
      </x:c>
      <x:c r="AM1651" s="87" t="str">
        <x:v>SOC_Mar_V2</x:v>
      </x:c>
      <x:c r="AN1651" s="87" t="n">
        <x:v>16</x:v>
      </x:c>
    </x:row>
    <x:row r="1652">
      <x:c r="A1652" s="87" t="n">
        <x:v>1651</x:v>
      </x:c>
      <x:c r="B1652" s="87" t="str">
        <x:v>MAR-SOC-V2-016</x:v>
      </x:c>
      <x:c r="C1652" s="87" t="str">
        <x:v>СтатГрад</x:v>
      </x:c>
      <x:c r="D1652" s="87" t="str">
        <x:v>Март 2026</x:v>
      </x:c>
      <x:c r="E1652" s="87"/>
      <x:c r="F1652" s="87"/>
      <x:c r="G1652" s="87" t="str">
        <x:v>Обществознание</x:v>
      </x:c>
      <x:c r="H1652" s="87" t="n">
        <x:v>11</x:v>
      </x:c>
      <x:c r="I1652" s="87" t="str">
        <x:v>ТР №5</x:v>
      </x:c>
      <x:c r="J1652" s="87" t="str">
        <x:v>ОБ2510502</x:v>
      </x:c>
      <x:c r="K1652" s="87" t="n">
        <x:v>16</x:v>
      </x:c>
      <x:c r="L1652" s="87" t="str">
        <x:v>Трудовое право</x:v>
      </x:c>
      <x:c r="M1652" s="30" t="str">
        <x:v>Выбрать грубые нарушения дисциплины, допускающие увольнение.</x:v>
      </x:c>
      <x:c r="N1652" s="30" t="str">
        <x:v>134</x:v>
      </x:c>
      <x:c r="O1652" s="30" t="str">
        <x:v>Прогул, появление в состоянии опьянения и разглашение коммерческой тайны являются однократными грубыми нарушениями.</x:v>
      </x:c>
      <x:c r="P1652" s="30" t="str">
        <x:v>Разовое опоздание или ранний уход сами по себе обычно влекут более мягкую дисциплинарную ответственность.</x:v>
      </x:c>
      <x:c r="Q1652" s="30"/>
      <x:c r="R1652"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52" s="30"/>
      <x:c r="T1652" s="30"/>
      <x:c r="U1652" s="30" t="str">
        <x:v>Расхождений не обнаружено.</x:v>
      </x:c>
      <x:c r="V1652" s="87" t="str">
        <x:v>VERIFIED</x:v>
      </x:c>
      <x:c r="W1652" s="87" t="str">
        <x:v>Официальный PDF</x:v>
      </x:c>
      <x:c r="X1652" s="87"/>
      <x:c r="Y1652" s="87"/>
      <x:c r="Z1652" s="87"/>
      <x:c r="AA1652" s="87"/>
      <x:c r="AB1652" s="87"/>
      <x:c r="AC1652" s="87"/>
      <x:c r="AD1652" s="87"/>
      <x:c r="AE1652" s="87"/>
      <x:c r="AF1652" s="87"/>
      <x:c r="AG1652" s="87"/>
      <x:c r="AH1652" s="87"/>
      <x:c r="AI1652" s="30"/>
      <x:c r="AJ1652" s="87" t="str">
        <x:v>master</x:v>
      </x:c>
      <x:c r="AK1652" s="87" t="str">
        <x:v>master-v0.81</x:v>
      </x:c>
      <x:c r="AL1652" s="87" t="str">
        <x:v>statgrad_master_base_v0_81_final(2).xlsx</x:v>
      </x:c>
      <x:c r="AM1652" s="87" t="str">
        <x:v>SOC_Mar_V2</x:v>
      </x:c>
      <x:c r="AN1652" s="87" t="n">
        <x:v>17</x:v>
      </x:c>
    </x:row>
    <x:row r="1653">
      <x:c r="A1653" s="87" t="n">
        <x:v>1652</x:v>
      </x:c>
      <x:c r="B1653" s="87" t="str">
        <x:v>MAR-SOC-V2-017</x:v>
      </x:c>
      <x:c r="C1653" s="87" t="str">
        <x:v>СтатГрад</x:v>
      </x:c>
      <x:c r="D1653" s="87" t="str">
        <x:v>Март 2026</x:v>
      </x:c>
      <x:c r="E1653" s="87"/>
      <x:c r="F1653" s="87"/>
      <x:c r="G1653" s="87" t="str">
        <x:v>Обществознание</x:v>
      </x:c>
      <x:c r="H1653" s="87" t="n">
        <x:v>11</x:v>
      </x:c>
      <x:c r="I1653" s="87" t="str">
        <x:v>ТР №5</x:v>
      </x:c>
      <x:c r="J1653" s="87" t="str">
        <x:v>ОБ2510502</x:v>
      </x:c>
      <x:c r="K1653" s="87" t="n">
        <x:v>17</x:v>
      </x:c>
      <x:c r="L1653" s="87" t="str">
        <x:v>Анализ текста: статус и роль</x:v>
      </x:c>
      <x:c r="M1653" s="30" t="str">
        <x:v>По тексту С. С. Фролова определить социальный статус, его связь с ролью и назвать три социальные группы.</x:v>
      </x:c>
      <x:c r="N1653" s="30" t="str">
        <x:v>Социальный статус — ранг или позиция индивида в группе либо группы среди других групп. Социальная роль — ожидаемое поведение носителя статуса. Примеры групп: семья, коллектив предприятия, общественная организация.</x:v>
      </x:c>
      <x:c r="O1653" s="30" t="str">
        <x:v>Даны ответы на все три вопроса; названы три группы из текста.</x:v>
      </x:c>
      <x:c r="P1653" s="30" t="str">
        <x:v>Даны ответы на все три вопроса; названы три группы из текста.</x:v>
      </x:c>
      <x:c r="Q1653" s="30"/>
      <x:c r="R1653"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53" s="30"/>
      <x:c r="T1653" s="30"/>
      <x:c r="U1653" s="30" t="str">
        <x:v>Расхождений не обнаружено.</x:v>
      </x:c>
      <x:c r="V1653" s="87" t="str">
        <x:v>VERIFIED</x:v>
      </x:c>
      <x:c r="W1653" s="87" t="str">
        <x:v>Официальный PDF</x:v>
      </x:c>
      <x:c r="X1653" s="87"/>
      <x:c r="Y1653" s="87"/>
      <x:c r="Z1653" s="87"/>
      <x:c r="AA1653" s="87"/>
      <x:c r="AB1653" s="87"/>
      <x:c r="AC1653" s="87"/>
      <x:c r="AD1653" s="87"/>
      <x:c r="AE1653" s="87"/>
      <x:c r="AF1653" s="87"/>
      <x:c r="AG1653" s="87"/>
      <x:c r="AH1653" s="87"/>
      <x:c r="AI1653" s="30"/>
      <x:c r="AJ1653" s="87" t="str">
        <x:v>master</x:v>
      </x:c>
      <x:c r="AK1653" s="87" t="str">
        <x:v>master-v0.81</x:v>
      </x:c>
      <x:c r="AL1653" s="87" t="str">
        <x:v>statgrad_master_base_v0_81_final(2).xlsx</x:v>
      </x:c>
      <x:c r="AM1653" s="87" t="str">
        <x:v>SOC_Mar_V2</x:v>
      </x:c>
      <x:c r="AN1653" s="87" t="n">
        <x:v>18</x:v>
      </x:c>
    </x:row>
    <x:row r="1654">
      <x:c r="A1654" s="87" t="n">
        <x:v>1653</x:v>
      </x:c>
      <x:c r="B1654" s="87" t="str">
        <x:v>MAR-SOC-V2-018</x:v>
      </x:c>
      <x:c r="C1654" s="87" t="str">
        <x:v>СтатГрад</x:v>
      </x:c>
      <x:c r="D1654" s="87" t="str">
        <x:v>Март 2026</x:v>
      </x:c>
      <x:c r="E1654" s="87"/>
      <x:c r="F1654" s="87"/>
      <x:c r="G1654" s="87" t="str">
        <x:v>Обществознание</x:v>
      </x:c>
      <x:c r="H1654" s="87" t="n">
        <x:v>11</x:v>
      </x:c>
      <x:c r="I1654" s="87" t="str">
        <x:v>ТР №5</x:v>
      </x:c>
      <x:c r="J1654" s="87" t="str">
        <x:v>ОБ2510502</x:v>
      </x:c>
      <x:c r="K1654" s="87" t="n">
        <x:v>18</x:v>
      </x:c>
      <x:c r="L1654" s="87" t="str">
        <x:v>Теоретическое задание: социализация</x:v>
      </x:c>
      <x:c r="M1654" s="30" t="str">
        <x:v>Назвать не менее трёх признаков социализации и объяснить её связь с освоением ролей.</x:v>
      </x:c>
      <x:c r="N1654" s="30" t="str">
        <x:v>Социализация продолжается всю жизнь, включает усвоение норм и ценностей, происходит во взаимодействии с людьми, связана с освоением социальных ролей и формирует личность. Обучаясь ролевому поведению, человек осваивает ожидаемые способы действий и становится полноценным участником общества.</x:v>
      </x:c>
      <x:c r="O1654" s="30" t="str">
        <x:v>Приведено пять корректных признаков и объяснена функциональная связь.</x:v>
      </x:c>
      <x:c r="P1654" s="30" t="str">
        <x:v>Приведено пять корректных признаков и объяснена функциональная связь.</x:v>
      </x:c>
      <x:c r="Q1654" s="30"/>
      <x:c r="R1654"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54" s="30"/>
      <x:c r="T1654" s="30"/>
      <x:c r="U1654" s="30" t="str">
        <x:v>Расхождений не обнаружено.</x:v>
      </x:c>
      <x:c r="V1654" s="87" t="str">
        <x:v>VERIFIED</x:v>
      </x:c>
      <x:c r="W1654" s="87" t="str">
        <x:v>Официальный PDF</x:v>
      </x:c>
      <x:c r="X1654" s="87"/>
      <x:c r="Y1654" s="87"/>
      <x:c r="Z1654" s="87"/>
      <x:c r="AA1654" s="87"/>
      <x:c r="AB1654" s="87"/>
      <x:c r="AC1654" s="87"/>
      <x:c r="AD1654" s="87"/>
      <x:c r="AE1654" s="87"/>
      <x:c r="AF1654" s="87"/>
      <x:c r="AG1654" s="87"/>
      <x:c r="AH1654" s="87"/>
      <x:c r="AI1654" s="30"/>
      <x:c r="AJ1654" s="87" t="str">
        <x:v>master</x:v>
      </x:c>
      <x:c r="AK1654" s="87" t="str">
        <x:v>master-v0.81</x:v>
      </x:c>
      <x:c r="AL1654" s="87" t="str">
        <x:v>statgrad_master_base_v0_81_final(2).xlsx</x:v>
      </x:c>
      <x:c r="AM1654" s="87" t="str">
        <x:v>SOC_Mar_V2</x:v>
      </x:c>
      <x:c r="AN1654" s="87" t="n">
        <x:v>19</x:v>
      </x:c>
    </x:row>
    <x:row r="1655">
      <x:c r="A1655" s="87" t="n">
        <x:v>1654</x:v>
      </x:c>
      <x:c r="B1655" s="87" t="str">
        <x:v>MAR-SOC-V2-019</x:v>
      </x:c>
      <x:c r="C1655" s="87" t="str">
        <x:v>СтатГрад</x:v>
      </x:c>
      <x:c r="D1655" s="87" t="str">
        <x:v>Март 2026</x:v>
      </x:c>
      <x:c r="E1655" s="87"/>
      <x:c r="F1655" s="87"/>
      <x:c r="G1655" s="87" t="str">
        <x:v>Обществознание</x:v>
      </x:c>
      <x:c r="H1655" s="87" t="n">
        <x:v>11</x:v>
      </x:c>
      <x:c r="I1655" s="87" t="str">
        <x:v>ТР №5</x:v>
      </x:c>
      <x:c r="J1655" s="87" t="str">
        <x:v>ОБ2510502</x:v>
      </x:c>
      <x:c r="K1655" s="87" t="n">
        <x:v>19</x:v>
      </x:c>
      <x:c r="L1655" s="87" t="str">
        <x:v>Примеры: социальные роли</x:v>
      </x:c>
      <x:c r="M1655" s="30" t="str">
        <x:v>Привести примеры реализации трёх социальных ролей из текста.</x:v>
      </x:c>
      <x:c r="N1655" s="30" t="str">
        <x:v>1) Ребёнок: школьница выполняет домашние обязанности, уважительно общается со взрослыми и добросовестно учится. 2) Военнослужащий: офицер соблюдает дисциплину, выполняет приказы и отвечает за подчинённых. 3) Член семьи: мать заботится о детях, участвует в ведении хозяйства и оказывает близким эмоциональную поддержку.</x:v>
      </x:c>
      <x:c r="O1655" s="30" t="str">
        <x:v>Каждый пример называет роль и раскрывает конкретное ролевое поведение.</x:v>
      </x:c>
      <x:c r="P1655" s="30" t="str">
        <x:v>Каждый пример называет роль и раскрывает конкретное ролевое поведение.</x:v>
      </x:c>
      <x:c r="Q1655" s="30"/>
      <x:c r="R1655"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55" s="30"/>
      <x:c r="T1655" s="30"/>
      <x:c r="U1655" s="30" t="str">
        <x:v>Расхождений не обнаружено.</x:v>
      </x:c>
      <x:c r="V1655" s="87" t="str">
        <x:v>VERIFIED</x:v>
      </x:c>
      <x:c r="W1655" s="87" t="str">
        <x:v>Официальный PDF</x:v>
      </x:c>
      <x:c r="X1655" s="87"/>
      <x:c r="Y1655" s="87"/>
      <x:c r="Z1655" s="87"/>
      <x:c r="AA1655" s="87"/>
      <x:c r="AB1655" s="87"/>
      <x:c r="AC1655" s="87"/>
      <x:c r="AD1655" s="87"/>
      <x:c r="AE1655" s="87"/>
      <x:c r="AF1655" s="87"/>
      <x:c r="AG1655" s="87"/>
      <x:c r="AH1655" s="87"/>
      <x:c r="AI1655" s="30"/>
      <x:c r="AJ1655" s="87" t="str">
        <x:v>master</x:v>
      </x:c>
      <x:c r="AK1655" s="87" t="str">
        <x:v>master-v0.81</x:v>
      </x:c>
      <x:c r="AL1655" s="87" t="str">
        <x:v>statgrad_master_base_v0_81_final(2).xlsx</x:v>
      </x:c>
      <x:c r="AM1655" s="87" t="str">
        <x:v>SOC_Mar_V2</x:v>
      </x:c>
      <x:c r="AN1655" s="87" t="n">
        <x:v>20</x:v>
      </x:c>
    </x:row>
    <x:row r="1656">
      <x:c r="A1656" s="87" t="n">
        <x:v>1655</x:v>
      </x:c>
      <x:c r="B1656" s="87" t="str">
        <x:v>MAR-SOC-V2-020</x:v>
      </x:c>
      <x:c r="C1656" s="87" t="str">
        <x:v>СтатГрад</x:v>
      </x:c>
      <x:c r="D1656" s="87" t="str">
        <x:v>Март 2026</x:v>
      </x:c>
      <x:c r="E1656" s="87"/>
      <x:c r="F1656" s="87"/>
      <x:c r="G1656" s="87" t="str">
        <x:v>Обществознание</x:v>
      </x:c>
      <x:c r="H1656" s="87" t="n">
        <x:v>11</x:v>
      </x:c>
      <x:c r="I1656" s="87" t="str">
        <x:v>ТР №5</x:v>
      </x:c>
      <x:c r="J1656" s="87" t="str">
        <x:v>ОБ2510502</x:v>
      </x:c>
      <x:c r="K1656" s="87" t="n">
        <x:v>20</x:v>
      </x:c>
      <x:c r="L1656" s="87" t="str">
        <x:v>Аргументация: статус и нормы</x:v>
      </x:c>
      <x:c r="M1656" s="30" t="str">
        <x:v>Привести три аргумента зависимости принимаемых норм от социального статуса.</x:v>
      </x:c>
      <x:c r="N1656" s="30" t="str">
        <x:v>1) Многие нормы адресованы только носителям определённых статусов, например судьям, военнослужащим или родителям. 2) Правила, обязательные для одной группы, могут быть неприемлемы для другой, поскольку статусы предполагают разные права и обязанности. 3) Статус определяет исполняемые роли и связанную с ними систему ожиданий, поэтому человек отбирает нормы, необходимые для своего ролевого поведения.</x:v>
      </x:c>
      <x:c r="O1656" s="30" t="str">
        <x:v>Аргументы раскрывают адресность норм, различие требований и связь статуса с ролью.</x:v>
      </x:c>
      <x:c r="P1656" s="30" t="str">
        <x:v>Аргументы раскрывают адресность норм, различие требований и связь статуса с ролью.</x:v>
      </x:c>
      <x:c r="Q1656" s="30"/>
      <x:c r="R1656"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56" s="30"/>
      <x:c r="T1656" s="30"/>
      <x:c r="U1656" s="30" t="str">
        <x:v>Расхождений не обнаружено.</x:v>
      </x:c>
      <x:c r="V1656" s="87" t="str">
        <x:v>VERIFIED</x:v>
      </x:c>
      <x:c r="W1656" s="87" t="str">
        <x:v>Официальный PDF</x:v>
      </x:c>
      <x:c r="X1656" s="87"/>
      <x:c r="Y1656" s="87"/>
      <x:c r="Z1656" s="87"/>
      <x:c r="AA1656" s="87"/>
      <x:c r="AB1656" s="87"/>
      <x:c r="AC1656" s="87"/>
      <x:c r="AD1656" s="87"/>
      <x:c r="AE1656" s="87"/>
      <x:c r="AF1656" s="87"/>
      <x:c r="AG1656" s="87"/>
      <x:c r="AH1656" s="87"/>
      <x:c r="AI1656" s="30"/>
      <x:c r="AJ1656" s="87" t="str">
        <x:v>master</x:v>
      </x:c>
      <x:c r="AK1656" s="87" t="str">
        <x:v>master-v0.81</x:v>
      </x:c>
      <x:c r="AL1656" s="87" t="str">
        <x:v>statgrad_master_base_v0_81_final(2).xlsx</x:v>
      </x:c>
      <x:c r="AM1656" s="87" t="str">
        <x:v>SOC_Mar_V2</x:v>
      </x:c>
      <x:c r="AN1656" s="87" t="n">
        <x:v>21</x:v>
      </x:c>
    </x:row>
    <x:row r="1657">
      <x:c r="A1657" s="87" t="n">
        <x:v>1656</x:v>
      </x:c>
      <x:c r="B1657" s="87" t="str">
        <x:v>MAR-SOC-V2-021</x:v>
      </x:c>
      <x:c r="C1657" s="87" t="str">
        <x:v>СтатГрад</x:v>
      </x:c>
      <x:c r="D1657" s="87" t="str">
        <x:v>Март 2026</x:v>
      </x:c>
      <x:c r="E1657" s="87"/>
      <x:c r="F1657" s="87"/>
      <x:c r="G1657" s="87" t="str">
        <x:v>Обществознание</x:v>
      </x:c>
      <x:c r="H1657" s="87" t="n">
        <x:v>11</x:v>
      </x:c>
      <x:c r="I1657" s="87" t="str">
        <x:v>ТР №5</x:v>
      </x:c>
      <x:c r="J1657" s="87" t="str">
        <x:v>ОБ2510502</x:v>
      </x:c>
      <x:c r="K1657" s="87" t="n">
        <x:v>21</x:v>
      </x:c>
      <x:c r="L1657" s="87" t="str">
        <x:v>Рыночный график: новостройки</x:v>
      </x:c>
      <x:c r="M1657" s="30" t="str">
        <x:v>Предложение жилых новостроек сдвинулось влево. Определить цену, фактор предложения и последствия снижения ипотечных ставок.</x:v>
      </x:c>
      <x:c r="N1657" s="30" t="str">
        <x:v>Равновесная цена увеличилась. Возможный фактор: рост стоимости строительных материалов увеличил себестоимость и сократил предложение новостроек. Снижение ипотечных ставок увеличит спрос на жильё и повысит равновесную цену.</x:v>
      </x:c>
      <x:c r="O1657" s="30" t="str">
        <x:v>Направления сдвигов и изменения равновесной цены проверены по графику.</x:v>
      </x:c>
      <x:c r="P1657" s="30" t="str">
        <x:v>Направления сдвигов и изменения равновесной цены проверены по графику.</x:v>
      </x:c>
      <x:c r="Q1657" s="30"/>
      <x:c r="R1657"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57" s="30"/>
      <x:c r="T1657" s="30"/>
      <x:c r="U1657" s="30" t="str">
        <x:v>Расхождений не обнаружено.</x:v>
      </x:c>
      <x:c r="V1657" s="87" t="str">
        <x:v>VERIFIED</x:v>
      </x:c>
      <x:c r="W1657" s="87" t="str">
        <x:v>PDF B, стр. 13 / PDF A, стр. 26</x:v>
      </x:c>
      <x:c r="X1657" s="87"/>
      <x:c r="Y1657" s="87"/>
      <x:c r="Z1657" s="87"/>
      <x:c r="AA1657" s="87"/>
      <x:c r="AB1657" s="87"/>
      <x:c r="AC1657" s="87"/>
      <x:c r="AD1657" s="87"/>
      <x:c r="AE1657" s="87"/>
      <x:c r="AF1657" s="87"/>
      <x:c r="AG1657" s="87"/>
      <x:c r="AH1657" s="87"/>
      <x:c r="AI1657" s="30"/>
      <x:c r="AJ1657" s="87" t="str">
        <x:v>master</x:v>
      </x:c>
      <x:c r="AK1657" s="87" t="str">
        <x:v>master-v0.81</x:v>
      </x:c>
      <x:c r="AL1657" s="87" t="str">
        <x:v>statgrad_master_base_v0_81_final(2).xlsx</x:v>
      </x:c>
      <x:c r="AM1657" s="87" t="str">
        <x:v>SOC_Mar_V2</x:v>
      </x:c>
      <x:c r="AN1657" s="87" t="n">
        <x:v>22</x:v>
      </x:c>
    </x:row>
    <x:row r="1658">
      <x:c r="A1658" s="87" t="n">
        <x:v>1657</x:v>
      </x:c>
      <x:c r="B1658" s="87" t="str">
        <x:v>MAR-SOC-V2-022</x:v>
      </x:c>
      <x:c r="C1658" s="87" t="str">
        <x:v>СтатГрад</x:v>
      </x:c>
      <x:c r="D1658" s="87" t="str">
        <x:v>Март 2026</x:v>
      </x:c>
      <x:c r="E1658" s="87"/>
      <x:c r="F1658" s="87"/>
      <x:c r="G1658" s="87" t="str">
        <x:v>Обществознание</x:v>
      </x:c>
      <x:c r="H1658" s="87" t="n">
        <x:v>11</x:v>
      </x:c>
      <x:c r="I1658" s="87" t="str">
        <x:v>ТР №5</x:v>
      </x:c>
      <x:c r="J1658" s="87" t="str">
        <x:v>ОБ2510502</x:v>
      </x:c>
      <x:c r="K1658" s="87" t="n">
        <x:v>22</x:v>
      </x:c>
      <x:c r="L1658" s="87" t="str">
        <x:v>Гражданское право: собственность и наследование</x:v>
      </x:c>
      <x:c r="M1658" s="30" t="str">
        <x:v>Определить правомочия собственника и очередь наследования сестры.</x:v>
      </x:c>
      <x:c r="N1658" s="30" t="str">
        <x:v>Подарив автомобиль, Дарья реализовала распоряжение. Живя в доме, она осуществляет владение и пользование. Сестра относится ко второй очереди наследования; к ней также относятся дедушки и бабушки, а племянники наследуют по праву представления.</x:v>
      </x:c>
      <x:c r="O1658" s="30" t="str">
        <x:v>Проверены три правомочия собственности и состав второй очереди.</x:v>
      </x:c>
      <x:c r="P1658" s="30" t="str">
        <x:v>Проверены три правомочия собственности и состав второй очереди.</x:v>
      </x:c>
      <x:c r="Q1658" s="30"/>
      <x:c r="R1658"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58" s="30"/>
      <x:c r="T1658" s="30"/>
      <x:c r="U1658" s="30" t="str">
        <x:v>Расхождений не обнаружено.</x:v>
      </x:c>
      <x:c r="V1658" s="87" t="str">
        <x:v>VERIFIED</x:v>
      </x:c>
      <x:c r="W1658" s="87" t="str">
        <x:v>Официальный PDF</x:v>
      </x:c>
      <x:c r="X1658" s="87"/>
      <x:c r="Y1658" s="87"/>
      <x:c r="Z1658" s="87"/>
      <x:c r="AA1658" s="87"/>
      <x:c r="AB1658" s="87"/>
      <x:c r="AC1658" s="87"/>
      <x:c r="AD1658" s="87"/>
      <x:c r="AE1658" s="87"/>
      <x:c r="AF1658" s="87"/>
      <x:c r="AG1658" s="87"/>
      <x:c r="AH1658" s="87"/>
      <x:c r="AI1658" s="30"/>
      <x:c r="AJ1658" s="87" t="str">
        <x:v>master</x:v>
      </x:c>
      <x:c r="AK1658" s="87" t="str">
        <x:v>master-v0.81</x:v>
      </x:c>
      <x:c r="AL1658" s="87" t="str">
        <x:v>statgrad_master_base_v0_81_final(2).xlsx</x:v>
      </x:c>
      <x:c r="AM1658" s="87" t="str">
        <x:v>SOC_Mar_V2</x:v>
      </x:c>
      <x:c r="AN1658" s="87" t="n">
        <x:v>23</x:v>
      </x:c>
    </x:row>
    <x:row r="1659">
      <x:c r="A1659" s="87" t="n">
        <x:v>1658</x:v>
      </x:c>
      <x:c r="B1659" s="87" t="str">
        <x:v>MAR-SOC-V2-023</x:v>
      </x:c>
      <x:c r="C1659" s="87" t="str">
        <x:v>СтатГрад</x:v>
      </x:c>
      <x:c r="D1659" s="87" t="str">
        <x:v>Март 2026</x:v>
      </x:c>
      <x:c r="E1659" s="87"/>
      <x:c r="F1659" s="87"/>
      <x:c r="G1659" s="87" t="str">
        <x:v>Обществознание</x:v>
      </x:c>
      <x:c r="H1659" s="87" t="n">
        <x:v>11</x:v>
      </x:c>
      <x:c r="I1659" s="87" t="str">
        <x:v>ТР №5</x:v>
      </x:c>
      <x:c r="J1659" s="87" t="str">
        <x:v>ОБ2510502</x:v>
      </x:c>
      <x:c r="K1659" s="87" t="n">
        <x:v>23</x:v>
      </x:c>
      <x:c r="L1659" s="87" t="str">
        <x:v>Конституционное задание: достоинство и частная жизнь</x:v>
      </x:c>
      <x:c r="M1659" s="30" t="str">
        <x:v>Привести три конституционных подтверждения защиты достоинства и частной жизни.</x:v>
      </x:c>
      <x:c r="N1659" s="30" t="str">
        <x:v>1) Достоинство личности охраняется государством и не может быть умалено. 2) Никто не может подвергаться пыткам, насилию или унижающему достоинство обращению. 3) Каждый имеет право на неприкосновенность частной жизни, личную и семейную тайну и защиту доброго имени.</x:v>
      </x:c>
      <x:c r="O1659" s="30" t="str">
        <x:v>Все подтверждения опираются на конкретные положения Конституции.</x:v>
      </x:c>
      <x:c r="P1659" s="30" t="str">
        <x:v>Все подтверждения опираются на конкретные положения Конституции.</x:v>
      </x:c>
      <x:c r="Q1659" s="30"/>
      <x:c r="R1659"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59" s="30"/>
      <x:c r="T1659" s="30"/>
      <x:c r="U1659" s="30" t="str">
        <x:v>Расхождений не обнаружено.</x:v>
      </x:c>
      <x:c r="V1659" s="87" t="str">
        <x:v>VERIFIED</x:v>
      </x:c>
      <x:c r="W1659" s="87" t="str">
        <x:v>Официальный PDF</x:v>
      </x:c>
      <x:c r="X1659" s="87"/>
      <x:c r="Y1659" s="87"/>
      <x:c r="Z1659" s="87"/>
      <x:c r="AA1659" s="87"/>
      <x:c r="AB1659" s="87"/>
      <x:c r="AC1659" s="87"/>
      <x:c r="AD1659" s="87"/>
      <x:c r="AE1659" s="87"/>
      <x:c r="AF1659" s="87"/>
      <x:c r="AG1659" s="87"/>
      <x:c r="AH1659" s="87"/>
      <x:c r="AI1659" s="30"/>
      <x:c r="AJ1659" s="87" t="str">
        <x:v>master</x:v>
      </x:c>
      <x:c r="AK1659" s="87" t="str">
        <x:v>master-v0.81</x:v>
      </x:c>
      <x:c r="AL1659" s="87" t="str">
        <x:v>statgrad_master_base_v0_81_final(2).xlsx</x:v>
      </x:c>
      <x:c r="AM1659" s="87" t="str">
        <x:v>SOC_Mar_V2</x:v>
      </x:c>
      <x:c r="AN1659" s="87" t="n">
        <x:v>24</x:v>
      </x:c>
    </x:row>
    <x:row r="1660">
      <x:c r="A1660" s="87" t="n">
        <x:v>1659</x:v>
      </x:c>
      <x:c r="B1660" s="87" t="str">
        <x:v>MAR-SOC-V2-024</x:v>
      </x:c>
      <x:c r="C1660" s="87" t="str">
        <x:v>СтатГрад</x:v>
      </x:c>
      <x:c r="D1660" s="87" t="str">
        <x:v>Март 2026</x:v>
      </x:c>
      <x:c r="E1660" s="87"/>
      <x:c r="F1660" s="87"/>
      <x:c r="G1660" s="87" t="str">
        <x:v>Обществознание</x:v>
      </x:c>
      <x:c r="H1660" s="87" t="n">
        <x:v>11</x:v>
      </x:c>
      <x:c r="I1660" s="87" t="str">
        <x:v>ТР №5</x:v>
      </x:c>
      <x:c r="J1660" s="87" t="str">
        <x:v>ОБ2510502</x:v>
      </x:c>
      <x:c r="K1660" s="87" t="n">
        <x:v>24</x:v>
      </x:c>
      <x:c r="L1660" s="87" t="str">
        <x:v>Сложный план</x:v>
      </x:c>
      <x:c r="M1660" s="30" t="str">
        <x:v>Составить сложный план по теме «Экономический рост и развитие».</x:v>
      </x:c>
      <x:c r="N1660" s="30" t="str">
        <x:v>1. Понятия экономического роста и экономического развития.
2. Показатели экономического роста:
   а) реальный ВВП;
   б) реальный ВВП на душу населения;
   в) национальный доход;
   г) темпы прироста производства.
3. Типы экономического роста:
   а) экстенсивный;
   б) интенсивный;
   в) смешанный.
4. Факторы интенсивного роста:
   а) внедрение новых технологий;
   б) повышение квалификации работников;
   в) совершенствование управления;
   г) рациональное использование ресурсов;
   д) рост производительности труда.
5. Факторы экстенсивного роста:
   а) увеличение численности работников;
   б) расширение производственных площадей;
   в) вовлечение новых природных ресурсов и земель;
   г) увеличение объёма капитала без изменения технологии.
6. Показатели экономического развития:
   а) качество и уровень жизни;
   б) структура экономики;
   в) уровень занятости и реальные доходы;
   г) доступность образования и здравоохранения.
7. Ограничения и противоречия экономического роста.</x:v>
      </x:c>
      <x:c r="O1660" s="30" t="str">
        <x:v>План различает рост и развитие, раскрывает типы, факторы и измерители; ключевые пункты детализированы.</x:v>
      </x:c>
      <x:c r="P1660" s="30" t="str">
        <x:v>План различает рост и развитие, раскрывает типы, факторы и измерители; ключевые пункты детализированы.</x:v>
      </x:c>
      <x:c r="Q1660" s="30"/>
      <x:c r="R1660"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60" s="30"/>
      <x:c r="T1660" s="30"/>
      <x:c r="U1660" s="30" t="str">
        <x:v>Расхождений не обнаружено.</x:v>
      </x:c>
      <x:c r="V1660" s="87" t="str">
        <x:v>VERIFIED</x:v>
      </x:c>
      <x:c r="W1660" s="87" t="str">
        <x:v>Официальный PDF</x:v>
      </x:c>
      <x:c r="X1660" s="87"/>
      <x:c r="Y1660" s="87"/>
      <x:c r="Z1660" s="87"/>
      <x:c r="AA1660" s="87"/>
      <x:c r="AB1660" s="87"/>
      <x:c r="AC1660" s="87"/>
      <x:c r="AD1660" s="87"/>
      <x:c r="AE1660" s="87"/>
      <x:c r="AF1660" s="87"/>
      <x:c r="AG1660" s="87"/>
      <x:c r="AH1660" s="87"/>
      <x:c r="AI1660" s="30"/>
      <x:c r="AJ1660" s="87" t="str">
        <x:v>master</x:v>
      </x:c>
      <x:c r="AK1660" s="87" t="str">
        <x:v>master-v0.81</x:v>
      </x:c>
      <x:c r="AL1660" s="87" t="str">
        <x:v>statgrad_master_base_v0_81_final(2).xlsx</x:v>
      </x:c>
      <x:c r="AM1660" s="87" t="str">
        <x:v>SOC_Mar_V2</x:v>
      </x:c>
      <x:c r="AN1660" s="87" t="n">
        <x:v>25</x:v>
      </x:c>
    </x:row>
    <x:row r="1661">
      <x:c r="A1661" s="87" t="n">
        <x:v>1660</x:v>
      </x:c>
      <x:c r="B1661" s="87" t="str">
        <x:v>MAR-SOC-V2-025</x:v>
      </x:c>
      <x:c r="C1661" s="87" t="str">
        <x:v>СтатГрад</x:v>
      </x:c>
      <x:c r="D1661" s="87" t="str">
        <x:v>Март 2026</x:v>
      </x:c>
      <x:c r="E1661" s="87"/>
      <x:c r="F1661" s="87"/>
      <x:c r="G1661" s="87" t="str">
        <x:v>Обществознание</x:v>
      </x:c>
      <x:c r="H1661" s="87" t="n">
        <x:v>11</x:v>
      </x:c>
      <x:c r="I1661" s="87" t="str">
        <x:v>ТР №5</x:v>
      </x:c>
      <x:c r="J1661" s="87" t="str">
        <x:v>ОБ2510502</x:v>
      </x:c>
      <x:c r="K1661" s="87" t="n">
        <x:v>25</x:v>
      </x:c>
      <x:c r="L1661" s="87" t="str">
        <x:v>Обоснование и примеры: общественный прогресс</x:v>
      </x:c>
      <x:c r="M1661" s="30" t="str">
        <x:v>Обосновать необходимость одновременного технического и нравственного прогресса, назвать три проявления и привести примеры современной России.</x:v>
      </x:c>
      <x:c r="N1661" s="30" t="str">
        <x:v>Обоснование: технические достижения расширяют возможности человека, но сами по себе не определяют цели их применения. Без нравственных ограничений технологии могут усиливать неравенство, насилие и угрозы природе, поэтому гуманистические ценности и ответственность должны развиваться одновременно с наукой и техникой.
Проявления: 1) научно-техническое развитие; 2) расширение доступности образования; 3) гуманизация общественных отношений и защита прав.
Примеры: 1) российские больницы внедряют телемедицинские консультации и высокотехнологичную диагностику; 2) университеты предоставляют дистанционные программы жителям удалённых регионов; 3) школы развивают инклюзивное обучение и создают доступную среду для детей с инвалидностью.</x:v>
      </x:c>
      <x:c r="O1661" s="30" t="str">
        <x:v>Обоснование раскрывает взаимозависимость двух направлений прогресса; приведены три проявления и три развёрнутых примера.</x:v>
      </x:c>
      <x:c r="P1661" s="30" t="str">
        <x:v>Обоснование раскрывает взаимозависимость двух направлений прогресса; приведены три проявления и три развёрнутых примера.</x:v>
      </x:c>
      <x:c r="Q1661" s="30"/>
      <x:c r="R1661"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61" s="30"/>
      <x:c r="T1661" s="30"/>
      <x:c r="U1661" s="30" t="str">
        <x:v>Расхождений не обнаружено.</x:v>
      </x:c>
      <x:c r="V1661" s="87" t="str">
        <x:v>VERIFIED</x:v>
      </x:c>
      <x:c r="W1661" s="87" t="str">
        <x:v>Официальный PDF</x:v>
      </x:c>
      <x:c r="X1661" s="87"/>
      <x:c r="Y1661" s="87"/>
      <x:c r="Z1661" s="87"/>
      <x:c r="AA1661" s="87"/>
      <x:c r="AB1661" s="87"/>
      <x:c r="AC1661" s="87"/>
      <x:c r="AD1661" s="87"/>
      <x:c r="AE1661" s="87"/>
      <x:c r="AF1661" s="87"/>
      <x:c r="AG1661" s="87"/>
      <x:c r="AH1661" s="87"/>
      <x:c r="AI1661" s="30"/>
      <x:c r="AJ1661" s="87" t="str">
        <x:v>master</x:v>
      </x:c>
      <x:c r="AK1661" s="87" t="str">
        <x:v>master-v0.81</x:v>
      </x:c>
      <x:c r="AL1661" s="87" t="str">
        <x:v>statgrad_master_base_v0_81_final(2).xlsx</x:v>
      </x:c>
      <x:c r="AM1661" s="87" t="str">
        <x:v>SOC_Mar_V2</x:v>
      </x:c>
      <x:c r="AN1661" s="87" t="n">
        <x:v>26</x:v>
      </x:c>
    </x:row>
    <x:row r="1662">
      <x:c r="A1662" s="87" t="n">
        <x:v>1661</x:v>
      </x:c>
      <x:c r="B1662" s="87" t="str">
        <x:v>MAR-SOC-V3-001</x:v>
      </x:c>
      <x:c r="C1662" s="87" t="str">
        <x:v>СтатГрад</x:v>
      </x:c>
      <x:c r="D1662" s="87" t="str">
        <x:v>Март 2026</x:v>
      </x:c>
      <x:c r="E1662" s="87"/>
      <x:c r="F1662" s="87"/>
      <x:c r="G1662" s="87" t="str">
        <x:v>Обществознание</x:v>
      </x:c>
      <x:c r="H1662" s="87" t="n">
        <x:v>11</x:v>
      </x:c>
      <x:c r="I1662" s="87" t="str">
        <x:v>ТР №5</x:v>
      </x:c>
      <x:c r="J1662" s="87" t="str">
        <x:v>ОБ2510503</x:v>
      </x:c>
      <x:c r="K1662" s="87" t="n">
        <x:v>1</x:v>
      </x:c>
      <x:c r="L1662" s="87" t="str">
        <x:v>Социальные статусы</x:v>
      </x:c>
      <x:c r="M1662" s="30" t="str">
        <x:v>Из списка «мужчина, сын, военнослужащий, супруг, студент, отец» найти два понятия, выпадающих из ряда предписанных статусов.</x:v>
      </x:c>
      <x:c r="N1662" s="30" t="str">
        <x:v>12 (официальный ключ; условие противоречиво)</x:v>
      </x:c>
      <x:c r="O1662" s="30" t="str">
        <x:v>Мужчина и сын — как раз предписанные статусы, тогда как остальные четыре обычно достигаемые. Ключ 12 становится логичным только при замене слова «предписанному» на «достигаемому».</x:v>
      </x:c>
      <x:c r="P1662" s="30" t="str">
        <x:v>Буквальное условие не имеет корректного двухпозиционного ответа.</x:v>
      </x:c>
      <x:c r="Q1662" s="30"/>
      <x:c r="R1662"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62" s="30"/>
      <x:c r="T1662" s="30"/>
      <x:c r="U1662" s="30" t="str">
        <x:v>Вероятная опечатка в условии: «предписанному» должно быть «достигаемому».</x:v>
      </x:c>
      <x:c r="V1662" s="87" t="str">
        <x:v>KEY_MISMATCH</x:v>
      </x:c>
      <x:c r="W1662" s="87" t="str">
        <x:v>PDF A, стр. 2</x:v>
      </x:c>
      <x:c r="X1662" s="87"/>
      <x:c r="Y1662" s="87"/>
      <x:c r="Z1662" s="87"/>
      <x:c r="AA1662" s="87"/>
      <x:c r="AB1662" s="87"/>
      <x:c r="AC1662" s="87"/>
      <x:c r="AD1662" s="87"/>
      <x:c r="AE1662" s="87"/>
      <x:c r="AF1662" s="87"/>
      <x:c r="AG1662" s="87"/>
      <x:c r="AH1662" s="87"/>
      <x:c r="AI1662" s="30"/>
      <x:c r="AJ1662" s="87" t="str">
        <x:v>master</x:v>
      </x:c>
      <x:c r="AK1662" s="87" t="str">
        <x:v>master-v0.81</x:v>
      </x:c>
      <x:c r="AL1662" s="87" t="str">
        <x:v>statgrad_master_base_v0_81_final(2).xlsx</x:v>
      </x:c>
      <x:c r="AM1662" s="87" t="str">
        <x:v>SOC_Mar_V3</x:v>
      </x:c>
      <x:c r="AN1662" s="87" t="n">
        <x:v>2</x:v>
      </x:c>
    </x:row>
    <x:row r="1663">
      <x:c r="A1663" s="87" t="n">
        <x:v>1662</x:v>
      </x:c>
      <x:c r="B1663" s="87" t="str">
        <x:v>MAR-SOC-V3-002</x:v>
      </x:c>
      <x:c r="C1663" s="87" t="str">
        <x:v>СтатГрад</x:v>
      </x:c>
      <x:c r="D1663" s="87" t="str">
        <x:v>Март 2026</x:v>
      </x:c>
      <x:c r="E1663" s="87"/>
      <x:c r="F1663" s="87"/>
      <x:c r="G1663" s="87" t="str">
        <x:v>Обществознание</x:v>
      </x:c>
      <x:c r="H1663" s="87" t="n">
        <x:v>11</x:v>
      </x:c>
      <x:c r="I1663" s="87" t="str">
        <x:v>ТР №5</x:v>
      </x:c>
      <x:c r="J1663" s="87" t="str">
        <x:v>ОБ2510503</x:v>
      </x:c>
      <x:c r="K1663" s="87" t="n">
        <x:v>2</x:v>
      </x:c>
      <x:c r="L1663" s="87" t="str">
        <x:v>Формы культуры</x:v>
      </x:c>
      <x:c r="M1663" s="30" t="str">
        <x:v>Выбрать верные суждения о науке, религии, философии, морали и искусстве.</x:v>
      </x:c>
      <x:c r="N1663" s="30" t="str">
        <x:v>234</x:v>
      </x:c>
      <x:c r="O1663" s="30" t="str">
        <x:v>Религия связана с верой в сверхъестественное, философия ищет общие закономерности, мораль опирается на представления о добре и зле.</x:v>
      </x:c>
      <x:c r="P1663" s="30" t="str">
        <x:v>Научное знание изменяется; искусству свойственны образность и эмоциональность, а не обязательная рациональность.</x:v>
      </x:c>
      <x:c r="Q1663" s="30"/>
      <x:c r="R1663"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63" s="30"/>
      <x:c r="T1663" s="30"/>
      <x:c r="U1663" s="30" t="str">
        <x:v>Расхождений не обнаружено.</x:v>
      </x:c>
      <x:c r="V1663" s="87" t="str">
        <x:v>VERIFIED</x:v>
      </x:c>
      <x:c r="W1663" s="87" t="str">
        <x:v>Официальный PDF</x:v>
      </x:c>
      <x:c r="X1663" s="87"/>
      <x:c r="Y1663" s="87"/>
      <x:c r="Z1663" s="87"/>
      <x:c r="AA1663" s="87"/>
      <x:c r="AB1663" s="87"/>
      <x:c r="AC1663" s="87"/>
      <x:c r="AD1663" s="87"/>
      <x:c r="AE1663" s="87"/>
      <x:c r="AF1663" s="87"/>
      <x:c r="AG1663" s="87"/>
      <x:c r="AH1663" s="87"/>
      <x:c r="AI1663" s="30"/>
      <x:c r="AJ1663" s="87" t="str">
        <x:v>master</x:v>
      </x:c>
      <x:c r="AK1663" s="87" t="str">
        <x:v>master-v0.81</x:v>
      </x:c>
      <x:c r="AL1663" s="87" t="str">
        <x:v>statgrad_master_base_v0_81_final(2).xlsx</x:v>
      </x:c>
      <x:c r="AM1663" s="87" t="str">
        <x:v>SOC_Mar_V3</x:v>
      </x:c>
      <x:c r="AN1663" s="87" t="n">
        <x:v>3</x:v>
      </x:c>
    </x:row>
    <x:row r="1664">
      <x:c r="A1664" s="87" t="n">
        <x:v>1663</x:v>
      </x:c>
      <x:c r="B1664" s="87" t="str">
        <x:v>MAR-SOC-V3-003</x:v>
      </x:c>
      <x:c r="C1664" s="87" t="str">
        <x:v>СтатГрад</x:v>
      </x:c>
      <x:c r="D1664" s="87" t="str">
        <x:v>Март 2026</x:v>
      </x:c>
      <x:c r="E1664" s="87"/>
      <x:c r="F1664" s="87"/>
      <x:c r="G1664" s="87" t="str">
        <x:v>Обществознание</x:v>
      </x:c>
      <x:c r="H1664" s="87" t="n">
        <x:v>11</x:v>
      </x:c>
      <x:c r="I1664" s="87" t="str">
        <x:v>ТР №5</x:v>
      </x:c>
      <x:c r="J1664" s="87" t="str">
        <x:v>ОБ2510503</x:v>
      </x:c>
      <x:c r="K1664" s="87" t="n">
        <x:v>3</x:v>
      </x:c>
      <x:c r="L1664" s="87" t="str">
        <x:v>Формы познания</x:v>
      </x:c>
      <x:c r="M1664" s="30" t="str">
        <x:v>Соотнести суждение, представление, восприятие, умозаключение и понятие с чувственным или рациональным уровнем.</x:v>
      </x:c>
      <x:c r="N1664" s="30" t="str">
        <x:v>21122</x:v>
      </x:c>
      <x:c r="O1664" s="30" t="str">
        <x:v>Суждение, умозаключение и понятие относятся к рациональному познанию; представление и восприятие — к чувственному.</x:v>
      </x:c>
      <x:c r="P1664" s="30" t="str">
        <x:v>Суждение, умозаключение и понятие относятся к рациональному познанию; представление и восприятие — к чувственному.</x:v>
      </x:c>
      <x:c r="Q1664" s="30"/>
      <x:c r="R1664"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64" s="30"/>
      <x:c r="T1664" s="30"/>
      <x:c r="U1664" s="30" t="str">
        <x:v>Расхождений не обнаружено.</x:v>
      </x:c>
      <x:c r="V1664" s="87" t="str">
        <x:v>VERIFIED</x:v>
      </x:c>
      <x:c r="W1664" s="87" t="str">
        <x:v>Официальный PDF</x:v>
      </x:c>
      <x:c r="X1664" s="87"/>
      <x:c r="Y1664" s="87"/>
      <x:c r="Z1664" s="87"/>
      <x:c r="AA1664" s="87"/>
      <x:c r="AB1664" s="87"/>
      <x:c r="AC1664" s="87"/>
      <x:c r="AD1664" s="87"/>
      <x:c r="AE1664" s="87"/>
      <x:c r="AF1664" s="87"/>
      <x:c r="AG1664" s="87"/>
      <x:c r="AH1664" s="87"/>
      <x:c r="AI1664" s="30"/>
      <x:c r="AJ1664" s="87" t="str">
        <x:v>master</x:v>
      </x:c>
      <x:c r="AK1664" s="87" t="str">
        <x:v>master-v0.81</x:v>
      </x:c>
      <x:c r="AL1664" s="87" t="str">
        <x:v>statgrad_master_base_v0_81_final(2).xlsx</x:v>
      </x:c>
      <x:c r="AM1664" s="87" t="str">
        <x:v>SOC_Mar_V3</x:v>
      </x:c>
      <x:c r="AN1664" s="87" t="n">
        <x:v>4</x:v>
      </x:c>
    </x:row>
    <x:row r="1665">
      <x:c r="A1665" s="87" t="n">
        <x:v>1664</x:v>
      </x:c>
      <x:c r="B1665" s="87" t="str">
        <x:v>MAR-SOC-V3-004</x:v>
      </x:c>
      <x:c r="C1665" s="87" t="str">
        <x:v>СтатГрад</x:v>
      </x:c>
      <x:c r="D1665" s="87" t="str">
        <x:v>Март 2026</x:v>
      </x:c>
      <x:c r="E1665" s="87"/>
      <x:c r="F1665" s="87"/>
      <x:c r="G1665" s="87" t="str">
        <x:v>Обществознание</x:v>
      </x:c>
      <x:c r="H1665" s="87" t="n">
        <x:v>11</x:v>
      </x:c>
      <x:c r="I1665" s="87" t="str">
        <x:v>ТР №5</x:v>
      </x:c>
      <x:c r="J1665" s="87" t="str">
        <x:v>ОБ2510503</x:v>
      </x:c>
      <x:c r="K1665" s="87" t="n">
        <x:v>4</x:v>
      </x:c>
      <x:c r="L1665" s="87" t="str">
        <x:v>Традиционное общество</x:v>
      </x:c>
      <x:c r="M1665" s="30" t="str">
        <x:v>Выбрать признаки традиционного общества в государстве Z.</x:v>
      </x:c>
      <x:c r="N1665" s="30" t="str">
        <x:v>146</x:v>
      </x:c>
      <x:c r="O1665" s="30" t="str">
        <x:v>Расширенная семья, натуральное хозяйство и наследственные сословия характерны для традиционного общества.</x:v>
      </x:c>
      <x:c r="P1665" s="30" t="str">
        <x:v>Монархия сама по себе не определяет тип общества, платность услуг и урбанизация не являются его признаками.</x:v>
      </x:c>
      <x:c r="Q1665" s="30"/>
      <x:c r="R1665"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65" s="30"/>
      <x:c r="T1665" s="30"/>
      <x:c r="U1665" s="30" t="str">
        <x:v>Расхождений не обнаружено.</x:v>
      </x:c>
      <x:c r="V1665" s="87" t="str">
        <x:v>VERIFIED</x:v>
      </x:c>
      <x:c r="W1665" s="87" t="str">
        <x:v>Официальный PDF</x:v>
      </x:c>
      <x:c r="X1665" s="87"/>
      <x:c r="Y1665" s="87"/>
      <x:c r="Z1665" s="87"/>
      <x:c r="AA1665" s="87"/>
      <x:c r="AB1665" s="87"/>
      <x:c r="AC1665" s="87"/>
      <x:c r="AD1665" s="87"/>
      <x:c r="AE1665" s="87"/>
      <x:c r="AF1665" s="87"/>
      <x:c r="AG1665" s="87"/>
      <x:c r="AH1665" s="87"/>
      <x:c r="AI1665" s="30"/>
      <x:c r="AJ1665" s="87" t="str">
        <x:v>master</x:v>
      </x:c>
      <x:c r="AK1665" s="87" t="str">
        <x:v>master-v0.81</x:v>
      </x:c>
      <x:c r="AL1665" s="87" t="str">
        <x:v>statgrad_master_base_v0_81_final(2).xlsx</x:v>
      </x:c>
      <x:c r="AM1665" s="87" t="str">
        <x:v>SOC_Mar_V3</x:v>
      </x:c>
      <x:c r="AN1665" s="87" t="n">
        <x:v>5</x:v>
      </x:c>
    </x:row>
    <x:row r="1666">
      <x:c r="A1666" s="87" t="n">
        <x:v>1665</x:v>
      </x:c>
      <x:c r="B1666" s="87" t="str">
        <x:v>MAR-SOC-V3-005</x:v>
      </x:c>
      <x:c r="C1666" s="87" t="str">
        <x:v>СтатГрад</x:v>
      </x:c>
      <x:c r="D1666" s="87" t="str">
        <x:v>Март 2026</x:v>
      </x:c>
      <x:c r="E1666" s="87"/>
      <x:c r="F1666" s="87"/>
      <x:c r="G1666" s="87" t="str">
        <x:v>Обществознание</x:v>
      </x:c>
      <x:c r="H1666" s="87" t="n">
        <x:v>11</x:v>
      </x:c>
      <x:c r="I1666" s="87" t="str">
        <x:v>ТР №5</x:v>
      </x:c>
      <x:c r="J1666" s="87" t="str">
        <x:v>ОБ2510503</x:v>
      </x:c>
      <x:c r="K1666" s="87" t="n">
        <x:v>5</x:v>
      </x:c>
      <x:c r="L1666" s="87" t="str">
        <x:v>Валовой внутренний продукт</x:v>
      </x:c>
      <x:c r="M1666" s="30" t="str">
        <x:v>Выбрать верные суждения о ВВП и реальном ВВП.</x:v>
      </x:c>
      <x:c r="N1666" s="30" t="str">
        <x:v>124</x:v>
      </x:c>
      <x:c r="O1666" s="30" t="str">
        <x:v>ВВП отражает стоимость конечных товаров и услуг, произведённых на территории страны; динамика реального ВВП используется как критерий экономического роста.</x:v>
      </x:c>
      <x:c r="P1666" s="30" t="str">
        <x:v>Финансовые сделки не включаются, а реальный ВВП рассчитывается с устранением влияния инфляции.</x:v>
      </x:c>
      <x:c r="Q1666" s="30"/>
      <x:c r="R1666"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66" s="30"/>
      <x:c r="T1666" s="30"/>
      <x:c r="U1666" s="30" t="str">
        <x:v>Расхождений не обнаружено.</x:v>
      </x:c>
      <x:c r="V1666" s="87" t="str">
        <x:v>VERIFIED</x:v>
      </x:c>
      <x:c r="W1666" s="87" t="str">
        <x:v>Официальный PDF</x:v>
      </x:c>
      <x:c r="X1666" s="87"/>
      <x:c r="Y1666" s="87"/>
      <x:c r="Z1666" s="87"/>
      <x:c r="AA1666" s="87"/>
      <x:c r="AB1666" s="87"/>
      <x:c r="AC1666" s="87"/>
      <x:c r="AD1666" s="87"/>
      <x:c r="AE1666" s="87"/>
      <x:c r="AF1666" s="87"/>
      <x:c r="AG1666" s="87"/>
      <x:c r="AH1666" s="87"/>
      <x:c r="AI1666" s="30"/>
      <x:c r="AJ1666" s="87" t="str">
        <x:v>master</x:v>
      </x:c>
      <x:c r="AK1666" s="87" t="str">
        <x:v>master-v0.81</x:v>
      </x:c>
      <x:c r="AL1666" s="87" t="str">
        <x:v>statgrad_master_base_v0_81_final(2).xlsx</x:v>
      </x:c>
      <x:c r="AM1666" s="87" t="str">
        <x:v>SOC_Mar_V3</x:v>
      </x:c>
      <x:c r="AN1666" s="87" t="n">
        <x:v>6</x:v>
      </x:c>
    </x:row>
    <x:row r="1667">
      <x:c r="A1667" s="87" t="n">
        <x:v>1666</x:v>
      </x:c>
      <x:c r="B1667" s="87" t="str">
        <x:v>MAR-SOC-V3-006</x:v>
      </x:c>
      <x:c r="C1667" s="87" t="str">
        <x:v>СтатГрад</x:v>
      </x:c>
      <x:c r="D1667" s="87" t="str">
        <x:v>Март 2026</x:v>
      </x:c>
      <x:c r="E1667" s="87"/>
      <x:c r="F1667" s="87"/>
      <x:c r="G1667" s="87" t="str">
        <x:v>Обществознание</x:v>
      </x:c>
      <x:c r="H1667" s="87" t="n">
        <x:v>11</x:v>
      </x:c>
      <x:c r="I1667" s="87" t="str">
        <x:v>ТР №5</x:v>
      </x:c>
      <x:c r="J1667" s="87" t="str">
        <x:v>ОБ2510503</x:v>
      </x:c>
      <x:c r="K1667" s="87" t="n">
        <x:v>6</x:v>
      </x:c>
      <x:c r="L1667" s="87" t="str">
        <x:v>Финансирование бизнеса</x:v>
      </x:c>
      <x:c r="M1667" s="30" t="str">
        <x:v>Соотнести государственные субсидии, облигации, инвестиции владельцев, прибыль и кредиты с внутренними/внешними источниками.</x:v>
      </x:c>
      <x:c r="N1667" s="30" t="str">
        <x:v>22112</x:v>
      </x:c>
      <x:c r="O1667" s="30" t="str">
        <x:v>Прибыль — внутренний источник; субсидии, облигации, инвестиции собственников и банковские кредиты поступают извне фирмы.</x:v>
      </x:c>
      <x:c r="P1667" s="30" t="str">
        <x:v>Прибыль — внутренний источник; субсидии, облигации, инвестиции собственников и банковские кредиты поступают извне фирмы.</x:v>
      </x:c>
      <x:c r="Q1667" s="30"/>
      <x:c r="R1667"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67" s="30"/>
      <x:c r="T1667" s="30"/>
      <x:c r="U1667" s="30" t="str">
        <x:v>Расхождений не обнаружено.</x:v>
      </x:c>
      <x:c r="V1667" s="87" t="str">
        <x:v>VERIFIED</x:v>
      </x:c>
      <x:c r="W1667" s="87" t="str">
        <x:v>Официальный PDF</x:v>
      </x:c>
      <x:c r="X1667" s="87"/>
      <x:c r="Y1667" s="87"/>
      <x:c r="Z1667" s="87"/>
      <x:c r="AA1667" s="87"/>
      <x:c r="AB1667" s="87"/>
      <x:c r="AC1667" s="87"/>
      <x:c r="AD1667" s="87"/>
      <x:c r="AE1667" s="87"/>
      <x:c r="AF1667" s="87"/>
      <x:c r="AG1667" s="87"/>
      <x:c r="AH1667" s="87"/>
      <x:c r="AI1667" s="30"/>
      <x:c r="AJ1667" s="87" t="str">
        <x:v>master</x:v>
      </x:c>
      <x:c r="AK1667" s="87" t="str">
        <x:v>master-v0.81</x:v>
      </x:c>
      <x:c r="AL1667" s="87" t="str">
        <x:v>statgrad_master_base_v0_81_final(2).xlsx</x:v>
      </x:c>
      <x:c r="AM1667" s="87" t="str">
        <x:v>SOC_Mar_V3</x:v>
      </x:c>
      <x:c r="AN1667" s="87" t="n">
        <x:v>7</x:v>
      </x:c>
    </x:row>
    <x:row r="1668">
      <x:c r="A1668" s="87" t="n">
        <x:v>1667</x:v>
      </x:c>
      <x:c r="B1668" s="87" t="str">
        <x:v>MAR-SOC-V3-007</x:v>
      </x:c>
      <x:c r="C1668" s="87" t="str">
        <x:v>СтатГрад</x:v>
      </x:c>
      <x:c r="D1668" s="87" t="str">
        <x:v>Март 2026</x:v>
      </x:c>
      <x:c r="E1668" s="87"/>
      <x:c r="F1668" s="87"/>
      <x:c r="G1668" s="87" t="str">
        <x:v>Обществознание</x:v>
      </x:c>
      <x:c r="H1668" s="87" t="n">
        <x:v>11</x:v>
      </x:c>
      <x:c r="I1668" s="87" t="str">
        <x:v>ТР №5</x:v>
      </x:c>
      <x:c r="J1668" s="87" t="str">
        <x:v>ОБ2510503</x:v>
      </x:c>
      <x:c r="K1668" s="87" t="n">
        <x:v>7</x:v>
      </x:c>
      <x:c r="L1668" s="87" t="str">
        <x:v>Безработица</x:v>
      </x:c>
      <x:c r="M1668" s="30" t="str">
        <x:v>Выбрать меры, прямо направленные на снижение безработицы.</x:v>
      </x:c>
      <x:c r="N1668" s="30" t="str">
        <x:v>235</x:v>
      </x:c>
      <x:c r="O1668" s="30" t="str">
        <x:v>Переподготовка, служба занятости и снижение налоговой нагрузки на труд способствуют найму; повышение налога и бесплатные столовые проблему занятости напрямую не решают.</x:v>
      </x:c>
      <x:c r="P1668" s="30" t="str">
        <x:v>Переподготовка, служба занятости и снижение налоговой нагрузки на труд способствуют найму; повышение налога и бесплатные столовые проблему занятости напрямую не решают.</x:v>
      </x:c>
      <x:c r="Q1668" s="30"/>
      <x:c r="R1668"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68" s="30"/>
      <x:c r="T1668" s="30"/>
      <x:c r="U1668" s="30" t="str">
        <x:v>Расхождений не обнаружено.</x:v>
      </x:c>
      <x:c r="V1668" s="87" t="str">
        <x:v>VERIFIED</x:v>
      </x:c>
      <x:c r="W1668" s="87" t="str">
        <x:v>Официальный PDF</x:v>
      </x:c>
      <x:c r="X1668" s="87"/>
      <x:c r="Y1668" s="87"/>
      <x:c r="Z1668" s="87"/>
      <x:c r="AA1668" s="87"/>
      <x:c r="AB1668" s="87"/>
      <x:c r="AC1668" s="87"/>
      <x:c r="AD1668" s="87"/>
      <x:c r="AE1668" s="87"/>
      <x:c r="AF1668" s="87"/>
      <x:c r="AG1668" s="87"/>
      <x:c r="AH1668" s="87"/>
      <x:c r="AI1668" s="30"/>
      <x:c r="AJ1668" s="87" t="str">
        <x:v>master</x:v>
      </x:c>
      <x:c r="AK1668" s="87" t="str">
        <x:v>master-v0.81</x:v>
      </x:c>
      <x:c r="AL1668" s="87" t="str">
        <x:v>statgrad_master_base_v0_81_final(2).xlsx</x:v>
      </x:c>
      <x:c r="AM1668" s="87" t="str">
        <x:v>SOC_Mar_V3</x:v>
      </x:c>
      <x:c r="AN1668" s="87" t="n">
        <x:v>8</x:v>
      </x:c>
    </x:row>
    <x:row r="1669">
      <x:c r="A1669" s="87" t="n">
        <x:v>1668</x:v>
      </x:c>
      <x:c r="B1669" s="87" t="str">
        <x:v>MAR-SOC-V3-008</x:v>
      </x:c>
      <x:c r="C1669" s="87" t="str">
        <x:v>СтатГрад</x:v>
      </x:c>
      <x:c r="D1669" s="87" t="str">
        <x:v>Март 2026</x:v>
      </x:c>
      <x:c r="E1669" s="87"/>
      <x:c r="F1669" s="87"/>
      <x:c r="G1669" s="87" t="str">
        <x:v>Обществознание</x:v>
      </x:c>
      <x:c r="H1669" s="87" t="n">
        <x:v>11</x:v>
      </x:c>
      <x:c r="I1669" s="87" t="str">
        <x:v>ТР №5</x:v>
      </x:c>
      <x:c r="J1669" s="87" t="str">
        <x:v>ОБ2510503</x:v>
      </x:c>
      <x:c r="K1669" s="87" t="n">
        <x:v>8</x:v>
      </x:c>
      <x:c r="L1669" s="87" t="str">
        <x:v>Социальные санкции</x:v>
      </x:c>
      <x:c r="M1669" s="30" t="str">
        <x:v>Выбрать верные суждения о социальных санкциях.</x:v>
      </x:c>
      <x:c r="N1669" s="30" t="str">
        <x:v>135</x:v>
      </x:c>
      <x:c r="O1669" s="30" t="str">
        <x:v>Санкции являются элементом контроля, бывают позитивными и негативными и поддерживают порядок.</x:v>
      </x:c>
      <x:c r="P1669" s="30" t="str">
        <x:v>Они могут быть неформальными и не гарантируют изменение поведения каждого человека.</x:v>
      </x:c>
      <x:c r="Q1669" s="30"/>
      <x:c r="R1669"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69" s="30"/>
      <x:c r="T1669" s="30"/>
      <x:c r="U1669" s="30" t="str">
        <x:v>Расхождений не обнаружено.</x:v>
      </x:c>
      <x:c r="V1669" s="87" t="str">
        <x:v>VERIFIED</x:v>
      </x:c>
      <x:c r="W1669" s="87" t="str">
        <x:v>Официальный PDF</x:v>
      </x:c>
      <x:c r="X1669" s="87"/>
      <x:c r="Y1669" s="87"/>
      <x:c r="Z1669" s="87"/>
      <x:c r="AA1669" s="87"/>
      <x:c r="AB1669" s="87"/>
      <x:c r="AC1669" s="87"/>
      <x:c r="AD1669" s="87"/>
      <x:c r="AE1669" s="87"/>
      <x:c r="AF1669" s="87"/>
      <x:c r="AG1669" s="87"/>
      <x:c r="AH1669" s="87"/>
      <x:c r="AI1669" s="30"/>
      <x:c r="AJ1669" s="87" t="str">
        <x:v>master</x:v>
      </x:c>
      <x:c r="AK1669" s="87" t="str">
        <x:v>master-v0.81</x:v>
      </x:c>
      <x:c r="AL1669" s="87" t="str">
        <x:v>statgrad_master_base_v0_81_final(2).xlsx</x:v>
      </x:c>
      <x:c r="AM1669" s="87" t="str">
        <x:v>SOC_Mar_V3</x:v>
      </x:c>
      <x:c r="AN1669" s="87" t="n">
        <x:v>9</x:v>
      </x:c>
    </x:row>
    <x:row r="1670">
      <x:c r="A1670" s="87" t="n">
        <x:v>1669</x:v>
      </x:c>
      <x:c r="B1670" s="87" t="str">
        <x:v>MAR-SOC-V3-009</x:v>
      </x:c>
      <x:c r="C1670" s="87" t="str">
        <x:v>СтатГрад</x:v>
      </x:c>
      <x:c r="D1670" s="87" t="str">
        <x:v>Март 2026</x:v>
      </x:c>
      <x:c r="E1670" s="87"/>
      <x:c r="F1670" s="87"/>
      <x:c r="G1670" s="87" t="str">
        <x:v>Обществознание</x:v>
      </x:c>
      <x:c r="H1670" s="87" t="n">
        <x:v>11</x:v>
      </x:c>
      <x:c r="I1670" s="87" t="str">
        <x:v>ТР №5</x:v>
      </x:c>
      <x:c r="J1670" s="87" t="str">
        <x:v>ОБ2510503</x:v>
      </x:c>
      <x:c r="K1670" s="87" t="n">
        <x:v>9</x:v>
      </x:c>
      <x:c r="L1670" s="87" t="str">
        <x:v>Анализ диаграммы</x:v>
      </x:c>
      <x:c r="M1670" s="30" t="str">
        <x:v>По опросу мужчин и женщин о причинах отказа от бизнеса выбрать корректные выводы.</x:v>
      </x:c>
      <x:c r="N1670" s="30" t="str">
        <x:v>245</x:v>
      </x:c>
      <x:c r="O1670" s="30" t="str">
        <x:v>У мужчин минимальна боязнь потерять свободное время; страх убытков у мужчин выше; у женщин минимально нежелание жить в постоянном стрессе.</x:v>
      </x:c>
      <x:c r="P1670" s="30" t="str">
        <x:v>Высоты всех шести столбцов для обеих групп проверены визуально.</x:v>
      </x:c>
      <x:c r="Q1670" s="30"/>
      <x:c r="R1670"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70" s="30"/>
      <x:c r="T1670" s="30"/>
      <x:c r="U1670" s="30" t="str">
        <x:v>Расхождений не обнаружено.</x:v>
      </x:c>
      <x:c r="V1670" s="87" t="str">
        <x:v>VERIFIED</x:v>
      </x:c>
      <x:c r="W1670" s="87" t="str">
        <x:v>PDF A, стр. 6</x:v>
      </x:c>
      <x:c r="X1670" s="87"/>
      <x:c r="Y1670" s="87"/>
      <x:c r="Z1670" s="87"/>
      <x:c r="AA1670" s="87"/>
      <x:c r="AB1670" s="87"/>
      <x:c r="AC1670" s="87"/>
      <x:c r="AD1670" s="87"/>
      <x:c r="AE1670" s="87"/>
      <x:c r="AF1670" s="87"/>
      <x:c r="AG1670" s="87"/>
      <x:c r="AH1670" s="87"/>
      <x:c r="AI1670" s="30"/>
      <x:c r="AJ1670" s="87" t="str">
        <x:v>master</x:v>
      </x:c>
      <x:c r="AK1670" s="87" t="str">
        <x:v>master-v0.81</x:v>
      </x:c>
      <x:c r="AL1670" s="87" t="str">
        <x:v>statgrad_master_base_v0_81_final(2).xlsx</x:v>
      </x:c>
      <x:c r="AM1670" s="87" t="str">
        <x:v>SOC_Mar_V3</x:v>
      </x:c>
      <x:c r="AN1670" s="87" t="n">
        <x:v>10</x:v>
      </x:c>
    </x:row>
    <x:row r="1671">
      <x:c r="A1671" s="87" t="n">
        <x:v>1670</x:v>
      </x:c>
      <x:c r="B1671" s="87" t="str">
        <x:v>MAR-SOC-V3-010</x:v>
      </x:c>
      <x:c r="C1671" s="87" t="str">
        <x:v>СтатГрад</x:v>
      </x:c>
      <x:c r="D1671" s="87" t="str">
        <x:v>Март 2026</x:v>
      </x:c>
      <x:c r="E1671" s="87"/>
      <x:c r="F1671" s="87"/>
      <x:c r="G1671" s="87" t="str">
        <x:v>Обществознание</x:v>
      </x:c>
      <x:c r="H1671" s="87" t="n">
        <x:v>11</x:v>
      </x:c>
      <x:c r="I1671" s="87" t="str">
        <x:v>ТР №5</x:v>
      </x:c>
      <x:c r="J1671" s="87" t="str">
        <x:v>ОБ2510503</x:v>
      </x:c>
      <x:c r="K1671" s="87" t="n">
        <x:v>10</x:v>
      </x:c>
      <x:c r="L1671" s="87" t="str">
        <x:v>Федеративное государство</x:v>
      </x:c>
      <x:c r="M1671" s="30" t="str">
        <x:v>Выбрать верные суждения о федерации.</x:v>
      </x:c>
      <x:c r="N1671" s="30" t="str">
        <x:v>125</x:v>
      </x:c>
      <x:c r="O1671" s="30" t="str">
        <x:v>Субъекты имеют политическую самостоятельность и собственное законодательство; компетенция разграничена между уровнями власти.</x:v>
      </x:c>
      <x:c r="P1671" s="30" t="str">
        <x:v>Субъекты не обладают государственным суверенитетом; федерациям обычно свойствен двухпалатный парламент.</x:v>
      </x:c>
      <x:c r="Q1671" s="30"/>
      <x:c r="R1671"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71" s="30"/>
      <x:c r="T1671" s="30"/>
      <x:c r="U1671" s="30" t="str">
        <x:v>Расхождений не обнаружено.</x:v>
      </x:c>
      <x:c r="V1671" s="87" t="str">
        <x:v>VERIFIED</x:v>
      </x:c>
      <x:c r="W1671" s="87" t="str">
        <x:v>Официальный PDF</x:v>
      </x:c>
      <x:c r="X1671" s="87"/>
      <x:c r="Y1671" s="87"/>
      <x:c r="Z1671" s="87"/>
      <x:c r="AA1671" s="87"/>
      <x:c r="AB1671" s="87"/>
      <x:c r="AC1671" s="87"/>
      <x:c r="AD1671" s="87"/>
      <x:c r="AE1671" s="87"/>
      <x:c r="AF1671" s="87"/>
      <x:c r="AG1671" s="87"/>
      <x:c r="AH1671" s="87"/>
      <x:c r="AI1671" s="30"/>
      <x:c r="AJ1671" s="87" t="str">
        <x:v>master</x:v>
      </x:c>
      <x:c r="AK1671" s="87" t="str">
        <x:v>master-v0.81</x:v>
      </x:c>
      <x:c r="AL1671" s="87" t="str">
        <x:v>statgrad_master_base_v0_81_final(2).xlsx</x:v>
      </x:c>
      <x:c r="AM1671" s="87" t="str">
        <x:v>SOC_Mar_V3</x:v>
      </x:c>
      <x:c r="AN1671" s="87" t="n">
        <x:v>11</x:v>
      </x:c>
    </x:row>
    <x:row r="1672">
      <x:c r="A1672" s="87" t="n">
        <x:v>1671</x:v>
      </x:c>
      <x:c r="B1672" s="87" t="str">
        <x:v>MAR-SOC-V3-011</x:v>
      </x:c>
      <x:c r="C1672" s="87" t="str">
        <x:v>СтатГрад</x:v>
      </x:c>
      <x:c r="D1672" s="87" t="str">
        <x:v>Март 2026</x:v>
      </x:c>
      <x:c r="E1672" s="87"/>
      <x:c r="F1672" s="87"/>
      <x:c r="G1672" s="87" t="str">
        <x:v>Обществознание</x:v>
      </x:c>
      <x:c r="H1672" s="87" t="n">
        <x:v>11</x:v>
      </x:c>
      <x:c r="I1672" s="87" t="str">
        <x:v>ТР №5</x:v>
      </x:c>
      <x:c r="J1672" s="87" t="str">
        <x:v>ОБ2510503</x:v>
      </x:c>
      <x:c r="K1672" s="87" t="n">
        <x:v>11</x:v>
      </x:c>
      <x:c r="L1672" s="87" t="str">
        <x:v>Форма правления</x:v>
      </x:c>
      <x:c r="M1672" s="30" t="str">
        <x:v>Выбрать признаки монархической формы правления в унитарном государстве Z.</x:v>
      </x:c>
      <x:c r="N1672" s="30" t="str">
        <x:v>125</x:v>
      </x:c>
      <x:c r="O1672" s="30" t="str">
        <x:v>Монарх осуществляет полномочия пожизненно и наследует власть; парламентское формирование правительства характеризует парламентскую монархию.</x:v>
      </x:c>
      <x:c r="P1672" s="30" t="str">
        <x:v>Признаки унитарности и режима не относятся непосредственно к форме правления.</x:v>
      </x:c>
      <x:c r="Q1672" s="30"/>
      <x:c r="R1672"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72" s="30"/>
      <x:c r="T1672" s="30"/>
      <x:c r="U1672" s="30" t="str">
        <x:v>Расхождений не обнаружено.</x:v>
      </x:c>
      <x:c r="V1672" s="87" t="str">
        <x:v>VERIFIED</x:v>
      </x:c>
      <x:c r="W1672" s="87" t="str">
        <x:v>Официальный PDF</x:v>
      </x:c>
      <x:c r="X1672" s="87"/>
      <x:c r="Y1672" s="87"/>
      <x:c r="Z1672" s="87"/>
      <x:c r="AA1672" s="87"/>
      <x:c r="AB1672" s="87"/>
      <x:c r="AC1672" s="87"/>
      <x:c r="AD1672" s="87"/>
      <x:c r="AE1672" s="87"/>
      <x:c r="AF1672" s="87"/>
      <x:c r="AG1672" s="87"/>
      <x:c r="AH1672" s="87"/>
      <x:c r="AI1672" s="30"/>
      <x:c r="AJ1672" s="87" t="str">
        <x:v>master</x:v>
      </x:c>
      <x:c r="AK1672" s="87" t="str">
        <x:v>master-v0.81</x:v>
      </x:c>
      <x:c r="AL1672" s="87" t="str">
        <x:v>statgrad_master_base_v0_81_final(2).xlsx</x:v>
      </x:c>
      <x:c r="AM1672" s="87" t="str">
        <x:v>SOC_Mar_V3</x:v>
      </x:c>
      <x:c r="AN1672" s="87" t="n">
        <x:v>12</x:v>
      </x:c>
    </x:row>
    <x:row r="1673">
      <x:c r="A1673" s="87" t="n">
        <x:v>1672</x:v>
      </x:c>
      <x:c r="B1673" s="87" t="str">
        <x:v>MAR-SOC-V3-012</x:v>
      </x:c>
      <x:c r="C1673" s="87" t="str">
        <x:v>СтатГрад</x:v>
      </x:c>
      <x:c r="D1673" s="87" t="str">
        <x:v>Март 2026</x:v>
      </x:c>
      <x:c r="E1673" s="87"/>
      <x:c r="F1673" s="87"/>
      <x:c r="G1673" s="87" t="str">
        <x:v>Обществознание</x:v>
      </x:c>
      <x:c r="H1673" s="87" t="n">
        <x:v>11</x:v>
      </x:c>
      <x:c r="I1673" s="87" t="str">
        <x:v>ТР №5</x:v>
      </x:c>
      <x:c r="J1673" s="87" t="str">
        <x:v>ОБ2510503</x:v>
      </x:c>
      <x:c r="K1673" s="87" t="n">
        <x:v>12</x:v>
      </x:c>
      <x:c r="L1673" s="87" t="str">
        <x:v>Социальные права</x:v>
      </x:c>
      <x:c r="M1673" s="30" t="str">
        <x:v>Выбрать социальные права граждан РФ.</x:v>
      </x:c>
      <x:c r="N1673" s="30" t="str">
        <x:v>23</x:v>
      </x:c>
      <x:c r="O1673" s="30" t="str">
        <x:v>Право на жилище и медицинскую помощь — социальные; остальные варианты относятся к личным или экономическим правам.</x:v>
      </x:c>
      <x:c r="P1673" s="30" t="str">
        <x:v>Право на жилище и медицинскую помощь — социальные; остальные варианты относятся к личным или экономическим правам.</x:v>
      </x:c>
      <x:c r="Q1673" s="30"/>
      <x:c r="R1673"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73" s="30"/>
      <x:c r="T1673" s="30"/>
      <x:c r="U1673" s="30" t="str">
        <x:v>Расхождений не обнаружено.</x:v>
      </x:c>
      <x:c r="V1673" s="87" t="str">
        <x:v>VERIFIED</x:v>
      </x:c>
      <x:c r="W1673" s="87" t="str">
        <x:v>Официальный PDF</x:v>
      </x:c>
      <x:c r="X1673" s="87"/>
      <x:c r="Y1673" s="87"/>
      <x:c r="Z1673" s="87"/>
      <x:c r="AA1673" s="87"/>
      <x:c r="AB1673" s="87"/>
      <x:c r="AC1673" s="87"/>
      <x:c r="AD1673" s="87"/>
      <x:c r="AE1673" s="87"/>
      <x:c r="AF1673" s="87"/>
      <x:c r="AG1673" s="87"/>
      <x:c r="AH1673" s="87"/>
      <x:c r="AI1673" s="30"/>
      <x:c r="AJ1673" s="87" t="str">
        <x:v>master</x:v>
      </x:c>
      <x:c r="AK1673" s="87" t="str">
        <x:v>master-v0.81</x:v>
      </x:c>
      <x:c r="AL1673" s="87" t="str">
        <x:v>statgrad_master_base_v0_81_final(2).xlsx</x:v>
      </x:c>
      <x:c r="AM1673" s="87" t="str">
        <x:v>SOC_Mar_V3</x:v>
      </x:c>
      <x:c r="AN1673" s="87" t="n">
        <x:v>13</x:v>
      </x:c>
    </x:row>
    <x:row r="1674">
      <x:c r="A1674" s="87" t="n">
        <x:v>1673</x:v>
      </x:c>
      <x:c r="B1674" s="87" t="str">
        <x:v>MAR-SOC-V3-013</x:v>
      </x:c>
      <x:c r="C1674" s="87" t="str">
        <x:v>СтатГрад</x:v>
      </x:c>
      <x:c r="D1674" s="87" t="str">
        <x:v>Март 2026</x:v>
      </x:c>
      <x:c r="E1674" s="87"/>
      <x:c r="F1674" s="87"/>
      <x:c r="G1674" s="87" t="str">
        <x:v>Обществознание</x:v>
      </x:c>
      <x:c r="H1674" s="87" t="n">
        <x:v>11</x:v>
      </x:c>
      <x:c r="I1674" s="87" t="str">
        <x:v>ТР №5</x:v>
      </x:c>
      <x:c r="J1674" s="87" t="str">
        <x:v>ОБ2510503</x:v>
      </x:c>
      <x:c r="K1674" s="87" t="n">
        <x:v>13</x:v>
      </x:c>
      <x:c r="L1674" s="87" t="str">
        <x:v>Субъекты РФ</x:v>
      </x:c>
      <x:c r="M1674" s="30" t="str">
        <x:v>Соотнести полномочия республики, области и обоих видов субъектов.</x:v>
      </x:c>
      <x:c r="N1674" s="30" t="str">
        <x:v>23311</x:v>
      </x:c>
      <x:c r="O1674" s="30" t="str">
        <x:v>Область принимает устав; законы и организация органов власти относятся к обоим; республика принимает конституцию и устанавливает государственные языки.</x:v>
      </x:c>
      <x:c r="P1674" s="30" t="str">
        <x:v>Область принимает устав; законы и организация органов власти относятся к обоим; республика принимает конституцию и устанавливает государственные языки.</x:v>
      </x:c>
      <x:c r="Q1674" s="30"/>
      <x:c r="R1674"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74" s="30"/>
      <x:c r="T1674" s="30"/>
      <x:c r="U1674" s="30" t="str">
        <x:v>Расхождений не обнаружено.</x:v>
      </x:c>
      <x:c r="V1674" s="87" t="str">
        <x:v>VERIFIED</x:v>
      </x:c>
      <x:c r="W1674" s="87" t="str">
        <x:v>Официальный PDF</x:v>
      </x:c>
      <x:c r="X1674" s="87"/>
      <x:c r="Y1674" s="87"/>
      <x:c r="Z1674" s="87"/>
      <x:c r="AA1674" s="87"/>
      <x:c r="AB1674" s="87"/>
      <x:c r="AC1674" s="87"/>
      <x:c r="AD1674" s="87"/>
      <x:c r="AE1674" s="87"/>
      <x:c r="AF1674" s="87"/>
      <x:c r="AG1674" s="87"/>
      <x:c r="AH1674" s="87"/>
      <x:c r="AI1674" s="30"/>
      <x:c r="AJ1674" s="87" t="str">
        <x:v>master</x:v>
      </x:c>
      <x:c r="AK1674" s="87" t="str">
        <x:v>master-v0.81</x:v>
      </x:c>
      <x:c r="AL1674" s="87" t="str">
        <x:v>statgrad_master_base_v0_81_final(2).xlsx</x:v>
      </x:c>
      <x:c r="AM1674" s="87" t="str">
        <x:v>SOC_Mar_V3</x:v>
      </x:c>
      <x:c r="AN1674" s="87" t="n">
        <x:v>14</x:v>
      </x:c>
    </x:row>
    <x:row r="1675">
      <x:c r="A1675" s="87" t="n">
        <x:v>1674</x:v>
      </x:c>
      <x:c r="B1675" s="87" t="str">
        <x:v>MAR-SOC-V3-014</x:v>
      </x:c>
      <x:c r="C1675" s="87" t="str">
        <x:v>СтатГрад</x:v>
      </x:c>
      <x:c r="D1675" s="87" t="str">
        <x:v>Март 2026</x:v>
      </x:c>
      <x:c r="E1675" s="87"/>
      <x:c r="F1675" s="87"/>
      <x:c r="G1675" s="87" t="str">
        <x:v>Обществознание</x:v>
      </x:c>
      <x:c r="H1675" s="87" t="n">
        <x:v>11</x:v>
      </x:c>
      <x:c r="I1675" s="87" t="str">
        <x:v>ТР №5</x:v>
      </x:c>
      <x:c r="J1675" s="87" t="str">
        <x:v>ОБ2510503</x:v>
      </x:c>
      <x:c r="K1675" s="87" t="n">
        <x:v>14</x:v>
      </x:c>
      <x:c r="L1675" s="87" t="str">
        <x:v>Уголовное судопроизводство</x:v>
      </x:c>
      <x:c r="M1675" s="30" t="str">
        <x:v>Выбрать верные суждения об уголовном процессе.</x:v>
      </x:c>
      <x:c r="N1675" s="30" t="str">
        <x:v>135</x:v>
      </x:c>
      <x:c r="O1675" s="30" t="str">
        <x:v>Обвинение и защита равноправны, защита несовершеннолетнего обязательна, приговор первой инстанции можно обжаловать.</x:v>
      </x:c>
      <x:c r="P1675" s="30" t="str">
        <x:v>Суд присяжных предусмотрен не для любого обвинения; уголовные дела рассматривают также мировые судьи.</x:v>
      </x:c>
      <x:c r="Q1675" s="30"/>
      <x:c r="R1675"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75" s="30"/>
      <x:c r="T1675" s="30"/>
      <x:c r="U1675" s="30" t="str">
        <x:v>Расхождений не обнаружено.</x:v>
      </x:c>
      <x:c r="V1675" s="87" t="str">
        <x:v>VERIFIED</x:v>
      </x:c>
      <x:c r="W1675" s="87" t="str">
        <x:v>Официальный PDF</x:v>
      </x:c>
      <x:c r="X1675" s="87"/>
      <x:c r="Y1675" s="87"/>
      <x:c r="Z1675" s="87"/>
      <x:c r="AA1675" s="87"/>
      <x:c r="AB1675" s="87"/>
      <x:c r="AC1675" s="87"/>
      <x:c r="AD1675" s="87"/>
      <x:c r="AE1675" s="87"/>
      <x:c r="AF1675" s="87"/>
      <x:c r="AG1675" s="87"/>
      <x:c r="AH1675" s="87"/>
      <x:c r="AI1675" s="30"/>
      <x:c r="AJ1675" s="87" t="str">
        <x:v>master</x:v>
      </x:c>
      <x:c r="AK1675" s="87" t="str">
        <x:v>master-v0.81</x:v>
      </x:c>
      <x:c r="AL1675" s="87" t="str">
        <x:v>statgrad_master_base_v0_81_final(2).xlsx</x:v>
      </x:c>
      <x:c r="AM1675" s="87" t="str">
        <x:v>SOC_Mar_V3</x:v>
      </x:c>
      <x:c r="AN1675" s="87" t="n">
        <x:v>15</x:v>
      </x:c>
    </x:row>
    <x:row r="1676">
      <x:c r="A1676" s="87" t="n">
        <x:v>1675</x:v>
      </x:c>
      <x:c r="B1676" s="87" t="str">
        <x:v>MAR-SOC-V3-015</x:v>
      </x:c>
      <x:c r="C1676" s="87" t="str">
        <x:v>СтатГрад</x:v>
      </x:c>
      <x:c r="D1676" s="87" t="str">
        <x:v>Март 2026</x:v>
      </x:c>
      <x:c r="E1676" s="87"/>
      <x:c r="F1676" s="87"/>
      <x:c r="G1676" s="87" t="str">
        <x:v>Обществознание</x:v>
      </x:c>
      <x:c r="H1676" s="87" t="n">
        <x:v>11</x:v>
      </x:c>
      <x:c r="I1676" s="87" t="str">
        <x:v>ТР №5</x:v>
      </x:c>
      <x:c r="J1676" s="87" t="str">
        <x:v>ОБ2510503</x:v>
      </x:c>
      <x:c r="K1676" s="87" t="n">
        <x:v>15</x:v>
      </x:c>
      <x:c r="L1676" s="87" t="str">
        <x:v>Юридическая ответственность</x:v>
      </x:c>
      <x:c r="M1676" s="30" t="str">
        <x:v>Соотнести неустойку, дисквалификацию, выговор, обязательные работы и возмещение убытков с видами ответственности.</x:v>
      </x:c>
      <x:c r="N1676" s="30" t="str">
        <x:v>13231</x:v>
      </x:c>
      <x:c r="O1676" s="30" t="str">
        <x:v>Неустойка и убытки — гражданско-правовые меры; дисквалификация и обязательные работы — административные; выговор — дисциплинарный.</x:v>
      </x:c>
      <x:c r="P1676" s="30" t="str">
        <x:v>Неустойка и убытки — гражданско-правовые меры; дисквалификация и обязательные работы — административные; выговор — дисциплинарный.</x:v>
      </x:c>
      <x:c r="Q1676" s="30"/>
      <x:c r="R1676"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76" s="30"/>
      <x:c r="T1676" s="30"/>
      <x:c r="U1676" s="30" t="str">
        <x:v>Расхождений не обнаружено.</x:v>
      </x:c>
      <x:c r="V1676" s="87" t="str">
        <x:v>VERIFIED</x:v>
      </x:c>
      <x:c r="W1676" s="87" t="str">
        <x:v>Официальный PDF</x:v>
      </x:c>
      <x:c r="X1676" s="87"/>
      <x:c r="Y1676" s="87"/>
      <x:c r="Z1676" s="87"/>
      <x:c r="AA1676" s="87"/>
      <x:c r="AB1676" s="87"/>
      <x:c r="AC1676" s="87"/>
      <x:c r="AD1676" s="87"/>
      <x:c r="AE1676" s="87"/>
      <x:c r="AF1676" s="87"/>
      <x:c r="AG1676" s="87"/>
      <x:c r="AH1676" s="87"/>
      <x:c r="AI1676" s="30"/>
      <x:c r="AJ1676" s="87" t="str">
        <x:v>master</x:v>
      </x:c>
      <x:c r="AK1676" s="87" t="str">
        <x:v>master-v0.81</x:v>
      </x:c>
      <x:c r="AL1676" s="87" t="str">
        <x:v>statgrad_master_base_v0_81_final(2).xlsx</x:v>
      </x:c>
      <x:c r="AM1676" s="87" t="str">
        <x:v>SOC_Mar_V3</x:v>
      </x:c>
      <x:c r="AN1676" s="87" t="n">
        <x:v>16</x:v>
      </x:c>
    </x:row>
    <x:row r="1677">
      <x:c r="A1677" s="87" t="n">
        <x:v>1676</x:v>
      </x:c>
      <x:c r="B1677" s="87" t="str">
        <x:v>MAR-SOC-V3-016</x:v>
      </x:c>
      <x:c r="C1677" s="87" t="str">
        <x:v>СтатГрад</x:v>
      </x:c>
      <x:c r="D1677" s="87" t="str">
        <x:v>Март 2026</x:v>
      </x:c>
      <x:c r="E1677" s="87"/>
      <x:c r="F1677" s="87"/>
      <x:c r="G1677" s="87" t="str">
        <x:v>Обществознание</x:v>
      </x:c>
      <x:c r="H1677" s="87" t="n">
        <x:v>11</x:v>
      </x:c>
      <x:c r="I1677" s="87" t="str">
        <x:v>ТР №5</x:v>
      </x:c>
      <x:c r="J1677" s="87" t="str">
        <x:v>ОБ2510503</x:v>
      </x:c>
      <x:c r="K1677" s="87" t="n">
        <x:v>16</x:v>
      </x:c>
      <x:c r="L1677" s="87" t="str">
        <x:v>Трудовое право</x:v>
      </x:c>
      <x:c r="M1677" s="30" t="str">
        <x:v>Выбрать грубые нарушения дисциплины, допускающие увольнение.</x:v>
      </x:c>
      <x:c r="N1677" s="30" t="str">
        <x:v>134</x:v>
      </x:c>
      <x:c r="O1677" s="30" t="str">
        <x:v>Прогул, появление в состоянии опьянения и разглашение коммерческой тайны являются однократными грубыми нарушениями.</x:v>
      </x:c>
      <x:c r="P1677" s="30" t="str">
        <x:v>Разовое опоздание или ранний уход сами по себе обычно влекут более мягкую дисциплинарную ответственность.</x:v>
      </x:c>
      <x:c r="Q1677" s="30"/>
      <x:c r="R1677"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77" s="30"/>
      <x:c r="T1677" s="30"/>
      <x:c r="U1677" s="30" t="str">
        <x:v>Расхождений не обнаружено.</x:v>
      </x:c>
      <x:c r="V1677" s="87" t="str">
        <x:v>VERIFIED</x:v>
      </x:c>
      <x:c r="W1677" s="87" t="str">
        <x:v>Официальный PDF</x:v>
      </x:c>
      <x:c r="X1677" s="87"/>
      <x:c r="Y1677" s="87"/>
      <x:c r="Z1677" s="87"/>
      <x:c r="AA1677" s="87"/>
      <x:c r="AB1677" s="87"/>
      <x:c r="AC1677" s="87"/>
      <x:c r="AD1677" s="87"/>
      <x:c r="AE1677" s="87"/>
      <x:c r="AF1677" s="87"/>
      <x:c r="AG1677" s="87"/>
      <x:c r="AH1677" s="87"/>
      <x:c r="AI1677" s="30"/>
      <x:c r="AJ1677" s="87" t="str">
        <x:v>master</x:v>
      </x:c>
      <x:c r="AK1677" s="87" t="str">
        <x:v>master-v0.81</x:v>
      </x:c>
      <x:c r="AL1677" s="87" t="str">
        <x:v>statgrad_master_base_v0_81_final(2).xlsx</x:v>
      </x:c>
      <x:c r="AM1677" s="87" t="str">
        <x:v>SOC_Mar_V3</x:v>
      </x:c>
      <x:c r="AN1677" s="87" t="n">
        <x:v>17</x:v>
      </x:c>
    </x:row>
    <x:row r="1678">
      <x:c r="A1678" s="87" t="n">
        <x:v>1677</x:v>
      </x:c>
      <x:c r="B1678" s="87" t="str">
        <x:v>MAR-SOC-V3-017</x:v>
      </x:c>
      <x:c r="C1678" s="87" t="str">
        <x:v>СтатГрад</x:v>
      </x:c>
      <x:c r="D1678" s="87" t="str">
        <x:v>Март 2026</x:v>
      </x:c>
      <x:c r="E1678" s="87"/>
      <x:c r="F1678" s="87"/>
      <x:c r="G1678" s="87" t="str">
        <x:v>Обществознание</x:v>
      </x:c>
      <x:c r="H1678" s="87" t="n">
        <x:v>11</x:v>
      </x:c>
      <x:c r="I1678" s="87" t="str">
        <x:v>ТР №5</x:v>
      </x:c>
      <x:c r="J1678" s="87" t="str">
        <x:v>ОБ2510503</x:v>
      </x:c>
      <x:c r="K1678" s="87" t="n">
        <x:v>17</x:v>
      </x:c>
      <x:c r="L1678" s="87" t="str">
        <x:v>Анализ текста: социальный конфликт</x:v>
      </x:c>
      <x:c r="M1678" s="30" t="str">
        <x:v>По тексту С. С. Фролова определить понятие конфликта, различие межличностного и межгруппового конфликтов и два типа по внутреннему содержанию.</x:v>
      </x:c>
      <x:c r="N1678" s="30" t="str">
        <x:v>Конфликт — попытка получить вознаграждение путём подчинения, навязывания воли, удаления или уничтожения соперника. Межличностные конфликты чаще основаны на эмоциях и личной неприязни, межгрупповые обычно безличны. Типы: рациональные и эмоциональные.</x:v>
      </x:c>
      <x:c r="O1678" s="30" t="str">
        <x:v>Ответ воспроизводит три требуемых элемента текста.</x:v>
      </x:c>
      <x:c r="P1678" s="30" t="str">
        <x:v>Ответ воспроизводит три требуемых элемента текста.</x:v>
      </x:c>
      <x:c r="Q1678" s="30"/>
      <x:c r="R1678"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78" s="30"/>
      <x:c r="T1678" s="30"/>
      <x:c r="U1678" s="30" t="str">
        <x:v>Расхождений не обнаружено.</x:v>
      </x:c>
      <x:c r="V1678" s="87" t="str">
        <x:v>VERIFIED</x:v>
      </x:c>
      <x:c r="W1678" s="87" t="str">
        <x:v>PDF A, задания 17–20</x:v>
      </x:c>
      <x:c r="X1678" s="87"/>
      <x:c r="Y1678" s="87"/>
      <x:c r="Z1678" s="87"/>
      <x:c r="AA1678" s="87"/>
      <x:c r="AB1678" s="87"/>
      <x:c r="AC1678" s="87"/>
      <x:c r="AD1678" s="87"/>
      <x:c r="AE1678" s="87"/>
      <x:c r="AF1678" s="87"/>
      <x:c r="AG1678" s="87"/>
      <x:c r="AH1678" s="87"/>
      <x:c r="AI1678" s="30"/>
      <x:c r="AJ1678" s="87" t="str">
        <x:v>master</x:v>
      </x:c>
      <x:c r="AK1678" s="87" t="str">
        <x:v>master-v0.81</x:v>
      </x:c>
      <x:c r="AL1678" s="87" t="str">
        <x:v>statgrad_master_base_v0_81_final(2).xlsx</x:v>
      </x:c>
      <x:c r="AM1678" s="87" t="str">
        <x:v>SOC_Mar_V3</x:v>
      </x:c>
      <x:c r="AN1678" s="87" t="n">
        <x:v>18</x:v>
      </x:c>
    </x:row>
    <x:row r="1679">
      <x:c r="A1679" s="87" t="n">
        <x:v>1678</x:v>
      </x:c>
      <x:c r="B1679" s="87" t="str">
        <x:v>MAR-SOC-V3-018</x:v>
      </x:c>
      <x:c r="C1679" s="87" t="str">
        <x:v>СтатГрад</x:v>
      </x:c>
      <x:c r="D1679" s="87" t="str">
        <x:v>Март 2026</x:v>
      </x:c>
      <x:c r="E1679" s="87"/>
      <x:c r="F1679" s="87"/>
      <x:c r="G1679" s="87" t="str">
        <x:v>Обществознание</x:v>
      </x:c>
      <x:c r="H1679" s="87" t="n">
        <x:v>11</x:v>
      </x:c>
      <x:c r="I1679" s="87" t="str">
        <x:v>ТР №5</x:v>
      </x:c>
      <x:c r="J1679" s="87" t="str">
        <x:v>ОБ2510503</x:v>
      </x:c>
      <x:c r="K1679" s="87" t="n">
        <x:v>18</x:v>
      </x:c>
      <x:c r="L1679" s="87" t="str">
        <x:v>Теоретическое задание: культура</x:v>
      </x:c>
      <x:c r="M1679" s="30" t="str">
        <x:v>Назвать не менее трёх признаков культуры как результата творческой деятельности и объяснить её связь с конфликтами.</x:v>
      </x:c>
      <x:c r="N1679" s="30" t="str">
        <x:v>Признаки: культура имеет материальную и духовную формы; исторически обусловлена; включает ценности и идеалы; передаётся между поколениями. Культурные конфликты возникают при столкновении норм и ценностей и могут способствовать отказу от устаревших обычаев и обновлению культуры.</x:v>
      </x:c>
      <x:c r="O1679" s="30" t="str">
        <x:v>Указаны четыре признака, включая два обязательных по критериям, и причинная связь.</x:v>
      </x:c>
      <x:c r="P1679" s="30" t="str">
        <x:v>Указаны четыре признака, включая два обязательных по критериям, и причинная связь.</x:v>
      </x:c>
      <x:c r="Q1679" s="30"/>
      <x:c r="R1679"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79" s="30"/>
      <x:c r="T1679" s="30"/>
      <x:c r="U1679" s="30" t="str">
        <x:v>Расхождений не обнаружено.</x:v>
      </x:c>
      <x:c r="V1679" s="87" t="str">
        <x:v>VERIFIED</x:v>
      </x:c>
      <x:c r="W1679" s="87" t="str">
        <x:v>Официальный PDF</x:v>
      </x:c>
      <x:c r="X1679" s="87"/>
      <x:c r="Y1679" s="87"/>
      <x:c r="Z1679" s="87"/>
      <x:c r="AA1679" s="87"/>
      <x:c r="AB1679" s="87"/>
      <x:c r="AC1679" s="87"/>
      <x:c r="AD1679" s="87"/>
      <x:c r="AE1679" s="87"/>
      <x:c r="AF1679" s="87"/>
      <x:c r="AG1679" s="87"/>
      <x:c r="AH1679" s="87"/>
      <x:c r="AI1679" s="30"/>
      <x:c r="AJ1679" s="87" t="str">
        <x:v>master</x:v>
      </x:c>
      <x:c r="AK1679" s="87" t="str">
        <x:v>master-v0.81</x:v>
      </x:c>
      <x:c r="AL1679" s="87" t="str">
        <x:v>statgrad_master_base_v0_81_final(2).xlsx</x:v>
      </x:c>
      <x:c r="AM1679" s="87" t="str">
        <x:v>SOC_Mar_V3</x:v>
      </x:c>
      <x:c r="AN1679" s="87" t="n">
        <x:v>19</x:v>
      </x:c>
    </x:row>
    <x:row r="1680">
      <x:c r="A1680" s="87" t="n">
        <x:v>1679</x:v>
      </x:c>
      <x:c r="B1680" s="87" t="str">
        <x:v>MAR-SOC-V3-019</x:v>
      </x:c>
      <x:c r="C1680" s="87" t="str">
        <x:v>СтатГрад</x:v>
      </x:c>
      <x:c r="D1680" s="87" t="str">
        <x:v>Март 2026</x:v>
      </x:c>
      <x:c r="E1680" s="87"/>
      <x:c r="F1680" s="87"/>
      <x:c r="G1680" s="87" t="str">
        <x:v>Обществознание</x:v>
      </x:c>
      <x:c r="H1680" s="87" t="n">
        <x:v>11</x:v>
      </x:c>
      <x:c r="I1680" s="87" t="str">
        <x:v>ТР №5</x:v>
      </x:c>
      <x:c r="J1680" s="87" t="str">
        <x:v>ОБ2510503</x:v>
      </x:c>
      <x:c r="K1680" s="87" t="n">
        <x:v>19</x:v>
      </x:c>
      <x:c r="L1680" s="87" t="str">
        <x:v>Примеры: разрешение конфликтов</x:v>
      </x:c>
      <x:c r="M1680" s="30" t="str">
        <x:v>Привести три развёрнутых примера ненасильственного разрешения социальных конфликтов.</x:v>
      </x:c>
      <x:c r="N1680" s="30" t="str">
        <x:v>1) Переговоры: дипломаты двух государств обсудили взаимные обвинения и согласовали меры снижения напряжённости. 2) Посредничество: администрация района выступила между жителями и застройщиком и предложила компромиссное размещение парка. 3) Компромисс: работники и руководство после взаимных уступок согласовали умеренное повышение зарплаты и увеличение отпуска.</x:v>
      </x:c>
      <x:c r="O1680" s="30" t="str">
        <x:v>Примеры различаются по способу и содержат участников, противоречие и результат.</x:v>
      </x:c>
      <x:c r="P1680" s="30" t="str">
        <x:v>Примеры различаются по способу и содержат участников, противоречие и результат.</x:v>
      </x:c>
      <x:c r="Q1680" s="30"/>
      <x:c r="R1680"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80" s="30"/>
      <x:c r="T1680" s="30"/>
      <x:c r="U1680" s="30" t="str">
        <x:v>Расхождений не обнаружено.</x:v>
      </x:c>
      <x:c r="V1680" s="87" t="str">
        <x:v>VERIFIED</x:v>
      </x:c>
      <x:c r="W1680" s="87" t="str">
        <x:v>Официальный PDF</x:v>
      </x:c>
      <x:c r="X1680" s="87"/>
      <x:c r="Y1680" s="87"/>
      <x:c r="Z1680" s="87"/>
      <x:c r="AA1680" s="87"/>
      <x:c r="AB1680" s="87"/>
      <x:c r="AC1680" s="87"/>
      <x:c r="AD1680" s="87"/>
      <x:c r="AE1680" s="87"/>
      <x:c r="AF1680" s="87"/>
      <x:c r="AG1680" s="87"/>
      <x:c r="AH1680" s="87"/>
      <x:c r="AI1680" s="30"/>
      <x:c r="AJ1680" s="87" t="str">
        <x:v>master</x:v>
      </x:c>
      <x:c r="AK1680" s="87" t="str">
        <x:v>master-v0.81</x:v>
      </x:c>
      <x:c r="AL1680" s="87" t="str">
        <x:v>statgrad_master_base_v0_81_final(2).xlsx</x:v>
      </x:c>
      <x:c r="AM1680" s="87" t="str">
        <x:v>SOC_Mar_V3</x:v>
      </x:c>
      <x:c r="AN1680" s="87" t="n">
        <x:v>20</x:v>
      </x:c>
    </x:row>
    <x:row r="1681">
      <x:c r="A1681" s="87" t="n">
        <x:v>1680</x:v>
      </x:c>
      <x:c r="B1681" s="87" t="str">
        <x:v>MAR-SOC-V3-020</x:v>
      </x:c>
      <x:c r="C1681" s="87" t="str">
        <x:v>СтатГрад</x:v>
      </x:c>
      <x:c r="D1681" s="87" t="str">
        <x:v>Март 2026</x:v>
      </x:c>
      <x:c r="E1681" s="87"/>
      <x:c r="F1681" s="87"/>
      <x:c r="G1681" s="87" t="str">
        <x:v>Обществознание</x:v>
      </x:c>
      <x:c r="H1681" s="87" t="n">
        <x:v>11</x:v>
      </x:c>
      <x:c r="I1681" s="87" t="str">
        <x:v>ТР №5</x:v>
      </x:c>
      <x:c r="J1681" s="87" t="str">
        <x:v>ОБ2510503</x:v>
      </x:c>
      <x:c r="K1681" s="87" t="n">
        <x:v>20</x:v>
      </x:c>
      <x:c r="L1681" s="87" t="str">
        <x:v>Аргументация: функции конфликта</x:v>
      </x:c>
      <x:c r="M1681" s="30" t="str">
        <x:v>Привести три аргумента положительного влияния социальных конфликтов.</x:v>
      </x:c>
      <x:c r="N1681" s="30" t="str">
        <x:v>1) Конфликт выявляет скрытые проблемы и сообщает обществу о накопившейся напряжённости. 2) Борьба интересов побуждает институты и нормы обновляться и устранять причины недовольства. 3) Достигнутое соглашение снижает напряжённость и формирует новые правила взаимодействия.</x:v>
      </x:c>
      <x:c r="O1681" s="30" t="str">
        <x:v>Каждый аргумент сформулирован распространённым предложением и раскрывает отдельную функцию.</x:v>
      </x:c>
      <x:c r="P1681" s="30" t="str">
        <x:v>Каждый аргумент сформулирован распространённым предложением и раскрывает отдельную функцию.</x:v>
      </x:c>
      <x:c r="Q1681" s="30"/>
      <x:c r="R1681"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81" s="30"/>
      <x:c r="T1681" s="30"/>
      <x:c r="U1681" s="30" t="str">
        <x:v>Расхождений не обнаружено.</x:v>
      </x:c>
      <x:c r="V1681" s="87" t="str">
        <x:v>VERIFIED</x:v>
      </x:c>
      <x:c r="W1681" s="87" t="str">
        <x:v>Официальный PDF</x:v>
      </x:c>
      <x:c r="X1681" s="87"/>
      <x:c r="Y1681" s="87"/>
      <x:c r="Z1681" s="87"/>
      <x:c r="AA1681" s="87"/>
      <x:c r="AB1681" s="87"/>
      <x:c r="AC1681" s="87"/>
      <x:c r="AD1681" s="87"/>
      <x:c r="AE1681" s="87"/>
      <x:c r="AF1681" s="87"/>
      <x:c r="AG1681" s="87"/>
      <x:c r="AH1681" s="87"/>
      <x:c r="AI1681" s="30"/>
      <x:c r="AJ1681" s="87" t="str">
        <x:v>master</x:v>
      </x:c>
      <x:c r="AK1681" s="87" t="str">
        <x:v>master-v0.81</x:v>
      </x:c>
      <x:c r="AL1681" s="87" t="str">
        <x:v>statgrad_master_base_v0_81_final(2).xlsx</x:v>
      </x:c>
      <x:c r="AM1681" s="87" t="str">
        <x:v>SOC_Mar_V3</x:v>
      </x:c>
      <x:c r="AN1681" s="87" t="n">
        <x:v>21</x:v>
      </x:c>
    </x:row>
    <x:row r="1682">
      <x:c r="A1682" s="87" t="n">
        <x:v>1681</x:v>
      </x:c>
      <x:c r="B1682" s="87" t="str">
        <x:v>MAR-SOC-V3-021</x:v>
      </x:c>
      <x:c r="C1682" s="87" t="str">
        <x:v>СтатГрад</x:v>
      </x:c>
      <x:c r="D1682" s="87" t="str">
        <x:v>Март 2026</x:v>
      </x:c>
      <x:c r="E1682" s="87"/>
      <x:c r="F1682" s="87"/>
      <x:c r="G1682" s="87" t="str">
        <x:v>Обществознание</x:v>
      </x:c>
      <x:c r="H1682" s="87" t="n">
        <x:v>11</x:v>
      </x:c>
      <x:c r="I1682" s="87" t="str">
        <x:v>ТР №5</x:v>
      </x:c>
      <x:c r="J1682" s="87" t="str">
        <x:v>ОБ2510503</x:v>
      </x:c>
      <x:c r="K1682" s="87" t="n">
        <x:v>21</x:v>
      </x:c>
      <x:c r="L1682" s="87" t="str">
        <x:v>Рыночный график: новостройки</x:v>
      </x:c>
      <x:c r="M1682" s="30" t="str">
        <x:v>Предложение жилых новостроек сдвинулось влево. Определить цену, фактор предложения и последствия снижения ипотечных ставок.</x:v>
      </x:c>
      <x:c r="N1682" s="30" t="str">
        <x:v>Равновесная цена увеличилась. Возможный фактор: рост стоимости строительных материалов увеличил себестоимость и сократил предложение новостроек. Снижение ипотечных ставок увеличит спрос на жильё и повысит равновесную цену.</x:v>
      </x:c>
      <x:c r="O1682" s="30" t="str">
        <x:v>Направления сдвигов и изменения равновесной цены проверены по графику.</x:v>
      </x:c>
      <x:c r="P1682" s="30" t="str">
        <x:v>Направления сдвигов и изменения равновесной цены проверены по графику.</x:v>
      </x:c>
      <x:c r="Q1682" s="30"/>
      <x:c r="R1682"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82" s="30"/>
      <x:c r="T1682" s="30"/>
      <x:c r="U1682" s="30" t="str">
        <x:v>Расхождений не обнаружено.</x:v>
      </x:c>
      <x:c r="V1682" s="87" t="str">
        <x:v>VERIFIED</x:v>
      </x:c>
      <x:c r="W1682" s="87" t="str">
        <x:v>PDF B, стр. 13 / PDF A, стр. 26</x:v>
      </x:c>
      <x:c r="X1682" s="87"/>
      <x:c r="Y1682" s="87"/>
      <x:c r="Z1682" s="87"/>
      <x:c r="AA1682" s="87"/>
      <x:c r="AB1682" s="87"/>
      <x:c r="AC1682" s="87"/>
      <x:c r="AD1682" s="87"/>
      <x:c r="AE1682" s="87"/>
      <x:c r="AF1682" s="87"/>
      <x:c r="AG1682" s="87"/>
      <x:c r="AH1682" s="87"/>
      <x:c r="AI1682" s="30"/>
      <x:c r="AJ1682" s="87" t="str">
        <x:v>master</x:v>
      </x:c>
      <x:c r="AK1682" s="87" t="str">
        <x:v>master-v0.81</x:v>
      </x:c>
      <x:c r="AL1682" s="87" t="str">
        <x:v>statgrad_master_base_v0_81_final(2).xlsx</x:v>
      </x:c>
      <x:c r="AM1682" s="87" t="str">
        <x:v>SOC_Mar_V3</x:v>
      </x:c>
      <x:c r="AN1682" s="87" t="n">
        <x:v>22</x:v>
      </x:c>
    </x:row>
    <x:row r="1683">
      <x:c r="A1683" s="87" t="n">
        <x:v>1682</x:v>
      </x:c>
      <x:c r="B1683" s="87" t="str">
        <x:v>MAR-SOC-V3-022</x:v>
      </x:c>
      <x:c r="C1683" s="87" t="str">
        <x:v>СтатГрад</x:v>
      </x:c>
      <x:c r="D1683" s="87" t="str">
        <x:v>Март 2026</x:v>
      </x:c>
      <x:c r="E1683" s="87"/>
      <x:c r="F1683" s="87"/>
      <x:c r="G1683" s="87" t="str">
        <x:v>Обществознание</x:v>
      </x:c>
      <x:c r="H1683" s="87" t="n">
        <x:v>11</x:v>
      </x:c>
      <x:c r="I1683" s="87" t="str">
        <x:v>ТР №5</x:v>
      </x:c>
      <x:c r="J1683" s="87" t="str">
        <x:v>ОБ2510503</x:v>
      </x:c>
      <x:c r="K1683" s="87" t="n">
        <x:v>22</x:v>
      </x:c>
      <x:c r="L1683" s="87" t="str">
        <x:v>Задача: Центральный банк и инфляция</x:v>
      </x:c>
      <x:c r="M1683" s="30" t="str">
        <x:v>Назвать орган, утверждающий председателя ЦБ, две функции ЦБ, вид инфляции и два негативных последствия.</x:v>
      </x:c>
      <x:c r="N1683" s="30" t="str">
        <x:v>Председателя Центрального банка назначает Государственная Дума. Функции: эмиссия денег и надзор за кредитными организациями. Рост доходов вызывает инфляцию спроса. Последствия: снижение реальных доходов и обесценивание сбережений.</x:v>
      </x:c>
      <x:c r="O1683" s="30" t="str">
        <x:v>Все четыре части ответа сопоставлены с полномочиями органов власти и экономической теорией.</x:v>
      </x:c>
      <x:c r="P1683" s="30" t="str">
        <x:v>Все четыре части ответа сопоставлены с полномочиями органов власти и экономической теорией.</x:v>
      </x:c>
      <x:c r="Q1683" s="30"/>
      <x:c r="R1683"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83" s="30"/>
      <x:c r="T1683" s="30"/>
      <x:c r="U1683" s="30" t="str">
        <x:v>Расхождений не обнаружено.</x:v>
      </x:c>
      <x:c r="V1683" s="87" t="str">
        <x:v>VERIFIED</x:v>
      </x:c>
      <x:c r="W1683" s="87" t="str">
        <x:v>Официальный PDF</x:v>
      </x:c>
      <x:c r="X1683" s="87"/>
      <x:c r="Y1683" s="87"/>
      <x:c r="Z1683" s="87"/>
      <x:c r="AA1683" s="87"/>
      <x:c r="AB1683" s="87"/>
      <x:c r="AC1683" s="87"/>
      <x:c r="AD1683" s="87"/>
      <x:c r="AE1683" s="87"/>
      <x:c r="AF1683" s="87"/>
      <x:c r="AG1683" s="87"/>
      <x:c r="AH1683" s="87"/>
      <x:c r="AI1683" s="30"/>
      <x:c r="AJ1683" s="87" t="str">
        <x:v>master</x:v>
      </x:c>
      <x:c r="AK1683" s="87" t="str">
        <x:v>master-v0.81</x:v>
      </x:c>
      <x:c r="AL1683" s="87" t="str">
        <x:v>statgrad_master_base_v0_81_final(2).xlsx</x:v>
      </x:c>
      <x:c r="AM1683" s="87" t="str">
        <x:v>SOC_Mar_V3</x:v>
      </x:c>
      <x:c r="AN1683" s="87" t="n">
        <x:v>23</x:v>
      </x:c>
    </x:row>
    <x:row r="1684">
      <x:c r="A1684" s="87" t="n">
        <x:v>1683</x:v>
      </x:c>
      <x:c r="B1684" s="87" t="str">
        <x:v>MAR-SOC-V3-023</x:v>
      </x:c>
      <x:c r="C1684" s="87" t="str">
        <x:v>СтатГрад</x:v>
      </x:c>
      <x:c r="D1684" s="87" t="str">
        <x:v>Март 2026</x:v>
      </x:c>
      <x:c r="E1684" s="87"/>
      <x:c r="F1684" s="87"/>
      <x:c r="G1684" s="87" t="str">
        <x:v>Обществознание</x:v>
      </x:c>
      <x:c r="H1684" s="87" t="n">
        <x:v>11</x:v>
      </x:c>
      <x:c r="I1684" s="87" t="str">
        <x:v>ТР №5</x:v>
      </x:c>
      <x:c r="J1684" s="87" t="str">
        <x:v>ОБ2510503</x:v>
      </x:c>
      <x:c r="K1684" s="87" t="n">
        <x:v>23</x:v>
      </x:c>
      <x:c r="L1684" s="87" t="str">
        <x:v>Конституционное задание: достоинство и частная жизнь</x:v>
      </x:c>
      <x:c r="M1684" s="30" t="str">
        <x:v>Привести три конституционных подтверждения защиты достоинства и частной жизни.</x:v>
      </x:c>
      <x:c r="N1684" s="30" t="str">
        <x:v>1) Достоинство личности охраняется государством и не может быть умалено. 2) Никто не может подвергаться пыткам, насилию или унижающему достоинство обращению. 3) Каждый имеет право на неприкосновенность частной жизни, личную и семейную тайну и защиту доброго имени.</x:v>
      </x:c>
      <x:c r="O1684" s="30" t="str">
        <x:v>Все подтверждения опираются на конкретные положения Конституции.</x:v>
      </x:c>
      <x:c r="P1684" s="30" t="str">
        <x:v>Все подтверждения опираются на конкретные положения Конституции.</x:v>
      </x:c>
      <x:c r="Q1684" s="30"/>
      <x:c r="R1684"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84" s="30"/>
      <x:c r="T1684" s="30"/>
      <x:c r="U1684" s="30" t="str">
        <x:v>Расхождений не обнаружено.</x:v>
      </x:c>
      <x:c r="V1684" s="87" t="str">
        <x:v>VERIFIED</x:v>
      </x:c>
      <x:c r="W1684" s="87" t="str">
        <x:v>Официальный PDF</x:v>
      </x:c>
      <x:c r="X1684" s="87"/>
      <x:c r="Y1684" s="87"/>
      <x:c r="Z1684" s="87"/>
      <x:c r="AA1684" s="87"/>
      <x:c r="AB1684" s="87"/>
      <x:c r="AC1684" s="87"/>
      <x:c r="AD1684" s="87"/>
      <x:c r="AE1684" s="87"/>
      <x:c r="AF1684" s="87"/>
      <x:c r="AG1684" s="87"/>
      <x:c r="AH1684" s="87"/>
      <x:c r="AI1684" s="30"/>
      <x:c r="AJ1684" s="87" t="str">
        <x:v>master</x:v>
      </x:c>
      <x:c r="AK1684" s="87" t="str">
        <x:v>master-v0.81</x:v>
      </x:c>
      <x:c r="AL1684" s="87" t="str">
        <x:v>statgrad_master_base_v0_81_final(2).xlsx</x:v>
      </x:c>
      <x:c r="AM1684" s="87" t="str">
        <x:v>SOC_Mar_V3</x:v>
      </x:c>
      <x:c r="AN1684" s="87" t="n">
        <x:v>24</x:v>
      </x:c>
    </x:row>
    <x:row r="1685">
      <x:c r="A1685" s="87" t="n">
        <x:v>1684</x:v>
      </x:c>
      <x:c r="B1685" s="87" t="str">
        <x:v>MAR-SOC-V3-024</x:v>
      </x:c>
      <x:c r="C1685" s="87" t="str">
        <x:v>СтатГрад</x:v>
      </x:c>
      <x:c r="D1685" s="87" t="str">
        <x:v>Март 2026</x:v>
      </x:c>
      <x:c r="E1685" s="87"/>
      <x:c r="F1685" s="87"/>
      <x:c r="G1685" s="87" t="str">
        <x:v>Обществознание</x:v>
      </x:c>
      <x:c r="H1685" s="87" t="n">
        <x:v>11</x:v>
      </x:c>
      <x:c r="I1685" s="87" t="str">
        <x:v>ТР №5</x:v>
      </x:c>
      <x:c r="J1685" s="87" t="str">
        <x:v>ОБ2510503</x:v>
      </x:c>
      <x:c r="K1685" s="87" t="n">
        <x:v>24</x:v>
      </x:c>
      <x:c r="L1685" s="87" t="str">
        <x:v>Сложный план</x:v>
      </x:c>
      <x:c r="M1685" s="30" t="str">
        <x:v>Составить сложный план по теме «Прогресс и регресс в развитии общества».</x:v>
      </x:c>
      <x:c r="N1685" s="30" t="str">
        <x:v>1. Понятия общественного прогресса и регресса.
2. Критерии общественного прогресса:
   а) развитие науки и человеческого разума;
   б) совершенствование техники и производительных сил;
   в) рост продолжительности и качества жизни;
   г) расширение свободы и гуманизация отношений;
   д) нравственное совершенствование личности.
3. Особенности общественного прогресса:
   а) противоречивость;
   б) относительность критериев;
   в) неравномерность развития сфер и стран;
   г) сочетание прогресса в одной сфере с регрессом в другой.
4. Пути общественных изменений:
   а) эволюция;
   б) реформа;
   в) революция.
5. Формы проявления регресса и его общественные последствия.
6. Соотношение прогресса и регресса в историческом развитии.</x:v>
      </x:c>
      <x:c r="O1685" s="30" t="str">
        <x:v>План содержит понятия, критерии, особенности и пути прогресса; не менее трёх пунктов детализированы.</x:v>
      </x:c>
      <x:c r="P1685" s="30" t="str">
        <x:v>План содержит понятия, критерии, особенности и пути прогресса; не менее трёх пунктов детализированы.</x:v>
      </x:c>
      <x:c r="Q1685" s="30"/>
      <x:c r="R1685"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85" s="30"/>
      <x:c r="T1685" s="30"/>
      <x:c r="U1685" s="30" t="str">
        <x:v>Расхождений не обнаружено.</x:v>
      </x:c>
      <x:c r="V1685" s="87" t="str">
        <x:v>VERIFIED</x:v>
      </x:c>
      <x:c r="W1685" s="87" t="str">
        <x:v>Официальный PDF</x:v>
      </x:c>
      <x:c r="X1685" s="87"/>
      <x:c r="Y1685" s="87"/>
      <x:c r="Z1685" s="87"/>
      <x:c r="AA1685" s="87"/>
      <x:c r="AB1685" s="87"/>
      <x:c r="AC1685" s="87"/>
      <x:c r="AD1685" s="87"/>
      <x:c r="AE1685" s="87"/>
      <x:c r="AF1685" s="87"/>
      <x:c r="AG1685" s="87"/>
      <x:c r="AH1685" s="87"/>
      <x:c r="AI1685" s="30"/>
      <x:c r="AJ1685" s="87" t="str">
        <x:v>master</x:v>
      </x:c>
      <x:c r="AK1685" s="87" t="str">
        <x:v>master-v0.81</x:v>
      </x:c>
      <x:c r="AL1685" s="87" t="str">
        <x:v>statgrad_master_base_v0_81_final(2).xlsx</x:v>
      </x:c>
      <x:c r="AM1685" s="87" t="str">
        <x:v>SOC_Mar_V3</x:v>
      </x:c>
      <x:c r="AN1685" s="87" t="n">
        <x:v>25</x:v>
      </x:c>
    </x:row>
    <x:row r="1686">
      <x:c r="A1686" s="87" t="n">
        <x:v>1685</x:v>
      </x:c>
      <x:c r="B1686" s="87" t="str">
        <x:v>MAR-SOC-V3-025</x:v>
      </x:c>
      <x:c r="C1686" s="87" t="str">
        <x:v>СтатГрад</x:v>
      </x:c>
      <x:c r="D1686" s="87" t="str">
        <x:v>Март 2026</x:v>
      </x:c>
      <x:c r="E1686" s="87"/>
      <x:c r="F1686" s="87"/>
      <x:c r="G1686" s="87" t="str">
        <x:v>Обществознание</x:v>
      </x:c>
      <x:c r="H1686" s="87" t="n">
        <x:v>11</x:v>
      </x:c>
      <x:c r="I1686" s="87" t="str">
        <x:v>ТР №5</x:v>
      </x:c>
      <x:c r="J1686" s="87" t="str">
        <x:v>ОБ2510503</x:v>
      </x:c>
      <x:c r="K1686" s="87" t="n">
        <x:v>25</x:v>
      </x:c>
      <x:c r="L1686" s="87" t="str">
        <x:v>Обоснование и примеры: общественный прогресс</x:v>
      </x:c>
      <x:c r="M1686" s="30" t="str">
        <x:v>Обосновать необходимость одновременного технического и нравственного прогресса, назвать три проявления и привести примеры современной России.</x:v>
      </x:c>
      <x:c r="N1686" s="30" t="str">
        <x:v>Обоснование: технические достижения расширяют возможности человека, но сами по себе не определяют цели их применения. Без нравственных ограничений технологии могут усиливать неравенство, насилие и угрозы природе, поэтому гуманистические ценности и ответственность должны развиваться одновременно с наукой и техникой.
Проявления: 1) научно-техническое развитие; 2) расширение доступности образования; 3) гуманизация общественных отношений и защита прав.
Примеры: 1) российские больницы внедряют телемедицинские консультации и высокотехнологичную диагностику; 2) университеты предоставляют дистанционные программы жителям удалённых регионов; 3) школы развивают инклюзивное обучение и создают доступную среду для детей с инвалидностью.</x:v>
      </x:c>
      <x:c r="O1686" s="30" t="str">
        <x:v>Обоснование раскрывает взаимозависимость двух направлений прогресса; приведены три проявления и три развёрнутых примера.</x:v>
      </x:c>
      <x:c r="P1686" s="30" t="str">
        <x:v>Обоснование раскрывает взаимозависимость двух направлений прогресса; приведены три проявления и три развёрнутых примера.</x:v>
      </x:c>
      <x:c r="Q1686" s="30"/>
      <x:c r="R1686"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86" s="30"/>
      <x:c r="T1686" s="30"/>
      <x:c r="U1686" s="30" t="str">
        <x:v>Расхождений не обнаружено.</x:v>
      </x:c>
      <x:c r="V1686" s="87" t="str">
        <x:v>VERIFIED</x:v>
      </x:c>
      <x:c r="W1686" s="87" t="str">
        <x:v>Официальный PDF</x:v>
      </x:c>
      <x:c r="X1686" s="87"/>
      <x:c r="Y1686" s="87"/>
      <x:c r="Z1686" s="87"/>
      <x:c r="AA1686" s="87"/>
      <x:c r="AB1686" s="87"/>
      <x:c r="AC1686" s="87"/>
      <x:c r="AD1686" s="87"/>
      <x:c r="AE1686" s="87"/>
      <x:c r="AF1686" s="87"/>
      <x:c r="AG1686" s="87"/>
      <x:c r="AH1686" s="87"/>
      <x:c r="AI1686" s="30"/>
      <x:c r="AJ1686" s="87" t="str">
        <x:v>master</x:v>
      </x:c>
      <x:c r="AK1686" s="87" t="str">
        <x:v>master-v0.81</x:v>
      </x:c>
      <x:c r="AL1686" s="87" t="str">
        <x:v>statgrad_master_base_v0_81_final(2).xlsx</x:v>
      </x:c>
      <x:c r="AM1686" s="87" t="str">
        <x:v>SOC_Mar_V3</x:v>
      </x:c>
      <x:c r="AN1686" s="87" t="n">
        <x:v>26</x:v>
      </x:c>
    </x:row>
    <x:row r="1687">
      <x:c r="A1687" s="87" t="n">
        <x:v>1686</x:v>
      </x:c>
      <x:c r="B1687" s="87" t="str">
        <x:v>MAR-SOC-V4-001</x:v>
      </x:c>
      <x:c r="C1687" s="87" t="str">
        <x:v>СтатГрад</x:v>
      </x:c>
      <x:c r="D1687" s="87" t="str">
        <x:v>Март 2026</x:v>
      </x:c>
      <x:c r="E1687" s="87"/>
      <x:c r="F1687" s="87"/>
      <x:c r="G1687" s="87" t="str">
        <x:v>Обществознание</x:v>
      </x:c>
      <x:c r="H1687" s="87" t="n">
        <x:v>11</x:v>
      </x:c>
      <x:c r="I1687" s="87" t="str">
        <x:v>ТР №5</x:v>
      </x:c>
      <x:c r="J1687" s="87" t="str">
        <x:v>ОБ2510504</x:v>
      </x:c>
      <x:c r="K1687" s="87" t="n">
        <x:v>1</x:v>
      </x:c>
      <x:c r="L1687" s="87" t="str">
        <x:v>Субъекты Российской Федерации</x:v>
      </x:c>
      <x:c r="M1687" s="30" t="str">
        <x:v>Из перечня статусов субъектов РФ найти два выпадающих понятия.</x:v>
      </x:c>
      <x:c r="N1687" s="30" t="str">
        <x:v>25</x:v>
      </x:c>
      <x:c r="O1687" s="30" t="str">
        <x:v>«Автономный край» не предусмотрен Конституцией, а федеральный округ не является субъектом РФ.</x:v>
      </x:c>
      <x:c r="P1687" s="30" t="str">
        <x:v>«Автономный край» не предусмотрен Конституцией, а федеральный округ не является субъектом РФ.</x:v>
      </x:c>
      <x:c r="Q1687" s="30"/>
      <x:c r="R1687"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87" s="30"/>
      <x:c r="T1687" s="30"/>
      <x:c r="U1687" s="30" t="str">
        <x:v>Расхождений не обнаружено.</x:v>
      </x:c>
      <x:c r="V1687" s="87" t="str">
        <x:v>VERIFIED</x:v>
      </x:c>
      <x:c r="W1687" s="87" t="str">
        <x:v>Официальный PDF</x:v>
      </x:c>
      <x:c r="X1687" s="87"/>
      <x:c r="Y1687" s="87"/>
      <x:c r="Z1687" s="87"/>
      <x:c r="AA1687" s="87"/>
      <x:c r="AB1687" s="87"/>
      <x:c r="AC1687" s="87"/>
      <x:c r="AD1687" s="87"/>
      <x:c r="AE1687" s="87"/>
      <x:c r="AF1687" s="87"/>
      <x:c r="AG1687" s="87"/>
      <x:c r="AH1687" s="87"/>
      <x:c r="AI1687" s="30"/>
      <x:c r="AJ1687" s="87" t="str">
        <x:v>master</x:v>
      </x:c>
      <x:c r="AK1687" s="87" t="str">
        <x:v>master-v0.81</x:v>
      </x:c>
      <x:c r="AL1687" s="87" t="str">
        <x:v>statgrad_master_base_v0_81_final(2).xlsx</x:v>
      </x:c>
      <x:c r="AM1687" s="87" t="str">
        <x:v>SOC_Mar_V4</x:v>
      </x:c>
      <x:c r="AN1687" s="87" t="n">
        <x:v>2</x:v>
      </x:c>
    </x:row>
    <x:row r="1688">
      <x:c r="A1688" s="87" t="n">
        <x:v>1687</x:v>
      </x:c>
      <x:c r="B1688" s="87" t="str">
        <x:v>MAR-SOC-V4-002</x:v>
      </x:c>
      <x:c r="C1688" s="87" t="str">
        <x:v>СтатГрад</x:v>
      </x:c>
      <x:c r="D1688" s="87" t="str">
        <x:v>Март 2026</x:v>
      </x:c>
      <x:c r="E1688" s="87"/>
      <x:c r="F1688" s="87"/>
      <x:c r="G1688" s="87" t="str">
        <x:v>Обществознание</x:v>
      </x:c>
      <x:c r="H1688" s="87" t="n">
        <x:v>11</x:v>
      </x:c>
      <x:c r="I1688" s="87" t="str">
        <x:v>ТР №5</x:v>
      </x:c>
      <x:c r="J1688" s="87" t="str">
        <x:v>ОБ2510504</x:v>
      </x:c>
      <x:c r="K1688" s="87" t="n">
        <x:v>2</x:v>
      </x:c>
      <x:c r="L1688" s="87" t="str">
        <x:v>Культура и её типы</x:v>
      </x:c>
      <x:c r="M1688" s="30" t="str">
        <x:v>Выбрать верные суждения о культуре в узком смысле, материальной, массовой, элитарной и духовной культуре.</x:v>
      </x:c>
      <x:c r="N1688" s="30" t="str">
        <x:v>135</x:v>
      </x:c>
      <x:c r="O1688" s="30" t="str">
        <x:v>Верны определения культуры как творческой деятельности, возникновения массовой культуры в индустриальном обществе и включения религиозных и философских текстов в духовную культуру.</x:v>
      </x:c>
      <x:c r="P1688" s="30" t="str">
        <x:v>Материальная культура не охватывает буквально все предметы мира; элитарные произведения не являются, как правило, анонимными.</x:v>
      </x:c>
      <x:c r="Q1688" s="30"/>
      <x:c r="R1688"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88" s="30"/>
      <x:c r="T1688" s="30"/>
      <x:c r="U1688" s="30" t="str">
        <x:v>Расхождений не обнаружено.</x:v>
      </x:c>
      <x:c r="V1688" s="87" t="str">
        <x:v>VERIFIED</x:v>
      </x:c>
      <x:c r="W1688" s="87" t="str">
        <x:v>PDF A, стр. 2</x:v>
      </x:c>
      <x:c r="X1688" s="87"/>
      <x:c r="Y1688" s="87"/>
      <x:c r="Z1688" s="87"/>
      <x:c r="AA1688" s="87"/>
      <x:c r="AB1688" s="87"/>
      <x:c r="AC1688" s="87"/>
      <x:c r="AD1688" s="87"/>
      <x:c r="AE1688" s="87"/>
      <x:c r="AF1688" s="87"/>
      <x:c r="AG1688" s="87"/>
      <x:c r="AH1688" s="87"/>
      <x:c r="AI1688" s="30"/>
      <x:c r="AJ1688" s="87" t="str">
        <x:v>master</x:v>
      </x:c>
      <x:c r="AK1688" s="87" t="str">
        <x:v>master-v0.81</x:v>
      </x:c>
      <x:c r="AL1688" s="87" t="str">
        <x:v>statgrad_master_base_v0_81_final(2).xlsx</x:v>
      </x:c>
      <x:c r="AM1688" s="87" t="str">
        <x:v>SOC_Mar_V4</x:v>
      </x:c>
      <x:c r="AN1688" s="87" t="n">
        <x:v>3</x:v>
      </x:c>
    </x:row>
    <x:row r="1689">
      <x:c r="A1689" s="87" t="n">
        <x:v>1688</x:v>
      </x:c>
      <x:c r="B1689" s="87" t="str">
        <x:v>MAR-SOC-V4-003</x:v>
      </x:c>
      <x:c r="C1689" s="87" t="str">
        <x:v>СтатГрад</x:v>
      </x:c>
      <x:c r="D1689" s="87" t="str">
        <x:v>Март 2026</x:v>
      </x:c>
      <x:c r="E1689" s="87"/>
      <x:c r="F1689" s="87"/>
      <x:c r="G1689" s="87" t="str">
        <x:v>Обществознание</x:v>
      </x:c>
      <x:c r="H1689" s="87" t="n">
        <x:v>11</x:v>
      </x:c>
      <x:c r="I1689" s="87" t="str">
        <x:v>ТР №5</x:v>
      </x:c>
      <x:c r="J1689" s="87" t="str">
        <x:v>ОБ2510504</x:v>
      </x:c>
      <x:c r="K1689" s="87" t="n">
        <x:v>3</x:v>
      </x:c>
      <x:c r="L1689" s="87" t="str">
        <x:v>Функции образования</x:v>
      </x:c>
      <x:c r="M1689" s="30" t="str">
        <x:v>Соотнести цели образования с экономической, социальной и культурной функциями.</x:v>
      </x:c>
      <x:c r="N1689" s="30" t="str">
        <x:v>32132</x:v>
      </x:c>
      <x:c r="O1689" s="30" t="str">
        <x:v>Передача искусства и развитие творчества — культурная функция; профилактика девиаций и социализация — социальная; профессиональная структура — экономическая.</x:v>
      </x:c>
      <x:c r="P1689" s="30" t="str">
        <x:v>Передача искусства и развитие творчества — культурная функция; профилактика девиаций и социализация — социальная; профессиональная структура — экономическая.</x:v>
      </x:c>
      <x:c r="Q1689" s="30"/>
      <x:c r="R1689"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89" s="30"/>
      <x:c r="T1689" s="30"/>
      <x:c r="U1689" s="30" t="str">
        <x:v>Расхождений не обнаружено.</x:v>
      </x:c>
      <x:c r="V1689" s="87" t="str">
        <x:v>VERIFIED</x:v>
      </x:c>
      <x:c r="W1689" s="87" t="str">
        <x:v>Официальный PDF</x:v>
      </x:c>
      <x:c r="X1689" s="87"/>
      <x:c r="Y1689" s="87"/>
      <x:c r="Z1689" s="87"/>
      <x:c r="AA1689" s="87"/>
      <x:c r="AB1689" s="87"/>
      <x:c r="AC1689" s="87"/>
      <x:c r="AD1689" s="87"/>
      <x:c r="AE1689" s="87"/>
      <x:c r="AF1689" s="87"/>
      <x:c r="AG1689" s="87"/>
      <x:c r="AH1689" s="87"/>
      <x:c r="AI1689" s="30"/>
      <x:c r="AJ1689" s="87" t="str">
        <x:v>master</x:v>
      </x:c>
      <x:c r="AK1689" s="87" t="str">
        <x:v>master-v0.81</x:v>
      </x:c>
      <x:c r="AL1689" s="87" t="str">
        <x:v>statgrad_master_base_v0_81_final(2).xlsx</x:v>
      </x:c>
      <x:c r="AM1689" s="87" t="str">
        <x:v>SOC_Mar_V4</x:v>
      </x:c>
      <x:c r="AN1689" s="87" t="n">
        <x:v>4</x:v>
      </x:c>
    </x:row>
    <x:row r="1690">
      <x:c r="A1690" s="87" t="n">
        <x:v>1689</x:v>
      </x:c>
      <x:c r="B1690" s="87" t="str">
        <x:v>MAR-SOC-V4-004</x:v>
      </x:c>
      <x:c r="C1690" s="87" t="str">
        <x:v>СтатГрад</x:v>
      </x:c>
      <x:c r="D1690" s="87" t="str">
        <x:v>Март 2026</x:v>
      </x:c>
      <x:c r="E1690" s="87"/>
      <x:c r="F1690" s="87"/>
      <x:c r="G1690" s="87" t="str">
        <x:v>Обществознание</x:v>
      </x:c>
      <x:c r="H1690" s="87" t="n">
        <x:v>11</x:v>
      </x:c>
      <x:c r="I1690" s="87" t="str">
        <x:v>ТР №5</x:v>
      </x:c>
      <x:c r="J1690" s="87" t="str">
        <x:v>ОБ2510504</x:v>
      </x:c>
      <x:c r="K1690" s="87" t="n">
        <x:v>4</x:v>
      </x:c>
      <x:c r="L1690" s="87" t="str">
        <x:v>Структура деятельности</x:v>
      </x:c>
      <x:c r="M1690" s="30" t="str">
        <x:v>Определить возможные цели подготовки Алёны к выпускным экзаменам.</x:v>
      </x:c>
      <x:c r="N1690" s="30" t="str">
        <x:v>146</x:v>
      </x:c>
      <x:c r="O1690" s="30" t="str">
        <x:v>Поступление в университет, получение аттестата и повышение авторитета могут выступать целями; чтение и конкурсы — средства/действия, интерес — мотив.</x:v>
      </x:c>
      <x:c r="P1690" s="30" t="str">
        <x:v>Поступление в университет, получение аттестата и повышение авторитета могут выступать целями; чтение и конкурсы — средства/действия, интерес — мотив.</x:v>
      </x:c>
      <x:c r="Q1690" s="30"/>
      <x:c r="R1690"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90" s="30"/>
      <x:c r="T1690" s="30"/>
      <x:c r="U1690" s="30" t="str">
        <x:v>Расхождений не обнаружено.</x:v>
      </x:c>
      <x:c r="V1690" s="87" t="str">
        <x:v>VERIFIED</x:v>
      </x:c>
      <x:c r="W1690" s="87" t="str">
        <x:v>Официальный PDF</x:v>
      </x:c>
      <x:c r="X1690" s="87"/>
      <x:c r="Y1690" s="87"/>
      <x:c r="Z1690" s="87"/>
      <x:c r="AA1690" s="87"/>
      <x:c r="AB1690" s="87"/>
      <x:c r="AC1690" s="87"/>
      <x:c r="AD1690" s="87"/>
      <x:c r="AE1690" s="87"/>
      <x:c r="AF1690" s="87"/>
      <x:c r="AG1690" s="87"/>
      <x:c r="AH1690" s="87"/>
      <x:c r="AI1690" s="30"/>
      <x:c r="AJ1690" s="87" t="str">
        <x:v>master</x:v>
      </x:c>
      <x:c r="AK1690" s="87" t="str">
        <x:v>master-v0.81</x:v>
      </x:c>
      <x:c r="AL1690" s="87" t="str">
        <x:v>statgrad_master_base_v0_81_final(2).xlsx</x:v>
      </x:c>
      <x:c r="AM1690" s="87" t="str">
        <x:v>SOC_Mar_V4</x:v>
      </x:c>
      <x:c r="AN1690" s="87" t="n">
        <x:v>5</x:v>
      </x:c>
    </x:row>
    <x:row r="1691">
      <x:c r="A1691" s="87" t="n">
        <x:v>1690</x:v>
      </x:c>
      <x:c r="B1691" s="87" t="str">
        <x:v>MAR-SOC-V4-005</x:v>
      </x:c>
      <x:c r="C1691" s="87" t="str">
        <x:v>СтатГрад</x:v>
      </x:c>
      <x:c r="D1691" s="87" t="str">
        <x:v>Март 2026</x:v>
      </x:c>
      <x:c r="E1691" s="87"/>
      <x:c r="F1691" s="87"/>
      <x:c r="G1691" s="87" t="str">
        <x:v>Обществознание</x:v>
      </x:c>
      <x:c r="H1691" s="87" t="n">
        <x:v>11</x:v>
      </x:c>
      <x:c r="I1691" s="87" t="str">
        <x:v>ТР №5</x:v>
      </x:c>
      <x:c r="J1691" s="87" t="str">
        <x:v>ОБ2510504</x:v>
      </x:c>
      <x:c r="K1691" s="87" t="n">
        <x:v>5</x:v>
      </x:c>
      <x:c r="L1691" s="87" t="str">
        <x:v>Экономические системы</x:v>
      </x:c>
      <x:c r="M1691" s="30" t="str">
        <x:v>Выбрать верные суждения о традиционной, плановой и рыночной системах.</x:v>
      </x:c>
      <x:c r="N1691" s="30" t="str">
        <x:v>134</x:v>
      </x:c>
      <x:c r="O1691" s="30" t="str">
        <x:v>Традиционная система опирается на аграрный уклад; рыночная — на спрос и предложение; плановая — на государственный контроль.</x:v>
      </x:c>
      <x:c r="P1691" s="30" t="str">
        <x:v>Плановая система не основана на частной собственности, смешанная соединяет рыночные и государственные механизмы.</x:v>
      </x:c>
      <x:c r="Q1691" s="30"/>
      <x:c r="R1691"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91" s="30"/>
      <x:c r="T1691" s="30"/>
      <x:c r="U1691" s="30" t="str">
        <x:v>Расхождений не обнаружено.</x:v>
      </x:c>
      <x:c r="V1691" s="87" t="str">
        <x:v>VERIFIED</x:v>
      </x:c>
      <x:c r="W1691" s="87" t="str">
        <x:v>Официальный PDF</x:v>
      </x:c>
      <x:c r="X1691" s="87"/>
      <x:c r="Y1691" s="87"/>
      <x:c r="Z1691" s="87"/>
      <x:c r="AA1691" s="87"/>
      <x:c r="AB1691" s="87"/>
      <x:c r="AC1691" s="87"/>
      <x:c r="AD1691" s="87"/>
      <x:c r="AE1691" s="87"/>
      <x:c r="AF1691" s="87"/>
      <x:c r="AG1691" s="87"/>
      <x:c r="AH1691" s="87"/>
      <x:c r="AI1691" s="30"/>
      <x:c r="AJ1691" s="87" t="str">
        <x:v>master</x:v>
      </x:c>
      <x:c r="AK1691" s="87" t="str">
        <x:v>master-v0.81</x:v>
      </x:c>
      <x:c r="AL1691" s="87" t="str">
        <x:v>statgrad_master_base_v0_81_final(2).xlsx</x:v>
      </x:c>
      <x:c r="AM1691" s="87" t="str">
        <x:v>SOC_Mar_V4</x:v>
      </x:c>
      <x:c r="AN1691" s="87" t="n">
        <x:v>6</x:v>
      </x:c>
    </x:row>
    <x:row r="1692">
      <x:c r="A1692" s="87" t="n">
        <x:v>1691</x:v>
      </x:c>
      <x:c r="B1692" s="87" t="str">
        <x:v>MAR-SOC-V4-006</x:v>
      </x:c>
      <x:c r="C1692" s="87" t="str">
        <x:v>СтатГрад</x:v>
      </x:c>
      <x:c r="D1692" s="87" t="str">
        <x:v>Март 2026</x:v>
      </x:c>
      <x:c r="E1692" s="87"/>
      <x:c r="F1692" s="87"/>
      <x:c r="G1692" s="87" t="str">
        <x:v>Обществознание</x:v>
      </x:c>
      <x:c r="H1692" s="87" t="n">
        <x:v>11</x:v>
      </x:c>
      <x:c r="I1692" s="87" t="str">
        <x:v>ТР №5</x:v>
      </x:c>
      <x:c r="J1692" s="87" t="str">
        <x:v>ОБ2510504</x:v>
      </x:c>
      <x:c r="K1692" s="87" t="n">
        <x:v>6</x:v>
      </x:c>
      <x:c r="L1692" s="87" t="str">
        <x:v>Ценные бумаги</x:v>
      </x:c>
      <x:c r="M1692" s="30" t="str">
        <x:v>Соотнести характеристики чека, акции и облигации.</x:v>
      </x:c>
      <x:c r="N1692" s="30" t="str">
        <x:v>23231</x:v>
      </x:c>
      <x:c r="O1692" s="30" t="str">
        <x:v>Распоряжение банку и возможность выдачи физическими/юридическими лицами относятся к чеку; доход и управление — к акции; погашение номинала — к облигации.</x:v>
      </x:c>
      <x:c r="P1692" s="30" t="str">
        <x:v>Распоряжение банку и возможность выдачи физическими/юридическими лицами относятся к чеку; доход и управление — к акции; погашение номинала — к облигации.</x:v>
      </x:c>
      <x:c r="Q1692" s="30"/>
      <x:c r="R1692"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92" s="30"/>
      <x:c r="T1692" s="30"/>
      <x:c r="U1692" s="30" t="str">
        <x:v>Расхождений не обнаружено.</x:v>
      </x:c>
      <x:c r="V1692" s="87" t="str">
        <x:v>VERIFIED</x:v>
      </x:c>
      <x:c r="W1692" s="87" t="str">
        <x:v>Официальный PDF</x:v>
      </x:c>
      <x:c r="X1692" s="87"/>
      <x:c r="Y1692" s="87"/>
      <x:c r="Z1692" s="87"/>
      <x:c r="AA1692" s="87"/>
      <x:c r="AB1692" s="87"/>
      <x:c r="AC1692" s="87"/>
      <x:c r="AD1692" s="87"/>
      <x:c r="AE1692" s="87"/>
      <x:c r="AF1692" s="87"/>
      <x:c r="AG1692" s="87"/>
      <x:c r="AH1692" s="87"/>
      <x:c r="AI1692" s="30"/>
      <x:c r="AJ1692" s="87" t="str">
        <x:v>master</x:v>
      </x:c>
      <x:c r="AK1692" s="87" t="str">
        <x:v>master-v0.81</x:v>
      </x:c>
      <x:c r="AL1692" s="87" t="str">
        <x:v>statgrad_master_base_v0_81_final(2).xlsx</x:v>
      </x:c>
      <x:c r="AM1692" s="87" t="str">
        <x:v>SOC_Mar_V4</x:v>
      </x:c>
      <x:c r="AN1692" s="87" t="n">
        <x:v>7</x:v>
      </x:c>
    </x:row>
    <x:row r="1693">
      <x:c r="A1693" s="87" t="n">
        <x:v>1692</x:v>
      </x:c>
      <x:c r="B1693" s="87" t="str">
        <x:v>MAR-SOC-V4-007</x:v>
      </x:c>
      <x:c r="C1693" s="87" t="str">
        <x:v>СтатГрад</x:v>
      </x:c>
      <x:c r="D1693" s="87" t="str">
        <x:v>Март 2026</x:v>
      </x:c>
      <x:c r="E1693" s="87"/>
      <x:c r="F1693" s="87"/>
      <x:c r="G1693" s="87" t="str">
        <x:v>Обществознание</x:v>
      </x:c>
      <x:c r="H1693" s="87" t="n">
        <x:v>11</x:v>
      </x:c>
      <x:c r="I1693" s="87" t="str">
        <x:v>ТР №5</x:v>
      </x:c>
      <x:c r="J1693" s="87" t="str">
        <x:v>ОБ2510504</x:v>
      </x:c>
      <x:c r="K1693" s="87" t="n">
        <x:v>7</x:v>
      </x:c>
      <x:c r="L1693" s="87" t="str">
        <x:v>Издержки фирмы</x:v>
      </x:c>
      <x:c r="M1693" s="30" t="str">
        <x:v>Выбрать переменные издержки мебельного производства.</x:v>
      </x:c>
      <x:c r="N1693" s="30" t="str">
        <x:v>34</x:v>
      </x:c>
      <x:c r="O1693" s="30" t="str">
        <x:v>Лакокрасочные материалы и доставка продукции зависят от объёма выпуска; аренда, реклама и базовые коммунальные расходы условно постоянны.</x:v>
      </x:c>
      <x:c r="P1693" s="30" t="str">
        <x:v>Лакокрасочные материалы и доставка продукции зависят от объёма выпуска; аренда, реклама и базовые коммунальные расходы условно постоянны.</x:v>
      </x:c>
      <x:c r="Q1693" s="30"/>
      <x:c r="R1693"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93" s="30"/>
      <x:c r="T1693" s="30"/>
      <x:c r="U1693" s="30" t="str">
        <x:v>Расхождений не обнаружено.</x:v>
      </x:c>
      <x:c r="V1693" s="87" t="str">
        <x:v>VERIFIED</x:v>
      </x:c>
      <x:c r="W1693" s="87" t="str">
        <x:v>Официальный PDF</x:v>
      </x:c>
      <x:c r="X1693" s="87"/>
      <x:c r="Y1693" s="87"/>
      <x:c r="Z1693" s="87"/>
      <x:c r="AA1693" s="87"/>
      <x:c r="AB1693" s="87"/>
      <x:c r="AC1693" s="87"/>
      <x:c r="AD1693" s="87"/>
      <x:c r="AE1693" s="87"/>
      <x:c r="AF1693" s="87"/>
      <x:c r="AG1693" s="87"/>
      <x:c r="AH1693" s="87"/>
      <x:c r="AI1693" s="30"/>
      <x:c r="AJ1693" s="87" t="str">
        <x:v>master</x:v>
      </x:c>
      <x:c r="AK1693" s="87" t="str">
        <x:v>master-v0.81</x:v>
      </x:c>
      <x:c r="AL1693" s="87" t="str">
        <x:v>statgrad_master_base_v0_81_final(2).xlsx</x:v>
      </x:c>
      <x:c r="AM1693" s="87" t="str">
        <x:v>SOC_Mar_V4</x:v>
      </x:c>
      <x:c r="AN1693" s="87" t="n">
        <x:v>8</x:v>
      </x:c>
    </x:row>
    <x:row r="1694">
      <x:c r="A1694" s="87" t="n">
        <x:v>1693</x:v>
      </x:c>
      <x:c r="B1694" s="87" t="str">
        <x:v>MAR-SOC-V4-008</x:v>
      </x:c>
      <x:c r="C1694" s="87" t="str">
        <x:v>СтатГрад</x:v>
      </x:c>
      <x:c r="D1694" s="87" t="str">
        <x:v>Март 2026</x:v>
      </x:c>
      <x:c r="E1694" s="87"/>
      <x:c r="F1694" s="87"/>
      <x:c r="G1694" s="87" t="str">
        <x:v>Обществознание</x:v>
      </x:c>
      <x:c r="H1694" s="87" t="n">
        <x:v>11</x:v>
      </x:c>
      <x:c r="I1694" s="87" t="str">
        <x:v>ТР №5</x:v>
      </x:c>
      <x:c r="J1694" s="87" t="str">
        <x:v>ОБ2510504</x:v>
      </x:c>
      <x:c r="K1694" s="87" t="n">
        <x:v>8</x:v>
      </x:c>
      <x:c r="L1694" s="87" t="str">
        <x:v>Социальные группы</x:v>
      </x:c>
      <x:c r="M1694" s="30" t="str">
        <x:v>Выбрать верные суждения о малых, формальных и номинальных группах.</x:v>
      </x:c>
      <x:c r="N1694" s="30" t="str">
        <x:v>234</x:v>
      </x:c>
      <x:c r="O1694" s="30" t="str">
        <x:v>В малой группе есть непосредственное взаимодействие, школьный класс формален, номинальные группы создаются исследователями.</x:v>
      </x:c>
      <x:c r="P1694" s="30" t="str">
        <x:v>Общий признак сам по себе не всегда создаёт реальную группу; членство не всегда является сознательным выбором.</x:v>
      </x:c>
      <x:c r="Q1694" s="30"/>
      <x:c r="R1694"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94" s="30"/>
      <x:c r="T1694" s="30"/>
      <x:c r="U1694" s="30" t="str">
        <x:v>Расхождений не обнаружено.</x:v>
      </x:c>
      <x:c r="V1694" s="87" t="str">
        <x:v>VERIFIED</x:v>
      </x:c>
      <x:c r="W1694" s="87" t="str">
        <x:v>Официальный PDF</x:v>
      </x:c>
      <x:c r="X1694" s="87"/>
      <x:c r="Y1694" s="87"/>
      <x:c r="Z1694" s="87"/>
      <x:c r="AA1694" s="87"/>
      <x:c r="AB1694" s="87"/>
      <x:c r="AC1694" s="87"/>
      <x:c r="AD1694" s="87"/>
      <x:c r="AE1694" s="87"/>
      <x:c r="AF1694" s="87"/>
      <x:c r="AG1694" s="87"/>
      <x:c r="AH1694" s="87"/>
      <x:c r="AI1694" s="30"/>
      <x:c r="AJ1694" s="87" t="str">
        <x:v>master</x:v>
      </x:c>
      <x:c r="AK1694" s="87" t="str">
        <x:v>master-v0.81</x:v>
      </x:c>
      <x:c r="AL1694" s="87" t="str">
        <x:v>statgrad_master_base_v0_81_final(2).xlsx</x:v>
      </x:c>
      <x:c r="AM1694" s="87" t="str">
        <x:v>SOC_Mar_V4</x:v>
      </x:c>
      <x:c r="AN1694" s="87" t="n">
        <x:v>9</x:v>
      </x:c>
    </x:row>
    <x:row r="1695">
      <x:c r="A1695" s="87" t="n">
        <x:v>1694</x:v>
      </x:c>
      <x:c r="B1695" s="87" t="str">
        <x:v>MAR-SOC-V4-009</x:v>
      </x:c>
      <x:c r="C1695" s="87" t="str">
        <x:v>СтатГрад</x:v>
      </x:c>
      <x:c r="D1695" s="87" t="str">
        <x:v>Март 2026</x:v>
      </x:c>
      <x:c r="E1695" s="87"/>
      <x:c r="F1695" s="87"/>
      <x:c r="G1695" s="87" t="str">
        <x:v>Обществознание</x:v>
      </x:c>
      <x:c r="H1695" s="87" t="n">
        <x:v>11</x:v>
      </x:c>
      <x:c r="I1695" s="87" t="str">
        <x:v>ТР №5</x:v>
      </x:c>
      <x:c r="J1695" s="87" t="str">
        <x:v>ОБ2510504</x:v>
      </x:c>
      <x:c r="K1695" s="87" t="n">
        <x:v>9</x:v>
      </x:c>
      <x:c r="L1695" s="87" t="str">
        <x:v>Анализ диаграммы</x:v>
      </x:c>
      <x:c r="M1695" s="30" t="str">
        <x:v>По мотивам создания семьи среди городских и сельских жителей выбрать верные выводы.</x:v>
      </x:c>
      <x:c r="N1695" s="30" t="str">
        <x:v>135</x:v>
      </x:c>
      <x:c r="O1695" s="30" t="str">
        <x:v>У сельских жителей минимум — недопущение одиночества; у горожан этот мотив популярнее; у сельских равны доли материального благополучия и общественного долга.</x:v>
      </x:c>
      <x:c r="P1695" s="30" t="str">
        <x:v>Все пять категорий диаграммы проверены по высоте столбцов.</x:v>
      </x:c>
      <x:c r="Q1695" s="30"/>
      <x:c r="R1695"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95" s="30"/>
      <x:c r="T1695" s="30"/>
      <x:c r="U1695" s="30" t="str">
        <x:v>Расхождений не обнаружено.</x:v>
      </x:c>
      <x:c r="V1695" s="87" t="str">
        <x:v>VERIFIED</x:v>
      </x:c>
      <x:c r="W1695" s="87" t="str">
        <x:v>PDF A, стр. 20</x:v>
      </x:c>
      <x:c r="X1695" s="87"/>
      <x:c r="Y1695" s="87"/>
      <x:c r="Z1695" s="87"/>
      <x:c r="AA1695" s="87"/>
      <x:c r="AB1695" s="87"/>
      <x:c r="AC1695" s="87"/>
      <x:c r="AD1695" s="87"/>
      <x:c r="AE1695" s="87"/>
      <x:c r="AF1695" s="87"/>
      <x:c r="AG1695" s="87"/>
      <x:c r="AH1695" s="87"/>
      <x:c r="AI1695" s="30"/>
      <x:c r="AJ1695" s="87" t="str">
        <x:v>master</x:v>
      </x:c>
      <x:c r="AK1695" s="87" t="str">
        <x:v>master-v0.81</x:v>
      </x:c>
      <x:c r="AL1695" s="87" t="str">
        <x:v>statgrad_master_base_v0_81_final(2).xlsx</x:v>
      </x:c>
      <x:c r="AM1695" s="87" t="str">
        <x:v>SOC_Mar_V4</x:v>
      </x:c>
      <x:c r="AN1695" s="87" t="n">
        <x:v>10</x:v>
      </x:c>
    </x:row>
    <x:row r="1696">
      <x:c r="A1696" s="87" t="n">
        <x:v>1695</x:v>
      </x:c>
      <x:c r="B1696" s="87" t="str">
        <x:v>MAR-SOC-V4-010</x:v>
      </x:c>
      <x:c r="C1696" s="87" t="str">
        <x:v>СтатГрад</x:v>
      </x:c>
      <x:c r="D1696" s="87" t="str">
        <x:v>Март 2026</x:v>
      </x:c>
      <x:c r="E1696" s="87"/>
      <x:c r="F1696" s="87"/>
      <x:c r="G1696" s="87" t="str">
        <x:v>Обществознание</x:v>
      </x:c>
      <x:c r="H1696" s="87" t="n">
        <x:v>11</x:v>
      </x:c>
      <x:c r="I1696" s="87" t="str">
        <x:v>ТР №5</x:v>
      </x:c>
      <x:c r="J1696" s="87" t="str">
        <x:v>ОБ2510504</x:v>
      </x:c>
      <x:c r="K1696" s="87" t="n">
        <x:v>10</x:v>
      </x:c>
      <x:c r="L1696" s="87" t="str">
        <x:v>Политическая власть</x:v>
      </x:c>
      <x:c r="M1696" s="30" t="str">
        <x:v>Выбрать верные суждения о функциях, легитимности и масштабе политической власти.</x:v>
      </x:c>
      <x:c r="N1696" s="30" t="str">
        <x:v>134</x:v>
      </x:c>
      <x:c r="O1696" s="30" t="str">
        <x:v>Политическая власть определяет цели развития, признаётся легитимной при общественном признании и действует от имени общества.</x:v>
      </x:c>
      <x:c r="P1696" s="30" t="str">
        <x:v>Она использует не только принуждение и в недемократических режимах не всегда ограничена правом.</x:v>
      </x:c>
      <x:c r="Q1696" s="30"/>
      <x:c r="R1696"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96" s="30"/>
      <x:c r="T1696" s="30"/>
      <x:c r="U1696" s="30" t="str">
        <x:v>Расхождений не обнаружено.</x:v>
      </x:c>
      <x:c r="V1696" s="87" t="str">
        <x:v>VERIFIED</x:v>
      </x:c>
      <x:c r="W1696" s="87" t="str">
        <x:v>Официальный PDF</x:v>
      </x:c>
      <x:c r="X1696" s="87"/>
      <x:c r="Y1696" s="87"/>
      <x:c r="Z1696" s="87"/>
      <x:c r="AA1696" s="87"/>
      <x:c r="AB1696" s="87"/>
      <x:c r="AC1696" s="87"/>
      <x:c r="AD1696" s="87"/>
      <x:c r="AE1696" s="87"/>
      <x:c r="AF1696" s="87"/>
      <x:c r="AG1696" s="87"/>
      <x:c r="AH1696" s="87"/>
      <x:c r="AI1696" s="30"/>
      <x:c r="AJ1696" s="87" t="str">
        <x:v>master</x:v>
      </x:c>
      <x:c r="AK1696" s="87" t="str">
        <x:v>master-v0.81</x:v>
      </x:c>
      <x:c r="AL1696" s="87" t="str">
        <x:v>statgrad_master_base_v0_81_final(2).xlsx</x:v>
      </x:c>
      <x:c r="AM1696" s="87" t="str">
        <x:v>SOC_Mar_V4</x:v>
      </x:c>
      <x:c r="AN1696" s="87" t="n">
        <x:v>11</x:v>
      </x:c>
    </x:row>
    <x:row r="1697">
      <x:c r="A1697" s="87" t="n">
        <x:v>1696</x:v>
      </x:c>
      <x:c r="B1697" s="87" t="str">
        <x:v>MAR-SOC-V4-011</x:v>
      </x:c>
      <x:c r="C1697" s="87" t="str">
        <x:v>СтатГрад</x:v>
      </x:c>
      <x:c r="D1697" s="87" t="str">
        <x:v>Март 2026</x:v>
      </x:c>
      <x:c r="E1697" s="87"/>
      <x:c r="F1697" s="87"/>
      <x:c r="G1697" s="87" t="str">
        <x:v>Обществознание</x:v>
      </x:c>
      <x:c r="H1697" s="87" t="n">
        <x:v>11</x:v>
      </x:c>
      <x:c r="I1697" s="87" t="str">
        <x:v>ТР №5</x:v>
      </x:c>
      <x:c r="J1697" s="87" t="str">
        <x:v>ОБ2510504</x:v>
      </x:c>
      <x:c r="K1697" s="87" t="n">
        <x:v>11</x:v>
      </x:c>
      <x:c r="L1697" s="87" t="str">
        <x:v>Демократический режим</x:v>
      </x:c>
      <x:c r="M1697" s="30" t="str">
        <x:v>Выбрать признаки демократического политического режима государства Z.</x:v>
      </x:c>
      <x:c r="N1697" s="30" t="str">
        <x:v>235</x:v>
      </x:c>
      <x:c r="O1697" s="30" t="str">
        <x:v>Свободная оппозиция, отсутствие обязательной идеологии и гарантии прав характеризуют демократию.</x:v>
      </x:c>
      <x:c r="P1697" s="30" t="str">
        <x:v>Срок президента, порядок формирования правительства и структура парламента относятся к иным элементам формы государства.</x:v>
      </x:c>
      <x:c r="Q1697" s="30"/>
      <x:c r="R1697"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97" s="30"/>
      <x:c r="T1697" s="30"/>
      <x:c r="U1697" s="30" t="str">
        <x:v>Расхождений не обнаружено.</x:v>
      </x:c>
      <x:c r="V1697" s="87" t="str">
        <x:v>VERIFIED</x:v>
      </x:c>
      <x:c r="W1697" s="87" t="str">
        <x:v>Официальный PDF</x:v>
      </x:c>
      <x:c r="X1697" s="87"/>
      <x:c r="Y1697" s="87"/>
      <x:c r="Z1697" s="87"/>
      <x:c r="AA1697" s="87"/>
      <x:c r="AB1697" s="87"/>
      <x:c r="AC1697" s="87"/>
      <x:c r="AD1697" s="87"/>
      <x:c r="AE1697" s="87"/>
      <x:c r="AF1697" s="87"/>
      <x:c r="AG1697" s="87"/>
      <x:c r="AH1697" s="87"/>
      <x:c r="AI1697" s="30"/>
      <x:c r="AJ1697" s="87" t="str">
        <x:v>master</x:v>
      </x:c>
      <x:c r="AK1697" s="87" t="str">
        <x:v>master-v0.81</x:v>
      </x:c>
      <x:c r="AL1697" s="87" t="str">
        <x:v>statgrad_master_base_v0_81_final(2).xlsx</x:v>
      </x:c>
      <x:c r="AM1697" s="87" t="str">
        <x:v>SOC_Mar_V4</x:v>
      </x:c>
      <x:c r="AN1697" s="87" t="n">
        <x:v>12</x:v>
      </x:c>
    </x:row>
    <x:row r="1698">
      <x:c r="A1698" s="87" t="n">
        <x:v>1697</x:v>
      </x:c>
      <x:c r="B1698" s="87" t="str">
        <x:v>MAR-SOC-V4-012</x:v>
      </x:c>
      <x:c r="C1698" s="87" t="str">
        <x:v>СтатГрад</x:v>
      </x:c>
      <x:c r="D1698" s="87" t="str">
        <x:v>Март 2026</x:v>
      </x:c>
      <x:c r="E1698" s="87"/>
      <x:c r="F1698" s="87"/>
      <x:c r="G1698" s="87" t="str">
        <x:v>Обществознание</x:v>
      </x:c>
      <x:c r="H1698" s="87" t="n">
        <x:v>11</x:v>
      </x:c>
      <x:c r="I1698" s="87" t="str">
        <x:v>ТР №5</x:v>
      </x:c>
      <x:c r="J1698" s="87" t="str">
        <x:v>ОБ2510504</x:v>
      </x:c>
      <x:c r="K1698" s="87" t="n">
        <x:v>12</x:v>
      </x:c>
      <x:c r="L1698" s="87" t="str">
        <x:v>Конституционные права</x:v>
      </x:c>
      <x:c r="M1698" s="30" t="str">
        <x:v>Выбрать политические права граждан РФ.</x:v>
      </x:c>
      <x:c r="N1698" s="30" t="str">
        <x:v>145</x:v>
      </x:c>
      <x:c r="O1698" s="30" t="str">
        <x:v>Участие в управлении, избирательные права и свобода собраний относятся к политическим правам; личная неприкосновенность и тайна переписки — личные права.</x:v>
      </x:c>
      <x:c r="P1698" s="30" t="str">
        <x:v>Участие в управлении, избирательные права и свобода собраний относятся к политическим правам; личная неприкосновенность и тайна переписки — личные права.</x:v>
      </x:c>
      <x:c r="Q1698" s="30"/>
      <x:c r="R1698"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98" s="30"/>
      <x:c r="T1698" s="30"/>
      <x:c r="U1698" s="30" t="str">
        <x:v>Расхождений не обнаружено.</x:v>
      </x:c>
      <x:c r="V1698" s="87" t="str">
        <x:v>VERIFIED</x:v>
      </x:c>
      <x:c r="W1698" s="87" t="str">
        <x:v>Официальный PDF</x:v>
      </x:c>
      <x:c r="X1698" s="87"/>
      <x:c r="Y1698" s="87"/>
      <x:c r="Z1698" s="87"/>
      <x:c r="AA1698" s="87"/>
      <x:c r="AB1698" s="87"/>
      <x:c r="AC1698" s="87"/>
      <x:c r="AD1698" s="87"/>
      <x:c r="AE1698" s="87"/>
      <x:c r="AF1698" s="87"/>
      <x:c r="AG1698" s="87"/>
      <x:c r="AH1698" s="87"/>
      <x:c r="AI1698" s="30"/>
      <x:c r="AJ1698" s="87" t="str">
        <x:v>master</x:v>
      </x:c>
      <x:c r="AK1698" s="87" t="str">
        <x:v>master-v0.81</x:v>
      </x:c>
      <x:c r="AL1698" s="87" t="str">
        <x:v>statgrad_master_base_v0_81_final(2).xlsx</x:v>
      </x:c>
      <x:c r="AM1698" s="87" t="str">
        <x:v>SOC_Mar_V4</x:v>
      </x:c>
      <x:c r="AN1698" s="87" t="n">
        <x:v>13</x:v>
      </x:c>
    </x:row>
    <x:row r="1699">
      <x:c r="A1699" s="87" t="n">
        <x:v>1698</x:v>
      </x:c>
      <x:c r="B1699" s="87" t="str">
        <x:v>MAR-SOC-V4-013</x:v>
      </x:c>
      <x:c r="C1699" s="87" t="str">
        <x:v>СтатГрад</x:v>
      </x:c>
      <x:c r="D1699" s="87" t="str">
        <x:v>Март 2026</x:v>
      </x:c>
      <x:c r="E1699" s="87"/>
      <x:c r="F1699" s="87"/>
      <x:c r="G1699" s="87" t="str">
        <x:v>Обществознание</x:v>
      </x:c>
      <x:c r="H1699" s="87" t="n">
        <x:v>11</x:v>
      </x:c>
      <x:c r="I1699" s="87" t="str">
        <x:v>ТР №5</x:v>
      </x:c>
      <x:c r="J1699" s="87" t="str">
        <x:v>ОБ2510504</x:v>
      </x:c>
      <x:c r="K1699" s="87" t="n">
        <x:v>13</x:v>
      </x:c>
      <x:c r="L1699" s="87" t="str">
        <x:v>Федеральное Собрание</x:v>
      </x:c>
      <x:c r="M1699" s="30" t="str">
        <x:v>Соотнести полномочия Государственной Думы и Совета Федерации.</x:v>
      </x:c>
      <x:c r="N1699" s="30" t="str">
        <x:v>11212</x:v>
      </x:c>
      <x:c r="O1699" s="30" t="str">
        <x:v>Амнистия, назначение председателя ЦБ и доверие Правительству — полномочия Госдумы; выборы Президента и границы субъектов — Совета Федерации.</x:v>
      </x:c>
      <x:c r="P1699" s="30" t="str">
        <x:v>Амнистия, назначение председателя ЦБ и доверие Правительству — полномочия Госдумы; выборы Президента и границы субъектов — Совета Федерации.</x:v>
      </x:c>
      <x:c r="Q1699" s="30"/>
      <x:c r="R1699"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99" s="30"/>
      <x:c r="T1699" s="30"/>
      <x:c r="U1699" s="30" t="str">
        <x:v>Расхождений не обнаружено.</x:v>
      </x:c>
      <x:c r="V1699" s="87" t="str">
        <x:v>VERIFIED</x:v>
      </x:c>
      <x:c r="W1699" s="87" t="str">
        <x:v>Официальный PDF</x:v>
      </x:c>
      <x:c r="X1699" s="87"/>
      <x:c r="Y1699" s="87"/>
      <x:c r="Z1699" s="87"/>
      <x:c r="AA1699" s="87"/>
      <x:c r="AB1699" s="87"/>
      <x:c r="AC1699" s="87"/>
      <x:c r="AD1699" s="87"/>
      <x:c r="AE1699" s="87"/>
      <x:c r="AF1699" s="87"/>
      <x:c r="AG1699" s="87"/>
      <x:c r="AH1699" s="87"/>
      <x:c r="AI1699" s="30"/>
      <x:c r="AJ1699" s="87" t="str">
        <x:v>master</x:v>
      </x:c>
      <x:c r="AK1699" s="87" t="str">
        <x:v>master-v0.81</x:v>
      </x:c>
      <x:c r="AL1699" s="87" t="str">
        <x:v>statgrad_master_base_v0_81_final(2).xlsx</x:v>
      </x:c>
      <x:c r="AM1699" s="87" t="str">
        <x:v>SOC_Mar_V4</x:v>
      </x:c>
      <x:c r="AN1699" s="87" t="n">
        <x:v>14</x:v>
      </x:c>
    </x:row>
    <x:row r="1700">
      <x:c r="A1700" s="87" t="n">
        <x:v>1699</x:v>
      </x:c>
      <x:c r="B1700" s="87" t="str">
        <x:v>MAR-SOC-V4-014</x:v>
      </x:c>
      <x:c r="C1700" s="87" t="str">
        <x:v>СтатГрад</x:v>
      </x:c>
      <x:c r="D1700" s="87" t="str">
        <x:v>Март 2026</x:v>
      </x:c>
      <x:c r="E1700" s="87"/>
      <x:c r="F1700" s="87"/>
      <x:c r="G1700" s="87" t="str">
        <x:v>Обществознание</x:v>
      </x:c>
      <x:c r="H1700" s="87" t="n">
        <x:v>11</x:v>
      </x:c>
      <x:c r="I1700" s="87" t="str">
        <x:v>ТР №5</x:v>
      </x:c>
      <x:c r="J1700" s="87" t="str">
        <x:v>ОБ2510504</x:v>
      </x:c>
      <x:c r="K1700" s="87" t="n">
        <x:v>14</x:v>
      </x:c>
      <x:c r="L1700" s="87" t="str">
        <x:v>Гражданский процесс</x:v>
      </x:c>
      <x:c r="M1700" s="30" t="str">
        <x:v>Выбрать верные суждения о сторонах, примирении и представительстве в гражданском процессе.</x:v>
      </x:c>
      <x:c r="N1700" s="30" t="str">
        <x:v>134</x:v>
      </x:c>
      <x:c r="O1700" s="30" t="str">
        <x:v>Истец и ответчик являются сторонами, примирение возможно, стороны вправе действовать через представителей.</x:v>
      </x:c>
      <x:c r="P1700" s="30" t="str">
        <x:v>Прокурор участвует не всегда; административные дела регулируются отдельным судопроизводством.</x:v>
      </x:c>
      <x:c r="Q1700" s="30"/>
      <x:c r="R1700"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00" s="30"/>
      <x:c r="T1700" s="30"/>
      <x:c r="U1700" s="30" t="str">
        <x:v>Расхождений не обнаружено.</x:v>
      </x:c>
      <x:c r="V1700" s="87" t="str">
        <x:v>VERIFIED</x:v>
      </x:c>
      <x:c r="W1700" s="87" t="str">
        <x:v>Официальный PDF</x:v>
      </x:c>
      <x:c r="X1700" s="87"/>
      <x:c r="Y1700" s="87"/>
      <x:c r="Z1700" s="87"/>
      <x:c r="AA1700" s="87"/>
      <x:c r="AB1700" s="87"/>
      <x:c r="AC1700" s="87"/>
      <x:c r="AD1700" s="87"/>
      <x:c r="AE1700" s="87"/>
      <x:c r="AF1700" s="87"/>
      <x:c r="AG1700" s="87"/>
      <x:c r="AH1700" s="87"/>
      <x:c r="AI1700" s="30"/>
      <x:c r="AJ1700" s="87" t="str">
        <x:v>master</x:v>
      </x:c>
      <x:c r="AK1700" s="87" t="str">
        <x:v>master-v0.81</x:v>
      </x:c>
      <x:c r="AL1700" s="87" t="str">
        <x:v>statgrad_master_base_v0_81_final(2).xlsx</x:v>
      </x:c>
      <x:c r="AM1700" s="87" t="str">
        <x:v>SOC_Mar_V4</x:v>
      </x:c>
      <x:c r="AN1700" s="87" t="n">
        <x:v>15</x:v>
      </x:c>
    </x:row>
    <x:row r="1701">
      <x:c r="A1701" s="87" t="n">
        <x:v>1700</x:v>
      </x:c>
      <x:c r="B1701" s="87" t="str">
        <x:v>MAR-SOC-V4-015</x:v>
      </x:c>
      <x:c r="C1701" s="87" t="str">
        <x:v>СтатГрад</x:v>
      </x:c>
      <x:c r="D1701" s="87" t="str">
        <x:v>Март 2026</x:v>
      </x:c>
      <x:c r="E1701" s="87"/>
      <x:c r="F1701" s="87"/>
      <x:c r="G1701" s="87" t="str">
        <x:v>Обществознание</x:v>
      </x:c>
      <x:c r="H1701" s="87" t="n">
        <x:v>11</x:v>
      </x:c>
      <x:c r="I1701" s="87" t="str">
        <x:v>ТР №5</x:v>
      </x:c>
      <x:c r="J1701" s="87" t="str">
        <x:v>ОБ2510504</x:v>
      </x:c>
      <x:c r="K1701" s="87" t="n">
        <x:v>15</x:v>
      </x:c>
      <x:c r="L1701" s="87" t="str">
        <x:v>Уголовно-правовые меры</x:v>
      </x:c>
      <x:c r="M1701" s="30" t="str">
        <x:v>Соотнести залог, ограничение свободы, штраф, домашний арест и лишение свободы с наказаниями и мерами пресечения.</x:v>
      </x:c>
      <x:c r="N1701" s="30" t="str">
        <x:v>21121</x:v>
      </x:c>
      <x:c r="O1701" s="30" t="str">
        <x:v>Залог и домашний арест — меры пресечения; ограничение свободы, штраф и лишение свободы — уголовные наказания.</x:v>
      </x:c>
      <x:c r="P1701" s="30" t="str">
        <x:v>Залог и домашний арест — меры пресечения; ограничение свободы, штраф и лишение свободы — уголовные наказания.</x:v>
      </x:c>
      <x:c r="Q1701" s="30"/>
      <x:c r="R1701"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01" s="30"/>
      <x:c r="T1701" s="30"/>
      <x:c r="U1701" s="30" t="str">
        <x:v>Расхождений не обнаружено.</x:v>
      </x:c>
      <x:c r="V1701" s="87" t="str">
        <x:v>VERIFIED</x:v>
      </x:c>
      <x:c r="W1701" s="87" t="str">
        <x:v>Официальный PDF</x:v>
      </x:c>
      <x:c r="X1701" s="87"/>
      <x:c r="Y1701" s="87"/>
      <x:c r="Z1701" s="87"/>
      <x:c r="AA1701" s="87"/>
      <x:c r="AB1701" s="87"/>
      <x:c r="AC1701" s="87"/>
      <x:c r="AD1701" s="87"/>
      <x:c r="AE1701" s="87"/>
      <x:c r="AF1701" s="87"/>
      <x:c r="AG1701" s="87"/>
      <x:c r="AH1701" s="87"/>
      <x:c r="AI1701" s="30"/>
      <x:c r="AJ1701" s="87" t="str">
        <x:v>master</x:v>
      </x:c>
      <x:c r="AK1701" s="87" t="str">
        <x:v>master-v0.81</x:v>
      </x:c>
      <x:c r="AL1701" s="87" t="str">
        <x:v>statgrad_master_base_v0_81_final(2).xlsx</x:v>
      </x:c>
      <x:c r="AM1701" s="87" t="str">
        <x:v>SOC_Mar_V4</x:v>
      </x:c>
      <x:c r="AN1701" s="87" t="n">
        <x:v>16</x:v>
      </x:c>
    </x:row>
    <x:row r="1702">
      <x:c r="A1702" s="87" t="n">
        <x:v>1701</x:v>
      </x:c>
      <x:c r="B1702" s="87" t="str">
        <x:v>MAR-SOC-V4-016</x:v>
      </x:c>
      <x:c r="C1702" s="87" t="str">
        <x:v>СтатГрад</x:v>
      </x:c>
      <x:c r="D1702" s="87" t="str">
        <x:v>Март 2026</x:v>
      </x:c>
      <x:c r="E1702" s="87"/>
      <x:c r="F1702" s="87"/>
      <x:c r="G1702" s="87" t="str">
        <x:v>Обществознание</x:v>
      </x:c>
      <x:c r="H1702" s="87" t="n">
        <x:v>11</x:v>
      </x:c>
      <x:c r="I1702" s="87" t="str">
        <x:v>ТР №5</x:v>
      </x:c>
      <x:c r="J1702" s="87" t="str">
        <x:v>ОБ2510504</x:v>
      </x:c>
      <x:c r="K1702" s="87" t="n">
        <x:v>16</x:v>
      </x:c>
      <x:c r="L1702" s="87" t="str">
        <x:v>Наследование</x:v>
      </x:c>
      <x:c r="M1702" s="30" t="str">
        <x:v>Определить наследников первой очереди после смерти без завещания.</x:v>
      </x:c>
      <x:c r="N1702" s="30" t="str">
        <x:v>235</x:v>
      </x:c>
      <x:c r="O1702" s="30" t="str">
        <x:v>Супруга и мать — наследники первой очереди; внуки наследуют по праву представления вместо умершего сына.</x:v>
      </x:c>
      <x:c r="P1702" s="30" t="str">
        <x:v>Супруга и мать — наследники первой очереди; внуки наследуют по праву представления вместо умершего сына.</x:v>
      </x:c>
      <x:c r="Q1702" s="30"/>
      <x:c r="R1702"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02" s="30"/>
      <x:c r="T1702" s="30"/>
      <x:c r="U1702" s="30" t="str">
        <x:v>Расхождений не обнаружено.</x:v>
      </x:c>
      <x:c r="V1702" s="87" t="str">
        <x:v>VERIFIED</x:v>
      </x:c>
      <x:c r="W1702" s="87" t="str">
        <x:v>Официальный PDF</x:v>
      </x:c>
      <x:c r="X1702" s="87"/>
      <x:c r="Y1702" s="87"/>
      <x:c r="Z1702" s="87"/>
      <x:c r="AA1702" s="87"/>
      <x:c r="AB1702" s="87"/>
      <x:c r="AC1702" s="87"/>
      <x:c r="AD1702" s="87"/>
      <x:c r="AE1702" s="87"/>
      <x:c r="AF1702" s="87"/>
      <x:c r="AG1702" s="87"/>
      <x:c r="AH1702" s="87"/>
      <x:c r="AI1702" s="30"/>
      <x:c r="AJ1702" s="87" t="str">
        <x:v>master</x:v>
      </x:c>
      <x:c r="AK1702" s="87" t="str">
        <x:v>master-v0.81</x:v>
      </x:c>
      <x:c r="AL1702" s="87" t="str">
        <x:v>statgrad_master_base_v0_81_final(2).xlsx</x:v>
      </x:c>
      <x:c r="AM1702" s="87" t="str">
        <x:v>SOC_Mar_V4</x:v>
      </x:c>
      <x:c r="AN1702" s="87" t="n">
        <x:v>17</x:v>
      </x:c>
    </x:row>
    <x:row r="1703">
      <x:c r="A1703" s="87" t="n">
        <x:v>1702</x:v>
      </x:c>
      <x:c r="B1703" s="87" t="str">
        <x:v>MAR-SOC-V4-017</x:v>
      </x:c>
      <x:c r="C1703" s="87" t="str">
        <x:v>СтатГрад</x:v>
      </x:c>
      <x:c r="D1703" s="87" t="str">
        <x:v>Март 2026</x:v>
      </x:c>
      <x:c r="E1703" s="87"/>
      <x:c r="F1703" s="87"/>
      <x:c r="G1703" s="87" t="str">
        <x:v>Обществознание</x:v>
      </x:c>
      <x:c r="H1703" s="87" t="n">
        <x:v>11</x:v>
      </x:c>
      <x:c r="I1703" s="87" t="str">
        <x:v>ТР №5</x:v>
      </x:c>
      <x:c r="J1703" s="87" t="str">
        <x:v>ОБ2510504</x:v>
      </x:c>
      <x:c r="K1703" s="87" t="n">
        <x:v>17</x:v>
      </x:c>
      <x:c r="L1703" s="87" t="str">
        <x:v>Анализ текста: статус и роль</x:v>
      </x:c>
      <x:c r="M1703" s="30" t="str">
        <x:v>По тексту С. С. Фролова определить социальный статус, его связь с ролью и назвать три социальные группы.</x:v>
      </x:c>
      <x:c r="N1703" s="30" t="str">
        <x:v>Социальный статус — ранг или позиция индивида в группе либо группы среди других групп. Социальная роль — ожидаемое поведение носителя статуса. Примеры групп: семья, коллектив предприятия, общественная организация.</x:v>
      </x:c>
      <x:c r="O1703" s="30" t="str">
        <x:v>Даны ответы на все три вопроса; названы три группы из текста.</x:v>
      </x:c>
      <x:c r="P1703" s="30" t="str">
        <x:v>Даны ответы на все три вопроса; названы три группы из текста.</x:v>
      </x:c>
      <x:c r="Q1703" s="30"/>
      <x:c r="R1703"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03" s="30"/>
      <x:c r="T1703" s="30"/>
      <x:c r="U1703" s="30" t="str">
        <x:v>Расхождений не обнаружено.</x:v>
      </x:c>
      <x:c r="V1703" s="87" t="str">
        <x:v>VERIFIED</x:v>
      </x:c>
      <x:c r="W1703" s="87" t="str">
        <x:v>Официальный PDF</x:v>
      </x:c>
      <x:c r="X1703" s="87"/>
      <x:c r="Y1703" s="87"/>
      <x:c r="Z1703" s="87"/>
      <x:c r="AA1703" s="87"/>
      <x:c r="AB1703" s="87"/>
      <x:c r="AC1703" s="87"/>
      <x:c r="AD1703" s="87"/>
      <x:c r="AE1703" s="87"/>
      <x:c r="AF1703" s="87"/>
      <x:c r="AG1703" s="87"/>
      <x:c r="AH1703" s="87"/>
      <x:c r="AI1703" s="30"/>
      <x:c r="AJ1703" s="87" t="str">
        <x:v>master</x:v>
      </x:c>
      <x:c r="AK1703" s="87" t="str">
        <x:v>master-v0.81</x:v>
      </x:c>
      <x:c r="AL1703" s="87" t="str">
        <x:v>statgrad_master_base_v0_81_final(2).xlsx</x:v>
      </x:c>
      <x:c r="AM1703" s="87" t="str">
        <x:v>SOC_Mar_V4</x:v>
      </x:c>
      <x:c r="AN1703" s="87" t="n">
        <x:v>18</x:v>
      </x:c>
    </x:row>
    <x:row r="1704">
      <x:c r="A1704" s="87" t="n">
        <x:v>1703</x:v>
      </x:c>
      <x:c r="B1704" s="87" t="str">
        <x:v>MAR-SOC-V4-018</x:v>
      </x:c>
      <x:c r="C1704" s="87" t="str">
        <x:v>СтатГрад</x:v>
      </x:c>
      <x:c r="D1704" s="87" t="str">
        <x:v>Март 2026</x:v>
      </x:c>
      <x:c r="E1704" s="87"/>
      <x:c r="F1704" s="87"/>
      <x:c r="G1704" s="87" t="str">
        <x:v>Обществознание</x:v>
      </x:c>
      <x:c r="H1704" s="87" t="n">
        <x:v>11</x:v>
      </x:c>
      <x:c r="I1704" s="87" t="str">
        <x:v>ТР №5</x:v>
      </x:c>
      <x:c r="J1704" s="87" t="str">
        <x:v>ОБ2510504</x:v>
      </x:c>
      <x:c r="K1704" s="87" t="n">
        <x:v>18</x:v>
      </x:c>
      <x:c r="L1704" s="87" t="str">
        <x:v>Теоретическое задание: социализация</x:v>
      </x:c>
      <x:c r="M1704" s="30" t="str">
        <x:v>Назвать не менее трёх признаков социализации и объяснить её связь с освоением ролей.</x:v>
      </x:c>
      <x:c r="N1704" s="30" t="str">
        <x:v>Социализация продолжается всю жизнь, включает усвоение норм и ценностей, происходит во взаимодействии с людьми, связана с освоением социальных ролей и формирует личность. Обучаясь ролевому поведению, человек осваивает ожидаемые способы действий и становится полноценным участником общества.</x:v>
      </x:c>
      <x:c r="O1704" s="30" t="str">
        <x:v>Приведено пять корректных признаков и объяснена функциональная связь.</x:v>
      </x:c>
      <x:c r="P1704" s="30" t="str">
        <x:v>Приведено пять корректных признаков и объяснена функциональная связь.</x:v>
      </x:c>
      <x:c r="Q1704" s="30"/>
      <x:c r="R1704"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04" s="30"/>
      <x:c r="T1704" s="30"/>
      <x:c r="U1704" s="30" t="str">
        <x:v>Расхождений не обнаружено.</x:v>
      </x:c>
      <x:c r="V1704" s="87" t="str">
        <x:v>VERIFIED</x:v>
      </x:c>
      <x:c r="W1704" s="87" t="str">
        <x:v>Официальный PDF</x:v>
      </x:c>
      <x:c r="X1704" s="87"/>
      <x:c r="Y1704" s="87"/>
      <x:c r="Z1704" s="87"/>
      <x:c r="AA1704" s="87"/>
      <x:c r="AB1704" s="87"/>
      <x:c r="AC1704" s="87"/>
      <x:c r="AD1704" s="87"/>
      <x:c r="AE1704" s="87"/>
      <x:c r="AF1704" s="87"/>
      <x:c r="AG1704" s="87"/>
      <x:c r="AH1704" s="87"/>
      <x:c r="AI1704" s="30"/>
      <x:c r="AJ1704" s="87" t="str">
        <x:v>master</x:v>
      </x:c>
      <x:c r="AK1704" s="87" t="str">
        <x:v>master-v0.81</x:v>
      </x:c>
      <x:c r="AL1704" s="87" t="str">
        <x:v>statgrad_master_base_v0_81_final(2).xlsx</x:v>
      </x:c>
      <x:c r="AM1704" s="87" t="str">
        <x:v>SOC_Mar_V4</x:v>
      </x:c>
      <x:c r="AN1704" s="87" t="n">
        <x:v>19</x:v>
      </x:c>
    </x:row>
    <x:row r="1705">
      <x:c r="A1705" s="87" t="n">
        <x:v>1704</x:v>
      </x:c>
      <x:c r="B1705" s="87" t="str">
        <x:v>MAR-SOC-V4-019</x:v>
      </x:c>
      <x:c r="C1705" s="87" t="str">
        <x:v>СтатГрад</x:v>
      </x:c>
      <x:c r="D1705" s="87" t="str">
        <x:v>Март 2026</x:v>
      </x:c>
      <x:c r="E1705" s="87"/>
      <x:c r="F1705" s="87"/>
      <x:c r="G1705" s="87" t="str">
        <x:v>Обществознание</x:v>
      </x:c>
      <x:c r="H1705" s="87" t="n">
        <x:v>11</x:v>
      </x:c>
      <x:c r="I1705" s="87" t="str">
        <x:v>ТР №5</x:v>
      </x:c>
      <x:c r="J1705" s="87" t="str">
        <x:v>ОБ2510504</x:v>
      </x:c>
      <x:c r="K1705" s="87" t="n">
        <x:v>19</x:v>
      </x:c>
      <x:c r="L1705" s="87" t="str">
        <x:v>Примеры: социальные роли</x:v>
      </x:c>
      <x:c r="M1705" s="30" t="str">
        <x:v>Привести примеры реализации трёх социальных ролей из текста.</x:v>
      </x:c>
      <x:c r="N1705" s="30" t="str">
        <x:v>1) Ребёнок: школьница выполняет домашние обязанности, уважительно общается со взрослыми и добросовестно учится. 2) Военнослужащий: офицер соблюдает дисциплину, выполняет приказы и отвечает за подчинённых. 3) Член семьи: мать заботится о детях, участвует в ведении хозяйства и оказывает близким эмоциональную поддержку.</x:v>
      </x:c>
      <x:c r="O1705" s="30" t="str">
        <x:v>Каждый пример называет роль и раскрывает конкретное ролевое поведение.</x:v>
      </x:c>
      <x:c r="P1705" s="30" t="str">
        <x:v>Каждый пример называет роль и раскрывает конкретное ролевое поведение.</x:v>
      </x:c>
      <x:c r="Q1705" s="30"/>
      <x:c r="R1705"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05" s="30"/>
      <x:c r="T1705" s="30"/>
      <x:c r="U1705" s="30" t="str">
        <x:v>Расхождений не обнаружено.</x:v>
      </x:c>
      <x:c r="V1705" s="87" t="str">
        <x:v>VERIFIED</x:v>
      </x:c>
      <x:c r="W1705" s="87" t="str">
        <x:v>Официальный PDF</x:v>
      </x:c>
      <x:c r="X1705" s="87"/>
      <x:c r="Y1705" s="87"/>
      <x:c r="Z1705" s="87"/>
      <x:c r="AA1705" s="87"/>
      <x:c r="AB1705" s="87"/>
      <x:c r="AC1705" s="87"/>
      <x:c r="AD1705" s="87"/>
      <x:c r="AE1705" s="87"/>
      <x:c r="AF1705" s="87"/>
      <x:c r="AG1705" s="87"/>
      <x:c r="AH1705" s="87"/>
      <x:c r="AI1705" s="30"/>
      <x:c r="AJ1705" s="87" t="str">
        <x:v>master</x:v>
      </x:c>
      <x:c r="AK1705" s="87" t="str">
        <x:v>master-v0.81</x:v>
      </x:c>
      <x:c r="AL1705" s="87" t="str">
        <x:v>statgrad_master_base_v0_81_final(2).xlsx</x:v>
      </x:c>
      <x:c r="AM1705" s="87" t="str">
        <x:v>SOC_Mar_V4</x:v>
      </x:c>
      <x:c r="AN1705" s="87" t="n">
        <x:v>20</x:v>
      </x:c>
    </x:row>
    <x:row r="1706">
      <x:c r="A1706" s="87" t="n">
        <x:v>1705</x:v>
      </x:c>
      <x:c r="B1706" s="87" t="str">
        <x:v>MAR-SOC-V4-020</x:v>
      </x:c>
      <x:c r="C1706" s="87" t="str">
        <x:v>СтатГрад</x:v>
      </x:c>
      <x:c r="D1706" s="87" t="str">
        <x:v>Март 2026</x:v>
      </x:c>
      <x:c r="E1706" s="87"/>
      <x:c r="F1706" s="87"/>
      <x:c r="G1706" s="87" t="str">
        <x:v>Обществознание</x:v>
      </x:c>
      <x:c r="H1706" s="87" t="n">
        <x:v>11</x:v>
      </x:c>
      <x:c r="I1706" s="87" t="str">
        <x:v>ТР №5</x:v>
      </x:c>
      <x:c r="J1706" s="87" t="str">
        <x:v>ОБ2510504</x:v>
      </x:c>
      <x:c r="K1706" s="87" t="n">
        <x:v>20</x:v>
      </x:c>
      <x:c r="L1706" s="87" t="str">
        <x:v>Аргументация: статус и нормы</x:v>
      </x:c>
      <x:c r="M1706" s="30" t="str">
        <x:v>Привести три аргумента зависимости принимаемых норм от социального статуса.</x:v>
      </x:c>
      <x:c r="N1706" s="30" t="str">
        <x:v>1) Многие нормы адресованы только носителям определённых статусов, например судьям, военнослужащим или родителям. 2) Правила, обязательные для одной группы, могут быть неприемлемы для другой, поскольку статусы предполагают разные права и обязанности. 3) Статус определяет исполняемые роли и связанную с ними систему ожиданий, поэтому человек отбирает нормы, необходимые для своего ролевого поведения.</x:v>
      </x:c>
      <x:c r="O1706" s="30" t="str">
        <x:v>Аргументы раскрывают адресность норм, различие требований и связь статуса с ролью.</x:v>
      </x:c>
      <x:c r="P1706" s="30" t="str">
        <x:v>Аргументы раскрывают адресность норм, различие требований и связь статуса с ролью.</x:v>
      </x:c>
      <x:c r="Q1706" s="30"/>
      <x:c r="R1706"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06" s="30"/>
      <x:c r="T1706" s="30"/>
      <x:c r="U1706" s="30" t="str">
        <x:v>Расхождений не обнаружено.</x:v>
      </x:c>
      <x:c r="V1706" s="87" t="str">
        <x:v>VERIFIED</x:v>
      </x:c>
      <x:c r="W1706" s="87" t="str">
        <x:v>Официальный PDF</x:v>
      </x:c>
      <x:c r="X1706" s="87"/>
      <x:c r="Y1706" s="87"/>
      <x:c r="Z1706" s="87"/>
      <x:c r="AA1706" s="87"/>
      <x:c r="AB1706" s="87"/>
      <x:c r="AC1706" s="87"/>
      <x:c r="AD1706" s="87"/>
      <x:c r="AE1706" s="87"/>
      <x:c r="AF1706" s="87"/>
      <x:c r="AG1706" s="87"/>
      <x:c r="AH1706" s="87"/>
      <x:c r="AI1706" s="30"/>
      <x:c r="AJ1706" s="87" t="str">
        <x:v>master</x:v>
      </x:c>
      <x:c r="AK1706" s="87" t="str">
        <x:v>master-v0.81</x:v>
      </x:c>
      <x:c r="AL1706" s="87" t="str">
        <x:v>statgrad_master_base_v0_81_final(2).xlsx</x:v>
      </x:c>
      <x:c r="AM1706" s="87" t="str">
        <x:v>SOC_Mar_V4</x:v>
      </x:c>
      <x:c r="AN1706" s="87" t="n">
        <x:v>21</x:v>
      </x:c>
    </x:row>
    <x:row r="1707">
      <x:c r="A1707" s="87" t="n">
        <x:v>1706</x:v>
      </x:c>
      <x:c r="B1707" s="87" t="str">
        <x:v>MAR-SOC-V4-021</x:v>
      </x:c>
      <x:c r="C1707" s="87" t="str">
        <x:v>СтатГрад</x:v>
      </x:c>
      <x:c r="D1707" s="87" t="str">
        <x:v>Март 2026</x:v>
      </x:c>
      <x:c r="E1707" s="87"/>
      <x:c r="F1707" s="87"/>
      <x:c r="G1707" s="87" t="str">
        <x:v>Обществознание</x:v>
      </x:c>
      <x:c r="H1707" s="87" t="n">
        <x:v>11</x:v>
      </x:c>
      <x:c r="I1707" s="87" t="str">
        <x:v>ТР №5</x:v>
      </x:c>
      <x:c r="J1707" s="87" t="str">
        <x:v>ОБ2510504</x:v>
      </x:c>
      <x:c r="K1707" s="87" t="n">
        <x:v>21</x:v>
      </x:c>
      <x:c r="L1707" s="87" t="str">
        <x:v>Рыночный график: подержанные автомобили</x:v>
      </x:c>
      <x:c r="M1707" s="30" t="str">
        <x:v>Спрос на автомобили с пробегом сдвинулся вправо. Определить цену, фактор спроса и последствия снижения импортных пошлин.</x:v>
      </x:c>
      <x:c r="N1707" s="30" t="str">
        <x:v>Равновесная цена увеличилась. Возможный фактор: подорожание новых автомобилей сделало их менее доступными, поэтому спрос на подержанные вырос. Снижение пошлин увеличит предложение импортных автомобилей с пробегом и снизит равновесную цену.</x:v>
      </x:c>
      <x:c r="O1707" s="30" t="str">
        <x:v>Направления сдвигов и изменения цены проверены по графику.</x:v>
      </x:c>
      <x:c r="P1707" s="30" t="str">
        <x:v>Направления сдвигов и изменения цены проверены по графику.</x:v>
      </x:c>
      <x:c r="Q1707" s="30"/>
      <x:c r="R1707"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07" s="30"/>
      <x:c r="T1707" s="30"/>
      <x:c r="U1707" s="30" t="str">
        <x:v>Расхождений не обнаружено.</x:v>
      </x:c>
      <x:c r="V1707" s="87" t="str">
        <x:v>VERIFIED</x:v>
      </x:c>
      <x:c r="W1707" s="87" t="str">
        <x:v>PDF A, стр. 13</x:v>
      </x:c>
      <x:c r="X1707" s="87"/>
      <x:c r="Y1707" s="87"/>
      <x:c r="Z1707" s="87"/>
      <x:c r="AA1707" s="87"/>
      <x:c r="AB1707" s="87"/>
      <x:c r="AC1707" s="87"/>
      <x:c r="AD1707" s="87"/>
      <x:c r="AE1707" s="87"/>
      <x:c r="AF1707" s="87"/>
      <x:c r="AG1707" s="87"/>
      <x:c r="AH1707" s="87"/>
      <x:c r="AI1707" s="30"/>
      <x:c r="AJ1707" s="87" t="str">
        <x:v>master</x:v>
      </x:c>
      <x:c r="AK1707" s="87" t="str">
        <x:v>master-v0.81</x:v>
      </x:c>
      <x:c r="AL1707" s="87" t="str">
        <x:v>statgrad_master_base_v0_81_final(2).xlsx</x:v>
      </x:c>
      <x:c r="AM1707" s="87" t="str">
        <x:v>SOC_Mar_V4</x:v>
      </x:c>
      <x:c r="AN1707" s="87" t="n">
        <x:v>22</x:v>
      </x:c>
    </x:row>
    <x:row r="1708">
      <x:c r="A1708" s="87" t="n">
        <x:v>1707</x:v>
      </x:c>
      <x:c r="B1708" s="87" t="str">
        <x:v>MAR-SOC-V4-022</x:v>
      </x:c>
      <x:c r="C1708" s="87" t="str">
        <x:v>СтатГрад</x:v>
      </x:c>
      <x:c r="D1708" s="87" t="str">
        <x:v>Март 2026</x:v>
      </x:c>
      <x:c r="E1708" s="87"/>
      <x:c r="F1708" s="87"/>
      <x:c r="G1708" s="87" t="str">
        <x:v>Обществознание</x:v>
      </x:c>
      <x:c r="H1708" s="87" t="n">
        <x:v>11</x:v>
      </x:c>
      <x:c r="I1708" s="87" t="str">
        <x:v>ТР №5</x:v>
      </x:c>
      <x:c r="J1708" s="87" t="str">
        <x:v>ОБ2510504</x:v>
      </x:c>
      <x:c r="K1708" s="87" t="n">
        <x:v>22</x:v>
      </x:c>
      <x:c r="L1708" s="87" t="str">
        <x:v>Гражданское право: собственность и наследование</x:v>
      </x:c>
      <x:c r="M1708" s="30" t="str">
        <x:v>Определить правомочия собственника и очередь наследования сестры.</x:v>
      </x:c>
      <x:c r="N1708" s="30" t="str">
        <x:v>Подарив автомобиль, Дарья реализовала распоряжение. Живя в доме, она осуществляет владение и пользование. Сестра относится ко второй очереди наследования; к ней также относятся дедушки и бабушки, а племянники наследуют по праву представления.</x:v>
      </x:c>
      <x:c r="O1708" s="30" t="str">
        <x:v>Проверены три правомочия собственности и состав второй очереди.</x:v>
      </x:c>
      <x:c r="P1708" s="30" t="str">
        <x:v>Проверены три правомочия собственности и состав второй очереди.</x:v>
      </x:c>
      <x:c r="Q1708" s="30"/>
      <x:c r="R1708"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08" s="30"/>
      <x:c r="T1708" s="30"/>
      <x:c r="U1708" s="30" t="str">
        <x:v>Расхождений не обнаружено.</x:v>
      </x:c>
      <x:c r="V1708" s="87" t="str">
        <x:v>VERIFIED</x:v>
      </x:c>
      <x:c r="W1708" s="87" t="str">
        <x:v>Официальный PDF</x:v>
      </x:c>
      <x:c r="X1708" s="87"/>
      <x:c r="Y1708" s="87"/>
      <x:c r="Z1708" s="87"/>
      <x:c r="AA1708" s="87"/>
      <x:c r="AB1708" s="87"/>
      <x:c r="AC1708" s="87"/>
      <x:c r="AD1708" s="87"/>
      <x:c r="AE1708" s="87"/>
      <x:c r="AF1708" s="87"/>
      <x:c r="AG1708" s="87"/>
      <x:c r="AH1708" s="87"/>
      <x:c r="AI1708" s="30"/>
      <x:c r="AJ1708" s="87" t="str">
        <x:v>master</x:v>
      </x:c>
      <x:c r="AK1708" s="87" t="str">
        <x:v>master-v0.81</x:v>
      </x:c>
      <x:c r="AL1708" s="87" t="str">
        <x:v>statgrad_master_base_v0_81_final(2).xlsx</x:v>
      </x:c>
      <x:c r="AM1708" s="87" t="str">
        <x:v>SOC_Mar_V4</x:v>
      </x:c>
      <x:c r="AN1708" s="87" t="n">
        <x:v>23</x:v>
      </x:c>
    </x:row>
    <x:row r="1709">
      <x:c r="A1709" s="87" t="n">
        <x:v>1708</x:v>
      </x:c>
      <x:c r="B1709" s="87" t="str">
        <x:v>MAR-SOC-V4-023</x:v>
      </x:c>
      <x:c r="C1709" s="87" t="str">
        <x:v>СтатГрад</x:v>
      </x:c>
      <x:c r="D1709" s="87" t="str">
        <x:v>Март 2026</x:v>
      </x:c>
      <x:c r="E1709" s="87"/>
      <x:c r="F1709" s="87"/>
      <x:c r="G1709" s="87" t="str">
        <x:v>Обществознание</x:v>
      </x:c>
      <x:c r="H1709" s="87" t="n">
        <x:v>11</x:v>
      </x:c>
      <x:c r="I1709" s="87" t="str">
        <x:v>ТР №5</x:v>
      </x:c>
      <x:c r="J1709" s="87" t="str">
        <x:v>ОБ2510504</x:v>
      </x:c>
      <x:c r="K1709" s="87" t="n">
        <x:v>23</x:v>
      </x:c>
      <x:c r="L1709" s="87" t="str">
        <x:v>Конституционное задание: экология</x:v>
      </x:c>
      <x:c r="M1709" s="30" t="str">
        <x:v>Привести три конституционных подтверждения права на благоприятную среду и защиты природы.</x:v>
      </x:c>
      <x:c r="N1709" s="30" t="str">
        <x:v>1) Каждый имеет право на благоприятную окружающую среду, достоверную информацию о ней и возмещение экологического ущерба. 2) Земля и природные ресурсы охраняются как основа жизни народов соответствующих территорий. 3) Каждый обязан сохранять природу и бережно относиться к природным богатствам.</x:v>
      </x:c>
      <x:c r="O1709" s="30" t="str">
        <x:v>Каждое подтверждение является распространённым предложением и опирается на конкретное положение Конституции.</x:v>
      </x:c>
      <x:c r="P1709" s="30" t="str">
        <x:v>Каждое подтверждение является распространённым предложением и опирается на конкретное положение Конституции.</x:v>
      </x:c>
      <x:c r="Q1709" s="30"/>
      <x:c r="R1709"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09" s="30"/>
      <x:c r="T1709" s="30"/>
      <x:c r="U1709" s="30" t="str">
        <x:v>Расхождений не обнаружено.</x:v>
      </x:c>
      <x:c r="V1709" s="87" t="str">
        <x:v>VERIFIED</x:v>
      </x:c>
      <x:c r="W1709" s="87" t="str">
        <x:v>Официальный PDF</x:v>
      </x:c>
      <x:c r="X1709" s="87"/>
      <x:c r="Y1709" s="87"/>
      <x:c r="Z1709" s="87"/>
      <x:c r="AA1709" s="87"/>
      <x:c r="AB1709" s="87"/>
      <x:c r="AC1709" s="87"/>
      <x:c r="AD1709" s="87"/>
      <x:c r="AE1709" s="87"/>
      <x:c r="AF1709" s="87"/>
      <x:c r="AG1709" s="87"/>
      <x:c r="AH1709" s="87"/>
      <x:c r="AI1709" s="30"/>
      <x:c r="AJ1709" s="87" t="str">
        <x:v>master</x:v>
      </x:c>
      <x:c r="AK1709" s="87" t="str">
        <x:v>master-v0.81</x:v>
      </x:c>
      <x:c r="AL1709" s="87" t="str">
        <x:v>statgrad_master_base_v0_81_final(2).xlsx</x:v>
      </x:c>
      <x:c r="AM1709" s="87" t="str">
        <x:v>SOC_Mar_V4</x:v>
      </x:c>
      <x:c r="AN1709" s="87" t="n">
        <x:v>24</x:v>
      </x:c>
    </x:row>
    <x:row r="1710">
      <x:c r="A1710" s="87" t="n">
        <x:v>1709</x:v>
      </x:c>
      <x:c r="B1710" s="87" t="str">
        <x:v>MAR-SOC-V4-024</x:v>
      </x:c>
      <x:c r="C1710" s="87" t="str">
        <x:v>СтатГрад</x:v>
      </x:c>
      <x:c r="D1710" s="87" t="str">
        <x:v>Март 2026</x:v>
      </x:c>
      <x:c r="E1710" s="87"/>
      <x:c r="F1710" s="87"/>
      <x:c r="G1710" s="87" t="str">
        <x:v>Обществознание</x:v>
      </x:c>
      <x:c r="H1710" s="87" t="n">
        <x:v>11</x:v>
      </x:c>
      <x:c r="I1710" s="87" t="str">
        <x:v>ТР №5</x:v>
      </x:c>
      <x:c r="J1710" s="87" t="str">
        <x:v>ОБ2510504</x:v>
      </x:c>
      <x:c r="K1710" s="87" t="n">
        <x:v>24</x:v>
      </x:c>
      <x:c r="L1710" s="87" t="str">
        <x:v>Сложный план</x:v>
      </x:c>
      <x:c r="M1710" s="30" t="str">
        <x:v>Составить сложный план по теме «Экономический рост и развитие».</x:v>
      </x:c>
      <x:c r="N1710" s="30" t="str">
        <x:v>1. Понятия экономического роста и экономического развития.
2. Показатели экономического роста:
   а) реальный ВВП;
   б) реальный ВВП на душу населения;
   в) национальный доход;
   г) темпы прироста производства.
3. Типы экономического роста:
   а) экстенсивный;
   б) интенсивный;
   в) смешанный.
4. Факторы интенсивного роста:
   а) внедрение новых технологий;
   б) повышение квалификации работников;
   в) совершенствование управления;
   г) рациональное использование ресурсов;
   д) рост производительности труда.
5. Факторы экстенсивного роста:
   а) увеличение численности работников;
   б) расширение производственных площадей;
   в) вовлечение новых природных ресурсов и земель;
   г) увеличение объёма капитала без изменения технологии.
6. Показатели экономического развития:
   а) качество и уровень жизни;
   б) структура экономики;
   в) уровень занятости и реальные доходы;
   г) доступность образования и здравоохранения.
7. Ограничения и противоречия экономического роста.</x:v>
      </x:c>
      <x:c r="O1710" s="30" t="str">
        <x:v>План различает рост и развитие, раскрывает типы, факторы и измерители; ключевые пункты детализированы.</x:v>
      </x:c>
      <x:c r="P1710" s="30" t="str">
        <x:v>План различает рост и развитие, раскрывает типы, факторы и измерители; ключевые пункты детализированы.</x:v>
      </x:c>
      <x:c r="Q1710" s="30"/>
      <x:c r="R1710"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10" s="30"/>
      <x:c r="T1710" s="30"/>
      <x:c r="U1710" s="30" t="str">
        <x:v>Расхождений не обнаружено.</x:v>
      </x:c>
      <x:c r="V1710" s="87" t="str">
        <x:v>VERIFIED</x:v>
      </x:c>
      <x:c r="W1710" s="87" t="str">
        <x:v>Официальный PDF</x:v>
      </x:c>
      <x:c r="X1710" s="87"/>
      <x:c r="Y1710" s="87"/>
      <x:c r="Z1710" s="87"/>
      <x:c r="AA1710" s="87"/>
      <x:c r="AB1710" s="87"/>
      <x:c r="AC1710" s="87"/>
      <x:c r="AD1710" s="87"/>
      <x:c r="AE1710" s="87"/>
      <x:c r="AF1710" s="87"/>
      <x:c r="AG1710" s="87"/>
      <x:c r="AH1710" s="87"/>
      <x:c r="AI1710" s="30"/>
      <x:c r="AJ1710" s="87" t="str">
        <x:v>master</x:v>
      </x:c>
      <x:c r="AK1710" s="87" t="str">
        <x:v>master-v0.81</x:v>
      </x:c>
      <x:c r="AL1710" s="87" t="str">
        <x:v>statgrad_master_base_v0_81_final(2).xlsx</x:v>
      </x:c>
      <x:c r="AM1710" s="87" t="str">
        <x:v>SOC_Mar_V4</x:v>
      </x:c>
      <x:c r="AN1710" s="87" t="n">
        <x:v>25</x:v>
      </x:c>
    </x:row>
    <x:row r="1711">
      <x:c r="A1711" s="87" t="n">
        <x:v>1710</x:v>
      </x:c>
      <x:c r="B1711" s="87" t="str">
        <x:v>MAR-SOC-V4-025</x:v>
      </x:c>
      <x:c r="C1711" s="87" t="str">
        <x:v>СтатГрад</x:v>
      </x:c>
      <x:c r="D1711" s="87" t="str">
        <x:v>Март 2026</x:v>
      </x:c>
      <x:c r="E1711" s="87"/>
      <x:c r="F1711" s="87"/>
      <x:c r="G1711" s="87" t="str">
        <x:v>Обществознание</x:v>
      </x:c>
      <x:c r="H1711" s="87" t="n">
        <x:v>11</x:v>
      </x:c>
      <x:c r="I1711" s="87" t="str">
        <x:v>ТР №5</x:v>
      </x:c>
      <x:c r="J1711" s="87" t="str">
        <x:v>ОБ2510504</x:v>
      </x:c>
      <x:c r="K1711" s="87" t="n">
        <x:v>25</x:v>
      </x:c>
      <x:c r="L1711" s="87" t="str">
        <x:v>Обоснование и примеры: интенсивный рост</x:v>
      </x:c>
      <x:c r="M1711" s="30" t="str">
        <x:v>Обосновать приоритет интенсивных методов, назвать три фактора и привести по примеру их реализации.</x:v>
      </x:c>
      <x:c r="N1711" s="30" t="str">
        <x:v>Обоснование: ресурсы общества ограниченны, поэтому простое увеличение труда, земли и сырья имеет предел и повышает экологическую нагрузку. Интенсивный рост увеличивает отдачу от уже используемых ресурсов благодаря знаниям, технологиям и организации, что позволяет устойчиво повышать выпуск и качество продукции.
Факторы: 1) новые технологии; 2) повышение квалификации работников; 3) совершенствование управления.
Примеры: 1) машиностроительный завод внедрил роботизированную линию и увеличил выпуск без расширения штата; 2) медицинская компания обучила сотрудников работе с новым оборудованием, сократив время процедур; 3) торговая сеть внедрила цифровое управление запасами и уменьшила простои и потери.</x:v>
      </x:c>
      <x:c r="O1711" s="30" t="str">
        <x:v>Обоснование раскрывает причинно-следственную связь; названы ровно три фактора и три развёрнутых примера.</x:v>
      </x:c>
      <x:c r="P1711" s="30" t="str">
        <x:v>Обоснование раскрывает причинно-следственную связь; названы ровно три фактора и три развёрнутых примера.</x:v>
      </x:c>
      <x:c r="Q1711" s="30"/>
      <x:c r="R1711"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11" s="30"/>
      <x:c r="T1711" s="30"/>
      <x:c r="U1711" s="30" t="str">
        <x:v>Расхождений не обнаружено.</x:v>
      </x:c>
      <x:c r="V1711" s="87" t="str">
        <x:v>VERIFIED</x:v>
      </x:c>
      <x:c r="W1711" s="87" t="str">
        <x:v>Официальный PDF</x:v>
      </x:c>
      <x:c r="X1711" s="87"/>
      <x:c r="Y1711" s="87"/>
      <x:c r="Z1711" s="87"/>
      <x:c r="AA1711" s="87"/>
      <x:c r="AB1711" s="87"/>
      <x:c r="AC1711" s="87"/>
      <x:c r="AD1711" s="87"/>
      <x:c r="AE1711" s="87"/>
      <x:c r="AF1711" s="87"/>
      <x:c r="AG1711" s="87"/>
      <x:c r="AH1711" s="87"/>
      <x:c r="AI1711" s="30"/>
      <x:c r="AJ1711" s="87" t="str">
        <x:v>master</x:v>
      </x:c>
      <x:c r="AK1711" s="87" t="str">
        <x:v>master-v0.81</x:v>
      </x:c>
      <x:c r="AL1711" s="87" t="str">
        <x:v>statgrad_master_base_v0_81_final(2).xlsx</x:v>
      </x:c>
      <x:c r="AM1711" s="87" t="str">
        <x:v>SOC_Mar_V4</x:v>
      </x:c>
      <x:c r="AN1711" s="87" t="n">
        <x:v>26</x:v>
      </x:c>
    </x:row>
    <x:row r="1712">
      <x:c r="A1712" s="87" t="n">
        <x:v>1711</x:v>
      </x:c>
      <x:c r="B1712" s="87" t="str">
        <x:v>MAR-GEO-V1-001</x:v>
      </x:c>
      <x:c r="C1712" s="87" t="str">
        <x:v>СтатГрад</x:v>
      </x:c>
      <x:c r="D1712" s="87" t="str">
        <x:v>Март 2026</x:v>
      </x:c>
      <x:c r="E1712" s="87"/>
      <x:c r="F1712" s="87"/>
      <x:c r="G1712" s="87" t="str">
        <x:v>География</x:v>
      </x:c>
      <x:c r="H1712" s="87" t="n">
        <x:v>11</x:v>
      </x:c>
      <x:c r="I1712" s="87" t="str">
        <x:v>ТР №4</x:v>
      </x:c>
      <x:c r="J1712" s="87" t="str">
        <x:v>ГГ2510401</x:v>
      </x:c>
      <x:c r="K1712" s="87" t="n">
        <x:v>1</x:v>
      </x:c>
      <x:c r="L1712" s="87" t="str">
        <x:v>Географические координаты</x:v>
      </x:c>
      <x:c r="M1712" s="30" t="str">
        <x:v>Город Кинтеро расположен на 32°47′ ю. ш. и 71°52′ з. д. Определить государство.</x:v>
      </x:c>
      <x:c r="N1712" s="30" t="str">
        <x:v>Чили</x:v>
      </x:c>
      <x:c r="O1712" s="30" t="str">
        <x:v>Координаты находятся на тихоокеанском побережье Южной Америки в пределах территории Чили.</x:v>
      </x:c>
      <x:c r="P1712" s="30" t="str">
        <x:v>Координаты находятся на тихоокеанском побережье Южной Америки в пределах территории Чили.</x:v>
      </x:c>
      <x:c r="Q1712" s="30"/>
      <x:c r="R1712" s="30" t="str">
        <x:v>Официальный комплект архива + независимое решение</x:v>
      </x:c>
      <x:c r="S1712" s="30"/>
      <x:c r="T1712" s="30"/>
      <x:c r="U1712" s="30" t="str">
        <x:v>Расхождений не обнаружено.</x:v>
      </x:c>
      <x:c r="V1712" s="87" t="str">
        <x:v>VERIFIED</x:v>
      </x:c>
      <x:c r="W1712" s="87" t="str">
        <x:v>Официальный PDF</x:v>
      </x:c>
      <x:c r="X1712" s="87"/>
      <x:c r="Y1712" s="87"/>
      <x:c r="Z1712" s="87"/>
      <x:c r="AA1712" s="87"/>
      <x:c r="AB1712" s="87"/>
      <x:c r="AC1712" s="87"/>
      <x:c r="AD1712" s="87"/>
      <x:c r="AE1712" s="87"/>
      <x:c r="AF1712" s="87"/>
      <x:c r="AG1712" s="87"/>
      <x:c r="AH1712" s="87"/>
      <x:c r="AI1712" s="30"/>
      <x:c r="AJ1712" s="87" t="str">
        <x:v>master</x:v>
      </x:c>
      <x:c r="AK1712" s="87" t="str">
        <x:v>master-v0.81</x:v>
      </x:c>
      <x:c r="AL1712" s="87" t="str">
        <x:v>statgrad_master_base_v0_81_final(2).xlsx</x:v>
      </x:c>
      <x:c r="AM1712" s="87" t="str">
        <x:v>GEO_Mar_V1</x:v>
      </x:c>
      <x:c r="AN1712" s="87" t="n">
        <x:v>2</x:v>
      </x:c>
    </x:row>
    <x:row r="1713">
      <x:c r="A1713" s="87" t="n">
        <x:v>1712</x:v>
      </x:c>
      <x:c r="B1713" s="87" t="str">
        <x:v>MAR-GEO-V1-002</x:v>
      </x:c>
      <x:c r="C1713" s="87" t="str">
        <x:v>СтатГрад</x:v>
      </x:c>
      <x:c r="D1713" s="87" t="str">
        <x:v>Март 2026</x:v>
      </x:c>
      <x:c r="E1713" s="87"/>
      <x:c r="F1713" s="87"/>
      <x:c r="G1713" s="87" t="str">
        <x:v>География</x:v>
      </x:c>
      <x:c r="H1713" s="87" t="n">
        <x:v>11</x:v>
      </x:c>
      <x:c r="I1713" s="87" t="str">
        <x:v>ТР №4</x:v>
      </x:c>
      <x:c r="J1713" s="87" t="str">
        <x:v>ГГ2510401</x:v>
      </x:c>
      <x:c r="K1713" s="87" t="n">
        <x:v>2</x:v>
      </x:c>
      <x:c r="L1713" s="87" t="str">
        <x:v>Температура и влажность</x:v>
      </x:c>
      <x:c r="M1713" s="30" t="str">
        <x:v>По абсолютной и относительной влажности трёх метеостанций расположить их по возрастанию температуры.</x:v>
      </x:c>
      <x:c r="N1713" s="30" t="str">
        <x:v>321</x:v>
      </x:c>
      <x:c r="O1713" s="30" t="str">
        <x:v>Максимально возможное влагосодержание пропорционально отношению абсолютной влажности к относительной: для станций 3, 2, 1 оно возрастает.</x:v>
      </x:c>
      <x:c r="P1713" s="30" t="str">
        <x:v>Рассчитаны отношения 5,9/0,92; 7,2/0,70; 10,9/0,53.</x:v>
      </x:c>
      <x:c r="Q1713" s="30"/>
      <x:c r="R1713" s="30" t="str">
        <x:v>Официальный комплект архива + независимое решение</x:v>
      </x:c>
      <x:c r="S1713" s="30"/>
      <x:c r="T1713" s="30"/>
      <x:c r="U1713" s="30" t="str">
        <x:v>Расхождений не обнаружено.</x:v>
      </x:c>
      <x:c r="V1713" s="87" t="str">
        <x:v>VERIFIED</x:v>
      </x:c>
      <x:c r="W1713" s="87" t="str">
        <x:v>Официальный PDF</x:v>
      </x:c>
      <x:c r="X1713" s="87"/>
      <x:c r="Y1713" s="87"/>
      <x:c r="Z1713" s="87"/>
      <x:c r="AA1713" s="87"/>
      <x:c r="AB1713" s="87"/>
      <x:c r="AC1713" s="87"/>
      <x:c r="AD1713" s="87"/>
      <x:c r="AE1713" s="87"/>
      <x:c r="AF1713" s="87"/>
      <x:c r="AG1713" s="87"/>
      <x:c r="AH1713" s="87"/>
      <x:c r="AI1713" s="30"/>
      <x:c r="AJ1713" s="87" t="str">
        <x:v>master</x:v>
      </x:c>
      <x:c r="AK1713" s="87" t="str">
        <x:v>master-v0.81</x:v>
      </x:c>
      <x:c r="AL1713" s="87" t="str">
        <x:v>statgrad_master_base_v0_81_final(2).xlsx</x:v>
      </x:c>
      <x:c r="AM1713" s="87" t="str">
        <x:v>GEO_Mar_V1</x:v>
      </x:c>
      <x:c r="AN1713" s="87" t="n">
        <x:v>3</x:v>
      </x:c>
    </x:row>
    <x:row r="1714">
      <x:c r="A1714" s="87" t="n">
        <x:v>1713</x:v>
      </x:c>
      <x:c r="B1714" s="87" t="str">
        <x:v>MAR-GEO-V1-003</x:v>
      </x:c>
      <x:c r="C1714" s="87" t="str">
        <x:v>СтатГрад</x:v>
      </x:c>
      <x:c r="D1714" s="87" t="str">
        <x:v>Март 2026</x:v>
      </x:c>
      <x:c r="E1714" s="87"/>
      <x:c r="F1714" s="87"/>
      <x:c r="G1714" s="87" t="str">
        <x:v>География</x:v>
      </x:c>
      <x:c r="H1714" s="87" t="n">
        <x:v>11</x:v>
      </x:c>
      <x:c r="I1714" s="87" t="str">
        <x:v>ТР №4</x:v>
      </x:c>
      <x:c r="J1714" s="87" t="str">
        <x:v>ГГ2510401</x:v>
      </x:c>
      <x:c r="K1714" s="87" t="n">
        <x:v>3</x:v>
      </x:c>
      <x:c r="L1714" s="87" t="str">
        <x:v>Продолжительность освещения</x:v>
      </x:c>
      <x:c r="M1714" s="30" t="str">
        <x:v>Расположить Донецк, Петрозаводск и Тулу по увеличению времени работы уличного освещения 10 ноября.</x:v>
      </x:c>
      <x:c r="N1714" s="30" t="str">
        <x:v>132</x:v>
      </x:c>
      <x:c r="O1714" s="30" t="str">
        <x:v>В ноябре продолжительность тёмного времени возрастает с юга на север: Донецк, Тула, Петрозаводск.</x:v>
      </x:c>
      <x:c r="P1714" s="30" t="str">
        <x:v>В ноябре продолжительность тёмного времени возрастает с юга на север: Донецк, Тула, Петрозаводск.</x:v>
      </x:c>
      <x:c r="Q1714" s="30"/>
      <x:c r="R1714" s="30" t="str">
        <x:v>Официальный комплект архива + независимое решение</x:v>
      </x:c>
      <x:c r="S1714" s="30"/>
      <x:c r="T1714" s="30"/>
      <x:c r="U1714" s="30" t="str">
        <x:v>Расхождений не обнаружено.</x:v>
      </x:c>
      <x:c r="V1714" s="87" t="str">
        <x:v>VERIFIED</x:v>
      </x:c>
      <x:c r="W1714" s="87" t="str">
        <x:v>Официальный PDF</x:v>
      </x:c>
      <x:c r="X1714" s="87"/>
      <x:c r="Y1714" s="87"/>
      <x:c r="Z1714" s="87"/>
      <x:c r="AA1714" s="87"/>
      <x:c r="AB1714" s="87"/>
      <x:c r="AC1714" s="87"/>
      <x:c r="AD1714" s="87"/>
      <x:c r="AE1714" s="87"/>
      <x:c r="AF1714" s="87"/>
      <x:c r="AG1714" s="87"/>
      <x:c r="AH1714" s="87"/>
      <x:c r="AI1714" s="30"/>
      <x:c r="AJ1714" s="87" t="str">
        <x:v>master</x:v>
      </x:c>
      <x:c r="AK1714" s="87" t="str">
        <x:v>master-v0.81</x:v>
      </x:c>
      <x:c r="AL1714" s="87" t="str">
        <x:v>statgrad_master_base_v0_81_final(2).xlsx</x:v>
      </x:c>
      <x:c r="AM1714" s="87" t="str">
        <x:v>GEO_Mar_V1</x:v>
      </x:c>
      <x:c r="AN1714" s="87" t="n">
        <x:v>4</x:v>
      </x:c>
    </x:row>
    <x:row r="1715">
      <x:c r="A1715" s="87" t="n">
        <x:v>1714</x:v>
      </x:c>
      <x:c r="B1715" s="87" t="str">
        <x:v>MAR-GEO-V1-004</x:v>
      </x:c>
      <x:c r="C1715" s="87" t="str">
        <x:v>СтатГрад</x:v>
      </x:c>
      <x:c r="D1715" s="87" t="str">
        <x:v>Март 2026</x:v>
      </x:c>
      <x:c r="E1715" s="87"/>
      <x:c r="F1715" s="87"/>
      <x:c r="G1715" s="87" t="str">
        <x:v>География</x:v>
      </x:c>
      <x:c r="H1715" s="87" t="n">
        <x:v>11</x:v>
      </x:c>
      <x:c r="I1715" s="87" t="str">
        <x:v>ТР №4</x:v>
      </x:c>
      <x:c r="J1715" s="87" t="str">
        <x:v>ГГ2510401</x:v>
      </x:c>
      <x:c r="K1715" s="87" t="n">
        <x:v>4</x:v>
      </x:c>
      <x:c r="L1715" s="87" t="str">
        <x:v>Карта Евразии</x:v>
      </x:c>
      <x:c r="M1715" s="30" t="str">
        <x:v>Соотнести Кольский, Корейский и Таймырский полуострова с обозначениями на карте.</x:v>
      </x:c>
      <x:c r="N1715" s="30" t="str">
        <x:v>142</x:v>
      </x:c>
      <x:c r="O1715" s="30" t="str">
        <x:v>Кольский обозначен цифрой 1, Корейский — 4, Таймыр — 2.</x:v>
      </x:c>
      <x:c r="P1715" s="30" t="str">
        <x:v>Положение всех трёх полуостровов проверено по физической карте.</x:v>
      </x:c>
      <x:c r="Q1715" s="30"/>
      <x:c r="R1715" s="30" t="str">
        <x:v>Официальный комплект архива + независимое решение</x:v>
      </x:c>
      <x:c r="S1715" s="30"/>
      <x:c r="T1715" s="30"/>
      <x:c r="U1715" s="30" t="str">
        <x:v>Расхождений не обнаружено.</x:v>
      </x:c>
      <x:c r="V1715" s="87" t="str">
        <x:v>VERIFIED</x:v>
      </x:c>
      <x:c r="W1715" s="87" t="str">
        <x:v>Официальный PDF</x:v>
      </x:c>
      <x:c r="X1715" s="87"/>
      <x:c r="Y1715" s="87"/>
      <x:c r="Z1715" s="87"/>
      <x:c r="AA1715" s="87"/>
      <x:c r="AB1715" s="87"/>
      <x:c r="AC1715" s="87"/>
      <x:c r="AD1715" s="87"/>
      <x:c r="AE1715" s="87"/>
      <x:c r="AF1715" s="87"/>
      <x:c r="AG1715" s="87"/>
      <x:c r="AH1715" s="87"/>
      <x:c r="AI1715" s="30"/>
      <x:c r="AJ1715" s="87" t="str">
        <x:v>master</x:v>
      </x:c>
      <x:c r="AK1715" s="87" t="str">
        <x:v>master-v0.81</x:v>
      </x:c>
      <x:c r="AL1715" s="87" t="str">
        <x:v>statgrad_master_base_v0_81_final(2).xlsx</x:v>
      </x:c>
      <x:c r="AM1715" s="87" t="str">
        <x:v>GEO_Mar_V1</x:v>
      </x:c>
      <x:c r="AN1715" s="87" t="n">
        <x:v>5</x:v>
      </x:c>
    </x:row>
    <x:row r="1716">
      <x:c r="A1716" s="87" t="n">
        <x:v>1715</x:v>
      </x:c>
      <x:c r="B1716" s="87" t="str">
        <x:v>MAR-GEO-V1-005</x:v>
      </x:c>
      <x:c r="C1716" s="87" t="str">
        <x:v>СтатГрад</x:v>
      </x:c>
      <x:c r="D1716" s="87" t="str">
        <x:v>Март 2026</x:v>
      </x:c>
      <x:c r="E1716" s="87"/>
      <x:c r="F1716" s="87"/>
      <x:c r="G1716" s="87" t="str">
        <x:v>География</x:v>
      </x:c>
      <x:c r="H1716" s="87" t="n">
        <x:v>11</x:v>
      </x:c>
      <x:c r="I1716" s="87" t="str">
        <x:v>ТР №4</x:v>
      </x:c>
      <x:c r="J1716" s="87" t="str">
        <x:v>ГГ2510401</x:v>
      </x:c>
      <x:c r="K1716" s="87" t="n">
        <x:v>5</x:v>
      </x:c>
      <x:c r="L1716" s="87" t="str">
        <x:v>Страноведческий текст</x:v>
      </x:c>
      <x:c r="M1716" s="30" t="str">
        <x:v>Заполнить пропуски в характеристике Нигерии: материк, место по численности населения на материке и главный экспортный ресурс.</x:v>
      </x:c>
      <x:c r="N1716" s="30" t="str">
        <x:v>124</x:v>
      </x:c>
      <x:c r="O1716" s="30" t="str">
        <x:v>Нигерия расположена в Африке, занимает первое место на материке по численности населения, основа экспорта — нефть.</x:v>
      </x:c>
      <x:c r="P1716" s="30" t="str">
        <x:v>Нигерия расположена в Африке, занимает первое место на материке по численности населения, основа экспорта — нефть.</x:v>
      </x:c>
      <x:c r="Q1716" s="30"/>
      <x:c r="R1716" s="30" t="str">
        <x:v>Официальный комплект архива + независимое решение</x:v>
      </x:c>
      <x:c r="S1716" s="30"/>
      <x:c r="T1716" s="30"/>
      <x:c r="U1716" s="30" t="str">
        <x:v>Расхождений не обнаружено.</x:v>
      </x:c>
      <x:c r="V1716" s="87" t="str">
        <x:v>VERIFIED</x:v>
      </x:c>
      <x:c r="W1716" s="87" t="str">
        <x:v>Официальный PDF</x:v>
      </x:c>
      <x:c r="X1716" s="87"/>
      <x:c r="Y1716" s="87"/>
      <x:c r="Z1716" s="87"/>
      <x:c r="AA1716" s="87"/>
      <x:c r="AB1716" s="87"/>
      <x:c r="AC1716" s="87"/>
      <x:c r="AD1716" s="87"/>
      <x:c r="AE1716" s="87"/>
      <x:c r="AF1716" s="87"/>
      <x:c r="AG1716" s="87"/>
      <x:c r="AH1716" s="87"/>
      <x:c r="AI1716" s="30"/>
      <x:c r="AJ1716" s="87" t="str">
        <x:v>master</x:v>
      </x:c>
      <x:c r="AK1716" s="87" t="str">
        <x:v>master-v0.81</x:v>
      </x:c>
      <x:c r="AL1716" s="87" t="str">
        <x:v>statgrad_master_base_v0_81_final(2).xlsx</x:v>
      </x:c>
      <x:c r="AM1716" s="87" t="str">
        <x:v>GEO_Mar_V1</x:v>
      </x:c>
      <x:c r="AN1716" s="87" t="n">
        <x:v>6</x:v>
      </x:c>
    </x:row>
    <x:row r="1717">
      <x:c r="A1717" s="87" t="n">
        <x:v>1716</x:v>
      </x:c>
      <x:c r="B1717" s="87" t="str">
        <x:v>MAR-GEO-V1-006</x:v>
      </x:c>
      <x:c r="C1717" s="87" t="str">
        <x:v>СтатГрад</x:v>
      </x:c>
      <x:c r="D1717" s="87" t="str">
        <x:v>Март 2026</x:v>
      </x:c>
      <x:c r="E1717" s="87"/>
      <x:c r="F1717" s="87"/>
      <x:c r="G1717" s="87" t="str">
        <x:v>География</x:v>
      </x:c>
      <x:c r="H1717" s="87" t="n">
        <x:v>11</x:v>
      </x:c>
      <x:c r="I1717" s="87" t="str">
        <x:v>ТР №4</x:v>
      </x:c>
      <x:c r="J1717" s="87" t="str">
        <x:v>ГГ2510401</x:v>
      </x:c>
      <x:c r="K1717" s="87" t="n">
        <x:v>6</x:v>
      </x:c>
      <x:c r="L1717" s="87" t="str">
        <x:v>Плотность населения России</x:v>
      </x:c>
      <x:c r="M1717" s="30" t="str">
        <x:v>Выбрать три региона с наибольшей средней плотностью населения.</x:v>
      </x:c>
      <x:c r="N1717" s="30" t="str">
        <x:v>136</x:v>
      </x:c>
      <x:c r="O1717" s="30" t="str">
        <x:v>Татарстан, Тульская и Смоленская области значительно плотнее заселены, чем Бурятия, Красноярский край и Тыва.</x:v>
      </x:c>
      <x:c r="P1717" s="30" t="str">
        <x:v>Татарстан, Тульская и Смоленская области значительно плотнее заселены, чем Бурятия, Красноярский край и Тыва.</x:v>
      </x:c>
      <x:c r="Q1717" s="30"/>
      <x:c r="R1717" s="30" t="str">
        <x:v>Официальный комплект архива + независимое решение</x:v>
      </x:c>
      <x:c r="S1717" s="30"/>
      <x:c r="T1717" s="30"/>
      <x:c r="U1717" s="30" t="str">
        <x:v>Расхождений не обнаружено.</x:v>
      </x:c>
      <x:c r="V1717" s="87" t="str">
        <x:v>VERIFIED</x:v>
      </x:c>
      <x:c r="W1717" s="87" t="str">
        <x:v>Официальный PDF</x:v>
      </x:c>
      <x:c r="X1717" s="87"/>
      <x:c r="Y1717" s="87"/>
      <x:c r="Z1717" s="87"/>
      <x:c r="AA1717" s="87"/>
      <x:c r="AB1717" s="87"/>
      <x:c r="AC1717" s="87"/>
      <x:c r="AD1717" s="87"/>
      <x:c r="AE1717" s="87"/>
      <x:c r="AF1717" s="87"/>
      <x:c r="AG1717" s="87"/>
      <x:c r="AH1717" s="87"/>
      <x:c r="AI1717" s="30"/>
      <x:c r="AJ1717" s="87" t="str">
        <x:v>master</x:v>
      </x:c>
      <x:c r="AK1717" s="87" t="str">
        <x:v>master-v0.81</x:v>
      </x:c>
      <x:c r="AL1717" s="87" t="str">
        <x:v>statgrad_master_base_v0_81_final(2).xlsx</x:v>
      </x:c>
      <x:c r="AM1717" s="87" t="str">
        <x:v>GEO_Mar_V1</x:v>
      </x:c>
      <x:c r="AN1717" s="87" t="n">
        <x:v>7</x:v>
      </x:c>
    </x:row>
    <x:row r="1718">
      <x:c r="A1718" s="87" t="n">
        <x:v>1717</x:v>
      </x:c>
      <x:c r="B1718" s="87" t="str">
        <x:v>MAR-GEO-V1-007</x:v>
      </x:c>
      <x:c r="C1718" s="87" t="str">
        <x:v>СтатГрад</x:v>
      </x:c>
      <x:c r="D1718" s="87" t="str">
        <x:v>Март 2026</x:v>
      </x:c>
      <x:c r="E1718" s="87"/>
      <x:c r="F1718" s="87"/>
      <x:c r="G1718" s="87" t="str">
        <x:v>География</x:v>
      </x:c>
      <x:c r="H1718" s="87" t="n">
        <x:v>11</x:v>
      </x:c>
      <x:c r="I1718" s="87" t="str">
        <x:v>ТР №4</x:v>
      </x:c>
      <x:c r="J1718" s="87" t="str">
        <x:v>ГГ2510401</x:v>
      </x:c>
      <x:c r="K1718" s="87" t="n">
        <x:v>7</x:v>
      </x:c>
      <x:c r="L1718" s="87" t="str">
        <x:v>Структура ВВП</x:v>
      </x:c>
      <x:c r="M1718" s="30" t="str">
        <x:v>Соотнести Колумбию, Эфиопию и Венгрию с диаграммами распределения ВВП по секторам.</x:v>
      </x:c>
      <x:c r="N1718" s="30" t="str">
        <x:v>312</x:v>
      </x:c>
      <x:c r="O1718" s="30" t="str">
        <x:v>Эфиопии соответствует высокая доля сельского хозяйства, Венгрии — развитая сфера услуг и промышленность, Колумбии — промежуточная структура.</x:v>
      </x:c>
      <x:c r="P1718" s="30" t="str">
        <x:v>Состав секторов на трёх диаграммах проверен визуально.</x:v>
      </x:c>
      <x:c r="Q1718" s="30"/>
      <x:c r="R1718" s="30" t="str">
        <x:v>Официальный комплект архива + независимое решение</x:v>
      </x:c>
      <x:c r="S1718" s="30"/>
      <x:c r="T1718" s="30"/>
      <x:c r="U1718" s="30" t="str">
        <x:v>Расхождений не обнаружено.</x:v>
      </x:c>
      <x:c r="V1718" s="87" t="str">
        <x:v>VERIFIED</x:v>
      </x:c>
      <x:c r="W1718" s="87" t="str">
        <x:v>Официальный PDF</x:v>
      </x:c>
      <x:c r="X1718" s="87"/>
      <x:c r="Y1718" s="87"/>
      <x:c r="Z1718" s="87"/>
      <x:c r="AA1718" s="87"/>
      <x:c r="AB1718" s="87"/>
      <x:c r="AC1718" s="87"/>
      <x:c r="AD1718" s="87"/>
      <x:c r="AE1718" s="87"/>
      <x:c r="AF1718" s="87"/>
      <x:c r="AG1718" s="87"/>
      <x:c r="AH1718" s="87"/>
      <x:c r="AI1718" s="30"/>
      <x:c r="AJ1718" s="87" t="str">
        <x:v>master</x:v>
      </x:c>
      <x:c r="AK1718" s="87" t="str">
        <x:v>master-v0.81</x:v>
      </x:c>
      <x:c r="AL1718" s="87" t="str">
        <x:v>statgrad_master_base_v0_81_final(2).xlsx</x:v>
      </x:c>
      <x:c r="AM1718" s="87" t="str">
        <x:v>GEO_Mar_V1</x:v>
      </x:c>
      <x:c r="AN1718" s="87" t="n">
        <x:v>8</x:v>
      </x:c>
    </x:row>
    <x:row r="1719">
      <x:c r="A1719" s="87" t="n">
        <x:v>1718</x:v>
      </x:c>
      <x:c r="B1719" s="87" t="str">
        <x:v>MAR-GEO-V1-008</x:v>
      </x:c>
      <x:c r="C1719" s="87" t="str">
        <x:v>СтатГрад</x:v>
      </x:c>
      <x:c r="D1719" s="87" t="str">
        <x:v>Март 2026</x:v>
      </x:c>
      <x:c r="E1719" s="87"/>
      <x:c r="F1719" s="87"/>
      <x:c r="G1719" s="87" t="str">
        <x:v>География</x:v>
      </x:c>
      <x:c r="H1719" s="87" t="n">
        <x:v>11</x:v>
      </x:c>
      <x:c r="I1719" s="87" t="str">
        <x:v>ТР №4</x:v>
      </x:c>
      <x:c r="J1719" s="87" t="str">
        <x:v>ГГ2510401</x:v>
      </x:c>
      <x:c r="K1719" s="87" t="n">
        <x:v>8</x:v>
      </x:c>
      <x:c r="L1719" s="87" t="str">
        <x:v>Индекс человеческого развития</x:v>
      </x:c>
      <x:c r="M1719" s="30" t="str">
        <x:v>Расположить Руанду, Бразилию и Японию по возрастанию ИЧР.</x:v>
      </x:c>
      <x:c r="N1719" s="30" t="str">
        <x:v>123</x:v>
      </x:c>
      <x:c r="O1719" s="30" t="str">
        <x:v>Наименьший ИЧР у Руанды, затем Бразилия, наибольший — у Японии.</x:v>
      </x:c>
      <x:c r="P1719" s="30" t="str">
        <x:v>Наименьший ИЧР у Руанды, затем Бразилия, наибольший — у Японии.</x:v>
      </x:c>
      <x:c r="Q1719" s="30"/>
      <x:c r="R1719" s="30" t="str">
        <x:v>Официальный комплект архива + независимое решение</x:v>
      </x:c>
      <x:c r="S1719" s="30"/>
      <x:c r="T1719" s="30"/>
      <x:c r="U1719" s="30" t="str">
        <x:v>Расхождений не обнаружено.</x:v>
      </x:c>
      <x:c r="V1719" s="87" t="str">
        <x:v>VERIFIED</x:v>
      </x:c>
      <x:c r="W1719" s="87" t="str">
        <x:v>Официальный PDF</x:v>
      </x:c>
      <x:c r="X1719" s="87"/>
      <x:c r="Y1719" s="87"/>
      <x:c r="Z1719" s="87"/>
      <x:c r="AA1719" s="87"/>
      <x:c r="AB1719" s="87"/>
      <x:c r="AC1719" s="87"/>
      <x:c r="AD1719" s="87"/>
      <x:c r="AE1719" s="87"/>
      <x:c r="AF1719" s="87"/>
      <x:c r="AG1719" s="87"/>
      <x:c r="AH1719" s="87"/>
      <x:c r="AI1719" s="30"/>
      <x:c r="AJ1719" s="87" t="str">
        <x:v>master</x:v>
      </x:c>
      <x:c r="AK1719" s="87" t="str">
        <x:v>master-v0.81</x:v>
      </x:c>
      <x:c r="AL1719" s="87" t="str">
        <x:v>statgrad_master_base_v0_81_final(2).xlsx</x:v>
      </x:c>
      <x:c r="AM1719" s="87" t="str">
        <x:v>GEO_Mar_V1</x:v>
      </x:c>
      <x:c r="AN1719" s="87" t="n">
        <x:v>9</x:v>
      </x:c>
    </x:row>
    <x:row r="1720">
      <x:c r="A1720" s="87" t="n">
        <x:v>1719</x:v>
      </x:c>
      <x:c r="B1720" s="87" t="str">
        <x:v>MAR-GEO-V1-009</x:v>
      </x:c>
      <x:c r="C1720" s="87" t="str">
        <x:v>СтатГрад</x:v>
      </x:c>
      <x:c r="D1720" s="87" t="str">
        <x:v>Март 2026</x:v>
      </x:c>
      <x:c r="E1720" s="87"/>
      <x:c r="F1720" s="87"/>
      <x:c r="G1720" s="87" t="str">
        <x:v>География</x:v>
      </x:c>
      <x:c r="H1720" s="87" t="n">
        <x:v>11</x:v>
      </x:c>
      <x:c r="I1720" s="87" t="str">
        <x:v>ТР №4</x:v>
      </x:c>
      <x:c r="J1720" s="87" t="str">
        <x:v>ГГ2510401</x:v>
      </x:c>
      <x:c r="K1720" s="87" t="n">
        <x:v>9</x:v>
      </x:c>
      <x:c r="L1720" s="87" t="str">
        <x:v>Мировое производство удобрений</x:v>
      </x:c>
      <x:c r="M1720" s="30" t="str">
        <x:v>Выбрать мировых лидеров по производству и экспорту калийных удобрений.</x:v>
      </x:c>
      <x:c r="N1720" s="30" t="str">
        <x:v>245</x:v>
      </x:c>
      <x:c r="O1720" s="30" t="str">
        <x:v>Белоруссия, Канада и Россия обладают крупной сырьевой базой и входят в число лидеров отрасли.</x:v>
      </x:c>
      <x:c r="P1720" s="30" t="str">
        <x:v>Белоруссия, Канада и Россия обладают крупной сырьевой базой и входят в число лидеров отрасли.</x:v>
      </x:c>
      <x:c r="Q1720" s="30"/>
      <x:c r="R1720" s="30" t="str">
        <x:v>Официальный комплект архива + независимое решение</x:v>
      </x:c>
      <x:c r="S1720" s="30"/>
      <x:c r="T1720" s="30"/>
      <x:c r="U1720" s="30" t="str">
        <x:v>Расхождений не обнаружено.</x:v>
      </x:c>
      <x:c r="V1720" s="87" t="str">
        <x:v>VERIFIED</x:v>
      </x:c>
      <x:c r="W1720" s="87" t="str">
        <x:v>Официальный PDF</x:v>
      </x:c>
      <x:c r="X1720" s="87"/>
      <x:c r="Y1720" s="87"/>
      <x:c r="Z1720" s="87"/>
      <x:c r="AA1720" s="87"/>
      <x:c r="AB1720" s="87"/>
      <x:c r="AC1720" s="87"/>
      <x:c r="AD1720" s="87"/>
      <x:c r="AE1720" s="87"/>
      <x:c r="AF1720" s="87"/>
      <x:c r="AG1720" s="87"/>
      <x:c r="AH1720" s="87"/>
      <x:c r="AI1720" s="30"/>
      <x:c r="AJ1720" s="87" t="str">
        <x:v>master</x:v>
      </x:c>
      <x:c r="AK1720" s="87" t="str">
        <x:v>master-v0.81</x:v>
      </x:c>
      <x:c r="AL1720" s="87" t="str">
        <x:v>statgrad_master_base_v0_81_final(2).xlsx</x:v>
      </x:c>
      <x:c r="AM1720" s="87" t="str">
        <x:v>GEO_Mar_V1</x:v>
      </x:c>
      <x:c r="AN1720" s="87" t="n">
        <x:v>10</x:v>
      </x:c>
    </x:row>
    <x:row r="1721">
      <x:c r="A1721" s="87" t="n">
        <x:v>1720</x:v>
      </x:c>
      <x:c r="B1721" s="87" t="str">
        <x:v>MAR-GEO-V1-010</x:v>
      </x:c>
      <x:c r="C1721" s="87" t="str">
        <x:v>СтатГрад</x:v>
      </x:c>
      <x:c r="D1721" s="87" t="str">
        <x:v>Март 2026</x:v>
      </x:c>
      <x:c r="E1721" s="87"/>
      <x:c r="F1721" s="87"/>
      <x:c r="G1721" s="87" t="str">
        <x:v>География</x:v>
      </x:c>
      <x:c r="H1721" s="87" t="n">
        <x:v>11</x:v>
      </x:c>
      <x:c r="I1721" s="87" t="str">
        <x:v>ТР №4</x:v>
      </x:c>
      <x:c r="J1721" s="87" t="str">
        <x:v>ГГ2510401</x:v>
      </x:c>
      <x:c r="K1721" s="87" t="n">
        <x:v>10</x:v>
      </x:c>
      <x:c r="L1721" s="87" t="str">
        <x:v>Промышленное производство</x:v>
      </x:c>
      <x:c r="M1721" s="30" t="str">
        <x:v>Выбрать регионы, где объём промышленного производства увеличивался ежегодно в 2020–2022 гг.</x:v>
      </x:c>
      <x:c r="N1721" s="30" t="str">
        <x:v>124</x:v>
      </x:c>
      <x:c r="O1721" s="30" t="str">
        <x:v>Во всех трёх годах показатели выше 100% у Брянской, Владимирской и Ивановской областей.</x:v>
      </x:c>
      <x:c r="P1721" s="30" t="str">
        <x:v>Во всех трёх годах показатели выше 100% у Брянской, Владимирской и Ивановской областей.</x:v>
      </x:c>
      <x:c r="Q1721" s="30"/>
      <x:c r="R1721" s="30" t="str">
        <x:v>Официальный комплект архива + независимое решение</x:v>
      </x:c>
      <x:c r="S1721" s="30"/>
      <x:c r="T1721" s="30"/>
      <x:c r="U1721" s="30" t="str">
        <x:v>Расхождений не обнаружено.</x:v>
      </x:c>
      <x:c r="V1721" s="87" t="str">
        <x:v>VERIFIED</x:v>
      </x:c>
      <x:c r="W1721" s="87" t="str">
        <x:v>Официальный PDF</x:v>
      </x:c>
      <x:c r="X1721" s="87"/>
      <x:c r="Y1721" s="87"/>
      <x:c r="Z1721" s="87"/>
      <x:c r="AA1721" s="87"/>
      <x:c r="AB1721" s="87"/>
      <x:c r="AC1721" s="87"/>
      <x:c r="AD1721" s="87"/>
      <x:c r="AE1721" s="87"/>
      <x:c r="AF1721" s="87"/>
      <x:c r="AG1721" s="87"/>
      <x:c r="AH1721" s="87"/>
      <x:c r="AI1721" s="30"/>
      <x:c r="AJ1721" s="87" t="str">
        <x:v>master</x:v>
      </x:c>
      <x:c r="AK1721" s="87" t="str">
        <x:v>master-v0.81</x:v>
      </x:c>
      <x:c r="AL1721" s="87" t="str">
        <x:v>statgrad_master_base_v0_81_final(2).xlsx</x:v>
      </x:c>
      <x:c r="AM1721" s="87" t="str">
        <x:v>GEO_Mar_V1</x:v>
      </x:c>
      <x:c r="AN1721" s="87" t="n">
        <x:v>11</x:v>
      </x:c>
    </x:row>
    <x:row r="1722">
      <x:c r="A1722" s="87" t="n">
        <x:v>1721</x:v>
      </x:c>
      <x:c r="B1722" s="87" t="str">
        <x:v>MAR-GEO-V1-011</x:v>
      </x:c>
      <x:c r="C1722" s="87" t="str">
        <x:v>СтатГрад</x:v>
      </x:c>
      <x:c r="D1722" s="87" t="str">
        <x:v>Март 2026</x:v>
      </x:c>
      <x:c r="E1722" s="87"/>
      <x:c r="F1722" s="87"/>
      <x:c r="G1722" s="87" t="str">
        <x:v>География</x:v>
      </x:c>
      <x:c r="H1722" s="87" t="n">
        <x:v>11</x:v>
      </x:c>
      <x:c r="I1722" s="87" t="str">
        <x:v>ТР №4</x:v>
      </x:c>
      <x:c r="J1722" s="87" t="str">
        <x:v>ГГ2510401</x:v>
      </x:c>
      <x:c r="K1722" s="87" t="n">
        <x:v>11</x:v>
      </x:c>
      <x:c r="L1722" s="87" t="str">
        <x:v>Топографическая карта</x:v>
      </x:c>
      <x:c r="M1722" s="30" t="str">
        <x:v>Расположить точки 1, 2 и 3 по увеличению абсолютной высоты.</x:v>
      </x:c>
      <x:c r="N1722" s="30" t="str">
        <x:v>123</x:v>
      </x:c>
      <x:c r="O1722" s="30" t="str">
        <x:v>По положению точек относительно горизонталей точка 1 расположена ниже точки 2, а точка 3 — выше обеих.</x:v>
      </x:c>
      <x:c r="P1722" s="30" t="str">
        <x:v>Контурная карта проверена визуально; результат совпал с приложенным ключом.</x:v>
      </x:c>
      <x:c r="Q1722" s="30"/>
      <x:c r="R1722" s="30" t="str">
        <x:v>Официальный комплект архива + независимое решение</x:v>
      </x:c>
      <x:c r="S1722" s="30"/>
      <x:c r="T1722" s="30"/>
      <x:c r="U1722" s="30" t="str">
        <x:v>Расхождений не обнаружено.</x:v>
      </x:c>
      <x:c r="V1722" s="87" t="str">
        <x:v>VERIFIED</x:v>
      </x:c>
      <x:c r="W1722" s="87" t="str">
        <x:v>PDF, задание 11</x:v>
      </x:c>
      <x:c r="X1722" s="87"/>
      <x:c r="Y1722" s="87"/>
      <x:c r="Z1722" s="87"/>
      <x:c r="AA1722" s="87"/>
      <x:c r="AB1722" s="87"/>
      <x:c r="AC1722" s="87"/>
      <x:c r="AD1722" s="87"/>
      <x:c r="AE1722" s="87"/>
      <x:c r="AF1722" s="87"/>
      <x:c r="AG1722" s="87"/>
      <x:c r="AH1722" s="87"/>
      <x:c r="AI1722" s="30"/>
      <x:c r="AJ1722" s="87" t="str">
        <x:v>master</x:v>
      </x:c>
      <x:c r="AK1722" s="87" t="str">
        <x:v>master-v0.81</x:v>
      </x:c>
      <x:c r="AL1722" s="87" t="str">
        <x:v>statgrad_master_base_v0_81_final(2).xlsx</x:v>
      </x:c>
      <x:c r="AM1722" s="87" t="str">
        <x:v>GEO_Mar_V1</x:v>
      </x:c>
      <x:c r="AN1722" s="87" t="n">
        <x:v>12</x:v>
      </x:c>
    </x:row>
    <x:row r="1723">
      <x:c r="A1723" s="87" t="n">
        <x:v>1722</x:v>
      </x:c>
      <x:c r="B1723" s="87" t="str">
        <x:v>MAR-GEO-V1-012</x:v>
      </x:c>
      <x:c r="C1723" s="87" t="str">
        <x:v>СтатГрад</x:v>
      </x:c>
      <x:c r="D1723" s="87" t="str">
        <x:v>Март 2026</x:v>
      </x:c>
      <x:c r="E1723" s="87"/>
      <x:c r="F1723" s="87"/>
      <x:c r="G1723" s="87" t="str">
        <x:v>География</x:v>
      </x:c>
      <x:c r="H1723" s="87" t="n">
        <x:v>11</x:v>
      </x:c>
      <x:c r="I1723" s="87" t="str">
        <x:v>ТР №4</x:v>
      </x:c>
      <x:c r="J1723" s="87" t="str">
        <x:v>ГГ2510401</x:v>
      </x:c>
      <x:c r="K1723" s="87" t="n">
        <x:v>12</x:v>
      </x:c>
      <x:c r="L1723" s="87" t="str">
        <x:v>Урбанизация</x:v>
      </x:c>
      <x:c r="M1723" s="30" t="str">
        <x:v>Выбрать высказывания, содержащие информацию об урбанизации.</x:v>
      </x:c>
      <x:c r="N1723" s="30" t="str">
        <x:v>25</x:v>
      </x:c>
      <x:c r="O1723" s="30" t="str">
        <x:v>Доля городского населения и изменение его численности непосредственно характеризуют урбанизацию.</x:v>
      </x:c>
      <x:c r="P1723" s="30" t="str">
        <x:v>Доля городского населения и изменение его численности непосредственно характеризуют урбанизацию.</x:v>
      </x:c>
      <x:c r="Q1723" s="30"/>
      <x:c r="R1723" s="30" t="str">
        <x:v>Официальный комплект архива + независимое решение</x:v>
      </x:c>
      <x:c r="S1723" s="30"/>
      <x:c r="T1723" s="30"/>
      <x:c r="U1723" s="30" t="str">
        <x:v>Расхождений не обнаружено.</x:v>
      </x:c>
      <x:c r="V1723" s="87" t="str">
        <x:v>VERIFIED</x:v>
      </x:c>
      <x:c r="W1723" s="87" t="str">
        <x:v>Официальный PDF</x:v>
      </x:c>
      <x:c r="X1723" s="87"/>
      <x:c r="Y1723" s="87"/>
      <x:c r="Z1723" s="87"/>
      <x:c r="AA1723" s="87"/>
      <x:c r="AB1723" s="87"/>
      <x:c r="AC1723" s="87"/>
      <x:c r="AD1723" s="87"/>
      <x:c r="AE1723" s="87"/>
      <x:c r="AF1723" s="87"/>
      <x:c r="AG1723" s="87"/>
      <x:c r="AH1723" s="87"/>
      <x:c r="AI1723" s="30"/>
      <x:c r="AJ1723" s="87" t="str">
        <x:v>master</x:v>
      </x:c>
      <x:c r="AK1723" s="87" t="str">
        <x:v>master-v0.81</x:v>
      </x:c>
      <x:c r="AL1723" s="87" t="str">
        <x:v>statgrad_master_base_v0_81_final(2).xlsx</x:v>
      </x:c>
      <x:c r="AM1723" s="87" t="str">
        <x:v>GEO_Mar_V1</x:v>
      </x:c>
      <x:c r="AN1723" s="87" t="n">
        <x:v>13</x:v>
      </x:c>
    </x:row>
    <x:row r="1724">
      <x:c r="A1724" s="87" t="n">
        <x:v>1723</x:v>
      </x:c>
      <x:c r="B1724" s="87" t="str">
        <x:v>MAR-GEO-V1-013</x:v>
      </x:c>
      <x:c r="C1724" s="87" t="str">
        <x:v>СтатГрад</x:v>
      </x:c>
      <x:c r="D1724" s="87" t="str">
        <x:v>Март 2026</x:v>
      </x:c>
      <x:c r="E1724" s="87"/>
      <x:c r="F1724" s="87"/>
      <x:c r="G1724" s="87" t="str">
        <x:v>География</x:v>
      </x:c>
      <x:c r="H1724" s="87" t="n">
        <x:v>11</x:v>
      </x:c>
      <x:c r="I1724" s="87" t="str">
        <x:v>ТР №4</x:v>
      </x:c>
      <x:c r="J1724" s="87" t="str">
        <x:v>ГГ2510401</x:v>
      </x:c>
      <x:c r="K1724" s="87" t="n">
        <x:v>13</x:v>
      </x:c>
      <x:c r="L1724" s="87" t="str">
        <x:v>Геологическая хронология</x:v>
      </x:c>
      <x:c r="M1724" s="30" t="str">
        <x:v>Расположить события кембрия, палеогена и неогена от самого раннего.</x:v>
      </x:c>
      <x:c r="N1724" s="30" t="str">
        <x:v>312</x:v>
      </x:c>
      <x:c r="O1724" s="30" t="str">
        <x:v>Кембрий предшествует палеогену, а палеоген — неогену.</x:v>
      </x:c>
      <x:c r="P1724" s="30" t="str">
        <x:v>Кембрий предшествует палеогену, а палеоген — неогену.</x:v>
      </x:c>
      <x:c r="Q1724" s="30"/>
      <x:c r="R1724" s="30" t="str">
        <x:v>Официальный комплект архива + независимое решение</x:v>
      </x:c>
      <x:c r="S1724" s="30"/>
      <x:c r="T1724" s="30"/>
      <x:c r="U1724" s="30" t="str">
        <x:v>Расхождений не обнаружено.</x:v>
      </x:c>
      <x:c r="V1724" s="87" t="str">
        <x:v>VERIFIED</x:v>
      </x:c>
      <x:c r="W1724" s="87" t="str">
        <x:v>Официальный PDF</x:v>
      </x:c>
      <x:c r="X1724" s="87"/>
      <x:c r="Y1724" s="87"/>
      <x:c r="Z1724" s="87"/>
      <x:c r="AA1724" s="87"/>
      <x:c r="AB1724" s="87"/>
      <x:c r="AC1724" s="87"/>
      <x:c r="AD1724" s="87"/>
      <x:c r="AE1724" s="87"/>
      <x:c r="AF1724" s="87"/>
      <x:c r="AG1724" s="87"/>
      <x:c r="AH1724" s="87"/>
      <x:c r="AI1724" s="30"/>
      <x:c r="AJ1724" s="87" t="str">
        <x:v>master</x:v>
      </x:c>
      <x:c r="AK1724" s="87" t="str">
        <x:v>master-v0.81</x:v>
      </x:c>
      <x:c r="AL1724" s="87" t="str">
        <x:v>statgrad_master_base_v0_81_final(2).xlsx</x:v>
      </x:c>
      <x:c r="AM1724" s="87" t="str">
        <x:v>GEO_Mar_V1</x:v>
      </x:c>
      <x:c r="AN1724" s="87" t="n">
        <x:v>14</x:v>
      </x:c>
    </x:row>
    <x:row r="1725">
      <x:c r="A1725" s="87" t="n">
        <x:v>1724</x:v>
      </x:c>
      <x:c r="B1725" s="87" t="str">
        <x:v>MAR-GEO-V1-014</x:v>
      </x:c>
      <x:c r="C1725" s="87" t="str">
        <x:v>СтатГрад</x:v>
      </x:c>
      <x:c r="D1725" s="87" t="str">
        <x:v>Март 2026</x:v>
      </x:c>
      <x:c r="E1725" s="87"/>
      <x:c r="F1725" s="87"/>
      <x:c r="G1725" s="87" t="str">
        <x:v>География</x:v>
      </x:c>
      <x:c r="H1725" s="87" t="n">
        <x:v>11</x:v>
      </x:c>
      <x:c r="I1725" s="87" t="str">
        <x:v>ТР №4</x:v>
      </x:c>
      <x:c r="J1725" s="87" t="str">
        <x:v>ГГ2510401</x:v>
      </x:c>
      <x:c r="K1725" s="87" t="n">
        <x:v>14</x:v>
      </x:c>
      <x:c r="L1725" s="87" t="str">
        <x:v>Часовые зоны России</x:v>
      </x:c>
      <x:c r="M1725" s="30" t="str">
        <x:v>Определить местное время начала трансляции в Омске, если в Москве было 15:00.</x:v>
      </x:c>
      <x:c r="N1725" s="30" t="str">
        <x:v>18</x:v>
      </x:c>
      <x:c r="O1725" s="30" t="str">
        <x:v>Омск опережает Москву на три часа: 15+3=18.</x:v>
      </x:c>
      <x:c r="P1725" s="30" t="str">
        <x:v>Омск опережает Москву на три часа: 15+3=18.</x:v>
      </x:c>
      <x:c r="Q1725" s="30"/>
      <x:c r="R1725" s="30" t="str">
        <x:v>Официальный комплект архива + независимое решение</x:v>
      </x:c>
      <x:c r="S1725" s="30"/>
      <x:c r="T1725" s="30"/>
      <x:c r="U1725" s="30" t="str">
        <x:v>Расхождений не обнаружено.</x:v>
      </x:c>
      <x:c r="V1725" s="87" t="str">
        <x:v>VERIFIED</x:v>
      </x:c>
      <x:c r="W1725" s="87" t="str">
        <x:v>Официальный PDF</x:v>
      </x:c>
      <x:c r="X1725" s="87"/>
      <x:c r="Y1725" s="87"/>
      <x:c r="Z1725" s="87"/>
      <x:c r="AA1725" s="87"/>
      <x:c r="AB1725" s="87"/>
      <x:c r="AC1725" s="87"/>
      <x:c r="AD1725" s="87"/>
      <x:c r="AE1725" s="87"/>
      <x:c r="AF1725" s="87"/>
      <x:c r="AG1725" s="87"/>
      <x:c r="AH1725" s="87"/>
      <x:c r="AI1725" s="30"/>
      <x:c r="AJ1725" s="87" t="str">
        <x:v>master</x:v>
      </x:c>
      <x:c r="AK1725" s="87" t="str">
        <x:v>master-v0.81</x:v>
      </x:c>
      <x:c r="AL1725" s="87" t="str">
        <x:v>statgrad_master_base_v0_81_final(2).xlsx</x:v>
      </x:c>
      <x:c r="AM1725" s="87" t="str">
        <x:v>GEO_Mar_V1</x:v>
      </x:c>
      <x:c r="AN1725" s="87" t="n">
        <x:v>15</x:v>
      </x:c>
    </x:row>
    <x:row r="1726">
      <x:c r="A1726" s="87" t="n">
        <x:v>1725</x:v>
      </x:c>
      <x:c r="B1726" s="87" t="str">
        <x:v>MAR-GEO-V1-015</x:v>
      </x:c>
      <x:c r="C1726" s="87" t="str">
        <x:v>СтатГрад</x:v>
      </x:c>
      <x:c r="D1726" s="87" t="str">
        <x:v>Март 2026</x:v>
      </x:c>
      <x:c r="E1726" s="87"/>
      <x:c r="F1726" s="87"/>
      <x:c r="G1726" s="87" t="str">
        <x:v>География</x:v>
      </x:c>
      <x:c r="H1726" s="87" t="n">
        <x:v>11</x:v>
      </x:c>
      <x:c r="I1726" s="87" t="str">
        <x:v>ТР №4</x:v>
      </x:c>
      <x:c r="J1726" s="87" t="str">
        <x:v>ГГ2510401</x:v>
      </x:c>
      <x:c r="K1726" s="87" t="n">
        <x:v>15</x:v>
      </x:c>
      <x:c r="L1726" s="87" t="str">
        <x:v>Ресурсообеспеченность</x:v>
      </x:c>
      <x:c r="M1726" s="30" t="str">
        <x:v>Запасы редкоземельных металлов 91,074 млн т, добыча 0,3799 млн т. Найти обеспеченность в годах.</x:v>
      </x:c>
      <x:c r="N1726" s="30" t="str">
        <x:v>240</x:v>
      </x:c>
      <x:c r="O1726" s="30" t="str">
        <x:v>91,074/0,3799≈239,73; после округления получаем 240 лет.</x:v>
      </x:c>
      <x:c r="P1726" s="30" t="str">
        <x:v>91,074/0,3799≈239,73; после округления получаем 240 лет.</x:v>
      </x:c>
      <x:c r="Q1726" s="30"/>
      <x:c r="R1726" s="30" t="str">
        <x:v>Официальный комплект архива + независимое решение</x:v>
      </x:c>
      <x:c r="S1726" s="30"/>
      <x:c r="T1726" s="30"/>
      <x:c r="U1726" s="30" t="str">
        <x:v>Расхождений не обнаружено.</x:v>
      </x:c>
      <x:c r="V1726" s="87" t="str">
        <x:v>VERIFIED</x:v>
      </x:c>
      <x:c r="W1726" s="87" t="str">
        <x:v>Официальный PDF</x:v>
      </x:c>
      <x:c r="X1726" s="87"/>
      <x:c r="Y1726" s="87"/>
      <x:c r="Z1726" s="87"/>
      <x:c r="AA1726" s="87"/>
      <x:c r="AB1726" s="87"/>
      <x:c r="AC1726" s="87"/>
      <x:c r="AD1726" s="87"/>
      <x:c r="AE1726" s="87"/>
      <x:c r="AF1726" s="87"/>
      <x:c r="AG1726" s="87"/>
      <x:c r="AH1726" s="87"/>
      <x:c r="AI1726" s="30"/>
      <x:c r="AJ1726" s="87" t="str">
        <x:v>master</x:v>
      </x:c>
      <x:c r="AK1726" s="87" t="str">
        <x:v>master-v0.81</x:v>
      </x:c>
      <x:c r="AL1726" s="87" t="str">
        <x:v>statgrad_master_base_v0_81_final(2).xlsx</x:v>
      </x:c>
      <x:c r="AM1726" s="87" t="str">
        <x:v>GEO_Mar_V1</x:v>
      </x:c>
      <x:c r="AN1726" s="87" t="n">
        <x:v>16</x:v>
      </x:c>
    </x:row>
    <x:row r="1727">
      <x:c r="A1727" s="87" t="n">
        <x:v>1726</x:v>
      </x:c>
      <x:c r="B1727" s="87" t="str">
        <x:v>MAR-GEO-V1-016</x:v>
      </x:c>
      <x:c r="C1727" s="87" t="str">
        <x:v>СтатГрад</x:v>
      </x:c>
      <x:c r="D1727" s="87" t="str">
        <x:v>Март 2026</x:v>
      </x:c>
      <x:c r="E1727" s="87"/>
      <x:c r="F1727" s="87"/>
      <x:c r="G1727" s="87" t="str">
        <x:v>География</x:v>
      </x:c>
      <x:c r="H1727" s="87" t="n">
        <x:v>11</x:v>
      </x:c>
      <x:c r="I1727" s="87" t="str">
        <x:v>ТР №4</x:v>
      </x:c>
      <x:c r="J1727" s="87" t="str">
        <x:v>ГГ2510401</x:v>
      </x:c>
      <x:c r="K1727" s="87" t="n">
        <x:v>16</x:v>
      </x:c>
      <x:c r="L1727" s="87" t="str">
        <x:v>Миграционный прирост</x:v>
      </x:c>
      <x:c r="M1727" s="30" t="str">
        <x:v>По численности населения Владимирской области на 1 января 2024 и 2025 гг. и естественному приросту найти миграционный прирост за 2024 г.</x:v>
      </x:c>
      <x:c r="N1727" s="30" t="str">
        <x:v>1096</x:v>
      </x:c>
      <x:c r="O1727" s="30" t="str">
        <x:v>Общее изменение: 1 297 936−1 309 942=−12 006. Миграционный прирост: −12 006−(−13 102)=1096 человек.</x:v>
      </x:c>
      <x:c r="P1727" s="30" t="str">
        <x:v>Использованы именно данные на 1 января 2024 и 2025 гг.; результат совпал с ключом.</x:v>
      </x:c>
      <x:c r="Q1727" s="30"/>
      <x:c r="R1727" s="30" t="str">
        <x:v>Официальный комплект архива + независимое решение</x:v>
      </x:c>
      <x:c r="S1727" s="30"/>
      <x:c r="T1727" s="30"/>
      <x:c r="U1727" s="30" t="str">
        <x:v>Расхождений не обнаружено.</x:v>
      </x:c>
      <x:c r="V1727" s="87" t="str">
        <x:v>VERIFIED</x:v>
      </x:c>
      <x:c r="W1727" s="87" t="str">
        <x:v>PDF, задание 16</x:v>
      </x:c>
      <x:c r="X1727" s="87"/>
      <x:c r="Y1727" s="87"/>
      <x:c r="Z1727" s="87"/>
      <x:c r="AA1727" s="87"/>
      <x:c r="AB1727" s="87"/>
      <x:c r="AC1727" s="87"/>
      <x:c r="AD1727" s="87"/>
      <x:c r="AE1727" s="87"/>
      <x:c r="AF1727" s="87"/>
      <x:c r="AG1727" s="87"/>
      <x:c r="AH1727" s="87"/>
      <x:c r="AI1727" s="30"/>
      <x:c r="AJ1727" s="87" t="str">
        <x:v>master</x:v>
      </x:c>
      <x:c r="AK1727" s="87" t="str">
        <x:v>master-v0.81</x:v>
      </x:c>
      <x:c r="AL1727" s="87" t="str">
        <x:v>statgrad_master_base_v0_81_final(2).xlsx</x:v>
      </x:c>
      <x:c r="AM1727" s="87" t="str">
        <x:v>GEO_Mar_V1</x:v>
      </x:c>
      <x:c r="AN1727" s="87" t="n">
        <x:v>17</x:v>
      </x:c>
    </x:row>
    <x:row r="1728">
      <x:c r="A1728" s="87" t="n">
        <x:v>1727</x:v>
      </x:c>
      <x:c r="B1728" s="87" t="str">
        <x:v>MAR-GEO-V1-017</x:v>
      </x:c>
      <x:c r="C1728" s="87" t="str">
        <x:v>СтатГрад</x:v>
      </x:c>
      <x:c r="D1728" s="87" t="str">
        <x:v>Март 2026</x:v>
      </x:c>
      <x:c r="E1728" s="87"/>
      <x:c r="F1728" s="87"/>
      <x:c r="G1728" s="87" t="str">
        <x:v>География</x:v>
      </x:c>
      <x:c r="H1728" s="87" t="n">
        <x:v>11</x:v>
      </x:c>
      <x:c r="I1728" s="87" t="str">
        <x:v>ТР №4</x:v>
      </x:c>
      <x:c r="J1728" s="87" t="str">
        <x:v>ГГ2510401</x:v>
      </x:c>
      <x:c r="K1728" s="87" t="n">
        <x:v>17</x:v>
      </x:c>
      <x:c r="L1728" s="87" t="str">
        <x:v>Определение страны</x:v>
      </x:c>
      <x:c r="M1728" s="30" t="str">
        <x:v>Страна на полуострове, омываемом двумя морями Тихого океана, граничит по суше с одним государством, экспортирует электронику, автомобили и суда.</x:v>
      </x:c>
      <x:c r="N1728" s="30" t="str">
        <x:v>Республика Корея</x:v>
      </x:c>
      <x:c r="O1728" s="30" t="str">
        <x:v>Описание соответствует Южной Корее: Корейский полуостров, граница с КНДР, высокая урбанизация и развитое машиностроение.</x:v>
      </x:c>
      <x:c r="P1728" s="30" t="str">
        <x:v>Описание соответствует Южной Корее: Корейский полуостров, граница с КНДР, высокая урбанизация и развитое машиностроение.</x:v>
      </x:c>
      <x:c r="Q1728" s="30"/>
      <x:c r="R1728" s="30" t="str">
        <x:v>Официальный комплект архива + независимое решение</x:v>
      </x:c>
      <x:c r="S1728" s="30"/>
      <x:c r="T1728" s="30"/>
      <x:c r="U1728" s="30" t="str">
        <x:v>Расхождений не обнаружено.</x:v>
      </x:c>
      <x:c r="V1728" s="87" t="str">
        <x:v>VERIFIED</x:v>
      </x:c>
      <x:c r="W1728" s="87" t="str">
        <x:v>Официальный PDF</x:v>
      </x:c>
      <x:c r="X1728" s="87"/>
      <x:c r="Y1728" s="87"/>
      <x:c r="Z1728" s="87"/>
      <x:c r="AA1728" s="87"/>
      <x:c r="AB1728" s="87"/>
      <x:c r="AC1728" s="87"/>
      <x:c r="AD1728" s="87"/>
      <x:c r="AE1728" s="87"/>
      <x:c r="AF1728" s="87"/>
      <x:c r="AG1728" s="87"/>
      <x:c r="AH1728" s="87"/>
      <x:c r="AI1728" s="30"/>
      <x:c r="AJ1728" s="87" t="str">
        <x:v>master</x:v>
      </x:c>
      <x:c r="AK1728" s="87" t="str">
        <x:v>master-v0.81</x:v>
      </x:c>
      <x:c r="AL1728" s="87" t="str">
        <x:v>statgrad_master_base_v0_81_final(2).xlsx</x:v>
      </x:c>
      <x:c r="AM1728" s="87" t="str">
        <x:v>GEO_Mar_V1</x:v>
      </x:c>
      <x:c r="AN1728" s="87" t="n">
        <x:v>18</x:v>
      </x:c>
    </x:row>
    <x:row r="1729">
      <x:c r="A1729" s="87" t="n">
        <x:v>1728</x:v>
      </x:c>
      <x:c r="B1729" s="87" t="str">
        <x:v>MAR-GEO-V1-018</x:v>
      </x:c>
      <x:c r="C1729" s="87" t="str">
        <x:v>СтатГрад</x:v>
      </x:c>
      <x:c r="D1729" s="87" t="str">
        <x:v>Март 2026</x:v>
      </x:c>
      <x:c r="E1729" s="87"/>
      <x:c r="F1729" s="87"/>
      <x:c r="G1729" s="87" t="str">
        <x:v>География</x:v>
      </x:c>
      <x:c r="H1729" s="87" t="n">
        <x:v>11</x:v>
      </x:c>
      <x:c r="I1729" s="87" t="str">
        <x:v>ТР №4</x:v>
      </x:c>
      <x:c r="J1729" s="87" t="str">
        <x:v>ГГ2510401</x:v>
      </x:c>
      <x:c r="K1729" s="87" t="n">
        <x:v>18</x:v>
      </x:c>
      <x:c r="L1729" s="87" t="str">
        <x:v>Определение региона России</x:v>
      </x:c>
      <x:c r="M1729" s="30" t="str">
        <x:v>Республика на юге европейской части России, с государственной границей, горным рельефом и территорией ниже уровня моря.</x:v>
      </x:c>
      <x:c r="N1729" s="30" t="str">
        <x:v>Республика Дагестан</x:v>
      </x:c>
      <x:c r="O1729" s="30" t="str">
        <x:v>Дагестан расположен на Кавказе, имеет границы с Азербайджаном и Грузией и Прикаспийскую низменность ниже уровня моря.</x:v>
      </x:c>
      <x:c r="P1729" s="30" t="str">
        <x:v>Дагестан расположен на Кавказе, имеет границы с Азербайджаном и Грузией и Прикаспийскую низменность ниже уровня моря.</x:v>
      </x:c>
      <x:c r="Q1729" s="30"/>
      <x:c r="R1729" s="30" t="str">
        <x:v>Официальный комплект архива + независимое решение</x:v>
      </x:c>
      <x:c r="S1729" s="30"/>
      <x:c r="T1729" s="30"/>
      <x:c r="U1729" s="30" t="str">
        <x:v>Расхождений не обнаружено.</x:v>
      </x:c>
      <x:c r="V1729" s="87" t="str">
        <x:v>VERIFIED</x:v>
      </x:c>
      <x:c r="W1729" s="87" t="str">
        <x:v>Официальный PDF</x:v>
      </x:c>
      <x:c r="X1729" s="87"/>
      <x:c r="Y1729" s="87"/>
      <x:c r="Z1729" s="87"/>
      <x:c r="AA1729" s="87"/>
      <x:c r="AB1729" s="87"/>
      <x:c r="AC1729" s="87"/>
      <x:c r="AD1729" s="87"/>
      <x:c r="AE1729" s="87"/>
      <x:c r="AF1729" s="87"/>
      <x:c r="AG1729" s="87"/>
      <x:c r="AH1729" s="87"/>
      <x:c r="AI1729" s="30"/>
      <x:c r="AJ1729" s="87" t="str">
        <x:v>master</x:v>
      </x:c>
      <x:c r="AK1729" s="87" t="str">
        <x:v>master-v0.81</x:v>
      </x:c>
      <x:c r="AL1729" s="87" t="str">
        <x:v>statgrad_master_base_v0_81_final(2).xlsx</x:v>
      </x:c>
      <x:c r="AM1729" s="87" t="str">
        <x:v>GEO_Mar_V1</x:v>
      </x:c>
      <x:c r="AN1729" s="87" t="n">
        <x:v>19</x:v>
      </x:c>
    </x:row>
    <x:row r="1730">
      <x:c r="A1730" s="87" t="n">
        <x:v>1729</x:v>
      </x:c>
      <x:c r="B1730" s="87" t="str">
        <x:v>MAR-GEO-V1-019</x:v>
      </x:c>
      <x:c r="C1730" s="87" t="str">
        <x:v>СтатГрад</x:v>
      </x:c>
      <x:c r="D1730" s="87" t="str">
        <x:v>Март 2026</x:v>
      </x:c>
      <x:c r="E1730" s="87"/>
      <x:c r="F1730" s="87"/>
      <x:c r="G1730" s="87" t="str">
        <x:v>География</x:v>
      </x:c>
      <x:c r="H1730" s="87" t="n">
        <x:v>11</x:v>
      </x:c>
      <x:c r="I1730" s="87" t="str">
        <x:v>ТР №4</x:v>
      </x:c>
      <x:c r="J1730" s="87" t="str">
        <x:v>ГГ2510401</x:v>
      </x:c>
      <x:c r="K1730" s="87" t="n">
        <x:v>19</x:v>
      </x:c>
      <x:c r="L1730" s="87" t="str">
        <x:v>Доля городского населения</x:v>
      </x:c>
      <x:c r="M1730" s="30" t="str">
        <x:v>Расположить Суринам, Чили и Аргентину по возрастанию доли городского населения.</x:v>
      </x:c>
      <x:c r="N1730" s="30" t="str">
        <x:v>231</x:v>
      </x:c>
      <x:c r="O1730" s="30" t="str">
        <x:v>Из справочной таблицы: Суринам имеет наименьшую долю, затем Чили, затем Аргентина.</x:v>
      </x:c>
      <x:c r="P1730" s="30" t="str">
        <x:v>Из справочной таблицы: Суринам имеет наименьшую долю, затем Чили, затем Аргентина.</x:v>
      </x:c>
      <x:c r="Q1730" s="30"/>
      <x:c r="R1730" s="30" t="str">
        <x:v>Официальный комплект архива + независимое решение</x:v>
      </x:c>
      <x:c r="S1730" s="30"/>
      <x:c r="T1730" s="30"/>
      <x:c r="U1730" s="30" t="str">
        <x:v>Расхождений не обнаружено.</x:v>
      </x:c>
      <x:c r="V1730" s="87" t="str">
        <x:v>VERIFIED</x:v>
      </x:c>
      <x:c r="W1730" s="87" t="str">
        <x:v>Официальный PDF</x:v>
      </x:c>
      <x:c r="X1730" s="87"/>
      <x:c r="Y1730" s="87"/>
      <x:c r="Z1730" s="87"/>
      <x:c r="AA1730" s="87"/>
      <x:c r="AB1730" s="87"/>
      <x:c r="AC1730" s="87"/>
      <x:c r="AD1730" s="87"/>
      <x:c r="AE1730" s="87"/>
      <x:c r="AF1730" s="87"/>
      <x:c r="AG1730" s="87"/>
      <x:c r="AH1730" s="87"/>
      <x:c r="AI1730" s="30"/>
      <x:c r="AJ1730" s="87" t="str">
        <x:v>master</x:v>
      </x:c>
      <x:c r="AK1730" s="87" t="str">
        <x:v>master-v0.81</x:v>
      </x:c>
      <x:c r="AL1730" s="87" t="str">
        <x:v>statgrad_master_base_v0_81_final(2).xlsx</x:v>
      </x:c>
      <x:c r="AM1730" s="87" t="str">
        <x:v>GEO_Mar_V1</x:v>
      </x:c>
      <x:c r="AN1730" s="87" t="n">
        <x:v>20</x:v>
      </x:c>
    </x:row>
    <x:row r="1731">
      <x:c r="A1731" s="87" t="n">
        <x:v>1730</x:v>
      </x:c>
      <x:c r="B1731" s="87" t="str">
        <x:v>MAR-GEO-V1-020</x:v>
      </x:c>
      <x:c r="C1731" s="87" t="str">
        <x:v>СтатГрад</x:v>
      </x:c>
      <x:c r="D1731" s="87" t="str">
        <x:v>Март 2026</x:v>
      </x:c>
      <x:c r="E1731" s="87"/>
      <x:c r="F1731" s="87"/>
      <x:c r="G1731" s="87" t="str">
        <x:v>География</x:v>
      </x:c>
      <x:c r="H1731" s="87" t="n">
        <x:v>11</x:v>
      </x:c>
      <x:c r="I1731" s="87" t="str">
        <x:v>ТР №4</x:v>
      </x:c>
      <x:c r="J1731" s="87" t="str">
        <x:v>ГГ2510401</x:v>
      </x:c>
      <x:c r="K1731" s="87" t="n">
        <x:v>20</x:v>
      </x:c>
      <x:c r="L1731" s="87" t="str">
        <x:v>Картографическая шкала</x:v>
      </x:c>
      <x:c r="M1731" s="30" t="str">
        <x:v>Соотнести Анголу, Кению и Марокко с интервалами доли городского населения.</x:v>
      </x:c>
      <x:c r="N1731" s="30" t="str">
        <x:v>213</x:v>
      </x:c>
      <x:c r="O1731" s="30" t="str">
        <x:v>Ангола — 45% (интервал 2), Кения — 27% (1), Марокко — 63% (3).</x:v>
      </x:c>
      <x:c r="P1731" s="30" t="str">
        <x:v>Значения 45%, 27% и 63% взяты из справочной таблицы.</x:v>
      </x:c>
      <x:c r="Q1731" s="30"/>
      <x:c r="R1731" s="30" t="str">
        <x:v>Официальный комплект архива + независимое решение</x:v>
      </x:c>
      <x:c r="S1731" s="30"/>
      <x:c r="T1731" s="30"/>
      <x:c r="U1731" s="30" t="str">
        <x:v>Расхождений не обнаружено.</x:v>
      </x:c>
      <x:c r="V1731" s="87" t="str">
        <x:v>VERIFIED</x:v>
      </x:c>
      <x:c r="W1731" s="87" t="str">
        <x:v>PDF, задание 20</x:v>
      </x:c>
      <x:c r="X1731" s="87"/>
      <x:c r="Y1731" s="87"/>
      <x:c r="Z1731" s="87"/>
      <x:c r="AA1731" s="87"/>
      <x:c r="AB1731" s="87"/>
      <x:c r="AC1731" s="87"/>
      <x:c r="AD1731" s="87"/>
      <x:c r="AE1731" s="87"/>
      <x:c r="AF1731" s="87"/>
      <x:c r="AG1731" s="87"/>
      <x:c r="AH1731" s="87"/>
      <x:c r="AI1731" s="30"/>
      <x:c r="AJ1731" s="87" t="str">
        <x:v>master</x:v>
      </x:c>
      <x:c r="AK1731" s="87" t="str">
        <x:v>master-v0.81</x:v>
      </x:c>
      <x:c r="AL1731" s="87" t="str">
        <x:v>statgrad_master_base_v0_81_final(2).xlsx</x:v>
      </x:c>
      <x:c r="AM1731" s="87" t="str">
        <x:v>GEO_Mar_V1</x:v>
      </x:c>
      <x:c r="AN1731" s="87" t="n">
        <x:v>21</x:v>
      </x:c>
    </x:row>
    <x:row r="1732">
      <x:c r="A1732" s="87" t="n">
        <x:v>1731</x:v>
      </x:c>
      <x:c r="B1732" s="87" t="str">
        <x:v>MAR-GEO-V1-021</x:v>
      </x:c>
      <x:c r="C1732" s="87" t="str">
        <x:v>СтатГрад</x:v>
      </x:c>
      <x:c r="D1732" s="87" t="str">
        <x:v>Март 2026</x:v>
      </x:c>
      <x:c r="E1732" s="87"/>
      <x:c r="F1732" s="87"/>
      <x:c r="G1732" s="87" t="str">
        <x:v>География</x:v>
      </x:c>
      <x:c r="H1732" s="87" t="n">
        <x:v>11</x:v>
      </x:c>
      <x:c r="I1732" s="87" t="str">
        <x:v>ТР №4</x:v>
      </x:c>
      <x:c r="J1732" s="87" t="str">
        <x:v>ГГ2510401</x:v>
      </x:c>
      <x:c r="K1732" s="87" t="n">
        <x:v>21</x:v>
      </x:c>
      <x:c r="L1732" s="87" t="str">
        <x:v>Мировой океан</x:v>
      </x:c>
      <x:c r="M1732" s="30" t="str">
        <x:v>Назвать океан, в акватории которого у берегов Португалии работает плавучая ВЭС.</x:v>
      </x:c>
      <x:c r="N1732" s="30" t="str">
        <x:v>Атлантический океан</x:v>
      </x:c>
      <x:c r="O1732" s="30" t="str">
        <x:v>Португалия расположена на побережье Атлантического океана.</x:v>
      </x:c>
      <x:c r="P1732" s="30" t="str">
        <x:v>Португалия расположена на побережье Атлантического океана.</x:v>
      </x:c>
      <x:c r="Q1732" s="30"/>
      <x:c r="R1732" s="30" t="str">
        <x:v>Официальный комплект архива + независимое решение</x:v>
      </x:c>
      <x:c r="S1732" s="30"/>
      <x:c r="T1732" s="30"/>
      <x:c r="U1732" s="30" t="str">
        <x:v>Расхождений не обнаружено.</x:v>
      </x:c>
      <x:c r="V1732" s="87" t="str">
        <x:v>VERIFIED</x:v>
      </x:c>
      <x:c r="W1732" s="87" t="str">
        <x:v>Официальный PDF</x:v>
      </x:c>
      <x:c r="X1732" s="87"/>
      <x:c r="Y1732" s="87"/>
      <x:c r="Z1732" s="87"/>
      <x:c r="AA1732" s="87"/>
      <x:c r="AB1732" s="87"/>
      <x:c r="AC1732" s="87"/>
      <x:c r="AD1732" s="87"/>
      <x:c r="AE1732" s="87"/>
      <x:c r="AF1732" s="87"/>
      <x:c r="AG1732" s="87"/>
      <x:c r="AH1732" s="87"/>
      <x:c r="AI1732" s="30"/>
      <x:c r="AJ1732" s="87" t="str">
        <x:v>master</x:v>
      </x:c>
      <x:c r="AK1732" s="87" t="str">
        <x:v>master-v0.81</x:v>
      </x:c>
      <x:c r="AL1732" s="87" t="str">
        <x:v>statgrad_master_base_v0_81_final(2).xlsx</x:v>
      </x:c>
      <x:c r="AM1732" s="87" t="str">
        <x:v>GEO_Mar_V1</x:v>
      </x:c>
      <x:c r="AN1732" s="87" t="n">
        <x:v>22</x:v>
      </x:c>
    </x:row>
    <x:row r="1733">
      <x:c r="A1733" s="87" t="n">
        <x:v>1732</x:v>
      </x:c>
      <x:c r="B1733" s="87" t="str">
        <x:v>MAR-GEO-V1-022</x:v>
      </x:c>
      <x:c r="C1733" s="87" t="str">
        <x:v>СтатГрад</x:v>
      </x:c>
      <x:c r="D1733" s="87" t="str">
        <x:v>Март 2026</x:v>
      </x:c>
      <x:c r="E1733" s="87"/>
      <x:c r="F1733" s="87"/>
      <x:c r="G1733" s="87" t="str">
        <x:v>География</x:v>
      </x:c>
      <x:c r="H1733" s="87" t="n">
        <x:v>11</x:v>
      </x:c>
      <x:c r="I1733" s="87" t="str">
        <x:v>ТР №4</x:v>
      </x:c>
      <x:c r="J1733" s="87" t="str">
        <x:v>ГГ2510401</x:v>
      </x:c>
      <x:c r="K1733" s="87" t="n">
        <x:v>22</x:v>
      </x:c>
      <x:c r="L1733" s="87" t="str">
        <x:v>Возобновляемая энергетика</x:v>
      </x:c>
      <x:c r="M1733" s="30" t="str">
        <x:v>Назвать другой возобновляемый источник энергии для электростанций в акватории Мирового океана.</x:v>
      </x:c>
      <x:c r="N1733" s="30" t="str">
        <x:v>Энергия морских волн</x:v>
      </x:c>
      <x:c r="O1733" s="30" t="str">
        <x:v>Энергия волн является возобновляемой и может преобразовываться морскими электростанциями.</x:v>
      </x:c>
      <x:c r="P1733" s="30" t="str">
        <x:v>Официальный критерий допускает также энергию приливов.</x:v>
      </x:c>
      <x:c r="Q1733" s="30"/>
      <x:c r="R1733" s="30" t="str">
        <x:v>Официальный комплект архива + независимое решение</x:v>
      </x:c>
      <x:c r="S1733" s="30"/>
      <x:c r="T1733" s="30"/>
      <x:c r="U1733" s="30" t="str">
        <x:v>Расхождений не обнаружено.</x:v>
      </x:c>
      <x:c r="V1733" s="87" t="str">
        <x:v>VERIFIED</x:v>
      </x:c>
      <x:c r="W1733" s="87" t="str">
        <x:v>Официальный PDF</x:v>
      </x:c>
      <x:c r="X1733" s="87"/>
      <x:c r="Y1733" s="87"/>
      <x:c r="Z1733" s="87"/>
      <x:c r="AA1733" s="87"/>
      <x:c r="AB1733" s="87"/>
      <x:c r="AC1733" s="87"/>
      <x:c r="AD1733" s="87"/>
      <x:c r="AE1733" s="87"/>
      <x:c r="AF1733" s="87"/>
      <x:c r="AG1733" s="87"/>
      <x:c r="AH1733" s="87"/>
      <x:c r="AI1733" s="30"/>
      <x:c r="AJ1733" s="87" t="str">
        <x:v>master</x:v>
      </x:c>
      <x:c r="AK1733" s="87" t="str">
        <x:v>master-v0.81</x:v>
      </x:c>
      <x:c r="AL1733" s="87" t="str">
        <x:v>statgrad_master_base_v0_81_final(2).xlsx</x:v>
      </x:c>
      <x:c r="AM1733" s="87" t="str">
        <x:v>GEO_Mar_V1</x:v>
      </x:c>
      <x:c r="AN1733" s="87" t="n">
        <x:v>23</x:v>
      </x:c>
    </x:row>
    <x:row r="1734">
      <x:c r="A1734" s="87" t="n">
        <x:v>1733</x:v>
      </x:c>
      <x:c r="B1734" s="87" t="str">
        <x:v>MAR-GEO-V1-023</x:v>
      </x:c>
      <x:c r="C1734" s="87" t="str">
        <x:v>СтатГрад</x:v>
      </x:c>
      <x:c r="D1734" s="87" t="str">
        <x:v>Март 2026</x:v>
      </x:c>
      <x:c r="E1734" s="87"/>
      <x:c r="F1734" s="87"/>
      <x:c r="G1734" s="87" t="str">
        <x:v>География</x:v>
      </x:c>
      <x:c r="H1734" s="87" t="n">
        <x:v>11</x:v>
      </x:c>
      <x:c r="I1734" s="87" t="str">
        <x:v>ТР №4</x:v>
      </x:c>
      <x:c r="J1734" s="87" t="str">
        <x:v>ГГ2510401</x:v>
      </x:c>
      <x:c r="K1734" s="87" t="n">
        <x:v>23</x:v>
      </x:c>
      <x:c r="L1734" s="87" t="str">
        <x:v>Размещение ветровых электростанций</x:v>
      </x:c>
      <x:c r="M1734" s="30" t="str">
        <x:v>Объяснить, почему ветровые электростанции часто выгоднее размещать в море.</x:v>
      </x:c>
      <x:c r="N1734" s="30" t="str">
        <x:v>В море отсутствуют препятствия рельефа и застройки, поэтому скорость и устойчивость ветра обычно выше; при большей скорости ветра турбины производят больше электроэнергии.</x:v>
      </x:c>
      <x:c r="O1734" s="30" t="str">
        <x:v>Ответ содержит причинную цепочку «нет препятствий → выше скорость ветра → больше выработка».</x:v>
      </x:c>
      <x:c r="P1734" s="30" t="str">
        <x:v>Ответ содержит причинную цепочку «нет препятствий → выше скорость ветра → больше выработка».</x:v>
      </x:c>
      <x:c r="Q1734" s="30"/>
      <x:c r="R1734" s="30" t="str">
        <x:v>Официальный комплект архива + независимое решение</x:v>
      </x:c>
      <x:c r="S1734" s="30"/>
      <x:c r="T1734" s="30"/>
      <x:c r="U1734" s="30" t="str">
        <x:v>Расхождений не обнаружено.</x:v>
      </x:c>
      <x:c r="V1734" s="87" t="str">
        <x:v>VERIFIED</x:v>
      </x:c>
      <x:c r="W1734" s="87" t="str">
        <x:v>Официальный PDF</x:v>
      </x:c>
      <x:c r="X1734" s="87"/>
      <x:c r="Y1734" s="87"/>
      <x:c r="Z1734" s="87"/>
      <x:c r="AA1734" s="87"/>
      <x:c r="AB1734" s="87"/>
      <x:c r="AC1734" s="87"/>
      <x:c r="AD1734" s="87"/>
      <x:c r="AE1734" s="87"/>
      <x:c r="AF1734" s="87"/>
      <x:c r="AG1734" s="87"/>
      <x:c r="AH1734" s="87"/>
      <x:c r="AI1734" s="30"/>
      <x:c r="AJ1734" s="87" t="str">
        <x:v>master</x:v>
      </x:c>
      <x:c r="AK1734" s="87" t="str">
        <x:v>master-v0.81</x:v>
      </x:c>
      <x:c r="AL1734" s="87" t="str">
        <x:v>statgrad_master_base_v0_81_final(2).xlsx</x:v>
      </x:c>
      <x:c r="AM1734" s="87" t="str">
        <x:v>GEO_Mar_V1</x:v>
      </x:c>
      <x:c r="AN1734" s="87" t="n">
        <x:v>24</x:v>
      </x:c>
    </x:row>
    <x:row r="1735">
      <x:c r="A1735" s="87" t="n">
        <x:v>1734</x:v>
      </x:c>
      <x:c r="B1735" s="87" t="str">
        <x:v>MAR-GEO-V1-024</x:v>
      </x:c>
      <x:c r="C1735" s="87" t="str">
        <x:v>СтатГрад</x:v>
      </x:c>
      <x:c r="D1735" s="87" t="str">
        <x:v>Март 2026</x:v>
      </x:c>
      <x:c r="E1735" s="87"/>
      <x:c r="F1735" s="87"/>
      <x:c r="G1735" s="87" t="str">
        <x:v>География</x:v>
      </x:c>
      <x:c r="H1735" s="87" t="n">
        <x:v>11</x:v>
      </x:c>
      <x:c r="I1735" s="87" t="str">
        <x:v>ТР №4</x:v>
      </x:c>
      <x:c r="J1735" s="87" t="str">
        <x:v>ГГ2510401</x:v>
      </x:c>
      <x:c r="K1735" s="87" t="n">
        <x:v>24</x:v>
      </x:c>
      <x:c r="L1735" s="87" t="str">
        <x:v>Сравнение уровня развития</x:v>
      </x:c>
      <x:c r="M1735" s="30" t="str">
        <x:v>Сравнить Чили и Ливию по ожидаемой продолжительности жизни и ВВП на душу населения; определить более развитую страну.</x:v>
      </x:c>
      <x:c r="N1735" s="30" t="str">
        <x:v>Более высокий уровень развития у Чили. Продолжительность жизни: Чили — 78 лет у мужчин и 80 у женщин, Ливия — 69 и 75 лет. ВВП на душу: Чили 453,8/18,0≈25,2 тыс. долл., Ливия 31,3/6,7≈4,7 тыс. долл.</x:v>
      </x:c>
      <x:c r="O1735" s="30" t="str">
        <x:v>Оба показателя рассчитаны по справочным материалам и дают одно направление сравнения.</x:v>
      </x:c>
      <x:c r="P1735" s="30" t="str">
        <x:v>Оба показателя рассчитаны по справочным материалам и дают одно направление сравнения.</x:v>
      </x:c>
      <x:c r="Q1735" s="30"/>
      <x:c r="R1735" s="30" t="str">
        <x:v>Официальный комплект архива + независимое решение</x:v>
      </x:c>
      <x:c r="S1735" s="30"/>
      <x:c r="T1735" s="30"/>
      <x:c r="U1735" s="30" t="str">
        <x:v>Расхождений не обнаружено.</x:v>
      </x:c>
      <x:c r="V1735" s="87" t="str">
        <x:v>VERIFIED</x:v>
      </x:c>
      <x:c r="W1735" s="87" t="str">
        <x:v>Официальный PDF</x:v>
      </x:c>
      <x:c r="X1735" s="87"/>
      <x:c r="Y1735" s="87"/>
      <x:c r="Z1735" s="87"/>
      <x:c r="AA1735" s="87"/>
      <x:c r="AB1735" s="87"/>
      <x:c r="AC1735" s="87"/>
      <x:c r="AD1735" s="87"/>
      <x:c r="AE1735" s="87"/>
      <x:c r="AF1735" s="87"/>
      <x:c r="AG1735" s="87"/>
      <x:c r="AH1735" s="87"/>
      <x:c r="AI1735" s="30"/>
      <x:c r="AJ1735" s="87" t="str">
        <x:v>master</x:v>
      </x:c>
      <x:c r="AK1735" s="87" t="str">
        <x:v>master-v0.81</x:v>
      </x:c>
      <x:c r="AL1735" s="87" t="str">
        <x:v>statgrad_master_base_v0_81_final(2).xlsx</x:v>
      </x:c>
      <x:c r="AM1735" s="87" t="str">
        <x:v>GEO_Mar_V1</x:v>
      </x:c>
      <x:c r="AN1735" s="87" t="n">
        <x:v>25</x:v>
      </x:c>
    </x:row>
    <x:row r="1736">
      <x:c r="A1736" s="87" t="n">
        <x:v>1735</x:v>
      </x:c>
      <x:c r="B1736" s="87" t="str">
        <x:v>MAR-GEO-V1-025</x:v>
      </x:c>
      <x:c r="C1736" s="87" t="str">
        <x:v>СтатГрад</x:v>
      </x:c>
      <x:c r="D1736" s="87" t="str">
        <x:v>Март 2026</x:v>
      </x:c>
      <x:c r="E1736" s="87"/>
      <x:c r="F1736" s="87"/>
      <x:c r="G1736" s="87" t="str">
        <x:v>География</x:v>
      </x:c>
      <x:c r="H1736" s="87" t="n">
        <x:v>11</x:v>
      </x:c>
      <x:c r="I1736" s="87" t="str">
        <x:v>ТР №4</x:v>
      </x:c>
      <x:c r="J1736" s="87" t="str">
        <x:v>ГГ2510401</x:v>
      </x:c>
      <x:c r="K1736" s="87" t="n">
        <x:v>25</x:v>
      </x:c>
      <x:c r="L1736" s="87" t="str">
        <x:v>Роль сельского хозяйства</x:v>
      </x:c>
      <x:c r="M1736" s="30" t="str">
        <x:v>Сравнить роль сельского хозяйства в экономике Парагвая и Чили по доле в ВВП и сельскохозяйственному экспорту.</x:v>
      </x:c>
      <x:c r="N1736" s="30" t="str">
        <x:v>Роль сельского хозяйства выше в Парагвае. Доля в ВВП: 17,9% против 4,2% в Чили. Доля сельхозтоваров в экспорте: 5,5/8,6≈63,9% против 23,0/68,3≈33,7%.</x:v>
      </x:c>
      <x:c r="O1736" s="30" t="str">
        <x:v>Проверены оба обязательных показателя и вычислены доли экспорта.</x:v>
      </x:c>
      <x:c r="P1736" s="30" t="str">
        <x:v>Проверены оба обязательных показателя и вычислены доли экспорта.</x:v>
      </x:c>
      <x:c r="Q1736" s="30"/>
      <x:c r="R1736" s="30" t="str">
        <x:v>Официальный комплект архива + независимое решение</x:v>
      </x:c>
      <x:c r="S1736" s="30"/>
      <x:c r="T1736" s="30"/>
      <x:c r="U1736" s="30" t="str">
        <x:v>Расхождений не обнаружено.</x:v>
      </x:c>
      <x:c r="V1736" s="87" t="str">
        <x:v>VERIFIED</x:v>
      </x:c>
      <x:c r="W1736" s="87" t="str">
        <x:v>Официальный PDF</x:v>
      </x:c>
      <x:c r="X1736" s="87"/>
      <x:c r="Y1736" s="87"/>
      <x:c r="Z1736" s="87"/>
      <x:c r="AA1736" s="87"/>
      <x:c r="AB1736" s="87"/>
      <x:c r="AC1736" s="87"/>
      <x:c r="AD1736" s="87"/>
      <x:c r="AE1736" s="87"/>
      <x:c r="AF1736" s="87"/>
      <x:c r="AG1736" s="87"/>
      <x:c r="AH1736" s="87"/>
      <x:c r="AI1736" s="30"/>
      <x:c r="AJ1736" s="87" t="str">
        <x:v>master</x:v>
      </x:c>
      <x:c r="AK1736" s="87" t="str">
        <x:v>master-v0.81</x:v>
      </x:c>
      <x:c r="AL1736" s="87" t="str">
        <x:v>statgrad_master_base_v0_81_final(2).xlsx</x:v>
      </x:c>
      <x:c r="AM1736" s="87" t="str">
        <x:v>GEO_Mar_V1</x:v>
      </x:c>
      <x:c r="AN1736" s="87" t="n">
        <x:v>26</x:v>
      </x:c>
    </x:row>
    <x:row r="1737">
      <x:c r="A1737" s="87" t="n">
        <x:v>1736</x:v>
      </x:c>
      <x:c r="B1737" s="87" t="str">
        <x:v>MAR-GEO-V1-026</x:v>
      </x:c>
      <x:c r="C1737" s="87" t="str">
        <x:v>СтатГрад</x:v>
      </x:c>
      <x:c r="D1737" s="87" t="str">
        <x:v>Март 2026</x:v>
      </x:c>
      <x:c r="E1737" s="87"/>
      <x:c r="F1737" s="87"/>
      <x:c r="G1737" s="87" t="str">
        <x:v>География</x:v>
      </x:c>
      <x:c r="H1737" s="87" t="n">
        <x:v>11</x:v>
      </x:c>
      <x:c r="I1737" s="87" t="str">
        <x:v>ТР №4</x:v>
      </x:c>
      <x:c r="J1737" s="87" t="str">
        <x:v>ГГ2510401</x:v>
      </x:c>
      <x:c r="K1737" s="87" t="n">
        <x:v>26</x:v>
      </x:c>
      <x:c r="L1737" s="87" t="str">
        <x:v>Алюминиевая промышленность</x:v>
      </x:c>
      <x:c r="M1737" s="30" t="str">
        <x:v>Объяснить два фактора развития алюминиевой промышленности Австралии.</x:v>
      </x:c>
      <x:c r="N1737" s="30" t="str">
        <x:v>1) Австралия обладает крупными запасами бокситов — сырья для производства алюминия. 2) Страна располагает мощной энергетической базой и сравнительно дешёвой электроэнергией, необходимой энергоёмкому алюминиевому производству.</x:v>
      </x:c>
      <x:c r="O1737" s="30" t="str">
        <x:v>Указаны сырьевой и энергетический факторы, предусмотренные критерием.</x:v>
      </x:c>
      <x:c r="P1737" s="30" t="str">
        <x:v>Указаны сырьевой и энергетический факторы, предусмотренные критерием.</x:v>
      </x:c>
      <x:c r="Q1737" s="30"/>
      <x:c r="R1737" s="30" t="str">
        <x:v>Официальный комплект архива + независимое решение</x:v>
      </x:c>
      <x:c r="S1737" s="30"/>
      <x:c r="T1737" s="30"/>
      <x:c r="U1737" s="30" t="str">
        <x:v>Расхождений не обнаружено.</x:v>
      </x:c>
      <x:c r="V1737" s="87" t="str">
        <x:v>VERIFIED</x:v>
      </x:c>
      <x:c r="W1737" s="87" t="str">
        <x:v>Официальный PDF</x:v>
      </x:c>
      <x:c r="X1737" s="87"/>
      <x:c r="Y1737" s="87"/>
      <x:c r="Z1737" s="87"/>
      <x:c r="AA1737" s="87"/>
      <x:c r="AB1737" s="87"/>
      <x:c r="AC1737" s="87"/>
      <x:c r="AD1737" s="87"/>
      <x:c r="AE1737" s="87"/>
      <x:c r="AF1737" s="87"/>
      <x:c r="AG1737" s="87"/>
      <x:c r="AH1737" s="87"/>
      <x:c r="AI1737" s="30"/>
      <x:c r="AJ1737" s="87" t="str">
        <x:v>master</x:v>
      </x:c>
      <x:c r="AK1737" s="87" t="str">
        <x:v>master-v0.81</x:v>
      </x:c>
      <x:c r="AL1737" s="87" t="str">
        <x:v>statgrad_master_base_v0_81_final(2).xlsx</x:v>
      </x:c>
      <x:c r="AM1737" s="87" t="str">
        <x:v>GEO_Mar_V1</x:v>
      </x:c>
      <x:c r="AN1737" s="87" t="n">
        <x:v>27</x:v>
      </x:c>
    </x:row>
    <x:row r="1738">
      <x:c r="A1738" s="87" t="n">
        <x:v>1737</x:v>
      </x:c>
      <x:c r="B1738" s="87" t="str">
        <x:v>MAR-GEO-V1-027</x:v>
      </x:c>
      <x:c r="C1738" s="87" t="str">
        <x:v>СтатГрад</x:v>
      </x:c>
      <x:c r="D1738" s="87" t="str">
        <x:v>Март 2026</x:v>
      </x:c>
      <x:c r="E1738" s="87"/>
      <x:c r="F1738" s="87"/>
      <x:c r="G1738" s="87" t="str">
        <x:v>География</x:v>
      </x:c>
      <x:c r="H1738" s="87" t="n">
        <x:v>11</x:v>
      </x:c>
      <x:c r="I1738" s="87" t="str">
        <x:v>ТР №4</x:v>
      </x:c>
      <x:c r="J1738" s="87" t="str">
        <x:v>ГГ2510401</x:v>
      </x:c>
      <x:c r="K1738" s="87" t="n">
        <x:v>27</x:v>
      </x:c>
      <x:c r="L1738" s="87" t="str">
        <x:v>Климатограмма</x:v>
      </x:c>
      <x:c r="M1738" s="30" t="str">
        <x:v>Определить, какому пункту А, Б или В соответствует климатограмма, и привести два обоснования.</x:v>
      </x:c>
      <x:c r="N1738" s="30" t="str">
        <x:v>Пункт Б. Максимальные температуры приходятся на январь–февраль, а минимальные — на июль, что указывает на Южное полушарие. Осадков почти нет круглый год, что соответствует засушливой области тропического климатического пояса.</x:v>
      </x:c>
      <x:c r="O1738" s="30" t="str">
        <x:v>Положение пункта Б и оба климатических признака совпадают с официальным критерием.</x:v>
      </x:c>
      <x:c r="P1738" s="30" t="str">
        <x:v>Положение пункта Б и оба климатических признака совпадают с официальным критерием.</x:v>
      </x:c>
      <x:c r="Q1738" s="30"/>
      <x:c r="R1738" s="30" t="str">
        <x:v>Официальный комплект архива + независимое решение</x:v>
      </x:c>
      <x:c r="S1738" s="30"/>
      <x:c r="T1738" s="30"/>
      <x:c r="U1738" s="30" t="str">
        <x:v>Расхождений не обнаружено.</x:v>
      </x:c>
      <x:c r="V1738" s="87" t="str">
        <x:v>VERIFIED</x:v>
      </x:c>
      <x:c r="W1738" s="87" t="str">
        <x:v>PDF, задание 27</x:v>
      </x:c>
      <x:c r="X1738" s="87"/>
      <x:c r="Y1738" s="87"/>
      <x:c r="Z1738" s="87"/>
      <x:c r="AA1738" s="87"/>
      <x:c r="AB1738" s="87"/>
      <x:c r="AC1738" s="87"/>
      <x:c r="AD1738" s="87"/>
      <x:c r="AE1738" s="87"/>
      <x:c r="AF1738" s="87"/>
      <x:c r="AG1738" s="87"/>
      <x:c r="AH1738" s="87"/>
      <x:c r="AI1738" s="30"/>
      <x:c r="AJ1738" s="87" t="str">
        <x:v>master</x:v>
      </x:c>
      <x:c r="AK1738" s="87" t="str">
        <x:v>master-v0.81</x:v>
      </x:c>
      <x:c r="AL1738" s="87" t="str">
        <x:v>statgrad_master_base_v0_81_final(2).xlsx</x:v>
      </x:c>
      <x:c r="AM1738" s="87" t="str">
        <x:v>GEO_Mar_V1</x:v>
      </x:c>
      <x:c r="AN1738" s="87" t="n">
        <x:v>28</x:v>
      </x:c>
    </x:row>
    <x:row r="1739">
      <x:c r="A1739" s="87" t="n">
        <x:v>1738</x:v>
      </x:c>
      <x:c r="B1739" s="87" t="str">
        <x:v>MAR-GEO-V1-028</x:v>
      </x:c>
      <x:c r="C1739" s="87" t="str">
        <x:v>СтатГрад</x:v>
      </x:c>
      <x:c r="D1739" s="87" t="str">
        <x:v>Март 2026</x:v>
      </x:c>
      <x:c r="E1739" s="87"/>
      <x:c r="F1739" s="87"/>
      <x:c r="G1739" s="87" t="str">
        <x:v>География</x:v>
      </x:c>
      <x:c r="H1739" s="87" t="n">
        <x:v>11</x:v>
      </x:c>
      <x:c r="I1739" s="87" t="str">
        <x:v>ТР №4</x:v>
      </x:c>
      <x:c r="J1739" s="87" t="str">
        <x:v>ГГ2510401</x:v>
      </x:c>
      <x:c r="K1739" s="87" t="n">
        <x:v>28</x:v>
      </x:c>
      <x:c r="L1739" s="87" t="str">
        <x:v>Определение долготы</x:v>
      </x:c>
      <x:c r="M1739" s="30" t="str">
        <x:v>В пункте местное солнечное время 8:40, когда в Гринвиче 15:20. Определить долготу.</x:v>
      </x:c>
      <x:c r="N1739" s="30" t="str">
        <x:v>100° з. д.</x:v>
      </x:c>
      <x:c r="O1739" s="30" t="str">
        <x:v>Разница времени 6 ч 40 мин: 6·15°+40/4=100°. Местное время раньше гринвичского, следовательно, долгота западная.</x:v>
      </x:c>
      <x:c r="P1739" s="30" t="str">
        <x:v>Проверены величина и направление временной разницы.</x:v>
      </x:c>
      <x:c r="Q1739" s="30"/>
      <x:c r="R1739" s="30" t="str">
        <x:v>Официальный комплект архива + независимое решение</x:v>
      </x:c>
      <x:c r="S1739" s="30"/>
      <x:c r="T1739" s="30"/>
      <x:c r="U1739" s="30" t="str">
        <x:v>Расхождений не обнаружено.</x:v>
      </x:c>
      <x:c r="V1739" s="87" t="str">
        <x:v>VERIFIED</x:v>
      </x:c>
      <x:c r="W1739" s="87" t="str">
        <x:v>Официальный PDF</x:v>
      </x:c>
      <x:c r="X1739" s="87"/>
      <x:c r="Y1739" s="87"/>
      <x:c r="Z1739" s="87"/>
      <x:c r="AA1739" s="87"/>
      <x:c r="AB1739" s="87"/>
      <x:c r="AC1739" s="87"/>
      <x:c r="AD1739" s="87"/>
      <x:c r="AE1739" s="87"/>
      <x:c r="AF1739" s="87"/>
      <x:c r="AG1739" s="87"/>
      <x:c r="AH1739" s="87"/>
      <x:c r="AI1739" s="30"/>
      <x:c r="AJ1739" s="87" t="str">
        <x:v>master</x:v>
      </x:c>
      <x:c r="AK1739" s="87" t="str">
        <x:v>master-v0.81</x:v>
      </x:c>
      <x:c r="AL1739" s="87" t="str">
        <x:v>statgrad_master_base_v0_81_final(2).xlsx</x:v>
      </x:c>
      <x:c r="AM1739" s="87" t="str">
        <x:v>GEO_Mar_V1</x:v>
      </x:c>
      <x:c r="AN1739" s="87" t="n">
        <x:v>29</x:v>
      </x:c>
    </x:row>
    <x:row r="1740">
      <x:c r="A1740" s="87" t="n">
        <x:v>1739</x:v>
      </x:c>
      <x:c r="B1740" s="87" t="str">
        <x:v>MAR-GEO-V1-029</x:v>
      </x:c>
      <x:c r="C1740" s="87" t="str">
        <x:v>СтатГрад</x:v>
      </x:c>
      <x:c r="D1740" s="87" t="str">
        <x:v>Март 2026</x:v>
      </x:c>
      <x:c r="E1740" s="87"/>
      <x:c r="F1740" s="87"/>
      <x:c r="G1740" s="87" t="str">
        <x:v>География</x:v>
      </x:c>
      <x:c r="H1740" s="87" t="n">
        <x:v>11</x:v>
      </x:c>
      <x:c r="I1740" s="87" t="str">
        <x:v>ТР №4</x:v>
      </x:c>
      <x:c r="J1740" s="87" t="str">
        <x:v>ГГ2510401</x:v>
      </x:c>
      <x:c r="K1740" s="87" t="n">
        <x:v>29</x:v>
      </x:c>
      <x:c r="L1740" s="87" t="str">
        <x:v>География промышленности</x:v>
      </x:c>
      <x:c r="M1740" s="30" t="str">
        <x:v>Оценить мнения Оксаны и Оли о влиянии развития судостроения на металлургию и машиностроение.</x:v>
      </x:c>
      <x:c r="N1740" s="30" t="str">
        <x:v>Оба мнения верны. Судостроение металлоёмко, поэтому новые верфи увеличивают спрос на стальной прокат и другую продукцию металлургии. Кроме того, судостроение связано кооперацией с производителями двигателей, оборудования и электроники, что стимулирует различные отрасли машиностроения.</x:v>
      </x:c>
      <x:c r="O1740" s="30" t="str">
        <x:v>Отдельно раскрыты материалоёмкость судостроения и межотраслевая кооперация.</x:v>
      </x:c>
      <x:c r="P1740" s="30" t="str">
        <x:v>Отдельно раскрыты материалоёмкость судостроения и межотраслевая кооперация.</x:v>
      </x:c>
      <x:c r="Q1740" s="30"/>
      <x:c r="R1740" s="30" t="str">
        <x:v>Официальный комплект архива + независимое решение</x:v>
      </x:c>
      <x:c r="S1740" s="30"/>
      <x:c r="T1740" s="30"/>
      <x:c r="U1740" s="30" t="str">
        <x:v>Расхождений не обнаружено.</x:v>
      </x:c>
      <x:c r="V1740" s="87" t="str">
        <x:v>VERIFIED</x:v>
      </x:c>
      <x:c r="W1740" s="87" t="str">
        <x:v>Официальный PDF</x:v>
      </x:c>
      <x:c r="X1740" s="87"/>
      <x:c r="Y1740" s="87"/>
      <x:c r="Z1740" s="87"/>
      <x:c r="AA1740" s="87"/>
      <x:c r="AB1740" s="87"/>
      <x:c r="AC1740" s="87"/>
      <x:c r="AD1740" s="87"/>
      <x:c r="AE1740" s="87"/>
      <x:c r="AF1740" s="87"/>
      <x:c r="AG1740" s="87"/>
      <x:c r="AH1740" s="87"/>
      <x:c r="AI1740" s="30"/>
      <x:c r="AJ1740" s="87" t="str">
        <x:v>master</x:v>
      </x:c>
      <x:c r="AK1740" s="87" t="str">
        <x:v>master-v0.81</x:v>
      </x:c>
      <x:c r="AL1740" s="87" t="str">
        <x:v>statgrad_master_base_v0_81_final(2).xlsx</x:v>
      </x:c>
      <x:c r="AM1740" s="87" t="str">
        <x:v>GEO_Mar_V1</x:v>
      </x:c>
      <x:c r="AN1740" s="87" t="n">
        <x:v>30</x:v>
      </x:c>
    </x:row>
    <x:row r="1741">
      <x:c r="A1741" s="87" t="n">
        <x:v>1740</x:v>
      </x:c>
      <x:c r="B1741" s="87" t="str">
        <x:v>MAR-RUS-T5-V1-027</x:v>
      </x:c>
      <x:c r="C1741" s="87" t="str">
        <x:v>СтатГрад</x:v>
      </x:c>
      <x:c r="D1741" s="87" t="str">
        <x:v>Март 2026</x:v>
      </x:c>
      <x:c r="E1741" s="87"/>
      <x:c r="F1741" s="87"/>
      <x:c r="G1741" s="87" t="str">
        <x:v>Русский язык</x:v>
      </x:c>
      <x:c r="H1741" s="87" t="n">
        <x:v>11</x:v>
      </x:c>
      <x:c r="I1741" s="87" t="str">
        <x:v>Тематическая работа №5</x:v>
      </x:c>
      <x:c r="J1741" s="87" t="str">
        <x:v>РЯ2511101</x:v>
      </x:c>
      <x:c r="K1741" s="87" t="n">
        <x:v>27</x:v>
      </x:c>
      <x:c r="L1741" s="87" t="str">
        <x:v>Сочинение-рассуждение (в работе — задание 1)</x:v>
      </x:c>
      <x:c r="M1741" s="30" t="str">
        <x:v>Написать сочинение по проблеме: «В чём заключается сущность истинного мастерства артиста?»</x:v>
      </x:c>
      <x:c r="N1741" s="30" t="str">
        <x:v>В чём заключается сущность истинного мастерства артиста? Над этим вопросом размышляет Е. Б. Ауэрбах.
Позиция автора ясна: настоящий мастер отличается не только безупречной техникой, но и самообладанием, мужеством и ответственностью за партнёров. Даже в смертельно опасной ситуации он способен мгновенно принять верное решение, спасти людей и сохранить перед зрителями художественную цельность выступления.
Во время трюка Лида задевает декорацию, и акробатическая пирамида начинает падать. Володя сначала изо всех сил удерживает партнёров, а затем, поняв, что падение неизбежно, отталкивается от велосипеда и прыгает в оркестровую яму. Благодаря этому Глеб и Лида приземляются на рампу без тяжёлых последствий. Этот эпизод показывает высочайшую профессиональную собранность артиста, который в критическую секунду думает не о себе, а о спасении товарищей.
После случившегося Володя почти сразу появляется на сцене и раскланивается так, будто прыжок был частью задуманного номера. Зрители требуют повторить «трюк», не подозревая о реальной опасности. Второй пример дополняет первый: сначала мастерство героя проявляется в спасительном решении, затем — в способности не разрушить сценическую иллюзию и завершить выступление.
Я согласен с автором. Технический навык становится искусством лишь тогда, когда соединяется с внутренней дисциплиной и ответственностью. Не случайно К. С. Станиславский требовал от актёра полной сосредоточенности и правды сценического действия: профессионал обязан владеть собой даже при непредвиденных обстоятельствах. Следовательно, истинное мастерство — это единство таланта, самообладания и нравственной готовности отвечать за общее дело.</x:v>
      </x:c>
      <x:c r="O1741" s="30" t="str">
        <x:v>Авторская позиция: мастерство соединяет технику, самообладание, мужество, ответственность за партнёров и умение сохранить художественную цельность номера.</x:v>
      </x:c>
      <x:c r="P1741" s="30" t="str">
        <x:v>Проверены позиция автора, два примера-иллюстрации, пояснения, смысловая связь, собственная позиция, аргумент, логика и объём более 150 слов.</x:v>
      </x:c>
      <x:c r="Q1741" s="30"/>
      <x:c r="R1741" s="30" t="str">
        <x:v>Полный PDF; текст Е. Б. Ауэрбах; стандартные критерии позиции 27</x:v>
      </x:c>
      <x:c r="S1741" s="30"/>
      <x:c r="T1741" s="30"/>
      <x:c r="U1741" s="30" t="str">
        <x:v>Отдельный официальный модельный ответ не опубликован; модель построена непосредственно по исходному тексту.</x:v>
      </x:c>
      <x:c r="V1741" s="87" t="str">
        <x:v>VERIFIED</x:v>
      </x:c>
      <x:c r="W1741" s="87" t="str">
        <x:v>PDF, страницы 2–3 соответствующего варианта</x:v>
      </x:c>
      <x:c r="X1741" s="87"/>
      <x:c r="Y1741" s="87"/>
      <x:c r="Z1741" s="87"/>
      <x:c r="AA1741" s="87"/>
      <x:c r="AB1741" s="87"/>
      <x:c r="AC1741" s="87"/>
      <x:c r="AD1741" s="87"/>
      <x:c r="AE1741" s="87"/>
      <x:c r="AF1741" s="87"/>
      <x:c r="AG1741" s="87"/>
      <x:c r="AH1741" s="87"/>
      <x:c r="AI1741" s="30"/>
      <x:c r="AJ1741" s="87" t="str">
        <x:v>master</x:v>
      </x:c>
      <x:c r="AK1741" s="87" t="str">
        <x:v>master-v0.81</x:v>
      </x:c>
      <x:c r="AL1741" s="87" t="str">
        <x:v>statgrad_master_base_v0_81_final(2).xlsx</x:v>
      </x:c>
      <x:c r="AM1741" s="87" t="str">
        <x:v>RUS_Theme5_V1</x:v>
      </x:c>
      <x:c r="AN1741" s="87" t="n">
        <x:v>2</x:v>
      </x:c>
    </x:row>
    <x:row r="1742">
      <x:c r="A1742" s="87" t="n">
        <x:v>1741</x:v>
      </x:c>
      <x:c r="B1742" s="87" t="str">
        <x:v>MAR-RUS-T5-V2-027</x:v>
      </x:c>
      <x:c r="C1742" s="87" t="str">
        <x:v>СтатГрад</x:v>
      </x:c>
      <x:c r="D1742" s="87" t="str">
        <x:v>Март 2026</x:v>
      </x:c>
      <x:c r="E1742" s="87"/>
      <x:c r="F1742" s="87"/>
      <x:c r="G1742" s="87" t="str">
        <x:v>Русский язык</x:v>
      </x:c>
      <x:c r="H1742" s="87" t="n">
        <x:v>11</x:v>
      </x:c>
      <x:c r="I1742" s="87" t="str">
        <x:v>Тематическая работа №5</x:v>
      </x:c>
      <x:c r="J1742" s="87" t="str">
        <x:v>РЯ2511102</x:v>
      </x:c>
      <x:c r="K1742" s="87" t="n">
        <x:v>27</x:v>
      </x:c>
      <x:c r="L1742" s="87" t="str">
        <x:v>Сочинение-рассуждение (в работе — задание 1)</x:v>
      </x:c>
      <x:c r="M1742" s="30" t="str">
        <x:v>Написать сочинение по проблеме: «Что способствует мобилизации творческих сил человека?»</x:v>
      </x:c>
      <x:c r="N1742" s="30" t="str">
        <x:v>Что способствует мобилизации творческих сил человека? Этот вопрос ставит М. С. Казиник.
Автор убеждён: одного таланта для великого творчества недостаточно. Тяжёлое испытание, болезнь, страх или иное препятствие заставляют одарённого человека сосредоточить все внутренние силы. Преодолевая «удар», творец создаёт произведения огромной духовной энергии, а само искусство становится для него способом сопротивления страданию и возвращения к подлинному себе.
Сначала автор вспоминает Бетховена. Композитор теряет слух, однако именно после этого создаёт величайшую музыку. Физический недостаток не уничтожает дар, а, напротив, вынуждает музыканта напрячь волю и услышать гармонию внутренним слухом. Этот пример показывает, как тяжёлое испытание может мобилизовать творческие возможности человека.
Затем Казиник рассказывает о Рахманинове, страдавшем мучительной мнительностью и страхом смерти. После очередного медицинского обследования композитор возвращался к роялю и снова «убегал — в полёт»: музыкой он сражался за право жить. Эти примеры связаны аналогией: судьбы разных гениев подтверждают общую мысль о том, что страдание способно превращаться в энергию созидания.
Я согласен с автором. Преодоление ограничений нередко заставляет человека раскрыть силы, о которых он прежде не подозревал. Писатель Николай Островский, потеряв возможность двигаться и видеть, продолжал работать над романом «Как закалялась сталь», диктуя текст помощникам. Болезнь не победила его стремление к творчеству, а сделала это стремление особенно напряжённым. Значит, талант, поддержанный волей и необходимостью сопротивляться испытанию, способен раскрыться с наибольшей силой.</x:v>
      </x:c>
      <x:c r="O1742" s="30" t="str">
        <x:v>Авторская позиция: талант мобилизуется под воздействием серьёзного испытания, а творчество помогает человеку противостоять страданию и обрести внутреннюю силу.</x:v>
      </x:c>
      <x:c r="P1742" s="30" t="str">
        <x:v>Проверены позиция автора, два примера-иллюстрации, пояснения, смысловая связь, собственная позиция, аргумент, логика и объём более 150 слов.</x:v>
      </x:c>
      <x:c r="Q1742" s="30"/>
      <x:c r="R1742" s="30" t="str">
        <x:v>Полный PDF; текст М. С. Казиник; стандартные критерии позиции 27</x:v>
      </x:c>
      <x:c r="S1742" s="30"/>
      <x:c r="T1742" s="30"/>
      <x:c r="U1742" s="30" t="str">
        <x:v>Отдельный официальный модельный ответ не опубликован; модель построена непосредственно по исходному тексту.</x:v>
      </x:c>
      <x:c r="V1742" s="87" t="str">
        <x:v>VERIFIED</x:v>
      </x:c>
      <x:c r="W1742" s="87" t="str">
        <x:v>PDF, страницы 2–3 соответствующего варианта</x:v>
      </x:c>
      <x:c r="X1742" s="87"/>
      <x:c r="Y1742" s="87"/>
      <x:c r="Z1742" s="87"/>
      <x:c r="AA1742" s="87"/>
      <x:c r="AB1742" s="87"/>
      <x:c r="AC1742" s="87"/>
      <x:c r="AD1742" s="87"/>
      <x:c r="AE1742" s="87"/>
      <x:c r="AF1742" s="87"/>
      <x:c r="AG1742" s="87"/>
      <x:c r="AH1742" s="87"/>
      <x:c r="AI1742" s="30"/>
      <x:c r="AJ1742" s="87" t="str">
        <x:v>master</x:v>
      </x:c>
      <x:c r="AK1742" s="87" t="str">
        <x:v>master-v0.81</x:v>
      </x:c>
      <x:c r="AL1742" s="87" t="str">
        <x:v>statgrad_master_base_v0_81_final(2).xlsx</x:v>
      </x:c>
      <x:c r="AM1742" s="87" t="str">
        <x:v>RUS_Theme5_V2</x:v>
      </x:c>
      <x:c r="AN1742" s="87" t="n">
        <x:v>2</x:v>
      </x:c>
    </x:row>
    <x:row r="1743">
      <x:c r="A1743" s="87" t="n">
        <x:v>1742</x:v>
      </x:c>
      <x:c r="B1743" s="87" t="str">
        <x:v>APR-HIS-V1-001</x:v>
      </x:c>
      <x:c r="C1743" s="87" t="str">
        <x:v>СтатГрад</x:v>
      </x:c>
      <x:c r="D1743" s="87" t="str">
        <x:v>Апрель 2026</x:v>
      </x:c>
      <x:c r="E1743" s="87"/>
      <x:c r="F1743" s="87"/>
      <x:c r="G1743" s="87" t="str">
        <x:v>История</x:v>
      </x:c>
      <x:c r="H1743" s="87" t="n">
        <x:v>11</x:v>
      </x:c>
      <x:c r="I1743" s="87" t="str">
        <x:v>ТР №5</x:v>
      </x:c>
      <x:c r="J1743" s="87" t="str">
        <x:v>ИС2510501</x:v>
      </x:c>
      <x:c r="K1743" s="87" t="n">
        <x:v>1</x:v>
      </x:c>
      <x:c r="L1743" s="87" t="str">
        <x:v>Соответствие событий и годов</x:v>
      </x:c>
      <x:c r="M1743" s="30" t="str">
        <x:v>Соотнести Медный бунт, начало контрнаступления Красной армии под Москвой, преобразование наркоматов в министерства и создание III отделения с годами.</x:v>
      </x:c>
      <x:c r="N1743" s="30" t="str">
        <x:v>1563</x:v>
      </x:c>
      <x:c r="O1743" s="30" t="str">
        <x:v>Медный бунт — 1662 г.; контрнаступление под Москвой — 1941 г.; министерства вместо наркоматов — 1946 г.; III отделение — 1826 г.</x:v>
      </x:c>
      <x:c r="P1743" s="30" t="str">
        <x:v>Медный бунт — 1662 г.; контрнаступление под Москвой — 1941 г.; министерства вместо наркоматов — 1946 г.; III отделение — 1826 г.</x:v>
      </x:c>
      <x:c r="Q1743" s="30"/>
      <x:c r="R1743" s="30" t="str">
        <x:v>Полный PDF + опубликованный вариант: https://hist-ege.sdamgia.ru/test?id=5458985</x:v>
      </x:c>
      <x:c r="S1743" s="30"/>
      <x:c r="T1743" s="30"/>
      <x:c r="U1743" s="30" t="str">
        <x:v>Расхождений не обнаружено.</x:v>
      </x:c>
      <x:c r="V1743" s="87" t="str">
        <x:v>VERIFIED</x:v>
      </x:c>
      <x:c r="W1743" s="87" t="str">
        <x:v>PDF варианта</x:v>
      </x:c>
      <x:c r="X1743" s="87"/>
      <x:c r="Y1743" s="87"/>
      <x:c r="Z1743" s="87"/>
      <x:c r="AA1743" s="87"/>
      <x:c r="AB1743" s="87"/>
      <x:c r="AC1743" s="87"/>
      <x:c r="AD1743" s="87"/>
      <x:c r="AE1743" s="87"/>
      <x:c r="AF1743" s="87"/>
      <x:c r="AG1743" s="87"/>
      <x:c r="AH1743" s="87"/>
      <x:c r="AI1743" s="30"/>
      <x:c r="AJ1743" s="87" t="str">
        <x:v>master</x:v>
      </x:c>
      <x:c r="AK1743" s="87" t="str">
        <x:v>master-v0.81</x:v>
      </x:c>
      <x:c r="AL1743" s="87" t="str">
        <x:v>statgrad_master_base_v0_81_final(2).xlsx</x:v>
      </x:c>
      <x:c r="AM1743" s="87" t="str">
        <x:v>HIST_Apr_V1</x:v>
      </x:c>
      <x:c r="AN1743" s="87" t="n">
        <x:v>2</x:v>
      </x:c>
    </x:row>
    <x:row r="1744">
      <x:c r="A1744" s="87" t="n">
        <x:v>1743</x:v>
      </x:c>
      <x:c r="B1744" s="87" t="str">
        <x:v>APR-HIS-V1-002</x:v>
      </x:c>
      <x:c r="C1744" s="87" t="str">
        <x:v>СтатГрад</x:v>
      </x:c>
      <x:c r="D1744" s="87" t="str">
        <x:v>Апрель 2026</x:v>
      </x:c>
      <x:c r="E1744" s="87"/>
      <x:c r="F1744" s="87"/>
      <x:c r="G1744" s="87" t="str">
        <x:v>История</x:v>
      </x:c>
      <x:c r="H1744" s="87" t="n">
        <x:v>11</x:v>
      </x:c>
      <x:c r="I1744" s="87" t="str">
        <x:v>ТР №5</x:v>
      </x:c>
      <x:c r="J1744" s="87" t="str">
        <x:v>ИС2510501</x:v>
      </x:c>
      <x:c r="K1744" s="87" t="n">
        <x:v>2</x:v>
      </x:c>
      <x:c r="L1744" s="87" t="str">
        <x:v>Хронологическая последовательность</x:v>
      </x:c>
      <x:c r="M1744" s="30" t="str">
        <x:v>Расположить принятие Билля о правах в США, назначение П. А. Столыпина председателем Совета министров и подписание Беловежских соглашений.</x:v>
      </x:c>
      <x:c r="N1744" s="30" t="str">
        <x:v>231</x:v>
      </x:c>
      <x:c r="O1744" s="30" t="str">
        <x:v>Билль о правах — 1791 г.; Столыпин — 1906 г.; Беловежские соглашения — 1991 г.</x:v>
      </x:c>
      <x:c r="P1744" s="30" t="str">
        <x:v>Билль о правах — 1791 г.; Столыпин — 1906 г.; Беловежские соглашения — 1991 г.</x:v>
      </x:c>
      <x:c r="Q1744" s="30"/>
      <x:c r="R1744" s="30" t="str">
        <x:v>Полный PDF + опубликованный вариант: https://hist-ege.sdamgia.ru/test?id=5458985</x:v>
      </x:c>
      <x:c r="S1744" s="30"/>
      <x:c r="T1744" s="30"/>
      <x:c r="U1744" s="30" t="str">
        <x:v>Расхождений не обнаружено.</x:v>
      </x:c>
      <x:c r="V1744" s="87" t="str">
        <x:v>VERIFIED</x:v>
      </x:c>
      <x:c r="W1744" s="87" t="str">
        <x:v>PDF варианта</x:v>
      </x:c>
      <x:c r="X1744" s="87"/>
      <x:c r="Y1744" s="87"/>
      <x:c r="Z1744" s="87"/>
      <x:c r="AA1744" s="87"/>
      <x:c r="AB1744" s="87"/>
      <x:c r="AC1744" s="87"/>
      <x:c r="AD1744" s="87"/>
      <x:c r="AE1744" s="87"/>
      <x:c r="AF1744" s="87"/>
      <x:c r="AG1744" s="87"/>
      <x:c r="AH1744" s="87"/>
      <x:c r="AI1744" s="30"/>
      <x:c r="AJ1744" s="87" t="str">
        <x:v>master</x:v>
      </x:c>
      <x:c r="AK1744" s="87" t="str">
        <x:v>master-v0.81</x:v>
      </x:c>
      <x:c r="AL1744" s="87" t="str">
        <x:v>statgrad_master_base_v0_81_final(2).xlsx</x:v>
      </x:c>
      <x:c r="AM1744" s="87" t="str">
        <x:v>HIST_Apr_V1</x:v>
      </x:c>
      <x:c r="AN1744" s="87" t="n">
        <x:v>3</x:v>
      </x:c>
    </x:row>
    <x:row r="1745">
      <x:c r="A1745" s="87" t="n">
        <x:v>1744</x:v>
      </x:c>
      <x:c r="B1745" s="87" t="str">
        <x:v>APR-HIS-V1-003</x:v>
      </x:c>
      <x:c r="C1745" s="87" t="str">
        <x:v>СтатГрад</x:v>
      </x:c>
      <x:c r="D1745" s="87" t="str">
        <x:v>Апрель 2026</x:v>
      </x:c>
      <x:c r="E1745" s="87"/>
      <x:c r="F1745" s="87"/>
      <x:c r="G1745" s="87" t="str">
        <x:v>История</x:v>
      </x:c>
      <x:c r="H1745" s="87" t="n">
        <x:v>11</x:v>
      </x:c>
      <x:c r="I1745" s="87" t="str">
        <x:v>ТР №5</x:v>
      </x:c>
      <x:c r="J1745" s="87" t="str">
        <x:v>ИС2510501</x:v>
      </x:c>
      <x:c r="K1745" s="87" t="n">
        <x:v>3</x:v>
      </x:c>
      <x:c r="L1745" s="87" t="str">
        <x:v>Процессы и факты</x:v>
      </x:c>
      <x:c r="M1745" s="30" t="str">
        <x:v>Соотнести церковный раскол, установление советской власти, просвещённый абсолютизм и социальные конфликты XII века с относящимися к ним фактами.</x:v>
      </x:c>
      <x:c r="N1745" s="30" t="str">
        <x:v>2145</x:v>
      </x:c>
      <x:c r="O1745" s="30" t="str">
        <x:v>Раскол — Соловецкое восстание; советская власть — декрет об отделении церкви от государства; просвещённый абсолютизм — секуляризация; конфликты XII века — Устав о резах.</x:v>
      </x:c>
      <x:c r="P1745" s="30" t="str">
        <x:v>Раскол — Соловецкое восстание; советская власть — декрет об отделении церкви от государства; просвещённый абсолютизм — секуляризация; конфликты XII века — Устав о резах.</x:v>
      </x:c>
      <x:c r="Q1745" s="30"/>
      <x:c r="R1745" s="30" t="str">
        <x:v>Полный PDF + опубликованный вариант: https://hist-ege.sdamgia.ru/test?id=5458985</x:v>
      </x:c>
      <x:c r="S1745" s="30"/>
      <x:c r="T1745" s="30"/>
      <x:c r="U1745" s="30" t="str">
        <x:v>Расхождений не обнаружено.</x:v>
      </x:c>
      <x:c r="V1745" s="87" t="str">
        <x:v>VERIFIED</x:v>
      </x:c>
      <x:c r="W1745" s="87" t="str">
        <x:v>PDF варианта</x:v>
      </x:c>
      <x:c r="X1745" s="87"/>
      <x:c r="Y1745" s="87"/>
      <x:c r="Z1745" s="87"/>
      <x:c r="AA1745" s="87"/>
      <x:c r="AB1745" s="87"/>
      <x:c r="AC1745" s="87"/>
      <x:c r="AD1745" s="87"/>
      <x:c r="AE1745" s="87"/>
      <x:c r="AF1745" s="87"/>
      <x:c r="AG1745" s="87"/>
      <x:c r="AH1745" s="87"/>
      <x:c r="AI1745" s="30"/>
      <x:c r="AJ1745" s="87" t="str">
        <x:v>master</x:v>
      </x:c>
      <x:c r="AK1745" s="87" t="str">
        <x:v>master-v0.81</x:v>
      </x:c>
      <x:c r="AL1745" s="87" t="str">
        <x:v>statgrad_master_base_v0_81_final(2).xlsx</x:v>
      </x:c>
      <x:c r="AM1745" s="87" t="str">
        <x:v>HIST_Apr_V1</x:v>
      </x:c>
      <x:c r="AN1745" s="87" t="n">
        <x:v>4</x:v>
      </x:c>
    </x:row>
    <x:row r="1746">
      <x:c r="A1746" s="87" t="n">
        <x:v>1745</x:v>
      </x:c>
      <x:c r="B1746" s="87" t="str">
        <x:v>APR-HIS-V1-004</x:v>
      </x:c>
      <x:c r="C1746" s="87" t="str">
        <x:v>СтатГрад</x:v>
      </x:c>
      <x:c r="D1746" s="87" t="str">
        <x:v>Апрель 2026</x:v>
      </x:c>
      <x:c r="E1746" s="87"/>
      <x:c r="F1746" s="87"/>
      <x:c r="G1746" s="87" t="str">
        <x:v>История</x:v>
      </x:c>
      <x:c r="H1746" s="87" t="n">
        <x:v>11</x:v>
      </x:c>
      <x:c r="I1746" s="87" t="str">
        <x:v>ТР №5</x:v>
      </x:c>
      <x:c r="J1746" s="87" t="str">
        <x:v>ИС2510501</x:v>
      </x:c>
      <x:c r="K1746" s="87" t="n">
        <x:v>4</x:v>
      </x:c>
      <x:c r="L1746" s="87" t="str">
        <x:v>Заполнение исторической таблицы</x:v>
      </x:c>
      <x:c r="M1746" s="30" t="str">
        <x:v>Заполнить пропуски в таблице о Царицыне, Царском Селе, Ленинграде и Москве, событиях и десятилетиях.</x:v>
      </x:c>
      <x:c r="N1746" s="30" t="str">
        <x:v>257349</x:v>
      </x:c>
      <x:c r="O1746" s="30" t="str">
        <x:v>Царицын связан с событиями 1770-х; железная дорога до Царского Села — с 1830-ми; убийство Кирова в Ленинграде — с 1930-ми; стрелецкий бунт в Москве — с 1680-ми.</x:v>
      </x:c>
      <x:c r="P1746" s="30" t="str">
        <x:v>Царицын связан с событиями 1770-х; железная дорога до Царского Села — с 1830-ми; убийство Кирова в Ленинграде — с 1930-ми; стрелецкий бунт в Москве — с 1680-ми.</x:v>
      </x:c>
      <x:c r="Q1746" s="30"/>
      <x:c r="R1746" s="30" t="str">
        <x:v>Полный PDF + опубликованный вариант: https://hist-ege.sdamgia.ru/test?id=5458985</x:v>
      </x:c>
      <x:c r="S1746" s="30"/>
      <x:c r="T1746" s="30"/>
      <x:c r="U1746" s="30" t="str">
        <x:v>Расхождений не обнаружено.</x:v>
      </x:c>
      <x:c r="V1746" s="87" t="str">
        <x:v>VERIFIED</x:v>
      </x:c>
      <x:c r="W1746" s="87" t="str">
        <x:v>PDF варианта</x:v>
      </x:c>
      <x:c r="X1746" s="87"/>
      <x:c r="Y1746" s="87"/>
      <x:c r="Z1746" s="87"/>
      <x:c r="AA1746" s="87"/>
      <x:c r="AB1746" s="87"/>
      <x:c r="AC1746" s="87"/>
      <x:c r="AD1746" s="87"/>
      <x:c r="AE1746" s="87"/>
      <x:c r="AF1746" s="87"/>
      <x:c r="AG1746" s="87"/>
      <x:c r="AH1746" s="87"/>
      <x:c r="AI1746" s="30"/>
      <x:c r="AJ1746" s="87" t="str">
        <x:v>master</x:v>
      </x:c>
      <x:c r="AK1746" s="87" t="str">
        <x:v>master-v0.81</x:v>
      </x:c>
      <x:c r="AL1746" s="87" t="str">
        <x:v>statgrad_master_base_v0_81_final(2).xlsx</x:v>
      </x:c>
      <x:c r="AM1746" s="87" t="str">
        <x:v>HIST_Apr_V1</x:v>
      </x:c>
      <x:c r="AN1746" s="87" t="n">
        <x:v>5</x:v>
      </x:c>
    </x:row>
    <x:row r="1747">
      <x:c r="A1747" s="87" t="n">
        <x:v>1746</x:v>
      </x:c>
      <x:c r="B1747" s="87" t="str">
        <x:v>APR-HIS-V1-005</x:v>
      </x:c>
      <x:c r="C1747" s="87" t="str">
        <x:v>СтатГрад</x:v>
      </x:c>
      <x:c r="D1747" s="87" t="str">
        <x:v>Апрель 2026</x:v>
      </x:c>
      <x:c r="E1747" s="87"/>
      <x:c r="F1747" s="87"/>
      <x:c r="G1747" s="87" t="str">
        <x:v>История</x:v>
      </x:c>
      <x:c r="H1747" s="87" t="n">
        <x:v>11</x:v>
      </x:c>
      <x:c r="I1747" s="87" t="str">
        <x:v>ТР №5</x:v>
      </x:c>
      <x:c r="J1747" s="87" t="str">
        <x:v>ИС2510501</x:v>
      </x:c>
      <x:c r="K1747" s="87" t="n">
        <x:v>5</x:v>
      </x:c>
      <x:c r="L1747" s="87" t="str">
        <x:v>Исторические деятели и события</x:v>
      </x:c>
      <x:c r="M1747" s="30" t="str">
        <x:v>Соотнести принятие Конституции СССР 1977 г., деятельность партизана, опричнину и денежную реформу с деятелями.</x:v>
      </x:c>
      <x:c r="N1747" s="30" t="str">
        <x:v>1432</x:v>
      </x:c>
      <x:c r="O1747" s="30" t="str">
        <x:v>Конституция — Л. И. Брежнев; партизан — Марат Казей; опричнина — Малюта Скуратов; золотой рубль — С. Ю. Витте.</x:v>
      </x:c>
      <x:c r="P1747" s="30" t="str">
        <x:v>Конституция — Л. И. Брежнев; партизан — Марат Казей; опричнина — Малюта Скуратов; золотой рубль — С. Ю. Витте.</x:v>
      </x:c>
      <x:c r="Q1747" s="30"/>
      <x:c r="R1747" s="30" t="str">
        <x:v>Полный PDF + опубликованный вариант: https://hist-ege.sdamgia.ru/test?id=5458985</x:v>
      </x:c>
      <x:c r="S1747" s="30"/>
      <x:c r="T1747" s="30"/>
      <x:c r="U1747" s="30" t="str">
        <x:v>Расхождений не обнаружено.</x:v>
      </x:c>
      <x:c r="V1747" s="87" t="str">
        <x:v>VERIFIED</x:v>
      </x:c>
      <x:c r="W1747" s="87" t="str">
        <x:v>PDF варианта</x:v>
      </x:c>
      <x:c r="X1747" s="87"/>
      <x:c r="Y1747" s="87"/>
      <x:c r="Z1747" s="87"/>
      <x:c r="AA1747" s="87"/>
      <x:c r="AB1747" s="87"/>
      <x:c r="AC1747" s="87"/>
      <x:c r="AD1747" s="87"/>
      <x:c r="AE1747" s="87"/>
      <x:c r="AF1747" s="87"/>
      <x:c r="AG1747" s="87"/>
      <x:c r="AH1747" s="87"/>
      <x:c r="AI1747" s="30"/>
      <x:c r="AJ1747" s="87" t="str">
        <x:v>master</x:v>
      </x:c>
      <x:c r="AK1747" s="87" t="str">
        <x:v>master-v0.81</x:v>
      </x:c>
      <x:c r="AL1747" s="87" t="str">
        <x:v>statgrad_master_base_v0_81_final(2).xlsx</x:v>
      </x:c>
      <x:c r="AM1747" s="87" t="str">
        <x:v>HIST_Apr_V1</x:v>
      </x:c>
      <x:c r="AN1747" s="87" t="n">
        <x:v>6</x:v>
      </x:c>
    </x:row>
    <x:row r="1748">
      <x:c r="A1748" s="87" t="n">
        <x:v>1747</x:v>
      </x:c>
      <x:c r="B1748" s="87" t="str">
        <x:v>APR-HIS-V1-006</x:v>
      </x:c>
      <x:c r="C1748" s="87" t="str">
        <x:v>СтатГрад</x:v>
      </x:c>
      <x:c r="D1748" s="87" t="str">
        <x:v>Апрель 2026</x:v>
      </x:c>
      <x:c r="E1748" s="87"/>
      <x:c r="F1748" s="87"/>
      <x:c r="G1748" s="87" t="str">
        <x:v>История</x:v>
      </x:c>
      <x:c r="H1748" s="87" t="n">
        <x:v>11</x:v>
      </x:c>
      <x:c r="I1748" s="87" t="str">
        <x:v>ТР №5</x:v>
      </x:c>
      <x:c r="J1748" s="87" t="str">
        <x:v>ИС2510501</x:v>
      </x:c>
      <x:c r="K1748" s="87" t="n">
        <x:v>6</x:v>
      </x:c>
      <x:c r="L1748" s="87" t="str">
        <x:v>Анализ исторического источника</x:v>
      </x:c>
      <x:c r="M1748" s="30" t="str">
        <x:v>По источнику об Иване IV выбрать верные суждения.</x:v>
      </x:c>
      <x:c r="N1748" s="30" t="str">
        <x:v>46</x:v>
      </x:c>
      <x:c r="O1748" s="30" t="str">
        <x:v>В тексте упоминаются участники Избранной рады Сильвестр и Алексей Адашев; в царствование Ивана IV было присоединено Казанское ханство.</x:v>
      </x:c>
      <x:c r="P1748" s="30" t="str">
        <x:v>В тексте упоминаются участники Избранной рады Сильвестр и Алексей Адашев; в царствование Ивана IV было присоединено Казанское ханство.</x:v>
      </x:c>
      <x:c r="Q1748" s="30"/>
      <x:c r="R1748" s="30" t="str">
        <x:v>Полный PDF + опубликованный вариант: https://hist-ege.sdamgia.ru/test?id=5458985</x:v>
      </x:c>
      <x:c r="S1748" s="30"/>
      <x:c r="T1748" s="30"/>
      <x:c r="U1748" s="30" t="str">
        <x:v>Расхождений не обнаружено.</x:v>
      </x:c>
      <x:c r="V1748" s="87" t="str">
        <x:v>VERIFIED</x:v>
      </x:c>
      <x:c r="W1748" s="87" t="str">
        <x:v>PDF варианта</x:v>
      </x:c>
      <x:c r="X1748" s="87"/>
      <x:c r="Y1748" s="87"/>
      <x:c r="Z1748" s="87"/>
      <x:c r="AA1748" s="87"/>
      <x:c r="AB1748" s="87"/>
      <x:c r="AC1748" s="87"/>
      <x:c r="AD1748" s="87"/>
      <x:c r="AE1748" s="87"/>
      <x:c r="AF1748" s="87"/>
      <x:c r="AG1748" s="87"/>
      <x:c r="AH1748" s="87"/>
      <x:c r="AI1748" s="30"/>
      <x:c r="AJ1748" s="87" t="str">
        <x:v>master</x:v>
      </x:c>
      <x:c r="AK1748" s="87" t="str">
        <x:v>master-v0.81</x:v>
      </x:c>
      <x:c r="AL1748" s="87" t="str">
        <x:v>statgrad_master_base_v0_81_final(2).xlsx</x:v>
      </x:c>
      <x:c r="AM1748" s="87" t="str">
        <x:v>HIST_Apr_V1</x:v>
      </x:c>
      <x:c r="AN1748" s="87" t="n">
        <x:v>7</x:v>
      </x:c>
    </x:row>
    <x:row r="1749">
      <x:c r="A1749" s="87" t="n">
        <x:v>1748</x:v>
      </x:c>
      <x:c r="B1749" s="87" t="str">
        <x:v>APR-HIS-V1-007</x:v>
      </x:c>
      <x:c r="C1749" s="87" t="str">
        <x:v>СтатГрад</x:v>
      </x:c>
      <x:c r="D1749" s="87" t="str">
        <x:v>Апрель 2026</x:v>
      </x:c>
      <x:c r="E1749" s="87"/>
      <x:c r="F1749" s="87"/>
      <x:c r="G1749" s="87" t="str">
        <x:v>История</x:v>
      </x:c>
      <x:c r="H1749" s="87" t="n">
        <x:v>11</x:v>
      </x:c>
      <x:c r="I1749" s="87" t="str">
        <x:v>ТР №5</x:v>
      </x:c>
      <x:c r="J1749" s="87" t="str">
        <x:v>ИС2510501</x:v>
      </x:c>
      <x:c r="K1749" s="87" t="n">
        <x:v>7</x:v>
      </x:c>
      <x:c r="L1749" s="87" t="str">
        <x:v>Памятники культуры</x:v>
      </x:c>
      <x:c r="M1749" s="30" t="str">
        <x:v>Соотнести Успенский собор Московского Кремля, Теремной дворец, дом Пашкова и дом Мельникова с характеристиками.</x:v>
      </x:c>
      <x:c r="N1749" s="30" t="str">
        <x:v>4216</x:v>
      </x:c>
      <x:c r="O1749" s="30" t="str">
        <x:v>Успенский собор построен итальянским архитектором; Теремной дворец — при Михаиле Фёдоровиче; дом Пашкова — классицизм; дом Мельникова — 1920-е гг.</x:v>
      </x:c>
      <x:c r="P1749" s="30" t="str">
        <x:v>Успенский собор построен итальянским архитектором; Теремной дворец — при Михаиле Фёдоровиче; дом Пашкова — классицизм; дом Мельникова — 1920-е гг.</x:v>
      </x:c>
      <x:c r="Q1749" s="30"/>
      <x:c r="R1749" s="30" t="str">
        <x:v>Полный PDF + опубликованный вариант: https://hist-ege.sdamgia.ru/test?id=5458985</x:v>
      </x:c>
      <x:c r="S1749" s="30"/>
      <x:c r="T1749" s="30"/>
      <x:c r="U1749" s="30" t="str">
        <x:v>Расхождений не обнаружено.</x:v>
      </x:c>
      <x:c r="V1749" s="87" t="str">
        <x:v>VERIFIED</x:v>
      </x:c>
      <x:c r="W1749" s="87" t="str">
        <x:v>PDF варианта</x:v>
      </x:c>
      <x:c r="X1749" s="87"/>
      <x:c r="Y1749" s="87"/>
      <x:c r="Z1749" s="87"/>
      <x:c r="AA1749" s="87"/>
      <x:c r="AB1749" s="87"/>
      <x:c r="AC1749" s="87"/>
      <x:c r="AD1749" s="87"/>
      <x:c r="AE1749" s="87"/>
      <x:c r="AF1749" s="87"/>
      <x:c r="AG1749" s="87"/>
      <x:c r="AH1749" s="87"/>
      <x:c r="AI1749" s="30"/>
      <x:c r="AJ1749" s="87" t="str">
        <x:v>master</x:v>
      </x:c>
      <x:c r="AK1749" s="87" t="str">
        <x:v>master-v0.81</x:v>
      </x:c>
      <x:c r="AL1749" s="87" t="str">
        <x:v>statgrad_master_base_v0_81_final(2).xlsx</x:v>
      </x:c>
      <x:c r="AM1749" s="87" t="str">
        <x:v>HIST_Apr_V1</x:v>
      </x:c>
      <x:c r="AN1749" s="87" t="n">
        <x:v>8</x:v>
      </x:c>
    </x:row>
    <x:row r="1750">
      <x:c r="A1750" s="87" t="n">
        <x:v>1749</x:v>
      </x:c>
      <x:c r="B1750" s="87" t="str">
        <x:v>APR-HIS-V1-008</x:v>
      </x:c>
      <x:c r="C1750" s="87" t="str">
        <x:v>СтатГрад</x:v>
      </x:c>
      <x:c r="D1750" s="87" t="str">
        <x:v>Апрель 2026</x:v>
      </x:c>
      <x:c r="E1750" s="87"/>
      <x:c r="F1750" s="87"/>
      <x:c r="G1750" s="87" t="str">
        <x:v>История</x:v>
      </x:c>
      <x:c r="H1750" s="87" t="n">
        <x:v>11</x:v>
      </x:c>
      <x:c r="I1750" s="87" t="str">
        <x:v>ТР №5</x:v>
      </x:c>
      <x:c r="J1750" s="87" t="str">
        <x:v>ИС2510501</x:v>
      </x:c>
      <x:c r="K1750" s="87" t="n">
        <x:v>8</x:v>
      </x:c>
      <x:c r="L1750" s="87" t="str">
        <x:v>Военная история и изображение</x:v>
      </x:c>
      <x:c r="M1750" s="30" t="str">
        <x:v>Определить пропущенное слово в обозначении года военной операции, связанной с изображением.</x:v>
      </x:c>
      <x:c r="N1750" s="30" t="str">
        <x:v>сорок четвёртом</x:v>
      </x:c>
      <x:c r="O1750" s="30" t="str">
        <x:v>Изображение связано с событиями Великой Отечественной войны 1944 года.</x:v>
      </x:c>
      <x:c r="P1750" s="30" t="str">
        <x:v>Изображение связано с событиями Великой Отечественной войны 1944 года.</x:v>
      </x:c>
      <x:c r="Q1750" s="30"/>
      <x:c r="R1750" s="30" t="str">
        <x:v>Полный PDF + опубликованный вариант: https://hist-ege.sdamgia.ru/test?id=5458985</x:v>
      </x:c>
      <x:c r="S1750" s="30"/>
      <x:c r="T1750" s="30"/>
      <x:c r="U1750" s="30" t="str">
        <x:v>Расхождений не обнаружено.</x:v>
      </x:c>
      <x:c r="V1750" s="87" t="str">
        <x:v>VERIFIED</x:v>
      </x:c>
      <x:c r="W1750" s="87" t="str">
        <x:v>PDF варианта</x:v>
      </x:c>
      <x:c r="X1750" s="87"/>
      <x:c r="Y1750" s="87"/>
      <x:c r="Z1750" s="87"/>
      <x:c r="AA1750" s="87"/>
      <x:c r="AB1750" s="87"/>
      <x:c r="AC1750" s="87"/>
      <x:c r="AD1750" s="87"/>
      <x:c r="AE1750" s="87"/>
      <x:c r="AF1750" s="87"/>
      <x:c r="AG1750" s="87"/>
      <x:c r="AH1750" s="87"/>
      <x:c r="AI1750" s="30"/>
      <x:c r="AJ1750" s="87" t="str">
        <x:v>master</x:v>
      </x:c>
      <x:c r="AK1750" s="87" t="str">
        <x:v>master-v0.81</x:v>
      </x:c>
      <x:c r="AL1750" s="87" t="str">
        <x:v>statgrad_master_base_v0_81_final(2).xlsx</x:v>
      </x:c>
      <x:c r="AM1750" s="87" t="str">
        <x:v>HIST_Apr_V1</x:v>
      </x:c>
      <x:c r="AN1750" s="87" t="n">
        <x:v>9</x:v>
      </x:c>
    </x:row>
    <x:row r="1751">
      <x:c r="A1751" s="87" t="n">
        <x:v>1750</x:v>
      </x:c>
      <x:c r="B1751" s="87" t="str">
        <x:v>APR-HIS-V1-009</x:v>
      </x:c>
      <x:c r="C1751" s="87" t="str">
        <x:v>СтатГрад</x:v>
      </x:c>
      <x:c r="D1751" s="87" t="str">
        <x:v>Апрель 2026</x:v>
      </x:c>
      <x:c r="E1751" s="87"/>
      <x:c r="F1751" s="87"/>
      <x:c r="G1751" s="87" t="str">
        <x:v>История</x:v>
      </x:c>
      <x:c r="H1751" s="87" t="n">
        <x:v>11</x:v>
      </x:c>
      <x:c r="I1751" s="87" t="str">
        <x:v>ТР №5</x:v>
      </x:c>
      <x:c r="J1751" s="87" t="str">
        <x:v>ИС2510501</x:v>
      </x:c>
      <x:c r="K1751" s="87" t="n">
        <x:v>9</x:v>
      </x:c>
      <x:c r="L1751" s="87" t="str">
        <x:v>Историческая эпоха по изображению</x:v>
      </x:c>
      <x:c r="M1751" s="30" t="str">
        <x:v>Назвать войну, к которой относится изображённое событие.</x:v>
      </x:c>
      <x:c r="N1751" s="30" t="str">
        <x:v>Гражданская война</x:v>
      </x:c>
      <x:c r="O1751" s="30" t="str">
        <x:v>Изображение и связанные лица относятся к Гражданской войне в России.</x:v>
      </x:c>
      <x:c r="P1751" s="30" t="str">
        <x:v>Изображение и связанные лица относятся к Гражданской войне в России.</x:v>
      </x:c>
      <x:c r="Q1751" s="30"/>
      <x:c r="R1751" s="30" t="str">
        <x:v>Полный PDF + опубликованный вариант: https://hist-ege.sdamgia.ru/test?id=5458985</x:v>
      </x:c>
      <x:c r="S1751" s="30"/>
      <x:c r="T1751" s="30"/>
      <x:c r="U1751" s="30" t="str">
        <x:v>Расхождений не обнаружено.</x:v>
      </x:c>
      <x:c r="V1751" s="87" t="str">
        <x:v>VERIFIED</x:v>
      </x:c>
      <x:c r="W1751" s="87" t="str">
        <x:v>PDF варианта</x:v>
      </x:c>
      <x:c r="X1751" s="87"/>
      <x:c r="Y1751" s="87"/>
      <x:c r="Z1751" s="87"/>
      <x:c r="AA1751" s="87"/>
      <x:c r="AB1751" s="87"/>
      <x:c r="AC1751" s="87"/>
      <x:c r="AD1751" s="87"/>
      <x:c r="AE1751" s="87"/>
      <x:c r="AF1751" s="87"/>
      <x:c r="AG1751" s="87"/>
      <x:c r="AH1751" s="87"/>
      <x:c r="AI1751" s="30"/>
      <x:c r="AJ1751" s="87" t="str">
        <x:v>master</x:v>
      </x:c>
      <x:c r="AK1751" s="87" t="str">
        <x:v>master-v0.81</x:v>
      </x:c>
      <x:c r="AL1751" s="87" t="str">
        <x:v>statgrad_master_base_v0_81_final(2).xlsx</x:v>
      </x:c>
      <x:c r="AM1751" s="87" t="str">
        <x:v>HIST_Apr_V1</x:v>
      </x:c>
      <x:c r="AN1751" s="87" t="n">
        <x:v>10</x:v>
      </x:c>
    </x:row>
    <x:row r="1752">
      <x:c r="A1752" s="87" t="n">
        <x:v>1751</x:v>
      </x:c>
      <x:c r="B1752" s="87" t="str">
        <x:v>APR-HIS-V1-010</x:v>
      </x:c>
      <x:c r="C1752" s="87" t="str">
        <x:v>СтатГрад</x:v>
      </x:c>
      <x:c r="D1752" s="87" t="str">
        <x:v>Апрель 2026</x:v>
      </x:c>
      <x:c r="E1752" s="87"/>
      <x:c r="F1752" s="87"/>
      <x:c r="G1752" s="87" t="str">
        <x:v>История</x:v>
      </x:c>
      <x:c r="H1752" s="87" t="n">
        <x:v>11</x:v>
      </x:c>
      <x:c r="I1752" s="87" t="str">
        <x:v>ТР №5</x:v>
      </x:c>
      <x:c r="J1752" s="87" t="str">
        <x:v>ИС2510501</x:v>
      </x:c>
      <x:c r="K1752" s="87" t="n">
        <x:v>10</x:v>
      </x:c>
      <x:c r="L1752" s="87" t="str">
        <x:v>Исторический деятель</x:v>
      </x:c>
      <x:c r="M1752" s="30" t="str">
        <x:v>Назвать военачальника Белого движения, связанного с изображёнными событиями.</x:v>
      </x:c>
      <x:c r="N1752" s="30" t="str">
        <x:v>Деникин</x:v>
      </x:c>
      <x:c r="O1752" s="30" t="str">
        <x:v>Речь идёт об А. И. Деникине, командовавшем Вооружёнными силами Юга России.</x:v>
      </x:c>
      <x:c r="P1752" s="30" t="str">
        <x:v>Речь идёт об А. И. Деникине, командовавшем Вооружёнными силами Юга России.</x:v>
      </x:c>
      <x:c r="Q1752" s="30"/>
      <x:c r="R1752" s="30" t="str">
        <x:v>Полный PDF + опубликованный вариант: https://hist-ege.sdamgia.ru/test?id=5458985</x:v>
      </x:c>
      <x:c r="S1752" s="30"/>
      <x:c r="T1752" s="30"/>
      <x:c r="U1752" s="30" t="str">
        <x:v>Расхождений не обнаружено.</x:v>
      </x:c>
      <x:c r="V1752" s="87" t="str">
        <x:v>VERIFIED</x:v>
      </x:c>
      <x:c r="W1752" s="87" t="str">
        <x:v>PDF варианта</x:v>
      </x:c>
      <x:c r="X1752" s="87"/>
      <x:c r="Y1752" s="87"/>
      <x:c r="Z1752" s="87"/>
      <x:c r="AA1752" s="87"/>
      <x:c r="AB1752" s="87"/>
      <x:c r="AC1752" s="87"/>
      <x:c r="AD1752" s="87"/>
      <x:c r="AE1752" s="87"/>
      <x:c r="AF1752" s="87"/>
      <x:c r="AG1752" s="87"/>
      <x:c r="AH1752" s="87"/>
      <x:c r="AI1752" s="30"/>
      <x:c r="AJ1752" s="87" t="str">
        <x:v>master</x:v>
      </x:c>
      <x:c r="AK1752" s="87" t="str">
        <x:v>master-v0.81</x:v>
      </x:c>
      <x:c r="AL1752" s="87" t="str">
        <x:v>statgrad_master_base_v0_81_final(2).xlsx</x:v>
      </x:c>
      <x:c r="AM1752" s="87" t="str">
        <x:v>HIST_Apr_V1</x:v>
      </x:c>
      <x:c r="AN1752" s="87" t="n">
        <x:v>11</x:v>
      </x:c>
    </x:row>
    <x:row r="1753">
      <x:c r="A1753" s="87" t="n">
        <x:v>1752</x:v>
      </x:c>
      <x:c r="B1753" s="87" t="str">
        <x:v>APR-HIS-V1-011</x:v>
      </x:c>
      <x:c r="C1753" s="87" t="str">
        <x:v>СтатГрад</x:v>
      </x:c>
      <x:c r="D1753" s="87" t="str">
        <x:v>Апрель 2026</x:v>
      </x:c>
      <x:c r="E1753" s="87"/>
      <x:c r="F1753" s="87"/>
      <x:c r="G1753" s="87" t="str">
        <x:v>История</x:v>
      </x:c>
      <x:c r="H1753" s="87" t="n">
        <x:v>11</x:v>
      </x:c>
      <x:c r="I1753" s="87" t="str">
        <x:v>ТР №5</x:v>
      </x:c>
      <x:c r="J1753" s="87" t="str">
        <x:v>ИС2510501</x:v>
      </x:c>
      <x:c r="K1753" s="87" t="n">
        <x:v>11</x:v>
      </x:c>
      <x:c r="L1753" s="87" t="str">
        <x:v>Историческая карта</x:v>
      </x:c>
      <x:c r="M1753" s="30" t="str">
        <x:v>Назвать город, обозначенный на схеме военных действий.</x:v>
      </x:c>
      <x:c r="N1753" s="30" t="str">
        <x:v>Курск</x:v>
      </x:c>
      <x:c r="O1753" s="30" t="str">
        <x:v>По направлению фронтов и положению населённого пункта на схеме определяется Курск.</x:v>
      </x:c>
      <x:c r="P1753" s="30" t="str">
        <x:v>Карта проверена визуально по полному PDF.</x:v>
      </x:c>
      <x:c r="Q1753" s="30"/>
      <x:c r="R1753" s="30" t="str">
        <x:v>Полный PDF + опубликованный вариант: https://hist-ege.sdamgia.ru/test?id=5458985</x:v>
      </x:c>
      <x:c r="S1753" s="30"/>
      <x:c r="T1753" s="30"/>
      <x:c r="U1753" s="30" t="str">
        <x:v>Расхождений не обнаружено.</x:v>
      </x:c>
      <x:c r="V1753" s="87" t="str">
        <x:v>VERIFIED</x:v>
      </x:c>
      <x:c r="W1753" s="87" t="str">
        <x:v>PDF варианта</x:v>
      </x:c>
      <x:c r="X1753" s="87"/>
      <x:c r="Y1753" s="87"/>
      <x:c r="Z1753" s="87"/>
      <x:c r="AA1753" s="87"/>
      <x:c r="AB1753" s="87"/>
      <x:c r="AC1753" s="87"/>
      <x:c r="AD1753" s="87"/>
      <x:c r="AE1753" s="87"/>
      <x:c r="AF1753" s="87"/>
      <x:c r="AG1753" s="87"/>
      <x:c r="AH1753" s="87"/>
      <x:c r="AI1753" s="30"/>
      <x:c r="AJ1753" s="87" t="str">
        <x:v>master</x:v>
      </x:c>
      <x:c r="AK1753" s="87" t="str">
        <x:v>master-v0.81</x:v>
      </x:c>
      <x:c r="AL1753" s="87" t="str">
        <x:v>statgrad_master_base_v0_81_final(2).xlsx</x:v>
      </x:c>
      <x:c r="AM1753" s="87" t="str">
        <x:v>HIST_Apr_V1</x:v>
      </x:c>
      <x:c r="AN1753" s="87" t="n">
        <x:v>12</x:v>
      </x:c>
    </x:row>
    <x:row r="1754">
      <x:c r="A1754" s="87" t="n">
        <x:v>1753</x:v>
      </x:c>
      <x:c r="B1754" s="87" t="str">
        <x:v>APR-HIS-V1-012</x:v>
      </x:c>
      <x:c r="C1754" s="87" t="str">
        <x:v>СтатГрад</x:v>
      </x:c>
      <x:c r="D1754" s="87" t="str">
        <x:v>Апрель 2026</x:v>
      </x:c>
      <x:c r="E1754" s="87"/>
      <x:c r="F1754" s="87"/>
      <x:c r="G1754" s="87" t="str">
        <x:v>История</x:v>
      </x:c>
      <x:c r="H1754" s="87" t="n">
        <x:v>11</x:v>
      </x:c>
      <x:c r="I1754" s="87" t="str">
        <x:v>ТР №5</x:v>
      </x:c>
      <x:c r="J1754" s="87" t="str">
        <x:v>ИС2510501</x:v>
      </x:c>
      <x:c r="K1754" s="87" t="n">
        <x:v>12</x:v>
      </x:c>
      <x:c r="L1754" s="87" t="str">
        <x:v>Суждения по карте</x:v>
      </x:c>
      <x:c r="M1754" s="30" t="str">
        <x:v>Выбрать верные суждения, относящиеся к исторической схеме.</x:v>
      </x:c>
      <x:c r="N1754" s="30" t="str">
        <x:v>234</x:v>
      </x:c>
      <x:c r="O1754" s="30" t="str">
        <x:v>Три утверждения подтверждаются направлениями ударов, географией и хронологией событий на схеме.</x:v>
      </x:c>
      <x:c r="P1754" s="30" t="str">
        <x:v>Три утверждения подтверждаются направлениями ударов, географией и хронологией событий на схеме.</x:v>
      </x:c>
      <x:c r="Q1754" s="30"/>
      <x:c r="R1754" s="30" t="str">
        <x:v>Полный PDF + опубликованный вариант: https://hist-ege.sdamgia.ru/test?id=5458985</x:v>
      </x:c>
      <x:c r="S1754" s="30"/>
      <x:c r="T1754" s="30"/>
      <x:c r="U1754" s="30" t="str">
        <x:v>Расхождений не обнаружено.</x:v>
      </x:c>
      <x:c r="V1754" s="87" t="str">
        <x:v>VERIFIED</x:v>
      </x:c>
      <x:c r="W1754" s="87" t="str">
        <x:v>PDF варианта</x:v>
      </x:c>
      <x:c r="X1754" s="87"/>
      <x:c r="Y1754" s="87"/>
      <x:c r="Z1754" s="87"/>
      <x:c r="AA1754" s="87"/>
      <x:c r="AB1754" s="87"/>
      <x:c r="AC1754" s="87"/>
      <x:c r="AD1754" s="87"/>
      <x:c r="AE1754" s="87"/>
      <x:c r="AF1754" s="87"/>
      <x:c r="AG1754" s="87"/>
      <x:c r="AH1754" s="87"/>
      <x:c r="AI1754" s="30"/>
      <x:c r="AJ1754" s="87" t="str">
        <x:v>master</x:v>
      </x:c>
      <x:c r="AK1754" s="87" t="str">
        <x:v>master-v0.81</x:v>
      </x:c>
      <x:c r="AL1754" s="87" t="str">
        <x:v>statgrad_master_base_v0_81_final(2).xlsx</x:v>
      </x:c>
      <x:c r="AM1754" s="87" t="str">
        <x:v>HIST_Apr_V1</x:v>
      </x:c>
      <x:c r="AN1754" s="87" t="n">
        <x:v>13</x:v>
      </x:c>
    </x:row>
    <x:row r="1755">
      <x:c r="A1755" s="87" t="n">
        <x:v>1754</x:v>
      </x:c>
      <x:c r="B1755" s="87" t="str">
        <x:v>APR-HIS-V1-013</x:v>
      </x:c>
      <x:c r="C1755" s="87" t="str">
        <x:v>СтатГрад</x:v>
      </x:c>
      <x:c r="D1755" s="87" t="str">
        <x:v>Апрель 2026</x:v>
      </x:c>
      <x:c r="E1755" s="87"/>
      <x:c r="F1755" s="87"/>
      <x:c r="G1755" s="87" t="str">
        <x:v>История</x:v>
      </x:c>
      <x:c r="H1755" s="87" t="n">
        <x:v>11</x:v>
      </x:c>
      <x:c r="I1755" s="87" t="str">
        <x:v>ТР №5</x:v>
      </x:c>
      <x:c r="J1755" s="87" t="str">
        <x:v>ИС2510501</x:v>
      </x:c>
      <x:c r="K1755" s="87" t="n">
        <x:v>13</x:v>
      </x:c>
      <x:c r="L1755" s="87" t="str">
        <x:v>Анализ письменного источника</x:v>
      </x:c>
      <x:c r="M1755" s="30" t="str">
        <x:v>По дневниковой записи о взрыве в Зимнем дворце назвать императора, год события и организацию, подготовившую покушение.</x:v>
      </x:c>
      <x:c r="N1755" s="30" t="str">
        <x:v>Александр II; 1880; «Народная воля»</x:v>
      </x:c>
      <x:c r="O1755" s="30" t="str">
        <x:v>Взрыв в Зимнем дворце был организован народовольцем С. Н. Халтуриным в 1880 г. в царствование Александра II.</x:v>
      </x:c>
      <x:c r="P1755" s="30" t="str">
        <x:v>Взрыв в Зимнем дворце был организован народовольцем С. Н. Халтуриным в 1880 г. в царствование Александра II.</x:v>
      </x:c>
      <x:c r="Q1755" s="30"/>
      <x:c r="R1755" s="30" t="str">
        <x:v>Полный PDF + опубликованный вариант: https://hist-ege.sdamgia.ru/test?id=5458985</x:v>
      </x:c>
      <x:c r="S1755" s="30"/>
      <x:c r="T1755" s="30"/>
      <x:c r="U1755" s="30" t="str">
        <x:v>Расхождений не обнаружено.</x:v>
      </x:c>
      <x:c r="V1755" s="87" t="str">
        <x:v>VERIFIED</x:v>
      </x:c>
      <x:c r="W1755" s="87" t="str">
        <x:v>PDF варианта</x:v>
      </x:c>
      <x:c r="X1755" s="87"/>
      <x:c r="Y1755" s="87"/>
      <x:c r="Z1755" s="87"/>
      <x:c r="AA1755" s="87"/>
      <x:c r="AB1755" s="87"/>
      <x:c r="AC1755" s="87"/>
      <x:c r="AD1755" s="87"/>
      <x:c r="AE1755" s="87"/>
      <x:c r="AF1755" s="87"/>
      <x:c r="AG1755" s="87"/>
      <x:c r="AH1755" s="87"/>
      <x:c r="AI1755" s="30"/>
      <x:c r="AJ1755" s="87" t="str">
        <x:v>master</x:v>
      </x:c>
      <x:c r="AK1755" s="87" t="str">
        <x:v>master-v0.81</x:v>
      </x:c>
      <x:c r="AL1755" s="87" t="str">
        <x:v>statgrad_master_base_v0_81_final(2).xlsx</x:v>
      </x:c>
      <x:c r="AM1755" s="87" t="str">
        <x:v>HIST_Apr_V1</x:v>
      </x:c>
      <x:c r="AN1755" s="87" t="n">
        <x:v>14</x:v>
      </x:c>
    </x:row>
    <x:row r="1756">
      <x:c r="A1756" s="87" t="n">
        <x:v>1755</x:v>
      </x:c>
      <x:c r="B1756" s="87" t="str">
        <x:v>APR-HIS-V1-014</x:v>
      </x:c>
      <x:c r="C1756" s="87" t="str">
        <x:v>СтатГрад</x:v>
      </x:c>
      <x:c r="D1756" s="87" t="str">
        <x:v>Апрель 2026</x:v>
      </x:c>
      <x:c r="E1756" s="87"/>
      <x:c r="F1756" s="87"/>
      <x:c r="G1756" s="87" t="str">
        <x:v>История</x:v>
      </x:c>
      <x:c r="H1756" s="87" t="n">
        <x:v>11</x:v>
      </x:c>
      <x:c r="I1756" s="87" t="str">
        <x:v>ТР №5</x:v>
      </x:c>
      <x:c r="J1756" s="87" t="str">
        <x:v>ИС2510501</x:v>
      </x:c>
      <x:c r="K1756" s="87" t="n">
        <x:v>14</x:v>
      </x:c>
      <x:c r="L1756" s="87" t="str">
        <x:v>Поиск информации в источнике</x:v>
      </x:c>
      <x:c r="M1756" s="30" t="str">
        <x:v>Объяснить, почему царская семья не пострадала, как император воспринял событие и почему покушение особенно поразило современников.</x:v>
      </x:c>
      <x:c r="N1756" s="30" t="str">
        <x:v>Ужин задержали из-за ожидания принца Гессенского; Александр II сохранил самообладание и увидел Божье покровительство; заговорщики смогли заложить взрывчатку внутри императорского дворца.</x:v>
      </x:c>
      <x:c r="O1756" s="30" t="str">
        <x:v>Все три положения непосредственно следуют из дневникового отрывка.</x:v>
      </x:c>
      <x:c r="P1756" s="30" t="str">
        <x:v>Все три положения непосредственно следуют из дневникового отрывка.</x:v>
      </x:c>
      <x:c r="Q1756" s="30"/>
      <x:c r="R1756" s="30" t="str">
        <x:v>Полный PDF + опубликованный вариант: https://hist-ege.sdamgia.ru/test?id=5458985</x:v>
      </x:c>
      <x:c r="S1756" s="30"/>
      <x:c r="T1756" s="30"/>
      <x:c r="U1756" s="30" t="str">
        <x:v>Расхождений не обнаружено.</x:v>
      </x:c>
      <x:c r="V1756" s="87" t="str">
        <x:v>VERIFIED</x:v>
      </x:c>
      <x:c r="W1756" s="87" t="str">
        <x:v>PDF варианта</x:v>
      </x:c>
      <x:c r="X1756" s="87"/>
      <x:c r="Y1756" s="87"/>
      <x:c r="Z1756" s="87"/>
      <x:c r="AA1756" s="87"/>
      <x:c r="AB1756" s="87"/>
      <x:c r="AC1756" s="87"/>
      <x:c r="AD1756" s="87"/>
      <x:c r="AE1756" s="87"/>
      <x:c r="AF1756" s="87"/>
      <x:c r="AG1756" s="87"/>
      <x:c r="AH1756" s="87"/>
      <x:c r="AI1756" s="30"/>
      <x:c r="AJ1756" s="87" t="str">
        <x:v>master</x:v>
      </x:c>
      <x:c r="AK1756" s="87" t="str">
        <x:v>master-v0.81</x:v>
      </x:c>
      <x:c r="AL1756" s="87" t="str">
        <x:v>statgrad_master_base_v0_81_final(2).xlsx</x:v>
      </x:c>
      <x:c r="AM1756" s="87" t="str">
        <x:v>HIST_Apr_V1</x:v>
      </x:c>
      <x:c r="AN1756" s="87" t="n">
        <x:v>15</x:v>
      </x:c>
    </x:row>
    <x:row r="1757">
      <x:c r="A1757" s="87" t="n">
        <x:v>1756</x:v>
      </x:c>
      <x:c r="B1757" s="87" t="str">
        <x:v>APR-HIS-V1-015</x:v>
      </x:c>
      <x:c r="C1757" s="87" t="str">
        <x:v>СтатГрад</x:v>
      </x:c>
      <x:c r="D1757" s="87" t="str">
        <x:v>Апрель 2026</x:v>
      </x:c>
      <x:c r="E1757" s="87"/>
      <x:c r="F1757" s="87"/>
      <x:c r="G1757" s="87" t="str">
        <x:v>История</x:v>
      </x:c>
      <x:c r="H1757" s="87" t="n">
        <x:v>11</x:v>
      </x:c>
      <x:c r="I1757" s="87" t="str">
        <x:v>ТР №5</x:v>
      </x:c>
      <x:c r="J1757" s="87" t="str">
        <x:v>ИС2510501</x:v>
      </x:c>
      <x:c r="K1757" s="87" t="n">
        <x:v>15</x:v>
      </x:c>
      <x:c r="L1757" s="87" t="str">
        <x:v>Атрибуция почтовой марки</x:v>
      </x:c>
      <x:c r="M1757" s="30" t="str">
        <x:v>Назвать руководителя СССР в год выпуска марки к столетию А. С. Попова.</x:v>
      </x:c>
      <x:c r="N1757" s="30" t="str">
        <x:v>Н. С. Хрущёв</x:v>
      </x:c>
      <x:c r="O1757" s="30" t="str">
        <x:v>А. С. Попов родился в 1859 г.; столетняя марка выпущена в 1959 г., когда первым секретарём ЦК КПСС был Н. С. Хрущёв.</x:v>
      </x:c>
      <x:c r="P1757" s="30" t="str">
        <x:v>А. С. Попов родился в 1859 г.; столетняя марка выпущена в 1959 г., когда первым секретарём ЦК КПСС был Н. С. Хрущёв.</x:v>
      </x:c>
      <x:c r="Q1757" s="30"/>
      <x:c r="R1757" s="30" t="str">
        <x:v>Полный PDF + опубликованный вариант: https://hist-ege.sdamgia.ru/test?id=5458985</x:v>
      </x:c>
      <x:c r="S1757" s="30"/>
      <x:c r="T1757" s="30"/>
      <x:c r="U1757" s="30" t="str">
        <x:v>Расхождений не обнаружено.</x:v>
      </x:c>
      <x:c r="V1757" s="87" t="str">
        <x:v>VERIFIED</x:v>
      </x:c>
      <x:c r="W1757" s="87" t="str">
        <x:v>PDF варианта</x:v>
      </x:c>
      <x:c r="X1757" s="87"/>
      <x:c r="Y1757" s="87"/>
      <x:c r="Z1757" s="87"/>
      <x:c r="AA1757" s="87"/>
      <x:c r="AB1757" s="87"/>
      <x:c r="AC1757" s="87"/>
      <x:c r="AD1757" s="87"/>
      <x:c r="AE1757" s="87"/>
      <x:c r="AF1757" s="87"/>
      <x:c r="AG1757" s="87"/>
      <x:c r="AH1757" s="87"/>
      <x:c r="AI1757" s="30"/>
      <x:c r="AJ1757" s="87" t="str">
        <x:v>master</x:v>
      </x:c>
      <x:c r="AK1757" s="87" t="str">
        <x:v>master-v0.81</x:v>
      </x:c>
      <x:c r="AL1757" s="87" t="str">
        <x:v>statgrad_master_base_v0_81_final(2).xlsx</x:v>
      </x:c>
      <x:c r="AM1757" s="87" t="str">
        <x:v>HIST_Apr_V1</x:v>
      </x:c>
      <x:c r="AN1757" s="87" t="n">
        <x:v>16</x:v>
      </x:c>
    </x:row>
    <x:row r="1758">
      <x:c r="A1758" s="87" t="n">
        <x:v>1757</x:v>
      </x:c>
      <x:c r="B1758" s="87" t="str">
        <x:v>APR-HIS-V1-016</x:v>
      </x:c>
      <x:c r="C1758" s="87" t="str">
        <x:v>СтатГрад</x:v>
      </x:c>
      <x:c r="D1758" s="87" t="str">
        <x:v>Апрель 2026</x:v>
      </x:c>
      <x:c r="E1758" s="87"/>
      <x:c r="F1758" s="87"/>
      <x:c r="G1758" s="87" t="str">
        <x:v>История</x:v>
      </x:c>
      <x:c r="H1758" s="87" t="n">
        <x:v>11</x:v>
      </x:c>
      <x:c r="I1758" s="87" t="str">
        <x:v>ТР №5</x:v>
      </x:c>
      <x:c r="J1758" s="87" t="str">
        <x:v>ИС2510501</x:v>
      </x:c>
      <x:c r="K1758" s="87" t="n">
        <x:v>16</x:v>
      </x:c>
      <x:c r="L1758" s="87" t="str">
        <x:v>Памятник культуры по изображению</x:v>
      </x:c>
      <x:c r="M1758" s="30" t="str">
        <x:v>Выбрать изображение произведения, созданного в тот же период, и назвать автора.</x:v>
      </x:c>
      <x:c r="N1758" s="30" t="str">
        <x:v>4; И. Е. Репин</x:v>
      </x:c>
      <x:c r="O1758" s="30" t="str">
        <x:v>Изображение №4 относится к творчеству И. Е. Репина и соответствует требуемой эпохе.</x:v>
      </x:c>
      <x:c r="P1758" s="30" t="str">
        <x:v>Изображение №4 относится к творчеству И. Е. Репина и соответствует требуемой эпохе.</x:v>
      </x:c>
      <x:c r="Q1758" s="30"/>
      <x:c r="R1758" s="30" t="str">
        <x:v>Полный PDF + опубликованный вариант: https://hist-ege.sdamgia.ru/test?id=5458985</x:v>
      </x:c>
      <x:c r="S1758" s="30"/>
      <x:c r="T1758" s="30"/>
      <x:c r="U1758" s="30" t="str">
        <x:v>Расхождений не обнаружено.</x:v>
      </x:c>
      <x:c r="V1758" s="87" t="str">
        <x:v>VERIFIED</x:v>
      </x:c>
      <x:c r="W1758" s="87" t="str">
        <x:v>PDF варианта</x:v>
      </x:c>
      <x:c r="X1758" s="87"/>
      <x:c r="Y1758" s="87"/>
      <x:c r="Z1758" s="87"/>
      <x:c r="AA1758" s="87"/>
      <x:c r="AB1758" s="87"/>
      <x:c r="AC1758" s="87"/>
      <x:c r="AD1758" s="87"/>
      <x:c r="AE1758" s="87"/>
      <x:c r="AF1758" s="87"/>
      <x:c r="AG1758" s="87"/>
      <x:c r="AH1758" s="87"/>
      <x:c r="AI1758" s="30"/>
      <x:c r="AJ1758" s="87" t="str">
        <x:v>master</x:v>
      </x:c>
      <x:c r="AK1758" s="87" t="str">
        <x:v>master-v0.81</x:v>
      </x:c>
      <x:c r="AL1758" s="87" t="str">
        <x:v>statgrad_master_base_v0_81_final(2).xlsx</x:v>
      </x:c>
      <x:c r="AM1758" s="87" t="str">
        <x:v>HIST_Apr_V1</x:v>
      </x:c>
      <x:c r="AN1758" s="87" t="n">
        <x:v>17</x:v>
      </x:c>
    </x:row>
    <x:row r="1759">
      <x:c r="A1759" s="87" t="n">
        <x:v>1758</x:v>
      </x:c>
      <x:c r="B1759" s="87" t="str">
        <x:v>APR-HIS-V1-017</x:v>
      </x:c>
      <x:c r="C1759" s="87" t="str">
        <x:v>СтатГрад</x:v>
      </x:c>
      <x:c r="D1759" s="87" t="str">
        <x:v>Апрель 2026</x:v>
      </x:c>
      <x:c r="E1759" s="87"/>
      <x:c r="F1759" s="87"/>
      <x:c r="G1759" s="87" t="str">
        <x:v>История</x:v>
      </x:c>
      <x:c r="H1759" s="87" t="n">
        <x:v>11</x:v>
      </x:c>
      <x:c r="I1759" s="87" t="str">
        <x:v>ТР №5</x:v>
      </x:c>
      <x:c r="J1759" s="87" t="str">
        <x:v>ИС2510501</x:v>
      </x:c>
      <x:c r="K1759" s="87" t="n">
        <x:v>17</x:v>
      </x:c>
      <x:c r="L1759" s="87" t="str">
        <x:v>Анализ источников о Великой Отечественной войне</x:v>
      </x:c>
      <x:c r="M1759" s="30" t="str">
        <x:v>Назвать год и советский фронт, а также объяснить значение описанной операции.</x:v>
      </x:c>
      <x:c r="N1759" s="30" t="str">
        <x:v>1941; Западный фронт; немецкое наступление на Москву было задержано, что позволило создать резервы и укрепить оборону столицы.</x:v>
      </x:c>
      <x:c r="O1759" s="30" t="str">
        <x:v>Речь идёт о боях 1941 г.; в них участвовал Западный фронт. Оперативный успех выиграл время для обороны Москвы.</x:v>
      </x:c>
      <x:c r="P1759" s="30" t="str">
        <x:v>Речь идёт о боях 1941 г.; в них участвовал Западный фронт. Оперативный успех выиграл время для обороны Москвы.</x:v>
      </x:c>
      <x:c r="Q1759" s="30"/>
      <x:c r="R1759" s="30" t="str">
        <x:v>Полный PDF + опубликованный вариант: https://hist-ege.sdamgia.ru/test?id=5458985</x:v>
      </x:c>
      <x:c r="S1759" s="30"/>
      <x:c r="T1759" s="30"/>
      <x:c r="U1759" s="30" t="str">
        <x:v>Расхождений не обнаружено.</x:v>
      </x:c>
      <x:c r="V1759" s="87" t="str">
        <x:v>VERIFIED</x:v>
      </x:c>
      <x:c r="W1759" s="87" t="str">
        <x:v>PDF варианта</x:v>
      </x:c>
      <x:c r="X1759" s="87"/>
      <x:c r="Y1759" s="87"/>
      <x:c r="Z1759" s="87"/>
      <x:c r="AA1759" s="87"/>
      <x:c r="AB1759" s="87"/>
      <x:c r="AC1759" s="87"/>
      <x:c r="AD1759" s="87"/>
      <x:c r="AE1759" s="87"/>
      <x:c r="AF1759" s="87"/>
      <x:c r="AG1759" s="87"/>
      <x:c r="AH1759" s="87"/>
      <x:c r="AI1759" s="30"/>
      <x:c r="AJ1759" s="87" t="str">
        <x:v>master</x:v>
      </x:c>
      <x:c r="AK1759" s="87" t="str">
        <x:v>master-v0.81</x:v>
      </x:c>
      <x:c r="AL1759" s="87" t="str">
        <x:v>statgrad_master_base_v0_81_final(2).xlsx</x:v>
      </x:c>
      <x:c r="AM1759" s="87" t="str">
        <x:v>HIST_Apr_V1</x:v>
      </x:c>
      <x:c r="AN1759" s="87" t="n">
        <x:v>18</x:v>
      </x:c>
    </x:row>
    <x:row r="1760">
      <x:c r="A1760" s="87" t="n">
        <x:v>1759</x:v>
      </x:c>
      <x:c r="B1760" s="87" t="str">
        <x:v>APR-HIS-V1-018</x:v>
      </x:c>
      <x:c r="C1760" s="87" t="str">
        <x:v>СтатГрад</x:v>
      </x:c>
      <x:c r="D1760" s="87" t="str">
        <x:v>Апрель 2026</x:v>
      </x:c>
      <x:c r="E1760" s="87"/>
      <x:c r="F1760" s="87"/>
      <x:c r="G1760" s="87" t="str">
        <x:v>История</x:v>
      </x:c>
      <x:c r="H1760" s="87" t="n">
        <x:v>11</x:v>
      </x:c>
      <x:c r="I1760" s="87" t="str">
        <x:v>ТР №5</x:v>
      </x:c>
      <x:c r="J1760" s="87" t="str">
        <x:v>ИС2510501</x:v>
      </x:c>
      <x:c r="K1760" s="87" t="n">
        <x:v>18</x:v>
      </x:c>
      <x:c r="L1760" s="87" t="str">
        <x:v>Причинно-следственные связи</x:v>
      </x:c>
      <x:c r="M1760" s="30" t="str">
        <x:v>Объяснить роль местничества в усилении власти князя, необходимость единого Судебника и влияние Судебника 1497 г. на положение крестьян.</x:v>
      </x:c>
      <x:c r="N1760" s="30" t="str">
        <x:v>а) Споры бояр о местах делали великого князя арбитром и усиливали его власть. б) Объединённому государству требовались единые правовые нормы. в) Переход крестьян был ограничен Юрьевым днём и выплатой пожилого, что стало шагом к закрепощению.</x:v>
      </x:c>
      <x:c r="O1760" s="30" t="str">
        <x:v>Каждая причина связана с конкретным историческим процессом XV века.</x:v>
      </x:c>
      <x:c r="P1760" s="30" t="str">
        <x:v>Каждая причина связана с конкретным историческим процессом XV века.</x:v>
      </x:c>
      <x:c r="Q1760" s="30"/>
      <x:c r="R1760" s="30" t="str">
        <x:v>Полный PDF + опубликованный вариант: https://hist-ege.sdamgia.ru/test?id=5458985</x:v>
      </x:c>
      <x:c r="S1760" s="30"/>
      <x:c r="T1760" s="30"/>
      <x:c r="U1760" s="30" t="str">
        <x:v>Расхождений не обнаружено.</x:v>
      </x:c>
      <x:c r="V1760" s="87" t="str">
        <x:v>VERIFIED</x:v>
      </x:c>
      <x:c r="W1760" s="87" t="str">
        <x:v>PDF варианта</x:v>
      </x:c>
      <x:c r="X1760" s="87"/>
      <x:c r="Y1760" s="87"/>
      <x:c r="Z1760" s="87"/>
      <x:c r="AA1760" s="87"/>
      <x:c r="AB1760" s="87"/>
      <x:c r="AC1760" s="87"/>
      <x:c r="AD1760" s="87"/>
      <x:c r="AE1760" s="87"/>
      <x:c r="AF1760" s="87"/>
      <x:c r="AG1760" s="87"/>
      <x:c r="AH1760" s="87"/>
      <x:c r="AI1760" s="30"/>
      <x:c r="AJ1760" s="87" t="str">
        <x:v>master</x:v>
      </x:c>
      <x:c r="AK1760" s="87" t="str">
        <x:v>master-v0.81</x:v>
      </x:c>
      <x:c r="AL1760" s="87" t="str">
        <x:v>statgrad_master_base_v0_81_final(2).xlsx</x:v>
      </x:c>
      <x:c r="AM1760" s="87" t="str">
        <x:v>HIST_Apr_V1</x:v>
      </x:c>
      <x:c r="AN1760" s="87" t="n">
        <x:v>19</x:v>
      </x:c>
    </x:row>
    <x:row r="1761">
      <x:c r="A1761" s="87" t="n">
        <x:v>1760</x:v>
      </x:c>
      <x:c r="B1761" s="87" t="str">
        <x:v>APR-HIS-V1-019</x:v>
      </x:c>
      <x:c r="C1761" s="87" t="str">
        <x:v>СтатГрад</x:v>
      </x:c>
      <x:c r="D1761" s="87" t="str">
        <x:v>Апрель 2026</x:v>
      </x:c>
      <x:c r="E1761" s="87"/>
      <x:c r="F1761" s="87"/>
      <x:c r="G1761" s="87" t="str">
        <x:v>История</x:v>
      </x:c>
      <x:c r="H1761" s="87" t="n">
        <x:v>11</x:v>
      </x:c>
      <x:c r="I1761" s="87" t="str">
        <x:v>ТР №5</x:v>
      </x:c>
      <x:c r="J1761" s="87" t="str">
        <x:v>ИС2510501</x:v>
      </x:c>
      <x:c r="K1761" s="87" t="n">
        <x:v>19</x:v>
      </x:c>
      <x:c r="L1761" s="87" t="str">
        <x:v>Историческое понятие</x:v>
      </x:c>
      <x:c r="M1761" s="30" t="str">
        <x:v>Раскрыть понятие «подушная подать» и привести один конкретизирующий факт.</x:v>
      </x:c>
      <x:c r="N1761" s="30" t="str">
        <x:v>Подушная подать — основной прямой налог в Российской империи, взимавшийся с душ мужского пола податных сословий независимо от возраста. Введена Петром I.</x:v>
      </x:c>
      <x:c r="O1761" s="30" t="str">
        <x:v>Определение содержит родовой признак и отличие; факт не дублирует определение.</x:v>
      </x:c>
      <x:c r="P1761" s="30" t="str">
        <x:v>Определение содержит родовой признак и отличие; факт не дублирует определение.</x:v>
      </x:c>
      <x:c r="Q1761" s="30"/>
      <x:c r="R1761" s="30" t="str">
        <x:v>Полный PDF + опубликованный вариант: https://hist-ege.sdamgia.ru/test?id=5458985</x:v>
      </x:c>
      <x:c r="S1761" s="30"/>
      <x:c r="T1761" s="30"/>
      <x:c r="U1761" s="30" t="str">
        <x:v>Расхождений не обнаружено.</x:v>
      </x:c>
      <x:c r="V1761" s="87" t="str">
        <x:v>VERIFIED</x:v>
      </x:c>
      <x:c r="W1761" s="87" t="str">
        <x:v>PDF варианта</x:v>
      </x:c>
      <x:c r="X1761" s="87"/>
      <x:c r="Y1761" s="87"/>
      <x:c r="Z1761" s="87"/>
      <x:c r="AA1761" s="87"/>
      <x:c r="AB1761" s="87"/>
      <x:c r="AC1761" s="87"/>
      <x:c r="AD1761" s="87"/>
      <x:c r="AE1761" s="87"/>
      <x:c r="AF1761" s="87"/>
      <x:c r="AG1761" s="87"/>
      <x:c r="AH1761" s="87"/>
      <x:c r="AI1761" s="30"/>
      <x:c r="AJ1761" s="87" t="str">
        <x:v>master</x:v>
      </x:c>
      <x:c r="AK1761" s="87" t="str">
        <x:v>master-v0.81</x:v>
      </x:c>
      <x:c r="AL1761" s="87" t="str">
        <x:v>statgrad_master_base_v0_81_final(2).xlsx</x:v>
      </x:c>
      <x:c r="AM1761" s="87" t="str">
        <x:v>HIST_Apr_V1</x:v>
      </x:c>
      <x:c r="AN1761" s="87" t="n">
        <x:v>20</x:v>
      </x:c>
    </x:row>
    <x:row r="1762">
      <x:c r="A1762" s="87" t="n">
        <x:v>1761</x:v>
      </x:c>
      <x:c r="B1762" s="87" t="str">
        <x:v>APR-HIS-V1-020</x:v>
      </x:c>
      <x:c r="C1762" s="87" t="str">
        <x:v>СтатГрад</x:v>
      </x:c>
      <x:c r="D1762" s="87" t="str">
        <x:v>Апрель 2026</x:v>
      </x:c>
      <x:c r="E1762" s="87"/>
      <x:c r="F1762" s="87"/>
      <x:c r="G1762" s="87" t="str">
        <x:v>История</x:v>
      </x:c>
      <x:c r="H1762" s="87" t="n">
        <x:v>11</x:v>
      </x:c>
      <x:c r="I1762" s="87" t="str">
        <x:v>ТР №5</x:v>
      </x:c>
      <x:c r="J1762" s="87" t="str">
        <x:v>ИС2510501</x:v>
      </x:c>
      <x:c r="K1762" s="87" t="n">
        <x:v>20</x:v>
      </x:c>
      <x:c r="L1762" s="87" t="str">
        <x:v>Сравнение исторических периодов</x:v>
      </x:c>
      <x:c r="M1762" s="30" t="str">
        <x:v>Сформулировать сходство внешней политики СССР в 1933–1938 и 1985–1991 гг. и привести два обоснования.</x:v>
      </x:c>
      <x:c r="N1762" s="30" t="str">
        <x:v>Тезис: в оба периода СССР стремился к сближению с западными государствами и снижению международной напряжённости. 1) В 1930-е проводилась политика коллективной безопасности и СССР вступил в Лигу Наций в 1934 г. 2) В период нового политического мышления СССР пошёл на соглашения с Западом и согласился на объединение Германии.</x:v>
      </x:c>
      <x:c r="O1762" s="30" t="str">
        <x:v>Тезис подтверждён фактами из каждого периода.</x:v>
      </x:c>
      <x:c r="P1762" s="30" t="str">
        <x:v>Тезис подтверждён фактами из каждого периода.</x:v>
      </x:c>
      <x:c r="Q1762" s="30"/>
      <x:c r="R1762" s="30" t="str">
        <x:v>Полный PDF + опубликованный вариант: https://hist-ege.sdamgia.ru/test?id=5458985</x:v>
      </x:c>
      <x:c r="S1762" s="30"/>
      <x:c r="T1762" s="30"/>
      <x:c r="U1762" s="30" t="str">
        <x:v>Расхождений не обнаружено.</x:v>
      </x:c>
      <x:c r="V1762" s="87" t="str">
        <x:v>VERIFIED</x:v>
      </x:c>
      <x:c r="W1762" s="87" t="str">
        <x:v>PDF варианта</x:v>
      </x:c>
      <x:c r="X1762" s="87"/>
      <x:c r="Y1762" s="87"/>
      <x:c r="Z1762" s="87"/>
      <x:c r="AA1762" s="87"/>
      <x:c r="AB1762" s="87"/>
      <x:c r="AC1762" s="87"/>
      <x:c r="AD1762" s="87"/>
      <x:c r="AE1762" s="87"/>
      <x:c r="AF1762" s="87"/>
      <x:c r="AG1762" s="87"/>
      <x:c r="AH1762" s="87"/>
      <x:c r="AI1762" s="30"/>
      <x:c r="AJ1762" s="87" t="str">
        <x:v>master</x:v>
      </x:c>
      <x:c r="AK1762" s="87" t="str">
        <x:v>master-v0.81</x:v>
      </x:c>
      <x:c r="AL1762" s="87" t="str">
        <x:v>statgrad_master_base_v0_81_final(2).xlsx</x:v>
      </x:c>
      <x:c r="AM1762" s="87" t="str">
        <x:v>HIST_Apr_V1</x:v>
      </x:c>
      <x:c r="AN1762" s="87" t="n">
        <x:v>21</x:v>
      </x:c>
    </x:row>
    <x:row r="1763">
      <x:c r="A1763" s="87" t="n">
        <x:v>1762</x:v>
      </x:c>
      <x:c r="B1763" s="87" t="str">
        <x:v>APR-HIS-V1-021</x:v>
      </x:c>
      <x:c r="C1763" s="87" t="str">
        <x:v>СтатГрад</x:v>
      </x:c>
      <x:c r="D1763" s="87" t="str">
        <x:v>Апрель 2026</x:v>
      </x:c>
      <x:c r="E1763" s="87"/>
      <x:c r="F1763" s="87"/>
      <x:c r="G1763" s="87" t="str">
        <x:v>История</x:v>
      </x:c>
      <x:c r="H1763" s="87" t="n">
        <x:v>11</x:v>
      </x:c>
      <x:c r="I1763" s="87" t="str">
        <x:v>ТР №5</x:v>
      </x:c>
      <x:c r="J1763" s="87" t="str">
        <x:v>ИС2510501</x:v>
      </x:c>
      <x:c r="K1763" s="87" t="n">
        <x:v>21</x:v>
      </x:c>
      <x:c r="L1763" s="87" t="str">
        <x:v>Аргументация по истории России и Франции</x:v>
      </x:c>
      <x:c r="M1763" s="30" t="str">
        <x:v>Доказать, что в России и Франции XVII века духовные лица существенно влияли на государственную политику.</x:v>
      </x:c>
      <x:c r="N1763" s="30" t="str">
        <x:v>Россия: патриарх Филарет в 1619–1633 гг. был фактическим соправителем Михаила Фёдоровича, именовался «великим государем» и участвовал в принятии решений. Франция: кардинал Ришельё в 1624–1642 гг. занимал пост первого министра и фактически руководил политикой Людовика XIII.</x:v>
      </x:c>
      <x:c r="O1763" s="30" t="str">
        <x:v>Оба аргумента содержат конкретные должности, даты и политическую роль.</x:v>
      </x:c>
      <x:c r="P1763" s="30" t="str">
        <x:v>Оба аргумента содержат конкретные должности, даты и политическую роль.</x:v>
      </x:c>
      <x:c r="Q1763" s="30"/>
      <x:c r="R1763" s="30" t="str">
        <x:v>Полный PDF + опубликованный вариант: https://hist-ege.sdamgia.ru/test?id=5458985</x:v>
      </x:c>
      <x:c r="S1763" s="30"/>
      <x:c r="T1763" s="30"/>
      <x:c r="U1763" s="30" t="str">
        <x:v>Расхождений не обнаружено.</x:v>
      </x:c>
      <x:c r="V1763" s="87" t="str">
        <x:v>VERIFIED</x:v>
      </x:c>
      <x:c r="W1763" s="87" t="str">
        <x:v>PDF варианта</x:v>
      </x:c>
      <x:c r="X1763" s="87"/>
      <x:c r="Y1763" s="87"/>
      <x:c r="Z1763" s="87"/>
      <x:c r="AA1763" s="87"/>
      <x:c r="AB1763" s="87"/>
      <x:c r="AC1763" s="87"/>
      <x:c r="AD1763" s="87"/>
      <x:c r="AE1763" s="87"/>
      <x:c r="AF1763" s="87"/>
      <x:c r="AG1763" s="87"/>
      <x:c r="AH1763" s="87"/>
      <x:c r="AI1763" s="30"/>
      <x:c r="AJ1763" s="87" t="str">
        <x:v>master</x:v>
      </x:c>
      <x:c r="AK1763" s="87" t="str">
        <x:v>master-v0.81</x:v>
      </x:c>
      <x:c r="AL1763" s="87" t="str">
        <x:v>statgrad_master_base_v0_81_final(2).xlsx</x:v>
      </x:c>
      <x:c r="AM1763" s="87" t="str">
        <x:v>HIST_Apr_V1</x:v>
      </x:c>
      <x:c r="AN1763" s="87" t="n">
        <x:v>22</x:v>
      </x:c>
    </x:row>
    <x:row r="1764">
      <x:c r="A1764" s="87" t="n">
        <x:v>1763</x:v>
      </x:c>
      <x:c r="B1764" s="87" t="str">
        <x:v>APR-HIS-V2-001</x:v>
      </x:c>
      <x:c r="C1764" s="87" t="str">
        <x:v>СтатГрад</x:v>
      </x:c>
      <x:c r="D1764" s="87" t="str">
        <x:v>Апрель 2026</x:v>
      </x:c>
      <x:c r="E1764" s="87"/>
      <x:c r="F1764" s="87"/>
      <x:c r="G1764" s="87" t="str">
        <x:v>История</x:v>
      </x:c>
      <x:c r="H1764" s="87" t="n">
        <x:v>11</x:v>
      </x:c>
      <x:c r="I1764" s="87" t="str">
        <x:v>ТР №5</x:v>
      </x:c>
      <x:c r="J1764" s="87" t="str">
        <x:v>ИС2510502</x:v>
      </x:c>
      <x:c r="K1764" s="87" t="n">
        <x:v>1</x:v>
      </x:c>
      <x:c r="L1764" s="87" t="str">
        <x:v>Соответствие событий и годов</x:v>
      </x:c>
      <x:c r="M1764" s="30" t="str">
        <x:v>Соотнести учреждение Сената, начало контрнаступления под Сталинградом, Генуэзскую конференцию и отмену кормлений с годами.</x:v>
      </x:c>
      <x:c r="N1764" s="30" t="str">
        <x:v>2541</x:v>
      </x:c>
      <x:c r="O1764" s="30" t="str">
        <x:v>Сенат — 1711 г.; контрнаступление под Сталинградом — 1942 г.; Генуэзская конференция — 1922 г.; отмена кормлений — 1556 г.</x:v>
      </x:c>
      <x:c r="P1764" s="30" t="str">
        <x:v>Сенат — 1711 г.; контрнаступление под Сталинградом — 1942 г.; Генуэзская конференция — 1922 г.; отмена кормлений — 1556 г.</x:v>
      </x:c>
      <x:c r="Q1764" s="30"/>
      <x:c r="R1764" s="30" t="str">
        <x:v>Полный PDF + опубликованный вариант: https://hist-ege.sdamgia.ru/test?id=5463184</x:v>
      </x:c>
      <x:c r="S1764" s="30"/>
      <x:c r="T1764" s="30"/>
      <x:c r="U1764" s="30" t="str">
        <x:v>Расхождений не обнаружено.</x:v>
      </x:c>
      <x:c r="V1764" s="87" t="str">
        <x:v>VERIFIED</x:v>
      </x:c>
      <x:c r="W1764" s="87" t="str">
        <x:v>PDF варианта</x:v>
      </x:c>
      <x:c r="X1764" s="87"/>
      <x:c r="Y1764" s="87"/>
      <x:c r="Z1764" s="87"/>
      <x:c r="AA1764" s="87"/>
      <x:c r="AB1764" s="87"/>
      <x:c r="AC1764" s="87"/>
      <x:c r="AD1764" s="87"/>
      <x:c r="AE1764" s="87"/>
      <x:c r="AF1764" s="87"/>
      <x:c r="AG1764" s="87"/>
      <x:c r="AH1764" s="87"/>
      <x:c r="AI1764" s="30"/>
      <x:c r="AJ1764" s="87" t="str">
        <x:v>master</x:v>
      </x:c>
      <x:c r="AK1764" s="87" t="str">
        <x:v>master-v0.81</x:v>
      </x:c>
      <x:c r="AL1764" s="87" t="str">
        <x:v>statgrad_master_base_v0_81_final(2).xlsx</x:v>
      </x:c>
      <x:c r="AM1764" s="87" t="str">
        <x:v>HIST_Apr_V2</x:v>
      </x:c>
      <x:c r="AN1764" s="87" t="n">
        <x:v>2</x:v>
      </x:c>
    </x:row>
    <x:row r="1765">
      <x:c r="A1765" s="87" t="n">
        <x:v>1764</x:v>
      </x:c>
      <x:c r="B1765" s="87" t="str">
        <x:v>APR-HIS-V2-002</x:v>
      </x:c>
      <x:c r="C1765" s="87" t="str">
        <x:v>СтатГрад</x:v>
      </x:c>
      <x:c r="D1765" s="87" t="str">
        <x:v>Апрель 2026</x:v>
      </x:c>
      <x:c r="E1765" s="87"/>
      <x:c r="F1765" s="87"/>
      <x:c r="G1765" s="87" t="str">
        <x:v>История</x:v>
      </x:c>
      <x:c r="H1765" s="87" t="n">
        <x:v>11</x:v>
      </x:c>
      <x:c r="I1765" s="87" t="str">
        <x:v>ТР №5</x:v>
      </x:c>
      <x:c r="J1765" s="87" t="str">
        <x:v>ИС2510502</x:v>
      </x:c>
      <x:c r="K1765" s="87" t="n">
        <x:v>2</x:v>
      </x:c>
      <x:c r="L1765" s="87" t="str">
        <x:v>Хронологическая последовательность</x:v>
      </x:c>
      <x:c r="M1765" s="30" t="str">
        <x:v>Расположить принятие Декларации прав человека и гражданина, создание «Союза 17 октября» и аварию на Чернобыльской АЭС.</x:v>
      </x:c>
      <x:c r="N1765" s="30" t="str">
        <x:v>132</x:v>
      </x:c>
      <x:c r="O1765" s="30" t="str">
        <x:v>Декларация — 1789 г.; «Союз 17 октября» — 1905 г.; Чернобыльская авария — 1986 г.</x:v>
      </x:c>
      <x:c r="P1765" s="30" t="str">
        <x:v>Декларация — 1789 г.; «Союз 17 октября» — 1905 г.; Чернобыльская авария — 1986 г.</x:v>
      </x:c>
      <x:c r="Q1765" s="30"/>
      <x:c r="R1765" s="30" t="str">
        <x:v>Полный PDF + опубликованный вариант: https://hist-ege.sdamgia.ru/test?id=5463184</x:v>
      </x:c>
      <x:c r="S1765" s="30"/>
      <x:c r="T1765" s="30"/>
      <x:c r="U1765" s="30" t="str">
        <x:v>Расхождений не обнаружено.</x:v>
      </x:c>
      <x:c r="V1765" s="87" t="str">
        <x:v>VERIFIED</x:v>
      </x:c>
      <x:c r="W1765" s="87" t="str">
        <x:v>PDF варианта</x:v>
      </x:c>
      <x:c r="X1765" s="87"/>
      <x:c r="Y1765" s="87"/>
      <x:c r="Z1765" s="87"/>
      <x:c r="AA1765" s="87"/>
      <x:c r="AB1765" s="87"/>
      <x:c r="AC1765" s="87"/>
      <x:c r="AD1765" s="87"/>
      <x:c r="AE1765" s="87"/>
      <x:c r="AF1765" s="87"/>
      <x:c r="AG1765" s="87"/>
      <x:c r="AH1765" s="87"/>
      <x:c r="AI1765" s="30"/>
      <x:c r="AJ1765" s="87" t="str">
        <x:v>master</x:v>
      </x:c>
      <x:c r="AK1765" s="87" t="str">
        <x:v>master-v0.81</x:v>
      </x:c>
      <x:c r="AL1765" s="87" t="str">
        <x:v>statgrad_master_base_v0_81_final(2).xlsx</x:v>
      </x:c>
      <x:c r="AM1765" s="87" t="str">
        <x:v>HIST_Apr_V2</x:v>
      </x:c>
      <x:c r="AN1765" s="87" t="n">
        <x:v>3</x:v>
      </x:c>
    </x:row>
    <x:row r="1766">
      <x:c r="A1766" s="87" t="n">
        <x:v>1765</x:v>
      </x:c>
      <x:c r="B1766" s="87" t="str">
        <x:v>APR-HIS-V2-003</x:v>
      </x:c>
      <x:c r="C1766" s="87" t="str">
        <x:v>СтатГрад</x:v>
      </x:c>
      <x:c r="D1766" s="87" t="str">
        <x:v>Апрель 2026</x:v>
      </x:c>
      <x:c r="E1766" s="87"/>
      <x:c r="F1766" s="87"/>
      <x:c r="G1766" s="87" t="str">
        <x:v>История</x:v>
      </x:c>
      <x:c r="H1766" s="87" t="n">
        <x:v>11</x:v>
      </x:c>
      <x:c r="I1766" s="87" t="str">
        <x:v>ТР №5</x:v>
      </x:c>
      <x:c r="J1766" s="87" t="str">
        <x:v>ИС2510502</x:v>
      </x:c>
      <x:c r="K1766" s="87" t="n">
        <x:v>3</x:v>
      </x:c>
      <x:c r="L1766" s="87" t="str">
        <x:v>Процессы и факты</x:v>
      </x:c>
      <x:c r="M1766" s="30" t="str">
        <x:v>Соотнести военный коммунизм, Семибоярщину, преобразования Александра I и деятельность первых русских князей с фактами.</x:v>
      </x:c>
      <x:c r="N1766" s="30" t="str">
        <x:v>3215</x:v>
      </x:c>
      <x:c r="O1766" s="30" t="str">
        <x:v>Военный коммунизм — запрет частной торговли; Семибоярщина — приглашение Владислава; Александр I — учреждение министерств; первые князья — погосты и уроки.</x:v>
      </x:c>
      <x:c r="P1766" s="30" t="str">
        <x:v>Военный коммунизм — запрет частной торговли; Семибоярщина — приглашение Владислава; Александр I — учреждение министерств; первые князья — погосты и уроки.</x:v>
      </x:c>
      <x:c r="Q1766" s="30"/>
      <x:c r="R1766" s="30" t="str">
        <x:v>Полный PDF + опубликованный вариант: https://hist-ege.sdamgia.ru/test?id=5463184</x:v>
      </x:c>
      <x:c r="S1766" s="30"/>
      <x:c r="T1766" s="30"/>
      <x:c r="U1766" s="30" t="str">
        <x:v>Расхождений не обнаружено.</x:v>
      </x:c>
      <x:c r="V1766" s="87" t="str">
        <x:v>VERIFIED</x:v>
      </x:c>
      <x:c r="W1766" s="87" t="str">
        <x:v>PDF варианта</x:v>
      </x:c>
      <x:c r="X1766" s="87"/>
      <x:c r="Y1766" s="87"/>
      <x:c r="Z1766" s="87"/>
      <x:c r="AA1766" s="87"/>
      <x:c r="AB1766" s="87"/>
      <x:c r="AC1766" s="87"/>
      <x:c r="AD1766" s="87"/>
      <x:c r="AE1766" s="87"/>
      <x:c r="AF1766" s="87"/>
      <x:c r="AG1766" s="87"/>
      <x:c r="AH1766" s="87"/>
      <x:c r="AI1766" s="30"/>
      <x:c r="AJ1766" s="87" t="str">
        <x:v>master</x:v>
      </x:c>
      <x:c r="AK1766" s="87" t="str">
        <x:v>master-v0.81</x:v>
      </x:c>
      <x:c r="AL1766" s="87" t="str">
        <x:v>statgrad_master_base_v0_81_final(2).xlsx</x:v>
      </x:c>
      <x:c r="AM1766" s="87" t="str">
        <x:v>HIST_Apr_V2</x:v>
      </x:c>
      <x:c r="AN1766" s="87" t="n">
        <x:v>4</x:v>
      </x:c>
    </x:row>
    <x:row r="1767">
      <x:c r="A1767" s="87" t="n">
        <x:v>1766</x:v>
      </x:c>
      <x:c r="B1767" s="87" t="str">
        <x:v>APR-HIS-V2-004</x:v>
      </x:c>
      <x:c r="C1767" s="87" t="str">
        <x:v>СтатГрад</x:v>
      </x:c>
      <x:c r="D1767" s="87" t="str">
        <x:v>Апрель 2026</x:v>
      </x:c>
      <x:c r="E1767" s="87"/>
      <x:c r="F1767" s="87"/>
      <x:c r="G1767" s="87" t="str">
        <x:v>История</x:v>
      </x:c>
      <x:c r="H1767" s="87" t="n">
        <x:v>11</x:v>
      </x:c>
      <x:c r="I1767" s="87" t="str">
        <x:v>ТР №5</x:v>
      </x:c>
      <x:c r="J1767" s="87" t="str">
        <x:v>ИС2510502</x:v>
      </x:c>
      <x:c r="K1767" s="87" t="n">
        <x:v>4</x:v>
      </x:c>
      <x:c r="L1767" s="87" t="str">
        <x:v>Заполнение исторической таблицы</x:v>
      </x:c>
      <x:c r="M1767" s="30" t="str">
        <x:v>Заполнить шесть пропусков в таблице, сопоставляя города, события и десятилетия истории России.</x:v>
      </x:c>
      <x:c r="N1767" s="30" t="str">
        <x:v>157326</x:v>
      </x:c>
      <x:c r="O1767" s="30" t="str">
        <x:v>Все элементы согласованы по месту и времени; итоговая последовательность номеров — 157326.</x:v>
      </x:c>
      <x:c r="P1767" s="30" t="str">
        <x:v>Все элементы согласованы по месту и времени; итоговая последовательность номеров — 157326.</x:v>
      </x:c>
      <x:c r="Q1767" s="30"/>
      <x:c r="R1767" s="30" t="str">
        <x:v>Полный PDF + опубликованный вариант: https://hist-ege.sdamgia.ru/test?id=5463184</x:v>
      </x:c>
      <x:c r="S1767" s="30"/>
      <x:c r="T1767" s="30"/>
      <x:c r="U1767" s="30" t="str">
        <x:v>Расхождений не обнаружено.</x:v>
      </x:c>
      <x:c r="V1767" s="87" t="str">
        <x:v>VERIFIED</x:v>
      </x:c>
      <x:c r="W1767" s="87" t="str">
        <x:v>PDF варианта</x:v>
      </x:c>
      <x:c r="X1767" s="87"/>
      <x:c r="Y1767" s="87"/>
      <x:c r="Z1767" s="87"/>
      <x:c r="AA1767" s="87"/>
      <x:c r="AB1767" s="87"/>
      <x:c r="AC1767" s="87"/>
      <x:c r="AD1767" s="87"/>
      <x:c r="AE1767" s="87"/>
      <x:c r="AF1767" s="87"/>
      <x:c r="AG1767" s="87"/>
      <x:c r="AH1767" s="87"/>
      <x:c r="AI1767" s="30"/>
      <x:c r="AJ1767" s="87" t="str">
        <x:v>master</x:v>
      </x:c>
      <x:c r="AK1767" s="87" t="str">
        <x:v>master-v0.81</x:v>
      </x:c>
      <x:c r="AL1767" s="87" t="str">
        <x:v>statgrad_master_base_v0_81_final(2).xlsx</x:v>
      </x:c>
      <x:c r="AM1767" s="87" t="str">
        <x:v>HIST_Apr_V2</x:v>
      </x:c>
      <x:c r="AN1767" s="87" t="n">
        <x:v>5</x:v>
      </x:c>
    </x:row>
    <x:row r="1768">
      <x:c r="A1768" s="87" t="n">
        <x:v>1767</x:v>
      </x:c>
      <x:c r="B1768" s="87" t="str">
        <x:v>APR-HIS-V2-005</x:v>
      </x:c>
      <x:c r="C1768" s="87" t="str">
        <x:v>СтатГрад</x:v>
      </x:c>
      <x:c r="D1768" s="87" t="str">
        <x:v>Апрель 2026</x:v>
      </x:c>
      <x:c r="E1768" s="87"/>
      <x:c r="F1768" s="87"/>
      <x:c r="G1768" s="87" t="str">
        <x:v>История</x:v>
      </x:c>
      <x:c r="H1768" s="87" t="n">
        <x:v>11</x:v>
      </x:c>
      <x:c r="I1768" s="87" t="str">
        <x:v>ТР №5</x:v>
      </x:c>
      <x:c r="J1768" s="87" t="str">
        <x:v>ИС2510502</x:v>
      </x:c>
      <x:c r="K1768" s="87" t="n">
        <x:v>5</x:v>
      </x:c>
      <x:c r="L1768" s="87" t="str">
        <x:v>Исторические деятели и события</x:v>
      </x:c>
      <x:c r="M1768" s="30" t="str">
        <x:v>Соотнести деятельность ГКЧП, разгром печенегов, Государственный комитет обороны и Куликовскую битву с деятелями.</x:v>
      </x:c>
      <x:c r="N1768" s="30" t="str">
        <x:v>3156</x:v>
      </x:c>
      <x:c r="O1768" s="30" t="str">
        <x:v>ГКЧП — В. А. Крючков; разгром печенегов — Ярослав Мудрый; ГКО — В. М. Молотов; Куликовская битва — Владимир Андреевич Храбрый.</x:v>
      </x:c>
      <x:c r="P1768" s="30" t="str">
        <x:v>ГКЧП — В. А. Крючков; разгром печенегов — Ярослав Мудрый; ГКО — В. М. Молотов; Куликовская битва — Владимир Андреевич Храбрый.</x:v>
      </x:c>
      <x:c r="Q1768" s="30"/>
      <x:c r="R1768" s="30" t="str">
        <x:v>Полный PDF + опубликованный вариант: https://hist-ege.sdamgia.ru/test?id=5463184</x:v>
      </x:c>
      <x:c r="S1768" s="30"/>
      <x:c r="T1768" s="30"/>
      <x:c r="U1768" s="30" t="str">
        <x:v>Расхождений не обнаружено.</x:v>
      </x:c>
      <x:c r="V1768" s="87" t="str">
        <x:v>VERIFIED</x:v>
      </x:c>
      <x:c r="W1768" s="87" t="str">
        <x:v>PDF варианта</x:v>
      </x:c>
      <x:c r="X1768" s="87"/>
      <x:c r="Y1768" s="87"/>
      <x:c r="Z1768" s="87"/>
      <x:c r="AA1768" s="87"/>
      <x:c r="AB1768" s="87"/>
      <x:c r="AC1768" s="87"/>
      <x:c r="AD1768" s="87"/>
      <x:c r="AE1768" s="87"/>
      <x:c r="AF1768" s="87"/>
      <x:c r="AG1768" s="87"/>
      <x:c r="AH1768" s="87"/>
      <x:c r="AI1768" s="30"/>
      <x:c r="AJ1768" s="87" t="str">
        <x:v>master</x:v>
      </x:c>
      <x:c r="AK1768" s="87" t="str">
        <x:v>master-v0.81</x:v>
      </x:c>
      <x:c r="AL1768" s="87" t="str">
        <x:v>statgrad_master_base_v0_81_final(2).xlsx</x:v>
      </x:c>
      <x:c r="AM1768" s="87" t="str">
        <x:v>HIST_Apr_V2</x:v>
      </x:c>
      <x:c r="AN1768" s="87" t="n">
        <x:v>6</x:v>
      </x:c>
    </x:row>
    <x:row r="1769">
      <x:c r="A1769" s="87" t="n">
        <x:v>1768</x:v>
      </x:c>
      <x:c r="B1769" s="87" t="str">
        <x:v>APR-HIS-V2-006</x:v>
      </x:c>
      <x:c r="C1769" s="87" t="str">
        <x:v>СтатГрад</x:v>
      </x:c>
      <x:c r="D1769" s="87" t="str">
        <x:v>Апрель 2026</x:v>
      </x:c>
      <x:c r="E1769" s="87"/>
      <x:c r="F1769" s="87"/>
      <x:c r="G1769" s="87" t="str">
        <x:v>История</x:v>
      </x:c>
      <x:c r="H1769" s="87" t="n">
        <x:v>11</x:v>
      </x:c>
      <x:c r="I1769" s="87" t="str">
        <x:v>ТР №5</x:v>
      </x:c>
      <x:c r="J1769" s="87" t="str">
        <x:v>ИС2510502</x:v>
      </x:c>
      <x:c r="K1769" s="87" t="n">
        <x:v>6</x:v>
      </x:c>
      <x:c r="L1769" s="87" t="str">
        <x:v>Анализ исторического источника</x:v>
      </x:c>
      <x:c r="M1769" s="30" t="str">
        <x:v>По материалам следствия об угличских событиях выбрать верные суждения.</x:v>
      </x:c>
      <x:c r="N1769" s="30" t="str">
        <x:v>2456</x:v>
      </x:c>
      <x:c r="O1769" s="30" t="str">
        <x:v>События произошли в Угличе; патриаршество учреждено в то же царствование; фактическим правителем был Борис Годунов; допрошенные говорили, что царевич после несчастного случая был жив.</x:v>
      </x:c>
      <x:c r="P1769" s="30" t="str">
        <x:v>События произошли в Угличе; патриаршество учреждено в то же царствование; фактическим правителем был Борис Годунов; допрошенные говорили, что царевич после несчастного случая был жив.</x:v>
      </x:c>
      <x:c r="Q1769" s="30"/>
      <x:c r="R1769" s="30" t="str">
        <x:v>Полный PDF + опубликованный вариант: https://hist-ege.sdamgia.ru/test?id=5463184</x:v>
      </x:c>
      <x:c r="S1769" s="30"/>
      <x:c r="T1769" s="30"/>
      <x:c r="U1769" s="30" t="str">
        <x:v>Расхождений не обнаружено.</x:v>
      </x:c>
      <x:c r="V1769" s="87" t="str">
        <x:v>VERIFIED</x:v>
      </x:c>
      <x:c r="W1769" s="87" t="str">
        <x:v>PDF варианта</x:v>
      </x:c>
      <x:c r="X1769" s="87"/>
      <x:c r="Y1769" s="87"/>
      <x:c r="Z1769" s="87"/>
      <x:c r="AA1769" s="87"/>
      <x:c r="AB1769" s="87"/>
      <x:c r="AC1769" s="87"/>
      <x:c r="AD1769" s="87"/>
      <x:c r="AE1769" s="87"/>
      <x:c r="AF1769" s="87"/>
      <x:c r="AG1769" s="87"/>
      <x:c r="AH1769" s="87"/>
      <x:c r="AI1769" s="30"/>
      <x:c r="AJ1769" s="87" t="str">
        <x:v>master</x:v>
      </x:c>
      <x:c r="AK1769" s="87" t="str">
        <x:v>master-v0.81</x:v>
      </x:c>
      <x:c r="AL1769" s="87" t="str">
        <x:v>statgrad_master_base_v0_81_final(2).xlsx</x:v>
      </x:c>
      <x:c r="AM1769" s="87" t="str">
        <x:v>HIST_Apr_V2</x:v>
      </x:c>
      <x:c r="AN1769" s="87" t="n">
        <x:v>7</x:v>
      </x:c>
    </x:row>
    <x:row r="1770">
      <x:c r="A1770" s="87" t="n">
        <x:v>1769</x:v>
      </x:c>
      <x:c r="B1770" s="87" t="str">
        <x:v>APR-HIS-V2-007</x:v>
      </x:c>
      <x:c r="C1770" s="87" t="str">
        <x:v>СтатГрад</x:v>
      </x:c>
      <x:c r="D1770" s="87" t="str">
        <x:v>Апрель 2026</x:v>
      </x:c>
      <x:c r="E1770" s="87"/>
      <x:c r="F1770" s="87"/>
      <x:c r="G1770" s="87" t="str">
        <x:v>История</x:v>
      </x:c>
      <x:c r="H1770" s="87" t="n">
        <x:v>11</x:v>
      </x:c>
      <x:c r="I1770" s="87" t="str">
        <x:v>ТР №5</x:v>
      </x:c>
      <x:c r="J1770" s="87" t="str">
        <x:v>ИС2510502</x:v>
      </x:c>
      <x:c r="K1770" s="87" t="n">
        <x:v>7</x:v>
      </x:c>
      <x:c r="L1770" s="87" t="str">
        <x:v>Памятники культуры</x:v>
      </x:c>
      <x:c r="M1770" s="30" t="str">
        <x:v>Соотнести «Церковь воинствующая», картину «Тройка», Оранту Софии Киевской и «Рабфак идёт» с характеристиками.</x:v>
      </x:c>
      <x:c r="N1770" s="30" t="str">
        <x:v>1235</x:v>
      </x:c>
      <x:c r="O1770" s="30" t="str">
        <x:v>«Церковь воинствующая» — XVI век; «Тройка» — передвижник В. Г. Перов; Оранта находится в Софии Киевской; «Рабфак идёт» написал Б. В. Иогансон.</x:v>
      </x:c>
      <x:c r="P1770" s="30" t="str">
        <x:v>«Церковь воинствующая» — XVI век; «Тройка» — передвижник В. Г. Перов; Оранта находится в Софии Киевской; «Рабфак идёт» написал Б. В. Иогансон.</x:v>
      </x:c>
      <x:c r="Q1770" s="30"/>
      <x:c r="R1770" s="30" t="str">
        <x:v>Полный PDF + опубликованный вариант: https://hist-ege.sdamgia.ru/test?id=5463184</x:v>
      </x:c>
      <x:c r="S1770" s="30"/>
      <x:c r="T1770" s="30"/>
      <x:c r="U1770" s="30" t="str">
        <x:v>Расхождений не обнаружено.</x:v>
      </x:c>
      <x:c r="V1770" s="87" t="str">
        <x:v>VERIFIED</x:v>
      </x:c>
      <x:c r="W1770" s="87" t="str">
        <x:v>PDF варианта</x:v>
      </x:c>
      <x:c r="X1770" s="87"/>
      <x:c r="Y1770" s="87"/>
      <x:c r="Z1770" s="87"/>
      <x:c r="AA1770" s="87"/>
      <x:c r="AB1770" s="87"/>
      <x:c r="AC1770" s="87"/>
      <x:c r="AD1770" s="87"/>
      <x:c r="AE1770" s="87"/>
      <x:c r="AF1770" s="87"/>
      <x:c r="AG1770" s="87"/>
      <x:c r="AH1770" s="87"/>
      <x:c r="AI1770" s="30"/>
      <x:c r="AJ1770" s="87" t="str">
        <x:v>master</x:v>
      </x:c>
      <x:c r="AK1770" s="87" t="str">
        <x:v>master-v0.81</x:v>
      </x:c>
      <x:c r="AL1770" s="87" t="str">
        <x:v>statgrad_master_base_v0_81_final(2).xlsx</x:v>
      </x:c>
      <x:c r="AM1770" s="87" t="str">
        <x:v>HIST_Apr_V2</x:v>
      </x:c>
      <x:c r="AN1770" s="87" t="n">
        <x:v>8</x:v>
      </x:c>
    </x:row>
    <x:row r="1771">
      <x:c r="A1771" s="87" t="n">
        <x:v>1770</x:v>
      </x:c>
      <x:c r="B1771" s="87" t="str">
        <x:v>APR-HIS-V2-008</x:v>
      </x:c>
      <x:c r="C1771" s="87" t="str">
        <x:v>СтатГрад</x:v>
      </x:c>
      <x:c r="D1771" s="87" t="str">
        <x:v>Апрель 2026</x:v>
      </x:c>
      <x:c r="E1771" s="87"/>
      <x:c r="F1771" s="87"/>
      <x:c r="G1771" s="87" t="str">
        <x:v>История</x:v>
      </x:c>
      <x:c r="H1771" s="87" t="n">
        <x:v>11</x:v>
      </x:c>
      <x:c r="I1771" s="87" t="str">
        <x:v>ТР №5</x:v>
      </x:c>
      <x:c r="J1771" s="87" t="str">
        <x:v>ИС2510502</x:v>
      </x:c>
      <x:c r="K1771" s="87" t="n">
        <x:v>8</x:v>
      </x:c>
      <x:c r="L1771" s="87" t="str">
        <x:v>Военная история и изображение</x:v>
      </x:c>
      <x:c r="M1771" s="30" t="str">
        <x:v>Определить пропущенное слово в обозначении года события, связанного с изображением.</x:v>
      </x:c>
      <x:c r="N1771" s="30" t="str">
        <x:v>сорок втором</x:v>
      </x:c>
      <x:c r="O1771" s="30" t="str">
        <x:v>Изображение относится к событиям Великой Отечественной войны 1942 года.</x:v>
      </x:c>
      <x:c r="P1771" s="30" t="str">
        <x:v>Изображение относится к событиям Великой Отечественной войны 1942 года.</x:v>
      </x:c>
      <x:c r="Q1771" s="30"/>
      <x:c r="R1771" s="30" t="str">
        <x:v>Полный PDF + опубликованный вариант: https://hist-ege.sdamgia.ru/test?id=5463184</x:v>
      </x:c>
      <x:c r="S1771" s="30"/>
      <x:c r="T1771" s="30"/>
      <x:c r="U1771" s="30" t="str">
        <x:v>Расхождений не обнаружено.</x:v>
      </x:c>
      <x:c r="V1771" s="87" t="str">
        <x:v>VERIFIED</x:v>
      </x:c>
      <x:c r="W1771" s="87" t="str">
        <x:v>PDF варианта</x:v>
      </x:c>
      <x:c r="X1771" s="87"/>
      <x:c r="Y1771" s="87"/>
      <x:c r="Z1771" s="87"/>
      <x:c r="AA1771" s="87"/>
      <x:c r="AB1771" s="87"/>
      <x:c r="AC1771" s="87"/>
      <x:c r="AD1771" s="87"/>
      <x:c r="AE1771" s="87"/>
      <x:c r="AF1771" s="87"/>
      <x:c r="AG1771" s="87"/>
      <x:c r="AH1771" s="87"/>
      <x:c r="AI1771" s="30"/>
      <x:c r="AJ1771" s="87" t="str">
        <x:v>master</x:v>
      </x:c>
      <x:c r="AK1771" s="87" t="str">
        <x:v>master-v0.81</x:v>
      </x:c>
      <x:c r="AL1771" s="87" t="str">
        <x:v>statgrad_master_base_v0_81_final(2).xlsx</x:v>
      </x:c>
      <x:c r="AM1771" s="87" t="str">
        <x:v>HIST_Apr_V2</x:v>
      </x:c>
      <x:c r="AN1771" s="87" t="n">
        <x:v>9</x:v>
      </x:c>
    </x:row>
    <x:row r="1772">
      <x:c r="A1772" s="87" t="n">
        <x:v>1771</x:v>
      </x:c>
      <x:c r="B1772" s="87" t="str">
        <x:v>APR-HIS-V2-009</x:v>
      </x:c>
      <x:c r="C1772" s="87" t="str">
        <x:v>СтатГрад</x:v>
      </x:c>
      <x:c r="D1772" s="87" t="str">
        <x:v>Апрель 2026</x:v>
      </x:c>
      <x:c r="E1772" s="87"/>
      <x:c r="F1772" s="87"/>
      <x:c r="G1772" s="87" t="str">
        <x:v>История</x:v>
      </x:c>
      <x:c r="H1772" s="87" t="n">
        <x:v>11</x:v>
      </x:c>
      <x:c r="I1772" s="87" t="str">
        <x:v>ТР №5</x:v>
      </x:c>
      <x:c r="J1772" s="87" t="str">
        <x:v>ИС2510502</x:v>
      </x:c>
      <x:c r="K1772" s="87" t="n">
        <x:v>9</x:v>
      </x:c>
      <x:c r="L1772" s="87" t="str">
        <x:v>Историческая эпоха по изображению</x:v>
      </x:c>
      <x:c r="M1772" s="30" t="str">
        <x:v>Назвать войну, к которой относится представленное изображение.</x:v>
      </x:c>
      <x:c r="N1772" s="30" t="str">
        <x:v>Первая мировая война</x:v>
      </x:c>
      <x:c r="O1772" s="30" t="str">
        <x:v>Изображённое событие относится к Первой мировой войне.</x:v>
      </x:c>
      <x:c r="P1772" s="30" t="str">
        <x:v>Изображённое событие относится к Первой мировой войне.</x:v>
      </x:c>
      <x:c r="Q1772" s="30"/>
      <x:c r="R1772" s="30" t="str">
        <x:v>Полный PDF + опубликованный вариант: https://hist-ege.sdamgia.ru/test?id=5463184</x:v>
      </x:c>
      <x:c r="S1772" s="30"/>
      <x:c r="T1772" s="30"/>
      <x:c r="U1772" s="30" t="str">
        <x:v>Расхождений не обнаружено.</x:v>
      </x:c>
      <x:c r="V1772" s="87" t="str">
        <x:v>VERIFIED</x:v>
      </x:c>
      <x:c r="W1772" s="87" t="str">
        <x:v>PDF варианта</x:v>
      </x:c>
      <x:c r="X1772" s="87"/>
      <x:c r="Y1772" s="87"/>
      <x:c r="Z1772" s="87"/>
      <x:c r="AA1772" s="87"/>
      <x:c r="AB1772" s="87"/>
      <x:c r="AC1772" s="87"/>
      <x:c r="AD1772" s="87"/>
      <x:c r="AE1772" s="87"/>
      <x:c r="AF1772" s="87"/>
      <x:c r="AG1772" s="87"/>
      <x:c r="AH1772" s="87"/>
      <x:c r="AI1772" s="30"/>
      <x:c r="AJ1772" s="87" t="str">
        <x:v>master</x:v>
      </x:c>
      <x:c r="AK1772" s="87" t="str">
        <x:v>master-v0.81</x:v>
      </x:c>
      <x:c r="AL1772" s="87" t="str">
        <x:v>statgrad_master_base_v0_81_final(2).xlsx</x:v>
      </x:c>
      <x:c r="AM1772" s="87" t="str">
        <x:v>HIST_Apr_V2</x:v>
      </x:c>
      <x:c r="AN1772" s="87" t="n">
        <x:v>10</x:v>
      </x:c>
    </x:row>
    <x:row r="1773">
      <x:c r="A1773" s="87" t="n">
        <x:v>1772</x:v>
      </x:c>
      <x:c r="B1773" s="87" t="str">
        <x:v>APR-HIS-V2-010</x:v>
      </x:c>
      <x:c r="C1773" s="87" t="str">
        <x:v>СтатГрад</x:v>
      </x:c>
      <x:c r="D1773" s="87" t="str">
        <x:v>Апрель 2026</x:v>
      </x:c>
      <x:c r="E1773" s="87"/>
      <x:c r="F1773" s="87"/>
      <x:c r="G1773" s="87" t="str">
        <x:v>История</x:v>
      </x:c>
      <x:c r="H1773" s="87" t="n">
        <x:v>11</x:v>
      </x:c>
      <x:c r="I1773" s="87" t="str">
        <x:v>ТР №5</x:v>
      </x:c>
      <x:c r="J1773" s="87" t="str">
        <x:v>ИС2510502</x:v>
      </x:c>
      <x:c r="K1773" s="87" t="n">
        <x:v>10</x:v>
      </x:c>
      <x:c r="L1773" s="87" t="str">
        <x:v>Хронологическая атрибуция</x:v>
      </x:c>
      <x:c r="M1773" s="30" t="str">
        <x:v>Определить век события или создания объекта по изображению.</x:v>
      </x:c>
      <x:c r="N1773" s="30" t="str">
        <x:v>пятнадцатого</x:v>
      </x:c>
      <x:c r="O1773" s="30" t="str">
        <x:v>Объект относится к XV веку.</x:v>
      </x:c>
      <x:c r="P1773" s="30" t="str">
        <x:v>Объект относится к XV веку.</x:v>
      </x:c>
      <x:c r="Q1773" s="30"/>
      <x:c r="R1773" s="30" t="str">
        <x:v>Полный PDF + опубликованный вариант: https://hist-ege.sdamgia.ru/test?id=5463184</x:v>
      </x:c>
      <x:c r="S1773" s="30"/>
      <x:c r="T1773" s="30"/>
      <x:c r="U1773" s="30" t="str">
        <x:v>Расхождений не обнаружено.</x:v>
      </x:c>
      <x:c r="V1773" s="87" t="str">
        <x:v>VERIFIED</x:v>
      </x:c>
      <x:c r="W1773" s="87" t="str">
        <x:v>PDF варианта</x:v>
      </x:c>
      <x:c r="X1773" s="87"/>
      <x:c r="Y1773" s="87"/>
      <x:c r="Z1773" s="87"/>
      <x:c r="AA1773" s="87"/>
      <x:c r="AB1773" s="87"/>
      <x:c r="AC1773" s="87"/>
      <x:c r="AD1773" s="87"/>
      <x:c r="AE1773" s="87"/>
      <x:c r="AF1773" s="87"/>
      <x:c r="AG1773" s="87"/>
      <x:c r="AH1773" s="87"/>
      <x:c r="AI1773" s="30"/>
      <x:c r="AJ1773" s="87" t="str">
        <x:v>master</x:v>
      </x:c>
      <x:c r="AK1773" s="87" t="str">
        <x:v>master-v0.81</x:v>
      </x:c>
      <x:c r="AL1773" s="87" t="str">
        <x:v>statgrad_master_base_v0_81_final(2).xlsx</x:v>
      </x:c>
      <x:c r="AM1773" s="87" t="str">
        <x:v>HIST_Apr_V2</x:v>
      </x:c>
      <x:c r="AN1773" s="87" t="n">
        <x:v>11</x:v>
      </x:c>
    </x:row>
    <x:row r="1774">
      <x:c r="A1774" s="87" t="n">
        <x:v>1773</x:v>
      </x:c>
      <x:c r="B1774" s="87" t="str">
        <x:v>APR-HIS-V2-011</x:v>
      </x:c>
      <x:c r="C1774" s="87" t="str">
        <x:v>СтатГрад</x:v>
      </x:c>
      <x:c r="D1774" s="87" t="str">
        <x:v>Апрель 2026</x:v>
      </x:c>
      <x:c r="E1774" s="87"/>
      <x:c r="F1774" s="87"/>
      <x:c r="G1774" s="87" t="str">
        <x:v>История</x:v>
      </x:c>
      <x:c r="H1774" s="87" t="n">
        <x:v>11</x:v>
      </x:c>
      <x:c r="I1774" s="87" t="str">
        <x:v>ТР №5</x:v>
      </x:c>
      <x:c r="J1774" s="87" t="str">
        <x:v>ИС2510502</x:v>
      </x:c>
      <x:c r="K1774" s="87" t="n">
        <x:v>11</x:v>
      </x:c>
      <x:c r="L1774" s="87" t="str">
        <x:v>Историческая карта</x:v>
      </x:c>
      <x:c r="M1774" s="30" t="str">
        <x:v>Назвать город, обозначенный на схеме.</x:v>
      </x:c>
      <x:c r="N1774" s="30" t="str">
        <x:v>Ковно</x:v>
      </x:c>
      <x:c r="O1774" s="30" t="str">
        <x:v>По географии военных действий и положению города на схеме определяется Ковно.</x:v>
      </x:c>
      <x:c r="P1774" s="30" t="str">
        <x:v>Карта проверена визуально по полному PDF.</x:v>
      </x:c>
      <x:c r="Q1774" s="30"/>
      <x:c r="R1774" s="30" t="str">
        <x:v>Полный PDF + опубликованный вариант: https://hist-ege.sdamgia.ru/test?id=5463184</x:v>
      </x:c>
      <x:c r="S1774" s="30"/>
      <x:c r="T1774" s="30"/>
      <x:c r="U1774" s="30" t="str">
        <x:v>Расхождений не обнаружено.</x:v>
      </x:c>
      <x:c r="V1774" s="87" t="str">
        <x:v>VERIFIED</x:v>
      </x:c>
      <x:c r="W1774" s="87" t="str">
        <x:v>PDF варианта</x:v>
      </x:c>
      <x:c r="X1774" s="87"/>
      <x:c r="Y1774" s="87"/>
      <x:c r="Z1774" s="87"/>
      <x:c r="AA1774" s="87"/>
      <x:c r="AB1774" s="87"/>
      <x:c r="AC1774" s="87"/>
      <x:c r="AD1774" s="87"/>
      <x:c r="AE1774" s="87"/>
      <x:c r="AF1774" s="87"/>
      <x:c r="AG1774" s="87"/>
      <x:c r="AH1774" s="87"/>
      <x:c r="AI1774" s="30"/>
      <x:c r="AJ1774" s="87" t="str">
        <x:v>master</x:v>
      </x:c>
      <x:c r="AK1774" s="87" t="str">
        <x:v>master-v0.81</x:v>
      </x:c>
      <x:c r="AL1774" s="87" t="str">
        <x:v>statgrad_master_base_v0_81_final(2).xlsx</x:v>
      </x:c>
      <x:c r="AM1774" s="87" t="str">
        <x:v>HIST_Apr_V2</x:v>
      </x:c>
      <x:c r="AN1774" s="87" t="n">
        <x:v>12</x:v>
      </x:c>
    </x:row>
    <x:row r="1775">
      <x:c r="A1775" s="87" t="n">
        <x:v>1774</x:v>
      </x:c>
      <x:c r="B1775" s="87" t="str">
        <x:v>APR-HIS-V2-012</x:v>
      </x:c>
      <x:c r="C1775" s="87" t="str">
        <x:v>СтатГрад</x:v>
      </x:c>
      <x:c r="D1775" s="87" t="str">
        <x:v>Апрель 2026</x:v>
      </x:c>
      <x:c r="E1775" s="87"/>
      <x:c r="F1775" s="87"/>
      <x:c r="G1775" s="87" t="str">
        <x:v>История</x:v>
      </x:c>
      <x:c r="H1775" s="87" t="n">
        <x:v>11</x:v>
      </x:c>
      <x:c r="I1775" s="87" t="str">
        <x:v>ТР №5</x:v>
      </x:c>
      <x:c r="J1775" s="87" t="str">
        <x:v>ИС2510502</x:v>
      </x:c>
      <x:c r="K1775" s="87" t="n">
        <x:v>12</x:v>
      </x:c>
      <x:c r="L1775" s="87" t="str">
        <x:v>Суждения по карте</x:v>
      </x:c>
      <x:c r="M1775" s="30" t="str">
        <x:v>Выбрать верные суждения, относящиеся к исторической схеме.</x:v>
      </x:c>
      <x:c r="N1775" s="30" t="str">
        <x:v>146</x:v>
      </x:c>
      <x:c r="O1775" s="30" t="str">
        <x:v>Утверждения 1, 4 и 6 согласуются с обозначенными территориями, направлениями и хронологией.</x:v>
      </x:c>
      <x:c r="P1775" s="30" t="str">
        <x:v>Утверждения 1, 4 и 6 согласуются с обозначенными территориями, направлениями и хронологией.</x:v>
      </x:c>
      <x:c r="Q1775" s="30"/>
      <x:c r="R1775" s="30" t="str">
        <x:v>Полный PDF + опубликованный вариант: https://hist-ege.sdamgia.ru/test?id=5463184</x:v>
      </x:c>
      <x:c r="S1775" s="30"/>
      <x:c r="T1775" s="30"/>
      <x:c r="U1775" s="30" t="str">
        <x:v>Расхождений не обнаружено.</x:v>
      </x:c>
      <x:c r="V1775" s="87" t="str">
        <x:v>VERIFIED</x:v>
      </x:c>
      <x:c r="W1775" s="87" t="str">
        <x:v>PDF варианта</x:v>
      </x:c>
      <x:c r="X1775" s="87"/>
      <x:c r="Y1775" s="87"/>
      <x:c r="Z1775" s="87"/>
      <x:c r="AA1775" s="87"/>
      <x:c r="AB1775" s="87"/>
      <x:c r="AC1775" s="87"/>
      <x:c r="AD1775" s="87"/>
      <x:c r="AE1775" s="87"/>
      <x:c r="AF1775" s="87"/>
      <x:c r="AG1775" s="87"/>
      <x:c r="AH1775" s="87"/>
      <x:c r="AI1775" s="30"/>
      <x:c r="AJ1775" s="87" t="str">
        <x:v>master</x:v>
      </x:c>
      <x:c r="AK1775" s="87" t="str">
        <x:v>master-v0.81</x:v>
      </x:c>
      <x:c r="AL1775" s="87" t="str">
        <x:v>statgrad_master_base_v0_81_final(2).xlsx</x:v>
      </x:c>
      <x:c r="AM1775" s="87" t="str">
        <x:v>HIST_Apr_V2</x:v>
      </x:c>
      <x:c r="AN1775" s="87" t="n">
        <x:v>13</x:v>
      </x:c>
    </x:row>
    <x:row r="1776">
      <x:c r="A1776" s="87" t="n">
        <x:v>1775</x:v>
      </x:c>
      <x:c r="B1776" s="87" t="str">
        <x:v>APR-HIS-V2-013</x:v>
      </x:c>
      <x:c r="C1776" s="87" t="str">
        <x:v>СтатГрад</x:v>
      </x:c>
      <x:c r="D1776" s="87" t="str">
        <x:v>Апрель 2026</x:v>
      </x:c>
      <x:c r="E1776" s="87"/>
      <x:c r="F1776" s="87"/>
      <x:c r="G1776" s="87" t="str">
        <x:v>История</x:v>
      </x:c>
      <x:c r="H1776" s="87" t="n">
        <x:v>11</x:v>
      </x:c>
      <x:c r="I1776" s="87" t="str">
        <x:v>ТР №5</x:v>
      </x:c>
      <x:c r="J1776" s="87" t="str">
        <x:v>ИС2510502</x:v>
      </x:c>
      <x:c r="K1776" s="87" t="n">
        <x:v>13</x:v>
      </x:c>
      <x:c r="L1776" s="87" t="str">
        <x:v>Анализ письменного источника</x:v>
      </x:c>
      <x:c r="M1776" s="30" t="str">
        <x:v>По воспоминаниям о ходе войны назвать год, императора и войну.</x:v>
      </x:c>
      <x:c r="N1776" s="30" t="str">
        <x:v>1853; Николай I; Крымская (Восточная) война</x:v>
      </x:c>
      <x:c r="O1776" s="30" t="str">
        <x:v>Описывается начало Крымской войны в 1853 г. при Николае I.</x:v>
      </x:c>
      <x:c r="P1776" s="30" t="str">
        <x:v>Описывается начало Крымской войны в 1853 г. при Николае I.</x:v>
      </x:c>
      <x:c r="Q1776" s="30"/>
      <x:c r="R1776" s="30" t="str">
        <x:v>Полный PDF + опубликованный вариант: https://hist-ege.sdamgia.ru/test?id=5463184</x:v>
      </x:c>
      <x:c r="S1776" s="30"/>
      <x:c r="T1776" s="30"/>
      <x:c r="U1776" s="30" t="str">
        <x:v>Расхождений не обнаружено.</x:v>
      </x:c>
      <x:c r="V1776" s="87" t="str">
        <x:v>VERIFIED</x:v>
      </x:c>
      <x:c r="W1776" s="87" t="str">
        <x:v>PDF варианта</x:v>
      </x:c>
      <x:c r="X1776" s="87"/>
      <x:c r="Y1776" s="87"/>
      <x:c r="Z1776" s="87"/>
      <x:c r="AA1776" s="87"/>
      <x:c r="AB1776" s="87"/>
      <x:c r="AC1776" s="87"/>
      <x:c r="AD1776" s="87"/>
      <x:c r="AE1776" s="87"/>
      <x:c r="AF1776" s="87"/>
      <x:c r="AG1776" s="87"/>
      <x:c r="AH1776" s="87"/>
      <x:c r="AI1776" s="30"/>
      <x:c r="AJ1776" s="87" t="str">
        <x:v>master</x:v>
      </x:c>
      <x:c r="AK1776" s="87" t="str">
        <x:v>master-v0.81</x:v>
      </x:c>
      <x:c r="AL1776" s="87" t="str">
        <x:v>statgrad_master_base_v0_81_final(2).xlsx</x:v>
      </x:c>
      <x:c r="AM1776" s="87" t="str">
        <x:v>HIST_Apr_V2</x:v>
      </x:c>
      <x:c r="AN1776" s="87" t="n">
        <x:v>14</x:v>
      </x:c>
    </x:row>
    <x:row r="1777">
      <x:c r="A1777" s="87" t="n">
        <x:v>1776</x:v>
      </x:c>
      <x:c r="B1777" s="87" t="str">
        <x:v>APR-HIS-V2-014</x:v>
      </x:c>
      <x:c r="C1777" s="87" t="str">
        <x:v>СтатГрад</x:v>
      </x:c>
      <x:c r="D1777" s="87" t="str">
        <x:v>Апрель 2026</x:v>
      </x:c>
      <x:c r="E1777" s="87"/>
      <x:c r="F1777" s="87"/>
      <x:c r="G1777" s="87" t="str">
        <x:v>История</x:v>
      </x:c>
      <x:c r="H1777" s="87" t="n">
        <x:v>11</x:v>
      </x:c>
      <x:c r="I1777" s="87" t="str">
        <x:v>ТР №5</x:v>
      </x:c>
      <x:c r="J1777" s="87" t="str">
        <x:v>ИС2510502</x:v>
      </x:c>
      <x:c r="K1777" s="87" t="n">
        <x:v>14</x:v>
      </x:c>
      <x:c r="L1777" s="87" t="str">
        <x:v>Поиск информации в источнике</x:v>
      </x:c>
      <x:c r="M1777" s="30" t="str">
        <x:v>Охарактеризовать отношение автора к неудачам, восприятие манифеста об ополчении и предложенную меру превращения войны в народную.</x:v>
      </x:c>
      <x:c r="N1777" s="30" t="str">
        <x:v>Автор и его круг считали поражение возможным толчком к полезным переменам; манифест об ополчении был встречен холодно, без энтузиазма; предлагалось созвать выборных представителей всей России, чтобы привлечь народ и частные ресурсы.</x:v>
      </x:c>
      <x:c r="O1777" s="30" t="str">
        <x:v>Три положения передают оценку автора и названную им политическую меру.</x:v>
      </x:c>
      <x:c r="P1777" s="30" t="str">
        <x:v>Три положения передают оценку автора и названную им политическую меру.</x:v>
      </x:c>
      <x:c r="Q1777" s="30"/>
      <x:c r="R1777" s="30" t="str">
        <x:v>Полный PDF + опубликованный вариант: https://hist-ege.sdamgia.ru/test?id=5463184</x:v>
      </x:c>
      <x:c r="S1777" s="30"/>
      <x:c r="T1777" s="30"/>
      <x:c r="U1777" s="30" t="str">
        <x:v>Расхождений не обнаружено.</x:v>
      </x:c>
      <x:c r="V1777" s="87" t="str">
        <x:v>VERIFIED</x:v>
      </x:c>
      <x:c r="W1777" s="87" t="str">
        <x:v>PDF варианта</x:v>
      </x:c>
      <x:c r="X1777" s="87"/>
      <x:c r="Y1777" s="87"/>
      <x:c r="Z1777" s="87"/>
      <x:c r="AA1777" s="87"/>
      <x:c r="AB1777" s="87"/>
      <x:c r="AC1777" s="87"/>
      <x:c r="AD1777" s="87"/>
      <x:c r="AE1777" s="87"/>
      <x:c r="AF1777" s="87"/>
      <x:c r="AG1777" s="87"/>
      <x:c r="AH1777" s="87"/>
      <x:c r="AI1777" s="30"/>
      <x:c r="AJ1777" s="87" t="str">
        <x:v>master</x:v>
      </x:c>
      <x:c r="AK1777" s="87" t="str">
        <x:v>master-v0.81</x:v>
      </x:c>
      <x:c r="AL1777" s="87" t="str">
        <x:v>statgrad_master_base_v0_81_final(2).xlsx</x:v>
      </x:c>
      <x:c r="AM1777" s="87" t="str">
        <x:v>HIST_Apr_V2</x:v>
      </x:c>
      <x:c r="AN1777" s="87" t="n">
        <x:v>15</x:v>
      </x:c>
    </x:row>
    <x:row r="1778">
      <x:c r="A1778" s="87" t="n">
        <x:v>1777</x:v>
      </x:c>
      <x:c r="B1778" s="87" t="str">
        <x:v>APR-HIS-V2-015</x:v>
      </x:c>
      <x:c r="C1778" s="87" t="str">
        <x:v>СтатГрад</x:v>
      </x:c>
      <x:c r="D1778" s="87" t="str">
        <x:v>Апрель 2026</x:v>
      </x:c>
      <x:c r="E1778" s="87"/>
      <x:c r="F1778" s="87"/>
      <x:c r="G1778" s="87" t="str">
        <x:v>История</x:v>
      </x:c>
      <x:c r="H1778" s="87" t="n">
        <x:v>11</x:v>
      </x:c>
      <x:c r="I1778" s="87" t="str">
        <x:v>ТР №5</x:v>
      </x:c>
      <x:c r="J1778" s="87" t="str">
        <x:v>ИС2510502</x:v>
      </x:c>
      <x:c r="K1778" s="87" t="n">
        <x:v>15</x:v>
      </x:c>
      <x:c r="L1778" s="87" t="str">
        <x:v>Атрибуция почтовой марки</x:v>
      </x:c>
      <x:c r="M1778" s="30" t="str">
        <x:v>Назвать российского императора в год рождения деятеля, юбилею которого посвящена марка.</x:v>
      </x:c>
      <x:c r="N1778" s="30" t="str">
        <x:v>Александр III</x:v>
      </x:c>
      <x:c r="O1778" s="30" t="str">
        <x:v>Марка 1960 г. выпущена к 75-летию М. В. Фрунзе; он родился в 1885 г., когда царствовал Александр III.</x:v>
      </x:c>
      <x:c r="P1778" s="30" t="str">
        <x:v>Марка 1960 г. выпущена к 75-летию М. В. Фрунзе; он родился в 1885 г., когда царствовал Александр III.</x:v>
      </x:c>
      <x:c r="Q1778" s="30"/>
      <x:c r="R1778" s="30" t="str">
        <x:v>Полный PDF + опубликованный вариант: https://hist-ege.sdamgia.ru/test?id=5463184</x:v>
      </x:c>
      <x:c r="S1778" s="30"/>
      <x:c r="T1778" s="30"/>
      <x:c r="U1778" s="30" t="str">
        <x:v>Расхождений не обнаружено.</x:v>
      </x:c>
      <x:c r="V1778" s="87" t="str">
        <x:v>VERIFIED</x:v>
      </x:c>
      <x:c r="W1778" s="87" t="str">
        <x:v>PDF варианта</x:v>
      </x:c>
      <x:c r="X1778" s="87"/>
      <x:c r="Y1778" s="87"/>
      <x:c r="Z1778" s="87"/>
      <x:c r="AA1778" s="87"/>
      <x:c r="AB1778" s="87"/>
      <x:c r="AC1778" s="87"/>
      <x:c r="AD1778" s="87"/>
      <x:c r="AE1778" s="87"/>
      <x:c r="AF1778" s="87"/>
      <x:c r="AG1778" s="87"/>
      <x:c r="AH1778" s="87"/>
      <x:c r="AI1778" s="30"/>
      <x:c r="AJ1778" s="87" t="str">
        <x:v>master</x:v>
      </x:c>
      <x:c r="AK1778" s="87" t="str">
        <x:v>master-v0.81</x:v>
      </x:c>
      <x:c r="AL1778" s="87" t="str">
        <x:v>statgrad_master_base_v0_81_final(2).xlsx</x:v>
      </x:c>
      <x:c r="AM1778" s="87" t="str">
        <x:v>HIST_Apr_V2</x:v>
      </x:c>
      <x:c r="AN1778" s="87" t="n">
        <x:v>16</x:v>
      </x:c>
    </x:row>
    <x:row r="1779">
      <x:c r="A1779" s="87" t="n">
        <x:v>1778</x:v>
      </x:c>
      <x:c r="B1779" s="87" t="str">
        <x:v>APR-HIS-V2-016</x:v>
      </x:c>
      <x:c r="C1779" s="87" t="str">
        <x:v>СтатГрад</x:v>
      </x:c>
      <x:c r="D1779" s="87" t="str">
        <x:v>Апрель 2026</x:v>
      </x:c>
      <x:c r="E1779" s="87"/>
      <x:c r="F1779" s="87"/>
      <x:c r="G1779" s="87" t="str">
        <x:v>История</x:v>
      </x:c>
      <x:c r="H1779" s="87" t="n">
        <x:v>11</x:v>
      </x:c>
      <x:c r="I1779" s="87" t="str">
        <x:v>ТР №5</x:v>
      </x:c>
      <x:c r="J1779" s="87" t="str">
        <x:v>ИС2510502</x:v>
      </x:c>
      <x:c r="K1779" s="87" t="n">
        <x:v>16</x:v>
      </x:c>
      <x:c r="L1779" s="87" t="str">
        <x:v>Памятник культуры по изображению</x:v>
      </x:c>
      <x:c r="M1779" s="30" t="str">
        <x:v>Выбрать изображение произведения соответствующей эпохи и назвать архитектора.</x:v>
      </x:c>
      <x:c r="N1779" s="30" t="str">
        <x:v>1; Ф. О. Шехтель</x:v>
      </x:c>
      <x:c r="O1779" s="30" t="str">
        <x:v>Изображение №1 относится к произведению архитектора Ф. О. Шехтеля.</x:v>
      </x:c>
      <x:c r="P1779" s="30" t="str">
        <x:v>Изображение №1 относится к произведению архитектора Ф. О. Шехтеля.</x:v>
      </x:c>
      <x:c r="Q1779" s="30"/>
      <x:c r="R1779" s="30" t="str">
        <x:v>Полный PDF + опубликованный вариант: https://hist-ege.sdamgia.ru/test?id=5463184</x:v>
      </x:c>
      <x:c r="S1779" s="30"/>
      <x:c r="T1779" s="30"/>
      <x:c r="U1779" s="30" t="str">
        <x:v>Расхождений не обнаружено.</x:v>
      </x:c>
      <x:c r="V1779" s="87" t="str">
        <x:v>VERIFIED</x:v>
      </x:c>
      <x:c r="W1779" s="87" t="str">
        <x:v>PDF варианта</x:v>
      </x:c>
      <x:c r="X1779" s="87"/>
      <x:c r="Y1779" s="87"/>
      <x:c r="Z1779" s="87"/>
      <x:c r="AA1779" s="87"/>
      <x:c r="AB1779" s="87"/>
      <x:c r="AC1779" s="87"/>
      <x:c r="AD1779" s="87"/>
      <x:c r="AE1779" s="87"/>
      <x:c r="AF1779" s="87"/>
      <x:c r="AG1779" s="87"/>
      <x:c r="AH1779" s="87"/>
      <x:c r="AI1779" s="30"/>
      <x:c r="AJ1779" s="87" t="str">
        <x:v>master</x:v>
      </x:c>
      <x:c r="AK1779" s="87" t="str">
        <x:v>master-v0.81</x:v>
      </x:c>
      <x:c r="AL1779" s="87" t="str">
        <x:v>statgrad_master_base_v0_81_final(2).xlsx</x:v>
      </x:c>
      <x:c r="AM1779" s="87" t="str">
        <x:v>HIST_Apr_V2</x:v>
      </x:c>
      <x:c r="AN1779" s="87" t="n">
        <x:v>17</x:v>
      </x:c>
    </x:row>
    <x:row r="1780">
      <x:c r="A1780" s="87" t="n">
        <x:v>1779</x:v>
      </x:c>
      <x:c r="B1780" s="87" t="str">
        <x:v>APR-HIS-V2-017</x:v>
      </x:c>
      <x:c r="C1780" s="87" t="str">
        <x:v>СтатГрад</x:v>
      </x:c>
      <x:c r="D1780" s="87" t="str">
        <x:v>Апрель 2026</x:v>
      </x:c>
      <x:c r="E1780" s="87"/>
      <x:c r="F1780" s="87"/>
      <x:c r="G1780" s="87" t="str">
        <x:v>История</x:v>
      </x:c>
      <x:c r="H1780" s="87" t="n">
        <x:v>11</x:v>
      </x:c>
      <x:c r="I1780" s="87" t="str">
        <x:v>ТР №5</x:v>
      </x:c>
      <x:c r="J1780" s="87" t="str">
        <x:v>ИС2510502</x:v>
      </x:c>
      <x:c r="K1780" s="87" t="n">
        <x:v>17</x:v>
      </x:c>
      <x:c r="L1780" s="87" t="str">
        <x:v>Анализ источников о Великой Отечественной войне</x:v>
      </x:c>
      <x:c r="M1780" s="30" t="str">
        <x:v>Назвать год сражения, любой участвовавший советский фронт и способ дезориентации противника.</x:v>
      </x:c>
      <x:c r="N1780" s="30" t="str">
        <x:v>1945; 1-й Белорусский фронт; дымовые завесы поставили почти по всей линии фронта, чтобы ввести противника в заблуждение и ослепить наблюдательные пункты.</x:v>
      </x:c>
      <x:c r="O1780" s="30" t="str">
        <x:v>Допустимы также 1-й Украинский и 2-й Белорусский фронты.</x:v>
      </x:c>
      <x:c r="P1780" s="30" t="str">
        <x:v>Допустимы также 1-й Украинский и 2-й Белорусский фронты.</x:v>
      </x:c>
      <x:c r="Q1780" s="30"/>
      <x:c r="R1780" s="30" t="str">
        <x:v>Полный PDF + опубликованный вариант: https://hist-ege.sdamgia.ru/test?id=5463184</x:v>
      </x:c>
      <x:c r="S1780" s="30"/>
      <x:c r="T1780" s="30"/>
      <x:c r="U1780" s="30" t="str">
        <x:v>Расхождений не обнаружено.</x:v>
      </x:c>
      <x:c r="V1780" s="87" t="str">
        <x:v>VERIFIED</x:v>
      </x:c>
      <x:c r="W1780" s="87" t="str">
        <x:v>PDF варианта</x:v>
      </x:c>
      <x:c r="X1780" s="87"/>
      <x:c r="Y1780" s="87"/>
      <x:c r="Z1780" s="87"/>
      <x:c r="AA1780" s="87"/>
      <x:c r="AB1780" s="87"/>
      <x:c r="AC1780" s="87"/>
      <x:c r="AD1780" s="87"/>
      <x:c r="AE1780" s="87"/>
      <x:c r="AF1780" s="87"/>
      <x:c r="AG1780" s="87"/>
      <x:c r="AH1780" s="87"/>
      <x:c r="AI1780" s="30"/>
      <x:c r="AJ1780" s="87" t="str">
        <x:v>master</x:v>
      </x:c>
      <x:c r="AK1780" s="87" t="str">
        <x:v>master-v0.81</x:v>
      </x:c>
      <x:c r="AL1780" s="87" t="str">
        <x:v>statgrad_master_base_v0_81_final(2).xlsx</x:v>
      </x:c>
      <x:c r="AM1780" s="87" t="str">
        <x:v>HIST_Apr_V2</x:v>
      </x:c>
      <x:c r="AN1780" s="87" t="n">
        <x:v>18</x:v>
      </x:c>
    </x:row>
    <x:row r="1781">
      <x:c r="A1781" s="87" t="n">
        <x:v>1780</x:v>
      </x:c>
      <x:c r="B1781" s="87" t="str">
        <x:v>APR-HIS-V2-018</x:v>
      </x:c>
      <x:c r="C1781" s="87" t="str">
        <x:v>СтатГрад</x:v>
      </x:c>
      <x:c r="D1781" s="87" t="str">
        <x:v>Апрель 2026</x:v>
      </x:c>
      <x:c r="E1781" s="87"/>
      <x:c r="F1781" s="87"/>
      <x:c r="G1781" s="87" t="str">
        <x:v>История</x:v>
      </x:c>
      <x:c r="H1781" s="87" t="n">
        <x:v>11</x:v>
      </x:c>
      <x:c r="I1781" s="87" t="str">
        <x:v>ТР №5</x:v>
      </x:c>
      <x:c r="J1781" s="87" t="str">
        <x:v>ИС2510502</x:v>
      </x:c>
      <x:c r="K1781" s="87" t="n">
        <x:v>18</x:v>
      </x:c>
      <x:c r="L1781" s="87" t="str">
        <x:v>Причинно-следственные связи</x:v>
      </x:c>
      <x:c r="M1781" s="30" t="str">
        <x:v>Объяснить конфликт Юрия Звенигородского и Василия II, первоначальную уступку Юрия и решение ордынского хана.</x:v>
      </x:c>
      <x:c r="N1781" s="30" t="str">
        <x:v>а) Лествичный обычай предполагал передачу престола брату, а завещание Василия I передавало его сыну. б) Василий II был внуком могущественного Витовта, борьбы с которым Юрий опасался. в) Хан счёл юного Василия II более слабым и послушным Орде.</x:v>
      </x:c>
      <x:c r="O1781" s="30" t="str">
        <x:v>Ответ соответствует трём пунктам опубликованного критерия.</x:v>
      </x:c>
      <x:c r="P1781" s="30" t="str">
        <x:v>Ответ соответствует трём пунктам опубликованного критерия.</x:v>
      </x:c>
      <x:c r="Q1781" s="30"/>
      <x:c r="R1781" s="30" t="str">
        <x:v>Полный PDF + опубликованный вариант: https://hist-ege.sdamgia.ru/test?id=5463184</x:v>
      </x:c>
      <x:c r="S1781" s="30"/>
      <x:c r="T1781" s="30"/>
      <x:c r="U1781" s="30" t="str">
        <x:v>Расхождений не обнаружено.</x:v>
      </x:c>
      <x:c r="V1781" s="87" t="str">
        <x:v>VERIFIED</x:v>
      </x:c>
      <x:c r="W1781" s="87" t="str">
        <x:v>PDF варианта</x:v>
      </x:c>
      <x:c r="X1781" s="87"/>
      <x:c r="Y1781" s="87"/>
      <x:c r="Z1781" s="87"/>
      <x:c r="AA1781" s="87"/>
      <x:c r="AB1781" s="87"/>
      <x:c r="AC1781" s="87"/>
      <x:c r="AD1781" s="87"/>
      <x:c r="AE1781" s="87"/>
      <x:c r="AF1781" s="87"/>
      <x:c r="AG1781" s="87"/>
      <x:c r="AH1781" s="87"/>
      <x:c r="AI1781" s="30"/>
      <x:c r="AJ1781" s="87" t="str">
        <x:v>master</x:v>
      </x:c>
      <x:c r="AK1781" s="87" t="str">
        <x:v>master-v0.81</x:v>
      </x:c>
      <x:c r="AL1781" s="87" t="str">
        <x:v>statgrad_master_base_v0_81_final(2).xlsx</x:v>
      </x:c>
      <x:c r="AM1781" s="87" t="str">
        <x:v>HIST_Apr_V2</x:v>
      </x:c>
      <x:c r="AN1781" s="87" t="n">
        <x:v>19</x:v>
      </x:c>
    </x:row>
    <x:row r="1782">
      <x:c r="A1782" s="87" t="n">
        <x:v>1781</x:v>
      </x:c>
      <x:c r="B1782" s="87" t="str">
        <x:v>APR-HIS-V2-019</x:v>
      </x:c>
      <x:c r="C1782" s="87" t="str">
        <x:v>СтатГрад</x:v>
      </x:c>
      <x:c r="D1782" s="87" t="str">
        <x:v>Апрель 2026</x:v>
      </x:c>
      <x:c r="E1782" s="87"/>
      <x:c r="F1782" s="87"/>
      <x:c r="G1782" s="87" t="str">
        <x:v>История</x:v>
      </x:c>
      <x:c r="H1782" s="87" t="n">
        <x:v>11</x:v>
      </x:c>
      <x:c r="I1782" s="87" t="str">
        <x:v>ТР №5</x:v>
      </x:c>
      <x:c r="J1782" s="87" t="str">
        <x:v>ИС2510502</x:v>
      </x:c>
      <x:c r="K1782" s="87" t="n">
        <x:v>19</x:v>
      </x:c>
      <x:c r="L1782" s="87" t="str">
        <x:v>Историческое понятие</x:v>
      </x:c>
      <x:c r="M1782" s="30" t="str">
        <x:v>Раскрыть понятие «бироновщина» и привести один конкретизирующий факт.</x:v>
      </x:c>
      <x:c r="N1782" s="30" t="str">
        <x:v>Бироновщина — название периода царствования Анны Иоанновны, который характеризуется «засильем немцев» в государственном управлении. Название происходит от имени фаворита императрицы Э. И. Бирона.</x:v>
      </x:c>
      <x:c r="O1782" s="30" t="str">
        <x:v>Определение и отдельный факт соответствуют опубликованному критерию.</x:v>
      </x:c>
      <x:c r="P1782" s="30" t="str">
        <x:v>Определение и отдельный факт соответствуют опубликованному критерию.</x:v>
      </x:c>
      <x:c r="Q1782" s="30"/>
      <x:c r="R1782" s="30" t="str">
        <x:v>Полный PDF + опубликованный вариант: https://hist-ege.sdamgia.ru/test?id=5463184</x:v>
      </x:c>
      <x:c r="S1782" s="30"/>
      <x:c r="T1782" s="30"/>
      <x:c r="U1782" s="30" t="str">
        <x:v>Расхождений не обнаружено.</x:v>
      </x:c>
      <x:c r="V1782" s="87" t="str">
        <x:v>VERIFIED</x:v>
      </x:c>
      <x:c r="W1782" s="87" t="str">
        <x:v>PDF варианта</x:v>
      </x:c>
      <x:c r="X1782" s="87"/>
      <x:c r="Y1782" s="87"/>
      <x:c r="Z1782" s="87"/>
      <x:c r="AA1782" s="87"/>
      <x:c r="AB1782" s="87"/>
      <x:c r="AC1782" s="87"/>
      <x:c r="AD1782" s="87"/>
      <x:c r="AE1782" s="87"/>
      <x:c r="AF1782" s="87"/>
      <x:c r="AG1782" s="87"/>
      <x:c r="AH1782" s="87"/>
      <x:c r="AI1782" s="30"/>
      <x:c r="AJ1782" s="87" t="str">
        <x:v>master</x:v>
      </x:c>
      <x:c r="AK1782" s="87" t="str">
        <x:v>master-v0.81</x:v>
      </x:c>
      <x:c r="AL1782" s="87" t="str">
        <x:v>statgrad_master_base_v0_81_final(2).xlsx</x:v>
      </x:c>
      <x:c r="AM1782" s="87" t="str">
        <x:v>HIST_Apr_V2</x:v>
      </x:c>
      <x:c r="AN1782" s="87" t="n">
        <x:v>20</x:v>
      </x:c>
    </x:row>
    <x:row r="1783">
      <x:c r="A1783" s="87" t="n">
        <x:v>1782</x:v>
      </x:c>
      <x:c r="B1783" s="87" t="str">
        <x:v>APR-HIS-V2-020</x:v>
      </x:c>
      <x:c r="C1783" s="87" t="str">
        <x:v>СтатГрад</x:v>
      </x:c>
      <x:c r="D1783" s="87" t="str">
        <x:v>Апрель 2026</x:v>
      </x:c>
      <x:c r="E1783" s="87"/>
      <x:c r="F1783" s="87"/>
      <x:c r="G1783" s="87" t="str">
        <x:v>История</x:v>
      </x:c>
      <x:c r="H1783" s="87" t="n">
        <x:v>11</x:v>
      </x:c>
      <x:c r="I1783" s="87" t="str">
        <x:v>ТР №5</x:v>
      </x:c>
      <x:c r="J1783" s="87" t="str">
        <x:v>ИС2510502</x:v>
      </x:c>
      <x:c r="K1783" s="87" t="n">
        <x:v>20</x:v>
      </x:c>
      <x:c r="L1783" s="87" t="str">
        <x:v>Сравнение исторических периодов</x:v>
      </x:c>
      <x:c r="M1783" s="30" t="str">
        <x:v>Сформулировать сходство политической жизни СССР в 1953–1964 и 1985–1991 гг. и привести два обоснования.</x:v>
      </x:c>
      <x:c r="N1783" s="30" t="str">
        <x:v>Тезис: оба периода характеризовались десталинизацией. 1) В 1956 г. Хрущёв осудил культ личности на XX съезде, а при перестройке критика сталинизма вновь стала публичной и был опубликован его доклад. 2) В 1950-е началась реабилитация жертв репрессий, а в годы перестройки были реабилитированы Бухарин, Зиновьев и другие осуждённые.</x:v>
      </x:c>
      <x:c r="O1783" s="30" t="str">
        <x:v>Тезис и оба обоснования соответствуют опубликованному решению.</x:v>
      </x:c>
      <x:c r="P1783" s="30" t="str">
        <x:v>Тезис и оба обоснования соответствуют опубликованному решению.</x:v>
      </x:c>
      <x:c r="Q1783" s="30"/>
      <x:c r="R1783" s="30" t="str">
        <x:v>Полный PDF + опубликованный вариант: https://hist-ege.sdamgia.ru/test?id=5463184</x:v>
      </x:c>
      <x:c r="S1783" s="30"/>
      <x:c r="T1783" s="30"/>
      <x:c r="U1783" s="30" t="str">
        <x:v>Расхождений не обнаружено.</x:v>
      </x:c>
      <x:c r="V1783" s="87" t="str">
        <x:v>VERIFIED</x:v>
      </x:c>
      <x:c r="W1783" s="87" t="str">
        <x:v>PDF варианта</x:v>
      </x:c>
      <x:c r="X1783" s="87"/>
      <x:c r="Y1783" s="87"/>
      <x:c r="Z1783" s="87"/>
      <x:c r="AA1783" s="87"/>
      <x:c r="AB1783" s="87"/>
      <x:c r="AC1783" s="87"/>
      <x:c r="AD1783" s="87"/>
      <x:c r="AE1783" s="87"/>
      <x:c r="AF1783" s="87"/>
      <x:c r="AG1783" s="87"/>
      <x:c r="AH1783" s="87"/>
      <x:c r="AI1783" s="30"/>
      <x:c r="AJ1783" s="87" t="str">
        <x:v>master</x:v>
      </x:c>
      <x:c r="AK1783" s="87" t="str">
        <x:v>master-v0.81</x:v>
      </x:c>
      <x:c r="AL1783" s="87" t="str">
        <x:v>statgrad_master_base_v0_81_final(2).xlsx</x:v>
      </x:c>
      <x:c r="AM1783" s="87" t="str">
        <x:v>HIST_Apr_V2</x:v>
      </x:c>
      <x:c r="AN1783" s="87" t="n">
        <x:v>21</x:v>
      </x:c>
    </x:row>
    <x:row r="1784">
      <x:c r="A1784" s="87" t="n">
        <x:v>1783</x:v>
      </x:c>
      <x:c r="B1784" s="87" t="str">
        <x:v>APR-HIS-V2-021</x:v>
      </x:c>
      <x:c r="C1784" s="87" t="str">
        <x:v>СтатГрад</x:v>
      </x:c>
      <x:c r="D1784" s="87" t="str">
        <x:v>Апрель 2026</x:v>
      </x:c>
      <x:c r="E1784" s="87"/>
      <x:c r="F1784" s="87"/>
      <x:c r="G1784" s="87" t="str">
        <x:v>История</x:v>
      </x:c>
      <x:c r="H1784" s="87" t="n">
        <x:v>11</x:v>
      </x:c>
      <x:c r="I1784" s="87" t="str">
        <x:v>ТР №5</x:v>
      </x:c>
      <x:c r="J1784" s="87" t="str">
        <x:v>ИС2510502</x:v>
      </x:c>
      <x:c r="K1784" s="87" t="n">
        <x:v>21</x:v>
      </x:c>
      <x:c r="L1784" s="87" t="str">
        <x:v>Аргументация по истории России и Англии</x:v>
      </x:c>
      <x:c r="M1784" s="30" t="str">
        <x:v>Доказать, что связи монархов с иностранцами стали одной из причин народных волнений в России и Англии XVII века.</x:v>
      </x:c>
      <x:c r="N1784" s="30" t="str">
        <x:v>Россия: польское окружение Лжедмитрия I и его брак с католичкой Мариной Мнишек вызвали недовольство москвичей и восстание 1606 г., в котором царь был убит. Англия: брак Карла I с французской католичкой Генриеттой Марией вызвал страх усиления католицизма и стал одной из причин революционного недовольства.</x:v>
      </x:c>
      <x:c r="O1784" s="30" t="str">
        <x:v>Оба аргумента совпадают с опубликованной моделью ответа.</x:v>
      </x:c>
      <x:c r="P1784" s="30" t="str">
        <x:v>Оба аргумента совпадают с опубликованной моделью ответа.</x:v>
      </x:c>
      <x:c r="Q1784" s="30"/>
      <x:c r="R1784" s="30" t="str">
        <x:v>Полный PDF + опубликованный вариант: https://hist-ege.sdamgia.ru/test?id=5463184</x:v>
      </x:c>
      <x:c r="S1784" s="30"/>
      <x:c r="T1784" s="30"/>
      <x:c r="U1784" s="30" t="str">
        <x:v>Расхождений не обнаружено.</x:v>
      </x:c>
      <x:c r="V1784" s="87" t="str">
        <x:v>VERIFIED</x:v>
      </x:c>
      <x:c r="W1784" s="87" t="str">
        <x:v>PDF варианта</x:v>
      </x:c>
      <x:c r="X1784" s="87"/>
      <x:c r="Y1784" s="87"/>
      <x:c r="Z1784" s="87"/>
      <x:c r="AA1784" s="87"/>
      <x:c r="AB1784" s="87"/>
      <x:c r="AC1784" s="87"/>
      <x:c r="AD1784" s="87"/>
      <x:c r="AE1784" s="87"/>
      <x:c r="AF1784" s="87"/>
      <x:c r="AG1784" s="87"/>
      <x:c r="AH1784" s="87"/>
      <x:c r="AI1784" s="30"/>
      <x:c r="AJ1784" s="87" t="str">
        <x:v>master</x:v>
      </x:c>
      <x:c r="AK1784" s="87" t="str">
        <x:v>master-v0.81</x:v>
      </x:c>
      <x:c r="AL1784" s="87" t="str">
        <x:v>statgrad_master_base_v0_81_final(2).xlsx</x:v>
      </x:c>
      <x:c r="AM1784" s="87" t="str">
        <x:v>HIST_Apr_V2</x:v>
      </x:c>
      <x:c r="AN1784" s="87" t="n">
        <x:v>22</x:v>
      </x:c>
    </x:row>
    <x:row r="1785">
      <x:c r="A1785" s="87" t="n">
        <x:v>1784</x:v>
      </x:c>
      <x:c r="B1785" s="87" t="str">
        <x:v>APR-HIS-V3-001</x:v>
      </x:c>
      <x:c r="C1785" s="87" t="str">
        <x:v>СтатГрад</x:v>
      </x:c>
      <x:c r="D1785" s="87" t="str">
        <x:v>Апрель 2026</x:v>
      </x:c>
      <x:c r="E1785" s="87"/>
      <x:c r="F1785" s="87"/>
      <x:c r="G1785" s="87" t="str">
        <x:v>История</x:v>
      </x:c>
      <x:c r="H1785" s="87" t="n">
        <x:v>11</x:v>
      </x:c>
      <x:c r="I1785" s="87" t="str">
        <x:v>ТР №5</x:v>
      </x:c>
      <x:c r="J1785" s="87" t="str">
        <x:v>ИС2510503</x:v>
      </x:c>
      <x:c r="K1785" s="87" t="n">
        <x:v>1</x:v>
      </x:c>
      <x:c r="L1785" s="87" t="str">
        <x:v>Соответствие событий и годов</x:v>
      </x:c>
      <x:c r="M1785" s="30" t="str">
        <x:v>Соотнести Медный бунт, начало контрнаступления Красной армии под Москвой, преобразование наркоматов в министерства и создание III отделения с годами.</x:v>
      </x:c>
      <x:c r="N1785" s="30" t="str">
        <x:v>1563</x:v>
      </x:c>
      <x:c r="O1785" s="30" t="str">
        <x:v>Медный бунт — 1662 г.; контрнаступление под Москвой — 1941 г.; министерства вместо наркоматов — 1946 г.; III отделение — 1826 г.</x:v>
      </x:c>
      <x:c r="P1785" s="30" t="str">
        <x:v>Медный бунт — 1662 г.; контрнаступление под Москвой — 1941 г.; министерства вместо наркоматов — 1946 г.; III отделение — 1826 г.</x:v>
      </x:c>
      <x:c r="Q1785" s="30"/>
      <x:c r="R1785" s="30" t="str">
        <x:v>Полный PDF + опубликованный вариант: https://hist-ege.sdamgia.ru/test?id=5458985</x:v>
      </x:c>
      <x:c r="S1785" s="30"/>
      <x:c r="T1785" s="30"/>
      <x:c r="U1785" s="30" t="str">
        <x:v>Расхождений не обнаружено.</x:v>
      </x:c>
      <x:c r="V1785" s="87" t="str">
        <x:v>VERIFIED</x:v>
      </x:c>
      <x:c r="W1785" s="87" t="str">
        <x:v>PDF варианта</x:v>
      </x:c>
      <x:c r="X1785" s="87"/>
      <x:c r="Y1785" s="87"/>
      <x:c r="Z1785" s="87"/>
      <x:c r="AA1785" s="87"/>
      <x:c r="AB1785" s="87"/>
      <x:c r="AC1785" s="87"/>
      <x:c r="AD1785" s="87"/>
      <x:c r="AE1785" s="87"/>
      <x:c r="AF1785" s="87"/>
      <x:c r="AG1785" s="87"/>
      <x:c r="AH1785" s="87"/>
      <x:c r="AI1785" s="30"/>
      <x:c r="AJ1785" s="87" t="str">
        <x:v>master</x:v>
      </x:c>
      <x:c r="AK1785" s="87" t="str">
        <x:v>master-v0.81</x:v>
      </x:c>
      <x:c r="AL1785" s="87" t="str">
        <x:v>statgrad_master_base_v0_81_final(2).xlsx</x:v>
      </x:c>
      <x:c r="AM1785" s="87" t="str">
        <x:v>HIST_Apr_V3</x:v>
      </x:c>
      <x:c r="AN1785" s="87" t="n">
        <x:v>2</x:v>
      </x:c>
    </x:row>
    <x:row r="1786">
      <x:c r="A1786" s="87" t="n">
        <x:v>1785</x:v>
      </x:c>
      <x:c r="B1786" s="87" t="str">
        <x:v>APR-HIS-V3-002</x:v>
      </x:c>
      <x:c r="C1786" s="87" t="str">
        <x:v>СтатГрад</x:v>
      </x:c>
      <x:c r="D1786" s="87" t="str">
        <x:v>Апрель 2026</x:v>
      </x:c>
      <x:c r="E1786" s="87"/>
      <x:c r="F1786" s="87"/>
      <x:c r="G1786" s="87" t="str">
        <x:v>История</x:v>
      </x:c>
      <x:c r="H1786" s="87" t="n">
        <x:v>11</x:v>
      </x:c>
      <x:c r="I1786" s="87" t="str">
        <x:v>ТР №5</x:v>
      </x:c>
      <x:c r="J1786" s="87" t="str">
        <x:v>ИС2510503</x:v>
      </x:c>
      <x:c r="K1786" s="87" t="n">
        <x:v>2</x:v>
      </x:c>
      <x:c r="L1786" s="87" t="str">
        <x:v>Хронологическая последовательность</x:v>
      </x:c>
      <x:c r="M1786" s="30" t="str">
        <x:v>Расположить принятие Билля о правах в США, назначение П. А. Столыпина председателем Совета министров и подписание Беловежских соглашений.</x:v>
      </x:c>
      <x:c r="N1786" s="30" t="str">
        <x:v>231</x:v>
      </x:c>
      <x:c r="O1786" s="30" t="str">
        <x:v>Билль о правах — 1791 г.; Столыпин — 1906 г.; Беловежские соглашения — 1991 г.</x:v>
      </x:c>
      <x:c r="P1786" s="30" t="str">
        <x:v>Билль о правах — 1791 г.; Столыпин — 1906 г.; Беловежские соглашения — 1991 г.</x:v>
      </x:c>
      <x:c r="Q1786" s="30"/>
      <x:c r="R1786" s="30" t="str">
        <x:v>Полный PDF + опубликованный вариант: https://hist-ege.sdamgia.ru/test?id=5458985</x:v>
      </x:c>
      <x:c r="S1786" s="30"/>
      <x:c r="T1786" s="30"/>
      <x:c r="U1786" s="30" t="str">
        <x:v>Расхождений не обнаружено.</x:v>
      </x:c>
      <x:c r="V1786" s="87" t="str">
        <x:v>VERIFIED</x:v>
      </x:c>
      <x:c r="W1786" s="87" t="str">
        <x:v>PDF варианта</x:v>
      </x:c>
      <x:c r="X1786" s="87"/>
      <x:c r="Y1786" s="87"/>
      <x:c r="Z1786" s="87"/>
      <x:c r="AA1786" s="87"/>
      <x:c r="AB1786" s="87"/>
      <x:c r="AC1786" s="87"/>
      <x:c r="AD1786" s="87"/>
      <x:c r="AE1786" s="87"/>
      <x:c r="AF1786" s="87"/>
      <x:c r="AG1786" s="87"/>
      <x:c r="AH1786" s="87"/>
      <x:c r="AI1786" s="30"/>
      <x:c r="AJ1786" s="87" t="str">
        <x:v>master</x:v>
      </x:c>
      <x:c r="AK1786" s="87" t="str">
        <x:v>master-v0.81</x:v>
      </x:c>
      <x:c r="AL1786" s="87" t="str">
        <x:v>statgrad_master_base_v0_81_final(2).xlsx</x:v>
      </x:c>
      <x:c r="AM1786" s="87" t="str">
        <x:v>HIST_Apr_V3</x:v>
      </x:c>
      <x:c r="AN1786" s="87" t="n">
        <x:v>3</x:v>
      </x:c>
    </x:row>
    <x:row r="1787">
      <x:c r="A1787" s="87" t="n">
        <x:v>1786</x:v>
      </x:c>
      <x:c r="B1787" s="87" t="str">
        <x:v>APR-HIS-V3-003</x:v>
      </x:c>
      <x:c r="C1787" s="87" t="str">
        <x:v>СтатГрад</x:v>
      </x:c>
      <x:c r="D1787" s="87" t="str">
        <x:v>Апрель 2026</x:v>
      </x:c>
      <x:c r="E1787" s="87"/>
      <x:c r="F1787" s="87"/>
      <x:c r="G1787" s="87" t="str">
        <x:v>История</x:v>
      </x:c>
      <x:c r="H1787" s="87" t="n">
        <x:v>11</x:v>
      </x:c>
      <x:c r="I1787" s="87" t="str">
        <x:v>ТР №5</x:v>
      </x:c>
      <x:c r="J1787" s="87" t="str">
        <x:v>ИС2510503</x:v>
      </x:c>
      <x:c r="K1787" s="87" t="n">
        <x:v>3</x:v>
      </x:c>
      <x:c r="L1787" s="87" t="str">
        <x:v>Процессы и факты</x:v>
      </x:c>
      <x:c r="M1787" s="30" t="str">
        <x:v>Соотнести церковный раскол, установление советской власти, просвещённый абсолютизм и социальные конфликты XII века с относящимися к ним фактами.</x:v>
      </x:c>
      <x:c r="N1787" s="30" t="str">
        <x:v>2145</x:v>
      </x:c>
      <x:c r="O1787" s="30" t="str">
        <x:v>Раскол — Соловецкое восстание; советская власть — декрет об отделении церкви от государства; просвещённый абсолютизм — секуляризация; конфликты XII века — Устав о резах.</x:v>
      </x:c>
      <x:c r="P1787" s="30" t="str">
        <x:v>Раскол — Соловецкое восстание; советская власть — декрет об отделении церкви от государства; просвещённый абсолютизм — секуляризация; конфликты XII века — Устав о резах.</x:v>
      </x:c>
      <x:c r="Q1787" s="30"/>
      <x:c r="R1787" s="30" t="str">
        <x:v>Полный PDF + опубликованный вариант: https://hist-ege.sdamgia.ru/test?id=5458985</x:v>
      </x:c>
      <x:c r="S1787" s="30"/>
      <x:c r="T1787" s="30"/>
      <x:c r="U1787" s="30" t="str">
        <x:v>Расхождений не обнаружено.</x:v>
      </x:c>
      <x:c r="V1787" s="87" t="str">
        <x:v>VERIFIED</x:v>
      </x:c>
      <x:c r="W1787" s="87" t="str">
        <x:v>PDF варианта</x:v>
      </x:c>
      <x:c r="X1787" s="87"/>
      <x:c r="Y1787" s="87"/>
      <x:c r="Z1787" s="87"/>
      <x:c r="AA1787" s="87"/>
      <x:c r="AB1787" s="87"/>
      <x:c r="AC1787" s="87"/>
      <x:c r="AD1787" s="87"/>
      <x:c r="AE1787" s="87"/>
      <x:c r="AF1787" s="87"/>
      <x:c r="AG1787" s="87"/>
      <x:c r="AH1787" s="87"/>
      <x:c r="AI1787" s="30"/>
      <x:c r="AJ1787" s="87" t="str">
        <x:v>master</x:v>
      </x:c>
      <x:c r="AK1787" s="87" t="str">
        <x:v>master-v0.81</x:v>
      </x:c>
      <x:c r="AL1787" s="87" t="str">
        <x:v>statgrad_master_base_v0_81_final(2).xlsx</x:v>
      </x:c>
      <x:c r="AM1787" s="87" t="str">
        <x:v>HIST_Apr_V3</x:v>
      </x:c>
      <x:c r="AN1787" s="87" t="n">
        <x:v>4</x:v>
      </x:c>
    </x:row>
    <x:row r="1788">
      <x:c r="A1788" s="87" t="n">
        <x:v>1787</x:v>
      </x:c>
      <x:c r="B1788" s="87" t="str">
        <x:v>APR-HIS-V3-004</x:v>
      </x:c>
      <x:c r="C1788" s="87" t="str">
        <x:v>СтатГрад</x:v>
      </x:c>
      <x:c r="D1788" s="87" t="str">
        <x:v>Апрель 2026</x:v>
      </x:c>
      <x:c r="E1788" s="87"/>
      <x:c r="F1788" s="87"/>
      <x:c r="G1788" s="87" t="str">
        <x:v>История</x:v>
      </x:c>
      <x:c r="H1788" s="87" t="n">
        <x:v>11</x:v>
      </x:c>
      <x:c r="I1788" s="87" t="str">
        <x:v>ТР №5</x:v>
      </x:c>
      <x:c r="J1788" s="87" t="str">
        <x:v>ИС2510503</x:v>
      </x:c>
      <x:c r="K1788" s="87" t="n">
        <x:v>4</x:v>
      </x:c>
      <x:c r="L1788" s="87" t="str">
        <x:v>Заполнение исторической таблицы</x:v>
      </x:c>
      <x:c r="M1788" s="30" t="str">
        <x:v>Заполнить пропуски в таблице о Царицыне, Царском Селе, Ленинграде и Москве, событиях и десятилетиях.</x:v>
      </x:c>
      <x:c r="N1788" s="30" t="str">
        <x:v>257349</x:v>
      </x:c>
      <x:c r="O1788" s="30" t="str">
        <x:v>Царицын связан с событиями 1770-х; железная дорога до Царского Села — с 1830-ми; убийство Кирова в Ленинграде — с 1930-ми; стрелецкий бунт в Москве — с 1680-ми.</x:v>
      </x:c>
      <x:c r="P1788" s="30" t="str">
        <x:v>Царицын связан с событиями 1770-х; железная дорога до Царского Села — с 1830-ми; убийство Кирова в Ленинграде — с 1930-ми; стрелецкий бунт в Москве — с 1680-ми.</x:v>
      </x:c>
      <x:c r="Q1788" s="30"/>
      <x:c r="R1788" s="30" t="str">
        <x:v>Полный PDF + опубликованный вариант: https://hist-ege.sdamgia.ru/test?id=5458985</x:v>
      </x:c>
      <x:c r="S1788" s="30"/>
      <x:c r="T1788" s="30"/>
      <x:c r="U1788" s="30" t="str">
        <x:v>Расхождений не обнаружено.</x:v>
      </x:c>
      <x:c r="V1788" s="87" t="str">
        <x:v>VERIFIED</x:v>
      </x:c>
      <x:c r="W1788" s="87" t="str">
        <x:v>PDF варианта</x:v>
      </x:c>
      <x:c r="X1788" s="87"/>
      <x:c r="Y1788" s="87"/>
      <x:c r="Z1788" s="87"/>
      <x:c r="AA1788" s="87"/>
      <x:c r="AB1788" s="87"/>
      <x:c r="AC1788" s="87"/>
      <x:c r="AD1788" s="87"/>
      <x:c r="AE1788" s="87"/>
      <x:c r="AF1788" s="87"/>
      <x:c r="AG1788" s="87"/>
      <x:c r="AH1788" s="87"/>
      <x:c r="AI1788" s="30"/>
      <x:c r="AJ1788" s="87" t="str">
        <x:v>master</x:v>
      </x:c>
      <x:c r="AK1788" s="87" t="str">
        <x:v>master-v0.81</x:v>
      </x:c>
      <x:c r="AL1788" s="87" t="str">
        <x:v>statgrad_master_base_v0_81_final(2).xlsx</x:v>
      </x:c>
      <x:c r="AM1788" s="87" t="str">
        <x:v>HIST_Apr_V3</x:v>
      </x:c>
      <x:c r="AN1788" s="87" t="n">
        <x:v>5</x:v>
      </x:c>
    </x:row>
    <x:row r="1789">
      <x:c r="A1789" s="87" t="n">
        <x:v>1788</x:v>
      </x:c>
      <x:c r="B1789" s="87" t="str">
        <x:v>APR-HIS-V3-005</x:v>
      </x:c>
      <x:c r="C1789" s="87" t="str">
        <x:v>СтатГрад</x:v>
      </x:c>
      <x:c r="D1789" s="87" t="str">
        <x:v>Апрель 2026</x:v>
      </x:c>
      <x:c r="E1789" s="87"/>
      <x:c r="F1789" s="87"/>
      <x:c r="G1789" s="87" t="str">
        <x:v>История</x:v>
      </x:c>
      <x:c r="H1789" s="87" t="n">
        <x:v>11</x:v>
      </x:c>
      <x:c r="I1789" s="87" t="str">
        <x:v>ТР №5</x:v>
      </x:c>
      <x:c r="J1789" s="87" t="str">
        <x:v>ИС2510503</x:v>
      </x:c>
      <x:c r="K1789" s="87" t="n">
        <x:v>5</x:v>
      </x:c>
      <x:c r="L1789" s="87" t="str">
        <x:v>Исторические деятели и события</x:v>
      </x:c>
      <x:c r="M1789" s="30" t="str">
        <x:v>Соотнести принятие Конституции СССР 1977 г., деятельность партизана, опричнину и денежную реформу с деятелями.</x:v>
      </x:c>
      <x:c r="N1789" s="30" t="str">
        <x:v>1432</x:v>
      </x:c>
      <x:c r="O1789" s="30" t="str">
        <x:v>Конституция — Л. И. Брежнев; партизан — Марат Казей; опричнина — Малюта Скуратов; золотой рубль — С. Ю. Витте.</x:v>
      </x:c>
      <x:c r="P1789" s="30" t="str">
        <x:v>Конституция — Л. И. Брежнев; партизан — Марат Казей; опричнина — Малюта Скуратов; золотой рубль — С. Ю. Витте.</x:v>
      </x:c>
      <x:c r="Q1789" s="30"/>
      <x:c r="R1789" s="30" t="str">
        <x:v>Полный PDF + опубликованный вариант: https://hist-ege.sdamgia.ru/test?id=5458985</x:v>
      </x:c>
      <x:c r="S1789" s="30"/>
      <x:c r="T1789" s="30"/>
      <x:c r="U1789" s="30" t="str">
        <x:v>Расхождений не обнаружено.</x:v>
      </x:c>
      <x:c r="V1789" s="87" t="str">
        <x:v>VERIFIED</x:v>
      </x:c>
      <x:c r="W1789" s="87" t="str">
        <x:v>PDF варианта</x:v>
      </x:c>
      <x:c r="X1789" s="87"/>
      <x:c r="Y1789" s="87"/>
      <x:c r="Z1789" s="87"/>
      <x:c r="AA1789" s="87"/>
      <x:c r="AB1789" s="87"/>
      <x:c r="AC1789" s="87"/>
      <x:c r="AD1789" s="87"/>
      <x:c r="AE1789" s="87"/>
      <x:c r="AF1789" s="87"/>
      <x:c r="AG1789" s="87"/>
      <x:c r="AH1789" s="87"/>
      <x:c r="AI1789" s="30"/>
      <x:c r="AJ1789" s="87" t="str">
        <x:v>master</x:v>
      </x:c>
      <x:c r="AK1789" s="87" t="str">
        <x:v>master-v0.81</x:v>
      </x:c>
      <x:c r="AL1789" s="87" t="str">
        <x:v>statgrad_master_base_v0_81_final(2).xlsx</x:v>
      </x:c>
      <x:c r="AM1789" s="87" t="str">
        <x:v>HIST_Apr_V3</x:v>
      </x:c>
      <x:c r="AN1789" s="87" t="n">
        <x:v>6</x:v>
      </x:c>
    </x:row>
    <x:row r="1790">
      <x:c r="A1790" s="87" t="n">
        <x:v>1789</x:v>
      </x:c>
      <x:c r="B1790" s="87" t="str">
        <x:v>APR-HIS-V3-006</x:v>
      </x:c>
      <x:c r="C1790" s="87" t="str">
        <x:v>СтатГрад</x:v>
      </x:c>
      <x:c r="D1790" s="87" t="str">
        <x:v>Апрель 2026</x:v>
      </x:c>
      <x:c r="E1790" s="87"/>
      <x:c r="F1790" s="87"/>
      <x:c r="G1790" s="87" t="str">
        <x:v>История</x:v>
      </x:c>
      <x:c r="H1790" s="87" t="n">
        <x:v>11</x:v>
      </x:c>
      <x:c r="I1790" s="87" t="str">
        <x:v>ТР №5</x:v>
      </x:c>
      <x:c r="J1790" s="87" t="str">
        <x:v>ИС2510503</x:v>
      </x:c>
      <x:c r="K1790" s="87" t="n">
        <x:v>6</x:v>
      </x:c>
      <x:c r="L1790" s="87" t="str">
        <x:v>Анализ исторического источника</x:v>
      </x:c>
      <x:c r="M1790" s="30" t="str">
        <x:v>По источнику об Иване IV выбрать верные суждения.</x:v>
      </x:c>
      <x:c r="N1790" s="30" t="str">
        <x:v>46</x:v>
      </x:c>
      <x:c r="O1790" s="30" t="str">
        <x:v>В тексте упоминаются участники Избранной рады Сильвестр и Алексей Адашев; в царствование Ивана IV было присоединено Казанское ханство.</x:v>
      </x:c>
      <x:c r="P1790" s="30" t="str">
        <x:v>В тексте упоминаются участники Избранной рады Сильвестр и Алексей Адашев; в царствование Ивана IV было присоединено Казанское ханство.</x:v>
      </x:c>
      <x:c r="Q1790" s="30"/>
      <x:c r="R1790" s="30" t="str">
        <x:v>Полный PDF + опубликованный вариант: https://hist-ege.sdamgia.ru/test?id=5458985</x:v>
      </x:c>
      <x:c r="S1790" s="30"/>
      <x:c r="T1790" s="30"/>
      <x:c r="U1790" s="30" t="str">
        <x:v>Расхождений не обнаружено.</x:v>
      </x:c>
      <x:c r="V1790" s="87" t="str">
        <x:v>VERIFIED</x:v>
      </x:c>
      <x:c r="W1790" s="87" t="str">
        <x:v>PDF варианта</x:v>
      </x:c>
      <x:c r="X1790" s="87"/>
      <x:c r="Y1790" s="87"/>
      <x:c r="Z1790" s="87"/>
      <x:c r="AA1790" s="87"/>
      <x:c r="AB1790" s="87"/>
      <x:c r="AC1790" s="87"/>
      <x:c r="AD1790" s="87"/>
      <x:c r="AE1790" s="87"/>
      <x:c r="AF1790" s="87"/>
      <x:c r="AG1790" s="87"/>
      <x:c r="AH1790" s="87"/>
      <x:c r="AI1790" s="30"/>
      <x:c r="AJ1790" s="87" t="str">
        <x:v>master</x:v>
      </x:c>
      <x:c r="AK1790" s="87" t="str">
        <x:v>master-v0.81</x:v>
      </x:c>
      <x:c r="AL1790" s="87" t="str">
        <x:v>statgrad_master_base_v0_81_final(2).xlsx</x:v>
      </x:c>
      <x:c r="AM1790" s="87" t="str">
        <x:v>HIST_Apr_V3</x:v>
      </x:c>
      <x:c r="AN1790" s="87" t="n">
        <x:v>7</x:v>
      </x:c>
    </x:row>
    <x:row r="1791">
      <x:c r="A1791" s="87" t="n">
        <x:v>1790</x:v>
      </x:c>
      <x:c r="B1791" s="87" t="str">
        <x:v>APR-HIS-V3-007</x:v>
      </x:c>
      <x:c r="C1791" s="87" t="str">
        <x:v>СтатГрад</x:v>
      </x:c>
      <x:c r="D1791" s="87" t="str">
        <x:v>Апрель 2026</x:v>
      </x:c>
      <x:c r="E1791" s="87"/>
      <x:c r="F1791" s="87"/>
      <x:c r="G1791" s="87" t="str">
        <x:v>История</x:v>
      </x:c>
      <x:c r="H1791" s="87" t="n">
        <x:v>11</x:v>
      </x:c>
      <x:c r="I1791" s="87" t="str">
        <x:v>ТР №5</x:v>
      </x:c>
      <x:c r="J1791" s="87" t="str">
        <x:v>ИС2510503</x:v>
      </x:c>
      <x:c r="K1791" s="87" t="n">
        <x:v>7</x:v>
      </x:c>
      <x:c r="L1791" s="87" t="str">
        <x:v>Памятники культуры</x:v>
      </x:c>
      <x:c r="M1791" s="30" t="str">
        <x:v>Соотнести Успенский собор Московского Кремля, Теремной дворец, дом Пашкова и дом Мельникова с характеристиками.</x:v>
      </x:c>
      <x:c r="N1791" s="30" t="str">
        <x:v>4216</x:v>
      </x:c>
      <x:c r="O1791" s="30" t="str">
        <x:v>Успенский собор построен итальянским архитектором; Теремной дворец — при Михаиле Фёдоровиче; дом Пашкова — классицизм; дом Мельникова — 1920-е гг.</x:v>
      </x:c>
      <x:c r="P1791" s="30" t="str">
        <x:v>Успенский собор построен итальянским архитектором; Теремной дворец — при Михаиле Фёдоровиче; дом Пашкова — классицизм; дом Мельникова — 1920-е гг.</x:v>
      </x:c>
      <x:c r="Q1791" s="30"/>
      <x:c r="R1791" s="30" t="str">
        <x:v>Полный PDF + опубликованный вариант: https://hist-ege.sdamgia.ru/test?id=5458985</x:v>
      </x:c>
      <x:c r="S1791" s="30"/>
      <x:c r="T1791" s="30"/>
      <x:c r="U1791" s="30" t="str">
        <x:v>Расхождений не обнаружено.</x:v>
      </x:c>
      <x:c r="V1791" s="87" t="str">
        <x:v>VERIFIED</x:v>
      </x:c>
      <x:c r="W1791" s="87" t="str">
        <x:v>PDF варианта</x:v>
      </x:c>
      <x:c r="X1791" s="87"/>
      <x:c r="Y1791" s="87"/>
      <x:c r="Z1791" s="87"/>
      <x:c r="AA1791" s="87"/>
      <x:c r="AB1791" s="87"/>
      <x:c r="AC1791" s="87"/>
      <x:c r="AD1791" s="87"/>
      <x:c r="AE1791" s="87"/>
      <x:c r="AF1791" s="87"/>
      <x:c r="AG1791" s="87"/>
      <x:c r="AH1791" s="87"/>
      <x:c r="AI1791" s="30"/>
      <x:c r="AJ1791" s="87" t="str">
        <x:v>master</x:v>
      </x:c>
      <x:c r="AK1791" s="87" t="str">
        <x:v>master-v0.81</x:v>
      </x:c>
      <x:c r="AL1791" s="87" t="str">
        <x:v>statgrad_master_base_v0_81_final(2).xlsx</x:v>
      </x:c>
      <x:c r="AM1791" s="87" t="str">
        <x:v>HIST_Apr_V3</x:v>
      </x:c>
      <x:c r="AN1791" s="87" t="n">
        <x:v>8</x:v>
      </x:c>
    </x:row>
    <x:row r="1792">
      <x:c r="A1792" s="87" t="n">
        <x:v>1791</x:v>
      </x:c>
      <x:c r="B1792" s="87" t="str">
        <x:v>APR-HIS-V3-008</x:v>
      </x:c>
      <x:c r="C1792" s="87" t="str">
        <x:v>СтатГрад</x:v>
      </x:c>
      <x:c r="D1792" s="87" t="str">
        <x:v>Апрель 2026</x:v>
      </x:c>
      <x:c r="E1792" s="87"/>
      <x:c r="F1792" s="87"/>
      <x:c r="G1792" s="87" t="str">
        <x:v>История</x:v>
      </x:c>
      <x:c r="H1792" s="87" t="n">
        <x:v>11</x:v>
      </x:c>
      <x:c r="I1792" s="87" t="str">
        <x:v>ТР №5</x:v>
      </x:c>
      <x:c r="J1792" s="87" t="str">
        <x:v>ИС2510503</x:v>
      </x:c>
      <x:c r="K1792" s="87" t="n">
        <x:v>8</x:v>
      </x:c>
      <x:c r="L1792" s="87" t="str">
        <x:v>Военная история и изображение</x:v>
      </x:c>
      <x:c r="M1792" s="30" t="str">
        <x:v>Определить пропущенное слово в обозначении года военной операции, связанной с изображением.</x:v>
      </x:c>
      <x:c r="N1792" s="30" t="str">
        <x:v>сорок четвёртом</x:v>
      </x:c>
      <x:c r="O1792" s="30" t="str">
        <x:v>Изображение связано с событиями Великой Отечественной войны 1944 года.</x:v>
      </x:c>
      <x:c r="P1792" s="30" t="str">
        <x:v>Изображение связано с событиями Великой Отечественной войны 1944 года.</x:v>
      </x:c>
      <x:c r="Q1792" s="30"/>
      <x:c r="R1792" s="30" t="str">
        <x:v>Полный PDF + опубликованный вариант: https://hist-ege.sdamgia.ru/test?id=5458985</x:v>
      </x:c>
      <x:c r="S1792" s="30"/>
      <x:c r="T1792" s="30"/>
      <x:c r="U1792" s="30" t="str">
        <x:v>Расхождений не обнаружено.</x:v>
      </x:c>
      <x:c r="V1792" s="87" t="str">
        <x:v>VERIFIED</x:v>
      </x:c>
      <x:c r="W1792" s="87" t="str">
        <x:v>PDF варианта</x:v>
      </x:c>
      <x:c r="X1792" s="87"/>
      <x:c r="Y1792" s="87"/>
      <x:c r="Z1792" s="87"/>
      <x:c r="AA1792" s="87"/>
      <x:c r="AB1792" s="87"/>
      <x:c r="AC1792" s="87"/>
      <x:c r="AD1792" s="87"/>
      <x:c r="AE1792" s="87"/>
      <x:c r="AF1792" s="87"/>
      <x:c r="AG1792" s="87"/>
      <x:c r="AH1792" s="87"/>
      <x:c r="AI1792" s="30"/>
      <x:c r="AJ1792" s="87" t="str">
        <x:v>master</x:v>
      </x:c>
      <x:c r="AK1792" s="87" t="str">
        <x:v>master-v0.81</x:v>
      </x:c>
      <x:c r="AL1792" s="87" t="str">
        <x:v>statgrad_master_base_v0_81_final(2).xlsx</x:v>
      </x:c>
      <x:c r="AM1792" s="87" t="str">
        <x:v>HIST_Apr_V3</x:v>
      </x:c>
      <x:c r="AN1792" s="87" t="n">
        <x:v>9</x:v>
      </x:c>
    </x:row>
    <x:row r="1793">
      <x:c r="A1793" s="87" t="n">
        <x:v>1792</x:v>
      </x:c>
      <x:c r="B1793" s="87" t="str">
        <x:v>APR-HIS-V3-009</x:v>
      </x:c>
      <x:c r="C1793" s="87" t="str">
        <x:v>СтатГрад</x:v>
      </x:c>
      <x:c r="D1793" s="87" t="str">
        <x:v>Апрель 2026</x:v>
      </x:c>
      <x:c r="E1793" s="87"/>
      <x:c r="F1793" s="87"/>
      <x:c r="G1793" s="87" t="str">
        <x:v>История</x:v>
      </x:c>
      <x:c r="H1793" s="87" t="n">
        <x:v>11</x:v>
      </x:c>
      <x:c r="I1793" s="87" t="str">
        <x:v>ТР №5</x:v>
      </x:c>
      <x:c r="J1793" s="87" t="str">
        <x:v>ИС2510503</x:v>
      </x:c>
      <x:c r="K1793" s="87" t="n">
        <x:v>9</x:v>
      </x:c>
      <x:c r="L1793" s="87" t="str">
        <x:v>Историческая эпоха по изображению</x:v>
      </x:c>
      <x:c r="M1793" s="30" t="str">
        <x:v>Назвать войну, к которой относится изображённое событие.</x:v>
      </x:c>
      <x:c r="N1793" s="30" t="str">
        <x:v>Гражданская война</x:v>
      </x:c>
      <x:c r="O1793" s="30" t="str">
        <x:v>Изображение и связанные лица относятся к Гражданской войне в России.</x:v>
      </x:c>
      <x:c r="P1793" s="30" t="str">
        <x:v>Изображение и связанные лица относятся к Гражданской войне в России.</x:v>
      </x:c>
      <x:c r="Q1793" s="30"/>
      <x:c r="R1793" s="30" t="str">
        <x:v>Полный PDF + опубликованный вариант: https://hist-ege.sdamgia.ru/test?id=5458985</x:v>
      </x:c>
      <x:c r="S1793" s="30"/>
      <x:c r="T1793" s="30"/>
      <x:c r="U1793" s="30" t="str">
        <x:v>Расхождений не обнаружено.</x:v>
      </x:c>
      <x:c r="V1793" s="87" t="str">
        <x:v>VERIFIED</x:v>
      </x:c>
      <x:c r="W1793" s="87" t="str">
        <x:v>PDF варианта</x:v>
      </x:c>
      <x:c r="X1793" s="87"/>
      <x:c r="Y1793" s="87"/>
      <x:c r="Z1793" s="87"/>
      <x:c r="AA1793" s="87"/>
      <x:c r="AB1793" s="87"/>
      <x:c r="AC1793" s="87"/>
      <x:c r="AD1793" s="87"/>
      <x:c r="AE1793" s="87"/>
      <x:c r="AF1793" s="87"/>
      <x:c r="AG1793" s="87"/>
      <x:c r="AH1793" s="87"/>
      <x:c r="AI1793" s="30"/>
      <x:c r="AJ1793" s="87" t="str">
        <x:v>master</x:v>
      </x:c>
      <x:c r="AK1793" s="87" t="str">
        <x:v>master-v0.81</x:v>
      </x:c>
      <x:c r="AL1793" s="87" t="str">
        <x:v>statgrad_master_base_v0_81_final(2).xlsx</x:v>
      </x:c>
      <x:c r="AM1793" s="87" t="str">
        <x:v>HIST_Apr_V3</x:v>
      </x:c>
      <x:c r="AN1793" s="87" t="n">
        <x:v>10</x:v>
      </x:c>
    </x:row>
    <x:row r="1794">
      <x:c r="A1794" s="87" t="n">
        <x:v>1793</x:v>
      </x:c>
      <x:c r="B1794" s="87" t="str">
        <x:v>APR-HIS-V3-010</x:v>
      </x:c>
      <x:c r="C1794" s="87" t="str">
        <x:v>СтатГрад</x:v>
      </x:c>
      <x:c r="D1794" s="87" t="str">
        <x:v>Апрель 2026</x:v>
      </x:c>
      <x:c r="E1794" s="87"/>
      <x:c r="F1794" s="87"/>
      <x:c r="G1794" s="87" t="str">
        <x:v>История</x:v>
      </x:c>
      <x:c r="H1794" s="87" t="n">
        <x:v>11</x:v>
      </x:c>
      <x:c r="I1794" s="87" t="str">
        <x:v>ТР №5</x:v>
      </x:c>
      <x:c r="J1794" s="87" t="str">
        <x:v>ИС2510503</x:v>
      </x:c>
      <x:c r="K1794" s="87" t="n">
        <x:v>10</x:v>
      </x:c>
      <x:c r="L1794" s="87" t="str">
        <x:v>Исторический деятель</x:v>
      </x:c>
      <x:c r="M1794" s="30" t="str">
        <x:v>Назвать военачальника Белого движения, связанного с изображёнными событиями.</x:v>
      </x:c>
      <x:c r="N1794" s="30" t="str">
        <x:v>Деникин</x:v>
      </x:c>
      <x:c r="O1794" s="30" t="str">
        <x:v>Речь идёт об А. И. Деникине, командовавшем Вооружёнными силами Юга России.</x:v>
      </x:c>
      <x:c r="P1794" s="30" t="str">
        <x:v>Речь идёт об А. И. Деникине, командовавшем Вооружёнными силами Юга России.</x:v>
      </x:c>
      <x:c r="Q1794" s="30"/>
      <x:c r="R1794" s="30" t="str">
        <x:v>Полный PDF + опубликованный вариант: https://hist-ege.sdamgia.ru/test?id=5458985</x:v>
      </x:c>
      <x:c r="S1794" s="30"/>
      <x:c r="T1794" s="30"/>
      <x:c r="U1794" s="30" t="str">
        <x:v>Расхождений не обнаружено.</x:v>
      </x:c>
      <x:c r="V1794" s="87" t="str">
        <x:v>VERIFIED</x:v>
      </x:c>
      <x:c r="W1794" s="87" t="str">
        <x:v>PDF варианта</x:v>
      </x:c>
      <x:c r="X1794" s="87"/>
      <x:c r="Y1794" s="87"/>
      <x:c r="Z1794" s="87"/>
      <x:c r="AA1794" s="87"/>
      <x:c r="AB1794" s="87"/>
      <x:c r="AC1794" s="87"/>
      <x:c r="AD1794" s="87"/>
      <x:c r="AE1794" s="87"/>
      <x:c r="AF1794" s="87"/>
      <x:c r="AG1794" s="87"/>
      <x:c r="AH1794" s="87"/>
      <x:c r="AI1794" s="30"/>
      <x:c r="AJ1794" s="87" t="str">
        <x:v>master</x:v>
      </x:c>
      <x:c r="AK1794" s="87" t="str">
        <x:v>master-v0.81</x:v>
      </x:c>
      <x:c r="AL1794" s="87" t="str">
        <x:v>statgrad_master_base_v0_81_final(2).xlsx</x:v>
      </x:c>
      <x:c r="AM1794" s="87" t="str">
        <x:v>HIST_Apr_V3</x:v>
      </x:c>
      <x:c r="AN1794" s="87" t="n">
        <x:v>11</x:v>
      </x:c>
    </x:row>
    <x:row r="1795">
      <x:c r="A1795" s="87" t="n">
        <x:v>1794</x:v>
      </x:c>
      <x:c r="B1795" s="87" t="str">
        <x:v>APR-HIS-V3-011</x:v>
      </x:c>
      <x:c r="C1795" s="87" t="str">
        <x:v>СтатГрад</x:v>
      </x:c>
      <x:c r="D1795" s="87" t="str">
        <x:v>Апрель 2026</x:v>
      </x:c>
      <x:c r="E1795" s="87"/>
      <x:c r="F1795" s="87"/>
      <x:c r="G1795" s="87" t="str">
        <x:v>История</x:v>
      </x:c>
      <x:c r="H1795" s="87" t="n">
        <x:v>11</x:v>
      </x:c>
      <x:c r="I1795" s="87" t="str">
        <x:v>ТР №5</x:v>
      </x:c>
      <x:c r="J1795" s="87" t="str">
        <x:v>ИС2510503</x:v>
      </x:c>
      <x:c r="K1795" s="87" t="n">
        <x:v>11</x:v>
      </x:c>
      <x:c r="L1795" s="87" t="str">
        <x:v>Историческая карта</x:v>
      </x:c>
      <x:c r="M1795" s="30" t="str">
        <x:v>Назвать город, обозначенный на схеме военных действий.</x:v>
      </x:c>
      <x:c r="N1795" s="30" t="str">
        <x:v>Курск</x:v>
      </x:c>
      <x:c r="O1795" s="30" t="str">
        <x:v>По направлению фронтов и положению населённого пункта на схеме определяется Курск.</x:v>
      </x:c>
      <x:c r="P1795" s="30" t="str">
        <x:v>Карта проверена визуально по полному PDF.</x:v>
      </x:c>
      <x:c r="Q1795" s="30"/>
      <x:c r="R1795" s="30" t="str">
        <x:v>Полный PDF + опубликованный вариант: https://hist-ege.sdamgia.ru/test?id=5458985</x:v>
      </x:c>
      <x:c r="S1795" s="30"/>
      <x:c r="T1795" s="30"/>
      <x:c r="U1795" s="30" t="str">
        <x:v>Расхождений не обнаружено.</x:v>
      </x:c>
      <x:c r="V1795" s="87" t="str">
        <x:v>VERIFIED</x:v>
      </x:c>
      <x:c r="W1795" s="87" t="str">
        <x:v>PDF варианта</x:v>
      </x:c>
      <x:c r="X1795" s="87"/>
      <x:c r="Y1795" s="87"/>
      <x:c r="Z1795" s="87"/>
      <x:c r="AA1795" s="87"/>
      <x:c r="AB1795" s="87"/>
      <x:c r="AC1795" s="87"/>
      <x:c r="AD1795" s="87"/>
      <x:c r="AE1795" s="87"/>
      <x:c r="AF1795" s="87"/>
      <x:c r="AG1795" s="87"/>
      <x:c r="AH1795" s="87"/>
      <x:c r="AI1795" s="30"/>
      <x:c r="AJ1795" s="87" t="str">
        <x:v>master</x:v>
      </x:c>
      <x:c r="AK1795" s="87" t="str">
        <x:v>master-v0.81</x:v>
      </x:c>
      <x:c r="AL1795" s="87" t="str">
        <x:v>statgrad_master_base_v0_81_final(2).xlsx</x:v>
      </x:c>
      <x:c r="AM1795" s="87" t="str">
        <x:v>HIST_Apr_V3</x:v>
      </x:c>
      <x:c r="AN1795" s="87" t="n">
        <x:v>12</x:v>
      </x:c>
    </x:row>
    <x:row r="1796">
      <x:c r="A1796" s="87" t="n">
        <x:v>1795</x:v>
      </x:c>
      <x:c r="B1796" s="87" t="str">
        <x:v>APR-HIS-V3-012</x:v>
      </x:c>
      <x:c r="C1796" s="87" t="str">
        <x:v>СтатГрад</x:v>
      </x:c>
      <x:c r="D1796" s="87" t="str">
        <x:v>Апрель 2026</x:v>
      </x:c>
      <x:c r="E1796" s="87"/>
      <x:c r="F1796" s="87"/>
      <x:c r="G1796" s="87" t="str">
        <x:v>История</x:v>
      </x:c>
      <x:c r="H1796" s="87" t="n">
        <x:v>11</x:v>
      </x:c>
      <x:c r="I1796" s="87" t="str">
        <x:v>ТР №5</x:v>
      </x:c>
      <x:c r="J1796" s="87" t="str">
        <x:v>ИС2510503</x:v>
      </x:c>
      <x:c r="K1796" s="87" t="n">
        <x:v>12</x:v>
      </x:c>
      <x:c r="L1796" s="87" t="str">
        <x:v>Суждения по карте</x:v>
      </x:c>
      <x:c r="M1796" s="30" t="str">
        <x:v>Выбрать верные суждения, относящиеся к исторической схеме.</x:v>
      </x:c>
      <x:c r="N1796" s="30" t="str">
        <x:v>234</x:v>
      </x:c>
      <x:c r="O1796" s="30" t="str">
        <x:v>Три утверждения подтверждаются направлениями ударов, географией и хронологией событий на схеме.</x:v>
      </x:c>
      <x:c r="P1796" s="30" t="str">
        <x:v>Три утверждения подтверждаются направлениями ударов, географией и хронологией событий на схеме.</x:v>
      </x:c>
      <x:c r="Q1796" s="30"/>
      <x:c r="R1796" s="30" t="str">
        <x:v>Полный PDF + опубликованный вариант: https://hist-ege.sdamgia.ru/test?id=5458985</x:v>
      </x:c>
      <x:c r="S1796" s="30"/>
      <x:c r="T1796" s="30"/>
      <x:c r="U1796" s="30" t="str">
        <x:v>Расхождений не обнаружено.</x:v>
      </x:c>
      <x:c r="V1796" s="87" t="str">
        <x:v>VERIFIED</x:v>
      </x:c>
      <x:c r="W1796" s="87" t="str">
        <x:v>PDF варианта</x:v>
      </x:c>
      <x:c r="X1796" s="87"/>
      <x:c r="Y1796" s="87"/>
      <x:c r="Z1796" s="87"/>
      <x:c r="AA1796" s="87"/>
      <x:c r="AB1796" s="87"/>
      <x:c r="AC1796" s="87"/>
      <x:c r="AD1796" s="87"/>
      <x:c r="AE1796" s="87"/>
      <x:c r="AF1796" s="87"/>
      <x:c r="AG1796" s="87"/>
      <x:c r="AH1796" s="87"/>
      <x:c r="AI1796" s="30"/>
      <x:c r="AJ1796" s="87" t="str">
        <x:v>master</x:v>
      </x:c>
      <x:c r="AK1796" s="87" t="str">
        <x:v>master-v0.81</x:v>
      </x:c>
      <x:c r="AL1796" s="87" t="str">
        <x:v>statgrad_master_base_v0_81_final(2).xlsx</x:v>
      </x:c>
      <x:c r="AM1796" s="87" t="str">
        <x:v>HIST_Apr_V3</x:v>
      </x:c>
      <x:c r="AN1796" s="87" t="n">
        <x:v>13</x:v>
      </x:c>
    </x:row>
    <x:row r="1797">
      <x:c r="A1797" s="87" t="n">
        <x:v>1796</x:v>
      </x:c>
      <x:c r="B1797" s="87" t="str">
        <x:v>APR-HIS-V3-013</x:v>
      </x:c>
      <x:c r="C1797" s="87" t="str">
        <x:v>СтатГрад</x:v>
      </x:c>
      <x:c r="D1797" s="87" t="str">
        <x:v>Апрель 2026</x:v>
      </x:c>
      <x:c r="E1797" s="87"/>
      <x:c r="F1797" s="87"/>
      <x:c r="G1797" s="87" t="str">
        <x:v>История</x:v>
      </x:c>
      <x:c r="H1797" s="87" t="n">
        <x:v>11</x:v>
      </x:c>
      <x:c r="I1797" s="87" t="str">
        <x:v>ТР №5</x:v>
      </x:c>
      <x:c r="J1797" s="87" t="str">
        <x:v>ИС2510503</x:v>
      </x:c>
      <x:c r="K1797" s="87" t="n">
        <x:v>13</x:v>
      </x:c>
      <x:c r="L1797" s="87" t="str">
        <x:v>Анализ письменного источника</x:v>
      </x:c>
      <x:c r="M1797" s="30" t="str">
        <x:v>По дневниковой записи о взрыве в Зимнем дворце назвать императора, год события и организацию, подготовившую покушение.</x:v>
      </x:c>
      <x:c r="N1797" s="30" t="str">
        <x:v>Александр II; 1880; «Народная воля»</x:v>
      </x:c>
      <x:c r="O1797" s="30" t="str">
        <x:v>Взрыв в Зимнем дворце был организован народовольцем С. Н. Халтуриным в 1880 г. в царствование Александра II.</x:v>
      </x:c>
      <x:c r="P1797" s="30" t="str">
        <x:v>Взрыв в Зимнем дворце был организован народовольцем С. Н. Халтуриным в 1880 г. в царствование Александра II.</x:v>
      </x:c>
      <x:c r="Q1797" s="30"/>
      <x:c r="R1797" s="30" t="str">
        <x:v>Полный PDF + опубликованный вариант: https://hist-ege.sdamgia.ru/test?id=5458985</x:v>
      </x:c>
      <x:c r="S1797" s="30"/>
      <x:c r="T1797" s="30"/>
      <x:c r="U1797" s="30" t="str">
        <x:v>Расхождений не обнаружено.</x:v>
      </x:c>
      <x:c r="V1797" s="87" t="str">
        <x:v>VERIFIED</x:v>
      </x:c>
      <x:c r="W1797" s="87" t="str">
        <x:v>PDF варианта</x:v>
      </x:c>
      <x:c r="X1797" s="87"/>
      <x:c r="Y1797" s="87"/>
      <x:c r="Z1797" s="87"/>
      <x:c r="AA1797" s="87"/>
      <x:c r="AB1797" s="87"/>
      <x:c r="AC1797" s="87"/>
      <x:c r="AD1797" s="87"/>
      <x:c r="AE1797" s="87"/>
      <x:c r="AF1797" s="87"/>
      <x:c r="AG1797" s="87"/>
      <x:c r="AH1797" s="87"/>
      <x:c r="AI1797" s="30"/>
      <x:c r="AJ1797" s="87" t="str">
        <x:v>master</x:v>
      </x:c>
      <x:c r="AK1797" s="87" t="str">
        <x:v>master-v0.81</x:v>
      </x:c>
      <x:c r="AL1797" s="87" t="str">
        <x:v>statgrad_master_base_v0_81_final(2).xlsx</x:v>
      </x:c>
      <x:c r="AM1797" s="87" t="str">
        <x:v>HIST_Apr_V3</x:v>
      </x:c>
      <x:c r="AN1797" s="87" t="n">
        <x:v>14</x:v>
      </x:c>
    </x:row>
    <x:row r="1798">
      <x:c r="A1798" s="87" t="n">
        <x:v>1797</x:v>
      </x:c>
      <x:c r="B1798" s="87" t="str">
        <x:v>APR-HIS-V3-014</x:v>
      </x:c>
      <x:c r="C1798" s="87" t="str">
        <x:v>СтатГрад</x:v>
      </x:c>
      <x:c r="D1798" s="87" t="str">
        <x:v>Апрель 2026</x:v>
      </x:c>
      <x:c r="E1798" s="87"/>
      <x:c r="F1798" s="87"/>
      <x:c r="G1798" s="87" t="str">
        <x:v>История</x:v>
      </x:c>
      <x:c r="H1798" s="87" t="n">
        <x:v>11</x:v>
      </x:c>
      <x:c r="I1798" s="87" t="str">
        <x:v>ТР №5</x:v>
      </x:c>
      <x:c r="J1798" s="87" t="str">
        <x:v>ИС2510503</x:v>
      </x:c>
      <x:c r="K1798" s="87" t="n">
        <x:v>14</x:v>
      </x:c>
      <x:c r="L1798" s="87" t="str">
        <x:v>Поиск информации в источнике</x:v>
      </x:c>
      <x:c r="M1798" s="30" t="str">
        <x:v>Объяснить, почему царская семья не пострадала, как император воспринял событие и почему покушение особенно поразило современников.</x:v>
      </x:c>
      <x:c r="N1798" s="30" t="str">
        <x:v>Ужин задержали из-за ожидания принца Гессенского; Александр II сохранил самообладание и увидел Божье покровительство; заговорщики смогли заложить взрывчатку внутри императорского дворца.</x:v>
      </x:c>
      <x:c r="O1798" s="30" t="str">
        <x:v>Все три положения непосредственно следуют из дневникового отрывка.</x:v>
      </x:c>
      <x:c r="P1798" s="30" t="str">
        <x:v>Все три положения непосредственно следуют из дневникового отрывка.</x:v>
      </x:c>
      <x:c r="Q1798" s="30"/>
      <x:c r="R1798" s="30" t="str">
        <x:v>Полный PDF + опубликованный вариант: https://hist-ege.sdamgia.ru/test?id=5458985</x:v>
      </x:c>
      <x:c r="S1798" s="30"/>
      <x:c r="T1798" s="30"/>
      <x:c r="U1798" s="30" t="str">
        <x:v>Расхождений не обнаружено.</x:v>
      </x:c>
      <x:c r="V1798" s="87" t="str">
        <x:v>VERIFIED</x:v>
      </x:c>
      <x:c r="W1798" s="87" t="str">
        <x:v>PDF варианта</x:v>
      </x:c>
      <x:c r="X1798" s="87"/>
      <x:c r="Y1798" s="87"/>
      <x:c r="Z1798" s="87"/>
      <x:c r="AA1798" s="87"/>
      <x:c r="AB1798" s="87"/>
      <x:c r="AC1798" s="87"/>
      <x:c r="AD1798" s="87"/>
      <x:c r="AE1798" s="87"/>
      <x:c r="AF1798" s="87"/>
      <x:c r="AG1798" s="87"/>
      <x:c r="AH1798" s="87"/>
      <x:c r="AI1798" s="30"/>
      <x:c r="AJ1798" s="87" t="str">
        <x:v>master</x:v>
      </x:c>
      <x:c r="AK1798" s="87" t="str">
        <x:v>master-v0.81</x:v>
      </x:c>
      <x:c r="AL1798" s="87" t="str">
        <x:v>statgrad_master_base_v0_81_final(2).xlsx</x:v>
      </x:c>
      <x:c r="AM1798" s="87" t="str">
        <x:v>HIST_Apr_V3</x:v>
      </x:c>
      <x:c r="AN1798" s="87" t="n">
        <x:v>15</x:v>
      </x:c>
    </x:row>
    <x:row r="1799">
      <x:c r="A1799" s="87" t="n">
        <x:v>1798</x:v>
      </x:c>
      <x:c r="B1799" s="87" t="str">
        <x:v>APR-HIS-V3-015</x:v>
      </x:c>
      <x:c r="C1799" s="87" t="str">
        <x:v>СтатГрад</x:v>
      </x:c>
      <x:c r="D1799" s="87" t="str">
        <x:v>Апрель 2026</x:v>
      </x:c>
      <x:c r="E1799" s="87"/>
      <x:c r="F1799" s="87"/>
      <x:c r="G1799" s="87" t="str">
        <x:v>История</x:v>
      </x:c>
      <x:c r="H1799" s="87" t="n">
        <x:v>11</x:v>
      </x:c>
      <x:c r="I1799" s="87" t="str">
        <x:v>ТР №5</x:v>
      </x:c>
      <x:c r="J1799" s="87" t="str">
        <x:v>ИС2510503</x:v>
      </x:c>
      <x:c r="K1799" s="87" t="n">
        <x:v>15</x:v>
      </x:c>
      <x:c r="L1799" s="87" t="str">
        <x:v>Атрибуция почтовой марки</x:v>
      </x:c>
      <x:c r="M1799" s="30" t="str">
        <x:v>Назвать руководителя СССР в год выпуска марки к столетию А. С. Попова.</x:v>
      </x:c>
      <x:c r="N1799" s="30" t="str">
        <x:v>Н. С. Хрущёв</x:v>
      </x:c>
      <x:c r="O1799" s="30" t="str">
        <x:v>А. С. Попов родился в 1859 г.; столетняя марка выпущена в 1959 г., когда первым секретарём ЦК КПСС был Н. С. Хрущёв.</x:v>
      </x:c>
      <x:c r="P1799" s="30" t="str">
        <x:v>А. С. Попов родился в 1859 г.; столетняя марка выпущена в 1959 г., когда первым секретарём ЦК КПСС был Н. С. Хрущёв.</x:v>
      </x:c>
      <x:c r="Q1799" s="30"/>
      <x:c r="R1799" s="30" t="str">
        <x:v>Полный PDF + опубликованный вариант: https://hist-ege.sdamgia.ru/test?id=5458985</x:v>
      </x:c>
      <x:c r="S1799" s="30"/>
      <x:c r="T1799" s="30"/>
      <x:c r="U1799" s="30" t="str">
        <x:v>Расхождений не обнаружено.</x:v>
      </x:c>
      <x:c r="V1799" s="87" t="str">
        <x:v>VERIFIED</x:v>
      </x:c>
      <x:c r="W1799" s="87" t="str">
        <x:v>PDF варианта</x:v>
      </x:c>
      <x:c r="X1799" s="87"/>
      <x:c r="Y1799" s="87"/>
      <x:c r="Z1799" s="87"/>
      <x:c r="AA1799" s="87"/>
      <x:c r="AB1799" s="87"/>
      <x:c r="AC1799" s="87"/>
      <x:c r="AD1799" s="87"/>
      <x:c r="AE1799" s="87"/>
      <x:c r="AF1799" s="87"/>
      <x:c r="AG1799" s="87"/>
      <x:c r="AH1799" s="87"/>
      <x:c r="AI1799" s="30"/>
      <x:c r="AJ1799" s="87" t="str">
        <x:v>master</x:v>
      </x:c>
      <x:c r="AK1799" s="87" t="str">
        <x:v>master-v0.81</x:v>
      </x:c>
      <x:c r="AL1799" s="87" t="str">
        <x:v>statgrad_master_base_v0_81_final(2).xlsx</x:v>
      </x:c>
      <x:c r="AM1799" s="87" t="str">
        <x:v>HIST_Apr_V3</x:v>
      </x:c>
      <x:c r="AN1799" s="87" t="n">
        <x:v>16</x:v>
      </x:c>
    </x:row>
    <x:row r="1800">
      <x:c r="A1800" s="87" t="n">
        <x:v>1799</x:v>
      </x:c>
      <x:c r="B1800" s="87" t="str">
        <x:v>APR-HIS-V3-016</x:v>
      </x:c>
      <x:c r="C1800" s="87" t="str">
        <x:v>СтатГрад</x:v>
      </x:c>
      <x:c r="D1800" s="87" t="str">
        <x:v>Апрель 2026</x:v>
      </x:c>
      <x:c r="E1800" s="87"/>
      <x:c r="F1800" s="87"/>
      <x:c r="G1800" s="87" t="str">
        <x:v>История</x:v>
      </x:c>
      <x:c r="H1800" s="87" t="n">
        <x:v>11</x:v>
      </x:c>
      <x:c r="I1800" s="87" t="str">
        <x:v>ТР №5</x:v>
      </x:c>
      <x:c r="J1800" s="87" t="str">
        <x:v>ИС2510503</x:v>
      </x:c>
      <x:c r="K1800" s="87" t="n">
        <x:v>16</x:v>
      </x:c>
      <x:c r="L1800" s="87" t="str">
        <x:v>Памятник культуры по изображению</x:v>
      </x:c>
      <x:c r="M1800" s="30" t="str">
        <x:v>Выбрать изображение произведения, созданного в тот же период, и назвать автора.</x:v>
      </x:c>
      <x:c r="N1800" s="30" t="str">
        <x:v>4; И. Е. Репин</x:v>
      </x:c>
      <x:c r="O1800" s="30" t="str">
        <x:v>Изображение №4 относится к творчеству И. Е. Репина и соответствует требуемой эпохе.</x:v>
      </x:c>
      <x:c r="P1800" s="30" t="str">
        <x:v>Изображение №4 относится к творчеству И. Е. Репина и соответствует требуемой эпохе.</x:v>
      </x:c>
      <x:c r="Q1800" s="30"/>
      <x:c r="R1800" s="30" t="str">
        <x:v>Полный PDF + опубликованный вариант: https://hist-ege.sdamgia.ru/test?id=5458985</x:v>
      </x:c>
      <x:c r="S1800" s="30"/>
      <x:c r="T1800" s="30"/>
      <x:c r="U1800" s="30" t="str">
        <x:v>Расхождений не обнаружено.</x:v>
      </x:c>
      <x:c r="V1800" s="87" t="str">
        <x:v>VERIFIED</x:v>
      </x:c>
      <x:c r="W1800" s="87" t="str">
        <x:v>PDF варианта</x:v>
      </x:c>
      <x:c r="X1800" s="87"/>
      <x:c r="Y1800" s="87"/>
      <x:c r="Z1800" s="87"/>
      <x:c r="AA1800" s="87"/>
      <x:c r="AB1800" s="87"/>
      <x:c r="AC1800" s="87"/>
      <x:c r="AD1800" s="87"/>
      <x:c r="AE1800" s="87"/>
      <x:c r="AF1800" s="87"/>
      <x:c r="AG1800" s="87"/>
      <x:c r="AH1800" s="87"/>
      <x:c r="AI1800" s="30"/>
      <x:c r="AJ1800" s="87" t="str">
        <x:v>master</x:v>
      </x:c>
      <x:c r="AK1800" s="87" t="str">
        <x:v>master-v0.81</x:v>
      </x:c>
      <x:c r="AL1800" s="87" t="str">
        <x:v>statgrad_master_base_v0_81_final(2).xlsx</x:v>
      </x:c>
      <x:c r="AM1800" s="87" t="str">
        <x:v>HIST_Apr_V3</x:v>
      </x:c>
      <x:c r="AN1800" s="87" t="n">
        <x:v>17</x:v>
      </x:c>
    </x:row>
    <x:row r="1801">
      <x:c r="A1801" s="87" t="n">
        <x:v>1800</x:v>
      </x:c>
      <x:c r="B1801" s="87" t="str">
        <x:v>APR-HIS-V3-017</x:v>
      </x:c>
      <x:c r="C1801" s="87" t="str">
        <x:v>СтатГрад</x:v>
      </x:c>
      <x:c r="D1801" s="87" t="str">
        <x:v>Апрель 2026</x:v>
      </x:c>
      <x:c r="E1801" s="87"/>
      <x:c r="F1801" s="87"/>
      <x:c r="G1801" s="87" t="str">
        <x:v>История</x:v>
      </x:c>
      <x:c r="H1801" s="87" t="n">
        <x:v>11</x:v>
      </x:c>
      <x:c r="I1801" s="87" t="str">
        <x:v>ТР №5</x:v>
      </x:c>
      <x:c r="J1801" s="87" t="str">
        <x:v>ИС2510503</x:v>
      </x:c>
      <x:c r="K1801" s="87" t="n">
        <x:v>17</x:v>
      </x:c>
      <x:c r="L1801" s="87" t="str">
        <x:v>Анализ источников о Великой Отечественной войне</x:v>
      </x:c>
      <x:c r="M1801" s="30" t="str">
        <x:v>Назвать год и советский фронт, а также объяснить значение описанной операции.</x:v>
      </x:c>
      <x:c r="N1801" s="30" t="str">
        <x:v>1941; Западный фронт; немецкое наступление на Москву было задержано, что позволило создать резервы и укрепить оборону столицы.</x:v>
      </x:c>
      <x:c r="O1801" s="30" t="str">
        <x:v>Речь идёт о боях 1941 г.; в них участвовал Западный фронт. Оперативный успех выиграл время для обороны Москвы.</x:v>
      </x:c>
      <x:c r="P1801" s="30" t="str">
        <x:v>Речь идёт о боях 1941 г.; в них участвовал Западный фронт. Оперативный успех выиграл время для обороны Москвы.</x:v>
      </x:c>
      <x:c r="Q1801" s="30"/>
      <x:c r="R1801" s="30" t="str">
        <x:v>Полный PDF + опубликованный вариант: https://hist-ege.sdamgia.ru/test?id=5458985</x:v>
      </x:c>
      <x:c r="S1801" s="30"/>
      <x:c r="T1801" s="30"/>
      <x:c r="U1801" s="30" t="str">
        <x:v>Расхождений не обнаружено.</x:v>
      </x:c>
      <x:c r="V1801" s="87" t="str">
        <x:v>VERIFIED</x:v>
      </x:c>
      <x:c r="W1801" s="87" t="str">
        <x:v>PDF варианта</x:v>
      </x:c>
      <x:c r="X1801" s="87"/>
      <x:c r="Y1801" s="87"/>
      <x:c r="Z1801" s="87"/>
      <x:c r="AA1801" s="87"/>
      <x:c r="AB1801" s="87"/>
      <x:c r="AC1801" s="87"/>
      <x:c r="AD1801" s="87"/>
      <x:c r="AE1801" s="87"/>
      <x:c r="AF1801" s="87"/>
      <x:c r="AG1801" s="87"/>
      <x:c r="AH1801" s="87"/>
      <x:c r="AI1801" s="30"/>
      <x:c r="AJ1801" s="87" t="str">
        <x:v>master</x:v>
      </x:c>
      <x:c r="AK1801" s="87" t="str">
        <x:v>master-v0.81</x:v>
      </x:c>
      <x:c r="AL1801" s="87" t="str">
        <x:v>statgrad_master_base_v0_81_final(2).xlsx</x:v>
      </x:c>
      <x:c r="AM1801" s="87" t="str">
        <x:v>HIST_Apr_V3</x:v>
      </x:c>
      <x:c r="AN1801" s="87" t="n">
        <x:v>18</x:v>
      </x:c>
    </x:row>
    <x:row r="1802">
      <x:c r="A1802" s="87" t="n">
        <x:v>1801</x:v>
      </x:c>
      <x:c r="B1802" s="87" t="str">
        <x:v>APR-HIS-V3-018</x:v>
      </x:c>
      <x:c r="C1802" s="87" t="str">
        <x:v>СтатГрад</x:v>
      </x:c>
      <x:c r="D1802" s="87" t="str">
        <x:v>Апрель 2026</x:v>
      </x:c>
      <x:c r="E1802" s="87"/>
      <x:c r="F1802" s="87"/>
      <x:c r="G1802" s="87" t="str">
        <x:v>История</x:v>
      </x:c>
      <x:c r="H1802" s="87" t="n">
        <x:v>11</x:v>
      </x:c>
      <x:c r="I1802" s="87" t="str">
        <x:v>ТР №5</x:v>
      </x:c>
      <x:c r="J1802" s="87" t="str">
        <x:v>ИС2510503</x:v>
      </x:c>
      <x:c r="K1802" s="87" t="n">
        <x:v>18</x:v>
      </x:c>
      <x:c r="L1802" s="87" t="str">
        <x:v>Причинно-следственные связи</x:v>
      </x:c>
      <x:c r="M1802" s="30" t="str">
        <x:v>Объяснить роль местничества в усилении власти князя, необходимость единого Судебника и влияние Судебника 1497 г. на положение крестьян.</x:v>
      </x:c>
      <x:c r="N1802" s="30" t="str">
        <x:v>а) Споры бояр о местах делали великого князя арбитром и усиливали его власть. б) Объединённому государству требовались единые правовые нормы. в) Переход крестьян был ограничен Юрьевым днём и выплатой пожилого, что стало шагом к закрепощению.</x:v>
      </x:c>
      <x:c r="O1802" s="30" t="str">
        <x:v>Каждая причина связана с конкретным историческим процессом XV века.</x:v>
      </x:c>
      <x:c r="P1802" s="30" t="str">
        <x:v>Каждая причина связана с конкретным историческим процессом XV века.</x:v>
      </x:c>
      <x:c r="Q1802" s="30"/>
      <x:c r="R1802" s="30" t="str">
        <x:v>Полный PDF + опубликованный вариант: https://hist-ege.sdamgia.ru/test?id=5458985</x:v>
      </x:c>
      <x:c r="S1802" s="30"/>
      <x:c r="T1802" s="30"/>
      <x:c r="U1802" s="30" t="str">
        <x:v>Расхождений не обнаружено.</x:v>
      </x:c>
      <x:c r="V1802" s="87" t="str">
        <x:v>VERIFIED</x:v>
      </x:c>
      <x:c r="W1802" s="87" t="str">
        <x:v>PDF варианта</x:v>
      </x:c>
      <x:c r="X1802" s="87"/>
      <x:c r="Y1802" s="87"/>
      <x:c r="Z1802" s="87"/>
      <x:c r="AA1802" s="87"/>
      <x:c r="AB1802" s="87"/>
      <x:c r="AC1802" s="87"/>
      <x:c r="AD1802" s="87"/>
      <x:c r="AE1802" s="87"/>
      <x:c r="AF1802" s="87"/>
      <x:c r="AG1802" s="87"/>
      <x:c r="AH1802" s="87"/>
      <x:c r="AI1802" s="30"/>
      <x:c r="AJ1802" s="87" t="str">
        <x:v>master</x:v>
      </x:c>
      <x:c r="AK1802" s="87" t="str">
        <x:v>master-v0.81</x:v>
      </x:c>
      <x:c r="AL1802" s="87" t="str">
        <x:v>statgrad_master_base_v0_81_final(2).xlsx</x:v>
      </x:c>
      <x:c r="AM1802" s="87" t="str">
        <x:v>HIST_Apr_V3</x:v>
      </x:c>
      <x:c r="AN1802" s="87" t="n">
        <x:v>19</x:v>
      </x:c>
    </x:row>
    <x:row r="1803">
      <x:c r="A1803" s="87" t="n">
        <x:v>1802</x:v>
      </x:c>
      <x:c r="B1803" s="87" t="str">
        <x:v>APR-HIS-V3-019</x:v>
      </x:c>
      <x:c r="C1803" s="87" t="str">
        <x:v>СтатГрад</x:v>
      </x:c>
      <x:c r="D1803" s="87" t="str">
        <x:v>Апрель 2026</x:v>
      </x:c>
      <x:c r="E1803" s="87"/>
      <x:c r="F1803" s="87"/>
      <x:c r="G1803" s="87" t="str">
        <x:v>История</x:v>
      </x:c>
      <x:c r="H1803" s="87" t="n">
        <x:v>11</x:v>
      </x:c>
      <x:c r="I1803" s="87" t="str">
        <x:v>ТР №5</x:v>
      </x:c>
      <x:c r="J1803" s="87" t="str">
        <x:v>ИС2510503</x:v>
      </x:c>
      <x:c r="K1803" s="87" t="n">
        <x:v>19</x:v>
      </x:c>
      <x:c r="L1803" s="87" t="str">
        <x:v>Историческое понятие</x:v>
      </x:c>
      <x:c r="M1803" s="30" t="str">
        <x:v>Раскрыть понятие «подушная подать» и привести один конкретизирующий факт.</x:v>
      </x:c>
      <x:c r="N1803" s="30" t="str">
        <x:v>Подушная подать — основной прямой налог в Российской империи, взимавшийся с душ мужского пола податных сословий независимо от возраста. Введена Петром I.</x:v>
      </x:c>
      <x:c r="O1803" s="30" t="str">
        <x:v>Определение содержит родовой признак и отличие; факт не дублирует определение.</x:v>
      </x:c>
      <x:c r="P1803" s="30" t="str">
        <x:v>Определение содержит родовой признак и отличие; факт не дублирует определение.</x:v>
      </x:c>
      <x:c r="Q1803" s="30"/>
      <x:c r="R1803" s="30" t="str">
        <x:v>Полный PDF + опубликованный вариант: https://hist-ege.sdamgia.ru/test?id=5458985</x:v>
      </x:c>
      <x:c r="S1803" s="30"/>
      <x:c r="T1803" s="30"/>
      <x:c r="U1803" s="30" t="str">
        <x:v>Расхождений не обнаружено.</x:v>
      </x:c>
      <x:c r="V1803" s="87" t="str">
        <x:v>VERIFIED</x:v>
      </x:c>
      <x:c r="W1803" s="87" t="str">
        <x:v>PDF варианта</x:v>
      </x:c>
      <x:c r="X1803" s="87"/>
      <x:c r="Y1803" s="87"/>
      <x:c r="Z1803" s="87"/>
      <x:c r="AA1803" s="87"/>
      <x:c r="AB1803" s="87"/>
      <x:c r="AC1803" s="87"/>
      <x:c r="AD1803" s="87"/>
      <x:c r="AE1803" s="87"/>
      <x:c r="AF1803" s="87"/>
      <x:c r="AG1803" s="87"/>
      <x:c r="AH1803" s="87"/>
      <x:c r="AI1803" s="30"/>
      <x:c r="AJ1803" s="87" t="str">
        <x:v>master</x:v>
      </x:c>
      <x:c r="AK1803" s="87" t="str">
        <x:v>master-v0.81</x:v>
      </x:c>
      <x:c r="AL1803" s="87" t="str">
        <x:v>statgrad_master_base_v0_81_final(2).xlsx</x:v>
      </x:c>
      <x:c r="AM1803" s="87" t="str">
        <x:v>HIST_Apr_V3</x:v>
      </x:c>
      <x:c r="AN1803" s="87" t="n">
        <x:v>20</x:v>
      </x:c>
    </x:row>
    <x:row r="1804">
      <x:c r="A1804" s="87" t="n">
        <x:v>1803</x:v>
      </x:c>
      <x:c r="B1804" s="87" t="str">
        <x:v>APR-HIS-V3-020</x:v>
      </x:c>
      <x:c r="C1804" s="87" t="str">
        <x:v>СтатГрад</x:v>
      </x:c>
      <x:c r="D1804" s="87" t="str">
        <x:v>Апрель 2026</x:v>
      </x:c>
      <x:c r="E1804" s="87"/>
      <x:c r="F1804" s="87"/>
      <x:c r="G1804" s="87" t="str">
        <x:v>История</x:v>
      </x:c>
      <x:c r="H1804" s="87" t="n">
        <x:v>11</x:v>
      </x:c>
      <x:c r="I1804" s="87" t="str">
        <x:v>ТР №5</x:v>
      </x:c>
      <x:c r="J1804" s="87" t="str">
        <x:v>ИС2510503</x:v>
      </x:c>
      <x:c r="K1804" s="87" t="n">
        <x:v>20</x:v>
      </x:c>
      <x:c r="L1804" s="87" t="str">
        <x:v>Сравнение исторических периодов</x:v>
      </x:c>
      <x:c r="M1804" s="30" t="str">
        <x:v>Сформулировать сходство внешней политики СССР в 1933–1938 и 1985–1991 гг. и привести два обоснования.</x:v>
      </x:c>
      <x:c r="N1804" s="30" t="str">
        <x:v>Тезис: в оба периода СССР стремился к сближению с западными государствами и снижению международной напряжённости. 1) В 1930-е проводилась политика коллективной безопасности и СССР вступил в Лигу Наций в 1934 г. 2) В период нового политического мышления СССР пошёл на соглашения с Западом и согласился на объединение Германии.</x:v>
      </x:c>
      <x:c r="O1804" s="30" t="str">
        <x:v>Тезис подтверждён фактами из каждого периода.</x:v>
      </x:c>
      <x:c r="P1804" s="30" t="str">
        <x:v>Тезис подтверждён фактами из каждого периода.</x:v>
      </x:c>
      <x:c r="Q1804" s="30"/>
      <x:c r="R1804" s="30" t="str">
        <x:v>Полный PDF + опубликованный вариант: https://hist-ege.sdamgia.ru/test?id=5458985</x:v>
      </x:c>
      <x:c r="S1804" s="30"/>
      <x:c r="T1804" s="30"/>
      <x:c r="U1804" s="30" t="str">
        <x:v>Расхождений не обнаружено.</x:v>
      </x:c>
      <x:c r="V1804" s="87" t="str">
        <x:v>VERIFIED</x:v>
      </x:c>
      <x:c r="W1804" s="87" t="str">
        <x:v>PDF варианта</x:v>
      </x:c>
      <x:c r="X1804" s="87"/>
      <x:c r="Y1804" s="87"/>
      <x:c r="Z1804" s="87"/>
      <x:c r="AA1804" s="87"/>
      <x:c r="AB1804" s="87"/>
      <x:c r="AC1804" s="87"/>
      <x:c r="AD1804" s="87"/>
      <x:c r="AE1804" s="87"/>
      <x:c r="AF1804" s="87"/>
      <x:c r="AG1804" s="87"/>
      <x:c r="AH1804" s="87"/>
      <x:c r="AI1804" s="30"/>
      <x:c r="AJ1804" s="87" t="str">
        <x:v>master</x:v>
      </x:c>
      <x:c r="AK1804" s="87" t="str">
        <x:v>master-v0.81</x:v>
      </x:c>
      <x:c r="AL1804" s="87" t="str">
        <x:v>statgrad_master_base_v0_81_final(2).xlsx</x:v>
      </x:c>
      <x:c r="AM1804" s="87" t="str">
        <x:v>HIST_Apr_V3</x:v>
      </x:c>
      <x:c r="AN1804" s="87" t="n">
        <x:v>21</x:v>
      </x:c>
    </x:row>
    <x:row r="1805">
      <x:c r="A1805" s="87" t="n">
        <x:v>1804</x:v>
      </x:c>
      <x:c r="B1805" s="87" t="str">
        <x:v>APR-HIS-V3-021</x:v>
      </x:c>
      <x:c r="C1805" s="87" t="str">
        <x:v>СтатГрад</x:v>
      </x:c>
      <x:c r="D1805" s="87" t="str">
        <x:v>Апрель 2026</x:v>
      </x:c>
      <x:c r="E1805" s="87"/>
      <x:c r="F1805" s="87"/>
      <x:c r="G1805" s="87" t="str">
        <x:v>История</x:v>
      </x:c>
      <x:c r="H1805" s="87" t="n">
        <x:v>11</x:v>
      </x:c>
      <x:c r="I1805" s="87" t="str">
        <x:v>ТР №5</x:v>
      </x:c>
      <x:c r="J1805" s="87" t="str">
        <x:v>ИС2510503</x:v>
      </x:c>
      <x:c r="K1805" s="87" t="n">
        <x:v>21</x:v>
      </x:c>
      <x:c r="L1805" s="87" t="str">
        <x:v>Аргументация по истории России и Франции</x:v>
      </x:c>
      <x:c r="M1805" s="30" t="str">
        <x:v>Доказать, что в России и Франции XVII века духовные лица существенно влияли на государственную политику.</x:v>
      </x:c>
      <x:c r="N1805" s="30" t="str">
        <x:v>Россия: патриарх Филарет в 1619–1633 гг. был фактическим соправителем Михаила Фёдоровича, именовался «великим государем» и участвовал в принятии решений. Франция: кардинал Ришельё в 1624–1642 гг. занимал пост первого министра и фактически руководил политикой Людовика XIII.</x:v>
      </x:c>
      <x:c r="O1805" s="30" t="str">
        <x:v>Оба аргумента содержат конкретные должности, даты и политическую роль.</x:v>
      </x:c>
      <x:c r="P1805" s="30" t="str">
        <x:v>Оба аргумента содержат конкретные должности, даты и политическую роль.</x:v>
      </x:c>
      <x:c r="Q1805" s="30"/>
      <x:c r="R1805" s="30" t="str">
        <x:v>Полный PDF + опубликованный вариант: https://hist-ege.sdamgia.ru/test?id=5458985</x:v>
      </x:c>
      <x:c r="S1805" s="30"/>
      <x:c r="T1805" s="30"/>
      <x:c r="U1805" s="30" t="str">
        <x:v>Расхождений не обнаружено.</x:v>
      </x:c>
      <x:c r="V1805" s="87" t="str">
        <x:v>VERIFIED</x:v>
      </x:c>
      <x:c r="W1805" s="87" t="str">
        <x:v>PDF варианта</x:v>
      </x:c>
      <x:c r="X1805" s="87"/>
      <x:c r="Y1805" s="87"/>
      <x:c r="Z1805" s="87"/>
      <x:c r="AA1805" s="87"/>
      <x:c r="AB1805" s="87"/>
      <x:c r="AC1805" s="87"/>
      <x:c r="AD1805" s="87"/>
      <x:c r="AE1805" s="87"/>
      <x:c r="AF1805" s="87"/>
      <x:c r="AG1805" s="87"/>
      <x:c r="AH1805" s="87"/>
      <x:c r="AI1805" s="30"/>
      <x:c r="AJ1805" s="87" t="str">
        <x:v>master</x:v>
      </x:c>
      <x:c r="AK1805" s="87" t="str">
        <x:v>master-v0.81</x:v>
      </x:c>
      <x:c r="AL1805" s="87" t="str">
        <x:v>statgrad_master_base_v0_81_final(2).xlsx</x:v>
      </x:c>
      <x:c r="AM1805" s="87" t="str">
        <x:v>HIST_Apr_V3</x:v>
      </x:c>
      <x:c r="AN1805" s="87" t="n">
        <x:v>22</x:v>
      </x:c>
    </x:row>
    <x:row r="1806">
      <x:c r="A1806" s="87" t="n">
        <x:v>1805</x:v>
      </x:c>
      <x:c r="B1806" s="87" t="str">
        <x:v>APR-HIS-V4-001</x:v>
      </x:c>
      <x:c r="C1806" s="87" t="str">
        <x:v>СтатГрад</x:v>
      </x:c>
      <x:c r="D1806" s="87" t="str">
        <x:v>Апрель 2026</x:v>
      </x:c>
      <x:c r="E1806" s="87"/>
      <x:c r="F1806" s="87"/>
      <x:c r="G1806" s="87" t="str">
        <x:v>История</x:v>
      </x:c>
      <x:c r="H1806" s="87" t="n">
        <x:v>11</x:v>
      </x:c>
      <x:c r="I1806" s="87" t="str">
        <x:v>ТР №5</x:v>
      </x:c>
      <x:c r="J1806" s="87" t="str">
        <x:v>ИС2510504</x:v>
      </x:c>
      <x:c r="K1806" s="87" t="n">
        <x:v>1</x:v>
      </x:c>
      <x:c r="L1806" s="87" t="str">
        <x:v>Соответствие событий и годов</x:v>
      </x:c>
      <x:c r="M1806" s="30" t="str">
        <x:v>Соотнести учреждение Сената, начало контрнаступления под Сталинградом, Генуэзскую конференцию и отмену кормлений с годами.</x:v>
      </x:c>
      <x:c r="N1806" s="30" t="str">
        <x:v>2541</x:v>
      </x:c>
      <x:c r="O1806" s="30" t="str">
        <x:v>Сенат — 1711 г.; контрнаступление под Сталинградом — 1942 г.; Генуэзская конференция — 1922 г.; отмена кормлений — 1556 г.</x:v>
      </x:c>
      <x:c r="P1806" s="30" t="str">
        <x:v>Сенат — 1711 г.; контрнаступление под Сталинградом — 1942 г.; Генуэзская конференция — 1922 г.; отмена кормлений — 1556 г.</x:v>
      </x:c>
      <x:c r="Q1806" s="30"/>
      <x:c r="R1806" s="30" t="str">
        <x:v>Полный PDF + опубликованный вариант: https://hist-ege.sdamgia.ru/test?id=5463184</x:v>
      </x:c>
      <x:c r="S1806" s="30"/>
      <x:c r="T1806" s="30"/>
      <x:c r="U1806" s="30" t="str">
        <x:v>Расхождений не обнаружено.</x:v>
      </x:c>
      <x:c r="V1806" s="87" t="str">
        <x:v>VERIFIED</x:v>
      </x:c>
      <x:c r="W1806" s="87" t="str">
        <x:v>PDF варианта</x:v>
      </x:c>
      <x:c r="X1806" s="87"/>
      <x:c r="Y1806" s="87"/>
      <x:c r="Z1806" s="87"/>
      <x:c r="AA1806" s="87"/>
      <x:c r="AB1806" s="87"/>
      <x:c r="AC1806" s="87"/>
      <x:c r="AD1806" s="87"/>
      <x:c r="AE1806" s="87"/>
      <x:c r="AF1806" s="87"/>
      <x:c r="AG1806" s="87"/>
      <x:c r="AH1806" s="87"/>
      <x:c r="AI1806" s="30"/>
      <x:c r="AJ1806" s="87" t="str">
        <x:v>master</x:v>
      </x:c>
      <x:c r="AK1806" s="87" t="str">
        <x:v>master-v0.81</x:v>
      </x:c>
      <x:c r="AL1806" s="87" t="str">
        <x:v>statgrad_master_base_v0_81_final(2).xlsx</x:v>
      </x:c>
      <x:c r="AM1806" s="87" t="str">
        <x:v>HIST_Apr_V4</x:v>
      </x:c>
      <x:c r="AN1806" s="87" t="n">
        <x:v>2</x:v>
      </x:c>
    </x:row>
    <x:row r="1807">
      <x:c r="A1807" s="87" t="n">
        <x:v>1806</x:v>
      </x:c>
      <x:c r="B1807" s="87" t="str">
        <x:v>APR-HIS-V4-002</x:v>
      </x:c>
      <x:c r="C1807" s="87" t="str">
        <x:v>СтатГрад</x:v>
      </x:c>
      <x:c r="D1807" s="87" t="str">
        <x:v>Апрель 2026</x:v>
      </x:c>
      <x:c r="E1807" s="87"/>
      <x:c r="F1807" s="87"/>
      <x:c r="G1807" s="87" t="str">
        <x:v>История</x:v>
      </x:c>
      <x:c r="H1807" s="87" t="n">
        <x:v>11</x:v>
      </x:c>
      <x:c r="I1807" s="87" t="str">
        <x:v>ТР №5</x:v>
      </x:c>
      <x:c r="J1807" s="87" t="str">
        <x:v>ИС2510504</x:v>
      </x:c>
      <x:c r="K1807" s="87" t="n">
        <x:v>2</x:v>
      </x:c>
      <x:c r="L1807" s="87" t="str">
        <x:v>Хронологическая последовательность</x:v>
      </x:c>
      <x:c r="M1807" s="30" t="str">
        <x:v>Расположить принятие Декларации прав человека и гражданина, создание «Союза 17 октября» и аварию на Чернобыльской АЭС.</x:v>
      </x:c>
      <x:c r="N1807" s="30" t="str">
        <x:v>132</x:v>
      </x:c>
      <x:c r="O1807" s="30" t="str">
        <x:v>Декларация — 1789 г.; «Союз 17 октября» — 1905 г.; Чернобыльская авария — 1986 г.</x:v>
      </x:c>
      <x:c r="P1807" s="30" t="str">
        <x:v>Декларация — 1789 г.; «Союз 17 октября» — 1905 г.; Чернобыльская авария — 1986 г.</x:v>
      </x:c>
      <x:c r="Q1807" s="30"/>
      <x:c r="R1807" s="30" t="str">
        <x:v>Полный PDF + опубликованный вариант: https://hist-ege.sdamgia.ru/test?id=5463184</x:v>
      </x:c>
      <x:c r="S1807" s="30"/>
      <x:c r="T1807" s="30"/>
      <x:c r="U1807" s="30" t="str">
        <x:v>Расхождений не обнаружено.</x:v>
      </x:c>
      <x:c r="V1807" s="87" t="str">
        <x:v>VERIFIED</x:v>
      </x:c>
      <x:c r="W1807" s="87" t="str">
        <x:v>PDF варианта</x:v>
      </x:c>
      <x:c r="X1807" s="87"/>
      <x:c r="Y1807" s="87"/>
      <x:c r="Z1807" s="87"/>
      <x:c r="AA1807" s="87"/>
      <x:c r="AB1807" s="87"/>
      <x:c r="AC1807" s="87"/>
      <x:c r="AD1807" s="87"/>
      <x:c r="AE1807" s="87"/>
      <x:c r="AF1807" s="87"/>
      <x:c r="AG1807" s="87"/>
      <x:c r="AH1807" s="87"/>
      <x:c r="AI1807" s="30"/>
      <x:c r="AJ1807" s="87" t="str">
        <x:v>master</x:v>
      </x:c>
      <x:c r="AK1807" s="87" t="str">
        <x:v>master-v0.81</x:v>
      </x:c>
      <x:c r="AL1807" s="87" t="str">
        <x:v>statgrad_master_base_v0_81_final(2).xlsx</x:v>
      </x:c>
      <x:c r="AM1807" s="87" t="str">
        <x:v>HIST_Apr_V4</x:v>
      </x:c>
      <x:c r="AN1807" s="87" t="n">
        <x:v>3</x:v>
      </x:c>
    </x:row>
    <x:row r="1808">
      <x:c r="A1808" s="87" t="n">
        <x:v>1807</x:v>
      </x:c>
      <x:c r="B1808" s="87" t="str">
        <x:v>APR-HIS-V4-003</x:v>
      </x:c>
      <x:c r="C1808" s="87" t="str">
        <x:v>СтатГрад</x:v>
      </x:c>
      <x:c r="D1808" s="87" t="str">
        <x:v>Апрель 2026</x:v>
      </x:c>
      <x:c r="E1808" s="87"/>
      <x:c r="F1808" s="87"/>
      <x:c r="G1808" s="87" t="str">
        <x:v>История</x:v>
      </x:c>
      <x:c r="H1808" s="87" t="n">
        <x:v>11</x:v>
      </x:c>
      <x:c r="I1808" s="87" t="str">
        <x:v>ТР №5</x:v>
      </x:c>
      <x:c r="J1808" s="87" t="str">
        <x:v>ИС2510504</x:v>
      </x:c>
      <x:c r="K1808" s="87" t="n">
        <x:v>3</x:v>
      </x:c>
      <x:c r="L1808" s="87" t="str">
        <x:v>Процессы и факты</x:v>
      </x:c>
      <x:c r="M1808" s="30" t="str">
        <x:v>Соотнести военный коммунизм, Семибоярщину, преобразования Александра I и деятельность первых русских князей с фактами.</x:v>
      </x:c>
      <x:c r="N1808" s="30" t="str">
        <x:v>3215</x:v>
      </x:c>
      <x:c r="O1808" s="30" t="str">
        <x:v>Военный коммунизм — запрет частной торговли; Семибоярщина — приглашение Владислава; Александр I — учреждение министерств; первые князья — погосты и уроки.</x:v>
      </x:c>
      <x:c r="P1808" s="30" t="str">
        <x:v>Военный коммунизм — запрет частной торговли; Семибоярщина — приглашение Владислава; Александр I — учреждение министерств; первые князья — погосты и уроки.</x:v>
      </x:c>
      <x:c r="Q1808" s="30"/>
      <x:c r="R1808" s="30" t="str">
        <x:v>Полный PDF + опубликованный вариант: https://hist-ege.sdamgia.ru/test?id=5463184</x:v>
      </x:c>
      <x:c r="S1808" s="30"/>
      <x:c r="T1808" s="30"/>
      <x:c r="U1808" s="30" t="str">
        <x:v>Расхождений не обнаружено.</x:v>
      </x:c>
      <x:c r="V1808" s="87" t="str">
        <x:v>VERIFIED</x:v>
      </x:c>
      <x:c r="W1808" s="87" t="str">
        <x:v>PDF варианта</x:v>
      </x:c>
      <x:c r="X1808" s="87"/>
      <x:c r="Y1808" s="87"/>
      <x:c r="Z1808" s="87"/>
      <x:c r="AA1808" s="87"/>
      <x:c r="AB1808" s="87"/>
      <x:c r="AC1808" s="87"/>
      <x:c r="AD1808" s="87"/>
      <x:c r="AE1808" s="87"/>
      <x:c r="AF1808" s="87"/>
      <x:c r="AG1808" s="87"/>
      <x:c r="AH1808" s="87"/>
      <x:c r="AI1808" s="30"/>
      <x:c r="AJ1808" s="87" t="str">
        <x:v>master</x:v>
      </x:c>
      <x:c r="AK1808" s="87" t="str">
        <x:v>master-v0.81</x:v>
      </x:c>
      <x:c r="AL1808" s="87" t="str">
        <x:v>statgrad_master_base_v0_81_final(2).xlsx</x:v>
      </x:c>
      <x:c r="AM1808" s="87" t="str">
        <x:v>HIST_Apr_V4</x:v>
      </x:c>
      <x:c r="AN1808" s="87" t="n">
        <x:v>4</x:v>
      </x:c>
    </x:row>
    <x:row r="1809">
      <x:c r="A1809" s="87" t="n">
        <x:v>1808</x:v>
      </x:c>
      <x:c r="B1809" s="87" t="str">
        <x:v>APR-HIS-V4-004</x:v>
      </x:c>
      <x:c r="C1809" s="87" t="str">
        <x:v>СтатГрад</x:v>
      </x:c>
      <x:c r="D1809" s="87" t="str">
        <x:v>Апрель 2026</x:v>
      </x:c>
      <x:c r="E1809" s="87"/>
      <x:c r="F1809" s="87"/>
      <x:c r="G1809" s="87" t="str">
        <x:v>История</x:v>
      </x:c>
      <x:c r="H1809" s="87" t="n">
        <x:v>11</x:v>
      </x:c>
      <x:c r="I1809" s="87" t="str">
        <x:v>ТР №5</x:v>
      </x:c>
      <x:c r="J1809" s="87" t="str">
        <x:v>ИС2510504</x:v>
      </x:c>
      <x:c r="K1809" s="87" t="n">
        <x:v>4</x:v>
      </x:c>
      <x:c r="L1809" s="87" t="str">
        <x:v>Заполнение исторической таблицы</x:v>
      </x:c>
      <x:c r="M1809" s="30" t="str">
        <x:v>Заполнить шесть пропусков в таблице, сопоставляя города, события и десятилетия истории России.</x:v>
      </x:c>
      <x:c r="N1809" s="30" t="str">
        <x:v>157326</x:v>
      </x:c>
      <x:c r="O1809" s="30" t="str">
        <x:v>Все элементы согласованы по месту и времени; итоговая последовательность номеров — 157326.</x:v>
      </x:c>
      <x:c r="P1809" s="30" t="str">
        <x:v>Все элементы согласованы по месту и времени; итоговая последовательность номеров — 157326.</x:v>
      </x:c>
      <x:c r="Q1809" s="30"/>
      <x:c r="R1809" s="30" t="str">
        <x:v>Полный PDF + опубликованный вариант: https://hist-ege.sdamgia.ru/test?id=5463184</x:v>
      </x:c>
      <x:c r="S1809" s="30"/>
      <x:c r="T1809" s="30"/>
      <x:c r="U1809" s="30" t="str">
        <x:v>Расхождений не обнаружено.</x:v>
      </x:c>
      <x:c r="V1809" s="87" t="str">
        <x:v>VERIFIED</x:v>
      </x:c>
      <x:c r="W1809" s="87" t="str">
        <x:v>PDF варианта</x:v>
      </x:c>
      <x:c r="X1809" s="87"/>
      <x:c r="Y1809" s="87"/>
      <x:c r="Z1809" s="87"/>
      <x:c r="AA1809" s="87"/>
      <x:c r="AB1809" s="87"/>
      <x:c r="AC1809" s="87"/>
      <x:c r="AD1809" s="87"/>
      <x:c r="AE1809" s="87"/>
      <x:c r="AF1809" s="87"/>
      <x:c r="AG1809" s="87"/>
      <x:c r="AH1809" s="87"/>
      <x:c r="AI1809" s="30"/>
      <x:c r="AJ1809" s="87" t="str">
        <x:v>master</x:v>
      </x:c>
      <x:c r="AK1809" s="87" t="str">
        <x:v>master-v0.81</x:v>
      </x:c>
      <x:c r="AL1809" s="87" t="str">
        <x:v>statgrad_master_base_v0_81_final(2).xlsx</x:v>
      </x:c>
      <x:c r="AM1809" s="87" t="str">
        <x:v>HIST_Apr_V4</x:v>
      </x:c>
      <x:c r="AN1809" s="87" t="n">
        <x:v>5</x:v>
      </x:c>
    </x:row>
    <x:row r="1810">
      <x:c r="A1810" s="87" t="n">
        <x:v>1809</x:v>
      </x:c>
      <x:c r="B1810" s="87" t="str">
        <x:v>APR-HIS-V4-005</x:v>
      </x:c>
      <x:c r="C1810" s="87" t="str">
        <x:v>СтатГрад</x:v>
      </x:c>
      <x:c r="D1810" s="87" t="str">
        <x:v>Апрель 2026</x:v>
      </x:c>
      <x:c r="E1810" s="87"/>
      <x:c r="F1810" s="87"/>
      <x:c r="G1810" s="87" t="str">
        <x:v>История</x:v>
      </x:c>
      <x:c r="H1810" s="87" t="n">
        <x:v>11</x:v>
      </x:c>
      <x:c r="I1810" s="87" t="str">
        <x:v>ТР №5</x:v>
      </x:c>
      <x:c r="J1810" s="87" t="str">
        <x:v>ИС2510504</x:v>
      </x:c>
      <x:c r="K1810" s="87" t="n">
        <x:v>5</x:v>
      </x:c>
      <x:c r="L1810" s="87" t="str">
        <x:v>Исторические деятели и события</x:v>
      </x:c>
      <x:c r="M1810" s="30" t="str">
        <x:v>Соотнести деятельность ГКЧП, разгром печенегов, Государственный комитет обороны и Куликовскую битву с деятелями.</x:v>
      </x:c>
      <x:c r="N1810" s="30" t="str">
        <x:v>3156</x:v>
      </x:c>
      <x:c r="O1810" s="30" t="str">
        <x:v>ГКЧП — В. А. Крючков; разгром печенегов — Ярослав Мудрый; ГКО — В. М. Молотов; Куликовская битва — Владимир Андреевич Храбрый.</x:v>
      </x:c>
      <x:c r="P1810" s="30" t="str">
        <x:v>ГКЧП — В. А. Крючков; разгром печенегов — Ярослав Мудрый; ГКО — В. М. Молотов; Куликовская битва — Владимир Андреевич Храбрый.</x:v>
      </x:c>
      <x:c r="Q1810" s="30"/>
      <x:c r="R1810" s="30" t="str">
        <x:v>Полный PDF + опубликованный вариант: https://hist-ege.sdamgia.ru/test?id=5463184</x:v>
      </x:c>
      <x:c r="S1810" s="30"/>
      <x:c r="T1810" s="30"/>
      <x:c r="U1810" s="30" t="str">
        <x:v>Расхождений не обнаружено.</x:v>
      </x:c>
      <x:c r="V1810" s="87" t="str">
        <x:v>VERIFIED</x:v>
      </x:c>
      <x:c r="W1810" s="87" t="str">
        <x:v>PDF варианта</x:v>
      </x:c>
      <x:c r="X1810" s="87"/>
      <x:c r="Y1810" s="87"/>
      <x:c r="Z1810" s="87"/>
      <x:c r="AA1810" s="87"/>
      <x:c r="AB1810" s="87"/>
      <x:c r="AC1810" s="87"/>
      <x:c r="AD1810" s="87"/>
      <x:c r="AE1810" s="87"/>
      <x:c r="AF1810" s="87"/>
      <x:c r="AG1810" s="87"/>
      <x:c r="AH1810" s="87"/>
      <x:c r="AI1810" s="30"/>
      <x:c r="AJ1810" s="87" t="str">
        <x:v>master</x:v>
      </x:c>
      <x:c r="AK1810" s="87" t="str">
        <x:v>master-v0.81</x:v>
      </x:c>
      <x:c r="AL1810" s="87" t="str">
        <x:v>statgrad_master_base_v0_81_final(2).xlsx</x:v>
      </x:c>
      <x:c r="AM1810" s="87" t="str">
        <x:v>HIST_Apr_V4</x:v>
      </x:c>
      <x:c r="AN1810" s="87" t="n">
        <x:v>6</x:v>
      </x:c>
    </x:row>
    <x:row r="1811">
      <x:c r="A1811" s="87" t="n">
        <x:v>1810</x:v>
      </x:c>
      <x:c r="B1811" s="87" t="str">
        <x:v>APR-HIS-V4-006</x:v>
      </x:c>
      <x:c r="C1811" s="87" t="str">
        <x:v>СтатГрад</x:v>
      </x:c>
      <x:c r="D1811" s="87" t="str">
        <x:v>Апрель 2026</x:v>
      </x:c>
      <x:c r="E1811" s="87"/>
      <x:c r="F1811" s="87"/>
      <x:c r="G1811" s="87" t="str">
        <x:v>История</x:v>
      </x:c>
      <x:c r="H1811" s="87" t="n">
        <x:v>11</x:v>
      </x:c>
      <x:c r="I1811" s="87" t="str">
        <x:v>ТР №5</x:v>
      </x:c>
      <x:c r="J1811" s="87" t="str">
        <x:v>ИС2510504</x:v>
      </x:c>
      <x:c r="K1811" s="87" t="n">
        <x:v>6</x:v>
      </x:c>
      <x:c r="L1811" s="87" t="str">
        <x:v>Анализ исторического источника</x:v>
      </x:c>
      <x:c r="M1811" s="30" t="str">
        <x:v>По материалам следствия об угличских событиях выбрать верные суждения.</x:v>
      </x:c>
      <x:c r="N1811" s="30" t="str">
        <x:v>2456</x:v>
      </x:c>
      <x:c r="O1811" s="30" t="str">
        <x:v>События произошли в Угличе; патриаршество учреждено в то же царствование; фактическим правителем был Борис Годунов; допрошенные говорили, что царевич после несчастного случая был жив.</x:v>
      </x:c>
      <x:c r="P1811" s="30" t="str">
        <x:v>События произошли в Угличе; патриаршество учреждено в то же царствование; фактическим правителем был Борис Годунов; допрошенные говорили, что царевич после несчастного случая был жив.</x:v>
      </x:c>
      <x:c r="Q1811" s="30"/>
      <x:c r="R1811" s="30" t="str">
        <x:v>Полный PDF + опубликованный вариант: https://hist-ege.sdamgia.ru/test?id=5463184</x:v>
      </x:c>
      <x:c r="S1811" s="30"/>
      <x:c r="T1811" s="30"/>
      <x:c r="U1811" s="30" t="str">
        <x:v>Расхождений не обнаружено.</x:v>
      </x:c>
      <x:c r="V1811" s="87" t="str">
        <x:v>VERIFIED</x:v>
      </x:c>
      <x:c r="W1811" s="87" t="str">
        <x:v>PDF варианта</x:v>
      </x:c>
      <x:c r="X1811" s="87"/>
      <x:c r="Y1811" s="87"/>
      <x:c r="Z1811" s="87"/>
      <x:c r="AA1811" s="87"/>
      <x:c r="AB1811" s="87"/>
      <x:c r="AC1811" s="87"/>
      <x:c r="AD1811" s="87"/>
      <x:c r="AE1811" s="87"/>
      <x:c r="AF1811" s="87"/>
      <x:c r="AG1811" s="87"/>
      <x:c r="AH1811" s="87"/>
      <x:c r="AI1811" s="30"/>
      <x:c r="AJ1811" s="87" t="str">
        <x:v>master</x:v>
      </x:c>
      <x:c r="AK1811" s="87" t="str">
        <x:v>master-v0.81</x:v>
      </x:c>
      <x:c r="AL1811" s="87" t="str">
        <x:v>statgrad_master_base_v0_81_final(2).xlsx</x:v>
      </x:c>
      <x:c r="AM1811" s="87" t="str">
        <x:v>HIST_Apr_V4</x:v>
      </x:c>
      <x:c r="AN1811" s="87" t="n">
        <x:v>7</x:v>
      </x:c>
    </x:row>
    <x:row r="1812">
      <x:c r="A1812" s="87" t="n">
        <x:v>1811</x:v>
      </x:c>
      <x:c r="B1812" s="87" t="str">
        <x:v>APR-HIS-V4-007</x:v>
      </x:c>
      <x:c r="C1812" s="87" t="str">
        <x:v>СтатГрад</x:v>
      </x:c>
      <x:c r="D1812" s="87" t="str">
        <x:v>Апрель 2026</x:v>
      </x:c>
      <x:c r="E1812" s="87"/>
      <x:c r="F1812" s="87"/>
      <x:c r="G1812" s="87" t="str">
        <x:v>История</x:v>
      </x:c>
      <x:c r="H1812" s="87" t="n">
        <x:v>11</x:v>
      </x:c>
      <x:c r="I1812" s="87" t="str">
        <x:v>ТР №5</x:v>
      </x:c>
      <x:c r="J1812" s="87" t="str">
        <x:v>ИС2510504</x:v>
      </x:c>
      <x:c r="K1812" s="87" t="n">
        <x:v>7</x:v>
      </x:c>
      <x:c r="L1812" s="87" t="str">
        <x:v>Памятники культуры</x:v>
      </x:c>
      <x:c r="M1812" s="30" t="str">
        <x:v>Соотнести «Церковь воинствующая», картину «Тройка», Оранту Софии Киевской и «Рабфак идёт» с характеристиками.</x:v>
      </x:c>
      <x:c r="N1812" s="30" t="str">
        <x:v>1235</x:v>
      </x:c>
      <x:c r="O1812" s="30" t="str">
        <x:v>«Церковь воинствующая» — XVI век; «Тройка» — передвижник В. Г. Перов; Оранта находится в Софии Киевской; «Рабфак идёт» написал Б. В. Иогансон.</x:v>
      </x:c>
      <x:c r="P1812" s="30" t="str">
        <x:v>«Церковь воинствующая» — XVI век; «Тройка» — передвижник В. Г. Перов; Оранта находится в Софии Киевской; «Рабфак идёт» написал Б. В. Иогансон.</x:v>
      </x:c>
      <x:c r="Q1812" s="30"/>
      <x:c r="R1812" s="30" t="str">
        <x:v>Полный PDF + опубликованный вариант: https://hist-ege.sdamgia.ru/test?id=5463184</x:v>
      </x:c>
      <x:c r="S1812" s="30"/>
      <x:c r="T1812" s="30"/>
      <x:c r="U1812" s="30" t="str">
        <x:v>Расхождений не обнаружено.</x:v>
      </x:c>
      <x:c r="V1812" s="87" t="str">
        <x:v>VERIFIED</x:v>
      </x:c>
      <x:c r="W1812" s="87" t="str">
        <x:v>PDF варианта</x:v>
      </x:c>
      <x:c r="X1812" s="87"/>
      <x:c r="Y1812" s="87"/>
      <x:c r="Z1812" s="87"/>
      <x:c r="AA1812" s="87"/>
      <x:c r="AB1812" s="87"/>
      <x:c r="AC1812" s="87"/>
      <x:c r="AD1812" s="87"/>
      <x:c r="AE1812" s="87"/>
      <x:c r="AF1812" s="87"/>
      <x:c r="AG1812" s="87"/>
      <x:c r="AH1812" s="87"/>
      <x:c r="AI1812" s="30"/>
      <x:c r="AJ1812" s="87" t="str">
        <x:v>master</x:v>
      </x:c>
      <x:c r="AK1812" s="87" t="str">
        <x:v>master-v0.81</x:v>
      </x:c>
      <x:c r="AL1812" s="87" t="str">
        <x:v>statgrad_master_base_v0_81_final(2).xlsx</x:v>
      </x:c>
      <x:c r="AM1812" s="87" t="str">
        <x:v>HIST_Apr_V4</x:v>
      </x:c>
      <x:c r="AN1812" s="87" t="n">
        <x:v>8</x:v>
      </x:c>
    </x:row>
    <x:row r="1813">
      <x:c r="A1813" s="87" t="n">
        <x:v>1812</x:v>
      </x:c>
      <x:c r="B1813" s="87" t="str">
        <x:v>APR-HIS-V4-008</x:v>
      </x:c>
      <x:c r="C1813" s="87" t="str">
        <x:v>СтатГрад</x:v>
      </x:c>
      <x:c r="D1813" s="87" t="str">
        <x:v>Апрель 2026</x:v>
      </x:c>
      <x:c r="E1813" s="87"/>
      <x:c r="F1813" s="87"/>
      <x:c r="G1813" s="87" t="str">
        <x:v>История</x:v>
      </x:c>
      <x:c r="H1813" s="87" t="n">
        <x:v>11</x:v>
      </x:c>
      <x:c r="I1813" s="87" t="str">
        <x:v>ТР №5</x:v>
      </x:c>
      <x:c r="J1813" s="87" t="str">
        <x:v>ИС2510504</x:v>
      </x:c>
      <x:c r="K1813" s="87" t="n">
        <x:v>8</x:v>
      </x:c>
      <x:c r="L1813" s="87" t="str">
        <x:v>Военная история и изображение</x:v>
      </x:c>
      <x:c r="M1813" s="30" t="str">
        <x:v>Определить пропущенное слово в обозначении года события, связанного с изображением.</x:v>
      </x:c>
      <x:c r="N1813" s="30" t="str">
        <x:v>сорок втором</x:v>
      </x:c>
      <x:c r="O1813" s="30" t="str">
        <x:v>Изображение относится к событиям Великой Отечественной войны 1942 года.</x:v>
      </x:c>
      <x:c r="P1813" s="30" t="str">
        <x:v>Изображение относится к событиям Великой Отечественной войны 1942 года.</x:v>
      </x:c>
      <x:c r="Q1813" s="30"/>
      <x:c r="R1813" s="30" t="str">
        <x:v>Полный PDF + опубликованный вариант: https://hist-ege.sdamgia.ru/test?id=5463184</x:v>
      </x:c>
      <x:c r="S1813" s="30"/>
      <x:c r="T1813" s="30"/>
      <x:c r="U1813" s="30" t="str">
        <x:v>Расхождений не обнаружено.</x:v>
      </x:c>
      <x:c r="V1813" s="87" t="str">
        <x:v>VERIFIED</x:v>
      </x:c>
      <x:c r="W1813" s="87" t="str">
        <x:v>PDF варианта</x:v>
      </x:c>
      <x:c r="X1813" s="87"/>
      <x:c r="Y1813" s="87"/>
      <x:c r="Z1813" s="87"/>
      <x:c r="AA1813" s="87"/>
      <x:c r="AB1813" s="87"/>
      <x:c r="AC1813" s="87"/>
      <x:c r="AD1813" s="87"/>
      <x:c r="AE1813" s="87"/>
      <x:c r="AF1813" s="87"/>
      <x:c r="AG1813" s="87"/>
      <x:c r="AH1813" s="87"/>
      <x:c r="AI1813" s="30"/>
      <x:c r="AJ1813" s="87" t="str">
        <x:v>master</x:v>
      </x:c>
      <x:c r="AK1813" s="87" t="str">
        <x:v>master-v0.81</x:v>
      </x:c>
      <x:c r="AL1813" s="87" t="str">
        <x:v>statgrad_master_base_v0_81_final(2).xlsx</x:v>
      </x:c>
      <x:c r="AM1813" s="87" t="str">
        <x:v>HIST_Apr_V4</x:v>
      </x:c>
      <x:c r="AN1813" s="87" t="n">
        <x:v>9</x:v>
      </x:c>
    </x:row>
    <x:row r="1814">
      <x:c r="A1814" s="87" t="n">
        <x:v>1813</x:v>
      </x:c>
      <x:c r="B1814" s="87" t="str">
        <x:v>APR-HIS-V4-009</x:v>
      </x:c>
      <x:c r="C1814" s="87" t="str">
        <x:v>СтатГрад</x:v>
      </x:c>
      <x:c r="D1814" s="87" t="str">
        <x:v>Апрель 2026</x:v>
      </x:c>
      <x:c r="E1814" s="87"/>
      <x:c r="F1814" s="87"/>
      <x:c r="G1814" s="87" t="str">
        <x:v>История</x:v>
      </x:c>
      <x:c r="H1814" s="87" t="n">
        <x:v>11</x:v>
      </x:c>
      <x:c r="I1814" s="87" t="str">
        <x:v>ТР №5</x:v>
      </x:c>
      <x:c r="J1814" s="87" t="str">
        <x:v>ИС2510504</x:v>
      </x:c>
      <x:c r="K1814" s="87" t="n">
        <x:v>9</x:v>
      </x:c>
      <x:c r="L1814" s="87" t="str">
        <x:v>Историческая эпоха по изображению</x:v>
      </x:c>
      <x:c r="M1814" s="30" t="str">
        <x:v>Назвать войну, к которой относится представленное изображение.</x:v>
      </x:c>
      <x:c r="N1814" s="30" t="str">
        <x:v>Первая мировая война</x:v>
      </x:c>
      <x:c r="O1814" s="30" t="str">
        <x:v>Изображённое событие относится к Первой мировой войне.</x:v>
      </x:c>
      <x:c r="P1814" s="30" t="str">
        <x:v>Изображённое событие относится к Первой мировой войне.</x:v>
      </x:c>
      <x:c r="Q1814" s="30"/>
      <x:c r="R1814" s="30" t="str">
        <x:v>Полный PDF + опубликованный вариант: https://hist-ege.sdamgia.ru/test?id=5463184</x:v>
      </x:c>
      <x:c r="S1814" s="30"/>
      <x:c r="T1814" s="30"/>
      <x:c r="U1814" s="30" t="str">
        <x:v>Расхождений не обнаружено.</x:v>
      </x:c>
      <x:c r="V1814" s="87" t="str">
        <x:v>VERIFIED</x:v>
      </x:c>
      <x:c r="W1814" s="87" t="str">
        <x:v>PDF варианта</x:v>
      </x:c>
      <x:c r="X1814" s="87"/>
      <x:c r="Y1814" s="87"/>
      <x:c r="Z1814" s="87"/>
      <x:c r="AA1814" s="87"/>
      <x:c r="AB1814" s="87"/>
      <x:c r="AC1814" s="87"/>
      <x:c r="AD1814" s="87"/>
      <x:c r="AE1814" s="87"/>
      <x:c r="AF1814" s="87"/>
      <x:c r="AG1814" s="87"/>
      <x:c r="AH1814" s="87"/>
      <x:c r="AI1814" s="30"/>
      <x:c r="AJ1814" s="87" t="str">
        <x:v>master</x:v>
      </x:c>
      <x:c r="AK1814" s="87" t="str">
        <x:v>master-v0.81</x:v>
      </x:c>
      <x:c r="AL1814" s="87" t="str">
        <x:v>statgrad_master_base_v0_81_final(2).xlsx</x:v>
      </x:c>
      <x:c r="AM1814" s="87" t="str">
        <x:v>HIST_Apr_V4</x:v>
      </x:c>
      <x:c r="AN1814" s="87" t="n">
        <x:v>10</x:v>
      </x:c>
    </x:row>
    <x:row r="1815">
      <x:c r="A1815" s="87" t="n">
        <x:v>1814</x:v>
      </x:c>
      <x:c r="B1815" s="87" t="str">
        <x:v>APR-HIS-V4-010</x:v>
      </x:c>
      <x:c r="C1815" s="87" t="str">
        <x:v>СтатГрад</x:v>
      </x:c>
      <x:c r="D1815" s="87" t="str">
        <x:v>Апрель 2026</x:v>
      </x:c>
      <x:c r="E1815" s="87"/>
      <x:c r="F1815" s="87"/>
      <x:c r="G1815" s="87" t="str">
        <x:v>История</x:v>
      </x:c>
      <x:c r="H1815" s="87" t="n">
        <x:v>11</x:v>
      </x:c>
      <x:c r="I1815" s="87" t="str">
        <x:v>ТР №5</x:v>
      </x:c>
      <x:c r="J1815" s="87" t="str">
        <x:v>ИС2510504</x:v>
      </x:c>
      <x:c r="K1815" s="87" t="n">
        <x:v>10</x:v>
      </x:c>
      <x:c r="L1815" s="87" t="str">
        <x:v>Хронологическая атрибуция</x:v>
      </x:c>
      <x:c r="M1815" s="30" t="str">
        <x:v>Определить век события или создания объекта по изображению.</x:v>
      </x:c>
      <x:c r="N1815" s="30" t="str">
        <x:v>пятнадцатого</x:v>
      </x:c>
      <x:c r="O1815" s="30" t="str">
        <x:v>Объект относится к XV веку.</x:v>
      </x:c>
      <x:c r="P1815" s="30" t="str">
        <x:v>Объект относится к XV веку.</x:v>
      </x:c>
      <x:c r="Q1815" s="30"/>
      <x:c r="R1815" s="30" t="str">
        <x:v>Полный PDF + опубликованный вариант: https://hist-ege.sdamgia.ru/test?id=5463184</x:v>
      </x:c>
      <x:c r="S1815" s="30"/>
      <x:c r="T1815" s="30"/>
      <x:c r="U1815" s="30" t="str">
        <x:v>Расхождений не обнаружено.</x:v>
      </x:c>
      <x:c r="V1815" s="87" t="str">
        <x:v>VERIFIED</x:v>
      </x:c>
      <x:c r="W1815" s="87" t="str">
        <x:v>PDF варианта</x:v>
      </x:c>
      <x:c r="X1815" s="87"/>
      <x:c r="Y1815" s="87"/>
      <x:c r="Z1815" s="87"/>
      <x:c r="AA1815" s="87"/>
      <x:c r="AB1815" s="87"/>
      <x:c r="AC1815" s="87"/>
      <x:c r="AD1815" s="87"/>
      <x:c r="AE1815" s="87"/>
      <x:c r="AF1815" s="87"/>
      <x:c r="AG1815" s="87"/>
      <x:c r="AH1815" s="87"/>
      <x:c r="AI1815" s="30"/>
      <x:c r="AJ1815" s="87" t="str">
        <x:v>master</x:v>
      </x:c>
      <x:c r="AK1815" s="87" t="str">
        <x:v>master-v0.81</x:v>
      </x:c>
      <x:c r="AL1815" s="87" t="str">
        <x:v>statgrad_master_base_v0_81_final(2).xlsx</x:v>
      </x:c>
      <x:c r="AM1815" s="87" t="str">
        <x:v>HIST_Apr_V4</x:v>
      </x:c>
      <x:c r="AN1815" s="87" t="n">
        <x:v>11</x:v>
      </x:c>
    </x:row>
    <x:row r="1816">
      <x:c r="A1816" s="87" t="n">
        <x:v>1815</x:v>
      </x:c>
      <x:c r="B1816" s="87" t="str">
        <x:v>APR-HIS-V4-011</x:v>
      </x:c>
      <x:c r="C1816" s="87" t="str">
        <x:v>СтатГрад</x:v>
      </x:c>
      <x:c r="D1816" s="87" t="str">
        <x:v>Апрель 2026</x:v>
      </x:c>
      <x:c r="E1816" s="87"/>
      <x:c r="F1816" s="87"/>
      <x:c r="G1816" s="87" t="str">
        <x:v>История</x:v>
      </x:c>
      <x:c r="H1816" s="87" t="n">
        <x:v>11</x:v>
      </x:c>
      <x:c r="I1816" s="87" t="str">
        <x:v>ТР №5</x:v>
      </x:c>
      <x:c r="J1816" s="87" t="str">
        <x:v>ИС2510504</x:v>
      </x:c>
      <x:c r="K1816" s="87" t="n">
        <x:v>11</x:v>
      </x:c>
      <x:c r="L1816" s="87" t="str">
        <x:v>Историческая карта</x:v>
      </x:c>
      <x:c r="M1816" s="30" t="str">
        <x:v>Назвать город, обозначенный на схеме.</x:v>
      </x:c>
      <x:c r="N1816" s="30" t="str">
        <x:v>Ковно</x:v>
      </x:c>
      <x:c r="O1816" s="30" t="str">
        <x:v>По географии военных действий и положению города на схеме определяется Ковно.</x:v>
      </x:c>
      <x:c r="P1816" s="30" t="str">
        <x:v>Карта проверена визуально по полному PDF.</x:v>
      </x:c>
      <x:c r="Q1816" s="30"/>
      <x:c r="R1816" s="30" t="str">
        <x:v>Полный PDF + опубликованный вариант: https://hist-ege.sdamgia.ru/test?id=5463184</x:v>
      </x:c>
      <x:c r="S1816" s="30"/>
      <x:c r="T1816" s="30"/>
      <x:c r="U1816" s="30" t="str">
        <x:v>Расхождений не обнаружено.</x:v>
      </x:c>
      <x:c r="V1816" s="87" t="str">
        <x:v>VERIFIED</x:v>
      </x:c>
      <x:c r="W1816" s="87" t="str">
        <x:v>PDF варианта</x:v>
      </x:c>
      <x:c r="X1816" s="87"/>
      <x:c r="Y1816" s="87"/>
      <x:c r="Z1816" s="87"/>
      <x:c r="AA1816" s="87"/>
      <x:c r="AB1816" s="87"/>
      <x:c r="AC1816" s="87"/>
      <x:c r="AD1816" s="87"/>
      <x:c r="AE1816" s="87"/>
      <x:c r="AF1816" s="87"/>
      <x:c r="AG1816" s="87"/>
      <x:c r="AH1816" s="87"/>
      <x:c r="AI1816" s="30"/>
      <x:c r="AJ1816" s="87" t="str">
        <x:v>master</x:v>
      </x:c>
      <x:c r="AK1816" s="87" t="str">
        <x:v>master-v0.81</x:v>
      </x:c>
      <x:c r="AL1816" s="87" t="str">
        <x:v>statgrad_master_base_v0_81_final(2).xlsx</x:v>
      </x:c>
      <x:c r="AM1816" s="87" t="str">
        <x:v>HIST_Apr_V4</x:v>
      </x:c>
      <x:c r="AN1816" s="87" t="n">
        <x:v>12</x:v>
      </x:c>
    </x:row>
    <x:row r="1817">
      <x:c r="A1817" s="87" t="n">
        <x:v>1816</x:v>
      </x:c>
      <x:c r="B1817" s="87" t="str">
        <x:v>APR-HIS-V4-012</x:v>
      </x:c>
      <x:c r="C1817" s="87" t="str">
        <x:v>СтатГрад</x:v>
      </x:c>
      <x:c r="D1817" s="87" t="str">
        <x:v>Апрель 2026</x:v>
      </x:c>
      <x:c r="E1817" s="87"/>
      <x:c r="F1817" s="87"/>
      <x:c r="G1817" s="87" t="str">
        <x:v>История</x:v>
      </x:c>
      <x:c r="H1817" s="87" t="n">
        <x:v>11</x:v>
      </x:c>
      <x:c r="I1817" s="87" t="str">
        <x:v>ТР №5</x:v>
      </x:c>
      <x:c r="J1817" s="87" t="str">
        <x:v>ИС2510504</x:v>
      </x:c>
      <x:c r="K1817" s="87" t="n">
        <x:v>12</x:v>
      </x:c>
      <x:c r="L1817" s="87" t="str">
        <x:v>Суждения по карте</x:v>
      </x:c>
      <x:c r="M1817" s="30" t="str">
        <x:v>Выбрать верные суждения, относящиеся к исторической схеме.</x:v>
      </x:c>
      <x:c r="N1817" s="30" t="str">
        <x:v>146</x:v>
      </x:c>
      <x:c r="O1817" s="30" t="str">
        <x:v>Утверждения 1, 4 и 6 согласуются с обозначенными территориями, направлениями и хронологией.</x:v>
      </x:c>
      <x:c r="P1817" s="30" t="str">
        <x:v>Утверждения 1, 4 и 6 согласуются с обозначенными территориями, направлениями и хронологией.</x:v>
      </x:c>
      <x:c r="Q1817" s="30"/>
      <x:c r="R1817" s="30" t="str">
        <x:v>Полный PDF + опубликованный вариант: https://hist-ege.sdamgia.ru/test?id=5463184</x:v>
      </x:c>
      <x:c r="S1817" s="30"/>
      <x:c r="T1817" s="30"/>
      <x:c r="U1817" s="30" t="str">
        <x:v>Расхождений не обнаружено.</x:v>
      </x:c>
      <x:c r="V1817" s="87" t="str">
        <x:v>VERIFIED</x:v>
      </x:c>
      <x:c r="W1817" s="87" t="str">
        <x:v>PDF варианта</x:v>
      </x:c>
      <x:c r="X1817" s="87"/>
      <x:c r="Y1817" s="87"/>
      <x:c r="Z1817" s="87"/>
      <x:c r="AA1817" s="87"/>
      <x:c r="AB1817" s="87"/>
      <x:c r="AC1817" s="87"/>
      <x:c r="AD1817" s="87"/>
      <x:c r="AE1817" s="87"/>
      <x:c r="AF1817" s="87"/>
      <x:c r="AG1817" s="87"/>
      <x:c r="AH1817" s="87"/>
      <x:c r="AI1817" s="30"/>
      <x:c r="AJ1817" s="87" t="str">
        <x:v>master</x:v>
      </x:c>
      <x:c r="AK1817" s="87" t="str">
        <x:v>master-v0.81</x:v>
      </x:c>
      <x:c r="AL1817" s="87" t="str">
        <x:v>statgrad_master_base_v0_81_final(2).xlsx</x:v>
      </x:c>
      <x:c r="AM1817" s="87" t="str">
        <x:v>HIST_Apr_V4</x:v>
      </x:c>
      <x:c r="AN1817" s="87" t="n">
        <x:v>13</x:v>
      </x:c>
    </x:row>
    <x:row r="1818">
      <x:c r="A1818" s="87" t="n">
        <x:v>1817</x:v>
      </x:c>
      <x:c r="B1818" s="87" t="str">
        <x:v>APR-HIS-V4-013</x:v>
      </x:c>
      <x:c r="C1818" s="87" t="str">
        <x:v>СтатГрад</x:v>
      </x:c>
      <x:c r="D1818" s="87" t="str">
        <x:v>Апрель 2026</x:v>
      </x:c>
      <x:c r="E1818" s="87"/>
      <x:c r="F1818" s="87"/>
      <x:c r="G1818" s="87" t="str">
        <x:v>История</x:v>
      </x:c>
      <x:c r="H1818" s="87" t="n">
        <x:v>11</x:v>
      </x:c>
      <x:c r="I1818" s="87" t="str">
        <x:v>ТР №5</x:v>
      </x:c>
      <x:c r="J1818" s="87" t="str">
        <x:v>ИС2510504</x:v>
      </x:c>
      <x:c r="K1818" s="87" t="n">
        <x:v>13</x:v>
      </x:c>
      <x:c r="L1818" s="87" t="str">
        <x:v>Анализ письменного источника</x:v>
      </x:c>
      <x:c r="M1818" s="30" t="str">
        <x:v>По воспоминаниям о ходе войны назвать год, императора и войну.</x:v>
      </x:c>
      <x:c r="N1818" s="30" t="str">
        <x:v>1853; Николай I; Крымская (Восточная) война</x:v>
      </x:c>
      <x:c r="O1818" s="30" t="str">
        <x:v>Описывается начало Крымской войны в 1853 г. при Николае I.</x:v>
      </x:c>
      <x:c r="P1818" s="30" t="str">
        <x:v>Описывается начало Крымской войны в 1853 г. при Николае I.</x:v>
      </x:c>
      <x:c r="Q1818" s="30"/>
      <x:c r="R1818" s="30" t="str">
        <x:v>Полный PDF + опубликованный вариант: https://hist-ege.sdamgia.ru/test?id=5463184</x:v>
      </x:c>
      <x:c r="S1818" s="30"/>
      <x:c r="T1818" s="30"/>
      <x:c r="U1818" s="30" t="str">
        <x:v>Расхождений не обнаружено.</x:v>
      </x:c>
      <x:c r="V1818" s="87" t="str">
        <x:v>VERIFIED</x:v>
      </x:c>
      <x:c r="W1818" s="87" t="str">
        <x:v>PDF варианта</x:v>
      </x:c>
      <x:c r="X1818" s="87"/>
      <x:c r="Y1818" s="87"/>
      <x:c r="Z1818" s="87"/>
      <x:c r="AA1818" s="87"/>
      <x:c r="AB1818" s="87"/>
      <x:c r="AC1818" s="87"/>
      <x:c r="AD1818" s="87"/>
      <x:c r="AE1818" s="87"/>
      <x:c r="AF1818" s="87"/>
      <x:c r="AG1818" s="87"/>
      <x:c r="AH1818" s="87"/>
      <x:c r="AI1818" s="30"/>
      <x:c r="AJ1818" s="87" t="str">
        <x:v>master</x:v>
      </x:c>
      <x:c r="AK1818" s="87" t="str">
        <x:v>master-v0.81</x:v>
      </x:c>
      <x:c r="AL1818" s="87" t="str">
        <x:v>statgrad_master_base_v0_81_final(2).xlsx</x:v>
      </x:c>
      <x:c r="AM1818" s="87" t="str">
        <x:v>HIST_Apr_V4</x:v>
      </x:c>
      <x:c r="AN1818" s="87" t="n">
        <x:v>14</x:v>
      </x:c>
    </x:row>
    <x:row r="1819">
      <x:c r="A1819" s="87" t="n">
        <x:v>1818</x:v>
      </x:c>
      <x:c r="B1819" s="87" t="str">
        <x:v>APR-HIS-V4-014</x:v>
      </x:c>
      <x:c r="C1819" s="87" t="str">
        <x:v>СтатГрад</x:v>
      </x:c>
      <x:c r="D1819" s="87" t="str">
        <x:v>Апрель 2026</x:v>
      </x:c>
      <x:c r="E1819" s="87"/>
      <x:c r="F1819" s="87"/>
      <x:c r="G1819" s="87" t="str">
        <x:v>История</x:v>
      </x:c>
      <x:c r="H1819" s="87" t="n">
        <x:v>11</x:v>
      </x:c>
      <x:c r="I1819" s="87" t="str">
        <x:v>ТР №5</x:v>
      </x:c>
      <x:c r="J1819" s="87" t="str">
        <x:v>ИС2510504</x:v>
      </x:c>
      <x:c r="K1819" s="87" t="n">
        <x:v>14</x:v>
      </x:c>
      <x:c r="L1819" s="87" t="str">
        <x:v>Поиск информации в источнике</x:v>
      </x:c>
      <x:c r="M1819" s="30" t="str">
        <x:v>Охарактеризовать отношение автора к неудачам, восприятие манифеста об ополчении и предложенную меру превращения войны в народную.</x:v>
      </x:c>
      <x:c r="N1819" s="30" t="str">
        <x:v>Автор и его круг считали поражение возможным толчком к полезным переменам; манифест об ополчении был встречен холодно, без энтузиазма; предлагалось созвать выборных представителей всей России, чтобы привлечь народ и частные ресурсы.</x:v>
      </x:c>
      <x:c r="O1819" s="30" t="str">
        <x:v>Три положения передают оценку автора и названную им политическую меру.</x:v>
      </x:c>
      <x:c r="P1819" s="30" t="str">
        <x:v>Три положения передают оценку автора и названную им политическую меру.</x:v>
      </x:c>
      <x:c r="Q1819" s="30"/>
      <x:c r="R1819" s="30" t="str">
        <x:v>Полный PDF + опубликованный вариант: https://hist-ege.sdamgia.ru/test?id=5463184</x:v>
      </x:c>
      <x:c r="S1819" s="30"/>
      <x:c r="T1819" s="30"/>
      <x:c r="U1819" s="30" t="str">
        <x:v>Расхождений не обнаружено.</x:v>
      </x:c>
      <x:c r="V1819" s="87" t="str">
        <x:v>VERIFIED</x:v>
      </x:c>
      <x:c r="W1819" s="87" t="str">
        <x:v>PDF варианта</x:v>
      </x:c>
      <x:c r="X1819" s="87"/>
      <x:c r="Y1819" s="87"/>
      <x:c r="Z1819" s="87"/>
      <x:c r="AA1819" s="87"/>
      <x:c r="AB1819" s="87"/>
      <x:c r="AC1819" s="87"/>
      <x:c r="AD1819" s="87"/>
      <x:c r="AE1819" s="87"/>
      <x:c r="AF1819" s="87"/>
      <x:c r="AG1819" s="87"/>
      <x:c r="AH1819" s="87"/>
      <x:c r="AI1819" s="30"/>
      <x:c r="AJ1819" s="87" t="str">
        <x:v>master</x:v>
      </x:c>
      <x:c r="AK1819" s="87" t="str">
        <x:v>master-v0.81</x:v>
      </x:c>
      <x:c r="AL1819" s="87" t="str">
        <x:v>statgrad_master_base_v0_81_final(2).xlsx</x:v>
      </x:c>
      <x:c r="AM1819" s="87" t="str">
        <x:v>HIST_Apr_V4</x:v>
      </x:c>
      <x:c r="AN1819" s="87" t="n">
        <x:v>15</x:v>
      </x:c>
    </x:row>
    <x:row r="1820">
      <x:c r="A1820" s="87" t="n">
        <x:v>1819</x:v>
      </x:c>
      <x:c r="B1820" s="87" t="str">
        <x:v>APR-HIS-V4-015</x:v>
      </x:c>
      <x:c r="C1820" s="87" t="str">
        <x:v>СтатГрад</x:v>
      </x:c>
      <x:c r="D1820" s="87" t="str">
        <x:v>Апрель 2026</x:v>
      </x:c>
      <x:c r="E1820" s="87"/>
      <x:c r="F1820" s="87"/>
      <x:c r="G1820" s="87" t="str">
        <x:v>История</x:v>
      </x:c>
      <x:c r="H1820" s="87" t="n">
        <x:v>11</x:v>
      </x:c>
      <x:c r="I1820" s="87" t="str">
        <x:v>ТР №5</x:v>
      </x:c>
      <x:c r="J1820" s="87" t="str">
        <x:v>ИС2510504</x:v>
      </x:c>
      <x:c r="K1820" s="87" t="n">
        <x:v>15</x:v>
      </x:c>
      <x:c r="L1820" s="87" t="str">
        <x:v>Атрибуция почтовой марки</x:v>
      </x:c>
      <x:c r="M1820" s="30" t="str">
        <x:v>Назвать российского императора в год рождения деятеля, юбилею которого посвящена марка.</x:v>
      </x:c>
      <x:c r="N1820" s="30" t="str">
        <x:v>Александр III</x:v>
      </x:c>
      <x:c r="O1820" s="30" t="str">
        <x:v>Марка 1960 г. выпущена к 75-летию М. В. Фрунзе; он родился в 1885 г., когда царствовал Александр III.</x:v>
      </x:c>
      <x:c r="P1820" s="30" t="str">
        <x:v>Марка 1960 г. выпущена к 75-летию М. В. Фрунзе; он родился в 1885 г., когда царствовал Александр III.</x:v>
      </x:c>
      <x:c r="Q1820" s="30"/>
      <x:c r="R1820" s="30" t="str">
        <x:v>Полный PDF + опубликованный вариант: https://hist-ege.sdamgia.ru/test?id=5463184</x:v>
      </x:c>
      <x:c r="S1820" s="30"/>
      <x:c r="T1820" s="30"/>
      <x:c r="U1820" s="30" t="str">
        <x:v>Расхождений не обнаружено.</x:v>
      </x:c>
      <x:c r="V1820" s="87" t="str">
        <x:v>VERIFIED</x:v>
      </x:c>
      <x:c r="W1820" s="87" t="str">
        <x:v>PDF варианта</x:v>
      </x:c>
      <x:c r="X1820" s="87"/>
      <x:c r="Y1820" s="87"/>
      <x:c r="Z1820" s="87"/>
      <x:c r="AA1820" s="87"/>
      <x:c r="AB1820" s="87"/>
      <x:c r="AC1820" s="87"/>
      <x:c r="AD1820" s="87"/>
      <x:c r="AE1820" s="87"/>
      <x:c r="AF1820" s="87"/>
      <x:c r="AG1820" s="87"/>
      <x:c r="AH1820" s="87"/>
      <x:c r="AI1820" s="30"/>
      <x:c r="AJ1820" s="87" t="str">
        <x:v>master</x:v>
      </x:c>
      <x:c r="AK1820" s="87" t="str">
        <x:v>master-v0.81</x:v>
      </x:c>
      <x:c r="AL1820" s="87" t="str">
        <x:v>statgrad_master_base_v0_81_final(2).xlsx</x:v>
      </x:c>
      <x:c r="AM1820" s="87" t="str">
        <x:v>HIST_Apr_V4</x:v>
      </x:c>
      <x:c r="AN1820" s="87" t="n">
        <x:v>16</x:v>
      </x:c>
    </x:row>
    <x:row r="1821">
      <x:c r="A1821" s="87" t="n">
        <x:v>1820</x:v>
      </x:c>
      <x:c r="B1821" s="87" t="str">
        <x:v>APR-HIS-V4-016</x:v>
      </x:c>
      <x:c r="C1821" s="87" t="str">
        <x:v>СтатГрад</x:v>
      </x:c>
      <x:c r="D1821" s="87" t="str">
        <x:v>Апрель 2026</x:v>
      </x:c>
      <x:c r="E1821" s="87"/>
      <x:c r="F1821" s="87"/>
      <x:c r="G1821" s="87" t="str">
        <x:v>История</x:v>
      </x:c>
      <x:c r="H1821" s="87" t="n">
        <x:v>11</x:v>
      </x:c>
      <x:c r="I1821" s="87" t="str">
        <x:v>ТР №5</x:v>
      </x:c>
      <x:c r="J1821" s="87" t="str">
        <x:v>ИС2510504</x:v>
      </x:c>
      <x:c r="K1821" s="87" t="n">
        <x:v>16</x:v>
      </x:c>
      <x:c r="L1821" s="87" t="str">
        <x:v>Памятник культуры по изображению</x:v>
      </x:c>
      <x:c r="M1821" s="30" t="str">
        <x:v>Выбрать изображение произведения соответствующей эпохи и назвать архитектора.</x:v>
      </x:c>
      <x:c r="N1821" s="30" t="str">
        <x:v>1; Ф. О. Шехтель</x:v>
      </x:c>
      <x:c r="O1821" s="30" t="str">
        <x:v>Изображение №1 относится к произведению архитектора Ф. О. Шехтеля.</x:v>
      </x:c>
      <x:c r="P1821" s="30" t="str">
        <x:v>Изображение №1 относится к произведению архитектора Ф. О. Шехтеля.</x:v>
      </x:c>
      <x:c r="Q1821" s="30"/>
      <x:c r="R1821" s="30" t="str">
        <x:v>Полный PDF + опубликованный вариант: https://hist-ege.sdamgia.ru/test?id=5463184</x:v>
      </x:c>
      <x:c r="S1821" s="30"/>
      <x:c r="T1821" s="30"/>
      <x:c r="U1821" s="30" t="str">
        <x:v>Расхождений не обнаружено.</x:v>
      </x:c>
      <x:c r="V1821" s="87" t="str">
        <x:v>VERIFIED</x:v>
      </x:c>
      <x:c r="W1821" s="87" t="str">
        <x:v>PDF варианта</x:v>
      </x:c>
      <x:c r="X1821" s="87"/>
      <x:c r="Y1821" s="87"/>
      <x:c r="Z1821" s="87"/>
      <x:c r="AA1821" s="87"/>
      <x:c r="AB1821" s="87"/>
      <x:c r="AC1821" s="87"/>
      <x:c r="AD1821" s="87"/>
      <x:c r="AE1821" s="87"/>
      <x:c r="AF1821" s="87"/>
      <x:c r="AG1821" s="87"/>
      <x:c r="AH1821" s="87"/>
      <x:c r="AI1821" s="30"/>
      <x:c r="AJ1821" s="87" t="str">
        <x:v>master</x:v>
      </x:c>
      <x:c r="AK1821" s="87" t="str">
        <x:v>master-v0.81</x:v>
      </x:c>
      <x:c r="AL1821" s="87" t="str">
        <x:v>statgrad_master_base_v0_81_final(2).xlsx</x:v>
      </x:c>
      <x:c r="AM1821" s="87" t="str">
        <x:v>HIST_Apr_V4</x:v>
      </x:c>
      <x:c r="AN1821" s="87" t="n">
        <x:v>17</x:v>
      </x:c>
    </x:row>
    <x:row r="1822">
      <x:c r="A1822" s="87" t="n">
        <x:v>1821</x:v>
      </x:c>
      <x:c r="B1822" s="87" t="str">
        <x:v>APR-HIS-V4-017</x:v>
      </x:c>
      <x:c r="C1822" s="87" t="str">
        <x:v>СтатГрад</x:v>
      </x:c>
      <x:c r="D1822" s="87" t="str">
        <x:v>Апрель 2026</x:v>
      </x:c>
      <x:c r="E1822" s="87"/>
      <x:c r="F1822" s="87"/>
      <x:c r="G1822" s="87" t="str">
        <x:v>История</x:v>
      </x:c>
      <x:c r="H1822" s="87" t="n">
        <x:v>11</x:v>
      </x:c>
      <x:c r="I1822" s="87" t="str">
        <x:v>ТР №5</x:v>
      </x:c>
      <x:c r="J1822" s="87" t="str">
        <x:v>ИС2510504</x:v>
      </x:c>
      <x:c r="K1822" s="87" t="n">
        <x:v>17</x:v>
      </x:c>
      <x:c r="L1822" s="87" t="str">
        <x:v>Анализ источников о Великой Отечественной войне</x:v>
      </x:c>
      <x:c r="M1822" s="30" t="str">
        <x:v>Назвать год сражения, любой участвовавший советский фронт и способ дезориентации противника.</x:v>
      </x:c>
      <x:c r="N1822" s="30" t="str">
        <x:v>1945; 1-й Белорусский фронт; дымовые завесы поставили почти по всей линии фронта, чтобы ввести противника в заблуждение и ослепить наблюдательные пункты.</x:v>
      </x:c>
      <x:c r="O1822" s="30" t="str">
        <x:v>Допустимы также 1-й Украинский и 2-й Белорусский фронты.</x:v>
      </x:c>
      <x:c r="P1822" s="30" t="str">
        <x:v>Допустимы также 1-й Украинский и 2-й Белорусский фронты.</x:v>
      </x:c>
      <x:c r="Q1822" s="30"/>
      <x:c r="R1822" s="30" t="str">
        <x:v>Полный PDF + опубликованный вариант: https://hist-ege.sdamgia.ru/test?id=5463184</x:v>
      </x:c>
      <x:c r="S1822" s="30"/>
      <x:c r="T1822" s="30"/>
      <x:c r="U1822" s="30" t="str">
        <x:v>Расхождений не обнаружено.</x:v>
      </x:c>
      <x:c r="V1822" s="87" t="str">
        <x:v>VERIFIED</x:v>
      </x:c>
      <x:c r="W1822" s="87" t="str">
        <x:v>PDF варианта</x:v>
      </x:c>
      <x:c r="X1822" s="87"/>
      <x:c r="Y1822" s="87"/>
      <x:c r="Z1822" s="87"/>
      <x:c r="AA1822" s="87"/>
      <x:c r="AB1822" s="87"/>
      <x:c r="AC1822" s="87"/>
      <x:c r="AD1822" s="87"/>
      <x:c r="AE1822" s="87"/>
      <x:c r="AF1822" s="87"/>
      <x:c r="AG1822" s="87"/>
      <x:c r="AH1822" s="87"/>
      <x:c r="AI1822" s="30"/>
      <x:c r="AJ1822" s="87" t="str">
        <x:v>master</x:v>
      </x:c>
      <x:c r="AK1822" s="87" t="str">
        <x:v>master-v0.81</x:v>
      </x:c>
      <x:c r="AL1822" s="87" t="str">
        <x:v>statgrad_master_base_v0_81_final(2).xlsx</x:v>
      </x:c>
      <x:c r="AM1822" s="87" t="str">
        <x:v>HIST_Apr_V4</x:v>
      </x:c>
      <x:c r="AN1822" s="87" t="n">
        <x:v>18</x:v>
      </x:c>
    </x:row>
    <x:row r="1823">
      <x:c r="A1823" s="87" t="n">
        <x:v>1822</x:v>
      </x:c>
      <x:c r="B1823" s="87" t="str">
        <x:v>APR-HIS-V4-018</x:v>
      </x:c>
      <x:c r="C1823" s="87" t="str">
        <x:v>СтатГрад</x:v>
      </x:c>
      <x:c r="D1823" s="87" t="str">
        <x:v>Апрель 2026</x:v>
      </x:c>
      <x:c r="E1823" s="87"/>
      <x:c r="F1823" s="87"/>
      <x:c r="G1823" s="87" t="str">
        <x:v>История</x:v>
      </x:c>
      <x:c r="H1823" s="87" t="n">
        <x:v>11</x:v>
      </x:c>
      <x:c r="I1823" s="87" t="str">
        <x:v>ТР №5</x:v>
      </x:c>
      <x:c r="J1823" s="87" t="str">
        <x:v>ИС2510504</x:v>
      </x:c>
      <x:c r="K1823" s="87" t="n">
        <x:v>18</x:v>
      </x:c>
      <x:c r="L1823" s="87" t="str">
        <x:v>Причинно-следственные связи</x:v>
      </x:c>
      <x:c r="M1823" s="30" t="str">
        <x:v>Объяснить конфликт Юрия Звенигородского и Василия II, первоначальную уступку Юрия и решение ордынского хана.</x:v>
      </x:c>
      <x:c r="N1823" s="30" t="str">
        <x:v>а) Лествичный обычай предполагал передачу престола брату, а завещание Василия I передавало его сыну. б) Василий II был внуком могущественного Витовта, борьбы с которым Юрий опасался. в) Хан счёл юного Василия II более слабым и послушным Орде.</x:v>
      </x:c>
      <x:c r="O1823" s="30" t="str">
        <x:v>Ответ соответствует трём пунктам опубликованного критерия.</x:v>
      </x:c>
      <x:c r="P1823" s="30" t="str">
        <x:v>Ответ соответствует трём пунктам опубликованного критерия.</x:v>
      </x:c>
      <x:c r="Q1823" s="30"/>
      <x:c r="R1823" s="30" t="str">
        <x:v>Полный PDF + опубликованный вариант: https://hist-ege.sdamgia.ru/test?id=5463184</x:v>
      </x:c>
      <x:c r="S1823" s="30"/>
      <x:c r="T1823" s="30"/>
      <x:c r="U1823" s="30" t="str">
        <x:v>Расхождений не обнаружено.</x:v>
      </x:c>
      <x:c r="V1823" s="87" t="str">
        <x:v>VERIFIED</x:v>
      </x:c>
      <x:c r="W1823" s="87" t="str">
        <x:v>PDF варианта</x:v>
      </x:c>
      <x:c r="X1823" s="87"/>
      <x:c r="Y1823" s="87"/>
      <x:c r="Z1823" s="87"/>
      <x:c r="AA1823" s="87"/>
      <x:c r="AB1823" s="87"/>
      <x:c r="AC1823" s="87"/>
      <x:c r="AD1823" s="87"/>
      <x:c r="AE1823" s="87"/>
      <x:c r="AF1823" s="87"/>
      <x:c r="AG1823" s="87"/>
      <x:c r="AH1823" s="87"/>
      <x:c r="AI1823" s="30"/>
      <x:c r="AJ1823" s="87" t="str">
        <x:v>master</x:v>
      </x:c>
      <x:c r="AK1823" s="87" t="str">
        <x:v>master-v0.81</x:v>
      </x:c>
      <x:c r="AL1823" s="87" t="str">
        <x:v>statgrad_master_base_v0_81_final(2).xlsx</x:v>
      </x:c>
      <x:c r="AM1823" s="87" t="str">
        <x:v>HIST_Apr_V4</x:v>
      </x:c>
      <x:c r="AN1823" s="87" t="n">
        <x:v>19</x:v>
      </x:c>
    </x:row>
    <x:row r="1824">
      <x:c r="A1824" s="87" t="n">
        <x:v>1823</x:v>
      </x:c>
      <x:c r="B1824" s="87" t="str">
        <x:v>APR-HIS-V4-019</x:v>
      </x:c>
      <x:c r="C1824" s="87" t="str">
        <x:v>СтатГрад</x:v>
      </x:c>
      <x:c r="D1824" s="87" t="str">
        <x:v>Апрель 2026</x:v>
      </x:c>
      <x:c r="E1824" s="87"/>
      <x:c r="F1824" s="87"/>
      <x:c r="G1824" s="87" t="str">
        <x:v>История</x:v>
      </x:c>
      <x:c r="H1824" s="87" t="n">
        <x:v>11</x:v>
      </x:c>
      <x:c r="I1824" s="87" t="str">
        <x:v>ТР №5</x:v>
      </x:c>
      <x:c r="J1824" s="87" t="str">
        <x:v>ИС2510504</x:v>
      </x:c>
      <x:c r="K1824" s="87" t="n">
        <x:v>19</x:v>
      </x:c>
      <x:c r="L1824" s="87" t="str">
        <x:v>Историческое понятие</x:v>
      </x:c>
      <x:c r="M1824" s="30" t="str">
        <x:v>Раскрыть понятие «бироновщина» и привести один конкретизирующий факт.</x:v>
      </x:c>
      <x:c r="N1824" s="30" t="str">
        <x:v>Бироновщина — название периода царствования Анны Иоанновны, который характеризуется «засильем немцев» в государственном управлении. Название происходит от имени фаворита императрицы Э. И. Бирона.</x:v>
      </x:c>
      <x:c r="O1824" s="30" t="str">
        <x:v>Определение и отдельный факт соответствуют опубликованному критерию.</x:v>
      </x:c>
      <x:c r="P1824" s="30" t="str">
        <x:v>Определение и отдельный факт соответствуют опубликованному критерию.</x:v>
      </x:c>
      <x:c r="Q1824" s="30"/>
      <x:c r="R1824" s="30" t="str">
        <x:v>Полный PDF + опубликованный вариант: https://hist-ege.sdamgia.ru/test?id=5463184</x:v>
      </x:c>
      <x:c r="S1824" s="30"/>
      <x:c r="T1824" s="30"/>
      <x:c r="U1824" s="30" t="str">
        <x:v>Расхождений не обнаружено.</x:v>
      </x:c>
      <x:c r="V1824" s="87" t="str">
        <x:v>VERIFIED</x:v>
      </x:c>
      <x:c r="W1824" s="87" t="str">
        <x:v>PDF варианта</x:v>
      </x:c>
      <x:c r="X1824" s="87"/>
      <x:c r="Y1824" s="87"/>
      <x:c r="Z1824" s="87"/>
      <x:c r="AA1824" s="87"/>
      <x:c r="AB1824" s="87"/>
      <x:c r="AC1824" s="87"/>
      <x:c r="AD1824" s="87"/>
      <x:c r="AE1824" s="87"/>
      <x:c r="AF1824" s="87"/>
      <x:c r="AG1824" s="87"/>
      <x:c r="AH1824" s="87"/>
      <x:c r="AI1824" s="30"/>
      <x:c r="AJ1824" s="87" t="str">
        <x:v>master</x:v>
      </x:c>
      <x:c r="AK1824" s="87" t="str">
        <x:v>master-v0.81</x:v>
      </x:c>
      <x:c r="AL1824" s="87" t="str">
        <x:v>statgrad_master_base_v0_81_final(2).xlsx</x:v>
      </x:c>
      <x:c r="AM1824" s="87" t="str">
        <x:v>HIST_Apr_V4</x:v>
      </x:c>
      <x:c r="AN1824" s="87" t="n">
        <x:v>20</x:v>
      </x:c>
    </x:row>
    <x:row r="1825">
      <x:c r="A1825" s="87" t="n">
        <x:v>1824</x:v>
      </x:c>
      <x:c r="B1825" s="87" t="str">
        <x:v>APR-HIS-V4-020</x:v>
      </x:c>
      <x:c r="C1825" s="87" t="str">
        <x:v>СтатГрад</x:v>
      </x:c>
      <x:c r="D1825" s="87" t="str">
        <x:v>Апрель 2026</x:v>
      </x:c>
      <x:c r="E1825" s="87"/>
      <x:c r="F1825" s="87"/>
      <x:c r="G1825" s="87" t="str">
        <x:v>История</x:v>
      </x:c>
      <x:c r="H1825" s="87" t="n">
        <x:v>11</x:v>
      </x:c>
      <x:c r="I1825" s="87" t="str">
        <x:v>ТР №5</x:v>
      </x:c>
      <x:c r="J1825" s="87" t="str">
        <x:v>ИС2510504</x:v>
      </x:c>
      <x:c r="K1825" s="87" t="n">
        <x:v>20</x:v>
      </x:c>
      <x:c r="L1825" s="87" t="str">
        <x:v>Сравнение исторических периодов</x:v>
      </x:c>
      <x:c r="M1825" s="30" t="str">
        <x:v>Сформулировать сходство политической жизни СССР в 1953–1964 и 1985–1991 гг. и привести два обоснования.</x:v>
      </x:c>
      <x:c r="N1825" s="30" t="str">
        <x:v>Тезис: оба периода характеризовались десталинизацией. 1) В 1956 г. Хрущёв осудил культ личности на XX съезде, а при перестройке критика сталинизма вновь стала публичной и был опубликован его доклад. 2) В 1950-е началась реабилитация жертв репрессий, а в годы перестройки были реабилитированы Бухарин, Зиновьев и другие осуждённые.</x:v>
      </x:c>
      <x:c r="O1825" s="30" t="str">
        <x:v>Тезис и оба обоснования соответствуют опубликованному решению.</x:v>
      </x:c>
      <x:c r="P1825" s="30" t="str">
        <x:v>Тезис и оба обоснования соответствуют опубликованному решению.</x:v>
      </x:c>
      <x:c r="Q1825" s="30"/>
      <x:c r="R1825" s="30" t="str">
        <x:v>Полный PDF + опубликованный вариант: https://hist-ege.sdamgia.ru/test?id=5463184</x:v>
      </x:c>
      <x:c r="S1825" s="30"/>
      <x:c r="T1825" s="30"/>
      <x:c r="U1825" s="30" t="str">
        <x:v>Расхождений не обнаружено.</x:v>
      </x:c>
      <x:c r="V1825" s="87" t="str">
        <x:v>VERIFIED</x:v>
      </x:c>
      <x:c r="W1825" s="87" t="str">
        <x:v>PDF варианта</x:v>
      </x:c>
      <x:c r="X1825" s="87"/>
      <x:c r="Y1825" s="87"/>
      <x:c r="Z1825" s="87"/>
      <x:c r="AA1825" s="87"/>
      <x:c r="AB1825" s="87"/>
      <x:c r="AC1825" s="87"/>
      <x:c r="AD1825" s="87"/>
      <x:c r="AE1825" s="87"/>
      <x:c r="AF1825" s="87"/>
      <x:c r="AG1825" s="87"/>
      <x:c r="AH1825" s="87"/>
      <x:c r="AI1825" s="30"/>
      <x:c r="AJ1825" s="87" t="str">
        <x:v>master</x:v>
      </x:c>
      <x:c r="AK1825" s="87" t="str">
        <x:v>master-v0.81</x:v>
      </x:c>
      <x:c r="AL1825" s="87" t="str">
        <x:v>statgrad_master_base_v0_81_final(2).xlsx</x:v>
      </x:c>
      <x:c r="AM1825" s="87" t="str">
        <x:v>HIST_Apr_V4</x:v>
      </x:c>
      <x:c r="AN1825" s="87" t="n">
        <x:v>21</x:v>
      </x:c>
    </x:row>
    <x:row r="1826">
      <x:c r="A1826" s="87" t="n">
        <x:v>1825</x:v>
      </x:c>
      <x:c r="B1826" s="87" t="str">
        <x:v>APR-HIS-V4-021</x:v>
      </x:c>
      <x:c r="C1826" s="87" t="str">
        <x:v>СтатГрад</x:v>
      </x:c>
      <x:c r="D1826" s="87" t="str">
        <x:v>Апрель 2026</x:v>
      </x:c>
      <x:c r="E1826" s="87"/>
      <x:c r="F1826" s="87"/>
      <x:c r="G1826" s="87" t="str">
        <x:v>История</x:v>
      </x:c>
      <x:c r="H1826" s="87" t="n">
        <x:v>11</x:v>
      </x:c>
      <x:c r="I1826" s="87" t="str">
        <x:v>ТР №5</x:v>
      </x:c>
      <x:c r="J1826" s="87" t="str">
        <x:v>ИС2510504</x:v>
      </x:c>
      <x:c r="K1826" s="87" t="n">
        <x:v>21</x:v>
      </x:c>
      <x:c r="L1826" s="87" t="str">
        <x:v>Аргументация по истории России и Англии</x:v>
      </x:c>
      <x:c r="M1826" s="30" t="str">
        <x:v>Доказать, что связи монархов с иностранцами стали одной из причин народных волнений в России и Англии XVII века.</x:v>
      </x:c>
      <x:c r="N1826" s="30" t="str">
        <x:v>Россия: польское окружение Лжедмитрия I и его брак с католичкой Мариной Мнишек вызвали недовольство москвичей и восстание 1606 г., в котором царь был убит. Англия: брак Карла I с французской католичкой Генриеттой Марией вызвал страх усиления католицизма и стал одной из причин революционного недовольства.</x:v>
      </x:c>
      <x:c r="O1826" s="30" t="str">
        <x:v>Оба аргумента совпадают с опубликованной моделью ответа.</x:v>
      </x:c>
      <x:c r="P1826" s="30" t="str">
        <x:v>Оба аргумента совпадают с опубликованной моделью ответа.</x:v>
      </x:c>
      <x:c r="Q1826" s="30"/>
      <x:c r="R1826" s="30" t="str">
        <x:v>Полный PDF + опубликованный вариант: https://hist-ege.sdamgia.ru/test?id=5463184</x:v>
      </x:c>
      <x:c r="S1826" s="30"/>
      <x:c r="T1826" s="30"/>
      <x:c r="U1826" s="30" t="str">
        <x:v>Расхождений не обнаружено.</x:v>
      </x:c>
      <x:c r="V1826" s="87" t="str">
        <x:v>VERIFIED</x:v>
      </x:c>
      <x:c r="W1826" s="87" t="str">
        <x:v>PDF варианта</x:v>
      </x:c>
      <x:c r="X1826" s="87"/>
      <x:c r="Y1826" s="87"/>
      <x:c r="Z1826" s="87"/>
      <x:c r="AA1826" s="87"/>
      <x:c r="AB1826" s="87"/>
      <x:c r="AC1826" s="87"/>
      <x:c r="AD1826" s="87"/>
      <x:c r="AE1826" s="87"/>
      <x:c r="AF1826" s="87"/>
      <x:c r="AG1826" s="87"/>
      <x:c r="AH1826" s="87"/>
      <x:c r="AI1826" s="30"/>
      <x:c r="AJ1826" s="87" t="str">
        <x:v>master</x:v>
      </x:c>
      <x:c r="AK1826" s="87" t="str">
        <x:v>master-v0.81</x:v>
      </x:c>
      <x:c r="AL1826" s="87" t="str">
        <x:v>statgrad_master_base_v0_81_final(2).xlsx</x:v>
      </x:c>
      <x:c r="AM1826" s="87" t="str">
        <x:v>HIST_Apr_V4</x:v>
      </x:c>
      <x:c r="AN1826" s="87" t="n">
        <x:v>22</x:v>
      </x:c>
    </x:row>
    <x:row r="1827">
      <x:c r="A1827" s="87" t="n">
        <x:v>1826</x:v>
      </x:c>
      <x:c r="B1827" s="87" t="str">
        <x:v>APR-INF-V1-001</x:v>
      </x:c>
      <x:c r="C1827" s="87" t="str">
        <x:v>СтатГрад</x:v>
      </x:c>
      <x:c r="D1827" s="87" t="str">
        <x:v>Апрель 2026</x:v>
      </x:c>
      <x:c r="E1827" s="87"/>
      <x:c r="F1827" s="87"/>
      <x:c r="G1827" s="87" t="str">
        <x:v>Информатика</x:v>
      </x:c>
      <x:c r="H1827" s="87" t="n">
        <x:v>11</x:v>
      </x:c>
      <x:c r="I1827" s="87" t="str">
        <x:v>ТР №5</x:v>
      </x:c>
      <x:c r="J1827" s="87" t="str">
        <x:v>ИН2510501</x:v>
      </x:c>
      <x:c r="K1827" s="87" t="n">
        <x:v>1</x:v>
      </x:c>
      <x:c r="L1827" s="87" t="str">
        <x:v>Граф и таблица дорог</x:v>
      </x:c>
      <x:c r="M1827" s="30" t="str">
        <x:v>По схеме дорог и таблице смежности определить номера населённых пунктов B и G.</x:v>
      </x:c>
      <x:c r="N1827" s="30" t="str">
        <x:v>36</x:v>
      </x:c>
      <x:c r="O1827" s="30" t="str">
        <x:v>Степени вершин и связи их соседей однозначно сопоставляют B и G с номерами 3 и 6.</x:v>
      </x:c>
      <x:c r="P1827" s="30" t="str">
        <x:v>Степени вершин и связи их соседей однозначно сопоставляют B и G с номерами 3 и 6.</x:v>
      </x:c>
      <x:c r="Q1827" s="30"/>
      <x:c r="R1827" s="30" t="str">
        <x:v>Полный PDF + независимое решение</x:v>
      </x:c>
      <x:c r="S1827" s="30"/>
      <x:c r="T1827" s="30"/>
      <x:c r="U1827" s="30" t="str">
        <x:v>Расхождений не обнаружено.</x:v>
      </x:c>
      <x:c r="V1827" s="87" t="str">
        <x:v>VERIFIED</x:v>
      </x:c>
      <x:c r="W1827" s="87" t="str">
        <x:v>PDF, задание 1</x:v>
      </x:c>
      <x:c r="X1827" s="87"/>
      <x:c r="Y1827" s="87"/>
      <x:c r="Z1827" s="87"/>
      <x:c r="AA1827" s="87"/>
      <x:c r="AB1827" s="87"/>
      <x:c r="AC1827" s="87"/>
      <x:c r="AD1827" s="87"/>
      <x:c r="AE1827" s="87"/>
      <x:c r="AF1827" s="87"/>
      <x:c r="AG1827" s="87"/>
      <x:c r="AH1827" s="87"/>
      <x:c r="AI1827" s="30"/>
      <x:c r="AJ1827" s="87" t="str">
        <x:v>master</x:v>
      </x:c>
      <x:c r="AK1827" s="87" t="str">
        <x:v>master-v0.81</x:v>
      </x:c>
      <x:c r="AL1827" s="87" t="str">
        <x:v>statgrad_master_base_v0_81_final(2).xlsx</x:v>
      </x:c>
      <x:c r="AM1827" s="87" t="str">
        <x:v>INF_Apr_V1</x:v>
      </x:c>
      <x:c r="AN1827" s="87" t="n">
        <x:v>2</x:v>
      </x:c>
    </x:row>
    <x:row r="1828">
      <x:c r="A1828" s="87" t="n">
        <x:v>1827</x:v>
      </x:c>
      <x:c r="B1828" s="87" t="str">
        <x:v>APR-INF-V1-002</x:v>
      </x:c>
      <x:c r="C1828" s="87" t="str">
        <x:v>СтатГрад</x:v>
      </x:c>
      <x:c r="D1828" s="87" t="str">
        <x:v>Апрель 2026</x:v>
      </x:c>
      <x:c r="E1828" s="87"/>
      <x:c r="F1828" s="87"/>
      <x:c r="G1828" s="87" t="str">
        <x:v>Информатика</x:v>
      </x:c>
      <x:c r="H1828" s="87" t="n">
        <x:v>11</x:v>
      </x:c>
      <x:c r="I1828" s="87" t="str">
        <x:v>ТР №5</x:v>
      </x:c>
      <x:c r="J1828" s="87" t="str">
        <x:v>ИН2510501</x:v>
      </x:c>
      <x:c r="K1828" s="87" t="n">
        <x:v>2</x:v>
      </x:c>
      <x:c r="L1828" s="87" t="str">
        <x:v>Таблица истинности</x:v>
      </x:c>
      <x:c r="M1828" s="30" t="str">
        <x:v>Восстановить порядок переменных w, x, y, z по фрагменту таблицы истинности функции.</x:v>
      </x:c>
      <x:c r="N1828" s="30" t="str">
        <x:v>xwyz</x:v>
      </x:c>
      <x:c r="O1828" s="30" t="str">
        <x:v>Перебраны перестановки четырёх переменных; единственный согласованный порядок столбцов — x, w, y, z.</x:v>
      </x:c>
      <x:c r="P1828" s="30" t="str">
        <x:v>Перебраны перестановки четырёх переменных; единственный согласованный порядок столбцов — x, w, y, z.</x:v>
      </x:c>
      <x:c r="Q1828" s="30"/>
      <x:c r="R1828" s="30" t="str">
        <x:v>Полный PDF + независимое решение</x:v>
      </x:c>
      <x:c r="S1828" s="30"/>
      <x:c r="T1828" s="30"/>
      <x:c r="U1828" s="30" t="str">
        <x:v>Расхождений не обнаружено.</x:v>
      </x:c>
      <x:c r="V1828" s="87" t="str">
        <x:v>VERIFIED</x:v>
      </x:c>
      <x:c r="W1828" s="87" t="str">
        <x:v>PDF, задание 2</x:v>
      </x:c>
      <x:c r="X1828" s="87"/>
      <x:c r="Y1828" s="87"/>
      <x:c r="Z1828" s="87"/>
      <x:c r="AA1828" s="87"/>
      <x:c r="AB1828" s="87"/>
      <x:c r="AC1828" s="87"/>
      <x:c r="AD1828" s="87"/>
      <x:c r="AE1828" s="87"/>
      <x:c r="AF1828" s="87"/>
      <x:c r="AG1828" s="87"/>
      <x:c r="AH1828" s="87"/>
      <x:c r="AI1828" s="30"/>
      <x:c r="AJ1828" s="87" t="str">
        <x:v>master</x:v>
      </x:c>
      <x:c r="AK1828" s="87" t="str">
        <x:v>master-v0.81</x:v>
      </x:c>
      <x:c r="AL1828" s="87" t="str">
        <x:v>statgrad_master_base_v0_81_final(2).xlsx</x:v>
      </x:c>
      <x:c r="AM1828" s="87" t="str">
        <x:v>INF_Apr_V1</x:v>
      </x:c>
      <x:c r="AN1828" s="87" t="n">
        <x:v>3</x:v>
      </x:c>
    </x:row>
    <x:row r="1829">
      <x:c r="A1829" s="87" t="n">
        <x:v>1828</x:v>
      </x:c>
      <x:c r="B1829" s="87" t="str">
        <x:v>APR-INF-V1-003</x:v>
      </x:c>
      <x:c r="C1829" s="87" t="str">
        <x:v>СтатГрад</x:v>
      </x:c>
      <x:c r="D1829" s="87" t="str">
        <x:v>Апрель 2026</x:v>
      </x:c>
      <x:c r="E1829" s="87"/>
      <x:c r="F1829" s="87"/>
      <x:c r="G1829" s="87" t="str">
        <x:v>Информатика</x:v>
      </x:c>
      <x:c r="H1829" s="87" t="n">
        <x:v>11</x:v>
      </x:c>
      <x:c r="I1829" s="87" t="str">
        <x:v>ТР №5</x:v>
      </x:c>
      <x:c r="J1829" s="87" t="str">
        <x:v>ИН2510501</x:v>
      </x:c>
      <x:c r="K1829" s="87" t="n">
        <x:v>3</x:v>
      </x:c>
      <x:c r="L1829" s="87" t="str">
        <x:v>Реляционная база данных</x:v>
      </x:c>
      <x:c r="M1829" s="30" t="str">
        <x:v>По таблицам театра найти выручку за детские билеты на утренние комедии режиссёра Мухиной В. Д. в заданном диапазоне дат.</x:v>
      </x:c>
      <x:c r="N1829" s="30" t="str">
        <x:v>6700</x:v>
      </x:c>
      <x:c r="O1829" s="30" t="str">
        <x:v>Связаны таблицы продаж, тарифов и спектаклей; применены фильтры по дате покупки 08.02–04.08, утреннему тарифу, жанру «комедия» и режиссёру Мухиной В. Д.; просуммирована детская выручка.</x:v>
      </x:c>
      <x:c r="P1829" s="30" t="str">
        <x:v>Повторный пересчёт всех подходящих операций ODS воспроизводит 6700.</x:v>
      </x:c>
      <x:c r="Q1829" s="30"/>
      <x:c r="R1829" s="30" t="str">
        <x:v>3.ods + полный PDF + независимый пересчёт</x:v>
      </x:c>
      <x:c r="S1829" s="30"/>
      <x:c r="T1829" s="30"/>
      <x:c r="U1829" s="30" t="str">
        <x:v>Публичный ответ подтверждён.</x:v>
      </x:c>
      <x:c r="V1829" s="87" t="str">
        <x:v>VERIFIED</x:v>
      </x:c>
      <x:c r="W1829" s="87" t="str">
        <x:v>PDF, задание 3</x:v>
      </x:c>
      <x:c r="X1829" s="87"/>
      <x:c r="Y1829" s="87"/>
      <x:c r="Z1829" s="87"/>
      <x:c r="AA1829" s="87"/>
      <x:c r="AB1829" s="87"/>
      <x:c r="AC1829" s="87"/>
      <x:c r="AD1829" s="87"/>
      <x:c r="AE1829" s="87"/>
      <x:c r="AF1829" s="87"/>
      <x:c r="AG1829" s="87"/>
      <x:c r="AH1829" s="87"/>
      <x:c r="AI1829" s="30"/>
      <x:c r="AJ1829" s="87" t="str">
        <x:v>master</x:v>
      </x:c>
      <x:c r="AK1829" s="87" t="str">
        <x:v>master-v0.81</x:v>
      </x:c>
      <x:c r="AL1829" s="87" t="str">
        <x:v>statgrad_master_base_v0_81_final(2).xlsx</x:v>
      </x:c>
      <x:c r="AM1829" s="87" t="str">
        <x:v>INF_Apr_V1</x:v>
      </x:c>
      <x:c r="AN1829" s="87" t="n">
        <x:v>4</x:v>
      </x:c>
    </x:row>
    <x:row r="1830">
      <x:c r="A1830" s="87" t="n">
        <x:v>1829</x:v>
      </x:c>
      <x:c r="B1830" s="87" t="str">
        <x:v>APR-INF-V1-004</x:v>
      </x:c>
      <x:c r="C1830" s="87" t="str">
        <x:v>СтатГрад</x:v>
      </x:c>
      <x:c r="D1830" s="87" t="str">
        <x:v>Апрель 2026</x:v>
      </x:c>
      <x:c r="E1830" s="87"/>
      <x:c r="F1830" s="87"/>
      <x:c r="G1830" s="87" t="str">
        <x:v>Информатика</x:v>
      </x:c>
      <x:c r="H1830" s="87" t="n">
        <x:v>11</x:v>
      </x:c>
      <x:c r="I1830" s="87" t="str">
        <x:v>ТР №5</x:v>
      </x:c>
      <x:c r="J1830" s="87" t="str">
        <x:v>ИН2510501</x:v>
      </x:c>
      <x:c r="K1830" s="87" t="n">
        <x:v>4</x:v>
      </x:c>
      <x:c r="L1830" s="87" t="str">
        <x:v>Кодирование по условию Фано</x:v>
      </x:c>
      <x:c r="M1830" s="30" t="str">
        <x:v>Дополнить двоичный код букв Е, К, Р, Я так, чтобы слово «ПЕРЕКРЕСТОК» имело минимальную длину; найти сумму длин четырёх кодов.</x:v>
      </x:c>
      <x:c r="N1830" s="30" t="str">
        <x:v>13</x:v>
      </x:c>
      <x:c r="O1830" s="30" t="str">
        <x:v>Свободные ветви префиксного дерева распределяются с учётом частот букв слова; минимальная сумма длин равна 13.</x:v>
      </x:c>
      <x:c r="P1830" s="30" t="str">
        <x:v>Свободные ветви префиксного дерева распределяются с учётом частот букв слова; минимальная сумма длин равна 13.</x:v>
      </x:c>
      <x:c r="Q1830" s="30"/>
      <x:c r="R1830" s="30" t="str">
        <x:v>Полный PDF + независимое решение</x:v>
      </x:c>
      <x:c r="S1830" s="30"/>
      <x:c r="T1830" s="30"/>
      <x:c r="U1830" s="30" t="str">
        <x:v>Расхождений не обнаружено.</x:v>
      </x:c>
      <x:c r="V1830" s="87" t="str">
        <x:v>VERIFIED</x:v>
      </x:c>
      <x:c r="W1830" s="87" t="str">
        <x:v>PDF, задание 4</x:v>
      </x:c>
      <x:c r="X1830" s="87"/>
      <x:c r="Y1830" s="87"/>
      <x:c r="Z1830" s="87"/>
      <x:c r="AA1830" s="87"/>
      <x:c r="AB1830" s="87"/>
      <x:c r="AC1830" s="87"/>
      <x:c r="AD1830" s="87"/>
      <x:c r="AE1830" s="87"/>
      <x:c r="AF1830" s="87"/>
      <x:c r="AG1830" s="87"/>
      <x:c r="AH1830" s="87"/>
      <x:c r="AI1830" s="30"/>
      <x:c r="AJ1830" s="87" t="str">
        <x:v>master</x:v>
      </x:c>
      <x:c r="AK1830" s="87" t="str">
        <x:v>master-v0.81</x:v>
      </x:c>
      <x:c r="AL1830" s="87" t="str">
        <x:v>statgrad_master_base_v0_81_final(2).xlsx</x:v>
      </x:c>
      <x:c r="AM1830" s="87" t="str">
        <x:v>INF_Apr_V1</x:v>
      </x:c>
      <x:c r="AN1830" s="87" t="n">
        <x:v>5</x:v>
      </x:c>
    </x:row>
    <x:row r="1831">
      <x:c r="A1831" s="87" t="n">
        <x:v>1830</x:v>
      </x:c>
      <x:c r="B1831" s="87" t="str">
        <x:v>APR-INF-V1-005</x:v>
      </x:c>
      <x:c r="C1831" s="87" t="str">
        <x:v>СтатГрад</x:v>
      </x:c>
      <x:c r="D1831" s="87" t="str">
        <x:v>Апрель 2026</x:v>
      </x:c>
      <x:c r="E1831" s="87"/>
      <x:c r="F1831" s="87"/>
      <x:c r="G1831" s="87" t="str">
        <x:v>Информатика</x:v>
      </x:c>
      <x:c r="H1831" s="87" t="n">
        <x:v>11</x:v>
      </x:c>
      <x:c r="I1831" s="87" t="str">
        <x:v>ТР №5</x:v>
      </x:c>
      <x:c r="J1831" s="87" t="str">
        <x:v>ИН2510501</x:v>
      </x:c>
      <x:c r="K1831" s="87" t="n">
        <x:v>5</x:v>
      </x:c>
      <x:c r="L1831" s="87" t="str">
        <x:v>Двоичный алгоритм</x:v>
      </x:c>
      <x:c r="M1831" s="30" t="str">
        <x:v>Найти N, для которого описанное преобразование двоичной записи даёт максимальное R&lt;744.</x:v>
      </x:c>
      <x:c r="N1831" s="30" t="str">
        <x:v>627</x:v>
      </x:c>
      <x:c r="O1831" s="30" t="str">
        <x:v>Полный перебор натуральных N по заданному алгоритму даёт максимальное допустимое R при N=627.</x:v>
      </x:c>
      <x:c r="P1831" s="30" t="str">
        <x:v>Полный перебор натуральных N по заданному алгоритму даёт максимальное допустимое R при N=627.</x:v>
      </x:c>
      <x:c r="Q1831" s="30"/>
      <x:c r="R1831" s="30" t="str">
        <x:v>Полный PDF + независимое решение</x:v>
      </x:c>
      <x:c r="S1831" s="30"/>
      <x:c r="T1831" s="30"/>
      <x:c r="U1831" s="30" t="str">
        <x:v>Расхождений не обнаружено.</x:v>
      </x:c>
      <x:c r="V1831" s="87" t="str">
        <x:v>VERIFIED</x:v>
      </x:c>
      <x:c r="W1831" s="87" t="str">
        <x:v>PDF, задание 5</x:v>
      </x:c>
      <x:c r="X1831" s="87"/>
      <x:c r="Y1831" s="87"/>
      <x:c r="Z1831" s="87"/>
      <x:c r="AA1831" s="87"/>
      <x:c r="AB1831" s="87"/>
      <x:c r="AC1831" s="87"/>
      <x:c r="AD1831" s="87"/>
      <x:c r="AE1831" s="87"/>
      <x:c r="AF1831" s="87"/>
      <x:c r="AG1831" s="87"/>
      <x:c r="AH1831" s="87"/>
      <x:c r="AI1831" s="30"/>
      <x:c r="AJ1831" s="87" t="str">
        <x:v>master</x:v>
      </x:c>
      <x:c r="AK1831" s="87" t="str">
        <x:v>master-v0.81</x:v>
      </x:c>
      <x:c r="AL1831" s="87" t="str">
        <x:v>statgrad_master_base_v0_81_final(2).xlsx</x:v>
      </x:c>
      <x:c r="AM1831" s="87" t="str">
        <x:v>INF_Apr_V1</x:v>
      </x:c>
      <x:c r="AN1831" s="87" t="n">
        <x:v>6</x:v>
      </x:c>
    </x:row>
    <x:row r="1832">
      <x:c r="A1832" s="87" t="n">
        <x:v>1831</x:v>
      </x:c>
      <x:c r="B1832" s="87" t="str">
        <x:v>APR-INF-V1-006</x:v>
      </x:c>
      <x:c r="C1832" s="87" t="str">
        <x:v>СтатГрад</x:v>
      </x:c>
      <x:c r="D1832" s="87" t="str">
        <x:v>Апрель 2026</x:v>
      </x:c>
      <x:c r="E1832" s="87"/>
      <x:c r="F1832" s="87"/>
      <x:c r="G1832" s="87" t="str">
        <x:v>Информатика</x:v>
      </x:c>
      <x:c r="H1832" s="87" t="n">
        <x:v>11</x:v>
      </x:c>
      <x:c r="I1832" s="87" t="str">
        <x:v>ТР №5</x:v>
      </x:c>
      <x:c r="J1832" s="87" t="str">
        <x:v>ИН2510501</x:v>
      </x:c>
      <x:c r="K1832" s="87" t="n">
        <x:v>6</x:v>
      </x:c>
      <x:c r="L1832" s="87" t="str">
        <x:v>Исполнитель Черепаха</x:v>
      </x:c>
      <x:c r="M1832" s="30" t="str">
        <x:v>Выполнить восьмикратный цикл с отрезками 95 и 83 и поворотами 135° и 45°; найти площадь фигуры.</x:v>
      </x:c>
      <x:c r="N1832" s="30" t="str">
        <x:v>5576</x:v>
      </x:c>
      <x:c r="O1832" s="30" t="str">
        <x:v>Координаты вершин восстановлены по векторным перемещениям; площадь многоугольника округляется до 5576.</x:v>
      </x:c>
      <x:c r="P1832" s="30" t="str">
        <x:v>Координаты вершин восстановлены по векторным перемещениям; площадь многоугольника округляется до 5576.</x:v>
      </x:c>
      <x:c r="Q1832" s="30"/>
      <x:c r="R1832" s="30" t="str">
        <x:v>Полный PDF + независимое решение</x:v>
      </x:c>
      <x:c r="S1832" s="30"/>
      <x:c r="T1832" s="30"/>
      <x:c r="U1832" s="30" t="str">
        <x:v>Расхождений не обнаружено.</x:v>
      </x:c>
      <x:c r="V1832" s="87" t="str">
        <x:v>VERIFIED</x:v>
      </x:c>
      <x:c r="W1832" s="87" t="str">
        <x:v>PDF, задание 6</x:v>
      </x:c>
      <x:c r="X1832" s="87"/>
      <x:c r="Y1832" s="87"/>
      <x:c r="Z1832" s="87"/>
      <x:c r="AA1832" s="87"/>
      <x:c r="AB1832" s="87"/>
      <x:c r="AC1832" s="87"/>
      <x:c r="AD1832" s="87"/>
      <x:c r="AE1832" s="87"/>
      <x:c r="AF1832" s="87"/>
      <x:c r="AG1832" s="87"/>
      <x:c r="AH1832" s="87"/>
      <x:c r="AI1832" s="30"/>
      <x:c r="AJ1832" s="87" t="str">
        <x:v>master</x:v>
      </x:c>
      <x:c r="AK1832" s="87" t="str">
        <x:v>master-v0.81</x:v>
      </x:c>
      <x:c r="AL1832" s="87" t="str">
        <x:v>statgrad_master_base_v0_81_final(2).xlsx</x:v>
      </x:c>
      <x:c r="AM1832" s="87" t="str">
        <x:v>INF_Apr_V1</x:v>
      </x:c>
      <x:c r="AN1832" s="87" t="n">
        <x:v>7</x:v>
      </x:c>
    </x:row>
    <x:row r="1833">
      <x:c r="A1833" s="87" t="n">
        <x:v>1832</x:v>
      </x:c>
      <x:c r="B1833" s="87" t="str">
        <x:v>APR-INF-V1-007</x:v>
      </x:c>
      <x:c r="C1833" s="87" t="str">
        <x:v>СтатГрад</x:v>
      </x:c>
      <x:c r="D1833" s="87" t="str">
        <x:v>Апрель 2026</x:v>
      </x:c>
      <x:c r="E1833" s="87"/>
      <x:c r="F1833" s="87"/>
      <x:c r="G1833" s="87" t="str">
        <x:v>Информатика</x:v>
      </x:c>
      <x:c r="H1833" s="87" t="n">
        <x:v>11</x:v>
      </x:c>
      <x:c r="I1833" s="87" t="str">
        <x:v>ТР №5</x:v>
      </x:c>
      <x:c r="J1833" s="87" t="str">
        <x:v>ИН2510501</x:v>
      </x:c>
      <x:c r="K1833" s="87" t="n">
        <x:v>7</x:v>
      </x:c>
      <x:c r="L1833" s="87" t="str">
        <x:v>Объём растровых изображений</x:v>
      </x:c>
      <x:c r="M1833" s="30" t="str">
        <x:v>Найти экономию трафика при повторном кодировании 1 348 897 фотографий 8000×6000 в 320×240 с глубиной 7 бит.</x:v>
      </x:c>
      <x:c r="N1833" s="30" t="str">
        <x:v>135591</x:v>
      </x:c>
      <x:c r="O1833" s="30" t="str">
        <x:v>Исходное изображение требует 18 бит на пиксель, новое — 7 бит; разность объёмов для всех файлов даёт целую часть 135591 Гбайт.</x:v>
      </x:c>
      <x:c r="P1833" s="30" t="str">
        <x:v>Исходное изображение требует 18 бит на пиксель, новое — 7 бит; разность объёмов для всех файлов даёт целую часть 135591 Гбайт.</x:v>
      </x:c>
      <x:c r="Q1833" s="30"/>
      <x:c r="R1833" s="30" t="str">
        <x:v>Полный PDF + независимое решение</x:v>
      </x:c>
      <x:c r="S1833" s="30"/>
      <x:c r="T1833" s="30"/>
      <x:c r="U1833" s="30" t="str">
        <x:v>Расхождений не обнаружено.</x:v>
      </x:c>
      <x:c r="V1833" s="87" t="str">
        <x:v>VERIFIED</x:v>
      </x:c>
      <x:c r="W1833" s="87" t="str">
        <x:v>PDF, задание 7</x:v>
      </x:c>
      <x:c r="X1833" s="87"/>
      <x:c r="Y1833" s="87"/>
      <x:c r="Z1833" s="87"/>
      <x:c r="AA1833" s="87"/>
      <x:c r="AB1833" s="87"/>
      <x:c r="AC1833" s="87"/>
      <x:c r="AD1833" s="87"/>
      <x:c r="AE1833" s="87"/>
      <x:c r="AF1833" s="87"/>
      <x:c r="AG1833" s="87"/>
      <x:c r="AH1833" s="87"/>
      <x:c r="AI1833" s="30"/>
      <x:c r="AJ1833" s="87" t="str">
        <x:v>master</x:v>
      </x:c>
      <x:c r="AK1833" s="87" t="str">
        <x:v>master-v0.81</x:v>
      </x:c>
      <x:c r="AL1833" s="87" t="str">
        <x:v>statgrad_master_base_v0_81_final(2).xlsx</x:v>
      </x:c>
      <x:c r="AM1833" s="87" t="str">
        <x:v>INF_Apr_V1</x:v>
      </x:c>
      <x:c r="AN1833" s="87" t="n">
        <x:v>8</x:v>
      </x:c>
    </x:row>
    <x:row r="1834">
      <x:c r="A1834" s="87" t="n">
        <x:v>1833</x:v>
      </x:c>
      <x:c r="B1834" s="87" t="str">
        <x:v>APR-INF-V1-008</x:v>
      </x:c>
      <x:c r="C1834" s="87" t="str">
        <x:v>СтатГрад</x:v>
      </x:c>
      <x:c r="D1834" s="87" t="str">
        <x:v>Апрель 2026</x:v>
      </x:c>
      <x:c r="E1834" s="87"/>
      <x:c r="F1834" s="87"/>
      <x:c r="G1834" s="87" t="str">
        <x:v>Информатика</x:v>
      </x:c>
      <x:c r="H1834" s="87" t="n">
        <x:v>11</x:v>
      </x:c>
      <x:c r="I1834" s="87" t="str">
        <x:v>ТР №5</x:v>
      </x:c>
      <x:c r="J1834" s="87" t="str">
        <x:v>ИН2510501</x:v>
      </x:c>
      <x:c r="K1834" s="87" t="n">
        <x:v>8</x:v>
      </x:c>
      <x:c r="L1834" s="87" t="str">
        <x:v>Комбинаторика систем счисления</x:v>
      </x:c>
      <x:c r="M1834" s="30" t="str">
        <x:v>Посчитать четырёхзначные шестнадцатеричные числа с ровно одной цифрой D, рядом с которой нет нечётных цифр.</x:v>
      </x:c>
      <x:c r="N1834" s="30" t="str">
        <x:v>5216</x:v>
      </x:c>
      <x:c r="O1834" s="30" t="str">
        <x:v>Позиция D и допустимые соседние/несоседние цифры подсчитаны по случаям с учётом ненулевого старшего разряда.</x:v>
      </x:c>
      <x:c r="P1834" s="30" t="str">
        <x:v>Позиция D и допустимые соседние/несоседние цифры подсчитаны по случаям с учётом ненулевого старшего разряда.</x:v>
      </x:c>
      <x:c r="Q1834" s="30"/>
      <x:c r="R1834" s="30" t="str">
        <x:v>Полный PDF + независимое решение</x:v>
      </x:c>
      <x:c r="S1834" s="30"/>
      <x:c r="T1834" s="30"/>
      <x:c r="U1834" s="30" t="str">
        <x:v>Расхождений не обнаружено.</x:v>
      </x:c>
      <x:c r="V1834" s="87" t="str">
        <x:v>VERIFIED</x:v>
      </x:c>
      <x:c r="W1834" s="87" t="str">
        <x:v>PDF, задание 8</x:v>
      </x:c>
      <x:c r="X1834" s="87"/>
      <x:c r="Y1834" s="87"/>
      <x:c r="Z1834" s="87"/>
      <x:c r="AA1834" s="87"/>
      <x:c r="AB1834" s="87"/>
      <x:c r="AC1834" s="87"/>
      <x:c r="AD1834" s="87"/>
      <x:c r="AE1834" s="87"/>
      <x:c r="AF1834" s="87"/>
      <x:c r="AG1834" s="87"/>
      <x:c r="AH1834" s="87"/>
      <x:c r="AI1834" s="30"/>
      <x:c r="AJ1834" s="87" t="str">
        <x:v>master</x:v>
      </x:c>
      <x:c r="AK1834" s="87" t="str">
        <x:v>master-v0.81</x:v>
      </x:c>
      <x:c r="AL1834" s="87" t="str">
        <x:v>statgrad_master_base_v0_81_final(2).xlsx</x:v>
      </x:c>
      <x:c r="AM1834" s="87" t="str">
        <x:v>INF_Apr_V1</x:v>
      </x:c>
      <x:c r="AN1834" s="87" t="n">
        <x:v>9</x:v>
      </x:c>
    </x:row>
    <x:row r="1835">
      <x:c r="A1835" s="87" t="n">
        <x:v>1834</x:v>
      </x:c>
      <x:c r="B1835" s="87" t="str">
        <x:v>APR-INF-V1-009</x:v>
      </x:c>
      <x:c r="C1835" s="87" t="str">
        <x:v>СтатГрад</x:v>
      </x:c>
      <x:c r="D1835" s="87" t="str">
        <x:v>Апрель 2026</x:v>
      </x:c>
      <x:c r="E1835" s="87"/>
      <x:c r="F1835" s="87"/>
      <x:c r="G1835" s="87" t="str">
        <x:v>Информатика</x:v>
      </x:c>
      <x:c r="H1835" s="87" t="n">
        <x:v>11</x:v>
      </x:c>
      <x:c r="I1835" s="87" t="str">
        <x:v>ТР №5</x:v>
      </x:c>
      <x:c r="J1835" s="87" t="str">
        <x:v>ИН2510501</x:v>
      </x:c>
      <x:c r="K1835" s="87" t="n">
        <x:v>9</x:v>
      </x:c>
      <x:c r="L1835" s="87" t="str">
        <x:v>Обработка электронной таблицы</x:v>
      </x:c>
      <x:c r="M1835" s="30" t="str">
        <x:v>Найти сумму номеров строк, где одно число повторяется четыре раза, остальные различны и строка неубывает.</x:v>
      </x:c>
      <x:c r="N1835" s="30" t="str">
        <x:v>1891670</x:v>
      </x:c>
      <x:c r="O1835" s="30" t="str">
        <x:v>Отобраны строки из семи чисел: одно значение встречается ровно 4 раза, остальные различны, строка неубывает; суммированы номера строк.</x:v>
      </x:c>
      <x:c r="P1835" s="30" t="str">
        <x:v>Независимый программный проход по всей таблице даёт 1891670.</x:v>
      </x:c>
      <x:c r="Q1835" s="30"/>
      <x:c r="R1835" s="30" t="str">
        <x:v>9.ods + полный PDF + независимый пересчёт</x:v>
      </x:c>
      <x:c r="S1835" s="30"/>
      <x:c r="T1835" s="30"/>
      <x:c r="U1835" s="30" t="str">
        <x:v>Публичный ответ подтверждён.</x:v>
      </x:c>
      <x:c r="V1835" s="87" t="str">
        <x:v>VERIFIED</x:v>
      </x:c>
      <x:c r="W1835" s="87" t="str">
        <x:v>PDF, задание 9</x:v>
      </x:c>
      <x:c r="X1835" s="87"/>
      <x:c r="Y1835" s="87"/>
      <x:c r="Z1835" s="87"/>
      <x:c r="AA1835" s="87"/>
      <x:c r="AB1835" s="87"/>
      <x:c r="AC1835" s="87"/>
      <x:c r="AD1835" s="87"/>
      <x:c r="AE1835" s="87"/>
      <x:c r="AF1835" s="87"/>
      <x:c r="AG1835" s="87"/>
      <x:c r="AH1835" s="87"/>
      <x:c r="AI1835" s="30"/>
      <x:c r="AJ1835" s="87" t="str">
        <x:v>master</x:v>
      </x:c>
      <x:c r="AK1835" s="87" t="str">
        <x:v>master-v0.81</x:v>
      </x:c>
      <x:c r="AL1835" s="87" t="str">
        <x:v>statgrad_master_base_v0_81_final(2).xlsx</x:v>
      </x:c>
      <x:c r="AM1835" s="87" t="str">
        <x:v>INF_Apr_V1</x:v>
      </x:c>
      <x:c r="AN1835" s="87" t="n">
        <x:v>10</x:v>
      </x:c>
    </x:row>
    <x:row r="1836">
      <x:c r="A1836" s="87" t="n">
        <x:v>1835</x:v>
      </x:c>
      <x:c r="B1836" s="87" t="str">
        <x:v>APR-INF-V1-010</x:v>
      </x:c>
      <x:c r="C1836" s="87" t="str">
        <x:v>СтатГрад</x:v>
      </x:c>
      <x:c r="D1836" s="87" t="str">
        <x:v>Апрель 2026</x:v>
      </x:c>
      <x:c r="E1836" s="87"/>
      <x:c r="F1836" s="87"/>
      <x:c r="G1836" s="87" t="str">
        <x:v>Информатика</x:v>
      </x:c>
      <x:c r="H1836" s="87" t="n">
        <x:v>11</x:v>
      </x:c>
      <x:c r="I1836" s="87" t="str">
        <x:v>ТР №5</x:v>
      </x:c>
      <x:c r="J1836" s="87" t="str">
        <x:v>ИН2510501</x:v>
      </x:c>
      <x:c r="K1836" s="87" t="n">
        <x:v>10</x:v>
      </x:c>
      <x:c r="L1836" s="87" t="str">
        <x:v>Поиск в тексте</x:v>
      </x:c>
      <x:c r="M1836" s="30" t="str">
        <x:v>В тексте «Отцов и детей» посчитать сочетание «ка» непосредственно до или после дефиса.</x:v>
      </x:c>
      <x:c r="N1836" s="30" t="str">
        <x:v>19</x:v>
      </x:c>
      <x:c r="O1836" s="30" t="str">
        <x:v>В точном тексте приложения посчитаны строчные сочетания «ка», непосредственно стоящие до или после дефиса; регистр учитывается.</x:v>
      </x:c>
      <x:c r="P1836" s="30" t="str">
        <x:v>Два независимых регулярных выражения дают одинаковый результат 19.</x:v>
      </x:c>
      <x:c r="Q1836" s="30"/>
      <x:c r="R1836" s="30" t="str">
        <x:v>10.odt + полный PDF + независимый пересчёт</x:v>
      </x:c>
      <x:c r="S1836" s="30"/>
      <x:c r="T1836" s="30"/>
      <x:c r="U1836" s="30" t="str">
        <x:v>Публичный ответ подтверждён.</x:v>
      </x:c>
      <x:c r="V1836" s="87" t="str">
        <x:v>VERIFIED</x:v>
      </x:c>
      <x:c r="W1836" s="87" t="str">
        <x:v>PDF, задание 10</x:v>
      </x:c>
      <x:c r="X1836" s="87"/>
      <x:c r="Y1836" s="87"/>
      <x:c r="Z1836" s="87"/>
      <x:c r="AA1836" s="87"/>
      <x:c r="AB1836" s="87"/>
      <x:c r="AC1836" s="87"/>
      <x:c r="AD1836" s="87"/>
      <x:c r="AE1836" s="87"/>
      <x:c r="AF1836" s="87"/>
      <x:c r="AG1836" s="87"/>
      <x:c r="AH1836" s="87"/>
      <x:c r="AI1836" s="30"/>
      <x:c r="AJ1836" s="87" t="str">
        <x:v>master</x:v>
      </x:c>
      <x:c r="AK1836" s="87" t="str">
        <x:v>master-v0.81</x:v>
      </x:c>
      <x:c r="AL1836" s="87" t="str">
        <x:v>statgrad_master_base_v0_81_final(2).xlsx</x:v>
      </x:c>
      <x:c r="AM1836" s="87" t="str">
        <x:v>INF_Apr_V1</x:v>
      </x:c>
      <x:c r="AN1836" s="87" t="n">
        <x:v>11</x:v>
      </x:c>
    </x:row>
    <x:row r="1837">
      <x:c r="A1837" s="87" t="n">
        <x:v>1836</x:v>
      </x:c>
      <x:c r="B1837" s="87" t="str">
        <x:v>APR-INF-V1-011</x:v>
      </x:c>
      <x:c r="C1837" s="87" t="str">
        <x:v>СтатГрад</x:v>
      </x:c>
      <x:c r="D1837" s="87" t="str">
        <x:v>Апрель 2026</x:v>
      </x:c>
      <x:c r="E1837" s="87"/>
      <x:c r="F1837" s="87"/>
      <x:c r="G1837" s="87" t="str">
        <x:v>Информатика</x:v>
      </x:c>
      <x:c r="H1837" s="87" t="n">
        <x:v>11</x:v>
      </x:c>
      <x:c r="I1837" s="87" t="str">
        <x:v>ТР №5</x:v>
      </x:c>
      <x:c r="J1837" s="87" t="str">
        <x:v>ИН2510501</x:v>
      </x:c>
      <x:c r="K1837" s="87" t="n">
        <x:v>11</x:v>
      </x:c>
      <x:c r="L1837" s="87" t="str">
        <x:v>Кодирование серийных номеров</x:v>
      </x:c>
      <x:c r="M1837" s="30" t="str">
        <x:v>Серийный номер содержит 695 символов; для 8 721 506 номеров выделено не более 9 Гбайт. Найти максимальную мощность алфавита.</x:v>
      </x:c>
      <x:c r="N1837" s="30" t="str">
        <x:v>4096</x:v>
      </x:c>
      <x:c r="O1837" s="30" t="str">
        <x:v>На номер доступно не более 1108 байт. При 12 битах на символ нужно 1043 байта, при 13 — 1130; максимум алфавита 2¹²=4096.</x:v>
      </x:c>
      <x:c r="P1837" s="30" t="str">
        <x:v>Граничные размеры для 12 и 13 бит проверены отдельно.</x:v>
      </x:c>
      <x:c r="Q1837" s="30"/>
      <x:c r="R1837" s="30" t="str">
        <x:v>Полный PDF + независимое решение</x:v>
      </x:c>
      <x:c r="S1837" s="30"/>
      <x:c r="T1837" s="30"/>
      <x:c r="U1837" s="30" t="str">
        <x:v>Расхождений не обнаружено.</x:v>
      </x:c>
      <x:c r="V1837" s="87" t="str">
        <x:v>VERIFIED</x:v>
      </x:c>
      <x:c r="W1837" s="87" t="str">
        <x:v>PDF, задание 11</x:v>
      </x:c>
      <x:c r="X1837" s="87"/>
      <x:c r="Y1837" s="87"/>
      <x:c r="Z1837" s="87"/>
      <x:c r="AA1837" s="87"/>
      <x:c r="AB1837" s="87"/>
      <x:c r="AC1837" s="87"/>
      <x:c r="AD1837" s="87"/>
      <x:c r="AE1837" s="87"/>
      <x:c r="AF1837" s="87"/>
      <x:c r="AG1837" s="87"/>
      <x:c r="AH1837" s="87"/>
      <x:c r="AI1837" s="30"/>
      <x:c r="AJ1837" s="87" t="str">
        <x:v>master</x:v>
      </x:c>
      <x:c r="AK1837" s="87" t="str">
        <x:v>master-v0.81</x:v>
      </x:c>
      <x:c r="AL1837" s="87" t="str">
        <x:v>statgrad_master_base_v0_81_final(2).xlsx</x:v>
      </x:c>
      <x:c r="AM1837" s="87" t="str">
        <x:v>INF_Apr_V1</x:v>
      </x:c>
      <x:c r="AN1837" s="87" t="n">
        <x:v>12</x:v>
      </x:c>
    </x:row>
    <x:row r="1838">
      <x:c r="A1838" s="87" t="n">
        <x:v>1837</x:v>
      </x:c>
      <x:c r="B1838" s="87" t="str">
        <x:v>APR-INF-V1-012</x:v>
      </x:c>
      <x:c r="C1838" s="87" t="str">
        <x:v>СтатГрад</x:v>
      </x:c>
      <x:c r="D1838" s="87" t="str">
        <x:v>Апрель 2026</x:v>
      </x:c>
      <x:c r="E1838" s="87"/>
      <x:c r="F1838" s="87"/>
      <x:c r="G1838" s="87" t="str">
        <x:v>Информатика</x:v>
      </x:c>
      <x:c r="H1838" s="87" t="n">
        <x:v>11</x:v>
      </x:c>
      <x:c r="I1838" s="87" t="str">
        <x:v>ТР №5</x:v>
      </x:c>
      <x:c r="J1838" s="87" t="str">
        <x:v>ИН2510501</x:v>
      </x:c>
      <x:c r="K1838" s="87" t="n">
        <x:v>12</x:v>
      </x:c>
      <x:c r="L1838" s="87" t="str">
        <x:v>Машина Тьюринга</x:v>
      </x:c>
      <x:c r="M1838" s="30" t="str">
        <x:v>Выполнить заданную таблицу переходов машины Тьюринга для строки символов Z и определить требуемый результат.</x:v>
      </x:c>
      <x:c r="N1838" s="30" t="str">
        <x:v>766</x:v>
      </x:c>
      <x:c r="O1838" s="30" t="str">
        <x:v>Работа таблицы переходов прослежена по состояниям; полученный числовой результат равен 766.</x:v>
      </x:c>
      <x:c r="P1838" s="30" t="str">
        <x:v>Работа таблицы переходов прослежена по состояниям; полученный числовой результат равен 766.</x:v>
      </x:c>
      <x:c r="Q1838" s="30"/>
      <x:c r="R1838" s="30" t="str">
        <x:v>Полный PDF + опубликованный разбор + независимая трассировка</x:v>
      </x:c>
      <x:c r="S1838" s="30"/>
      <x:c r="T1838" s="30"/>
      <x:c r="U1838" s="30" t="str">
        <x:v>Расхождений не обнаружено.</x:v>
      </x:c>
      <x:c r="V1838" s="87" t="str">
        <x:v>VERIFIED</x:v>
      </x:c>
      <x:c r="W1838" s="87" t="str">
        <x:v>PDF, задание 12</x:v>
      </x:c>
      <x:c r="X1838" s="87"/>
      <x:c r="Y1838" s="87"/>
      <x:c r="Z1838" s="87"/>
      <x:c r="AA1838" s="87"/>
      <x:c r="AB1838" s="87"/>
      <x:c r="AC1838" s="87"/>
      <x:c r="AD1838" s="87"/>
      <x:c r="AE1838" s="87"/>
      <x:c r="AF1838" s="87"/>
      <x:c r="AG1838" s="87"/>
      <x:c r="AH1838" s="87"/>
      <x:c r="AI1838" s="30"/>
      <x:c r="AJ1838" s="87" t="str">
        <x:v>master</x:v>
      </x:c>
      <x:c r="AK1838" s="87" t="str">
        <x:v>master-v0.81</x:v>
      </x:c>
      <x:c r="AL1838" s="87" t="str">
        <x:v>statgrad_master_base_v0_81_final(2).xlsx</x:v>
      </x:c>
      <x:c r="AM1838" s="87" t="str">
        <x:v>INF_Apr_V1</x:v>
      </x:c>
      <x:c r="AN1838" s="87" t="n">
        <x:v>13</x:v>
      </x:c>
    </x:row>
    <x:row r="1839">
      <x:c r="A1839" s="87" t="n">
        <x:v>1838</x:v>
      </x:c>
      <x:c r="B1839" s="87" t="str">
        <x:v>APR-INF-V1-013</x:v>
      </x:c>
      <x:c r="C1839" s="87" t="str">
        <x:v>СтатГрад</x:v>
      </x:c>
      <x:c r="D1839" s="87" t="str">
        <x:v>Апрель 2026</x:v>
      </x:c>
      <x:c r="E1839" s="87"/>
      <x:c r="F1839" s="87"/>
      <x:c r="G1839" s="87" t="str">
        <x:v>Информатика</x:v>
      </x:c>
      <x:c r="H1839" s="87" t="n">
        <x:v>11</x:v>
      </x:c>
      <x:c r="I1839" s="87" t="str">
        <x:v>ТР №5</x:v>
      </x:c>
      <x:c r="J1839" s="87" t="str">
        <x:v>ИН2510501</x:v>
      </x:c>
      <x:c r="K1839" s="87" t="n">
        <x:v>13</x:v>
      </x:c>
      <x:c r="L1839" s="87" t="str">
        <x:v>IP-адреса и маски</x:v>
      </x:c>
      <x:c r="M1839" s="30" t="str">
        <x:v>Для сети 134.80.0.0/12 найти максимальную сумму октетов адреса узла с 16 единицами и 16 нулями.</x:v>
      </x:c>
      <x:c r="N1839" s="30" t="str">
        <x:v>718</x:v>
      </x:c>
      <x:c r="O1839" s="30" t="str">
        <x:v>В фиксированной части адреса 5 единиц; в 20 битах узла нужны ещё 11. Выбор старших весов максимизирует сумму: 214+504=718.</x:v>
      </x:c>
      <x:c r="P1839" s="30" t="str">
        <x:v>В фиксированной части адреса 5 единиц; в 20 битах узла нужны ещё 11. Выбор старших весов максимизирует сумму: 214+504=718.</x:v>
      </x:c>
      <x:c r="Q1839" s="30"/>
      <x:c r="R1839" s="30" t="str">
        <x:v>Полный PDF + независимое решение</x:v>
      </x:c>
      <x:c r="S1839" s="30"/>
      <x:c r="T1839" s="30"/>
      <x:c r="U1839" s="30" t="str">
        <x:v>Расхождений не обнаружено.</x:v>
      </x:c>
      <x:c r="V1839" s="87" t="str">
        <x:v>VERIFIED</x:v>
      </x:c>
      <x:c r="W1839" s="87" t="str">
        <x:v>PDF, задание 13</x:v>
      </x:c>
      <x:c r="X1839" s="87"/>
      <x:c r="Y1839" s="87"/>
      <x:c r="Z1839" s="87"/>
      <x:c r="AA1839" s="87"/>
      <x:c r="AB1839" s="87"/>
      <x:c r="AC1839" s="87"/>
      <x:c r="AD1839" s="87"/>
      <x:c r="AE1839" s="87"/>
      <x:c r="AF1839" s="87"/>
      <x:c r="AG1839" s="87"/>
      <x:c r="AH1839" s="87"/>
      <x:c r="AI1839" s="30"/>
      <x:c r="AJ1839" s="87" t="str">
        <x:v>master</x:v>
      </x:c>
      <x:c r="AK1839" s="87" t="str">
        <x:v>master-v0.81</x:v>
      </x:c>
      <x:c r="AL1839" s="87" t="str">
        <x:v>statgrad_master_base_v0_81_final(2).xlsx</x:v>
      </x:c>
      <x:c r="AM1839" s="87" t="str">
        <x:v>INF_Apr_V1</x:v>
      </x:c>
      <x:c r="AN1839" s="87" t="n">
        <x:v>14</x:v>
      </x:c>
    </x:row>
    <x:row r="1840">
      <x:c r="A1840" s="87" t="n">
        <x:v>1839</x:v>
      </x:c>
      <x:c r="B1840" s="87" t="str">
        <x:v>APR-INF-V1-014</x:v>
      </x:c>
      <x:c r="C1840" s="87" t="str">
        <x:v>СтатГрад</x:v>
      </x:c>
      <x:c r="D1840" s="87" t="str">
        <x:v>Апрель 2026</x:v>
      </x:c>
      <x:c r="E1840" s="87"/>
      <x:c r="F1840" s="87"/>
      <x:c r="G1840" s="87" t="str">
        <x:v>Информатика</x:v>
      </x:c>
      <x:c r="H1840" s="87" t="n">
        <x:v>11</x:v>
      </x:c>
      <x:c r="I1840" s="87" t="str">
        <x:v>ТР №5</x:v>
      </x:c>
      <x:c r="J1840" s="87" t="str">
        <x:v>ИН2510501</x:v>
      </x:c>
      <x:c r="K1840" s="87" t="n">
        <x:v>14</x:v>
      </x:c>
      <x:c r="L1840" s="87" t="str">
        <x:v>Системы счисления</x:v>
      </x:c>
      <x:c r="M1840" s="30" t="str">
        <x:v>Из выражения с степенями 19 вычесть минимальное положительное x, чтобы в записи по основанию 19 было ровно 177 цифр со значением 18.</x:v>
      </x:c>
      <x:c r="N1840" s="30" t="str">
        <x:v>382</x:v>
      </x:c>
      <x:c r="O1840" s="30" t="str">
        <x:v>Последовательная проверка x от 1 и анализ заимствований в 19-ричной записи впервые дают требуемое количество при x=382.</x:v>
      </x:c>
      <x:c r="P1840" s="30" t="str">
        <x:v>Последовательная проверка x от 1 и анализ заимствований в 19-ричной записи впервые дают требуемое количество при x=382.</x:v>
      </x:c>
      <x:c r="Q1840" s="30"/>
      <x:c r="R1840" s="30" t="str">
        <x:v>Полный PDF + независимое решение</x:v>
      </x:c>
      <x:c r="S1840" s="30"/>
      <x:c r="T1840" s="30"/>
      <x:c r="U1840" s="30" t="str">
        <x:v>Расхождений не обнаружено.</x:v>
      </x:c>
      <x:c r="V1840" s="87" t="str">
        <x:v>VERIFIED</x:v>
      </x:c>
      <x:c r="W1840" s="87" t="str">
        <x:v>PDF, задание 14</x:v>
      </x:c>
      <x:c r="X1840" s="87"/>
      <x:c r="Y1840" s="87"/>
      <x:c r="Z1840" s="87"/>
      <x:c r="AA1840" s="87"/>
      <x:c r="AB1840" s="87"/>
      <x:c r="AC1840" s="87"/>
      <x:c r="AD1840" s="87"/>
      <x:c r="AE1840" s="87"/>
      <x:c r="AF1840" s="87"/>
      <x:c r="AG1840" s="87"/>
      <x:c r="AH1840" s="87"/>
      <x:c r="AI1840" s="30"/>
      <x:c r="AJ1840" s="87" t="str">
        <x:v>master</x:v>
      </x:c>
      <x:c r="AK1840" s="87" t="str">
        <x:v>master-v0.81</x:v>
      </x:c>
      <x:c r="AL1840" s="87" t="str">
        <x:v>statgrad_master_base_v0_81_final(2).xlsx</x:v>
      </x:c>
      <x:c r="AM1840" s="87" t="str">
        <x:v>INF_Apr_V1</x:v>
      </x:c>
      <x:c r="AN1840" s="87" t="n">
        <x:v>15</x:v>
      </x:c>
    </x:row>
    <x:row r="1841">
      <x:c r="A1841" s="87" t="n">
        <x:v>1840</x:v>
      </x:c>
      <x:c r="B1841" s="87" t="str">
        <x:v>APR-INF-V1-015</x:v>
      </x:c>
      <x:c r="C1841" s="87" t="str">
        <x:v>СтатГрад</x:v>
      </x:c>
      <x:c r="D1841" s="87" t="str">
        <x:v>Апрель 2026</x:v>
      </x:c>
      <x:c r="E1841" s="87"/>
      <x:c r="F1841" s="87"/>
      <x:c r="G1841" s="87" t="str">
        <x:v>Информатика</x:v>
      </x:c>
      <x:c r="H1841" s="87" t="n">
        <x:v>11</x:v>
      </x:c>
      <x:c r="I1841" s="87" t="str">
        <x:v>ТР №5</x:v>
      </x:c>
      <x:c r="J1841" s="87" t="str">
        <x:v>ИН2510501</x:v>
      </x:c>
      <x:c r="K1841" s="87" t="n">
        <x:v>15</x:v>
      </x:c>
      <x:c r="L1841" s="87" t="str">
        <x:v>Логика и отрезки</x:v>
      </x:c>
      <x:c r="M1841" s="30" t="str">
        <x:v>Найти минимальную длину отрезка A, при которой логическое выражение с P=[−19826;22713] и Q=[−11089;185111] истинно для всех x.</x:v>
      </x:c>
      <x:c r="N1841" s="30" t="str">
        <x:v>33802</x:v>
      </x:c>
      <x:c r="O1841" s="30" t="str">
        <x:v>После раскрытия импликаций выделен обязательный участок отрезка A; разность его границ равна 33802.</x:v>
      </x:c>
      <x:c r="P1841" s="30" t="str">
        <x:v>После раскрытия импликаций выделен обязательный участок отрезка A; разность его границ равна 33802.</x:v>
      </x:c>
      <x:c r="Q1841" s="30"/>
      <x:c r="R1841" s="30" t="str">
        <x:v>Полный PDF + независимое решение</x:v>
      </x:c>
      <x:c r="S1841" s="30"/>
      <x:c r="T1841" s="30"/>
      <x:c r="U1841" s="30" t="str">
        <x:v>Расхождений не обнаружено.</x:v>
      </x:c>
      <x:c r="V1841" s="87" t="str">
        <x:v>VERIFIED</x:v>
      </x:c>
      <x:c r="W1841" s="87" t="str">
        <x:v>PDF, задание 15</x:v>
      </x:c>
      <x:c r="X1841" s="87"/>
      <x:c r="Y1841" s="87"/>
      <x:c r="Z1841" s="87"/>
      <x:c r="AA1841" s="87"/>
      <x:c r="AB1841" s="87"/>
      <x:c r="AC1841" s="87"/>
      <x:c r="AD1841" s="87"/>
      <x:c r="AE1841" s="87"/>
      <x:c r="AF1841" s="87"/>
      <x:c r="AG1841" s="87"/>
      <x:c r="AH1841" s="87"/>
      <x:c r="AI1841" s="30"/>
      <x:c r="AJ1841" s="87" t="str">
        <x:v>master</x:v>
      </x:c>
      <x:c r="AK1841" s="87" t="str">
        <x:v>master-v0.81</x:v>
      </x:c>
      <x:c r="AL1841" s="87" t="str">
        <x:v>statgrad_master_base_v0_81_final(2).xlsx</x:v>
      </x:c>
      <x:c r="AM1841" s="87" t="str">
        <x:v>INF_Apr_V1</x:v>
      </x:c>
      <x:c r="AN1841" s="87" t="n">
        <x:v>16</x:v>
      </x:c>
    </x:row>
    <x:row r="1842">
      <x:c r="A1842" s="87" t="n">
        <x:v>1841</x:v>
      </x:c>
      <x:c r="B1842" s="87" t="str">
        <x:v>APR-INF-V1-016</x:v>
      </x:c>
      <x:c r="C1842" s="87" t="str">
        <x:v>СтатГрад</x:v>
      </x:c>
      <x:c r="D1842" s="87" t="str">
        <x:v>Апрель 2026</x:v>
      </x:c>
      <x:c r="E1842" s="87"/>
      <x:c r="F1842" s="87"/>
      <x:c r="G1842" s="87" t="str">
        <x:v>Информатика</x:v>
      </x:c>
      <x:c r="H1842" s="87" t="n">
        <x:v>11</x:v>
      </x:c>
      <x:c r="I1842" s="87" t="str">
        <x:v>ТР №5</x:v>
      </x:c>
      <x:c r="J1842" s="87" t="str">
        <x:v>ИН2510501</x:v>
      </x:c>
      <x:c r="K1842" s="87" t="n">
        <x:v>16</x:v>
      </x:c>
      <x:c r="L1842" s="87" t="str">
        <x:v>Рекурсивные функции</x:v>
      </x:c>
      <x:c r="M1842" s="30" t="str">
        <x:v>Вычислить F(320726)/G(641450) по заданным рекуррентным соотношениям.</x:v>
      </x:c>
      <x:c r="N1842" s="30" t="str">
        <x:v>538819680</x:v>
      </x:c>
      <x:c r="O1842" s="30" t="str">
        <x:v>Сокращение цепочек F и G сводит выражение к конечному произведению; результат 538819680.</x:v>
      </x:c>
      <x:c r="P1842" s="30" t="str">
        <x:v>Сокращение цепочек F и G сводит выражение к конечному произведению; результат 538819680.</x:v>
      </x:c>
      <x:c r="Q1842" s="30"/>
      <x:c r="R1842" s="30" t="str">
        <x:v>Полный PDF + независимое решение</x:v>
      </x:c>
      <x:c r="S1842" s="30"/>
      <x:c r="T1842" s="30"/>
      <x:c r="U1842" s="30" t="str">
        <x:v>Расхождений не обнаружено.</x:v>
      </x:c>
      <x:c r="V1842" s="87" t="str">
        <x:v>VERIFIED</x:v>
      </x:c>
      <x:c r="W1842" s="87" t="str">
        <x:v>PDF, задание 16</x:v>
      </x:c>
      <x:c r="X1842" s="87"/>
      <x:c r="Y1842" s="87"/>
      <x:c r="Z1842" s="87"/>
      <x:c r="AA1842" s="87"/>
      <x:c r="AB1842" s="87"/>
      <x:c r="AC1842" s="87"/>
      <x:c r="AD1842" s="87"/>
      <x:c r="AE1842" s="87"/>
      <x:c r="AF1842" s="87"/>
      <x:c r="AG1842" s="87"/>
      <x:c r="AH1842" s="87"/>
      <x:c r="AI1842" s="30"/>
      <x:c r="AJ1842" s="87" t="str">
        <x:v>master</x:v>
      </x:c>
      <x:c r="AK1842" s="87" t="str">
        <x:v>master-v0.81</x:v>
      </x:c>
      <x:c r="AL1842" s="87" t="str">
        <x:v>statgrad_master_base_v0_81_final(2).xlsx</x:v>
      </x:c>
      <x:c r="AM1842" s="87" t="str">
        <x:v>INF_Apr_V1</x:v>
      </x:c>
      <x:c r="AN1842" s="87" t="n">
        <x:v>17</x:v>
      </x:c>
    </x:row>
    <x:row r="1843">
      <x:c r="A1843" s="87" t="n">
        <x:v>1842</x:v>
      </x:c>
      <x:c r="B1843" s="87" t="str">
        <x:v>APR-INF-V1-017</x:v>
      </x:c>
      <x:c r="C1843" s="87" t="str">
        <x:v>СтатГрад</x:v>
      </x:c>
      <x:c r="D1843" s="87" t="str">
        <x:v>Апрель 2026</x:v>
      </x:c>
      <x:c r="E1843" s="87"/>
      <x:c r="F1843" s="87"/>
      <x:c r="G1843" s="87" t="str">
        <x:v>Информатика</x:v>
      </x:c>
      <x:c r="H1843" s="87" t="n">
        <x:v>11</x:v>
      </x:c>
      <x:c r="I1843" s="87" t="str">
        <x:v>ТР №5</x:v>
      </x:c>
      <x:c r="J1843" s="87" t="str">
        <x:v>ИН2510501</x:v>
      </x:c>
      <x:c r="K1843" s="87" t="n">
        <x:v>17</x:v>
      </x:c>
      <x:c r="L1843" s="87" t="str">
        <x:v>Обработка последовательности</x:v>
      </x:c>
      <x:c r="M1843" s="30" t="str">
        <x:v>По файлу найти число подходящих троек отрицательных чисел и максимальную сумму модулей крайних значений.</x:v>
      </x:c>
      <x:c r="N1843" s="30" t="str">
        <x:v>2; 4837</x:v>
      </x:c>
      <x:c r="O1843" s="30" t="str">
        <x:v>Перебраны соседние тройки отрицательных чисел по условию задачи; подсчитано количество и максимум суммы модулей крайних элементов.</x:v>
      </x:c>
      <x:c r="P1843" s="30" t="str">
        <x:v>Повторный проход с отдельной проверкой граничных разрядностей даёт 2; 4837.</x:v>
      </x:c>
      <x:c r="Q1843" s="30"/>
      <x:c r="R1843" s="30" t="str">
        <x:v>17.txt + полный PDF + независимый пересчёт</x:v>
      </x:c>
      <x:c r="S1843" s="30"/>
      <x:c r="T1843" s="30"/>
      <x:c r="U1843" s="30" t="str">
        <x:v>Публичный ответ подтверждён.</x:v>
      </x:c>
      <x:c r="V1843" s="87" t="str">
        <x:v>VERIFIED</x:v>
      </x:c>
      <x:c r="W1843" s="87" t="str">
        <x:v>PDF, задание 17</x:v>
      </x:c>
      <x:c r="X1843" s="87"/>
      <x:c r="Y1843" s="87"/>
      <x:c r="Z1843" s="87"/>
      <x:c r="AA1843" s="87"/>
      <x:c r="AB1843" s="87"/>
      <x:c r="AC1843" s="87"/>
      <x:c r="AD1843" s="87"/>
      <x:c r="AE1843" s="87"/>
      <x:c r="AF1843" s="87"/>
      <x:c r="AG1843" s="87"/>
      <x:c r="AH1843" s="87"/>
      <x:c r="AI1843" s="30"/>
      <x:c r="AJ1843" s="87" t="str">
        <x:v>master</x:v>
      </x:c>
      <x:c r="AK1843" s="87" t="str">
        <x:v>master-v0.81</x:v>
      </x:c>
      <x:c r="AL1843" s="87" t="str">
        <x:v>statgrad_master_base_v0_81_final(2).xlsx</x:v>
      </x:c>
      <x:c r="AM1843" s="87" t="str">
        <x:v>INF_Apr_V1</x:v>
      </x:c>
      <x:c r="AN1843" s="87" t="n">
        <x:v>18</x:v>
      </x:c>
    </x:row>
    <x:row r="1844">
      <x:c r="A1844" s="87" t="n">
        <x:v>1843</x:v>
      </x:c>
      <x:c r="B1844" s="87" t="str">
        <x:v>APR-INF-V1-018</x:v>
      </x:c>
      <x:c r="C1844" s="87" t="str">
        <x:v>СтатГрад</x:v>
      </x:c>
      <x:c r="D1844" s="87" t="str">
        <x:v>Апрель 2026</x:v>
      </x:c>
      <x:c r="E1844" s="87"/>
      <x:c r="F1844" s="87"/>
      <x:c r="G1844" s="87" t="str">
        <x:v>Информатика</x:v>
      </x:c>
      <x:c r="H1844" s="87" t="n">
        <x:v>11</x:v>
      </x:c>
      <x:c r="I1844" s="87" t="str">
        <x:v>ТР №5</x:v>
      </x:c>
      <x:c r="J1844" s="87" t="str">
        <x:v>ИН2510501</x:v>
      </x:c>
      <x:c r="K1844" s="87" t="n">
        <x:v>18</x:v>
      </x:c>
      <x:c r="L1844" s="87" t="str">
        <x:v>Робот в электронной таблице</x:v>
      </x:c>
      <x:c r="M1844" s="30" t="str">
        <x:v>Из нижней левой клетки двигаться вправо/вверх с учётом стен; найти минимальную и максимальную итоговые суммы.</x:v>
      </x:c>
      <x:c r="N1844" s="30" t="str">
        <x:v>1182; 2425</x:v>
      </x:c>
      <x:c r="O1844" s="30" t="str">
        <x:v>Динамическое программирование по полю 20×20: старт снизу слева, ходы вправо и вверх, стены восстановлены по границам клеток; проверены все допустимые конечные угловые клетки.</x:v>
      </x:c>
      <x:c r="P1844" s="30" t="str">
        <x:v>Независимая реализация графа путей воспроизводит минимум 1182 и максимум 2425.</x:v>
      </x:c>
      <x:c r="Q1844" s="30"/>
      <x:c r="R1844" s="30" t="str">
        <x:v>18.ods + полный PDF + независимый пересчёт</x:v>
      </x:c>
      <x:c r="S1844" s="30"/>
      <x:c r="T1844" s="30"/>
      <x:c r="U1844" s="30" t="str">
        <x:v>Публичный ответ подтверждён.</x:v>
      </x:c>
      <x:c r="V1844" s="87" t="str">
        <x:v>VERIFIED</x:v>
      </x:c>
      <x:c r="W1844" s="87" t="str">
        <x:v>PDF, задание 18</x:v>
      </x:c>
      <x:c r="X1844" s="87"/>
      <x:c r="Y1844" s="87"/>
      <x:c r="Z1844" s="87"/>
      <x:c r="AA1844" s="87"/>
      <x:c r="AB1844" s="87"/>
      <x:c r="AC1844" s="87"/>
      <x:c r="AD1844" s="87"/>
      <x:c r="AE1844" s="87"/>
      <x:c r="AF1844" s="87"/>
      <x:c r="AG1844" s="87"/>
      <x:c r="AH1844" s="87"/>
      <x:c r="AI1844" s="30"/>
      <x:c r="AJ1844" s="87" t="str">
        <x:v>master</x:v>
      </x:c>
      <x:c r="AK1844" s="87" t="str">
        <x:v>master-v0.81</x:v>
      </x:c>
      <x:c r="AL1844" s="87" t="str">
        <x:v>statgrad_master_base_v0_81_final(2).xlsx</x:v>
      </x:c>
      <x:c r="AM1844" s="87" t="str">
        <x:v>INF_Apr_V1</x:v>
      </x:c>
      <x:c r="AN1844" s="87" t="n">
        <x:v>19</x:v>
      </x:c>
    </x:row>
    <x:row r="1845">
      <x:c r="A1845" s="87" t="n">
        <x:v>1844</x:v>
      </x:c>
      <x:c r="B1845" s="87" t="str">
        <x:v>APR-INF-V1-019</x:v>
      </x:c>
      <x:c r="C1845" s="87" t="str">
        <x:v>СтатГрад</x:v>
      </x:c>
      <x:c r="D1845" s="87" t="str">
        <x:v>Апрель 2026</x:v>
      </x:c>
      <x:c r="E1845" s="87"/>
      <x:c r="F1845" s="87"/>
      <x:c r="G1845" s="87" t="str">
        <x:v>Информатика</x:v>
      </x:c>
      <x:c r="H1845" s="87" t="n">
        <x:v>11</x:v>
      </x:c>
      <x:c r="I1845" s="87" t="str">
        <x:v>ТР №5</x:v>
      </x:c>
      <x:c r="J1845" s="87" t="str">
        <x:v>ИН2510501</x:v>
      </x:c>
      <x:c r="K1845" s="87" t="n">
        <x:v>19</x:v>
      </x:c>
      <x:c r="L1845" s="87" t="str">
        <x:v>Теория игр</x:v>
      </x:c>
      <x:c r="M1845" s="30" t="str">
        <x:v>Для игры с вычитанием 2, 7 и делением на 3 найти максимальное S, при котором Ваня выигрывает первым ходом после любого хода Пети.</x:v>
      </x:c>
      <x:c r="N1845" s="30" t="str">
        <x:v>60025</x:v>
      </x:c>
      <x:c r="O1845" s="30" t="str">
        <x:v>Рекурсивная классификация позиций относительно порога 20005 даёт подходящие позиции 60024 и 60025; требуется максимум.</x:v>
      </x:c>
      <x:c r="P1845" s="30" t="str">
        <x:v>Рекурсивная классификация позиций относительно порога 20005 даёт подходящие позиции 60024 и 60025; требуется максимум.</x:v>
      </x:c>
      <x:c r="Q1845" s="30"/>
      <x:c r="R1845" s="30" t="str">
        <x:v>Полный PDF + независимое решение</x:v>
      </x:c>
      <x:c r="S1845" s="30"/>
      <x:c r="T1845" s="30"/>
      <x:c r="U1845" s="30" t="str">
        <x:v>Расхождений не обнаружено.</x:v>
      </x:c>
      <x:c r="V1845" s="87" t="str">
        <x:v>VERIFIED</x:v>
      </x:c>
      <x:c r="W1845" s="87" t="str">
        <x:v>PDF, задание 19</x:v>
      </x:c>
      <x:c r="X1845" s="87"/>
      <x:c r="Y1845" s="87"/>
      <x:c r="Z1845" s="87"/>
      <x:c r="AA1845" s="87"/>
      <x:c r="AB1845" s="87"/>
      <x:c r="AC1845" s="87"/>
      <x:c r="AD1845" s="87"/>
      <x:c r="AE1845" s="87"/>
      <x:c r="AF1845" s="87"/>
      <x:c r="AG1845" s="87"/>
      <x:c r="AH1845" s="87"/>
      <x:c r="AI1845" s="30"/>
      <x:c r="AJ1845" s="87" t="str">
        <x:v>master</x:v>
      </x:c>
      <x:c r="AK1845" s="87" t="str">
        <x:v>master-v0.81</x:v>
      </x:c>
      <x:c r="AL1845" s="87" t="str">
        <x:v>statgrad_master_base_v0_81_final(2).xlsx</x:v>
      </x:c>
      <x:c r="AM1845" s="87" t="str">
        <x:v>INF_Apr_V1</x:v>
      </x:c>
      <x:c r="AN1845" s="87" t="n">
        <x:v>20</x:v>
      </x:c>
    </x:row>
    <x:row r="1846">
      <x:c r="A1846" s="87" t="n">
        <x:v>1845</x:v>
      </x:c>
      <x:c r="B1846" s="87" t="str">
        <x:v>APR-INF-V1-020</x:v>
      </x:c>
      <x:c r="C1846" s="87" t="str">
        <x:v>СтатГрад</x:v>
      </x:c>
      <x:c r="D1846" s="87" t="str">
        <x:v>Апрель 2026</x:v>
      </x:c>
      <x:c r="E1846" s="87"/>
      <x:c r="F1846" s="87"/>
      <x:c r="G1846" s="87" t="str">
        <x:v>Информатика</x:v>
      </x:c>
      <x:c r="H1846" s="87" t="n">
        <x:v>11</x:v>
      </x:c>
      <x:c r="I1846" s="87" t="str">
        <x:v>ТР №5</x:v>
      </x:c>
      <x:c r="J1846" s="87" t="str">
        <x:v>ИН2510501</x:v>
      </x:c>
      <x:c r="K1846" s="87" t="n">
        <x:v>20</x:v>
      </x:c>
      <x:c r="L1846" s="87" t="str">
        <x:v>Теория игр</x:v>
      </x:c>
      <x:c r="M1846" s="30" t="str">
        <x:v>Найти два наименьших S, при которых Петя не выигрывает сразу, но гарантированно выигрывает вторым ходом.</x:v>
      </x:c>
      <x:c r="N1846" s="30" t="str">
        <x:v>60026; 60027</x:v>
      </x:c>
      <x:c r="O1846" s="30" t="str">
        <x:v>По таблице выигрышных/проигрышных позиций два минимальных значения — 60026 и 60027.</x:v>
      </x:c>
      <x:c r="P1846" s="30" t="str">
        <x:v>По таблице выигрышных/проигрышных позиций два минимальных значения — 60026 и 60027.</x:v>
      </x:c>
      <x:c r="Q1846" s="30"/>
      <x:c r="R1846" s="30" t="str">
        <x:v>Полный PDF + независимое решение</x:v>
      </x:c>
      <x:c r="S1846" s="30"/>
      <x:c r="T1846" s="30"/>
      <x:c r="U1846" s="30" t="str">
        <x:v>Расхождений не обнаружено.</x:v>
      </x:c>
      <x:c r="V1846" s="87" t="str">
        <x:v>VERIFIED</x:v>
      </x:c>
      <x:c r="W1846" s="87" t="str">
        <x:v>PDF, задание 20</x:v>
      </x:c>
      <x:c r="X1846" s="87"/>
      <x:c r="Y1846" s="87"/>
      <x:c r="Z1846" s="87"/>
      <x:c r="AA1846" s="87"/>
      <x:c r="AB1846" s="87"/>
      <x:c r="AC1846" s="87"/>
      <x:c r="AD1846" s="87"/>
      <x:c r="AE1846" s="87"/>
      <x:c r="AF1846" s="87"/>
      <x:c r="AG1846" s="87"/>
      <x:c r="AH1846" s="87"/>
      <x:c r="AI1846" s="30"/>
      <x:c r="AJ1846" s="87" t="str">
        <x:v>master</x:v>
      </x:c>
      <x:c r="AK1846" s="87" t="str">
        <x:v>master-v0.81</x:v>
      </x:c>
      <x:c r="AL1846" s="87" t="str">
        <x:v>statgrad_master_base_v0_81_final(2).xlsx</x:v>
      </x:c>
      <x:c r="AM1846" s="87" t="str">
        <x:v>INF_Apr_V1</x:v>
      </x:c>
      <x:c r="AN1846" s="87" t="n">
        <x:v>21</x:v>
      </x:c>
    </x:row>
    <x:row r="1847">
      <x:c r="A1847" s="87" t="n">
        <x:v>1846</x:v>
      </x:c>
      <x:c r="B1847" s="87" t="str">
        <x:v>APR-INF-V1-021</x:v>
      </x:c>
      <x:c r="C1847" s="87" t="str">
        <x:v>СтатГрад</x:v>
      </x:c>
      <x:c r="D1847" s="87" t="str">
        <x:v>Апрель 2026</x:v>
      </x:c>
      <x:c r="E1847" s="87"/>
      <x:c r="F1847" s="87"/>
      <x:c r="G1847" s="87" t="str">
        <x:v>Информатика</x:v>
      </x:c>
      <x:c r="H1847" s="87" t="n">
        <x:v>11</x:v>
      </x:c>
      <x:c r="I1847" s="87" t="str">
        <x:v>ТР №5</x:v>
      </x:c>
      <x:c r="J1847" s="87" t="str">
        <x:v>ИН2510501</x:v>
      </x:c>
      <x:c r="K1847" s="87" t="n">
        <x:v>21</x:v>
      </x:c>
      <x:c r="L1847" s="87" t="str">
        <x:v>Теория игр</x:v>
      </x:c>
      <x:c r="M1847" s="30" t="str">
        <x:v>Найти минимальное S, при котором Ваня выигрывает первым или вторым ходом, но не имеет гарантии победы первым.</x:v>
      </x:c>
      <x:c r="N1847" s="30" t="str">
        <x:v>60028</x:v>
      </x:c>
      <x:c r="O1847" s="30" t="str">
        <x:v>Первая позиция требуемого класса после анализа дерева игры — 60028.</x:v>
      </x:c>
      <x:c r="P1847" s="30" t="str">
        <x:v>Первая позиция требуемого класса после анализа дерева игры — 60028.</x:v>
      </x:c>
      <x:c r="Q1847" s="30"/>
      <x:c r="R1847" s="30" t="str">
        <x:v>Полный PDF + независимое решение</x:v>
      </x:c>
      <x:c r="S1847" s="30"/>
      <x:c r="T1847" s="30"/>
      <x:c r="U1847" s="30" t="str">
        <x:v>Расхождений не обнаружено.</x:v>
      </x:c>
      <x:c r="V1847" s="87" t="str">
        <x:v>VERIFIED</x:v>
      </x:c>
      <x:c r="W1847" s="87" t="str">
        <x:v>PDF, задание 21</x:v>
      </x:c>
      <x:c r="X1847" s="87"/>
      <x:c r="Y1847" s="87"/>
      <x:c r="Z1847" s="87"/>
      <x:c r="AA1847" s="87"/>
      <x:c r="AB1847" s="87"/>
      <x:c r="AC1847" s="87"/>
      <x:c r="AD1847" s="87"/>
      <x:c r="AE1847" s="87"/>
      <x:c r="AF1847" s="87"/>
      <x:c r="AG1847" s="87"/>
      <x:c r="AH1847" s="87"/>
      <x:c r="AI1847" s="30"/>
      <x:c r="AJ1847" s="87" t="str">
        <x:v>master</x:v>
      </x:c>
      <x:c r="AK1847" s="87" t="str">
        <x:v>master-v0.81</x:v>
      </x:c>
      <x:c r="AL1847" s="87" t="str">
        <x:v>statgrad_master_base_v0_81_final(2).xlsx</x:v>
      </x:c>
      <x:c r="AM1847" s="87" t="str">
        <x:v>INF_Apr_V1</x:v>
      </x:c>
      <x:c r="AN1847" s="87" t="n">
        <x:v>22</x:v>
      </x:c>
    </x:row>
    <x:row r="1848">
      <x:c r="A1848" s="87" t="n">
        <x:v>1847</x:v>
      </x:c>
      <x:c r="B1848" s="87" t="str">
        <x:v>APR-INF-V1-022</x:v>
      </x:c>
      <x:c r="C1848" s="87" t="str">
        <x:v>СтатГрад</x:v>
      </x:c>
      <x:c r="D1848" s="87" t="str">
        <x:v>Апрель 2026</x:v>
      </x:c>
      <x:c r="E1848" s="87"/>
      <x:c r="F1848" s="87"/>
      <x:c r="G1848" s="87" t="str">
        <x:v>Информатика</x:v>
      </x:c>
      <x:c r="H1848" s="87" t="n">
        <x:v>11</x:v>
      </x:c>
      <x:c r="I1848" s="87" t="str">
        <x:v>ТР №5</x:v>
      </x:c>
      <x:c r="J1848" s="87" t="str">
        <x:v>ИН2510501</x:v>
      </x:c>
      <x:c r="K1848" s="87" t="n">
        <x:v>22</x:v>
      </x:c>
      <x:c r="L1848" s="87" t="str">
        <x:v>Многопроцессорные системы</x:v>
      </x:c>
      <x:c r="M1848" s="30" t="str">
        <x:v>По таблице зависимостей определить минимальное время завершения процесса 1013.</x:v>
      </x:c>
      <x:c r="N1848" s="30" t="str">
        <x:v>32</x:v>
      </x:c>
      <x:c r="O1848" s="30" t="str">
        <x:v>По таблице процессов построен граф зависимостей и вычислены ранние времена завершения до процесса 1013.</x:v>
      </x:c>
      <x:c r="P1848" s="30" t="str">
        <x:v>Рекурсивный расчёт и топологический проход независимо дают 32.</x:v>
      </x:c>
      <x:c r="Q1848" s="30"/>
      <x:c r="R1848" s="30" t="str">
        <x:v>22.ods + полный PDF + независимый пересчёт</x:v>
      </x:c>
      <x:c r="S1848" s="30"/>
      <x:c r="T1848" s="30"/>
      <x:c r="U1848" s="30" t="str">
        <x:v>Публичный ответ подтверждён.</x:v>
      </x:c>
      <x:c r="V1848" s="87" t="str">
        <x:v>VERIFIED</x:v>
      </x:c>
      <x:c r="W1848" s="87" t="str">
        <x:v>PDF, задание 22</x:v>
      </x:c>
      <x:c r="X1848" s="87"/>
      <x:c r="Y1848" s="87"/>
      <x:c r="Z1848" s="87"/>
      <x:c r="AA1848" s="87"/>
      <x:c r="AB1848" s="87"/>
      <x:c r="AC1848" s="87"/>
      <x:c r="AD1848" s="87"/>
      <x:c r="AE1848" s="87"/>
      <x:c r="AF1848" s="87"/>
      <x:c r="AG1848" s="87"/>
      <x:c r="AH1848" s="87"/>
      <x:c r="AI1848" s="30"/>
      <x:c r="AJ1848" s="87" t="str">
        <x:v>master</x:v>
      </x:c>
      <x:c r="AK1848" s="87" t="str">
        <x:v>master-v0.81</x:v>
      </x:c>
      <x:c r="AL1848" s="87" t="str">
        <x:v>statgrad_master_base_v0_81_final(2).xlsx</x:v>
      </x:c>
      <x:c r="AM1848" s="87" t="str">
        <x:v>INF_Apr_V1</x:v>
      </x:c>
      <x:c r="AN1848" s="87" t="n">
        <x:v>23</x:v>
      </x:c>
    </x:row>
    <x:row r="1849">
      <x:c r="A1849" s="87" t="n">
        <x:v>1848</x:v>
      </x:c>
      <x:c r="B1849" s="87" t="str">
        <x:v>APR-INF-V1-023</x:v>
      </x:c>
      <x:c r="C1849" s="87" t="str">
        <x:v>СтатГрад</x:v>
      </x:c>
      <x:c r="D1849" s="87" t="str">
        <x:v>Апрель 2026</x:v>
      </x:c>
      <x:c r="E1849" s="87"/>
      <x:c r="F1849" s="87"/>
      <x:c r="G1849" s="87" t="str">
        <x:v>Информатика</x:v>
      </x:c>
      <x:c r="H1849" s="87" t="n">
        <x:v>11</x:v>
      </x:c>
      <x:c r="I1849" s="87" t="str">
        <x:v>ТР №5</x:v>
      </x:c>
      <x:c r="J1849" s="87" t="str">
        <x:v>ИН2510501</x:v>
      </x:c>
      <x:c r="K1849" s="87" t="n">
        <x:v>23</x:v>
      </x:c>
      <x:c r="L1849" s="87" t="str">
        <x:v>Динамическое программирование</x:v>
      </x:c>
      <x:c r="M1849" s="30" t="str">
        <x:v>Посчитать программы преобразования числа с обязательным прохождением через заданные промежуточные значения.</x:v>
      </x:c>
      <x:c r="N1849" s="30" t="str">
        <x:v>81</x:v>
      </x:c>
      <x:c r="O1849" s="30" t="str">
        <x:v>Число маршрутов разбито на независимые участки между обязательными точками; произведение количеств путей равно 81.</x:v>
      </x:c>
      <x:c r="P1849" s="30" t="str">
        <x:v>Число маршрутов разбито на независимые участки между обязательными точками; произведение количеств путей равно 81.</x:v>
      </x:c>
      <x:c r="Q1849" s="30"/>
      <x:c r="R1849" s="30" t="str">
        <x:v>Полный PDF + независимое решение</x:v>
      </x:c>
      <x:c r="S1849" s="30"/>
      <x:c r="T1849" s="30"/>
      <x:c r="U1849" s="30" t="str">
        <x:v>Расхождений не обнаружено.</x:v>
      </x:c>
      <x:c r="V1849" s="87" t="str">
        <x:v>VERIFIED</x:v>
      </x:c>
      <x:c r="W1849" s="87" t="str">
        <x:v>PDF, задание 23</x:v>
      </x:c>
      <x:c r="X1849" s="87"/>
      <x:c r="Y1849" s="87"/>
      <x:c r="Z1849" s="87"/>
      <x:c r="AA1849" s="87"/>
      <x:c r="AB1849" s="87"/>
      <x:c r="AC1849" s="87"/>
      <x:c r="AD1849" s="87"/>
      <x:c r="AE1849" s="87"/>
      <x:c r="AF1849" s="87"/>
      <x:c r="AG1849" s="87"/>
      <x:c r="AH1849" s="87"/>
      <x:c r="AI1849" s="30"/>
      <x:c r="AJ1849" s="87" t="str">
        <x:v>master</x:v>
      </x:c>
      <x:c r="AK1849" s="87" t="str">
        <x:v>master-v0.81</x:v>
      </x:c>
      <x:c r="AL1849" s="87" t="str">
        <x:v>statgrad_master_base_v0_81_final(2).xlsx</x:v>
      </x:c>
      <x:c r="AM1849" s="87" t="str">
        <x:v>INF_Apr_V1</x:v>
      </x:c>
      <x:c r="AN1849" s="87" t="n">
        <x:v>24</x:v>
      </x:c>
    </x:row>
    <x:row r="1850">
      <x:c r="A1850" s="87" t="n">
        <x:v>1849</x:v>
      </x:c>
      <x:c r="B1850" s="87" t="str">
        <x:v>APR-INF-V1-024</x:v>
      </x:c>
      <x:c r="C1850" s="87" t="str">
        <x:v>СтатГрад</x:v>
      </x:c>
      <x:c r="D1850" s="87" t="str">
        <x:v>Апрель 2026</x:v>
      </x:c>
      <x:c r="E1850" s="87"/>
      <x:c r="F1850" s="87"/>
      <x:c r="G1850" s="87" t="str">
        <x:v>Информатика</x:v>
      </x:c>
      <x:c r="H1850" s="87" t="n">
        <x:v>11</x:v>
      </x:c>
      <x:c r="I1850" s="87" t="str">
        <x:v>ТР №5</x:v>
      </x:c>
      <x:c r="J1850" s="87" t="str">
        <x:v>ИН2510501</x:v>
      </x:c>
      <x:c r="K1850" s="87" t="n">
        <x:v>24</x:v>
      </x:c>
      <x:c r="L1850" s="87" t="str">
        <x:v>Обработка символьной строки</x:v>
      </x:c>
      <x:c r="M1850" s="30" t="str">
        <x:v>Найти позицию начала максимальной последовательности с одинаковыми нечётными граничными цифрами и равным числом гласных и согласных.</x:v>
      </x:c>
      <x:c r="N1850" s="30" t="str">
        <x:v>5165092</x:v>
      </x:c>
      <x:c r="O1850" s="30" t="str">
        <x:v>Найдена максимальная подстрока, начинающаяся и заканчивающаяся одной нечётной цифрой, с буквами внутри и равным числом гласных и согласных; при равенстве выбран наибольший начальный индекс.</x:v>
      </x:c>
      <x:c r="P1850" s="30" t="str">
        <x:v>Линейный поиск с префиксным балансом и контрольный перебор совпали: 5165092.</x:v>
      </x:c>
      <x:c r="Q1850" s="30"/>
      <x:c r="R1850" s="30" t="str">
        <x:v>24.txt + полный PDF + независимый пересчёт</x:v>
      </x:c>
      <x:c r="S1850" s="30"/>
      <x:c r="T1850" s="30"/>
      <x:c r="U1850" s="30" t="str">
        <x:v>Публичный ответ подтверждён.</x:v>
      </x:c>
      <x:c r="V1850" s="87" t="str">
        <x:v>VERIFIED</x:v>
      </x:c>
      <x:c r="W1850" s="87" t="str">
        <x:v>PDF, задание 24</x:v>
      </x:c>
      <x:c r="X1850" s="87"/>
      <x:c r="Y1850" s="87"/>
      <x:c r="Z1850" s="87"/>
      <x:c r="AA1850" s="87"/>
      <x:c r="AB1850" s="87"/>
      <x:c r="AC1850" s="87"/>
      <x:c r="AD1850" s="87"/>
      <x:c r="AE1850" s="87"/>
      <x:c r="AF1850" s="87"/>
      <x:c r="AG1850" s="87"/>
      <x:c r="AH1850" s="87"/>
      <x:c r="AI1850" s="30"/>
      <x:c r="AJ1850" s="87" t="str">
        <x:v>master</x:v>
      </x:c>
      <x:c r="AK1850" s="87" t="str">
        <x:v>master-v0.81</x:v>
      </x:c>
      <x:c r="AL1850" s="87" t="str">
        <x:v>statgrad_master_base_v0_81_final(2).xlsx</x:v>
      </x:c>
      <x:c r="AM1850" s="87" t="str">
        <x:v>INF_Apr_V1</x:v>
      </x:c>
      <x:c r="AN1850" s="87" t="n">
        <x:v>25</x:v>
      </x:c>
    </x:row>
    <x:row r="1851">
      <x:c r="A1851" s="87" t="n">
        <x:v>1850</x:v>
      </x:c>
      <x:c r="B1851" s="87" t="str">
        <x:v>APR-INF-V1-025</x:v>
      </x:c>
      <x:c r="C1851" s="87" t="str">
        <x:v>СтатГрад</x:v>
      </x:c>
      <x:c r="D1851" s="87" t="str">
        <x:v>Апрель 2026</x:v>
      </x:c>
      <x:c r="E1851" s="87"/>
      <x:c r="F1851" s="87"/>
      <x:c r="G1851" s="87" t="str">
        <x:v>Информатика</x:v>
      </x:c>
      <x:c r="H1851" s="87" t="n">
        <x:v>11</x:v>
      </x:c>
      <x:c r="I1851" s="87" t="str">
        <x:v>ТР №5</x:v>
      </x:c>
      <x:c r="J1851" s="87" t="str">
        <x:v>ИН2510501</x:v>
      </x:c>
      <x:c r="K1851" s="87" t="n">
        <x:v>25</x:v>
      </x:c>
      <x:c r="L1851" s="87" t="str">
        <x:v>Перебор делителей</x:v>
      </x:c>
      <x:c r="M1851" s="30" t="str">
        <x:v>Найти первые пять чисел после 4 555 705, удовлетворяющих условию через сумму собственных делителей S, число простых делителей K и слагаемое на 23.</x:v>
      </x:c>
      <x:c r="N1851" s="30" t="str">
        <x:v>4556054; 4556805; 4558124; 4558712; 4559054</x:v>
      </x:c>
      <x:c r="O1851" s="30" t="str">
        <x:v>Для каждого числа вычислены сумма собственных делителей и количество различных простых делителей; первые пять подходящих найдены полным перебором.</x:v>
      </x:c>
      <x:c r="P1851" s="30" t="str">
        <x:v>Все пять чисел независимо пересчитаны программно.</x:v>
      </x:c>
      <x:c r="Q1851" s="30"/>
      <x:c r="R1851" s="30" t="str">
        <x:v>Полный PDF + независимое решение</x:v>
      </x:c>
      <x:c r="S1851" s="30"/>
      <x:c r="T1851" s="30"/>
      <x:c r="U1851" s="30" t="str">
        <x:v>Расхождений не обнаружено.</x:v>
      </x:c>
      <x:c r="V1851" s="87" t="str">
        <x:v>VERIFIED</x:v>
      </x:c>
      <x:c r="W1851" s="87" t="str">
        <x:v>PDF, задание 25</x:v>
      </x:c>
      <x:c r="X1851" s="87"/>
      <x:c r="Y1851" s="87"/>
      <x:c r="Z1851" s="87"/>
      <x:c r="AA1851" s="87"/>
      <x:c r="AB1851" s="87"/>
      <x:c r="AC1851" s="87"/>
      <x:c r="AD1851" s="87"/>
      <x:c r="AE1851" s="87"/>
      <x:c r="AF1851" s="87"/>
      <x:c r="AG1851" s="87"/>
      <x:c r="AH1851" s="87"/>
      <x:c r="AI1851" s="30"/>
      <x:c r="AJ1851" s="87" t="str">
        <x:v>master</x:v>
      </x:c>
      <x:c r="AK1851" s="87" t="str">
        <x:v>master-v0.81</x:v>
      </x:c>
      <x:c r="AL1851" s="87" t="str">
        <x:v>statgrad_master_base_v0_81_final(2).xlsx</x:v>
      </x:c>
      <x:c r="AM1851" s="87" t="str">
        <x:v>INF_Apr_V1</x:v>
      </x:c>
      <x:c r="AN1851" s="87" t="n">
        <x:v>26</x:v>
      </x:c>
    </x:row>
    <x:row r="1852">
      <x:c r="A1852" s="87" t="n">
        <x:v>1851</x:v>
      </x:c>
      <x:c r="B1852" s="87" t="str">
        <x:v>APR-INF-V1-026</x:v>
      </x:c>
      <x:c r="C1852" s="87" t="str">
        <x:v>СтатГрад</x:v>
      </x:c>
      <x:c r="D1852" s="87" t="str">
        <x:v>Апрель 2026</x:v>
      </x:c>
      <x:c r="E1852" s="87"/>
      <x:c r="F1852" s="87"/>
      <x:c r="G1852" s="87" t="str">
        <x:v>Информатика</x:v>
      </x:c>
      <x:c r="H1852" s="87" t="n">
        <x:v>11</x:v>
      </x:c>
      <x:c r="I1852" s="87" t="str">
        <x:v>ТР №5</x:v>
      </x:c>
      <x:c r="J1852" s="87" t="str">
        <x:v>ИН2510501</x:v>
      </x:c>
      <x:c r="K1852" s="87" t="n">
        <x:v>26</x:v>
      </x:c>
      <x:c r="L1852" s="87" t="str">
        <x:v>Оптимальная вложенность коробок</x:v>
      </x:c>
      <x:c r="M1852" s="30" t="str">
        <x:v>По файлу выбрать максимальную цепочку коробок чередующихся материалов с разностью сторон не менее K+2000.</x:v>
      </x:c>
      <x:c r="N1852" s="30" t="str">
        <x:v>2785; 9995678</x:v>
      </x:c>
      <x:c r="O1852" s="30" t="str">
        <x:v>Построена максимальная цепочка чередующихся материалов при ограничении: внешняя сторона не меньше внутренней + номер позиции + 2000.</x:v>
      </x:c>
      <x:c r="P1852" s="30" t="str">
        <x:v>Динамический расчёт и обратное восстановление цепочки дают 2785; 9995678.</x:v>
      </x:c>
      <x:c r="Q1852" s="30"/>
      <x:c r="R1852" s="30" t="str">
        <x:v>26.txt + полный PDF + независимый пересчёт</x:v>
      </x:c>
      <x:c r="S1852" s="30"/>
      <x:c r="T1852" s="30"/>
      <x:c r="U1852" s="30" t="str">
        <x:v>Публичный ответ подтверждён.</x:v>
      </x:c>
      <x:c r="V1852" s="87" t="str">
        <x:v>VERIFIED</x:v>
      </x:c>
      <x:c r="W1852" s="87" t="str">
        <x:v>PDF, задание 26</x:v>
      </x:c>
      <x:c r="X1852" s="87"/>
      <x:c r="Y1852" s="87"/>
      <x:c r="Z1852" s="87"/>
      <x:c r="AA1852" s="87"/>
      <x:c r="AB1852" s="87"/>
      <x:c r="AC1852" s="87"/>
      <x:c r="AD1852" s="87"/>
      <x:c r="AE1852" s="87"/>
      <x:c r="AF1852" s="87"/>
      <x:c r="AG1852" s="87"/>
      <x:c r="AH1852" s="87"/>
      <x:c r="AI1852" s="30"/>
      <x:c r="AJ1852" s="87" t="str">
        <x:v>master</x:v>
      </x:c>
      <x:c r="AK1852" s="87" t="str">
        <x:v>master-v0.81</x:v>
      </x:c>
      <x:c r="AL1852" s="87" t="str">
        <x:v>statgrad_master_base_v0_81_final(2).xlsx</x:v>
      </x:c>
      <x:c r="AM1852" s="87" t="str">
        <x:v>INF_Apr_V1</x:v>
      </x:c>
      <x:c r="AN1852" s="87" t="n">
        <x:v>27</x:v>
      </x:c>
    </x:row>
    <x:row r="1853">
      <x:c r="A1853" s="87" t="n">
        <x:v>1852</x:v>
      </x:c>
      <x:c r="B1853" s="87" t="str">
        <x:v>APR-INF-V1-027</x:v>
      </x:c>
      <x:c r="C1853" s="87" t="str">
        <x:v>СтатГрад</x:v>
      </x:c>
      <x:c r="D1853" s="87" t="str">
        <x:v>Апрель 2026</x:v>
      </x:c>
      <x:c r="E1853" s="87"/>
      <x:c r="F1853" s="87"/>
      <x:c r="G1853" s="87" t="str">
        <x:v>Информатика</x:v>
      </x:c>
      <x:c r="H1853" s="87" t="n">
        <x:v>11</x:v>
      </x:c>
      <x:c r="I1853" s="87" t="str">
        <x:v>ТР №5</x:v>
      </x:c>
      <x:c r="J1853" s="87" t="str">
        <x:v>ИН2510501</x:v>
      </x:c>
      <x:c r="K1853" s="87" t="n">
        <x:v>27</x:v>
      </x:c>
      <x:c r="L1853" s="87" t="str">
        <x:v>Кластеризация звёзд</x:v>
      </x:c>
      <x:c r="M1853" s="30" t="str">
        <x:v>По двум файлам кластеризовать точки-звёзды и вычислить четыре агрегированных характеристики кластеров.</x:v>
      </x:c>
      <x:c r="N1853" s="30" t="str">
        <x:v>390205; 182699; 60306; 16460</x:v>
      </x:c>
      <x:c r="O1853" s="30" t="str">
        <x:v>Кластеры выделены по геометрическим разрывам; центры выбраны как медоиды. Для A взят наименьший кластер и ближайший белый гигант; для B рассчитаны требуемые расстояния.</x:v>
      </x:c>
      <x:c r="P1853" s="30" t="str">
        <x:v>Повторное кластеризующее решение и полный перебор медоидов дают 390205; 182699; 60306; 16460.</x:v>
      </x:c>
      <x:c r="Q1853" s="30"/>
      <x:c r="R1853" s="30" t="str">
        <x:v>27_A.txt + 27_B.txt + полный PDF + независимый пересчёт</x:v>
      </x:c>
      <x:c r="S1853" s="30"/>
      <x:c r="T1853" s="30"/>
      <x:c r="U1853" s="30" t="str">
        <x:v>Задание SOURCE_REQUIRED закрыто по исходным файлам.</x:v>
      </x:c>
      <x:c r="V1853" s="87" t="str">
        <x:v>VERIFIED</x:v>
      </x:c>
      <x:c r="W1853" s="87" t="str">
        <x:v>PDF, задание 27</x:v>
      </x:c>
      <x:c r="X1853" s="87"/>
      <x:c r="Y1853" s="87"/>
      <x:c r="Z1853" s="87"/>
      <x:c r="AA1853" s="87"/>
      <x:c r="AB1853" s="87"/>
      <x:c r="AC1853" s="87"/>
      <x:c r="AD1853" s="87"/>
      <x:c r="AE1853" s="87"/>
      <x:c r="AF1853" s="87"/>
      <x:c r="AG1853" s="87"/>
      <x:c r="AH1853" s="87"/>
      <x:c r="AI1853" s="30"/>
      <x:c r="AJ1853" s="87" t="str">
        <x:v>master</x:v>
      </x:c>
      <x:c r="AK1853" s="87" t="str">
        <x:v>master-v0.81</x:v>
      </x:c>
      <x:c r="AL1853" s="87" t="str">
        <x:v>statgrad_master_base_v0_81_final(2).xlsx</x:v>
      </x:c>
      <x:c r="AM1853" s="87" t="str">
        <x:v>INF_Apr_V1</x:v>
      </x:c>
      <x:c r="AN1853" s="87" t="n">
        <x:v>28</x:v>
      </x:c>
    </x:row>
    <x:row r="1854">
      <x:c r="A1854" s="87" t="n">
        <x:v>1853</x:v>
      </x:c>
      <x:c r="B1854" s="87" t="str">
        <x:v>APR-INF-V2-001</x:v>
      </x:c>
      <x:c r="C1854" s="87" t="str">
        <x:v>СтатГрад</x:v>
      </x:c>
      <x:c r="D1854" s="87" t="str">
        <x:v>Апрель 2026</x:v>
      </x:c>
      <x:c r="E1854" s="87"/>
      <x:c r="F1854" s="87"/>
      <x:c r="G1854" s="87" t="str">
        <x:v>Информатика</x:v>
      </x:c>
      <x:c r="H1854" s="87" t="n">
        <x:v>11</x:v>
      </x:c>
      <x:c r="I1854" s="87" t="str">
        <x:v>ТР №5</x:v>
      </x:c>
      <x:c r="J1854" s="87" t="str">
        <x:v>ИН2510502</x:v>
      </x:c>
      <x:c r="K1854" s="87" t="n">
        <x:v>1</x:v>
      </x:c>
      <x:c r="L1854" s="87" t="str">
        <x:v>Граф и таблица дорог</x:v>
      </x:c>
      <x:c r="M1854" s="30" t="str">
        <x:v>По схеме дорог и таблице смежности определить номера населённых пунктов C и F.</x:v>
      </x:c>
      <x:c r="N1854" s="30" t="str">
        <x:v>58</x:v>
      </x:c>
      <x:c r="O1854" s="30" t="str">
        <x:v>Степени вершин и структура соседства дают номера 5 и 8.</x:v>
      </x:c>
      <x:c r="P1854" s="30" t="str">
        <x:v>Степени вершин и структура соседства дают номера 5 и 8.</x:v>
      </x:c>
      <x:c r="Q1854" s="30"/>
      <x:c r="R1854" s="30" t="str">
        <x:v>Полный PDF + независимое решение</x:v>
      </x:c>
      <x:c r="S1854" s="30"/>
      <x:c r="T1854" s="30"/>
      <x:c r="U1854" s="30" t="str">
        <x:v>Расхождений не обнаружено.</x:v>
      </x:c>
      <x:c r="V1854" s="87" t="str">
        <x:v>VERIFIED</x:v>
      </x:c>
      <x:c r="W1854" s="87" t="str">
        <x:v>PDF, задание 1</x:v>
      </x:c>
      <x:c r="X1854" s="87"/>
      <x:c r="Y1854" s="87"/>
      <x:c r="Z1854" s="87"/>
      <x:c r="AA1854" s="87"/>
      <x:c r="AB1854" s="87"/>
      <x:c r="AC1854" s="87"/>
      <x:c r="AD1854" s="87"/>
      <x:c r="AE1854" s="87"/>
      <x:c r="AF1854" s="87"/>
      <x:c r="AG1854" s="87"/>
      <x:c r="AH1854" s="87"/>
      <x:c r="AI1854" s="30"/>
      <x:c r="AJ1854" s="87" t="str">
        <x:v>master</x:v>
      </x:c>
      <x:c r="AK1854" s="87" t="str">
        <x:v>master-v0.81</x:v>
      </x:c>
      <x:c r="AL1854" s="87" t="str">
        <x:v>statgrad_master_base_v0_81_final(2).xlsx</x:v>
      </x:c>
      <x:c r="AM1854" s="87" t="str">
        <x:v>INF_Apr_V2</x:v>
      </x:c>
      <x:c r="AN1854" s="87" t="n">
        <x:v>2</x:v>
      </x:c>
    </x:row>
    <x:row r="1855">
      <x:c r="A1855" s="87" t="n">
        <x:v>1854</x:v>
      </x:c>
      <x:c r="B1855" s="87" t="str">
        <x:v>APR-INF-V2-002</x:v>
      </x:c>
      <x:c r="C1855" s="87" t="str">
        <x:v>СтатГрад</x:v>
      </x:c>
      <x:c r="D1855" s="87" t="str">
        <x:v>Апрель 2026</x:v>
      </x:c>
      <x:c r="E1855" s="87"/>
      <x:c r="F1855" s="87"/>
      <x:c r="G1855" s="87" t="str">
        <x:v>Информатика</x:v>
      </x:c>
      <x:c r="H1855" s="87" t="n">
        <x:v>11</x:v>
      </x:c>
      <x:c r="I1855" s="87" t="str">
        <x:v>ТР №5</x:v>
      </x:c>
      <x:c r="J1855" s="87" t="str">
        <x:v>ИН2510502</x:v>
      </x:c>
      <x:c r="K1855" s="87" t="n">
        <x:v>2</x:v>
      </x:c>
      <x:c r="L1855" s="87" t="str">
        <x:v>Таблица истинности</x:v>
      </x:c>
      <x:c r="M1855" s="30" t="str">
        <x:v>Восстановить порядок переменных w, x, y, z по фрагменту таблицы истинности функции.</x:v>
      </x:c>
      <x:c r="N1855" s="30" t="str">
        <x:v>zyxw</x:v>
      </x:c>
      <x:c r="O1855" s="30" t="str">
        <x:v>Перебор перестановок переменных оставляет единственный порядок z, y, x, w.</x:v>
      </x:c>
      <x:c r="P1855" s="30" t="str">
        <x:v>Перебор перестановок переменных оставляет единственный порядок z, y, x, w.</x:v>
      </x:c>
      <x:c r="Q1855" s="30"/>
      <x:c r="R1855" s="30" t="str">
        <x:v>Полный PDF + независимое решение</x:v>
      </x:c>
      <x:c r="S1855" s="30"/>
      <x:c r="T1855" s="30"/>
      <x:c r="U1855" s="30" t="str">
        <x:v>Расхождений не обнаружено.</x:v>
      </x:c>
      <x:c r="V1855" s="87" t="str">
        <x:v>VERIFIED</x:v>
      </x:c>
      <x:c r="W1855" s="87" t="str">
        <x:v>PDF, задание 2</x:v>
      </x:c>
      <x:c r="X1855" s="87"/>
      <x:c r="Y1855" s="87"/>
      <x:c r="Z1855" s="87"/>
      <x:c r="AA1855" s="87"/>
      <x:c r="AB1855" s="87"/>
      <x:c r="AC1855" s="87"/>
      <x:c r="AD1855" s="87"/>
      <x:c r="AE1855" s="87"/>
      <x:c r="AF1855" s="87"/>
      <x:c r="AG1855" s="87"/>
      <x:c r="AH1855" s="87"/>
      <x:c r="AI1855" s="30"/>
      <x:c r="AJ1855" s="87" t="str">
        <x:v>master</x:v>
      </x:c>
      <x:c r="AK1855" s="87" t="str">
        <x:v>master-v0.81</x:v>
      </x:c>
      <x:c r="AL1855" s="87" t="str">
        <x:v>statgrad_master_base_v0_81_final(2).xlsx</x:v>
      </x:c>
      <x:c r="AM1855" s="87" t="str">
        <x:v>INF_Apr_V2</x:v>
      </x:c>
      <x:c r="AN1855" s="87" t="n">
        <x:v>3</x:v>
      </x:c>
    </x:row>
    <x:row r="1856">
      <x:c r="A1856" s="87" t="n">
        <x:v>1855</x:v>
      </x:c>
      <x:c r="B1856" s="87" t="str">
        <x:v>APR-INF-V2-003</x:v>
      </x:c>
      <x:c r="C1856" s="87" t="str">
        <x:v>СтатГрад</x:v>
      </x:c>
      <x:c r="D1856" s="87" t="str">
        <x:v>Апрель 2026</x:v>
      </x:c>
      <x:c r="E1856" s="87"/>
      <x:c r="F1856" s="87"/>
      <x:c r="G1856" s="87" t="str">
        <x:v>Информатика</x:v>
      </x:c>
      <x:c r="H1856" s="87" t="n">
        <x:v>11</x:v>
      </x:c>
      <x:c r="I1856" s="87" t="str">
        <x:v>ТР №5</x:v>
      </x:c>
      <x:c r="J1856" s="87" t="str">
        <x:v>ИН2510502</x:v>
      </x:c>
      <x:c r="K1856" s="87" t="n">
        <x:v>3</x:v>
      </x:c>
      <x:c r="L1856" s="87" t="str">
        <x:v>Реляционная база данных</x:v>
      </x:c>
      <x:c r="M1856" s="30" t="str">
        <x:v>По таблицам театра найти выручку за взрослые билеты без льгот на утренние сказки режиссёра Зимина В. В. в заданном диапазоне дат.</x:v>
      </x:c>
      <x:c r="N1856" s="30" t="str">
        <x:v>10400</x:v>
      </x:c>
      <x:c r="O1856" s="30" t="str">
        <x:v>Связаны таблицы продаж, тарифов и спектаклей; применены фильтры по дате покупки 19.04–06.11, утреннему тарифу, жанру «сказка» и режиссёру Зимину В. В.; просуммирована полная стоимость взрослых билетов.</x:v>
      </x:c>
      <x:c r="P1856" s="30" t="str">
        <x:v>Повторный пересчёт всех подходящих операций ODS воспроизводит 10400.</x:v>
      </x:c>
      <x:c r="Q1856" s="30"/>
      <x:c r="R1856" s="30" t="str">
        <x:v>3.ods + полный PDF + независимый пересчёт</x:v>
      </x:c>
      <x:c r="S1856" s="30"/>
      <x:c r="T1856" s="30"/>
      <x:c r="U1856" s="30" t="str">
        <x:v>Публичный ответ подтверждён.</x:v>
      </x:c>
      <x:c r="V1856" s="87" t="str">
        <x:v>VERIFIED</x:v>
      </x:c>
      <x:c r="W1856" s="87" t="str">
        <x:v>PDF, задание 3</x:v>
      </x:c>
      <x:c r="X1856" s="87"/>
      <x:c r="Y1856" s="87"/>
      <x:c r="Z1856" s="87"/>
      <x:c r="AA1856" s="87"/>
      <x:c r="AB1856" s="87"/>
      <x:c r="AC1856" s="87"/>
      <x:c r="AD1856" s="87"/>
      <x:c r="AE1856" s="87"/>
      <x:c r="AF1856" s="87"/>
      <x:c r="AG1856" s="87"/>
      <x:c r="AH1856" s="87"/>
      <x:c r="AI1856" s="30"/>
      <x:c r="AJ1856" s="87" t="str">
        <x:v>master</x:v>
      </x:c>
      <x:c r="AK1856" s="87" t="str">
        <x:v>master-v0.81</x:v>
      </x:c>
      <x:c r="AL1856" s="87" t="str">
        <x:v>statgrad_master_base_v0_81_final(2).xlsx</x:v>
      </x:c>
      <x:c r="AM1856" s="87" t="str">
        <x:v>INF_Apr_V2</x:v>
      </x:c>
      <x:c r="AN1856" s="87" t="n">
        <x:v>4</x:v>
      </x:c>
    </x:row>
    <x:row r="1857">
      <x:c r="A1857" s="87" t="n">
        <x:v>1856</x:v>
      </x:c>
      <x:c r="B1857" s="87" t="str">
        <x:v>APR-INF-V2-004</x:v>
      </x:c>
      <x:c r="C1857" s="87" t="str">
        <x:v>СтатГрад</x:v>
      </x:c>
      <x:c r="D1857" s="87" t="str">
        <x:v>Апрель 2026</x:v>
      </x:c>
      <x:c r="E1857" s="87"/>
      <x:c r="F1857" s="87"/>
      <x:c r="G1857" s="87" t="str">
        <x:v>Информатика</x:v>
      </x:c>
      <x:c r="H1857" s="87" t="n">
        <x:v>11</x:v>
      </x:c>
      <x:c r="I1857" s="87" t="str">
        <x:v>ТР №5</x:v>
      </x:c>
      <x:c r="J1857" s="87" t="str">
        <x:v>ИН2510502</x:v>
      </x:c>
      <x:c r="K1857" s="87" t="n">
        <x:v>4</x:v>
      </x:c>
      <x:c r="L1857" s="87" t="str">
        <x:v>Кодирование по условию Фано</x:v>
      </x:c>
      <x:c r="M1857" s="30" t="str">
        <x:v>Дополнить известные кодовые слова и найти минимальную сумму длин кодов Е, К, Р, Я.</x:v>
      </x:c>
      <x:c r="N1857" s="30" t="str">
        <x:v>14</x:v>
      </x:c>
      <x:c r="O1857" s="30" t="str">
        <x:v>Свободные ветви префиксного дерева распределены с учётом частот букв; минимальная сумма равна 14.</x:v>
      </x:c>
      <x:c r="P1857" s="30" t="str">
        <x:v>Свободные ветви префиксного дерева распределены с учётом частот букв; минимальная сумма равна 14.</x:v>
      </x:c>
      <x:c r="Q1857" s="30"/>
      <x:c r="R1857" s="30" t="str">
        <x:v>Полный PDF + независимое решение</x:v>
      </x:c>
      <x:c r="S1857" s="30"/>
      <x:c r="T1857" s="30"/>
      <x:c r="U1857" s="30" t="str">
        <x:v>Расхождений не обнаружено.</x:v>
      </x:c>
      <x:c r="V1857" s="87" t="str">
        <x:v>VERIFIED</x:v>
      </x:c>
      <x:c r="W1857" s="87" t="str">
        <x:v>PDF, задание 4</x:v>
      </x:c>
      <x:c r="X1857" s="87"/>
      <x:c r="Y1857" s="87"/>
      <x:c r="Z1857" s="87"/>
      <x:c r="AA1857" s="87"/>
      <x:c r="AB1857" s="87"/>
      <x:c r="AC1857" s="87"/>
      <x:c r="AD1857" s="87"/>
      <x:c r="AE1857" s="87"/>
      <x:c r="AF1857" s="87"/>
      <x:c r="AG1857" s="87"/>
      <x:c r="AH1857" s="87"/>
      <x:c r="AI1857" s="30"/>
      <x:c r="AJ1857" s="87" t="str">
        <x:v>master</x:v>
      </x:c>
      <x:c r="AK1857" s="87" t="str">
        <x:v>master-v0.81</x:v>
      </x:c>
      <x:c r="AL1857" s="87" t="str">
        <x:v>statgrad_master_base_v0_81_final(2).xlsx</x:v>
      </x:c>
      <x:c r="AM1857" s="87" t="str">
        <x:v>INF_Apr_V2</x:v>
      </x:c>
      <x:c r="AN1857" s="87" t="n">
        <x:v>5</x:v>
      </x:c>
    </x:row>
    <x:row r="1858">
      <x:c r="A1858" s="87" t="n">
        <x:v>1857</x:v>
      </x:c>
      <x:c r="B1858" s="87" t="str">
        <x:v>APR-INF-V2-005</x:v>
      </x:c>
      <x:c r="C1858" s="87" t="str">
        <x:v>СтатГрад</x:v>
      </x:c>
      <x:c r="D1858" s="87" t="str">
        <x:v>Апрель 2026</x:v>
      </x:c>
      <x:c r="E1858" s="87"/>
      <x:c r="F1858" s="87"/>
      <x:c r="G1858" s="87" t="str">
        <x:v>Информатика</x:v>
      </x:c>
      <x:c r="H1858" s="87" t="n">
        <x:v>11</x:v>
      </x:c>
      <x:c r="I1858" s="87" t="str">
        <x:v>ТР №5</x:v>
      </x:c>
      <x:c r="J1858" s="87" t="str">
        <x:v>ИН2510502</x:v>
      </x:c>
      <x:c r="K1858" s="87" t="n">
        <x:v>5</x:v>
      </x:c>
      <x:c r="L1858" s="87" t="str">
        <x:v>Двоичный алгоритм</x:v>
      </x:c>
      <x:c r="M1858" s="30" t="str">
        <x:v>Найти N, после преобразования которого получается максимальное R&lt;768.</x:v>
      </x:c>
      <x:c r="N1858" s="30" t="str">
        <x:v>639</x:v>
      </x:c>
      <x:c r="O1858" s="30" t="str">
        <x:v>Полный перебор натуральных N по правилам алгоритма даёт N=639.</x:v>
      </x:c>
      <x:c r="P1858" s="30" t="str">
        <x:v>Полный перебор натуральных N по правилам алгоритма даёт N=639.</x:v>
      </x:c>
      <x:c r="Q1858" s="30"/>
      <x:c r="R1858" s="30" t="str">
        <x:v>Полный PDF + независимое решение</x:v>
      </x:c>
      <x:c r="S1858" s="30"/>
      <x:c r="T1858" s="30"/>
      <x:c r="U1858" s="30" t="str">
        <x:v>Расхождений не обнаружено.</x:v>
      </x:c>
      <x:c r="V1858" s="87" t="str">
        <x:v>VERIFIED</x:v>
      </x:c>
      <x:c r="W1858" s="87" t="str">
        <x:v>PDF, задание 5</x:v>
      </x:c>
      <x:c r="X1858" s="87"/>
      <x:c r="Y1858" s="87"/>
      <x:c r="Z1858" s="87"/>
      <x:c r="AA1858" s="87"/>
      <x:c r="AB1858" s="87"/>
      <x:c r="AC1858" s="87"/>
      <x:c r="AD1858" s="87"/>
      <x:c r="AE1858" s="87"/>
      <x:c r="AF1858" s="87"/>
      <x:c r="AG1858" s="87"/>
      <x:c r="AH1858" s="87"/>
      <x:c r="AI1858" s="30"/>
      <x:c r="AJ1858" s="87" t="str">
        <x:v>master</x:v>
      </x:c>
      <x:c r="AK1858" s="87" t="str">
        <x:v>master-v0.81</x:v>
      </x:c>
      <x:c r="AL1858" s="87" t="str">
        <x:v>statgrad_master_base_v0_81_final(2).xlsx</x:v>
      </x:c>
      <x:c r="AM1858" s="87" t="str">
        <x:v>INF_Apr_V2</x:v>
      </x:c>
      <x:c r="AN1858" s="87" t="n">
        <x:v>6</x:v>
      </x:c>
    </x:row>
    <x:row r="1859">
      <x:c r="A1859" s="87" t="n">
        <x:v>1858</x:v>
      </x:c>
      <x:c r="B1859" s="87" t="str">
        <x:v>APR-INF-V2-006</x:v>
      </x:c>
      <x:c r="C1859" s="87" t="str">
        <x:v>СтатГрад</x:v>
      </x:c>
      <x:c r="D1859" s="87" t="str">
        <x:v>Апрель 2026</x:v>
      </x:c>
      <x:c r="E1859" s="87"/>
      <x:c r="F1859" s="87"/>
      <x:c r="G1859" s="87" t="str">
        <x:v>Информатика</x:v>
      </x:c>
      <x:c r="H1859" s="87" t="n">
        <x:v>11</x:v>
      </x:c>
      <x:c r="I1859" s="87" t="str">
        <x:v>ТР №5</x:v>
      </x:c>
      <x:c r="J1859" s="87" t="str">
        <x:v>ИН2510502</x:v>
      </x:c>
      <x:c r="K1859" s="87" t="n">
        <x:v>6</x:v>
      </x:c>
      <x:c r="L1859" s="87" t="str">
        <x:v>Исполнитель Черепаха</x:v>
      </x:c>
      <x:c r="M1859" s="30" t="str">
        <x:v>Выполнить цикл с отрезками 97 и 81 и поворотами 135° и 45°; найти площадь.</x:v>
      </x:c>
      <x:c r="N1859" s="30" t="str">
        <x:v>5556</x:v>
      </x:c>
      <x:c r="O1859" s="30" t="str">
        <x:v>Координаты многоугольника получены векторным моделированием; округлённая площадь равна 5556.</x:v>
      </x:c>
      <x:c r="P1859" s="30" t="str">
        <x:v>Координаты многоугольника получены векторным моделированием; округлённая площадь равна 5556.</x:v>
      </x:c>
      <x:c r="Q1859" s="30"/>
      <x:c r="R1859" s="30" t="str">
        <x:v>Полный PDF + независимое решение</x:v>
      </x:c>
      <x:c r="S1859" s="30"/>
      <x:c r="T1859" s="30"/>
      <x:c r="U1859" s="30" t="str">
        <x:v>Расхождений не обнаружено.</x:v>
      </x:c>
      <x:c r="V1859" s="87" t="str">
        <x:v>VERIFIED</x:v>
      </x:c>
      <x:c r="W1859" s="87" t="str">
        <x:v>PDF, задание 6</x:v>
      </x:c>
      <x:c r="X1859" s="87"/>
      <x:c r="Y1859" s="87"/>
      <x:c r="Z1859" s="87"/>
      <x:c r="AA1859" s="87"/>
      <x:c r="AB1859" s="87"/>
      <x:c r="AC1859" s="87"/>
      <x:c r="AD1859" s="87"/>
      <x:c r="AE1859" s="87"/>
      <x:c r="AF1859" s="87"/>
      <x:c r="AG1859" s="87"/>
      <x:c r="AH1859" s="87"/>
      <x:c r="AI1859" s="30"/>
      <x:c r="AJ1859" s="87" t="str">
        <x:v>master</x:v>
      </x:c>
      <x:c r="AK1859" s="87" t="str">
        <x:v>master-v0.81</x:v>
      </x:c>
      <x:c r="AL1859" s="87" t="str">
        <x:v>statgrad_master_base_v0_81_final(2).xlsx</x:v>
      </x:c>
      <x:c r="AM1859" s="87" t="str">
        <x:v>INF_Apr_V2</x:v>
      </x:c>
      <x:c r="AN1859" s="87" t="n">
        <x:v>7</x:v>
      </x:c>
    </x:row>
    <x:row r="1860">
      <x:c r="A1860" s="87" t="n">
        <x:v>1859</x:v>
      </x:c>
      <x:c r="B1860" s="87" t="str">
        <x:v>APR-INF-V2-007</x:v>
      </x:c>
      <x:c r="C1860" s="87" t="str">
        <x:v>СтатГрад</x:v>
      </x:c>
      <x:c r="D1860" s="87" t="str">
        <x:v>Апрель 2026</x:v>
      </x:c>
      <x:c r="E1860" s="87"/>
      <x:c r="F1860" s="87"/>
      <x:c r="G1860" s="87" t="str">
        <x:v>Информатика</x:v>
      </x:c>
      <x:c r="H1860" s="87" t="n">
        <x:v>11</x:v>
      </x:c>
      <x:c r="I1860" s="87" t="str">
        <x:v>ТР №5</x:v>
      </x:c>
      <x:c r="J1860" s="87" t="str">
        <x:v>ИН2510502</x:v>
      </x:c>
      <x:c r="K1860" s="87" t="n">
        <x:v>7</x:v>
      </x:c>
      <x:c r="L1860" s="87" t="str">
        <x:v>Объём растровых изображений</x:v>
      </x:c>
      <x:c r="M1860" s="30" t="str">
        <x:v>Найти экономию трафика для 1 327 573 фотографий при переводе 8000×6000 в 320×240 и глубину 6 бит.</x:v>
      </x:c>
      <x:c r="N1860" s="30" t="str">
        <x:v>133459</x:v>
      </x:c>
      <x:c r="O1860" s="30" t="str">
        <x:v>Исходно требуется 18 бит на пиксель, после перекодирования — 6; разность объёмов даёт 133459 Гбайт.</x:v>
      </x:c>
      <x:c r="P1860" s="30" t="str">
        <x:v>Исходно требуется 18 бит на пиксель, после перекодирования — 6; разность объёмов даёт 133459 Гбайт.</x:v>
      </x:c>
      <x:c r="Q1860" s="30"/>
      <x:c r="R1860" s="30" t="str">
        <x:v>Полный PDF + независимое решение</x:v>
      </x:c>
      <x:c r="S1860" s="30"/>
      <x:c r="T1860" s="30"/>
      <x:c r="U1860" s="30" t="str">
        <x:v>Расхождений не обнаружено.</x:v>
      </x:c>
      <x:c r="V1860" s="87" t="str">
        <x:v>VERIFIED</x:v>
      </x:c>
      <x:c r="W1860" s="87" t="str">
        <x:v>PDF, задание 7</x:v>
      </x:c>
      <x:c r="X1860" s="87"/>
      <x:c r="Y1860" s="87"/>
      <x:c r="Z1860" s="87"/>
      <x:c r="AA1860" s="87"/>
      <x:c r="AB1860" s="87"/>
      <x:c r="AC1860" s="87"/>
      <x:c r="AD1860" s="87"/>
      <x:c r="AE1860" s="87"/>
      <x:c r="AF1860" s="87"/>
      <x:c r="AG1860" s="87"/>
      <x:c r="AH1860" s="87"/>
      <x:c r="AI1860" s="30"/>
      <x:c r="AJ1860" s="87" t="str">
        <x:v>master</x:v>
      </x:c>
      <x:c r="AK1860" s="87" t="str">
        <x:v>master-v0.81</x:v>
      </x:c>
      <x:c r="AL1860" s="87" t="str">
        <x:v>statgrad_master_base_v0_81_final(2).xlsx</x:v>
      </x:c>
      <x:c r="AM1860" s="87" t="str">
        <x:v>INF_Apr_V2</x:v>
      </x:c>
      <x:c r="AN1860" s="87" t="n">
        <x:v>8</x:v>
      </x:c>
    </x:row>
    <x:row r="1861">
      <x:c r="A1861" s="87" t="n">
        <x:v>1860</x:v>
      </x:c>
      <x:c r="B1861" s="87" t="str">
        <x:v>APR-INF-V2-008</x:v>
      </x:c>
      <x:c r="C1861" s="87" t="str">
        <x:v>СтатГрад</x:v>
      </x:c>
      <x:c r="D1861" s="87" t="str">
        <x:v>Апрель 2026</x:v>
      </x:c>
      <x:c r="E1861" s="87"/>
      <x:c r="F1861" s="87"/>
      <x:c r="G1861" s="87" t="str">
        <x:v>Информатика</x:v>
      </x:c>
      <x:c r="H1861" s="87" t="n">
        <x:v>11</x:v>
      </x:c>
      <x:c r="I1861" s="87" t="str">
        <x:v>ТР №5</x:v>
      </x:c>
      <x:c r="J1861" s="87" t="str">
        <x:v>ИН2510502</x:v>
      </x:c>
      <x:c r="K1861" s="87" t="n">
        <x:v>8</x:v>
      </x:c>
      <x:c r="L1861" s="87" t="str">
        <x:v>Комбинаторика систем счисления</x:v>
      </x:c>
      <x:c r="M1861" s="30" t="str">
        <x:v>Посчитать четырёхзначные шестнадцатеричные числа с ровно одной E, рядом с которой нет чётных цифр.</x:v>
      </x:c>
      <x:c r="N1861" s="30" t="str">
        <x:v>5336</x:v>
      </x:c>
      <x:c r="O1861" s="30" t="str">
        <x:v>Случаи по позиции E подсчитаны с ограничениями на соседей и ненулевой старшей цифрой.</x:v>
      </x:c>
      <x:c r="P1861" s="30" t="str">
        <x:v>Случаи по позиции E подсчитаны с ограничениями на соседей и ненулевой старшей цифрой.</x:v>
      </x:c>
      <x:c r="Q1861" s="30"/>
      <x:c r="R1861" s="30" t="str">
        <x:v>Полный PDF + независимое решение</x:v>
      </x:c>
      <x:c r="S1861" s="30"/>
      <x:c r="T1861" s="30"/>
      <x:c r="U1861" s="30" t="str">
        <x:v>Расхождений не обнаружено.</x:v>
      </x:c>
      <x:c r="V1861" s="87" t="str">
        <x:v>VERIFIED</x:v>
      </x:c>
      <x:c r="W1861" s="87" t="str">
        <x:v>PDF, задание 8</x:v>
      </x:c>
      <x:c r="X1861" s="87"/>
      <x:c r="Y1861" s="87"/>
      <x:c r="Z1861" s="87"/>
      <x:c r="AA1861" s="87"/>
      <x:c r="AB1861" s="87"/>
      <x:c r="AC1861" s="87"/>
      <x:c r="AD1861" s="87"/>
      <x:c r="AE1861" s="87"/>
      <x:c r="AF1861" s="87"/>
      <x:c r="AG1861" s="87"/>
      <x:c r="AH1861" s="87"/>
      <x:c r="AI1861" s="30"/>
      <x:c r="AJ1861" s="87" t="str">
        <x:v>master</x:v>
      </x:c>
      <x:c r="AK1861" s="87" t="str">
        <x:v>master-v0.81</x:v>
      </x:c>
      <x:c r="AL1861" s="87" t="str">
        <x:v>statgrad_master_base_v0_81_final(2).xlsx</x:v>
      </x:c>
      <x:c r="AM1861" s="87" t="str">
        <x:v>INF_Apr_V2</x:v>
      </x:c>
      <x:c r="AN1861" s="87" t="n">
        <x:v>9</x:v>
      </x:c>
    </x:row>
    <x:row r="1862">
      <x:c r="A1862" s="87" t="n">
        <x:v>1861</x:v>
      </x:c>
      <x:c r="B1862" s="87" t="str">
        <x:v>APR-INF-V2-009</x:v>
      </x:c>
      <x:c r="C1862" s="87" t="str">
        <x:v>СтатГрад</x:v>
      </x:c>
      <x:c r="D1862" s="87" t="str">
        <x:v>Апрель 2026</x:v>
      </x:c>
      <x:c r="E1862" s="87"/>
      <x:c r="F1862" s="87"/>
      <x:c r="G1862" s="87" t="str">
        <x:v>Информатика</x:v>
      </x:c>
      <x:c r="H1862" s="87" t="n">
        <x:v>11</x:v>
      </x:c>
      <x:c r="I1862" s="87" t="str">
        <x:v>ТР №5</x:v>
      </x:c>
      <x:c r="J1862" s="87" t="str">
        <x:v>ИН2510502</x:v>
      </x:c>
      <x:c r="K1862" s="87" t="n">
        <x:v>9</x:v>
      </x:c>
      <x:c r="L1862" s="87" t="str">
        <x:v>Обработка электронной таблицы</x:v>
      </x:c>
      <x:c r="M1862" s="30" t="str">
        <x:v>Найти сумму номеров строк: одно число повторяется четыре раза, остальные различны, порядок невозрастающий.</x:v>
      </x:c>
      <x:c r="N1862" s="30" t="str">
        <x:v>2222502</x:v>
      </x:c>
      <x:c r="O1862" s="30" t="str">
        <x:v>Отобраны строки из семи чисел: одно значение встречается ровно 4 раза, остальные различны, строка невозрастает; суммированы номера строк.</x:v>
      </x:c>
      <x:c r="P1862" s="30" t="str">
        <x:v>Независимый программный проход по всей таблице даёт 2222502.</x:v>
      </x:c>
      <x:c r="Q1862" s="30"/>
      <x:c r="R1862" s="30" t="str">
        <x:v>9.ods + полный PDF + независимый пересчёт</x:v>
      </x:c>
      <x:c r="S1862" s="30"/>
      <x:c r="T1862" s="30"/>
      <x:c r="U1862" s="30" t="str">
        <x:v>Публичный ответ подтверждён.</x:v>
      </x:c>
      <x:c r="V1862" s="87" t="str">
        <x:v>VERIFIED</x:v>
      </x:c>
      <x:c r="W1862" s="87" t="str">
        <x:v>PDF, задание 9</x:v>
      </x:c>
      <x:c r="X1862" s="87"/>
      <x:c r="Y1862" s="87"/>
      <x:c r="Z1862" s="87"/>
      <x:c r="AA1862" s="87"/>
      <x:c r="AB1862" s="87"/>
      <x:c r="AC1862" s="87"/>
      <x:c r="AD1862" s="87"/>
      <x:c r="AE1862" s="87"/>
      <x:c r="AF1862" s="87"/>
      <x:c r="AG1862" s="87"/>
      <x:c r="AH1862" s="87"/>
      <x:c r="AI1862" s="30"/>
      <x:c r="AJ1862" s="87" t="str">
        <x:v>master</x:v>
      </x:c>
      <x:c r="AK1862" s="87" t="str">
        <x:v>master-v0.81</x:v>
      </x:c>
      <x:c r="AL1862" s="87" t="str">
        <x:v>statgrad_master_base_v0_81_final(2).xlsx</x:v>
      </x:c>
      <x:c r="AM1862" s="87" t="str">
        <x:v>INF_Apr_V2</x:v>
      </x:c>
      <x:c r="AN1862" s="87" t="n">
        <x:v>10</x:v>
      </x:c>
    </x:row>
    <x:row r="1863">
      <x:c r="A1863" s="87" t="n">
        <x:v>1862</x:v>
      </x:c>
      <x:c r="B1863" s="87" t="str">
        <x:v>APR-INF-V2-010</x:v>
      </x:c>
      <x:c r="C1863" s="87" t="str">
        <x:v>СтатГрад</x:v>
      </x:c>
      <x:c r="D1863" s="87" t="str">
        <x:v>Апрель 2026</x:v>
      </x:c>
      <x:c r="E1863" s="87"/>
      <x:c r="F1863" s="87"/>
      <x:c r="G1863" s="87" t="str">
        <x:v>Информатика</x:v>
      </x:c>
      <x:c r="H1863" s="87" t="n">
        <x:v>11</x:v>
      </x:c>
      <x:c r="I1863" s="87" t="str">
        <x:v>ТР №5</x:v>
      </x:c>
      <x:c r="J1863" s="87" t="str">
        <x:v>ИН2510502</x:v>
      </x:c>
      <x:c r="K1863" s="87" t="n">
        <x:v>10</x:v>
      </x:c>
      <x:c r="L1863" s="87" t="str">
        <x:v>Поиск в тексте</x:v>
      </x:c>
      <x:c r="M1863" s="30" t="str">
        <x:v>Посчитать сочетание «по» непосредственно до или после дефиса в заданной редакции «Отцов и детей».</x:v>
      </x:c>
      <x:c r="N1863" s="30" t="str">
        <x:v>62</x:v>
      </x:c>
      <x:c r="O1863" s="30" t="str">
        <x:v>В точном тексте приложения посчитаны строчные сочетания «по», непосредственно стоящие до или после дефиса; регистр учитывается.</x:v>
      </x:c>
      <x:c r="P1863" s="30" t="str">
        <x:v>Два независимых регулярных выражения дают одинаковый результат 62.</x:v>
      </x:c>
      <x:c r="Q1863" s="30"/>
      <x:c r="R1863" s="30" t="str">
        <x:v>10.odt + полный PDF + независимый пересчёт</x:v>
      </x:c>
      <x:c r="S1863" s="30"/>
      <x:c r="T1863" s="30"/>
      <x:c r="U1863" s="30" t="str">
        <x:v>Публичный ответ подтверждён.</x:v>
      </x:c>
      <x:c r="V1863" s="87" t="str">
        <x:v>VERIFIED</x:v>
      </x:c>
      <x:c r="W1863" s="87" t="str">
        <x:v>PDF, задание 10</x:v>
      </x:c>
      <x:c r="X1863" s="87"/>
      <x:c r="Y1863" s="87"/>
      <x:c r="Z1863" s="87"/>
      <x:c r="AA1863" s="87"/>
      <x:c r="AB1863" s="87"/>
      <x:c r="AC1863" s="87"/>
      <x:c r="AD1863" s="87"/>
      <x:c r="AE1863" s="87"/>
      <x:c r="AF1863" s="87"/>
      <x:c r="AG1863" s="87"/>
      <x:c r="AH1863" s="87"/>
      <x:c r="AI1863" s="30"/>
      <x:c r="AJ1863" s="87" t="str">
        <x:v>master</x:v>
      </x:c>
      <x:c r="AK1863" s="87" t="str">
        <x:v>master-v0.81</x:v>
      </x:c>
      <x:c r="AL1863" s="87" t="str">
        <x:v>statgrad_master_base_v0_81_final(2).xlsx</x:v>
      </x:c>
      <x:c r="AM1863" s="87" t="str">
        <x:v>INF_Apr_V2</x:v>
      </x:c>
      <x:c r="AN1863" s="87" t="n">
        <x:v>11</x:v>
      </x:c>
    </x:row>
    <x:row r="1864">
      <x:c r="A1864" s="87" t="n">
        <x:v>1863</x:v>
      </x:c>
      <x:c r="B1864" s="87" t="str">
        <x:v>APR-INF-V2-011</x:v>
      </x:c>
      <x:c r="C1864" s="87" t="str">
        <x:v>СтатГрад</x:v>
      </x:c>
      <x:c r="D1864" s="87" t="str">
        <x:v>Апрель 2026</x:v>
      </x:c>
      <x:c r="E1864" s="87"/>
      <x:c r="F1864" s="87"/>
      <x:c r="G1864" s="87" t="str">
        <x:v>Информатика</x:v>
      </x:c>
      <x:c r="H1864" s="87" t="n">
        <x:v>11</x:v>
      </x:c>
      <x:c r="I1864" s="87" t="str">
        <x:v>ТР №5</x:v>
      </x:c>
      <x:c r="J1864" s="87" t="str">
        <x:v>ИН2510502</x:v>
      </x:c>
      <x:c r="K1864" s="87" t="n">
        <x:v>11</x:v>
      </x:c>
      <x:c r="L1864" s="87" t="str">
        <x:v>Кодирование серийных номеров</x:v>
      </x:c>
      <x:c r="M1864" s="30" t="str">
        <x:v>Номер содержит 766 символов; для 7 481 524 номеров выделено не более 8 Гбайт. Найти максимальный алфавит.</x:v>
      </x:c>
      <x:c r="N1864" s="30" t="str">
        <x:v>2048</x:v>
      </x:c>
      <x:c r="O1864" s="30" t="str">
        <x:v>На номер доступно 1148 байт. 11 бит требуют 1054 байта, 12 бит — 1149; максимум 2¹¹=2048.</x:v>
      </x:c>
      <x:c r="P1864" s="30" t="str">
        <x:v>На номер доступно 1148 байт. 11 бит требуют 1054 байта, 12 бит — 1149; максимум 2¹¹=2048.</x:v>
      </x:c>
      <x:c r="Q1864" s="30"/>
      <x:c r="R1864" s="30" t="str">
        <x:v>Полный PDF + независимое решение</x:v>
      </x:c>
      <x:c r="S1864" s="30"/>
      <x:c r="T1864" s="30"/>
      <x:c r="U1864" s="30" t="str">
        <x:v>Расхождений не обнаружено.</x:v>
      </x:c>
      <x:c r="V1864" s="87" t="str">
        <x:v>VERIFIED</x:v>
      </x:c>
      <x:c r="W1864" s="87" t="str">
        <x:v>PDF, задание 11</x:v>
      </x:c>
      <x:c r="X1864" s="87"/>
      <x:c r="Y1864" s="87"/>
      <x:c r="Z1864" s="87"/>
      <x:c r="AA1864" s="87"/>
      <x:c r="AB1864" s="87"/>
      <x:c r="AC1864" s="87"/>
      <x:c r="AD1864" s="87"/>
      <x:c r="AE1864" s="87"/>
      <x:c r="AF1864" s="87"/>
      <x:c r="AG1864" s="87"/>
      <x:c r="AH1864" s="87"/>
      <x:c r="AI1864" s="30"/>
      <x:c r="AJ1864" s="87" t="str">
        <x:v>master</x:v>
      </x:c>
      <x:c r="AK1864" s="87" t="str">
        <x:v>master-v0.81</x:v>
      </x:c>
      <x:c r="AL1864" s="87" t="str">
        <x:v>statgrad_master_base_v0_81_final(2).xlsx</x:v>
      </x:c>
      <x:c r="AM1864" s="87" t="str">
        <x:v>INF_Apr_V2</x:v>
      </x:c>
      <x:c r="AN1864" s="87" t="n">
        <x:v>12</x:v>
      </x:c>
    </x:row>
    <x:row r="1865">
      <x:c r="A1865" s="87" t="n">
        <x:v>1864</x:v>
      </x:c>
      <x:c r="B1865" s="87" t="str">
        <x:v>APR-INF-V2-012</x:v>
      </x:c>
      <x:c r="C1865" s="87" t="str">
        <x:v>СтатГрад</x:v>
      </x:c>
      <x:c r="D1865" s="87" t="str">
        <x:v>Апрель 2026</x:v>
      </x:c>
      <x:c r="E1865" s="87"/>
      <x:c r="F1865" s="87"/>
      <x:c r="G1865" s="87" t="str">
        <x:v>Информатика</x:v>
      </x:c>
      <x:c r="H1865" s="87" t="n">
        <x:v>11</x:v>
      </x:c>
      <x:c r="I1865" s="87" t="str">
        <x:v>ТР №5</x:v>
      </x:c>
      <x:c r="J1865" s="87" t="str">
        <x:v>ИН2510502</x:v>
      </x:c>
      <x:c r="K1865" s="87" t="n">
        <x:v>12</x:v>
      </x:c>
      <x:c r="L1865" s="87" t="str">
        <x:v>Машина Тьюринга</x:v>
      </x:c>
      <x:c r="M1865" s="30" t="str">
        <x:v>Выполнить программу машины Тьюринга и определить требуемый числовой результат.</x:v>
      </x:c>
      <x:c r="N1865" s="30" t="str">
        <x:v>895</x:v>
      </x:c>
      <x:c r="O1865" s="30" t="str">
        <x:v>Таблица переходов протрассирована по состояниям; результат 895.</x:v>
      </x:c>
      <x:c r="P1865" s="30" t="str">
        <x:v>Таблица переходов протрассирована по состояниям; результат 895.</x:v>
      </x:c>
      <x:c r="Q1865" s="30"/>
      <x:c r="R1865" s="30" t="str">
        <x:v>Полный PDF + опубликованное решение + независимая трассировка</x:v>
      </x:c>
      <x:c r="S1865" s="30"/>
      <x:c r="T1865" s="30"/>
      <x:c r="U1865" s="30" t="str">
        <x:v>Расхождений не обнаружено.</x:v>
      </x:c>
      <x:c r="V1865" s="87" t="str">
        <x:v>VERIFIED</x:v>
      </x:c>
      <x:c r="W1865" s="87" t="str">
        <x:v>PDF, задание 12</x:v>
      </x:c>
      <x:c r="X1865" s="87"/>
      <x:c r="Y1865" s="87"/>
      <x:c r="Z1865" s="87"/>
      <x:c r="AA1865" s="87"/>
      <x:c r="AB1865" s="87"/>
      <x:c r="AC1865" s="87"/>
      <x:c r="AD1865" s="87"/>
      <x:c r="AE1865" s="87"/>
      <x:c r="AF1865" s="87"/>
      <x:c r="AG1865" s="87"/>
      <x:c r="AH1865" s="87"/>
      <x:c r="AI1865" s="30"/>
      <x:c r="AJ1865" s="87" t="str">
        <x:v>master</x:v>
      </x:c>
      <x:c r="AK1865" s="87" t="str">
        <x:v>master-v0.81</x:v>
      </x:c>
      <x:c r="AL1865" s="87" t="str">
        <x:v>statgrad_master_base_v0_81_final(2).xlsx</x:v>
      </x:c>
      <x:c r="AM1865" s="87" t="str">
        <x:v>INF_Apr_V2</x:v>
      </x:c>
      <x:c r="AN1865" s="87" t="n">
        <x:v>13</x:v>
      </x:c>
    </x:row>
    <x:row r="1866">
      <x:c r="A1866" s="87" t="n">
        <x:v>1865</x:v>
      </x:c>
      <x:c r="B1866" s="87" t="str">
        <x:v>APR-INF-V2-013</x:v>
      </x:c>
      <x:c r="C1866" s="87" t="str">
        <x:v>СтатГрад</x:v>
      </x:c>
      <x:c r="D1866" s="87" t="str">
        <x:v>Апрель 2026</x:v>
      </x:c>
      <x:c r="E1866" s="87"/>
      <x:c r="F1866" s="87"/>
      <x:c r="G1866" s="87" t="str">
        <x:v>Информатика</x:v>
      </x:c>
      <x:c r="H1866" s="87" t="n">
        <x:v>11</x:v>
      </x:c>
      <x:c r="I1866" s="87" t="str">
        <x:v>ТР №5</x:v>
      </x:c>
      <x:c r="J1866" s="87" t="str">
        <x:v>ИН2510502</x:v>
      </x:c>
      <x:c r="K1866" s="87" t="n">
        <x:v>13</x:v>
      </x:c>
      <x:c r="L1866" s="87" t="str">
        <x:v>IP-адреса и маски</x:v>
      </x:c>
      <x:c r="M1866" s="30" t="str">
        <x:v>Для сети 178.176.0.0/12 найти максимальную сумму октетов адреса с равным количеством единиц и нулей.</x:v>
      </x:c>
      <x:c r="N1866" s="30" t="str">
        <x:v>842</x:v>
      </x:c>
      <x:c r="O1866" s="30" t="str">
        <x:v>В фиксированной части 5 единиц, в узловой части нужны ещё 11; выбор старших весов даёт сумму октетов 842.</x:v>
      </x:c>
      <x:c r="P1866" s="30" t="str">
        <x:v>В фиксированной части 5 единиц, в узловой части нужны ещё 11; выбор старших весов даёт сумму октетов 842.</x:v>
      </x:c>
      <x:c r="Q1866" s="30"/>
      <x:c r="R1866" s="30" t="str">
        <x:v>Полный PDF + независимое решение</x:v>
      </x:c>
      <x:c r="S1866" s="30"/>
      <x:c r="T1866" s="30"/>
      <x:c r="U1866" s="30" t="str">
        <x:v>Расхождений не обнаружено.</x:v>
      </x:c>
      <x:c r="V1866" s="87" t="str">
        <x:v>VERIFIED</x:v>
      </x:c>
      <x:c r="W1866" s="87" t="str">
        <x:v>PDF, задание 13</x:v>
      </x:c>
      <x:c r="X1866" s="87"/>
      <x:c r="Y1866" s="87"/>
      <x:c r="Z1866" s="87"/>
      <x:c r="AA1866" s="87"/>
      <x:c r="AB1866" s="87"/>
      <x:c r="AC1866" s="87"/>
      <x:c r="AD1866" s="87"/>
      <x:c r="AE1866" s="87"/>
      <x:c r="AF1866" s="87"/>
      <x:c r="AG1866" s="87"/>
      <x:c r="AH1866" s="87"/>
      <x:c r="AI1866" s="30"/>
      <x:c r="AJ1866" s="87" t="str">
        <x:v>master</x:v>
      </x:c>
      <x:c r="AK1866" s="87" t="str">
        <x:v>master-v0.81</x:v>
      </x:c>
      <x:c r="AL1866" s="87" t="str">
        <x:v>statgrad_master_base_v0_81_final(2).xlsx</x:v>
      </x:c>
      <x:c r="AM1866" s="87" t="str">
        <x:v>INF_Apr_V2</x:v>
      </x:c>
      <x:c r="AN1866" s="87" t="n">
        <x:v>14</x:v>
      </x:c>
    </x:row>
    <x:row r="1867">
      <x:c r="A1867" s="87" t="n">
        <x:v>1866</x:v>
      </x:c>
      <x:c r="B1867" s="87" t="str">
        <x:v>APR-INF-V2-014</x:v>
      </x:c>
      <x:c r="C1867" s="87" t="str">
        <x:v>СтатГрад</x:v>
      </x:c>
      <x:c r="D1867" s="87" t="str">
        <x:v>Апрель 2026</x:v>
      </x:c>
      <x:c r="E1867" s="87"/>
      <x:c r="F1867" s="87"/>
      <x:c r="G1867" s="87" t="str">
        <x:v>Информатика</x:v>
      </x:c>
      <x:c r="H1867" s="87" t="n">
        <x:v>11</x:v>
      </x:c>
      <x:c r="I1867" s="87" t="str">
        <x:v>ТР №5</x:v>
      </x:c>
      <x:c r="J1867" s="87" t="str">
        <x:v>ИН2510502</x:v>
      </x:c>
      <x:c r="K1867" s="87" t="n">
        <x:v>14</x:v>
      </x:c>
      <x:c r="L1867" s="87" t="str">
        <x:v>Системы счисления</x:v>
      </x:c>
      <x:c r="M1867" s="30" t="str">
        <x:v>Найти минимальное x, чтобы в 14-ричной записи выражения было ровно 148 цифр со значением 13.</x:v>
      </x:c>
      <x:c r="N1867" s="30" t="str">
        <x:v>16</x:v>
      </x:c>
      <x:c r="O1867" s="30" t="str">
        <x:v>Проверка положительных x и анализ заимствований показывают, что первое подходящее значение — 16.</x:v>
      </x:c>
      <x:c r="P1867" s="30" t="str">
        <x:v>Проверка положительных x и анализ заимствований показывают, что первое подходящее значение — 16.</x:v>
      </x:c>
      <x:c r="Q1867" s="30"/>
      <x:c r="R1867" s="30" t="str">
        <x:v>Полный PDF + независимое решение</x:v>
      </x:c>
      <x:c r="S1867" s="30"/>
      <x:c r="T1867" s="30"/>
      <x:c r="U1867" s="30" t="str">
        <x:v>Расхождений не обнаружено.</x:v>
      </x:c>
      <x:c r="V1867" s="87" t="str">
        <x:v>VERIFIED</x:v>
      </x:c>
      <x:c r="W1867" s="87" t="str">
        <x:v>PDF, задание 14</x:v>
      </x:c>
      <x:c r="X1867" s="87"/>
      <x:c r="Y1867" s="87"/>
      <x:c r="Z1867" s="87"/>
      <x:c r="AA1867" s="87"/>
      <x:c r="AB1867" s="87"/>
      <x:c r="AC1867" s="87"/>
      <x:c r="AD1867" s="87"/>
      <x:c r="AE1867" s="87"/>
      <x:c r="AF1867" s="87"/>
      <x:c r="AG1867" s="87"/>
      <x:c r="AH1867" s="87"/>
      <x:c r="AI1867" s="30"/>
      <x:c r="AJ1867" s="87" t="str">
        <x:v>master</x:v>
      </x:c>
      <x:c r="AK1867" s="87" t="str">
        <x:v>master-v0.81</x:v>
      </x:c>
      <x:c r="AL1867" s="87" t="str">
        <x:v>statgrad_master_base_v0_81_final(2).xlsx</x:v>
      </x:c>
      <x:c r="AM1867" s="87" t="str">
        <x:v>INF_Apr_V2</x:v>
      </x:c>
      <x:c r="AN1867" s="87" t="n">
        <x:v>15</x:v>
      </x:c>
    </x:row>
    <x:row r="1868">
      <x:c r="A1868" s="87" t="n">
        <x:v>1867</x:v>
      </x:c>
      <x:c r="B1868" s="87" t="str">
        <x:v>APR-INF-V2-015</x:v>
      </x:c>
      <x:c r="C1868" s="87" t="str">
        <x:v>СтатГрад</x:v>
      </x:c>
      <x:c r="D1868" s="87" t="str">
        <x:v>Апрель 2026</x:v>
      </x:c>
      <x:c r="E1868" s="87"/>
      <x:c r="F1868" s="87"/>
      <x:c r="G1868" s="87" t="str">
        <x:v>Информатика</x:v>
      </x:c>
      <x:c r="H1868" s="87" t="n">
        <x:v>11</x:v>
      </x:c>
      <x:c r="I1868" s="87" t="str">
        <x:v>ТР №5</x:v>
      </x:c>
      <x:c r="J1868" s="87" t="str">
        <x:v>ИН2510502</x:v>
      </x:c>
      <x:c r="K1868" s="87" t="n">
        <x:v>15</x:v>
      </x:c>
      <x:c r="L1868" s="87" t="str">
        <x:v>Логика и отрезки</x:v>
      </x:c>
      <x:c r="M1868" s="30" t="str">
        <x:v>Найти минимальную длину A для выражения с P=[−19352;22118] и Q=[−12817;196773].</x:v>
      </x:c>
      <x:c r="N1868" s="30" t="str">
        <x:v>34935</x:v>
      </x:c>
      <x:c r="O1868" s="30" t="str">
        <x:v>Из импликаций следует, что A обязан покрывать пересечение P∩Q=[−12817;22118]; длина равна 34935.</x:v>
      </x:c>
      <x:c r="P1868" s="30" t="str">
        <x:v>Из импликаций следует, что A обязан покрывать пересечение P∩Q=[−12817;22118]; длина равна 34935.</x:v>
      </x:c>
      <x:c r="Q1868" s="30"/>
      <x:c r="R1868" s="30" t="str">
        <x:v>Полный PDF + независимое решение</x:v>
      </x:c>
      <x:c r="S1868" s="30"/>
      <x:c r="T1868" s="30"/>
      <x:c r="U1868" s="30" t="str">
        <x:v>Расхождений не обнаружено.</x:v>
      </x:c>
      <x:c r="V1868" s="87" t="str">
        <x:v>VERIFIED</x:v>
      </x:c>
      <x:c r="W1868" s="87" t="str">
        <x:v>PDF, задание 15</x:v>
      </x:c>
      <x:c r="X1868" s="87"/>
      <x:c r="Y1868" s="87"/>
      <x:c r="Z1868" s="87"/>
      <x:c r="AA1868" s="87"/>
      <x:c r="AB1868" s="87"/>
      <x:c r="AC1868" s="87"/>
      <x:c r="AD1868" s="87"/>
      <x:c r="AE1868" s="87"/>
      <x:c r="AF1868" s="87"/>
      <x:c r="AG1868" s="87"/>
      <x:c r="AH1868" s="87"/>
      <x:c r="AI1868" s="30"/>
      <x:c r="AJ1868" s="87" t="str">
        <x:v>master</x:v>
      </x:c>
      <x:c r="AK1868" s="87" t="str">
        <x:v>master-v0.81</x:v>
      </x:c>
      <x:c r="AL1868" s="87" t="str">
        <x:v>statgrad_master_base_v0_81_final(2).xlsx</x:v>
      </x:c>
      <x:c r="AM1868" s="87" t="str">
        <x:v>INF_Apr_V2</x:v>
      </x:c>
      <x:c r="AN1868" s="87" t="n">
        <x:v>16</x:v>
      </x:c>
    </x:row>
    <x:row r="1869">
      <x:c r="A1869" s="87" t="n">
        <x:v>1868</x:v>
      </x:c>
      <x:c r="B1869" s="87" t="str">
        <x:v>APR-INF-V2-016</x:v>
      </x:c>
      <x:c r="C1869" s="87" t="str">
        <x:v>СтатГрад</x:v>
      </x:c>
      <x:c r="D1869" s="87" t="str">
        <x:v>Апрель 2026</x:v>
      </x:c>
      <x:c r="E1869" s="87"/>
      <x:c r="F1869" s="87"/>
      <x:c r="G1869" s="87" t="str">
        <x:v>Информатика</x:v>
      </x:c>
      <x:c r="H1869" s="87" t="n">
        <x:v>11</x:v>
      </x:c>
      <x:c r="I1869" s="87" t="str">
        <x:v>ТР №5</x:v>
      </x:c>
      <x:c r="J1869" s="87" t="str">
        <x:v>ИН2510502</x:v>
      </x:c>
      <x:c r="K1869" s="87" t="n">
        <x:v>16</x:v>
      </x:c>
      <x:c r="L1869" s="87" t="str">
        <x:v>Рекурсивные функции</x:v>
      </x:c>
      <x:c r="M1869" s="30" t="str">
        <x:v>Вычислить F(320727)/G(641452).</x:v>
      </x:c>
      <x:c r="N1869" s="30" t="str">
        <x:v>538821360</x:v>
      </x:c>
      <x:c r="O1869" s="30" t="str">
        <x:v>После сокращения рекуррентных цепочек выражение равно 8·320727·14·15=538821360.</x:v>
      </x:c>
      <x:c r="P1869" s="30" t="str">
        <x:v>После сокращения рекуррентных цепочек выражение равно 8·320727·14·15=538821360.</x:v>
      </x:c>
      <x:c r="Q1869" s="30"/>
      <x:c r="R1869" s="30" t="str">
        <x:v>Полный PDF + независимое решение</x:v>
      </x:c>
      <x:c r="S1869" s="30"/>
      <x:c r="T1869" s="30"/>
      <x:c r="U1869" s="30" t="str">
        <x:v>Расхождений не обнаружено.</x:v>
      </x:c>
      <x:c r="V1869" s="87" t="str">
        <x:v>VERIFIED</x:v>
      </x:c>
      <x:c r="W1869" s="87" t="str">
        <x:v>PDF, задание 16</x:v>
      </x:c>
      <x:c r="X1869" s="87"/>
      <x:c r="Y1869" s="87"/>
      <x:c r="Z1869" s="87"/>
      <x:c r="AA1869" s="87"/>
      <x:c r="AB1869" s="87"/>
      <x:c r="AC1869" s="87"/>
      <x:c r="AD1869" s="87"/>
      <x:c r="AE1869" s="87"/>
      <x:c r="AF1869" s="87"/>
      <x:c r="AG1869" s="87"/>
      <x:c r="AH1869" s="87"/>
      <x:c r="AI1869" s="30"/>
      <x:c r="AJ1869" s="87" t="str">
        <x:v>master</x:v>
      </x:c>
      <x:c r="AK1869" s="87" t="str">
        <x:v>master-v0.81</x:v>
      </x:c>
      <x:c r="AL1869" s="87" t="str">
        <x:v>statgrad_master_base_v0_81_final(2).xlsx</x:v>
      </x:c>
      <x:c r="AM1869" s="87" t="str">
        <x:v>INF_Apr_V2</x:v>
      </x:c>
      <x:c r="AN1869" s="87" t="n">
        <x:v>17</x:v>
      </x:c>
    </x:row>
    <x:row r="1870">
      <x:c r="A1870" s="87" t="n">
        <x:v>1869</x:v>
      </x:c>
      <x:c r="B1870" s="87" t="str">
        <x:v>APR-INF-V2-017</x:v>
      </x:c>
      <x:c r="C1870" s="87" t="str">
        <x:v>СтатГрад</x:v>
      </x:c>
      <x:c r="D1870" s="87" t="str">
        <x:v>Апрель 2026</x:v>
      </x:c>
      <x:c r="E1870" s="87"/>
      <x:c r="F1870" s="87"/>
      <x:c r="G1870" s="87" t="str">
        <x:v>Информатика</x:v>
      </x:c>
      <x:c r="H1870" s="87" t="n">
        <x:v>11</x:v>
      </x:c>
      <x:c r="I1870" s="87" t="str">
        <x:v>ТР №5</x:v>
      </x:c>
      <x:c r="J1870" s="87" t="str">
        <x:v>ИН2510502</x:v>
      </x:c>
      <x:c r="K1870" s="87" t="n">
        <x:v>17</x:v>
      </x:c>
      <x:c r="L1870" s="87" t="str">
        <x:v>Обработка последовательности</x:v>
      </x:c>
      <x:c r="M1870" s="30" t="str">
        <x:v>По файлу найти количество подходящих отрицательных троек и максимальную сумму модулей крайних значений.</x:v>
      </x:c>
      <x:c r="N1870" s="30" t="str">
        <x:v>759; 185635</x:v>
      </x:c>
      <x:c r="O1870" s="30" t="str">
        <x:v>Перебраны соседние тройки отрицательных чисел по условию задачи; подсчитано количество и максимум суммы модулей крайних элементов.</x:v>
      </x:c>
      <x:c r="P1870" s="30" t="str">
        <x:v>Повторный проход с отдельной проверкой четырёхзначности даёт 759; 185635.</x:v>
      </x:c>
      <x:c r="Q1870" s="30"/>
      <x:c r="R1870" s="30" t="str">
        <x:v>17.txt + полный PDF + независимый пересчёт</x:v>
      </x:c>
      <x:c r="S1870" s="30"/>
      <x:c r="T1870" s="30"/>
      <x:c r="U1870" s="30" t="str">
        <x:v>Публичный ответ подтверждён.</x:v>
      </x:c>
      <x:c r="V1870" s="87" t="str">
        <x:v>VERIFIED</x:v>
      </x:c>
      <x:c r="W1870" s="87" t="str">
        <x:v>PDF, задание 17</x:v>
      </x:c>
      <x:c r="X1870" s="87"/>
      <x:c r="Y1870" s="87"/>
      <x:c r="Z1870" s="87"/>
      <x:c r="AA1870" s="87"/>
      <x:c r="AB1870" s="87"/>
      <x:c r="AC1870" s="87"/>
      <x:c r="AD1870" s="87"/>
      <x:c r="AE1870" s="87"/>
      <x:c r="AF1870" s="87"/>
      <x:c r="AG1870" s="87"/>
      <x:c r="AH1870" s="87"/>
      <x:c r="AI1870" s="30"/>
      <x:c r="AJ1870" s="87" t="str">
        <x:v>master</x:v>
      </x:c>
      <x:c r="AK1870" s="87" t="str">
        <x:v>master-v0.81</x:v>
      </x:c>
      <x:c r="AL1870" s="87" t="str">
        <x:v>statgrad_master_base_v0_81_final(2).xlsx</x:v>
      </x:c>
      <x:c r="AM1870" s="87" t="str">
        <x:v>INF_Apr_V2</x:v>
      </x:c>
      <x:c r="AN1870" s="87" t="n">
        <x:v>18</x:v>
      </x:c>
    </x:row>
    <x:row r="1871">
      <x:c r="A1871" s="87" t="n">
        <x:v>1870</x:v>
      </x:c>
      <x:c r="B1871" s="87" t="str">
        <x:v>APR-INF-V2-018</x:v>
      </x:c>
      <x:c r="C1871" s="87" t="str">
        <x:v>СтатГрад</x:v>
      </x:c>
      <x:c r="D1871" s="87" t="str">
        <x:v>Апрель 2026</x:v>
      </x:c>
      <x:c r="E1871" s="87"/>
      <x:c r="F1871" s="87"/>
      <x:c r="G1871" s="87" t="str">
        <x:v>Информатика</x:v>
      </x:c>
      <x:c r="H1871" s="87" t="n">
        <x:v>11</x:v>
      </x:c>
      <x:c r="I1871" s="87" t="str">
        <x:v>ТР №5</x:v>
      </x:c>
      <x:c r="J1871" s="87" t="str">
        <x:v>ИН2510502</x:v>
      </x:c>
      <x:c r="K1871" s="87" t="n">
        <x:v>18</x:v>
      </x:c>
      <x:c r="L1871" s="87" t="str">
        <x:v>Робот в электронной таблице</x:v>
      </x:c>
      <x:c r="M1871" s="30" t="str">
        <x:v>Из правой нижней клетки двигаться влево/вверх и найти минимальную и максимальную итоговые суммы.</x:v>
      </x:c>
      <x:c r="N1871" s="30" t="str">
        <x:v>704; 2597</x:v>
      </x:c>
      <x:c r="O1871" s="30" t="str">
        <x:v>Динамическое программирование по исходному полю 20×20: старт снизу справа, ходы влево и вверх; стена считается существующей, если соответствующая общая граница отмечена хотя бы у одной из соседних клеток.</x:v>
      </x:c>
      <x:c r="P1871" s="30" t="str">
        <x:v>Две независимые реализации графа путей воспроизводят минимум 704 и максимум 2597; тот же способ точно воспроизводит ответ варианта 1.</x:v>
      </x:c>
      <x:c r="Q1871" s="30"/>
      <x:c r="R1871" s="30" t="str">
        <x:v>18.ods + полный PDF + независимый пересчёт</x:v>
      </x:c>
      <x:c r="S1871" s="30"/>
      <x:c r="T1871" s="30"/>
      <x:c r="U1871" s="30" t="str">
        <x:v>Опубликованный ключ 955; 2288 не воспроизводится на исходной таблице; зафиксировано противоречие ключа и приложения.</x:v>
      </x:c>
      <x:c r="V1871" s="87" t="str">
        <x:v>KEY_MISMATCH</x:v>
      </x:c>
      <x:c r="W1871" s="87" t="str">
        <x:v>PDF, задание 18</x:v>
      </x:c>
      <x:c r="X1871" s="87"/>
      <x:c r="Y1871" s="87"/>
      <x:c r="Z1871" s="87"/>
      <x:c r="AA1871" s="87"/>
      <x:c r="AB1871" s="87"/>
      <x:c r="AC1871" s="87"/>
      <x:c r="AD1871" s="87"/>
      <x:c r="AE1871" s="87"/>
      <x:c r="AF1871" s="87"/>
      <x:c r="AG1871" s="87"/>
      <x:c r="AH1871" s="87"/>
      <x:c r="AI1871" s="30"/>
      <x:c r="AJ1871" s="87" t="str">
        <x:v>master</x:v>
      </x:c>
      <x:c r="AK1871" s="87" t="str">
        <x:v>master-v0.81</x:v>
      </x:c>
      <x:c r="AL1871" s="87" t="str">
        <x:v>statgrad_master_base_v0_81_final(2).xlsx</x:v>
      </x:c>
      <x:c r="AM1871" s="87" t="str">
        <x:v>INF_Apr_V2</x:v>
      </x:c>
      <x:c r="AN1871" s="87" t="n">
        <x:v>19</x:v>
      </x:c>
    </x:row>
    <x:row r="1872">
      <x:c r="A1872" s="87" t="n">
        <x:v>1871</x:v>
      </x:c>
      <x:c r="B1872" s="87" t="str">
        <x:v>APR-INF-V2-019</x:v>
      </x:c>
      <x:c r="C1872" s="87" t="str">
        <x:v>СтатГрад</x:v>
      </x:c>
      <x:c r="D1872" s="87" t="str">
        <x:v>Апрель 2026</x:v>
      </x:c>
      <x:c r="E1872" s="87"/>
      <x:c r="F1872" s="87"/>
      <x:c r="G1872" s="87" t="str">
        <x:v>Информатика</x:v>
      </x:c>
      <x:c r="H1872" s="87" t="n">
        <x:v>11</x:v>
      </x:c>
      <x:c r="I1872" s="87" t="str">
        <x:v>ТР №5</x:v>
      </x:c>
      <x:c r="J1872" s="87" t="str">
        <x:v>ИН2510502</x:v>
      </x:c>
      <x:c r="K1872" s="87" t="n">
        <x:v>19</x:v>
      </x:c>
      <x:c r="L1872" s="87" t="str">
        <x:v>Теория игр</x:v>
      </x:c>
      <x:c r="M1872" s="30" t="str">
        <x:v>Найти максимальное S, при котором Петя не выигрывает сразу, а Ваня выигрывает первым ходом после любого ответа.</x:v>
      </x:c>
      <x:c r="N1872" s="30" t="str">
        <x:v>78019</x:v>
      </x:c>
      <x:c r="O1872" s="30" t="str">
        <x:v>Рекурсивный анализ относительно порога 26005 даёт две позиции нужного класса: 78018 и 78019; берётся максимум.</x:v>
      </x:c>
      <x:c r="P1872" s="30" t="str">
        <x:v>Рекурсивный анализ относительно порога 26005 даёт две позиции нужного класса: 78018 и 78019; берётся максимум.</x:v>
      </x:c>
      <x:c r="Q1872" s="30"/>
      <x:c r="R1872" s="30" t="str">
        <x:v>Полный PDF + независимое решение</x:v>
      </x:c>
      <x:c r="S1872" s="30"/>
      <x:c r="T1872" s="30"/>
      <x:c r="U1872" s="30" t="str">
        <x:v>Расхождений не обнаружено.</x:v>
      </x:c>
      <x:c r="V1872" s="87" t="str">
        <x:v>VERIFIED</x:v>
      </x:c>
      <x:c r="W1872" s="87" t="str">
        <x:v>PDF, задание 19</x:v>
      </x:c>
      <x:c r="X1872" s="87"/>
      <x:c r="Y1872" s="87"/>
      <x:c r="Z1872" s="87"/>
      <x:c r="AA1872" s="87"/>
      <x:c r="AB1872" s="87"/>
      <x:c r="AC1872" s="87"/>
      <x:c r="AD1872" s="87"/>
      <x:c r="AE1872" s="87"/>
      <x:c r="AF1872" s="87"/>
      <x:c r="AG1872" s="87"/>
      <x:c r="AH1872" s="87"/>
      <x:c r="AI1872" s="30"/>
      <x:c r="AJ1872" s="87" t="str">
        <x:v>master</x:v>
      </x:c>
      <x:c r="AK1872" s="87" t="str">
        <x:v>master-v0.81</x:v>
      </x:c>
      <x:c r="AL1872" s="87" t="str">
        <x:v>statgrad_master_base_v0_81_final(2).xlsx</x:v>
      </x:c>
      <x:c r="AM1872" s="87" t="str">
        <x:v>INF_Apr_V2</x:v>
      </x:c>
      <x:c r="AN1872" s="87" t="n">
        <x:v>20</x:v>
      </x:c>
    </x:row>
    <x:row r="1873">
      <x:c r="A1873" s="87" t="n">
        <x:v>1872</x:v>
      </x:c>
      <x:c r="B1873" s="87" t="str">
        <x:v>APR-INF-V2-020</x:v>
      </x:c>
      <x:c r="C1873" s="87" t="str">
        <x:v>СтатГрад</x:v>
      </x:c>
      <x:c r="D1873" s="87" t="str">
        <x:v>Апрель 2026</x:v>
      </x:c>
      <x:c r="E1873" s="87"/>
      <x:c r="F1873" s="87"/>
      <x:c r="G1873" s="87" t="str">
        <x:v>Информатика</x:v>
      </x:c>
      <x:c r="H1873" s="87" t="n">
        <x:v>11</x:v>
      </x:c>
      <x:c r="I1873" s="87" t="str">
        <x:v>ТР №5</x:v>
      </x:c>
      <x:c r="J1873" s="87" t="str">
        <x:v>ИН2510502</x:v>
      </x:c>
      <x:c r="K1873" s="87" t="n">
        <x:v>20</x:v>
      </x:c>
      <x:c r="L1873" s="87" t="str">
        <x:v>Теория игр</x:v>
      </x:c>
      <x:c r="M1873" s="30" t="str">
        <x:v>Найти два наименьших S, при которых Петя гарантированно выигрывает своим вторым ходом.</x:v>
      </x:c>
      <x:c r="N1873" s="30" t="str">
        <x:v>78020; 78021</x:v>
      </x:c>
      <x:c r="O1873" s="30" t="str">
        <x:v>Первые две позиции соответствующего выигрышного класса — 78020 и 78021.</x:v>
      </x:c>
      <x:c r="P1873" s="30" t="str">
        <x:v>Первые две позиции соответствующего выигрышного класса — 78020 и 78021.</x:v>
      </x:c>
      <x:c r="Q1873" s="30"/>
      <x:c r="R1873" s="30" t="str">
        <x:v>Полный PDF + независимое решение</x:v>
      </x:c>
      <x:c r="S1873" s="30"/>
      <x:c r="T1873" s="30"/>
      <x:c r="U1873" s="30" t="str">
        <x:v>Расхождений не обнаружено.</x:v>
      </x:c>
      <x:c r="V1873" s="87" t="str">
        <x:v>VERIFIED</x:v>
      </x:c>
      <x:c r="W1873" s="87" t="str">
        <x:v>PDF, задание 20</x:v>
      </x:c>
      <x:c r="X1873" s="87"/>
      <x:c r="Y1873" s="87"/>
      <x:c r="Z1873" s="87"/>
      <x:c r="AA1873" s="87"/>
      <x:c r="AB1873" s="87"/>
      <x:c r="AC1873" s="87"/>
      <x:c r="AD1873" s="87"/>
      <x:c r="AE1873" s="87"/>
      <x:c r="AF1873" s="87"/>
      <x:c r="AG1873" s="87"/>
      <x:c r="AH1873" s="87"/>
      <x:c r="AI1873" s="30"/>
      <x:c r="AJ1873" s="87" t="str">
        <x:v>master</x:v>
      </x:c>
      <x:c r="AK1873" s="87" t="str">
        <x:v>master-v0.81</x:v>
      </x:c>
      <x:c r="AL1873" s="87" t="str">
        <x:v>statgrad_master_base_v0_81_final(2).xlsx</x:v>
      </x:c>
      <x:c r="AM1873" s="87" t="str">
        <x:v>INF_Apr_V2</x:v>
      </x:c>
      <x:c r="AN1873" s="87" t="n">
        <x:v>21</x:v>
      </x:c>
    </x:row>
    <x:row r="1874">
      <x:c r="A1874" s="87" t="n">
        <x:v>1873</x:v>
      </x:c>
      <x:c r="B1874" s="87" t="str">
        <x:v>APR-INF-V2-021</x:v>
      </x:c>
      <x:c r="C1874" s="87" t="str">
        <x:v>СтатГрад</x:v>
      </x:c>
      <x:c r="D1874" s="87" t="str">
        <x:v>Апрель 2026</x:v>
      </x:c>
      <x:c r="E1874" s="87"/>
      <x:c r="F1874" s="87"/>
      <x:c r="G1874" s="87" t="str">
        <x:v>Информатика</x:v>
      </x:c>
      <x:c r="H1874" s="87" t="n">
        <x:v>11</x:v>
      </x:c>
      <x:c r="I1874" s="87" t="str">
        <x:v>ТР №5</x:v>
      </x:c>
      <x:c r="J1874" s="87" t="str">
        <x:v>ИН2510502</x:v>
      </x:c>
      <x:c r="K1874" s="87" t="n">
        <x:v>21</x:v>
      </x:c>
      <x:c r="L1874" s="87" t="str">
        <x:v>Теория игр</x:v>
      </x:c>
      <x:c r="M1874" s="30" t="str">
        <x:v>Найти минимальное S, при котором Ваня выигрывает первым или вторым ходом, но не гарантированно первым.</x:v>
      </x:c>
      <x:c r="N1874" s="30" t="str">
        <x:v>78022</x:v>
      </x:c>
      <x:c r="O1874" s="30" t="str">
        <x:v>Минимальная позиция требуемого класса — 78022.</x:v>
      </x:c>
      <x:c r="P1874" s="30" t="str">
        <x:v>Минимальная позиция требуемого класса — 78022.</x:v>
      </x:c>
      <x:c r="Q1874" s="30"/>
      <x:c r="R1874" s="30" t="str">
        <x:v>Полный PDF + независимое решение</x:v>
      </x:c>
      <x:c r="S1874" s="30"/>
      <x:c r="T1874" s="30"/>
      <x:c r="U1874" s="30" t="str">
        <x:v>Расхождений не обнаружено.</x:v>
      </x:c>
      <x:c r="V1874" s="87" t="str">
        <x:v>VERIFIED</x:v>
      </x:c>
      <x:c r="W1874" s="87" t="str">
        <x:v>PDF, задание 21</x:v>
      </x:c>
      <x:c r="X1874" s="87"/>
      <x:c r="Y1874" s="87"/>
      <x:c r="Z1874" s="87"/>
      <x:c r="AA1874" s="87"/>
      <x:c r="AB1874" s="87"/>
      <x:c r="AC1874" s="87"/>
      <x:c r="AD1874" s="87"/>
      <x:c r="AE1874" s="87"/>
      <x:c r="AF1874" s="87"/>
      <x:c r="AG1874" s="87"/>
      <x:c r="AH1874" s="87"/>
      <x:c r="AI1874" s="30"/>
      <x:c r="AJ1874" s="87" t="str">
        <x:v>master</x:v>
      </x:c>
      <x:c r="AK1874" s="87" t="str">
        <x:v>master-v0.81</x:v>
      </x:c>
      <x:c r="AL1874" s="87" t="str">
        <x:v>statgrad_master_base_v0_81_final(2).xlsx</x:v>
      </x:c>
      <x:c r="AM1874" s="87" t="str">
        <x:v>INF_Apr_V2</x:v>
      </x:c>
      <x:c r="AN1874" s="87" t="n">
        <x:v>22</x:v>
      </x:c>
    </x:row>
    <x:row r="1875">
      <x:c r="A1875" s="87" t="n">
        <x:v>1874</x:v>
      </x:c>
      <x:c r="B1875" s="87" t="str">
        <x:v>APR-INF-V2-022</x:v>
      </x:c>
      <x:c r="C1875" s="87" t="str">
        <x:v>СтатГрад</x:v>
      </x:c>
      <x:c r="D1875" s="87" t="str">
        <x:v>Апрель 2026</x:v>
      </x:c>
      <x:c r="E1875" s="87"/>
      <x:c r="F1875" s="87"/>
      <x:c r="G1875" s="87" t="str">
        <x:v>Информатика</x:v>
      </x:c>
      <x:c r="H1875" s="87" t="n">
        <x:v>11</x:v>
      </x:c>
      <x:c r="I1875" s="87" t="str">
        <x:v>ТР №5</x:v>
      </x:c>
      <x:c r="J1875" s="87" t="str">
        <x:v>ИН2510502</x:v>
      </x:c>
      <x:c r="K1875" s="87" t="n">
        <x:v>22</x:v>
      </x:c>
      <x:c r="L1875" s="87" t="str">
        <x:v>Многопроцессорные системы</x:v>
      </x:c>
      <x:c r="M1875" s="30" t="str">
        <x:v>По таблице зависимостей определить минимальное время завершения процесса 1016.</x:v>
      </x:c>
      <x:c r="N1875" s="30" t="str">
        <x:v>63</x:v>
      </x:c>
      <x:c r="O1875" s="30" t="str">
        <x:v>По таблице процессов построен граф зависимостей и вычислены ранние времена завершения до процесса 1016.</x:v>
      </x:c>
      <x:c r="P1875" s="30" t="str">
        <x:v>Рекурсивный расчёт и топологический проход независимо дают 63.</x:v>
      </x:c>
      <x:c r="Q1875" s="30"/>
      <x:c r="R1875" s="30" t="str">
        <x:v>22.ods + полный PDF + независимый пересчёт</x:v>
      </x:c>
      <x:c r="S1875" s="30"/>
      <x:c r="T1875" s="30"/>
      <x:c r="U1875" s="30" t="str">
        <x:v>Публичный ответ подтверждён.</x:v>
      </x:c>
      <x:c r="V1875" s="87" t="str">
        <x:v>VERIFIED</x:v>
      </x:c>
      <x:c r="W1875" s="87" t="str">
        <x:v>PDF, задание 22</x:v>
      </x:c>
      <x:c r="X1875" s="87"/>
      <x:c r="Y1875" s="87"/>
      <x:c r="Z1875" s="87"/>
      <x:c r="AA1875" s="87"/>
      <x:c r="AB1875" s="87"/>
      <x:c r="AC1875" s="87"/>
      <x:c r="AD1875" s="87"/>
      <x:c r="AE1875" s="87"/>
      <x:c r="AF1875" s="87"/>
      <x:c r="AG1875" s="87"/>
      <x:c r="AH1875" s="87"/>
      <x:c r="AI1875" s="30"/>
      <x:c r="AJ1875" s="87" t="str">
        <x:v>master</x:v>
      </x:c>
      <x:c r="AK1875" s="87" t="str">
        <x:v>master-v0.81</x:v>
      </x:c>
      <x:c r="AL1875" s="87" t="str">
        <x:v>statgrad_master_base_v0_81_final(2).xlsx</x:v>
      </x:c>
      <x:c r="AM1875" s="87" t="str">
        <x:v>INF_Apr_V2</x:v>
      </x:c>
      <x:c r="AN1875" s="87" t="n">
        <x:v>23</x:v>
      </x:c>
    </x:row>
    <x:row r="1876">
      <x:c r="A1876" s="87" t="n">
        <x:v>1875</x:v>
      </x:c>
      <x:c r="B1876" s="87" t="str">
        <x:v>APR-INF-V2-023</x:v>
      </x:c>
      <x:c r="C1876" s="87" t="str">
        <x:v>СтатГрад</x:v>
      </x:c>
      <x:c r="D1876" s="87" t="str">
        <x:v>Апрель 2026</x:v>
      </x:c>
      <x:c r="E1876" s="87"/>
      <x:c r="F1876" s="87"/>
      <x:c r="G1876" s="87" t="str">
        <x:v>Информатика</x:v>
      </x:c>
      <x:c r="H1876" s="87" t="n">
        <x:v>11</x:v>
      </x:c>
      <x:c r="I1876" s="87" t="str">
        <x:v>ТР №5</x:v>
      </x:c>
      <x:c r="J1876" s="87" t="str">
        <x:v>ИН2510502</x:v>
      </x:c>
      <x:c r="K1876" s="87" t="n">
        <x:v>23</x:v>
      </x:c>
      <x:c r="L1876" s="87" t="str">
        <x:v>Динамическое программирование</x:v>
      </x:c>
      <x:c r="M1876" s="30" t="str">
        <x:v>Посчитать программы из 10 в 52 командами +3, квадрат и +5 с обязательными числами 26 и 41.</x:v>
      </x:c>
      <x:c r="N1876" s="30" t="str">
        <x:v>36</x:v>
      </x:c>
      <x:c r="O1876" s="30" t="str">
        <x:v>Число путей разбито на участки 10→26, 26→41 и 41→52: 6·2·3=36.</x:v>
      </x:c>
      <x:c r="P1876" s="30" t="str">
        <x:v>Число путей разбито на участки 10→26, 26→41 и 41→52: 6·2·3=36.</x:v>
      </x:c>
      <x:c r="Q1876" s="30"/>
      <x:c r="R1876" s="30" t="str">
        <x:v>Полный PDF + независимое решение</x:v>
      </x:c>
      <x:c r="S1876" s="30"/>
      <x:c r="T1876" s="30"/>
      <x:c r="U1876" s="30" t="str">
        <x:v>Расхождений не обнаружено.</x:v>
      </x:c>
      <x:c r="V1876" s="87" t="str">
        <x:v>VERIFIED</x:v>
      </x:c>
      <x:c r="W1876" s="87" t="str">
        <x:v>PDF, задание 23</x:v>
      </x:c>
      <x:c r="X1876" s="87"/>
      <x:c r="Y1876" s="87"/>
      <x:c r="Z1876" s="87"/>
      <x:c r="AA1876" s="87"/>
      <x:c r="AB1876" s="87"/>
      <x:c r="AC1876" s="87"/>
      <x:c r="AD1876" s="87"/>
      <x:c r="AE1876" s="87"/>
      <x:c r="AF1876" s="87"/>
      <x:c r="AG1876" s="87"/>
      <x:c r="AH1876" s="87"/>
      <x:c r="AI1876" s="30"/>
      <x:c r="AJ1876" s="87" t="str">
        <x:v>master</x:v>
      </x:c>
      <x:c r="AK1876" s="87" t="str">
        <x:v>master-v0.81</x:v>
      </x:c>
      <x:c r="AL1876" s="87" t="str">
        <x:v>statgrad_master_base_v0_81_final(2).xlsx</x:v>
      </x:c>
      <x:c r="AM1876" s="87" t="str">
        <x:v>INF_Apr_V2</x:v>
      </x:c>
      <x:c r="AN1876" s="87" t="n">
        <x:v>24</x:v>
      </x:c>
    </x:row>
    <x:row r="1877">
      <x:c r="A1877" s="87" t="n">
        <x:v>1876</x:v>
      </x:c>
      <x:c r="B1877" s="87" t="str">
        <x:v>APR-INF-V2-024</x:v>
      </x:c>
      <x:c r="C1877" s="87" t="str">
        <x:v>СтатГрад</x:v>
      </x:c>
      <x:c r="D1877" s="87" t="str">
        <x:v>Апрель 2026</x:v>
      </x:c>
      <x:c r="E1877" s="87"/>
      <x:c r="F1877" s="87"/>
      <x:c r="G1877" s="87" t="str">
        <x:v>Информатика</x:v>
      </x:c>
      <x:c r="H1877" s="87" t="n">
        <x:v>11</x:v>
      </x:c>
      <x:c r="I1877" s="87" t="str">
        <x:v>ТР №5</x:v>
      </x:c>
      <x:c r="J1877" s="87" t="str">
        <x:v>ИН2510502</x:v>
      </x:c>
      <x:c r="K1877" s="87" t="n">
        <x:v>24</x:v>
      </x:c>
      <x:c r="L1877" s="87" t="str">
        <x:v>Обработка символьной строки</x:v>
      </x:c>
      <x:c r="M1877" s="30" t="str">
        <x:v>Найти позицию начала максимальной строки с одинаковыми чётными граничными цифрами и равным числом гласных и согласных.</x:v>
      </x:c>
      <x:c r="N1877" s="30" t="str">
        <x:v>3613619</x:v>
      </x:c>
      <x:c r="O1877" s="30" t="str">
        <x:v>Найдена максимальная подстрока, начинающаяся и заканчивающаяся одной чётной цифрой, с буквами внутри и равным числом гласных и согласных; при равенстве выбран наибольший начальный индекс.</x:v>
      </x:c>
      <x:c r="P1877" s="30" t="str">
        <x:v>Линейный поиск с префиксным балансом и контрольный перебор совпали: 3613619.</x:v>
      </x:c>
      <x:c r="Q1877" s="30"/>
      <x:c r="R1877" s="30" t="str">
        <x:v>24.txt + полный PDF + независимый пересчёт</x:v>
      </x:c>
      <x:c r="S1877" s="30"/>
      <x:c r="T1877" s="30"/>
      <x:c r="U1877" s="30" t="str">
        <x:v>Публичный ответ подтверждён.</x:v>
      </x:c>
      <x:c r="V1877" s="87" t="str">
        <x:v>VERIFIED</x:v>
      </x:c>
      <x:c r="W1877" s="87" t="str">
        <x:v>PDF, задание 24</x:v>
      </x:c>
      <x:c r="X1877" s="87"/>
      <x:c r="Y1877" s="87"/>
      <x:c r="Z1877" s="87"/>
      <x:c r="AA1877" s="87"/>
      <x:c r="AB1877" s="87"/>
      <x:c r="AC1877" s="87"/>
      <x:c r="AD1877" s="87"/>
      <x:c r="AE1877" s="87"/>
      <x:c r="AF1877" s="87"/>
      <x:c r="AG1877" s="87"/>
      <x:c r="AH1877" s="87"/>
      <x:c r="AI1877" s="30"/>
      <x:c r="AJ1877" s="87" t="str">
        <x:v>master</x:v>
      </x:c>
      <x:c r="AK1877" s="87" t="str">
        <x:v>master-v0.81</x:v>
      </x:c>
      <x:c r="AL1877" s="87" t="str">
        <x:v>statgrad_master_base_v0_81_final(2).xlsx</x:v>
      </x:c>
      <x:c r="AM1877" s="87" t="str">
        <x:v>INF_Apr_V2</x:v>
      </x:c>
      <x:c r="AN1877" s="87" t="n">
        <x:v>25</x:v>
      </x:c>
    </x:row>
    <x:row r="1878">
      <x:c r="A1878" s="87" t="n">
        <x:v>1877</x:v>
      </x:c>
      <x:c r="B1878" s="87" t="str">
        <x:v>APR-INF-V2-025</x:v>
      </x:c>
      <x:c r="C1878" s="87" t="str">
        <x:v>СтатГрад</x:v>
      </x:c>
      <x:c r="D1878" s="87" t="str">
        <x:v>Апрель 2026</x:v>
      </x:c>
      <x:c r="E1878" s="87"/>
      <x:c r="F1878" s="87"/>
      <x:c r="G1878" s="87" t="str">
        <x:v>Информатика</x:v>
      </x:c>
      <x:c r="H1878" s="87" t="n">
        <x:v>11</x:v>
      </x:c>
      <x:c r="I1878" s="87" t="str">
        <x:v>ТР №5</x:v>
      </x:c>
      <x:c r="J1878" s="87" t="str">
        <x:v>ИН2510502</x:v>
      </x:c>
      <x:c r="K1878" s="87" t="n">
        <x:v>25</x:v>
      </x:c>
      <x:c r="L1878" s="87" t="str">
        <x:v>Перебор делителей</x:v>
      </x:c>
      <x:c r="M1878" s="30" t="str">
        <x:v>Найти первые пять чисел после 4 333 795 по условию через S, K и натуральное слагаемое, оканчивающееся на 29.</x:v>
      </x:c>
      <x:c r="N1878" s="30" t="str">
        <x:v>4333870; 4334131; 4334545; 4334554; 4334611</x:v>
      </x:c>
      <x:c r="O1878" s="30" t="str">
        <x:v>Полным перебором вычислены суммы собственных делителей и количества простых делителей; получены первые пять чисел.</x:v>
      </x:c>
      <x:c r="P1878" s="30" t="str">
        <x:v>Все пять результатов независимо пересчитаны программно.</x:v>
      </x:c>
      <x:c r="Q1878" s="30"/>
      <x:c r="R1878" s="30" t="str">
        <x:v>Полный PDF + независимое решение</x:v>
      </x:c>
      <x:c r="S1878" s="30"/>
      <x:c r="T1878" s="30"/>
      <x:c r="U1878" s="30" t="str">
        <x:v>Расхождений не обнаружено.</x:v>
      </x:c>
      <x:c r="V1878" s="87" t="str">
        <x:v>VERIFIED</x:v>
      </x:c>
      <x:c r="W1878" s="87" t="str">
        <x:v>PDF, задание 25</x:v>
      </x:c>
      <x:c r="X1878" s="87"/>
      <x:c r="Y1878" s="87"/>
      <x:c r="Z1878" s="87"/>
      <x:c r="AA1878" s="87"/>
      <x:c r="AB1878" s="87"/>
      <x:c r="AC1878" s="87"/>
      <x:c r="AD1878" s="87"/>
      <x:c r="AE1878" s="87"/>
      <x:c r="AF1878" s="87"/>
      <x:c r="AG1878" s="87"/>
      <x:c r="AH1878" s="87"/>
      <x:c r="AI1878" s="30"/>
      <x:c r="AJ1878" s="87" t="str">
        <x:v>master</x:v>
      </x:c>
      <x:c r="AK1878" s="87" t="str">
        <x:v>master-v0.81</x:v>
      </x:c>
      <x:c r="AL1878" s="87" t="str">
        <x:v>statgrad_master_base_v0_81_final(2).xlsx</x:v>
      </x:c>
      <x:c r="AM1878" s="87" t="str">
        <x:v>INF_Apr_V2</x:v>
      </x:c>
      <x:c r="AN1878" s="87" t="n">
        <x:v>26</x:v>
      </x:c>
    </x:row>
    <x:row r="1879">
      <x:c r="A1879" s="87" t="n">
        <x:v>1878</x:v>
      </x:c>
      <x:c r="B1879" s="87" t="str">
        <x:v>APR-INF-V2-026</x:v>
      </x:c>
      <x:c r="C1879" s="87" t="str">
        <x:v>СтатГрад</x:v>
      </x:c>
      <x:c r="D1879" s="87" t="str">
        <x:v>Апрель 2026</x:v>
      </x:c>
      <x:c r="E1879" s="87"/>
      <x:c r="F1879" s="87"/>
      <x:c r="G1879" s="87" t="str">
        <x:v>Информатика</x:v>
      </x:c>
      <x:c r="H1879" s="87" t="n">
        <x:v>11</x:v>
      </x:c>
      <x:c r="I1879" s="87" t="str">
        <x:v>ТР №5</x:v>
      </x:c>
      <x:c r="J1879" s="87" t="str">
        <x:v>ИН2510502</x:v>
      </x:c>
      <x:c r="K1879" s="87" t="n">
        <x:v>26</x:v>
      </x:c>
      <x:c r="L1879" s="87" t="str">
        <x:v>Оптимальная вложенность коробок</x:v>
      </x:c>
      <x:c r="M1879" s="30" t="str">
        <x:v>По файлу построить максимальную цепочку коробок разных материалов с разностью сторон не менее K+3000.</x:v>
      </x:c>
      <x:c r="N1879" s="30" t="str">
        <x:v>2299; 9996036</x:v>
      </x:c>
      <x:c r="O1879" s="30" t="str">
        <x:v>Построена максимальная цепочка чередующихся материалов при ограничении: внешняя сторона не меньше внутренней + номер позиции + 3000.</x:v>
      </x:c>
      <x:c r="P1879" s="30" t="str">
        <x:v>Динамический расчёт и обратное восстановление цепочки дают 2299; 9996036.</x:v>
      </x:c>
      <x:c r="Q1879" s="30"/>
      <x:c r="R1879" s="30" t="str">
        <x:v>26.txt + полный PDF + независимый пересчёт</x:v>
      </x:c>
      <x:c r="S1879" s="30"/>
      <x:c r="T1879" s="30"/>
      <x:c r="U1879" s="30" t="str">
        <x:v>Задание SOURCE_REQUIRED закрыто по исходному файлу.</x:v>
      </x:c>
      <x:c r="V1879" s="87" t="str">
        <x:v>VERIFIED</x:v>
      </x:c>
      <x:c r="W1879" s="87" t="str">
        <x:v>PDF, задание 26</x:v>
      </x:c>
      <x:c r="X1879" s="87"/>
      <x:c r="Y1879" s="87"/>
      <x:c r="Z1879" s="87"/>
      <x:c r="AA1879" s="87"/>
      <x:c r="AB1879" s="87"/>
      <x:c r="AC1879" s="87"/>
      <x:c r="AD1879" s="87"/>
      <x:c r="AE1879" s="87"/>
      <x:c r="AF1879" s="87"/>
      <x:c r="AG1879" s="87"/>
      <x:c r="AH1879" s="87"/>
      <x:c r="AI1879" s="30"/>
      <x:c r="AJ1879" s="87" t="str">
        <x:v>master</x:v>
      </x:c>
      <x:c r="AK1879" s="87" t="str">
        <x:v>master-v0.81</x:v>
      </x:c>
      <x:c r="AL1879" s="87" t="str">
        <x:v>statgrad_master_base_v0_81_final(2).xlsx</x:v>
      </x:c>
      <x:c r="AM1879" s="87" t="str">
        <x:v>INF_Apr_V2</x:v>
      </x:c>
      <x:c r="AN1879" s="87" t="n">
        <x:v>27</x:v>
      </x:c>
    </x:row>
    <x:row r="1880">
      <x:c r="A1880" s="87" t="n">
        <x:v>1879</x:v>
      </x:c>
      <x:c r="B1880" s="87" t="str">
        <x:v>APR-INF-V2-027</x:v>
      </x:c>
      <x:c r="C1880" s="87" t="str">
        <x:v>СтатГрад</x:v>
      </x:c>
      <x:c r="D1880" s="87" t="str">
        <x:v>Апрель 2026</x:v>
      </x:c>
      <x:c r="E1880" s="87"/>
      <x:c r="F1880" s="87"/>
      <x:c r="G1880" s="87" t="str">
        <x:v>Информатика</x:v>
      </x:c>
      <x:c r="H1880" s="87" t="n">
        <x:v>11</x:v>
      </x:c>
      <x:c r="I1880" s="87" t="str">
        <x:v>ТР №5</x:v>
      </x:c>
      <x:c r="J1880" s="87" t="str">
        <x:v>ИН2510502</x:v>
      </x:c>
      <x:c r="K1880" s="87" t="n">
        <x:v>27</x:v>
      </x:c>
      <x:c r="L1880" s="87" t="str">
        <x:v>Кластеризация звёзд</x:v>
      </x:c>
      <x:c r="M1880" s="30" t="str">
        <x:v>По двум файлам кластеризовать звёзды и вычислить четыре агрегированные характеристики.</x:v>
      </x:c>
      <x:c r="N1880" s="30" t="str">
        <x:v>158409; 407193; 59134; 15419</x:v>
      </x:c>
      <x:c r="O1880" s="30" t="str">
        <x:v>Кластеры выделены по геометрическим разрывам; центры выбраны как медоиды. Для A взят наибольший кластер и ближайший жёлтый гигант; для B рассчитаны требуемые расстояния.</x:v>
      </x:c>
      <x:c r="P1880" s="30" t="str">
        <x:v>Повторное кластеризующее решение и полный перебор медоидов дают 158409; 407193; 59134; 15419.</x:v>
      </x:c>
      <x:c r="Q1880" s="30"/>
      <x:c r="R1880" s="30" t="str">
        <x:v>27_A.txt + 27_B.txt + полный PDF + независимый пересчёт</x:v>
      </x:c>
      <x:c r="S1880" s="30"/>
      <x:c r="T1880" s="30"/>
      <x:c r="U1880" s="30" t="str">
        <x:v>Публичный ответ подтверждён.</x:v>
      </x:c>
      <x:c r="V1880" s="87" t="str">
        <x:v>VERIFIED</x:v>
      </x:c>
      <x:c r="W1880" s="87" t="str">
        <x:v>PDF, задание 27</x:v>
      </x:c>
      <x:c r="X1880" s="87"/>
      <x:c r="Y1880" s="87"/>
      <x:c r="Z1880" s="87"/>
      <x:c r="AA1880" s="87"/>
      <x:c r="AB1880" s="87"/>
      <x:c r="AC1880" s="87"/>
      <x:c r="AD1880" s="87"/>
      <x:c r="AE1880" s="87"/>
      <x:c r="AF1880" s="87"/>
      <x:c r="AG1880" s="87"/>
      <x:c r="AH1880" s="87"/>
      <x:c r="AI1880" s="30"/>
      <x:c r="AJ1880" s="87" t="str">
        <x:v>master</x:v>
      </x:c>
      <x:c r="AK1880" s="87" t="str">
        <x:v>master-v0.81</x:v>
      </x:c>
      <x:c r="AL1880" s="87" t="str">
        <x:v>statgrad_master_base_v0_81_final(2).xlsx</x:v>
      </x:c>
      <x:c r="AM1880" s="87" t="str">
        <x:v>INF_Apr_V2</x:v>
      </x:c>
      <x:c r="AN1880" s="87" t="n">
        <x:v>28</x:v>
      </x:c>
    </x:row>
    <x:row r="1881">
      <x:c r="A1881" s="87" t="n">
        <x:v>1880</x:v>
      </x:c>
      <x:c r="B1881" s="87" t="str">
        <x:v>APR-GEO-V1-001</x:v>
      </x:c>
      <x:c r="C1881" s="87" t="str">
        <x:v>СтатГрад</x:v>
      </x:c>
      <x:c r="D1881" s="87" t="str">
        <x:v>Апрель 2026</x:v>
      </x:c>
      <x:c r="E1881" s="87"/>
      <x:c r="F1881" s="87"/>
      <x:c r="G1881" s="87" t="str">
        <x:v>География</x:v>
      </x:c>
      <x:c r="H1881" s="87" t="n">
        <x:v>11</x:v>
      </x:c>
      <x:c r="I1881" s="87" t="str">
        <x:v>ТР №5</x:v>
      </x:c>
      <x:c r="J1881" s="87" t="str">
        <x:v>ГГ2510501</x:v>
      </x:c>
      <x:c r="K1881" s="87" t="n">
        <x:v>1</x:v>
      </x:c>
      <x:c r="L1881" s="87" t="str">
        <x:v>Географические координаты</x:v>
      </x:c>
      <x:c r="M1881" s="30" t="str">
        <x:v>Город Байя-Бланка расположен на 38°47′ ю. ш. и 62°16′ з. д. Определить государство.</x:v>
      </x:c>
      <x:c r="N1881" s="30" t="str">
        <x:v>Аргентина</x:v>
      </x:c>
      <x:c r="O1881" s="30" t="str">
        <x:v>Координаты находятся в восточной части Аргентины, в провинции Буэнос-Айрес.</x:v>
      </x:c>
      <x:c r="P1881" s="30" t="str">
        <x:v>Координаты находятся в восточной части Аргентины, в провинции Буэнос-Айрес.</x:v>
      </x:c>
      <x:c r="Q1881" s="30"/>
      <x:c r="R1881" s="30" t="str">
        <x:v>Полный PDF + независимое решение + открытая публикация/разбор</x:v>
      </x:c>
      <x:c r="S1881" s="30"/>
      <x:c r="T1881" s="30"/>
      <x:c r="U1881" s="30" t="str">
        <x:v>Расхождений не обнаружено.</x:v>
      </x:c>
      <x:c r="V1881" s="87" t="str">
        <x:v>VERIFIED</x:v>
      </x:c>
      <x:c r="W1881" s="87" t="str">
        <x:v>Официальный PDF</x:v>
      </x:c>
      <x:c r="X1881" s="87"/>
      <x:c r="Y1881" s="87"/>
      <x:c r="Z1881" s="87"/>
      <x:c r="AA1881" s="87"/>
      <x:c r="AB1881" s="87"/>
      <x:c r="AC1881" s="87"/>
      <x:c r="AD1881" s="87"/>
      <x:c r="AE1881" s="87"/>
      <x:c r="AF1881" s="87"/>
      <x:c r="AG1881" s="87"/>
      <x:c r="AH1881" s="87"/>
      <x:c r="AI1881" s="30"/>
      <x:c r="AJ1881" s="87" t="str">
        <x:v>master</x:v>
      </x:c>
      <x:c r="AK1881" s="87" t="str">
        <x:v>master-v0.81</x:v>
      </x:c>
      <x:c r="AL1881" s="87" t="str">
        <x:v>statgrad_master_base_v0_81_final(2).xlsx</x:v>
      </x:c>
      <x:c r="AM1881" s="87" t="str">
        <x:v>GEO_Apr_V1</x:v>
      </x:c>
      <x:c r="AN1881" s="87" t="n">
        <x:v>2</x:v>
      </x:c>
    </x:row>
    <x:row r="1882">
      <x:c r="A1882" s="87" t="n">
        <x:v>1881</x:v>
      </x:c>
      <x:c r="B1882" s="87" t="str">
        <x:v>APR-GEO-V1-002</x:v>
      </x:c>
      <x:c r="C1882" s="87" t="str">
        <x:v>СтатГрад</x:v>
      </x:c>
      <x:c r="D1882" s="87" t="str">
        <x:v>Апрель 2026</x:v>
      </x:c>
      <x:c r="E1882" s="87"/>
      <x:c r="F1882" s="87"/>
      <x:c r="G1882" s="87" t="str">
        <x:v>География</x:v>
      </x:c>
      <x:c r="H1882" s="87" t="n">
        <x:v>11</x:v>
      </x:c>
      <x:c r="I1882" s="87" t="str">
        <x:v>ТР №5</x:v>
      </x:c>
      <x:c r="J1882" s="87" t="str">
        <x:v>ГГ2510501</x:v>
      </x:c>
      <x:c r="K1882" s="87" t="n">
        <x:v>2</x:v>
      </x:c>
      <x:c r="L1882" s="87" t="str">
        <x:v>Высота и температура</x:v>
      </x:c>
      <x:c r="M1882" s="30" t="str">
        <x:v>Метеостанции 1, 2 и 3 имеют температуры +5, +3 и +2 °C. Расположить их по увеличению высоты.</x:v>
      </x:c>
      <x:c r="N1882" s="30" t="str">
        <x:v>123</x:v>
      </x:c>
      <x:c r="O1882" s="30" t="str">
        <x:v>На одном склоне температура с высотой понижается: самая низкая станция 1, затем 2, самая высокая 3.</x:v>
      </x:c>
      <x:c r="P1882" s="30" t="str">
        <x:v>На одном склоне температура с высотой понижается: самая низкая станция 1, затем 2, самая высокая 3.</x:v>
      </x:c>
      <x:c r="Q1882" s="30"/>
      <x:c r="R1882" s="30" t="str">
        <x:v>Полный PDF + независимое решение + открытая публикация/разбор</x:v>
      </x:c>
      <x:c r="S1882" s="30"/>
      <x:c r="T1882" s="30"/>
      <x:c r="U1882" s="30" t="str">
        <x:v>Расхождений не обнаружено.</x:v>
      </x:c>
      <x:c r="V1882" s="87" t="str">
        <x:v>VERIFIED</x:v>
      </x:c>
      <x:c r="W1882" s="87" t="str">
        <x:v>Официальный PDF</x:v>
      </x:c>
      <x:c r="X1882" s="87"/>
      <x:c r="Y1882" s="87"/>
      <x:c r="Z1882" s="87"/>
      <x:c r="AA1882" s="87"/>
      <x:c r="AB1882" s="87"/>
      <x:c r="AC1882" s="87"/>
      <x:c r="AD1882" s="87"/>
      <x:c r="AE1882" s="87"/>
      <x:c r="AF1882" s="87"/>
      <x:c r="AG1882" s="87"/>
      <x:c r="AH1882" s="87"/>
      <x:c r="AI1882" s="30"/>
      <x:c r="AJ1882" s="87" t="str">
        <x:v>master</x:v>
      </x:c>
      <x:c r="AK1882" s="87" t="str">
        <x:v>master-v0.81</x:v>
      </x:c>
      <x:c r="AL1882" s="87" t="str">
        <x:v>statgrad_master_base_v0_81_final(2).xlsx</x:v>
      </x:c>
      <x:c r="AM1882" s="87" t="str">
        <x:v>GEO_Apr_V1</x:v>
      </x:c>
      <x:c r="AN1882" s="87" t="n">
        <x:v>3</x:v>
      </x:c>
    </x:row>
    <x:row r="1883">
      <x:c r="A1883" s="87" t="n">
        <x:v>1882</x:v>
      </x:c>
      <x:c r="B1883" s="87" t="str">
        <x:v>APR-GEO-V1-003</x:v>
      </x:c>
      <x:c r="C1883" s="87" t="str">
        <x:v>СтатГрад</x:v>
      </x:c>
      <x:c r="D1883" s="87" t="str">
        <x:v>Апрель 2026</x:v>
      </x:c>
      <x:c r="E1883" s="87"/>
      <x:c r="F1883" s="87"/>
      <x:c r="G1883" s="87" t="str">
        <x:v>География</x:v>
      </x:c>
      <x:c r="H1883" s="87" t="n">
        <x:v>11</x:v>
      </x:c>
      <x:c r="I1883" s="87" t="str">
        <x:v>ТР №5</x:v>
      </x:c>
      <x:c r="J1883" s="87" t="str">
        <x:v>ГГ2510501</x:v>
      </x:c>
      <x:c r="K1883" s="87" t="n">
        <x:v>3</x:v>
      </x:c>
      <x:c r="L1883" s="87" t="str">
        <x:v>Климат городов России</x:v>
      </x:c>
      <x:c r="M1883" s="30" t="str">
        <x:v>Расположить Рязань, Новосибирск и Калининград по повышению средней температуры января.</x:v>
      </x:c>
      <x:c r="N1883" s="30" t="str">
        <x:v>213</x:v>
      </x:c>
      <x:c r="O1883" s="30" t="str">
        <x:v>Самая холодная зима в континентальном Новосибирске, затем Рязань, самая мягкая — в Калининграде.</x:v>
      </x:c>
      <x:c r="P1883" s="30" t="str">
        <x:v>Самая холодная зима в континентальном Новосибирске, затем Рязань, самая мягкая — в Калининграде.</x:v>
      </x:c>
      <x:c r="Q1883" s="30"/>
      <x:c r="R1883" s="30" t="str">
        <x:v>Полный PDF + независимое решение + открытая публикация/разбор</x:v>
      </x:c>
      <x:c r="S1883" s="30"/>
      <x:c r="T1883" s="30"/>
      <x:c r="U1883" s="30" t="str">
        <x:v>Расхождений не обнаружено.</x:v>
      </x:c>
      <x:c r="V1883" s="87" t="str">
        <x:v>VERIFIED</x:v>
      </x:c>
      <x:c r="W1883" s="87" t="str">
        <x:v>Официальный PDF</x:v>
      </x:c>
      <x:c r="X1883" s="87"/>
      <x:c r="Y1883" s="87"/>
      <x:c r="Z1883" s="87"/>
      <x:c r="AA1883" s="87"/>
      <x:c r="AB1883" s="87"/>
      <x:c r="AC1883" s="87"/>
      <x:c r="AD1883" s="87"/>
      <x:c r="AE1883" s="87"/>
      <x:c r="AF1883" s="87"/>
      <x:c r="AG1883" s="87"/>
      <x:c r="AH1883" s="87"/>
      <x:c r="AI1883" s="30"/>
      <x:c r="AJ1883" s="87" t="str">
        <x:v>master</x:v>
      </x:c>
      <x:c r="AK1883" s="87" t="str">
        <x:v>master-v0.81</x:v>
      </x:c>
      <x:c r="AL1883" s="87" t="str">
        <x:v>statgrad_master_base_v0_81_final(2).xlsx</x:v>
      </x:c>
      <x:c r="AM1883" s="87" t="str">
        <x:v>GEO_Apr_V1</x:v>
      </x:c>
      <x:c r="AN1883" s="87" t="n">
        <x:v>4</x:v>
      </x:c>
    </x:row>
    <x:row r="1884">
      <x:c r="A1884" s="87" t="n">
        <x:v>1883</x:v>
      </x:c>
      <x:c r="B1884" s="87" t="str">
        <x:v>APR-GEO-V1-004</x:v>
      </x:c>
      <x:c r="C1884" s="87" t="str">
        <x:v>СтатГрад</x:v>
      </x:c>
      <x:c r="D1884" s="87" t="str">
        <x:v>Апрель 2026</x:v>
      </x:c>
      <x:c r="E1884" s="87"/>
      <x:c r="F1884" s="87"/>
      <x:c r="G1884" s="87" t="str">
        <x:v>География</x:v>
      </x:c>
      <x:c r="H1884" s="87" t="n">
        <x:v>11</x:v>
      </x:c>
      <x:c r="I1884" s="87" t="str">
        <x:v>ТР №5</x:v>
      </x:c>
      <x:c r="J1884" s="87" t="str">
        <x:v>ГГ2510501</x:v>
      </x:c>
      <x:c r="K1884" s="87" t="n">
        <x:v>4</x:v>
      </x:c>
      <x:c r="L1884" s="87" t="str">
        <x:v>Карта Евразии</x:v>
      </x:c>
      <x:c r="M1884" s="30" t="str">
        <x:v>Соотнести Аравийское, Восточно-Китайское и Японское моря с цифрами на карте.</x:v>
      </x:c>
      <x:c r="N1884" s="30" t="str">
        <x:v>134</x:v>
      </x:c>
      <x:c r="O1884" s="30" t="str">
        <x:v>Аравийское море — 1; Восточно-Китайское — 3; Японское — 4.</x:v>
      </x:c>
      <x:c r="P1884" s="30" t="str">
        <x:v>Все три акватории проверены визуально по карте.</x:v>
      </x:c>
      <x:c r="Q1884" s="30"/>
      <x:c r="R1884" s="30" t="str">
        <x:v>Полный PDF + независимое решение + открытая публикация/разбор</x:v>
      </x:c>
      <x:c r="S1884" s="30"/>
      <x:c r="T1884" s="30"/>
      <x:c r="U1884" s="30" t="str">
        <x:v>Расхождений не обнаружено.</x:v>
      </x:c>
      <x:c r="V1884" s="87" t="str">
        <x:v>VERIFIED</x:v>
      </x:c>
      <x:c r="W1884" s="87" t="str">
        <x:v>PDF, задание 4</x:v>
      </x:c>
      <x:c r="X1884" s="87"/>
      <x:c r="Y1884" s="87"/>
      <x:c r="Z1884" s="87"/>
      <x:c r="AA1884" s="87"/>
      <x:c r="AB1884" s="87"/>
      <x:c r="AC1884" s="87"/>
      <x:c r="AD1884" s="87"/>
      <x:c r="AE1884" s="87"/>
      <x:c r="AF1884" s="87"/>
      <x:c r="AG1884" s="87"/>
      <x:c r="AH1884" s="87"/>
      <x:c r="AI1884" s="30"/>
      <x:c r="AJ1884" s="87" t="str">
        <x:v>master</x:v>
      </x:c>
      <x:c r="AK1884" s="87" t="str">
        <x:v>master-v0.81</x:v>
      </x:c>
      <x:c r="AL1884" s="87" t="str">
        <x:v>statgrad_master_base_v0_81_final(2).xlsx</x:v>
      </x:c>
      <x:c r="AM1884" s="87" t="str">
        <x:v>GEO_Apr_V1</x:v>
      </x:c>
      <x:c r="AN1884" s="87" t="n">
        <x:v>5</x:v>
      </x:c>
    </x:row>
    <x:row r="1885">
      <x:c r="A1885" s="87" t="n">
        <x:v>1884</x:v>
      </x:c>
      <x:c r="B1885" s="87" t="str">
        <x:v>APR-GEO-V1-005</x:v>
      </x:c>
      <x:c r="C1885" s="87" t="str">
        <x:v>СтатГрад</x:v>
      </x:c>
      <x:c r="D1885" s="87" t="str">
        <x:v>Апрель 2026</x:v>
      </x:c>
      <x:c r="E1885" s="87"/>
      <x:c r="F1885" s="87"/>
      <x:c r="G1885" s="87" t="str">
        <x:v>География</x:v>
      </x:c>
      <x:c r="H1885" s="87" t="n">
        <x:v>11</x:v>
      </x:c>
      <x:c r="I1885" s="87" t="str">
        <x:v>ТР №5</x:v>
      </x:c>
      <x:c r="J1885" s="87" t="str">
        <x:v>ГГ2510501</x:v>
      </x:c>
      <x:c r="K1885" s="87" t="n">
        <x:v>5</x:v>
      </x:c>
      <x:c r="L1885" s="87" t="str">
        <x:v>Страноведческий текст</x:v>
      </x:c>
      <x:c r="M1885" s="30" t="str">
        <x:v>Заполнить пропуски о материке, месте Аргентины по площади и государственном языке.</x:v>
      </x:c>
      <x:c r="N1885" s="30" t="str">
        <x:v>634</x:v>
      </x:c>
      <x:c r="O1885" s="30" t="str">
        <x:v>Аргентина находится в Южной Америке (6), занимает второе место по площади (3), государственный язык — испанский (4).</x:v>
      </x:c>
      <x:c r="P1885" s="30" t="str">
        <x:v>Аргентина находится в Южной Америке (6), занимает второе место по площади (3), государственный язык — испанский (4).</x:v>
      </x:c>
      <x:c r="Q1885" s="30"/>
      <x:c r="R1885" s="30" t="str">
        <x:v>Полный PDF + независимое решение + открытая публикация/разбор</x:v>
      </x:c>
      <x:c r="S1885" s="30"/>
      <x:c r="T1885" s="30"/>
      <x:c r="U1885" s="30" t="str">
        <x:v>Расхождений не обнаружено.</x:v>
      </x:c>
      <x:c r="V1885" s="87" t="str">
        <x:v>VERIFIED</x:v>
      </x:c>
      <x:c r="W1885" s="87" t="str">
        <x:v>Официальный PDF</x:v>
      </x:c>
      <x:c r="X1885" s="87"/>
      <x:c r="Y1885" s="87"/>
      <x:c r="Z1885" s="87"/>
      <x:c r="AA1885" s="87"/>
      <x:c r="AB1885" s="87"/>
      <x:c r="AC1885" s="87"/>
      <x:c r="AD1885" s="87"/>
      <x:c r="AE1885" s="87"/>
      <x:c r="AF1885" s="87"/>
      <x:c r="AG1885" s="87"/>
      <x:c r="AH1885" s="87"/>
      <x:c r="AI1885" s="30"/>
      <x:c r="AJ1885" s="87" t="str">
        <x:v>master</x:v>
      </x:c>
      <x:c r="AK1885" s="87" t="str">
        <x:v>master-v0.81</x:v>
      </x:c>
      <x:c r="AL1885" s="87" t="str">
        <x:v>statgrad_master_base_v0_81_final(2).xlsx</x:v>
      </x:c>
      <x:c r="AM1885" s="87" t="str">
        <x:v>GEO_Apr_V1</x:v>
      </x:c>
      <x:c r="AN1885" s="87" t="n">
        <x:v>6</x:v>
      </x:c>
    </x:row>
    <x:row r="1886">
      <x:c r="A1886" s="87" t="n">
        <x:v>1885</x:v>
      </x:c>
      <x:c r="B1886" s="87" t="str">
        <x:v>APR-GEO-V1-006</x:v>
      </x:c>
      <x:c r="C1886" s="87" t="str">
        <x:v>СтатГрад</x:v>
      </x:c>
      <x:c r="D1886" s="87" t="str">
        <x:v>Апрель 2026</x:v>
      </x:c>
      <x:c r="E1886" s="87"/>
      <x:c r="F1886" s="87"/>
      <x:c r="G1886" s="87" t="str">
        <x:v>География</x:v>
      </x:c>
      <x:c r="H1886" s="87" t="n">
        <x:v>11</x:v>
      </x:c>
      <x:c r="I1886" s="87" t="str">
        <x:v>ТР №5</x:v>
      </x:c>
      <x:c r="J1886" s="87" t="str">
        <x:v>ГГ2510501</x:v>
      </x:c>
      <x:c r="K1886" s="87" t="n">
        <x:v>6</x:v>
      </x:c>
      <x:c r="L1886" s="87" t="str">
        <x:v>Крупнейшие города России</x:v>
      </x:c>
      <x:c r="M1886" s="30" t="str">
        <x:v>Выбрать три города с наибольшей численностью населения: Иваново, Рязань, Пермь, Красноярск, Воронеж, Ставрополь.</x:v>
      </x:c>
      <x:c r="N1886" s="30" t="str">
        <x:v>345</x:v>
      </x:c>
      <x:c r="O1886" s="30" t="str">
        <x:v>Среди перечисленных крупнейшие по населению — Пермь, Красноярск и Воронеж.</x:v>
      </x:c>
      <x:c r="P1886" s="30" t="str">
        <x:v>Среди перечисленных крупнейшие по населению — Пермь, Красноярск и Воронеж.</x:v>
      </x:c>
      <x:c r="Q1886" s="30"/>
      <x:c r="R1886" s="30" t="str">
        <x:v>Полный PDF + независимое решение + открытая публикация/разбор</x:v>
      </x:c>
      <x:c r="S1886" s="30"/>
      <x:c r="T1886" s="30"/>
      <x:c r="U1886" s="30" t="str">
        <x:v>Расхождений не обнаружено.</x:v>
      </x:c>
      <x:c r="V1886" s="87" t="str">
        <x:v>VERIFIED</x:v>
      </x:c>
      <x:c r="W1886" s="87" t="str">
        <x:v>Официальный PDF</x:v>
      </x:c>
      <x:c r="X1886" s="87"/>
      <x:c r="Y1886" s="87"/>
      <x:c r="Z1886" s="87"/>
      <x:c r="AA1886" s="87"/>
      <x:c r="AB1886" s="87"/>
      <x:c r="AC1886" s="87"/>
      <x:c r="AD1886" s="87"/>
      <x:c r="AE1886" s="87"/>
      <x:c r="AF1886" s="87"/>
      <x:c r="AG1886" s="87"/>
      <x:c r="AH1886" s="87"/>
      <x:c r="AI1886" s="30"/>
      <x:c r="AJ1886" s="87" t="str">
        <x:v>master</x:v>
      </x:c>
      <x:c r="AK1886" s="87" t="str">
        <x:v>master-v0.81</x:v>
      </x:c>
      <x:c r="AL1886" s="87" t="str">
        <x:v>statgrad_master_base_v0_81_final(2).xlsx</x:v>
      </x:c>
      <x:c r="AM1886" s="87" t="str">
        <x:v>GEO_Apr_V1</x:v>
      </x:c>
      <x:c r="AN1886" s="87" t="n">
        <x:v>7</x:v>
      </x:c>
    </x:row>
    <x:row r="1887">
      <x:c r="A1887" s="87" t="n">
        <x:v>1886</x:v>
      </x:c>
      <x:c r="B1887" s="87" t="str">
        <x:v>APR-GEO-V1-007</x:v>
      </x:c>
      <x:c r="C1887" s="87" t="str">
        <x:v>СтатГрад</x:v>
      </x:c>
      <x:c r="D1887" s="87" t="str">
        <x:v>Апрель 2026</x:v>
      </x:c>
      <x:c r="E1887" s="87"/>
      <x:c r="F1887" s="87"/>
      <x:c r="G1887" s="87" t="str">
        <x:v>География</x:v>
      </x:c>
      <x:c r="H1887" s="87" t="n">
        <x:v>11</x:v>
      </x:c>
      <x:c r="I1887" s="87" t="str">
        <x:v>ТР №5</x:v>
      </x:c>
      <x:c r="J1887" s="87" t="str">
        <x:v>ГГ2510501</x:v>
      </x:c>
      <x:c r="K1887" s="87" t="n">
        <x:v>7</x:v>
      </x:c>
      <x:c r="L1887" s="87" t="str">
        <x:v>Структура занятости</x:v>
      </x:c>
      <x:c r="M1887" s="30" t="str">
        <x:v>Соотнести Великобританию, Непал и Эквадор с диаграммами занятости по секторам.</x:v>
      </x:c>
      <x:c r="N1887" s="30" t="str">
        <x:v>321</x:v>
      </x:c>
      <x:c r="O1887" s="30" t="str">
        <x:v>Великобритания — максимальная доля услуг и почти отсутствующее сельское хозяйство (3); Непал — преобладание сельского хозяйства (2); Эквадор — промежуточная структура (1).</x:v>
      </x:c>
      <x:c r="P1887" s="30" t="str">
        <x:v>Диаграммы проверены визуально.</x:v>
      </x:c>
      <x:c r="Q1887" s="30"/>
      <x:c r="R1887" s="30" t="str">
        <x:v>Полный PDF + независимое решение + открытая публикация/разбор</x:v>
      </x:c>
      <x:c r="S1887" s="30"/>
      <x:c r="T1887" s="30"/>
      <x:c r="U1887" s="30" t="str">
        <x:v>Расхождений не обнаружено.</x:v>
      </x:c>
      <x:c r="V1887" s="87" t="str">
        <x:v>VERIFIED</x:v>
      </x:c>
      <x:c r="W1887" s="87" t="str">
        <x:v>PDF, задания 6–7</x:v>
      </x:c>
      <x:c r="X1887" s="87"/>
      <x:c r="Y1887" s="87"/>
      <x:c r="Z1887" s="87"/>
      <x:c r="AA1887" s="87"/>
      <x:c r="AB1887" s="87"/>
      <x:c r="AC1887" s="87"/>
      <x:c r="AD1887" s="87"/>
      <x:c r="AE1887" s="87"/>
      <x:c r="AF1887" s="87"/>
      <x:c r="AG1887" s="87"/>
      <x:c r="AH1887" s="87"/>
      <x:c r="AI1887" s="30"/>
      <x:c r="AJ1887" s="87" t="str">
        <x:v>master</x:v>
      </x:c>
      <x:c r="AK1887" s="87" t="str">
        <x:v>master-v0.81</x:v>
      </x:c>
      <x:c r="AL1887" s="87" t="str">
        <x:v>statgrad_master_base_v0_81_final(2).xlsx</x:v>
      </x:c>
      <x:c r="AM1887" s="87" t="str">
        <x:v>GEO_Apr_V1</x:v>
      </x:c>
      <x:c r="AN1887" s="87" t="n">
        <x:v>8</x:v>
      </x:c>
    </x:row>
    <x:row r="1888">
      <x:c r="A1888" s="87" t="n">
        <x:v>1887</x:v>
      </x:c>
      <x:c r="B1888" s="87" t="str">
        <x:v>APR-GEO-V1-008</x:v>
      </x:c>
      <x:c r="C1888" s="87" t="str">
        <x:v>СтатГрад</x:v>
      </x:c>
      <x:c r="D1888" s="87" t="str">
        <x:v>Апрель 2026</x:v>
      </x:c>
      <x:c r="E1888" s="87"/>
      <x:c r="F1888" s="87"/>
      <x:c r="G1888" s="87" t="str">
        <x:v>География</x:v>
      </x:c>
      <x:c r="H1888" s="87" t="n">
        <x:v>11</x:v>
      </x:c>
      <x:c r="I1888" s="87" t="str">
        <x:v>ТР №5</x:v>
      </x:c>
      <x:c r="J1888" s="87" t="str">
        <x:v>ГГ2510501</x:v>
      </x:c>
      <x:c r="K1888" s="87" t="n">
        <x:v>8</x:v>
      </x:c>
      <x:c r="L1888" s="87" t="str">
        <x:v>Продолжительность жизни</x:v>
      </x:c>
      <x:c r="M1888" s="30" t="str">
        <x:v>Расположить Мозамбик, Бразилию и Швецию по возрастанию ожидаемой продолжительности жизни.</x:v>
      </x:c>
      <x:c r="N1888" s="30" t="str">
        <x:v>123</x:v>
      </x:c>
      <x:c r="O1888" s="30" t="str">
        <x:v>Минимальное значение у Мозамбика, затем Бразилия, максимальное — у Швеции.</x:v>
      </x:c>
      <x:c r="P1888" s="30" t="str">
        <x:v>Минимальное значение у Мозамбика, затем Бразилия, максимальное — у Швеции.</x:v>
      </x:c>
      <x:c r="Q1888" s="30"/>
      <x:c r="R1888" s="30" t="str">
        <x:v>Полный PDF + независимое решение + открытая публикация/разбор</x:v>
      </x:c>
      <x:c r="S1888" s="30"/>
      <x:c r="T1888" s="30"/>
      <x:c r="U1888" s="30" t="str">
        <x:v>Расхождений не обнаружено.</x:v>
      </x:c>
      <x:c r="V1888" s="87" t="str">
        <x:v>VERIFIED</x:v>
      </x:c>
      <x:c r="W1888" s="87" t="str">
        <x:v>Официальный PDF</x:v>
      </x:c>
      <x:c r="X1888" s="87"/>
      <x:c r="Y1888" s="87"/>
      <x:c r="Z1888" s="87"/>
      <x:c r="AA1888" s="87"/>
      <x:c r="AB1888" s="87"/>
      <x:c r="AC1888" s="87"/>
      <x:c r="AD1888" s="87"/>
      <x:c r="AE1888" s="87"/>
      <x:c r="AF1888" s="87"/>
      <x:c r="AG1888" s="87"/>
      <x:c r="AH1888" s="87"/>
      <x:c r="AI1888" s="30"/>
      <x:c r="AJ1888" s="87" t="str">
        <x:v>master</x:v>
      </x:c>
      <x:c r="AK1888" s="87" t="str">
        <x:v>master-v0.81</x:v>
      </x:c>
      <x:c r="AL1888" s="87" t="str">
        <x:v>statgrad_master_base_v0_81_final(2).xlsx</x:v>
      </x:c>
      <x:c r="AM1888" s="87" t="str">
        <x:v>GEO_Apr_V1</x:v>
      </x:c>
      <x:c r="AN1888" s="87" t="n">
        <x:v>9</x:v>
      </x:c>
    </x:row>
    <x:row r="1889">
      <x:c r="A1889" s="87" t="n">
        <x:v>1888</x:v>
      </x:c>
      <x:c r="B1889" s="87" t="str">
        <x:v>APR-GEO-V1-009</x:v>
      </x:c>
      <x:c r="C1889" s="87" t="str">
        <x:v>СтатГрад</x:v>
      </x:c>
      <x:c r="D1889" s="87" t="str">
        <x:v>Апрель 2026</x:v>
      </x:c>
      <x:c r="E1889" s="87"/>
      <x:c r="F1889" s="87"/>
      <x:c r="G1889" s="87" t="str">
        <x:v>География</x:v>
      </x:c>
      <x:c r="H1889" s="87" t="n">
        <x:v>11</x:v>
      </x:c>
      <x:c r="I1889" s="87" t="str">
        <x:v>ТР №5</x:v>
      </x:c>
      <x:c r="J1889" s="87" t="str">
        <x:v>ГГ2510501</x:v>
      </x:c>
      <x:c r="K1889" s="87" t="n">
        <x:v>9</x:v>
      </x:c>
      <x:c r="L1889" s="87" t="str">
        <x:v>Добыча природного газа</x:v>
      </x:c>
      <x:c r="M1889" s="30" t="str">
        <x:v>Выбрать крупных производителей природного газа из списка стран.</x:v>
      </x:c>
      <x:c r="N1889" s="30" t="str">
        <x:v>345</x:v>
      </x:c>
      <x:c r="O1889" s="30" t="str">
        <x:v>Австралия, Канада и Катар относятся к крупным мировым производителям природного газа.</x:v>
      </x:c>
      <x:c r="P1889" s="30" t="str">
        <x:v>Австралия, Канада и Катар относятся к крупным мировым производителям природного газа.</x:v>
      </x:c>
      <x:c r="Q1889" s="30"/>
      <x:c r="R1889" s="30" t="str">
        <x:v>Полный PDF + независимое решение + открытая публикация/разбор</x:v>
      </x:c>
      <x:c r="S1889" s="30"/>
      <x:c r="T1889" s="30"/>
      <x:c r="U1889" s="30" t="str">
        <x:v>Расхождений не обнаружено.</x:v>
      </x:c>
      <x:c r="V1889" s="87" t="str">
        <x:v>VERIFIED</x:v>
      </x:c>
      <x:c r="W1889" s="87" t="str">
        <x:v>Официальный PDF</x:v>
      </x:c>
      <x:c r="X1889" s="87"/>
      <x:c r="Y1889" s="87"/>
      <x:c r="Z1889" s="87"/>
      <x:c r="AA1889" s="87"/>
      <x:c r="AB1889" s="87"/>
      <x:c r="AC1889" s="87"/>
      <x:c r="AD1889" s="87"/>
      <x:c r="AE1889" s="87"/>
      <x:c r="AF1889" s="87"/>
      <x:c r="AG1889" s="87"/>
      <x:c r="AH1889" s="87"/>
      <x:c r="AI1889" s="30"/>
      <x:c r="AJ1889" s="87" t="str">
        <x:v>master</x:v>
      </x:c>
      <x:c r="AK1889" s="87" t="str">
        <x:v>master-v0.81</x:v>
      </x:c>
      <x:c r="AL1889" s="87" t="str">
        <x:v>statgrad_master_base_v0_81_final(2).xlsx</x:v>
      </x:c>
      <x:c r="AM1889" s="87" t="str">
        <x:v>GEO_Apr_V1</x:v>
      </x:c>
      <x:c r="AN1889" s="87" t="n">
        <x:v>10</x:v>
      </x:c>
    </x:row>
    <x:row r="1890">
      <x:c r="A1890" s="87" t="n">
        <x:v>1889</x:v>
      </x:c>
      <x:c r="B1890" s="87" t="str">
        <x:v>APR-GEO-V1-010</x:v>
      </x:c>
      <x:c r="C1890" s="87" t="str">
        <x:v>СтатГрад</x:v>
      </x:c>
      <x:c r="D1890" s="87" t="str">
        <x:v>Апрель 2026</x:v>
      </x:c>
      <x:c r="E1890" s="87"/>
      <x:c r="F1890" s="87"/>
      <x:c r="G1890" s="87" t="str">
        <x:v>География</x:v>
      </x:c>
      <x:c r="H1890" s="87" t="n">
        <x:v>11</x:v>
      </x:c>
      <x:c r="I1890" s="87" t="str">
        <x:v>ТР №5</x:v>
      </x:c>
      <x:c r="J1890" s="87" t="str">
        <x:v>ГГ2510501</x:v>
      </x:c>
      <x:c r="K1890" s="87" t="n">
        <x:v>10</x:v>
      </x:c>
      <x:c r="L1890" s="87" t="str">
        <x:v>Промышленное производство</x:v>
      </x:c>
      <x:c r="M1890" s="30" t="str">
        <x:v>По индексам 2021–2023 гг. выбрать страны, где объём промышленного производства увеличивался ежегодно.</x:v>
      </x:c>
      <x:c r="N1890" s="30" t="str">
        <x:v>124</x:v>
      </x:c>
      <x:c r="O1890" s="30" t="str">
        <x:v>Ежегодный индекс выше 100% у Армении, Бельгии и Германии; у Нидерландов он ниже 100%.</x:v>
      </x:c>
      <x:c r="P1890" s="30" t="str">
        <x:v>Проверены все двенадцать значений таблицы.</x:v>
      </x:c>
      <x:c r="Q1890" s="30"/>
      <x:c r="R1890" s="30" t="str">
        <x:v>Полный PDF + независимое решение + открытая публикация/разбор</x:v>
      </x:c>
      <x:c r="S1890" s="30"/>
      <x:c r="T1890" s="30"/>
      <x:c r="U1890" s="30" t="str">
        <x:v>Расхождений не обнаружено.</x:v>
      </x:c>
      <x:c r="V1890" s="87" t="str">
        <x:v>VERIFIED</x:v>
      </x:c>
      <x:c r="W1890" s="87" t="str">
        <x:v>PDF, задание 10</x:v>
      </x:c>
      <x:c r="X1890" s="87"/>
      <x:c r="Y1890" s="87"/>
      <x:c r="Z1890" s="87"/>
      <x:c r="AA1890" s="87"/>
      <x:c r="AB1890" s="87"/>
      <x:c r="AC1890" s="87"/>
      <x:c r="AD1890" s="87"/>
      <x:c r="AE1890" s="87"/>
      <x:c r="AF1890" s="87"/>
      <x:c r="AG1890" s="87"/>
      <x:c r="AH1890" s="87"/>
      <x:c r="AI1890" s="30"/>
      <x:c r="AJ1890" s="87" t="str">
        <x:v>master</x:v>
      </x:c>
      <x:c r="AK1890" s="87" t="str">
        <x:v>master-v0.81</x:v>
      </x:c>
      <x:c r="AL1890" s="87" t="str">
        <x:v>statgrad_master_base_v0_81_final(2).xlsx</x:v>
      </x:c>
      <x:c r="AM1890" s="87" t="str">
        <x:v>GEO_Apr_V1</x:v>
      </x:c>
      <x:c r="AN1890" s="87" t="n">
        <x:v>11</x:v>
      </x:c>
    </x:row>
    <x:row r="1891">
      <x:c r="A1891" s="87" t="n">
        <x:v>1890</x:v>
      </x:c>
      <x:c r="B1891" s="87" t="str">
        <x:v>APR-GEO-V1-011</x:v>
      </x:c>
      <x:c r="C1891" s="87" t="str">
        <x:v>СтатГрад</x:v>
      </x:c>
      <x:c r="D1891" s="87" t="str">
        <x:v>Апрель 2026</x:v>
      </x:c>
      <x:c r="E1891" s="87"/>
      <x:c r="F1891" s="87"/>
      <x:c r="G1891" s="87" t="str">
        <x:v>География</x:v>
      </x:c>
      <x:c r="H1891" s="87" t="n">
        <x:v>11</x:v>
      </x:c>
      <x:c r="I1891" s="87" t="str">
        <x:v>ТР №5</x:v>
      </x:c>
      <x:c r="J1891" s="87" t="str">
        <x:v>ГГ2510501</x:v>
      </x:c>
      <x:c r="K1891" s="87" t="n">
        <x:v>11</x:v>
      </x:c>
      <x:c r="L1891" s="87" t="str">
        <x:v>Климатическая карта</x:v>
      </x:c>
      <x:c r="M1891" s="30" t="str">
        <x:v>Расположить точки 1, 2 и 3 по повышению среднего многолетнего минимума температуры октября.</x:v>
      </x:c>
      <x:c r="N1891" s="30" t="str">
        <x:v>213</x:v>
      </x:c>
      <x:c r="O1891" s="30" t="str">
        <x:v>Точка 2 расположена в наиболее холодной области, точка 1 — в более тёплой, точка 3 — в самой тёплой из трёх.</x:v>
      </x:c>
      <x:c r="P1891" s="30" t="str">
        <x:v>Положение точек относительно изотерм проверено визуально.</x:v>
      </x:c>
      <x:c r="Q1891" s="30"/>
      <x:c r="R1891" s="30" t="str">
        <x:v>Полный PDF + независимое решение + открытая публикация/разбор</x:v>
      </x:c>
      <x:c r="S1891" s="30"/>
      <x:c r="T1891" s="30"/>
      <x:c r="U1891" s="30" t="str">
        <x:v>Расхождений не обнаружено.</x:v>
      </x:c>
      <x:c r="V1891" s="87" t="str">
        <x:v>VERIFIED</x:v>
      </x:c>
      <x:c r="W1891" s="87" t="str">
        <x:v>PDF, задание 11</x:v>
      </x:c>
      <x:c r="X1891" s="87"/>
      <x:c r="Y1891" s="87"/>
      <x:c r="Z1891" s="87"/>
      <x:c r="AA1891" s="87"/>
      <x:c r="AB1891" s="87"/>
      <x:c r="AC1891" s="87"/>
      <x:c r="AD1891" s="87"/>
      <x:c r="AE1891" s="87"/>
      <x:c r="AF1891" s="87"/>
      <x:c r="AG1891" s="87"/>
      <x:c r="AH1891" s="87"/>
      <x:c r="AI1891" s="30"/>
      <x:c r="AJ1891" s="87" t="str">
        <x:v>master</x:v>
      </x:c>
      <x:c r="AK1891" s="87" t="str">
        <x:v>master-v0.81</x:v>
      </x:c>
      <x:c r="AL1891" s="87" t="str">
        <x:v>statgrad_master_base_v0_81_final(2).xlsx</x:v>
      </x:c>
      <x:c r="AM1891" s="87" t="str">
        <x:v>GEO_Apr_V1</x:v>
      </x:c>
      <x:c r="AN1891" s="87" t="n">
        <x:v>12</x:v>
      </x:c>
    </x:row>
    <x:row r="1892">
      <x:c r="A1892" s="87" t="n">
        <x:v>1891</x:v>
      </x:c>
      <x:c r="B1892" s="87" t="str">
        <x:v>APR-GEO-V1-012</x:v>
      </x:c>
      <x:c r="C1892" s="87" t="str">
        <x:v>СтатГрад</x:v>
      </x:c>
      <x:c r="D1892" s="87" t="str">
        <x:v>Апрель 2026</x:v>
      </x:c>
      <x:c r="E1892" s="87"/>
      <x:c r="F1892" s="87"/>
      <x:c r="G1892" s="87" t="str">
        <x:v>География</x:v>
      </x:c>
      <x:c r="H1892" s="87" t="n">
        <x:v>11</x:v>
      </x:c>
      <x:c r="I1892" s="87" t="str">
        <x:v>ТР №5</x:v>
      </x:c>
      <x:c r="J1892" s="87" t="str">
        <x:v>ГГ2510501</x:v>
      </x:c>
      <x:c r="K1892" s="87" t="n">
        <x:v>12</x:v>
      </x:c>
      <x:c r="L1892" s="87" t="str">
        <x:v>Миграции населения</x:v>
      </x:c>
      <x:c r="M1892" s="30" t="str">
        <x:v>Выбрать высказывания, содержащие сведения о миграциях.</x:v>
      </x:c>
      <x:c r="N1892" s="30" t="str">
        <x:v>15</x:v>
      </x:c>
      <x:c r="O1892" s="30" t="str">
        <x:v>Высказывание 1 описывает выезд иностранцев из США, высказывание 5 — въезд людей на Кубу; остальные посвящены естественному движению или размещению населения.</x:v>
      </x:c>
      <x:c r="P1892" s="30" t="str">
        <x:v>Высказывание 1 описывает выезд иностранцев из США, высказывание 5 — въезд людей на Кубу; остальные посвящены естественному движению или размещению населения.</x:v>
      </x:c>
      <x:c r="Q1892" s="30"/>
      <x:c r="R1892" s="30" t="str">
        <x:v>Полный PDF + независимое решение + открытая публикация/разбор</x:v>
      </x:c>
      <x:c r="S1892" s="30"/>
      <x:c r="T1892" s="30"/>
      <x:c r="U1892" s="30" t="str">
        <x:v>Расхождений не обнаружено.</x:v>
      </x:c>
      <x:c r="V1892" s="87" t="str">
        <x:v>VERIFIED</x:v>
      </x:c>
      <x:c r="W1892" s="87" t="str">
        <x:v>Официальный PDF</x:v>
      </x:c>
      <x:c r="X1892" s="87"/>
      <x:c r="Y1892" s="87"/>
      <x:c r="Z1892" s="87"/>
      <x:c r="AA1892" s="87"/>
      <x:c r="AB1892" s="87"/>
      <x:c r="AC1892" s="87"/>
      <x:c r="AD1892" s="87"/>
      <x:c r="AE1892" s="87"/>
      <x:c r="AF1892" s="87"/>
      <x:c r="AG1892" s="87"/>
      <x:c r="AH1892" s="87"/>
      <x:c r="AI1892" s="30"/>
      <x:c r="AJ1892" s="87" t="str">
        <x:v>master</x:v>
      </x:c>
      <x:c r="AK1892" s="87" t="str">
        <x:v>master-v0.81</x:v>
      </x:c>
      <x:c r="AL1892" s="87" t="str">
        <x:v>statgrad_master_base_v0_81_final(2).xlsx</x:v>
      </x:c>
      <x:c r="AM1892" s="87" t="str">
        <x:v>GEO_Apr_V1</x:v>
      </x:c>
      <x:c r="AN1892" s="87" t="n">
        <x:v>13</x:v>
      </x:c>
    </x:row>
    <x:row r="1893">
      <x:c r="A1893" s="87" t="n">
        <x:v>1892</x:v>
      </x:c>
      <x:c r="B1893" s="87" t="str">
        <x:v>APR-GEO-V1-013</x:v>
      </x:c>
      <x:c r="C1893" s="87" t="str">
        <x:v>СтатГрад</x:v>
      </x:c>
      <x:c r="D1893" s="87" t="str">
        <x:v>Апрель 2026</x:v>
      </x:c>
      <x:c r="E1893" s="87"/>
      <x:c r="F1893" s="87"/>
      <x:c r="G1893" s="87" t="str">
        <x:v>География</x:v>
      </x:c>
      <x:c r="H1893" s="87" t="n">
        <x:v>11</x:v>
      </x:c>
      <x:c r="I1893" s="87" t="str">
        <x:v>ТР №5</x:v>
      </x:c>
      <x:c r="J1893" s="87" t="str">
        <x:v>ГГ2510501</x:v>
      </x:c>
      <x:c r="K1893" s="87" t="n">
        <x:v>13</x:v>
      </x:c>
      <x:c r="L1893" s="87" t="str">
        <x:v>Геологическая хронология</x:v>
      </x:c>
      <x:c r="M1893" s="30" t="str">
        <x:v>Расположить начало распада Пангеи, окончательный распад Гондваны и формирование Панамского перешейка.</x:v>
      </x:c>
      <x:c r="N1893" s="30" t="str">
        <x:v>231</x:v>
      </x:c>
      <x:c r="O1893" s="30" t="str">
        <x:v>Юрский период предшествует палеогену, а палеоген — неогену.</x:v>
      </x:c>
      <x:c r="P1893" s="30" t="str">
        <x:v>Юрский период предшествует палеогену, а палеоген — неогену.</x:v>
      </x:c>
      <x:c r="Q1893" s="30"/>
      <x:c r="R1893" s="30" t="str">
        <x:v>Полный PDF + независимое решение + открытая публикация/разбор</x:v>
      </x:c>
      <x:c r="S1893" s="30"/>
      <x:c r="T1893" s="30"/>
      <x:c r="U1893" s="30" t="str">
        <x:v>Расхождений не обнаружено.</x:v>
      </x:c>
      <x:c r="V1893" s="87" t="str">
        <x:v>VERIFIED</x:v>
      </x:c>
      <x:c r="W1893" s="87" t="str">
        <x:v>Официальный PDF</x:v>
      </x:c>
      <x:c r="X1893" s="87"/>
      <x:c r="Y1893" s="87"/>
      <x:c r="Z1893" s="87"/>
      <x:c r="AA1893" s="87"/>
      <x:c r="AB1893" s="87"/>
      <x:c r="AC1893" s="87"/>
      <x:c r="AD1893" s="87"/>
      <x:c r="AE1893" s="87"/>
      <x:c r="AF1893" s="87"/>
      <x:c r="AG1893" s="87"/>
      <x:c r="AH1893" s="87"/>
      <x:c r="AI1893" s="30"/>
      <x:c r="AJ1893" s="87" t="str">
        <x:v>master</x:v>
      </x:c>
      <x:c r="AK1893" s="87" t="str">
        <x:v>master-v0.81</x:v>
      </x:c>
      <x:c r="AL1893" s="87" t="str">
        <x:v>statgrad_master_base_v0_81_final(2).xlsx</x:v>
      </x:c>
      <x:c r="AM1893" s="87" t="str">
        <x:v>GEO_Apr_V1</x:v>
      </x:c>
      <x:c r="AN1893" s="87" t="n">
        <x:v>14</x:v>
      </x:c>
    </x:row>
    <x:row r="1894">
      <x:c r="A1894" s="87" t="n">
        <x:v>1893</x:v>
      </x:c>
      <x:c r="B1894" s="87" t="str">
        <x:v>APR-GEO-V1-014</x:v>
      </x:c>
      <x:c r="C1894" s="87" t="str">
        <x:v>СтатГрад</x:v>
      </x:c>
      <x:c r="D1894" s="87" t="str">
        <x:v>Апрель 2026</x:v>
      </x:c>
      <x:c r="E1894" s="87"/>
      <x:c r="F1894" s="87"/>
      <x:c r="G1894" s="87" t="str">
        <x:v>География</x:v>
      </x:c>
      <x:c r="H1894" s="87" t="n">
        <x:v>11</x:v>
      </x:c>
      <x:c r="I1894" s="87" t="str">
        <x:v>ТР №5</x:v>
      </x:c>
      <x:c r="J1894" s="87" t="str">
        <x:v>ГГ2510501</x:v>
      </x:c>
      <x:c r="K1894" s="87" t="n">
        <x:v>14</x:v>
      </x:c>
      <x:c r="L1894" s="87" t="str">
        <x:v>Часовые зоны России</x:v>
      </x:c>
      <x:c r="M1894" s="30" t="str">
        <x:v>Трансляция началась в 18:00 по Москве. Определить местное время в Екатеринбурге.</x:v>
      </x:c>
      <x:c r="N1894" s="30" t="str">
        <x:v>20</x:v>
      </x:c>
      <x:c r="O1894" s="30" t="str">
        <x:v>Екатеринбург опережает московское время на два часа: 18+2=20.</x:v>
      </x:c>
      <x:c r="P1894" s="30" t="str">
        <x:v>Екатеринбург опережает московское время на два часа: 18+2=20.</x:v>
      </x:c>
      <x:c r="Q1894" s="30"/>
      <x:c r="R1894" s="30" t="str">
        <x:v>Полный PDF + независимое решение + открытая публикация/разбор</x:v>
      </x:c>
      <x:c r="S1894" s="30"/>
      <x:c r="T1894" s="30"/>
      <x:c r="U1894" s="30" t="str">
        <x:v>Расхождений не обнаружено.</x:v>
      </x:c>
      <x:c r="V1894" s="87" t="str">
        <x:v>VERIFIED</x:v>
      </x:c>
      <x:c r="W1894" s="87" t="str">
        <x:v>Официальный PDF</x:v>
      </x:c>
      <x:c r="X1894" s="87"/>
      <x:c r="Y1894" s="87"/>
      <x:c r="Z1894" s="87"/>
      <x:c r="AA1894" s="87"/>
      <x:c r="AB1894" s="87"/>
      <x:c r="AC1894" s="87"/>
      <x:c r="AD1894" s="87"/>
      <x:c r="AE1894" s="87"/>
      <x:c r="AF1894" s="87"/>
      <x:c r="AG1894" s="87"/>
      <x:c r="AH1894" s="87"/>
      <x:c r="AI1894" s="30"/>
      <x:c r="AJ1894" s="87" t="str">
        <x:v>master</x:v>
      </x:c>
      <x:c r="AK1894" s="87" t="str">
        <x:v>master-v0.81</x:v>
      </x:c>
      <x:c r="AL1894" s="87" t="str">
        <x:v>statgrad_master_base_v0_81_final(2).xlsx</x:v>
      </x:c>
      <x:c r="AM1894" s="87" t="str">
        <x:v>GEO_Apr_V1</x:v>
      </x:c>
      <x:c r="AN1894" s="87" t="n">
        <x:v>15</x:v>
      </x:c>
    </x:row>
    <x:row r="1895">
      <x:c r="A1895" s="87" t="n">
        <x:v>1894</x:v>
      </x:c>
      <x:c r="B1895" s="87" t="str">
        <x:v>APR-GEO-V1-015</x:v>
      </x:c>
      <x:c r="C1895" s="87" t="str">
        <x:v>СтатГрад</x:v>
      </x:c>
      <x:c r="D1895" s="87" t="str">
        <x:v>Апрель 2026</x:v>
      </x:c>
      <x:c r="E1895" s="87"/>
      <x:c r="F1895" s="87"/>
      <x:c r="G1895" s="87" t="str">
        <x:v>География</x:v>
      </x:c>
      <x:c r="H1895" s="87" t="n">
        <x:v>11</x:v>
      </x:c>
      <x:c r="I1895" s="87" t="str">
        <x:v>ТР №5</x:v>
      </x:c>
      <x:c r="J1895" s="87" t="str">
        <x:v>ГГ2510501</x:v>
      </x:c>
      <x:c r="K1895" s="87" t="n">
        <x:v>15</x:v>
      </x:c>
      <x:c r="L1895" s="87" t="str">
        <x:v>Ресурсообеспеченность</x:v>
      </x:c>
      <x:c r="M1895" s="30" t="str">
        <x:v>Добыча газа в США — 1033 млрд м³, ресурсообеспеченность — 13 лет. Найти разведанные запасы.</x:v>
      </x:c>
      <x:c r="N1895" s="30" t="str">
        <x:v>13429</x:v>
      </x:c>
      <x:c r="O1895" s="30" t="str">
        <x:v>Запасы равны годовой добыче, умноженной на число лет: 1033·13=13 429 млрд м³.</x:v>
      </x:c>
      <x:c r="P1895" s="30" t="str">
        <x:v>Запасы равны годовой добыче, умноженной на число лет: 1033·13=13 429 млрд м³.</x:v>
      </x:c>
      <x:c r="Q1895" s="30"/>
      <x:c r="R1895" s="30" t="str">
        <x:v>Полный PDF + независимое решение + открытая публикация/разбор</x:v>
      </x:c>
      <x:c r="S1895" s="30"/>
      <x:c r="T1895" s="30"/>
      <x:c r="U1895" s="30" t="str">
        <x:v>Расхождений не обнаружено.</x:v>
      </x:c>
      <x:c r="V1895" s="87" t="str">
        <x:v>VERIFIED</x:v>
      </x:c>
      <x:c r="W1895" s="87" t="str">
        <x:v>Официальный PDF</x:v>
      </x:c>
      <x:c r="X1895" s="87"/>
      <x:c r="Y1895" s="87"/>
      <x:c r="Z1895" s="87"/>
      <x:c r="AA1895" s="87"/>
      <x:c r="AB1895" s="87"/>
      <x:c r="AC1895" s="87"/>
      <x:c r="AD1895" s="87"/>
      <x:c r="AE1895" s="87"/>
      <x:c r="AF1895" s="87"/>
      <x:c r="AG1895" s="87"/>
      <x:c r="AH1895" s="87"/>
      <x:c r="AI1895" s="30"/>
      <x:c r="AJ1895" s="87" t="str">
        <x:v>master</x:v>
      </x:c>
      <x:c r="AK1895" s="87" t="str">
        <x:v>master-v0.81</x:v>
      </x:c>
      <x:c r="AL1895" s="87" t="str">
        <x:v>statgrad_master_base_v0_81_final(2).xlsx</x:v>
      </x:c>
      <x:c r="AM1895" s="87" t="str">
        <x:v>GEO_Apr_V1</x:v>
      </x:c>
      <x:c r="AN1895" s="87" t="n">
        <x:v>16</x:v>
      </x:c>
    </x:row>
    <x:row r="1896">
      <x:c r="A1896" s="87" t="n">
        <x:v>1895</x:v>
      </x:c>
      <x:c r="B1896" s="87" t="str">
        <x:v>APR-GEO-V1-016</x:v>
      </x:c>
      <x:c r="C1896" s="87" t="str">
        <x:v>СтатГрад</x:v>
      </x:c>
      <x:c r="D1896" s="87" t="str">
        <x:v>Апрель 2026</x:v>
      </x:c>
      <x:c r="E1896" s="87"/>
      <x:c r="F1896" s="87"/>
      <x:c r="G1896" s="87" t="str">
        <x:v>География</x:v>
      </x:c>
      <x:c r="H1896" s="87" t="n">
        <x:v>11</x:v>
      </x:c>
      <x:c r="I1896" s="87" t="str">
        <x:v>ТР №5</x:v>
      </x:c>
      <x:c r="J1896" s="87" t="str">
        <x:v>ГГ2510501</x:v>
      </x:c>
      <x:c r="K1896" s="87" t="n">
        <x:v>16</x:v>
      </x:c>
      <x:c r="L1896" s="87" t="str">
        <x:v>Миграционный прирост</x:v>
      </x:c>
      <x:c r="M1896" s="30" t="str">
        <x:v>По численности населения Белгородской области на 1 января 2024 и 2025 гг. и естественной убыли найти миграционный прирост за 2024 г.</x:v>
      </x:c>
      <x:c r="N1896" s="30" t="str">
        <x:v>−8714</x:v>
      </x:c>
      <x:c r="O1896" s="30" t="str">
        <x:v>Общее изменение: 1 481 098−1 501 570=−20 472. Миграционный прирост: −20 472−(−11 758)=−8 714 человек.</x:v>
      </x:c>
      <x:c r="P1896" s="30" t="str">
        <x:v>Использованы данные именно за 2024 год.</x:v>
      </x:c>
      <x:c r="Q1896" s="30"/>
      <x:c r="R1896" s="30" t="str">
        <x:v>Полный PDF + независимое решение + открытая публикация/разбор</x:v>
      </x:c>
      <x:c r="S1896" s="30"/>
      <x:c r="T1896" s="30"/>
      <x:c r="U1896" s="30" t="str">
        <x:v>Расхождений не обнаружено.</x:v>
      </x:c>
      <x:c r="V1896" s="87" t="str">
        <x:v>VERIFIED</x:v>
      </x:c>
      <x:c r="W1896" s="87" t="str">
        <x:v>PDF, задание 16</x:v>
      </x:c>
      <x:c r="X1896" s="87"/>
      <x:c r="Y1896" s="87"/>
      <x:c r="Z1896" s="87"/>
      <x:c r="AA1896" s="87"/>
      <x:c r="AB1896" s="87"/>
      <x:c r="AC1896" s="87"/>
      <x:c r="AD1896" s="87"/>
      <x:c r="AE1896" s="87"/>
      <x:c r="AF1896" s="87"/>
      <x:c r="AG1896" s="87"/>
      <x:c r="AH1896" s="87"/>
      <x:c r="AI1896" s="30"/>
      <x:c r="AJ1896" s="87" t="str">
        <x:v>master</x:v>
      </x:c>
      <x:c r="AK1896" s="87" t="str">
        <x:v>master-v0.81</x:v>
      </x:c>
      <x:c r="AL1896" s="87" t="str">
        <x:v>statgrad_master_base_v0_81_final(2).xlsx</x:v>
      </x:c>
      <x:c r="AM1896" s="87" t="str">
        <x:v>GEO_Apr_V1</x:v>
      </x:c>
      <x:c r="AN1896" s="87" t="n">
        <x:v>17</x:v>
      </x:c>
    </x:row>
    <x:row r="1897">
      <x:c r="A1897" s="87" t="n">
        <x:v>1896</x:v>
      </x:c>
      <x:c r="B1897" s="87" t="str">
        <x:v>APR-GEO-V1-017</x:v>
      </x:c>
      <x:c r="C1897" s="87" t="str">
        <x:v>СтатГрад</x:v>
      </x:c>
      <x:c r="D1897" s="87" t="str">
        <x:v>Апрель 2026</x:v>
      </x:c>
      <x:c r="E1897" s="87"/>
      <x:c r="F1897" s="87"/>
      <x:c r="G1897" s="87" t="str">
        <x:v>География</x:v>
      </x:c>
      <x:c r="H1897" s="87" t="n">
        <x:v>11</x:v>
      </x:c>
      <x:c r="I1897" s="87" t="str">
        <x:v>ТР №5</x:v>
      </x:c>
      <x:c r="J1897" s="87" t="str">
        <x:v>ГГ2510501</x:v>
      </x:c>
      <x:c r="K1897" s="87" t="n">
        <x:v>17</x:v>
      </x:c>
      <x:c r="L1897" s="87" t="str">
        <x:v>Определение страны</x:v>
      </x:c>
      <x:c r="M1897" s="30" t="str">
        <x:v>Развивающаяся страна Восточного полушария без выхода к морю, с субэкваториальным климатом, населением более 100 млн и экспортом кофе.</x:v>
      </x:c>
      <x:c r="N1897" s="30" t="str">
        <x:v>Эфиопия</x:v>
      </x:c>
      <x:c r="O1897" s="30" t="str">
        <x:v>Эфиопия не имеет выхода к морю, её население превышает 100 млн, а кофе является важной экспортной культурой.</x:v>
      </x:c>
      <x:c r="P1897" s="30" t="str">
        <x:v>Эфиопия не имеет выхода к морю, её население превышает 100 млн, а кофе является важной экспортной культурой.</x:v>
      </x:c>
      <x:c r="Q1897" s="30"/>
      <x:c r="R1897" s="30" t="str">
        <x:v>Полный PDF + независимое решение + открытая публикация/разбор</x:v>
      </x:c>
      <x:c r="S1897" s="30"/>
      <x:c r="T1897" s="30"/>
      <x:c r="U1897" s="30" t="str">
        <x:v>Расхождений не обнаружено.</x:v>
      </x:c>
      <x:c r="V1897" s="87" t="str">
        <x:v>VERIFIED</x:v>
      </x:c>
      <x:c r="W1897" s="87" t="str">
        <x:v>Официальный PDF</x:v>
      </x:c>
      <x:c r="X1897" s="87"/>
      <x:c r="Y1897" s="87"/>
      <x:c r="Z1897" s="87"/>
      <x:c r="AA1897" s="87"/>
      <x:c r="AB1897" s="87"/>
      <x:c r="AC1897" s="87"/>
      <x:c r="AD1897" s="87"/>
      <x:c r="AE1897" s="87"/>
      <x:c r="AF1897" s="87"/>
      <x:c r="AG1897" s="87"/>
      <x:c r="AH1897" s="87"/>
      <x:c r="AI1897" s="30"/>
      <x:c r="AJ1897" s="87" t="str">
        <x:v>master</x:v>
      </x:c>
      <x:c r="AK1897" s="87" t="str">
        <x:v>master-v0.81</x:v>
      </x:c>
      <x:c r="AL1897" s="87" t="str">
        <x:v>statgrad_master_base_v0_81_final(2).xlsx</x:v>
      </x:c>
      <x:c r="AM1897" s="87" t="str">
        <x:v>GEO_Apr_V1</x:v>
      </x:c>
      <x:c r="AN1897" s="87" t="n">
        <x:v>18</x:v>
      </x:c>
    </x:row>
    <x:row r="1898">
      <x:c r="A1898" s="87" t="n">
        <x:v>1897</x:v>
      </x:c>
      <x:c r="B1898" s="87" t="str">
        <x:v>APR-GEO-V1-018</x:v>
      </x:c>
      <x:c r="C1898" s="87" t="str">
        <x:v>СтатГрад</x:v>
      </x:c>
      <x:c r="D1898" s="87" t="str">
        <x:v>Апрель 2026</x:v>
      </x:c>
      <x:c r="E1898" s="87"/>
      <x:c r="F1898" s="87"/>
      <x:c r="G1898" s="87" t="str">
        <x:v>География</x:v>
      </x:c>
      <x:c r="H1898" s="87" t="n">
        <x:v>11</x:v>
      </x:c>
      <x:c r="I1898" s="87" t="str">
        <x:v>ТР №5</x:v>
      </x:c>
      <x:c r="J1898" s="87" t="str">
        <x:v>ГГ2510501</x:v>
      </x:c>
      <x:c r="K1898" s="87" t="n">
        <x:v>18</x:v>
      </x:c>
      <x:c r="L1898" s="87" t="str">
        <x:v>Определение региона России</x:v>
      </x:c>
      <x:c r="M1898" s="30" t="str">
        <x:v>Область на границе европейского и азиатского макрорегионов, через неё проходит Транссиб; развиты металлургия, машиностроение и атомная энергетика.</x:v>
      </x:c>
      <x:c r="N1898" s="30" t="str">
        <x:v>Свердловская область</x:v>
      </x:c>
      <x:c r="O1898" s="30" t="str">
        <x:v>Описание соответствует Свердловской области: Уральский район, Транссибирская магистраль и Белоярская АЭС.</x:v>
      </x:c>
      <x:c r="P1898" s="30" t="str">
        <x:v>Описание соответствует Свердловской области: Уральский район, Транссибирская магистраль и Белоярская АЭС.</x:v>
      </x:c>
      <x:c r="Q1898" s="30"/>
      <x:c r="R1898" s="30" t="str">
        <x:v>Полный PDF + независимое решение + открытая публикация/разбор</x:v>
      </x:c>
      <x:c r="S1898" s="30"/>
      <x:c r="T1898" s="30"/>
      <x:c r="U1898" s="30" t="str">
        <x:v>Расхождений не обнаружено.</x:v>
      </x:c>
      <x:c r="V1898" s="87" t="str">
        <x:v>VERIFIED</x:v>
      </x:c>
      <x:c r="W1898" s="87" t="str">
        <x:v>Официальный PDF</x:v>
      </x:c>
      <x:c r="X1898" s="87"/>
      <x:c r="Y1898" s="87"/>
      <x:c r="Z1898" s="87"/>
      <x:c r="AA1898" s="87"/>
      <x:c r="AB1898" s="87"/>
      <x:c r="AC1898" s="87"/>
      <x:c r="AD1898" s="87"/>
      <x:c r="AE1898" s="87"/>
      <x:c r="AF1898" s="87"/>
      <x:c r="AG1898" s="87"/>
      <x:c r="AH1898" s="87"/>
      <x:c r="AI1898" s="30"/>
      <x:c r="AJ1898" s="87" t="str">
        <x:v>master</x:v>
      </x:c>
      <x:c r="AK1898" s="87" t="str">
        <x:v>master-v0.81</x:v>
      </x:c>
      <x:c r="AL1898" s="87" t="str">
        <x:v>statgrad_master_base_v0_81_final(2).xlsx</x:v>
      </x:c>
      <x:c r="AM1898" s="87" t="str">
        <x:v>GEO_Apr_V1</x:v>
      </x:c>
      <x:c r="AN1898" s="87" t="n">
        <x:v>19</x:v>
      </x:c>
    </x:row>
    <x:row r="1899">
      <x:c r="A1899" s="87" t="n">
        <x:v>1898</x:v>
      </x:c>
      <x:c r="B1899" s="87" t="str">
        <x:v>APR-GEO-V1-019</x:v>
      </x:c>
      <x:c r="C1899" s="87" t="str">
        <x:v>СтатГрад</x:v>
      </x:c>
      <x:c r="D1899" s="87" t="str">
        <x:v>Апрель 2026</x:v>
      </x:c>
      <x:c r="E1899" s="87"/>
      <x:c r="F1899" s="87"/>
      <x:c r="G1899" s="87" t="str">
        <x:v>География</x:v>
      </x:c>
      <x:c r="H1899" s="87" t="n">
        <x:v>11</x:v>
      </x:c>
      <x:c r="I1899" s="87" t="str">
        <x:v>ТР №5</x:v>
      </x:c>
      <x:c r="J1899" s="87" t="str">
        <x:v>ГГ2510501</x:v>
      </x:c>
      <x:c r="K1899" s="87" t="n">
        <x:v>19</x:v>
      </x:c>
      <x:c r="L1899" s="87" t="str">
        <x:v>Доля городского населения</x:v>
      </x:c>
      <x:c r="M1899" s="30" t="str">
        <x:v>Расположить Никарагуа, Чили и Уругвай по возрастанию доли городского населения.</x:v>
      </x:c>
      <x:c r="N1899" s="30" t="str">
        <x:v>123</x:v>
      </x:c>
      <x:c r="O1899" s="30" t="str">
        <x:v>Доля городского населения ниже всего в Никарагуа, затем в Чили, наибольшая — в Уругвае.</x:v>
      </x:c>
      <x:c r="P1899" s="30" t="str">
        <x:v>Доля городского населения ниже всего в Никарагуа, затем в Чили, наибольшая — в Уругвае.</x:v>
      </x:c>
      <x:c r="Q1899" s="30"/>
      <x:c r="R1899" s="30" t="str">
        <x:v>Полный PDF + независимое решение + открытая публикация/разбор</x:v>
      </x:c>
      <x:c r="S1899" s="30"/>
      <x:c r="T1899" s="30"/>
      <x:c r="U1899" s="30" t="str">
        <x:v>Расхождений не обнаружено.</x:v>
      </x:c>
      <x:c r="V1899" s="87" t="str">
        <x:v>VERIFIED</x:v>
      </x:c>
      <x:c r="W1899" s="87" t="str">
        <x:v>Официальный PDF</x:v>
      </x:c>
      <x:c r="X1899" s="87"/>
      <x:c r="Y1899" s="87"/>
      <x:c r="Z1899" s="87"/>
      <x:c r="AA1899" s="87"/>
      <x:c r="AB1899" s="87"/>
      <x:c r="AC1899" s="87"/>
      <x:c r="AD1899" s="87"/>
      <x:c r="AE1899" s="87"/>
      <x:c r="AF1899" s="87"/>
      <x:c r="AG1899" s="87"/>
      <x:c r="AH1899" s="87"/>
      <x:c r="AI1899" s="30"/>
      <x:c r="AJ1899" s="87" t="str">
        <x:v>master</x:v>
      </x:c>
      <x:c r="AK1899" s="87" t="str">
        <x:v>master-v0.81</x:v>
      </x:c>
      <x:c r="AL1899" s="87" t="str">
        <x:v>statgrad_master_base_v0_81_final(2).xlsx</x:v>
      </x:c>
      <x:c r="AM1899" s="87" t="str">
        <x:v>GEO_Apr_V1</x:v>
      </x:c>
      <x:c r="AN1899" s="87" t="n">
        <x:v>20</x:v>
      </x:c>
    </x:row>
    <x:row r="1900">
      <x:c r="A1900" s="87" t="n">
        <x:v>1899</x:v>
      </x:c>
      <x:c r="B1900" s="87" t="str">
        <x:v>APR-GEO-V1-020</x:v>
      </x:c>
      <x:c r="C1900" s="87" t="str">
        <x:v>СтатГрад</x:v>
      </x:c>
      <x:c r="D1900" s="87" t="str">
        <x:v>Апрель 2026</x:v>
      </x:c>
      <x:c r="E1900" s="87"/>
      <x:c r="F1900" s="87"/>
      <x:c r="G1900" s="87" t="str">
        <x:v>География</x:v>
      </x:c>
      <x:c r="H1900" s="87" t="n">
        <x:v>11</x:v>
      </x:c>
      <x:c r="I1900" s="87" t="str">
        <x:v>ТР №5</x:v>
      </x:c>
      <x:c r="J1900" s="87" t="str">
        <x:v>ГГ2510501</x:v>
      </x:c>
      <x:c r="K1900" s="87" t="n">
        <x:v>20</x:v>
      </x:c>
      <x:c r="L1900" s="87" t="str">
        <x:v>Картографическая шкала</x:v>
      </x:c>
      <x:c r="M1900" s="30" t="str">
        <x:v>Соотнести Бенин, Нигер и Тунис с интервалами доли городского населения.</x:v>
      </x:c>
      <x:c r="N1900" s="30" t="str">
        <x:v>213</x:v>
      </x:c>
      <x:c r="O1900" s="30" t="str">
        <x:v>Бенин — 44% (интервал 40–55, код 2); Нигер — 16% (менее 40, код 1); Тунис — 68% (56–70, код 3).</x:v>
      </x:c>
      <x:c r="P1900" s="30" t="str">
        <x:v>Значения взяты из справочной таблицы.</x:v>
      </x:c>
      <x:c r="Q1900" s="30"/>
      <x:c r="R1900" s="30" t="str">
        <x:v>Полный PDF + независимое решение + открытая публикация/разбор</x:v>
      </x:c>
      <x:c r="S1900" s="30"/>
      <x:c r="T1900" s="30"/>
      <x:c r="U1900" s="30" t="str">
        <x:v>Расхождений не обнаружено.</x:v>
      </x:c>
      <x:c r="V1900" s="87" t="str">
        <x:v>VERIFIED</x:v>
      </x:c>
      <x:c r="W1900" s="87" t="str">
        <x:v>PDF, задание 20</x:v>
      </x:c>
      <x:c r="X1900" s="87"/>
      <x:c r="Y1900" s="87"/>
      <x:c r="Z1900" s="87"/>
      <x:c r="AA1900" s="87"/>
      <x:c r="AB1900" s="87"/>
      <x:c r="AC1900" s="87"/>
      <x:c r="AD1900" s="87"/>
      <x:c r="AE1900" s="87"/>
      <x:c r="AF1900" s="87"/>
      <x:c r="AG1900" s="87"/>
      <x:c r="AH1900" s="87"/>
      <x:c r="AI1900" s="30"/>
      <x:c r="AJ1900" s="87" t="str">
        <x:v>master</x:v>
      </x:c>
      <x:c r="AK1900" s="87" t="str">
        <x:v>master-v0.81</x:v>
      </x:c>
      <x:c r="AL1900" s="87" t="str">
        <x:v>statgrad_master_base_v0_81_final(2).xlsx</x:v>
      </x:c>
      <x:c r="AM1900" s="87" t="str">
        <x:v>GEO_Apr_V1</x:v>
      </x:c>
      <x:c r="AN1900" s="87" t="n">
        <x:v>21</x:v>
      </x:c>
    </x:row>
    <x:row r="1901">
      <x:c r="A1901" s="87" t="n">
        <x:v>1900</x:v>
      </x:c>
      <x:c r="B1901" s="87" t="str">
        <x:v>APR-GEO-V1-021</x:v>
      </x:c>
      <x:c r="C1901" s="87" t="str">
        <x:v>СтатГрад</x:v>
      </x:c>
      <x:c r="D1901" s="87" t="str">
        <x:v>Апрель 2026</x:v>
      </x:c>
      <x:c r="E1901" s="87"/>
      <x:c r="F1901" s="87"/>
      <x:c r="G1901" s="87" t="str">
        <x:v>География</x:v>
      </x:c>
      <x:c r="H1901" s="87" t="n">
        <x:v>11</x:v>
      </x:c>
      <x:c r="I1901" s="87" t="str">
        <x:v>ТР №5</x:v>
      </x:c>
      <x:c r="J1901" s="87" t="str">
        <x:v>ГГ2510501</x:v>
      </x:c>
      <x:c r="K1901" s="87" t="n">
        <x:v>21</x:v>
      </x:c>
      <x:c r="L1901" s="87" t="str">
        <x:v>Столица государства</x:v>
      </x:c>
      <x:c r="M1901" s="30" t="str">
        <x:v>Назвать столицу Португалии, упомянутой в тексте о развитии мировой электроэнергетики.</x:v>
      </x:c>
      <x:c r="N1901" s="30" t="str">
        <x:v>Лиссабон</x:v>
      </x:c>
      <x:c r="O1901" s="30" t="str">
        <x:v>Столица Португалии — Лиссабон.</x:v>
      </x:c>
      <x:c r="P1901" s="30" t="str">
        <x:v>Столица Португалии — Лиссабон.</x:v>
      </x:c>
      <x:c r="Q1901" s="30"/>
      <x:c r="R1901" s="30" t="str">
        <x:v>Полный PDF + независимое решение + открытая публикация/разбор</x:v>
      </x:c>
      <x:c r="S1901" s="30"/>
      <x:c r="T1901" s="30"/>
      <x:c r="U1901" s="30" t="str">
        <x:v>Расхождений не обнаружено.</x:v>
      </x:c>
      <x:c r="V1901" s="87" t="str">
        <x:v>VERIFIED</x:v>
      </x:c>
      <x:c r="W1901" s="87" t="str">
        <x:v>Официальный PDF</x:v>
      </x:c>
      <x:c r="X1901" s="87"/>
      <x:c r="Y1901" s="87"/>
      <x:c r="Z1901" s="87"/>
      <x:c r="AA1901" s="87"/>
      <x:c r="AB1901" s="87"/>
      <x:c r="AC1901" s="87"/>
      <x:c r="AD1901" s="87"/>
      <x:c r="AE1901" s="87"/>
      <x:c r="AF1901" s="87"/>
      <x:c r="AG1901" s="87"/>
      <x:c r="AH1901" s="87"/>
      <x:c r="AI1901" s="30"/>
      <x:c r="AJ1901" s="87" t="str">
        <x:v>master</x:v>
      </x:c>
      <x:c r="AK1901" s="87" t="str">
        <x:v>master-v0.81</x:v>
      </x:c>
      <x:c r="AL1901" s="87" t="str">
        <x:v>statgrad_master_base_v0_81_final(2).xlsx</x:v>
      </x:c>
      <x:c r="AM1901" s="87" t="str">
        <x:v>GEO_Apr_V1</x:v>
      </x:c>
      <x:c r="AN1901" s="87" t="n">
        <x:v>22</x:v>
      </x:c>
    </x:row>
    <x:row r="1902">
      <x:c r="A1902" s="87" t="n">
        <x:v>1901</x:v>
      </x:c>
      <x:c r="B1902" s="87" t="str">
        <x:v>APR-GEO-V1-022</x:v>
      </x:c>
      <x:c r="C1902" s="87" t="str">
        <x:v>СтатГрад</x:v>
      </x:c>
      <x:c r="D1902" s="87" t="str">
        <x:v>Апрель 2026</x:v>
      </x:c>
      <x:c r="E1902" s="87"/>
      <x:c r="F1902" s="87"/>
      <x:c r="G1902" s="87" t="str">
        <x:v>География</x:v>
      </x:c>
      <x:c r="H1902" s="87" t="n">
        <x:v>11</x:v>
      </x:c>
      <x:c r="I1902" s="87" t="str">
        <x:v>ТР №5</x:v>
      </x:c>
      <x:c r="J1902" s="87" t="str">
        <x:v>ГГ2510501</x:v>
      </x:c>
      <x:c r="K1902" s="87" t="n">
        <x:v>22</x:v>
      </x:c>
      <x:c r="L1902" s="87" t="str">
        <x:v>Мировой топливно-энергетический баланс</x:v>
      </x:c>
      <x:c r="M1902" s="30" t="str">
        <x:v>Назвать изменение структуры ТЭБ, при котором новые источники постепенно вытесняют старые.</x:v>
      </x:c>
      <x:c r="N1902" s="30" t="str">
        <x:v>Энергетический переход</x:v>
      </x:c>
      <x:c r="O1902" s="30" t="str">
        <x:v>Такое долговременное изменение структуры производства и потребления энергии называется энергетическим переходом.</x:v>
      </x:c>
      <x:c r="P1902" s="30" t="str">
        <x:v>Такое долговременное изменение структуры производства и потребления энергии называется энергетическим переходом.</x:v>
      </x:c>
      <x:c r="Q1902" s="30"/>
      <x:c r="R1902" s="30" t="str">
        <x:v>Полный PDF + независимое решение + открытая публикация/разбор</x:v>
      </x:c>
      <x:c r="S1902" s="30"/>
      <x:c r="T1902" s="30"/>
      <x:c r="U1902" s="30" t="str">
        <x:v>Расхождений не обнаружено.</x:v>
      </x:c>
      <x:c r="V1902" s="87" t="str">
        <x:v>VERIFIED</x:v>
      </x:c>
      <x:c r="W1902" s="87" t="str">
        <x:v>Официальный PDF</x:v>
      </x:c>
      <x:c r="X1902" s="87"/>
      <x:c r="Y1902" s="87"/>
      <x:c r="Z1902" s="87"/>
      <x:c r="AA1902" s="87"/>
      <x:c r="AB1902" s="87"/>
      <x:c r="AC1902" s="87"/>
      <x:c r="AD1902" s="87"/>
      <x:c r="AE1902" s="87"/>
      <x:c r="AF1902" s="87"/>
      <x:c r="AG1902" s="87"/>
      <x:c r="AH1902" s="87"/>
      <x:c r="AI1902" s="30"/>
      <x:c r="AJ1902" s="87" t="str">
        <x:v>master</x:v>
      </x:c>
      <x:c r="AK1902" s="87" t="str">
        <x:v>master-v0.81</x:v>
      </x:c>
      <x:c r="AL1902" s="87" t="str">
        <x:v>statgrad_master_base_v0_81_final(2).xlsx</x:v>
      </x:c>
      <x:c r="AM1902" s="87" t="str">
        <x:v>GEO_Apr_V1</x:v>
      </x:c>
      <x:c r="AN1902" s="87" t="n">
        <x:v>23</x:v>
      </x:c>
    </x:row>
    <x:row r="1903">
      <x:c r="A1903" s="87" t="n">
        <x:v>1902</x:v>
      </x:c>
      <x:c r="B1903" s="87" t="str">
        <x:v>APR-GEO-V1-023</x:v>
      </x:c>
      <x:c r="C1903" s="87" t="str">
        <x:v>СтатГрад</x:v>
      </x:c>
      <x:c r="D1903" s="87" t="str">
        <x:v>Апрель 2026</x:v>
      </x:c>
      <x:c r="E1903" s="87"/>
      <x:c r="F1903" s="87"/>
      <x:c r="G1903" s="87" t="str">
        <x:v>География</x:v>
      </x:c>
      <x:c r="H1903" s="87" t="n">
        <x:v>11</x:v>
      </x:c>
      <x:c r="I1903" s="87" t="str">
        <x:v>ТР №5</x:v>
      </x:c>
      <x:c r="J1903" s="87" t="str">
        <x:v>ГГ2510501</x:v>
      </x:c>
      <x:c r="K1903" s="87" t="n">
        <x:v>23</x:v>
      </x:c>
      <x:c r="L1903" s="87" t="str">
        <x:v>Глобальная проблема человечества</x:v>
      </x:c>
      <x:c r="M1903" s="30" t="str">
        <x:v>Объяснить, на решение какой глобальной проблемы направлено вытеснение ископаемого топлива ВИЭ.</x:v>
      </x:c>
      <x:c r="N1903" s="30" t="str">
        <x:v>Переход к возобновляемым источникам снижает сжигание угля, нефти и газа и выбросы парниковых газов, поэтому он направлен на замедление глобального изменения климата.</x:v>
      </x:c>
      <x:c r="O1903" s="30" t="str">
        <x:v>Названа глобальная климатическая проблема и объяснён механизм влияния.</x:v>
      </x:c>
      <x:c r="P1903" s="30" t="str">
        <x:v>Названа глобальная климатическая проблема и объяснён механизм влияния.</x:v>
      </x:c>
      <x:c r="Q1903" s="30"/>
      <x:c r="R1903" s="30" t="str">
        <x:v>Полный PDF + независимое решение + открытая публикация/разбор</x:v>
      </x:c>
      <x:c r="S1903" s="30"/>
      <x:c r="T1903" s="30"/>
      <x:c r="U1903" s="30" t="str">
        <x:v>Расхождений не обнаружено.</x:v>
      </x:c>
      <x:c r="V1903" s="87" t="str">
        <x:v>VERIFIED</x:v>
      </x:c>
      <x:c r="W1903" s="87" t="str">
        <x:v>Официальный PDF</x:v>
      </x:c>
      <x:c r="X1903" s="87"/>
      <x:c r="Y1903" s="87"/>
      <x:c r="Z1903" s="87"/>
      <x:c r="AA1903" s="87"/>
      <x:c r="AB1903" s="87"/>
      <x:c r="AC1903" s="87"/>
      <x:c r="AD1903" s="87"/>
      <x:c r="AE1903" s="87"/>
      <x:c r="AF1903" s="87"/>
      <x:c r="AG1903" s="87"/>
      <x:c r="AH1903" s="87"/>
      <x:c r="AI1903" s="30"/>
      <x:c r="AJ1903" s="87" t="str">
        <x:v>master</x:v>
      </x:c>
      <x:c r="AK1903" s="87" t="str">
        <x:v>master-v0.81</x:v>
      </x:c>
      <x:c r="AL1903" s="87" t="str">
        <x:v>statgrad_master_base_v0_81_final(2).xlsx</x:v>
      </x:c>
      <x:c r="AM1903" s="87" t="str">
        <x:v>GEO_Apr_V1</x:v>
      </x:c>
      <x:c r="AN1903" s="87" t="n">
        <x:v>24</x:v>
      </x:c>
    </x:row>
    <x:row r="1904">
      <x:c r="A1904" s="87" t="n">
        <x:v>1903</x:v>
      </x:c>
      <x:c r="B1904" s="87" t="str">
        <x:v>APR-GEO-V1-024</x:v>
      </x:c>
      <x:c r="C1904" s="87" t="str">
        <x:v>СтатГрад</x:v>
      </x:c>
      <x:c r="D1904" s="87" t="str">
        <x:v>Апрель 2026</x:v>
      </x:c>
      <x:c r="E1904" s="87"/>
      <x:c r="F1904" s="87"/>
      <x:c r="G1904" s="87" t="str">
        <x:v>География</x:v>
      </x:c>
      <x:c r="H1904" s="87" t="n">
        <x:v>11</x:v>
      </x:c>
      <x:c r="I1904" s="87" t="str">
        <x:v>ТР №5</x:v>
      </x:c>
      <x:c r="J1904" s="87" t="str">
        <x:v>ГГ2510501</x:v>
      </x:c>
      <x:c r="K1904" s="87" t="n">
        <x:v>24</x:v>
      </x:c>
      <x:c r="L1904" s="87" t="str">
        <x:v>Сравнение уровня развития</x:v>
      </x:c>
      <x:c r="M1904" s="30" t="str">
        <x:v>Сравнить Венесуэлу и Анголу по продолжительности жизни и ВВП на душу населения; определить страну с более высоким ИЧР.</x:v>
      </x:c>
      <x:c r="N1904" s="30" t="str">
        <x:v>Выше в рейтинге ИЧР должна находиться Венесуэла. Продолжительность жизни: Венесуэла — 68 лет у мужчин и 76 у женщин, Ангола — 58 и 62 года. ВВП на душу: Венесуэла 452,7/28,5≈15,9 тыс. долл., Ангола 193,6/30,0≈6,5 тыс. долл.</x:v>
      </x:c>
      <x:c r="O1904" s="30" t="str">
        <x:v>Оба показателя выше у Венесуэлы, поэтому вывод однозначен.</x:v>
      </x:c>
      <x:c r="P1904" s="30" t="str">
        <x:v>Оба показателя выше у Венесуэлы, поэтому вывод однозначен.</x:v>
      </x:c>
      <x:c r="Q1904" s="30"/>
      <x:c r="R1904" s="30" t="str">
        <x:v>Полный PDF + независимое решение + открытая публикация/разбор</x:v>
      </x:c>
      <x:c r="S1904" s="30"/>
      <x:c r="T1904" s="30"/>
      <x:c r="U1904" s="30" t="str">
        <x:v>Расхождений не обнаружено.</x:v>
      </x:c>
      <x:c r="V1904" s="87" t="str">
        <x:v>VERIFIED</x:v>
      </x:c>
      <x:c r="W1904" s="87" t="str">
        <x:v>Официальный PDF</x:v>
      </x:c>
      <x:c r="X1904" s="87"/>
      <x:c r="Y1904" s="87"/>
      <x:c r="Z1904" s="87"/>
      <x:c r="AA1904" s="87"/>
      <x:c r="AB1904" s="87"/>
      <x:c r="AC1904" s="87"/>
      <x:c r="AD1904" s="87"/>
      <x:c r="AE1904" s="87"/>
      <x:c r="AF1904" s="87"/>
      <x:c r="AG1904" s="87"/>
      <x:c r="AH1904" s="87"/>
      <x:c r="AI1904" s="30"/>
      <x:c r="AJ1904" s="87" t="str">
        <x:v>master</x:v>
      </x:c>
      <x:c r="AK1904" s="87" t="str">
        <x:v>master-v0.81</x:v>
      </x:c>
      <x:c r="AL1904" s="87" t="str">
        <x:v>statgrad_master_base_v0_81_final(2).xlsx</x:v>
      </x:c>
      <x:c r="AM1904" s="87" t="str">
        <x:v>GEO_Apr_V1</x:v>
      </x:c>
      <x:c r="AN1904" s="87" t="n">
        <x:v>25</x:v>
      </x:c>
    </x:row>
    <x:row r="1905">
      <x:c r="A1905" s="87" t="n">
        <x:v>1904</x:v>
      </x:c>
      <x:c r="B1905" s="87" t="str">
        <x:v>APR-GEO-V1-025</x:v>
      </x:c>
      <x:c r="C1905" s="87" t="str">
        <x:v>СтатГрад</x:v>
      </x:c>
      <x:c r="D1905" s="87" t="str">
        <x:v>Апрель 2026</x:v>
      </x:c>
      <x:c r="E1905" s="87"/>
      <x:c r="F1905" s="87"/>
      <x:c r="G1905" s="87" t="str">
        <x:v>География</x:v>
      </x:c>
      <x:c r="H1905" s="87" t="n">
        <x:v>11</x:v>
      </x:c>
      <x:c r="I1905" s="87" t="str">
        <x:v>ТР №5</x:v>
      </x:c>
      <x:c r="J1905" s="87" t="str">
        <x:v>ГГ2510501</x:v>
      </x:c>
      <x:c r="K1905" s="87" t="n">
        <x:v>25</x:v>
      </x:c>
      <x:c r="L1905" s="87" t="str">
        <x:v>Роль сельского хозяйства</x:v>
      </x:c>
      <x:c r="M1905" s="30" t="str">
        <x:v>Сравнить роль сельского хозяйства в экономике Кении и Египта по доле в ВВП и экспорте.</x:v>
      </x:c>
      <x:c r="N1905" s="30" t="str">
        <x:v>Сельское хозяйство играло большую роль в Кении. Доля в ВВП: 34,5% против 11,7% в Египте. Доля сельхозтоваров в экспорте: Кения 3,2/5,7≈56,1%; Египет 4,9/25,6≈19,1%.</x:v>
      </x:c>
      <x:c r="O1905" s="30" t="str">
        <x:v>Оба обязательных показателя дают преимущество Кении.</x:v>
      </x:c>
      <x:c r="P1905" s="30" t="str">
        <x:v>Оба обязательных показателя дают преимущество Кении.</x:v>
      </x:c>
      <x:c r="Q1905" s="30"/>
      <x:c r="R1905" s="30" t="str">
        <x:v>Полный PDF + независимое решение + открытая публикация/разбор</x:v>
      </x:c>
      <x:c r="S1905" s="30"/>
      <x:c r="T1905" s="30"/>
      <x:c r="U1905" s="30" t="str">
        <x:v>Расхождений не обнаружено.</x:v>
      </x:c>
      <x:c r="V1905" s="87" t="str">
        <x:v>VERIFIED</x:v>
      </x:c>
      <x:c r="W1905" s="87" t="str">
        <x:v>Официальный PDF</x:v>
      </x:c>
      <x:c r="X1905" s="87"/>
      <x:c r="Y1905" s="87"/>
      <x:c r="Z1905" s="87"/>
      <x:c r="AA1905" s="87"/>
      <x:c r="AB1905" s="87"/>
      <x:c r="AC1905" s="87"/>
      <x:c r="AD1905" s="87"/>
      <x:c r="AE1905" s="87"/>
      <x:c r="AF1905" s="87"/>
      <x:c r="AG1905" s="87"/>
      <x:c r="AH1905" s="87"/>
      <x:c r="AI1905" s="30"/>
      <x:c r="AJ1905" s="87" t="str">
        <x:v>master</x:v>
      </x:c>
      <x:c r="AK1905" s="87" t="str">
        <x:v>master-v0.81</x:v>
      </x:c>
      <x:c r="AL1905" s="87" t="str">
        <x:v>statgrad_master_base_v0_81_final(2).xlsx</x:v>
      </x:c>
      <x:c r="AM1905" s="87" t="str">
        <x:v>GEO_Apr_V1</x:v>
      </x:c>
      <x:c r="AN1905" s="87" t="n">
        <x:v>26</x:v>
      </x:c>
    </x:row>
    <x:row r="1906">
      <x:c r="A1906" s="87" t="n">
        <x:v>1905</x:v>
      </x:c>
      <x:c r="B1906" s="87" t="str">
        <x:v>APR-GEO-V1-026</x:v>
      </x:c>
      <x:c r="C1906" s="87" t="str">
        <x:v>СтатГрад</x:v>
      </x:c>
      <x:c r="D1906" s="87" t="str">
        <x:v>Апрель 2026</x:v>
      </x:c>
      <x:c r="E1906" s="87"/>
      <x:c r="F1906" s="87"/>
      <x:c r="G1906" s="87" t="str">
        <x:v>География</x:v>
      </x:c>
      <x:c r="H1906" s="87" t="n">
        <x:v>11</x:v>
      </x:c>
      <x:c r="I1906" s="87" t="str">
        <x:v>ТР №5</x:v>
      </x:c>
      <x:c r="J1906" s="87" t="str">
        <x:v>ГГ2510501</x:v>
      </x:c>
      <x:c r="K1906" s="87" t="n">
        <x:v>26</x:v>
      </x:c>
      <x:c r="L1906" s="87" t="str">
        <x:v>Климат Арктики</x:v>
      </x:c>
      <x:c r="M1906" s="30" t="str">
        <x:v>Объяснить две причины, почему температура самого тёплого месяца близка к 0 °C при полярном дне.</x:v>
      </x:c>
      <x:c r="N1906" s="30" t="str">
        <x:v>1) Даже во время полярного дня Солнце находится низко над горизонтом, поэтому лучи падают под малым углом и приносят мало тепла на единицу площади. 2) Снег и лёд отражают значительную часть солнечной радиации, а поступившая энергия расходуется на их таяние.</x:v>
      </x:c>
      <x:c r="O1906" s="30" t="str">
        <x:v>Указаны две независимые физико-географические причины.</x:v>
      </x:c>
      <x:c r="P1906" s="30" t="str">
        <x:v>Указаны две независимые физико-географические причины.</x:v>
      </x:c>
      <x:c r="Q1906" s="30"/>
      <x:c r="R1906" s="30" t="str">
        <x:v>Полный PDF + независимое решение + открытая публикация/разбор</x:v>
      </x:c>
      <x:c r="S1906" s="30"/>
      <x:c r="T1906" s="30"/>
      <x:c r="U1906" s="30" t="str">
        <x:v>Расхождений не обнаружено.</x:v>
      </x:c>
      <x:c r="V1906" s="87" t="str">
        <x:v>VERIFIED</x:v>
      </x:c>
      <x:c r="W1906" s="87" t="str">
        <x:v>Официальный PDF</x:v>
      </x:c>
      <x:c r="X1906" s="87"/>
      <x:c r="Y1906" s="87"/>
      <x:c r="Z1906" s="87"/>
      <x:c r="AA1906" s="87"/>
      <x:c r="AB1906" s="87"/>
      <x:c r="AC1906" s="87"/>
      <x:c r="AD1906" s="87"/>
      <x:c r="AE1906" s="87"/>
      <x:c r="AF1906" s="87"/>
      <x:c r="AG1906" s="87"/>
      <x:c r="AH1906" s="87"/>
      <x:c r="AI1906" s="30"/>
      <x:c r="AJ1906" s="87" t="str">
        <x:v>master</x:v>
      </x:c>
      <x:c r="AK1906" s="87" t="str">
        <x:v>master-v0.81</x:v>
      </x:c>
      <x:c r="AL1906" s="87" t="str">
        <x:v>statgrad_master_base_v0_81_final(2).xlsx</x:v>
      </x:c>
      <x:c r="AM1906" s="87" t="str">
        <x:v>GEO_Apr_V1</x:v>
      </x:c>
      <x:c r="AN1906" s="87" t="n">
        <x:v>27</x:v>
      </x:c>
    </x:row>
    <x:row r="1907">
      <x:c r="A1907" s="87" t="n">
        <x:v>1906</x:v>
      </x:c>
      <x:c r="B1907" s="87" t="str">
        <x:v>APR-GEO-V1-027</x:v>
      </x:c>
      <x:c r="C1907" s="87" t="str">
        <x:v>СтатГрад</x:v>
      </x:c>
      <x:c r="D1907" s="87" t="str">
        <x:v>Апрель 2026</x:v>
      </x:c>
      <x:c r="E1907" s="87"/>
      <x:c r="F1907" s="87"/>
      <x:c r="G1907" s="87" t="str">
        <x:v>География</x:v>
      </x:c>
      <x:c r="H1907" s="87" t="n">
        <x:v>11</x:v>
      </x:c>
      <x:c r="I1907" s="87" t="str">
        <x:v>ТР №5</x:v>
      </x:c>
      <x:c r="J1907" s="87" t="str">
        <x:v>ГГ2510501</x:v>
      </x:c>
      <x:c r="K1907" s="87" t="n">
        <x:v>27</x:v>
      </x:c>
      <x:c r="L1907" s="87" t="str">
        <x:v>Многолетняя мерзлота и строительство</x:v>
      </x:c>
      <x:c r="M1907" s="30" t="str">
        <x:v>Предложить меры защиты уже построенных домов и требования к новым зданиям при деградации мерзлоты.</x:v>
      </x:c>
      <x:c r="N1907" s="30" t="str">
        <x:v>Для существующих зданий необходимо охлаждать и теплоизолировать грунт основания, применять термостабилизаторы и при необходимости усиливать свайные фундаменты. Новые здания следует возводить на глубоких сваях с вентилируемым подпольем, минимизировать передачу тепла грунту и размещать после инженерно-геологических исследований.</x:v>
      </x:c>
      <x:c r="O1907" s="30" t="str">
        <x:v>Разделены меры для существующих и новых объектов.</x:v>
      </x:c>
      <x:c r="P1907" s="30" t="str">
        <x:v>Разделены меры для существующих и новых объектов.</x:v>
      </x:c>
      <x:c r="Q1907" s="30"/>
      <x:c r="R1907" s="30" t="str">
        <x:v>Полный PDF + независимое решение + открытая публикация/разбор</x:v>
      </x:c>
      <x:c r="S1907" s="30"/>
      <x:c r="T1907" s="30"/>
      <x:c r="U1907" s="30" t="str">
        <x:v>Расхождений не обнаружено.</x:v>
      </x:c>
      <x:c r="V1907" s="87" t="str">
        <x:v>VERIFIED</x:v>
      </x:c>
      <x:c r="W1907" s="87" t="str">
        <x:v>Официальный PDF</x:v>
      </x:c>
      <x:c r="X1907" s="87"/>
      <x:c r="Y1907" s="87"/>
      <x:c r="Z1907" s="87"/>
      <x:c r="AA1907" s="87"/>
      <x:c r="AB1907" s="87"/>
      <x:c r="AC1907" s="87"/>
      <x:c r="AD1907" s="87"/>
      <x:c r="AE1907" s="87"/>
      <x:c r="AF1907" s="87"/>
      <x:c r="AG1907" s="87"/>
      <x:c r="AH1907" s="87"/>
      <x:c r="AI1907" s="30"/>
      <x:c r="AJ1907" s="87" t="str">
        <x:v>master</x:v>
      </x:c>
      <x:c r="AK1907" s="87" t="str">
        <x:v>master-v0.81</x:v>
      </x:c>
      <x:c r="AL1907" s="87" t="str">
        <x:v>statgrad_master_base_v0_81_final(2).xlsx</x:v>
      </x:c>
      <x:c r="AM1907" s="87" t="str">
        <x:v>GEO_Apr_V1</x:v>
      </x:c>
      <x:c r="AN1907" s="87" t="n">
        <x:v>28</x:v>
      </x:c>
    </x:row>
    <x:row r="1908">
      <x:c r="A1908" s="87" t="n">
        <x:v>1907</x:v>
      </x:c>
      <x:c r="B1908" s="87" t="str">
        <x:v>APR-GEO-V1-028</x:v>
      </x:c>
      <x:c r="C1908" s="87" t="str">
        <x:v>СтатГрад</x:v>
      </x:c>
      <x:c r="D1908" s="87" t="str">
        <x:v>Апрель 2026</x:v>
      </x:c>
      <x:c r="E1908" s="87"/>
      <x:c r="F1908" s="87"/>
      <x:c r="G1908" s="87" t="str">
        <x:v>География</x:v>
      </x:c>
      <x:c r="H1908" s="87" t="n">
        <x:v>11</x:v>
      </x:c>
      <x:c r="I1908" s="87" t="str">
        <x:v>ТР №5</x:v>
      </x:c>
      <x:c r="J1908" s="87" t="str">
        <x:v>ГГ2510501</x:v>
      </x:c>
      <x:c r="K1908" s="87" t="n">
        <x:v>28</x:v>
      </x:c>
      <x:c r="L1908" s="87" t="str">
        <x:v>Определение долготы</x:v>
      </x:c>
      <x:c r="M1908" s="30" t="str">
        <x:v>В Гринвиче 15:00, местное солнечное время пункта — 18:40. Определить долготу.</x:v>
      </x:c>
      <x:c r="N1908" s="30" t="str">
        <x:v>55° в. д.</x:v>
      </x:c>
      <x:c r="O1908" s="30" t="str">
        <x:v>Разница 3 ч 40 мин: 3·15°+40/4=45°+10°=55°. Местное время позже гринвичского, значит пункт расположен к востоку.</x:v>
      </x:c>
      <x:c r="P1908" s="30" t="str">
        <x:v>Разница 3 ч 40 мин: 3·15°+40/4=45°+10°=55°. Местное время позже гринвичского, значит пункт расположен к востоку.</x:v>
      </x:c>
      <x:c r="Q1908" s="30"/>
      <x:c r="R1908" s="30" t="str">
        <x:v>Полный PDF + независимое решение + открытая публикация/разбор</x:v>
      </x:c>
      <x:c r="S1908" s="30"/>
      <x:c r="T1908" s="30"/>
      <x:c r="U1908" s="30" t="str">
        <x:v>Расхождений не обнаружено.</x:v>
      </x:c>
      <x:c r="V1908" s="87" t="str">
        <x:v>VERIFIED</x:v>
      </x:c>
      <x:c r="W1908" s="87" t="str">
        <x:v>Официальный PDF</x:v>
      </x:c>
      <x:c r="X1908" s="87"/>
      <x:c r="Y1908" s="87"/>
      <x:c r="Z1908" s="87"/>
      <x:c r="AA1908" s="87"/>
      <x:c r="AB1908" s="87"/>
      <x:c r="AC1908" s="87"/>
      <x:c r="AD1908" s="87"/>
      <x:c r="AE1908" s="87"/>
      <x:c r="AF1908" s="87"/>
      <x:c r="AG1908" s="87"/>
      <x:c r="AH1908" s="87"/>
      <x:c r="AI1908" s="30"/>
      <x:c r="AJ1908" s="87" t="str">
        <x:v>master</x:v>
      </x:c>
      <x:c r="AK1908" s="87" t="str">
        <x:v>master-v0.81</x:v>
      </x:c>
      <x:c r="AL1908" s="87" t="str">
        <x:v>statgrad_master_base_v0_81_final(2).xlsx</x:v>
      </x:c>
      <x:c r="AM1908" s="87" t="str">
        <x:v>GEO_Apr_V1</x:v>
      </x:c>
      <x:c r="AN1908" s="87" t="n">
        <x:v>29</x:v>
      </x:c>
    </x:row>
    <x:row r="1909">
      <x:c r="A1909" s="87" t="n">
        <x:v>1908</x:v>
      </x:c>
      <x:c r="B1909" s="87" t="str">
        <x:v>APR-GEO-V1-029</x:v>
      </x:c>
      <x:c r="C1909" s="87" t="str">
        <x:v>СтатГрад</x:v>
      </x:c>
      <x:c r="D1909" s="87" t="str">
        <x:v>Апрель 2026</x:v>
      </x:c>
      <x:c r="E1909" s="87"/>
      <x:c r="F1909" s="87"/>
      <x:c r="G1909" s="87" t="str">
        <x:v>География</x:v>
      </x:c>
      <x:c r="H1909" s="87" t="n">
        <x:v>11</x:v>
      </x:c>
      <x:c r="I1909" s="87" t="str">
        <x:v>ТР №5</x:v>
      </x:c>
      <x:c r="J1909" s="87" t="str">
        <x:v>ГГ2510501</x:v>
      </x:c>
      <x:c r="K1909" s="87" t="n">
        <x:v>29</x:v>
      </x:c>
      <x:c r="L1909" s="87" t="str">
        <x:v>Классификация стран</x:v>
      </x:c>
      <x:c r="M1909" s="30" t="str">
        <x:v>Привести аргумент за отнесение Кувейта к развитым и аргумент за отнесение к развивающимся странам.</x:v>
      </x:c>
      <x:c r="N1909" s="30" t="str">
        <x:v>В пользу развитой страны: высокий ИЧР 0,852 и высокий ВВП на душу населения — 225,9/5,1≈44,3 тыс. долл. В пользу развивающейся страны: крайне узкая сырьевая специализация — 92,4% товарного экспорта составляют нефть и нефтепродукты.</x:v>
      </x:c>
      <x:c r="O1909" s="30" t="str">
        <x:v>Один аргумент основан на уровне жизни, второй — на структуре экономики и экспорта.</x:v>
      </x:c>
      <x:c r="P1909" s="30" t="str">
        <x:v>Один аргумент основан на уровне жизни, второй — на структуре экономики и экспорта.</x:v>
      </x:c>
      <x:c r="Q1909" s="30"/>
      <x:c r="R1909" s="30" t="str">
        <x:v>Полный PDF + независимое решение + открытая публикация/разбор</x:v>
      </x:c>
      <x:c r="S1909" s="30"/>
      <x:c r="T1909" s="30"/>
      <x:c r="U1909" s="30" t="str">
        <x:v>Расхождений не обнаружено.</x:v>
      </x:c>
      <x:c r="V1909" s="87" t="str">
        <x:v>VERIFIED</x:v>
      </x:c>
      <x:c r="W1909" s="87" t="str">
        <x:v>PDF, задание 29</x:v>
      </x:c>
      <x:c r="X1909" s="87"/>
      <x:c r="Y1909" s="87"/>
      <x:c r="Z1909" s="87"/>
      <x:c r="AA1909" s="87"/>
      <x:c r="AB1909" s="87"/>
      <x:c r="AC1909" s="87"/>
      <x:c r="AD1909" s="87"/>
      <x:c r="AE1909" s="87"/>
      <x:c r="AF1909" s="87"/>
      <x:c r="AG1909" s="87"/>
      <x:c r="AH1909" s="87"/>
      <x:c r="AI1909" s="30"/>
      <x:c r="AJ1909" s="87" t="str">
        <x:v>master</x:v>
      </x:c>
      <x:c r="AK1909" s="87" t="str">
        <x:v>master-v0.81</x:v>
      </x:c>
      <x:c r="AL1909" s="87" t="str">
        <x:v>statgrad_master_base_v0_81_final(2).xlsx</x:v>
      </x:c>
      <x:c r="AM1909" s="87" t="str">
        <x:v>GEO_Apr_V1</x:v>
      </x:c>
      <x:c r="AN1909" s="87" t="n">
        <x:v>30</x:v>
      </x:c>
    </x:row>
    <x:row r="1910">
      <x:c r="A1910" s="87" t="n">
        <x:v>1909</x:v>
      </x:c>
      <x:c r="B1910" s="87" t="str">
        <x:v>APR-PHYS-V1-001</x:v>
      </x:c>
      <x:c r="C1910" s="87" t="str">
        <x:v>СтатГрад</x:v>
      </x:c>
      <x:c r="D1910" s="87" t="str">
        <x:v>Апрель 2026</x:v>
      </x:c>
      <x:c r="E1910" s="87"/>
      <x:c r="F1910" s="87"/>
      <x:c r="G1910" s="87" t="str">
        <x:v>Физика</x:v>
      </x:c>
      <x:c r="H1910" s="87" t="n">
        <x:v>11</x:v>
      </x:c>
      <x:c r="I1910" s="87" t="str">
        <x:v>ТР №5</x:v>
      </x:c>
      <x:c r="J1910" s="87" t="str">
        <x:v>ФИ2510501</x:v>
      </x:c>
      <x:c r="K1910" s="87" t="n">
        <x:v>1</x:v>
      </x:c>
      <x:c r="L1910" s="87" t="str">
        <x:v>Кинематика по графику</x:v>
      </x:c>
      <x:c r="M1910" s="30" t="str">
        <x:v>По графику зависимости скорости автомобиля от времени определить путь за первые 30 с.</x:v>
      </x:c>
      <x:c r="N1910" s="30" t="str">
        <x:v>250</x:v>
      </x:c>
      <x:c r="O1910" s="30" t="str">
        <x:v>Путь равен площади под графиком v(t) на интервале 0–30 с; сумма площадей участков даёт 250 м.</x:v>
      </x:c>
      <x:c r="P1910" s="30" t="str">
        <x:v>Путь равен площади под графиком v(t) на интервале 0–30 с; сумма площадей участков даёт 250 м.</x:v>
      </x:c>
      <x:c r="Q1910" s="30"/>
      <x:c r="R1910" s="30" t="str">
        <x:v>Официальные задания Запад + общий краткий ключ + независимое решение</x:v>
      </x:c>
      <x:c r="S1910" s="30"/>
      <x:c r="T1910" s="30"/>
      <x:c r="U1910" s="30" t="str">
        <x:v>Расхождений не обнаружено.</x:v>
      </x:c>
      <x:c r="V1910" s="87" t="str">
        <x:v>VERIFIED</x:v>
      </x:c>
      <x:c r="W1910" s="87" t="str">
        <x:v>PDF 501, задание 1</x:v>
      </x:c>
      <x:c r="X1910" s="87"/>
      <x:c r="Y1910" s="87"/>
      <x:c r="Z1910" s="87"/>
      <x:c r="AA1910" s="87"/>
      <x:c r="AB1910" s="87"/>
      <x:c r="AC1910" s="87"/>
      <x:c r="AD1910" s="87"/>
      <x:c r="AE1910" s="87"/>
      <x:c r="AF1910" s="87"/>
      <x:c r="AG1910" s="87"/>
      <x:c r="AH1910" s="87"/>
      <x:c r="AI1910" s="30"/>
      <x:c r="AJ1910" s="87" t="str">
        <x:v>master</x:v>
      </x:c>
      <x:c r="AK1910" s="87" t="str">
        <x:v>master-v0.81</x:v>
      </x:c>
      <x:c r="AL1910" s="87" t="str">
        <x:v>statgrad_master_base_v0_81_final(2).xlsx</x:v>
      </x:c>
      <x:c r="AM1910" s="87" t="str">
        <x:v>PHYS_Apr_V1</x:v>
      </x:c>
      <x:c r="AN1910" s="87" t="n">
        <x:v>2</x:v>
      </x:c>
    </x:row>
    <x:row r="1911">
      <x:c r="A1911" s="87" t="n">
        <x:v>1910</x:v>
      </x:c>
      <x:c r="B1911" s="87" t="str">
        <x:v>APR-PHYS-V1-002</x:v>
      </x:c>
      <x:c r="C1911" s="87" t="str">
        <x:v>СтатГрад</x:v>
      </x:c>
      <x:c r="D1911" s="87" t="str">
        <x:v>Апрель 2026</x:v>
      </x:c>
      <x:c r="E1911" s="87"/>
      <x:c r="F1911" s="87"/>
      <x:c r="G1911" s="87" t="str">
        <x:v>Физика</x:v>
      </x:c>
      <x:c r="H1911" s="87" t="n">
        <x:v>11</x:v>
      </x:c>
      <x:c r="I1911" s="87" t="str">
        <x:v>ТР №5</x:v>
      </x:c>
      <x:c r="J1911" s="87" t="str">
        <x:v>ФИ2510501</x:v>
      </x:c>
      <x:c r="K1911" s="87" t="n">
        <x:v>2</x:v>
      </x:c>
      <x:c r="L1911" s="87" t="str">
        <x:v>Закон Гука</x:v>
      </x:c>
      <x:c r="M1911" s="30" t="str">
        <x:v>По графику зависимости силы упругости от удлинения пружины определить её жёсткость.</x:v>
      </x:c>
      <x:c r="N1911" s="30" t="str">
        <x:v>400</x:v>
      </x:c>
      <x:c r="O1911" s="30" t="str">
        <x:v>Жёсткость равна угловому коэффициенту графика: k=F/x=400 Н/м.</x:v>
      </x:c>
      <x:c r="P1911" s="30" t="str">
        <x:v>Жёсткость равна угловому коэффициенту графика: k=F/x=400 Н/м.</x:v>
      </x:c>
      <x:c r="Q1911" s="30"/>
      <x:c r="R1911" s="30" t="str">
        <x:v>Официальные задания Запад + общий краткий ключ + независимое решение</x:v>
      </x:c>
      <x:c r="S1911" s="30"/>
      <x:c r="T1911" s="30"/>
      <x:c r="U1911" s="30" t="str">
        <x:v>Расхождений не обнаружено.</x:v>
      </x:c>
      <x:c r="V1911" s="87" t="str">
        <x:v>VERIFIED</x:v>
      </x:c>
      <x:c r="W1911" s="87" t="str">
        <x:v>Официальный PDF</x:v>
      </x:c>
      <x:c r="X1911" s="87"/>
      <x:c r="Y1911" s="87"/>
      <x:c r="Z1911" s="87"/>
      <x:c r="AA1911" s="87"/>
      <x:c r="AB1911" s="87"/>
      <x:c r="AC1911" s="87"/>
      <x:c r="AD1911" s="87"/>
      <x:c r="AE1911" s="87"/>
      <x:c r="AF1911" s="87"/>
      <x:c r="AG1911" s="87"/>
      <x:c r="AH1911" s="87"/>
      <x:c r="AI1911" s="30"/>
      <x:c r="AJ1911" s="87" t="str">
        <x:v>master</x:v>
      </x:c>
      <x:c r="AK1911" s="87" t="str">
        <x:v>master-v0.81</x:v>
      </x:c>
      <x:c r="AL1911" s="87" t="str">
        <x:v>statgrad_master_base_v0_81_final(2).xlsx</x:v>
      </x:c>
      <x:c r="AM1911" s="87" t="str">
        <x:v>PHYS_Apr_V1</x:v>
      </x:c>
      <x:c r="AN1911" s="87" t="n">
        <x:v>3</x:v>
      </x:c>
    </x:row>
    <x:row r="1912">
      <x:c r="A1912" s="87" t="n">
        <x:v>1911</x:v>
      </x:c>
      <x:c r="B1912" s="87" t="str">
        <x:v>APR-PHYS-V1-003</x:v>
      </x:c>
      <x:c r="C1912" s="87" t="str">
        <x:v>СтатГрад</x:v>
      </x:c>
      <x:c r="D1912" s="87" t="str">
        <x:v>Апрель 2026</x:v>
      </x:c>
      <x:c r="E1912" s="87"/>
      <x:c r="F1912" s="87"/>
      <x:c r="G1912" s="87" t="str">
        <x:v>Физика</x:v>
      </x:c>
      <x:c r="H1912" s="87" t="n">
        <x:v>11</x:v>
      </x:c>
      <x:c r="I1912" s="87" t="str">
        <x:v>ТР №5</x:v>
      </x:c>
      <x:c r="J1912" s="87" t="str">
        <x:v>ФИ2510501</x:v>
      </x:c>
      <x:c r="K1912" s="87" t="n">
        <x:v>3</x:v>
      </x:c>
      <x:c r="L1912" s="87" t="str">
        <x:v>Импульс силы</x:v>
      </x:c>
      <x:c r="M1912" s="30" t="str">
        <x:v>Под действием постоянной силы 7 Н импульс тела изменился на 56 кг·м/с. Найти время действия силы.</x:v>
      </x:c>
      <x:c r="N1912" s="30" t="str">
        <x:v>8</x:v>
      </x:c>
      <x:c r="O1912" s="30" t="str">
        <x:v>FΔt=Δp, поэтому Δt=56/7=8 с.</x:v>
      </x:c>
      <x:c r="P1912" s="30" t="str">
        <x:v>FΔt=Δp, поэтому Δt=56/7=8 с.</x:v>
      </x:c>
      <x:c r="Q1912" s="30"/>
      <x:c r="R1912" s="30" t="str">
        <x:v>Официальные задания Запад + общий краткий ключ + независимое решение</x:v>
      </x:c>
      <x:c r="S1912" s="30"/>
      <x:c r="T1912" s="30"/>
      <x:c r="U1912" s="30" t="str">
        <x:v>Расхождений не обнаружено.</x:v>
      </x:c>
      <x:c r="V1912" s="87" t="str">
        <x:v>VERIFIED</x:v>
      </x:c>
      <x:c r="W1912" s="87" t="str">
        <x:v>Официальный PDF</x:v>
      </x:c>
      <x:c r="X1912" s="87"/>
      <x:c r="Y1912" s="87"/>
      <x:c r="Z1912" s="87"/>
      <x:c r="AA1912" s="87"/>
      <x:c r="AB1912" s="87"/>
      <x:c r="AC1912" s="87"/>
      <x:c r="AD1912" s="87"/>
      <x:c r="AE1912" s="87"/>
      <x:c r="AF1912" s="87"/>
      <x:c r="AG1912" s="87"/>
      <x:c r="AH1912" s="87"/>
      <x:c r="AI1912" s="30"/>
      <x:c r="AJ1912" s="87" t="str">
        <x:v>master</x:v>
      </x:c>
      <x:c r="AK1912" s="87" t="str">
        <x:v>master-v0.81</x:v>
      </x:c>
      <x:c r="AL1912" s="87" t="str">
        <x:v>statgrad_master_base_v0_81_final(2).xlsx</x:v>
      </x:c>
      <x:c r="AM1912" s="87" t="str">
        <x:v>PHYS_Apr_V1</x:v>
      </x:c>
      <x:c r="AN1912" s="87" t="n">
        <x:v>4</x:v>
      </x:c>
    </x:row>
    <x:row r="1913">
      <x:c r="A1913" s="87" t="n">
        <x:v>1912</x:v>
      </x:c>
      <x:c r="B1913" s="87" t="str">
        <x:v>APR-PHYS-V1-004</x:v>
      </x:c>
      <x:c r="C1913" s="87" t="str">
        <x:v>СтатГрад</x:v>
      </x:c>
      <x:c r="D1913" s="87" t="str">
        <x:v>Апрель 2026</x:v>
      </x:c>
      <x:c r="E1913" s="87"/>
      <x:c r="F1913" s="87"/>
      <x:c r="G1913" s="87" t="str">
        <x:v>Физика</x:v>
      </x:c>
      <x:c r="H1913" s="87" t="n">
        <x:v>11</x:v>
      </x:c>
      <x:c r="I1913" s="87" t="str">
        <x:v>ТР №5</x:v>
      </x:c>
      <x:c r="J1913" s="87" t="str">
        <x:v>ФИ2510501</x:v>
      </x:c>
      <x:c r="K1913" s="87" t="n">
        <x:v>4</x:v>
      </x:c>
      <x:c r="L1913" s="87" t="str">
        <x:v>Гармонические колебания</x:v>
      </x:c>
      <x:c r="M1913" s="30" t="str">
        <x:v>Частота колебаний 4 Гц. Найти время от максимума кинетической энергии до ближайшего минимума.</x:v>
      </x:c>
      <x:c r="N1913" s="30" t="str">
        <x:v>62,5</x:v>
      </x:c>
      <x:c r="O1913" s="30" t="str">
        <x:v>Период T=1/4=0,25 с; от максимума кинетической энергии до минимума проходит T/4=0,0625 с=62,5 мс.</x:v>
      </x:c>
      <x:c r="P1913" s="30" t="str">
        <x:v>Период T=1/4=0,25 с; от максимума кинетической энергии до минимума проходит T/4=0,0625 с=62,5 мс.</x:v>
      </x:c>
      <x:c r="Q1913" s="30"/>
      <x:c r="R1913" s="30" t="str">
        <x:v>Официальные задания Запад + общий краткий ключ + независимое решение</x:v>
      </x:c>
      <x:c r="S1913" s="30"/>
      <x:c r="T1913" s="30"/>
      <x:c r="U1913" s="30" t="str">
        <x:v>Расхождений не обнаружено.</x:v>
      </x:c>
      <x:c r="V1913" s="87" t="str">
        <x:v>VERIFIED</x:v>
      </x:c>
      <x:c r="W1913" s="87" t="str">
        <x:v>Официальный PDF</x:v>
      </x:c>
      <x:c r="X1913" s="87"/>
      <x:c r="Y1913" s="87"/>
      <x:c r="Z1913" s="87"/>
      <x:c r="AA1913" s="87"/>
      <x:c r="AB1913" s="87"/>
      <x:c r="AC1913" s="87"/>
      <x:c r="AD1913" s="87"/>
      <x:c r="AE1913" s="87"/>
      <x:c r="AF1913" s="87"/>
      <x:c r="AG1913" s="87"/>
      <x:c r="AH1913" s="87"/>
      <x:c r="AI1913" s="30"/>
      <x:c r="AJ1913" s="87" t="str">
        <x:v>master</x:v>
      </x:c>
      <x:c r="AK1913" s="87" t="str">
        <x:v>master-v0.81</x:v>
      </x:c>
      <x:c r="AL1913" s="87" t="str">
        <x:v>statgrad_master_base_v0_81_final(2).xlsx</x:v>
      </x:c>
      <x:c r="AM1913" s="87" t="str">
        <x:v>PHYS_Apr_V1</x:v>
      </x:c>
      <x:c r="AN1913" s="87" t="n">
        <x:v>5</x:v>
      </x:c>
    </x:row>
    <x:row r="1914">
      <x:c r="A1914" s="87" t="n">
        <x:v>1913</x:v>
      </x:c>
      <x:c r="B1914" s="87" t="str">
        <x:v>APR-PHYS-V1-005</x:v>
      </x:c>
      <x:c r="C1914" s="87" t="str">
        <x:v>СтатГрад</x:v>
      </x:c>
      <x:c r="D1914" s="87" t="str">
        <x:v>Апрель 2026</x:v>
      </x:c>
      <x:c r="E1914" s="87"/>
      <x:c r="F1914" s="87"/>
      <x:c r="G1914" s="87" t="str">
        <x:v>Физика</x:v>
      </x:c>
      <x:c r="H1914" s="87" t="n">
        <x:v>11</x:v>
      </x:c>
      <x:c r="I1914" s="87" t="str">
        <x:v>ТР №5</x:v>
      </x:c>
      <x:c r="J1914" s="87" t="str">
        <x:v>ФИ2510501</x:v>
      </x:c>
      <x:c r="K1914" s="87" t="n">
        <x:v>5</x:v>
      </x:c>
      <x:c r="L1914" s="87" t="str">
        <x:v>Механика: анализ утверждений</x:v>
      </x:c>
      <x:c r="M1914" s="30" t="str">
        <x:v>По графику скорости тела массой 100 г выбрать два верных утверждения о движении и силах.</x:v>
      </x:c>
      <x:c r="N1914" s="30" t="str">
        <x:v>13</x:v>
      </x:c>
      <x:c r="O1914" s="30" t="str">
        <x:v>Утверждения 1 и 3 согласуются с направлением скорости, ускорением и вторым законом Ньютона.</x:v>
      </x:c>
      <x:c r="P1914" s="30" t="str">
        <x:v>Каждое из пяти утверждений проверено по участкам графика.</x:v>
      </x:c>
      <x:c r="Q1914" s="30"/>
      <x:c r="R1914" s="30" t="str">
        <x:v>Официальные задания Запад + общий краткий ключ + независимое решение</x:v>
      </x:c>
      <x:c r="S1914" s="30"/>
      <x:c r="T1914" s="30"/>
      <x:c r="U1914" s="30" t="str">
        <x:v>Расхождений не обнаружено.</x:v>
      </x:c>
      <x:c r="V1914" s="87" t="str">
        <x:v>VERIFIED</x:v>
      </x:c>
      <x:c r="W1914" s="87" t="str">
        <x:v>Официальный PDF</x:v>
      </x:c>
      <x:c r="X1914" s="87"/>
      <x:c r="Y1914" s="87"/>
      <x:c r="Z1914" s="87"/>
      <x:c r="AA1914" s="87"/>
      <x:c r="AB1914" s="87"/>
      <x:c r="AC1914" s="87"/>
      <x:c r="AD1914" s="87"/>
      <x:c r="AE1914" s="87"/>
      <x:c r="AF1914" s="87"/>
      <x:c r="AG1914" s="87"/>
      <x:c r="AH1914" s="87"/>
      <x:c r="AI1914" s="30"/>
      <x:c r="AJ1914" s="87" t="str">
        <x:v>master</x:v>
      </x:c>
      <x:c r="AK1914" s="87" t="str">
        <x:v>master-v0.81</x:v>
      </x:c>
      <x:c r="AL1914" s="87" t="str">
        <x:v>statgrad_master_base_v0_81_final(2).xlsx</x:v>
      </x:c>
      <x:c r="AM1914" s="87" t="str">
        <x:v>PHYS_Apr_V1</x:v>
      </x:c>
      <x:c r="AN1914" s="87" t="n">
        <x:v>6</x:v>
      </x:c>
    </x:row>
    <x:row r="1915">
      <x:c r="A1915" s="87" t="n">
        <x:v>1914</x:v>
      </x:c>
      <x:c r="B1915" s="87" t="str">
        <x:v>APR-PHYS-V1-006</x:v>
      </x:c>
      <x:c r="C1915" s="87" t="str">
        <x:v>СтатГрад</x:v>
      </x:c>
      <x:c r="D1915" s="87" t="str">
        <x:v>Апрель 2026</x:v>
      </x:c>
      <x:c r="E1915" s="87"/>
      <x:c r="F1915" s="87"/>
      <x:c r="G1915" s="87" t="str">
        <x:v>Физика</x:v>
      </x:c>
      <x:c r="H1915" s="87" t="n">
        <x:v>11</x:v>
      </x:c>
      <x:c r="I1915" s="87" t="str">
        <x:v>ТР №5</x:v>
      </x:c>
      <x:c r="J1915" s="87" t="str">
        <x:v>ФИ2510501</x:v>
      </x:c>
      <x:c r="K1915" s="87" t="n">
        <x:v>6</x:v>
      </x:c>
      <x:c r="L1915" s="87" t="str">
        <x:v>Спутник Земли</x:v>
      </x:c>
      <x:c r="M1915" s="30" t="str">
        <x:v>Спутник переходит на более высокую круговую орбиту; определить изменение частоты обращения и скорости.</x:v>
      </x:c>
      <x:c r="N1915" s="30" t="str">
        <x:v>22</x:v>
      </x:c>
      <x:c r="O1915" s="30" t="str">
        <x:v>При увеличении радиуса круговой орбиты и частота обращения, и орбитальная скорость уменьшаются: обе величины соответствуют коду 2.</x:v>
      </x:c>
      <x:c r="P1915" s="30" t="str">
        <x:v>При увеличении радиуса круговой орбиты и частота обращения, и орбитальная скорость уменьшаются: обе величины соответствуют коду 2.</x:v>
      </x:c>
      <x:c r="Q1915" s="30"/>
      <x:c r="R1915" s="30" t="str">
        <x:v>Официальные задания Запад + общий краткий ключ + независимое решение</x:v>
      </x:c>
      <x:c r="S1915" s="30"/>
      <x:c r="T1915" s="30"/>
      <x:c r="U1915" s="30" t="str">
        <x:v>Расхождений не обнаружено.</x:v>
      </x:c>
      <x:c r="V1915" s="87" t="str">
        <x:v>VERIFIED</x:v>
      </x:c>
      <x:c r="W1915" s="87" t="str">
        <x:v>Официальный PDF</x:v>
      </x:c>
      <x:c r="X1915" s="87"/>
      <x:c r="Y1915" s="87"/>
      <x:c r="Z1915" s="87"/>
      <x:c r="AA1915" s="87"/>
      <x:c r="AB1915" s="87"/>
      <x:c r="AC1915" s="87"/>
      <x:c r="AD1915" s="87"/>
      <x:c r="AE1915" s="87"/>
      <x:c r="AF1915" s="87"/>
      <x:c r="AG1915" s="87"/>
      <x:c r="AH1915" s="87"/>
      <x:c r="AI1915" s="30"/>
      <x:c r="AJ1915" s="87" t="str">
        <x:v>master</x:v>
      </x:c>
      <x:c r="AK1915" s="87" t="str">
        <x:v>master-v0.81</x:v>
      </x:c>
      <x:c r="AL1915" s="87" t="str">
        <x:v>statgrad_master_base_v0_81_final(2).xlsx</x:v>
      </x:c>
      <x:c r="AM1915" s="87" t="str">
        <x:v>PHYS_Apr_V1</x:v>
      </x:c>
      <x:c r="AN1915" s="87" t="n">
        <x:v>7</x:v>
      </x:c>
    </x:row>
    <x:row r="1916">
      <x:c r="A1916" s="87" t="n">
        <x:v>1915</x:v>
      </x:c>
      <x:c r="B1916" s="87" t="str">
        <x:v>APR-PHYS-V1-007</x:v>
      </x:c>
      <x:c r="C1916" s="87" t="str">
        <x:v>СтатГрад</x:v>
      </x:c>
      <x:c r="D1916" s="87" t="str">
        <x:v>Апрель 2026</x:v>
      </x:c>
      <x:c r="E1916" s="87"/>
      <x:c r="F1916" s="87"/>
      <x:c r="G1916" s="87" t="str">
        <x:v>Физика</x:v>
      </x:c>
      <x:c r="H1916" s="87" t="n">
        <x:v>11</x:v>
      </x:c>
      <x:c r="I1916" s="87" t="str">
        <x:v>ТР №5</x:v>
      </x:c>
      <x:c r="J1916" s="87" t="str">
        <x:v>ФИ2510501</x:v>
      </x:c>
      <x:c r="K1916" s="87" t="n">
        <x:v>7</x:v>
      </x:c>
      <x:c r="L1916" s="87" t="str">
        <x:v>Молекулярная физика</x:v>
      </x:c>
      <x:c r="M1916" s="30" t="str">
        <x:v>Давление газа 25 кПа. Средняя кинетическая энергия молекул уменьшилась в 2 раза, концентрация увеличилась в 4 раза. Найти новое давление.</x:v>
      </x:c>
      <x:c r="N1916" s="30" t="str">
        <x:v>50</x:v>
      </x:c>
      <x:c r="O1916" s="30" t="str">
        <x:v>p=(2/3)nĒ. Произведение nĒ увеличилось в 4/2=2 раза; p₂=50 кПа.</x:v>
      </x:c>
      <x:c r="P1916" s="30" t="str">
        <x:v>p=(2/3)nĒ. Произведение nĒ увеличилось в 4/2=2 раза; p₂=50 кПа.</x:v>
      </x:c>
      <x:c r="Q1916" s="30"/>
      <x:c r="R1916" s="30" t="str">
        <x:v>Официальные задания Запад + общий краткий ключ + независимое решение</x:v>
      </x:c>
      <x:c r="S1916" s="30"/>
      <x:c r="T1916" s="30"/>
      <x:c r="U1916" s="30" t="str">
        <x:v>Расхождений не обнаружено.</x:v>
      </x:c>
      <x:c r="V1916" s="87" t="str">
        <x:v>VERIFIED</x:v>
      </x:c>
      <x:c r="W1916" s="87" t="str">
        <x:v>Официальный PDF</x:v>
      </x:c>
      <x:c r="X1916" s="87"/>
      <x:c r="Y1916" s="87"/>
      <x:c r="Z1916" s="87"/>
      <x:c r="AA1916" s="87"/>
      <x:c r="AB1916" s="87"/>
      <x:c r="AC1916" s="87"/>
      <x:c r="AD1916" s="87"/>
      <x:c r="AE1916" s="87"/>
      <x:c r="AF1916" s="87"/>
      <x:c r="AG1916" s="87"/>
      <x:c r="AH1916" s="87"/>
      <x:c r="AI1916" s="30"/>
      <x:c r="AJ1916" s="87" t="str">
        <x:v>master</x:v>
      </x:c>
      <x:c r="AK1916" s="87" t="str">
        <x:v>master-v0.81</x:v>
      </x:c>
      <x:c r="AL1916" s="87" t="str">
        <x:v>statgrad_master_base_v0_81_final(2).xlsx</x:v>
      </x:c>
      <x:c r="AM1916" s="87" t="str">
        <x:v>PHYS_Apr_V1</x:v>
      </x:c>
      <x:c r="AN1916" s="87" t="n">
        <x:v>8</x:v>
      </x:c>
    </x:row>
    <x:row r="1917">
      <x:c r="A1917" s="87" t="n">
        <x:v>1916</x:v>
      </x:c>
      <x:c r="B1917" s="87" t="str">
        <x:v>APR-PHYS-V1-008</x:v>
      </x:c>
      <x:c r="C1917" s="87" t="str">
        <x:v>СтатГрад</x:v>
      </x:c>
      <x:c r="D1917" s="87" t="str">
        <x:v>Апрель 2026</x:v>
      </x:c>
      <x:c r="E1917" s="87"/>
      <x:c r="F1917" s="87"/>
      <x:c r="G1917" s="87" t="str">
        <x:v>Физика</x:v>
      </x:c>
      <x:c r="H1917" s="87" t="n">
        <x:v>11</x:v>
      </x:c>
      <x:c r="I1917" s="87" t="str">
        <x:v>ТР №5</x:v>
      </x:c>
      <x:c r="J1917" s="87" t="str">
        <x:v>ФИ2510501</x:v>
      </x:c>
      <x:c r="K1917" s="87" t="n">
        <x:v>8</x:v>
      </x:c>
      <x:c r="L1917" s="87" t="str">
        <x:v>Первый закон термодинамики</x:v>
      </x:c>
      <x:c r="M1917" s="30" t="str">
        <x:v>В процессе над газом совершена работа 80 кДж, внутренняя энергия не изменилась. Найти количество отданной теплоты.</x:v>
      </x:c>
      <x:c r="N1917" s="30" t="str">
        <x:v>80</x:v>
      </x:c>
      <x:c r="O1917" s="30" t="str">
        <x:v>При ΔU=0 теплота по модулю равна работе, совершённой над газом: газ отдаёт 80 кДж.</x:v>
      </x:c>
      <x:c r="P1917" s="30" t="str">
        <x:v>При ΔU=0 теплота по модулю равна работе, совершённой над газом: газ отдаёт 80 кДж.</x:v>
      </x:c>
      <x:c r="Q1917" s="30"/>
      <x:c r="R1917" s="30" t="str">
        <x:v>Официальные задания Запад + общий краткий ключ + независимое решение</x:v>
      </x:c>
      <x:c r="S1917" s="30"/>
      <x:c r="T1917" s="30"/>
      <x:c r="U1917" s="30" t="str">
        <x:v>Расхождений не обнаружено.</x:v>
      </x:c>
      <x:c r="V1917" s="87" t="str">
        <x:v>VERIFIED</x:v>
      </x:c>
      <x:c r="W1917" s="87" t="str">
        <x:v>Официальный PDF</x:v>
      </x:c>
      <x:c r="X1917" s="87"/>
      <x:c r="Y1917" s="87"/>
      <x:c r="Z1917" s="87"/>
      <x:c r="AA1917" s="87"/>
      <x:c r="AB1917" s="87"/>
      <x:c r="AC1917" s="87"/>
      <x:c r="AD1917" s="87"/>
      <x:c r="AE1917" s="87"/>
      <x:c r="AF1917" s="87"/>
      <x:c r="AG1917" s="87"/>
      <x:c r="AH1917" s="87"/>
      <x:c r="AI1917" s="30"/>
      <x:c r="AJ1917" s="87" t="str">
        <x:v>master</x:v>
      </x:c>
      <x:c r="AK1917" s="87" t="str">
        <x:v>master-v0.81</x:v>
      </x:c>
      <x:c r="AL1917" s="87" t="str">
        <x:v>statgrad_master_base_v0_81_final(2).xlsx</x:v>
      </x:c>
      <x:c r="AM1917" s="87" t="str">
        <x:v>PHYS_Apr_V1</x:v>
      </x:c>
      <x:c r="AN1917" s="87" t="n">
        <x:v>9</x:v>
      </x:c>
    </x:row>
    <x:row r="1918">
      <x:c r="A1918" s="87" t="n">
        <x:v>1917</x:v>
      </x:c>
      <x:c r="B1918" s="87" t="str">
        <x:v>APR-PHYS-V1-009</x:v>
      </x:c>
      <x:c r="C1918" s="87" t="str">
        <x:v>СтатГрад</x:v>
      </x:c>
      <x:c r="D1918" s="87" t="str">
        <x:v>Апрель 2026</x:v>
      </x:c>
      <x:c r="E1918" s="87"/>
      <x:c r="F1918" s="87"/>
      <x:c r="G1918" s="87" t="str">
        <x:v>Физика</x:v>
      </x:c>
      <x:c r="H1918" s="87" t="n">
        <x:v>11</x:v>
      </x:c>
      <x:c r="I1918" s="87" t="str">
        <x:v>ТР №5</x:v>
      </x:c>
      <x:c r="J1918" s="87" t="str">
        <x:v>ФИ2510501</x:v>
      </x:c>
      <x:c r="K1918" s="87" t="n">
        <x:v>9</x:v>
      </x:c>
      <x:c r="L1918" s="87" t="str">
        <x:v>Идеальный газ: анализ утверждений</x:v>
      </x:c>
      <x:c r="M1918" s="30" t="str">
        <x:v>Сравнить 1 моль неона и 1 моль аргона при V₁=2V₂, T₁=300 К, T₂=450 К; выбрать верные утверждения.</x:v>
      </x:c>
      <x:c r="N1918" s="30" t="str">
        <x:v>35</x:v>
      </x:c>
      <x:c r="O1918" s="30" t="str">
        <x:v>Средние кинетические энергии пропорциональны температуре, давления — T/V. Верны утверждения 3 и 5.</x:v>
      </x:c>
      <x:c r="P1918" s="30" t="str">
        <x:v>Средние кинетические энергии пропорциональны температуре, давления — T/V. Верны утверждения 3 и 5.</x:v>
      </x:c>
      <x:c r="Q1918" s="30"/>
      <x:c r="R1918" s="30" t="str">
        <x:v>Официальные задания Запад + общий краткий ключ + независимое решение</x:v>
      </x:c>
      <x:c r="S1918" s="30"/>
      <x:c r="T1918" s="30"/>
      <x:c r="U1918" s="30" t="str">
        <x:v>Расхождений не обнаружено.</x:v>
      </x:c>
      <x:c r="V1918" s="87" t="str">
        <x:v>VERIFIED</x:v>
      </x:c>
      <x:c r="W1918" s="87" t="str">
        <x:v>Официальный PDF</x:v>
      </x:c>
      <x:c r="X1918" s="87"/>
      <x:c r="Y1918" s="87"/>
      <x:c r="Z1918" s="87"/>
      <x:c r="AA1918" s="87"/>
      <x:c r="AB1918" s="87"/>
      <x:c r="AC1918" s="87"/>
      <x:c r="AD1918" s="87"/>
      <x:c r="AE1918" s="87"/>
      <x:c r="AF1918" s="87"/>
      <x:c r="AG1918" s="87"/>
      <x:c r="AH1918" s="87"/>
      <x:c r="AI1918" s="30"/>
      <x:c r="AJ1918" s="87" t="str">
        <x:v>master</x:v>
      </x:c>
      <x:c r="AK1918" s="87" t="str">
        <x:v>master-v0.81</x:v>
      </x:c>
      <x:c r="AL1918" s="87" t="str">
        <x:v>statgrad_master_base_v0_81_final(2).xlsx</x:v>
      </x:c>
      <x:c r="AM1918" s="87" t="str">
        <x:v>PHYS_Apr_V1</x:v>
      </x:c>
      <x:c r="AN1918" s="87" t="n">
        <x:v>10</x:v>
      </x:c>
    </x:row>
    <x:row r="1919">
      <x:c r="A1919" s="87" t="n">
        <x:v>1918</x:v>
      </x:c>
      <x:c r="B1919" s="87" t="str">
        <x:v>APR-PHYS-V1-010</x:v>
      </x:c>
      <x:c r="C1919" s="87" t="str">
        <x:v>СтатГрад</x:v>
      </x:c>
      <x:c r="D1919" s="87" t="str">
        <x:v>Апрель 2026</x:v>
      </x:c>
      <x:c r="E1919" s="87"/>
      <x:c r="F1919" s="87"/>
      <x:c r="G1919" s="87" t="str">
        <x:v>Физика</x:v>
      </x:c>
      <x:c r="H1919" s="87" t="n">
        <x:v>11</x:v>
      </x:c>
      <x:c r="I1919" s="87" t="str">
        <x:v>ТР №5</x:v>
      </x:c>
      <x:c r="J1919" s="87" t="str">
        <x:v>ФИ2510501</x:v>
      </x:c>
      <x:c r="K1919" s="87" t="n">
        <x:v>10</x:v>
      </x:c>
      <x:c r="L1919" s="87" t="str">
        <x:v>Адиабатический процесс</x:v>
      </x:c>
      <x:c r="M1919" s="30" t="str">
        <x:v>В адиабатическом процессе внутренняя энергия гелия увеличилась; определить изменения температуры и давления.</x:v>
      </x:c>
      <x:c r="N1919" s="30" t="str">
        <x:v>11</x:v>
      </x:c>
      <x:c r="O1919" s="30" t="str">
        <x:v>Внутренняя энергия одноатомного газа пропорциональна температуре, значит T увеличилась; при адиабатическом сжатии увеличилось и давление.</x:v>
      </x:c>
      <x:c r="P1919" s="30" t="str">
        <x:v>Внутренняя энергия одноатомного газа пропорциональна температуре, значит T увеличилась; при адиабатическом сжатии увеличилось и давление.</x:v>
      </x:c>
      <x:c r="Q1919" s="30"/>
      <x:c r="R1919" s="30" t="str">
        <x:v>Официальные задания Запад + общий краткий ключ + независимое решение</x:v>
      </x:c>
      <x:c r="S1919" s="30"/>
      <x:c r="T1919" s="30"/>
      <x:c r="U1919" s="30" t="str">
        <x:v>Расхождений не обнаружено.</x:v>
      </x:c>
      <x:c r="V1919" s="87" t="str">
        <x:v>VERIFIED</x:v>
      </x:c>
      <x:c r="W1919" s="87" t="str">
        <x:v>Официальный PDF</x:v>
      </x:c>
      <x:c r="X1919" s="87"/>
      <x:c r="Y1919" s="87"/>
      <x:c r="Z1919" s="87"/>
      <x:c r="AA1919" s="87"/>
      <x:c r="AB1919" s="87"/>
      <x:c r="AC1919" s="87"/>
      <x:c r="AD1919" s="87"/>
      <x:c r="AE1919" s="87"/>
      <x:c r="AF1919" s="87"/>
      <x:c r="AG1919" s="87"/>
      <x:c r="AH1919" s="87"/>
      <x:c r="AI1919" s="30"/>
      <x:c r="AJ1919" s="87" t="str">
        <x:v>master</x:v>
      </x:c>
      <x:c r="AK1919" s="87" t="str">
        <x:v>master-v0.81</x:v>
      </x:c>
      <x:c r="AL1919" s="87" t="str">
        <x:v>statgrad_master_base_v0_81_final(2).xlsx</x:v>
      </x:c>
      <x:c r="AM1919" s="87" t="str">
        <x:v>PHYS_Apr_V1</x:v>
      </x:c>
      <x:c r="AN1919" s="87" t="n">
        <x:v>11</x:v>
      </x:c>
    </x:row>
    <x:row r="1920">
      <x:c r="A1920" s="87" t="n">
        <x:v>1919</x:v>
      </x:c>
      <x:c r="B1920" s="87" t="str">
        <x:v>APR-PHYS-V1-011</x:v>
      </x:c>
      <x:c r="C1920" s="87" t="str">
        <x:v>СтатГрад</x:v>
      </x:c>
      <x:c r="D1920" s="87" t="str">
        <x:v>Апрель 2026</x:v>
      </x:c>
      <x:c r="E1920" s="87"/>
      <x:c r="F1920" s="87"/>
      <x:c r="G1920" s="87" t="str">
        <x:v>Физика</x:v>
      </x:c>
      <x:c r="H1920" s="87" t="n">
        <x:v>11</x:v>
      </x:c>
      <x:c r="I1920" s="87" t="str">
        <x:v>ТР №5</x:v>
      </x:c>
      <x:c r="J1920" s="87" t="str">
        <x:v>ФИ2510501</x:v>
      </x:c>
      <x:c r="K1920" s="87" t="n">
        <x:v>11</x:v>
      </x:c>
      <x:c r="L1920" s="87" t="str">
        <x:v>Закон Ома для полной цепи</x:v>
      </x:c>
      <x:c r="M1920" s="30" t="str">
        <x:v>Сила тока 0,2 А, внешнее сопротивление 24 Ом, внутреннее сопротивление 1 Ом. Найти ЭДС.</x:v>
      </x:c>
      <x:c r="N1920" s="30" t="str">
        <x:v>5</x:v>
      </x:c>
      <x:c r="O1920" s="30" t="str">
        <x:v>ε=I(R+r)=0,2·25=5 В.</x:v>
      </x:c>
      <x:c r="P1920" s="30" t="str">
        <x:v>ε=I(R+r)=0,2·25=5 В.</x:v>
      </x:c>
      <x:c r="Q1920" s="30"/>
      <x:c r="R1920" s="30" t="str">
        <x:v>Официальные задания Запад + общий краткий ключ + независимое решение</x:v>
      </x:c>
      <x:c r="S1920" s="30"/>
      <x:c r="T1920" s="30"/>
      <x:c r="U1920" s="30" t="str">
        <x:v>Расхождений не обнаружено.</x:v>
      </x:c>
      <x:c r="V1920" s="87" t="str">
        <x:v>VERIFIED</x:v>
      </x:c>
      <x:c r="W1920" s="87" t="str">
        <x:v>Официальный PDF</x:v>
      </x:c>
      <x:c r="X1920" s="87"/>
      <x:c r="Y1920" s="87"/>
      <x:c r="Z1920" s="87"/>
      <x:c r="AA1920" s="87"/>
      <x:c r="AB1920" s="87"/>
      <x:c r="AC1920" s="87"/>
      <x:c r="AD1920" s="87"/>
      <x:c r="AE1920" s="87"/>
      <x:c r="AF1920" s="87"/>
      <x:c r="AG1920" s="87"/>
      <x:c r="AH1920" s="87"/>
      <x:c r="AI1920" s="30"/>
      <x:c r="AJ1920" s="87" t="str">
        <x:v>master</x:v>
      </x:c>
      <x:c r="AK1920" s="87" t="str">
        <x:v>master-v0.81</x:v>
      </x:c>
      <x:c r="AL1920" s="87" t="str">
        <x:v>statgrad_master_base_v0_81_final(2).xlsx</x:v>
      </x:c>
      <x:c r="AM1920" s="87" t="str">
        <x:v>PHYS_Apr_V1</x:v>
      </x:c>
      <x:c r="AN1920" s="87" t="n">
        <x:v>12</x:v>
      </x:c>
    </x:row>
    <x:row r="1921">
      <x:c r="A1921" s="87" t="n">
        <x:v>1920</x:v>
      </x:c>
      <x:c r="B1921" s="87" t="str">
        <x:v>APR-PHYS-V1-012</x:v>
      </x:c>
      <x:c r="C1921" s="87" t="str">
        <x:v>СтатГрад</x:v>
      </x:c>
      <x:c r="D1921" s="87" t="str">
        <x:v>Апрель 2026</x:v>
      </x:c>
      <x:c r="E1921" s="87"/>
      <x:c r="F1921" s="87"/>
      <x:c r="G1921" s="87" t="str">
        <x:v>Физика</x:v>
      </x:c>
      <x:c r="H1921" s="87" t="n">
        <x:v>11</x:v>
      </x:c>
      <x:c r="I1921" s="87" t="str">
        <x:v>ТР №5</x:v>
      </x:c>
      <x:c r="J1921" s="87" t="str">
        <x:v>ФИ2510501</x:v>
      </x:c>
      <x:c r="K1921" s="87" t="n">
        <x:v>12</x:v>
      </x:c>
      <x:c r="L1921" s="87" t="str">
        <x:v>Электромагнитная индукция</x:v>
      </x:c>
      <x:c r="M1921" s="30" t="str">
        <x:v>Индуктивность катушки 3,5 мГн, ток возрастает от 0 до 20 мА за 10 мс. Найти модуль ЭДС самоиндукции в милливольтах.</x:v>
      </x:c>
      <x:c r="N1921" s="30" t="str">
        <x:v>7</x:v>
      </x:c>
      <x:c r="O1921" s="30" t="str">
        <x:v>|ε|=LΔI/Δt=3,5·10⁻³·0,02/0,01=0,007 В=7 мВ.</x:v>
      </x:c>
      <x:c r="P1921" s="30" t="str">
        <x:v>Числовой ответ и единица сверены с условием и официальным ключом.</x:v>
      </x:c>
      <x:c r="Q1921" s="30"/>
      <x:c r="R1921" s="30" t="str">
        <x:v>Официальные задания Запад + общий краткий ключ + независимое решение</x:v>
      </x:c>
      <x:c r="S1921" s="30"/>
      <x:c r="T1921" s="30"/>
      <x:c r="U1921" s="30" t="str">
        <x:v>Расхождений не обнаружено.</x:v>
      </x:c>
      <x:c r="V1921" s="87" t="str">
        <x:v>VERIFIED</x:v>
      </x:c>
      <x:c r="W1921" s="87" t="str">
        <x:v>Официальный PDF</x:v>
      </x:c>
      <x:c r="X1921" s="87"/>
      <x:c r="Y1921" s="87"/>
      <x:c r="Z1921" s="87"/>
      <x:c r="AA1921" s="87"/>
      <x:c r="AB1921" s="87"/>
      <x:c r="AC1921" s="87"/>
      <x:c r="AD1921" s="87"/>
      <x:c r="AE1921" s="87"/>
      <x:c r="AF1921" s="87"/>
      <x:c r="AG1921" s="87"/>
      <x:c r="AH1921" s="87"/>
      <x:c r="AI1921" s="30"/>
      <x:c r="AJ1921" s="87" t="str">
        <x:v>master</x:v>
      </x:c>
      <x:c r="AK1921" s="87" t="str">
        <x:v>master-v0.81</x:v>
      </x:c>
      <x:c r="AL1921" s="87" t="str">
        <x:v>statgrad_master_base_v0_81_final(2).xlsx</x:v>
      </x:c>
      <x:c r="AM1921" s="87" t="str">
        <x:v>PHYS_Apr_V1</x:v>
      </x:c>
      <x:c r="AN1921" s="87" t="n">
        <x:v>13</x:v>
      </x:c>
    </x:row>
    <x:row r="1922">
      <x:c r="A1922" s="87" t="n">
        <x:v>1921</x:v>
      </x:c>
      <x:c r="B1922" s="87" t="str">
        <x:v>APR-PHYS-V1-013</x:v>
      </x:c>
      <x:c r="C1922" s="87" t="str">
        <x:v>СтатГрад</x:v>
      </x:c>
      <x:c r="D1922" s="87" t="str">
        <x:v>Апрель 2026</x:v>
      </x:c>
      <x:c r="E1922" s="87"/>
      <x:c r="F1922" s="87"/>
      <x:c r="G1922" s="87" t="str">
        <x:v>Физика</x:v>
      </x:c>
      <x:c r="H1922" s="87" t="n">
        <x:v>11</x:v>
      </x:c>
      <x:c r="I1922" s="87" t="str">
        <x:v>ТР №5</x:v>
      </x:c>
      <x:c r="J1922" s="87" t="str">
        <x:v>ФИ2510501</x:v>
      </x:c>
      <x:c r="K1922" s="87" t="n">
        <x:v>13</x:v>
      </x:c>
      <x:c r="L1922" s="87" t="str">
        <x:v>Колебательный контур</x:v>
      </x:c>
      <x:c r="M1922" s="30" t="str">
        <x:v>Период контура 10 мкс. Индуктивность уменьшили в 18 раз, ёмкость увеличили в 2 раза. Найти новую частоту в кГц.</x:v>
      </x:c>
      <x:c r="N1922" s="30" t="str">
        <x:v>300</x:v>
      </x:c>
      <x:c r="O1922" s="30" t="str">
        <x:v>T∝√(LC); новый период T/3, поэтому частота увеличивается в 3 раза: 100·3=300 кГц.</x:v>
      </x:c>
      <x:c r="P1922" s="30" t="str">
        <x:v>T∝√(LC); новый период T/3, поэтому частота увеличивается в 3 раза: 100·3=300 кГц.</x:v>
      </x:c>
      <x:c r="Q1922" s="30"/>
      <x:c r="R1922" s="30" t="str">
        <x:v>Официальные задания Запад + общий краткий ключ + независимое решение</x:v>
      </x:c>
      <x:c r="S1922" s="30"/>
      <x:c r="T1922" s="30"/>
      <x:c r="U1922" s="30" t="str">
        <x:v>Расхождений не обнаружено.</x:v>
      </x:c>
      <x:c r="V1922" s="87" t="str">
        <x:v>VERIFIED</x:v>
      </x:c>
      <x:c r="W1922" s="87" t="str">
        <x:v>Официальный PDF</x:v>
      </x:c>
      <x:c r="X1922" s="87"/>
      <x:c r="Y1922" s="87"/>
      <x:c r="Z1922" s="87"/>
      <x:c r="AA1922" s="87"/>
      <x:c r="AB1922" s="87"/>
      <x:c r="AC1922" s="87"/>
      <x:c r="AD1922" s="87"/>
      <x:c r="AE1922" s="87"/>
      <x:c r="AF1922" s="87"/>
      <x:c r="AG1922" s="87"/>
      <x:c r="AH1922" s="87"/>
      <x:c r="AI1922" s="30"/>
      <x:c r="AJ1922" s="87" t="str">
        <x:v>master</x:v>
      </x:c>
      <x:c r="AK1922" s="87" t="str">
        <x:v>master-v0.81</x:v>
      </x:c>
      <x:c r="AL1922" s="87" t="str">
        <x:v>statgrad_master_base_v0_81_final(2).xlsx</x:v>
      </x:c>
      <x:c r="AM1922" s="87" t="str">
        <x:v>PHYS_Apr_V1</x:v>
      </x:c>
      <x:c r="AN1922" s="87" t="n">
        <x:v>14</x:v>
      </x:c>
    </x:row>
    <x:row r="1923">
      <x:c r="A1923" s="87" t="n">
        <x:v>1922</x:v>
      </x:c>
      <x:c r="B1923" s="87" t="str">
        <x:v>APR-PHYS-V1-014</x:v>
      </x:c>
      <x:c r="C1923" s="87" t="str">
        <x:v>СтатГрад</x:v>
      </x:c>
      <x:c r="D1923" s="87" t="str">
        <x:v>Апрель 2026</x:v>
      </x:c>
      <x:c r="E1923" s="87"/>
      <x:c r="F1923" s="87"/>
      <x:c r="G1923" s="87" t="str">
        <x:v>Физика</x:v>
      </x:c>
      <x:c r="H1923" s="87" t="n">
        <x:v>11</x:v>
      </x:c>
      <x:c r="I1923" s="87" t="str">
        <x:v>ТР №5</x:v>
      </x:c>
      <x:c r="J1923" s="87" t="str">
        <x:v>ФИ2510501</x:v>
      </x:c>
      <x:c r="K1923" s="87" t="n">
        <x:v>14</x:v>
      </x:c>
      <x:c r="L1923" s="87" t="str">
        <x:v>Сила Ампера</x:v>
      </x:c>
      <x:c r="M1923" s="30" t="str">
        <x:v>По рисункам с проводником в магнитном поле определить направления силы Ампера в двух случаях.</x:v>
      </x:c>
      <x:c r="N1923" s="30" t="str">
        <x:v>12</x:v>
      </x:c>
      <x:c r="O1923" s="30" t="str">
        <x:v>Направления определены по правилу левой руки; последовательность кодов — 12.</x:v>
      </x:c>
      <x:c r="P1923" s="30" t="str">
        <x:v>Оба рисунка проверены независимо.</x:v>
      </x:c>
      <x:c r="Q1923" s="30"/>
      <x:c r="R1923" s="30" t="str">
        <x:v>Официальные задания Запад + общий краткий ключ + независимое решение</x:v>
      </x:c>
      <x:c r="S1923" s="30"/>
      <x:c r="T1923" s="30"/>
      <x:c r="U1923" s="30" t="str">
        <x:v>Расхождений не обнаружено.</x:v>
      </x:c>
      <x:c r="V1923" s="87" t="str">
        <x:v>VERIFIED</x:v>
      </x:c>
      <x:c r="W1923" s="87" t="str">
        <x:v>Официальный PDF</x:v>
      </x:c>
      <x:c r="X1923" s="87"/>
      <x:c r="Y1923" s="87"/>
      <x:c r="Z1923" s="87"/>
      <x:c r="AA1923" s="87"/>
      <x:c r="AB1923" s="87"/>
      <x:c r="AC1923" s="87"/>
      <x:c r="AD1923" s="87"/>
      <x:c r="AE1923" s="87"/>
      <x:c r="AF1923" s="87"/>
      <x:c r="AG1923" s="87"/>
      <x:c r="AH1923" s="87"/>
      <x:c r="AI1923" s="30"/>
      <x:c r="AJ1923" s="87" t="str">
        <x:v>master</x:v>
      </x:c>
      <x:c r="AK1923" s="87" t="str">
        <x:v>master-v0.81</x:v>
      </x:c>
      <x:c r="AL1923" s="87" t="str">
        <x:v>statgrad_master_base_v0_81_final(2).xlsx</x:v>
      </x:c>
      <x:c r="AM1923" s="87" t="str">
        <x:v>PHYS_Apr_V1</x:v>
      </x:c>
      <x:c r="AN1923" s="87" t="n">
        <x:v>15</x:v>
      </x:c>
    </x:row>
    <x:row r="1924">
      <x:c r="A1924" s="87" t="n">
        <x:v>1923</x:v>
      </x:c>
      <x:c r="B1924" s="87" t="str">
        <x:v>APR-PHYS-V1-015</x:v>
      </x:c>
      <x:c r="C1924" s="87" t="str">
        <x:v>СтатГрад</x:v>
      </x:c>
      <x:c r="D1924" s="87" t="str">
        <x:v>Апрель 2026</x:v>
      </x:c>
      <x:c r="E1924" s="87"/>
      <x:c r="F1924" s="87"/>
      <x:c r="G1924" s="87" t="str">
        <x:v>Физика</x:v>
      </x:c>
      <x:c r="H1924" s="87" t="n">
        <x:v>11</x:v>
      </x:c>
      <x:c r="I1924" s="87" t="str">
        <x:v>ТР №5</x:v>
      </x:c>
      <x:c r="J1924" s="87" t="str">
        <x:v>ФИ2510501</x:v>
      </x:c>
      <x:c r="K1924" s="87" t="n">
        <x:v>15</x:v>
      </x:c>
      <x:c r="L1924" s="87" t="str">
        <x:v>Движение заряда в магнитном поле</x:v>
      </x:c>
      <x:c r="M1924" s="30" t="str">
        <x:v>Соотнести физические величины при движении заряженной частицы по окружности с формулами.</x:v>
      </x:c>
      <x:c r="N1924" s="30" t="str">
        <x:v>43</x:v>
      </x:c>
      <x:c r="O1924" s="30" t="str">
        <x:v>Радиус выражается через mv/(|q|B), период — через 2πm/(|q|B); соответствие даёт 43.</x:v>
      </x:c>
      <x:c r="P1924" s="30" t="str">
        <x:v>Радиус выражается через mv/(|q|B), период — через 2πm/(|q|B); соответствие даёт 43.</x:v>
      </x:c>
      <x:c r="Q1924" s="30"/>
      <x:c r="R1924" s="30" t="str">
        <x:v>Официальные задания Запад + общий краткий ключ + независимое решение</x:v>
      </x:c>
      <x:c r="S1924" s="30"/>
      <x:c r="T1924" s="30"/>
      <x:c r="U1924" s="30" t="str">
        <x:v>Расхождений не обнаружено.</x:v>
      </x:c>
      <x:c r="V1924" s="87" t="str">
        <x:v>VERIFIED</x:v>
      </x:c>
      <x:c r="W1924" s="87" t="str">
        <x:v>Официальный PDF</x:v>
      </x:c>
      <x:c r="X1924" s="87"/>
      <x:c r="Y1924" s="87"/>
      <x:c r="Z1924" s="87"/>
      <x:c r="AA1924" s="87"/>
      <x:c r="AB1924" s="87"/>
      <x:c r="AC1924" s="87"/>
      <x:c r="AD1924" s="87"/>
      <x:c r="AE1924" s="87"/>
      <x:c r="AF1924" s="87"/>
      <x:c r="AG1924" s="87"/>
      <x:c r="AH1924" s="87"/>
      <x:c r="AI1924" s="30"/>
      <x:c r="AJ1924" s="87" t="str">
        <x:v>master</x:v>
      </x:c>
      <x:c r="AK1924" s="87" t="str">
        <x:v>master-v0.81</x:v>
      </x:c>
      <x:c r="AL1924" s="87" t="str">
        <x:v>statgrad_master_base_v0_81_final(2).xlsx</x:v>
      </x:c>
      <x:c r="AM1924" s="87" t="str">
        <x:v>PHYS_Apr_V1</x:v>
      </x:c>
      <x:c r="AN1924" s="87" t="n">
        <x:v>16</x:v>
      </x:c>
    </x:row>
    <x:row r="1925">
      <x:c r="A1925" s="87" t="n">
        <x:v>1924</x:v>
      </x:c>
      <x:c r="B1925" s="87" t="str">
        <x:v>APR-PHYS-V1-016</x:v>
      </x:c>
      <x:c r="C1925" s="87" t="str">
        <x:v>СтатГрад</x:v>
      </x:c>
      <x:c r="D1925" s="87" t="str">
        <x:v>Апрель 2026</x:v>
      </x:c>
      <x:c r="E1925" s="87"/>
      <x:c r="F1925" s="87"/>
      <x:c r="G1925" s="87" t="str">
        <x:v>Физика</x:v>
      </x:c>
      <x:c r="H1925" s="87" t="n">
        <x:v>11</x:v>
      </x:c>
      <x:c r="I1925" s="87" t="str">
        <x:v>ТР №5</x:v>
      </x:c>
      <x:c r="J1925" s="87" t="str">
        <x:v>ФИ2510501</x:v>
      </x:c>
      <x:c r="K1925" s="87" t="n">
        <x:v>16</x:v>
      </x:c>
      <x:c r="L1925" s="87" t="str">
        <x:v>Ядерная физика</x:v>
      </x:c>
      <x:c r="M1925" s="30" t="str">
        <x:v>Определить число нуклонов в ядре радия-224.</x:v>
      </x:c>
      <x:c r="N1925" s="30" t="str">
        <x:v>224</x:v>
      </x:c>
      <x:c r="O1925" s="30" t="str">
        <x:v>Число нуклонов равно массовому числу изотопа: 224.</x:v>
      </x:c>
      <x:c r="P1925" s="30" t="str">
        <x:v>Число нуклонов равно массовому числу изотопа: 224.</x:v>
      </x:c>
      <x:c r="Q1925" s="30"/>
      <x:c r="R1925" s="30" t="str">
        <x:v>Официальные задания Запад + общий краткий ключ + независимое решение</x:v>
      </x:c>
      <x:c r="S1925" s="30"/>
      <x:c r="T1925" s="30"/>
      <x:c r="U1925" s="30" t="str">
        <x:v>Расхождений не обнаружено.</x:v>
      </x:c>
      <x:c r="V1925" s="87" t="str">
        <x:v>VERIFIED</x:v>
      </x:c>
      <x:c r="W1925" s="87" t="str">
        <x:v>Официальный PDF</x:v>
      </x:c>
      <x:c r="X1925" s="87"/>
      <x:c r="Y1925" s="87"/>
      <x:c r="Z1925" s="87"/>
      <x:c r="AA1925" s="87"/>
      <x:c r="AB1925" s="87"/>
      <x:c r="AC1925" s="87"/>
      <x:c r="AD1925" s="87"/>
      <x:c r="AE1925" s="87"/>
      <x:c r="AF1925" s="87"/>
      <x:c r="AG1925" s="87"/>
      <x:c r="AH1925" s="87"/>
      <x:c r="AI1925" s="30"/>
      <x:c r="AJ1925" s="87" t="str">
        <x:v>master</x:v>
      </x:c>
      <x:c r="AK1925" s="87" t="str">
        <x:v>master-v0.81</x:v>
      </x:c>
      <x:c r="AL1925" s="87" t="str">
        <x:v>statgrad_master_base_v0_81_final(2).xlsx</x:v>
      </x:c>
      <x:c r="AM1925" s="87" t="str">
        <x:v>PHYS_Apr_V1</x:v>
      </x:c>
      <x:c r="AN1925" s="87" t="n">
        <x:v>17</x:v>
      </x:c>
    </x:row>
    <x:row r="1926">
      <x:c r="A1926" s="87" t="n">
        <x:v>1925</x:v>
      </x:c>
      <x:c r="B1926" s="87" t="str">
        <x:v>APR-PHYS-V1-017</x:v>
      </x:c>
      <x:c r="C1926" s="87" t="str">
        <x:v>СтатГрад</x:v>
      </x:c>
      <x:c r="D1926" s="87" t="str">
        <x:v>Апрель 2026</x:v>
      </x:c>
      <x:c r="E1926" s="87"/>
      <x:c r="F1926" s="87"/>
      <x:c r="G1926" s="87" t="str">
        <x:v>Физика</x:v>
      </x:c>
      <x:c r="H1926" s="87" t="n">
        <x:v>11</x:v>
      </x:c>
      <x:c r="I1926" s="87" t="str">
        <x:v>ТР №5</x:v>
      </x:c>
      <x:c r="J1926" s="87" t="str">
        <x:v>ФИ2510501</x:v>
      </x:c>
      <x:c r="K1926" s="87" t="n">
        <x:v>17</x:v>
      </x:c>
      <x:c r="L1926" s="87" t="str">
        <x:v>Спектр атома водорода</x:v>
      </x:c>
      <x:c r="M1926" s="30" t="str">
        <x:v>По схеме уровней энергии определить переход максимальной частоты поглощения и максимальной длины волны излучения.</x:v>
      </x:c>
      <x:c r="N1926" s="30" t="str">
        <x:v>14</x:v>
      </x:c>
      <x:c r="O1926" s="30" t="str">
        <x:v>Максимальная частота соответствует наибольшему поглощаемому кванту, максимальная длина волны — наименьшему излучаемому; коды 1 и 4.</x:v>
      </x:c>
      <x:c r="P1926" s="30" t="str">
        <x:v>Максимальная частота соответствует наибольшему поглощаемому кванту, максимальная длина волны — наименьшему излучаемому; коды 1 и 4.</x:v>
      </x:c>
      <x:c r="Q1926" s="30"/>
      <x:c r="R1926" s="30" t="str">
        <x:v>Официальные задания Запад + общий краткий ключ + независимое решение</x:v>
      </x:c>
      <x:c r="S1926" s="30"/>
      <x:c r="T1926" s="30"/>
      <x:c r="U1926" s="30" t="str">
        <x:v>Расхождений не обнаружено.</x:v>
      </x:c>
      <x:c r="V1926" s="87" t="str">
        <x:v>VERIFIED</x:v>
      </x:c>
      <x:c r="W1926" s="87" t="str">
        <x:v>Официальный PDF</x:v>
      </x:c>
      <x:c r="X1926" s="87"/>
      <x:c r="Y1926" s="87"/>
      <x:c r="Z1926" s="87"/>
      <x:c r="AA1926" s="87"/>
      <x:c r="AB1926" s="87"/>
      <x:c r="AC1926" s="87"/>
      <x:c r="AD1926" s="87"/>
      <x:c r="AE1926" s="87"/>
      <x:c r="AF1926" s="87"/>
      <x:c r="AG1926" s="87"/>
      <x:c r="AH1926" s="87"/>
      <x:c r="AI1926" s="30"/>
      <x:c r="AJ1926" s="87" t="str">
        <x:v>master</x:v>
      </x:c>
      <x:c r="AK1926" s="87" t="str">
        <x:v>master-v0.81</x:v>
      </x:c>
      <x:c r="AL1926" s="87" t="str">
        <x:v>statgrad_master_base_v0_81_final(2).xlsx</x:v>
      </x:c>
      <x:c r="AM1926" s="87" t="str">
        <x:v>PHYS_Apr_V1</x:v>
      </x:c>
      <x:c r="AN1926" s="87" t="n">
        <x:v>18</x:v>
      </x:c>
    </x:row>
    <x:row r="1927">
      <x:c r="A1927" s="87" t="n">
        <x:v>1926</x:v>
      </x:c>
      <x:c r="B1927" s="87" t="str">
        <x:v>APR-PHYS-V1-018</x:v>
      </x:c>
      <x:c r="C1927" s="87" t="str">
        <x:v>СтатГрад</x:v>
      </x:c>
      <x:c r="D1927" s="87" t="str">
        <x:v>Апрель 2026</x:v>
      </x:c>
      <x:c r="E1927" s="87"/>
      <x:c r="F1927" s="87"/>
      <x:c r="G1927" s="87" t="str">
        <x:v>Физика</x:v>
      </x:c>
      <x:c r="H1927" s="87" t="n">
        <x:v>11</x:v>
      </x:c>
      <x:c r="I1927" s="87" t="str">
        <x:v>ТР №5</x:v>
      </x:c>
      <x:c r="J1927" s="87" t="str">
        <x:v>ФИ2510501</x:v>
      </x:c>
      <x:c r="K1927" s="87" t="n">
        <x:v>18</x:v>
      </x:c>
      <x:c r="L1927" s="87" t="str">
        <x:v>Фотоэффект и квантовая физика</x:v>
      </x:c>
      <x:c r="M1927" s="30" t="str">
        <x:v>Выбрать верные утверждения по представленным зависимостям и законам квантовой физики.</x:v>
      </x:c>
      <x:c r="N1927" s="30" t="str">
        <x:v>23</x:v>
      </x:c>
      <x:c r="O1927" s="30" t="str">
        <x:v>Утверждения 2 и 3 согласуются с уравнением Эйнштейна для фотоэффекта и свойствами фотона.</x:v>
      </x:c>
      <x:c r="P1927" s="30" t="str">
        <x:v>Утверждения 2 и 3 согласуются с уравнением Эйнштейна для фотоэффекта и свойствами фотона.</x:v>
      </x:c>
      <x:c r="Q1927" s="30"/>
      <x:c r="R1927" s="30" t="str">
        <x:v>Официальные задания Запад + общий краткий ключ + независимое решение</x:v>
      </x:c>
      <x:c r="S1927" s="30"/>
      <x:c r="T1927" s="30"/>
      <x:c r="U1927" s="30" t="str">
        <x:v>Расхождений не обнаружено.</x:v>
      </x:c>
      <x:c r="V1927" s="87" t="str">
        <x:v>VERIFIED</x:v>
      </x:c>
      <x:c r="W1927" s="87" t="str">
        <x:v>Официальный PDF</x:v>
      </x:c>
      <x:c r="X1927" s="87"/>
      <x:c r="Y1927" s="87"/>
      <x:c r="Z1927" s="87"/>
      <x:c r="AA1927" s="87"/>
      <x:c r="AB1927" s="87"/>
      <x:c r="AC1927" s="87"/>
      <x:c r="AD1927" s="87"/>
      <x:c r="AE1927" s="87"/>
      <x:c r="AF1927" s="87"/>
      <x:c r="AG1927" s="87"/>
      <x:c r="AH1927" s="87"/>
      <x:c r="AI1927" s="30"/>
      <x:c r="AJ1927" s="87" t="str">
        <x:v>master</x:v>
      </x:c>
      <x:c r="AK1927" s="87" t="str">
        <x:v>master-v0.81</x:v>
      </x:c>
      <x:c r="AL1927" s="87" t="str">
        <x:v>statgrad_master_base_v0_81_final(2).xlsx</x:v>
      </x:c>
      <x:c r="AM1927" s="87" t="str">
        <x:v>PHYS_Apr_V1</x:v>
      </x:c>
      <x:c r="AN1927" s="87" t="n">
        <x:v>19</x:v>
      </x:c>
    </x:row>
    <x:row r="1928">
      <x:c r="A1928" s="87" t="n">
        <x:v>1927</x:v>
      </x:c>
      <x:c r="B1928" s="87" t="str">
        <x:v>APR-PHYS-V1-019</x:v>
      </x:c>
      <x:c r="C1928" s="87" t="str">
        <x:v>СтатГрад</x:v>
      </x:c>
      <x:c r="D1928" s="87" t="str">
        <x:v>Апрель 2026</x:v>
      </x:c>
      <x:c r="E1928" s="87"/>
      <x:c r="F1928" s="87"/>
      <x:c r="G1928" s="87" t="str">
        <x:v>Физика</x:v>
      </x:c>
      <x:c r="H1928" s="87" t="n">
        <x:v>11</x:v>
      </x:c>
      <x:c r="I1928" s="87" t="str">
        <x:v>ТР №5</x:v>
      </x:c>
      <x:c r="J1928" s="87" t="str">
        <x:v>ФИ2510501</x:v>
      </x:c>
      <x:c r="K1928" s="87" t="n">
        <x:v>19</x:v>
      </x:c>
      <x:c r="L1928" s="87" t="str">
        <x:v>Снятие показаний прибора</x:v>
      </x:c>
      <x:c r="M1928" s="30" t="str">
        <x:v>Определить показание динамометра с учётом погрешности.</x:v>
      </x:c>
      <x:c r="N1928" s="30" t="str">
        <x:v>(3,4±0,2)</x:v>
      </x:c>
      <x:c r="O1928" s="30" t="str">
        <x:v>Цена деления и положение стрелки дают 3,4 Н; инструментальная погрешность принимается 0,2 Н.</x:v>
      </x:c>
      <x:c r="P1928" s="30" t="str">
        <x:v>Шкала прибора проверена по оригинальному изображению.</x:v>
      </x:c>
      <x:c r="Q1928" s="30"/>
      <x:c r="R1928" s="30" t="str">
        <x:v>Официальные задания Запад + общий краткий ключ + независимое решение</x:v>
      </x:c>
      <x:c r="S1928" s="30"/>
      <x:c r="T1928" s="30"/>
      <x:c r="U1928" s="30" t="str">
        <x:v>Расхождений не обнаружено.</x:v>
      </x:c>
      <x:c r="V1928" s="87" t="str">
        <x:v>VERIFIED</x:v>
      </x:c>
      <x:c r="W1928" s="87" t="str">
        <x:v>PDF 501, задание 19</x:v>
      </x:c>
      <x:c r="X1928" s="87"/>
      <x:c r="Y1928" s="87"/>
      <x:c r="Z1928" s="87"/>
      <x:c r="AA1928" s="87"/>
      <x:c r="AB1928" s="87"/>
      <x:c r="AC1928" s="87"/>
      <x:c r="AD1928" s="87"/>
      <x:c r="AE1928" s="87"/>
      <x:c r="AF1928" s="87"/>
      <x:c r="AG1928" s="87"/>
      <x:c r="AH1928" s="87"/>
      <x:c r="AI1928" s="30"/>
      <x:c r="AJ1928" s="87" t="str">
        <x:v>master</x:v>
      </x:c>
      <x:c r="AK1928" s="87" t="str">
        <x:v>master-v0.81</x:v>
      </x:c>
      <x:c r="AL1928" s="87" t="str">
        <x:v>statgrad_master_base_v0_81_final(2).xlsx</x:v>
      </x:c>
      <x:c r="AM1928" s="87" t="str">
        <x:v>PHYS_Apr_V1</x:v>
      </x:c>
      <x:c r="AN1928" s="87" t="n">
        <x:v>20</x:v>
      </x:c>
    </x:row>
    <x:row r="1929">
      <x:c r="A1929" s="87" t="n">
        <x:v>1928</x:v>
      </x:c>
      <x:c r="B1929" s="87" t="str">
        <x:v>APR-PHYS-V1-020</x:v>
      </x:c>
      <x:c r="C1929" s="87" t="str">
        <x:v>СтатГрад</x:v>
      </x:c>
      <x:c r="D1929" s="87" t="str">
        <x:v>Апрель 2026</x:v>
      </x:c>
      <x:c r="E1929" s="87"/>
      <x:c r="F1929" s="87"/>
      <x:c r="G1929" s="87" t="str">
        <x:v>Физика</x:v>
      </x:c>
      <x:c r="H1929" s="87" t="n">
        <x:v>11</x:v>
      </x:c>
      <x:c r="I1929" s="87" t="str">
        <x:v>ТР №5</x:v>
      </x:c>
      <x:c r="J1929" s="87" t="str">
        <x:v>ФИ2510501</x:v>
      </x:c>
      <x:c r="K1929" s="87" t="n">
        <x:v>20</x:v>
      </x:c>
      <x:c r="L1929" s="87" t="str">
        <x:v>Оптический эксперимент</x:v>
      </x:c>
      <x:c r="M1929" s="30" t="str">
        <x:v>Выбрать установку, позволяющую исследовать зависимость требуемой величины от оптической силы линзы.</x:v>
      </x:c>
      <x:c r="N1929" s="30" t="str">
        <x:v>15</x:v>
      </x:c>
      <x:c r="O1929" s="30" t="str">
        <x:v>Для изменения только оптической силы используются установки 1 и 5, где остальные существенные параметры сохранены.</x:v>
      </x:c>
      <x:c r="P1929" s="30" t="str">
        <x:v>Для изменения только оптической силы используются установки 1 и 5, где остальные существенные параметры сохранены.</x:v>
      </x:c>
      <x:c r="Q1929" s="30"/>
      <x:c r="R1929" s="30" t="str">
        <x:v>Официальные задания Запад + общий краткий ключ + независимое решение</x:v>
      </x:c>
      <x:c r="S1929" s="30"/>
      <x:c r="T1929" s="30"/>
      <x:c r="U1929" s="30" t="str">
        <x:v>Расхождений не обнаружено.</x:v>
      </x:c>
      <x:c r="V1929" s="87" t="str">
        <x:v>VERIFIED</x:v>
      </x:c>
      <x:c r="W1929" s="87" t="str">
        <x:v>Официальный PDF</x:v>
      </x:c>
      <x:c r="X1929" s="87"/>
      <x:c r="Y1929" s="87"/>
      <x:c r="Z1929" s="87"/>
      <x:c r="AA1929" s="87"/>
      <x:c r="AB1929" s="87"/>
      <x:c r="AC1929" s="87"/>
      <x:c r="AD1929" s="87"/>
      <x:c r="AE1929" s="87"/>
      <x:c r="AF1929" s="87"/>
      <x:c r="AG1929" s="87"/>
      <x:c r="AH1929" s="87"/>
      <x:c r="AI1929" s="30"/>
      <x:c r="AJ1929" s="87" t="str">
        <x:v>master</x:v>
      </x:c>
      <x:c r="AK1929" s="87" t="str">
        <x:v>master-v0.81</x:v>
      </x:c>
      <x:c r="AL1929" s="87" t="str">
        <x:v>statgrad_master_base_v0_81_final(2).xlsx</x:v>
      </x:c>
      <x:c r="AM1929" s="87" t="str">
        <x:v>PHYS_Apr_V1</x:v>
      </x:c>
      <x:c r="AN1929" s="87" t="n">
        <x:v>21</x:v>
      </x:c>
    </x:row>
    <x:row r="1930">
      <x:c r="A1930" s="87" t="n">
        <x:v>1929</x:v>
      </x:c>
      <x:c r="B1930" s="87" t="str">
        <x:v>APR-PHYS-V1-021</x:v>
      </x:c>
      <x:c r="C1930" s="87" t="str">
        <x:v>СтатГрад</x:v>
      </x:c>
      <x:c r="D1930" s="87" t="str">
        <x:v>Апрель 2026</x:v>
      </x:c>
      <x:c r="E1930" s="87"/>
      <x:c r="F1930" s="87"/>
      <x:c r="G1930" s="87" t="str">
        <x:v>Физика</x:v>
      </x:c>
      <x:c r="H1930" s="87" t="n">
        <x:v>11</x:v>
      </x:c>
      <x:c r="I1930" s="87" t="str">
        <x:v>ТР №5</x:v>
      </x:c>
      <x:c r="J1930" s="87" t="str">
        <x:v>ФИ2510501</x:v>
      </x:c>
      <x:c r="K1930" s="87" t="n">
        <x:v>21</x:v>
      </x:c>
      <x:c r="L1930" s="87" t="str">
        <x:v>Термодинамический процесс по p–T</x:v>
      </x:c>
      <x:c r="M1930" s="30" t="str">
        <x:v>Для процессов 1→2 и 2→3 на графике p(T) определить изменения объёма и внутренней энергии газа.</x:v>
      </x:c>
      <x:c r="N1930" s="30" t="str">
        <x:v>1→2: V const, U увеличивается; 2→3: V увеличивается, U увеличивается</x:v>
      </x:c>
      <x:c r="O1930" s="30" t="str">
        <x:v>Участок 1→2 лежит на прямой через начало координат, поэтому процесс изохорный; температура растёт. Участок 2→3 изобарный, при росте T объём и внутренняя энергия увеличиваются.</x:v>
      </x:c>
      <x:c r="P1930" s="30" t="str">
        <x:v>Модель полностью совпала с официальным критерием.</x:v>
      </x:c>
      <x:c r="Q1930" s="30"/>
      <x:c r="R1930" s="30" t="str">
        <x:v>Официальные задания Запад + общий краткий ключ + независимое решение</x:v>
      </x:c>
      <x:c r="S1930" s="30"/>
      <x:c r="T1930" s="30"/>
      <x:c r="U1930" s="30" t="str">
        <x:v>Расхождений не обнаружено.</x:v>
      </x:c>
      <x:c r="V1930" s="87" t="str">
        <x:v>VERIFIED</x:v>
      </x:c>
      <x:c r="W1930" s="87" t="str">
        <x:v>Официальный PDF</x:v>
      </x:c>
      <x:c r="X1930" s="87"/>
      <x:c r="Y1930" s="87"/>
      <x:c r="Z1930" s="87"/>
      <x:c r="AA1930" s="87"/>
      <x:c r="AB1930" s="87"/>
      <x:c r="AC1930" s="87"/>
      <x:c r="AD1930" s="87"/>
      <x:c r="AE1930" s="87"/>
      <x:c r="AF1930" s="87"/>
      <x:c r="AG1930" s="87"/>
      <x:c r="AH1930" s="87"/>
      <x:c r="AI1930" s="30"/>
      <x:c r="AJ1930" s="87" t="str">
        <x:v>master</x:v>
      </x:c>
      <x:c r="AK1930" s="87" t="str">
        <x:v>master-v0.81</x:v>
      </x:c>
      <x:c r="AL1930" s="87" t="str">
        <x:v>statgrad_master_base_v0_81_final(2).xlsx</x:v>
      </x:c>
      <x:c r="AM1930" s="87" t="str">
        <x:v>PHYS_Apr_V1</x:v>
      </x:c>
      <x:c r="AN1930" s="87" t="n">
        <x:v>22</x:v>
      </x:c>
    </x:row>
    <x:row r="1931">
      <x:c r="A1931" s="87" t="n">
        <x:v>1930</x:v>
      </x:c>
      <x:c r="B1931" s="87" t="str">
        <x:v>APR-PHYS-V1-022</x:v>
      </x:c>
      <x:c r="C1931" s="87" t="str">
        <x:v>СтатГрад</x:v>
      </x:c>
      <x:c r="D1931" s="87" t="str">
        <x:v>Апрель 2026</x:v>
      </x:c>
      <x:c r="E1931" s="87"/>
      <x:c r="F1931" s="87"/>
      <x:c r="G1931" s="87" t="str">
        <x:v>Физика</x:v>
      </x:c>
      <x:c r="H1931" s="87" t="n">
        <x:v>11</x:v>
      </x:c>
      <x:c r="I1931" s="87" t="str">
        <x:v>ТР №5</x:v>
      </x:c>
      <x:c r="J1931" s="87" t="str">
        <x:v>ФИ2510501</x:v>
      </x:c>
      <x:c r="K1931" s="87" t="n">
        <x:v>22</x:v>
      </x:c>
      <x:c r="L1931" s="87" t="str">
        <x:v>Баллистическое движение</x:v>
      </x:c>
      <x:c r="M1931" s="30" t="str">
        <x:v>Тело брошено горизонтально и упало через 4 с на расстоянии 20 м. Найти минимальную начальную скорость.</x:v>
      </x:c>
      <x:c r="N1931" s="30" t="str">
        <x:v>5 м/с</x:v>
      </x:c>
      <x:c r="O1931" s="30" t="str">
        <x:v>Горизонтальная скорость постоянна: v₀=L/t=20/4=5 м/с.</x:v>
      </x:c>
      <x:c r="P1931" s="30" t="str">
        <x:v>Горизонтальная скорость постоянна: v₀=L/t=20/4=5 м/с.</x:v>
      </x:c>
      <x:c r="Q1931" s="30"/>
      <x:c r="R1931" s="30" t="str">
        <x:v>Официальные задания Запад + общий краткий ключ + независимое решение</x:v>
      </x:c>
      <x:c r="S1931" s="30"/>
      <x:c r="T1931" s="30"/>
      <x:c r="U1931" s="30" t="str">
        <x:v>Расхождений не обнаружено.</x:v>
      </x:c>
      <x:c r="V1931" s="87" t="str">
        <x:v>VERIFIED</x:v>
      </x:c>
      <x:c r="W1931" s="87" t="str">
        <x:v>Официальный PDF</x:v>
      </x:c>
      <x:c r="X1931" s="87"/>
      <x:c r="Y1931" s="87"/>
      <x:c r="Z1931" s="87"/>
      <x:c r="AA1931" s="87"/>
      <x:c r="AB1931" s="87"/>
      <x:c r="AC1931" s="87"/>
      <x:c r="AD1931" s="87"/>
      <x:c r="AE1931" s="87"/>
      <x:c r="AF1931" s="87"/>
      <x:c r="AG1931" s="87"/>
      <x:c r="AH1931" s="87"/>
      <x:c r="AI1931" s="30"/>
      <x:c r="AJ1931" s="87" t="str">
        <x:v>master</x:v>
      </x:c>
      <x:c r="AK1931" s="87" t="str">
        <x:v>master-v0.81</x:v>
      </x:c>
      <x:c r="AL1931" s="87" t="str">
        <x:v>statgrad_master_base_v0_81_final(2).xlsx</x:v>
      </x:c>
      <x:c r="AM1931" s="87" t="str">
        <x:v>PHYS_Apr_V1</x:v>
      </x:c>
      <x:c r="AN1931" s="87" t="n">
        <x:v>23</x:v>
      </x:c>
    </x:row>
    <x:row r="1932">
      <x:c r="A1932" s="87" t="n">
        <x:v>1931</x:v>
      </x:c>
      <x:c r="B1932" s="87" t="str">
        <x:v>APR-PHYS-V1-023</x:v>
      </x:c>
      <x:c r="C1932" s="87" t="str">
        <x:v>СтатГрад</x:v>
      </x:c>
      <x:c r="D1932" s="87" t="str">
        <x:v>Апрель 2026</x:v>
      </x:c>
      <x:c r="E1932" s="87"/>
      <x:c r="F1932" s="87"/>
      <x:c r="G1932" s="87" t="str">
        <x:v>Физика</x:v>
      </x:c>
      <x:c r="H1932" s="87" t="n">
        <x:v>11</x:v>
      </x:c>
      <x:c r="I1932" s="87" t="str">
        <x:v>ТР №5</x:v>
      </x:c>
      <x:c r="J1932" s="87" t="str">
        <x:v>ФИ2510501</x:v>
      </x:c>
      <x:c r="K1932" s="87" t="n">
        <x:v>23</x:v>
      </x:c>
      <x:c r="L1932" s="87" t="str">
        <x:v>Электромагнитные колебания</x:v>
      </x:c>
      <x:c r="M1932" s="30" t="str">
        <x:v>Максимальный ток в контуре 1,4 мА. В некоторый момент магнитная энергия вдвое больше электрической. Найти ток.</x:v>
      </x:c>
      <x:c r="N1932" s="30" t="str">
        <x:v>1,14 мА</x:v>
      </x:c>
      <x:c r="O1932" s="30" t="str">
        <x:v>Полная энергия пропорциональна Imax². При Wм=2Wэ магнитная энергия равна 2/3 полной, поэтому I=Imax√(2/3)≈1,14 мА.</x:v>
      </x:c>
      <x:c r="P1932" s="30" t="str">
        <x:v>Полная энергия пропорциональна Imax². При Wм=2Wэ магнитная энергия равна 2/3 полной, поэтому I=Imax√(2/3)≈1,14 мА.</x:v>
      </x:c>
      <x:c r="Q1932" s="30"/>
      <x:c r="R1932" s="30" t="str">
        <x:v>Официальные задания Запад + общий краткий ключ + независимое решение</x:v>
      </x:c>
      <x:c r="S1932" s="30"/>
      <x:c r="T1932" s="30"/>
      <x:c r="U1932" s="30" t="str">
        <x:v>Расхождений не обнаружено.</x:v>
      </x:c>
      <x:c r="V1932" s="87" t="str">
        <x:v>VERIFIED</x:v>
      </x:c>
      <x:c r="W1932" s="87" t="str">
        <x:v>Официальный PDF</x:v>
      </x:c>
      <x:c r="X1932" s="87"/>
      <x:c r="Y1932" s="87"/>
      <x:c r="Z1932" s="87"/>
      <x:c r="AA1932" s="87"/>
      <x:c r="AB1932" s="87"/>
      <x:c r="AC1932" s="87"/>
      <x:c r="AD1932" s="87"/>
      <x:c r="AE1932" s="87"/>
      <x:c r="AF1932" s="87"/>
      <x:c r="AG1932" s="87"/>
      <x:c r="AH1932" s="87"/>
      <x:c r="AI1932" s="30"/>
      <x:c r="AJ1932" s="87" t="str">
        <x:v>master</x:v>
      </x:c>
      <x:c r="AK1932" s="87" t="str">
        <x:v>master-v0.81</x:v>
      </x:c>
      <x:c r="AL1932" s="87" t="str">
        <x:v>statgrad_master_base_v0_81_final(2).xlsx</x:v>
      </x:c>
      <x:c r="AM1932" s="87" t="str">
        <x:v>PHYS_Apr_V1</x:v>
      </x:c>
      <x:c r="AN1932" s="87" t="n">
        <x:v>24</x:v>
      </x:c>
    </x:row>
    <x:row r="1933">
      <x:c r="A1933" s="87" t="n">
        <x:v>1932</x:v>
      </x:c>
      <x:c r="B1933" s="87" t="str">
        <x:v>APR-PHYS-V1-024</x:v>
      </x:c>
      <x:c r="C1933" s="87" t="str">
        <x:v>СтатГрад</x:v>
      </x:c>
      <x:c r="D1933" s="87" t="str">
        <x:v>Апрель 2026</x:v>
      </x:c>
      <x:c r="E1933" s="87"/>
      <x:c r="F1933" s="87"/>
      <x:c r="G1933" s="87" t="str">
        <x:v>Физика</x:v>
      </x:c>
      <x:c r="H1933" s="87" t="n">
        <x:v>11</x:v>
      </x:c>
      <x:c r="I1933" s="87" t="str">
        <x:v>ТР №5</x:v>
      </x:c>
      <x:c r="J1933" s="87" t="str">
        <x:v>ФИ2510501</x:v>
      </x:c>
      <x:c r="K1933" s="87" t="n">
        <x:v>24</x:v>
      </x:c>
      <x:c r="L1933" s="87" t="str">
        <x:v>Термодинамика под поршнем</x:v>
      </x:c>
      <x:c r="M1933" s="30" t="str">
        <x:v>Газ под поршнем: S=0,5 м², масса поршня 1 т, V₁=1 м³, среднеквадратичная скорость молекул увеличилась на 40%, атмосферное давление 98,4 кПа. Найти сообщённую теплоту.</x:v>
      </x:c>
      <x:c r="N1933" s="30" t="str">
        <x:v>284 кДж</x:v>
      </x:c>
      <x:c r="O1933" s="30" t="str">
        <x:v>Температура пропорциональна квадрату скорости: T₂/T₁=1,4²=1,96. Давление постоянно, значит V₂=1,96V₁. По первому закону термодинамики Q=ΔU+A≈284 кДж.</x:v>
      </x:c>
      <x:c r="P1933" s="30" t="str">
        <x:v>Расчёт и округление сверены с официальной моделью.</x:v>
      </x:c>
      <x:c r="Q1933" s="30"/>
      <x:c r="R1933" s="30" t="str">
        <x:v>Официальные задания Запад + общий краткий ключ + независимое решение</x:v>
      </x:c>
      <x:c r="S1933" s="30"/>
      <x:c r="T1933" s="30"/>
      <x:c r="U1933" s="30" t="str">
        <x:v>Расхождений не обнаружено.</x:v>
      </x:c>
      <x:c r="V1933" s="87" t="str">
        <x:v>VERIFIED</x:v>
      </x:c>
      <x:c r="W1933" s="87" t="str">
        <x:v>Официальный PDF</x:v>
      </x:c>
      <x:c r="X1933" s="87"/>
      <x:c r="Y1933" s="87"/>
      <x:c r="Z1933" s="87"/>
      <x:c r="AA1933" s="87"/>
      <x:c r="AB1933" s="87"/>
      <x:c r="AC1933" s="87"/>
      <x:c r="AD1933" s="87"/>
      <x:c r="AE1933" s="87"/>
      <x:c r="AF1933" s="87"/>
      <x:c r="AG1933" s="87"/>
      <x:c r="AH1933" s="87"/>
      <x:c r="AI1933" s="30"/>
      <x:c r="AJ1933" s="87" t="str">
        <x:v>master</x:v>
      </x:c>
      <x:c r="AK1933" s="87" t="str">
        <x:v>master-v0.81</x:v>
      </x:c>
      <x:c r="AL1933" s="87" t="str">
        <x:v>statgrad_master_base_v0_81_final(2).xlsx</x:v>
      </x:c>
      <x:c r="AM1933" s="87" t="str">
        <x:v>PHYS_Apr_V1</x:v>
      </x:c>
      <x:c r="AN1933" s="87" t="n">
        <x:v>25</x:v>
      </x:c>
    </x:row>
    <x:row r="1934">
      <x:c r="A1934" s="87" t="n">
        <x:v>1933</x:v>
      </x:c>
      <x:c r="B1934" s="87" t="str">
        <x:v>APR-PHYS-V1-025</x:v>
      </x:c>
      <x:c r="C1934" s="87" t="str">
        <x:v>СтатГрад</x:v>
      </x:c>
      <x:c r="D1934" s="87" t="str">
        <x:v>Апрель 2026</x:v>
      </x:c>
      <x:c r="E1934" s="87"/>
      <x:c r="F1934" s="87"/>
      <x:c r="G1934" s="87" t="str">
        <x:v>Физика</x:v>
      </x:c>
      <x:c r="H1934" s="87" t="n">
        <x:v>11</x:v>
      </x:c>
      <x:c r="I1934" s="87" t="str">
        <x:v>ТР №5</x:v>
      </x:c>
      <x:c r="J1934" s="87" t="str">
        <x:v>ФИ2510501</x:v>
      </x:c>
      <x:c r="K1934" s="87" t="n">
        <x:v>25</x:v>
      </x:c>
      <x:c r="L1934" s="87" t="str">
        <x:v>Линза и плоское зеркало</x:v>
      </x:c>
      <x:c r="M1934" s="30" t="str">
        <x:v>Собирающая линза F=30 см, зеркало на расстоянии 30 см от линзы, источник на расстоянии 45 см перед линзой. Найти положение окончательного изображения.</x:v>
      </x:c>
      <x:c r="N1934" s="30" t="str">
        <x:v>15 см от линзы со стороны источника</x:v>
      </x:c>
      <x:c r="O1934" s="30" t="str">
        <x:v>Первое изображение линзы получается за зеркалом; после отражения зеркало создаёт предмет для обратного хода лучей. Повторное применение формулы линзы даёт изображение в 15 см слева от линзы.</x:v>
      </x:c>
      <x:c r="P1934" s="30" t="str">
        <x:v>Построение и знаки расстояний сверены с официальным решением.</x:v>
      </x:c>
      <x:c r="Q1934" s="30"/>
      <x:c r="R1934" s="30" t="str">
        <x:v>Официальные задания Запад + общий краткий ключ + независимое решение</x:v>
      </x:c>
      <x:c r="S1934" s="30"/>
      <x:c r="T1934" s="30"/>
      <x:c r="U1934" s="30" t="str">
        <x:v>Расхождений не обнаружено.</x:v>
      </x:c>
      <x:c r="V1934" s="87" t="str">
        <x:v>VERIFIED</x:v>
      </x:c>
      <x:c r="W1934" s="87" t="str">
        <x:v>Официальный PDF</x:v>
      </x:c>
      <x:c r="X1934" s="87"/>
      <x:c r="Y1934" s="87"/>
      <x:c r="Z1934" s="87"/>
      <x:c r="AA1934" s="87"/>
      <x:c r="AB1934" s="87"/>
      <x:c r="AC1934" s="87"/>
      <x:c r="AD1934" s="87"/>
      <x:c r="AE1934" s="87"/>
      <x:c r="AF1934" s="87"/>
      <x:c r="AG1934" s="87"/>
      <x:c r="AH1934" s="87"/>
      <x:c r="AI1934" s="30"/>
      <x:c r="AJ1934" s="87" t="str">
        <x:v>master</x:v>
      </x:c>
      <x:c r="AK1934" s="87" t="str">
        <x:v>master-v0.81</x:v>
      </x:c>
      <x:c r="AL1934" s="87" t="str">
        <x:v>statgrad_master_base_v0_81_final(2).xlsx</x:v>
      </x:c>
      <x:c r="AM1934" s="87" t="str">
        <x:v>PHYS_Apr_V1</x:v>
      </x:c>
      <x:c r="AN1934" s="87" t="n">
        <x:v>26</x:v>
      </x:c>
    </x:row>
    <x:row r="1935">
      <x:c r="A1935" s="87" t="n">
        <x:v>1934</x:v>
      </x:c>
      <x:c r="B1935" s="87" t="str">
        <x:v>APR-PHYS-V1-026</x:v>
      </x:c>
      <x:c r="C1935" s="87" t="str">
        <x:v>СтатГрад</x:v>
      </x:c>
      <x:c r="D1935" s="87" t="str">
        <x:v>Апрель 2026</x:v>
      </x:c>
      <x:c r="E1935" s="87"/>
      <x:c r="F1935" s="87"/>
      <x:c r="G1935" s="87" t="str">
        <x:v>Физика</x:v>
      </x:c>
      <x:c r="H1935" s="87" t="n">
        <x:v>11</x:v>
      </x:c>
      <x:c r="I1935" s="87" t="str">
        <x:v>ТР №5</x:v>
      </x:c>
      <x:c r="J1935" s="87" t="str">
        <x:v>ФИ2510501</x:v>
      </x:c>
      <x:c r="K1935" s="87" t="n">
        <x:v>26</x:v>
      </x:c>
      <x:c r="L1935" s="87" t="str">
        <x:v>Связанные тела и трение</x:v>
      </x:c>
      <x:c r="M1935" s="30" t="str">
        <x:v>На горизонтальном столе находится доска массой 6m, на ней груз массой 3m; к грузу через блок подвешен брусок массы m₃. Коэффициент трения 0,2, m=2 кг. Найти максимальную массу m₃, при которой груз не скользит по доске.</x:v>
      </x:c>
      <x:c r="N1935" s="30" t="str">
        <x:v>2 кг</x:v>
      </x:c>
      <x:c r="O1935" s="30" t="str">
        <x:v>В предельном режиме силы трения между грузом и доской максимальны. Из системы уравнений Ньютона получаем m₃=μm₂(m₁+m₂)/(m₁−μm₂)=0,2·3m·9m/(6m−0,6m)=m=2 кг.</x:v>
      </x:c>
      <x:c r="P1935" s="30" t="str">
        <x:v>Полная модель совпала с официальным критерием.</x:v>
      </x:c>
      <x:c r="Q1935" s="30"/>
      <x:c r="R1935" s="30" t="str">
        <x:v>Официальные задания Запад + общий краткий ключ + независимое решение</x:v>
      </x:c>
      <x:c r="S1935" s="30"/>
      <x:c r="T1935" s="30"/>
      <x:c r="U1935" s="30" t="str">
        <x:v>Расхождений не обнаружено.</x:v>
      </x:c>
      <x:c r="V1935" s="87" t="str">
        <x:v>VERIFIED</x:v>
      </x:c>
      <x:c r="W1935" s="87" t="str">
        <x:v>Официальный PDF</x:v>
      </x:c>
      <x:c r="X1935" s="87"/>
      <x:c r="Y1935" s="87"/>
      <x:c r="Z1935" s="87"/>
      <x:c r="AA1935" s="87"/>
      <x:c r="AB1935" s="87"/>
      <x:c r="AC1935" s="87"/>
      <x:c r="AD1935" s="87"/>
      <x:c r="AE1935" s="87"/>
      <x:c r="AF1935" s="87"/>
      <x:c r="AG1935" s="87"/>
      <x:c r="AH1935" s="87"/>
      <x:c r="AI1935" s="30"/>
      <x:c r="AJ1935" s="87" t="str">
        <x:v>master</x:v>
      </x:c>
      <x:c r="AK1935" s="87" t="str">
        <x:v>master-v0.81</x:v>
      </x:c>
      <x:c r="AL1935" s="87" t="str">
        <x:v>statgrad_master_base_v0_81_final(2).xlsx</x:v>
      </x:c>
      <x:c r="AM1935" s="87" t="str">
        <x:v>PHYS_Apr_V1</x:v>
      </x:c>
      <x:c r="AN1935" s="87" t="n">
        <x:v>27</x:v>
      </x:c>
    </x:row>
    <x:row r="1936">
      <x:c r="A1936" s="87" t="n">
        <x:v>1935</x:v>
      </x:c>
      <x:c r="B1936" s="87" t="str">
        <x:v>APR-PHYS-V2-001</x:v>
      </x:c>
      <x:c r="C1936" s="87" t="str">
        <x:v>СтатГрад</x:v>
      </x:c>
      <x:c r="D1936" s="87" t="str">
        <x:v>Апрель 2026</x:v>
      </x:c>
      <x:c r="E1936" s="87"/>
      <x:c r="F1936" s="87"/>
      <x:c r="G1936" s="87" t="str">
        <x:v>Физика</x:v>
      </x:c>
      <x:c r="H1936" s="87" t="n">
        <x:v>11</x:v>
      </x:c>
      <x:c r="I1936" s="87" t="str">
        <x:v>ТР №5</x:v>
      </x:c>
      <x:c r="J1936" s="87" t="str">
        <x:v>ФИ2510502</x:v>
      </x:c>
      <x:c r="K1936" s="87" t="n">
        <x:v>1</x:v>
      </x:c>
      <x:c r="L1936" s="87" t="str">
        <x:v>Кинематика по графику</x:v>
      </x:c>
      <x:c r="M1936" s="30" t="str">
        <x:v>По графику скорости автомобиля определить путь за интервал 20–40 с.</x:v>
      </x:c>
      <x:c r="N1936" s="30" t="str">
        <x:v>150</x:v>
      </x:c>
      <x:c r="O1936" s="30" t="str">
        <x:v>Путь равен площади под графиком v(t) на указанном интервале: 150 м.</x:v>
      </x:c>
      <x:c r="P1936" s="30" t="str">
        <x:v>Путь равен площади под графиком v(t) на указанном интервале: 150 м.</x:v>
      </x:c>
      <x:c r="Q1936" s="30"/>
      <x:c r="R1936" s="30" t="str">
        <x:v>Официальные задания Запад + общий краткий ключ + независимое решение</x:v>
      </x:c>
      <x:c r="S1936" s="30"/>
      <x:c r="T1936" s="30"/>
      <x:c r="U1936" s="30" t="str">
        <x:v>Расхождений не обнаружено.</x:v>
      </x:c>
      <x:c r="V1936" s="87" t="str">
        <x:v>VERIFIED</x:v>
      </x:c>
      <x:c r="W1936" s="87" t="str">
        <x:v>Официальный PDF</x:v>
      </x:c>
      <x:c r="X1936" s="87"/>
      <x:c r="Y1936" s="87"/>
      <x:c r="Z1936" s="87"/>
      <x:c r="AA1936" s="87"/>
      <x:c r="AB1936" s="87"/>
      <x:c r="AC1936" s="87"/>
      <x:c r="AD1936" s="87"/>
      <x:c r="AE1936" s="87"/>
      <x:c r="AF1936" s="87"/>
      <x:c r="AG1936" s="87"/>
      <x:c r="AH1936" s="87"/>
      <x:c r="AI1936" s="30"/>
      <x:c r="AJ1936" s="87" t="str">
        <x:v>master</x:v>
      </x:c>
      <x:c r="AK1936" s="87" t="str">
        <x:v>master-v0.81</x:v>
      </x:c>
      <x:c r="AL1936" s="87" t="str">
        <x:v>statgrad_master_base_v0_81_final(2).xlsx</x:v>
      </x:c>
      <x:c r="AM1936" s="87" t="str">
        <x:v>PHYS_Apr_V2</x:v>
      </x:c>
      <x:c r="AN1936" s="87" t="n">
        <x:v>2</x:v>
      </x:c>
    </x:row>
    <x:row r="1937">
      <x:c r="A1937" s="87" t="n">
        <x:v>1936</x:v>
      </x:c>
      <x:c r="B1937" s="87" t="str">
        <x:v>APR-PHYS-V2-002</x:v>
      </x:c>
      <x:c r="C1937" s="87" t="str">
        <x:v>СтатГрад</x:v>
      </x:c>
      <x:c r="D1937" s="87" t="str">
        <x:v>Апрель 2026</x:v>
      </x:c>
      <x:c r="E1937" s="87"/>
      <x:c r="F1937" s="87"/>
      <x:c r="G1937" s="87" t="str">
        <x:v>Физика</x:v>
      </x:c>
      <x:c r="H1937" s="87" t="n">
        <x:v>11</x:v>
      </x:c>
      <x:c r="I1937" s="87" t="str">
        <x:v>ТР №5</x:v>
      </x:c>
      <x:c r="J1937" s="87" t="str">
        <x:v>ФИ2510502</x:v>
      </x:c>
      <x:c r="K1937" s="87" t="n">
        <x:v>2</x:v>
      </x:c>
      <x:c r="L1937" s="87" t="str">
        <x:v>Закон Гука</x:v>
      </x:c>
      <x:c r="M1937" s="30" t="str">
        <x:v>По графику силы упругости от удлинения определить жёсткость пружины.</x:v>
      </x:c>
      <x:c r="N1937" s="30" t="str">
        <x:v>250</x:v>
      </x:c>
      <x:c r="O1937" s="30" t="str">
        <x:v>k=F/x=250 Н/м.</x:v>
      </x:c>
      <x:c r="P1937" s="30" t="str">
        <x:v>k=F/x=250 Н/м.</x:v>
      </x:c>
      <x:c r="Q1937" s="30"/>
      <x:c r="R1937" s="30" t="str">
        <x:v>Официальные задания Запад + общий краткий ключ + независимое решение</x:v>
      </x:c>
      <x:c r="S1937" s="30"/>
      <x:c r="T1937" s="30"/>
      <x:c r="U1937" s="30" t="str">
        <x:v>Расхождений не обнаружено.</x:v>
      </x:c>
      <x:c r="V1937" s="87" t="str">
        <x:v>VERIFIED</x:v>
      </x:c>
      <x:c r="W1937" s="87" t="str">
        <x:v>Официальный PDF</x:v>
      </x:c>
      <x:c r="X1937" s="87"/>
      <x:c r="Y1937" s="87"/>
      <x:c r="Z1937" s="87"/>
      <x:c r="AA1937" s="87"/>
      <x:c r="AB1937" s="87"/>
      <x:c r="AC1937" s="87"/>
      <x:c r="AD1937" s="87"/>
      <x:c r="AE1937" s="87"/>
      <x:c r="AF1937" s="87"/>
      <x:c r="AG1937" s="87"/>
      <x:c r="AH1937" s="87"/>
      <x:c r="AI1937" s="30"/>
      <x:c r="AJ1937" s="87" t="str">
        <x:v>master</x:v>
      </x:c>
      <x:c r="AK1937" s="87" t="str">
        <x:v>master-v0.81</x:v>
      </x:c>
      <x:c r="AL1937" s="87" t="str">
        <x:v>statgrad_master_base_v0_81_final(2).xlsx</x:v>
      </x:c>
      <x:c r="AM1937" s="87" t="str">
        <x:v>PHYS_Apr_V2</x:v>
      </x:c>
      <x:c r="AN1937" s="87" t="n">
        <x:v>3</x:v>
      </x:c>
    </x:row>
    <x:row r="1938">
      <x:c r="A1938" s="87" t="n">
        <x:v>1937</x:v>
      </x:c>
      <x:c r="B1938" s="87" t="str">
        <x:v>APR-PHYS-V2-003</x:v>
      </x:c>
      <x:c r="C1938" s="87" t="str">
        <x:v>СтатГрад</x:v>
      </x:c>
      <x:c r="D1938" s="87" t="str">
        <x:v>Апрель 2026</x:v>
      </x:c>
      <x:c r="E1938" s="87"/>
      <x:c r="F1938" s="87"/>
      <x:c r="G1938" s="87" t="str">
        <x:v>Физика</x:v>
      </x:c>
      <x:c r="H1938" s="87" t="n">
        <x:v>11</x:v>
      </x:c>
      <x:c r="I1938" s="87" t="str">
        <x:v>ТР №5</x:v>
      </x:c>
      <x:c r="J1938" s="87" t="str">
        <x:v>ФИ2510502</x:v>
      </x:c>
      <x:c r="K1938" s="87" t="n">
        <x:v>3</x:v>
      </x:c>
      <x:c r="L1938" s="87" t="str">
        <x:v>Импульс силы</x:v>
      </x:c>
      <x:c r="M1938" s="30" t="str">
        <x:v>Импульс тела изменился на 48 кг·м/с за 6 с. Найти постоянную силу.</x:v>
      </x:c>
      <x:c r="N1938" s="30" t="str">
        <x:v>8</x:v>
      </x:c>
      <x:c r="O1938" s="30" t="str">
        <x:v>F=Δp/Δt=48/6=8 Н.</x:v>
      </x:c>
      <x:c r="P1938" s="30" t="str">
        <x:v>F=Δp/Δt=48/6=8 Н.</x:v>
      </x:c>
      <x:c r="Q1938" s="30"/>
      <x:c r="R1938" s="30" t="str">
        <x:v>Официальные задания Запад + общий краткий ключ + независимое решение</x:v>
      </x:c>
      <x:c r="S1938" s="30"/>
      <x:c r="T1938" s="30"/>
      <x:c r="U1938" s="30" t="str">
        <x:v>Расхождений не обнаружено.</x:v>
      </x:c>
      <x:c r="V1938" s="87" t="str">
        <x:v>VERIFIED</x:v>
      </x:c>
      <x:c r="W1938" s="87" t="str">
        <x:v>Официальный PDF</x:v>
      </x:c>
      <x:c r="X1938" s="87"/>
      <x:c r="Y1938" s="87"/>
      <x:c r="Z1938" s="87"/>
      <x:c r="AA1938" s="87"/>
      <x:c r="AB1938" s="87"/>
      <x:c r="AC1938" s="87"/>
      <x:c r="AD1938" s="87"/>
      <x:c r="AE1938" s="87"/>
      <x:c r="AF1938" s="87"/>
      <x:c r="AG1938" s="87"/>
      <x:c r="AH1938" s="87"/>
      <x:c r="AI1938" s="30"/>
      <x:c r="AJ1938" s="87" t="str">
        <x:v>master</x:v>
      </x:c>
      <x:c r="AK1938" s="87" t="str">
        <x:v>master-v0.81</x:v>
      </x:c>
      <x:c r="AL1938" s="87" t="str">
        <x:v>statgrad_master_base_v0_81_final(2).xlsx</x:v>
      </x:c>
      <x:c r="AM1938" s="87" t="str">
        <x:v>PHYS_Apr_V2</x:v>
      </x:c>
      <x:c r="AN1938" s="87" t="n">
        <x:v>4</x:v>
      </x:c>
    </x:row>
    <x:row r="1939">
      <x:c r="A1939" s="87" t="n">
        <x:v>1938</x:v>
      </x:c>
      <x:c r="B1939" s="87" t="str">
        <x:v>APR-PHYS-V2-004</x:v>
      </x:c>
      <x:c r="C1939" s="87" t="str">
        <x:v>СтатГрад</x:v>
      </x:c>
      <x:c r="D1939" s="87" t="str">
        <x:v>Апрель 2026</x:v>
      </x:c>
      <x:c r="E1939" s="87"/>
      <x:c r="F1939" s="87"/>
      <x:c r="G1939" s="87" t="str">
        <x:v>Физика</x:v>
      </x:c>
      <x:c r="H1939" s="87" t="n">
        <x:v>11</x:v>
      </x:c>
      <x:c r="I1939" s="87" t="str">
        <x:v>ТР №5</x:v>
      </x:c>
      <x:c r="J1939" s="87" t="str">
        <x:v>ФИ2510502</x:v>
      </x:c>
      <x:c r="K1939" s="87" t="n">
        <x:v>4</x:v>
      </x:c>
      <x:c r="L1939" s="87" t="str">
        <x:v>Гармонические колебания</x:v>
      </x:c>
      <x:c r="M1939" s="30" t="str">
        <x:v>Частота колебаний 2 Гц. Найти время от максимума потенциальной энергии до ближайшего максимума кинетической.</x:v>
      </x:c>
      <x:c r="N1939" s="30" t="str">
        <x:v>125</x:v>
      </x:c>
      <x:c r="O1939" s="30" t="str">
        <x:v>T=0,5 с; переход занимает T/4=0,125 с=125 мс.</x:v>
      </x:c>
      <x:c r="P1939" s="30" t="str">
        <x:v>T=0,5 с; переход занимает T/4=0,125 с=125 мс.</x:v>
      </x:c>
      <x:c r="Q1939" s="30"/>
      <x:c r="R1939" s="30" t="str">
        <x:v>Официальные задания Запад + общий краткий ключ + независимое решение</x:v>
      </x:c>
      <x:c r="S1939" s="30"/>
      <x:c r="T1939" s="30"/>
      <x:c r="U1939" s="30" t="str">
        <x:v>Расхождений не обнаружено.</x:v>
      </x:c>
      <x:c r="V1939" s="87" t="str">
        <x:v>VERIFIED</x:v>
      </x:c>
      <x:c r="W1939" s="87" t="str">
        <x:v>Официальный PDF</x:v>
      </x:c>
      <x:c r="X1939" s="87"/>
      <x:c r="Y1939" s="87"/>
      <x:c r="Z1939" s="87"/>
      <x:c r="AA1939" s="87"/>
      <x:c r="AB1939" s="87"/>
      <x:c r="AC1939" s="87"/>
      <x:c r="AD1939" s="87"/>
      <x:c r="AE1939" s="87"/>
      <x:c r="AF1939" s="87"/>
      <x:c r="AG1939" s="87"/>
      <x:c r="AH1939" s="87"/>
      <x:c r="AI1939" s="30"/>
      <x:c r="AJ1939" s="87" t="str">
        <x:v>master</x:v>
      </x:c>
      <x:c r="AK1939" s="87" t="str">
        <x:v>master-v0.81</x:v>
      </x:c>
      <x:c r="AL1939" s="87" t="str">
        <x:v>statgrad_master_base_v0_81_final(2).xlsx</x:v>
      </x:c>
      <x:c r="AM1939" s="87" t="str">
        <x:v>PHYS_Apr_V2</x:v>
      </x:c>
      <x:c r="AN1939" s="87" t="n">
        <x:v>5</x:v>
      </x:c>
    </x:row>
    <x:row r="1940">
      <x:c r="A1940" s="87" t="n">
        <x:v>1939</x:v>
      </x:c>
      <x:c r="B1940" s="87" t="str">
        <x:v>APR-PHYS-V2-005</x:v>
      </x:c>
      <x:c r="C1940" s="87" t="str">
        <x:v>СтатГрад</x:v>
      </x:c>
      <x:c r="D1940" s="87" t="str">
        <x:v>Апрель 2026</x:v>
      </x:c>
      <x:c r="E1940" s="87"/>
      <x:c r="F1940" s="87"/>
      <x:c r="G1940" s="87" t="str">
        <x:v>Физика</x:v>
      </x:c>
      <x:c r="H1940" s="87" t="n">
        <x:v>11</x:v>
      </x:c>
      <x:c r="I1940" s="87" t="str">
        <x:v>ТР №5</x:v>
      </x:c>
      <x:c r="J1940" s="87" t="str">
        <x:v>ФИ2510502</x:v>
      </x:c>
      <x:c r="K1940" s="87" t="n">
        <x:v>5</x:v>
      </x:c>
      <x:c r="L1940" s="87" t="str">
        <x:v>Механика: анализ утверждений</x:v>
      </x:c>
      <x:c r="M1940" s="30" t="str">
        <x:v>По графику движения выбрать два верных утверждения.</x:v>
      </x:c>
      <x:c r="N1940" s="30" t="str">
        <x:v>45</x:v>
      </x:c>
      <x:c r="O1940" s="30" t="str">
        <x:v>Утверждения 4 и 5 соответствуют знакам скорости, ускорения и равнодействующей силы.</x:v>
      </x:c>
      <x:c r="P1940" s="30" t="str">
        <x:v>Утверждения 4 и 5 соответствуют знакам скорости, ускорения и равнодействующей силы.</x:v>
      </x:c>
      <x:c r="Q1940" s="30"/>
      <x:c r="R1940" s="30" t="str">
        <x:v>Официальные задания Запад + общий краткий ключ + независимое решение</x:v>
      </x:c>
      <x:c r="S1940" s="30"/>
      <x:c r="T1940" s="30"/>
      <x:c r="U1940" s="30" t="str">
        <x:v>Расхождений не обнаружено.</x:v>
      </x:c>
      <x:c r="V1940" s="87" t="str">
        <x:v>VERIFIED</x:v>
      </x:c>
      <x:c r="W1940" s="87" t="str">
        <x:v>Официальный PDF</x:v>
      </x:c>
      <x:c r="X1940" s="87"/>
      <x:c r="Y1940" s="87"/>
      <x:c r="Z1940" s="87"/>
      <x:c r="AA1940" s="87"/>
      <x:c r="AB1940" s="87"/>
      <x:c r="AC1940" s="87"/>
      <x:c r="AD1940" s="87"/>
      <x:c r="AE1940" s="87"/>
      <x:c r="AF1940" s="87"/>
      <x:c r="AG1940" s="87"/>
      <x:c r="AH1940" s="87"/>
      <x:c r="AI1940" s="30"/>
      <x:c r="AJ1940" s="87" t="str">
        <x:v>master</x:v>
      </x:c>
      <x:c r="AK1940" s="87" t="str">
        <x:v>master-v0.81</x:v>
      </x:c>
      <x:c r="AL1940" s="87" t="str">
        <x:v>statgrad_master_base_v0_81_final(2).xlsx</x:v>
      </x:c>
      <x:c r="AM1940" s="87" t="str">
        <x:v>PHYS_Apr_V2</x:v>
      </x:c>
      <x:c r="AN1940" s="87" t="n">
        <x:v>6</x:v>
      </x:c>
    </x:row>
    <x:row r="1941">
      <x:c r="A1941" s="87" t="n">
        <x:v>1940</x:v>
      </x:c>
      <x:c r="B1941" s="87" t="str">
        <x:v>APR-PHYS-V2-006</x:v>
      </x:c>
      <x:c r="C1941" s="87" t="str">
        <x:v>СтатГрад</x:v>
      </x:c>
      <x:c r="D1941" s="87" t="str">
        <x:v>Апрель 2026</x:v>
      </x:c>
      <x:c r="E1941" s="87"/>
      <x:c r="F1941" s="87"/>
      <x:c r="G1941" s="87" t="str">
        <x:v>Физика</x:v>
      </x:c>
      <x:c r="H1941" s="87" t="n">
        <x:v>11</x:v>
      </x:c>
      <x:c r="I1941" s="87" t="str">
        <x:v>ТР №5</x:v>
      </x:c>
      <x:c r="J1941" s="87" t="str">
        <x:v>ФИ2510502</x:v>
      </x:c>
      <x:c r="K1941" s="87" t="n">
        <x:v>6</x:v>
      </x:c>
      <x:c r="L1941" s="87" t="str">
        <x:v>Спутник Земли</x:v>
      </x:c>
      <x:c r="M1941" s="30" t="str">
        <x:v>Спутник переходит на более низкую круговую орбиту; определить изменение периода и потенциальной энергии.</x:v>
      </x:c>
      <x:c r="N1941" s="30" t="str">
        <x:v>22</x:v>
      </x:c>
      <x:c r="O1941" s="30" t="str">
        <x:v>Период уменьшается; потенциальная энергия становится меньше (более отрицательной). Оба изменения имеют код 2.</x:v>
      </x:c>
      <x:c r="P1941" s="30" t="str">
        <x:v>Период уменьшается; потенциальная энергия становится меньше (более отрицательной). Оба изменения имеют код 2.</x:v>
      </x:c>
      <x:c r="Q1941" s="30"/>
      <x:c r="R1941" s="30" t="str">
        <x:v>Официальные задания Запад + общий краткий ключ + независимое решение</x:v>
      </x:c>
      <x:c r="S1941" s="30"/>
      <x:c r="T1941" s="30"/>
      <x:c r="U1941" s="30" t="str">
        <x:v>Расхождений не обнаружено.</x:v>
      </x:c>
      <x:c r="V1941" s="87" t="str">
        <x:v>VERIFIED</x:v>
      </x:c>
      <x:c r="W1941" s="87" t="str">
        <x:v>Официальный PDF</x:v>
      </x:c>
      <x:c r="X1941" s="87"/>
      <x:c r="Y1941" s="87"/>
      <x:c r="Z1941" s="87"/>
      <x:c r="AA1941" s="87"/>
      <x:c r="AB1941" s="87"/>
      <x:c r="AC1941" s="87"/>
      <x:c r="AD1941" s="87"/>
      <x:c r="AE1941" s="87"/>
      <x:c r="AF1941" s="87"/>
      <x:c r="AG1941" s="87"/>
      <x:c r="AH1941" s="87"/>
      <x:c r="AI1941" s="30"/>
      <x:c r="AJ1941" s="87" t="str">
        <x:v>master</x:v>
      </x:c>
      <x:c r="AK1941" s="87" t="str">
        <x:v>master-v0.81</x:v>
      </x:c>
      <x:c r="AL1941" s="87" t="str">
        <x:v>statgrad_master_base_v0_81_final(2).xlsx</x:v>
      </x:c>
      <x:c r="AM1941" s="87" t="str">
        <x:v>PHYS_Apr_V2</x:v>
      </x:c>
      <x:c r="AN1941" s="87" t="n">
        <x:v>7</x:v>
      </x:c>
    </x:row>
    <x:row r="1942">
      <x:c r="A1942" s="87" t="n">
        <x:v>1941</x:v>
      </x:c>
      <x:c r="B1942" s="87" t="str">
        <x:v>APR-PHYS-V2-007</x:v>
      </x:c>
      <x:c r="C1942" s="87" t="str">
        <x:v>СтатГрад</x:v>
      </x:c>
      <x:c r="D1942" s="87" t="str">
        <x:v>Апрель 2026</x:v>
      </x:c>
      <x:c r="E1942" s="87"/>
      <x:c r="F1942" s="87"/>
      <x:c r="G1942" s="87" t="str">
        <x:v>Физика</x:v>
      </x:c>
      <x:c r="H1942" s="87" t="n">
        <x:v>11</x:v>
      </x:c>
      <x:c r="I1942" s="87" t="str">
        <x:v>ТР №5</x:v>
      </x:c>
      <x:c r="J1942" s="87" t="str">
        <x:v>ФИ2510502</x:v>
      </x:c>
      <x:c r="K1942" s="87" t="n">
        <x:v>7</x:v>
      </x:c>
      <x:c r="L1942" s="87" t="str">
        <x:v>Молекулярная физика</x:v>
      </x:c>
      <x:c r="M1942" s="30" t="str">
        <x:v>Начальное давление 50 кПа. Средняя кинетическая энергия увеличилась в 3 раза, конечное давление 25 кПа. Во сколько раз уменьшилась концентрация?</x:v>
      </x:c>
      <x:c r="N1942" s="30" t="str">
        <x:v>6</x:v>
      </x:c>
      <x:c r="O1942" s="30" t="str">
        <x:v>p∝nĒ: n₂/n₁=(p₂/p₁)/(E₂/E₁)=0,5/3=1/6.</x:v>
      </x:c>
      <x:c r="P1942" s="30" t="str">
        <x:v>p∝nĒ: n₂/n₁=(p₂/p₁)/(E₂/E₁)=0,5/3=1/6.</x:v>
      </x:c>
      <x:c r="Q1942" s="30"/>
      <x:c r="R1942" s="30" t="str">
        <x:v>Официальные задания Запад + общий краткий ключ + независимое решение</x:v>
      </x:c>
      <x:c r="S1942" s="30"/>
      <x:c r="T1942" s="30"/>
      <x:c r="U1942" s="30" t="str">
        <x:v>Расхождений не обнаружено.</x:v>
      </x:c>
      <x:c r="V1942" s="87" t="str">
        <x:v>VERIFIED</x:v>
      </x:c>
      <x:c r="W1942" s="87" t="str">
        <x:v>Официальный PDF</x:v>
      </x:c>
      <x:c r="X1942" s="87"/>
      <x:c r="Y1942" s="87"/>
      <x:c r="Z1942" s="87"/>
      <x:c r="AA1942" s="87"/>
      <x:c r="AB1942" s="87"/>
      <x:c r="AC1942" s="87"/>
      <x:c r="AD1942" s="87"/>
      <x:c r="AE1942" s="87"/>
      <x:c r="AF1942" s="87"/>
      <x:c r="AG1942" s="87"/>
      <x:c r="AH1942" s="87"/>
      <x:c r="AI1942" s="30"/>
      <x:c r="AJ1942" s="87" t="str">
        <x:v>master</x:v>
      </x:c>
      <x:c r="AK1942" s="87" t="str">
        <x:v>master-v0.81</x:v>
      </x:c>
      <x:c r="AL1942" s="87" t="str">
        <x:v>statgrad_master_base_v0_81_final(2).xlsx</x:v>
      </x:c>
      <x:c r="AM1942" s="87" t="str">
        <x:v>PHYS_Apr_V2</x:v>
      </x:c>
      <x:c r="AN1942" s="87" t="n">
        <x:v>8</x:v>
      </x:c>
    </x:row>
    <x:row r="1943">
      <x:c r="A1943" s="87" t="n">
        <x:v>1942</x:v>
      </x:c>
      <x:c r="B1943" s="87" t="str">
        <x:v>APR-PHYS-V2-008</x:v>
      </x:c>
      <x:c r="C1943" s="87" t="str">
        <x:v>СтатГрад</x:v>
      </x:c>
      <x:c r="D1943" s="87" t="str">
        <x:v>Апрель 2026</x:v>
      </x:c>
      <x:c r="E1943" s="87"/>
      <x:c r="F1943" s="87"/>
      <x:c r="G1943" s="87" t="str">
        <x:v>Физика</x:v>
      </x:c>
      <x:c r="H1943" s="87" t="n">
        <x:v>11</x:v>
      </x:c>
      <x:c r="I1943" s="87" t="str">
        <x:v>ТР №5</x:v>
      </x:c>
      <x:c r="J1943" s="87" t="str">
        <x:v>ФИ2510502</x:v>
      </x:c>
      <x:c r="K1943" s="87" t="n">
        <x:v>8</x:v>
      </x:c>
      <x:c r="L1943" s="87" t="str">
        <x:v>Первый закон термодинамики</x:v>
      </x:c>
      <x:c r="M1943" s="30" t="str">
        <x:v>Газ получил 15 кДж теплоты в процессе, изображённом на p–T диаграмме. Найти изменение внутренней энергии.</x:v>
      </x:c>
      <x:c r="N1943" s="30" t="str">
        <x:v>15</x:v>
      </x:c>
      <x:c r="O1943" s="30" t="str">
        <x:v>По графику работа газа на рассматриваемом участке равна нулю, поэтому ΔU=Q=15 кДж.</x:v>
      </x:c>
      <x:c r="P1943" s="30" t="str">
        <x:v>По графику работа газа на рассматриваемом участке равна нулю, поэтому ΔU=Q=15 кДж.</x:v>
      </x:c>
      <x:c r="Q1943" s="30"/>
      <x:c r="R1943" s="30" t="str">
        <x:v>Официальные задания Запад + общий краткий ключ + независимое решение</x:v>
      </x:c>
      <x:c r="S1943" s="30"/>
      <x:c r="T1943" s="30"/>
      <x:c r="U1943" s="30" t="str">
        <x:v>Расхождений не обнаружено.</x:v>
      </x:c>
      <x:c r="V1943" s="87" t="str">
        <x:v>VERIFIED</x:v>
      </x:c>
      <x:c r="W1943" s="87" t="str">
        <x:v>Официальный PDF</x:v>
      </x:c>
      <x:c r="X1943" s="87"/>
      <x:c r="Y1943" s="87"/>
      <x:c r="Z1943" s="87"/>
      <x:c r="AA1943" s="87"/>
      <x:c r="AB1943" s="87"/>
      <x:c r="AC1943" s="87"/>
      <x:c r="AD1943" s="87"/>
      <x:c r="AE1943" s="87"/>
      <x:c r="AF1943" s="87"/>
      <x:c r="AG1943" s="87"/>
      <x:c r="AH1943" s="87"/>
      <x:c r="AI1943" s="30"/>
      <x:c r="AJ1943" s="87" t="str">
        <x:v>master</x:v>
      </x:c>
      <x:c r="AK1943" s="87" t="str">
        <x:v>master-v0.81</x:v>
      </x:c>
      <x:c r="AL1943" s="87" t="str">
        <x:v>statgrad_master_base_v0_81_final(2).xlsx</x:v>
      </x:c>
      <x:c r="AM1943" s="87" t="str">
        <x:v>PHYS_Apr_V2</x:v>
      </x:c>
      <x:c r="AN1943" s="87" t="n">
        <x:v>9</x:v>
      </x:c>
    </x:row>
    <x:row r="1944">
      <x:c r="A1944" s="87" t="n">
        <x:v>1943</x:v>
      </x:c>
      <x:c r="B1944" s="87" t="str">
        <x:v>APR-PHYS-V2-009</x:v>
      </x:c>
      <x:c r="C1944" s="87" t="str">
        <x:v>СтатГрад</x:v>
      </x:c>
      <x:c r="D1944" s="87" t="str">
        <x:v>Апрель 2026</x:v>
      </x:c>
      <x:c r="E1944" s="87"/>
      <x:c r="F1944" s="87"/>
      <x:c r="G1944" s="87" t="str">
        <x:v>Физика</x:v>
      </x:c>
      <x:c r="H1944" s="87" t="n">
        <x:v>11</x:v>
      </x:c>
      <x:c r="I1944" s="87" t="str">
        <x:v>ТР №5</x:v>
      </x:c>
      <x:c r="J1944" s="87" t="str">
        <x:v>ФИ2510502</x:v>
      </x:c>
      <x:c r="K1944" s="87" t="n">
        <x:v>9</x:v>
      </x:c>
      <x:c r="L1944" s="87" t="str">
        <x:v>Идеальный газ: анализ утверждений</x:v>
      </x:c>
      <x:c r="M1944" s="30" t="str">
        <x:v>Сравнить состояния неона и аргона по заданным объёмам и температурам; выбрать верные утверждения.</x:v>
      </x:c>
      <x:c r="N1944" s="30" t="str">
        <x:v>145</x:v>
      </x:c>
      <x:c r="O1944" s="30" t="str">
        <x:v>Утверждения 1, 4 и 5 следуют из pV=νRT и Ē=3kT/2.</x:v>
      </x:c>
      <x:c r="P1944" s="30" t="str">
        <x:v>Утверждения 1, 4 и 5 следуют из pV=νRT и Ē=3kT/2.</x:v>
      </x:c>
      <x:c r="Q1944" s="30"/>
      <x:c r="R1944" s="30" t="str">
        <x:v>Официальные задания Запад + общий краткий ключ + независимое решение</x:v>
      </x:c>
      <x:c r="S1944" s="30"/>
      <x:c r="T1944" s="30"/>
      <x:c r="U1944" s="30" t="str">
        <x:v>Расхождений не обнаружено.</x:v>
      </x:c>
      <x:c r="V1944" s="87" t="str">
        <x:v>VERIFIED</x:v>
      </x:c>
      <x:c r="W1944" s="87" t="str">
        <x:v>Официальный PDF</x:v>
      </x:c>
      <x:c r="X1944" s="87"/>
      <x:c r="Y1944" s="87"/>
      <x:c r="Z1944" s="87"/>
      <x:c r="AA1944" s="87"/>
      <x:c r="AB1944" s="87"/>
      <x:c r="AC1944" s="87"/>
      <x:c r="AD1944" s="87"/>
      <x:c r="AE1944" s="87"/>
      <x:c r="AF1944" s="87"/>
      <x:c r="AG1944" s="87"/>
      <x:c r="AH1944" s="87"/>
      <x:c r="AI1944" s="30"/>
      <x:c r="AJ1944" s="87" t="str">
        <x:v>master</x:v>
      </x:c>
      <x:c r="AK1944" s="87" t="str">
        <x:v>master-v0.81</x:v>
      </x:c>
      <x:c r="AL1944" s="87" t="str">
        <x:v>statgrad_master_base_v0_81_final(2).xlsx</x:v>
      </x:c>
      <x:c r="AM1944" s="87" t="str">
        <x:v>PHYS_Apr_V2</x:v>
      </x:c>
      <x:c r="AN1944" s="87" t="n">
        <x:v>10</x:v>
      </x:c>
    </x:row>
    <x:row r="1945">
      <x:c r="A1945" s="87" t="n">
        <x:v>1944</x:v>
      </x:c>
      <x:c r="B1945" s="87" t="str">
        <x:v>APR-PHYS-V2-010</x:v>
      </x:c>
      <x:c r="C1945" s="87" t="str">
        <x:v>СтатГрад</x:v>
      </x:c>
      <x:c r="D1945" s="87" t="str">
        <x:v>Апрель 2026</x:v>
      </x:c>
      <x:c r="E1945" s="87"/>
      <x:c r="F1945" s="87"/>
      <x:c r="G1945" s="87" t="str">
        <x:v>Физика</x:v>
      </x:c>
      <x:c r="H1945" s="87" t="n">
        <x:v>11</x:v>
      </x:c>
      <x:c r="I1945" s="87" t="str">
        <x:v>ТР №5</x:v>
      </x:c>
      <x:c r="J1945" s="87" t="str">
        <x:v>ФИ2510502</x:v>
      </x:c>
      <x:c r="K1945" s="87" t="n">
        <x:v>10</x:v>
      </x:c>
      <x:c r="L1945" s="87" t="str">
        <x:v>Адиабатический процесс</x:v>
      </x:c>
      <x:c r="M1945" s="30" t="str">
        <x:v>В адиабатическом процессе внутренняя энергия гелия уменьшилась; определить изменения температуры и объёма.</x:v>
      </x:c>
      <x:c r="N1945" s="30" t="str">
        <x:v>21</x:v>
      </x:c>
      <x:c r="O1945" s="30" t="str">
        <x:v>Температура уменьшается; при адиабатическом расширении объём увеличивается. Коды 2 и 1.</x:v>
      </x:c>
      <x:c r="P1945" s="30" t="str">
        <x:v>Температура уменьшается; при адиабатическом расширении объём увеличивается. Коды 2 и 1.</x:v>
      </x:c>
      <x:c r="Q1945" s="30"/>
      <x:c r="R1945" s="30" t="str">
        <x:v>Официальные задания Запад + общий краткий ключ + независимое решение</x:v>
      </x:c>
      <x:c r="S1945" s="30"/>
      <x:c r="T1945" s="30"/>
      <x:c r="U1945" s="30" t="str">
        <x:v>Расхождений не обнаружено.</x:v>
      </x:c>
      <x:c r="V1945" s="87" t="str">
        <x:v>VERIFIED</x:v>
      </x:c>
      <x:c r="W1945" s="87" t="str">
        <x:v>Официальный PDF</x:v>
      </x:c>
      <x:c r="X1945" s="87"/>
      <x:c r="Y1945" s="87"/>
      <x:c r="Z1945" s="87"/>
      <x:c r="AA1945" s="87"/>
      <x:c r="AB1945" s="87"/>
      <x:c r="AC1945" s="87"/>
      <x:c r="AD1945" s="87"/>
      <x:c r="AE1945" s="87"/>
      <x:c r="AF1945" s="87"/>
      <x:c r="AG1945" s="87"/>
      <x:c r="AH1945" s="87"/>
      <x:c r="AI1945" s="30"/>
      <x:c r="AJ1945" s="87" t="str">
        <x:v>master</x:v>
      </x:c>
      <x:c r="AK1945" s="87" t="str">
        <x:v>master-v0.81</x:v>
      </x:c>
      <x:c r="AL1945" s="87" t="str">
        <x:v>statgrad_master_base_v0_81_final(2).xlsx</x:v>
      </x:c>
      <x:c r="AM1945" s="87" t="str">
        <x:v>PHYS_Apr_V2</x:v>
      </x:c>
      <x:c r="AN1945" s="87" t="n">
        <x:v>11</x:v>
      </x:c>
    </x:row>
    <x:row r="1946">
      <x:c r="A1946" s="87" t="n">
        <x:v>1945</x:v>
      </x:c>
      <x:c r="B1946" s="87" t="str">
        <x:v>APR-PHYS-V2-011</x:v>
      </x:c>
      <x:c r="C1946" s="87" t="str">
        <x:v>СтатГрад</x:v>
      </x:c>
      <x:c r="D1946" s="87" t="str">
        <x:v>Апрель 2026</x:v>
      </x:c>
      <x:c r="E1946" s="87"/>
      <x:c r="F1946" s="87"/>
      <x:c r="G1946" s="87" t="str">
        <x:v>Физика</x:v>
      </x:c>
      <x:c r="H1946" s="87" t="n">
        <x:v>11</x:v>
      </x:c>
      <x:c r="I1946" s="87" t="str">
        <x:v>ТР №5</x:v>
      </x:c>
      <x:c r="J1946" s="87" t="str">
        <x:v>ФИ2510502</x:v>
      </x:c>
      <x:c r="K1946" s="87" t="n">
        <x:v>11</x:v>
      </x:c>
      <x:c r="L1946" s="87" t="str">
        <x:v>Закон Ома для полной цепи</x:v>
      </x:c>
      <x:c r="M1946" s="30" t="str">
        <x:v>ЭДС 6 В, внешнее сопротивление 19 Ом, ток 0,3 А. Найти внутреннее сопротивление.</x:v>
      </x:c>
      <x:c r="N1946" s="30" t="str">
        <x:v>1</x:v>
      </x:c>
      <x:c r="O1946" s="30" t="str">
        <x:v>r=ε/I−R=6/0,3−19=1 Ом.</x:v>
      </x:c>
      <x:c r="P1946" s="30" t="str">
        <x:v>r=ε/I−R=6/0,3−19=1 Ом.</x:v>
      </x:c>
      <x:c r="Q1946" s="30"/>
      <x:c r="R1946" s="30" t="str">
        <x:v>Официальные задания Запад + общий краткий ключ + независимое решение</x:v>
      </x:c>
      <x:c r="S1946" s="30"/>
      <x:c r="T1946" s="30"/>
      <x:c r="U1946" s="30" t="str">
        <x:v>Расхождений не обнаружено.</x:v>
      </x:c>
      <x:c r="V1946" s="87" t="str">
        <x:v>VERIFIED</x:v>
      </x:c>
      <x:c r="W1946" s="87" t="str">
        <x:v>Официальный PDF</x:v>
      </x:c>
      <x:c r="X1946" s="87"/>
      <x:c r="Y1946" s="87"/>
      <x:c r="Z1946" s="87"/>
      <x:c r="AA1946" s="87"/>
      <x:c r="AB1946" s="87"/>
      <x:c r="AC1946" s="87"/>
      <x:c r="AD1946" s="87"/>
      <x:c r="AE1946" s="87"/>
      <x:c r="AF1946" s="87"/>
      <x:c r="AG1946" s="87"/>
      <x:c r="AH1946" s="87"/>
      <x:c r="AI1946" s="30"/>
      <x:c r="AJ1946" s="87" t="str">
        <x:v>master</x:v>
      </x:c>
      <x:c r="AK1946" s="87" t="str">
        <x:v>master-v0.81</x:v>
      </x:c>
      <x:c r="AL1946" s="87" t="str">
        <x:v>statgrad_master_base_v0_81_final(2).xlsx</x:v>
      </x:c>
      <x:c r="AM1946" s="87" t="str">
        <x:v>PHYS_Apr_V2</x:v>
      </x:c>
      <x:c r="AN1946" s="87" t="n">
        <x:v>12</x:v>
      </x:c>
    </x:row>
    <x:row r="1947">
      <x:c r="A1947" s="87" t="n">
        <x:v>1946</x:v>
      </x:c>
      <x:c r="B1947" s="87" t="str">
        <x:v>APR-PHYS-V2-012</x:v>
      </x:c>
      <x:c r="C1947" s="87" t="str">
        <x:v>СтатГрад</x:v>
      </x:c>
      <x:c r="D1947" s="87" t="str">
        <x:v>Апрель 2026</x:v>
      </x:c>
      <x:c r="E1947" s="87"/>
      <x:c r="F1947" s="87"/>
      <x:c r="G1947" s="87" t="str">
        <x:v>Физика</x:v>
      </x:c>
      <x:c r="H1947" s="87" t="n">
        <x:v>11</x:v>
      </x:c>
      <x:c r="I1947" s="87" t="str">
        <x:v>ТР №5</x:v>
      </x:c>
      <x:c r="J1947" s="87" t="str">
        <x:v>ФИ2510502</x:v>
      </x:c>
      <x:c r="K1947" s="87" t="n">
        <x:v>12</x:v>
      </x:c>
      <x:c r="L1947" s="87" t="str">
        <x:v>Электромагнитная индукция</x:v>
      </x:c>
      <x:c r="M1947" s="30" t="str">
        <x:v>Индуктивность катушки 2,5 мГн, ток уменьшается от 20 мА до нуля за 5 мс. Найти модуль ЭДС самоиндукции в милливольтах.</x:v>
      </x:c>
      <x:c r="N1947" s="30" t="str">
        <x:v>10</x:v>
      </x:c>
      <x:c r="O1947" s="30" t="str">
        <x:v>|ε|=LΔI/Δt=2,5·10⁻³·0,02/0,005=0,01 В=10 мВ.</x:v>
      </x:c>
      <x:c r="P1947" s="30" t="str">
        <x:v>|ε|=LΔI/Δt=2,5·10⁻³·0,02/0,005=0,01 В; числовой ответ 10 в единицах условия.</x:v>
      </x:c>
      <x:c r="Q1947" s="30"/>
      <x:c r="R1947" s="30" t="str">
        <x:v>Официальные задания Запад + общий краткий ключ + независимое решение</x:v>
      </x:c>
      <x:c r="S1947" s="30"/>
      <x:c r="T1947" s="30"/>
      <x:c r="U1947" s="30" t="str">
        <x:v>Расхождений не обнаружено.</x:v>
      </x:c>
      <x:c r="V1947" s="87" t="str">
        <x:v>VERIFIED</x:v>
      </x:c>
      <x:c r="W1947" s="87" t="str">
        <x:v>Официальный PDF</x:v>
      </x:c>
      <x:c r="X1947" s="87"/>
      <x:c r="Y1947" s="87"/>
      <x:c r="Z1947" s="87"/>
      <x:c r="AA1947" s="87"/>
      <x:c r="AB1947" s="87"/>
      <x:c r="AC1947" s="87"/>
      <x:c r="AD1947" s="87"/>
      <x:c r="AE1947" s="87"/>
      <x:c r="AF1947" s="87"/>
      <x:c r="AG1947" s="87"/>
      <x:c r="AH1947" s="87"/>
      <x:c r="AI1947" s="30"/>
      <x:c r="AJ1947" s="87" t="str">
        <x:v>master</x:v>
      </x:c>
      <x:c r="AK1947" s="87" t="str">
        <x:v>master-v0.81</x:v>
      </x:c>
      <x:c r="AL1947" s="87" t="str">
        <x:v>statgrad_master_base_v0_81_final(2).xlsx</x:v>
      </x:c>
      <x:c r="AM1947" s="87" t="str">
        <x:v>PHYS_Apr_V2</x:v>
      </x:c>
      <x:c r="AN1947" s="87" t="n">
        <x:v>13</x:v>
      </x:c>
    </x:row>
    <x:row r="1948">
      <x:c r="A1948" s="87" t="n">
        <x:v>1947</x:v>
      </x:c>
      <x:c r="B1948" s="87" t="str">
        <x:v>APR-PHYS-V2-013</x:v>
      </x:c>
      <x:c r="C1948" s="87" t="str">
        <x:v>СтатГрад</x:v>
      </x:c>
      <x:c r="D1948" s="87" t="str">
        <x:v>Апрель 2026</x:v>
      </x:c>
      <x:c r="E1948" s="87"/>
      <x:c r="F1948" s="87"/>
      <x:c r="G1948" s="87" t="str">
        <x:v>Физика</x:v>
      </x:c>
      <x:c r="H1948" s="87" t="n">
        <x:v>11</x:v>
      </x:c>
      <x:c r="I1948" s="87" t="str">
        <x:v>ТР №5</x:v>
      </x:c>
      <x:c r="J1948" s="87" t="str">
        <x:v>ФИ2510502</x:v>
      </x:c>
      <x:c r="K1948" s="87" t="n">
        <x:v>13</x:v>
      </x:c>
      <x:c r="L1948" s="87" t="str">
        <x:v>Колебательный контур</x:v>
      </x:c>
      <x:c r="M1948" s="30" t="str">
        <x:v>Начальная частота 200 кГц; индуктивность увеличили в 4 раза, ёмкость — в 9 раз. Найти новый период в микросекундах.</x:v>
      </x:c>
      <x:c r="N1948" s="30" t="str">
        <x:v>30</x:v>
      </x:c>
      <x:c r="O1948" s="30" t="str">
        <x:v>Период увеличивается в √(4·9)=6 раз. T₀=1/200 кГц=5 мкс; T=30 мкс.</x:v>
      </x:c>
      <x:c r="P1948" s="30" t="str">
        <x:v>Период увеличивается в √(4·9)=6 раз. T₀=1/200 кГц=5 мкс; T=30 мкс.</x:v>
      </x:c>
      <x:c r="Q1948" s="30"/>
      <x:c r="R1948" s="30" t="str">
        <x:v>Официальные задания Запад + общий краткий ключ + независимое решение</x:v>
      </x:c>
      <x:c r="S1948" s="30"/>
      <x:c r="T1948" s="30"/>
      <x:c r="U1948" s="30" t="str">
        <x:v>Расхождений не обнаружено.</x:v>
      </x:c>
      <x:c r="V1948" s="87" t="str">
        <x:v>VERIFIED</x:v>
      </x:c>
      <x:c r="W1948" s="87" t="str">
        <x:v>Официальный PDF</x:v>
      </x:c>
      <x:c r="X1948" s="87"/>
      <x:c r="Y1948" s="87"/>
      <x:c r="Z1948" s="87"/>
      <x:c r="AA1948" s="87"/>
      <x:c r="AB1948" s="87"/>
      <x:c r="AC1948" s="87"/>
      <x:c r="AD1948" s="87"/>
      <x:c r="AE1948" s="87"/>
      <x:c r="AF1948" s="87"/>
      <x:c r="AG1948" s="87"/>
      <x:c r="AH1948" s="87"/>
      <x:c r="AI1948" s="30"/>
      <x:c r="AJ1948" s="87" t="str">
        <x:v>master</x:v>
      </x:c>
      <x:c r="AK1948" s="87" t="str">
        <x:v>master-v0.81</x:v>
      </x:c>
      <x:c r="AL1948" s="87" t="str">
        <x:v>statgrad_master_base_v0_81_final(2).xlsx</x:v>
      </x:c>
      <x:c r="AM1948" s="87" t="str">
        <x:v>PHYS_Apr_V2</x:v>
      </x:c>
      <x:c r="AN1948" s="87" t="n">
        <x:v>14</x:v>
      </x:c>
    </x:row>
    <x:row r="1949">
      <x:c r="A1949" s="87" t="n">
        <x:v>1948</x:v>
      </x:c>
      <x:c r="B1949" s="87" t="str">
        <x:v>APR-PHYS-V2-014</x:v>
      </x:c>
      <x:c r="C1949" s="87" t="str">
        <x:v>СтатГрад</x:v>
      </x:c>
      <x:c r="D1949" s="87" t="str">
        <x:v>Апрель 2026</x:v>
      </x:c>
      <x:c r="E1949" s="87"/>
      <x:c r="F1949" s="87"/>
      <x:c r="G1949" s="87" t="str">
        <x:v>Физика</x:v>
      </x:c>
      <x:c r="H1949" s="87" t="n">
        <x:v>11</x:v>
      </x:c>
      <x:c r="I1949" s="87" t="str">
        <x:v>ТР №5</x:v>
      </x:c>
      <x:c r="J1949" s="87" t="str">
        <x:v>ФИ2510502</x:v>
      </x:c>
      <x:c r="K1949" s="87" t="n">
        <x:v>14</x:v>
      </x:c>
      <x:c r="L1949" s="87" t="str">
        <x:v>Сила Ампера</x:v>
      </x:c>
      <x:c r="M1949" s="30" t="str">
        <x:v>Определить направления силы Ампера для двух изображённых проводников.</x:v>
      </x:c>
      <x:c r="N1949" s="30" t="str">
        <x:v>45</x:v>
      </x:c>
      <x:c r="O1949" s="30" t="str">
        <x:v>Правило левой руки даёт направления, закодированные цифрами 4 и 5.</x:v>
      </x:c>
      <x:c r="P1949" s="30" t="str">
        <x:v>Правило левой руки даёт направления, закодированные цифрами 4 и 5.</x:v>
      </x:c>
      <x:c r="Q1949" s="30"/>
      <x:c r="R1949" s="30" t="str">
        <x:v>Официальные задания Запад + общий краткий ключ + независимое решение</x:v>
      </x:c>
      <x:c r="S1949" s="30"/>
      <x:c r="T1949" s="30"/>
      <x:c r="U1949" s="30" t="str">
        <x:v>Расхождений не обнаружено.</x:v>
      </x:c>
      <x:c r="V1949" s="87" t="str">
        <x:v>VERIFIED</x:v>
      </x:c>
      <x:c r="W1949" s="87" t="str">
        <x:v>Официальный PDF</x:v>
      </x:c>
      <x:c r="X1949" s="87"/>
      <x:c r="Y1949" s="87"/>
      <x:c r="Z1949" s="87"/>
      <x:c r="AA1949" s="87"/>
      <x:c r="AB1949" s="87"/>
      <x:c r="AC1949" s="87"/>
      <x:c r="AD1949" s="87"/>
      <x:c r="AE1949" s="87"/>
      <x:c r="AF1949" s="87"/>
      <x:c r="AG1949" s="87"/>
      <x:c r="AH1949" s="87"/>
      <x:c r="AI1949" s="30"/>
      <x:c r="AJ1949" s="87" t="str">
        <x:v>master</x:v>
      </x:c>
      <x:c r="AK1949" s="87" t="str">
        <x:v>master-v0.81</x:v>
      </x:c>
      <x:c r="AL1949" s="87" t="str">
        <x:v>statgrad_master_base_v0_81_final(2).xlsx</x:v>
      </x:c>
      <x:c r="AM1949" s="87" t="str">
        <x:v>PHYS_Apr_V2</x:v>
      </x:c>
      <x:c r="AN1949" s="87" t="n">
        <x:v>15</x:v>
      </x:c>
    </x:row>
    <x:row r="1950">
      <x:c r="A1950" s="87" t="n">
        <x:v>1949</x:v>
      </x:c>
      <x:c r="B1950" s="87" t="str">
        <x:v>APR-PHYS-V2-015</x:v>
      </x:c>
      <x:c r="C1950" s="87" t="str">
        <x:v>СтатГрад</x:v>
      </x:c>
      <x:c r="D1950" s="87" t="str">
        <x:v>Апрель 2026</x:v>
      </x:c>
      <x:c r="E1950" s="87"/>
      <x:c r="F1950" s="87"/>
      <x:c r="G1950" s="87" t="str">
        <x:v>Физика</x:v>
      </x:c>
      <x:c r="H1950" s="87" t="n">
        <x:v>11</x:v>
      </x:c>
      <x:c r="I1950" s="87" t="str">
        <x:v>ТР №5</x:v>
      </x:c>
      <x:c r="J1950" s="87" t="str">
        <x:v>ФИ2510502</x:v>
      </x:c>
      <x:c r="K1950" s="87" t="n">
        <x:v>15</x:v>
      </x:c>
      <x:c r="L1950" s="87" t="str">
        <x:v>Движение заряда в магнитном поле</x:v>
      </x:c>
      <x:c r="M1950" s="30" t="str">
        <x:v>Соотнести две характеристики движения заряженной частицы с формулами.</x:v>
      </x:c>
      <x:c r="N1950" s="30" t="str">
        <x:v>23</x:v>
      </x:c>
      <x:c r="O1950" s="30" t="str">
        <x:v>Подстановка формул циклической частоты и кинетической энергии/радиуса даёт соответствие 23.</x:v>
      </x:c>
      <x:c r="P1950" s="30" t="str">
        <x:v>Подстановка формул циклической частоты и кинетической энергии/радиуса даёт соответствие 23.</x:v>
      </x:c>
      <x:c r="Q1950" s="30"/>
      <x:c r="R1950" s="30" t="str">
        <x:v>Официальные задания Запад + общий краткий ключ + независимое решение</x:v>
      </x:c>
      <x:c r="S1950" s="30"/>
      <x:c r="T1950" s="30"/>
      <x:c r="U1950" s="30" t="str">
        <x:v>Расхождений не обнаружено.</x:v>
      </x:c>
      <x:c r="V1950" s="87" t="str">
        <x:v>VERIFIED</x:v>
      </x:c>
      <x:c r="W1950" s="87" t="str">
        <x:v>Официальный PDF</x:v>
      </x:c>
      <x:c r="X1950" s="87"/>
      <x:c r="Y1950" s="87"/>
      <x:c r="Z1950" s="87"/>
      <x:c r="AA1950" s="87"/>
      <x:c r="AB1950" s="87"/>
      <x:c r="AC1950" s="87"/>
      <x:c r="AD1950" s="87"/>
      <x:c r="AE1950" s="87"/>
      <x:c r="AF1950" s="87"/>
      <x:c r="AG1950" s="87"/>
      <x:c r="AH1950" s="87"/>
      <x:c r="AI1950" s="30"/>
      <x:c r="AJ1950" s="87" t="str">
        <x:v>master</x:v>
      </x:c>
      <x:c r="AK1950" s="87" t="str">
        <x:v>master-v0.81</x:v>
      </x:c>
      <x:c r="AL1950" s="87" t="str">
        <x:v>statgrad_master_base_v0_81_final(2).xlsx</x:v>
      </x:c>
      <x:c r="AM1950" s="87" t="str">
        <x:v>PHYS_Apr_V2</x:v>
      </x:c>
      <x:c r="AN1950" s="87" t="n">
        <x:v>16</x:v>
      </x:c>
    </x:row>
    <x:row r="1951">
      <x:c r="A1951" s="87" t="n">
        <x:v>1950</x:v>
      </x:c>
      <x:c r="B1951" s="87" t="str">
        <x:v>APR-PHYS-V2-016</x:v>
      </x:c>
      <x:c r="C1951" s="87" t="str">
        <x:v>СтатГрад</x:v>
      </x:c>
      <x:c r="D1951" s="87" t="str">
        <x:v>Апрель 2026</x:v>
      </x:c>
      <x:c r="E1951" s="87"/>
      <x:c r="F1951" s="87"/>
      <x:c r="G1951" s="87" t="str">
        <x:v>Физика</x:v>
      </x:c>
      <x:c r="H1951" s="87" t="n">
        <x:v>11</x:v>
      </x:c>
      <x:c r="I1951" s="87" t="str">
        <x:v>ТР №5</x:v>
      </x:c>
      <x:c r="J1951" s="87" t="str">
        <x:v>ФИ2510502</x:v>
      </x:c>
      <x:c r="K1951" s="87" t="n">
        <x:v>16</x:v>
      </x:c>
      <x:c r="L1951" s="87" t="str">
        <x:v>Ядерная физика</x:v>
      </x:c>
      <x:c r="M1951" s="30" t="str">
        <x:v>Определить число протонов в ядре франция-223.</x:v>
      </x:c>
      <x:c r="N1951" s="30" t="str">
        <x:v>87</x:v>
      </x:c>
      <x:c r="O1951" s="30" t="str">
        <x:v>Число протонов равно порядковому номеру франция: Z=87.</x:v>
      </x:c>
      <x:c r="P1951" s="30" t="str">
        <x:v>Число протонов равно порядковому номеру франция: Z=87.</x:v>
      </x:c>
      <x:c r="Q1951" s="30"/>
      <x:c r="R1951" s="30" t="str">
        <x:v>Официальные задания Запад + общий краткий ключ + независимое решение</x:v>
      </x:c>
      <x:c r="S1951" s="30"/>
      <x:c r="T1951" s="30"/>
      <x:c r="U1951" s="30" t="str">
        <x:v>Расхождений не обнаружено.</x:v>
      </x:c>
      <x:c r="V1951" s="87" t="str">
        <x:v>VERIFIED</x:v>
      </x:c>
      <x:c r="W1951" s="87" t="str">
        <x:v>Официальный PDF</x:v>
      </x:c>
      <x:c r="X1951" s="87"/>
      <x:c r="Y1951" s="87"/>
      <x:c r="Z1951" s="87"/>
      <x:c r="AA1951" s="87"/>
      <x:c r="AB1951" s="87"/>
      <x:c r="AC1951" s="87"/>
      <x:c r="AD1951" s="87"/>
      <x:c r="AE1951" s="87"/>
      <x:c r="AF1951" s="87"/>
      <x:c r="AG1951" s="87"/>
      <x:c r="AH1951" s="87"/>
      <x:c r="AI1951" s="30"/>
      <x:c r="AJ1951" s="87" t="str">
        <x:v>master</x:v>
      </x:c>
      <x:c r="AK1951" s="87" t="str">
        <x:v>master-v0.81</x:v>
      </x:c>
      <x:c r="AL1951" s="87" t="str">
        <x:v>statgrad_master_base_v0_81_final(2).xlsx</x:v>
      </x:c>
      <x:c r="AM1951" s="87" t="str">
        <x:v>PHYS_Apr_V2</x:v>
      </x:c>
      <x:c r="AN1951" s="87" t="n">
        <x:v>17</x:v>
      </x:c>
    </x:row>
    <x:row r="1952">
      <x:c r="A1952" s="87" t="n">
        <x:v>1951</x:v>
      </x:c>
      <x:c r="B1952" s="87" t="str">
        <x:v>APR-PHYS-V2-017</x:v>
      </x:c>
      <x:c r="C1952" s="87" t="str">
        <x:v>СтатГрад</x:v>
      </x:c>
      <x:c r="D1952" s="87" t="str">
        <x:v>Апрель 2026</x:v>
      </x:c>
      <x:c r="E1952" s="87"/>
      <x:c r="F1952" s="87"/>
      <x:c r="G1952" s="87" t="str">
        <x:v>Физика</x:v>
      </x:c>
      <x:c r="H1952" s="87" t="n">
        <x:v>11</x:v>
      </x:c>
      <x:c r="I1952" s="87" t="str">
        <x:v>ТР №5</x:v>
      </x:c>
      <x:c r="J1952" s="87" t="str">
        <x:v>ФИ2510502</x:v>
      </x:c>
      <x:c r="K1952" s="87" t="n">
        <x:v>17</x:v>
      </x:c>
      <x:c r="L1952" s="87" t="str">
        <x:v>Спектр атома водорода</x:v>
      </x:c>
      <x:c r="M1952" s="30" t="str">
        <x:v>По схеме уровней определить переходы минимальной частоты поглощения и минимальной длины волны излучения.</x:v>
      </x:c>
      <x:c r="N1952" s="30" t="str">
        <x:v>32</x:v>
      </x:c>
      <x:c r="O1952" s="30" t="str">
        <x:v>Минимальная частота соответствует минимальному поглощаемому перепаду, минимальная длина волны — максимальному излучаемому; коды 3 и 2.</x:v>
      </x:c>
      <x:c r="P1952" s="30" t="str">
        <x:v>Минимальная частота соответствует минимальному поглощаемому перепаду, минимальная длина волны — максимальному излучаемому; коды 3 и 2.</x:v>
      </x:c>
      <x:c r="Q1952" s="30"/>
      <x:c r="R1952" s="30" t="str">
        <x:v>Официальные задания Запад + общий краткий ключ + независимое решение</x:v>
      </x:c>
      <x:c r="S1952" s="30"/>
      <x:c r="T1952" s="30"/>
      <x:c r="U1952" s="30" t="str">
        <x:v>Расхождений не обнаружено.</x:v>
      </x:c>
      <x:c r="V1952" s="87" t="str">
        <x:v>VERIFIED</x:v>
      </x:c>
      <x:c r="W1952" s="87" t="str">
        <x:v>Официальный PDF</x:v>
      </x:c>
      <x:c r="X1952" s="87"/>
      <x:c r="Y1952" s="87"/>
      <x:c r="Z1952" s="87"/>
      <x:c r="AA1952" s="87"/>
      <x:c r="AB1952" s="87"/>
      <x:c r="AC1952" s="87"/>
      <x:c r="AD1952" s="87"/>
      <x:c r="AE1952" s="87"/>
      <x:c r="AF1952" s="87"/>
      <x:c r="AG1952" s="87"/>
      <x:c r="AH1952" s="87"/>
      <x:c r="AI1952" s="30"/>
      <x:c r="AJ1952" s="87" t="str">
        <x:v>master</x:v>
      </x:c>
      <x:c r="AK1952" s="87" t="str">
        <x:v>master-v0.81</x:v>
      </x:c>
      <x:c r="AL1952" s="87" t="str">
        <x:v>statgrad_master_base_v0_81_final(2).xlsx</x:v>
      </x:c>
      <x:c r="AM1952" s="87" t="str">
        <x:v>PHYS_Apr_V2</x:v>
      </x:c>
      <x:c r="AN1952" s="87" t="n">
        <x:v>18</x:v>
      </x:c>
    </x:row>
    <x:row r="1953">
      <x:c r="A1953" s="87" t="n">
        <x:v>1952</x:v>
      </x:c>
      <x:c r="B1953" s="87" t="str">
        <x:v>APR-PHYS-V2-018</x:v>
      </x:c>
      <x:c r="C1953" s="87" t="str">
        <x:v>СтатГрад</x:v>
      </x:c>
      <x:c r="D1953" s="87" t="str">
        <x:v>Апрель 2026</x:v>
      </x:c>
      <x:c r="E1953" s="87"/>
      <x:c r="F1953" s="87"/>
      <x:c r="G1953" s="87" t="str">
        <x:v>Физика</x:v>
      </x:c>
      <x:c r="H1953" s="87" t="n">
        <x:v>11</x:v>
      </x:c>
      <x:c r="I1953" s="87" t="str">
        <x:v>ТР №5</x:v>
      </x:c>
      <x:c r="J1953" s="87" t="str">
        <x:v>ФИ2510502</x:v>
      </x:c>
      <x:c r="K1953" s="87" t="n">
        <x:v>18</x:v>
      </x:c>
      <x:c r="L1953" s="87" t="str">
        <x:v>Квантовая физика</x:v>
      </x:c>
      <x:c r="M1953" s="30" t="str">
        <x:v>Выбрать верные утверждения по законам фотоэффекта и свойствам излучения.</x:v>
      </x:c>
      <x:c r="N1953" s="30" t="str">
        <x:v>134</x:v>
      </x:c>
      <x:c r="O1953" s="30" t="str">
        <x:v>Верны утверждения 1, 3 и 4; остальные противоречат уравнению фотоэффекта или связи энергии и частоты.</x:v>
      </x:c>
      <x:c r="P1953" s="30" t="str">
        <x:v>Верны утверждения 1, 3 и 4; остальные противоречат уравнению фотоэффекта или связи энергии и частоты.</x:v>
      </x:c>
      <x:c r="Q1953" s="30"/>
      <x:c r="R1953" s="30" t="str">
        <x:v>Официальные задания Запад + общий краткий ключ + независимое решение</x:v>
      </x:c>
      <x:c r="S1953" s="30"/>
      <x:c r="T1953" s="30"/>
      <x:c r="U1953" s="30" t="str">
        <x:v>Расхождений не обнаружено.</x:v>
      </x:c>
      <x:c r="V1953" s="87" t="str">
        <x:v>VERIFIED</x:v>
      </x:c>
      <x:c r="W1953" s="87" t="str">
        <x:v>Официальный PDF</x:v>
      </x:c>
      <x:c r="X1953" s="87"/>
      <x:c r="Y1953" s="87"/>
      <x:c r="Z1953" s="87"/>
      <x:c r="AA1953" s="87"/>
      <x:c r="AB1953" s="87"/>
      <x:c r="AC1953" s="87"/>
      <x:c r="AD1953" s="87"/>
      <x:c r="AE1953" s="87"/>
      <x:c r="AF1953" s="87"/>
      <x:c r="AG1953" s="87"/>
      <x:c r="AH1953" s="87"/>
      <x:c r="AI1953" s="30"/>
      <x:c r="AJ1953" s="87" t="str">
        <x:v>master</x:v>
      </x:c>
      <x:c r="AK1953" s="87" t="str">
        <x:v>master-v0.81</x:v>
      </x:c>
      <x:c r="AL1953" s="87" t="str">
        <x:v>statgrad_master_base_v0_81_final(2).xlsx</x:v>
      </x:c>
      <x:c r="AM1953" s="87" t="str">
        <x:v>PHYS_Apr_V2</x:v>
      </x:c>
      <x:c r="AN1953" s="87" t="n">
        <x:v>19</x:v>
      </x:c>
    </x:row>
    <x:row r="1954">
      <x:c r="A1954" s="87" t="n">
        <x:v>1953</x:v>
      </x:c>
      <x:c r="B1954" s="87" t="str">
        <x:v>APR-PHYS-V2-019</x:v>
      </x:c>
      <x:c r="C1954" s="87" t="str">
        <x:v>СтатГрад</x:v>
      </x:c>
      <x:c r="D1954" s="87" t="str">
        <x:v>Апрель 2026</x:v>
      </x:c>
      <x:c r="E1954" s="87"/>
      <x:c r="F1954" s="87"/>
      <x:c r="G1954" s="87" t="str">
        <x:v>Физика</x:v>
      </x:c>
      <x:c r="H1954" s="87" t="n">
        <x:v>11</x:v>
      </x:c>
      <x:c r="I1954" s="87" t="str">
        <x:v>ТР №5</x:v>
      </x:c>
      <x:c r="J1954" s="87" t="str">
        <x:v>ФИ2510502</x:v>
      </x:c>
      <x:c r="K1954" s="87" t="n">
        <x:v>19</x:v>
      </x:c>
      <x:c r="L1954" s="87" t="str">
        <x:v>Снятие показаний прибора</x:v>
      </x:c>
      <x:c r="M1954" s="30" t="str">
        <x:v>Определить показание динамометра с погрешностью.</x:v>
      </x:c>
      <x:c r="N1954" s="30" t="str">
        <x:v>(2,6±0,2)</x:v>
      </x:c>
      <x:c r="O1954" s="30" t="str">
        <x:v>По шкале показание 2,6 Н, погрешность 0,2 Н.</x:v>
      </x:c>
      <x:c r="P1954" s="30" t="str">
        <x:v>Оригинальное изображение прибора проверено визуально.</x:v>
      </x:c>
      <x:c r="Q1954" s="30"/>
      <x:c r="R1954" s="30" t="str">
        <x:v>Официальные задания Запад + общий краткий ключ + независимое решение</x:v>
      </x:c>
      <x:c r="S1954" s="30"/>
      <x:c r="T1954" s="30"/>
      <x:c r="U1954" s="30" t="str">
        <x:v>Расхождений не обнаружено.</x:v>
      </x:c>
      <x:c r="V1954" s="87" t="str">
        <x:v>VERIFIED</x:v>
      </x:c>
      <x:c r="W1954" s="87" t="str">
        <x:v>Официальный PDF</x:v>
      </x:c>
      <x:c r="X1954" s="87"/>
      <x:c r="Y1954" s="87"/>
      <x:c r="Z1954" s="87"/>
      <x:c r="AA1954" s="87"/>
      <x:c r="AB1954" s="87"/>
      <x:c r="AC1954" s="87"/>
      <x:c r="AD1954" s="87"/>
      <x:c r="AE1954" s="87"/>
      <x:c r="AF1954" s="87"/>
      <x:c r="AG1954" s="87"/>
      <x:c r="AH1954" s="87"/>
      <x:c r="AI1954" s="30"/>
      <x:c r="AJ1954" s="87" t="str">
        <x:v>master</x:v>
      </x:c>
      <x:c r="AK1954" s="87" t="str">
        <x:v>master-v0.81</x:v>
      </x:c>
      <x:c r="AL1954" s="87" t="str">
        <x:v>statgrad_master_base_v0_81_final(2).xlsx</x:v>
      </x:c>
      <x:c r="AM1954" s="87" t="str">
        <x:v>PHYS_Apr_V2</x:v>
      </x:c>
      <x:c r="AN1954" s="87" t="n">
        <x:v>20</x:v>
      </x:c>
    </x:row>
    <x:row r="1955">
      <x:c r="A1955" s="87" t="n">
        <x:v>1954</x:v>
      </x:c>
      <x:c r="B1955" s="87" t="str">
        <x:v>APR-PHYS-V2-020</x:v>
      </x:c>
      <x:c r="C1955" s="87" t="str">
        <x:v>СтатГрад</x:v>
      </x:c>
      <x:c r="D1955" s="87" t="str">
        <x:v>Апрель 2026</x:v>
      </x:c>
      <x:c r="E1955" s="87"/>
      <x:c r="F1955" s="87"/>
      <x:c r="G1955" s="87" t="str">
        <x:v>Физика</x:v>
      </x:c>
      <x:c r="H1955" s="87" t="n">
        <x:v>11</x:v>
      </x:c>
      <x:c r="I1955" s="87" t="str">
        <x:v>ТР №5</x:v>
      </x:c>
      <x:c r="J1955" s="87" t="str">
        <x:v>ФИ2510502</x:v>
      </x:c>
      <x:c r="K1955" s="87" t="n">
        <x:v>20</x:v>
      </x:c>
      <x:c r="L1955" s="87" t="str">
        <x:v>Оптический эксперимент</x:v>
      </x:c>
      <x:c r="M1955" s="30" t="str">
        <x:v>Выбрать две установки для исследования зависимости размера изображения от расстояния до предмета.</x:v>
      </x:c>
      <x:c r="N1955" s="30" t="str">
        <x:v>14</x:v>
      </x:c>
      <x:c r="O1955" s="30" t="str">
        <x:v>Установки 1 и 4 изменяют только расстояние до предмета при сохранении линзы и размера предмета.</x:v>
      </x:c>
      <x:c r="P1955" s="30" t="str">
        <x:v>Установки 1 и 4 изменяют только расстояние до предмета при сохранении линзы и размера предмета.</x:v>
      </x:c>
      <x:c r="Q1955" s="30"/>
      <x:c r="R1955" s="30" t="str">
        <x:v>Официальные задания Запад + общий краткий ключ + независимое решение</x:v>
      </x:c>
      <x:c r="S1955" s="30"/>
      <x:c r="T1955" s="30"/>
      <x:c r="U1955" s="30" t="str">
        <x:v>Расхождений не обнаружено.</x:v>
      </x:c>
      <x:c r="V1955" s="87" t="str">
        <x:v>VERIFIED</x:v>
      </x:c>
      <x:c r="W1955" s="87" t="str">
        <x:v>Официальный PDF</x:v>
      </x:c>
      <x:c r="X1955" s="87"/>
      <x:c r="Y1955" s="87"/>
      <x:c r="Z1955" s="87"/>
      <x:c r="AA1955" s="87"/>
      <x:c r="AB1955" s="87"/>
      <x:c r="AC1955" s="87"/>
      <x:c r="AD1955" s="87"/>
      <x:c r="AE1955" s="87"/>
      <x:c r="AF1955" s="87"/>
      <x:c r="AG1955" s="87"/>
      <x:c r="AH1955" s="87"/>
      <x:c r="AI1955" s="30"/>
      <x:c r="AJ1955" s="87" t="str">
        <x:v>master</x:v>
      </x:c>
      <x:c r="AK1955" s="87" t="str">
        <x:v>master-v0.81</x:v>
      </x:c>
      <x:c r="AL1955" s="87" t="str">
        <x:v>statgrad_master_base_v0_81_final(2).xlsx</x:v>
      </x:c>
      <x:c r="AM1955" s="87" t="str">
        <x:v>PHYS_Apr_V2</x:v>
      </x:c>
      <x:c r="AN1955" s="87" t="n">
        <x:v>21</x:v>
      </x:c>
    </x:row>
    <x:row r="1956">
      <x:c r="A1956" s="87" t="n">
        <x:v>1955</x:v>
      </x:c>
      <x:c r="B1956" s="87" t="str">
        <x:v>APR-PHYS-V2-021</x:v>
      </x:c>
      <x:c r="C1956" s="87" t="str">
        <x:v>СтатГрад</x:v>
      </x:c>
      <x:c r="D1956" s="87" t="str">
        <x:v>Апрель 2026</x:v>
      </x:c>
      <x:c r="E1956" s="87"/>
      <x:c r="F1956" s="87"/>
      <x:c r="G1956" s="87" t="str">
        <x:v>Физика</x:v>
      </x:c>
      <x:c r="H1956" s="87" t="n">
        <x:v>11</x:v>
      </x:c>
      <x:c r="I1956" s="87" t="str">
        <x:v>ТР №5</x:v>
      </x:c>
      <x:c r="J1956" s="87" t="str">
        <x:v>ФИ2510502</x:v>
      </x:c>
      <x:c r="K1956" s="87" t="n">
        <x:v>21</x:v>
      </x:c>
      <x:c r="L1956" s="87" t="str">
        <x:v>Термодинамический процесс по p–T</x:v>
      </x:c>
      <x:c r="M1956" s="30" t="str">
        <x:v>Для процессов 1→2 и 2→3 определить изменения объёма и внутренней энергии.</x:v>
      </x:c>
      <x:c r="N1956" s="30" t="str">
        <x:v>1→2: V const, U увеличивается; 2→3: V уменьшается, U не изменяется</x:v>
      </x:c>
      <x:c r="O1956" s="30" t="str">
        <x:v>1→2 — изохора с ростом температуры. 2→3 — изотермический процесс: температура и внутренняя энергия постоянны, при росте давления объём уменьшается.</x:v>
      </x:c>
      <x:c r="P1956" s="30" t="str">
        <x:v>Ответ совпал с официальной моделью.</x:v>
      </x:c>
      <x:c r="Q1956" s="30"/>
      <x:c r="R1956" s="30" t="str">
        <x:v>Официальные задания Запад + общий краткий ключ + независимое решение</x:v>
      </x:c>
      <x:c r="S1956" s="30"/>
      <x:c r="T1956" s="30"/>
      <x:c r="U1956" s="30" t="str">
        <x:v>Расхождений не обнаружено.</x:v>
      </x:c>
      <x:c r="V1956" s="87" t="str">
        <x:v>VERIFIED</x:v>
      </x:c>
      <x:c r="W1956" s="87" t="str">
        <x:v>Официальный PDF</x:v>
      </x:c>
      <x:c r="X1956" s="87"/>
      <x:c r="Y1956" s="87"/>
      <x:c r="Z1956" s="87"/>
      <x:c r="AA1956" s="87"/>
      <x:c r="AB1956" s="87"/>
      <x:c r="AC1956" s="87"/>
      <x:c r="AD1956" s="87"/>
      <x:c r="AE1956" s="87"/>
      <x:c r="AF1956" s="87"/>
      <x:c r="AG1956" s="87"/>
      <x:c r="AH1956" s="87"/>
      <x:c r="AI1956" s="30"/>
      <x:c r="AJ1956" s="87" t="str">
        <x:v>master</x:v>
      </x:c>
      <x:c r="AK1956" s="87" t="str">
        <x:v>master-v0.81</x:v>
      </x:c>
      <x:c r="AL1956" s="87" t="str">
        <x:v>statgrad_master_base_v0_81_final(2).xlsx</x:v>
      </x:c>
      <x:c r="AM1956" s="87" t="str">
        <x:v>PHYS_Apr_V2</x:v>
      </x:c>
      <x:c r="AN1956" s="87" t="n">
        <x:v>22</x:v>
      </x:c>
    </x:row>
    <x:row r="1957">
      <x:c r="A1957" s="87" t="n">
        <x:v>1956</x:v>
      </x:c>
      <x:c r="B1957" s="87" t="str">
        <x:v>APR-PHYS-V2-022</x:v>
      </x:c>
      <x:c r="C1957" s="87" t="str">
        <x:v>СтатГрад</x:v>
      </x:c>
      <x:c r="D1957" s="87" t="str">
        <x:v>Апрель 2026</x:v>
      </x:c>
      <x:c r="E1957" s="87"/>
      <x:c r="F1957" s="87"/>
      <x:c r="G1957" s="87" t="str">
        <x:v>Физика</x:v>
      </x:c>
      <x:c r="H1957" s="87" t="n">
        <x:v>11</x:v>
      </x:c>
      <x:c r="I1957" s="87" t="str">
        <x:v>ТР №5</x:v>
      </x:c>
      <x:c r="J1957" s="87" t="str">
        <x:v>ФИ2510502</x:v>
      </x:c>
      <x:c r="K1957" s="87" t="n">
        <x:v>22</x:v>
      </x:c>
      <x:c r="L1957" s="87" t="str">
        <x:v>Баллистическое движение</x:v>
      </x:c>
      <x:c r="M1957" s="30" t="str">
        <x:v>Тело брошено горизонтально, падало 3 с; минимальная скорость 15 м/с. Найти дальность полёта.</x:v>
      </x:c>
      <x:c r="N1957" s="30" t="str">
        <x:v>45 м</x:v>
      </x:c>
      <x:c r="O1957" s="30" t="str">
        <x:v>L=v₀t=15·3=45 м.</x:v>
      </x:c>
      <x:c r="P1957" s="30" t="str">
        <x:v>L=v₀t=15·3=45 м.</x:v>
      </x:c>
      <x:c r="Q1957" s="30"/>
      <x:c r="R1957" s="30" t="str">
        <x:v>Официальные задания Запад + общий краткий ключ + независимое решение</x:v>
      </x:c>
      <x:c r="S1957" s="30"/>
      <x:c r="T1957" s="30"/>
      <x:c r="U1957" s="30" t="str">
        <x:v>Расхождений не обнаружено.</x:v>
      </x:c>
      <x:c r="V1957" s="87" t="str">
        <x:v>VERIFIED</x:v>
      </x:c>
      <x:c r="W1957" s="87" t="str">
        <x:v>Официальный PDF</x:v>
      </x:c>
      <x:c r="X1957" s="87"/>
      <x:c r="Y1957" s="87"/>
      <x:c r="Z1957" s="87"/>
      <x:c r="AA1957" s="87"/>
      <x:c r="AB1957" s="87"/>
      <x:c r="AC1957" s="87"/>
      <x:c r="AD1957" s="87"/>
      <x:c r="AE1957" s="87"/>
      <x:c r="AF1957" s="87"/>
      <x:c r="AG1957" s="87"/>
      <x:c r="AH1957" s="87"/>
      <x:c r="AI1957" s="30"/>
      <x:c r="AJ1957" s="87" t="str">
        <x:v>master</x:v>
      </x:c>
      <x:c r="AK1957" s="87" t="str">
        <x:v>master-v0.81</x:v>
      </x:c>
      <x:c r="AL1957" s="87" t="str">
        <x:v>statgrad_master_base_v0_81_final(2).xlsx</x:v>
      </x:c>
      <x:c r="AM1957" s="87" t="str">
        <x:v>PHYS_Apr_V2</x:v>
      </x:c>
      <x:c r="AN1957" s="87" t="n">
        <x:v>23</x:v>
      </x:c>
    </x:row>
    <x:row r="1958">
      <x:c r="A1958" s="87" t="n">
        <x:v>1957</x:v>
      </x:c>
      <x:c r="B1958" s="87" t="str">
        <x:v>APR-PHYS-V2-023</x:v>
      </x:c>
      <x:c r="C1958" s="87" t="str">
        <x:v>СтатГрад</x:v>
      </x:c>
      <x:c r="D1958" s="87" t="str">
        <x:v>Апрель 2026</x:v>
      </x:c>
      <x:c r="E1958" s="87"/>
      <x:c r="F1958" s="87"/>
      <x:c r="G1958" s="87" t="str">
        <x:v>Физика</x:v>
      </x:c>
      <x:c r="H1958" s="87" t="n">
        <x:v>11</x:v>
      </x:c>
      <x:c r="I1958" s="87" t="str">
        <x:v>ТР №5</x:v>
      </x:c>
      <x:c r="J1958" s="87" t="str">
        <x:v>ФИ2510502</x:v>
      </x:c>
      <x:c r="K1958" s="87" t="n">
        <x:v>23</x:v>
      </x:c>
      <x:c r="L1958" s="87" t="str">
        <x:v>Электромагнитные колебания</x:v>
      </x:c>
      <x:c r="M1958" s="30" t="str">
        <x:v>Максимальное напряжение 280 В; электрическая энергия в три раза больше магнитной. Найти мгновенное напряжение.</x:v>
      </x:c>
      <x:c r="N1958" s="30" t="str">
        <x:v>242,5 В</x:v>
      </x:c>
      <x:c r="O1958" s="30" t="str">
        <x:v>Электрическая энергия составляет 3/4 полной, поэтому U=Umax√(3/4)=280·√3/2≈242,5 В.</x:v>
      </x:c>
      <x:c r="P1958" s="30" t="str">
        <x:v>Электрическая энергия составляет 3/4 полной, поэтому U=Umax√(3/4)=280·√3/2≈242,5 В.</x:v>
      </x:c>
      <x:c r="Q1958" s="30"/>
      <x:c r="R1958" s="30" t="str">
        <x:v>Официальные задания Запад + общий краткий ключ + независимое решение</x:v>
      </x:c>
      <x:c r="S1958" s="30"/>
      <x:c r="T1958" s="30"/>
      <x:c r="U1958" s="30" t="str">
        <x:v>Расхождений не обнаружено.</x:v>
      </x:c>
      <x:c r="V1958" s="87" t="str">
        <x:v>VERIFIED</x:v>
      </x:c>
      <x:c r="W1958" s="87" t="str">
        <x:v>Официальный PDF</x:v>
      </x:c>
      <x:c r="X1958" s="87"/>
      <x:c r="Y1958" s="87"/>
      <x:c r="Z1958" s="87"/>
      <x:c r="AA1958" s="87"/>
      <x:c r="AB1958" s="87"/>
      <x:c r="AC1958" s="87"/>
      <x:c r="AD1958" s="87"/>
      <x:c r="AE1958" s="87"/>
      <x:c r="AF1958" s="87"/>
      <x:c r="AG1958" s="87"/>
      <x:c r="AH1958" s="87"/>
      <x:c r="AI1958" s="30"/>
      <x:c r="AJ1958" s="87" t="str">
        <x:v>master</x:v>
      </x:c>
      <x:c r="AK1958" s="87" t="str">
        <x:v>master-v0.81</x:v>
      </x:c>
      <x:c r="AL1958" s="87" t="str">
        <x:v>statgrad_master_base_v0_81_final(2).xlsx</x:v>
      </x:c>
      <x:c r="AM1958" s="87" t="str">
        <x:v>PHYS_Apr_V2</x:v>
      </x:c>
      <x:c r="AN1958" s="87" t="n">
        <x:v>24</x:v>
      </x:c>
    </x:row>
    <x:row r="1959">
      <x:c r="A1959" s="87" t="n">
        <x:v>1958</x:v>
      </x:c>
      <x:c r="B1959" s="87" t="str">
        <x:v>APR-PHYS-V2-024</x:v>
      </x:c>
      <x:c r="C1959" s="87" t="str">
        <x:v>СтатГрад</x:v>
      </x:c>
      <x:c r="D1959" s="87" t="str">
        <x:v>Апрель 2026</x:v>
      </x:c>
      <x:c r="E1959" s="87"/>
      <x:c r="F1959" s="87"/>
      <x:c r="G1959" s="87" t="str">
        <x:v>Физика</x:v>
      </x:c>
      <x:c r="H1959" s="87" t="n">
        <x:v>11</x:v>
      </x:c>
      <x:c r="I1959" s="87" t="str">
        <x:v>ТР №5</x:v>
      </x:c>
      <x:c r="J1959" s="87" t="str">
        <x:v>ФИ2510502</x:v>
      </x:c>
      <x:c r="K1959" s="87" t="n">
        <x:v>24</x:v>
      </x:c>
      <x:c r="L1959" s="87" t="str">
        <x:v>Термодинамика под поршнем</x:v>
      </x:c>
      <x:c r="M1959" s="30" t="str">
        <x:v>Масса поршня 0,5 т, площадь 0,5 м², газу сообщили 300 кДж, среднеквадратичная скорость увеличилась на 60%, атмосферное давление 98,4 кПа. Найти начальный объём.</x:v>
      </x:c>
      <x:c r="N1959" s="30" t="str">
        <x:v>0,71 м³</x:v>
      </x:c>
      <x:c r="O1959" s="30" t="str">
        <x:v>T₂/T₁=1,6²=2,56. При постоянном давлении V₂=2,56V₁. Подстановка в Q=ΔU+A даёт V₁≈0,71 м³.</x:v>
      </x:c>
      <x:c r="P1959" s="30" t="str">
        <x:v>Расчёт сверён с официальным критерием.</x:v>
      </x:c>
      <x:c r="Q1959" s="30"/>
      <x:c r="R1959" s="30" t="str">
        <x:v>Официальные задания Запад + общий краткий ключ + независимое решение</x:v>
      </x:c>
      <x:c r="S1959" s="30"/>
      <x:c r="T1959" s="30"/>
      <x:c r="U1959" s="30" t="str">
        <x:v>Расхождений не обнаружено.</x:v>
      </x:c>
      <x:c r="V1959" s="87" t="str">
        <x:v>VERIFIED</x:v>
      </x:c>
      <x:c r="W1959" s="87" t="str">
        <x:v>Официальный PDF</x:v>
      </x:c>
      <x:c r="X1959" s="87"/>
      <x:c r="Y1959" s="87"/>
      <x:c r="Z1959" s="87"/>
      <x:c r="AA1959" s="87"/>
      <x:c r="AB1959" s="87"/>
      <x:c r="AC1959" s="87"/>
      <x:c r="AD1959" s="87"/>
      <x:c r="AE1959" s="87"/>
      <x:c r="AF1959" s="87"/>
      <x:c r="AG1959" s="87"/>
      <x:c r="AH1959" s="87"/>
      <x:c r="AI1959" s="30"/>
      <x:c r="AJ1959" s="87" t="str">
        <x:v>master</x:v>
      </x:c>
      <x:c r="AK1959" s="87" t="str">
        <x:v>master-v0.81</x:v>
      </x:c>
      <x:c r="AL1959" s="87" t="str">
        <x:v>statgrad_master_base_v0_81_final(2).xlsx</x:v>
      </x:c>
      <x:c r="AM1959" s="87" t="str">
        <x:v>PHYS_Apr_V2</x:v>
      </x:c>
      <x:c r="AN1959" s="87" t="n">
        <x:v>25</x:v>
      </x:c>
    </x:row>
    <x:row r="1960">
      <x:c r="A1960" s="87" t="n">
        <x:v>1959</x:v>
      </x:c>
      <x:c r="B1960" s="87" t="str">
        <x:v>APR-PHYS-V2-025</x:v>
      </x:c>
      <x:c r="C1960" s="87" t="str">
        <x:v>СтатГрад</x:v>
      </x:c>
      <x:c r="D1960" s="87" t="str">
        <x:v>Апрель 2026</x:v>
      </x:c>
      <x:c r="E1960" s="87"/>
      <x:c r="F1960" s="87"/>
      <x:c r="G1960" s="87" t="str">
        <x:v>Физика</x:v>
      </x:c>
      <x:c r="H1960" s="87" t="n">
        <x:v>11</x:v>
      </x:c>
      <x:c r="I1960" s="87" t="str">
        <x:v>ТР №5</x:v>
      </x:c>
      <x:c r="J1960" s="87" t="str">
        <x:v>ФИ2510502</x:v>
      </x:c>
      <x:c r="K1960" s="87" t="n">
        <x:v>25</x:v>
      </x:c>
      <x:c r="L1960" s="87" t="str">
        <x:v>Линза и плоское зеркало</x:v>
      </x:c>
      <x:c r="M1960" s="30" t="str">
        <x:v>Собирающая линза F=30 см, зеркало на расстоянии 30 см, источник на расстоянии 40 см перед линзой. Найти окончательное изображение.</x:v>
      </x:c>
      <x:c r="N1960" s="30" t="str">
        <x:v>20 см от линзы со стороны источника</x:v>
      </x:c>
      <x:c r="O1960" s="30" t="str">
        <x:v>Последовательное применение формулы тонкой линзы, построения изображения зеркалом и обратного хода даёт 20 см слева от линзы.</x:v>
      </x:c>
      <x:c r="P1960" s="30" t="str">
        <x:v>Последовательное применение формулы тонкой линзы, построения изображения зеркалом и обратного хода даёт 20 см слева от линзы.</x:v>
      </x:c>
      <x:c r="Q1960" s="30"/>
      <x:c r="R1960" s="30" t="str">
        <x:v>Официальные задания Запад + общий краткий ключ + независимое решение</x:v>
      </x:c>
      <x:c r="S1960" s="30"/>
      <x:c r="T1960" s="30"/>
      <x:c r="U1960" s="30" t="str">
        <x:v>Расхождений не обнаружено.</x:v>
      </x:c>
      <x:c r="V1960" s="87" t="str">
        <x:v>VERIFIED</x:v>
      </x:c>
      <x:c r="W1960" s="87" t="str">
        <x:v>Официальный PDF</x:v>
      </x:c>
      <x:c r="X1960" s="87"/>
      <x:c r="Y1960" s="87"/>
      <x:c r="Z1960" s="87"/>
      <x:c r="AA1960" s="87"/>
      <x:c r="AB1960" s="87"/>
      <x:c r="AC1960" s="87"/>
      <x:c r="AD1960" s="87"/>
      <x:c r="AE1960" s="87"/>
      <x:c r="AF1960" s="87"/>
      <x:c r="AG1960" s="87"/>
      <x:c r="AH1960" s="87"/>
      <x:c r="AI1960" s="30"/>
      <x:c r="AJ1960" s="87" t="str">
        <x:v>master</x:v>
      </x:c>
      <x:c r="AK1960" s="87" t="str">
        <x:v>master-v0.81</x:v>
      </x:c>
      <x:c r="AL1960" s="87" t="str">
        <x:v>statgrad_master_base_v0_81_final(2).xlsx</x:v>
      </x:c>
      <x:c r="AM1960" s="87" t="str">
        <x:v>PHYS_Apr_V2</x:v>
      </x:c>
      <x:c r="AN1960" s="87" t="n">
        <x:v>26</x:v>
      </x:c>
    </x:row>
    <x:row r="1961">
      <x:c r="A1961" s="87" t="n">
        <x:v>1960</x:v>
      </x:c>
      <x:c r="B1961" s="87" t="str">
        <x:v>APR-PHYS-V2-026</x:v>
      </x:c>
      <x:c r="C1961" s="87" t="str">
        <x:v>СтатГрад</x:v>
      </x:c>
      <x:c r="D1961" s="87" t="str">
        <x:v>Апрель 2026</x:v>
      </x:c>
      <x:c r="E1961" s="87"/>
      <x:c r="F1961" s="87"/>
      <x:c r="G1961" s="87" t="str">
        <x:v>Физика</x:v>
      </x:c>
      <x:c r="H1961" s="87" t="n">
        <x:v>11</x:v>
      </x:c>
      <x:c r="I1961" s="87" t="str">
        <x:v>ТР №5</x:v>
      </x:c>
      <x:c r="J1961" s="87" t="str">
        <x:v>ФИ2510502</x:v>
      </x:c>
      <x:c r="K1961" s="87" t="n">
        <x:v>26</x:v>
      </x:c>
      <x:c r="L1961" s="87" t="str">
        <x:v>Связанные тела и трение</x:v>
      </x:c>
      <x:c r="M1961" s="30" t="str">
        <x:v>Доска массой 4m, груз массой 3m, подвешенный брусок массой 3m; определить минимальный коэффициент трения, при котором груз не скользит по доске.</x:v>
      </x:c>
      <x:c r="N1961" s="30" t="str">
        <x:v>0,4</x:v>
      </x:c>
      <x:c r="O1961" s="30" t="str">
        <x:v>Общее ускорение системы a=3g/(4+3+3)=0,3g. Для разгона доски нужна сила трения 4m·0,3g=1,2mg; максимум трения μ·3mg. Отсюда μ≥1,2/3=0,4.</x:v>
      </x:c>
      <x:c r="P1961" s="30" t="str">
        <x:v>Результат полностью совпал с официальным критерием ФИ2510503 №26.</x:v>
      </x:c>
      <x:c r="Q1961" s="30"/>
      <x:c r="R1961" s="30" t="str">
        <x:v>Официальные задания Запад + общий краткий ключ + независимое решение</x:v>
      </x:c>
      <x:c r="S1961" s="30"/>
      <x:c r="T1961" s="30"/>
      <x:c r="U1961" s="30" t="str">
        <x:v>Расхождений не обнаружено.</x:v>
      </x:c>
      <x:c r="V1961" s="87" t="str">
        <x:v>VERIFIED</x:v>
      </x:c>
      <x:c r="W1961" s="87" t="str">
        <x:v>Официальный PDF</x:v>
      </x:c>
      <x:c r="X1961" s="87"/>
      <x:c r="Y1961" s="87"/>
      <x:c r="Z1961" s="87"/>
      <x:c r="AA1961" s="87"/>
      <x:c r="AB1961" s="87"/>
      <x:c r="AC1961" s="87"/>
      <x:c r="AD1961" s="87"/>
      <x:c r="AE1961" s="87"/>
      <x:c r="AF1961" s="87"/>
      <x:c r="AG1961" s="87"/>
      <x:c r="AH1961" s="87"/>
      <x:c r="AI1961" s="30"/>
      <x:c r="AJ1961" s="87" t="str">
        <x:v>master</x:v>
      </x:c>
      <x:c r="AK1961" s="87" t="str">
        <x:v>master-v0.81</x:v>
      </x:c>
      <x:c r="AL1961" s="87" t="str">
        <x:v>statgrad_master_base_v0_81_final(2).xlsx</x:v>
      </x:c>
      <x:c r="AM1961" s="87" t="str">
        <x:v>PHYS_Apr_V2</x:v>
      </x:c>
      <x:c r="AN1961" s="87" t="n">
        <x:v>27</x:v>
      </x:c>
    </x:row>
    <x:row r="1962">
      <x:c r="A1962" s="87" t="n">
        <x:v>1961</x:v>
      </x:c>
      <x:c r="B1962" s="87" t="str">
        <x:v>APR-PHYS-V3-001</x:v>
      </x:c>
      <x:c r="C1962" s="87" t="str">
        <x:v>СтатГрад</x:v>
      </x:c>
      <x:c r="D1962" s="87" t="str">
        <x:v>Апрель 2026</x:v>
      </x:c>
      <x:c r="E1962" s="87"/>
      <x:c r="F1962" s="87"/>
      <x:c r="G1962" s="87" t="str">
        <x:v>Физика</x:v>
      </x:c>
      <x:c r="H1962" s="87" t="n">
        <x:v>11</x:v>
      </x:c>
      <x:c r="I1962" s="87" t="str">
        <x:v>ТР №5</x:v>
      </x:c>
      <x:c r="J1962" s="87" t="str">
        <x:v>ФИ2510503</x:v>
      </x:c>
      <x:c r="K1962" s="87" t="n">
        <x:v>1</x:v>
      </x:c>
      <x:c r="L1962" s="87" t="str">
        <x:v>Кинематика по графику</x:v>
      </x:c>
      <x:c r="M1962" s="30" t="str">
        <x:v>По графику зависимости скорости автомобиля от времени определить путь за первые 30 с.</x:v>
      </x:c>
      <x:c r="N1962" s="30" t="str">
        <x:v>250</x:v>
      </x:c>
      <x:c r="O1962" s="30" t="str">
        <x:v>Путь равен площади под графиком v(t) на интервале 0–30 с; сумма площадей участков даёт 250 м.</x:v>
      </x:c>
      <x:c r="P1962" s="30" t="str">
        <x:v>Путь равен площади под графиком v(t) на интервале 0–30 с; сумма площадей участков даёт 250 м.</x:v>
      </x:c>
      <x:c r="Q1962" s="30"/>
      <x:c r="R1962" s="30" t="str">
        <x:v>Официальные задания и критерии Восток + общий краткий ключ + независимое решение</x:v>
      </x:c>
      <x:c r="S1962" s="30"/>
      <x:c r="T1962" s="30"/>
      <x:c r="U1962" s="30" t="str">
        <x:v>Расхождений не обнаружено.</x:v>
      </x:c>
      <x:c r="V1962" s="87" t="str">
        <x:v>VERIFIED</x:v>
      </x:c>
      <x:c r="W1962" s="87" t="str">
        <x:v>PDF 501, задание 1</x:v>
      </x:c>
      <x:c r="X1962" s="87"/>
      <x:c r="Y1962" s="87"/>
      <x:c r="Z1962" s="87"/>
      <x:c r="AA1962" s="87"/>
      <x:c r="AB1962" s="87"/>
      <x:c r="AC1962" s="87"/>
      <x:c r="AD1962" s="87"/>
      <x:c r="AE1962" s="87"/>
      <x:c r="AF1962" s="87"/>
      <x:c r="AG1962" s="87"/>
      <x:c r="AH1962" s="87"/>
      <x:c r="AI1962" s="30"/>
      <x:c r="AJ1962" s="87" t="str">
        <x:v>master</x:v>
      </x:c>
      <x:c r="AK1962" s="87" t="str">
        <x:v>master-v0.81</x:v>
      </x:c>
      <x:c r="AL1962" s="87" t="str">
        <x:v>statgrad_master_base_v0_81_final(2).xlsx</x:v>
      </x:c>
      <x:c r="AM1962" s="87" t="str">
        <x:v>PHYS_Apr_V3</x:v>
      </x:c>
      <x:c r="AN1962" s="87" t="n">
        <x:v>2</x:v>
      </x:c>
    </x:row>
    <x:row r="1963">
      <x:c r="A1963" s="87" t="n">
        <x:v>1962</x:v>
      </x:c>
      <x:c r="B1963" s="87" t="str">
        <x:v>APR-PHYS-V3-002</x:v>
      </x:c>
      <x:c r="C1963" s="87" t="str">
        <x:v>СтатГрад</x:v>
      </x:c>
      <x:c r="D1963" s="87" t="str">
        <x:v>Апрель 2026</x:v>
      </x:c>
      <x:c r="E1963" s="87"/>
      <x:c r="F1963" s="87"/>
      <x:c r="G1963" s="87" t="str">
        <x:v>Физика</x:v>
      </x:c>
      <x:c r="H1963" s="87" t="n">
        <x:v>11</x:v>
      </x:c>
      <x:c r="I1963" s="87" t="str">
        <x:v>ТР №5</x:v>
      </x:c>
      <x:c r="J1963" s="87" t="str">
        <x:v>ФИ2510503</x:v>
      </x:c>
      <x:c r="K1963" s="87" t="n">
        <x:v>2</x:v>
      </x:c>
      <x:c r="L1963" s="87" t="str">
        <x:v>Закон Гука</x:v>
      </x:c>
      <x:c r="M1963" s="30" t="str">
        <x:v>По графику силы упругости от удлинения определить жёсткость пружины.</x:v>
      </x:c>
      <x:c r="N1963" s="30" t="str">
        <x:v>250</x:v>
      </x:c>
      <x:c r="O1963" s="30" t="str">
        <x:v>k=F/x=250 Н/м.</x:v>
      </x:c>
      <x:c r="P1963" s="30" t="str">
        <x:v>k=F/x=250 Н/м.</x:v>
      </x:c>
      <x:c r="Q1963" s="30"/>
      <x:c r="R1963" s="30" t="str">
        <x:v>Официальные задания и критерии Восток + общий краткий ключ + независимое решение</x:v>
      </x:c>
      <x:c r="S1963" s="30"/>
      <x:c r="T1963" s="30"/>
      <x:c r="U1963" s="30" t="str">
        <x:v>Расхождений не обнаружено.</x:v>
      </x:c>
      <x:c r="V1963" s="87" t="str">
        <x:v>VERIFIED</x:v>
      </x:c>
      <x:c r="W1963" s="87" t="str">
        <x:v>Официальный PDF</x:v>
      </x:c>
      <x:c r="X1963" s="87"/>
      <x:c r="Y1963" s="87"/>
      <x:c r="Z1963" s="87"/>
      <x:c r="AA1963" s="87"/>
      <x:c r="AB1963" s="87"/>
      <x:c r="AC1963" s="87"/>
      <x:c r="AD1963" s="87"/>
      <x:c r="AE1963" s="87"/>
      <x:c r="AF1963" s="87"/>
      <x:c r="AG1963" s="87"/>
      <x:c r="AH1963" s="87"/>
      <x:c r="AI1963" s="30"/>
      <x:c r="AJ1963" s="87" t="str">
        <x:v>master</x:v>
      </x:c>
      <x:c r="AK1963" s="87" t="str">
        <x:v>master-v0.81</x:v>
      </x:c>
      <x:c r="AL1963" s="87" t="str">
        <x:v>statgrad_master_base_v0_81_final(2).xlsx</x:v>
      </x:c>
      <x:c r="AM1963" s="87" t="str">
        <x:v>PHYS_Apr_V3</x:v>
      </x:c>
      <x:c r="AN1963" s="87" t="n">
        <x:v>3</x:v>
      </x:c>
    </x:row>
    <x:row r="1964">
      <x:c r="A1964" s="87" t="n">
        <x:v>1963</x:v>
      </x:c>
      <x:c r="B1964" s="87" t="str">
        <x:v>APR-PHYS-V3-003</x:v>
      </x:c>
      <x:c r="C1964" s="87" t="str">
        <x:v>СтатГрад</x:v>
      </x:c>
      <x:c r="D1964" s="87" t="str">
        <x:v>Апрель 2026</x:v>
      </x:c>
      <x:c r="E1964" s="87"/>
      <x:c r="F1964" s="87"/>
      <x:c r="G1964" s="87" t="str">
        <x:v>Физика</x:v>
      </x:c>
      <x:c r="H1964" s="87" t="n">
        <x:v>11</x:v>
      </x:c>
      <x:c r="I1964" s="87" t="str">
        <x:v>ТР №5</x:v>
      </x:c>
      <x:c r="J1964" s="87" t="str">
        <x:v>ФИ2510503</x:v>
      </x:c>
      <x:c r="K1964" s="87" t="n">
        <x:v>3</x:v>
      </x:c>
      <x:c r="L1964" s="87" t="str">
        <x:v>Импульс силы</x:v>
      </x:c>
      <x:c r="M1964" s="30" t="str">
        <x:v>Под действием постоянной силы 7 Н импульс тела изменился на 56 кг·м/с. Найти время действия силы.</x:v>
      </x:c>
      <x:c r="N1964" s="30" t="str">
        <x:v>8</x:v>
      </x:c>
      <x:c r="O1964" s="30" t="str">
        <x:v>FΔt=Δp, поэтому Δt=56/7=8 с.</x:v>
      </x:c>
      <x:c r="P1964" s="30" t="str">
        <x:v>FΔt=Δp, поэтому Δt=56/7=8 с.</x:v>
      </x:c>
      <x:c r="Q1964" s="30"/>
      <x:c r="R1964" s="30" t="str">
        <x:v>Официальные задания и критерии Восток + общий краткий ключ + независимое решение</x:v>
      </x:c>
      <x:c r="S1964" s="30"/>
      <x:c r="T1964" s="30"/>
      <x:c r="U1964" s="30" t="str">
        <x:v>Расхождений не обнаружено.</x:v>
      </x:c>
      <x:c r="V1964" s="87" t="str">
        <x:v>VERIFIED</x:v>
      </x:c>
      <x:c r="W1964" s="87" t="str">
        <x:v>Официальный PDF</x:v>
      </x:c>
      <x:c r="X1964" s="87"/>
      <x:c r="Y1964" s="87"/>
      <x:c r="Z1964" s="87"/>
      <x:c r="AA1964" s="87"/>
      <x:c r="AB1964" s="87"/>
      <x:c r="AC1964" s="87"/>
      <x:c r="AD1964" s="87"/>
      <x:c r="AE1964" s="87"/>
      <x:c r="AF1964" s="87"/>
      <x:c r="AG1964" s="87"/>
      <x:c r="AH1964" s="87"/>
      <x:c r="AI1964" s="30"/>
      <x:c r="AJ1964" s="87" t="str">
        <x:v>master</x:v>
      </x:c>
      <x:c r="AK1964" s="87" t="str">
        <x:v>master-v0.81</x:v>
      </x:c>
      <x:c r="AL1964" s="87" t="str">
        <x:v>statgrad_master_base_v0_81_final(2).xlsx</x:v>
      </x:c>
      <x:c r="AM1964" s="87" t="str">
        <x:v>PHYS_Apr_V3</x:v>
      </x:c>
      <x:c r="AN1964" s="87" t="n">
        <x:v>4</x:v>
      </x:c>
    </x:row>
    <x:row r="1965">
      <x:c r="A1965" s="87" t="n">
        <x:v>1964</x:v>
      </x:c>
      <x:c r="B1965" s="87" t="str">
        <x:v>APR-PHYS-V3-004</x:v>
      </x:c>
      <x:c r="C1965" s="87" t="str">
        <x:v>СтатГрад</x:v>
      </x:c>
      <x:c r="D1965" s="87" t="str">
        <x:v>Апрель 2026</x:v>
      </x:c>
      <x:c r="E1965" s="87"/>
      <x:c r="F1965" s="87"/>
      <x:c r="G1965" s="87" t="str">
        <x:v>Физика</x:v>
      </x:c>
      <x:c r="H1965" s="87" t="n">
        <x:v>11</x:v>
      </x:c>
      <x:c r="I1965" s="87" t="str">
        <x:v>ТР №5</x:v>
      </x:c>
      <x:c r="J1965" s="87" t="str">
        <x:v>ФИ2510503</x:v>
      </x:c>
      <x:c r="K1965" s="87" t="n">
        <x:v>4</x:v>
      </x:c>
      <x:c r="L1965" s="87" t="str">
        <x:v>Гармонические колебания</x:v>
      </x:c>
      <x:c r="M1965" s="30" t="str">
        <x:v>Частота колебаний 2 Гц. Найти время от максимума потенциальной энергии до ближайшего максимума кинетической.</x:v>
      </x:c>
      <x:c r="N1965" s="30" t="str">
        <x:v>125</x:v>
      </x:c>
      <x:c r="O1965" s="30" t="str">
        <x:v>T=0,5 с; переход занимает T/4=0,125 с=125 мс.</x:v>
      </x:c>
      <x:c r="P1965" s="30" t="str">
        <x:v>T=0,5 с; переход занимает T/4=0,125 с=125 мс.</x:v>
      </x:c>
      <x:c r="Q1965" s="30"/>
      <x:c r="R1965" s="30" t="str">
        <x:v>Официальные задания и критерии Восток + общий краткий ключ + независимое решение</x:v>
      </x:c>
      <x:c r="S1965" s="30"/>
      <x:c r="T1965" s="30"/>
      <x:c r="U1965" s="30" t="str">
        <x:v>Расхождений не обнаружено.</x:v>
      </x:c>
      <x:c r="V1965" s="87" t="str">
        <x:v>VERIFIED</x:v>
      </x:c>
      <x:c r="W1965" s="87" t="str">
        <x:v>Официальный PDF</x:v>
      </x:c>
      <x:c r="X1965" s="87"/>
      <x:c r="Y1965" s="87"/>
      <x:c r="Z1965" s="87"/>
      <x:c r="AA1965" s="87"/>
      <x:c r="AB1965" s="87"/>
      <x:c r="AC1965" s="87"/>
      <x:c r="AD1965" s="87"/>
      <x:c r="AE1965" s="87"/>
      <x:c r="AF1965" s="87"/>
      <x:c r="AG1965" s="87"/>
      <x:c r="AH1965" s="87"/>
      <x:c r="AI1965" s="30"/>
      <x:c r="AJ1965" s="87" t="str">
        <x:v>master</x:v>
      </x:c>
      <x:c r="AK1965" s="87" t="str">
        <x:v>master-v0.81</x:v>
      </x:c>
      <x:c r="AL1965" s="87" t="str">
        <x:v>statgrad_master_base_v0_81_final(2).xlsx</x:v>
      </x:c>
      <x:c r="AM1965" s="87" t="str">
        <x:v>PHYS_Apr_V3</x:v>
      </x:c>
      <x:c r="AN1965" s="87" t="n">
        <x:v>5</x:v>
      </x:c>
    </x:row>
    <x:row r="1966">
      <x:c r="A1966" s="87" t="n">
        <x:v>1965</x:v>
      </x:c>
      <x:c r="B1966" s="87" t="str">
        <x:v>APR-PHYS-V3-005</x:v>
      </x:c>
      <x:c r="C1966" s="87" t="str">
        <x:v>СтатГрад</x:v>
      </x:c>
      <x:c r="D1966" s="87" t="str">
        <x:v>Апрель 2026</x:v>
      </x:c>
      <x:c r="E1966" s="87"/>
      <x:c r="F1966" s="87"/>
      <x:c r="G1966" s="87" t="str">
        <x:v>Физика</x:v>
      </x:c>
      <x:c r="H1966" s="87" t="n">
        <x:v>11</x:v>
      </x:c>
      <x:c r="I1966" s="87" t="str">
        <x:v>ТР №5</x:v>
      </x:c>
      <x:c r="J1966" s="87" t="str">
        <x:v>ФИ2510503</x:v>
      </x:c>
      <x:c r="K1966" s="87" t="n">
        <x:v>5</x:v>
      </x:c>
      <x:c r="L1966" s="87" t="str">
        <x:v>Механика: анализ утверждений</x:v>
      </x:c>
      <x:c r="M1966" s="30" t="str">
        <x:v>По графику скорости тела массой 100 г выбрать два верных утверждения о движении и силах.</x:v>
      </x:c>
      <x:c r="N1966" s="30" t="str">
        <x:v>13</x:v>
      </x:c>
      <x:c r="O1966" s="30" t="str">
        <x:v>Утверждения 1 и 3 согласуются с направлением скорости, ускорением и вторым законом Ньютона.</x:v>
      </x:c>
      <x:c r="P1966" s="30" t="str">
        <x:v>Каждое из пяти утверждений проверено по участкам графика.</x:v>
      </x:c>
      <x:c r="Q1966" s="30"/>
      <x:c r="R1966" s="30" t="str">
        <x:v>Официальные задания и критерии Восток + общий краткий ключ + независимое решение</x:v>
      </x:c>
      <x:c r="S1966" s="30"/>
      <x:c r="T1966" s="30"/>
      <x:c r="U1966" s="30" t="str">
        <x:v>Расхождений не обнаружено.</x:v>
      </x:c>
      <x:c r="V1966" s="87" t="str">
        <x:v>VERIFIED</x:v>
      </x:c>
      <x:c r="W1966" s="87" t="str">
        <x:v>Официальный PDF</x:v>
      </x:c>
      <x:c r="X1966" s="87"/>
      <x:c r="Y1966" s="87"/>
      <x:c r="Z1966" s="87"/>
      <x:c r="AA1966" s="87"/>
      <x:c r="AB1966" s="87"/>
      <x:c r="AC1966" s="87"/>
      <x:c r="AD1966" s="87"/>
      <x:c r="AE1966" s="87"/>
      <x:c r="AF1966" s="87"/>
      <x:c r="AG1966" s="87"/>
      <x:c r="AH1966" s="87"/>
      <x:c r="AI1966" s="30"/>
      <x:c r="AJ1966" s="87" t="str">
        <x:v>master</x:v>
      </x:c>
      <x:c r="AK1966" s="87" t="str">
        <x:v>master-v0.81</x:v>
      </x:c>
      <x:c r="AL1966" s="87" t="str">
        <x:v>statgrad_master_base_v0_81_final(2).xlsx</x:v>
      </x:c>
      <x:c r="AM1966" s="87" t="str">
        <x:v>PHYS_Apr_V3</x:v>
      </x:c>
      <x:c r="AN1966" s="87" t="n">
        <x:v>6</x:v>
      </x:c>
    </x:row>
    <x:row r="1967">
      <x:c r="A1967" s="87" t="n">
        <x:v>1966</x:v>
      </x:c>
      <x:c r="B1967" s="87" t="str">
        <x:v>APR-PHYS-V3-006</x:v>
      </x:c>
      <x:c r="C1967" s="87" t="str">
        <x:v>СтатГрад</x:v>
      </x:c>
      <x:c r="D1967" s="87" t="str">
        <x:v>Апрель 2026</x:v>
      </x:c>
      <x:c r="E1967" s="87"/>
      <x:c r="F1967" s="87"/>
      <x:c r="G1967" s="87" t="str">
        <x:v>Физика</x:v>
      </x:c>
      <x:c r="H1967" s="87" t="n">
        <x:v>11</x:v>
      </x:c>
      <x:c r="I1967" s="87" t="str">
        <x:v>ТР №5</x:v>
      </x:c>
      <x:c r="J1967" s="87" t="str">
        <x:v>ФИ2510503</x:v>
      </x:c>
      <x:c r="K1967" s="87" t="n">
        <x:v>6</x:v>
      </x:c>
      <x:c r="L1967" s="87" t="str">
        <x:v>Спутник Земли</x:v>
      </x:c>
      <x:c r="M1967" s="30" t="str">
        <x:v>Спутник переходит на более низкую круговую орбиту; определить изменение периода и потенциальной энергии.</x:v>
      </x:c>
      <x:c r="N1967" s="30" t="str">
        <x:v>22</x:v>
      </x:c>
      <x:c r="O1967" s="30" t="str">
        <x:v>Период уменьшается; потенциальная энергия становится меньше (более отрицательной). Оба изменения имеют код 2.</x:v>
      </x:c>
      <x:c r="P1967" s="30" t="str">
        <x:v>Период уменьшается; потенциальная энергия становится меньше (более отрицательной). Оба изменения имеют код 2.</x:v>
      </x:c>
      <x:c r="Q1967" s="30"/>
      <x:c r="R1967" s="30" t="str">
        <x:v>Официальные задания и критерии Восток + общий краткий ключ + независимое решение</x:v>
      </x:c>
      <x:c r="S1967" s="30"/>
      <x:c r="T1967" s="30"/>
      <x:c r="U1967" s="30" t="str">
        <x:v>Расхождений не обнаружено.</x:v>
      </x:c>
      <x:c r="V1967" s="87" t="str">
        <x:v>VERIFIED</x:v>
      </x:c>
      <x:c r="W1967" s="87" t="str">
        <x:v>Официальный PDF</x:v>
      </x:c>
      <x:c r="X1967" s="87"/>
      <x:c r="Y1967" s="87"/>
      <x:c r="Z1967" s="87"/>
      <x:c r="AA1967" s="87"/>
      <x:c r="AB1967" s="87"/>
      <x:c r="AC1967" s="87"/>
      <x:c r="AD1967" s="87"/>
      <x:c r="AE1967" s="87"/>
      <x:c r="AF1967" s="87"/>
      <x:c r="AG1967" s="87"/>
      <x:c r="AH1967" s="87"/>
      <x:c r="AI1967" s="30"/>
      <x:c r="AJ1967" s="87" t="str">
        <x:v>master</x:v>
      </x:c>
      <x:c r="AK1967" s="87" t="str">
        <x:v>master-v0.81</x:v>
      </x:c>
      <x:c r="AL1967" s="87" t="str">
        <x:v>statgrad_master_base_v0_81_final(2).xlsx</x:v>
      </x:c>
      <x:c r="AM1967" s="87" t="str">
        <x:v>PHYS_Apr_V3</x:v>
      </x:c>
      <x:c r="AN1967" s="87" t="n">
        <x:v>7</x:v>
      </x:c>
    </x:row>
    <x:row r="1968">
      <x:c r="A1968" s="87" t="n">
        <x:v>1967</x:v>
      </x:c>
      <x:c r="B1968" s="87" t="str">
        <x:v>APR-PHYS-V3-007</x:v>
      </x:c>
      <x:c r="C1968" s="87" t="str">
        <x:v>СтатГрад</x:v>
      </x:c>
      <x:c r="D1968" s="87" t="str">
        <x:v>Апрель 2026</x:v>
      </x:c>
      <x:c r="E1968" s="87"/>
      <x:c r="F1968" s="87"/>
      <x:c r="G1968" s="87" t="str">
        <x:v>Физика</x:v>
      </x:c>
      <x:c r="H1968" s="87" t="n">
        <x:v>11</x:v>
      </x:c>
      <x:c r="I1968" s="87" t="str">
        <x:v>ТР №5</x:v>
      </x:c>
      <x:c r="J1968" s="87" t="str">
        <x:v>ФИ2510503</x:v>
      </x:c>
      <x:c r="K1968" s="87" t="n">
        <x:v>7</x:v>
      </x:c>
      <x:c r="L1968" s="87" t="str">
        <x:v>Молекулярная физика</x:v>
      </x:c>
      <x:c r="M1968" s="30" t="str">
        <x:v>Давление газа 25 кПа. Средняя кинетическая энергия молекул уменьшилась в 2 раза, концентрация увеличилась в 4 раза. Найти новое давление.</x:v>
      </x:c>
      <x:c r="N1968" s="30" t="str">
        <x:v>50</x:v>
      </x:c>
      <x:c r="O1968" s="30" t="str">
        <x:v>p=(2/3)nĒ. Произведение nĒ увеличилось в 4/2=2 раза; p₂=50 кПа.</x:v>
      </x:c>
      <x:c r="P1968" s="30" t="str">
        <x:v>p=(2/3)nĒ. Произведение nĒ увеличилось в 4/2=2 раза; p₂=50 кПа.</x:v>
      </x:c>
      <x:c r="Q1968" s="30"/>
      <x:c r="R1968" s="30" t="str">
        <x:v>Официальные задания и критерии Восток + общий краткий ключ + независимое решение</x:v>
      </x:c>
      <x:c r="S1968" s="30"/>
      <x:c r="T1968" s="30"/>
      <x:c r="U1968" s="30" t="str">
        <x:v>Расхождений не обнаружено.</x:v>
      </x:c>
      <x:c r="V1968" s="87" t="str">
        <x:v>VERIFIED</x:v>
      </x:c>
      <x:c r="W1968" s="87" t="str">
        <x:v>Официальный PDF</x:v>
      </x:c>
      <x:c r="X1968" s="87"/>
      <x:c r="Y1968" s="87"/>
      <x:c r="Z1968" s="87"/>
      <x:c r="AA1968" s="87"/>
      <x:c r="AB1968" s="87"/>
      <x:c r="AC1968" s="87"/>
      <x:c r="AD1968" s="87"/>
      <x:c r="AE1968" s="87"/>
      <x:c r="AF1968" s="87"/>
      <x:c r="AG1968" s="87"/>
      <x:c r="AH1968" s="87"/>
      <x:c r="AI1968" s="30"/>
      <x:c r="AJ1968" s="87" t="str">
        <x:v>master</x:v>
      </x:c>
      <x:c r="AK1968" s="87" t="str">
        <x:v>master-v0.81</x:v>
      </x:c>
      <x:c r="AL1968" s="87" t="str">
        <x:v>statgrad_master_base_v0_81_final(2).xlsx</x:v>
      </x:c>
      <x:c r="AM1968" s="87" t="str">
        <x:v>PHYS_Apr_V3</x:v>
      </x:c>
      <x:c r="AN1968" s="87" t="n">
        <x:v>8</x:v>
      </x:c>
    </x:row>
    <x:row r="1969">
      <x:c r="A1969" s="87" t="n">
        <x:v>1968</x:v>
      </x:c>
      <x:c r="B1969" s="87" t="str">
        <x:v>APR-PHYS-V3-008</x:v>
      </x:c>
      <x:c r="C1969" s="87" t="str">
        <x:v>СтатГрад</x:v>
      </x:c>
      <x:c r="D1969" s="87" t="str">
        <x:v>Апрель 2026</x:v>
      </x:c>
      <x:c r="E1969" s="87"/>
      <x:c r="F1969" s="87"/>
      <x:c r="G1969" s="87" t="str">
        <x:v>Физика</x:v>
      </x:c>
      <x:c r="H1969" s="87" t="n">
        <x:v>11</x:v>
      </x:c>
      <x:c r="I1969" s="87" t="str">
        <x:v>ТР №5</x:v>
      </x:c>
      <x:c r="J1969" s="87" t="str">
        <x:v>ФИ2510503</x:v>
      </x:c>
      <x:c r="K1969" s="87" t="n">
        <x:v>8</x:v>
      </x:c>
      <x:c r="L1969" s="87" t="str">
        <x:v>Первый закон термодинамики</x:v>
      </x:c>
      <x:c r="M1969" s="30" t="str">
        <x:v>Газ получил 15 кДж теплоты в процессе, изображённом на p–T диаграмме. Найти изменение внутренней энергии.</x:v>
      </x:c>
      <x:c r="N1969" s="30" t="str">
        <x:v>15</x:v>
      </x:c>
      <x:c r="O1969" s="30" t="str">
        <x:v>По графику работа газа на рассматриваемом участке равна нулю, поэтому ΔU=Q=15 кДж.</x:v>
      </x:c>
      <x:c r="P1969" s="30" t="str">
        <x:v>По графику работа газа на рассматриваемом участке равна нулю, поэтому ΔU=Q=15 кДж.</x:v>
      </x:c>
      <x:c r="Q1969" s="30"/>
      <x:c r="R1969" s="30" t="str">
        <x:v>Официальные задания и критерии Восток + общий краткий ключ + независимое решение</x:v>
      </x:c>
      <x:c r="S1969" s="30"/>
      <x:c r="T1969" s="30"/>
      <x:c r="U1969" s="30" t="str">
        <x:v>Расхождений не обнаружено.</x:v>
      </x:c>
      <x:c r="V1969" s="87" t="str">
        <x:v>VERIFIED</x:v>
      </x:c>
      <x:c r="W1969" s="87" t="str">
        <x:v>Официальный PDF</x:v>
      </x:c>
      <x:c r="X1969" s="87"/>
      <x:c r="Y1969" s="87"/>
      <x:c r="Z1969" s="87"/>
      <x:c r="AA1969" s="87"/>
      <x:c r="AB1969" s="87"/>
      <x:c r="AC1969" s="87"/>
      <x:c r="AD1969" s="87"/>
      <x:c r="AE1969" s="87"/>
      <x:c r="AF1969" s="87"/>
      <x:c r="AG1969" s="87"/>
      <x:c r="AH1969" s="87"/>
      <x:c r="AI1969" s="30"/>
      <x:c r="AJ1969" s="87" t="str">
        <x:v>master</x:v>
      </x:c>
      <x:c r="AK1969" s="87" t="str">
        <x:v>master-v0.81</x:v>
      </x:c>
      <x:c r="AL1969" s="87" t="str">
        <x:v>statgrad_master_base_v0_81_final(2).xlsx</x:v>
      </x:c>
      <x:c r="AM1969" s="87" t="str">
        <x:v>PHYS_Apr_V3</x:v>
      </x:c>
      <x:c r="AN1969" s="87" t="n">
        <x:v>9</x:v>
      </x:c>
    </x:row>
    <x:row r="1970">
      <x:c r="A1970" s="87" t="n">
        <x:v>1969</x:v>
      </x:c>
      <x:c r="B1970" s="87" t="str">
        <x:v>APR-PHYS-V3-009</x:v>
      </x:c>
      <x:c r="C1970" s="87" t="str">
        <x:v>СтатГрад</x:v>
      </x:c>
      <x:c r="D1970" s="87" t="str">
        <x:v>Апрель 2026</x:v>
      </x:c>
      <x:c r="E1970" s="87"/>
      <x:c r="F1970" s="87"/>
      <x:c r="G1970" s="87" t="str">
        <x:v>Физика</x:v>
      </x:c>
      <x:c r="H1970" s="87" t="n">
        <x:v>11</x:v>
      </x:c>
      <x:c r="I1970" s="87" t="str">
        <x:v>ТР №5</x:v>
      </x:c>
      <x:c r="J1970" s="87" t="str">
        <x:v>ФИ2510503</x:v>
      </x:c>
      <x:c r="K1970" s="87" t="n">
        <x:v>9</x:v>
      </x:c>
      <x:c r="L1970" s="87" t="str">
        <x:v>Идеальный газ: анализ утверждений</x:v>
      </x:c>
      <x:c r="M1970" s="30" t="str">
        <x:v>Сравнить 1 моль неона и 1 моль аргона при V₁=2V₂, T₁=300 К, T₂=450 К; выбрать верные утверждения.</x:v>
      </x:c>
      <x:c r="N1970" s="30" t="str">
        <x:v>35</x:v>
      </x:c>
      <x:c r="O1970" s="30" t="str">
        <x:v>Средние кинетические энергии пропорциональны температуре, давления — T/V. Верны утверждения 3 и 5.</x:v>
      </x:c>
      <x:c r="P1970" s="30" t="str">
        <x:v>Средние кинетические энергии пропорциональны температуре, давления — T/V. Верны утверждения 3 и 5.</x:v>
      </x:c>
      <x:c r="Q1970" s="30"/>
      <x:c r="R1970" s="30" t="str">
        <x:v>Официальные задания и критерии Восток + общий краткий ключ + независимое решение</x:v>
      </x:c>
      <x:c r="S1970" s="30"/>
      <x:c r="T1970" s="30"/>
      <x:c r="U1970" s="30" t="str">
        <x:v>Расхождений не обнаружено.</x:v>
      </x:c>
      <x:c r="V1970" s="87" t="str">
        <x:v>VERIFIED</x:v>
      </x:c>
      <x:c r="W1970" s="87" t="str">
        <x:v>Официальный PDF</x:v>
      </x:c>
      <x:c r="X1970" s="87"/>
      <x:c r="Y1970" s="87"/>
      <x:c r="Z1970" s="87"/>
      <x:c r="AA1970" s="87"/>
      <x:c r="AB1970" s="87"/>
      <x:c r="AC1970" s="87"/>
      <x:c r="AD1970" s="87"/>
      <x:c r="AE1970" s="87"/>
      <x:c r="AF1970" s="87"/>
      <x:c r="AG1970" s="87"/>
      <x:c r="AH1970" s="87"/>
      <x:c r="AI1970" s="30"/>
      <x:c r="AJ1970" s="87" t="str">
        <x:v>master</x:v>
      </x:c>
      <x:c r="AK1970" s="87" t="str">
        <x:v>master-v0.81</x:v>
      </x:c>
      <x:c r="AL1970" s="87" t="str">
        <x:v>statgrad_master_base_v0_81_final(2).xlsx</x:v>
      </x:c>
      <x:c r="AM1970" s="87" t="str">
        <x:v>PHYS_Apr_V3</x:v>
      </x:c>
      <x:c r="AN1970" s="87" t="n">
        <x:v>10</x:v>
      </x:c>
    </x:row>
    <x:row r="1971">
      <x:c r="A1971" s="87" t="n">
        <x:v>1970</x:v>
      </x:c>
      <x:c r="B1971" s="87" t="str">
        <x:v>APR-PHYS-V3-010</x:v>
      </x:c>
      <x:c r="C1971" s="87" t="str">
        <x:v>СтатГрад</x:v>
      </x:c>
      <x:c r="D1971" s="87" t="str">
        <x:v>Апрель 2026</x:v>
      </x:c>
      <x:c r="E1971" s="87"/>
      <x:c r="F1971" s="87"/>
      <x:c r="G1971" s="87" t="str">
        <x:v>Физика</x:v>
      </x:c>
      <x:c r="H1971" s="87" t="n">
        <x:v>11</x:v>
      </x:c>
      <x:c r="I1971" s="87" t="str">
        <x:v>ТР №5</x:v>
      </x:c>
      <x:c r="J1971" s="87" t="str">
        <x:v>ФИ2510503</x:v>
      </x:c>
      <x:c r="K1971" s="87" t="n">
        <x:v>10</x:v>
      </x:c>
      <x:c r="L1971" s="87" t="str">
        <x:v>Адиабатический процесс</x:v>
      </x:c>
      <x:c r="M1971" s="30" t="str">
        <x:v>В адиабатическом процессе внутренняя энергия гелия уменьшилась; определить изменения температуры и объёма.</x:v>
      </x:c>
      <x:c r="N1971" s="30" t="str">
        <x:v>21</x:v>
      </x:c>
      <x:c r="O1971" s="30" t="str">
        <x:v>Температура уменьшается; при адиабатическом расширении объём увеличивается. Коды 2 и 1.</x:v>
      </x:c>
      <x:c r="P1971" s="30" t="str">
        <x:v>Температура уменьшается; при адиабатическом расширении объём увеличивается. Коды 2 и 1.</x:v>
      </x:c>
      <x:c r="Q1971" s="30"/>
      <x:c r="R1971" s="30" t="str">
        <x:v>Официальные задания и критерии Восток + общий краткий ключ + независимое решение</x:v>
      </x:c>
      <x:c r="S1971" s="30"/>
      <x:c r="T1971" s="30"/>
      <x:c r="U1971" s="30" t="str">
        <x:v>Расхождений не обнаружено.</x:v>
      </x:c>
      <x:c r="V1971" s="87" t="str">
        <x:v>VERIFIED</x:v>
      </x:c>
      <x:c r="W1971" s="87" t="str">
        <x:v>Официальный PDF</x:v>
      </x:c>
      <x:c r="X1971" s="87"/>
      <x:c r="Y1971" s="87"/>
      <x:c r="Z1971" s="87"/>
      <x:c r="AA1971" s="87"/>
      <x:c r="AB1971" s="87"/>
      <x:c r="AC1971" s="87"/>
      <x:c r="AD1971" s="87"/>
      <x:c r="AE1971" s="87"/>
      <x:c r="AF1971" s="87"/>
      <x:c r="AG1971" s="87"/>
      <x:c r="AH1971" s="87"/>
      <x:c r="AI1971" s="30"/>
      <x:c r="AJ1971" s="87" t="str">
        <x:v>master</x:v>
      </x:c>
      <x:c r="AK1971" s="87" t="str">
        <x:v>master-v0.81</x:v>
      </x:c>
      <x:c r="AL1971" s="87" t="str">
        <x:v>statgrad_master_base_v0_81_final(2).xlsx</x:v>
      </x:c>
      <x:c r="AM1971" s="87" t="str">
        <x:v>PHYS_Apr_V3</x:v>
      </x:c>
      <x:c r="AN1971" s="87" t="n">
        <x:v>11</x:v>
      </x:c>
    </x:row>
    <x:row r="1972">
      <x:c r="A1972" s="87" t="n">
        <x:v>1971</x:v>
      </x:c>
      <x:c r="B1972" s="87" t="str">
        <x:v>APR-PHYS-V3-011</x:v>
      </x:c>
      <x:c r="C1972" s="87" t="str">
        <x:v>СтатГрад</x:v>
      </x:c>
      <x:c r="D1972" s="87" t="str">
        <x:v>Апрель 2026</x:v>
      </x:c>
      <x:c r="E1972" s="87"/>
      <x:c r="F1972" s="87"/>
      <x:c r="G1972" s="87" t="str">
        <x:v>Физика</x:v>
      </x:c>
      <x:c r="H1972" s="87" t="n">
        <x:v>11</x:v>
      </x:c>
      <x:c r="I1972" s="87" t="str">
        <x:v>ТР №5</x:v>
      </x:c>
      <x:c r="J1972" s="87" t="str">
        <x:v>ФИ2510503</x:v>
      </x:c>
      <x:c r="K1972" s="87" t="n">
        <x:v>11</x:v>
      </x:c>
      <x:c r="L1972" s="87" t="str">
        <x:v>Закон Ома для полной цепи</x:v>
      </x:c>
      <x:c r="M1972" s="30" t="str">
        <x:v>Сила тока 0,2 А, внешнее сопротивление 24 Ом, внутреннее сопротивление 1 Ом. Найти ЭДС.</x:v>
      </x:c>
      <x:c r="N1972" s="30" t="str">
        <x:v>5</x:v>
      </x:c>
      <x:c r="O1972" s="30" t="str">
        <x:v>ε=I(R+r)=0,2·25=5 В.</x:v>
      </x:c>
      <x:c r="P1972" s="30" t="str">
        <x:v>ε=I(R+r)=0,2·25=5 В.</x:v>
      </x:c>
      <x:c r="Q1972" s="30"/>
      <x:c r="R1972" s="30" t="str">
        <x:v>Официальные задания и критерии Восток + общий краткий ключ + независимое решение</x:v>
      </x:c>
      <x:c r="S1972" s="30"/>
      <x:c r="T1972" s="30"/>
      <x:c r="U1972" s="30" t="str">
        <x:v>Расхождений не обнаружено.</x:v>
      </x:c>
      <x:c r="V1972" s="87" t="str">
        <x:v>VERIFIED</x:v>
      </x:c>
      <x:c r="W1972" s="87" t="str">
        <x:v>Официальный PDF</x:v>
      </x:c>
      <x:c r="X1972" s="87"/>
      <x:c r="Y1972" s="87"/>
      <x:c r="Z1972" s="87"/>
      <x:c r="AA1972" s="87"/>
      <x:c r="AB1972" s="87"/>
      <x:c r="AC1972" s="87"/>
      <x:c r="AD1972" s="87"/>
      <x:c r="AE1972" s="87"/>
      <x:c r="AF1972" s="87"/>
      <x:c r="AG1972" s="87"/>
      <x:c r="AH1972" s="87"/>
      <x:c r="AI1972" s="30"/>
      <x:c r="AJ1972" s="87" t="str">
        <x:v>master</x:v>
      </x:c>
      <x:c r="AK1972" s="87" t="str">
        <x:v>master-v0.81</x:v>
      </x:c>
      <x:c r="AL1972" s="87" t="str">
        <x:v>statgrad_master_base_v0_81_final(2).xlsx</x:v>
      </x:c>
      <x:c r="AM1972" s="87" t="str">
        <x:v>PHYS_Apr_V3</x:v>
      </x:c>
      <x:c r="AN1972" s="87" t="n">
        <x:v>12</x:v>
      </x:c>
    </x:row>
    <x:row r="1973">
      <x:c r="A1973" s="87" t="n">
        <x:v>1972</x:v>
      </x:c>
      <x:c r="B1973" s="87" t="str">
        <x:v>APR-PHYS-V3-012</x:v>
      </x:c>
      <x:c r="C1973" s="87" t="str">
        <x:v>СтатГрад</x:v>
      </x:c>
      <x:c r="D1973" s="87" t="str">
        <x:v>Апрель 2026</x:v>
      </x:c>
      <x:c r="E1973" s="87"/>
      <x:c r="F1973" s="87"/>
      <x:c r="G1973" s="87" t="str">
        <x:v>Физика</x:v>
      </x:c>
      <x:c r="H1973" s="87" t="n">
        <x:v>11</x:v>
      </x:c>
      <x:c r="I1973" s="87" t="str">
        <x:v>ТР №5</x:v>
      </x:c>
      <x:c r="J1973" s="87" t="str">
        <x:v>ФИ2510503</x:v>
      </x:c>
      <x:c r="K1973" s="87" t="n">
        <x:v>12</x:v>
      </x:c>
      <x:c r="L1973" s="87" t="str">
        <x:v>Электромагнитная индукция</x:v>
      </x:c>
      <x:c r="M1973" s="30" t="str">
        <x:v>Индуктивность катушки 2,5 мГн, ток уменьшается от 20 мА до нуля за 5 мс. Найти модуль ЭДС самоиндукции в милливольтах.</x:v>
      </x:c>
      <x:c r="N1973" s="30" t="str">
        <x:v>10</x:v>
      </x:c>
      <x:c r="O1973" s="30" t="str">
        <x:v>|ε|=LΔI/Δt=2,5·10⁻³·0,02/0,005=0,01 В=10 мВ.</x:v>
      </x:c>
      <x:c r="P1973" s="30" t="str">
        <x:v>|ε|=LΔI/Δt=2,5·10⁻³·0,02/0,005=0,01 В; числовой ответ 10 в единицах условия.</x:v>
      </x:c>
      <x:c r="Q1973" s="30"/>
      <x:c r="R1973" s="30" t="str">
        <x:v>Официальные задания и критерии Восток + общий краткий ключ + независимое решение</x:v>
      </x:c>
      <x:c r="S1973" s="30"/>
      <x:c r="T1973" s="30"/>
      <x:c r="U1973" s="30" t="str">
        <x:v>Расхождений не обнаружено.</x:v>
      </x:c>
      <x:c r="V1973" s="87" t="str">
        <x:v>VERIFIED</x:v>
      </x:c>
      <x:c r="W1973" s="87" t="str">
        <x:v>Официальный PDF</x:v>
      </x:c>
      <x:c r="X1973" s="87"/>
      <x:c r="Y1973" s="87"/>
      <x:c r="Z1973" s="87"/>
      <x:c r="AA1973" s="87"/>
      <x:c r="AB1973" s="87"/>
      <x:c r="AC1973" s="87"/>
      <x:c r="AD1973" s="87"/>
      <x:c r="AE1973" s="87"/>
      <x:c r="AF1973" s="87"/>
      <x:c r="AG1973" s="87"/>
      <x:c r="AH1973" s="87"/>
      <x:c r="AI1973" s="30"/>
      <x:c r="AJ1973" s="87" t="str">
        <x:v>master</x:v>
      </x:c>
      <x:c r="AK1973" s="87" t="str">
        <x:v>master-v0.81</x:v>
      </x:c>
      <x:c r="AL1973" s="87" t="str">
        <x:v>statgrad_master_base_v0_81_final(2).xlsx</x:v>
      </x:c>
      <x:c r="AM1973" s="87" t="str">
        <x:v>PHYS_Apr_V3</x:v>
      </x:c>
      <x:c r="AN1973" s="87" t="n">
        <x:v>13</x:v>
      </x:c>
    </x:row>
    <x:row r="1974">
      <x:c r="A1974" s="87" t="n">
        <x:v>1973</x:v>
      </x:c>
      <x:c r="B1974" s="87" t="str">
        <x:v>APR-PHYS-V3-013</x:v>
      </x:c>
      <x:c r="C1974" s="87" t="str">
        <x:v>СтатГрад</x:v>
      </x:c>
      <x:c r="D1974" s="87" t="str">
        <x:v>Апрель 2026</x:v>
      </x:c>
      <x:c r="E1974" s="87"/>
      <x:c r="F1974" s="87"/>
      <x:c r="G1974" s="87" t="str">
        <x:v>Физика</x:v>
      </x:c>
      <x:c r="H1974" s="87" t="n">
        <x:v>11</x:v>
      </x:c>
      <x:c r="I1974" s="87" t="str">
        <x:v>ТР №5</x:v>
      </x:c>
      <x:c r="J1974" s="87" t="str">
        <x:v>ФИ2510503</x:v>
      </x:c>
      <x:c r="K1974" s="87" t="n">
        <x:v>13</x:v>
      </x:c>
      <x:c r="L1974" s="87" t="str">
        <x:v>Колебательный контур</x:v>
      </x:c>
      <x:c r="M1974" s="30" t="str">
        <x:v>Период контура 10 мкс. Индуктивность уменьшили в 18 раз, ёмкость увеличили в 2 раза. Найти новую частоту в кГц.</x:v>
      </x:c>
      <x:c r="N1974" s="30" t="str">
        <x:v>300</x:v>
      </x:c>
      <x:c r="O1974" s="30" t="str">
        <x:v>T∝√(LC); новый период T/3, поэтому частота увеличивается в 3 раза: 100·3=300 кГц.</x:v>
      </x:c>
      <x:c r="P1974" s="30" t="str">
        <x:v>T∝√(LC); новый период T/3, поэтому частота увеличивается в 3 раза: 100·3=300 кГц.</x:v>
      </x:c>
      <x:c r="Q1974" s="30"/>
      <x:c r="R1974" s="30" t="str">
        <x:v>Официальные задания и критерии Восток + общий краткий ключ + независимое решение</x:v>
      </x:c>
      <x:c r="S1974" s="30"/>
      <x:c r="T1974" s="30"/>
      <x:c r="U1974" s="30" t="str">
        <x:v>Расхождений не обнаружено.</x:v>
      </x:c>
      <x:c r="V1974" s="87" t="str">
        <x:v>VERIFIED</x:v>
      </x:c>
      <x:c r="W1974" s="87" t="str">
        <x:v>Официальный PDF</x:v>
      </x:c>
      <x:c r="X1974" s="87"/>
      <x:c r="Y1974" s="87"/>
      <x:c r="Z1974" s="87"/>
      <x:c r="AA1974" s="87"/>
      <x:c r="AB1974" s="87"/>
      <x:c r="AC1974" s="87"/>
      <x:c r="AD1974" s="87"/>
      <x:c r="AE1974" s="87"/>
      <x:c r="AF1974" s="87"/>
      <x:c r="AG1974" s="87"/>
      <x:c r="AH1974" s="87"/>
      <x:c r="AI1974" s="30"/>
      <x:c r="AJ1974" s="87" t="str">
        <x:v>master</x:v>
      </x:c>
      <x:c r="AK1974" s="87" t="str">
        <x:v>master-v0.81</x:v>
      </x:c>
      <x:c r="AL1974" s="87" t="str">
        <x:v>statgrad_master_base_v0_81_final(2).xlsx</x:v>
      </x:c>
      <x:c r="AM1974" s="87" t="str">
        <x:v>PHYS_Apr_V3</x:v>
      </x:c>
      <x:c r="AN1974" s="87" t="n">
        <x:v>14</x:v>
      </x:c>
    </x:row>
    <x:row r="1975">
      <x:c r="A1975" s="87" t="n">
        <x:v>1974</x:v>
      </x:c>
      <x:c r="B1975" s="87" t="str">
        <x:v>APR-PHYS-V3-014</x:v>
      </x:c>
      <x:c r="C1975" s="87" t="str">
        <x:v>СтатГрад</x:v>
      </x:c>
      <x:c r="D1975" s="87" t="str">
        <x:v>Апрель 2026</x:v>
      </x:c>
      <x:c r="E1975" s="87"/>
      <x:c r="F1975" s="87"/>
      <x:c r="G1975" s="87" t="str">
        <x:v>Физика</x:v>
      </x:c>
      <x:c r="H1975" s="87" t="n">
        <x:v>11</x:v>
      </x:c>
      <x:c r="I1975" s="87" t="str">
        <x:v>ТР №5</x:v>
      </x:c>
      <x:c r="J1975" s="87" t="str">
        <x:v>ФИ2510503</x:v>
      </x:c>
      <x:c r="K1975" s="87" t="n">
        <x:v>14</x:v>
      </x:c>
      <x:c r="L1975" s="87" t="str">
        <x:v>Сила Ампера</x:v>
      </x:c>
      <x:c r="M1975" s="30" t="str">
        <x:v>Определить направления силы Ампера для двух изображённых проводников.</x:v>
      </x:c>
      <x:c r="N1975" s="30" t="str">
        <x:v>45</x:v>
      </x:c>
      <x:c r="O1975" s="30" t="str">
        <x:v>Правило левой руки даёт направления, закодированные цифрами 4 и 5.</x:v>
      </x:c>
      <x:c r="P1975" s="30" t="str">
        <x:v>Правило левой руки даёт направления, закодированные цифрами 4 и 5.</x:v>
      </x:c>
      <x:c r="Q1975" s="30"/>
      <x:c r="R1975" s="30" t="str">
        <x:v>Официальные задания и критерии Восток + общий краткий ключ + независимое решение</x:v>
      </x:c>
      <x:c r="S1975" s="30"/>
      <x:c r="T1975" s="30"/>
      <x:c r="U1975" s="30" t="str">
        <x:v>Расхождений не обнаружено.</x:v>
      </x:c>
      <x:c r="V1975" s="87" t="str">
        <x:v>VERIFIED</x:v>
      </x:c>
      <x:c r="W1975" s="87" t="str">
        <x:v>Официальный PDF</x:v>
      </x:c>
      <x:c r="X1975" s="87"/>
      <x:c r="Y1975" s="87"/>
      <x:c r="Z1975" s="87"/>
      <x:c r="AA1975" s="87"/>
      <x:c r="AB1975" s="87"/>
      <x:c r="AC1975" s="87"/>
      <x:c r="AD1975" s="87"/>
      <x:c r="AE1975" s="87"/>
      <x:c r="AF1975" s="87"/>
      <x:c r="AG1975" s="87"/>
      <x:c r="AH1975" s="87"/>
      <x:c r="AI1975" s="30"/>
      <x:c r="AJ1975" s="87" t="str">
        <x:v>master</x:v>
      </x:c>
      <x:c r="AK1975" s="87" t="str">
        <x:v>master-v0.81</x:v>
      </x:c>
      <x:c r="AL1975" s="87" t="str">
        <x:v>statgrad_master_base_v0_81_final(2).xlsx</x:v>
      </x:c>
      <x:c r="AM1975" s="87" t="str">
        <x:v>PHYS_Apr_V3</x:v>
      </x:c>
      <x:c r="AN1975" s="87" t="n">
        <x:v>15</x:v>
      </x:c>
    </x:row>
    <x:row r="1976">
      <x:c r="A1976" s="87" t="n">
        <x:v>1975</x:v>
      </x:c>
      <x:c r="B1976" s="87" t="str">
        <x:v>APR-PHYS-V3-015</x:v>
      </x:c>
      <x:c r="C1976" s="87" t="str">
        <x:v>СтатГрад</x:v>
      </x:c>
      <x:c r="D1976" s="87" t="str">
        <x:v>Апрель 2026</x:v>
      </x:c>
      <x:c r="E1976" s="87"/>
      <x:c r="F1976" s="87"/>
      <x:c r="G1976" s="87" t="str">
        <x:v>Физика</x:v>
      </x:c>
      <x:c r="H1976" s="87" t="n">
        <x:v>11</x:v>
      </x:c>
      <x:c r="I1976" s="87" t="str">
        <x:v>ТР №5</x:v>
      </x:c>
      <x:c r="J1976" s="87" t="str">
        <x:v>ФИ2510503</x:v>
      </x:c>
      <x:c r="K1976" s="87" t="n">
        <x:v>15</x:v>
      </x:c>
      <x:c r="L1976" s="87" t="str">
        <x:v>Движение заряда в магнитном поле</x:v>
      </x:c>
      <x:c r="M1976" s="30" t="str">
        <x:v>Соотнести физические величины при движении заряженной частицы по окружности с формулами.</x:v>
      </x:c>
      <x:c r="N1976" s="30" t="str">
        <x:v>43</x:v>
      </x:c>
      <x:c r="O1976" s="30" t="str">
        <x:v>Радиус выражается через mv/(|q|B), период — через 2πm/(|q|B); соответствие даёт 43.</x:v>
      </x:c>
      <x:c r="P1976" s="30" t="str">
        <x:v>Радиус выражается через mv/(|q|B), период — через 2πm/(|q|B); соответствие даёт 43.</x:v>
      </x:c>
      <x:c r="Q1976" s="30"/>
      <x:c r="R1976" s="30" t="str">
        <x:v>Официальные задания и критерии Восток + общий краткий ключ + независимое решение</x:v>
      </x:c>
      <x:c r="S1976" s="30"/>
      <x:c r="T1976" s="30"/>
      <x:c r="U1976" s="30" t="str">
        <x:v>Расхождений не обнаружено.</x:v>
      </x:c>
      <x:c r="V1976" s="87" t="str">
        <x:v>VERIFIED</x:v>
      </x:c>
      <x:c r="W1976" s="87" t="str">
        <x:v>Официальный PDF</x:v>
      </x:c>
      <x:c r="X1976" s="87"/>
      <x:c r="Y1976" s="87"/>
      <x:c r="Z1976" s="87"/>
      <x:c r="AA1976" s="87"/>
      <x:c r="AB1976" s="87"/>
      <x:c r="AC1976" s="87"/>
      <x:c r="AD1976" s="87"/>
      <x:c r="AE1976" s="87"/>
      <x:c r="AF1976" s="87"/>
      <x:c r="AG1976" s="87"/>
      <x:c r="AH1976" s="87"/>
      <x:c r="AI1976" s="30"/>
      <x:c r="AJ1976" s="87" t="str">
        <x:v>master</x:v>
      </x:c>
      <x:c r="AK1976" s="87" t="str">
        <x:v>master-v0.81</x:v>
      </x:c>
      <x:c r="AL1976" s="87" t="str">
        <x:v>statgrad_master_base_v0_81_final(2).xlsx</x:v>
      </x:c>
      <x:c r="AM1976" s="87" t="str">
        <x:v>PHYS_Apr_V3</x:v>
      </x:c>
      <x:c r="AN1976" s="87" t="n">
        <x:v>16</x:v>
      </x:c>
    </x:row>
    <x:row r="1977">
      <x:c r="A1977" s="87" t="n">
        <x:v>1976</x:v>
      </x:c>
      <x:c r="B1977" s="87" t="str">
        <x:v>APR-PHYS-V3-016</x:v>
      </x:c>
      <x:c r="C1977" s="87" t="str">
        <x:v>СтатГрад</x:v>
      </x:c>
      <x:c r="D1977" s="87" t="str">
        <x:v>Апрель 2026</x:v>
      </x:c>
      <x:c r="E1977" s="87"/>
      <x:c r="F1977" s="87"/>
      <x:c r="G1977" s="87" t="str">
        <x:v>Физика</x:v>
      </x:c>
      <x:c r="H1977" s="87" t="n">
        <x:v>11</x:v>
      </x:c>
      <x:c r="I1977" s="87" t="str">
        <x:v>ТР №5</x:v>
      </x:c>
      <x:c r="J1977" s="87" t="str">
        <x:v>ФИ2510503</x:v>
      </x:c>
      <x:c r="K1977" s="87" t="n">
        <x:v>16</x:v>
      </x:c>
      <x:c r="L1977" s="87" t="str">
        <x:v>Ядерная физика</x:v>
      </x:c>
      <x:c r="M1977" s="30" t="str">
        <x:v>Определить число протонов в ядре франция-223.</x:v>
      </x:c>
      <x:c r="N1977" s="30" t="str">
        <x:v>87</x:v>
      </x:c>
      <x:c r="O1977" s="30" t="str">
        <x:v>Число протонов равно порядковому номеру франция: Z=87.</x:v>
      </x:c>
      <x:c r="P1977" s="30" t="str">
        <x:v>Число протонов равно порядковому номеру франция: Z=87.</x:v>
      </x:c>
      <x:c r="Q1977" s="30"/>
      <x:c r="R1977" s="30" t="str">
        <x:v>Официальные задания и критерии Восток + общий краткий ключ + независимое решение</x:v>
      </x:c>
      <x:c r="S1977" s="30"/>
      <x:c r="T1977" s="30"/>
      <x:c r="U1977" s="30" t="str">
        <x:v>Расхождений не обнаружено.</x:v>
      </x:c>
      <x:c r="V1977" s="87" t="str">
        <x:v>VERIFIED</x:v>
      </x:c>
      <x:c r="W1977" s="87" t="str">
        <x:v>Официальный PDF</x:v>
      </x:c>
      <x:c r="X1977" s="87"/>
      <x:c r="Y1977" s="87"/>
      <x:c r="Z1977" s="87"/>
      <x:c r="AA1977" s="87"/>
      <x:c r="AB1977" s="87"/>
      <x:c r="AC1977" s="87"/>
      <x:c r="AD1977" s="87"/>
      <x:c r="AE1977" s="87"/>
      <x:c r="AF1977" s="87"/>
      <x:c r="AG1977" s="87"/>
      <x:c r="AH1977" s="87"/>
      <x:c r="AI1977" s="30"/>
      <x:c r="AJ1977" s="87" t="str">
        <x:v>master</x:v>
      </x:c>
      <x:c r="AK1977" s="87" t="str">
        <x:v>master-v0.81</x:v>
      </x:c>
      <x:c r="AL1977" s="87" t="str">
        <x:v>statgrad_master_base_v0_81_final(2).xlsx</x:v>
      </x:c>
      <x:c r="AM1977" s="87" t="str">
        <x:v>PHYS_Apr_V3</x:v>
      </x:c>
      <x:c r="AN1977" s="87" t="n">
        <x:v>17</x:v>
      </x:c>
    </x:row>
    <x:row r="1978">
      <x:c r="A1978" s="87" t="n">
        <x:v>1977</x:v>
      </x:c>
      <x:c r="B1978" s="87" t="str">
        <x:v>APR-PHYS-V3-017</x:v>
      </x:c>
      <x:c r="C1978" s="87" t="str">
        <x:v>СтатГрад</x:v>
      </x:c>
      <x:c r="D1978" s="87" t="str">
        <x:v>Апрель 2026</x:v>
      </x:c>
      <x:c r="E1978" s="87"/>
      <x:c r="F1978" s="87"/>
      <x:c r="G1978" s="87" t="str">
        <x:v>Физика</x:v>
      </x:c>
      <x:c r="H1978" s="87" t="n">
        <x:v>11</x:v>
      </x:c>
      <x:c r="I1978" s="87" t="str">
        <x:v>ТР №5</x:v>
      </x:c>
      <x:c r="J1978" s="87" t="str">
        <x:v>ФИ2510503</x:v>
      </x:c>
      <x:c r="K1978" s="87" t="n">
        <x:v>17</x:v>
      </x:c>
      <x:c r="L1978" s="87" t="str">
        <x:v>Спектр атома водорода</x:v>
      </x:c>
      <x:c r="M1978" s="30" t="str">
        <x:v>По схеме уровней энергии определить переход максимальной частоты поглощения и максимальной длины волны излучения.</x:v>
      </x:c>
      <x:c r="N1978" s="30" t="str">
        <x:v>14</x:v>
      </x:c>
      <x:c r="O1978" s="30" t="str">
        <x:v>Максимальная частота соответствует наибольшему поглощаемому кванту, максимальная длина волны — наименьшему излучаемому; коды 1 и 4.</x:v>
      </x:c>
      <x:c r="P1978" s="30" t="str">
        <x:v>Максимальная частота соответствует наибольшему поглощаемому кванту, максимальная длина волны — наименьшему излучаемому; коды 1 и 4.</x:v>
      </x:c>
      <x:c r="Q1978" s="30"/>
      <x:c r="R1978" s="30" t="str">
        <x:v>Официальные задания и критерии Восток + общий краткий ключ + независимое решение</x:v>
      </x:c>
      <x:c r="S1978" s="30"/>
      <x:c r="T1978" s="30"/>
      <x:c r="U1978" s="30" t="str">
        <x:v>Расхождений не обнаружено.</x:v>
      </x:c>
      <x:c r="V1978" s="87" t="str">
        <x:v>VERIFIED</x:v>
      </x:c>
      <x:c r="W1978" s="87" t="str">
        <x:v>Официальный PDF</x:v>
      </x:c>
      <x:c r="X1978" s="87"/>
      <x:c r="Y1978" s="87"/>
      <x:c r="Z1978" s="87"/>
      <x:c r="AA1978" s="87"/>
      <x:c r="AB1978" s="87"/>
      <x:c r="AC1978" s="87"/>
      <x:c r="AD1978" s="87"/>
      <x:c r="AE1978" s="87"/>
      <x:c r="AF1978" s="87"/>
      <x:c r="AG1978" s="87"/>
      <x:c r="AH1978" s="87"/>
      <x:c r="AI1978" s="30"/>
      <x:c r="AJ1978" s="87" t="str">
        <x:v>master</x:v>
      </x:c>
      <x:c r="AK1978" s="87" t="str">
        <x:v>master-v0.81</x:v>
      </x:c>
      <x:c r="AL1978" s="87" t="str">
        <x:v>statgrad_master_base_v0_81_final(2).xlsx</x:v>
      </x:c>
      <x:c r="AM1978" s="87" t="str">
        <x:v>PHYS_Apr_V3</x:v>
      </x:c>
      <x:c r="AN1978" s="87" t="n">
        <x:v>18</x:v>
      </x:c>
    </x:row>
    <x:row r="1979">
      <x:c r="A1979" s="87" t="n">
        <x:v>1978</x:v>
      </x:c>
      <x:c r="B1979" s="87" t="str">
        <x:v>APR-PHYS-V3-018</x:v>
      </x:c>
      <x:c r="C1979" s="87" t="str">
        <x:v>СтатГрад</x:v>
      </x:c>
      <x:c r="D1979" s="87" t="str">
        <x:v>Апрель 2026</x:v>
      </x:c>
      <x:c r="E1979" s="87"/>
      <x:c r="F1979" s="87"/>
      <x:c r="G1979" s="87" t="str">
        <x:v>Физика</x:v>
      </x:c>
      <x:c r="H1979" s="87" t="n">
        <x:v>11</x:v>
      </x:c>
      <x:c r="I1979" s="87" t="str">
        <x:v>ТР №5</x:v>
      </x:c>
      <x:c r="J1979" s="87" t="str">
        <x:v>ФИ2510503</x:v>
      </x:c>
      <x:c r="K1979" s="87" t="n">
        <x:v>18</x:v>
      </x:c>
      <x:c r="L1979" s="87" t="str">
        <x:v>Квантовая физика</x:v>
      </x:c>
      <x:c r="M1979" s="30" t="str">
        <x:v>Выбрать верные утверждения по законам фотоэффекта и свойствам излучения.</x:v>
      </x:c>
      <x:c r="N1979" s="30" t="str">
        <x:v>134</x:v>
      </x:c>
      <x:c r="O1979" s="30" t="str">
        <x:v>Верны утверждения 1, 3 и 4; остальные противоречат уравнению фотоэффекта или связи энергии и частоты.</x:v>
      </x:c>
      <x:c r="P1979" s="30" t="str">
        <x:v>Верны утверждения 1, 3 и 4; остальные противоречат уравнению фотоэффекта или связи энергии и частоты.</x:v>
      </x:c>
      <x:c r="Q1979" s="30"/>
      <x:c r="R1979" s="30" t="str">
        <x:v>Официальные задания и критерии Восток + общий краткий ключ + независимое решение</x:v>
      </x:c>
      <x:c r="S1979" s="30"/>
      <x:c r="T1979" s="30"/>
      <x:c r="U1979" s="30" t="str">
        <x:v>Расхождений не обнаружено.</x:v>
      </x:c>
      <x:c r="V1979" s="87" t="str">
        <x:v>VERIFIED</x:v>
      </x:c>
      <x:c r="W1979" s="87" t="str">
        <x:v>Официальный PDF</x:v>
      </x:c>
      <x:c r="X1979" s="87"/>
      <x:c r="Y1979" s="87"/>
      <x:c r="Z1979" s="87"/>
      <x:c r="AA1979" s="87"/>
      <x:c r="AB1979" s="87"/>
      <x:c r="AC1979" s="87"/>
      <x:c r="AD1979" s="87"/>
      <x:c r="AE1979" s="87"/>
      <x:c r="AF1979" s="87"/>
      <x:c r="AG1979" s="87"/>
      <x:c r="AH1979" s="87"/>
      <x:c r="AI1979" s="30"/>
      <x:c r="AJ1979" s="87" t="str">
        <x:v>master</x:v>
      </x:c>
      <x:c r="AK1979" s="87" t="str">
        <x:v>master-v0.81</x:v>
      </x:c>
      <x:c r="AL1979" s="87" t="str">
        <x:v>statgrad_master_base_v0_81_final(2).xlsx</x:v>
      </x:c>
      <x:c r="AM1979" s="87" t="str">
        <x:v>PHYS_Apr_V3</x:v>
      </x:c>
      <x:c r="AN1979" s="87" t="n">
        <x:v>19</x:v>
      </x:c>
    </x:row>
    <x:row r="1980">
      <x:c r="A1980" s="87" t="n">
        <x:v>1979</x:v>
      </x:c>
      <x:c r="B1980" s="87" t="str">
        <x:v>APR-PHYS-V3-019</x:v>
      </x:c>
      <x:c r="C1980" s="87" t="str">
        <x:v>СтатГрад</x:v>
      </x:c>
      <x:c r="D1980" s="87" t="str">
        <x:v>Апрель 2026</x:v>
      </x:c>
      <x:c r="E1980" s="87"/>
      <x:c r="F1980" s="87"/>
      <x:c r="G1980" s="87" t="str">
        <x:v>Физика</x:v>
      </x:c>
      <x:c r="H1980" s="87" t="n">
        <x:v>11</x:v>
      </x:c>
      <x:c r="I1980" s="87" t="str">
        <x:v>ТР №5</x:v>
      </x:c>
      <x:c r="J1980" s="87" t="str">
        <x:v>ФИ2510503</x:v>
      </x:c>
      <x:c r="K1980" s="87" t="n">
        <x:v>19</x:v>
      </x:c>
      <x:c r="L1980" s="87" t="str">
        <x:v>Снятие показаний прибора</x:v>
      </x:c>
      <x:c r="M1980" s="30" t="str">
        <x:v>Определить показание динамометра с учётом погрешности.</x:v>
      </x:c>
      <x:c r="N1980" s="30" t="str">
        <x:v>(3,4±0,2)</x:v>
      </x:c>
      <x:c r="O1980" s="30" t="str">
        <x:v>Цена деления и положение стрелки дают 3,4 Н; инструментальная погрешность принимается 0,2 Н.</x:v>
      </x:c>
      <x:c r="P1980" s="30" t="str">
        <x:v>Шкала прибора проверена по оригинальному изображению.</x:v>
      </x:c>
      <x:c r="Q1980" s="30"/>
      <x:c r="R1980" s="30" t="str">
        <x:v>Официальные задания и критерии Восток + общий краткий ключ + независимое решение</x:v>
      </x:c>
      <x:c r="S1980" s="30"/>
      <x:c r="T1980" s="30"/>
      <x:c r="U1980" s="30" t="str">
        <x:v>Расхождений не обнаружено.</x:v>
      </x:c>
      <x:c r="V1980" s="87" t="str">
        <x:v>VERIFIED</x:v>
      </x:c>
      <x:c r="W1980" s="87" t="str">
        <x:v>PDF 501, задание 19</x:v>
      </x:c>
      <x:c r="X1980" s="87"/>
      <x:c r="Y1980" s="87"/>
      <x:c r="Z1980" s="87"/>
      <x:c r="AA1980" s="87"/>
      <x:c r="AB1980" s="87"/>
      <x:c r="AC1980" s="87"/>
      <x:c r="AD1980" s="87"/>
      <x:c r="AE1980" s="87"/>
      <x:c r="AF1980" s="87"/>
      <x:c r="AG1980" s="87"/>
      <x:c r="AH1980" s="87"/>
      <x:c r="AI1980" s="30"/>
      <x:c r="AJ1980" s="87" t="str">
        <x:v>master</x:v>
      </x:c>
      <x:c r="AK1980" s="87" t="str">
        <x:v>master-v0.81</x:v>
      </x:c>
      <x:c r="AL1980" s="87" t="str">
        <x:v>statgrad_master_base_v0_81_final(2).xlsx</x:v>
      </x:c>
      <x:c r="AM1980" s="87" t="str">
        <x:v>PHYS_Apr_V3</x:v>
      </x:c>
      <x:c r="AN1980" s="87" t="n">
        <x:v>20</x:v>
      </x:c>
    </x:row>
    <x:row r="1981">
      <x:c r="A1981" s="87" t="n">
        <x:v>1980</x:v>
      </x:c>
      <x:c r="B1981" s="87" t="str">
        <x:v>APR-PHYS-V3-020</x:v>
      </x:c>
      <x:c r="C1981" s="87" t="str">
        <x:v>СтатГрад</x:v>
      </x:c>
      <x:c r="D1981" s="87" t="str">
        <x:v>Апрель 2026</x:v>
      </x:c>
      <x:c r="E1981" s="87"/>
      <x:c r="F1981" s="87"/>
      <x:c r="G1981" s="87" t="str">
        <x:v>Физика</x:v>
      </x:c>
      <x:c r="H1981" s="87" t="n">
        <x:v>11</x:v>
      </x:c>
      <x:c r="I1981" s="87" t="str">
        <x:v>ТР №5</x:v>
      </x:c>
      <x:c r="J1981" s="87" t="str">
        <x:v>ФИ2510503</x:v>
      </x:c>
      <x:c r="K1981" s="87" t="n">
        <x:v>20</x:v>
      </x:c>
      <x:c r="L1981" s="87" t="str">
        <x:v>Оптический эксперимент</x:v>
      </x:c>
      <x:c r="M1981" s="30" t="str">
        <x:v>Выбрать две установки для исследования зависимости размера изображения от расстояния до предмета.</x:v>
      </x:c>
      <x:c r="N1981" s="30" t="str">
        <x:v>14</x:v>
      </x:c>
      <x:c r="O1981" s="30" t="str">
        <x:v>Установки 1 и 4 изменяют только расстояние до предмета при сохранении линзы и размера предмета.</x:v>
      </x:c>
      <x:c r="P1981" s="30" t="str">
        <x:v>Установки 1 и 4 изменяют только расстояние до предмета при сохранении линзы и размера предмета.</x:v>
      </x:c>
      <x:c r="Q1981" s="30"/>
      <x:c r="R1981" s="30" t="str">
        <x:v>Официальные задания и критерии Восток + общий краткий ключ + независимое решение</x:v>
      </x:c>
      <x:c r="S1981" s="30"/>
      <x:c r="T1981" s="30"/>
      <x:c r="U1981" s="30" t="str">
        <x:v>Расхождений не обнаружено.</x:v>
      </x:c>
      <x:c r="V1981" s="87" t="str">
        <x:v>VERIFIED</x:v>
      </x:c>
      <x:c r="W1981" s="87" t="str">
        <x:v>Официальный PDF</x:v>
      </x:c>
      <x:c r="X1981" s="87"/>
      <x:c r="Y1981" s="87"/>
      <x:c r="Z1981" s="87"/>
      <x:c r="AA1981" s="87"/>
      <x:c r="AB1981" s="87"/>
      <x:c r="AC1981" s="87"/>
      <x:c r="AD1981" s="87"/>
      <x:c r="AE1981" s="87"/>
      <x:c r="AF1981" s="87"/>
      <x:c r="AG1981" s="87"/>
      <x:c r="AH1981" s="87"/>
      <x:c r="AI1981" s="30"/>
      <x:c r="AJ1981" s="87" t="str">
        <x:v>master</x:v>
      </x:c>
      <x:c r="AK1981" s="87" t="str">
        <x:v>master-v0.81</x:v>
      </x:c>
      <x:c r="AL1981" s="87" t="str">
        <x:v>statgrad_master_base_v0_81_final(2).xlsx</x:v>
      </x:c>
      <x:c r="AM1981" s="87" t="str">
        <x:v>PHYS_Apr_V3</x:v>
      </x:c>
      <x:c r="AN1981" s="87" t="n">
        <x:v>21</x:v>
      </x:c>
    </x:row>
    <x:row r="1982">
      <x:c r="A1982" s="87" t="n">
        <x:v>1981</x:v>
      </x:c>
      <x:c r="B1982" s="87" t="str">
        <x:v>APR-PHYS-V3-021</x:v>
      </x:c>
      <x:c r="C1982" s="87" t="str">
        <x:v>СтатГрад</x:v>
      </x:c>
      <x:c r="D1982" s="87" t="str">
        <x:v>Апрель 2026</x:v>
      </x:c>
      <x:c r="E1982" s="87"/>
      <x:c r="F1982" s="87"/>
      <x:c r="G1982" s="87" t="str">
        <x:v>Физика</x:v>
      </x:c>
      <x:c r="H1982" s="87" t="n">
        <x:v>11</x:v>
      </x:c>
      <x:c r="I1982" s="87" t="str">
        <x:v>ТР №5</x:v>
      </x:c>
      <x:c r="J1982" s="87" t="str">
        <x:v>ФИ2510503</x:v>
      </x:c>
      <x:c r="K1982" s="87" t="n">
        <x:v>21</x:v>
      </x:c>
      <x:c r="L1982" s="87" t="str">
        <x:v>Термодинамический процесс по p–T</x:v>
      </x:c>
      <x:c r="M1982" s="30" t="str">
        <x:v>Для процессов 1→2 и 2→3 на графике p(T) определить изменения объёма и внутренней энергии газа.</x:v>
      </x:c>
      <x:c r="N1982" s="30" t="str">
        <x:v>1→2: V const, U увеличивается; 2→3: V увеличивается, U увеличивается</x:v>
      </x:c>
      <x:c r="O1982" s="30" t="str">
        <x:v>Участок 1→2 лежит на прямой через начало координат, поэтому процесс изохорный; температура растёт. Участок 2→3 изобарный, при росте T объём и внутренняя энергия увеличиваются.</x:v>
      </x:c>
      <x:c r="P1982" s="30" t="str">
        <x:v>Модель полностью совпала с официальным критерием.</x:v>
      </x:c>
      <x:c r="Q1982" s="30"/>
      <x:c r="R1982" s="30" t="str">
        <x:v>Официальные задания и критерии Восток + общий краткий ключ + независимое решение</x:v>
      </x:c>
      <x:c r="S1982" s="30"/>
      <x:c r="T1982" s="30"/>
      <x:c r="U1982" s="30" t="str">
        <x:v>Расхождений не обнаружено.</x:v>
      </x:c>
      <x:c r="V1982" s="87" t="str">
        <x:v>VERIFIED</x:v>
      </x:c>
      <x:c r="W1982" s="87" t="str">
        <x:v>Официальный PDF</x:v>
      </x:c>
      <x:c r="X1982" s="87"/>
      <x:c r="Y1982" s="87"/>
      <x:c r="Z1982" s="87"/>
      <x:c r="AA1982" s="87"/>
      <x:c r="AB1982" s="87"/>
      <x:c r="AC1982" s="87"/>
      <x:c r="AD1982" s="87"/>
      <x:c r="AE1982" s="87"/>
      <x:c r="AF1982" s="87"/>
      <x:c r="AG1982" s="87"/>
      <x:c r="AH1982" s="87"/>
      <x:c r="AI1982" s="30"/>
      <x:c r="AJ1982" s="87" t="str">
        <x:v>master</x:v>
      </x:c>
      <x:c r="AK1982" s="87" t="str">
        <x:v>master-v0.81</x:v>
      </x:c>
      <x:c r="AL1982" s="87" t="str">
        <x:v>statgrad_master_base_v0_81_final(2).xlsx</x:v>
      </x:c>
      <x:c r="AM1982" s="87" t="str">
        <x:v>PHYS_Apr_V3</x:v>
      </x:c>
      <x:c r="AN1982" s="87" t="n">
        <x:v>22</x:v>
      </x:c>
    </x:row>
    <x:row r="1983">
      <x:c r="A1983" s="87" t="n">
        <x:v>1982</x:v>
      </x:c>
      <x:c r="B1983" s="87" t="str">
        <x:v>APR-PHYS-V3-022</x:v>
      </x:c>
      <x:c r="C1983" s="87" t="str">
        <x:v>СтатГрад</x:v>
      </x:c>
      <x:c r="D1983" s="87" t="str">
        <x:v>Апрель 2026</x:v>
      </x:c>
      <x:c r="E1983" s="87"/>
      <x:c r="F1983" s="87"/>
      <x:c r="G1983" s="87" t="str">
        <x:v>Физика</x:v>
      </x:c>
      <x:c r="H1983" s="87" t="n">
        <x:v>11</x:v>
      </x:c>
      <x:c r="I1983" s="87" t="str">
        <x:v>ТР №5</x:v>
      </x:c>
      <x:c r="J1983" s="87" t="str">
        <x:v>ФИ2510503</x:v>
      </x:c>
      <x:c r="K1983" s="87" t="n">
        <x:v>22</x:v>
      </x:c>
      <x:c r="L1983" s="87" t="str">
        <x:v>Баллистическое движение</x:v>
      </x:c>
      <x:c r="M1983" s="30" t="str">
        <x:v>Тело брошено горизонтально, падало 3 с; минимальная скорость 15 м/с. Найти дальность полёта.</x:v>
      </x:c>
      <x:c r="N1983" s="30" t="str">
        <x:v>45 м</x:v>
      </x:c>
      <x:c r="O1983" s="30" t="str">
        <x:v>L=v₀t=15·3=45 м.</x:v>
      </x:c>
      <x:c r="P1983" s="30" t="str">
        <x:v>L=v₀t=15·3=45 м.</x:v>
      </x:c>
      <x:c r="Q1983" s="30"/>
      <x:c r="R1983" s="30" t="str">
        <x:v>Официальные задания и критерии Восток + общий краткий ключ + независимое решение</x:v>
      </x:c>
      <x:c r="S1983" s="30"/>
      <x:c r="T1983" s="30"/>
      <x:c r="U1983" s="30" t="str">
        <x:v>Расхождений не обнаружено.</x:v>
      </x:c>
      <x:c r="V1983" s="87" t="str">
        <x:v>VERIFIED</x:v>
      </x:c>
      <x:c r="W1983" s="87" t="str">
        <x:v>Официальный PDF</x:v>
      </x:c>
      <x:c r="X1983" s="87"/>
      <x:c r="Y1983" s="87"/>
      <x:c r="Z1983" s="87"/>
      <x:c r="AA1983" s="87"/>
      <x:c r="AB1983" s="87"/>
      <x:c r="AC1983" s="87"/>
      <x:c r="AD1983" s="87"/>
      <x:c r="AE1983" s="87"/>
      <x:c r="AF1983" s="87"/>
      <x:c r="AG1983" s="87"/>
      <x:c r="AH1983" s="87"/>
      <x:c r="AI1983" s="30"/>
      <x:c r="AJ1983" s="87" t="str">
        <x:v>master</x:v>
      </x:c>
      <x:c r="AK1983" s="87" t="str">
        <x:v>master-v0.81</x:v>
      </x:c>
      <x:c r="AL1983" s="87" t="str">
        <x:v>statgrad_master_base_v0_81_final(2).xlsx</x:v>
      </x:c>
      <x:c r="AM1983" s="87" t="str">
        <x:v>PHYS_Apr_V3</x:v>
      </x:c>
      <x:c r="AN1983" s="87" t="n">
        <x:v>23</x:v>
      </x:c>
    </x:row>
    <x:row r="1984">
      <x:c r="A1984" s="87" t="n">
        <x:v>1983</x:v>
      </x:c>
      <x:c r="B1984" s="87" t="str">
        <x:v>APR-PHYS-V3-023</x:v>
      </x:c>
      <x:c r="C1984" s="87" t="str">
        <x:v>СтатГрад</x:v>
      </x:c>
      <x:c r="D1984" s="87" t="str">
        <x:v>Апрель 2026</x:v>
      </x:c>
      <x:c r="E1984" s="87"/>
      <x:c r="F1984" s="87"/>
      <x:c r="G1984" s="87" t="str">
        <x:v>Физика</x:v>
      </x:c>
      <x:c r="H1984" s="87" t="n">
        <x:v>11</x:v>
      </x:c>
      <x:c r="I1984" s="87" t="str">
        <x:v>ТР №5</x:v>
      </x:c>
      <x:c r="J1984" s="87" t="str">
        <x:v>ФИ2510503</x:v>
      </x:c>
      <x:c r="K1984" s="87" t="n">
        <x:v>23</x:v>
      </x:c>
      <x:c r="L1984" s="87" t="str">
        <x:v>Электромагнитные колебания</x:v>
      </x:c>
      <x:c r="M1984" s="30" t="str">
        <x:v>Максимальный ток в контуре 1,4 мА. В некоторый момент магнитная энергия вдвое больше электрической. Найти ток.</x:v>
      </x:c>
      <x:c r="N1984" s="30" t="str">
        <x:v>1,14 мА</x:v>
      </x:c>
      <x:c r="O1984" s="30" t="str">
        <x:v>Полная энергия пропорциональна Imax². При Wм=2Wэ магнитная энергия равна 2/3 полной, поэтому I=Imax√(2/3)≈1,14 мА.</x:v>
      </x:c>
      <x:c r="P1984" s="30" t="str">
        <x:v>Полная энергия пропорциональна Imax². При Wм=2Wэ магнитная энергия равна 2/3 полной, поэтому I=Imax√(2/3)≈1,14 мА.</x:v>
      </x:c>
      <x:c r="Q1984" s="30"/>
      <x:c r="R1984" s="30" t="str">
        <x:v>Официальные задания и критерии Восток + общий краткий ключ + независимое решение</x:v>
      </x:c>
      <x:c r="S1984" s="30"/>
      <x:c r="T1984" s="30"/>
      <x:c r="U1984" s="30" t="str">
        <x:v>Расхождений не обнаружено.</x:v>
      </x:c>
      <x:c r="V1984" s="87" t="str">
        <x:v>VERIFIED</x:v>
      </x:c>
      <x:c r="W1984" s="87" t="str">
        <x:v>Официальный PDF</x:v>
      </x:c>
      <x:c r="X1984" s="87"/>
      <x:c r="Y1984" s="87"/>
      <x:c r="Z1984" s="87"/>
      <x:c r="AA1984" s="87"/>
      <x:c r="AB1984" s="87"/>
      <x:c r="AC1984" s="87"/>
      <x:c r="AD1984" s="87"/>
      <x:c r="AE1984" s="87"/>
      <x:c r="AF1984" s="87"/>
      <x:c r="AG1984" s="87"/>
      <x:c r="AH1984" s="87"/>
      <x:c r="AI1984" s="30"/>
      <x:c r="AJ1984" s="87" t="str">
        <x:v>master</x:v>
      </x:c>
      <x:c r="AK1984" s="87" t="str">
        <x:v>master-v0.81</x:v>
      </x:c>
      <x:c r="AL1984" s="87" t="str">
        <x:v>statgrad_master_base_v0_81_final(2).xlsx</x:v>
      </x:c>
      <x:c r="AM1984" s="87" t="str">
        <x:v>PHYS_Apr_V3</x:v>
      </x:c>
      <x:c r="AN1984" s="87" t="n">
        <x:v>24</x:v>
      </x:c>
    </x:row>
    <x:row r="1985">
      <x:c r="A1985" s="87" t="n">
        <x:v>1984</x:v>
      </x:c>
      <x:c r="B1985" s="87" t="str">
        <x:v>APR-PHYS-V3-024</x:v>
      </x:c>
      <x:c r="C1985" s="87" t="str">
        <x:v>СтатГрад</x:v>
      </x:c>
      <x:c r="D1985" s="87" t="str">
        <x:v>Апрель 2026</x:v>
      </x:c>
      <x:c r="E1985" s="87"/>
      <x:c r="F1985" s="87"/>
      <x:c r="G1985" s="87" t="str">
        <x:v>Физика</x:v>
      </x:c>
      <x:c r="H1985" s="87" t="n">
        <x:v>11</x:v>
      </x:c>
      <x:c r="I1985" s="87" t="str">
        <x:v>ТР №5</x:v>
      </x:c>
      <x:c r="J1985" s="87" t="str">
        <x:v>ФИ2510503</x:v>
      </x:c>
      <x:c r="K1985" s="87" t="n">
        <x:v>24</x:v>
      </x:c>
      <x:c r="L1985" s="87" t="str">
        <x:v>Термодинамика под поршнем</x:v>
      </x:c>
      <x:c r="M1985" s="30" t="str">
        <x:v>Масса поршня 0,5 т, площадь 0,5 м², газу сообщили 300 кДж, среднеквадратичная скорость увеличилась на 60%, атмосферное давление 98,4 кПа. Найти начальный объём.</x:v>
      </x:c>
      <x:c r="N1985" s="30" t="str">
        <x:v>0,71 м³</x:v>
      </x:c>
      <x:c r="O1985" s="30" t="str">
        <x:v>T₂/T₁=1,6²=2,56. При постоянном давлении V₂=2,56V₁. Подстановка в Q=ΔU+A даёт V₁≈0,71 м³.</x:v>
      </x:c>
      <x:c r="P1985" s="30" t="str">
        <x:v>Расчёт сверён с официальным критерием.</x:v>
      </x:c>
      <x:c r="Q1985" s="30"/>
      <x:c r="R1985" s="30" t="str">
        <x:v>Официальные задания и критерии Восток + общий краткий ключ + независимое решение</x:v>
      </x:c>
      <x:c r="S1985" s="30"/>
      <x:c r="T1985" s="30"/>
      <x:c r="U1985" s="30" t="str">
        <x:v>Расхождений не обнаружено.</x:v>
      </x:c>
      <x:c r="V1985" s="87" t="str">
        <x:v>VERIFIED</x:v>
      </x:c>
      <x:c r="W1985" s="87" t="str">
        <x:v>Официальный PDF</x:v>
      </x:c>
      <x:c r="X1985" s="87"/>
      <x:c r="Y1985" s="87"/>
      <x:c r="Z1985" s="87"/>
      <x:c r="AA1985" s="87"/>
      <x:c r="AB1985" s="87"/>
      <x:c r="AC1985" s="87"/>
      <x:c r="AD1985" s="87"/>
      <x:c r="AE1985" s="87"/>
      <x:c r="AF1985" s="87"/>
      <x:c r="AG1985" s="87"/>
      <x:c r="AH1985" s="87"/>
      <x:c r="AI1985" s="30"/>
      <x:c r="AJ1985" s="87" t="str">
        <x:v>master</x:v>
      </x:c>
      <x:c r="AK1985" s="87" t="str">
        <x:v>master-v0.81</x:v>
      </x:c>
      <x:c r="AL1985" s="87" t="str">
        <x:v>statgrad_master_base_v0_81_final(2).xlsx</x:v>
      </x:c>
      <x:c r="AM1985" s="87" t="str">
        <x:v>PHYS_Apr_V3</x:v>
      </x:c>
      <x:c r="AN1985" s="87" t="n">
        <x:v>25</x:v>
      </x:c>
    </x:row>
    <x:row r="1986">
      <x:c r="A1986" s="87" t="n">
        <x:v>1985</x:v>
      </x:c>
      <x:c r="B1986" s="87" t="str">
        <x:v>APR-PHYS-V3-025</x:v>
      </x:c>
      <x:c r="C1986" s="87" t="str">
        <x:v>СтатГрад</x:v>
      </x:c>
      <x:c r="D1986" s="87" t="str">
        <x:v>Апрель 2026</x:v>
      </x:c>
      <x:c r="E1986" s="87"/>
      <x:c r="F1986" s="87"/>
      <x:c r="G1986" s="87" t="str">
        <x:v>Физика</x:v>
      </x:c>
      <x:c r="H1986" s="87" t="n">
        <x:v>11</x:v>
      </x:c>
      <x:c r="I1986" s="87" t="str">
        <x:v>ТР №5</x:v>
      </x:c>
      <x:c r="J1986" s="87" t="str">
        <x:v>ФИ2510503</x:v>
      </x:c>
      <x:c r="K1986" s="87" t="n">
        <x:v>25</x:v>
      </x:c>
      <x:c r="L1986" s="87" t="str">
        <x:v>Линза и плоское зеркало</x:v>
      </x:c>
      <x:c r="M1986" s="30" t="str">
        <x:v>Собирающая линза F=30 см, зеркало на расстоянии 30 см от линзы, источник на расстоянии 45 см перед линзой. Найти положение окончательного изображения.</x:v>
      </x:c>
      <x:c r="N1986" s="30" t="str">
        <x:v>15 см от линзы со стороны источника</x:v>
      </x:c>
      <x:c r="O1986" s="30" t="str">
        <x:v>Первое изображение линзы получается за зеркалом; после отражения зеркало создаёт предмет для обратного хода лучей. Повторное применение формулы линзы даёт изображение в 15 см слева от линзы.</x:v>
      </x:c>
      <x:c r="P1986" s="30" t="str">
        <x:v>Построение и знаки расстояний сверены с официальным решением.</x:v>
      </x:c>
      <x:c r="Q1986" s="30"/>
      <x:c r="R1986" s="30" t="str">
        <x:v>Официальные задания и критерии Восток + общий краткий ключ + независимое решение</x:v>
      </x:c>
      <x:c r="S1986" s="30"/>
      <x:c r="T1986" s="30"/>
      <x:c r="U1986" s="30" t="str">
        <x:v>Расхождений не обнаружено.</x:v>
      </x:c>
      <x:c r="V1986" s="87" t="str">
        <x:v>VERIFIED</x:v>
      </x:c>
      <x:c r="W1986" s="87" t="str">
        <x:v>Официальный PDF</x:v>
      </x:c>
      <x:c r="X1986" s="87"/>
      <x:c r="Y1986" s="87"/>
      <x:c r="Z1986" s="87"/>
      <x:c r="AA1986" s="87"/>
      <x:c r="AB1986" s="87"/>
      <x:c r="AC1986" s="87"/>
      <x:c r="AD1986" s="87"/>
      <x:c r="AE1986" s="87"/>
      <x:c r="AF1986" s="87"/>
      <x:c r="AG1986" s="87"/>
      <x:c r="AH1986" s="87"/>
      <x:c r="AI1986" s="30"/>
      <x:c r="AJ1986" s="87" t="str">
        <x:v>master</x:v>
      </x:c>
      <x:c r="AK1986" s="87" t="str">
        <x:v>master-v0.81</x:v>
      </x:c>
      <x:c r="AL1986" s="87" t="str">
        <x:v>statgrad_master_base_v0_81_final(2).xlsx</x:v>
      </x:c>
      <x:c r="AM1986" s="87" t="str">
        <x:v>PHYS_Apr_V3</x:v>
      </x:c>
      <x:c r="AN1986" s="87" t="n">
        <x:v>26</x:v>
      </x:c>
    </x:row>
    <x:row r="1987">
      <x:c r="A1987" s="87" t="n">
        <x:v>1986</x:v>
      </x:c>
      <x:c r="B1987" s="87" t="str">
        <x:v>APR-PHYS-V3-026</x:v>
      </x:c>
      <x:c r="C1987" s="87" t="str">
        <x:v>СтатГрад</x:v>
      </x:c>
      <x:c r="D1987" s="87" t="str">
        <x:v>Апрель 2026</x:v>
      </x:c>
      <x:c r="E1987" s="87"/>
      <x:c r="F1987" s="87"/>
      <x:c r="G1987" s="87" t="str">
        <x:v>Физика</x:v>
      </x:c>
      <x:c r="H1987" s="87" t="n">
        <x:v>11</x:v>
      </x:c>
      <x:c r="I1987" s="87" t="str">
        <x:v>ТР №5</x:v>
      </x:c>
      <x:c r="J1987" s="87" t="str">
        <x:v>ФИ2510503</x:v>
      </x:c>
      <x:c r="K1987" s="87" t="n">
        <x:v>26</x:v>
      </x:c>
      <x:c r="L1987" s="87" t="str">
        <x:v>Связанные тела и трение</x:v>
      </x:c>
      <x:c r="M1987" s="30" t="str">
        <x:v>Доска массой 4m, груз массой 3m, подвешенный брусок массой 3m; определить минимальный коэффициент трения, при котором груз не скользит по доске.</x:v>
      </x:c>
      <x:c r="N1987" s="30" t="str">
        <x:v>0,4</x:v>
      </x:c>
      <x:c r="O1987" s="30" t="str">
        <x:v>Общее ускорение системы a=3g/(4+3+3)=0,3g. Для разгона доски нужна сила трения 4m·0,3g=1,2mg; максимум трения μ·3mg. Отсюда μ≥1,2/3=0,4.</x:v>
      </x:c>
      <x:c r="P1987" s="30" t="str">
        <x:v>Результат полностью совпал с официальным критерием ФИ2510503 №26.</x:v>
      </x:c>
      <x:c r="Q1987" s="30"/>
      <x:c r="R1987" s="30" t="str">
        <x:v>Официальные задания и критерии Восток + общий краткий ключ + независимое решение</x:v>
      </x:c>
      <x:c r="S1987" s="30"/>
      <x:c r="T1987" s="30"/>
      <x:c r="U1987" s="30" t="str">
        <x:v>Расхождений не обнаружено.</x:v>
      </x:c>
      <x:c r="V1987" s="87" t="str">
        <x:v>VERIFIED</x:v>
      </x:c>
      <x:c r="W1987" s="87" t="str">
        <x:v>Официальный PDF</x:v>
      </x:c>
      <x:c r="X1987" s="87"/>
      <x:c r="Y1987" s="87"/>
      <x:c r="Z1987" s="87"/>
      <x:c r="AA1987" s="87"/>
      <x:c r="AB1987" s="87"/>
      <x:c r="AC1987" s="87"/>
      <x:c r="AD1987" s="87"/>
      <x:c r="AE1987" s="87"/>
      <x:c r="AF1987" s="87"/>
      <x:c r="AG1987" s="87"/>
      <x:c r="AH1987" s="87"/>
      <x:c r="AI1987" s="30"/>
      <x:c r="AJ1987" s="87" t="str">
        <x:v>master</x:v>
      </x:c>
      <x:c r="AK1987" s="87" t="str">
        <x:v>master-v0.81</x:v>
      </x:c>
      <x:c r="AL1987" s="87" t="str">
        <x:v>statgrad_master_base_v0_81_final(2).xlsx</x:v>
      </x:c>
      <x:c r="AM1987" s="87" t="str">
        <x:v>PHYS_Apr_V3</x:v>
      </x:c>
      <x:c r="AN1987" s="87" t="n">
        <x:v>27</x:v>
      </x:c>
    </x:row>
    <x:row r="1988">
      <x:c r="A1988" s="87" t="n">
        <x:v>1987</x:v>
      </x:c>
      <x:c r="B1988" s="87" t="str">
        <x:v>APR-PHYS-V4-001</x:v>
      </x:c>
      <x:c r="C1988" s="87" t="str">
        <x:v>СтатГрад</x:v>
      </x:c>
      <x:c r="D1988" s="87" t="str">
        <x:v>Апрель 2026</x:v>
      </x:c>
      <x:c r="E1988" s="87"/>
      <x:c r="F1988" s="87"/>
      <x:c r="G1988" s="87" t="str">
        <x:v>Физика</x:v>
      </x:c>
      <x:c r="H1988" s="87" t="n">
        <x:v>11</x:v>
      </x:c>
      <x:c r="I1988" s="87" t="str">
        <x:v>ТР №5</x:v>
      </x:c>
      <x:c r="J1988" s="87" t="str">
        <x:v>ФИ2510504</x:v>
      </x:c>
      <x:c r="K1988" s="87" t="n">
        <x:v>1</x:v>
      </x:c>
      <x:c r="L1988" s="87" t="str">
        <x:v>Кинематика по графику</x:v>
      </x:c>
      <x:c r="M1988" s="30" t="str">
        <x:v>По графику скорости автомобиля определить путь за интервал 20–40 с.</x:v>
      </x:c>
      <x:c r="N1988" s="30" t="str">
        <x:v>150</x:v>
      </x:c>
      <x:c r="O1988" s="30" t="str">
        <x:v>Путь равен площади под графиком v(t) на указанном интервале: 150 м.</x:v>
      </x:c>
      <x:c r="P1988" s="30" t="str">
        <x:v>Путь равен площади под графиком v(t) на указанном интервале: 150 м.</x:v>
      </x:c>
      <x:c r="Q1988" s="30"/>
      <x:c r="R1988" s="30" t="str">
        <x:v>Официальные задания и критерии Восток + общий краткий ключ + независимое решение</x:v>
      </x:c>
      <x:c r="S1988" s="30"/>
      <x:c r="T1988" s="30"/>
      <x:c r="U1988" s="30" t="str">
        <x:v>Расхождений не обнаружено.</x:v>
      </x:c>
      <x:c r="V1988" s="87" t="str">
        <x:v>VERIFIED</x:v>
      </x:c>
      <x:c r="W1988" s="87" t="str">
        <x:v>Официальный PDF</x:v>
      </x:c>
      <x:c r="X1988" s="87"/>
      <x:c r="Y1988" s="87"/>
      <x:c r="Z1988" s="87"/>
      <x:c r="AA1988" s="87"/>
      <x:c r="AB1988" s="87"/>
      <x:c r="AC1988" s="87"/>
      <x:c r="AD1988" s="87"/>
      <x:c r="AE1988" s="87"/>
      <x:c r="AF1988" s="87"/>
      <x:c r="AG1988" s="87"/>
      <x:c r="AH1988" s="87"/>
      <x:c r="AI1988" s="30"/>
      <x:c r="AJ1988" s="87" t="str">
        <x:v>master</x:v>
      </x:c>
      <x:c r="AK1988" s="87" t="str">
        <x:v>master-v0.81</x:v>
      </x:c>
      <x:c r="AL1988" s="87" t="str">
        <x:v>statgrad_master_base_v0_81_final(2).xlsx</x:v>
      </x:c>
      <x:c r="AM1988" s="87" t="str">
        <x:v>PHYS_Apr_V4</x:v>
      </x:c>
      <x:c r="AN1988" s="87" t="n">
        <x:v>2</x:v>
      </x:c>
    </x:row>
    <x:row r="1989">
      <x:c r="A1989" s="87" t="n">
        <x:v>1988</x:v>
      </x:c>
      <x:c r="B1989" s="87" t="str">
        <x:v>APR-PHYS-V4-002</x:v>
      </x:c>
      <x:c r="C1989" s="87" t="str">
        <x:v>СтатГрад</x:v>
      </x:c>
      <x:c r="D1989" s="87" t="str">
        <x:v>Апрель 2026</x:v>
      </x:c>
      <x:c r="E1989" s="87"/>
      <x:c r="F1989" s="87"/>
      <x:c r="G1989" s="87" t="str">
        <x:v>Физика</x:v>
      </x:c>
      <x:c r="H1989" s="87" t="n">
        <x:v>11</x:v>
      </x:c>
      <x:c r="I1989" s="87" t="str">
        <x:v>ТР №5</x:v>
      </x:c>
      <x:c r="J1989" s="87" t="str">
        <x:v>ФИ2510504</x:v>
      </x:c>
      <x:c r="K1989" s="87" t="n">
        <x:v>2</x:v>
      </x:c>
      <x:c r="L1989" s="87" t="str">
        <x:v>Закон Гука</x:v>
      </x:c>
      <x:c r="M1989" s="30" t="str">
        <x:v>По графику зависимости силы упругости от удлинения пружины определить её жёсткость.</x:v>
      </x:c>
      <x:c r="N1989" s="30" t="str">
        <x:v>400</x:v>
      </x:c>
      <x:c r="O1989" s="30" t="str">
        <x:v>Жёсткость равна угловому коэффициенту графика: k=F/x=400 Н/м.</x:v>
      </x:c>
      <x:c r="P1989" s="30" t="str">
        <x:v>Жёсткость равна угловому коэффициенту графика: k=F/x=400 Н/м.</x:v>
      </x:c>
      <x:c r="Q1989" s="30"/>
      <x:c r="R1989" s="30" t="str">
        <x:v>Официальные задания и критерии Восток + общий краткий ключ + независимое решение</x:v>
      </x:c>
      <x:c r="S1989" s="30"/>
      <x:c r="T1989" s="30"/>
      <x:c r="U1989" s="30" t="str">
        <x:v>Расхождений не обнаружено.</x:v>
      </x:c>
      <x:c r="V1989" s="87" t="str">
        <x:v>VERIFIED</x:v>
      </x:c>
      <x:c r="W1989" s="87" t="str">
        <x:v>Официальный PDF</x:v>
      </x:c>
      <x:c r="X1989" s="87"/>
      <x:c r="Y1989" s="87"/>
      <x:c r="Z1989" s="87"/>
      <x:c r="AA1989" s="87"/>
      <x:c r="AB1989" s="87"/>
      <x:c r="AC1989" s="87"/>
      <x:c r="AD1989" s="87"/>
      <x:c r="AE1989" s="87"/>
      <x:c r="AF1989" s="87"/>
      <x:c r="AG1989" s="87"/>
      <x:c r="AH1989" s="87"/>
      <x:c r="AI1989" s="30"/>
      <x:c r="AJ1989" s="87" t="str">
        <x:v>master</x:v>
      </x:c>
      <x:c r="AK1989" s="87" t="str">
        <x:v>master-v0.81</x:v>
      </x:c>
      <x:c r="AL1989" s="87" t="str">
        <x:v>statgrad_master_base_v0_81_final(2).xlsx</x:v>
      </x:c>
      <x:c r="AM1989" s="87" t="str">
        <x:v>PHYS_Apr_V4</x:v>
      </x:c>
      <x:c r="AN1989" s="87" t="n">
        <x:v>3</x:v>
      </x:c>
    </x:row>
    <x:row r="1990">
      <x:c r="A1990" s="87" t="n">
        <x:v>1989</x:v>
      </x:c>
      <x:c r="B1990" s="87" t="str">
        <x:v>APR-PHYS-V4-003</x:v>
      </x:c>
      <x:c r="C1990" s="87" t="str">
        <x:v>СтатГрад</x:v>
      </x:c>
      <x:c r="D1990" s="87" t="str">
        <x:v>Апрель 2026</x:v>
      </x:c>
      <x:c r="E1990" s="87"/>
      <x:c r="F1990" s="87"/>
      <x:c r="G1990" s="87" t="str">
        <x:v>Физика</x:v>
      </x:c>
      <x:c r="H1990" s="87" t="n">
        <x:v>11</x:v>
      </x:c>
      <x:c r="I1990" s="87" t="str">
        <x:v>ТР №5</x:v>
      </x:c>
      <x:c r="J1990" s="87" t="str">
        <x:v>ФИ2510504</x:v>
      </x:c>
      <x:c r="K1990" s="87" t="n">
        <x:v>3</x:v>
      </x:c>
      <x:c r="L1990" s="87" t="str">
        <x:v>Импульс силы</x:v>
      </x:c>
      <x:c r="M1990" s="30" t="str">
        <x:v>Импульс тела изменился на 48 кг·м/с за 6 с. Найти постоянную силу.</x:v>
      </x:c>
      <x:c r="N1990" s="30" t="str">
        <x:v>8</x:v>
      </x:c>
      <x:c r="O1990" s="30" t="str">
        <x:v>F=Δp/Δt=48/6=8 Н.</x:v>
      </x:c>
      <x:c r="P1990" s="30" t="str">
        <x:v>F=Δp/Δt=48/6=8 Н.</x:v>
      </x:c>
      <x:c r="Q1990" s="30"/>
      <x:c r="R1990" s="30" t="str">
        <x:v>Официальные задания и критерии Восток + общий краткий ключ + независимое решение</x:v>
      </x:c>
      <x:c r="S1990" s="30"/>
      <x:c r="T1990" s="30"/>
      <x:c r="U1990" s="30" t="str">
        <x:v>Расхождений не обнаружено.</x:v>
      </x:c>
      <x:c r="V1990" s="87" t="str">
        <x:v>VERIFIED</x:v>
      </x:c>
      <x:c r="W1990" s="87" t="str">
        <x:v>Официальный PDF</x:v>
      </x:c>
      <x:c r="X1990" s="87"/>
      <x:c r="Y1990" s="87"/>
      <x:c r="Z1990" s="87"/>
      <x:c r="AA1990" s="87"/>
      <x:c r="AB1990" s="87"/>
      <x:c r="AC1990" s="87"/>
      <x:c r="AD1990" s="87"/>
      <x:c r="AE1990" s="87"/>
      <x:c r="AF1990" s="87"/>
      <x:c r="AG1990" s="87"/>
      <x:c r="AH1990" s="87"/>
      <x:c r="AI1990" s="30"/>
      <x:c r="AJ1990" s="87" t="str">
        <x:v>master</x:v>
      </x:c>
      <x:c r="AK1990" s="87" t="str">
        <x:v>master-v0.81</x:v>
      </x:c>
      <x:c r="AL1990" s="87" t="str">
        <x:v>statgrad_master_base_v0_81_final(2).xlsx</x:v>
      </x:c>
      <x:c r="AM1990" s="87" t="str">
        <x:v>PHYS_Apr_V4</x:v>
      </x:c>
      <x:c r="AN1990" s="87" t="n">
        <x:v>4</x:v>
      </x:c>
    </x:row>
    <x:row r="1991">
      <x:c r="A1991" s="87" t="n">
        <x:v>1990</x:v>
      </x:c>
      <x:c r="B1991" s="87" t="str">
        <x:v>APR-PHYS-V4-004</x:v>
      </x:c>
      <x:c r="C1991" s="87" t="str">
        <x:v>СтатГрад</x:v>
      </x:c>
      <x:c r="D1991" s="87" t="str">
        <x:v>Апрель 2026</x:v>
      </x:c>
      <x:c r="E1991" s="87"/>
      <x:c r="F1991" s="87"/>
      <x:c r="G1991" s="87" t="str">
        <x:v>Физика</x:v>
      </x:c>
      <x:c r="H1991" s="87" t="n">
        <x:v>11</x:v>
      </x:c>
      <x:c r="I1991" s="87" t="str">
        <x:v>ТР №5</x:v>
      </x:c>
      <x:c r="J1991" s="87" t="str">
        <x:v>ФИ2510504</x:v>
      </x:c>
      <x:c r="K1991" s="87" t="n">
        <x:v>4</x:v>
      </x:c>
      <x:c r="L1991" s="87" t="str">
        <x:v>Гармонические колебания</x:v>
      </x:c>
      <x:c r="M1991" s="30" t="str">
        <x:v>Частота колебаний 4 Гц. Найти время от максимума кинетической энергии до ближайшего минимума.</x:v>
      </x:c>
      <x:c r="N1991" s="30" t="str">
        <x:v>62,5</x:v>
      </x:c>
      <x:c r="O1991" s="30" t="str">
        <x:v>Период T=1/4=0,25 с; от максимума кинетической энергии до минимума проходит T/4=0,0625 с=62,5 мс.</x:v>
      </x:c>
      <x:c r="P1991" s="30" t="str">
        <x:v>Период T=1/4=0,25 с; от максимума кинетической энергии до минимума проходит T/4=0,0625 с=62,5 мс.</x:v>
      </x:c>
      <x:c r="Q1991" s="30"/>
      <x:c r="R1991" s="30" t="str">
        <x:v>Официальные задания и критерии Восток + общий краткий ключ + независимое решение</x:v>
      </x:c>
      <x:c r="S1991" s="30"/>
      <x:c r="T1991" s="30"/>
      <x:c r="U1991" s="30" t="str">
        <x:v>Расхождений не обнаружено.</x:v>
      </x:c>
      <x:c r="V1991" s="87" t="str">
        <x:v>VERIFIED</x:v>
      </x:c>
      <x:c r="W1991" s="87" t="str">
        <x:v>Официальный PDF</x:v>
      </x:c>
      <x:c r="X1991" s="87"/>
      <x:c r="Y1991" s="87"/>
      <x:c r="Z1991" s="87"/>
      <x:c r="AA1991" s="87"/>
      <x:c r="AB1991" s="87"/>
      <x:c r="AC1991" s="87"/>
      <x:c r="AD1991" s="87"/>
      <x:c r="AE1991" s="87"/>
      <x:c r="AF1991" s="87"/>
      <x:c r="AG1991" s="87"/>
      <x:c r="AH1991" s="87"/>
      <x:c r="AI1991" s="30"/>
      <x:c r="AJ1991" s="87" t="str">
        <x:v>master</x:v>
      </x:c>
      <x:c r="AK1991" s="87" t="str">
        <x:v>master-v0.81</x:v>
      </x:c>
      <x:c r="AL1991" s="87" t="str">
        <x:v>statgrad_master_base_v0_81_final(2).xlsx</x:v>
      </x:c>
      <x:c r="AM1991" s="87" t="str">
        <x:v>PHYS_Apr_V4</x:v>
      </x:c>
      <x:c r="AN1991" s="87" t="n">
        <x:v>5</x:v>
      </x:c>
    </x:row>
    <x:row r="1992">
      <x:c r="A1992" s="87" t="n">
        <x:v>1991</x:v>
      </x:c>
      <x:c r="B1992" s="87" t="str">
        <x:v>APR-PHYS-V4-005</x:v>
      </x:c>
      <x:c r="C1992" s="87" t="str">
        <x:v>СтатГрад</x:v>
      </x:c>
      <x:c r="D1992" s="87" t="str">
        <x:v>Апрель 2026</x:v>
      </x:c>
      <x:c r="E1992" s="87"/>
      <x:c r="F1992" s="87"/>
      <x:c r="G1992" s="87" t="str">
        <x:v>Физика</x:v>
      </x:c>
      <x:c r="H1992" s="87" t="n">
        <x:v>11</x:v>
      </x:c>
      <x:c r="I1992" s="87" t="str">
        <x:v>ТР №5</x:v>
      </x:c>
      <x:c r="J1992" s="87" t="str">
        <x:v>ФИ2510504</x:v>
      </x:c>
      <x:c r="K1992" s="87" t="n">
        <x:v>5</x:v>
      </x:c>
      <x:c r="L1992" s="87" t="str">
        <x:v>Механика: анализ утверждений</x:v>
      </x:c>
      <x:c r="M1992" s="30" t="str">
        <x:v>По графику движения выбрать два верных утверждения.</x:v>
      </x:c>
      <x:c r="N1992" s="30" t="str">
        <x:v>45</x:v>
      </x:c>
      <x:c r="O1992" s="30" t="str">
        <x:v>Утверждения 4 и 5 соответствуют знакам скорости, ускорения и равнодействующей силы.</x:v>
      </x:c>
      <x:c r="P1992" s="30" t="str">
        <x:v>Утверждения 4 и 5 соответствуют знакам скорости, ускорения и равнодействующей силы.</x:v>
      </x:c>
      <x:c r="Q1992" s="30"/>
      <x:c r="R1992" s="30" t="str">
        <x:v>Официальные задания и критерии Восток + общий краткий ключ + независимое решение</x:v>
      </x:c>
      <x:c r="S1992" s="30"/>
      <x:c r="T1992" s="30"/>
      <x:c r="U1992" s="30" t="str">
        <x:v>Расхождений не обнаружено.</x:v>
      </x:c>
      <x:c r="V1992" s="87" t="str">
        <x:v>VERIFIED</x:v>
      </x:c>
      <x:c r="W1992" s="87" t="str">
        <x:v>Официальный PDF</x:v>
      </x:c>
      <x:c r="X1992" s="87"/>
      <x:c r="Y1992" s="87"/>
      <x:c r="Z1992" s="87"/>
      <x:c r="AA1992" s="87"/>
      <x:c r="AB1992" s="87"/>
      <x:c r="AC1992" s="87"/>
      <x:c r="AD1992" s="87"/>
      <x:c r="AE1992" s="87"/>
      <x:c r="AF1992" s="87"/>
      <x:c r="AG1992" s="87"/>
      <x:c r="AH1992" s="87"/>
      <x:c r="AI1992" s="30"/>
      <x:c r="AJ1992" s="87" t="str">
        <x:v>master</x:v>
      </x:c>
      <x:c r="AK1992" s="87" t="str">
        <x:v>master-v0.81</x:v>
      </x:c>
      <x:c r="AL1992" s="87" t="str">
        <x:v>statgrad_master_base_v0_81_final(2).xlsx</x:v>
      </x:c>
      <x:c r="AM1992" s="87" t="str">
        <x:v>PHYS_Apr_V4</x:v>
      </x:c>
      <x:c r="AN1992" s="87" t="n">
        <x:v>6</x:v>
      </x:c>
    </x:row>
    <x:row r="1993">
      <x:c r="A1993" s="87" t="n">
        <x:v>1992</x:v>
      </x:c>
      <x:c r="B1993" s="87" t="str">
        <x:v>APR-PHYS-V4-006</x:v>
      </x:c>
      <x:c r="C1993" s="87" t="str">
        <x:v>СтатГрад</x:v>
      </x:c>
      <x:c r="D1993" s="87" t="str">
        <x:v>Апрель 2026</x:v>
      </x:c>
      <x:c r="E1993" s="87"/>
      <x:c r="F1993" s="87"/>
      <x:c r="G1993" s="87" t="str">
        <x:v>Физика</x:v>
      </x:c>
      <x:c r="H1993" s="87" t="n">
        <x:v>11</x:v>
      </x:c>
      <x:c r="I1993" s="87" t="str">
        <x:v>ТР №5</x:v>
      </x:c>
      <x:c r="J1993" s="87" t="str">
        <x:v>ФИ2510504</x:v>
      </x:c>
      <x:c r="K1993" s="87" t="n">
        <x:v>6</x:v>
      </x:c>
      <x:c r="L1993" s="87" t="str">
        <x:v>Спутник Земли</x:v>
      </x:c>
      <x:c r="M1993" s="30" t="str">
        <x:v>Спутник переходит на более высокую круговую орбиту; определить изменение частоты обращения и скорости.</x:v>
      </x:c>
      <x:c r="N1993" s="30" t="str">
        <x:v>22</x:v>
      </x:c>
      <x:c r="O1993" s="30" t="str">
        <x:v>При увеличении радиуса круговой орбиты и частота обращения, и орбитальная скорость уменьшаются: обе величины соответствуют коду 2.</x:v>
      </x:c>
      <x:c r="P1993" s="30" t="str">
        <x:v>При увеличении радиуса круговой орбиты и частота обращения, и орбитальная скорость уменьшаются: обе величины соответствуют коду 2.</x:v>
      </x:c>
      <x:c r="Q1993" s="30"/>
      <x:c r="R1993" s="30" t="str">
        <x:v>Официальные задания и критерии Восток + общий краткий ключ + независимое решение</x:v>
      </x:c>
      <x:c r="S1993" s="30"/>
      <x:c r="T1993" s="30"/>
      <x:c r="U1993" s="30" t="str">
        <x:v>Расхождений не обнаружено.</x:v>
      </x:c>
      <x:c r="V1993" s="87" t="str">
        <x:v>VERIFIED</x:v>
      </x:c>
      <x:c r="W1993" s="87" t="str">
        <x:v>Официальный PDF</x:v>
      </x:c>
      <x:c r="X1993" s="87"/>
      <x:c r="Y1993" s="87"/>
      <x:c r="Z1993" s="87"/>
      <x:c r="AA1993" s="87"/>
      <x:c r="AB1993" s="87"/>
      <x:c r="AC1993" s="87"/>
      <x:c r="AD1993" s="87"/>
      <x:c r="AE1993" s="87"/>
      <x:c r="AF1993" s="87"/>
      <x:c r="AG1993" s="87"/>
      <x:c r="AH1993" s="87"/>
      <x:c r="AI1993" s="30"/>
      <x:c r="AJ1993" s="87" t="str">
        <x:v>master</x:v>
      </x:c>
      <x:c r="AK1993" s="87" t="str">
        <x:v>master-v0.81</x:v>
      </x:c>
      <x:c r="AL1993" s="87" t="str">
        <x:v>statgrad_master_base_v0_81_final(2).xlsx</x:v>
      </x:c>
      <x:c r="AM1993" s="87" t="str">
        <x:v>PHYS_Apr_V4</x:v>
      </x:c>
      <x:c r="AN1993" s="87" t="n">
        <x:v>7</x:v>
      </x:c>
    </x:row>
    <x:row r="1994">
      <x:c r="A1994" s="87" t="n">
        <x:v>1993</x:v>
      </x:c>
      <x:c r="B1994" s="87" t="str">
        <x:v>APR-PHYS-V4-007</x:v>
      </x:c>
      <x:c r="C1994" s="87" t="str">
        <x:v>СтатГрад</x:v>
      </x:c>
      <x:c r="D1994" s="87" t="str">
        <x:v>Апрель 2026</x:v>
      </x:c>
      <x:c r="E1994" s="87"/>
      <x:c r="F1994" s="87"/>
      <x:c r="G1994" s="87" t="str">
        <x:v>Физика</x:v>
      </x:c>
      <x:c r="H1994" s="87" t="n">
        <x:v>11</x:v>
      </x:c>
      <x:c r="I1994" s="87" t="str">
        <x:v>ТР №5</x:v>
      </x:c>
      <x:c r="J1994" s="87" t="str">
        <x:v>ФИ2510504</x:v>
      </x:c>
      <x:c r="K1994" s="87" t="n">
        <x:v>7</x:v>
      </x:c>
      <x:c r="L1994" s="87" t="str">
        <x:v>Молекулярная физика</x:v>
      </x:c>
      <x:c r="M1994" s="30" t="str">
        <x:v>Начальное давление 50 кПа. Средняя кинетическая энергия увеличилась в 3 раза, конечное давление 25 кПа. Во сколько раз уменьшилась концентрация?</x:v>
      </x:c>
      <x:c r="N1994" s="30" t="str">
        <x:v>6</x:v>
      </x:c>
      <x:c r="O1994" s="30" t="str">
        <x:v>p∝nĒ: n₂/n₁=(p₂/p₁)/(E₂/E₁)=0,5/3=1/6.</x:v>
      </x:c>
      <x:c r="P1994" s="30" t="str">
        <x:v>p∝nĒ: n₂/n₁=(p₂/p₁)/(E₂/E₁)=0,5/3=1/6.</x:v>
      </x:c>
      <x:c r="Q1994" s="30"/>
      <x:c r="R1994" s="30" t="str">
        <x:v>Официальные задания и критерии Восток + общий краткий ключ + независимое решение</x:v>
      </x:c>
      <x:c r="S1994" s="30"/>
      <x:c r="T1994" s="30"/>
      <x:c r="U1994" s="30" t="str">
        <x:v>Расхождений не обнаружено.</x:v>
      </x:c>
      <x:c r="V1994" s="87" t="str">
        <x:v>VERIFIED</x:v>
      </x:c>
      <x:c r="W1994" s="87" t="str">
        <x:v>Официальный PDF</x:v>
      </x:c>
      <x:c r="X1994" s="87"/>
      <x:c r="Y1994" s="87"/>
      <x:c r="Z1994" s="87"/>
      <x:c r="AA1994" s="87"/>
      <x:c r="AB1994" s="87"/>
      <x:c r="AC1994" s="87"/>
      <x:c r="AD1994" s="87"/>
      <x:c r="AE1994" s="87"/>
      <x:c r="AF1994" s="87"/>
      <x:c r="AG1994" s="87"/>
      <x:c r="AH1994" s="87"/>
      <x:c r="AI1994" s="30"/>
      <x:c r="AJ1994" s="87" t="str">
        <x:v>master</x:v>
      </x:c>
      <x:c r="AK1994" s="87" t="str">
        <x:v>master-v0.81</x:v>
      </x:c>
      <x:c r="AL1994" s="87" t="str">
        <x:v>statgrad_master_base_v0_81_final(2).xlsx</x:v>
      </x:c>
      <x:c r="AM1994" s="87" t="str">
        <x:v>PHYS_Apr_V4</x:v>
      </x:c>
      <x:c r="AN1994" s="87" t="n">
        <x:v>8</x:v>
      </x:c>
    </x:row>
    <x:row r="1995">
      <x:c r="A1995" s="87" t="n">
        <x:v>1994</x:v>
      </x:c>
      <x:c r="B1995" s="87" t="str">
        <x:v>APR-PHYS-V4-008</x:v>
      </x:c>
      <x:c r="C1995" s="87" t="str">
        <x:v>СтатГрад</x:v>
      </x:c>
      <x:c r="D1995" s="87" t="str">
        <x:v>Апрель 2026</x:v>
      </x:c>
      <x:c r="E1995" s="87"/>
      <x:c r="F1995" s="87"/>
      <x:c r="G1995" s="87" t="str">
        <x:v>Физика</x:v>
      </x:c>
      <x:c r="H1995" s="87" t="n">
        <x:v>11</x:v>
      </x:c>
      <x:c r="I1995" s="87" t="str">
        <x:v>ТР №5</x:v>
      </x:c>
      <x:c r="J1995" s="87" t="str">
        <x:v>ФИ2510504</x:v>
      </x:c>
      <x:c r="K1995" s="87" t="n">
        <x:v>8</x:v>
      </x:c>
      <x:c r="L1995" s="87" t="str">
        <x:v>Первый закон термодинамики</x:v>
      </x:c>
      <x:c r="M1995" s="30" t="str">
        <x:v>В процессе над газом совершена работа 80 кДж, внутренняя энергия не изменилась. Найти количество отданной теплоты.</x:v>
      </x:c>
      <x:c r="N1995" s="30" t="str">
        <x:v>80</x:v>
      </x:c>
      <x:c r="O1995" s="30" t="str">
        <x:v>При ΔU=0 теплота по модулю равна работе, совершённой над газом: газ отдаёт 80 кДж.</x:v>
      </x:c>
      <x:c r="P1995" s="30" t="str">
        <x:v>При ΔU=0 теплота по модулю равна работе, совершённой над газом: газ отдаёт 80 кДж.</x:v>
      </x:c>
      <x:c r="Q1995" s="30"/>
      <x:c r="R1995" s="30" t="str">
        <x:v>Официальные задания и критерии Восток + общий краткий ключ + независимое решение</x:v>
      </x:c>
      <x:c r="S1995" s="30"/>
      <x:c r="T1995" s="30"/>
      <x:c r="U1995" s="30" t="str">
        <x:v>Расхождений не обнаружено.</x:v>
      </x:c>
      <x:c r="V1995" s="87" t="str">
        <x:v>VERIFIED</x:v>
      </x:c>
      <x:c r="W1995" s="87" t="str">
        <x:v>Официальный PDF</x:v>
      </x:c>
      <x:c r="X1995" s="87"/>
      <x:c r="Y1995" s="87"/>
      <x:c r="Z1995" s="87"/>
      <x:c r="AA1995" s="87"/>
      <x:c r="AB1995" s="87"/>
      <x:c r="AC1995" s="87"/>
      <x:c r="AD1995" s="87"/>
      <x:c r="AE1995" s="87"/>
      <x:c r="AF1995" s="87"/>
      <x:c r="AG1995" s="87"/>
      <x:c r="AH1995" s="87"/>
      <x:c r="AI1995" s="30"/>
      <x:c r="AJ1995" s="87" t="str">
        <x:v>master</x:v>
      </x:c>
      <x:c r="AK1995" s="87" t="str">
        <x:v>master-v0.81</x:v>
      </x:c>
      <x:c r="AL1995" s="87" t="str">
        <x:v>statgrad_master_base_v0_81_final(2).xlsx</x:v>
      </x:c>
      <x:c r="AM1995" s="87" t="str">
        <x:v>PHYS_Apr_V4</x:v>
      </x:c>
      <x:c r="AN1995" s="87" t="n">
        <x:v>9</x:v>
      </x:c>
    </x:row>
    <x:row r="1996">
      <x:c r="A1996" s="87" t="n">
        <x:v>1995</x:v>
      </x:c>
      <x:c r="B1996" s="87" t="str">
        <x:v>APR-PHYS-V4-009</x:v>
      </x:c>
      <x:c r="C1996" s="87" t="str">
        <x:v>СтатГрад</x:v>
      </x:c>
      <x:c r="D1996" s="87" t="str">
        <x:v>Апрель 2026</x:v>
      </x:c>
      <x:c r="E1996" s="87"/>
      <x:c r="F1996" s="87"/>
      <x:c r="G1996" s="87" t="str">
        <x:v>Физика</x:v>
      </x:c>
      <x:c r="H1996" s="87" t="n">
        <x:v>11</x:v>
      </x:c>
      <x:c r="I1996" s="87" t="str">
        <x:v>ТР №5</x:v>
      </x:c>
      <x:c r="J1996" s="87" t="str">
        <x:v>ФИ2510504</x:v>
      </x:c>
      <x:c r="K1996" s="87" t="n">
        <x:v>9</x:v>
      </x:c>
      <x:c r="L1996" s="87" t="str">
        <x:v>Идеальный газ: анализ утверждений</x:v>
      </x:c>
      <x:c r="M1996" s="30" t="str">
        <x:v>Сравнить состояния неона и аргона по заданным объёмам и температурам; выбрать верные утверждения.</x:v>
      </x:c>
      <x:c r="N1996" s="30" t="str">
        <x:v>145</x:v>
      </x:c>
      <x:c r="O1996" s="30" t="str">
        <x:v>Утверждения 1, 4 и 5 следуют из pV=νRT и Ē=3kT/2.</x:v>
      </x:c>
      <x:c r="P1996" s="30" t="str">
        <x:v>Утверждения 1, 4 и 5 следуют из pV=νRT и Ē=3kT/2.</x:v>
      </x:c>
      <x:c r="Q1996" s="30"/>
      <x:c r="R1996" s="30" t="str">
        <x:v>Официальные задания и критерии Восток + общий краткий ключ + независимое решение</x:v>
      </x:c>
      <x:c r="S1996" s="30"/>
      <x:c r="T1996" s="30"/>
      <x:c r="U1996" s="30" t="str">
        <x:v>Расхождений не обнаружено.</x:v>
      </x:c>
      <x:c r="V1996" s="87" t="str">
        <x:v>VERIFIED</x:v>
      </x:c>
      <x:c r="W1996" s="87" t="str">
        <x:v>Официальный PDF</x:v>
      </x:c>
      <x:c r="X1996" s="87"/>
      <x:c r="Y1996" s="87"/>
      <x:c r="Z1996" s="87"/>
      <x:c r="AA1996" s="87"/>
      <x:c r="AB1996" s="87"/>
      <x:c r="AC1996" s="87"/>
      <x:c r="AD1996" s="87"/>
      <x:c r="AE1996" s="87"/>
      <x:c r="AF1996" s="87"/>
      <x:c r="AG1996" s="87"/>
      <x:c r="AH1996" s="87"/>
      <x:c r="AI1996" s="30"/>
      <x:c r="AJ1996" s="87" t="str">
        <x:v>master</x:v>
      </x:c>
      <x:c r="AK1996" s="87" t="str">
        <x:v>master-v0.81</x:v>
      </x:c>
      <x:c r="AL1996" s="87" t="str">
        <x:v>statgrad_master_base_v0_81_final(2).xlsx</x:v>
      </x:c>
      <x:c r="AM1996" s="87" t="str">
        <x:v>PHYS_Apr_V4</x:v>
      </x:c>
      <x:c r="AN1996" s="87" t="n">
        <x:v>10</x:v>
      </x:c>
    </x:row>
    <x:row r="1997">
      <x:c r="A1997" s="87" t="n">
        <x:v>1996</x:v>
      </x:c>
      <x:c r="B1997" s="87" t="str">
        <x:v>APR-PHYS-V4-010</x:v>
      </x:c>
      <x:c r="C1997" s="87" t="str">
        <x:v>СтатГрад</x:v>
      </x:c>
      <x:c r="D1997" s="87" t="str">
        <x:v>Апрель 2026</x:v>
      </x:c>
      <x:c r="E1997" s="87"/>
      <x:c r="F1997" s="87"/>
      <x:c r="G1997" s="87" t="str">
        <x:v>Физика</x:v>
      </x:c>
      <x:c r="H1997" s="87" t="n">
        <x:v>11</x:v>
      </x:c>
      <x:c r="I1997" s="87" t="str">
        <x:v>ТР №5</x:v>
      </x:c>
      <x:c r="J1997" s="87" t="str">
        <x:v>ФИ2510504</x:v>
      </x:c>
      <x:c r="K1997" s="87" t="n">
        <x:v>10</x:v>
      </x:c>
      <x:c r="L1997" s="87" t="str">
        <x:v>Адиабатический процесс</x:v>
      </x:c>
      <x:c r="M1997" s="30" t="str">
        <x:v>В адиабатическом процессе внутренняя энергия гелия увеличилась; определить изменения температуры и давления.</x:v>
      </x:c>
      <x:c r="N1997" s="30" t="str">
        <x:v>11</x:v>
      </x:c>
      <x:c r="O1997" s="30" t="str">
        <x:v>Внутренняя энергия одноатомного газа пропорциональна температуре, значит T увеличилась; при адиабатическом сжатии увеличилось и давление.</x:v>
      </x:c>
      <x:c r="P1997" s="30" t="str">
        <x:v>Внутренняя энергия одноатомного газа пропорциональна температуре, значит T увеличилась; при адиабатическом сжатии увеличилось и давление.</x:v>
      </x:c>
      <x:c r="Q1997" s="30"/>
      <x:c r="R1997" s="30" t="str">
        <x:v>Официальные задания и критерии Восток + общий краткий ключ + независимое решение</x:v>
      </x:c>
      <x:c r="S1997" s="30"/>
      <x:c r="T1997" s="30"/>
      <x:c r="U1997" s="30" t="str">
        <x:v>Расхождений не обнаружено.</x:v>
      </x:c>
      <x:c r="V1997" s="87" t="str">
        <x:v>VERIFIED</x:v>
      </x:c>
      <x:c r="W1997" s="87" t="str">
        <x:v>Официальный PDF</x:v>
      </x:c>
      <x:c r="X1997" s="87"/>
      <x:c r="Y1997" s="87"/>
      <x:c r="Z1997" s="87"/>
      <x:c r="AA1997" s="87"/>
      <x:c r="AB1997" s="87"/>
      <x:c r="AC1997" s="87"/>
      <x:c r="AD1997" s="87"/>
      <x:c r="AE1997" s="87"/>
      <x:c r="AF1997" s="87"/>
      <x:c r="AG1997" s="87"/>
      <x:c r="AH1997" s="87"/>
      <x:c r="AI1997" s="30"/>
      <x:c r="AJ1997" s="87" t="str">
        <x:v>master</x:v>
      </x:c>
      <x:c r="AK1997" s="87" t="str">
        <x:v>master-v0.81</x:v>
      </x:c>
      <x:c r="AL1997" s="87" t="str">
        <x:v>statgrad_master_base_v0_81_final(2).xlsx</x:v>
      </x:c>
      <x:c r="AM1997" s="87" t="str">
        <x:v>PHYS_Apr_V4</x:v>
      </x:c>
      <x:c r="AN1997" s="87" t="n">
        <x:v>11</x:v>
      </x:c>
    </x:row>
    <x:row r="1998">
      <x:c r="A1998" s="87" t="n">
        <x:v>1997</x:v>
      </x:c>
      <x:c r="B1998" s="87" t="str">
        <x:v>APR-PHYS-V4-011</x:v>
      </x:c>
      <x:c r="C1998" s="87" t="str">
        <x:v>СтатГрад</x:v>
      </x:c>
      <x:c r="D1998" s="87" t="str">
        <x:v>Апрель 2026</x:v>
      </x:c>
      <x:c r="E1998" s="87"/>
      <x:c r="F1998" s="87"/>
      <x:c r="G1998" s="87" t="str">
        <x:v>Физика</x:v>
      </x:c>
      <x:c r="H1998" s="87" t="n">
        <x:v>11</x:v>
      </x:c>
      <x:c r="I1998" s="87" t="str">
        <x:v>ТР №5</x:v>
      </x:c>
      <x:c r="J1998" s="87" t="str">
        <x:v>ФИ2510504</x:v>
      </x:c>
      <x:c r="K1998" s="87" t="n">
        <x:v>11</x:v>
      </x:c>
      <x:c r="L1998" s="87" t="str">
        <x:v>Закон Ома для полной цепи</x:v>
      </x:c>
      <x:c r="M1998" s="30" t="str">
        <x:v>ЭДС 6 В, внешнее сопротивление 19 Ом, ток 0,3 А. Найти внутреннее сопротивление.</x:v>
      </x:c>
      <x:c r="N1998" s="30" t="str">
        <x:v>1</x:v>
      </x:c>
      <x:c r="O1998" s="30" t="str">
        <x:v>r=ε/I−R=6/0,3−19=1 Ом.</x:v>
      </x:c>
      <x:c r="P1998" s="30" t="str">
        <x:v>r=ε/I−R=6/0,3−19=1 Ом.</x:v>
      </x:c>
      <x:c r="Q1998" s="30"/>
      <x:c r="R1998" s="30" t="str">
        <x:v>Официальные задания и критерии Восток + общий краткий ключ + независимое решение</x:v>
      </x:c>
      <x:c r="S1998" s="30"/>
      <x:c r="T1998" s="30"/>
      <x:c r="U1998" s="30" t="str">
        <x:v>Расхождений не обнаружено.</x:v>
      </x:c>
      <x:c r="V1998" s="87" t="str">
        <x:v>VERIFIED</x:v>
      </x:c>
      <x:c r="W1998" s="87" t="str">
        <x:v>Официальный PDF</x:v>
      </x:c>
      <x:c r="X1998" s="87"/>
      <x:c r="Y1998" s="87"/>
      <x:c r="Z1998" s="87"/>
      <x:c r="AA1998" s="87"/>
      <x:c r="AB1998" s="87"/>
      <x:c r="AC1998" s="87"/>
      <x:c r="AD1998" s="87"/>
      <x:c r="AE1998" s="87"/>
      <x:c r="AF1998" s="87"/>
      <x:c r="AG1998" s="87"/>
      <x:c r="AH1998" s="87"/>
      <x:c r="AI1998" s="30"/>
      <x:c r="AJ1998" s="87" t="str">
        <x:v>master</x:v>
      </x:c>
      <x:c r="AK1998" s="87" t="str">
        <x:v>master-v0.81</x:v>
      </x:c>
      <x:c r="AL1998" s="87" t="str">
        <x:v>statgrad_master_base_v0_81_final(2).xlsx</x:v>
      </x:c>
      <x:c r="AM1998" s="87" t="str">
        <x:v>PHYS_Apr_V4</x:v>
      </x:c>
      <x:c r="AN1998" s="87" t="n">
        <x:v>12</x:v>
      </x:c>
    </x:row>
    <x:row r="1999">
      <x:c r="A1999" s="87" t="n">
        <x:v>1998</x:v>
      </x:c>
      <x:c r="B1999" s="87" t="str">
        <x:v>APR-PHYS-V4-012</x:v>
      </x:c>
      <x:c r="C1999" s="87" t="str">
        <x:v>СтатГрад</x:v>
      </x:c>
      <x:c r="D1999" s="87" t="str">
        <x:v>Апрель 2026</x:v>
      </x:c>
      <x:c r="E1999" s="87"/>
      <x:c r="F1999" s="87"/>
      <x:c r="G1999" s="87" t="str">
        <x:v>Физика</x:v>
      </x:c>
      <x:c r="H1999" s="87" t="n">
        <x:v>11</x:v>
      </x:c>
      <x:c r="I1999" s="87" t="str">
        <x:v>ТР №5</x:v>
      </x:c>
      <x:c r="J1999" s="87" t="str">
        <x:v>ФИ2510504</x:v>
      </x:c>
      <x:c r="K1999" s="87" t="n">
        <x:v>12</x:v>
      </x:c>
      <x:c r="L1999" s="87" t="str">
        <x:v>Электромагнитная индукция</x:v>
      </x:c>
      <x:c r="M1999" s="30" t="str">
        <x:v>Индуктивность катушки 3,5 мГн, ток возрастает от 0 до 20 мА за 10 мс. Найти модуль ЭДС самоиндукции в милливольтах.</x:v>
      </x:c>
      <x:c r="N1999" s="30" t="str">
        <x:v>7</x:v>
      </x:c>
      <x:c r="O1999" s="30" t="str">
        <x:v>|ε|=LΔI/Δt=3,5·10⁻³·0,02/0,01=0,007 В=7 мВ.</x:v>
      </x:c>
      <x:c r="P1999" s="30" t="str">
        <x:v>Числовой ответ и единица сверены с условием и официальным ключом.</x:v>
      </x:c>
      <x:c r="Q1999" s="30"/>
      <x:c r="R1999" s="30" t="str">
        <x:v>Официальные задания и критерии Восток + общий краткий ключ + независимое решение</x:v>
      </x:c>
      <x:c r="S1999" s="30"/>
      <x:c r="T1999" s="30"/>
      <x:c r="U1999" s="30" t="str">
        <x:v>Расхождений не обнаружено.</x:v>
      </x:c>
      <x:c r="V1999" s="87" t="str">
        <x:v>VERIFIED</x:v>
      </x:c>
      <x:c r="W1999" s="87" t="str">
        <x:v>Официальный PDF</x:v>
      </x:c>
      <x:c r="X1999" s="87"/>
      <x:c r="Y1999" s="87"/>
      <x:c r="Z1999" s="87"/>
      <x:c r="AA1999" s="87"/>
      <x:c r="AB1999" s="87"/>
      <x:c r="AC1999" s="87"/>
      <x:c r="AD1999" s="87"/>
      <x:c r="AE1999" s="87"/>
      <x:c r="AF1999" s="87"/>
      <x:c r="AG1999" s="87"/>
      <x:c r="AH1999" s="87"/>
      <x:c r="AI1999" s="30"/>
      <x:c r="AJ1999" s="87" t="str">
        <x:v>master</x:v>
      </x:c>
      <x:c r="AK1999" s="87" t="str">
        <x:v>master-v0.81</x:v>
      </x:c>
      <x:c r="AL1999" s="87" t="str">
        <x:v>statgrad_master_base_v0_81_final(2).xlsx</x:v>
      </x:c>
      <x:c r="AM1999" s="87" t="str">
        <x:v>PHYS_Apr_V4</x:v>
      </x:c>
      <x:c r="AN1999" s="87" t="n">
        <x:v>13</x:v>
      </x:c>
    </x:row>
    <x:row r="2000">
      <x:c r="A2000" s="87" t="n">
        <x:v>1999</x:v>
      </x:c>
      <x:c r="B2000" s="87" t="str">
        <x:v>APR-PHYS-V4-013</x:v>
      </x:c>
      <x:c r="C2000" s="87" t="str">
        <x:v>СтатГрад</x:v>
      </x:c>
      <x:c r="D2000" s="87" t="str">
        <x:v>Апрель 2026</x:v>
      </x:c>
      <x:c r="E2000" s="87"/>
      <x:c r="F2000" s="87"/>
      <x:c r="G2000" s="87" t="str">
        <x:v>Физика</x:v>
      </x:c>
      <x:c r="H2000" s="87" t="n">
        <x:v>11</x:v>
      </x:c>
      <x:c r="I2000" s="87" t="str">
        <x:v>ТР №5</x:v>
      </x:c>
      <x:c r="J2000" s="87" t="str">
        <x:v>ФИ2510504</x:v>
      </x:c>
      <x:c r="K2000" s="87" t="n">
        <x:v>13</x:v>
      </x:c>
      <x:c r="L2000" s="87" t="str">
        <x:v>Колебательный контур</x:v>
      </x:c>
      <x:c r="M2000" s="30" t="str">
        <x:v>Начальная частота 200 кГц; индуктивность увеличили в 4 раза, ёмкость — в 9 раз. Найти новый период в микросекундах.</x:v>
      </x:c>
      <x:c r="N2000" s="30" t="str">
        <x:v>30</x:v>
      </x:c>
      <x:c r="O2000" s="30" t="str">
        <x:v>Период увеличивается в √(4·9)=6 раз. T₀=1/200 кГц=5 мкс; T=30 мкс.</x:v>
      </x:c>
      <x:c r="P2000" s="30" t="str">
        <x:v>Период увеличивается в √(4·9)=6 раз. T₀=1/200 кГц=5 мкс; T=30 мкс.</x:v>
      </x:c>
      <x:c r="Q2000" s="30"/>
      <x:c r="R2000" s="30" t="str">
        <x:v>Официальные задания и критерии Восток + общий краткий ключ + независимое решение</x:v>
      </x:c>
      <x:c r="S2000" s="30"/>
      <x:c r="T2000" s="30"/>
      <x:c r="U2000" s="30" t="str">
        <x:v>Расхождений не обнаружено.</x:v>
      </x:c>
      <x:c r="V2000" s="87" t="str">
        <x:v>VERIFIED</x:v>
      </x:c>
      <x:c r="W2000" s="87" t="str">
        <x:v>Официальный PDF</x:v>
      </x:c>
      <x:c r="X2000" s="87"/>
      <x:c r="Y2000" s="87"/>
      <x:c r="Z2000" s="87"/>
      <x:c r="AA2000" s="87"/>
      <x:c r="AB2000" s="87"/>
      <x:c r="AC2000" s="87"/>
      <x:c r="AD2000" s="87"/>
      <x:c r="AE2000" s="87"/>
      <x:c r="AF2000" s="87"/>
      <x:c r="AG2000" s="87"/>
      <x:c r="AH2000" s="87"/>
      <x:c r="AI2000" s="30"/>
      <x:c r="AJ2000" s="87" t="str">
        <x:v>master</x:v>
      </x:c>
      <x:c r="AK2000" s="87" t="str">
        <x:v>master-v0.81</x:v>
      </x:c>
      <x:c r="AL2000" s="87" t="str">
        <x:v>statgrad_master_base_v0_81_final(2).xlsx</x:v>
      </x:c>
      <x:c r="AM2000" s="87" t="str">
        <x:v>PHYS_Apr_V4</x:v>
      </x:c>
      <x:c r="AN2000" s="87" t="n">
        <x:v>14</x:v>
      </x:c>
    </x:row>
    <x:row r="2001">
      <x:c r="A2001" s="87" t="n">
        <x:v>2000</x:v>
      </x:c>
      <x:c r="B2001" s="87" t="str">
        <x:v>APR-PHYS-V4-014</x:v>
      </x:c>
      <x:c r="C2001" s="87" t="str">
        <x:v>СтатГрад</x:v>
      </x:c>
      <x:c r="D2001" s="87" t="str">
        <x:v>Апрель 2026</x:v>
      </x:c>
      <x:c r="E2001" s="87"/>
      <x:c r="F2001" s="87"/>
      <x:c r="G2001" s="87" t="str">
        <x:v>Физика</x:v>
      </x:c>
      <x:c r="H2001" s="87" t="n">
        <x:v>11</x:v>
      </x:c>
      <x:c r="I2001" s="87" t="str">
        <x:v>ТР №5</x:v>
      </x:c>
      <x:c r="J2001" s="87" t="str">
        <x:v>ФИ2510504</x:v>
      </x:c>
      <x:c r="K2001" s="87" t="n">
        <x:v>14</x:v>
      </x:c>
      <x:c r="L2001" s="87" t="str">
        <x:v>Сила Ампера</x:v>
      </x:c>
      <x:c r="M2001" s="30" t="str">
        <x:v>По рисункам с проводником в магнитном поле определить направления силы Ампера в двух случаях.</x:v>
      </x:c>
      <x:c r="N2001" s="30" t="str">
        <x:v>12</x:v>
      </x:c>
      <x:c r="O2001" s="30" t="str">
        <x:v>Направления определены по правилу левой руки; последовательность кодов — 12.</x:v>
      </x:c>
      <x:c r="P2001" s="30" t="str">
        <x:v>Оба рисунка проверены независимо.</x:v>
      </x:c>
      <x:c r="Q2001" s="30"/>
      <x:c r="R2001" s="30" t="str">
        <x:v>Официальные задания и критерии Восток + общий краткий ключ + независимое решение</x:v>
      </x:c>
      <x:c r="S2001" s="30"/>
      <x:c r="T2001" s="30"/>
      <x:c r="U2001" s="30" t="str">
        <x:v>Расхождений не обнаружено.</x:v>
      </x:c>
      <x:c r="V2001" s="87" t="str">
        <x:v>VERIFIED</x:v>
      </x:c>
      <x:c r="W2001" s="87" t="str">
        <x:v>Официальный PDF</x:v>
      </x:c>
      <x:c r="X2001" s="87"/>
      <x:c r="Y2001" s="87"/>
      <x:c r="Z2001" s="87"/>
      <x:c r="AA2001" s="87"/>
      <x:c r="AB2001" s="87"/>
      <x:c r="AC2001" s="87"/>
      <x:c r="AD2001" s="87"/>
      <x:c r="AE2001" s="87"/>
      <x:c r="AF2001" s="87"/>
      <x:c r="AG2001" s="87"/>
      <x:c r="AH2001" s="87"/>
      <x:c r="AI2001" s="30"/>
      <x:c r="AJ2001" s="87" t="str">
        <x:v>master</x:v>
      </x:c>
      <x:c r="AK2001" s="87" t="str">
        <x:v>master-v0.81</x:v>
      </x:c>
      <x:c r="AL2001" s="87" t="str">
        <x:v>statgrad_master_base_v0_81_final(2).xlsx</x:v>
      </x:c>
      <x:c r="AM2001" s="87" t="str">
        <x:v>PHYS_Apr_V4</x:v>
      </x:c>
      <x:c r="AN2001" s="87" t="n">
        <x:v>15</x:v>
      </x:c>
    </x:row>
    <x:row r="2002">
      <x:c r="A2002" s="87" t="n">
        <x:v>2001</x:v>
      </x:c>
      <x:c r="B2002" s="87" t="str">
        <x:v>APR-PHYS-V4-015</x:v>
      </x:c>
      <x:c r="C2002" s="87" t="str">
        <x:v>СтатГрад</x:v>
      </x:c>
      <x:c r="D2002" s="87" t="str">
        <x:v>Апрель 2026</x:v>
      </x:c>
      <x:c r="E2002" s="87"/>
      <x:c r="F2002" s="87"/>
      <x:c r="G2002" s="87" t="str">
        <x:v>Физика</x:v>
      </x:c>
      <x:c r="H2002" s="87" t="n">
        <x:v>11</x:v>
      </x:c>
      <x:c r="I2002" s="87" t="str">
        <x:v>ТР №5</x:v>
      </x:c>
      <x:c r="J2002" s="87" t="str">
        <x:v>ФИ2510504</x:v>
      </x:c>
      <x:c r="K2002" s="87" t="n">
        <x:v>15</x:v>
      </x:c>
      <x:c r="L2002" s="87" t="str">
        <x:v>Движение заряда в магнитном поле</x:v>
      </x:c>
      <x:c r="M2002" s="30" t="str">
        <x:v>Соотнести две характеристики движения заряженной частицы с формулами.</x:v>
      </x:c>
      <x:c r="N2002" s="30" t="str">
        <x:v>23</x:v>
      </x:c>
      <x:c r="O2002" s="30" t="str">
        <x:v>Подстановка формул циклической частоты и кинетической энергии/радиуса даёт соответствие 23.</x:v>
      </x:c>
      <x:c r="P2002" s="30" t="str">
        <x:v>Подстановка формул циклической частоты и кинетической энергии/радиуса даёт соответствие 23.</x:v>
      </x:c>
      <x:c r="Q2002" s="30"/>
      <x:c r="R2002" s="30" t="str">
        <x:v>Официальные задания и критерии Восток + общий краткий ключ + независимое решение</x:v>
      </x:c>
      <x:c r="S2002" s="30"/>
      <x:c r="T2002" s="30"/>
      <x:c r="U2002" s="30" t="str">
        <x:v>Расхождений не обнаружено.</x:v>
      </x:c>
      <x:c r="V2002" s="87" t="str">
        <x:v>VERIFIED</x:v>
      </x:c>
      <x:c r="W2002" s="87" t="str">
        <x:v>Официальный PDF</x:v>
      </x:c>
      <x:c r="X2002" s="87"/>
      <x:c r="Y2002" s="87"/>
      <x:c r="Z2002" s="87"/>
      <x:c r="AA2002" s="87"/>
      <x:c r="AB2002" s="87"/>
      <x:c r="AC2002" s="87"/>
      <x:c r="AD2002" s="87"/>
      <x:c r="AE2002" s="87"/>
      <x:c r="AF2002" s="87"/>
      <x:c r="AG2002" s="87"/>
      <x:c r="AH2002" s="87"/>
      <x:c r="AI2002" s="30"/>
      <x:c r="AJ2002" s="87" t="str">
        <x:v>master</x:v>
      </x:c>
      <x:c r="AK2002" s="87" t="str">
        <x:v>master-v0.81</x:v>
      </x:c>
      <x:c r="AL2002" s="87" t="str">
        <x:v>statgrad_master_base_v0_81_final(2).xlsx</x:v>
      </x:c>
      <x:c r="AM2002" s="87" t="str">
        <x:v>PHYS_Apr_V4</x:v>
      </x:c>
      <x:c r="AN2002" s="87" t="n">
        <x:v>16</x:v>
      </x:c>
    </x:row>
    <x:row r="2003">
      <x:c r="A2003" s="87" t="n">
        <x:v>2002</x:v>
      </x:c>
      <x:c r="B2003" s="87" t="str">
        <x:v>APR-PHYS-V4-016</x:v>
      </x:c>
      <x:c r="C2003" s="87" t="str">
        <x:v>СтатГрад</x:v>
      </x:c>
      <x:c r="D2003" s="87" t="str">
        <x:v>Апрель 2026</x:v>
      </x:c>
      <x:c r="E2003" s="87"/>
      <x:c r="F2003" s="87"/>
      <x:c r="G2003" s="87" t="str">
        <x:v>Физика</x:v>
      </x:c>
      <x:c r="H2003" s="87" t="n">
        <x:v>11</x:v>
      </x:c>
      <x:c r="I2003" s="87" t="str">
        <x:v>ТР №5</x:v>
      </x:c>
      <x:c r="J2003" s="87" t="str">
        <x:v>ФИ2510504</x:v>
      </x:c>
      <x:c r="K2003" s="87" t="n">
        <x:v>16</x:v>
      </x:c>
      <x:c r="L2003" s="87" t="str">
        <x:v>Ядерная физика</x:v>
      </x:c>
      <x:c r="M2003" s="30" t="str">
        <x:v>Определить число нуклонов в ядре радия-224.</x:v>
      </x:c>
      <x:c r="N2003" s="30" t="str">
        <x:v>224</x:v>
      </x:c>
      <x:c r="O2003" s="30" t="str">
        <x:v>Число нуклонов равно массовому числу изотопа: 224.</x:v>
      </x:c>
      <x:c r="P2003" s="30" t="str">
        <x:v>Число нуклонов равно массовому числу изотопа: 224.</x:v>
      </x:c>
      <x:c r="Q2003" s="30"/>
      <x:c r="R2003" s="30" t="str">
        <x:v>Официальные задания и критерии Восток + общий краткий ключ + независимое решение</x:v>
      </x:c>
      <x:c r="S2003" s="30"/>
      <x:c r="T2003" s="30"/>
      <x:c r="U2003" s="30" t="str">
        <x:v>Расхождений не обнаружено.</x:v>
      </x:c>
      <x:c r="V2003" s="87" t="str">
        <x:v>VERIFIED</x:v>
      </x:c>
      <x:c r="W2003" s="87" t="str">
        <x:v>Официальный PDF</x:v>
      </x:c>
      <x:c r="X2003" s="87"/>
      <x:c r="Y2003" s="87"/>
      <x:c r="Z2003" s="87"/>
      <x:c r="AA2003" s="87"/>
      <x:c r="AB2003" s="87"/>
      <x:c r="AC2003" s="87"/>
      <x:c r="AD2003" s="87"/>
      <x:c r="AE2003" s="87"/>
      <x:c r="AF2003" s="87"/>
      <x:c r="AG2003" s="87"/>
      <x:c r="AH2003" s="87"/>
      <x:c r="AI2003" s="30"/>
      <x:c r="AJ2003" s="87" t="str">
        <x:v>master</x:v>
      </x:c>
      <x:c r="AK2003" s="87" t="str">
        <x:v>master-v0.81</x:v>
      </x:c>
      <x:c r="AL2003" s="87" t="str">
        <x:v>statgrad_master_base_v0_81_final(2).xlsx</x:v>
      </x:c>
      <x:c r="AM2003" s="87" t="str">
        <x:v>PHYS_Apr_V4</x:v>
      </x:c>
      <x:c r="AN2003" s="87" t="n">
        <x:v>17</x:v>
      </x:c>
    </x:row>
    <x:row r="2004">
      <x:c r="A2004" s="87" t="n">
        <x:v>2003</x:v>
      </x:c>
      <x:c r="B2004" s="87" t="str">
        <x:v>APR-PHYS-V4-017</x:v>
      </x:c>
      <x:c r="C2004" s="87" t="str">
        <x:v>СтатГрад</x:v>
      </x:c>
      <x:c r="D2004" s="87" t="str">
        <x:v>Апрель 2026</x:v>
      </x:c>
      <x:c r="E2004" s="87"/>
      <x:c r="F2004" s="87"/>
      <x:c r="G2004" s="87" t="str">
        <x:v>Физика</x:v>
      </x:c>
      <x:c r="H2004" s="87" t="n">
        <x:v>11</x:v>
      </x:c>
      <x:c r="I2004" s="87" t="str">
        <x:v>ТР №5</x:v>
      </x:c>
      <x:c r="J2004" s="87" t="str">
        <x:v>ФИ2510504</x:v>
      </x:c>
      <x:c r="K2004" s="87" t="n">
        <x:v>17</x:v>
      </x:c>
      <x:c r="L2004" s="87" t="str">
        <x:v>Спектр атома водорода</x:v>
      </x:c>
      <x:c r="M2004" s="30" t="str">
        <x:v>По схеме уровней определить переходы минимальной частоты поглощения и минимальной длины волны излучения.</x:v>
      </x:c>
      <x:c r="N2004" s="30" t="str">
        <x:v>32</x:v>
      </x:c>
      <x:c r="O2004" s="30" t="str">
        <x:v>Минимальная частота соответствует минимальному поглощаемому перепаду, минимальная длина волны — максимальному излучаемому; коды 3 и 2.</x:v>
      </x:c>
      <x:c r="P2004" s="30" t="str">
        <x:v>Минимальная частота соответствует минимальному поглощаемому перепаду, минимальная длина волны — максимальному излучаемому; коды 3 и 2.</x:v>
      </x:c>
      <x:c r="Q2004" s="30"/>
      <x:c r="R2004" s="30" t="str">
        <x:v>Официальные задания и критерии Восток + общий краткий ключ + независимое решение</x:v>
      </x:c>
      <x:c r="S2004" s="30"/>
      <x:c r="T2004" s="30"/>
      <x:c r="U2004" s="30" t="str">
        <x:v>Расхождений не обнаружено.</x:v>
      </x:c>
      <x:c r="V2004" s="87" t="str">
        <x:v>VERIFIED</x:v>
      </x:c>
      <x:c r="W2004" s="87" t="str">
        <x:v>Официальный PDF</x:v>
      </x:c>
      <x:c r="X2004" s="87"/>
      <x:c r="Y2004" s="87"/>
      <x:c r="Z2004" s="87"/>
      <x:c r="AA2004" s="87"/>
      <x:c r="AB2004" s="87"/>
      <x:c r="AC2004" s="87"/>
      <x:c r="AD2004" s="87"/>
      <x:c r="AE2004" s="87"/>
      <x:c r="AF2004" s="87"/>
      <x:c r="AG2004" s="87"/>
      <x:c r="AH2004" s="87"/>
      <x:c r="AI2004" s="30"/>
      <x:c r="AJ2004" s="87" t="str">
        <x:v>master</x:v>
      </x:c>
      <x:c r="AK2004" s="87" t="str">
        <x:v>master-v0.81</x:v>
      </x:c>
      <x:c r="AL2004" s="87" t="str">
        <x:v>statgrad_master_base_v0_81_final(2).xlsx</x:v>
      </x:c>
      <x:c r="AM2004" s="87" t="str">
        <x:v>PHYS_Apr_V4</x:v>
      </x:c>
      <x:c r="AN2004" s="87" t="n">
        <x:v>18</x:v>
      </x:c>
    </x:row>
    <x:row r="2005">
      <x:c r="A2005" s="87" t="n">
        <x:v>2004</x:v>
      </x:c>
      <x:c r="B2005" s="87" t="str">
        <x:v>APR-PHYS-V4-018</x:v>
      </x:c>
      <x:c r="C2005" s="87" t="str">
        <x:v>СтатГрад</x:v>
      </x:c>
      <x:c r="D2005" s="87" t="str">
        <x:v>Апрель 2026</x:v>
      </x:c>
      <x:c r="E2005" s="87"/>
      <x:c r="F2005" s="87"/>
      <x:c r="G2005" s="87" t="str">
        <x:v>Физика</x:v>
      </x:c>
      <x:c r="H2005" s="87" t="n">
        <x:v>11</x:v>
      </x:c>
      <x:c r="I2005" s="87" t="str">
        <x:v>ТР №5</x:v>
      </x:c>
      <x:c r="J2005" s="87" t="str">
        <x:v>ФИ2510504</x:v>
      </x:c>
      <x:c r="K2005" s="87" t="n">
        <x:v>18</x:v>
      </x:c>
      <x:c r="L2005" s="87" t="str">
        <x:v>Фотоэффект и квантовая физика</x:v>
      </x:c>
      <x:c r="M2005" s="30" t="str">
        <x:v>Выбрать верные утверждения по представленным зависимостям и законам квантовой физики.</x:v>
      </x:c>
      <x:c r="N2005" s="30" t="str">
        <x:v>23</x:v>
      </x:c>
      <x:c r="O2005" s="30" t="str">
        <x:v>Утверждения 2 и 3 согласуются с уравнением Эйнштейна для фотоэффекта и свойствами фотона.</x:v>
      </x:c>
      <x:c r="P2005" s="30" t="str">
        <x:v>Утверждения 2 и 3 согласуются с уравнением Эйнштейна для фотоэффекта и свойствами фотона.</x:v>
      </x:c>
      <x:c r="Q2005" s="30"/>
      <x:c r="R2005" s="30" t="str">
        <x:v>Официальные задания и критерии Восток + общий краткий ключ + независимое решение</x:v>
      </x:c>
      <x:c r="S2005" s="30"/>
      <x:c r="T2005" s="30"/>
      <x:c r="U2005" s="30" t="str">
        <x:v>Расхождений не обнаружено.</x:v>
      </x:c>
      <x:c r="V2005" s="87" t="str">
        <x:v>VERIFIED</x:v>
      </x:c>
      <x:c r="W2005" s="87" t="str">
        <x:v>Официальный PDF</x:v>
      </x:c>
      <x:c r="X2005" s="87"/>
      <x:c r="Y2005" s="87"/>
      <x:c r="Z2005" s="87"/>
      <x:c r="AA2005" s="87"/>
      <x:c r="AB2005" s="87"/>
      <x:c r="AC2005" s="87"/>
      <x:c r="AD2005" s="87"/>
      <x:c r="AE2005" s="87"/>
      <x:c r="AF2005" s="87"/>
      <x:c r="AG2005" s="87"/>
      <x:c r="AH2005" s="87"/>
      <x:c r="AI2005" s="30"/>
      <x:c r="AJ2005" s="87" t="str">
        <x:v>master</x:v>
      </x:c>
      <x:c r="AK2005" s="87" t="str">
        <x:v>master-v0.81</x:v>
      </x:c>
      <x:c r="AL2005" s="87" t="str">
        <x:v>statgrad_master_base_v0_81_final(2).xlsx</x:v>
      </x:c>
      <x:c r="AM2005" s="87" t="str">
        <x:v>PHYS_Apr_V4</x:v>
      </x:c>
      <x:c r="AN2005" s="87" t="n">
        <x:v>19</x:v>
      </x:c>
    </x:row>
    <x:row r="2006">
      <x:c r="A2006" s="87" t="n">
        <x:v>2005</x:v>
      </x:c>
      <x:c r="B2006" s="87" t="str">
        <x:v>APR-PHYS-V4-019</x:v>
      </x:c>
      <x:c r="C2006" s="87" t="str">
        <x:v>СтатГрад</x:v>
      </x:c>
      <x:c r="D2006" s="87" t="str">
        <x:v>Апрель 2026</x:v>
      </x:c>
      <x:c r="E2006" s="87"/>
      <x:c r="F2006" s="87"/>
      <x:c r="G2006" s="87" t="str">
        <x:v>Физика</x:v>
      </x:c>
      <x:c r="H2006" s="87" t="n">
        <x:v>11</x:v>
      </x:c>
      <x:c r="I2006" s="87" t="str">
        <x:v>ТР №5</x:v>
      </x:c>
      <x:c r="J2006" s="87" t="str">
        <x:v>ФИ2510504</x:v>
      </x:c>
      <x:c r="K2006" s="87" t="n">
        <x:v>19</x:v>
      </x:c>
      <x:c r="L2006" s="87" t="str">
        <x:v>Снятие показаний прибора</x:v>
      </x:c>
      <x:c r="M2006" s="30" t="str">
        <x:v>Определить показание динамометра с погрешностью.</x:v>
      </x:c>
      <x:c r="N2006" s="30" t="str">
        <x:v>(2,6±0,2)</x:v>
      </x:c>
      <x:c r="O2006" s="30" t="str">
        <x:v>По шкале показание 2,6 Н, погрешность 0,2 Н.</x:v>
      </x:c>
      <x:c r="P2006" s="30" t="str">
        <x:v>Оригинальное изображение прибора проверено визуально.</x:v>
      </x:c>
      <x:c r="Q2006" s="30"/>
      <x:c r="R2006" s="30" t="str">
        <x:v>Официальные задания и критерии Восток + общий краткий ключ + независимое решение</x:v>
      </x:c>
      <x:c r="S2006" s="30"/>
      <x:c r="T2006" s="30"/>
      <x:c r="U2006" s="30" t="str">
        <x:v>Расхождений не обнаружено.</x:v>
      </x:c>
      <x:c r="V2006" s="87" t="str">
        <x:v>VERIFIED</x:v>
      </x:c>
      <x:c r="W2006" s="87" t="str">
        <x:v>Официальный PDF</x:v>
      </x:c>
      <x:c r="X2006" s="87"/>
      <x:c r="Y2006" s="87"/>
      <x:c r="Z2006" s="87"/>
      <x:c r="AA2006" s="87"/>
      <x:c r="AB2006" s="87"/>
      <x:c r="AC2006" s="87"/>
      <x:c r="AD2006" s="87"/>
      <x:c r="AE2006" s="87"/>
      <x:c r="AF2006" s="87"/>
      <x:c r="AG2006" s="87"/>
      <x:c r="AH2006" s="87"/>
      <x:c r="AI2006" s="30"/>
      <x:c r="AJ2006" s="87" t="str">
        <x:v>master</x:v>
      </x:c>
      <x:c r="AK2006" s="87" t="str">
        <x:v>master-v0.81</x:v>
      </x:c>
      <x:c r="AL2006" s="87" t="str">
        <x:v>statgrad_master_base_v0_81_final(2).xlsx</x:v>
      </x:c>
      <x:c r="AM2006" s="87" t="str">
        <x:v>PHYS_Apr_V4</x:v>
      </x:c>
      <x:c r="AN2006" s="87" t="n">
        <x:v>20</x:v>
      </x:c>
    </x:row>
    <x:row r="2007">
      <x:c r="A2007" s="87" t="n">
        <x:v>2006</x:v>
      </x:c>
      <x:c r="B2007" s="87" t="str">
        <x:v>APR-PHYS-V4-020</x:v>
      </x:c>
      <x:c r="C2007" s="87" t="str">
        <x:v>СтатГрад</x:v>
      </x:c>
      <x:c r="D2007" s="87" t="str">
        <x:v>Апрель 2026</x:v>
      </x:c>
      <x:c r="E2007" s="87"/>
      <x:c r="F2007" s="87"/>
      <x:c r="G2007" s="87" t="str">
        <x:v>Физика</x:v>
      </x:c>
      <x:c r="H2007" s="87" t="n">
        <x:v>11</x:v>
      </x:c>
      <x:c r="I2007" s="87" t="str">
        <x:v>ТР №5</x:v>
      </x:c>
      <x:c r="J2007" s="87" t="str">
        <x:v>ФИ2510504</x:v>
      </x:c>
      <x:c r="K2007" s="87" t="n">
        <x:v>20</x:v>
      </x:c>
      <x:c r="L2007" s="87" t="str">
        <x:v>Оптический эксперимент</x:v>
      </x:c>
      <x:c r="M2007" s="30" t="str">
        <x:v>Выбрать установку, позволяющую исследовать зависимость требуемой величины от оптической силы линзы.</x:v>
      </x:c>
      <x:c r="N2007" s="30" t="str">
        <x:v>15</x:v>
      </x:c>
      <x:c r="O2007" s="30" t="str">
        <x:v>Для изменения только оптической силы используются установки 1 и 5, где остальные существенные параметры сохранены.</x:v>
      </x:c>
      <x:c r="P2007" s="30" t="str">
        <x:v>Для изменения только оптической силы используются установки 1 и 5, где остальные существенные параметры сохранены.</x:v>
      </x:c>
      <x:c r="Q2007" s="30"/>
      <x:c r="R2007" s="30" t="str">
        <x:v>Официальные задания и критерии Восток + общий краткий ключ + независимое решение</x:v>
      </x:c>
      <x:c r="S2007" s="30"/>
      <x:c r="T2007" s="30"/>
      <x:c r="U2007" s="30" t="str">
        <x:v>Расхождений не обнаружено.</x:v>
      </x:c>
      <x:c r="V2007" s="87" t="str">
        <x:v>VERIFIED</x:v>
      </x:c>
      <x:c r="W2007" s="87" t="str">
        <x:v>Официальный PDF</x:v>
      </x:c>
      <x:c r="X2007" s="87"/>
      <x:c r="Y2007" s="87"/>
      <x:c r="Z2007" s="87"/>
      <x:c r="AA2007" s="87"/>
      <x:c r="AB2007" s="87"/>
      <x:c r="AC2007" s="87"/>
      <x:c r="AD2007" s="87"/>
      <x:c r="AE2007" s="87"/>
      <x:c r="AF2007" s="87"/>
      <x:c r="AG2007" s="87"/>
      <x:c r="AH2007" s="87"/>
      <x:c r="AI2007" s="30"/>
      <x:c r="AJ2007" s="87" t="str">
        <x:v>master</x:v>
      </x:c>
      <x:c r="AK2007" s="87" t="str">
        <x:v>master-v0.81</x:v>
      </x:c>
      <x:c r="AL2007" s="87" t="str">
        <x:v>statgrad_master_base_v0_81_final(2).xlsx</x:v>
      </x:c>
      <x:c r="AM2007" s="87" t="str">
        <x:v>PHYS_Apr_V4</x:v>
      </x:c>
      <x:c r="AN2007" s="87" t="n">
        <x:v>21</x:v>
      </x:c>
    </x:row>
    <x:row r="2008">
      <x:c r="A2008" s="87" t="n">
        <x:v>2007</x:v>
      </x:c>
      <x:c r="B2008" s="87" t="str">
        <x:v>APR-PHYS-V4-021</x:v>
      </x:c>
      <x:c r="C2008" s="87" t="str">
        <x:v>СтатГрад</x:v>
      </x:c>
      <x:c r="D2008" s="87" t="str">
        <x:v>Апрель 2026</x:v>
      </x:c>
      <x:c r="E2008" s="87"/>
      <x:c r="F2008" s="87"/>
      <x:c r="G2008" s="87" t="str">
        <x:v>Физика</x:v>
      </x:c>
      <x:c r="H2008" s="87" t="n">
        <x:v>11</x:v>
      </x:c>
      <x:c r="I2008" s="87" t="str">
        <x:v>ТР №5</x:v>
      </x:c>
      <x:c r="J2008" s="87" t="str">
        <x:v>ФИ2510504</x:v>
      </x:c>
      <x:c r="K2008" s="87" t="n">
        <x:v>21</x:v>
      </x:c>
      <x:c r="L2008" s="87" t="str">
        <x:v>Термодинамический процесс по p–T</x:v>
      </x:c>
      <x:c r="M2008" s="30" t="str">
        <x:v>Для процессов 1→2 и 2→3 определить изменения объёма и внутренней энергии.</x:v>
      </x:c>
      <x:c r="N2008" s="30" t="str">
        <x:v>1→2: V const, U увеличивается; 2→3: V уменьшается, U не изменяется</x:v>
      </x:c>
      <x:c r="O2008" s="30" t="str">
        <x:v>1→2 — изохора с ростом температуры. 2→3 — изотермический процесс: температура и внутренняя энергия постоянны, при росте давления объём уменьшается.</x:v>
      </x:c>
      <x:c r="P2008" s="30" t="str">
        <x:v>Ответ совпал с официальной моделью.</x:v>
      </x:c>
      <x:c r="Q2008" s="30"/>
      <x:c r="R2008" s="30" t="str">
        <x:v>Официальные задания и критерии Восток + общий краткий ключ + независимое решение</x:v>
      </x:c>
      <x:c r="S2008" s="30"/>
      <x:c r="T2008" s="30"/>
      <x:c r="U2008" s="30" t="str">
        <x:v>Расхождений не обнаружено.</x:v>
      </x:c>
      <x:c r="V2008" s="87" t="str">
        <x:v>VERIFIED</x:v>
      </x:c>
      <x:c r="W2008" s="87" t="str">
        <x:v>Официальный PDF</x:v>
      </x:c>
      <x:c r="X2008" s="87"/>
      <x:c r="Y2008" s="87"/>
      <x:c r="Z2008" s="87"/>
      <x:c r="AA2008" s="87"/>
      <x:c r="AB2008" s="87"/>
      <x:c r="AC2008" s="87"/>
      <x:c r="AD2008" s="87"/>
      <x:c r="AE2008" s="87"/>
      <x:c r="AF2008" s="87"/>
      <x:c r="AG2008" s="87"/>
      <x:c r="AH2008" s="87"/>
      <x:c r="AI2008" s="30"/>
      <x:c r="AJ2008" s="87" t="str">
        <x:v>master</x:v>
      </x:c>
      <x:c r="AK2008" s="87" t="str">
        <x:v>master-v0.81</x:v>
      </x:c>
      <x:c r="AL2008" s="87" t="str">
        <x:v>statgrad_master_base_v0_81_final(2).xlsx</x:v>
      </x:c>
      <x:c r="AM2008" s="87" t="str">
        <x:v>PHYS_Apr_V4</x:v>
      </x:c>
      <x:c r="AN2008" s="87" t="n">
        <x:v>22</x:v>
      </x:c>
    </x:row>
    <x:row r="2009">
      <x:c r="A2009" s="87" t="n">
        <x:v>2008</x:v>
      </x:c>
      <x:c r="B2009" s="87" t="str">
        <x:v>APR-PHYS-V4-022</x:v>
      </x:c>
      <x:c r="C2009" s="87" t="str">
        <x:v>СтатГрад</x:v>
      </x:c>
      <x:c r="D2009" s="87" t="str">
        <x:v>Апрель 2026</x:v>
      </x:c>
      <x:c r="E2009" s="87"/>
      <x:c r="F2009" s="87"/>
      <x:c r="G2009" s="87" t="str">
        <x:v>Физика</x:v>
      </x:c>
      <x:c r="H2009" s="87" t="n">
        <x:v>11</x:v>
      </x:c>
      <x:c r="I2009" s="87" t="str">
        <x:v>ТР №5</x:v>
      </x:c>
      <x:c r="J2009" s="87" t="str">
        <x:v>ФИ2510504</x:v>
      </x:c>
      <x:c r="K2009" s="87" t="n">
        <x:v>22</x:v>
      </x:c>
      <x:c r="L2009" s="87" t="str">
        <x:v>Баллистическое движение</x:v>
      </x:c>
      <x:c r="M2009" s="30" t="str">
        <x:v>Тело брошено горизонтально и упало через 4 с на расстоянии 20 м. Найти минимальную начальную скорость.</x:v>
      </x:c>
      <x:c r="N2009" s="30" t="str">
        <x:v>5 м/с</x:v>
      </x:c>
      <x:c r="O2009" s="30" t="str">
        <x:v>Горизонтальная скорость постоянна: v₀=L/t=20/4=5 м/с.</x:v>
      </x:c>
      <x:c r="P2009" s="30" t="str">
        <x:v>Горизонтальная скорость постоянна: v₀=L/t=20/4=5 м/с.</x:v>
      </x:c>
      <x:c r="Q2009" s="30"/>
      <x:c r="R2009" s="30" t="str">
        <x:v>Официальные задания и критерии Восток + общий краткий ключ + независимое решение</x:v>
      </x:c>
      <x:c r="S2009" s="30"/>
      <x:c r="T2009" s="30"/>
      <x:c r="U2009" s="30" t="str">
        <x:v>Расхождений не обнаружено.</x:v>
      </x:c>
      <x:c r="V2009" s="87" t="str">
        <x:v>VERIFIED</x:v>
      </x:c>
      <x:c r="W2009" s="87" t="str">
        <x:v>Официальный PDF</x:v>
      </x:c>
      <x:c r="X2009" s="87"/>
      <x:c r="Y2009" s="87"/>
      <x:c r="Z2009" s="87"/>
      <x:c r="AA2009" s="87"/>
      <x:c r="AB2009" s="87"/>
      <x:c r="AC2009" s="87"/>
      <x:c r="AD2009" s="87"/>
      <x:c r="AE2009" s="87"/>
      <x:c r="AF2009" s="87"/>
      <x:c r="AG2009" s="87"/>
      <x:c r="AH2009" s="87"/>
      <x:c r="AI2009" s="30"/>
      <x:c r="AJ2009" s="87" t="str">
        <x:v>master</x:v>
      </x:c>
      <x:c r="AK2009" s="87" t="str">
        <x:v>master-v0.81</x:v>
      </x:c>
      <x:c r="AL2009" s="87" t="str">
        <x:v>statgrad_master_base_v0_81_final(2).xlsx</x:v>
      </x:c>
      <x:c r="AM2009" s="87" t="str">
        <x:v>PHYS_Apr_V4</x:v>
      </x:c>
      <x:c r="AN2009" s="87" t="n">
        <x:v>23</x:v>
      </x:c>
    </x:row>
    <x:row r="2010">
      <x:c r="A2010" s="87" t="n">
        <x:v>2009</x:v>
      </x:c>
      <x:c r="B2010" s="87" t="str">
        <x:v>APR-PHYS-V4-023</x:v>
      </x:c>
      <x:c r="C2010" s="87" t="str">
        <x:v>СтатГрад</x:v>
      </x:c>
      <x:c r="D2010" s="87" t="str">
        <x:v>Апрель 2026</x:v>
      </x:c>
      <x:c r="E2010" s="87"/>
      <x:c r="F2010" s="87"/>
      <x:c r="G2010" s="87" t="str">
        <x:v>Физика</x:v>
      </x:c>
      <x:c r="H2010" s="87" t="n">
        <x:v>11</x:v>
      </x:c>
      <x:c r="I2010" s="87" t="str">
        <x:v>ТР №5</x:v>
      </x:c>
      <x:c r="J2010" s="87" t="str">
        <x:v>ФИ2510504</x:v>
      </x:c>
      <x:c r="K2010" s="87" t="n">
        <x:v>23</x:v>
      </x:c>
      <x:c r="L2010" s="87" t="str">
        <x:v>Электромагнитные колебания</x:v>
      </x:c>
      <x:c r="M2010" s="30" t="str">
        <x:v>Максимальное напряжение 280 В; электрическая энергия в три раза больше магнитной. Найти мгновенное напряжение.</x:v>
      </x:c>
      <x:c r="N2010" s="30" t="str">
        <x:v>242,5 В</x:v>
      </x:c>
      <x:c r="O2010" s="30" t="str">
        <x:v>Электрическая энергия составляет 3/4 полной, поэтому U=Umax√(3/4)=280·√3/2≈242,5 В.</x:v>
      </x:c>
      <x:c r="P2010" s="30" t="str">
        <x:v>Электрическая энергия составляет 3/4 полной, поэтому U=Umax√(3/4)=280·√3/2≈242,5 В.</x:v>
      </x:c>
      <x:c r="Q2010" s="30"/>
      <x:c r="R2010" s="30" t="str">
        <x:v>Официальные задания и критерии Восток + общий краткий ключ + независимое решение</x:v>
      </x:c>
      <x:c r="S2010" s="30"/>
      <x:c r="T2010" s="30"/>
      <x:c r="U2010" s="30" t="str">
        <x:v>Расхождений не обнаружено.</x:v>
      </x:c>
      <x:c r="V2010" s="87" t="str">
        <x:v>VERIFIED</x:v>
      </x:c>
      <x:c r="W2010" s="87" t="str">
        <x:v>Официальный PDF</x:v>
      </x:c>
      <x:c r="X2010" s="87"/>
      <x:c r="Y2010" s="87"/>
      <x:c r="Z2010" s="87"/>
      <x:c r="AA2010" s="87"/>
      <x:c r="AB2010" s="87"/>
      <x:c r="AC2010" s="87"/>
      <x:c r="AD2010" s="87"/>
      <x:c r="AE2010" s="87"/>
      <x:c r="AF2010" s="87"/>
      <x:c r="AG2010" s="87"/>
      <x:c r="AH2010" s="87"/>
      <x:c r="AI2010" s="30"/>
      <x:c r="AJ2010" s="87" t="str">
        <x:v>master</x:v>
      </x:c>
      <x:c r="AK2010" s="87" t="str">
        <x:v>master-v0.81</x:v>
      </x:c>
      <x:c r="AL2010" s="87" t="str">
        <x:v>statgrad_master_base_v0_81_final(2).xlsx</x:v>
      </x:c>
      <x:c r="AM2010" s="87" t="str">
        <x:v>PHYS_Apr_V4</x:v>
      </x:c>
      <x:c r="AN2010" s="87" t="n">
        <x:v>24</x:v>
      </x:c>
    </x:row>
    <x:row r="2011">
      <x:c r="A2011" s="87" t="n">
        <x:v>2010</x:v>
      </x:c>
      <x:c r="B2011" s="87" t="str">
        <x:v>APR-PHYS-V4-024</x:v>
      </x:c>
      <x:c r="C2011" s="87" t="str">
        <x:v>СтатГрад</x:v>
      </x:c>
      <x:c r="D2011" s="87" t="str">
        <x:v>Апрель 2026</x:v>
      </x:c>
      <x:c r="E2011" s="87"/>
      <x:c r="F2011" s="87"/>
      <x:c r="G2011" s="87" t="str">
        <x:v>Физика</x:v>
      </x:c>
      <x:c r="H2011" s="87" t="n">
        <x:v>11</x:v>
      </x:c>
      <x:c r="I2011" s="87" t="str">
        <x:v>ТР №5</x:v>
      </x:c>
      <x:c r="J2011" s="87" t="str">
        <x:v>ФИ2510504</x:v>
      </x:c>
      <x:c r="K2011" s="87" t="n">
        <x:v>24</x:v>
      </x:c>
      <x:c r="L2011" s="87" t="str">
        <x:v>Термодинамика под поршнем</x:v>
      </x:c>
      <x:c r="M2011" s="30" t="str">
        <x:v>Газ под поршнем: S=0,5 м², масса поршня 1 т, V₁=1 м³, среднеквадратичная скорость молекул увеличилась на 40%, атмосферное давление 98,4 кПа. Найти сообщённую теплоту.</x:v>
      </x:c>
      <x:c r="N2011" s="30" t="str">
        <x:v>284 кДж</x:v>
      </x:c>
      <x:c r="O2011" s="30" t="str">
        <x:v>Температура пропорциональна квадрату скорости: T₂/T₁=1,4²=1,96. Давление постоянно, значит V₂=1,96V₁. По первому закону термодинамики Q=ΔU+A≈284 кДж.</x:v>
      </x:c>
      <x:c r="P2011" s="30" t="str">
        <x:v>Расчёт и округление сверены с официальной моделью.</x:v>
      </x:c>
      <x:c r="Q2011" s="30"/>
      <x:c r="R2011" s="30" t="str">
        <x:v>Официальные задания и критерии Восток + общий краткий ключ + независимое решение</x:v>
      </x:c>
      <x:c r="S2011" s="30"/>
      <x:c r="T2011" s="30"/>
      <x:c r="U2011" s="30" t="str">
        <x:v>Расхождений не обнаружено.</x:v>
      </x:c>
      <x:c r="V2011" s="87" t="str">
        <x:v>VERIFIED</x:v>
      </x:c>
      <x:c r="W2011" s="87" t="str">
        <x:v>Официальный PDF</x:v>
      </x:c>
      <x:c r="X2011" s="87"/>
      <x:c r="Y2011" s="87"/>
      <x:c r="Z2011" s="87"/>
      <x:c r="AA2011" s="87"/>
      <x:c r="AB2011" s="87"/>
      <x:c r="AC2011" s="87"/>
      <x:c r="AD2011" s="87"/>
      <x:c r="AE2011" s="87"/>
      <x:c r="AF2011" s="87"/>
      <x:c r="AG2011" s="87"/>
      <x:c r="AH2011" s="87"/>
      <x:c r="AI2011" s="30"/>
      <x:c r="AJ2011" s="87" t="str">
        <x:v>master</x:v>
      </x:c>
      <x:c r="AK2011" s="87" t="str">
        <x:v>master-v0.81</x:v>
      </x:c>
      <x:c r="AL2011" s="87" t="str">
        <x:v>statgrad_master_base_v0_81_final(2).xlsx</x:v>
      </x:c>
      <x:c r="AM2011" s="87" t="str">
        <x:v>PHYS_Apr_V4</x:v>
      </x:c>
      <x:c r="AN2011" s="87" t="n">
        <x:v>25</x:v>
      </x:c>
    </x:row>
    <x:row r="2012">
      <x:c r="A2012" s="87" t="n">
        <x:v>2011</x:v>
      </x:c>
      <x:c r="B2012" s="87" t="str">
        <x:v>APR-PHYS-V4-025</x:v>
      </x:c>
      <x:c r="C2012" s="87" t="str">
        <x:v>СтатГрад</x:v>
      </x:c>
      <x:c r="D2012" s="87" t="str">
        <x:v>Апрель 2026</x:v>
      </x:c>
      <x:c r="E2012" s="87"/>
      <x:c r="F2012" s="87"/>
      <x:c r="G2012" s="87" t="str">
        <x:v>Физика</x:v>
      </x:c>
      <x:c r="H2012" s="87" t="n">
        <x:v>11</x:v>
      </x:c>
      <x:c r="I2012" s="87" t="str">
        <x:v>ТР №5</x:v>
      </x:c>
      <x:c r="J2012" s="87" t="str">
        <x:v>ФИ2510504</x:v>
      </x:c>
      <x:c r="K2012" s="87" t="n">
        <x:v>25</x:v>
      </x:c>
      <x:c r="L2012" s="87" t="str">
        <x:v>Линза и плоское зеркало</x:v>
      </x:c>
      <x:c r="M2012" s="30" t="str">
        <x:v>Собирающая линза F=30 см, зеркало на расстоянии 30 см, источник на расстоянии 40 см перед линзой. Найти окончательное изображение.</x:v>
      </x:c>
      <x:c r="N2012" s="30" t="str">
        <x:v>20 см от линзы со стороны источника</x:v>
      </x:c>
      <x:c r="O2012" s="30" t="str">
        <x:v>Последовательное применение формулы тонкой линзы, построения изображения зеркалом и обратного хода даёт 20 см слева от линзы.</x:v>
      </x:c>
      <x:c r="P2012" s="30" t="str">
        <x:v>Последовательное применение формулы тонкой линзы, построения изображения зеркалом и обратного хода даёт 20 см слева от линзы.</x:v>
      </x:c>
      <x:c r="Q2012" s="30"/>
      <x:c r="R2012" s="30" t="str">
        <x:v>Официальные задания и критерии Восток + общий краткий ключ + независимое решение</x:v>
      </x:c>
      <x:c r="S2012" s="30"/>
      <x:c r="T2012" s="30"/>
      <x:c r="U2012" s="30" t="str">
        <x:v>Расхождений не обнаружено.</x:v>
      </x:c>
      <x:c r="V2012" s="87" t="str">
        <x:v>VERIFIED</x:v>
      </x:c>
      <x:c r="W2012" s="87" t="str">
        <x:v>Официальный PDF</x:v>
      </x:c>
      <x:c r="X2012" s="87"/>
      <x:c r="Y2012" s="87"/>
      <x:c r="Z2012" s="87"/>
      <x:c r="AA2012" s="87"/>
      <x:c r="AB2012" s="87"/>
      <x:c r="AC2012" s="87"/>
      <x:c r="AD2012" s="87"/>
      <x:c r="AE2012" s="87"/>
      <x:c r="AF2012" s="87"/>
      <x:c r="AG2012" s="87"/>
      <x:c r="AH2012" s="87"/>
      <x:c r="AI2012" s="30"/>
      <x:c r="AJ2012" s="87" t="str">
        <x:v>master</x:v>
      </x:c>
      <x:c r="AK2012" s="87" t="str">
        <x:v>master-v0.81</x:v>
      </x:c>
      <x:c r="AL2012" s="87" t="str">
        <x:v>statgrad_master_base_v0_81_final(2).xlsx</x:v>
      </x:c>
      <x:c r="AM2012" s="87" t="str">
        <x:v>PHYS_Apr_V4</x:v>
      </x:c>
      <x:c r="AN2012" s="87" t="n">
        <x:v>26</x:v>
      </x:c>
    </x:row>
    <x:row r="2013">
      <x:c r="A2013" s="87" t="n">
        <x:v>2012</x:v>
      </x:c>
      <x:c r="B2013" s="87" t="str">
        <x:v>APR-PHYS-V4-026</x:v>
      </x:c>
      <x:c r="C2013" s="87" t="str">
        <x:v>СтатГрад</x:v>
      </x:c>
      <x:c r="D2013" s="87" t="str">
        <x:v>Апрель 2026</x:v>
      </x:c>
      <x:c r="E2013" s="87"/>
      <x:c r="F2013" s="87"/>
      <x:c r="G2013" s="87" t="str">
        <x:v>Физика</x:v>
      </x:c>
      <x:c r="H2013" s="87" t="n">
        <x:v>11</x:v>
      </x:c>
      <x:c r="I2013" s="87" t="str">
        <x:v>ТР №5</x:v>
      </x:c>
      <x:c r="J2013" s="87" t="str">
        <x:v>ФИ2510504</x:v>
      </x:c>
      <x:c r="K2013" s="87" t="n">
        <x:v>26</x:v>
      </x:c>
      <x:c r="L2013" s="87" t="str">
        <x:v>Связанные тела и трение</x:v>
      </x:c>
      <x:c r="M2013" s="30" t="str">
        <x:v>На горизонтальном столе находится доска массой 6m, на ней груз массой 3m; к грузу через блок подвешен брусок массы m₃. Коэффициент трения 0,2, m=2 кг. Найти максимальную массу m₃, при которой груз не скользит по доске.</x:v>
      </x:c>
      <x:c r="N2013" s="30" t="str">
        <x:v>2 кг</x:v>
      </x:c>
      <x:c r="O2013" s="30" t="str">
        <x:v>В предельном режиме силы трения между грузом и доской максимальны. Из системы уравнений Ньютона получаем m₃=μm₂(m₁+m₂)/(m₁−μm₂)=0,2·3m·9m/(6m−0,6m)=m=2 кг.</x:v>
      </x:c>
      <x:c r="P2013" s="30" t="str">
        <x:v>Полная модель совпала с официальным критерием.</x:v>
      </x:c>
      <x:c r="Q2013" s="30"/>
      <x:c r="R2013" s="30" t="str">
        <x:v>Официальные задания и критерии Восток + общий краткий ключ + независимое решение</x:v>
      </x:c>
      <x:c r="S2013" s="30"/>
      <x:c r="T2013" s="30"/>
      <x:c r="U2013" s="30" t="str">
        <x:v>Расхождений не обнаружено.</x:v>
      </x:c>
      <x:c r="V2013" s="87" t="str">
        <x:v>VERIFIED</x:v>
      </x:c>
      <x:c r="W2013" s="87" t="str">
        <x:v>Официальный PDF</x:v>
      </x:c>
      <x:c r="X2013" s="87"/>
      <x:c r="Y2013" s="87"/>
      <x:c r="Z2013" s="87"/>
      <x:c r="AA2013" s="87"/>
      <x:c r="AB2013" s="87"/>
      <x:c r="AC2013" s="87"/>
      <x:c r="AD2013" s="87"/>
      <x:c r="AE2013" s="87"/>
      <x:c r="AF2013" s="87"/>
      <x:c r="AG2013" s="87"/>
      <x:c r="AH2013" s="87"/>
      <x:c r="AI2013" s="30"/>
      <x:c r="AJ2013" s="87" t="str">
        <x:v>master</x:v>
      </x:c>
      <x:c r="AK2013" s="87" t="str">
        <x:v>master-v0.81</x:v>
      </x:c>
      <x:c r="AL2013" s="87" t="str">
        <x:v>statgrad_master_base_v0_81_final(2).xlsx</x:v>
      </x:c>
      <x:c r="AM2013" s="87" t="str">
        <x:v>PHYS_Apr_V4</x:v>
      </x:c>
      <x:c r="AN2013" s="87" t="n">
        <x:v>27</x:v>
      </x:c>
    </x:row>
    <x:row r="2014">
      <x:c r="A2014" s="87" t="n">
        <x:v>2013</x:v>
      </x:c>
      <x:c r="B2014" s="87" t="str">
        <x:v>APR-SOC-V1-001</x:v>
      </x:c>
      <x:c r="C2014" s="87" t="str">
        <x:v>СтатГрад</x:v>
      </x:c>
      <x:c r="D2014" s="87" t="str">
        <x:v>Апрель 2026</x:v>
      </x:c>
      <x:c r="E2014" s="87"/>
      <x:c r="F2014" s="87"/>
      <x:c r="G2014" s="87" t="str">
        <x:v>Обществознание</x:v>
      </x:c>
      <x:c r="H2014" s="87" t="n">
        <x:v>11</x:v>
      </x:c>
      <x:c r="I2014" s="87" t="str">
        <x:v>ТР №6</x:v>
      </x:c>
      <x:c r="J2014" s="87" t="str">
        <x:v>ОБ2510601</x:v>
      </x:c>
      <x:c r="K2014" s="87" t="n">
        <x:v>1</x:v>
      </x:c>
      <x:c r="L2014" s="87" t="str">
        <x:v>Макроэкономика</x:v>
      </x:c>
      <x:c r="M2014" s="30" t="str">
        <x:v>Ниже приведён перечень проблем, которые изучает экономическая наука. Все они, за исключением двух, являются объектами изучения макроэкономики. 1) занятость и безработица; 2) рост заработной платы в сфере услуг; 3) проблема бедности; 4) экономический рост; 5) экономический кризис; 6) международная торговля товарами и услугами. Найдите две проблемы, «выпадающие» из общего ряда, и запишите в таблицу цифры, под которыми они указаны.</x:v>
      </x:c>
      <x:c r="N2014" s="30" t="str">
        <x:v>26</x:v>
      </x:c>
      <x:c r="O2014" s="30" t="str">
        <x:v>Рост заработной платы в одной отрасли относится к микроэкономике, а международная торговля — к мировой экономике; остальные позиции описывают экономику страны в целом.</x:v>
      </x:c>
      <x:c r="P2014" s="30" t="str">
        <x:v>Задание независимо решено; рост заработной платы в одной отрасли относится к микроэкономике, а международная торговля — к мировой экономике.</x:v>
      </x:c>
      <x:c r="Q2014" s="30"/>
      <x:c r="R2014" s="30" t="str">
        <x:v>26</x:v>
      </x:c>
      <x:c r="S2014" s="30"/>
      <x:c r="T2014" s="30"/>
      <x:c r="U2014" s="30" t="str">
        <x:v>Расхождений нет.</x:v>
      </x:c>
      <x:c r="V2014" s="87" t="str">
        <x:v>VERIFIED</x:v>
      </x:c>
      <x:c r="W2014" s="87" t="n">
        <x:v>2</x:v>
      </x:c>
      <x:c r="X2014" s="87"/>
      <x:c r="Y2014" s="87"/>
      <x:c r="Z2014" s="87"/>
      <x:c r="AA2014" s="87"/>
      <x:c r="AB2014" s="87"/>
      <x:c r="AC2014" s="87"/>
      <x:c r="AD2014" s="87"/>
      <x:c r="AE2014" s="87"/>
      <x:c r="AF2014" s="87"/>
      <x:c r="AG2014" s="87"/>
      <x:c r="AH2014" s="87"/>
      <x:c r="AI2014" s="30"/>
      <x:c r="AJ2014" s="87" t="str">
        <x:v>master</x:v>
      </x:c>
      <x:c r="AK2014" s="87" t="str">
        <x:v>master-v0.81</x:v>
      </x:c>
      <x:c r="AL2014" s="87" t="str">
        <x:v>statgrad_master_base_v0_81_final(2).xlsx</x:v>
      </x:c>
      <x:c r="AM2014" s="87" t="str">
        <x:v>SOC_Apr_V1</x:v>
      </x:c>
      <x:c r="AN2014" s="87" t="n">
        <x:v>2</x:v>
      </x:c>
    </x:row>
    <x:row r="2015">
      <x:c r="A2015" s="87" t="n">
        <x:v>2014</x:v>
      </x:c>
      <x:c r="B2015" s="87" t="str">
        <x:v>APR-SOC-V1-002</x:v>
      </x:c>
      <x:c r="C2015" s="87" t="str">
        <x:v>СтатГрад</x:v>
      </x:c>
      <x:c r="D2015" s="87" t="str">
        <x:v>Апрель 2026</x:v>
      </x:c>
      <x:c r="E2015" s="87"/>
      <x:c r="F2015" s="87"/>
      <x:c r="G2015" s="87" t="str">
        <x:v>Обществознание</x:v>
      </x:c>
      <x:c r="H2015" s="87" t="n">
        <x:v>11</x:v>
      </x:c>
      <x:c r="I2015" s="87" t="str">
        <x:v>ТР №6</x:v>
      </x:c>
      <x:c r="J2015" s="87" t="str">
        <x:v>ОБ2510601</x:v>
      </x:c>
      <x:c r="K2015" s="87" t="n">
        <x:v>2</x:v>
      </x:c>
      <x:c r="L2015" s="87" t="str">
        <x:v>Духовные ценности</x:v>
      </x:c>
      <x:c r="M2015" s="30" t="str">
        <x:v>Выберите верные суждения о традиционных духовных ценностях российского общества и запишите цифры, под которыми они указаны. 1) Защита традиционных российских духовно-нравственных ценностей, культуры и исторической памяти составляет стратегический национальный приоритет в Российской Федерации. 2) Общественная активность и участие в волонтёрских проектах не могут способствовать приобщению человека к традиционным духовно- нравственным ценностям. 3) К традиционным духовно-нравственным ценностям относятся крепкая семья и созидательный труд. 4) Осмысление социальных, культурных, технологических процессов и явлений с опорой на традиционные ценности вносит вклад в развитие общественных и гуманитарных наук. 5) Реализация политики по сохранению и укреплению традиционных ценностей возложена исключительно на правоохранительные органы.</x:v>
      </x:c>
      <x:c r="N2015" s="30" t="str">
        <x:v>134</x:v>
      </x:c>
      <x:c r="O2015" s="30" t="str">
        <x:v>Верны государственный приоритет защиты традиционных ценностей, отнесение к ним крепкой семьи и созидательного труда, а также их значение для гуманитарного осмысления процессов.</x:v>
      </x:c>
      <x:c r="P2015" s="30" t="str">
        <x:v>Задание независимо решено; верны государственный приоритет защиты традиционных ценностей, отнесение к ним крепкой семьи и созидательного труда, а также их значение для гуманитарного осмысления процессов..</x:v>
      </x:c>
      <x:c r="Q2015" s="30"/>
      <x:c r="R2015" s="30" t="str">
        <x:v>134</x:v>
      </x:c>
      <x:c r="S2015" s="30"/>
      <x:c r="T2015" s="30"/>
      <x:c r="U2015" s="30" t="str">
        <x:v>Расхождений нет.</x:v>
      </x:c>
      <x:c r="V2015" s="87" t="str">
        <x:v>VERIFIED</x:v>
      </x:c>
      <x:c r="W2015" s="87" t="n">
        <x:v>2</x:v>
      </x:c>
      <x:c r="X2015" s="87"/>
      <x:c r="Y2015" s="87"/>
      <x:c r="Z2015" s="87"/>
      <x:c r="AA2015" s="87"/>
      <x:c r="AB2015" s="87"/>
      <x:c r="AC2015" s="87"/>
      <x:c r="AD2015" s="87"/>
      <x:c r="AE2015" s="87"/>
      <x:c r="AF2015" s="87"/>
      <x:c r="AG2015" s="87"/>
      <x:c r="AH2015" s="87"/>
      <x:c r="AI2015" s="30"/>
      <x:c r="AJ2015" s="87" t="str">
        <x:v>master</x:v>
      </x:c>
      <x:c r="AK2015" s="87" t="str">
        <x:v>master-v0.81</x:v>
      </x:c>
      <x:c r="AL2015" s="87" t="str">
        <x:v>statgrad_master_base_v0_81_final(2).xlsx</x:v>
      </x:c>
      <x:c r="AM2015" s="87" t="str">
        <x:v>SOC_Apr_V1</x:v>
      </x:c>
      <x:c r="AN2015" s="87" t="n">
        <x:v>3</x:v>
      </x:c>
    </x:row>
    <x:row r="2016">
      <x:c r="A2016" s="87" t="n">
        <x:v>2015</x:v>
      </x:c>
      <x:c r="B2016" s="87" t="str">
        <x:v>APR-SOC-V1-003</x:v>
      </x:c>
      <x:c r="C2016" s="87" t="str">
        <x:v>СтатГрад</x:v>
      </x:c>
      <x:c r="D2016" s="87" t="str">
        <x:v>Апрель 2026</x:v>
      </x:c>
      <x:c r="E2016" s="87"/>
      <x:c r="F2016" s="87"/>
      <x:c r="G2016" s="87" t="str">
        <x:v>Обществознание</x:v>
      </x:c>
      <x:c r="H2016" s="87" t="n">
        <x:v>11</x:v>
      </x:c>
      <x:c r="I2016" s="87" t="str">
        <x:v>ТР №6</x:v>
      </x:c>
      <x:c r="J2016" s="87" t="str">
        <x:v>ОБ2510601</x:v>
      </x:c>
      <x:c r="K2016" s="87" t="n">
        <x:v>3</x:v>
      </x:c>
      <x:c r="L2016" s="87" t="str">
        <x:v>Критерии истины</x:v>
      </x:c>
      <x:c r="M2016" s="30" t="str">
        <x:v>Установите соответствие между примерами и критериями истины: к каждой позиции, данной в первом столбце, подберите соответствующую позицию из второго столбца. ПРИМЕР КРИТЕРИЙ ИСТИНЫ А) рассуждение в соответствии 1) теоретический с законами логики 2) практический Б) проведение научного опыта В) установление фактов в результате наблюдения Г) согласованность выводов с общей системой знаний Д) использование данных, полученных с помощью органов чувств Запишите в таблицу выбранные цифры под соответствующими буквами. А Б В Г Д</x:v>
      </x:c>
      <x:c r="N2016" s="30" t="str">
        <x:v>12212</x:v>
      </x:c>
      <x:c r="O2016" s="30" t="str">
        <x:v>Логическая непротиворечивость и согласованность с системой знаний — теоретические критерии; опыт, наблюдение и чувственные данные — практические.</x:v>
      </x:c>
      <x:c r="P2016" s="30" t="str">
        <x:v>Задание независимо решено; логическая непротиворечивость и согласованность с системой знаний — теоретические критерии.</x:v>
      </x:c>
      <x:c r="Q2016" s="30"/>
      <x:c r="R2016" s="30" t="str">
        <x:v>12212</x:v>
      </x:c>
      <x:c r="S2016" s="30"/>
      <x:c r="T2016" s="30"/>
      <x:c r="U2016" s="30" t="str">
        <x:v>Расхождений нет.</x:v>
      </x:c>
      <x:c r="V2016" s="87" t="str">
        <x:v>VERIFIED</x:v>
      </x:c>
      <x:c r="W2016" s="87" t="n">
        <x:v>3</x:v>
      </x:c>
      <x:c r="X2016" s="87"/>
      <x:c r="Y2016" s="87"/>
      <x:c r="Z2016" s="87"/>
      <x:c r="AA2016" s="87"/>
      <x:c r="AB2016" s="87"/>
      <x:c r="AC2016" s="87"/>
      <x:c r="AD2016" s="87"/>
      <x:c r="AE2016" s="87"/>
      <x:c r="AF2016" s="87"/>
      <x:c r="AG2016" s="87"/>
      <x:c r="AH2016" s="87"/>
      <x:c r="AI2016" s="30"/>
      <x:c r="AJ2016" s="87" t="str">
        <x:v>master</x:v>
      </x:c>
      <x:c r="AK2016" s="87" t="str">
        <x:v>master-v0.81</x:v>
      </x:c>
      <x:c r="AL2016" s="87" t="str">
        <x:v>statgrad_master_base_v0_81_final(2).xlsx</x:v>
      </x:c>
      <x:c r="AM2016" s="87" t="str">
        <x:v>SOC_Apr_V1</x:v>
      </x:c>
      <x:c r="AN2016" s="87" t="n">
        <x:v>4</x:v>
      </x:c>
    </x:row>
    <x:row r="2017">
      <x:c r="A2017" s="87" t="n">
        <x:v>2016</x:v>
      </x:c>
      <x:c r="B2017" s="87" t="str">
        <x:v>APR-SOC-V1-004</x:v>
      </x:c>
      <x:c r="C2017" s="87" t="str">
        <x:v>СтатГрад</x:v>
      </x:c>
      <x:c r="D2017" s="87" t="str">
        <x:v>Апрель 2026</x:v>
      </x:c>
      <x:c r="E2017" s="87"/>
      <x:c r="F2017" s="87"/>
      <x:c r="G2017" s="87" t="str">
        <x:v>Обществознание</x:v>
      </x:c>
      <x:c r="H2017" s="87" t="n">
        <x:v>11</x:v>
      </x:c>
      <x:c r="I2017" s="87" t="str">
        <x:v>ТР №6</x:v>
      </x:c>
      <x:c r="J2017" s="87" t="str">
        <x:v>ОБ2510601</x:v>
      </x:c>
      <x:c r="K2017" s="87" t="n">
        <x:v>4</x:v>
      </x:c>
      <x:c r="L2017" s="87" t="str">
        <x:v>Социальная сущность человека</x:v>
      </x:c>
      <x:c r="M2017" s="30" t="str">
        <x:v>Десятиклассник готовил презентацию о биологической и социокультурной эволюции человека. Найдите в приведённом списке проявления социальной сущности человека. Запишите цифры, под которыми они указаны. 1) участие в преобразовании окружающего мира 2) рациональное поведение 3) слух, зрение, обоняние 4) усвоение этических норм 5) потребности во сне и отдыхе 6) предрасположенность к определённым заболеваниям</x:v>
      </x:c>
      <x:c r="N2017" s="30" t="str">
        <x:v>124</x:v>
      </x:c>
      <x:c r="O2017" s="30" t="str">
        <x:v>Преобразовательная деятельность, рациональность и усвоение норм имеют социальную природу; органы чувств, сон и заболевания отражают биологическую сторону.</x:v>
      </x:c>
      <x:c r="P2017" s="30" t="str">
        <x:v>Задание независимо решено; преобразовательная деятельность, рациональность и усвоение норм имеют социальную природу.</x:v>
      </x:c>
      <x:c r="Q2017" s="30"/>
      <x:c r="R2017" s="30" t="str">
        <x:v>124</x:v>
      </x:c>
      <x:c r="S2017" s="30"/>
      <x:c r="T2017" s="30"/>
      <x:c r="U2017" s="30" t="str">
        <x:v>Расхождений нет.</x:v>
      </x:c>
      <x:c r="V2017" s="87" t="str">
        <x:v>VERIFIED</x:v>
      </x:c>
      <x:c r="W2017" s="87" t="n">
        <x:v>3</x:v>
      </x:c>
      <x:c r="X2017" s="87"/>
      <x:c r="Y2017" s="87"/>
      <x:c r="Z2017" s="87"/>
      <x:c r="AA2017" s="87"/>
      <x:c r="AB2017" s="87"/>
      <x:c r="AC2017" s="87"/>
      <x:c r="AD2017" s="87"/>
      <x:c r="AE2017" s="87"/>
      <x:c r="AF2017" s="87"/>
      <x:c r="AG2017" s="87"/>
      <x:c r="AH2017" s="87"/>
      <x:c r="AI2017" s="30"/>
      <x:c r="AJ2017" s="87" t="str">
        <x:v>master</x:v>
      </x:c>
      <x:c r="AK2017" s="87" t="str">
        <x:v>master-v0.81</x:v>
      </x:c>
      <x:c r="AL2017" s="87" t="str">
        <x:v>statgrad_master_base_v0_81_final(2).xlsx</x:v>
      </x:c>
      <x:c r="AM2017" s="87" t="str">
        <x:v>SOC_Apr_V1</x:v>
      </x:c>
      <x:c r="AN2017" s="87" t="n">
        <x:v>5</x:v>
      </x:c>
    </x:row>
    <x:row r="2018">
      <x:c r="A2018" s="87" t="n">
        <x:v>2017</x:v>
      </x:c>
      <x:c r="B2018" s="87" t="str">
        <x:v>APR-SOC-V1-005</x:v>
      </x:c>
      <x:c r="C2018" s="87" t="str">
        <x:v>СтатГрад</x:v>
      </x:c>
      <x:c r="D2018" s="87" t="str">
        <x:v>Апрель 2026</x:v>
      </x:c>
      <x:c r="E2018" s="87"/>
      <x:c r="F2018" s="87"/>
      <x:c r="G2018" s="87" t="str">
        <x:v>Обществознание</x:v>
      </x:c>
      <x:c r="H2018" s="87" t="n">
        <x:v>11</x:v>
      </x:c>
      <x:c r="I2018" s="87" t="str">
        <x:v>ТР №6</x:v>
      </x:c>
      <x:c r="J2018" s="87" t="str">
        <x:v>ОБ2510601</x:v>
      </x:c>
      <x:c r="K2018" s="87" t="n">
        <x:v>5</x:v>
      </x:c>
      <x:c r="L2018" s="87" t="str">
        <x:v>Экономическая политика</x:v>
      </x:c>
      <x:c r="M2018" s="30" t="str">
        <x:v>Выберите верные суждения о функциях, направлениях и инструментах экономической политики государства и запишите цифры, под которыми они указаны. 1) К экономическим функциям государства относятся производство общественных благ и компенсация внешних эффектов. 2) Структурная политика государства направлена на ликвидацию экономических проблем, на «оздоровление» экономики. 3) Деятельность государства в области налогообложения – это компонент фискальной политики. 4) Прямое государственное регулирование рыночной экономики предполагает использование монетарной политики. 5) Денежно-кредитная политика государства связана с установлением учётной ставки и нормы обязательных банковских резервов.</x:v>
      </x:c>
      <x:c r="N2018" s="30" t="str">
        <x:v>135</x:v>
      </x:c>
      <x:c r="O2018" s="30" t="str">
        <x:v>Государство производит общественные блага и компенсирует внешние эффекты; налоги относятся к фискальной, а ставка и резервы — к денежно-кредитной политике.</x:v>
      </x:c>
      <x:c r="P2018" s="30" t="str">
        <x:v>Задание независимо решено; государство производит общественные блага и компенсирует внешние эффекты.</x:v>
      </x:c>
      <x:c r="Q2018" s="30"/>
      <x:c r="R2018" s="30" t="str">
        <x:v>135</x:v>
      </x:c>
      <x:c r="S2018" s="30"/>
      <x:c r="T2018" s="30"/>
      <x:c r="U2018" s="30" t="str">
        <x:v>Расхождений нет.</x:v>
      </x:c>
      <x:c r="V2018" s="87" t="str">
        <x:v>VERIFIED</x:v>
      </x:c>
      <x:c r="W2018" s="87" t="n">
        <x:v>4</x:v>
      </x:c>
      <x:c r="X2018" s="87"/>
      <x:c r="Y2018" s="87"/>
      <x:c r="Z2018" s="87"/>
      <x:c r="AA2018" s="87"/>
      <x:c r="AB2018" s="87"/>
      <x:c r="AC2018" s="87"/>
      <x:c r="AD2018" s="87"/>
      <x:c r="AE2018" s="87"/>
      <x:c r="AF2018" s="87"/>
      <x:c r="AG2018" s="87"/>
      <x:c r="AH2018" s="87"/>
      <x:c r="AI2018" s="30"/>
      <x:c r="AJ2018" s="87" t="str">
        <x:v>master</x:v>
      </x:c>
      <x:c r="AK2018" s="87" t="str">
        <x:v>master-v0.81</x:v>
      </x:c>
      <x:c r="AL2018" s="87" t="str">
        <x:v>statgrad_master_base_v0_81_final(2).xlsx</x:v>
      </x:c>
      <x:c r="AM2018" s="87" t="str">
        <x:v>SOC_Apr_V1</x:v>
      </x:c>
      <x:c r="AN2018" s="87" t="n">
        <x:v>6</x:v>
      </x:c>
    </x:row>
    <x:row r="2019">
      <x:c r="A2019" s="87" t="n">
        <x:v>2018</x:v>
      </x:c>
      <x:c r="B2019" s="87" t="str">
        <x:v>APR-SOC-V1-006</x:v>
      </x:c>
      <x:c r="C2019" s="87" t="str">
        <x:v>СтатГрад</x:v>
      </x:c>
      <x:c r="D2019" s="87" t="str">
        <x:v>Апрель 2026</x:v>
      </x:c>
      <x:c r="E2019" s="87"/>
      <x:c r="F2019" s="87"/>
      <x:c r="G2019" s="87" t="str">
        <x:v>Обществознание</x:v>
      </x:c>
      <x:c r="H2019" s="87" t="n">
        <x:v>11</x:v>
      </x:c>
      <x:c r="I2019" s="87" t="str">
        <x:v>ТР №6</x:v>
      </x:c>
      <x:c r="J2019" s="87" t="str">
        <x:v>ОБ2510601</x:v>
      </x:c>
      <x:c r="K2019" s="87" t="n">
        <x:v>6</x:v>
      </x:c>
      <x:c r="L2019" s="87" t="str">
        <x:v>Виды инфляции</x:v>
      </x:c>
      <x:c r="M2019" s="30" t="str">
        <x:v>Установите соответствие между примерами и видами инфляции: к каждой позиции, данной в первом столбце, подберите соответствующую позицию из второго столбца. ПРИМЕРЫ: А) превышение денежной массы над товарной массой вследствие денежной эмиссии; Б) рост цен на сырьё и энергетические ресурсы; В) рост доходов населения ускоренными темпами по сравнению с ростом реального объёма товаров и услуг; Г) рост налогообложения производителей; Д) монополия предприятий на установление цен. ВИДЫ ИНФЛЯЦИИ: 1) инфляция спроса; 2) инфляция издержек.</x:v>
      </x:c>
      <x:c r="N2019" s="30" t="str">
        <x:v>12122</x:v>
      </x:c>
      <x:c r="O2019" s="30" t="str">
        <x:v>Избыточная денежная масса и опережающий рост доходов усиливают спрос; рост ресурсов, налогов и монопольного ценообразования повышает издержки предложения.</x:v>
      </x:c>
      <x:c r="P2019" s="30" t="str">
        <x:v>Задание независимо решено; избыточная денежная масса и опережающий рост доходов усиливают спрос.</x:v>
      </x:c>
      <x:c r="Q2019" s="30"/>
      <x:c r="R2019" s="30" t="str">
        <x:v>12122</x:v>
      </x:c>
      <x:c r="S2019" s="30"/>
      <x:c r="T2019" s="30"/>
      <x:c r="U2019" s="30" t="str">
        <x:v>Расхождений нет.</x:v>
      </x:c>
      <x:c r="V2019" s="87" t="str">
        <x:v>VERIFIED</x:v>
      </x:c>
      <x:c r="W2019" s="87" t="n">
        <x:v>4</x:v>
      </x:c>
      <x:c r="X2019" s="87"/>
      <x:c r="Y2019" s="87"/>
      <x:c r="Z2019" s="87"/>
      <x:c r="AA2019" s="87"/>
      <x:c r="AB2019" s="87"/>
      <x:c r="AC2019" s="87"/>
      <x:c r="AD2019" s="87"/>
      <x:c r="AE2019" s="87"/>
      <x:c r="AF2019" s="87"/>
      <x:c r="AG2019" s="87"/>
      <x:c r="AH2019" s="87"/>
      <x:c r="AI2019" s="30"/>
      <x:c r="AJ2019" s="87" t="str">
        <x:v>master</x:v>
      </x:c>
      <x:c r="AK2019" s="87" t="str">
        <x:v>master-v0.81</x:v>
      </x:c>
      <x:c r="AL2019" s="87" t="str">
        <x:v>statgrad_master_base_v0_81_final(2).xlsx</x:v>
      </x:c>
      <x:c r="AM2019" s="87" t="str">
        <x:v>SOC_Apr_V1</x:v>
      </x:c>
      <x:c r="AN2019" s="87" t="n">
        <x:v>7</x:v>
      </x:c>
    </x:row>
    <x:row r="2020">
      <x:c r="A2020" s="87" t="n">
        <x:v>2019</x:v>
      </x:c>
      <x:c r="B2020" s="87" t="str">
        <x:v>APR-SOC-V1-007</x:v>
      </x:c>
      <x:c r="C2020" s="87" t="str">
        <x:v>СтатГрад</x:v>
      </x:c>
      <x:c r="D2020" s="87" t="str">
        <x:v>Апрель 2026</x:v>
      </x:c>
      <x:c r="E2020" s="87"/>
      <x:c r="F2020" s="87"/>
      <x:c r="G2020" s="87" t="str">
        <x:v>Обществознание</x:v>
      </x:c>
      <x:c r="H2020" s="87" t="n">
        <x:v>11</x:v>
      </x:c>
      <x:c r="I2020" s="87" t="str">
        <x:v>ТР №6</x:v>
      </x:c>
      <x:c r="J2020" s="87" t="str">
        <x:v>ОБ2510601</x:v>
      </x:c>
      <x:c r="K2020" s="87" t="n">
        <x:v>7</x:v>
      </x:c>
      <x:c r="L2020" s="87" t="str">
        <x:v>Структурная безработица</x:v>
      </x:c>
      <x:c r="M2020" s="30" t="str">
        <x:v>Безработицу в стране Z охарактеризовали как структурную. Найдите в приведённом списке подтверждения данной характеристики. Запишите цифры, под которыми они указаны. 1) Безработица резко возросла в начале лета, когда множество выпускников средних и высших учебных заведений, получивших профессиональное образование, стали искать работу. 2) В стране Z в условиях экономического кризиса закрываются крупные предприятия и разоряются представители малого и среднего бизнеса. 3) Начался сезон дождей, и владельцы гостиниц, пляжей, кафе и ресторанов на морском побережье прекратили работу. 4) Внедрение инновационных производственных технологий привело к исчезновению определённых специальностей. 5) Государство Z активно поощряет производителей, которые проводят автоматизацию и роботизацию производства, вследствие чего произошли увольнения работников. 6) В стране Z происходят массовые увольнения работников обрабатывающей промышленности, имеющих квалификацию, недостаточную для функционирования конкурентоспособного производства.</x:v>
      </x:c>
      <x:c r="N2020" s="30" t="str">
        <x:v>456</x:v>
      </x:c>
      <x:c r="O2020" s="30" t="str">
        <x:v>Исчезновение профессий, автоматизация и несоответствие квалификации структуре спроса на труд характеризуют структурную безработицу.</x:v>
      </x:c>
      <x:c r="P2020" s="30" t="str">
        <x:v>Задание независимо решено; исчезновение профессий, автоматизация и несоответствие квалификации структуре спроса на труд характеризуют структурную безработицу..</x:v>
      </x:c>
      <x:c r="Q2020" s="30"/>
      <x:c r="R2020" s="30" t="str">
        <x:v>456</x:v>
      </x:c>
      <x:c r="S2020" s="30"/>
      <x:c r="T2020" s="30"/>
      <x:c r="U2020" s="30" t="str">
        <x:v>Расхождений нет.</x:v>
      </x:c>
      <x:c r="V2020" s="87" t="str">
        <x:v>VERIFIED</x:v>
      </x:c>
      <x:c r="W2020" s="87" t="n">
        <x:v>5</x:v>
      </x:c>
      <x:c r="X2020" s="87"/>
      <x:c r="Y2020" s="87"/>
      <x:c r="Z2020" s="87"/>
      <x:c r="AA2020" s="87"/>
      <x:c r="AB2020" s="87"/>
      <x:c r="AC2020" s="87"/>
      <x:c r="AD2020" s="87"/>
      <x:c r="AE2020" s="87"/>
      <x:c r="AF2020" s="87"/>
      <x:c r="AG2020" s="87"/>
      <x:c r="AH2020" s="87"/>
      <x:c r="AI2020" s="30"/>
      <x:c r="AJ2020" s="87" t="str">
        <x:v>master</x:v>
      </x:c>
      <x:c r="AK2020" s="87" t="str">
        <x:v>master-v0.81</x:v>
      </x:c>
      <x:c r="AL2020" s="87" t="str">
        <x:v>statgrad_master_base_v0_81_final(2).xlsx</x:v>
      </x:c>
      <x:c r="AM2020" s="87" t="str">
        <x:v>SOC_Apr_V1</x:v>
      </x:c>
      <x:c r="AN2020" s="87" t="n">
        <x:v>8</x:v>
      </x:c>
    </x:row>
    <x:row r="2021">
      <x:c r="A2021" s="87" t="n">
        <x:v>2020</x:v>
      </x:c>
      <x:c r="B2021" s="87" t="str">
        <x:v>APR-SOC-V1-008</x:v>
      </x:c>
      <x:c r="C2021" s="87" t="str">
        <x:v>СтатГрад</x:v>
      </x:c>
      <x:c r="D2021" s="87" t="str">
        <x:v>Апрель 2026</x:v>
      </x:c>
      <x:c r="E2021" s="87"/>
      <x:c r="F2021" s="87"/>
      <x:c r="G2021" s="87" t="str">
        <x:v>Обществознание</x:v>
      </x:c>
      <x:c r="H2021" s="87" t="n">
        <x:v>11</x:v>
      </x:c>
      <x:c r="I2021" s="87" t="str">
        <x:v>ТР №6</x:v>
      </x:c>
      <x:c r="J2021" s="87" t="str">
        <x:v>ОБ2510601</x:v>
      </x:c>
      <x:c r="K2021" s="87" t="n">
        <x:v>8</x:v>
      </x:c>
      <x:c r="L2021" s="87" t="str">
        <x:v>Этнические общности</x:v>
      </x:c>
      <x:c r="M2021" s="30" t="str">
        <x:v>Выберите верные суждения об этнических общностях и запишите цифры, под которыми они указаны. 1) Общность исторической судьбы народа, общие язык, традиции, культура, особенности быта входят в число признаков этнических общностей. 2) В современном мире границы расселения этнических общностей совпадают с границами государств. 3) Как представители этнических общностей люди осознают свою принадлежность к определённому этносу и его отличие от других этносов. 4) Дискриминация по этническому признаку является причиной межэтнических конфликтов. 5) К типам этнических общностей относят семью и общину.</x:v>
      </x:c>
      <x:c r="N2021" s="30" t="str">
        <x:v>134</x:v>
      </x:c>
      <x:c r="O2021" s="30" t="str">
        <x:v>Этнос объединяют историческая судьба, язык и культура; принадлежность осознаётся людьми, а дискриминация способна вызвать межэтнический конфликт.</x:v>
      </x:c>
      <x:c r="P2021" s="30" t="str">
        <x:v>Задание независимо решено; этнос объединяют историческая судьба, язык и культура.</x:v>
      </x:c>
      <x:c r="Q2021" s="30"/>
      <x:c r="R2021" s="30" t="str">
        <x:v>134</x:v>
      </x:c>
      <x:c r="S2021" s="30"/>
      <x:c r="T2021" s="30"/>
      <x:c r="U2021" s="30" t="str">
        <x:v>Расхождений нет.</x:v>
      </x:c>
      <x:c r="V2021" s="87" t="str">
        <x:v>VERIFIED</x:v>
      </x:c>
      <x:c r="W2021" s="87" t="n">
        <x:v>5</x:v>
      </x:c>
      <x:c r="X2021" s="87"/>
      <x:c r="Y2021" s="87"/>
      <x:c r="Z2021" s="87"/>
      <x:c r="AA2021" s="87"/>
      <x:c r="AB2021" s="87"/>
      <x:c r="AC2021" s="87"/>
      <x:c r="AD2021" s="87"/>
      <x:c r="AE2021" s="87"/>
      <x:c r="AF2021" s="87"/>
      <x:c r="AG2021" s="87"/>
      <x:c r="AH2021" s="87"/>
      <x:c r="AI2021" s="30"/>
      <x:c r="AJ2021" s="87" t="str">
        <x:v>master</x:v>
      </x:c>
      <x:c r="AK2021" s="87" t="str">
        <x:v>master-v0.81</x:v>
      </x:c>
      <x:c r="AL2021" s="87" t="str">
        <x:v>statgrad_master_base_v0_81_final(2).xlsx</x:v>
      </x:c>
      <x:c r="AM2021" s="87" t="str">
        <x:v>SOC_Apr_V1</x:v>
      </x:c>
      <x:c r="AN2021" s="87" t="n">
        <x:v>9</x:v>
      </x:c>
    </x:row>
    <x:row r="2022">
      <x:c r="A2022" s="87" t="n">
        <x:v>2021</x:v>
      </x:c>
      <x:c r="B2022" s="87" t="str">
        <x:v>APR-SOC-V1-009</x:v>
      </x:c>
      <x:c r="C2022" s="87" t="str">
        <x:v>СтатГрад</x:v>
      </x:c>
      <x:c r="D2022" s="87" t="str">
        <x:v>Апрель 2026</x:v>
      </x:c>
      <x:c r="E2022" s="87"/>
      <x:c r="F2022" s="87"/>
      <x:c r="G2022" s="87" t="str">
        <x:v>Обществознание</x:v>
      </x:c>
      <x:c r="H2022" s="87" t="n">
        <x:v>11</x:v>
      </x:c>
      <x:c r="I2022" s="87" t="str">
        <x:v>ТР №6</x:v>
      </x:c>
      <x:c r="J2022" s="87" t="str">
        <x:v>ОБ2510601</x:v>
      </x:c>
      <x:c r="K2022" s="87" t="n">
        <x:v>9</x:v>
      </x:c>
      <x:c r="L2022" s="87" t="str">
        <x:v>Анализ диаграммы</x:v>
      </x:c>
      <x:c r="M2022" s="30" t="str">
        <x:v>В ходе социологического опроса об отношении к телемедицине совершеннолетним гражданам задавали вопрос: «Скажите, если Ваш врач после очного приёма предложит следующий плановый визит заменить на дистанционный – через специальное приложение или онлайн-сервис, Вы скорее согласитесь или скорее откажетесь?» Результаты опроса (один ответ, в % от числа отвечавших) приведены на диаграмме. Найдите в приведённом списке выводы, которые можно сделать на основе диаграммы, и запишите цифры, под которыми они указаны. 1) Большинство опрошенных в каждой группе предпочитают отказаться от дистанционного визита к врачу. 2) В отличие от опрошенных, которые не пользуются интернетом и телевидением, активные телезрители указали, что скорее откажутся от дистанционного визита к врачу. 3) Среди тех, кто указал, что скорее согласится на дистанционный визит к врачу, наибольшая доля опрошенных в группе активных потребителей интернета. 4) Среди активных телезрителей и тех, кто не пользуется интернетом и телевидением примерно равны доли опрошенных, которые затруднились ответить, так как нуждаются в дополнительной информации. 5) Доля активных потребителей телевидения и интернета, которые указали, что скорее согласятся на дистанционный визит к врачу, не превышает долю активных потребителей интернета, высказавших аналогичное мнение.</x:v>
      </x:c>
      <x:c r="N2022" s="30" t="str">
        <x:v>345</x:v>
      </x:c>
      <x:c r="O2022" s="30" t="str">
        <x:v>Выводы 3, 4 и 5 непосредственно соответствуют соотношениям столбцов диаграммы; остальные неверно сравнивают группы или обобщают большинство.</x:v>
      </x:c>
      <x:c r="P2022" s="30" t="str">
        <x:v>Задание независимо решено; выводы 3, 4 и 5 непосредственно соответствуют соотношениям столбцов диаграммы.</x:v>
      </x:c>
      <x:c r="Q2022" s="30"/>
      <x:c r="R2022" s="30" t="str">
        <x:v>345</x:v>
      </x:c>
      <x:c r="S2022" s="30"/>
      <x:c r="T2022" s="30"/>
      <x:c r="U2022" s="30" t="str">
        <x:v>Расхождений нет.</x:v>
      </x:c>
      <x:c r="V2022" s="87" t="str">
        <x:v>VERIFIED</x:v>
      </x:c>
      <x:c r="W2022" s="87" t="n">
        <x:v>6</x:v>
      </x:c>
      <x:c r="X2022" s="87"/>
      <x:c r="Y2022" s="87"/>
      <x:c r="Z2022" s="87"/>
      <x:c r="AA2022" s="87"/>
      <x:c r="AB2022" s="87"/>
      <x:c r="AC2022" s="87"/>
      <x:c r="AD2022" s="87"/>
      <x:c r="AE2022" s="87"/>
      <x:c r="AF2022" s="87"/>
      <x:c r="AG2022" s="87"/>
      <x:c r="AH2022" s="87"/>
      <x:c r="AI2022" s="30"/>
      <x:c r="AJ2022" s="87" t="str">
        <x:v>master</x:v>
      </x:c>
      <x:c r="AK2022" s="87" t="str">
        <x:v>master-v0.81</x:v>
      </x:c>
      <x:c r="AL2022" s="87" t="str">
        <x:v>statgrad_master_base_v0_81_final(2).xlsx</x:v>
      </x:c>
      <x:c r="AM2022" s="87" t="str">
        <x:v>SOC_Apr_V1</x:v>
      </x:c>
      <x:c r="AN2022" s="87" t="n">
        <x:v>10</x:v>
      </x:c>
    </x:row>
    <x:row r="2023">
      <x:c r="A2023" s="87" t="n">
        <x:v>2022</x:v>
      </x:c>
      <x:c r="B2023" s="87" t="str">
        <x:v>APR-SOC-V1-010</x:v>
      </x:c>
      <x:c r="C2023" s="87" t="str">
        <x:v>СтатГрад</x:v>
      </x:c>
      <x:c r="D2023" s="87" t="str">
        <x:v>Апрель 2026</x:v>
      </x:c>
      <x:c r="E2023" s="87"/>
      <x:c r="F2023" s="87"/>
      <x:c r="G2023" s="87" t="str">
        <x:v>Обществознание</x:v>
      </x:c>
      <x:c r="H2023" s="87" t="n">
        <x:v>11</x:v>
      </x:c>
      <x:c r="I2023" s="87" t="str">
        <x:v>ТР №6</x:v>
      </x:c>
      <x:c r="J2023" s="87" t="str">
        <x:v>ОБ2510601</x:v>
      </x:c>
      <x:c r="K2023" s="87" t="n">
        <x:v>10</x:v>
      </x:c>
      <x:c r="L2023" s="87" t="str">
        <x:v>Политическая система</x:v>
      </x:c>
      <x:c r="M2023" s="30" t="str">
        <x:v>Выберите верные суждения о политической системе и её подсистемах и запишите цифры, под которыми они указаны. 1) Политическая система – это единство формы правления, государственно- территориального устройства и политического режима. 2) Коммуникативная подсистема включает совокупность связей и взаимодействий между другими подсистемами, а также с неполитическими сферами общества. 3) Государство, политические партии, общественно-политические движения представляют институциональную подсистему политической системы. 4) Нормы и традиции, зафиксированные в правовых актах, партийных программах, уставах политических объединений, составляют культурно- идеологическую подсистему политической системы. 5) Политическая система выполняет такие функции, как регулятивная, интегративная и функция целеполагания.</x:v>
      </x:c>
      <x:c r="N2023" s="30" t="str">
        <x:v>235</x:v>
      </x:c>
      <x:c r="O2023" s="30" t="str">
        <x:v>Связи между элементами образуют коммуникативную подсистему, организации — институциональную; система выполняет регулятивную, интегративную и целеполагающую функции.</x:v>
      </x:c>
      <x:c r="P2023" s="30" t="str">
        <x:v>Задание независимо решено; связи между элементами образуют коммуникативную подсистему, организации — институциональную.</x:v>
      </x:c>
      <x:c r="Q2023" s="30"/>
      <x:c r="R2023" s="30" t="str">
        <x:v>235</x:v>
      </x:c>
      <x:c r="S2023" s="30"/>
      <x:c r="T2023" s="30"/>
      <x:c r="U2023" s="30" t="str">
        <x:v>Расхождений нет.</x:v>
      </x:c>
      <x:c r="V2023" s="87" t="str">
        <x:v>VERIFIED</x:v>
      </x:c>
      <x:c r="W2023" s="87" t="n">
        <x:v>7</x:v>
      </x:c>
      <x:c r="X2023" s="87"/>
      <x:c r="Y2023" s="87"/>
      <x:c r="Z2023" s="87"/>
      <x:c r="AA2023" s="87"/>
      <x:c r="AB2023" s="87"/>
      <x:c r="AC2023" s="87"/>
      <x:c r="AD2023" s="87"/>
      <x:c r="AE2023" s="87"/>
      <x:c r="AF2023" s="87"/>
      <x:c r="AG2023" s="87"/>
      <x:c r="AH2023" s="87"/>
      <x:c r="AI2023" s="30"/>
      <x:c r="AJ2023" s="87" t="str">
        <x:v>master</x:v>
      </x:c>
      <x:c r="AK2023" s="87" t="str">
        <x:v>master-v0.81</x:v>
      </x:c>
      <x:c r="AL2023" s="87" t="str">
        <x:v>statgrad_master_base_v0_81_final(2).xlsx</x:v>
      </x:c>
      <x:c r="AM2023" s="87" t="str">
        <x:v>SOC_Apr_V1</x:v>
      </x:c>
      <x:c r="AN2023" s="87" t="n">
        <x:v>11</x:v>
      </x:c>
    </x:row>
    <x:row r="2024">
      <x:c r="A2024" s="87" t="n">
        <x:v>2023</x:v>
      </x:c>
      <x:c r="B2024" s="87" t="str">
        <x:v>APR-SOC-V1-011</x:v>
      </x:c>
      <x:c r="C2024" s="87" t="str">
        <x:v>СтатГрад</x:v>
      </x:c>
      <x:c r="D2024" s="87" t="str">
        <x:v>Апрель 2026</x:v>
      </x:c>
      <x:c r="E2024" s="87"/>
      <x:c r="F2024" s="87"/>
      <x:c r="G2024" s="87" t="str">
        <x:v>Обществознание</x:v>
      </x:c>
      <x:c r="H2024" s="87" t="n">
        <x:v>11</x:v>
      </x:c>
      <x:c r="I2024" s="87" t="str">
        <x:v>ТР №6</x:v>
      </x:c>
      <x:c r="J2024" s="87" t="str">
        <x:v>ОБ2510601</x:v>
      </x:c>
      <x:c r="K2024" s="87" t="n">
        <x:v>11</x:v>
      </x:c>
      <x:c r="L2024" s="87" t="str">
        <x:v>Политическая партия</x:v>
      </x:c>
      <x:c r="M2024" s="30" t="str">
        <x:v>Одна из политических партий государства Z, выступающая в поддержку традиционных институтов и ценностей, сохранения устоев и сложившегося общественного порядка, получила большинство голосов на выборах в парламент и сформировала правительство. Что из перечисленного характеризует эту партию? Запишите цифры, под которыми указаны эти характеристики. 1) массовая партия 2) консервативная партия 3) правящая партия 4) социалистическая партия 5) легальная партия 6) революционная партия</x:v>
      </x:c>
      <x:c r="N2024" s="30" t="str">
        <x:v>235</x:v>
      </x:c>
      <x:c r="O2024" s="30" t="str">
        <x:v>Поддержка традиций указывает на консервативную идеологию; победа на выборах делает партию правящей, участие в законной политике — легальной.</x:v>
      </x:c>
      <x:c r="P2024" s="30" t="str">
        <x:v>Задание независимо решено; поддержка традиций указывает на консервативную идеологию.</x:v>
      </x:c>
      <x:c r="Q2024" s="30"/>
      <x:c r="R2024" s="30" t="str">
        <x:v>235</x:v>
      </x:c>
      <x:c r="S2024" s="30"/>
      <x:c r="T2024" s="30"/>
      <x:c r="U2024" s="30" t="str">
        <x:v>Расхождений нет.</x:v>
      </x:c>
      <x:c r="V2024" s="87" t="str">
        <x:v>VERIFIED</x:v>
      </x:c>
      <x:c r="W2024" s="87" t="n">
        <x:v>7</x:v>
      </x:c>
      <x:c r="X2024" s="87"/>
      <x:c r="Y2024" s="87"/>
      <x:c r="Z2024" s="87"/>
      <x:c r="AA2024" s="87"/>
      <x:c r="AB2024" s="87"/>
      <x:c r="AC2024" s="87"/>
      <x:c r="AD2024" s="87"/>
      <x:c r="AE2024" s="87"/>
      <x:c r="AF2024" s="87"/>
      <x:c r="AG2024" s="87"/>
      <x:c r="AH2024" s="87"/>
      <x:c r="AI2024" s="30"/>
      <x:c r="AJ2024" s="87" t="str">
        <x:v>master</x:v>
      </x:c>
      <x:c r="AK2024" s="87" t="str">
        <x:v>master-v0.81</x:v>
      </x:c>
      <x:c r="AL2024" s="87" t="str">
        <x:v>statgrad_master_base_v0_81_final(2).xlsx</x:v>
      </x:c>
      <x:c r="AM2024" s="87" t="str">
        <x:v>SOC_Apr_V1</x:v>
      </x:c>
      <x:c r="AN2024" s="87" t="n">
        <x:v>12</x:v>
      </x:c>
    </x:row>
    <x:row r="2025">
      <x:c r="A2025" s="87" t="n">
        <x:v>2024</x:v>
      </x:c>
      <x:c r="B2025" s="87" t="str">
        <x:v>APR-SOC-V1-012</x:v>
      </x:c>
      <x:c r="C2025" s="87" t="str">
        <x:v>СтатГрад</x:v>
      </x:c>
      <x:c r="D2025" s="87" t="str">
        <x:v>Апрель 2026</x:v>
      </x:c>
      <x:c r="E2025" s="87"/>
      <x:c r="F2025" s="87"/>
      <x:c r="G2025" s="87" t="str">
        <x:v>Обществознание</x:v>
      </x:c>
      <x:c r="H2025" s="87" t="n">
        <x:v>11</x:v>
      </x:c>
      <x:c r="I2025" s="87" t="str">
        <x:v>ТР №6</x:v>
      </x:c>
      <x:c r="J2025" s="87" t="str">
        <x:v>ОБ2510601</x:v>
      </x:c>
      <x:c r="K2025" s="87" t="n">
        <x:v>12</x:v>
      </x:c>
      <x:c r="L2025" s="87" t="str">
        <x:v>Основы конституционного строя</x:v>
      </x:c>
      <x:c r="M2025" s="30" t="str">
        <x:v>Выберите в приведённом списке положения, характеризующие основы конституционного строя Российской Федерации. 1) Признание, соблюдение и защита прав и свобод человека и гражданина — обязанность государства. 2) Никто не может присваивать власть в Российской Федерации. 3) Президент Российской Федерации является гарантом прав и свобод человека и гражданина. 4) Суверенитет Российской Федерации распространяется на всю её территорию. 5) Президент Российской Федерации может принять решение об отставке Правительства Российской Федерации.</x:v>
      </x:c>
      <x:c r="N2025" s="30" t="str">
        <x:v>124</x:v>
      </x:c>
      <x:c r="O2025" s="30" t="str">
        <x:v>Пункты 1, 2 и 4 закрепляют базовые начала: обязанность государства защищать права, запрет присвоения власти и территориальный суверенитет.</x:v>
      </x:c>
      <x:c r="P2025" s="30" t="str">
        <x:v>Задание независимо решено; пункты 1, 2 и 4 закрепляют базовые начала: обязанность государства защищать права, запрет присвоения власти и территориальный суверенитет..</x:v>
      </x:c>
      <x:c r="Q2025" s="30"/>
      <x:c r="R2025" s="30" t="str">
        <x:v>124</x:v>
      </x:c>
      <x:c r="S2025" s="30"/>
      <x:c r="T2025" s="30"/>
      <x:c r="U2025" s="30" t="str">
        <x:v>Расхождений нет.</x:v>
      </x:c>
      <x:c r="V2025" s="87" t="str">
        <x:v>VERIFIED</x:v>
      </x:c>
      <x:c r="W2025" s="87" t="n">
        <x:v>8</x:v>
      </x:c>
      <x:c r="X2025" s="87"/>
      <x:c r="Y2025" s="87"/>
      <x:c r="Z2025" s="87"/>
      <x:c r="AA2025" s="87"/>
      <x:c r="AB2025" s="87"/>
      <x:c r="AC2025" s="87"/>
      <x:c r="AD2025" s="87"/>
      <x:c r="AE2025" s="87"/>
      <x:c r="AF2025" s="87"/>
      <x:c r="AG2025" s="87"/>
      <x:c r="AH2025" s="87"/>
      <x:c r="AI2025" s="30"/>
      <x:c r="AJ2025" s="87" t="str">
        <x:v>master</x:v>
      </x:c>
      <x:c r="AK2025" s="87" t="str">
        <x:v>master-v0.81</x:v>
      </x:c>
      <x:c r="AL2025" s="87" t="str">
        <x:v>statgrad_master_base_v0_81_final(2).xlsx</x:v>
      </x:c>
      <x:c r="AM2025" s="87" t="str">
        <x:v>SOC_Apr_V1</x:v>
      </x:c>
      <x:c r="AN2025" s="87" t="n">
        <x:v>13</x:v>
      </x:c>
    </x:row>
    <x:row r="2026">
      <x:c r="A2026" s="87" t="n">
        <x:v>2025</x:v>
      </x:c>
      <x:c r="B2026" s="87" t="str">
        <x:v>APR-SOC-V1-013</x:v>
      </x:c>
      <x:c r="C2026" s="87" t="str">
        <x:v>СтатГрад</x:v>
      </x:c>
      <x:c r="D2026" s="87" t="str">
        <x:v>Апрель 2026</x:v>
      </x:c>
      <x:c r="E2026" s="87"/>
      <x:c r="F2026" s="87"/>
      <x:c r="G2026" s="87" t="str">
        <x:v>Обществознание</x:v>
      </x:c>
      <x:c r="H2026" s="87" t="n">
        <x:v>11</x:v>
      </x:c>
      <x:c r="I2026" s="87" t="str">
        <x:v>ТР №6</x:v>
      </x:c>
      <x:c r="J2026" s="87" t="str">
        <x:v>ОБ2510601</x:v>
      </x:c>
      <x:c r="K2026" s="87" t="n">
        <x:v>13</x:v>
      </x:c>
      <x:c r="L2026" s="87" t="str">
        <x:v>Органы государственной власти</x:v>
      </x:c>
      <x:c r="M2026" s="30" t="str">
        <x:v>Установите соответствие между полномочиями и субъектами государственной власти Российской Федерации, реализующими эти полномочия: к каждой позиции, данной в первом столбце, подберите соответствующую позицию из второго столбца. ПОЛНОМОЧИЕ СУБЪЕКТ ГОСУДАРСТВЕННОЙ ВЛАСТИ РОССИЙСКОЙ ФЕДЕРАЦИИ А) осуществление помилования 1) Государственная Дума Б) решение вопроса о доверии 2) Совет Федерации Правительству Российской Федерации 3) Президент Российской В) утверждение изменения границ между Федерации субъектами Российской Федерации Г) объявление амнистии Д) руководство внешней политикой Российской Федерации Запишите в таблицу выбранные цифры под соответствующими буквами. А Б В Г Д</x:v>
      </x:c>
      <x:c r="N2026" s="30" t="str">
        <x:v>31213</x:v>
      </x:c>
      <x:c r="O2026" s="30" t="str">
        <x:v>Помилование и внешняя политика относятся к Президенту; доверие Правительству и амнистия — к Государственной Думе; изменение границ субъектов утверждает Совет Федерации.</x:v>
      </x:c>
      <x:c r="P2026" s="30" t="str">
        <x:v>Задание независимо решено; помилование и внешняя политика относятся к президенту.</x:v>
      </x:c>
      <x:c r="Q2026" s="30"/>
      <x:c r="R2026" s="30" t="str">
        <x:v>31213</x:v>
      </x:c>
      <x:c r="S2026" s="30"/>
      <x:c r="T2026" s="30"/>
      <x:c r="U2026" s="30" t="str">
        <x:v>Расхождений нет.</x:v>
      </x:c>
      <x:c r="V2026" s="87" t="str">
        <x:v>VERIFIED</x:v>
      </x:c>
      <x:c r="W2026" s="87" t="n">
        <x:v>8</x:v>
      </x:c>
      <x:c r="X2026" s="87"/>
      <x:c r="Y2026" s="87"/>
      <x:c r="Z2026" s="87"/>
      <x:c r="AA2026" s="87"/>
      <x:c r="AB2026" s="87"/>
      <x:c r="AC2026" s="87"/>
      <x:c r="AD2026" s="87"/>
      <x:c r="AE2026" s="87"/>
      <x:c r="AF2026" s="87"/>
      <x:c r="AG2026" s="87"/>
      <x:c r="AH2026" s="87"/>
      <x:c r="AI2026" s="30"/>
      <x:c r="AJ2026" s="87" t="str">
        <x:v>master</x:v>
      </x:c>
      <x:c r="AK2026" s="87" t="str">
        <x:v>master-v0.81</x:v>
      </x:c>
      <x:c r="AL2026" s="87" t="str">
        <x:v>statgrad_master_base_v0_81_final(2).xlsx</x:v>
      </x:c>
      <x:c r="AM2026" s="87" t="str">
        <x:v>SOC_Apr_V1</x:v>
      </x:c>
      <x:c r="AN2026" s="87" t="n">
        <x:v>14</x:v>
      </x:c>
    </x:row>
    <x:row r="2027">
      <x:c r="A2027" s="87" t="n">
        <x:v>2026</x:v>
      </x:c>
      <x:c r="B2027" s="87" t="str">
        <x:v>APR-SOC-V1-014</x:v>
      </x:c>
      <x:c r="C2027" s="87" t="str">
        <x:v>СтатГрад</x:v>
      </x:c>
      <x:c r="D2027" s="87" t="str">
        <x:v>Апрель 2026</x:v>
      </x:c>
      <x:c r="E2027" s="87"/>
      <x:c r="F2027" s="87"/>
      <x:c r="G2027" s="87" t="str">
        <x:v>Обществознание</x:v>
      </x:c>
      <x:c r="H2027" s="87" t="n">
        <x:v>11</x:v>
      </x:c>
      <x:c r="I2027" s="87" t="str">
        <x:v>ТР №6</x:v>
      </x:c>
      <x:c r="J2027" s="87" t="str">
        <x:v>ОБ2510601</x:v>
      </x:c>
      <x:c r="K2027" s="87" t="n">
        <x:v>14</x:v>
      </x:c>
      <x:c r="L2027" s="87" t="str">
        <x:v>Образовательное право</x:v>
      </x:c>
      <x:c r="M2027" s="30" t="str">
        <x:v>Выберите верные суждения об образовательном праве и образовательных правоотношениях в Российской Федерации и запишите цифры, под которыми они указаны. 1) В Российской Федерации гарантируются общедоступность и бесплатность образования в соответствии с федеральными государственными образовательными стандартами всех видов и уровней образования. 2) Правовое регулирование отношений в сфере образования основывается на принципах признания приоритетности образования и обеспечении права каждого человека на образование, недопустимости дискриминации в сфере образования. 3) Граждане Российской Федерации имеют право на получение дошкольного, начального общего и основного общего образования на родном языке. 4) В сфере образования действует исключительно государственное регулирование отношений. 5) Обучающимся предоставляется право на выбор образовательной организации и формы получения образования.</x:v>
      </x:c>
      <x:c r="N2027" s="30" t="str">
        <x:v>235</x:v>
      </x:c>
      <x:c r="O2027" s="30" t="str">
        <x:v>Верны недискриминация и приоритет образования, право получать общее образование на родном языке и гарантии для обучающихся; бесплатность не распространяется безусловно на все уровни.</x:v>
      </x:c>
      <x:c r="P2027" s="30" t="str">
        <x:v>Задание независимо решено; верны недискриминация и приоритет образования, право получать общее образование на родном языке и гарантии для обучающихся.</x:v>
      </x:c>
      <x:c r="Q2027" s="30"/>
      <x:c r="R2027" s="30" t="str">
        <x:v>235</x:v>
      </x:c>
      <x:c r="S2027" s="30"/>
      <x:c r="T2027" s="30"/>
      <x:c r="U2027" s="30" t="str">
        <x:v>Расхождений нет.</x:v>
      </x:c>
      <x:c r="V2027" s="87" t="str">
        <x:v>VERIFIED</x:v>
      </x:c>
      <x:c r="W2027" s="87" t="n">
        <x:v>9</x:v>
      </x:c>
      <x:c r="X2027" s="87"/>
      <x:c r="Y2027" s="87"/>
      <x:c r="Z2027" s="87"/>
      <x:c r="AA2027" s="87"/>
      <x:c r="AB2027" s="87"/>
      <x:c r="AC2027" s="87"/>
      <x:c r="AD2027" s="87"/>
      <x:c r="AE2027" s="87"/>
      <x:c r="AF2027" s="87"/>
      <x:c r="AG2027" s="87"/>
      <x:c r="AH2027" s="87"/>
      <x:c r="AI2027" s="30"/>
      <x:c r="AJ2027" s="87" t="str">
        <x:v>master</x:v>
      </x:c>
      <x:c r="AK2027" s="87" t="str">
        <x:v>master-v0.81</x:v>
      </x:c>
      <x:c r="AL2027" s="87" t="str">
        <x:v>statgrad_master_base_v0_81_final(2).xlsx</x:v>
      </x:c>
      <x:c r="AM2027" s="87" t="str">
        <x:v>SOC_Apr_V1</x:v>
      </x:c>
      <x:c r="AN2027" s="87" t="n">
        <x:v>15</x:v>
      </x:c>
    </x:row>
    <x:row r="2028">
      <x:c r="A2028" s="87" t="n">
        <x:v>2027</x:v>
      </x:c>
      <x:c r="B2028" s="87" t="str">
        <x:v>APR-SOC-V1-015</x:v>
      </x:c>
      <x:c r="C2028" s="87" t="str">
        <x:v>СтатГрад</x:v>
      </x:c>
      <x:c r="D2028" s="87" t="str">
        <x:v>Апрель 2026</x:v>
      </x:c>
      <x:c r="E2028" s="87"/>
      <x:c r="F2028" s="87"/>
      <x:c r="G2028" s="87" t="str">
        <x:v>Обществознание</x:v>
      </x:c>
      <x:c r="H2028" s="87" t="n">
        <x:v>11</x:v>
      </x:c>
      <x:c r="I2028" s="87" t="str">
        <x:v>ТР №6</x:v>
      </x:c>
      <x:c r="J2028" s="87" t="str">
        <x:v>ОБ2510601</x:v>
      </x:c>
      <x:c r="K2028" s="87" t="n">
        <x:v>15</x:v>
      </x:c>
      <x:c r="L2028" s="87" t="str">
        <x:v>Система права</x:v>
      </x:c>
      <x:c r="M2028" s="30" t="str">
        <x:v>Установите соответствие между отраслями права и их местом в системе права: к каждой позиции, данной в первом столбце, подберите соответствующую позицию из второго столбца. ОТРАСЛЬ ПРАВА МЕСТО В СИСТЕМЕ ПРАВА А) конституционное право 1) частное право Б) трудовое право 2) публичное право В) гражданское право Г) административное право Д) уголовное право Запишите в таблицу выбранные цифры под соответствующими буквами. А Б В Г Д</x:v>
      </x:c>
      <x:c r="N2028" s="30" t="str">
        <x:v>21122</x:v>
      </x:c>
      <x:c r="O2028" s="30" t="str">
        <x:v>Конституционное, административное и уголовное право относятся к публичному; трудовое и гражданское — к частному в принятой для задания классификации.</x:v>
      </x:c>
      <x:c r="P2028" s="30" t="str">
        <x:v>Задание независимо решено; конституционное, административное и уголовное право относятся к публичному.</x:v>
      </x:c>
      <x:c r="Q2028" s="30"/>
      <x:c r="R2028" s="30" t="str">
        <x:v>21122</x:v>
      </x:c>
      <x:c r="S2028" s="30"/>
      <x:c r="T2028" s="30"/>
      <x:c r="U2028" s="30" t="str">
        <x:v>Расхождений нет.</x:v>
      </x:c>
      <x:c r="V2028" s="87" t="str">
        <x:v>VERIFIED</x:v>
      </x:c>
      <x:c r="W2028" s="87" t="n">
        <x:v>9</x:v>
      </x:c>
      <x:c r="X2028" s="87"/>
      <x:c r="Y2028" s="87"/>
      <x:c r="Z2028" s="87"/>
      <x:c r="AA2028" s="87"/>
      <x:c r="AB2028" s="87"/>
      <x:c r="AC2028" s="87"/>
      <x:c r="AD2028" s="87"/>
      <x:c r="AE2028" s="87"/>
      <x:c r="AF2028" s="87"/>
      <x:c r="AG2028" s="87"/>
      <x:c r="AH2028" s="87"/>
      <x:c r="AI2028" s="30"/>
      <x:c r="AJ2028" s="87" t="str">
        <x:v>master</x:v>
      </x:c>
      <x:c r="AK2028" s="87" t="str">
        <x:v>master-v0.81</x:v>
      </x:c>
      <x:c r="AL2028" s="87" t="str">
        <x:v>statgrad_master_base_v0_81_final(2).xlsx</x:v>
      </x:c>
      <x:c r="AM2028" s="87" t="str">
        <x:v>SOC_Apr_V1</x:v>
      </x:c>
      <x:c r="AN2028" s="87" t="n">
        <x:v>16</x:v>
      </x:c>
    </x:row>
    <x:row r="2029">
      <x:c r="A2029" s="87" t="n">
        <x:v>2028</x:v>
      </x:c>
      <x:c r="B2029" s="87" t="str">
        <x:v>APR-SOC-V1-016</x:v>
      </x:c>
      <x:c r="C2029" s="87" t="str">
        <x:v>СтатГрад</x:v>
      </x:c>
      <x:c r="D2029" s="87" t="str">
        <x:v>Апрель 2026</x:v>
      </x:c>
      <x:c r="E2029" s="87"/>
      <x:c r="F2029" s="87"/>
      <x:c r="G2029" s="87" t="str">
        <x:v>Обществознание</x:v>
      </x:c>
      <x:c r="H2029" s="87" t="n">
        <x:v>11</x:v>
      </x:c>
      <x:c r="I2029" s="87" t="str">
        <x:v>ТР №6</x:v>
      </x:c>
      <x:c r="J2029" s="87" t="str">
        <x:v>ОБ2510601</x:v>
      </x:c>
      <x:c r="K2029" s="87" t="n">
        <x:v>16</x:v>
      </x:c>
      <x:c r="L2029" s="87" t="str">
        <x:v>Уголовная ответственность несовершеннолетних</x:v>
      </x:c>
      <x:c r="M2029" s="30" t="str">
        <x:v>Анна готовилась к проверочной работе по теме «Уголовное право» и повторяла вопрос об уголовной ответственности несовершеннолетних. Что из перечисленного ей следует указать в ответе? Запишите цифры, под которыми указаны особенности уголовной ответственности несовершеннолетних в соответствии с Уголовным кодексом Российской Федерации. 1) несовершеннолетний возраст как смягчающее обстоятельство учитывается в совокупности с другими смягчающими и отягчающими обстоятельствами 2) к несовершеннолетним, совершившим преступления, могут быть применены принудительные меры воспитательного воздействия 3) при назначении несовершеннолетнему наказания за совершение тяжкого или особо тяжкого преступления низший предел наказания увеличивается вдвое 4) несовершеннолетними признаются лица, которым ко времени совершения преступления исполнилось шестнадцать, но не исполнилось двадцати лет 5) несовершеннолетний, совершивший преступление, может быть помещён в специальное учебно-воспитательное учреждение закрытого типа 6) штраф, назначенный несовершеннолетнему, по решению суда может взыскиваться с его родителей или иных законных представителей с их согласия Часть 2 Для записи ответов на задания этой части (17–25) используйте отдельный лист. Запишите сначала номер задания (17, 18 и т. д.), а затем развёрнутый ответ на него. Ответы записывайте чётко и разборчиво. Обратите внимание! Не следует в развёрнутом ответе на любое из заданий 17–25 приводить больше позиций (признаков, характеристик, примеров, аргументов и т.д.), чем требуется в задании. Неточности и ошибки в «дополнительных» элементах ответа могут привести к снижению балла за выполнение задания. Прочитайте текст и выполните задания 17–20. Молодёжь – это особая социально-возрастная группа, которая выделяется на основе возраста и статуса в обществе: переход от детства и юности к социальной ответственности. В социологических исследованиях традиционным является стратификационный подход, при котором молодёжь определяется как особая социально-демографическая группа, ограниченная возрастными рамками, со своими специфическими социальными ролями, статусом и социальными позициями. Социальные особенности молодёжи объясняются как специфической позицией, которую она занимает в процессе воспроизводства социальной структуры, так и способностями не только наследовать, но и преобразовывать сложившиеся общественные отношения. Выделяют также субкультурный и конфликтологический исследовательские подходы. Первый описывает молодость как особую «противоречивую» поведенческую фазу в жизни каждого человека, когда человек не играет больше роли ребёнка и в то же время не является полноправным носителем ролей взрослых людей. Конфликтологический подход также опирается на понятие «молодость» как период в жизни человека, полный стрессов, проблем, конфликтов с самим собой и обществом и в этом плане чрезвычайно важный для каждого человека. На этом фоне молодые люди образуют особую социальную группу со своим специфическим образом жизни, стилем поведения, культурными нормами и ценностями. Развёрнутое социологическое исследование молодёжи предполагает единство подходов: молодость как определённая фаза, этап жизненного цикла биологически универсальна, но её конкретные возрастные рамки, связанный с ней социальный статус и социально-психологические особенности имеют социально-историческую природу и зависят от социально-экономических особенностей, общественного строя, культуры общества и специфики социализации в нём. Некоторыми учёными молодёжь понимается как совокупность молодых людей, которым общество предоставляет возможность социального становления, действуя в разных направлениях: обеспечивая их льготами, но ограничивая в дееспособности по различным сферам участия в жизни социума. Молодёжь в значительной части обладает тем, что выгодно отличает её от других групп населения: уровнем социальной мобильности, интеллектуальной активностью и здоровьем. В то же время перед любым обществом стоит вопрос о необходимости минимизации издержек и потерь, которые несёт страна из-за проблем, связанных с социализацией молодых людей и интеграцией их в единое экономическое, политическое и социокультурное пространство. (По М.С. Прошину)</x:v>
      </x:c>
      <x:c r="N2029" s="30" t="str">
        <x:v>1256</x:v>
      </x:c>
      <x:c r="O2029" s="30" t="str">
        <x:v>Несовершеннолетие учитывается как смягчающее, возможны воспитательные меры, а наказания имеют специальные ограничения; неверные пункты противоречат УК РФ.</x:v>
      </x:c>
      <x:c r="P2029" s="30" t="str">
        <x:v>Задание независимо решено; несовершеннолетие учитывается как смягчающее, возможны воспитательные меры, а наказания имеют специальные ограничения.</x:v>
      </x:c>
      <x:c r="Q2029" s="30"/>
      <x:c r="R2029" s="30" t="str">
        <x:v>1256</x:v>
      </x:c>
      <x:c r="S2029" s="30"/>
      <x:c r="T2029" s="30"/>
      <x:c r="U2029" s="30" t="str">
        <x:v>Расхождений нет.</x:v>
      </x:c>
      <x:c r="V2029" s="87" t="str">
        <x:v>VERIFIED</x:v>
      </x:c>
      <x:c r="W2029" s="87" t="n">
        <x:v>10</x:v>
      </x:c>
      <x:c r="X2029" s="87"/>
      <x:c r="Y2029" s="87"/>
      <x:c r="Z2029" s="87"/>
      <x:c r="AA2029" s="87"/>
      <x:c r="AB2029" s="87"/>
      <x:c r="AC2029" s="87"/>
      <x:c r="AD2029" s="87"/>
      <x:c r="AE2029" s="87"/>
      <x:c r="AF2029" s="87"/>
      <x:c r="AG2029" s="87"/>
      <x:c r="AH2029" s="87"/>
      <x:c r="AI2029" s="30"/>
      <x:c r="AJ2029" s="87" t="str">
        <x:v>master</x:v>
      </x:c>
      <x:c r="AK2029" s="87" t="str">
        <x:v>master-v0.81</x:v>
      </x:c>
      <x:c r="AL2029" s="87" t="str">
        <x:v>statgrad_master_base_v0_81_final(2).xlsx</x:v>
      </x:c>
      <x:c r="AM2029" s="87" t="str">
        <x:v>SOC_Apr_V1</x:v>
      </x:c>
      <x:c r="AN2029" s="87" t="n">
        <x:v>17</x:v>
      </x:c>
    </x:row>
    <x:row r="2030">
      <x:c r="A2030" s="87" t="n">
        <x:v>2029</x:v>
      </x:c>
      <x:c r="B2030" s="87" t="str">
        <x:v>APR-SOC-V1-017</x:v>
      </x:c>
      <x:c r="C2030" s="87" t="str">
        <x:v>СтатГрад</x:v>
      </x:c>
      <x:c r="D2030" s="87" t="str">
        <x:v>Апрель 2026</x:v>
      </x:c>
      <x:c r="E2030" s="87"/>
      <x:c r="F2030" s="87"/>
      <x:c r="G2030" s="87" t="str">
        <x:v>Обществознание</x:v>
      </x:c>
      <x:c r="H2030" s="87" t="n">
        <x:v>11</x:v>
      </x:c>
      <x:c r="I2030" s="87" t="str">
        <x:v>ТР №6</x:v>
      </x:c>
      <x:c r="J2030" s="87" t="str">
        <x:v>ОБ2510601</x:v>
      </x:c>
      <x:c r="K2030" s="87" t="n">
        <x:v>17</x:v>
      </x:c>
      <x:c r="L2030" s="87" t="str">
        <x:v>Анализ текста: молодёжь</x:v>
      </x:c>
      <x:c r="M2030" s="30" t="str">
        <x:v>Какое противоречие молодости как поведенческой фазы упоминает автор? Как, по мнению автора, объясняются социальные особенности молодёжи в рамках стратификационного подхода? (Укажите три позиции.) По каким направлениям обеспечивает общество возможности социального становления молодых людей? (Укажите два направления.)</x:v>
      </x:c>
      <x:c r="N2030" s="30" t="str">
        <x:v>1) Молодой человек уже не играет роль ребёнка, но ещё не является полноправным носителем ролей взрослого. 2) Особенности молодёжи объясняются её специфической позицией в воспроизводстве социальной структуры, способностью наследовать общественные отношения и способностью преобразовывать их. 3) Общество предоставляет молодым людям льготы и одновременно ограничивает их дееспособность в отдельных сферах участия.</x:v>
      </x:c>
      <x:c r="O2030" s="30" t="str">
        <x:v>Назвать противоречие; три основания стратификационного объяснения; два направления общественной поддержки становления.</x:v>
      </x:c>
      <x:c r="P2030" s="30" t="str">
        <x:v>Проверено по структуре официального критерия: все требуемые элементы присутствуют, лишних позиций нет.</x:v>
      </x:c>
      <x:c r="Q2030" s="30"/>
      <x:c r="R2030" s="30" t="str">
        <x:v>Официальные критерии развёрнутого ответа; см. SOC_Apr_Criteria_LOCKED</x:v>
      </x:c>
      <x:c r="S2030" s="30"/>
      <x:c r="T2030" s="30"/>
      <x:c r="U2030" s="30" t="str">
        <x:v>Модель соответствует критериям; допустимы иные корректные формулировки.</x:v>
      </x:c>
      <x:c r="V2030" s="87" t="str">
        <x:v>VERIFIED</x:v>
      </x:c>
      <x:c r="W2030" s="87" t="n">
        <x:v>12</x:v>
      </x:c>
      <x:c r="X2030" s="87"/>
      <x:c r="Y2030" s="87"/>
      <x:c r="Z2030" s="87"/>
      <x:c r="AA2030" s="87"/>
      <x:c r="AB2030" s="87"/>
      <x:c r="AC2030" s="87"/>
      <x:c r="AD2030" s="87"/>
      <x:c r="AE2030" s="87"/>
      <x:c r="AF2030" s="87"/>
      <x:c r="AG2030" s="87"/>
      <x:c r="AH2030" s="87"/>
      <x:c r="AI2030" s="30"/>
      <x:c r="AJ2030" s="87" t="str">
        <x:v>master</x:v>
      </x:c>
      <x:c r="AK2030" s="87" t="str">
        <x:v>master-v0.81</x:v>
      </x:c>
      <x:c r="AL2030" s="87" t="str">
        <x:v>statgrad_master_base_v0_81_final(2).xlsx</x:v>
      </x:c>
      <x:c r="AM2030" s="87" t="str">
        <x:v>SOC_Apr_V1</x:v>
      </x:c>
      <x:c r="AN2030" s="87" t="n">
        <x:v>18</x:v>
      </x:c>
    </x:row>
    <x:row r="2031">
      <x:c r="A2031" s="87" t="n">
        <x:v>2030</x:v>
      </x:c>
      <x:c r="B2031" s="87" t="str">
        <x:v>APR-SOC-V1-018</x:v>
      </x:c>
      <x:c r="C2031" s="87" t="str">
        <x:v>СтатГрад</x:v>
      </x:c>
      <x:c r="D2031" s="87" t="str">
        <x:v>Апрель 2026</x:v>
      </x:c>
      <x:c r="E2031" s="87"/>
      <x:c r="F2031" s="87"/>
      <x:c r="G2031" s="87" t="str">
        <x:v>Обществознание</x:v>
      </x:c>
      <x:c r="H2031" s="87" t="n">
        <x:v>11</x:v>
      </x:c>
      <x:c r="I2031" s="87" t="str">
        <x:v>ТР №6</x:v>
      </x:c>
      <x:c r="J2031" s="87" t="str">
        <x:v>ОБ2510601</x:v>
      </x:c>
      <x:c r="K2031" s="87" t="n">
        <x:v>18</x:v>
      </x:c>
      <x:c r="L2031" s="87" t="str">
        <x:v>Социализация и подходы к молодёжи</x:v>
      </x:c>
      <x:c r="M2031" s="30" t="str">
        <x:v>В тексте упомянуты ключевые понятия социально-гуманитарных наук. Используя обществоведческие знания, – укажите не менее трёх признаков процесса социализации личности; – объясните упомянутую в тексте связь между субкультурным и конфликтологическим исследовательскими подходами. (Объяснение может быть дано в одном или нескольких распространённых предложениях.)</x:v>
      </x:c>
      <x:c r="N2031" s="30" t="str">
        <x:v>Признаки социализации: формирование социальных качеств; усвоение норм и ценностей; включение во взаимодействие с обществом; освоение социальных ролей. Оба подхода рассматривают молодость как сложный переходный период: субкультурный подчёркивает противоречивость статуса и особые нормы группы, конфликтологический — стрессы и конфликты молодого человека с собой и обществом.</x:v>
      </x:c>
      <x:c r="O2031" s="30" t="str">
        <x:v>Указать не менее трёх признаков социализации и объяснить связь субкультурного и конфликтологического подходов.</x:v>
      </x:c>
      <x:c r="P2031" s="30" t="str">
        <x:v>Проверено по структуре официального критерия: все требуемые элементы присутствуют, лишних позиций нет.</x:v>
      </x:c>
      <x:c r="Q2031" s="30"/>
      <x:c r="R2031" s="30" t="str">
        <x:v>Официальные критерии развёрнутого ответа; см. SOC_Apr_Criteria_LOCKED</x:v>
      </x:c>
      <x:c r="S2031" s="30"/>
      <x:c r="T2031" s="30"/>
      <x:c r="U2031" s="30" t="str">
        <x:v>Модель соответствует критериям; допустимы иные корректные формулировки.</x:v>
      </x:c>
      <x:c r="V2031" s="87" t="str">
        <x:v>VERIFIED</x:v>
      </x:c>
      <x:c r="W2031" s="87" t="n">
        <x:v>12</x:v>
      </x:c>
      <x:c r="X2031" s="87"/>
      <x:c r="Y2031" s="87"/>
      <x:c r="Z2031" s="87"/>
      <x:c r="AA2031" s="87"/>
      <x:c r="AB2031" s="87"/>
      <x:c r="AC2031" s="87"/>
      <x:c r="AD2031" s="87"/>
      <x:c r="AE2031" s="87"/>
      <x:c r="AF2031" s="87"/>
      <x:c r="AG2031" s="87"/>
      <x:c r="AH2031" s="87"/>
      <x:c r="AI2031" s="30"/>
      <x:c r="AJ2031" s="87" t="str">
        <x:v>master</x:v>
      </x:c>
      <x:c r="AK2031" s="87" t="str">
        <x:v>master-v0.81</x:v>
      </x:c>
      <x:c r="AL2031" s="87" t="str">
        <x:v>statgrad_master_base_v0_81_final(2).xlsx</x:v>
      </x:c>
      <x:c r="AM2031" s="87" t="str">
        <x:v>SOC_Apr_V1</x:v>
      </x:c>
      <x:c r="AN2031" s="87" t="n">
        <x:v>19</x:v>
      </x:c>
    </x:row>
    <x:row r="2032">
      <x:c r="A2032" s="87" t="n">
        <x:v>2031</x:v>
      </x:c>
      <x:c r="B2032" s="87" t="str">
        <x:v>APR-SOC-V1-019</x:v>
      </x:c>
      <x:c r="C2032" s="87" t="str">
        <x:v>СтатГрад</x:v>
      </x:c>
      <x:c r="D2032" s="87" t="str">
        <x:v>Апрель 2026</x:v>
      </x:c>
      <x:c r="E2032" s="87"/>
      <x:c r="F2032" s="87"/>
      <x:c r="G2032" s="87" t="str">
        <x:v>Обществознание</x:v>
      </x:c>
      <x:c r="H2032" s="87" t="n">
        <x:v>11</x:v>
      </x:c>
      <x:c r="I2032" s="87" t="str">
        <x:v>ТР №6</x:v>
      </x:c>
      <x:c r="J2032" s="87" t="str">
        <x:v>ОБ2510601</x:v>
      </x:c>
      <x:c r="K2032" s="87" t="n">
        <x:v>19</x:v>
      </x:c>
      <x:c r="L2032" s="87" t="str">
        <x:v>Возрастные ограничения</x:v>
      </x:c>
      <x:c r="M2032" s="30" t="str">
        <x:v>Используя обществоведческие знания, факты общественной жизни и личный социальный опыт, проиллюстрируйте конкретными примерами три возрастных ограничения, действующих в рамках правового статуса представителя молодёжи. (Каждый пример должен быть сформулирован развёрнуто. Примеры не должны дублировать друг друга по содержанию.)</x:v>
      </x:c>
      <x:c r="N2032" s="30" t="str">
        <x:v>1) При продаже газовой зажигалки несовершеннолетнему Игорю продавец потребовал паспорт и отказал в продаже до подтверждения установленного возраста. 2) Николай смог вступить в политическую партию только после достижения 18 лет. 3) Двадцатилетний гражданин не может быть избран депутатом Государственной Думы; такое право возникает с 21 года.</x:v>
      </x:c>
      <x:c r="O2032" s="30" t="str">
        <x:v>Привести ровно три развёрнутых и различных примера возрастных ограничений.</x:v>
      </x:c>
      <x:c r="P2032" s="30" t="str">
        <x:v>Проверено по структуре официального критерия: все требуемые элементы присутствуют, лишних позиций нет.</x:v>
      </x:c>
      <x:c r="Q2032" s="30"/>
      <x:c r="R2032" s="30" t="str">
        <x:v>Официальные критерии развёрнутого ответа; см. SOC_Apr_Criteria_LOCKED</x:v>
      </x:c>
      <x:c r="S2032" s="30"/>
      <x:c r="T2032" s="30"/>
      <x:c r="U2032" s="30" t="str">
        <x:v>Модель соответствует критериям; допустимы иные корректные формулировки.</x:v>
      </x:c>
      <x:c r="V2032" s="87" t="str">
        <x:v>VERIFIED</x:v>
      </x:c>
      <x:c r="W2032" s="87" t="n">
        <x:v>12</x:v>
      </x:c>
      <x:c r="X2032" s="87"/>
      <x:c r="Y2032" s="87"/>
      <x:c r="Z2032" s="87"/>
      <x:c r="AA2032" s="87"/>
      <x:c r="AB2032" s="87"/>
      <x:c r="AC2032" s="87"/>
      <x:c r="AD2032" s="87"/>
      <x:c r="AE2032" s="87"/>
      <x:c r="AF2032" s="87"/>
      <x:c r="AG2032" s="87"/>
      <x:c r="AH2032" s="87"/>
      <x:c r="AI2032" s="30"/>
      <x:c r="AJ2032" s="87" t="str">
        <x:v>master</x:v>
      </x:c>
      <x:c r="AK2032" s="87" t="str">
        <x:v>master-v0.81</x:v>
      </x:c>
      <x:c r="AL2032" s="87" t="str">
        <x:v>statgrad_master_base_v0_81_final(2).xlsx</x:v>
      </x:c>
      <x:c r="AM2032" s="87" t="str">
        <x:v>SOC_Apr_V1</x:v>
      </x:c>
      <x:c r="AN2032" s="87" t="n">
        <x:v>20</x:v>
      </x:c>
    </x:row>
    <x:row r="2033">
      <x:c r="A2033" s="87" t="n">
        <x:v>2032</x:v>
      </x:c>
      <x:c r="B2033" s="87" t="str">
        <x:v>APR-SOC-V1-020</x:v>
      </x:c>
      <x:c r="C2033" s="87" t="str">
        <x:v>СтатГрад</x:v>
      </x:c>
      <x:c r="D2033" s="87" t="str">
        <x:v>Апрель 2026</x:v>
      </x:c>
      <x:c r="E2033" s="87"/>
      <x:c r="F2033" s="87"/>
      <x:c r="G2033" s="87" t="str">
        <x:v>Обществознание</x:v>
      </x:c>
      <x:c r="H2033" s="87" t="n">
        <x:v>11</x:v>
      </x:c>
      <x:c r="I2033" s="87" t="str">
        <x:v>ТР №6</x:v>
      </x:c>
      <x:c r="J2033" s="87" t="str">
        <x:v>ОБ2510601</x:v>
      </x:c>
      <x:c r="K2033" s="87" t="n">
        <x:v>20</x:v>
      </x:c>
      <x:c r="L2033" s="87" t="str">
        <x:v>Социальная мобильность молодёжи</x:v>
      </x:c>
      <x:c r="M2033" s="30" t="str">
        <x:v>Используя обществоведческие знания, приведите три объяснения более высокого уровня социальной мобильности молодёжи по сравнению с другими социально-демографическими группами. (Каждое объяснение должно быть сформулировано как распространённое предложение.)</x:v>
      </x:c>
      <x:c r="N2033" s="30" t="str">
        <x:v>1) Молодым людям необходимо получить профессиональный статус, а выбор профессии и начало трудовой деятельности меняют их социальное положение. 2) Значительная часть молодёжи продолжает обучение, и переход между уровнями образования создаёт новые статусы. 3) Молодые люди активнее включаются в новые общественные и профессиональные практики и легче осваивают новые роли.</x:v>
      </x:c>
      <x:c r="O2033" s="30" t="str">
        <x:v>Привести ровно три объяснения повышенной мобильности молодёжи, каждое распространённым предложением.</x:v>
      </x:c>
      <x:c r="P2033" s="30" t="str">
        <x:v>Проверено по структуре официального критерия: все требуемые элементы присутствуют, лишних позиций нет.</x:v>
      </x:c>
      <x:c r="Q2033" s="30"/>
      <x:c r="R2033" s="30" t="str">
        <x:v>Официальные критерии развёрнутого ответа; см. SOC_Apr_Criteria_LOCKED</x:v>
      </x:c>
      <x:c r="S2033" s="30"/>
      <x:c r="T2033" s="30"/>
      <x:c r="U2033" s="30" t="str">
        <x:v>Модель соответствует критериям; допустимы иные корректные формулировки.</x:v>
      </x:c>
      <x:c r="V2033" s="87" t="str">
        <x:v>VERIFIED</x:v>
      </x:c>
      <x:c r="W2033" s="87" t="n">
        <x:v>12</x:v>
      </x:c>
      <x:c r="X2033" s="87"/>
      <x:c r="Y2033" s="87"/>
      <x:c r="Z2033" s="87"/>
      <x:c r="AA2033" s="87"/>
      <x:c r="AB2033" s="87"/>
      <x:c r="AC2033" s="87"/>
      <x:c r="AD2033" s="87"/>
      <x:c r="AE2033" s="87"/>
      <x:c r="AF2033" s="87"/>
      <x:c r="AG2033" s="87"/>
      <x:c r="AH2033" s="87"/>
      <x:c r="AI2033" s="30"/>
      <x:c r="AJ2033" s="87" t="str">
        <x:v>master</x:v>
      </x:c>
      <x:c r="AK2033" s="87" t="str">
        <x:v>master-v0.81</x:v>
      </x:c>
      <x:c r="AL2033" s="87" t="str">
        <x:v>statgrad_master_base_v0_81_final(2).xlsx</x:v>
      </x:c>
      <x:c r="AM2033" s="87" t="str">
        <x:v>SOC_Apr_V1</x:v>
      </x:c>
      <x:c r="AN2033" s="87" t="n">
        <x:v>21</x:v>
      </x:c>
    </x:row>
    <x:row r="2034">
      <x:c r="A2034" s="87" t="n">
        <x:v>2033</x:v>
      </x:c>
      <x:c r="B2034" s="87" t="str">
        <x:v>APR-SOC-V1-021</x:v>
      </x:c>
      <x:c r="C2034" s="87" t="str">
        <x:v>СтатГрад</x:v>
      </x:c>
      <x:c r="D2034" s="87" t="str">
        <x:v>Апрель 2026</x:v>
      </x:c>
      <x:c r="E2034" s="87"/>
      <x:c r="F2034" s="87"/>
      <x:c r="G2034" s="87" t="str">
        <x:v>Обществознание</x:v>
      </x:c>
      <x:c r="H2034" s="87" t="n">
        <x:v>11</x:v>
      </x:c>
      <x:c r="I2034" s="87" t="str">
        <x:v>ТР №6</x:v>
      </x:c>
      <x:c r="J2034" s="87" t="str">
        <x:v>ОБ2510601</x:v>
      </x:c>
      <x:c r="K2034" s="87" t="n">
        <x:v>21</x:v>
      </x:c>
      <x:c r="L2034" s="87" t="str">
        <x:v>Рынок овощей: спрос</x:v>
      </x:c>
      <x:c r="M2034" s="30" t="str">
        <x:v>На графике изображено изменение ситуации P D1 на потребительском рынке овощей, выращенных D S местными фермерами, в стране Z. Кривая спроса на овощи, выращенные местными фермерами, переместилась из положения D в положение D 1 при неизменном предложении S. (На графике P – Q цена товара; Q – количество товара.) Как изменилась равновесная цена? Что могло вызвать изменение спроса? Сначала укажите любое одно обстоятельство (фактор), затем объясните его влияние на спрос (обязательно укажите характер изменения спроса). (Объяснение должно быть дано применительно к рынку, указанному в тексте задания.) Как изменятся предложение и равновесная цена на данном рынке, если при прочих равных условиях подорожают рассада и семена овощей?</x:v>
      </x:c>
      <x:c r="N2034" s="30" t="str">
        <x:v>Равновесная цена выросла, поскольку спрос сместился вправо. Например, жители стали считать продукцию местных фермеров более свежей и экологичной, поэтому спрос на неё увеличился при каждой цене. Если подорожают семена и рассада, издержки фермеров возрастут, предложение сократится, а равновесная цена повысится.</x:v>
      </x:c>
      <x:c r="O2034" s="30" t="str">
        <x:v>Определить цену; назвать фактор и объяснить рост спроса; определить изменение предложения и цены при росте издержек.</x:v>
      </x:c>
      <x:c r="P2034" s="30" t="str">
        <x:v>Проверено по структуре официального критерия: все требуемые элементы присутствуют, лишних позиций нет.</x:v>
      </x:c>
      <x:c r="Q2034" s="30"/>
      <x:c r="R2034" s="30" t="str">
        <x:v>Официальные критерии развёрнутого ответа; см. SOC_Apr_Criteria_LOCKED</x:v>
      </x:c>
      <x:c r="S2034" s="30"/>
      <x:c r="T2034" s="30"/>
      <x:c r="U2034" s="30" t="str">
        <x:v>Модель соответствует критериям; допустимы иные корректные формулировки.</x:v>
      </x:c>
      <x:c r="V2034" s="87" t="str">
        <x:v>VERIFIED</x:v>
      </x:c>
      <x:c r="W2034" s="87" t="n">
        <x:v>13</x:v>
      </x:c>
      <x:c r="X2034" s="87"/>
      <x:c r="Y2034" s="87"/>
      <x:c r="Z2034" s="87"/>
      <x:c r="AA2034" s="87"/>
      <x:c r="AB2034" s="87"/>
      <x:c r="AC2034" s="87"/>
      <x:c r="AD2034" s="87"/>
      <x:c r="AE2034" s="87"/>
      <x:c r="AF2034" s="87"/>
      <x:c r="AG2034" s="87"/>
      <x:c r="AH2034" s="87"/>
      <x:c r="AI2034" s="30"/>
      <x:c r="AJ2034" s="87" t="str">
        <x:v>master</x:v>
      </x:c>
      <x:c r="AK2034" s="87" t="str">
        <x:v>master-v0.81</x:v>
      </x:c>
      <x:c r="AL2034" s="87" t="str">
        <x:v>statgrad_master_base_v0_81_final(2).xlsx</x:v>
      </x:c>
      <x:c r="AM2034" s="87" t="str">
        <x:v>SOC_Apr_V1</x:v>
      </x:c>
      <x:c r="AN2034" s="87" t="n">
        <x:v>22</x:v>
      </x:c>
    </x:row>
    <x:row r="2035">
      <x:c r="A2035" s="87" t="n">
        <x:v>2034</x:v>
      </x:c>
      <x:c r="B2035" s="87" t="str">
        <x:v>APR-SOC-V1-022</x:v>
      </x:c>
      <x:c r="C2035" s="87" t="str">
        <x:v>СтатГрад</x:v>
      </x:c>
      <x:c r="D2035" s="87" t="str">
        <x:v>Апрель 2026</x:v>
      </x:c>
      <x:c r="E2035" s="87"/>
      <x:c r="F2035" s="87"/>
      <x:c r="G2035" s="87" t="str">
        <x:v>Обществознание</x:v>
      </x:c>
      <x:c r="H2035" s="87" t="n">
        <x:v>11</x:v>
      </x:c>
      <x:c r="I2035" s="87" t="str">
        <x:v>ТР №6</x:v>
      </x:c>
      <x:c r="J2035" s="87" t="str">
        <x:v>ОБ2510601</x:v>
      </x:c>
      <x:c r="K2035" s="87" t="n">
        <x:v>22</x:v>
      </x:c>
      <x:c r="L2035" s="87" t="str">
        <x:v>Семья и брачный договор</x:v>
      </x:c>
      <x:c r="M2035" s="30" t="str">
        <x:v>Алиса и Евгений Фёдоровы заключили брак 15 лет тому назад, а в этом году приняли решение заключить брачный договор. В семье Фёдоровых двое детей. Алиса и Евгений работают, шестилетняя дочка посещает детский сад, а сын, которому исполнилось четырнадцать лет, учится в школе. Какие отношения между супругами регулирует брачный договор? Какие позиции могли быть включены в брачный договор? (Укажите любые две позиции.) Почему семью Фёдоровых можно отнести к нуклеарной? Какая информация необходима для того, чтобы сделать вывод о выполнении семьёй Фёдоровых функции социального контроля? (Сформулируйте два вопроса, необходимых для получения этой информации.)</x:v>
      </x:c>
      <x:c r="N2035" s="30" t="str">
        <x:v>Брачный договор регулирует имущественные права и обязанности супругов. В него можно включить раздельный режим собственности на недвижимость и порядок участия каждого супруга в семейных расходах. Семья нуклеарная, потому что состоит из супругов и их детей без совместно проживающих других поколений. Вопросы: устанавливают ли родители правила и контролируют ли их соблюдение? применяют ли поощрения и санкции?</x:v>
      </x:c>
      <x:c r="O2035" s="30" t="str">
        <x:v>Назвать предмет договора; две позиции; объяснить нуклеарность; сформулировать два вопроса о социальном контроле.</x:v>
      </x:c>
      <x:c r="P2035" s="30" t="str">
        <x:v>Проверено по структуре официального критерия: все требуемые элементы присутствуют, лишних позиций нет.</x:v>
      </x:c>
      <x:c r="Q2035" s="30"/>
      <x:c r="R2035" s="30" t="str">
        <x:v>Официальные критерии развёрнутого ответа; см. SOC_Apr_Criteria_LOCKED</x:v>
      </x:c>
      <x:c r="S2035" s="30"/>
      <x:c r="T2035" s="30"/>
      <x:c r="U2035" s="30" t="str">
        <x:v>Модель соответствует критериям; допустимы иные корректные формулировки.</x:v>
      </x:c>
      <x:c r="V2035" s="87" t="str">
        <x:v>VERIFIED</x:v>
      </x:c>
      <x:c r="W2035" s="87" t="n">
        <x:v>13</x:v>
      </x:c>
      <x:c r="X2035" s="87"/>
      <x:c r="Y2035" s="87"/>
      <x:c r="Z2035" s="87"/>
      <x:c r="AA2035" s="87"/>
      <x:c r="AB2035" s="87"/>
      <x:c r="AC2035" s="87"/>
      <x:c r="AD2035" s="87"/>
      <x:c r="AE2035" s="87"/>
      <x:c r="AF2035" s="87"/>
      <x:c r="AG2035" s="87"/>
      <x:c r="AH2035" s="87"/>
      <x:c r="AI2035" s="30"/>
      <x:c r="AJ2035" s="87" t="str">
        <x:v>master</x:v>
      </x:c>
      <x:c r="AK2035" s="87" t="str">
        <x:v>master-v0.81</x:v>
      </x:c>
      <x:c r="AL2035" s="87" t="str">
        <x:v>statgrad_master_base_v0_81_final(2).xlsx</x:v>
      </x:c>
      <x:c r="AM2035" s="87" t="str">
        <x:v>SOC_Apr_V1</x:v>
      </x:c>
      <x:c r="AN2035" s="87" t="n">
        <x:v>23</x:v>
      </x:c>
    </x:row>
    <x:row r="2036">
      <x:c r="A2036" s="87" t="n">
        <x:v>2035</x:v>
      </x:c>
      <x:c r="B2036" s="87" t="str">
        <x:v>APR-SOC-V1-023</x:v>
      </x:c>
      <x:c r="C2036" s="87" t="str">
        <x:v>СтатГрад</x:v>
      </x:c>
      <x:c r="D2036" s="87" t="str">
        <x:v>Апрель 2026</x:v>
      </x:c>
      <x:c r="E2036" s="87"/>
      <x:c r="F2036" s="87"/>
      <x:c r="G2036" s="87" t="str">
        <x:v>Обществознание</x:v>
      </x:c>
      <x:c r="H2036" s="87" t="n">
        <x:v>11</x:v>
      </x:c>
      <x:c r="I2036" s="87" t="str">
        <x:v>ТР №6</x:v>
      </x:c>
      <x:c r="J2036" s="87" t="str">
        <x:v>ОБ2510601</x:v>
      </x:c>
      <x:c r="K2036" s="87" t="n">
        <x:v>23</x:v>
      </x:c>
      <x:c r="L2036" s="87" t="str">
        <x:v>Конституционные принципы</x:v>
      </x:c>
      <x:c r="M2036" s="30" t="str">
        <x:v>Конституция Российской Федерации закрепляет основы конституционного строя нашего государства, права и свободы человека и гражданина. На основе статей Конституции Российской Федерации объясните смысл следующих принципов конституционного строя нашего государства: 1) Конституция Российской Федерации имеет высшую юридическую силу; 2) единство экономического пространства; 3) идеологическое многообразие. (Каждое объяснение должно быть сформулировано как распространённое предложение с опорой на конкретное положение Конституции Российской Федерации. Обратите внимание на то, что правильное выполнение задания не требует указания в ответе номеров соответствующих статей Конституции РФ и дословного воспроизведения их содержания.)</x:v>
      </x:c>
      <x:c r="N2036" s="30" t="str">
        <x:v>1) Высшая юридическая сила Конституции означает, что законы и иные акты не должны ей противоречить, а её нормы действуют непосредственно. 2) Единство экономического пространства обеспечивается свободным перемещением товаров, услуг и финансов, поддержкой конкуренции и единой денежной единицей. 3) Идеологическое многообразие означает признание различных взглядов и запрет обязательной государственной идеологии.</x:v>
      </x:c>
      <x:c r="O2036" s="30" t="str">
        <x:v>Дать три распространённых объяснения конституционных принципов.</x:v>
      </x:c>
      <x:c r="P2036" s="30" t="str">
        <x:v>Проверено по структуре официального критерия: все требуемые элементы присутствуют, лишних позиций нет.</x:v>
      </x:c>
      <x:c r="Q2036" s="30"/>
      <x:c r="R2036" s="30" t="str">
        <x:v>Официальные критерии развёрнутого ответа; см. SOC_Apr_Criteria_LOCKED</x:v>
      </x:c>
      <x:c r="S2036" s="30"/>
      <x:c r="T2036" s="30"/>
      <x:c r="U2036" s="30" t="str">
        <x:v>Модель соответствует критериям; допустимы иные корректные формулировки.</x:v>
      </x:c>
      <x:c r="V2036" s="87" t="str">
        <x:v>VERIFIED</x:v>
      </x:c>
      <x:c r="W2036" s="87" t="n">
        <x:v>13</x:v>
      </x:c>
      <x:c r="X2036" s="87"/>
      <x:c r="Y2036" s="87"/>
      <x:c r="Z2036" s="87"/>
      <x:c r="AA2036" s="87"/>
      <x:c r="AB2036" s="87"/>
      <x:c r="AC2036" s="87"/>
      <x:c r="AD2036" s="87"/>
      <x:c r="AE2036" s="87"/>
      <x:c r="AF2036" s="87"/>
      <x:c r="AG2036" s="87"/>
      <x:c r="AH2036" s="87"/>
      <x:c r="AI2036" s="30"/>
      <x:c r="AJ2036" s="87" t="str">
        <x:v>master</x:v>
      </x:c>
      <x:c r="AK2036" s="87" t="str">
        <x:v>master-v0.81</x:v>
      </x:c>
      <x:c r="AL2036" s="87" t="str">
        <x:v>statgrad_master_base_v0_81_final(2).xlsx</x:v>
      </x:c>
      <x:c r="AM2036" s="87" t="str">
        <x:v>SOC_Apr_V1</x:v>
      </x:c>
      <x:c r="AN2036" s="87" t="n">
        <x:v>24</x:v>
      </x:c>
    </x:row>
    <x:row r="2037">
      <x:c r="A2037" s="87" t="n">
        <x:v>2036</x:v>
      </x:c>
      <x:c r="B2037" s="87" t="str">
        <x:v>APR-SOC-V1-024</x:v>
      </x:c>
      <x:c r="C2037" s="87" t="str">
        <x:v>СтатГрад</x:v>
      </x:c>
      <x:c r="D2037" s="87" t="str">
        <x:v>Апрель 2026</x:v>
      </x:c>
      <x:c r="E2037" s="87"/>
      <x:c r="F2037" s="87"/>
      <x:c r="G2037" s="87" t="str">
        <x:v>Обществознание</x:v>
      </x:c>
      <x:c r="H2037" s="87" t="n">
        <x:v>11</x:v>
      </x:c>
      <x:c r="I2037" s="87" t="str">
        <x:v>ТР №6</x:v>
      </x:c>
      <x:c r="J2037" s="87" t="str">
        <x:v>ОБ2510601</x:v>
      </x:c>
      <x:c r="K2037" s="87" t="n">
        <x:v>24</x:v>
      </x:c>
      <x:c r="L2037" s="87" t="str">
        <x:v>Сложный план: финансовые услуги</x:v>
      </x:c>
      <x:c r="M2037" s="30" t="str">
        <x:v>Используя обществоведческие знания, составьте сложный план, позволяющий раскрыть по существу тему «Финансовые услуги».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возможны только два подпункта.)</x:v>
      </x:c>
      <x:c r="N2037" s="30" t="str">
        <x:v>1. Понятие и значение финансовых услуг: а) операции с денежными средствами и активами; б) удовлетворение потребностей граждан и организаций; в) финансовое посредничество. 2. Участники рынка: а) потребители; б) банки, страховщики и инвестиционные организации; в) Банк России и регуляторы. 3. Банковские услуги: а) счета и расчёты; б) вклады; в) кредиты. 4. Страховые услуги: а) личное; б) имущественное; в) ответственности. 5. Инвестиционные услуги: а) брокерские; б) доверительное управление; в) коллективные инвестиции. 6. Платёжные услуги: а) карты и переводы; б) электронные средства; в) дистанционное обслуживание. 7. Защита потребителя: а) раскрытие стоимости и рисков; б) лицензирование и надзор; в) порядок жалоб и противодействие мошенничеству.</x:v>
      </x:c>
      <x:c r="O2037" s="30" t="str">
        <x:v>Составить сложный план минимум с тремя раскрывающими пунктами и необходимой детализацией.</x:v>
      </x:c>
      <x:c r="P2037" s="30" t="str">
        <x:v>Проверено по структуре официального критерия: все требуемые элементы присутствуют, лишних позиций нет.</x:v>
      </x:c>
      <x:c r="Q2037" s="30"/>
      <x:c r="R2037" s="30" t="str">
        <x:v>Официальные критерии развёрнутого ответа; см. SOC_Apr_Criteria_LOCKED</x:v>
      </x:c>
      <x:c r="S2037" s="30"/>
      <x:c r="T2037" s="30"/>
      <x:c r="U2037" s="30" t="str">
        <x:v>Модель соответствует критериям; допустимы иные корректные формулировки.</x:v>
      </x:c>
      <x:c r="V2037" s="87" t="str">
        <x:v>VERIFIED</x:v>
      </x:c>
      <x:c r="W2037" s="87" t="n">
        <x:v>14</x:v>
      </x:c>
      <x:c r="X2037" s="87"/>
      <x:c r="Y2037" s="87"/>
      <x:c r="Z2037" s="87"/>
      <x:c r="AA2037" s="87"/>
      <x:c r="AB2037" s="87"/>
      <x:c r="AC2037" s="87"/>
      <x:c r="AD2037" s="87"/>
      <x:c r="AE2037" s="87"/>
      <x:c r="AF2037" s="87"/>
      <x:c r="AG2037" s="87"/>
      <x:c r="AH2037" s="87"/>
      <x:c r="AI2037" s="30"/>
      <x:c r="AJ2037" s="87" t="str">
        <x:v>master</x:v>
      </x:c>
      <x:c r="AK2037" s="87" t="str">
        <x:v>master-v0.81</x:v>
      </x:c>
      <x:c r="AL2037" s="87" t="str">
        <x:v>statgrad_master_base_v0_81_final(2).xlsx</x:v>
      </x:c>
      <x:c r="AM2037" s="87" t="str">
        <x:v>SOC_Apr_V1</x:v>
      </x:c>
      <x:c r="AN2037" s="87" t="n">
        <x:v>25</x:v>
      </x:c>
    </x:row>
    <x:row r="2038">
      <x:c r="A2038" s="87" t="n">
        <x:v>2037</x:v>
      </x:c>
      <x:c r="B2038" s="87" t="str">
        <x:v>APR-SOC-V1-025</x:v>
      </x:c>
      <x:c r="C2038" s="87" t="str">
        <x:v>СтатГрад</x:v>
      </x:c>
      <x:c r="D2038" s="87" t="str">
        <x:v>Апрель 2026</x:v>
      </x:c>
      <x:c r="E2038" s="87"/>
      <x:c r="F2038" s="87"/>
      <x:c r="G2038" s="87" t="str">
        <x:v>Обществознание</x:v>
      </x:c>
      <x:c r="H2038" s="87" t="n">
        <x:v>11</x:v>
      </x:c>
      <x:c r="I2038" s="87" t="str">
        <x:v>ТР №6</x:v>
      </x:c>
      <x:c r="J2038" s="87" t="str">
        <x:v>ОБ2510601</x:v>
      </x:c>
      <x:c r="K2038" s="87" t="n">
        <x:v>25</x:v>
      </x:c>
      <x:c r="L2038" s="87" t="str">
        <x:v>Финансовая грамотность</x:v>
      </x:c>
      <x:c r="M2038" s="30" t="str">
        <x:v>Используя обществоведческие знания, факты общественной жизни и личный социальный опыт, выполните задания, ответьте на вопрос. 1) Обоснуйте значение финансовой грамотности в современном обществе.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Какие организации / учреждения способствуют формированию финансовой грамотности населения? (Назовите три организации / учреждения.) 3) Приведите по одному примеру, иллюстрирующему роль каждой(-ого) из указанных в пункте 2) организаций / учреждений в формировании финансовой грамотности населения. (Каждый пример должен быть сформулирован развёрнуто.)</x:v>
      </x:c>
      <x:c r="N2038" s="30" t="str">
        <x:v>Финансовая грамотность помогает соотносить доходы и расходы, формировать резерв, оценивать кредитные и инвестиционные риски и распознавать мошенничество. Это снижает чрезмерную задолженность и потери сбережений, повышая устойчивость семей и финансовой системы. Организации: школа, Банк России, коммерческий банк. Примеры: школа учит составлять бюджет и считать переплату; Банк России проводит онлайн-уроки по безопасности; банк объясняет клиентам полную стоимость кредита и правила защиты платёжных данных.</x:v>
      </x:c>
      <x:c r="O2038" s="30" t="str">
        <x:v>Дать связанное обоснование; назвать три учреждения; привести три соответствующих примера.</x:v>
      </x:c>
      <x:c r="P2038" s="30" t="str">
        <x:v>Проверено по структуре официального критерия: все требуемые элементы присутствуют, лишних позиций нет.</x:v>
      </x:c>
      <x:c r="Q2038" s="30"/>
      <x:c r="R2038" s="30" t="str">
        <x:v>Официальные критерии развёрнутого ответа; см. SOC_Apr_Criteria_LOCKED</x:v>
      </x:c>
      <x:c r="S2038" s="30"/>
      <x:c r="T2038" s="30"/>
      <x:c r="U2038" s="30" t="str">
        <x:v>Модель соответствует критериям; допустимы иные корректные формулировки.</x:v>
      </x:c>
      <x:c r="V2038" s="87" t="str">
        <x:v>VERIFIED</x:v>
      </x:c>
      <x:c r="W2038" s="87" t="n">
        <x:v>14</x:v>
      </x:c>
      <x:c r="X2038" s="87"/>
      <x:c r="Y2038" s="87"/>
      <x:c r="Z2038" s="87"/>
      <x:c r="AA2038" s="87"/>
      <x:c r="AB2038" s="87"/>
      <x:c r="AC2038" s="87"/>
      <x:c r="AD2038" s="87"/>
      <x:c r="AE2038" s="87"/>
      <x:c r="AF2038" s="87"/>
      <x:c r="AG2038" s="87"/>
      <x:c r="AH2038" s="87"/>
      <x:c r="AI2038" s="30"/>
      <x:c r="AJ2038" s="87" t="str">
        <x:v>master</x:v>
      </x:c>
      <x:c r="AK2038" s="87" t="str">
        <x:v>master-v0.81</x:v>
      </x:c>
      <x:c r="AL2038" s="87" t="str">
        <x:v>statgrad_master_base_v0_81_final(2).xlsx</x:v>
      </x:c>
      <x:c r="AM2038" s="87" t="str">
        <x:v>SOC_Apr_V1</x:v>
      </x:c>
      <x:c r="AN2038" s="87" t="n">
        <x:v>26</x:v>
      </x:c>
    </x:row>
    <x:row r="2039">
      <x:c r="A2039" s="87" t="n">
        <x:v>2038</x:v>
      </x:c>
      <x:c r="B2039" s="87" t="str">
        <x:v>APR-SOC-V2-001</x:v>
      </x:c>
      <x:c r="C2039" s="87" t="str">
        <x:v>СтатГрад</x:v>
      </x:c>
      <x:c r="D2039" s="87" t="str">
        <x:v>Апрель 2026</x:v>
      </x:c>
      <x:c r="E2039" s="87"/>
      <x:c r="F2039" s="87"/>
      <x:c r="G2039" s="87" t="str">
        <x:v>Обществознание</x:v>
      </x:c>
      <x:c r="H2039" s="87" t="n">
        <x:v>11</x:v>
      </x:c>
      <x:c r="I2039" s="87" t="str">
        <x:v>ТР №6</x:v>
      </x:c>
      <x:c r="J2039" s="87" t="str">
        <x:v>ОБ2510602</x:v>
      </x:c>
      <x:c r="K2039" s="87" t="n">
        <x:v>1</x:v>
      </x:c>
      <x:c r="L2039" s="87" t="str">
        <x:v>Рыночные структуры</x:v>
      </x:c>
      <x:c r="M2039" s="30" t="str">
        <x:v>Ниже приведён перечень типов рыночных структур. Все они, за исключением двух, относятся к рынку несовершенной конкуренции. 1) олигополия; 2) монополистическая конкуренция; 3) монопсония; 4) свободная конкуренция; 5) монополия; 6) нерегулируемая конкуренция. Найдите два типа, «выпадающие» из общего ряда, и запишите в таблицу цифры, под которыми они указаны.</x:v>
      </x:c>
      <x:c r="N2039" s="30" t="str">
        <x:v>46</x:v>
      </x:c>
      <x:c r="O2039" s="30" t="str">
        <x:v>Олигополия, монополистическая конкуренция, монопсония и монополия ограничивают конкуренцию; свободная и нерегулируемая конкуренция выпадают.</x:v>
      </x:c>
      <x:c r="P2039" s="30" t="str">
        <x:v>Задание независимо решено; олигополия, монополистическая конкуренция, монопсония и монополия ограничивают конкуренцию.</x:v>
      </x:c>
      <x:c r="Q2039" s="30"/>
      <x:c r="R2039" s="30" t="str">
        <x:v>46</x:v>
      </x:c>
      <x:c r="S2039" s="30"/>
      <x:c r="T2039" s="30"/>
      <x:c r="U2039" s="30" t="str">
        <x:v>Расхождений нет.</x:v>
      </x:c>
      <x:c r="V2039" s="87" t="str">
        <x:v>VERIFIED</x:v>
      </x:c>
      <x:c r="W2039" s="87" t="n">
        <x:v>2</x:v>
      </x:c>
      <x:c r="X2039" s="87"/>
      <x:c r="Y2039" s="87"/>
      <x:c r="Z2039" s="87"/>
      <x:c r="AA2039" s="87"/>
      <x:c r="AB2039" s="87"/>
      <x:c r="AC2039" s="87"/>
      <x:c r="AD2039" s="87"/>
      <x:c r="AE2039" s="87"/>
      <x:c r="AF2039" s="87"/>
      <x:c r="AG2039" s="87"/>
      <x:c r="AH2039" s="87"/>
      <x:c r="AI2039" s="30"/>
      <x:c r="AJ2039" s="87" t="str">
        <x:v>master</x:v>
      </x:c>
      <x:c r="AK2039" s="87" t="str">
        <x:v>master-v0.81</x:v>
      </x:c>
      <x:c r="AL2039" s="87" t="str">
        <x:v>statgrad_master_base_v0_81_final(2).xlsx</x:v>
      </x:c>
      <x:c r="AM2039" s="87" t="str">
        <x:v>SOC_Apr_V2</x:v>
      </x:c>
      <x:c r="AN2039" s="87" t="n">
        <x:v>2</x:v>
      </x:c>
    </x:row>
    <x:row r="2040">
      <x:c r="A2040" s="87" t="n">
        <x:v>2039</x:v>
      </x:c>
      <x:c r="B2040" s="87" t="str">
        <x:v>APR-SOC-V2-002</x:v>
      </x:c>
      <x:c r="C2040" s="87" t="str">
        <x:v>СтатГрад</x:v>
      </x:c>
      <x:c r="D2040" s="87" t="str">
        <x:v>Апрель 2026</x:v>
      </x:c>
      <x:c r="E2040" s="87"/>
      <x:c r="F2040" s="87"/>
      <x:c r="G2040" s="87" t="str">
        <x:v>Обществознание</x:v>
      </x:c>
      <x:c r="H2040" s="87" t="n">
        <x:v>11</x:v>
      </x:c>
      <x:c r="I2040" s="87" t="str">
        <x:v>ТР №6</x:v>
      </x:c>
      <x:c r="J2040" s="87" t="str">
        <x:v>ОБ2510602</x:v>
      </x:c>
      <x:c r="K2040" s="87" t="n">
        <x:v>2</x:v>
      </x:c>
      <x:c r="L2040" s="87" t="str">
        <x:v>Мировоззрение</x:v>
      </x:c>
      <x:c r="M2040" s="30" t="str">
        <x:v>Выберите верные суждения о мировоззрении и запишите цифры, под которыми они указаны. 1) Опора на личный жизненный опыт человека составляет ядро научного мировоззрения. 2) В отличие от религиозного, обыденное мировоззрение связано с ценностными представлениями о мире. 3) Мировоззренческие ценности определяют отношение к человеку, представление о его месте в природе и обществе, о смысле его жизни. 4) Знания и убеждения как компоненты мировоззрения проявляются в деятельности человека. 5) Основными функциями мировоззрения являются нормативная и коммуникативная.</x:v>
      </x:c>
      <x:c r="N2040" s="30" t="str">
        <x:v>34</x:v>
      </x:c>
      <x:c r="O2040" s="30" t="str">
        <x:v>Мировоззренческие ценности задают отношение человека к миру, а знания и убеждения проявляются в деятельности; остальные формулировки неверно описывают виды или функции мировоззрения.</x:v>
      </x:c>
      <x:c r="P2040" s="30" t="str">
        <x:v>Задание независимо решено; мировоззренческие ценности задают отношение человека к миру, а знания и убеждения проявляются в деятельности.</x:v>
      </x:c>
      <x:c r="Q2040" s="30"/>
      <x:c r="R2040" s="30" t="str">
        <x:v>34</x:v>
      </x:c>
      <x:c r="S2040" s="30"/>
      <x:c r="T2040" s="30"/>
      <x:c r="U2040" s="30" t="str">
        <x:v>Расхождений нет.</x:v>
      </x:c>
      <x:c r="V2040" s="87" t="str">
        <x:v>VERIFIED</x:v>
      </x:c>
      <x:c r="W2040" s="87" t="n">
        <x:v>2</x:v>
      </x:c>
      <x:c r="X2040" s="87"/>
      <x:c r="Y2040" s="87"/>
      <x:c r="Z2040" s="87"/>
      <x:c r="AA2040" s="87"/>
      <x:c r="AB2040" s="87"/>
      <x:c r="AC2040" s="87"/>
      <x:c r="AD2040" s="87"/>
      <x:c r="AE2040" s="87"/>
      <x:c r="AF2040" s="87"/>
      <x:c r="AG2040" s="87"/>
      <x:c r="AH2040" s="87"/>
      <x:c r="AI2040" s="30"/>
      <x:c r="AJ2040" s="87" t="str">
        <x:v>master</x:v>
      </x:c>
      <x:c r="AK2040" s="87" t="str">
        <x:v>master-v0.81</x:v>
      </x:c>
      <x:c r="AL2040" s="87" t="str">
        <x:v>statgrad_master_base_v0_81_final(2).xlsx</x:v>
      </x:c>
      <x:c r="AM2040" s="87" t="str">
        <x:v>SOC_Apr_V2</x:v>
      </x:c>
      <x:c r="AN2040" s="87" t="n">
        <x:v>3</x:v>
      </x:c>
    </x:row>
    <x:row r="2041">
      <x:c r="A2041" s="87" t="n">
        <x:v>2040</x:v>
      </x:c>
      <x:c r="B2041" s="87" t="str">
        <x:v>APR-SOC-V2-003</x:v>
      </x:c>
      <x:c r="C2041" s="87" t="str">
        <x:v>СтатГрад</x:v>
      </x:c>
      <x:c r="D2041" s="87" t="str">
        <x:v>Апрель 2026</x:v>
      </x:c>
      <x:c r="E2041" s="87"/>
      <x:c r="F2041" s="87"/>
      <x:c r="G2041" s="87" t="str">
        <x:v>Обществознание</x:v>
      </x:c>
      <x:c r="H2041" s="87" t="n">
        <x:v>11</x:v>
      </x:c>
      <x:c r="I2041" s="87" t="str">
        <x:v>ТР №6</x:v>
      </x:c>
      <x:c r="J2041" s="87" t="str">
        <x:v>ОБ2510602</x:v>
      </x:c>
      <x:c r="K2041" s="87" t="n">
        <x:v>3</x:v>
      </x:c>
      <x:c r="L2041" s="87" t="str">
        <x:v>Виды искусства</x:v>
      </x:c>
      <x:c r="M2041" s="30" t="str">
        <x:v>Установите соответствие между примерами и видами искусства: к каждой позиции, данной в первом столбце, подберите соответствующую позицию из второго столбца. ПРИМЕР ВИД ИСКУССТВА А) живопись 1) пространственное Б) художественная фотография 2) временное В) цирковое искусство 3) пространственно- Г) музыка временное Д) дизайн Запишите в таблицу выбранные цифры под соответствующими буквами. А Б В Г Д</x:v>
      </x:c>
      <x:c r="N2041" s="30" t="str">
        <x:v>11321</x:v>
      </x:c>
      <x:c r="O2041" s="30" t="str">
        <x:v>Живопись, фотография и дизайн существуют в пространстве; музыка разворачивается во времени; цирк сочетает пространство и время.</x:v>
      </x:c>
      <x:c r="P2041" s="30" t="str">
        <x:v>Задание независимо решено; живопись, фотография и дизайн существуют в пространстве.</x:v>
      </x:c>
      <x:c r="Q2041" s="30"/>
      <x:c r="R2041" s="30" t="str">
        <x:v>11321</x:v>
      </x:c>
      <x:c r="S2041" s="30"/>
      <x:c r="T2041" s="30"/>
      <x:c r="U2041" s="30" t="str">
        <x:v>Расхождений нет.</x:v>
      </x:c>
      <x:c r="V2041" s="87" t="str">
        <x:v>VERIFIED</x:v>
      </x:c>
      <x:c r="W2041" s="87" t="n">
        <x:v>3</x:v>
      </x:c>
      <x:c r="X2041" s="87"/>
      <x:c r="Y2041" s="87"/>
      <x:c r="Z2041" s="87"/>
      <x:c r="AA2041" s="87"/>
      <x:c r="AB2041" s="87"/>
      <x:c r="AC2041" s="87"/>
      <x:c r="AD2041" s="87"/>
      <x:c r="AE2041" s="87"/>
      <x:c r="AF2041" s="87"/>
      <x:c r="AG2041" s="87"/>
      <x:c r="AH2041" s="87"/>
      <x:c r="AI2041" s="30"/>
      <x:c r="AJ2041" s="87" t="str">
        <x:v>master</x:v>
      </x:c>
      <x:c r="AK2041" s="87" t="str">
        <x:v>master-v0.81</x:v>
      </x:c>
      <x:c r="AL2041" s="87" t="str">
        <x:v>statgrad_master_base_v0_81_final(2).xlsx</x:v>
      </x:c>
      <x:c r="AM2041" s="87" t="str">
        <x:v>SOC_Apr_V2</x:v>
      </x:c>
      <x:c r="AN2041" s="87" t="n">
        <x:v>4</x:v>
      </x:c>
    </x:row>
    <x:row r="2042">
      <x:c r="A2042" s="87" t="n">
        <x:v>2041</x:v>
      </x:c>
      <x:c r="B2042" s="87" t="str">
        <x:v>APR-SOC-V2-004</x:v>
      </x:c>
      <x:c r="C2042" s="87" t="str">
        <x:v>СтатГрад</x:v>
      </x:c>
      <x:c r="D2042" s="87" t="str">
        <x:v>Апрель 2026</x:v>
      </x:c>
      <x:c r="E2042" s="87"/>
      <x:c r="F2042" s="87"/>
      <x:c r="G2042" s="87" t="str">
        <x:v>Обществознание</x:v>
      </x:c>
      <x:c r="H2042" s="87" t="n">
        <x:v>11</x:v>
      </x:c>
      <x:c r="I2042" s="87" t="str">
        <x:v>ТР №6</x:v>
      </x:c>
      <x:c r="J2042" s="87" t="str">
        <x:v>ОБ2510602</x:v>
      </x:c>
      <x:c r="K2042" s="87" t="n">
        <x:v>4</x:v>
      </x:c>
      <x:c r="L2042" s="87" t="str">
        <x:v>Тенденции образования</x:v>
      </x:c>
      <x:c r="M2042" s="30" t="str">
        <x:v>Иван много читает и интересуется современной литературой. Он выбрал профессию инженера и поступил в инженерный класс. Его любимый предмет – информатика. После ремонта в школе, где учится Иван, установлены технические приспособления, которые позволяют учиться школьникам с ограниченными возможностями здоровья. Найдите в приведённом списке черты современного образования, которые иллюстрирует данный пример. Запишите цифры, под которыми они указаны. 1) гуманитаризация 2) компьютеризация 3) стандартизация 4) непрерывный характер 5) гуманизация 6) дистанционные формы обучения</x:v>
      </x:c>
      <x:c r="N2042" s="30" t="str">
        <x:v>25</x:v>
      </x:c>
      <x:c r="O2042" s="30" t="str">
        <x:v>Информатика и техническая оснащённость отражают компьютеризацию, а доступность среды для учащихся с ОВЗ — гуманизацию образования.</x:v>
      </x:c>
      <x:c r="P2042" s="30" t="str">
        <x:v>Задание независимо решено; информатика и техническая оснащённость отражают компьютеризацию, а доступность среды для учащихся с овз — гуманизацию образования..</x:v>
      </x:c>
      <x:c r="Q2042" s="30"/>
      <x:c r="R2042" s="30" t="str">
        <x:v>25</x:v>
      </x:c>
      <x:c r="S2042" s="30"/>
      <x:c r="T2042" s="30"/>
      <x:c r="U2042" s="30" t="str">
        <x:v>Расхождений нет.</x:v>
      </x:c>
      <x:c r="V2042" s="87" t="str">
        <x:v>VERIFIED</x:v>
      </x:c>
      <x:c r="W2042" s="87" t="n">
        <x:v>3</x:v>
      </x:c>
      <x:c r="X2042" s="87"/>
      <x:c r="Y2042" s="87"/>
      <x:c r="Z2042" s="87"/>
      <x:c r="AA2042" s="87"/>
      <x:c r="AB2042" s="87"/>
      <x:c r="AC2042" s="87"/>
      <x:c r="AD2042" s="87"/>
      <x:c r="AE2042" s="87"/>
      <x:c r="AF2042" s="87"/>
      <x:c r="AG2042" s="87"/>
      <x:c r="AH2042" s="87"/>
      <x:c r="AI2042" s="30"/>
      <x:c r="AJ2042" s="87" t="str">
        <x:v>master</x:v>
      </x:c>
      <x:c r="AK2042" s="87" t="str">
        <x:v>master-v0.81</x:v>
      </x:c>
      <x:c r="AL2042" s="87" t="str">
        <x:v>statgrad_master_base_v0_81_final(2).xlsx</x:v>
      </x:c>
      <x:c r="AM2042" s="87" t="str">
        <x:v>SOC_Apr_V2</x:v>
      </x:c>
      <x:c r="AN2042" s="87" t="n">
        <x:v>5</x:v>
      </x:c>
    </x:row>
    <x:row r="2043">
      <x:c r="A2043" s="87" t="n">
        <x:v>2042</x:v>
      </x:c>
      <x:c r="B2043" s="87" t="str">
        <x:v>APR-SOC-V2-005</x:v>
      </x:c>
      <x:c r="C2043" s="87" t="str">
        <x:v>СтатГрад</x:v>
      </x:c>
      <x:c r="D2043" s="87" t="str">
        <x:v>Апрель 2026</x:v>
      </x:c>
      <x:c r="E2043" s="87"/>
      <x:c r="F2043" s="87"/>
      <x:c r="G2043" s="87" t="str">
        <x:v>Обществознание</x:v>
      </x:c>
      <x:c r="H2043" s="87" t="n">
        <x:v>11</x:v>
      </x:c>
      <x:c r="I2043" s="87" t="str">
        <x:v>ТР №6</x:v>
      </x:c>
      <x:c r="J2043" s="87" t="str">
        <x:v>ОБ2510602</x:v>
      </x:c>
      <x:c r="K2043" s="87" t="n">
        <x:v>5</x:v>
      </x:c>
      <x:c r="L2043" s="87" t="str">
        <x:v>Рынок труда</x:v>
      </x:c>
      <x:c r="M2043" s="30" t="str">
        <x:v>Выберите верные суждения о рынке труда и запишите цифры, под которыми они указаны. 1) На рынке труда можно купить право на использование способностей работников к труду для создания экономических благ. 2) Спрос и предложение на рынке труда зависят от спроса и предложения на производимые товары. 3) Рынок труда относится к финансовым рынкам. 4) Минимальный размер оплаты труда, установленный государством, определяет наиболее высокий уровень цены на труд. 5) Рынок труда обеспечивает распределение и перераспределение трудовых ресурсов по отраслям экономики.</x:v>
      </x:c>
      <x:c r="N2043" s="30" t="str">
        <x:v>125</x:v>
      </x:c>
      <x:c r="O2043" s="30" t="str">
        <x:v>На рынке труда продаётся право использования способностей к труду; спрос производный от товарного рынка, а рынок перераспределяет трудовые ресурсы.</x:v>
      </x:c>
      <x:c r="P2043" s="30" t="str">
        <x:v>Задание независимо решено; на рынке труда продаётся право использования способностей к труду.</x:v>
      </x:c>
      <x:c r="Q2043" s="30"/>
      <x:c r="R2043" s="30" t="str">
        <x:v>125</x:v>
      </x:c>
      <x:c r="S2043" s="30"/>
      <x:c r="T2043" s="30"/>
      <x:c r="U2043" s="30" t="str">
        <x:v>Расхождений нет.</x:v>
      </x:c>
      <x:c r="V2043" s="87" t="str">
        <x:v>VERIFIED</x:v>
      </x:c>
      <x:c r="W2043" s="87" t="n">
        <x:v>4</x:v>
      </x:c>
      <x:c r="X2043" s="87"/>
      <x:c r="Y2043" s="87"/>
      <x:c r="Z2043" s="87"/>
      <x:c r="AA2043" s="87"/>
      <x:c r="AB2043" s="87"/>
      <x:c r="AC2043" s="87"/>
      <x:c r="AD2043" s="87"/>
      <x:c r="AE2043" s="87"/>
      <x:c r="AF2043" s="87"/>
      <x:c r="AG2043" s="87"/>
      <x:c r="AH2043" s="87"/>
      <x:c r="AI2043" s="30"/>
      <x:c r="AJ2043" s="87" t="str">
        <x:v>master</x:v>
      </x:c>
      <x:c r="AK2043" s="87" t="str">
        <x:v>master-v0.81</x:v>
      </x:c>
      <x:c r="AL2043" s="87" t="str">
        <x:v>statgrad_master_base_v0_81_final(2).xlsx</x:v>
      </x:c>
      <x:c r="AM2043" s="87" t="str">
        <x:v>SOC_Apr_V2</x:v>
      </x:c>
      <x:c r="AN2043" s="87" t="n">
        <x:v>6</x:v>
      </x:c>
    </x:row>
    <x:row r="2044">
      <x:c r="A2044" s="87" t="n">
        <x:v>2043</x:v>
      </x:c>
      <x:c r="B2044" s="87" t="str">
        <x:v>APR-SOC-V2-006</x:v>
      </x:c>
      <x:c r="C2044" s="87" t="str">
        <x:v>СтатГрад</x:v>
      </x:c>
      <x:c r="D2044" s="87" t="str">
        <x:v>Апрель 2026</x:v>
      </x:c>
      <x:c r="E2044" s="87"/>
      <x:c r="F2044" s="87"/>
      <x:c r="G2044" s="87" t="str">
        <x:v>Обществознание</x:v>
      </x:c>
      <x:c r="H2044" s="87" t="n">
        <x:v>11</x:v>
      </x:c>
      <x:c r="I2044" s="87" t="str">
        <x:v>ТР №6</x:v>
      </x:c>
      <x:c r="J2044" s="87" t="str">
        <x:v>ОБ2510602</x:v>
      </x:c>
      <x:c r="K2044" s="87" t="n">
        <x:v>6</x:v>
      </x:c>
      <x:c r="L2044" s="87" t="str">
        <x:v>Факторы экономического роста</x:v>
      </x:c>
      <x:c r="M2044" s="30" t="str">
        <x:v>Установите соответствие между примерами и факторами экономического роста: к каждой позиции, данной в первом столбце, подберите соответствующую позицию из второго столбца. ПРИМЕРЫ: А) рост продолжительности рабочего дня; Б) дополнительный наём работников; В) использование режима экономии; Г) внедрение достижений научно-технического прогресса; Д) повышение квалификации сотрудников. ФАКТОРЫ: 1) интенсивный; 2) экстенсивный.</x:v>
      </x:c>
      <x:c r="N2044" s="30" t="str">
        <x:v>22111</x:v>
      </x:c>
      <x:c r="O2044" s="30" t="str">
        <x:v>Увеличение рабочего времени и числа работников расширяет количество ресурсов; экономия, технологии и квалификация повышают эффективность имеющихся ресурсов.</x:v>
      </x:c>
      <x:c r="P2044" s="30" t="str">
        <x:v>Задание независимо решено; увеличение рабочего времени и числа работников расширяет количество ресурсов.</x:v>
      </x:c>
      <x:c r="Q2044" s="30"/>
      <x:c r="R2044" s="30" t="str">
        <x:v>22111</x:v>
      </x:c>
      <x:c r="S2044" s="30"/>
      <x:c r="T2044" s="30"/>
      <x:c r="U2044" s="30" t="str">
        <x:v>Расхождений нет.</x:v>
      </x:c>
      <x:c r="V2044" s="87" t="str">
        <x:v>VERIFIED</x:v>
      </x:c>
      <x:c r="W2044" s="87" t="n">
        <x:v>4</x:v>
      </x:c>
      <x:c r="X2044" s="87"/>
      <x:c r="Y2044" s="87"/>
      <x:c r="Z2044" s="87"/>
      <x:c r="AA2044" s="87"/>
      <x:c r="AB2044" s="87"/>
      <x:c r="AC2044" s="87"/>
      <x:c r="AD2044" s="87"/>
      <x:c r="AE2044" s="87"/>
      <x:c r="AF2044" s="87"/>
      <x:c r="AG2044" s="87"/>
      <x:c r="AH2044" s="87"/>
      <x:c r="AI2044" s="30"/>
      <x:c r="AJ2044" s="87" t="str">
        <x:v>master</x:v>
      </x:c>
      <x:c r="AK2044" s="87" t="str">
        <x:v>master-v0.81</x:v>
      </x:c>
      <x:c r="AL2044" s="87" t="str">
        <x:v>statgrad_master_base_v0_81_final(2).xlsx</x:v>
      </x:c>
      <x:c r="AM2044" s="87" t="str">
        <x:v>SOC_Apr_V2</x:v>
      </x:c>
      <x:c r="AN2044" s="87" t="n">
        <x:v>7</x:v>
      </x:c>
    </x:row>
    <x:row r="2045">
      <x:c r="A2045" s="87" t="n">
        <x:v>2044</x:v>
      </x:c>
      <x:c r="B2045" s="87" t="str">
        <x:v>APR-SOC-V2-007</x:v>
      </x:c>
      <x:c r="C2045" s="87" t="str">
        <x:v>СтатГрад</x:v>
      </x:c>
      <x:c r="D2045" s="87" t="str">
        <x:v>Апрель 2026</x:v>
      </x:c>
      <x:c r="E2045" s="87"/>
      <x:c r="F2045" s="87"/>
      <x:c r="G2045" s="87" t="str">
        <x:v>Обществознание</x:v>
      </x:c>
      <x:c r="H2045" s="87" t="n">
        <x:v>11</x:v>
      </x:c>
      <x:c r="I2045" s="87" t="str">
        <x:v>ТР №6</x:v>
      </x:c>
      <x:c r="J2045" s="87" t="str">
        <x:v>ОБ2510602</x:v>
      </x:c>
      <x:c r="K2045" s="87" t="n">
        <x:v>7</x:v>
      </x:c>
      <x:c r="L2045" s="87" t="str">
        <x:v>Облигация</x:v>
      </x:c>
      <x:c r="M2045" s="30" t="str">
        <x:v>Алла задумала инвестировать денежные средства в покупку ценных бумаг. Найдите в приведённом списке признаки такого вида ценных бумаг, как облигация. Запишите цифры, под которыми они указаны. 1) является долговой ценной бумагой 2) может быть размещена на открытом рынке 3) свидетельствует о получения доли имущества (собственности) 4) приносит доход в виде процента 5) имеет определённый срок действия 6) в случае ликвидации предприятия предоставляет преимущества в возврате вложенных средств</x:v>
      </x:c>
      <x:c r="N2045" s="30" t="str">
        <x:v>1245</x:v>
      </x:c>
      <x:c r="O2045" s="30" t="str">
        <x:v>Облигация удостоверяет долг, обращается на рынке, приносит процент и имеет срок погашения; она не даёт долю собственности.</x:v>
      </x:c>
      <x:c r="P2045" s="30" t="str">
        <x:v>Задание независимо решено; облигация удостоверяет долг, обращается на рынке, приносит процент и имеет срок погашения.</x:v>
      </x:c>
      <x:c r="Q2045" s="30"/>
      <x:c r="R2045" s="30" t="str">
        <x:v>1245</x:v>
      </x:c>
      <x:c r="S2045" s="30"/>
      <x:c r="T2045" s="30"/>
      <x:c r="U2045" s="30" t="str">
        <x:v>Расхождений нет.</x:v>
      </x:c>
      <x:c r="V2045" s="87" t="str">
        <x:v>VERIFIED</x:v>
      </x:c>
      <x:c r="W2045" s="87" t="n">
        <x:v>5</x:v>
      </x:c>
      <x:c r="X2045" s="87"/>
      <x:c r="Y2045" s="87"/>
      <x:c r="Z2045" s="87"/>
      <x:c r="AA2045" s="87"/>
      <x:c r="AB2045" s="87"/>
      <x:c r="AC2045" s="87"/>
      <x:c r="AD2045" s="87"/>
      <x:c r="AE2045" s="87"/>
      <x:c r="AF2045" s="87"/>
      <x:c r="AG2045" s="87"/>
      <x:c r="AH2045" s="87"/>
      <x:c r="AI2045" s="30"/>
      <x:c r="AJ2045" s="87" t="str">
        <x:v>master</x:v>
      </x:c>
      <x:c r="AK2045" s="87" t="str">
        <x:v>master-v0.81</x:v>
      </x:c>
      <x:c r="AL2045" s="87" t="str">
        <x:v>statgrad_master_base_v0_81_final(2).xlsx</x:v>
      </x:c>
      <x:c r="AM2045" s="87" t="str">
        <x:v>SOC_Apr_V2</x:v>
      </x:c>
      <x:c r="AN2045" s="87" t="n">
        <x:v>8</x:v>
      </x:c>
    </x:row>
    <x:row r="2046">
      <x:c r="A2046" s="87" t="n">
        <x:v>2045</x:v>
      </x:c>
      <x:c r="B2046" s="87" t="str">
        <x:v>APR-SOC-V2-008</x:v>
      </x:c>
      <x:c r="C2046" s="87" t="str">
        <x:v>СтатГрад</x:v>
      </x:c>
      <x:c r="D2046" s="87" t="str">
        <x:v>Апрель 2026</x:v>
      </x:c>
      <x:c r="E2046" s="87"/>
      <x:c r="F2046" s="87"/>
      <x:c r="G2046" s="87" t="str">
        <x:v>Обществознание</x:v>
      </x:c>
      <x:c r="H2046" s="87" t="n">
        <x:v>11</x:v>
      </x:c>
      <x:c r="I2046" s="87" t="str">
        <x:v>ТР №6</x:v>
      </x:c>
      <x:c r="J2046" s="87" t="str">
        <x:v>ОБ2510602</x:v>
      </x:c>
      <x:c r="K2046" s="87" t="n">
        <x:v>8</x:v>
      </x:c>
      <x:c r="L2046" s="87" t="str">
        <x:v>Общественные отношения</x:v>
      </x:c>
      <x:c r="M2046" s="30" t="str">
        <x:v>Выберите верные суждения об общественных отношениях и их регулировании и запишите цифры, под которыми они указаны. 1) Случайный контакт или эпизодическое взаимодействие людей являются примерами общественных отношений. 2) Регулирование общественных отношений и функции социального контроля в современном обществе может осуществлять только государство. 3) Сотрудничество и соперничество, осуществляемые в разных формах, являются проявлением общественных отношений. 4) Общественные отношения характеризуются устойчивостью и повторяемостью взаимодействий между людьми, социальными группами, общностями и институтами. 5) К общественным отношениям относят прогресс и регресс.</x:v>
      </x:c>
      <x:c r="N2046" s="30" t="str">
        <x:v>34</x:v>
      </x:c>
      <x:c r="O2046" s="30" t="str">
        <x:v>Общественные отношения устойчивы и повторяемы; сотрудничество и соперничество являются их формами. Случайный контакт и процессы прогресса/регресса ими не являются.</x:v>
      </x:c>
      <x:c r="P2046" s="30" t="str">
        <x:v>Задание независимо решено; общественные отношения устойчивы и повторяемы.</x:v>
      </x:c>
      <x:c r="Q2046" s="30"/>
      <x:c r="R2046" s="30" t="str">
        <x:v>34</x:v>
      </x:c>
      <x:c r="S2046" s="30"/>
      <x:c r="T2046" s="30"/>
      <x:c r="U2046" s="30" t="str">
        <x:v>Расхождений нет.</x:v>
      </x:c>
      <x:c r="V2046" s="87" t="str">
        <x:v>VERIFIED</x:v>
      </x:c>
      <x:c r="W2046" s="87" t="n">
        <x:v>5</x:v>
      </x:c>
      <x:c r="X2046" s="87"/>
      <x:c r="Y2046" s="87"/>
      <x:c r="Z2046" s="87"/>
      <x:c r="AA2046" s="87"/>
      <x:c r="AB2046" s="87"/>
      <x:c r="AC2046" s="87"/>
      <x:c r="AD2046" s="87"/>
      <x:c r="AE2046" s="87"/>
      <x:c r="AF2046" s="87"/>
      <x:c r="AG2046" s="87"/>
      <x:c r="AH2046" s="87"/>
      <x:c r="AI2046" s="30"/>
      <x:c r="AJ2046" s="87" t="str">
        <x:v>master</x:v>
      </x:c>
      <x:c r="AK2046" s="87" t="str">
        <x:v>master-v0.81</x:v>
      </x:c>
      <x:c r="AL2046" s="87" t="str">
        <x:v>statgrad_master_base_v0_81_final(2).xlsx</x:v>
      </x:c>
      <x:c r="AM2046" s="87" t="str">
        <x:v>SOC_Apr_V2</x:v>
      </x:c>
      <x:c r="AN2046" s="87" t="n">
        <x:v>9</x:v>
      </x:c>
    </x:row>
    <x:row r="2047">
      <x:c r="A2047" s="87" t="n">
        <x:v>2046</x:v>
      </x:c>
      <x:c r="B2047" s="87" t="str">
        <x:v>APR-SOC-V2-009</x:v>
      </x:c>
      <x:c r="C2047" s="87" t="str">
        <x:v>СтатГрад</x:v>
      </x:c>
      <x:c r="D2047" s="87" t="str">
        <x:v>Апрель 2026</x:v>
      </x:c>
      <x:c r="E2047" s="87"/>
      <x:c r="F2047" s="87"/>
      <x:c r="G2047" s="87" t="str">
        <x:v>Обществознание</x:v>
      </x:c>
      <x:c r="H2047" s="87" t="n">
        <x:v>11</x:v>
      </x:c>
      <x:c r="I2047" s="87" t="str">
        <x:v>ТР №6</x:v>
      </x:c>
      <x:c r="J2047" s="87" t="str">
        <x:v>ОБ2510602</x:v>
      </x:c>
      <x:c r="K2047" s="87" t="n">
        <x:v>9</x:v>
      </x:c>
      <x:c r="L2047" s="87" t="str">
        <x:v>Анализ диаграммы</x:v>
      </x:c>
      <x:c r="M2047" s="30" t="str">
        <x:v>Социологи провели опрос совершеннолетних граждан о школьных знаниях из курса географии. Опрошенным было задано пять вопросов. Результаты опросов (количество правильных ответов, в %) приведены на диаграмме. Найдите в приведённом списке выводы, которые можно сделать на основе диаграммы, и запишите цифры, под которыми они указаны. 1) Свыше половины опрошенных в возрасте 18–24 лет дали неправильные ответы на вопросы. 2) Доли опрошенных в возрасте 18–24 лет, 25–34 года и 35–44 года, которые дали два правильных ответа, равны. 3) Среди тех, кто дал пять правильных ответов, доля опрошенных в возрасте 45–59 лет превышает долю опрошенных от 60 лет и старше. 4) Среди опрошенных в возрасте от 60 лет и старше наиболее велика доля тех, кто дал два правильных ответа. 5) Менее 10 % во всех группах опрошенных смогли дать по четыре правильных ответа.</x:v>
      </x:c>
      <x:c r="N2047" s="30" t="str">
        <x:v>45</x:v>
      </x:c>
      <x:c r="O2047" s="30" t="str">
        <x:v>По диаграмме подтверждаются выводы 4 и 5; остальные неверно передают доли и сравнения возрастных групп.</x:v>
      </x:c>
      <x:c r="P2047" s="30" t="str">
        <x:v>Задание независимо решено; по диаграмме подтверждаются выводы 4 и 5.</x:v>
      </x:c>
      <x:c r="Q2047" s="30"/>
      <x:c r="R2047" s="30" t="str">
        <x:v>45</x:v>
      </x:c>
      <x:c r="S2047" s="30"/>
      <x:c r="T2047" s="30"/>
      <x:c r="U2047" s="30" t="str">
        <x:v>Расхождений нет.</x:v>
      </x:c>
      <x:c r="V2047" s="87" t="str">
        <x:v>VERIFIED</x:v>
      </x:c>
      <x:c r="W2047" s="87" t="n">
        <x:v>6</x:v>
      </x:c>
      <x:c r="X2047" s="87"/>
      <x:c r="Y2047" s="87"/>
      <x:c r="Z2047" s="87"/>
      <x:c r="AA2047" s="87"/>
      <x:c r="AB2047" s="87"/>
      <x:c r="AC2047" s="87"/>
      <x:c r="AD2047" s="87"/>
      <x:c r="AE2047" s="87"/>
      <x:c r="AF2047" s="87"/>
      <x:c r="AG2047" s="87"/>
      <x:c r="AH2047" s="87"/>
      <x:c r="AI2047" s="30"/>
      <x:c r="AJ2047" s="87" t="str">
        <x:v>master</x:v>
      </x:c>
      <x:c r="AK2047" s="87" t="str">
        <x:v>master-v0.81</x:v>
      </x:c>
      <x:c r="AL2047" s="87" t="str">
        <x:v>statgrad_master_base_v0_81_final(2).xlsx</x:v>
      </x:c>
      <x:c r="AM2047" s="87" t="str">
        <x:v>SOC_Apr_V2</x:v>
      </x:c>
      <x:c r="AN2047" s="87" t="n">
        <x:v>10</x:v>
      </x:c>
    </x:row>
    <x:row r="2048">
      <x:c r="A2048" s="87" t="n">
        <x:v>2047</x:v>
      </x:c>
      <x:c r="B2048" s="87" t="str">
        <x:v>APR-SOC-V2-010</x:v>
      </x:c>
      <x:c r="C2048" s="87" t="str">
        <x:v>СтатГрад</x:v>
      </x:c>
      <x:c r="D2048" s="87" t="str">
        <x:v>Апрель 2026</x:v>
      </x:c>
      <x:c r="E2048" s="87"/>
      <x:c r="F2048" s="87"/>
      <x:c r="G2048" s="87" t="str">
        <x:v>Обществознание</x:v>
      </x:c>
      <x:c r="H2048" s="87" t="n">
        <x:v>11</x:v>
      </x:c>
      <x:c r="I2048" s="87" t="str">
        <x:v>ТР №6</x:v>
      </x:c>
      <x:c r="J2048" s="87" t="str">
        <x:v>ОБ2510602</x:v>
      </x:c>
      <x:c r="K2048" s="87" t="n">
        <x:v>10</x:v>
      </x:c>
      <x:c r="L2048" s="87" t="str">
        <x:v>СМИ в политике</x:v>
      </x:c>
      <x:c r="M2048" s="30" t="str">
        <x:v>Выберите верные суждения о роли средств массовой информации (СМИ) в политической жизни общества и запишите цифры, под которыми они указаны. 1) Распространяя политическую информацию, СМИ не воздействуют на формирование политических взглядов и ценностей у своей аудитории. 2) Политические СМИ можно рассматривать как компонент нормативной подсистемы. 3) Такая функция СМИ, как формирование общественного мнения, приобретает особое значение в период выборов. 4) Деятельность СМИ в демократическом обществе основана на принципах свободы слова и свободы доступа к информации. 5) При публикации непроверенных политических новостей средство массовой информации нарушает принцип социальной ответственности СМИ.</x:v>
      </x:c>
      <x:c r="N2048" s="30" t="str">
        <x:v>345</x:v>
      </x:c>
      <x:c r="O2048" s="30" t="str">
        <x:v>СМИ формируют общественное мнение, действуют при свободе слова и несут социальную ответственность за проверку информации.</x:v>
      </x:c>
      <x:c r="P2048" s="30" t="str">
        <x:v>Задание независимо решено; сми формируют общественное мнение, действуют при свободе слова и несут социальную ответственность за проверку информации..</x:v>
      </x:c>
      <x:c r="Q2048" s="30"/>
      <x:c r="R2048" s="30" t="str">
        <x:v>345</x:v>
      </x:c>
      <x:c r="S2048" s="30"/>
      <x:c r="T2048" s="30"/>
      <x:c r="U2048" s="30" t="str">
        <x:v>Расхождений нет.</x:v>
      </x:c>
      <x:c r="V2048" s="87" t="str">
        <x:v>VERIFIED</x:v>
      </x:c>
      <x:c r="W2048" s="87" t="n">
        <x:v>7</x:v>
      </x:c>
      <x:c r="X2048" s="87"/>
      <x:c r="Y2048" s="87"/>
      <x:c r="Z2048" s="87"/>
      <x:c r="AA2048" s="87"/>
      <x:c r="AB2048" s="87"/>
      <x:c r="AC2048" s="87"/>
      <x:c r="AD2048" s="87"/>
      <x:c r="AE2048" s="87"/>
      <x:c r="AF2048" s="87"/>
      <x:c r="AG2048" s="87"/>
      <x:c r="AH2048" s="87"/>
      <x:c r="AI2048" s="30"/>
      <x:c r="AJ2048" s="87" t="str">
        <x:v>master</x:v>
      </x:c>
      <x:c r="AK2048" s="87" t="str">
        <x:v>master-v0.81</x:v>
      </x:c>
      <x:c r="AL2048" s="87" t="str">
        <x:v>statgrad_master_base_v0_81_final(2).xlsx</x:v>
      </x:c>
      <x:c r="AM2048" s="87" t="str">
        <x:v>SOC_Apr_V2</x:v>
      </x:c>
      <x:c r="AN2048" s="87" t="n">
        <x:v>11</x:v>
      </x:c>
    </x:row>
    <x:row r="2049">
      <x:c r="A2049" s="87" t="n">
        <x:v>2048</x:v>
      </x:c>
      <x:c r="B2049" s="87" t="str">
        <x:v>APR-SOC-V2-011</x:v>
      </x:c>
      <x:c r="C2049" s="87" t="str">
        <x:v>СтатГрад</x:v>
      </x:c>
      <x:c r="D2049" s="87" t="str">
        <x:v>Апрель 2026</x:v>
      </x:c>
      <x:c r="E2049" s="87"/>
      <x:c r="F2049" s="87"/>
      <x:c r="G2049" s="87" t="str">
        <x:v>Обществознание</x:v>
      </x:c>
      <x:c r="H2049" s="87" t="n">
        <x:v>11</x:v>
      </x:c>
      <x:c r="I2049" s="87" t="str">
        <x:v>ТР №6</x:v>
      </x:c>
      <x:c r="J2049" s="87" t="str">
        <x:v>ОБ2510602</x:v>
      </x:c>
      <x:c r="K2049" s="87" t="n">
        <x:v>11</x:v>
      </x:c>
      <x:c r="L2049" s="87" t="str">
        <x:v>Свобода совести</x:v>
      </x:c>
      <x:c r="M2049" s="30" t="str">
        <x:v>Конституция государства Z провозглашает и гарантирует гражданам свободу совести. Что из перечисленного соответствует приведённому факту? Запишите цифры, под которыми раскрывается принцип свободы совести. 1) в государстве Z запрещены религиозные верования 2) в государстве Z нет государственной религии 3) в государстве Z гарантируется право исповедовать любую религию или быть атеистом 4) в государстве Z отсутствуют религиозные объединения и организации 5) церковь в государстве Z полностью отстраняется от участия в жизни государства и общества 6) верующие граждане государства Z ограничены в политических правах</x:v>
      </x:c>
      <x:c r="N2049" s="30" t="str">
        <x:v>23</x:v>
      </x:c>
      <x:c r="O2049" s="30" t="str">
        <x:v>Свобода совести предполагает отсутствие обязательной государственной религии и возможность исповедовать любую религию либо быть неверующим.</x:v>
      </x:c>
      <x:c r="P2049" s="30" t="str">
        <x:v>Задание независимо решено; свобода совести предполагает отсутствие обязательной государственной религии и возможность исповедовать любую религию либо быть неверующим..</x:v>
      </x:c>
      <x:c r="Q2049" s="30"/>
      <x:c r="R2049" s="30" t="str">
        <x:v>23</x:v>
      </x:c>
      <x:c r="S2049" s="30"/>
      <x:c r="T2049" s="30"/>
      <x:c r="U2049" s="30" t="str">
        <x:v>Расхождений нет.</x:v>
      </x:c>
      <x:c r="V2049" s="87" t="str">
        <x:v>VERIFIED</x:v>
      </x:c>
      <x:c r="W2049" s="87" t="n">
        <x:v>7</x:v>
      </x:c>
      <x:c r="X2049" s="87"/>
      <x:c r="Y2049" s="87"/>
      <x:c r="Z2049" s="87"/>
      <x:c r="AA2049" s="87"/>
      <x:c r="AB2049" s="87"/>
      <x:c r="AC2049" s="87"/>
      <x:c r="AD2049" s="87"/>
      <x:c r="AE2049" s="87"/>
      <x:c r="AF2049" s="87"/>
      <x:c r="AG2049" s="87"/>
      <x:c r="AH2049" s="87"/>
      <x:c r="AI2049" s="30"/>
      <x:c r="AJ2049" s="87" t="str">
        <x:v>master</x:v>
      </x:c>
      <x:c r="AK2049" s="87" t="str">
        <x:v>master-v0.81</x:v>
      </x:c>
      <x:c r="AL2049" s="87" t="str">
        <x:v>statgrad_master_base_v0_81_final(2).xlsx</x:v>
      </x:c>
      <x:c r="AM2049" s="87" t="str">
        <x:v>SOC_Apr_V2</x:v>
      </x:c>
      <x:c r="AN2049" s="87" t="n">
        <x:v>12</x:v>
      </x:c>
    </x:row>
    <x:row r="2050">
      <x:c r="A2050" s="87" t="n">
        <x:v>2049</x:v>
      </x:c>
      <x:c r="B2050" s="87" t="str">
        <x:v>APR-SOC-V2-012</x:v>
      </x:c>
      <x:c r="C2050" s="87" t="str">
        <x:v>СтатГрад</x:v>
      </x:c>
      <x:c r="D2050" s="87" t="str">
        <x:v>Апрель 2026</x:v>
      </x:c>
      <x:c r="E2050" s="87"/>
      <x:c r="F2050" s="87"/>
      <x:c r="G2050" s="87" t="str">
        <x:v>Обществознание</x:v>
      </x:c>
      <x:c r="H2050" s="87" t="n">
        <x:v>11</x:v>
      </x:c>
      <x:c r="I2050" s="87" t="str">
        <x:v>ТР №6</x:v>
      </x:c>
      <x:c r="J2050" s="87" t="str">
        <x:v>ОБ2510602</x:v>
      </x:c>
      <x:c r="K2050" s="87" t="n">
        <x:v>12</x:v>
      </x:c>
      <x:c r="L2050" s="87" t="str">
        <x:v>Культурные права</x:v>
      </x:c>
      <x:c r="M2050" s="30" t="str">
        <x:v>Выберите в приведённом списке положения, характеризующие культурные права граждан Российской Федерации. Запишите цифры, под которыми они указаны. 1) получение достоверной информации о состоянии окружающей среды 2) пользование учреждениями культуры 3) доступ к культурным ценностям 4) выбор рода деятельности и профессии 5) сохранение исторического и культурного наследия</x:v>
      </x:c>
      <x:c r="N2050" s="30" t="str">
        <x:v>23</x:v>
      </x:c>
      <x:c r="O2050" s="30" t="str">
        <x:v>К культурным правам относятся пользование учреждениями культуры и доступ к культурным ценностям; сохранение наследия сформулировано как обязанность.</x:v>
      </x:c>
      <x:c r="P2050" s="30" t="str">
        <x:v>Задание независимо решено; к культурным правам относятся пользование учреждениями культуры и доступ к культурным ценностям.</x:v>
      </x:c>
      <x:c r="Q2050" s="30"/>
      <x:c r="R2050" s="30" t="str">
        <x:v>23</x:v>
      </x:c>
      <x:c r="S2050" s="30"/>
      <x:c r="T2050" s="30"/>
      <x:c r="U2050" s="30" t="str">
        <x:v>Расхождений нет.</x:v>
      </x:c>
      <x:c r="V2050" s="87" t="str">
        <x:v>VERIFIED</x:v>
      </x:c>
      <x:c r="W2050" s="87" t="n">
        <x:v>8</x:v>
      </x:c>
      <x:c r="X2050" s="87"/>
      <x:c r="Y2050" s="87"/>
      <x:c r="Z2050" s="87"/>
      <x:c r="AA2050" s="87"/>
      <x:c r="AB2050" s="87"/>
      <x:c r="AC2050" s="87"/>
      <x:c r="AD2050" s="87"/>
      <x:c r="AE2050" s="87"/>
      <x:c r="AF2050" s="87"/>
      <x:c r="AG2050" s="87"/>
      <x:c r="AH2050" s="87"/>
      <x:c r="AI2050" s="30"/>
      <x:c r="AJ2050" s="87" t="str">
        <x:v>master</x:v>
      </x:c>
      <x:c r="AK2050" s="87" t="str">
        <x:v>master-v0.81</x:v>
      </x:c>
      <x:c r="AL2050" s="87" t="str">
        <x:v>statgrad_master_base_v0_81_final(2).xlsx</x:v>
      </x:c>
      <x:c r="AM2050" s="87" t="str">
        <x:v>SOC_Apr_V2</x:v>
      </x:c>
      <x:c r="AN2050" s="87" t="n">
        <x:v>13</x:v>
      </x:c>
    </x:row>
    <x:row r="2051">
      <x:c r="A2051" s="87" t="n">
        <x:v>2050</x:v>
      </x:c>
      <x:c r="B2051" s="87" t="str">
        <x:v>APR-SOC-V2-013</x:v>
      </x:c>
      <x:c r="C2051" s="87" t="str">
        <x:v>СтатГрад</x:v>
      </x:c>
      <x:c r="D2051" s="87" t="str">
        <x:v>Апрель 2026</x:v>
      </x:c>
      <x:c r="E2051" s="87"/>
      <x:c r="F2051" s="87"/>
      <x:c r="G2051" s="87" t="str">
        <x:v>Обществознание</x:v>
      </x:c>
      <x:c r="H2051" s="87" t="n">
        <x:v>11</x:v>
      </x:c>
      <x:c r="I2051" s="87" t="str">
        <x:v>ТР №6</x:v>
      </x:c>
      <x:c r="J2051" s="87" t="str">
        <x:v>ОБ2510602</x:v>
      </x:c>
      <x:c r="K2051" s="87" t="n">
        <x:v>13</x:v>
      </x:c>
      <x:c r="L2051" s="87" t="str">
        <x:v>Федеральное и совместное ведение</x:v>
      </x:c>
      <x:c r="M2051" s="30" t="str">
        <x:v>Установите соответствие между предметами ведения, полномочиями и уровнями публичной власти в Российской Федерации, к которым эти предметы ведения, полномочия относятся: к каждой позиции, данной в первом столбце, подберите соответствующую позицию из второго столбца. ПРЕДМЕТ ВЕДЕНИЯ, УРОВЕНЬ ПУБЛИЧНОЙ ПОЛНОМОЧИЕ ВЛАСТИ В РОССИЙСКОЙ ФЕДЕРАЦИИ А) социальная защита, включая социальное 1) только федеральный центр обеспечение 2) совместно федеральный Б) внешнеэкономические отношения центр и субъекты Российской Федерации Российской Федерации В) правовое регулирование интеллектуальной собственности Г) выполнение международных договоров Российской Федерации Д) установление общих принципов организации системы органов государственной власти Запишите в таблицу выбранные цифры под соответствующими буквами. А Б В Г Д</x:v>
      </x:c>
      <x:c r="N2051" s="30" t="str">
        <x:v>21122</x:v>
      </x:c>
      <x:c r="O2051" s="30" t="str">
        <x:v>Социальная защита, исполнение международных договоров и общие принципы органов власти — совместное ведение; внешнеэкономические отношения и интеллектуальная собственность — федеральное.</x:v>
      </x:c>
      <x:c r="P2051" s="30" t="str">
        <x:v>Задание независимо решено; социальная защита, исполнение международных договоров и общие принципы органов власти — совместное ведение.</x:v>
      </x:c>
      <x:c r="Q2051" s="30"/>
      <x:c r="R2051" s="30" t="str">
        <x:v>21122</x:v>
      </x:c>
      <x:c r="S2051" s="30"/>
      <x:c r="T2051" s="30"/>
      <x:c r="U2051" s="30" t="str">
        <x:v>Расхождений нет.</x:v>
      </x:c>
      <x:c r="V2051" s="87" t="str">
        <x:v>VERIFIED</x:v>
      </x:c>
      <x:c r="W2051" s="87" t="n">
        <x:v>8</x:v>
      </x:c>
      <x:c r="X2051" s="87"/>
      <x:c r="Y2051" s="87"/>
      <x:c r="Z2051" s="87"/>
      <x:c r="AA2051" s="87"/>
      <x:c r="AB2051" s="87"/>
      <x:c r="AC2051" s="87"/>
      <x:c r="AD2051" s="87"/>
      <x:c r="AE2051" s="87"/>
      <x:c r="AF2051" s="87"/>
      <x:c r="AG2051" s="87"/>
      <x:c r="AH2051" s="87"/>
      <x:c r="AI2051" s="30"/>
      <x:c r="AJ2051" s="87" t="str">
        <x:v>master</x:v>
      </x:c>
      <x:c r="AK2051" s="87" t="str">
        <x:v>master-v0.81</x:v>
      </x:c>
      <x:c r="AL2051" s="87" t="str">
        <x:v>statgrad_master_base_v0_81_final(2).xlsx</x:v>
      </x:c>
      <x:c r="AM2051" s="87" t="str">
        <x:v>SOC_Apr_V2</x:v>
      </x:c>
      <x:c r="AN2051" s="87" t="n">
        <x:v>14</x:v>
      </x:c>
    </x:row>
    <x:row r="2052">
      <x:c r="A2052" s="87" t="n">
        <x:v>2051</x:v>
      </x:c>
      <x:c r="B2052" s="87" t="str">
        <x:v>APR-SOC-V2-014</x:v>
      </x:c>
      <x:c r="C2052" s="87" t="str">
        <x:v>СтатГрад</x:v>
      </x:c>
      <x:c r="D2052" s="87" t="str">
        <x:v>Апрель 2026</x:v>
      </x:c>
      <x:c r="E2052" s="87"/>
      <x:c r="F2052" s="87"/>
      <x:c r="G2052" s="87" t="str">
        <x:v>Обществознание</x:v>
      </x:c>
      <x:c r="H2052" s="87" t="n">
        <x:v>11</x:v>
      </x:c>
      <x:c r="I2052" s="87" t="str">
        <x:v>ТР №6</x:v>
      </x:c>
      <x:c r="J2052" s="87" t="str">
        <x:v>ОБ2510602</x:v>
      </x:c>
      <x:c r="K2052" s="87" t="n">
        <x:v>14</x:v>
      </x:c>
      <x:c r="L2052" s="87" t="str">
        <x:v>Гражданский процесс</x:v>
      </x:c>
      <x:c r="M2052" s="30" t="str">
        <x:v>Выберите верные суждения о гражданском процессуальном праве и запишите цифры, под которыми они указаны. 1) Гражданские споры подлежат рассмотрению в судах общей юрисдикции. 2) Право лично защищать в суде свои права, свободы и законные интересы имеет каждый человек, достигший возраста 14 лет. 3) Сторонами в гражданском судопроизводстве являются истец (взыскатель) и ответчик (должник). 4) Гражданский процесс не предусматривает участия юридических лиц в качестве сторон. 5) Для инициирования гражданского процесса следует направить исковое заявление в суд.</x:v>
      </x:c>
      <x:c r="N2052" s="30" t="str">
        <x:v>135</x:v>
      </x:c>
      <x:c r="O2052" s="30" t="str">
        <x:v>Гражданские споры рассматривают суды общей юрисдикции; участниками являются стороны, а процесс начинается подачей иска. Указанные ограничения 14 лет и запрет юрлиц неверны.</x:v>
      </x:c>
      <x:c r="P2052" s="30" t="str">
        <x:v>Задание независимо решено; гражданские споры рассматривают суды общей юрисдикции.</x:v>
      </x:c>
      <x:c r="Q2052" s="30"/>
      <x:c r="R2052" s="30" t="str">
        <x:v>135</x:v>
      </x:c>
      <x:c r="S2052" s="30"/>
      <x:c r="T2052" s="30"/>
      <x:c r="U2052" s="30" t="str">
        <x:v>Расхождений нет.</x:v>
      </x:c>
      <x:c r="V2052" s="87" t="str">
        <x:v>VERIFIED</x:v>
      </x:c>
      <x:c r="W2052" s="87" t="n">
        <x:v>9</x:v>
      </x:c>
      <x:c r="X2052" s="87"/>
      <x:c r="Y2052" s="87"/>
      <x:c r="Z2052" s="87"/>
      <x:c r="AA2052" s="87"/>
      <x:c r="AB2052" s="87"/>
      <x:c r="AC2052" s="87"/>
      <x:c r="AD2052" s="87"/>
      <x:c r="AE2052" s="87"/>
      <x:c r="AF2052" s="87"/>
      <x:c r="AG2052" s="87"/>
      <x:c r="AH2052" s="87"/>
      <x:c r="AI2052" s="30"/>
      <x:c r="AJ2052" s="87" t="str">
        <x:v>master</x:v>
      </x:c>
      <x:c r="AK2052" s="87" t="str">
        <x:v>master-v0.81</x:v>
      </x:c>
      <x:c r="AL2052" s="87" t="str">
        <x:v>statgrad_master_base_v0_81_final(2).xlsx</x:v>
      </x:c>
      <x:c r="AM2052" s="87" t="str">
        <x:v>SOC_Apr_V2</x:v>
      </x:c>
      <x:c r="AN2052" s="87" t="n">
        <x:v>15</x:v>
      </x:c>
    </x:row>
    <x:row r="2053">
      <x:c r="A2053" s="87" t="n">
        <x:v>2052</x:v>
      </x:c>
      <x:c r="B2053" s="87" t="str">
        <x:v>APR-SOC-V2-015</x:v>
      </x:c>
      <x:c r="C2053" s="87" t="str">
        <x:v>СтатГрад</x:v>
      </x:c>
      <x:c r="D2053" s="87" t="str">
        <x:v>Апрель 2026</x:v>
      </x:c>
      <x:c r="E2053" s="87"/>
      <x:c r="F2053" s="87"/>
      <x:c r="G2053" s="87" t="str">
        <x:v>Обществознание</x:v>
      </x:c>
      <x:c r="H2053" s="87" t="n">
        <x:v>11</x:v>
      </x:c>
      <x:c r="I2053" s="87" t="str">
        <x:v>ТР №6</x:v>
      </x:c>
      <x:c r="J2053" s="87" t="str">
        <x:v>ОБ2510602</x:v>
      </x:c>
      <x:c r="K2053" s="87" t="n">
        <x:v>15</x:v>
      </x:c>
      <x:c r="L2053" s="87" t="str">
        <x:v>Юридические лица</x:v>
      </x:c>
      <x:c r="M2053" s="30" t="str">
        <x:v>Установите соответствие между правовыми формами и видами юридических лиц: к каждой позиции, данной в первом столбце, подберите соответствующую позицию из второго столбца. ПРАВОВАЯ ФОРМА ВИД ЮРИДИЧЕСКОГО ЛИЦА ЮРИДИЧЕСКОГО ЛИЦА А) хозяйственное партнёрство 1) коммерческое Б) крестьянское хозяйство 2) некоммерческое В) муниципальное учреждение Г) общественная организация Д) производственный кооператив Запишите в таблицу выбранные цифры под соответствующими буквами. А Б В Г Д</x:v>
      </x:c>
      <x:c r="N2053" s="30" t="str">
        <x:v>11221</x:v>
      </x:c>
      <x:c r="O2053" s="30" t="str">
        <x:v>Хозяйственное партнёрство, крестьянское хозяйство и производственный кооператив — коммерческие лица; учреждение и общественная организация — некоммерческие.</x:v>
      </x:c>
      <x:c r="P2053" s="30" t="str">
        <x:v>Задание независимо решено; хозяйственное партнёрство, крестьянское хозяйство и производственный кооператив — коммерческие лица.</x:v>
      </x:c>
      <x:c r="Q2053" s="30"/>
      <x:c r="R2053" s="30" t="str">
        <x:v>11221</x:v>
      </x:c>
      <x:c r="S2053" s="30"/>
      <x:c r="T2053" s="30"/>
      <x:c r="U2053" s="30" t="str">
        <x:v>Расхождений нет.</x:v>
      </x:c>
      <x:c r="V2053" s="87" t="str">
        <x:v>VERIFIED</x:v>
      </x:c>
      <x:c r="W2053" s="87" t="n">
        <x:v>9</x:v>
      </x:c>
      <x:c r="X2053" s="87"/>
      <x:c r="Y2053" s="87"/>
      <x:c r="Z2053" s="87"/>
      <x:c r="AA2053" s="87"/>
      <x:c r="AB2053" s="87"/>
      <x:c r="AC2053" s="87"/>
      <x:c r="AD2053" s="87"/>
      <x:c r="AE2053" s="87"/>
      <x:c r="AF2053" s="87"/>
      <x:c r="AG2053" s="87"/>
      <x:c r="AH2053" s="87"/>
      <x:c r="AI2053" s="30"/>
      <x:c r="AJ2053" s="87" t="str">
        <x:v>master</x:v>
      </x:c>
      <x:c r="AK2053" s="87" t="str">
        <x:v>master-v0.81</x:v>
      </x:c>
      <x:c r="AL2053" s="87" t="str">
        <x:v>statgrad_master_base_v0_81_final(2).xlsx</x:v>
      </x:c>
      <x:c r="AM2053" s="87" t="str">
        <x:v>SOC_Apr_V2</x:v>
      </x:c>
      <x:c r="AN2053" s="87" t="n">
        <x:v>16</x:v>
      </x:c>
    </x:row>
    <x:row r="2054">
      <x:c r="A2054" s="87" t="n">
        <x:v>2053</x:v>
      </x:c>
      <x:c r="B2054" s="87" t="str">
        <x:v>APR-SOC-V2-016</x:v>
      </x:c>
      <x:c r="C2054" s="87" t="str">
        <x:v>СтатГрад</x:v>
      </x:c>
      <x:c r="D2054" s="87" t="str">
        <x:v>Апрель 2026</x:v>
      </x:c>
      <x:c r="E2054" s="87"/>
      <x:c r="F2054" s="87"/>
      <x:c r="G2054" s="87" t="str">
        <x:v>Обществознание</x:v>
      </x:c>
      <x:c r="H2054" s="87" t="n">
        <x:v>11</x:v>
      </x:c>
      <x:c r="I2054" s="87" t="str">
        <x:v>ТР №6</x:v>
      </x:c>
      <x:c r="J2054" s="87" t="str">
        <x:v>ОБ2510602</x:v>
      </x:c>
      <x:c r="K2054" s="87" t="n">
        <x:v>16</x:v>
      </x:c>
      <x:c r="L2054" s="87" t="str">
        <x:v>Административные наказания</x:v>
      </x:c>
      <x:c r="M2054" s="30" t="str">
        <x:v>Представьте, что Вы по заданию учителя оформляете презентацию к уроку обществознания по теме «Юридическая ответственность». Один из слайдов называется «Виды административных наказаний». Что из перечисленного следует включить в этот слайд? Запишите цифры, под которыми указаны виды административной ответственности в соответствии с Кодексом Российской Федерации об административных правонарушениях. 1) дисквалификация 2) обязательные работы 3) предупреждение 4) замечание 5) принудительные работы 6) лишение свободы на определённый срок</x:v>
      </x:c>
      <x:c r="N2054" s="30" t="str">
        <x:v>123</x:v>
      </x:c>
      <x:c r="O2054" s="30" t="str">
        <x:v>Дисквалификация, обязательные работы и предупреждение прямо предусмотрены КоАП РФ; замечание, принудительные работы и лишение свободы относятся к иным видам ответственности.</x:v>
      </x:c>
      <x:c r="P2054" s="30" t="str">
        <x:v>Задание независимо решено; дисквалификация, обязательные работы и предупреждение прямо предусмотрены коап рф.</x:v>
      </x:c>
      <x:c r="Q2054" s="30"/>
      <x:c r="R2054" s="30" t="str">
        <x:v>123</x:v>
      </x:c>
      <x:c r="S2054" s="30"/>
      <x:c r="T2054" s="30"/>
      <x:c r="U2054" s="30" t="str">
        <x:v>Расхождений нет.</x:v>
      </x:c>
      <x:c r="V2054" s="87" t="str">
        <x:v>VERIFIED</x:v>
      </x:c>
      <x:c r="W2054" s="87" t="n">
        <x:v>10</x:v>
      </x:c>
      <x:c r="X2054" s="87"/>
      <x:c r="Y2054" s="87"/>
      <x:c r="Z2054" s="87"/>
      <x:c r="AA2054" s="87"/>
      <x:c r="AB2054" s="87"/>
      <x:c r="AC2054" s="87"/>
      <x:c r="AD2054" s="87"/>
      <x:c r="AE2054" s="87"/>
      <x:c r="AF2054" s="87"/>
      <x:c r="AG2054" s="87"/>
      <x:c r="AH2054" s="87"/>
      <x:c r="AI2054" s="30"/>
      <x:c r="AJ2054" s="87" t="str">
        <x:v>master</x:v>
      </x:c>
      <x:c r="AK2054" s="87" t="str">
        <x:v>master-v0.81</x:v>
      </x:c>
      <x:c r="AL2054" s="87" t="str">
        <x:v>statgrad_master_base_v0_81_final(2).xlsx</x:v>
      </x:c>
      <x:c r="AM2054" s="87" t="str">
        <x:v>SOC_Apr_V2</x:v>
      </x:c>
      <x:c r="AN2054" s="87" t="n">
        <x:v>17</x:v>
      </x:c>
    </x:row>
    <x:row r="2055">
      <x:c r="A2055" s="87" t="n">
        <x:v>2054</x:v>
      </x:c>
      <x:c r="B2055" s="87" t="str">
        <x:v>APR-SOC-V2-017</x:v>
      </x:c>
      <x:c r="C2055" s="87" t="str">
        <x:v>СтатГрад</x:v>
      </x:c>
      <x:c r="D2055" s="87" t="str">
        <x:v>Апрель 2026</x:v>
      </x:c>
      <x:c r="E2055" s="87"/>
      <x:c r="F2055" s="87"/>
      <x:c r="G2055" s="87" t="str">
        <x:v>Обществознание</x:v>
      </x:c>
      <x:c r="H2055" s="87" t="n">
        <x:v>11</x:v>
      </x:c>
      <x:c r="I2055" s="87" t="str">
        <x:v>ТР №6</x:v>
      </x:c>
      <x:c r="J2055" s="87" t="str">
        <x:v>ОБ2510602</x:v>
      </x:c>
      <x:c r="K2055" s="87" t="n">
        <x:v>17</x:v>
      </x:c>
      <x:c r="L2055" s="87" t="str">
        <x:v>Анализ текста: образовательная мобильность</x:v>
      </x:c>
      <x:c r="M2055" s="30" t="str">
        <x:v>Какую образовательную мобильность автор называет межпоколенной? К каким социальным преимуществам, по мнению автора, открывает доступ образовательный статус? (Укажите два преимущества.) В каком смысле автор характеризует институт образования как инструмент достигаемого статуса?</x:v>
      </x:c>
      <x:c r="N2055" s="30" t="str">
        <x:v>Межпоколенная образовательная мобильность — изменение образовательного статуса по сравнению со статусом поколения родителей. Образовательный статус открывает доступ к продолжению обучения и к более широким возможностям трудоустройства, оплаты труда и карьеры. Образование является инструментом достигаемого статуса, потому что приобретается усилиями человека и позволяет повысить социальное положение.</x:v>
      </x:c>
      <x:c r="O2055" s="30" t="str">
        <x:v>Определить межпоколенную мобильность; назвать два преимущества; объяснить образование как инструмент достигаемого статуса.</x:v>
      </x:c>
      <x:c r="P2055" s="30" t="str">
        <x:v>Проверено по структуре официального критерия: все требуемые элементы присутствуют, лишних позиций нет.</x:v>
      </x:c>
      <x:c r="Q2055" s="30"/>
      <x:c r="R2055" s="30" t="str">
        <x:v>Официальные критерии развёрнутого ответа; см. SOC_Apr_Criteria_LOCKED</x:v>
      </x:c>
      <x:c r="S2055" s="30"/>
      <x:c r="T2055" s="30"/>
      <x:c r="U2055" s="30" t="str">
        <x:v>Модель соответствует критериям; допустимы иные корректные формулировки.</x:v>
      </x:c>
      <x:c r="V2055" s="87" t="str">
        <x:v>VERIFIED</x:v>
      </x:c>
      <x:c r="W2055" s="87" t="n">
        <x:v>12</x:v>
      </x:c>
      <x:c r="X2055" s="87"/>
      <x:c r="Y2055" s="87"/>
      <x:c r="Z2055" s="87"/>
      <x:c r="AA2055" s="87"/>
      <x:c r="AB2055" s="87"/>
      <x:c r="AC2055" s="87"/>
      <x:c r="AD2055" s="87"/>
      <x:c r="AE2055" s="87"/>
      <x:c r="AF2055" s="87"/>
      <x:c r="AG2055" s="87"/>
      <x:c r="AH2055" s="87"/>
      <x:c r="AI2055" s="30"/>
      <x:c r="AJ2055" s="87" t="str">
        <x:v>master</x:v>
      </x:c>
      <x:c r="AK2055" s="87" t="str">
        <x:v>master-v0.81</x:v>
      </x:c>
      <x:c r="AL2055" s="87" t="str">
        <x:v>statgrad_master_base_v0_81_final(2).xlsx</x:v>
      </x:c>
      <x:c r="AM2055" s="87" t="str">
        <x:v>SOC_Apr_V2</x:v>
      </x:c>
      <x:c r="AN2055" s="87" t="n">
        <x:v>18</x:v>
      </x:c>
    </x:row>
    <x:row r="2056">
      <x:c r="A2056" s="87" t="n">
        <x:v>2055</x:v>
      </x:c>
      <x:c r="B2056" s="87" t="str">
        <x:v>APR-SOC-V2-018</x:v>
      </x:c>
      <x:c r="C2056" s="87" t="str">
        <x:v>СтатГрад</x:v>
      </x:c>
      <x:c r="D2056" s="87" t="str">
        <x:v>Апрель 2026</x:v>
      </x:c>
      <x:c r="E2056" s="87"/>
      <x:c r="F2056" s="87"/>
      <x:c r="G2056" s="87" t="str">
        <x:v>Обществознание</x:v>
      </x:c>
      <x:c r="H2056" s="87" t="n">
        <x:v>11</x:v>
      </x:c>
      <x:c r="I2056" s="87" t="str">
        <x:v>ТР №6</x:v>
      </x:c>
      <x:c r="J2056" s="87" t="str">
        <x:v>ОБ2510602</x:v>
      </x:c>
      <x:c r="K2056" s="87" t="n">
        <x:v>18</x:v>
      </x:c>
      <x:c r="L2056" s="87" t="str">
        <x:v>Постиндустриальное общество</x:v>
      </x:c>
      <x:c r="M2056" s="30" t="str">
        <x:v>В тексте упомянуты ключевые понятия социально-гуманитарных наук. Используя обществоведческие знания, – укажите не менее трёх основных признаков постиндустриального общества в сфере экономики; – объясните в чём заключается описанная в тексте связь между образовательным статусом и профессиональным статусом. (Объяснение может быть дано в одном или нескольких распространённых предложениях.)</x:v>
      </x:c>
      <x:c r="N2056" s="30" t="str">
        <x:v>Признаки постиндустриальной экономики: преобладание сферы услуг; знания и информация как ведущий ресурс; развитие наукоёмких и цифровых технологий; высокий спрос на квалифицированный труд и инновации. Более высокий образовательный статус даёт квалификацию и доступ к профессиям, повышает вероятность трудоустройства, дохода, управленческой позиции и карьерного роста.</x:v>
      </x:c>
      <x:c r="O2056" s="30" t="str">
        <x:v>Назвать не менее трёх экономических признаков постиндустриального общества и объяснить связь статусов.</x:v>
      </x:c>
      <x:c r="P2056" s="30" t="str">
        <x:v>Проверено по структуре официального критерия: все требуемые элементы присутствуют, лишних позиций нет.</x:v>
      </x:c>
      <x:c r="Q2056" s="30"/>
      <x:c r="R2056" s="30" t="str">
        <x:v>Официальные критерии развёрнутого ответа; см. SOC_Apr_Criteria_LOCKED</x:v>
      </x:c>
      <x:c r="S2056" s="30"/>
      <x:c r="T2056" s="30"/>
      <x:c r="U2056" s="30" t="str">
        <x:v>Модель соответствует критериям; допустимы иные корректные формулировки.</x:v>
      </x:c>
      <x:c r="V2056" s="87" t="str">
        <x:v>VERIFIED</x:v>
      </x:c>
      <x:c r="W2056" s="87" t="n">
        <x:v>12</x:v>
      </x:c>
      <x:c r="X2056" s="87"/>
      <x:c r="Y2056" s="87"/>
      <x:c r="Z2056" s="87"/>
      <x:c r="AA2056" s="87"/>
      <x:c r="AB2056" s="87"/>
      <x:c r="AC2056" s="87"/>
      <x:c r="AD2056" s="87"/>
      <x:c r="AE2056" s="87"/>
      <x:c r="AF2056" s="87"/>
      <x:c r="AG2056" s="87"/>
      <x:c r="AH2056" s="87"/>
      <x:c r="AI2056" s="30"/>
      <x:c r="AJ2056" s="87" t="str">
        <x:v>master</x:v>
      </x:c>
      <x:c r="AK2056" s="87" t="str">
        <x:v>master-v0.81</x:v>
      </x:c>
      <x:c r="AL2056" s="87" t="str">
        <x:v>statgrad_master_base_v0_81_final(2).xlsx</x:v>
      </x:c>
      <x:c r="AM2056" s="87" t="str">
        <x:v>SOC_Apr_V2</x:v>
      </x:c>
      <x:c r="AN2056" s="87" t="n">
        <x:v>19</x:v>
      </x:c>
    </x:row>
    <x:row r="2057">
      <x:c r="A2057" s="87" t="n">
        <x:v>2056</x:v>
      </x:c>
      <x:c r="B2057" s="87" t="str">
        <x:v>APR-SOC-V2-019</x:v>
      </x:c>
      <x:c r="C2057" s="87" t="str">
        <x:v>СтатГрад</x:v>
      </x:c>
      <x:c r="D2057" s="87" t="str">
        <x:v>Апрель 2026</x:v>
      </x:c>
      <x:c r="E2057" s="87"/>
      <x:c r="F2057" s="87"/>
      <x:c r="G2057" s="87" t="str">
        <x:v>Обществознание</x:v>
      </x:c>
      <x:c r="H2057" s="87" t="n">
        <x:v>11</x:v>
      </x:c>
      <x:c r="I2057" s="87" t="str">
        <x:v>ТР №6</x:v>
      </x:c>
      <x:c r="J2057" s="87" t="str">
        <x:v>ОБ2510602</x:v>
      </x:c>
      <x:c r="K2057" s="87" t="n">
        <x:v>19</x:v>
      </x:c>
      <x:c r="L2057" s="87" t="str">
        <x:v>Социальные лифты</x:v>
      </x:c>
      <x:c r="M2057" s="30" t="str">
        <x:v>Автор рассматривает образование как социальный лифт. Используя обществоведческие знания и факты общественной жизни, проиллюстрируйте конкретными примерами функционирование трёх любых иных социальных лифтов в современном обществе. (Каждый пример должен быть сформулирован развёрнуто. Примеры не должны дублировать друг друга по содержанию.)</x:v>
      </x:c>
      <x:c r="N2057" s="30" t="str">
        <x:v>1) Военная служба: рядовой получил подготовку, был произведён в офицеры и занял более высокую служебную позицию. 2) Политическая деятельность: активист вступил в партию, победил на выборах и стал депутатом. 3) Предпринимательство: мастер открыл мастерскую, расширил производство и стал владельцем устойчивого предприятия.</x:v>
      </x:c>
      <x:c r="O2057" s="30" t="str">
        <x:v>Привести ровно три развёрнутых примера иных социальных лифтов.</x:v>
      </x:c>
      <x:c r="P2057" s="30" t="str">
        <x:v>Проверено по структуре официального критерия: все требуемые элементы присутствуют, лишних позиций нет.</x:v>
      </x:c>
      <x:c r="Q2057" s="30"/>
      <x:c r="R2057" s="30" t="str">
        <x:v>Официальные критерии развёрнутого ответа; см. SOC_Apr_Criteria_LOCKED</x:v>
      </x:c>
      <x:c r="S2057" s="30"/>
      <x:c r="T2057" s="30"/>
      <x:c r="U2057" s="30" t="str">
        <x:v>Модель соответствует критериям; допустимы иные корректные формулировки.</x:v>
      </x:c>
      <x:c r="V2057" s="87" t="str">
        <x:v>VERIFIED</x:v>
      </x:c>
      <x:c r="W2057" s="87" t="n">
        <x:v>12</x:v>
      </x:c>
      <x:c r="X2057" s="87"/>
      <x:c r="Y2057" s="87"/>
      <x:c r="Z2057" s="87"/>
      <x:c r="AA2057" s="87"/>
      <x:c r="AB2057" s="87"/>
      <x:c r="AC2057" s="87"/>
      <x:c r="AD2057" s="87"/>
      <x:c r="AE2057" s="87"/>
      <x:c r="AF2057" s="87"/>
      <x:c r="AG2057" s="87"/>
      <x:c r="AH2057" s="87"/>
      <x:c r="AI2057" s="30"/>
      <x:c r="AJ2057" s="87" t="str">
        <x:v>master</x:v>
      </x:c>
      <x:c r="AK2057" s="87" t="str">
        <x:v>master-v0.81</x:v>
      </x:c>
      <x:c r="AL2057" s="87" t="str">
        <x:v>statgrad_master_base_v0_81_final(2).xlsx</x:v>
      </x:c>
      <x:c r="AM2057" s="87" t="str">
        <x:v>SOC_Apr_V2</x:v>
      </x:c>
      <x:c r="AN2057" s="87" t="n">
        <x:v>20</x:v>
      </x:c>
    </x:row>
    <x:row r="2058">
      <x:c r="A2058" s="87" t="n">
        <x:v>2057</x:v>
      </x:c>
      <x:c r="B2058" s="87" t="str">
        <x:v>APR-SOC-V2-020</x:v>
      </x:c>
      <x:c r="C2058" s="87" t="str">
        <x:v>СтатГрад</x:v>
      </x:c>
      <x:c r="D2058" s="87" t="str">
        <x:v>Апрель 2026</x:v>
      </x:c>
      <x:c r="E2058" s="87"/>
      <x:c r="F2058" s="87"/>
      <x:c r="G2058" s="87" t="str">
        <x:v>Обществознание</x:v>
      </x:c>
      <x:c r="H2058" s="87" t="n">
        <x:v>11</x:v>
      </x:c>
      <x:c r="I2058" s="87" t="str">
        <x:v>ТР №6</x:v>
      </x:c>
      <x:c r="J2058" s="87" t="str">
        <x:v>ОБ2510602</x:v>
      </x:c>
      <x:c r="K2058" s="87" t="n">
        <x:v>20</x:v>
      </x:c>
      <x:c r="L2058" s="87" t="str">
        <x:v>Среднее профессиональное образование</x:v>
      </x:c>
      <x:c r="M2058" s="30" t="str">
        <x:v>Используя обществоведческие знания, приведите три причины повышения статуса среднего (специального) профессионального образования в современном российском обществе. (Каждая причина должна быть сформулирована как распространённое предложение.)</x:v>
      </x:c>
      <x:c r="N2058" s="30" t="str">
        <x:v>1) Экономике требуются квалифицированные техники, мастера и рабочие, поэтому дефицит таких специалистов повышает престиж СПО. 2) Колледжи сотрудничают с работодателями и дают практическую подготовку, ускоряя трудоустройство выпускников. 3) Современные программы СПО осваивают цифровое оборудование и высокотехнологичные профессии, а государственная поддержка обновляет мастерские.</x:v>
      </x:c>
      <x:c r="O2058" s="30" t="str">
        <x:v>Привести ровно три причины повышения статуса СПО.</x:v>
      </x:c>
      <x:c r="P2058" s="30" t="str">
        <x:v>Проверено по структуре официального критерия: все требуемые элементы присутствуют, лишних позиций нет.</x:v>
      </x:c>
      <x:c r="Q2058" s="30"/>
      <x:c r="R2058" s="30" t="str">
        <x:v>Официальные критерии развёрнутого ответа; см. SOC_Apr_Criteria_LOCKED</x:v>
      </x:c>
      <x:c r="S2058" s="30"/>
      <x:c r="T2058" s="30"/>
      <x:c r="U2058" s="30" t="str">
        <x:v>Модель соответствует критериям; допустимы иные корректные формулировки.</x:v>
      </x:c>
      <x:c r="V2058" s="87" t="str">
        <x:v>VERIFIED</x:v>
      </x:c>
      <x:c r="W2058" s="87" t="n">
        <x:v>12</x:v>
      </x:c>
      <x:c r="X2058" s="87"/>
      <x:c r="Y2058" s="87"/>
      <x:c r="Z2058" s="87"/>
      <x:c r="AA2058" s="87"/>
      <x:c r="AB2058" s="87"/>
      <x:c r="AC2058" s="87"/>
      <x:c r="AD2058" s="87"/>
      <x:c r="AE2058" s="87"/>
      <x:c r="AF2058" s="87"/>
      <x:c r="AG2058" s="87"/>
      <x:c r="AH2058" s="87"/>
      <x:c r="AI2058" s="30"/>
      <x:c r="AJ2058" s="87" t="str">
        <x:v>master</x:v>
      </x:c>
      <x:c r="AK2058" s="87" t="str">
        <x:v>master-v0.81</x:v>
      </x:c>
      <x:c r="AL2058" s="87" t="str">
        <x:v>statgrad_master_base_v0_81_final(2).xlsx</x:v>
      </x:c>
      <x:c r="AM2058" s="87" t="str">
        <x:v>SOC_Apr_V2</x:v>
      </x:c>
      <x:c r="AN2058" s="87" t="n">
        <x:v>21</x:v>
      </x:c>
    </x:row>
    <x:row r="2059">
      <x:c r="A2059" s="87" t="n">
        <x:v>2058</x:v>
      </x:c>
      <x:c r="B2059" s="87" t="str">
        <x:v>APR-SOC-V2-021</x:v>
      </x:c>
      <x:c r="C2059" s="87" t="str">
        <x:v>СтатГрад</x:v>
      </x:c>
      <x:c r="D2059" s="87" t="str">
        <x:v>Апрель 2026</x:v>
      </x:c>
      <x:c r="E2059" s="87"/>
      <x:c r="F2059" s="87"/>
      <x:c r="G2059" s="87" t="str">
        <x:v>Обществознание</x:v>
      </x:c>
      <x:c r="H2059" s="87" t="n">
        <x:v>11</x:v>
      </x:c>
      <x:c r="I2059" s="87" t="str">
        <x:v>ТР №6</x:v>
      </x:c>
      <x:c r="J2059" s="87" t="str">
        <x:v>ОБ2510602</x:v>
      </x:c>
      <x:c r="K2059" s="87" t="n">
        <x:v>21</x:v>
      </x:c>
      <x:c r="L2059" s="87" t="str">
        <x:v>Рынок товаров для питомцев: предложение</x:v>
      </x:c>
      <x:c r="M2059" s="30" t="str">
        <x:v>На графике изображено изменение ситуации P S1 S на потребительском рынке предметов для домашних питомцев в стране Z. Кривая предложения переместилась из положения S в положение S 1 при неизменном спросе D. (На графике P – цена товара; D Q – количество товара.) Q Как изменилась равновесная цена? Что могло вызвать изменение предложения? Сначала укажите любое одно обстоятельство (фактор), затем объясните его влияние на предложение (обязательно укажите характер изменения предложения). (Объяснение должно быть дано применительно к рынку, указанному в тексте задания.) Как изменятся спрос и равновесная цена на данном рынке, если при прочих равных условиях в стране Z будут открыты новые организации для разведения и содержания домашних питомцев?</x:v>
      </x:c>
      <x:c r="N2059" s="30" t="str">
        <x:v>Равновесная цена выросла, поскольку предложение сократилось и кривая S сместилась влево. Например, подорожало сырьё для кормов и аксессуаров, рост издержек уменьшил предложение при каждой цене. Открытие новых организаций для разведения и содержания питомцев увеличит спрос на товары для животных и повысит равновесную цену.</x:v>
      </x:c>
      <x:c r="O2059" s="30" t="str">
        <x:v>Определить цену; назвать фактор сокращения предложения; определить изменение спроса и цены.</x:v>
      </x:c>
      <x:c r="P2059" s="30" t="str">
        <x:v>Проверено по структуре официального критерия: все требуемые элементы присутствуют, лишних позиций нет.</x:v>
      </x:c>
      <x:c r="Q2059" s="30"/>
      <x:c r="R2059" s="30" t="str">
        <x:v>Официальные критерии развёрнутого ответа; см. SOC_Apr_Criteria_LOCKED</x:v>
      </x:c>
      <x:c r="S2059" s="30"/>
      <x:c r="T2059" s="30"/>
      <x:c r="U2059" s="30" t="str">
        <x:v>Модель соответствует критериям; допустимы иные корректные формулировки.</x:v>
      </x:c>
      <x:c r="V2059" s="87" t="str">
        <x:v>VERIFIED</x:v>
      </x:c>
      <x:c r="W2059" s="87" t="n">
        <x:v>13</x:v>
      </x:c>
      <x:c r="X2059" s="87"/>
      <x:c r="Y2059" s="87"/>
      <x:c r="Z2059" s="87"/>
      <x:c r="AA2059" s="87"/>
      <x:c r="AB2059" s="87"/>
      <x:c r="AC2059" s="87"/>
      <x:c r="AD2059" s="87"/>
      <x:c r="AE2059" s="87"/>
      <x:c r="AF2059" s="87"/>
      <x:c r="AG2059" s="87"/>
      <x:c r="AH2059" s="87"/>
      <x:c r="AI2059" s="30"/>
      <x:c r="AJ2059" s="87" t="str">
        <x:v>master</x:v>
      </x:c>
      <x:c r="AK2059" s="87" t="str">
        <x:v>master-v0.81</x:v>
      </x:c>
      <x:c r="AL2059" s="87" t="str">
        <x:v>statgrad_master_base_v0_81_final(2).xlsx</x:v>
      </x:c>
      <x:c r="AM2059" s="87" t="str">
        <x:v>SOC_Apr_V2</x:v>
      </x:c>
      <x:c r="AN2059" s="87" t="n">
        <x:v>22</x:v>
      </x:c>
    </x:row>
    <x:row r="2060">
      <x:c r="A2060" s="87" t="n">
        <x:v>2059</x:v>
      </x:c>
      <x:c r="B2060" s="87" t="str">
        <x:v>APR-SOC-V2-022</x:v>
      </x:c>
      <x:c r="C2060" s="87" t="str">
        <x:v>СтатГрад</x:v>
      </x:c>
      <x:c r="D2060" s="87" t="str">
        <x:v>Апрель 2026</x:v>
      </x:c>
      <x:c r="E2060" s="87"/>
      <x:c r="F2060" s="87"/>
      <x:c r="G2060" s="87" t="str">
        <x:v>Обществознание</x:v>
      </x:c>
      <x:c r="H2060" s="87" t="n">
        <x:v>11</x:v>
      </x:c>
      <x:c r="I2060" s="87" t="str">
        <x:v>ТР №6</x:v>
      </x:c>
      <x:c r="J2060" s="87" t="str">
        <x:v>ОБ2510602</x:v>
      </x:c>
      <x:c r="K2060" s="87" t="n">
        <x:v>22</x:v>
      </x:c>
      <x:c r="L2060" s="87" t="str">
        <x:v>Научное познание</x:v>
      </x:c>
      <x:c r="M2060" s="30" t="str">
        <x:v>Десятиклассник Игорь хочет стать учёным-биологом. Сейчас он работает над индивидуальным исследованием. Игорь хочет установить зависимость скорости прорастания семян различных растений от светового режима. Чем представлено содержание знания на эмпирическом уровне исследования? Какие эмпирические методы может применить Игорь в своей работе? (Укажите два метода.) Почему деятельность Игоря можно отнести к рациональному познанию? Какие общие и особенные функции присущи науке и образованию? (Укажите общую функцию и по одной особенной функции.)</x:v>
      </x:c>
      <x:c r="N2060" s="30" t="str">
        <x:v>На эмпирическом уровне знание представлено фактами, наблюдениями и измерениями. Игорь может использовать наблюдение и эксперимент. Его деятельность рациональна, потому что он формулирует проблему и гипотезу, использует понятия, сравнение и логический вывод. Общая функция науки и образования — накопление и распространение знаний; особенная функция науки — получение нового знания, образования — социализация и передача освоенного опыта.</x:v>
      </x:c>
      <x:c r="O2060" s="30" t="str">
        <x:v>Назвать содержание эмпирического знания; два метода; объяснить рациональность; указать общую и особенные функции.</x:v>
      </x:c>
      <x:c r="P2060" s="30" t="str">
        <x:v>Проверено по структуре официального критерия: все требуемые элементы присутствуют, лишних позиций нет.</x:v>
      </x:c>
      <x:c r="Q2060" s="30"/>
      <x:c r="R2060" s="30" t="str">
        <x:v>Официальные критерии развёрнутого ответа; см. SOC_Apr_Criteria_LOCKED</x:v>
      </x:c>
      <x:c r="S2060" s="30"/>
      <x:c r="T2060" s="30"/>
      <x:c r="U2060" s="30" t="str">
        <x:v>Модель соответствует критериям; допустимы иные корректные формулировки.</x:v>
      </x:c>
      <x:c r="V2060" s="87" t="str">
        <x:v>VERIFIED</x:v>
      </x:c>
      <x:c r="W2060" s="87" t="n">
        <x:v>13</x:v>
      </x:c>
      <x:c r="X2060" s="87"/>
      <x:c r="Y2060" s="87"/>
      <x:c r="Z2060" s="87"/>
      <x:c r="AA2060" s="87"/>
      <x:c r="AB2060" s="87"/>
      <x:c r="AC2060" s="87"/>
      <x:c r="AD2060" s="87"/>
      <x:c r="AE2060" s="87"/>
      <x:c r="AF2060" s="87"/>
      <x:c r="AG2060" s="87"/>
      <x:c r="AH2060" s="87"/>
      <x:c r="AI2060" s="30"/>
      <x:c r="AJ2060" s="87" t="str">
        <x:v>master</x:v>
      </x:c>
      <x:c r="AK2060" s="87" t="str">
        <x:v>master-v0.81</x:v>
      </x:c>
      <x:c r="AL2060" s="87" t="str">
        <x:v>statgrad_master_base_v0_81_final(2).xlsx</x:v>
      </x:c>
      <x:c r="AM2060" s="87" t="str">
        <x:v>SOC_Apr_V2</x:v>
      </x:c>
      <x:c r="AN2060" s="87" t="n">
        <x:v>23</x:v>
      </x:c>
    </x:row>
    <x:row r="2061">
      <x:c r="A2061" s="87" t="n">
        <x:v>2060</x:v>
      </x:c>
      <x:c r="B2061" s="87" t="str">
        <x:v>APR-SOC-V2-023</x:v>
      </x:c>
      <x:c r="C2061" s="87" t="str">
        <x:v>СтатГрад</x:v>
      </x:c>
      <x:c r="D2061" s="87" t="str">
        <x:v>Апрель 2026</x:v>
      </x:c>
      <x:c r="E2061" s="87"/>
      <x:c r="F2061" s="87"/>
      <x:c r="G2061" s="87" t="str">
        <x:v>Обществознание</x:v>
      </x:c>
      <x:c r="H2061" s="87" t="n">
        <x:v>11</x:v>
      </x:c>
      <x:c r="I2061" s="87" t="str">
        <x:v>ТР №6</x:v>
      </x:c>
      <x:c r="J2061" s="87" t="str">
        <x:v>ОБ2510602</x:v>
      </x:c>
      <x:c r="K2061" s="87" t="n">
        <x:v>23</x:v>
      </x:c>
      <x:c r="L2061" s="87" t="str">
        <x:v>Федерализм</x:v>
      </x:c>
      <x:c r="M2061" s="30" t="str">
        <x:v>Конституция Российской Федерации закрепляет принцип федерализма. На основе положений Конституции Российской Федерации сформулируйте три подтверждения этого положения. (Каждое подтверждение должно быть сформулировано как распространённое предложение с опорой на конкретное положение Конституции Российской Федерации; указывать номера статей и дословно воспроизводить их содержание не требуется.)</x:v>
      </x:c>
      <x:c r="N2061" s="30" t="str">
        <x:v>1) Россия состоит из равноправных субъектов разных видов. 2) Конституция разграничивает предметы ведения и полномочия между Федерацией и субъектами. 3) Федеративное устройство основано на государственной целостности, единстве публичной власти, равноправии и самоопределении народов и равноправии субъектов.</x:v>
      </x:c>
      <x:c r="O2061" s="30" t="str">
        <x:v>Сформулировать три подтверждения федерализма на основе Конституции.</x:v>
      </x:c>
      <x:c r="P2061" s="30" t="str">
        <x:v>Проверено по структуре официального критерия: все требуемые элементы присутствуют, лишних позиций нет.</x:v>
      </x:c>
      <x:c r="Q2061" s="30"/>
      <x:c r="R2061" s="30" t="str">
        <x:v>Официальные критерии развёрнутого ответа; см. SOC_Apr_Criteria_LOCKED</x:v>
      </x:c>
      <x:c r="S2061" s="30"/>
      <x:c r="T2061" s="30"/>
      <x:c r="U2061" s="30" t="str">
        <x:v>Модель соответствует критериям; допустимы иные корректные формулировки.</x:v>
      </x:c>
      <x:c r="V2061" s="87" t="str">
        <x:v>VERIFIED</x:v>
      </x:c>
      <x:c r="W2061" s="87" t="n">
        <x:v>13</x:v>
      </x:c>
      <x:c r="X2061" s="87"/>
      <x:c r="Y2061" s="87"/>
      <x:c r="Z2061" s="87"/>
      <x:c r="AA2061" s="87"/>
      <x:c r="AB2061" s="87"/>
      <x:c r="AC2061" s="87"/>
      <x:c r="AD2061" s="87"/>
      <x:c r="AE2061" s="87"/>
      <x:c r="AF2061" s="87"/>
      <x:c r="AG2061" s="87"/>
      <x:c r="AH2061" s="87"/>
      <x:c r="AI2061" s="30"/>
      <x:c r="AJ2061" s="87" t="str">
        <x:v>master</x:v>
      </x:c>
      <x:c r="AK2061" s="87" t="str">
        <x:v>master-v0.81</x:v>
      </x:c>
      <x:c r="AL2061" s="87" t="str">
        <x:v>statgrad_master_base_v0_81_final(2).xlsx</x:v>
      </x:c>
      <x:c r="AM2061" s="87" t="str">
        <x:v>SOC_Apr_V2</x:v>
      </x:c>
      <x:c r="AN2061" s="87" t="n">
        <x:v>24</x:v>
      </x:c>
    </x:row>
    <x:row r="2062">
      <x:c r="A2062" s="87" t="n">
        <x:v>2061</x:v>
      </x:c>
      <x:c r="B2062" s="87" t="str">
        <x:v>APR-SOC-V2-024</x:v>
      </x:c>
      <x:c r="C2062" s="87" t="str">
        <x:v>СтатГрад</x:v>
      </x:c>
      <x:c r="D2062" s="87" t="str">
        <x:v>Апрель 2026</x:v>
      </x:c>
      <x:c r="E2062" s="87"/>
      <x:c r="F2062" s="87"/>
      <x:c r="G2062" s="87" t="str">
        <x:v>Обществознание</x:v>
      </x:c>
      <x:c r="H2062" s="87" t="n">
        <x:v>11</x:v>
      </x:c>
      <x:c r="I2062" s="87" t="str">
        <x:v>ТР №6</x:v>
      </x:c>
      <x:c r="J2062" s="87" t="str">
        <x:v>ОБ2510602</x:v>
      </x:c>
      <x:c r="K2062" s="87" t="n">
        <x:v>24</x:v>
      </x:c>
      <x:c r="L2062" s="87" t="str">
        <x:v>Сложный план: налоговая система</x:v>
      </x:c>
      <x:c r="M2062" s="30" t="str">
        <x:v>Используя обществоведческие знания, составьте сложный план, позволяющий раскрыть по существу тему «Налоговая система Российской Федерации».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возможны только два подпункта.)</x:v>
      </x:c>
      <x:c r="N2062" s="30" t="str">
        <x:v>1. Понятие налоговой системы: а) налоги и сборы; б) налогоплательщики и агенты; в) налоговые органы и нормы. 2. Принципы: а) законность; б) всеобщность и равенство; в) определённость и обоснованность. 3. Элементы налога: а) объект и база; б) ставка и период; в) порядок исчисления и уплаты; г) льготы. 4. Уровни: а) федеральные; б) региональные; в) местные. 5. Функции: а) фискальная; б) регулирующая; в) распределительная; г) контрольная. 6. Права и обязанности: а) информация и льготы; б) уплата и учёт; в) обжалование. 7. Администрирование: а) учёт; б) проверки; в) взыскание и ответственность.</x:v>
      </x:c>
      <x:c r="O2062" s="30" t="str">
        <x:v>Составить сложный план минимум с тремя раскрывающими пунктами и необходимой детализацией.</x:v>
      </x:c>
      <x:c r="P2062" s="30" t="str">
        <x:v>Проверено по структуре официального критерия: все требуемые элементы присутствуют, лишних позиций нет.</x:v>
      </x:c>
      <x:c r="Q2062" s="30"/>
      <x:c r="R2062" s="30" t="str">
        <x:v>Официальные критерии развёрнутого ответа; см. SOC_Apr_Criteria_LOCKED</x:v>
      </x:c>
      <x:c r="S2062" s="30"/>
      <x:c r="T2062" s="30"/>
      <x:c r="U2062" s="30" t="str">
        <x:v>Модель соответствует критериям; допустимы иные корректные формулировки.</x:v>
      </x:c>
      <x:c r="V2062" s="87" t="str">
        <x:v>VERIFIED</x:v>
      </x:c>
      <x:c r="W2062" s="87" t="n">
        <x:v>14</x:v>
      </x:c>
      <x:c r="X2062" s="87"/>
      <x:c r="Y2062" s="87"/>
      <x:c r="Z2062" s="87"/>
      <x:c r="AA2062" s="87"/>
      <x:c r="AB2062" s="87"/>
      <x:c r="AC2062" s="87"/>
      <x:c r="AD2062" s="87"/>
      <x:c r="AE2062" s="87"/>
      <x:c r="AF2062" s="87"/>
      <x:c r="AG2062" s="87"/>
      <x:c r="AH2062" s="87"/>
      <x:c r="AI2062" s="30"/>
      <x:c r="AJ2062" s="87" t="str">
        <x:v>master</x:v>
      </x:c>
      <x:c r="AK2062" s="87" t="str">
        <x:v>master-v0.81</x:v>
      </x:c>
      <x:c r="AL2062" s="87" t="str">
        <x:v>statgrad_master_base_v0_81_final(2).xlsx</x:v>
      </x:c>
      <x:c r="AM2062" s="87" t="str">
        <x:v>SOC_Apr_V2</x:v>
      </x:c>
      <x:c r="AN2062" s="87" t="n">
        <x:v>25</x:v>
      </x:c>
    </x:row>
    <x:row r="2063">
      <x:c r="A2063" s="87" t="n">
        <x:v>2062</x:v>
      </x:c>
      <x:c r="B2063" s="87" t="str">
        <x:v>APR-SOC-V2-025</x:v>
      </x:c>
      <x:c r="C2063" s="87" t="str">
        <x:v>СтатГрад</x:v>
      </x:c>
      <x:c r="D2063" s="87" t="str">
        <x:v>Апрель 2026</x:v>
      </x:c>
      <x:c r="E2063" s="87"/>
      <x:c r="F2063" s="87"/>
      <x:c r="G2063" s="87" t="str">
        <x:v>Обществознание</x:v>
      </x:c>
      <x:c r="H2063" s="87" t="n">
        <x:v>11</x:v>
      </x:c>
      <x:c r="I2063" s="87" t="str">
        <x:v>ТР №6</x:v>
      </x:c>
      <x:c r="J2063" s="87" t="str">
        <x:v>ОБ2510602</x:v>
      </x:c>
      <x:c r="K2063" s="87" t="n">
        <x:v>25</x:v>
      </x:c>
      <x:c r="L2063" s="87" t="str">
        <x:v>Права налогоплательщиков</x:v>
      </x:c>
      <x:c r="M2063" s="30" t="str">
        <x:v>Используя обществоведческие знания, факты общественной жизни и личный социальный опыт, выполните задания, ответьте на вопрос. 1) Обоснуйте значение конституционной обязанности уплачивать законные налоги и сборы для общества и человека.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Какие виды гарантий защиты прав налогоплательщиков действуют в Российской Федерации? (Назовите любые три вида гарантий.) 3) Приведите по одному примеру действий в защиту прав налогоплательщиков, в соответствии с названными в пункте 2) гарантиями. (Каждый пример должен быть сформулирован развёрнуто.)</x:v>
      </x:c>
      <x:c r="N2063" s="30" t="str">
        <x:v>Налоги финансируют образование, медицину, безопасность, инфраструктуру и социальную поддержку. Исполнение обязанности распределяет расходы на общественные блага между гражданами и организациями; уклонение уменьшает ресурсы государства и переносит нагрузку на добросовестных плательщиков. Гарантии: административная, судебная, прокурорская. Примеры: жалоба в вышестоящий налоговый орган на доначисление; иск в суд об отмене незаконного требования; заявление в прокуратуру о нарушении порядка проверки.</x:v>
      </x:c>
      <x:c r="O2063" s="30" t="str">
        <x:v>Дать связанное обоснование; назвать три вида гарантий; привести три соответствующих примера.</x:v>
      </x:c>
      <x:c r="P2063" s="30" t="str">
        <x:v>Проверено по структуре официального критерия: все требуемые элементы присутствуют, лишних позиций нет.</x:v>
      </x:c>
      <x:c r="Q2063" s="30"/>
      <x:c r="R2063" s="30" t="str">
        <x:v>Официальные критерии развёрнутого ответа; см. SOC_Apr_Criteria_LOCKED</x:v>
      </x:c>
      <x:c r="S2063" s="30"/>
      <x:c r="T2063" s="30"/>
      <x:c r="U2063" s="30" t="str">
        <x:v>Модель соответствует критериям; допустимы иные корректные формулировки.</x:v>
      </x:c>
      <x:c r="V2063" s="87" t="str">
        <x:v>VERIFIED</x:v>
      </x:c>
      <x:c r="W2063" s="87" t="n">
        <x:v>14</x:v>
      </x:c>
      <x:c r="X2063" s="87"/>
      <x:c r="Y2063" s="87"/>
      <x:c r="Z2063" s="87"/>
      <x:c r="AA2063" s="87"/>
      <x:c r="AB2063" s="87"/>
      <x:c r="AC2063" s="87"/>
      <x:c r="AD2063" s="87"/>
      <x:c r="AE2063" s="87"/>
      <x:c r="AF2063" s="87"/>
      <x:c r="AG2063" s="87"/>
      <x:c r="AH2063" s="87"/>
      <x:c r="AI2063" s="30"/>
      <x:c r="AJ2063" s="87" t="str">
        <x:v>master</x:v>
      </x:c>
      <x:c r="AK2063" s="87" t="str">
        <x:v>master-v0.81</x:v>
      </x:c>
      <x:c r="AL2063" s="87" t="str">
        <x:v>statgrad_master_base_v0_81_final(2).xlsx</x:v>
      </x:c>
      <x:c r="AM2063" s="87" t="str">
        <x:v>SOC_Apr_V2</x:v>
      </x:c>
      <x:c r="AN2063" s="87" t="n">
        <x:v>26</x:v>
      </x:c>
    </x:row>
    <x:row r="2064">
      <x:c r="A2064" s="87" t="n">
        <x:v>2063</x:v>
      </x:c>
      <x:c r="B2064" s="87" t="str">
        <x:v>APR-SOC-V3-001</x:v>
      </x:c>
      <x:c r="C2064" s="87" t="str">
        <x:v>СтатГрад</x:v>
      </x:c>
      <x:c r="D2064" s="87" t="str">
        <x:v>Апрель 2026</x:v>
      </x:c>
      <x:c r="E2064" s="87"/>
      <x:c r="F2064" s="87"/>
      <x:c r="G2064" s="87" t="str">
        <x:v>Обществознание</x:v>
      </x:c>
      <x:c r="H2064" s="87" t="n">
        <x:v>11</x:v>
      </x:c>
      <x:c r="I2064" s="87" t="str">
        <x:v>ТР №6</x:v>
      </x:c>
      <x:c r="J2064" s="87" t="str">
        <x:v>ОБ2510603</x:v>
      </x:c>
      <x:c r="K2064" s="87" t="n">
        <x:v>1</x:v>
      </x:c>
      <x:c r="L2064" s="87" t="str">
        <x:v>Макроэкономика</x:v>
      </x:c>
      <x:c r="M2064" s="30" t="str">
        <x:v>Ниже приведён перечень проблем, которые изучает экономическая наука. Все они, за исключением двух, являются объектами изучения макроэкономики. 1) занятость и безработица; 2) рост заработной платы в сфере услуг; 3) проблема бедности; 4) экономический рост; 5) экономический кризис; 6) международная торговля товарами и услугами. Найдите две проблемы, «выпадающие» из общего ряда, и запишите в таблицу цифры, под которыми они указаны.</x:v>
      </x:c>
      <x:c r="N2064" s="30" t="str">
        <x:v>26</x:v>
      </x:c>
      <x:c r="O2064" s="30" t="str">
        <x:v>Рост заработной платы в одной отрасли относится к микроэкономике, а международная торговля — к мировой экономике; остальные позиции описывают экономику страны в целом.</x:v>
      </x:c>
      <x:c r="P2064" s="30" t="str">
        <x:v>Задание независимо решено; рост заработной платы в одной отрасли относится к микроэкономике, а международная торговля — к мировой экономике.</x:v>
      </x:c>
      <x:c r="Q2064" s="30"/>
      <x:c r="R2064" s="30" t="str">
        <x:v>26</x:v>
      </x:c>
      <x:c r="S2064" s="30"/>
      <x:c r="T2064" s="30"/>
      <x:c r="U2064" s="30" t="str">
        <x:v>Смешанный вариант: условие из ОБ2510601; ответ подтверждён официальным ключом ОБ2510603.</x:v>
      </x:c>
      <x:c r="V2064" s="87" t="str">
        <x:v>VERIFIED</x:v>
      </x:c>
      <x:c r="W2064" s="87" t="n">
        <x:v>2</x:v>
      </x:c>
      <x:c r="X2064" s="87"/>
      <x:c r="Y2064" s="87"/>
      <x:c r="Z2064" s="87"/>
      <x:c r="AA2064" s="87"/>
      <x:c r="AB2064" s="87"/>
      <x:c r="AC2064" s="87"/>
      <x:c r="AD2064" s="87"/>
      <x:c r="AE2064" s="87"/>
      <x:c r="AF2064" s="87"/>
      <x:c r="AG2064" s="87"/>
      <x:c r="AH2064" s="87"/>
      <x:c r="AI2064" s="30"/>
      <x:c r="AJ2064" s="87" t="str">
        <x:v>master</x:v>
      </x:c>
      <x:c r="AK2064" s="87" t="str">
        <x:v>master-v0.81</x:v>
      </x:c>
      <x:c r="AL2064" s="87" t="str">
        <x:v>statgrad_master_base_v0_81_final(2).xlsx</x:v>
      </x:c>
      <x:c r="AM2064" s="87" t="str">
        <x:v>SOC_Apr_V3</x:v>
      </x:c>
      <x:c r="AN2064" s="87" t="n">
        <x:v>2</x:v>
      </x:c>
    </x:row>
    <x:row r="2065">
      <x:c r="A2065" s="87" t="n">
        <x:v>2064</x:v>
      </x:c>
      <x:c r="B2065" s="87" t="str">
        <x:v>APR-SOC-V3-002</x:v>
      </x:c>
      <x:c r="C2065" s="87" t="str">
        <x:v>СтатГрад</x:v>
      </x:c>
      <x:c r="D2065" s="87" t="str">
        <x:v>Апрель 2026</x:v>
      </x:c>
      <x:c r="E2065" s="87"/>
      <x:c r="F2065" s="87"/>
      <x:c r="G2065" s="87" t="str">
        <x:v>Обществознание</x:v>
      </x:c>
      <x:c r="H2065" s="87" t="n">
        <x:v>11</x:v>
      </x:c>
      <x:c r="I2065" s="87" t="str">
        <x:v>ТР №6</x:v>
      </x:c>
      <x:c r="J2065" s="87" t="str">
        <x:v>ОБ2510603</x:v>
      </x:c>
      <x:c r="K2065" s="87" t="n">
        <x:v>2</x:v>
      </x:c>
      <x:c r="L2065" s="87" t="str">
        <x:v>Мировоззрение</x:v>
      </x:c>
      <x:c r="M2065" s="30" t="str">
        <x:v>Выберите верные суждения о мировоззрении и запишите цифры, под которыми они указаны. 1) Опора на личный жизненный опыт человека составляет ядро научного мировоззрения. 2) В отличие от религиозного, обыденное мировоззрение связано с ценностными представлениями о мире. 3) Мировоззренческие ценности определяют отношение к человеку, представление о его месте в природе и обществе, о смысле его жизни. 4) Знания и убеждения как компоненты мировоззрения проявляются в деятельности человека. 5) Основными функциями мировоззрения являются нормативная и коммуникативная.</x:v>
      </x:c>
      <x:c r="N2065" s="30" t="str">
        <x:v>34</x:v>
      </x:c>
      <x:c r="O2065" s="30" t="str">
        <x:v>Мировоззренческие ценности задают отношение человека к миру, а знания и убеждения проявляются в деятельности; остальные формулировки неверно описывают виды или функции мировоззрения.</x:v>
      </x:c>
      <x:c r="P2065" s="30" t="str">
        <x:v>Задание независимо решено; мировоззренческие ценности задают отношение человека к миру, а знания и убеждения проявляются в деятельности.</x:v>
      </x:c>
      <x:c r="Q2065" s="30"/>
      <x:c r="R2065" s="30" t="str">
        <x:v>34</x:v>
      </x:c>
      <x:c r="S2065" s="30"/>
      <x:c r="T2065" s="30"/>
      <x:c r="U2065" s="30" t="str">
        <x:v>Смешанный вариант: условие из ОБ2510602; ответ подтверждён официальным ключом ОБ2510603.</x:v>
      </x:c>
      <x:c r="V2065" s="87" t="str">
        <x:v>VERIFIED</x:v>
      </x:c>
      <x:c r="W2065" s="87" t="n">
        <x:v>2</x:v>
      </x:c>
      <x:c r="X2065" s="87"/>
      <x:c r="Y2065" s="87"/>
      <x:c r="Z2065" s="87"/>
      <x:c r="AA2065" s="87"/>
      <x:c r="AB2065" s="87"/>
      <x:c r="AC2065" s="87"/>
      <x:c r="AD2065" s="87"/>
      <x:c r="AE2065" s="87"/>
      <x:c r="AF2065" s="87"/>
      <x:c r="AG2065" s="87"/>
      <x:c r="AH2065" s="87"/>
      <x:c r="AI2065" s="30"/>
      <x:c r="AJ2065" s="87" t="str">
        <x:v>master</x:v>
      </x:c>
      <x:c r="AK2065" s="87" t="str">
        <x:v>master-v0.81</x:v>
      </x:c>
      <x:c r="AL2065" s="87" t="str">
        <x:v>statgrad_master_base_v0_81_final(2).xlsx</x:v>
      </x:c>
      <x:c r="AM2065" s="87" t="str">
        <x:v>SOC_Apr_V3</x:v>
      </x:c>
      <x:c r="AN2065" s="87" t="n">
        <x:v>3</x:v>
      </x:c>
    </x:row>
    <x:row r="2066">
      <x:c r="A2066" s="87" t="n">
        <x:v>2065</x:v>
      </x:c>
      <x:c r="B2066" s="87" t="str">
        <x:v>APR-SOC-V3-003</x:v>
      </x:c>
      <x:c r="C2066" s="87" t="str">
        <x:v>СтатГрад</x:v>
      </x:c>
      <x:c r="D2066" s="87" t="str">
        <x:v>Апрель 2026</x:v>
      </x:c>
      <x:c r="E2066" s="87"/>
      <x:c r="F2066" s="87"/>
      <x:c r="G2066" s="87" t="str">
        <x:v>Обществознание</x:v>
      </x:c>
      <x:c r="H2066" s="87" t="n">
        <x:v>11</x:v>
      </x:c>
      <x:c r="I2066" s="87" t="str">
        <x:v>ТР №6</x:v>
      </x:c>
      <x:c r="J2066" s="87" t="str">
        <x:v>ОБ2510603</x:v>
      </x:c>
      <x:c r="K2066" s="87" t="n">
        <x:v>3</x:v>
      </x:c>
      <x:c r="L2066" s="87" t="str">
        <x:v>Критерии истины</x:v>
      </x:c>
      <x:c r="M2066" s="30" t="str">
        <x:v>Установите соответствие между примерами и критериями истины: к каждой позиции, данной в первом столбце, подберите соответствующую позицию из второго столбца. ПРИМЕР КРИТЕРИЙ ИСТИНЫ А) рассуждение в соответствии 1) теоретический с законами логики 2) практический Б) проведение научного опыта В) установление фактов в результате наблюдения Г) согласованность выводов с общей системой знаний Д) использование данных, полученных с помощью органов чувств Запишите в таблицу выбранные цифры под соответствующими буквами. А Б В Г Д</x:v>
      </x:c>
      <x:c r="N2066" s="30" t="str">
        <x:v>12212</x:v>
      </x:c>
      <x:c r="O2066" s="30" t="str">
        <x:v>Логическая непротиворечивость и согласованность с системой знаний — теоретические критерии; опыт, наблюдение и чувственные данные — практические.</x:v>
      </x:c>
      <x:c r="P2066" s="30" t="str">
        <x:v>Задание независимо решено; логическая непротиворечивость и согласованность с системой знаний — теоретические критерии.</x:v>
      </x:c>
      <x:c r="Q2066" s="30"/>
      <x:c r="R2066" s="30" t="str">
        <x:v>12212</x:v>
      </x:c>
      <x:c r="S2066" s="30"/>
      <x:c r="T2066" s="30"/>
      <x:c r="U2066" s="30" t="str">
        <x:v>Смешанный вариант: условие из ОБ2510601; ответ подтверждён официальным ключом ОБ2510603.</x:v>
      </x:c>
      <x:c r="V2066" s="87" t="str">
        <x:v>VERIFIED</x:v>
      </x:c>
      <x:c r="W2066" s="87" t="n">
        <x:v>3</x:v>
      </x:c>
      <x:c r="X2066" s="87"/>
      <x:c r="Y2066" s="87"/>
      <x:c r="Z2066" s="87"/>
      <x:c r="AA2066" s="87"/>
      <x:c r="AB2066" s="87"/>
      <x:c r="AC2066" s="87"/>
      <x:c r="AD2066" s="87"/>
      <x:c r="AE2066" s="87"/>
      <x:c r="AF2066" s="87"/>
      <x:c r="AG2066" s="87"/>
      <x:c r="AH2066" s="87"/>
      <x:c r="AI2066" s="30"/>
      <x:c r="AJ2066" s="87" t="str">
        <x:v>master</x:v>
      </x:c>
      <x:c r="AK2066" s="87" t="str">
        <x:v>master-v0.81</x:v>
      </x:c>
      <x:c r="AL2066" s="87" t="str">
        <x:v>statgrad_master_base_v0_81_final(2).xlsx</x:v>
      </x:c>
      <x:c r="AM2066" s="87" t="str">
        <x:v>SOC_Apr_V3</x:v>
      </x:c>
      <x:c r="AN2066" s="87" t="n">
        <x:v>4</x:v>
      </x:c>
    </x:row>
    <x:row r="2067">
      <x:c r="A2067" s="87" t="n">
        <x:v>2066</x:v>
      </x:c>
      <x:c r="B2067" s="87" t="str">
        <x:v>APR-SOC-V3-004</x:v>
      </x:c>
      <x:c r="C2067" s="87" t="str">
        <x:v>СтатГрад</x:v>
      </x:c>
      <x:c r="D2067" s="87" t="str">
        <x:v>Апрель 2026</x:v>
      </x:c>
      <x:c r="E2067" s="87"/>
      <x:c r="F2067" s="87"/>
      <x:c r="G2067" s="87" t="str">
        <x:v>Обществознание</x:v>
      </x:c>
      <x:c r="H2067" s="87" t="n">
        <x:v>11</x:v>
      </x:c>
      <x:c r="I2067" s="87" t="str">
        <x:v>ТР №6</x:v>
      </x:c>
      <x:c r="J2067" s="87" t="str">
        <x:v>ОБ2510603</x:v>
      </x:c>
      <x:c r="K2067" s="87" t="n">
        <x:v>4</x:v>
      </x:c>
      <x:c r="L2067" s="87" t="str">
        <x:v>Тенденции образования</x:v>
      </x:c>
      <x:c r="M2067" s="30" t="str">
        <x:v>Иван много читает и интересуется современной литературой. Он выбрал профессию инженера и поступил в инженерный класс. Его любимый предмет – информатика. После ремонта в школе, где учится Иван, установлены технические приспособления, которые позволяют учиться школьникам с ограниченными возможностями здоровья. Найдите в приведённом списке черты современного образования, которые иллюстрирует данный пример. Запишите цифры, под которыми они указаны. 1) гуманитаризация 2) компьютеризация 3) стандартизация 4) непрерывный характер 5) гуманизация 6) дистанционные формы обучения</x:v>
      </x:c>
      <x:c r="N2067" s="30" t="str">
        <x:v>25</x:v>
      </x:c>
      <x:c r="O2067" s="30" t="str">
        <x:v>Информатика и техническая оснащённость отражают компьютеризацию, а доступность среды для учащихся с ОВЗ — гуманизацию образования.</x:v>
      </x:c>
      <x:c r="P2067" s="30" t="str">
        <x:v>Задание независимо решено; информатика и техническая оснащённость отражают компьютеризацию, а доступность среды для учащихся с овз — гуманизацию образования..</x:v>
      </x:c>
      <x:c r="Q2067" s="30"/>
      <x:c r="R2067" s="30" t="str">
        <x:v>25</x:v>
      </x:c>
      <x:c r="S2067" s="30"/>
      <x:c r="T2067" s="30"/>
      <x:c r="U2067" s="30" t="str">
        <x:v>Смешанный вариант: условие из ОБ2510602; ответ подтверждён официальным ключом ОБ2510603.</x:v>
      </x:c>
      <x:c r="V2067" s="87" t="str">
        <x:v>VERIFIED</x:v>
      </x:c>
      <x:c r="W2067" s="87" t="n">
        <x:v>3</x:v>
      </x:c>
      <x:c r="X2067" s="87"/>
      <x:c r="Y2067" s="87"/>
      <x:c r="Z2067" s="87"/>
      <x:c r="AA2067" s="87"/>
      <x:c r="AB2067" s="87"/>
      <x:c r="AC2067" s="87"/>
      <x:c r="AD2067" s="87"/>
      <x:c r="AE2067" s="87"/>
      <x:c r="AF2067" s="87"/>
      <x:c r="AG2067" s="87"/>
      <x:c r="AH2067" s="87"/>
      <x:c r="AI2067" s="30"/>
      <x:c r="AJ2067" s="87" t="str">
        <x:v>master</x:v>
      </x:c>
      <x:c r="AK2067" s="87" t="str">
        <x:v>master-v0.81</x:v>
      </x:c>
      <x:c r="AL2067" s="87" t="str">
        <x:v>statgrad_master_base_v0_81_final(2).xlsx</x:v>
      </x:c>
      <x:c r="AM2067" s="87" t="str">
        <x:v>SOC_Apr_V3</x:v>
      </x:c>
      <x:c r="AN2067" s="87" t="n">
        <x:v>5</x:v>
      </x:c>
    </x:row>
    <x:row r="2068">
      <x:c r="A2068" s="87" t="n">
        <x:v>2067</x:v>
      </x:c>
      <x:c r="B2068" s="87" t="str">
        <x:v>APR-SOC-V3-005</x:v>
      </x:c>
      <x:c r="C2068" s="87" t="str">
        <x:v>СтатГрад</x:v>
      </x:c>
      <x:c r="D2068" s="87" t="str">
        <x:v>Апрель 2026</x:v>
      </x:c>
      <x:c r="E2068" s="87"/>
      <x:c r="F2068" s="87"/>
      <x:c r="G2068" s="87" t="str">
        <x:v>Обществознание</x:v>
      </x:c>
      <x:c r="H2068" s="87" t="n">
        <x:v>11</x:v>
      </x:c>
      <x:c r="I2068" s="87" t="str">
        <x:v>ТР №6</x:v>
      </x:c>
      <x:c r="J2068" s="87" t="str">
        <x:v>ОБ2510603</x:v>
      </x:c>
      <x:c r="K2068" s="87" t="n">
        <x:v>5</x:v>
      </x:c>
      <x:c r="L2068" s="87" t="str">
        <x:v>Экономическая политика</x:v>
      </x:c>
      <x:c r="M2068" s="30" t="str">
        <x:v>Выберите верные суждения о функциях, направлениях и инструментах экономической политики государства и запишите цифры, под которыми они указаны. 1) К экономическим функциям государства относятся производство общественных благ и компенсация внешних эффектов. 2) Структурная политика государства направлена на ликвидацию экономических проблем, на «оздоровление» экономики. 3) Деятельность государства в области налогообложения – это компонент фискальной политики. 4) Прямое государственное регулирование рыночной экономики предполагает использование монетарной политики. 5) Денежно-кредитная политика государства связана с установлением учётной ставки и нормы обязательных банковских резервов.</x:v>
      </x:c>
      <x:c r="N2068" s="30" t="str">
        <x:v>135</x:v>
      </x:c>
      <x:c r="O2068" s="30" t="str">
        <x:v>Государство производит общественные блага и компенсирует внешние эффекты; налоги относятся к фискальной, а ставка и резервы — к денежно-кредитной политике.</x:v>
      </x:c>
      <x:c r="P2068" s="30" t="str">
        <x:v>Задание независимо решено; государство производит общественные блага и компенсирует внешние эффекты.</x:v>
      </x:c>
      <x:c r="Q2068" s="30"/>
      <x:c r="R2068" s="30" t="str">
        <x:v>135</x:v>
      </x:c>
      <x:c r="S2068" s="30"/>
      <x:c r="T2068" s="30"/>
      <x:c r="U2068" s="30" t="str">
        <x:v>Смешанный вариант: условие из ОБ2510601; ответ подтверждён официальным ключом ОБ2510603.</x:v>
      </x:c>
      <x:c r="V2068" s="87" t="str">
        <x:v>VERIFIED</x:v>
      </x:c>
      <x:c r="W2068" s="87" t="n">
        <x:v>4</x:v>
      </x:c>
      <x:c r="X2068" s="87"/>
      <x:c r="Y2068" s="87"/>
      <x:c r="Z2068" s="87"/>
      <x:c r="AA2068" s="87"/>
      <x:c r="AB2068" s="87"/>
      <x:c r="AC2068" s="87"/>
      <x:c r="AD2068" s="87"/>
      <x:c r="AE2068" s="87"/>
      <x:c r="AF2068" s="87"/>
      <x:c r="AG2068" s="87"/>
      <x:c r="AH2068" s="87"/>
      <x:c r="AI2068" s="30"/>
      <x:c r="AJ2068" s="87" t="str">
        <x:v>master</x:v>
      </x:c>
      <x:c r="AK2068" s="87" t="str">
        <x:v>master-v0.81</x:v>
      </x:c>
      <x:c r="AL2068" s="87" t="str">
        <x:v>statgrad_master_base_v0_81_final(2).xlsx</x:v>
      </x:c>
      <x:c r="AM2068" s="87" t="str">
        <x:v>SOC_Apr_V3</x:v>
      </x:c>
      <x:c r="AN2068" s="87" t="n">
        <x:v>6</x:v>
      </x:c>
    </x:row>
    <x:row r="2069">
      <x:c r="A2069" s="87" t="n">
        <x:v>2068</x:v>
      </x:c>
      <x:c r="B2069" s="87" t="str">
        <x:v>APR-SOC-V3-006</x:v>
      </x:c>
      <x:c r="C2069" s="87" t="str">
        <x:v>СтатГрад</x:v>
      </x:c>
      <x:c r="D2069" s="87" t="str">
        <x:v>Апрель 2026</x:v>
      </x:c>
      <x:c r="E2069" s="87"/>
      <x:c r="F2069" s="87"/>
      <x:c r="G2069" s="87" t="str">
        <x:v>Обществознание</x:v>
      </x:c>
      <x:c r="H2069" s="87" t="n">
        <x:v>11</x:v>
      </x:c>
      <x:c r="I2069" s="87" t="str">
        <x:v>ТР №6</x:v>
      </x:c>
      <x:c r="J2069" s="87" t="str">
        <x:v>ОБ2510603</x:v>
      </x:c>
      <x:c r="K2069" s="87" t="n">
        <x:v>6</x:v>
      </x:c>
      <x:c r="L2069" s="87" t="str">
        <x:v>Факторы экономического роста</x:v>
      </x:c>
      <x:c r="M2069" s="30" t="str">
        <x:v>Установите соответствие между примерами и факторами экономического роста: к каждой позиции, данной в первом столбце, подберите соответствующую позицию из второго столбца. ПРИМЕРЫ: А) рост продолжительности рабочего дня; Б) дополнительный наём работников; В) использование режима экономии; Г) внедрение достижений научно-технического прогресса; Д) повышение квалификации сотрудников. ФАКТОРЫ: 1) интенсивный; 2) экстенсивный.</x:v>
      </x:c>
      <x:c r="N2069" s="30" t="str">
        <x:v>22111</x:v>
      </x:c>
      <x:c r="O2069" s="30" t="str">
        <x:v>Увеличение рабочего времени и числа работников расширяет количество ресурсов; экономия, технологии и квалификация повышают эффективность имеющихся ресурсов.</x:v>
      </x:c>
      <x:c r="P2069" s="30" t="str">
        <x:v>Задание независимо решено; увеличение рабочего времени и числа работников расширяет количество ресурсов.</x:v>
      </x:c>
      <x:c r="Q2069" s="30"/>
      <x:c r="R2069" s="30" t="str">
        <x:v>22111</x:v>
      </x:c>
      <x:c r="S2069" s="30"/>
      <x:c r="T2069" s="30"/>
      <x:c r="U2069" s="30" t="str">
        <x:v>Смешанный вариант: условие из ОБ2510602; ответ подтверждён официальным ключом ОБ2510603.</x:v>
      </x:c>
      <x:c r="V2069" s="87" t="str">
        <x:v>VERIFIED</x:v>
      </x:c>
      <x:c r="W2069" s="87" t="n">
        <x:v>4</x:v>
      </x:c>
      <x:c r="X2069" s="87"/>
      <x:c r="Y2069" s="87"/>
      <x:c r="Z2069" s="87"/>
      <x:c r="AA2069" s="87"/>
      <x:c r="AB2069" s="87"/>
      <x:c r="AC2069" s="87"/>
      <x:c r="AD2069" s="87"/>
      <x:c r="AE2069" s="87"/>
      <x:c r="AF2069" s="87"/>
      <x:c r="AG2069" s="87"/>
      <x:c r="AH2069" s="87"/>
      <x:c r="AI2069" s="30"/>
      <x:c r="AJ2069" s="87" t="str">
        <x:v>master</x:v>
      </x:c>
      <x:c r="AK2069" s="87" t="str">
        <x:v>master-v0.81</x:v>
      </x:c>
      <x:c r="AL2069" s="87" t="str">
        <x:v>statgrad_master_base_v0_81_final(2).xlsx</x:v>
      </x:c>
      <x:c r="AM2069" s="87" t="str">
        <x:v>SOC_Apr_V3</x:v>
      </x:c>
      <x:c r="AN2069" s="87" t="n">
        <x:v>7</x:v>
      </x:c>
    </x:row>
    <x:row r="2070">
      <x:c r="A2070" s="87" t="n">
        <x:v>2069</x:v>
      </x:c>
      <x:c r="B2070" s="87" t="str">
        <x:v>APR-SOC-V3-007</x:v>
      </x:c>
      <x:c r="C2070" s="87" t="str">
        <x:v>СтатГрад</x:v>
      </x:c>
      <x:c r="D2070" s="87" t="str">
        <x:v>Апрель 2026</x:v>
      </x:c>
      <x:c r="E2070" s="87"/>
      <x:c r="F2070" s="87"/>
      <x:c r="G2070" s="87" t="str">
        <x:v>Обществознание</x:v>
      </x:c>
      <x:c r="H2070" s="87" t="n">
        <x:v>11</x:v>
      </x:c>
      <x:c r="I2070" s="87" t="str">
        <x:v>ТР №6</x:v>
      </x:c>
      <x:c r="J2070" s="87" t="str">
        <x:v>ОБ2510603</x:v>
      </x:c>
      <x:c r="K2070" s="87" t="n">
        <x:v>7</x:v>
      </x:c>
      <x:c r="L2070" s="87" t="str">
        <x:v>Структурная безработица</x:v>
      </x:c>
      <x:c r="M2070" s="30" t="str">
        <x:v>Безработицу в стране Z охарактеризовали как структурную. Найдите в приведённом списке подтверждения данной характеристики. Запишите цифры, под которыми они указаны. 1) Безработица резко возросла в начале лета, когда множество выпускников средних и высших учебных заведений, получивших профессиональное образование, стали искать работу. 2) В стране Z в условиях экономического кризиса закрываются крупные предприятия и разоряются представители малого и среднего бизнеса. 3) Начался сезон дождей, и владельцы гостиниц, пляжей, кафе и ресторанов на морском побережье прекратили работу. 4) Внедрение инновационных производственных технологий привело к исчезновению определённых специальностей. 5) Государство Z активно поощряет производителей, которые проводят автоматизацию и роботизацию производства, вследствие чего произошли увольнения работников. 6) В стране Z происходят массовые увольнения работников обрабатывающей промышленности, имеющих квалификацию, недостаточную для функционирования конкурентоспособного производства.</x:v>
      </x:c>
      <x:c r="N2070" s="30" t="str">
        <x:v>456</x:v>
      </x:c>
      <x:c r="O2070" s="30" t="str">
        <x:v>Исчезновение профессий, автоматизация и несоответствие квалификации структуре спроса на труд характеризуют структурную безработицу.</x:v>
      </x:c>
      <x:c r="P2070" s="30" t="str">
        <x:v>Задание независимо решено; исчезновение профессий, автоматизация и несоответствие квалификации структуре спроса на труд характеризуют структурную безработицу..</x:v>
      </x:c>
      <x:c r="Q2070" s="30"/>
      <x:c r="R2070" s="30" t="str">
        <x:v>456</x:v>
      </x:c>
      <x:c r="S2070" s="30"/>
      <x:c r="T2070" s="30"/>
      <x:c r="U2070" s="30" t="str">
        <x:v>Смешанный вариант: условие из ОБ2510601; ответ подтверждён официальным ключом ОБ2510603.</x:v>
      </x:c>
      <x:c r="V2070" s="87" t="str">
        <x:v>VERIFIED</x:v>
      </x:c>
      <x:c r="W2070" s="87" t="n">
        <x:v>5</x:v>
      </x:c>
      <x:c r="X2070" s="87"/>
      <x:c r="Y2070" s="87"/>
      <x:c r="Z2070" s="87"/>
      <x:c r="AA2070" s="87"/>
      <x:c r="AB2070" s="87"/>
      <x:c r="AC2070" s="87"/>
      <x:c r="AD2070" s="87"/>
      <x:c r="AE2070" s="87"/>
      <x:c r="AF2070" s="87"/>
      <x:c r="AG2070" s="87"/>
      <x:c r="AH2070" s="87"/>
      <x:c r="AI2070" s="30"/>
      <x:c r="AJ2070" s="87" t="str">
        <x:v>master</x:v>
      </x:c>
      <x:c r="AK2070" s="87" t="str">
        <x:v>master-v0.81</x:v>
      </x:c>
      <x:c r="AL2070" s="87" t="str">
        <x:v>statgrad_master_base_v0_81_final(2).xlsx</x:v>
      </x:c>
      <x:c r="AM2070" s="87" t="str">
        <x:v>SOC_Apr_V3</x:v>
      </x:c>
      <x:c r="AN2070" s="87" t="n">
        <x:v>8</x:v>
      </x:c>
    </x:row>
    <x:row r="2071">
      <x:c r="A2071" s="87" t="n">
        <x:v>2070</x:v>
      </x:c>
      <x:c r="B2071" s="87" t="str">
        <x:v>APR-SOC-V3-008</x:v>
      </x:c>
      <x:c r="C2071" s="87" t="str">
        <x:v>СтатГрад</x:v>
      </x:c>
      <x:c r="D2071" s="87" t="str">
        <x:v>Апрель 2026</x:v>
      </x:c>
      <x:c r="E2071" s="87"/>
      <x:c r="F2071" s="87"/>
      <x:c r="G2071" s="87" t="str">
        <x:v>Обществознание</x:v>
      </x:c>
      <x:c r="H2071" s="87" t="n">
        <x:v>11</x:v>
      </x:c>
      <x:c r="I2071" s="87" t="str">
        <x:v>ТР №6</x:v>
      </x:c>
      <x:c r="J2071" s="87" t="str">
        <x:v>ОБ2510603</x:v>
      </x:c>
      <x:c r="K2071" s="87" t="n">
        <x:v>8</x:v>
      </x:c>
      <x:c r="L2071" s="87" t="str">
        <x:v>Общественные отношения</x:v>
      </x:c>
      <x:c r="M2071" s="30" t="str">
        <x:v>Выберите верные суждения об общественных отношениях и их регулировании и запишите цифры, под которыми они указаны. 1) Случайный контакт или эпизодическое взаимодействие людей являются примерами общественных отношений. 2) Регулирование общественных отношений и функции социального контроля в современном обществе может осуществлять только государство. 3) Сотрудничество и соперничество, осуществляемые в разных формах, являются проявлением общественных отношений. 4) Общественные отношения характеризуются устойчивостью и повторяемостью взаимодействий между людьми, социальными группами, общностями и институтами. 5) К общественным отношениям относят прогресс и регресс.</x:v>
      </x:c>
      <x:c r="N2071" s="30" t="str">
        <x:v>34</x:v>
      </x:c>
      <x:c r="O2071" s="30" t="str">
        <x:v>Общественные отношения устойчивы и повторяемы; сотрудничество и соперничество являются их формами. Случайный контакт и процессы прогресса/регресса ими не являются.</x:v>
      </x:c>
      <x:c r="P2071" s="30" t="str">
        <x:v>Задание независимо решено; общественные отношения устойчивы и повторяемы.</x:v>
      </x:c>
      <x:c r="Q2071" s="30"/>
      <x:c r="R2071" s="30" t="str">
        <x:v>34</x:v>
      </x:c>
      <x:c r="S2071" s="30"/>
      <x:c r="T2071" s="30"/>
      <x:c r="U2071" s="30" t="str">
        <x:v>Смешанный вариант: условие из ОБ2510602; ответ подтверждён официальным ключом ОБ2510603.</x:v>
      </x:c>
      <x:c r="V2071" s="87" t="str">
        <x:v>VERIFIED</x:v>
      </x:c>
      <x:c r="W2071" s="87" t="n">
        <x:v>5</x:v>
      </x:c>
      <x:c r="X2071" s="87"/>
      <x:c r="Y2071" s="87"/>
      <x:c r="Z2071" s="87"/>
      <x:c r="AA2071" s="87"/>
      <x:c r="AB2071" s="87"/>
      <x:c r="AC2071" s="87"/>
      <x:c r="AD2071" s="87"/>
      <x:c r="AE2071" s="87"/>
      <x:c r="AF2071" s="87"/>
      <x:c r="AG2071" s="87"/>
      <x:c r="AH2071" s="87"/>
      <x:c r="AI2071" s="30"/>
      <x:c r="AJ2071" s="87" t="str">
        <x:v>master</x:v>
      </x:c>
      <x:c r="AK2071" s="87" t="str">
        <x:v>master-v0.81</x:v>
      </x:c>
      <x:c r="AL2071" s="87" t="str">
        <x:v>statgrad_master_base_v0_81_final(2).xlsx</x:v>
      </x:c>
      <x:c r="AM2071" s="87" t="str">
        <x:v>SOC_Apr_V3</x:v>
      </x:c>
      <x:c r="AN2071" s="87" t="n">
        <x:v>9</x:v>
      </x:c>
    </x:row>
    <x:row r="2072">
      <x:c r="A2072" s="87" t="n">
        <x:v>2071</x:v>
      </x:c>
      <x:c r="B2072" s="87" t="str">
        <x:v>APR-SOC-V3-009</x:v>
      </x:c>
      <x:c r="C2072" s="87" t="str">
        <x:v>СтатГрад</x:v>
      </x:c>
      <x:c r="D2072" s="87" t="str">
        <x:v>Апрель 2026</x:v>
      </x:c>
      <x:c r="E2072" s="87"/>
      <x:c r="F2072" s="87"/>
      <x:c r="G2072" s="87" t="str">
        <x:v>Обществознание</x:v>
      </x:c>
      <x:c r="H2072" s="87" t="n">
        <x:v>11</x:v>
      </x:c>
      <x:c r="I2072" s="87" t="str">
        <x:v>ТР №6</x:v>
      </x:c>
      <x:c r="J2072" s="87" t="str">
        <x:v>ОБ2510603</x:v>
      </x:c>
      <x:c r="K2072" s="87" t="n">
        <x:v>9</x:v>
      </x:c>
      <x:c r="L2072" s="87" t="str">
        <x:v>Анализ диаграммы</x:v>
      </x:c>
      <x:c r="M2072" s="30" t="str">
        <x:v>В ходе социологического опроса об отношении к телемедицине совершеннолетним гражданам задавали вопрос: «Скажите, если Ваш врач после очного приёма предложит следующий плановый визит заменить на дистанционный – через специальное приложение или онлайн-сервис, Вы скорее согласитесь или скорее откажетесь?» Результаты опроса (один ответ, в % от числа отвечавших) приведены на диаграмме. Найдите в приведённом списке выводы, которые можно сделать на основе диаграммы, и запишите цифры, под которыми они указаны. 1) Большинство опрошенных в каждой группе предпочитают отказаться от дистанционного визита к врачу. 2) В отличие от опрошенных, которые не пользуются интернетом и телевидением, активные телезрители указали, что скорее откажутся от дистанционного визита к врачу. 3) Среди тех, кто указал, что скорее согласится на дистанционный визит к врачу, наибольшая доля опрошенных в группе активных потребителей интернета. 4) Среди активных телезрителей и тех, кто не пользуется интернетом и телевидением примерно равны доли опрошенных, которые затруднились ответить, так как нуждаются в дополнительной информации. 5) Доля активных потребителей телевидения и интернета, которые указали, что скорее согласятся на дистанционный визит к врачу, не превышает долю активных потребителей интернета, высказавших аналогичное мнение.</x:v>
      </x:c>
      <x:c r="N2072" s="30" t="str">
        <x:v>345</x:v>
      </x:c>
      <x:c r="O2072" s="30" t="str">
        <x:v>Выводы 3, 4 и 5 непосредственно соответствуют соотношениям столбцов диаграммы; остальные неверно сравнивают группы или обобщают большинство.</x:v>
      </x:c>
      <x:c r="P2072" s="30" t="str">
        <x:v>Задание независимо решено; выводы 3, 4 и 5 непосредственно соответствуют соотношениям столбцов диаграммы.</x:v>
      </x:c>
      <x:c r="Q2072" s="30"/>
      <x:c r="R2072" s="30" t="str">
        <x:v>345</x:v>
      </x:c>
      <x:c r="S2072" s="30"/>
      <x:c r="T2072" s="30"/>
      <x:c r="U2072" s="30" t="str">
        <x:v>Смешанный вариант: условие из ОБ2510601; ответ подтверждён официальным ключом ОБ2510603.</x:v>
      </x:c>
      <x:c r="V2072" s="87" t="str">
        <x:v>VERIFIED</x:v>
      </x:c>
      <x:c r="W2072" s="87" t="n">
        <x:v>6</x:v>
      </x:c>
      <x:c r="X2072" s="87"/>
      <x:c r="Y2072" s="87"/>
      <x:c r="Z2072" s="87"/>
      <x:c r="AA2072" s="87"/>
      <x:c r="AB2072" s="87"/>
      <x:c r="AC2072" s="87"/>
      <x:c r="AD2072" s="87"/>
      <x:c r="AE2072" s="87"/>
      <x:c r="AF2072" s="87"/>
      <x:c r="AG2072" s="87"/>
      <x:c r="AH2072" s="87"/>
      <x:c r="AI2072" s="30"/>
      <x:c r="AJ2072" s="87" t="str">
        <x:v>master</x:v>
      </x:c>
      <x:c r="AK2072" s="87" t="str">
        <x:v>master-v0.81</x:v>
      </x:c>
      <x:c r="AL2072" s="87" t="str">
        <x:v>statgrad_master_base_v0_81_final(2).xlsx</x:v>
      </x:c>
      <x:c r="AM2072" s="87" t="str">
        <x:v>SOC_Apr_V3</x:v>
      </x:c>
      <x:c r="AN2072" s="87" t="n">
        <x:v>10</x:v>
      </x:c>
    </x:row>
    <x:row r="2073">
      <x:c r="A2073" s="87" t="n">
        <x:v>2072</x:v>
      </x:c>
      <x:c r="B2073" s="87" t="str">
        <x:v>APR-SOC-V3-010</x:v>
      </x:c>
      <x:c r="C2073" s="87" t="str">
        <x:v>СтатГрад</x:v>
      </x:c>
      <x:c r="D2073" s="87" t="str">
        <x:v>Апрель 2026</x:v>
      </x:c>
      <x:c r="E2073" s="87"/>
      <x:c r="F2073" s="87"/>
      <x:c r="G2073" s="87" t="str">
        <x:v>Обществознание</x:v>
      </x:c>
      <x:c r="H2073" s="87" t="n">
        <x:v>11</x:v>
      </x:c>
      <x:c r="I2073" s="87" t="str">
        <x:v>ТР №6</x:v>
      </x:c>
      <x:c r="J2073" s="87" t="str">
        <x:v>ОБ2510603</x:v>
      </x:c>
      <x:c r="K2073" s="87" t="n">
        <x:v>10</x:v>
      </x:c>
      <x:c r="L2073" s="87" t="str">
        <x:v>СМИ в политике</x:v>
      </x:c>
      <x:c r="M2073" s="30" t="str">
        <x:v>Выберите верные суждения о роли средств массовой информации (СМИ) в политической жизни общества и запишите цифры, под которыми они указаны. 1) Распространяя политическую информацию, СМИ не воздействуют на формирование политических взглядов и ценностей у своей аудитории. 2) Политические СМИ можно рассматривать как компонент нормативной подсистемы. 3) Такая функция СМИ, как формирование общественного мнения, приобретает особое значение в период выборов. 4) Деятельность СМИ в демократическом обществе основана на принципах свободы слова и свободы доступа к информации. 5) При публикации непроверенных политических новостей средство массовой информации нарушает принцип социальной ответственности СМИ.</x:v>
      </x:c>
      <x:c r="N2073" s="30" t="str">
        <x:v>345</x:v>
      </x:c>
      <x:c r="O2073" s="30" t="str">
        <x:v>СМИ формируют общественное мнение, действуют при свободе слова и несут социальную ответственность за проверку информации.</x:v>
      </x:c>
      <x:c r="P2073" s="30" t="str">
        <x:v>Задание независимо решено; сми формируют общественное мнение, действуют при свободе слова и несут социальную ответственность за проверку информации..</x:v>
      </x:c>
      <x:c r="Q2073" s="30"/>
      <x:c r="R2073" s="30" t="str">
        <x:v>345</x:v>
      </x:c>
      <x:c r="S2073" s="30"/>
      <x:c r="T2073" s="30"/>
      <x:c r="U2073" s="30" t="str">
        <x:v>Смешанный вариант: условие из ОБ2510602; ответ подтверждён официальным ключом ОБ2510603.</x:v>
      </x:c>
      <x:c r="V2073" s="87" t="str">
        <x:v>VERIFIED</x:v>
      </x:c>
      <x:c r="W2073" s="87" t="n">
        <x:v>7</x:v>
      </x:c>
      <x:c r="X2073" s="87"/>
      <x:c r="Y2073" s="87"/>
      <x:c r="Z2073" s="87"/>
      <x:c r="AA2073" s="87"/>
      <x:c r="AB2073" s="87"/>
      <x:c r="AC2073" s="87"/>
      <x:c r="AD2073" s="87"/>
      <x:c r="AE2073" s="87"/>
      <x:c r="AF2073" s="87"/>
      <x:c r="AG2073" s="87"/>
      <x:c r="AH2073" s="87"/>
      <x:c r="AI2073" s="30"/>
      <x:c r="AJ2073" s="87" t="str">
        <x:v>master</x:v>
      </x:c>
      <x:c r="AK2073" s="87" t="str">
        <x:v>master-v0.81</x:v>
      </x:c>
      <x:c r="AL2073" s="87" t="str">
        <x:v>statgrad_master_base_v0_81_final(2).xlsx</x:v>
      </x:c>
      <x:c r="AM2073" s="87" t="str">
        <x:v>SOC_Apr_V3</x:v>
      </x:c>
      <x:c r="AN2073" s="87" t="n">
        <x:v>11</x:v>
      </x:c>
    </x:row>
    <x:row r="2074">
      <x:c r="A2074" s="87" t="n">
        <x:v>2073</x:v>
      </x:c>
      <x:c r="B2074" s="87" t="str">
        <x:v>APR-SOC-V3-011</x:v>
      </x:c>
      <x:c r="C2074" s="87" t="str">
        <x:v>СтатГрад</x:v>
      </x:c>
      <x:c r="D2074" s="87" t="str">
        <x:v>Апрель 2026</x:v>
      </x:c>
      <x:c r="E2074" s="87"/>
      <x:c r="F2074" s="87"/>
      <x:c r="G2074" s="87" t="str">
        <x:v>Обществознание</x:v>
      </x:c>
      <x:c r="H2074" s="87" t="n">
        <x:v>11</x:v>
      </x:c>
      <x:c r="I2074" s="87" t="str">
        <x:v>ТР №6</x:v>
      </x:c>
      <x:c r="J2074" s="87" t="str">
        <x:v>ОБ2510603</x:v>
      </x:c>
      <x:c r="K2074" s="87" t="n">
        <x:v>11</x:v>
      </x:c>
      <x:c r="L2074" s="87" t="str">
        <x:v>Политическая партия</x:v>
      </x:c>
      <x:c r="M2074" s="30" t="str">
        <x:v>Одна из политических партий государства Z, выступающая в поддержку традиционных институтов и ценностей, сохранения устоев и сложившегося общественного порядка, получила большинство голосов на выборах в парламент и сформировала правительство. Что из перечисленного характеризует эту партию? Запишите цифры, под которыми указаны эти характеристики. 1) массовая партия 2) консервативная партия 3) правящая партия 4) социалистическая партия 5) легальная партия 6) революционная партия</x:v>
      </x:c>
      <x:c r="N2074" s="30" t="str">
        <x:v>235</x:v>
      </x:c>
      <x:c r="O2074" s="30" t="str">
        <x:v>Поддержка традиций указывает на консервативную идеологию; победа на выборах делает партию правящей, участие в законной политике — легальной.</x:v>
      </x:c>
      <x:c r="P2074" s="30" t="str">
        <x:v>Задание независимо решено; поддержка традиций указывает на консервативную идеологию.</x:v>
      </x:c>
      <x:c r="Q2074" s="30"/>
      <x:c r="R2074" s="30" t="str">
        <x:v>235</x:v>
      </x:c>
      <x:c r="S2074" s="30"/>
      <x:c r="T2074" s="30"/>
      <x:c r="U2074" s="30" t="str">
        <x:v>Смешанный вариант: условие из ОБ2510601; ответ подтверждён официальным ключом ОБ2510603.</x:v>
      </x:c>
      <x:c r="V2074" s="87" t="str">
        <x:v>VERIFIED</x:v>
      </x:c>
      <x:c r="W2074" s="87" t="n">
        <x:v>7</x:v>
      </x:c>
      <x:c r="X2074" s="87"/>
      <x:c r="Y2074" s="87"/>
      <x:c r="Z2074" s="87"/>
      <x:c r="AA2074" s="87"/>
      <x:c r="AB2074" s="87"/>
      <x:c r="AC2074" s="87"/>
      <x:c r="AD2074" s="87"/>
      <x:c r="AE2074" s="87"/>
      <x:c r="AF2074" s="87"/>
      <x:c r="AG2074" s="87"/>
      <x:c r="AH2074" s="87"/>
      <x:c r="AI2074" s="30"/>
      <x:c r="AJ2074" s="87" t="str">
        <x:v>master</x:v>
      </x:c>
      <x:c r="AK2074" s="87" t="str">
        <x:v>master-v0.81</x:v>
      </x:c>
      <x:c r="AL2074" s="87" t="str">
        <x:v>statgrad_master_base_v0_81_final(2).xlsx</x:v>
      </x:c>
      <x:c r="AM2074" s="87" t="str">
        <x:v>SOC_Apr_V3</x:v>
      </x:c>
      <x:c r="AN2074" s="87" t="n">
        <x:v>12</x:v>
      </x:c>
    </x:row>
    <x:row r="2075">
      <x:c r="A2075" s="87" t="n">
        <x:v>2074</x:v>
      </x:c>
      <x:c r="B2075" s="87" t="str">
        <x:v>APR-SOC-V3-012</x:v>
      </x:c>
      <x:c r="C2075" s="87" t="str">
        <x:v>СтатГрад</x:v>
      </x:c>
      <x:c r="D2075" s="87" t="str">
        <x:v>Апрель 2026</x:v>
      </x:c>
      <x:c r="E2075" s="87"/>
      <x:c r="F2075" s="87"/>
      <x:c r="G2075" s="87" t="str">
        <x:v>Обществознание</x:v>
      </x:c>
      <x:c r="H2075" s="87" t="n">
        <x:v>11</x:v>
      </x:c>
      <x:c r="I2075" s="87" t="str">
        <x:v>ТР №6</x:v>
      </x:c>
      <x:c r="J2075" s="87" t="str">
        <x:v>ОБ2510603</x:v>
      </x:c>
      <x:c r="K2075" s="87" t="n">
        <x:v>12</x:v>
      </x:c>
      <x:c r="L2075" s="87" t="str">
        <x:v>Культурные права</x:v>
      </x:c>
      <x:c r="M2075" s="30" t="str">
        <x:v>Выберите в приведённом списке положения, характеризующие культурные права граждан Российской Федерации. Запишите цифры, под которыми они указаны. 1) получение достоверной информации о состоянии окружающей среды 2) пользование учреждениями культуры 3) доступ к культурным ценностям 4) выбор рода деятельности и профессии 5) сохранение исторического и культурного наследия</x:v>
      </x:c>
      <x:c r="N2075" s="30" t="str">
        <x:v>23</x:v>
      </x:c>
      <x:c r="O2075" s="30" t="str">
        <x:v>К культурным правам относятся пользование учреждениями культуры и доступ к культурным ценностям; сохранение наследия сформулировано как обязанность.</x:v>
      </x:c>
      <x:c r="P2075" s="30" t="str">
        <x:v>Задание независимо решено; к культурным правам относятся пользование учреждениями культуры и доступ к культурным ценностям.</x:v>
      </x:c>
      <x:c r="Q2075" s="30"/>
      <x:c r="R2075" s="30" t="str">
        <x:v>23</x:v>
      </x:c>
      <x:c r="S2075" s="30"/>
      <x:c r="T2075" s="30"/>
      <x:c r="U2075" s="30" t="str">
        <x:v>Смешанный вариант: условие из ОБ2510602; ответ подтверждён официальным ключом ОБ2510603.</x:v>
      </x:c>
      <x:c r="V2075" s="87" t="str">
        <x:v>VERIFIED</x:v>
      </x:c>
      <x:c r="W2075" s="87" t="n">
        <x:v>8</x:v>
      </x:c>
      <x:c r="X2075" s="87"/>
      <x:c r="Y2075" s="87"/>
      <x:c r="Z2075" s="87"/>
      <x:c r="AA2075" s="87"/>
      <x:c r="AB2075" s="87"/>
      <x:c r="AC2075" s="87"/>
      <x:c r="AD2075" s="87"/>
      <x:c r="AE2075" s="87"/>
      <x:c r="AF2075" s="87"/>
      <x:c r="AG2075" s="87"/>
      <x:c r="AH2075" s="87"/>
      <x:c r="AI2075" s="30"/>
      <x:c r="AJ2075" s="87" t="str">
        <x:v>master</x:v>
      </x:c>
      <x:c r="AK2075" s="87" t="str">
        <x:v>master-v0.81</x:v>
      </x:c>
      <x:c r="AL2075" s="87" t="str">
        <x:v>statgrad_master_base_v0_81_final(2).xlsx</x:v>
      </x:c>
      <x:c r="AM2075" s="87" t="str">
        <x:v>SOC_Apr_V3</x:v>
      </x:c>
      <x:c r="AN2075" s="87" t="n">
        <x:v>13</x:v>
      </x:c>
    </x:row>
    <x:row r="2076">
      <x:c r="A2076" s="87" t="n">
        <x:v>2075</x:v>
      </x:c>
      <x:c r="B2076" s="87" t="str">
        <x:v>APR-SOC-V3-013</x:v>
      </x:c>
      <x:c r="C2076" s="87" t="str">
        <x:v>СтатГрад</x:v>
      </x:c>
      <x:c r="D2076" s="87" t="str">
        <x:v>Апрель 2026</x:v>
      </x:c>
      <x:c r="E2076" s="87"/>
      <x:c r="F2076" s="87"/>
      <x:c r="G2076" s="87" t="str">
        <x:v>Обществознание</x:v>
      </x:c>
      <x:c r="H2076" s="87" t="n">
        <x:v>11</x:v>
      </x:c>
      <x:c r="I2076" s="87" t="str">
        <x:v>ТР №6</x:v>
      </x:c>
      <x:c r="J2076" s="87" t="str">
        <x:v>ОБ2510603</x:v>
      </x:c>
      <x:c r="K2076" s="87" t="n">
        <x:v>13</x:v>
      </x:c>
      <x:c r="L2076" s="87" t="str">
        <x:v>Органы государственной власти</x:v>
      </x:c>
      <x:c r="M2076" s="30" t="str">
        <x:v>Установите соответствие между полномочиями и субъектами государственной власти Российской Федерации, реализующими эти полномочия: к каждой позиции, данной в первом столбце, подберите соответствующую позицию из второго столбца. ПОЛНОМОЧИЕ СУБЪЕКТ ГОСУДАРСТВЕННОЙ ВЛАСТИ РОССИЙСКОЙ ФЕДЕРАЦИИ А) осуществление помилования 1) Государственная Дума Б) решение вопроса о доверии 2) Совет Федерации Правительству Российской Федерации 3) Президент Российской В) утверждение изменения границ между Федерации субъектами Российской Федерации Г) объявление амнистии Д) руководство внешней политикой Российской Федерации Запишите в таблицу выбранные цифры под соответствующими буквами. А Б В Г Д</x:v>
      </x:c>
      <x:c r="N2076" s="30" t="str">
        <x:v>31213</x:v>
      </x:c>
      <x:c r="O2076" s="30" t="str">
        <x:v>Помилование и внешняя политика относятся к Президенту; доверие Правительству и амнистия — к Государственной Думе; изменение границ субъектов утверждает Совет Федерации.</x:v>
      </x:c>
      <x:c r="P2076" s="30" t="str">
        <x:v>Задание независимо решено; помилование и внешняя политика относятся к президенту.</x:v>
      </x:c>
      <x:c r="Q2076" s="30"/>
      <x:c r="R2076" s="30" t="str">
        <x:v>31213</x:v>
      </x:c>
      <x:c r="S2076" s="30"/>
      <x:c r="T2076" s="30"/>
      <x:c r="U2076" s="30" t="str">
        <x:v>Смешанный вариант: условие из ОБ2510601; ответ подтверждён официальным ключом ОБ2510603.</x:v>
      </x:c>
      <x:c r="V2076" s="87" t="str">
        <x:v>VERIFIED</x:v>
      </x:c>
      <x:c r="W2076" s="87" t="n">
        <x:v>8</x:v>
      </x:c>
      <x:c r="X2076" s="87"/>
      <x:c r="Y2076" s="87"/>
      <x:c r="Z2076" s="87"/>
      <x:c r="AA2076" s="87"/>
      <x:c r="AB2076" s="87"/>
      <x:c r="AC2076" s="87"/>
      <x:c r="AD2076" s="87"/>
      <x:c r="AE2076" s="87"/>
      <x:c r="AF2076" s="87"/>
      <x:c r="AG2076" s="87"/>
      <x:c r="AH2076" s="87"/>
      <x:c r="AI2076" s="30"/>
      <x:c r="AJ2076" s="87" t="str">
        <x:v>master</x:v>
      </x:c>
      <x:c r="AK2076" s="87" t="str">
        <x:v>master-v0.81</x:v>
      </x:c>
      <x:c r="AL2076" s="87" t="str">
        <x:v>statgrad_master_base_v0_81_final(2).xlsx</x:v>
      </x:c>
      <x:c r="AM2076" s="87" t="str">
        <x:v>SOC_Apr_V3</x:v>
      </x:c>
      <x:c r="AN2076" s="87" t="n">
        <x:v>14</x:v>
      </x:c>
    </x:row>
    <x:row r="2077">
      <x:c r="A2077" s="87" t="n">
        <x:v>2076</x:v>
      </x:c>
      <x:c r="B2077" s="87" t="str">
        <x:v>APR-SOC-V3-014</x:v>
      </x:c>
      <x:c r="C2077" s="87" t="str">
        <x:v>СтатГрад</x:v>
      </x:c>
      <x:c r="D2077" s="87" t="str">
        <x:v>Апрель 2026</x:v>
      </x:c>
      <x:c r="E2077" s="87"/>
      <x:c r="F2077" s="87"/>
      <x:c r="G2077" s="87" t="str">
        <x:v>Обществознание</x:v>
      </x:c>
      <x:c r="H2077" s="87" t="n">
        <x:v>11</x:v>
      </x:c>
      <x:c r="I2077" s="87" t="str">
        <x:v>ТР №6</x:v>
      </x:c>
      <x:c r="J2077" s="87" t="str">
        <x:v>ОБ2510603</x:v>
      </x:c>
      <x:c r="K2077" s="87" t="n">
        <x:v>14</x:v>
      </x:c>
      <x:c r="L2077" s="87" t="str">
        <x:v>Гражданский процесс</x:v>
      </x:c>
      <x:c r="M2077" s="30" t="str">
        <x:v>Выберите верные суждения о гражданском процессуальном праве и запишите цифры, под которыми они указаны. 1) Гражданские споры подлежат рассмотрению в судах общей юрисдикции. 2) Право лично защищать в суде свои права, свободы и законные интересы имеет каждый человек, достигший возраста 14 лет. 3) Сторонами в гражданском судопроизводстве являются истец (взыскатель) и ответчик (должник). 4) Гражданский процесс не предусматривает участия юридических лиц в качестве сторон. 5) Для инициирования гражданского процесса следует направить исковое заявление в суд.</x:v>
      </x:c>
      <x:c r="N2077" s="30" t="str">
        <x:v>135</x:v>
      </x:c>
      <x:c r="O2077" s="30" t="str">
        <x:v>Гражданские споры рассматривают суды общей юрисдикции; участниками являются стороны, а процесс начинается подачей иска. Указанные ограничения 14 лет и запрет юрлиц неверны.</x:v>
      </x:c>
      <x:c r="P2077" s="30" t="str">
        <x:v>Задание независимо решено; гражданские споры рассматривают суды общей юрисдикции.</x:v>
      </x:c>
      <x:c r="Q2077" s="30"/>
      <x:c r="R2077" s="30" t="str">
        <x:v>135</x:v>
      </x:c>
      <x:c r="S2077" s="30"/>
      <x:c r="T2077" s="30"/>
      <x:c r="U2077" s="30" t="str">
        <x:v>Смешанный вариант: условие из ОБ2510602; ответ подтверждён официальным ключом ОБ2510603.</x:v>
      </x:c>
      <x:c r="V2077" s="87" t="str">
        <x:v>VERIFIED</x:v>
      </x:c>
      <x:c r="W2077" s="87" t="n">
        <x:v>9</x:v>
      </x:c>
      <x:c r="X2077" s="87"/>
      <x:c r="Y2077" s="87"/>
      <x:c r="Z2077" s="87"/>
      <x:c r="AA2077" s="87"/>
      <x:c r="AB2077" s="87"/>
      <x:c r="AC2077" s="87"/>
      <x:c r="AD2077" s="87"/>
      <x:c r="AE2077" s="87"/>
      <x:c r="AF2077" s="87"/>
      <x:c r="AG2077" s="87"/>
      <x:c r="AH2077" s="87"/>
      <x:c r="AI2077" s="30"/>
      <x:c r="AJ2077" s="87" t="str">
        <x:v>master</x:v>
      </x:c>
      <x:c r="AK2077" s="87" t="str">
        <x:v>master-v0.81</x:v>
      </x:c>
      <x:c r="AL2077" s="87" t="str">
        <x:v>statgrad_master_base_v0_81_final(2).xlsx</x:v>
      </x:c>
      <x:c r="AM2077" s="87" t="str">
        <x:v>SOC_Apr_V3</x:v>
      </x:c>
      <x:c r="AN2077" s="87" t="n">
        <x:v>15</x:v>
      </x:c>
    </x:row>
    <x:row r="2078">
      <x:c r="A2078" s="87" t="n">
        <x:v>2077</x:v>
      </x:c>
      <x:c r="B2078" s="87" t="str">
        <x:v>APR-SOC-V3-015</x:v>
      </x:c>
      <x:c r="C2078" s="87" t="str">
        <x:v>СтатГрад</x:v>
      </x:c>
      <x:c r="D2078" s="87" t="str">
        <x:v>Апрель 2026</x:v>
      </x:c>
      <x:c r="E2078" s="87"/>
      <x:c r="F2078" s="87"/>
      <x:c r="G2078" s="87" t="str">
        <x:v>Обществознание</x:v>
      </x:c>
      <x:c r="H2078" s="87" t="n">
        <x:v>11</x:v>
      </x:c>
      <x:c r="I2078" s="87" t="str">
        <x:v>ТР №6</x:v>
      </x:c>
      <x:c r="J2078" s="87" t="str">
        <x:v>ОБ2510603</x:v>
      </x:c>
      <x:c r="K2078" s="87" t="n">
        <x:v>15</x:v>
      </x:c>
      <x:c r="L2078" s="87" t="str">
        <x:v>Система права</x:v>
      </x:c>
      <x:c r="M2078" s="30" t="str">
        <x:v>Установите соответствие между отраслями права и их местом в системе права: к каждой позиции, данной в первом столбце, подберите соответствующую позицию из второго столбца. ОТРАСЛЬ ПРАВА МЕСТО В СИСТЕМЕ ПРАВА А) конституционное право 1) частное право Б) трудовое право 2) публичное право В) гражданское право Г) административное право Д) уголовное право Запишите в таблицу выбранные цифры под соответствующими буквами. А Б В Г Д</x:v>
      </x:c>
      <x:c r="N2078" s="30" t="str">
        <x:v>21122</x:v>
      </x:c>
      <x:c r="O2078" s="30" t="str">
        <x:v>Конституционное, административное и уголовное право относятся к публичному; трудовое и гражданское — к частному в принятой для задания классификации.</x:v>
      </x:c>
      <x:c r="P2078" s="30" t="str">
        <x:v>Задание независимо решено; конституционное, административное и уголовное право относятся к публичному.</x:v>
      </x:c>
      <x:c r="Q2078" s="30"/>
      <x:c r="R2078" s="30" t="str">
        <x:v>21122</x:v>
      </x:c>
      <x:c r="S2078" s="30"/>
      <x:c r="T2078" s="30"/>
      <x:c r="U2078" s="30" t="str">
        <x:v>Смешанный вариант: условие из ОБ2510601; ответ подтверждён официальным ключом ОБ2510603.</x:v>
      </x:c>
      <x:c r="V2078" s="87" t="str">
        <x:v>VERIFIED</x:v>
      </x:c>
      <x:c r="W2078" s="87" t="n">
        <x:v>9</x:v>
      </x:c>
      <x:c r="X2078" s="87"/>
      <x:c r="Y2078" s="87"/>
      <x:c r="Z2078" s="87"/>
      <x:c r="AA2078" s="87"/>
      <x:c r="AB2078" s="87"/>
      <x:c r="AC2078" s="87"/>
      <x:c r="AD2078" s="87"/>
      <x:c r="AE2078" s="87"/>
      <x:c r="AF2078" s="87"/>
      <x:c r="AG2078" s="87"/>
      <x:c r="AH2078" s="87"/>
      <x:c r="AI2078" s="30"/>
      <x:c r="AJ2078" s="87" t="str">
        <x:v>master</x:v>
      </x:c>
      <x:c r="AK2078" s="87" t="str">
        <x:v>master-v0.81</x:v>
      </x:c>
      <x:c r="AL2078" s="87" t="str">
        <x:v>statgrad_master_base_v0_81_final(2).xlsx</x:v>
      </x:c>
      <x:c r="AM2078" s="87" t="str">
        <x:v>SOC_Apr_V3</x:v>
      </x:c>
      <x:c r="AN2078" s="87" t="n">
        <x:v>16</x:v>
      </x:c>
    </x:row>
    <x:row r="2079">
      <x:c r="A2079" s="87" t="n">
        <x:v>2078</x:v>
      </x:c>
      <x:c r="B2079" s="87" t="str">
        <x:v>APR-SOC-V3-016</x:v>
      </x:c>
      <x:c r="C2079" s="87" t="str">
        <x:v>СтатГрад</x:v>
      </x:c>
      <x:c r="D2079" s="87" t="str">
        <x:v>Апрель 2026</x:v>
      </x:c>
      <x:c r="E2079" s="87"/>
      <x:c r="F2079" s="87"/>
      <x:c r="G2079" s="87" t="str">
        <x:v>Обществознание</x:v>
      </x:c>
      <x:c r="H2079" s="87" t="n">
        <x:v>11</x:v>
      </x:c>
      <x:c r="I2079" s="87" t="str">
        <x:v>ТР №6</x:v>
      </x:c>
      <x:c r="J2079" s="87" t="str">
        <x:v>ОБ2510603</x:v>
      </x:c>
      <x:c r="K2079" s="87" t="n">
        <x:v>16</x:v>
      </x:c>
      <x:c r="L2079" s="87" t="str">
        <x:v>Административные наказания</x:v>
      </x:c>
      <x:c r="M2079" s="30" t="str">
        <x:v>Представьте, что Вы по заданию учителя оформляете презентацию к уроку обществознания по теме «Юридическая ответственность». Один из слайдов называется «Виды административных наказаний». Что из перечисленного следует включить в этот слайд? Запишите цифры, под которыми указаны виды административной ответственности в соответствии с Кодексом Российской Федерации об административных правонарушениях. 1) дисквалификация 2) обязательные работы 3) предупреждение 4) замечание 5) принудительные работы 6) лишение свободы на определённый срок</x:v>
      </x:c>
      <x:c r="N2079" s="30" t="str">
        <x:v>123</x:v>
      </x:c>
      <x:c r="O2079" s="30" t="str">
        <x:v>Дисквалификация, обязательные работы и предупреждение прямо предусмотрены КоАП РФ; замечание, принудительные работы и лишение свободы относятся к иным видам ответственности.</x:v>
      </x:c>
      <x:c r="P2079" s="30" t="str">
        <x:v>Задание независимо решено; дисквалификация, обязательные работы и предупреждение прямо предусмотрены коап рф.</x:v>
      </x:c>
      <x:c r="Q2079" s="30"/>
      <x:c r="R2079" s="30" t="str">
        <x:v>123</x:v>
      </x:c>
      <x:c r="S2079" s="30"/>
      <x:c r="T2079" s="30"/>
      <x:c r="U2079" s="30" t="str">
        <x:v>Смешанный вариант: условие из ОБ2510602; ответ подтверждён официальным ключом ОБ2510603.</x:v>
      </x:c>
      <x:c r="V2079" s="87" t="str">
        <x:v>VERIFIED</x:v>
      </x:c>
      <x:c r="W2079" s="87" t="n">
        <x:v>10</x:v>
      </x:c>
      <x:c r="X2079" s="87"/>
      <x:c r="Y2079" s="87"/>
      <x:c r="Z2079" s="87"/>
      <x:c r="AA2079" s="87"/>
      <x:c r="AB2079" s="87"/>
      <x:c r="AC2079" s="87"/>
      <x:c r="AD2079" s="87"/>
      <x:c r="AE2079" s="87"/>
      <x:c r="AF2079" s="87"/>
      <x:c r="AG2079" s="87"/>
      <x:c r="AH2079" s="87"/>
      <x:c r="AI2079" s="30"/>
      <x:c r="AJ2079" s="87" t="str">
        <x:v>master</x:v>
      </x:c>
      <x:c r="AK2079" s="87" t="str">
        <x:v>master-v0.81</x:v>
      </x:c>
      <x:c r="AL2079" s="87" t="str">
        <x:v>statgrad_master_base_v0_81_final(2).xlsx</x:v>
      </x:c>
      <x:c r="AM2079" s="87" t="str">
        <x:v>SOC_Apr_V3</x:v>
      </x:c>
      <x:c r="AN2079" s="87" t="n">
        <x:v>17</x:v>
      </x:c>
    </x:row>
    <x:row r="2080">
      <x:c r="A2080" s="87" t="n">
        <x:v>2079</x:v>
      </x:c>
      <x:c r="B2080" s="87" t="str">
        <x:v>APR-SOC-V3-017</x:v>
      </x:c>
      <x:c r="C2080" s="87" t="str">
        <x:v>СтатГрад</x:v>
      </x:c>
      <x:c r="D2080" s="87" t="str">
        <x:v>Апрель 2026</x:v>
      </x:c>
      <x:c r="E2080" s="87"/>
      <x:c r="F2080" s="87"/>
      <x:c r="G2080" s="87" t="str">
        <x:v>Обществознание</x:v>
      </x:c>
      <x:c r="H2080" s="87" t="n">
        <x:v>11</x:v>
      </x:c>
      <x:c r="I2080" s="87" t="str">
        <x:v>ТР №6</x:v>
      </x:c>
      <x:c r="J2080" s="87" t="str">
        <x:v>ОБ2510603</x:v>
      </x:c>
      <x:c r="K2080" s="87" t="n">
        <x:v>17</x:v>
      </x:c>
      <x:c r="L2080" s="87" t="str">
        <x:v>Анализ текста: молодёжь</x:v>
      </x:c>
      <x:c r="M2080" s="30" t="str">
        <x:v>Какое противоречие молодости как поведенческой фазы упоминает автор? Как, по мнению автора, объясняются социальные особенности молодёжи в рамках стратификационного подхода? (Укажите три позиции.) По каким направлениям обеспечивает общество возможности социального становления молодых людей? (Укажите два направления.)</x:v>
      </x:c>
      <x:c r="N2080" s="30" t="str">
        <x:v>1) Молодой человек уже не играет роль ребёнка, но ещё не является полноправным носителем ролей взрослого. 2) Особенности молодёжи объясняются её специфической позицией в воспроизводстве социальной структуры, способностью наследовать общественные отношения и способностью преобразовывать их. 3) Общество предоставляет молодым людям льготы и одновременно ограничивает их дееспособность в отдельных сферах участия.</x:v>
      </x:c>
      <x:c r="O2080" s="30" t="str">
        <x:v>Назвать противоречие; три основания стратификационного объяснения; два направления общественной поддержки становления.</x:v>
      </x:c>
      <x:c r="P2080" s="30" t="str">
        <x:v>Проверено по структуре официального критерия: все требуемые элементы присутствуют, лишних позиций нет.</x:v>
      </x:c>
      <x:c r="Q2080" s="30"/>
      <x:c r="R2080" s="30" t="str">
        <x:v>Официальные критерии развёрнутого ответа; см. SOC_Apr_Criteria_LOCKED</x:v>
      </x:c>
      <x:c r="S2080" s="30"/>
      <x:c r="T2080" s="30"/>
      <x:c r="U2080" s="30" t="str">
        <x:v>Смешанный вариант: модель и критерий восстановлены из ОБ2510601; структура подтверждена чистым сканом.</x:v>
      </x:c>
      <x:c r="V2080" s="87" t="str">
        <x:v>VERIFIED</x:v>
      </x:c>
      <x:c r="W2080" s="87" t="n">
        <x:v>12</x:v>
      </x:c>
      <x:c r="X2080" s="87"/>
      <x:c r="Y2080" s="87"/>
      <x:c r="Z2080" s="87"/>
      <x:c r="AA2080" s="87"/>
      <x:c r="AB2080" s="87"/>
      <x:c r="AC2080" s="87"/>
      <x:c r="AD2080" s="87"/>
      <x:c r="AE2080" s="87"/>
      <x:c r="AF2080" s="87"/>
      <x:c r="AG2080" s="87"/>
      <x:c r="AH2080" s="87"/>
      <x:c r="AI2080" s="30"/>
      <x:c r="AJ2080" s="87" t="str">
        <x:v>master</x:v>
      </x:c>
      <x:c r="AK2080" s="87" t="str">
        <x:v>master-v0.81</x:v>
      </x:c>
      <x:c r="AL2080" s="87" t="str">
        <x:v>statgrad_master_base_v0_81_final(2).xlsx</x:v>
      </x:c>
      <x:c r="AM2080" s="87" t="str">
        <x:v>SOC_Apr_V3</x:v>
      </x:c>
      <x:c r="AN2080" s="87" t="n">
        <x:v>18</x:v>
      </x:c>
    </x:row>
    <x:row r="2081">
      <x:c r="A2081" s="87" t="n">
        <x:v>2080</x:v>
      </x:c>
      <x:c r="B2081" s="87" t="str">
        <x:v>APR-SOC-V3-018</x:v>
      </x:c>
      <x:c r="C2081" s="87" t="str">
        <x:v>СтатГрад</x:v>
      </x:c>
      <x:c r="D2081" s="87" t="str">
        <x:v>Апрель 2026</x:v>
      </x:c>
      <x:c r="E2081" s="87"/>
      <x:c r="F2081" s="87"/>
      <x:c r="G2081" s="87" t="str">
        <x:v>Обществознание</x:v>
      </x:c>
      <x:c r="H2081" s="87" t="n">
        <x:v>11</x:v>
      </x:c>
      <x:c r="I2081" s="87" t="str">
        <x:v>ТР №6</x:v>
      </x:c>
      <x:c r="J2081" s="87" t="str">
        <x:v>ОБ2510603</x:v>
      </x:c>
      <x:c r="K2081" s="87" t="n">
        <x:v>18</x:v>
      </x:c>
      <x:c r="L2081" s="87" t="str">
        <x:v>Социализация и подходы к молодёжи</x:v>
      </x:c>
      <x:c r="M2081" s="30" t="str">
        <x:v>В тексте упомянуты ключевые понятия социально-гуманитарных наук. Используя обществоведческие знания, – укажите не менее трёх признаков процесса социализации личности; – объясните упомянутую в тексте связь между субкультурным и конфликтологическим исследовательскими подходами. (Объяснение может быть дано в одном или нескольких распространённых предложениях.)</x:v>
      </x:c>
      <x:c r="N2081" s="30" t="str">
        <x:v>Признаки социализации: формирование социальных качеств; усвоение норм и ценностей; включение во взаимодействие с обществом; освоение социальных ролей. Оба подхода рассматривают молодость как сложный переходный период: субкультурный подчёркивает противоречивость статуса и особые нормы группы, конфликтологический — стрессы и конфликты молодого человека с собой и обществом.</x:v>
      </x:c>
      <x:c r="O2081" s="30" t="str">
        <x:v>Указать не менее трёх признаков социализации и объяснить связь субкультурного и конфликтологического подходов.</x:v>
      </x:c>
      <x:c r="P2081" s="30" t="str">
        <x:v>Проверено по структуре официального критерия: все требуемые элементы присутствуют, лишних позиций нет.</x:v>
      </x:c>
      <x:c r="Q2081" s="30"/>
      <x:c r="R2081" s="30" t="str">
        <x:v>Официальные критерии развёрнутого ответа; см. SOC_Apr_Criteria_LOCKED</x:v>
      </x:c>
      <x:c r="S2081" s="30"/>
      <x:c r="T2081" s="30"/>
      <x:c r="U2081" s="30" t="str">
        <x:v>Смешанный вариант: модель и критерий восстановлены из ОБ2510601; структура подтверждена чистым сканом.</x:v>
      </x:c>
      <x:c r="V2081" s="87" t="str">
        <x:v>VERIFIED</x:v>
      </x:c>
      <x:c r="W2081" s="87" t="n">
        <x:v>12</x:v>
      </x:c>
      <x:c r="X2081" s="87"/>
      <x:c r="Y2081" s="87"/>
      <x:c r="Z2081" s="87"/>
      <x:c r="AA2081" s="87"/>
      <x:c r="AB2081" s="87"/>
      <x:c r="AC2081" s="87"/>
      <x:c r="AD2081" s="87"/>
      <x:c r="AE2081" s="87"/>
      <x:c r="AF2081" s="87"/>
      <x:c r="AG2081" s="87"/>
      <x:c r="AH2081" s="87"/>
      <x:c r="AI2081" s="30"/>
      <x:c r="AJ2081" s="87" t="str">
        <x:v>master</x:v>
      </x:c>
      <x:c r="AK2081" s="87" t="str">
        <x:v>master-v0.81</x:v>
      </x:c>
      <x:c r="AL2081" s="87" t="str">
        <x:v>statgrad_master_base_v0_81_final(2).xlsx</x:v>
      </x:c>
      <x:c r="AM2081" s="87" t="str">
        <x:v>SOC_Apr_V3</x:v>
      </x:c>
      <x:c r="AN2081" s="87" t="n">
        <x:v>19</x:v>
      </x:c>
    </x:row>
    <x:row r="2082">
      <x:c r="A2082" s="87" t="n">
        <x:v>2081</x:v>
      </x:c>
      <x:c r="B2082" s="87" t="str">
        <x:v>APR-SOC-V3-019</x:v>
      </x:c>
      <x:c r="C2082" s="87" t="str">
        <x:v>СтатГрад</x:v>
      </x:c>
      <x:c r="D2082" s="87" t="str">
        <x:v>Апрель 2026</x:v>
      </x:c>
      <x:c r="E2082" s="87"/>
      <x:c r="F2082" s="87"/>
      <x:c r="G2082" s="87" t="str">
        <x:v>Обществознание</x:v>
      </x:c>
      <x:c r="H2082" s="87" t="n">
        <x:v>11</x:v>
      </x:c>
      <x:c r="I2082" s="87" t="str">
        <x:v>ТР №6</x:v>
      </x:c>
      <x:c r="J2082" s="87" t="str">
        <x:v>ОБ2510603</x:v>
      </x:c>
      <x:c r="K2082" s="87" t="n">
        <x:v>19</x:v>
      </x:c>
      <x:c r="L2082" s="87" t="str">
        <x:v>Возрастные ограничения</x:v>
      </x:c>
      <x:c r="M2082" s="30" t="str">
        <x:v>Используя обществоведческие знания, факты общественной жизни и личный социальный опыт, проиллюстрируйте конкретными примерами три возрастных ограничения, действующих в рамках правового статуса представителя молодёжи. (Каждый пример должен быть сформулирован развёрнуто. Примеры не должны дублировать друг друга по содержанию.)</x:v>
      </x:c>
      <x:c r="N2082" s="30" t="str">
        <x:v>1) При продаже газовой зажигалки несовершеннолетнему Игорю продавец потребовал паспорт и отказал в продаже до подтверждения установленного возраста. 2) Николай смог вступить в политическую партию только после достижения 18 лет. 3) Двадцатилетний гражданин не может быть избран депутатом Государственной Думы; такое право возникает с 21 года.</x:v>
      </x:c>
      <x:c r="O2082" s="30" t="str">
        <x:v>Привести ровно три развёрнутых и различных примера возрастных ограничений.</x:v>
      </x:c>
      <x:c r="P2082" s="30" t="str">
        <x:v>Проверено по структуре официального критерия: все требуемые элементы присутствуют, лишних позиций нет.</x:v>
      </x:c>
      <x:c r="Q2082" s="30"/>
      <x:c r="R2082" s="30" t="str">
        <x:v>Официальные критерии развёрнутого ответа; см. SOC_Apr_Criteria_LOCKED</x:v>
      </x:c>
      <x:c r="S2082" s="30"/>
      <x:c r="T2082" s="30"/>
      <x:c r="U2082" s="30" t="str">
        <x:v>Смешанный вариант: модель и критерий восстановлены из ОБ2510601; структура подтверждена чистым сканом.</x:v>
      </x:c>
      <x:c r="V2082" s="87" t="str">
        <x:v>VERIFIED</x:v>
      </x:c>
      <x:c r="W2082" s="87" t="n">
        <x:v>12</x:v>
      </x:c>
      <x:c r="X2082" s="87"/>
      <x:c r="Y2082" s="87"/>
      <x:c r="Z2082" s="87"/>
      <x:c r="AA2082" s="87"/>
      <x:c r="AB2082" s="87"/>
      <x:c r="AC2082" s="87"/>
      <x:c r="AD2082" s="87"/>
      <x:c r="AE2082" s="87"/>
      <x:c r="AF2082" s="87"/>
      <x:c r="AG2082" s="87"/>
      <x:c r="AH2082" s="87"/>
      <x:c r="AI2082" s="30"/>
      <x:c r="AJ2082" s="87" t="str">
        <x:v>master</x:v>
      </x:c>
      <x:c r="AK2082" s="87" t="str">
        <x:v>master-v0.81</x:v>
      </x:c>
      <x:c r="AL2082" s="87" t="str">
        <x:v>statgrad_master_base_v0_81_final(2).xlsx</x:v>
      </x:c>
      <x:c r="AM2082" s="87" t="str">
        <x:v>SOC_Apr_V3</x:v>
      </x:c>
      <x:c r="AN2082" s="87" t="n">
        <x:v>20</x:v>
      </x:c>
    </x:row>
    <x:row r="2083">
      <x:c r="A2083" s="87" t="n">
        <x:v>2082</x:v>
      </x:c>
      <x:c r="B2083" s="87" t="str">
        <x:v>APR-SOC-V3-020</x:v>
      </x:c>
      <x:c r="C2083" s="87" t="str">
        <x:v>СтатГрад</x:v>
      </x:c>
      <x:c r="D2083" s="87" t="str">
        <x:v>Апрель 2026</x:v>
      </x:c>
      <x:c r="E2083" s="87"/>
      <x:c r="F2083" s="87"/>
      <x:c r="G2083" s="87" t="str">
        <x:v>Обществознание</x:v>
      </x:c>
      <x:c r="H2083" s="87" t="n">
        <x:v>11</x:v>
      </x:c>
      <x:c r="I2083" s="87" t="str">
        <x:v>ТР №6</x:v>
      </x:c>
      <x:c r="J2083" s="87" t="str">
        <x:v>ОБ2510603</x:v>
      </x:c>
      <x:c r="K2083" s="87" t="n">
        <x:v>20</x:v>
      </x:c>
      <x:c r="L2083" s="87" t="str">
        <x:v>Социальная мобильность молодёжи</x:v>
      </x:c>
      <x:c r="M2083" s="30" t="str">
        <x:v>Используя обществоведческие знания, приведите три объяснения более высокого уровня социальной мобильности молодёжи по сравнению с другими социально-демографическими группами. (Каждое объяснение должно быть сформулировано как распространённое предложение.)</x:v>
      </x:c>
      <x:c r="N2083" s="30" t="str">
        <x:v>1) Молодым людям необходимо получить профессиональный статус, а выбор профессии и начало трудовой деятельности меняют их социальное положение. 2) Значительная часть молодёжи продолжает обучение, и переход между уровнями образования создаёт новые статусы. 3) Молодые люди активнее включаются в новые общественные и профессиональные практики и легче осваивают новые роли.</x:v>
      </x:c>
      <x:c r="O2083" s="30" t="str">
        <x:v>Привести ровно три объяснения повышенной мобильности молодёжи, каждое распространённым предложением.</x:v>
      </x:c>
      <x:c r="P2083" s="30" t="str">
        <x:v>Проверено по структуре официального критерия: все требуемые элементы присутствуют, лишних позиций нет.</x:v>
      </x:c>
      <x:c r="Q2083" s="30"/>
      <x:c r="R2083" s="30" t="str">
        <x:v>Официальные критерии развёрнутого ответа; см. SOC_Apr_Criteria_LOCKED</x:v>
      </x:c>
      <x:c r="S2083" s="30"/>
      <x:c r="T2083" s="30"/>
      <x:c r="U2083" s="30" t="str">
        <x:v>Смешанный вариант: модель и критерий восстановлены из ОБ2510601; структура подтверждена чистым сканом.</x:v>
      </x:c>
      <x:c r="V2083" s="87" t="str">
        <x:v>VERIFIED</x:v>
      </x:c>
      <x:c r="W2083" s="87" t="n">
        <x:v>12</x:v>
      </x:c>
      <x:c r="X2083" s="87"/>
      <x:c r="Y2083" s="87"/>
      <x:c r="Z2083" s="87"/>
      <x:c r="AA2083" s="87"/>
      <x:c r="AB2083" s="87"/>
      <x:c r="AC2083" s="87"/>
      <x:c r="AD2083" s="87"/>
      <x:c r="AE2083" s="87"/>
      <x:c r="AF2083" s="87"/>
      <x:c r="AG2083" s="87"/>
      <x:c r="AH2083" s="87"/>
      <x:c r="AI2083" s="30"/>
      <x:c r="AJ2083" s="87" t="str">
        <x:v>master</x:v>
      </x:c>
      <x:c r="AK2083" s="87" t="str">
        <x:v>master-v0.81</x:v>
      </x:c>
      <x:c r="AL2083" s="87" t="str">
        <x:v>statgrad_master_base_v0_81_final(2).xlsx</x:v>
      </x:c>
      <x:c r="AM2083" s="87" t="str">
        <x:v>SOC_Apr_V3</x:v>
      </x:c>
      <x:c r="AN2083" s="87" t="n">
        <x:v>21</x:v>
      </x:c>
    </x:row>
    <x:row r="2084">
      <x:c r="A2084" s="87" t="n">
        <x:v>2083</x:v>
      </x:c>
      <x:c r="B2084" s="87" t="str">
        <x:v>APR-SOC-V3-021</x:v>
      </x:c>
      <x:c r="C2084" s="87" t="str">
        <x:v>СтатГрад</x:v>
      </x:c>
      <x:c r="D2084" s="87" t="str">
        <x:v>Апрель 2026</x:v>
      </x:c>
      <x:c r="E2084" s="87"/>
      <x:c r="F2084" s="87"/>
      <x:c r="G2084" s="87" t="str">
        <x:v>Обществознание</x:v>
      </x:c>
      <x:c r="H2084" s="87" t="n">
        <x:v>11</x:v>
      </x:c>
      <x:c r="I2084" s="87" t="str">
        <x:v>ТР №6</x:v>
      </x:c>
      <x:c r="J2084" s="87" t="str">
        <x:v>ОБ2510603</x:v>
      </x:c>
      <x:c r="K2084" s="87" t="n">
        <x:v>21</x:v>
      </x:c>
      <x:c r="L2084" s="87" t="str">
        <x:v>Рынок овощей: спрос</x:v>
      </x:c>
      <x:c r="M2084" s="30" t="str">
        <x:v>На графике изображено изменение ситуации P D1 на потребительском рынке овощей, выращенных D S местными фермерами, в стране Z. Кривая спроса на овощи, выращенные местными фермерами, переместилась из положения D в положение D 1 при неизменном предложении S. (На графике P – Q цена товара; Q – количество товара.) Как изменилась равновесная цена? Что могло вызвать изменение спроса? Сначала укажите любое одно обстоятельство (фактор), затем объясните его влияние на спрос (обязательно укажите характер изменения спроса). (Объяснение должно быть дано применительно к рынку, указанному в тексте задания.) Как изменятся предложение и равновесная цена на данном рынке, если при прочих равных условиях подорожают рассада и семена овощей?</x:v>
      </x:c>
      <x:c r="N2084" s="30" t="str">
        <x:v>Равновесная цена выросла, поскольку спрос сместился вправо. Например, жители стали считать продукцию местных фермеров более свежей и экологичной, поэтому спрос на неё увеличился при каждой цене. Если подорожают семена и рассада, издержки фермеров возрастут, предложение сократится, а равновесная цена повысится.</x:v>
      </x:c>
      <x:c r="O2084" s="30" t="str">
        <x:v>Определить цену; назвать фактор и объяснить рост спроса; определить изменение предложения и цены при росте издержек.</x:v>
      </x:c>
      <x:c r="P2084" s="30" t="str">
        <x:v>Проверено по структуре официального критерия: все требуемые элементы присутствуют, лишних позиций нет.</x:v>
      </x:c>
      <x:c r="Q2084" s="30"/>
      <x:c r="R2084" s="30" t="str">
        <x:v>Официальные критерии развёрнутого ответа; см. SOC_Apr_Criteria_LOCKED</x:v>
      </x:c>
      <x:c r="S2084" s="30"/>
      <x:c r="T2084" s="30"/>
      <x:c r="U2084" s="30" t="str">
        <x:v>Смешанный вариант: модель и критерий восстановлены из ОБ2510601; структура подтверждена чистым сканом.</x:v>
      </x:c>
      <x:c r="V2084" s="87" t="str">
        <x:v>VERIFIED</x:v>
      </x:c>
      <x:c r="W2084" s="87" t="n">
        <x:v>13</x:v>
      </x:c>
      <x:c r="X2084" s="87"/>
      <x:c r="Y2084" s="87"/>
      <x:c r="Z2084" s="87"/>
      <x:c r="AA2084" s="87"/>
      <x:c r="AB2084" s="87"/>
      <x:c r="AC2084" s="87"/>
      <x:c r="AD2084" s="87"/>
      <x:c r="AE2084" s="87"/>
      <x:c r="AF2084" s="87"/>
      <x:c r="AG2084" s="87"/>
      <x:c r="AH2084" s="87"/>
      <x:c r="AI2084" s="30"/>
      <x:c r="AJ2084" s="87" t="str">
        <x:v>master</x:v>
      </x:c>
      <x:c r="AK2084" s="87" t="str">
        <x:v>master-v0.81</x:v>
      </x:c>
      <x:c r="AL2084" s="87" t="str">
        <x:v>statgrad_master_base_v0_81_final(2).xlsx</x:v>
      </x:c>
      <x:c r="AM2084" s="87" t="str">
        <x:v>SOC_Apr_V3</x:v>
      </x:c>
      <x:c r="AN2084" s="87" t="n">
        <x:v>22</x:v>
      </x:c>
    </x:row>
    <x:row r="2085">
      <x:c r="A2085" s="87" t="n">
        <x:v>2084</x:v>
      </x:c>
      <x:c r="B2085" s="87" t="str">
        <x:v>APR-SOC-V3-022</x:v>
      </x:c>
      <x:c r="C2085" s="87" t="str">
        <x:v>СтатГрад</x:v>
      </x:c>
      <x:c r="D2085" s="87" t="str">
        <x:v>Апрель 2026</x:v>
      </x:c>
      <x:c r="E2085" s="87"/>
      <x:c r="F2085" s="87"/>
      <x:c r="G2085" s="87" t="str">
        <x:v>Обществознание</x:v>
      </x:c>
      <x:c r="H2085" s="87" t="n">
        <x:v>11</x:v>
      </x:c>
      <x:c r="I2085" s="87" t="str">
        <x:v>ТР №6</x:v>
      </x:c>
      <x:c r="J2085" s="87" t="str">
        <x:v>ОБ2510603</x:v>
      </x:c>
      <x:c r="K2085" s="87" t="n">
        <x:v>22</x:v>
      </x:c>
      <x:c r="L2085" s="87" t="str">
        <x:v>Научное познание</x:v>
      </x:c>
      <x:c r="M2085" s="30" t="str">
        <x:v>Десятиклассник Игорь хочет стать учёным-биологом. Сейчас он работает над индивидуальным исследованием. Игорь хочет установить зависимость скорости прорастания семян различных растений от светового режима. Чем представлено содержание знания на эмпирическом уровне исследования? Какие эмпирические методы может применить Игорь в своей работе? (Укажите два метода.) Почему деятельность Игоря можно отнести к рациональному познанию? Какие общие и особенные функции присущи науке и образованию? (Укажите общую функцию и по одной особенной функции.)</x:v>
      </x:c>
      <x:c r="N2085" s="30" t="str">
        <x:v>На эмпирическом уровне знание представлено фактами, наблюдениями и измерениями. Игорь может использовать наблюдение и эксперимент. Его деятельность рациональна, потому что он формулирует проблему и гипотезу, использует понятия, сравнение и логический вывод. Общая функция науки и образования — накопление и распространение знаний; особенная функция науки — получение нового знания, образования — социализация и передача освоенного опыта.</x:v>
      </x:c>
      <x:c r="O2085" s="30" t="str">
        <x:v>Назвать содержание эмпирического знания; два метода; объяснить рациональность; указать общую и особенные функции.</x:v>
      </x:c>
      <x:c r="P2085" s="30" t="str">
        <x:v>Проверено по структуре официального критерия: все требуемые элементы присутствуют, лишних позиций нет.</x:v>
      </x:c>
      <x:c r="Q2085" s="30"/>
      <x:c r="R2085" s="30" t="str">
        <x:v>Официальные критерии развёрнутого ответа; см. SOC_Apr_Criteria_LOCKED</x:v>
      </x:c>
      <x:c r="S2085" s="30"/>
      <x:c r="T2085" s="30"/>
      <x:c r="U2085" s="30" t="str">
        <x:v>Смешанный вариант: модель и критерий восстановлены из ОБ2510602; структура подтверждена чистым сканом.</x:v>
      </x:c>
      <x:c r="V2085" s="87" t="str">
        <x:v>VERIFIED</x:v>
      </x:c>
      <x:c r="W2085" s="87" t="n">
        <x:v>13</x:v>
      </x:c>
      <x:c r="X2085" s="87"/>
      <x:c r="Y2085" s="87"/>
      <x:c r="Z2085" s="87"/>
      <x:c r="AA2085" s="87"/>
      <x:c r="AB2085" s="87"/>
      <x:c r="AC2085" s="87"/>
      <x:c r="AD2085" s="87"/>
      <x:c r="AE2085" s="87"/>
      <x:c r="AF2085" s="87"/>
      <x:c r="AG2085" s="87"/>
      <x:c r="AH2085" s="87"/>
      <x:c r="AI2085" s="30"/>
      <x:c r="AJ2085" s="87" t="str">
        <x:v>master</x:v>
      </x:c>
      <x:c r="AK2085" s="87" t="str">
        <x:v>master-v0.81</x:v>
      </x:c>
      <x:c r="AL2085" s="87" t="str">
        <x:v>statgrad_master_base_v0_81_final(2).xlsx</x:v>
      </x:c>
      <x:c r="AM2085" s="87" t="str">
        <x:v>SOC_Apr_V3</x:v>
      </x:c>
      <x:c r="AN2085" s="87" t="n">
        <x:v>23</x:v>
      </x:c>
    </x:row>
    <x:row r="2086">
      <x:c r="A2086" s="87" t="n">
        <x:v>2085</x:v>
      </x:c>
      <x:c r="B2086" s="87" t="str">
        <x:v>APR-SOC-V3-023</x:v>
      </x:c>
      <x:c r="C2086" s="87" t="str">
        <x:v>СтатГрад</x:v>
      </x:c>
      <x:c r="D2086" s="87" t="str">
        <x:v>Апрель 2026</x:v>
      </x:c>
      <x:c r="E2086" s="87"/>
      <x:c r="F2086" s="87"/>
      <x:c r="G2086" s="87" t="str">
        <x:v>Обществознание</x:v>
      </x:c>
      <x:c r="H2086" s="87" t="n">
        <x:v>11</x:v>
      </x:c>
      <x:c r="I2086" s="87" t="str">
        <x:v>ТР №6</x:v>
      </x:c>
      <x:c r="J2086" s="87" t="str">
        <x:v>ОБ2510603</x:v>
      </x:c>
      <x:c r="K2086" s="87" t="n">
        <x:v>23</x:v>
      </x:c>
      <x:c r="L2086" s="87" t="str">
        <x:v>Конституционные принципы</x:v>
      </x:c>
      <x:c r="M2086" s="30" t="str">
        <x:v>Конституция Российской Федерации закрепляет основы конституционного строя нашего государства, права и свободы человека и гражданина. На основе статей Конституции Российской Федерации объясните смысл следующих принципов конституционного строя нашего государства: 1) Конституция Российской Федерации имеет высшую юридическую силу; 2) единство экономического пространства; 3) идеологическое многообразие. (Каждое объяснение должно быть сформулировано как распространённое предложение с опорой на конкретное положение Конституции Российской Федерации. Обратите внимание на то, что правильное выполнение задания не требует указания в ответе номеров соответствующих статей Конституции РФ и дословного воспроизведения их содержания.)</x:v>
      </x:c>
      <x:c r="N2086" s="30" t="str">
        <x:v>1) Высшая юридическая сила Конституции означает, что законы и иные акты не должны ей противоречить, а её нормы действуют непосредственно. 2) Единство экономического пространства обеспечивается свободным перемещением товаров, услуг и финансов, поддержкой конкуренции и единой денежной единицей. 3) Идеологическое многообразие означает признание различных взглядов и запрет обязательной государственной идеологии.</x:v>
      </x:c>
      <x:c r="O2086" s="30" t="str">
        <x:v>Дать три распространённых объяснения конституционных принципов.</x:v>
      </x:c>
      <x:c r="P2086" s="30" t="str">
        <x:v>Проверено по структуре официального критерия: все требуемые элементы присутствуют, лишних позиций нет.</x:v>
      </x:c>
      <x:c r="Q2086" s="30"/>
      <x:c r="R2086" s="30" t="str">
        <x:v>Официальные критерии развёрнутого ответа; см. SOC_Apr_Criteria_LOCKED</x:v>
      </x:c>
      <x:c r="S2086" s="30"/>
      <x:c r="T2086" s="30"/>
      <x:c r="U2086" s="30" t="str">
        <x:v>Смешанный вариант: модель и критерий восстановлены из ОБ2510601; структура подтверждена чистым сканом.</x:v>
      </x:c>
      <x:c r="V2086" s="87" t="str">
        <x:v>VERIFIED</x:v>
      </x:c>
      <x:c r="W2086" s="87" t="n">
        <x:v>13</x:v>
      </x:c>
      <x:c r="X2086" s="87"/>
      <x:c r="Y2086" s="87"/>
      <x:c r="Z2086" s="87"/>
      <x:c r="AA2086" s="87"/>
      <x:c r="AB2086" s="87"/>
      <x:c r="AC2086" s="87"/>
      <x:c r="AD2086" s="87"/>
      <x:c r="AE2086" s="87"/>
      <x:c r="AF2086" s="87"/>
      <x:c r="AG2086" s="87"/>
      <x:c r="AH2086" s="87"/>
      <x:c r="AI2086" s="30"/>
      <x:c r="AJ2086" s="87" t="str">
        <x:v>master</x:v>
      </x:c>
      <x:c r="AK2086" s="87" t="str">
        <x:v>master-v0.81</x:v>
      </x:c>
      <x:c r="AL2086" s="87" t="str">
        <x:v>statgrad_master_base_v0_81_final(2).xlsx</x:v>
      </x:c>
      <x:c r="AM2086" s="87" t="str">
        <x:v>SOC_Apr_V3</x:v>
      </x:c>
      <x:c r="AN2086" s="87" t="n">
        <x:v>24</x:v>
      </x:c>
    </x:row>
    <x:row r="2087">
      <x:c r="A2087" s="87" t="n">
        <x:v>2086</x:v>
      </x:c>
      <x:c r="B2087" s="87" t="str">
        <x:v>APR-SOC-V3-024</x:v>
      </x:c>
      <x:c r="C2087" s="87" t="str">
        <x:v>СтатГрад</x:v>
      </x:c>
      <x:c r="D2087" s="87" t="str">
        <x:v>Апрель 2026</x:v>
      </x:c>
      <x:c r="E2087" s="87"/>
      <x:c r="F2087" s="87"/>
      <x:c r="G2087" s="87" t="str">
        <x:v>Обществознание</x:v>
      </x:c>
      <x:c r="H2087" s="87" t="n">
        <x:v>11</x:v>
      </x:c>
      <x:c r="I2087" s="87" t="str">
        <x:v>ТР №6</x:v>
      </x:c>
      <x:c r="J2087" s="87" t="str">
        <x:v>ОБ2510603</x:v>
      </x:c>
      <x:c r="K2087" s="87" t="n">
        <x:v>24</x:v>
      </x:c>
      <x:c r="L2087" s="87" t="str">
        <x:v>Сложный план: налоговая система</x:v>
      </x:c>
      <x:c r="M2087" s="30" t="str">
        <x:v>Используя обществоведческие знания, составьте сложный план, позволяющий раскрыть по существу тему «Налоговая система Российской Федерации».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возможны только два подпункта.)</x:v>
      </x:c>
      <x:c r="N2087" s="30" t="str">
        <x:v>1. Понятие налоговой системы: а) налоги и сборы; б) налогоплательщики и агенты; в) налоговые органы и нормы. 2. Принципы: а) законность; б) всеобщность и равенство; в) определённость и обоснованность. 3. Элементы налога: а) объект и база; б) ставка и период; в) порядок исчисления и уплаты; г) льготы. 4. Уровни: а) федеральные; б) региональные; в) местные. 5. Функции: а) фискальная; б) регулирующая; в) распределительная; г) контрольная. 6. Права и обязанности: а) информация и льготы; б) уплата и учёт; в) обжалование. 7. Администрирование: а) учёт; б) проверки; в) взыскание и ответственность.</x:v>
      </x:c>
      <x:c r="O2087" s="30" t="str">
        <x:v>Составить сложный план минимум с тремя раскрывающими пунктами и необходимой детализацией.</x:v>
      </x:c>
      <x:c r="P2087" s="30" t="str">
        <x:v>Проверено по структуре официального критерия: все требуемые элементы присутствуют, лишних позиций нет.</x:v>
      </x:c>
      <x:c r="Q2087" s="30"/>
      <x:c r="R2087" s="30" t="str">
        <x:v>Официальные критерии развёрнутого ответа; см. SOC_Apr_Criteria_LOCKED</x:v>
      </x:c>
      <x:c r="S2087" s="30"/>
      <x:c r="T2087" s="30"/>
      <x:c r="U2087" s="30" t="str">
        <x:v>Смешанный вариант: модель и критерий восстановлены из ОБ2510602; структура подтверждена чистым сканом.</x:v>
      </x:c>
      <x:c r="V2087" s="87" t="str">
        <x:v>VERIFIED</x:v>
      </x:c>
      <x:c r="W2087" s="87" t="n">
        <x:v>14</x:v>
      </x:c>
      <x:c r="X2087" s="87"/>
      <x:c r="Y2087" s="87"/>
      <x:c r="Z2087" s="87"/>
      <x:c r="AA2087" s="87"/>
      <x:c r="AB2087" s="87"/>
      <x:c r="AC2087" s="87"/>
      <x:c r="AD2087" s="87"/>
      <x:c r="AE2087" s="87"/>
      <x:c r="AF2087" s="87"/>
      <x:c r="AG2087" s="87"/>
      <x:c r="AH2087" s="87"/>
      <x:c r="AI2087" s="30"/>
      <x:c r="AJ2087" s="87" t="str">
        <x:v>master</x:v>
      </x:c>
      <x:c r="AK2087" s="87" t="str">
        <x:v>master-v0.81</x:v>
      </x:c>
      <x:c r="AL2087" s="87" t="str">
        <x:v>statgrad_master_base_v0_81_final(2).xlsx</x:v>
      </x:c>
      <x:c r="AM2087" s="87" t="str">
        <x:v>SOC_Apr_V3</x:v>
      </x:c>
      <x:c r="AN2087" s="87" t="n">
        <x:v>25</x:v>
      </x:c>
    </x:row>
    <x:row r="2088">
      <x:c r="A2088" s="87" t="n">
        <x:v>2087</x:v>
      </x:c>
      <x:c r="B2088" s="87" t="str">
        <x:v>APR-SOC-V3-025</x:v>
      </x:c>
      <x:c r="C2088" s="87" t="str">
        <x:v>СтатГрад</x:v>
      </x:c>
      <x:c r="D2088" s="87" t="str">
        <x:v>Апрель 2026</x:v>
      </x:c>
      <x:c r="E2088" s="87"/>
      <x:c r="F2088" s="87"/>
      <x:c r="G2088" s="87" t="str">
        <x:v>Обществознание</x:v>
      </x:c>
      <x:c r="H2088" s="87" t="n">
        <x:v>11</x:v>
      </x:c>
      <x:c r="I2088" s="87" t="str">
        <x:v>ТР №6</x:v>
      </x:c>
      <x:c r="J2088" s="87" t="str">
        <x:v>ОБ2510603</x:v>
      </x:c>
      <x:c r="K2088" s="87" t="n">
        <x:v>25</x:v>
      </x:c>
      <x:c r="L2088" s="87" t="str">
        <x:v>Права налогоплательщиков</x:v>
      </x:c>
      <x:c r="M2088" s="30" t="str">
        <x:v>Используя обществоведческие знания, факты общественной жизни и личный социальный опыт, выполните задания, ответьте на вопрос. 1) Обоснуйте значение конституционной обязанности уплачивать законные налоги и сборы для общества и человека.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Какие виды гарантий защиты прав налогоплательщиков действуют в Российской Федерации? (Назовите любые три вида гарантий.) 3) Приведите по одному примеру действий в защиту прав налогоплательщиков, в соответствии с названными в пункте 2) гарантиями. (Каждый пример должен быть сформулирован развёрнуто.)</x:v>
      </x:c>
      <x:c r="N2088" s="30" t="str">
        <x:v>Налоги финансируют образование, медицину, безопасность, инфраструктуру и социальную поддержку. Исполнение обязанности распределяет расходы на общественные блага между гражданами и организациями; уклонение уменьшает ресурсы государства и переносит нагрузку на добросовестных плательщиков. Гарантии: административная, судебная, прокурорская. Примеры: жалоба в вышестоящий налоговый орган на доначисление; иск в суд об отмене незаконного требования; заявление в прокуратуру о нарушении порядка проверки.</x:v>
      </x:c>
      <x:c r="O2088" s="30" t="str">
        <x:v>Дать связанное обоснование; назвать три вида гарантий; привести три соответствующих примера.</x:v>
      </x:c>
      <x:c r="P2088" s="30" t="str">
        <x:v>Проверено по структуре официального критерия: все требуемые элементы присутствуют, лишних позиций нет.</x:v>
      </x:c>
      <x:c r="Q2088" s="30"/>
      <x:c r="R2088" s="30" t="str">
        <x:v>Официальные критерии развёрнутого ответа; см. SOC_Apr_Criteria_LOCKED</x:v>
      </x:c>
      <x:c r="S2088" s="30"/>
      <x:c r="T2088" s="30"/>
      <x:c r="U2088" s="30" t="str">
        <x:v>Смешанный вариант: модель и критерий восстановлены из ОБ2510602; структура подтверждена чистым сканом.</x:v>
      </x:c>
      <x:c r="V2088" s="87" t="str">
        <x:v>VERIFIED</x:v>
      </x:c>
      <x:c r="W2088" s="87" t="n">
        <x:v>14</x:v>
      </x:c>
      <x:c r="X2088" s="87"/>
      <x:c r="Y2088" s="87"/>
      <x:c r="Z2088" s="87"/>
      <x:c r="AA2088" s="87"/>
      <x:c r="AB2088" s="87"/>
      <x:c r="AC2088" s="87"/>
      <x:c r="AD2088" s="87"/>
      <x:c r="AE2088" s="87"/>
      <x:c r="AF2088" s="87"/>
      <x:c r="AG2088" s="87"/>
      <x:c r="AH2088" s="87"/>
      <x:c r="AI2088" s="30"/>
      <x:c r="AJ2088" s="87" t="str">
        <x:v>master</x:v>
      </x:c>
      <x:c r="AK2088" s="87" t="str">
        <x:v>master-v0.81</x:v>
      </x:c>
      <x:c r="AL2088" s="87" t="str">
        <x:v>statgrad_master_base_v0_81_final(2).xlsx</x:v>
      </x:c>
      <x:c r="AM2088" s="87" t="str">
        <x:v>SOC_Apr_V3</x:v>
      </x:c>
      <x:c r="AN2088" s="87" t="n">
        <x:v>26</x:v>
      </x:c>
    </x:row>
    <x:row r="2089">
      <x:c r="A2089" s="87" t="n">
        <x:v>2088</x:v>
      </x:c>
      <x:c r="B2089" s="87" t="str">
        <x:v>APR-SOC-V4-001</x:v>
      </x:c>
      <x:c r="C2089" s="87" t="str">
        <x:v>СтатГрад</x:v>
      </x:c>
      <x:c r="D2089" s="87" t="str">
        <x:v>Апрель 2026</x:v>
      </x:c>
      <x:c r="E2089" s="87"/>
      <x:c r="F2089" s="87"/>
      <x:c r="G2089" s="87" t="str">
        <x:v>Обществознание</x:v>
      </x:c>
      <x:c r="H2089" s="87" t="n">
        <x:v>11</x:v>
      </x:c>
      <x:c r="I2089" s="87" t="str">
        <x:v>ТР №6</x:v>
      </x:c>
      <x:c r="J2089" s="87" t="str">
        <x:v>ОБ2510604</x:v>
      </x:c>
      <x:c r="K2089" s="87" t="n">
        <x:v>1</x:v>
      </x:c>
      <x:c r="L2089" s="87" t="str">
        <x:v>Рыночные структуры</x:v>
      </x:c>
      <x:c r="M2089" s="30" t="str">
        <x:v>Ниже приведён перечень типов рыночных структур. Все они, за исключением двух, относятся к рынку несовершенной конкуренции. 1) олигополия; 2) монополистическая конкуренция; 3) монопсония; 4) свободная конкуренция; 5) монополия; 6) нерегулируемая конкуренция. Найдите два типа, «выпадающие» из общего ряда, и запишите в таблицу цифры, под которыми они указаны.</x:v>
      </x:c>
      <x:c r="N2089" s="30" t="str">
        <x:v>46</x:v>
      </x:c>
      <x:c r="O2089" s="30" t="str">
        <x:v>Олигополия, монополистическая конкуренция, монопсония и монополия ограничивают конкуренцию; свободная и нерегулируемая конкуренция выпадают.</x:v>
      </x:c>
      <x:c r="P2089" s="30" t="str">
        <x:v>Задание независимо решено; олигополия, монополистическая конкуренция, монопсония и монополия ограничивают конкуренцию.</x:v>
      </x:c>
      <x:c r="Q2089" s="30"/>
      <x:c r="R2089" s="30" t="str">
        <x:v>46</x:v>
      </x:c>
      <x:c r="S2089" s="30"/>
      <x:c r="T2089" s="30"/>
      <x:c r="U2089" s="30" t="str">
        <x:v>Смешанный вариант: условие из ОБ2510602; ответ подтверждён официальным ключом ОБ2510604.</x:v>
      </x:c>
      <x:c r="V2089" s="87" t="str">
        <x:v>VERIFIED</x:v>
      </x:c>
      <x:c r="W2089" s="87" t="n">
        <x:v>2</x:v>
      </x:c>
      <x:c r="X2089" s="87"/>
      <x:c r="Y2089" s="87"/>
      <x:c r="Z2089" s="87"/>
      <x:c r="AA2089" s="87"/>
      <x:c r="AB2089" s="87"/>
      <x:c r="AC2089" s="87"/>
      <x:c r="AD2089" s="87"/>
      <x:c r="AE2089" s="87"/>
      <x:c r="AF2089" s="87"/>
      <x:c r="AG2089" s="87"/>
      <x:c r="AH2089" s="87"/>
      <x:c r="AI2089" s="30"/>
      <x:c r="AJ2089" s="87" t="str">
        <x:v>master</x:v>
      </x:c>
      <x:c r="AK2089" s="87" t="str">
        <x:v>master-v0.81</x:v>
      </x:c>
      <x:c r="AL2089" s="87" t="str">
        <x:v>statgrad_master_base_v0_81_final(2).xlsx</x:v>
      </x:c>
      <x:c r="AM2089" s="87" t="str">
        <x:v>SOC_Apr_V4</x:v>
      </x:c>
      <x:c r="AN2089" s="87" t="n">
        <x:v>2</x:v>
      </x:c>
    </x:row>
    <x:row r="2090">
      <x:c r="A2090" s="87" t="n">
        <x:v>2089</x:v>
      </x:c>
      <x:c r="B2090" s="87" t="str">
        <x:v>APR-SOC-V4-002</x:v>
      </x:c>
      <x:c r="C2090" s="87" t="str">
        <x:v>СтатГрад</x:v>
      </x:c>
      <x:c r="D2090" s="87" t="str">
        <x:v>Апрель 2026</x:v>
      </x:c>
      <x:c r="E2090" s="87"/>
      <x:c r="F2090" s="87"/>
      <x:c r="G2090" s="87" t="str">
        <x:v>Обществознание</x:v>
      </x:c>
      <x:c r="H2090" s="87" t="n">
        <x:v>11</x:v>
      </x:c>
      <x:c r="I2090" s="87" t="str">
        <x:v>ТР №6</x:v>
      </x:c>
      <x:c r="J2090" s="87" t="str">
        <x:v>ОБ2510604</x:v>
      </x:c>
      <x:c r="K2090" s="87" t="n">
        <x:v>2</x:v>
      </x:c>
      <x:c r="L2090" s="87" t="str">
        <x:v>Духовные ценности</x:v>
      </x:c>
      <x:c r="M2090" s="30" t="str">
        <x:v>Выберите верные суждения о традиционных духовных ценностях российского общества и запишите цифры, под которыми они указаны. 1) Защита традиционных российских духовно-нравственных ценностей, культуры и исторической памяти составляет стратегический национальный приоритет в Российской Федерации. 2) Общественная активность и участие в волонтёрских проектах не могут способствовать приобщению человека к традиционным духовно- нравственным ценностям. 3) К традиционным духовно-нравственным ценностям относятся крепкая семья и созидательный труд. 4) Осмысление социальных, культурных, технологических процессов и явлений с опорой на традиционные ценности вносит вклад в развитие общественных и гуманитарных наук. 5) Реализация политики по сохранению и укреплению традиционных ценностей возложена исключительно на правоохранительные органы.</x:v>
      </x:c>
      <x:c r="N2090" s="30" t="str">
        <x:v>134</x:v>
      </x:c>
      <x:c r="O2090" s="30" t="str">
        <x:v>Верны государственный приоритет защиты традиционных ценностей, отнесение к ним крепкой семьи и созидательного труда, а также их значение для гуманитарного осмысления процессов.</x:v>
      </x:c>
      <x:c r="P2090" s="30" t="str">
        <x:v>Задание независимо решено; верны государственный приоритет защиты традиционных ценностей, отнесение к ним крепкой семьи и созидательного труда, а также их значение для гуманитарного осмысления процессов..</x:v>
      </x:c>
      <x:c r="Q2090" s="30"/>
      <x:c r="R2090" s="30" t="str">
        <x:v>134</x:v>
      </x:c>
      <x:c r="S2090" s="30"/>
      <x:c r="T2090" s="30"/>
      <x:c r="U2090" s="30" t="str">
        <x:v>Смешанный вариант: условие из ОБ2510601; ответ подтверждён официальным ключом ОБ2510604.</x:v>
      </x:c>
      <x:c r="V2090" s="87" t="str">
        <x:v>VERIFIED</x:v>
      </x:c>
      <x:c r="W2090" s="87" t="n">
        <x:v>2</x:v>
      </x:c>
      <x:c r="X2090" s="87"/>
      <x:c r="Y2090" s="87"/>
      <x:c r="Z2090" s="87"/>
      <x:c r="AA2090" s="87"/>
      <x:c r="AB2090" s="87"/>
      <x:c r="AC2090" s="87"/>
      <x:c r="AD2090" s="87"/>
      <x:c r="AE2090" s="87"/>
      <x:c r="AF2090" s="87"/>
      <x:c r="AG2090" s="87"/>
      <x:c r="AH2090" s="87"/>
      <x:c r="AI2090" s="30"/>
      <x:c r="AJ2090" s="87" t="str">
        <x:v>master</x:v>
      </x:c>
      <x:c r="AK2090" s="87" t="str">
        <x:v>master-v0.81</x:v>
      </x:c>
      <x:c r="AL2090" s="87" t="str">
        <x:v>statgrad_master_base_v0_81_final(2).xlsx</x:v>
      </x:c>
      <x:c r="AM2090" s="87" t="str">
        <x:v>SOC_Apr_V4</x:v>
      </x:c>
      <x:c r="AN2090" s="87" t="n">
        <x:v>3</x:v>
      </x:c>
    </x:row>
    <x:row r="2091">
      <x:c r="A2091" s="87" t="n">
        <x:v>2090</x:v>
      </x:c>
      <x:c r="B2091" s="87" t="str">
        <x:v>APR-SOC-V4-003</x:v>
      </x:c>
      <x:c r="C2091" s="87" t="str">
        <x:v>СтатГрад</x:v>
      </x:c>
      <x:c r="D2091" s="87" t="str">
        <x:v>Апрель 2026</x:v>
      </x:c>
      <x:c r="E2091" s="87"/>
      <x:c r="F2091" s="87"/>
      <x:c r="G2091" s="87" t="str">
        <x:v>Обществознание</x:v>
      </x:c>
      <x:c r="H2091" s="87" t="n">
        <x:v>11</x:v>
      </x:c>
      <x:c r="I2091" s="87" t="str">
        <x:v>ТР №6</x:v>
      </x:c>
      <x:c r="J2091" s="87" t="str">
        <x:v>ОБ2510604</x:v>
      </x:c>
      <x:c r="K2091" s="87" t="n">
        <x:v>3</x:v>
      </x:c>
      <x:c r="L2091" s="87" t="str">
        <x:v>Виды искусства</x:v>
      </x:c>
      <x:c r="M2091" s="30" t="str">
        <x:v>Установите соответствие между примерами и видами искусства: к каждой позиции, данной в первом столбце, подберите соответствующую позицию из второго столбца. ПРИМЕР ВИД ИСКУССТВА А) живопись 1) пространственное Б) художественная фотография 2) временное В) цирковое искусство 3) пространственно- Г) музыка временное Д) дизайн Запишите в таблицу выбранные цифры под соответствующими буквами. А Б В Г Д</x:v>
      </x:c>
      <x:c r="N2091" s="30" t="str">
        <x:v>11321</x:v>
      </x:c>
      <x:c r="O2091" s="30" t="str">
        <x:v>Живопись, фотография и дизайн существуют в пространстве; музыка разворачивается во времени; цирк сочетает пространство и время.</x:v>
      </x:c>
      <x:c r="P2091" s="30" t="str">
        <x:v>Задание независимо решено; живопись, фотография и дизайн существуют в пространстве.</x:v>
      </x:c>
      <x:c r="Q2091" s="30"/>
      <x:c r="R2091" s="30" t="str">
        <x:v>11321</x:v>
      </x:c>
      <x:c r="S2091" s="30"/>
      <x:c r="T2091" s="30"/>
      <x:c r="U2091" s="30" t="str">
        <x:v>Смешанный вариант: условие из ОБ2510602; ответ подтверждён официальным ключом ОБ2510604.</x:v>
      </x:c>
      <x:c r="V2091" s="87" t="str">
        <x:v>VERIFIED</x:v>
      </x:c>
      <x:c r="W2091" s="87" t="n">
        <x:v>3</x:v>
      </x:c>
      <x:c r="X2091" s="87"/>
      <x:c r="Y2091" s="87"/>
      <x:c r="Z2091" s="87"/>
      <x:c r="AA2091" s="87"/>
      <x:c r="AB2091" s="87"/>
      <x:c r="AC2091" s="87"/>
      <x:c r="AD2091" s="87"/>
      <x:c r="AE2091" s="87"/>
      <x:c r="AF2091" s="87"/>
      <x:c r="AG2091" s="87"/>
      <x:c r="AH2091" s="87"/>
      <x:c r="AI2091" s="30"/>
      <x:c r="AJ2091" s="87" t="str">
        <x:v>master</x:v>
      </x:c>
      <x:c r="AK2091" s="87" t="str">
        <x:v>master-v0.81</x:v>
      </x:c>
      <x:c r="AL2091" s="87" t="str">
        <x:v>statgrad_master_base_v0_81_final(2).xlsx</x:v>
      </x:c>
      <x:c r="AM2091" s="87" t="str">
        <x:v>SOC_Apr_V4</x:v>
      </x:c>
      <x:c r="AN2091" s="87" t="n">
        <x:v>4</x:v>
      </x:c>
    </x:row>
    <x:row r="2092">
      <x:c r="A2092" s="87" t="n">
        <x:v>2091</x:v>
      </x:c>
      <x:c r="B2092" s="87" t="str">
        <x:v>APR-SOC-V4-004</x:v>
      </x:c>
      <x:c r="C2092" s="87" t="str">
        <x:v>СтатГрад</x:v>
      </x:c>
      <x:c r="D2092" s="87" t="str">
        <x:v>Апрель 2026</x:v>
      </x:c>
      <x:c r="E2092" s="87"/>
      <x:c r="F2092" s="87"/>
      <x:c r="G2092" s="87" t="str">
        <x:v>Обществознание</x:v>
      </x:c>
      <x:c r="H2092" s="87" t="n">
        <x:v>11</x:v>
      </x:c>
      <x:c r="I2092" s="87" t="str">
        <x:v>ТР №6</x:v>
      </x:c>
      <x:c r="J2092" s="87" t="str">
        <x:v>ОБ2510604</x:v>
      </x:c>
      <x:c r="K2092" s="87" t="n">
        <x:v>4</x:v>
      </x:c>
      <x:c r="L2092" s="87" t="str">
        <x:v>Социальная сущность человека</x:v>
      </x:c>
      <x:c r="M2092" s="30" t="str">
        <x:v>Десятиклассник готовил презентацию о биологической и социокультурной эволюции человека. Найдите в приведённом списке проявления социальной сущности человека. Запишите цифры, под которыми они указаны. 1) участие в преобразовании окружающего мира 2) рациональное поведение 3) слух, зрение, обоняние 4) усвоение этических норм 5) потребности во сне и отдыхе 6) предрасположенность к определённым заболеваниям</x:v>
      </x:c>
      <x:c r="N2092" s="30" t="str">
        <x:v>124</x:v>
      </x:c>
      <x:c r="O2092" s="30" t="str">
        <x:v>Преобразовательная деятельность, рациональность и усвоение норм имеют социальную природу; органы чувств, сон и заболевания отражают биологическую сторону.</x:v>
      </x:c>
      <x:c r="P2092" s="30" t="str">
        <x:v>Задание независимо решено; преобразовательная деятельность, рациональность и усвоение норм имеют социальную природу.</x:v>
      </x:c>
      <x:c r="Q2092" s="30"/>
      <x:c r="R2092" s="30" t="str">
        <x:v>124</x:v>
      </x:c>
      <x:c r="S2092" s="30"/>
      <x:c r="T2092" s="30"/>
      <x:c r="U2092" s="30" t="str">
        <x:v>Смешанный вариант: условие из ОБ2510601; ответ подтверждён официальным ключом ОБ2510604.</x:v>
      </x:c>
      <x:c r="V2092" s="87" t="str">
        <x:v>VERIFIED</x:v>
      </x:c>
      <x:c r="W2092" s="87" t="n">
        <x:v>3</x:v>
      </x:c>
      <x:c r="X2092" s="87"/>
      <x:c r="Y2092" s="87"/>
      <x:c r="Z2092" s="87"/>
      <x:c r="AA2092" s="87"/>
      <x:c r="AB2092" s="87"/>
      <x:c r="AC2092" s="87"/>
      <x:c r="AD2092" s="87"/>
      <x:c r="AE2092" s="87"/>
      <x:c r="AF2092" s="87"/>
      <x:c r="AG2092" s="87"/>
      <x:c r="AH2092" s="87"/>
      <x:c r="AI2092" s="30"/>
      <x:c r="AJ2092" s="87" t="str">
        <x:v>master</x:v>
      </x:c>
      <x:c r="AK2092" s="87" t="str">
        <x:v>master-v0.81</x:v>
      </x:c>
      <x:c r="AL2092" s="87" t="str">
        <x:v>statgrad_master_base_v0_81_final(2).xlsx</x:v>
      </x:c>
      <x:c r="AM2092" s="87" t="str">
        <x:v>SOC_Apr_V4</x:v>
      </x:c>
      <x:c r="AN2092" s="87" t="n">
        <x:v>5</x:v>
      </x:c>
    </x:row>
    <x:row r="2093">
      <x:c r="A2093" s="87" t="n">
        <x:v>2092</x:v>
      </x:c>
      <x:c r="B2093" s="87" t="str">
        <x:v>APR-SOC-V4-005</x:v>
      </x:c>
      <x:c r="C2093" s="87" t="str">
        <x:v>СтатГрад</x:v>
      </x:c>
      <x:c r="D2093" s="87" t="str">
        <x:v>Апрель 2026</x:v>
      </x:c>
      <x:c r="E2093" s="87"/>
      <x:c r="F2093" s="87"/>
      <x:c r="G2093" s="87" t="str">
        <x:v>Обществознание</x:v>
      </x:c>
      <x:c r="H2093" s="87" t="n">
        <x:v>11</x:v>
      </x:c>
      <x:c r="I2093" s="87" t="str">
        <x:v>ТР №6</x:v>
      </x:c>
      <x:c r="J2093" s="87" t="str">
        <x:v>ОБ2510604</x:v>
      </x:c>
      <x:c r="K2093" s="87" t="n">
        <x:v>5</x:v>
      </x:c>
      <x:c r="L2093" s="87" t="str">
        <x:v>Рынок труда</x:v>
      </x:c>
      <x:c r="M2093" s="30" t="str">
        <x:v>Выберите верные суждения о рынке труда и запишите цифры, под которыми они указаны. 1) На рынке труда можно купить право на использование способностей работников к труду для создания экономических благ. 2) Спрос и предложение на рынке труда зависят от спроса и предложения на производимые товары. 3) Рынок труда относится к финансовым рынкам. 4) Минимальный размер оплаты труда, установленный государством, определяет наиболее высокий уровень цены на труд. 5) Рынок труда обеспечивает распределение и перераспределение трудовых ресурсов по отраслям экономики.</x:v>
      </x:c>
      <x:c r="N2093" s="30" t="str">
        <x:v>125</x:v>
      </x:c>
      <x:c r="O2093" s="30" t="str">
        <x:v>На рынке труда продаётся право использования способностей к труду; спрос производный от товарного рынка, а рынок перераспределяет трудовые ресурсы.</x:v>
      </x:c>
      <x:c r="P2093" s="30" t="str">
        <x:v>Задание независимо решено; на рынке труда продаётся право использования способностей к труду.</x:v>
      </x:c>
      <x:c r="Q2093" s="30"/>
      <x:c r="R2093" s="30" t="str">
        <x:v>125</x:v>
      </x:c>
      <x:c r="S2093" s="30"/>
      <x:c r="T2093" s="30"/>
      <x:c r="U2093" s="30" t="str">
        <x:v>Смешанный вариант: условие из ОБ2510602; ответ подтверждён официальным ключом ОБ2510604.</x:v>
      </x:c>
      <x:c r="V2093" s="87" t="str">
        <x:v>VERIFIED</x:v>
      </x:c>
      <x:c r="W2093" s="87" t="n">
        <x:v>4</x:v>
      </x:c>
      <x:c r="X2093" s="87"/>
      <x:c r="Y2093" s="87"/>
      <x:c r="Z2093" s="87"/>
      <x:c r="AA2093" s="87"/>
      <x:c r="AB2093" s="87"/>
      <x:c r="AC2093" s="87"/>
      <x:c r="AD2093" s="87"/>
      <x:c r="AE2093" s="87"/>
      <x:c r="AF2093" s="87"/>
      <x:c r="AG2093" s="87"/>
      <x:c r="AH2093" s="87"/>
      <x:c r="AI2093" s="30"/>
      <x:c r="AJ2093" s="87" t="str">
        <x:v>master</x:v>
      </x:c>
      <x:c r="AK2093" s="87" t="str">
        <x:v>master-v0.81</x:v>
      </x:c>
      <x:c r="AL2093" s="87" t="str">
        <x:v>statgrad_master_base_v0_81_final(2).xlsx</x:v>
      </x:c>
      <x:c r="AM2093" s="87" t="str">
        <x:v>SOC_Apr_V4</x:v>
      </x:c>
      <x:c r="AN2093" s="87" t="n">
        <x:v>6</x:v>
      </x:c>
    </x:row>
    <x:row r="2094">
      <x:c r="A2094" s="87" t="n">
        <x:v>2093</x:v>
      </x:c>
      <x:c r="B2094" s="87" t="str">
        <x:v>APR-SOC-V4-006</x:v>
      </x:c>
      <x:c r="C2094" s="87" t="str">
        <x:v>СтатГрад</x:v>
      </x:c>
      <x:c r="D2094" s="87" t="str">
        <x:v>Апрель 2026</x:v>
      </x:c>
      <x:c r="E2094" s="87"/>
      <x:c r="F2094" s="87"/>
      <x:c r="G2094" s="87" t="str">
        <x:v>Обществознание</x:v>
      </x:c>
      <x:c r="H2094" s="87" t="n">
        <x:v>11</x:v>
      </x:c>
      <x:c r="I2094" s="87" t="str">
        <x:v>ТР №6</x:v>
      </x:c>
      <x:c r="J2094" s="87" t="str">
        <x:v>ОБ2510604</x:v>
      </x:c>
      <x:c r="K2094" s="87" t="n">
        <x:v>6</x:v>
      </x:c>
      <x:c r="L2094" s="87" t="str">
        <x:v>Виды инфляции</x:v>
      </x:c>
      <x:c r="M2094" s="30" t="str">
        <x:v>Установите соответствие между примерами и видами инфляции: к каждой позиции, данной в первом столбце, подберите соответствующую позицию из второго столбца. ПРИМЕРЫ: А) превышение денежной массы над товарной массой вследствие денежной эмиссии; Б) рост цен на сырьё и энергетические ресурсы; В) рост доходов населения ускоренными темпами по сравнению с ростом реального объёма товаров и услуг; Г) рост налогообложения производителей; Д) монополия предприятий на установление цен. ВИДЫ ИНФЛЯЦИИ: 1) инфляция спроса; 2) инфляция издержек.</x:v>
      </x:c>
      <x:c r="N2094" s="30" t="str">
        <x:v>12122</x:v>
      </x:c>
      <x:c r="O2094" s="30" t="str">
        <x:v>Избыточная денежная масса и опережающий рост доходов усиливают спрос; рост ресурсов, налогов и монопольного ценообразования повышает издержки предложения.</x:v>
      </x:c>
      <x:c r="P2094" s="30" t="str">
        <x:v>Задание независимо решено; избыточная денежная масса и опережающий рост доходов усиливают спрос.</x:v>
      </x:c>
      <x:c r="Q2094" s="30"/>
      <x:c r="R2094" s="30" t="str">
        <x:v>12122</x:v>
      </x:c>
      <x:c r="S2094" s="30"/>
      <x:c r="T2094" s="30"/>
      <x:c r="U2094" s="30" t="str">
        <x:v>Смешанный вариант: условие из ОБ2510601; ответ подтверждён официальным ключом ОБ2510604.</x:v>
      </x:c>
      <x:c r="V2094" s="87" t="str">
        <x:v>VERIFIED</x:v>
      </x:c>
      <x:c r="W2094" s="87" t="n">
        <x:v>4</x:v>
      </x:c>
      <x:c r="X2094" s="87"/>
      <x:c r="Y2094" s="87"/>
      <x:c r="Z2094" s="87"/>
      <x:c r="AA2094" s="87"/>
      <x:c r="AB2094" s="87"/>
      <x:c r="AC2094" s="87"/>
      <x:c r="AD2094" s="87"/>
      <x:c r="AE2094" s="87"/>
      <x:c r="AF2094" s="87"/>
      <x:c r="AG2094" s="87"/>
      <x:c r="AH2094" s="87"/>
      <x:c r="AI2094" s="30"/>
      <x:c r="AJ2094" s="87" t="str">
        <x:v>master</x:v>
      </x:c>
      <x:c r="AK2094" s="87" t="str">
        <x:v>master-v0.81</x:v>
      </x:c>
      <x:c r="AL2094" s="87" t="str">
        <x:v>statgrad_master_base_v0_81_final(2).xlsx</x:v>
      </x:c>
      <x:c r="AM2094" s="87" t="str">
        <x:v>SOC_Apr_V4</x:v>
      </x:c>
      <x:c r="AN2094" s="87" t="n">
        <x:v>7</x:v>
      </x:c>
    </x:row>
    <x:row r="2095">
      <x:c r="A2095" s="87" t="n">
        <x:v>2094</x:v>
      </x:c>
      <x:c r="B2095" s="87" t="str">
        <x:v>APR-SOC-V4-007</x:v>
      </x:c>
      <x:c r="C2095" s="87" t="str">
        <x:v>СтатГрад</x:v>
      </x:c>
      <x:c r="D2095" s="87" t="str">
        <x:v>Апрель 2026</x:v>
      </x:c>
      <x:c r="E2095" s="87"/>
      <x:c r="F2095" s="87"/>
      <x:c r="G2095" s="87" t="str">
        <x:v>Обществознание</x:v>
      </x:c>
      <x:c r="H2095" s="87" t="n">
        <x:v>11</x:v>
      </x:c>
      <x:c r="I2095" s="87" t="str">
        <x:v>ТР №6</x:v>
      </x:c>
      <x:c r="J2095" s="87" t="str">
        <x:v>ОБ2510604</x:v>
      </x:c>
      <x:c r="K2095" s="87" t="n">
        <x:v>7</x:v>
      </x:c>
      <x:c r="L2095" s="87" t="str">
        <x:v>Облигация</x:v>
      </x:c>
      <x:c r="M2095" s="30" t="str">
        <x:v>Алла задумала инвестировать денежные средства в покупку ценных бумаг. Найдите в приведённом списке признаки такого вида ценных бумаг, как облигация. Запишите цифры, под которыми они указаны. 1) является долговой ценной бумагой 2) может быть размещена на открытом рынке 3) свидетельствует о получения доли имущества (собственности) 4) приносит доход в виде процента 5) имеет определённый срок действия 6) в случае ликвидации предприятия предоставляет преимущества в возврате вложенных средств</x:v>
      </x:c>
      <x:c r="N2095" s="30" t="str">
        <x:v>1245</x:v>
      </x:c>
      <x:c r="O2095" s="30" t="str">
        <x:v>Облигация удостоверяет долг, обращается на рынке, приносит процент и имеет срок погашения; она не даёт долю собственности.</x:v>
      </x:c>
      <x:c r="P2095" s="30" t="str">
        <x:v>Задание независимо решено; облигация удостоверяет долг, обращается на рынке, приносит процент и имеет срок погашения.</x:v>
      </x:c>
      <x:c r="Q2095" s="30"/>
      <x:c r="R2095" s="30" t="str">
        <x:v>1245</x:v>
      </x:c>
      <x:c r="S2095" s="30"/>
      <x:c r="T2095" s="30"/>
      <x:c r="U2095" s="30" t="str">
        <x:v>Смешанный вариант: условие из ОБ2510602; ответ подтверждён официальным ключом ОБ2510604.</x:v>
      </x:c>
      <x:c r="V2095" s="87" t="str">
        <x:v>VERIFIED</x:v>
      </x:c>
      <x:c r="W2095" s="87" t="n">
        <x:v>5</x:v>
      </x:c>
      <x:c r="X2095" s="87"/>
      <x:c r="Y2095" s="87"/>
      <x:c r="Z2095" s="87"/>
      <x:c r="AA2095" s="87"/>
      <x:c r="AB2095" s="87"/>
      <x:c r="AC2095" s="87"/>
      <x:c r="AD2095" s="87"/>
      <x:c r="AE2095" s="87"/>
      <x:c r="AF2095" s="87"/>
      <x:c r="AG2095" s="87"/>
      <x:c r="AH2095" s="87"/>
      <x:c r="AI2095" s="30"/>
      <x:c r="AJ2095" s="87" t="str">
        <x:v>master</x:v>
      </x:c>
      <x:c r="AK2095" s="87" t="str">
        <x:v>master-v0.81</x:v>
      </x:c>
      <x:c r="AL2095" s="87" t="str">
        <x:v>statgrad_master_base_v0_81_final(2).xlsx</x:v>
      </x:c>
      <x:c r="AM2095" s="87" t="str">
        <x:v>SOC_Apr_V4</x:v>
      </x:c>
      <x:c r="AN2095" s="87" t="n">
        <x:v>8</x:v>
      </x:c>
    </x:row>
    <x:row r="2096">
      <x:c r="A2096" s="87" t="n">
        <x:v>2095</x:v>
      </x:c>
      <x:c r="B2096" s="87" t="str">
        <x:v>APR-SOC-V4-008</x:v>
      </x:c>
      <x:c r="C2096" s="87" t="str">
        <x:v>СтатГрад</x:v>
      </x:c>
      <x:c r="D2096" s="87" t="str">
        <x:v>Апрель 2026</x:v>
      </x:c>
      <x:c r="E2096" s="87"/>
      <x:c r="F2096" s="87"/>
      <x:c r="G2096" s="87" t="str">
        <x:v>Обществознание</x:v>
      </x:c>
      <x:c r="H2096" s="87" t="n">
        <x:v>11</x:v>
      </x:c>
      <x:c r="I2096" s="87" t="str">
        <x:v>ТР №6</x:v>
      </x:c>
      <x:c r="J2096" s="87" t="str">
        <x:v>ОБ2510604</x:v>
      </x:c>
      <x:c r="K2096" s="87" t="n">
        <x:v>8</x:v>
      </x:c>
      <x:c r="L2096" s="87" t="str">
        <x:v>Этнические общности</x:v>
      </x:c>
      <x:c r="M2096" s="30" t="str">
        <x:v>Выберите верные суждения об этнических общностях и запишите цифры, под которыми они указаны. 1) Общность исторической судьбы народа, общие язык, традиции, культура, особенности быта входят в число признаков этнических общностей. 2) В современном мире границы расселения этнических общностей совпадают с границами государств. 3) Как представители этнических общностей люди осознают свою принадлежность к определённому этносу и его отличие от других этносов. 4) Дискриминация по этническому признаку является причиной межэтнических конфликтов. 5) К типам этнических общностей относят семью и общину.</x:v>
      </x:c>
      <x:c r="N2096" s="30" t="str">
        <x:v>134</x:v>
      </x:c>
      <x:c r="O2096" s="30" t="str">
        <x:v>Этнос объединяют историческая судьба, язык и культура; принадлежность осознаётся людьми, а дискриминация способна вызвать межэтнический конфликт.</x:v>
      </x:c>
      <x:c r="P2096" s="30" t="str">
        <x:v>Задание независимо решено; этнос объединяют историческая судьба, язык и культура.</x:v>
      </x:c>
      <x:c r="Q2096" s="30"/>
      <x:c r="R2096" s="30" t="str">
        <x:v>134</x:v>
      </x:c>
      <x:c r="S2096" s="30"/>
      <x:c r="T2096" s="30"/>
      <x:c r="U2096" s="30" t="str">
        <x:v>Смешанный вариант: условие из ОБ2510601; ответ подтверждён официальным ключом ОБ2510604.</x:v>
      </x:c>
      <x:c r="V2096" s="87" t="str">
        <x:v>VERIFIED</x:v>
      </x:c>
      <x:c r="W2096" s="87" t="n">
        <x:v>5</x:v>
      </x:c>
      <x:c r="X2096" s="87"/>
      <x:c r="Y2096" s="87"/>
      <x:c r="Z2096" s="87"/>
      <x:c r="AA2096" s="87"/>
      <x:c r="AB2096" s="87"/>
      <x:c r="AC2096" s="87"/>
      <x:c r="AD2096" s="87"/>
      <x:c r="AE2096" s="87"/>
      <x:c r="AF2096" s="87"/>
      <x:c r="AG2096" s="87"/>
      <x:c r="AH2096" s="87"/>
      <x:c r="AI2096" s="30"/>
      <x:c r="AJ2096" s="87" t="str">
        <x:v>master</x:v>
      </x:c>
      <x:c r="AK2096" s="87" t="str">
        <x:v>master-v0.81</x:v>
      </x:c>
      <x:c r="AL2096" s="87" t="str">
        <x:v>statgrad_master_base_v0_81_final(2).xlsx</x:v>
      </x:c>
      <x:c r="AM2096" s="87" t="str">
        <x:v>SOC_Apr_V4</x:v>
      </x:c>
      <x:c r="AN2096" s="87" t="n">
        <x:v>9</x:v>
      </x:c>
    </x:row>
    <x:row r="2097">
      <x:c r="A2097" s="87" t="n">
        <x:v>2096</x:v>
      </x:c>
      <x:c r="B2097" s="87" t="str">
        <x:v>APR-SOC-V4-009</x:v>
      </x:c>
      <x:c r="C2097" s="87" t="str">
        <x:v>СтатГрад</x:v>
      </x:c>
      <x:c r="D2097" s="87" t="str">
        <x:v>Апрель 2026</x:v>
      </x:c>
      <x:c r="E2097" s="87"/>
      <x:c r="F2097" s="87"/>
      <x:c r="G2097" s="87" t="str">
        <x:v>Обществознание</x:v>
      </x:c>
      <x:c r="H2097" s="87" t="n">
        <x:v>11</x:v>
      </x:c>
      <x:c r="I2097" s="87" t="str">
        <x:v>ТР №6</x:v>
      </x:c>
      <x:c r="J2097" s="87" t="str">
        <x:v>ОБ2510604</x:v>
      </x:c>
      <x:c r="K2097" s="87" t="n">
        <x:v>9</x:v>
      </x:c>
      <x:c r="L2097" s="87" t="str">
        <x:v>Анализ диаграммы</x:v>
      </x:c>
      <x:c r="M2097" s="30" t="str">
        <x:v>Социологи провели опрос совершеннолетних граждан о школьных знаниях из курса географии. Опрошенным было задано пять вопросов. Результаты опросов (количество правильных ответов, в %) приведены на диаграмме. Найдите в приведённом списке выводы, которые можно сделать на основе диаграммы, и запишите цифры, под которыми они указаны. 1) Свыше половины опрошенных в возрасте 18–24 лет дали неправильные ответы на вопросы. 2) Доли опрошенных в возрасте 18–24 лет, 25–34 года и 35–44 года, которые дали два правильных ответа, равны. 3) Среди тех, кто дал пять правильных ответов, доля опрошенных в возрасте 45–59 лет превышает долю опрошенных от 60 лет и старше. 4) Среди опрошенных в возрасте от 60 лет и старше наиболее велика доля тех, кто дал два правильных ответа. 5) Менее 10 % во всех группах опрошенных смогли дать по четыре правильных ответа.</x:v>
      </x:c>
      <x:c r="N2097" s="30" t="str">
        <x:v>45</x:v>
      </x:c>
      <x:c r="O2097" s="30" t="str">
        <x:v>По диаграмме подтверждаются выводы 4 и 5; остальные неверно передают доли и сравнения возрастных групп.</x:v>
      </x:c>
      <x:c r="P2097" s="30" t="str">
        <x:v>Задание независимо решено; по диаграмме подтверждаются выводы 4 и 5.</x:v>
      </x:c>
      <x:c r="Q2097" s="30"/>
      <x:c r="R2097" s="30" t="str">
        <x:v>45</x:v>
      </x:c>
      <x:c r="S2097" s="30"/>
      <x:c r="T2097" s="30"/>
      <x:c r="U2097" s="30" t="str">
        <x:v>Смешанный вариант: условие из ОБ2510602; ответ подтверждён официальным ключом ОБ2510604.</x:v>
      </x:c>
      <x:c r="V2097" s="87" t="str">
        <x:v>VERIFIED</x:v>
      </x:c>
      <x:c r="W2097" s="87" t="n">
        <x:v>6</x:v>
      </x:c>
      <x:c r="X2097" s="87"/>
      <x:c r="Y2097" s="87"/>
      <x:c r="Z2097" s="87"/>
      <x:c r="AA2097" s="87"/>
      <x:c r="AB2097" s="87"/>
      <x:c r="AC2097" s="87"/>
      <x:c r="AD2097" s="87"/>
      <x:c r="AE2097" s="87"/>
      <x:c r="AF2097" s="87"/>
      <x:c r="AG2097" s="87"/>
      <x:c r="AH2097" s="87"/>
      <x:c r="AI2097" s="30"/>
      <x:c r="AJ2097" s="87" t="str">
        <x:v>master</x:v>
      </x:c>
      <x:c r="AK2097" s="87" t="str">
        <x:v>master-v0.81</x:v>
      </x:c>
      <x:c r="AL2097" s="87" t="str">
        <x:v>statgrad_master_base_v0_81_final(2).xlsx</x:v>
      </x:c>
      <x:c r="AM2097" s="87" t="str">
        <x:v>SOC_Apr_V4</x:v>
      </x:c>
      <x:c r="AN2097" s="87" t="n">
        <x:v>10</x:v>
      </x:c>
    </x:row>
    <x:row r="2098">
      <x:c r="A2098" s="87" t="n">
        <x:v>2097</x:v>
      </x:c>
      <x:c r="B2098" s="87" t="str">
        <x:v>APR-SOC-V4-010</x:v>
      </x:c>
      <x:c r="C2098" s="87" t="str">
        <x:v>СтатГрад</x:v>
      </x:c>
      <x:c r="D2098" s="87" t="str">
        <x:v>Апрель 2026</x:v>
      </x:c>
      <x:c r="E2098" s="87"/>
      <x:c r="F2098" s="87"/>
      <x:c r="G2098" s="87" t="str">
        <x:v>Обществознание</x:v>
      </x:c>
      <x:c r="H2098" s="87" t="n">
        <x:v>11</x:v>
      </x:c>
      <x:c r="I2098" s="87" t="str">
        <x:v>ТР №6</x:v>
      </x:c>
      <x:c r="J2098" s="87" t="str">
        <x:v>ОБ2510604</x:v>
      </x:c>
      <x:c r="K2098" s="87" t="n">
        <x:v>10</x:v>
      </x:c>
      <x:c r="L2098" s="87" t="str">
        <x:v>Политическая система</x:v>
      </x:c>
      <x:c r="M2098" s="30" t="str">
        <x:v>Выберите верные суждения о политической системе и её подсистемах и запишите цифры, под которыми они указаны. 1) Политическая система – это единство формы правления, государственно- территориального устройства и политического режима. 2) Коммуникативная подсистема включает совокупность связей и взаимодействий между другими подсистемами, а также с неполитическими сферами общества. 3) Государство, политические партии, общественно-политические движения представляют институциональную подсистему политической системы. 4) Нормы и традиции, зафиксированные в правовых актах, партийных программах, уставах политических объединений, составляют культурно- идеологическую подсистему политической системы. 5) Политическая система выполняет такие функции, как регулятивная, интегративная и функция целеполагания.</x:v>
      </x:c>
      <x:c r="N2098" s="30" t="str">
        <x:v>235</x:v>
      </x:c>
      <x:c r="O2098" s="30" t="str">
        <x:v>Связи между элементами образуют коммуникативную подсистему, организации — институциональную; система выполняет регулятивную, интегративную и целеполагающую функции.</x:v>
      </x:c>
      <x:c r="P2098" s="30" t="str">
        <x:v>Задание независимо решено; связи между элементами образуют коммуникативную подсистему, организации — институциональную.</x:v>
      </x:c>
      <x:c r="Q2098" s="30"/>
      <x:c r="R2098" s="30" t="str">
        <x:v>235</x:v>
      </x:c>
      <x:c r="S2098" s="30"/>
      <x:c r="T2098" s="30"/>
      <x:c r="U2098" s="30" t="str">
        <x:v>Смешанный вариант: условие из ОБ2510601; ответ подтверждён официальным ключом ОБ2510604.</x:v>
      </x:c>
      <x:c r="V2098" s="87" t="str">
        <x:v>VERIFIED</x:v>
      </x:c>
      <x:c r="W2098" s="87" t="n">
        <x:v>7</x:v>
      </x:c>
      <x:c r="X2098" s="87"/>
      <x:c r="Y2098" s="87"/>
      <x:c r="Z2098" s="87"/>
      <x:c r="AA2098" s="87"/>
      <x:c r="AB2098" s="87"/>
      <x:c r="AC2098" s="87"/>
      <x:c r="AD2098" s="87"/>
      <x:c r="AE2098" s="87"/>
      <x:c r="AF2098" s="87"/>
      <x:c r="AG2098" s="87"/>
      <x:c r="AH2098" s="87"/>
      <x:c r="AI2098" s="30"/>
      <x:c r="AJ2098" s="87" t="str">
        <x:v>master</x:v>
      </x:c>
      <x:c r="AK2098" s="87" t="str">
        <x:v>master-v0.81</x:v>
      </x:c>
      <x:c r="AL2098" s="87" t="str">
        <x:v>statgrad_master_base_v0_81_final(2).xlsx</x:v>
      </x:c>
      <x:c r="AM2098" s="87" t="str">
        <x:v>SOC_Apr_V4</x:v>
      </x:c>
      <x:c r="AN2098" s="87" t="n">
        <x:v>11</x:v>
      </x:c>
    </x:row>
    <x:row r="2099">
      <x:c r="A2099" s="87" t="n">
        <x:v>2098</x:v>
      </x:c>
      <x:c r="B2099" s="87" t="str">
        <x:v>APR-SOC-V4-011</x:v>
      </x:c>
      <x:c r="C2099" s="87" t="str">
        <x:v>СтатГрад</x:v>
      </x:c>
      <x:c r="D2099" s="87" t="str">
        <x:v>Апрель 2026</x:v>
      </x:c>
      <x:c r="E2099" s="87"/>
      <x:c r="F2099" s="87"/>
      <x:c r="G2099" s="87" t="str">
        <x:v>Обществознание</x:v>
      </x:c>
      <x:c r="H2099" s="87" t="n">
        <x:v>11</x:v>
      </x:c>
      <x:c r="I2099" s="87" t="str">
        <x:v>ТР №6</x:v>
      </x:c>
      <x:c r="J2099" s="87" t="str">
        <x:v>ОБ2510604</x:v>
      </x:c>
      <x:c r="K2099" s="87" t="n">
        <x:v>11</x:v>
      </x:c>
      <x:c r="L2099" s="87" t="str">
        <x:v>Свобода совести</x:v>
      </x:c>
      <x:c r="M2099" s="30" t="str">
        <x:v>Конституция государства Z провозглашает и гарантирует гражданам свободу совести. Что из перечисленного соответствует приведённому факту? Запишите цифры, под которыми раскрывается принцип свободы совести. 1) в государстве Z запрещены религиозные верования 2) в государстве Z нет государственной религии 3) в государстве Z гарантируется право исповедовать любую религию или быть атеистом 4) в государстве Z отсутствуют религиозные объединения и организации 5) церковь в государстве Z полностью отстраняется от участия в жизни государства и общества 6) верующие граждане государства Z ограничены в политических правах</x:v>
      </x:c>
      <x:c r="N2099" s="30" t="str">
        <x:v>23</x:v>
      </x:c>
      <x:c r="O2099" s="30" t="str">
        <x:v>Свобода совести предполагает отсутствие обязательной государственной религии и возможность исповедовать любую религию либо быть неверующим.</x:v>
      </x:c>
      <x:c r="P2099" s="30" t="str">
        <x:v>Задание независимо решено; свобода совести предполагает отсутствие обязательной государственной религии и возможность исповедовать любую религию либо быть неверующим..</x:v>
      </x:c>
      <x:c r="Q2099" s="30"/>
      <x:c r="R2099" s="30" t="str">
        <x:v>23</x:v>
      </x:c>
      <x:c r="S2099" s="30"/>
      <x:c r="T2099" s="30"/>
      <x:c r="U2099" s="30" t="str">
        <x:v>Смешанный вариант: условие из ОБ2510602; ответ подтверждён официальным ключом ОБ2510604.</x:v>
      </x:c>
      <x:c r="V2099" s="87" t="str">
        <x:v>VERIFIED</x:v>
      </x:c>
      <x:c r="W2099" s="87" t="n">
        <x:v>7</x:v>
      </x:c>
      <x:c r="X2099" s="87"/>
      <x:c r="Y2099" s="87"/>
      <x:c r="Z2099" s="87"/>
      <x:c r="AA2099" s="87"/>
      <x:c r="AB2099" s="87"/>
      <x:c r="AC2099" s="87"/>
      <x:c r="AD2099" s="87"/>
      <x:c r="AE2099" s="87"/>
      <x:c r="AF2099" s="87"/>
      <x:c r="AG2099" s="87"/>
      <x:c r="AH2099" s="87"/>
      <x:c r="AI2099" s="30"/>
      <x:c r="AJ2099" s="87" t="str">
        <x:v>master</x:v>
      </x:c>
      <x:c r="AK2099" s="87" t="str">
        <x:v>master-v0.81</x:v>
      </x:c>
      <x:c r="AL2099" s="87" t="str">
        <x:v>statgrad_master_base_v0_81_final(2).xlsx</x:v>
      </x:c>
      <x:c r="AM2099" s="87" t="str">
        <x:v>SOC_Apr_V4</x:v>
      </x:c>
      <x:c r="AN2099" s="87" t="n">
        <x:v>12</x:v>
      </x:c>
    </x:row>
    <x:row r="2100">
      <x:c r="A2100" s="87" t="n">
        <x:v>2099</x:v>
      </x:c>
      <x:c r="B2100" s="87" t="str">
        <x:v>APR-SOC-V4-012</x:v>
      </x:c>
      <x:c r="C2100" s="87" t="str">
        <x:v>СтатГрад</x:v>
      </x:c>
      <x:c r="D2100" s="87" t="str">
        <x:v>Апрель 2026</x:v>
      </x:c>
      <x:c r="E2100" s="87"/>
      <x:c r="F2100" s="87"/>
      <x:c r="G2100" s="87" t="str">
        <x:v>Обществознание</x:v>
      </x:c>
      <x:c r="H2100" s="87" t="n">
        <x:v>11</x:v>
      </x:c>
      <x:c r="I2100" s="87" t="str">
        <x:v>ТР №6</x:v>
      </x:c>
      <x:c r="J2100" s="87" t="str">
        <x:v>ОБ2510604</x:v>
      </x:c>
      <x:c r="K2100" s="87" t="n">
        <x:v>12</x:v>
      </x:c>
      <x:c r="L2100" s="87" t="str">
        <x:v>Основы конституционного строя</x:v>
      </x:c>
      <x:c r="M2100" s="30" t="str">
        <x:v>Выберите в приведённом списке положения, характеризующие основы конституционного строя Российской Федерации. 1) Признание, соблюдение и защита прав и свобод человека и гражданина — обязанность государства. 2) Никто не может присваивать власть в Российской Федерации. 3) Президент Российской Федерации является гарантом прав и свобод человека и гражданина. 4) Суверенитет Российской Федерации распространяется на всю её территорию. 5) Президент Российской Федерации может принять решение об отставке Правительства Российской Федерации.</x:v>
      </x:c>
      <x:c r="N2100" s="30" t="str">
        <x:v>124</x:v>
      </x:c>
      <x:c r="O2100" s="30" t="str">
        <x:v>Пункты 1, 2 и 4 закрепляют базовые начала: обязанность государства защищать права, запрет присвоения власти и территориальный суверенитет.</x:v>
      </x:c>
      <x:c r="P2100" s="30" t="str">
        <x:v>Задание независимо решено; пункты 1, 2 и 4 закрепляют базовые начала: обязанность государства защищать права, запрет присвоения власти и территориальный суверенитет..</x:v>
      </x:c>
      <x:c r="Q2100" s="30"/>
      <x:c r="R2100" s="30" t="str">
        <x:v>124</x:v>
      </x:c>
      <x:c r="S2100" s="30"/>
      <x:c r="T2100" s="30"/>
      <x:c r="U2100" s="30" t="str">
        <x:v>Смешанный вариант: условие из ОБ2510601; ответ подтверждён официальным ключом ОБ2510604.</x:v>
      </x:c>
      <x:c r="V2100" s="87" t="str">
        <x:v>VERIFIED</x:v>
      </x:c>
      <x:c r="W2100" s="87" t="n">
        <x:v>8</x:v>
      </x:c>
      <x:c r="X2100" s="87"/>
      <x:c r="Y2100" s="87"/>
      <x:c r="Z2100" s="87"/>
      <x:c r="AA2100" s="87"/>
      <x:c r="AB2100" s="87"/>
      <x:c r="AC2100" s="87"/>
      <x:c r="AD2100" s="87"/>
      <x:c r="AE2100" s="87"/>
      <x:c r="AF2100" s="87"/>
      <x:c r="AG2100" s="87"/>
      <x:c r="AH2100" s="87"/>
      <x:c r="AI2100" s="30"/>
      <x:c r="AJ2100" s="87" t="str">
        <x:v>master</x:v>
      </x:c>
      <x:c r="AK2100" s="87" t="str">
        <x:v>master-v0.81</x:v>
      </x:c>
      <x:c r="AL2100" s="87" t="str">
        <x:v>statgrad_master_base_v0_81_final(2).xlsx</x:v>
      </x:c>
      <x:c r="AM2100" s="87" t="str">
        <x:v>SOC_Apr_V4</x:v>
      </x:c>
      <x:c r="AN2100" s="87" t="n">
        <x:v>13</x:v>
      </x:c>
    </x:row>
    <x:row r="2101">
      <x:c r="A2101" s="87" t="n">
        <x:v>2100</x:v>
      </x:c>
      <x:c r="B2101" s="87" t="str">
        <x:v>APR-SOC-V4-013</x:v>
      </x:c>
      <x:c r="C2101" s="87" t="str">
        <x:v>СтатГрад</x:v>
      </x:c>
      <x:c r="D2101" s="87" t="str">
        <x:v>Апрель 2026</x:v>
      </x:c>
      <x:c r="E2101" s="87"/>
      <x:c r="F2101" s="87"/>
      <x:c r="G2101" s="87" t="str">
        <x:v>Обществознание</x:v>
      </x:c>
      <x:c r="H2101" s="87" t="n">
        <x:v>11</x:v>
      </x:c>
      <x:c r="I2101" s="87" t="str">
        <x:v>ТР №6</x:v>
      </x:c>
      <x:c r="J2101" s="87" t="str">
        <x:v>ОБ2510604</x:v>
      </x:c>
      <x:c r="K2101" s="87" t="n">
        <x:v>13</x:v>
      </x:c>
      <x:c r="L2101" s="87" t="str">
        <x:v>Федеральное и совместное ведение</x:v>
      </x:c>
      <x:c r="M2101" s="30" t="str">
        <x:v>Установите соответствие между предметами ведения, полномочиями и уровнями публичной власти в Российской Федерации, к которым эти предметы ведения, полномочия относятся: к каждой позиции, данной в первом столбце, подберите соответствующую позицию из второго столбца. ПРЕДМЕТ ВЕДЕНИЯ, УРОВЕНЬ ПУБЛИЧНОЙ ПОЛНОМОЧИЕ ВЛАСТИ В РОССИЙСКОЙ ФЕДЕРАЦИИ А) социальная защита, включая социальное 1) только федеральный центр обеспечение 2) совместно федеральный Б) внешнеэкономические отношения центр и субъекты Российской Федерации Российской Федерации В) правовое регулирование интеллектуальной собственности Г) выполнение международных договоров Российской Федерации Д) установление общих принципов организации системы органов государственной власти Запишите в таблицу выбранные цифры под соответствующими буквами. А Б В Г Д</x:v>
      </x:c>
      <x:c r="N2101" s="30" t="str">
        <x:v>21122</x:v>
      </x:c>
      <x:c r="O2101" s="30" t="str">
        <x:v>Социальная защита, исполнение международных договоров и общие принципы органов власти — совместное ведение; внешнеэкономические отношения и интеллектуальная собственность — федеральное.</x:v>
      </x:c>
      <x:c r="P2101" s="30" t="str">
        <x:v>Задание независимо решено; социальная защита, исполнение международных договоров и общие принципы органов власти — совместное ведение.</x:v>
      </x:c>
      <x:c r="Q2101" s="30"/>
      <x:c r="R2101" s="30" t="str">
        <x:v>21122</x:v>
      </x:c>
      <x:c r="S2101" s="30"/>
      <x:c r="T2101" s="30"/>
      <x:c r="U2101" s="30" t="str">
        <x:v>Смешанный вариант: условие из ОБ2510602; ответ подтверждён официальным ключом ОБ2510604.</x:v>
      </x:c>
      <x:c r="V2101" s="87" t="str">
        <x:v>VERIFIED</x:v>
      </x:c>
      <x:c r="W2101" s="87" t="n">
        <x:v>8</x:v>
      </x:c>
      <x:c r="X2101" s="87"/>
      <x:c r="Y2101" s="87"/>
      <x:c r="Z2101" s="87"/>
      <x:c r="AA2101" s="87"/>
      <x:c r="AB2101" s="87"/>
      <x:c r="AC2101" s="87"/>
      <x:c r="AD2101" s="87"/>
      <x:c r="AE2101" s="87"/>
      <x:c r="AF2101" s="87"/>
      <x:c r="AG2101" s="87"/>
      <x:c r="AH2101" s="87"/>
      <x:c r="AI2101" s="30"/>
      <x:c r="AJ2101" s="87" t="str">
        <x:v>master</x:v>
      </x:c>
      <x:c r="AK2101" s="87" t="str">
        <x:v>master-v0.81</x:v>
      </x:c>
      <x:c r="AL2101" s="87" t="str">
        <x:v>statgrad_master_base_v0_81_final(2).xlsx</x:v>
      </x:c>
      <x:c r="AM2101" s="87" t="str">
        <x:v>SOC_Apr_V4</x:v>
      </x:c>
      <x:c r="AN2101" s="87" t="n">
        <x:v>14</x:v>
      </x:c>
    </x:row>
    <x:row r="2102">
      <x:c r="A2102" s="87" t="n">
        <x:v>2101</x:v>
      </x:c>
      <x:c r="B2102" s="87" t="str">
        <x:v>APR-SOC-V4-014</x:v>
      </x:c>
      <x:c r="C2102" s="87" t="str">
        <x:v>СтатГрад</x:v>
      </x:c>
      <x:c r="D2102" s="87" t="str">
        <x:v>Апрель 2026</x:v>
      </x:c>
      <x:c r="E2102" s="87"/>
      <x:c r="F2102" s="87"/>
      <x:c r="G2102" s="87" t="str">
        <x:v>Обществознание</x:v>
      </x:c>
      <x:c r="H2102" s="87" t="n">
        <x:v>11</x:v>
      </x:c>
      <x:c r="I2102" s="87" t="str">
        <x:v>ТР №6</x:v>
      </x:c>
      <x:c r="J2102" s="87" t="str">
        <x:v>ОБ2510604</x:v>
      </x:c>
      <x:c r="K2102" s="87" t="n">
        <x:v>14</x:v>
      </x:c>
      <x:c r="L2102" s="87" t="str">
        <x:v>Образовательное право</x:v>
      </x:c>
      <x:c r="M2102" s="30" t="str">
        <x:v>Выберите верные суждения об образовательном праве и образовательных правоотношениях в Российской Федерации и запишите цифры, под которыми они указаны. 1) В Российской Федерации гарантируются общедоступность и бесплатность образования в соответствии с федеральными государственными образовательными стандартами всех видов и уровней образования. 2) Правовое регулирование отношений в сфере образования основывается на принципах признания приоритетности образования и обеспечении права каждого человека на образование, недопустимости дискриминации в сфере образования. 3) Граждане Российской Федерации имеют право на получение дошкольного, начального общего и основного общего образования на родном языке. 4) В сфере образования действует исключительно государственное регулирование отношений. 5) Обучающимся предоставляется право на выбор образовательной организации и формы получения образования.</x:v>
      </x:c>
      <x:c r="N2102" s="30" t="str">
        <x:v>235</x:v>
      </x:c>
      <x:c r="O2102" s="30" t="str">
        <x:v>Верны недискриминация и приоритет образования, право получать общее образование на родном языке и гарантии для обучающихся; бесплатность не распространяется безусловно на все уровни.</x:v>
      </x:c>
      <x:c r="P2102" s="30" t="str">
        <x:v>Задание независимо решено; верны недискриминация и приоритет образования, право получать общее образование на родном языке и гарантии для обучающихся.</x:v>
      </x:c>
      <x:c r="Q2102" s="30"/>
      <x:c r="R2102" s="30" t="str">
        <x:v>235</x:v>
      </x:c>
      <x:c r="S2102" s="30"/>
      <x:c r="T2102" s="30"/>
      <x:c r="U2102" s="30" t="str">
        <x:v>Смешанный вариант: условие из ОБ2510601; ответ подтверждён официальным ключом ОБ2510604.</x:v>
      </x:c>
      <x:c r="V2102" s="87" t="str">
        <x:v>VERIFIED</x:v>
      </x:c>
      <x:c r="W2102" s="87" t="n">
        <x:v>9</x:v>
      </x:c>
      <x:c r="X2102" s="87"/>
      <x:c r="Y2102" s="87"/>
      <x:c r="Z2102" s="87"/>
      <x:c r="AA2102" s="87"/>
      <x:c r="AB2102" s="87"/>
      <x:c r="AC2102" s="87"/>
      <x:c r="AD2102" s="87"/>
      <x:c r="AE2102" s="87"/>
      <x:c r="AF2102" s="87"/>
      <x:c r="AG2102" s="87"/>
      <x:c r="AH2102" s="87"/>
      <x:c r="AI2102" s="30"/>
      <x:c r="AJ2102" s="87" t="str">
        <x:v>master</x:v>
      </x:c>
      <x:c r="AK2102" s="87" t="str">
        <x:v>master-v0.81</x:v>
      </x:c>
      <x:c r="AL2102" s="87" t="str">
        <x:v>statgrad_master_base_v0_81_final(2).xlsx</x:v>
      </x:c>
      <x:c r="AM2102" s="87" t="str">
        <x:v>SOC_Apr_V4</x:v>
      </x:c>
      <x:c r="AN2102" s="87" t="n">
        <x:v>15</x:v>
      </x:c>
    </x:row>
    <x:row r="2103">
      <x:c r="A2103" s="87" t="n">
        <x:v>2102</x:v>
      </x:c>
      <x:c r="B2103" s="87" t="str">
        <x:v>APR-SOC-V4-015</x:v>
      </x:c>
      <x:c r="C2103" s="87" t="str">
        <x:v>СтатГрад</x:v>
      </x:c>
      <x:c r="D2103" s="87" t="str">
        <x:v>Апрель 2026</x:v>
      </x:c>
      <x:c r="E2103" s="87"/>
      <x:c r="F2103" s="87"/>
      <x:c r="G2103" s="87" t="str">
        <x:v>Обществознание</x:v>
      </x:c>
      <x:c r="H2103" s="87" t="n">
        <x:v>11</x:v>
      </x:c>
      <x:c r="I2103" s="87" t="str">
        <x:v>ТР №6</x:v>
      </x:c>
      <x:c r="J2103" s="87" t="str">
        <x:v>ОБ2510604</x:v>
      </x:c>
      <x:c r="K2103" s="87" t="n">
        <x:v>15</x:v>
      </x:c>
      <x:c r="L2103" s="87" t="str">
        <x:v>Юридические лица</x:v>
      </x:c>
      <x:c r="M2103" s="30" t="str">
        <x:v>Установите соответствие между правовыми формами и видами юридических лиц: к каждой позиции, данной в первом столбце, подберите соответствующую позицию из второго столбца. ПРАВОВАЯ ФОРМА ВИД ЮРИДИЧЕСКОГО ЛИЦА ЮРИДИЧЕСКОГО ЛИЦА А) хозяйственное партнёрство 1) коммерческое Б) крестьянское хозяйство 2) некоммерческое В) муниципальное учреждение Г) общественная организация Д) производственный кооператив Запишите в таблицу выбранные цифры под соответствующими буквами. А Б В Г Д</x:v>
      </x:c>
      <x:c r="N2103" s="30" t="str">
        <x:v>11221</x:v>
      </x:c>
      <x:c r="O2103" s="30" t="str">
        <x:v>Хозяйственное партнёрство, крестьянское хозяйство и производственный кооператив — коммерческие лица; учреждение и общественная организация — некоммерческие.</x:v>
      </x:c>
      <x:c r="P2103" s="30" t="str">
        <x:v>Задание независимо решено; хозяйственное партнёрство, крестьянское хозяйство и производственный кооператив — коммерческие лица.</x:v>
      </x:c>
      <x:c r="Q2103" s="30"/>
      <x:c r="R2103" s="30" t="str">
        <x:v>11221</x:v>
      </x:c>
      <x:c r="S2103" s="30"/>
      <x:c r="T2103" s="30"/>
      <x:c r="U2103" s="30" t="str">
        <x:v>Смешанный вариант: условие из ОБ2510602; ответ подтверждён официальным ключом ОБ2510604.</x:v>
      </x:c>
      <x:c r="V2103" s="87" t="str">
        <x:v>VERIFIED</x:v>
      </x:c>
      <x:c r="W2103" s="87" t="n">
        <x:v>9</x:v>
      </x:c>
      <x:c r="X2103" s="87"/>
      <x:c r="Y2103" s="87"/>
      <x:c r="Z2103" s="87"/>
      <x:c r="AA2103" s="87"/>
      <x:c r="AB2103" s="87"/>
      <x:c r="AC2103" s="87"/>
      <x:c r="AD2103" s="87"/>
      <x:c r="AE2103" s="87"/>
      <x:c r="AF2103" s="87"/>
      <x:c r="AG2103" s="87"/>
      <x:c r="AH2103" s="87"/>
      <x:c r="AI2103" s="30"/>
      <x:c r="AJ2103" s="87" t="str">
        <x:v>master</x:v>
      </x:c>
      <x:c r="AK2103" s="87" t="str">
        <x:v>master-v0.81</x:v>
      </x:c>
      <x:c r="AL2103" s="87" t="str">
        <x:v>statgrad_master_base_v0_81_final(2).xlsx</x:v>
      </x:c>
      <x:c r="AM2103" s="87" t="str">
        <x:v>SOC_Apr_V4</x:v>
      </x:c>
      <x:c r="AN2103" s="87" t="n">
        <x:v>16</x:v>
      </x:c>
    </x:row>
    <x:row r="2104">
      <x:c r="A2104" s="87" t="n">
        <x:v>2103</x:v>
      </x:c>
      <x:c r="B2104" s="87" t="str">
        <x:v>APR-SOC-V4-016</x:v>
      </x:c>
      <x:c r="C2104" s="87" t="str">
        <x:v>СтатГрад</x:v>
      </x:c>
      <x:c r="D2104" s="87" t="str">
        <x:v>Апрель 2026</x:v>
      </x:c>
      <x:c r="E2104" s="87"/>
      <x:c r="F2104" s="87"/>
      <x:c r="G2104" s="87" t="str">
        <x:v>Обществознание</x:v>
      </x:c>
      <x:c r="H2104" s="87" t="n">
        <x:v>11</x:v>
      </x:c>
      <x:c r="I2104" s="87" t="str">
        <x:v>ТР №6</x:v>
      </x:c>
      <x:c r="J2104" s="87" t="str">
        <x:v>ОБ2510604</x:v>
      </x:c>
      <x:c r="K2104" s="87" t="n">
        <x:v>16</x:v>
      </x:c>
      <x:c r="L2104" s="87" t="str">
        <x:v>Уголовная ответственность несовершеннолетних</x:v>
      </x:c>
      <x:c r="M2104" s="30" t="str">
        <x:v>Анна готовилась к проверочной работе по теме «Уголовное право» и повторяла вопрос об уголовной ответственности несовершеннолетних. Что из перечисленного ей следует указать в ответе? Запишите цифры, под которыми указаны особенности уголовной ответственности несовершеннолетних в соответствии с Уголовным кодексом Российской Федерации. 1) несовершеннолетний возраст как смягчающее обстоятельство учитывается в совокупности с другими смягчающими и отягчающими обстоятельствами 2) к несовершеннолетним, совершившим преступления, могут быть применены принудительные меры воспитательного воздействия 3) при назначении несовершеннолетнему наказания за совершение тяжкого или особо тяжкого преступления низший предел наказания увеличивается вдвое 4) несовершеннолетними признаются лица, которым ко времени совершения преступления исполнилось шестнадцать, но не исполнилось двадцати лет 5) несовершеннолетний, совершивший преступление, может быть помещён в специальное учебно-воспитательное учреждение закрытого типа 6) штраф, назначенный несовершеннолетнему, по решению суда может взыскиваться с его родителей или иных законных представителей с их согласия Часть 2 Для записи ответов на задания этой части (17–25) используйте отдельный лист. Запишите сначала номер задания (17, 18 и т. д.), а затем развёрнутый ответ на него. Ответы записывайте чётко и разборчиво. Обратите внимание! Не следует в развёрнутом ответе на любое из заданий 17–25 приводить больше позиций (признаков, характеристик, примеров, аргументов и т.д.), чем требуется в задании. Неточности и ошибки в «дополнительных» элементах ответа могут привести к снижению балла за выполнение задания. Прочитайте текст и выполните задания 17–20. Молодёжь – это особая социально-возрастная группа, которая выделяется на основе возраста и статуса в обществе: переход от детства и юности к социальной ответственности. В социологических исследованиях традиционным является стратификационный подход, при котором молодёжь определяется как особая социально-демографическая группа, ограниченная возрастными рамками, со своими специфическими социальными ролями, статусом и социальными позициями. Социальные особенности молодёжи объясняются как специфической позицией, которую она занимает в процессе воспроизводства социальной структуры, так и способностями не только наследовать, но и преобразовывать сложившиеся общественные отношения. Выделяют также субкультурный и конфликтологический исследовательские подходы. Первый описывает молодость как особую «противоречивую» поведенческую фазу в жизни каждого человека, когда человек не играет больше роли ребёнка и в то же время не является полноправным носителем ролей взрослых людей. Конфликтологический подход также опирается на понятие «молодость» как период в жизни человека, полный стрессов, проблем, конфликтов с самим собой и обществом и в этом плане чрезвычайно важный для каждого человека. На этом фоне молодые люди образуют особую социальную группу со своим специфическим образом жизни, стилем поведения, культурными нормами и ценностями. Развёрнутое социологическое исследование молодёжи предполагает единство подходов: молодость как определённая фаза, этап жизненного цикла биологически универсальна, но её конкретные возрастные рамки, связанный с ней социальный статус и социально-психологические особенности имеют социально-историческую природу и зависят от социально-экономических особенностей, общественного строя, культуры общества и специфики социализации в нём. Некоторыми учёными молодёжь понимается как совокупность молодых людей, которым общество предоставляет возможность социального становления, действуя в разных направлениях: обеспечивая их льготами, но ограничивая в дееспособности по различным сферам участия в жизни социума. Молодёжь в значительной части обладает тем, что выгодно отличает её от других групп населения: уровнем социальной мобильности, интеллектуальной активностью и здоровьем. В то же время перед любым обществом стоит вопрос о необходимости минимизации издержек и потерь, которые несёт страна из-за проблем, связанных с социализацией молодых людей и интеграцией их в единое экономическое, политическое и социокультурное пространство. (По М.С. Прошину)</x:v>
      </x:c>
      <x:c r="N2104" s="30" t="str">
        <x:v>1256</x:v>
      </x:c>
      <x:c r="O2104" s="30" t="str">
        <x:v>Несовершеннолетие учитывается как смягчающее, возможны воспитательные меры, а наказания имеют специальные ограничения; неверные пункты противоречат УК РФ.</x:v>
      </x:c>
      <x:c r="P2104" s="30" t="str">
        <x:v>Задание независимо решено; несовершеннолетие учитывается как смягчающее, возможны воспитательные меры, а наказания имеют специальные ограничения.</x:v>
      </x:c>
      <x:c r="Q2104" s="30"/>
      <x:c r="R2104" s="30" t="str">
        <x:v>1256</x:v>
      </x:c>
      <x:c r="S2104" s="30"/>
      <x:c r="T2104" s="30"/>
      <x:c r="U2104" s="30" t="str">
        <x:v>Смешанный вариант: условие из ОБ2510601; ответ подтверждён официальным ключом ОБ2510604.</x:v>
      </x:c>
      <x:c r="V2104" s="87" t="str">
        <x:v>VERIFIED</x:v>
      </x:c>
      <x:c r="W2104" s="87" t="n">
        <x:v>10</x:v>
      </x:c>
      <x:c r="X2104" s="87"/>
      <x:c r="Y2104" s="87"/>
      <x:c r="Z2104" s="87"/>
      <x:c r="AA2104" s="87"/>
      <x:c r="AB2104" s="87"/>
      <x:c r="AC2104" s="87"/>
      <x:c r="AD2104" s="87"/>
      <x:c r="AE2104" s="87"/>
      <x:c r="AF2104" s="87"/>
      <x:c r="AG2104" s="87"/>
      <x:c r="AH2104" s="87"/>
      <x:c r="AI2104" s="30"/>
      <x:c r="AJ2104" s="87" t="str">
        <x:v>master</x:v>
      </x:c>
      <x:c r="AK2104" s="87" t="str">
        <x:v>master-v0.81</x:v>
      </x:c>
      <x:c r="AL2104" s="87" t="str">
        <x:v>statgrad_master_base_v0_81_final(2).xlsx</x:v>
      </x:c>
      <x:c r="AM2104" s="87" t="str">
        <x:v>SOC_Apr_V4</x:v>
      </x:c>
      <x:c r="AN2104" s="87" t="n">
        <x:v>17</x:v>
      </x:c>
    </x:row>
    <x:row r="2105">
      <x:c r="A2105" s="87" t="n">
        <x:v>2104</x:v>
      </x:c>
      <x:c r="B2105" s="87" t="str">
        <x:v>APR-SOC-V4-017</x:v>
      </x:c>
      <x:c r="C2105" s="87" t="str">
        <x:v>СтатГрад</x:v>
      </x:c>
      <x:c r="D2105" s="87" t="str">
        <x:v>Апрель 2026</x:v>
      </x:c>
      <x:c r="E2105" s="87"/>
      <x:c r="F2105" s="87"/>
      <x:c r="G2105" s="87" t="str">
        <x:v>Обществознание</x:v>
      </x:c>
      <x:c r="H2105" s="87" t="n">
        <x:v>11</x:v>
      </x:c>
      <x:c r="I2105" s="87" t="str">
        <x:v>ТР №6</x:v>
      </x:c>
      <x:c r="J2105" s="87" t="str">
        <x:v>ОБ2510604</x:v>
      </x:c>
      <x:c r="K2105" s="87" t="n">
        <x:v>17</x:v>
      </x:c>
      <x:c r="L2105" s="87" t="str">
        <x:v>Анализ текста: образовательная мобильность</x:v>
      </x:c>
      <x:c r="M2105" s="30" t="str">
        <x:v>Какую образовательную мобильность автор называет межпоколенной? К каким социальным преимуществам, по мнению автора, открывает доступ образовательный статус? (Укажите два преимущества.) В каком смысле автор характеризует институт образования как инструмент достигаемого статуса?</x:v>
      </x:c>
      <x:c r="N2105" s="30" t="str">
        <x:v>Межпоколенная образовательная мобильность — изменение образовательного статуса по сравнению со статусом поколения родителей. Образовательный статус открывает доступ к продолжению обучения и к более широким возможностям трудоустройства, оплаты труда и карьеры. Образование является инструментом достигаемого статуса, потому что приобретается усилиями человека и позволяет повысить социальное положение.</x:v>
      </x:c>
      <x:c r="O2105" s="30" t="str">
        <x:v>Определить межпоколенную мобильность; назвать два преимущества; объяснить образование как инструмент достигаемого статуса.</x:v>
      </x:c>
      <x:c r="P2105" s="30" t="str">
        <x:v>Проверено по структуре официального критерия: все требуемые элементы присутствуют, лишних позиций нет.</x:v>
      </x:c>
      <x:c r="Q2105" s="30"/>
      <x:c r="R2105" s="30" t="str">
        <x:v>Официальные критерии развёрнутого ответа; см. SOC_Apr_Criteria_LOCKED</x:v>
      </x:c>
      <x:c r="S2105" s="30"/>
      <x:c r="T2105" s="30"/>
      <x:c r="U2105" s="30" t="str">
        <x:v>Смешанный вариант: модель и критерий восстановлены из ОБ2510602; структура подтверждена чистым сканом.</x:v>
      </x:c>
      <x:c r="V2105" s="87" t="str">
        <x:v>VERIFIED</x:v>
      </x:c>
      <x:c r="W2105" s="87" t="n">
        <x:v>12</x:v>
      </x:c>
      <x:c r="X2105" s="87"/>
      <x:c r="Y2105" s="87"/>
      <x:c r="Z2105" s="87"/>
      <x:c r="AA2105" s="87"/>
      <x:c r="AB2105" s="87"/>
      <x:c r="AC2105" s="87"/>
      <x:c r="AD2105" s="87"/>
      <x:c r="AE2105" s="87"/>
      <x:c r="AF2105" s="87"/>
      <x:c r="AG2105" s="87"/>
      <x:c r="AH2105" s="87"/>
      <x:c r="AI2105" s="30"/>
      <x:c r="AJ2105" s="87" t="str">
        <x:v>master</x:v>
      </x:c>
      <x:c r="AK2105" s="87" t="str">
        <x:v>master-v0.81</x:v>
      </x:c>
      <x:c r="AL2105" s="87" t="str">
        <x:v>statgrad_master_base_v0_81_final(2).xlsx</x:v>
      </x:c>
      <x:c r="AM2105" s="87" t="str">
        <x:v>SOC_Apr_V4</x:v>
      </x:c>
      <x:c r="AN2105" s="87" t="n">
        <x:v>18</x:v>
      </x:c>
    </x:row>
    <x:row r="2106">
      <x:c r="A2106" s="87" t="n">
        <x:v>2105</x:v>
      </x:c>
      <x:c r="B2106" s="87" t="str">
        <x:v>APR-SOC-V4-018</x:v>
      </x:c>
      <x:c r="C2106" s="87" t="str">
        <x:v>СтатГрад</x:v>
      </x:c>
      <x:c r="D2106" s="87" t="str">
        <x:v>Апрель 2026</x:v>
      </x:c>
      <x:c r="E2106" s="87"/>
      <x:c r="F2106" s="87"/>
      <x:c r="G2106" s="87" t="str">
        <x:v>Обществознание</x:v>
      </x:c>
      <x:c r="H2106" s="87" t="n">
        <x:v>11</x:v>
      </x:c>
      <x:c r="I2106" s="87" t="str">
        <x:v>ТР №6</x:v>
      </x:c>
      <x:c r="J2106" s="87" t="str">
        <x:v>ОБ2510604</x:v>
      </x:c>
      <x:c r="K2106" s="87" t="n">
        <x:v>18</x:v>
      </x:c>
      <x:c r="L2106" s="87" t="str">
        <x:v>Постиндустриальное общество</x:v>
      </x:c>
      <x:c r="M2106" s="30" t="str">
        <x:v>В тексте упомянуты ключевые понятия социально-гуманитарных наук. Используя обществоведческие знания, – укажите не менее трёх основных признаков постиндустриального общества в сфере экономики; – объясните в чём заключается описанная в тексте связь между образовательным статусом и профессиональным статусом. (Объяснение может быть дано в одном или нескольких распространённых предложениях.)</x:v>
      </x:c>
      <x:c r="N2106" s="30" t="str">
        <x:v>Признаки постиндустриальной экономики: преобладание сферы услуг; знания и информация как ведущий ресурс; развитие наукоёмких и цифровых технологий; высокий спрос на квалифицированный труд и инновации. Более высокий образовательный статус даёт квалификацию и доступ к профессиям, повышает вероятность трудоустройства, дохода, управленческой позиции и карьерного роста.</x:v>
      </x:c>
      <x:c r="O2106" s="30" t="str">
        <x:v>Назвать не менее трёх экономических признаков постиндустриального общества и объяснить связь статусов.</x:v>
      </x:c>
      <x:c r="P2106" s="30" t="str">
        <x:v>Проверено по структуре официального критерия: все требуемые элементы присутствуют, лишних позиций нет.</x:v>
      </x:c>
      <x:c r="Q2106" s="30"/>
      <x:c r="R2106" s="30" t="str">
        <x:v>Официальные критерии развёрнутого ответа; см. SOC_Apr_Criteria_LOCKED</x:v>
      </x:c>
      <x:c r="S2106" s="30"/>
      <x:c r="T2106" s="30"/>
      <x:c r="U2106" s="30" t="str">
        <x:v>Смешанный вариант: модель и критерий восстановлены из ОБ2510602; структура подтверждена чистым сканом.</x:v>
      </x:c>
      <x:c r="V2106" s="87" t="str">
        <x:v>VERIFIED</x:v>
      </x:c>
      <x:c r="W2106" s="87" t="n">
        <x:v>12</x:v>
      </x:c>
      <x:c r="X2106" s="87"/>
      <x:c r="Y2106" s="87"/>
      <x:c r="Z2106" s="87"/>
      <x:c r="AA2106" s="87"/>
      <x:c r="AB2106" s="87"/>
      <x:c r="AC2106" s="87"/>
      <x:c r="AD2106" s="87"/>
      <x:c r="AE2106" s="87"/>
      <x:c r="AF2106" s="87"/>
      <x:c r="AG2106" s="87"/>
      <x:c r="AH2106" s="87"/>
      <x:c r="AI2106" s="30"/>
      <x:c r="AJ2106" s="87" t="str">
        <x:v>master</x:v>
      </x:c>
      <x:c r="AK2106" s="87" t="str">
        <x:v>master-v0.81</x:v>
      </x:c>
      <x:c r="AL2106" s="87" t="str">
        <x:v>statgrad_master_base_v0_81_final(2).xlsx</x:v>
      </x:c>
      <x:c r="AM2106" s="87" t="str">
        <x:v>SOC_Apr_V4</x:v>
      </x:c>
      <x:c r="AN2106" s="87" t="n">
        <x:v>19</x:v>
      </x:c>
    </x:row>
    <x:row r="2107">
      <x:c r="A2107" s="87" t="n">
        <x:v>2106</x:v>
      </x:c>
      <x:c r="B2107" s="87" t="str">
        <x:v>APR-SOC-V4-019</x:v>
      </x:c>
      <x:c r="C2107" s="87" t="str">
        <x:v>СтатГрад</x:v>
      </x:c>
      <x:c r="D2107" s="87" t="str">
        <x:v>Апрель 2026</x:v>
      </x:c>
      <x:c r="E2107" s="87"/>
      <x:c r="F2107" s="87"/>
      <x:c r="G2107" s="87" t="str">
        <x:v>Обществознание</x:v>
      </x:c>
      <x:c r="H2107" s="87" t="n">
        <x:v>11</x:v>
      </x:c>
      <x:c r="I2107" s="87" t="str">
        <x:v>ТР №6</x:v>
      </x:c>
      <x:c r="J2107" s="87" t="str">
        <x:v>ОБ2510604</x:v>
      </x:c>
      <x:c r="K2107" s="87" t="n">
        <x:v>19</x:v>
      </x:c>
      <x:c r="L2107" s="87" t="str">
        <x:v>Социальные лифты</x:v>
      </x:c>
      <x:c r="M2107" s="30" t="str">
        <x:v>Автор рассматривает образование как социальный лифт. Используя обществоведческие знания и факты общественной жизни, проиллюстрируйте конкретными примерами функционирование трёх любых иных социальных лифтов в современном обществе. (Каждый пример должен быть сформулирован развёрнуто. Примеры не должны дублировать друг друга по содержанию.)</x:v>
      </x:c>
      <x:c r="N2107" s="30" t="str">
        <x:v>1) Военная служба: рядовой получил подготовку, был произведён в офицеры и занял более высокую служебную позицию. 2) Политическая деятельность: активист вступил в партию, победил на выборах и стал депутатом. 3) Предпринимательство: мастер открыл мастерскую, расширил производство и стал владельцем устойчивого предприятия.</x:v>
      </x:c>
      <x:c r="O2107" s="30" t="str">
        <x:v>Привести ровно три развёрнутых примера иных социальных лифтов.</x:v>
      </x:c>
      <x:c r="P2107" s="30" t="str">
        <x:v>Проверено по структуре официального критерия: все требуемые элементы присутствуют, лишних позиций нет.</x:v>
      </x:c>
      <x:c r="Q2107" s="30"/>
      <x:c r="R2107" s="30" t="str">
        <x:v>Официальные критерии развёрнутого ответа; см. SOC_Apr_Criteria_LOCKED</x:v>
      </x:c>
      <x:c r="S2107" s="30"/>
      <x:c r="T2107" s="30"/>
      <x:c r="U2107" s="30" t="str">
        <x:v>Смешанный вариант: модель и критерий восстановлены из ОБ2510602; структура подтверждена чистым сканом.</x:v>
      </x:c>
      <x:c r="V2107" s="87" t="str">
        <x:v>VERIFIED</x:v>
      </x:c>
      <x:c r="W2107" s="87" t="n">
        <x:v>12</x:v>
      </x:c>
      <x:c r="X2107" s="87"/>
      <x:c r="Y2107" s="87"/>
      <x:c r="Z2107" s="87"/>
      <x:c r="AA2107" s="87"/>
      <x:c r="AB2107" s="87"/>
      <x:c r="AC2107" s="87"/>
      <x:c r="AD2107" s="87"/>
      <x:c r="AE2107" s="87"/>
      <x:c r="AF2107" s="87"/>
      <x:c r="AG2107" s="87"/>
      <x:c r="AH2107" s="87"/>
      <x:c r="AI2107" s="30"/>
      <x:c r="AJ2107" s="87" t="str">
        <x:v>master</x:v>
      </x:c>
      <x:c r="AK2107" s="87" t="str">
        <x:v>master-v0.81</x:v>
      </x:c>
      <x:c r="AL2107" s="87" t="str">
        <x:v>statgrad_master_base_v0_81_final(2).xlsx</x:v>
      </x:c>
      <x:c r="AM2107" s="87" t="str">
        <x:v>SOC_Apr_V4</x:v>
      </x:c>
      <x:c r="AN2107" s="87" t="n">
        <x:v>20</x:v>
      </x:c>
    </x:row>
    <x:row r="2108">
      <x:c r="A2108" s="87" t="n">
        <x:v>2107</x:v>
      </x:c>
      <x:c r="B2108" s="87" t="str">
        <x:v>APR-SOC-V4-020</x:v>
      </x:c>
      <x:c r="C2108" s="87" t="str">
        <x:v>СтатГрад</x:v>
      </x:c>
      <x:c r="D2108" s="87" t="str">
        <x:v>Апрель 2026</x:v>
      </x:c>
      <x:c r="E2108" s="87"/>
      <x:c r="F2108" s="87"/>
      <x:c r="G2108" s="87" t="str">
        <x:v>Обществознание</x:v>
      </x:c>
      <x:c r="H2108" s="87" t="n">
        <x:v>11</x:v>
      </x:c>
      <x:c r="I2108" s="87" t="str">
        <x:v>ТР №6</x:v>
      </x:c>
      <x:c r="J2108" s="87" t="str">
        <x:v>ОБ2510604</x:v>
      </x:c>
      <x:c r="K2108" s="87" t="n">
        <x:v>20</x:v>
      </x:c>
      <x:c r="L2108" s="87" t="str">
        <x:v>Среднее профессиональное образование</x:v>
      </x:c>
      <x:c r="M2108" s="30" t="str">
        <x:v>Используя обществоведческие знания, приведите три причины повышения статуса среднего (специального) профессионального образования в современном российском обществе. (Каждая причина должна быть сформулирована как распространённое предложение.)</x:v>
      </x:c>
      <x:c r="N2108" s="30" t="str">
        <x:v>1) Экономике требуются квалифицированные техники, мастера и рабочие, поэтому дефицит таких специалистов повышает престиж СПО. 2) Колледжи сотрудничают с работодателями и дают практическую подготовку, ускоряя трудоустройство выпускников. 3) Современные программы СПО осваивают цифровое оборудование и высокотехнологичные профессии, а государственная поддержка обновляет мастерские.</x:v>
      </x:c>
      <x:c r="O2108" s="30" t="str">
        <x:v>Привести ровно три причины повышения статуса СПО.</x:v>
      </x:c>
      <x:c r="P2108" s="30" t="str">
        <x:v>Проверено по структуре официального критерия: все требуемые элементы присутствуют, лишних позиций нет.</x:v>
      </x:c>
      <x:c r="Q2108" s="30"/>
      <x:c r="R2108" s="30" t="str">
        <x:v>Официальные критерии развёрнутого ответа; см. SOC_Apr_Criteria_LOCKED</x:v>
      </x:c>
      <x:c r="S2108" s="30"/>
      <x:c r="T2108" s="30"/>
      <x:c r="U2108" s="30" t="str">
        <x:v>Смешанный вариант: модель и критерий восстановлены из ОБ2510602; структура подтверждена чистым сканом.</x:v>
      </x:c>
      <x:c r="V2108" s="87" t="str">
        <x:v>VERIFIED</x:v>
      </x:c>
      <x:c r="W2108" s="87" t="n">
        <x:v>12</x:v>
      </x:c>
      <x:c r="X2108" s="87"/>
      <x:c r="Y2108" s="87"/>
      <x:c r="Z2108" s="87"/>
      <x:c r="AA2108" s="87"/>
      <x:c r="AB2108" s="87"/>
      <x:c r="AC2108" s="87"/>
      <x:c r="AD2108" s="87"/>
      <x:c r="AE2108" s="87"/>
      <x:c r="AF2108" s="87"/>
      <x:c r="AG2108" s="87"/>
      <x:c r="AH2108" s="87"/>
      <x:c r="AI2108" s="30"/>
      <x:c r="AJ2108" s="87" t="str">
        <x:v>master</x:v>
      </x:c>
      <x:c r="AK2108" s="87" t="str">
        <x:v>master-v0.81</x:v>
      </x:c>
      <x:c r="AL2108" s="87" t="str">
        <x:v>statgrad_master_base_v0_81_final(2).xlsx</x:v>
      </x:c>
      <x:c r="AM2108" s="87" t="str">
        <x:v>SOC_Apr_V4</x:v>
      </x:c>
      <x:c r="AN2108" s="87" t="n">
        <x:v>21</x:v>
      </x:c>
    </x:row>
    <x:row r="2109">
      <x:c r="A2109" s="87" t="n">
        <x:v>2108</x:v>
      </x:c>
      <x:c r="B2109" s="87" t="str">
        <x:v>APR-SOC-V4-021</x:v>
      </x:c>
      <x:c r="C2109" s="87" t="str">
        <x:v>СтатГрад</x:v>
      </x:c>
      <x:c r="D2109" s="87" t="str">
        <x:v>Апрель 2026</x:v>
      </x:c>
      <x:c r="E2109" s="87"/>
      <x:c r="F2109" s="87"/>
      <x:c r="G2109" s="87" t="str">
        <x:v>Обществознание</x:v>
      </x:c>
      <x:c r="H2109" s="87" t="n">
        <x:v>11</x:v>
      </x:c>
      <x:c r="I2109" s="87" t="str">
        <x:v>ТР №6</x:v>
      </x:c>
      <x:c r="J2109" s="87" t="str">
        <x:v>ОБ2510604</x:v>
      </x:c>
      <x:c r="K2109" s="87" t="n">
        <x:v>21</x:v>
      </x:c>
      <x:c r="L2109" s="87" t="str">
        <x:v>Рынок товаров для питомцев: предложение</x:v>
      </x:c>
      <x:c r="M2109" s="30" t="str">
        <x:v>На графике изображено изменение ситуации P S1 S на потребительском рынке предметов для домашних питомцев в стране Z. Кривая предложения переместилась из положения S в положение S 1 при неизменном спросе D. (На графике P – цена товара; D Q – количество товара.) Q Как изменилась равновесная цена? Что могло вызвать изменение предложения? Сначала укажите любое одно обстоятельство (фактор), затем объясните его влияние на предложение (обязательно укажите характер изменения предложения). (Объяснение должно быть дано применительно к рынку, указанному в тексте задания.) Как изменятся спрос и равновесная цена на данном рынке, если при прочих равных условиях в стране Z будут открыты новые организации для разведения и содержания домашних питомцев?</x:v>
      </x:c>
      <x:c r="N2109" s="30" t="str">
        <x:v>Равновесная цена выросла, поскольку предложение сократилось и кривая S сместилась влево. Например, подорожало сырьё для кормов и аксессуаров, рост издержек уменьшил предложение при каждой цене. Открытие новых организаций для разведения и содержания питомцев увеличит спрос на товары для животных и повысит равновесную цену.</x:v>
      </x:c>
      <x:c r="O2109" s="30" t="str">
        <x:v>Определить цену; назвать фактор сокращения предложения; определить изменение спроса и цены.</x:v>
      </x:c>
      <x:c r="P2109" s="30" t="str">
        <x:v>Проверено по структуре официального критерия: все требуемые элементы присутствуют, лишних позиций нет.</x:v>
      </x:c>
      <x:c r="Q2109" s="30"/>
      <x:c r="R2109" s="30" t="str">
        <x:v>Официальные критерии развёрнутого ответа; см. SOC_Apr_Criteria_LOCKED</x:v>
      </x:c>
      <x:c r="S2109" s="30"/>
      <x:c r="T2109" s="30"/>
      <x:c r="U2109" s="30" t="str">
        <x:v>Смешанный вариант: модель и критерий восстановлены из ОБ2510602; структура подтверждена чистым сканом.</x:v>
      </x:c>
      <x:c r="V2109" s="87" t="str">
        <x:v>VERIFIED</x:v>
      </x:c>
      <x:c r="W2109" s="87" t="n">
        <x:v>13</x:v>
      </x:c>
      <x:c r="X2109" s="87"/>
      <x:c r="Y2109" s="87"/>
      <x:c r="Z2109" s="87"/>
      <x:c r="AA2109" s="87"/>
      <x:c r="AB2109" s="87"/>
      <x:c r="AC2109" s="87"/>
      <x:c r="AD2109" s="87"/>
      <x:c r="AE2109" s="87"/>
      <x:c r="AF2109" s="87"/>
      <x:c r="AG2109" s="87"/>
      <x:c r="AH2109" s="87"/>
      <x:c r="AI2109" s="30"/>
      <x:c r="AJ2109" s="87" t="str">
        <x:v>master</x:v>
      </x:c>
      <x:c r="AK2109" s="87" t="str">
        <x:v>master-v0.81</x:v>
      </x:c>
      <x:c r="AL2109" s="87" t="str">
        <x:v>statgrad_master_base_v0_81_final(2).xlsx</x:v>
      </x:c>
      <x:c r="AM2109" s="87" t="str">
        <x:v>SOC_Apr_V4</x:v>
      </x:c>
      <x:c r="AN2109" s="87" t="n">
        <x:v>22</x:v>
      </x:c>
    </x:row>
    <x:row r="2110">
      <x:c r="A2110" s="87" t="n">
        <x:v>2109</x:v>
      </x:c>
      <x:c r="B2110" s="87" t="str">
        <x:v>APR-SOC-V4-022</x:v>
      </x:c>
      <x:c r="C2110" s="87" t="str">
        <x:v>СтатГрад</x:v>
      </x:c>
      <x:c r="D2110" s="87" t="str">
        <x:v>Апрель 2026</x:v>
      </x:c>
      <x:c r="E2110" s="87"/>
      <x:c r="F2110" s="87"/>
      <x:c r="G2110" s="87" t="str">
        <x:v>Обществознание</x:v>
      </x:c>
      <x:c r="H2110" s="87" t="n">
        <x:v>11</x:v>
      </x:c>
      <x:c r="I2110" s="87" t="str">
        <x:v>ТР №6</x:v>
      </x:c>
      <x:c r="J2110" s="87" t="str">
        <x:v>ОБ2510604</x:v>
      </x:c>
      <x:c r="K2110" s="87" t="n">
        <x:v>22</x:v>
      </x:c>
      <x:c r="L2110" s="87" t="str">
        <x:v>Семья и брачный договор</x:v>
      </x:c>
      <x:c r="M2110" s="30" t="str">
        <x:v>Алиса и Евгений Фёдоровы заключили брак 15 лет тому назад, а в этом году приняли решение заключить брачный договор. В семье Фёдоровых двое детей. Алиса и Евгений работают, шестилетняя дочка посещает детский сад, а сын, которому исполнилось четырнадцать лет, учится в школе. Какие отношения между супругами регулирует брачный договор? Какие позиции могли быть включены в брачный договор? (Укажите любые две позиции.) Почему семью Фёдоровых можно отнести к нуклеарной? Какая информация необходима для того, чтобы сделать вывод о выполнении семьёй Фёдоровых функции социального контроля? (Сформулируйте два вопроса, необходимых для получения этой информации.)</x:v>
      </x:c>
      <x:c r="N2110" s="30" t="str">
        <x:v>Брачный договор регулирует имущественные права и обязанности супругов. В него можно включить раздельный режим собственности на недвижимость и порядок участия каждого супруга в семейных расходах. Семья нуклеарная, потому что состоит из супругов и их детей без совместно проживающих других поколений. Вопросы: устанавливают ли родители правила и контролируют ли их соблюдение? применяют ли поощрения и санкции?</x:v>
      </x:c>
      <x:c r="O2110" s="30" t="str">
        <x:v>Назвать предмет договора; две позиции; объяснить нуклеарность; сформулировать два вопроса о социальном контроле.</x:v>
      </x:c>
      <x:c r="P2110" s="30" t="str">
        <x:v>Проверено по структуре официального критерия: все требуемые элементы присутствуют, лишних позиций нет.</x:v>
      </x:c>
      <x:c r="Q2110" s="30"/>
      <x:c r="R2110" s="30" t="str">
        <x:v>Официальные критерии развёрнутого ответа; см. SOC_Apr_Criteria_LOCKED</x:v>
      </x:c>
      <x:c r="S2110" s="30"/>
      <x:c r="T2110" s="30"/>
      <x:c r="U2110" s="30" t="str">
        <x:v>Смешанный вариант: модель и критерий восстановлены из ОБ2510601; структура подтверждена чистым сканом.</x:v>
      </x:c>
      <x:c r="V2110" s="87" t="str">
        <x:v>VERIFIED</x:v>
      </x:c>
      <x:c r="W2110" s="87" t="n">
        <x:v>13</x:v>
      </x:c>
      <x:c r="X2110" s="87"/>
      <x:c r="Y2110" s="87"/>
      <x:c r="Z2110" s="87"/>
      <x:c r="AA2110" s="87"/>
      <x:c r="AB2110" s="87"/>
      <x:c r="AC2110" s="87"/>
      <x:c r="AD2110" s="87"/>
      <x:c r="AE2110" s="87"/>
      <x:c r="AF2110" s="87"/>
      <x:c r="AG2110" s="87"/>
      <x:c r="AH2110" s="87"/>
      <x:c r="AI2110" s="30"/>
      <x:c r="AJ2110" s="87" t="str">
        <x:v>master</x:v>
      </x:c>
      <x:c r="AK2110" s="87" t="str">
        <x:v>master-v0.81</x:v>
      </x:c>
      <x:c r="AL2110" s="87" t="str">
        <x:v>statgrad_master_base_v0_81_final(2).xlsx</x:v>
      </x:c>
      <x:c r="AM2110" s="87" t="str">
        <x:v>SOC_Apr_V4</x:v>
      </x:c>
      <x:c r="AN2110" s="87" t="n">
        <x:v>23</x:v>
      </x:c>
    </x:row>
    <x:row r="2111">
      <x:c r="A2111" s="87" t="n">
        <x:v>2110</x:v>
      </x:c>
      <x:c r="B2111" s="87" t="str">
        <x:v>APR-SOC-V4-023</x:v>
      </x:c>
      <x:c r="C2111" s="87" t="str">
        <x:v>СтатГрад</x:v>
      </x:c>
      <x:c r="D2111" s="87" t="str">
        <x:v>Апрель 2026</x:v>
      </x:c>
      <x:c r="E2111" s="87"/>
      <x:c r="F2111" s="87"/>
      <x:c r="G2111" s="87" t="str">
        <x:v>Обществознание</x:v>
      </x:c>
      <x:c r="H2111" s="87" t="n">
        <x:v>11</x:v>
      </x:c>
      <x:c r="I2111" s="87" t="str">
        <x:v>ТР №6</x:v>
      </x:c>
      <x:c r="J2111" s="87" t="str">
        <x:v>ОБ2510604</x:v>
      </x:c>
      <x:c r="K2111" s="87" t="n">
        <x:v>23</x:v>
      </x:c>
      <x:c r="L2111" s="87" t="str">
        <x:v>Федерализм</x:v>
      </x:c>
      <x:c r="M2111" s="30" t="str">
        <x:v>Конституция Российской Федерации закрепляет принцип федерализма. На основе положений Конституции Российской Федерации сформулируйте три подтверждения этого положения. (Каждое подтверждение должно быть сформулировано как распространённое предложение с опорой на конкретное положение Конституции Российской Федерации; указывать номера статей и дословно воспроизводить их содержание не требуется.)</x:v>
      </x:c>
      <x:c r="N2111" s="30" t="str">
        <x:v>1) Россия состоит из равноправных субъектов разных видов. 2) Конституция разграничивает предметы ведения и полномочия между Федерацией и субъектами. 3) Федеративное устройство основано на государственной целостности, единстве публичной власти, равноправии и самоопределении народов и равноправии субъектов.</x:v>
      </x:c>
      <x:c r="O2111" s="30" t="str">
        <x:v>Сформулировать три подтверждения федерализма на основе Конституции.</x:v>
      </x:c>
      <x:c r="P2111" s="30" t="str">
        <x:v>Проверено по структуре официального критерия: все требуемые элементы присутствуют, лишних позиций нет.</x:v>
      </x:c>
      <x:c r="Q2111" s="30"/>
      <x:c r="R2111" s="30" t="str">
        <x:v>Официальные критерии развёрнутого ответа; см. SOC_Apr_Criteria_LOCKED</x:v>
      </x:c>
      <x:c r="S2111" s="30"/>
      <x:c r="T2111" s="30"/>
      <x:c r="U2111" s="30" t="str">
        <x:v>Смешанный вариант: модель и критерий восстановлены из ОБ2510602; структура подтверждена чистым сканом.</x:v>
      </x:c>
      <x:c r="V2111" s="87" t="str">
        <x:v>VERIFIED</x:v>
      </x:c>
      <x:c r="W2111" s="87" t="n">
        <x:v>13</x:v>
      </x:c>
      <x:c r="X2111" s="87"/>
      <x:c r="Y2111" s="87"/>
      <x:c r="Z2111" s="87"/>
      <x:c r="AA2111" s="87"/>
      <x:c r="AB2111" s="87"/>
      <x:c r="AC2111" s="87"/>
      <x:c r="AD2111" s="87"/>
      <x:c r="AE2111" s="87"/>
      <x:c r="AF2111" s="87"/>
      <x:c r="AG2111" s="87"/>
      <x:c r="AH2111" s="87"/>
      <x:c r="AI2111" s="30"/>
      <x:c r="AJ2111" s="87" t="str">
        <x:v>master</x:v>
      </x:c>
      <x:c r="AK2111" s="87" t="str">
        <x:v>master-v0.81</x:v>
      </x:c>
      <x:c r="AL2111" s="87" t="str">
        <x:v>statgrad_master_base_v0_81_final(2).xlsx</x:v>
      </x:c>
      <x:c r="AM2111" s="87" t="str">
        <x:v>SOC_Apr_V4</x:v>
      </x:c>
      <x:c r="AN2111" s="87" t="n">
        <x:v>24</x:v>
      </x:c>
    </x:row>
    <x:row r="2112">
      <x:c r="A2112" s="87" t="n">
        <x:v>2111</x:v>
      </x:c>
      <x:c r="B2112" s="87" t="str">
        <x:v>APR-SOC-V4-024</x:v>
      </x:c>
      <x:c r="C2112" s="87" t="str">
        <x:v>СтатГрад</x:v>
      </x:c>
      <x:c r="D2112" s="87" t="str">
        <x:v>Апрель 2026</x:v>
      </x:c>
      <x:c r="E2112" s="87"/>
      <x:c r="F2112" s="87"/>
      <x:c r="G2112" s="87" t="str">
        <x:v>Обществознание</x:v>
      </x:c>
      <x:c r="H2112" s="87" t="n">
        <x:v>11</x:v>
      </x:c>
      <x:c r="I2112" s="87" t="str">
        <x:v>ТР №6</x:v>
      </x:c>
      <x:c r="J2112" s="87" t="str">
        <x:v>ОБ2510604</x:v>
      </x:c>
      <x:c r="K2112" s="87" t="n">
        <x:v>24</x:v>
      </x:c>
      <x:c r="L2112" s="87" t="str">
        <x:v>Сложный план: финансовые услуги</x:v>
      </x:c>
      <x:c r="M2112" s="30" t="str">
        <x:v>Используя обществоведческие знания, составьте сложный план, позволяющий раскрыть по существу тему «Финансовые услуги».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возможны только два подпункта.)</x:v>
      </x:c>
      <x:c r="N2112" s="30" t="str">
        <x:v>1. Понятие и значение финансовых услуг: а) операции с денежными средствами и активами; б) удовлетворение потребностей граждан и организаций; в) финансовое посредничество. 2. Участники рынка: а) потребители; б) банки, страховщики и инвестиционные организации; в) Банк России и регуляторы. 3. Банковские услуги: а) счета и расчёты; б) вклады; в) кредиты. 4. Страховые услуги: а) личное; б) имущественное; в) ответственности. 5. Инвестиционные услуги: а) брокерские; б) доверительное управление; в) коллективные инвестиции. 6. Платёжные услуги: а) карты и переводы; б) электронные средства; в) дистанционное обслуживание. 7. Защита потребителя: а) раскрытие стоимости и рисков; б) лицензирование и надзор; в) порядок жалоб и противодействие мошенничеству.</x:v>
      </x:c>
      <x:c r="O2112" s="30" t="str">
        <x:v>Составить сложный план минимум с тремя раскрывающими пунктами и необходимой детализацией.</x:v>
      </x:c>
      <x:c r="P2112" s="30" t="str">
        <x:v>Проверено по структуре официального критерия: все требуемые элементы присутствуют, лишних позиций нет.</x:v>
      </x:c>
      <x:c r="Q2112" s="30"/>
      <x:c r="R2112" s="30" t="str">
        <x:v>Официальные критерии развёрнутого ответа; см. SOC_Apr_Criteria_LOCKED</x:v>
      </x:c>
      <x:c r="S2112" s="30"/>
      <x:c r="T2112" s="30"/>
      <x:c r="U2112" s="30" t="str">
        <x:v>Смешанный вариант: модель и критерий восстановлены из ОБ2510601; структура подтверждена чистым сканом.</x:v>
      </x:c>
      <x:c r="V2112" s="87" t="str">
        <x:v>VERIFIED</x:v>
      </x:c>
      <x:c r="W2112" s="87" t="n">
        <x:v>14</x:v>
      </x:c>
      <x:c r="X2112" s="87"/>
      <x:c r="Y2112" s="87"/>
      <x:c r="Z2112" s="87"/>
      <x:c r="AA2112" s="87"/>
      <x:c r="AB2112" s="87"/>
      <x:c r="AC2112" s="87"/>
      <x:c r="AD2112" s="87"/>
      <x:c r="AE2112" s="87"/>
      <x:c r="AF2112" s="87"/>
      <x:c r="AG2112" s="87"/>
      <x:c r="AH2112" s="87"/>
      <x:c r="AI2112" s="30"/>
      <x:c r="AJ2112" s="87" t="str">
        <x:v>master</x:v>
      </x:c>
      <x:c r="AK2112" s="87" t="str">
        <x:v>master-v0.81</x:v>
      </x:c>
      <x:c r="AL2112" s="87" t="str">
        <x:v>statgrad_master_base_v0_81_final(2).xlsx</x:v>
      </x:c>
      <x:c r="AM2112" s="87" t="str">
        <x:v>SOC_Apr_V4</x:v>
      </x:c>
      <x:c r="AN2112" s="87" t="n">
        <x:v>25</x:v>
      </x:c>
    </x:row>
    <x:row r="2113">
      <x:c r="A2113" s="87" t="n">
        <x:v>2112</x:v>
      </x:c>
      <x:c r="B2113" s="87" t="str">
        <x:v>APR-SOC-V4-025</x:v>
      </x:c>
      <x:c r="C2113" s="87" t="str">
        <x:v>СтатГрад</x:v>
      </x:c>
      <x:c r="D2113" s="87" t="str">
        <x:v>Апрель 2026</x:v>
      </x:c>
      <x:c r="E2113" s="87"/>
      <x:c r="F2113" s="87"/>
      <x:c r="G2113" s="87" t="str">
        <x:v>Обществознание</x:v>
      </x:c>
      <x:c r="H2113" s="87" t="n">
        <x:v>11</x:v>
      </x:c>
      <x:c r="I2113" s="87" t="str">
        <x:v>ТР №6</x:v>
      </x:c>
      <x:c r="J2113" s="87" t="str">
        <x:v>ОБ2510604</x:v>
      </x:c>
      <x:c r="K2113" s="87" t="n">
        <x:v>25</x:v>
      </x:c>
      <x:c r="L2113" s="87" t="str">
        <x:v>Финансовая грамотность</x:v>
      </x:c>
      <x:c r="M2113" s="30" t="str">
        <x:v>Используя обществоведческие знания, факты общественной жизни и личный социальный опыт, выполните задания, ответьте на вопрос. 1) Обоснуйте значение финансовой грамотности в современном обществе.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Какие организации / учреждения способствуют формированию финансовой грамотности населения? (Назовите три организации / учреждения.) 3) Приведите по одному примеру, иллюстрирующему роль каждой(-ого) из указанных в пункте 2) организаций / учреждений в формировании финансовой грамотности населения. (Каждый пример должен быть сформулирован развёрнуто.)</x:v>
      </x:c>
      <x:c r="N2113" s="30" t="str">
        <x:v>Финансовая грамотность помогает соотносить доходы и расходы, формировать резерв, оценивать кредитные и инвестиционные риски и распознавать мошенничество. Это снижает чрезмерную задолженность и потери сбережений, повышая устойчивость семей и финансовой системы. Организации: школа, Банк России, коммерческий банк. Примеры: школа учит составлять бюджет и считать переплату; Банк России проводит онлайн-уроки по безопасности; банк объясняет клиентам полную стоимость кредита и правила защиты платёжных данных.</x:v>
      </x:c>
      <x:c r="O2113" s="30" t="str">
        <x:v>Дать связанное обоснование; назвать три учреждения; привести три соответствующих примера.</x:v>
      </x:c>
      <x:c r="P2113" s="30" t="str">
        <x:v>Проверено по структуре официального критерия: все требуемые элементы присутствуют, лишних позиций нет.</x:v>
      </x:c>
      <x:c r="Q2113" s="30"/>
      <x:c r="R2113" s="30" t="str">
        <x:v>Официальные критерии развёрнутого ответа; см. SOC_Apr_Criteria_LOCKED</x:v>
      </x:c>
      <x:c r="S2113" s="30"/>
      <x:c r="T2113" s="30"/>
      <x:c r="U2113" s="30" t="str">
        <x:v>Смешанный вариант: модель и критерий восстановлены из ОБ2510601; структура подтверждена чистым сканом.</x:v>
      </x:c>
      <x:c r="V2113" s="87" t="str">
        <x:v>VERIFIED</x:v>
      </x:c>
      <x:c r="W2113" s="87" t="n">
        <x:v>14</x:v>
      </x:c>
      <x:c r="X2113" s="87"/>
      <x:c r="Y2113" s="87"/>
      <x:c r="Z2113" s="87"/>
      <x:c r="AA2113" s="87"/>
      <x:c r="AB2113" s="87"/>
      <x:c r="AC2113" s="87"/>
      <x:c r="AD2113" s="87"/>
      <x:c r="AE2113" s="87"/>
      <x:c r="AF2113" s="87"/>
      <x:c r="AG2113" s="87"/>
      <x:c r="AH2113" s="87"/>
      <x:c r="AI2113" s="30"/>
      <x:c r="AJ2113" s="87" t="str">
        <x:v>master</x:v>
      </x:c>
      <x:c r="AK2113" s="87" t="str">
        <x:v>master-v0.81</x:v>
      </x:c>
      <x:c r="AL2113" s="87" t="str">
        <x:v>statgrad_master_base_v0_81_final(2).xlsx</x:v>
      </x:c>
      <x:c r="AM2113" s="87" t="str">
        <x:v>SOC_Apr_V4</x:v>
      </x:c>
      <x:c r="AN2113" s="87" t="n">
        <x:v>26</x:v>
      </x:c>
    </x:row>
    <x:row r="2114">
      <x:c r="A2114" s="87" t="n">
        <x:v>2113</x:v>
      </x:c>
      <x:c r="B2114" s="87" t="str">
        <x:v>APR-LIT-V1-001</x:v>
      </x:c>
      <x:c r="C2114" s="87" t="str">
        <x:v>СтатГрад</x:v>
      </x:c>
      <x:c r="D2114" s="87" t="str">
        <x:v>Апрель 2026</x:v>
      </x:c>
      <x:c r="E2114" s="87"/>
      <x:c r="F2114" s="87"/>
      <x:c r="G2114" s="87" t="str">
        <x:v>Литература</x:v>
      </x:c>
      <x:c r="H2114" s="87" t="n">
        <x:v>11</x:v>
      </x:c>
      <x:c r="I2114" s="87" t="str">
        <x:v>ТР №4</x:v>
      </x:c>
      <x:c r="J2114" s="87" t="str">
        <x:v>ЛИ2510401</x:v>
      </x:c>
      <x:c r="K2114" s="87" t="n">
        <x:v>1</x:v>
      </x:c>
      <x:c r="L2114" s="87" t="str">
        <x:v>Художественная деталь</x:v>
      </x:c>
      <x:c r="M2114" s="30" t="str">
        <x:v>Как называется выразительная подробность, характеризующая героя (например, оружие, которое Сергей Тюленин закопал в огороде)?</x:v>
      </x:c>
      <x:c r="N2114" s="30" t="str">
        <x:v>деталь</x:v>
      </x:c>
      <x:c r="O2114" s="30" t="str">
        <x:v>Конкретный предмет или подробность, помогающая раскрыть персонажа и художественный мир, называется художественной деталью.</x:v>
      </x:c>
      <x:c r="P2114" s="30" t="str">
        <x:v>Термин определён по теории литературы и затем сверен с официальной таблицей ответов.</x:v>
      </x:c>
      <x:c r="Q2114" s="30"/>
      <x:c r="R2114" s="30" t="str">
        <x:v>деталь</x:v>
      </x:c>
      <x:c r="S2114" s="30"/>
      <x:c r="T2114" s="30"/>
      <x:c r="U2114" s="30" t="str">
        <x:v>Расхождений нет.</x:v>
      </x:c>
      <x:c r="V2114" s="87" t="str">
        <x:v>VERIFIED</x:v>
      </x:c>
      <x:c r="W2114" s="87"/>
      <x:c r="X2114" s="87"/>
      <x:c r="Y2114" s="87"/>
      <x:c r="Z2114" s="87"/>
      <x:c r="AA2114" s="87"/>
      <x:c r="AB2114" s="87"/>
      <x:c r="AC2114" s="87"/>
      <x:c r="AD2114" s="87"/>
      <x:c r="AE2114" s="87"/>
      <x:c r="AF2114" s="87"/>
      <x:c r="AG2114" s="87"/>
      <x:c r="AH2114" s="87"/>
      <x:c r="AI2114" s="30"/>
      <x:c r="AJ2114" s="87" t="str">
        <x:v>master</x:v>
      </x:c>
      <x:c r="AK2114" s="87" t="str">
        <x:v>master-v0.81</x:v>
      </x:c>
      <x:c r="AL2114" s="87" t="str">
        <x:v>statgrad_master_base_v0_81_final(2).xlsx</x:v>
      </x:c>
      <x:c r="AM2114" s="87" t="str">
        <x:v>LIT_Apr_V1</x:v>
      </x:c>
      <x:c r="AN2114" s="87" t="n">
        <x:v>2</x:v>
      </x:c>
    </x:row>
    <x:row r="2115">
      <x:c r="A2115" s="87" t="n">
        <x:v>2114</x:v>
      </x:c>
      <x:c r="B2115" s="87" t="str">
        <x:v>APR-LIT-V1-002</x:v>
      </x:c>
      <x:c r="C2115" s="87" t="str">
        <x:v>СтатГрад</x:v>
      </x:c>
      <x:c r="D2115" s="87" t="str">
        <x:v>Апрель 2026</x:v>
      </x:c>
      <x:c r="E2115" s="87"/>
      <x:c r="F2115" s="87"/>
      <x:c r="G2115" s="87" t="str">
        <x:v>Литература</x:v>
      </x:c>
      <x:c r="H2115" s="87" t="n">
        <x:v>11</x:v>
      </x:c>
      <x:c r="I2115" s="87" t="str">
        <x:v>ТР №4</x:v>
      </x:c>
      <x:c r="J2115" s="87" t="str">
        <x:v>ЛИ2510401</x:v>
      </x:c>
      <x:c r="K2115" s="87" t="n">
        <x:v>2</x:v>
      </x:c>
      <x:c r="L2115" s="87" t="str">
        <x:v>Произведение и автор</x:v>
      </x:c>
      <x:c r="M2115" s="30" t="str">
        <x:v>Соотнесите произведения «Капитанская дочка», «Преступление и наказание», «Реквием» с авторами: А. А. Ахматова, М. И. Цветаева, Ф. М. Достоевский, А. С. Пушкин.</x:v>
      </x:c>
      <x:c r="N2115" s="30" t="str">
        <x:v>431</x:v>
      </x:c>
      <x:c r="O2115" s="30" t="str">
        <x:v>«Капитанская дочка» — А. С. Пушкин (4); «Преступление и наказание» — Ф. М. Достоевский (3); «Реквием» — А. А. Ахматова (1).</x:v>
      </x:c>
      <x:c r="P2115" s="30" t="str">
        <x:v>Авторство каждого произведения проверено независимо.</x:v>
      </x:c>
      <x:c r="Q2115" s="30"/>
      <x:c r="R2115" s="30" t="str">
        <x:v>431</x:v>
      </x:c>
      <x:c r="S2115" s="30"/>
      <x:c r="T2115" s="30"/>
      <x:c r="U2115" s="30" t="str">
        <x:v>Расхождений нет.</x:v>
      </x:c>
      <x:c r="V2115" s="87" t="str">
        <x:v>VERIFIED</x:v>
      </x:c>
      <x:c r="W2115" s="87"/>
      <x:c r="X2115" s="87"/>
      <x:c r="Y2115" s="87"/>
      <x:c r="Z2115" s="87"/>
      <x:c r="AA2115" s="87"/>
      <x:c r="AB2115" s="87"/>
      <x:c r="AC2115" s="87"/>
      <x:c r="AD2115" s="87"/>
      <x:c r="AE2115" s="87"/>
      <x:c r="AF2115" s="87"/>
      <x:c r="AG2115" s="87"/>
      <x:c r="AH2115" s="87"/>
      <x:c r="AI2115" s="30"/>
      <x:c r="AJ2115" s="87" t="str">
        <x:v>master</x:v>
      </x:c>
      <x:c r="AK2115" s="87" t="str">
        <x:v>master-v0.81</x:v>
      </x:c>
      <x:c r="AL2115" s="87" t="str">
        <x:v>statgrad_master_base_v0_81_final(2).xlsx</x:v>
      </x:c>
      <x:c r="AM2115" s="87" t="str">
        <x:v>LIT_Apr_V1</x:v>
      </x:c>
      <x:c r="AN2115" s="87" t="n">
        <x:v>3</x:v>
      </x:c>
    </x:row>
    <x:row r="2116">
      <x:c r="A2116" s="87" t="n">
        <x:v>2115</x:v>
      </x:c>
      <x:c r="B2116" s="87" t="str">
        <x:v>APR-LIT-V1-003</x:v>
      </x:c>
      <x:c r="C2116" s="87" t="str">
        <x:v>СтатГрад</x:v>
      </x:c>
      <x:c r="D2116" s="87" t="str">
        <x:v>Апрель 2026</x:v>
      </x:c>
      <x:c r="E2116" s="87"/>
      <x:c r="F2116" s="87"/>
      <x:c r="G2116" s="87" t="str">
        <x:v>Литература</x:v>
      </x:c>
      <x:c r="H2116" s="87" t="n">
        <x:v>11</x:v>
      </x:c>
      <x:c r="I2116" s="87" t="str">
        <x:v>ТР №4</x:v>
      </x:c>
      <x:c r="J2116" s="87" t="str">
        <x:v>ЛИ2510401</x:v>
      </x:c>
      <x:c r="K2116" s="87" t="n">
        <x:v>3</x:v>
      </x:c>
      <x:c r="L2116" s="87" t="str">
        <x:v>Жанр и литературное направление</x:v>
      </x:c>
      <x:c r="M2116" s="30" t="str">
        <x:v>Заполните: «Молодая гвардия» относится к жанру ___ и следует традициям ___ как литературного направления.</x:v>
      </x:c>
      <x:c r="N2116" s="30" t="str">
        <x:v>романа; реализма</x:v>
      </x:c>
      <x:c r="O2116" s="30" t="str">
        <x:v>Произведение А. А. Фадеева является романом и основано на реалистическом изображении исторических событий и характеров.</x:v>
      </x:c>
      <x:c r="P2116" s="30" t="str">
        <x:v>Оба литературоведческих термина согласуются с контекстом и официальным ответом.</x:v>
      </x:c>
      <x:c r="Q2116" s="30"/>
      <x:c r="R2116" s="30" t="str">
        <x:v>романареализма</x:v>
      </x:c>
      <x:c r="S2116" s="30"/>
      <x:c r="T2116" s="30"/>
      <x:c r="U2116" s="30" t="str">
        <x:v>В официальном ключе формы слов объединены без пробела; в базе разделены для читаемости.</x:v>
      </x:c>
      <x:c r="V2116" s="87" t="str">
        <x:v>VERIFIED</x:v>
      </x:c>
      <x:c r="W2116" s="87"/>
      <x:c r="X2116" s="87"/>
      <x:c r="Y2116" s="87"/>
      <x:c r="Z2116" s="87"/>
      <x:c r="AA2116" s="87"/>
      <x:c r="AB2116" s="87"/>
      <x:c r="AC2116" s="87"/>
      <x:c r="AD2116" s="87"/>
      <x:c r="AE2116" s="87"/>
      <x:c r="AF2116" s="87"/>
      <x:c r="AG2116" s="87"/>
      <x:c r="AH2116" s="87"/>
      <x:c r="AI2116" s="30"/>
      <x:c r="AJ2116" s="87" t="str">
        <x:v>master</x:v>
      </x:c>
      <x:c r="AK2116" s="87" t="str">
        <x:v>master-v0.81</x:v>
      </x:c>
      <x:c r="AL2116" s="87" t="str">
        <x:v>statgrad_master_base_v0_81_final(2).xlsx</x:v>
      </x:c>
      <x:c r="AM2116" s="87" t="str">
        <x:v>LIT_Apr_V1</x:v>
      </x:c>
      <x:c r="AN2116" s="87" t="n">
        <x:v>4</x:v>
      </x:c>
    </x:row>
    <x:row r="2117">
      <x:c r="A2117" s="87" t="n">
        <x:v>2116</x:v>
      </x:c>
      <x:c r="B2117" s="87" t="str">
        <x:v>APR-LIT-V1-004A</x:v>
      </x:c>
      <x:c r="C2117" s="87" t="str">
        <x:v>СтатГрад</x:v>
      </x:c>
      <x:c r="D2117" s="87" t="str">
        <x:v>Апрель 2026</x:v>
      </x:c>
      <x:c r="E2117" s="87"/>
      <x:c r="F2117" s="87"/>
      <x:c r="G2117" s="87" t="str">
        <x:v>Литература</x:v>
      </x:c>
      <x:c r="H2117" s="87" t="n">
        <x:v>11</x:v>
      </x:c>
      <x:c r="I2117" s="87" t="str">
        <x:v>ТР №4</x:v>
      </x:c>
      <x:c r="J2117" s="87" t="str">
        <x:v>ЛИ2510401</x:v>
      </x:c>
      <x:c r="K2117" s="87" t="str">
        <x:v>4.1</x:v>
      </x:c>
      <x:c r="L2117" s="87" t="str">
        <x:v>Развёрнутый ответ: характер Тюленина</x:v>
      </x:c>
      <x:c r="M2117" s="30" t="str">
        <x:v>Какие качества личности Сергея Тюленина раскрываются в приведённом эпизоде?</x:v>
      </x:c>
      <x:c r="N2117" s="30" t="str">
        <x:v>В эпизоде раскрываются смелость, решительность, находчивость и душевная чуткость Сергея Тюленина. Он тайно возвращается домой из Ворошиловграда и действует быстро и уверенно: без стука входит во двор, ориентируется в темноте и сразу берётся за дело. Герой предусмотрителен и умеет соблюдать конспирацию: гранаты, пистолеты и патроны он заворачивает по отдельности, прячет в выкопанной яме, разрыхляет землю и тщательно уничтожает следы работы. Эти детали показывают его готовность к опасной борьбе и способность отвечать за свои поступки. Вместе с тем Сергей нежно привязан к семье: почувствовав знакомый запах матери, он молча обнимает её и прижимается головой к плечу. Даже переживая сильное волнение, Тюленин сохраняет самообладание и отвечает матери обычным голосом.</x:v>
      </x:c>
      <x:c r="O2117" s="30" t="str">
        <x:v>Ответ раскрывает смелость, решительность, предусмотрительность, самообладание и любовь героя к семье.</x:v>
      </x:c>
      <x:c r="P2117" s="30" t="str">
        <x:v>Использованы конкретные детали фрагмента: тайное возвращение, устройство тайника, уничтожение следов и молчаливые объятия матери.</x:v>
      </x:c>
      <x:c r="Q2117" s="30"/>
      <x:c r="R2117" s="30" t="str">
        <x:v>Отдельного эталона в архиве нет.</x:v>
      </x:c>
      <x:c r="S2117" s="30"/>
      <x:c r="T2117" s="30"/>
      <x:c r="U2117" s="30" t="str">
        <x:v>Самостоятельный модельный ответ; в работе выбирается 4.1 или 4.2.</x:v>
      </x:c>
      <x:c r="V2117" s="87" t="str">
        <x:v>VERIFIED</x:v>
      </x:c>
      <x:c r="W2117" s="87"/>
      <x:c r="X2117" s="87"/>
      <x:c r="Y2117" s="87"/>
      <x:c r="Z2117" s="87"/>
      <x:c r="AA2117" s="87"/>
      <x:c r="AB2117" s="87"/>
      <x:c r="AC2117" s="87"/>
      <x:c r="AD2117" s="87"/>
      <x:c r="AE2117" s="87"/>
      <x:c r="AF2117" s="87"/>
      <x:c r="AG2117" s="87"/>
      <x:c r="AH2117" s="87"/>
      <x:c r="AI2117" s="30"/>
      <x:c r="AJ2117" s="87" t="str">
        <x:v>master</x:v>
      </x:c>
      <x:c r="AK2117" s="87" t="str">
        <x:v>master-v0.81</x:v>
      </x:c>
      <x:c r="AL2117" s="87" t="str">
        <x:v>statgrad_master_base_v0_81_final(2).xlsx</x:v>
      </x:c>
      <x:c r="AM2117" s="87" t="str">
        <x:v>LIT_Apr_V1</x:v>
      </x:c>
      <x:c r="AN2117" s="87" t="n">
        <x:v>5</x:v>
      </x:c>
    </x:row>
    <x:row r="2118">
      <x:c r="A2118" s="87" t="n">
        <x:v>2117</x:v>
      </x:c>
      <x:c r="B2118" s="87" t="str">
        <x:v>APR-LIT-V1-004B</x:v>
      </x:c>
      <x:c r="C2118" s="87" t="str">
        <x:v>СтатГрад</x:v>
      </x:c>
      <x:c r="D2118" s="87" t="str">
        <x:v>Апрель 2026</x:v>
      </x:c>
      <x:c r="E2118" s="87"/>
      <x:c r="F2118" s="87"/>
      <x:c r="G2118" s="87" t="str">
        <x:v>Литература</x:v>
      </x:c>
      <x:c r="H2118" s="87" t="n">
        <x:v>11</x:v>
      </x:c>
      <x:c r="I2118" s="87" t="str">
        <x:v>ТР №4</x:v>
      </x:c>
      <x:c r="J2118" s="87" t="str">
        <x:v>ЛИ2510401</x:v>
      </x:c>
      <x:c r="K2118" s="87" t="str">
        <x:v>4.2</x:v>
      </x:c>
      <x:c r="L2118" s="87" t="str">
        <x:v>Развёрнутый ответ: внутреннее состояние</x:v>
      </x:c>
      <x:c r="M2118" s="30" t="str">
        <x:v>Как в приведённом фрагменте отображено внутреннее состояние персонажей?</x:v>
      </x:c>
      <x:c r="N2118" s="30" t="str">
        <x:v>Внутреннее состояние Сергея Тюленина передано через смену напряжённой сосредоточенности и глубокого душевного волнения. Сначала герой насторожен: он оглядывается, бесшумно входит во двор и в темноте точно находит нужное место. Его действия с оружием предельно аккуратны, а уничтожение следов показывает тревогу и понимание опасности. При встрече с матерью внешняя собранность уступает нежности: Сергей узнаёт её по походке и запаху, обнимает и долго молчит, прижавшись к её плечу. Так автор показывает, насколько сильно герой тосковал по дому и близким. Однако Тюленин не позволяет чувствам лишить его самообладания: на вопросы матери он отвечает коротко и своим обычным голосом.</x:v>
      </x:c>
      <x:c r="O2118" s="30" t="str">
        <x:v>Показана смена тревожной сосредоточенности героя, нежности и облегчения при встрече с матерью; состояние передано через действия, паузы и речь.</x:v>
      </x:c>
      <x:c r="P2118" s="30" t="str">
        <x:v>Проверено наличие тезиса и минимум двух текстовых опор: осторожные действия Сергея и молчаливая сцена объятий.</x:v>
      </x:c>
      <x:c r="Q2118" s="30"/>
      <x:c r="R2118" s="30" t="str">
        <x:v>Отдельного эталона в архиве нет.</x:v>
      </x:c>
      <x:c r="S2118" s="30"/>
      <x:c r="T2118" s="30"/>
      <x:c r="U2118" s="30" t="str">
        <x:v>Альтернативный модельный ответ к заданию 4.2.</x:v>
      </x:c>
      <x:c r="V2118" s="87" t="str">
        <x:v>VERIFIED</x:v>
      </x:c>
      <x:c r="W2118" s="87"/>
      <x:c r="X2118" s="87"/>
      <x:c r="Y2118" s="87"/>
      <x:c r="Z2118" s="87"/>
      <x:c r="AA2118" s="87"/>
      <x:c r="AB2118" s="87"/>
      <x:c r="AC2118" s="87"/>
      <x:c r="AD2118" s="87"/>
      <x:c r="AE2118" s="87"/>
      <x:c r="AF2118" s="87"/>
      <x:c r="AG2118" s="87"/>
      <x:c r="AH2118" s="87"/>
      <x:c r="AI2118" s="30"/>
      <x:c r="AJ2118" s="87" t="str">
        <x:v>master</x:v>
      </x:c>
      <x:c r="AK2118" s="87" t="str">
        <x:v>master-v0.81</x:v>
      </x:c>
      <x:c r="AL2118" s="87" t="str">
        <x:v>statgrad_master_base_v0_81_final(2).xlsx</x:v>
      </x:c>
      <x:c r="AM2118" s="87" t="str">
        <x:v>LIT_Apr_V1</x:v>
      </x:c>
      <x:c r="AN2118" s="87" t="n">
        <x:v>6</x:v>
      </x:c>
    </x:row>
    <x:row r="2119">
      <x:c r="A2119" s="87" t="n">
        <x:v>2118</x:v>
      </x:c>
      <x:c r="B2119" s="87" t="str">
        <x:v>APR-LIT-V1-005</x:v>
      </x:c>
      <x:c r="C2119" s="87" t="str">
        <x:v>СтатГрад</x:v>
      </x:c>
      <x:c r="D2119" s="87" t="str">
        <x:v>Апрель 2026</x:v>
      </x:c>
      <x:c r="E2119" s="87"/>
      <x:c r="F2119" s="87"/>
      <x:c r="G2119" s="87" t="str">
        <x:v>Литература</x:v>
      </x:c>
      <x:c r="H2119" s="87" t="n">
        <x:v>11</x:v>
      </x:c>
      <x:c r="I2119" s="87" t="str">
        <x:v>ТР №4</x:v>
      </x:c>
      <x:c r="J2119" s="87" t="str">
        <x:v>ЛИ2510401</x:v>
      </x:c>
      <x:c r="K2119" s="87" t="n">
        <x:v>5</x:v>
      </x:c>
      <x:c r="L2119" s="87" t="str">
        <x:v>Сопоставительный анализ</x:v>
      </x:c>
      <x:c r="M2119" s="30" t="str">
        <x:v>Сопоставьте Сергея Тюленина с Григорием Мелеховым из романа М. А. Шолохова «Тихий Дон». В чём проявляется сходство натур двух героев?</x:v>
      </x:c>
      <x:c r="N2119" s="30" t="str">
        <x:v>Сергей Тюленин и Григорий Мелехов сходны смелостью, решительностью и глубокой привязанностью к родному дому. Тюленин, понимая смертельную опасность, тайно возвращается из Ворошиловграда, приносит оружие и тщательно прячет его в огороде, то есть сознательно готовится к борьбе с врагом. В романе М. А. Шолохова Григорий также неоднократно проявляет личную храбрость: во время боёв он действует решительно, а однажды под огнём спасает раненого Степана Астахова, хотя тот был его соперником. Обоим героям свойственна человечность, не исчезающая в военной обстановке. Кроме того, их поддерживает любовь к семье и своей земле: Тюленин, встретив мать, молча прижимается к ней, а Мелехов во всех испытаниях стремится вернуться к дому, детям и донскому хутору. При этом жизненный путь Григория трагически противоречив, тогда как нравственный выбор Тюленина в приведённом эпизоде ясен, но сходство их натур проявляется в мужестве, самостоятельности и потребности сохранить человеческие связи.</x:v>
      </x:c>
      <x:c r="O2119" s="30" t="str">
        <x:v>Сопоставление строится на мужестве, самостоятельности, человечности и привязанности обоих героев к семье и родной земле; различие жизненных путей отмечено отдельно.</x:v>
      </x:c>
      <x:c r="P2119" s="30" t="str">
        <x:v>Проверены примеры из фрагмента и романа: тайник Тюленина, спасение Степана Астахова и стремление Мелехова вернуться домой.</x:v>
      </x:c>
      <x:c r="Q2119" s="30"/>
      <x:c r="R2119" s="30" t="str">
        <x:v>Отдельного эталона в архиве нет.</x:v>
      </x:c>
      <x:c r="S2119" s="30"/>
      <x:c r="T2119" s="30"/>
      <x:c r="U2119" s="30" t="str">
        <x:v>Самостоятельный модельный ответ.</x:v>
      </x:c>
      <x:c r="V2119" s="87" t="str">
        <x:v>VERIFIED</x:v>
      </x:c>
      <x:c r="W2119" s="87"/>
      <x:c r="X2119" s="87"/>
      <x:c r="Y2119" s="87"/>
      <x:c r="Z2119" s="87"/>
      <x:c r="AA2119" s="87"/>
      <x:c r="AB2119" s="87"/>
      <x:c r="AC2119" s="87"/>
      <x:c r="AD2119" s="87"/>
      <x:c r="AE2119" s="87"/>
      <x:c r="AF2119" s="87"/>
      <x:c r="AG2119" s="87"/>
      <x:c r="AH2119" s="87"/>
      <x:c r="AI2119" s="30"/>
      <x:c r="AJ2119" s="87" t="str">
        <x:v>master</x:v>
      </x:c>
      <x:c r="AK2119" s="87" t="str">
        <x:v>master-v0.81</x:v>
      </x:c>
      <x:c r="AL2119" s="87" t="str">
        <x:v>statgrad_master_base_v0_81_final(2).xlsx</x:v>
      </x:c>
      <x:c r="AM2119" s="87" t="str">
        <x:v>LIT_Apr_V1</x:v>
      </x:c>
      <x:c r="AN2119" s="87" t="n">
        <x:v>7</x:v>
      </x:c>
    </x:row>
    <x:row r="2120">
      <x:c r="A2120" s="87" t="n">
        <x:v>2119</x:v>
      </x:c>
      <x:c r="B2120" s="87" t="str">
        <x:v>APR-LIT-V1-006</x:v>
      </x:c>
      <x:c r="C2120" s="87" t="str">
        <x:v>СтатГрад</x:v>
      </x:c>
      <x:c r="D2120" s="87" t="str">
        <x:v>Апрель 2026</x:v>
      </x:c>
      <x:c r="E2120" s="87"/>
      <x:c r="F2120" s="87"/>
      <x:c r="G2120" s="87" t="str">
        <x:v>Литература</x:v>
      </x:c>
      <x:c r="H2120" s="87" t="n">
        <x:v>11</x:v>
      </x:c>
      <x:c r="I2120" s="87" t="str">
        <x:v>ТР №4</x:v>
      </x:c>
      <x:c r="J2120" s="87" t="str">
        <x:v>ЛИ2510401</x:v>
      </x:c>
      <x:c r="K2120" s="87" t="n">
        <x:v>6</x:v>
      </x:c>
      <x:c r="L2120" s="87" t="str">
        <x:v>Стихотворный размер и род литературы</x:v>
      </x:c>
      <x:c r="M2120" s="30" t="str">
        <x:v>Заполните: произведение М. В. Кульчицкого написано ___ (стихотворный метр), относится к ___ как роду литературы.</x:v>
      </x:c>
      <x:c r="N2120" s="30" t="str">
        <x:v>хореем; лирике</x:v>
      </x:c>
      <x:c r="O2120" s="30" t="str">
        <x:v>В строках чередуются ударные и безударные слоги с ударением преимущественно на первом слоге стопы — это хорей; произведение относится к лирике.</x:v>
      </x:c>
      <x:c r="P2120" s="30" t="str">
        <x:v>Размер проверен скандированием нескольких строк; род литературы определён по форме выражения переживания.</x:v>
      </x:c>
      <x:c r="Q2120" s="30"/>
      <x:c r="R2120" s="30" t="str">
        <x:v>хореемлирике</x:v>
      </x:c>
      <x:c r="S2120" s="30"/>
      <x:c r="T2120" s="30"/>
      <x:c r="U2120" s="30" t="str">
        <x:v>В официальном ключе формы слов объединены без пробела; в базе разделены для читаемости.</x:v>
      </x:c>
      <x:c r="V2120" s="87" t="str">
        <x:v>VERIFIED</x:v>
      </x:c>
      <x:c r="W2120" s="87"/>
      <x:c r="X2120" s="87"/>
      <x:c r="Y2120" s="87"/>
      <x:c r="Z2120" s="87"/>
      <x:c r="AA2120" s="87"/>
      <x:c r="AB2120" s="87"/>
      <x:c r="AC2120" s="87"/>
      <x:c r="AD2120" s="87"/>
      <x:c r="AE2120" s="87"/>
      <x:c r="AF2120" s="87"/>
      <x:c r="AG2120" s="87"/>
      <x:c r="AH2120" s="87"/>
      <x:c r="AI2120" s="30"/>
      <x:c r="AJ2120" s="87" t="str">
        <x:v>master</x:v>
      </x:c>
      <x:c r="AK2120" s="87" t="str">
        <x:v>master-v0.81</x:v>
      </x:c>
      <x:c r="AL2120" s="87" t="str">
        <x:v>statgrad_master_base_v0_81_final(2).xlsx</x:v>
      </x:c>
      <x:c r="AM2120" s="87" t="str">
        <x:v>LIT_Apr_V1</x:v>
      </x:c>
      <x:c r="AN2120" s="87" t="n">
        <x:v>8</x:v>
      </x:c>
    </x:row>
    <x:row r="2121">
      <x:c r="A2121" s="87" t="n">
        <x:v>2120</x:v>
      </x:c>
      <x:c r="B2121" s="87" t="str">
        <x:v>APR-LIT-V1-007</x:v>
      </x:c>
      <x:c r="C2121" s="87" t="str">
        <x:v>СтатГрад</x:v>
      </x:c>
      <x:c r="D2121" s="87" t="str">
        <x:v>Апрель 2026</x:v>
      </x:c>
      <x:c r="E2121" s="87"/>
      <x:c r="F2121" s="87"/>
      <x:c r="G2121" s="87" t="str">
        <x:v>Литература</x:v>
      </x:c>
      <x:c r="H2121" s="87" t="n">
        <x:v>11</x:v>
      </x:c>
      <x:c r="I2121" s="87" t="str">
        <x:v>ТР №4</x:v>
      </x:c>
      <x:c r="J2121" s="87" t="str">
        <x:v>ЛИ2510401</x:v>
      </x:c>
      <x:c r="K2121" s="87" t="n">
        <x:v>7</x:v>
      </x:c>
      <x:c r="L2121" s="87" t="str">
        <x:v>Звукопись</x:v>
      </x:c>
      <x:c r="M2121" s="30" t="str">
        <x:v>Назовите вид звукописи в строках: «Он живёт и ночью, как ручей, / Что течёт, невидимый, под льдами».</x:v>
      </x:c>
      <x:c r="N2121" s="30" t="str">
        <x:v>аллитерация</x:v>
      </x:c>
      <x:c r="O2121" s="30" t="str">
        <x:v>Выразительность создаётся повтором согласных звуков, прежде всего ж, ч, т, что является аллитерацией.</x:v>
      </x:c>
      <x:c r="P2121" s="30" t="str">
        <x:v>Звуковой рисунок строк проверен отдельно и сверен с официальным ответом.</x:v>
      </x:c>
      <x:c r="Q2121" s="30"/>
      <x:c r="R2121" s="30" t="str">
        <x:v>аллитерация</x:v>
      </x:c>
      <x:c r="S2121" s="30"/>
      <x:c r="T2121" s="30"/>
      <x:c r="U2121" s="30" t="str">
        <x:v>Расхождений нет.</x:v>
      </x:c>
      <x:c r="V2121" s="87" t="str">
        <x:v>VERIFIED</x:v>
      </x:c>
      <x:c r="W2121" s="87"/>
      <x:c r="X2121" s="87"/>
      <x:c r="Y2121" s="87"/>
      <x:c r="Z2121" s="87"/>
      <x:c r="AA2121" s="87"/>
      <x:c r="AB2121" s="87"/>
      <x:c r="AC2121" s="87"/>
      <x:c r="AD2121" s="87"/>
      <x:c r="AE2121" s="87"/>
      <x:c r="AF2121" s="87"/>
      <x:c r="AG2121" s="87"/>
      <x:c r="AH2121" s="87"/>
      <x:c r="AI2121" s="30"/>
      <x:c r="AJ2121" s="87" t="str">
        <x:v>master</x:v>
      </x:c>
      <x:c r="AK2121" s="87" t="str">
        <x:v>master-v0.81</x:v>
      </x:c>
      <x:c r="AL2121" s="87" t="str">
        <x:v>statgrad_master_base_v0_81_final(2).xlsx</x:v>
      </x:c>
      <x:c r="AM2121" s="87" t="str">
        <x:v>LIT_Apr_V1</x:v>
      </x:c>
      <x:c r="AN2121" s="87" t="n">
        <x:v>9</x:v>
      </x:c>
    </x:row>
    <x:row r="2122">
      <x:c r="A2122" s="87" t="n">
        <x:v>2121</x:v>
      </x:c>
      <x:c r="B2122" s="87" t="str">
        <x:v>APR-LIT-V1-008</x:v>
      </x:c>
      <x:c r="C2122" s="87" t="str">
        <x:v>СтатГрад</x:v>
      </x:c>
      <x:c r="D2122" s="87" t="str">
        <x:v>Апрель 2026</x:v>
      </x:c>
      <x:c r="E2122" s="87"/>
      <x:c r="F2122" s="87"/>
      <x:c r="G2122" s="87" t="str">
        <x:v>Литература</x:v>
      </x:c>
      <x:c r="H2122" s="87" t="n">
        <x:v>11</x:v>
      </x:c>
      <x:c r="I2122" s="87" t="str">
        <x:v>ТР №4</x:v>
      </x:c>
      <x:c r="J2122" s="87" t="str">
        <x:v>ЛИ2510401</x:v>
      </x:c>
      <x:c r="K2122" s="87" t="n">
        <x:v>8</x:v>
      </x:c>
      <x:c r="L2122" s="87" t="str">
        <x:v>Художественные средства</x:v>
      </x:c>
      <x:c r="M2122" s="30" t="str">
        <x:v>Выберите средства, использованные в стихотворении: гротеск, олицетворение, анафора, сарказм, инверсия, сравнение, литота.</x:v>
      </x:c>
      <x:c r="N2122" s="30" t="str">
        <x:v>2356</x:v>
      </x:c>
      <x:c r="O2122" s="30" t="str">
        <x:v>В тексте есть олицетворение города и дня, анафорический повтор «чтоб», инверсионные конструкции и сравнения «как сон», «как ручей», «как снег».</x:v>
      </x:c>
      <x:c r="P2122" s="30" t="str">
        <x:v>Каждая позиция подтверждена конкретным фрагментом и затем сверена с официальным ключом.</x:v>
      </x:c>
      <x:c r="Q2122" s="30"/>
      <x:c r="R2122" s="30" t="str">
        <x:v>2356</x:v>
      </x:c>
      <x:c r="S2122" s="30"/>
      <x:c r="T2122" s="30"/>
      <x:c r="U2122" s="30" t="str">
        <x:v>Порядок цифр по инструкции значения не имеет; сохранён официальный порядок.</x:v>
      </x:c>
      <x:c r="V2122" s="87" t="str">
        <x:v>VERIFIED</x:v>
      </x:c>
      <x:c r="W2122" s="87"/>
      <x:c r="X2122" s="87"/>
      <x:c r="Y2122" s="87"/>
      <x:c r="Z2122" s="87"/>
      <x:c r="AA2122" s="87"/>
      <x:c r="AB2122" s="87"/>
      <x:c r="AC2122" s="87"/>
      <x:c r="AD2122" s="87"/>
      <x:c r="AE2122" s="87"/>
      <x:c r="AF2122" s="87"/>
      <x:c r="AG2122" s="87"/>
      <x:c r="AH2122" s="87"/>
      <x:c r="AI2122" s="30"/>
      <x:c r="AJ2122" s="87" t="str">
        <x:v>master</x:v>
      </x:c>
      <x:c r="AK2122" s="87" t="str">
        <x:v>master-v0.81</x:v>
      </x:c>
      <x:c r="AL2122" s="87" t="str">
        <x:v>statgrad_master_base_v0_81_final(2).xlsx</x:v>
      </x:c>
      <x:c r="AM2122" s="87" t="str">
        <x:v>LIT_Apr_V1</x:v>
      </x:c>
      <x:c r="AN2122" s="87" t="n">
        <x:v>10</x:v>
      </x:c>
    </x:row>
    <x:row r="2123">
      <x:c r="A2123" s="87" t="n">
        <x:v>2122</x:v>
      </x:c>
      <x:c r="B2123" s="87" t="str">
        <x:v>APR-LIT-V1-009A</x:v>
      </x:c>
      <x:c r="C2123" s="87" t="str">
        <x:v>СтатГрад</x:v>
      </x:c>
      <x:c r="D2123" s="87" t="str">
        <x:v>Апрель 2026</x:v>
      </x:c>
      <x:c r="E2123" s="87"/>
      <x:c r="F2123" s="87"/>
      <x:c r="G2123" s="87" t="str">
        <x:v>Литература</x:v>
      </x:c>
      <x:c r="H2123" s="87" t="n">
        <x:v>11</x:v>
      </x:c>
      <x:c r="I2123" s="87" t="str">
        <x:v>ТР №4</x:v>
      </x:c>
      <x:c r="J2123" s="87" t="str">
        <x:v>ЛИ2510401</x:v>
      </x:c>
      <x:c r="K2123" s="87" t="str">
        <x:v>9.1</x:v>
      </x:c>
      <x:c r="L2123" s="87" t="str">
        <x:v>Развёрнутый ответ: заглавие</x:v>
      </x:c>
      <x:c r="M2123" s="30" t="str">
        <x:v>Как название стихотворения М. В. Кульчицкого связано с его содержанием?</x:v>
      </x:c>
      <x:c r="N2123" s="30" t="str">
        <x:v>Название «Будни» связано с изображением повседневной жизни бойцов, однако поэт наполняет обычное слово героическим смыслом. В начале стихотворения показана ночная дежурная обстановка: герои стоят у окна, смотрят на город и ожидают новый день. Эти будни не сводятся к однообразию и покою, потому что каждый день подчинён подготовке к бою. Лирический герой прямо называет будни «только дневкой», необходимой, чтобы в бою не ослабли сердца и успели нагреться винтовки. Повтор союза «чтоб» подчёркивает целеустремлённость людей: их повседневный труд должен привести к высадке десанта, героизму товарищей и расширению мирного, «синего» мира. Таким образом, заглавие подчёркивает, что военная повседневность незаметно создаёт будущую победу.</x:v>
      </x:c>
      <x:c r="O2123" s="30" t="str">
        <x:v>Ответ показывает переосмысление военных будней как целенаправленной подготовки к бою и будущей победе.</x:v>
      </x:c>
      <x:c r="P2123" s="30" t="str">
        <x:v>Использованы минимум две опоры: ночное ожидание нового дня и анафорическая цепь целей, начинающихся словом «чтоб».</x:v>
      </x:c>
      <x:c r="Q2123" s="30"/>
      <x:c r="R2123" s="30" t="str">
        <x:v>Отдельного эталона в архиве нет.</x:v>
      </x:c>
      <x:c r="S2123" s="30"/>
      <x:c r="T2123" s="30"/>
      <x:c r="U2123" s="30" t="str">
        <x:v>Самостоятельный модельный ответ; в работе выбирается 9.1 или 9.2.</x:v>
      </x:c>
      <x:c r="V2123" s="87" t="str">
        <x:v>VERIFIED</x:v>
      </x:c>
      <x:c r="W2123" s="87"/>
      <x:c r="X2123" s="87"/>
      <x:c r="Y2123" s="87"/>
      <x:c r="Z2123" s="87"/>
      <x:c r="AA2123" s="87"/>
      <x:c r="AB2123" s="87"/>
      <x:c r="AC2123" s="87"/>
      <x:c r="AD2123" s="87"/>
      <x:c r="AE2123" s="87"/>
      <x:c r="AF2123" s="87"/>
      <x:c r="AG2123" s="87"/>
      <x:c r="AH2123" s="87"/>
      <x:c r="AI2123" s="30"/>
      <x:c r="AJ2123" s="87" t="str">
        <x:v>master</x:v>
      </x:c>
      <x:c r="AK2123" s="87" t="str">
        <x:v>master-v0.81</x:v>
      </x:c>
      <x:c r="AL2123" s="87" t="str">
        <x:v>statgrad_master_base_v0_81_final(2).xlsx</x:v>
      </x:c>
      <x:c r="AM2123" s="87" t="str">
        <x:v>LIT_Apr_V1</x:v>
      </x:c>
      <x:c r="AN2123" s="87" t="n">
        <x:v>11</x:v>
      </x:c>
    </x:row>
    <x:row r="2124">
      <x:c r="A2124" s="87" t="n">
        <x:v>2123</x:v>
      </x:c>
      <x:c r="B2124" s="87" t="str">
        <x:v>APR-LIT-V1-009B</x:v>
      </x:c>
      <x:c r="C2124" s="87" t="str">
        <x:v>СтатГрад</x:v>
      </x:c>
      <x:c r="D2124" s="87" t="str">
        <x:v>Апрель 2026</x:v>
      </x:c>
      <x:c r="E2124" s="87"/>
      <x:c r="F2124" s="87"/>
      <x:c r="G2124" s="87" t="str">
        <x:v>Литература</x:v>
      </x:c>
      <x:c r="H2124" s="87" t="n">
        <x:v>11</x:v>
      </x:c>
      <x:c r="I2124" s="87" t="str">
        <x:v>ТР №4</x:v>
      </x:c>
      <x:c r="J2124" s="87" t="str">
        <x:v>ЛИ2510401</x:v>
      </x:c>
      <x:c r="K2124" s="87" t="str">
        <x:v>9.2</x:v>
      </x:c>
      <x:c r="L2124" s="87" t="str">
        <x:v>Развёрнутый ответ: романтическая поэтика</x:v>
      </x:c>
      <x:c r="M2124" s="30" t="str">
        <x:v>Что роднит стихотворение М. В. Кульчицкого с романтической поэзией?</x:v>
      </x:c>
      <x:c r="N2124" s="30" t="str">
        <x:v>Стихотворение М. В. Кульчицкого роднит с романтической поэзией устремлённость к героическому идеалу и преобразование действительности силой мечты. Ночной город представлен не бытово, а как живое величественное существо: его немеркнущие огни образуют «ответный взгляд», а сам город будто лежит под героями. Будущий день тоже превращён в необычный образ: он плывёт с востока, а самолёт должен принести его «на крыльях». Так реальное ожидание боевого вылета приобретает возвышенный, почти сказочный масштаб. Романтический пафос усиливается образами десанта, который должен «повиснуть орлом степей», и каждого товарища, способного стать героем. Контраст тёмной ночи и грядущего большого, синего мира выражает веру лирического героя в победу и в возможность приблизить идеальное будущее.</x:v>
      </x:c>
      <x:c r="O2124" s="30" t="str">
        <x:v>Раскрыты героический идеал, возвышенная образность, контраст настоящего и будущего, а также устремлённость к преобразованию мира.</x:v>
      </x:c>
      <x:c r="P2124" s="30" t="str">
        <x:v>Проверены текстовые примеры: «ответный взгляд» города, день на крыльях самолёта, десант-орёл и большой синий мир.</x:v>
      </x:c>
      <x:c r="Q2124" s="30"/>
      <x:c r="R2124" s="30" t="str">
        <x:v>Отдельного эталона в архиве нет.</x:v>
      </x:c>
      <x:c r="S2124" s="30"/>
      <x:c r="T2124" s="30"/>
      <x:c r="U2124" s="30" t="str">
        <x:v>Альтернативный модельный ответ к заданию 9.2.</x:v>
      </x:c>
      <x:c r="V2124" s="87" t="str">
        <x:v>VERIFIED</x:v>
      </x:c>
      <x:c r="W2124" s="87"/>
      <x:c r="X2124" s="87"/>
      <x:c r="Y2124" s="87"/>
      <x:c r="Z2124" s="87"/>
      <x:c r="AA2124" s="87"/>
      <x:c r="AB2124" s="87"/>
      <x:c r="AC2124" s="87"/>
      <x:c r="AD2124" s="87"/>
      <x:c r="AE2124" s="87"/>
      <x:c r="AF2124" s="87"/>
      <x:c r="AG2124" s="87"/>
      <x:c r="AH2124" s="87"/>
      <x:c r="AI2124" s="30"/>
      <x:c r="AJ2124" s="87" t="str">
        <x:v>master</x:v>
      </x:c>
      <x:c r="AK2124" s="87" t="str">
        <x:v>master-v0.81</x:v>
      </x:c>
      <x:c r="AL2124" s="87" t="str">
        <x:v>statgrad_master_base_v0_81_final(2).xlsx</x:v>
      </x:c>
      <x:c r="AM2124" s="87" t="str">
        <x:v>LIT_Apr_V1</x:v>
      </x:c>
      <x:c r="AN2124" s="87" t="n">
        <x:v>12</x:v>
      </x:c>
    </x:row>
    <x:row r="2125">
      <x:c r="A2125" s="87" t="n">
        <x:v>2124</x:v>
      </x:c>
      <x:c r="B2125" s="87" t="str">
        <x:v>APR-LIT-V1-010</x:v>
      </x:c>
      <x:c r="C2125" s="87" t="str">
        <x:v>СтатГрад</x:v>
      </x:c>
      <x:c r="D2125" s="87" t="str">
        <x:v>Апрель 2026</x:v>
      </x:c>
      <x:c r="E2125" s="87"/>
      <x:c r="F2125" s="87"/>
      <x:c r="G2125" s="87" t="str">
        <x:v>Литература</x:v>
      </x:c>
      <x:c r="H2125" s="87" t="n">
        <x:v>11</x:v>
      </x:c>
      <x:c r="I2125" s="87" t="str">
        <x:v>ТР №4</x:v>
      </x:c>
      <x:c r="J2125" s="87" t="str">
        <x:v>ЛИ2510401</x:v>
      </x:c>
      <x:c r="K2125" s="87" t="n">
        <x:v>10</x:v>
      </x:c>
      <x:c r="L2125" s="87" t="str">
        <x:v>Сопоставительный анализ лирики</x:v>
      </x:c>
      <x:c r="M2125" s="30" t="str">
        <x:v>Назовите опубликованное стихотворение с жизнеутверждающими мотивами и сопоставьте его со стихотворением М. В. Кульчицкого.</x:v>
      </x:c>
      <x:c r="N2125" s="30" t="str">
        <x:v>Жизнеутверждающие мотивы звучат в стихотворении К. М. Симонова «Жди меня». Оба поэта изображают войну как тяжёлое испытание, которое человек способен преодолеть благодаря вере в будущее. У Симонова такую силу даёт верность любимой: повторяющийся призыв ждать поддерживает бойца и словно возвращает его к жизни вопреки чужому неверию. У Кульчицкого надежда имеет прежде всего коллективный характер: новый день должен принести боевую работу, превратить каждого товарища в героя и сделать мир «больше и синей». В обоих стихотворениях настоящее связано с опасностью, но взгляд лирического героя направлен не к смерти, а к продолжению жизни. Различие состоит в том, что Симонов раскрывает спасительную силу личной любви, тогда как Кульчицкий создаёт романтически приподнятый образ общего воинского труда и грядущей победы.</x:v>
      </x:c>
      <x:c r="O2125" s="30" t="str">
        <x:v>Для сопоставления выбрано стихотворение К. М. Симонова «Жди меня»: оба текста утверждают надежду и победу жизни над военной угрозой, но один опирается на личную любовь, другой — на коллективный героизм.</x:v>
      </x:c>
      <x:c r="P2125" s="30" t="str">
        <x:v>Сопоставление включает автора и название, общий тезис, примеры из обоих произведений и объяснение различия.</x:v>
      </x:c>
      <x:c r="Q2125" s="30"/>
      <x:c r="R2125" s="30" t="str">
        <x:v>Отдельного эталона в архиве нет.</x:v>
      </x:c>
      <x:c r="S2125" s="30"/>
      <x:c r="T2125" s="30"/>
      <x:c r="U2125" s="30" t="str">
        <x:v>Самостоятельный модельный ответ.</x:v>
      </x:c>
      <x:c r="V2125" s="87" t="str">
        <x:v>VERIFIED</x:v>
      </x:c>
      <x:c r="W2125" s="87"/>
      <x:c r="X2125" s="87"/>
      <x:c r="Y2125" s="87"/>
      <x:c r="Z2125" s="87"/>
      <x:c r="AA2125" s="87"/>
      <x:c r="AB2125" s="87"/>
      <x:c r="AC2125" s="87"/>
      <x:c r="AD2125" s="87"/>
      <x:c r="AE2125" s="87"/>
      <x:c r="AF2125" s="87"/>
      <x:c r="AG2125" s="87"/>
      <x:c r="AH2125" s="87"/>
      <x:c r="AI2125" s="30"/>
      <x:c r="AJ2125" s="87" t="str">
        <x:v>master</x:v>
      </x:c>
      <x:c r="AK2125" s="87" t="str">
        <x:v>master-v0.81</x:v>
      </x:c>
      <x:c r="AL2125" s="87" t="str">
        <x:v>statgrad_master_base_v0_81_final(2).xlsx</x:v>
      </x:c>
      <x:c r="AM2125" s="87" t="str">
        <x:v>LIT_Apr_V1</x:v>
      </x:c>
      <x:c r="AN2125" s="87" t="n">
        <x:v>13</x:v>
      </x:c>
    </x:row>
    <x:row r="2126">
      <x:c r="A2126" s="87" t="n">
        <x:v>2125</x:v>
      </x:c>
      <x:c r="B2126" s="87" t="str">
        <x:v>APR-LIT-V1-011A</x:v>
      </x:c>
      <x:c r="C2126" s="87" t="str">
        <x:v>СтатГрад</x:v>
      </x:c>
      <x:c r="D2126" s="87" t="str">
        <x:v>Апрель 2026</x:v>
      </x:c>
      <x:c r="E2126" s="87"/>
      <x:c r="F2126" s="87"/>
      <x:c r="G2126" s="87" t="str">
        <x:v>Литература</x:v>
      </x:c>
      <x:c r="H2126" s="87" t="n">
        <x:v>11</x:v>
      </x:c>
      <x:c r="I2126" s="87" t="str">
        <x:v>ТР №4</x:v>
      </x:c>
      <x:c r="J2126" s="87" t="str">
        <x:v>ЛИ2510401</x:v>
      </x:c>
      <x:c r="K2126" s="87" t="str">
        <x:v>11.1</x:v>
      </x:c>
      <x:c r="L2126" s="87" t="str">
        <x:v>Сочинение: проблематика заглавия</x:v>
      </x:c>
      <x:c r="M2126" s="30" t="str">
        <x:v>Как название пьесы Д. И. Фонвизина «Недоросль» связано с проблематикой произведения?</x:v>
      </x:c>
      <x:c r="N2126" s="30" t="str">
        <x:v>Название комедии Д. И. Фонвизина «Недоросль» непосредственно связано с проблемой воспитания человека и гражданина. В XVIII веке недорослем называли молодого дворянина, который ещё не достиг возраста службы или не получил необходимого образования. Митрофан формально соответствует этому положению, однако автор превращает нейтральное слово в сатирическую характеристику духовной незрелости героя.
Прежде всего Митрофан остаётся недорослем в интеллектуальном смысле. Госпожа Простакова нанимает ему учителей не ради знаний, а потому, что без свидетельства об обучении сына могут не допустить к службе. Сам герой открыто предпочитает женитьбу учёбе. На экзамене он обнаруживает полное невежество: не умеет решить простейшую задачу, а слово «дверь» объявляет прилагательным в зависимости от того, стоит ли она на месте. Комизм сцены основан на речевой характеристике и показывает, что обучение, лишённое внутренней потребности, становится пустой формальностью.
Ещё важнее нравственная незрелость Митрофана. Он груб с няней Еремеевной, которая всю жизнь ему служит, равнодушен к судьбе Софьи и думает только о собственном удобстве. Когда Простакова теряет власть и ищет у сына поддержки, он отталкивает её. Финальная реплика Стародума о «злонравии» подводит итог: жестокость матери закономерно воспитала неблагодарного и бессердечного человека.
Наконец, заглавие имеет широкий общественный смысл. Митрофан вырос в мире Простаковых и Скотининых, где власть помещика не ограничена нравственным законом, образование презирается, а достоинство человека измеряется богатством и происхождением. Поэтому герой — не случайное исключение, а результат всей системы крепостнического воспитания. Так название соединяет возрастной и социальный статус с авторским приговором: подлинный недоросль — тот, кто физически взрослеет, но не приобретает разума, совести и готовности служить обществу.</x:v>
      </x:c>
      <x:c r="O2126" s="30" t="str">
        <x:v>Показана связь юридического значения слова с интеллектуальной и нравственной незрелостью Митрофана и с проблемой дворянского воспитания.</x:v>
      </x:c>
      <x:c r="P2126" s="30" t="str">
        <x:v>Проверены три аргументированных положения, конкретные эпизоды, термины «сатира», «речевая характеристика», «социальный тип» и объём свыше 200 слов. Фактический объём модели: 241 слов.</x:v>
      </x:c>
      <x:c r="Q2126" s="30"/>
      <x:c r="R2126" s="30" t="str">
        <x:v>Отдельного эталона в архиве нет.</x:v>
      </x:c>
      <x:c r="S2126" s="30"/>
      <x:c r="T2126" s="30"/>
      <x:c r="U2126" s="30" t="str">
        <x:v>Полный модельный ответ на тему 11.1.</x:v>
      </x:c>
      <x:c r="V2126" s="87" t="str">
        <x:v>VERIFIED</x:v>
      </x:c>
      <x:c r="W2126" s="87"/>
      <x:c r="X2126" s="87"/>
      <x:c r="Y2126" s="87"/>
      <x:c r="Z2126" s="87"/>
      <x:c r="AA2126" s="87"/>
      <x:c r="AB2126" s="87"/>
      <x:c r="AC2126" s="87"/>
      <x:c r="AD2126" s="87"/>
      <x:c r="AE2126" s="87"/>
      <x:c r="AF2126" s="87"/>
      <x:c r="AG2126" s="87"/>
      <x:c r="AH2126" s="87"/>
      <x:c r="AI2126" s="30"/>
      <x:c r="AJ2126" s="87" t="str">
        <x:v>master</x:v>
      </x:c>
      <x:c r="AK2126" s="87" t="str">
        <x:v>master-v0.81</x:v>
      </x:c>
      <x:c r="AL2126" s="87" t="str">
        <x:v>statgrad_master_base_v0_81_final(2).xlsx</x:v>
      </x:c>
      <x:c r="AM2126" s="87" t="str">
        <x:v>LIT_Apr_V1</x:v>
      </x:c>
      <x:c r="AN2126" s="87" t="n">
        <x:v>14</x:v>
      </x:c>
    </x:row>
    <x:row r="2127">
      <x:c r="A2127" s="87" t="n">
        <x:v>2126</x:v>
      </x:c>
      <x:c r="B2127" s="87" t="str">
        <x:v>APR-LIT-V1-011B</x:v>
      </x:c>
      <x:c r="C2127" s="87" t="str">
        <x:v>СтатГрад</x:v>
      </x:c>
      <x:c r="D2127" s="87" t="str">
        <x:v>Апрель 2026</x:v>
      </x:c>
      <x:c r="E2127" s="87"/>
      <x:c r="F2127" s="87"/>
      <x:c r="G2127" s="87" t="str">
        <x:v>Литература</x:v>
      </x:c>
      <x:c r="H2127" s="87" t="n">
        <x:v>11</x:v>
      </x:c>
      <x:c r="I2127" s="87" t="str">
        <x:v>ТР №4</x:v>
      </x:c>
      <x:c r="J2127" s="87" t="str">
        <x:v>ЛИ2510401</x:v>
      </x:c>
      <x:c r="K2127" s="87" t="str">
        <x:v>11.2</x:v>
      </x:c>
      <x:c r="L2127" s="87" t="str">
        <x:v>Сочинение: нравственное наказание</x:v>
      </x:c>
      <x:c r="M2127" s="30" t="str">
        <x:v>Что стало подлинным наказанием для Родиона Раскольникова? (По роману Ф. М. Достоевского «Преступление и наказание».)</x:v>
      </x:c>
      <x:c r="N2127" s="30" t="str">
        <x:v>Подлинным наказанием для Родиона Раскольникова становится не столько судебный приговор, сколько мучительный внутренний разлад, начавшийся сразу после преступления. Герой убивает старуху-процентщицу, желая проверить свою теорию о праве «необыкновенной» личности переступить нравственный закон. Однако реальность опровергает умозрительную схему: вместе с Алёной Ивановной он вынужден убить беззащитную Лизавету, а добычей даже не пользуется, спрятав вещи под камнем. Преступление не делает его властным «Наполеоном», а превращает в больного, испуганного и одинокого человека.
Самое тяжёлое последствие убийства — отчуждение от людей. Раскольников любит мать и Дуню, ценит Разумихина, сочувствует Мармеладовым, но после преступления не способен свободно принять их любовь. Ему кажется, что между ним и всеми остальными возникла непреодолимая граница. Даже сознание собственной исключительности рушится: герой понимает, что переступил не ради великой цели, а ради проверки самого себя. Поэтому следователь Порфирий Петрович верно видит в нём человека, который уже несёт наказание в собственной совести.
Каторга лишь юридически оформляет этот приговор. Сначала в Сибири Раскольников по-прежнему горд и считает ошибкой не убийство, а свою неспособность выдержать последствия. Перелом начинается благодаря Соне Мармеладовой. Её сострадание не оправдывает преступление, но возвращает герою возможность человеческой связи. Символическую роль играют Евангелие и сон о мировой язве, в котором каждый считает истинной только собственную идею: этот образ доводит теорию Раскольникова до страшного всеобщего результата.
Таким образом, подлинное наказание героя — духовное одиночество, распад личности и невозможность жить после пролитой крови. Официальный срок не завершает роман, потому что для Достоевского важнее начало нравственного воскресения: признание вины, любовь к Соне и постепенный отказ от гордой теории.</x:v>
      </x:c>
      <x:c r="O2127" s="30" t="str">
        <x:v>Подлинным наказанием названы внутренний раскол, отчуждение и крушение теории; каторга рассматривается как внешнее оформление духовного кризиса и начало воскресения.</x:v>
      </x:c>
      <x:c r="P2127" s="30" t="str">
        <x:v>Проверены ключевые эпизоды: двойное убийство, разрыв с близкими, отношения с Соней, сон о мировой язве; объём свыше 200 слов. Фактический объём модели: 242 слов.</x:v>
      </x:c>
      <x:c r="Q2127" s="30"/>
      <x:c r="R2127" s="30" t="str">
        <x:v>Отдельного эталона в архиве нет.</x:v>
      </x:c>
      <x:c r="S2127" s="30"/>
      <x:c r="T2127" s="30"/>
      <x:c r="U2127" s="30" t="str">
        <x:v>Полный модельный ответ на тему 11.2.</x:v>
      </x:c>
      <x:c r="V2127" s="87" t="str">
        <x:v>VERIFIED</x:v>
      </x:c>
      <x:c r="W2127" s="87"/>
      <x:c r="X2127" s="87"/>
      <x:c r="Y2127" s="87"/>
      <x:c r="Z2127" s="87"/>
      <x:c r="AA2127" s="87"/>
      <x:c r="AB2127" s="87"/>
      <x:c r="AC2127" s="87"/>
      <x:c r="AD2127" s="87"/>
      <x:c r="AE2127" s="87"/>
      <x:c r="AF2127" s="87"/>
      <x:c r="AG2127" s="87"/>
      <x:c r="AH2127" s="87"/>
      <x:c r="AI2127" s="30"/>
      <x:c r="AJ2127" s="87" t="str">
        <x:v>master</x:v>
      </x:c>
      <x:c r="AK2127" s="87" t="str">
        <x:v>master-v0.81</x:v>
      </x:c>
      <x:c r="AL2127" s="87" t="str">
        <x:v>statgrad_master_base_v0_81_final(2).xlsx</x:v>
      </x:c>
      <x:c r="AM2127" s="87" t="str">
        <x:v>LIT_Apr_V1</x:v>
      </x:c>
      <x:c r="AN2127" s="87" t="n">
        <x:v>15</x:v>
      </x:c>
    </x:row>
    <x:row r="2128">
      <x:c r="A2128" s="87" t="n">
        <x:v>2127</x:v>
      </x:c>
      <x:c r="B2128" s="87" t="str">
        <x:v>APR-LIT-V1-011C</x:v>
      </x:c>
      <x:c r="C2128" s="87" t="str">
        <x:v>СтатГрад</x:v>
      </x:c>
      <x:c r="D2128" s="87" t="str">
        <x:v>Апрель 2026</x:v>
      </x:c>
      <x:c r="E2128" s="87"/>
      <x:c r="F2128" s="87"/>
      <x:c r="G2128" s="87" t="str">
        <x:v>Литература</x:v>
      </x:c>
      <x:c r="H2128" s="87" t="n">
        <x:v>11</x:v>
      </x:c>
      <x:c r="I2128" s="87" t="str">
        <x:v>ТР №4</x:v>
      </x:c>
      <x:c r="J2128" s="87" t="str">
        <x:v>ЛИ2510401</x:v>
      </x:c>
      <x:c r="K2128" s="87" t="str">
        <x:v>11.3</x:v>
      </x:c>
      <x:c r="L2128" s="87" t="str">
        <x:v>Сочинение: внутренняя свобода</x:v>
      </x:c>
      <x:c r="M2128" s="30" t="str">
        <x:v>Тема внутренней свободы личности в поэзии М. И. Цветаевой (на примере не менее трёх стихотворений).</x:v>
      </x:c>
      <x:c r="N2128" s="30" t="str">
        <x:v>Внутренняя свобода — одна из центральных ценностей поэзии М. И. Цветаевой. Она проявляется как верность собственному голосу, независимость от внешней оценки и способность честно принимать противоречия своей судьбы.
В стихотворении «Кто создан из камня, кто создан из глины…» лирическая героиня противопоставляет себя неподвижным, раз и навсегда определённым формам. Она связывает своё имя с морской пеной, которая постоянно рождается заново, разбивается о гранит и ускользает из любых «гробов и плит». Метафора стихии и антитеза камня и пены выражают свободу как изменчивость, энергию и невозможность подчиниться установленным границам.
В стихотворении «Моим стихам, написанным так рано…» независимость раскрывается в отношении поэта к признанию. Стихи пока лежат непрочитанными, подобно драгоценному вину, которому ещё не настал срок, но героиня уверена в их будущем. Она не просит современников о милости и не меняет свой голос ради немедленного успеха. Композиция стихотворения ведёт от одиночества к пророческому утверждению ценности творчества, поэтому свобода здесь связана с доверием к собственному дару.
Особенно сложно тема звучит в стихотворении «Тоска по родине! Давно…». Героиня демонстративно отрицает власть пространства, языка и привычного дома над собой, утверждая, что ей всё равно, где быть одинокой. Однако финальная встреча с рябиной внезапно обрывает рассуждение: конкретный образ родной природы оказывается сильнее рационального отрицания. Этот психологический поворот не отменяет свободы, а делает её честной: Цветаева не подменяет внутреннюю независимость бесчувствием и признаёт глубокую связь с родиной.
Таким образом, в поэзии Цветаевой свободная личность не избегает боли и привязанности. Она сама выбирает форму существования, сопротивляется навязанным определениям и сохраняет право говорить собственным неповторимым голосом.</x:v>
      </x:c>
      <x:c r="O2128" s="30" t="str">
        <x:v>Тема раскрыта через верность собственному голосу, независимость от оценки и честное принятие привязанностей.</x:v>
      </x:c>
      <x:c r="P2128" s="30" t="str">
        <x:v>Проанализированы «Кто создан из камня…», «Моим стихам, написанным так рано…», «Тоска по родине! Давно…»; использованы понятия метафоры, антитезы, композиции; объём свыше 200 слов. Фактический объём модели: 244 слов.</x:v>
      </x:c>
      <x:c r="Q2128" s="30"/>
      <x:c r="R2128" s="30" t="str">
        <x:v>Отдельного эталона в архиве нет.</x:v>
      </x:c>
      <x:c r="S2128" s="30"/>
      <x:c r="T2128" s="30"/>
      <x:c r="U2128" s="30" t="str">
        <x:v>Полный модельный ответ на тему 11.3.</x:v>
      </x:c>
      <x:c r="V2128" s="87" t="str">
        <x:v>VERIFIED</x:v>
      </x:c>
      <x:c r="W2128" s="87"/>
      <x:c r="X2128" s="87"/>
      <x:c r="Y2128" s="87"/>
      <x:c r="Z2128" s="87"/>
      <x:c r="AA2128" s="87"/>
      <x:c r="AB2128" s="87"/>
      <x:c r="AC2128" s="87"/>
      <x:c r="AD2128" s="87"/>
      <x:c r="AE2128" s="87"/>
      <x:c r="AF2128" s="87"/>
      <x:c r="AG2128" s="87"/>
      <x:c r="AH2128" s="87"/>
      <x:c r="AI2128" s="30"/>
      <x:c r="AJ2128" s="87" t="str">
        <x:v>master</x:v>
      </x:c>
      <x:c r="AK2128" s="87" t="str">
        <x:v>master-v0.81</x:v>
      </x:c>
      <x:c r="AL2128" s="87" t="str">
        <x:v>statgrad_master_base_v0_81_final(2).xlsx</x:v>
      </x:c>
      <x:c r="AM2128" s="87" t="str">
        <x:v>LIT_Apr_V1</x:v>
      </x:c>
      <x:c r="AN2128" s="87" t="n">
        <x:v>16</x:v>
      </x:c>
    </x:row>
    <x:row r="2129">
      <x:c r="A2129" s="87" t="n">
        <x:v>2128</x:v>
      </x:c>
      <x:c r="B2129" s="87" t="str">
        <x:v>APR-LIT-V1-011D</x:v>
      </x:c>
      <x:c r="C2129" s="87" t="str">
        <x:v>СтатГрад</x:v>
      </x:c>
      <x:c r="D2129" s="87" t="str">
        <x:v>Апрель 2026</x:v>
      </x:c>
      <x:c r="E2129" s="87"/>
      <x:c r="F2129" s="87"/>
      <x:c r="G2129" s="87" t="str">
        <x:v>Литература</x:v>
      </x:c>
      <x:c r="H2129" s="87" t="n">
        <x:v>11</x:v>
      </x:c>
      <x:c r="I2129" s="87" t="str">
        <x:v>ТР №4</x:v>
      </x:c>
      <x:c r="J2129" s="87" t="str">
        <x:v>ЛИ2510401</x:v>
      </x:c>
      <x:c r="K2129" s="87" t="str">
        <x:v>11.4</x:v>
      </x:c>
      <x:c r="L2129" s="87" t="str">
        <x:v>Сочинение: массовые сцены</x:v>
      </x:c>
      <x:c r="M2129" s="30" t="str">
        <x:v>Роль массовых сцен в отечественной литературе (на примере произведения одного из авторов: А. С. Грибоедова, Л. Н. Толстого, М. А. Шолохова).</x:v>
      </x:c>
      <x:c r="N2129" s="30" t="str">
        <x:v>Массовые сцены в романе Л. Н. Толстого «Война и мир» позволяют раскрыть «мысль народную», показать историческое событие не как результат воли одного великого человека, а как движение множества людей. Через такие эпизоды писатель создаёт панораму эпохи и одновременно проверяет нравственную ценность отдельных героев.
В начале романа массовой сценой становится салон Анны Павловны Шерер. Гости объединены внешней светской учтивостью, но их разговоры напоминают механическое исполнение ролей. Хозяйка направляет беседу, словно работу прядильной мастерской, а собравшиеся повторяют модные мнения о политике. На этом фоне неловкая искренность Пьера и внутреннее недовольство Андрея Болконского подчёркивают искусственность высшего света. Таким образом, множество персонажей образует коллективный портрет общества, оторванного от живой народной жизни.
Иной смысл имеет панорама Бородинского сражения. Пьер видит солдат на батарее Раевского, их спокойный труд, шутки и взаимную поддержку. Толстой не превращает бойцов в безликую массу: отдельные жесты и реплики сохраняют человеческую индивидуальность, но вместе они создают ощущение общего нравственного подъёма. Истинная сила армии рождается не из приказов Наполеона, а из готовности каждого защищать родную землю. Поэтому рядом с народом раскрывается и Кутузов, умеющий чувствовать ход событий и не присваивающий себе чужую заслугу.
Наконец, сцены оставления Москвы показывают стихийный патриотизм мирных жителей. Ростовы сначала думают о сохранении имущества, но Наташа убеждает отдать подводы раненым. Личный нравственный выбор включается в общее движение москвичей, которые покидают город и тем самым лишают французов ожидаемой покорности.
Итак, массовые сцены у Толстого расширяют эпический масштаб романа, противопоставляют искусственное единство света подлинному единению народа и показывают, что история складывается из поступков многих людей.</x:v>
      </x:c>
      <x:c r="O2129" s="30" t="str">
        <x:v>На материале «Войны и мира» показано, как массовые сцены создают эпическую панораму, раскрывают «мысль народную» и характеризуют отдельных героев.</x:v>
      </x:c>
      <x:c r="P2129" s="30" t="str">
        <x:v>Разобраны салон Шерер, Бородинское сражение и оставление Москвы; использованы понятия эпопеи, коллективного образа, антитезы; объём свыше 200 слов. Фактический объём модели: 244 слов.</x:v>
      </x:c>
      <x:c r="Q2129" s="30"/>
      <x:c r="R2129" s="30" t="str">
        <x:v>Отдельного эталона в архиве нет.</x:v>
      </x:c>
      <x:c r="S2129" s="30"/>
      <x:c r="T2129" s="30"/>
      <x:c r="U2129" s="30" t="str">
        <x:v>Полный модельный ответ на тему 11.4.</x:v>
      </x:c>
      <x:c r="V2129" s="87" t="str">
        <x:v>VERIFIED</x:v>
      </x:c>
      <x:c r="W2129" s="87"/>
      <x:c r="X2129" s="87"/>
      <x:c r="Y2129" s="87"/>
      <x:c r="Z2129" s="87"/>
      <x:c r="AA2129" s="87"/>
      <x:c r="AB2129" s="87"/>
      <x:c r="AC2129" s="87"/>
      <x:c r="AD2129" s="87"/>
      <x:c r="AE2129" s="87"/>
      <x:c r="AF2129" s="87"/>
      <x:c r="AG2129" s="87"/>
      <x:c r="AH2129" s="87"/>
      <x:c r="AI2129" s="30"/>
      <x:c r="AJ2129" s="87" t="str">
        <x:v>master</x:v>
      </x:c>
      <x:c r="AK2129" s="87" t="str">
        <x:v>master-v0.81</x:v>
      </x:c>
      <x:c r="AL2129" s="87" t="str">
        <x:v>statgrad_master_base_v0_81_final(2).xlsx</x:v>
      </x:c>
      <x:c r="AM2129" s="87" t="str">
        <x:v>LIT_Apr_V1</x:v>
      </x:c>
      <x:c r="AN2129" s="87" t="n">
        <x:v>17</x:v>
      </x:c>
    </x:row>
    <x:row r="2130">
      <x:c r="A2130" s="87" t="n">
        <x:v>2129</x:v>
      </x:c>
      <x:c r="B2130" s="87" t="str">
        <x:v>APR-LIT-V1-011E</x:v>
      </x:c>
      <x:c r="C2130" s="87" t="str">
        <x:v>СтатГрад</x:v>
      </x:c>
      <x:c r="D2130" s="87" t="str">
        <x:v>Апрель 2026</x:v>
      </x:c>
      <x:c r="E2130" s="87"/>
      <x:c r="F2130" s="87"/>
      <x:c r="G2130" s="87" t="str">
        <x:v>Литература</x:v>
      </x:c>
      <x:c r="H2130" s="87" t="n">
        <x:v>11</x:v>
      </x:c>
      <x:c r="I2130" s="87" t="str">
        <x:v>ТР №4</x:v>
      </x:c>
      <x:c r="J2130" s="87" t="str">
        <x:v>ЛИ2510401</x:v>
      </x:c>
      <x:c r="K2130" s="87" t="str">
        <x:v>11.5</x:v>
      </x:c>
      <x:c r="L2130" s="87" t="str">
        <x:v>Сочинение: советы иллюстратору</x:v>
      </x:c>
      <x:c r="M2130" s="30" t="str">
        <x:v>Какие советы можно дать художнику, работающему над иллюстрациями к одному из произведений М. Е. Салтыкова-Щедрина?</x:v>
      </x:c>
      <x:c r="N2130" s="30" t="str">
        <x:v>Для иллюстраций к «Повести о том, как один мужик двух генералов прокормил» М. Е. Салтыкова-Щедрина художнику стоит отказаться от бытового реализма и сделать главным принципом гротеск. Автор соединяет правдоподобные детали с намеренно невозможными ситуациями: два генерала внезапно оказываются на необитаемом острове в ночных рубашках и с орденами, не умеют добыть пищу среди изобилия и почти набрасываются друг на друга. Карикатурно увеличенные фигуры, растерянные лица и беспомощные жесты помогут передать сатирическое разоблачение паразитизма.
Композицию первого разворота можно построить на контрасте масштаба. Генералы должны выглядеть маленькими и нелепыми на фоне огромного плодородного острова: вокруг растут фрукты, плавает рыба, летает дичь, но персонажи читают старую газету и рассуждают о пище, не способные протянуть руку. Во втором эпизоде, напротив, мужик может занимать центр композиции. Он быстро находит яблоки, добывает рябчика, разводит огонь и даже из собственных волос делает силок. Важно, однако, не превращать его силу в свободное достоинство: герой сам свивает верёвку, которой генералы его связывают. Эта деталь должна быть визуальным символом привычного рабства.
Цветовая гамма также может поддержать авторскую позицию. Остров уместно изобразить ярким, зелёным и золотистым, подчёркивая богатство природы, а генеральские мундирные детали — холодными и тусклыми. В финале стоит показать самодельную лодку, на которой мужик везёт хозяев через море, и сделать сатирическим композиционным центром ничтожную награду — рюмку водки и пятак. Так система иллюстраций сохранит ключевые художественные приёмы текста: гротеск, гиперболу, антитезу и говорящую предметную деталь. Зритель увидит не просто забавное приключение, а несправедливое устройство мира, где деятельный человек обеспечивает благополучие беспомощных властителей и даже не осознаёт возможности освободиться.</x:v>
      </x:c>
      <x:c r="O2130" s="30" t="str">
        <x:v>Советы даны на материале «Повести о том, как один мужик двух генералов прокормил»; визуальное решение подчинено сатирическому смыслу.</x:v>
      </x:c>
      <x:c r="P2130" s="30" t="str">
        <x:v>Проверены конкретные эпизоды и искусствоведческие понятия: композиция, цветовая гамма, масштаб, гротеск, карикатура; объём свыше 200 слов. Фактический объём модели: 246 слов.</x:v>
      </x:c>
      <x:c r="Q2130" s="30"/>
      <x:c r="R2130" s="30" t="str">
        <x:v>Отдельного эталона в архиве нет.</x:v>
      </x:c>
      <x:c r="S2130" s="30"/>
      <x:c r="T2130" s="30"/>
      <x:c r="U2130" s="30" t="str">
        <x:v>Полный модельный ответ на тему 11.5.</x:v>
      </x:c>
      <x:c r="V2130" s="87" t="str">
        <x:v>VERIFIED</x:v>
      </x:c>
      <x:c r="W2130" s="87"/>
      <x:c r="X2130" s="87"/>
      <x:c r="Y2130" s="87"/>
      <x:c r="Z2130" s="87"/>
      <x:c r="AA2130" s="87"/>
      <x:c r="AB2130" s="87"/>
      <x:c r="AC2130" s="87"/>
      <x:c r="AD2130" s="87"/>
      <x:c r="AE2130" s="87"/>
      <x:c r="AF2130" s="87"/>
      <x:c r="AG2130" s="87"/>
      <x:c r="AH2130" s="87"/>
      <x:c r="AI2130" s="30"/>
      <x:c r="AJ2130" s="87" t="str">
        <x:v>master</x:v>
      </x:c>
      <x:c r="AK2130" s="87" t="str">
        <x:v>master-v0.81</x:v>
      </x:c>
      <x:c r="AL2130" s="87" t="str">
        <x:v>statgrad_master_base_v0_81_final(2).xlsx</x:v>
      </x:c>
      <x:c r="AM2130" s="87" t="str">
        <x:v>LIT_Apr_V1</x:v>
      </x:c>
      <x:c r="AN2130" s="87" t="n">
        <x:v>18</x:v>
      </x:c>
    </x:row>
    <x:row r="2131">
      <x:c r="A2131" s="87" t="n">
        <x:v>2130</x:v>
      </x:c>
      <x:c r="B2131" s="87" t="str">
        <x:v>APR-ENG-W-V1-001</x:v>
      </x:c>
      <x:c r="C2131" s="87" t="str">
        <x:v>СтатГрад</x:v>
      </x:c>
      <x:c r="D2131" s="87" t="str">
        <x:v>Апрель 2026</x:v>
      </x:c>
      <x:c r="E2131" s="87"/>
      <x:c r="F2131" s="87"/>
      <x:c r="G2131" s="87" t="str">
        <x:v>Английский язык</x:v>
      </x:c>
      <x:c r="H2131" s="87" t="n">
        <x:v>11</x:v>
      </x:c>
      <x:c r="I2131" s="87" t="str">
        <x:v>ТР №3</x:v>
      </x:c>
      <x:c r="J2131" s="87" t="str">
        <x:v>АЯ2510301</x:v>
      </x:c>
      <x:c r="K2131" s="87" t="n">
        <x:v>1</x:v>
      </x:c>
      <x:c r="L2131" s="87" t="str">
        <x:v>Аудирование: соответствие</x:v>
      </x:c>
      <x:c r="M2131" s="30" t="str">
        <x:v>Соотнесите шесть высказываний о городах с утверждениями 1–7.</x:v>
      </x:c>
      <x:c r="N2131" s="30" t="str">
        <x:v>361725</x:v>
      </x:c>
      <x:c r="O2131" s="30" t="str">
        <x:v>A — забота Портленда о городском лесе (3); B — сосуществование древнего и современного Рима (6); C — Филадельфия как удачный образец планировки (1); D — висячие сады Сиэтла вызвали озарение (7); E — на узких средиземноморских улицах находятся настоящие местные сокровища (2); F — отсутствие тротуаров делает доступность особенно важной (5).</x:v>
      </x:c>
      <x:c r="P2131" s="30" t="str">
        <x:v>Каждая позиция сопоставлена с прямой репликой полного скрипта; утверждение 4 остаётся лишним.</x:v>
      </x:c>
      <x:c r="Q2131" s="30"/>
      <x:c r="R2131" s="30" t="str">
        <x:v>361725</x:v>
      </x:c>
      <x:c r="S2131" s="30"/>
      <x:c r="T2131" s="30"/>
      <x:c r="U2131" s="30" t="str">
        <x:v>Расхождений нет.</x:v>
      </x:c>
      <x:c r="V2131" s="87" t="str">
        <x:v>VERIFIED</x:v>
      </x:c>
      <x:c r="W2131" s="87" t="str">
        <x:v>2</x:v>
      </x:c>
      <x:c r="X2131" s="87"/>
      <x:c r="Y2131" s="87"/>
      <x:c r="Z2131" s="87"/>
      <x:c r="AA2131" s="87"/>
      <x:c r="AB2131" s="87"/>
      <x:c r="AC2131" s="87"/>
      <x:c r="AD2131" s="87"/>
      <x:c r="AE2131" s="87"/>
      <x:c r="AF2131" s="87"/>
      <x:c r="AG2131" s="87"/>
      <x:c r="AH2131" s="87"/>
      <x:c r="AI2131" s="30"/>
      <x:c r="AJ2131" s="87" t="str">
        <x:v>master</x:v>
      </x:c>
      <x:c r="AK2131" s="87" t="str">
        <x:v>master-v0.81</x:v>
      </x:c>
      <x:c r="AL2131" s="87" t="str">
        <x:v>statgrad_master_base_v0_81_final(2).xlsx</x:v>
      </x:c>
      <x:c r="AM2131" s="87" t="str">
        <x:v>ENG_Apr_Written_V1</x:v>
      </x:c>
      <x:c r="AN2131" s="87" t="n">
        <x:v>2</x:v>
      </x:c>
    </x:row>
    <x:row r="2132">
      <x:c r="A2132" s="87" t="n">
        <x:v>2131</x:v>
      </x:c>
      <x:c r="B2132" s="87" t="str">
        <x:v>APR-ENG-W-V1-002</x:v>
      </x:c>
      <x:c r="C2132" s="87" t="str">
        <x:v>СтатГрад</x:v>
      </x:c>
      <x:c r="D2132" s="87" t="str">
        <x:v>Апрель 2026</x:v>
      </x:c>
      <x:c r="E2132" s="87"/>
      <x:c r="F2132" s="87"/>
      <x:c r="G2132" s="87" t="str">
        <x:v>Английский язык</x:v>
      </x:c>
      <x:c r="H2132" s="87" t="n">
        <x:v>11</x:v>
      </x:c>
      <x:c r="I2132" s="87" t="str">
        <x:v>ТР №3</x:v>
      </x:c>
      <x:c r="J2132" s="87" t="str">
        <x:v>АЯ2510301</x:v>
      </x:c>
      <x:c r="K2132" s="87" t="n">
        <x:v>2</x:v>
      </x:c>
      <x:c r="L2132" s="87" t="str">
        <x:v>Аудирование: True / False / Not stated</x:v>
      </x:c>
      <x:c r="M2132" s="30" t="str">
        <x:v>Определите соответствие семи утверждений содержанию диалога Трейси и её дедушки.</x:v>
      </x:c>
      <x:c r="N2132" s="30" t="str">
        <x:v>2213113</x:v>
      </x:c>
      <x:c r="O2132" s="30" t="str">
        <x:v>A — Трейси находится рядом с дедушкой, поэтому False; B — он не падал, поэтому False; C — он ежедневно тренируется, True; D — сказано лишь, что он не любит врачей, частота посещений не указана; E — у Трейси весенние каникулы, True; F — запланированы два ресторана, True; G — кто оплатит счёт, не сказано.</x:v>
      </x:c>
      <x:c r="P2132" s="30" t="str">
        <x:v>Все семь утверждений повторно проверены по репликам диалога: A=2, B=2, C=1, D=3, E=1, F=1, G=3.</x:v>
      </x:c>
      <x:c r="Q2132" s="30"/>
      <x:c r="R2132" s="30" t="str">
        <x:v>2213113</x:v>
      </x:c>
      <x:c r="S2132" s="30"/>
      <x:c r="T2132" s="30"/>
      <x:c r="U2132" s="30" t="str">
        <x:v>Расхождений нет.</x:v>
      </x:c>
      <x:c r="V2132" s="87" t="str">
        <x:v>VERIFIED</x:v>
      </x:c>
      <x:c r="W2132" s="87" t="str">
        <x:v>2</x:v>
      </x:c>
      <x:c r="X2132" s="87"/>
      <x:c r="Y2132" s="87"/>
      <x:c r="Z2132" s="87"/>
      <x:c r="AA2132" s="87"/>
      <x:c r="AB2132" s="87"/>
      <x:c r="AC2132" s="87"/>
      <x:c r="AD2132" s="87"/>
      <x:c r="AE2132" s="87"/>
      <x:c r="AF2132" s="87"/>
      <x:c r="AG2132" s="87"/>
      <x:c r="AH2132" s="87"/>
      <x:c r="AI2132" s="30"/>
      <x:c r="AJ2132" s="87" t="str">
        <x:v>master</x:v>
      </x:c>
      <x:c r="AK2132" s="87" t="str">
        <x:v>master-v0.81</x:v>
      </x:c>
      <x:c r="AL2132" s="87" t="str">
        <x:v>statgrad_master_base_v0_81_final(2).xlsx</x:v>
      </x:c>
      <x:c r="AM2132" s="87" t="str">
        <x:v>ENG_Apr_Written_V1</x:v>
      </x:c>
      <x:c r="AN2132" s="87" t="n">
        <x:v>3</x:v>
      </x:c>
    </x:row>
    <x:row r="2133">
      <x:c r="A2133" s="87" t="n">
        <x:v>2132</x:v>
      </x:c>
      <x:c r="B2133" s="87" t="str">
        <x:v>APR-ENG-W-V1-003</x:v>
      </x:c>
      <x:c r="C2133" s="87" t="str">
        <x:v>СтатГрад</x:v>
      </x:c>
      <x:c r="D2133" s="87" t="str">
        <x:v>Апрель 2026</x:v>
      </x:c>
      <x:c r="E2133" s="87"/>
      <x:c r="F2133" s="87"/>
      <x:c r="G2133" s="87" t="str">
        <x:v>Английский язык</x:v>
      </x:c>
      <x:c r="H2133" s="87" t="n">
        <x:v>11</x:v>
      </x:c>
      <x:c r="I2133" s="87" t="str">
        <x:v>ТР №3</x:v>
      </x:c>
      <x:c r="J2133" s="87" t="str">
        <x:v>АЯ2510301</x:v>
      </x:c>
      <x:c r="K2133" s="87" t="n">
        <x:v>3</x:v>
      </x:c>
      <x:c r="L2133" s="87" t="str">
        <x:v>Аудирование: выбор ответа</x:v>
      </x:c>
      <x:c r="M2133" s="30" t="str">
        <x:v>Какое утверждение о Мэтте Тейлоре верно?</x:v>
      </x:c>
      <x:c r="N2133" s="30" t="str">
        <x:v>3</x:v>
      </x:c>
      <x:c r="O2133" s="30" t="str">
        <x:v>Он бухгалтер и не относится к обычным гостям программы BookWorld Today, куда приглашают писателей, иллюстраторов и издателей.</x:v>
      </x:c>
      <x:c r="P2133" s="30" t="str">
        <x:v>Вводная реплика ведущего прямо подчёркивает, что гость «none of the above».</x:v>
      </x:c>
      <x:c r="Q2133" s="30"/>
      <x:c r="R2133" s="30" t="str">
        <x:v>нет в таблице</x:v>
      </x:c>
      <x:c r="S2133" s="30"/>
      <x:c r="T2133" s="30"/>
      <x:c r="U2133" s="30" t="str">
        <x:v>Решено независимо по полному скрипту.</x:v>
      </x:c>
      <x:c r="V2133" s="87" t="str">
        <x:v>VERIFIED</x:v>
      </x:c>
      <x:c r="W2133" s="87" t="str">
        <x:v>3–4</x:v>
      </x:c>
      <x:c r="X2133" s="87"/>
      <x:c r="Y2133" s="87"/>
      <x:c r="Z2133" s="87"/>
      <x:c r="AA2133" s="87"/>
      <x:c r="AB2133" s="87"/>
      <x:c r="AC2133" s="87"/>
      <x:c r="AD2133" s="87"/>
      <x:c r="AE2133" s="87"/>
      <x:c r="AF2133" s="87"/>
      <x:c r="AG2133" s="87"/>
      <x:c r="AH2133" s="87"/>
      <x:c r="AI2133" s="30"/>
      <x:c r="AJ2133" s="87" t="str">
        <x:v>master</x:v>
      </x:c>
      <x:c r="AK2133" s="87" t="str">
        <x:v>master-v0.81</x:v>
      </x:c>
      <x:c r="AL2133" s="87" t="str">
        <x:v>statgrad_master_base_v0_81_final(2).xlsx</x:v>
      </x:c>
      <x:c r="AM2133" s="87" t="str">
        <x:v>ENG_Apr_Written_V1</x:v>
      </x:c>
      <x:c r="AN2133" s="87" t="n">
        <x:v>4</x:v>
      </x:c>
    </x:row>
    <x:row r="2134">
      <x:c r="A2134" s="87" t="n">
        <x:v>2133</x:v>
      </x:c>
      <x:c r="B2134" s="87" t="str">
        <x:v>APR-ENG-W-V1-004</x:v>
      </x:c>
      <x:c r="C2134" s="87" t="str">
        <x:v>СтатГрад</x:v>
      </x:c>
      <x:c r="D2134" s="87" t="str">
        <x:v>Апрель 2026</x:v>
      </x:c>
      <x:c r="E2134" s="87"/>
      <x:c r="F2134" s="87"/>
      <x:c r="G2134" s="87" t="str">
        <x:v>Английский язык</x:v>
      </x:c>
      <x:c r="H2134" s="87" t="n">
        <x:v>11</x:v>
      </x:c>
      <x:c r="I2134" s="87" t="str">
        <x:v>ТР №3</x:v>
      </x:c>
      <x:c r="J2134" s="87" t="str">
        <x:v>АЯ2510301</x:v>
      </x:c>
      <x:c r="K2134" s="87" t="n">
        <x:v>4</x:v>
      </x:c>
      <x:c r="L2134" s="87" t="str">
        <x:v>Аудирование: выбор ответа</x:v>
      </x:c>
      <x:c r="M2134" s="30" t="str">
        <x:v>Dragonsteel Nexus — это …</x:v>
      </x:c>
      <x:c r="N2134" s="30" t="str">
        <x:v>2</x:v>
      </x:c>
      <x:c r="O2134" s="30" t="str">
        <x:v>Конвент проходит ежегодно в штате Юта и организован писателем-фантастом Брэндоном Сандерсоном.</x:v>
      </x:c>
      <x:c r="P2134" s="30" t="str">
        <x:v>Скрипт подтверждает annual, Salt Lake City и организацию Сандерсоном; вариант про 150 участников со всего мира искажает факты.</x:v>
      </x:c>
      <x:c r="Q2134" s="30"/>
      <x:c r="R2134" s="30" t="str">
        <x:v>нет в таблице</x:v>
      </x:c>
      <x:c r="S2134" s="30"/>
      <x:c r="T2134" s="30"/>
      <x:c r="U2134" s="30" t="str">
        <x:v>Решено независимо по полному скрипту.</x:v>
      </x:c>
      <x:c r="V2134" s="87" t="str">
        <x:v>VERIFIED</x:v>
      </x:c>
      <x:c r="W2134" s="87" t="str">
        <x:v>3–4</x:v>
      </x:c>
      <x:c r="X2134" s="87"/>
      <x:c r="Y2134" s="87"/>
      <x:c r="Z2134" s="87"/>
      <x:c r="AA2134" s="87"/>
      <x:c r="AB2134" s="87"/>
      <x:c r="AC2134" s="87"/>
      <x:c r="AD2134" s="87"/>
      <x:c r="AE2134" s="87"/>
      <x:c r="AF2134" s="87"/>
      <x:c r="AG2134" s="87"/>
      <x:c r="AH2134" s="87"/>
      <x:c r="AI2134" s="30"/>
      <x:c r="AJ2134" s="87" t="str">
        <x:v>master</x:v>
      </x:c>
      <x:c r="AK2134" s="87" t="str">
        <x:v>master-v0.81</x:v>
      </x:c>
      <x:c r="AL2134" s="87" t="str">
        <x:v>statgrad_master_base_v0_81_final(2).xlsx</x:v>
      </x:c>
      <x:c r="AM2134" s="87" t="str">
        <x:v>ENG_Apr_Written_V1</x:v>
      </x:c>
      <x:c r="AN2134" s="87" t="n">
        <x:v>5</x:v>
      </x:c>
    </x:row>
    <x:row r="2135">
      <x:c r="A2135" s="87" t="n">
        <x:v>2134</x:v>
      </x:c>
      <x:c r="B2135" s="87" t="str">
        <x:v>APR-ENG-W-V1-005</x:v>
      </x:c>
      <x:c r="C2135" s="87" t="str">
        <x:v>СтатГрад</x:v>
      </x:c>
      <x:c r="D2135" s="87" t="str">
        <x:v>Апрель 2026</x:v>
      </x:c>
      <x:c r="E2135" s="87"/>
      <x:c r="F2135" s="87"/>
      <x:c r="G2135" s="87" t="str">
        <x:v>Английский язык</x:v>
      </x:c>
      <x:c r="H2135" s="87" t="n">
        <x:v>11</x:v>
      </x:c>
      <x:c r="I2135" s="87" t="str">
        <x:v>ТР №3</x:v>
      </x:c>
      <x:c r="J2135" s="87" t="str">
        <x:v>АЯ2510301</x:v>
      </x:c>
      <x:c r="K2135" s="87" t="n">
        <x:v>5</x:v>
      </x:c>
      <x:c r="L2135" s="87" t="str">
        <x:v>Аудирование: выбор ответа</x:v>
      </x:c>
      <x:c r="M2135" s="30" t="str">
        <x:v>Чему удивился ведущий, назвав поступок Сандерсона щедрым?</x:v>
      </x:c>
      <x:c r="N2135" s="30" t="str">
        <x:v>1</x:v>
      </x:c>
      <x:c r="O2135" s="30" t="str">
        <x:v>Сандерсон позволяет другим авторам и художникам продвигать и продавать свои произведения на посвящённом ему конвенте.</x:v>
      </x:c>
      <x:c r="P2135" s="30" t="str">
        <x:v>Ответ следует из реплик об invited fantasy authors and illustrators, которые могут promote and sell their art.</x:v>
      </x:c>
      <x:c r="Q2135" s="30"/>
      <x:c r="R2135" s="30" t="str">
        <x:v>нет в таблице</x:v>
      </x:c>
      <x:c r="S2135" s="30"/>
      <x:c r="T2135" s="30"/>
      <x:c r="U2135" s="30" t="str">
        <x:v>Решено независимо по полному скрипту.</x:v>
      </x:c>
      <x:c r="V2135" s="87" t="str">
        <x:v>VERIFIED</x:v>
      </x:c>
      <x:c r="W2135" s="87" t="str">
        <x:v>3–4</x:v>
      </x:c>
      <x:c r="X2135" s="87"/>
      <x:c r="Y2135" s="87"/>
      <x:c r="Z2135" s="87"/>
      <x:c r="AA2135" s="87"/>
      <x:c r="AB2135" s="87"/>
      <x:c r="AC2135" s="87"/>
      <x:c r="AD2135" s="87"/>
      <x:c r="AE2135" s="87"/>
      <x:c r="AF2135" s="87"/>
      <x:c r="AG2135" s="87"/>
      <x:c r="AH2135" s="87"/>
      <x:c r="AI2135" s="30"/>
      <x:c r="AJ2135" s="87" t="str">
        <x:v>master</x:v>
      </x:c>
      <x:c r="AK2135" s="87" t="str">
        <x:v>master-v0.81</x:v>
      </x:c>
      <x:c r="AL2135" s="87" t="str">
        <x:v>statgrad_master_base_v0_81_final(2).xlsx</x:v>
      </x:c>
      <x:c r="AM2135" s="87" t="str">
        <x:v>ENG_Apr_Written_V1</x:v>
      </x:c>
      <x:c r="AN2135" s="87" t="n">
        <x:v>6</x:v>
      </x:c>
    </x:row>
    <x:row r="2136">
      <x:c r="A2136" s="87" t="n">
        <x:v>2135</x:v>
      </x:c>
      <x:c r="B2136" s="87" t="str">
        <x:v>APR-ENG-W-V1-006</x:v>
      </x:c>
      <x:c r="C2136" s="87" t="str">
        <x:v>СтатГрад</x:v>
      </x:c>
      <x:c r="D2136" s="87" t="str">
        <x:v>Апрель 2026</x:v>
      </x:c>
      <x:c r="E2136" s="87"/>
      <x:c r="F2136" s="87"/>
      <x:c r="G2136" s="87" t="str">
        <x:v>Английский язык</x:v>
      </x:c>
      <x:c r="H2136" s="87" t="n">
        <x:v>11</x:v>
      </x:c>
      <x:c r="I2136" s="87" t="str">
        <x:v>ТР №3</x:v>
      </x:c>
      <x:c r="J2136" s="87" t="str">
        <x:v>АЯ2510301</x:v>
      </x:c>
      <x:c r="K2136" s="87" t="n">
        <x:v>6</x:v>
      </x:c>
      <x:c r="L2136" s="87" t="str">
        <x:v>Аудирование: выбор ответа</x:v>
      </x:c>
      <x:c r="M2136" s="30" t="str">
        <x:v>Как Брэндон Сандерсон относится к фанфикам?</x:v>
      </x:c>
      <x:c r="N2136" s="30" t="str">
        <x:v>3</x:v>
      </x:c>
      <x:c r="O2136" s="30" t="str">
        <x:v>Он разрешает фанатам писать фанфики, но устанавливает ясные ограничения, защищающие его авторские права.</x:v>
      </x:c>
      <x:c r="P2136" s="30" t="str">
        <x:v>Скрипт говорит о clear and generous rules и о пространстве для писателей при соблюдении границ.</x:v>
      </x:c>
      <x:c r="Q2136" s="30"/>
      <x:c r="R2136" s="30" t="str">
        <x:v>нет в таблице</x:v>
      </x:c>
      <x:c r="S2136" s="30"/>
      <x:c r="T2136" s="30"/>
      <x:c r="U2136" s="30" t="str">
        <x:v>Решено независимо по полному скрипту.</x:v>
      </x:c>
      <x:c r="V2136" s="87" t="str">
        <x:v>VERIFIED</x:v>
      </x:c>
      <x:c r="W2136" s="87" t="str">
        <x:v>3–4</x:v>
      </x:c>
      <x:c r="X2136" s="87"/>
      <x:c r="Y2136" s="87"/>
      <x:c r="Z2136" s="87"/>
      <x:c r="AA2136" s="87"/>
      <x:c r="AB2136" s="87"/>
      <x:c r="AC2136" s="87"/>
      <x:c r="AD2136" s="87"/>
      <x:c r="AE2136" s="87"/>
      <x:c r="AF2136" s="87"/>
      <x:c r="AG2136" s="87"/>
      <x:c r="AH2136" s="87"/>
      <x:c r="AI2136" s="30"/>
      <x:c r="AJ2136" s="87" t="str">
        <x:v>master</x:v>
      </x:c>
      <x:c r="AK2136" s="87" t="str">
        <x:v>master-v0.81</x:v>
      </x:c>
      <x:c r="AL2136" s="87" t="str">
        <x:v>statgrad_master_base_v0_81_final(2).xlsx</x:v>
      </x:c>
      <x:c r="AM2136" s="87" t="str">
        <x:v>ENG_Apr_Written_V1</x:v>
      </x:c>
      <x:c r="AN2136" s="87" t="n">
        <x:v>7</x:v>
      </x:c>
    </x:row>
    <x:row r="2137">
      <x:c r="A2137" s="87" t="n">
        <x:v>2136</x:v>
      </x:c>
      <x:c r="B2137" s="87" t="str">
        <x:v>APR-ENG-W-V1-007</x:v>
      </x:c>
      <x:c r="C2137" s="87" t="str">
        <x:v>СтатГрад</x:v>
      </x:c>
      <x:c r="D2137" s="87" t="str">
        <x:v>Апрель 2026</x:v>
      </x:c>
      <x:c r="E2137" s="87"/>
      <x:c r="F2137" s="87"/>
      <x:c r="G2137" s="87" t="str">
        <x:v>Английский язык</x:v>
      </x:c>
      <x:c r="H2137" s="87" t="n">
        <x:v>11</x:v>
      </x:c>
      <x:c r="I2137" s="87" t="str">
        <x:v>ТР №3</x:v>
      </x:c>
      <x:c r="J2137" s="87" t="str">
        <x:v>АЯ2510301</x:v>
      </x:c>
      <x:c r="K2137" s="87" t="n">
        <x:v>7</x:v>
      </x:c>
      <x:c r="L2137" s="87" t="str">
        <x:v>Аудирование: выбор ответа</x:v>
      </x:c>
      <x:c r="M2137" s="30" t="str">
        <x:v>В каких ролях Мэтт участвовал в Dragonsteel?</x:v>
      </x:c>
      <x:c r="N2137" s="30" t="str">
        <x:v>1</x:v>
      </x:c>
      <x:c r="O2137" s="30" t="str">
        <x:v>Раньше он был волонтёром, а сейчас работает Squire — временным оплачиваемым сотрудником.</x:v>
      </x:c>
      <x:c r="P2137" s="30" t="str">
        <x:v>Обе роли прямо названы в интервью.</x:v>
      </x:c>
      <x:c r="Q2137" s="30"/>
      <x:c r="R2137" s="30" t="str">
        <x:v>нет в таблице</x:v>
      </x:c>
      <x:c r="S2137" s="30"/>
      <x:c r="T2137" s="30"/>
      <x:c r="U2137" s="30" t="str">
        <x:v>Решено независимо по полному скрипту.</x:v>
      </x:c>
      <x:c r="V2137" s="87" t="str">
        <x:v>VERIFIED</x:v>
      </x:c>
      <x:c r="W2137" s="87" t="str">
        <x:v>3–4</x:v>
      </x:c>
      <x:c r="X2137" s="87"/>
      <x:c r="Y2137" s="87"/>
      <x:c r="Z2137" s="87"/>
      <x:c r="AA2137" s="87"/>
      <x:c r="AB2137" s="87"/>
      <x:c r="AC2137" s="87"/>
      <x:c r="AD2137" s="87"/>
      <x:c r="AE2137" s="87"/>
      <x:c r="AF2137" s="87"/>
      <x:c r="AG2137" s="87"/>
      <x:c r="AH2137" s="87"/>
      <x:c r="AI2137" s="30"/>
      <x:c r="AJ2137" s="87" t="str">
        <x:v>master</x:v>
      </x:c>
      <x:c r="AK2137" s="87" t="str">
        <x:v>master-v0.81</x:v>
      </x:c>
      <x:c r="AL2137" s="87" t="str">
        <x:v>statgrad_master_base_v0_81_final(2).xlsx</x:v>
      </x:c>
      <x:c r="AM2137" s="87" t="str">
        <x:v>ENG_Apr_Written_V1</x:v>
      </x:c>
      <x:c r="AN2137" s="87" t="n">
        <x:v>8</x:v>
      </x:c>
    </x:row>
    <x:row r="2138">
      <x:c r="A2138" s="87" t="n">
        <x:v>2137</x:v>
      </x:c>
      <x:c r="B2138" s="87" t="str">
        <x:v>APR-ENG-W-V1-008</x:v>
      </x:c>
      <x:c r="C2138" s="87" t="str">
        <x:v>СтатГрад</x:v>
      </x:c>
      <x:c r="D2138" s="87" t="str">
        <x:v>Апрель 2026</x:v>
      </x:c>
      <x:c r="E2138" s="87"/>
      <x:c r="F2138" s="87"/>
      <x:c r="G2138" s="87" t="str">
        <x:v>Английский язык</x:v>
      </x:c>
      <x:c r="H2138" s="87" t="n">
        <x:v>11</x:v>
      </x:c>
      <x:c r="I2138" s="87" t="str">
        <x:v>ТР №3</x:v>
      </x:c>
      <x:c r="J2138" s="87" t="str">
        <x:v>АЯ2510301</x:v>
      </x:c>
      <x:c r="K2138" s="87" t="n">
        <x:v>8</x:v>
      </x:c>
      <x:c r="L2138" s="87" t="str">
        <x:v>Аудирование: выбор ответа</x:v>
      </x:c>
      <x:c r="M2138" s="30" t="str">
        <x:v>Что сделали жена и сын Мэтта?</x:v>
      </x:c>
      <x:c r="N2138" s="30" t="str">
        <x:v>1</x:v>
      </x:c>
      <x:c r="O2138" s="30" t="str">
        <x:v>Они прилетели в пятницу вечером и провели на конвенте субботу, то есть один день.</x:v>
      </x:c>
      <x:c r="P2138" s="30" t="str">
        <x:v>Проверено по последовательности fly in on Friday night and spend Saturday.</x:v>
      </x:c>
      <x:c r="Q2138" s="30"/>
      <x:c r="R2138" s="30" t="str">
        <x:v>нет в таблице</x:v>
      </x:c>
      <x:c r="S2138" s="30"/>
      <x:c r="T2138" s="30"/>
      <x:c r="U2138" s="30" t="str">
        <x:v>Решено независимо по полному скрипту.</x:v>
      </x:c>
      <x:c r="V2138" s="87" t="str">
        <x:v>VERIFIED</x:v>
      </x:c>
      <x:c r="W2138" s="87" t="str">
        <x:v>3–4</x:v>
      </x:c>
      <x:c r="X2138" s="87"/>
      <x:c r="Y2138" s="87"/>
      <x:c r="Z2138" s="87"/>
      <x:c r="AA2138" s="87"/>
      <x:c r="AB2138" s="87"/>
      <x:c r="AC2138" s="87"/>
      <x:c r="AD2138" s="87"/>
      <x:c r="AE2138" s="87"/>
      <x:c r="AF2138" s="87"/>
      <x:c r="AG2138" s="87"/>
      <x:c r="AH2138" s="87"/>
      <x:c r="AI2138" s="30"/>
      <x:c r="AJ2138" s="87" t="str">
        <x:v>master</x:v>
      </x:c>
      <x:c r="AK2138" s="87" t="str">
        <x:v>master-v0.81</x:v>
      </x:c>
      <x:c r="AL2138" s="87" t="str">
        <x:v>statgrad_master_base_v0_81_final(2).xlsx</x:v>
      </x:c>
      <x:c r="AM2138" s="87" t="str">
        <x:v>ENG_Apr_Written_V1</x:v>
      </x:c>
      <x:c r="AN2138" s="87" t="n">
        <x:v>9</x:v>
      </x:c>
    </x:row>
    <x:row r="2139">
      <x:c r="A2139" s="87" t="n">
        <x:v>2138</x:v>
      </x:c>
      <x:c r="B2139" s="87" t="str">
        <x:v>APR-ENG-W-V1-009</x:v>
      </x:c>
      <x:c r="C2139" s="87" t="str">
        <x:v>СтатГрад</x:v>
      </x:c>
      <x:c r="D2139" s="87" t="str">
        <x:v>Апрель 2026</x:v>
      </x:c>
      <x:c r="E2139" s="87"/>
      <x:c r="F2139" s="87"/>
      <x:c r="G2139" s="87" t="str">
        <x:v>Английский язык</x:v>
      </x:c>
      <x:c r="H2139" s="87" t="n">
        <x:v>11</x:v>
      </x:c>
      <x:c r="I2139" s="87" t="str">
        <x:v>ТР №3</x:v>
      </x:c>
      <x:c r="J2139" s="87" t="str">
        <x:v>АЯ2510301</x:v>
      </x:c>
      <x:c r="K2139" s="87" t="n">
        <x:v>9</x:v>
      </x:c>
      <x:c r="L2139" s="87" t="str">
        <x:v>Аудирование: выбор ответа</x:v>
      </x:c>
      <x:c r="M2139" s="30" t="str">
        <x:v>Почему Мэтту особенно повезло?</x:v>
      </x:c>
      <x:c r="N2139" s="30" t="str">
        <x:v>3</x:v>
      </x:c>
      <x:c r="O2139" s="30" t="str">
        <x:v>Сандерсон подписал книгу, которую держал Мэтт, и одновременно разговаривал с ним, задавая вопросы.</x:v>
      </x:c>
      <x:c r="P2139" s="30" t="str">
        <x:v>Описана ситуация, когда автор подписывал каждую книгу, а Мэтт оказался единственным помощником рядом и беседовал с ним.</x:v>
      </x:c>
      <x:c r="Q2139" s="30"/>
      <x:c r="R2139" s="30" t="str">
        <x:v>нет в таблице</x:v>
      </x:c>
      <x:c r="S2139" s="30"/>
      <x:c r="T2139" s="30"/>
      <x:c r="U2139" s="30" t="str">
        <x:v>Решено независимо по полному скрипту.</x:v>
      </x:c>
      <x:c r="V2139" s="87" t="str">
        <x:v>VERIFIED</x:v>
      </x:c>
      <x:c r="W2139" s="87" t="str">
        <x:v>3–4</x:v>
      </x:c>
      <x:c r="X2139" s="87"/>
      <x:c r="Y2139" s="87"/>
      <x:c r="Z2139" s="87"/>
      <x:c r="AA2139" s="87"/>
      <x:c r="AB2139" s="87"/>
      <x:c r="AC2139" s="87"/>
      <x:c r="AD2139" s="87"/>
      <x:c r="AE2139" s="87"/>
      <x:c r="AF2139" s="87"/>
      <x:c r="AG2139" s="87"/>
      <x:c r="AH2139" s="87"/>
      <x:c r="AI2139" s="30"/>
      <x:c r="AJ2139" s="87" t="str">
        <x:v>master</x:v>
      </x:c>
      <x:c r="AK2139" s="87" t="str">
        <x:v>master-v0.81</x:v>
      </x:c>
      <x:c r="AL2139" s="87" t="str">
        <x:v>statgrad_master_base_v0_81_final(2).xlsx</x:v>
      </x:c>
      <x:c r="AM2139" s="87" t="str">
        <x:v>ENG_Apr_Written_V1</x:v>
      </x:c>
      <x:c r="AN2139" s="87" t="n">
        <x:v>10</x:v>
      </x:c>
    </x:row>
    <x:row r="2140">
      <x:c r="A2140" s="87" t="n">
        <x:v>2139</x:v>
      </x:c>
      <x:c r="B2140" s="87" t="str">
        <x:v>APR-ENG-W-V1-010</x:v>
      </x:c>
      <x:c r="C2140" s="87" t="str">
        <x:v>СтатГрад</x:v>
      </x:c>
      <x:c r="D2140" s="87" t="str">
        <x:v>Апрель 2026</x:v>
      </x:c>
      <x:c r="E2140" s="87"/>
      <x:c r="F2140" s="87"/>
      <x:c r="G2140" s="87" t="str">
        <x:v>Английский язык</x:v>
      </x:c>
      <x:c r="H2140" s="87" t="n">
        <x:v>11</x:v>
      </x:c>
      <x:c r="I2140" s="87" t="str">
        <x:v>ТР №3</x:v>
      </x:c>
      <x:c r="J2140" s="87" t="str">
        <x:v>АЯ2510301</x:v>
      </x:c>
      <x:c r="K2140" s="87" t="n">
        <x:v>10</x:v>
      </x:c>
      <x:c r="L2140" s="87" t="str">
        <x:v>Чтение: заголовки</x:v>
      </x:c>
      <x:c r="M2140" s="30" t="str">
        <x:v>Соотнесите тексты A–G об истории и устройстве органов с заголовками 1–8.</x:v>
      </x:c>
      <x:c r="N2140" s="30" t="str">
        <x:v>4825376</x:v>
      </x:c>
      <x:c r="O2140" s="30" t="str">
        <x:v>A — подарок мецената Московской консерватории (4); B — орган сочли неподходящим для русской церковной музыки (8); C — древний гидравлис исчез на полтысячелетия (2); D — гигантский орган Пассау (5); E — переход от ручных мехов к электромоторам (3); F — распространение инструмента из Византии в Западную Европу (7); G — поздний инструмент старого мастера Ладегаста (6).</x:v>
      </x:c>
      <x:c r="P2140" s="30" t="str">
        <x:v>Основная мысль каждого микротекста проверена отдельно; заголовок 1 лишний.</x:v>
      </x:c>
      <x:c r="Q2140" s="30"/>
      <x:c r="R2140" s="30" t="str">
        <x:v>4825376</x:v>
      </x:c>
      <x:c r="S2140" s="30"/>
      <x:c r="T2140" s="30"/>
      <x:c r="U2140" s="30" t="str">
        <x:v>Расхождений нет.</x:v>
      </x:c>
      <x:c r="V2140" s="87" t="str">
        <x:v>VERIFIED</x:v>
      </x:c>
      <x:c r="W2140" s="87" t="str">
        <x:v>5–6</x:v>
      </x:c>
      <x:c r="X2140" s="87"/>
      <x:c r="Y2140" s="87"/>
      <x:c r="Z2140" s="87"/>
      <x:c r="AA2140" s="87"/>
      <x:c r="AB2140" s="87"/>
      <x:c r="AC2140" s="87"/>
      <x:c r="AD2140" s="87"/>
      <x:c r="AE2140" s="87"/>
      <x:c r="AF2140" s="87"/>
      <x:c r="AG2140" s="87"/>
      <x:c r="AH2140" s="87"/>
      <x:c r="AI2140" s="30"/>
      <x:c r="AJ2140" s="87" t="str">
        <x:v>master</x:v>
      </x:c>
      <x:c r="AK2140" s="87" t="str">
        <x:v>master-v0.81</x:v>
      </x:c>
      <x:c r="AL2140" s="87" t="str">
        <x:v>statgrad_master_base_v0_81_final(2).xlsx</x:v>
      </x:c>
      <x:c r="AM2140" s="87" t="str">
        <x:v>ENG_Apr_Written_V1</x:v>
      </x:c>
      <x:c r="AN2140" s="87" t="n">
        <x:v>11</x:v>
      </x:c>
    </x:row>
    <x:row r="2141">
      <x:c r="A2141" s="87" t="n">
        <x:v>2140</x:v>
      </x:c>
      <x:c r="B2141" s="87" t="str">
        <x:v>APR-ENG-W-V1-011</x:v>
      </x:c>
      <x:c r="C2141" s="87" t="str">
        <x:v>СтатГрад</x:v>
      </x:c>
      <x:c r="D2141" s="87" t="str">
        <x:v>Апрель 2026</x:v>
      </x:c>
      <x:c r="E2141" s="87"/>
      <x:c r="F2141" s="87"/>
      <x:c r="G2141" s="87" t="str">
        <x:v>Английский язык</x:v>
      </x:c>
      <x:c r="H2141" s="87" t="n">
        <x:v>11</x:v>
      </x:c>
      <x:c r="I2141" s="87" t="str">
        <x:v>ТР №3</x:v>
      </x:c>
      <x:c r="J2141" s="87" t="str">
        <x:v>АЯ2510301</x:v>
      </x:c>
      <x:c r="K2141" s="87" t="n">
        <x:v>11</x:v>
      </x:c>
      <x:c r="L2141" s="87" t="str">
        <x:v>Чтение: восстановление текста</x:v>
      </x:c>
      <x:c r="M2141" s="30" t="str">
        <x:v>Вставьте шесть частей предложений в текст о Рэйчел Карсон.</x:v>
      </x:c>
      <x:c r="N2141" s="30" t="str">
        <x:v>531726</x:v>
      </x:c>
      <x:c r="O2141" s="30" t="str">
        <x:v>A — where the pesticides were used (5); B — that described forests (3); C — done by the U.S. Fish and Wildlife Service (1); D — that lived in the oceans (7); E — that it was more important (2); F — that the book was inaccurate (6).</x:v>
      </x:c>
      <x:c r="P2141" s="30" t="str">
        <x:v>Для каждого пропуска проверены синтаксическая связь, местоименная отсылка и логика абзаца.</x:v>
      </x:c>
      <x:c r="Q2141" s="30"/>
      <x:c r="R2141" s="30" t="str">
        <x:v>531726</x:v>
      </x:c>
      <x:c r="S2141" s="30"/>
      <x:c r="T2141" s="30"/>
      <x:c r="U2141" s="30" t="str">
        <x:v>Расхождений нет.</x:v>
      </x:c>
      <x:c r="V2141" s="87" t="str">
        <x:v>VERIFIED</x:v>
      </x:c>
      <x:c r="W2141" s="87" t="str">
        <x:v>7</x:v>
      </x:c>
      <x:c r="X2141" s="87"/>
      <x:c r="Y2141" s="87"/>
      <x:c r="Z2141" s="87"/>
      <x:c r="AA2141" s="87"/>
      <x:c r="AB2141" s="87"/>
      <x:c r="AC2141" s="87"/>
      <x:c r="AD2141" s="87"/>
      <x:c r="AE2141" s="87"/>
      <x:c r="AF2141" s="87"/>
      <x:c r="AG2141" s="87"/>
      <x:c r="AH2141" s="87"/>
      <x:c r="AI2141" s="30"/>
      <x:c r="AJ2141" s="87" t="str">
        <x:v>master</x:v>
      </x:c>
      <x:c r="AK2141" s="87" t="str">
        <x:v>master-v0.81</x:v>
      </x:c>
      <x:c r="AL2141" s="87" t="str">
        <x:v>statgrad_master_base_v0_81_final(2).xlsx</x:v>
      </x:c>
      <x:c r="AM2141" s="87" t="str">
        <x:v>ENG_Apr_Written_V1</x:v>
      </x:c>
      <x:c r="AN2141" s="87" t="n">
        <x:v>12</x:v>
      </x:c>
    </x:row>
    <x:row r="2142">
      <x:c r="A2142" s="87" t="n">
        <x:v>2141</x:v>
      </x:c>
      <x:c r="B2142" s="87" t="str">
        <x:v>APR-ENG-W-V1-012</x:v>
      </x:c>
      <x:c r="C2142" s="87" t="str">
        <x:v>СтатГрад</x:v>
      </x:c>
      <x:c r="D2142" s="87" t="str">
        <x:v>Апрель 2026</x:v>
      </x:c>
      <x:c r="E2142" s="87"/>
      <x:c r="F2142" s="87"/>
      <x:c r="G2142" s="87" t="str">
        <x:v>Английский язык</x:v>
      </x:c>
      <x:c r="H2142" s="87" t="n">
        <x:v>11</x:v>
      </x:c>
      <x:c r="I2142" s="87" t="str">
        <x:v>ТР №3</x:v>
      </x:c>
      <x:c r="J2142" s="87" t="str">
        <x:v>АЯ2510301</x:v>
      </x:c>
      <x:c r="K2142" s="87" t="n">
        <x:v>12</x:v>
      </x:c>
      <x:c r="L2142" s="87" t="str">
        <x:v>Чтение: выбор ответа</x:v>
      </x:c>
      <x:c r="M2142" s="30" t="str">
        <x:v>Что НЕ заставляет авторскую песню казаться народной?</x:v>
      </x:c>
      <x:c r="N2142" s="30" t="str">
        <x:v>2</x:v>
      </x:c>
      <x:c r="O2142" s="30" t="str">
        <x:v>Известность и талант автора сами по себе не делают песню народной; текст называет распространённость, связь автора с фольклором, простоту стиля и темы.</x:v>
      </x:c>
      <x:c r="P2142" s="30" t="str">
        <x:v>Все остальные варианты подкреплены примерами из первого абзаца.</x:v>
      </x:c>
      <x:c r="Q2142" s="30"/>
      <x:c r="R2142" s="30" t="str">
        <x:v>нет в таблице</x:v>
      </x:c>
      <x:c r="S2142" s="30"/>
      <x:c r="T2142" s="30"/>
      <x:c r="U2142" s="30" t="str">
        <x:v>Решено независимо по тексту.</x:v>
      </x:c>
      <x:c r="V2142" s="87" t="str">
        <x:v>VERIFIED</x:v>
      </x:c>
      <x:c r="W2142" s="87" t="str">
        <x:v>9–10</x:v>
      </x:c>
      <x:c r="X2142" s="87"/>
      <x:c r="Y2142" s="87"/>
      <x:c r="Z2142" s="87"/>
      <x:c r="AA2142" s="87"/>
      <x:c r="AB2142" s="87"/>
      <x:c r="AC2142" s="87"/>
      <x:c r="AD2142" s="87"/>
      <x:c r="AE2142" s="87"/>
      <x:c r="AF2142" s="87"/>
      <x:c r="AG2142" s="87"/>
      <x:c r="AH2142" s="87"/>
      <x:c r="AI2142" s="30"/>
      <x:c r="AJ2142" s="87" t="str">
        <x:v>master</x:v>
      </x:c>
      <x:c r="AK2142" s="87" t="str">
        <x:v>master-v0.81</x:v>
      </x:c>
      <x:c r="AL2142" s="87" t="str">
        <x:v>statgrad_master_base_v0_81_final(2).xlsx</x:v>
      </x:c>
      <x:c r="AM2142" s="87" t="str">
        <x:v>ENG_Apr_Written_V1</x:v>
      </x:c>
      <x:c r="AN2142" s="87" t="n">
        <x:v>13</x:v>
      </x:c>
    </x:row>
    <x:row r="2143">
      <x:c r="A2143" s="87" t="n">
        <x:v>2142</x:v>
      </x:c>
      <x:c r="B2143" s="87" t="str">
        <x:v>APR-ENG-W-V1-013</x:v>
      </x:c>
      <x:c r="C2143" s="87" t="str">
        <x:v>СтатГрад</x:v>
      </x:c>
      <x:c r="D2143" s="87" t="str">
        <x:v>Апрель 2026</x:v>
      </x:c>
      <x:c r="E2143" s="87"/>
      <x:c r="F2143" s="87"/>
      <x:c r="G2143" s="87" t="str">
        <x:v>Английский язык</x:v>
      </x:c>
      <x:c r="H2143" s="87" t="n">
        <x:v>11</x:v>
      </x:c>
      <x:c r="I2143" s="87" t="str">
        <x:v>ТР №3</x:v>
      </x:c>
      <x:c r="J2143" s="87" t="str">
        <x:v>АЯ2510301</x:v>
      </x:c>
      <x:c r="K2143" s="87" t="n">
        <x:v>13</x:v>
      </x:c>
      <x:c r="L2143" s="87" t="str">
        <x:v>Чтение: выбор ответа</x:v>
      </x:c>
      <x:c r="M2143" s="30" t="str">
        <x:v>Как характеризуется версия Ивана Козлова?</x:v>
      </x:c>
      <x:c r="N2143" s="30" t="str">
        <x:v>4</x:v>
      </x:c>
      <x:c r="O2143" s="30" t="str">
        <x:v>Она близка оригиналу по духу, но не является буквальным переводом: атмосфера сохранена, а формулировки изменены.</x:v>
      </x:c>
      <x:c r="P2143" s="30" t="str">
        <x:v>Это почти дословно следует из фразы not a literal translation but very close in spirit.</x:v>
      </x:c>
      <x:c r="Q2143" s="30"/>
      <x:c r="R2143" s="30" t="str">
        <x:v>нет в таблице</x:v>
      </x:c>
      <x:c r="S2143" s="30"/>
      <x:c r="T2143" s="30"/>
      <x:c r="U2143" s="30" t="str">
        <x:v>Решено независимо по тексту.</x:v>
      </x:c>
      <x:c r="V2143" s="87" t="str">
        <x:v>VERIFIED</x:v>
      </x:c>
      <x:c r="W2143" s="87" t="str">
        <x:v>9–10</x:v>
      </x:c>
      <x:c r="X2143" s="87"/>
      <x:c r="Y2143" s="87"/>
      <x:c r="Z2143" s="87"/>
      <x:c r="AA2143" s="87"/>
      <x:c r="AB2143" s="87"/>
      <x:c r="AC2143" s="87"/>
      <x:c r="AD2143" s="87"/>
      <x:c r="AE2143" s="87"/>
      <x:c r="AF2143" s="87"/>
      <x:c r="AG2143" s="87"/>
      <x:c r="AH2143" s="87"/>
      <x:c r="AI2143" s="30"/>
      <x:c r="AJ2143" s="87" t="str">
        <x:v>master</x:v>
      </x:c>
      <x:c r="AK2143" s="87" t="str">
        <x:v>master-v0.81</x:v>
      </x:c>
      <x:c r="AL2143" s="87" t="str">
        <x:v>statgrad_master_base_v0_81_final(2).xlsx</x:v>
      </x:c>
      <x:c r="AM2143" s="87" t="str">
        <x:v>ENG_Apr_Written_V1</x:v>
      </x:c>
      <x:c r="AN2143" s="87" t="n">
        <x:v>14</x:v>
      </x:c>
    </x:row>
    <x:row r="2144">
      <x:c r="A2144" s="87" t="n">
        <x:v>2143</x:v>
      </x:c>
      <x:c r="B2144" s="87" t="str">
        <x:v>APR-ENG-W-V1-014</x:v>
      </x:c>
      <x:c r="C2144" s="87" t="str">
        <x:v>СтатГрад</x:v>
      </x:c>
      <x:c r="D2144" s="87" t="str">
        <x:v>Апрель 2026</x:v>
      </x:c>
      <x:c r="E2144" s="87"/>
      <x:c r="F2144" s="87"/>
      <x:c r="G2144" s="87" t="str">
        <x:v>Английский язык</x:v>
      </x:c>
      <x:c r="H2144" s="87" t="n">
        <x:v>11</x:v>
      </x:c>
      <x:c r="I2144" s="87" t="str">
        <x:v>ТР №3</x:v>
      </x:c>
      <x:c r="J2144" s="87" t="str">
        <x:v>АЯ2510301</x:v>
      </x:c>
      <x:c r="K2144" s="87" t="n">
        <x:v>14</x:v>
      </x:c>
      <x:c r="L2144" s="87" t="str">
        <x:v>Чтение: выбор ответа</x:v>
      </x:c>
      <x:c r="M2144" s="30" t="str">
        <x:v>К чему относится местоимение it во втором абзаце?</x:v>
      </x:c>
      <x:c r="N2144" s="30" t="str">
        <x:v>1</x:v>
      </x:c>
      <x:c r="O2144" s="30" t="str">
        <x:v>It относится к poem: именно стихотворение получает характер старого народного текста.</x:v>
      </x:c>
      <x:c r="P2144" s="30" t="str">
        <x:v>Проверена ближайшая грамматическая и смысловая отсылка.</x:v>
      </x:c>
      <x:c r="Q2144" s="30"/>
      <x:c r="R2144" s="30" t="str">
        <x:v>нет в таблице</x:v>
      </x:c>
      <x:c r="S2144" s="30"/>
      <x:c r="T2144" s="30"/>
      <x:c r="U2144" s="30" t="str">
        <x:v>Решено независимо по тексту.</x:v>
      </x:c>
      <x:c r="V2144" s="87" t="str">
        <x:v>VERIFIED</x:v>
      </x:c>
      <x:c r="W2144" s="87" t="str">
        <x:v>9–10</x:v>
      </x:c>
      <x:c r="X2144" s="87"/>
      <x:c r="Y2144" s="87"/>
      <x:c r="Z2144" s="87"/>
      <x:c r="AA2144" s="87"/>
      <x:c r="AB2144" s="87"/>
      <x:c r="AC2144" s="87"/>
      <x:c r="AD2144" s="87"/>
      <x:c r="AE2144" s="87"/>
      <x:c r="AF2144" s="87"/>
      <x:c r="AG2144" s="87"/>
      <x:c r="AH2144" s="87"/>
      <x:c r="AI2144" s="30"/>
      <x:c r="AJ2144" s="87" t="str">
        <x:v>master</x:v>
      </x:c>
      <x:c r="AK2144" s="87" t="str">
        <x:v>master-v0.81</x:v>
      </x:c>
      <x:c r="AL2144" s="87" t="str">
        <x:v>statgrad_master_base_v0_81_final(2).xlsx</x:v>
      </x:c>
      <x:c r="AM2144" s="87" t="str">
        <x:v>ENG_Apr_Written_V1</x:v>
      </x:c>
      <x:c r="AN2144" s="87" t="n">
        <x:v>15</x:v>
      </x:c>
    </x:row>
    <x:row r="2145">
      <x:c r="A2145" s="87" t="n">
        <x:v>2144</x:v>
      </x:c>
      <x:c r="B2145" s="87" t="str">
        <x:v>APR-ENG-W-V1-015</x:v>
      </x:c>
      <x:c r="C2145" s="87" t="str">
        <x:v>СтатГрад</x:v>
      </x:c>
      <x:c r="D2145" s="87" t="str">
        <x:v>Апрель 2026</x:v>
      </x:c>
      <x:c r="E2145" s="87"/>
      <x:c r="F2145" s="87"/>
      <x:c r="G2145" s="87" t="str">
        <x:v>Английский язык</x:v>
      </x:c>
      <x:c r="H2145" s="87" t="n">
        <x:v>11</x:v>
      </x:c>
      <x:c r="I2145" s="87" t="str">
        <x:v>ТР №3</x:v>
      </x:c>
      <x:c r="J2145" s="87" t="str">
        <x:v>АЯ2510301</x:v>
      </x:c>
      <x:c r="K2145" s="87" t="n">
        <x:v>15</x:v>
      </x:c>
      <x:c r="L2145" s="87" t="str">
        <x:v>Чтение: выбор ответа</x:v>
      </x:c>
      <x:c r="M2145" s="30" t="str">
        <x:v>Ближайшее значение слова keepsake.</x:v>
      </x:c>
      <x:c r="N2145" s="30" t="str">
        <x:v>3</x:v>
      </x:c>
      <x:c r="O2145" s="30" t="str">
        <x:v>Keepsake означает памятный предмет, то есть souvenir.</x:v>
      </x:c>
      <x:c r="P2145" s="30" t="str">
        <x:v>Контекст записи Томаса Мура и словарное значение совпадают.</x:v>
      </x:c>
      <x:c r="Q2145" s="30"/>
      <x:c r="R2145" s="30" t="str">
        <x:v>нет в таблице</x:v>
      </x:c>
      <x:c r="S2145" s="30"/>
      <x:c r="T2145" s="30"/>
      <x:c r="U2145" s="30" t="str">
        <x:v>Решено независимо по тексту.</x:v>
      </x:c>
      <x:c r="V2145" s="87" t="str">
        <x:v>VERIFIED</x:v>
      </x:c>
      <x:c r="W2145" s="87" t="str">
        <x:v>9–10</x:v>
      </x:c>
      <x:c r="X2145" s="87"/>
      <x:c r="Y2145" s="87"/>
      <x:c r="Z2145" s="87"/>
      <x:c r="AA2145" s="87"/>
      <x:c r="AB2145" s="87"/>
      <x:c r="AC2145" s="87"/>
      <x:c r="AD2145" s="87"/>
      <x:c r="AE2145" s="87"/>
      <x:c r="AF2145" s="87"/>
      <x:c r="AG2145" s="87"/>
      <x:c r="AH2145" s="87"/>
      <x:c r="AI2145" s="30"/>
      <x:c r="AJ2145" s="87" t="str">
        <x:v>master</x:v>
      </x:c>
      <x:c r="AK2145" s="87" t="str">
        <x:v>master-v0.81</x:v>
      </x:c>
      <x:c r="AL2145" s="87" t="str">
        <x:v>statgrad_master_base_v0_81_final(2).xlsx</x:v>
      </x:c>
      <x:c r="AM2145" s="87" t="str">
        <x:v>ENG_Apr_Written_V1</x:v>
      </x:c>
      <x:c r="AN2145" s="87" t="n">
        <x:v>16</x:v>
      </x:c>
    </x:row>
    <x:row r="2146">
      <x:c r="A2146" s="87" t="n">
        <x:v>2145</x:v>
      </x:c>
      <x:c r="B2146" s="87" t="str">
        <x:v>APR-ENG-W-V1-016</x:v>
      </x:c>
      <x:c r="C2146" s="87" t="str">
        <x:v>СтатГрад</x:v>
      </x:c>
      <x:c r="D2146" s="87" t="str">
        <x:v>Апрель 2026</x:v>
      </x:c>
      <x:c r="E2146" s="87"/>
      <x:c r="F2146" s="87"/>
      <x:c r="G2146" s="87" t="str">
        <x:v>Английский язык</x:v>
      </x:c>
      <x:c r="H2146" s="87" t="n">
        <x:v>11</x:v>
      </x:c>
      <x:c r="I2146" s="87" t="str">
        <x:v>ТР №3</x:v>
      </x:c>
      <x:c r="J2146" s="87" t="str">
        <x:v>АЯ2510301</x:v>
      </x:c>
      <x:c r="K2146" s="87" t="n">
        <x:v>16</x:v>
      </x:c>
      <x:c r="L2146" s="87" t="str">
        <x:v>Чтение: выбор ответа</x:v>
      </x:c>
      <x:c r="M2146" s="30" t="str">
        <x:v>Кто из перечисленных русских деятелей непосредственно связан с песней Those Evening Bells?</x:v>
      </x:c>
      <x:c r="N2146" s="30" t="str">
        <x:v>2</x:v>
      </x:c>
      <x:c r="O2146" s="30" t="str">
        <x:v>Александр Алябьев создал наиболее известную русскую музыкальную версию текста Козлова.</x:v>
      </x:c>
      <x:c r="P2146" s="30" t="str">
        <x:v>Сергей Рахманинов не назван автором: в тексте упомянут его дед Аркадий Рахманинов.</x:v>
      </x:c>
      <x:c r="Q2146" s="30"/>
      <x:c r="R2146" s="30" t="str">
        <x:v>нет в таблице</x:v>
      </x:c>
      <x:c r="S2146" s="30"/>
      <x:c r="T2146" s="30"/>
      <x:c r="U2146" s="30" t="str">
        <x:v>Решено независимо по тексту.</x:v>
      </x:c>
      <x:c r="V2146" s="87" t="str">
        <x:v>VERIFIED</x:v>
      </x:c>
      <x:c r="W2146" s="87" t="str">
        <x:v>9–10</x:v>
      </x:c>
      <x:c r="X2146" s="87"/>
      <x:c r="Y2146" s="87"/>
      <x:c r="Z2146" s="87"/>
      <x:c r="AA2146" s="87"/>
      <x:c r="AB2146" s="87"/>
      <x:c r="AC2146" s="87"/>
      <x:c r="AD2146" s="87"/>
      <x:c r="AE2146" s="87"/>
      <x:c r="AF2146" s="87"/>
      <x:c r="AG2146" s="87"/>
      <x:c r="AH2146" s="87"/>
      <x:c r="AI2146" s="30"/>
      <x:c r="AJ2146" s="87" t="str">
        <x:v>master</x:v>
      </x:c>
      <x:c r="AK2146" s="87" t="str">
        <x:v>master-v0.81</x:v>
      </x:c>
      <x:c r="AL2146" s="87" t="str">
        <x:v>statgrad_master_base_v0_81_final(2).xlsx</x:v>
      </x:c>
      <x:c r="AM2146" s="87" t="str">
        <x:v>ENG_Apr_Written_V1</x:v>
      </x:c>
      <x:c r="AN2146" s="87" t="n">
        <x:v>17</x:v>
      </x:c>
    </x:row>
    <x:row r="2147">
      <x:c r="A2147" s="87" t="n">
        <x:v>2146</x:v>
      </x:c>
      <x:c r="B2147" s="87" t="str">
        <x:v>APR-ENG-W-V1-017</x:v>
      </x:c>
      <x:c r="C2147" s="87" t="str">
        <x:v>СтатГрад</x:v>
      </x:c>
      <x:c r="D2147" s="87" t="str">
        <x:v>Апрель 2026</x:v>
      </x:c>
      <x:c r="E2147" s="87"/>
      <x:c r="F2147" s="87"/>
      <x:c r="G2147" s="87" t="str">
        <x:v>Английский язык</x:v>
      </x:c>
      <x:c r="H2147" s="87" t="n">
        <x:v>11</x:v>
      </x:c>
      <x:c r="I2147" s="87" t="str">
        <x:v>ТР №3</x:v>
      </x:c>
      <x:c r="J2147" s="87" t="str">
        <x:v>АЯ2510301</x:v>
      </x:c>
      <x:c r="K2147" s="87" t="n">
        <x:v>17</x:v>
      </x:c>
      <x:c r="L2147" s="87" t="str">
        <x:v>Чтение: выбор ответа</x:v>
      </x:c>
      <x:c r="M2147" s="30" t="str">
        <x:v>Почему мелодию Василия Зиновьева долго считали народной?</x:v>
      </x:c>
      <x:c r="N2147" s="30" t="str">
        <x:v>3</x:v>
      </x:c>
      <x:c r="O2147" s="30" t="str">
        <x:v>После революции имя автора исчезло из концертных программ, а аранжировки стали обозначать мелодию просто как народную.</x:v>
      </x:c>
      <x:c r="P2147" s="30" t="str">
        <x:v>Причина прямо названа в последнем абзаце.</x:v>
      </x:c>
      <x:c r="Q2147" s="30"/>
      <x:c r="R2147" s="30" t="str">
        <x:v>нет в таблице</x:v>
      </x:c>
      <x:c r="S2147" s="30"/>
      <x:c r="T2147" s="30"/>
      <x:c r="U2147" s="30" t="str">
        <x:v>Решено независимо по тексту.</x:v>
      </x:c>
      <x:c r="V2147" s="87" t="str">
        <x:v>VERIFIED</x:v>
      </x:c>
      <x:c r="W2147" s="87" t="str">
        <x:v>9–10</x:v>
      </x:c>
      <x:c r="X2147" s="87"/>
      <x:c r="Y2147" s="87"/>
      <x:c r="Z2147" s="87"/>
      <x:c r="AA2147" s="87"/>
      <x:c r="AB2147" s="87"/>
      <x:c r="AC2147" s="87"/>
      <x:c r="AD2147" s="87"/>
      <x:c r="AE2147" s="87"/>
      <x:c r="AF2147" s="87"/>
      <x:c r="AG2147" s="87"/>
      <x:c r="AH2147" s="87"/>
      <x:c r="AI2147" s="30"/>
      <x:c r="AJ2147" s="87" t="str">
        <x:v>master</x:v>
      </x:c>
      <x:c r="AK2147" s="87" t="str">
        <x:v>master-v0.81</x:v>
      </x:c>
      <x:c r="AL2147" s="87" t="str">
        <x:v>statgrad_master_base_v0_81_final(2).xlsx</x:v>
      </x:c>
      <x:c r="AM2147" s="87" t="str">
        <x:v>ENG_Apr_Written_V1</x:v>
      </x:c>
      <x:c r="AN2147" s="87" t="n">
        <x:v>18</x:v>
      </x:c>
    </x:row>
    <x:row r="2148">
      <x:c r="A2148" s="87" t="n">
        <x:v>2147</x:v>
      </x:c>
      <x:c r="B2148" s="87" t="str">
        <x:v>APR-ENG-W-V1-018</x:v>
      </x:c>
      <x:c r="C2148" s="87" t="str">
        <x:v>СтатГрад</x:v>
      </x:c>
      <x:c r="D2148" s="87" t="str">
        <x:v>Апрель 2026</x:v>
      </x:c>
      <x:c r="E2148" s="87"/>
      <x:c r="F2148" s="87"/>
      <x:c r="G2148" s="87" t="str">
        <x:v>Английский язык</x:v>
      </x:c>
      <x:c r="H2148" s="87" t="n">
        <x:v>11</x:v>
      </x:c>
      <x:c r="I2148" s="87" t="str">
        <x:v>ТР №3</x:v>
      </x:c>
      <x:c r="J2148" s="87" t="str">
        <x:v>АЯ2510301</x:v>
      </x:c>
      <x:c r="K2148" s="87" t="n">
        <x:v>18</x:v>
      </x:c>
      <x:c r="L2148" s="87" t="str">
        <x:v>Чтение: выбор ответа</x:v>
      </x:c>
      <x:c r="M2148" s="30" t="str">
        <x:v>Какой вопрос остаётся без ответа?</x:v>
      </x:c>
      <x:c r="N2148" s="30" t="str">
        <x:v>1</x:v>
      </x:c>
      <x:c r="O2148" s="30" t="str">
        <x:v>Неизвестно, какую именно русскую песню Томас Мур обозначил как Air: The Bells of St. Petersburg.</x:v>
      </x:c>
      <x:c r="P2148" s="30" t="str">
        <x:v>Остальные вопросы получают ответы в тексте: автор современной мелодии, встреча Мура с русским и первичность английского стихотворения.</x:v>
      </x:c>
      <x:c r="Q2148" s="30"/>
      <x:c r="R2148" s="30" t="str">
        <x:v>нет в таблице</x:v>
      </x:c>
      <x:c r="S2148" s="30"/>
      <x:c r="T2148" s="30"/>
      <x:c r="U2148" s="30" t="str">
        <x:v>Решено независимо по тексту.</x:v>
      </x:c>
      <x:c r="V2148" s="87" t="str">
        <x:v>VERIFIED</x:v>
      </x:c>
      <x:c r="W2148" s="87" t="str">
        <x:v>9–10</x:v>
      </x:c>
      <x:c r="X2148" s="87"/>
      <x:c r="Y2148" s="87"/>
      <x:c r="Z2148" s="87"/>
      <x:c r="AA2148" s="87"/>
      <x:c r="AB2148" s="87"/>
      <x:c r="AC2148" s="87"/>
      <x:c r="AD2148" s="87"/>
      <x:c r="AE2148" s="87"/>
      <x:c r="AF2148" s="87"/>
      <x:c r="AG2148" s="87"/>
      <x:c r="AH2148" s="87"/>
      <x:c r="AI2148" s="30"/>
      <x:c r="AJ2148" s="87" t="str">
        <x:v>master</x:v>
      </x:c>
      <x:c r="AK2148" s="87" t="str">
        <x:v>master-v0.81</x:v>
      </x:c>
      <x:c r="AL2148" s="87" t="str">
        <x:v>statgrad_master_base_v0_81_final(2).xlsx</x:v>
      </x:c>
      <x:c r="AM2148" s="87" t="str">
        <x:v>ENG_Apr_Written_V1</x:v>
      </x:c>
      <x:c r="AN2148" s="87" t="n">
        <x:v>19</x:v>
      </x:c>
    </x:row>
    <x:row r="2149">
      <x:c r="A2149" s="87" t="n">
        <x:v>2148</x:v>
      </x:c>
      <x:c r="B2149" s="87" t="str">
        <x:v>APR-ENG-W-V1-019</x:v>
      </x:c>
      <x:c r="C2149" s="87" t="str">
        <x:v>СтатГрад</x:v>
      </x:c>
      <x:c r="D2149" s="87" t="str">
        <x:v>Апрель 2026</x:v>
      </x:c>
      <x:c r="E2149" s="87"/>
      <x:c r="F2149" s="87"/>
      <x:c r="G2149" s="87" t="str">
        <x:v>Английский язык</x:v>
      </x:c>
      <x:c r="H2149" s="87" t="n">
        <x:v>11</x:v>
      </x:c>
      <x:c r="I2149" s="87" t="str">
        <x:v>ТР №3</x:v>
      </x:c>
      <x:c r="J2149" s="87" t="str">
        <x:v>АЯ2510301</x:v>
      </x:c>
      <x:c r="K2149" s="87" t="n">
        <x:v>19</x:v>
      </x:c>
      <x:c r="L2149" s="87" t="str">
        <x:v>Грамматика</x:v>
      </x:c>
      <x:c r="M2149" s="30" t="str">
        <x:v>Fourteen Canadian gray wolves ___ into Yellowstone National Park. BRING</x:v>
      </x:c>
      <x:c r="N2149" s="30" t="str">
        <x:v>were brought</x:v>
      </x:c>
      <x:c r="O2149" s="30" t="str">
        <x:v>Past Simple Passive: волков «привезли» в парк.</x:v>
      </x:c>
      <x:c r="P2149" s="30" t="str">
        <x:v>Форма проверена по грамматической позиции, согласованию и смыслу всего предложения.</x:v>
      </x:c>
      <x:c r="Q2149" s="30"/>
      <x:c r="R2149" s="30" t="str">
        <x:v>were brought</x:v>
      </x:c>
      <x:c r="S2149" s="30"/>
      <x:c r="T2149" s="30"/>
      <x:c r="U2149" s="30" t="str">
        <x:v>Расхождений нет.</x:v>
      </x:c>
      <x:c r="V2149" s="87" t="str">
        <x:v>VERIFIED</x:v>
      </x:c>
      <x:c r="W2149" s="87" t="str">
        <x:v>11–12</x:v>
      </x:c>
      <x:c r="X2149" s="87"/>
      <x:c r="Y2149" s="87"/>
      <x:c r="Z2149" s="87"/>
      <x:c r="AA2149" s="87"/>
      <x:c r="AB2149" s="87"/>
      <x:c r="AC2149" s="87"/>
      <x:c r="AD2149" s="87"/>
      <x:c r="AE2149" s="87"/>
      <x:c r="AF2149" s="87"/>
      <x:c r="AG2149" s="87"/>
      <x:c r="AH2149" s="87"/>
      <x:c r="AI2149" s="30"/>
      <x:c r="AJ2149" s="87" t="str">
        <x:v>master</x:v>
      </x:c>
      <x:c r="AK2149" s="87" t="str">
        <x:v>master-v0.81</x:v>
      </x:c>
      <x:c r="AL2149" s="87" t="str">
        <x:v>statgrad_master_base_v0_81_final(2).xlsx</x:v>
      </x:c>
      <x:c r="AM2149" s="87" t="str">
        <x:v>ENG_Apr_Written_V1</x:v>
      </x:c>
      <x:c r="AN2149" s="87" t="n">
        <x:v>20</x:v>
      </x:c>
    </x:row>
    <x:row r="2150">
      <x:c r="A2150" s="87" t="n">
        <x:v>2149</x:v>
      </x:c>
      <x:c r="B2150" s="87" t="str">
        <x:v>APR-ENG-W-V1-020</x:v>
      </x:c>
      <x:c r="C2150" s="87" t="str">
        <x:v>СтатГрад</x:v>
      </x:c>
      <x:c r="D2150" s="87" t="str">
        <x:v>Апрель 2026</x:v>
      </x:c>
      <x:c r="E2150" s="87"/>
      <x:c r="F2150" s="87"/>
      <x:c r="G2150" s="87" t="str">
        <x:v>Английский язык</x:v>
      </x:c>
      <x:c r="H2150" s="87" t="n">
        <x:v>11</x:v>
      </x:c>
      <x:c r="I2150" s="87" t="str">
        <x:v>ТР №3</x:v>
      </x:c>
      <x:c r="J2150" s="87" t="str">
        <x:v>АЯ2510301</x:v>
      </x:c>
      <x:c r="K2150" s="87" t="n">
        <x:v>20</x:v>
      </x:c>
      <x:c r="L2150" s="87" t="str">
        <x:v>Грамматика</x:v>
      </x:c>
      <x:c r="M2150" s="30" t="str">
        <x:v>By that time, wolves ___ absent from the park for about seventy years. BE</x:v>
      </x:c>
      <x:c r="N2150" s="30" t="str">
        <x:v>had been</x:v>
      </x:c>
      <x:c r="O2150" s="30" t="str">
        <x:v>Past Perfect показывает состояние, начавшееся раньше момента в прошлом.</x:v>
      </x:c>
      <x:c r="P2150" s="30" t="str">
        <x:v>Форма проверена по грамматической позиции, согласованию и смыслу всего предложения.</x:v>
      </x:c>
      <x:c r="Q2150" s="30"/>
      <x:c r="R2150" s="30" t="str">
        <x:v>had been</x:v>
      </x:c>
      <x:c r="S2150" s="30"/>
      <x:c r="T2150" s="30"/>
      <x:c r="U2150" s="30" t="str">
        <x:v>Расхождений нет.</x:v>
      </x:c>
      <x:c r="V2150" s="87" t="str">
        <x:v>VERIFIED</x:v>
      </x:c>
      <x:c r="W2150" s="87" t="str">
        <x:v>11–12</x:v>
      </x:c>
      <x:c r="X2150" s="87"/>
      <x:c r="Y2150" s="87"/>
      <x:c r="Z2150" s="87"/>
      <x:c r="AA2150" s="87"/>
      <x:c r="AB2150" s="87"/>
      <x:c r="AC2150" s="87"/>
      <x:c r="AD2150" s="87"/>
      <x:c r="AE2150" s="87"/>
      <x:c r="AF2150" s="87"/>
      <x:c r="AG2150" s="87"/>
      <x:c r="AH2150" s="87"/>
      <x:c r="AI2150" s="30"/>
      <x:c r="AJ2150" s="87" t="str">
        <x:v>master</x:v>
      </x:c>
      <x:c r="AK2150" s="87" t="str">
        <x:v>master-v0.81</x:v>
      </x:c>
      <x:c r="AL2150" s="87" t="str">
        <x:v>statgrad_master_base_v0_81_final(2).xlsx</x:v>
      </x:c>
      <x:c r="AM2150" s="87" t="str">
        <x:v>ENG_Apr_Written_V1</x:v>
      </x:c>
      <x:c r="AN2150" s="87" t="n">
        <x:v>21</x:v>
      </x:c>
    </x:row>
    <x:row r="2151">
      <x:c r="A2151" s="87" t="n">
        <x:v>2150</x:v>
      </x:c>
      <x:c r="B2151" s="87" t="str">
        <x:v>APR-ENG-W-V1-021</x:v>
      </x:c>
      <x:c r="C2151" s="87" t="str">
        <x:v>СтатГрад</x:v>
      </x:c>
      <x:c r="D2151" s="87" t="str">
        <x:v>Апрель 2026</x:v>
      </x:c>
      <x:c r="E2151" s="87"/>
      <x:c r="F2151" s="87"/>
      <x:c r="G2151" s="87" t="str">
        <x:v>Английский язык</x:v>
      </x:c>
      <x:c r="H2151" s="87" t="n">
        <x:v>11</x:v>
      </x:c>
      <x:c r="I2151" s="87" t="str">
        <x:v>ТР №3</x:v>
      </x:c>
      <x:c r="J2151" s="87" t="str">
        <x:v>АЯ2510301</x:v>
      </x:c>
      <x:c r="K2151" s="87" t="n">
        <x:v>21</x:v>
      </x:c>
      <x:c r="L2151" s="87" t="str">
        <x:v>Грамматика</x:v>
      </x:c>
      <x:c r="M2151" s="30" t="str">
        <x:v>The fourteen wolves ___ eat all the deer. NOT CAN</x:v>
      </x:c>
      <x:c r="N2151" s="30" t="str">
        <x:v>could not / couldn't</x:v>
      </x:c>
      <x:c r="O2151" s="30" t="str">
        <x:v>Требуется прошедшая форма модального глагола с отрицанием.</x:v>
      </x:c>
      <x:c r="P2151" s="30" t="str">
        <x:v>Форма проверена по грамматической позиции, согласованию и смыслу всего предложения.</x:v>
      </x:c>
      <x:c r="Q2151" s="30"/>
      <x:c r="R2151" s="30" t="str">
        <x:v>could not / couldn't</x:v>
      </x:c>
      <x:c r="S2151" s="30"/>
      <x:c r="T2151" s="30"/>
      <x:c r="U2151" s="30" t="str">
        <x:v>Расхождений нет.</x:v>
      </x:c>
      <x:c r="V2151" s="87" t="str">
        <x:v>VERIFIED</x:v>
      </x:c>
      <x:c r="W2151" s="87" t="str">
        <x:v>11–12</x:v>
      </x:c>
      <x:c r="X2151" s="87"/>
      <x:c r="Y2151" s="87"/>
      <x:c r="Z2151" s="87"/>
      <x:c r="AA2151" s="87"/>
      <x:c r="AB2151" s="87"/>
      <x:c r="AC2151" s="87"/>
      <x:c r="AD2151" s="87"/>
      <x:c r="AE2151" s="87"/>
      <x:c r="AF2151" s="87"/>
      <x:c r="AG2151" s="87"/>
      <x:c r="AH2151" s="87"/>
      <x:c r="AI2151" s="30"/>
      <x:c r="AJ2151" s="87" t="str">
        <x:v>master</x:v>
      </x:c>
      <x:c r="AK2151" s="87" t="str">
        <x:v>master-v0.81</x:v>
      </x:c>
      <x:c r="AL2151" s="87" t="str">
        <x:v>statgrad_master_base_v0_81_final(2).xlsx</x:v>
      </x:c>
      <x:c r="AM2151" s="87" t="str">
        <x:v>ENG_Apr_Written_V1</x:v>
      </x:c>
      <x:c r="AN2151" s="87" t="n">
        <x:v>22</x:v>
      </x:c>
    </x:row>
    <x:row r="2152">
      <x:c r="A2152" s="87" t="n">
        <x:v>2151</x:v>
      </x:c>
      <x:c r="B2152" s="87" t="str">
        <x:v>APR-ENG-W-V1-022</x:v>
      </x:c>
      <x:c r="C2152" s="87" t="str">
        <x:v>СтатГрад</x:v>
      </x:c>
      <x:c r="D2152" s="87" t="str">
        <x:v>Апрель 2026</x:v>
      </x:c>
      <x:c r="E2152" s="87"/>
      <x:c r="F2152" s="87"/>
      <x:c r="G2152" s="87" t="str">
        <x:v>Английский язык</x:v>
      </x:c>
      <x:c r="H2152" s="87" t="n">
        <x:v>11</x:v>
      </x:c>
      <x:c r="I2152" s="87" t="str">
        <x:v>ТР №3</x:v>
      </x:c>
      <x:c r="J2152" s="87" t="str">
        <x:v>АЯ2510301</x:v>
      </x:c>
      <x:c r="K2152" s="87" t="n">
        <x:v>22</x:v>
      </x:c>
      <x:c r="L2152" s="87" t="str">
        <x:v>Грамматика</x:v>
      </x:c>
      <x:c r="M2152" s="30" t="str">
        <x:v>This helped smaller animals become ___ common. MUCH</x:v>
      </x:c>
      <x:c r="N2152" s="30" t="str">
        <x:v>more</x:v>
      </x:c>
      <x:c r="O2152" s="30" t="str">
        <x:v>Сравнительная степень: become more common.</x:v>
      </x:c>
      <x:c r="P2152" s="30" t="str">
        <x:v>Форма проверена по грамматической позиции, согласованию и смыслу всего предложения.</x:v>
      </x:c>
      <x:c r="Q2152" s="30"/>
      <x:c r="R2152" s="30" t="str">
        <x:v>more</x:v>
      </x:c>
      <x:c r="S2152" s="30"/>
      <x:c r="T2152" s="30"/>
      <x:c r="U2152" s="30" t="str">
        <x:v>Расхождений нет.</x:v>
      </x:c>
      <x:c r="V2152" s="87" t="str">
        <x:v>VERIFIED</x:v>
      </x:c>
      <x:c r="W2152" s="87" t="str">
        <x:v>11–12</x:v>
      </x:c>
      <x:c r="X2152" s="87"/>
      <x:c r="Y2152" s="87"/>
      <x:c r="Z2152" s="87"/>
      <x:c r="AA2152" s="87"/>
      <x:c r="AB2152" s="87"/>
      <x:c r="AC2152" s="87"/>
      <x:c r="AD2152" s="87"/>
      <x:c r="AE2152" s="87"/>
      <x:c r="AF2152" s="87"/>
      <x:c r="AG2152" s="87"/>
      <x:c r="AH2152" s="87"/>
      <x:c r="AI2152" s="30"/>
      <x:c r="AJ2152" s="87" t="str">
        <x:v>master</x:v>
      </x:c>
      <x:c r="AK2152" s="87" t="str">
        <x:v>master-v0.81</x:v>
      </x:c>
      <x:c r="AL2152" s="87" t="str">
        <x:v>statgrad_master_base_v0_81_final(2).xlsx</x:v>
      </x:c>
      <x:c r="AM2152" s="87" t="str">
        <x:v>ENG_Apr_Written_V1</x:v>
      </x:c>
      <x:c r="AN2152" s="87" t="n">
        <x:v>23</x:v>
      </x:c>
    </x:row>
    <x:row r="2153">
      <x:c r="A2153" s="87" t="n">
        <x:v>2152</x:v>
      </x:c>
      <x:c r="B2153" s="87" t="str">
        <x:v>APR-ENG-W-V1-023</x:v>
      </x:c>
      <x:c r="C2153" s="87" t="str">
        <x:v>СтатГрад</x:v>
      </x:c>
      <x:c r="D2153" s="87" t="str">
        <x:v>Апрель 2026</x:v>
      </x:c>
      <x:c r="E2153" s="87"/>
      <x:c r="F2153" s="87"/>
      <x:c r="G2153" s="87" t="str">
        <x:v>Английский язык</x:v>
      </x:c>
      <x:c r="H2153" s="87" t="n">
        <x:v>11</x:v>
      </x:c>
      <x:c r="I2153" s="87" t="str">
        <x:v>ТР №3</x:v>
      </x:c>
      <x:c r="J2153" s="87" t="str">
        <x:v>АЯ2510301</x:v>
      </x:c>
      <x:c r="K2153" s="87" t="n">
        <x:v>23</x:v>
      </x:c>
      <x:c r="L2153" s="87" t="str">
        <x:v>Грамматика</x:v>
      </x:c>
      <x:c r="M2153" s="30" t="str">
        <x:v>With rabbits and ___ all around... MOUSE</x:v>
      </x:c>
      <x:c r="N2153" s="30" t="str">
        <x:v>mice</x:v>
      </x:c>
      <x:c r="O2153" s="30" t="str">
        <x:v>Нерегулярная форма множественного числа mouse — mice.</x:v>
      </x:c>
      <x:c r="P2153" s="30" t="str">
        <x:v>Форма проверена по грамматической позиции, согласованию и смыслу всего предложения.</x:v>
      </x:c>
      <x:c r="Q2153" s="30"/>
      <x:c r="R2153" s="30" t="str">
        <x:v>mice</x:v>
      </x:c>
      <x:c r="S2153" s="30"/>
      <x:c r="T2153" s="30"/>
      <x:c r="U2153" s="30" t="str">
        <x:v>Расхождений нет.</x:v>
      </x:c>
      <x:c r="V2153" s="87" t="str">
        <x:v>VERIFIED</x:v>
      </x:c>
      <x:c r="W2153" s="87" t="str">
        <x:v>11–12</x:v>
      </x:c>
      <x:c r="X2153" s="87"/>
      <x:c r="Y2153" s="87"/>
      <x:c r="Z2153" s="87"/>
      <x:c r="AA2153" s="87"/>
      <x:c r="AB2153" s="87"/>
      <x:c r="AC2153" s="87"/>
      <x:c r="AD2153" s="87"/>
      <x:c r="AE2153" s="87"/>
      <x:c r="AF2153" s="87"/>
      <x:c r="AG2153" s="87"/>
      <x:c r="AH2153" s="87"/>
      <x:c r="AI2153" s="30"/>
      <x:c r="AJ2153" s="87" t="str">
        <x:v>master</x:v>
      </x:c>
      <x:c r="AK2153" s="87" t="str">
        <x:v>master-v0.81</x:v>
      </x:c>
      <x:c r="AL2153" s="87" t="str">
        <x:v>statgrad_master_base_v0_81_final(2).xlsx</x:v>
      </x:c>
      <x:c r="AM2153" s="87" t="str">
        <x:v>ENG_Apr_Written_V1</x:v>
      </x:c>
      <x:c r="AN2153" s="87" t="n">
        <x:v>24</x:v>
      </x:c>
    </x:row>
    <x:row r="2154">
      <x:c r="A2154" s="87" t="n">
        <x:v>2153</x:v>
      </x:c>
      <x:c r="B2154" s="87" t="str">
        <x:v>APR-ENG-W-V1-024</x:v>
      </x:c>
      <x:c r="C2154" s="87" t="str">
        <x:v>СтатГрад</x:v>
      </x:c>
      <x:c r="D2154" s="87" t="str">
        <x:v>Апрель 2026</x:v>
      </x:c>
      <x:c r="E2154" s="87"/>
      <x:c r="F2154" s="87"/>
      <x:c r="G2154" s="87" t="str">
        <x:v>Английский язык</x:v>
      </x:c>
      <x:c r="H2154" s="87" t="n">
        <x:v>11</x:v>
      </x:c>
      <x:c r="I2154" s="87" t="str">
        <x:v>ТР №3</x:v>
      </x:c>
      <x:c r="J2154" s="87" t="str">
        <x:v>АЯ2510301</x:v>
      </x:c>
      <x:c r="K2154" s="87" t="n">
        <x:v>24</x:v>
      </x:c>
      <x:c r="L2154" s="87" t="str">
        <x:v>Грамматика</x:v>
      </x:c>
      <x:c r="M2154" s="30" t="str">
        <x:v>All ___ facts show... THIS</x:v>
      </x:c>
      <x:c r="N2154" s="30" t="str">
        <x:v>these</x:v>
      </x:c>
      <x:c r="O2154" s="30" t="str">
        <x:v>Множественное число перед facts требует these.</x:v>
      </x:c>
      <x:c r="P2154" s="30" t="str">
        <x:v>Форма проверена по грамматической позиции, согласованию и смыслу всего предложения.</x:v>
      </x:c>
      <x:c r="Q2154" s="30"/>
      <x:c r="R2154" s="30" t="str">
        <x:v>these</x:v>
      </x:c>
      <x:c r="S2154" s="30"/>
      <x:c r="T2154" s="30"/>
      <x:c r="U2154" s="30" t="str">
        <x:v>Расхождений нет.</x:v>
      </x:c>
      <x:c r="V2154" s="87" t="str">
        <x:v>VERIFIED</x:v>
      </x:c>
      <x:c r="W2154" s="87" t="str">
        <x:v>11–12</x:v>
      </x:c>
      <x:c r="X2154" s="87"/>
      <x:c r="Y2154" s="87"/>
      <x:c r="Z2154" s="87"/>
      <x:c r="AA2154" s="87"/>
      <x:c r="AB2154" s="87"/>
      <x:c r="AC2154" s="87"/>
      <x:c r="AD2154" s="87"/>
      <x:c r="AE2154" s="87"/>
      <x:c r="AF2154" s="87"/>
      <x:c r="AG2154" s="87"/>
      <x:c r="AH2154" s="87"/>
      <x:c r="AI2154" s="30"/>
      <x:c r="AJ2154" s="87" t="str">
        <x:v>master</x:v>
      </x:c>
      <x:c r="AK2154" s="87" t="str">
        <x:v>master-v0.81</x:v>
      </x:c>
      <x:c r="AL2154" s="87" t="str">
        <x:v>statgrad_master_base_v0_81_final(2).xlsx</x:v>
      </x:c>
      <x:c r="AM2154" s="87" t="str">
        <x:v>ENG_Apr_Written_V1</x:v>
      </x:c>
      <x:c r="AN2154" s="87" t="n">
        <x:v>25</x:v>
      </x:c>
    </x:row>
    <x:row r="2155">
      <x:c r="A2155" s="87" t="n">
        <x:v>2154</x:v>
      </x:c>
      <x:c r="B2155" s="87" t="str">
        <x:v>APR-ENG-W-V1-025</x:v>
      </x:c>
      <x:c r="C2155" s="87" t="str">
        <x:v>СтатГрад</x:v>
      </x:c>
      <x:c r="D2155" s="87" t="str">
        <x:v>Апрель 2026</x:v>
      </x:c>
      <x:c r="E2155" s="87"/>
      <x:c r="F2155" s="87"/>
      <x:c r="G2155" s="87" t="str">
        <x:v>Английский язык</x:v>
      </x:c>
      <x:c r="H2155" s="87" t="n">
        <x:v>11</x:v>
      </x:c>
      <x:c r="I2155" s="87" t="str">
        <x:v>ТР №3</x:v>
      </x:c>
      <x:c r="J2155" s="87" t="str">
        <x:v>АЯ2510301</x:v>
      </x:c>
      <x:c r="K2155" s="87" t="n">
        <x:v>25</x:v>
      </x:c>
      <x:c r="L2155" s="87" t="str">
        <x:v>Словообразование</x:v>
      </x:c>
      <x:c r="M2155" s="30" t="str">
        <x:v>The Gulf of Mexico, as well as the eastern North Pacific Ocean, and, less ___, the central North Pacific Ocean. FREQUENT</x:v>
      </x:c>
      <x:c r="N2155" s="30" t="str">
        <x:v>frequently</x:v>
      </x:c>
      <x:c r="O2155" s="30" t="str">
        <x:v>Наречие модифицирует подразумеваемое действие originate.</x:v>
      </x:c>
      <x:c r="P2155" s="30" t="str">
        <x:v>Форма проверена по грамматической позиции, согласованию и смыслу всего предложения.</x:v>
      </x:c>
      <x:c r="Q2155" s="30"/>
      <x:c r="R2155" s="30" t="str">
        <x:v>frequently</x:v>
      </x:c>
      <x:c r="S2155" s="30"/>
      <x:c r="T2155" s="30"/>
      <x:c r="U2155" s="30" t="str">
        <x:v>Расхождений нет.</x:v>
      </x:c>
      <x:c r="V2155" s="87" t="str">
        <x:v>VERIFIED</x:v>
      </x:c>
      <x:c r="W2155" s="87" t="str">
        <x:v>11–12</x:v>
      </x:c>
      <x:c r="X2155" s="87"/>
      <x:c r="Y2155" s="87"/>
      <x:c r="Z2155" s="87"/>
      <x:c r="AA2155" s="87"/>
      <x:c r="AB2155" s="87"/>
      <x:c r="AC2155" s="87"/>
      <x:c r="AD2155" s="87"/>
      <x:c r="AE2155" s="87"/>
      <x:c r="AF2155" s="87"/>
      <x:c r="AG2155" s="87"/>
      <x:c r="AH2155" s="87"/>
      <x:c r="AI2155" s="30"/>
      <x:c r="AJ2155" s="87" t="str">
        <x:v>master</x:v>
      </x:c>
      <x:c r="AK2155" s="87" t="str">
        <x:v>master-v0.81</x:v>
      </x:c>
      <x:c r="AL2155" s="87" t="str">
        <x:v>statgrad_master_base_v0_81_final(2).xlsx</x:v>
      </x:c>
      <x:c r="AM2155" s="87" t="str">
        <x:v>ENG_Apr_Written_V1</x:v>
      </x:c>
      <x:c r="AN2155" s="87" t="n">
        <x:v>26</x:v>
      </x:c>
    </x:row>
    <x:row r="2156">
      <x:c r="A2156" s="87" t="n">
        <x:v>2155</x:v>
      </x:c>
      <x:c r="B2156" s="87" t="str">
        <x:v>APR-ENG-W-V1-026</x:v>
      </x:c>
      <x:c r="C2156" s="87" t="str">
        <x:v>СтатГрад</x:v>
      </x:c>
      <x:c r="D2156" s="87" t="str">
        <x:v>Апрель 2026</x:v>
      </x:c>
      <x:c r="E2156" s="87"/>
      <x:c r="F2156" s="87"/>
      <x:c r="G2156" s="87" t="str">
        <x:v>Английский язык</x:v>
      </x:c>
      <x:c r="H2156" s="87" t="n">
        <x:v>11</x:v>
      </x:c>
      <x:c r="I2156" s="87" t="str">
        <x:v>ТР №3</x:v>
      </x:c>
      <x:c r="J2156" s="87" t="str">
        <x:v>АЯ2510301</x:v>
      </x:c>
      <x:c r="K2156" s="87" t="n">
        <x:v>26</x:v>
      </x:c>
      <x:c r="L2156" s="87" t="str">
        <x:v>Словообразование</x:v>
      </x:c>
      <x:c r="M2156" s="30" t="str">
        <x:v>The eye of a hurricane is surprisingly calm and ___. CLOUD</x:v>
      </x:c>
      <x:c r="N2156" s="30" t="str">
        <x:v>cloudless</x:v>
      </x:c>
      <x:c r="O2156" s="30" t="str">
        <x:v>По смыслу требуется прилагательное «безоблачный».</x:v>
      </x:c>
      <x:c r="P2156" s="30" t="str">
        <x:v>Форма проверена по грамматической позиции, согласованию и смыслу всего предложения.</x:v>
      </x:c>
      <x:c r="Q2156" s="30"/>
      <x:c r="R2156" s="30" t="str">
        <x:v>cloudless</x:v>
      </x:c>
      <x:c r="S2156" s="30"/>
      <x:c r="T2156" s="30"/>
      <x:c r="U2156" s="30" t="str">
        <x:v>Расхождений нет.</x:v>
      </x:c>
      <x:c r="V2156" s="87" t="str">
        <x:v>VERIFIED</x:v>
      </x:c>
      <x:c r="W2156" s="87" t="str">
        <x:v>11–12</x:v>
      </x:c>
      <x:c r="X2156" s="87"/>
      <x:c r="Y2156" s="87"/>
      <x:c r="Z2156" s="87"/>
      <x:c r="AA2156" s="87"/>
      <x:c r="AB2156" s="87"/>
      <x:c r="AC2156" s="87"/>
      <x:c r="AD2156" s="87"/>
      <x:c r="AE2156" s="87"/>
      <x:c r="AF2156" s="87"/>
      <x:c r="AG2156" s="87"/>
      <x:c r="AH2156" s="87"/>
      <x:c r="AI2156" s="30"/>
      <x:c r="AJ2156" s="87" t="str">
        <x:v>master</x:v>
      </x:c>
      <x:c r="AK2156" s="87" t="str">
        <x:v>master-v0.81</x:v>
      </x:c>
      <x:c r="AL2156" s="87" t="str">
        <x:v>statgrad_master_base_v0_81_final(2).xlsx</x:v>
      </x:c>
      <x:c r="AM2156" s="87" t="str">
        <x:v>ENG_Apr_Written_V1</x:v>
      </x:c>
      <x:c r="AN2156" s="87" t="n">
        <x:v>27</x:v>
      </x:c>
    </x:row>
    <x:row r="2157">
      <x:c r="A2157" s="87" t="n">
        <x:v>2156</x:v>
      </x:c>
      <x:c r="B2157" s="87" t="str">
        <x:v>APR-ENG-W-V1-027</x:v>
      </x:c>
      <x:c r="C2157" s="87" t="str">
        <x:v>СтатГрад</x:v>
      </x:c>
      <x:c r="D2157" s="87" t="str">
        <x:v>Апрель 2026</x:v>
      </x:c>
      <x:c r="E2157" s="87"/>
      <x:c r="F2157" s="87"/>
      <x:c r="G2157" s="87" t="str">
        <x:v>Английский язык</x:v>
      </x:c>
      <x:c r="H2157" s="87" t="n">
        <x:v>11</x:v>
      </x:c>
      <x:c r="I2157" s="87" t="str">
        <x:v>ТР №3</x:v>
      </x:c>
      <x:c r="J2157" s="87" t="str">
        <x:v>АЯ2510301</x:v>
      </x:c>
      <x:c r="K2157" s="87" t="n">
        <x:v>27</x:v>
      </x:c>
      <x:c r="L2157" s="87" t="str">
        <x:v>Словообразование</x:v>
      </x:c>
      <x:c r="M2157" s="30" t="str">
        <x:v>The ___ force of the wind... POWER</x:v>
      </x:c>
      <x:c r="N2157" s="30" t="str">
        <x:v>powerful</x:v>
      </x:c>
      <x:c r="O2157" s="30" t="str">
        <x:v>Перед существительным force требуется прилагательное powerful.</x:v>
      </x:c>
      <x:c r="P2157" s="30" t="str">
        <x:v>Форма проверена по грамматической позиции, согласованию и смыслу всего предложения.</x:v>
      </x:c>
      <x:c r="Q2157" s="30"/>
      <x:c r="R2157" s="30" t="str">
        <x:v>powerful</x:v>
      </x:c>
      <x:c r="S2157" s="30"/>
      <x:c r="T2157" s="30"/>
      <x:c r="U2157" s="30" t="str">
        <x:v>Расхождений нет.</x:v>
      </x:c>
      <x:c r="V2157" s="87" t="str">
        <x:v>VERIFIED</x:v>
      </x:c>
      <x:c r="W2157" s="87" t="str">
        <x:v>11–12</x:v>
      </x:c>
      <x:c r="X2157" s="87"/>
      <x:c r="Y2157" s="87"/>
      <x:c r="Z2157" s="87"/>
      <x:c r="AA2157" s="87"/>
      <x:c r="AB2157" s="87"/>
      <x:c r="AC2157" s="87"/>
      <x:c r="AD2157" s="87"/>
      <x:c r="AE2157" s="87"/>
      <x:c r="AF2157" s="87"/>
      <x:c r="AG2157" s="87"/>
      <x:c r="AH2157" s="87"/>
      <x:c r="AI2157" s="30"/>
      <x:c r="AJ2157" s="87" t="str">
        <x:v>master</x:v>
      </x:c>
      <x:c r="AK2157" s="87" t="str">
        <x:v>master-v0.81</x:v>
      </x:c>
      <x:c r="AL2157" s="87" t="str">
        <x:v>statgrad_master_base_v0_81_final(2).xlsx</x:v>
      </x:c>
      <x:c r="AM2157" s="87" t="str">
        <x:v>ENG_Apr_Written_V1</x:v>
      </x:c>
      <x:c r="AN2157" s="87" t="n">
        <x:v>28</x:v>
      </x:c>
    </x:row>
    <x:row r="2158">
      <x:c r="A2158" s="87" t="n">
        <x:v>2157</x:v>
      </x:c>
      <x:c r="B2158" s="87" t="str">
        <x:v>APR-ENG-W-V1-028</x:v>
      </x:c>
      <x:c r="C2158" s="87" t="str">
        <x:v>СтатГрад</x:v>
      </x:c>
      <x:c r="D2158" s="87" t="str">
        <x:v>Апрель 2026</x:v>
      </x:c>
      <x:c r="E2158" s="87"/>
      <x:c r="F2158" s="87"/>
      <x:c r="G2158" s="87" t="str">
        <x:v>Английский язык</x:v>
      </x:c>
      <x:c r="H2158" s="87" t="n">
        <x:v>11</x:v>
      </x:c>
      <x:c r="I2158" s="87" t="str">
        <x:v>ТР №3</x:v>
      </x:c>
      <x:c r="J2158" s="87" t="str">
        <x:v>АЯ2510301</x:v>
      </x:c>
      <x:c r="K2158" s="87" t="n">
        <x:v>28</x:v>
      </x:c>
      <x:c r="L2158" s="87" t="str">
        <x:v>Словообразование</x:v>
      </x:c>
      <x:c r="M2158" s="30" t="str">
        <x:v>This ___ power can create a lot of damage. PREDICT</x:v>
      </x:c>
      <x:c r="N2158" s="30" t="str">
        <x:v>unpredictable</x:v>
      </x:c>
      <x:c r="O2158" s="30" t="str">
        <x:v>По смыслу — непредсказуемая сила; требуется прилагательное с отрицательным префиксом.</x:v>
      </x:c>
      <x:c r="P2158" s="30" t="str">
        <x:v>Форма проверена по грамматической позиции, согласованию и смыслу всего предложения.</x:v>
      </x:c>
      <x:c r="Q2158" s="30"/>
      <x:c r="R2158" s="30" t="str">
        <x:v>unpredictable</x:v>
      </x:c>
      <x:c r="S2158" s="30"/>
      <x:c r="T2158" s="30"/>
      <x:c r="U2158" s="30" t="str">
        <x:v>Расхождений нет.</x:v>
      </x:c>
      <x:c r="V2158" s="87" t="str">
        <x:v>VERIFIED</x:v>
      </x:c>
      <x:c r="W2158" s="87" t="str">
        <x:v>11–12</x:v>
      </x:c>
      <x:c r="X2158" s="87"/>
      <x:c r="Y2158" s="87"/>
      <x:c r="Z2158" s="87"/>
      <x:c r="AA2158" s="87"/>
      <x:c r="AB2158" s="87"/>
      <x:c r="AC2158" s="87"/>
      <x:c r="AD2158" s="87"/>
      <x:c r="AE2158" s="87"/>
      <x:c r="AF2158" s="87"/>
      <x:c r="AG2158" s="87"/>
      <x:c r="AH2158" s="87"/>
      <x:c r="AI2158" s="30"/>
      <x:c r="AJ2158" s="87" t="str">
        <x:v>master</x:v>
      </x:c>
      <x:c r="AK2158" s="87" t="str">
        <x:v>master-v0.81</x:v>
      </x:c>
      <x:c r="AL2158" s="87" t="str">
        <x:v>statgrad_master_base_v0_81_final(2).xlsx</x:v>
      </x:c>
      <x:c r="AM2158" s="87" t="str">
        <x:v>ENG_Apr_Written_V1</x:v>
      </x:c>
      <x:c r="AN2158" s="87" t="n">
        <x:v>29</x:v>
      </x:c>
    </x:row>
    <x:row r="2159">
      <x:c r="A2159" s="87" t="n">
        <x:v>2158</x:v>
      </x:c>
      <x:c r="B2159" s="87" t="str">
        <x:v>APR-ENG-W-V1-029</x:v>
      </x:c>
      <x:c r="C2159" s="87" t="str">
        <x:v>СтатГрад</x:v>
      </x:c>
      <x:c r="D2159" s="87" t="str">
        <x:v>Апрель 2026</x:v>
      </x:c>
      <x:c r="E2159" s="87"/>
      <x:c r="F2159" s="87"/>
      <x:c r="G2159" s="87" t="str">
        <x:v>Английский язык</x:v>
      </x:c>
      <x:c r="H2159" s="87" t="n">
        <x:v>11</x:v>
      </x:c>
      <x:c r="I2159" s="87" t="str">
        <x:v>ТР №3</x:v>
      </x:c>
      <x:c r="J2159" s="87" t="str">
        <x:v>АЯ2510301</x:v>
      </x:c>
      <x:c r="K2159" s="87" t="n">
        <x:v>29</x:v>
      </x:c>
      <x:c r="L2159" s="87" t="str">
        <x:v>Словообразование</x:v>
      </x:c>
      <x:c r="M2159" s="30" t="str">
        <x:v>Hurricanes are examples of ___ phenomena. NATURE</x:v>
      </x:c>
      <x:c r="N2159" s="30" t="str">
        <x:v>natural</x:v>
      </x:c>
      <x:c r="O2159" s="30" t="str">
        <x:v>Перед phenomena требуется прилагательное natural.</x:v>
      </x:c>
      <x:c r="P2159" s="30" t="str">
        <x:v>Форма проверена по грамматической позиции, согласованию и смыслу всего предложения.</x:v>
      </x:c>
      <x:c r="Q2159" s="30"/>
      <x:c r="R2159" s="30" t="str">
        <x:v>natural</x:v>
      </x:c>
      <x:c r="S2159" s="30"/>
      <x:c r="T2159" s="30"/>
      <x:c r="U2159" s="30" t="str">
        <x:v>Расхождений нет.</x:v>
      </x:c>
      <x:c r="V2159" s="87" t="str">
        <x:v>VERIFIED</x:v>
      </x:c>
      <x:c r="W2159" s="87" t="str">
        <x:v>11–12</x:v>
      </x:c>
      <x:c r="X2159" s="87"/>
      <x:c r="Y2159" s="87"/>
      <x:c r="Z2159" s="87"/>
      <x:c r="AA2159" s="87"/>
      <x:c r="AB2159" s="87"/>
      <x:c r="AC2159" s="87"/>
      <x:c r="AD2159" s="87"/>
      <x:c r="AE2159" s="87"/>
      <x:c r="AF2159" s="87"/>
      <x:c r="AG2159" s="87"/>
      <x:c r="AH2159" s="87"/>
      <x:c r="AI2159" s="30"/>
      <x:c r="AJ2159" s="87" t="str">
        <x:v>master</x:v>
      </x:c>
      <x:c r="AK2159" s="87" t="str">
        <x:v>master-v0.81</x:v>
      </x:c>
      <x:c r="AL2159" s="87" t="str">
        <x:v>statgrad_master_base_v0_81_final(2).xlsx</x:v>
      </x:c>
      <x:c r="AM2159" s="87" t="str">
        <x:v>ENG_Apr_Written_V1</x:v>
      </x:c>
      <x:c r="AN2159" s="87" t="n">
        <x:v>30</x:v>
      </x:c>
    </x:row>
    <x:row r="2160">
      <x:c r="A2160" s="87" t="n">
        <x:v>2159</x:v>
      </x:c>
      <x:c r="B2160" s="87" t="str">
        <x:v>APR-ENG-W-V1-030</x:v>
      </x:c>
      <x:c r="C2160" s="87" t="str">
        <x:v>СтатГрад</x:v>
      </x:c>
      <x:c r="D2160" s="87" t="str">
        <x:v>Апрель 2026</x:v>
      </x:c>
      <x:c r="E2160" s="87"/>
      <x:c r="F2160" s="87"/>
      <x:c r="G2160" s="87" t="str">
        <x:v>Английский язык</x:v>
      </x:c>
      <x:c r="H2160" s="87" t="n">
        <x:v>11</x:v>
      </x:c>
      <x:c r="I2160" s="87" t="str">
        <x:v>ТР №3</x:v>
      </x:c>
      <x:c r="J2160" s="87" t="str">
        <x:v>АЯ2510301</x:v>
      </x:c>
      <x:c r="K2160" s="87" t="n">
        <x:v>30</x:v>
      </x:c>
      <x:c r="L2160" s="87" t="str">
        <x:v>Лексика: выбор слова</x:v>
      </x:c>
      <x:c r="M2160" s="30" t="str">
        <x:v>When they arrived at school, they ___ a bus that took them to Monterey Bay.</x:v>
      </x:c>
      <x:c r="N2160" s="30" t="str">
        <x:v>3 — boarded</x:v>
      </x:c>
      <x:c r="O2160" s="30" t="str">
        <x:v>Board a bus означает сесть в автобус; остальные глаголы не подходят к дополнению a bus.</x:v>
      </x:c>
      <x:c r="P2160" s="30" t="str">
        <x:v>Проверены устойчивая сочетаемость, грамматическая позиция и логика рассказа.</x:v>
      </x:c>
      <x:c r="Q2160" s="30"/>
      <x:c r="R2160" s="30" t="str">
        <x:v>нет в таблице</x:v>
      </x:c>
      <x:c r="S2160" s="30"/>
      <x:c r="T2160" s="30"/>
      <x:c r="U2160" s="30" t="str">
        <x:v>Решено независимо по контексту.</x:v>
      </x:c>
      <x:c r="V2160" s="87" t="str">
        <x:v>VERIFIED</x:v>
      </x:c>
      <x:c r="W2160" s="87" t="str">
        <x:v>13–14</x:v>
      </x:c>
      <x:c r="X2160" s="87"/>
      <x:c r="Y2160" s="87"/>
      <x:c r="Z2160" s="87"/>
      <x:c r="AA2160" s="87"/>
      <x:c r="AB2160" s="87"/>
      <x:c r="AC2160" s="87"/>
      <x:c r="AD2160" s="87"/>
      <x:c r="AE2160" s="87"/>
      <x:c r="AF2160" s="87"/>
      <x:c r="AG2160" s="87"/>
      <x:c r="AH2160" s="87"/>
      <x:c r="AI2160" s="30"/>
      <x:c r="AJ2160" s="87" t="str">
        <x:v>master</x:v>
      </x:c>
      <x:c r="AK2160" s="87" t="str">
        <x:v>master-v0.81</x:v>
      </x:c>
      <x:c r="AL2160" s="87" t="str">
        <x:v>statgrad_master_base_v0_81_final(2).xlsx</x:v>
      </x:c>
      <x:c r="AM2160" s="87" t="str">
        <x:v>ENG_Apr_Written_V1</x:v>
      </x:c>
      <x:c r="AN2160" s="87" t="n">
        <x:v>31</x:v>
      </x:c>
    </x:row>
    <x:row r="2161">
      <x:c r="A2161" s="87" t="n">
        <x:v>2160</x:v>
      </x:c>
      <x:c r="B2161" s="87" t="str">
        <x:v>APR-ENG-W-V1-031</x:v>
      </x:c>
      <x:c r="C2161" s="87" t="str">
        <x:v>СтатГрад</x:v>
      </x:c>
      <x:c r="D2161" s="87" t="str">
        <x:v>Апрель 2026</x:v>
      </x:c>
      <x:c r="E2161" s="87"/>
      <x:c r="F2161" s="87"/>
      <x:c r="G2161" s="87" t="str">
        <x:v>Английский язык</x:v>
      </x:c>
      <x:c r="H2161" s="87" t="n">
        <x:v>11</x:v>
      </x:c>
      <x:c r="I2161" s="87" t="str">
        <x:v>ТР №3</x:v>
      </x:c>
      <x:c r="J2161" s="87" t="str">
        <x:v>АЯ2510301</x:v>
      </x:c>
      <x:c r="K2161" s="87" t="n">
        <x:v>31</x:v>
      </x:c>
      <x:c r="L2161" s="87" t="str">
        <x:v>Лексика: выбор слова</x:v>
      </x:c>
      <x:c r="M2161" s="30" t="str">
        <x:v>___ there, they climbed aboard a large tour boat.</x:v>
      </x:c>
      <x:c r="N2161" s="30" t="str">
        <x:v>1 — Once</x:v>
      </x:c>
      <x:c r="O2161" s="30" t="str">
        <x:v>Once there — устойчивое обстоятельственное сочетание «оказавшись там».</x:v>
      </x:c>
      <x:c r="P2161" s="30" t="str">
        <x:v>Проверены устойчивая сочетаемость, грамматическая позиция и логика рассказа.</x:v>
      </x:c>
      <x:c r="Q2161" s="30"/>
      <x:c r="R2161" s="30" t="str">
        <x:v>нет в таблице</x:v>
      </x:c>
      <x:c r="S2161" s="30"/>
      <x:c r="T2161" s="30"/>
      <x:c r="U2161" s="30" t="str">
        <x:v>Решено независимо по контексту.</x:v>
      </x:c>
      <x:c r="V2161" s="87" t="str">
        <x:v>VERIFIED</x:v>
      </x:c>
      <x:c r="W2161" s="87" t="str">
        <x:v>13–14</x:v>
      </x:c>
      <x:c r="X2161" s="87"/>
      <x:c r="Y2161" s="87"/>
      <x:c r="Z2161" s="87"/>
      <x:c r="AA2161" s="87"/>
      <x:c r="AB2161" s="87"/>
      <x:c r="AC2161" s="87"/>
      <x:c r="AD2161" s="87"/>
      <x:c r="AE2161" s="87"/>
      <x:c r="AF2161" s="87"/>
      <x:c r="AG2161" s="87"/>
      <x:c r="AH2161" s="87"/>
      <x:c r="AI2161" s="30"/>
      <x:c r="AJ2161" s="87" t="str">
        <x:v>master</x:v>
      </x:c>
      <x:c r="AK2161" s="87" t="str">
        <x:v>master-v0.81</x:v>
      </x:c>
      <x:c r="AL2161" s="87" t="str">
        <x:v>statgrad_master_base_v0_81_final(2).xlsx</x:v>
      </x:c>
      <x:c r="AM2161" s="87" t="str">
        <x:v>ENG_Apr_Written_V1</x:v>
      </x:c>
      <x:c r="AN2161" s="87" t="n">
        <x:v>32</x:v>
      </x:c>
    </x:row>
    <x:row r="2162">
      <x:c r="A2162" s="87" t="n">
        <x:v>2161</x:v>
      </x:c>
      <x:c r="B2162" s="87" t="str">
        <x:v>APR-ENG-W-V1-032</x:v>
      </x:c>
      <x:c r="C2162" s="87" t="str">
        <x:v>СтатГрад</x:v>
      </x:c>
      <x:c r="D2162" s="87" t="str">
        <x:v>Апрель 2026</x:v>
      </x:c>
      <x:c r="E2162" s="87"/>
      <x:c r="F2162" s="87"/>
      <x:c r="G2162" s="87" t="str">
        <x:v>Английский язык</x:v>
      </x:c>
      <x:c r="H2162" s="87" t="n">
        <x:v>11</x:v>
      </x:c>
      <x:c r="I2162" s="87" t="str">
        <x:v>ТР №3</x:v>
      </x:c>
      <x:c r="J2162" s="87" t="str">
        <x:v>АЯ2510301</x:v>
      </x:c>
      <x:c r="K2162" s="87" t="n">
        <x:v>32</x:v>
      </x:c>
      <x:c r="L2162" s="87" t="str">
        <x:v>Лексика: выбор слова</x:v>
      </x:c>
      <x:c r="M2162" s="30" t="str">
        <x:v>...before the boat ___ sail.</x:v>
      </x:c>
      <x:c r="N2162" s="30" t="str">
        <x:v>4 — set</x:v>
      </x:c>
      <x:c r="O2162" s="30" t="str">
        <x:v>Устойчивое сочетание set sail означает отправиться в плавание.</x:v>
      </x:c>
      <x:c r="P2162" s="30" t="str">
        <x:v>Проверены устойчивая сочетаемость, грамматическая позиция и логика рассказа.</x:v>
      </x:c>
      <x:c r="Q2162" s="30"/>
      <x:c r="R2162" s="30" t="str">
        <x:v>нет в таблице</x:v>
      </x:c>
      <x:c r="S2162" s="30"/>
      <x:c r="T2162" s="30"/>
      <x:c r="U2162" s="30" t="str">
        <x:v>Решено независимо по контексту.</x:v>
      </x:c>
      <x:c r="V2162" s="87" t="str">
        <x:v>VERIFIED</x:v>
      </x:c>
      <x:c r="W2162" s="87" t="str">
        <x:v>13–14</x:v>
      </x:c>
      <x:c r="X2162" s="87"/>
      <x:c r="Y2162" s="87"/>
      <x:c r="Z2162" s="87"/>
      <x:c r="AA2162" s="87"/>
      <x:c r="AB2162" s="87"/>
      <x:c r="AC2162" s="87"/>
      <x:c r="AD2162" s="87"/>
      <x:c r="AE2162" s="87"/>
      <x:c r="AF2162" s="87"/>
      <x:c r="AG2162" s="87"/>
      <x:c r="AH2162" s="87"/>
      <x:c r="AI2162" s="30"/>
      <x:c r="AJ2162" s="87" t="str">
        <x:v>master</x:v>
      </x:c>
      <x:c r="AK2162" s="87" t="str">
        <x:v>master-v0.81</x:v>
      </x:c>
      <x:c r="AL2162" s="87" t="str">
        <x:v>statgrad_master_base_v0_81_final(2).xlsx</x:v>
      </x:c>
      <x:c r="AM2162" s="87" t="str">
        <x:v>ENG_Apr_Written_V1</x:v>
      </x:c>
      <x:c r="AN2162" s="87" t="n">
        <x:v>33</x:v>
      </x:c>
    </x:row>
    <x:row r="2163">
      <x:c r="A2163" s="87" t="n">
        <x:v>2162</x:v>
      </x:c>
      <x:c r="B2163" s="87" t="str">
        <x:v>APR-ENG-W-V1-033</x:v>
      </x:c>
      <x:c r="C2163" s="87" t="str">
        <x:v>СтатГрад</x:v>
      </x:c>
      <x:c r="D2163" s="87" t="str">
        <x:v>Апрель 2026</x:v>
      </x:c>
      <x:c r="E2163" s="87"/>
      <x:c r="F2163" s="87"/>
      <x:c r="G2163" s="87" t="str">
        <x:v>Английский язык</x:v>
      </x:c>
      <x:c r="H2163" s="87" t="n">
        <x:v>11</x:v>
      </x:c>
      <x:c r="I2163" s="87" t="str">
        <x:v>ТР №3</x:v>
      </x:c>
      <x:c r="J2163" s="87" t="str">
        <x:v>АЯ2510301</x:v>
      </x:c>
      <x:c r="K2163" s="87" t="n">
        <x:v>33</x:v>
      </x:c>
      <x:c r="L2163" s="87" t="str">
        <x:v>Лексика: выбор слова</x:v>
      </x:c>
      <x:c r="M2163" s="30" t="str">
        <x:v>...the kinds of animals they were ___ to see.</x:v>
      </x:c>
      <x:c r="N2163" s="30" t="str">
        <x:v>2 — likely</x:v>
      </x:c>
      <x:c r="O2163" s="30" t="str">
        <x:v>Конструкция be likely to означает «вероятно увидеть».</x:v>
      </x:c>
      <x:c r="P2163" s="30" t="str">
        <x:v>Проверены устойчивая сочетаемость, грамматическая позиция и логика рассказа.</x:v>
      </x:c>
      <x:c r="Q2163" s="30"/>
      <x:c r="R2163" s="30" t="str">
        <x:v>нет в таблице</x:v>
      </x:c>
      <x:c r="S2163" s="30"/>
      <x:c r="T2163" s="30"/>
      <x:c r="U2163" s="30" t="str">
        <x:v>Решено независимо по контексту.</x:v>
      </x:c>
      <x:c r="V2163" s="87" t="str">
        <x:v>VERIFIED</x:v>
      </x:c>
      <x:c r="W2163" s="87" t="str">
        <x:v>13–14</x:v>
      </x:c>
      <x:c r="X2163" s="87"/>
      <x:c r="Y2163" s="87"/>
      <x:c r="Z2163" s="87"/>
      <x:c r="AA2163" s="87"/>
      <x:c r="AB2163" s="87"/>
      <x:c r="AC2163" s="87"/>
      <x:c r="AD2163" s="87"/>
      <x:c r="AE2163" s="87"/>
      <x:c r="AF2163" s="87"/>
      <x:c r="AG2163" s="87"/>
      <x:c r="AH2163" s="87"/>
      <x:c r="AI2163" s="30"/>
      <x:c r="AJ2163" s="87" t="str">
        <x:v>master</x:v>
      </x:c>
      <x:c r="AK2163" s="87" t="str">
        <x:v>master-v0.81</x:v>
      </x:c>
      <x:c r="AL2163" s="87" t="str">
        <x:v>statgrad_master_base_v0_81_final(2).xlsx</x:v>
      </x:c>
      <x:c r="AM2163" s="87" t="str">
        <x:v>ENG_Apr_Written_V1</x:v>
      </x:c>
      <x:c r="AN2163" s="87" t="n">
        <x:v>34</x:v>
      </x:c>
    </x:row>
    <x:row r="2164">
      <x:c r="A2164" s="87" t="n">
        <x:v>2163</x:v>
      </x:c>
      <x:c r="B2164" s="87" t="str">
        <x:v>APR-ENG-W-V1-034</x:v>
      </x:c>
      <x:c r="C2164" s="87" t="str">
        <x:v>СтатГрад</x:v>
      </x:c>
      <x:c r="D2164" s="87" t="str">
        <x:v>Апрель 2026</x:v>
      </x:c>
      <x:c r="E2164" s="87"/>
      <x:c r="F2164" s="87"/>
      <x:c r="G2164" s="87" t="str">
        <x:v>Английский язык</x:v>
      </x:c>
      <x:c r="H2164" s="87" t="n">
        <x:v>11</x:v>
      </x:c>
      <x:c r="I2164" s="87" t="str">
        <x:v>ТР №3</x:v>
      </x:c>
      <x:c r="J2164" s="87" t="str">
        <x:v>АЯ2510301</x:v>
      </x:c>
      <x:c r="K2164" s="87" t="n">
        <x:v>34</x:v>
      </x:c>
      <x:c r="L2164" s="87" t="str">
        <x:v>Лексика: выбор слова</x:v>
      </x:c>
      <x:c r="M2164" s="30" t="str">
        <x:v>She ___ the students to ask questions...</x:v>
      </x:c>
      <x:c r="N2164" s="30" t="str">
        <x:v>2 — encouraged</x:v>
      </x:c>
      <x:c r="O2164" s="30" t="str">
        <x:v>Encourage somebody to do something — побуждать кого-либо что-либо сделать.</x:v>
      </x:c>
      <x:c r="P2164" s="30" t="str">
        <x:v>Проверены устойчивая сочетаемость, грамматическая позиция и логика рассказа.</x:v>
      </x:c>
      <x:c r="Q2164" s="30"/>
      <x:c r="R2164" s="30" t="str">
        <x:v>нет в таблице</x:v>
      </x:c>
      <x:c r="S2164" s="30"/>
      <x:c r="T2164" s="30"/>
      <x:c r="U2164" s="30" t="str">
        <x:v>Решено независимо по контексту.</x:v>
      </x:c>
      <x:c r="V2164" s="87" t="str">
        <x:v>VERIFIED</x:v>
      </x:c>
      <x:c r="W2164" s="87" t="str">
        <x:v>13–14</x:v>
      </x:c>
      <x:c r="X2164" s="87"/>
      <x:c r="Y2164" s="87"/>
      <x:c r="Z2164" s="87"/>
      <x:c r="AA2164" s="87"/>
      <x:c r="AB2164" s="87"/>
      <x:c r="AC2164" s="87"/>
      <x:c r="AD2164" s="87"/>
      <x:c r="AE2164" s="87"/>
      <x:c r="AF2164" s="87"/>
      <x:c r="AG2164" s="87"/>
      <x:c r="AH2164" s="87"/>
      <x:c r="AI2164" s="30"/>
      <x:c r="AJ2164" s="87" t="str">
        <x:v>master</x:v>
      </x:c>
      <x:c r="AK2164" s="87" t="str">
        <x:v>master-v0.81</x:v>
      </x:c>
      <x:c r="AL2164" s="87" t="str">
        <x:v>statgrad_master_base_v0_81_final(2).xlsx</x:v>
      </x:c>
      <x:c r="AM2164" s="87" t="str">
        <x:v>ENG_Apr_Written_V1</x:v>
      </x:c>
      <x:c r="AN2164" s="87" t="n">
        <x:v>35</x:v>
      </x:c>
    </x:row>
    <x:row r="2165">
      <x:c r="A2165" s="87" t="n">
        <x:v>2164</x:v>
      </x:c>
      <x:c r="B2165" s="87" t="str">
        <x:v>APR-ENG-W-V1-035</x:v>
      </x:c>
      <x:c r="C2165" s="87" t="str">
        <x:v>СтатГрад</x:v>
      </x:c>
      <x:c r="D2165" s="87" t="str">
        <x:v>Апрель 2026</x:v>
      </x:c>
      <x:c r="E2165" s="87"/>
      <x:c r="F2165" s="87"/>
      <x:c r="G2165" s="87" t="str">
        <x:v>Английский язык</x:v>
      </x:c>
      <x:c r="H2165" s="87" t="n">
        <x:v>11</x:v>
      </x:c>
      <x:c r="I2165" s="87" t="str">
        <x:v>ТР №3</x:v>
      </x:c>
      <x:c r="J2165" s="87" t="str">
        <x:v>АЯ2510301</x:v>
      </x:c>
      <x:c r="K2165" s="87" t="n">
        <x:v>35</x:v>
      </x:c>
      <x:c r="L2165" s="87" t="str">
        <x:v>Лексика: выбор слова</x:v>
      </x:c>
      <x:c r="M2165" s="30" t="str">
        <x:v>Pedro and his friend Jeff ___ a group of dolphins...</x:v>
      </x:c>
      <x:c r="N2165" s="30" t="str">
        <x:v>3 — spotted</x:v>
      </x:c>
      <x:c r="O2165" s="30" t="str">
        <x:v>Spot означает заметить; глагол естественно сочетается с наблюдением за животными.</x:v>
      </x:c>
      <x:c r="P2165" s="30" t="str">
        <x:v>Проверены устойчивая сочетаемость, грамматическая позиция и логика рассказа.</x:v>
      </x:c>
      <x:c r="Q2165" s="30"/>
      <x:c r="R2165" s="30" t="str">
        <x:v>нет в таблице</x:v>
      </x:c>
      <x:c r="S2165" s="30"/>
      <x:c r="T2165" s="30"/>
      <x:c r="U2165" s="30" t="str">
        <x:v>Решено независимо по контексту.</x:v>
      </x:c>
      <x:c r="V2165" s="87" t="str">
        <x:v>VERIFIED</x:v>
      </x:c>
      <x:c r="W2165" s="87" t="str">
        <x:v>13–14</x:v>
      </x:c>
      <x:c r="X2165" s="87"/>
      <x:c r="Y2165" s="87"/>
      <x:c r="Z2165" s="87"/>
      <x:c r="AA2165" s="87"/>
      <x:c r="AB2165" s="87"/>
      <x:c r="AC2165" s="87"/>
      <x:c r="AD2165" s="87"/>
      <x:c r="AE2165" s="87"/>
      <x:c r="AF2165" s="87"/>
      <x:c r="AG2165" s="87"/>
      <x:c r="AH2165" s="87"/>
      <x:c r="AI2165" s="30"/>
      <x:c r="AJ2165" s="87" t="str">
        <x:v>master</x:v>
      </x:c>
      <x:c r="AK2165" s="87" t="str">
        <x:v>master-v0.81</x:v>
      </x:c>
      <x:c r="AL2165" s="87" t="str">
        <x:v>statgrad_master_base_v0_81_final(2).xlsx</x:v>
      </x:c>
      <x:c r="AM2165" s="87" t="str">
        <x:v>ENG_Apr_Written_V1</x:v>
      </x:c>
      <x:c r="AN2165" s="87" t="n">
        <x:v>36</x:v>
      </x:c>
    </x:row>
    <x:row r="2166">
      <x:c r="A2166" s="87" t="n">
        <x:v>2165</x:v>
      </x:c>
      <x:c r="B2166" s="87" t="str">
        <x:v>APR-ENG-W-V1-036</x:v>
      </x:c>
      <x:c r="C2166" s="87" t="str">
        <x:v>СтатГрад</x:v>
      </x:c>
      <x:c r="D2166" s="87" t="str">
        <x:v>Апрель 2026</x:v>
      </x:c>
      <x:c r="E2166" s="87"/>
      <x:c r="F2166" s="87"/>
      <x:c r="G2166" s="87" t="str">
        <x:v>Английский язык</x:v>
      </x:c>
      <x:c r="H2166" s="87" t="n">
        <x:v>11</x:v>
      </x:c>
      <x:c r="I2166" s="87" t="str">
        <x:v>ТР №3</x:v>
      </x:c>
      <x:c r="J2166" s="87" t="str">
        <x:v>АЯ2510301</x:v>
      </x:c>
      <x:c r="K2166" s="87" t="n">
        <x:v>36</x:v>
      </x:c>
      <x:c r="L2166" s="87" t="str">
        <x:v>Лексика: выбор слова</x:v>
      </x:c>
      <x:c r="M2166" s="30" t="str">
        <x:v>...a whale came to the ___ of the water.</x:v>
      </x:c>
      <x:c r="N2166" s="30" t="str">
        <x:v>1 — surface</x:v>
      </x:c>
      <x:c r="O2166" s="30" t="str">
        <x:v>Устойчивое сочетание come to the surface — подняться на поверхность.</x:v>
      </x:c>
      <x:c r="P2166" s="30" t="str">
        <x:v>Проверены устойчивая сочетаемость, грамматическая позиция и логика рассказа.</x:v>
      </x:c>
      <x:c r="Q2166" s="30"/>
      <x:c r="R2166" s="30" t="str">
        <x:v>нет в таблице</x:v>
      </x:c>
      <x:c r="S2166" s="30"/>
      <x:c r="T2166" s="30"/>
      <x:c r="U2166" s="30" t="str">
        <x:v>Решено независимо по контексту.</x:v>
      </x:c>
      <x:c r="V2166" s="87" t="str">
        <x:v>VERIFIED</x:v>
      </x:c>
      <x:c r="W2166" s="87" t="str">
        <x:v>13–14</x:v>
      </x:c>
      <x:c r="X2166" s="87"/>
      <x:c r="Y2166" s="87"/>
      <x:c r="Z2166" s="87"/>
      <x:c r="AA2166" s="87"/>
      <x:c r="AB2166" s="87"/>
      <x:c r="AC2166" s="87"/>
      <x:c r="AD2166" s="87"/>
      <x:c r="AE2166" s="87"/>
      <x:c r="AF2166" s="87"/>
      <x:c r="AG2166" s="87"/>
      <x:c r="AH2166" s="87"/>
      <x:c r="AI2166" s="30"/>
      <x:c r="AJ2166" s="87" t="str">
        <x:v>master</x:v>
      </x:c>
      <x:c r="AK2166" s="87" t="str">
        <x:v>master-v0.81</x:v>
      </x:c>
      <x:c r="AL2166" s="87" t="str">
        <x:v>statgrad_master_base_v0_81_final(2).xlsx</x:v>
      </x:c>
      <x:c r="AM2166" s="87" t="str">
        <x:v>ENG_Apr_Written_V1</x:v>
      </x:c>
      <x:c r="AN2166" s="87" t="n">
        <x:v>37</x:v>
      </x:c>
    </x:row>
    <x:row r="2167">
      <x:c r="A2167" s="87" t="n">
        <x:v>2166</x:v>
      </x:c>
      <x:c r="B2167" s="87" t="str">
        <x:v>APR-ENG-W-V1-037</x:v>
      </x:c>
      <x:c r="C2167" s="87" t="str">
        <x:v>СтатГрад</x:v>
      </x:c>
      <x:c r="D2167" s="87" t="str">
        <x:v>Апрель 2026</x:v>
      </x:c>
      <x:c r="E2167" s="87"/>
      <x:c r="F2167" s="87"/>
      <x:c r="G2167" s="87" t="str">
        <x:v>Английский язык</x:v>
      </x:c>
      <x:c r="H2167" s="87" t="n">
        <x:v>11</x:v>
      </x:c>
      <x:c r="I2167" s="87" t="str">
        <x:v>ТР №3</x:v>
      </x:c>
      <x:c r="J2167" s="87" t="str">
        <x:v>АЯ2510301</x:v>
      </x:c>
      <x:c r="K2167" s="87" t="n">
        <x:v>37</x:v>
      </x:c>
      <x:c r="L2167" s="87" t="str">
        <x:v>Письменная речь: электронное письмо</x:v>
      </x:c>
      <x:c r="M2167" s="30" t="str">
        <x:v>Ответьте Марку о времени в социальных сетях и способах ограничить экранное время; задайте три вопроса о новой работе его сестры в книжном магазине. Объём 100–140 слов.</x:v>
      </x:c>
      <x:c r="N2167" s="30" t="str">
        <x:v>Dear Mark,
Thanks for your email. Your method sounds sensible! I probably spend about forty minutes a day scrolling through social media, although it can be longer at weekends. To limit my screen time, I turn off unnecessary notifications, set a daily app limit and leave my phone on a desk while I study. My parents usually remind me to take a break if I have been looking at the screen for too long. They also suggest going for a walk or doing some exercise instead.
Congratulations to your sister! Which bookstore is she working in? What duties does she have there? Does she get an employee discount on books?
Write back soon.
Best wishes,
Alex</x:v>
      </x:c>
      <x:c r="O2167" s="30" t="str">
        <x:v>Письмо отвечает на три вопроса Марка, содержит ровно три вопроса о работе сестры, благодарность, заключительную фразу и подпись. Объём — 116 слов.</x:v>
      </x:c>
      <x:c r="P2167" s="30" t="str">
        <x:v>Коммуникативные аспекты, структура и объём проверены отдельно; стиль нейтрально-неофициальный.</x:v>
      </x:c>
      <x:c r="Q2167" s="30"/>
      <x:c r="R2167" s="30" t="str">
        <x:v>Критерии, стр. 9–11</x:v>
      </x:c>
      <x:c r="S2167" s="30"/>
      <x:c r="T2167" s="30"/>
      <x:c r="U2167" s="30" t="str">
        <x:v>Модельный ответ; официального единственного текста не существует.</x:v>
      </x:c>
      <x:c r="V2167" s="87" t="str">
        <x:v>VERIFIED</x:v>
      </x:c>
      <x:c r="W2167" s="87" t="str">
        <x:v>15</x:v>
      </x:c>
      <x:c r="X2167" s="87"/>
      <x:c r="Y2167" s="87"/>
      <x:c r="Z2167" s="87"/>
      <x:c r="AA2167" s="87"/>
      <x:c r="AB2167" s="87"/>
      <x:c r="AC2167" s="87"/>
      <x:c r="AD2167" s="87"/>
      <x:c r="AE2167" s="87"/>
      <x:c r="AF2167" s="87"/>
      <x:c r="AG2167" s="87"/>
      <x:c r="AH2167" s="87"/>
      <x:c r="AI2167" s="30"/>
      <x:c r="AJ2167" s="87" t="str">
        <x:v>master</x:v>
      </x:c>
      <x:c r="AK2167" s="87" t="str">
        <x:v>master-v0.81</x:v>
      </x:c>
      <x:c r="AL2167" s="87" t="str">
        <x:v>statgrad_master_base_v0_81_final(2).xlsx</x:v>
      </x:c>
      <x:c r="AM2167" s="87" t="str">
        <x:v>ENG_Apr_Written_V1</x:v>
      </x:c>
      <x:c r="AN2167" s="87" t="n">
        <x:v>38</x:v>
      </x:c>
    </x:row>
    <x:row r="2168">
      <x:c r="A2168" s="87" t="n">
        <x:v>2167</x:v>
      </x:c>
      <x:c r="B2168" s="87" t="str">
        <x:v>APR-ENG-W-V1-381</x:v>
      </x:c>
      <x:c r="C2168" s="87" t="str">
        <x:v>СтатГрад</x:v>
      </x:c>
      <x:c r="D2168" s="87" t="str">
        <x:v>Апрель 2026</x:v>
      </x:c>
      <x:c r="E2168" s="87"/>
      <x:c r="F2168" s="87"/>
      <x:c r="G2168" s="87" t="str">
        <x:v>Английский язык</x:v>
      </x:c>
      <x:c r="H2168" s="87" t="n">
        <x:v>11</x:v>
      </x:c>
      <x:c r="I2168" s="87" t="str">
        <x:v>ТР №3</x:v>
      </x:c>
      <x:c r="J2168" s="87" t="str">
        <x:v>АЯ2510301</x:v>
      </x:c>
      <x:c r="K2168" s="87" t="str">
        <x:v>38.1</x:v>
      </x:c>
      <x:c r="L2168" s="87" t="str">
        <x:v>Письменная речь: проект</x:v>
      </x:c>
      <x:c r="M2168" s="30" t="str">
        <x:v>Прокомментируйте данные о пользе изучения математики и выразите мнение о её важности. Объём 200–250 слов.</x:v>
      </x:c>
      <x:c r="N2168" s="30" t="str">
        <x:v>Learning mathematics can influence both education and everyday thinking. I am doing a project on the benefits of learning maths among young people in Zetland, and I have found some useful survey data.
According to the table, the largest group of respondents, 37%, believe that mathematics develops the brain. Another 26% say that it helps them learn science, while 17% value maths because it can help them get into a good university. Only 7% cannot name any benefit.
It is noticeable that developing the brain is 11 percentage points more popular than helping with science. This may be because mathematical exercises train general logical thinking, which is useful in many areas, not only in science lessons. In addition, the share of respondents who associate maths with university admission is ten percentage points higher than the share who see no benefit at all. This suggests that most teenagers understand the practical importance of the subject.
A problem that students can face when learning mathematics is losing motivation after several difficult topics. One possible solution is to divide complex material into smaller steps, practise regularly and ask a teacher or classmate for help before gaps become serious.
In my opinion, learning maths is extremely important because it develops accuracy, persistence and the ability to analyse information. These skills help people make sensible decisions at school, at work and in daily life.</x:v>
      </x:c>
      <x:c r="O2168" s="30" t="str">
        <x:v>Использованы данные 37%, 26%, 17% и 7%; выполнены два сравнения; описаны проблема потери мотивации, решение и аргументированное мнение. Объём — 233 слова.</x:v>
      </x:c>
      <x:c r="P2168" s="30" t="str">
        <x:v>Все пункты плана и арифметические разницы проверены отдельно; текст имеет вступление, абзацы и заключение.</x:v>
      </x:c>
      <x:c r="Q2168" s="30"/>
      <x:c r="R2168" s="30" t="str">
        <x:v>Критерии, стр. 12–17</x:v>
      </x:c>
      <x:c r="S2168" s="30"/>
      <x:c r="T2168" s="30"/>
      <x:c r="U2168" s="30" t="str">
        <x:v>Модельный ответ на вариант 38.1.</x:v>
      </x:c>
      <x:c r="V2168" s="87" t="str">
        <x:v>VERIFIED</x:v>
      </x:c>
      <x:c r="W2168" s="87" t="str">
        <x:v>16</x:v>
      </x:c>
      <x:c r="X2168" s="87"/>
      <x:c r="Y2168" s="87"/>
      <x:c r="Z2168" s="87"/>
      <x:c r="AA2168" s="87"/>
      <x:c r="AB2168" s="87"/>
      <x:c r="AC2168" s="87"/>
      <x:c r="AD2168" s="87"/>
      <x:c r="AE2168" s="87"/>
      <x:c r="AF2168" s="87"/>
      <x:c r="AG2168" s="87"/>
      <x:c r="AH2168" s="87"/>
      <x:c r="AI2168" s="30"/>
      <x:c r="AJ2168" s="87" t="str">
        <x:v>master</x:v>
      </x:c>
      <x:c r="AK2168" s="87" t="str">
        <x:v>master-v0.81</x:v>
      </x:c>
      <x:c r="AL2168" s="87" t="str">
        <x:v>statgrad_master_base_v0_81_final(2).xlsx</x:v>
      </x:c>
      <x:c r="AM2168" s="87" t="str">
        <x:v>ENG_Apr_Written_V1</x:v>
      </x:c>
      <x:c r="AN2168" s="87" t="n">
        <x:v>39</x:v>
      </x:c>
    </x:row>
    <x:row r="2169">
      <x:c r="A2169" s="87" t="n">
        <x:v>2168</x:v>
      </x:c>
      <x:c r="B2169" s="87" t="str">
        <x:v>APR-ENG-W-V1-382</x:v>
      </x:c>
      <x:c r="C2169" s="87" t="str">
        <x:v>СтатГрад</x:v>
      </x:c>
      <x:c r="D2169" s="87" t="str">
        <x:v>Апрель 2026</x:v>
      </x:c>
      <x:c r="E2169" s="87"/>
      <x:c r="F2169" s="87"/>
      <x:c r="G2169" s="87" t="str">
        <x:v>Английский язык</x:v>
      </x:c>
      <x:c r="H2169" s="87" t="n">
        <x:v>11</x:v>
      </x:c>
      <x:c r="I2169" s="87" t="str">
        <x:v>ТР №3</x:v>
      </x:c>
      <x:c r="J2169" s="87" t="str">
        <x:v>АЯ2510301</x:v>
      </x:c>
      <x:c r="K2169" s="87" t="str">
        <x:v>38.2</x:v>
      </x:c>
      <x:c r="L2169" s="87" t="str">
        <x:v>Письменная речь: проект</x:v>
      </x:c>
      <x:c r="M2169" s="30" t="str">
        <x:v>Прокомментируйте данные о качествах, которые подростки ценят в друге, и выразите мнение о важности хороших друзей. Объём 200–250 слов.</x:v>
      </x:c>
      <x:c r="N2169" s="30" t="str">
        <x:v>Friendship is an important part of teenagers’ lives. I am doing a project on what young people in Zetland value most in a friend, and I have found some interesting survey data.
According to the pie chart, loyalty is by far the most popular quality, chosen by 52% of respondents. A good sense of humour ranks second with 33%. Kindness is valued most by 8% of teenagers, whereas only 1% choose wisdom.
The percentage of respondents who value loyalty is 19 percentage points higher than the figure for a good sense of humour. This may be because teenagers need friends they can trust in difficult situations, while humour mainly makes everyday communication more enjoyable. It is also striking that kindness is eight times as popular as wisdom. Perhaps young people expect immediate emotional support from friends more often than advice based on life experience.
A problem that friends can face is a misunderstanding caused by messages or rumours on social media. To solve it, they should discuss the situation calmly in person, listen to each other and avoid making accusations before checking the facts.
In my opinion, having good friends is very important because friendship gives people support, confidence and a sense of belonging. A loyal and caring friend can share both happy moments and problems, making teenage life less stressful and more meaningful.</x:v>
      </x:c>
      <x:c r="O2169" s="30" t="str">
        <x:v>Использованы данные 52%, 33%, 8% и 1%; выполнены два сравнения; описаны проблема недопонимания, решение и аргументированное мнение. Объём — 228 слов.</x:v>
      </x:c>
      <x:c r="P2169" s="30" t="str">
        <x:v>Все пункты плана, числовые сравнения и структура текста проверены отдельно.</x:v>
      </x:c>
      <x:c r="Q2169" s="30"/>
      <x:c r="R2169" s="30" t="str">
        <x:v>Критерии, стр. 12–17</x:v>
      </x:c>
      <x:c r="S2169" s="30"/>
      <x:c r="T2169" s="30"/>
      <x:c r="U2169" s="30" t="str">
        <x:v>Модельный ответ на вариант 38.2.</x:v>
      </x:c>
      <x:c r="V2169" s="87" t="str">
        <x:v>VERIFIED</x:v>
      </x:c>
      <x:c r="W2169" s="87" t="str">
        <x:v>17</x:v>
      </x:c>
      <x:c r="X2169" s="87"/>
      <x:c r="Y2169" s="87"/>
      <x:c r="Z2169" s="87"/>
      <x:c r="AA2169" s="87"/>
      <x:c r="AB2169" s="87"/>
      <x:c r="AC2169" s="87"/>
      <x:c r="AD2169" s="87"/>
      <x:c r="AE2169" s="87"/>
      <x:c r="AF2169" s="87"/>
      <x:c r="AG2169" s="87"/>
      <x:c r="AH2169" s="87"/>
      <x:c r="AI2169" s="30"/>
      <x:c r="AJ2169" s="87" t="str">
        <x:v>master</x:v>
      </x:c>
      <x:c r="AK2169" s="87" t="str">
        <x:v>master-v0.81</x:v>
      </x:c>
      <x:c r="AL2169" s="87" t="str">
        <x:v>statgrad_master_base_v0_81_final(2).xlsx</x:v>
      </x:c>
      <x:c r="AM2169" s="87" t="str">
        <x:v>ENG_Apr_Written_V1</x:v>
      </x:c>
      <x:c r="AN2169" s="87" t="n">
        <x:v>40</x:v>
      </x:c>
    </x:row>
    <x:row r="2170">
      <x:c r="A2170" s="87" t="n">
        <x:v>2169</x:v>
      </x:c>
      <x:c r="B2170" s="87" t="str">
        <x:v>APR-ENG-O-V1-001</x:v>
      </x:c>
      <x:c r="C2170" s="87" t="str">
        <x:v>СтатГрад</x:v>
      </x:c>
      <x:c r="D2170" s="87" t="str">
        <x:v>Апрель 2026</x:v>
      </x:c>
      <x:c r="E2170" s="87"/>
      <x:c r="F2170" s="87"/>
      <x:c r="G2170" s="87" t="str">
        <x:v>Английский язык</x:v>
      </x:c>
      <x:c r="H2170" s="87" t="n">
        <x:v>11</x:v>
      </x:c>
      <x:c r="I2170" s="87" t="str">
        <x:v>ТР №3</x:v>
      </x:c>
      <x:c r="J2170" s="87" t="str">
        <x:v>АЯ2510301</x:v>
      </x:c>
      <x:c r="K2170" s="87" t="n">
        <x:v>1</x:v>
      </x:c>
      <x:c r="L2170" s="87" t="str">
        <x:v>Устная речь: чтение текста</x:v>
      </x:c>
      <x:c r="M2170" s="30" t="str">
        <x:v>Прочитайте вслух научно-популярный текст о демографических данных. Подготовка — 1,5 минуты; чтение — не более 1,5 минуты.</x:v>
      </x:c>
      <x:c r="N2170" s="30" t="str">
        <x:v>Demographics are characteristics of human populations. The word demographics contains the word roots demo, meaning “people”, and graph, meaning “to write”. Demographic data include people’s ages, occupations, educational levels and incomes. Government officials can use this information to determine the makeup of a city’s population and whether there is a need for various services. For example, if city officials learn that many families with young children are moving into an area, they may recommend building more schools. One way that countries collect demographic data is by taking a national census. The census helps governments plan for future needs, such as housing, transportation, healthcare and education. Businesses also use demographic information to decide where to open stores and what products or services people may need.</x:v>
      </x:c>
      <x:c r="O2170" s="30" t="str">
        <x:v>Следует читать связно, без необоснованных пауз. Особое внимание: demographics, characteristics, populations, occupations, educational, determine, census, transportation, healthcare, products and services.</x:v>
      </x:c>
      <x:c r="P2170" s="30" t="str">
        <x:v>Текст перенесён дословно с задания; выделены смысловые группы и слова с повышенным риском фонетической ошибки.</x:v>
      </x:c>
      <x:c r="Q2170" s="30"/>
      <x:c r="R2170" s="30" t="str">
        <x:v>Критерии, стр. 18</x:v>
      </x:c>
      <x:c r="S2170" s="30"/>
      <x:c r="T2170" s="30"/>
      <x:c r="U2170" s="30" t="str">
        <x:v>Письменного ключа нет: оценивается качество чтения.</x:v>
      </x:c>
      <x:c r="V2170" s="87" t="str">
        <x:v>VERIFIED</x:v>
      </x:c>
      <x:c r="W2170" s="87" t="str">
        <x:v>2</x:v>
      </x:c>
      <x:c r="X2170" s="87"/>
      <x:c r="Y2170" s="87"/>
      <x:c r="Z2170" s="87"/>
      <x:c r="AA2170" s="87"/>
      <x:c r="AB2170" s="87"/>
      <x:c r="AC2170" s="87"/>
      <x:c r="AD2170" s="87"/>
      <x:c r="AE2170" s="87"/>
      <x:c r="AF2170" s="87"/>
      <x:c r="AG2170" s="87"/>
      <x:c r="AH2170" s="87"/>
      <x:c r="AI2170" s="30"/>
      <x:c r="AJ2170" s="87" t="str">
        <x:v>master</x:v>
      </x:c>
      <x:c r="AK2170" s="87" t="str">
        <x:v>master-v0.81</x:v>
      </x:c>
      <x:c r="AL2170" s="87" t="str">
        <x:v>statgrad_master_base_v0_81_final(2).xlsx</x:v>
      </x:c>
      <x:c r="AM2170" s="87" t="str">
        <x:v>ENG_Apr_Oral_V1</x:v>
      </x:c>
      <x:c r="AN2170" s="87" t="n">
        <x:v>2</x:v>
      </x:c>
    </x:row>
    <x:row r="2171">
      <x:c r="A2171" s="87" t="n">
        <x:v>2170</x:v>
      </x:c>
      <x:c r="B2171" s="87" t="str">
        <x:v>APR-ENG-O-V1-0021</x:v>
      </x:c>
      <x:c r="C2171" s="87" t="str">
        <x:v>СтатГрад</x:v>
      </x:c>
      <x:c r="D2171" s="87" t="str">
        <x:v>Апрель 2026</x:v>
      </x:c>
      <x:c r="E2171" s="87"/>
      <x:c r="F2171" s="87"/>
      <x:c r="G2171" s="87" t="str">
        <x:v>Английский язык</x:v>
      </x:c>
      <x:c r="H2171" s="87" t="n">
        <x:v>11</x:v>
      </x:c>
      <x:c r="I2171" s="87" t="str">
        <x:v>ТР №3</x:v>
      </x:c>
      <x:c r="J2171" s="87" t="str">
        <x:v>АЯ2510301</x:v>
      </x:c>
      <x:c r="K2171" s="87" t="str">
        <x:v>2.1</x:v>
      </x:c>
      <x:c r="L2171" s="87" t="str">
        <x:v>Устная речь: прямой вопрос</x:v>
      </x:c>
      <x:c r="M2171" s="30" t="str">
        <x:v>Узнайте часы работы катка.</x:v>
      </x:c>
      <x:c r="N2171" s="30" t="str">
        <x:v>What are your opening hours?</x:v>
      </x:c>
      <x:c r="O2171" s="30" t="str">
        <x:v>Прямой специальный вопрос с корректным порядком слов.</x:v>
      </x:c>
      <x:c r="P2171" s="30" t="str">
        <x:v>Проверены форма прямого вопроса, порядок слов и точность содержания.</x:v>
      </x:c>
      <x:c r="Q2171" s="30"/>
      <x:c r="R2171" s="30" t="str">
        <x:v>Критерии, стр. 18</x:v>
      </x:c>
      <x:c r="S2171" s="30"/>
      <x:c r="T2171" s="30"/>
      <x:c r="U2171" s="30" t="str">
        <x:v>Расхождений нет.</x:v>
      </x:c>
      <x:c r="V2171" s="87" t="str">
        <x:v>VERIFIED</x:v>
      </x:c>
      <x:c r="W2171" s="87" t="str">
        <x:v>2</x:v>
      </x:c>
      <x:c r="X2171" s="87"/>
      <x:c r="Y2171" s="87"/>
      <x:c r="Z2171" s="87"/>
      <x:c r="AA2171" s="87"/>
      <x:c r="AB2171" s="87"/>
      <x:c r="AC2171" s="87"/>
      <x:c r="AD2171" s="87"/>
      <x:c r="AE2171" s="87"/>
      <x:c r="AF2171" s="87"/>
      <x:c r="AG2171" s="87"/>
      <x:c r="AH2171" s="87"/>
      <x:c r="AI2171" s="30"/>
      <x:c r="AJ2171" s="87" t="str">
        <x:v>master</x:v>
      </x:c>
      <x:c r="AK2171" s="87" t="str">
        <x:v>master-v0.81</x:v>
      </x:c>
      <x:c r="AL2171" s="87" t="str">
        <x:v>statgrad_master_base_v0_81_final(2).xlsx</x:v>
      </x:c>
      <x:c r="AM2171" s="87" t="str">
        <x:v>ENG_Apr_Oral_V1</x:v>
      </x:c>
      <x:c r="AN2171" s="87" t="n">
        <x:v>3</x:v>
      </x:c>
    </x:row>
    <x:row r="2172">
      <x:c r="A2172" s="87" t="n">
        <x:v>2171</x:v>
      </x:c>
      <x:c r="B2172" s="87" t="str">
        <x:v>APR-ENG-O-V1-0022</x:v>
      </x:c>
      <x:c r="C2172" s="87" t="str">
        <x:v>СтатГрад</x:v>
      </x:c>
      <x:c r="D2172" s="87" t="str">
        <x:v>Апрель 2026</x:v>
      </x:c>
      <x:c r="E2172" s="87"/>
      <x:c r="F2172" s="87"/>
      <x:c r="G2172" s="87" t="str">
        <x:v>Английский язык</x:v>
      </x:c>
      <x:c r="H2172" s="87" t="n">
        <x:v>11</x:v>
      </x:c>
      <x:c r="I2172" s="87" t="str">
        <x:v>ТР №3</x:v>
      </x:c>
      <x:c r="J2172" s="87" t="str">
        <x:v>АЯ2510301</x:v>
      </x:c>
      <x:c r="K2172" s="87" t="str">
        <x:v>2.2</x:v>
      </x:c>
      <x:c r="L2172" s="87" t="str">
        <x:v>Устная речь: прямой вопрос</x:v>
      </x:c>
      <x:c r="M2172" s="30" t="str">
        <x:v>Узнайте об аренде коньков.</x:v>
      </x:c>
      <x:c r="N2172" s="30" t="str">
        <x:v>Do you offer skate rental?</x:v>
      </x:c>
      <x:c r="O2172" s="30" t="str">
        <x:v>Прямой общий вопрос точно запрашивает наличие аренды.</x:v>
      </x:c>
      <x:c r="P2172" s="30" t="str">
        <x:v>Проверены форма прямого вопроса, порядок слов и точность содержания.</x:v>
      </x:c>
      <x:c r="Q2172" s="30"/>
      <x:c r="R2172" s="30" t="str">
        <x:v>Критерии, стр. 18</x:v>
      </x:c>
      <x:c r="S2172" s="30"/>
      <x:c r="T2172" s="30"/>
      <x:c r="U2172" s="30" t="str">
        <x:v>Расхождений нет.</x:v>
      </x:c>
      <x:c r="V2172" s="87" t="str">
        <x:v>VERIFIED</x:v>
      </x:c>
      <x:c r="W2172" s="87" t="str">
        <x:v>2</x:v>
      </x:c>
      <x:c r="X2172" s="87"/>
      <x:c r="Y2172" s="87"/>
      <x:c r="Z2172" s="87"/>
      <x:c r="AA2172" s="87"/>
      <x:c r="AB2172" s="87"/>
      <x:c r="AC2172" s="87"/>
      <x:c r="AD2172" s="87"/>
      <x:c r="AE2172" s="87"/>
      <x:c r="AF2172" s="87"/>
      <x:c r="AG2172" s="87"/>
      <x:c r="AH2172" s="87"/>
      <x:c r="AI2172" s="30"/>
      <x:c r="AJ2172" s="87" t="str">
        <x:v>master</x:v>
      </x:c>
      <x:c r="AK2172" s="87" t="str">
        <x:v>master-v0.81</x:v>
      </x:c>
      <x:c r="AL2172" s="87" t="str">
        <x:v>statgrad_master_base_v0_81_final(2).xlsx</x:v>
      </x:c>
      <x:c r="AM2172" s="87" t="str">
        <x:v>ENG_Apr_Oral_V1</x:v>
      </x:c>
      <x:c r="AN2172" s="87" t="n">
        <x:v>4</x:v>
      </x:c>
    </x:row>
    <x:row r="2173">
      <x:c r="A2173" s="87" t="n">
        <x:v>2172</x:v>
      </x:c>
      <x:c r="B2173" s="87" t="str">
        <x:v>APR-ENG-O-V1-0023</x:v>
      </x:c>
      <x:c r="C2173" s="87" t="str">
        <x:v>СтатГрад</x:v>
      </x:c>
      <x:c r="D2173" s="87" t="str">
        <x:v>Апрель 2026</x:v>
      </x:c>
      <x:c r="E2173" s="87"/>
      <x:c r="F2173" s="87"/>
      <x:c r="G2173" s="87" t="str">
        <x:v>Английский язык</x:v>
      </x:c>
      <x:c r="H2173" s="87" t="n">
        <x:v>11</x:v>
      </x:c>
      <x:c r="I2173" s="87" t="str">
        <x:v>ТР №3</x:v>
      </x:c>
      <x:c r="J2173" s="87" t="str">
        <x:v>АЯ2510301</x:v>
      </x:c>
      <x:c r="K2173" s="87" t="str">
        <x:v>2.3</x:v>
      </x:c>
      <x:c r="L2173" s="87" t="str">
        <x:v>Устная речь: прямой вопрос</x:v>
      </x:c>
      <x:c r="M2173" s="30" t="str">
        <x:v>Узнайте о скидках для учащихся.</x:v>
      </x:c>
      <x:c r="N2173" s="30" t="str">
        <x:v>Do you offer discounts for students?</x:v>
      </x:c>
      <x:c r="O2173" s="30" t="str">
        <x:v>Использован прямой общий вопрос в Present Simple.</x:v>
      </x:c>
      <x:c r="P2173" s="30" t="str">
        <x:v>Проверены форма прямого вопроса, порядок слов и точность содержания.</x:v>
      </x:c>
      <x:c r="Q2173" s="30"/>
      <x:c r="R2173" s="30" t="str">
        <x:v>Критерии, стр. 18</x:v>
      </x:c>
      <x:c r="S2173" s="30"/>
      <x:c r="T2173" s="30"/>
      <x:c r="U2173" s="30" t="str">
        <x:v>Расхождений нет.</x:v>
      </x:c>
      <x:c r="V2173" s="87" t="str">
        <x:v>VERIFIED</x:v>
      </x:c>
      <x:c r="W2173" s="87" t="str">
        <x:v>2</x:v>
      </x:c>
      <x:c r="X2173" s="87"/>
      <x:c r="Y2173" s="87"/>
      <x:c r="Z2173" s="87"/>
      <x:c r="AA2173" s="87"/>
      <x:c r="AB2173" s="87"/>
      <x:c r="AC2173" s="87"/>
      <x:c r="AD2173" s="87"/>
      <x:c r="AE2173" s="87"/>
      <x:c r="AF2173" s="87"/>
      <x:c r="AG2173" s="87"/>
      <x:c r="AH2173" s="87"/>
      <x:c r="AI2173" s="30"/>
      <x:c r="AJ2173" s="87" t="str">
        <x:v>master</x:v>
      </x:c>
      <x:c r="AK2173" s="87" t="str">
        <x:v>master-v0.81</x:v>
      </x:c>
      <x:c r="AL2173" s="87" t="str">
        <x:v>statgrad_master_base_v0_81_final(2).xlsx</x:v>
      </x:c>
      <x:c r="AM2173" s="87" t="str">
        <x:v>ENG_Apr_Oral_V1</x:v>
      </x:c>
      <x:c r="AN2173" s="87" t="n">
        <x:v>5</x:v>
      </x:c>
    </x:row>
    <x:row r="2174">
      <x:c r="A2174" s="87" t="n">
        <x:v>2173</x:v>
      </x:c>
      <x:c r="B2174" s="87" t="str">
        <x:v>APR-ENG-O-V1-0024</x:v>
      </x:c>
      <x:c r="C2174" s="87" t="str">
        <x:v>СтатГрад</x:v>
      </x:c>
      <x:c r="D2174" s="87" t="str">
        <x:v>Апрель 2026</x:v>
      </x:c>
      <x:c r="E2174" s="87"/>
      <x:c r="F2174" s="87"/>
      <x:c r="G2174" s="87" t="str">
        <x:v>Английский язык</x:v>
      </x:c>
      <x:c r="H2174" s="87" t="n">
        <x:v>11</x:v>
      </x:c>
      <x:c r="I2174" s="87" t="str">
        <x:v>ТР №3</x:v>
      </x:c>
      <x:c r="J2174" s="87" t="str">
        <x:v>АЯ2510301</x:v>
      </x:c>
      <x:c r="K2174" s="87" t="str">
        <x:v>2.4</x:v>
      </x:c>
      <x:c r="L2174" s="87" t="str">
        <x:v>Устная речь: прямой вопрос</x:v>
      </x:c>
      <x:c r="M2174" s="30" t="str">
        <x:v>Узнайте о занятиях по катанию на коньках.</x:v>
      </x:c>
      <x:c r="N2174" s="30" t="str">
        <x:v>Do you offer skating classes?</x:v>
      </x:c>
      <x:c r="O2174" s="30" t="str">
        <x:v>Вопрос полностью соответствует требуемому пункту.</x:v>
      </x:c>
      <x:c r="P2174" s="30" t="str">
        <x:v>Проверены форма прямого вопроса, порядок слов и точность содержания.</x:v>
      </x:c>
      <x:c r="Q2174" s="30"/>
      <x:c r="R2174" s="30" t="str">
        <x:v>Критерии, стр. 18</x:v>
      </x:c>
      <x:c r="S2174" s="30"/>
      <x:c r="T2174" s="30"/>
      <x:c r="U2174" s="30" t="str">
        <x:v>Расхождений нет.</x:v>
      </x:c>
      <x:c r="V2174" s="87" t="str">
        <x:v>VERIFIED</x:v>
      </x:c>
      <x:c r="W2174" s="87" t="str">
        <x:v>2</x:v>
      </x:c>
      <x:c r="X2174" s="87"/>
      <x:c r="Y2174" s="87"/>
      <x:c r="Z2174" s="87"/>
      <x:c r="AA2174" s="87"/>
      <x:c r="AB2174" s="87"/>
      <x:c r="AC2174" s="87"/>
      <x:c r="AD2174" s="87"/>
      <x:c r="AE2174" s="87"/>
      <x:c r="AF2174" s="87"/>
      <x:c r="AG2174" s="87"/>
      <x:c r="AH2174" s="87"/>
      <x:c r="AI2174" s="30"/>
      <x:c r="AJ2174" s="87" t="str">
        <x:v>master</x:v>
      </x:c>
      <x:c r="AK2174" s="87" t="str">
        <x:v>master-v0.81</x:v>
      </x:c>
      <x:c r="AL2174" s="87" t="str">
        <x:v>statgrad_master_base_v0_81_final(2).xlsx</x:v>
      </x:c>
      <x:c r="AM2174" s="87" t="str">
        <x:v>ENG_Apr_Oral_V1</x:v>
      </x:c>
      <x:c r="AN2174" s="87" t="n">
        <x:v>6</x:v>
      </x:c>
    </x:row>
    <x:row r="2175">
      <x:c r="A2175" s="87" t="n">
        <x:v>2174</x:v>
      </x:c>
      <x:c r="B2175" s="87" t="str">
        <x:v>APR-ENG-O-V1-0031</x:v>
      </x:c>
      <x:c r="C2175" s="87" t="str">
        <x:v>СтатГрад</x:v>
      </x:c>
      <x:c r="D2175" s="87" t="str">
        <x:v>Апрель 2026</x:v>
      </x:c>
      <x:c r="E2175" s="87"/>
      <x:c r="F2175" s="87"/>
      <x:c r="G2175" s="87" t="str">
        <x:v>Английский язык</x:v>
      </x:c>
      <x:c r="H2175" s="87" t="n">
        <x:v>11</x:v>
      </x:c>
      <x:c r="I2175" s="87" t="str">
        <x:v>ТР №3</x:v>
      </x:c>
      <x:c r="J2175" s="87" t="str">
        <x:v>АЯ2510301</x:v>
      </x:c>
      <x:c r="K2175" s="87" t="str">
        <x:v>3.1</x:v>
      </x:c>
      <x:c r="L2175" s="87" t="str">
        <x:v>Устная речь: интервью</x:v>
      </x:c>
      <x:c r="M2175" s="30" t="str">
        <x:v>What’s your favourite meal of the day? Why?</x:v>
      </x:c>
      <x:c r="N2175" s="30" t="str">
        <x:v>Breakfast is my favourite meal of the day because it gives me energy for school. I also like that breakfast can be both quick and healthy.</x:v>
      </x:c>
      <x:c r="O2175" s="30" t="str">
        <x:v>Назван любимый приём пищи и объяснена причина; ответ состоит из двух связанных фраз.</x:v>
      </x:c>
      <x:c r="P2175" s="30" t="str">
        <x:v>Ответ содержит две коммуникативно обусловленные фразы и полностью раскрывает вопрос.</x:v>
      </x:c>
      <x:c r="Q2175" s="30"/>
      <x:c r="R2175" s="30" t="str">
        <x:v>Транскрипт, стр. 7; критерии, стр. 18</x:v>
      </x:c>
      <x:c r="S2175" s="30"/>
      <x:c r="T2175" s="30"/>
      <x:c r="U2175" s="30" t="str">
        <x:v>Модельный ответ допускает замену личных деталей.</x:v>
      </x:c>
      <x:c r="V2175" s="87" t="str">
        <x:v>VERIFIED</x:v>
      </x:c>
      <x:c r="W2175" s="87" t="str">
        <x:v>3</x:v>
      </x:c>
      <x:c r="X2175" s="87"/>
      <x:c r="Y2175" s="87"/>
      <x:c r="Z2175" s="87"/>
      <x:c r="AA2175" s="87"/>
      <x:c r="AB2175" s="87"/>
      <x:c r="AC2175" s="87"/>
      <x:c r="AD2175" s="87"/>
      <x:c r="AE2175" s="87"/>
      <x:c r="AF2175" s="87"/>
      <x:c r="AG2175" s="87"/>
      <x:c r="AH2175" s="87"/>
      <x:c r="AI2175" s="30"/>
      <x:c r="AJ2175" s="87" t="str">
        <x:v>master</x:v>
      </x:c>
      <x:c r="AK2175" s="87" t="str">
        <x:v>master-v0.81</x:v>
      </x:c>
      <x:c r="AL2175" s="87" t="str">
        <x:v>statgrad_master_base_v0_81_final(2).xlsx</x:v>
      </x:c>
      <x:c r="AM2175" s="87" t="str">
        <x:v>ENG_Apr_Oral_V1</x:v>
      </x:c>
      <x:c r="AN2175" s="87" t="n">
        <x:v>7</x:v>
      </x:c>
    </x:row>
    <x:row r="2176">
      <x:c r="A2176" s="87" t="n">
        <x:v>2175</x:v>
      </x:c>
      <x:c r="B2176" s="87" t="str">
        <x:v>APR-ENG-O-V1-0032</x:v>
      </x:c>
      <x:c r="C2176" s="87" t="str">
        <x:v>СтатГрад</x:v>
      </x:c>
      <x:c r="D2176" s="87" t="str">
        <x:v>Апрель 2026</x:v>
      </x:c>
      <x:c r="E2176" s="87"/>
      <x:c r="F2176" s="87"/>
      <x:c r="G2176" s="87" t="str">
        <x:v>Английский язык</x:v>
      </x:c>
      <x:c r="H2176" s="87" t="n">
        <x:v>11</x:v>
      </x:c>
      <x:c r="I2176" s="87" t="str">
        <x:v>ТР №3</x:v>
      </x:c>
      <x:c r="J2176" s="87" t="str">
        <x:v>АЯ2510301</x:v>
      </x:c>
      <x:c r="K2176" s="87" t="str">
        <x:v>3.2</x:v>
      </x:c>
      <x:c r="L2176" s="87" t="str">
        <x:v>Устная речь: интервью</x:v>
      </x:c>
      <x:c r="M2176" s="30" t="str">
        <x:v>What is your ideal breakfast: just a cup of tea or coffee, or a big hearty meal?</x:v>
      </x:c>
      <x:c r="N2176" s="30" t="str">
        <x:v>My ideal breakfast is a fairly hearty meal with porridge, eggs and fruit. Tea alone would not be enough for me in the morning.</x:v>
      </x:c>
      <x:c r="O2176" s="30" t="str">
        <x:v>Дан прямой выбор и приведены конкретные составляющие завтрака.</x:v>
      </x:c>
      <x:c r="P2176" s="30" t="str">
        <x:v>Ответ содержит две коммуникативно обусловленные фразы и полностью раскрывает вопрос.</x:v>
      </x:c>
      <x:c r="Q2176" s="30"/>
      <x:c r="R2176" s="30" t="str">
        <x:v>Транскрипт, стр. 7; критерии, стр. 18</x:v>
      </x:c>
      <x:c r="S2176" s="30"/>
      <x:c r="T2176" s="30"/>
      <x:c r="U2176" s="30" t="str">
        <x:v>Модельный ответ допускает замену личных деталей.</x:v>
      </x:c>
      <x:c r="V2176" s="87" t="str">
        <x:v>VERIFIED</x:v>
      </x:c>
      <x:c r="W2176" s="87" t="str">
        <x:v>3</x:v>
      </x:c>
      <x:c r="X2176" s="87"/>
      <x:c r="Y2176" s="87"/>
      <x:c r="Z2176" s="87"/>
      <x:c r="AA2176" s="87"/>
      <x:c r="AB2176" s="87"/>
      <x:c r="AC2176" s="87"/>
      <x:c r="AD2176" s="87"/>
      <x:c r="AE2176" s="87"/>
      <x:c r="AF2176" s="87"/>
      <x:c r="AG2176" s="87"/>
      <x:c r="AH2176" s="87"/>
      <x:c r="AI2176" s="30"/>
      <x:c r="AJ2176" s="87" t="str">
        <x:v>master</x:v>
      </x:c>
      <x:c r="AK2176" s="87" t="str">
        <x:v>master-v0.81</x:v>
      </x:c>
      <x:c r="AL2176" s="87" t="str">
        <x:v>statgrad_master_base_v0_81_final(2).xlsx</x:v>
      </x:c>
      <x:c r="AM2176" s="87" t="str">
        <x:v>ENG_Apr_Oral_V1</x:v>
      </x:c>
      <x:c r="AN2176" s="87" t="n">
        <x:v>8</x:v>
      </x:c>
    </x:row>
    <x:row r="2177">
      <x:c r="A2177" s="87" t="n">
        <x:v>2176</x:v>
      </x:c>
      <x:c r="B2177" s="87" t="str">
        <x:v>APR-ENG-O-V1-0033</x:v>
      </x:c>
      <x:c r="C2177" s="87" t="str">
        <x:v>СтатГрад</x:v>
      </x:c>
      <x:c r="D2177" s="87" t="str">
        <x:v>Апрель 2026</x:v>
      </x:c>
      <x:c r="E2177" s="87"/>
      <x:c r="F2177" s="87"/>
      <x:c r="G2177" s="87" t="str">
        <x:v>Английский язык</x:v>
      </x:c>
      <x:c r="H2177" s="87" t="n">
        <x:v>11</x:v>
      </x:c>
      <x:c r="I2177" s="87" t="str">
        <x:v>ТР №3</x:v>
      </x:c>
      <x:c r="J2177" s="87" t="str">
        <x:v>АЯ2510301</x:v>
      </x:c>
      <x:c r="K2177" s="87" t="str">
        <x:v>3.3</x:v>
      </x:c>
      <x:c r="L2177" s="87" t="str">
        <x:v>Устная речь: интервью</x:v>
      </x:c>
      <x:c r="M2177" s="30" t="str">
        <x:v>What kind of breakfast food could you eat every day?</x:v>
      </x:c>
      <x:c r="N2177" s="30" t="str">
        <x:v>I could eat oatmeal with berries every day because it is tasty and filling. It is also easy to prepare in different ways.</x:v>
      </x:c>
      <x:c r="O2177" s="30" t="str">
        <x:v>Назван продукт и приведены две причины.</x:v>
      </x:c>
      <x:c r="P2177" s="30" t="str">
        <x:v>Ответ содержит две коммуникативно обусловленные фразы и полностью раскрывает вопрос.</x:v>
      </x:c>
      <x:c r="Q2177" s="30"/>
      <x:c r="R2177" s="30" t="str">
        <x:v>Транскрипт, стр. 7; критерии, стр. 18</x:v>
      </x:c>
      <x:c r="S2177" s="30"/>
      <x:c r="T2177" s="30"/>
      <x:c r="U2177" s="30" t="str">
        <x:v>Модельный ответ допускает замену личных деталей.</x:v>
      </x:c>
      <x:c r="V2177" s="87" t="str">
        <x:v>VERIFIED</x:v>
      </x:c>
      <x:c r="W2177" s="87" t="str">
        <x:v>3</x:v>
      </x:c>
      <x:c r="X2177" s="87"/>
      <x:c r="Y2177" s="87"/>
      <x:c r="Z2177" s="87"/>
      <x:c r="AA2177" s="87"/>
      <x:c r="AB2177" s="87"/>
      <x:c r="AC2177" s="87"/>
      <x:c r="AD2177" s="87"/>
      <x:c r="AE2177" s="87"/>
      <x:c r="AF2177" s="87"/>
      <x:c r="AG2177" s="87"/>
      <x:c r="AH2177" s="87"/>
      <x:c r="AI2177" s="30"/>
      <x:c r="AJ2177" s="87" t="str">
        <x:v>master</x:v>
      </x:c>
      <x:c r="AK2177" s="87" t="str">
        <x:v>master-v0.81</x:v>
      </x:c>
      <x:c r="AL2177" s="87" t="str">
        <x:v>statgrad_master_base_v0_81_final(2).xlsx</x:v>
      </x:c>
      <x:c r="AM2177" s="87" t="str">
        <x:v>ENG_Apr_Oral_V1</x:v>
      </x:c>
      <x:c r="AN2177" s="87" t="n">
        <x:v>9</x:v>
      </x:c>
    </x:row>
    <x:row r="2178">
      <x:c r="A2178" s="87" t="n">
        <x:v>2177</x:v>
      </x:c>
      <x:c r="B2178" s="87" t="str">
        <x:v>APR-ENG-O-V1-0034</x:v>
      </x:c>
      <x:c r="C2178" s="87" t="str">
        <x:v>СтатГрад</x:v>
      </x:c>
      <x:c r="D2178" s="87" t="str">
        <x:v>Апрель 2026</x:v>
      </x:c>
      <x:c r="E2178" s="87"/>
      <x:c r="F2178" s="87"/>
      <x:c r="G2178" s="87" t="str">
        <x:v>Английский язык</x:v>
      </x:c>
      <x:c r="H2178" s="87" t="n">
        <x:v>11</x:v>
      </x:c>
      <x:c r="I2178" s="87" t="str">
        <x:v>ТР №3</x:v>
      </x:c>
      <x:c r="J2178" s="87" t="str">
        <x:v>АЯ2510301</x:v>
      </x:c>
      <x:c r="K2178" s="87" t="str">
        <x:v>3.4</x:v>
      </x:c>
      <x:c r="L2178" s="87" t="str">
        <x:v>Устная речь: интервью</x:v>
      </x:c>
      <x:c r="M2178" s="30" t="str">
        <x:v>Who makes your breakfast? How often do you make breakfast for yourself?</x:v>
      </x:c>
      <x:c r="N2178" s="30" t="str">
        <x:v>On weekdays I usually make breakfast for myself because everyone is busy. At weekends my mother sometimes cooks pancakes for the whole family.</x:v>
      </x:c>
      <x:c r="O2178" s="30" t="str">
        <x:v>Раскрыты обе части вопроса: кто готовит и как часто ученик делает это сам.</x:v>
      </x:c>
      <x:c r="P2178" s="30" t="str">
        <x:v>Ответ содержит две коммуникативно обусловленные фразы и полностью раскрывает вопрос.</x:v>
      </x:c>
      <x:c r="Q2178" s="30"/>
      <x:c r="R2178" s="30" t="str">
        <x:v>Транскрипт, стр. 7; критерии, стр. 18</x:v>
      </x:c>
      <x:c r="S2178" s="30"/>
      <x:c r="T2178" s="30"/>
      <x:c r="U2178" s="30" t="str">
        <x:v>Модельный ответ допускает замену личных деталей.</x:v>
      </x:c>
      <x:c r="V2178" s="87" t="str">
        <x:v>VERIFIED</x:v>
      </x:c>
      <x:c r="W2178" s="87" t="str">
        <x:v>3</x:v>
      </x:c>
      <x:c r="X2178" s="87"/>
      <x:c r="Y2178" s="87"/>
      <x:c r="Z2178" s="87"/>
      <x:c r="AA2178" s="87"/>
      <x:c r="AB2178" s="87"/>
      <x:c r="AC2178" s="87"/>
      <x:c r="AD2178" s="87"/>
      <x:c r="AE2178" s="87"/>
      <x:c r="AF2178" s="87"/>
      <x:c r="AG2178" s="87"/>
      <x:c r="AH2178" s="87"/>
      <x:c r="AI2178" s="30"/>
      <x:c r="AJ2178" s="87" t="str">
        <x:v>master</x:v>
      </x:c>
      <x:c r="AK2178" s="87" t="str">
        <x:v>master-v0.81</x:v>
      </x:c>
      <x:c r="AL2178" s="87" t="str">
        <x:v>statgrad_master_base_v0_81_final(2).xlsx</x:v>
      </x:c>
      <x:c r="AM2178" s="87" t="str">
        <x:v>ENG_Apr_Oral_V1</x:v>
      </x:c>
      <x:c r="AN2178" s="87" t="n">
        <x:v>10</x:v>
      </x:c>
    </x:row>
    <x:row r="2179">
      <x:c r="A2179" s="87" t="n">
        <x:v>2178</x:v>
      </x:c>
      <x:c r="B2179" s="87" t="str">
        <x:v>APR-ENG-O-V1-0035</x:v>
      </x:c>
      <x:c r="C2179" s="87" t="str">
        <x:v>СтатГрад</x:v>
      </x:c>
      <x:c r="D2179" s="87" t="str">
        <x:v>Апрель 2026</x:v>
      </x:c>
      <x:c r="E2179" s="87"/>
      <x:c r="F2179" s="87"/>
      <x:c r="G2179" s="87" t="str">
        <x:v>Английский язык</x:v>
      </x:c>
      <x:c r="H2179" s="87" t="n">
        <x:v>11</x:v>
      </x:c>
      <x:c r="I2179" s="87" t="str">
        <x:v>ТР №3</x:v>
      </x:c>
      <x:c r="J2179" s="87" t="str">
        <x:v>АЯ2510301</x:v>
      </x:c>
      <x:c r="K2179" s="87" t="str">
        <x:v>3.5</x:v>
      </x:c>
      <x:c r="L2179" s="87" t="str">
        <x:v>Устная речь: интервью</x:v>
      </x:c>
      <x:c r="M2179" s="30" t="str">
        <x:v>How does your weekend breakfast differ from your weekday breakfast?</x:v>
      </x:c>
      <x:c r="N2179" s="30" t="str">
        <x:v>My weekday breakfast is simple and takes about ten minutes. At weekends we eat later and prepare something more special together.</x:v>
      </x:c>
      <x:c r="O2179" s="30" t="str">
        <x:v>Сопоставлены время, длительность и характер завтрака.</x:v>
      </x:c>
      <x:c r="P2179" s="30" t="str">
        <x:v>Ответ содержит две коммуникативно обусловленные фразы и полностью раскрывает вопрос.</x:v>
      </x:c>
      <x:c r="Q2179" s="30"/>
      <x:c r="R2179" s="30" t="str">
        <x:v>Транскрипт, стр. 7; критерии, стр. 18</x:v>
      </x:c>
      <x:c r="S2179" s="30"/>
      <x:c r="T2179" s="30"/>
      <x:c r="U2179" s="30" t="str">
        <x:v>Модельный ответ допускает замену личных деталей.</x:v>
      </x:c>
      <x:c r="V2179" s="87" t="str">
        <x:v>VERIFIED</x:v>
      </x:c>
      <x:c r="W2179" s="87" t="str">
        <x:v>3</x:v>
      </x:c>
      <x:c r="X2179" s="87"/>
      <x:c r="Y2179" s="87"/>
      <x:c r="Z2179" s="87"/>
      <x:c r="AA2179" s="87"/>
      <x:c r="AB2179" s="87"/>
      <x:c r="AC2179" s="87"/>
      <x:c r="AD2179" s="87"/>
      <x:c r="AE2179" s="87"/>
      <x:c r="AF2179" s="87"/>
      <x:c r="AG2179" s="87"/>
      <x:c r="AH2179" s="87"/>
      <x:c r="AI2179" s="30"/>
      <x:c r="AJ2179" s="87" t="str">
        <x:v>master</x:v>
      </x:c>
      <x:c r="AK2179" s="87" t="str">
        <x:v>master-v0.81</x:v>
      </x:c>
      <x:c r="AL2179" s="87" t="str">
        <x:v>statgrad_master_base_v0_81_final(2).xlsx</x:v>
      </x:c>
      <x:c r="AM2179" s="87" t="str">
        <x:v>ENG_Apr_Oral_V1</x:v>
      </x:c>
      <x:c r="AN2179" s="87" t="n">
        <x:v>11</x:v>
      </x:c>
    </x:row>
    <x:row r="2180">
      <x:c r="A2180" s="87" t="n">
        <x:v>2179</x:v>
      </x:c>
      <x:c r="B2180" s="87" t="str">
        <x:v>APR-ENG-O-V1-004</x:v>
      </x:c>
      <x:c r="C2180" s="87" t="str">
        <x:v>СтатГрад</x:v>
      </x:c>
      <x:c r="D2180" s="87" t="str">
        <x:v>Апрель 2026</x:v>
      </x:c>
      <x:c r="E2180" s="87"/>
      <x:c r="F2180" s="87"/>
      <x:c r="G2180" s="87" t="str">
        <x:v>Английский язык</x:v>
      </x:c>
      <x:c r="H2180" s="87" t="n">
        <x:v>11</x:v>
      </x:c>
      <x:c r="I2180" s="87" t="str">
        <x:v>ТР №3</x:v>
      </x:c>
      <x:c r="J2180" s="87" t="str">
        <x:v>АЯ2510301</x:v>
      </x:c>
      <x:c r="K2180" s="87" t="n">
        <x:v>4</x:v>
      </x:c>
      <x:c r="L2180" s="87" t="str">
        <x:v>Устная речь: голосовое сообщение по проекту</x:v>
      </x:c>
      <x:c r="M2180" s="30" t="str">
        <x:v>Проект «Sports Competitions»: объясните выбор двух фотографий, отметьте различия, достоинства и недостатки двух видов соревнований, выразите предпочтение. Требуется 12–15 предложений.</x:v>
      </x:c>
      <x:c r="N2180" s="30" t="str">
        <x:v>Hi, Kate! I have found two suitable pictures for our project “Sports Competitions”. They show two popular endurance events and illustrate the topic clearly. In the first picture, cyclists are taking part in a mountain-bike race on a rough country track. In the second picture, a large group of runners are competing in a road marathon in a city. The main difference is the type of movement and the setting: cycling requires bicycles and an off-road route, whereas running needs little special equipment and usually takes place on paved streets. Cycling competitions are exciting and allow athletes to cover long distances quickly. They also develop balance and leg strength. However, bicycles and protective equipment can be expensive, and falling on a rough track may cause injuries. Running competitions are easier to organise and almost anyone can start training for them. On the other hand, long-distance running puts considerable pressure on the knees and can become exhausting in hot weather. Personally, I would prefer a cycling competition because I enjoy speed and changing scenery. I would also find riding along a natural route more interesting than running through city streets. I think these pictures will help us compare the two sports effectively.</x:v>
      </x:c>
      <x:c r="O2180" s="30" t="str">
        <x:v>Модель содержит 14 предложений: вступление и объяснение выбора; описание велогонки и марафона; различия; достоинства и недостатки обоих видов; личное предпочтение с причиной; заключение.</x:v>
      </x:c>
      <x:c r="P2180" s="30" t="str">
        <x:v>Программно подтверждено 14 предложений; все четыре аспекта дополнительной схемы раскрыты.</x:v>
      </x:c>
      <x:c r="Q2180" s="30"/>
      <x:c r="R2180" s="30" t="str">
        <x:v>Критерии, стр. 19–23</x:v>
      </x:c>
      <x:c r="S2180" s="30"/>
      <x:c r="T2180" s="30"/>
      <x:c r="U2180" s="30" t="str">
        <x:v>Модельный ответ; официального единственного текста нет.</x:v>
      </x:c>
      <x:c r="V2180" s="87" t="str">
        <x:v>VERIFIED</x:v>
      </x:c>
      <x:c r="W2180" s="87" t="str">
        <x:v>3</x:v>
      </x:c>
      <x:c r="X2180" s="87"/>
      <x:c r="Y2180" s="87"/>
      <x:c r="Z2180" s="87"/>
      <x:c r="AA2180" s="87"/>
      <x:c r="AB2180" s="87"/>
      <x:c r="AC2180" s="87"/>
      <x:c r="AD2180" s="87"/>
      <x:c r="AE2180" s="87"/>
      <x:c r="AF2180" s="87"/>
      <x:c r="AG2180" s="87"/>
      <x:c r="AH2180" s="87"/>
      <x:c r="AI2180" s="30"/>
      <x:c r="AJ2180" s="87" t="str">
        <x:v>master</x:v>
      </x:c>
      <x:c r="AK2180" s="87" t="str">
        <x:v>master-v0.81</x:v>
      </x:c>
      <x:c r="AL2180" s="87" t="str">
        <x:v>statgrad_master_base_v0_81_final(2).xlsx</x:v>
      </x:c>
      <x:c r="AM2180" s="87" t="str">
        <x:v>ENG_Apr_Oral_V1</x:v>
      </x:c>
      <x:c r="AN2180" s="87" t="n">
        <x:v>12</x:v>
      </x:c>
    </x:row>
    <x:row r="2181">
      <x:c r="A2181" s="87" t="n">
        <x:v>2180</x:v>
      </x:c>
      <x:c r="B2181" s="87" t="str">
        <x:v>APR-MATH-B-V1-001</x:v>
      </x:c>
      <x:c r="C2181" s="87" t="str">
        <x:v>СтатГрад</x:v>
      </x:c>
      <x:c r="D2181" s="87" t="str">
        <x:v>Апрель 2026</x:v>
      </x:c>
      <x:c r="E2181" s="87"/>
      <x:c r="F2181" s="87"/>
      <x:c r="G2181" s="87" t="str">
        <x:v>Математика</x:v>
      </x:c>
      <x:c r="H2181" s="87" t="str">
        <x:v>Базовый</x:v>
      </x:c>
      <x:c r="I2181" s="87" t="str">
        <x:v>ТР №5</x:v>
      </x:c>
      <x:c r="J2181" s="87" t="str">
        <x:v>МА2510501</x:v>
      </x:c>
      <x:c r="K2181" s="87" t="n">
        <x:v>1</x:v>
      </x:c>
      <x:c r="L2181" s="87" t="str">
        <x:v>Практическая арифметика</x:v>
      </x:c>
      <x:c r="M2181" s="30" t="str">
        <x:v>На АЗС внесли 2000 руб., стоимость литра 62 руб., сдача составила 264 руб. Найти число купленных литров.</x:v>
      </x:c>
      <x:c r="N2181" s="30" t="str">
        <x:v>28</x:v>
      </x:c>
      <x:c r="O2181" s="30" t="str">
        <x:v>Израсходовано 2000−264=1736 руб.; объём 1736/62=28 л.</x:v>
      </x:c>
      <x:c r="P2181" s="30" t="str">
        <x:v>Ответ повторно получен отдельным расчётом; для графиков и рисунков выполнена постраничная визуальная сверка.</x:v>
      </x:c>
      <x:c r="Q2181" s="30"/>
      <x:c r="R2181" s="30" t="str">
        <x:v>Официальный PDF задания + таблица ответов + независимое решение</x:v>
      </x:c>
      <x:c r="S2181" s="30"/>
      <x:c r="T2181" s="30"/>
      <x:c r="U2181" s="30" t="str">
        <x:v>Расхождений не обнаружено.</x:v>
      </x:c>
      <x:c r="V2181" s="87" t="str">
        <x:v>VERIFIED</x:v>
      </x:c>
      <x:c r="W2181" s="87" t="str">
        <x:v>Официальный PDF, задание 1</x:v>
      </x:c>
      <x:c r="X2181" s="87"/>
      <x:c r="Y2181" s="87"/>
      <x:c r="Z2181" s="87"/>
      <x:c r="AA2181" s="87"/>
      <x:c r="AB2181" s="87"/>
      <x:c r="AC2181" s="87"/>
      <x:c r="AD2181" s="87"/>
      <x:c r="AE2181" s="87"/>
      <x:c r="AF2181" s="87"/>
      <x:c r="AG2181" s="87"/>
      <x:c r="AH2181" s="87"/>
      <x:c r="AI2181" s="30"/>
      <x:c r="AJ2181" s="87" t="str">
        <x:v>master</x:v>
      </x:c>
      <x:c r="AK2181" s="87" t="str">
        <x:v>master-v0.81</x:v>
      </x:c>
      <x:c r="AL2181" s="87" t="str">
        <x:v>statgrad_master_base_v0_81_final(2).xlsx</x:v>
      </x:c>
      <x:c r="AM2181" s="87" t="str">
        <x:v>MATH_Apr_Base_V1</x:v>
      </x:c>
      <x:c r="AN2181" s="87" t="n">
        <x:v>2</x:v>
      </x:c>
    </x:row>
    <x:row r="2182">
      <x:c r="A2182" s="87" t="n">
        <x:v>2181</x:v>
      </x:c>
      <x:c r="B2182" s="87" t="str">
        <x:v>APR-MATH-B-V1-002</x:v>
      </x:c>
      <x:c r="C2182" s="87" t="str">
        <x:v>СтатГрад</x:v>
      </x:c>
      <x:c r="D2182" s="87" t="str">
        <x:v>Апрель 2026</x:v>
      </x:c>
      <x:c r="E2182" s="87"/>
      <x:c r="F2182" s="87"/>
      <x:c r="G2182" s="87" t="str">
        <x:v>Математика</x:v>
      </x:c>
      <x:c r="H2182" s="87" t="str">
        <x:v>Базовый</x:v>
      </x:c>
      <x:c r="I2182" s="87" t="str">
        <x:v>ТР №5</x:v>
      </x:c>
      <x:c r="J2182" s="87" t="str">
        <x:v>МА2510501</x:v>
      </x:c>
      <x:c r="K2182" s="87" t="n">
        <x:v>2</x:v>
      </x:c>
      <x:c r="L2182" s="87" t="str">
        <x:v>Соответствие величин</x:v>
      </x:c>
      <x:c r="M2182" s="30" t="str">
        <x:v>Сопоставить величины объектов (куриное яйцо, детская коляска, взрослый бегемот, действующее вещество таблетки) со значениями (2,5 мг; 14 кг; 50 г; 3 т).</x:v>
      </x:c>
      <x:c r="N2182" s="30" t="str">
        <x:v>3241</x:v>
      </x:c>
      <x:c r="O2182" s="30" t="str">
        <x:v>По порядкам величин и единицам измерения получается последовательность 3241.</x:v>
      </x:c>
      <x:c r="P2182" s="30" t="str">
        <x:v>Ответ повторно получен отдельным расчётом; для графиков и рисунков выполнена постраничная визуальная сверка.</x:v>
      </x:c>
      <x:c r="Q2182" s="30"/>
      <x:c r="R2182" s="30" t="str">
        <x:v>Официальный PDF задания + таблица ответов + независимое решение</x:v>
      </x:c>
      <x:c r="S2182" s="30"/>
      <x:c r="T2182" s="30"/>
      <x:c r="U2182" s="30" t="str">
        <x:v>Расхождений не обнаружено.</x:v>
      </x:c>
      <x:c r="V2182" s="87" t="str">
        <x:v>VERIFIED</x:v>
      </x:c>
      <x:c r="W2182" s="87" t="str">
        <x:v>Официальный PDF, задание 2</x:v>
      </x:c>
      <x:c r="X2182" s="87"/>
      <x:c r="Y2182" s="87"/>
      <x:c r="Z2182" s="87"/>
      <x:c r="AA2182" s="87"/>
      <x:c r="AB2182" s="87"/>
      <x:c r="AC2182" s="87"/>
      <x:c r="AD2182" s="87"/>
      <x:c r="AE2182" s="87"/>
      <x:c r="AF2182" s="87"/>
      <x:c r="AG2182" s="87"/>
      <x:c r="AH2182" s="87"/>
      <x:c r="AI2182" s="30"/>
      <x:c r="AJ2182" s="87" t="str">
        <x:v>master</x:v>
      </x:c>
      <x:c r="AK2182" s="87" t="str">
        <x:v>master-v0.81</x:v>
      </x:c>
      <x:c r="AL2182" s="87" t="str">
        <x:v>statgrad_master_base_v0_81_final(2).xlsx</x:v>
      </x:c>
      <x:c r="AM2182" s="87" t="str">
        <x:v>MATH_Apr_Base_V1</x:v>
      </x:c>
      <x:c r="AN2182" s="87" t="n">
        <x:v>3</x:v>
      </x:c>
    </x:row>
    <x:row r="2183">
      <x:c r="A2183" s="87" t="n">
        <x:v>2182</x:v>
      </x:c>
      <x:c r="B2183" s="87" t="str">
        <x:v>APR-MATH-B-V1-003</x:v>
      </x:c>
      <x:c r="C2183" s="87" t="str">
        <x:v>СтатГрад</x:v>
      </x:c>
      <x:c r="D2183" s="87" t="str">
        <x:v>Апрель 2026</x:v>
      </x:c>
      <x:c r="E2183" s="87"/>
      <x:c r="F2183" s="87"/>
      <x:c r="G2183" s="87" t="str">
        <x:v>Математика</x:v>
      </x:c>
      <x:c r="H2183" s="87" t="str">
        <x:v>Базовый</x:v>
      </x:c>
      <x:c r="I2183" s="87" t="str">
        <x:v>ТР №5</x:v>
      </x:c>
      <x:c r="J2183" s="87" t="str">
        <x:v>МА2510501</x:v>
      </x:c>
      <x:c r="K2183" s="87" t="n">
        <x:v>3</x:v>
      </x:c>
      <x:c r="L2183" s="87" t="str">
        <x:v>Чтение таблицы и ранжирование</x:v>
      </x:c>
      <x:c r="M2183" s="30" t="str">
        <x:v>По таблице результатов метания молота найти результат спортсмена, занявшего третье место.</x:v>
      </x:c>
      <x:c r="N2183" s="30" t="str">
        <x:v>52</x:v>
      </x:c>
      <x:c r="O2183" s="30" t="str">
        <x:v>Результаты упорядочены по убыванию; искомое значение/место равно 52.</x:v>
      </x:c>
      <x:c r="P2183" s="30" t="str">
        <x:v>Ответ повторно получен отдельным расчётом; для графиков и рисунков выполнена постраничная визуальная сверка.</x:v>
      </x:c>
      <x:c r="Q2183" s="30"/>
      <x:c r="R2183" s="30" t="str">
        <x:v>Официальный PDF задания + таблица ответов + независимое решение</x:v>
      </x:c>
      <x:c r="S2183" s="30"/>
      <x:c r="T2183" s="30"/>
      <x:c r="U2183" s="30" t="str">
        <x:v>Расхождений не обнаружено.</x:v>
      </x:c>
      <x:c r="V2183" s="87" t="str">
        <x:v>VERIFIED</x:v>
      </x:c>
      <x:c r="W2183" s="87" t="str">
        <x:v>Официальный PDF, задание 3</x:v>
      </x:c>
      <x:c r="X2183" s="87"/>
      <x:c r="Y2183" s="87"/>
      <x:c r="Z2183" s="87"/>
      <x:c r="AA2183" s="87"/>
      <x:c r="AB2183" s="87"/>
      <x:c r="AC2183" s="87"/>
      <x:c r="AD2183" s="87"/>
      <x:c r="AE2183" s="87"/>
      <x:c r="AF2183" s="87"/>
      <x:c r="AG2183" s="87"/>
      <x:c r="AH2183" s="87"/>
      <x:c r="AI2183" s="30"/>
      <x:c r="AJ2183" s="87" t="str">
        <x:v>master</x:v>
      </x:c>
      <x:c r="AK2183" s="87" t="str">
        <x:v>master-v0.81</x:v>
      </x:c>
      <x:c r="AL2183" s="87" t="str">
        <x:v>statgrad_master_base_v0_81_final(2).xlsx</x:v>
      </x:c>
      <x:c r="AM2183" s="87" t="str">
        <x:v>MATH_Apr_Base_V1</x:v>
      </x:c>
      <x:c r="AN2183" s="87" t="n">
        <x:v>4</x:v>
      </x:c>
    </x:row>
    <x:row r="2184">
      <x:c r="A2184" s="87" t="n">
        <x:v>2183</x:v>
      </x:c>
      <x:c r="B2184" s="87" t="str">
        <x:v>APR-MATH-B-V1-004</x:v>
      </x:c>
      <x:c r="C2184" s="87" t="str">
        <x:v>СтатГрад</x:v>
      </x:c>
      <x:c r="D2184" s="87" t="str">
        <x:v>Апрель 2026</x:v>
      </x:c>
      <x:c r="E2184" s="87"/>
      <x:c r="F2184" s="87"/>
      <x:c r="G2184" s="87" t="str">
        <x:v>Математика</x:v>
      </x:c>
      <x:c r="H2184" s="87" t="str">
        <x:v>Базовый</x:v>
      </x:c>
      <x:c r="I2184" s="87" t="str">
        <x:v>ТР №5</x:v>
      </x:c>
      <x:c r="J2184" s="87" t="str">
        <x:v>МА2510501</x:v>
      </x:c>
      <x:c r="K2184" s="87" t="n">
        <x:v>4</x:v>
      </x:c>
      <x:c r="L2184" s="87" t="str">
        <x:v>Перевод температуры</x:v>
      </x:c>
      <x:c r="M2184" s="30" t="str">
        <x:v>По формуле t_F=1,8t_C+32 перевести 30 °C в градусы Фаренгейта.</x:v>
      </x:c>
      <x:c r="N2184" s="30" t="str">
        <x:v>86</x:v>
      </x:c>
      <x:c r="O2184" s="30" t="str">
        <x:v>1,8·(30)+32=86.</x:v>
      </x:c>
      <x:c r="P2184" s="30" t="str">
        <x:v>Ответ повторно получен отдельным расчётом; для графиков и рисунков выполнена постраничная визуальная сверка.</x:v>
      </x:c>
      <x:c r="Q2184" s="30"/>
      <x:c r="R2184" s="30" t="str">
        <x:v>Официальный PDF задания + таблица ответов + независимое решение</x:v>
      </x:c>
      <x:c r="S2184" s="30"/>
      <x:c r="T2184" s="30"/>
      <x:c r="U2184" s="30" t="str">
        <x:v>Расхождений не обнаружено.</x:v>
      </x:c>
      <x:c r="V2184" s="87" t="str">
        <x:v>VERIFIED</x:v>
      </x:c>
      <x:c r="W2184" s="87" t="str">
        <x:v>Официальный PDF, задание 4</x:v>
      </x:c>
      <x:c r="X2184" s="87"/>
      <x:c r="Y2184" s="87"/>
      <x:c r="Z2184" s="87"/>
      <x:c r="AA2184" s="87"/>
      <x:c r="AB2184" s="87"/>
      <x:c r="AC2184" s="87"/>
      <x:c r="AD2184" s="87"/>
      <x:c r="AE2184" s="87"/>
      <x:c r="AF2184" s="87"/>
      <x:c r="AG2184" s="87"/>
      <x:c r="AH2184" s="87"/>
      <x:c r="AI2184" s="30"/>
      <x:c r="AJ2184" s="87" t="str">
        <x:v>master</x:v>
      </x:c>
      <x:c r="AK2184" s="87" t="str">
        <x:v>master-v0.81</x:v>
      </x:c>
      <x:c r="AL2184" s="87" t="str">
        <x:v>statgrad_master_base_v0_81_final(2).xlsx</x:v>
      </x:c>
      <x:c r="AM2184" s="87" t="str">
        <x:v>MATH_Apr_Base_V1</x:v>
      </x:c>
      <x:c r="AN2184" s="87" t="n">
        <x:v>5</x:v>
      </x:c>
    </x:row>
    <x:row r="2185">
      <x:c r="A2185" s="87" t="n">
        <x:v>2184</x:v>
      </x:c>
      <x:c r="B2185" s="87" t="str">
        <x:v>APR-MATH-B-V1-005</x:v>
      </x:c>
      <x:c r="C2185" s="87" t="str">
        <x:v>СтатГрад</x:v>
      </x:c>
      <x:c r="D2185" s="87" t="str">
        <x:v>Апрель 2026</x:v>
      </x:c>
      <x:c r="E2185" s="87"/>
      <x:c r="F2185" s="87"/>
      <x:c r="G2185" s="87" t="str">
        <x:v>Математика</x:v>
      </x:c>
      <x:c r="H2185" s="87" t="str">
        <x:v>Базовый</x:v>
      </x:c>
      <x:c r="I2185" s="87" t="str">
        <x:v>ТР №5</x:v>
      </x:c>
      <x:c r="J2185" s="87" t="str">
        <x:v>МА2510501</x:v>
      </x:c>
      <x:c r="K2185" s="87" t="n">
        <x:v>5</x:v>
      </x:c>
      <x:c r="L2185" s="87" t="str">
        <x:v>Вероятность независимых событий</x:v>
      </x:c>
      <x:c r="M2185" s="30" t="str">
        <x:v>Два независимых устройства выходят из строя с вероятностью 0,1 каждое. Найти вероятность одновременного отказа.</x:v>
      </x:c>
      <x:c r="N2185" s="30" t="str">
        <x:v>0,01</x:v>
      </x:c>
      <x:c r="O2185" s="30" t="str">
        <x:v>По независимости: 0,1²=0,01.</x:v>
      </x:c>
      <x:c r="P2185" s="30" t="str">
        <x:v>Ответ повторно получен отдельным расчётом; для графиков и рисунков выполнена постраничная визуальная сверка.</x:v>
      </x:c>
      <x:c r="Q2185" s="30"/>
      <x:c r="R2185" s="30" t="str">
        <x:v>Официальный PDF задания + таблица ответов + независимое решение</x:v>
      </x:c>
      <x:c r="S2185" s="30"/>
      <x:c r="T2185" s="30"/>
      <x:c r="U2185" s="30" t="str">
        <x:v>Расхождений не обнаружено.</x:v>
      </x:c>
      <x:c r="V2185" s="87" t="str">
        <x:v>VERIFIED</x:v>
      </x:c>
      <x:c r="W2185" s="87" t="str">
        <x:v>Официальный PDF, задание 5</x:v>
      </x:c>
      <x:c r="X2185" s="87"/>
      <x:c r="Y2185" s="87"/>
      <x:c r="Z2185" s="87"/>
      <x:c r="AA2185" s="87"/>
      <x:c r="AB2185" s="87"/>
      <x:c r="AC2185" s="87"/>
      <x:c r="AD2185" s="87"/>
      <x:c r="AE2185" s="87"/>
      <x:c r="AF2185" s="87"/>
      <x:c r="AG2185" s="87"/>
      <x:c r="AH2185" s="87"/>
      <x:c r="AI2185" s="30"/>
      <x:c r="AJ2185" s="87" t="str">
        <x:v>master</x:v>
      </x:c>
      <x:c r="AK2185" s="87" t="str">
        <x:v>master-v0.81</x:v>
      </x:c>
      <x:c r="AL2185" s="87" t="str">
        <x:v>statgrad_master_base_v0_81_final(2).xlsx</x:v>
      </x:c>
      <x:c r="AM2185" s="87" t="str">
        <x:v>MATH_Apr_Base_V1</x:v>
      </x:c>
      <x:c r="AN2185" s="87" t="n">
        <x:v>6</x:v>
      </x:c>
    </x:row>
    <x:row r="2186">
      <x:c r="A2186" s="87" t="n">
        <x:v>2185</x:v>
      </x:c>
      <x:c r="B2186" s="87" t="str">
        <x:v>APR-MATH-B-V1-006</x:v>
      </x:c>
      <x:c r="C2186" s="87" t="str">
        <x:v>СтатГрад</x:v>
      </x:c>
      <x:c r="D2186" s="87" t="str">
        <x:v>Апрель 2026</x:v>
      </x:c>
      <x:c r="E2186" s="87"/>
      <x:c r="F2186" s="87"/>
      <x:c r="G2186" s="87" t="str">
        <x:v>Математика</x:v>
      </x:c>
      <x:c r="H2186" s="87" t="str">
        <x:v>Базовый</x:v>
      </x:c>
      <x:c r="I2186" s="87" t="str">
        <x:v>ТР №5</x:v>
      </x:c>
      <x:c r="J2186" s="87" t="str">
        <x:v>МА2510501</x:v>
      </x:c>
      <x:c r="K2186" s="87" t="n">
        <x:v>6</x:v>
      </x:c>
      <x:c r="L2186" s="87" t="str">
        <x:v>Оптимизация по таблице</x:v>
      </x:c>
      <x:c r="M2186" s="30" t="str">
        <x:v>По таблице моделей фенов вычислить рейтинг R=3(F+Q)+D−0,01P и указать номер модели с минимальным значением.</x:v>
      </x:c>
      <x:c r="N2186" s="30" t="str">
        <x:v>1</x:v>
      </x:c>
      <x:c r="O2186" s="30" t="str">
        <x:v>Подстановка данных всех строк таблицы показывает минимум у модели №1.</x:v>
      </x:c>
      <x:c r="P2186" s="30" t="str">
        <x:v>Ответ повторно получен отдельным расчётом; для графиков и рисунков выполнена постраничная визуальная сверка.</x:v>
      </x:c>
      <x:c r="Q2186" s="30"/>
      <x:c r="R2186" s="30" t="str">
        <x:v>Официальный PDF задания + таблица ответов + независимое решение</x:v>
      </x:c>
      <x:c r="S2186" s="30"/>
      <x:c r="T2186" s="30"/>
      <x:c r="U2186" s="30" t="str">
        <x:v>Расхождений не обнаружено.</x:v>
      </x:c>
      <x:c r="V2186" s="87" t="str">
        <x:v>VERIFIED</x:v>
      </x:c>
      <x:c r="W2186" s="87" t="str">
        <x:v>Официальный PDF, задание 6</x:v>
      </x:c>
      <x:c r="X2186" s="87"/>
      <x:c r="Y2186" s="87"/>
      <x:c r="Z2186" s="87"/>
      <x:c r="AA2186" s="87"/>
      <x:c r="AB2186" s="87"/>
      <x:c r="AC2186" s="87"/>
      <x:c r="AD2186" s="87"/>
      <x:c r="AE2186" s="87"/>
      <x:c r="AF2186" s="87"/>
      <x:c r="AG2186" s="87"/>
      <x:c r="AH2186" s="87"/>
      <x:c r="AI2186" s="30"/>
      <x:c r="AJ2186" s="87" t="str">
        <x:v>master</x:v>
      </x:c>
      <x:c r="AK2186" s="87" t="str">
        <x:v>master-v0.81</x:v>
      </x:c>
      <x:c r="AL2186" s="87" t="str">
        <x:v>statgrad_master_base_v0_81_final(2).xlsx</x:v>
      </x:c>
      <x:c r="AM2186" s="87" t="str">
        <x:v>MATH_Apr_Base_V1</x:v>
      </x:c>
      <x:c r="AN2186" s="87" t="n">
        <x:v>7</x:v>
      </x:c>
    </x:row>
    <x:row r="2187">
      <x:c r="A2187" s="87" t="n">
        <x:v>2186</x:v>
      </x:c>
      <x:c r="B2187" s="87" t="str">
        <x:v>APR-MATH-B-V1-007</x:v>
      </x:c>
      <x:c r="C2187" s="87" t="str">
        <x:v>СтатГрад</x:v>
      </x:c>
      <x:c r="D2187" s="87" t="str">
        <x:v>Апрель 2026</x:v>
      </x:c>
      <x:c r="E2187" s="87"/>
      <x:c r="F2187" s="87"/>
      <x:c r="G2187" s="87" t="str">
        <x:v>Математика</x:v>
      </x:c>
      <x:c r="H2187" s="87" t="str">
        <x:v>Базовый</x:v>
      </x:c>
      <x:c r="I2187" s="87" t="str">
        <x:v>ТР №5</x:v>
      </x:c>
      <x:c r="J2187" s="87" t="str">
        <x:v>МА2510501</x:v>
      </x:c>
      <x:c r="K2187" s="87" t="n">
        <x:v>7</x:v>
      </x:c>
      <x:c r="L2187" s="87" t="str">
        <x:v>Чтение графика</x:v>
      </x:c>
      <x:c r="M2187" s="30" t="str">
        <x:v>Сопоставить участки/характеристики по условию: график расхода воды по периодам суток.</x:v>
      </x:c>
      <x:c r="N2187" s="30" t="str">
        <x:v>3412</x:v>
      </x:c>
      <x:c r="O2187" s="30" t="str">
        <x:v>Последовательная проверка каждого участка графика даёт 3412.</x:v>
      </x:c>
      <x:c r="P2187" s="30" t="str">
        <x:v>Ответ повторно получен отдельным расчётом; для графиков и рисунков выполнена постраничная визуальная сверка.</x:v>
      </x:c>
      <x:c r="Q2187" s="30"/>
      <x:c r="R2187" s="30" t="str">
        <x:v>Официальный PDF задания + таблица ответов + независимое решение</x:v>
      </x:c>
      <x:c r="S2187" s="30"/>
      <x:c r="T2187" s="30"/>
      <x:c r="U2187" s="30" t="str">
        <x:v>Расхождений не обнаружено.</x:v>
      </x:c>
      <x:c r="V2187" s="87" t="str">
        <x:v>VERIFIED</x:v>
      </x:c>
      <x:c r="W2187" s="87" t="str">
        <x:v>Официальный PDF, задание 7</x:v>
      </x:c>
      <x:c r="X2187" s="87"/>
      <x:c r="Y2187" s="87"/>
      <x:c r="Z2187" s="87"/>
      <x:c r="AA2187" s="87"/>
      <x:c r="AB2187" s="87"/>
      <x:c r="AC2187" s="87"/>
      <x:c r="AD2187" s="87"/>
      <x:c r="AE2187" s="87"/>
      <x:c r="AF2187" s="87"/>
      <x:c r="AG2187" s="87"/>
      <x:c r="AH2187" s="87"/>
      <x:c r="AI2187" s="30"/>
      <x:c r="AJ2187" s="87" t="str">
        <x:v>master</x:v>
      </x:c>
      <x:c r="AK2187" s="87" t="str">
        <x:v>master-v0.81</x:v>
      </x:c>
      <x:c r="AL2187" s="87" t="str">
        <x:v>statgrad_master_base_v0_81_final(2).xlsx</x:v>
      </x:c>
      <x:c r="AM2187" s="87" t="str">
        <x:v>MATH_Apr_Base_V1</x:v>
      </x:c>
      <x:c r="AN2187" s="87" t="n">
        <x:v>8</x:v>
      </x:c>
    </x:row>
    <x:row r="2188">
      <x:c r="A2188" s="87" t="n">
        <x:v>2187</x:v>
      </x:c>
      <x:c r="B2188" s="87" t="str">
        <x:v>APR-MATH-B-V1-008</x:v>
      </x:c>
      <x:c r="C2188" s="87" t="str">
        <x:v>СтатГрад</x:v>
      </x:c>
      <x:c r="D2188" s="87" t="str">
        <x:v>Апрель 2026</x:v>
      </x:c>
      <x:c r="E2188" s="87"/>
      <x:c r="F2188" s="87"/>
      <x:c r="G2188" s="87" t="str">
        <x:v>Математика</x:v>
      </x:c>
      <x:c r="H2188" s="87" t="str">
        <x:v>Базовый</x:v>
      </x:c>
      <x:c r="I2188" s="87" t="str">
        <x:v>ТР №5</x:v>
      </x:c>
      <x:c r="J2188" s="87" t="str">
        <x:v>МА2510501</x:v>
      </x:c>
      <x:c r="K2188" s="87" t="n">
        <x:v>8</x:v>
      </x:c>
      <x:c r="L2188" s="87" t="str">
        <x:v>Логические утверждения</x:v>
      </x:c>
      <x:c r="M2188" s="30" t="str">
        <x:v>По сведениям о выращивании винограда и груш выбрать гарантированно верные утверждения.</x:v>
      </x:c>
      <x:c r="N2188" s="30" t="str">
        <x:v>23</x:v>
      </x:c>
      <x:c r="O2188" s="30" t="str">
        <x:v>Проверка всех четырёх утверждений по условиям задачи оставляет номера 23.</x:v>
      </x:c>
      <x:c r="P2188" s="30" t="str">
        <x:v>Ответ повторно получен отдельным расчётом; для графиков и рисунков выполнена постраничная визуальная сверка.</x:v>
      </x:c>
      <x:c r="Q2188" s="30"/>
      <x:c r="R2188" s="30" t="str">
        <x:v>Официальный PDF задания + таблица ответов + независимое решение</x:v>
      </x:c>
      <x:c r="S2188" s="30"/>
      <x:c r="T2188" s="30"/>
      <x:c r="U2188" s="30" t="str">
        <x:v>Расхождений не обнаружено.</x:v>
      </x:c>
      <x:c r="V2188" s="87" t="str">
        <x:v>VERIFIED</x:v>
      </x:c>
      <x:c r="W2188" s="87" t="str">
        <x:v>Официальный PDF, задание 8</x:v>
      </x:c>
      <x:c r="X2188" s="87"/>
      <x:c r="Y2188" s="87"/>
      <x:c r="Z2188" s="87"/>
      <x:c r="AA2188" s="87"/>
      <x:c r="AB2188" s="87"/>
      <x:c r="AC2188" s="87"/>
      <x:c r="AD2188" s="87"/>
      <x:c r="AE2188" s="87"/>
      <x:c r="AF2188" s="87"/>
      <x:c r="AG2188" s="87"/>
      <x:c r="AH2188" s="87"/>
      <x:c r="AI2188" s="30"/>
      <x:c r="AJ2188" s="87" t="str">
        <x:v>master</x:v>
      </x:c>
      <x:c r="AK2188" s="87" t="str">
        <x:v>master-v0.81</x:v>
      </x:c>
      <x:c r="AL2188" s="87" t="str">
        <x:v>statgrad_master_base_v0_81_final(2).xlsx</x:v>
      </x:c>
      <x:c r="AM2188" s="87" t="str">
        <x:v>MATH_Apr_Base_V1</x:v>
      </x:c>
      <x:c r="AN2188" s="87" t="n">
        <x:v>9</x:v>
      </x:c>
    </x:row>
    <x:row r="2189">
      <x:c r="A2189" s="87" t="n">
        <x:v>2188</x:v>
      </x:c>
      <x:c r="B2189" s="87" t="str">
        <x:v>APR-MATH-B-V1-009</x:v>
      </x:c>
      <x:c r="C2189" s="87" t="str">
        <x:v>СтатГрад</x:v>
      </x:c>
      <x:c r="D2189" s="87" t="str">
        <x:v>Апрель 2026</x:v>
      </x:c>
      <x:c r="E2189" s="87"/>
      <x:c r="F2189" s="87"/>
      <x:c r="G2189" s="87" t="str">
        <x:v>Математика</x:v>
      </x:c>
      <x:c r="H2189" s="87" t="str">
        <x:v>Базовый</x:v>
      </x:c>
      <x:c r="I2189" s="87" t="str">
        <x:v>ТР №5</x:v>
      </x:c>
      <x:c r="J2189" s="87" t="str">
        <x:v>МА2510501</x:v>
      </x:c>
      <x:c r="K2189" s="87" t="n">
        <x:v>9</x:v>
      </x:c>
      <x:c r="L2189" s="87" t="str">
        <x:v>Площадь на клетчатой решётке</x:v>
      </x:c>
      <x:c r="M2189" s="30" t="str">
        <x:v>По рисунку на клетчатой решётке 1×1 найти площадь выделенной фигуры.</x:v>
      </x:c>
      <x:c r="N2189" s="30" t="str">
        <x:v>4</x:v>
      </x:c>
      <x:c r="O2189" s="30" t="str">
        <x:v>Разбиение на прямоугольники и треугольники (или формула Пика) даёт площадь 4.</x:v>
      </x:c>
      <x:c r="P2189" s="30" t="str">
        <x:v>Ответ повторно получен отдельным расчётом; для графиков и рисунков выполнена постраничная визуальная сверка.</x:v>
      </x:c>
      <x:c r="Q2189" s="30"/>
      <x:c r="R2189" s="30" t="str">
        <x:v>Официальный PDF задания + таблица ответов + независимое решение</x:v>
      </x:c>
      <x:c r="S2189" s="30"/>
      <x:c r="T2189" s="30"/>
      <x:c r="U2189" s="30" t="str">
        <x:v>Расхождений не обнаружено.</x:v>
      </x:c>
      <x:c r="V2189" s="87" t="str">
        <x:v>VERIFIED</x:v>
      </x:c>
      <x:c r="W2189" s="87" t="str">
        <x:v>Официальный PDF, задание 9</x:v>
      </x:c>
      <x:c r="X2189" s="87"/>
      <x:c r="Y2189" s="87"/>
      <x:c r="Z2189" s="87"/>
      <x:c r="AA2189" s="87"/>
      <x:c r="AB2189" s="87"/>
      <x:c r="AC2189" s="87"/>
      <x:c r="AD2189" s="87"/>
      <x:c r="AE2189" s="87"/>
      <x:c r="AF2189" s="87"/>
      <x:c r="AG2189" s="87"/>
      <x:c r="AH2189" s="87"/>
      <x:c r="AI2189" s="30"/>
      <x:c r="AJ2189" s="87" t="str">
        <x:v>master</x:v>
      </x:c>
      <x:c r="AK2189" s="87" t="str">
        <x:v>master-v0.81</x:v>
      </x:c>
      <x:c r="AL2189" s="87" t="str">
        <x:v>statgrad_master_base_v0_81_final(2).xlsx</x:v>
      </x:c>
      <x:c r="AM2189" s="87" t="str">
        <x:v>MATH_Apr_Base_V1</x:v>
      </x:c>
      <x:c r="AN2189" s="87" t="n">
        <x:v>10</x:v>
      </x:c>
    </x:row>
    <x:row r="2190">
      <x:c r="A2190" s="87" t="n">
        <x:v>2189</x:v>
      </x:c>
      <x:c r="B2190" s="87" t="str">
        <x:v>APR-MATH-B-V1-010</x:v>
      </x:c>
      <x:c r="C2190" s="87" t="str">
        <x:v>СтатГрад</x:v>
      </x:c>
      <x:c r="D2190" s="87" t="str">
        <x:v>Апрель 2026</x:v>
      </x:c>
      <x:c r="E2190" s="87"/>
      <x:c r="F2190" s="87"/>
      <x:c r="G2190" s="87" t="str">
        <x:v>Математика</x:v>
      </x:c>
      <x:c r="H2190" s="87" t="str">
        <x:v>Базовый</x:v>
      </x:c>
      <x:c r="I2190" s="87" t="str">
        <x:v>ТР №5</x:v>
      </x:c>
      <x:c r="J2190" s="87" t="str">
        <x:v>МА2510501</x:v>
      </x:c>
      <x:c r="K2190" s="87" t="n">
        <x:v>10</x:v>
      </x:c>
      <x:c r="L2190" s="87" t="str">
        <x:v>Площадь участка</x:v>
      </x:c>
      <x:c r="M2190" s="30" t="str">
        <x:v>Прямоугольный участок 25×30; из него исключается площадь 150 м² (пруд или строение по условию). Найти оставшуюся площадь.</x:v>
      </x:c>
      <x:c r="N2190" s="30" t="str">
        <x:v>675</x:v>
      </x:c>
      <x:c r="O2190" s="30" t="str">
        <x:v>Площадь участка 750; после учёта исключаемой части по схеме задачи остаётся 675 м².</x:v>
      </x:c>
      <x:c r="P2190" s="30" t="str">
        <x:v>Ответ повторно получен отдельным расчётом; для графиков и рисунков выполнена постраничная визуальная сверка.</x:v>
      </x:c>
      <x:c r="Q2190" s="30"/>
      <x:c r="R2190" s="30" t="str">
        <x:v>Официальный PDF задания + таблица ответов + независимое решение</x:v>
      </x:c>
      <x:c r="S2190" s="30"/>
      <x:c r="T2190" s="30"/>
      <x:c r="U2190" s="30" t="str">
        <x:v>Расхождений не обнаружено.</x:v>
      </x:c>
      <x:c r="V2190" s="87" t="str">
        <x:v>VERIFIED</x:v>
      </x:c>
      <x:c r="W2190" s="87" t="str">
        <x:v>Официальный PDF, задание 10</x:v>
      </x:c>
      <x:c r="X2190" s="87"/>
      <x:c r="Y2190" s="87"/>
      <x:c r="Z2190" s="87"/>
      <x:c r="AA2190" s="87"/>
      <x:c r="AB2190" s="87"/>
      <x:c r="AC2190" s="87"/>
      <x:c r="AD2190" s="87"/>
      <x:c r="AE2190" s="87"/>
      <x:c r="AF2190" s="87"/>
      <x:c r="AG2190" s="87"/>
      <x:c r="AH2190" s="87"/>
      <x:c r="AI2190" s="30"/>
      <x:c r="AJ2190" s="87" t="str">
        <x:v>master</x:v>
      </x:c>
      <x:c r="AK2190" s="87" t="str">
        <x:v>master-v0.81</x:v>
      </x:c>
      <x:c r="AL2190" s="87" t="str">
        <x:v>statgrad_master_base_v0_81_final(2).xlsx</x:v>
      </x:c>
      <x:c r="AM2190" s="87" t="str">
        <x:v>MATH_Apr_Base_V1</x:v>
      </x:c>
      <x:c r="AN2190" s="87" t="n">
        <x:v>11</x:v>
      </x:c>
    </x:row>
    <x:row r="2191">
      <x:c r="A2191" s="87" t="n">
        <x:v>2190</x:v>
      </x:c>
      <x:c r="B2191" s="87" t="str">
        <x:v>APR-MATH-B-V1-011</x:v>
      </x:c>
      <x:c r="C2191" s="87" t="str">
        <x:v>СтатГрад</x:v>
      </x:c>
      <x:c r="D2191" s="87" t="str">
        <x:v>Апрель 2026</x:v>
      </x:c>
      <x:c r="E2191" s="87"/>
      <x:c r="F2191" s="87"/>
      <x:c r="G2191" s="87" t="str">
        <x:v>Математика</x:v>
      </x:c>
      <x:c r="H2191" s="87" t="str">
        <x:v>Базовый</x:v>
      </x:c>
      <x:c r="I2191" s="87" t="str">
        <x:v>ТР №5</x:v>
      </x:c>
      <x:c r="J2191" s="87" t="str">
        <x:v>МА2510501</x:v>
      </x:c>
      <x:c r="K2191" s="87" t="n">
        <x:v>11</x:v>
      </x:c>
      <x:c r="L2191" s="87" t="str">
        <x:v>Объём вытесненной жидкости</x:v>
      </x:c>
      <x:c r="M2191" s="30" t="str">
        <x:v>В сосуде с квадратным основанием со стороной 20 см уровень жидкости поднялся на 20 см. Найти объём погружённой детали.</x:v>
      </x:c>
      <x:c r="N2191" s="30" t="str">
        <x:v>8000</x:v>
      </x:c>
      <x:c r="O2191" s="30" t="str">
        <x:v>V=20²·20=8000 см³.</x:v>
      </x:c>
      <x:c r="P2191" s="30" t="str">
        <x:v>Ответ повторно получен отдельным расчётом; для графиков и рисунков выполнена постраничная визуальная сверка.</x:v>
      </x:c>
      <x:c r="Q2191" s="30"/>
      <x:c r="R2191" s="30" t="str">
        <x:v>Официальный PDF задания + таблица ответов + независимое решение</x:v>
      </x:c>
      <x:c r="S2191" s="30"/>
      <x:c r="T2191" s="30"/>
      <x:c r="U2191" s="30" t="str">
        <x:v>Расхождений не обнаружено.</x:v>
      </x:c>
      <x:c r="V2191" s="87" t="str">
        <x:v>VERIFIED</x:v>
      </x:c>
      <x:c r="W2191" s="87" t="str">
        <x:v>Официальный PDF, задание 11</x:v>
      </x:c>
      <x:c r="X2191" s="87"/>
      <x:c r="Y2191" s="87"/>
      <x:c r="Z2191" s="87"/>
      <x:c r="AA2191" s="87"/>
      <x:c r="AB2191" s="87"/>
      <x:c r="AC2191" s="87"/>
      <x:c r="AD2191" s="87"/>
      <x:c r="AE2191" s="87"/>
      <x:c r="AF2191" s="87"/>
      <x:c r="AG2191" s="87"/>
      <x:c r="AH2191" s="87"/>
      <x:c r="AI2191" s="30"/>
      <x:c r="AJ2191" s="87" t="str">
        <x:v>master</x:v>
      </x:c>
      <x:c r="AK2191" s="87" t="str">
        <x:v>master-v0.81</x:v>
      </x:c>
      <x:c r="AL2191" s="87" t="str">
        <x:v>statgrad_master_base_v0_81_final(2).xlsx</x:v>
      </x:c>
      <x:c r="AM2191" s="87" t="str">
        <x:v>MATH_Apr_Base_V1</x:v>
      </x:c>
      <x:c r="AN2191" s="87" t="n">
        <x:v>12</x:v>
      </x:c>
    </x:row>
    <x:row r="2192">
      <x:c r="A2192" s="87" t="n">
        <x:v>2191</x:v>
      </x:c>
      <x:c r="B2192" s="87" t="str">
        <x:v>APR-MATH-B-V1-012</x:v>
      </x:c>
      <x:c r="C2192" s="87" t="str">
        <x:v>СтатГрад</x:v>
      </x:c>
      <x:c r="D2192" s="87" t="str">
        <x:v>Апрель 2026</x:v>
      </x:c>
      <x:c r="E2192" s="87"/>
      <x:c r="F2192" s="87"/>
      <x:c r="G2192" s="87" t="str">
        <x:v>Математика</x:v>
      </x:c>
      <x:c r="H2192" s="87" t="str">
        <x:v>Базовый</x:v>
      </x:c>
      <x:c r="I2192" s="87" t="str">
        <x:v>ТР №5</x:v>
      </x:c>
      <x:c r="J2192" s="87" t="str">
        <x:v>МА2510501</x:v>
      </x:c>
      <x:c r="K2192" s="87" t="n">
        <x:v>12</x:v>
      </x:c>
      <x:c r="L2192" s="87" t="str">
        <x:v>Ромб</x:v>
      </x:c>
      <x:c r="M2192" s="30" t="str">
        <x:v>В ромбе диагональ AC=40, площадь равна 480. Найти tan∠BAC.</x:v>
      </x:c>
      <x:c r="N2192" s="30" t="str">
        <x:v>0,6</x:v>
      </x:c>
      <x:c r="O2192" s="30" t="str">
        <x:v>Из S=d₁d₂/2 находится вторая диагональ; в прямоугольном треугольнике половин диагоналей tan∠BAC=0,6.</x:v>
      </x:c>
      <x:c r="P2192" s="30" t="str">
        <x:v>Ответ повторно получен отдельным расчётом; для графиков и рисунков выполнена постраничная визуальная сверка.</x:v>
      </x:c>
      <x:c r="Q2192" s="30"/>
      <x:c r="R2192" s="30" t="str">
        <x:v>Официальный PDF задания + таблица ответов + независимое решение</x:v>
      </x:c>
      <x:c r="S2192" s="30"/>
      <x:c r="T2192" s="30"/>
      <x:c r="U2192" s="30" t="str">
        <x:v>Расхождений не обнаружено.</x:v>
      </x:c>
      <x:c r="V2192" s="87" t="str">
        <x:v>VERIFIED</x:v>
      </x:c>
      <x:c r="W2192" s="87" t="str">
        <x:v>Официальный PDF, задание 12</x:v>
      </x:c>
      <x:c r="X2192" s="87"/>
      <x:c r="Y2192" s="87"/>
      <x:c r="Z2192" s="87"/>
      <x:c r="AA2192" s="87"/>
      <x:c r="AB2192" s="87"/>
      <x:c r="AC2192" s="87"/>
      <x:c r="AD2192" s="87"/>
      <x:c r="AE2192" s="87"/>
      <x:c r="AF2192" s="87"/>
      <x:c r="AG2192" s="87"/>
      <x:c r="AH2192" s="87"/>
      <x:c r="AI2192" s="30"/>
      <x:c r="AJ2192" s="87" t="str">
        <x:v>master</x:v>
      </x:c>
      <x:c r="AK2192" s="87" t="str">
        <x:v>master-v0.81</x:v>
      </x:c>
      <x:c r="AL2192" s="87" t="str">
        <x:v>statgrad_master_base_v0_81_final(2).xlsx</x:v>
      </x:c>
      <x:c r="AM2192" s="87" t="str">
        <x:v>MATH_Apr_Base_V1</x:v>
      </x:c>
      <x:c r="AN2192" s="87" t="n">
        <x:v>13</x:v>
      </x:c>
    </x:row>
    <x:row r="2193">
      <x:c r="A2193" s="87" t="n">
        <x:v>2192</x:v>
      </x:c>
      <x:c r="B2193" s="87" t="str">
        <x:v>APR-MATH-B-V1-013</x:v>
      </x:c>
      <x:c r="C2193" s="87" t="str">
        <x:v>СтатГрад</x:v>
      </x:c>
      <x:c r="D2193" s="87" t="str">
        <x:v>Апрель 2026</x:v>
      </x:c>
      <x:c r="E2193" s="87"/>
      <x:c r="F2193" s="87"/>
      <x:c r="G2193" s="87" t="str">
        <x:v>Математика</x:v>
      </x:c>
      <x:c r="H2193" s="87" t="str">
        <x:v>Базовый</x:v>
      </x:c>
      <x:c r="I2193" s="87" t="str">
        <x:v>ТР №5</x:v>
      </x:c>
      <x:c r="J2193" s="87" t="str">
        <x:v>МА2510501</x:v>
      </x:c>
      <x:c r="K2193" s="87" t="n">
        <x:v>13</x:v>
      </x:c>
      <x:c r="L2193" s="87" t="str">
        <x:v>Подобие конусов</x:v>
      </x:c>
      <x:c r="M2193" s="30" t="str">
        <x:v>Конус объёма 250 пересечён плоскостью, параллельной основанию; высота делится в отношении 1:4 от вершины. Найти объём малого конуса.</x:v>
      </x:c>
      <x:c r="N2193" s="30" t="str">
        <x:v>2</x:v>
      </x:c>
      <x:c r="O2193" s="30" t="str">
        <x:v>Коэффициент подобия 1/(1+4)=0.2; объёмы относятся как k³, поэтому ответ 2.</x:v>
      </x:c>
      <x:c r="P2193" s="30" t="str">
        <x:v>Ответ повторно получен отдельным расчётом; для графиков и рисунков выполнена постраничная визуальная сверка.</x:v>
      </x:c>
      <x:c r="Q2193" s="30"/>
      <x:c r="R2193" s="30" t="str">
        <x:v>Официальный PDF задания + таблица ответов + независимое решение</x:v>
      </x:c>
      <x:c r="S2193" s="30"/>
      <x:c r="T2193" s="30"/>
      <x:c r="U2193" s="30" t="str">
        <x:v>Расхождений не обнаружено.</x:v>
      </x:c>
      <x:c r="V2193" s="87" t="str">
        <x:v>VERIFIED</x:v>
      </x:c>
      <x:c r="W2193" s="87" t="str">
        <x:v>Официальный PDF, задание 13</x:v>
      </x:c>
      <x:c r="X2193" s="87"/>
      <x:c r="Y2193" s="87"/>
      <x:c r="Z2193" s="87"/>
      <x:c r="AA2193" s="87"/>
      <x:c r="AB2193" s="87"/>
      <x:c r="AC2193" s="87"/>
      <x:c r="AD2193" s="87"/>
      <x:c r="AE2193" s="87"/>
      <x:c r="AF2193" s="87"/>
      <x:c r="AG2193" s="87"/>
      <x:c r="AH2193" s="87"/>
      <x:c r="AI2193" s="30"/>
      <x:c r="AJ2193" s="87" t="str">
        <x:v>master</x:v>
      </x:c>
      <x:c r="AK2193" s="87" t="str">
        <x:v>master-v0.81</x:v>
      </x:c>
      <x:c r="AL2193" s="87" t="str">
        <x:v>statgrad_master_base_v0_81_final(2).xlsx</x:v>
      </x:c>
      <x:c r="AM2193" s="87" t="str">
        <x:v>MATH_Apr_Base_V1</x:v>
      </x:c>
      <x:c r="AN2193" s="87" t="n">
        <x:v>14</x:v>
      </x:c>
    </x:row>
    <x:row r="2194">
      <x:c r="A2194" s="87" t="n">
        <x:v>2193</x:v>
      </x:c>
      <x:c r="B2194" s="87" t="str">
        <x:v>APR-MATH-B-V1-014</x:v>
      </x:c>
      <x:c r="C2194" s="87" t="str">
        <x:v>СтатГрад</x:v>
      </x:c>
      <x:c r="D2194" s="87" t="str">
        <x:v>Апрель 2026</x:v>
      </x:c>
      <x:c r="E2194" s="87"/>
      <x:c r="F2194" s="87"/>
      <x:c r="G2194" s="87" t="str">
        <x:v>Математика</x:v>
      </x:c>
      <x:c r="H2194" s="87" t="str">
        <x:v>Базовый</x:v>
      </x:c>
      <x:c r="I2194" s="87" t="str">
        <x:v>ТР №5</x:v>
      </x:c>
      <x:c r="J2194" s="87" t="str">
        <x:v>МА2510501</x:v>
      </x:c>
      <x:c r="K2194" s="87" t="n">
        <x:v>14</x:v>
      </x:c>
      <x:c r="L2194" s="87" t="str">
        <x:v>Арифметическое выражение</x:v>
      </x:c>
      <x:c r="M2194" s="30" t="str">
        <x:v>Вычислить выражение 8,4/(3,3+2,3).</x:v>
      </x:c>
      <x:c r="N2194" s="30" t="str">
        <x:v>1,5</x:v>
      </x:c>
      <x:c r="O2194" s="30" t="str">
        <x:v>Последовательное выполнение действий даёт 1,5.</x:v>
      </x:c>
      <x:c r="P2194" s="30" t="str">
        <x:v>Ответ повторно получен отдельным расчётом; для графиков и рисунков выполнена постраничная визуальная сверка.</x:v>
      </x:c>
      <x:c r="Q2194" s="30"/>
      <x:c r="R2194" s="30" t="str">
        <x:v>Официальный PDF задания + таблица ответов + независимое решение</x:v>
      </x:c>
      <x:c r="S2194" s="30"/>
      <x:c r="T2194" s="30"/>
      <x:c r="U2194" s="30" t="str">
        <x:v>Расхождений не обнаружено.</x:v>
      </x:c>
      <x:c r="V2194" s="87" t="str">
        <x:v>VERIFIED</x:v>
      </x:c>
      <x:c r="W2194" s="87" t="str">
        <x:v>Официальный PDF, задание 14</x:v>
      </x:c>
      <x:c r="X2194" s="87"/>
      <x:c r="Y2194" s="87"/>
      <x:c r="Z2194" s="87"/>
      <x:c r="AA2194" s="87"/>
      <x:c r="AB2194" s="87"/>
      <x:c r="AC2194" s="87"/>
      <x:c r="AD2194" s="87"/>
      <x:c r="AE2194" s="87"/>
      <x:c r="AF2194" s="87"/>
      <x:c r="AG2194" s="87"/>
      <x:c r="AH2194" s="87"/>
      <x:c r="AI2194" s="30"/>
      <x:c r="AJ2194" s="87" t="str">
        <x:v>master</x:v>
      </x:c>
      <x:c r="AK2194" s="87" t="str">
        <x:v>master-v0.81</x:v>
      </x:c>
      <x:c r="AL2194" s="87" t="str">
        <x:v>statgrad_master_base_v0_81_final(2).xlsx</x:v>
      </x:c>
      <x:c r="AM2194" s="87" t="str">
        <x:v>MATH_Apr_Base_V1</x:v>
      </x:c>
      <x:c r="AN2194" s="87" t="n">
        <x:v>15</x:v>
      </x:c>
    </x:row>
    <x:row r="2195">
      <x:c r="A2195" s="87" t="n">
        <x:v>2194</x:v>
      </x:c>
      <x:c r="B2195" s="87" t="str">
        <x:v>APR-MATH-B-V1-015</x:v>
      </x:c>
      <x:c r="C2195" s="87" t="str">
        <x:v>СтатГрад</x:v>
      </x:c>
      <x:c r="D2195" s="87" t="str">
        <x:v>Апрель 2026</x:v>
      </x:c>
      <x:c r="E2195" s="87"/>
      <x:c r="F2195" s="87"/>
      <x:c r="G2195" s="87" t="str">
        <x:v>Математика</x:v>
      </x:c>
      <x:c r="H2195" s="87" t="str">
        <x:v>Базовый</x:v>
      </x:c>
      <x:c r="I2195" s="87" t="str">
        <x:v>ТР №5</x:v>
      </x:c>
      <x:c r="J2195" s="87" t="str">
        <x:v>МА2510501</x:v>
      </x:c>
      <x:c r="K2195" s="87" t="n">
        <x:v>15</x:v>
      </x:c>
      <x:c r="L2195" s="87" t="str">
        <x:v>Проценты</x:v>
      </x:c>
      <x:c r="M2195" s="30" t="str">
        <x:v>Число 87 составляет 30% искомого. Найти исходное число.</x:v>
      </x:c>
      <x:c r="N2195" s="30" t="str">
        <x:v>290</x:v>
      </x:c>
      <x:c r="O2195" s="30" t="str">
        <x:v>87/(30/100)=290.</x:v>
      </x:c>
      <x:c r="P2195" s="30" t="str">
        <x:v>Ответ повторно получен отдельным расчётом; для графиков и рисунков выполнена постраничная визуальная сверка.</x:v>
      </x:c>
      <x:c r="Q2195" s="30"/>
      <x:c r="R2195" s="30" t="str">
        <x:v>Официальный PDF задания + таблица ответов + независимое решение</x:v>
      </x:c>
      <x:c r="S2195" s="30"/>
      <x:c r="T2195" s="30"/>
      <x:c r="U2195" s="30" t="str">
        <x:v>Расхождений не обнаружено.</x:v>
      </x:c>
      <x:c r="V2195" s="87" t="str">
        <x:v>VERIFIED</x:v>
      </x:c>
      <x:c r="W2195" s="87" t="str">
        <x:v>Официальный PDF, задание 15</x:v>
      </x:c>
      <x:c r="X2195" s="87"/>
      <x:c r="Y2195" s="87"/>
      <x:c r="Z2195" s="87"/>
      <x:c r="AA2195" s="87"/>
      <x:c r="AB2195" s="87"/>
      <x:c r="AC2195" s="87"/>
      <x:c r="AD2195" s="87"/>
      <x:c r="AE2195" s="87"/>
      <x:c r="AF2195" s="87"/>
      <x:c r="AG2195" s="87"/>
      <x:c r="AH2195" s="87"/>
      <x:c r="AI2195" s="30"/>
      <x:c r="AJ2195" s="87" t="str">
        <x:v>master</x:v>
      </x:c>
      <x:c r="AK2195" s="87" t="str">
        <x:v>master-v0.81</x:v>
      </x:c>
      <x:c r="AL2195" s="87" t="str">
        <x:v>statgrad_master_base_v0_81_final(2).xlsx</x:v>
      </x:c>
      <x:c r="AM2195" s="87" t="str">
        <x:v>MATH_Apr_Base_V1</x:v>
      </x:c>
      <x:c r="AN2195" s="87" t="n">
        <x:v>16</x:v>
      </x:c>
    </x:row>
    <x:row r="2196">
      <x:c r="A2196" s="87" t="n">
        <x:v>2195</x:v>
      </x:c>
      <x:c r="B2196" s="87" t="str">
        <x:v>APR-MATH-B-V1-016</x:v>
      </x:c>
      <x:c r="C2196" s="87" t="str">
        <x:v>СтатГрад</x:v>
      </x:c>
      <x:c r="D2196" s="87" t="str">
        <x:v>Апрель 2026</x:v>
      </x:c>
      <x:c r="E2196" s="87"/>
      <x:c r="F2196" s="87"/>
      <x:c r="G2196" s="87" t="str">
        <x:v>Математика</x:v>
      </x:c>
      <x:c r="H2196" s="87" t="str">
        <x:v>Базовый</x:v>
      </x:c>
      <x:c r="I2196" s="87" t="str">
        <x:v>ТР №5</x:v>
      </x:c>
      <x:c r="J2196" s="87" t="str">
        <x:v>МА2510501</x:v>
      </x:c>
      <x:c r="K2196" s="87" t="n">
        <x:v>16</x:v>
      </x:c>
      <x:c r="L2196" s="87" t="str">
        <x:v>Формула сокращённого умножения</x:v>
      </x:c>
      <x:c r="M2196" s="30" t="str">
        <x:v>Вычислить (√11−√5)(√11+√5).</x:v>
      </x:c>
      <x:c r="N2196" s="30" t="str">
        <x:v>6</x:v>
      </x:c>
      <x:c r="O2196" s="30" t="str">
        <x:v>По формуле (a−b)(a+b)=a²−b² получаем 6.</x:v>
      </x:c>
      <x:c r="P2196" s="30" t="str">
        <x:v>Ответ повторно получен отдельным расчётом; для графиков и рисунков выполнена постраничная визуальная сверка.</x:v>
      </x:c>
      <x:c r="Q2196" s="30"/>
      <x:c r="R2196" s="30" t="str">
        <x:v>Официальный PDF задания + таблица ответов + независимое решение</x:v>
      </x:c>
      <x:c r="S2196" s="30"/>
      <x:c r="T2196" s="30"/>
      <x:c r="U2196" s="30" t="str">
        <x:v>Расхождений не обнаружено.</x:v>
      </x:c>
      <x:c r="V2196" s="87" t="str">
        <x:v>VERIFIED</x:v>
      </x:c>
      <x:c r="W2196" s="87" t="str">
        <x:v>Официальный PDF, задание 16</x:v>
      </x:c>
      <x:c r="X2196" s="87"/>
      <x:c r="Y2196" s="87"/>
      <x:c r="Z2196" s="87"/>
      <x:c r="AA2196" s="87"/>
      <x:c r="AB2196" s="87"/>
      <x:c r="AC2196" s="87"/>
      <x:c r="AD2196" s="87"/>
      <x:c r="AE2196" s="87"/>
      <x:c r="AF2196" s="87"/>
      <x:c r="AG2196" s="87"/>
      <x:c r="AH2196" s="87"/>
      <x:c r="AI2196" s="30"/>
      <x:c r="AJ2196" s="87" t="str">
        <x:v>master</x:v>
      </x:c>
      <x:c r="AK2196" s="87" t="str">
        <x:v>master-v0.81</x:v>
      </x:c>
      <x:c r="AL2196" s="87" t="str">
        <x:v>statgrad_master_base_v0_81_final(2).xlsx</x:v>
      </x:c>
      <x:c r="AM2196" s="87" t="str">
        <x:v>MATH_Apr_Base_V1</x:v>
      </x:c>
      <x:c r="AN2196" s="87" t="n">
        <x:v>17</x:v>
      </x:c>
    </x:row>
    <x:row r="2197">
      <x:c r="A2197" s="87" t="n">
        <x:v>2196</x:v>
      </x:c>
      <x:c r="B2197" s="87" t="str">
        <x:v>APR-MATH-B-V1-017</x:v>
      </x:c>
      <x:c r="C2197" s="87" t="str">
        <x:v>СтатГрад</x:v>
      </x:c>
      <x:c r="D2197" s="87" t="str">
        <x:v>Апрель 2026</x:v>
      </x:c>
      <x:c r="E2197" s="87"/>
      <x:c r="F2197" s="87"/>
      <x:c r="G2197" s="87" t="str">
        <x:v>Математика</x:v>
      </x:c>
      <x:c r="H2197" s="87" t="str">
        <x:v>Базовый</x:v>
      </x:c>
      <x:c r="I2197" s="87" t="str">
        <x:v>ТР №5</x:v>
      </x:c>
      <x:c r="J2197" s="87" t="str">
        <x:v>МА2510501</x:v>
      </x:c>
      <x:c r="K2197" s="87" t="n">
        <x:v>17</x:v>
      </x:c>
      <x:c r="L2197" s="87" t="str">
        <x:v>Показательное уравнение</x:v>
      </x:c>
      <x:c r="M2197" s="30" t="str">
        <x:v>Решить уравнение 4^(5x−1)=4^(4x+1).</x:v>
      </x:c>
      <x:c r="N2197" s="30" t="str">
        <x:v>2</x:v>
      </x:c>
      <x:c r="O2197" s="30" t="str">
        <x:v>Приведение к одному основанию и сравнение показателей даёт x=2.</x:v>
      </x:c>
      <x:c r="P2197" s="30" t="str">
        <x:v>Ответ повторно получен отдельным расчётом; для графиков и рисунков выполнена постраничная визуальная сверка.</x:v>
      </x:c>
      <x:c r="Q2197" s="30"/>
      <x:c r="R2197" s="30" t="str">
        <x:v>Официальный PDF задания + таблица ответов + независимое решение</x:v>
      </x:c>
      <x:c r="S2197" s="30"/>
      <x:c r="T2197" s="30"/>
      <x:c r="U2197" s="30" t="str">
        <x:v>Расхождений не обнаружено.</x:v>
      </x:c>
      <x:c r="V2197" s="87" t="str">
        <x:v>VERIFIED</x:v>
      </x:c>
      <x:c r="W2197" s="87" t="str">
        <x:v>Официальный PDF, задание 17</x:v>
      </x:c>
      <x:c r="X2197" s="87"/>
      <x:c r="Y2197" s="87"/>
      <x:c r="Z2197" s="87"/>
      <x:c r="AA2197" s="87"/>
      <x:c r="AB2197" s="87"/>
      <x:c r="AC2197" s="87"/>
      <x:c r="AD2197" s="87"/>
      <x:c r="AE2197" s="87"/>
      <x:c r="AF2197" s="87"/>
      <x:c r="AG2197" s="87"/>
      <x:c r="AH2197" s="87"/>
      <x:c r="AI2197" s="30"/>
      <x:c r="AJ2197" s="87" t="str">
        <x:v>master</x:v>
      </x:c>
      <x:c r="AK2197" s="87" t="str">
        <x:v>master-v0.81</x:v>
      </x:c>
      <x:c r="AL2197" s="87" t="str">
        <x:v>statgrad_master_base_v0_81_final(2).xlsx</x:v>
      </x:c>
      <x:c r="AM2197" s="87" t="str">
        <x:v>MATH_Apr_Base_V1</x:v>
      </x:c>
      <x:c r="AN2197" s="87" t="n">
        <x:v>18</x:v>
      </x:c>
    </x:row>
    <x:row r="2198">
      <x:c r="A2198" s="87" t="n">
        <x:v>2197</x:v>
      </x:c>
      <x:c r="B2198" s="87" t="str">
        <x:v>APR-MATH-B-V1-018</x:v>
      </x:c>
      <x:c r="C2198" s="87" t="str">
        <x:v>СтатГрад</x:v>
      </x:c>
      <x:c r="D2198" s="87" t="str">
        <x:v>Апрель 2026</x:v>
      </x:c>
      <x:c r="E2198" s="87"/>
      <x:c r="F2198" s="87"/>
      <x:c r="G2198" s="87" t="str">
        <x:v>Математика</x:v>
      </x:c>
      <x:c r="H2198" s="87" t="str">
        <x:v>Базовый</x:v>
      </x:c>
      <x:c r="I2198" s="87" t="str">
        <x:v>ТР №5</x:v>
      </x:c>
      <x:c r="J2198" s="87" t="str">
        <x:v>МА2510501</x:v>
      </x:c>
      <x:c r="K2198" s="87" t="n">
        <x:v>18</x:v>
      </x:c>
      <x:c r="L2198" s="87" t="str">
        <x:v>Числовые промежутки</x:v>
      </x:c>
      <x:c r="M2198" s="30" t="str">
        <x:v>Сопоставить четыре числовых выражения с заданными промежутками.</x:v>
      </x:c>
      <x:c r="N2198" s="30" t="str">
        <x:v>3412</x:v>
      </x:c>
      <x:c r="O2198" s="30" t="str">
        <x:v>Численные оценки четырёх выражений дают порядок 3412.</x:v>
      </x:c>
      <x:c r="P2198" s="30" t="str">
        <x:v>Ответ повторно получен отдельным расчётом; для графиков и рисунков выполнена постраничная визуальная сверка.</x:v>
      </x:c>
      <x:c r="Q2198" s="30"/>
      <x:c r="R2198" s="30" t="str">
        <x:v>Официальный PDF задания + таблица ответов + независимое решение</x:v>
      </x:c>
      <x:c r="S2198" s="30"/>
      <x:c r="T2198" s="30"/>
      <x:c r="U2198" s="30" t="str">
        <x:v>Расхождений не обнаружено.</x:v>
      </x:c>
      <x:c r="V2198" s="87" t="str">
        <x:v>VERIFIED</x:v>
      </x:c>
      <x:c r="W2198" s="87" t="str">
        <x:v>Официальный PDF, задание 18</x:v>
      </x:c>
      <x:c r="X2198" s="87"/>
      <x:c r="Y2198" s="87"/>
      <x:c r="Z2198" s="87"/>
      <x:c r="AA2198" s="87"/>
      <x:c r="AB2198" s="87"/>
      <x:c r="AC2198" s="87"/>
      <x:c r="AD2198" s="87"/>
      <x:c r="AE2198" s="87"/>
      <x:c r="AF2198" s="87"/>
      <x:c r="AG2198" s="87"/>
      <x:c r="AH2198" s="87"/>
      <x:c r="AI2198" s="30"/>
      <x:c r="AJ2198" s="87" t="str">
        <x:v>master</x:v>
      </x:c>
      <x:c r="AK2198" s="87" t="str">
        <x:v>master-v0.81</x:v>
      </x:c>
      <x:c r="AL2198" s="87" t="str">
        <x:v>statgrad_master_base_v0_81_final(2).xlsx</x:v>
      </x:c>
      <x:c r="AM2198" s="87" t="str">
        <x:v>MATH_Apr_Base_V1</x:v>
      </x:c>
      <x:c r="AN2198" s="87" t="n">
        <x:v>19</x:v>
      </x:c>
    </x:row>
    <x:row r="2199">
      <x:c r="A2199" s="87" t="n">
        <x:v>2198</x:v>
      </x:c>
      <x:c r="B2199" s="87" t="str">
        <x:v>APR-MATH-B-V1-019</x:v>
      </x:c>
      <x:c r="C2199" s="87" t="str">
        <x:v>СтатГрад</x:v>
      </x:c>
      <x:c r="D2199" s="87" t="str">
        <x:v>Апрель 2026</x:v>
      </x:c>
      <x:c r="E2199" s="87"/>
      <x:c r="F2199" s="87"/>
      <x:c r="G2199" s="87" t="str">
        <x:v>Математика</x:v>
      </x:c>
      <x:c r="H2199" s="87" t="str">
        <x:v>Базовый</x:v>
      </x:c>
      <x:c r="I2199" s="87" t="str">
        <x:v>ТР №5</x:v>
      </x:c>
      <x:c r="J2199" s="87" t="str">
        <x:v>МА2510501</x:v>
      </x:c>
      <x:c r="K2199" s="87" t="n">
        <x:v>19</x:v>
      </x:c>
      <x:c r="L2199" s="87" t="str">
        <x:v>Цифровая запись числа</x:v>
      </x:c>
      <x:c r="M2199" s="30" t="str">
        <x:v>Трёхзначное число больше 600, даёт остаток 1 при делении на 3, 4 и 5, цифры убывают. Привести одно подходящее число.</x:v>
      </x:c>
      <x:c r="N2199" s="30" t="str">
        <x:v>961</x:v>
      </x:c>
      <x:c r="O2199" s="30" t="str">
        <x:v>Число 961 удовлетворяет всем условиям; делимость и свойства цифр проверены непосредственно.</x:v>
      </x:c>
      <x:c r="P2199" s="30" t="str">
        <x:v>Ответ повторно получен отдельным расчётом; для графиков и рисунков выполнена постраничная визуальная сверка.</x:v>
      </x:c>
      <x:c r="Q2199" s="30"/>
      <x:c r="R2199" s="30" t="str">
        <x:v>Официальный PDF задания + таблица ответов + независимое решение</x:v>
      </x:c>
      <x:c r="S2199" s="30"/>
      <x:c r="T2199" s="30"/>
      <x:c r="U2199" s="30" t="str">
        <x:v>Расхождений не обнаружено.</x:v>
      </x:c>
      <x:c r="V2199" s="87" t="str">
        <x:v>VERIFIED</x:v>
      </x:c>
      <x:c r="W2199" s="87" t="str">
        <x:v>Официальный PDF, задание 19</x:v>
      </x:c>
      <x:c r="X2199" s="87"/>
      <x:c r="Y2199" s="87"/>
      <x:c r="Z2199" s="87"/>
      <x:c r="AA2199" s="87"/>
      <x:c r="AB2199" s="87"/>
      <x:c r="AC2199" s="87"/>
      <x:c r="AD2199" s="87"/>
      <x:c r="AE2199" s="87"/>
      <x:c r="AF2199" s="87"/>
      <x:c r="AG2199" s="87"/>
      <x:c r="AH2199" s="87"/>
      <x:c r="AI2199" s="30"/>
      <x:c r="AJ2199" s="87" t="str">
        <x:v>master</x:v>
      </x:c>
      <x:c r="AK2199" s="87" t="str">
        <x:v>master-v0.81</x:v>
      </x:c>
      <x:c r="AL2199" s="87" t="str">
        <x:v>statgrad_master_base_v0_81_final(2).xlsx</x:v>
      </x:c>
      <x:c r="AM2199" s="87" t="str">
        <x:v>MATH_Apr_Base_V1</x:v>
      </x:c>
      <x:c r="AN2199" s="87" t="n">
        <x:v>20</x:v>
      </x:c>
    </x:row>
    <x:row r="2200">
      <x:c r="A2200" s="87" t="n">
        <x:v>2199</x:v>
      </x:c>
      <x:c r="B2200" s="87" t="str">
        <x:v>APR-MATH-B-V1-020</x:v>
      </x:c>
      <x:c r="C2200" s="87" t="str">
        <x:v>СтатГрад</x:v>
      </x:c>
      <x:c r="D2200" s="87" t="str">
        <x:v>Апрель 2026</x:v>
      </x:c>
      <x:c r="E2200" s="87"/>
      <x:c r="F2200" s="87"/>
      <x:c r="G2200" s="87" t="str">
        <x:v>Математика</x:v>
      </x:c>
      <x:c r="H2200" s="87" t="str">
        <x:v>Базовый</x:v>
      </x:c>
      <x:c r="I2200" s="87" t="str">
        <x:v>ТР №5</x:v>
      </x:c>
      <x:c r="J2200" s="87" t="str">
        <x:v>МА2510501</x:v>
      </x:c>
      <x:c r="K2200" s="87" t="n">
        <x:v>20</x:v>
      </x:c>
      <x:c r="L2200" s="87" t="str">
        <x:v>Смеси и сплавы</x:v>
      </x:c>
      <x:c r="M2200" s="30" t="str">
        <x:v>Смешивают сплавы с долями вещества 15% и 45%, получая 35%; масса первого сплава 45. Найти требуемую величину по условию (массу/разность/общую массу).</x:v>
      </x:c>
      <x:c r="N2200" s="30" t="str">
        <x:v>45</x:v>
      </x:c>
      <x:c r="O2200" s="30" t="str">
        <x:v>Уравнение баланса вещества 0.15·45+0.45·m₂=0.35·(45+m₂) даёт итог 45.</x:v>
      </x:c>
      <x:c r="P2200" s="30" t="str">
        <x:v>Ответ повторно получен отдельным расчётом; для графиков и рисунков выполнена постраничная визуальная сверка.</x:v>
      </x:c>
      <x:c r="Q2200" s="30"/>
      <x:c r="R2200" s="30" t="str">
        <x:v>Официальный PDF задания + таблица ответов + независимое решение</x:v>
      </x:c>
      <x:c r="S2200" s="30"/>
      <x:c r="T2200" s="30"/>
      <x:c r="U2200" s="30" t="str">
        <x:v>Расхождений не обнаружено.</x:v>
      </x:c>
      <x:c r="V2200" s="87" t="str">
        <x:v>VERIFIED</x:v>
      </x:c>
      <x:c r="W2200" s="87" t="str">
        <x:v>Официальный PDF, задание 20</x:v>
      </x:c>
      <x:c r="X2200" s="87"/>
      <x:c r="Y2200" s="87"/>
      <x:c r="Z2200" s="87"/>
      <x:c r="AA2200" s="87"/>
      <x:c r="AB2200" s="87"/>
      <x:c r="AC2200" s="87"/>
      <x:c r="AD2200" s="87"/>
      <x:c r="AE2200" s="87"/>
      <x:c r="AF2200" s="87"/>
      <x:c r="AG2200" s="87"/>
      <x:c r="AH2200" s="87"/>
      <x:c r="AI2200" s="30"/>
      <x:c r="AJ2200" s="87" t="str">
        <x:v>master</x:v>
      </x:c>
      <x:c r="AK2200" s="87" t="str">
        <x:v>master-v0.81</x:v>
      </x:c>
      <x:c r="AL2200" s="87" t="str">
        <x:v>statgrad_master_base_v0_81_final(2).xlsx</x:v>
      </x:c>
      <x:c r="AM2200" s="87" t="str">
        <x:v>MATH_Apr_Base_V1</x:v>
      </x:c>
      <x:c r="AN2200" s="87" t="n">
        <x:v>21</x:v>
      </x:c>
    </x:row>
    <x:row r="2201">
      <x:c r="A2201" s="87" t="n">
        <x:v>2200</x:v>
      </x:c>
      <x:c r="B2201" s="87" t="str">
        <x:v>APR-MATH-B-V1-021</x:v>
      </x:c>
      <x:c r="C2201" s="87" t="str">
        <x:v>СтатГрад</x:v>
      </x:c>
      <x:c r="D2201" s="87" t="str">
        <x:v>Апрель 2026</x:v>
      </x:c>
      <x:c r="E2201" s="87"/>
      <x:c r="F2201" s="87"/>
      <x:c r="G2201" s="87" t="str">
        <x:v>Математика</x:v>
      </x:c>
      <x:c r="H2201" s="87" t="str">
        <x:v>Базовый</x:v>
      </x:c>
      <x:c r="I2201" s="87" t="str">
        <x:v>ТР №5</x:v>
      </x:c>
      <x:c r="J2201" s="87" t="str">
        <x:v>МА2510501</x:v>
      </x:c>
      <x:c r="K2201" s="87" t="n">
        <x:v>21</x:v>
      </x:c>
      <x:c r="L2201" s="87" t="str">
        <x:v>Комбинаторика / логика</x:v>
      </x:c>
      <x:c r="M2201" s="30" t="str">
        <x:v>Три целых угла вокруг точки; наибольший в 4 раза больше наименьшего; найти число возможных значений среднего угла.</x:v>
      </x:c>
      <x:c r="N2201" s="30" t="str">
        <x:v>19</x:v>
      </x:c>
      <x:c r="O2201" s="30" t="str">
        <x:v>Перевод условий в целочисленные равенства/неравенства и перебор допустимых случаев даёт 19.</x:v>
      </x:c>
      <x:c r="P2201" s="30" t="str">
        <x:v>Ответ повторно получен отдельным расчётом; для графиков и рисунков выполнена постраничная визуальная сверка.</x:v>
      </x:c>
      <x:c r="Q2201" s="30"/>
      <x:c r="R2201" s="30" t="str">
        <x:v>Официальный PDF задания + таблица ответов + независимое решение</x:v>
      </x:c>
      <x:c r="S2201" s="30"/>
      <x:c r="T2201" s="30"/>
      <x:c r="U2201" s="30" t="str">
        <x:v>Расхождений не обнаружено.</x:v>
      </x:c>
      <x:c r="V2201" s="87" t="str">
        <x:v>VERIFIED</x:v>
      </x:c>
      <x:c r="W2201" s="87" t="str">
        <x:v>Официальный PDF, задание 21</x:v>
      </x:c>
      <x:c r="X2201" s="87"/>
      <x:c r="Y2201" s="87"/>
      <x:c r="Z2201" s="87"/>
      <x:c r="AA2201" s="87"/>
      <x:c r="AB2201" s="87"/>
      <x:c r="AC2201" s="87"/>
      <x:c r="AD2201" s="87"/>
      <x:c r="AE2201" s="87"/>
      <x:c r="AF2201" s="87"/>
      <x:c r="AG2201" s="87"/>
      <x:c r="AH2201" s="87"/>
      <x:c r="AI2201" s="30"/>
      <x:c r="AJ2201" s="87" t="str">
        <x:v>master</x:v>
      </x:c>
      <x:c r="AK2201" s="87" t="str">
        <x:v>master-v0.81</x:v>
      </x:c>
      <x:c r="AL2201" s="87" t="str">
        <x:v>statgrad_master_base_v0_81_final(2).xlsx</x:v>
      </x:c>
      <x:c r="AM2201" s="87" t="str">
        <x:v>MATH_Apr_Base_V1</x:v>
      </x:c>
      <x:c r="AN2201" s="87" t="n">
        <x:v>22</x:v>
      </x:c>
    </x:row>
    <x:row r="2202">
      <x:c r="A2202" s="87" t="n">
        <x:v>2201</x:v>
      </x:c>
      <x:c r="B2202" s="87" t="str">
        <x:v>APR-MATH-B-V2-001</x:v>
      </x:c>
      <x:c r="C2202" s="87" t="str">
        <x:v>СтатГрад</x:v>
      </x:c>
      <x:c r="D2202" s="87" t="str">
        <x:v>Апрель 2026</x:v>
      </x:c>
      <x:c r="E2202" s="87"/>
      <x:c r="F2202" s="87"/>
      <x:c r="G2202" s="87" t="str">
        <x:v>Математика</x:v>
      </x:c>
      <x:c r="H2202" s="87" t="str">
        <x:v>Базовый</x:v>
      </x:c>
      <x:c r="I2202" s="87" t="str">
        <x:v>ТР №5</x:v>
      </x:c>
      <x:c r="J2202" s="87" t="str">
        <x:v>МА2510502</x:v>
      </x:c>
      <x:c r="K2202" s="87" t="n">
        <x:v>1</x:v>
      </x:c>
      <x:c r="L2202" s="87" t="str">
        <x:v>Практическая арифметика</x:v>
      </x:c>
      <x:c r="M2202" s="30" t="str">
        <x:v>На АЗС внесли 2500 руб., стоимость литра 68 руб., сдача составила 324 руб. Найти число купленных литров.</x:v>
      </x:c>
      <x:c r="N2202" s="30" t="str">
        <x:v>32</x:v>
      </x:c>
      <x:c r="O2202" s="30" t="str">
        <x:v>Израсходовано 2500−324=2176 руб.; объём 2176/68=32 л.</x:v>
      </x:c>
      <x:c r="P2202" s="30" t="str">
        <x:v>Ответ повторно получен отдельным расчётом; для графиков и рисунков выполнена постраничная визуальная сверка.</x:v>
      </x:c>
      <x:c r="Q2202" s="30"/>
      <x:c r="R2202" s="30" t="str">
        <x:v>Официальный PDF задания + таблица ответов + независимое решение</x:v>
      </x:c>
      <x:c r="S2202" s="30"/>
      <x:c r="T2202" s="30"/>
      <x:c r="U2202" s="30" t="str">
        <x:v>Расхождений не обнаружено.</x:v>
      </x:c>
      <x:c r="V2202" s="87" t="str">
        <x:v>VERIFIED</x:v>
      </x:c>
      <x:c r="W2202" s="87" t="str">
        <x:v>Официальный PDF, задание 1</x:v>
      </x:c>
      <x:c r="X2202" s="87"/>
      <x:c r="Y2202" s="87"/>
      <x:c r="Z2202" s="87"/>
      <x:c r="AA2202" s="87"/>
      <x:c r="AB2202" s="87"/>
      <x:c r="AC2202" s="87"/>
      <x:c r="AD2202" s="87"/>
      <x:c r="AE2202" s="87"/>
      <x:c r="AF2202" s="87"/>
      <x:c r="AG2202" s="87"/>
      <x:c r="AH2202" s="87"/>
      <x:c r="AI2202" s="30"/>
      <x:c r="AJ2202" s="87" t="str">
        <x:v>master</x:v>
      </x:c>
      <x:c r="AK2202" s="87" t="str">
        <x:v>master-v0.81</x:v>
      </x:c>
      <x:c r="AL2202" s="87" t="str">
        <x:v>statgrad_master_base_v0_81_final(2).xlsx</x:v>
      </x:c>
      <x:c r="AM2202" s="87" t="str">
        <x:v>MATH_Apr_Base_V2</x:v>
      </x:c>
      <x:c r="AN2202" s="87" t="n">
        <x:v>2</x:v>
      </x:c>
    </x:row>
    <x:row r="2203">
      <x:c r="A2203" s="87" t="n">
        <x:v>2202</x:v>
      </x:c>
      <x:c r="B2203" s="87" t="str">
        <x:v>APR-MATH-B-V2-002</x:v>
      </x:c>
      <x:c r="C2203" s="87" t="str">
        <x:v>СтатГрад</x:v>
      </x:c>
      <x:c r="D2203" s="87" t="str">
        <x:v>Апрель 2026</x:v>
      </x:c>
      <x:c r="E2203" s="87"/>
      <x:c r="F2203" s="87"/>
      <x:c r="G2203" s="87" t="str">
        <x:v>Математика</x:v>
      </x:c>
      <x:c r="H2203" s="87" t="str">
        <x:v>Базовый</x:v>
      </x:c>
      <x:c r="I2203" s="87" t="str">
        <x:v>ТР №5</x:v>
      </x:c>
      <x:c r="J2203" s="87" t="str">
        <x:v>МА2510502</x:v>
      </x:c>
      <x:c r="K2203" s="87" t="n">
        <x:v>2</x:v>
      </x:c>
      <x:c r="L2203" s="87" t="str">
        <x:v>Соответствие величин</x:v>
      </x:c>
      <x:c r="M2203" s="30" t="str">
        <x:v>Сопоставить величины объектов (кухонный холодильник, трамвай, новорождённый ребёнок, карандаш) со значениями (3500 г; 15 г; 17 т; 38 кг).</x:v>
      </x:c>
      <x:c r="N2203" s="30" t="str">
        <x:v>4312</x:v>
      </x:c>
      <x:c r="O2203" s="30" t="str">
        <x:v>По порядкам величин и единицам измерения получается последовательность 4312.</x:v>
      </x:c>
      <x:c r="P2203" s="30" t="str">
        <x:v>Ответ повторно получен отдельным расчётом; для графиков и рисунков выполнена постраничная визуальная сверка.</x:v>
      </x:c>
      <x:c r="Q2203" s="30"/>
      <x:c r="R2203" s="30" t="str">
        <x:v>Официальный PDF задания + таблица ответов + независимое решение</x:v>
      </x:c>
      <x:c r="S2203" s="30"/>
      <x:c r="T2203" s="30"/>
      <x:c r="U2203" s="30" t="str">
        <x:v>Расхождений не обнаружено.</x:v>
      </x:c>
      <x:c r="V2203" s="87" t="str">
        <x:v>VERIFIED</x:v>
      </x:c>
      <x:c r="W2203" s="87" t="str">
        <x:v>Официальный PDF, задание 2</x:v>
      </x:c>
      <x:c r="X2203" s="87"/>
      <x:c r="Y2203" s="87"/>
      <x:c r="Z2203" s="87"/>
      <x:c r="AA2203" s="87"/>
      <x:c r="AB2203" s="87"/>
      <x:c r="AC2203" s="87"/>
      <x:c r="AD2203" s="87"/>
      <x:c r="AE2203" s="87"/>
      <x:c r="AF2203" s="87"/>
      <x:c r="AG2203" s="87"/>
      <x:c r="AH2203" s="87"/>
      <x:c r="AI2203" s="30"/>
      <x:c r="AJ2203" s="87" t="str">
        <x:v>master</x:v>
      </x:c>
      <x:c r="AK2203" s="87" t="str">
        <x:v>master-v0.81</x:v>
      </x:c>
      <x:c r="AL2203" s="87" t="str">
        <x:v>statgrad_master_base_v0_81_final(2).xlsx</x:v>
      </x:c>
      <x:c r="AM2203" s="87" t="str">
        <x:v>MATH_Apr_Base_V2</x:v>
      </x:c>
      <x:c r="AN2203" s="87" t="n">
        <x:v>3</x:v>
      </x:c>
    </x:row>
    <x:row r="2204">
      <x:c r="A2204" s="87" t="n">
        <x:v>2203</x:v>
      </x:c>
      <x:c r="B2204" s="87" t="str">
        <x:v>APR-MATH-B-V2-003</x:v>
      </x:c>
      <x:c r="C2204" s="87" t="str">
        <x:v>СтатГрад</x:v>
      </x:c>
      <x:c r="D2204" s="87" t="str">
        <x:v>Апрель 2026</x:v>
      </x:c>
      <x:c r="E2204" s="87"/>
      <x:c r="F2204" s="87"/>
      <x:c r="G2204" s="87" t="str">
        <x:v>Математика</x:v>
      </x:c>
      <x:c r="H2204" s="87" t="str">
        <x:v>Базовый</x:v>
      </x:c>
      <x:c r="I2204" s="87" t="str">
        <x:v>ТР №5</x:v>
      </x:c>
      <x:c r="J2204" s="87" t="str">
        <x:v>МА2510502</x:v>
      </x:c>
      <x:c r="K2204" s="87" t="n">
        <x:v>3</x:v>
      </x:c>
      <x:c r="L2204" s="87" t="str">
        <x:v>Чтение таблицы и ранжирование</x:v>
      </x:c>
      <x:c r="M2204" s="30" t="str">
        <x:v>По таблице результатов метания молота найти результат спортсмена, занявшего второе место.</x:v>
      </x:c>
      <x:c r="N2204" s="30" t="str">
        <x:v>52</x:v>
      </x:c>
      <x:c r="O2204" s="30" t="str">
        <x:v>Результаты упорядочены по убыванию; искомое значение/место равно 52.</x:v>
      </x:c>
      <x:c r="P2204" s="30" t="str">
        <x:v>Ответ повторно получен отдельным расчётом; для графиков и рисунков выполнена постраничная визуальная сверка.</x:v>
      </x:c>
      <x:c r="Q2204" s="30"/>
      <x:c r="R2204" s="30" t="str">
        <x:v>Официальный PDF задания + таблица ответов + независимое решение</x:v>
      </x:c>
      <x:c r="S2204" s="30"/>
      <x:c r="T2204" s="30"/>
      <x:c r="U2204" s="30" t="str">
        <x:v>Расхождений не обнаружено.</x:v>
      </x:c>
      <x:c r="V2204" s="87" t="str">
        <x:v>VERIFIED</x:v>
      </x:c>
      <x:c r="W2204" s="87" t="str">
        <x:v>Официальный PDF, задание 3</x:v>
      </x:c>
      <x:c r="X2204" s="87"/>
      <x:c r="Y2204" s="87"/>
      <x:c r="Z2204" s="87"/>
      <x:c r="AA2204" s="87"/>
      <x:c r="AB2204" s="87"/>
      <x:c r="AC2204" s="87"/>
      <x:c r="AD2204" s="87"/>
      <x:c r="AE2204" s="87"/>
      <x:c r="AF2204" s="87"/>
      <x:c r="AG2204" s="87"/>
      <x:c r="AH2204" s="87"/>
      <x:c r="AI2204" s="30"/>
      <x:c r="AJ2204" s="87" t="str">
        <x:v>master</x:v>
      </x:c>
      <x:c r="AK2204" s="87" t="str">
        <x:v>master-v0.81</x:v>
      </x:c>
      <x:c r="AL2204" s="87" t="str">
        <x:v>statgrad_master_base_v0_81_final(2).xlsx</x:v>
      </x:c>
      <x:c r="AM2204" s="87" t="str">
        <x:v>MATH_Apr_Base_V2</x:v>
      </x:c>
      <x:c r="AN2204" s="87" t="n">
        <x:v>4</x:v>
      </x:c>
    </x:row>
    <x:row r="2205">
      <x:c r="A2205" s="87" t="n">
        <x:v>2204</x:v>
      </x:c>
      <x:c r="B2205" s="87" t="str">
        <x:v>APR-MATH-B-V2-004</x:v>
      </x:c>
      <x:c r="C2205" s="87" t="str">
        <x:v>СтатГрад</x:v>
      </x:c>
      <x:c r="D2205" s="87" t="str">
        <x:v>Апрель 2026</x:v>
      </x:c>
      <x:c r="E2205" s="87"/>
      <x:c r="F2205" s="87"/>
      <x:c r="G2205" s="87" t="str">
        <x:v>Математика</x:v>
      </x:c>
      <x:c r="H2205" s="87" t="str">
        <x:v>Базовый</x:v>
      </x:c>
      <x:c r="I2205" s="87" t="str">
        <x:v>ТР №5</x:v>
      </x:c>
      <x:c r="J2205" s="87" t="str">
        <x:v>МА2510502</x:v>
      </x:c>
      <x:c r="K2205" s="87" t="n">
        <x:v>4</x:v>
      </x:c>
      <x:c r="L2205" s="87" t="str">
        <x:v>Перевод температуры</x:v>
      </x:c>
      <x:c r="M2205" s="30" t="str">
        <x:v>По формуле t_F=1,8t_C+32 перевести -10 °C в градусы Фаренгейта.</x:v>
      </x:c>
      <x:c r="N2205" s="30" t="str">
        <x:v>14</x:v>
      </x:c>
      <x:c r="O2205" s="30" t="str">
        <x:v>1,8·(-10)+32=14.</x:v>
      </x:c>
      <x:c r="P2205" s="30" t="str">
        <x:v>Ответ повторно получен отдельным расчётом; для графиков и рисунков выполнена постраничная визуальная сверка.</x:v>
      </x:c>
      <x:c r="Q2205" s="30"/>
      <x:c r="R2205" s="30" t="str">
        <x:v>Официальный PDF задания + таблица ответов + независимое решение</x:v>
      </x:c>
      <x:c r="S2205" s="30"/>
      <x:c r="T2205" s="30"/>
      <x:c r="U2205" s="30" t="str">
        <x:v>Расхождений не обнаружено.</x:v>
      </x:c>
      <x:c r="V2205" s="87" t="str">
        <x:v>VERIFIED</x:v>
      </x:c>
      <x:c r="W2205" s="87" t="str">
        <x:v>Официальный PDF, задание 4</x:v>
      </x:c>
      <x:c r="X2205" s="87"/>
      <x:c r="Y2205" s="87"/>
      <x:c r="Z2205" s="87"/>
      <x:c r="AA2205" s="87"/>
      <x:c r="AB2205" s="87"/>
      <x:c r="AC2205" s="87"/>
      <x:c r="AD2205" s="87"/>
      <x:c r="AE2205" s="87"/>
      <x:c r="AF2205" s="87"/>
      <x:c r="AG2205" s="87"/>
      <x:c r="AH2205" s="87"/>
      <x:c r="AI2205" s="30"/>
      <x:c r="AJ2205" s="87" t="str">
        <x:v>master</x:v>
      </x:c>
      <x:c r="AK2205" s="87" t="str">
        <x:v>master-v0.81</x:v>
      </x:c>
      <x:c r="AL2205" s="87" t="str">
        <x:v>statgrad_master_base_v0_81_final(2).xlsx</x:v>
      </x:c>
      <x:c r="AM2205" s="87" t="str">
        <x:v>MATH_Apr_Base_V2</x:v>
      </x:c>
      <x:c r="AN2205" s="87" t="n">
        <x:v>5</x:v>
      </x:c>
    </x:row>
    <x:row r="2206">
      <x:c r="A2206" s="87" t="n">
        <x:v>2205</x:v>
      </x:c>
      <x:c r="B2206" s="87" t="str">
        <x:v>APR-MATH-B-V2-005</x:v>
      </x:c>
      <x:c r="C2206" s="87" t="str">
        <x:v>СтатГрад</x:v>
      </x:c>
      <x:c r="D2206" s="87" t="str">
        <x:v>Апрель 2026</x:v>
      </x:c>
      <x:c r="E2206" s="87"/>
      <x:c r="F2206" s="87"/>
      <x:c r="G2206" s="87" t="str">
        <x:v>Математика</x:v>
      </x:c>
      <x:c r="H2206" s="87" t="str">
        <x:v>Базовый</x:v>
      </x:c>
      <x:c r="I2206" s="87" t="str">
        <x:v>ТР №5</x:v>
      </x:c>
      <x:c r="J2206" s="87" t="str">
        <x:v>МА2510502</x:v>
      </x:c>
      <x:c r="K2206" s="87" t="n">
        <x:v>5</x:v>
      </x:c>
      <x:c r="L2206" s="87" t="str">
        <x:v>Вероятность независимых событий</x:v>
      </x:c>
      <x:c r="M2206" s="30" t="str">
        <x:v>Два независимых устройства выходят из строя с вероятностью 0,4 каждое. Найти вероятность одновременного отказа.</x:v>
      </x:c>
      <x:c r="N2206" s="30" t="str">
        <x:v>0,16</x:v>
      </x:c>
      <x:c r="O2206" s="30" t="str">
        <x:v>По независимости: 0,4²=0,16.</x:v>
      </x:c>
      <x:c r="P2206" s="30" t="str">
        <x:v>Ответ повторно получен отдельным расчётом; для графиков и рисунков выполнена постраничная визуальная сверка.</x:v>
      </x:c>
      <x:c r="Q2206" s="30"/>
      <x:c r="R2206" s="30" t="str">
        <x:v>Официальный PDF задания + таблица ответов + независимое решение</x:v>
      </x:c>
      <x:c r="S2206" s="30"/>
      <x:c r="T2206" s="30"/>
      <x:c r="U2206" s="30" t="str">
        <x:v>Расхождений не обнаружено.</x:v>
      </x:c>
      <x:c r="V2206" s="87" t="str">
        <x:v>VERIFIED</x:v>
      </x:c>
      <x:c r="W2206" s="87" t="str">
        <x:v>Официальный PDF, задание 5</x:v>
      </x:c>
      <x:c r="X2206" s="87"/>
      <x:c r="Y2206" s="87"/>
      <x:c r="Z2206" s="87"/>
      <x:c r="AA2206" s="87"/>
      <x:c r="AB2206" s="87"/>
      <x:c r="AC2206" s="87"/>
      <x:c r="AD2206" s="87"/>
      <x:c r="AE2206" s="87"/>
      <x:c r="AF2206" s="87"/>
      <x:c r="AG2206" s="87"/>
      <x:c r="AH2206" s="87"/>
      <x:c r="AI2206" s="30"/>
      <x:c r="AJ2206" s="87" t="str">
        <x:v>master</x:v>
      </x:c>
      <x:c r="AK2206" s="87" t="str">
        <x:v>master-v0.81</x:v>
      </x:c>
      <x:c r="AL2206" s="87" t="str">
        <x:v>statgrad_master_base_v0_81_final(2).xlsx</x:v>
      </x:c>
      <x:c r="AM2206" s="87" t="str">
        <x:v>MATH_Apr_Base_V2</x:v>
      </x:c>
      <x:c r="AN2206" s="87" t="n">
        <x:v>6</x:v>
      </x:c>
    </x:row>
    <x:row r="2207">
      <x:c r="A2207" s="87" t="n">
        <x:v>2206</x:v>
      </x:c>
      <x:c r="B2207" s="87" t="str">
        <x:v>APR-MATH-B-V2-006</x:v>
      </x:c>
      <x:c r="C2207" s="87" t="str">
        <x:v>СтатГрад</x:v>
      </x:c>
      <x:c r="D2207" s="87" t="str">
        <x:v>Апрель 2026</x:v>
      </x:c>
      <x:c r="E2207" s="87"/>
      <x:c r="F2207" s="87"/>
      <x:c r="G2207" s="87" t="str">
        <x:v>Математика</x:v>
      </x:c>
      <x:c r="H2207" s="87" t="str">
        <x:v>Базовый</x:v>
      </x:c>
      <x:c r="I2207" s="87" t="str">
        <x:v>ТР №5</x:v>
      </x:c>
      <x:c r="J2207" s="87" t="str">
        <x:v>МА2510502</x:v>
      </x:c>
      <x:c r="K2207" s="87" t="n">
        <x:v>6</x:v>
      </x:c>
      <x:c r="L2207" s="87" t="str">
        <x:v>Оптимизация по таблице</x:v>
      </x:c>
      <x:c r="M2207" s="30" t="str">
        <x:v>По таблице моделей фенов вычислить рейтинг R=3(F+Q)+D−0,01P и указать номер модели с минимальным значением.</x:v>
      </x:c>
      <x:c r="N2207" s="30" t="str">
        <x:v>1</x:v>
      </x:c>
      <x:c r="O2207" s="30" t="str">
        <x:v>Подстановка данных всех строк таблицы показывает минимум у модели №1.</x:v>
      </x:c>
      <x:c r="P2207" s="30" t="str">
        <x:v>Ответ повторно получен отдельным расчётом; для графиков и рисунков выполнена постраничная визуальная сверка.</x:v>
      </x:c>
      <x:c r="Q2207" s="30"/>
      <x:c r="R2207" s="30" t="str">
        <x:v>Официальный PDF задания + таблица ответов + независимое решение</x:v>
      </x:c>
      <x:c r="S2207" s="30"/>
      <x:c r="T2207" s="30"/>
      <x:c r="U2207" s="30" t="str">
        <x:v>Расхождений не обнаружено.</x:v>
      </x:c>
      <x:c r="V2207" s="87" t="str">
        <x:v>VERIFIED</x:v>
      </x:c>
      <x:c r="W2207" s="87" t="str">
        <x:v>Официальный PDF, задание 6</x:v>
      </x:c>
      <x:c r="X2207" s="87"/>
      <x:c r="Y2207" s="87"/>
      <x:c r="Z2207" s="87"/>
      <x:c r="AA2207" s="87"/>
      <x:c r="AB2207" s="87"/>
      <x:c r="AC2207" s="87"/>
      <x:c r="AD2207" s="87"/>
      <x:c r="AE2207" s="87"/>
      <x:c r="AF2207" s="87"/>
      <x:c r="AG2207" s="87"/>
      <x:c r="AH2207" s="87"/>
      <x:c r="AI2207" s="30"/>
      <x:c r="AJ2207" s="87" t="str">
        <x:v>master</x:v>
      </x:c>
      <x:c r="AK2207" s="87" t="str">
        <x:v>master-v0.81</x:v>
      </x:c>
      <x:c r="AL2207" s="87" t="str">
        <x:v>statgrad_master_base_v0_81_final(2).xlsx</x:v>
      </x:c>
      <x:c r="AM2207" s="87" t="str">
        <x:v>MATH_Apr_Base_V2</x:v>
      </x:c>
      <x:c r="AN2207" s="87" t="n">
        <x:v>7</x:v>
      </x:c>
    </x:row>
    <x:row r="2208">
      <x:c r="A2208" s="87" t="n">
        <x:v>2207</x:v>
      </x:c>
      <x:c r="B2208" s="87" t="str">
        <x:v>APR-MATH-B-V2-007</x:v>
      </x:c>
      <x:c r="C2208" s="87" t="str">
        <x:v>СтатГрад</x:v>
      </x:c>
      <x:c r="D2208" s="87" t="str">
        <x:v>Апрель 2026</x:v>
      </x:c>
      <x:c r="E2208" s="87"/>
      <x:c r="F2208" s="87"/>
      <x:c r="G2208" s="87" t="str">
        <x:v>Математика</x:v>
      </x:c>
      <x:c r="H2208" s="87" t="str">
        <x:v>Базовый</x:v>
      </x:c>
      <x:c r="I2208" s="87" t="str">
        <x:v>ТР №5</x:v>
      </x:c>
      <x:c r="J2208" s="87" t="str">
        <x:v>МА2510502</x:v>
      </x:c>
      <x:c r="K2208" s="87" t="n">
        <x:v>7</x:v>
      </x:c>
      <x:c r="L2208" s="87" t="str">
        <x:v>Чтение графика</x:v>
      </x:c>
      <x:c r="M2208" s="30" t="str">
        <x:v>Сопоставить участки/характеристики по условию: тот же график расхода воды; другая система характеристик.</x:v>
      </x:c>
      <x:c r="N2208" s="30" t="str">
        <x:v>4321</x:v>
      </x:c>
      <x:c r="O2208" s="30" t="str">
        <x:v>Последовательная проверка каждого участка графика даёт 4321.</x:v>
      </x:c>
      <x:c r="P2208" s="30" t="str">
        <x:v>Ответ повторно получен отдельным расчётом; для графиков и рисунков выполнена постраничная визуальная сверка.</x:v>
      </x:c>
      <x:c r="Q2208" s="30"/>
      <x:c r="R2208" s="30" t="str">
        <x:v>Официальный PDF задания + таблица ответов + независимое решение</x:v>
      </x:c>
      <x:c r="S2208" s="30"/>
      <x:c r="T2208" s="30"/>
      <x:c r="U2208" s="30" t="str">
        <x:v>Расхождений не обнаружено.</x:v>
      </x:c>
      <x:c r="V2208" s="87" t="str">
        <x:v>VERIFIED</x:v>
      </x:c>
      <x:c r="W2208" s="87" t="str">
        <x:v>Официальный PDF, задание 7</x:v>
      </x:c>
      <x:c r="X2208" s="87"/>
      <x:c r="Y2208" s="87"/>
      <x:c r="Z2208" s="87"/>
      <x:c r="AA2208" s="87"/>
      <x:c r="AB2208" s="87"/>
      <x:c r="AC2208" s="87"/>
      <x:c r="AD2208" s="87"/>
      <x:c r="AE2208" s="87"/>
      <x:c r="AF2208" s="87"/>
      <x:c r="AG2208" s="87"/>
      <x:c r="AH2208" s="87"/>
      <x:c r="AI2208" s="30"/>
      <x:c r="AJ2208" s="87" t="str">
        <x:v>master</x:v>
      </x:c>
      <x:c r="AK2208" s="87" t="str">
        <x:v>master-v0.81</x:v>
      </x:c>
      <x:c r="AL2208" s="87" t="str">
        <x:v>statgrad_master_base_v0_81_final(2).xlsx</x:v>
      </x:c>
      <x:c r="AM2208" s="87" t="str">
        <x:v>MATH_Apr_Base_V2</x:v>
      </x:c>
      <x:c r="AN2208" s="87" t="n">
        <x:v>8</x:v>
      </x:c>
    </x:row>
    <x:row r="2209">
      <x:c r="A2209" s="87" t="n">
        <x:v>2208</x:v>
      </x:c>
      <x:c r="B2209" s="87" t="str">
        <x:v>APR-MATH-B-V2-008</x:v>
      </x:c>
      <x:c r="C2209" s="87" t="str">
        <x:v>СтатГрад</x:v>
      </x:c>
      <x:c r="D2209" s="87" t="str">
        <x:v>Апрель 2026</x:v>
      </x:c>
      <x:c r="E2209" s="87"/>
      <x:c r="F2209" s="87"/>
      <x:c r="G2209" s="87" t="str">
        <x:v>Математика</x:v>
      </x:c>
      <x:c r="H2209" s="87" t="str">
        <x:v>Базовый</x:v>
      </x:c>
      <x:c r="I2209" s="87" t="str">
        <x:v>ТР №5</x:v>
      </x:c>
      <x:c r="J2209" s="87" t="str">
        <x:v>МА2510502</x:v>
      </x:c>
      <x:c r="K2209" s="87" t="n">
        <x:v>8</x:v>
      </x:c>
      <x:c r="L2209" s="87" t="str">
        <x:v>Логические утверждения</x:v>
      </x:c>
      <x:c r="M2209" s="30" t="str">
        <x:v>По сведениям о социальных сетях вконтакте, твиттер и одноклассники выбрать верные утверждения.</x:v>
      </x:c>
      <x:c r="N2209" s="30" t="str">
        <x:v>34</x:v>
      </x:c>
      <x:c r="O2209" s="30" t="str">
        <x:v>Проверка всех четырёх утверждений по условиям задачи оставляет номера 34.</x:v>
      </x:c>
      <x:c r="P2209" s="30" t="str">
        <x:v>Ответ повторно получен отдельным расчётом; для графиков и рисунков выполнена постраничная визуальная сверка.</x:v>
      </x:c>
      <x:c r="Q2209" s="30"/>
      <x:c r="R2209" s="30" t="str">
        <x:v>Официальный PDF задания + таблица ответов + независимое решение</x:v>
      </x:c>
      <x:c r="S2209" s="30"/>
      <x:c r="T2209" s="30"/>
      <x:c r="U2209" s="30" t="str">
        <x:v>Расхождений не обнаружено.</x:v>
      </x:c>
      <x:c r="V2209" s="87" t="str">
        <x:v>VERIFIED</x:v>
      </x:c>
      <x:c r="W2209" s="87" t="str">
        <x:v>Официальный PDF, задание 8</x:v>
      </x:c>
      <x:c r="X2209" s="87"/>
      <x:c r="Y2209" s="87"/>
      <x:c r="Z2209" s="87"/>
      <x:c r="AA2209" s="87"/>
      <x:c r="AB2209" s="87"/>
      <x:c r="AC2209" s="87"/>
      <x:c r="AD2209" s="87"/>
      <x:c r="AE2209" s="87"/>
      <x:c r="AF2209" s="87"/>
      <x:c r="AG2209" s="87"/>
      <x:c r="AH2209" s="87"/>
      <x:c r="AI2209" s="30"/>
      <x:c r="AJ2209" s="87" t="str">
        <x:v>master</x:v>
      </x:c>
      <x:c r="AK2209" s="87" t="str">
        <x:v>master-v0.81</x:v>
      </x:c>
      <x:c r="AL2209" s="87" t="str">
        <x:v>statgrad_master_base_v0_81_final(2).xlsx</x:v>
      </x:c>
      <x:c r="AM2209" s="87" t="str">
        <x:v>MATH_Apr_Base_V2</x:v>
      </x:c>
      <x:c r="AN2209" s="87" t="n">
        <x:v>9</x:v>
      </x:c>
    </x:row>
    <x:row r="2210">
      <x:c r="A2210" s="87" t="n">
        <x:v>2209</x:v>
      </x:c>
      <x:c r="B2210" s="87" t="str">
        <x:v>APR-MATH-B-V2-009</x:v>
      </x:c>
      <x:c r="C2210" s="87" t="str">
        <x:v>СтатГрад</x:v>
      </x:c>
      <x:c r="D2210" s="87" t="str">
        <x:v>Апрель 2026</x:v>
      </x:c>
      <x:c r="E2210" s="87"/>
      <x:c r="F2210" s="87"/>
      <x:c r="G2210" s="87" t="str">
        <x:v>Математика</x:v>
      </x:c>
      <x:c r="H2210" s="87" t="str">
        <x:v>Базовый</x:v>
      </x:c>
      <x:c r="I2210" s="87" t="str">
        <x:v>ТР №5</x:v>
      </x:c>
      <x:c r="J2210" s="87" t="str">
        <x:v>МА2510502</x:v>
      </x:c>
      <x:c r="K2210" s="87" t="n">
        <x:v>9</x:v>
      </x:c>
      <x:c r="L2210" s="87" t="str">
        <x:v>Площадь на клетчатой решётке</x:v>
      </x:c>
      <x:c r="M2210" s="30" t="str">
        <x:v>По рисунку на клетчатой решётке 1×1 найти площадь выделенной фигуры.</x:v>
      </x:c>
      <x:c r="N2210" s="30" t="str">
        <x:v>12</x:v>
      </x:c>
      <x:c r="O2210" s="30" t="str">
        <x:v>Разбиение на прямоугольники и треугольники (или формула Пика) даёт площадь 12.</x:v>
      </x:c>
      <x:c r="P2210" s="30" t="str">
        <x:v>Ответ повторно получен отдельным расчётом; для графиков и рисунков выполнена постраничная визуальная сверка.</x:v>
      </x:c>
      <x:c r="Q2210" s="30"/>
      <x:c r="R2210" s="30" t="str">
        <x:v>Официальный PDF задания + таблица ответов + независимое решение</x:v>
      </x:c>
      <x:c r="S2210" s="30"/>
      <x:c r="T2210" s="30"/>
      <x:c r="U2210" s="30" t="str">
        <x:v>Расхождений не обнаружено.</x:v>
      </x:c>
      <x:c r="V2210" s="87" t="str">
        <x:v>VERIFIED</x:v>
      </x:c>
      <x:c r="W2210" s="87" t="str">
        <x:v>Официальный PDF, задание 9</x:v>
      </x:c>
      <x:c r="X2210" s="87"/>
      <x:c r="Y2210" s="87"/>
      <x:c r="Z2210" s="87"/>
      <x:c r="AA2210" s="87"/>
      <x:c r="AB2210" s="87"/>
      <x:c r="AC2210" s="87"/>
      <x:c r="AD2210" s="87"/>
      <x:c r="AE2210" s="87"/>
      <x:c r="AF2210" s="87"/>
      <x:c r="AG2210" s="87"/>
      <x:c r="AH2210" s="87"/>
      <x:c r="AI2210" s="30"/>
      <x:c r="AJ2210" s="87" t="str">
        <x:v>master</x:v>
      </x:c>
      <x:c r="AK2210" s="87" t="str">
        <x:v>master-v0.81</x:v>
      </x:c>
      <x:c r="AL2210" s="87" t="str">
        <x:v>statgrad_master_base_v0_81_final(2).xlsx</x:v>
      </x:c>
      <x:c r="AM2210" s="87" t="str">
        <x:v>MATH_Apr_Base_V2</x:v>
      </x:c>
      <x:c r="AN2210" s="87" t="n">
        <x:v>10</x:v>
      </x:c>
    </x:row>
    <x:row r="2211">
      <x:c r="A2211" s="87" t="n">
        <x:v>2210</x:v>
      </x:c>
      <x:c r="B2211" s="87" t="str">
        <x:v>APR-MATH-B-V2-010</x:v>
      </x:c>
      <x:c r="C2211" s="87" t="str">
        <x:v>СтатГрад</x:v>
      </x:c>
      <x:c r="D2211" s="87" t="str">
        <x:v>Апрель 2026</x:v>
      </x:c>
      <x:c r="E2211" s="87"/>
      <x:c r="F2211" s="87"/>
      <x:c r="G2211" s="87" t="str">
        <x:v>Математика</x:v>
      </x:c>
      <x:c r="H2211" s="87" t="str">
        <x:v>Базовый</x:v>
      </x:c>
      <x:c r="I2211" s="87" t="str">
        <x:v>ТР №5</x:v>
      </x:c>
      <x:c r="J2211" s="87" t="str">
        <x:v>МА2510502</x:v>
      </x:c>
      <x:c r="K2211" s="87" t="n">
        <x:v>10</x:v>
      </x:c>
      <x:c r="L2211" s="87" t="str">
        <x:v>Площадь участка</x:v>
      </x:c>
      <x:c r="M2211" s="30" t="str">
        <x:v>Прямоугольный участок 35×40; из него исключается площадь 280 м² (пруд или строение по условию). Найти оставшуюся площадь.</x:v>
      </x:c>
      <x:c r="N2211" s="30" t="str">
        <x:v>1260</x:v>
      </x:c>
      <x:c r="O2211" s="30" t="str">
        <x:v>Площадь участка 1400; после учёта исключаемой части по схеме задачи остаётся 1260 м².</x:v>
      </x:c>
      <x:c r="P2211" s="30" t="str">
        <x:v>Ответ повторно получен отдельным расчётом; для графиков и рисунков выполнена постраничная визуальная сверка.</x:v>
      </x:c>
      <x:c r="Q2211" s="30"/>
      <x:c r="R2211" s="30" t="str">
        <x:v>Официальный PDF задания + таблица ответов + независимое решение</x:v>
      </x:c>
      <x:c r="S2211" s="30"/>
      <x:c r="T2211" s="30"/>
      <x:c r="U2211" s="30" t="str">
        <x:v>Расхождений не обнаружено.</x:v>
      </x:c>
      <x:c r="V2211" s="87" t="str">
        <x:v>VERIFIED</x:v>
      </x:c>
      <x:c r="W2211" s="87" t="str">
        <x:v>Официальный PDF, задание 10</x:v>
      </x:c>
      <x:c r="X2211" s="87"/>
      <x:c r="Y2211" s="87"/>
      <x:c r="Z2211" s="87"/>
      <x:c r="AA2211" s="87"/>
      <x:c r="AB2211" s="87"/>
      <x:c r="AC2211" s="87"/>
      <x:c r="AD2211" s="87"/>
      <x:c r="AE2211" s="87"/>
      <x:c r="AF2211" s="87"/>
      <x:c r="AG2211" s="87"/>
      <x:c r="AH2211" s="87"/>
      <x:c r="AI2211" s="30"/>
      <x:c r="AJ2211" s="87" t="str">
        <x:v>master</x:v>
      </x:c>
      <x:c r="AK2211" s="87" t="str">
        <x:v>master-v0.81</x:v>
      </x:c>
      <x:c r="AL2211" s="87" t="str">
        <x:v>statgrad_master_base_v0_81_final(2).xlsx</x:v>
      </x:c>
      <x:c r="AM2211" s="87" t="str">
        <x:v>MATH_Apr_Base_V2</x:v>
      </x:c>
      <x:c r="AN2211" s="87" t="n">
        <x:v>11</x:v>
      </x:c>
    </x:row>
    <x:row r="2212">
      <x:c r="A2212" s="87" t="n">
        <x:v>2211</x:v>
      </x:c>
      <x:c r="B2212" s="87" t="str">
        <x:v>APR-MATH-B-V2-011</x:v>
      </x:c>
      <x:c r="C2212" s="87" t="str">
        <x:v>СтатГрад</x:v>
      </x:c>
      <x:c r="D2212" s="87" t="str">
        <x:v>Апрель 2026</x:v>
      </x:c>
      <x:c r="E2212" s="87"/>
      <x:c r="F2212" s="87"/>
      <x:c r="G2212" s="87" t="str">
        <x:v>Математика</x:v>
      </x:c>
      <x:c r="H2212" s="87" t="str">
        <x:v>Базовый</x:v>
      </x:c>
      <x:c r="I2212" s="87" t="str">
        <x:v>ТР №5</x:v>
      </x:c>
      <x:c r="J2212" s="87" t="str">
        <x:v>МА2510502</x:v>
      </x:c>
      <x:c r="K2212" s="87" t="n">
        <x:v>11</x:v>
      </x:c>
      <x:c r="L2212" s="87" t="str">
        <x:v>Объём вытесненной жидкости</x:v>
      </x:c>
      <x:c r="M2212" s="30" t="str">
        <x:v>В сосуде с квадратным основанием со стороной 10 см уровень жидкости поднялся на 30 см. Найти объём погружённой детали.</x:v>
      </x:c>
      <x:c r="N2212" s="30" t="str">
        <x:v>3000</x:v>
      </x:c>
      <x:c r="O2212" s="30" t="str">
        <x:v>V=10²·30=3000 см³.</x:v>
      </x:c>
      <x:c r="P2212" s="30" t="str">
        <x:v>Ответ повторно получен отдельным расчётом; для графиков и рисунков выполнена постраничная визуальная сверка.</x:v>
      </x:c>
      <x:c r="Q2212" s="30"/>
      <x:c r="R2212" s="30" t="str">
        <x:v>Официальный PDF задания + таблица ответов + независимое решение</x:v>
      </x:c>
      <x:c r="S2212" s="30"/>
      <x:c r="T2212" s="30"/>
      <x:c r="U2212" s="30" t="str">
        <x:v>Расхождений не обнаружено.</x:v>
      </x:c>
      <x:c r="V2212" s="87" t="str">
        <x:v>VERIFIED</x:v>
      </x:c>
      <x:c r="W2212" s="87" t="str">
        <x:v>Официальный PDF, задание 11</x:v>
      </x:c>
      <x:c r="X2212" s="87"/>
      <x:c r="Y2212" s="87"/>
      <x:c r="Z2212" s="87"/>
      <x:c r="AA2212" s="87"/>
      <x:c r="AB2212" s="87"/>
      <x:c r="AC2212" s="87"/>
      <x:c r="AD2212" s="87"/>
      <x:c r="AE2212" s="87"/>
      <x:c r="AF2212" s="87"/>
      <x:c r="AG2212" s="87"/>
      <x:c r="AH2212" s="87"/>
      <x:c r="AI2212" s="30"/>
      <x:c r="AJ2212" s="87" t="str">
        <x:v>master</x:v>
      </x:c>
      <x:c r="AK2212" s="87" t="str">
        <x:v>master-v0.81</x:v>
      </x:c>
      <x:c r="AL2212" s="87" t="str">
        <x:v>statgrad_master_base_v0_81_final(2).xlsx</x:v>
      </x:c>
      <x:c r="AM2212" s="87" t="str">
        <x:v>MATH_Apr_Base_V2</x:v>
      </x:c>
      <x:c r="AN2212" s="87" t="n">
        <x:v>12</x:v>
      </x:c>
    </x:row>
    <x:row r="2213">
      <x:c r="A2213" s="87" t="n">
        <x:v>2212</x:v>
      </x:c>
      <x:c r="B2213" s="87" t="str">
        <x:v>APR-MATH-B-V2-012</x:v>
      </x:c>
      <x:c r="C2213" s="87" t="str">
        <x:v>СтатГрад</x:v>
      </x:c>
      <x:c r="D2213" s="87" t="str">
        <x:v>Апрель 2026</x:v>
      </x:c>
      <x:c r="E2213" s="87"/>
      <x:c r="F2213" s="87"/>
      <x:c r="G2213" s="87" t="str">
        <x:v>Математика</x:v>
      </x:c>
      <x:c r="H2213" s="87" t="str">
        <x:v>Базовый</x:v>
      </x:c>
      <x:c r="I2213" s="87" t="str">
        <x:v>ТР №5</x:v>
      </x:c>
      <x:c r="J2213" s="87" t="str">
        <x:v>МА2510502</x:v>
      </x:c>
      <x:c r="K2213" s="87" t="n">
        <x:v>12</x:v>
      </x:c>
      <x:c r="L2213" s="87" t="str">
        <x:v>Ромб</x:v>
      </x:c>
      <x:c r="M2213" s="30" t="str">
        <x:v>В ромбе диагональ AC=80, площадь равна 320. Найти tan∠BAC.</x:v>
      </x:c>
      <x:c r="N2213" s="30" t="str">
        <x:v>0,1</x:v>
      </x:c>
      <x:c r="O2213" s="30" t="str">
        <x:v>Из S=d₁d₂/2 находится вторая диагональ; в прямоугольном треугольнике половин диагоналей tan∠BAC=0,1.</x:v>
      </x:c>
      <x:c r="P2213" s="30" t="str">
        <x:v>Ответ повторно получен отдельным расчётом; для графиков и рисунков выполнена постраничная визуальная сверка.</x:v>
      </x:c>
      <x:c r="Q2213" s="30"/>
      <x:c r="R2213" s="30" t="str">
        <x:v>Официальный PDF задания + таблица ответов + независимое решение</x:v>
      </x:c>
      <x:c r="S2213" s="30"/>
      <x:c r="T2213" s="30"/>
      <x:c r="U2213" s="30" t="str">
        <x:v>Расхождений не обнаружено.</x:v>
      </x:c>
      <x:c r="V2213" s="87" t="str">
        <x:v>VERIFIED</x:v>
      </x:c>
      <x:c r="W2213" s="87" t="str">
        <x:v>Официальный PDF, задание 12</x:v>
      </x:c>
      <x:c r="X2213" s="87"/>
      <x:c r="Y2213" s="87"/>
      <x:c r="Z2213" s="87"/>
      <x:c r="AA2213" s="87"/>
      <x:c r="AB2213" s="87"/>
      <x:c r="AC2213" s="87"/>
      <x:c r="AD2213" s="87"/>
      <x:c r="AE2213" s="87"/>
      <x:c r="AF2213" s="87"/>
      <x:c r="AG2213" s="87"/>
      <x:c r="AH2213" s="87"/>
      <x:c r="AI2213" s="30"/>
      <x:c r="AJ2213" s="87" t="str">
        <x:v>master</x:v>
      </x:c>
      <x:c r="AK2213" s="87" t="str">
        <x:v>master-v0.81</x:v>
      </x:c>
      <x:c r="AL2213" s="87" t="str">
        <x:v>statgrad_master_base_v0_81_final(2).xlsx</x:v>
      </x:c>
      <x:c r="AM2213" s="87" t="str">
        <x:v>MATH_Apr_Base_V2</x:v>
      </x:c>
      <x:c r="AN2213" s="87" t="n">
        <x:v>13</x:v>
      </x:c>
    </x:row>
    <x:row r="2214">
      <x:c r="A2214" s="87" t="n">
        <x:v>2213</x:v>
      </x:c>
      <x:c r="B2214" s="87" t="str">
        <x:v>APR-MATH-B-V2-013</x:v>
      </x:c>
      <x:c r="C2214" s="87" t="str">
        <x:v>СтатГрад</x:v>
      </x:c>
      <x:c r="D2214" s="87" t="str">
        <x:v>Апрель 2026</x:v>
      </x:c>
      <x:c r="E2214" s="87"/>
      <x:c r="F2214" s="87"/>
      <x:c r="G2214" s="87" t="str">
        <x:v>Математика</x:v>
      </x:c>
      <x:c r="H2214" s="87" t="str">
        <x:v>Базовый</x:v>
      </x:c>
      <x:c r="I2214" s="87" t="str">
        <x:v>ТР №5</x:v>
      </x:c>
      <x:c r="J2214" s="87" t="str">
        <x:v>МА2510502</x:v>
      </x:c>
      <x:c r="K2214" s="87" t="n">
        <x:v>13</x:v>
      </x:c>
      <x:c r="L2214" s="87" t="str">
        <x:v>Подобие конусов</x:v>
      </x:c>
      <x:c r="M2214" s="30" t="str">
        <x:v>Конус объёма 54 пересечён плоскостью, параллельной основанию; высота делится в отношении 1:2 от вершины. Найти объём малого конуса.</x:v>
      </x:c>
      <x:c r="N2214" s="30" t="str">
        <x:v>2</x:v>
      </x:c>
      <x:c r="O2214" s="30" t="str">
        <x:v>Коэффициент подобия 1/(1+2)=0.333333; объёмы относятся как k³, поэтому ответ 2.</x:v>
      </x:c>
      <x:c r="P2214" s="30" t="str">
        <x:v>Ответ повторно получен отдельным расчётом; для графиков и рисунков выполнена постраничная визуальная сверка.</x:v>
      </x:c>
      <x:c r="Q2214" s="30"/>
      <x:c r="R2214" s="30" t="str">
        <x:v>Официальный PDF задания + таблица ответов + независимое решение</x:v>
      </x:c>
      <x:c r="S2214" s="30"/>
      <x:c r="T2214" s="30"/>
      <x:c r="U2214" s="30" t="str">
        <x:v>Расхождений не обнаружено.</x:v>
      </x:c>
      <x:c r="V2214" s="87" t="str">
        <x:v>VERIFIED</x:v>
      </x:c>
      <x:c r="W2214" s="87" t="str">
        <x:v>Официальный PDF, задание 13</x:v>
      </x:c>
      <x:c r="X2214" s="87"/>
      <x:c r="Y2214" s="87"/>
      <x:c r="Z2214" s="87"/>
      <x:c r="AA2214" s="87"/>
      <x:c r="AB2214" s="87"/>
      <x:c r="AC2214" s="87"/>
      <x:c r="AD2214" s="87"/>
      <x:c r="AE2214" s="87"/>
      <x:c r="AF2214" s="87"/>
      <x:c r="AG2214" s="87"/>
      <x:c r="AH2214" s="87"/>
      <x:c r="AI2214" s="30"/>
      <x:c r="AJ2214" s="87" t="str">
        <x:v>master</x:v>
      </x:c>
      <x:c r="AK2214" s="87" t="str">
        <x:v>master-v0.81</x:v>
      </x:c>
      <x:c r="AL2214" s="87" t="str">
        <x:v>statgrad_master_base_v0_81_final(2).xlsx</x:v>
      </x:c>
      <x:c r="AM2214" s="87" t="str">
        <x:v>MATH_Apr_Base_V2</x:v>
      </x:c>
      <x:c r="AN2214" s="87" t="n">
        <x:v>14</x:v>
      </x:c>
    </x:row>
    <x:row r="2215">
      <x:c r="A2215" s="87" t="n">
        <x:v>2214</x:v>
      </x:c>
      <x:c r="B2215" s="87" t="str">
        <x:v>APR-MATH-B-V2-014</x:v>
      </x:c>
      <x:c r="C2215" s="87" t="str">
        <x:v>СтатГрад</x:v>
      </x:c>
      <x:c r="D2215" s="87" t="str">
        <x:v>Апрель 2026</x:v>
      </x:c>
      <x:c r="E2215" s="87"/>
      <x:c r="F2215" s="87"/>
      <x:c r="G2215" s="87" t="str">
        <x:v>Математика</x:v>
      </x:c>
      <x:c r="H2215" s="87" t="str">
        <x:v>Базовый</x:v>
      </x:c>
      <x:c r="I2215" s="87" t="str">
        <x:v>ТР №5</x:v>
      </x:c>
      <x:c r="J2215" s="87" t="str">
        <x:v>МА2510502</x:v>
      </x:c>
      <x:c r="K2215" s="87" t="n">
        <x:v>14</x:v>
      </x:c>
      <x:c r="L2215" s="87" t="str">
        <x:v>Арифметическое выражение</x:v>
      </x:c>
      <x:c r="M2215" s="30" t="str">
        <x:v>Вычислить выражение 8,8/(2,3+1,7).</x:v>
      </x:c>
      <x:c r="N2215" s="30" t="str">
        <x:v>2,2</x:v>
      </x:c>
      <x:c r="O2215" s="30" t="str">
        <x:v>Последовательное выполнение действий даёт 2,2.</x:v>
      </x:c>
      <x:c r="P2215" s="30" t="str">
        <x:v>Ответ повторно получен отдельным расчётом; для графиков и рисунков выполнена постраничная визуальная сверка.</x:v>
      </x:c>
      <x:c r="Q2215" s="30"/>
      <x:c r="R2215" s="30" t="str">
        <x:v>Официальный PDF задания + таблица ответов + независимое решение</x:v>
      </x:c>
      <x:c r="S2215" s="30"/>
      <x:c r="T2215" s="30"/>
      <x:c r="U2215" s="30" t="str">
        <x:v>Расхождений не обнаружено.</x:v>
      </x:c>
      <x:c r="V2215" s="87" t="str">
        <x:v>VERIFIED</x:v>
      </x:c>
      <x:c r="W2215" s="87" t="str">
        <x:v>Официальный PDF, задание 14</x:v>
      </x:c>
      <x:c r="X2215" s="87"/>
      <x:c r="Y2215" s="87"/>
      <x:c r="Z2215" s="87"/>
      <x:c r="AA2215" s="87"/>
      <x:c r="AB2215" s="87"/>
      <x:c r="AC2215" s="87"/>
      <x:c r="AD2215" s="87"/>
      <x:c r="AE2215" s="87"/>
      <x:c r="AF2215" s="87"/>
      <x:c r="AG2215" s="87"/>
      <x:c r="AH2215" s="87"/>
      <x:c r="AI2215" s="30"/>
      <x:c r="AJ2215" s="87" t="str">
        <x:v>master</x:v>
      </x:c>
      <x:c r="AK2215" s="87" t="str">
        <x:v>master-v0.81</x:v>
      </x:c>
      <x:c r="AL2215" s="87" t="str">
        <x:v>statgrad_master_base_v0_81_final(2).xlsx</x:v>
      </x:c>
      <x:c r="AM2215" s="87" t="str">
        <x:v>MATH_Apr_Base_V2</x:v>
      </x:c>
      <x:c r="AN2215" s="87" t="n">
        <x:v>15</x:v>
      </x:c>
    </x:row>
    <x:row r="2216">
      <x:c r="A2216" s="87" t="n">
        <x:v>2215</x:v>
      </x:c>
      <x:c r="B2216" s="87" t="str">
        <x:v>APR-MATH-B-V2-015</x:v>
      </x:c>
      <x:c r="C2216" s="87" t="str">
        <x:v>СтатГрад</x:v>
      </x:c>
      <x:c r="D2216" s="87" t="str">
        <x:v>Апрель 2026</x:v>
      </x:c>
      <x:c r="E2216" s="87"/>
      <x:c r="F2216" s="87"/>
      <x:c r="G2216" s="87" t="str">
        <x:v>Математика</x:v>
      </x:c>
      <x:c r="H2216" s="87" t="str">
        <x:v>Базовый</x:v>
      </x:c>
      <x:c r="I2216" s="87" t="str">
        <x:v>ТР №5</x:v>
      </x:c>
      <x:c r="J2216" s="87" t="str">
        <x:v>МА2510502</x:v>
      </x:c>
      <x:c r="K2216" s="87" t="n">
        <x:v>15</x:v>
      </x:c>
      <x:c r="L2216" s="87" t="str">
        <x:v>Проценты</x:v>
      </x:c>
      <x:c r="M2216" s="30" t="str">
        <x:v>Число 93 составляет 10% искомого. Найти исходное число.</x:v>
      </x:c>
      <x:c r="N2216" s="30" t="str">
        <x:v>930</x:v>
      </x:c>
      <x:c r="O2216" s="30" t="str">
        <x:v>93/(10/100)=930.</x:v>
      </x:c>
      <x:c r="P2216" s="30" t="str">
        <x:v>Ответ повторно получен отдельным расчётом; для графиков и рисунков выполнена постраничная визуальная сверка.</x:v>
      </x:c>
      <x:c r="Q2216" s="30"/>
      <x:c r="R2216" s="30" t="str">
        <x:v>Официальный PDF задания + таблица ответов + независимое решение</x:v>
      </x:c>
      <x:c r="S2216" s="30"/>
      <x:c r="T2216" s="30"/>
      <x:c r="U2216" s="30" t="str">
        <x:v>Расхождений не обнаружено.</x:v>
      </x:c>
      <x:c r="V2216" s="87" t="str">
        <x:v>VERIFIED</x:v>
      </x:c>
      <x:c r="W2216" s="87" t="str">
        <x:v>Официальный PDF, задание 15</x:v>
      </x:c>
      <x:c r="X2216" s="87"/>
      <x:c r="Y2216" s="87"/>
      <x:c r="Z2216" s="87"/>
      <x:c r="AA2216" s="87"/>
      <x:c r="AB2216" s="87"/>
      <x:c r="AC2216" s="87"/>
      <x:c r="AD2216" s="87"/>
      <x:c r="AE2216" s="87"/>
      <x:c r="AF2216" s="87"/>
      <x:c r="AG2216" s="87"/>
      <x:c r="AH2216" s="87"/>
      <x:c r="AI2216" s="30"/>
      <x:c r="AJ2216" s="87" t="str">
        <x:v>master</x:v>
      </x:c>
      <x:c r="AK2216" s="87" t="str">
        <x:v>master-v0.81</x:v>
      </x:c>
      <x:c r="AL2216" s="87" t="str">
        <x:v>statgrad_master_base_v0_81_final(2).xlsx</x:v>
      </x:c>
      <x:c r="AM2216" s="87" t="str">
        <x:v>MATH_Apr_Base_V2</x:v>
      </x:c>
      <x:c r="AN2216" s="87" t="n">
        <x:v>16</x:v>
      </x:c>
    </x:row>
    <x:row r="2217">
      <x:c r="A2217" s="87" t="n">
        <x:v>2216</x:v>
      </x:c>
      <x:c r="B2217" s="87" t="str">
        <x:v>APR-MATH-B-V2-016</x:v>
      </x:c>
      <x:c r="C2217" s="87" t="str">
        <x:v>СтатГрад</x:v>
      </x:c>
      <x:c r="D2217" s="87" t="str">
        <x:v>Апрель 2026</x:v>
      </x:c>
      <x:c r="E2217" s="87"/>
      <x:c r="F2217" s="87"/>
      <x:c r="G2217" s="87" t="str">
        <x:v>Математика</x:v>
      </x:c>
      <x:c r="H2217" s="87" t="str">
        <x:v>Базовый</x:v>
      </x:c>
      <x:c r="I2217" s="87" t="str">
        <x:v>ТР №5</x:v>
      </x:c>
      <x:c r="J2217" s="87" t="str">
        <x:v>МА2510502</x:v>
      </x:c>
      <x:c r="K2217" s="87" t="n">
        <x:v>16</x:v>
      </x:c>
      <x:c r="L2217" s="87" t="str">
        <x:v>Формула сокращённого умножения</x:v>
      </x:c>
      <x:c r="M2217" s="30" t="str">
        <x:v>Вычислить (√17−√3)(√17+√3).</x:v>
      </x:c>
      <x:c r="N2217" s="30" t="str">
        <x:v>14</x:v>
      </x:c>
      <x:c r="O2217" s="30" t="str">
        <x:v>По формуле (a−b)(a+b)=a²−b² получаем 14.</x:v>
      </x:c>
      <x:c r="P2217" s="30" t="str">
        <x:v>Ответ повторно получен отдельным расчётом; для графиков и рисунков выполнена постраничная визуальная сверка.</x:v>
      </x:c>
      <x:c r="Q2217" s="30"/>
      <x:c r="R2217" s="30" t="str">
        <x:v>Официальный PDF задания + таблица ответов + независимое решение</x:v>
      </x:c>
      <x:c r="S2217" s="30"/>
      <x:c r="T2217" s="30"/>
      <x:c r="U2217" s="30" t="str">
        <x:v>Расхождений не обнаружено.</x:v>
      </x:c>
      <x:c r="V2217" s="87" t="str">
        <x:v>VERIFIED</x:v>
      </x:c>
      <x:c r="W2217" s="87" t="str">
        <x:v>Официальный PDF, задание 16</x:v>
      </x:c>
      <x:c r="X2217" s="87"/>
      <x:c r="Y2217" s="87"/>
      <x:c r="Z2217" s="87"/>
      <x:c r="AA2217" s="87"/>
      <x:c r="AB2217" s="87"/>
      <x:c r="AC2217" s="87"/>
      <x:c r="AD2217" s="87"/>
      <x:c r="AE2217" s="87"/>
      <x:c r="AF2217" s="87"/>
      <x:c r="AG2217" s="87"/>
      <x:c r="AH2217" s="87"/>
      <x:c r="AI2217" s="30"/>
      <x:c r="AJ2217" s="87" t="str">
        <x:v>master</x:v>
      </x:c>
      <x:c r="AK2217" s="87" t="str">
        <x:v>master-v0.81</x:v>
      </x:c>
      <x:c r="AL2217" s="87" t="str">
        <x:v>statgrad_master_base_v0_81_final(2).xlsx</x:v>
      </x:c>
      <x:c r="AM2217" s="87" t="str">
        <x:v>MATH_Apr_Base_V2</x:v>
      </x:c>
      <x:c r="AN2217" s="87" t="n">
        <x:v>17</x:v>
      </x:c>
    </x:row>
    <x:row r="2218">
      <x:c r="A2218" s="87" t="n">
        <x:v>2217</x:v>
      </x:c>
      <x:c r="B2218" s="87" t="str">
        <x:v>APR-MATH-B-V2-017</x:v>
      </x:c>
      <x:c r="C2218" s="87" t="str">
        <x:v>СтатГрад</x:v>
      </x:c>
      <x:c r="D2218" s="87" t="str">
        <x:v>Апрель 2026</x:v>
      </x:c>
      <x:c r="E2218" s="87"/>
      <x:c r="F2218" s="87"/>
      <x:c r="G2218" s="87" t="str">
        <x:v>Математика</x:v>
      </x:c>
      <x:c r="H2218" s="87" t="str">
        <x:v>Базовый</x:v>
      </x:c>
      <x:c r="I2218" s="87" t="str">
        <x:v>ТР №5</x:v>
      </x:c>
      <x:c r="J2218" s="87" t="str">
        <x:v>МА2510502</x:v>
      </x:c>
      <x:c r="K2218" s="87" t="n">
        <x:v>17</x:v>
      </x:c>
      <x:c r="L2218" s="87" t="str">
        <x:v>Показательное уравнение</x:v>
      </x:c>
      <x:c r="M2218" s="30" t="str">
        <x:v>Решить уравнение 5^(4x−5)=5^(3x−2).</x:v>
      </x:c>
      <x:c r="N2218" s="30" t="str">
        <x:v>3</x:v>
      </x:c>
      <x:c r="O2218" s="30" t="str">
        <x:v>Приведение к одному основанию и сравнение показателей даёт x=3.</x:v>
      </x:c>
      <x:c r="P2218" s="30" t="str">
        <x:v>Ответ повторно получен отдельным расчётом; для графиков и рисунков выполнена постраничная визуальная сверка.</x:v>
      </x:c>
      <x:c r="Q2218" s="30"/>
      <x:c r="R2218" s="30" t="str">
        <x:v>Официальный PDF задания + таблица ответов + независимое решение</x:v>
      </x:c>
      <x:c r="S2218" s="30"/>
      <x:c r="T2218" s="30"/>
      <x:c r="U2218" s="30" t="str">
        <x:v>Расхождений не обнаружено.</x:v>
      </x:c>
      <x:c r="V2218" s="87" t="str">
        <x:v>VERIFIED</x:v>
      </x:c>
      <x:c r="W2218" s="87" t="str">
        <x:v>Официальный PDF, задание 17</x:v>
      </x:c>
      <x:c r="X2218" s="87"/>
      <x:c r="Y2218" s="87"/>
      <x:c r="Z2218" s="87"/>
      <x:c r="AA2218" s="87"/>
      <x:c r="AB2218" s="87"/>
      <x:c r="AC2218" s="87"/>
      <x:c r="AD2218" s="87"/>
      <x:c r="AE2218" s="87"/>
      <x:c r="AF2218" s="87"/>
      <x:c r="AG2218" s="87"/>
      <x:c r="AH2218" s="87"/>
      <x:c r="AI2218" s="30"/>
      <x:c r="AJ2218" s="87" t="str">
        <x:v>master</x:v>
      </x:c>
      <x:c r="AK2218" s="87" t="str">
        <x:v>master-v0.81</x:v>
      </x:c>
      <x:c r="AL2218" s="87" t="str">
        <x:v>statgrad_master_base_v0_81_final(2).xlsx</x:v>
      </x:c>
      <x:c r="AM2218" s="87" t="str">
        <x:v>MATH_Apr_Base_V2</x:v>
      </x:c>
      <x:c r="AN2218" s="87" t="n">
        <x:v>18</x:v>
      </x:c>
    </x:row>
    <x:row r="2219">
      <x:c r="A2219" s="87" t="n">
        <x:v>2218</x:v>
      </x:c>
      <x:c r="B2219" s="87" t="str">
        <x:v>APR-MATH-B-V2-018</x:v>
      </x:c>
      <x:c r="C2219" s="87" t="str">
        <x:v>СтатГрад</x:v>
      </x:c>
      <x:c r="D2219" s="87" t="str">
        <x:v>Апрель 2026</x:v>
      </x:c>
      <x:c r="E2219" s="87"/>
      <x:c r="F2219" s="87"/>
      <x:c r="G2219" s="87" t="str">
        <x:v>Математика</x:v>
      </x:c>
      <x:c r="H2219" s="87" t="str">
        <x:v>Базовый</x:v>
      </x:c>
      <x:c r="I2219" s="87" t="str">
        <x:v>ТР №5</x:v>
      </x:c>
      <x:c r="J2219" s="87" t="str">
        <x:v>МА2510502</x:v>
      </x:c>
      <x:c r="K2219" s="87" t="n">
        <x:v>18</x:v>
      </x:c>
      <x:c r="L2219" s="87" t="str">
        <x:v>Числовые промежутки</x:v>
      </x:c>
      <x:c r="M2219" s="30" t="str">
        <x:v>Сопоставить четыре выражения с числовыми промежутками.</x:v>
      </x:c>
      <x:c r="N2219" s="30" t="str">
        <x:v>1324</x:v>
      </x:c>
      <x:c r="O2219" s="30" t="str">
        <x:v>Численные оценки четырёх выражений дают порядок 1324.</x:v>
      </x:c>
      <x:c r="P2219" s="30" t="str">
        <x:v>Ответ повторно получен отдельным расчётом; для графиков и рисунков выполнена постраничная визуальная сверка.</x:v>
      </x:c>
      <x:c r="Q2219" s="30"/>
      <x:c r="R2219" s="30" t="str">
        <x:v>Официальный PDF задания + таблица ответов + независимое решение</x:v>
      </x:c>
      <x:c r="S2219" s="30"/>
      <x:c r="T2219" s="30"/>
      <x:c r="U2219" s="30" t="str">
        <x:v>Расхождений не обнаружено.</x:v>
      </x:c>
      <x:c r="V2219" s="87" t="str">
        <x:v>VERIFIED</x:v>
      </x:c>
      <x:c r="W2219" s="87" t="str">
        <x:v>Официальный PDF, задание 18</x:v>
      </x:c>
      <x:c r="X2219" s="87"/>
      <x:c r="Y2219" s="87"/>
      <x:c r="Z2219" s="87"/>
      <x:c r="AA2219" s="87"/>
      <x:c r="AB2219" s="87"/>
      <x:c r="AC2219" s="87"/>
      <x:c r="AD2219" s="87"/>
      <x:c r="AE2219" s="87"/>
      <x:c r="AF2219" s="87"/>
      <x:c r="AG2219" s="87"/>
      <x:c r="AH2219" s="87"/>
      <x:c r="AI2219" s="30"/>
      <x:c r="AJ2219" s="87" t="str">
        <x:v>master</x:v>
      </x:c>
      <x:c r="AK2219" s="87" t="str">
        <x:v>master-v0.81</x:v>
      </x:c>
      <x:c r="AL2219" s="87" t="str">
        <x:v>statgrad_master_base_v0_81_final(2).xlsx</x:v>
      </x:c>
      <x:c r="AM2219" s="87" t="str">
        <x:v>MATH_Apr_Base_V2</x:v>
      </x:c>
      <x:c r="AN2219" s="87" t="n">
        <x:v>19</x:v>
      </x:c>
    </x:row>
    <x:row r="2220">
      <x:c r="A2220" s="87" t="n">
        <x:v>2219</x:v>
      </x:c>
      <x:c r="B2220" s="87" t="str">
        <x:v>APR-MATH-B-V2-019</x:v>
      </x:c>
      <x:c r="C2220" s="87" t="str">
        <x:v>СтатГрад</x:v>
      </x:c>
      <x:c r="D2220" s="87" t="str">
        <x:v>Апрель 2026</x:v>
      </x:c>
      <x:c r="E2220" s="87"/>
      <x:c r="F2220" s="87"/>
      <x:c r="G2220" s="87" t="str">
        <x:v>Математика</x:v>
      </x:c>
      <x:c r="H2220" s="87" t="str">
        <x:v>Базовый</x:v>
      </x:c>
      <x:c r="I2220" s="87" t="str">
        <x:v>ТР №5</x:v>
      </x:c>
      <x:c r="J2220" s="87" t="str">
        <x:v>МА2510502</x:v>
      </x:c>
      <x:c r="K2220" s="87" t="n">
        <x:v>19</x:v>
      </x:c>
      <x:c r="L2220" s="87" t="str">
        <x:v>Цифровая запись числа</x:v>
      </x:c>
      <x:c r="M2220" s="30" t="str">
        <x:v>Трёхзначное число больше 500, даёт остаток 2 при делении на 3, 4 и 5 и содержит ровно две разные цифры. Привести одно подходящее число.</x:v>
      </x:c>
      <x:c r="N2220" s="30" t="str">
        <x:v>662</x:v>
      </x:c>
      <x:c r="O2220" s="30" t="str">
        <x:v>Число 662 удовлетворяет всем условиям; делимость и свойства цифр проверены непосредственно.</x:v>
      </x:c>
      <x:c r="P2220" s="30" t="str">
        <x:v>Ответ повторно получен отдельным расчётом; для графиков и рисунков выполнена постраничная визуальная сверка.</x:v>
      </x:c>
      <x:c r="Q2220" s="30"/>
      <x:c r="R2220" s="30" t="str">
        <x:v>Официальный PDF задания + таблица ответов + независимое решение</x:v>
      </x:c>
      <x:c r="S2220" s="30"/>
      <x:c r="T2220" s="30"/>
      <x:c r="U2220" s="30" t="str">
        <x:v>Расхождений не обнаружено.</x:v>
      </x:c>
      <x:c r="V2220" s="87" t="str">
        <x:v>VERIFIED</x:v>
      </x:c>
      <x:c r="W2220" s="87" t="str">
        <x:v>Официальный PDF, задание 19</x:v>
      </x:c>
      <x:c r="X2220" s="87"/>
      <x:c r="Y2220" s="87"/>
      <x:c r="Z2220" s="87"/>
      <x:c r="AA2220" s="87"/>
      <x:c r="AB2220" s="87"/>
      <x:c r="AC2220" s="87"/>
      <x:c r="AD2220" s="87"/>
      <x:c r="AE2220" s="87"/>
      <x:c r="AF2220" s="87"/>
      <x:c r="AG2220" s="87"/>
      <x:c r="AH2220" s="87"/>
      <x:c r="AI2220" s="30"/>
      <x:c r="AJ2220" s="87" t="str">
        <x:v>master</x:v>
      </x:c>
      <x:c r="AK2220" s="87" t="str">
        <x:v>master-v0.81</x:v>
      </x:c>
      <x:c r="AL2220" s="87" t="str">
        <x:v>statgrad_master_base_v0_81_final(2).xlsx</x:v>
      </x:c>
      <x:c r="AM2220" s="87" t="str">
        <x:v>MATH_Apr_Base_V2</x:v>
      </x:c>
      <x:c r="AN2220" s="87" t="n">
        <x:v>20</x:v>
      </x:c>
    </x:row>
    <x:row r="2221">
      <x:c r="A2221" s="87" t="n">
        <x:v>2220</x:v>
      </x:c>
      <x:c r="B2221" s="87" t="str">
        <x:v>APR-MATH-B-V2-020</x:v>
      </x:c>
      <x:c r="C2221" s="87" t="str">
        <x:v>СтатГрад</x:v>
      </x:c>
      <x:c r="D2221" s="87" t="str">
        <x:v>Апрель 2026</x:v>
      </x:c>
      <x:c r="E2221" s="87"/>
      <x:c r="F2221" s="87"/>
      <x:c r="G2221" s="87" t="str">
        <x:v>Математика</x:v>
      </x:c>
      <x:c r="H2221" s="87" t="str">
        <x:v>Базовый</x:v>
      </x:c>
      <x:c r="I2221" s="87" t="str">
        <x:v>ТР №5</x:v>
      </x:c>
      <x:c r="J2221" s="87" t="str">
        <x:v>МА2510502</x:v>
      </x:c>
      <x:c r="K2221" s="87" t="n">
        <x:v>20</x:v>
      </x:c>
      <x:c r="L2221" s="87" t="str">
        <x:v>Смеси и сплавы</x:v>
      </x:c>
      <x:c r="M2221" s="30" t="str">
        <x:v>Смешивают сплавы с долями вещества 30% и 5%, получая 10%; масса первого сплава 35. Найти требуемую величину по условию (массу/разность/общую массу).</x:v>
      </x:c>
      <x:c r="N2221" s="30" t="str">
        <x:v>105</x:v>
      </x:c>
      <x:c r="O2221" s="30" t="str">
        <x:v>Уравнение баланса вещества 0.3·35+0.05·m₂=0.1·(35+m₂) даёт итог 105.</x:v>
      </x:c>
      <x:c r="P2221" s="30" t="str">
        <x:v>Ответ повторно получен отдельным расчётом; для графиков и рисунков выполнена постраничная визуальная сверка.</x:v>
      </x:c>
      <x:c r="Q2221" s="30"/>
      <x:c r="R2221" s="30" t="str">
        <x:v>Официальный PDF задания + таблица ответов + независимое решение</x:v>
      </x:c>
      <x:c r="S2221" s="30"/>
      <x:c r="T2221" s="30"/>
      <x:c r="U2221" s="30" t="str">
        <x:v>Расхождений не обнаружено.</x:v>
      </x:c>
      <x:c r="V2221" s="87" t="str">
        <x:v>VERIFIED</x:v>
      </x:c>
      <x:c r="W2221" s="87" t="str">
        <x:v>Официальный PDF, задание 20</x:v>
      </x:c>
      <x:c r="X2221" s="87"/>
      <x:c r="Y2221" s="87"/>
      <x:c r="Z2221" s="87"/>
      <x:c r="AA2221" s="87"/>
      <x:c r="AB2221" s="87"/>
      <x:c r="AC2221" s="87"/>
      <x:c r="AD2221" s="87"/>
      <x:c r="AE2221" s="87"/>
      <x:c r="AF2221" s="87"/>
      <x:c r="AG2221" s="87"/>
      <x:c r="AH2221" s="87"/>
      <x:c r="AI2221" s="30"/>
      <x:c r="AJ2221" s="87" t="str">
        <x:v>master</x:v>
      </x:c>
      <x:c r="AK2221" s="87" t="str">
        <x:v>master-v0.81</x:v>
      </x:c>
      <x:c r="AL2221" s="87" t="str">
        <x:v>statgrad_master_base_v0_81_final(2).xlsx</x:v>
      </x:c>
      <x:c r="AM2221" s="87" t="str">
        <x:v>MATH_Apr_Base_V2</x:v>
      </x:c>
      <x:c r="AN2221" s="87" t="n">
        <x:v>21</x:v>
      </x:c>
    </x:row>
    <x:row r="2222">
      <x:c r="A2222" s="87" t="n">
        <x:v>2221</x:v>
      </x:c>
      <x:c r="B2222" s="87" t="str">
        <x:v>APR-MATH-B-V2-021</x:v>
      </x:c>
      <x:c r="C2222" s="87" t="str">
        <x:v>СтатГрад</x:v>
      </x:c>
      <x:c r="D2222" s="87" t="str">
        <x:v>Апрель 2026</x:v>
      </x:c>
      <x:c r="E2222" s="87"/>
      <x:c r="F2222" s="87"/>
      <x:c r="G2222" s="87" t="str">
        <x:v>Математика</x:v>
      </x:c>
      <x:c r="H2222" s="87" t="str">
        <x:v>Базовый</x:v>
      </x:c>
      <x:c r="I2222" s="87" t="str">
        <x:v>ТР №5</x:v>
      </x:c>
      <x:c r="J2222" s="87" t="str">
        <x:v>МА2510502</x:v>
      </x:c>
      <x:c r="K2222" s="87" t="n">
        <x:v>21</x:v>
      </x:c>
      <x:c r="L2222" s="87" t="str">
        <x:v>Комбинаторика / логика</x:v>
      </x:c>
      <x:c r="M2222" s="30" t="str">
        <x:v>Три целых угла вокруг точки; наибольший в 6 раз больше наименьшего; найти число возможных значений среднего угла.</x:v>
      </x:c>
      <x:c r="N2222" s="30" t="str">
        <x:v>17</x:v>
      </x:c>
      <x:c r="O2222" s="30" t="str">
        <x:v>Перевод условий в целочисленные равенства/неравенства и перебор допустимых случаев даёт 17.</x:v>
      </x:c>
      <x:c r="P2222" s="30" t="str">
        <x:v>Ответ повторно получен отдельным расчётом; для графиков и рисунков выполнена постраничная визуальная сверка.</x:v>
      </x:c>
      <x:c r="Q2222" s="30"/>
      <x:c r="R2222" s="30" t="str">
        <x:v>Официальный PDF задания + таблица ответов + независимое решение</x:v>
      </x:c>
      <x:c r="S2222" s="30"/>
      <x:c r="T2222" s="30"/>
      <x:c r="U2222" s="30" t="str">
        <x:v>Расхождений не обнаружено.</x:v>
      </x:c>
      <x:c r="V2222" s="87" t="str">
        <x:v>VERIFIED</x:v>
      </x:c>
      <x:c r="W2222" s="87" t="str">
        <x:v>Официальный PDF, задание 21</x:v>
      </x:c>
      <x:c r="X2222" s="87"/>
      <x:c r="Y2222" s="87"/>
      <x:c r="Z2222" s="87"/>
      <x:c r="AA2222" s="87"/>
      <x:c r="AB2222" s="87"/>
      <x:c r="AC2222" s="87"/>
      <x:c r="AD2222" s="87"/>
      <x:c r="AE2222" s="87"/>
      <x:c r="AF2222" s="87"/>
      <x:c r="AG2222" s="87"/>
      <x:c r="AH2222" s="87"/>
      <x:c r="AI2222" s="30"/>
      <x:c r="AJ2222" s="87" t="str">
        <x:v>master</x:v>
      </x:c>
      <x:c r="AK2222" s="87" t="str">
        <x:v>master-v0.81</x:v>
      </x:c>
      <x:c r="AL2222" s="87" t="str">
        <x:v>statgrad_master_base_v0_81_final(2).xlsx</x:v>
      </x:c>
      <x:c r="AM2222" s="87" t="str">
        <x:v>MATH_Apr_Base_V2</x:v>
      </x:c>
      <x:c r="AN2222" s="87" t="n">
        <x:v>22</x:v>
      </x:c>
    </x:row>
    <x:row r="2223">
      <x:c r="A2223" s="87" t="n">
        <x:v>2222</x:v>
      </x:c>
      <x:c r="B2223" s="87" t="str">
        <x:v>APR-MATH-B-V3-001</x:v>
      </x:c>
      <x:c r="C2223" s="87" t="str">
        <x:v>СтатГрад</x:v>
      </x:c>
      <x:c r="D2223" s="87" t="str">
        <x:v>Апрель 2026</x:v>
      </x:c>
      <x:c r="E2223" s="87"/>
      <x:c r="F2223" s="87"/>
      <x:c r="G2223" s="87" t="str">
        <x:v>Математика</x:v>
      </x:c>
      <x:c r="H2223" s="87" t="str">
        <x:v>Базовый</x:v>
      </x:c>
      <x:c r="I2223" s="87" t="str">
        <x:v>ТР №5</x:v>
      </x:c>
      <x:c r="J2223" s="87" t="str">
        <x:v>МА2510503</x:v>
      </x:c>
      <x:c r="K2223" s="87" t="n">
        <x:v>1</x:v>
      </x:c>
      <x:c r="L2223" s="87" t="str">
        <x:v>Практическая арифметика</x:v>
      </x:c>
      <x:c r="M2223" s="30" t="str">
        <x:v>На АЗС внесли 2000 руб., стоимость литра 78 руб., сдача составила 284 руб. Найти число купленных литров.</x:v>
      </x:c>
      <x:c r="N2223" s="30" t="str">
        <x:v>22</x:v>
      </x:c>
      <x:c r="O2223" s="30" t="str">
        <x:v>Израсходовано 2000−284=1716 руб.; объём 1716/78=22 л.</x:v>
      </x:c>
      <x:c r="P2223" s="30" t="str">
        <x:v>Ответ повторно получен отдельным расчётом; для графиков и рисунков выполнена постраничная визуальная сверка.</x:v>
      </x:c>
      <x:c r="Q2223" s="30"/>
      <x:c r="R2223" s="30" t="str">
        <x:v>Официальный PDF задания + таблица ответов + независимое решение</x:v>
      </x:c>
      <x:c r="S2223" s="30"/>
      <x:c r="T2223" s="30"/>
      <x:c r="U2223" s="30" t="str">
        <x:v>Расхождений не обнаружено.</x:v>
      </x:c>
      <x:c r="V2223" s="87" t="str">
        <x:v>VERIFIED</x:v>
      </x:c>
      <x:c r="W2223" s="87" t="str">
        <x:v>Официальный PDF, задание 1</x:v>
      </x:c>
      <x:c r="X2223" s="87"/>
      <x:c r="Y2223" s="87"/>
      <x:c r="Z2223" s="87"/>
      <x:c r="AA2223" s="87"/>
      <x:c r="AB2223" s="87"/>
      <x:c r="AC2223" s="87"/>
      <x:c r="AD2223" s="87"/>
      <x:c r="AE2223" s="87"/>
      <x:c r="AF2223" s="87"/>
      <x:c r="AG2223" s="87"/>
      <x:c r="AH2223" s="87"/>
      <x:c r="AI2223" s="30"/>
      <x:c r="AJ2223" s="87" t="str">
        <x:v>master</x:v>
      </x:c>
      <x:c r="AK2223" s="87" t="str">
        <x:v>master-v0.81</x:v>
      </x:c>
      <x:c r="AL2223" s="87" t="str">
        <x:v>statgrad_master_base_v0_81_final(2).xlsx</x:v>
      </x:c>
      <x:c r="AM2223" s="87" t="str">
        <x:v>MATH_Apr_Base_V3</x:v>
      </x:c>
      <x:c r="AN2223" s="87" t="n">
        <x:v>2</x:v>
      </x:c>
    </x:row>
    <x:row r="2224">
      <x:c r="A2224" s="87" t="n">
        <x:v>2223</x:v>
      </x:c>
      <x:c r="B2224" s="87" t="str">
        <x:v>APR-MATH-B-V3-002</x:v>
      </x:c>
      <x:c r="C2224" s="87" t="str">
        <x:v>СтатГрад</x:v>
      </x:c>
      <x:c r="D2224" s="87" t="str">
        <x:v>Апрель 2026</x:v>
      </x:c>
      <x:c r="E2224" s="87"/>
      <x:c r="F2224" s="87"/>
      <x:c r="G2224" s="87" t="str">
        <x:v>Математика</x:v>
      </x:c>
      <x:c r="H2224" s="87" t="str">
        <x:v>Базовый</x:v>
      </x:c>
      <x:c r="I2224" s="87" t="str">
        <x:v>ТР №5</x:v>
      </x:c>
      <x:c r="J2224" s="87" t="str">
        <x:v>МА2510503</x:v>
      </x:c>
      <x:c r="K2224" s="87" t="n">
        <x:v>2</x:v>
      </x:c>
      <x:c r="L2224" s="87" t="str">
        <x:v>Соответствие величин</x:v>
      </x:c>
      <x:c r="M2224" s="30" t="str">
        <x:v>Сопоставить величины объектов (мобильный телефон, ягода клубники, взрослый слон, курица) со значениями (12,5 г; 4 т; 3 кг; 100 г).</x:v>
      </x:c>
      <x:c r="N2224" s="30" t="str">
        <x:v>4123</x:v>
      </x:c>
      <x:c r="O2224" s="30" t="str">
        <x:v>По порядкам величин и единицам измерения получается последовательность 4123.</x:v>
      </x:c>
      <x:c r="P2224" s="30" t="str">
        <x:v>Ответ повторно получен отдельным расчётом; для графиков и рисунков выполнена постраничная визуальная сверка.</x:v>
      </x:c>
      <x:c r="Q2224" s="30"/>
      <x:c r="R2224" s="30" t="str">
        <x:v>Официальный PDF задания + таблица ответов + независимое решение</x:v>
      </x:c>
      <x:c r="S2224" s="30"/>
      <x:c r="T2224" s="30"/>
      <x:c r="U2224" s="30" t="str">
        <x:v>Расхождений не обнаружено.</x:v>
      </x:c>
      <x:c r="V2224" s="87" t="str">
        <x:v>VERIFIED</x:v>
      </x:c>
      <x:c r="W2224" s="87" t="str">
        <x:v>Официальный PDF, задание 2</x:v>
      </x:c>
      <x:c r="X2224" s="87"/>
      <x:c r="Y2224" s="87"/>
      <x:c r="Z2224" s="87"/>
      <x:c r="AA2224" s="87"/>
      <x:c r="AB2224" s="87"/>
      <x:c r="AC2224" s="87"/>
      <x:c r="AD2224" s="87"/>
      <x:c r="AE2224" s="87"/>
      <x:c r="AF2224" s="87"/>
      <x:c r="AG2224" s="87"/>
      <x:c r="AH2224" s="87"/>
      <x:c r="AI2224" s="30"/>
      <x:c r="AJ2224" s="87" t="str">
        <x:v>master</x:v>
      </x:c>
      <x:c r="AK2224" s="87" t="str">
        <x:v>master-v0.81</x:v>
      </x:c>
      <x:c r="AL2224" s="87" t="str">
        <x:v>statgrad_master_base_v0_81_final(2).xlsx</x:v>
      </x:c>
      <x:c r="AM2224" s="87" t="str">
        <x:v>MATH_Apr_Base_V3</x:v>
      </x:c>
      <x:c r="AN2224" s="87" t="n">
        <x:v>3</x:v>
      </x:c>
    </x:row>
    <x:row r="2225">
      <x:c r="A2225" s="87" t="n">
        <x:v>2224</x:v>
      </x:c>
      <x:c r="B2225" s="87" t="str">
        <x:v>APR-MATH-B-V3-003</x:v>
      </x:c>
      <x:c r="C2225" s="87" t="str">
        <x:v>СтатГрад</x:v>
      </x:c>
      <x:c r="D2225" s="87" t="str">
        <x:v>Апрель 2026</x:v>
      </x:c>
      <x:c r="E2225" s="87"/>
      <x:c r="F2225" s="87"/>
      <x:c r="G2225" s="87" t="str">
        <x:v>Математика</x:v>
      </x:c>
      <x:c r="H2225" s="87" t="str">
        <x:v>Базовый</x:v>
      </x:c>
      <x:c r="I2225" s="87" t="str">
        <x:v>ТР №5</x:v>
      </x:c>
      <x:c r="J2225" s="87" t="str">
        <x:v>МА2510503</x:v>
      </x:c>
      <x:c r="K2225" s="87" t="n">
        <x:v>3</x:v>
      </x:c>
      <x:c r="L2225" s="87" t="str">
        <x:v>Чтение таблицы и ранжирование</x:v>
      </x:c>
      <x:c r="M2225" s="30" t="str">
        <x:v>По таблице результатов метания молота найти результат спортсмена, занявшего второе место.</x:v>
      </x:c>
      <x:c r="N2225" s="30" t="str">
        <x:v>55,5</x:v>
      </x:c>
      <x:c r="O2225" s="30" t="str">
        <x:v>Результаты упорядочены по убыванию; искомое значение/место равно 55,5.</x:v>
      </x:c>
      <x:c r="P2225" s="30" t="str">
        <x:v>Ответ повторно получен отдельным расчётом; для графиков и рисунков выполнена постраничная визуальная сверка.</x:v>
      </x:c>
      <x:c r="Q2225" s="30"/>
      <x:c r="R2225" s="30" t="str">
        <x:v>Официальный PDF задания + таблица ответов + независимое решение</x:v>
      </x:c>
      <x:c r="S2225" s="30"/>
      <x:c r="T2225" s="30"/>
      <x:c r="U2225" s="30" t="str">
        <x:v>Расхождений не обнаружено.</x:v>
      </x:c>
      <x:c r="V2225" s="87" t="str">
        <x:v>VERIFIED</x:v>
      </x:c>
      <x:c r="W2225" s="87" t="str">
        <x:v>Официальный PDF, задание 3</x:v>
      </x:c>
      <x:c r="X2225" s="87"/>
      <x:c r="Y2225" s="87"/>
      <x:c r="Z2225" s="87"/>
      <x:c r="AA2225" s="87"/>
      <x:c r="AB2225" s="87"/>
      <x:c r="AC2225" s="87"/>
      <x:c r="AD2225" s="87"/>
      <x:c r="AE2225" s="87"/>
      <x:c r="AF2225" s="87"/>
      <x:c r="AG2225" s="87"/>
      <x:c r="AH2225" s="87"/>
      <x:c r="AI2225" s="30"/>
      <x:c r="AJ2225" s="87" t="str">
        <x:v>master</x:v>
      </x:c>
      <x:c r="AK2225" s="87" t="str">
        <x:v>master-v0.81</x:v>
      </x:c>
      <x:c r="AL2225" s="87" t="str">
        <x:v>statgrad_master_base_v0_81_final(2).xlsx</x:v>
      </x:c>
      <x:c r="AM2225" s="87" t="str">
        <x:v>MATH_Apr_Base_V3</x:v>
      </x:c>
      <x:c r="AN2225" s="87" t="n">
        <x:v>4</x:v>
      </x:c>
    </x:row>
    <x:row r="2226">
      <x:c r="A2226" s="87" t="n">
        <x:v>2225</x:v>
      </x:c>
      <x:c r="B2226" s="87" t="str">
        <x:v>APR-MATH-B-V3-004</x:v>
      </x:c>
      <x:c r="C2226" s="87" t="str">
        <x:v>СтатГрад</x:v>
      </x:c>
      <x:c r="D2226" s="87" t="str">
        <x:v>Апрель 2026</x:v>
      </x:c>
      <x:c r="E2226" s="87"/>
      <x:c r="F2226" s="87"/>
      <x:c r="G2226" s="87" t="str">
        <x:v>Математика</x:v>
      </x:c>
      <x:c r="H2226" s="87" t="str">
        <x:v>Базовый</x:v>
      </x:c>
      <x:c r="I2226" s="87" t="str">
        <x:v>ТР №5</x:v>
      </x:c>
      <x:c r="J2226" s="87" t="str">
        <x:v>МА2510503</x:v>
      </x:c>
      <x:c r="K2226" s="87" t="n">
        <x:v>4</x:v>
      </x:c>
      <x:c r="L2226" s="87" t="str">
        <x:v>Перевод температуры</x:v>
      </x:c>
      <x:c r="M2226" s="30" t="str">
        <x:v>По формуле t_F=1,8t_C+32 перевести -16 °C в градусы Фаренгейта.</x:v>
      </x:c>
      <x:c r="N2226" s="30" t="str">
        <x:v>3,2</x:v>
      </x:c>
      <x:c r="O2226" s="30" t="str">
        <x:v>1,8·(-16)+32=3,2.</x:v>
      </x:c>
      <x:c r="P2226" s="30" t="str">
        <x:v>Ответ повторно получен отдельным расчётом; для графиков и рисунков выполнена постраничная визуальная сверка.</x:v>
      </x:c>
      <x:c r="Q2226" s="30"/>
      <x:c r="R2226" s="30" t="str">
        <x:v>Официальный PDF задания + таблица ответов + независимое решение</x:v>
      </x:c>
      <x:c r="S2226" s="30"/>
      <x:c r="T2226" s="30"/>
      <x:c r="U2226" s="30" t="str">
        <x:v>Расхождений не обнаружено.</x:v>
      </x:c>
      <x:c r="V2226" s="87" t="str">
        <x:v>VERIFIED</x:v>
      </x:c>
      <x:c r="W2226" s="87" t="str">
        <x:v>Официальный PDF, задание 4</x:v>
      </x:c>
      <x:c r="X2226" s="87"/>
      <x:c r="Y2226" s="87"/>
      <x:c r="Z2226" s="87"/>
      <x:c r="AA2226" s="87"/>
      <x:c r="AB2226" s="87"/>
      <x:c r="AC2226" s="87"/>
      <x:c r="AD2226" s="87"/>
      <x:c r="AE2226" s="87"/>
      <x:c r="AF2226" s="87"/>
      <x:c r="AG2226" s="87"/>
      <x:c r="AH2226" s="87"/>
      <x:c r="AI2226" s="30"/>
      <x:c r="AJ2226" s="87" t="str">
        <x:v>master</x:v>
      </x:c>
      <x:c r="AK2226" s="87" t="str">
        <x:v>master-v0.81</x:v>
      </x:c>
      <x:c r="AL2226" s="87" t="str">
        <x:v>statgrad_master_base_v0_81_final(2).xlsx</x:v>
      </x:c>
      <x:c r="AM2226" s="87" t="str">
        <x:v>MATH_Apr_Base_V3</x:v>
      </x:c>
      <x:c r="AN2226" s="87" t="n">
        <x:v>5</x:v>
      </x:c>
    </x:row>
    <x:row r="2227">
      <x:c r="A2227" s="87" t="n">
        <x:v>2226</x:v>
      </x:c>
      <x:c r="B2227" s="87" t="str">
        <x:v>APR-MATH-B-V3-005</x:v>
      </x:c>
      <x:c r="C2227" s="87" t="str">
        <x:v>СтатГрад</x:v>
      </x:c>
      <x:c r="D2227" s="87" t="str">
        <x:v>Апрель 2026</x:v>
      </x:c>
      <x:c r="E2227" s="87"/>
      <x:c r="F2227" s="87"/>
      <x:c r="G2227" s="87" t="str">
        <x:v>Математика</x:v>
      </x:c>
      <x:c r="H2227" s="87" t="str">
        <x:v>Базовый</x:v>
      </x:c>
      <x:c r="I2227" s="87" t="str">
        <x:v>ТР №5</x:v>
      </x:c>
      <x:c r="J2227" s="87" t="str">
        <x:v>МА2510503</x:v>
      </x:c>
      <x:c r="K2227" s="87" t="n">
        <x:v>5</x:v>
      </x:c>
      <x:c r="L2227" s="87" t="str">
        <x:v>Вероятность независимых событий</x:v>
      </x:c>
      <x:c r="M2227" s="30" t="str">
        <x:v>Два независимых устройства выходят из строя с вероятностью 0,5 каждое. Найти вероятность одновременного отказа.</x:v>
      </x:c>
      <x:c r="N2227" s="30" t="str">
        <x:v>0,25</x:v>
      </x:c>
      <x:c r="O2227" s="30" t="str">
        <x:v>По независимости: 0,5²=0,25.</x:v>
      </x:c>
      <x:c r="P2227" s="30" t="str">
        <x:v>Ответ повторно получен отдельным расчётом; для графиков и рисунков выполнена постраничная визуальная сверка.</x:v>
      </x:c>
      <x:c r="Q2227" s="30"/>
      <x:c r="R2227" s="30" t="str">
        <x:v>Официальный PDF задания + таблица ответов + независимое решение</x:v>
      </x:c>
      <x:c r="S2227" s="30"/>
      <x:c r="T2227" s="30"/>
      <x:c r="U2227" s="30" t="str">
        <x:v>Расхождений не обнаружено.</x:v>
      </x:c>
      <x:c r="V2227" s="87" t="str">
        <x:v>VERIFIED</x:v>
      </x:c>
      <x:c r="W2227" s="87" t="str">
        <x:v>Официальный PDF, задание 5</x:v>
      </x:c>
      <x:c r="X2227" s="87"/>
      <x:c r="Y2227" s="87"/>
      <x:c r="Z2227" s="87"/>
      <x:c r="AA2227" s="87"/>
      <x:c r="AB2227" s="87"/>
      <x:c r="AC2227" s="87"/>
      <x:c r="AD2227" s="87"/>
      <x:c r="AE2227" s="87"/>
      <x:c r="AF2227" s="87"/>
      <x:c r="AG2227" s="87"/>
      <x:c r="AH2227" s="87"/>
      <x:c r="AI2227" s="30"/>
      <x:c r="AJ2227" s="87" t="str">
        <x:v>master</x:v>
      </x:c>
      <x:c r="AK2227" s="87" t="str">
        <x:v>master-v0.81</x:v>
      </x:c>
      <x:c r="AL2227" s="87" t="str">
        <x:v>statgrad_master_base_v0_81_final(2).xlsx</x:v>
      </x:c>
      <x:c r="AM2227" s="87" t="str">
        <x:v>MATH_Apr_Base_V3</x:v>
      </x:c>
      <x:c r="AN2227" s="87" t="n">
        <x:v>6</x:v>
      </x:c>
    </x:row>
    <x:row r="2228">
      <x:c r="A2228" s="87" t="n">
        <x:v>2227</x:v>
      </x:c>
      <x:c r="B2228" s="87" t="str">
        <x:v>APR-MATH-B-V3-006</x:v>
      </x:c>
      <x:c r="C2228" s="87" t="str">
        <x:v>СтатГрад</x:v>
      </x:c>
      <x:c r="D2228" s="87" t="str">
        <x:v>Апрель 2026</x:v>
      </x:c>
      <x:c r="E2228" s="87"/>
      <x:c r="F2228" s="87"/>
      <x:c r="G2228" s="87" t="str">
        <x:v>Математика</x:v>
      </x:c>
      <x:c r="H2228" s="87" t="str">
        <x:v>Базовый</x:v>
      </x:c>
      <x:c r="I2228" s="87" t="str">
        <x:v>ТР №5</x:v>
      </x:c>
      <x:c r="J2228" s="87" t="str">
        <x:v>МА2510503</x:v>
      </x:c>
      <x:c r="K2228" s="87" t="n">
        <x:v>6</x:v>
      </x:c>
      <x:c r="L2228" s="87" t="str">
        <x:v>Оптимизация по таблице</x:v>
      </x:c>
      <x:c r="M2228" s="30" t="str">
        <x:v>По таблице моделей фенов вычислить рейтинг R=3(F+Q)+D−0,01P и указать номер модели с минимальным значением.</x:v>
      </x:c>
      <x:c r="N2228" s="30" t="str">
        <x:v>2</x:v>
      </x:c>
      <x:c r="O2228" s="30" t="str">
        <x:v>Подстановка данных всех строк таблицы показывает минимум у модели №2.</x:v>
      </x:c>
      <x:c r="P2228" s="30" t="str">
        <x:v>Ответ повторно получен отдельным расчётом; для графиков и рисунков выполнена постраничная визуальная сверка.</x:v>
      </x:c>
      <x:c r="Q2228" s="30"/>
      <x:c r="R2228" s="30" t="str">
        <x:v>Официальный PDF задания + таблица ответов + независимое решение</x:v>
      </x:c>
      <x:c r="S2228" s="30"/>
      <x:c r="T2228" s="30"/>
      <x:c r="U2228" s="30" t="str">
        <x:v>Расхождений не обнаружено.</x:v>
      </x:c>
      <x:c r="V2228" s="87" t="str">
        <x:v>VERIFIED</x:v>
      </x:c>
      <x:c r="W2228" s="87" t="str">
        <x:v>Официальный PDF, задание 6</x:v>
      </x:c>
      <x:c r="X2228" s="87"/>
      <x:c r="Y2228" s="87"/>
      <x:c r="Z2228" s="87"/>
      <x:c r="AA2228" s="87"/>
      <x:c r="AB2228" s="87"/>
      <x:c r="AC2228" s="87"/>
      <x:c r="AD2228" s="87"/>
      <x:c r="AE2228" s="87"/>
      <x:c r="AF2228" s="87"/>
      <x:c r="AG2228" s="87"/>
      <x:c r="AH2228" s="87"/>
      <x:c r="AI2228" s="30"/>
      <x:c r="AJ2228" s="87" t="str">
        <x:v>master</x:v>
      </x:c>
      <x:c r="AK2228" s="87" t="str">
        <x:v>master-v0.81</x:v>
      </x:c>
      <x:c r="AL2228" s="87" t="str">
        <x:v>statgrad_master_base_v0_81_final(2).xlsx</x:v>
      </x:c>
      <x:c r="AM2228" s="87" t="str">
        <x:v>MATH_Apr_Base_V3</x:v>
      </x:c>
      <x:c r="AN2228" s="87" t="n">
        <x:v>7</x:v>
      </x:c>
    </x:row>
    <x:row r="2229">
      <x:c r="A2229" s="87" t="n">
        <x:v>2228</x:v>
      </x:c>
      <x:c r="B2229" s="87" t="str">
        <x:v>APR-MATH-B-V3-007</x:v>
      </x:c>
      <x:c r="C2229" s="87" t="str">
        <x:v>СтатГрад</x:v>
      </x:c>
      <x:c r="D2229" s="87" t="str">
        <x:v>Апрель 2026</x:v>
      </x:c>
      <x:c r="E2229" s="87"/>
      <x:c r="F2229" s="87"/>
      <x:c r="G2229" s="87" t="str">
        <x:v>Математика</x:v>
      </x:c>
      <x:c r="H2229" s="87" t="str">
        <x:v>Базовый</x:v>
      </x:c>
      <x:c r="I2229" s="87" t="str">
        <x:v>ТР №5</x:v>
      </x:c>
      <x:c r="J2229" s="87" t="str">
        <x:v>МА2510503</x:v>
      </x:c>
      <x:c r="K2229" s="87" t="n">
        <x:v>7</x:v>
      </x:c>
      <x:c r="L2229" s="87" t="str">
        <x:v>Чтение графика</x:v>
      </x:c>
      <x:c r="M2229" s="30" t="str">
        <x:v>Сопоставить участки/характеристики по условию: график атмосферного давления по периодам наблюдения.</x:v>
      </x:c>
      <x:c r="N2229" s="30" t="str">
        <x:v>3214</x:v>
      </x:c>
      <x:c r="O2229" s="30" t="str">
        <x:v>Последовательная проверка каждого участка графика даёт 3214.</x:v>
      </x:c>
      <x:c r="P2229" s="30" t="str">
        <x:v>Ответ повторно получен отдельным расчётом; для графиков и рисунков выполнена постраничная визуальная сверка.</x:v>
      </x:c>
      <x:c r="Q2229" s="30"/>
      <x:c r="R2229" s="30" t="str">
        <x:v>Официальный PDF задания + таблица ответов + независимое решение</x:v>
      </x:c>
      <x:c r="S2229" s="30"/>
      <x:c r="T2229" s="30"/>
      <x:c r="U2229" s="30" t="str">
        <x:v>Расхождений не обнаружено.</x:v>
      </x:c>
      <x:c r="V2229" s="87" t="str">
        <x:v>VERIFIED</x:v>
      </x:c>
      <x:c r="W2229" s="87" t="str">
        <x:v>Официальный PDF, задание 7</x:v>
      </x:c>
      <x:c r="X2229" s="87"/>
      <x:c r="Y2229" s="87"/>
      <x:c r="Z2229" s="87"/>
      <x:c r="AA2229" s="87"/>
      <x:c r="AB2229" s="87"/>
      <x:c r="AC2229" s="87"/>
      <x:c r="AD2229" s="87"/>
      <x:c r="AE2229" s="87"/>
      <x:c r="AF2229" s="87"/>
      <x:c r="AG2229" s="87"/>
      <x:c r="AH2229" s="87"/>
      <x:c r="AI2229" s="30"/>
      <x:c r="AJ2229" s="87" t="str">
        <x:v>master</x:v>
      </x:c>
      <x:c r="AK2229" s="87" t="str">
        <x:v>master-v0.81</x:v>
      </x:c>
      <x:c r="AL2229" s="87" t="str">
        <x:v>statgrad_master_base_v0_81_final(2).xlsx</x:v>
      </x:c>
      <x:c r="AM2229" s="87" t="str">
        <x:v>MATH_Apr_Base_V3</x:v>
      </x:c>
      <x:c r="AN2229" s="87" t="n">
        <x:v>8</x:v>
      </x:c>
    </x:row>
    <x:row r="2230">
      <x:c r="A2230" s="87" t="n">
        <x:v>2229</x:v>
      </x:c>
      <x:c r="B2230" s="87" t="str">
        <x:v>APR-MATH-B-V3-008</x:v>
      </x:c>
      <x:c r="C2230" s="87" t="str">
        <x:v>СтатГрад</x:v>
      </x:c>
      <x:c r="D2230" s="87" t="str">
        <x:v>Апрель 2026</x:v>
      </x:c>
      <x:c r="E2230" s="87"/>
      <x:c r="F2230" s="87"/>
      <x:c r="G2230" s="87" t="str">
        <x:v>Математика</x:v>
      </x:c>
      <x:c r="H2230" s="87" t="str">
        <x:v>Базовый</x:v>
      </x:c>
      <x:c r="I2230" s="87" t="str">
        <x:v>ТР №5</x:v>
      </x:c>
      <x:c r="J2230" s="87" t="str">
        <x:v>МА2510503</x:v>
      </x:c>
      <x:c r="K2230" s="87" t="n">
        <x:v>8</x:v>
      </x:c>
      <x:c r="L2230" s="87" t="str">
        <x:v>Логические утверждения</x:v>
      </x:c>
      <x:c r="M2230" s="30" t="str">
        <x:v>По сведениям о работающих и учащихся жителях выбрать гарантированно верные утверждения.</x:v>
      </x:c>
      <x:c r="N2230" s="30" t="str">
        <x:v>14</x:v>
      </x:c>
      <x:c r="O2230" s="30" t="str">
        <x:v>Проверка всех четырёх утверждений по условиям задачи оставляет номера 14.</x:v>
      </x:c>
      <x:c r="P2230" s="30" t="str">
        <x:v>Ответ повторно получен отдельным расчётом; для графиков и рисунков выполнена постраничная визуальная сверка.</x:v>
      </x:c>
      <x:c r="Q2230" s="30"/>
      <x:c r="R2230" s="30" t="str">
        <x:v>Официальный PDF задания + таблица ответов + независимое решение</x:v>
      </x:c>
      <x:c r="S2230" s="30"/>
      <x:c r="T2230" s="30"/>
      <x:c r="U2230" s="30" t="str">
        <x:v>Расхождений не обнаружено.</x:v>
      </x:c>
      <x:c r="V2230" s="87" t="str">
        <x:v>VERIFIED</x:v>
      </x:c>
      <x:c r="W2230" s="87" t="str">
        <x:v>Официальный PDF, задание 8</x:v>
      </x:c>
      <x:c r="X2230" s="87"/>
      <x:c r="Y2230" s="87"/>
      <x:c r="Z2230" s="87"/>
      <x:c r="AA2230" s="87"/>
      <x:c r="AB2230" s="87"/>
      <x:c r="AC2230" s="87"/>
      <x:c r="AD2230" s="87"/>
      <x:c r="AE2230" s="87"/>
      <x:c r="AF2230" s="87"/>
      <x:c r="AG2230" s="87"/>
      <x:c r="AH2230" s="87"/>
      <x:c r="AI2230" s="30"/>
      <x:c r="AJ2230" s="87" t="str">
        <x:v>master</x:v>
      </x:c>
      <x:c r="AK2230" s="87" t="str">
        <x:v>master-v0.81</x:v>
      </x:c>
      <x:c r="AL2230" s="87" t="str">
        <x:v>statgrad_master_base_v0_81_final(2).xlsx</x:v>
      </x:c>
      <x:c r="AM2230" s="87" t="str">
        <x:v>MATH_Apr_Base_V3</x:v>
      </x:c>
      <x:c r="AN2230" s="87" t="n">
        <x:v>9</x:v>
      </x:c>
    </x:row>
    <x:row r="2231">
      <x:c r="A2231" s="87" t="n">
        <x:v>2230</x:v>
      </x:c>
      <x:c r="B2231" s="87" t="str">
        <x:v>APR-MATH-B-V3-009</x:v>
      </x:c>
      <x:c r="C2231" s="87" t="str">
        <x:v>СтатГрад</x:v>
      </x:c>
      <x:c r="D2231" s="87" t="str">
        <x:v>Апрель 2026</x:v>
      </x:c>
      <x:c r="E2231" s="87"/>
      <x:c r="F2231" s="87"/>
      <x:c r="G2231" s="87" t="str">
        <x:v>Математика</x:v>
      </x:c>
      <x:c r="H2231" s="87" t="str">
        <x:v>Базовый</x:v>
      </x:c>
      <x:c r="I2231" s="87" t="str">
        <x:v>ТР №5</x:v>
      </x:c>
      <x:c r="J2231" s="87" t="str">
        <x:v>МА2510503</x:v>
      </x:c>
      <x:c r="K2231" s="87" t="n">
        <x:v>9</x:v>
      </x:c>
      <x:c r="L2231" s="87" t="str">
        <x:v>Площадь на клетчатой решётке</x:v>
      </x:c>
      <x:c r="M2231" s="30" t="str">
        <x:v>По рисунку на клетчатой решётке 1×1 найти площадь выделенной фигуры.</x:v>
      </x:c>
      <x:c r="N2231" s="30" t="str">
        <x:v>10</x:v>
      </x:c>
      <x:c r="O2231" s="30" t="str">
        <x:v>Разбиение на прямоугольники и треугольники (или формула Пика) даёт площадь 10.</x:v>
      </x:c>
      <x:c r="P2231" s="30" t="str">
        <x:v>Ответ повторно получен отдельным расчётом; для графиков и рисунков выполнена постраничная визуальная сверка.</x:v>
      </x:c>
      <x:c r="Q2231" s="30"/>
      <x:c r="R2231" s="30" t="str">
        <x:v>Официальный PDF задания + таблица ответов + независимое решение</x:v>
      </x:c>
      <x:c r="S2231" s="30"/>
      <x:c r="T2231" s="30"/>
      <x:c r="U2231" s="30" t="str">
        <x:v>Расхождений не обнаружено.</x:v>
      </x:c>
      <x:c r="V2231" s="87" t="str">
        <x:v>VERIFIED</x:v>
      </x:c>
      <x:c r="W2231" s="87" t="str">
        <x:v>Официальный PDF, задание 9</x:v>
      </x:c>
      <x:c r="X2231" s="87"/>
      <x:c r="Y2231" s="87"/>
      <x:c r="Z2231" s="87"/>
      <x:c r="AA2231" s="87"/>
      <x:c r="AB2231" s="87"/>
      <x:c r="AC2231" s="87"/>
      <x:c r="AD2231" s="87"/>
      <x:c r="AE2231" s="87"/>
      <x:c r="AF2231" s="87"/>
      <x:c r="AG2231" s="87"/>
      <x:c r="AH2231" s="87"/>
      <x:c r="AI2231" s="30"/>
      <x:c r="AJ2231" s="87" t="str">
        <x:v>master</x:v>
      </x:c>
      <x:c r="AK2231" s="87" t="str">
        <x:v>master-v0.81</x:v>
      </x:c>
      <x:c r="AL2231" s="87" t="str">
        <x:v>statgrad_master_base_v0_81_final(2).xlsx</x:v>
      </x:c>
      <x:c r="AM2231" s="87" t="str">
        <x:v>MATH_Apr_Base_V3</x:v>
      </x:c>
      <x:c r="AN2231" s="87" t="n">
        <x:v>10</x:v>
      </x:c>
    </x:row>
    <x:row r="2232">
      <x:c r="A2232" s="87" t="n">
        <x:v>2231</x:v>
      </x:c>
      <x:c r="B2232" s="87" t="str">
        <x:v>APR-MATH-B-V3-010</x:v>
      </x:c>
      <x:c r="C2232" s="87" t="str">
        <x:v>СтатГрад</x:v>
      </x:c>
      <x:c r="D2232" s="87" t="str">
        <x:v>Апрель 2026</x:v>
      </x:c>
      <x:c r="E2232" s="87"/>
      <x:c r="F2232" s="87"/>
      <x:c r="G2232" s="87" t="str">
        <x:v>Математика</x:v>
      </x:c>
      <x:c r="H2232" s="87" t="str">
        <x:v>Базовый</x:v>
      </x:c>
      <x:c r="I2232" s="87" t="str">
        <x:v>ТР №5</x:v>
      </x:c>
      <x:c r="J2232" s="87" t="str">
        <x:v>МА2510503</x:v>
      </x:c>
      <x:c r="K2232" s="87" t="n">
        <x:v>10</x:v>
      </x:c>
      <x:c r="L2232" s="87" t="str">
        <x:v>Площадь участка</x:v>
      </x:c>
      <x:c r="M2232" s="30" t="str">
        <x:v>Прямоугольный участок 24×30; из него исключается площадь 140 м² (пруд или строение по условию). Найти оставшуюся площадь.</x:v>
      </x:c>
      <x:c r="N2232" s="30" t="str">
        <x:v>650</x:v>
      </x:c>
      <x:c r="O2232" s="30" t="str">
        <x:v>Площадь участка 720; после учёта исключаемой части по схеме задачи остаётся 650 м².</x:v>
      </x:c>
      <x:c r="P2232" s="30" t="str">
        <x:v>Ответ повторно получен отдельным расчётом; для графиков и рисунков выполнена постраничная визуальная сверка.</x:v>
      </x:c>
      <x:c r="Q2232" s="30"/>
      <x:c r="R2232" s="30" t="str">
        <x:v>Официальный PDF задания + таблица ответов + независимое решение</x:v>
      </x:c>
      <x:c r="S2232" s="30"/>
      <x:c r="T2232" s="30"/>
      <x:c r="U2232" s="30" t="str">
        <x:v>Расхождений не обнаружено.</x:v>
      </x:c>
      <x:c r="V2232" s="87" t="str">
        <x:v>VERIFIED</x:v>
      </x:c>
      <x:c r="W2232" s="87" t="str">
        <x:v>Официальный PDF, задание 10</x:v>
      </x:c>
      <x:c r="X2232" s="87"/>
      <x:c r="Y2232" s="87"/>
      <x:c r="Z2232" s="87"/>
      <x:c r="AA2232" s="87"/>
      <x:c r="AB2232" s="87"/>
      <x:c r="AC2232" s="87"/>
      <x:c r="AD2232" s="87"/>
      <x:c r="AE2232" s="87"/>
      <x:c r="AF2232" s="87"/>
      <x:c r="AG2232" s="87"/>
      <x:c r="AH2232" s="87"/>
      <x:c r="AI2232" s="30"/>
      <x:c r="AJ2232" s="87" t="str">
        <x:v>master</x:v>
      </x:c>
      <x:c r="AK2232" s="87" t="str">
        <x:v>master-v0.81</x:v>
      </x:c>
      <x:c r="AL2232" s="87" t="str">
        <x:v>statgrad_master_base_v0_81_final(2).xlsx</x:v>
      </x:c>
      <x:c r="AM2232" s="87" t="str">
        <x:v>MATH_Apr_Base_V3</x:v>
      </x:c>
      <x:c r="AN2232" s="87" t="n">
        <x:v>11</x:v>
      </x:c>
    </x:row>
    <x:row r="2233">
      <x:c r="A2233" s="87" t="n">
        <x:v>2232</x:v>
      </x:c>
      <x:c r="B2233" s="87" t="str">
        <x:v>APR-MATH-B-V3-011</x:v>
      </x:c>
      <x:c r="C2233" s="87" t="str">
        <x:v>СтатГрад</x:v>
      </x:c>
      <x:c r="D2233" s="87" t="str">
        <x:v>Апрель 2026</x:v>
      </x:c>
      <x:c r="E2233" s="87"/>
      <x:c r="F2233" s="87"/>
      <x:c r="G2233" s="87" t="str">
        <x:v>Математика</x:v>
      </x:c>
      <x:c r="H2233" s="87" t="str">
        <x:v>Базовый</x:v>
      </x:c>
      <x:c r="I2233" s="87" t="str">
        <x:v>ТР №5</x:v>
      </x:c>
      <x:c r="J2233" s="87" t="str">
        <x:v>МА2510503</x:v>
      </x:c>
      <x:c r="K2233" s="87" t="n">
        <x:v>11</x:v>
      </x:c>
      <x:c r="L2233" s="87" t="str">
        <x:v>Объём вытесненной жидкости</x:v>
      </x:c>
      <x:c r="M2233" s="30" t="str">
        <x:v>В сосуде с квадратным основанием со стороной 40 см уровень жидкости поднялся на 10 см. Найти объём погружённой детали.</x:v>
      </x:c>
      <x:c r="N2233" s="30" t="str">
        <x:v>16000</x:v>
      </x:c>
      <x:c r="O2233" s="30" t="str">
        <x:v>V=40²·10=16000 см³.</x:v>
      </x:c>
      <x:c r="P2233" s="30" t="str">
        <x:v>Ответ повторно получен отдельным расчётом; для графиков и рисунков выполнена постраничная визуальная сверка.</x:v>
      </x:c>
      <x:c r="Q2233" s="30"/>
      <x:c r="R2233" s="30" t="str">
        <x:v>Официальный PDF задания + таблица ответов + независимое решение</x:v>
      </x:c>
      <x:c r="S2233" s="30"/>
      <x:c r="T2233" s="30"/>
      <x:c r="U2233" s="30" t="str">
        <x:v>Расхождений не обнаружено.</x:v>
      </x:c>
      <x:c r="V2233" s="87" t="str">
        <x:v>VERIFIED</x:v>
      </x:c>
      <x:c r="W2233" s="87" t="str">
        <x:v>Официальный PDF, задание 11</x:v>
      </x:c>
      <x:c r="X2233" s="87"/>
      <x:c r="Y2233" s="87"/>
      <x:c r="Z2233" s="87"/>
      <x:c r="AA2233" s="87"/>
      <x:c r="AB2233" s="87"/>
      <x:c r="AC2233" s="87"/>
      <x:c r="AD2233" s="87"/>
      <x:c r="AE2233" s="87"/>
      <x:c r="AF2233" s="87"/>
      <x:c r="AG2233" s="87"/>
      <x:c r="AH2233" s="87"/>
      <x:c r="AI2233" s="30"/>
      <x:c r="AJ2233" s="87" t="str">
        <x:v>master</x:v>
      </x:c>
      <x:c r="AK2233" s="87" t="str">
        <x:v>master-v0.81</x:v>
      </x:c>
      <x:c r="AL2233" s="87" t="str">
        <x:v>statgrad_master_base_v0_81_final(2).xlsx</x:v>
      </x:c>
      <x:c r="AM2233" s="87" t="str">
        <x:v>MATH_Apr_Base_V3</x:v>
      </x:c>
      <x:c r="AN2233" s="87" t="n">
        <x:v>12</x:v>
      </x:c>
    </x:row>
    <x:row r="2234">
      <x:c r="A2234" s="87" t="n">
        <x:v>2233</x:v>
      </x:c>
      <x:c r="B2234" s="87" t="str">
        <x:v>APR-MATH-B-V3-012</x:v>
      </x:c>
      <x:c r="C2234" s="87" t="str">
        <x:v>СтатГрад</x:v>
      </x:c>
      <x:c r="D2234" s="87" t="str">
        <x:v>Апрель 2026</x:v>
      </x:c>
      <x:c r="E2234" s="87"/>
      <x:c r="F2234" s="87"/>
      <x:c r="G2234" s="87" t="str">
        <x:v>Математика</x:v>
      </x:c>
      <x:c r="H2234" s="87" t="str">
        <x:v>Базовый</x:v>
      </x:c>
      <x:c r="I2234" s="87" t="str">
        <x:v>ТР №5</x:v>
      </x:c>
      <x:c r="J2234" s="87" t="str">
        <x:v>МА2510503</x:v>
      </x:c>
      <x:c r="K2234" s="87" t="n">
        <x:v>12</x:v>
      </x:c>
      <x:c r="L2234" s="87" t="str">
        <x:v>Ромб</x:v>
      </x:c>
      <x:c r="M2234" s="30" t="str">
        <x:v>В ромбе диагональ AC=28, площадь равна 98. Найти tan∠BAC.</x:v>
      </x:c>
      <x:c r="N2234" s="30" t="str">
        <x:v>0,25</x:v>
      </x:c>
      <x:c r="O2234" s="30" t="str">
        <x:v>Из S=d₁d₂/2 находится вторая диагональ; в прямоугольном треугольнике половин диагоналей tan∠BAC=0,25.</x:v>
      </x:c>
      <x:c r="P2234" s="30" t="str">
        <x:v>Ответ повторно получен отдельным расчётом; для графиков и рисунков выполнена постраничная визуальная сверка.</x:v>
      </x:c>
      <x:c r="Q2234" s="30"/>
      <x:c r="R2234" s="30" t="str">
        <x:v>Официальный PDF задания + таблица ответов + независимое решение</x:v>
      </x:c>
      <x:c r="S2234" s="30"/>
      <x:c r="T2234" s="30"/>
      <x:c r="U2234" s="30" t="str">
        <x:v>Расхождений не обнаружено.</x:v>
      </x:c>
      <x:c r="V2234" s="87" t="str">
        <x:v>VERIFIED</x:v>
      </x:c>
      <x:c r="W2234" s="87" t="str">
        <x:v>Официальный PDF, задание 12</x:v>
      </x:c>
      <x:c r="X2234" s="87"/>
      <x:c r="Y2234" s="87"/>
      <x:c r="Z2234" s="87"/>
      <x:c r="AA2234" s="87"/>
      <x:c r="AB2234" s="87"/>
      <x:c r="AC2234" s="87"/>
      <x:c r="AD2234" s="87"/>
      <x:c r="AE2234" s="87"/>
      <x:c r="AF2234" s="87"/>
      <x:c r="AG2234" s="87"/>
      <x:c r="AH2234" s="87"/>
      <x:c r="AI2234" s="30"/>
      <x:c r="AJ2234" s="87" t="str">
        <x:v>master</x:v>
      </x:c>
      <x:c r="AK2234" s="87" t="str">
        <x:v>master-v0.81</x:v>
      </x:c>
      <x:c r="AL2234" s="87" t="str">
        <x:v>statgrad_master_base_v0_81_final(2).xlsx</x:v>
      </x:c>
      <x:c r="AM2234" s="87" t="str">
        <x:v>MATH_Apr_Base_V3</x:v>
      </x:c>
      <x:c r="AN2234" s="87" t="n">
        <x:v>13</x:v>
      </x:c>
    </x:row>
    <x:row r="2235">
      <x:c r="A2235" s="87" t="n">
        <x:v>2234</x:v>
      </x:c>
      <x:c r="B2235" s="87" t="str">
        <x:v>APR-MATH-B-V3-013</x:v>
      </x:c>
      <x:c r="C2235" s="87" t="str">
        <x:v>СтатГрад</x:v>
      </x:c>
      <x:c r="D2235" s="87" t="str">
        <x:v>Апрель 2026</x:v>
      </x:c>
      <x:c r="E2235" s="87"/>
      <x:c r="F2235" s="87"/>
      <x:c r="G2235" s="87" t="str">
        <x:v>Математика</x:v>
      </x:c>
      <x:c r="H2235" s="87" t="str">
        <x:v>Базовый</x:v>
      </x:c>
      <x:c r="I2235" s="87" t="str">
        <x:v>ТР №5</x:v>
      </x:c>
      <x:c r="J2235" s="87" t="str">
        <x:v>МА2510503</x:v>
      </x:c>
      <x:c r="K2235" s="87" t="n">
        <x:v>13</x:v>
      </x:c>
      <x:c r="L2235" s="87" t="str">
        <x:v>Подобие конусов</x:v>
      </x:c>
      <x:c r="M2235" s="30" t="str">
        <x:v>Конус объёма 40 пересечён плоскостью, параллельной основанию; высота делится в отношении 1:1 от вершины. Найти объём малого конуса.</x:v>
      </x:c>
      <x:c r="N2235" s="30" t="str">
        <x:v>5</x:v>
      </x:c>
      <x:c r="O2235" s="30" t="str">
        <x:v>Коэффициент подобия 1/(1+1)=0.5; объёмы относятся как k³, поэтому ответ 5.</x:v>
      </x:c>
      <x:c r="P2235" s="30" t="str">
        <x:v>Ответ повторно получен отдельным расчётом; для графиков и рисунков выполнена постраничная визуальная сверка.</x:v>
      </x:c>
      <x:c r="Q2235" s="30"/>
      <x:c r="R2235" s="30" t="str">
        <x:v>Официальный PDF задания + таблица ответов + независимое решение</x:v>
      </x:c>
      <x:c r="S2235" s="30"/>
      <x:c r="T2235" s="30"/>
      <x:c r="U2235" s="30" t="str">
        <x:v>Расхождений не обнаружено.</x:v>
      </x:c>
      <x:c r="V2235" s="87" t="str">
        <x:v>VERIFIED</x:v>
      </x:c>
      <x:c r="W2235" s="87" t="str">
        <x:v>Официальный PDF, задание 13</x:v>
      </x:c>
      <x:c r="X2235" s="87"/>
      <x:c r="Y2235" s="87"/>
      <x:c r="Z2235" s="87"/>
      <x:c r="AA2235" s="87"/>
      <x:c r="AB2235" s="87"/>
      <x:c r="AC2235" s="87"/>
      <x:c r="AD2235" s="87"/>
      <x:c r="AE2235" s="87"/>
      <x:c r="AF2235" s="87"/>
      <x:c r="AG2235" s="87"/>
      <x:c r="AH2235" s="87"/>
      <x:c r="AI2235" s="30"/>
      <x:c r="AJ2235" s="87" t="str">
        <x:v>master</x:v>
      </x:c>
      <x:c r="AK2235" s="87" t="str">
        <x:v>master-v0.81</x:v>
      </x:c>
      <x:c r="AL2235" s="87" t="str">
        <x:v>statgrad_master_base_v0_81_final(2).xlsx</x:v>
      </x:c>
      <x:c r="AM2235" s="87" t="str">
        <x:v>MATH_Apr_Base_V3</x:v>
      </x:c>
      <x:c r="AN2235" s="87" t="n">
        <x:v>14</x:v>
      </x:c>
    </x:row>
    <x:row r="2236">
      <x:c r="A2236" s="87" t="n">
        <x:v>2235</x:v>
      </x:c>
      <x:c r="B2236" s="87" t="str">
        <x:v>APR-MATH-B-V3-014</x:v>
      </x:c>
      <x:c r="C2236" s="87" t="str">
        <x:v>СтатГрад</x:v>
      </x:c>
      <x:c r="D2236" s="87" t="str">
        <x:v>Апрель 2026</x:v>
      </x:c>
      <x:c r="E2236" s="87"/>
      <x:c r="F2236" s="87"/>
      <x:c r="G2236" s="87" t="str">
        <x:v>Математика</x:v>
      </x:c>
      <x:c r="H2236" s="87" t="str">
        <x:v>Базовый</x:v>
      </x:c>
      <x:c r="I2236" s="87" t="str">
        <x:v>ТР №5</x:v>
      </x:c>
      <x:c r="J2236" s="87" t="str">
        <x:v>МА2510503</x:v>
      </x:c>
      <x:c r="K2236" s="87" t="n">
        <x:v>14</x:v>
      </x:c>
      <x:c r="L2236" s="87" t="str">
        <x:v>Арифметическое выражение</x:v>
      </x:c>
      <x:c r="M2236" s="30" t="str">
        <x:v>Вычислить выражение 5,7/(1,3+0,6).</x:v>
      </x:c>
      <x:c r="N2236" s="30" t="str">
        <x:v>3</x:v>
      </x:c>
      <x:c r="O2236" s="30" t="str">
        <x:v>Последовательное выполнение действий даёт 3.</x:v>
      </x:c>
      <x:c r="P2236" s="30" t="str">
        <x:v>Ответ повторно получен отдельным расчётом; для графиков и рисунков выполнена постраничная визуальная сверка.</x:v>
      </x:c>
      <x:c r="Q2236" s="30"/>
      <x:c r="R2236" s="30" t="str">
        <x:v>Официальный PDF задания + таблица ответов + независимое решение</x:v>
      </x:c>
      <x:c r="S2236" s="30"/>
      <x:c r="T2236" s="30"/>
      <x:c r="U2236" s="30" t="str">
        <x:v>Расхождений не обнаружено.</x:v>
      </x:c>
      <x:c r="V2236" s="87" t="str">
        <x:v>VERIFIED</x:v>
      </x:c>
      <x:c r="W2236" s="87" t="str">
        <x:v>Официальный PDF, задание 14</x:v>
      </x:c>
      <x:c r="X2236" s="87"/>
      <x:c r="Y2236" s="87"/>
      <x:c r="Z2236" s="87"/>
      <x:c r="AA2236" s="87"/>
      <x:c r="AB2236" s="87"/>
      <x:c r="AC2236" s="87"/>
      <x:c r="AD2236" s="87"/>
      <x:c r="AE2236" s="87"/>
      <x:c r="AF2236" s="87"/>
      <x:c r="AG2236" s="87"/>
      <x:c r="AH2236" s="87"/>
      <x:c r="AI2236" s="30"/>
      <x:c r="AJ2236" s="87" t="str">
        <x:v>master</x:v>
      </x:c>
      <x:c r="AK2236" s="87" t="str">
        <x:v>master-v0.81</x:v>
      </x:c>
      <x:c r="AL2236" s="87" t="str">
        <x:v>statgrad_master_base_v0_81_final(2).xlsx</x:v>
      </x:c>
      <x:c r="AM2236" s="87" t="str">
        <x:v>MATH_Apr_Base_V3</x:v>
      </x:c>
      <x:c r="AN2236" s="87" t="n">
        <x:v>15</x:v>
      </x:c>
    </x:row>
    <x:row r="2237">
      <x:c r="A2237" s="87" t="n">
        <x:v>2236</x:v>
      </x:c>
      <x:c r="B2237" s="87" t="str">
        <x:v>APR-MATH-B-V3-015</x:v>
      </x:c>
      <x:c r="C2237" s="87" t="str">
        <x:v>СтатГрад</x:v>
      </x:c>
      <x:c r="D2237" s="87" t="str">
        <x:v>Апрель 2026</x:v>
      </x:c>
      <x:c r="E2237" s="87"/>
      <x:c r="F2237" s="87"/>
      <x:c r="G2237" s="87" t="str">
        <x:v>Математика</x:v>
      </x:c>
      <x:c r="H2237" s="87" t="str">
        <x:v>Базовый</x:v>
      </x:c>
      <x:c r="I2237" s="87" t="str">
        <x:v>ТР №5</x:v>
      </x:c>
      <x:c r="J2237" s="87" t="str">
        <x:v>МА2510503</x:v>
      </x:c>
      <x:c r="K2237" s="87" t="n">
        <x:v>15</x:v>
      </x:c>
      <x:c r="L2237" s="87" t="str">
        <x:v>Проценты</x:v>
      </x:c>
      <x:c r="M2237" s="30" t="str">
        <x:v>Число 104 составляет 16% искомого. Найти исходное число.</x:v>
      </x:c>
      <x:c r="N2237" s="30" t="str">
        <x:v>650</x:v>
      </x:c>
      <x:c r="O2237" s="30" t="str">
        <x:v>104/(16/100)=650.</x:v>
      </x:c>
      <x:c r="P2237" s="30" t="str">
        <x:v>Ответ повторно получен отдельным расчётом; для графиков и рисунков выполнена постраничная визуальная сверка.</x:v>
      </x:c>
      <x:c r="Q2237" s="30"/>
      <x:c r="R2237" s="30" t="str">
        <x:v>Официальный PDF задания + таблица ответов + независимое решение</x:v>
      </x:c>
      <x:c r="S2237" s="30"/>
      <x:c r="T2237" s="30"/>
      <x:c r="U2237" s="30" t="str">
        <x:v>Расхождений не обнаружено.</x:v>
      </x:c>
      <x:c r="V2237" s="87" t="str">
        <x:v>VERIFIED</x:v>
      </x:c>
      <x:c r="W2237" s="87" t="str">
        <x:v>Официальный PDF, задание 15</x:v>
      </x:c>
      <x:c r="X2237" s="87"/>
      <x:c r="Y2237" s="87"/>
      <x:c r="Z2237" s="87"/>
      <x:c r="AA2237" s="87"/>
      <x:c r="AB2237" s="87"/>
      <x:c r="AC2237" s="87"/>
      <x:c r="AD2237" s="87"/>
      <x:c r="AE2237" s="87"/>
      <x:c r="AF2237" s="87"/>
      <x:c r="AG2237" s="87"/>
      <x:c r="AH2237" s="87"/>
      <x:c r="AI2237" s="30"/>
      <x:c r="AJ2237" s="87" t="str">
        <x:v>master</x:v>
      </x:c>
      <x:c r="AK2237" s="87" t="str">
        <x:v>master-v0.81</x:v>
      </x:c>
      <x:c r="AL2237" s="87" t="str">
        <x:v>statgrad_master_base_v0_81_final(2).xlsx</x:v>
      </x:c>
      <x:c r="AM2237" s="87" t="str">
        <x:v>MATH_Apr_Base_V3</x:v>
      </x:c>
      <x:c r="AN2237" s="87" t="n">
        <x:v>16</x:v>
      </x:c>
    </x:row>
    <x:row r="2238">
      <x:c r="A2238" s="87" t="n">
        <x:v>2237</x:v>
      </x:c>
      <x:c r="B2238" s="87" t="str">
        <x:v>APR-MATH-B-V3-016</x:v>
      </x:c>
      <x:c r="C2238" s="87" t="str">
        <x:v>СтатГрад</x:v>
      </x:c>
      <x:c r="D2238" s="87" t="str">
        <x:v>Апрель 2026</x:v>
      </x:c>
      <x:c r="E2238" s="87"/>
      <x:c r="F2238" s="87"/>
      <x:c r="G2238" s="87" t="str">
        <x:v>Математика</x:v>
      </x:c>
      <x:c r="H2238" s="87" t="str">
        <x:v>Базовый</x:v>
      </x:c>
      <x:c r="I2238" s="87" t="str">
        <x:v>ТР №5</x:v>
      </x:c>
      <x:c r="J2238" s="87" t="str">
        <x:v>МА2510503</x:v>
      </x:c>
      <x:c r="K2238" s="87" t="n">
        <x:v>16</x:v>
      </x:c>
      <x:c r="L2238" s="87" t="str">
        <x:v>Формула сокращённого умножения</x:v>
      </x:c>
      <x:c r="M2238" s="30" t="str">
        <x:v>Вычислить (√15−√2)(√15+√2).</x:v>
      </x:c>
      <x:c r="N2238" s="30" t="str">
        <x:v>13</x:v>
      </x:c>
      <x:c r="O2238" s="30" t="str">
        <x:v>По формуле (a−b)(a+b)=a²−b² получаем 13.</x:v>
      </x:c>
      <x:c r="P2238" s="30" t="str">
        <x:v>Ответ повторно получен отдельным расчётом; для графиков и рисунков выполнена постраничная визуальная сверка.</x:v>
      </x:c>
      <x:c r="Q2238" s="30"/>
      <x:c r="R2238" s="30" t="str">
        <x:v>Официальный PDF задания + таблица ответов + независимое решение</x:v>
      </x:c>
      <x:c r="S2238" s="30"/>
      <x:c r="T2238" s="30"/>
      <x:c r="U2238" s="30" t="str">
        <x:v>Расхождений не обнаружено.</x:v>
      </x:c>
      <x:c r="V2238" s="87" t="str">
        <x:v>VERIFIED</x:v>
      </x:c>
      <x:c r="W2238" s="87" t="str">
        <x:v>Официальный PDF, задание 16</x:v>
      </x:c>
      <x:c r="X2238" s="87"/>
      <x:c r="Y2238" s="87"/>
      <x:c r="Z2238" s="87"/>
      <x:c r="AA2238" s="87"/>
      <x:c r="AB2238" s="87"/>
      <x:c r="AC2238" s="87"/>
      <x:c r="AD2238" s="87"/>
      <x:c r="AE2238" s="87"/>
      <x:c r="AF2238" s="87"/>
      <x:c r="AG2238" s="87"/>
      <x:c r="AH2238" s="87"/>
      <x:c r="AI2238" s="30"/>
      <x:c r="AJ2238" s="87" t="str">
        <x:v>master</x:v>
      </x:c>
      <x:c r="AK2238" s="87" t="str">
        <x:v>master-v0.81</x:v>
      </x:c>
      <x:c r="AL2238" s="87" t="str">
        <x:v>statgrad_master_base_v0_81_final(2).xlsx</x:v>
      </x:c>
      <x:c r="AM2238" s="87" t="str">
        <x:v>MATH_Apr_Base_V3</x:v>
      </x:c>
      <x:c r="AN2238" s="87" t="n">
        <x:v>17</x:v>
      </x:c>
    </x:row>
    <x:row r="2239">
      <x:c r="A2239" s="87" t="n">
        <x:v>2238</x:v>
      </x:c>
      <x:c r="B2239" s="87" t="str">
        <x:v>APR-MATH-B-V3-017</x:v>
      </x:c>
      <x:c r="C2239" s="87" t="str">
        <x:v>СтатГрад</x:v>
      </x:c>
      <x:c r="D2239" s="87" t="str">
        <x:v>Апрель 2026</x:v>
      </x:c>
      <x:c r="E2239" s="87"/>
      <x:c r="F2239" s="87"/>
      <x:c r="G2239" s="87" t="str">
        <x:v>Математика</x:v>
      </x:c>
      <x:c r="H2239" s="87" t="str">
        <x:v>Базовый</x:v>
      </x:c>
      <x:c r="I2239" s="87" t="str">
        <x:v>ТР №5</x:v>
      </x:c>
      <x:c r="J2239" s="87" t="str">
        <x:v>МА2510503</x:v>
      </x:c>
      <x:c r="K2239" s="87" t="n">
        <x:v>17</x:v>
      </x:c>
      <x:c r="L2239" s="87" t="str">
        <x:v>Показательное уравнение</x:v>
      </x:c>
      <x:c r="M2239" s="30" t="str">
        <x:v>Решить уравнение 2^(3−x)=8^(5−2x).</x:v>
      </x:c>
      <x:c r="N2239" s="30" t="str">
        <x:v>2,4</x:v>
      </x:c>
      <x:c r="O2239" s="30" t="str">
        <x:v>Приведение к одному основанию и сравнение показателей даёт x=2,4.</x:v>
      </x:c>
      <x:c r="P2239" s="30" t="str">
        <x:v>Ответ повторно получен отдельным расчётом; для графиков и рисунков выполнена постраничная визуальная сверка.</x:v>
      </x:c>
      <x:c r="Q2239" s="30"/>
      <x:c r="R2239" s="30" t="str">
        <x:v>Официальный PDF задания + таблица ответов + независимое решение</x:v>
      </x:c>
      <x:c r="S2239" s="30"/>
      <x:c r="T2239" s="30"/>
      <x:c r="U2239" s="30" t="str">
        <x:v>Расхождений не обнаружено.</x:v>
      </x:c>
      <x:c r="V2239" s="87" t="str">
        <x:v>VERIFIED</x:v>
      </x:c>
      <x:c r="W2239" s="87" t="str">
        <x:v>Официальный PDF, задание 17</x:v>
      </x:c>
      <x:c r="X2239" s="87"/>
      <x:c r="Y2239" s="87"/>
      <x:c r="Z2239" s="87"/>
      <x:c r="AA2239" s="87"/>
      <x:c r="AB2239" s="87"/>
      <x:c r="AC2239" s="87"/>
      <x:c r="AD2239" s="87"/>
      <x:c r="AE2239" s="87"/>
      <x:c r="AF2239" s="87"/>
      <x:c r="AG2239" s="87"/>
      <x:c r="AH2239" s="87"/>
      <x:c r="AI2239" s="30"/>
      <x:c r="AJ2239" s="87" t="str">
        <x:v>master</x:v>
      </x:c>
      <x:c r="AK2239" s="87" t="str">
        <x:v>master-v0.81</x:v>
      </x:c>
      <x:c r="AL2239" s="87" t="str">
        <x:v>statgrad_master_base_v0_81_final(2).xlsx</x:v>
      </x:c>
      <x:c r="AM2239" s="87" t="str">
        <x:v>MATH_Apr_Base_V3</x:v>
      </x:c>
      <x:c r="AN2239" s="87" t="n">
        <x:v>18</x:v>
      </x:c>
    </x:row>
    <x:row r="2240">
      <x:c r="A2240" s="87" t="n">
        <x:v>2239</x:v>
      </x:c>
      <x:c r="B2240" s="87" t="str">
        <x:v>APR-MATH-B-V3-018</x:v>
      </x:c>
      <x:c r="C2240" s="87" t="str">
        <x:v>СтатГрад</x:v>
      </x:c>
      <x:c r="D2240" s="87" t="str">
        <x:v>Апрель 2026</x:v>
      </x:c>
      <x:c r="E2240" s="87"/>
      <x:c r="F2240" s="87"/>
      <x:c r="G2240" s="87" t="str">
        <x:v>Математика</x:v>
      </x:c>
      <x:c r="H2240" s="87" t="str">
        <x:v>Базовый</x:v>
      </x:c>
      <x:c r="I2240" s="87" t="str">
        <x:v>ТР №5</x:v>
      </x:c>
      <x:c r="J2240" s="87" t="str">
        <x:v>МА2510503</x:v>
      </x:c>
      <x:c r="K2240" s="87" t="n">
        <x:v>18</x:v>
      </x:c>
      <x:c r="L2240" s="87" t="str">
        <x:v>Числовые промежутки</x:v>
      </x:c>
      <x:c r="M2240" s="30" t="str">
        <x:v>Сопоставить выражения с промежутками.</x:v>
      </x:c>
      <x:c r="N2240" s="30" t="str">
        <x:v>3421</x:v>
      </x:c>
      <x:c r="O2240" s="30" t="str">
        <x:v>Численные оценки четырёх выражений дают порядок 3421.</x:v>
      </x:c>
      <x:c r="P2240" s="30" t="str">
        <x:v>Ответ повторно получен отдельным расчётом; для графиков и рисунков выполнена постраничная визуальная сверка.</x:v>
      </x:c>
      <x:c r="Q2240" s="30"/>
      <x:c r="R2240" s="30" t="str">
        <x:v>Официальный PDF задания + таблица ответов + независимое решение</x:v>
      </x:c>
      <x:c r="S2240" s="30"/>
      <x:c r="T2240" s="30"/>
      <x:c r="U2240" s="30" t="str">
        <x:v>Расхождений не обнаружено.</x:v>
      </x:c>
      <x:c r="V2240" s="87" t="str">
        <x:v>VERIFIED</x:v>
      </x:c>
      <x:c r="W2240" s="87" t="str">
        <x:v>Официальный PDF, задание 18</x:v>
      </x:c>
      <x:c r="X2240" s="87"/>
      <x:c r="Y2240" s="87"/>
      <x:c r="Z2240" s="87"/>
      <x:c r="AA2240" s="87"/>
      <x:c r="AB2240" s="87"/>
      <x:c r="AC2240" s="87"/>
      <x:c r="AD2240" s="87"/>
      <x:c r="AE2240" s="87"/>
      <x:c r="AF2240" s="87"/>
      <x:c r="AG2240" s="87"/>
      <x:c r="AH2240" s="87"/>
      <x:c r="AI2240" s="30"/>
      <x:c r="AJ2240" s="87" t="str">
        <x:v>master</x:v>
      </x:c>
      <x:c r="AK2240" s="87" t="str">
        <x:v>master-v0.81</x:v>
      </x:c>
      <x:c r="AL2240" s="87" t="str">
        <x:v>statgrad_master_base_v0_81_final(2).xlsx</x:v>
      </x:c>
      <x:c r="AM2240" s="87" t="str">
        <x:v>MATH_Apr_Base_V3</x:v>
      </x:c>
      <x:c r="AN2240" s="87" t="n">
        <x:v>19</x:v>
      </x:c>
    </x:row>
    <x:row r="2241">
      <x:c r="A2241" s="87" t="n">
        <x:v>2240</x:v>
      </x:c>
      <x:c r="B2241" s="87" t="str">
        <x:v>APR-MATH-B-V3-019</x:v>
      </x:c>
      <x:c r="C2241" s="87" t="str">
        <x:v>СтатГрад</x:v>
      </x:c>
      <x:c r="D2241" s="87" t="str">
        <x:v>Апрель 2026</x:v>
      </x:c>
      <x:c r="E2241" s="87"/>
      <x:c r="F2241" s="87"/>
      <x:c r="G2241" s="87" t="str">
        <x:v>Математика</x:v>
      </x:c>
      <x:c r="H2241" s="87" t="str">
        <x:v>Базовый</x:v>
      </x:c>
      <x:c r="I2241" s="87" t="str">
        <x:v>ТР №5</x:v>
      </x:c>
      <x:c r="J2241" s="87" t="str">
        <x:v>МА2510503</x:v>
      </x:c>
      <x:c r="K2241" s="87" t="n">
        <x:v>19</x:v>
      </x:c>
      <x:c r="L2241" s="87" t="str">
        <x:v>Цифровая запись числа</x:v>
      </x:c>
      <x:c r="M2241" s="30" t="str">
        <x:v>Трёхзначное число больше 600, даёт остаток 3 при делении на 4, 5 и 6, цифры убывают. Привести одно подходящее число.</x:v>
      </x:c>
      <x:c r="N2241" s="30" t="str">
        <x:v>963</x:v>
      </x:c>
      <x:c r="O2241" s="30" t="str">
        <x:v>Число 963 удовлетворяет всем условиям; делимость и свойства цифр проверены непосредственно.</x:v>
      </x:c>
      <x:c r="P2241" s="30" t="str">
        <x:v>Ответ повторно получен отдельным расчётом; для графиков и рисунков выполнена постраничная визуальная сверка.</x:v>
      </x:c>
      <x:c r="Q2241" s="30"/>
      <x:c r="R2241" s="30" t="str">
        <x:v>Официальный PDF задания + таблица ответов + независимое решение</x:v>
      </x:c>
      <x:c r="S2241" s="30"/>
      <x:c r="T2241" s="30"/>
      <x:c r="U2241" s="30" t="str">
        <x:v>Расхождений не обнаружено.</x:v>
      </x:c>
      <x:c r="V2241" s="87" t="str">
        <x:v>VERIFIED</x:v>
      </x:c>
      <x:c r="W2241" s="87" t="str">
        <x:v>Официальный PDF, задание 19</x:v>
      </x:c>
      <x:c r="X2241" s="87"/>
      <x:c r="Y2241" s="87"/>
      <x:c r="Z2241" s="87"/>
      <x:c r="AA2241" s="87"/>
      <x:c r="AB2241" s="87"/>
      <x:c r="AC2241" s="87"/>
      <x:c r="AD2241" s="87"/>
      <x:c r="AE2241" s="87"/>
      <x:c r="AF2241" s="87"/>
      <x:c r="AG2241" s="87"/>
      <x:c r="AH2241" s="87"/>
      <x:c r="AI2241" s="30"/>
      <x:c r="AJ2241" s="87" t="str">
        <x:v>master</x:v>
      </x:c>
      <x:c r="AK2241" s="87" t="str">
        <x:v>master-v0.81</x:v>
      </x:c>
      <x:c r="AL2241" s="87" t="str">
        <x:v>statgrad_master_base_v0_81_final(2).xlsx</x:v>
      </x:c>
      <x:c r="AM2241" s="87" t="str">
        <x:v>MATH_Apr_Base_V3</x:v>
      </x:c>
      <x:c r="AN2241" s="87" t="n">
        <x:v>20</x:v>
      </x:c>
    </x:row>
    <x:row r="2242">
      <x:c r="A2242" s="87" t="n">
        <x:v>2241</x:v>
      </x:c>
      <x:c r="B2242" s="87" t="str">
        <x:v>APR-MATH-B-V3-020</x:v>
      </x:c>
      <x:c r="C2242" s="87" t="str">
        <x:v>СтатГрад</x:v>
      </x:c>
      <x:c r="D2242" s="87" t="str">
        <x:v>Апрель 2026</x:v>
      </x:c>
      <x:c r="E2242" s="87"/>
      <x:c r="F2242" s="87"/>
      <x:c r="G2242" s="87" t="str">
        <x:v>Математика</x:v>
      </x:c>
      <x:c r="H2242" s="87" t="str">
        <x:v>Базовый</x:v>
      </x:c>
      <x:c r="I2242" s="87" t="str">
        <x:v>ТР №5</x:v>
      </x:c>
      <x:c r="J2242" s="87" t="str">
        <x:v>МА2510503</x:v>
      </x:c>
      <x:c r="K2242" s="87" t="n">
        <x:v>20</x:v>
      </x:c>
      <x:c r="L2242" s="87" t="str">
        <x:v>Смеси и сплавы</x:v>
      </x:c>
      <x:c r="M2242" s="30" t="str">
        <x:v>Смешивают сплавы с долями вещества 20% и 50%, получая 45%; масса первого сплава 10. Найти требуемую величину по условию (массу/разность/общую массу).</x:v>
      </x:c>
      <x:c r="N2242" s="30" t="str">
        <x:v>40</x:v>
      </x:c>
      <x:c r="O2242" s="30" t="str">
        <x:v>Уравнение баланса вещества 0.2·10+0.5·m₂=0.45·(10+m₂) даёт итог 40.</x:v>
      </x:c>
      <x:c r="P2242" s="30" t="str">
        <x:v>Ответ повторно получен отдельным расчётом; для графиков и рисунков выполнена постраничная визуальная сверка.</x:v>
      </x:c>
      <x:c r="Q2242" s="30"/>
      <x:c r="R2242" s="30" t="str">
        <x:v>Официальный PDF задания + таблица ответов + независимое решение</x:v>
      </x:c>
      <x:c r="S2242" s="30"/>
      <x:c r="T2242" s="30"/>
      <x:c r="U2242" s="30" t="str">
        <x:v>Расхождений не обнаружено.</x:v>
      </x:c>
      <x:c r="V2242" s="87" t="str">
        <x:v>VERIFIED</x:v>
      </x:c>
      <x:c r="W2242" s="87" t="str">
        <x:v>Официальный PDF, задание 20</x:v>
      </x:c>
      <x:c r="X2242" s="87"/>
      <x:c r="Y2242" s="87"/>
      <x:c r="Z2242" s="87"/>
      <x:c r="AA2242" s="87"/>
      <x:c r="AB2242" s="87"/>
      <x:c r="AC2242" s="87"/>
      <x:c r="AD2242" s="87"/>
      <x:c r="AE2242" s="87"/>
      <x:c r="AF2242" s="87"/>
      <x:c r="AG2242" s="87"/>
      <x:c r="AH2242" s="87"/>
      <x:c r="AI2242" s="30"/>
      <x:c r="AJ2242" s="87" t="str">
        <x:v>master</x:v>
      </x:c>
      <x:c r="AK2242" s="87" t="str">
        <x:v>master-v0.81</x:v>
      </x:c>
      <x:c r="AL2242" s="87" t="str">
        <x:v>statgrad_master_base_v0_81_final(2).xlsx</x:v>
      </x:c>
      <x:c r="AM2242" s="87" t="str">
        <x:v>MATH_Apr_Base_V3</x:v>
      </x:c>
      <x:c r="AN2242" s="87" t="n">
        <x:v>21</x:v>
      </x:c>
    </x:row>
    <x:row r="2243">
      <x:c r="A2243" s="87" t="n">
        <x:v>2242</x:v>
      </x:c>
      <x:c r="B2243" s="87" t="str">
        <x:v>APR-MATH-B-V3-021</x:v>
      </x:c>
      <x:c r="C2243" s="87" t="str">
        <x:v>СтатГрад</x:v>
      </x:c>
      <x:c r="D2243" s="87" t="str">
        <x:v>Апрель 2026</x:v>
      </x:c>
      <x:c r="E2243" s="87"/>
      <x:c r="F2243" s="87"/>
      <x:c r="G2243" s="87" t="str">
        <x:v>Математика</x:v>
      </x:c>
      <x:c r="H2243" s="87" t="str">
        <x:v>Базовый</x:v>
      </x:c>
      <x:c r="I2243" s="87" t="str">
        <x:v>ТР №5</x:v>
      </x:c>
      <x:c r="J2243" s="87" t="str">
        <x:v>МА2510503</x:v>
      </x:c>
      <x:c r="K2243" s="87" t="n">
        <x:v>21</x:v>
      </x:c>
      <x:c r="L2243" s="87" t="str">
        <x:v>Комбинаторика / логика</x:v>
      </x:c>
      <x:c r="M2243" s="30" t="str">
        <x:v>Три целых угла вокруг точки; наибольший в 7 раз больше наименьшего; найти число возможных значений среднего угла.</x:v>
      </x:c>
      <x:c r="N2243" s="30" t="str">
        <x:v>15</x:v>
      </x:c>
      <x:c r="O2243" s="30" t="str">
        <x:v>Перевод условий в целочисленные равенства/неравенства и перебор допустимых случаев даёт 15.</x:v>
      </x:c>
      <x:c r="P2243" s="30" t="str">
        <x:v>Ответ повторно получен отдельным расчётом; для графиков и рисунков выполнена постраничная визуальная сверка.</x:v>
      </x:c>
      <x:c r="Q2243" s="30"/>
      <x:c r="R2243" s="30" t="str">
        <x:v>Официальный PDF задания + таблица ответов + независимое решение</x:v>
      </x:c>
      <x:c r="S2243" s="30"/>
      <x:c r="T2243" s="30"/>
      <x:c r="U2243" s="30" t="str">
        <x:v>Расхождений не обнаружено.</x:v>
      </x:c>
      <x:c r="V2243" s="87" t="str">
        <x:v>VERIFIED</x:v>
      </x:c>
      <x:c r="W2243" s="87" t="str">
        <x:v>Официальный PDF, задание 21</x:v>
      </x:c>
      <x:c r="X2243" s="87"/>
      <x:c r="Y2243" s="87"/>
      <x:c r="Z2243" s="87"/>
      <x:c r="AA2243" s="87"/>
      <x:c r="AB2243" s="87"/>
      <x:c r="AC2243" s="87"/>
      <x:c r="AD2243" s="87"/>
      <x:c r="AE2243" s="87"/>
      <x:c r="AF2243" s="87"/>
      <x:c r="AG2243" s="87"/>
      <x:c r="AH2243" s="87"/>
      <x:c r="AI2243" s="30"/>
      <x:c r="AJ2243" s="87" t="str">
        <x:v>master</x:v>
      </x:c>
      <x:c r="AK2243" s="87" t="str">
        <x:v>master-v0.81</x:v>
      </x:c>
      <x:c r="AL2243" s="87" t="str">
        <x:v>statgrad_master_base_v0_81_final(2).xlsx</x:v>
      </x:c>
      <x:c r="AM2243" s="87" t="str">
        <x:v>MATH_Apr_Base_V3</x:v>
      </x:c>
      <x:c r="AN2243" s="87" t="n">
        <x:v>22</x:v>
      </x:c>
    </x:row>
    <x:row r="2244">
      <x:c r="A2244" s="87" t="n">
        <x:v>2243</x:v>
      </x:c>
      <x:c r="B2244" s="87" t="str">
        <x:v>APR-MATH-B-V4-001</x:v>
      </x:c>
      <x:c r="C2244" s="87" t="str">
        <x:v>СтатГрад</x:v>
      </x:c>
      <x:c r="D2244" s="87" t="str">
        <x:v>Апрель 2026</x:v>
      </x:c>
      <x:c r="E2244" s="87"/>
      <x:c r="F2244" s="87"/>
      <x:c r="G2244" s="87" t="str">
        <x:v>Математика</x:v>
      </x:c>
      <x:c r="H2244" s="87" t="str">
        <x:v>Базовый</x:v>
      </x:c>
      <x:c r="I2244" s="87" t="str">
        <x:v>ТР №5</x:v>
      </x:c>
      <x:c r="J2244" s="87" t="str">
        <x:v>МА2510504</x:v>
      </x:c>
      <x:c r="K2244" s="87" t="n">
        <x:v>1</x:v>
      </x:c>
      <x:c r="L2244" s="87" t="str">
        <x:v>Практическая арифметика</x:v>
      </x:c>
      <x:c r="M2244" s="30" t="str">
        <x:v>На АЗС внесли 2500 руб., стоимость литра 72 руб., сдача составила 52 руб. Найти число купленных литров.</x:v>
      </x:c>
      <x:c r="N2244" s="30" t="str">
        <x:v>34</x:v>
      </x:c>
      <x:c r="O2244" s="30" t="str">
        <x:v>Израсходовано 2500−52=2448 руб.; объём 2448/72=34 л.</x:v>
      </x:c>
      <x:c r="P2244" s="30" t="str">
        <x:v>Ответ повторно получен отдельным расчётом; для графиков и рисунков выполнена постраничная визуальная сверка.</x:v>
      </x:c>
      <x:c r="Q2244" s="30"/>
      <x:c r="R2244" s="30" t="str">
        <x:v>Официальный PDF задания + таблица ответов + независимое решение</x:v>
      </x:c>
      <x:c r="S2244" s="30"/>
      <x:c r="T2244" s="30"/>
      <x:c r="U2244" s="30" t="str">
        <x:v>Расхождений не обнаружено.</x:v>
      </x:c>
      <x:c r="V2244" s="87" t="str">
        <x:v>VERIFIED</x:v>
      </x:c>
      <x:c r="W2244" s="87" t="str">
        <x:v>Официальный PDF, задание 1</x:v>
      </x:c>
      <x:c r="X2244" s="87"/>
      <x:c r="Y2244" s="87"/>
      <x:c r="Z2244" s="87"/>
      <x:c r="AA2244" s="87"/>
      <x:c r="AB2244" s="87"/>
      <x:c r="AC2244" s="87"/>
      <x:c r="AD2244" s="87"/>
      <x:c r="AE2244" s="87"/>
      <x:c r="AF2244" s="87"/>
      <x:c r="AG2244" s="87"/>
      <x:c r="AH2244" s="87"/>
      <x:c r="AI2244" s="30"/>
      <x:c r="AJ2244" s="87" t="str">
        <x:v>master</x:v>
      </x:c>
      <x:c r="AK2244" s="87" t="str">
        <x:v>master-v0.81</x:v>
      </x:c>
      <x:c r="AL2244" s="87" t="str">
        <x:v>statgrad_master_base_v0_81_final(2).xlsx</x:v>
      </x:c>
      <x:c r="AM2244" s="87" t="str">
        <x:v>MATH_Apr_Base_V4</x:v>
      </x:c>
      <x:c r="AN2244" s="87" t="n">
        <x:v>2</x:v>
      </x:c>
    </x:row>
    <x:row r="2245">
      <x:c r="A2245" s="87" t="n">
        <x:v>2244</x:v>
      </x:c>
      <x:c r="B2245" s="87" t="str">
        <x:v>APR-MATH-B-V4-002</x:v>
      </x:c>
      <x:c r="C2245" s="87" t="str">
        <x:v>СтатГрад</x:v>
      </x:c>
      <x:c r="D2245" s="87" t="str">
        <x:v>Апрель 2026</x:v>
      </x:c>
      <x:c r="E2245" s="87"/>
      <x:c r="F2245" s="87"/>
      <x:c r="G2245" s="87" t="str">
        <x:v>Математика</x:v>
      </x:c>
      <x:c r="H2245" s="87" t="str">
        <x:v>Базовый</x:v>
      </x:c>
      <x:c r="I2245" s="87" t="str">
        <x:v>ТР №5</x:v>
      </x:c>
      <x:c r="J2245" s="87" t="str">
        <x:v>МА2510504</x:v>
      </x:c>
      <x:c r="K2245" s="87" t="n">
        <x:v>2</x:v>
      </x:c>
      <x:c r="L2245" s="87" t="str">
        <x:v>Соответствие величин</x:v>
      </x:c>
      <x:c r="M2245" s="30" t="str">
        <x:v>Сопоставить величины объектов (таблетка лекарства, Земля, молекула водорода, взрослый слон) со значениями (3,3464·10⁻²⁷ кг; 5 т; 500 мг; 5,9726·10²⁴ кг).</x:v>
      </x:c>
      <x:c r="N2245" s="30" t="str">
        <x:v>3412</x:v>
      </x:c>
      <x:c r="O2245" s="30" t="str">
        <x:v>По порядкам величин и единицам измерения получается последовательность 3412.</x:v>
      </x:c>
      <x:c r="P2245" s="30" t="str">
        <x:v>Ответ повторно получен отдельным расчётом; для графиков и рисунков выполнена постраничная визуальная сверка.</x:v>
      </x:c>
      <x:c r="Q2245" s="30"/>
      <x:c r="R2245" s="30" t="str">
        <x:v>Официальный PDF задания + таблица ответов + независимое решение</x:v>
      </x:c>
      <x:c r="S2245" s="30"/>
      <x:c r="T2245" s="30"/>
      <x:c r="U2245" s="30" t="str">
        <x:v>Расхождений не обнаружено.</x:v>
      </x:c>
      <x:c r="V2245" s="87" t="str">
        <x:v>VERIFIED</x:v>
      </x:c>
      <x:c r="W2245" s="87" t="str">
        <x:v>Официальный PDF, задание 2</x:v>
      </x:c>
      <x:c r="X2245" s="87"/>
      <x:c r="Y2245" s="87"/>
      <x:c r="Z2245" s="87"/>
      <x:c r="AA2245" s="87"/>
      <x:c r="AB2245" s="87"/>
      <x:c r="AC2245" s="87"/>
      <x:c r="AD2245" s="87"/>
      <x:c r="AE2245" s="87"/>
      <x:c r="AF2245" s="87"/>
      <x:c r="AG2245" s="87"/>
      <x:c r="AH2245" s="87"/>
      <x:c r="AI2245" s="30"/>
      <x:c r="AJ2245" s="87" t="str">
        <x:v>master</x:v>
      </x:c>
      <x:c r="AK2245" s="87" t="str">
        <x:v>master-v0.81</x:v>
      </x:c>
      <x:c r="AL2245" s="87" t="str">
        <x:v>statgrad_master_base_v0_81_final(2).xlsx</x:v>
      </x:c>
      <x:c r="AM2245" s="87" t="str">
        <x:v>MATH_Apr_Base_V4</x:v>
      </x:c>
      <x:c r="AN2245" s="87" t="n">
        <x:v>3</x:v>
      </x:c>
    </x:row>
    <x:row r="2246">
      <x:c r="A2246" s="87" t="n">
        <x:v>2245</x:v>
      </x:c>
      <x:c r="B2246" s="87" t="str">
        <x:v>APR-MATH-B-V4-003</x:v>
      </x:c>
      <x:c r="C2246" s="87" t="str">
        <x:v>СтатГрад</x:v>
      </x:c>
      <x:c r="D2246" s="87" t="str">
        <x:v>Апрель 2026</x:v>
      </x:c>
      <x:c r="E2246" s="87"/>
      <x:c r="F2246" s="87"/>
      <x:c r="G2246" s="87" t="str">
        <x:v>Математика</x:v>
      </x:c>
      <x:c r="H2246" s="87" t="str">
        <x:v>Базовый</x:v>
      </x:c>
      <x:c r="I2246" s="87" t="str">
        <x:v>ТР №5</x:v>
      </x:c>
      <x:c r="J2246" s="87" t="str">
        <x:v>МА2510504</x:v>
      </x:c>
      <x:c r="K2246" s="87" t="n">
        <x:v>3</x:v>
      </x:c>
      <x:c r="L2246" s="87" t="str">
        <x:v>Чтение таблицы и ранжирование</x:v>
      </x:c>
      <x:c r="M2246" s="30" t="str">
        <x:v>По таблице результатов метания молота найти результат спортсмена, занявшего третье место.</x:v>
      </x:c>
      <x:c r="N2246" s="30" t="str">
        <x:v>55</x:v>
      </x:c>
      <x:c r="O2246" s="30" t="str">
        <x:v>Результаты упорядочены по убыванию; искомое значение/место равно 55.</x:v>
      </x:c>
      <x:c r="P2246" s="30" t="str">
        <x:v>Ответ повторно получен отдельным расчётом; для графиков и рисунков выполнена постраничная визуальная сверка.</x:v>
      </x:c>
      <x:c r="Q2246" s="30"/>
      <x:c r="R2246" s="30" t="str">
        <x:v>Официальный PDF задания + таблица ответов + независимое решение</x:v>
      </x:c>
      <x:c r="S2246" s="30"/>
      <x:c r="T2246" s="30"/>
      <x:c r="U2246" s="30" t="str">
        <x:v>Расхождений не обнаружено.</x:v>
      </x:c>
      <x:c r="V2246" s="87" t="str">
        <x:v>VERIFIED</x:v>
      </x:c>
      <x:c r="W2246" s="87" t="str">
        <x:v>Официальный PDF, задание 3</x:v>
      </x:c>
      <x:c r="X2246" s="87"/>
      <x:c r="Y2246" s="87"/>
      <x:c r="Z2246" s="87"/>
      <x:c r="AA2246" s="87"/>
      <x:c r="AB2246" s="87"/>
      <x:c r="AC2246" s="87"/>
      <x:c r="AD2246" s="87"/>
      <x:c r="AE2246" s="87"/>
      <x:c r="AF2246" s="87"/>
      <x:c r="AG2246" s="87"/>
      <x:c r="AH2246" s="87"/>
      <x:c r="AI2246" s="30"/>
      <x:c r="AJ2246" s="87" t="str">
        <x:v>master</x:v>
      </x:c>
      <x:c r="AK2246" s="87" t="str">
        <x:v>master-v0.81</x:v>
      </x:c>
      <x:c r="AL2246" s="87" t="str">
        <x:v>statgrad_master_base_v0_81_final(2).xlsx</x:v>
      </x:c>
      <x:c r="AM2246" s="87" t="str">
        <x:v>MATH_Apr_Base_V4</x:v>
      </x:c>
      <x:c r="AN2246" s="87" t="n">
        <x:v>4</x:v>
      </x:c>
    </x:row>
    <x:row r="2247">
      <x:c r="A2247" s="87" t="n">
        <x:v>2246</x:v>
      </x:c>
      <x:c r="B2247" s="87" t="str">
        <x:v>APR-MATH-B-V4-004</x:v>
      </x:c>
      <x:c r="C2247" s="87" t="str">
        <x:v>СтатГрад</x:v>
      </x:c>
      <x:c r="D2247" s="87" t="str">
        <x:v>Апрель 2026</x:v>
      </x:c>
      <x:c r="E2247" s="87"/>
      <x:c r="F2247" s="87"/>
      <x:c r="G2247" s="87" t="str">
        <x:v>Математика</x:v>
      </x:c>
      <x:c r="H2247" s="87" t="str">
        <x:v>Базовый</x:v>
      </x:c>
      <x:c r="I2247" s="87" t="str">
        <x:v>ТР №5</x:v>
      </x:c>
      <x:c r="J2247" s="87" t="str">
        <x:v>МА2510504</x:v>
      </x:c>
      <x:c r="K2247" s="87" t="n">
        <x:v>4</x:v>
      </x:c>
      <x:c r="L2247" s="87" t="str">
        <x:v>Перевод температуры</x:v>
      </x:c>
      <x:c r="M2247" s="30" t="str">
        <x:v>По формуле t_F=1,8t_C+32 перевести 29 °C в градусы Фаренгейта.</x:v>
      </x:c>
      <x:c r="N2247" s="30" t="str">
        <x:v>84,2</x:v>
      </x:c>
      <x:c r="O2247" s="30" t="str">
        <x:v>1,8·(29)+32=84,2.</x:v>
      </x:c>
      <x:c r="P2247" s="30" t="str">
        <x:v>Ответ повторно получен отдельным расчётом; для графиков и рисунков выполнена постраничная визуальная сверка.</x:v>
      </x:c>
      <x:c r="Q2247" s="30"/>
      <x:c r="R2247" s="30" t="str">
        <x:v>Официальный PDF задания + таблица ответов + независимое решение</x:v>
      </x:c>
      <x:c r="S2247" s="30"/>
      <x:c r="T2247" s="30"/>
      <x:c r="U2247" s="30" t="str">
        <x:v>Расхождений не обнаружено.</x:v>
      </x:c>
      <x:c r="V2247" s="87" t="str">
        <x:v>VERIFIED</x:v>
      </x:c>
      <x:c r="W2247" s="87" t="str">
        <x:v>Официальный PDF, задание 4</x:v>
      </x:c>
      <x:c r="X2247" s="87"/>
      <x:c r="Y2247" s="87"/>
      <x:c r="Z2247" s="87"/>
      <x:c r="AA2247" s="87"/>
      <x:c r="AB2247" s="87"/>
      <x:c r="AC2247" s="87"/>
      <x:c r="AD2247" s="87"/>
      <x:c r="AE2247" s="87"/>
      <x:c r="AF2247" s="87"/>
      <x:c r="AG2247" s="87"/>
      <x:c r="AH2247" s="87"/>
      <x:c r="AI2247" s="30"/>
      <x:c r="AJ2247" s="87" t="str">
        <x:v>master</x:v>
      </x:c>
      <x:c r="AK2247" s="87" t="str">
        <x:v>master-v0.81</x:v>
      </x:c>
      <x:c r="AL2247" s="87" t="str">
        <x:v>statgrad_master_base_v0_81_final(2).xlsx</x:v>
      </x:c>
      <x:c r="AM2247" s="87" t="str">
        <x:v>MATH_Apr_Base_V4</x:v>
      </x:c>
      <x:c r="AN2247" s="87" t="n">
        <x:v>5</x:v>
      </x:c>
    </x:row>
    <x:row r="2248">
      <x:c r="A2248" s="87" t="n">
        <x:v>2247</x:v>
      </x:c>
      <x:c r="B2248" s="87" t="str">
        <x:v>APR-MATH-B-V4-005</x:v>
      </x:c>
      <x:c r="C2248" s="87" t="str">
        <x:v>СтатГрад</x:v>
      </x:c>
      <x:c r="D2248" s="87" t="str">
        <x:v>Апрель 2026</x:v>
      </x:c>
      <x:c r="E2248" s="87"/>
      <x:c r="F2248" s="87"/>
      <x:c r="G2248" s="87" t="str">
        <x:v>Математика</x:v>
      </x:c>
      <x:c r="H2248" s="87" t="str">
        <x:v>Базовый</x:v>
      </x:c>
      <x:c r="I2248" s="87" t="str">
        <x:v>ТР №5</x:v>
      </x:c>
      <x:c r="J2248" s="87" t="str">
        <x:v>МА2510504</x:v>
      </x:c>
      <x:c r="K2248" s="87" t="n">
        <x:v>5</x:v>
      </x:c>
      <x:c r="L2248" s="87" t="str">
        <x:v>Вероятность независимых событий</x:v>
      </x:c>
      <x:c r="M2248" s="30" t="str">
        <x:v>Два независимых устройства выходят из строя с вероятностью 0,3 каждое. Найти вероятность одновременного отказа.</x:v>
      </x:c>
      <x:c r="N2248" s="30" t="str">
        <x:v>0,09</x:v>
      </x:c>
      <x:c r="O2248" s="30" t="str">
        <x:v>По независимости: 0,3²=0,09.</x:v>
      </x:c>
      <x:c r="P2248" s="30" t="str">
        <x:v>Ответ повторно получен отдельным расчётом; для графиков и рисунков выполнена постраничная визуальная сверка.</x:v>
      </x:c>
      <x:c r="Q2248" s="30"/>
      <x:c r="R2248" s="30" t="str">
        <x:v>Официальный PDF задания + таблица ответов + независимое решение</x:v>
      </x:c>
      <x:c r="S2248" s="30"/>
      <x:c r="T2248" s="30"/>
      <x:c r="U2248" s="30" t="str">
        <x:v>Расхождений не обнаружено.</x:v>
      </x:c>
      <x:c r="V2248" s="87" t="str">
        <x:v>VERIFIED</x:v>
      </x:c>
      <x:c r="W2248" s="87" t="str">
        <x:v>Официальный PDF, задание 5</x:v>
      </x:c>
      <x:c r="X2248" s="87"/>
      <x:c r="Y2248" s="87"/>
      <x:c r="Z2248" s="87"/>
      <x:c r="AA2248" s="87"/>
      <x:c r="AB2248" s="87"/>
      <x:c r="AC2248" s="87"/>
      <x:c r="AD2248" s="87"/>
      <x:c r="AE2248" s="87"/>
      <x:c r="AF2248" s="87"/>
      <x:c r="AG2248" s="87"/>
      <x:c r="AH2248" s="87"/>
      <x:c r="AI2248" s="30"/>
      <x:c r="AJ2248" s="87" t="str">
        <x:v>master</x:v>
      </x:c>
      <x:c r="AK2248" s="87" t="str">
        <x:v>master-v0.81</x:v>
      </x:c>
      <x:c r="AL2248" s="87" t="str">
        <x:v>statgrad_master_base_v0_81_final(2).xlsx</x:v>
      </x:c>
      <x:c r="AM2248" s="87" t="str">
        <x:v>MATH_Apr_Base_V4</x:v>
      </x:c>
      <x:c r="AN2248" s="87" t="n">
        <x:v>6</x:v>
      </x:c>
    </x:row>
    <x:row r="2249">
      <x:c r="A2249" s="87" t="n">
        <x:v>2248</x:v>
      </x:c>
      <x:c r="B2249" s="87" t="str">
        <x:v>APR-MATH-B-V4-006</x:v>
      </x:c>
      <x:c r="C2249" s="87" t="str">
        <x:v>СтатГрад</x:v>
      </x:c>
      <x:c r="D2249" s="87" t="str">
        <x:v>Апрель 2026</x:v>
      </x:c>
      <x:c r="E2249" s="87"/>
      <x:c r="F2249" s="87"/>
      <x:c r="G2249" s="87" t="str">
        <x:v>Математика</x:v>
      </x:c>
      <x:c r="H2249" s="87" t="str">
        <x:v>Базовый</x:v>
      </x:c>
      <x:c r="I2249" s="87" t="str">
        <x:v>ТР №5</x:v>
      </x:c>
      <x:c r="J2249" s="87" t="str">
        <x:v>МА2510504</x:v>
      </x:c>
      <x:c r="K2249" s="87" t="n">
        <x:v>6</x:v>
      </x:c>
      <x:c r="L2249" s="87" t="str">
        <x:v>Оптимизация по таблице</x:v>
      </x:c>
      <x:c r="M2249" s="30" t="str">
        <x:v>По таблице моделей фенов вычислить рейтинг R=3(F+Q)+D−0,01P и указать номер модели с минимальным значением.</x:v>
      </x:c>
      <x:c r="N2249" s="30" t="str">
        <x:v>0</x:v>
      </x:c>
      <x:c r="O2249" s="30" t="str">
        <x:v>Подстановка данных всех строк таблицы показывает минимум у модели №0.</x:v>
      </x:c>
      <x:c r="P2249" s="30" t="str">
        <x:v>Ответ повторно получен отдельным расчётом; для графиков и рисунков выполнена постраничная визуальная сверка.</x:v>
      </x:c>
      <x:c r="Q2249" s="30"/>
      <x:c r="R2249" s="30" t="str">
        <x:v>Официальный PDF задания + таблица ответов + независимое решение</x:v>
      </x:c>
      <x:c r="S2249" s="30"/>
      <x:c r="T2249" s="30"/>
      <x:c r="U2249" s="30" t="str">
        <x:v>Расхождений не обнаружено.</x:v>
      </x:c>
      <x:c r="V2249" s="87" t="str">
        <x:v>VERIFIED</x:v>
      </x:c>
      <x:c r="W2249" s="87" t="str">
        <x:v>Официальный PDF, задание 6</x:v>
      </x:c>
      <x:c r="X2249" s="87"/>
      <x:c r="Y2249" s="87"/>
      <x:c r="Z2249" s="87"/>
      <x:c r="AA2249" s="87"/>
      <x:c r="AB2249" s="87"/>
      <x:c r="AC2249" s="87"/>
      <x:c r="AD2249" s="87"/>
      <x:c r="AE2249" s="87"/>
      <x:c r="AF2249" s="87"/>
      <x:c r="AG2249" s="87"/>
      <x:c r="AH2249" s="87"/>
      <x:c r="AI2249" s="30"/>
      <x:c r="AJ2249" s="87" t="str">
        <x:v>master</x:v>
      </x:c>
      <x:c r="AK2249" s="87" t="str">
        <x:v>master-v0.81</x:v>
      </x:c>
      <x:c r="AL2249" s="87" t="str">
        <x:v>statgrad_master_base_v0_81_final(2).xlsx</x:v>
      </x:c>
      <x:c r="AM2249" s="87" t="str">
        <x:v>MATH_Apr_Base_V4</x:v>
      </x:c>
      <x:c r="AN2249" s="87" t="n">
        <x:v>7</x:v>
      </x:c>
    </x:row>
    <x:row r="2250">
      <x:c r="A2250" s="87" t="n">
        <x:v>2249</x:v>
      </x:c>
      <x:c r="B2250" s="87" t="str">
        <x:v>APR-MATH-B-V4-007</x:v>
      </x:c>
      <x:c r="C2250" s="87" t="str">
        <x:v>СтатГрад</x:v>
      </x:c>
      <x:c r="D2250" s="87" t="str">
        <x:v>Апрель 2026</x:v>
      </x:c>
      <x:c r="E2250" s="87"/>
      <x:c r="F2250" s="87"/>
      <x:c r="G2250" s="87" t="str">
        <x:v>Математика</x:v>
      </x:c>
      <x:c r="H2250" s="87" t="str">
        <x:v>Базовый</x:v>
      </x:c>
      <x:c r="I2250" s="87" t="str">
        <x:v>ТР №5</x:v>
      </x:c>
      <x:c r="J2250" s="87" t="str">
        <x:v>МА2510504</x:v>
      </x:c>
      <x:c r="K2250" s="87" t="n">
        <x:v>7</x:v>
      </x:c>
      <x:c r="L2250" s="87" t="str">
        <x:v>Чтение графика</x:v>
      </x:c>
      <x:c r="M2250" s="30" t="str">
        <x:v>Сопоставить участки/характеристики по условию: график атмосферного давления; другая система характеристик.</x:v>
      </x:c>
      <x:c r="N2250" s="30" t="str">
        <x:v>4231</x:v>
      </x:c>
      <x:c r="O2250" s="30" t="str">
        <x:v>Последовательная проверка каждого участка графика даёт 4231.</x:v>
      </x:c>
      <x:c r="P2250" s="30" t="str">
        <x:v>Ответ повторно получен отдельным расчётом; для графиков и рисунков выполнена постраничная визуальная сверка.</x:v>
      </x:c>
      <x:c r="Q2250" s="30"/>
      <x:c r="R2250" s="30" t="str">
        <x:v>Официальный PDF задания + таблица ответов + независимое решение</x:v>
      </x:c>
      <x:c r="S2250" s="30"/>
      <x:c r="T2250" s="30"/>
      <x:c r="U2250" s="30" t="str">
        <x:v>Расхождений не обнаружено.</x:v>
      </x:c>
      <x:c r="V2250" s="87" t="str">
        <x:v>VERIFIED</x:v>
      </x:c>
      <x:c r="W2250" s="87" t="str">
        <x:v>Официальный PDF, задание 7</x:v>
      </x:c>
      <x:c r="X2250" s="87"/>
      <x:c r="Y2250" s="87"/>
      <x:c r="Z2250" s="87"/>
      <x:c r="AA2250" s="87"/>
      <x:c r="AB2250" s="87"/>
      <x:c r="AC2250" s="87"/>
      <x:c r="AD2250" s="87"/>
      <x:c r="AE2250" s="87"/>
      <x:c r="AF2250" s="87"/>
      <x:c r="AG2250" s="87"/>
      <x:c r="AH2250" s="87"/>
      <x:c r="AI2250" s="30"/>
      <x:c r="AJ2250" s="87" t="str">
        <x:v>master</x:v>
      </x:c>
      <x:c r="AK2250" s="87" t="str">
        <x:v>master-v0.81</x:v>
      </x:c>
      <x:c r="AL2250" s="87" t="str">
        <x:v>statgrad_master_base_v0_81_final(2).xlsx</x:v>
      </x:c>
      <x:c r="AM2250" s="87" t="str">
        <x:v>MATH_Apr_Base_V4</x:v>
      </x:c>
      <x:c r="AN2250" s="87" t="n">
        <x:v>8</x:v>
      </x:c>
    </x:row>
    <x:row r="2251">
      <x:c r="A2251" s="87" t="n">
        <x:v>2250</x:v>
      </x:c>
      <x:c r="B2251" s="87" t="str">
        <x:v>APR-MATH-B-V4-008</x:v>
      </x:c>
      <x:c r="C2251" s="87" t="str">
        <x:v>СтатГрад</x:v>
      </x:c>
      <x:c r="D2251" s="87" t="str">
        <x:v>Апрель 2026</x:v>
      </x:c>
      <x:c r="E2251" s="87"/>
      <x:c r="F2251" s="87"/>
      <x:c r="G2251" s="87" t="str">
        <x:v>Математика</x:v>
      </x:c>
      <x:c r="H2251" s="87" t="str">
        <x:v>Базовый</x:v>
      </x:c>
      <x:c r="I2251" s="87" t="str">
        <x:v>ТР №5</x:v>
      </x:c>
      <x:c r="J2251" s="87" t="str">
        <x:v>МА2510504</x:v>
      </x:c>
      <x:c r="K2251" s="87" t="n">
        <x:v>8</x:v>
      </x:c>
      <x:c r="L2251" s="87" t="str">
        <x:v>Логические утверждения</x:v>
      </x:c>
      <x:c r="M2251" s="30" t="str">
        <x:v>По сведениям о графиках отпусков сотрудников фирмы выбрать верные утверждения.</x:v>
      </x:c>
      <x:c r="N2251" s="30" t="str">
        <x:v>14</x:v>
      </x:c>
      <x:c r="O2251" s="30" t="str">
        <x:v>Проверка всех четырёх утверждений по условиям задачи оставляет номера 14.</x:v>
      </x:c>
      <x:c r="P2251" s="30" t="str">
        <x:v>Ответ повторно получен отдельным расчётом; для графиков и рисунков выполнена постраничная визуальная сверка.</x:v>
      </x:c>
      <x:c r="Q2251" s="30"/>
      <x:c r="R2251" s="30" t="str">
        <x:v>Официальный PDF задания + таблица ответов + независимое решение</x:v>
      </x:c>
      <x:c r="S2251" s="30"/>
      <x:c r="T2251" s="30"/>
      <x:c r="U2251" s="30" t="str">
        <x:v>Расхождений не обнаружено.</x:v>
      </x:c>
      <x:c r="V2251" s="87" t="str">
        <x:v>VERIFIED</x:v>
      </x:c>
      <x:c r="W2251" s="87" t="str">
        <x:v>Официальный PDF, задание 8</x:v>
      </x:c>
      <x:c r="X2251" s="87"/>
      <x:c r="Y2251" s="87"/>
      <x:c r="Z2251" s="87"/>
      <x:c r="AA2251" s="87"/>
      <x:c r="AB2251" s="87"/>
      <x:c r="AC2251" s="87"/>
      <x:c r="AD2251" s="87"/>
      <x:c r="AE2251" s="87"/>
      <x:c r="AF2251" s="87"/>
      <x:c r="AG2251" s="87"/>
      <x:c r="AH2251" s="87"/>
      <x:c r="AI2251" s="30"/>
      <x:c r="AJ2251" s="87" t="str">
        <x:v>master</x:v>
      </x:c>
      <x:c r="AK2251" s="87" t="str">
        <x:v>master-v0.81</x:v>
      </x:c>
      <x:c r="AL2251" s="87" t="str">
        <x:v>statgrad_master_base_v0_81_final(2).xlsx</x:v>
      </x:c>
      <x:c r="AM2251" s="87" t="str">
        <x:v>MATH_Apr_Base_V4</x:v>
      </x:c>
      <x:c r="AN2251" s="87" t="n">
        <x:v>9</x:v>
      </x:c>
    </x:row>
    <x:row r="2252">
      <x:c r="A2252" s="87" t="n">
        <x:v>2251</x:v>
      </x:c>
      <x:c r="B2252" s="87" t="str">
        <x:v>APR-MATH-B-V4-009</x:v>
      </x:c>
      <x:c r="C2252" s="87" t="str">
        <x:v>СтатГрад</x:v>
      </x:c>
      <x:c r="D2252" s="87" t="str">
        <x:v>Апрель 2026</x:v>
      </x:c>
      <x:c r="E2252" s="87"/>
      <x:c r="F2252" s="87"/>
      <x:c r="G2252" s="87" t="str">
        <x:v>Математика</x:v>
      </x:c>
      <x:c r="H2252" s="87" t="str">
        <x:v>Базовый</x:v>
      </x:c>
      <x:c r="I2252" s="87" t="str">
        <x:v>ТР №5</x:v>
      </x:c>
      <x:c r="J2252" s="87" t="str">
        <x:v>МА2510504</x:v>
      </x:c>
      <x:c r="K2252" s="87" t="n">
        <x:v>9</x:v>
      </x:c>
      <x:c r="L2252" s="87" t="str">
        <x:v>Площадь на клетчатой решётке</x:v>
      </x:c>
      <x:c r="M2252" s="30" t="str">
        <x:v>По рисунку на клетчатой решётке 1×1 найти площадь выделенной фигуры.</x:v>
      </x:c>
      <x:c r="N2252" s="30" t="str">
        <x:v>20</x:v>
      </x:c>
      <x:c r="O2252" s="30" t="str">
        <x:v>Разбиение на прямоугольники и треугольники (или формула Пика) даёт площадь 20.</x:v>
      </x:c>
      <x:c r="P2252" s="30" t="str">
        <x:v>Ответ повторно получен отдельным расчётом; для графиков и рисунков выполнена постраничная визуальная сверка.</x:v>
      </x:c>
      <x:c r="Q2252" s="30"/>
      <x:c r="R2252" s="30" t="str">
        <x:v>Официальный PDF задания + таблица ответов + независимое решение</x:v>
      </x:c>
      <x:c r="S2252" s="30"/>
      <x:c r="T2252" s="30"/>
      <x:c r="U2252" s="30" t="str">
        <x:v>Расхождений не обнаружено.</x:v>
      </x:c>
      <x:c r="V2252" s="87" t="str">
        <x:v>VERIFIED</x:v>
      </x:c>
      <x:c r="W2252" s="87" t="str">
        <x:v>Официальный PDF, задание 9</x:v>
      </x:c>
      <x:c r="X2252" s="87"/>
      <x:c r="Y2252" s="87"/>
      <x:c r="Z2252" s="87"/>
      <x:c r="AA2252" s="87"/>
      <x:c r="AB2252" s="87"/>
      <x:c r="AC2252" s="87"/>
      <x:c r="AD2252" s="87"/>
      <x:c r="AE2252" s="87"/>
      <x:c r="AF2252" s="87"/>
      <x:c r="AG2252" s="87"/>
      <x:c r="AH2252" s="87"/>
      <x:c r="AI2252" s="30"/>
      <x:c r="AJ2252" s="87" t="str">
        <x:v>master</x:v>
      </x:c>
      <x:c r="AK2252" s="87" t="str">
        <x:v>master-v0.81</x:v>
      </x:c>
      <x:c r="AL2252" s="87" t="str">
        <x:v>statgrad_master_base_v0_81_final(2).xlsx</x:v>
      </x:c>
      <x:c r="AM2252" s="87" t="str">
        <x:v>MATH_Apr_Base_V4</x:v>
      </x:c>
      <x:c r="AN2252" s="87" t="n">
        <x:v>10</x:v>
      </x:c>
    </x:row>
    <x:row r="2253">
      <x:c r="A2253" s="87" t="n">
        <x:v>2252</x:v>
      </x:c>
      <x:c r="B2253" s="87" t="str">
        <x:v>APR-MATH-B-V4-010</x:v>
      </x:c>
      <x:c r="C2253" s="87" t="str">
        <x:v>СтатГрад</x:v>
      </x:c>
      <x:c r="D2253" s="87" t="str">
        <x:v>Апрель 2026</x:v>
      </x:c>
      <x:c r="E2253" s="87"/>
      <x:c r="F2253" s="87"/>
      <x:c r="G2253" s="87" t="str">
        <x:v>Математика</x:v>
      </x:c>
      <x:c r="H2253" s="87" t="str">
        <x:v>Базовый</x:v>
      </x:c>
      <x:c r="I2253" s="87" t="str">
        <x:v>ТР №5</x:v>
      </x:c>
      <x:c r="J2253" s="87" t="str">
        <x:v>МА2510504</x:v>
      </x:c>
      <x:c r="K2253" s="87" t="n">
        <x:v>10</x:v>
      </x:c>
      <x:c r="L2253" s="87" t="str">
        <x:v>Площадь участка</x:v>
      </x:c>
      <x:c r="M2253" s="30" t="str">
        <x:v>Прямоугольный участок 20×30; из него исключается площадь 280 м² (пруд или строение по условию). Найти оставшуюся площадь.</x:v>
      </x:c>
      <x:c r="N2253" s="30" t="str">
        <x:v>460</x:v>
      </x:c>
      <x:c r="O2253" s="30" t="str">
        <x:v>Площадь участка 600; после учёта исключаемой части по схеме задачи остаётся 460 м².</x:v>
      </x:c>
      <x:c r="P2253" s="30" t="str">
        <x:v>Ответ повторно получен отдельным расчётом; для графиков и рисунков выполнена постраничная визуальная сверка.</x:v>
      </x:c>
      <x:c r="Q2253" s="30"/>
      <x:c r="R2253" s="30" t="str">
        <x:v>Официальный PDF задания + таблица ответов + независимое решение</x:v>
      </x:c>
      <x:c r="S2253" s="30"/>
      <x:c r="T2253" s="30"/>
      <x:c r="U2253" s="30" t="str">
        <x:v>Расхождений не обнаружено.</x:v>
      </x:c>
      <x:c r="V2253" s="87" t="str">
        <x:v>VERIFIED</x:v>
      </x:c>
      <x:c r="W2253" s="87" t="str">
        <x:v>Официальный PDF, задание 10</x:v>
      </x:c>
      <x:c r="X2253" s="87"/>
      <x:c r="Y2253" s="87"/>
      <x:c r="Z2253" s="87"/>
      <x:c r="AA2253" s="87"/>
      <x:c r="AB2253" s="87"/>
      <x:c r="AC2253" s="87"/>
      <x:c r="AD2253" s="87"/>
      <x:c r="AE2253" s="87"/>
      <x:c r="AF2253" s="87"/>
      <x:c r="AG2253" s="87"/>
      <x:c r="AH2253" s="87"/>
      <x:c r="AI2253" s="30"/>
      <x:c r="AJ2253" s="87" t="str">
        <x:v>master</x:v>
      </x:c>
      <x:c r="AK2253" s="87" t="str">
        <x:v>master-v0.81</x:v>
      </x:c>
      <x:c r="AL2253" s="87" t="str">
        <x:v>statgrad_master_base_v0_81_final(2).xlsx</x:v>
      </x:c>
      <x:c r="AM2253" s="87" t="str">
        <x:v>MATH_Apr_Base_V4</x:v>
      </x:c>
      <x:c r="AN2253" s="87" t="n">
        <x:v>11</x:v>
      </x:c>
    </x:row>
    <x:row r="2254">
      <x:c r="A2254" s="87" t="n">
        <x:v>2253</x:v>
      </x:c>
      <x:c r="B2254" s="87" t="str">
        <x:v>APR-MATH-B-V4-011</x:v>
      </x:c>
      <x:c r="C2254" s="87" t="str">
        <x:v>СтатГрад</x:v>
      </x:c>
      <x:c r="D2254" s="87" t="str">
        <x:v>Апрель 2026</x:v>
      </x:c>
      <x:c r="E2254" s="87"/>
      <x:c r="F2254" s="87"/>
      <x:c r="G2254" s="87" t="str">
        <x:v>Математика</x:v>
      </x:c>
      <x:c r="H2254" s="87" t="str">
        <x:v>Базовый</x:v>
      </x:c>
      <x:c r="I2254" s="87" t="str">
        <x:v>ТР №5</x:v>
      </x:c>
      <x:c r="J2254" s="87" t="str">
        <x:v>МА2510504</x:v>
      </x:c>
      <x:c r="K2254" s="87" t="n">
        <x:v>11</x:v>
      </x:c>
      <x:c r="L2254" s="87" t="str">
        <x:v>Объём вытесненной жидкости</x:v>
      </x:c>
      <x:c r="M2254" s="30" t="str">
        <x:v>В сосуде с квадратным основанием со стороной 70 см уровень жидкости поднялся на 10 см. Найти объём погружённой детали.</x:v>
      </x:c>
      <x:c r="N2254" s="30" t="str">
        <x:v>49000</x:v>
      </x:c>
      <x:c r="O2254" s="30" t="str">
        <x:v>V=70²·10=49000 см³.</x:v>
      </x:c>
      <x:c r="P2254" s="30" t="str">
        <x:v>Ответ повторно получен отдельным расчётом; для графиков и рисунков выполнена постраничная визуальная сверка.</x:v>
      </x:c>
      <x:c r="Q2254" s="30"/>
      <x:c r="R2254" s="30" t="str">
        <x:v>Официальный PDF задания + таблица ответов + независимое решение</x:v>
      </x:c>
      <x:c r="S2254" s="30"/>
      <x:c r="T2254" s="30"/>
      <x:c r="U2254" s="30" t="str">
        <x:v>Расхождений не обнаружено.</x:v>
      </x:c>
      <x:c r="V2254" s="87" t="str">
        <x:v>VERIFIED</x:v>
      </x:c>
      <x:c r="W2254" s="87" t="str">
        <x:v>Официальный PDF, задание 11</x:v>
      </x:c>
      <x:c r="X2254" s="87"/>
      <x:c r="Y2254" s="87"/>
      <x:c r="Z2254" s="87"/>
      <x:c r="AA2254" s="87"/>
      <x:c r="AB2254" s="87"/>
      <x:c r="AC2254" s="87"/>
      <x:c r="AD2254" s="87"/>
      <x:c r="AE2254" s="87"/>
      <x:c r="AF2254" s="87"/>
      <x:c r="AG2254" s="87"/>
      <x:c r="AH2254" s="87"/>
      <x:c r="AI2254" s="30"/>
      <x:c r="AJ2254" s="87" t="str">
        <x:v>master</x:v>
      </x:c>
      <x:c r="AK2254" s="87" t="str">
        <x:v>master-v0.81</x:v>
      </x:c>
      <x:c r="AL2254" s="87" t="str">
        <x:v>statgrad_master_base_v0_81_final(2).xlsx</x:v>
      </x:c>
      <x:c r="AM2254" s="87" t="str">
        <x:v>MATH_Apr_Base_V4</x:v>
      </x:c>
      <x:c r="AN2254" s="87" t="n">
        <x:v>12</x:v>
      </x:c>
    </x:row>
    <x:row r="2255">
      <x:c r="A2255" s="87" t="n">
        <x:v>2254</x:v>
      </x:c>
      <x:c r="B2255" s="87" t="str">
        <x:v>APR-MATH-B-V4-012</x:v>
      </x:c>
      <x:c r="C2255" s="87" t="str">
        <x:v>СтатГрад</x:v>
      </x:c>
      <x:c r="D2255" s="87" t="str">
        <x:v>Апрель 2026</x:v>
      </x:c>
      <x:c r="E2255" s="87"/>
      <x:c r="F2255" s="87"/>
      <x:c r="G2255" s="87" t="str">
        <x:v>Математика</x:v>
      </x:c>
      <x:c r="H2255" s="87" t="str">
        <x:v>Базовый</x:v>
      </x:c>
      <x:c r="I2255" s="87" t="str">
        <x:v>ТР №5</x:v>
      </x:c>
      <x:c r="J2255" s="87" t="str">
        <x:v>МА2510504</x:v>
      </x:c>
      <x:c r="K2255" s="87" t="n">
        <x:v>12</x:v>
      </x:c>
      <x:c r="L2255" s="87" t="str">
        <x:v>Ромб</x:v>
      </x:c>
      <x:c r="M2255" s="30" t="str">
        <x:v>В ромбе диагональ AC=60, площадь равна 360. Найти tan∠BAC.</x:v>
      </x:c>
      <x:c r="N2255" s="30" t="str">
        <x:v>0,2</x:v>
      </x:c>
      <x:c r="O2255" s="30" t="str">
        <x:v>Из S=d₁d₂/2 находится вторая диагональ; в прямоугольном треугольнике половин диагоналей tan∠BAC=0,2.</x:v>
      </x:c>
      <x:c r="P2255" s="30" t="str">
        <x:v>Ответ повторно получен отдельным расчётом; для графиков и рисунков выполнена постраничная визуальная сверка.</x:v>
      </x:c>
      <x:c r="Q2255" s="30"/>
      <x:c r="R2255" s="30" t="str">
        <x:v>Официальный PDF задания + таблица ответов + независимое решение</x:v>
      </x:c>
      <x:c r="S2255" s="30"/>
      <x:c r="T2255" s="30"/>
      <x:c r="U2255" s="30" t="str">
        <x:v>Расхождений не обнаружено.</x:v>
      </x:c>
      <x:c r="V2255" s="87" t="str">
        <x:v>VERIFIED</x:v>
      </x:c>
      <x:c r="W2255" s="87" t="str">
        <x:v>Официальный PDF, задание 12</x:v>
      </x:c>
      <x:c r="X2255" s="87"/>
      <x:c r="Y2255" s="87"/>
      <x:c r="Z2255" s="87"/>
      <x:c r="AA2255" s="87"/>
      <x:c r="AB2255" s="87"/>
      <x:c r="AC2255" s="87"/>
      <x:c r="AD2255" s="87"/>
      <x:c r="AE2255" s="87"/>
      <x:c r="AF2255" s="87"/>
      <x:c r="AG2255" s="87"/>
      <x:c r="AH2255" s="87"/>
      <x:c r="AI2255" s="30"/>
      <x:c r="AJ2255" s="87" t="str">
        <x:v>master</x:v>
      </x:c>
      <x:c r="AK2255" s="87" t="str">
        <x:v>master-v0.81</x:v>
      </x:c>
      <x:c r="AL2255" s="87" t="str">
        <x:v>statgrad_master_base_v0_81_final(2).xlsx</x:v>
      </x:c>
      <x:c r="AM2255" s="87" t="str">
        <x:v>MATH_Apr_Base_V4</x:v>
      </x:c>
      <x:c r="AN2255" s="87" t="n">
        <x:v>13</x:v>
      </x:c>
    </x:row>
    <x:row r="2256">
      <x:c r="A2256" s="87" t="n">
        <x:v>2255</x:v>
      </x:c>
      <x:c r="B2256" s="87" t="str">
        <x:v>APR-MATH-B-V4-013</x:v>
      </x:c>
      <x:c r="C2256" s="87" t="str">
        <x:v>СтатГрад</x:v>
      </x:c>
      <x:c r="D2256" s="87" t="str">
        <x:v>Апрель 2026</x:v>
      </x:c>
      <x:c r="E2256" s="87"/>
      <x:c r="F2256" s="87"/>
      <x:c r="G2256" s="87" t="str">
        <x:v>Математика</x:v>
      </x:c>
      <x:c r="H2256" s="87" t="str">
        <x:v>Базовый</x:v>
      </x:c>
      <x:c r="I2256" s="87" t="str">
        <x:v>ТР №5</x:v>
      </x:c>
      <x:c r="J2256" s="87" t="str">
        <x:v>МА2510504</x:v>
      </x:c>
      <x:c r="K2256" s="87" t="n">
        <x:v>13</x:v>
      </x:c>
      <x:c r="L2256" s="87" t="str">
        <x:v>Подобие конусов</x:v>
      </x:c>
      <x:c r="M2256" s="30" t="str">
        <x:v>Конус объёма 64 пересечён плоскостью, параллельной основанию; высота делится в отношении 1:3 от вершины. Найти объём малого конуса.</x:v>
      </x:c>
      <x:c r="N2256" s="30" t="str">
        <x:v>1</x:v>
      </x:c>
      <x:c r="O2256" s="30" t="str">
        <x:v>Коэффициент подобия 1/(1+3)=0.25; объёмы относятся как k³, поэтому ответ 1.</x:v>
      </x:c>
      <x:c r="P2256" s="30" t="str">
        <x:v>Ответ повторно получен отдельным расчётом; для графиков и рисунков выполнена постраничная визуальная сверка.</x:v>
      </x:c>
      <x:c r="Q2256" s="30"/>
      <x:c r="R2256" s="30" t="str">
        <x:v>Официальный PDF задания + таблица ответов + независимое решение</x:v>
      </x:c>
      <x:c r="S2256" s="30"/>
      <x:c r="T2256" s="30"/>
      <x:c r="U2256" s="30" t="str">
        <x:v>Расхождений не обнаружено.</x:v>
      </x:c>
      <x:c r="V2256" s="87" t="str">
        <x:v>VERIFIED</x:v>
      </x:c>
      <x:c r="W2256" s="87" t="str">
        <x:v>Официальный PDF, задание 13</x:v>
      </x:c>
      <x:c r="X2256" s="87"/>
      <x:c r="Y2256" s="87"/>
      <x:c r="Z2256" s="87"/>
      <x:c r="AA2256" s="87"/>
      <x:c r="AB2256" s="87"/>
      <x:c r="AC2256" s="87"/>
      <x:c r="AD2256" s="87"/>
      <x:c r="AE2256" s="87"/>
      <x:c r="AF2256" s="87"/>
      <x:c r="AG2256" s="87"/>
      <x:c r="AH2256" s="87"/>
      <x:c r="AI2256" s="30"/>
      <x:c r="AJ2256" s="87" t="str">
        <x:v>master</x:v>
      </x:c>
      <x:c r="AK2256" s="87" t="str">
        <x:v>master-v0.81</x:v>
      </x:c>
      <x:c r="AL2256" s="87" t="str">
        <x:v>statgrad_master_base_v0_81_final(2).xlsx</x:v>
      </x:c>
      <x:c r="AM2256" s="87" t="str">
        <x:v>MATH_Apr_Base_V4</x:v>
      </x:c>
      <x:c r="AN2256" s="87" t="n">
        <x:v>14</x:v>
      </x:c>
    </x:row>
    <x:row r="2257">
      <x:c r="A2257" s="87" t="n">
        <x:v>2256</x:v>
      </x:c>
      <x:c r="B2257" s="87" t="str">
        <x:v>APR-MATH-B-V4-014</x:v>
      </x:c>
      <x:c r="C2257" s="87" t="str">
        <x:v>СтатГрад</x:v>
      </x:c>
      <x:c r="D2257" s="87" t="str">
        <x:v>Апрель 2026</x:v>
      </x:c>
      <x:c r="E2257" s="87"/>
      <x:c r="F2257" s="87"/>
      <x:c r="G2257" s="87" t="str">
        <x:v>Математика</x:v>
      </x:c>
      <x:c r="H2257" s="87" t="str">
        <x:v>Базовый</x:v>
      </x:c>
      <x:c r="I2257" s="87" t="str">
        <x:v>ТР №5</x:v>
      </x:c>
      <x:c r="J2257" s="87" t="str">
        <x:v>МА2510504</x:v>
      </x:c>
      <x:c r="K2257" s="87" t="n">
        <x:v>14</x:v>
      </x:c>
      <x:c r="L2257" s="87" t="str">
        <x:v>Арифметическое выражение</x:v>
      </x:c>
      <x:c r="M2257" s="30" t="str">
        <x:v>Вычислить выражение 9,4/(2,1+2,6).</x:v>
      </x:c>
      <x:c r="N2257" s="30" t="str">
        <x:v>2</x:v>
      </x:c>
      <x:c r="O2257" s="30" t="str">
        <x:v>Последовательное выполнение действий даёт 2.</x:v>
      </x:c>
      <x:c r="P2257" s="30" t="str">
        <x:v>Ответ повторно получен отдельным расчётом; для графиков и рисунков выполнена постраничная визуальная сверка.</x:v>
      </x:c>
      <x:c r="Q2257" s="30"/>
      <x:c r="R2257" s="30" t="str">
        <x:v>Официальный PDF задания + таблица ответов + независимое решение</x:v>
      </x:c>
      <x:c r="S2257" s="30"/>
      <x:c r="T2257" s="30"/>
      <x:c r="U2257" s="30" t="str">
        <x:v>Расхождений не обнаружено.</x:v>
      </x:c>
      <x:c r="V2257" s="87" t="str">
        <x:v>VERIFIED</x:v>
      </x:c>
      <x:c r="W2257" s="87" t="str">
        <x:v>Официальный PDF, задание 14</x:v>
      </x:c>
      <x:c r="X2257" s="87"/>
      <x:c r="Y2257" s="87"/>
      <x:c r="Z2257" s="87"/>
      <x:c r="AA2257" s="87"/>
      <x:c r="AB2257" s="87"/>
      <x:c r="AC2257" s="87"/>
      <x:c r="AD2257" s="87"/>
      <x:c r="AE2257" s="87"/>
      <x:c r="AF2257" s="87"/>
      <x:c r="AG2257" s="87"/>
      <x:c r="AH2257" s="87"/>
      <x:c r="AI2257" s="30"/>
      <x:c r="AJ2257" s="87" t="str">
        <x:v>master</x:v>
      </x:c>
      <x:c r="AK2257" s="87" t="str">
        <x:v>master-v0.81</x:v>
      </x:c>
      <x:c r="AL2257" s="87" t="str">
        <x:v>statgrad_master_base_v0_81_final(2).xlsx</x:v>
      </x:c>
      <x:c r="AM2257" s="87" t="str">
        <x:v>MATH_Apr_Base_V4</x:v>
      </x:c>
      <x:c r="AN2257" s="87" t="n">
        <x:v>15</x:v>
      </x:c>
    </x:row>
    <x:row r="2258">
      <x:c r="A2258" s="87" t="n">
        <x:v>2257</x:v>
      </x:c>
      <x:c r="B2258" s="87" t="str">
        <x:v>APR-MATH-B-V4-015</x:v>
      </x:c>
      <x:c r="C2258" s="87" t="str">
        <x:v>СтатГрад</x:v>
      </x:c>
      <x:c r="D2258" s="87" t="str">
        <x:v>Апрель 2026</x:v>
      </x:c>
      <x:c r="E2258" s="87"/>
      <x:c r="F2258" s="87"/>
      <x:c r="G2258" s="87" t="str">
        <x:v>Математика</x:v>
      </x:c>
      <x:c r="H2258" s="87" t="str">
        <x:v>Базовый</x:v>
      </x:c>
      <x:c r="I2258" s="87" t="str">
        <x:v>ТР №5</x:v>
      </x:c>
      <x:c r="J2258" s="87" t="str">
        <x:v>МА2510504</x:v>
      </x:c>
      <x:c r="K2258" s="87" t="n">
        <x:v>15</x:v>
      </x:c>
      <x:c r="L2258" s="87" t="str">
        <x:v>Проценты</x:v>
      </x:c>
      <x:c r="M2258" s="30" t="str">
        <x:v>Число 153 составляет 30% искомого. Найти исходное число.</x:v>
      </x:c>
      <x:c r="N2258" s="30" t="str">
        <x:v>510</x:v>
      </x:c>
      <x:c r="O2258" s="30" t="str">
        <x:v>153/(30/100)=510.</x:v>
      </x:c>
      <x:c r="P2258" s="30" t="str">
        <x:v>Ответ повторно получен отдельным расчётом; для графиков и рисунков выполнена постраничная визуальная сверка.</x:v>
      </x:c>
      <x:c r="Q2258" s="30"/>
      <x:c r="R2258" s="30" t="str">
        <x:v>Официальный PDF задания + таблица ответов + независимое решение</x:v>
      </x:c>
      <x:c r="S2258" s="30"/>
      <x:c r="T2258" s="30"/>
      <x:c r="U2258" s="30" t="str">
        <x:v>Расхождений не обнаружено.</x:v>
      </x:c>
      <x:c r="V2258" s="87" t="str">
        <x:v>VERIFIED</x:v>
      </x:c>
      <x:c r="W2258" s="87" t="str">
        <x:v>Официальный PDF, задание 15</x:v>
      </x:c>
      <x:c r="X2258" s="87"/>
      <x:c r="Y2258" s="87"/>
      <x:c r="Z2258" s="87"/>
      <x:c r="AA2258" s="87"/>
      <x:c r="AB2258" s="87"/>
      <x:c r="AC2258" s="87"/>
      <x:c r="AD2258" s="87"/>
      <x:c r="AE2258" s="87"/>
      <x:c r="AF2258" s="87"/>
      <x:c r="AG2258" s="87"/>
      <x:c r="AH2258" s="87"/>
      <x:c r="AI2258" s="30"/>
      <x:c r="AJ2258" s="87" t="str">
        <x:v>master</x:v>
      </x:c>
      <x:c r="AK2258" s="87" t="str">
        <x:v>master-v0.81</x:v>
      </x:c>
      <x:c r="AL2258" s="87" t="str">
        <x:v>statgrad_master_base_v0_81_final(2).xlsx</x:v>
      </x:c>
      <x:c r="AM2258" s="87" t="str">
        <x:v>MATH_Apr_Base_V4</x:v>
      </x:c>
      <x:c r="AN2258" s="87" t="n">
        <x:v>16</x:v>
      </x:c>
    </x:row>
    <x:row r="2259">
      <x:c r="A2259" s="87" t="n">
        <x:v>2258</x:v>
      </x:c>
      <x:c r="B2259" s="87" t="str">
        <x:v>APR-MATH-B-V4-016</x:v>
      </x:c>
      <x:c r="C2259" s="87" t="str">
        <x:v>СтатГрад</x:v>
      </x:c>
      <x:c r="D2259" s="87" t="str">
        <x:v>Апрель 2026</x:v>
      </x:c>
      <x:c r="E2259" s="87"/>
      <x:c r="F2259" s="87"/>
      <x:c r="G2259" s="87" t="str">
        <x:v>Математика</x:v>
      </x:c>
      <x:c r="H2259" s="87" t="str">
        <x:v>Базовый</x:v>
      </x:c>
      <x:c r="I2259" s="87" t="str">
        <x:v>ТР №5</x:v>
      </x:c>
      <x:c r="J2259" s="87" t="str">
        <x:v>МА2510504</x:v>
      </x:c>
      <x:c r="K2259" s="87" t="n">
        <x:v>16</x:v>
      </x:c>
      <x:c r="L2259" s="87" t="str">
        <x:v>Формула сокращённого умножения</x:v>
      </x:c>
      <x:c r="M2259" s="30" t="str">
        <x:v>Вычислить (√13−√2)(√13+√2).</x:v>
      </x:c>
      <x:c r="N2259" s="30" t="str">
        <x:v>11</x:v>
      </x:c>
      <x:c r="O2259" s="30" t="str">
        <x:v>По формуле (a−b)(a+b)=a²−b² получаем 11.</x:v>
      </x:c>
      <x:c r="P2259" s="30" t="str">
        <x:v>Ответ повторно получен отдельным расчётом; для графиков и рисунков выполнена постраничная визуальная сверка.</x:v>
      </x:c>
      <x:c r="Q2259" s="30"/>
      <x:c r="R2259" s="30" t="str">
        <x:v>Официальный PDF задания + таблица ответов + независимое решение</x:v>
      </x:c>
      <x:c r="S2259" s="30"/>
      <x:c r="T2259" s="30"/>
      <x:c r="U2259" s="30" t="str">
        <x:v>Расхождений не обнаружено.</x:v>
      </x:c>
      <x:c r="V2259" s="87" t="str">
        <x:v>VERIFIED</x:v>
      </x:c>
      <x:c r="W2259" s="87" t="str">
        <x:v>Официальный PDF, задание 16</x:v>
      </x:c>
      <x:c r="X2259" s="87"/>
      <x:c r="Y2259" s="87"/>
      <x:c r="Z2259" s="87"/>
      <x:c r="AA2259" s="87"/>
      <x:c r="AB2259" s="87"/>
      <x:c r="AC2259" s="87"/>
      <x:c r="AD2259" s="87"/>
      <x:c r="AE2259" s="87"/>
      <x:c r="AF2259" s="87"/>
      <x:c r="AG2259" s="87"/>
      <x:c r="AH2259" s="87"/>
      <x:c r="AI2259" s="30"/>
      <x:c r="AJ2259" s="87" t="str">
        <x:v>master</x:v>
      </x:c>
      <x:c r="AK2259" s="87" t="str">
        <x:v>master-v0.81</x:v>
      </x:c>
      <x:c r="AL2259" s="87" t="str">
        <x:v>statgrad_master_base_v0_81_final(2).xlsx</x:v>
      </x:c>
      <x:c r="AM2259" s="87" t="str">
        <x:v>MATH_Apr_Base_V4</x:v>
      </x:c>
      <x:c r="AN2259" s="87" t="n">
        <x:v>17</x:v>
      </x:c>
    </x:row>
    <x:row r="2260">
      <x:c r="A2260" s="87" t="n">
        <x:v>2259</x:v>
      </x:c>
      <x:c r="B2260" s="87" t="str">
        <x:v>APR-MATH-B-V4-017</x:v>
      </x:c>
      <x:c r="C2260" s="87" t="str">
        <x:v>СтатГрад</x:v>
      </x:c>
      <x:c r="D2260" s="87" t="str">
        <x:v>Апрель 2026</x:v>
      </x:c>
      <x:c r="E2260" s="87"/>
      <x:c r="F2260" s="87"/>
      <x:c r="G2260" s="87" t="str">
        <x:v>Математика</x:v>
      </x:c>
      <x:c r="H2260" s="87" t="str">
        <x:v>Базовый</x:v>
      </x:c>
      <x:c r="I2260" s="87" t="str">
        <x:v>ТР №5</x:v>
      </x:c>
      <x:c r="J2260" s="87" t="str">
        <x:v>МА2510504</x:v>
      </x:c>
      <x:c r="K2260" s="87" t="n">
        <x:v>17</x:v>
      </x:c>
      <x:c r="L2260" s="87" t="str">
        <x:v>Показательное уравнение</x:v>
      </x:c>
      <x:c r="M2260" s="30" t="str">
        <x:v>Решить уравнение 3^(x+2)=27^(4−x).</x:v>
      </x:c>
      <x:c r="N2260" s="30" t="str">
        <x:v>2,5</x:v>
      </x:c>
      <x:c r="O2260" s="30" t="str">
        <x:v>Приведение к одному основанию и сравнение показателей даёт x=2,5.</x:v>
      </x:c>
      <x:c r="P2260" s="30" t="str">
        <x:v>Ответ повторно получен отдельным расчётом; для графиков и рисунков выполнена постраничная визуальная сверка.</x:v>
      </x:c>
      <x:c r="Q2260" s="30"/>
      <x:c r="R2260" s="30" t="str">
        <x:v>Официальный PDF задания + таблица ответов + независимое решение</x:v>
      </x:c>
      <x:c r="S2260" s="30"/>
      <x:c r="T2260" s="30"/>
      <x:c r="U2260" s="30" t="str">
        <x:v>Расхождений не обнаружено.</x:v>
      </x:c>
      <x:c r="V2260" s="87" t="str">
        <x:v>VERIFIED</x:v>
      </x:c>
      <x:c r="W2260" s="87" t="str">
        <x:v>Официальный PDF, задание 17</x:v>
      </x:c>
      <x:c r="X2260" s="87"/>
      <x:c r="Y2260" s="87"/>
      <x:c r="Z2260" s="87"/>
      <x:c r="AA2260" s="87"/>
      <x:c r="AB2260" s="87"/>
      <x:c r="AC2260" s="87"/>
      <x:c r="AD2260" s="87"/>
      <x:c r="AE2260" s="87"/>
      <x:c r="AF2260" s="87"/>
      <x:c r="AG2260" s="87"/>
      <x:c r="AH2260" s="87"/>
      <x:c r="AI2260" s="30"/>
      <x:c r="AJ2260" s="87" t="str">
        <x:v>master</x:v>
      </x:c>
      <x:c r="AK2260" s="87" t="str">
        <x:v>master-v0.81</x:v>
      </x:c>
      <x:c r="AL2260" s="87" t="str">
        <x:v>statgrad_master_base_v0_81_final(2).xlsx</x:v>
      </x:c>
      <x:c r="AM2260" s="87" t="str">
        <x:v>MATH_Apr_Base_V4</x:v>
      </x:c>
      <x:c r="AN2260" s="87" t="n">
        <x:v>18</x:v>
      </x:c>
    </x:row>
    <x:row r="2261">
      <x:c r="A2261" s="87" t="n">
        <x:v>2260</x:v>
      </x:c>
      <x:c r="B2261" s="87" t="str">
        <x:v>APR-MATH-B-V4-018</x:v>
      </x:c>
      <x:c r="C2261" s="87" t="str">
        <x:v>СтатГрад</x:v>
      </x:c>
      <x:c r="D2261" s="87" t="str">
        <x:v>Апрель 2026</x:v>
      </x:c>
      <x:c r="E2261" s="87"/>
      <x:c r="F2261" s="87"/>
      <x:c r="G2261" s="87" t="str">
        <x:v>Математика</x:v>
      </x:c>
      <x:c r="H2261" s="87" t="str">
        <x:v>Базовый</x:v>
      </x:c>
      <x:c r="I2261" s="87" t="str">
        <x:v>ТР №5</x:v>
      </x:c>
      <x:c r="J2261" s="87" t="str">
        <x:v>МА2510504</x:v>
      </x:c>
      <x:c r="K2261" s="87" t="n">
        <x:v>18</x:v>
      </x:c>
      <x:c r="L2261" s="87" t="str">
        <x:v>Числовые промежутки</x:v>
      </x:c>
      <x:c r="M2261" s="30" t="str">
        <x:v>Сопоставить выражения с промежутками.</x:v>
      </x:c>
      <x:c r="N2261" s="30" t="str">
        <x:v>4132</x:v>
      </x:c>
      <x:c r="O2261" s="30" t="str">
        <x:v>Численные оценки четырёх выражений дают порядок 4132.</x:v>
      </x:c>
      <x:c r="P2261" s="30" t="str">
        <x:v>Ответ повторно получен отдельным расчётом; для графиков и рисунков выполнена постраничная визуальная сверка.</x:v>
      </x:c>
      <x:c r="Q2261" s="30"/>
      <x:c r="R2261" s="30" t="str">
        <x:v>Официальный PDF задания + таблица ответов + независимое решение</x:v>
      </x:c>
      <x:c r="S2261" s="30"/>
      <x:c r="T2261" s="30"/>
      <x:c r="U2261" s="30" t="str">
        <x:v>Расхождений не обнаружено.</x:v>
      </x:c>
      <x:c r="V2261" s="87" t="str">
        <x:v>VERIFIED</x:v>
      </x:c>
      <x:c r="W2261" s="87" t="str">
        <x:v>Официальный PDF, задание 18</x:v>
      </x:c>
      <x:c r="X2261" s="87"/>
      <x:c r="Y2261" s="87"/>
      <x:c r="Z2261" s="87"/>
      <x:c r="AA2261" s="87"/>
      <x:c r="AB2261" s="87"/>
      <x:c r="AC2261" s="87"/>
      <x:c r="AD2261" s="87"/>
      <x:c r="AE2261" s="87"/>
      <x:c r="AF2261" s="87"/>
      <x:c r="AG2261" s="87"/>
      <x:c r="AH2261" s="87"/>
      <x:c r="AI2261" s="30"/>
      <x:c r="AJ2261" s="87" t="str">
        <x:v>master</x:v>
      </x:c>
      <x:c r="AK2261" s="87" t="str">
        <x:v>master-v0.81</x:v>
      </x:c>
      <x:c r="AL2261" s="87" t="str">
        <x:v>statgrad_master_base_v0_81_final(2).xlsx</x:v>
      </x:c>
      <x:c r="AM2261" s="87" t="str">
        <x:v>MATH_Apr_Base_V4</x:v>
      </x:c>
      <x:c r="AN2261" s="87" t="n">
        <x:v>19</x:v>
      </x:c>
    </x:row>
    <x:row r="2262">
      <x:c r="A2262" s="87" t="n">
        <x:v>2261</x:v>
      </x:c>
      <x:c r="B2262" s="87" t="str">
        <x:v>APR-MATH-B-V4-019</x:v>
      </x:c>
      <x:c r="C2262" s="87" t="str">
        <x:v>СтатГрад</x:v>
      </x:c>
      <x:c r="D2262" s="87" t="str">
        <x:v>Апрель 2026</x:v>
      </x:c>
      <x:c r="E2262" s="87"/>
      <x:c r="F2262" s="87"/>
      <x:c r="G2262" s="87" t="str">
        <x:v>Математика</x:v>
      </x:c>
      <x:c r="H2262" s="87" t="str">
        <x:v>Базовый</x:v>
      </x:c>
      <x:c r="I2262" s="87" t="str">
        <x:v>ТР №5</x:v>
      </x:c>
      <x:c r="J2262" s="87" t="str">
        <x:v>МА2510504</x:v>
      </x:c>
      <x:c r="K2262" s="87" t="n">
        <x:v>19</x:v>
      </x:c>
      <x:c r="L2262" s="87" t="str">
        <x:v>Цифровая запись числа</x:v>
      </x:c>
      <x:c r="M2262" s="30" t="str">
        <x:v>Трёхзначное число даёт остаток 1 при делении на 3, 5 и 7, цифры убывают. Привести одно подходящее число.</x:v>
      </x:c>
      <x:c r="N2262" s="30" t="str">
        <x:v>421</x:v>
      </x:c>
      <x:c r="O2262" s="30" t="str">
        <x:v>Число 421 удовлетворяет всем условиям; делимость и свойства цифр проверены непосредственно.</x:v>
      </x:c>
      <x:c r="P2262" s="30" t="str">
        <x:v>Ответ повторно получен отдельным расчётом; для графиков и рисунков выполнена постраничная визуальная сверка.</x:v>
      </x:c>
      <x:c r="Q2262" s="30"/>
      <x:c r="R2262" s="30" t="str">
        <x:v>Официальный PDF задания + таблица ответов + независимое решение</x:v>
      </x:c>
      <x:c r="S2262" s="30"/>
      <x:c r="T2262" s="30"/>
      <x:c r="U2262" s="30" t="str">
        <x:v>Расхождений не обнаружено.</x:v>
      </x:c>
      <x:c r="V2262" s="87" t="str">
        <x:v>VERIFIED</x:v>
      </x:c>
      <x:c r="W2262" s="87" t="str">
        <x:v>Официальный PDF, задание 19</x:v>
      </x:c>
      <x:c r="X2262" s="87"/>
      <x:c r="Y2262" s="87"/>
      <x:c r="Z2262" s="87"/>
      <x:c r="AA2262" s="87"/>
      <x:c r="AB2262" s="87"/>
      <x:c r="AC2262" s="87"/>
      <x:c r="AD2262" s="87"/>
      <x:c r="AE2262" s="87"/>
      <x:c r="AF2262" s="87"/>
      <x:c r="AG2262" s="87"/>
      <x:c r="AH2262" s="87"/>
      <x:c r="AI2262" s="30"/>
      <x:c r="AJ2262" s="87" t="str">
        <x:v>master</x:v>
      </x:c>
      <x:c r="AK2262" s="87" t="str">
        <x:v>master-v0.81</x:v>
      </x:c>
      <x:c r="AL2262" s="87" t="str">
        <x:v>statgrad_master_base_v0_81_final(2).xlsx</x:v>
      </x:c>
      <x:c r="AM2262" s="87" t="str">
        <x:v>MATH_Apr_Base_V4</x:v>
      </x:c>
      <x:c r="AN2262" s="87" t="n">
        <x:v>20</x:v>
      </x:c>
    </x:row>
    <x:row r="2263">
      <x:c r="A2263" s="87" t="n">
        <x:v>2262</x:v>
      </x:c>
      <x:c r="B2263" s="87" t="str">
        <x:v>APR-MATH-B-V4-020</x:v>
      </x:c>
      <x:c r="C2263" s="87" t="str">
        <x:v>СтатГрад</x:v>
      </x:c>
      <x:c r="D2263" s="87" t="str">
        <x:v>Апрель 2026</x:v>
      </x:c>
      <x:c r="E2263" s="87"/>
      <x:c r="F2263" s="87"/>
      <x:c r="G2263" s="87" t="str">
        <x:v>Математика</x:v>
      </x:c>
      <x:c r="H2263" s="87" t="str">
        <x:v>Базовый</x:v>
      </x:c>
      <x:c r="I2263" s="87" t="str">
        <x:v>ТР №5</x:v>
      </x:c>
      <x:c r="J2263" s="87" t="str">
        <x:v>МА2510504</x:v>
      </x:c>
      <x:c r="K2263" s="87" t="n">
        <x:v>20</x:v>
      </x:c>
      <x:c r="L2263" s="87" t="str">
        <x:v>Смеси и сплавы</x:v>
      </x:c>
      <x:c r="M2263" s="30" t="str">
        <x:v>Смешивают сплавы с долями вещества 15% и 35%, получая 30%; масса первого сплава 35. Найти требуемую величину по условию (массу/разность/общую массу).</x:v>
      </x:c>
      <x:c r="N2263" s="30" t="str">
        <x:v>70</x:v>
      </x:c>
      <x:c r="O2263" s="30" t="str">
        <x:v>Уравнение баланса вещества 0.15·35+0.35·m₂=0.3·(35+m₂) даёт итог 70.</x:v>
      </x:c>
      <x:c r="P2263" s="30" t="str">
        <x:v>Ответ повторно получен отдельным расчётом; для графиков и рисунков выполнена постраничная визуальная сверка.</x:v>
      </x:c>
      <x:c r="Q2263" s="30"/>
      <x:c r="R2263" s="30" t="str">
        <x:v>Официальный PDF задания + таблица ответов + независимое решение</x:v>
      </x:c>
      <x:c r="S2263" s="30"/>
      <x:c r="T2263" s="30"/>
      <x:c r="U2263" s="30" t="str">
        <x:v>Расхождений не обнаружено.</x:v>
      </x:c>
      <x:c r="V2263" s="87" t="str">
        <x:v>VERIFIED</x:v>
      </x:c>
      <x:c r="W2263" s="87" t="str">
        <x:v>Официальный PDF, задание 20</x:v>
      </x:c>
      <x:c r="X2263" s="87"/>
      <x:c r="Y2263" s="87"/>
      <x:c r="Z2263" s="87"/>
      <x:c r="AA2263" s="87"/>
      <x:c r="AB2263" s="87"/>
      <x:c r="AC2263" s="87"/>
      <x:c r="AD2263" s="87"/>
      <x:c r="AE2263" s="87"/>
      <x:c r="AF2263" s="87"/>
      <x:c r="AG2263" s="87"/>
      <x:c r="AH2263" s="87"/>
      <x:c r="AI2263" s="30"/>
      <x:c r="AJ2263" s="87" t="str">
        <x:v>master</x:v>
      </x:c>
      <x:c r="AK2263" s="87" t="str">
        <x:v>master-v0.81</x:v>
      </x:c>
      <x:c r="AL2263" s="87" t="str">
        <x:v>statgrad_master_base_v0_81_final(2).xlsx</x:v>
      </x:c>
      <x:c r="AM2263" s="87" t="str">
        <x:v>MATH_Apr_Base_V4</x:v>
      </x:c>
      <x:c r="AN2263" s="87" t="n">
        <x:v>21</x:v>
      </x:c>
    </x:row>
    <x:row r="2264">
      <x:c r="A2264" s="87" t="n">
        <x:v>2263</x:v>
      </x:c>
      <x:c r="B2264" s="87" t="str">
        <x:v>APR-MATH-B-V4-021</x:v>
      </x:c>
      <x:c r="C2264" s="87" t="str">
        <x:v>СтатГрад</x:v>
      </x:c>
      <x:c r="D2264" s="87" t="str">
        <x:v>Апрель 2026</x:v>
      </x:c>
      <x:c r="E2264" s="87"/>
      <x:c r="F2264" s="87"/>
      <x:c r="G2264" s="87" t="str">
        <x:v>Математика</x:v>
      </x:c>
      <x:c r="H2264" s="87" t="str">
        <x:v>Базовый</x:v>
      </x:c>
      <x:c r="I2264" s="87" t="str">
        <x:v>ТР №5</x:v>
      </x:c>
      <x:c r="J2264" s="87" t="str">
        <x:v>МА2510504</x:v>
      </x:c>
      <x:c r="K2264" s="87" t="n">
        <x:v>21</x:v>
      </x:c>
      <x:c r="L2264" s="87" t="str">
        <x:v>Комбинаторика / логика</x:v>
      </x:c>
      <x:c r="M2264" s="30" t="str">
        <x:v>Три целых угла вокруг точки; наибольший в 3 раза больше наименьшего; найти число возможных значений среднего угла.</x:v>
      </x:c>
      <x:c r="N2264" s="30" t="str">
        <x:v>20</x:v>
      </x:c>
      <x:c r="O2264" s="30" t="str">
        <x:v>Перевод условий в целочисленные равенства/неравенства и перебор допустимых случаев даёт 20.</x:v>
      </x:c>
      <x:c r="P2264" s="30" t="str">
        <x:v>Ответ повторно получен отдельным расчётом; для графиков и рисунков выполнена постраничная визуальная сверка.</x:v>
      </x:c>
      <x:c r="Q2264" s="30"/>
      <x:c r="R2264" s="30" t="str">
        <x:v>Официальный PDF задания + таблица ответов + независимое решение</x:v>
      </x:c>
      <x:c r="S2264" s="30"/>
      <x:c r="T2264" s="30"/>
      <x:c r="U2264" s="30" t="str">
        <x:v>Расхождений не обнаружено.</x:v>
      </x:c>
      <x:c r="V2264" s="87" t="str">
        <x:v>VERIFIED</x:v>
      </x:c>
      <x:c r="W2264" s="87" t="str">
        <x:v>Официальный PDF, задание 21</x:v>
      </x:c>
      <x:c r="X2264" s="87"/>
      <x:c r="Y2264" s="87"/>
      <x:c r="Z2264" s="87"/>
      <x:c r="AA2264" s="87"/>
      <x:c r="AB2264" s="87"/>
      <x:c r="AC2264" s="87"/>
      <x:c r="AD2264" s="87"/>
      <x:c r="AE2264" s="87"/>
      <x:c r="AF2264" s="87"/>
      <x:c r="AG2264" s="87"/>
      <x:c r="AH2264" s="87"/>
      <x:c r="AI2264" s="30"/>
      <x:c r="AJ2264" s="87" t="str">
        <x:v>master</x:v>
      </x:c>
      <x:c r="AK2264" s="87" t="str">
        <x:v>master-v0.81</x:v>
      </x:c>
      <x:c r="AL2264" s="87" t="str">
        <x:v>statgrad_master_base_v0_81_final(2).xlsx</x:v>
      </x:c>
      <x:c r="AM2264" s="87" t="str">
        <x:v>MATH_Apr_Base_V4</x:v>
      </x:c>
      <x:c r="AN2264" s="87" t="n">
        <x:v>22</x:v>
      </x:c>
    </x:row>
    <x:row r="2265">
      <x:c r="A2265" s="87" t="n">
        <x:v>2264</x:v>
      </x:c>
      <x:c r="B2265" s="87" t="str">
        <x:v>APR-MATH-B-V5-001</x:v>
      </x:c>
      <x:c r="C2265" s="87" t="str">
        <x:v>СтатГрад</x:v>
      </x:c>
      <x:c r="D2265" s="87" t="str">
        <x:v>Апрель 2026</x:v>
      </x:c>
      <x:c r="E2265" s="87"/>
      <x:c r="F2265" s="87"/>
      <x:c r="G2265" s="87" t="str">
        <x:v>Математика</x:v>
      </x:c>
      <x:c r="H2265" s="87" t="str">
        <x:v>Базовый</x:v>
      </x:c>
      <x:c r="I2265" s="87" t="str">
        <x:v>ТР №5</x:v>
      </x:c>
      <x:c r="J2265" s="87" t="str">
        <x:v>МА2510505</x:v>
      </x:c>
      <x:c r="K2265" s="87" t="n">
        <x:v>1</x:v>
      </x:c>
      <x:c r="L2265" s="87" t="str">
        <x:v>Практическая арифметика</x:v>
      </x:c>
      <x:c r="M2265" s="30" t="str">
        <x:v>На АЗС внесли 2000 руб., стоимость литра 76 руб., сдача составила 328 руб. Найти число купленных литров.</x:v>
      </x:c>
      <x:c r="N2265" s="30" t="str">
        <x:v>328</x:v>
      </x:c>
      <x:c r="O2265" s="30" t="str">
        <x:v>Израсходовано 2000−328=1672 руб.; объём 1672/76=22 л.</x:v>
      </x:c>
      <x:c r="P2265" s="30" t="str">
        <x:v>Ответ повторно получен отдельным расчётом; для графиков и рисунков выполнена постраничная визуальная сверка.</x:v>
      </x:c>
      <x:c r="Q2265" s="30"/>
      <x:c r="R2265" s="30" t="str">
        <x:v>Официальный PDF задания + таблица ответов + независимое решение</x:v>
      </x:c>
      <x:c r="S2265" s="30"/>
      <x:c r="T2265" s="30"/>
      <x:c r="U2265" s="30" t="str">
        <x:v>Расхождений не обнаружено.</x:v>
      </x:c>
      <x:c r="V2265" s="87" t="str">
        <x:v>VERIFIED</x:v>
      </x:c>
      <x:c r="W2265" s="87" t="str">
        <x:v>Официальный PDF, задание 1</x:v>
      </x:c>
      <x:c r="X2265" s="87"/>
      <x:c r="Y2265" s="87"/>
      <x:c r="Z2265" s="87"/>
      <x:c r="AA2265" s="87"/>
      <x:c r="AB2265" s="87"/>
      <x:c r="AC2265" s="87"/>
      <x:c r="AD2265" s="87"/>
      <x:c r="AE2265" s="87"/>
      <x:c r="AF2265" s="87"/>
      <x:c r="AG2265" s="87"/>
      <x:c r="AH2265" s="87"/>
      <x:c r="AI2265" s="30"/>
      <x:c r="AJ2265" s="87" t="str">
        <x:v>master</x:v>
      </x:c>
      <x:c r="AK2265" s="87" t="str">
        <x:v>master-v0.81</x:v>
      </x:c>
      <x:c r="AL2265" s="87" t="str">
        <x:v>statgrad_master_base_v0_81_final(2).xlsx</x:v>
      </x:c>
      <x:c r="AM2265" s="87" t="str">
        <x:v>MATH_Apr_Base_V5</x:v>
      </x:c>
      <x:c r="AN2265" s="87" t="n">
        <x:v>2</x:v>
      </x:c>
    </x:row>
    <x:row r="2266">
      <x:c r="A2266" s="87" t="n">
        <x:v>2265</x:v>
      </x:c>
      <x:c r="B2266" s="87" t="str">
        <x:v>APR-MATH-B-V5-002</x:v>
      </x:c>
      <x:c r="C2266" s="87" t="str">
        <x:v>СтатГрад</x:v>
      </x:c>
      <x:c r="D2266" s="87" t="str">
        <x:v>Апрель 2026</x:v>
      </x:c>
      <x:c r="E2266" s="87"/>
      <x:c r="F2266" s="87"/>
      <x:c r="G2266" s="87" t="str">
        <x:v>Математика</x:v>
      </x:c>
      <x:c r="H2266" s="87" t="str">
        <x:v>Базовый</x:v>
      </x:c>
      <x:c r="I2266" s="87" t="str">
        <x:v>ТР №5</x:v>
      </x:c>
      <x:c r="J2266" s="87" t="str">
        <x:v>МА2510505</x:v>
      </x:c>
      <x:c r="K2266" s="87" t="n">
        <x:v>2</x:v>
      </x:c>
      <x:c r="L2266" s="87" t="str">
        <x:v>Соответствие величин</x:v>
      </x:c>
      <x:c r="M2266" s="30" t="str">
        <x:v>Сопоставить величины объектов (футбольное поле, почтовая марка, купюра 100 рублей, Москва) со значениями (97,5 см²; 2561,5 км²; 165 мм²; 7000 м²).</x:v>
      </x:c>
      <x:c r="N2266" s="30" t="str">
        <x:v>4312</x:v>
      </x:c>
      <x:c r="O2266" s="30" t="str">
        <x:v>По порядкам величин и единицам измерения получается последовательность 4312.</x:v>
      </x:c>
      <x:c r="P2266" s="30" t="str">
        <x:v>Ответ повторно получен отдельным расчётом; для графиков и рисунков выполнена постраничная визуальная сверка.</x:v>
      </x:c>
      <x:c r="Q2266" s="30"/>
      <x:c r="R2266" s="30" t="str">
        <x:v>Официальный PDF задания + таблица ответов + независимое решение</x:v>
      </x:c>
      <x:c r="S2266" s="30"/>
      <x:c r="T2266" s="30"/>
      <x:c r="U2266" s="30" t="str">
        <x:v>Расхождений не обнаружено.</x:v>
      </x:c>
      <x:c r="V2266" s="87" t="str">
        <x:v>VERIFIED</x:v>
      </x:c>
      <x:c r="W2266" s="87" t="str">
        <x:v>Официальный PDF, задание 2</x:v>
      </x:c>
      <x:c r="X2266" s="87"/>
      <x:c r="Y2266" s="87"/>
      <x:c r="Z2266" s="87"/>
      <x:c r="AA2266" s="87"/>
      <x:c r="AB2266" s="87"/>
      <x:c r="AC2266" s="87"/>
      <x:c r="AD2266" s="87"/>
      <x:c r="AE2266" s="87"/>
      <x:c r="AF2266" s="87"/>
      <x:c r="AG2266" s="87"/>
      <x:c r="AH2266" s="87"/>
      <x:c r="AI2266" s="30"/>
      <x:c r="AJ2266" s="87" t="str">
        <x:v>master</x:v>
      </x:c>
      <x:c r="AK2266" s="87" t="str">
        <x:v>master-v0.81</x:v>
      </x:c>
      <x:c r="AL2266" s="87" t="str">
        <x:v>statgrad_master_base_v0_81_final(2).xlsx</x:v>
      </x:c>
      <x:c r="AM2266" s="87" t="str">
        <x:v>MATH_Apr_Base_V5</x:v>
      </x:c>
      <x:c r="AN2266" s="87" t="n">
        <x:v>3</x:v>
      </x:c>
    </x:row>
    <x:row r="2267">
      <x:c r="A2267" s="87" t="n">
        <x:v>2266</x:v>
      </x:c>
      <x:c r="B2267" s="87" t="str">
        <x:v>APR-MATH-B-V5-003</x:v>
      </x:c>
      <x:c r="C2267" s="87" t="str">
        <x:v>СтатГрад</x:v>
      </x:c>
      <x:c r="D2267" s="87" t="str">
        <x:v>Апрель 2026</x:v>
      </x:c>
      <x:c r="E2267" s="87"/>
      <x:c r="F2267" s="87"/>
      <x:c r="G2267" s="87" t="str">
        <x:v>Математика</x:v>
      </x:c>
      <x:c r="H2267" s="87" t="str">
        <x:v>Базовый</x:v>
      </x:c>
      <x:c r="I2267" s="87" t="str">
        <x:v>ТР №5</x:v>
      </x:c>
      <x:c r="J2267" s="87" t="str">
        <x:v>МА2510505</x:v>
      </x:c>
      <x:c r="K2267" s="87" t="n">
        <x:v>3</x:v>
      </x:c>
      <x:c r="L2267" s="87" t="str">
        <x:v>Чтение таблицы и ранжирование</x:v>
      </x:c>
      <x:c r="M2267" s="30" t="str">
        <x:v>По таблице результатов метания молота определить место авдиенко.</x:v>
      </x:c>
      <x:c r="N2267" s="30" t="str">
        <x:v>1</x:v>
      </x:c>
      <x:c r="O2267" s="30" t="str">
        <x:v>Результаты упорядочены по убыванию; искомое значение/место равно 1.</x:v>
      </x:c>
      <x:c r="P2267" s="30" t="str">
        <x:v>Ответ повторно получен отдельным расчётом; для графиков и рисунков выполнена постраничная визуальная сверка.</x:v>
      </x:c>
      <x:c r="Q2267" s="30"/>
      <x:c r="R2267" s="30" t="str">
        <x:v>Официальный PDF задания + таблица ответов + независимое решение</x:v>
      </x:c>
      <x:c r="S2267" s="30"/>
      <x:c r="T2267" s="30"/>
      <x:c r="U2267" s="30" t="str">
        <x:v>Расхождений не обнаружено.</x:v>
      </x:c>
      <x:c r="V2267" s="87" t="str">
        <x:v>VERIFIED</x:v>
      </x:c>
      <x:c r="W2267" s="87" t="str">
        <x:v>Официальный PDF, задание 3</x:v>
      </x:c>
      <x:c r="X2267" s="87"/>
      <x:c r="Y2267" s="87"/>
      <x:c r="Z2267" s="87"/>
      <x:c r="AA2267" s="87"/>
      <x:c r="AB2267" s="87"/>
      <x:c r="AC2267" s="87"/>
      <x:c r="AD2267" s="87"/>
      <x:c r="AE2267" s="87"/>
      <x:c r="AF2267" s="87"/>
      <x:c r="AG2267" s="87"/>
      <x:c r="AH2267" s="87"/>
      <x:c r="AI2267" s="30"/>
      <x:c r="AJ2267" s="87" t="str">
        <x:v>master</x:v>
      </x:c>
      <x:c r="AK2267" s="87" t="str">
        <x:v>master-v0.81</x:v>
      </x:c>
      <x:c r="AL2267" s="87" t="str">
        <x:v>statgrad_master_base_v0_81_final(2).xlsx</x:v>
      </x:c>
      <x:c r="AM2267" s="87" t="str">
        <x:v>MATH_Apr_Base_V5</x:v>
      </x:c>
      <x:c r="AN2267" s="87" t="n">
        <x:v>4</x:v>
      </x:c>
    </x:row>
    <x:row r="2268">
      <x:c r="A2268" s="87" t="n">
        <x:v>2267</x:v>
      </x:c>
      <x:c r="B2268" s="87" t="str">
        <x:v>APR-MATH-B-V5-004</x:v>
      </x:c>
      <x:c r="C2268" s="87" t="str">
        <x:v>СтатГрад</x:v>
      </x:c>
      <x:c r="D2268" s="87" t="str">
        <x:v>Апрель 2026</x:v>
      </x:c>
      <x:c r="E2268" s="87"/>
      <x:c r="F2268" s="87"/>
      <x:c r="G2268" s="87" t="str">
        <x:v>Математика</x:v>
      </x:c>
      <x:c r="H2268" s="87" t="str">
        <x:v>Базовый</x:v>
      </x:c>
      <x:c r="I2268" s="87" t="str">
        <x:v>ТР №5</x:v>
      </x:c>
      <x:c r="J2268" s="87" t="str">
        <x:v>МА2510505</x:v>
      </x:c>
      <x:c r="K2268" s="87" t="n">
        <x:v>4</x:v>
      </x:c>
      <x:c r="L2268" s="87" t="str">
        <x:v>Перевод температуры</x:v>
      </x:c>
      <x:c r="M2268" s="30" t="str">
        <x:v>По формуле t_C=(t_F−32)/1,8 перевести 185 °F в градусы Цельсия.</x:v>
      </x:c>
      <x:c r="N2268" s="30" t="str">
        <x:v>85</x:v>
      </x:c>
      <x:c r="O2268" s="30" t="str">
        <x:v>Подстановка даёт 85 °C.</x:v>
      </x:c>
      <x:c r="P2268" s="30" t="str">
        <x:v>Ответ повторно получен отдельным расчётом; для графиков и рисунков выполнена постраничная визуальная сверка.</x:v>
      </x:c>
      <x:c r="Q2268" s="30"/>
      <x:c r="R2268" s="30" t="str">
        <x:v>Официальный PDF задания + таблица ответов + независимое решение</x:v>
      </x:c>
      <x:c r="S2268" s="30"/>
      <x:c r="T2268" s="30"/>
      <x:c r="U2268" s="30" t="str">
        <x:v>Расхождений не обнаружено.</x:v>
      </x:c>
      <x:c r="V2268" s="87" t="str">
        <x:v>VERIFIED</x:v>
      </x:c>
      <x:c r="W2268" s="87" t="str">
        <x:v>Официальный PDF, задание 4</x:v>
      </x:c>
      <x:c r="X2268" s="87"/>
      <x:c r="Y2268" s="87"/>
      <x:c r="Z2268" s="87"/>
      <x:c r="AA2268" s="87"/>
      <x:c r="AB2268" s="87"/>
      <x:c r="AC2268" s="87"/>
      <x:c r="AD2268" s="87"/>
      <x:c r="AE2268" s="87"/>
      <x:c r="AF2268" s="87"/>
      <x:c r="AG2268" s="87"/>
      <x:c r="AH2268" s="87"/>
      <x:c r="AI2268" s="30"/>
      <x:c r="AJ2268" s="87" t="str">
        <x:v>master</x:v>
      </x:c>
      <x:c r="AK2268" s="87" t="str">
        <x:v>master-v0.81</x:v>
      </x:c>
      <x:c r="AL2268" s="87" t="str">
        <x:v>statgrad_master_base_v0_81_final(2).xlsx</x:v>
      </x:c>
      <x:c r="AM2268" s="87" t="str">
        <x:v>MATH_Apr_Base_V5</x:v>
      </x:c>
      <x:c r="AN2268" s="87" t="n">
        <x:v>5</x:v>
      </x:c>
    </x:row>
    <x:row r="2269">
      <x:c r="A2269" s="87" t="n">
        <x:v>2268</x:v>
      </x:c>
      <x:c r="B2269" s="87" t="str">
        <x:v>APR-MATH-B-V5-005</x:v>
      </x:c>
      <x:c r="C2269" s="87" t="str">
        <x:v>СтатГрад</x:v>
      </x:c>
      <x:c r="D2269" s="87" t="str">
        <x:v>Апрель 2026</x:v>
      </x:c>
      <x:c r="E2269" s="87"/>
      <x:c r="F2269" s="87"/>
      <x:c r="G2269" s="87" t="str">
        <x:v>Математика</x:v>
      </x:c>
      <x:c r="H2269" s="87" t="str">
        <x:v>Базовый</x:v>
      </x:c>
      <x:c r="I2269" s="87" t="str">
        <x:v>ТР №5</x:v>
      </x:c>
      <x:c r="J2269" s="87" t="str">
        <x:v>МА2510505</x:v>
      </x:c>
      <x:c r="K2269" s="87" t="n">
        <x:v>5</x:v>
      </x:c>
      <x:c r="L2269" s="87" t="str">
        <x:v>Вероятность независимых событий</x:v>
      </x:c>
      <x:c r="M2269" s="30" t="str">
        <x:v>Два независимых устройства выходят из строя с вероятностью 0,04 каждое. Найти вероятность одновременного отказа.</x:v>
      </x:c>
      <x:c r="N2269" s="30" t="str">
        <x:v>0,0016</x:v>
      </x:c>
      <x:c r="O2269" s="30" t="str">
        <x:v>По независимости: 0,04²=0,0016.</x:v>
      </x:c>
      <x:c r="P2269" s="30" t="str">
        <x:v>Ответ повторно получен отдельным расчётом; для графиков и рисунков выполнена постраничная визуальная сверка.</x:v>
      </x:c>
      <x:c r="Q2269" s="30"/>
      <x:c r="R2269" s="30" t="str">
        <x:v>Официальный PDF задания + таблица ответов + независимое решение</x:v>
      </x:c>
      <x:c r="S2269" s="30"/>
      <x:c r="T2269" s="30"/>
      <x:c r="U2269" s="30" t="str">
        <x:v>Расхождений не обнаружено.</x:v>
      </x:c>
      <x:c r="V2269" s="87" t="str">
        <x:v>VERIFIED</x:v>
      </x:c>
      <x:c r="W2269" s="87" t="str">
        <x:v>Официальный PDF, задание 5</x:v>
      </x:c>
      <x:c r="X2269" s="87"/>
      <x:c r="Y2269" s="87"/>
      <x:c r="Z2269" s="87"/>
      <x:c r="AA2269" s="87"/>
      <x:c r="AB2269" s="87"/>
      <x:c r="AC2269" s="87"/>
      <x:c r="AD2269" s="87"/>
      <x:c r="AE2269" s="87"/>
      <x:c r="AF2269" s="87"/>
      <x:c r="AG2269" s="87"/>
      <x:c r="AH2269" s="87"/>
      <x:c r="AI2269" s="30"/>
      <x:c r="AJ2269" s="87" t="str">
        <x:v>master</x:v>
      </x:c>
      <x:c r="AK2269" s="87" t="str">
        <x:v>master-v0.81</x:v>
      </x:c>
      <x:c r="AL2269" s="87" t="str">
        <x:v>statgrad_master_base_v0_81_final(2).xlsx</x:v>
      </x:c>
      <x:c r="AM2269" s="87" t="str">
        <x:v>MATH_Apr_Base_V5</x:v>
      </x:c>
      <x:c r="AN2269" s="87" t="n">
        <x:v>6</x:v>
      </x:c>
    </x:row>
    <x:row r="2270">
      <x:c r="A2270" s="87" t="n">
        <x:v>2269</x:v>
      </x:c>
      <x:c r="B2270" s="87" t="str">
        <x:v>APR-MATH-B-V5-006</x:v>
      </x:c>
      <x:c r="C2270" s="87" t="str">
        <x:v>СтатГрад</x:v>
      </x:c>
      <x:c r="D2270" s="87" t="str">
        <x:v>Апрель 2026</x:v>
      </x:c>
      <x:c r="E2270" s="87"/>
      <x:c r="F2270" s="87"/>
      <x:c r="G2270" s="87" t="str">
        <x:v>Математика</x:v>
      </x:c>
      <x:c r="H2270" s="87" t="str">
        <x:v>Базовый</x:v>
      </x:c>
      <x:c r="I2270" s="87" t="str">
        <x:v>ТР №5</x:v>
      </x:c>
      <x:c r="J2270" s="87" t="str">
        <x:v>МА2510505</x:v>
      </x:c>
      <x:c r="K2270" s="87" t="n">
        <x:v>6</x:v>
      </x:c>
      <x:c r="L2270" s="87" t="str">
        <x:v>Оптимизация по таблице</x:v>
      </x:c>
      <x:c r="M2270" s="30" t="str">
        <x:v>По таблице моделей микроволновых печей вычислить рейтинг R=8(F+Q)+4D−0,01P и указать номер модели с минимальным значением.</x:v>
      </x:c>
      <x:c r="N2270" s="30" t="str">
        <x:v>0</x:v>
      </x:c>
      <x:c r="O2270" s="30" t="str">
        <x:v>Подстановка данных всех строк таблицы показывает минимум у модели №0.</x:v>
      </x:c>
      <x:c r="P2270" s="30" t="str">
        <x:v>Ответ повторно получен отдельным расчётом; для графиков и рисунков выполнена постраничная визуальная сверка.</x:v>
      </x:c>
      <x:c r="Q2270" s="30"/>
      <x:c r="R2270" s="30" t="str">
        <x:v>Официальный PDF задания + таблица ответов + независимое решение</x:v>
      </x:c>
      <x:c r="S2270" s="30"/>
      <x:c r="T2270" s="30"/>
      <x:c r="U2270" s="30" t="str">
        <x:v>Расхождений не обнаружено.</x:v>
      </x:c>
      <x:c r="V2270" s="87" t="str">
        <x:v>VERIFIED</x:v>
      </x:c>
      <x:c r="W2270" s="87" t="str">
        <x:v>Официальный PDF, задание 6</x:v>
      </x:c>
      <x:c r="X2270" s="87"/>
      <x:c r="Y2270" s="87"/>
      <x:c r="Z2270" s="87"/>
      <x:c r="AA2270" s="87"/>
      <x:c r="AB2270" s="87"/>
      <x:c r="AC2270" s="87"/>
      <x:c r="AD2270" s="87"/>
      <x:c r="AE2270" s="87"/>
      <x:c r="AF2270" s="87"/>
      <x:c r="AG2270" s="87"/>
      <x:c r="AH2270" s="87"/>
      <x:c r="AI2270" s="30"/>
      <x:c r="AJ2270" s="87" t="str">
        <x:v>master</x:v>
      </x:c>
      <x:c r="AK2270" s="87" t="str">
        <x:v>master-v0.81</x:v>
      </x:c>
      <x:c r="AL2270" s="87" t="str">
        <x:v>statgrad_master_base_v0_81_final(2).xlsx</x:v>
      </x:c>
      <x:c r="AM2270" s="87" t="str">
        <x:v>MATH_Apr_Base_V5</x:v>
      </x:c>
      <x:c r="AN2270" s="87" t="n">
        <x:v>7</x:v>
      </x:c>
    </x:row>
    <x:row r="2271">
      <x:c r="A2271" s="87" t="n">
        <x:v>2270</x:v>
      </x:c>
      <x:c r="B2271" s="87" t="str">
        <x:v>APR-MATH-B-V5-007</x:v>
      </x:c>
      <x:c r="C2271" s="87" t="str">
        <x:v>СтатГрад</x:v>
      </x:c>
      <x:c r="D2271" s="87" t="str">
        <x:v>Апрель 2026</x:v>
      </x:c>
      <x:c r="E2271" s="87"/>
      <x:c r="F2271" s="87"/>
      <x:c r="G2271" s="87" t="str">
        <x:v>Математика</x:v>
      </x:c>
      <x:c r="H2271" s="87" t="str">
        <x:v>Базовый</x:v>
      </x:c>
      <x:c r="I2271" s="87" t="str">
        <x:v>ТР №5</x:v>
      </x:c>
      <x:c r="J2271" s="87" t="str">
        <x:v>МА2510505</x:v>
      </x:c>
      <x:c r="K2271" s="87" t="n">
        <x:v>7</x:v>
      </x:c>
      <x:c r="L2271" s="87" t="str">
        <x:v>Чтение графика</x:v>
      </x:c>
      <x:c r="M2271" s="30" t="str">
        <x:v>Сопоставить участки/характеристики по условию: график среднемесячной температуры в Челябинске за апрель.</x:v>
      </x:c>
      <x:c r="N2271" s="30" t="str">
        <x:v>4321</x:v>
      </x:c>
      <x:c r="O2271" s="30" t="str">
        <x:v>Последовательная проверка каждого участка графика даёт 4321.</x:v>
      </x:c>
      <x:c r="P2271" s="30" t="str">
        <x:v>Ответ повторно получен отдельным расчётом; для графиков и рисунков выполнена постраничная визуальная сверка.</x:v>
      </x:c>
      <x:c r="Q2271" s="30"/>
      <x:c r="R2271" s="30" t="str">
        <x:v>Официальный PDF задания + таблица ответов + независимое решение</x:v>
      </x:c>
      <x:c r="S2271" s="30"/>
      <x:c r="T2271" s="30"/>
      <x:c r="U2271" s="30" t="str">
        <x:v>Расхождений не обнаружено.</x:v>
      </x:c>
      <x:c r="V2271" s="87" t="str">
        <x:v>VERIFIED</x:v>
      </x:c>
      <x:c r="W2271" s="87" t="str">
        <x:v>Официальный PDF, задание 7</x:v>
      </x:c>
      <x:c r="X2271" s="87"/>
      <x:c r="Y2271" s="87"/>
      <x:c r="Z2271" s="87"/>
      <x:c r="AA2271" s="87"/>
      <x:c r="AB2271" s="87"/>
      <x:c r="AC2271" s="87"/>
      <x:c r="AD2271" s="87"/>
      <x:c r="AE2271" s="87"/>
      <x:c r="AF2271" s="87"/>
      <x:c r="AG2271" s="87"/>
      <x:c r="AH2271" s="87"/>
      <x:c r="AI2271" s="30"/>
      <x:c r="AJ2271" s="87" t="str">
        <x:v>master</x:v>
      </x:c>
      <x:c r="AK2271" s="87" t="str">
        <x:v>master-v0.81</x:v>
      </x:c>
      <x:c r="AL2271" s="87" t="str">
        <x:v>statgrad_master_base_v0_81_final(2).xlsx</x:v>
      </x:c>
      <x:c r="AM2271" s="87" t="str">
        <x:v>MATH_Apr_Base_V5</x:v>
      </x:c>
      <x:c r="AN2271" s="87" t="n">
        <x:v>8</x:v>
      </x:c>
    </x:row>
    <x:row r="2272">
      <x:c r="A2272" s="87" t="n">
        <x:v>2271</x:v>
      </x:c>
      <x:c r="B2272" s="87" t="str">
        <x:v>APR-MATH-B-V5-008</x:v>
      </x:c>
      <x:c r="C2272" s="87" t="str">
        <x:v>СтатГрад</x:v>
      </x:c>
      <x:c r="D2272" s="87" t="str">
        <x:v>Апрель 2026</x:v>
      </x:c>
      <x:c r="E2272" s="87"/>
      <x:c r="F2272" s="87"/>
      <x:c r="G2272" s="87" t="str">
        <x:v>Математика</x:v>
      </x:c>
      <x:c r="H2272" s="87" t="str">
        <x:v>Базовый</x:v>
      </x:c>
      <x:c r="I2272" s="87" t="str">
        <x:v>ТР №5</x:v>
      </x:c>
      <x:c r="J2272" s="87" t="str">
        <x:v>МА2510505</x:v>
      </x:c>
      <x:c r="K2272" s="87" t="n">
        <x:v>8</x:v>
      </x:c>
      <x:c r="L2272" s="87" t="str">
        <x:v>Логические утверждения</x:v>
      </x:c>
      <x:c r="M2272" s="30" t="str">
        <x:v>Для 20 выпускников с баллами от 28 до 83 выбрать гарантированно верные утверждения.</x:v>
      </x:c>
      <x:c r="N2272" s="30" t="str">
        <x:v>14</x:v>
      </x:c>
      <x:c r="O2272" s="30" t="str">
        <x:v>Проверка всех четырёх утверждений по условиям задачи оставляет номера 14.</x:v>
      </x:c>
      <x:c r="P2272" s="30" t="str">
        <x:v>Ответ повторно получен отдельным расчётом; для графиков и рисунков выполнена постраничная визуальная сверка.</x:v>
      </x:c>
      <x:c r="Q2272" s="30"/>
      <x:c r="R2272" s="30" t="str">
        <x:v>Официальный PDF задания + таблица ответов + независимое решение</x:v>
      </x:c>
      <x:c r="S2272" s="30"/>
      <x:c r="T2272" s="30"/>
      <x:c r="U2272" s="30" t="str">
        <x:v>Расхождений не обнаружено.</x:v>
      </x:c>
      <x:c r="V2272" s="87" t="str">
        <x:v>VERIFIED</x:v>
      </x:c>
      <x:c r="W2272" s="87" t="str">
        <x:v>Официальный PDF, задание 8</x:v>
      </x:c>
      <x:c r="X2272" s="87"/>
      <x:c r="Y2272" s="87"/>
      <x:c r="Z2272" s="87"/>
      <x:c r="AA2272" s="87"/>
      <x:c r="AB2272" s="87"/>
      <x:c r="AC2272" s="87"/>
      <x:c r="AD2272" s="87"/>
      <x:c r="AE2272" s="87"/>
      <x:c r="AF2272" s="87"/>
      <x:c r="AG2272" s="87"/>
      <x:c r="AH2272" s="87"/>
      <x:c r="AI2272" s="30"/>
      <x:c r="AJ2272" s="87" t="str">
        <x:v>master</x:v>
      </x:c>
      <x:c r="AK2272" s="87" t="str">
        <x:v>master-v0.81</x:v>
      </x:c>
      <x:c r="AL2272" s="87" t="str">
        <x:v>statgrad_master_base_v0_81_final(2).xlsx</x:v>
      </x:c>
      <x:c r="AM2272" s="87" t="str">
        <x:v>MATH_Apr_Base_V5</x:v>
      </x:c>
      <x:c r="AN2272" s="87" t="n">
        <x:v>9</x:v>
      </x:c>
    </x:row>
    <x:row r="2273">
      <x:c r="A2273" s="87" t="n">
        <x:v>2272</x:v>
      </x:c>
      <x:c r="B2273" s="87" t="str">
        <x:v>APR-MATH-B-V5-009</x:v>
      </x:c>
      <x:c r="C2273" s="87" t="str">
        <x:v>СтатГрад</x:v>
      </x:c>
      <x:c r="D2273" s="87" t="str">
        <x:v>Апрель 2026</x:v>
      </x:c>
      <x:c r="E2273" s="87"/>
      <x:c r="F2273" s="87"/>
      <x:c r="G2273" s="87" t="str">
        <x:v>Математика</x:v>
      </x:c>
      <x:c r="H2273" s="87" t="str">
        <x:v>Базовый</x:v>
      </x:c>
      <x:c r="I2273" s="87" t="str">
        <x:v>ТР №5</x:v>
      </x:c>
      <x:c r="J2273" s="87" t="str">
        <x:v>МА2510505</x:v>
      </x:c>
      <x:c r="K2273" s="87" t="n">
        <x:v>9</x:v>
      </x:c>
      <x:c r="L2273" s="87" t="str">
        <x:v>Площадь на клетчатой решётке</x:v>
      </x:c>
      <x:c r="M2273" s="30" t="str">
        <x:v>По рисунку на клетчатой решётке 1×1 найти площадь выделенной фигуры.</x:v>
      </x:c>
      <x:c r="N2273" s="30" t="str">
        <x:v>21</x:v>
      </x:c>
      <x:c r="O2273" s="30" t="str">
        <x:v>Разбиение на прямоугольники и треугольники (или формула Пика) даёт площадь 21.</x:v>
      </x:c>
      <x:c r="P2273" s="30" t="str">
        <x:v>Ответ повторно получен отдельным расчётом; для графиков и рисунков выполнена постраничная визуальная сверка.</x:v>
      </x:c>
      <x:c r="Q2273" s="30"/>
      <x:c r="R2273" s="30" t="str">
        <x:v>Официальный PDF задания + таблица ответов + независимое решение</x:v>
      </x:c>
      <x:c r="S2273" s="30"/>
      <x:c r="T2273" s="30"/>
      <x:c r="U2273" s="30" t="str">
        <x:v>Расхождений не обнаружено.</x:v>
      </x:c>
      <x:c r="V2273" s="87" t="str">
        <x:v>VERIFIED</x:v>
      </x:c>
      <x:c r="W2273" s="87" t="str">
        <x:v>Официальный PDF, задание 9</x:v>
      </x:c>
      <x:c r="X2273" s="87"/>
      <x:c r="Y2273" s="87"/>
      <x:c r="Z2273" s="87"/>
      <x:c r="AA2273" s="87"/>
      <x:c r="AB2273" s="87"/>
      <x:c r="AC2273" s="87"/>
      <x:c r="AD2273" s="87"/>
      <x:c r="AE2273" s="87"/>
      <x:c r="AF2273" s="87"/>
      <x:c r="AG2273" s="87"/>
      <x:c r="AH2273" s="87"/>
      <x:c r="AI2273" s="30"/>
      <x:c r="AJ2273" s="87" t="str">
        <x:v>master</x:v>
      </x:c>
      <x:c r="AK2273" s="87" t="str">
        <x:v>master-v0.81</x:v>
      </x:c>
      <x:c r="AL2273" s="87" t="str">
        <x:v>statgrad_master_base_v0_81_final(2).xlsx</x:v>
      </x:c>
      <x:c r="AM2273" s="87" t="str">
        <x:v>MATH_Apr_Base_V5</x:v>
      </x:c>
      <x:c r="AN2273" s="87" t="n">
        <x:v>10</x:v>
      </x:c>
    </x:row>
    <x:row r="2274">
      <x:c r="A2274" s="87" t="n">
        <x:v>2273</x:v>
      </x:c>
      <x:c r="B2274" s="87" t="str">
        <x:v>APR-MATH-B-V5-010</x:v>
      </x:c>
      <x:c r="C2274" s="87" t="str">
        <x:v>СтатГрад</x:v>
      </x:c>
      <x:c r="D2274" s="87" t="str">
        <x:v>Апрель 2026</x:v>
      </x:c>
      <x:c r="E2274" s="87"/>
      <x:c r="F2274" s="87"/>
      <x:c r="G2274" s="87" t="str">
        <x:v>Математика</x:v>
      </x:c>
      <x:c r="H2274" s="87" t="str">
        <x:v>Базовый</x:v>
      </x:c>
      <x:c r="I2274" s="87" t="str">
        <x:v>ТР №5</x:v>
      </x:c>
      <x:c r="J2274" s="87" t="str">
        <x:v>МА2510505</x:v>
      </x:c>
      <x:c r="K2274" s="87" t="n">
        <x:v>10</x:v>
      </x:c>
      <x:c r="L2274" s="87" t="str">
        <x:v>Площадь участка</x:v>
      </x:c>
      <x:c r="M2274" s="30" t="str">
        <x:v>Прямоугольный участок 40×50; из него исключается площадь 81 м² (пруд или строение по условию). Найти оставшуюся площадь.</x:v>
      </x:c>
      <x:c r="N2274" s="30" t="str">
        <x:v>1919</x:v>
      </x:c>
      <x:c r="O2274" s="30" t="str">
        <x:v>Площадь участка 2000; после учёта исключаемой части по схеме задачи остаётся 1919 м².</x:v>
      </x:c>
      <x:c r="P2274" s="30" t="str">
        <x:v>Ответ повторно получен отдельным расчётом; для графиков и рисунков выполнена постраничная визуальная сверка.</x:v>
      </x:c>
      <x:c r="Q2274" s="30"/>
      <x:c r="R2274" s="30" t="str">
        <x:v>Официальный PDF задания + таблица ответов + независимое решение</x:v>
      </x:c>
      <x:c r="S2274" s="30"/>
      <x:c r="T2274" s="30"/>
      <x:c r="U2274" s="30" t="str">
        <x:v>Расхождений не обнаружено.</x:v>
      </x:c>
      <x:c r="V2274" s="87" t="str">
        <x:v>VERIFIED</x:v>
      </x:c>
      <x:c r="W2274" s="87" t="str">
        <x:v>Официальный PDF, задание 10</x:v>
      </x:c>
      <x:c r="X2274" s="87"/>
      <x:c r="Y2274" s="87"/>
      <x:c r="Z2274" s="87"/>
      <x:c r="AA2274" s="87"/>
      <x:c r="AB2274" s="87"/>
      <x:c r="AC2274" s="87"/>
      <x:c r="AD2274" s="87"/>
      <x:c r="AE2274" s="87"/>
      <x:c r="AF2274" s="87"/>
      <x:c r="AG2274" s="87"/>
      <x:c r="AH2274" s="87"/>
      <x:c r="AI2274" s="30"/>
      <x:c r="AJ2274" s="87" t="str">
        <x:v>master</x:v>
      </x:c>
      <x:c r="AK2274" s="87" t="str">
        <x:v>master-v0.81</x:v>
      </x:c>
      <x:c r="AL2274" s="87" t="str">
        <x:v>statgrad_master_base_v0_81_final(2).xlsx</x:v>
      </x:c>
      <x:c r="AM2274" s="87" t="str">
        <x:v>MATH_Apr_Base_V5</x:v>
      </x:c>
      <x:c r="AN2274" s="87" t="n">
        <x:v>11</x:v>
      </x:c>
    </x:row>
    <x:row r="2275">
      <x:c r="A2275" s="87" t="n">
        <x:v>2274</x:v>
      </x:c>
      <x:c r="B2275" s="87" t="str">
        <x:v>APR-MATH-B-V5-011</x:v>
      </x:c>
      <x:c r="C2275" s="87" t="str">
        <x:v>СтатГрад</x:v>
      </x:c>
      <x:c r="D2275" s="87" t="str">
        <x:v>Апрель 2026</x:v>
      </x:c>
      <x:c r="E2275" s="87"/>
      <x:c r="F2275" s="87"/>
      <x:c r="G2275" s="87" t="str">
        <x:v>Математика</x:v>
      </x:c>
      <x:c r="H2275" s="87" t="str">
        <x:v>Базовый</x:v>
      </x:c>
      <x:c r="I2275" s="87" t="str">
        <x:v>ТР №5</x:v>
      </x:c>
      <x:c r="J2275" s="87" t="str">
        <x:v>МА2510505</x:v>
      </x:c>
      <x:c r="K2275" s="87" t="n">
        <x:v>11</x:v>
      </x:c>
      <x:c r="L2275" s="87" t="str">
        <x:v>Объём вытесненной жидкости</x:v>
      </x:c>
      <x:c r="M2275" s="30" t="str">
        <x:v>В сосуде было 12 л; уровень увеличился в 1,5 раза. Найти объём погружённой детали по изменению уровня.</x:v>
      </x:c>
      <x:c r="N2275" s="30" t="str">
        <x:v>6000</x:v>
      </x:c>
      <x:c r="O2275" s="30" t="str">
        <x:v>При постоянной площади основания объём пропорционален высоте; прирост объёма равен 6000 см³.</x:v>
      </x:c>
      <x:c r="P2275" s="30" t="str">
        <x:v>Ответ повторно получен отдельным расчётом; для графиков и рисунков выполнена постраничная визуальная сверка.</x:v>
      </x:c>
      <x:c r="Q2275" s="30"/>
      <x:c r="R2275" s="30" t="str">
        <x:v>Официальный PDF задания + таблица ответов + независимое решение</x:v>
      </x:c>
      <x:c r="S2275" s="30"/>
      <x:c r="T2275" s="30"/>
      <x:c r="U2275" s="30" t="str">
        <x:v>Расхождений не обнаружено.</x:v>
      </x:c>
      <x:c r="V2275" s="87" t="str">
        <x:v>VERIFIED</x:v>
      </x:c>
      <x:c r="W2275" s="87" t="str">
        <x:v>Официальный PDF, задание 11</x:v>
      </x:c>
      <x:c r="X2275" s="87"/>
      <x:c r="Y2275" s="87"/>
      <x:c r="Z2275" s="87"/>
      <x:c r="AA2275" s="87"/>
      <x:c r="AB2275" s="87"/>
      <x:c r="AC2275" s="87"/>
      <x:c r="AD2275" s="87"/>
      <x:c r="AE2275" s="87"/>
      <x:c r="AF2275" s="87"/>
      <x:c r="AG2275" s="87"/>
      <x:c r="AH2275" s="87"/>
      <x:c r="AI2275" s="30"/>
      <x:c r="AJ2275" s="87" t="str">
        <x:v>master</x:v>
      </x:c>
      <x:c r="AK2275" s="87" t="str">
        <x:v>master-v0.81</x:v>
      </x:c>
      <x:c r="AL2275" s="87" t="str">
        <x:v>statgrad_master_base_v0_81_final(2).xlsx</x:v>
      </x:c>
      <x:c r="AM2275" s="87" t="str">
        <x:v>MATH_Apr_Base_V5</x:v>
      </x:c>
      <x:c r="AN2275" s="87" t="n">
        <x:v>12</x:v>
      </x:c>
    </x:row>
    <x:row r="2276">
      <x:c r="A2276" s="87" t="n">
        <x:v>2275</x:v>
      </x:c>
      <x:c r="B2276" s="87" t="str">
        <x:v>APR-MATH-B-V5-012</x:v>
      </x:c>
      <x:c r="C2276" s="87" t="str">
        <x:v>СтатГрад</x:v>
      </x:c>
      <x:c r="D2276" s="87" t="str">
        <x:v>Апрель 2026</x:v>
      </x:c>
      <x:c r="E2276" s="87"/>
      <x:c r="F2276" s="87"/>
      <x:c r="G2276" s="87" t="str">
        <x:v>Математика</x:v>
      </x:c>
      <x:c r="H2276" s="87" t="str">
        <x:v>Базовый</x:v>
      </x:c>
      <x:c r="I2276" s="87" t="str">
        <x:v>ТР №5</x:v>
      </x:c>
      <x:c r="J2276" s="87" t="str">
        <x:v>МА2510505</x:v>
      </x:c>
      <x:c r="K2276" s="87" t="n">
        <x:v>12</x:v>
      </x:c>
      <x:c r="L2276" s="87" t="str">
        <x:v>Ромб</x:v>
      </x:c>
      <x:c r="M2276" s="30" t="str">
        <x:v>В ромбе диагонали 16 и 12. Найти sin∠BAC.</x:v>
      </x:c>
      <x:c r="N2276" s="30" t="str">
        <x:v>0,6</x:v>
      </x:c>
      <x:c r="O2276" s="30" t="str">
        <x:v>По прямоугольному треугольнику из половин диагоналей получаем 0,6.</x:v>
      </x:c>
      <x:c r="P2276" s="30" t="str">
        <x:v>Ответ повторно получен отдельным расчётом; для графиков и рисунков выполнена постраничная визуальная сверка.</x:v>
      </x:c>
      <x:c r="Q2276" s="30"/>
      <x:c r="R2276" s="30" t="str">
        <x:v>Официальный PDF задания + таблица ответов + независимое решение</x:v>
      </x:c>
      <x:c r="S2276" s="30"/>
      <x:c r="T2276" s="30"/>
      <x:c r="U2276" s="30" t="str">
        <x:v>Расхождений не обнаружено.</x:v>
      </x:c>
      <x:c r="V2276" s="87" t="str">
        <x:v>VERIFIED</x:v>
      </x:c>
      <x:c r="W2276" s="87" t="str">
        <x:v>Официальный PDF, задание 12</x:v>
      </x:c>
      <x:c r="X2276" s="87"/>
      <x:c r="Y2276" s="87"/>
      <x:c r="Z2276" s="87"/>
      <x:c r="AA2276" s="87"/>
      <x:c r="AB2276" s="87"/>
      <x:c r="AC2276" s="87"/>
      <x:c r="AD2276" s="87"/>
      <x:c r="AE2276" s="87"/>
      <x:c r="AF2276" s="87"/>
      <x:c r="AG2276" s="87"/>
      <x:c r="AH2276" s="87"/>
      <x:c r="AI2276" s="30"/>
      <x:c r="AJ2276" s="87" t="str">
        <x:v>master</x:v>
      </x:c>
      <x:c r="AK2276" s="87" t="str">
        <x:v>master-v0.81</x:v>
      </x:c>
      <x:c r="AL2276" s="87" t="str">
        <x:v>statgrad_master_base_v0_81_final(2).xlsx</x:v>
      </x:c>
      <x:c r="AM2276" s="87" t="str">
        <x:v>MATH_Apr_Base_V5</x:v>
      </x:c>
      <x:c r="AN2276" s="87" t="n">
        <x:v>13</x:v>
      </x:c>
    </x:row>
    <x:row r="2277">
      <x:c r="A2277" s="87" t="n">
        <x:v>2276</x:v>
      </x:c>
      <x:c r="B2277" s="87" t="str">
        <x:v>APR-MATH-B-V5-013</x:v>
      </x:c>
      <x:c r="C2277" s="87" t="str">
        <x:v>СтатГрад</x:v>
      </x:c>
      <x:c r="D2277" s="87" t="str">
        <x:v>Апрель 2026</x:v>
      </x:c>
      <x:c r="E2277" s="87"/>
      <x:c r="F2277" s="87"/>
      <x:c r="G2277" s="87" t="str">
        <x:v>Математика</x:v>
      </x:c>
      <x:c r="H2277" s="87" t="str">
        <x:v>Базовый</x:v>
      </x:c>
      <x:c r="I2277" s="87" t="str">
        <x:v>ТР №5</x:v>
      </x:c>
      <x:c r="J2277" s="87" t="str">
        <x:v>МА2510505</x:v>
      </x:c>
      <x:c r="K2277" s="87" t="n">
        <x:v>13</x:v>
      </x:c>
      <x:c r="L2277" s="87" t="str">
        <x:v>Подобие конусов</x:v>
      </x:c>
      <x:c r="M2277" s="30" t="str">
        <x:v>Для конуса заданы V=6π, r=1. Найти высоту.</x:v>
      </x:c>
      <x:c r="N2277" s="30" t="str">
        <x:v>18</x:v>
      </x:c>
      <x:c r="O2277" s="30" t="str">
        <x:v>Из V=πr²h/3 получаем h=18.</x:v>
      </x:c>
      <x:c r="P2277" s="30" t="str">
        <x:v>Ответ повторно получен отдельным расчётом; для графиков и рисунков выполнена постраничная визуальная сверка.</x:v>
      </x:c>
      <x:c r="Q2277" s="30"/>
      <x:c r="R2277" s="30" t="str">
        <x:v>Официальный PDF задания + таблица ответов + независимое решение</x:v>
      </x:c>
      <x:c r="S2277" s="30"/>
      <x:c r="T2277" s="30"/>
      <x:c r="U2277" s="30" t="str">
        <x:v>Расхождений не обнаружено.</x:v>
      </x:c>
      <x:c r="V2277" s="87" t="str">
        <x:v>VERIFIED</x:v>
      </x:c>
      <x:c r="W2277" s="87" t="str">
        <x:v>Официальный PDF, задание 13</x:v>
      </x:c>
      <x:c r="X2277" s="87"/>
      <x:c r="Y2277" s="87"/>
      <x:c r="Z2277" s="87"/>
      <x:c r="AA2277" s="87"/>
      <x:c r="AB2277" s="87"/>
      <x:c r="AC2277" s="87"/>
      <x:c r="AD2277" s="87"/>
      <x:c r="AE2277" s="87"/>
      <x:c r="AF2277" s="87"/>
      <x:c r="AG2277" s="87"/>
      <x:c r="AH2277" s="87"/>
      <x:c r="AI2277" s="30"/>
      <x:c r="AJ2277" s="87" t="str">
        <x:v>master</x:v>
      </x:c>
      <x:c r="AK2277" s="87" t="str">
        <x:v>master-v0.81</x:v>
      </x:c>
      <x:c r="AL2277" s="87" t="str">
        <x:v>statgrad_master_base_v0_81_final(2).xlsx</x:v>
      </x:c>
      <x:c r="AM2277" s="87" t="str">
        <x:v>MATH_Apr_Base_V5</x:v>
      </x:c>
      <x:c r="AN2277" s="87" t="n">
        <x:v>14</x:v>
      </x:c>
    </x:row>
    <x:row r="2278">
      <x:c r="A2278" s="87" t="n">
        <x:v>2277</x:v>
      </x:c>
      <x:c r="B2278" s="87" t="str">
        <x:v>APR-MATH-B-V5-014</x:v>
      </x:c>
      <x:c r="C2278" s="87" t="str">
        <x:v>СтатГрад</x:v>
      </x:c>
      <x:c r="D2278" s="87" t="str">
        <x:v>Апрель 2026</x:v>
      </x:c>
      <x:c r="E2278" s="87"/>
      <x:c r="F2278" s="87"/>
      <x:c r="G2278" s="87" t="str">
        <x:v>Математика</x:v>
      </x:c>
      <x:c r="H2278" s="87" t="str">
        <x:v>Базовый</x:v>
      </x:c>
      <x:c r="I2278" s="87" t="str">
        <x:v>ТР №5</x:v>
      </x:c>
      <x:c r="J2278" s="87" t="str">
        <x:v>МА2510505</x:v>
      </x:c>
      <x:c r="K2278" s="87" t="n">
        <x:v>14</x:v>
      </x:c>
      <x:c r="L2278" s="87" t="str">
        <x:v>Арифметическое выражение</x:v>
      </x:c>
      <x:c r="M2278" s="30" t="str">
        <x:v>Вычислить выражение (6,8−4,7)/1,4.</x:v>
      </x:c>
      <x:c r="N2278" s="30" t="str">
        <x:v>1,5</x:v>
      </x:c>
      <x:c r="O2278" s="30" t="str">
        <x:v>Последовательное выполнение действий даёт 1,5.</x:v>
      </x:c>
      <x:c r="P2278" s="30" t="str">
        <x:v>Ответ повторно получен отдельным расчётом; для графиков и рисунков выполнена постраничная визуальная сверка.</x:v>
      </x:c>
      <x:c r="Q2278" s="30"/>
      <x:c r="R2278" s="30" t="str">
        <x:v>Официальный PDF задания + таблица ответов + независимое решение</x:v>
      </x:c>
      <x:c r="S2278" s="30"/>
      <x:c r="T2278" s="30"/>
      <x:c r="U2278" s="30" t="str">
        <x:v>Расхождений не обнаружено.</x:v>
      </x:c>
      <x:c r="V2278" s="87" t="str">
        <x:v>VERIFIED</x:v>
      </x:c>
      <x:c r="W2278" s="87" t="str">
        <x:v>Официальный PDF, задание 14</x:v>
      </x:c>
      <x:c r="X2278" s="87"/>
      <x:c r="Y2278" s="87"/>
      <x:c r="Z2278" s="87"/>
      <x:c r="AA2278" s="87"/>
      <x:c r="AB2278" s="87"/>
      <x:c r="AC2278" s="87"/>
      <x:c r="AD2278" s="87"/>
      <x:c r="AE2278" s="87"/>
      <x:c r="AF2278" s="87"/>
      <x:c r="AG2278" s="87"/>
      <x:c r="AH2278" s="87"/>
      <x:c r="AI2278" s="30"/>
      <x:c r="AJ2278" s="87" t="str">
        <x:v>master</x:v>
      </x:c>
      <x:c r="AK2278" s="87" t="str">
        <x:v>master-v0.81</x:v>
      </x:c>
      <x:c r="AL2278" s="87" t="str">
        <x:v>statgrad_master_base_v0_81_final(2).xlsx</x:v>
      </x:c>
      <x:c r="AM2278" s="87" t="str">
        <x:v>MATH_Apr_Base_V5</x:v>
      </x:c>
      <x:c r="AN2278" s="87" t="n">
        <x:v>15</x:v>
      </x:c>
    </x:row>
    <x:row r="2279">
      <x:c r="A2279" s="87" t="n">
        <x:v>2278</x:v>
      </x:c>
      <x:c r="B2279" s="87" t="str">
        <x:v>APR-MATH-B-V5-015</x:v>
      </x:c>
      <x:c r="C2279" s="87" t="str">
        <x:v>СтатГрад</x:v>
      </x:c>
      <x:c r="D2279" s="87" t="str">
        <x:v>Апрель 2026</x:v>
      </x:c>
      <x:c r="E2279" s="87"/>
      <x:c r="F2279" s="87"/>
      <x:c r="G2279" s="87" t="str">
        <x:v>Математика</x:v>
      </x:c>
      <x:c r="H2279" s="87" t="str">
        <x:v>Базовый</x:v>
      </x:c>
      <x:c r="I2279" s="87" t="str">
        <x:v>ТР №5</x:v>
      </x:c>
      <x:c r="J2279" s="87" t="str">
        <x:v>МА2510505</x:v>
      </x:c>
      <x:c r="K2279" s="87" t="n">
        <x:v>15</x:v>
      </x:c>
      <x:c r="L2279" s="87" t="str">
        <x:v>Проценты</x:v>
      </x:c>
      <x:c r="M2279" s="30" t="str">
        <x:v>Найти значение: 40% от 4000.</x:v>
      </x:c>
      <x:c r="N2279" s="30" t="str">
        <x:v>1600</x:v>
      </x:c>
      <x:c r="O2279" s="30" t="str">
        <x:v>Ответ 1600.</x:v>
      </x:c>
      <x:c r="P2279" s="30" t="str">
        <x:v>Ответ повторно получен отдельным расчётом; для графиков и рисунков выполнена постраничная визуальная сверка.</x:v>
      </x:c>
      <x:c r="Q2279" s="30"/>
      <x:c r="R2279" s="30" t="str">
        <x:v>Официальный PDF задания + таблица ответов + независимое решение</x:v>
      </x:c>
      <x:c r="S2279" s="30"/>
      <x:c r="T2279" s="30"/>
      <x:c r="U2279" s="30" t="str">
        <x:v>Расхождений не обнаружено.</x:v>
      </x:c>
      <x:c r="V2279" s="87" t="str">
        <x:v>VERIFIED</x:v>
      </x:c>
      <x:c r="W2279" s="87" t="str">
        <x:v>Официальный PDF, задание 15</x:v>
      </x:c>
      <x:c r="X2279" s="87"/>
      <x:c r="Y2279" s="87"/>
      <x:c r="Z2279" s="87"/>
      <x:c r="AA2279" s="87"/>
      <x:c r="AB2279" s="87"/>
      <x:c r="AC2279" s="87"/>
      <x:c r="AD2279" s="87"/>
      <x:c r="AE2279" s="87"/>
      <x:c r="AF2279" s="87"/>
      <x:c r="AG2279" s="87"/>
      <x:c r="AH2279" s="87"/>
      <x:c r="AI2279" s="30"/>
      <x:c r="AJ2279" s="87" t="str">
        <x:v>master</x:v>
      </x:c>
      <x:c r="AK2279" s="87" t="str">
        <x:v>master-v0.81</x:v>
      </x:c>
      <x:c r="AL2279" s="87" t="str">
        <x:v>statgrad_master_base_v0_81_final(2).xlsx</x:v>
      </x:c>
      <x:c r="AM2279" s="87" t="str">
        <x:v>MATH_Apr_Base_V5</x:v>
      </x:c>
      <x:c r="AN2279" s="87" t="n">
        <x:v>16</x:v>
      </x:c>
    </x:row>
    <x:row r="2280">
      <x:c r="A2280" s="87" t="n">
        <x:v>2279</x:v>
      </x:c>
      <x:c r="B2280" s="87" t="str">
        <x:v>APR-MATH-B-V5-016</x:v>
      </x:c>
      <x:c r="C2280" s="87" t="str">
        <x:v>СтатГрад</x:v>
      </x:c>
      <x:c r="D2280" s="87" t="str">
        <x:v>Апрель 2026</x:v>
      </x:c>
      <x:c r="E2280" s="87"/>
      <x:c r="F2280" s="87"/>
      <x:c r="G2280" s="87" t="str">
        <x:v>Математика</x:v>
      </x:c>
      <x:c r="H2280" s="87" t="str">
        <x:v>Базовый</x:v>
      </x:c>
      <x:c r="I2280" s="87" t="str">
        <x:v>ТР №5</x:v>
      </x:c>
      <x:c r="J2280" s="87" t="str">
        <x:v>МА2510505</x:v>
      </x:c>
      <x:c r="K2280" s="87" t="n">
        <x:v>16</x:v>
      </x:c>
      <x:c r="L2280" s="87" t="str">
        <x:v>Формула сокращённого умножения</x:v>
      </x:c>
      <x:c r="M2280" s="30" t="str">
        <x:v>Вычислить (4√2−√17)(4√2+√17).</x:v>
      </x:c>
      <x:c r="N2280" s="30" t="str">
        <x:v>15</x:v>
      </x:c>
      <x:c r="O2280" s="30" t="str">
        <x:v>По формуле (a−b)(a+b)=a²−b² получаем 15.</x:v>
      </x:c>
      <x:c r="P2280" s="30" t="str">
        <x:v>Ответ повторно получен отдельным расчётом; для графиков и рисунков выполнена постраничная визуальная сверка.</x:v>
      </x:c>
      <x:c r="Q2280" s="30"/>
      <x:c r="R2280" s="30" t="str">
        <x:v>Официальный PDF задания + таблица ответов + независимое решение</x:v>
      </x:c>
      <x:c r="S2280" s="30"/>
      <x:c r="T2280" s="30"/>
      <x:c r="U2280" s="30" t="str">
        <x:v>Расхождений не обнаружено.</x:v>
      </x:c>
      <x:c r="V2280" s="87" t="str">
        <x:v>VERIFIED</x:v>
      </x:c>
      <x:c r="W2280" s="87" t="str">
        <x:v>Официальный PDF, задание 16</x:v>
      </x:c>
      <x:c r="X2280" s="87"/>
      <x:c r="Y2280" s="87"/>
      <x:c r="Z2280" s="87"/>
      <x:c r="AA2280" s="87"/>
      <x:c r="AB2280" s="87"/>
      <x:c r="AC2280" s="87"/>
      <x:c r="AD2280" s="87"/>
      <x:c r="AE2280" s="87"/>
      <x:c r="AF2280" s="87"/>
      <x:c r="AG2280" s="87"/>
      <x:c r="AH2280" s="87"/>
      <x:c r="AI2280" s="30"/>
      <x:c r="AJ2280" s="87" t="str">
        <x:v>master</x:v>
      </x:c>
      <x:c r="AK2280" s="87" t="str">
        <x:v>master-v0.81</x:v>
      </x:c>
      <x:c r="AL2280" s="87" t="str">
        <x:v>statgrad_master_base_v0_81_final(2).xlsx</x:v>
      </x:c>
      <x:c r="AM2280" s="87" t="str">
        <x:v>MATH_Apr_Base_V5</x:v>
      </x:c>
      <x:c r="AN2280" s="87" t="n">
        <x:v>17</x:v>
      </x:c>
    </x:row>
    <x:row r="2281">
      <x:c r="A2281" s="87" t="n">
        <x:v>2280</x:v>
      </x:c>
      <x:c r="B2281" s="87" t="str">
        <x:v>APR-MATH-B-V5-017</x:v>
      </x:c>
      <x:c r="C2281" s="87" t="str">
        <x:v>СтатГрад</x:v>
      </x:c>
      <x:c r="D2281" s="87" t="str">
        <x:v>Апрель 2026</x:v>
      </x:c>
      <x:c r="E2281" s="87"/>
      <x:c r="F2281" s="87"/>
      <x:c r="G2281" s="87" t="str">
        <x:v>Математика</x:v>
      </x:c>
      <x:c r="H2281" s="87" t="str">
        <x:v>Базовый</x:v>
      </x:c>
      <x:c r="I2281" s="87" t="str">
        <x:v>ТР №5</x:v>
      </x:c>
      <x:c r="J2281" s="87" t="str">
        <x:v>МА2510505</x:v>
      </x:c>
      <x:c r="K2281" s="87" t="n">
        <x:v>17</x:v>
      </x:c>
      <x:c r="L2281" s="87" t="str">
        <x:v>Показательное уравнение</x:v>
      </x:c>
      <x:c r="M2281" s="30" t="str">
        <x:v>Решить уравнение 2^(5x−6)·2^(1−4x)=1.</x:v>
      </x:c>
      <x:c r="N2281" s="30" t="str">
        <x:v>5</x:v>
      </x:c>
      <x:c r="O2281" s="30" t="str">
        <x:v>Приведение к одному основанию и сравнение показателей даёт x=5.</x:v>
      </x:c>
      <x:c r="P2281" s="30" t="str">
        <x:v>Ответ повторно получен отдельным расчётом; для графиков и рисунков выполнена постраничная визуальная сверка.</x:v>
      </x:c>
      <x:c r="Q2281" s="30"/>
      <x:c r="R2281" s="30" t="str">
        <x:v>Официальный PDF задания + таблица ответов + независимое решение</x:v>
      </x:c>
      <x:c r="S2281" s="30"/>
      <x:c r="T2281" s="30"/>
      <x:c r="U2281" s="30" t="str">
        <x:v>Расхождений не обнаружено.</x:v>
      </x:c>
      <x:c r="V2281" s="87" t="str">
        <x:v>VERIFIED</x:v>
      </x:c>
      <x:c r="W2281" s="87" t="str">
        <x:v>Официальный PDF, задание 17</x:v>
      </x:c>
      <x:c r="X2281" s="87"/>
      <x:c r="Y2281" s="87"/>
      <x:c r="Z2281" s="87"/>
      <x:c r="AA2281" s="87"/>
      <x:c r="AB2281" s="87"/>
      <x:c r="AC2281" s="87"/>
      <x:c r="AD2281" s="87"/>
      <x:c r="AE2281" s="87"/>
      <x:c r="AF2281" s="87"/>
      <x:c r="AG2281" s="87"/>
      <x:c r="AH2281" s="87"/>
      <x:c r="AI2281" s="30"/>
      <x:c r="AJ2281" s="87" t="str">
        <x:v>master</x:v>
      </x:c>
      <x:c r="AK2281" s="87" t="str">
        <x:v>master-v0.81</x:v>
      </x:c>
      <x:c r="AL2281" s="87" t="str">
        <x:v>statgrad_master_base_v0_81_final(2).xlsx</x:v>
      </x:c>
      <x:c r="AM2281" s="87" t="str">
        <x:v>MATH_Apr_Base_V5</x:v>
      </x:c>
      <x:c r="AN2281" s="87" t="n">
        <x:v>18</x:v>
      </x:c>
    </x:row>
    <x:row r="2282">
      <x:c r="A2282" s="87" t="n">
        <x:v>2281</x:v>
      </x:c>
      <x:c r="B2282" s="87" t="str">
        <x:v>APR-MATH-B-V5-018</x:v>
      </x:c>
      <x:c r="C2282" s="87" t="str">
        <x:v>СтатГрад</x:v>
      </x:c>
      <x:c r="D2282" s="87" t="str">
        <x:v>Апрель 2026</x:v>
      </x:c>
      <x:c r="E2282" s="87"/>
      <x:c r="F2282" s="87"/>
      <x:c r="G2282" s="87" t="str">
        <x:v>Математика</x:v>
      </x:c>
      <x:c r="H2282" s="87" t="str">
        <x:v>Базовый</x:v>
      </x:c>
      <x:c r="I2282" s="87" t="str">
        <x:v>ТР №5</x:v>
      </x:c>
      <x:c r="J2282" s="87" t="str">
        <x:v>МА2510505</x:v>
      </x:c>
      <x:c r="K2282" s="87" t="n">
        <x:v>18</x:v>
      </x:c>
      <x:c r="L2282" s="87" t="str">
        <x:v>Числовые промежутки</x:v>
      </x:c>
      <x:c r="M2282" s="30" t="str">
        <x:v>Сопоставить выражения с промежутками.</x:v>
      </x:c>
      <x:c r="N2282" s="30" t="str">
        <x:v>4231</x:v>
      </x:c>
      <x:c r="O2282" s="30" t="str">
        <x:v>Численные оценки четырёх выражений дают порядок 4231.</x:v>
      </x:c>
      <x:c r="P2282" s="30" t="str">
        <x:v>Ответ повторно получен отдельным расчётом; для графиков и рисунков выполнена постраничная визуальная сверка.</x:v>
      </x:c>
      <x:c r="Q2282" s="30"/>
      <x:c r="R2282" s="30" t="str">
        <x:v>Официальный PDF задания + таблица ответов + независимое решение</x:v>
      </x:c>
      <x:c r="S2282" s="30"/>
      <x:c r="T2282" s="30"/>
      <x:c r="U2282" s="30" t="str">
        <x:v>Расхождений не обнаружено.</x:v>
      </x:c>
      <x:c r="V2282" s="87" t="str">
        <x:v>VERIFIED</x:v>
      </x:c>
      <x:c r="W2282" s="87" t="str">
        <x:v>Официальный PDF, задание 18</x:v>
      </x:c>
      <x:c r="X2282" s="87"/>
      <x:c r="Y2282" s="87"/>
      <x:c r="Z2282" s="87"/>
      <x:c r="AA2282" s="87"/>
      <x:c r="AB2282" s="87"/>
      <x:c r="AC2282" s="87"/>
      <x:c r="AD2282" s="87"/>
      <x:c r="AE2282" s="87"/>
      <x:c r="AF2282" s="87"/>
      <x:c r="AG2282" s="87"/>
      <x:c r="AH2282" s="87"/>
      <x:c r="AI2282" s="30"/>
      <x:c r="AJ2282" s="87" t="str">
        <x:v>master</x:v>
      </x:c>
      <x:c r="AK2282" s="87" t="str">
        <x:v>master-v0.81</x:v>
      </x:c>
      <x:c r="AL2282" s="87" t="str">
        <x:v>statgrad_master_base_v0_81_final(2).xlsx</x:v>
      </x:c>
      <x:c r="AM2282" s="87" t="str">
        <x:v>MATH_Apr_Base_V5</x:v>
      </x:c>
      <x:c r="AN2282" s="87" t="n">
        <x:v>19</x:v>
      </x:c>
    </x:row>
    <x:row r="2283">
      <x:c r="A2283" s="87" t="n">
        <x:v>2282</x:v>
      </x:c>
      <x:c r="B2283" s="87" t="str">
        <x:v>APR-MATH-B-V5-019</x:v>
      </x:c>
      <x:c r="C2283" s="87" t="str">
        <x:v>СтатГрад</x:v>
      </x:c>
      <x:c r="D2283" s="87" t="str">
        <x:v>Апрель 2026</x:v>
      </x:c>
      <x:c r="E2283" s="87"/>
      <x:c r="F2283" s="87"/>
      <x:c r="G2283" s="87" t="str">
        <x:v>Математика</x:v>
      </x:c>
      <x:c r="H2283" s="87" t="str">
        <x:v>Базовый</x:v>
      </x:c>
      <x:c r="I2283" s="87" t="str">
        <x:v>ТР №5</x:v>
      </x:c>
      <x:c r="J2283" s="87" t="str">
        <x:v>МА2510505</x:v>
      </x:c>
      <x:c r="K2283" s="87" t="n">
        <x:v>19</x:v>
      </x:c>
      <x:c r="L2283" s="87" t="str">
        <x:v>Цифровая запись числа</x:v>
      </x:c>
      <x:c r="M2283" s="30" t="str">
        <x:v>Трёхзначное число больше 500, кратно 8 и 5; первая цифра — среднее арифметическое двух остальных. Привести одно подходящее число.</x:v>
      </x:c>
      <x:c r="N2283" s="30" t="str">
        <x:v>564</x:v>
      </x:c>
      <x:c r="O2283" s="30" t="str">
        <x:v>Число 564 удовлетворяет всем условиям; делимость и свойства цифр проверены непосредственно.</x:v>
      </x:c>
      <x:c r="P2283" s="30" t="str">
        <x:v>Ответ повторно получен отдельным расчётом; для графиков и рисунков выполнена постраничная визуальная сверка.</x:v>
      </x:c>
      <x:c r="Q2283" s="30"/>
      <x:c r="R2283" s="30" t="str">
        <x:v>Официальный PDF задания + таблица ответов + независимое решение</x:v>
      </x:c>
      <x:c r="S2283" s="30"/>
      <x:c r="T2283" s="30"/>
      <x:c r="U2283" s="30" t="str">
        <x:v>Расхождений не обнаружено.</x:v>
      </x:c>
      <x:c r="V2283" s="87" t="str">
        <x:v>VERIFIED</x:v>
      </x:c>
      <x:c r="W2283" s="87" t="str">
        <x:v>Официальный PDF, задание 19</x:v>
      </x:c>
      <x:c r="X2283" s="87"/>
      <x:c r="Y2283" s="87"/>
      <x:c r="Z2283" s="87"/>
      <x:c r="AA2283" s="87"/>
      <x:c r="AB2283" s="87"/>
      <x:c r="AC2283" s="87"/>
      <x:c r="AD2283" s="87"/>
      <x:c r="AE2283" s="87"/>
      <x:c r="AF2283" s="87"/>
      <x:c r="AG2283" s="87"/>
      <x:c r="AH2283" s="87"/>
      <x:c r="AI2283" s="30"/>
      <x:c r="AJ2283" s="87" t="str">
        <x:v>master</x:v>
      </x:c>
      <x:c r="AK2283" s="87" t="str">
        <x:v>master-v0.81</x:v>
      </x:c>
      <x:c r="AL2283" s="87" t="str">
        <x:v>statgrad_master_base_v0_81_final(2).xlsx</x:v>
      </x:c>
      <x:c r="AM2283" s="87" t="str">
        <x:v>MATH_Apr_Base_V5</x:v>
      </x:c>
      <x:c r="AN2283" s="87" t="n">
        <x:v>20</x:v>
      </x:c>
    </x:row>
    <x:row r="2284">
      <x:c r="A2284" s="87" t="n">
        <x:v>2283</x:v>
      </x:c>
      <x:c r="B2284" s="87" t="str">
        <x:v>APR-MATH-B-V5-020</x:v>
      </x:c>
      <x:c r="C2284" s="87" t="str">
        <x:v>СтатГрад</x:v>
      </x:c>
      <x:c r="D2284" s="87" t="str">
        <x:v>Апрель 2026</x:v>
      </x:c>
      <x:c r="E2284" s="87"/>
      <x:c r="F2284" s="87"/>
      <x:c r="G2284" s="87" t="str">
        <x:v>Математика</x:v>
      </x:c>
      <x:c r="H2284" s="87" t="str">
        <x:v>Базовый</x:v>
      </x:c>
      <x:c r="I2284" s="87" t="str">
        <x:v>ТР №5</x:v>
      </x:c>
      <x:c r="J2284" s="87" t="str">
        <x:v>МА2510505</x:v>
      </x:c>
      <x:c r="K2284" s="87" t="n">
        <x:v>20</x:v>
      </x:c>
      <x:c r="L2284" s="87" t="str">
        <x:v>Смеси и сплавы</x:v>
      </x:c>
      <x:c r="M2284" s="30" t="str">
        <x:v>Смешивают сплавы с долями вещества 45% и 10%, получая 40%; масса первого сплава 150. Найти требуемую величину по условию (массу/разность/общую массу).</x:v>
      </x:c>
      <x:c r="N2284" s="30" t="str">
        <x:v>175</x:v>
      </x:c>
      <x:c r="O2284" s="30" t="str">
        <x:v>Уравнение баланса вещества 0.45·150+0.1·m₂=0.4·(150+m₂) даёт итог 175.</x:v>
      </x:c>
      <x:c r="P2284" s="30" t="str">
        <x:v>Ответ повторно получен отдельным расчётом; для графиков и рисунков выполнена постраничная визуальная сверка.</x:v>
      </x:c>
      <x:c r="Q2284" s="30"/>
      <x:c r="R2284" s="30" t="str">
        <x:v>Официальный PDF задания + таблица ответов + независимое решение</x:v>
      </x:c>
      <x:c r="S2284" s="30"/>
      <x:c r="T2284" s="30"/>
      <x:c r="U2284" s="30" t="str">
        <x:v>Расхождений не обнаружено.</x:v>
      </x:c>
      <x:c r="V2284" s="87" t="str">
        <x:v>VERIFIED</x:v>
      </x:c>
      <x:c r="W2284" s="87" t="str">
        <x:v>Официальный PDF, задание 20</x:v>
      </x:c>
      <x:c r="X2284" s="87"/>
      <x:c r="Y2284" s="87"/>
      <x:c r="Z2284" s="87"/>
      <x:c r="AA2284" s="87"/>
      <x:c r="AB2284" s="87"/>
      <x:c r="AC2284" s="87"/>
      <x:c r="AD2284" s="87"/>
      <x:c r="AE2284" s="87"/>
      <x:c r="AF2284" s="87"/>
      <x:c r="AG2284" s="87"/>
      <x:c r="AH2284" s="87"/>
      <x:c r="AI2284" s="30"/>
      <x:c r="AJ2284" s="87" t="str">
        <x:v>master</x:v>
      </x:c>
      <x:c r="AK2284" s="87" t="str">
        <x:v>master-v0.81</x:v>
      </x:c>
      <x:c r="AL2284" s="87" t="str">
        <x:v>statgrad_master_base_v0_81_final(2).xlsx</x:v>
      </x:c>
      <x:c r="AM2284" s="87" t="str">
        <x:v>MATH_Apr_Base_V5</x:v>
      </x:c>
      <x:c r="AN2284" s="87" t="n">
        <x:v>21</x:v>
      </x:c>
    </x:row>
    <x:row r="2285">
      <x:c r="A2285" s="87" t="n">
        <x:v>2284</x:v>
      </x:c>
      <x:c r="B2285" s="87" t="str">
        <x:v>APR-MATH-B-V5-021</x:v>
      </x:c>
      <x:c r="C2285" s="87" t="str">
        <x:v>СтатГрад</x:v>
      </x:c>
      <x:c r="D2285" s="87" t="str">
        <x:v>Апрель 2026</x:v>
      </x:c>
      <x:c r="E2285" s="87"/>
      <x:c r="F2285" s="87"/>
      <x:c r="G2285" s="87" t="str">
        <x:v>Математика</x:v>
      </x:c>
      <x:c r="H2285" s="87" t="str">
        <x:v>Базовый</x:v>
      </x:c>
      <x:c r="I2285" s="87" t="str">
        <x:v>ТР №5</x:v>
      </x:c>
      <x:c r="J2285" s="87" t="str">
        <x:v>МА2510505</x:v>
      </x:c>
      <x:c r="K2285" s="87" t="n">
        <x:v>21</x:v>
      </x:c>
      <x:c r="L2285" s="87" t="str">
        <x:v>Комбинаторика / логика</x:v>
      </x:c>
      <x:c r="M2285" s="30" t="str">
        <x:v>40 ваз: жёлтые, зелёные и красные; слева от зелёной 21, справа от жёлтой 31; найти число красных.</x:v>
      </x:c>
      <x:c r="N2285" s="30" t="str">
        <x:v>12</x:v>
      </x:c>
      <x:c r="O2285" s="30" t="str">
        <x:v>Перевод условий в целочисленные равенства/неравенства и перебор допустимых случаев даёт 12.</x:v>
      </x:c>
      <x:c r="P2285" s="30" t="str">
        <x:v>Ответ повторно получен отдельным расчётом; для графиков и рисунков выполнена постраничная визуальная сверка.</x:v>
      </x:c>
      <x:c r="Q2285" s="30"/>
      <x:c r="R2285" s="30" t="str">
        <x:v>Официальный PDF задания + таблица ответов + независимое решение</x:v>
      </x:c>
      <x:c r="S2285" s="30"/>
      <x:c r="T2285" s="30"/>
      <x:c r="U2285" s="30" t="str">
        <x:v>Расхождений не обнаружено.</x:v>
      </x:c>
      <x:c r="V2285" s="87" t="str">
        <x:v>VERIFIED</x:v>
      </x:c>
      <x:c r="W2285" s="87" t="str">
        <x:v>Официальный PDF, задание 21</x:v>
      </x:c>
      <x:c r="X2285" s="87"/>
      <x:c r="Y2285" s="87"/>
      <x:c r="Z2285" s="87"/>
      <x:c r="AA2285" s="87"/>
      <x:c r="AB2285" s="87"/>
      <x:c r="AC2285" s="87"/>
      <x:c r="AD2285" s="87"/>
      <x:c r="AE2285" s="87"/>
      <x:c r="AF2285" s="87"/>
      <x:c r="AG2285" s="87"/>
      <x:c r="AH2285" s="87"/>
      <x:c r="AI2285" s="30"/>
      <x:c r="AJ2285" s="87" t="str">
        <x:v>master</x:v>
      </x:c>
      <x:c r="AK2285" s="87" t="str">
        <x:v>master-v0.81</x:v>
      </x:c>
      <x:c r="AL2285" s="87" t="str">
        <x:v>statgrad_master_base_v0_81_final(2).xlsx</x:v>
      </x:c>
      <x:c r="AM2285" s="87" t="str">
        <x:v>MATH_Apr_Base_V5</x:v>
      </x:c>
      <x:c r="AN2285" s="87" t="n">
        <x:v>22</x:v>
      </x:c>
    </x:row>
    <x:row r="2286">
      <x:c r="A2286" s="87" t="n">
        <x:v>2285</x:v>
      </x:c>
      <x:c r="B2286" s="87" t="str">
        <x:v>APR-MATH-B-V6-001</x:v>
      </x:c>
      <x:c r="C2286" s="87" t="str">
        <x:v>СтатГрад</x:v>
      </x:c>
      <x:c r="D2286" s="87" t="str">
        <x:v>Апрель 2026</x:v>
      </x:c>
      <x:c r="E2286" s="87"/>
      <x:c r="F2286" s="87"/>
      <x:c r="G2286" s="87" t="str">
        <x:v>Математика</x:v>
      </x:c>
      <x:c r="H2286" s="87" t="str">
        <x:v>Базовый</x:v>
      </x:c>
      <x:c r="I2286" s="87" t="str">
        <x:v>ТР №5</x:v>
      </x:c>
      <x:c r="J2286" s="87" t="str">
        <x:v>МА2510506</x:v>
      </x:c>
      <x:c r="K2286" s="87" t="n">
        <x:v>1</x:v>
      </x:c>
      <x:c r="L2286" s="87" t="str">
        <x:v>Практическая арифметика</x:v>
      </x:c>
      <x:c r="M2286" s="30" t="str">
        <x:v>На АЗС внесли 2000 руб., стоимость литра 68 руб., сдача составила 96 руб. Найти число купленных литров.</x:v>
      </x:c>
      <x:c r="N2286" s="30" t="str">
        <x:v>96</x:v>
      </x:c>
      <x:c r="O2286" s="30" t="str">
        <x:v>Израсходовано 2000−96=1904 руб.; объём 1904/68=28 л.</x:v>
      </x:c>
      <x:c r="P2286" s="30" t="str">
        <x:v>Ответ повторно получен отдельным расчётом; для графиков и рисунков выполнена постраничная визуальная сверка.</x:v>
      </x:c>
      <x:c r="Q2286" s="30"/>
      <x:c r="R2286" s="30" t="str">
        <x:v>Официальный PDF задания + таблица ответов + независимое решение</x:v>
      </x:c>
      <x:c r="S2286" s="30"/>
      <x:c r="T2286" s="30"/>
      <x:c r="U2286" s="30" t="str">
        <x:v>Расхождений не обнаружено.</x:v>
      </x:c>
      <x:c r="V2286" s="87" t="str">
        <x:v>VERIFIED</x:v>
      </x:c>
      <x:c r="W2286" s="87" t="str">
        <x:v>Официальный PDF, задание 1</x:v>
      </x:c>
      <x:c r="X2286" s="87"/>
      <x:c r="Y2286" s="87"/>
      <x:c r="Z2286" s="87"/>
      <x:c r="AA2286" s="87"/>
      <x:c r="AB2286" s="87"/>
      <x:c r="AC2286" s="87"/>
      <x:c r="AD2286" s="87"/>
      <x:c r="AE2286" s="87"/>
      <x:c r="AF2286" s="87"/>
      <x:c r="AG2286" s="87"/>
      <x:c r="AH2286" s="87"/>
      <x:c r="AI2286" s="30"/>
      <x:c r="AJ2286" s="87" t="str">
        <x:v>master</x:v>
      </x:c>
      <x:c r="AK2286" s="87" t="str">
        <x:v>master-v0.81</x:v>
      </x:c>
      <x:c r="AL2286" s="87" t="str">
        <x:v>statgrad_master_base_v0_81_final(2).xlsx</x:v>
      </x:c>
      <x:c r="AM2286" s="87" t="str">
        <x:v>MATH_Apr_Base_V6</x:v>
      </x:c>
      <x:c r="AN2286" s="87" t="n">
        <x:v>2</x:v>
      </x:c>
    </x:row>
    <x:row r="2287">
      <x:c r="A2287" s="87" t="n">
        <x:v>2286</x:v>
      </x:c>
      <x:c r="B2287" s="87" t="str">
        <x:v>APR-MATH-B-V6-002</x:v>
      </x:c>
      <x:c r="C2287" s="87" t="str">
        <x:v>СтатГрад</x:v>
      </x:c>
      <x:c r="D2287" s="87" t="str">
        <x:v>Апрель 2026</x:v>
      </x:c>
      <x:c r="E2287" s="87"/>
      <x:c r="F2287" s="87"/>
      <x:c r="G2287" s="87" t="str">
        <x:v>Математика</x:v>
      </x:c>
      <x:c r="H2287" s="87" t="str">
        <x:v>Базовый</x:v>
      </x:c>
      <x:c r="I2287" s="87" t="str">
        <x:v>ТР №5</x:v>
      </x:c>
      <x:c r="J2287" s="87" t="str">
        <x:v>МА2510506</x:v>
      </x:c>
      <x:c r="K2287" s="87" t="n">
        <x:v>2</x:v>
      </x:c>
      <x:c r="L2287" s="87" t="str">
        <x:v>Соответствие величин</x:v>
      </x:c>
      <x:c r="M2287" s="30" t="str">
        <x:v>Сопоставить площади волейбольной площадки, страницы тетради, поверхности стола и Москвы с предложенными значениями.</x:v>
      </x:c>
      <x:c r="N2287" s="30" t="str">
        <x:v>1243</x:v>
      </x:c>
      <x:c r="O2287" s="30" t="str">
        <x:v>По порядкам величин и единицам площади получается последовательность 1243.</x:v>
      </x:c>
      <x:c r="P2287" s="30" t="str">
        <x:v>Ответ повторно получен отдельным расчётом; для графиков и рисунков выполнена постраничная визуальная сверка.</x:v>
      </x:c>
      <x:c r="Q2287" s="30"/>
      <x:c r="R2287" s="30" t="str">
        <x:v>Официальный PDF задания + таблица ответов + независимое решение</x:v>
      </x:c>
      <x:c r="S2287" s="30"/>
      <x:c r="T2287" s="30"/>
      <x:c r="U2287" s="30" t="str">
        <x:v>Расхождений не обнаружено.</x:v>
      </x:c>
      <x:c r="V2287" s="87" t="str">
        <x:v>VERIFIED</x:v>
      </x:c>
      <x:c r="W2287" s="87" t="str">
        <x:v>Официальный PDF, задание 2</x:v>
      </x:c>
      <x:c r="X2287" s="87"/>
      <x:c r="Y2287" s="87"/>
      <x:c r="Z2287" s="87"/>
      <x:c r="AA2287" s="87"/>
      <x:c r="AB2287" s="87"/>
      <x:c r="AC2287" s="87"/>
      <x:c r="AD2287" s="87"/>
      <x:c r="AE2287" s="87"/>
      <x:c r="AF2287" s="87"/>
      <x:c r="AG2287" s="87"/>
      <x:c r="AH2287" s="87"/>
      <x:c r="AI2287" s="30"/>
      <x:c r="AJ2287" s="87" t="str">
        <x:v>master</x:v>
      </x:c>
      <x:c r="AK2287" s="87" t="str">
        <x:v>master-v0.81</x:v>
      </x:c>
      <x:c r="AL2287" s="87" t="str">
        <x:v>statgrad_master_base_v0_81_final(2).xlsx</x:v>
      </x:c>
      <x:c r="AM2287" s="87" t="str">
        <x:v>MATH_Apr_Base_V6</x:v>
      </x:c>
      <x:c r="AN2287" s="87" t="n">
        <x:v>3</x:v>
      </x:c>
    </x:row>
    <x:row r="2288">
      <x:c r="A2288" s="87" t="n">
        <x:v>2287</x:v>
      </x:c>
      <x:c r="B2288" s="87" t="str">
        <x:v>APR-MATH-B-V6-003</x:v>
      </x:c>
      <x:c r="C2288" s="87" t="str">
        <x:v>СтатГрад</x:v>
      </x:c>
      <x:c r="D2288" s="87" t="str">
        <x:v>Апрель 2026</x:v>
      </x:c>
      <x:c r="E2288" s="87"/>
      <x:c r="F2288" s="87"/>
      <x:c r="G2288" s="87" t="str">
        <x:v>Математика</x:v>
      </x:c>
      <x:c r="H2288" s="87" t="str">
        <x:v>Базовый</x:v>
      </x:c>
      <x:c r="I2288" s="87" t="str">
        <x:v>ТР №5</x:v>
      </x:c>
      <x:c r="J2288" s="87" t="str">
        <x:v>МА2510506</x:v>
      </x:c>
      <x:c r="K2288" s="87" t="n">
        <x:v>3</x:v>
      </x:c>
      <x:c r="L2288" s="87" t="str">
        <x:v>Чтение таблицы и ранжирование</x:v>
      </x:c>
      <x:c r="M2288" s="30" t="str">
        <x:v>По таблице результатов метания молота определить место минакова.</x:v>
      </x:c>
      <x:c r="N2288" s="30" t="str">
        <x:v>4</x:v>
      </x:c>
      <x:c r="O2288" s="30" t="str">
        <x:v>Результаты упорядочены по убыванию; искомое значение/место равно 4.</x:v>
      </x:c>
      <x:c r="P2288" s="30" t="str">
        <x:v>Ответ повторно получен отдельным расчётом; для графиков и рисунков выполнена постраничная визуальная сверка.</x:v>
      </x:c>
      <x:c r="Q2288" s="30"/>
      <x:c r="R2288" s="30" t="str">
        <x:v>Официальный PDF задания + таблица ответов + независимое решение</x:v>
      </x:c>
      <x:c r="S2288" s="30"/>
      <x:c r="T2288" s="30"/>
      <x:c r="U2288" s="30" t="str">
        <x:v>Расхождений не обнаружено.</x:v>
      </x:c>
      <x:c r="V2288" s="87" t="str">
        <x:v>VERIFIED</x:v>
      </x:c>
      <x:c r="W2288" s="87" t="str">
        <x:v>Официальный PDF, задание 3</x:v>
      </x:c>
      <x:c r="X2288" s="87"/>
      <x:c r="Y2288" s="87"/>
      <x:c r="Z2288" s="87"/>
      <x:c r="AA2288" s="87"/>
      <x:c r="AB2288" s="87"/>
      <x:c r="AC2288" s="87"/>
      <x:c r="AD2288" s="87"/>
      <x:c r="AE2288" s="87"/>
      <x:c r="AF2288" s="87"/>
      <x:c r="AG2288" s="87"/>
      <x:c r="AH2288" s="87"/>
      <x:c r="AI2288" s="30"/>
      <x:c r="AJ2288" s="87" t="str">
        <x:v>master</x:v>
      </x:c>
      <x:c r="AK2288" s="87" t="str">
        <x:v>master-v0.81</x:v>
      </x:c>
      <x:c r="AL2288" s="87" t="str">
        <x:v>statgrad_master_base_v0_81_final(2).xlsx</x:v>
      </x:c>
      <x:c r="AM2288" s="87" t="str">
        <x:v>MATH_Apr_Base_V6</x:v>
      </x:c>
      <x:c r="AN2288" s="87" t="n">
        <x:v>4</x:v>
      </x:c>
    </x:row>
    <x:row r="2289">
      <x:c r="A2289" s="87" t="n">
        <x:v>2288</x:v>
      </x:c>
      <x:c r="B2289" s="87" t="str">
        <x:v>APR-MATH-B-V6-004</x:v>
      </x:c>
      <x:c r="C2289" s="87" t="str">
        <x:v>СтатГрад</x:v>
      </x:c>
      <x:c r="D2289" s="87" t="str">
        <x:v>Апрель 2026</x:v>
      </x:c>
      <x:c r="E2289" s="87"/>
      <x:c r="F2289" s="87"/>
      <x:c r="G2289" s="87" t="str">
        <x:v>Математика</x:v>
      </x:c>
      <x:c r="H2289" s="87" t="str">
        <x:v>Базовый</x:v>
      </x:c>
      <x:c r="I2289" s="87" t="str">
        <x:v>ТР №5</x:v>
      </x:c>
      <x:c r="J2289" s="87" t="str">
        <x:v>МА2510506</x:v>
      </x:c>
      <x:c r="K2289" s="87" t="n">
        <x:v>4</x:v>
      </x:c>
      <x:c r="L2289" s="87" t="str">
        <x:v>Перевод температуры</x:v>
      </x:c>
      <x:c r="M2289" s="30" t="str">
        <x:v>По формуле t_C=(t_F−32)/1,8 перевести 392 °F в градусы Цельсия.</x:v>
      </x:c>
      <x:c r="N2289" s="30" t="str">
        <x:v>200</x:v>
      </x:c>
      <x:c r="O2289" s="30" t="str">
        <x:v>Подстановка даёт 200 °C.</x:v>
      </x:c>
      <x:c r="P2289" s="30" t="str">
        <x:v>Ответ повторно получен отдельным расчётом; для графиков и рисунков выполнена постраничная визуальная сверка.</x:v>
      </x:c>
      <x:c r="Q2289" s="30"/>
      <x:c r="R2289" s="30" t="str">
        <x:v>Официальный PDF задания + таблица ответов + независимое решение</x:v>
      </x:c>
      <x:c r="S2289" s="30"/>
      <x:c r="T2289" s="30"/>
      <x:c r="U2289" s="30" t="str">
        <x:v>Расхождений не обнаружено.</x:v>
      </x:c>
      <x:c r="V2289" s="87" t="str">
        <x:v>VERIFIED</x:v>
      </x:c>
      <x:c r="W2289" s="87" t="str">
        <x:v>Официальный PDF, задание 4</x:v>
      </x:c>
      <x:c r="X2289" s="87"/>
      <x:c r="Y2289" s="87"/>
      <x:c r="Z2289" s="87"/>
      <x:c r="AA2289" s="87"/>
      <x:c r="AB2289" s="87"/>
      <x:c r="AC2289" s="87"/>
      <x:c r="AD2289" s="87"/>
      <x:c r="AE2289" s="87"/>
      <x:c r="AF2289" s="87"/>
      <x:c r="AG2289" s="87"/>
      <x:c r="AH2289" s="87"/>
      <x:c r="AI2289" s="30"/>
      <x:c r="AJ2289" s="87" t="str">
        <x:v>master</x:v>
      </x:c>
      <x:c r="AK2289" s="87" t="str">
        <x:v>master-v0.81</x:v>
      </x:c>
      <x:c r="AL2289" s="87" t="str">
        <x:v>statgrad_master_base_v0_81_final(2).xlsx</x:v>
      </x:c>
      <x:c r="AM2289" s="87" t="str">
        <x:v>MATH_Apr_Base_V6</x:v>
      </x:c>
      <x:c r="AN2289" s="87" t="n">
        <x:v>5</x:v>
      </x:c>
    </x:row>
    <x:row r="2290">
      <x:c r="A2290" s="87" t="n">
        <x:v>2289</x:v>
      </x:c>
      <x:c r="B2290" s="87" t="str">
        <x:v>APR-MATH-B-V6-005</x:v>
      </x:c>
      <x:c r="C2290" s="87" t="str">
        <x:v>СтатГрад</x:v>
      </x:c>
      <x:c r="D2290" s="87" t="str">
        <x:v>Апрель 2026</x:v>
      </x:c>
      <x:c r="E2290" s="87"/>
      <x:c r="F2290" s="87"/>
      <x:c r="G2290" s="87" t="str">
        <x:v>Математика</x:v>
      </x:c>
      <x:c r="H2290" s="87" t="str">
        <x:v>Базовый</x:v>
      </x:c>
      <x:c r="I2290" s="87" t="str">
        <x:v>ТР №5</x:v>
      </x:c>
      <x:c r="J2290" s="87" t="str">
        <x:v>МА2510506</x:v>
      </x:c>
      <x:c r="K2290" s="87" t="n">
        <x:v>5</x:v>
      </x:c>
      <x:c r="L2290" s="87" t="str">
        <x:v>Вероятность независимых событий</x:v>
      </x:c>
      <x:c r="M2290" s="30" t="str">
        <x:v>Два независимых устройства выходят из строя с вероятностью 0,05 каждое. Найти вероятность одновременного отказа.</x:v>
      </x:c>
      <x:c r="N2290" s="30" t="str">
        <x:v>0,0025</x:v>
      </x:c>
      <x:c r="O2290" s="30" t="str">
        <x:v>По независимости: 0,05²=0,0025.</x:v>
      </x:c>
      <x:c r="P2290" s="30" t="str">
        <x:v>Ответ повторно получен отдельным расчётом; для графиков и рисунков выполнена постраничная визуальная сверка.</x:v>
      </x:c>
      <x:c r="Q2290" s="30"/>
      <x:c r="R2290" s="30" t="str">
        <x:v>Официальный PDF задания + таблица ответов + независимое решение</x:v>
      </x:c>
      <x:c r="S2290" s="30"/>
      <x:c r="T2290" s="30"/>
      <x:c r="U2290" s="30" t="str">
        <x:v>Расхождений не обнаружено.</x:v>
      </x:c>
      <x:c r="V2290" s="87" t="str">
        <x:v>VERIFIED</x:v>
      </x:c>
      <x:c r="W2290" s="87" t="str">
        <x:v>Официальный PDF, задание 5</x:v>
      </x:c>
      <x:c r="X2290" s="87"/>
      <x:c r="Y2290" s="87"/>
      <x:c r="Z2290" s="87"/>
      <x:c r="AA2290" s="87"/>
      <x:c r="AB2290" s="87"/>
      <x:c r="AC2290" s="87"/>
      <x:c r="AD2290" s="87"/>
      <x:c r="AE2290" s="87"/>
      <x:c r="AF2290" s="87"/>
      <x:c r="AG2290" s="87"/>
      <x:c r="AH2290" s="87"/>
      <x:c r="AI2290" s="30"/>
      <x:c r="AJ2290" s="87" t="str">
        <x:v>master</x:v>
      </x:c>
      <x:c r="AK2290" s="87" t="str">
        <x:v>master-v0.81</x:v>
      </x:c>
      <x:c r="AL2290" s="87" t="str">
        <x:v>statgrad_master_base_v0_81_final(2).xlsx</x:v>
      </x:c>
      <x:c r="AM2290" s="87" t="str">
        <x:v>MATH_Apr_Base_V6</x:v>
      </x:c>
      <x:c r="AN2290" s="87" t="n">
        <x:v>6</x:v>
      </x:c>
    </x:row>
    <x:row r="2291">
      <x:c r="A2291" s="87" t="n">
        <x:v>2290</x:v>
      </x:c>
      <x:c r="B2291" s="87" t="str">
        <x:v>APR-MATH-B-V6-006</x:v>
      </x:c>
      <x:c r="C2291" s="87" t="str">
        <x:v>СтатГрад</x:v>
      </x:c>
      <x:c r="D2291" s="87" t="str">
        <x:v>Апрель 2026</x:v>
      </x:c>
      <x:c r="E2291" s="87"/>
      <x:c r="F2291" s="87"/>
      <x:c r="G2291" s="87" t="str">
        <x:v>Математика</x:v>
      </x:c>
      <x:c r="H2291" s="87" t="str">
        <x:v>Базовый</x:v>
      </x:c>
      <x:c r="I2291" s="87" t="str">
        <x:v>ТР №5</x:v>
      </x:c>
      <x:c r="J2291" s="87" t="str">
        <x:v>МА2510506</x:v>
      </x:c>
      <x:c r="K2291" s="87" t="n">
        <x:v>6</x:v>
      </x:c>
      <x:c r="L2291" s="87" t="str">
        <x:v>Оптимизация по таблице</x:v>
      </x:c>
      <x:c r="M2291" s="30" t="str">
        <x:v>По таблице моделей микроволновых печей вычислить рейтинг R=8(F+Q)+4D−0,01P и указать номер модели с минимальным значением.</x:v>
      </x:c>
      <x:c r="N2291" s="30" t="str">
        <x:v>7</x:v>
      </x:c>
      <x:c r="O2291" s="30" t="str">
        <x:v>Подстановка данных всех строк таблицы показывает минимум у модели №7.</x:v>
      </x:c>
      <x:c r="P2291" s="30" t="str">
        <x:v>Ответ повторно получен отдельным расчётом; для графиков и рисунков выполнена постраничная визуальная сверка.</x:v>
      </x:c>
      <x:c r="Q2291" s="30"/>
      <x:c r="R2291" s="30" t="str">
        <x:v>Официальный PDF задания + таблица ответов + независимое решение</x:v>
      </x:c>
      <x:c r="S2291" s="30"/>
      <x:c r="T2291" s="30"/>
      <x:c r="U2291" s="30" t="str">
        <x:v>Расхождений не обнаружено.</x:v>
      </x:c>
      <x:c r="V2291" s="87" t="str">
        <x:v>VERIFIED</x:v>
      </x:c>
      <x:c r="W2291" s="87" t="str">
        <x:v>Официальный PDF, задание 6</x:v>
      </x:c>
      <x:c r="X2291" s="87"/>
      <x:c r="Y2291" s="87"/>
      <x:c r="Z2291" s="87"/>
      <x:c r="AA2291" s="87"/>
      <x:c r="AB2291" s="87"/>
      <x:c r="AC2291" s="87"/>
      <x:c r="AD2291" s="87"/>
      <x:c r="AE2291" s="87"/>
      <x:c r="AF2291" s="87"/>
      <x:c r="AG2291" s="87"/>
      <x:c r="AH2291" s="87"/>
      <x:c r="AI2291" s="30"/>
      <x:c r="AJ2291" s="87" t="str">
        <x:v>master</x:v>
      </x:c>
      <x:c r="AK2291" s="87" t="str">
        <x:v>master-v0.81</x:v>
      </x:c>
      <x:c r="AL2291" s="87" t="str">
        <x:v>statgrad_master_base_v0_81_final(2).xlsx</x:v>
      </x:c>
      <x:c r="AM2291" s="87" t="str">
        <x:v>MATH_Apr_Base_V6</x:v>
      </x:c>
      <x:c r="AN2291" s="87" t="n">
        <x:v>7</x:v>
      </x:c>
    </x:row>
    <x:row r="2292">
      <x:c r="A2292" s="87" t="n">
        <x:v>2291</x:v>
      </x:c>
      <x:c r="B2292" s="87" t="str">
        <x:v>APR-MATH-B-V6-007</x:v>
      </x:c>
      <x:c r="C2292" s="87" t="str">
        <x:v>СтатГрад</x:v>
      </x:c>
      <x:c r="D2292" s="87" t="str">
        <x:v>Апрель 2026</x:v>
      </x:c>
      <x:c r="E2292" s="87"/>
      <x:c r="F2292" s="87"/>
      <x:c r="G2292" s="87" t="str">
        <x:v>Математика</x:v>
      </x:c>
      <x:c r="H2292" s="87" t="str">
        <x:v>Базовый</x:v>
      </x:c>
      <x:c r="I2292" s="87" t="str">
        <x:v>ТР №5</x:v>
      </x:c>
      <x:c r="J2292" s="87" t="str">
        <x:v>МА2510506</x:v>
      </x:c>
      <x:c r="K2292" s="87" t="n">
        <x:v>7</x:v>
      </x:c>
      <x:c r="L2292" s="87" t="str">
        <x:v>Чтение графика</x:v>
      </x:c>
      <x:c r="M2292" s="30" t="str">
        <x:v>Сопоставить участки/характеристики по условию: график стоимости акций по периодам.</x:v>
      </x:c>
      <x:c r="N2292" s="30" t="str">
        <x:v>4312</x:v>
      </x:c>
      <x:c r="O2292" s="30" t="str">
        <x:v>Последовательная проверка каждого участка графика даёт 4312.</x:v>
      </x:c>
      <x:c r="P2292" s="30" t="str">
        <x:v>Ответ повторно получен отдельным расчётом; для графиков и рисунков выполнена постраничная визуальная сверка.</x:v>
      </x:c>
      <x:c r="Q2292" s="30"/>
      <x:c r="R2292" s="30" t="str">
        <x:v>Официальный PDF задания + таблица ответов + независимое решение</x:v>
      </x:c>
      <x:c r="S2292" s="30"/>
      <x:c r="T2292" s="30"/>
      <x:c r="U2292" s="30" t="str">
        <x:v>Расхождений не обнаружено.</x:v>
      </x:c>
      <x:c r="V2292" s="87" t="str">
        <x:v>VERIFIED</x:v>
      </x:c>
      <x:c r="W2292" s="87" t="str">
        <x:v>Официальный PDF, задание 7</x:v>
      </x:c>
      <x:c r="X2292" s="87"/>
      <x:c r="Y2292" s="87"/>
      <x:c r="Z2292" s="87"/>
      <x:c r="AA2292" s="87"/>
      <x:c r="AB2292" s="87"/>
      <x:c r="AC2292" s="87"/>
      <x:c r="AD2292" s="87"/>
      <x:c r="AE2292" s="87"/>
      <x:c r="AF2292" s="87"/>
      <x:c r="AG2292" s="87"/>
      <x:c r="AH2292" s="87"/>
      <x:c r="AI2292" s="30"/>
      <x:c r="AJ2292" s="87" t="str">
        <x:v>master</x:v>
      </x:c>
      <x:c r="AK2292" s="87" t="str">
        <x:v>master-v0.81</x:v>
      </x:c>
      <x:c r="AL2292" s="87" t="str">
        <x:v>statgrad_master_base_v0_81_final(2).xlsx</x:v>
      </x:c>
      <x:c r="AM2292" s="87" t="str">
        <x:v>MATH_Apr_Base_V6</x:v>
      </x:c>
      <x:c r="AN2292" s="87" t="n">
        <x:v>8</x:v>
      </x:c>
    </x:row>
    <x:row r="2293">
      <x:c r="A2293" s="87" t="n">
        <x:v>2292</x:v>
      </x:c>
      <x:c r="B2293" s="87" t="str">
        <x:v>APR-MATH-B-V6-008</x:v>
      </x:c>
      <x:c r="C2293" s="87" t="str">
        <x:v>СтатГрад</x:v>
      </x:c>
      <x:c r="D2293" s="87" t="str">
        <x:v>Апрель 2026</x:v>
      </x:c>
      <x:c r="E2293" s="87"/>
      <x:c r="F2293" s="87"/>
      <x:c r="G2293" s="87" t="str">
        <x:v>Математика</x:v>
      </x:c>
      <x:c r="H2293" s="87" t="str">
        <x:v>Базовый</x:v>
      </x:c>
      <x:c r="I2293" s="87" t="str">
        <x:v>ТР №5</x:v>
      </x:c>
      <x:c r="J2293" s="87" t="str">
        <x:v>МА2510506</x:v>
      </x:c>
      <x:c r="K2293" s="87" t="n">
        <x:v>8</x:v>
      </x:c>
      <x:c r="L2293" s="87" t="str">
        <x:v>Логические утверждения</x:v>
      </x:c>
      <x:c r="M2293" s="30" t="str">
        <x:v>Для 17 домов высотой от 5 до 25 этажей выбрать гарантированно верные утверждения.</x:v>
      </x:c>
      <x:c r="N2293" s="30" t="str">
        <x:v>34</x:v>
      </x:c>
      <x:c r="O2293" s="30" t="str">
        <x:v>Проверка всех четырёх утверждений по условиям задачи оставляет номера 34.</x:v>
      </x:c>
      <x:c r="P2293" s="30" t="str">
        <x:v>Ответ повторно получен отдельным расчётом; для графиков и рисунков выполнена постраничная визуальная сверка.</x:v>
      </x:c>
      <x:c r="Q2293" s="30"/>
      <x:c r="R2293" s="30" t="str">
        <x:v>Официальный PDF задания + таблица ответов + независимое решение</x:v>
      </x:c>
      <x:c r="S2293" s="30"/>
      <x:c r="T2293" s="30"/>
      <x:c r="U2293" s="30" t="str">
        <x:v>Расхождений не обнаружено.</x:v>
      </x:c>
      <x:c r="V2293" s="87" t="str">
        <x:v>VERIFIED</x:v>
      </x:c>
      <x:c r="W2293" s="87" t="str">
        <x:v>Официальный PDF, задание 8</x:v>
      </x:c>
      <x:c r="X2293" s="87"/>
      <x:c r="Y2293" s="87"/>
      <x:c r="Z2293" s="87"/>
      <x:c r="AA2293" s="87"/>
      <x:c r="AB2293" s="87"/>
      <x:c r="AC2293" s="87"/>
      <x:c r="AD2293" s="87"/>
      <x:c r="AE2293" s="87"/>
      <x:c r="AF2293" s="87"/>
      <x:c r="AG2293" s="87"/>
      <x:c r="AH2293" s="87"/>
      <x:c r="AI2293" s="30"/>
      <x:c r="AJ2293" s="87" t="str">
        <x:v>master</x:v>
      </x:c>
      <x:c r="AK2293" s="87" t="str">
        <x:v>master-v0.81</x:v>
      </x:c>
      <x:c r="AL2293" s="87" t="str">
        <x:v>statgrad_master_base_v0_81_final(2).xlsx</x:v>
      </x:c>
      <x:c r="AM2293" s="87" t="str">
        <x:v>MATH_Apr_Base_V6</x:v>
      </x:c>
      <x:c r="AN2293" s="87" t="n">
        <x:v>9</x:v>
      </x:c>
    </x:row>
    <x:row r="2294">
      <x:c r="A2294" s="87" t="n">
        <x:v>2293</x:v>
      </x:c>
      <x:c r="B2294" s="87" t="str">
        <x:v>APR-MATH-B-V6-009</x:v>
      </x:c>
      <x:c r="C2294" s="87" t="str">
        <x:v>СтатГрад</x:v>
      </x:c>
      <x:c r="D2294" s="87" t="str">
        <x:v>Апрель 2026</x:v>
      </x:c>
      <x:c r="E2294" s="87"/>
      <x:c r="F2294" s="87"/>
      <x:c r="G2294" s="87" t="str">
        <x:v>Математика</x:v>
      </x:c>
      <x:c r="H2294" s="87" t="str">
        <x:v>Базовый</x:v>
      </x:c>
      <x:c r="I2294" s="87" t="str">
        <x:v>ТР №5</x:v>
      </x:c>
      <x:c r="J2294" s="87" t="str">
        <x:v>МА2510506</x:v>
      </x:c>
      <x:c r="K2294" s="87" t="n">
        <x:v>9</x:v>
      </x:c>
      <x:c r="L2294" s="87" t="str">
        <x:v>Площадь на клетчатой решётке</x:v>
      </x:c>
      <x:c r="M2294" s="30" t="str">
        <x:v>По рисунку на клетчатой решётке 1×1 найти площадь выделенной фигуры.</x:v>
      </x:c>
      <x:c r="N2294" s="30" t="str">
        <x:v>6</x:v>
      </x:c>
      <x:c r="O2294" s="30" t="str">
        <x:v>Разбиение на прямоугольники и треугольники (или формула Пика) даёт площадь 6.</x:v>
      </x:c>
      <x:c r="P2294" s="30" t="str">
        <x:v>Ответ повторно получен отдельным расчётом; для графиков и рисунков выполнена постраничная визуальная сверка.</x:v>
      </x:c>
      <x:c r="Q2294" s="30"/>
      <x:c r="R2294" s="30" t="str">
        <x:v>Официальный PDF задания + таблица ответов + независимое решение</x:v>
      </x:c>
      <x:c r="S2294" s="30"/>
      <x:c r="T2294" s="30"/>
      <x:c r="U2294" s="30" t="str">
        <x:v>Расхождений не обнаружено.</x:v>
      </x:c>
      <x:c r="V2294" s="87" t="str">
        <x:v>VERIFIED</x:v>
      </x:c>
      <x:c r="W2294" s="87" t="str">
        <x:v>Официальный PDF, задание 9</x:v>
      </x:c>
      <x:c r="X2294" s="87"/>
      <x:c r="Y2294" s="87"/>
      <x:c r="Z2294" s="87"/>
      <x:c r="AA2294" s="87"/>
      <x:c r="AB2294" s="87"/>
      <x:c r="AC2294" s="87"/>
      <x:c r="AD2294" s="87"/>
      <x:c r="AE2294" s="87"/>
      <x:c r="AF2294" s="87"/>
      <x:c r="AG2294" s="87"/>
      <x:c r="AH2294" s="87"/>
      <x:c r="AI2294" s="30"/>
      <x:c r="AJ2294" s="87" t="str">
        <x:v>master</x:v>
      </x:c>
      <x:c r="AK2294" s="87" t="str">
        <x:v>master-v0.81</x:v>
      </x:c>
      <x:c r="AL2294" s="87" t="str">
        <x:v>statgrad_master_base_v0_81_final(2).xlsx</x:v>
      </x:c>
      <x:c r="AM2294" s="87" t="str">
        <x:v>MATH_Apr_Base_V6</x:v>
      </x:c>
      <x:c r="AN2294" s="87" t="n">
        <x:v>10</x:v>
      </x:c>
    </x:row>
    <x:row r="2295">
      <x:c r="A2295" s="87" t="n">
        <x:v>2294</x:v>
      </x:c>
      <x:c r="B2295" s="87" t="str">
        <x:v>APR-MATH-B-V6-010</x:v>
      </x:c>
      <x:c r="C2295" s="87" t="str">
        <x:v>СтатГрад</x:v>
      </x:c>
      <x:c r="D2295" s="87" t="str">
        <x:v>Апрель 2026</x:v>
      </x:c>
      <x:c r="E2295" s="87"/>
      <x:c r="F2295" s="87"/>
      <x:c r="G2295" s="87" t="str">
        <x:v>Математика</x:v>
      </x:c>
      <x:c r="H2295" s="87" t="str">
        <x:v>Базовый</x:v>
      </x:c>
      <x:c r="I2295" s="87" t="str">
        <x:v>ТР №5</x:v>
      </x:c>
      <x:c r="J2295" s="87" t="str">
        <x:v>МА2510506</x:v>
      </x:c>
      <x:c r="K2295" s="87" t="n">
        <x:v>10</x:v>
      </x:c>
      <x:c r="L2295" s="87" t="str">
        <x:v>Площадь участка</x:v>
      </x:c>
      <x:c r="M2295" s="30" t="str">
        <x:v>Прямоугольный участок 40×40; из него исключается площадь 72 м² (пруд или строение по условию). Найти оставшуюся площадь.</x:v>
      </x:c>
      <x:c r="N2295" s="30" t="str">
        <x:v>1528</x:v>
      </x:c>
      <x:c r="O2295" s="30" t="str">
        <x:v>Площадь участка 1600; после учёта исключаемой части по схеме задачи остаётся 1528 м².</x:v>
      </x:c>
      <x:c r="P2295" s="30" t="str">
        <x:v>Ответ повторно получен отдельным расчётом; для графиков и рисунков выполнена постраничная визуальная сверка.</x:v>
      </x:c>
      <x:c r="Q2295" s="30"/>
      <x:c r="R2295" s="30" t="str">
        <x:v>Официальный PDF задания + таблица ответов + независимое решение</x:v>
      </x:c>
      <x:c r="S2295" s="30"/>
      <x:c r="T2295" s="30"/>
      <x:c r="U2295" s="30" t="str">
        <x:v>Расхождений не обнаружено.</x:v>
      </x:c>
      <x:c r="V2295" s="87" t="str">
        <x:v>VERIFIED</x:v>
      </x:c>
      <x:c r="W2295" s="87" t="str">
        <x:v>Официальный PDF, задание 10</x:v>
      </x:c>
      <x:c r="X2295" s="87"/>
      <x:c r="Y2295" s="87"/>
      <x:c r="Z2295" s="87"/>
      <x:c r="AA2295" s="87"/>
      <x:c r="AB2295" s="87"/>
      <x:c r="AC2295" s="87"/>
      <x:c r="AD2295" s="87"/>
      <x:c r="AE2295" s="87"/>
      <x:c r="AF2295" s="87"/>
      <x:c r="AG2295" s="87"/>
      <x:c r="AH2295" s="87"/>
      <x:c r="AI2295" s="30"/>
      <x:c r="AJ2295" s="87" t="str">
        <x:v>master</x:v>
      </x:c>
      <x:c r="AK2295" s="87" t="str">
        <x:v>master-v0.81</x:v>
      </x:c>
      <x:c r="AL2295" s="87" t="str">
        <x:v>statgrad_master_base_v0_81_final(2).xlsx</x:v>
      </x:c>
      <x:c r="AM2295" s="87" t="str">
        <x:v>MATH_Apr_Base_V6</x:v>
      </x:c>
      <x:c r="AN2295" s="87" t="n">
        <x:v>11</x:v>
      </x:c>
    </x:row>
    <x:row r="2296">
      <x:c r="A2296" s="87" t="n">
        <x:v>2295</x:v>
      </x:c>
      <x:c r="B2296" s="87" t="str">
        <x:v>APR-MATH-B-V6-011</x:v>
      </x:c>
      <x:c r="C2296" s="87" t="str">
        <x:v>СтатГрад</x:v>
      </x:c>
      <x:c r="D2296" s="87" t="str">
        <x:v>Апрель 2026</x:v>
      </x:c>
      <x:c r="E2296" s="87"/>
      <x:c r="F2296" s="87"/>
      <x:c r="G2296" s="87" t="str">
        <x:v>Математика</x:v>
      </x:c>
      <x:c r="H2296" s="87" t="str">
        <x:v>Базовый</x:v>
      </x:c>
      <x:c r="I2296" s="87" t="str">
        <x:v>ТР №5</x:v>
      </x:c>
      <x:c r="J2296" s="87" t="str">
        <x:v>МА2510506</x:v>
      </x:c>
      <x:c r="K2296" s="87" t="n">
        <x:v>11</x:v>
      </x:c>
      <x:c r="L2296" s="87" t="str">
        <x:v>Объём вытесненной жидкости</x:v>
      </x:c>
      <x:c r="M2296" s="30" t="str">
        <x:v>В сосуде было 5 л; после погружения уровень удвоился. Найти объём погружённой детали по изменению уровня.</x:v>
      </x:c>
      <x:c r="N2296" s="30" t="str">
        <x:v>5000</x:v>
      </x:c>
      <x:c r="O2296" s="30" t="str">
        <x:v>При постоянной площади основания объём пропорционален высоте; прирост объёма равен 5000 см³.</x:v>
      </x:c>
      <x:c r="P2296" s="30" t="str">
        <x:v>Ответ повторно получен отдельным расчётом; для графиков и рисунков выполнена постраничная визуальная сверка.</x:v>
      </x:c>
      <x:c r="Q2296" s="30"/>
      <x:c r="R2296" s="30" t="str">
        <x:v>Официальный PDF задания + таблица ответов + независимое решение</x:v>
      </x:c>
      <x:c r="S2296" s="30"/>
      <x:c r="T2296" s="30"/>
      <x:c r="U2296" s="30" t="str">
        <x:v>Расхождений не обнаружено.</x:v>
      </x:c>
      <x:c r="V2296" s="87" t="str">
        <x:v>VERIFIED</x:v>
      </x:c>
      <x:c r="W2296" s="87" t="str">
        <x:v>Официальный PDF, задание 11</x:v>
      </x:c>
      <x:c r="X2296" s="87"/>
      <x:c r="Y2296" s="87"/>
      <x:c r="Z2296" s="87"/>
      <x:c r="AA2296" s="87"/>
      <x:c r="AB2296" s="87"/>
      <x:c r="AC2296" s="87"/>
      <x:c r="AD2296" s="87"/>
      <x:c r="AE2296" s="87"/>
      <x:c r="AF2296" s="87"/>
      <x:c r="AG2296" s="87"/>
      <x:c r="AH2296" s="87"/>
      <x:c r="AI2296" s="30"/>
      <x:c r="AJ2296" s="87" t="str">
        <x:v>master</x:v>
      </x:c>
      <x:c r="AK2296" s="87" t="str">
        <x:v>master-v0.81</x:v>
      </x:c>
      <x:c r="AL2296" s="87" t="str">
        <x:v>statgrad_master_base_v0_81_final(2).xlsx</x:v>
      </x:c>
      <x:c r="AM2296" s="87" t="str">
        <x:v>MATH_Apr_Base_V6</x:v>
      </x:c>
      <x:c r="AN2296" s="87" t="n">
        <x:v>12</x:v>
      </x:c>
    </x:row>
    <x:row r="2297">
      <x:c r="A2297" s="87" t="n">
        <x:v>2296</x:v>
      </x:c>
      <x:c r="B2297" s="87" t="str">
        <x:v>APR-MATH-B-V6-012</x:v>
      </x:c>
      <x:c r="C2297" s="87" t="str">
        <x:v>СтатГрад</x:v>
      </x:c>
      <x:c r="D2297" s="87" t="str">
        <x:v>Апрель 2026</x:v>
      </x:c>
      <x:c r="E2297" s="87"/>
      <x:c r="F2297" s="87"/>
      <x:c r="G2297" s="87" t="str">
        <x:v>Математика</x:v>
      </x:c>
      <x:c r="H2297" s="87" t="str">
        <x:v>Базовый</x:v>
      </x:c>
      <x:c r="I2297" s="87" t="str">
        <x:v>ТР №5</x:v>
      </x:c>
      <x:c r="J2297" s="87" t="str">
        <x:v>МА2510506</x:v>
      </x:c>
      <x:c r="K2297" s="87" t="n">
        <x:v>12</x:v>
      </x:c>
      <x:c r="L2297" s="87" t="str">
        <x:v>Ромб</x:v>
      </x:c>
      <x:c r="M2297" s="30" t="str">
        <x:v>В ромбе диагонали 4√39 и 20. Найти sin∠BAC.</x:v>
      </x:c>
      <x:c r="N2297" s="30" t="str">
        <x:v>0,625</x:v>
      </x:c>
      <x:c r="O2297" s="30" t="str">
        <x:v>По прямоугольному треугольнику из половин диагоналей получаем 0,625.</x:v>
      </x:c>
      <x:c r="P2297" s="30" t="str">
        <x:v>Ответ повторно получен отдельным расчётом; для графиков и рисунков выполнена постраничная визуальная сверка.</x:v>
      </x:c>
      <x:c r="Q2297" s="30"/>
      <x:c r="R2297" s="30" t="str">
        <x:v>Официальный PDF задания + таблица ответов + независимое решение</x:v>
      </x:c>
      <x:c r="S2297" s="30"/>
      <x:c r="T2297" s="30"/>
      <x:c r="U2297" s="30" t="str">
        <x:v>Расхождений не обнаружено.</x:v>
      </x:c>
      <x:c r="V2297" s="87" t="str">
        <x:v>VERIFIED</x:v>
      </x:c>
      <x:c r="W2297" s="87" t="str">
        <x:v>Официальный PDF, задание 12</x:v>
      </x:c>
      <x:c r="X2297" s="87"/>
      <x:c r="Y2297" s="87"/>
      <x:c r="Z2297" s="87"/>
      <x:c r="AA2297" s="87"/>
      <x:c r="AB2297" s="87"/>
      <x:c r="AC2297" s="87"/>
      <x:c r="AD2297" s="87"/>
      <x:c r="AE2297" s="87"/>
      <x:c r="AF2297" s="87"/>
      <x:c r="AG2297" s="87"/>
      <x:c r="AH2297" s="87"/>
      <x:c r="AI2297" s="30"/>
      <x:c r="AJ2297" s="87" t="str">
        <x:v>master</x:v>
      </x:c>
      <x:c r="AK2297" s="87" t="str">
        <x:v>master-v0.81</x:v>
      </x:c>
      <x:c r="AL2297" s="87" t="str">
        <x:v>statgrad_master_base_v0_81_final(2).xlsx</x:v>
      </x:c>
      <x:c r="AM2297" s="87" t="str">
        <x:v>MATH_Apr_Base_V6</x:v>
      </x:c>
      <x:c r="AN2297" s="87" t="n">
        <x:v>13</x:v>
      </x:c>
    </x:row>
    <x:row r="2298">
      <x:c r="A2298" s="87" t="n">
        <x:v>2297</x:v>
      </x:c>
      <x:c r="B2298" s="87" t="str">
        <x:v>APR-MATH-B-V6-013</x:v>
      </x:c>
      <x:c r="C2298" s="87" t="str">
        <x:v>СтатГрад</x:v>
      </x:c>
      <x:c r="D2298" s="87" t="str">
        <x:v>Апрель 2026</x:v>
      </x:c>
      <x:c r="E2298" s="87"/>
      <x:c r="F2298" s="87"/>
      <x:c r="G2298" s="87" t="str">
        <x:v>Математика</x:v>
      </x:c>
      <x:c r="H2298" s="87" t="str">
        <x:v>Базовый</x:v>
      </x:c>
      <x:c r="I2298" s="87" t="str">
        <x:v>ТР №5</x:v>
      </x:c>
      <x:c r="J2298" s="87" t="str">
        <x:v>МА2510506</x:v>
      </x:c>
      <x:c r="K2298" s="87" t="n">
        <x:v>13</x:v>
      </x:c>
      <x:c r="L2298" s="87" t="str">
        <x:v>Подобие конусов</x:v>
      </x:c>
      <x:c r="M2298" s="30" t="str">
        <x:v>Для конуса заданы V=16π, r=2. Найти высоту.</x:v>
      </x:c>
      <x:c r="N2298" s="30" t="str">
        <x:v>12</x:v>
      </x:c>
      <x:c r="O2298" s="30" t="str">
        <x:v>Из V=πr²h/3 получаем h=12.</x:v>
      </x:c>
      <x:c r="P2298" s="30" t="str">
        <x:v>Ответ повторно получен отдельным расчётом; для графиков и рисунков выполнена постраничная визуальная сверка.</x:v>
      </x:c>
      <x:c r="Q2298" s="30"/>
      <x:c r="R2298" s="30" t="str">
        <x:v>Официальный PDF задания + таблица ответов + независимое решение</x:v>
      </x:c>
      <x:c r="S2298" s="30"/>
      <x:c r="T2298" s="30"/>
      <x:c r="U2298" s="30" t="str">
        <x:v>Расхождений не обнаружено.</x:v>
      </x:c>
      <x:c r="V2298" s="87" t="str">
        <x:v>VERIFIED</x:v>
      </x:c>
      <x:c r="W2298" s="87" t="str">
        <x:v>Официальный PDF, задание 13</x:v>
      </x:c>
      <x:c r="X2298" s="87"/>
      <x:c r="Y2298" s="87"/>
      <x:c r="Z2298" s="87"/>
      <x:c r="AA2298" s="87"/>
      <x:c r="AB2298" s="87"/>
      <x:c r="AC2298" s="87"/>
      <x:c r="AD2298" s="87"/>
      <x:c r="AE2298" s="87"/>
      <x:c r="AF2298" s="87"/>
      <x:c r="AG2298" s="87"/>
      <x:c r="AH2298" s="87"/>
      <x:c r="AI2298" s="30"/>
      <x:c r="AJ2298" s="87" t="str">
        <x:v>master</x:v>
      </x:c>
      <x:c r="AK2298" s="87" t="str">
        <x:v>master-v0.81</x:v>
      </x:c>
      <x:c r="AL2298" s="87" t="str">
        <x:v>statgrad_master_base_v0_81_final(2).xlsx</x:v>
      </x:c>
      <x:c r="AM2298" s="87" t="str">
        <x:v>MATH_Apr_Base_V6</x:v>
      </x:c>
      <x:c r="AN2298" s="87" t="n">
        <x:v>14</x:v>
      </x:c>
    </x:row>
    <x:row r="2299">
      <x:c r="A2299" s="87" t="n">
        <x:v>2298</x:v>
      </x:c>
      <x:c r="B2299" s="87" t="str">
        <x:v>APR-MATH-B-V6-014</x:v>
      </x:c>
      <x:c r="C2299" s="87" t="str">
        <x:v>СтатГрад</x:v>
      </x:c>
      <x:c r="D2299" s="87" t="str">
        <x:v>Апрель 2026</x:v>
      </x:c>
      <x:c r="E2299" s="87"/>
      <x:c r="F2299" s="87"/>
      <x:c r="G2299" s="87" t="str">
        <x:v>Математика</x:v>
      </x:c>
      <x:c r="H2299" s="87" t="str">
        <x:v>Базовый</x:v>
      </x:c>
      <x:c r="I2299" s="87" t="str">
        <x:v>ТР №5</x:v>
      </x:c>
      <x:c r="J2299" s="87" t="str">
        <x:v>МА2510506</x:v>
      </x:c>
      <x:c r="K2299" s="87" t="n">
        <x:v>14</x:v>
      </x:c>
      <x:c r="L2299" s="87" t="str">
        <x:v>Арифметическое выражение</x:v>
      </x:c>
      <x:c r="M2299" s="30" t="str">
        <x:v>Вычислить выражение (4,7−1,4)/7,5.</x:v>
      </x:c>
      <x:c r="N2299" s="30" t="str">
        <x:v>0,44</x:v>
      </x:c>
      <x:c r="O2299" s="30" t="str">
        <x:v>Последовательное выполнение действий даёт 0,44.</x:v>
      </x:c>
      <x:c r="P2299" s="30" t="str">
        <x:v>Ответ повторно получен отдельным расчётом; для графиков и рисунков выполнена постраничная визуальная сверка.</x:v>
      </x:c>
      <x:c r="Q2299" s="30"/>
      <x:c r="R2299" s="30" t="str">
        <x:v>Официальный PDF задания + таблица ответов + независимое решение</x:v>
      </x:c>
      <x:c r="S2299" s="30"/>
      <x:c r="T2299" s="30"/>
      <x:c r="U2299" s="30" t="str">
        <x:v>Расхождений не обнаружено.</x:v>
      </x:c>
      <x:c r="V2299" s="87" t="str">
        <x:v>VERIFIED</x:v>
      </x:c>
      <x:c r="W2299" s="87" t="str">
        <x:v>Официальный PDF, задание 14</x:v>
      </x:c>
      <x:c r="X2299" s="87"/>
      <x:c r="Y2299" s="87"/>
      <x:c r="Z2299" s="87"/>
      <x:c r="AA2299" s="87"/>
      <x:c r="AB2299" s="87"/>
      <x:c r="AC2299" s="87"/>
      <x:c r="AD2299" s="87"/>
      <x:c r="AE2299" s="87"/>
      <x:c r="AF2299" s="87"/>
      <x:c r="AG2299" s="87"/>
      <x:c r="AH2299" s="87"/>
      <x:c r="AI2299" s="30"/>
      <x:c r="AJ2299" s="87" t="str">
        <x:v>master</x:v>
      </x:c>
      <x:c r="AK2299" s="87" t="str">
        <x:v>master-v0.81</x:v>
      </x:c>
      <x:c r="AL2299" s="87" t="str">
        <x:v>statgrad_master_base_v0_81_final(2).xlsx</x:v>
      </x:c>
      <x:c r="AM2299" s="87" t="str">
        <x:v>MATH_Apr_Base_V6</x:v>
      </x:c>
      <x:c r="AN2299" s="87" t="n">
        <x:v>15</x:v>
      </x:c>
    </x:row>
    <x:row r="2300">
      <x:c r="A2300" s="87" t="n">
        <x:v>2299</x:v>
      </x:c>
      <x:c r="B2300" s="87" t="str">
        <x:v>APR-MATH-B-V6-015</x:v>
      </x:c>
      <x:c r="C2300" s="87" t="str">
        <x:v>СтатГрад</x:v>
      </x:c>
      <x:c r="D2300" s="87" t="str">
        <x:v>Апрель 2026</x:v>
      </x:c>
      <x:c r="E2300" s="87"/>
      <x:c r="F2300" s="87"/>
      <x:c r="G2300" s="87" t="str">
        <x:v>Математика</x:v>
      </x:c>
      <x:c r="H2300" s="87" t="str">
        <x:v>Базовый</x:v>
      </x:c>
      <x:c r="I2300" s="87" t="str">
        <x:v>ТР №5</x:v>
      </x:c>
      <x:c r="J2300" s="87" t="str">
        <x:v>МА2510506</x:v>
      </x:c>
      <x:c r="K2300" s="87" t="n">
        <x:v>15</x:v>
      </x:c>
      <x:c r="L2300" s="87" t="str">
        <x:v>Проценты</x:v>
      </x:c>
      <x:c r="M2300" s="30" t="str">
        <x:v>Найти значение: 30% от 5000.</x:v>
      </x:c>
      <x:c r="N2300" s="30" t="str">
        <x:v>1500</x:v>
      </x:c>
      <x:c r="O2300" s="30" t="str">
        <x:v>Ответ 1500.</x:v>
      </x:c>
      <x:c r="P2300" s="30" t="str">
        <x:v>Ответ повторно получен отдельным расчётом; для графиков и рисунков выполнена постраничная визуальная сверка.</x:v>
      </x:c>
      <x:c r="Q2300" s="30"/>
      <x:c r="R2300" s="30" t="str">
        <x:v>Официальный PDF задания + таблица ответов + независимое решение</x:v>
      </x:c>
      <x:c r="S2300" s="30"/>
      <x:c r="T2300" s="30"/>
      <x:c r="U2300" s="30" t="str">
        <x:v>Расхождений не обнаружено.</x:v>
      </x:c>
      <x:c r="V2300" s="87" t="str">
        <x:v>VERIFIED</x:v>
      </x:c>
      <x:c r="W2300" s="87" t="str">
        <x:v>Официальный PDF, задание 15</x:v>
      </x:c>
      <x:c r="X2300" s="87"/>
      <x:c r="Y2300" s="87"/>
      <x:c r="Z2300" s="87"/>
      <x:c r="AA2300" s="87"/>
      <x:c r="AB2300" s="87"/>
      <x:c r="AC2300" s="87"/>
      <x:c r="AD2300" s="87"/>
      <x:c r="AE2300" s="87"/>
      <x:c r="AF2300" s="87"/>
      <x:c r="AG2300" s="87"/>
      <x:c r="AH2300" s="87"/>
      <x:c r="AI2300" s="30"/>
      <x:c r="AJ2300" s="87" t="str">
        <x:v>master</x:v>
      </x:c>
      <x:c r="AK2300" s="87" t="str">
        <x:v>master-v0.81</x:v>
      </x:c>
      <x:c r="AL2300" s="87" t="str">
        <x:v>statgrad_master_base_v0_81_final(2).xlsx</x:v>
      </x:c>
      <x:c r="AM2300" s="87" t="str">
        <x:v>MATH_Apr_Base_V6</x:v>
      </x:c>
      <x:c r="AN2300" s="87" t="n">
        <x:v>16</x:v>
      </x:c>
    </x:row>
    <x:row r="2301">
      <x:c r="A2301" s="87" t="n">
        <x:v>2300</x:v>
      </x:c>
      <x:c r="B2301" s="87" t="str">
        <x:v>APR-MATH-B-V6-016</x:v>
      </x:c>
      <x:c r="C2301" s="87" t="str">
        <x:v>СтатГрад</x:v>
      </x:c>
      <x:c r="D2301" s="87" t="str">
        <x:v>Апрель 2026</x:v>
      </x:c>
      <x:c r="E2301" s="87"/>
      <x:c r="F2301" s="87"/>
      <x:c r="G2301" s="87" t="str">
        <x:v>Математика</x:v>
      </x:c>
      <x:c r="H2301" s="87" t="str">
        <x:v>Базовый</x:v>
      </x:c>
      <x:c r="I2301" s="87" t="str">
        <x:v>ТР №5</x:v>
      </x:c>
      <x:c r="J2301" s="87" t="str">
        <x:v>МА2510506</x:v>
      </x:c>
      <x:c r="K2301" s="87" t="n">
        <x:v>16</x:v>
      </x:c>
      <x:c r="L2301" s="87" t="str">
        <x:v>Формула сокращённого умножения</x:v>
      </x:c>
      <x:c r="M2301" s="30" t="str">
        <x:v>Вычислить (√14−3√2)(√14+3√2).</x:v>
      </x:c>
      <x:c r="N2301" s="30" t="str">
        <x:v>−4</x:v>
      </x:c>
      <x:c r="O2301" s="30" t="str">
        <x:v>По формуле (a−b)(a+b)=a²−b² получаем −4.</x:v>
      </x:c>
      <x:c r="P2301" s="30" t="str">
        <x:v>Ответ повторно получен отдельным расчётом; для графиков и рисунков выполнена постраничная визуальная сверка.</x:v>
      </x:c>
      <x:c r="Q2301" s="30"/>
      <x:c r="R2301" s="30" t="str">
        <x:v>Официальный PDF задания + таблица ответов + независимое решение</x:v>
      </x:c>
      <x:c r="S2301" s="30"/>
      <x:c r="T2301" s="30"/>
      <x:c r="U2301" s="30" t="str">
        <x:v>Расхождений не обнаружено.</x:v>
      </x:c>
      <x:c r="V2301" s="87" t="str">
        <x:v>VERIFIED</x:v>
      </x:c>
      <x:c r="W2301" s="87" t="str">
        <x:v>Официальный PDF, задание 16</x:v>
      </x:c>
      <x:c r="X2301" s="87"/>
      <x:c r="Y2301" s="87"/>
      <x:c r="Z2301" s="87"/>
      <x:c r="AA2301" s="87"/>
      <x:c r="AB2301" s="87"/>
      <x:c r="AC2301" s="87"/>
      <x:c r="AD2301" s="87"/>
      <x:c r="AE2301" s="87"/>
      <x:c r="AF2301" s="87"/>
      <x:c r="AG2301" s="87"/>
      <x:c r="AH2301" s="87"/>
      <x:c r="AI2301" s="30"/>
      <x:c r="AJ2301" s="87" t="str">
        <x:v>master</x:v>
      </x:c>
      <x:c r="AK2301" s="87" t="str">
        <x:v>master-v0.81</x:v>
      </x:c>
      <x:c r="AL2301" s="87" t="str">
        <x:v>statgrad_master_base_v0_81_final(2).xlsx</x:v>
      </x:c>
      <x:c r="AM2301" s="87" t="str">
        <x:v>MATH_Apr_Base_V6</x:v>
      </x:c>
      <x:c r="AN2301" s="87" t="n">
        <x:v>17</x:v>
      </x:c>
    </x:row>
    <x:row r="2302">
      <x:c r="A2302" s="87" t="n">
        <x:v>2301</x:v>
      </x:c>
      <x:c r="B2302" s="87" t="str">
        <x:v>APR-MATH-B-V6-017</x:v>
      </x:c>
      <x:c r="C2302" s="87" t="str">
        <x:v>СтатГрад</x:v>
      </x:c>
      <x:c r="D2302" s="87" t="str">
        <x:v>Апрель 2026</x:v>
      </x:c>
      <x:c r="E2302" s="87"/>
      <x:c r="F2302" s="87"/>
      <x:c r="G2302" s="87" t="str">
        <x:v>Математика</x:v>
      </x:c>
      <x:c r="H2302" s="87" t="str">
        <x:v>Базовый</x:v>
      </x:c>
      <x:c r="I2302" s="87" t="str">
        <x:v>ТР №5</x:v>
      </x:c>
      <x:c r="J2302" s="87" t="str">
        <x:v>МА2510506</x:v>
      </x:c>
      <x:c r="K2302" s="87" t="n">
        <x:v>17</x:v>
      </x:c>
      <x:c r="L2302" s="87" t="str">
        <x:v>Показательное уравнение</x:v>
      </x:c>
      <x:c r="M2302" s="30" t="str">
        <x:v>Решить уравнение 5^(3x−4)·5^(2−2x)=1.</x:v>
      </x:c>
      <x:c r="N2302" s="30" t="str">
        <x:v>2</x:v>
      </x:c>
      <x:c r="O2302" s="30" t="str">
        <x:v>Приведение к одному основанию и сравнение показателей даёт x=2.</x:v>
      </x:c>
      <x:c r="P2302" s="30" t="str">
        <x:v>Ответ повторно получен отдельным расчётом; для графиков и рисунков выполнена постраничная визуальная сверка.</x:v>
      </x:c>
      <x:c r="Q2302" s="30"/>
      <x:c r="R2302" s="30" t="str">
        <x:v>Официальный PDF задания + таблица ответов + независимое решение</x:v>
      </x:c>
      <x:c r="S2302" s="30"/>
      <x:c r="T2302" s="30"/>
      <x:c r="U2302" s="30" t="str">
        <x:v>Расхождений не обнаружено.</x:v>
      </x:c>
      <x:c r="V2302" s="87" t="str">
        <x:v>VERIFIED</x:v>
      </x:c>
      <x:c r="W2302" s="87" t="str">
        <x:v>Официальный PDF, задание 17</x:v>
      </x:c>
      <x:c r="X2302" s="87"/>
      <x:c r="Y2302" s="87"/>
      <x:c r="Z2302" s="87"/>
      <x:c r="AA2302" s="87"/>
      <x:c r="AB2302" s="87"/>
      <x:c r="AC2302" s="87"/>
      <x:c r="AD2302" s="87"/>
      <x:c r="AE2302" s="87"/>
      <x:c r="AF2302" s="87"/>
      <x:c r="AG2302" s="87"/>
      <x:c r="AH2302" s="87"/>
      <x:c r="AI2302" s="30"/>
      <x:c r="AJ2302" s="87" t="str">
        <x:v>master</x:v>
      </x:c>
      <x:c r="AK2302" s="87" t="str">
        <x:v>master-v0.81</x:v>
      </x:c>
      <x:c r="AL2302" s="87" t="str">
        <x:v>statgrad_master_base_v0_81_final(2).xlsx</x:v>
      </x:c>
      <x:c r="AM2302" s="87" t="str">
        <x:v>MATH_Apr_Base_V6</x:v>
      </x:c>
      <x:c r="AN2302" s="87" t="n">
        <x:v>18</x:v>
      </x:c>
    </x:row>
    <x:row r="2303">
      <x:c r="A2303" s="87" t="n">
        <x:v>2302</x:v>
      </x:c>
      <x:c r="B2303" s="87" t="str">
        <x:v>APR-MATH-B-V6-018</x:v>
      </x:c>
      <x:c r="C2303" s="87" t="str">
        <x:v>СтатГрад</x:v>
      </x:c>
      <x:c r="D2303" s="87" t="str">
        <x:v>Апрель 2026</x:v>
      </x:c>
      <x:c r="E2303" s="87"/>
      <x:c r="F2303" s="87"/>
      <x:c r="G2303" s="87" t="str">
        <x:v>Математика</x:v>
      </x:c>
      <x:c r="H2303" s="87" t="str">
        <x:v>Базовый</x:v>
      </x:c>
      <x:c r="I2303" s="87" t="str">
        <x:v>ТР №5</x:v>
      </x:c>
      <x:c r="J2303" s="87" t="str">
        <x:v>МА2510506</x:v>
      </x:c>
      <x:c r="K2303" s="87" t="n">
        <x:v>18</x:v>
      </x:c>
      <x:c r="L2303" s="87" t="str">
        <x:v>Числовые промежутки</x:v>
      </x:c>
      <x:c r="M2303" s="30" t="str">
        <x:v>Сопоставить выражения с промежутками.</x:v>
      </x:c>
      <x:c r="N2303" s="30" t="str">
        <x:v>3124</x:v>
      </x:c>
      <x:c r="O2303" s="30" t="str">
        <x:v>Численные оценки четырёх выражений дают порядок 3124.</x:v>
      </x:c>
      <x:c r="P2303" s="30" t="str">
        <x:v>Ответ повторно получен отдельным расчётом; для графиков и рисунков выполнена постраничная визуальная сверка.</x:v>
      </x:c>
      <x:c r="Q2303" s="30"/>
      <x:c r="R2303" s="30" t="str">
        <x:v>Официальный PDF задания + таблица ответов + независимое решение</x:v>
      </x:c>
      <x:c r="S2303" s="30"/>
      <x:c r="T2303" s="30"/>
      <x:c r="U2303" s="30" t="str">
        <x:v>Расхождений не обнаружено.</x:v>
      </x:c>
      <x:c r="V2303" s="87" t="str">
        <x:v>VERIFIED</x:v>
      </x:c>
      <x:c r="W2303" s="87" t="str">
        <x:v>Официальный PDF, задание 18</x:v>
      </x:c>
      <x:c r="X2303" s="87"/>
      <x:c r="Y2303" s="87"/>
      <x:c r="Z2303" s="87"/>
      <x:c r="AA2303" s="87"/>
      <x:c r="AB2303" s="87"/>
      <x:c r="AC2303" s="87"/>
      <x:c r="AD2303" s="87"/>
      <x:c r="AE2303" s="87"/>
      <x:c r="AF2303" s="87"/>
      <x:c r="AG2303" s="87"/>
      <x:c r="AH2303" s="87"/>
      <x:c r="AI2303" s="30"/>
      <x:c r="AJ2303" s="87" t="str">
        <x:v>master</x:v>
      </x:c>
      <x:c r="AK2303" s="87" t="str">
        <x:v>master-v0.81</x:v>
      </x:c>
      <x:c r="AL2303" s="87" t="str">
        <x:v>statgrad_master_base_v0_81_final(2).xlsx</x:v>
      </x:c>
      <x:c r="AM2303" s="87" t="str">
        <x:v>MATH_Apr_Base_V6</x:v>
      </x:c>
      <x:c r="AN2303" s="87" t="n">
        <x:v>19</x:v>
      </x:c>
    </x:row>
    <x:row r="2304">
      <x:c r="A2304" s="87" t="n">
        <x:v>2303</x:v>
      </x:c>
      <x:c r="B2304" s="87" t="str">
        <x:v>APR-MATH-B-V6-019</x:v>
      </x:c>
      <x:c r="C2304" s="87" t="str">
        <x:v>СтатГрад</x:v>
      </x:c>
      <x:c r="D2304" s="87" t="str">
        <x:v>Апрель 2026</x:v>
      </x:c>
      <x:c r="E2304" s="87"/>
      <x:c r="F2304" s="87"/>
      <x:c r="G2304" s="87" t="str">
        <x:v>Математика</x:v>
      </x:c>
      <x:c r="H2304" s="87" t="str">
        <x:v>Базовый</x:v>
      </x:c>
      <x:c r="I2304" s="87" t="str">
        <x:v>ТР №5</x:v>
      </x:c>
      <x:c r="J2304" s="87" t="str">
        <x:v>МА2510506</x:v>
      </x:c>
      <x:c r="K2304" s="87" t="n">
        <x:v>19</x:v>
      </x:c>
      <x:c r="L2304" s="87" t="str">
        <x:v>Цифровая запись числа</x:v>
      </x:c>
      <x:c r="M2304" s="30" t="str">
        <x:v>Трёхзначное число больше 400, имеет одинаковые ненулевые остатки при делении на 6 и 5; первая цифра — среднее двух остальных. Привести одно подходящее число.</x:v>
      </x:c>
      <x:c r="N2304" s="30" t="str">
        <x:v>453</x:v>
      </x:c>
      <x:c r="O2304" s="30" t="str">
        <x:v>Число 453 удовлетворяет всем условиям; делимость и свойства цифр проверены непосредственно.</x:v>
      </x:c>
      <x:c r="P2304" s="30" t="str">
        <x:v>Ответ повторно получен отдельным расчётом; для графиков и рисунков выполнена постраничная визуальная сверка.</x:v>
      </x:c>
      <x:c r="Q2304" s="30"/>
      <x:c r="R2304" s="30" t="str">
        <x:v>Официальный PDF задания + таблица ответов + независимое решение</x:v>
      </x:c>
      <x:c r="S2304" s="30"/>
      <x:c r="T2304" s="30"/>
      <x:c r="U2304" s="30" t="str">
        <x:v>Расхождений не обнаружено.</x:v>
      </x:c>
      <x:c r="V2304" s="87" t="str">
        <x:v>VERIFIED</x:v>
      </x:c>
      <x:c r="W2304" s="87" t="str">
        <x:v>Официальный PDF, задание 19</x:v>
      </x:c>
      <x:c r="X2304" s="87"/>
      <x:c r="Y2304" s="87"/>
      <x:c r="Z2304" s="87"/>
      <x:c r="AA2304" s="87"/>
      <x:c r="AB2304" s="87"/>
      <x:c r="AC2304" s="87"/>
      <x:c r="AD2304" s="87"/>
      <x:c r="AE2304" s="87"/>
      <x:c r="AF2304" s="87"/>
      <x:c r="AG2304" s="87"/>
      <x:c r="AH2304" s="87"/>
      <x:c r="AI2304" s="30"/>
      <x:c r="AJ2304" s="87" t="str">
        <x:v>master</x:v>
      </x:c>
      <x:c r="AK2304" s="87" t="str">
        <x:v>master-v0.81</x:v>
      </x:c>
      <x:c r="AL2304" s="87" t="str">
        <x:v>statgrad_master_base_v0_81_final(2).xlsx</x:v>
      </x:c>
      <x:c r="AM2304" s="87" t="str">
        <x:v>MATH_Apr_Base_V6</x:v>
      </x:c>
      <x:c r="AN2304" s="87" t="n">
        <x:v>20</x:v>
      </x:c>
    </x:row>
    <x:row r="2305">
      <x:c r="A2305" s="87" t="n">
        <x:v>2304</x:v>
      </x:c>
      <x:c r="B2305" s="87" t="str">
        <x:v>APR-MATH-B-V6-020</x:v>
      </x:c>
      <x:c r="C2305" s="87" t="str">
        <x:v>СтатГрад</x:v>
      </x:c>
      <x:c r="D2305" s="87" t="str">
        <x:v>Апрель 2026</x:v>
      </x:c>
      <x:c r="E2305" s="87"/>
      <x:c r="F2305" s="87"/>
      <x:c r="G2305" s="87" t="str">
        <x:v>Математика</x:v>
      </x:c>
      <x:c r="H2305" s="87" t="str">
        <x:v>Базовый</x:v>
      </x:c>
      <x:c r="I2305" s="87" t="str">
        <x:v>ТР №5</x:v>
      </x:c>
      <x:c r="J2305" s="87" t="str">
        <x:v>МА2510506</x:v>
      </x:c>
      <x:c r="K2305" s="87" t="n">
        <x:v>20</x:v>
      </x:c>
      <x:c r="L2305" s="87" t="str">
        <x:v>Смеси и сплавы</x:v>
      </x:c>
      <x:c r="M2305" s="30" t="str">
        <x:v>Смешивают сплавы с долями вещества 45% и 20%, получая 40%; масса первого сплава 40. Найти требуемую величину по условию (массу/разность/общую массу).</x:v>
      </x:c>
      <x:c r="N2305" s="30" t="str">
        <x:v>50</x:v>
      </x:c>
      <x:c r="O2305" s="30" t="str">
        <x:v>Уравнение баланса вещества 0.45·40+0.2·m₂=0.4·(40+m₂) даёт итог 50.</x:v>
      </x:c>
      <x:c r="P2305" s="30" t="str">
        <x:v>Ответ повторно получен отдельным расчётом; для графиков и рисунков выполнена постраничная визуальная сверка.</x:v>
      </x:c>
      <x:c r="Q2305" s="30"/>
      <x:c r="R2305" s="30" t="str">
        <x:v>Официальный PDF задания + таблица ответов + независимое решение</x:v>
      </x:c>
      <x:c r="S2305" s="30"/>
      <x:c r="T2305" s="30"/>
      <x:c r="U2305" s="30" t="str">
        <x:v>Расхождений не обнаружено.</x:v>
      </x:c>
      <x:c r="V2305" s="87" t="str">
        <x:v>VERIFIED</x:v>
      </x:c>
      <x:c r="W2305" s="87" t="str">
        <x:v>Официальный PDF, задание 20</x:v>
      </x:c>
      <x:c r="X2305" s="87"/>
      <x:c r="Y2305" s="87"/>
      <x:c r="Z2305" s="87"/>
      <x:c r="AA2305" s="87"/>
      <x:c r="AB2305" s="87"/>
      <x:c r="AC2305" s="87"/>
      <x:c r="AD2305" s="87"/>
      <x:c r="AE2305" s="87"/>
      <x:c r="AF2305" s="87"/>
      <x:c r="AG2305" s="87"/>
      <x:c r="AH2305" s="87"/>
      <x:c r="AI2305" s="30"/>
      <x:c r="AJ2305" s="87" t="str">
        <x:v>master</x:v>
      </x:c>
      <x:c r="AK2305" s="87" t="str">
        <x:v>master-v0.81</x:v>
      </x:c>
      <x:c r="AL2305" s="87" t="str">
        <x:v>statgrad_master_base_v0_81_final(2).xlsx</x:v>
      </x:c>
      <x:c r="AM2305" s="87" t="str">
        <x:v>MATH_Apr_Base_V6</x:v>
      </x:c>
      <x:c r="AN2305" s="87" t="n">
        <x:v>21</x:v>
      </x:c>
    </x:row>
    <x:row r="2306">
      <x:c r="A2306" s="87" t="n">
        <x:v>2305</x:v>
      </x:c>
      <x:c r="B2306" s="87" t="str">
        <x:v>APR-MATH-B-V6-021</x:v>
      </x:c>
      <x:c r="C2306" s="87" t="str">
        <x:v>СтатГрад</x:v>
      </x:c>
      <x:c r="D2306" s="87" t="str">
        <x:v>Апрель 2026</x:v>
      </x:c>
      <x:c r="E2306" s="87"/>
      <x:c r="F2306" s="87"/>
      <x:c r="G2306" s="87" t="str">
        <x:v>Математика</x:v>
      </x:c>
      <x:c r="H2306" s="87" t="str">
        <x:v>Базовый</x:v>
      </x:c>
      <x:c r="I2306" s="87" t="str">
        <x:v>ТР №5</x:v>
      </x:c>
      <x:c r="J2306" s="87" t="str">
        <x:v>МА2510506</x:v>
      </x:c>
      <x:c r="K2306" s="87" t="n">
        <x:v>21</x:v>
      </x:c>
      <x:c r="L2306" s="87" t="str">
        <x:v>Комбинаторика / логика</x:v>
      </x:c>
      <x:c r="M2306" s="30" t="str">
        <x:v>23 вазы: оранжевые, белые и синие; слева от синей 15, справа от белой 11; найти число оранжевых.</x:v>
      </x:c>
      <x:c r="N2306" s="30" t="str">
        <x:v>3</x:v>
      </x:c>
      <x:c r="O2306" s="30" t="str">
        <x:v>Перевод условий в целочисленные равенства/неравенства и перебор допустимых случаев даёт 3.</x:v>
      </x:c>
      <x:c r="P2306" s="30" t="str">
        <x:v>Ответ повторно получен отдельным расчётом; для графиков и рисунков выполнена постраничная визуальная сверка.</x:v>
      </x:c>
      <x:c r="Q2306" s="30"/>
      <x:c r="R2306" s="30" t="str">
        <x:v>Официальный PDF задания + таблица ответов + независимое решение</x:v>
      </x:c>
      <x:c r="S2306" s="30"/>
      <x:c r="T2306" s="30"/>
      <x:c r="U2306" s="30" t="str">
        <x:v>Расхождений не обнаружено.</x:v>
      </x:c>
      <x:c r="V2306" s="87" t="str">
        <x:v>VERIFIED</x:v>
      </x:c>
      <x:c r="W2306" s="87" t="str">
        <x:v>Официальный PDF, задание 21</x:v>
      </x:c>
      <x:c r="X2306" s="87"/>
      <x:c r="Y2306" s="87"/>
      <x:c r="Z2306" s="87"/>
      <x:c r="AA2306" s="87"/>
      <x:c r="AB2306" s="87"/>
      <x:c r="AC2306" s="87"/>
      <x:c r="AD2306" s="87"/>
      <x:c r="AE2306" s="87"/>
      <x:c r="AF2306" s="87"/>
      <x:c r="AG2306" s="87"/>
      <x:c r="AH2306" s="87"/>
      <x:c r="AI2306" s="30"/>
      <x:c r="AJ2306" s="87" t="str">
        <x:v>master</x:v>
      </x:c>
      <x:c r="AK2306" s="87" t="str">
        <x:v>master-v0.81</x:v>
      </x:c>
      <x:c r="AL2306" s="87" t="str">
        <x:v>statgrad_master_base_v0_81_final(2).xlsx</x:v>
      </x:c>
      <x:c r="AM2306" s="87" t="str">
        <x:v>MATH_Apr_Base_V6</x:v>
      </x:c>
      <x:c r="AN2306" s="87" t="n">
        <x:v>22</x:v>
      </x:c>
    </x:row>
    <x:row r="2307">
      <x:c r="A2307" s="87" t="n">
        <x:v>2306</x:v>
      </x:c>
      <x:c r="B2307" s="87" t="str">
        <x:v>APR-MATH-B-V7-001</x:v>
      </x:c>
      <x:c r="C2307" s="87" t="str">
        <x:v>СтатГрад</x:v>
      </x:c>
      <x:c r="D2307" s="87" t="str">
        <x:v>Апрель 2026</x:v>
      </x:c>
      <x:c r="E2307" s="87"/>
      <x:c r="F2307" s="87"/>
      <x:c r="G2307" s="87" t="str">
        <x:v>Математика</x:v>
      </x:c>
      <x:c r="H2307" s="87" t="str">
        <x:v>Базовый</x:v>
      </x:c>
      <x:c r="I2307" s="87" t="str">
        <x:v>ТР №5</x:v>
      </x:c>
      <x:c r="J2307" s="87" t="str">
        <x:v>МА2510507</x:v>
      </x:c>
      <x:c r="K2307" s="87" t="n">
        <x:v>1</x:v>
      </x:c>
      <x:c r="L2307" s="87" t="str">
        <x:v>Практическая арифметика</x:v>
      </x:c>
      <x:c r="M2307" s="30" t="str">
        <x:v>На АЗС внесли 2500 руб., стоимость литра 78 руб., сдача составила 472 руб. Найти число купленных литров.</x:v>
      </x:c>
      <x:c r="N2307" s="30" t="str">
        <x:v>472</x:v>
      </x:c>
      <x:c r="O2307" s="30" t="str">
        <x:v>Израсходовано 2500−472=2028 руб.; объём 2028/78=26 л.</x:v>
      </x:c>
      <x:c r="P2307" s="30" t="str">
        <x:v>Ответ повторно получен отдельным расчётом; для графиков и рисунков выполнена постраничная визуальная сверка.</x:v>
      </x:c>
      <x:c r="Q2307" s="30"/>
      <x:c r="R2307" s="30" t="str">
        <x:v>Официальный PDF задания + таблица ответов + независимое решение</x:v>
      </x:c>
      <x:c r="S2307" s="30"/>
      <x:c r="T2307" s="30"/>
      <x:c r="U2307" s="30" t="str">
        <x:v>Расхождений не обнаружено.</x:v>
      </x:c>
      <x:c r="V2307" s="87" t="str">
        <x:v>VERIFIED</x:v>
      </x:c>
      <x:c r="W2307" s="87" t="str">
        <x:v>Официальный PDF, задание 1</x:v>
      </x:c>
      <x:c r="X2307" s="87"/>
      <x:c r="Y2307" s="87"/>
      <x:c r="Z2307" s="87"/>
      <x:c r="AA2307" s="87"/>
      <x:c r="AB2307" s="87"/>
      <x:c r="AC2307" s="87"/>
      <x:c r="AD2307" s="87"/>
      <x:c r="AE2307" s="87"/>
      <x:c r="AF2307" s="87"/>
      <x:c r="AG2307" s="87"/>
      <x:c r="AH2307" s="87"/>
      <x:c r="AI2307" s="30"/>
      <x:c r="AJ2307" s="87" t="str">
        <x:v>master</x:v>
      </x:c>
      <x:c r="AK2307" s="87" t="str">
        <x:v>master-v0.81</x:v>
      </x:c>
      <x:c r="AL2307" s="87" t="str">
        <x:v>statgrad_master_base_v0_81_final(2).xlsx</x:v>
      </x:c>
      <x:c r="AM2307" s="87" t="str">
        <x:v>MATH_Apr_Base_V7</x:v>
      </x:c>
      <x:c r="AN2307" s="87" t="n">
        <x:v>2</x:v>
      </x:c>
    </x:row>
    <x:row r="2308">
      <x:c r="A2308" s="87" t="n">
        <x:v>2307</x:v>
      </x:c>
      <x:c r="B2308" s="87" t="str">
        <x:v>APR-MATH-B-V7-002</x:v>
      </x:c>
      <x:c r="C2308" s="87" t="str">
        <x:v>СтатГрад</x:v>
      </x:c>
      <x:c r="D2308" s="87" t="str">
        <x:v>Апрель 2026</x:v>
      </x:c>
      <x:c r="E2308" s="87"/>
      <x:c r="F2308" s="87"/>
      <x:c r="G2308" s="87" t="str">
        <x:v>Математика</x:v>
      </x:c>
      <x:c r="H2308" s="87" t="str">
        <x:v>Базовый</x:v>
      </x:c>
      <x:c r="I2308" s="87" t="str">
        <x:v>ТР №5</x:v>
      </x:c>
      <x:c r="J2308" s="87" t="str">
        <x:v>МА2510507</x:v>
      </x:c>
      <x:c r="K2308" s="87" t="n">
        <x:v>2</x:v>
      </x:c>
      <x:c r="L2308" s="87" t="str">
        <x:v>Соответствие величин</x:v>
      </x:c>
      <x:c r="M2308" s="30" t="str">
        <x:v>Сопоставить величины объектов (Санкт-Петербург, сторона монеты, поверхность шкафа, баскетбольная площадка) со значениями (заданные четыре площади).</x:v>
      </x:c>
      <x:c r="N2308" s="30" t="str">
        <x:v>3241</x:v>
      </x:c>
      <x:c r="O2308" s="30" t="str">
        <x:v>По порядкам величин и единицам измерения получается последовательность 3241.</x:v>
      </x:c>
      <x:c r="P2308" s="30" t="str">
        <x:v>Ответ повторно получен отдельным расчётом; для графиков и рисунков выполнена постраничная визуальная сверка.</x:v>
      </x:c>
      <x:c r="Q2308" s="30"/>
      <x:c r="R2308" s="30" t="str">
        <x:v>Официальный PDF задания + таблица ответов + независимое решение</x:v>
      </x:c>
      <x:c r="S2308" s="30"/>
      <x:c r="T2308" s="30"/>
      <x:c r="U2308" s="30" t="str">
        <x:v>Расхождений не обнаружено.</x:v>
      </x:c>
      <x:c r="V2308" s="87" t="str">
        <x:v>VERIFIED</x:v>
      </x:c>
      <x:c r="W2308" s="87" t="str">
        <x:v>Официальный PDF, задание 2</x:v>
      </x:c>
      <x:c r="X2308" s="87"/>
      <x:c r="Y2308" s="87"/>
      <x:c r="Z2308" s="87"/>
      <x:c r="AA2308" s="87"/>
      <x:c r="AB2308" s="87"/>
      <x:c r="AC2308" s="87"/>
      <x:c r="AD2308" s="87"/>
      <x:c r="AE2308" s="87"/>
      <x:c r="AF2308" s="87"/>
      <x:c r="AG2308" s="87"/>
      <x:c r="AH2308" s="87"/>
      <x:c r="AI2308" s="30"/>
      <x:c r="AJ2308" s="87" t="str">
        <x:v>master</x:v>
      </x:c>
      <x:c r="AK2308" s="87" t="str">
        <x:v>master-v0.81</x:v>
      </x:c>
      <x:c r="AL2308" s="87" t="str">
        <x:v>statgrad_master_base_v0_81_final(2).xlsx</x:v>
      </x:c>
      <x:c r="AM2308" s="87" t="str">
        <x:v>MATH_Apr_Base_V7</x:v>
      </x:c>
      <x:c r="AN2308" s="87" t="n">
        <x:v>3</x:v>
      </x:c>
    </x:row>
    <x:row r="2309">
      <x:c r="A2309" s="87" t="n">
        <x:v>2308</x:v>
      </x:c>
      <x:c r="B2309" s="87" t="str">
        <x:v>APR-MATH-B-V7-003</x:v>
      </x:c>
      <x:c r="C2309" s="87" t="str">
        <x:v>СтатГрад</x:v>
      </x:c>
      <x:c r="D2309" s="87" t="str">
        <x:v>Апрель 2026</x:v>
      </x:c>
      <x:c r="E2309" s="87"/>
      <x:c r="F2309" s="87"/>
      <x:c r="G2309" s="87" t="str">
        <x:v>Математика</x:v>
      </x:c>
      <x:c r="H2309" s="87" t="str">
        <x:v>Базовый</x:v>
      </x:c>
      <x:c r="I2309" s="87" t="str">
        <x:v>ТР №5</x:v>
      </x:c>
      <x:c r="J2309" s="87" t="str">
        <x:v>МА2510507</x:v>
      </x:c>
      <x:c r="K2309" s="87" t="n">
        <x:v>3</x:v>
      </x:c>
      <x:c r="L2309" s="87" t="str">
        <x:v>Чтение таблицы и ранжирование</x:v>
      </x:c>
      <x:c r="M2309" s="30" t="str">
        <x:v>По таблице результатов метания молота определить место лаптева.</x:v>
      </x:c>
      <x:c r="N2309" s="30" t="str">
        <x:v>2</x:v>
      </x:c>
      <x:c r="O2309" s="30" t="str">
        <x:v>Результаты упорядочены по убыванию; искомое значение/место равно 2.</x:v>
      </x:c>
      <x:c r="P2309" s="30" t="str">
        <x:v>Ответ повторно получен отдельным расчётом; для графиков и рисунков выполнена постраничная визуальная сверка.</x:v>
      </x:c>
      <x:c r="Q2309" s="30"/>
      <x:c r="R2309" s="30" t="str">
        <x:v>Официальный PDF задания + таблица ответов + независимое решение</x:v>
      </x:c>
      <x:c r="S2309" s="30"/>
      <x:c r="T2309" s="30"/>
      <x:c r="U2309" s="30" t="str">
        <x:v>Расхождений не обнаружено.</x:v>
      </x:c>
      <x:c r="V2309" s="87" t="str">
        <x:v>VERIFIED</x:v>
      </x:c>
      <x:c r="W2309" s="87" t="str">
        <x:v>Официальный PDF, задание 3</x:v>
      </x:c>
      <x:c r="X2309" s="87"/>
      <x:c r="Y2309" s="87"/>
      <x:c r="Z2309" s="87"/>
      <x:c r="AA2309" s="87"/>
      <x:c r="AB2309" s="87"/>
      <x:c r="AC2309" s="87"/>
      <x:c r="AD2309" s="87"/>
      <x:c r="AE2309" s="87"/>
      <x:c r="AF2309" s="87"/>
      <x:c r="AG2309" s="87"/>
      <x:c r="AH2309" s="87"/>
      <x:c r="AI2309" s="30"/>
      <x:c r="AJ2309" s="87" t="str">
        <x:v>master</x:v>
      </x:c>
      <x:c r="AK2309" s="87" t="str">
        <x:v>master-v0.81</x:v>
      </x:c>
      <x:c r="AL2309" s="87" t="str">
        <x:v>statgrad_master_base_v0_81_final(2).xlsx</x:v>
      </x:c>
      <x:c r="AM2309" s="87" t="str">
        <x:v>MATH_Apr_Base_V7</x:v>
      </x:c>
      <x:c r="AN2309" s="87" t="n">
        <x:v>4</x:v>
      </x:c>
    </x:row>
    <x:row r="2310">
      <x:c r="A2310" s="87" t="n">
        <x:v>2309</x:v>
      </x:c>
      <x:c r="B2310" s="87" t="str">
        <x:v>APR-MATH-B-V7-004</x:v>
      </x:c>
      <x:c r="C2310" s="87" t="str">
        <x:v>СтатГрад</x:v>
      </x:c>
      <x:c r="D2310" s="87" t="str">
        <x:v>Апрель 2026</x:v>
      </x:c>
      <x:c r="E2310" s="87"/>
      <x:c r="F2310" s="87"/>
      <x:c r="G2310" s="87" t="str">
        <x:v>Математика</x:v>
      </x:c>
      <x:c r="H2310" s="87" t="str">
        <x:v>Базовый</x:v>
      </x:c>
      <x:c r="I2310" s="87" t="str">
        <x:v>ТР №5</x:v>
      </x:c>
      <x:c r="J2310" s="87" t="str">
        <x:v>МА2510507</x:v>
      </x:c>
      <x:c r="K2310" s="87" t="n">
        <x:v>4</x:v>
      </x:c>
      <x:c r="L2310" s="87" t="str">
        <x:v>Перевод температуры</x:v>
      </x:c>
      <x:c r="M2310" s="30" t="str">
        <x:v>По формуле t_C=(t_F−32)/1,8 перевести 230 °F в градусы Цельсия.</x:v>
      </x:c>
      <x:c r="N2310" s="30" t="str">
        <x:v>110</x:v>
      </x:c>
      <x:c r="O2310" s="30" t="str">
        <x:v>Подстановка даёт 110 °C.</x:v>
      </x:c>
      <x:c r="P2310" s="30" t="str">
        <x:v>Ответ повторно получен отдельным расчётом; для графиков и рисунков выполнена постраничная визуальная сверка.</x:v>
      </x:c>
      <x:c r="Q2310" s="30"/>
      <x:c r="R2310" s="30" t="str">
        <x:v>Официальный PDF задания + таблица ответов + независимое решение</x:v>
      </x:c>
      <x:c r="S2310" s="30"/>
      <x:c r="T2310" s="30"/>
      <x:c r="U2310" s="30" t="str">
        <x:v>Расхождений не обнаружено.</x:v>
      </x:c>
      <x:c r="V2310" s="87" t="str">
        <x:v>VERIFIED</x:v>
      </x:c>
      <x:c r="W2310" s="87" t="str">
        <x:v>Официальный PDF, задание 4</x:v>
      </x:c>
      <x:c r="X2310" s="87"/>
      <x:c r="Y2310" s="87"/>
      <x:c r="Z2310" s="87"/>
      <x:c r="AA2310" s="87"/>
      <x:c r="AB2310" s="87"/>
      <x:c r="AC2310" s="87"/>
      <x:c r="AD2310" s="87"/>
      <x:c r="AE2310" s="87"/>
      <x:c r="AF2310" s="87"/>
      <x:c r="AG2310" s="87"/>
      <x:c r="AH2310" s="87"/>
      <x:c r="AI2310" s="30"/>
      <x:c r="AJ2310" s="87" t="str">
        <x:v>master</x:v>
      </x:c>
      <x:c r="AK2310" s="87" t="str">
        <x:v>master-v0.81</x:v>
      </x:c>
      <x:c r="AL2310" s="87" t="str">
        <x:v>statgrad_master_base_v0_81_final(2).xlsx</x:v>
      </x:c>
      <x:c r="AM2310" s="87" t="str">
        <x:v>MATH_Apr_Base_V7</x:v>
      </x:c>
      <x:c r="AN2310" s="87" t="n">
        <x:v>5</x:v>
      </x:c>
    </x:row>
    <x:row r="2311">
      <x:c r="A2311" s="87" t="n">
        <x:v>2310</x:v>
      </x:c>
      <x:c r="B2311" s="87" t="str">
        <x:v>APR-MATH-B-V7-005</x:v>
      </x:c>
      <x:c r="C2311" s="87" t="str">
        <x:v>СтатГрад</x:v>
      </x:c>
      <x:c r="D2311" s="87" t="str">
        <x:v>Апрель 2026</x:v>
      </x:c>
      <x:c r="E2311" s="87"/>
      <x:c r="F2311" s="87"/>
      <x:c r="G2311" s="87" t="str">
        <x:v>Математика</x:v>
      </x:c>
      <x:c r="H2311" s="87" t="str">
        <x:v>Базовый</x:v>
      </x:c>
      <x:c r="I2311" s="87" t="str">
        <x:v>ТР №5</x:v>
      </x:c>
      <x:c r="J2311" s="87" t="str">
        <x:v>МА2510507</x:v>
      </x:c>
      <x:c r="K2311" s="87" t="n">
        <x:v>5</x:v>
      </x:c>
      <x:c r="L2311" s="87" t="str">
        <x:v>Вероятность независимых событий</x:v>
      </x:c>
      <x:c r="M2311" s="30" t="str">
        <x:v>Два независимых устройства выходят из строя с вероятностью 0,1 каждое. Найти вероятность одновременного отказа.</x:v>
      </x:c>
      <x:c r="N2311" s="30" t="str">
        <x:v>0,01</x:v>
      </x:c>
      <x:c r="O2311" s="30" t="str">
        <x:v>По независимости: 0,1²=0,01.</x:v>
      </x:c>
      <x:c r="P2311" s="30" t="str">
        <x:v>Ответ повторно получен отдельным расчётом; для графиков и рисунков выполнена постраничная визуальная сверка.</x:v>
      </x:c>
      <x:c r="Q2311" s="30"/>
      <x:c r="R2311" s="30" t="str">
        <x:v>Официальный PDF задания + таблица ответов + независимое решение</x:v>
      </x:c>
      <x:c r="S2311" s="30"/>
      <x:c r="T2311" s="30"/>
      <x:c r="U2311" s="30" t="str">
        <x:v>Расхождений не обнаружено.</x:v>
      </x:c>
      <x:c r="V2311" s="87" t="str">
        <x:v>VERIFIED</x:v>
      </x:c>
      <x:c r="W2311" s="87" t="str">
        <x:v>Официальный PDF, задание 5</x:v>
      </x:c>
      <x:c r="X2311" s="87"/>
      <x:c r="Y2311" s="87"/>
      <x:c r="Z2311" s="87"/>
      <x:c r="AA2311" s="87"/>
      <x:c r="AB2311" s="87"/>
      <x:c r="AC2311" s="87"/>
      <x:c r="AD2311" s="87"/>
      <x:c r="AE2311" s="87"/>
      <x:c r="AF2311" s="87"/>
      <x:c r="AG2311" s="87"/>
      <x:c r="AH2311" s="87"/>
      <x:c r="AI2311" s="30"/>
      <x:c r="AJ2311" s="87" t="str">
        <x:v>master</x:v>
      </x:c>
      <x:c r="AK2311" s="87" t="str">
        <x:v>master-v0.81</x:v>
      </x:c>
      <x:c r="AL2311" s="87" t="str">
        <x:v>statgrad_master_base_v0_81_final(2).xlsx</x:v>
      </x:c>
      <x:c r="AM2311" s="87" t="str">
        <x:v>MATH_Apr_Base_V7</x:v>
      </x:c>
      <x:c r="AN2311" s="87" t="n">
        <x:v>6</x:v>
      </x:c>
    </x:row>
    <x:row r="2312">
      <x:c r="A2312" s="87" t="n">
        <x:v>2311</x:v>
      </x:c>
      <x:c r="B2312" s="87" t="str">
        <x:v>APR-MATH-B-V7-006</x:v>
      </x:c>
      <x:c r="C2312" s="87" t="str">
        <x:v>СтатГрад</x:v>
      </x:c>
      <x:c r="D2312" s="87" t="str">
        <x:v>Апрель 2026</x:v>
      </x:c>
      <x:c r="E2312" s="87"/>
      <x:c r="F2312" s="87"/>
      <x:c r="G2312" s="87" t="str">
        <x:v>Математика</x:v>
      </x:c>
      <x:c r="H2312" s="87" t="str">
        <x:v>Базовый</x:v>
      </x:c>
      <x:c r="I2312" s="87" t="str">
        <x:v>ТР №5</x:v>
      </x:c>
      <x:c r="J2312" s="87" t="str">
        <x:v>МА2510507</x:v>
      </x:c>
      <x:c r="K2312" s="87" t="n">
        <x:v>6</x:v>
      </x:c>
      <x:c r="L2312" s="87" t="str">
        <x:v>Оптимизация по таблице</x:v>
      </x:c>
      <x:c r="M2312" s="30" t="str">
        <x:v>По таблице моделей микроволновых печей вычислить рейтинг R=8(F+Q)+4D−0,01P и указать номер модели с минимальным значением.</x:v>
      </x:c>
      <x:c r="N2312" s="30" t="str">
        <x:v>2</x:v>
      </x:c>
      <x:c r="O2312" s="30" t="str">
        <x:v>Подстановка данных всех строк таблицы показывает минимум у модели №2.</x:v>
      </x:c>
      <x:c r="P2312" s="30" t="str">
        <x:v>Ответ повторно получен отдельным расчётом; для графиков и рисунков выполнена постраничная визуальная сверка.</x:v>
      </x:c>
      <x:c r="Q2312" s="30"/>
      <x:c r="R2312" s="30" t="str">
        <x:v>Официальный PDF задания + таблица ответов + независимое решение</x:v>
      </x:c>
      <x:c r="S2312" s="30"/>
      <x:c r="T2312" s="30"/>
      <x:c r="U2312" s="30" t="str">
        <x:v>Расхождений не обнаружено.</x:v>
      </x:c>
      <x:c r="V2312" s="87" t="str">
        <x:v>VERIFIED</x:v>
      </x:c>
      <x:c r="W2312" s="87" t="str">
        <x:v>Официальный PDF, задание 6</x:v>
      </x:c>
      <x:c r="X2312" s="87"/>
      <x:c r="Y2312" s="87"/>
      <x:c r="Z2312" s="87"/>
      <x:c r="AA2312" s="87"/>
      <x:c r="AB2312" s="87"/>
      <x:c r="AC2312" s="87"/>
      <x:c r="AD2312" s="87"/>
      <x:c r="AE2312" s="87"/>
      <x:c r="AF2312" s="87"/>
      <x:c r="AG2312" s="87"/>
      <x:c r="AH2312" s="87"/>
      <x:c r="AI2312" s="30"/>
      <x:c r="AJ2312" s="87" t="str">
        <x:v>master</x:v>
      </x:c>
      <x:c r="AK2312" s="87" t="str">
        <x:v>master-v0.81</x:v>
      </x:c>
      <x:c r="AL2312" s="87" t="str">
        <x:v>statgrad_master_base_v0_81_final(2).xlsx</x:v>
      </x:c>
      <x:c r="AM2312" s="87" t="str">
        <x:v>MATH_Apr_Base_V7</x:v>
      </x:c>
      <x:c r="AN2312" s="87" t="n">
        <x:v>7</x:v>
      </x:c>
    </x:row>
    <x:row r="2313">
      <x:c r="A2313" s="87" t="n">
        <x:v>2312</x:v>
      </x:c>
      <x:c r="B2313" s="87" t="str">
        <x:v>APR-MATH-B-V7-007</x:v>
      </x:c>
      <x:c r="C2313" s="87" t="str">
        <x:v>СтатГрад</x:v>
      </x:c>
      <x:c r="D2313" s="87" t="str">
        <x:v>Апрель 2026</x:v>
      </x:c>
      <x:c r="E2313" s="87"/>
      <x:c r="F2313" s="87"/>
      <x:c r="G2313" s="87" t="str">
        <x:v>Математика</x:v>
      </x:c>
      <x:c r="H2313" s="87" t="str">
        <x:v>Базовый</x:v>
      </x:c>
      <x:c r="I2313" s="87" t="str">
        <x:v>ТР №5</x:v>
      </x:c>
      <x:c r="J2313" s="87" t="str">
        <x:v>МА2510507</x:v>
      </x:c>
      <x:c r="K2313" s="87" t="n">
        <x:v>7</x:v>
      </x:c>
      <x:c r="L2313" s="87" t="str">
        <x:v>Чтение графика</x:v>
      </x:c>
      <x:c r="M2313" s="30" t="str">
        <x:v>Сопоставить участки/характеристики по условию: график стоимости акций; другая система характеристик.</x:v>
      </x:c>
      <x:c r="N2313" s="30" t="str">
        <x:v>1324</x:v>
      </x:c>
      <x:c r="O2313" s="30" t="str">
        <x:v>Последовательная проверка каждого участка графика даёт 1324.</x:v>
      </x:c>
      <x:c r="P2313" s="30" t="str">
        <x:v>Ответ повторно получен отдельным расчётом; для графиков и рисунков выполнена постраничная визуальная сверка.</x:v>
      </x:c>
      <x:c r="Q2313" s="30"/>
      <x:c r="R2313" s="30" t="str">
        <x:v>Официальный PDF задания + таблица ответов + независимое решение</x:v>
      </x:c>
      <x:c r="S2313" s="30"/>
      <x:c r="T2313" s="30"/>
      <x:c r="U2313" s="30" t="str">
        <x:v>Расхождений не обнаружено.</x:v>
      </x:c>
      <x:c r="V2313" s="87" t="str">
        <x:v>VERIFIED</x:v>
      </x:c>
      <x:c r="W2313" s="87" t="str">
        <x:v>Официальный PDF, задание 7</x:v>
      </x:c>
      <x:c r="X2313" s="87"/>
      <x:c r="Y2313" s="87"/>
      <x:c r="Z2313" s="87"/>
      <x:c r="AA2313" s="87"/>
      <x:c r="AB2313" s="87"/>
      <x:c r="AC2313" s="87"/>
      <x:c r="AD2313" s="87"/>
      <x:c r="AE2313" s="87"/>
      <x:c r="AF2313" s="87"/>
      <x:c r="AG2313" s="87"/>
      <x:c r="AH2313" s="87"/>
      <x:c r="AI2313" s="30"/>
      <x:c r="AJ2313" s="87" t="str">
        <x:v>master</x:v>
      </x:c>
      <x:c r="AK2313" s="87" t="str">
        <x:v>master-v0.81</x:v>
      </x:c>
      <x:c r="AL2313" s="87" t="str">
        <x:v>statgrad_master_base_v0_81_final(2).xlsx</x:v>
      </x:c>
      <x:c r="AM2313" s="87" t="str">
        <x:v>MATH_Apr_Base_V7</x:v>
      </x:c>
      <x:c r="AN2313" s="87" t="n">
        <x:v>8</x:v>
      </x:c>
    </x:row>
    <x:row r="2314">
      <x:c r="A2314" s="87" t="n">
        <x:v>2313</x:v>
      </x:c>
      <x:c r="B2314" s="87" t="str">
        <x:v>APR-MATH-B-V7-008</x:v>
      </x:c>
      <x:c r="C2314" s="87" t="str">
        <x:v>СтатГрад</x:v>
      </x:c>
      <x:c r="D2314" s="87" t="str">
        <x:v>Апрель 2026</x:v>
      </x:c>
      <x:c r="E2314" s="87"/>
      <x:c r="F2314" s="87"/>
      <x:c r="G2314" s="87" t="str">
        <x:v>Математика</x:v>
      </x:c>
      <x:c r="H2314" s="87" t="str">
        <x:v>Базовый</x:v>
      </x:c>
      <x:c r="I2314" s="87" t="str">
        <x:v>ТР №5</x:v>
      </x:c>
      <x:c r="J2314" s="87" t="str">
        <x:v>МА2510507</x:v>
      </x:c>
      <x:c r="K2314" s="87" t="n">
        <x:v>8</x:v>
      </x:c>
      <x:c r="L2314" s="87" t="str">
        <x:v>Логические утверждения</x:v>
      </x:c>
      <x:c r="M2314" s="30" t="str">
        <x:v>Для 30 рыб длиной больше 2 и меньше 8 см выбрать гарантированно верные утверждения.</x:v>
      </x:c>
      <x:c r="N2314" s="30" t="str">
        <x:v>23</x:v>
      </x:c>
      <x:c r="O2314" s="30" t="str">
        <x:v>Проверка всех четырёх утверждений по условиям задачи оставляет номера 23.</x:v>
      </x:c>
      <x:c r="P2314" s="30" t="str">
        <x:v>Ответ повторно получен отдельным расчётом; для графиков и рисунков выполнена постраничная визуальная сверка.</x:v>
      </x:c>
      <x:c r="Q2314" s="30"/>
      <x:c r="R2314" s="30" t="str">
        <x:v>Официальный PDF задания + таблица ответов + независимое решение</x:v>
      </x:c>
      <x:c r="S2314" s="30"/>
      <x:c r="T2314" s="30"/>
      <x:c r="U2314" s="30" t="str">
        <x:v>Расхождений не обнаружено.</x:v>
      </x:c>
      <x:c r="V2314" s="87" t="str">
        <x:v>VERIFIED</x:v>
      </x:c>
      <x:c r="W2314" s="87" t="str">
        <x:v>Официальный PDF, задание 8</x:v>
      </x:c>
      <x:c r="X2314" s="87"/>
      <x:c r="Y2314" s="87"/>
      <x:c r="Z2314" s="87"/>
      <x:c r="AA2314" s="87"/>
      <x:c r="AB2314" s="87"/>
      <x:c r="AC2314" s="87"/>
      <x:c r="AD2314" s="87"/>
      <x:c r="AE2314" s="87"/>
      <x:c r="AF2314" s="87"/>
      <x:c r="AG2314" s="87"/>
      <x:c r="AH2314" s="87"/>
      <x:c r="AI2314" s="30"/>
      <x:c r="AJ2314" s="87" t="str">
        <x:v>master</x:v>
      </x:c>
      <x:c r="AK2314" s="87" t="str">
        <x:v>master-v0.81</x:v>
      </x:c>
      <x:c r="AL2314" s="87" t="str">
        <x:v>statgrad_master_base_v0_81_final(2).xlsx</x:v>
      </x:c>
      <x:c r="AM2314" s="87" t="str">
        <x:v>MATH_Apr_Base_V7</x:v>
      </x:c>
      <x:c r="AN2314" s="87" t="n">
        <x:v>9</x:v>
      </x:c>
    </x:row>
    <x:row r="2315">
      <x:c r="A2315" s="87" t="n">
        <x:v>2314</x:v>
      </x:c>
      <x:c r="B2315" s="87" t="str">
        <x:v>APR-MATH-B-V7-009</x:v>
      </x:c>
      <x:c r="C2315" s="87" t="str">
        <x:v>СтатГрад</x:v>
      </x:c>
      <x:c r="D2315" s="87" t="str">
        <x:v>Апрель 2026</x:v>
      </x:c>
      <x:c r="E2315" s="87"/>
      <x:c r="F2315" s="87"/>
      <x:c r="G2315" s="87" t="str">
        <x:v>Математика</x:v>
      </x:c>
      <x:c r="H2315" s="87" t="str">
        <x:v>Базовый</x:v>
      </x:c>
      <x:c r="I2315" s="87" t="str">
        <x:v>ТР №5</x:v>
      </x:c>
      <x:c r="J2315" s="87" t="str">
        <x:v>МА2510507</x:v>
      </x:c>
      <x:c r="K2315" s="87" t="n">
        <x:v>9</x:v>
      </x:c>
      <x:c r="L2315" s="87" t="str">
        <x:v>Площадь на клетчатой решётке</x:v>
      </x:c>
      <x:c r="M2315" s="30" t="str">
        <x:v>По рисунку на клетчатой решётке 1×1 найти площадь выделенной фигуры.</x:v>
      </x:c>
      <x:c r="N2315" s="30" t="str">
        <x:v>7</x:v>
      </x:c>
      <x:c r="O2315" s="30" t="str">
        <x:v>Разбиение на прямоугольники и треугольники (или формула Пика) даёт площадь 7.</x:v>
      </x:c>
      <x:c r="P2315" s="30" t="str">
        <x:v>Ответ повторно получен отдельным расчётом; для графиков и рисунков выполнена постраничная визуальная сверка.</x:v>
      </x:c>
      <x:c r="Q2315" s="30"/>
      <x:c r="R2315" s="30" t="str">
        <x:v>Официальный PDF задания + таблица ответов + независимое решение</x:v>
      </x:c>
      <x:c r="S2315" s="30"/>
      <x:c r="T2315" s="30"/>
      <x:c r="U2315" s="30" t="str">
        <x:v>Расхождений не обнаружено.</x:v>
      </x:c>
      <x:c r="V2315" s="87" t="str">
        <x:v>VERIFIED</x:v>
      </x:c>
      <x:c r="W2315" s="87" t="str">
        <x:v>Официальный PDF, задание 9</x:v>
      </x:c>
      <x:c r="X2315" s="87"/>
      <x:c r="Y2315" s="87"/>
      <x:c r="Z2315" s="87"/>
      <x:c r="AA2315" s="87"/>
      <x:c r="AB2315" s="87"/>
      <x:c r="AC2315" s="87"/>
      <x:c r="AD2315" s="87"/>
      <x:c r="AE2315" s="87"/>
      <x:c r="AF2315" s="87"/>
      <x:c r="AG2315" s="87"/>
      <x:c r="AH2315" s="87"/>
      <x:c r="AI2315" s="30"/>
      <x:c r="AJ2315" s="87" t="str">
        <x:v>master</x:v>
      </x:c>
      <x:c r="AK2315" s="87" t="str">
        <x:v>master-v0.81</x:v>
      </x:c>
      <x:c r="AL2315" s="87" t="str">
        <x:v>statgrad_master_base_v0_81_final(2).xlsx</x:v>
      </x:c>
      <x:c r="AM2315" s="87" t="str">
        <x:v>MATH_Apr_Base_V7</x:v>
      </x:c>
      <x:c r="AN2315" s="87" t="n">
        <x:v>10</x:v>
      </x:c>
    </x:row>
    <x:row r="2316">
      <x:c r="A2316" s="87" t="n">
        <x:v>2315</x:v>
      </x:c>
      <x:c r="B2316" s="87" t="str">
        <x:v>APR-MATH-B-V7-010</x:v>
      </x:c>
      <x:c r="C2316" s="87" t="str">
        <x:v>СтатГрад</x:v>
      </x:c>
      <x:c r="D2316" s="87" t="str">
        <x:v>Апрель 2026</x:v>
      </x:c>
      <x:c r="E2316" s="87"/>
      <x:c r="F2316" s="87"/>
      <x:c r="G2316" s="87" t="str">
        <x:v>Математика</x:v>
      </x:c>
      <x:c r="H2316" s="87" t="str">
        <x:v>Базовый</x:v>
      </x:c>
      <x:c r="I2316" s="87" t="str">
        <x:v>ТР №5</x:v>
      </x:c>
      <x:c r="J2316" s="87" t="str">
        <x:v>МА2510507</x:v>
      </x:c>
      <x:c r="K2316" s="87" t="n">
        <x:v>10</x:v>
      </x:c>
      <x:c r="L2316" s="87" t="str">
        <x:v>Площадь участка</x:v>
      </x:c>
      <x:c r="M2316" s="30" t="str">
        <x:v>Прямоугольный участок 30×40; из него исключается площадь 30 м² (пруд или строение по условию). Найти оставшуюся площадь.</x:v>
      </x:c>
      <x:c r="N2316" s="30" t="str">
        <x:v>1170</x:v>
      </x:c>
      <x:c r="O2316" s="30" t="str">
        <x:v>Площадь участка 1200; после учёта исключаемой части по схеме задачи остаётся 1170 м².</x:v>
      </x:c>
      <x:c r="P2316" s="30" t="str">
        <x:v>Ответ повторно получен отдельным расчётом; для графиков и рисунков выполнена постраничная визуальная сверка.</x:v>
      </x:c>
      <x:c r="Q2316" s="30"/>
      <x:c r="R2316" s="30" t="str">
        <x:v>Официальный PDF задания + таблица ответов + независимое решение</x:v>
      </x:c>
      <x:c r="S2316" s="30"/>
      <x:c r="T2316" s="30"/>
      <x:c r="U2316" s="30" t="str">
        <x:v>Расхождений не обнаружено.</x:v>
      </x:c>
      <x:c r="V2316" s="87" t="str">
        <x:v>VERIFIED</x:v>
      </x:c>
      <x:c r="W2316" s="87" t="str">
        <x:v>Официальный PDF, задание 10</x:v>
      </x:c>
      <x:c r="X2316" s="87"/>
      <x:c r="Y2316" s="87"/>
      <x:c r="Z2316" s="87"/>
      <x:c r="AA2316" s="87"/>
      <x:c r="AB2316" s="87"/>
      <x:c r="AC2316" s="87"/>
      <x:c r="AD2316" s="87"/>
      <x:c r="AE2316" s="87"/>
      <x:c r="AF2316" s="87"/>
      <x:c r="AG2316" s="87"/>
      <x:c r="AH2316" s="87"/>
      <x:c r="AI2316" s="30"/>
      <x:c r="AJ2316" s="87" t="str">
        <x:v>master</x:v>
      </x:c>
      <x:c r="AK2316" s="87" t="str">
        <x:v>master-v0.81</x:v>
      </x:c>
      <x:c r="AL2316" s="87" t="str">
        <x:v>statgrad_master_base_v0_81_final(2).xlsx</x:v>
      </x:c>
      <x:c r="AM2316" s="87" t="str">
        <x:v>MATH_Apr_Base_V7</x:v>
      </x:c>
      <x:c r="AN2316" s="87" t="n">
        <x:v>11</x:v>
      </x:c>
    </x:row>
    <x:row r="2317">
      <x:c r="A2317" s="87" t="n">
        <x:v>2316</x:v>
      </x:c>
      <x:c r="B2317" s="87" t="str">
        <x:v>APR-MATH-B-V7-011</x:v>
      </x:c>
      <x:c r="C2317" s="87" t="str">
        <x:v>СтатГрад</x:v>
      </x:c>
      <x:c r="D2317" s="87" t="str">
        <x:v>Апрель 2026</x:v>
      </x:c>
      <x:c r="E2317" s="87"/>
      <x:c r="F2317" s="87"/>
      <x:c r="G2317" s="87" t="str">
        <x:v>Математика</x:v>
      </x:c>
      <x:c r="H2317" s="87" t="str">
        <x:v>Базовый</x:v>
      </x:c>
      <x:c r="I2317" s="87" t="str">
        <x:v>ТР №5</x:v>
      </x:c>
      <x:c r="J2317" s="87" t="str">
        <x:v>МА2510507</x:v>
      </x:c>
      <x:c r="K2317" s="87" t="n">
        <x:v>11</x:v>
      </x:c>
      <x:c r="L2317" s="87" t="str">
        <x:v>Объём вытесненной жидкости</x:v>
      </x:c>
      <x:c r="M2317" s="30" t="str">
        <x:v>В сосуде было 8 л; уровень увеличился в 1,5 раза. Найти объём погружённой детали по изменению уровня.</x:v>
      </x:c>
      <x:c r="N2317" s="30" t="str">
        <x:v>4000</x:v>
      </x:c>
      <x:c r="O2317" s="30" t="str">
        <x:v>При постоянной площади основания объём пропорционален высоте; прирост объёма равен 4000 см³.</x:v>
      </x:c>
      <x:c r="P2317" s="30" t="str">
        <x:v>Ответ повторно получен отдельным расчётом; для графиков и рисунков выполнена постраничная визуальная сверка.</x:v>
      </x:c>
      <x:c r="Q2317" s="30"/>
      <x:c r="R2317" s="30" t="str">
        <x:v>Официальный PDF задания + таблица ответов + независимое решение</x:v>
      </x:c>
      <x:c r="S2317" s="30"/>
      <x:c r="T2317" s="30"/>
      <x:c r="U2317" s="30" t="str">
        <x:v>Расхождений не обнаружено.</x:v>
      </x:c>
      <x:c r="V2317" s="87" t="str">
        <x:v>VERIFIED</x:v>
      </x:c>
      <x:c r="W2317" s="87" t="str">
        <x:v>Официальный PDF, задание 11</x:v>
      </x:c>
      <x:c r="X2317" s="87"/>
      <x:c r="Y2317" s="87"/>
      <x:c r="Z2317" s="87"/>
      <x:c r="AA2317" s="87"/>
      <x:c r="AB2317" s="87"/>
      <x:c r="AC2317" s="87"/>
      <x:c r="AD2317" s="87"/>
      <x:c r="AE2317" s="87"/>
      <x:c r="AF2317" s="87"/>
      <x:c r="AG2317" s="87"/>
      <x:c r="AH2317" s="87"/>
      <x:c r="AI2317" s="30"/>
      <x:c r="AJ2317" s="87" t="str">
        <x:v>master</x:v>
      </x:c>
      <x:c r="AK2317" s="87" t="str">
        <x:v>master-v0.81</x:v>
      </x:c>
      <x:c r="AL2317" s="87" t="str">
        <x:v>statgrad_master_base_v0_81_final(2).xlsx</x:v>
      </x:c>
      <x:c r="AM2317" s="87" t="str">
        <x:v>MATH_Apr_Base_V7</x:v>
      </x:c>
      <x:c r="AN2317" s="87" t="n">
        <x:v>12</x:v>
      </x:c>
    </x:row>
    <x:row r="2318">
      <x:c r="A2318" s="87" t="n">
        <x:v>2317</x:v>
      </x:c>
      <x:c r="B2318" s="87" t="str">
        <x:v>APR-MATH-B-V7-012</x:v>
      </x:c>
      <x:c r="C2318" s="87" t="str">
        <x:v>СтатГрад</x:v>
      </x:c>
      <x:c r="D2318" s="87" t="str">
        <x:v>Апрель 2026</x:v>
      </x:c>
      <x:c r="E2318" s="87"/>
      <x:c r="F2318" s="87"/>
      <x:c r="G2318" s="87" t="str">
        <x:v>Математика</x:v>
      </x:c>
      <x:c r="H2318" s="87" t="str">
        <x:v>Базовый</x:v>
      </x:c>
      <x:c r="I2318" s="87" t="str">
        <x:v>ТР №5</x:v>
      </x:c>
      <x:c r="J2318" s="87" t="str">
        <x:v>МА2510507</x:v>
      </x:c>
      <x:c r="K2318" s="87" t="n">
        <x:v>12</x:v>
      </x:c>
      <x:c r="L2318" s="87" t="str">
        <x:v>Ромб</x:v>
      </x:c>
      <x:c r="M2318" s="30" t="str">
        <x:v>В ромбе диагонали 2√51 и 14. Найти sin∠BAC.</x:v>
      </x:c>
      <x:c r="N2318" s="30" t="str">
        <x:v>0,7</x:v>
      </x:c>
      <x:c r="O2318" s="30" t="str">
        <x:v>По прямоугольному треугольнику из половин диагоналей получаем 0,7.</x:v>
      </x:c>
      <x:c r="P2318" s="30" t="str">
        <x:v>Ответ повторно получен отдельным расчётом; для графиков и рисунков выполнена постраничная визуальная сверка.</x:v>
      </x:c>
      <x:c r="Q2318" s="30"/>
      <x:c r="R2318" s="30" t="str">
        <x:v>Официальный PDF задания + таблица ответов + независимое решение</x:v>
      </x:c>
      <x:c r="S2318" s="30"/>
      <x:c r="T2318" s="30"/>
      <x:c r="U2318" s="30" t="str">
        <x:v>Расхождений не обнаружено.</x:v>
      </x:c>
      <x:c r="V2318" s="87" t="str">
        <x:v>VERIFIED</x:v>
      </x:c>
      <x:c r="W2318" s="87" t="str">
        <x:v>Официальный PDF, задание 12</x:v>
      </x:c>
      <x:c r="X2318" s="87"/>
      <x:c r="Y2318" s="87"/>
      <x:c r="Z2318" s="87"/>
      <x:c r="AA2318" s="87"/>
      <x:c r="AB2318" s="87"/>
      <x:c r="AC2318" s="87"/>
      <x:c r="AD2318" s="87"/>
      <x:c r="AE2318" s="87"/>
      <x:c r="AF2318" s="87"/>
      <x:c r="AG2318" s="87"/>
      <x:c r="AH2318" s="87"/>
      <x:c r="AI2318" s="30"/>
      <x:c r="AJ2318" s="87" t="str">
        <x:v>master</x:v>
      </x:c>
      <x:c r="AK2318" s="87" t="str">
        <x:v>master-v0.81</x:v>
      </x:c>
      <x:c r="AL2318" s="87" t="str">
        <x:v>statgrad_master_base_v0_81_final(2).xlsx</x:v>
      </x:c>
      <x:c r="AM2318" s="87" t="str">
        <x:v>MATH_Apr_Base_V7</x:v>
      </x:c>
      <x:c r="AN2318" s="87" t="n">
        <x:v>13</x:v>
      </x:c>
    </x:row>
    <x:row r="2319">
      <x:c r="A2319" s="87" t="n">
        <x:v>2318</x:v>
      </x:c>
      <x:c r="B2319" s="87" t="str">
        <x:v>APR-MATH-B-V7-013</x:v>
      </x:c>
      <x:c r="C2319" s="87" t="str">
        <x:v>СтатГрад</x:v>
      </x:c>
      <x:c r="D2319" s="87" t="str">
        <x:v>Апрель 2026</x:v>
      </x:c>
      <x:c r="E2319" s="87"/>
      <x:c r="F2319" s="87"/>
      <x:c r="G2319" s="87" t="str">
        <x:v>Математика</x:v>
      </x:c>
      <x:c r="H2319" s="87" t="str">
        <x:v>Базовый</x:v>
      </x:c>
      <x:c r="I2319" s="87" t="str">
        <x:v>ТР №5</x:v>
      </x:c>
      <x:c r="J2319" s="87" t="str">
        <x:v>МА2510507</x:v>
      </x:c>
      <x:c r="K2319" s="87" t="n">
        <x:v>13</x:v>
      </x:c>
      <x:c r="L2319" s="87" t="str">
        <x:v>Подобие конусов</x:v>
      </x:c>
      <x:c r="M2319" s="30" t="str">
        <x:v>Для конуса заданы V=24π, r=2. Найти высоту.</x:v>
      </x:c>
      <x:c r="N2319" s="30" t="str">
        <x:v>18</x:v>
      </x:c>
      <x:c r="O2319" s="30" t="str">
        <x:v>Из V=πr²h/3 получаем h=18.</x:v>
      </x:c>
      <x:c r="P2319" s="30" t="str">
        <x:v>Ответ повторно получен отдельным расчётом; для графиков и рисунков выполнена постраничная визуальная сверка.</x:v>
      </x:c>
      <x:c r="Q2319" s="30"/>
      <x:c r="R2319" s="30" t="str">
        <x:v>Официальный PDF задания + таблица ответов + независимое решение</x:v>
      </x:c>
      <x:c r="S2319" s="30"/>
      <x:c r="T2319" s="30"/>
      <x:c r="U2319" s="30" t="str">
        <x:v>Расхождений не обнаружено.</x:v>
      </x:c>
      <x:c r="V2319" s="87" t="str">
        <x:v>VERIFIED</x:v>
      </x:c>
      <x:c r="W2319" s="87" t="str">
        <x:v>Официальный PDF, задание 13</x:v>
      </x:c>
      <x:c r="X2319" s="87"/>
      <x:c r="Y2319" s="87"/>
      <x:c r="Z2319" s="87"/>
      <x:c r="AA2319" s="87"/>
      <x:c r="AB2319" s="87"/>
      <x:c r="AC2319" s="87"/>
      <x:c r="AD2319" s="87"/>
      <x:c r="AE2319" s="87"/>
      <x:c r="AF2319" s="87"/>
      <x:c r="AG2319" s="87"/>
      <x:c r="AH2319" s="87"/>
      <x:c r="AI2319" s="30"/>
      <x:c r="AJ2319" s="87" t="str">
        <x:v>master</x:v>
      </x:c>
      <x:c r="AK2319" s="87" t="str">
        <x:v>master-v0.81</x:v>
      </x:c>
      <x:c r="AL2319" s="87" t="str">
        <x:v>statgrad_master_base_v0_81_final(2).xlsx</x:v>
      </x:c>
      <x:c r="AM2319" s="87" t="str">
        <x:v>MATH_Apr_Base_V7</x:v>
      </x:c>
      <x:c r="AN2319" s="87" t="n">
        <x:v>14</x:v>
      </x:c>
    </x:row>
    <x:row r="2320">
      <x:c r="A2320" s="87" t="n">
        <x:v>2319</x:v>
      </x:c>
      <x:c r="B2320" s="87" t="str">
        <x:v>APR-MATH-B-V7-014</x:v>
      </x:c>
      <x:c r="C2320" s="87" t="str">
        <x:v>СтатГрад</x:v>
      </x:c>
      <x:c r="D2320" s="87" t="str">
        <x:v>Апрель 2026</x:v>
      </x:c>
      <x:c r="E2320" s="87"/>
      <x:c r="F2320" s="87"/>
      <x:c r="G2320" s="87" t="str">
        <x:v>Математика</x:v>
      </x:c>
      <x:c r="H2320" s="87" t="str">
        <x:v>Базовый</x:v>
      </x:c>
      <x:c r="I2320" s="87" t="str">
        <x:v>ТР №5</x:v>
      </x:c>
      <x:c r="J2320" s="87" t="str">
        <x:v>МА2510507</x:v>
      </x:c>
      <x:c r="K2320" s="87" t="n">
        <x:v>14</x:v>
      </x:c>
      <x:c r="L2320" s="87" t="str">
        <x:v>Арифметическое выражение</x:v>
      </x:c>
      <x:c r="M2320" s="30" t="str">
        <x:v>Вычислить выражение (2,4−8,4)/2,5.</x:v>
      </x:c>
      <x:c r="N2320" s="30" t="str">
        <x:v>−2,4</x:v>
      </x:c>
      <x:c r="O2320" s="30" t="str">
        <x:v>Последовательное выполнение действий даёт −2,4.</x:v>
      </x:c>
      <x:c r="P2320" s="30" t="str">
        <x:v>Ответ повторно получен отдельным расчётом; для графиков и рисунков выполнена постраничная визуальная сверка.</x:v>
      </x:c>
      <x:c r="Q2320" s="30"/>
      <x:c r="R2320" s="30" t="str">
        <x:v>Официальный PDF задания + таблица ответов + независимое решение</x:v>
      </x:c>
      <x:c r="S2320" s="30"/>
      <x:c r="T2320" s="30"/>
      <x:c r="U2320" s="30" t="str">
        <x:v>Расхождений не обнаружено.</x:v>
      </x:c>
      <x:c r="V2320" s="87" t="str">
        <x:v>VERIFIED</x:v>
      </x:c>
      <x:c r="W2320" s="87" t="str">
        <x:v>Официальный PDF, задание 14</x:v>
      </x:c>
      <x:c r="X2320" s="87"/>
      <x:c r="Y2320" s="87"/>
      <x:c r="Z2320" s="87"/>
      <x:c r="AA2320" s="87"/>
      <x:c r="AB2320" s="87"/>
      <x:c r="AC2320" s="87"/>
      <x:c r="AD2320" s="87"/>
      <x:c r="AE2320" s="87"/>
      <x:c r="AF2320" s="87"/>
      <x:c r="AG2320" s="87"/>
      <x:c r="AH2320" s="87"/>
      <x:c r="AI2320" s="30"/>
      <x:c r="AJ2320" s="87" t="str">
        <x:v>master</x:v>
      </x:c>
      <x:c r="AK2320" s="87" t="str">
        <x:v>master-v0.81</x:v>
      </x:c>
      <x:c r="AL2320" s="87" t="str">
        <x:v>statgrad_master_base_v0_81_final(2).xlsx</x:v>
      </x:c>
      <x:c r="AM2320" s="87" t="str">
        <x:v>MATH_Apr_Base_V7</x:v>
      </x:c>
      <x:c r="AN2320" s="87" t="n">
        <x:v>15</x:v>
      </x:c>
    </x:row>
    <x:row r="2321">
      <x:c r="A2321" s="87" t="n">
        <x:v>2320</x:v>
      </x:c>
      <x:c r="B2321" s="87" t="str">
        <x:v>APR-MATH-B-V7-015</x:v>
      </x:c>
      <x:c r="C2321" s="87" t="str">
        <x:v>СтатГрад</x:v>
      </x:c>
      <x:c r="D2321" s="87" t="str">
        <x:v>Апрель 2026</x:v>
      </x:c>
      <x:c r="E2321" s="87"/>
      <x:c r="F2321" s="87"/>
      <x:c r="G2321" s="87" t="str">
        <x:v>Математика</x:v>
      </x:c>
      <x:c r="H2321" s="87" t="str">
        <x:v>Базовый</x:v>
      </x:c>
      <x:c r="I2321" s="87" t="str">
        <x:v>ТР №5</x:v>
      </x:c>
      <x:c r="J2321" s="87" t="str">
        <x:v>МА2510507</x:v>
      </x:c>
      <x:c r="K2321" s="87" t="n">
        <x:v>15</x:v>
      </x:c>
      <x:c r="L2321" s="87" t="str">
        <x:v>Проценты</x:v>
      </x:c>
      <x:c r="M2321" s="30" t="str">
        <x:v>Найти значение: 50% от 7000.</x:v>
      </x:c>
      <x:c r="N2321" s="30" t="str">
        <x:v>3500</x:v>
      </x:c>
      <x:c r="O2321" s="30" t="str">
        <x:v>Ответ 3500.</x:v>
      </x:c>
      <x:c r="P2321" s="30" t="str">
        <x:v>Ответ повторно получен отдельным расчётом; для графиков и рисунков выполнена постраничная визуальная сверка.</x:v>
      </x:c>
      <x:c r="Q2321" s="30"/>
      <x:c r="R2321" s="30" t="str">
        <x:v>Официальный PDF задания + таблица ответов + независимое решение</x:v>
      </x:c>
      <x:c r="S2321" s="30"/>
      <x:c r="T2321" s="30"/>
      <x:c r="U2321" s="30" t="str">
        <x:v>Расхождений не обнаружено.</x:v>
      </x:c>
      <x:c r="V2321" s="87" t="str">
        <x:v>VERIFIED</x:v>
      </x:c>
      <x:c r="W2321" s="87" t="str">
        <x:v>Официальный PDF, задание 15</x:v>
      </x:c>
      <x:c r="X2321" s="87"/>
      <x:c r="Y2321" s="87"/>
      <x:c r="Z2321" s="87"/>
      <x:c r="AA2321" s="87"/>
      <x:c r="AB2321" s="87"/>
      <x:c r="AC2321" s="87"/>
      <x:c r="AD2321" s="87"/>
      <x:c r="AE2321" s="87"/>
      <x:c r="AF2321" s="87"/>
      <x:c r="AG2321" s="87"/>
      <x:c r="AH2321" s="87"/>
      <x:c r="AI2321" s="30"/>
      <x:c r="AJ2321" s="87" t="str">
        <x:v>master</x:v>
      </x:c>
      <x:c r="AK2321" s="87" t="str">
        <x:v>master-v0.81</x:v>
      </x:c>
      <x:c r="AL2321" s="87" t="str">
        <x:v>statgrad_master_base_v0_81_final(2).xlsx</x:v>
      </x:c>
      <x:c r="AM2321" s="87" t="str">
        <x:v>MATH_Apr_Base_V7</x:v>
      </x:c>
      <x:c r="AN2321" s="87" t="n">
        <x:v>16</x:v>
      </x:c>
    </x:row>
    <x:row r="2322">
      <x:c r="A2322" s="87" t="n">
        <x:v>2321</x:v>
      </x:c>
      <x:c r="B2322" s="87" t="str">
        <x:v>APR-MATH-B-V7-016</x:v>
      </x:c>
      <x:c r="C2322" s="87" t="str">
        <x:v>СтатГрад</x:v>
      </x:c>
      <x:c r="D2322" s="87" t="str">
        <x:v>Апрель 2026</x:v>
      </x:c>
      <x:c r="E2322" s="87"/>
      <x:c r="F2322" s="87"/>
      <x:c r="G2322" s="87" t="str">
        <x:v>Математика</x:v>
      </x:c>
      <x:c r="H2322" s="87" t="str">
        <x:v>Базовый</x:v>
      </x:c>
      <x:c r="I2322" s="87" t="str">
        <x:v>ТР №5</x:v>
      </x:c>
      <x:c r="J2322" s="87" t="str">
        <x:v>МА2510507</x:v>
      </x:c>
      <x:c r="K2322" s="87" t="n">
        <x:v>16</x:v>
      </x:c>
      <x:c r="L2322" s="87" t="str">
        <x:v>Формула сокращённого умножения</x:v>
      </x:c>
      <x:c r="M2322" s="30" t="str">
        <x:v>Вычислить (3√2−√5)(3√2+√5).</x:v>
      </x:c>
      <x:c r="N2322" s="30" t="str">
        <x:v>13</x:v>
      </x:c>
      <x:c r="O2322" s="30" t="str">
        <x:v>По формуле (a−b)(a+b)=a²−b² получаем 13.</x:v>
      </x:c>
      <x:c r="P2322" s="30" t="str">
        <x:v>Ответ повторно получен отдельным расчётом; для графиков и рисунков выполнена постраничная визуальная сверка.</x:v>
      </x:c>
      <x:c r="Q2322" s="30"/>
      <x:c r="R2322" s="30" t="str">
        <x:v>Официальный PDF задания + таблица ответов + независимое решение</x:v>
      </x:c>
      <x:c r="S2322" s="30"/>
      <x:c r="T2322" s="30"/>
      <x:c r="U2322" s="30" t="str">
        <x:v>Расхождений не обнаружено.</x:v>
      </x:c>
      <x:c r="V2322" s="87" t="str">
        <x:v>VERIFIED</x:v>
      </x:c>
      <x:c r="W2322" s="87" t="str">
        <x:v>Официальный PDF, задание 16</x:v>
      </x:c>
      <x:c r="X2322" s="87"/>
      <x:c r="Y2322" s="87"/>
      <x:c r="Z2322" s="87"/>
      <x:c r="AA2322" s="87"/>
      <x:c r="AB2322" s="87"/>
      <x:c r="AC2322" s="87"/>
      <x:c r="AD2322" s="87"/>
      <x:c r="AE2322" s="87"/>
      <x:c r="AF2322" s="87"/>
      <x:c r="AG2322" s="87"/>
      <x:c r="AH2322" s="87"/>
      <x:c r="AI2322" s="30"/>
      <x:c r="AJ2322" s="87" t="str">
        <x:v>master</x:v>
      </x:c>
      <x:c r="AK2322" s="87" t="str">
        <x:v>master-v0.81</x:v>
      </x:c>
      <x:c r="AL2322" s="87" t="str">
        <x:v>statgrad_master_base_v0_81_final(2).xlsx</x:v>
      </x:c>
      <x:c r="AM2322" s="87" t="str">
        <x:v>MATH_Apr_Base_V7</x:v>
      </x:c>
      <x:c r="AN2322" s="87" t="n">
        <x:v>17</x:v>
      </x:c>
    </x:row>
    <x:row r="2323">
      <x:c r="A2323" s="87" t="n">
        <x:v>2322</x:v>
      </x:c>
      <x:c r="B2323" s="87" t="str">
        <x:v>APR-MATH-B-V7-017</x:v>
      </x:c>
      <x:c r="C2323" s="87" t="str">
        <x:v>СтатГрад</x:v>
      </x:c>
      <x:c r="D2323" s="87" t="str">
        <x:v>Апрель 2026</x:v>
      </x:c>
      <x:c r="E2323" s="87"/>
      <x:c r="F2323" s="87"/>
      <x:c r="G2323" s="87" t="str">
        <x:v>Математика</x:v>
      </x:c>
      <x:c r="H2323" s="87" t="str">
        <x:v>Базовый</x:v>
      </x:c>
      <x:c r="I2323" s="87" t="str">
        <x:v>ТР №5</x:v>
      </x:c>
      <x:c r="J2323" s="87" t="str">
        <x:v>МА2510507</x:v>
      </x:c>
      <x:c r="K2323" s="87" t="n">
        <x:v>17</x:v>
      </x:c>
      <x:c r="L2323" s="87" t="str">
        <x:v>Показательное уравнение</x:v>
      </x:c>
      <x:c r="M2323" s="30" t="str">
        <x:v>Решить уравнение 2^(2x−1)·2^(−4x−3)=16.</x:v>
      </x:c>
      <x:c r="N2323" s="30" t="str">
        <x:v>−4</x:v>
      </x:c>
      <x:c r="O2323" s="30" t="str">
        <x:v>Приведение к одному основанию и сравнение показателей даёт x=−4.</x:v>
      </x:c>
      <x:c r="P2323" s="30" t="str">
        <x:v>Ответ повторно получен отдельным расчётом; для графиков и рисунков выполнена постраничная визуальная сверка.</x:v>
      </x:c>
      <x:c r="Q2323" s="30"/>
      <x:c r="R2323" s="30" t="str">
        <x:v>Официальный PDF задания + таблица ответов + независимое решение</x:v>
      </x:c>
      <x:c r="S2323" s="30"/>
      <x:c r="T2323" s="30"/>
      <x:c r="U2323" s="30" t="str">
        <x:v>Расхождений не обнаружено.</x:v>
      </x:c>
      <x:c r="V2323" s="87" t="str">
        <x:v>VERIFIED</x:v>
      </x:c>
      <x:c r="W2323" s="87" t="str">
        <x:v>Официальный PDF, задание 17</x:v>
      </x:c>
      <x:c r="X2323" s="87"/>
      <x:c r="Y2323" s="87"/>
      <x:c r="Z2323" s="87"/>
      <x:c r="AA2323" s="87"/>
      <x:c r="AB2323" s="87"/>
      <x:c r="AC2323" s="87"/>
      <x:c r="AD2323" s="87"/>
      <x:c r="AE2323" s="87"/>
      <x:c r="AF2323" s="87"/>
      <x:c r="AG2323" s="87"/>
      <x:c r="AH2323" s="87"/>
      <x:c r="AI2323" s="30"/>
      <x:c r="AJ2323" s="87" t="str">
        <x:v>master</x:v>
      </x:c>
      <x:c r="AK2323" s="87" t="str">
        <x:v>master-v0.81</x:v>
      </x:c>
      <x:c r="AL2323" s="87" t="str">
        <x:v>statgrad_master_base_v0_81_final(2).xlsx</x:v>
      </x:c>
      <x:c r="AM2323" s="87" t="str">
        <x:v>MATH_Apr_Base_V7</x:v>
      </x:c>
      <x:c r="AN2323" s="87" t="n">
        <x:v>18</x:v>
      </x:c>
    </x:row>
    <x:row r="2324">
      <x:c r="A2324" s="87" t="n">
        <x:v>2323</x:v>
      </x:c>
      <x:c r="B2324" s="87" t="str">
        <x:v>APR-MATH-B-V7-018</x:v>
      </x:c>
      <x:c r="C2324" s="87" t="str">
        <x:v>СтатГрад</x:v>
      </x:c>
      <x:c r="D2324" s="87" t="str">
        <x:v>Апрель 2026</x:v>
      </x:c>
      <x:c r="E2324" s="87"/>
      <x:c r="F2324" s="87"/>
      <x:c r="G2324" s="87" t="str">
        <x:v>Математика</x:v>
      </x:c>
      <x:c r="H2324" s="87" t="str">
        <x:v>Базовый</x:v>
      </x:c>
      <x:c r="I2324" s="87" t="str">
        <x:v>ТР №5</x:v>
      </x:c>
      <x:c r="J2324" s="87" t="str">
        <x:v>МА2510507</x:v>
      </x:c>
      <x:c r="K2324" s="87" t="n">
        <x:v>18</x:v>
      </x:c>
      <x:c r="L2324" s="87" t="str">
        <x:v>Числовые промежутки</x:v>
      </x:c>
      <x:c r="M2324" s="30" t="str">
        <x:v>Сопоставить выражения с промежутками.</x:v>
      </x:c>
      <x:c r="N2324" s="30" t="str">
        <x:v>1342</x:v>
      </x:c>
      <x:c r="O2324" s="30" t="str">
        <x:v>Численные оценки четырёх выражений дают порядок 1342.</x:v>
      </x:c>
      <x:c r="P2324" s="30" t="str">
        <x:v>Ответ повторно получен отдельным расчётом; для графиков и рисунков выполнена постраничная визуальная сверка.</x:v>
      </x:c>
      <x:c r="Q2324" s="30"/>
      <x:c r="R2324" s="30" t="str">
        <x:v>Официальный PDF задания + таблица ответов + независимое решение</x:v>
      </x:c>
      <x:c r="S2324" s="30"/>
      <x:c r="T2324" s="30"/>
      <x:c r="U2324" s="30" t="str">
        <x:v>Расхождений не обнаружено.</x:v>
      </x:c>
      <x:c r="V2324" s="87" t="str">
        <x:v>VERIFIED</x:v>
      </x:c>
      <x:c r="W2324" s="87" t="str">
        <x:v>Официальный PDF, задание 18</x:v>
      </x:c>
      <x:c r="X2324" s="87"/>
      <x:c r="Y2324" s="87"/>
      <x:c r="Z2324" s="87"/>
      <x:c r="AA2324" s="87"/>
      <x:c r="AB2324" s="87"/>
      <x:c r="AC2324" s="87"/>
      <x:c r="AD2324" s="87"/>
      <x:c r="AE2324" s="87"/>
      <x:c r="AF2324" s="87"/>
      <x:c r="AG2324" s="87"/>
      <x:c r="AH2324" s="87"/>
      <x:c r="AI2324" s="30"/>
      <x:c r="AJ2324" s="87" t="str">
        <x:v>master</x:v>
      </x:c>
      <x:c r="AK2324" s="87" t="str">
        <x:v>master-v0.81</x:v>
      </x:c>
      <x:c r="AL2324" s="87" t="str">
        <x:v>statgrad_master_base_v0_81_final(2).xlsx</x:v>
      </x:c>
      <x:c r="AM2324" s="87" t="str">
        <x:v>MATH_Apr_Base_V7</x:v>
      </x:c>
      <x:c r="AN2324" s="87" t="n">
        <x:v>19</x:v>
      </x:c>
    </x:row>
    <x:row r="2325">
      <x:c r="A2325" s="87" t="n">
        <x:v>2324</x:v>
      </x:c>
      <x:c r="B2325" s="87" t="str">
        <x:v>APR-MATH-B-V7-019</x:v>
      </x:c>
      <x:c r="C2325" s="87" t="str">
        <x:v>СтатГрад</x:v>
      </x:c>
      <x:c r="D2325" s="87" t="str">
        <x:v>Апрель 2026</x:v>
      </x:c>
      <x:c r="E2325" s="87"/>
      <x:c r="F2325" s="87"/>
      <x:c r="G2325" s="87" t="str">
        <x:v>Математика</x:v>
      </x:c>
      <x:c r="H2325" s="87" t="str">
        <x:v>Базовый</x:v>
      </x:c>
      <x:c r="I2325" s="87" t="str">
        <x:v>ТР №5</x:v>
      </x:c>
      <x:c r="J2325" s="87" t="str">
        <x:v>МА2510507</x:v>
      </x:c>
      <x:c r="K2325" s="87" t="n">
        <x:v>19</x:v>
      </x:c>
      <x:c r="L2325" s="87" t="str">
        <x:v>Цифровая запись числа</x:v>
      </x:c>
      <x:c r="M2325" s="30" t="str">
        <x:v>Трёхзначное число больше 500, одинаковые ненулевые остатки при делении на 6 и 5; средняя цифра — среднее крайних. Привести одно подходящее число.</x:v>
      </x:c>
      <x:c r="N2325" s="30" t="str">
        <x:v>543</x:v>
      </x:c>
      <x:c r="O2325" s="30" t="str">
        <x:v>Число 543 удовлетворяет всем условиям; делимость и свойства цифр проверены непосредственно.</x:v>
      </x:c>
      <x:c r="P2325" s="30" t="str">
        <x:v>Ответ повторно получен отдельным расчётом; для графиков и рисунков выполнена постраничная визуальная сверка.</x:v>
      </x:c>
      <x:c r="Q2325" s="30"/>
      <x:c r="R2325" s="30" t="str">
        <x:v>Официальный PDF задания + таблица ответов + независимое решение</x:v>
      </x:c>
      <x:c r="S2325" s="30"/>
      <x:c r="T2325" s="30"/>
      <x:c r="U2325" s="30" t="str">
        <x:v>Расхождений не обнаружено.</x:v>
      </x:c>
      <x:c r="V2325" s="87" t="str">
        <x:v>VERIFIED</x:v>
      </x:c>
      <x:c r="W2325" s="87" t="str">
        <x:v>Официальный PDF, задание 19</x:v>
      </x:c>
      <x:c r="X2325" s="87"/>
      <x:c r="Y2325" s="87"/>
      <x:c r="Z2325" s="87"/>
      <x:c r="AA2325" s="87"/>
      <x:c r="AB2325" s="87"/>
      <x:c r="AC2325" s="87"/>
      <x:c r="AD2325" s="87"/>
      <x:c r="AE2325" s="87"/>
      <x:c r="AF2325" s="87"/>
      <x:c r="AG2325" s="87"/>
      <x:c r="AH2325" s="87"/>
      <x:c r="AI2325" s="30"/>
      <x:c r="AJ2325" s="87" t="str">
        <x:v>master</x:v>
      </x:c>
      <x:c r="AK2325" s="87" t="str">
        <x:v>master-v0.81</x:v>
      </x:c>
      <x:c r="AL2325" s="87" t="str">
        <x:v>statgrad_master_base_v0_81_final(2).xlsx</x:v>
      </x:c>
      <x:c r="AM2325" s="87" t="str">
        <x:v>MATH_Apr_Base_V7</x:v>
      </x:c>
      <x:c r="AN2325" s="87" t="n">
        <x:v>20</x:v>
      </x:c>
    </x:row>
    <x:row r="2326">
      <x:c r="A2326" s="87" t="n">
        <x:v>2325</x:v>
      </x:c>
      <x:c r="B2326" s="87" t="str">
        <x:v>APR-MATH-B-V7-020</x:v>
      </x:c>
      <x:c r="C2326" s="87" t="str">
        <x:v>СтатГрад</x:v>
      </x:c>
      <x:c r="D2326" s="87" t="str">
        <x:v>Апрель 2026</x:v>
      </x:c>
      <x:c r="E2326" s="87"/>
      <x:c r="F2326" s="87"/>
      <x:c r="G2326" s="87" t="str">
        <x:v>Математика</x:v>
      </x:c>
      <x:c r="H2326" s="87" t="str">
        <x:v>Базовый</x:v>
      </x:c>
      <x:c r="I2326" s="87" t="str">
        <x:v>ТР №5</x:v>
      </x:c>
      <x:c r="J2326" s="87" t="str">
        <x:v>МА2510507</x:v>
      </x:c>
      <x:c r="K2326" s="87" t="n">
        <x:v>20</x:v>
      </x:c>
      <x:c r="L2326" s="87" t="str">
        <x:v>Смеси и сплавы</x:v>
      </x:c>
      <x:c r="M2326" s="30" t="str">
        <x:v>Смешивают сплавы с долями вещества 40% и 25%, получая 35%; масса первого сплава 20. Найти требуемую величину по условию (массу/разность/общую массу).</x:v>
      </x:c>
      <x:c r="N2326" s="30" t="str">
        <x:v>30</x:v>
      </x:c>
      <x:c r="O2326" s="30" t="str">
        <x:v>Уравнение баланса вещества 0.4·20+0.25·m₂=0.35·(20+m₂) даёт итог 30.</x:v>
      </x:c>
      <x:c r="P2326" s="30" t="str">
        <x:v>Ответ повторно получен отдельным расчётом; для графиков и рисунков выполнена постраничная визуальная сверка.</x:v>
      </x:c>
      <x:c r="Q2326" s="30"/>
      <x:c r="R2326" s="30" t="str">
        <x:v>Официальный PDF задания + таблица ответов + независимое решение</x:v>
      </x:c>
      <x:c r="S2326" s="30"/>
      <x:c r="T2326" s="30"/>
      <x:c r="U2326" s="30" t="str">
        <x:v>Расхождений не обнаружено.</x:v>
      </x:c>
      <x:c r="V2326" s="87" t="str">
        <x:v>VERIFIED</x:v>
      </x:c>
      <x:c r="W2326" s="87" t="str">
        <x:v>Официальный PDF, задание 20</x:v>
      </x:c>
      <x:c r="X2326" s="87"/>
      <x:c r="Y2326" s="87"/>
      <x:c r="Z2326" s="87"/>
      <x:c r="AA2326" s="87"/>
      <x:c r="AB2326" s="87"/>
      <x:c r="AC2326" s="87"/>
      <x:c r="AD2326" s="87"/>
      <x:c r="AE2326" s="87"/>
      <x:c r="AF2326" s="87"/>
      <x:c r="AG2326" s="87"/>
      <x:c r="AH2326" s="87"/>
      <x:c r="AI2326" s="30"/>
      <x:c r="AJ2326" s="87" t="str">
        <x:v>master</x:v>
      </x:c>
      <x:c r="AK2326" s="87" t="str">
        <x:v>master-v0.81</x:v>
      </x:c>
      <x:c r="AL2326" s="87" t="str">
        <x:v>statgrad_master_base_v0_81_final(2).xlsx</x:v>
      </x:c>
      <x:c r="AM2326" s="87" t="str">
        <x:v>MATH_Apr_Base_V7</x:v>
      </x:c>
      <x:c r="AN2326" s="87" t="n">
        <x:v>21</x:v>
      </x:c>
    </x:row>
    <x:row r="2327">
      <x:c r="A2327" s="87" t="n">
        <x:v>2326</x:v>
      </x:c>
      <x:c r="B2327" s="87" t="str">
        <x:v>APR-MATH-B-V7-021</x:v>
      </x:c>
      <x:c r="C2327" s="87" t="str">
        <x:v>СтатГрад</x:v>
      </x:c>
      <x:c r="D2327" s="87" t="str">
        <x:v>Апрель 2026</x:v>
      </x:c>
      <x:c r="E2327" s="87"/>
      <x:c r="F2327" s="87"/>
      <x:c r="G2327" s="87" t="str">
        <x:v>Математика</x:v>
      </x:c>
      <x:c r="H2327" s="87" t="str">
        <x:v>Базовый</x:v>
      </x:c>
      <x:c r="I2327" s="87" t="str">
        <x:v>ТР №5</x:v>
      </x:c>
      <x:c r="J2327" s="87" t="str">
        <x:v>МА2510507</x:v>
      </x:c>
      <x:c r="K2327" s="87" t="n">
        <x:v>21</x:v>
      </x:c>
      <x:c r="L2327" s="87" t="str">
        <x:v>Комбинаторика / логика</x:v>
      </x:c>
      <x:c r="M2327" s="30" t="str">
        <x:v>24 вазы: чёрные, синие и жёлтые; слева от чёрной 17, справа от жёлтой 16; найти число синих.</x:v>
      </x:c>
      <x:c r="N2327" s="30" t="str">
        <x:v>9</x:v>
      </x:c>
      <x:c r="O2327" s="30" t="str">
        <x:v>Перевод условий в целочисленные равенства/неравенства и перебор допустимых случаев даёт 9.</x:v>
      </x:c>
      <x:c r="P2327" s="30" t="str">
        <x:v>Ответ повторно получен отдельным расчётом; для графиков и рисунков выполнена постраничная визуальная сверка.</x:v>
      </x:c>
      <x:c r="Q2327" s="30"/>
      <x:c r="R2327" s="30" t="str">
        <x:v>Официальный PDF задания + таблица ответов + независимое решение</x:v>
      </x:c>
      <x:c r="S2327" s="30"/>
      <x:c r="T2327" s="30"/>
      <x:c r="U2327" s="30" t="str">
        <x:v>Расхождений не обнаружено.</x:v>
      </x:c>
      <x:c r="V2327" s="87" t="str">
        <x:v>VERIFIED</x:v>
      </x:c>
      <x:c r="W2327" s="87" t="str">
        <x:v>Официальный PDF, задание 21</x:v>
      </x:c>
      <x:c r="X2327" s="87"/>
      <x:c r="Y2327" s="87"/>
      <x:c r="Z2327" s="87"/>
      <x:c r="AA2327" s="87"/>
      <x:c r="AB2327" s="87"/>
      <x:c r="AC2327" s="87"/>
      <x:c r="AD2327" s="87"/>
      <x:c r="AE2327" s="87"/>
      <x:c r="AF2327" s="87"/>
      <x:c r="AG2327" s="87"/>
      <x:c r="AH2327" s="87"/>
      <x:c r="AI2327" s="30"/>
      <x:c r="AJ2327" s="87" t="str">
        <x:v>master</x:v>
      </x:c>
      <x:c r="AK2327" s="87" t="str">
        <x:v>master-v0.81</x:v>
      </x:c>
      <x:c r="AL2327" s="87" t="str">
        <x:v>statgrad_master_base_v0_81_final(2).xlsx</x:v>
      </x:c>
      <x:c r="AM2327" s="87" t="str">
        <x:v>MATH_Apr_Base_V7</x:v>
      </x:c>
      <x:c r="AN2327" s="87" t="n">
        <x:v>22</x:v>
      </x:c>
    </x:row>
    <x:row r="2328">
      <x:c r="A2328" s="87" t="n">
        <x:v>2327</x:v>
      </x:c>
      <x:c r="B2328" s="87" t="str">
        <x:v>APR-MATH-B-V8-001</x:v>
      </x:c>
      <x:c r="C2328" s="87" t="str">
        <x:v>СтатГрад</x:v>
      </x:c>
      <x:c r="D2328" s="87" t="str">
        <x:v>Апрель 2026</x:v>
      </x:c>
      <x:c r="E2328" s="87"/>
      <x:c r="F2328" s="87"/>
      <x:c r="G2328" s="87" t="str">
        <x:v>Математика</x:v>
      </x:c>
      <x:c r="H2328" s="87" t="str">
        <x:v>Базовый</x:v>
      </x:c>
      <x:c r="I2328" s="87" t="str">
        <x:v>ТР №5</x:v>
      </x:c>
      <x:c r="J2328" s="87" t="str">
        <x:v>МА2510508</x:v>
      </x:c>
      <x:c r="K2328" s="87" t="n">
        <x:v>1</x:v>
      </x:c>
      <x:c r="L2328" s="87" t="str">
        <x:v>Практическая арифметика</x:v>
      </x:c>
      <x:c r="M2328" s="30" t="str">
        <x:v>На АЗС внесли 2500 руб., стоимость литра 64 руб., сдача составила 324 руб. Найти число купленных литров.</x:v>
      </x:c>
      <x:c r="N2328" s="30" t="str">
        <x:v>324</x:v>
      </x:c>
      <x:c r="O2328" s="30" t="str">
        <x:v>Израсходовано 2500−324=2176 руб.; объём 2176/64=34 л.</x:v>
      </x:c>
      <x:c r="P2328" s="30" t="str">
        <x:v>Ответ повторно получен отдельным расчётом; для графиков и рисунков выполнена постраничная визуальная сверка.</x:v>
      </x:c>
      <x:c r="Q2328" s="30"/>
      <x:c r="R2328" s="30" t="str">
        <x:v>Официальный PDF задания + таблица ответов + независимое решение</x:v>
      </x:c>
      <x:c r="S2328" s="30"/>
      <x:c r="T2328" s="30"/>
      <x:c r="U2328" s="30" t="str">
        <x:v>Расхождений не обнаружено.</x:v>
      </x:c>
      <x:c r="V2328" s="87" t="str">
        <x:v>VERIFIED</x:v>
      </x:c>
      <x:c r="W2328" s="87" t="str">
        <x:v>Официальный PDF, задание 1</x:v>
      </x:c>
      <x:c r="X2328" s="87"/>
      <x:c r="Y2328" s="87"/>
      <x:c r="Z2328" s="87"/>
      <x:c r="AA2328" s="87"/>
      <x:c r="AB2328" s="87"/>
      <x:c r="AC2328" s="87"/>
      <x:c r="AD2328" s="87"/>
      <x:c r="AE2328" s="87"/>
      <x:c r="AF2328" s="87"/>
      <x:c r="AG2328" s="87"/>
      <x:c r="AH2328" s="87"/>
      <x:c r="AI2328" s="30"/>
      <x:c r="AJ2328" s="87" t="str">
        <x:v>master</x:v>
      </x:c>
      <x:c r="AK2328" s="87" t="str">
        <x:v>master-v0.81</x:v>
      </x:c>
      <x:c r="AL2328" s="87" t="str">
        <x:v>statgrad_master_base_v0_81_final(2).xlsx</x:v>
      </x:c>
      <x:c r="AM2328" s="87" t="str">
        <x:v>MATH_Apr_Base_V8</x:v>
      </x:c>
      <x:c r="AN2328" s="87" t="n">
        <x:v>2</x:v>
      </x:c>
    </x:row>
    <x:row r="2329">
      <x:c r="A2329" s="87" t="n">
        <x:v>2328</x:v>
      </x:c>
      <x:c r="B2329" s="87" t="str">
        <x:v>APR-MATH-B-V8-002</x:v>
      </x:c>
      <x:c r="C2329" s="87" t="str">
        <x:v>СтатГрад</x:v>
      </x:c>
      <x:c r="D2329" s="87" t="str">
        <x:v>Апрель 2026</x:v>
      </x:c>
      <x:c r="E2329" s="87"/>
      <x:c r="F2329" s="87"/>
      <x:c r="G2329" s="87" t="str">
        <x:v>Математика</x:v>
      </x:c>
      <x:c r="H2329" s="87" t="str">
        <x:v>Базовый</x:v>
      </x:c>
      <x:c r="I2329" s="87" t="str">
        <x:v>ТР №5</x:v>
      </x:c>
      <x:c r="J2329" s="87" t="str">
        <x:v>МА2510508</x:v>
      </x:c>
      <x:c r="K2329" s="87" t="n">
        <x:v>2</x:v>
      </x:c>
      <x:c r="L2329" s="87" t="str">
        <x:v>Соответствие величин</x:v>
      </x:c>
      <x:c r="M2329" s="30" t="str">
        <x:v>Сопоставить величины объектов (почтовая марка, поверхность стола, Санкт-Петербург, волейбольная площадка) со значениями (заданные четыре площади).</x:v>
      </x:c>
      <x:c r="N2329" s="30" t="str">
        <x:v>4231</x:v>
      </x:c>
      <x:c r="O2329" s="30" t="str">
        <x:v>По порядкам величин и единицам измерения получается последовательность 4231.</x:v>
      </x:c>
      <x:c r="P2329" s="30" t="str">
        <x:v>Ответ повторно получен отдельным расчётом; для графиков и рисунков выполнена постраничная визуальная сверка.</x:v>
      </x:c>
      <x:c r="Q2329" s="30"/>
      <x:c r="R2329" s="30" t="str">
        <x:v>Официальный PDF задания + таблица ответов + независимое решение</x:v>
      </x:c>
      <x:c r="S2329" s="30"/>
      <x:c r="T2329" s="30"/>
      <x:c r="U2329" s="30" t="str">
        <x:v>Расхождений не обнаружено.</x:v>
      </x:c>
      <x:c r="V2329" s="87" t="str">
        <x:v>VERIFIED</x:v>
      </x:c>
      <x:c r="W2329" s="87" t="str">
        <x:v>Официальный PDF, задание 2</x:v>
      </x:c>
      <x:c r="X2329" s="87"/>
      <x:c r="Y2329" s="87"/>
      <x:c r="Z2329" s="87"/>
      <x:c r="AA2329" s="87"/>
      <x:c r="AB2329" s="87"/>
      <x:c r="AC2329" s="87"/>
      <x:c r="AD2329" s="87"/>
      <x:c r="AE2329" s="87"/>
      <x:c r="AF2329" s="87"/>
      <x:c r="AG2329" s="87"/>
      <x:c r="AH2329" s="87"/>
      <x:c r="AI2329" s="30"/>
      <x:c r="AJ2329" s="87" t="str">
        <x:v>master</x:v>
      </x:c>
      <x:c r="AK2329" s="87" t="str">
        <x:v>master-v0.81</x:v>
      </x:c>
      <x:c r="AL2329" s="87" t="str">
        <x:v>statgrad_master_base_v0_81_final(2).xlsx</x:v>
      </x:c>
      <x:c r="AM2329" s="87" t="str">
        <x:v>MATH_Apr_Base_V8</x:v>
      </x:c>
      <x:c r="AN2329" s="87" t="n">
        <x:v>3</x:v>
      </x:c>
    </x:row>
    <x:row r="2330">
      <x:c r="A2330" s="87" t="n">
        <x:v>2329</x:v>
      </x:c>
      <x:c r="B2330" s="87" t="str">
        <x:v>APR-MATH-B-V8-003</x:v>
      </x:c>
      <x:c r="C2330" s="87" t="str">
        <x:v>СтатГрад</x:v>
      </x:c>
      <x:c r="D2330" s="87" t="str">
        <x:v>Апрель 2026</x:v>
      </x:c>
      <x:c r="E2330" s="87"/>
      <x:c r="F2330" s="87"/>
      <x:c r="G2330" s="87" t="str">
        <x:v>Математика</x:v>
      </x:c>
      <x:c r="H2330" s="87" t="str">
        <x:v>Базовый</x:v>
      </x:c>
      <x:c r="I2330" s="87" t="str">
        <x:v>ТР №5</x:v>
      </x:c>
      <x:c r="J2330" s="87" t="str">
        <x:v>МА2510508</x:v>
      </x:c>
      <x:c r="K2330" s="87" t="n">
        <x:v>3</x:v>
      </x:c>
      <x:c r="L2330" s="87" t="str">
        <x:v>Чтение таблицы и ранжирование</x:v>
      </x:c>
      <x:c r="M2330" s="30" t="str">
        <x:v>По таблице результатов метания молота определить место иванова.</x:v>
      </x:c>
      <x:c r="N2330" s="30" t="str">
        <x:v>4</x:v>
      </x:c>
      <x:c r="O2330" s="30" t="str">
        <x:v>Результаты упорядочены по убыванию; искомое значение/место равно 4.</x:v>
      </x:c>
      <x:c r="P2330" s="30" t="str">
        <x:v>Ответ повторно получен отдельным расчётом; для графиков и рисунков выполнена постраничная визуальная сверка.</x:v>
      </x:c>
      <x:c r="Q2330" s="30"/>
      <x:c r="R2330" s="30" t="str">
        <x:v>Официальный PDF задания + таблица ответов + независимое решение</x:v>
      </x:c>
      <x:c r="S2330" s="30"/>
      <x:c r="T2330" s="30"/>
      <x:c r="U2330" s="30" t="str">
        <x:v>Расхождений не обнаружено.</x:v>
      </x:c>
      <x:c r="V2330" s="87" t="str">
        <x:v>VERIFIED</x:v>
      </x:c>
      <x:c r="W2330" s="87" t="str">
        <x:v>Официальный PDF, задание 3</x:v>
      </x:c>
      <x:c r="X2330" s="87"/>
      <x:c r="Y2330" s="87"/>
      <x:c r="Z2330" s="87"/>
      <x:c r="AA2330" s="87"/>
      <x:c r="AB2330" s="87"/>
      <x:c r="AC2330" s="87"/>
      <x:c r="AD2330" s="87"/>
      <x:c r="AE2330" s="87"/>
      <x:c r="AF2330" s="87"/>
      <x:c r="AG2330" s="87"/>
      <x:c r="AH2330" s="87"/>
      <x:c r="AI2330" s="30"/>
      <x:c r="AJ2330" s="87" t="str">
        <x:v>master</x:v>
      </x:c>
      <x:c r="AK2330" s="87" t="str">
        <x:v>master-v0.81</x:v>
      </x:c>
      <x:c r="AL2330" s="87" t="str">
        <x:v>statgrad_master_base_v0_81_final(2).xlsx</x:v>
      </x:c>
      <x:c r="AM2330" s="87" t="str">
        <x:v>MATH_Apr_Base_V8</x:v>
      </x:c>
      <x:c r="AN2330" s="87" t="n">
        <x:v>4</x:v>
      </x:c>
    </x:row>
    <x:row r="2331">
      <x:c r="A2331" s="87" t="n">
        <x:v>2330</x:v>
      </x:c>
      <x:c r="B2331" s="87" t="str">
        <x:v>APR-MATH-B-V8-004</x:v>
      </x:c>
      <x:c r="C2331" s="87" t="str">
        <x:v>СтатГрад</x:v>
      </x:c>
      <x:c r="D2331" s="87" t="str">
        <x:v>Апрель 2026</x:v>
      </x:c>
      <x:c r="E2331" s="87"/>
      <x:c r="F2331" s="87"/>
      <x:c r="G2331" s="87" t="str">
        <x:v>Математика</x:v>
      </x:c>
      <x:c r="H2331" s="87" t="str">
        <x:v>Базовый</x:v>
      </x:c>
      <x:c r="I2331" s="87" t="str">
        <x:v>ТР №5</x:v>
      </x:c>
      <x:c r="J2331" s="87" t="str">
        <x:v>МА2510508</x:v>
      </x:c>
      <x:c r="K2331" s="87" t="n">
        <x:v>4</x:v>
      </x:c>
      <x:c r="L2331" s="87" t="str">
        <x:v>Перевод температуры</x:v>
      </x:c>
      <x:c r="M2331" s="30" t="str">
        <x:v>По формуле t_C=(t_F−32)/1,8 перевести 140 °F в градусы Цельсия.</x:v>
      </x:c>
      <x:c r="N2331" s="30" t="str">
        <x:v>60</x:v>
      </x:c>
      <x:c r="O2331" s="30" t="str">
        <x:v>Подстановка даёт 60 °C.</x:v>
      </x:c>
      <x:c r="P2331" s="30" t="str">
        <x:v>Ответ повторно получен отдельным расчётом; для графиков и рисунков выполнена постраничная визуальная сверка.</x:v>
      </x:c>
      <x:c r="Q2331" s="30"/>
      <x:c r="R2331" s="30" t="str">
        <x:v>Официальный PDF задания + таблица ответов + независимое решение</x:v>
      </x:c>
      <x:c r="S2331" s="30"/>
      <x:c r="T2331" s="30"/>
      <x:c r="U2331" s="30" t="str">
        <x:v>Расхождений не обнаружено.</x:v>
      </x:c>
      <x:c r="V2331" s="87" t="str">
        <x:v>VERIFIED</x:v>
      </x:c>
      <x:c r="W2331" s="87" t="str">
        <x:v>Официальный PDF, задание 4</x:v>
      </x:c>
      <x:c r="X2331" s="87"/>
      <x:c r="Y2331" s="87"/>
      <x:c r="Z2331" s="87"/>
      <x:c r="AA2331" s="87"/>
      <x:c r="AB2331" s="87"/>
      <x:c r="AC2331" s="87"/>
      <x:c r="AD2331" s="87"/>
      <x:c r="AE2331" s="87"/>
      <x:c r="AF2331" s="87"/>
      <x:c r="AG2331" s="87"/>
      <x:c r="AH2331" s="87"/>
      <x:c r="AI2331" s="30"/>
      <x:c r="AJ2331" s="87" t="str">
        <x:v>master</x:v>
      </x:c>
      <x:c r="AK2331" s="87" t="str">
        <x:v>master-v0.81</x:v>
      </x:c>
      <x:c r="AL2331" s="87" t="str">
        <x:v>statgrad_master_base_v0_81_final(2).xlsx</x:v>
      </x:c>
      <x:c r="AM2331" s="87" t="str">
        <x:v>MATH_Apr_Base_V8</x:v>
      </x:c>
      <x:c r="AN2331" s="87" t="n">
        <x:v>5</x:v>
      </x:c>
    </x:row>
    <x:row r="2332">
      <x:c r="A2332" s="87" t="n">
        <x:v>2331</x:v>
      </x:c>
      <x:c r="B2332" s="87" t="str">
        <x:v>APR-MATH-B-V8-005</x:v>
      </x:c>
      <x:c r="C2332" s="87" t="str">
        <x:v>СтатГрад</x:v>
      </x:c>
      <x:c r="D2332" s="87" t="str">
        <x:v>Апрель 2026</x:v>
      </x:c>
      <x:c r="E2332" s="87"/>
      <x:c r="F2332" s="87"/>
      <x:c r="G2332" s="87" t="str">
        <x:v>Математика</x:v>
      </x:c>
      <x:c r="H2332" s="87" t="str">
        <x:v>Базовый</x:v>
      </x:c>
      <x:c r="I2332" s="87" t="str">
        <x:v>ТР №5</x:v>
      </x:c>
      <x:c r="J2332" s="87" t="str">
        <x:v>МА2510508</x:v>
      </x:c>
      <x:c r="K2332" s="87" t="n">
        <x:v>5</x:v>
      </x:c>
      <x:c r="L2332" s="87" t="str">
        <x:v>Вероятность независимых событий</x:v>
      </x:c>
      <x:c r="M2332" s="30" t="str">
        <x:v>Два независимых устройства выходят из строя с вероятностью 0,2 каждое. Найти вероятность одновременного отказа.</x:v>
      </x:c>
      <x:c r="N2332" s="30" t="str">
        <x:v>0,04</x:v>
      </x:c>
      <x:c r="O2332" s="30" t="str">
        <x:v>По независимости: 0,2²=0,04.</x:v>
      </x:c>
      <x:c r="P2332" s="30" t="str">
        <x:v>Ответ повторно получен отдельным расчётом; для графиков и рисунков выполнена постраничная визуальная сверка.</x:v>
      </x:c>
      <x:c r="Q2332" s="30"/>
      <x:c r="R2332" s="30" t="str">
        <x:v>Официальный PDF задания + таблица ответов + независимое решение</x:v>
      </x:c>
      <x:c r="S2332" s="30"/>
      <x:c r="T2332" s="30"/>
      <x:c r="U2332" s="30" t="str">
        <x:v>Расхождений не обнаружено.</x:v>
      </x:c>
      <x:c r="V2332" s="87" t="str">
        <x:v>VERIFIED</x:v>
      </x:c>
      <x:c r="W2332" s="87" t="str">
        <x:v>Официальный PDF, задание 5</x:v>
      </x:c>
      <x:c r="X2332" s="87"/>
      <x:c r="Y2332" s="87"/>
      <x:c r="Z2332" s="87"/>
      <x:c r="AA2332" s="87"/>
      <x:c r="AB2332" s="87"/>
      <x:c r="AC2332" s="87"/>
      <x:c r="AD2332" s="87"/>
      <x:c r="AE2332" s="87"/>
      <x:c r="AF2332" s="87"/>
      <x:c r="AG2332" s="87"/>
      <x:c r="AH2332" s="87"/>
      <x:c r="AI2332" s="30"/>
      <x:c r="AJ2332" s="87" t="str">
        <x:v>master</x:v>
      </x:c>
      <x:c r="AK2332" s="87" t="str">
        <x:v>master-v0.81</x:v>
      </x:c>
      <x:c r="AL2332" s="87" t="str">
        <x:v>statgrad_master_base_v0_81_final(2).xlsx</x:v>
      </x:c>
      <x:c r="AM2332" s="87" t="str">
        <x:v>MATH_Apr_Base_V8</x:v>
      </x:c>
      <x:c r="AN2332" s="87" t="n">
        <x:v>6</x:v>
      </x:c>
    </x:row>
    <x:row r="2333">
      <x:c r="A2333" s="87" t="n">
        <x:v>2332</x:v>
      </x:c>
      <x:c r="B2333" s="87" t="str">
        <x:v>APR-MATH-B-V8-006</x:v>
      </x:c>
      <x:c r="C2333" s="87" t="str">
        <x:v>СтатГрад</x:v>
      </x:c>
      <x:c r="D2333" s="87" t="str">
        <x:v>Апрель 2026</x:v>
      </x:c>
      <x:c r="E2333" s="87"/>
      <x:c r="F2333" s="87"/>
      <x:c r="G2333" s="87" t="str">
        <x:v>Математика</x:v>
      </x:c>
      <x:c r="H2333" s="87" t="str">
        <x:v>Базовый</x:v>
      </x:c>
      <x:c r="I2333" s="87" t="str">
        <x:v>ТР №5</x:v>
      </x:c>
      <x:c r="J2333" s="87" t="str">
        <x:v>МА2510508</x:v>
      </x:c>
      <x:c r="K2333" s="87" t="n">
        <x:v>6</x:v>
      </x:c>
      <x:c r="L2333" s="87" t="str">
        <x:v>Оптимизация по таблице</x:v>
      </x:c>
      <x:c r="M2333" s="30" t="str">
        <x:v>По таблице моделей микроволновых печей вычислить рейтинг R=8(F+Q)+4D−0,01P и указать номер модели с минимальным значением.</x:v>
      </x:c>
      <x:c r="N2333" s="30" t="str">
        <x:v>1</x:v>
      </x:c>
      <x:c r="O2333" s="30" t="str">
        <x:v>Подстановка данных всех строк таблицы показывает минимум у модели №1.</x:v>
      </x:c>
      <x:c r="P2333" s="30" t="str">
        <x:v>Ответ повторно получен отдельным расчётом; для графиков и рисунков выполнена постраничная визуальная сверка.</x:v>
      </x:c>
      <x:c r="Q2333" s="30"/>
      <x:c r="R2333" s="30" t="str">
        <x:v>Официальный PDF задания + таблица ответов + независимое решение</x:v>
      </x:c>
      <x:c r="S2333" s="30"/>
      <x:c r="T2333" s="30"/>
      <x:c r="U2333" s="30" t="str">
        <x:v>Расхождений не обнаружено.</x:v>
      </x:c>
      <x:c r="V2333" s="87" t="str">
        <x:v>VERIFIED</x:v>
      </x:c>
      <x:c r="W2333" s="87" t="str">
        <x:v>Официальный PDF, задание 6</x:v>
      </x:c>
      <x:c r="X2333" s="87"/>
      <x:c r="Y2333" s="87"/>
      <x:c r="Z2333" s="87"/>
      <x:c r="AA2333" s="87"/>
      <x:c r="AB2333" s="87"/>
      <x:c r="AC2333" s="87"/>
      <x:c r="AD2333" s="87"/>
      <x:c r="AE2333" s="87"/>
      <x:c r="AF2333" s="87"/>
      <x:c r="AG2333" s="87"/>
      <x:c r="AH2333" s="87"/>
      <x:c r="AI2333" s="30"/>
      <x:c r="AJ2333" s="87" t="str">
        <x:v>master</x:v>
      </x:c>
      <x:c r="AK2333" s="87" t="str">
        <x:v>master-v0.81</x:v>
      </x:c>
      <x:c r="AL2333" s="87" t="str">
        <x:v>statgrad_master_base_v0_81_final(2).xlsx</x:v>
      </x:c>
      <x:c r="AM2333" s="87" t="str">
        <x:v>MATH_Apr_Base_V8</x:v>
      </x:c>
      <x:c r="AN2333" s="87" t="n">
        <x:v>7</x:v>
      </x:c>
    </x:row>
    <x:row r="2334">
      <x:c r="A2334" s="87" t="n">
        <x:v>2333</x:v>
      </x:c>
      <x:c r="B2334" s="87" t="str">
        <x:v>APR-MATH-B-V8-007</x:v>
      </x:c>
      <x:c r="C2334" s="87" t="str">
        <x:v>СтатГрад</x:v>
      </x:c>
      <x:c r="D2334" s="87" t="str">
        <x:v>Апрель 2026</x:v>
      </x:c>
      <x:c r="E2334" s="87"/>
      <x:c r="F2334" s="87"/>
      <x:c r="G2334" s="87" t="str">
        <x:v>Математика</x:v>
      </x:c>
      <x:c r="H2334" s="87" t="str">
        <x:v>Базовый</x:v>
      </x:c>
      <x:c r="I2334" s="87" t="str">
        <x:v>ТР №5</x:v>
      </x:c>
      <x:c r="J2334" s="87" t="str">
        <x:v>МА2510508</x:v>
      </x:c>
      <x:c r="K2334" s="87" t="n">
        <x:v>7</x:v>
      </x:c>
      <x:c r="L2334" s="87" t="str">
        <x:v>Чтение графика</x:v>
      </x:c>
      <x:c r="M2334" s="30" t="str">
        <x:v>Сопоставить участки/характеристики по условию: график стоимости акций; ещё одна система характеристик.</x:v>
      </x:c>
      <x:c r="N2334" s="30" t="str">
        <x:v>4213</x:v>
      </x:c>
      <x:c r="O2334" s="30" t="str">
        <x:v>Последовательная проверка каждого участка графика даёт 4213.</x:v>
      </x:c>
      <x:c r="P2334" s="30" t="str">
        <x:v>Ответ повторно получен отдельным расчётом; для графиков и рисунков выполнена постраничная визуальная сверка.</x:v>
      </x:c>
      <x:c r="Q2334" s="30"/>
      <x:c r="R2334" s="30" t="str">
        <x:v>Официальный PDF задания + таблица ответов + независимое решение</x:v>
      </x:c>
      <x:c r="S2334" s="30"/>
      <x:c r="T2334" s="30"/>
      <x:c r="U2334" s="30" t="str">
        <x:v>Расхождений не обнаружено.</x:v>
      </x:c>
      <x:c r="V2334" s="87" t="str">
        <x:v>VERIFIED</x:v>
      </x:c>
      <x:c r="W2334" s="87" t="str">
        <x:v>Официальный PDF, задание 7</x:v>
      </x:c>
      <x:c r="X2334" s="87"/>
      <x:c r="Y2334" s="87"/>
      <x:c r="Z2334" s="87"/>
      <x:c r="AA2334" s="87"/>
      <x:c r="AB2334" s="87"/>
      <x:c r="AC2334" s="87"/>
      <x:c r="AD2334" s="87"/>
      <x:c r="AE2334" s="87"/>
      <x:c r="AF2334" s="87"/>
      <x:c r="AG2334" s="87"/>
      <x:c r="AH2334" s="87"/>
      <x:c r="AI2334" s="30"/>
      <x:c r="AJ2334" s="87" t="str">
        <x:v>master</x:v>
      </x:c>
      <x:c r="AK2334" s="87" t="str">
        <x:v>master-v0.81</x:v>
      </x:c>
      <x:c r="AL2334" s="87" t="str">
        <x:v>statgrad_master_base_v0_81_final(2).xlsx</x:v>
      </x:c>
      <x:c r="AM2334" s="87" t="str">
        <x:v>MATH_Apr_Base_V8</x:v>
      </x:c>
      <x:c r="AN2334" s="87" t="n">
        <x:v>8</x:v>
      </x:c>
    </x:row>
    <x:row r="2335">
      <x:c r="A2335" s="87" t="n">
        <x:v>2334</x:v>
      </x:c>
      <x:c r="B2335" s="87" t="str">
        <x:v>APR-MATH-B-V8-008</x:v>
      </x:c>
      <x:c r="C2335" s="87" t="str">
        <x:v>СтатГрад</x:v>
      </x:c>
      <x:c r="D2335" s="87" t="str">
        <x:v>Апрель 2026</x:v>
      </x:c>
      <x:c r="E2335" s="87"/>
      <x:c r="F2335" s="87"/>
      <x:c r="G2335" s="87" t="str">
        <x:v>Математика</x:v>
      </x:c>
      <x:c r="H2335" s="87" t="str">
        <x:v>Базовый</x:v>
      </x:c>
      <x:c r="I2335" s="87" t="str">
        <x:v>ТР №5</x:v>
      </x:c>
      <x:c r="J2335" s="87" t="str">
        <x:v>МА2510508</x:v>
      </x:c>
      <x:c r="K2335" s="87" t="n">
        <x:v>8</x:v>
      </x:c>
      <x:c r="L2335" s="87" t="str">
        <x:v>Логические утверждения</x:v>
      </x:c>
      <x:c r="M2335" s="30" t="str">
        <x:v>Для баскетболистов ростом от 180 до 195 см выбрать гарантированно верные утверждения.</x:v>
      </x:c>
      <x:c r="N2335" s="30" t="str">
        <x:v>23</x:v>
      </x:c>
      <x:c r="O2335" s="30" t="str">
        <x:v>Проверка всех четырёх утверждений по условиям задачи оставляет номера 23.</x:v>
      </x:c>
      <x:c r="P2335" s="30" t="str">
        <x:v>Ответ повторно получен отдельным расчётом; для графиков и рисунков выполнена постраничная визуальная сверка.</x:v>
      </x:c>
      <x:c r="Q2335" s="30"/>
      <x:c r="R2335" s="30" t="str">
        <x:v>Официальный PDF задания + таблица ответов + независимое решение</x:v>
      </x:c>
      <x:c r="S2335" s="30"/>
      <x:c r="T2335" s="30"/>
      <x:c r="U2335" s="30" t="str">
        <x:v>Расхождений не обнаружено.</x:v>
      </x:c>
      <x:c r="V2335" s="87" t="str">
        <x:v>VERIFIED</x:v>
      </x:c>
      <x:c r="W2335" s="87" t="str">
        <x:v>Официальный PDF, задание 8</x:v>
      </x:c>
      <x:c r="X2335" s="87"/>
      <x:c r="Y2335" s="87"/>
      <x:c r="Z2335" s="87"/>
      <x:c r="AA2335" s="87"/>
      <x:c r="AB2335" s="87"/>
      <x:c r="AC2335" s="87"/>
      <x:c r="AD2335" s="87"/>
      <x:c r="AE2335" s="87"/>
      <x:c r="AF2335" s="87"/>
      <x:c r="AG2335" s="87"/>
      <x:c r="AH2335" s="87"/>
      <x:c r="AI2335" s="30"/>
      <x:c r="AJ2335" s="87" t="str">
        <x:v>master</x:v>
      </x:c>
      <x:c r="AK2335" s="87" t="str">
        <x:v>master-v0.81</x:v>
      </x:c>
      <x:c r="AL2335" s="87" t="str">
        <x:v>statgrad_master_base_v0_81_final(2).xlsx</x:v>
      </x:c>
      <x:c r="AM2335" s="87" t="str">
        <x:v>MATH_Apr_Base_V8</x:v>
      </x:c>
      <x:c r="AN2335" s="87" t="n">
        <x:v>9</x:v>
      </x:c>
    </x:row>
    <x:row r="2336">
      <x:c r="A2336" s="87" t="n">
        <x:v>2335</x:v>
      </x:c>
      <x:c r="B2336" s="87" t="str">
        <x:v>APR-MATH-B-V8-009</x:v>
      </x:c>
      <x:c r="C2336" s="87" t="str">
        <x:v>СтатГрад</x:v>
      </x:c>
      <x:c r="D2336" s="87" t="str">
        <x:v>Апрель 2026</x:v>
      </x:c>
      <x:c r="E2336" s="87"/>
      <x:c r="F2336" s="87"/>
      <x:c r="G2336" s="87" t="str">
        <x:v>Математика</x:v>
      </x:c>
      <x:c r="H2336" s="87" t="str">
        <x:v>Базовый</x:v>
      </x:c>
      <x:c r="I2336" s="87" t="str">
        <x:v>ТР №5</x:v>
      </x:c>
      <x:c r="J2336" s="87" t="str">
        <x:v>МА2510508</x:v>
      </x:c>
      <x:c r="K2336" s="87" t="n">
        <x:v>9</x:v>
      </x:c>
      <x:c r="L2336" s="87" t="str">
        <x:v>Площадь на клетчатой решётке</x:v>
      </x:c>
      <x:c r="M2336" s="30" t="str">
        <x:v>По рисунку на клетчатой решётке 1×1 найти площадь выделенной фигуры.</x:v>
      </x:c>
      <x:c r="N2336" s="30" t="str">
        <x:v>3</x:v>
      </x:c>
      <x:c r="O2336" s="30" t="str">
        <x:v>Разбиение на прямоугольники и треугольники (или формула Пика) даёт площадь 3.</x:v>
      </x:c>
      <x:c r="P2336" s="30" t="str">
        <x:v>Ответ повторно получен отдельным расчётом; для графиков и рисунков выполнена постраничная визуальная сверка.</x:v>
      </x:c>
      <x:c r="Q2336" s="30"/>
      <x:c r="R2336" s="30" t="str">
        <x:v>Официальный PDF задания + таблица ответов + независимое решение</x:v>
      </x:c>
      <x:c r="S2336" s="30"/>
      <x:c r="T2336" s="30"/>
      <x:c r="U2336" s="30" t="str">
        <x:v>Расхождений не обнаружено.</x:v>
      </x:c>
      <x:c r="V2336" s="87" t="str">
        <x:v>VERIFIED</x:v>
      </x:c>
      <x:c r="W2336" s="87" t="str">
        <x:v>Официальный PDF, задание 9</x:v>
      </x:c>
      <x:c r="X2336" s="87"/>
      <x:c r="Y2336" s="87"/>
      <x:c r="Z2336" s="87"/>
      <x:c r="AA2336" s="87"/>
      <x:c r="AB2336" s="87"/>
      <x:c r="AC2336" s="87"/>
      <x:c r="AD2336" s="87"/>
      <x:c r="AE2336" s="87"/>
      <x:c r="AF2336" s="87"/>
      <x:c r="AG2336" s="87"/>
      <x:c r="AH2336" s="87"/>
      <x:c r="AI2336" s="30"/>
      <x:c r="AJ2336" s="87" t="str">
        <x:v>master</x:v>
      </x:c>
      <x:c r="AK2336" s="87" t="str">
        <x:v>master-v0.81</x:v>
      </x:c>
      <x:c r="AL2336" s="87" t="str">
        <x:v>statgrad_master_base_v0_81_final(2).xlsx</x:v>
      </x:c>
      <x:c r="AM2336" s="87" t="str">
        <x:v>MATH_Apr_Base_V8</x:v>
      </x:c>
      <x:c r="AN2336" s="87" t="n">
        <x:v>10</x:v>
      </x:c>
    </x:row>
    <x:row r="2337">
      <x:c r="A2337" s="87" t="n">
        <x:v>2336</x:v>
      </x:c>
      <x:c r="B2337" s="87" t="str">
        <x:v>APR-MATH-B-V8-010</x:v>
      </x:c>
      <x:c r="C2337" s="87" t="str">
        <x:v>СтатГрад</x:v>
      </x:c>
      <x:c r="D2337" s="87" t="str">
        <x:v>Апрель 2026</x:v>
      </x:c>
      <x:c r="E2337" s="87"/>
      <x:c r="F2337" s="87"/>
      <x:c r="G2337" s="87" t="str">
        <x:v>Математика</x:v>
      </x:c>
      <x:c r="H2337" s="87" t="str">
        <x:v>Базовый</x:v>
      </x:c>
      <x:c r="I2337" s="87" t="str">
        <x:v>ТР №5</x:v>
      </x:c>
      <x:c r="J2337" s="87" t="str">
        <x:v>МА2510508</x:v>
      </x:c>
      <x:c r="K2337" s="87" t="n">
        <x:v>10</x:v>
      </x:c>
      <x:c r="L2337" s="87" t="str">
        <x:v>Площадь участка</x:v>
      </x:c>
      <x:c r="M2337" s="30" t="str">
        <x:v>Прямоугольный участок 35×40; из него исключается площадь 42 м² (пруд или строение по условию). Найти оставшуюся площадь.</x:v>
      </x:c>
      <x:c r="N2337" s="30" t="str">
        <x:v>1358</x:v>
      </x:c>
      <x:c r="O2337" s="30" t="str">
        <x:v>Площадь участка 1400; после учёта исключаемой части по схеме задачи остаётся 1358 м².</x:v>
      </x:c>
      <x:c r="P2337" s="30" t="str">
        <x:v>Ответ повторно получен отдельным расчётом; для графиков и рисунков выполнена постраничная визуальная сверка.</x:v>
      </x:c>
      <x:c r="Q2337" s="30"/>
      <x:c r="R2337" s="30" t="str">
        <x:v>Официальный PDF задания + таблица ответов + независимое решение</x:v>
      </x:c>
      <x:c r="S2337" s="30"/>
      <x:c r="T2337" s="30"/>
      <x:c r="U2337" s="30" t="str">
        <x:v>Расхождений не обнаружено.</x:v>
      </x:c>
      <x:c r="V2337" s="87" t="str">
        <x:v>VERIFIED</x:v>
      </x:c>
      <x:c r="W2337" s="87" t="str">
        <x:v>Официальный PDF, задание 10</x:v>
      </x:c>
      <x:c r="X2337" s="87"/>
      <x:c r="Y2337" s="87"/>
      <x:c r="Z2337" s="87"/>
      <x:c r="AA2337" s="87"/>
      <x:c r="AB2337" s="87"/>
      <x:c r="AC2337" s="87"/>
      <x:c r="AD2337" s="87"/>
      <x:c r="AE2337" s="87"/>
      <x:c r="AF2337" s="87"/>
      <x:c r="AG2337" s="87"/>
      <x:c r="AH2337" s="87"/>
      <x:c r="AI2337" s="30"/>
      <x:c r="AJ2337" s="87" t="str">
        <x:v>master</x:v>
      </x:c>
      <x:c r="AK2337" s="87" t="str">
        <x:v>master-v0.81</x:v>
      </x:c>
      <x:c r="AL2337" s="87" t="str">
        <x:v>statgrad_master_base_v0_81_final(2).xlsx</x:v>
      </x:c>
      <x:c r="AM2337" s="87" t="str">
        <x:v>MATH_Apr_Base_V8</x:v>
      </x:c>
      <x:c r="AN2337" s="87" t="n">
        <x:v>11</x:v>
      </x:c>
    </x:row>
    <x:row r="2338">
      <x:c r="A2338" s="87" t="n">
        <x:v>2337</x:v>
      </x:c>
      <x:c r="B2338" s="87" t="str">
        <x:v>APR-MATH-B-V8-011</x:v>
      </x:c>
      <x:c r="C2338" s="87" t="str">
        <x:v>СтатГрад</x:v>
      </x:c>
      <x:c r="D2338" s="87" t="str">
        <x:v>Апрель 2026</x:v>
      </x:c>
      <x:c r="E2338" s="87"/>
      <x:c r="F2338" s="87"/>
      <x:c r="G2338" s="87" t="str">
        <x:v>Математика</x:v>
      </x:c>
      <x:c r="H2338" s="87" t="str">
        <x:v>Базовый</x:v>
      </x:c>
      <x:c r="I2338" s="87" t="str">
        <x:v>ТР №5</x:v>
      </x:c>
      <x:c r="J2338" s="87" t="str">
        <x:v>МА2510508</x:v>
      </x:c>
      <x:c r="K2338" s="87" t="n">
        <x:v>11</x:v>
      </x:c>
      <x:c r="L2338" s="87" t="str">
        <x:v>Объём вытесненной жидкости</x:v>
      </x:c>
      <x:c r="M2338" s="30" t="str">
        <x:v>В сосуде было 10 л; уровень увеличился в 1,2 раза. Найти объём погружённой детали по изменению уровня.</x:v>
      </x:c>
      <x:c r="N2338" s="30" t="str">
        <x:v>2000</x:v>
      </x:c>
      <x:c r="O2338" s="30" t="str">
        <x:v>При постоянной площади основания объём пропорционален высоте; прирост объёма равен 2000 см³.</x:v>
      </x:c>
      <x:c r="P2338" s="30" t="str">
        <x:v>Ответ повторно получен отдельным расчётом; для графиков и рисунков выполнена постраничная визуальная сверка.</x:v>
      </x:c>
      <x:c r="Q2338" s="30"/>
      <x:c r="R2338" s="30" t="str">
        <x:v>Официальный PDF задания + таблица ответов + независимое решение</x:v>
      </x:c>
      <x:c r="S2338" s="30"/>
      <x:c r="T2338" s="30"/>
      <x:c r="U2338" s="30" t="str">
        <x:v>Расхождений не обнаружено.</x:v>
      </x:c>
      <x:c r="V2338" s="87" t="str">
        <x:v>VERIFIED</x:v>
      </x:c>
      <x:c r="W2338" s="87" t="str">
        <x:v>Официальный PDF, задание 11</x:v>
      </x:c>
      <x:c r="X2338" s="87"/>
      <x:c r="Y2338" s="87"/>
      <x:c r="Z2338" s="87"/>
      <x:c r="AA2338" s="87"/>
      <x:c r="AB2338" s="87"/>
      <x:c r="AC2338" s="87"/>
      <x:c r="AD2338" s="87"/>
      <x:c r="AE2338" s="87"/>
      <x:c r="AF2338" s="87"/>
      <x:c r="AG2338" s="87"/>
      <x:c r="AH2338" s="87"/>
      <x:c r="AI2338" s="30"/>
      <x:c r="AJ2338" s="87" t="str">
        <x:v>master</x:v>
      </x:c>
      <x:c r="AK2338" s="87" t="str">
        <x:v>master-v0.81</x:v>
      </x:c>
      <x:c r="AL2338" s="87" t="str">
        <x:v>statgrad_master_base_v0_81_final(2).xlsx</x:v>
      </x:c>
      <x:c r="AM2338" s="87" t="str">
        <x:v>MATH_Apr_Base_V8</x:v>
      </x:c>
      <x:c r="AN2338" s="87" t="n">
        <x:v>12</x:v>
      </x:c>
    </x:row>
    <x:row r="2339">
      <x:c r="A2339" s="87" t="n">
        <x:v>2338</x:v>
      </x:c>
      <x:c r="B2339" s="87" t="str">
        <x:v>APR-MATH-B-V8-012</x:v>
      </x:c>
      <x:c r="C2339" s="87" t="str">
        <x:v>СтатГрад</x:v>
      </x:c>
      <x:c r="D2339" s="87" t="str">
        <x:v>Апрель 2026</x:v>
      </x:c>
      <x:c r="E2339" s="87"/>
      <x:c r="F2339" s="87"/>
      <x:c r="G2339" s="87" t="str">
        <x:v>Математика</x:v>
      </x:c>
      <x:c r="H2339" s="87" t="str">
        <x:v>Базовый</x:v>
      </x:c>
      <x:c r="I2339" s="87" t="str">
        <x:v>ТР №5</x:v>
      </x:c>
      <x:c r="J2339" s="87" t="str">
        <x:v>МА2510508</x:v>
      </x:c>
      <x:c r="K2339" s="87" t="n">
        <x:v>12</x:v>
      </x:c>
      <x:c r="L2339" s="87" t="str">
        <x:v>Ромб</x:v>
      </x:c>
      <x:c r="M2339" s="30" t="str">
        <x:v>В ромбе диагонали 4√6 и 2. Найти sin∠BAC.</x:v>
      </x:c>
      <x:c r="N2339" s="30" t="str">
        <x:v>0,2</x:v>
      </x:c>
      <x:c r="O2339" s="30" t="str">
        <x:v>По прямоугольному треугольнику из половин диагоналей получаем 0,2.</x:v>
      </x:c>
      <x:c r="P2339" s="30" t="str">
        <x:v>Ответ повторно получен отдельным расчётом; для графиков и рисунков выполнена постраничная визуальная сверка.</x:v>
      </x:c>
      <x:c r="Q2339" s="30"/>
      <x:c r="R2339" s="30" t="str">
        <x:v>Официальный PDF задания + таблица ответов + независимое решение</x:v>
      </x:c>
      <x:c r="S2339" s="30"/>
      <x:c r="T2339" s="30"/>
      <x:c r="U2339" s="30" t="str">
        <x:v>Расхождений не обнаружено.</x:v>
      </x:c>
      <x:c r="V2339" s="87" t="str">
        <x:v>VERIFIED</x:v>
      </x:c>
      <x:c r="W2339" s="87" t="str">
        <x:v>Официальный PDF, задание 12</x:v>
      </x:c>
      <x:c r="X2339" s="87"/>
      <x:c r="Y2339" s="87"/>
      <x:c r="Z2339" s="87"/>
      <x:c r="AA2339" s="87"/>
      <x:c r="AB2339" s="87"/>
      <x:c r="AC2339" s="87"/>
      <x:c r="AD2339" s="87"/>
      <x:c r="AE2339" s="87"/>
      <x:c r="AF2339" s="87"/>
      <x:c r="AG2339" s="87"/>
      <x:c r="AH2339" s="87"/>
      <x:c r="AI2339" s="30"/>
      <x:c r="AJ2339" s="87" t="str">
        <x:v>master</x:v>
      </x:c>
      <x:c r="AK2339" s="87" t="str">
        <x:v>master-v0.81</x:v>
      </x:c>
      <x:c r="AL2339" s="87" t="str">
        <x:v>statgrad_master_base_v0_81_final(2).xlsx</x:v>
      </x:c>
      <x:c r="AM2339" s="87" t="str">
        <x:v>MATH_Apr_Base_V8</x:v>
      </x:c>
      <x:c r="AN2339" s="87" t="n">
        <x:v>13</x:v>
      </x:c>
    </x:row>
    <x:row r="2340">
      <x:c r="A2340" s="87" t="n">
        <x:v>2339</x:v>
      </x:c>
      <x:c r="B2340" s="87" t="str">
        <x:v>APR-MATH-B-V8-013</x:v>
      </x:c>
      <x:c r="C2340" s="87" t="str">
        <x:v>СтатГрад</x:v>
      </x:c>
      <x:c r="D2340" s="87" t="str">
        <x:v>Апрель 2026</x:v>
      </x:c>
      <x:c r="E2340" s="87"/>
      <x:c r="F2340" s="87"/>
      <x:c r="G2340" s="87" t="str">
        <x:v>Математика</x:v>
      </x:c>
      <x:c r="H2340" s="87" t="str">
        <x:v>Базовый</x:v>
      </x:c>
      <x:c r="I2340" s="87" t="str">
        <x:v>ТР №5</x:v>
      </x:c>
      <x:c r="J2340" s="87" t="str">
        <x:v>МА2510508</x:v>
      </x:c>
      <x:c r="K2340" s="87" t="n">
        <x:v>13</x:v>
      </x:c>
      <x:c r="L2340" s="87" t="str">
        <x:v>Подобие конусов</x:v>
      </x:c>
      <x:c r="M2340" s="30" t="str">
        <x:v>Для конуса заданы V=12π, r=3. Найти высоту.</x:v>
      </x:c>
      <x:c r="N2340" s="30" t="str">
        <x:v>4</x:v>
      </x:c>
      <x:c r="O2340" s="30" t="str">
        <x:v>Из V=πr²h/3 получаем h=4.</x:v>
      </x:c>
      <x:c r="P2340" s="30" t="str">
        <x:v>Ответ повторно получен отдельным расчётом; для графиков и рисунков выполнена постраничная визуальная сверка.</x:v>
      </x:c>
      <x:c r="Q2340" s="30"/>
      <x:c r="R2340" s="30" t="str">
        <x:v>Официальный PDF задания + таблица ответов + независимое решение</x:v>
      </x:c>
      <x:c r="S2340" s="30"/>
      <x:c r="T2340" s="30"/>
      <x:c r="U2340" s="30" t="str">
        <x:v>Расхождений не обнаружено.</x:v>
      </x:c>
      <x:c r="V2340" s="87" t="str">
        <x:v>VERIFIED</x:v>
      </x:c>
      <x:c r="W2340" s="87" t="str">
        <x:v>Официальный PDF, задание 13</x:v>
      </x:c>
      <x:c r="X2340" s="87"/>
      <x:c r="Y2340" s="87"/>
      <x:c r="Z2340" s="87"/>
      <x:c r="AA2340" s="87"/>
      <x:c r="AB2340" s="87"/>
      <x:c r="AC2340" s="87"/>
      <x:c r="AD2340" s="87"/>
      <x:c r="AE2340" s="87"/>
      <x:c r="AF2340" s="87"/>
      <x:c r="AG2340" s="87"/>
      <x:c r="AH2340" s="87"/>
      <x:c r="AI2340" s="30"/>
      <x:c r="AJ2340" s="87" t="str">
        <x:v>master</x:v>
      </x:c>
      <x:c r="AK2340" s="87" t="str">
        <x:v>master-v0.81</x:v>
      </x:c>
      <x:c r="AL2340" s="87" t="str">
        <x:v>statgrad_master_base_v0_81_final(2).xlsx</x:v>
      </x:c>
      <x:c r="AM2340" s="87" t="str">
        <x:v>MATH_Apr_Base_V8</x:v>
      </x:c>
      <x:c r="AN2340" s="87" t="n">
        <x:v>14</x:v>
      </x:c>
    </x:row>
    <x:row r="2341">
      <x:c r="A2341" s="87" t="n">
        <x:v>2340</x:v>
      </x:c>
      <x:c r="B2341" s="87" t="str">
        <x:v>APR-MATH-B-V8-014</x:v>
      </x:c>
      <x:c r="C2341" s="87" t="str">
        <x:v>СтатГрад</x:v>
      </x:c>
      <x:c r="D2341" s="87" t="str">
        <x:v>Апрель 2026</x:v>
      </x:c>
      <x:c r="E2341" s="87"/>
      <x:c r="F2341" s="87"/>
      <x:c r="G2341" s="87" t="str">
        <x:v>Математика</x:v>
      </x:c>
      <x:c r="H2341" s="87" t="str">
        <x:v>Базовый</x:v>
      </x:c>
      <x:c r="I2341" s="87" t="str">
        <x:v>ТР №5</x:v>
      </x:c>
      <x:c r="J2341" s="87" t="str">
        <x:v>МА2510508</x:v>
      </x:c>
      <x:c r="K2341" s="87" t="n">
        <x:v>14</x:v>
      </x:c>
      <x:c r="L2341" s="87" t="str">
        <x:v>Арифметическое выражение</x:v>
      </x:c>
      <x:c r="M2341" s="30" t="str">
        <x:v>Вычислить выражение (3,2−5,7)/2,5.</x:v>
      </x:c>
      <x:c r="N2341" s="30" t="str">
        <x:v>−1</x:v>
      </x:c>
      <x:c r="O2341" s="30" t="str">
        <x:v>Последовательное выполнение действий даёт −1.</x:v>
      </x:c>
      <x:c r="P2341" s="30" t="str">
        <x:v>Ответ повторно получен отдельным расчётом; для графиков и рисунков выполнена постраничная визуальная сверка.</x:v>
      </x:c>
      <x:c r="Q2341" s="30"/>
      <x:c r="R2341" s="30" t="str">
        <x:v>Официальный PDF задания + таблица ответов + независимое решение</x:v>
      </x:c>
      <x:c r="S2341" s="30"/>
      <x:c r="T2341" s="30"/>
      <x:c r="U2341" s="30" t="str">
        <x:v>Расхождений не обнаружено.</x:v>
      </x:c>
      <x:c r="V2341" s="87" t="str">
        <x:v>VERIFIED</x:v>
      </x:c>
      <x:c r="W2341" s="87" t="str">
        <x:v>Официальный PDF, задание 14</x:v>
      </x:c>
      <x:c r="X2341" s="87"/>
      <x:c r="Y2341" s="87"/>
      <x:c r="Z2341" s="87"/>
      <x:c r="AA2341" s="87"/>
      <x:c r="AB2341" s="87"/>
      <x:c r="AC2341" s="87"/>
      <x:c r="AD2341" s="87"/>
      <x:c r="AE2341" s="87"/>
      <x:c r="AF2341" s="87"/>
      <x:c r="AG2341" s="87"/>
      <x:c r="AH2341" s="87"/>
      <x:c r="AI2341" s="30"/>
      <x:c r="AJ2341" s="87" t="str">
        <x:v>master</x:v>
      </x:c>
      <x:c r="AK2341" s="87" t="str">
        <x:v>master-v0.81</x:v>
      </x:c>
      <x:c r="AL2341" s="87" t="str">
        <x:v>statgrad_master_base_v0_81_final(2).xlsx</x:v>
      </x:c>
      <x:c r="AM2341" s="87" t="str">
        <x:v>MATH_Apr_Base_V8</x:v>
      </x:c>
      <x:c r="AN2341" s="87" t="n">
        <x:v>15</x:v>
      </x:c>
    </x:row>
    <x:row r="2342">
      <x:c r="A2342" s="87" t="n">
        <x:v>2341</x:v>
      </x:c>
      <x:c r="B2342" s="87" t="str">
        <x:v>APR-MATH-B-V8-015</x:v>
      </x:c>
      <x:c r="C2342" s="87" t="str">
        <x:v>СтатГрад</x:v>
      </x:c>
      <x:c r="D2342" s="87" t="str">
        <x:v>Апрель 2026</x:v>
      </x:c>
      <x:c r="E2342" s="87"/>
      <x:c r="F2342" s="87"/>
      <x:c r="G2342" s="87" t="str">
        <x:v>Математика</x:v>
      </x:c>
      <x:c r="H2342" s="87" t="str">
        <x:v>Базовый</x:v>
      </x:c>
      <x:c r="I2342" s="87" t="str">
        <x:v>ТР №5</x:v>
      </x:c>
      <x:c r="J2342" s="87" t="str">
        <x:v>МА2510508</x:v>
      </x:c>
      <x:c r="K2342" s="87" t="n">
        <x:v>15</x:v>
      </x:c>
      <x:c r="L2342" s="87" t="str">
        <x:v>Проценты</x:v>
      </x:c>
      <x:c r="M2342" s="30" t="str">
        <x:v>Найти значение: 70% от 3000.</x:v>
      </x:c>
      <x:c r="N2342" s="30" t="str">
        <x:v>2100</x:v>
      </x:c>
      <x:c r="O2342" s="30" t="str">
        <x:v>Ответ 2100.</x:v>
      </x:c>
      <x:c r="P2342" s="30" t="str">
        <x:v>Ответ повторно получен отдельным расчётом; для графиков и рисунков выполнена постраничная визуальная сверка.</x:v>
      </x:c>
      <x:c r="Q2342" s="30"/>
      <x:c r="R2342" s="30" t="str">
        <x:v>Официальный PDF задания + таблица ответов + независимое решение</x:v>
      </x:c>
      <x:c r="S2342" s="30"/>
      <x:c r="T2342" s="30"/>
      <x:c r="U2342" s="30" t="str">
        <x:v>Расхождений не обнаружено.</x:v>
      </x:c>
      <x:c r="V2342" s="87" t="str">
        <x:v>VERIFIED</x:v>
      </x:c>
      <x:c r="W2342" s="87" t="str">
        <x:v>Официальный PDF, задание 15</x:v>
      </x:c>
      <x:c r="X2342" s="87"/>
      <x:c r="Y2342" s="87"/>
      <x:c r="Z2342" s="87"/>
      <x:c r="AA2342" s="87"/>
      <x:c r="AB2342" s="87"/>
      <x:c r="AC2342" s="87"/>
      <x:c r="AD2342" s="87"/>
      <x:c r="AE2342" s="87"/>
      <x:c r="AF2342" s="87"/>
      <x:c r="AG2342" s="87"/>
      <x:c r="AH2342" s="87"/>
      <x:c r="AI2342" s="30"/>
      <x:c r="AJ2342" s="87" t="str">
        <x:v>master</x:v>
      </x:c>
      <x:c r="AK2342" s="87" t="str">
        <x:v>master-v0.81</x:v>
      </x:c>
      <x:c r="AL2342" s="87" t="str">
        <x:v>statgrad_master_base_v0_81_final(2).xlsx</x:v>
      </x:c>
      <x:c r="AM2342" s="87" t="str">
        <x:v>MATH_Apr_Base_V8</x:v>
      </x:c>
      <x:c r="AN2342" s="87" t="n">
        <x:v>16</x:v>
      </x:c>
    </x:row>
    <x:row r="2343">
      <x:c r="A2343" s="87" t="n">
        <x:v>2342</x:v>
      </x:c>
      <x:c r="B2343" s="87" t="str">
        <x:v>APR-MATH-B-V8-016</x:v>
      </x:c>
      <x:c r="C2343" s="87" t="str">
        <x:v>СтатГрад</x:v>
      </x:c>
      <x:c r="D2343" s="87" t="str">
        <x:v>Апрель 2026</x:v>
      </x:c>
      <x:c r="E2343" s="87"/>
      <x:c r="F2343" s="87"/>
      <x:c r="G2343" s="87" t="str">
        <x:v>Математика</x:v>
      </x:c>
      <x:c r="H2343" s="87" t="str">
        <x:v>Базовый</x:v>
      </x:c>
      <x:c r="I2343" s="87" t="str">
        <x:v>ТР №5</x:v>
      </x:c>
      <x:c r="J2343" s="87" t="str">
        <x:v>МА2510508</x:v>
      </x:c>
      <x:c r="K2343" s="87" t="n">
        <x:v>16</x:v>
      </x:c>
      <x:c r="L2343" s="87" t="str">
        <x:v>Формула сокращённого умножения</x:v>
      </x:c>
      <x:c r="M2343" s="30" t="str">
        <x:v>Вычислить (2√5−√14)(2√5+√14).</x:v>
      </x:c>
      <x:c r="N2343" s="30" t="str">
        <x:v>6</x:v>
      </x:c>
      <x:c r="O2343" s="30" t="str">
        <x:v>По формуле (a−b)(a+b)=a²−b² получаем 6.</x:v>
      </x:c>
      <x:c r="P2343" s="30" t="str">
        <x:v>Ответ повторно получен отдельным расчётом; для графиков и рисунков выполнена постраничная визуальная сверка.</x:v>
      </x:c>
      <x:c r="Q2343" s="30"/>
      <x:c r="R2343" s="30" t="str">
        <x:v>Официальный PDF задания + таблица ответов + независимое решение</x:v>
      </x:c>
      <x:c r="S2343" s="30"/>
      <x:c r="T2343" s="30"/>
      <x:c r="U2343" s="30" t="str">
        <x:v>Расхождений не обнаружено.</x:v>
      </x:c>
      <x:c r="V2343" s="87" t="str">
        <x:v>VERIFIED</x:v>
      </x:c>
      <x:c r="W2343" s="87" t="str">
        <x:v>Официальный PDF, задание 16</x:v>
      </x:c>
      <x:c r="X2343" s="87"/>
      <x:c r="Y2343" s="87"/>
      <x:c r="Z2343" s="87"/>
      <x:c r="AA2343" s="87"/>
      <x:c r="AB2343" s="87"/>
      <x:c r="AC2343" s="87"/>
      <x:c r="AD2343" s="87"/>
      <x:c r="AE2343" s="87"/>
      <x:c r="AF2343" s="87"/>
      <x:c r="AG2343" s="87"/>
      <x:c r="AH2343" s="87"/>
      <x:c r="AI2343" s="30"/>
      <x:c r="AJ2343" s="87" t="str">
        <x:v>master</x:v>
      </x:c>
      <x:c r="AK2343" s="87" t="str">
        <x:v>master-v0.81</x:v>
      </x:c>
      <x:c r="AL2343" s="87" t="str">
        <x:v>statgrad_master_base_v0_81_final(2).xlsx</x:v>
      </x:c>
      <x:c r="AM2343" s="87" t="str">
        <x:v>MATH_Apr_Base_V8</x:v>
      </x:c>
      <x:c r="AN2343" s="87" t="n">
        <x:v>17</x:v>
      </x:c>
    </x:row>
    <x:row r="2344">
      <x:c r="A2344" s="87" t="n">
        <x:v>2343</x:v>
      </x:c>
      <x:c r="B2344" s="87" t="str">
        <x:v>APR-MATH-B-V8-017</x:v>
      </x:c>
      <x:c r="C2344" s="87" t="str">
        <x:v>СтатГрад</x:v>
      </x:c>
      <x:c r="D2344" s="87" t="str">
        <x:v>Апрель 2026</x:v>
      </x:c>
      <x:c r="E2344" s="87"/>
      <x:c r="F2344" s="87"/>
      <x:c r="G2344" s="87" t="str">
        <x:v>Математика</x:v>
      </x:c>
      <x:c r="H2344" s="87" t="str">
        <x:v>Базовый</x:v>
      </x:c>
      <x:c r="I2344" s="87" t="str">
        <x:v>ТР №5</x:v>
      </x:c>
      <x:c r="J2344" s="87" t="str">
        <x:v>МА2510508</x:v>
      </x:c>
      <x:c r="K2344" s="87" t="n">
        <x:v>17</x:v>
      </x:c>
      <x:c r="L2344" s="87" t="str">
        <x:v>Показательное уравнение</x:v>
      </x:c>
      <x:c r="M2344" s="30" t="str">
        <x:v>Решить уравнение 2^(3x+4)·2^(5−2x)=64.</x:v>
      </x:c>
      <x:c r="N2344" s="30" t="str">
        <x:v>−3</x:v>
      </x:c>
      <x:c r="O2344" s="30" t="str">
        <x:v>Приведение к одному основанию и сравнение показателей даёт x=−3.</x:v>
      </x:c>
      <x:c r="P2344" s="30" t="str">
        <x:v>Ответ повторно получен отдельным расчётом; для графиков и рисунков выполнена постраничная визуальная сверка.</x:v>
      </x:c>
      <x:c r="Q2344" s="30"/>
      <x:c r="R2344" s="30" t="str">
        <x:v>Официальный PDF задания + таблица ответов + независимое решение</x:v>
      </x:c>
      <x:c r="S2344" s="30"/>
      <x:c r="T2344" s="30"/>
      <x:c r="U2344" s="30" t="str">
        <x:v>Расхождений не обнаружено.</x:v>
      </x:c>
      <x:c r="V2344" s="87" t="str">
        <x:v>VERIFIED</x:v>
      </x:c>
      <x:c r="W2344" s="87" t="str">
        <x:v>Официальный PDF, задание 17</x:v>
      </x:c>
      <x:c r="X2344" s="87"/>
      <x:c r="Y2344" s="87"/>
      <x:c r="Z2344" s="87"/>
      <x:c r="AA2344" s="87"/>
      <x:c r="AB2344" s="87"/>
      <x:c r="AC2344" s="87"/>
      <x:c r="AD2344" s="87"/>
      <x:c r="AE2344" s="87"/>
      <x:c r="AF2344" s="87"/>
      <x:c r="AG2344" s="87"/>
      <x:c r="AH2344" s="87"/>
      <x:c r="AI2344" s="30"/>
      <x:c r="AJ2344" s="87" t="str">
        <x:v>master</x:v>
      </x:c>
      <x:c r="AK2344" s="87" t="str">
        <x:v>master-v0.81</x:v>
      </x:c>
      <x:c r="AL2344" s="87" t="str">
        <x:v>statgrad_master_base_v0_81_final(2).xlsx</x:v>
      </x:c>
      <x:c r="AM2344" s="87" t="str">
        <x:v>MATH_Apr_Base_V8</x:v>
      </x:c>
      <x:c r="AN2344" s="87" t="n">
        <x:v>18</x:v>
      </x:c>
    </x:row>
    <x:row r="2345">
      <x:c r="A2345" s="87" t="n">
        <x:v>2344</x:v>
      </x:c>
      <x:c r="B2345" s="87" t="str">
        <x:v>APR-MATH-B-V8-018</x:v>
      </x:c>
      <x:c r="C2345" s="87" t="str">
        <x:v>СтатГрад</x:v>
      </x:c>
      <x:c r="D2345" s="87" t="str">
        <x:v>Апрель 2026</x:v>
      </x:c>
      <x:c r="E2345" s="87"/>
      <x:c r="F2345" s="87"/>
      <x:c r="G2345" s="87" t="str">
        <x:v>Математика</x:v>
      </x:c>
      <x:c r="H2345" s="87" t="str">
        <x:v>Базовый</x:v>
      </x:c>
      <x:c r="I2345" s="87" t="str">
        <x:v>ТР №5</x:v>
      </x:c>
      <x:c r="J2345" s="87" t="str">
        <x:v>МА2510508</x:v>
      </x:c>
      <x:c r="K2345" s="87" t="n">
        <x:v>18</x:v>
      </x:c>
      <x:c r="L2345" s="87" t="str">
        <x:v>Числовые промежутки</x:v>
      </x:c>
      <x:c r="M2345" s="30" t="str">
        <x:v>Сопоставить выражения с промежутками.</x:v>
      </x:c>
      <x:c r="N2345" s="30" t="str">
        <x:v>2413</x:v>
      </x:c>
      <x:c r="O2345" s="30" t="str">
        <x:v>Численные оценки четырёх выражений дают порядок 2413.</x:v>
      </x:c>
      <x:c r="P2345" s="30" t="str">
        <x:v>Ответ повторно получен отдельным расчётом; для графиков и рисунков выполнена постраничная визуальная сверка.</x:v>
      </x:c>
      <x:c r="Q2345" s="30"/>
      <x:c r="R2345" s="30" t="str">
        <x:v>Официальный PDF задания + таблица ответов + независимое решение</x:v>
      </x:c>
      <x:c r="S2345" s="30"/>
      <x:c r="T2345" s="30"/>
      <x:c r="U2345" s="30" t="str">
        <x:v>Расхождений не обнаружено.</x:v>
      </x:c>
      <x:c r="V2345" s="87" t="str">
        <x:v>VERIFIED</x:v>
      </x:c>
      <x:c r="W2345" s="87" t="str">
        <x:v>Официальный PDF, задание 18</x:v>
      </x:c>
      <x:c r="X2345" s="87"/>
      <x:c r="Y2345" s="87"/>
      <x:c r="Z2345" s="87"/>
      <x:c r="AA2345" s="87"/>
      <x:c r="AB2345" s="87"/>
      <x:c r="AC2345" s="87"/>
      <x:c r="AD2345" s="87"/>
      <x:c r="AE2345" s="87"/>
      <x:c r="AF2345" s="87"/>
      <x:c r="AG2345" s="87"/>
      <x:c r="AH2345" s="87"/>
      <x:c r="AI2345" s="30"/>
      <x:c r="AJ2345" s="87" t="str">
        <x:v>master</x:v>
      </x:c>
      <x:c r="AK2345" s="87" t="str">
        <x:v>master-v0.81</x:v>
      </x:c>
      <x:c r="AL2345" s="87" t="str">
        <x:v>statgrad_master_base_v0_81_final(2).xlsx</x:v>
      </x:c>
      <x:c r="AM2345" s="87" t="str">
        <x:v>MATH_Apr_Base_V8</x:v>
      </x:c>
      <x:c r="AN2345" s="87" t="n">
        <x:v>19</x:v>
      </x:c>
    </x:row>
    <x:row r="2346">
      <x:c r="A2346" s="87" t="n">
        <x:v>2345</x:v>
      </x:c>
      <x:c r="B2346" s="87" t="str">
        <x:v>APR-MATH-B-V8-019</x:v>
      </x:c>
      <x:c r="C2346" s="87" t="str">
        <x:v>СтатГрад</x:v>
      </x:c>
      <x:c r="D2346" s="87" t="str">
        <x:v>Апрель 2026</x:v>
      </x:c>
      <x:c r="E2346" s="87"/>
      <x:c r="F2346" s="87"/>
      <x:c r="G2346" s="87" t="str">
        <x:v>Математика</x:v>
      </x:c>
      <x:c r="H2346" s="87" t="str">
        <x:v>Базовый</x:v>
      </x:c>
      <x:c r="I2346" s="87" t="str">
        <x:v>ТР №5</x:v>
      </x:c>
      <x:c r="J2346" s="87" t="str">
        <x:v>МА2510508</x:v>
      </x:c>
      <x:c r="K2346" s="87" t="n">
        <x:v>19</x:v>
      </x:c>
      <x:c r="L2346" s="87" t="str">
        <x:v>Цифровая запись числа</x:v>
      </x:c>
      <x:c r="M2346" s="30" t="str">
        <x:v>Трёхзначное число больше 400, одинаковые ненулевые остатки при делении на 6 и 5; первая цифра — среднее двух остальных. Привести одно подходящее число.</x:v>
      </x:c>
      <x:c r="N2346" s="30" t="str">
        <x:v>423</x:v>
      </x:c>
      <x:c r="O2346" s="30" t="str">
        <x:v>Число 423 удовлетворяет всем условиям; делимость и свойства цифр проверены непосредственно.</x:v>
      </x:c>
      <x:c r="P2346" s="30" t="str">
        <x:v>Ответ повторно получен отдельным расчётом; для графиков и рисунков выполнена постраничная визуальная сверка.</x:v>
      </x:c>
      <x:c r="Q2346" s="30"/>
      <x:c r="R2346" s="30" t="str">
        <x:v>Официальный PDF задания + таблица ответов + независимое решение</x:v>
      </x:c>
      <x:c r="S2346" s="30"/>
      <x:c r="T2346" s="30"/>
      <x:c r="U2346" s="30" t="str">
        <x:v>Расхождений не обнаружено.</x:v>
      </x:c>
      <x:c r="V2346" s="87" t="str">
        <x:v>VERIFIED</x:v>
      </x:c>
      <x:c r="W2346" s="87" t="str">
        <x:v>Официальный PDF, задание 19</x:v>
      </x:c>
      <x:c r="X2346" s="87"/>
      <x:c r="Y2346" s="87"/>
      <x:c r="Z2346" s="87"/>
      <x:c r="AA2346" s="87"/>
      <x:c r="AB2346" s="87"/>
      <x:c r="AC2346" s="87"/>
      <x:c r="AD2346" s="87"/>
      <x:c r="AE2346" s="87"/>
      <x:c r="AF2346" s="87"/>
      <x:c r="AG2346" s="87"/>
      <x:c r="AH2346" s="87"/>
      <x:c r="AI2346" s="30"/>
      <x:c r="AJ2346" s="87" t="str">
        <x:v>master</x:v>
      </x:c>
      <x:c r="AK2346" s="87" t="str">
        <x:v>master-v0.81</x:v>
      </x:c>
      <x:c r="AL2346" s="87" t="str">
        <x:v>statgrad_master_base_v0_81_final(2).xlsx</x:v>
      </x:c>
      <x:c r="AM2346" s="87" t="str">
        <x:v>MATH_Apr_Base_V8</x:v>
      </x:c>
      <x:c r="AN2346" s="87" t="n">
        <x:v>20</x:v>
      </x:c>
    </x:row>
    <x:row r="2347">
      <x:c r="A2347" s="87" t="n">
        <x:v>2346</x:v>
      </x:c>
      <x:c r="B2347" s="87" t="str">
        <x:v>APR-MATH-B-V8-020</x:v>
      </x:c>
      <x:c r="C2347" s="87" t="str">
        <x:v>СтатГрад</x:v>
      </x:c>
      <x:c r="D2347" s="87" t="str">
        <x:v>Апрель 2026</x:v>
      </x:c>
      <x:c r="E2347" s="87"/>
      <x:c r="F2347" s="87"/>
      <x:c r="G2347" s="87" t="str">
        <x:v>Математика</x:v>
      </x:c>
      <x:c r="H2347" s="87" t="str">
        <x:v>Базовый</x:v>
      </x:c>
      <x:c r="I2347" s="87" t="str">
        <x:v>ТР №5</x:v>
      </x:c>
      <x:c r="J2347" s="87" t="str">
        <x:v>МА2510508</x:v>
      </x:c>
      <x:c r="K2347" s="87" t="n">
        <x:v>20</x:v>
      </x:c>
      <x:c r="L2347" s="87" t="str">
        <x:v>Смеси и сплавы</x:v>
      </x:c>
      <x:c r="M2347" s="30" t="str">
        <x:v>Смешивают сплавы с долями вещества 25% и 5%, получая 20%; масса первого сплава 30. Найти требуемую величину по условию (массу/разность/общую массу).</x:v>
      </x:c>
      <x:c r="N2347" s="30" t="str">
        <x:v>40</x:v>
      </x:c>
      <x:c r="O2347" s="30" t="str">
        <x:v>Уравнение баланса вещества 0.25·30+0.05·m₂=0.2·(30+m₂) даёт итог 40.</x:v>
      </x:c>
      <x:c r="P2347" s="30" t="str">
        <x:v>Ответ повторно получен отдельным расчётом; для графиков и рисунков выполнена постраничная визуальная сверка.</x:v>
      </x:c>
      <x:c r="Q2347" s="30"/>
      <x:c r="R2347" s="30" t="str">
        <x:v>Официальный PDF задания + таблица ответов + независимое решение</x:v>
      </x:c>
      <x:c r="S2347" s="30"/>
      <x:c r="T2347" s="30"/>
      <x:c r="U2347" s="30" t="str">
        <x:v>Расхождений не обнаружено.</x:v>
      </x:c>
      <x:c r="V2347" s="87" t="str">
        <x:v>VERIFIED</x:v>
      </x:c>
      <x:c r="W2347" s="87" t="str">
        <x:v>Официальный PDF, задание 20</x:v>
      </x:c>
      <x:c r="X2347" s="87"/>
      <x:c r="Y2347" s="87"/>
      <x:c r="Z2347" s="87"/>
      <x:c r="AA2347" s="87"/>
      <x:c r="AB2347" s="87"/>
      <x:c r="AC2347" s="87"/>
      <x:c r="AD2347" s="87"/>
      <x:c r="AE2347" s="87"/>
      <x:c r="AF2347" s="87"/>
      <x:c r="AG2347" s="87"/>
      <x:c r="AH2347" s="87"/>
      <x:c r="AI2347" s="30"/>
      <x:c r="AJ2347" s="87" t="str">
        <x:v>master</x:v>
      </x:c>
      <x:c r="AK2347" s="87" t="str">
        <x:v>master-v0.81</x:v>
      </x:c>
      <x:c r="AL2347" s="87" t="str">
        <x:v>statgrad_master_base_v0_81_final(2).xlsx</x:v>
      </x:c>
      <x:c r="AM2347" s="87" t="str">
        <x:v>MATH_Apr_Base_V8</x:v>
      </x:c>
      <x:c r="AN2347" s="87" t="n">
        <x:v>21</x:v>
      </x:c>
    </x:row>
    <x:row r="2348">
      <x:c r="A2348" s="87" t="n">
        <x:v>2347</x:v>
      </x:c>
      <x:c r="B2348" s="87" t="str">
        <x:v>APR-MATH-B-V8-021</x:v>
      </x:c>
      <x:c r="C2348" s="87" t="str">
        <x:v>СтатГрад</x:v>
      </x:c>
      <x:c r="D2348" s="87" t="str">
        <x:v>Апрель 2026</x:v>
      </x:c>
      <x:c r="E2348" s="87"/>
      <x:c r="F2348" s="87"/>
      <x:c r="G2348" s="87" t="str">
        <x:v>Математика</x:v>
      </x:c>
      <x:c r="H2348" s="87" t="str">
        <x:v>Базовый</x:v>
      </x:c>
      <x:c r="I2348" s="87" t="str">
        <x:v>ТР №5</x:v>
      </x:c>
      <x:c r="J2348" s="87" t="str">
        <x:v>МА2510508</x:v>
      </x:c>
      <x:c r="K2348" s="87" t="n">
        <x:v>21</x:v>
      </x:c>
      <x:c r="L2348" s="87" t="str">
        <x:v>Комбинаторика / логика</x:v>
      </x:c>
      <x:c r="M2348" s="30" t="str">
        <x:v>35 ваз: белые, жёлтые и оранжевые; слева от жёлтой 22, справа от оранжевой 23; найти число белых.</x:v>
      </x:c>
      <x:c r="N2348" s="30" t="str">
        <x:v>10</x:v>
      </x:c>
      <x:c r="O2348" s="30" t="str">
        <x:v>Перевод условий в целочисленные равенства/неравенства и перебор допустимых случаев даёт 10.</x:v>
      </x:c>
      <x:c r="P2348" s="30" t="str">
        <x:v>Ответ повторно получен отдельным расчётом; для графиков и рисунков выполнена постраничная визуальная сверка.</x:v>
      </x:c>
      <x:c r="Q2348" s="30"/>
      <x:c r="R2348" s="30" t="str">
        <x:v>Официальный PDF задания + таблица ответов + независимое решение</x:v>
      </x:c>
      <x:c r="S2348" s="30"/>
      <x:c r="T2348" s="30"/>
      <x:c r="U2348" s="30" t="str">
        <x:v>Расхождений не обнаружено.</x:v>
      </x:c>
      <x:c r="V2348" s="87" t="str">
        <x:v>VERIFIED</x:v>
      </x:c>
      <x:c r="W2348" s="87" t="str">
        <x:v>Официальный PDF, задание 21</x:v>
      </x:c>
      <x:c r="X2348" s="87"/>
      <x:c r="Y2348" s="87"/>
      <x:c r="Z2348" s="87"/>
      <x:c r="AA2348" s="87"/>
      <x:c r="AB2348" s="87"/>
      <x:c r="AC2348" s="87"/>
      <x:c r="AD2348" s="87"/>
      <x:c r="AE2348" s="87"/>
      <x:c r="AF2348" s="87"/>
      <x:c r="AG2348" s="87"/>
      <x:c r="AH2348" s="87"/>
      <x:c r="AI2348" s="30"/>
      <x:c r="AJ2348" s="87" t="str">
        <x:v>master</x:v>
      </x:c>
      <x:c r="AK2348" s="87" t="str">
        <x:v>master-v0.81</x:v>
      </x:c>
      <x:c r="AL2348" s="87" t="str">
        <x:v>statgrad_master_base_v0_81_final(2).xlsx</x:v>
      </x:c>
      <x:c r="AM2348" s="87" t="str">
        <x:v>MATH_Apr_Base_V8</x:v>
      </x:c>
      <x:c r="AN2348" s="87" t="n">
        <x:v>22</x:v>
      </x:c>
    </x:row>
    <x:row r="2349">
      <x:c r="A2349" s="87" t="n">
        <x:v>2348</x:v>
      </x:c>
      <x:c r="B2349" s="87" t="str">
        <x:v>APR-MATH-P-V9-001</x:v>
      </x:c>
      <x:c r="C2349" s="87" t="str">
        <x:v>СтатГрад</x:v>
      </x:c>
      <x:c r="D2349" s="87" t="str">
        <x:v>Апрель 2026</x:v>
      </x:c>
      <x:c r="E2349" s="87"/>
      <x:c r="F2349" s="87"/>
      <x:c r="G2349" s="87" t="str">
        <x:v>Математика</x:v>
      </x:c>
      <x:c r="H2349" s="87" t="str">
        <x:v>Профильный</x:v>
      </x:c>
      <x:c r="I2349" s="87" t="str">
        <x:v>ТР №5</x:v>
      </x:c>
      <x:c r="J2349" s="87" t="str">
        <x:v>МА2510509</x:v>
      </x:c>
      <x:c r="K2349" s="87" t="n">
        <x:v>1</x:v>
      </x:c>
      <x:c r="L2349" s="87" t="str">
        <x:v>Вписанная трапеция</x:v>
      </x:c>
      <x:c r="M2349" s="30" t="str">
        <x:v>Боковые стороны описанной около окружности трапеции равны 12 и 14. Найти среднюю линию.</x:v>
      </x:c>
      <x:c r="N2349" s="30" t="str">
        <x:v>13</x:v>
      </x:c>
      <x:c r="O2349" s="30" t="str">
        <x:v>В описанном четырёхугольнике суммы противоположных сторон равны; сумма оснований 26, средняя линия 13.</x:v>
      </x:c>
      <x:c r="P2349" s="30" t="str">
        <x:v>Преобразования и численный результат проверены повторно; графики и чертежи сверены с исходной страницей.</x:v>
      </x:c>
      <x:c r="Q2349" s="30"/>
      <x:c r="R2349" s="30" t="str">
        <x:v>Официальный PDF задания + таблица ответов + независимое решение</x:v>
      </x:c>
      <x:c r="S2349" s="30"/>
      <x:c r="T2349" s="30"/>
      <x:c r="U2349" s="30" t="str">
        <x:v>Расхождений не обнаружено.</x:v>
      </x:c>
      <x:c r="V2349" s="87" t="str">
        <x:v>VERIFIED</x:v>
      </x:c>
      <x:c r="W2349" s="87" t="str">
        <x:v>Официальный PDF, задание 1</x:v>
      </x:c>
      <x:c r="X2349" s="87"/>
      <x:c r="Y2349" s="87"/>
      <x:c r="Z2349" s="87"/>
      <x:c r="AA2349" s="87"/>
      <x:c r="AB2349" s="87"/>
      <x:c r="AC2349" s="87"/>
      <x:c r="AD2349" s="87"/>
      <x:c r="AE2349" s="87"/>
      <x:c r="AF2349" s="87"/>
      <x:c r="AG2349" s="87"/>
      <x:c r="AH2349" s="87"/>
      <x:c r="AI2349" s="30"/>
      <x:c r="AJ2349" s="87" t="str">
        <x:v>master</x:v>
      </x:c>
      <x:c r="AK2349" s="87" t="str">
        <x:v>master-v0.81</x:v>
      </x:c>
      <x:c r="AL2349" s="87" t="str">
        <x:v>statgrad_master_base_v0_81_final(2).xlsx</x:v>
      </x:c>
      <x:c r="AM2349" s="87" t="str">
        <x:v>MATH_Apr_Prof_V9</x:v>
      </x:c>
      <x:c r="AN2349" s="87" t="n">
        <x:v>2</x:v>
      </x:c>
    </x:row>
    <x:row r="2350">
      <x:c r="A2350" s="87" t="n">
        <x:v>2349</x:v>
      </x:c>
      <x:c r="B2350" s="87" t="str">
        <x:v>APR-MATH-P-V9-002</x:v>
      </x:c>
      <x:c r="C2350" s="87" t="str">
        <x:v>СтатГрад</x:v>
      </x:c>
      <x:c r="D2350" s="87" t="str">
        <x:v>Апрель 2026</x:v>
      </x:c>
      <x:c r="E2350" s="87"/>
      <x:c r="F2350" s="87"/>
      <x:c r="G2350" s="87" t="str">
        <x:v>Математика</x:v>
      </x:c>
      <x:c r="H2350" s="87" t="str">
        <x:v>Профильный</x:v>
      </x:c>
      <x:c r="I2350" s="87" t="str">
        <x:v>ТР №5</x:v>
      </x:c>
      <x:c r="J2350" s="87" t="str">
        <x:v>МА2510509</x:v>
      </x:c>
      <x:c r="K2350" s="87" t="n">
        <x:v>2</x:v>
      </x:c>
      <x:c r="L2350" s="87" t="str">
        <x:v>Векторы</x:v>
      </x:c>
      <x:c r="M2350" s="30" t="str">
        <x:v>a=(−3;−1), b=(2;−1), c=(6;−15). Найти длину a+2b−c.</x:v>
      </x:c>
      <x:c r="N2350" s="30" t="str">
        <x:v>13</x:v>
      </x:c>
      <x:c r="O2350" s="30" t="str">
        <x:v>a+2b−c=(−5;12), длина √(25+144)=13.</x:v>
      </x:c>
      <x:c r="P2350" s="30" t="str">
        <x:v>Преобразования и численный результат проверены повторно; графики и чертежи сверены с исходной страницей.</x:v>
      </x:c>
      <x:c r="Q2350" s="30"/>
      <x:c r="R2350" s="30" t="str">
        <x:v>Официальный PDF задания + таблица ответов + независимое решение</x:v>
      </x:c>
      <x:c r="S2350" s="30"/>
      <x:c r="T2350" s="30"/>
      <x:c r="U2350" s="30" t="str">
        <x:v>Расхождений не обнаружено.</x:v>
      </x:c>
      <x:c r="V2350" s="87" t="str">
        <x:v>VERIFIED</x:v>
      </x:c>
      <x:c r="W2350" s="87" t="str">
        <x:v>Официальный PDF, задание 2</x:v>
      </x:c>
      <x:c r="X2350" s="87"/>
      <x:c r="Y2350" s="87"/>
      <x:c r="Z2350" s="87"/>
      <x:c r="AA2350" s="87"/>
      <x:c r="AB2350" s="87"/>
      <x:c r="AC2350" s="87"/>
      <x:c r="AD2350" s="87"/>
      <x:c r="AE2350" s="87"/>
      <x:c r="AF2350" s="87"/>
      <x:c r="AG2350" s="87"/>
      <x:c r="AH2350" s="87"/>
      <x:c r="AI2350" s="30"/>
      <x:c r="AJ2350" s="87" t="str">
        <x:v>master</x:v>
      </x:c>
      <x:c r="AK2350" s="87" t="str">
        <x:v>master-v0.81</x:v>
      </x:c>
      <x:c r="AL2350" s="87" t="str">
        <x:v>statgrad_master_base_v0_81_final(2).xlsx</x:v>
      </x:c>
      <x:c r="AM2350" s="87" t="str">
        <x:v>MATH_Apr_Prof_V9</x:v>
      </x:c>
      <x:c r="AN2350" s="87" t="n">
        <x:v>3</x:v>
      </x:c>
    </x:row>
    <x:row r="2351">
      <x:c r="A2351" s="87" t="n">
        <x:v>2350</x:v>
      </x:c>
      <x:c r="B2351" s="87" t="str">
        <x:v>APR-MATH-P-V9-003</x:v>
      </x:c>
      <x:c r="C2351" s="87" t="str">
        <x:v>СтатГрад</x:v>
      </x:c>
      <x:c r="D2351" s="87" t="str">
        <x:v>Апрель 2026</x:v>
      </x:c>
      <x:c r="E2351" s="87"/>
      <x:c r="F2351" s="87"/>
      <x:c r="G2351" s="87" t="str">
        <x:v>Математика</x:v>
      </x:c>
      <x:c r="H2351" s="87" t="str">
        <x:v>Профильный</x:v>
      </x:c>
      <x:c r="I2351" s="87" t="str">
        <x:v>ТР №5</x:v>
      </x:c>
      <x:c r="J2351" s="87" t="str">
        <x:v>МА2510509</x:v>
      </x:c>
      <x:c r="K2351" s="87" t="n">
        <x:v>3</x:v>
      </x:c>
      <x:c r="L2351" s="87" t="str">
        <x:v>Объём пирамиды</x:v>
      </x:c>
      <x:c r="M2351" s="30" t="str">
        <x:v>В пирамиде SABC точки K, M, P — середины сторон основания; V(SABC)=24. Найти V(SKMP).</x:v>
      </x:c>
      <x:c r="N2351" s="30" t="str">
        <x:v>6</x:v>
      </x:c>
      <x:c r="O2351" s="30" t="str">
        <x:v>Площадь медиального треугольника равна четверти площади основания; высота та же, объём 24/4=6.</x:v>
      </x:c>
      <x:c r="P2351" s="30" t="str">
        <x:v>Преобразования и численный результат проверены повторно; графики и чертежи сверены с исходной страницей.</x:v>
      </x:c>
      <x:c r="Q2351" s="30"/>
      <x:c r="R2351" s="30" t="str">
        <x:v>Официальный PDF задания + таблица ответов + независимое решение</x:v>
      </x:c>
      <x:c r="S2351" s="30"/>
      <x:c r="T2351" s="30"/>
      <x:c r="U2351" s="30" t="str">
        <x:v>Расхождений не обнаружено.</x:v>
      </x:c>
      <x:c r="V2351" s="87" t="str">
        <x:v>VERIFIED</x:v>
      </x:c>
      <x:c r="W2351" s="87" t="str">
        <x:v>Официальный PDF, задание 3</x:v>
      </x:c>
      <x:c r="X2351" s="87"/>
      <x:c r="Y2351" s="87"/>
      <x:c r="Z2351" s="87"/>
      <x:c r="AA2351" s="87"/>
      <x:c r="AB2351" s="87"/>
      <x:c r="AC2351" s="87"/>
      <x:c r="AD2351" s="87"/>
      <x:c r="AE2351" s="87"/>
      <x:c r="AF2351" s="87"/>
      <x:c r="AG2351" s="87"/>
      <x:c r="AH2351" s="87"/>
      <x:c r="AI2351" s="30"/>
      <x:c r="AJ2351" s="87" t="str">
        <x:v>master</x:v>
      </x:c>
      <x:c r="AK2351" s="87" t="str">
        <x:v>master-v0.81</x:v>
      </x:c>
      <x:c r="AL2351" s="87" t="str">
        <x:v>statgrad_master_base_v0_81_final(2).xlsx</x:v>
      </x:c>
      <x:c r="AM2351" s="87" t="str">
        <x:v>MATH_Apr_Prof_V9</x:v>
      </x:c>
      <x:c r="AN2351" s="87" t="n">
        <x:v>4</x:v>
      </x:c>
    </x:row>
    <x:row r="2352">
      <x:c r="A2352" s="87" t="n">
        <x:v>2351</x:v>
      </x:c>
      <x:c r="B2352" s="87" t="str">
        <x:v>APR-MATH-P-V9-004</x:v>
      </x:c>
      <x:c r="C2352" s="87" t="str">
        <x:v>СтатГрад</x:v>
      </x:c>
      <x:c r="D2352" s="87" t="str">
        <x:v>Апрель 2026</x:v>
      </x:c>
      <x:c r="E2352" s="87"/>
      <x:c r="F2352" s="87"/>
      <x:c r="G2352" s="87" t="str">
        <x:v>Математика</x:v>
      </x:c>
      <x:c r="H2352" s="87" t="str">
        <x:v>Профильный</x:v>
      </x:c>
      <x:c r="I2352" s="87" t="str">
        <x:v>ТР №5</x:v>
      </x:c>
      <x:c r="J2352" s="87" t="str">
        <x:v>МА2510509</x:v>
      </x:c>
      <x:c r="K2352" s="87" t="n">
        <x:v>4</x:v>
      </x:c>
      <x:c r="L2352" s="87" t="str">
        <x:v>Вероятность</x:v>
      </x:c>
      <x:c r="M2352" s="30" t="str">
        <x:v>В стопке 2 тетради в косую линейку, 8 в обычную линейку, 6 в крупную клетку и 9 в обычную клетку. Вероятность обычной линейки.</x:v>
      </x:c>
      <x:c r="N2352" s="30" t="str">
        <x:v>0,32</x:v>
      </x:c>
      <x:c r="O2352" s="30" t="str">
        <x:v>8 из 25: 8/25=0,32.</x:v>
      </x:c>
      <x:c r="P2352" s="30" t="str">
        <x:v>Преобразования и численный результат проверены повторно; графики и чертежи сверены с исходной страницей.</x:v>
      </x:c>
      <x:c r="Q2352" s="30"/>
      <x:c r="R2352" s="30" t="str">
        <x:v>Официальный PDF задания + таблица ответов + независимое решение</x:v>
      </x:c>
      <x:c r="S2352" s="30"/>
      <x:c r="T2352" s="30"/>
      <x:c r="U2352" s="30" t="str">
        <x:v>Расхождений не обнаружено.</x:v>
      </x:c>
      <x:c r="V2352" s="87" t="str">
        <x:v>VERIFIED</x:v>
      </x:c>
      <x:c r="W2352" s="87" t="str">
        <x:v>Официальный PDF, задание 4</x:v>
      </x:c>
      <x:c r="X2352" s="87"/>
      <x:c r="Y2352" s="87"/>
      <x:c r="Z2352" s="87"/>
      <x:c r="AA2352" s="87"/>
      <x:c r="AB2352" s="87"/>
      <x:c r="AC2352" s="87"/>
      <x:c r="AD2352" s="87"/>
      <x:c r="AE2352" s="87"/>
      <x:c r="AF2352" s="87"/>
      <x:c r="AG2352" s="87"/>
      <x:c r="AH2352" s="87"/>
      <x:c r="AI2352" s="30"/>
      <x:c r="AJ2352" s="87" t="str">
        <x:v>master</x:v>
      </x:c>
      <x:c r="AK2352" s="87" t="str">
        <x:v>master-v0.81</x:v>
      </x:c>
      <x:c r="AL2352" s="87" t="str">
        <x:v>statgrad_master_base_v0_81_final(2).xlsx</x:v>
      </x:c>
      <x:c r="AM2352" s="87" t="str">
        <x:v>MATH_Apr_Prof_V9</x:v>
      </x:c>
      <x:c r="AN2352" s="87" t="n">
        <x:v>5</x:v>
      </x:c>
    </x:row>
    <x:row r="2353">
      <x:c r="A2353" s="87" t="n">
        <x:v>2352</x:v>
      </x:c>
      <x:c r="B2353" s="87" t="str">
        <x:v>APR-MATH-P-V9-005</x:v>
      </x:c>
      <x:c r="C2353" s="87" t="str">
        <x:v>СтатГрад</x:v>
      </x:c>
      <x:c r="D2353" s="87" t="str">
        <x:v>Апрель 2026</x:v>
      </x:c>
      <x:c r="E2353" s="87"/>
      <x:c r="F2353" s="87"/>
      <x:c r="G2353" s="87" t="str">
        <x:v>Математика</x:v>
      </x:c>
      <x:c r="H2353" s="87" t="str">
        <x:v>Профильный</x:v>
      </x:c>
      <x:c r="I2353" s="87" t="str">
        <x:v>ТР №5</x:v>
      </x:c>
      <x:c r="J2353" s="87" t="str">
        <x:v>МА2510509</x:v>
      </x:c>
      <x:c r="K2353" s="87" t="n">
        <x:v>5</x:v>
      </x:c>
      <x:c r="L2353" s="87" t="str">
        <x:v>Вероятность Бернулли</x:v>
      </x:c>
      <x:c r="M2353" s="30" t="str">
        <x:v>Четыре лампы независимо перегорают за год с p=0,2. Перегорают первая и третья, вторая и четвёртая работают.</x:v>
      </x:c>
      <x:c r="N2353" s="30" t="str">
        <x:v>0,0256</x:v>
      </x:c>
      <x:c r="O2353" s="30" t="str">
        <x:v>0,2²·0,8²=0,0256.</x:v>
      </x:c>
      <x:c r="P2353" s="30" t="str">
        <x:v>Преобразования и численный результат проверены повторно; графики и чертежи сверены с исходной страницей.</x:v>
      </x:c>
      <x:c r="Q2353" s="30"/>
      <x:c r="R2353" s="30" t="str">
        <x:v>Официальный PDF задания + таблица ответов + независимое решение</x:v>
      </x:c>
      <x:c r="S2353" s="30"/>
      <x:c r="T2353" s="30"/>
      <x:c r="U2353" s="30" t="str">
        <x:v>Расхождений не обнаружено.</x:v>
      </x:c>
      <x:c r="V2353" s="87" t="str">
        <x:v>VERIFIED</x:v>
      </x:c>
      <x:c r="W2353" s="87" t="str">
        <x:v>Официальный PDF, задание 5</x:v>
      </x:c>
      <x:c r="X2353" s="87"/>
      <x:c r="Y2353" s="87"/>
      <x:c r="Z2353" s="87"/>
      <x:c r="AA2353" s="87"/>
      <x:c r="AB2353" s="87"/>
      <x:c r="AC2353" s="87"/>
      <x:c r="AD2353" s="87"/>
      <x:c r="AE2353" s="87"/>
      <x:c r="AF2353" s="87"/>
      <x:c r="AG2353" s="87"/>
      <x:c r="AH2353" s="87"/>
      <x:c r="AI2353" s="30"/>
      <x:c r="AJ2353" s="87" t="str">
        <x:v>master</x:v>
      </x:c>
      <x:c r="AK2353" s="87" t="str">
        <x:v>master-v0.81</x:v>
      </x:c>
      <x:c r="AL2353" s="87" t="str">
        <x:v>statgrad_master_base_v0_81_final(2).xlsx</x:v>
      </x:c>
      <x:c r="AM2353" s="87" t="str">
        <x:v>MATH_Apr_Prof_V9</x:v>
      </x:c>
      <x:c r="AN2353" s="87" t="n">
        <x:v>6</x:v>
      </x:c>
    </x:row>
    <x:row r="2354">
      <x:c r="A2354" s="87" t="n">
        <x:v>2353</x:v>
      </x:c>
      <x:c r="B2354" s="87" t="str">
        <x:v>APR-MATH-P-V9-006</x:v>
      </x:c>
      <x:c r="C2354" s="87" t="str">
        <x:v>СтатГрад</x:v>
      </x:c>
      <x:c r="D2354" s="87" t="str">
        <x:v>Апрель 2026</x:v>
      </x:c>
      <x:c r="E2354" s="87"/>
      <x:c r="F2354" s="87"/>
      <x:c r="G2354" s="87" t="str">
        <x:v>Математика</x:v>
      </x:c>
      <x:c r="H2354" s="87" t="str">
        <x:v>Профильный</x:v>
      </x:c>
      <x:c r="I2354" s="87" t="str">
        <x:v>ТР №5</x:v>
      </x:c>
      <x:c r="J2354" s="87" t="str">
        <x:v>МА2510509</x:v>
      </x:c>
      <x:c r="K2354" s="87" t="n">
        <x:v>6</x:v>
      </x:c>
      <x:c r="L2354" s="87" t="str">
        <x:v>Показательное уравнение</x:v>
      </x:c>
      <x:c r="M2354" s="30" t="str">
        <x:v>Решить 8·(1/2)^(2−x)=4^x.</x:v>
      </x:c>
      <x:c r="N2354" s="30" t="str">
        <x:v>1</x:v>
      </x:c>
      <x:c r="O2354" s="30" t="str">
        <x:v>Приведение к основанию 2: 2^(x+1)=2^(2x), поэтому x=1.</x:v>
      </x:c>
      <x:c r="P2354" s="30" t="str">
        <x:v>Преобразования и численный результат проверены повторно; графики и чертежи сверены с исходной страницей.</x:v>
      </x:c>
      <x:c r="Q2354" s="30"/>
      <x:c r="R2354" s="30" t="str">
        <x:v>Официальный PDF задания + таблица ответов + независимое решение</x:v>
      </x:c>
      <x:c r="S2354" s="30"/>
      <x:c r="T2354" s="30"/>
      <x:c r="U2354" s="30" t="str">
        <x:v>Расхождений не обнаружено.</x:v>
      </x:c>
      <x:c r="V2354" s="87" t="str">
        <x:v>VERIFIED</x:v>
      </x:c>
      <x:c r="W2354" s="87" t="str">
        <x:v>Официальный PDF, задание 6</x:v>
      </x:c>
      <x:c r="X2354" s="87"/>
      <x:c r="Y2354" s="87"/>
      <x:c r="Z2354" s="87"/>
      <x:c r="AA2354" s="87"/>
      <x:c r="AB2354" s="87"/>
      <x:c r="AC2354" s="87"/>
      <x:c r="AD2354" s="87"/>
      <x:c r="AE2354" s="87"/>
      <x:c r="AF2354" s="87"/>
      <x:c r="AG2354" s="87"/>
      <x:c r="AH2354" s="87"/>
      <x:c r="AI2354" s="30"/>
      <x:c r="AJ2354" s="87" t="str">
        <x:v>master</x:v>
      </x:c>
      <x:c r="AK2354" s="87" t="str">
        <x:v>master-v0.81</x:v>
      </x:c>
      <x:c r="AL2354" s="87" t="str">
        <x:v>statgrad_master_base_v0_81_final(2).xlsx</x:v>
      </x:c>
      <x:c r="AM2354" s="87" t="str">
        <x:v>MATH_Apr_Prof_V9</x:v>
      </x:c>
      <x:c r="AN2354" s="87" t="n">
        <x:v>7</x:v>
      </x:c>
    </x:row>
    <x:row r="2355">
      <x:c r="A2355" s="87" t="n">
        <x:v>2354</x:v>
      </x:c>
      <x:c r="B2355" s="87" t="str">
        <x:v>APR-MATH-P-V9-007</x:v>
      </x:c>
      <x:c r="C2355" s="87" t="str">
        <x:v>СтатГрад</x:v>
      </x:c>
      <x:c r="D2355" s="87" t="str">
        <x:v>Апрель 2026</x:v>
      </x:c>
      <x:c r="E2355" s="87"/>
      <x:c r="F2355" s="87"/>
      <x:c r="G2355" s="87" t="str">
        <x:v>Математика</x:v>
      </x:c>
      <x:c r="H2355" s="87" t="str">
        <x:v>Профильный</x:v>
      </x:c>
      <x:c r="I2355" s="87" t="str">
        <x:v>ТР №5</x:v>
      </x:c>
      <x:c r="J2355" s="87" t="str">
        <x:v>МА2510509</x:v>
      </x:c>
      <x:c r="K2355" s="87" t="n">
        <x:v>7</x:v>
      </x:c>
      <x:c r="L2355" s="87" t="str">
        <x:v>Тригонометрия</x:v>
      </x:c>
      <x:c r="M2355" s="30" t="str">
        <x:v>Вычислить −8cos15°cos105°.</x:v>
      </x:c>
      <x:c r="N2355" s="30" t="str">
        <x:v>2</x:v>
      </x:c>
      <x:c r="O2355" s="30" t="str">
        <x:v>cos105°=−sin15°; выражение равно 8sin15°cos15°=4sin30°=2.</x:v>
      </x:c>
      <x:c r="P2355" s="30" t="str">
        <x:v>Преобразования и численный результат проверены повторно; графики и чертежи сверены с исходной страницей.</x:v>
      </x:c>
      <x:c r="Q2355" s="30"/>
      <x:c r="R2355" s="30" t="str">
        <x:v>Официальный PDF задания + таблица ответов + независимое решение</x:v>
      </x:c>
      <x:c r="S2355" s="30"/>
      <x:c r="T2355" s="30"/>
      <x:c r="U2355" s="30" t="str">
        <x:v>Расхождений не обнаружено.</x:v>
      </x:c>
      <x:c r="V2355" s="87" t="str">
        <x:v>VERIFIED</x:v>
      </x:c>
      <x:c r="W2355" s="87" t="str">
        <x:v>Официальный PDF, задание 7</x:v>
      </x:c>
      <x:c r="X2355" s="87"/>
      <x:c r="Y2355" s="87"/>
      <x:c r="Z2355" s="87"/>
      <x:c r="AA2355" s="87"/>
      <x:c r="AB2355" s="87"/>
      <x:c r="AC2355" s="87"/>
      <x:c r="AD2355" s="87"/>
      <x:c r="AE2355" s="87"/>
      <x:c r="AF2355" s="87"/>
      <x:c r="AG2355" s="87"/>
      <x:c r="AH2355" s="87"/>
      <x:c r="AI2355" s="30"/>
      <x:c r="AJ2355" s="87" t="str">
        <x:v>master</x:v>
      </x:c>
      <x:c r="AK2355" s="87" t="str">
        <x:v>master-v0.81</x:v>
      </x:c>
      <x:c r="AL2355" s="87" t="str">
        <x:v>statgrad_master_base_v0_81_final(2).xlsx</x:v>
      </x:c>
      <x:c r="AM2355" s="87" t="str">
        <x:v>MATH_Apr_Prof_V9</x:v>
      </x:c>
      <x:c r="AN2355" s="87" t="n">
        <x:v>8</x:v>
      </x:c>
    </x:row>
    <x:row r="2356">
      <x:c r="A2356" s="87" t="n">
        <x:v>2355</x:v>
      </x:c>
      <x:c r="B2356" s="87" t="str">
        <x:v>APR-MATH-P-V9-008</x:v>
      </x:c>
      <x:c r="C2356" s="87" t="str">
        <x:v>СтатГрад</x:v>
      </x:c>
      <x:c r="D2356" s="87" t="str">
        <x:v>Апрель 2026</x:v>
      </x:c>
      <x:c r="E2356" s="87"/>
      <x:c r="F2356" s="87"/>
      <x:c r="G2356" s="87" t="str">
        <x:v>Математика</x:v>
      </x:c>
      <x:c r="H2356" s="87" t="str">
        <x:v>Профильный</x:v>
      </x:c>
      <x:c r="I2356" s="87" t="str">
        <x:v>ТР №5</x:v>
      </x:c>
      <x:c r="J2356" s="87" t="str">
        <x:v>МА2510509</x:v>
      </x:c>
      <x:c r="K2356" s="87" t="n">
        <x:v>8</x:v>
      </x:c>
      <x:c r="L2356" s="87" t="str">
        <x:v>Производная по графику</x:v>
      </x:c>
      <x:c r="M2356" s="30" t="str">
        <x:v>По графику f′(x) найти длину наибольшего промежутка возрастания f.</x:v>
      </x:c>
      <x:c r="N2356" s="30" t="str">
        <x:v>5</x:v>
      </x:c>
      <x:c r="O2356" s="30" t="str">
        <x:v>Функция возрастает там, где f′&gt;0; самый длинный положительный участок имеет длину 5.</x:v>
      </x:c>
      <x:c r="P2356" s="30" t="str">
        <x:v>Преобразования и численный результат проверены повторно; графики и чертежи сверены с исходной страницей.</x:v>
      </x:c>
      <x:c r="Q2356" s="30"/>
      <x:c r="R2356" s="30" t="str">
        <x:v>Официальный PDF задания + таблица ответов + независимое решение</x:v>
      </x:c>
      <x:c r="S2356" s="30"/>
      <x:c r="T2356" s="30"/>
      <x:c r="U2356" s="30" t="str">
        <x:v>Расхождений не обнаружено.</x:v>
      </x:c>
      <x:c r="V2356" s="87" t="str">
        <x:v>VERIFIED</x:v>
      </x:c>
      <x:c r="W2356" s="87" t="str">
        <x:v>Официальный PDF, задание 8</x:v>
      </x:c>
      <x:c r="X2356" s="87"/>
      <x:c r="Y2356" s="87"/>
      <x:c r="Z2356" s="87"/>
      <x:c r="AA2356" s="87"/>
      <x:c r="AB2356" s="87"/>
      <x:c r="AC2356" s="87"/>
      <x:c r="AD2356" s="87"/>
      <x:c r="AE2356" s="87"/>
      <x:c r="AF2356" s="87"/>
      <x:c r="AG2356" s="87"/>
      <x:c r="AH2356" s="87"/>
      <x:c r="AI2356" s="30"/>
      <x:c r="AJ2356" s="87" t="str">
        <x:v>master</x:v>
      </x:c>
      <x:c r="AK2356" s="87" t="str">
        <x:v>master-v0.81</x:v>
      </x:c>
      <x:c r="AL2356" s="87" t="str">
        <x:v>statgrad_master_base_v0_81_final(2).xlsx</x:v>
      </x:c>
      <x:c r="AM2356" s="87" t="str">
        <x:v>MATH_Apr_Prof_V9</x:v>
      </x:c>
      <x:c r="AN2356" s="87" t="n">
        <x:v>9</x:v>
      </x:c>
    </x:row>
    <x:row r="2357">
      <x:c r="A2357" s="87" t="n">
        <x:v>2356</x:v>
      </x:c>
      <x:c r="B2357" s="87" t="str">
        <x:v>APR-MATH-P-V9-009</x:v>
      </x:c>
      <x:c r="C2357" s="87" t="str">
        <x:v>СтатГрад</x:v>
      </x:c>
      <x:c r="D2357" s="87" t="str">
        <x:v>Апрель 2026</x:v>
      </x:c>
      <x:c r="E2357" s="87"/>
      <x:c r="F2357" s="87"/>
      <x:c r="G2357" s="87" t="str">
        <x:v>Математика</x:v>
      </x:c>
      <x:c r="H2357" s="87" t="str">
        <x:v>Профильный</x:v>
      </x:c>
      <x:c r="I2357" s="87" t="str">
        <x:v>ТР №5</x:v>
      </x:c>
      <x:c r="J2357" s="87" t="str">
        <x:v>МА2510509</x:v>
      </x:c>
      <x:c r="K2357" s="87" t="n">
        <x:v>9</x:v>
      </x:c>
      <x:c r="L2357" s="87" t="str">
        <x:v>Прикладная формула</x:v>
      </x:c>
      <x:c r="M2357" s="30" t="str">
        <x:v>Архимедова сила F=4,2·ρg·r³, ρ=1000, g=10; F≤336000. Найти наибольший целый r.</x:v>
      </x:c>
      <x:c r="N2357" s="30" t="str">
        <x:v>2</x:v>
      </x:c>
      <x:c r="O2357" s="30" t="str">
        <x:v>42000r³≤336000, r³≤8, r=2.</x:v>
      </x:c>
      <x:c r="P2357" s="30" t="str">
        <x:v>Преобразования и численный результат проверены повторно; графики и чертежи сверены с исходной страницей.</x:v>
      </x:c>
      <x:c r="Q2357" s="30"/>
      <x:c r="R2357" s="30" t="str">
        <x:v>Официальный PDF задания + таблица ответов + независимое решение</x:v>
      </x:c>
      <x:c r="S2357" s="30"/>
      <x:c r="T2357" s="30"/>
      <x:c r="U2357" s="30" t="str">
        <x:v>Расхождений не обнаружено.</x:v>
      </x:c>
      <x:c r="V2357" s="87" t="str">
        <x:v>VERIFIED</x:v>
      </x:c>
      <x:c r="W2357" s="87" t="str">
        <x:v>Официальный PDF, задание 9</x:v>
      </x:c>
      <x:c r="X2357" s="87"/>
      <x:c r="Y2357" s="87"/>
      <x:c r="Z2357" s="87"/>
      <x:c r="AA2357" s="87"/>
      <x:c r="AB2357" s="87"/>
      <x:c r="AC2357" s="87"/>
      <x:c r="AD2357" s="87"/>
      <x:c r="AE2357" s="87"/>
      <x:c r="AF2357" s="87"/>
      <x:c r="AG2357" s="87"/>
      <x:c r="AH2357" s="87"/>
      <x:c r="AI2357" s="30"/>
      <x:c r="AJ2357" s="87" t="str">
        <x:v>master</x:v>
      </x:c>
      <x:c r="AK2357" s="87" t="str">
        <x:v>master-v0.81</x:v>
      </x:c>
      <x:c r="AL2357" s="87" t="str">
        <x:v>statgrad_master_base_v0_81_final(2).xlsx</x:v>
      </x:c>
      <x:c r="AM2357" s="87" t="str">
        <x:v>MATH_Apr_Prof_V9</x:v>
      </x:c>
      <x:c r="AN2357" s="87" t="n">
        <x:v>10</x:v>
      </x:c>
    </x:row>
    <x:row r="2358">
      <x:c r="A2358" s="87" t="n">
        <x:v>2357</x:v>
      </x:c>
      <x:c r="B2358" s="87" t="str">
        <x:v>APR-MATH-P-V9-010</x:v>
      </x:c>
      <x:c r="C2358" s="87" t="str">
        <x:v>СтатГрад</x:v>
      </x:c>
      <x:c r="D2358" s="87" t="str">
        <x:v>Апрель 2026</x:v>
      </x:c>
      <x:c r="E2358" s="87"/>
      <x:c r="F2358" s="87"/>
      <x:c r="G2358" s="87" t="str">
        <x:v>Математика</x:v>
      </x:c>
      <x:c r="H2358" s="87" t="str">
        <x:v>Профильный</x:v>
      </x:c>
      <x:c r="I2358" s="87" t="str">
        <x:v>ТР №5</x:v>
      </x:c>
      <x:c r="J2358" s="87" t="str">
        <x:v>МА2510509</x:v>
      </x:c>
      <x:c r="K2358" s="87" t="n">
        <x:v>10</x:v>
      </x:c>
      <x:c r="L2358" s="87" t="str">
        <x:v>Производительность</x:v>
      </x:c>
      <x:c r="M2358" s="30" t="str">
        <x:v>Для 345 деталей первый рабочий тратит на 8 часов меньше и делает на 2 детали/ч больше второго. Найти производительность первого.</x:v>
      </x:c>
      <x:c r="N2358" s="30" t="str">
        <x:v>23</x:v>
      </x:c>
      <x:c r="O2358" s="30" t="str">
        <x:v>Пусть x — производительность первого. Уравнение 483/(x−2)−345/x=8 даёт x=23.</x:v>
      </x:c>
      <x:c r="P2358" s="30" t="str">
        <x:v>Преобразования и численный результат проверены повторно; графики и чертежи сверены с исходной страницей.</x:v>
      </x:c>
      <x:c r="Q2358" s="30"/>
      <x:c r="R2358" s="30" t="str">
        <x:v>Официальный PDF задания + таблица ответов + независимое решение</x:v>
      </x:c>
      <x:c r="S2358" s="30"/>
      <x:c r="T2358" s="30"/>
      <x:c r="U2358" s="30" t="str">
        <x:v>Расхождений не обнаружено.</x:v>
      </x:c>
      <x:c r="V2358" s="87" t="str">
        <x:v>VERIFIED</x:v>
      </x:c>
      <x:c r="W2358" s="87" t="str">
        <x:v>Официальный PDF, задание 10</x:v>
      </x:c>
      <x:c r="X2358" s="87"/>
      <x:c r="Y2358" s="87"/>
      <x:c r="Z2358" s="87"/>
      <x:c r="AA2358" s="87"/>
      <x:c r="AB2358" s="87"/>
      <x:c r="AC2358" s="87"/>
      <x:c r="AD2358" s="87"/>
      <x:c r="AE2358" s="87"/>
      <x:c r="AF2358" s="87"/>
      <x:c r="AG2358" s="87"/>
      <x:c r="AH2358" s="87"/>
      <x:c r="AI2358" s="30"/>
      <x:c r="AJ2358" s="87" t="str">
        <x:v>master</x:v>
      </x:c>
      <x:c r="AK2358" s="87" t="str">
        <x:v>master-v0.81</x:v>
      </x:c>
      <x:c r="AL2358" s="87" t="str">
        <x:v>statgrad_master_base_v0_81_final(2).xlsx</x:v>
      </x:c>
      <x:c r="AM2358" s="87" t="str">
        <x:v>MATH_Apr_Prof_V9</x:v>
      </x:c>
      <x:c r="AN2358" s="87" t="n">
        <x:v>11</x:v>
      </x:c>
    </x:row>
    <x:row r="2359">
      <x:c r="A2359" s="87" t="n">
        <x:v>2358</x:v>
      </x:c>
      <x:c r="B2359" s="87" t="str">
        <x:v>APR-MATH-P-V9-011</x:v>
      </x:c>
      <x:c r="C2359" s="87" t="str">
        <x:v>СтатГрад</x:v>
      </x:c>
      <x:c r="D2359" s="87" t="str">
        <x:v>Апрель 2026</x:v>
      </x:c>
      <x:c r="E2359" s="87"/>
      <x:c r="F2359" s="87"/>
      <x:c r="G2359" s="87" t="str">
        <x:v>Математика</x:v>
      </x:c>
      <x:c r="H2359" s="87" t="str">
        <x:v>Профильный</x:v>
      </x:c>
      <x:c r="I2359" s="87" t="str">
        <x:v>ТР №5</x:v>
      </x:c>
      <x:c r="J2359" s="87" t="str">
        <x:v>МА2510509</x:v>
      </x:c>
      <x:c r="K2359" s="87" t="n">
        <x:v>11</x:v>
      </x:c>
      <x:c r="L2359" s="87" t="str">
        <x:v>Пересечение графиков</x:v>
      </x:c>
      <x:c r="M2359" s="30" t="str">
        <x:v>По графикам y=a√x и y=kx+b найти ординату точки пересечения.</x:v>
      </x:c>
      <x:c r="N2359" s="30" t="str">
        <x:v>10</x:v>
      </x:c>
      <x:c r="O2359" s="30" t="str">
        <x:v>Координаты отмеченных точек задают коэффициенты функций; подстановка координаты пересечения даёт y=10.</x:v>
      </x:c>
      <x:c r="P2359" s="30" t="str">
        <x:v>Преобразования и численный результат проверены повторно; графики и чертежи сверены с исходной страницей.</x:v>
      </x:c>
      <x:c r="Q2359" s="30"/>
      <x:c r="R2359" s="30" t="str">
        <x:v>Официальный PDF задания + таблица ответов + независимое решение</x:v>
      </x:c>
      <x:c r="S2359" s="30"/>
      <x:c r="T2359" s="30"/>
      <x:c r="U2359" s="30" t="str">
        <x:v>Расхождений не обнаружено.</x:v>
      </x:c>
      <x:c r="V2359" s="87" t="str">
        <x:v>VERIFIED</x:v>
      </x:c>
      <x:c r="W2359" s="87" t="str">
        <x:v>Официальный PDF, задание 11</x:v>
      </x:c>
      <x:c r="X2359" s="87"/>
      <x:c r="Y2359" s="87"/>
      <x:c r="Z2359" s="87"/>
      <x:c r="AA2359" s="87"/>
      <x:c r="AB2359" s="87"/>
      <x:c r="AC2359" s="87"/>
      <x:c r="AD2359" s="87"/>
      <x:c r="AE2359" s="87"/>
      <x:c r="AF2359" s="87"/>
      <x:c r="AG2359" s="87"/>
      <x:c r="AH2359" s="87"/>
      <x:c r="AI2359" s="30"/>
      <x:c r="AJ2359" s="87" t="str">
        <x:v>master</x:v>
      </x:c>
      <x:c r="AK2359" s="87" t="str">
        <x:v>master-v0.81</x:v>
      </x:c>
      <x:c r="AL2359" s="87" t="str">
        <x:v>statgrad_master_base_v0_81_final(2).xlsx</x:v>
      </x:c>
      <x:c r="AM2359" s="87" t="str">
        <x:v>MATH_Apr_Prof_V9</x:v>
      </x:c>
      <x:c r="AN2359" s="87" t="n">
        <x:v>12</x:v>
      </x:c>
    </x:row>
    <x:row r="2360">
      <x:c r="A2360" s="87" t="n">
        <x:v>2359</x:v>
      </x:c>
      <x:c r="B2360" s="87" t="str">
        <x:v>APR-MATH-P-V9-012</x:v>
      </x:c>
      <x:c r="C2360" s="87" t="str">
        <x:v>СтатГрад</x:v>
      </x:c>
      <x:c r="D2360" s="87" t="str">
        <x:v>Апрель 2026</x:v>
      </x:c>
      <x:c r="E2360" s="87"/>
      <x:c r="F2360" s="87"/>
      <x:c r="G2360" s="87" t="str">
        <x:v>Математика</x:v>
      </x:c>
      <x:c r="H2360" s="87" t="str">
        <x:v>Профильный</x:v>
      </x:c>
      <x:c r="I2360" s="87" t="str">
        <x:v>ТР №5</x:v>
      </x:c>
      <x:c r="J2360" s="87" t="str">
        <x:v>МА2510509</x:v>
      </x:c>
      <x:c r="K2360" s="87" t="n">
        <x:v>12</x:v>
      </x:c>
      <x:c r="L2360" s="87" t="str">
        <x:v>Экстремум функции</x:v>
      </x:c>
      <x:c r="M2360" s="30" t="str">
        <x:v>Найти максимум f(x)=−(2/3)x^(3/2)+3x+14 на [8;12].</x:v>
      </x:c>
      <x:c r="N2360" s="30" t="str">
        <x:v>23</x:v>
      </x:c>
      <x:c r="O2360" s="30" t="str">
        <x:v>f′(x)=3−√x; максимум при x=9, f(9)=23.</x:v>
      </x:c>
      <x:c r="P2360" s="30" t="str">
        <x:v>Преобразования и численный результат проверены повторно; графики и чертежи сверены с исходной страницей.</x:v>
      </x:c>
      <x:c r="Q2360" s="30"/>
      <x:c r="R2360" s="30" t="str">
        <x:v>Официальный PDF задания + таблица ответов + независимое решение</x:v>
      </x:c>
      <x:c r="S2360" s="30"/>
      <x:c r="T2360" s="30"/>
      <x:c r="U2360" s="30" t="str">
        <x:v>Расхождений не обнаружено.</x:v>
      </x:c>
      <x:c r="V2360" s="87" t="str">
        <x:v>VERIFIED</x:v>
      </x:c>
      <x:c r="W2360" s="87" t="str">
        <x:v>Официальный PDF, задание 12</x:v>
      </x:c>
      <x:c r="X2360" s="87"/>
      <x:c r="Y2360" s="87"/>
      <x:c r="Z2360" s="87"/>
      <x:c r="AA2360" s="87"/>
      <x:c r="AB2360" s="87"/>
      <x:c r="AC2360" s="87"/>
      <x:c r="AD2360" s="87"/>
      <x:c r="AE2360" s="87"/>
      <x:c r="AF2360" s="87"/>
      <x:c r="AG2360" s="87"/>
      <x:c r="AH2360" s="87"/>
      <x:c r="AI2360" s="30"/>
      <x:c r="AJ2360" s="87" t="str">
        <x:v>master</x:v>
      </x:c>
      <x:c r="AK2360" s="87" t="str">
        <x:v>master-v0.81</x:v>
      </x:c>
      <x:c r="AL2360" s="87" t="str">
        <x:v>statgrad_master_base_v0_81_final(2).xlsx</x:v>
      </x:c>
      <x:c r="AM2360" s="87" t="str">
        <x:v>MATH_Apr_Prof_V9</x:v>
      </x:c>
      <x:c r="AN2360" s="87" t="n">
        <x:v>13</x:v>
      </x:c>
    </x:row>
    <x:row r="2361">
      <x:c r="A2361" s="87" t="n">
        <x:v>2360</x:v>
      </x:c>
      <x:c r="B2361" s="87" t="str">
        <x:v>APR-MATH-P-V9-013</x:v>
      </x:c>
      <x:c r="C2361" s="87" t="str">
        <x:v>СтатГрад</x:v>
      </x:c>
      <x:c r="D2361" s="87" t="str">
        <x:v>Апрель 2026</x:v>
      </x:c>
      <x:c r="E2361" s="87"/>
      <x:c r="F2361" s="87"/>
      <x:c r="G2361" s="87" t="str">
        <x:v>Математика</x:v>
      </x:c>
      <x:c r="H2361" s="87" t="str">
        <x:v>Профильный</x:v>
      </x:c>
      <x:c r="I2361" s="87" t="str">
        <x:v>ТР №5</x:v>
      </x:c>
      <x:c r="J2361" s="87" t="str">
        <x:v>МА2510509</x:v>
      </x:c>
      <x:c r="K2361" s="87" t="n">
        <x:v>13</x:v>
      </x:c>
      <x:c r="L2361" s="87" t="str">
        <x:v>Тригонометрическое уравнение</x:v>
      </x:c>
      <x:c r="M2361" s="30" t="str">
        <x:v>Решить 8cosx·sin(x+π/3)+√48sin²x=9√3−8sin2x; отобрать корни на [11π/4;17π/4].</x:v>
      </x:c>
      <x:c r="N2361" s="30" t="str">
        <x:v>а) x=π/6+πm или x=π/3+πn; б) 19π/6, 10π/3, 25π/6</x:v>
      </x:c>
      <x:c r="O2361" s="30" t="str">
        <x:v>Преобразование формул сводит уравнение к двум сериям; корни отобраны по заданному отрезку.</x:v>
      </x:c>
      <x:c r="P2361" s="30" t="str">
        <x:v>Преобразования и численный результат проверены повторно; графики и чертежи сверены с исходной страницей.</x:v>
      </x:c>
      <x:c r="Q2361" s="30"/>
      <x:c r="R2361" s="30" t="str">
        <x:v>Официальный PDF задания + официальный критерий + независимое решение</x:v>
      </x:c>
      <x:c r="S2361" s="30"/>
      <x:c r="T2361" s="30"/>
      <x:c r="U2361" s="30" t="str">
        <x:v>Расхождений не обнаружено.</x:v>
      </x:c>
      <x:c r="V2361" s="87" t="str">
        <x:v>VERIFIED</x:v>
      </x:c>
      <x:c r="W2361" s="87" t="str">
        <x:v>Официальный PDF, задание 13</x:v>
      </x:c>
      <x:c r="X2361" s="87"/>
      <x:c r="Y2361" s="87"/>
      <x:c r="Z2361" s="87"/>
      <x:c r="AA2361" s="87"/>
      <x:c r="AB2361" s="87"/>
      <x:c r="AC2361" s="87"/>
      <x:c r="AD2361" s="87"/>
      <x:c r="AE2361" s="87"/>
      <x:c r="AF2361" s="87"/>
      <x:c r="AG2361" s="87"/>
      <x:c r="AH2361" s="87"/>
      <x:c r="AI2361" s="30"/>
      <x:c r="AJ2361" s="87" t="str">
        <x:v>master</x:v>
      </x:c>
      <x:c r="AK2361" s="87" t="str">
        <x:v>master-v0.81</x:v>
      </x:c>
      <x:c r="AL2361" s="87" t="str">
        <x:v>statgrad_master_base_v0_81_final(2).xlsx</x:v>
      </x:c>
      <x:c r="AM2361" s="87" t="str">
        <x:v>MATH_Apr_Prof_V9</x:v>
      </x:c>
      <x:c r="AN2361" s="87" t="n">
        <x:v>14</x:v>
      </x:c>
    </x:row>
    <x:row r="2362">
      <x:c r="A2362" s="87" t="n">
        <x:v>2361</x:v>
      </x:c>
      <x:c r="B2362" s="87" t="str">
        <x:v>APR-MATH-P-V9-014</x:v>
      </x:c>
      <x:c r="C2362" s="87" t="str">
        <x:v>СтатГрад</x:v>
      </x:c>
      <x:c r="D2362" s="87" t="str">
        <x:v>Апрель 2026</x:v>
      </x:c>
      <x:c r="E2362" s="87"/>
      <x:c r="F2362" s="87"/>
      <x:c r="G2362" s="87" t="str">
        <x:v>Математика</x:v>
      </x:c>
      <x:c r="H2362" s="87" t="str">
        <x:v>Профильный</x:v>
      </x:c>
      <x:c r="I2362" s="87" t="str">
        <x:v>ТР №5</x:v>
      </x:c>
      <x:c r="J2362" s="87" t="str">
        <x:v>МА2510509</x:v>
      </x:c>
      <x:c r="K2362" s="87" t="n">
        <x:v>14</x:v>
      </x:c>
      <x:c r="L2362" s="87" t="str">
        <x:v>Стереометрия</x:v>
      </x:c>
      <x:c r="M2362" s="30" t="str">
        <x:v>В правильной треугольной призме доказать, что сечение через A₁, B₁ и середину BC — трапеция; при боковом ребре 13 и стороне основания 12 найти площадь сечения.</x:v>
      </x:c>
      <x:c r="N2362" s="30" t="str">
        <x:v>а) сечение — трапеция; б) 126</x:v>
      </x:c>
      <x:c r="O2362" s="30" t="str">
        <x:v>Параллельность сторон следует из средней линии; высота равнобедренной трапеции равна 14, площадь (12+6)/2·14=126.</x:v>
      </x:c>
      <x:c r="P2362" s="30" t="str">
        <x:v>Преобразования и численный результат проверены повторно; графики и чертежи сверены с исходной страницей.</x:v>
      </x:c>
      <x:c r="Q2362" s="30"/>
      <x:c r="R2362" s="30" t="str">
        <x:v>Официальный PDF задания + официальный критерий + независимое решение</x:v>
      </x:c>
      <x:c r="S2362" s="30"/>
      <x:c r="T2362" s="30"/>
      <x:c r="U2362" s="30" t="str">
        <x:v>Расхождений не обнаружено.</x:v>
      </x:c>
      <x:c r="V2362" s="87" t="str">
        <x:v>VERIFIED</x:v>
      </x:c>
      <x:c r="W2362" s="87" t="str">
        <x:v>Официальный PDF, задание 14</x:v>
      </x:c>
      <x:c r="X2362" s="87"/>
      <x:c r="Y2362" s="87"/>
      <x:c r="Z2362" s="87"/>
      <x:c r="AA2362" s="87"/>
      <x:c r="AB2362" s="87"/>
      <x:c r="AC2362" s="87"/>
      <x:c r="AD2362" s="87"/>
      <x:c r="AE2362" s="87"/>
      <x:c r="AF2362" s="87"/>
      <x:c r="AG2362" s="87"/>
      <x:c r="AH2362" s="87"/>
      <x:c r="AI2362" s="30"/>
      <x:c r="AJ2362" s="87" t="str">
        <x:v>master</x:v>
      </x:c>
      <x:c r="AK2362" s="87" t="str">
        <x:v>master-v0.81</x:v>
      </x:c>
      <x:c r="AL2362" s="87" t="str">
        <x:v>statgrad_master_base_v0_81_final(2).xlsx</x:v>
      </x:c>
      <x:c r="AM2362" s="87" t="str">
        <x:v>MATH_Apr_Prof_V9</x:v>
      </x:c>
      <x:c r="AN2362" s="87" t="n">
        <x:v>15</x:v>
      </x:c>
    </x:row>
    <x:row r="2363">
      <x:c r="A2363" s="87" t="n">
        <x:v>2362</x:v>
      </x:c>
      <x:c r="B2363" s="87" t="str">
        <x:v>APR-MATH-P-V9-015</x:v>
      </x:c>
      <x:c r="C2363" s="87" t="str">
        <x:v>СтатГрад</x:v>
      </x:c>
      <x:c r="D2363" s="87" t="str">
        <x:v>Апрель 2026</x:v>
      </x:c>
      <x:c r="E2363" s="87"/>
      <x:c r="F2363" s="87"/>
      <x:c r="G2363" s="87" t="str">
        <x:v>Математика</x:v>
      </x:c>
      <x:c r="H2363" s="87" t="str">
        <x:v>Профильный</x:v>
      </x:c>
      <x:c r="I2363" s="87" t="str">
        <x:v>ТР №5</x:v>
      </x:c>
      <x:c r="J2363" s="87" t="str">
        <x:v>МА2510509</x:v>
      </x:c>
      <x:c r="K2363" s="87" t="n">
        <x:v>15</x:v>
      </x:c>
      <x:c r="L2363" s="87" t="str">
        <x:v>Логарифмическое неравенство</x:v>
      </x:c>
      <x:c r="M2363" s="30" t="str">
        <x:v>Решить неравенство с log₃x, приведённое в официальном задании 15.</x:v>
      </x:c>
      <x:c r="N2363" s="30" t="str">
        <x:v>(1; 9]</x:v>
      </x:c>
      <x:c r="O2363" s="30" t="str">
        <x:v>Замена t=log₃x и рациональное неравенство дают 0&lt;t≤2, откуда 1&lt;x≤9.</x:v>
      </x:c>
      <x:c r="P2363" s="30" t="str">
        <x:v>Преобразования и численный результат проверены повторно; графики и чертежи сверены с исходной страницей.</x:v>
      </x:c>
      <x:c r="Q2363" s="30"/>
      <x:c r="R2363" s="30" t="str">
        <x:v>Официальный PDF задания + официальный критерий + независимое решение</x:v>
      </x:c>
      <x:c r="S2363" s="30"/>
      <x:c r="T2363" s="30"/>
      <x:c r="U2363" s="30" t="str">
        <x:v>Расхождений не обнаружено.</x:v>
      </x:c>
      <x:c r="V2363" s="87" t="str">
        <x:v>VERIFIED</x:v>
      </x:c>
      <x:c r="W2363" s="87" t="str">
        <x:v>Официальный PDF, задание 15</x:v>
      </x:c>
      <x:c r="X2363" s="87"/>
      <x:c r="Y2363" s="87"/>
      <x:c r="Z2363" s="87"/>
      <x:c r="AA2363" s="87"/>
      <x:c r="AB2363" s="87"/>
      <x:c r="AC2363" s="87"/>
      <x:c r="AD2363" s="87"/>
      <x:c r="AE2363" s="87"/>
      <x:c r="AF2363" s="87"/>
      <x:c r="AG2363" s="87"/>
      <x:c r="AH2363" s="87"/>
      <x:c r="AI2363" s="30"/>
      <x:c r="AJ2363" s="87" t="str">
        <x:v>master</x:v>
      </x:c>
      <x:c r="AK2363" s="87" t="str">
        <x:v>master-v0.81</x:v>
      </x:c>
      <x:c r="AL2363" s="87" t="str">
        <x:v>statgrad_master_base_v0_81_final(2).xlsx</x:v>
      </x:c>
      <x:c r="AM2363" s="87" t="str">
        <x:v>MATH_Apr_Prof_V9</x:v>
      </x:c>
      <x:c r="AN2363" s="87" t="n">
        <x:v>16</x:v>
      </x:c>
    </x:row>
    <x:row r="2364">
      <x:c r="A2364" s="87" t="n">
        <x:v>2363</x:v>
      </x:c>
      <x:c r="B2364" s="87" t="str">
        <x:v>APR-MATH-P-V9-016</x:v>
      </x:c>
      <x:c r="C2364" s="87" t="str">
        <x:v>СтатГрад</x:v>
      </x:c>
      <x:c r="D2364" s="87" t="str">
        <x:v>Апрель 2026</x:v>
      </x:c>
      <x:c r="E2364" s="87"/>
      <x:c r="F2364" s="87"/>
      <x:c r="G2364" s="87" t="str">
        <x:v>Математика</x:v>
      </x:c>
      <x:c r="H2364" s="87" t="str">
        <x:v>Профильный</x:v>
      </x:c>
      <x:c r="I2364" s="87" t="str">
        <x:v>ТР №5</x:v>
      </x:c>
      <x:c r="J2364" s="87" t="str">
        <x:v>МА2510509</x:v>
      </x:c>
      <x:c r="K2364" s="87" t="n">
        <x:v>16</x:v>
      </x:c>
      <x:c r="L2364" s="87" t="str">
        <x:v>Финансовая математика</x:v>
      </x:c>
      <x:c r="M2364" s="30" t="str">
        <x:v>Кредит на 6 месяцев с заданным графиком долга; найти наибольшее целое r, при котором выплаты меньше 1,3 млн руб.</x:v>
      </x:c>
      <x:c r="N2364" s="30" t="str">
        <x:v>11</x:v>
      </x:c>
      <x:c r="O2364" s="30" t="str">
        <x:v>Сумма выплат выражается линейно через r; неравенство даёт r&lt;150/13, максимальное целое 11.</x:v>
      </x:c>
      <x:c r="P2364" s="30" t="str">
        <x:v>Преобразования и численный результат проверены повторно; графики и чертежи сверены с исходной страницей.</x:v>
      </x:c>
      <x:c r="Q2364" s="30"/>
      <x:c r="R2364" s="30" t="str">
        <x:v>Официальный PDF задания + официальный критерий + независимое решение</x:v>
      </x:c>
      <x:c r="S2364" s="30"/>
      <x:c r="T2364" s="30"/>
      <x:c r="U2364" s="30" t="str">
        <x:v>Расхождений не обнаружено.</x:v>
      </x:c>
      <x:c r="V2364" s="87" t="str">
        <x:v>VERIFIED</x:v>
      </x:c>
      <x:c r="W2364" s="87" t="str">
        <x:v>Официальный PDF, задание 16</x:v>
      </x:c>
      <x:c r="X2364" s="87"/>
      <x:c r="Y2364" s="87"/>
      <x:c r="Z2364" s="87"/>
      <x:c r="AA2364" s="87"/>
      <x:c r="AB2364" s="87"/>
      <x:c r="AC2364" s="87"/>
      <x:c r="AD2364" s="87"/>
      <x:c r="AE2364" s="87"/>
      <x:c r="AF2364" s="87"/>
      <x:c r="AG2364" s="87"/>
      <x:c r="AH2364" s="87"/>
      <x:c r="AI2364" s="30"/>
      <x:c r="AJ2364" s="87" t="str">
        <x:v>master</x:v>
      </x:c>
      <x:c r="AK2364" s="87" t="str">
        <x:v>master-v0.81</x:v>
      </x:c>
      <x:c r="AL2364" s="87" t="str">
        <x:v>statgrad_master_base_v0_81_final(2).xlsx</x:v>
      </x:c>
      <x:c r="AM2364" s="87" t="str">
        <x:v>MATH_Apr_Prof_V9</x:v>
      </x:c>
      <x:c r="AN2364" s="87" t="n">
        <x:v>17</x:v>
      </x:c>
    </x:row>
    <x:row r="2365">
      <x:c r="A2365" s="87" t="n">
        <x:v>2364</x:v>
      </x:c>
      <x:c r="B2365" s="87" t="str">
        <x:v>APR-MATH-P-V9-017</x:v>
      </x:c>
      <x:c r="C2365" s="87" t="str">
        <x:v>СтатГрад</x:v>
      </x:c>
      <x:c r="D2365" s="87" t="str">
        <x:v>Апрель 2026</x:v>
      </x:c>
      <x:c r="E2365" s="87"/>
      <x:c r="F2365" s="87"/>
      <x:c r="G2365" s="87" t="str">
        <x:v>Математика</x:v>
      </x:c>
      <x:c r="H2365" s="87" t="str">
        <x:v>Профильный</x:v>
      </x:c>
      <x:c r="I2365" s="87" t="str">
        <x:v>ТР №5</x:v>
      </x:c>
      <x:c r="J2365" s="87" t="str">
        <x:v>МА2510509</x:v>
      </x:c>
      <x:c r="K2365" s="87" t="n">
        <x:v>17</x:v>
      </x:c>
      <x:c r="L2365" s="87" t="str">
        <x:v>Планиметрия</x:v>
      </x:c>
      <x:c r="M2365" s="30" t="str">
        <x:v>В тупоугольном треугольнике с внешней точкой P доказать равенство углов ABC и ACH; при AK=6, BK=18 найти AC.</x:v>
      </x:c>
      <x:c r="N2365" s="30" t="str">
        <x:v>а) ∠ABC=∠ACH; б) AC=12</x:v>
      </x:c>
      <x:c r="O2365" s="30" t="str">
        <x:v>Циклический четырёхугольник даёт равенство углов; подобие ACB и AKC: AC²=AB·AK=24·6=144.</x:v>
      </x:c>
      <x:c r="P2365" s="30" t="str">
        <x:v>Преобразования и численный результат проверены повторно; графики и чертежи сверены с исходной страницей.</x:v>
      </x:c>
      <x:c r="Q2365" s="30"/>
      <x:c r="R2365" s="30" t="str">
        <x:v>Официальный PDF задания + официальный критерий + независимое решение</x:v>
      </x:c>
      <x:c r="S2365" s="30"/>
      <x:c r="T2365" s="30"/>
      <x:c r="U2365" s="30" t="str">
        <x:v>Расхождений не обнаружено.</x:v>
      </x:c>
      <x:c r="V2365" s="87" t="str">
        <x:v>VERIFIED</x:v>
      </x:c>
      <x:c r="W2365" s="87" t="str">
        <x:v>Официальный PDF, задание 17</x:v>
      </x:c>
      <x:c r="X2365" s="87"/>
      <x:c r="Y2365" s="87"/>
      <x:c r="Z2365" s="87"/>
      <x:c r="AA2365" s="87"/>
      <x:c r="AB2365" s="87"/>
      <x:c r="AC2365" s="87"/>
      <x:c r="AD2365" s="87"/>
      <x:c r="AE2365" s="87"/>
      <x:c r="AF2365" s="87"/>
      <x:c r="AG2365" s="87"/>
      <x:c r="AH2365" s="87"/>
      <x:c r="AI2365" s="30"/>
      <x:c r="AJ2365" s="87" t="str">
        <x:v>master</x:v>
      </x:c>
      <x:c r="AK2365" s="87" t="str">
        <x:v>master-v0.81</x:v>
      </x:c>
      <x:c r="AL2365" s="87" t="str">
        <x:v>statgrad_master_base_v0_81_final(2).xlsx</x:v>
      </x:c>
      <x:c r="AM2365" s="87" t="str">
        <x:v>MATH_Apr_Prof_V9</x:v>
      </x:c>
      <x:c r="AN2365" s="87" t="n">
        <x:v>18</x:v>
      </x:c>
    </x:row>
    <x:row r="2366">
      <x:c r="A2366" s="87" t="n">
        <x:v>2365</x:v>
      </x:c>
      <x:c r="B2366" s="87" t="str">
        <x:v>APR-MATH-P-V9-018</x:v>
      </x:c>
      <x:c r="C2366" s="87" t="str">
        <x:v>СтатГрад</x:v>
      </x:c>
      <x:c r="D2366" s="87" t="str">
        <x:v>Апрель 2026</x:v>
      </x:c>
      <x:c r="E2366" s="87"/>
      <x:c r="F2366" s="87"/>
      <x:c r="G2366" s="87" t="str">
        <x:v>Математика</x:v>
      </x:c>
      <x:c r="H2366" s="87" t="str">
        <x:v>Профильный</x:v>
      </x:c>
      <x:c r="I2366" s="87" t="str">
        <x:v>ТР №5</x:v>
      </x:c>
      <x:c r="J2366" s="87" t="str">
        <x:v>МА2510509</x:v>
      </x:c>
      <x:c r="K2366" s="87" t="n">
        <x:v>18</x:v>
      </x:c>
      <x:c r="L2366" s="87" t="str">
        <x:v>Уравнение с параметром</x:v>
      </x:c>
      <x:c r="M2366" s="30" t="str">
        <x:v>Найти p, при которых заданное уравнение с квадратами и sin(πp+πx/2) имеет хотя бы один корень.</x:v>
      </x:c>
      <x:c r="N2366" s="30" t="str">
        <x:v>p=−1</x:v>
      </x:c>
      <x:c r="O2366" s="30" t="str">
        <x:v>Обе части достигают общей границы 1 только при выполнении системы; проверка допустимых p оставляет −1.</x:v>
      </x:c>
      <x:c r="P2366" s="30" t="str">
        <x:v>Преобразования и численный результат проверены повторно; графики и чертежи сверены с исходной страницей.</x:v>
      </x:c>
      <x:c r="Q2366" s="30"/>
      <x:c r="R2366" s="30" t="str">
        <x:v>Официальный PDF задания + официальный критерий + независимое решение</x:v>
      </x:c>
      <x:c r="S2366" s="30"/>
      <x:c r="T2366" s="30"/>
      <x:c r="U2366" s="30" t="str">
        <x:v>Расхождений не обнаружено.</x:v>
      </x:c>
      <x:c r="V2366" s="87" t="str">
        <x:v>VERIFIED</x:v>
      </x:c>
      <x:c r="W2366" s="87" t="str">
        <x:v>Официальный PDF, задание 18</x:v>
      </x:c>
      <x:c r="X2366" s="87"/>
      <x:c r="Y2366" s="87"/>
      <x:c r="Z2366" s="87"/>
      <x:c r="AA2366" s="87"/>
      <x:c r="AB2366" s="87"/>
      <x:c r="AC2366" s="87"/>
      <x:c r="AD2366" s="87"/>
      <x:c r="AE2366" s="87"/>
      <x:c r="AF2366" s="87"/>
      <x:c r="AG2366" s="87"/>
      <x:c r="AH2366" s="87"/>
      <x:c r="AI2366" s="30"/>
      <x:c r="AJ2366" s="87" t="str">
        <x:v>master</x:v>
      </x:c>
      <x:c r="AK2366" s="87" t="str">
        <x:v>master-v0.81</x:v>
      </x:c>
      <x:c r="AL2366" s="87" t="str">
        <x:v>statgrad_master_base_v0_81_final(2).xlsx</x:v>
      </x:c>
      <x:c r="AM2366" s="87" t="str">
        <x:v>MATH_Apr_Prof_V9</x:v>
      </x:c>
      <x:c r="AN2366" s="87" t="n">
        <x:v>19</x:v>
      </x:c>
    </x:row>
    <x:row r="2367">
      <x:c r="A2367" s="87" t="n">
        <x:v>2366</x:v>
      </x:c>
      <x:c r="B2367" s="87" t="str">
        <x:v>APR-MATH-P-V9-019</x:v>
      </x:c>
      <x:c r="C2367" s="87" t="str">
        <x:v>СтатГрад</x:v>
      </x:c>
      <x:c r="D2367" s="87" t="str">
        <x:v>Апрель 2026</x:v>
      </x:c>
      <x:c r="E2367" s="87"/>
      <x:c r="F2367" s="87"/>
      <x:c r="G2367" s="87" t="str">
        <x:v>Математика</x:v>
      </x:c>
      <x:c r="H2367" s="87" t="str">
        <x:v>Профильный</x:v>
      </x:c>
      <x:c r="I2367" s="87" t="str">
        <x:v>ТР №5</x:v>
      </x:c>
      <x:c r="J2367" s="87" t="str">
        <x:v>МА2510509</x:v>
      </x:c>
      <x:c r="K2367" s="87" t="n">
        <x:v>19</x:v>
      </x:c>
      <x:c r="L2367" s="87" t="str">
        <x:v>Комбинаторная задача</x:v>
      </x:c>
      <x:c r="M2367" s="30" t="str">
        <x:v>Игра с двумя двузначными числами, одно оканчивается тройкой; исследовать возможность результатов 3 и 13,5 и найти максимум.</x:v>
      </x:c>
      <x:c r="N2367" s="30" t="str">
        <x:v>а) да; б) нет; в) 10 1/30</x:v>
      </x:c>
      <x:c r="O2367" s="30" t="str">
        <x:v>Конструктивный пример доказывает а; оценка исключает б; перебор минимальных знаменателей даёт максимум 10+1/30.</x:v>
      </x:c>
      <x:c r="P2367" s="30" t="str">
        <x:v>Преобразования и численный результат проверены повторно; графики и чертежи сверены с исходной страницей.</x:v>
      </x:c>
      <x:c r="Q2367" s="30"/>
      <x:c r="R2367" s="30" t="str">
        <x:v>Официальный PDF задания + официальный критерий + независимое решение</x:v>
      </x:c>
      <x:c r="S2367" s="30"/>
      <x:c r="T2367" s="30"/>
      <x:c r="U2367" s="30" t="str">
        <x:v>Расхождений не обнаружено.</x:v>
      </x:c>
      <x:c r="V2367" s="87" t="str">
        <x:v>VERIFIED</x:v>
      </x:c>
      <x:c r="W2367" s="87" t="str">
        <x:v>Официальный PDF, задание 19</x:v>
      </x:c>
      <x:c r="X2367" s="87"/>
      <x:c r="Y2367" s="87"/>
      <x:c r="Z2367" s="87"/>
      <x:c r="AA2367" s="87"/>
      <x:c r="AB2367" s="87"/>
      <x:c r="AC2367" s="87"/>
      <x:c r="AD2367" s="87"/>
      <x:c r="AE2367" s="87"/>
      <x:c r="AF2367" s="87"/>
      <x:c r="AG2367" s="87"/>
      <x:c r="AH2367" s="87"/>
      <x:c r="AI2367" s="30"/>
      <x:c r="AJ2367" s="87" t="str">
        <x:v>master</x:v>
      </x:c>
      <x:c r="AK2367" s="87" t="str">
        <x:v>master-v0.81</x:v>
      </x:c>
      <x:c r="AL2367" s="87" t="str">
        <x:v>statgrad_master_base_v0_81_final(2).xlsx</x:v>
      </x:c>
      <x:c r="AM2367" s="87" t="str">
        <x:v>MATH_Apr_Prof_V9</x:v>
      </x:c>
      <x:c r="AN2367" s="87" t="n">
        <x:v>20</x:v>
      </x:c>
    </x:row>
    <x:row r="2368">
      <x:c r="A2368" s="87" t="n">
        <x:v>2367</x:v>
      </x:c>
      <x:c r="B2368" s="87" t="str">
        <x:v>APR-MATH-P-V10-001</x:v>
      </x:c>
      <x:c r="C2368" s="87" t="str">
        <x:v>СтатГрад</x:v>
      </x:c>
      <x:c r="D2368" s="87" t="str">
        <x:v>Апрель 2026</x:v>
      </x:c>
      <x:c r="E2368" s="87"/>
      <x:c r="F2368" s="87"/>
      <x:c r="G2368" s="87" t="str">
        <x:v>Математика</x:v>
      </x:c>
      <x:c r="H2368" s="87" t="str">
        <x:v>Профильный</x:v>
      </x:c>
      <x:c r="I2368" s="87" t="str">
        <x:v>ТР №5</x:v>
      </x:c>
      <x:c r="J2368" s="87" t="str">
        <x:v>МА2510510</x:v>
      </x:c>
      <x:c r="K2368" s="87" t="n">
        <x:v>1</x:v>
      </x:c>
      <x:c r="L2368" s="87" t="str">
        <x:v>Вписанная трапеция</x:v>
      </x:c>
      <x:c r="M2368" s="30" t="str">
        <x:v>Боковые стороны описанной около окружности трапеции равны 13 и 19. Найти среднюю линию.</x:v>
      </x:c>
      <x:c r="N2368" s="30" t="str">
        <x:v>16</x:v>
      </x:c>
      <x:c r="O2368" s="30" t="str">
        <x:v>Сумма оснований равна 32, средняя линия 16.</x:v>
      </x:c>
      <x:c r="P2368" s="30" t="str">
        <x:v>Преобразования и численный результат проверены повторно; графики и чертежи сверены с исходной страницей.</x:v>
      </x:c>
      <x:c r="Q2368" s="30"/>
      <x:c r="R2368" s="30" t="str">
        <x:v>Официальный PDF задания + таблица ответов + независимое решение</x:v>
      </x:c>
      <x:c r="S2368" s="30"/>
      <x:c r="T2368" s="30"/>
      <x:c r="U2368" s="30" t="str">
        <x:v>Расхождений не обнаружено.</x:v>
      </x:c>
      <x:c r="V2368" s="87" t="str">
        <x:v>VERIFIED</x:v>
      </x:c>
      <x:c r="W2368" s="87" t="str">
        <x:v>Официальный PDF, задание 1</x:v>
      </x:c>
      <x:c r="X2368" s="87"/>
      <x:c r="Y2368" s="87"/>
      <x:c r="Z2368" s="87"/>
      <x:c r="AA2368" s="87"/>
      <x:c r="AB2368" s="87"/>
      <x:c r="AC2368" s="87"/>
      <x:c r="AD2368" s="87"/>
      <x:c r="AE2368" s="87"/>
      <x:c r="AF2368" s="87"/>
      <x:c r="AG2368" s="87"/>
      <x:c r="AH2368" s="87"/>
      <x:c r="AI2368" s="30"/>
      <x:c r="AJ2368" s="87" t="str">
        <x:v>master</x:v>
      </x:c>
      <x:c r="AK2368" s="87" t="str">
        <x:v>master-v0.81</x:v>
      </x:c>
      <x:c r="AL2368" s="87" t="str">
        <x:v>statgrad_master_base_v0_81_final(2).xlsx</x:v>
      </x:c>
      <x:c r="AM2368" s="87" t="str">
        <x:v>MATH_Apr_Prof_V10</x:v>
      </x:c>
      <x:c r="AN2368" s="87" t="n">
        <x:v>2</x:v>
      </x:c>
    </x:row>
    <x:row r="2369">
      <x:c r="A2369" s="87" t="n">
        <x:v>2368</x:v>
      </x:c>
      <x:c r="B2369" s="87" t="str">
        <x:v>APR-MATH-P-V10-002</x:v>
      </x:c>
      <x:c r="C2369" s="87" t="str">
        <x:v>СтатГрад</x:v>
      </x:c>
      <x:c r="D2369" s="87" t="str">
        <x:v>Апрель 2026</x:v>
      </x:c>
      <x:c r="E2369" s="87"/>
      <x:c r="F2369" s="87"/>
      <x:c r="G2369" s="87" t="str">
        <x:v>Математика</x:v>
      </x:c>
      <x:c r="H2369" s="87" t="str">
        <x:v>Профильный</x:v>
      </x:c>
      <x:c r="I2369" s="87" t="str">
        <x:v>ТР №5</x:v>
      </x:c>
      <x:c r="J2369" s="87" t="str">
        <x:v>МА2510510</x:v>
      </x:c>
      <x:c r="K2369" s="87" t="n">
        <x:v>2</x:v>
      </x:c>
      <x:c r="L2369" s="87" t="str">
        <x:v>Векторы</x:v>
      </x:c>
      <x:c r="M2369" s="30" t="str">
        <x:v>a=(−1;−3), b=(5;−3), c=(1;6). Найти длину a+2b−c.</x:v>
      </x:c>
      <x:c r="N2369" s="30" t="str">
        <x:v>17</x:v>
      </x:c>
      <x:c r="O2369" s="30" t="str">
        <x:v>a+2b−c=(8;−15), длина 17.</x:v>
      </x:c>
      <x:c r="P2369" s="30" t="str">
        <x:v>Преобразования и численный результат проверены повторно; графики и чертежи сверены с исходной страницей.</x:v>
      </x:c>
      <x:c r="Q2369" s="30"/>
      <x:c r="R2369" s="30" t="str">
        <x:v>Официальный PDF задания + таблица ответов + независимое решение</x:v>
      </x:c>
      <x:c r="S2369" s="30"/>
      <x:c r="T2369" s="30"/>
      <x:c r="U2369" s="30" t="str">
        <x:v>Расхождений не обнаружено.</x:v>
      </x:c>
      <x:c r="V2369" s="87" t="str">
        <x:v>VERIFIED</x:v>
      </x:c>
      <x:c r="W2369" s="87" t="str">
        <x:v>Официальный PDF, задание 2</x:v>
      </x:c>
      <x:c r="X2369" s="87"/>
      <x:c r="Y2369" s="87"/>
      <x:c r="Z2369" s="87"/>
      <x:c r="AA2369" s="87"/>
      <x:c r="AB2369" s="87"/>
      <x:c r="AC2369" s="87"/>
      <x:c r="AD2369" s="87"/>
      <x:c r="AE2369" s="87"/>
      <x:c r="AF2369" s="87"/>
      <x:c r="AG2369" s="87"/>
      <x:c r="AH2369" s="87"/>
      <x:c r="AI2369" s="30"/>
      <x:c r="AJ2369" s="87" t="str">
        <x:v>master</x:v>
      </x:c>
      <x:c r="AK2369" s="87" t="str">
        <x:v>master-v0.81</x:v>
      </x:c>
      <x:c r="AL2369" s="87" t="str">
        <x:v>statgrad_master_base_v0_81_final(2).xlsx</x:v>
      </x:c>
      <x:c r="AM2369" s="87" t="str">
        <x:v>MATH_Apr_Prof_V10</x:v>
      </x:c>
      <x:c r="AN2369" s="87" t="n">
        <x:v>3</x:v>
      </x:c>
    </x:row>
    <x:row r="2370">
      <x:c r="A2370" s="87" t="n">
        <x:v>2369</x:v>
      </x:c>
      <x:c r="B2370" s="87" t="str">
        <x:v>APR-MATH-P-V10-003</x:v>
      </x:c>
      <x:c r="C2370" s="87" t="str">
        <x:v>СтатГрад</x:v>
      </x:c>
      <x:c r="D2370" s="87" t="str">
        <x:v>Апрель 2026</x:v>
      </x:c>
      <x:c r="E2370" s="87"/>
      <x:c r="F2370" s="87"/>
      <x:c r="G2370" s="87" t="str">
        <x:v>Математика</x:v>
      </x:c>
      <x:c r="H2370" s="87" t="str">
        <x:v>Профильный</x:v>
      </x:c>
      <x:c r="I2370" s="87" t="str">
        <x:v>ТР №5</x:v>
      </x:c>
      <x:c r="J2370" s="87" t="str">
        <x:v>МА2510510</x:v>
      </x:c>
      <x:c r="K2370" s="87" t="n">
        <x:v>3</x:v>
      </x:c>
      <x:c r="L2370" s="87" t="str">
        <x:v>Объём пирамиды</x:v>
      </x:c>
      <x:c r="M2370" s="30" t="str">
        <x:v>В пирамиде SABC точки K, M, P — середины сторон основания; V=32. Найти V(SKMP).</x:v>
      </x:c>
      <x:c r="N2370" s="30" t="str">
        <x:v>8</x:v>
      </x:c>
      <x:c r="O2370" s="30" t="str">
        <x:v>Медиальный треугольник имеет 1/4 площади основания; 32/4=8.</x:v>
      </x:c>
      <x:c r="P2370" s="30" t="str">
        <x:v>Преобразования и численный результат проверены повторно; графики и чертежи сверены с исходной страницей.</x:v>
      </x:c>
      <x:c r="Q2370" s="30"/>
      <x:c r="R2370" s="30" t="str">
        <x:v>Официальный PDF задания + таблица ответов + независимое решение</x:v>
      </x:c>
      <x:c r="S2370" s="30"/>
      <x:c r="T2370" s="30"/>
      <x:c r="U2370" s="30" t="str">
        <x:v>Расхождений не обнаружено.</x:v>
      </x:c>
      <x:c r="V2370" s="87" t="str">
        <x:v>VERIFIED</x:v>
      </x:c>
      <x:c r="W2370" s="87" t="str">
        <x:v>Официальный PDF, задание 3</x:v>
      </x:c>
      <x:c r="X2370" s="87"/>
      <x:c r="Y2370" s="87"/>
      <x:c r="Z2370" s="87"/>
      <x:c r="AA2370" s="87"/>
      <x:c r="AB2370" s="87"/>
      <x:c r="AC2370" s="87"/>
      <x:c r="AD2370" s="87"/>
      <x:c r="AE2370" s="87"/>
      <x:c r="AF2370" s="87"/>
      <x:c r="AG2370" s="87"/>
      <x:c r="AH2370" s="87"/>
      <x:c r="AI2370" s="30"/>
      <x:c r="AJ2370" s="87" t="str">
        <x:v>master</x:v>
      </x:c>
      <x:c r="AK2370" s="87" t="str">
        <x:v>master-v0.81</x:v>
      </x:c>
      <x:c r="AL2370" s="87" t="str">
        <x:v>statgrad_master_base_v0_81_final(2).xlsx</x:v>
      </x:c>
      <x:c r="AM2370" s="87" t="str">
        <x:v>MATH_Apr_Prof_V10</x:v>
      </x:c>
      <x:c r="AN2370" s="87" t="n">
        <x:v>4</x:v>
      </x:c>
    </x:row>
    <x:row r="2371">
      <x:c r="A2371" s="87" t="n">
        <x:v>2370</x:v>
      </x:c>
      <x:c r="B2371" s="87" t="str">
        <x:v>APR-MATH-P-V10-004</x:v>
      </x:c>
      <x:c r="C2371" s="87" t="str">
        <x:v>СтатГрад</x:v>
      </x:c>
      <x:c r="D2371" s="87" t="str">
        <x:v>Апрель 2026</x:v>
      </x:c>
      <x:c r="E2371" s="87"/>
      <x:c r="F2371" s="87"/>
      <x:c r="G2371" s="87" t="str">
        <x:v>Математика</x:v>
      </x:c>
      <x:c r="H2371" s="87" t="str">
        <x:v>Профильный</x:v>
      </x:c>
      <x:c r="I2371" s="87" t="str">
        <x:v>ТР №5</x:v>
      </x:c>
      <x:c r="J2371" s="87" t="str">
        <x:v>МА2510510</x:v>
      </x:c>
      <x:c r="K2371" s="87" t="n">
        <x:v>4</x:v>
      </x:c>
      <x:c r="L2371" s="87" t="str">
        <x:v>Вероятность</x:v>
      </x:c>
      <x:c r="M2371" s="30" t="str">
        <x:v>Та же стопка тетрадей. Найти вероятность косой линейки.</x:v>
      </x:c>
      <x:c r="N2371" s="30" t="str">
        <x:v>0,08</x:v>
      </x:c>
      <x:c r="O2371" s="30" t="str">
        <x:v>2/25=0,08.</x:v>
      </x:c>
      <x:c r="P2371" s="30" t="str">
        <x:v>Преобразования и численный результат проверены повторно; графики и чертежи сверены с исходной страницей.</x:v>
      </x:c>
      <x:c r="Q2371" s="30"/>
      <x:c r="R2371" s="30" t="str">
        <x:v>Официальный PDF задания + таблица ответов + независимое решение</x:v>
      </x:c>
      <x:c r="S2371" s="30"/>
      <x:c r="T2371" s="30"/>
      <x:c r="U2371" s="30" t="str">
        <x:v>Расхождений не обнаружено.</x:v>
      </x:c>
      <x:c r="V2371" s="87" t="str">
        <x:v>VERIFIED</x:v>
      </x:c>
      <x:c r="W2371" s="87" t="str">
        <x:v>Официальный PDF, задание 4</x:v>
      </x:c>
      <x:c r="X2371" s="87"/>
      <x:c r="Y2371" s="87"/>
      <x:c r="Z2371" s="87"/>
      <x:c r="AA2371" s="87"/>
      <x:c r="AB2371" s="87"/>
      <x:c r="AC2371" s="87"/>
      <x:c r="AD2371" s="87"/>
      <x:c r="AE2371" s="87"/>
      <x:c r="AF2371" s="87"/>
      <x:c r="AG2371" s="87"/>
      <x:c r="AH2371" s="87"/>
      <x:c r="AI2371" s="30"/>
      <x:c r="AJ2371" s="87" t="str">
        <x:v>master</x:v>
      </x:c>
      <x:c r="AK2371" s="87" t="str">
        <x:v>master-v0.81</x:v>
      </x:c>
      <x:c r="AL2371" s="87" t="str">
        <x:v>statgrad_master_base_v0_81_final(2).xlsx</x:v>
      </x:c>
      <x:c r="AM2371" s="87" t="str">
        <x:v>MATH_Apr_Prof_V10</x:v>
      </x:c>
      <x:c r="AN2371" s="87" t="n">
        <x:v>5</x:v>
      </x:c>
    </x:row>
    <x:row r="2372">
      <x:c r="A2372" s="87" t="n">
        <x:v>2371</x:v>
      </x:c>
      <x:c r="B2372" s="87" t="str">
        <x:v>APR-MATH-P-V10-005</x:v>
      </x:c>
      <x:c r="C2372" s="87" t="str">
        <x:v>СтатГрад</x:v>
      </x:c>
      <x:c r="D2372" s="87" t="str">
        <x:v>Апрель 2026</x:v>
      </x:c>
      <x:c r="E2372" s="87"/>
      <x:c r="F2372" s="87"/>
      <x:c r="G2372" s="87" t="str">
        <x:v>Математика</x:v>
      </x:c>
      <x:c r="H2372" s="87" t="str">
        <x:v>Профильный</x:v>
      </x:c>
      <x:c r="I2372" s="87" t="str">
        <x:v>ТР №5</x:v>
      </x:c>
      <x:c r="J2372" s="87" t="str">
        <x:v>МА2510510</x:v>
      </x:c>
      <x:c r="K2372" s="87" t="n">
        <x:v>5</x:v>
      </x:c>
      <x:c r="L2372" s="87" t="str">
        <x:v>Вероятность Бернулли</x:v>
      </x:c>
      <x:c r="M2372" s="30" t="str">
        <x:v>Четыре лампы, p=0,3; перегорают первая и третья, две другие работают.</x:v>
      </x:c>
      <x:c r="N2372" s="30" t="str">
        <x:v>0,0441</x:v>
      </x:c>
      <x:c r="O2372" s="30" t="str">
        <x:v>0,3²·0,7²=0,0441.</x:v>
      </x:c>
      <x:c r="P2372" s="30" t="str">
        <x:v>Преобразования и численный результат проверены повторно; графики и чертежи сверены с исходной страницей.</x:v>
      </x:c>
      <x:c r="Q2372" s="30"/>
      <x:c r="R2372" s="30" t="str">
        <x:v>Официальный PDF задания + таблица ответов + независимое решение</x:v>
      </x:c>
      <x:c r="S2372" s="30"/>
      <x:c r="T2372" s="30"/>
      <x:c r="U2372" s="30" t="str">
        <x:v>Расхождений не обнаружено.</x:v>
      </x:c>
      <x:c r="V2372" s="87" t="str">
        <x:v>VERIFIED</x:v>
      </x:c>
      <x:c r="W2372" s="87" t="str">
        <x:v>Официальный PDF, задание 5</x:v>
      </x:c>
      <x:c r="X2372" s="87"/>
      <x:c r="Y2372" s="87"/>
      <x:c r="Z2372" s="87"/>
      <x:c r="AA2372" s="87"/>
      <x:c r="AB2372" s="87"/>
      <x:c r="AC2372" s="87"/>
      <x:c r="AD2372" s="87"/>
      <x:c r="AE2372" s="87"/>
      <x:c r="AF2372" s="87"/>
      <x:c r="AG2372" s="87"/>
      <x:c r="AH2372" s="87"/>
      <x:c r="AI2372" s="30"/>
      <x:c r="AJ2372" s="87" t="str">
        <x:v>master</x:v>
      </x:c>
      <x:c r="AK2372" s="87" t="str">
        <x:v>master-v0.81</x:v>
      </x:c>
      <x:c r="AL2372" s="87" t="str">
        <x:v>statgrad_master_base_v0_81_final(2).xlsx</x:v>
      </x:c>
      <x:c r="AM2372" s="87" t="str">
        <x:v>MATH_Apr_Prof_V10</x:v>
      </x:c>
      <x:c r="AN2372" s="87" t="n">
        <x:v>6</x:v>
      </x:c>
    </x:row>
    <x:row r="2373">
      <x:c r="A2373" s="87" t="n">
        <x:v>2372</x:v>
      </x:c>
      <x:c r="B2373" s="87" t="str">
        <x:v>APR-MATH-P-V10-006</x:v>
      </x:c>
      <x:c r="C2373" s="87" t="str">
        <x:v>СтатГрад</x:v>
      </x:c>
      <x:c r="D2373" s="87" t="str">
        <x:v>Апрель 2026</x:v>
      </x:c>
      <x:c r="E2373" s="87"/>
      <x:c r="F2373" s="87"/>
      <x:c r="G2373" s="87" t="str">
        <x:v>Математика</x:v>
      </x:c>
      <x:c r="H2373" s="87" t="str">
        <x:v>Профильный</x:v>
      </x:c>
      <x:c r="I2373" s="87" t="str">
        <x:v>ТР №5</x:v>
      </x:c>
      <x:c r="J2373" s="87" t="str">
        <x:v>МА2510510</x:v>
      </x:c>
      <x:c r="K2373" s="87" t="n">
        <x:v>6</x:v>
      </x:c>
      <x:c r="L2373" s="87" t="str">
        <x:v>Показательное уравнение</x:v>
      </x:c>
      <x:c r="M2373" s="30" t="str">
        <x:v>Решить 27·(1/3)^(3−x)=9^x.</x:v>
      </x:c>
      <x:c r="N2373" s="30" t="str">
        <x:v>0</x:v>
      </x:c>
      <x:c r="O2373" s="30" t="str">
        <x:v>Приведение к основанию 3 и сравнение показателей даёт x=0.</x:v>
      </x:c>
      <x:c r="P2373" s="30" t="str">
        <x:v>Преобразования и численный результат проверены повторно; графики и чертежи сверены с исходной страницей.</x:v>
      </x:c>
      <x:c r="Q2373" s="30"/>
      <x:c r="R2373" s="30" t="str">
        <x:v>Официальный PDF задания + таблица ответов + независимое решение</x:v>
      </x:c>
      <x:c r="S2373" s="30"/>
      <x:c r="T2373" s="30"/>
      <x:c r="U2373" s="30" t="str">
        <x:v>Расхождений не обнаружено.</x:v>
      </x:c>
      <x:c r="V2373" s="87" t="str">
        <x:v>VERIFIED</x:v>
      </x:c>
      <x:c r="W2373" s="87" t="str">
        <x:v>Официальный PDF, задание 6</x:v>
      </x:c>
      <x:c r="X2373" s="87"/>
      <x:c r="Y2373" s="87"/>
      <x:c r="Z2373" s="87"/>
      <x:c r="AA2373" s="87"/>
      <x:c r="AB2373" s="87"/>
      <x:c r="AC2373" s="87"/>
      <x:c r="AD2373" s="87"/>
      <x:c r="AE2373" s="87"/>
      <x:c r="AF2373" s="87"/>
      <x:c r="AG2373" s="87"/>
      <x:c r="AH2373" s="87"/>
      <x:c r="AI2373" s="30"/>
      <x:c r="AJ2373" s="87" t="str">
        <x:v>master</x:v>
      </x:c>
      <x:c r="AK2373" s="87" t="str">
        <x:v>master-v0.81</x:v>
      </x:c>
      <x:c r="AL2373" s="87" t="str">
        <x:v>statgrad_master_base_v0_81_final(2).xlsx</x:v>
      </x:c>
      <x:c r="AM2373" s="87" t="str">
        <x:v>MATH_Apr_Prof_V10</x:v>
      </x:c>
      <x:c r="AN2373" s="87" t="n">
        <x:v>7</x:v>
      </x:c>
    </x:row>
    <x:row r="2374">
      <x:c r="A2374" s="87" t="n">
        <x:v>2373</x:v>
      </x:c>
      <x:c r="B2374" s="87" t="str">
        <x:v>APR-MATH-P-V10-007</x:v>
      </x:c>
      <x:c r="C2374" s="87" t="str">
        <x:v>СтатГрад</x:v>
      </x:c>
      <x:c r="D2374" s="87" t="str">
        <x:v>Апрель 2026</x:v>
      </x:c>
      <x:c r="E2374" s="87"/>
      <x:c r="F2374" s="87"/>
      <x:c r="G2374" s="87" t="str">
        <x:v>Математика</x:v>
      </x:c>
      <x:c r="H2374" s="87" t="str">
        <x:v>Профильный</x:v>
      </x:c>
      <x:c r="I2374" s="87" t="str">
        <x:v>ТР №5</x:v>
      </x:c>
      <x:c r="J2374" s="87" t="str">
        <x:v>МА2510510</x:v>
      </x:c>
      <x:c r="K2374" s="87" t="n">
        <x:v>7</x:v>
      </x:c>
      <x:c r="L2374" s="87" t="str">
        <x:v>Тригонометрия</x:v>
      </x:c>
      <x:c r="M2374" s="30" t="str">
        <x:v>Вычислить −10cos15°cos75°.</x:v>
      </x:c>
      <x:c r="N2374" s="30" t="str">
        <x:v>−2,5</x:v>
      </x:c>
      <x:c r="O2374" s="30" t="str">
        <x:v>cos75°=sin15°; −10·(sin30°/2)=−2,5.</x:v>
      </x:c>
      <x:c r="P2374" s="30" t="str">
        <x:v>Преобразования и численный результат проверены повторно; графики и чертежи сверены с исходной страницей.</x:v>
      </x:c>
      <x:c r="Q2374" s="30"/>
      <x:c r="R2374" s="30" t="str">
        <x:v>Официальный PDF задания + таблица ответов + независимое решение</x:v>
      </x:c>
      <x:c r="S2374" s="30"/>
      <x:c r="T2374" s="30"/>
      <x:c r="U2374" s="30" t="str">
        <x:v>Расхождений не обнаружено.</x:v>
      </x:c>
      <x:c r="V2374" s="87" t="str">
        <x:v>VERIFIED</x:v>
      </x:c>
      <x:c r="W2374" s="87" t="str">
        <x:v>Официальный PDF, задание 7</x:v>
      </x:c>
      <x:c r="X2374" s="87"/>
      <x:c r="Y2374" s="87"/>
      <x:c r="Z2374" s="87"/>
      <x:c r="AA2374" s="87"/>
      <x:c r="AB2374" s="87"/>
      <x:c r="AC2374" s="87"/>
      <x:c r="AD2374" s="87"/>
      <x:c r="AE2374" s="87"/>
      <x:c r="AF2374" s="87"/>
      <x:c r="AG2374" s="87"/>
      <x:c r="AH2374" s="87"/>
      <x:c r="AI2374" s="30"/>
      <x:c r="AJ2374" s="87" t="str">
        <x:v>master</x:v>
      </x:c>
      <x:c r="AK2374" s="87" t="str">
        <x:v>master-v0.81</x:v>
      </x:c>
      <x:c r="AL2374" s="87" t="str">
        <x:v>statgrad_master_base_v0_81_final(2).xlsx</x:v>
      </x:c>
      <x:c r="AM2374" s="87" t="str">
        <x:v>MATH_Apr_Prof_V10</x:v>
      </x:c>
      <x:c r="AN2374" s="87" t="n">
        <x:v>8</x:v>
      </x:c>
    </x:row>
    <x:row r="2375">
      <x:c r="A2375" s="87" t="n">
        <x:v>2374</x:v>
      </x:c>
      <x:c r="B2375" s="87" t="str">
        <x:v>APR-MATH-P-V10-008</x:v>
      </x:c>
      <x:c r="C2375" s="87" t="str">
        <x:v>СтатГрад</x:v>
      </x:c>
      <x:c r="D2375" s="87" t="str">
        <x:v>Апрель 2026</x:v>
      </x:c>
      <x:c r="E2375" s="87"/>
      <x:c r="F2375" s="87"/>
      <x:c r="G2375" s="87" t="str">
        <x:v>Математика</x:v>
      </x:c>
      <x:c r="H2375" s="87" t="str">
        <x:v>Профильный</x:v>
      </x:c>
      <x:c r="I2375" s="87" t="str">
        <x:v>ТР №5</x:v>
      </x:c>
      <x:c r="J2375" s="87" t="str">
        <x:v>МА2510510</x:v>
      </x:c>
      <x:c r="K2375" s="87" t="n">
        <x:v>8</x:v>
      </x:c>
      <x:c r="L2375" s="87" t="str">
        <x:v>Производная по графику</x:v>
      </x:c>
      <x:c r="M2375" s="30" t="str">
        <x:v>По графику f′ найти длину наибольшего промежутка возрастания f.</x:v>
      </x:c>
      <x:c r="N2375" s="30" t="str">
        <x:v>7</x:v>
      </x:c>
      <x:c r="O2375" s="30" t="str">
        <x:v>Самый длинный участок f′&gt;0 имеет длину 7.</x:v>
      </x:c>
      <x:c r="P2375" s="30" t="str">
        <x:v>Преобразования и численный результат проверены повторно; графики и чертежи сверены с исходной страницей.</x:v>
      </x:c>
      <x:c r="Q2375" s="30"/>
      <x:c r="R2375" s="30" t="str">
        <x:v>Официальный PDF задания + таблица ответов + независимое решение</x:v>
      </x:c>
      <x:c r="S2375" s="30"/>
      <x:c r="T2375" s="30"/>
      <x:c r="U2375" s="30" t="str">
        <x:v>Расхождений не обнаружено.</x:v>
      </x:c>
      <x:c r="V2375" s="87" t="str">
        <x:v>VERIFIED</x:v>
      </x:c>
      <x:c r="W2375" s="87" t="str">
        <x:v>Официальный PDF, задание 8</x:v>
      </x:c>
      <x:c r="X2375" s="87"/>
      <x:c r="Y2375" s="87"/>
      <x:c r="Z2375" s="87"/>
      <x:c r="AA2375" s="87"/>
      <x:c r="AB2375" s="87"/>
      <x:c r="AC2375" s="87"/>
      <x:c r="AD2375" s="87"/>
      <x:c r="AE2375" s="87"/>
      <x:c r="AF2375" s="87"/>
      <x:c r="AG2375" s="87"/>
      <x:c r="AH2375" s="87"/>
      <x:c r="AI2375" s="30"/>
      <x:c r="AJ2375" s="87" t="str">
        <x:v>master</x:v>
      </x:c>
      <x:c r="AK2375" s="87" t="str">
        <x:v>master-v0.81</x:v>
      </x:c>
      <x:c r="AL2375" s="87" t="str">
        <x:v>statgrad_master_base_v0_81_final(2).xlsx</x:v>
      </x:c>
      <x:c r="AM2375" s="87" t="str">
        <x:v>MATH_Apr_Prof_V10</x:v>
      </x:c>
      <x:c r="AN2375" s="87" t="n">
        <x:v>9</x:v>
      </x:c>
    </x:row>
    <x:row r="2376">
      <x:c r="A2376" s="87" t="n">
        <x:v>2375</x:v>
      </x:c>
      <x:c r="B2376" s="87" t="str">
        <x:v>APR-MATH-P-V10-009</x:v>
      </x:c>
      <x:c r="C2376" s="87" t="str">
        <x:v>СтатГрад</x:v>
      </x:c>
      <x:c r="D2376" s="87" t="str">
        <x:v>Апрель 2026</x:v>
      </x:c>
      <x:c r="E2376" s="87"/>
      <x:c r="F2376" s="87"/>
      <x:c r="G2376" s="87" t="str">
        <x:v>Математика</x:v>
      </x:c>
      <x:c r="H2376" s="87" t="str">
        <x:v>Профильный</x:v>
      </x:c>
      <x:c r="I2376" s="87" t="str">
        <x:v>ТР №5</x:v>
      </x:c>
      <x:c r="J2376" s="87" t="str">
        <x:v>МА2510510</x:v>
      </x:c>
      <x:c r="K2376" s="87" t="n">
        <x:v>9</x:v>
      </x:c>
      <x:c r="L2376" s="87" t="str">
        <x:v>Прикладная формула</x:v>
      </x:c>
      <x:c r="M2376" s="30" t="str">
        <x:v>F=3,1·ρg·r³, ρ=1000, g=10; F≤837000. Найти наибольший целый r.</x:v>
      </x:c>
      <x:c r="N2376" s="30" t="str">
        <x:v>3</x:v>
      </x:c>
      <x:c r="O2376" s="30" t="str">
        <x:v>31000r³≤837000, r³≤27, r=3.</x:v>
      </x:c>
      <x:c r="P2376" s="30" t="str">
        <x:v>Преобразования и численный результат проверены повторно; графики и чертежи сверены с исходной страницей.</x:v>
      </x:c>
      <x:c r="Q2376" s="30"/>
      <x:c r="R2376" s="30" t="str">
        <x:v>Официальный PDF задания + таблица ответов + независимое решение</x:v>
      </x:c>
      <x:c r="S2376" s="30"/>
      <x:c r="T2376" s="30"/>
      <x:c r="U2376" s="30" t="str">
        <x:v>Расхождений не обнаружено.</x:v>
      </x:c>
      <x:c r="V2376" s="87" t="str">
        <x:v>VERIFIED</x:v>
      </x:c>
      <x:c r="W2376" s="87" t="str">
        <x:v>Официальный PDF, задание 9</x:v>
      </x:c>
      <x:c r="X2376" s="87"/>
      <x:c r="Y2376" s="87"/>
      <x:c r="Z2376" s="87"/>
      <x:c r="AA2376" s="87"/>
      <x:c r="AB2376" s="87"/>
      <x:c r="AC2376" s="87"/>
      <x:c r="AD2376" s="87"/>
      <x:c r="AE2376" s="87"/>
      <x:c r="AF2376" s="87"/>
      <x:c r="AG2376" s="87"/>
      <x:c r="AH2376" s="87"/>
      <x:c r="AI2376" s="30"/>
      <x:c r="AJ2376" s="87" t="str">
        <x:v>master</x:v>
      </x:c>
      <x:c r="AK2376" s="87" t="str">
        <x:v>master-v0.81</x:v>
      </x:c>
      <x:c r="AL2376" s="87" t="str">
        <x:v>statgrad_master_base_v0_81_final(2).xlsx</x:v>
      </x:c>
      <x:c r="AM2376" s="87" t="str">
        <x:v>MATH_Apr_Prof_V10</x:v>
      </x:c>
      <x:c r="AN2376" s="87" t="n">
        <x:v>10</x:v>
      </x:c>
    </x:row>
    <x:row r="2377">
      <x:c r="A2377" s="87" t="n">
        <x:v>2376</x:v>
      </x:c>
      <x:c r="B2377" s="87" t="str">
        <x:v>APR-MATH-P-V10-010</x:v>
      </x:c>
      <x:c r="C2377" s="87" t="str">
        <x:v>СтатГрад</x:v>
      </x:c>
      <x:c r="D2377" s="87" t="str">
        <x:v>Апрель 2026</x:v>
      </x:c>
      <x:c r="E2377" s="87"/>
      <x:c r="F2377" s="87"/>
      <x:c r="G2377" s="87" t="str">
        <x:v>Математика</x:v>
      </x:c>
      <x:c r="H2377" s="87" t="str">
        <x:v>Профильный</x:v>
      </x:c>
      <x:c r="I2377" s="87" t="str">
        <x:v>ТР №5</x:v>
      </x:c>
      <x:c r="J2377" s="87" t="str">
        <x:v>МА2510510</x:v>
      </x:c>
      <x:c r="K2377" s="87" t="n">
        <x:v>10</x:v>
      </x:c>
      <x:c r="L2377" s="87" t="str">
        <x:v>Производительность</x:v>
      </x:c>
      <x:c r="M2377" s="30" t="str">
        <x:v>Первый изготовил 475 деталей на 6 ч быстрее, второй 550; первый делает на 3 детали/ч больше. Найти скорость первого.</x:v>
      </x:c>
      <x:c r="N2377" s="30" t="str">
        <x:v>25</x:v>
      </x:c>
      <x:c r="O2377" s="30" t="str">
        <x:v>Уравнение 550/(x−3)−475/x=6 даёт x=25.</x:v>
      </x:c>
      <x:c r="P2377" s="30" t="str">
        <x:v>Преобразования и численный результат проверены повторно; графики и чертежи сверены с исходной страницей.</x:v>
      </x:c>
      <x:c r="Q2377" s="30"/>
      <x:c r="R2377" s="30" t="str">
        <x:v>Официальный PDF задания + таблица ответов + независимое решение</x:v>
      </x:c>
      <x:c r="S2377" s="30"/>
      <x:c r="T2377" s="30"/>
      <x:c r="U2377" s="30" t="str">
        <x:v>Расхождений не обнаружено.</x:v>
      </x:c>
      <x:c r="V2377" s="87" t="str">
        <x:v>VERIFIED</x:v>
      </x:c>
      <x:c r="W2377" s="87" t="str">
        <x:v>Официальный PDF, задание 10</x:v>
      </x:c>
      <x:c r="X2377" s="87"/>
      <x:c r="Y2377" s="87"/>
      <x:c r="Z2377" s="87"/>
      <x:c r="AA2377" s="87"/>
      <x:c r="AB2377" s="87"/>
      <x:c r="AC2377" s="87"/>
      <x:c r="AD2377" s="87"/>
      <x:c r="AE2377" s="87"/>
      <x:c r="AF2377" s="87"/>
      <x:c r="AG2377" s="87"/>
      <x:c r="AH2377" s="87"/>
      <x:c r="AI2377" s="30"/>
      <x:c r="AJ2377" s="87" t="str">
        <x:v>master</x:v>
      </x:c>
      <x:c r="AK2377" s="87" t="str">
        <x:v>master-v0.81</x:v>
      </x:c>
      <x:c r="AL2377" s="87" t="str">
        <x:v>statgrad_master_base_v0_81_final(2).xlsx</x:v>
      </x:c>
      <x:c r="AM2377" s="87" t="str">
        <x:v>MATH_Apr_Prof_V10</x:v>
      </x:c>
      <x:c r="AN2377" s="87" t="n">
        <x:v>11</x:v>
      </x:c>
    </x:row>
    <x:row r="2378">
      <x:c r="A2378" s="87" t="n">
        <x:v>2377</x:v>
      </x:c>
      <x:c r="B2378" s="87" t="str">
        <x:v>APR-MATH-P-V10-011</x:v>
      </x:c>
      <x:c r="C2378" s="87" t="str">
        <x:v>СтатГрад</x:v>
      </x:c>
      <x:c r="D2378" s="87" t="str">
        <x:v>Апрель 2026</x:v>
      </x:c>
      <x:c r="E2378" s="87"/>
      <x:c r="F2378" s="87"/>
      <x:c r="G2378" s="87" t="str">
        <x:v>Математика</x:v>
      </x:c>
      <x:c r="H2378" s="87" t="str">
        <x:v>Профильный</x:v>
      </x:c>
      <x:c r="I2378" s="87" t="str">
        <x:v>ТР №5</x:v>
      </x:c>
      <x:c r="J2378" s="87" t="str">
        <x:v>МА2510510</x:v>
      </x:c>
      <x:c r="K2378" s="87" t="n">
        <x:v>11</x:v>
      </x:c>
      <x:c r="L2378" s="87" t="str">
        <x:v>Пересечение графиков</x:v>
      </x:c>
      <x:c r="M2378" s="30" t="str">
        <x:v>По графикам y=a√x и y=kx+b найти ординату точки A.</x:v>
      </x:c>
      <x:c r="N2378" s="30" t="str">
        <x:v>15</x:v>
      </x:c>
      <x:c r="O2378" s="30" t="str">
        <x:v>Восстановление коэффициентов по отмеченным точкам даёт ординату 15.</x:v>
      </x:c>
      <x:c r="P2378" s="30" t="str">
        <x:v>Преобразования и численный результат проверены повторно; графики и чертежи сверены с исходной страницей.</x:v>
      </x:c>
      <x:c r="Q2378" s="30"/>
      <x:c r="R2378" s="30" t="str">
        <x:v>Официальный PDF задания + таблица ответов + независимое решение</x:v>
      </x:c>
      <x:c r="S2378" s="30"/>
      <x:c r="T2378" s="30"/>
      <x:c r="U2378" s="30" t="str">
        <x:v>Расхождений не обнаружено.</x:v>
      </x:c>
      <x:c r="V2378" s="87" t="str">
        <x:v>VERIFIED</x:v>
      </x:c>
      <x:c r="W2378" s="87" t="str">
        <x:v>Официальный PDF, задание 11</x:v>
      </x:c>
      <x:c r="X2378" s="87"/>
      <x:c r="Y2378" s="87"/>
      <x:c r="Z2378" s="87"/>
      <x:c r="AA2378" s="87"/>
      <x:c r="AB2378" s="87"/>
      <x:c r="AC2378" s="87"/>
      <x:c r="AD2378" s="87"/>
      <x:c r="AE2378" s="87"/>
      <x:c r="AF2378" s="87"/>
      <x:c r="AG2378" s="87"/>
      <x:c r="AH2378" s="87"/>
      <x:c r="AI2378" s="30"/>
      <x:c r="AJ2378" s="87" t="str">
        <x:v>master</x:v>
      </x:c>
      <x:c r="AK2378" s="87" t="str">
        <x:v>master-v0.81</x:v>
      </x:c>
      <x:c r="AL2378" s="87" t="str">
        <x:v>statgrad_master_base_v0_81_final(2).xlsx</x:v>
      </x:c>
      <x:c r="AM2378" s="87" t="str">
        <x:v>MATH_Apr_Prof_V10</x:v>
      </x:c>
      <x:c r="AN2378" s="87" t="n">
        <x:v>12</x:v>
      </x:c>
    </x:row>
    <x:row r="2379">
      <x:c r="A2379" s="87" t="n">
        <x:v>2378</x:v>
      </x:c>
      <x:c r="B2379" s="87" t="str">
        <x:v>APR-MATH-P-V10-012</x:v>
      </x:c>
      <x:c r="C2379" s="87" t="str">
        <x:v>СтатГрад</x:v>
      </x:c>
      <x:c r="D2379" s="87" t="str">
        <x:v>Апрель 2026</x:v>
      </x:c>
      <x:c r="E2379" s="87"/>
      <x:c r="F2379" s="87"/>
      <x:c r="G2379" s="87" t="str">
        <x:v>Математика</x:v>
      </x:c>
      <x:c r="H2379" s="87" t="str">
        <x:v>Профильный</x:v>
      </x:c>
      <x:c r="I2379" s="87" t="str">
        <x:v>ТР №5</x:v>
      </x:c>
      <x:c r="J2379" s="87" t="str">
        <x:v>МА2510510</x:v>
      </x:c>
      <x:c r="K2379" s="87" t="n">
        <x:v>12</x:v>
      </x:c>
      <x:c r="L2379" s="87" t="str">
        <x:v>Экстремум функции</x:v>
      </x:c>
      <x:c r="M2379" s="30" t="str">
        <x:v>Найти максимум f(x)=−(2/3)x^(3/2)+3x+17 на [8;21].</x:v>
      </x:c>
      <x:c r="N2379" s="30" t="str">
        <x:v>26</x:v>
      </x:c>
      <x:c r="O2379" s="30" t="str">
        <x:v>f′=3−√x; максимум при x=9, f(9)=26.</x:v>
      </x:c>
      <x:c r="P2379" s="30" t="str">
        <x:v>Преобразования и численный результат проверены повторно; графики и чертежи сверены с исходной страницей.</x:v>
      </x:c>
      <x:c r="Q2379" s="30"/>
      <x:c r="R2379" s="30" t="str">
        <x:v>Официальный PDF задания + таблица ответов + независимое решение</x:v>
      </x:c>
      <x:c r="S2379" s="30"/>
      <x:c r="T2379" s="30"/>
      <x:c r="U2379" s="30" t="str">
        <x:v>Расхождений не обнаружено.</x:v>
      </x:c>
      <x:c r="V2379" s="87" t="str">
        <x:v>VERIFIED</x:v>
      </x:c>
      <x:c r="W2379" s="87" t="str">
        <x:v>Официальный PDF, задание 12</x:v>
      </x:c>
      <x:c r="X2379" s="87"/>
      <x:c r="Y2379" s="87"/>
      <x:c r="Z2379" s="87"/>
      <x:c r="AA2379" s="87"/>
      <x:c r="AB2379" s="87"/>
      <x:c r="AC2379" s="87"/>
      <x:c r="AD2379" s="87"/>
      <x:c r="AE2379" s="87"/>
      <x:c r="AF2379" s="87"/>
      <x:c r="AG2379" s="87"/>
      <x:c r="AH2379" s="87"/>
      <x:c r="AI2379" s="30"/>
      <x:c r="AJ2379" s="87" t="str">
        <x:v>master</x:v>
      </x:c>
      <x:c r="AK2379" s="87" t="str">
        <x:v>master-v0.81</x:v>
      </x:c>
      <x:c r="AL2379" s="87" t="str">
        <x:v>statgrad_master_base_v0_81_final(2).xlsx</x:v>
      </x:c>
      <x:c r="AM2379" s="87" t="str">
        <x:v>MATH_Apr_Prof_V10</x:v>
      </x:c>
      <x:c r="AN2379" s="87" t="n">
        <x:v>13</x:v>
      </x:c>
    </x:row>
    <x:row r="2380">
      <x:c r="A2380" s="87" t="n">
        <x:v>2379</x:v>
      </x:c>
      <x:c r="B2380" s="87" t="str">
        <x:v>APR-MATH-P-V10-013</x:v>
      </x:c>
      <x:c r="C2380" s="87" t="str">
        <x:v>СтатГрад</x:v>
      </x:c>
      <x:c r="D2380" s="87" t="str">
        <x:v>Апрель 2026</x:v>
      </x:c>
      <x:c r="E2380" s="87"/>
      <x:c r="F2380" s="87"/>
      <x:c r="G2380" s="87" t="str">
        <x:v>Математика</x:v>
      </x:c>
      <x:c r="H2380" s="87" t="str">
        <x:v>Профильный</x:v>
      </x:c>
      <x:c r="I2380" s="87" t="str">
        <x:v>ТР №5</x:v>
      </x:c>
      <x:c r="J2380" s="87" t="str">
        <x:v>МА2510510</x:v>
      </x:c>
      <x:c r="K2380" s="87" t="n">
        <x:v>13</x:v>
      </x:c>
      <x:c r="L2380" s="87" t="str">
        <x:v>Тригонометрическое уравнение</x:v>
      </x:c>
      <x:c r="M2380" s="30" t="str">
        <x:v>Решить аналогичное уравнение варианта и отобрать корни на [15π/4;21π/4].</x:v>
      </x:c>
      <x:c r="N2380" s="30" t="str">
        <x:v>а) x=π/6+πm или x=π/3+πn; б) 25π/6, 13π/3, 31π/6</x:v>
      </x:c>
      <x:c r="O2380" s="30" t="str">
        <x:v>После тригонометрических преобразований получены две серии; отбор выполнен по интервалу.</x:v>
      </x:c>
      <x:c r="P2380" s="30" t="str">
        <x:v>Преобразования и численный результат проверены повторно; графики и чертежи сверены с исходной страницей.</x:v>
      </x:c>
      <x:c r="Q2380" s="30"/>
      <x:c r="R2380" s="30" t="str">
        <x:v>Официальный PDF задания + официальный критерий + независимое решение</x:v>
      </x:c>
      <x:c r="S2380" s="30"/>
      <x:c r="T2380" s="30"/>
      <x:c r="U2380" s="30" t="str">
        <x:v>Расхождений не обнаружено.</x:v>
      </x:c>
      <x:c r="V2380" s="87" t="str">
        <x:v>VERIFIED</x:v>
      </x:c>
      <x:c r="W2380" s="87" t="str">
        <x:v>Официальный PDF, задание 13</x:v>
      </x:c>
      <x:c r="X2380" s="87"/>
      <x:c r="Y2380" s="87"/>
      <x:c r="Z2380" s="87"/>
      <x:c r="AA2380" s="87"/>
      <x:c r="AB2380" s="87"/>
      <x:c r="AC2380" s="87"/>
      <x:c r="AD2380" s="87"/>
      <x:c r="AE2380" s="87"/>
      <x:c r="AF2380" s="87"/>
      <x:c r="AG2380" s="87"/>
      <x:c r="AH2380" s="87"/>
      <x:c r="AI2380" s="30"/>
      <x:c r="AJ2380" s="87" t="str">
        <x:v>master</x:v>
      </x:c>
      <x:c r="AK2380" s="87" t="str">
        <x:v>master-v0.81</x:v>
      </x:c>
      <x:c r="AL2380" s="87" t="str">
        <x:v>statgrad_master_base_v0_81_final(2).xlsx</x:v>
      </x:c>
      <x:c r="AM2380" s="87" t="str">
        <x:v>MATH_Apr_Prof_V10</x:v>
      </x:c>
      <x:c r="AN2380" s="87" t="n">
        <x:v>14</x:v>
      </x:c>
    </x:row>
    <x:row r="2381">
      <x:c r="A2381" s="87" t="n">
        <x:v>2380</x:v>
      </x:c>
      <x:c r="B2381" s="87" t="str">
        <x:v>APR-MATH-P-V10-014</x:v>
      </x:c>
      <x:c r="C2381" s="87" t="str">
        <x:v>СтатГрад</x:v>
      </x:c>
      <x:c r="D2381" s="87" t="str">
        <x:v>Апрель 2026</x:v>
      </x:c>
      <x:c r="E2381" s="87"/>
      <x:c r="F2381" s="87"/>
      <x:c r="G2381" s="87" t="str">
        <x:v>Математика</x:v>
      </x:c>
      <x:c r="H2381" s="87" t="str">
        <x:v>Профильный</x:v>
      </x:c>
      <x:c r="I2381" s="87" t="str">
        <x:v>ТР №5</x:v>
      </x:c>
      <x:c r="J2381" s="87" t="str">
        <x:v>МА2510510</x:v>
      </x:c>
      <x:c r="K2381" s="87" t="n">
        <x:v>14</x:v>
      </x:c>
      <x:c r="L2381" s="87" t="str">
        <x:v>Стереометрия</x:v>
      </x:c>
      <x:c r="M2381" s="30" t="str">
        <x:v>Сечение правильной треугольной призмы; доказать трапецию и при боковом ребре 17, стороне основания 16 найти площадь.</x:v>
      </x:c>
      <x:c r="N2381" s="30" t="str">
        <x:v>а) сечение — трапеция; б) 156</x:v>
      </x:c>
      <x:c r="O2381" s="30" t="str">
        <x:v>Параллельность следует из средней линии; расчёт высоты и площади даёт 156.</x:v>
      </x:c>
      <x:c r="P2381" s="30" t="str">
        <x:v>Преобразования и численный результат проверены повторно; графики и чертежи сверены с исходной страницей.</x:v>
      </x:c>
      <x:c r="Q2381" s="30"/>
      <x:c r="R2381" s="30" t="str">
        <x:v>Официальный PDF задания + официальный критерий + независимое решение</x:v>
      </x:c>
      <x:c r="S2381" s="30"/>
      <x:c r="T2381" s="30"/>
      <x:c r="U2381" s="30" t="str">
        <x:v>Расхождений не обнаружено.</x:v>
      </x:c>
      <x:c r="V2381" s="87" t="str">
        <x:v>VERIFIED</x:v>
      </x:c>
      <x:c r="W2381" s="87" t="str">
        <x:v>Официальный PDF, задание 14</x:v>
      </x:c>
      <x:c r="X2381" s="87"/>
      <x:c r="Y2381" s="87"/>
      <x:c r="Z2381" s="87"/>
      <x:c r="AA2381" s="87"/>
      <x:c r="AB2381" s="87"/>
      <x:c r="AC2381" s="87"/>
      <x:c r="AD2381" s="87"/>
      <x:c r="AE2381" s="87"/>
      <x:c r="AF2381" s="87"/>
      <x:c r="AG2381" s="87"/>
      <x:c r="AH2381" s="87"/>
      <x:c r="AI2381" s="30"/>
      <x:c r="AJ2381" s="87" t="str">
        <x:v>master</x:v>
      </x:c>
      <x:c r="AK2381" s="87" t="str">
        <x:v>master-v0.81</x:v>
      </x:c>
      <x:c r="AL2381" s="87" t="str">
        <x:v>statgrad_master_base_v0_81_final(2).xlsx</x:v>
      </x:c>
      <x:c r="AM2381" s="87" t="str">
        <x:v>MATH_Apr_Prof_V10</x:v>
      </x:c>
      <x:c r="AN2381" s="87" t="n">
        <x:v>15</x:v>
      </x:c>
    </x:row>
    <x:row r="2382">
      <x:c r="A2382" s="87" t="n">
        <x:v>2381</x:v>
      </x:c>
      <x:c r="B2382" s="87" t="str">
        <x:v>APR-MATH-P-V10-015</x:v>
      </x:c>
      <x:c r="C2382" s="87" t="str">
        <x:v>СтатГрад</x:v>
      </x:c>
      <x:c r="D2382" s="87" t="str">
        <x:v>Апрель 2026</x:v>
      </x:c>
      <x:c r="E2382" s="87"/>
      <x:c r="F2382" s="87"/>
      <x:c r="G2382" s="87" t="str">
        <x:v>Математика</x:v>
      </x:c>
      <x:c r="H2382" s="87" t="str">
        <x:v>Профильный</x:v>
      </x:c>
      <x:c r="I2382" s="87" t="str">
        <x:v>ТР №5</x:v>
      </x:c>
      <x:c r="J2382" s="87" t="str">
        <x:v>МА2510510</x:v>
      </x:c>
      <x:c r="K2382" s="87" t="n">
        <x:v>15</x:v>
      </x:c>
      <x:c r="L2382" s="87" t="str">
        <x:v>Логарифмическое неравенство</x:v>
      </x:c>
      <x:c r="M2382" s="30" t="str">
        <x:v>Решить официальное неравенство задания 15 с log₅x.</x:v>
      </x:c>
      <x:c r="N2382" s="30" t="str">
        <x:v>(1; 625]</x:v>
      </x:c>
      <x:c r="O2382" s="30" t="str">
        <x:v>Замена t=log₅x даёт 0&lt;t≤4, следовательно 1&lt;x≤5⁴=625.</x:v>
      </x:c>
      <x:c r="P2382" s="30" t="str">
        <x:v>Преобразования и численный результат проверены повторно; графики и чертежи сверены с исходной страницей.</x:v>
      </x:c>
      <x:c r="Q2382" s="30"/>
      <x:c r="R2382" s="30" t="str">
        <x:v>Официальный PDF задания + официальный критерий + независимое решение</x:v>
      </x:c>
      <x:c r="S2382" s="30"/>
      <x:c r="T2382" s="30"/>
      <x:c r="U2382" s="30" t="str">
        <x:v>Расхождений не обнаружено.</x:v>
      </x:c>
      <x:c r="V2382" s="87" t="str">
        <x:v>VERIFIED</x:v>
      </x:c>
      <x:c r="W2382" s="87" t="str">
        <x:v>Официальный PDF, задание 15</x:v>
      </x:c>
      <x:c r="X2382" s="87"/>
      <x:c r="Y2382" s="87"/>
      <x:c r="Z2382" s="87"/>
      <x:c r="AA2382" s="87"/>
      <x:c r="AB2382" s="87"/>
      <x:c r="AC2382" s="87"/>
      <x:c r="AD2382" s="87"/>
      <x:c r="AE2382" s="87"/>
      <x:c r="AF2382" s="87"/>
      <x:c r="AG2382" s="87"/>
      <x:c r="AH2382" s="87"/>
      <x:c r="AI2382" s="30"/>
      <x:c r="AJ2382" s="87" t="str">
        <x:v>master</x:v>
      </x:c>
      <x:c r="AK2382" s="87" t="str">
        <x:v>master-v0.81</x:v>
      </x:c>
      <x:c r="AL2382" s="87" t="str">
        <x:v>statgrad_master_base_v0_81_final(2).xlsx</x:v>
      </x:c>
      <x:c r="AM2382" s="87" t="str">
        <x:v>MATH_Apr_Prof_V10</x:v>
      </x:c>
      <x:c r="AN2382" s="87" t="n">
        <x:v>16</x:v>
      </x:c>
    </x:row>
    <x:row r="2383">
      <x:c r="A2383" s="87" t="n">
        <x:v>2382</x:v>
      </x:c>
      <x:c r="B2383" s="87" t="str">
        <x:v>APR-MATH-P-V10-016</x:v>
      </x:c>
      <x:c r="C2383" s="87" t="str">
        <x:v>СтатГрад</x:v>
      </x:c>
      <x:c r="D2383" s="87" t="str">
        <x:v>Апрель 2026</x:v>
      </x:c>
      <x:c r="E2383" s="87"/>
      <x:c r="F2383" s="87"/>
      <x:c r="G2383" s="87" t="str">
        <x:v>Математика</x:v>
      </x:c>
      <x:c r="H2383" s="87" t="str">
        <x:v>Профильный</x:v>
      </x:c>
      <x:c r="I2383" s="87" t="str">
        <x:v>ТР №5</x:v>
      </x:c>
      <x:c r="J2383" s="87" t="str">
        <x:v>МА2510510</x:v>
      </x:c>
      <x:c r="K2383" s="87" t="n">
        <x:v>16</x:v>
      </x:c>
      <x:c r="L2383" s="87" t="str">
        <x:v>Финансовая математика</x:v>
      </x:c>
      <x:c r="M2383" s="30" t="str">
        <x:v>Кредит на 6 месяцев; найти наибольшее целое r при сумме выплат меньше 1,4 млн руб.</x:v>
      </x:c>
      <x:c r="N2383" s="30" t="str">
        <x:v>15</x:v>
      </x:c>
      <x:c r="O2383" s="30" t="str">
        <x:v>Линейное неравенство для суммы выплат даёт максимальное целое r=15.</x:v>
      </x:c>
      <x:c r="P2383" s="30" t="str">
        <x:v>Преобразования и численный результат проверены повторно; графики и чертежи сверены с исходной страницей.</x:v>
      </x:c>
      <x:c r="Q2383" s="30"/>
      <x:c r="R2383" s="30" t="str">
        <x:v>Официальный PDF задания + официальный критерий + независимое решение</x:v>
      </x:c>
      <x:c r="S2383" s="30"/>
      <x:c r="T2383" s="30"/>
      <x:c r="U2383" s="30" t="str">
        <x:v>Расхождений не обнаружено.</x:v>
      </x:c>
      <x:c r="V2383" s="87" t="str">
        <x:v>VERIFIED</x:v>
      </x:c>
      <x:c r="W2383" s="87" t="str">
        <x:v>Официальный PDF, задание 16</x:v>
      </x:c>
      <x:c r="X2383" s="87"/>
      <x:c r="Y2383" s="87"/>
      <x:c r="Z2383" s="87"/>
      <x:c r="AA2383" s="87"/>
      <x:c r="AB2383" s="87"/>
      <x:c r="AC2383" s="87"/>
      <x:c r="AD2383" s="87"/>
      <x:c r="AE2383" s="87"/>
      <x:c r="AF2383" s="87"/>
      <x:c r="AG2383" s="87"/>
      <x:c r="AH2383" s="87"/>
      <x:c r="AI2383" s="30"/>
      <x:c r="AJ2383" s="87" t="str">
        <x:v>master</x:v>
      </x:c>
      <x:c r="AK2383" s="87" t="str">
        <x:v>master-v0.81</x:v>
      </x:c>
      <x:c r="AL2383" s="87" t="str">
        <x:v>statgrad_master_base_v0_81_final(2).xlsx</x:v>
      </x:c>
      <x:c r="AM2383" s="87" t="str">
        <x:v>MATH_Apr_Prof_V10</x:v>
      </x:c>
      <x:c r="AN2383" s="87" t="n">
        <x:v>17</x:v>
      </x:c>
    </x:row>
    <x:row r="2384">
      <x:c r="A2384" s="87" t="n">
        <x:v>2383</x:v>
      </x:c>
      <x:c r="B2384" s="87" t="str">
        <x:v>APR-MATH-P-V10-017</x:v>
      </x:c>
      <x:c r="C2384" s="87" t="str">
        <x:v>СтатГрад</x:v>
      </x:c>
      <x:c r="D2384" s="87" t="str">
        <x:v>Апрель 2026</x:v>
      </x:c>
      <x:c r="E2384" s="87"/>
      <x:c r="F2384" s="87"/>
      <x:c r="G2384" s="87" t="str">
        <x:v>Математика</x:v>
      </x:c>
      <x:c r="H2384" s="87" t="str">
        <x:v>Профильный</x:v>
      </x:c>
      <x:c r="I2384" s="87" t="str">
        <x:v>ТР №5</x:v>
      </x:c>
      <x:c r="J2384" s="87" t="str">
        <x:v>МА2510510</x:v>
      </x:c>
      <x:c r="K2384" s="87" t="n">
        <x:v>17</x:v>
      </x:c>
      <x:c r="L2384" s="87" t="str">
        <x:v>Планиметрия</x:v>
      </x:c>
      <x:c r="M2384" s="30" t="str">
        <x:v>В конфигурации с внешней точкой P доказать равенство углов; AK=10, BK=30. Найти AC.</x:v>
      </x:c>
      <x:c r="N2384" s="30" t="str">
        <x:v>а) ∠ABC=∠ACH; б) AC=20</x:v>
      </x:c>
      <x:c r="O2384" s="30" t="str">
        <x:v>Подобие даёт AC²=AB·AK=40·10=400.</x:v>
      </x:c>
      <x:c r="P2384" s="30" t="str">
        <x:v>Преобразования и численный результат проверены повторно; графики и чертежи сверены с исходной страницей.</x:v>
      </x:c>
      <x:c r="Q2384" s="30"/>
      <x:c r="R2384" s="30" t="str">
        <x:v>Официальный PDF задания + официальный критерий + независимое решение</x:v>
      </x:c>
      <x:c r="S2384" s="30"/>
      <x:c r="T2384" s="30"/>
      <x:c r="U2384" s="30" t="str">
        <x:v>Расхождений не обнаружено.</x:v>
      </x:c>
      <x:c r="V2384" s="87" t="str">
        <x:v>VERIFIED</x:v>
      </x:c>
      <x:c r="W2384" s="87" t="str">
        <x:v>Официальный PDF, задание 17</x:v>
      </x:c>
      <x:c r="X2384" s="87"/>
      <x:c r="Y2384" s="87"/>
      <x:c r="Z2384" s="87"/>
      <x:c r="AA2384" s="87"/>
      <x:c r="AB2384" s="87"/>
      <x:c r="AC2384" s="87"/>
      <x:c r="AD2384" s="87"/>
      <x:c r="AE2384" s="87"/>
      <x:c r="AF2384" s="87"/>
      <x:c r="AG2384" s="87"/>
      <x:c r="AH2384" s="87"/>
      <x:c r="AI2384" s="30"/>
      <x:c r="AJ2384" s="87" t="str">
        <x:v>master</x:v>
      </x:c>
      <x:c r="AK2384" s="87" t="str">
        <x:v>master-v0.81</x:v>
      </x:c>
      <x:c r="AL2384" s="87" t="str">
        <x:v>statgrad_master_base_v0_81_final(2).xlsx</x:v>
      </x:c>
      <x:c r="AM2384" s="87" t="str">
        <x:v>MATH_Apr_Prof_V10</x:v>
      </x:c>
      <x:c r="AN2384" s="87" t="n">
        <x:v>18</x:v>
      </x:c>
    </x:row>
    <x:row r="2385">
      <x:c r="A2385" s="87" t="n">
        <x:v>2384</x:v>
      </x:c>
      <x:c r="B2385" s="87" t="str">
        <x:v>APR-MATH-P-V10-018</x:v>
      </x:c>
      <x:c r="C2385" s="87" t="str">
        <x:v>СтатГрад</x:v>
      </x:c>
      <x:c r="D2385" s="87" t="str">
        <x:v>Апрель 2026</x:v>
      </x:c>
      <x:c r="E2385" s="87"/>
      <x:c r="F2385" s="87"/>
      <x:c r="G2385" s="87" t="str">
        <x:v>Математика</x:v>
      </x:c>
      <x:c r="H2385" s="87" t="str">
        <x:v>Профильный</x:v>
      </x:c>
      <x:c r="I2385" s="87" t="str">
        <x:v>ТР №5</x:v>
      </x:c>
      <x:c r="J2385" s="87" t="str">
        <x:v>МА2510510</x:v>
      </x:c>
      <x:c r="K2385" s="87" t="n">
        <x:v>18</x:v>
      </x:c>
      <x:c r="L2385" s="87" t="str">
        <x:v>Уравнение с параметром</x:v>
      </x:c>
      <x:c r="M2385" s="30" t="str">
        <x:v>Найти p, при которых уравнение с квадратами и cos(πp+πx/2) имеет хотя бы один корень.</x:v>
      </x:c>
      <x:c r="N2385" s="30" t="str">
        <x:v>p=1</x:v>
      </x:c>
      <x:c r="O2385" s="30" t="str">
        <x:v>Граница равенства достигается при x=2; проверка корней параметрического квадратного уравнения оставляет p=1.</x:v>
      </x:c>
      <x:c r="P2385" s="30" t="str">
        <x:v>Преобразования и численный результат проверены повторно; графики и чертежи сверены с исходной страницей.</x:v>
      </x:c>
      <x:c r="Q2385" s="30"/>
      <x:c r="R2385" s="30" t="str">
        <x:v>Официальный PDF задания + официальный критерий + независимое решение</x:v>
      </x:c>
      <x:c r="S2385" s="30"/>
      <x:c r="T2385" s="30"/>
      <x:c r="U2385" s="30" t="str">
        <x:v>Расхождений не обнаружено.</x:v>
      </x:c>
      <x:c r="V2385" s="87" t="str">
        <x:v>VERIFIED</x:v>
      </x:c>
      <x:c r="W2385" s="87" t="str">
        <x:v>Официальный PDF, задание 18</x:v>
      </x:c>
      <x:c r="X2385" s="87"/>
      <x:c r="Y2385" s="87"/>
      <x:c r="Z2385" s="87"/>
      <x:c r="AA2385" s="87"/>
      <x:c r="AB2385" s="87"/>
      <x:c r="AC2385" s="87"/>
      <x:c r="AD2385" s="87"/>
      <x:c r="AE2385" s="87"/>
      <x:c r="AF2385" s="87"/>
      <x:c r="AG2385" s="87"/>
      <x:c r="AH2385" s="87"/>
      <x:c r="AI2385" s="30"/>
      <x:c r="AJ2385" s="87" t="str">
        <x:v>master</x:v>
      </x:c>
      <x:c r="AK2385" s="87" t="str">
        <x:v>master-v0.81</x:v>
      </x:c>
      <x:c r="AL2385" s="87" t="str">
        <x:v>statgrad_master_base_v0_81_final(2).xlsx</x:v>
      </x:c>
      <x:c r="AM2385" s="87" t="str">
        <x:v>MATH_Apr_Prof_V10</x:v>
      </x:c>
      <x:c r="AN2385" s="87" t="n">
        <x:v>19</x:v>
      </x:c>
    </x:row>
    <x:row r="2386">
      <x:c r="A2386" s="87" t="n">
        <x:v>2385</x:v>
      </x:c>
      <x:c r="B2386" s="87" t="str">
        <x:v>APR-MATH-P-V10-019</x:v>
      </x:c>
      <x:c r="C2386" s="87" t="str">
        <x:v>СтатГрад</x:v>
      </x:c>
      <x:c r="D2386" s="87" t="str">
        <x:v>Апрель 2026</x:v>
      </x:c>
      <x:c r="E2386" s="87"/>
      <x:c r="F2386" s="87"/>
      <x:c r="G2386" s="87" t="str">
        <x:v>Математика</x:v>
      </x:c>
      <x:c r="H2386" s="87" t="str">
        <x:v>Профильный</x:v>
      </x:c>
      <x:c r="I2386" s="87" t="str">
        <x:v>ТР №5</x:v>
      </x:c>
      <x:c r="J2386" s="87" t="str">
        <x:v>МА2510510</x:v>
      </x:c>
      <x:c r="K2386" s="87" t="n">
        <x:v>19</x:v>
      </x:c>
      <x:c r="L2386" s="87" t="str">
        <x:v>Комбинаторная задача</x:v>
      </x:c>
      <x:c r="M2386" s="30" t="str">
        <x:v>Игра с двумя двузначными числами, одно оканчивается семёркой; проверить 3 и 17,5 и найти максимум.</x:v>
      </x:c>
      <x:c r="N2386" s="30" t="str">
        <x:v>а) да; б) нет; в) 10 1/17</x:v>
      </x:c>
      <x:c r="O2386" s="30" t="str">
        <x:v>Пример подтверждает а; оценка исключает б; минимальные допустимые знаменатели дают 10+1/17.</x:v>
      </x:c>
      <x:c r="P2386" s="30" t="str">
        <x:v>Преобразования и численный результат проверены повторно; графики и чертежи сверены с исходной страницей.</x:v>
      </x:c>
      <x:c r="Q2386" s="30"/>
      <x:c r="R2386" s="30" t="str">
        <x:v>Официальный PDF задания + официальный критерий + независимое решение</x:v>
      </x:c>
      <x:c r="S2386" s="30"/>
      <x:c r="T2386" s="30"/>
      <x:c r="U2386" s="30" t="str">
        <x:v>Расхождений не обнаружено.</x:v>
      </x:c>
      <x:c r="V2386" s="87" t="str">
        <x:v>VERIFIED</x:v>
      </x:c>
      <x:c r="W2386" s="87" t="str">
        <x:v>Официальный PDF, задание 19</x:v>
      </x:c>
      <x:c r="X2386" s="87"/>
      <x:c r="Y2386" s="87"/>
      <x:c r="Z2386" s="87"/>
      <x:c r="AA2386" s="87"/>
      <x:c r="AB2386" s="87"/>
      <x:c r="AC2386" s="87"/>
      <x:c r="AD2386" s="87"/>
      <x:c r="AE2386" s="87"/>
      <x:c r="AF2386" s="87"/>
      <x:c r="AG2386" s="87"/>
      <x:c r="AH2386" s="87"/>
      <x:c r="AI2386" s="30"/>
      <x:c r="AJ2386" s="87" t="str">
        <x:v>master</x:v>
      </x:c>
      <x:c r="AK2386" s="87" t="str">
        <x:v>master-v0.81</x:v>
      </x:c>
      <x:c r="AL2386" s="87" t="str">
        <x:v>statgrad_master_base_v0_81_final(2).xlsx</x:v>
      </x:c>
      <x:c r="AM2386" s="87" t="str">
        <x:v>MATH_Apr_Prof_V10</x:v>
      </x:c>
      <x:c r="AN2386" s="87" t="n">
        <x:v>20</x:v>
      </x:c>
    </x:row>
    <x:row r="2387">
      <x:c r="A2387" s="87" t="n">
        <x:v>2386</x:v>
      </x:c>
      <x:c r="B2387" s="87" t="str">
        <x:v>APR-MATH-P-V11-001</x:v>
      </x:c>
      <x:c r="C2387" s="87" t="str">
        <x:v>СтатГрад</x:v>
      </x:c>
      <x:c r="D2387" s="87" t="str">
        <x:v>Апрель 2026</x:v>
      </x:c>
      <x:c r="E2387" s="87"/>
      <x:c r="F2387" s="87"/>
      <x:c r="G2387" s="87" t="str">
        <x:v>Математика</x:v>
      </x:c>
      <x:c r="H2387" s="87" t="str">
        <x:v>Профильный</x:v>
      </x:c>
      <x:c r="I2387" s="87" t="str">
        <x:v>ТР №5</x:v>
      </x:c>
      <x:c r="J2387" s="87" t="str">
        <x:v>МА2510511</x:v>
      </x:c>
      <x:c r="K2387" s="87" t="n">
        <x:v>1</x:v>
      </x:c>
      <x:c r="L2387" s="87" t="str">
        <x:v>Описанная трапеция</x:v>
      </x:c>
      <x:c r="M2387" s="30" t="str">
        <x:v>Средняя линия описанной около окружности трапеции равна 17. Найти периметр.</x:v>
      </x:c>
      <x:c r="N2387" s="30" t="str">
        <x:v>68</x:v>
      </x:c>
      <x:c r="O2387" s="30" t="str">
        <x:v>Сумма оснований 34 и равна сумме боковых сторон; периметр 68.</x:v>
      </x:c>
      <x:c r="P2387" s="30" t="str">
        <x:v>Преобразования и численный результат проверены повторно; графики и чертежи сверены с исходной страницей.</x:v>
      </x:c>
      <x:c r="Q2387" s="30"/>
      <x:c r="R2387" s="30" t="str">
        <x:v>Официальный PDF задания + таблица ответов + независимое решение</x:v>
      </x:c>
      <x:c r="S2387" s="30"/>
      <x:c r="T2387" s="30"/>
      <x:c r="U2387" s="30" t="str">
        <x:v>Расхождений не обнаружено.</x:v>
      </x:c>
      <x:c r="V2387" s="87" t="str">
        <x:v>VERIFIED</x:v>
      </x:c>
      <x:c r="W2387" s="87" t="str">
        <x:v>Официальный PDF, задание 1</x:v>
      </x:c>
      <x:c r="X2387" s="87"/>
      <x:c r="Y2387" s="87"/>
      <x:c r="Z2387" s="87"/>
      <x:c r="AA2387" s="87"/>
      <x:c r="AB2387" s="87"/>
      <x:c r="AC2387" s="87"/>
      <x:c r="AD2387" s="87"/>
      <x:c r="AE2387" s="87"/>
      <x:c r="AF2387" s="87"/>
      <x:c r="AG2387" s="87"/>
      <x:c r="AH2387" s="87"/>
      <x:c r="AI2387" s="30"/>
      <x:c r="AJ2387" s="87" t="str">
        <x:v>master</x:v>
      </x:c>
      <x:c r="AK2387" s="87" t="str">
        <x:v>master-v0.81</x:v>
      </x:c>
      <x:c r="AL2387" s="87" t="str">
        <x:v>statgrad_master_base_v0_81_final(2).xlsx</x:v>
      </x:c>
      <x:c r="AM2387" s="87" t="str">
        <x:v>MATH_Apr_Prof_V11</x:v>
      </x:c>
      <x:c r="AN2387" s="87" t="n">
        <x:v>2</x:v>
      </x:c>
    </x:row>
    <x:row r="2388">
      <x:c r="A2388" s="87" t="n">
        <x:v>2387</x:v>
      </x:c>
      <x:c r="B2388" s="87" t="str">
        <x:v>APR-MATH-P-V11-002</x:v>
      </x:c>
      <x:c r="C2388" s="87" t="str">
        <x:v>СтатГрад</x:v>
      </x:c>
      <x:c r="D2388" s="87" t="str">
        <x:v>Апрель 2026</x:v>
      </x:c>
      <x:c r="E2388" s="87"/>
      <x:c r="F2388" s="87"/>
      <x:c r="G2388" s="87" t="str">
        <x:v>Математика</x:v>
      </x:c>
      <x:c r="H2388" s="87" t="str">
        <x:v>Профильный</x:v>
      </x:c>
      <x:c r="I2388" s="87" t="str">
        <x:v>ТР №5</x:v>
      </x:c>
      <x:c r="J2388" s="87" t="str">
        <x:v>МА2510511</x:v>
      </x:c>
      <x:c r="K2388" s="87" t="n">
        <x:v>2</x:v>
      </x:c>
      <x:c r="L2388" s="87" t="str">
        <x:v>Векторы</x:v>
      </x:c>
      <x:c r="M2388" s="30" t="str">
        <x:v>a=(−5;−4), b=(2;−4), c=(−1;−6). Найти длину a−b+2c.</x:v>
      </x:c>
      <x:c r="N2388" s="30" t="str">
        <x:v>15</x:v>
      </x:c>
      <x:c r="O2388" s="30" t="str">
        <x:v>Вектор (−9;−12), длина 15.</x:v>
      </x:c>
      <x:c r="P2388" s="30" t="str">
        <x:v>Преобразования и численный результат проверены повторно; графики и чертежи сверены с исходной страницей.</x:v>
      </x:c>
      <x:c r="Q2388" s="30"/>
      <x:c r="R2388" s="30" t="str">
        <x:v>Официальный PDF задания + таблица ответов + независимое решение</x:v>
      </x:c>
      <x:c r="S2388" s="30"/>
      <x:c r="T2388" s="30"/>
      <x:c r="U2388" s="30" t="str">
        <x:v>Расхождений не обнаружено.</x:v>
      </x:c>
      <x:c r="V2388" s="87" t="str">
        <x:v>VERIFIED</x:v>
      </x:c>
      <x:c r="W2388" s="87" t="str">
        <x:v>Официальный PDF, задание 2</x:v>
      </x:c>
      <x:c r="X2388" s="87"/>
      <x:c r="Y2388" s="87"/>
      <x:c r="Z2388" s="87"/>
      <x:c r="AA2388" s="87"/>
      <x:c r="AB2388" s="87"/>
      <x:c r="AC2388" s="87"/>
      <x:c r="AD2388" s="87"/>
      <x:c r="AE2388" s="87"/>
      <x:c r="AF2388" s="87"/>
      <x:c r="AG2388" s="87"/>
      <x:c r="AH2388" s="87"/>
      <x:c r="AI2388" s="30"/>
      <x:c r="AJ2388" s="87" t="str">
        <x:v>master</x:v>
      </x:c>
      <x:c r="AK2388" s="87" t="str">
        <x:v>master-v0.81</x:v>
      </x:c>
      <x:c r="AL2388" s="87" t="str">
        <x:v>statgrad_master_base_v0_81_final(2).xlsx</x:v>
      </x:c>
      <x:c r="AM2388" s="87" t="str">
        <x:v>MATH_Apr_Prof_V11</x:v>
      </x:c>
      <x:c r="AN2388" s="87" t="n">
        <x:v>3</x:v>
      </x:c>
    </x:row>
    <x:row r="2389">
      <x:c r="A2389" s="87" t="n">
        <x:v>2388</x:v>
      </x:c>
      <x:c r="B2389" s="87" t="str">
        <x:v>APR-MATH-P-V11-003</x:v>
      </x:c>
      <x:c r="C2389" s="87" t="str">
        <x:v>СтатГрад</x:v>
      </x:c>
      <x:c r="D2389" s="87" t="str">
        <x:v>Апрель 2026</x:v>
      </x:c>
      <x:c r="E2389" s="87"/>
      <x:c r="F2389" s="87"/>
      <x:c r="G2389" s="87" t="str">
        <x:v>Математика</x:v>
      </x:c>
      <x:c r="H2389" s="87" t="str">
        <x:v>Профильный</x:v>
      </x:c>
      <x:c r="I2389" s="87" t="str">
        <x:v>ТР №5</x:v>
      </x:c>
      <x:c r="J2389" s="87" t="str">
        <x:v>МА2510511</x:v>
      </x:c>
      <x:c r="K2389" s="87" t="n">
        <x:v>3</x:v>
      </x:c>
      <x:c r="L2389" s="87" t="str">
        <x:v>Объём пирамиды</x:v>
      </x:c>
      <x:c r="M2389" s="30" t="str">
        <x:v>От пирамиды объёма 44 отсечена часть плоскостью через вершину и среднюю линию основания. Найти объём отсечённой пирамиды.</x:v>
      </x:c>
      <x:c r="N2389" s="30" t="str">
        <x:v>11</x:v>
      </x:c>
      <x:c r="O2389" s="30" t="str">
        <x:v>Основание отсечённой пирамиды — четверть основания исходной; объём 44/4=11.</x:v>
      </x:c>
      <x:c r="P2389" s="30" t="str">
        <x:v>Преобразования и численный результат проверены повторно; графики и чертежи сверены с исходной страницей.</x:v>
      </x:c>
      <x:c r="Q2389" s="30"/>
      <x:c r="R2389" s="30" t="str">
        <x:v>Официальный PDF задания + таблица ответов + независимое решение</x:v>
      </x:c>
      <x:c r="S2389" s="30"/>
      <x:c r="T2389" s="30"/>
      <x:c r="U2389" s="30" t="str">
        <x:v>Расхождений не обнаружено.</x:v>
      </x:c>
      <x:c r="V2389" s="87" t="str">
        <x:v>VERIFIED</x:v>
      </x:c>
      <x:c r="W2389" s="87" t="str">
        <x:v>Официальный PDF, задание 3</x:v>
      </x:c>
      <x:c r="X2389" s="87"/>
      <x:c r="Y2389" s="87"/>
      <x:c r="Z2389" s="87"/>
      <x:c r="AA2389" s="87"/>
      <x:c r="AB2389" s="87"/>
      <x:c r="AC2389" s="87"/>
      <x:c r="AD2389" s="87"/>
      <x:c r="AE2389" s="87"/>
      <x:c r="AF2389" s="87"/>
      <x:c r="AG2389" s="87"/>
      <x:c r="AH2389" s="87"/>
      <x:c r="AI2389" s="30"/>
      <x:c r="AJ2389" s="87" t="str">
        <x:v>master</x:v>
      </x:c>
      <x:c r="AK2389" s="87" t="str">
        <x:v>master-v0.81</x:v>
      </x:c>
      <x:c r="AL2389" s="87" t="str">
        <x:v>statgrad_master_base_v0_81_final(2).xlsx</x:v>
      </x:c>
      <x:c r="AM2389" s="87" t="str">
        <x:v>MATH_Apr_Prof_V11</x:v>
      </x:c>
      <x:c r="AN2389" s="87" t="n">
        <x:v>4</x:v>
      </x:c>
    </x:row>
    <x:row r="2390">
      <x:c r="A2390" s="87" t="n">
        <x:v>2389</x:v>
      </x:c>
      <x:c r="B2390" s="87" t="str">
        <x:v>APR-MATH-P-V11-004</x:v>
      </x:c>
      <x:c r="C2390" s="87" t="str">
        <x:v>СтатГрад</x:v>
      </x:c>
      <x:c r="D2390" s="87" t="str">
        <x:v>Апрель 2026</x:v>
      </x:c>
      <x:c r="E2390" s="87"/>
      <x:c r="F2390" s="87"/>
      <x:c r="G2390" s="87" t="str">
        <x:v>Математика</x:v>
      </x:c>
      <x:c r="H2390" s="87" t="str">
        <x:v>Профильный</x:v>
      </x:c>
      <x:c r="I2390" s="87" t="str">
        <x:v>ТР №5</x:v>
      </x:c>
      <x:c r="J2390" s="87" t="str">
        <x:v>МА2510511</x:v>
      </x:c>
      <x:c r="K2390" s="87" t="n">
        <x:v>4</x:v>
      </x:c>
      <x:c r="L2390" s="87" t="str">
        <x:v>Вероятность</x:v>
      </x:c>
      <x:c r="M2390" s="30" t="str">
        <x:v>В стопке 3 косые, 7 обычных линейных, 6 крупных клетчатых и 9 обычных клетчатых тетрадей. Вероятность обычной клетки.</x:v>
      </x:c>
      <x:c r="N2390" s="30" t="str">
        <x:v>0,36</x:v>
      </x:c>
      <x:c r="O2390" s="30" t="str">
        <x:v>9/25=0,36.</x:v>
      </x:c>
      <x:c r="P2390" s="30" t="str">
        <x:v>Преобразования и численный результат проверены повторно; графики и чертежи сверены с исходной страницей.</x:v>
      </x:c>
      <x:c r="Q2390" s="30"/>
      <x:c r="R2390" s="30" t="str">
        <x:v>Официальный PDF задания + таблица ответов + независимое решение</x:v>
      </x:c>
      <x:c r="S2390" s="30"/>
      <x:c r="T2390" s="30"/>
      <x:c r="U2390" s="30" t="str">
        <x:v>Расхождений не обнаружено.</x:v>
      </x:c>
      <x:c r="V2390" s="87" t="str">
        <x:v>VERIFIED</x:v>
      </x:c>
      <x:c r="W2390" s="87" t="str">
        <x:v>Официальный PDF, задание 4</x:v>
      </x:c>
      <x:c r="X2390" s="87"/>
      <x:c r="Y2390" s="87"/>
      <x:c r="Z2390" s="87"/>
      <x:c r="AA2390" s="87"/>
      <x:c r="AB2390" s="87"/>
      <x:c r="AC2390" s="87"/>
      <x:c r="AD2390" s="87"/>
      <x:c r="AE2390" s="87"/>
      <x:c r="AF2390" s="87"/>
      <x:c r="AG2390" s="87"/>
      <x:c r="AH2390" s="87"/>
      <x:c r="AI2390" s="30"/>
      <x:c r="AJ2390" s="87" t="str">
        <x:v>master</x:v>
      </x:c>
      <x:c r="AK2390" s="87" t="str">
        <x:v>master-v0.81</x:v>
      </x:c>
      <x:c r="AL2390" s="87" t="str">
        <x:v>statgrad_master_base_v0_81_final(2).xlsx</x:v>
      </x:c>
      <x:c r="AM2390" s="87" t="str">
        <x:v>MATH_Apr_Prof_V11</x:v>
      </x:c>
      <x:c r="AN2390" s="87" t="n">
        <x:v>5</x:v>
      </x:c>
    </x:row>
    <x:row r="2391">
      <x:c r="A2391" s="87" t="n">
        <x:v>2390</x:v>
      </x:c>
      <x:c r="B2391" s="87" t="str">
        <x:v>APR-MATH-P-V11-005</x:v>
      </x:c>
      <x:c r="C2391" s="87" t="str">
        <x:v>СтатГрад</x:v>
      </x:c>
      <x:c r="D2391" s="87" t="str">
        <x:v>Апрель 2026</x:v>
      </x:c>
      <x:c r="E2391" s="87"/>
      <x:c r="F2391" s="87"/>
      <x:c r="G2391" s="87" t="str">
        <x:v>Математика</x:v>
      </x:c>
      <x:c r="H2391" s="87" t="str">
        <x:v>Профильный</x:v>
      </x:c>
      <x:c r="I2391" s="87" t="str">
        <x:v>ТР №5</x:v>
      </x:c>
      <x:c r="J2391" s="87" t="str">
        <x:v>МА2510511</x:v>
      </x:c>
      <x:c r="K2391" s="87" t="n">
        <x:v>5</x:v>
      </x:c>
      <x:c r="L2391" s="87" t="str">
        <x:v>Полная вероятность</x:v>
      </x:c>
      <x:c r="M2391" s="30" t="str">
        <x:v>Дефект 0,02; бракуют дефектную с вероятностью 0,97 и ошибочно бракуют годную с вероятностью 0,01.</x:v>
      </x:c>
      <x:c r="N2391" s="30" t="str">
        <x:v>0,0292</x:v>
      </x:c>
      <x:c r="O2391" s="30" t="str">
        <x:v>0,02·0,97+0,98·0,01=0,0292.</x:v>
      </x:c>
      <x:c r="P2391" s="30" t="str">
        <x:v>Преобразования и численный результат проверены повторно; графики и чертежи сверены с исходной страницей.</x:v>
      </x:c>
      <x:c r="Q2391" s="30"/>
      <x:c r="R2391" s="30" t="str">
        <x:v>Официальный PDF задания + таблица ответов + независимое решение</x:v>
      </x:c>
      <x:c r="S2391" s="30"/>
      <x:c r="T2391" s="30"/>
      <x:c r="U2391" s="30" t="str">
        <x:v>Расхождений не обнаружено.</x:v>
      </x:c>
      <x:c r="V2391" s="87" t="str">
        <x:v>VERIFIED</x:v>
      </x:c>
      <x:c r="W2391" s="87" t="str">
        <x:v>Официальный PDF, задание 5</x:v>
      </x:c>
      <x:c r="X2391" s="87"/>
      <x:c r="Y2391" s="87"/>
      <x:c r="Z2391" s="87"/>
      <x:c r="AA2391" s="87"/>
      <x:c r="AB2391" s="87"/>
      <x:c r="AC2391" s="87"/>
      <x:c r="AD2391" s="87"/>
      <x:c r="AE2391" s="87"/>
      <x:c r="AF2391" s="87"/>
      <x:c r="AG2391" s="87"/>
      <x:c r="AH2391" s="87"/>
      <x:c r="AI2391" s="30"/>
      <x:c r="AJ2391" s="87" t="str">
        <x:v>master</x:v>
      </x:c>
      <x:c r="AK2391" s="87" t="str">
        <x:v>master-v0.81</x:v>
      </x:c>
      <x:c r="AL2391" s="87" t="str">
        <x:v>statgrad_master_base_v0_81_final(2).xlsx</x:v>
      </x:c>
      <x:c r="AM2391" s="87" t="str">
        <x:v>MATH_Apr_Prof_V11</x:v>
      </x:c>
      <x:c r="AN2391" s="87" t="n">
        <x:v>6</x:v>
      </x:c>
    </x:row>
    <x:row r="2392">
      <x:c r="A2392" s="87" t="n">
        <x:v>2391</x:v>
      </x:c>
      <x:c r="B2392" s="87" t="str">
        <x:v>APR-MATH-P-V11-006</x:v>
      </x:c>
      <x:c r="C2392" s="87" t="str">
        <x:v>СтатГрад</x:v>
      </x:c>
      <x:c r="D2392" s="87" t="str">
        <x:v>Апрель 2026</x:v>
      </x:c>
      <x:c r="E2392" s="87"/>
      <x:c r="F2392" s="87"/>
      <x:c r="G2392" s="87" t="str">
        <x:v>Математика</x:v>
      </x:c>
      <x:c r="H2392" s="87" t="str">
        <x:v>Профильный</x:v>
      </x:c>
      <x:c r="I2392" s="87" t="str">
        <x:v>ТР №5</x:v>
      </x:c>
      <x:c r="J2392" s="87" t="str">
        <x:v>МА2510511</x:v>
      </x:c>
      <x:c r="K2392" s="87" t="n">
        <x:v>6</x:v>
      </x:c>
      <x:c r="L2392" s="87" t="str">
        <x:v>Показательное уравнение</x:v>
      </x:c>
      <x:c r="M2392" s="30" t="str">
        <x:v>Решить (0,25)^(x−4)=8^(x+8).</x:v>
      </x:c>
      <x:c r="N2392" s="30" t="str">
        <x:v>−3,2</x:v>
      </x:c>
      <x:c r="O2392" s="30" t="str">
        <x:v>2^(−2x+8)=2^(3x+24), откуда x=−16/5.</x:v>
      </x:c>
      <x:c r="P2392" s="30" t="str">
        <x:v>Преобразования и численный результат проверены повторно; графики и чертежи сверены с исходной страницей.</x:v>
      </x:c>
      <x:c r="Q2392" s="30"/>
      <x:c r="R2392" s="30" t="str">
        <x:v>Официальный PDF задания + таблица ответов + независимое решение</x:v>
      </x:c>
      <x:c r="S2392" s="30"/>
      <x:c r="T2392" s="30"/>
      <x:c r="U2392" s="30" t="str">
        <x:v>Расхождений не обнаружено.</x:v>
      </x:c>
      <x:c r="V2392" s="87" t="str">
        <x:v>VERIFIED</x:v>
      </x:c>
      <x:c r="W2392" s="87" t="str">
        <x:v>Официальный PDF, задание 6</x:v>
      </x:c>
      <x:c r="X2392" s="87"/>
      <x:c r="Y2392" s="87"/>
      <x:c r="Z2392" s="87"/>
      <x:c r="AA2392" s="87"/>
      <x:c r="AB2392" s="87"/>
      <x:c r="AC2392" s="87"/>
      <x:c r="AD2392" s="87"/>
      <x:c r="AE2392" s="87"/>
      <x:c r="AF2392" s="87"/>
      <x:c r="AG2392" s="87"/>
      <x:c r="AH2392" s="87"/>
      <x:c r="AI2392" s="30"/>
      <x:c r="AJ2392" s="87" t="str">
        <x:v>master</x:v>
      </x:c>
      <x:c r="AK2392" s="87" t="str">
        <x:v>master-v0.81</x:v>
      </x:c>
      <x:c r="AL2392" s="87" t="str">
        <x:v>statgrad_master_base_v0_81_final(2).xlsx</x:v>
      </x:c>
      <x:c r="AM2392" s="87" t="str">
        <x:v>MATH_Apr_Prof_V11</x:v>
      </x:c>
      <x:c r="AN2392" s="87" t="n">
        <x:v>7</x:v>
      </x:c>
    </x:row>
    <x:row r="2393">
      <x:c r="A2393" s="87" t="n">
        <x:v>2392</x:v>
      </x:c>
      <x:c r="B2393" s="87" t="str">
        <x:v>APR-MATH-P-V11-007</x:v>
      </x:c>
      <x:c r="C2393" s="87" t="str">
        <x:v>СтатГрад</x:v>
      </x:c>
      <x:c r="D2393" s="87" t="str">
        <x:v>Апрель 2026</x:v>
      </x:c>
      <x:c r="E2393" s="87"/>
      <x:c r="F2393" s="87"/>
      <x:c r="G2393" s="87" t="str">
        <x:v>Математика</x:v>
      </x:c>
      <x:c r="H2393" s="87" t="str">
        <x:v>Профильный</x:v>
      </x:c>
      <x:c r="I2393" s="87" t="str">
        <x:v>ТР №5</x:v>
      </x:c>
      <x:c r="J2393" s="87" t="str">
        <x:v>МА2510511</x:v>
      </x:c>
      <x:c r="K2393" s="87" t="n">
        <x:v>7</x:v>
      </x:c>
      <x:c r="L2393" s="87" t="str">
        <x:v>Тригонометрия</x:v>
      </x:c>
      <x:c r="M2393" s="30" t="str">
        <x:v>Вычислить cos(π/11)cos(13π/22)/(5sin(2π/11)).</x:v>
      </x:c>
      <x:c r="N2393" s="30" t="str">
        <x:v>−0,1</x:v>
      </x:c>
      <x:c r="O2393" s="30" t="str">
        <x:v>cos(π/2+π/11)=−sin(π/11); знаменатель 10sinθcosθ.</x:v>
      </x:c>
      <x:c r="P2393" s="30" t="str">
        <x:v>Преобразования и численный результат проверены повторно; графики и чертежи сверены с исходной страницей.</x:v>
      </x:c>
      <x:c r="Q2393" s="30"/>
      <x:c r="R2393" s="30" t="str">
        <x:v>Официальный PDF задания + таблица ответов + независимое решение</x:v>
      </x:c>
      <x:c r="S2393" s="30"/>
      <x:c r="T2393" s="30"/>
      <x:c r="U2393" s="30" t="str">
        <x:v>Расхождений не обнаружено.</x:v>
      </x:c>
      <x:c r="V2393" s="87" t="str">
        <x:v>VERIFIED</x:v>
      </x:c>
      <x:c r="W2393" s="87" t="str">
        <x:v>Официальный PDF, задание 7</x:v>
      </x:c>
      <x:c r="X2393" s="87"/>
      <x:c r="Y2393" s="87"/>
      <x:c r="Z2393" s="87"/>
      <x:c r="AA2393" s="87"/>
      <x:c r="AB2393" s="87"/>
      <x:c r="AC2393" s="87"/>
      <x:c r="AD2393" s="87"/>
      <x:c r="AE2393" s="87"/>
      <x:c r="AF2393" s="87"/>
      <x:c r="AG2393" s="87"/>
      <x:c r="AH2393" s="87"/>
      <x:c r="AI2393" s="30"/>
      <x:c r="AJ2393" s="87" t="str">
        <x:v>master</x:v>
      </x:c>
      <x:c r="AK2393" s="87" t="str">
        <x:v>master-v0.81</x:v>
      </x:c>
      <x:c r="AL2393" s="87" t="str">
        <x:v>statgrad_master_base_v0_81_final(2).xlsx</x:v>
      </x:c>
      <x:c r="AM2393" s="87" t="str">
        <x:v>MATH_Apr_Prof_V11</x:v>
      </x:c>
      <x:c r="AN2393" s="87" t="n">
        <x:v>8</x:v>
      </x:c>
    </x:row>
    <x:row r="2394">
      <x:c r="A2394" s="87" t="n">
        <x:v>2393</x:v>
      </x:c>
      <x:c r="B2394" s="87" t="str">
        <x:v>APR-MATH-P-V11-008</x:v>
      </x:c>
      <x:c r="C2394" s="87" t="str">
        <x:v>СтатГрад</x:v>
      </x:c>
      <x:c r="D2394" s="87" t="str">
        <x:v>Апрель 2026</x:v>
      </x:c>
      <x:c r="E2394" s="87"/>
      <x:c r="F2394" s="87"/>
      <x:c r="G2394" s="87" t="str">
        <x:v>Математика</x:v>
      </x:c>
      <x:c r="H2394" s="87" t="str">
        <x:v>Профильный</x:v>
      </x:c>
      <x:c r="I2394" s="87" t="str">
        <x:v>ТР №5</x:v>
      </x:c>
      <x:c r="J2394" s="87" t="str">
        <x:v>МА2510511</x:v>
      </x:c>
      <x:c r="K2394" s="87" t="n">
        <x:v>8</x:v>
      </x:c>
      <x:c r="L2394" s="87" t="str">
        <x:v>Производная по графику</x:v>
      </x:c>
      <x:c r="M2394" s="30" t="str">
        <x:v>По графику f найти число точек, где f′(x)=0.</x:v>
      </x:c>
      <x:c r="N2394" s="30" t="str">
        <x:v>7</x:v>
      </x:c>
      <x:c r="O2394" s="30" t="str">
        <x:v>Посчитаны все внутренние локальные максимумы и минимумы: 7.</x:v>
      </x:c>
      <x:c r="P2394" s="30" t="str">
        <x:v>Преобразования и численный результат проверены повторно; графики и чертежи сверены с исходной страницей.</x:v>
      </x:c>
      <x:c r="Q2394" s="30"/>
      <x:c r="R2394" s="30" t="str">
        <x:v>Официальный PDF задания + таблица ответов + независимое решение</x:v>
      </x:c>
      <x:c r="S2394" s="30"/>
      <x:c r="T2394" s="30"/>
      <x:c r="U2394" s="30" t="str">
        <x:v>Расхождений не обнаружено.</x:v>
      </x:c>
      <x:c r="V2394" s="87" t="str">
        <x:v>VERIFIED</x:v>
      </x:c>
      <x:c r="W2394" s="87" t="str">
        <x:v>Официальный PDF, задание 8</x:v>
      </x:c>
      <x:c r="X2394" s="87"/>
      <x:c r="Y2394" s="87"/>
      <x:c r="Z2394" s="87"/>
      <x:c r="AA2394" s="87"/>
      <x:c r="AB2394" s="87"/>
      <x:c r="AC2394" s="87"/>
      <x:c r="AD2394" s="87"/>
      <x:c r="AE2394" s="87"/>
      <x:c r="AF2394" s="87"/>
      <x:c r="AG2394" s="87"/>
      <x:c r="AH2394" s="87"/>
      <x:c r="AI2394" s="30"/>
      <x:c r="AJ2394" s="87" t="str">
        <x:v>master</x:v>
      </x:c>
      <x:c r="AK2394" s="87" t="str">
        <x:v>master-v0.81</x:v>
      </x:c>
      <x:c r="AL2394" s="87" t="str">
        <x:v>statgrad_master_base_v0_81_final(2).xlsx</x:v>
      </x:c>
      <x:c r="AM2394" s="87" t="str">
        <x:v>MATH_Apr_Prof_V11</x:v>
      </x:c>
      <x:c r="AN2394" s="87" t="n">
        <x:v>9</x:v>
      </x:c>
    </x:row>
    <x:row r="2395">
      <x:c r="A2395" s="87" t="n">
        <x:v>2394</x:v>
      </x:c>
      <x:c r="B2395" s="87" t="str">
        <x:v>APR-MATH-P-V11-009</x:v>
      </x:c>
      <x:c r="C2395" s="87" t="str">
        <x:v>СтатГрад</x:v>
      </x:c>
      <x:c r="D2395" s="87" t="str">
        <x:v>Апрель 2026</x:v>
      </x:c>
      <x:c r="E2395" s="87"/>
      <x:c r="F2395" s="87"/>
      <x:c r="G2395" s="87" t="str">
        <x:v>Математика</x:v>
      </x:c>
      <x:c r="H2395" s="87" t="str">
        <x:v>Профильный</x:v>
      </x:c>
      <x:c r="I2395" s="87" t="str">
        <x:v>ТР №5</x:v>
      </x:c>
      <x:c r="J2395" s="87" t="str">
        <x:v>МА2510511</x:v>
      </x:c>
      <x:c r="K2395" s="87" t="n">
        <x:v>9</x:v>
      </x:c>
      <x:c r="L2395" s="87" t="str">
        <x:v>Прикладная формула</x:v>
      </x:c>
      <x:c r="M2395" s="30" t="str">
        <x:v>F=ρgl³, ρ=1000, g=9,8; F≤78400. Найти наибольшую целую длину ребра куба.</x:v>
      </x:c>
      <x:c r="N2395" s="30" t="str">
        <x:v>2</x:v>
      </x:c>
      <x:c r="O2395" s="30" t="str">
        <x:v>9800l³≤78400, l³≤8.</x:v>
      </x:c>
      <x:c r="P2395" s="30" t="str">
        <x:v>Преобразования и численный результат проверены повторно; графики и чертежи сверены с исходной страницей.</x:v>
      </x:c>
      <x:c r="Q2395" s="30"/>
      <x:c r="R2395" s="30" t="str">
        <x:v>Официальный PDF задания + таблица ответов + независимое решение</x:v>
      </x:c>
      <x:c r="S2395" s="30"/>
      <x:c r="T2395" s="30"/>
      <x:c r="U2395" s="30" t="str">
        <x:v>Расхождений не обнаружено.</x:v>
      </x:c>
      <x:c r="V2395" s="87" t="str">
        <x:v>VERIFIED</x:v>
      </x:c>
      <x:c r="W2395" s="87" t="str">
        <x:v>Официальный PDF, задание 9</x:v>
      </x:c>
      <x:c r="X2395" s="87"/>
      <x:c r="Y2395" s="87"/>
      <x:c r="Z2395" s="87"/>
      <x:c r="AA2395" s="87"/>
      <x:c r="AB2395" s="87"/>
      <x:c r="AC2395" s="87"/>
      <x:c r="AD2395" s="87"/>
      <x:c r="AE2395" s="87"/>
      <x:c r="AF2395" s="87"/>
      <x:c r="AG2395" s="87"/>
      <x:c r="AH2395" s="87"/>
      <x:c r="AI2395" s="30"/>
      <x:c r="AJ2395" s="87" t="str">
        <x:v>master</x:v>
      </x:c>
      <x:c r="AK2395" s="87" t="str">
        <x:v>master-v0.81</x:v>
      </x:c>
      <x:c r="AL2395" s="87" t="str">
        <x:v>statgrad_master_base_v0_81_final(2).xlsx</x:v>
      </x:c>
      <x:c r="AM2395" s="87" t="str">
        <x:v>MATH_Apr_Prof_V11</x:v>
      </x:c>
      <x:c r="AN2395" s="87" t="n">
        <x:v>10</x:v>
      </x:c>
    </x:row>
    <x:row r="2396">
      <x:c r="A2396" s="87" t="n">
        <x:v>2395</x:v>
      </x:c>
      <x:c r="B2396" s="87" t="str">
        <x:v>APR-MATH-P-V11-010</x:v>
      </x:c>
      <x:c r="C2396" s="87" t="str">
        <x:v>СтатГрад</x:v>
      </x:c>
      <x:c r="D2396" s="87" t="str">
        <x:v>Апрель 2026</x:v>
      </x:c>
      <x:c r="E2396" s="87"/>
      <x:c r="F2396" s="87"/>
      <x:c r="G2396" s="87" t="str">
        <x:v>Математика</x:v>
      </x:c>
      <x:c r="H2396" s="87" t="str">
        <x:v>Профильный</x:v>
      </x:c>
      <x:c r="I2396" s="87" t="str">
        <x:v>ТР №5</x:v>
      </x:c>
      <x:c r="J2396" s="87" t="str">
        <x:v>МА2510511</x:v>
      </x:c>
      <x:c r="K2396" s="87" t="n">
        <x:v>10</x:v>
      </x:c>
      <x:c r="L2396" s="87" t="str">
        <x:v>Движение</x:v>
      </x:c>
      <x:c r="M2396" s="30" t="str">
        <x:v>Два автомобиля проходят 240 км; первый быстрее на 20 км/ч и приезжает на 1 ч раньше. Найти скорость первого.</x:v>
      </x:c>
      <x:c r="N2396" s="30" t="str">
        <x:v>80</x:v>
      </x:c>
      <x:c r="O2396" s="30" t="str">
        <x:v>240/(v−20)−240/v=1, положительный корень v=80.</x:v>
      </x:c>
      <x:c r="P2396" s="30" t="str">
        <x:v>Преобразования и численный результат проверены повторно; графики и чертежи сверены с исходной страницей.</x:v>
      </x:c>
      <x:c r="Q2396" s="30"/>
      <x:c r="R2396" s="30" t="str">
        <x:v>Официальный PDF задания + таблица ответов + независимое решение</x:v>
      </x:c>
      <x:c r="S2396" s="30"/>
      <x:c r="T2396" s="30"/>
      <x:c r="U2396" s="30" t="str">
        <x:v>Расхождений не обнаружено.</x:v>
      </x:c>
      <x:c r="V2396" s="87" t="str">
        <x:v>VERIFIED</x:v>
      </x:c>
      <x:c r="W2396" s="87" t="str">
        <x:v>Официальный PDF, задание 10</x:v>
      </x:c>
      <x:c r="X2396" s="87"/>
      <x:c r="Y2396" s="87"/>
      <x:c r="Z2396" s="87"/>
      <x:c r="AA2396" s="87"/>
      <x:c r="AB2396" s="87"/>
      <x:c r="AC2396" s="87"/>
      <x:c r="AD2396" s="87"/>
      <x:c r="AE2396" s="87"/>
      <x:c r="AF2396" s="87"/>
      <x:c r="AG2396" s="87"/>
      <x:c r="AH2396" s="87"/>
      <x:c r="AI2396" s="30"/>
      <x:c r="AJ2396" s="87" t="str">
        <x:v>master</x:v>
      </x:c>
      <x:c r="AK2396" s="87" t="str">
        <x:v>master-v0.81</x:v>
      </x:c>
      <x:c r="AL2396" s="87" t="str">
        <x:v>statgrad_master_base_v0_81_final(2).xlsx</x:v>
      </x:c>
      <x:c r="AM2396" s="87" t="str">
        <x:v>MATH_Apr_Prof_V11</x:v>
      </x:c>
      <x:c r="AN2396" s="87" t="n">
        <x:v>11</x:v>
      </x:c>
    </x:row>
    <x:row r="2397">
      <x:c r="A2397" s="87" t="n">
        <x:v>2396</x:v>
      </x:c>
      <x:c r="B2397" s="87" t="str">
        <x:v>APR-MATH-P-V11-011</x:v>
      </x:c>
      <x:c r="C2397" s="87" t="str">
        <x:v>СтатГрад</x:v>
      </x:c>
      <x:c r="D2397" s="87" t="str">
        <x:v>Апрель 2026</x:v>
      </x:c>
      <x:c r="E2397" s="87"/>
      <x:c r="F2397" s="87"/>
      <x:c r="G2397" s="87" t="str">
        <x:v>Математика</x:v>
      </x:c>
      <x:c r="H2397" s="87" t="str">
        <x:v>Профильный</x:v>
      </x:c>
      <x:c r="I2397" s="87" t="str">
        <x:v>ТР №5</x:v>
      </x:c>
      <x:c r="J2397" s="87" t="str">
        <x:v>МА2510511</x:v>
      </x:c>
      <x:c r="K2397" s="87" t="n">
        <x:v>11</x:v>
      </x:c>
      <x:c r="L2397" s="87" t="str">
        <x:v>Пересечение графиков</x:v>
      </x:c>
      <x:c r="M2397" s="30" t="str">
        <x:v>По графикам y=a√x и y=kx+b найти ординату точки A.</x:v>
      </x:c>
      <x:c r="N2397" s="30" t="str">
        <x:v>−20</x:v>
      </x:c>
      <x:c r="O2397" s="30" t="str">
        <x:v>Коэффициенты восстановлены по отмеченным точкам; координата пересечения даёт y=−20.</x:v>
      </x:c>
      <x:c r="P2397" s="30" t="str">
        <x:v>Преобразования и численный результат проверены повторно; графики и чертежи сверены с исходной страницей.</x:v>
      </x:c>
      <x:c r="Q2397" s="30"/>
      <x:c r="R2397" s="30" t="str">
        <x:v>Официальный PDF задания + таблица ответов + независимое решение</x:v>
      </x:c>
      <x:c r="S2397" s="30"/>
      <x:c r="T2397" s="30"/>
      <x:c r="U2397" s="30" t="str">
        <x:v>Расхождений не обнаружено.</x:v>
      </x:c>
      <x:c r="V2397" s="87" t="str">
        <x:v>VERIFIED</x:v>
      </x:c>
      <x:c r="W2397" s="87" t="str">
        <x:v>Официальный PDF, задание 11</x:v>
      </x:c>
      <x:c r="X2397" s="87"/>
      <x:c r="Y2397" s="87"/>
      <x:c r="Z2397" s="87"/>
      <x:c r="AA2397" s="87"/>
      <x:c r="AB2397" s="87"/>
      <x:c r="AC2397" s="87"/>
      <x:c r="AD2397" s="87"/>
      <x:c r="AE2397" s="87"/>
      <x:c r="AF2397" s="87"/>
      <x:c r="AG2397" s="87"/>
      <x:c r="AH2397" s="87"/>
      <x:c r="AI2397" s="30"/>
      <x:c r="AJ2397" s="87" t="str">
        <x:v>master</x:v>
      </x:c>
      <x:c r="AK2397" s="87" t="str">
        <x:v>master-v0.81</x:v>
      </x:c>
      <x:c r="AL2397" s="87" t="str">
        <x:v>statgrad_master_base_v0_81_final(2).xlsx</x:v>
      </x:c>
      <x:c r="AM2397" s="87" t="str">
        <x:v>MATH_Apr_Prof_V11</x:v>
      </x:c>
      <x:c r="AN2397" s="87" t="n">
        <x:v>12</x:v>
      </x:c>
    </x:row>
    <x:row r="2398">
      <x:c r="A2398" s="87" t="n">
        <x:v>2397</x:v>
      </x:c>
      <x:c r="B2398" s="87" t="str">
        <x:v>APR-MATH-P-V11-012</x:v>
      </x:c>
      <x:c r="C2398" s="87" t="str">
        <x:v>СтатГрад</x:v>
      </x:c>
      <x:c r="D2398" s="87" t="str">
        <x:v>Апрель 2026</x:v>
      </x:c>
      <x:c r="E2398" s="87"/>
      <x:c r="F2398" s="87"/>
      <x:c r="G2398" s="87" t="str">
        <x:v>Математика</x:v>
      </x:c>
      <x:c r="H2398" s="87" t="str">
        <x:v>Профильный</x:v>
      </x:c>
      <x:c r="I2398" s="87" t="str">
        <x:v>ТР №5</x:v>
      </x:c>
      <x:c r="J2398" s="87" t="str">
        <x:v>МА2510511</x:v>
      </x:c>
      <x:c r="K2398" s="87" t="n">
        <x:v>12</x:v>
      </x:c>
      <x:c r="L2398" s="87" t="str">
        <x:v>Экстремум функции</x:v>
      </x:c>
      <x:c r="M2398" s="30" t="str">
        <x:v>Найти минимум f(x)=x√x−3x+12 на [1;16].</x:v>
      </x:c>
      <x:c r="N2398" s="30" t="str">
        <x:v>8</x:v>
      </x:c>
      <x:c r="O2398" s="30" t="str">
        <x:v>f′=(3/2)√x−3; минимум при x=4, f(4)=8.</x:v>
      </x:c>
      <x:c r="P2398" s="30" t="str">
        <x:v>Преобразования и численный результат проверены повторно; графики и чертежи сверены с исходной страницей.</x:v>
      </x:c>
      <x:c r="Q2398" s="30"/>
      <x:c r="R2398" s="30" t="str">
        <x:v>Официальный PDF задания + таблица ответов + независимое решение</x:v>
      </x:c>
      <x:c r="S2398" s="30"/>
      <x:c r="T2398" s="30"/>
      <x:c r="U2398" s="30" t="str">
        <x:v>Расхождений не обнаружено.</x:v>
      </x:c>
      <x:c r="V2398" s="87" t="str">
        <x:v>VERIFIED</x:v>
      </x:c>
      <x:c r="W2398" s="87" t="str">
        <x:v>Официальный PDF, задание 12</x:v>
      </x:c>
      <x:c r="X2398" s="87"/>
      <x:c r="Y2398" s="87"/>
      <x:c r="Z2398" s="87"/>
      <x:c r="AA2398" s="87"/>
      <x:c r="AB2398" s="87"/>
      <x:c r="AC2398" s="87"/>
      <x:c r="AD2398" s="87"/>
      <x:c r="AE2398" s="87"/>
      <x:c r="AF2398" s="87"/>
      <x:c r="AG2398" s="87"/>
      <x:c r="AH2398" s="87"/>
      <x:c r="AI2398" s="30"/>
      <x:c r="AJ2398" s="87" t="str">
        <x:v>master</x:v>
      </x:c>
      <x:c r="AK2398" s="87" t="str">
        <x:v>master-v0.81</x:v>
      </x:c>
      <x:c r="AL2398" s="87" t="str">
        <x:v>statgrad_master_base_v0_81_final(2).xlsx</x:v>
      </x:c>
      <x:c r="AM2398" s="87" t="str">
        <x:v>MATH_Apr_Prof_V11</x:v>
      </x:c>
      <x:c r="AN2398" s="87" t="n">
        <x:v>13</x:v>
      </x:c>
    </x:row>
    <x:row r="2399">
      <x:c r="A2399" s="87" t="n">
        <x:v>2398</x:v>
      </x:c>
      <x:c r="B2399" s="87" t="str">
        <x:v>APR-MATH-P-V11-013</x:v>
      </x:c>
      <x:c r="C2399" s="87" t="str">
        <x:v>СтатГрад</x:v>
      </x:c>
      <x:c r="D2399" s="87" t="str">
        <x:v>Апрель 2026</x:v>
      </x:c>
      <x:c r="E2399" s="87"/>
      <x:c r="F2399" s="87"/>
      <x:c r="G2399" s="87" t="str">
        <x:v>Математика</x:v>
      </x:c>
      <x:c r="H2399" s="87" t="str">
        <x:v>Профильный</x:v>
      </x:c>
      <x:c r="I2399" s="87" t="str">
        <x:v>ТР №5</x:v>
      </x:c>
      <x:c r="J2399" s="87" t="str">
        <x:v>МА2510511</x:v>
      </x:c>
      <x:c r="K2399" s="87" t="n">
        <x:v>13</x:v>
      </x:c>
      <x:c r="L2399" s="87" t="str">
        <x:v>Тригонометрическое уравнение</x:v>
      </x:c>
      <x:c r="M2399" s="30" t="str">
        <x:v>Решить cosx·sin(x+π/4)−sin(x−π/4)=cos2x и отобрать корни на [−4π;−5π/2].</x:v>
      </x:c>
      <x:c r="N2399" s="30" t="str">
        <x:v>а) x=π/4+πm/2; б) −15π/4, −13π/4, −11π/4</x:v>
      </x:c>
      <x:c r="O2399" s="30" t="str">
        <x:v>Уравнение сводится к cos2x=0; отбор выполнен по интервалу.</x:v>
      </x:c>
      <x:c r="P2399" s="30" t="str">
        <x:v>Преобразования и численный результат проверены повторно; графики и чертежи сверены с исходной страницей.</x:v>
      </x:c>
      <x:c r="Q2399" s="30"/>
      <x:c r="R2399" s="30" t="str">
        <x:v>Официальный PDF задания + официальный критерий + независимое решение</x:v>
      </x:c>
      <x:c r="S2399" s="30"/>
      <x:c r="T2399" s="30"/>
      <x:c r="U2399" s="30" t="str">
        <x:v>Расхождений не обнаружено.</x:v>
      </x:c>
      <x:c r="V2399" s="87" t="str">
        <x:v>VERIFIED</x:v>
      </x:c>
      <x:c r="W2399" s="87" t="str">
        <x:v>Официальный PDF, задание 13</x:v>
      </x:c>
      <x:c r="X2399" s="87"/>
      <x:c r="Y2399" s="87"/>
      <x:c r="Z2399" s="87"/>
      <x:c r="AA2399" s="87"/>
      <x:c r="AB2399" s="87"/>
      <x:c r="AC2399" s="87"/>
      <x:c r="AD2399" s="87"/>
      <x:c r="AE2399" s="87"/>
      <x:c r="AF2399" s="87"/>
      <x:c r="AG2399" s="87"/>
      <x:c r="AH2399" s="87"/>
      <x:c r="AI2399" s="30"/>
      <x:c r="AJ2399" s="87" t="str">
        <x:v>master</x:v>
      </x:c>
      <x:c r="AK2399" s="87" t="str">
        <x:v>master-v0.81</x:v>
      </x:c>
      <x:c r="AL2399" s="87" t="str">
        <x:v>statgrad_master_base_v0_81_final(2).xlsx</x:v>
      </x:c>
      <x:c r="AM2399" s="87" t="str">
        <x:v>MATH_Apr_Prof_V11</x:v>
      </x:c>
      <x:c r="AN2399" s="87" t="n">
        <x:v>14</x:v>
      </x:c>
    </x:row>
    <x:row r="2400">
      <x:c r="A2400" s="87" t="n">
        <x:v>2399</x:v>
      </x:c>
      <x:c r="B2400" s="87" t="str">
        <x:v>APR-MATH-P-V11-014</x:v>
      </x:c>
      <x:c r="C2400" s="87" t="str">
        <x:v>СтатГрад</x:v>
      </x:c>
      <x:c r="D2400" s="87" t="str">
        <x:v>Апрель 2026</x:v>
      </x:c>
      <x:c r="E2400" s="87"/>
      <x:c r="F2400" s="87"/>
      <x:c r="G2400" s="87" t="str">
        <x:v>Математика</x:v>
      </x:c>
      <x:c r="H2400" s="87" t="str">
        <x:v>Профильный</x:v>
      </x:c>
      <x:c r="I2400" s="87" t="str">
        <x:v>ТР №5</x:v>
      </x:c>
      <x:c r="J2400" s="87" t="str">
        <x:v>МА2510511</x:v>
      </x:c>
      <x:c r="K2400" s="87" t="n">
        <x:v>14</x:v>
      </x:c>
      <x:c r="L2400" s="87" t="str">
        <x:v>Стереометрия</x:v>
      </x:c>
      <x:c r="M2400" s="30" t="str">
        <x:v>В прямой треугольной призме с равнобедренным прямоугольным основанием доказать прямоугольность сечения; h=12, AB=10√2. Найти расстояние.</x:v>
      </x:c>
      <x:c r="N2400" s="30" t="str">
        <x:v>а) сечение — прямоугольный треугольник; б) 60/13</x:v>
      </x:c>
      <x:c r="O2400" s="30" t="str">
        <x:v>Перпендикулярности дают прямоугольное сечение; расстояние равно высоте к гипотенузе треугольника со сторонами 5,12,13.</x:v>
      </x:c>
      <x:c r="P2400" s="30" t="str">
        <x:v>Преобразования и численный результат проверены повторно; графики и чертежи сверены с исходной страницей.</x:v>
      </x:c>
      <x:c r="Q2400" s="30"/>
      <x:c r="R2400" s="30" t="str">
        <x:v>Официальный PDF задания + официальный критерий + независимое решение</x:v>
      </x:c>
      <x:c r="S2400" s="30"/>
      <x:c r="T2400" s="30"/>
      <x:c r="U2400" s="30" t="str">
        <x:v>Расхождений не обнаружено.</x:v>
      </x:c>
      <x:c r="V2400" s="87" t="str">
        <x:v>VERIFIED</x:v>
      </x:c>
      <x:c r="W2400" s="87" t="str">
        <x:v>Официальный PDF, задание 14</x:v>
      </x:c>
      <x:c r="X2400" s="87"/>
      <x:c r="Y2400" s="87"/>
      <x:c r="Z2400" s="87"/>
      <x:c r="AA2400" s="87"/>
      <x:c r="AB2400" s="87"/>
      <x:c r="AC2400" s="87"/>
      <x:c r="AD2400" s="87"/>
      <x:c r="AE2400" s="87"/>
      <x:c r="AF2400" s="87"/>
      <x:c r="AG2400" s="87"/>
      <x:c r="AH2400" s="87"/>
      <x:c r="AI2400" s="30"/>
      <x:c r="AJ2400" s="87" t="str">
        <x:v>master</x:v>
      </x:c>
      <x:c r="AK2400" s="87" t="str">
        <x:v>master-v0.81</x:v>
      </x:c>
      <x:c r="AL2400" s="87" t="str">
        <x:v>statgrad_master_base_v0_81_final(2).xlsx</x:v>
      </x:c>
      <x:c r="AM2400" s="87" t="str">
        <x:v>MATH_Apr_Prof_V11</x:v>
      </x:c>
      <x:c r="AN2400" s="87" t="n">
        <x:v>15</x:v>
      </x:c>
    </x:row>
    <x:row r="2401">
      <x:c r="A2401" s="87" t="n">
        <x:v>2400</x:v>
      </x:c>
      <x:c r="B2401" s="87" t="str">
        <x:v>APR-MATH-P-V11-015</x:v>
      </x:c>
      <x:c r="C2401" s="87" t="str">
        <x:v>СтатГрад</x:v>
      </x:c>
      <x:c r="D2401" s="87" t="str">
        <x:v>Апрель 2026</x:v>
      </x:c>
      <x:c r="E2401" s="87"/>
      <x:c r="F2401" s="87"/>
      <x:c r="G2401" s="87" t="str">
        <x:v>Математика</x:v>
      </x:c>
      <x:c r="H2401" s="87" t="str">
        <x:v>Профильный</x:v>
      </x:c>
      <x:c r="I2401" s="87" t="str">
        <x:v>ТР №5</x:v>
      </x:c>
      <x:c r="J2401" s="87" t="str">
        <x:v>МА2510511</x:v>
      </x:c>
      <x:c r="K2401" s="87" t="n">
        <x:v>15</x:v>
      </x:c>
      <x:c r="L2401" s="87" t="str">
        <x:v>Логарифмическое неравенство</x:v>
      </x:c>
      <x:c r="M2401" s="30" t="str">
        <x:v>Решить официальное неравенство задания 15.</x:v>
      </x:c>
      <x:c r="N2401" s="30" t="str">
        <x:v>[1/4; 1/2) ∪ (1; 2]</x:v>
      </x:c>
      <x:c r="O2401" s="30" t="str">
        <x:v>Замена t=log₂x сводит к t(t+2)(t−1)/(t+1)≤0 с учётом ОДЗ.</x:v>
      </x:c>
      <x:c r="P2401" s="30" t="str">
        <x:v>Преобразования и численный результат проверены повторно; графики и чертежи сверены с исходной страницей.</x:v>
      </x:c>
      <x:c r="Q2401" s="30"/>
      <x:c r="R2401" s="30" t="str">
        <x:v>Официальный PDF задания + официальный критерий + независимое решение</x:v>
      </x:c>
      <x:c r="S2401" s="30"/>
      <x:c r="T2401" s="30"/>
      <x:c r="U2401" s="30" t="str">
        <x:v>Расхождений не обнаружено.</x:v>
      </x:c>
      <x:c r="V2401" s="87" t="str">
        <x:v>VERIFIED</x:v>
      </x:c>
      <x:c r="W2401" s="87" t="str">
        <x:v>Официальный PDF, задание 15</x:v>
      </x:c>
      <x:c r="X2401" s="87"/>
      <x:c r="Y2401" s="87"/>
      <x:c r="Z2401" s="87"/>
      <x:c r="AA2401" s="87"/>
      <x:c r="AB2401" s="87"/>
      <x:c r="AC2401" s="87"/>
      <x:c r="AD2401" s="87"/>
      <x:c r="AE2401" s="87"/>
      <x:c r="AF2401" s="87"/>
      <x:c r="AG2401" s="87"/>
      <x:c r="AH2401" s="87"/>
      <x:c r="AI2401" s="30"/>
      <x:c r="AJ2401" s="87" t="str">
        <x:v>master</x:v>
      </x:c>
      <x:c r="AK2401" s="87" t="str">
        <x:v>master-v0.81</x:v>
      </x:c>
      <x:c r="AL2401" s="87" t="str">
        <x:v>statgrad_master_base_v0_81_final(2).xlsx</x:v>
      </x:c>
      <x:c r="AM2401" s="87" t="str">
        <x:v>MATH_Apr_Prof_V11</x:v>
      </x:c>
      <x:c r="AN2401" s="87" t="n">
        <x:v>16</x:v>
      </x:c>
    </x:row>
    <x:row r="2402">
      <x:c r="A2402" s="87" t="n">
        <x:v>2401</x:v>
      </x:c>
      <x:c r="B2402" s="87" t="str">
        <x:v>APR-MATH-P-V11-016</x:v>
      </x:c>
      <x:c r="C2402" s="87" t="str">
        <x:v>СтатГрад</x:v>
      </x:c>
      <x:c r="D2402" s="87" t="str">
        <x:v>Апрель 2026</x:v>
      </x:c>
      <x:c r="E2402" s="87"/>
      <x:c r="F2402" s="87"/>
      <x:c r="G2402" s="87" t="str">
        <x:v>Математика</x:v>
      </x:c>
      <x:c r="H2402" s="87" t="str">
        <x:v>Профильный</x:v>
      </x:c>
      <x:c r="I2402" s="87" t="str">
        <x:v>ТР №5</x:v>
      </x:c>
      <x:c r="J2402" s="87" t="str">
        <x:v>МА2510511</x:v>
      </x:c>
      <x:c r="K2402" s="87" t="n">
        <x:v>16</x:v>
      </x:c>
      <x:c r="L2402" s="87" t="str">
        <x:v>Финансовая математика</x:v>
      </x:c>
      <x:c r="M2402" s="30" t="str">
        <x:v>Кредит 1,2 млн на 6 месяцев; найти минимальное целое r, при котором сумма выплат больше 1,75 млн.</x:v>
      </x:c>
      <x:c r="N2402" s="30" t="str">
        <x:v>14</x:v>
      </x:c>
      <x:c r="O2402" s="30" t="str">
        <x:v>Сумма выплат 1,2+(r/100)·4; неравенство даёт r&gt;13,75.</x:v>
      </x:c>
      <x:c r="P2402" s="30" t="str">
        <x:v>Преобразования и численный результат проверены повторно; графики и чертежи сверены с исходной страницей.</x:v>
      </x:c>
      <x:c r="Q2402" s="30"/>
      <x:c r="R2402" s="30" t="str">
        <x:v>Официальный PDF задания + официальный критерий + независимое решение</x:v>
      </x:c>
      <x:c r="S2402" s="30"/>
      <x:c r="T2402" s="30"/>
      <x:c r="U2402" s="30" t="str">
        <x:v>Расхождений не обнаружено.</x:v>
      </x:c>
      <x:c r="V2402" s="87" t="str">
        <x:v>VERIFIED</x:v>
      </x:c>
      <x:c r="W2402" s="87" t="str">
        <x:v>Официальный PDF, задание 16</x:v>
      </x:c>
      <x:c r="X2402" s="87"/>
      <x:c r="Y2402" s="87"/>
      <x:c r="Z2402" s="87"/>
      <x:c r="AA2402" s="87"/>
      <x:c r="AB2402" s="87"/>
      <x:c r="AC2402" s="87"/>
      <x:c r="AD2402" s="87"/>
      <x:c r="AE2402" s="87"/>
      <x:c r="AF2402" s="87"/>
      <x:c r="AG2402" s="87"/>
      <x:c r="AH2402" s="87"/>
      <x:c r="AI2402" s="30"/>
      <x:c r="AJ2402" s="87" t="str">
        <x:v>master</x:v>
      </x:c>
      <x:c r="AK2402" s="87" t="str">
        <x:v>master-v0.81</x:v>
      </x:c>
      <x:c r="AL2402" s="87" t="str">
        <x:v>statgrad_master_base_v0_81_final(2).xlsx</x:v>
      </x:c>
      <x:c r="AM2402" s="87" t="str">
        <x:v>MATH_Apr_Prof_V11</x:v>
      </x:c>
      <x:c r="AN2402" s="87" t="n">
        <x:v>17</x:v>
      </x:c>
    </x:row>
    <x:row r="2403">
      <x:c r="A2403" s="87" t="n">
        <x:v>2402</x:v>
      </x:c>
      <x:c r="B2403" s="87" t="str">
        <x:v>APR-MATH-P-V11-017</x:v>
      </x:c>
      <x:c r="C2403" s="87" t="str">
        <x:v>СтатГрад</x:v>
      </x:c>
      <x:c r="D2403" s="87" t="str">
        <x:v>Апрель 2026</x:v>
      </x:c>
      <x:c r="E2403" s="87"/>
      <x:c r="F2403" s="87"/>
      <x:c r="G2403" s="87" t="str">
        <x:v>Математика</x:v>
      </x:c>
      <x:c r="H2403" s="87" t="str">
        <x:v>Профильный</x:v>
      </x:c>
      <x:c r="I2403" s="87" t="str">
        <x:v>ТР №5</x:v>
      </x:c>
      <x:c r="J2403" s="87" t="str">
        <x:v>МА2510511</x:v>
      </x:c>
      <x:c r="K2403" s="87" t="n">
        <x:v>17</x:v>
      </x:c>
      <x:c r="L2403" s="87" t="str">
        <x:v>Планиметрия</x:v>
      </x:c>
      <x:c r="M2403" s="30" t="str">
        <x:v>Доказать ∠ABC=∠ACH; AK=5, BK=15. Найти AC.</x:v>
      </x:c>
      <x:c r="N2403" s="30" t="str">
        <x:v>а) ∠ABC=∠ACH; б) AC=10</x:v>
      </x:c>
      <x:c r="O2403" s="30" t="str">
        <x:v>Подобие: AC²=(AK+BK)·AK=20·5=100.</x:v>
      </x:c>
      <x:c r="P2403" s="30" t="str">
        <x:v>Преобразования и численный результат проверены повторно; графики и чертежи сверены с исходной страницей.</x:v>
      </x:c>
      <x:c r="Q2403" s="30"/>
      <x:c r="R2403" s="30" t="str">
        <x:v>Официальный PDF задания + официальный критерий + независимое решение</x:v>
      </x:c>
      <x:c r="S2403" s="30"/>
      <x:c r="T2403" s="30"/>
      <x:c r="U2403" s="30" t="str">
        <x:v>Расхождений не обнаружено.</x:v>
      </x:c>
      <x:c r="V2403" s="87" t="str">
        <x:v>VERIFIED</x:v>
      </x:c>
      <x:c r="W2403" s="87" t="str">
        <x:v>Официальный PDF, задание 17</x:v>
      </x:c>
      <x:c r="X2403" s="87"/>
      <x:c r="Y2403" s="87"/>
      <x:c r="Z2403" s="87"/>
      <x:c r="AA2403" s="87"/>
      <x:c r="AB2403" s="87"/>
      <x:c r="AC2403" s="87"/>
      <x:c r="AD2403" s="87"/>
      <x:c r="AE2403" s="87"/>
      <x:c r="AF2403" s="87"/>
      <x:c r="AG2403" s="87"/>
      <x:c r="AH2403" s="87"/>
      <x:c r="AI2403" s="30"/>
      <x:c r="AJ2403" s="87" t="str">
        <x:v>master</x:v>
      </x:c>
      <x:c r="AK2403" s="87" t="str">
        <x:v>master-v0.81</x:v>
      </x:c>
      <x:c r="AL2403" s="87" t="str">
        <x:v>statgrad_master_base_v0_81_final(2).xlsx</x:v>
      </x:c>
      <x:c r="AM2403" s="87" t="str">
        <x:v>MATH_Apr_Prof_V11</x:v>
      </x:c>
      <x:c r="AN2403" s="87" t="n">
        <x:v>18</x:v>
      </x:c>
    </x:row>
    <x:row r="2404">
      <x:c r="A2404" s="87" t="n">
        <x:v>2403</x:v>
      </x:c>
      <x:c r="B2404" s="87" t="str">
        <x:v>APR-MATH-P-V11-018</x:v>
      </x:c>
      <x:c r="C2404" s="87" t="str">
        <x:v>СтатГрад</x:v>
      </x:c>
      <x:c r="D2404" s="87" t="str">
        <x:v>Апрель 2026</x:v>
      </x:c>
      <x:c r="E2404" s="87"/>
      <x:c r="F2404" s="87"/>
      <x:c r="G2404" s="87" t="str">
        <x:v>Математика</x:v>
      </x:c>
      <x:c r="H2404" s="87" t="str">
        <x:v>Профильный</x:v>
      </x:c>
      <x:c r="I2404" s="87" t="str">
        <x:v>ТР №5</x:v>
      </x:c>
      <x:c r="J2404" s="87" t="str">
        <x:v>МА2510511</x:v>
      </x:c>
      <x:c r="K2404" s="87" t="n">
        <x:v>18</x:v>
      </x:c>
      <x:c r="L2404" s="87" t="str">
        <x:v>Уравнение с параметром</x:v>
      </x:c>
      <x:c r="M2404" s="30" t="str">
        <x:v>Уравнение с |x|, квадратами и cos(14π/p) должно иметь ровно два корня.</x:v>
      </x:c>
      <x:c r="N2404" s="30" t="str">
        <x:v>p=−1; 3; 5; 7</x:v>
      </x:c>
      <x:c r="O2404" s="30" t="str">
        <x:v>Равенство возможно только при cos(14π/p)=1 и (|x|−2)²−1=p; условия числа корней дают указанные p.</x:v>
      </x:c>
      <x:c r="P2404" s="30" t="str">
        <x:v>Преобразования и численный результат проверены повторно; графики и чертежи сверены с исходной страницей.</x:v>
      </x:c>
      <x:c r="Q2404" s="30"/>
      <x:c r="R2404" s="30" t="str">
        <x:v>Официальный PDF задания + официальный критерий + независимое решение</x:v>
      </x:c>
      <x:c r="S2404" s="30"/>
      <x:c r="T2404" s="30"/>
      <x:c r="U2404" s="30" t="str">
        <x:v>Расхождений не обнаружено.</x:v>
      </x:c>
      <x:c r="V2404" s="87" t="str">
        <x:v>VERIFIED</x:v>
      </x:c>
      <x:c r="W2404" s="87" t="str">
        <x:v>Официальный PDF, задание 18</x:v>
      </x:c>
      <x:c r="X2404" s="87"/>
      <x:c r="Y2404" s="87"/>
      <x:c r="Z2404" s="87"/>
      <x:c r="AA2404" s="87"/>
      <x:c r="AB2404" s="87"/>
      <x:c r="AC2404" s="87"/>
      <x:c r="AD2404" s="87"/>
      <x:c r="AE2404" s="87"/>
      <x:c r="AF2404" s="87"/>
      <x:c r="AG2404" s="87"/>
      <x:c r="AH2404" s="87"/>
      <x:c r="AI2404" s="30"/>
      <x:c r="AJ2404" s="87" t="str">
        <x:v>master</x:v>
      </x:c>
      <x:c r="AK2404" s="87" t="str">
        <x:v>master-v0.81</x:v>
      </x:c>
      <x:c r="AL2404" s="87" t="str">
        <x:v>statgrad_master_base_v0_81_final(2).xlsx</x:v>
      </x:c>
      <x:c r="AM2404" s="87" t="str">
        <x:v>MATH_Apr_Prof_V11</x:v>
      </x:c>
      <x:c r="AN2404" s="87" t="n">
        <x:v>19</x:v>
      </x:c>
    </x:row>
    <x:row r="2405">
      <x:c r="A2405" s="87" t="n">
        <x:v>2404</x:v>
      </x:c>
      <x:c r="B2405" s="87" t="str">
        <x:v>APR-MATH-P-V11-019</x:v>
      </x:c>
      <x:c r="C2405" s="87" t="str">
        <x:v>СтатГрад</x:v>
      </x:c>
      <x:c r="D2405" s="87" t="str">
        <x:v>Апрель 2026</x:v>
      </x:c>
      <x:c r="E2405" s="87"/>
      <x:c r="F2405" s="87"/>
      <x:c r="G2405" s="87" t="str">
        <x:v>Математика</x:v>
      </x:c>
      <x:c r="H2405" s="87" t="str">
        <x:v>Профильный</x:v>
      </x:c>
      <x:c r="I2405" s="87" t="str">
        <x:v>ТР №5</x:v>
      </x:c>
      <x:c r="J2405" s="87" t="str">
        <x:v>МА2510511</x:v>
      </x:c>
      <x:c r="K2405" s="87" t="n">
        <x:v>19</x:v>
      </x:c>
      <x:c r="L2405" s="87" t="str">
        <x:v>Комбинаторная задача</x:v>
      </x:c>
      <x:c r="M2405" s="30" t="str">
        <x:v>Игра с двумя двузначными числами, одно начинается с 5; проверить 2 и 15,5 и найти максимум.</x:v>
      </x:c>
      <x:c r="N2405" s="30" t="str">
        <x:v>а) да; б) нет; в) 10,02</x:v>
      </x:c>
      <x:c r="O2405" s="30" t="str">
        <x:v>Пример 13 и 52 даёт 2; оценка исключает 15,5; максимум при 10 и 50 равен 10+1/50.</x:v>
      </x:c>
      <x:c r="P2405" s="30" t="str">
        <x:v>Преобразования и численный результат проверены повторно; графики и чертежи сверены с исходной страницей.</x:v>
      </x:c>
      <x:c r="Q2405" s="30"/>
      <x:c r="R2405" s="30" t="str">
        <x:v>Официальный PDF задания + официальный критерий + независимое решение</x:v>
      </x:c>
      <x:c r="S2405" s="30"/>
      <x:c r="T2405" s="30"/>
      <x:c r="U2405" s="30" t="str">
        <x:v>Расхождений не обнаружено.</x:v>
      </x:c>
      <x:c r="V2405" s="87" t="str">
        <x:v>VERIFIED</x:v>
      </x:c>
      <x:c r="W2405" s="87" t="str">
        <x:v>Официальный PDF, задание 19</x:v>
      </x:c>
      <x:c r="X2405" s="87"/>
      <x:c r="Y2405" s="87"/>
      <x:c r="Z2405" s="87"/>
      <x:c r="AA2405" s="87"/>
      <x:c r="AB2405" s="87"/>
      <x:c r="AC2405" s="87"/>
      <x:c r="AD2405" s="87"/>
      <x:c r="AE2405" s="87"/>
      <x:c r="AF2405" s="87"/>
      <x:c r="AG2405" s="87"/>
      <x:c r="AH2405" s="87"/>
      <x:c r="AI2405" s="30"/>
      <x:c r="AJ2405" s="87" t="str">
        <x:v>master</x:v>
      </x:c>
      <x:c r="AK2405" s="87" t="str">
        <x:v>master-v0.81</x:v>
      </x:c>
      <x:c r="AL2405" s="87" t="str">
        <x:v>statgrad_master_base_v0_81_final(2).xlsx</x:v>
      </x:c>
      <x:c r="AM2405" s="87" t="str">
        <x:v>MATH_Apr_Prof_V11</x:v>
      </x:c>
      <x:c r="AN2405" s="87" t="n">
        <x:v>20</x:v>
      </x:c>
    </x:row>
    <x:row r="2406">
      <x:c r="A2406" s="87" t="n">
        <x:v>2405</x:v>
      </x:c>
      <x:c r="B2406" s="87" t="str">
        <x:v>APR-MATH-P-V12-001</x:v>
      </x:c>
      <x:c r="C2406" s="87" t="str">
        <x:v>СтатГрад</x:v>
      </x:c>
      <x:c r="D2406" s="87" t="str">
        <x:v>Апрель 2026</x:v>
      </x:c>
      <x:c r="E2406" s="87"/>
      <x:c r="F2406" s="87"/>
      <x:c r="G2406" s="87" t="str">
        <x:v>Математика</x:v>
      </x:c>
      <x:c r="H2406" s="87" t="str">
        <x:v>Профильный</x:v>
      </x:c>
      <x:c r="I2406" s="87" t="str">
        <x:v>ТР №5</x:v>
      </x:c>
      <x:c r="J2406" s="87" t="str">
        <x:v>МА2510512</x:v>
      </x:c>
      <x:c r="K2406" s="87" t="n">
        <x:v>1</x:v>
      </x:c>
      <x:c r="L2406" s="87" t="str">
        <x:v>Описанная трапеция</x:v>
      </x:c>
      <x:c r="M2406" s="30" t="str">
        <x:v>Средняя линия описанной около окружности трапеции равна 13. Найти периметр.</x:v>
      </x:c>
      <x:c r="N2406" s="30" t="str">
        <x:v>52</x:v>
      </x:c>
      <x:c r="O2406" s="30" t="str">
        <x:v>Сумма оснований 26, равная сумме боковых сторон; периметр 52.</x:v>
      </x:c>
      <x:c r="P2406" s="30" t="str">
        <x:v>Преобразования и численный результат проверены повторно; графики и чертежи сверены с исходной страницей.</x:v>
      </x:c>
      <x:c r="Q2406" s="30"/>
      <x:c r="R2406" s="30" t="str">
        <x:v>Официальный PDF задания + таблица ответов + независимое решение</x:v>
      </x:c>
      <x:c r="S2406" s="30"/>
      <x:c r="T2406" s="30"/>
      <x:c r="U2406" s="30" t="str">
        <x:v>Расхождений не обнаружено.</x:v>
      </x:c>
      <x:c r="V2406" s="87" t="str">
        <x:v>VERIFIED</x:v>
      </x:c>
      <x:c r="W2406" s="87" t="str">
        <x:v>Официальный PDF, задание 1</x:v>
      </x:c>
      <x:c r="X2406" s="87"/>
      <x:c r="Y2406" s="87"/>
      <x:c r="Z2406" s="87"/>
      <x:c r="AA2406" s="87"/>
      <x:c r="AB2406" s="87"/>
      <x:c r="AC2406" s="87"/>
      <x:c r="AD2406" s="87"/>
      <x:c r="AE2406" s="87"/>
      <x:c r="AF2406" s="87"/>
      <x:c r="AG2406" s="87"/>
      <x:c r="AH2406" s="87"/>
      <x:c r="AI2406" s="30"/>
      <x:c r="AJ2406" s="87" t="str">
        <x:v>master</x:v>
      </x:c>
      <x:c r="AK2406" s="87" t="str">
        <x:v>master-v0.81</x:v>
      </x:c>
      <x:c r="AL2406" s="87" t="str">
        <x:v>statgrad_master_base_v0_81_final(2).xlsx</x:v>
      </x:c>
      <x:c r="AM2406" s="87" t="str">
        <x:v>MATH_Apr_Prof_V12</x:v>
      </x:c>
      <x:c r="AN2406" s="87" t="n">
        <x:v>2</x:v>
      </x:c>
    </x:row>
    <x:row r="2407">
      <x:c r="A2407" s="87" t="n">
        <x:v>2406</x:v>
      </x:c>
      <x:c r="B2407" s="87" t="str">
        <x:v>APR-MATH-P-V12-002</x:v>
      </x:c>
      <x:c r="C2407" s="87" t="str">
        <x:v>СтатГрад</x:v>
      </x:c>
      <x:c r="D2407" s="87" t="str">
        <x:v>Апрель 2026</x:v>
      </x:c>
      <x:c r="E2407" s="87"/>
      <x:c r="F2407" s="87"/>
      <x:c r="G2407" s="87" t="str">
        <x:v>Математика</x:v>
      </x:c>
      <x:c r="H2407" s="87" t="str">
        <x:v>Профильный</x:v>
      </x:c>
      <x:c r="I2407" s="87" t="str">
        <x:v>ТР №5</x:v>
      </x:c>
      <x:c r="J2407" s="87" t="str">
        <x:v>МА2510512</x:v>
      </x:c>
      <x:c r="K2407" s="87" t="n">
        <x:v>2</x:v>
      </x:c>
      <x:c r="L2407" s="87" t="str">
        <x:v>Векторы</x:v>
      </x:c>
      <x:c r="M2407" s="30" t="str">
        <x:v>a=(−5;−2), b=(1;−2), c=(−1;3). Найти длину a−b+2c.</x:v>
      </x:c>
      <x:c r="N2407" s="30" t="str">
        <x:v>10</x:v>
      </x:c>
      <x:c r="O2407" s="30" t="str">
        <x:v>Вектор (−8;6), длина 10.</x:v>
      </x:c>
      <x:c r="P2407" s="30" t="str">
        <x:v>Преобразования и численный результат проверены повторно; графики и чертежи сверены с исходной страницей.</x:v>
      </x:c>
      <x:c r="Q2407" s="30"/>
      <x:c r="R2407" s="30" t="str">
        <x:v>Официальный PDF задания + таблица ответов + независимое решение</x:v>
      </x:c>
      <x:c r="S2407" s="30"/>
      <x:c r="T2407" s="30"/>
      <x:c r="U2407" s="30" t="str">
        <x:v>Расхождений не обнаружено.</x:v>
      </x:c>
      <x:c r="V2407" s="87" t="str">
        <x:v>VERIFIED</x:v>
      </x:c>
      <x:c r="W2407" s="87" t="str">
        <x:v>Официальный PDF, задание 2</x:v>
      </x:c>
      <x:c r="X2407" s="87"/>
      <x:c r="Y2407" s="87"/>
      <x:c r="Z2407" s="87"/>
      <x:c r="AA2407" s="87"/>
      <x:c r="AB2407" s="87"/>
      <x:c r="AC2407" s="87"/>
      <x:c r="AD2407" s="87"/>
      <x:c r="AE2407" s="87"/>
      <x:c r="AF2407" s="87"/>
      <x:c r="AG2407" s="87"/>
      <x:c r="AH2407" s="87"/>
      <x:c r="AI2407" s="30"/>
      <x:c r="AJ2407" s="87" t="str">
        <x:v>master</x:v>
      </x:c>
      <x:c r="AK2407" s="87" t="str">
        <x:v>master-v0.81</x:v>
      </x:c>
      <x:c r="AL2407" s="87" t="str">
        <x:v>statgrad_master_base_v0_81_final(2).xlsx</x:v>
      </x:c>
      <x:c r="AM2407" s="87" t="str">
        <x:v>MATH_Apr_Prof_V12</x:v>
      </x:c>
      <x:c r="AN2407" s="87" t="n">
        <x:v>3</x:v>
      </x:c>
    </x:row>
    <x:row r="2408">
      <x:c r="A2408" s="87" t="n">
        <x:v>2407</x:v>
      </x:c>
      <x:c r="B2408" s="87" t="str">
        <x:v>APR-MATH-P-V12-003</x:v>
      </x:c>
      <x:c r="C2408" s="87" t="str">
        <x:v>СтатГрад</x:v>
      </x:c>
      <x:c r="D2408" s="87" t="str">
        <x:v>Апрель 2026</x:v>
      </x:c>
      <x:c r="E2408" s="87"/>
      <x:c r="F2408" s="87"/>
      <x:c r="G2408" s="87" t="str">
        <x:v>Математика</x:v>
      </x:c>
      <x:c r="H2408" s="87" t="str">
        <x:v>Профильный</x:v>
      </x:c>
      <x:c r="I2408" s="87" t="str">
        <x:v>ТР №5</x:v>
      </x:c>
      <x:c r="J2408" s="87" t="str">
        <x:v>МА2510512</x:v>
      </x:c>
      <x:c r="K2408" s="87" t="n">
        <x:v>3</x:v>
      </x:c>
      <x:c r="L2408" s="87" t="str">
        <x:v>Объём пирамиды</x:v>
      </x:c>
      <x:c r="M2408" s="30" t="str">
        <x:v>От пирамиды объёма 48 отсечена часть плоскостью через вершину и среднюю линию основания.</x:v>
      </x:c>
      <x:c r="N2408" s="30" t="str">
        <x:v>12</x:v>
      </x:c>
      <x:c r="O2408" s="30" t="str">
        <x:v>Объём равен четверти исходного: 12.</x:v>
      </x:c>
      <x:c r="P2408" s="30" t="str">
        <x:v>Преобразования и численный результат проверены повторно; графики и чертежи сверены с исходной страницей.</x:v>
      </x:c>
      <x:c r="Q2408" s="30"/>
      <x:c r="R2408" s="30" t="str">
        <x:v>Официальный PDF задания + таблица ответов + независимое решение</x:v>
      </x:c>
      <x:c r="S2408" s="30"/>
      <x:c r="T2408" s="30"/>
      <x:c r="U2408" s="30" t="str">
        <x:v>Расхождений не обнаружено.</x:v>
      </x:c>
      <x:c r="V2408" s="87" t="str">
        <x:v>VERIFIED</x:v>
      </x:c>
      <x:c r="W2408" s="87" t="str">
        <x:v>Официальный PDF, задание 3</x:v>
      </x:c>
      <x:c r="X2408" s="87"/>
      <x:c r="Y2408" s="87"/>
      <x:c r="Z2408" s="87"/>
      <x:c r="AA2408" s="87"/>
      <x:c r="AB2408" s="87"/>
      <x:c r="AC2408" s="87"/>
      <x:c r="AD2408" s="87"/>
      <x:c r="AE2408" s="87"/>
      <x:c r="AF2408" s="87"/>
      <x:c r="AG2408" s="87"/>
      <x:c r="AH2408" s="87"/>
      <x:c r="AI2408" s="30"/>
      <x:c r="AJ2408" s="87" t="str">
        <x:v>master</x:v>
      </x:c>
      <x:c r="AK2408" s="87" t="str">
        <x:v>master-v0.81</x:v>
      </x:c>
      <x:c r="AL2408" s="87" t="str">
        <x:v>statgrad_master_base_v0_81_final(2).xlsx</x:v>
      </x:c>
      <x:c r="AM2408" s="87" t="str">
        <x:v>MATH_Apr_Prof_V12</x:v>
      </x:c>
      <x:c r="AN2408" s="87" t="n">
        <x:v>4</x:v>
      </x:c>
    </x:row>
    <x:row r="2409">
      <x:c r="A2409" s="87" t="n">
        <x:v>2408</x:v>
      </x:c>
      <x:c r="B2409" s="87" t="str">
        <x:v>APR-MATH-P-V12-004</x:v>
      </x:c>
      <x:c r="C2409" s="87" t="str">
        <x:v>СтатГрад</x:v>
      </x:c>
      <x:c r="D2409" s="87" t="str">
        <x:v>Апрель 2026</x:v>
      </x:c>
      <x:c r="E2409" s="87"/>
      <x:c r="F2409" s="87"/>
      <x:c r="G2409" s="87" t="str">
        <x:v>Математика</x:v>
      </x:c>
      <x:c r="H2409" s="87" t="str">
        <x:v>Профильный</x:v>
      </x:c>
      <x:c r="I2409" s="87" t="str">
        <x:v>ТР №5</x:v>
      </x:c>
      <x:c r="J2409" s="87" t="str">
        <x:v>МА2510512</x:v>
      </x:c>
      <x:c r="K2409" s="87" t="n">
        <x:v>4</x:v>
      </x:c>
      <x:c r="L2409" s="87" t="str">
        <x:v>Вероятность</x:v>
      </x:c>
      <x:c r="M2409" s="30" t="str">
        <x:v>В стопке 3 косые, 7 обычных линейных, 6 крупных клетчатых и 9 обычных клетчатых тетрадей. Вероятность крупной клетки.</x:v>
      </x:c>
      <x:c r="N2409" s="30" t="str">
        <x:v>0,24</x:v>
      </x:c>
      <x:c r="O2409" s="30" t="str">
        <x:v>6/25=0,24.</x:v>
      </x:c>
      <x:c r="P2409" s="30" t="str">
        <x:v>Преобразования и численный результат проверены повторно; графики и чертежи сверены с исходной страницей.</x:v>
      </x:c>
      <x:c r="Q2409" s="30"/>
      <x:c r="R2409" s="30" t="str">
        <x:v>Официальный PDF задания + таблица ответов + независимое решение</x:v>
      </x:c>
      <x:c r="S2409" s="30"/>
      <x:c r="T2409" s="30"/>
      <x:c r="U2409" s="30" t="str">
        <x:v>Расхождений не обнаружено.</x:v>
      </x:c>
      <x:c r="V2409" s="87" t="str">
        <x:v>VERIFIED</x:v>
      </x:c>
      <x:c r="W2409" s="87" t="str">
        <x:v>Официальный PDF, задание 4</x:v>
      </x:c>
      <x:c r="X2409" s="87"/>
      <x:c r="Y2409" s="87"/>
      <x:c r="Z2409" s="87"/>
      <x:c r="AA2409" s="87"/>
      <x:c r="AB2409" s="87"/>
      <x:c r="AC2409" s="87"/>
      <x:c r="AD2409" s="87"/>
      <x:c r="AE2409" s="87"/>
      <x:c r="AF2409" s="87"/>
      <x:c r="AG2409" s="87"/>
      <x:c r="AH2409" s="87"/>
      <x:c r="AI2409" s="30"/>
      <x:c r="AJ2409" s="87" t="str">
        <x:v>master</x:v>
      </x:c>
      <x:c r="AK2409" s="87" t="str">
        <x:v>master-v0.81</x:v>
      </x:c>
      <x:c r="AL2409" s="87" t="str">
        <x:v>statgrad_master_base_v0_81_final(2).xlsx</x:v>
      </x:c>
      <x:c r="AM2409" s="87" t="str">
        <x:v>MATH_Apr_Prof_V12</x:v>
      </x:c>
      <x:c r="AN2409" s="87" t="n">
        <x:v>5</x:v>
      </x:c>
    </x:row>
    <x:row r="2410">
      <x:c r="A2410" s="87" t="n">
        <x:v>2409</x:v>
      </x:c>
      <x:c r="B2410" s="87" t="str">
        <x:v>APR-MATH-P-V12-005</x:v>
      </x:c>
      <x:c r="C2410" s="87" t="str">
        <x:v>СтатГрад</x:v>
      </x:c>
      <x:c r="D2410" s="87" t="str">
        <x:v>Апрель 2026</x:v>
      </x:c>
      <x:c r="E2410" s="87"/>
      <x:c r="F2410" s="87"/>
      <x:c r="G2410" s="87" t="str">
        <x:v>Математика</x:v>
      </x:c>
      <x:c r="H2410" s="87" t="str">
        <x:v>Профильный</x:v>
      </x:c>
      <x:c r="I2410" s="87" t="str">
        <x:v>ТР №5</x:v>
      </x:c>
      <x:c r="J2410" s="87" t="str">
        <x:v>МА2510512</x:v>
      </x:c>
      <x:c r="K2410" s="87" t="n">
        <x:v>5</x:v>
      </x:c>
      <x:c r="L2410" s="87" t="str">
        <x:v>Полная вероятность</x:v>
      </x:c>
      <x:c r="M2410" s="30" t="str">
        <x:v>Дефект 0,03; бракуют дефектную с вероятностью 0,98 и ошибочно бракуют годную с вероятностью 0,01.</x:v>
      </x:c>
      <x:c r="N2410" s="30" t="str">
        <x:v>0,0391</x:v>
      </x:c>
      <x:c r="O2410" s="30" t="str">
        <x:v>0,03·0,98+0,97·0,01=0,0391.</x:v>
      </x:c>
      <x:c r="P2410" s="30" t="str">
        <x:v>Преобразования и численный результат проверены повторно; графики и чертежи сверены с исходной страницей.</x:v>
      </x:c>
      <x:c r="Q2410" s="30"/>
      <x:c r="R2410" s="30" t="str">
        <x:v>Официальный PDF задания + таблица ответов + независимое решение</x:v>
      </x:c>
      <x:c r="S2410" s="30"/>
      <x:c r="T2410" s="30"/>
      <x:c r="U2410" s="30" t="str">
        <x:v>Расхождений не обнаружено.</x:v>
      </x:c>
      <x:c r="V2410" s="87" t="str">
        <x:v>VERIFIED</x:v>
      </x:c>
      <x:c r="W2410" s="87" t="str">
        <x:v>Официальный PDF, задание 5</x:v>
      </x:c>
      <x:c r="X2410" s="87"/>
      <x:c r="Y2410" s="87"/>
      <x:c r="Z2410" s="87"/>
      <x:c r="AA2410" s="87"/>
      <x:c r="AB2410" s="87"/>
      <x:c r="AC2410" s="87"/>
      <x:c r="AD2410" s="87"/>
      <x:c r="AE2410" s="87"/>
      <x:c r="AF2410" s="87"/>
      <x:c r="AG2410" s="87"/>
      <x:c r="AH2410" s="87"/>
      <x:c r="AI2410" s="30"/>
      <x:c r="AJ2410" s="87" t="str">
        <x:v>master</x:v>
      </x:c>
      <x:c r="AK2410" s="87" t="str">
        <x:v>master-v0.81</x:v>
      </x:c>
      <x:c r="AL2410" s="87" t="str">
        <x:v>statgrad_master_base_v0_81_final(2).xlsx</x:v>
      </x:c>
      <x:c r="AM2410" s="87" t="str">
        <x:v>MATH_Apr_Prof_V12</x:v>
      </x:c>
      <x:c r="AN2410" s="87" t="n">
        <x:v>6</x:v>
      </x:c>
    </x:row>
    <x:row r="2411">
      <x:c r="A2411" s="87" t="n">
        <x:v>2410</x:v>
      </x:c>
      <x:c r="B2411" s="87" t="str">
        <x:v>APR-MATH-P-V12-006</x:v>
      </x:c>
      <x:c r="C2411" s="87" t="str">
        <x:v>СтатГрад</x:v>
      </x:c>
      <x:c r="D2411" s="87" t="str">
        <x:v>Апрель 2026</x:v>
      </x:c>
      <x:c r="E2411" s="87"/>
      <x:c r="F2411" s="87"/>
      <x:c r="G2411" s="87" t="str">
        <x:v>Математика</x:v>
      </x:c>
      <x:c r="H2411" s="87" t="str">
        <x:v>Профильный</x:v>
      </x:c>
      <x:c r="I2411" s="87" t="str">
        <x:v>ТР №5</x:v>
      </x:c>
      <x:c r="J2411" s="87" t="str">
        <x:v>МА2510512</x:v>
      </x:c>
      <x:c r="K2411" s="87" t="n">
        <x:v>6</x:v>
      </x:c>
      <x:c r="L2411" s="87" t="str">
        <x:v>Показательное уравнение</x:v>
      </x:c>
      <x:c r="M2411" s="30" t="str">
        <x:v>Решить (0,125)^(x+5)=4^(x+4).</x:v>
      </x:c>
      <x:c r="N2411" s="30" t="str">
        <x:v>−4,6</x:v>
      </x:c>
      <x:c r="O2411" s="30" t="str">
        <x:v>2^(−3x−15)=2^(2x+8), x=−23/5.</x:v>
      </x:c>
      <x:c r="P2411" s="30" t="str">
        <x:v>Преобразования и численный результат проверены повторно; графики и чертежи сверены с исходной страницей.</x:v>
      </x:c>
      <x:c r="Q2411" s="30"/>
      <x:c r="R2411" s="30" t="str">
        <x:v>Официальный PDF задания + таблица ответов + независимое решение</x:v>
      </x:c>
      <x:c r="S2411" s="30"/>
      <x:c r="T2411" s="30"/>
      <x:c r="U2411" s="30" t="str">
        <x:v>Расхождений не обнаружено.</x:v>
      </x:c>
      <x:c r="V2411" s="87" t="str">
        <x:v>VERIFIED</x:v>
      </x:c>
      <x:c r="W2411" s="87" t="str">
        <x:v>Официальный PDF, задание 6</x:v>
      </x:c>
      <x:c r="X2411" s="87"/>
      <x:c r="Y2411" s="87"/>
      <x:c r="Z2411" s="87"/>
      <x:c r="AA2411" s="87"/>
      <x:c r="AB2411" s="87"/>
      <x:c r="AC2411" s="87"/>
      <x:c r="AD2411" s="87"/>
      <x:c r="AE2411" s="87"/>
      <x:c r="AF2411" s="87"/>
      <x:c r="AG2411" s="87"/>
      <x:c r="AH2411" s="87"/>
      <x:c r="AI2411" s="30"/>
      <x:c r="AJ2411" s="87" t="str">
        <x:v>master</x:v>
      </x:c>
      <x:c r="AK2411" s="87" t="str">
        <x:v>master-v0.81</x:v>
      </x:c>
      <x:c r="AL2411" s="87" t="str">
        <x:v>statgrad_master_base_v0_81_final(2).xlsx</x:v>
      </x:c>
      <x:c r="AM2411" s="87" t="str">
        <x:v>MATH_Apr_Prof_V12</x:v>
      </x:c>
      <x:c r="AN2411" s="87" t="n">
        <x:v>7</x:v>
      </x:c>
    </x:row>
    <x:row r="2412">
      <x:c r="A2412" s="87" t="n">
        <x:v>2411</x:v>
      </x:c>
      <x:c r="B2412" s="87" t="str">
        <x:v>APR-MATH-P-V12-007</x:v>
      </x:c>
      <x:c r="C2412" s="87" t="str">
        <x:v>СтатГрад</x:v>
      </x:c>
      <x:c r="D2412" s="87" t="str">
        <x:v>Апрель 2026</x:v>
      </x:c>
      <x:c r="E2412" s="87"/>
      <x:c r="F2412" s="87"/>
      <x:c r="G2412" s="87" t="str">
        <x:v>Математика</x:v>
      </x:c>
      <x:c r="H2412" s="87" t="str">
        <x:v>Профильный</x:v>
      </x:c>
      <x:c r="I2412" s="87" t="str">
        <x:v>ТР №5</x:v>
      </x:c>
      <x:c r="J2412" s="87" t="str">
        <x:v>МА2510512</x:v>
      </x:c>
      <x:c r="K2412" s="87" t="n">
        <x:v>7</x:v>
      </x:c>
      <x:c r="L2412" s="87" t="str">
        <x:v>Тригонометрия</x:v>
      </x:c>
      <x:c r="M2412" s="30" t="str">
        <x:v>Вычислить cos(π/13)cos(15π/26)/(5sin(2π/13)).</x:v>
      </x:c>
      <x:c r="N2412" s="30" t="str">
        <x:v>−0,1</x:v>
      </x:c>
      <x:c r="O2412" s="30" t="str">
        <x:v>Второй косинус равен −sin(π/13); отношение равно −1/10.</x:v>
      </x:c>
      <x:c r="P2412" s="30" t="str">
        <x:v>Преобразования и численный результат проверены повторно; графики и чертежи сверены с исходной страницей.</x:v>
      </x:c>
      <x:c r="Q2412" s="30"/>
      <x:c r="R2412" s="30" t="str">
        <x:v>Официальный PDF задания + таблица ответов + независимое решение</x:v>
      </x:c>
      <x:c r="S2412" s="30"/>
      <x:c r="T2412" s="30"/>
      <x:c r="U2412" s="30" t="str">
        <x:v>Расхождений не обнаружено.</x:v>
      </x:c>
      <x:c r="V2412" s="87" t="str">
        <x:v>VERIFIED</x:v>
      </x:c>
      <x:c r="W2412" s="87" t="str">
        <x:v>Официальный PDF, задание 7</x:v>
      </x:c>
      <x:c r="X2412" s="87"/>
      <x:c r="Y2412" s="87"/>
      <x:c r="Z2412" s="87"/>
      <x:c r="AA2412" s="87"/>
      <x:c r="AB2412" s="87"/>
      <x:c r="AC2412" s="87"/>
      <x:c r="AD2412" s="87"/>
      <x:c r="AE2412" s="87"/>
      <x:c r="AF2412" s="87"/>
      <x:c r="AG2412" s="87"/>
      <x:c r="AH2412" s="87"/>
      <x:c r="AI2412" s="30"/>
      <x:c r="AJ2412" s="87" t="str">
        <x:v>master</x:v>
      </x:c>
      <x:c r="AK2412" s="87" t="str">
        <x:v>master-v0.81</x:v>
      </x:c>
      <x:c r="AL2412" s="87" t="str">
        <x:v>statgrad_master_base_v0_81_final(2).xlsx</x:v>
      </x:c>
      <x:c r="AM2412" s="87" t="str">
        <x:v>MATH_Apr_Prof_V12</x:v>
      </x:c>
      <x:c r="AN2412" s="87" t="n">
        <x:v>8</x:v>
      </x:c>
    </x:row>
    <x:row r="2413">
      <x:c r="A2413" s="87" t="n">
        <x:v>2412</x:v>
      </x:c>
      <x:c r="B2413" s="87" t="str">
        <x:v>APR-MATH-P-V12-008</x:v>
      </x:c>
      <x:c r="C2413" s="87" t="str">
        <x:v>СтатГрад</x:v>
      </x:c>
      <x:c r="D2413" s="87" t="str">
        <x:v>Апрель 2026</x:v>
      </x:c>
      <x:c r="E2413" s="87"/>
      <x:c r="F2413" s="87"/>
      <x:c r="G2413" s="87" t="str">
        <x:v>Математика</x:v>
      </x:c>
      <x:c r="H2413" s="87" t="str">
        <x:v>Профильный</x:v>
      </x:c>
      <x:c r="I2413" s="87" t="str">
        <x:v>ТР №5</x:v>
      </x:c>
      <x:c r="J2413" s="87" t="str">
        <x:v>МА2510512</x:v>
      </x:c>
      <x:c r="K2413" s="87" t="n">
        <x:v>8</x:v>
      </x:c>
      <x:c r="L2413" s="87" t="str">
        <x:v>Производная по графику</x:v>
      </x:c>
      <x:c r="M2413" s="30" t="str">
        <x:v>По графику f найти число точек, где f′(x)=0.</x:v>
      </x:c>
      <x:c r="N2413" s="30" t="str">
        <x:v>8</x:v>
      </x:c>
      <x:c r="O2413" s="30" t="str">
        <x:v>На графике восемь внутренних экстремумов.</x:v>
      </x:c>
      <x:c r="P2413" s="30" t="str">
        <x:v>Преобразования и численный результат проверены повторно; графики и чертежи сверены с исходной страницей.</x:v>
      </x:c>
      <x:c r="Q2413" s="30"/>
      <x:c r="R2413" s="30" t="str">
        <x:v>Официальный PDF задания + таблица ответов + независимое решение</x:v>
      </x:c>
      <x:c r="S2413" s="30"/>
      <x:c r="T2413" s="30"/>
      <x:c r="U2413" s="30" t="str">
        <x:v>Расхождений не обнаружено.</x:v>
      </x:c>
      <x:c r="V2413" s="87" t="str">
        <x:v>VERIFIED</x:v>
      </x:c>
      <x:c r="W2413" s="87" t="str">
        <x:v>Официальный PDF, задание 8</x:v>
      </x:c>
      <x:c r="X2413" s="87"/>
      <x:c r="Y2413" s="87"/>
      <x:c r="Z2413" s="87"/>
      <x:c r="AA2413" s="87"/>
      <x:c r="AB2413" s="87"/>
      <x:c r="AC2413" s="87"/>
      <x:c r="AD2413" s="87"/>
      <x:c r="AE2413" s="87"/>
      <x:c r="AF2413" s="87"/>
      <x:c r="AG2413" s="87"/>
      <x:c r="AH2413" s="87"/>
      <x:c r="AI2413" s="30"/>
      <x:c r="AJ2413" s="87" t="str">
        <x:v>master</x:v>
      </x:c>
      <x:c r="AK2413" s="87" t="str">
        <x:v>master-v0.81</x:v>
      </x:c>
      <x:c r="AL2413" s="87" t="str">
        <x:v>statgrad_master_base_v0_81_final(2).xlsx</x:v>
      </x:c>
      <x:c r="AM2413" s="87" t="str">
        <x:v>MATH_Apr_Prof_V12</x:v>
      </x:c>
      <x:c r="AN2413" s="87" t="n">
        <x:v>9</x:v>
      </x:c>
    </x:row>
    <x:row r="2414">
      <x:c r="A2414" s="87" t="n">
        <x:v>2413</x:v>
      </x:c>
      <x:c r="B2414" s="87" t="str">
        <x:v>APR-MATH-P-V12-009</x:v>
      </x:c>
      <x:c r="C2414" s="87" t="str">
        <x:v>СтатГрад</x:v>
      </x:c>
      <x:c r="D2414" s="87" t="str">
        <x:v>Апрель 2026</x:v>
      </x:c>
      <x:c r="E2414" s="87"/>
      <x:c r="F2414" s="87"/>
      <x:c r="G2414" s="87" t="str">
        <x:v>Математика</x:v>
      </x:c>
      <x:c r="H2414" s="87" t="str">
        <x:v>Профильный</x:v>
      </x:c>
      <x:c r="I2414" s="87" t="str">
        <x:v>ТР №5</x:v>
      </x:c>
      <x:c r="J2414" s="87" t="str">
        <x:v>МА2510512</x:v>
      </x:c>
      <x:c r="K2414" s="87" t="n">
        <x:v>9</x:v>
      </x:c>
      <x:c r="L2414" s="87" t="str">
        <x:v>Прикладная формула</x:v>
      </x:c>
      <x:c r="M2414" s="30" t="str">
        <x:v>F=ρgl³, ρ=1000, g=9,8; F≤264600. Найти наибольшую целую длину ребра.</x:v>
      </x:c>
      <x:c r="N2414" s="30" t="str">
        <x:v>3</x:v>
      </x:c>
      <x:c r="O2414" s="30" t="str">
        <x:v>9800l³≤264600, l³≤27.</x:v>
      </x:c>
      <x:c r="P2414" s="30" t="str">
        <x:v>Преобразования и численный результат проверены повторно; графики и чертежи сверены с исходной страницей.</x:v>
      </x:c>
      <x:c r="Q2414" s="30"/>
      <x:c r="R2414" s="30" t="str">
        <x:v>Официальный PDF задания + таблица ответов + независимое решение</x:v>
      </x:c>
      <x:c r="S2414" s="30"/>
      <x:c r="T2414" s="30"/>
      <x:c r="U2414" s="30" t="str">
        <x:v>Расхождений не обнаружено.</x:v>
      </x:c>
      <x:c r="V2414" s="87" t="str">
        <x:v>VERIFIED</x:v>
      </x:c>
      <x:c r="W2414" s="87" t="str">
        <x:v>Официальный PDF, задание 9</x:v>
      </x:c>
      <x:c r="X2414" s="87"/>
      <x:c r="Y2414" s="87"/>
      <x:c r="Z2414" s="87"/>
      <x:c r="AA2414" s="87"/>
      <x:c r="AB2414" s="87"/>
      <x:c r="AC2414" s="87"/>
      <x:c r="AD2414" s="87"/>
      <x:c r="AE2414" s="87"/>
      <x:c r="AF2414" s="87"/>
      <x:c r="AG2414" s="87"/>
      <x:c r="AH2414" s="87"/>
      <x:c r="AI2414" s="30"/>
      <x:c r="AJ2414" s="87" t="str">
        <x:v>master</x:v>
      </x:c>
      <x:c r="AK2414" s="87" t="str">
        <x:v>master-v0.81</x:v>
      </x:c>
      <x:c r="AL2414" s="87" t="str">
        <x:v>statgrad_master_base_v0_81_final(2).xlsx</x:v>
      </x:c>
      <x:c r="AM2414" s="87" t="str">
        <x:v>MATH_Apr_Prof_V12</x:v>
      </x:c>
      <x:c r="AN2414" s="87" t="n">
        <x:v>10</x:v>
      </x:c>
    </x:row>
    <x:row r="2415">
      <x:c r="A2415" s="87" t="n">
        <x:v>2414</x:v>
      </x:c>
      <x:c r="B2415" s="87" t="str">
        <x:v>APR-MATH-P-V12-010</x:v>
      </x:c>
      <x:c r="C2415" s="87" t="str">
        <x:v>СтатГрад</x:v>
      </x:c>
      <x:c r="D2415" s="87" t="str">
        <x:v>Апрель 2026</x:v>
      </x:c>
      <x:c r="E2415" s="87"/>
      <x:c r="F2415" s="87"/>
      <x:c r="G2415" s="87" t="str">
        <x:v>Математика</x:v>
      </x:c>
      <x:c r="H2415" s="87" t="str">
        <x:v>Профильный</x:v>
      </x:c>
      <x:c r="I2415" s="87" t="str">
        <x:v>ТР №5</x:v>
      </x:c>
      <x:c r="J2415" s="87" t="str">
        <x:v>МА2510512</x:v>
      </x:c>
      <x:c r="K2415" s="87" t="n">
        <x:v>10</x:v>
      </x:c>
      <x:c r="L2415" s="87" t="str">
        <x:v>Движение</x:v>
      </x:c>
      <x:c r="M2415" s="30" t="str">
        <x:v>Два автомобиля проходят 400 км; первый быстрее на 20 км/ч и приезжает на 1 ч раньше.</x:v>
      </x:c>
      <x:c r="N2415" s="30" t="str">
        <x:v>100</x:v>
      </x:c>
      <x:c r="O2415" s="30" t="str">
        <x:v>400/(v−20)−400/v=1, v=100.</x:v>
      </x:c>
      <x:c r="P2415" s="30" t="str">
        <x:v>Преобразования и численный результат проверены повторно; графики и чертежи сверены с исходной страницей.</x:v>
      </x:c>
      <x:c r="Q2415" s="30"/>
      <x:c r="R2415" s="30" t="str">
        <x:v>Официальный PDF задания + таблица ответов + независимое решение</x:v>
      </x:c>
      <x:c r="S2415" s="30"/>
      <x:c r="T2415" s="30"/>
      <x:c r="U2415" s="30" t="str">
        <x:v>Расхождений не обнаружено.</x:v>
      </x:c>
      <x:c r="V2415" s="87" t="str">
        <x:v>VERIFIED</x:v>
      </x:c>
      <x:c r="W2415" s="87" t="str">
        <x:v>Официальный PDF, задание 10</x:v>
      </x:c>
      <x:c r="X2415" s="87"/>
      <x:c r="Y2415" s="87"/>
      <x:c r="Z2415" s="87"/>
      <x:c r="AA2415" s="87"/>
      <x:c r="AB2415" s="87"/>
      <x:c r="AC2415" s="87"/>
      <x:c r="AD2415" s="87"/>
      <x:c r="AE2415" s="87"/>
      <x:c r="AF2415" s="87"/>
      <x:c r="AG2415" s="87"/>
      <x:c r="AH2415" s="87"/>
      <x:c r="AI2415" s="30"/>
      <x:c r="AJ2415" s="87" t="str">
        <x:v>master</x:v>
      </x:c>
      <x:c r="AK2415" s="87" t="str">
        <x:v>master-v0.81</x:v>
      </x:c>
      <x:c r="AL2415" s="87" t="str">
        <x:v>statgrad_master_base_v0_81_final(2).xlsx</x:v>
      </x:c>
      <x:c r="AM2415" s="87" t="str">
        <x:v>MATH_Apr_Prof_V12</x:v>
      </x:c>
      <x:c r="AN2415" s="87" t="n">
        <x:v>11</x:v>
      </x:c>
    </x:row>
    <x:row r="2416">
      <x:c r="A2416" s="87" t="n">
        <x:v>2415</x:v>
      </x:c>
      <x:c r="B2416" s="87" t="str">
        <x:v>APR-MATH-P-V12-011</x:v>
      </x:c>
      <x:c r="C2416" s="87" t="str">
        <x:v>СтатГрад</x:v>
      </x:c>
      <x:c r="D2416" s="87" t="str">
        <x:v>Апрель 2026</x:v>
      </x:c>
      <x:c r="E2416" s="87"/>
      <x:c r="F2416" s="87"/>
      <x:c r="G2416" s="87" t="str">
        <x:v>Математика</x:v>
      </x:c>
      <x:c r="H2416" s="87" t="str">
        <x:v>Профильный</x:v>
      </x:c>
      <x:c r="I2416" s="87" t="str">
        <x:v>ТР №5</x:v>
      </x:c>
      <x:c r="J2416" s="87" t="str">
        <x:v>МА2510512</x:v>
      </x:c>
      <x:c r="K2416" s="87" t="n">
        <x:v>11</x:v>
      </x:c>
      <x:c r="L2416" s="87" t="str">
        <x:v>Пересечение графиков</x:v>
      </x:c>
      <x:c r="M2416" s="30" t="str">
        <x:v>По графикам y=a√x и y=kx+b найти ординату точки A.</x:v>
      </x:c>
      <x:c r="N2416" s="30" t="str">
        <x:v>−28</x:v>
      </x:c>
      <x:c r="O2416" s="30" t="str">
        <x:v>Коэффициенты восстановлены по отмеченным точкам; решение системы даёт −28.</x:v>
      </x:c>
      <x:c r="P2416" s="30" t="str">
        <x:v>Преобразования и численный результат проверены повторно; графики и чертежи сверены с исходной страницей.</x:v>
      </x:c>
      <x:c r="Q2416" s="30"/>
      <x:c r="R2416" s="30" t="str">
        <x:v>Официальный PDF задания + таблица ответов + независимое решение</x:v>
      </x:c>
      <x:c r="S2416" s="30"/>
      <x:c r="T2416" s="30"/>
      <x:c r="U2416" s="30" t="str">
        <x:v>Расхождений не обнаружено.</x:v>
      </x:c>
      <x:c r="V2416" s="87" t="str">
        <x:v>VERIFIED</x:v>
      </x:c>
      <x:c r="W2416" s="87" t="str">
        <x:v>Официальный PDF, задание 11</x:v>
      </x:c>
      <x:c r="X2416" s="87"/>
      <x:c r="Y2416" s="87"/>
      <x:c r="Z2416" s="87"/>
      <x:c r="AA2416" s="87"/>
      <x:c r="AB2416" s="87"/>
      <x:c r="AC2416" s="87"/>
      <x:c r="AD2416" s="87"/>
      <x:c r="AE2416" s="87"/>
      <x:c r="AF2416" s="87"/>
      <x:c r="AG2416" s="87"/>
      <x:c r="AH2416" s="87"/>
      <x:c r="AI2416" s="30"/>
      <x:c r="AJ2416" s="87" t="str">
        <x:v>master</x:v>
      </x:c>
      <x:c r="AK2416" s="87" t="str">
        <x:v>master-v0.81</x:v>
      </x:c>
      <x:c r="AL2416" s="87" t="str">
        <x:v>statgrad_master_base_v0_81_final(2).xlsx</x:v>
      </x:c>
      <x:c r="AM2416" s="87" t="str">
        <x:v>MATH_Apr_Prof_V12</x:v>
      </x:c>
      <x:c r="AN2416" s="87" t="n">
        <x:v>12</x:v>
      </x:c>
    </x:row>
    <x:row r="2417">
      <x:c r="A2417" s="87" t="n">
        <x:v>2416</x:v>
      </x:c>
      <x:c r="B2417" s="87" t="str">
        <x:v>APR-MATH-P-V12-012</x:v>
      </x:c>
      <x:c r="C2417" s="87" t="str">
        <x:v>СтатГрад</x:v>
      </x:c>
      <x:c r="D2417" s="87" t="str">
        <x:v>Апрель 2026</x:v>
      </x:c>
      <x:c r="E2417" s="87"/>
      <x:c r="F2417" s="87"/>
      <x:c r="G2417" s="87" t="str">
        <x:v>Математика</x:v>
      </x:c>
      <x:c r="H2417" s="87" t="str">
        <x:v>Профильный</x:v>
      </x:c>
      <x:c r="I2417" s="87" t="str">
        <x:v>ТР №5</x:v>
      </x:c>
      <x:c r="J2417" s="87" t="str">
        <x:v>МА2510512</x:v>
      </x:c>
      <x:c r="K2417" s="87" t="n">
        <x:v>12</x:v>
      </x:c>
      <x:c r="L2417" s="87" t="str">
        <x:v>Экстремум функции</x:v>
      </x:c>
      <x:c r="M2417" s="30" t="str">
        <x:v>Найти минимум f(x)=x√x−3x+15 на [1;9].</x:v>
      </x:c>
      <x:c r="N2417" s="30" t="str">
        <x:v>11</x:v>
      </x:c>
      <x:c r="O2417" s="30" t="str">
        <x:v>Минимум при x=4: 8−12+15=11.</x:v>
      </x:c>
      <x:c r="P2417" s="30" t="str">
        <x:v>Преобразования и численный результат проверены повторно; графики и чертежи сверены с исходной страницей.</x:v>
      </x:c>
      <x:c r="Q2417" s="30"/>
      <x:c r="R2417" s="30" t="str">
        <x:v>Официальный PDF задания + таблица ответов + независимое решение</x:v>
      </x:c>
      <x:c r="S2417" s="30"/>
      <x:c r="T2417" s="30"/>
      <x:c r="U2417" s="30" t="str">
        <x:v>Расхождений не обнаружено.</x:v>
      </x:c>
      <x:c r="V2417" s="87" t="str">
        <x:v>VERIFIED</x:v>
      </x:c>
      <x:c r="W2417" s="87" t="str">
        <x:v>Официальный PDF, задание 12</x:v>
      </x:c>
      <x:c r="X2417" s="87"/>
      <x:c r="Y2417" s="87"/>
      <x:c r="Z2417" s="87"/>
      <x:c r="AA2417" s="87"/>
      <x:c r="AB2417" s="87"/>
      <x:c r="AC2417" s="87"/>
      <x:c r="AD2417" s="87"/>
      <x:c r="AE2417" s="87"/>
      <x:c r="AF2417" s="87"/>
      <x:c r="AG2417" s="87"/>
      <x:c r="AH2417" s="87"/>
      <x:c r="AI2417" s="30"/>
      <x:c r="AJ2417" s="87" t="str">
        <x:v>master</x:v>
      </x:c>
      <x:c r="AK2417" s="87" t="str">
        <x:v>master-v0.81</x:v>
      </x:c>
      <x:c r="AL2417" s="87" t="str">
        <x:v>statgrad_master_base_v0_81_final(2).xlsx</x:v>
      </x:c>
      <x:c r="AM2417" s="87" t="str">
        <x:v>MATH_Apr_Prof_V12</x:v>
      </x:c>
      <x:c r="AN2417" s="87" t="n">
        <x:v>13</x:v>
      </x:c>
    </x:row>
    <x:row r="2418">
      <x:c r="A2418" s="87" t="n">
        <x:v>2417</x:v>
      </x:c>
      <x:c r="B2418" s="87" t="str">
        <x:v>APR-MATH-P-V12-013</x:v>
      </x:c>
      <x:c r="C2418" s="87" t="str">
        <x:v>СтатГрад</x:v>
      </x:c>
      <x:c r="D2418" s="87" t="str">
        <x:v>Апрель 2026</x:v>
      </x:c>
      <x:c r="E2418" s="87"/>
      <x:c r="F2418" s="87"/>
      <x:c r="G2418" s="87" t="str">
        <x:v>Математика</x:v>
      </x:c>
      <x:c r="H2418" s="87" t="str">
        <x:v>Профильный</x:v>
      </x:c>
      <x:c r="I2418" s="87" t="str">
        <x:v>ТР №5</x:v>
      </x:c>
      <x:c r="J2418" s="87" t="str">
        <x:v>МА2510512</x:v>
      </x:c>
      <x:c r="K2418" s="87" t="n">
        <x:v>13</x:v>
      </x:c>
      <x:c r="L2418" s="87" t="str">
        <x:v>Тригонометрическое уравнение</x:v>
      </x:c>
      <x:c r="M2418" s="30" t="str">
        <x:v>Решить sinx·cos(x+π/4)·cos(x−π/4)=cos2x и отобрать корни на [−11π/2;−4π].</x:v>
      </x:c>
      <x:c r="N2418" s="30" t="str">
        <x:v>а) x=π/4+πm/2; б) −21π/4, −19π/4, −17π/4</x:v>
      </x:c>
      <x:c r="O2418" s="30" t="str">
        <x:v>Уравнение сводится к cos2x=0; корни отобраны по интервалу.</x:v>
      </x:c>
      <x:c r="P2418" s="30" t="str">
        <x:v>Преобразования и численный результат проверены повторно; графики и чертежи сверены с исходной страницей.</x:v>
      </x:c>
      <x:c r="Q2418" s="30"/>
      <x:c r="R2418" s="30" t="str">
        <x:v>Официальный PDF задания + официальный критерий + независимое решение</x:v>
      </x:c>
      <x:c r="S2418" s="30"/>
      <x:c r="T2418" s="30"/>
      <x:c r="U2418" s="30" t="str">
        <x:v>Расхождений не обнаружено.</x:v>
      </x:c>
      <x:c r="V2418" s="87" t="str">
        <x:v>VERIFIED</x:v>
      </x:c>
      <x:c r="W2418" s="87" t="str">
        <x:v>Официальный PDF, задание 13</x:v>
      </x:c>
      <x:c r="X2418" s="87"/>
      <x:c r="Y2418" s="87"/>
      <x:c r="Z2418" s="87"/>
      <x:c r="AA2418" s="87"/>
      <x:c r="AB2418" s="87"/>
      <x:c r="AC2418" s="87"/>
      <x:c r="AD2418" s="87"/>
      <x:c r="AE2418" s="87"/>
      <x:c r="AF2418" s="87"/>
      <x:c r="AG2418" s="87"/>
      <x:c r="AH2418" s="87"/>
      <x:c r="AI2418" s="30"/>
      <x:c r="AJ2418" s="87" t="str">
        <x:v>master</x:v>
      </x:c>
      <x:c r="AK2418" s="87" t="str">
        <x:v>master-v0.81</x:v>
      </x:c>
      <x:c r="AL2418" s="87" t="str">
        <x:v>statgrad_master_base_v0_81_final(2).xlsx</x:v>
      </x:c>
      <x:c r="AM2418" s="87" t="str">
        <x:v>MATH_Apr_Prof_V12</x:v>
      </x:c>
      <x:c r="AN2418" s="87" t="n">
        <x:v>14</x:v>
      </x:c>
    </x:row>
    <x:row r="2419">
      <x:c r="A2419" s="87" t="n">
        <x:v>2418</x:v>
      </x:c>
      <x:c r="B2419" s="87" t="str">
        <x:v>APR-MATH-P-V12-014</x:v>
      </x:c>
      <x:c r="C2419" s="87" t="str">
        <x:v>СтатГрад</x:v>
      </x:c>
      <x:c r="D2419" s="87" t="str">
        <x:v>Апрель 2026</x:v>
      </x:c>
      <x:c r="E2419" s="87"/>
      <x:c r="F2419" s="87"/>
      <x:c r="G2419" s="87" t="str">
        <x:v>Математика</x:v>
      </x:c>
      <x:c r="H2419" s="87" t="str">
        <x:v>Профильный</x:v>
      </x:c>
      <x:c r="I2419" s="87" t="str">
        <x:v>ТР №5</x:v>
      </x:c>
      <x:c r="J2419" s="87" t="str">
        <x:v>МА2510512</x:v>
      </x:c>
      <x:c r="K2419" s="87" t="n">
        <x:v>14</x:v>
      </x:c>
      <x:c r="L2419" s="87" t="str">
        <x:v>Стереометрия</x:v>
      </x:c>
      <x:c r="M2419" s="30" t="str">
        <x:v>В прямой треугольной призме доказать прямоугольность сечения; h=12, AB=18√2. Найти расстояние.</x:v>
      </x:c>
      <x:c r="N2419" s="30" t="str">
        <x:v>а) сечение — прямоугольный треугольник; б) 7,2</x:v>
      </x:c>
      <x:c r="O2419" s="30" t="str">
        <x:v>Сечение имеет катеты 9 и 12, гипотенузу 15; высота к гипотенузе 9·12/15=7,2.</x:v>
      </x:c>
      <x:c r="P2419" s="30" t="str">
        <x:v>Преобразования и численный результат проверены повторно; графики и чертежи сверены с исходной страницей.</x:v>
      </x:c>
      <x:c r="Q2419" s="30"/>
      <x:c r="R2419" s="30" t="str">
        <x:v>Официальный PDF задания + официальный критерий + независимое решение</x:v>
      </x:c>
      <x:c r="S2419" s="30"/>
      <x:c r="T2419" s="30"/>
      <x:c r="U2419" s="30" t="str">
        <x:v>Расхождений не обнаружено.</x:v>
      </x:c>
      <x:c r="V2419" s="87" t="str">
        <x:v>VERIFIED</x:v>
      </x:c>
      <x:c r="W2419" s="87" t="str">
        <x:v>Официальный PDF, задание 14</x:v>
      </x:c>
      <x:c r="X2419" s="87"/>
      <x:c r="Y2419" s="87"/>
      <x:c r="Z2419" s="87"/>
      <x:c r="AA2419" s="87"/>
      <x:c r="AB2419" s="87"/>
      <x:c r="AC2419" s="87"/>
      <x:c r="AD2419" s="87"/>
      <x:c r="AE2419" s="87"/>
      <x:c r="AF2419" s="87"/>
      <x:c r="AG2419" s="87"/>
      <x:c r="AH2419" s="87"/>
      <x:c r="AI2419" s="30"/>
      <x:c r="AJ2419" s="87" t="str">
        <x:v>master</x:v>
      </x:c>
      <x:c r="AK2419" s="87" t="str">
        <x:v>master-v0.81</x:v>
      </x:c>
      <x:c r="AL2419" s="87" t="str">
        <x:v>statgrad_master_base_v0_81_final(2).xlsx</x:v>
      </x:c>
      <x:c r="AM2419" s="87" t="str">
        <x:v>MATH_Apr_Prof_V12</x:v>
      </x:c>
      <x:c r="AN2419" s="87" t="n">
        <x:v>15</x:v>
      </x:c>
    </x:row>
    <x:row r="2420">
      <x:c r="A2420" s="87" t="n">
        <x:v>2419</x:v>
      </x:c>
      <x:c r="B2420" s="87" t="str">
        <x:v>APR-MATH-P-V12-015</x:v>
      </x:c>
      <x:c r="C2420" s="87" t="str">
        <x:v>СтатГрад</x:v>
      </x:c>
      <x:c r="D2420" s="87" t="str">
        <x:v>Апрель 2026</x:v>
      </x:c>
      <x:c r="E2420" s="87"/>
      <x:c r="F2420" s="87"/>
      <x:c r="G2420" s="87" t="str">
        <x:v>Математика</x:v>
      </x:c>
      <x:c r="H2420" s="87" t="str">
        <x:v>Профильный</x:v>
      </x:c>
      <x:c r="I2420" s="87" t="str">
        <x:v>ТР №5</x:v>
      </x:c>
      <x:c r="J2420" s="87" t="str">
        <x:v>МА2510512</x:v>
      </x:c>
      <x:c r="K2420" s="87" t="n">
        <x:v>15</x:v>
      </x:c>
      <x:c r="L2420" s="87" t="str">
        <x:v>Логарифмическое неравенство</x:v>
      </x:c>
      <x:c r="M2420" s="30" t="str">
        <x:v>Решить официальное неравенство задания 15.</x:v>
      </x:c>
      <x:c r="N2420" s="30" t="str">
        <x:v>[1/216; 1/6) ∪ (1; 36]</x:v>
      </x:c>
      <x:c r="O2420" s="30" t="str">
        <x:v>Замена t=log₆x даёт t(t+3)(t−2)/(t+1)≤0 с ОДЗ.</x:v>
      </x:c>
      <x:c r="P2420" s="30" t="str">
        <x:v>Преобразования и численный результат проверены повторно; графики и чертежи сверены с исходной страницей.</x:v>
      </x:c>
      <x:c r="Q2420" s="30"/>
      <x:c r="R2420" s="30" t="str">
        <x:v>Официальный PDF задания + официальный критерий + независимое решение</x:v>
      </x:c>
      <x:c r="S2420" s="30"/>
      <x:c r="T2420" s="30"/>
      <x:c r="U2420" s="30" t="str">
        <x:v>Расхождений не обнаружено.</x:v>
      </x:c>
      <x:c r="V2420" s="87" t="str">
        <x:v>VERIFIED</x:v>
      </x:c>
      <x:c r="W2420" s="87" t="str">
        <x:v>Официальный PDF, задание 15</x:v>
      </x:c>
      <x:c r="X2420" s="87"/>
      <x:c r="Y2420" s="87"/>
      <x:c r="Z2420" s="87"/>
      <x:c r="AA2420" s="87"/>
      <x:c r="AB2420" s="87"/>
      <x:c r="AC2420" s="87"/>
      <x:c r="AD2420" s="87"/>
      <x:c r="AE2420" s="87"/>
      <x:c r="AF2420" s="87"/>
      <x:c r="AG2420" s="87"/>
      <x:c r="AH2420" s="87"/>
      <x:c r="AI2420" s="30"/>
      <x:c r="AJ2420" s="87" t="str">
        <x:v>master</x:v>
      </x:c>
      <x:c r="AK2420" s="87" t="str">
        <x:v>master-v0.81</x:v>
      </x:c>
      <x:c r="AL2420" s="87" t="str">
        <x:v>statgrad_master_base_v0_81_final(2).xlsx</x:v>
      </x:c>
      <x:c r="AM2420" s="87" t="str">
        <x:v>MATH_Apr_Prof_V12</x:v>
      </x:c>
      <x:c r="AN2420" s="87" t="n">
        <x:v>16</x:v>
      </x:c>
    </x:row>
    <x:row r="2421">
      <x:c r="A2421" s="87" t="n">
        <x:v>2420</x:v>
      </x:c>
      <x:c r="B2421" s="87" t="str">
        <x:v>APR-MATH-P-V12-016</x:v>
      </x:c>
      <x:c r="C2421" s="87" t="str">
        <x:v>СтатГрад</x:v>
      </x:c>
      <x:c r="D2421" s="87" t="str">
        <x:v>Апрель 2026</x:v>
      </x:c>
      <x:c r="E2421" s="87"/>
      <x:c r="F2421" s="87"/>
      <x:c r="G2421" s="87" t="str">
        <x:v>Математика</x:v>
      </x:c>
      <x:c r="H2421" s="87" t="str">
        <x:v>Профильный</x:v>
      </x:c>
      <x:c r="I2421" s="87" t="str">
        <x:v>ТР №5</x:v>
      </x:c>
      <x:c r="J2421" s="87" t="str">
        <x:v>МА2510512</x:v>
      </x:c>
      <x:c r="K2421" s="87" t="n">
        <x:v>16</x:v>
      </x:c>
      <x:c r="L2421" s="87" t="str">
        <x:v>Финансовая математика</x:v>
      </x:c>
      <x:c r="M2421" s="30" t="str">
        <x:v>Кредит 1,2 млн; найти минимальное целое r, при котором сумма выплат больше 1,95 млн.</x:v>
      </x:c>
      <x:c r="N2421" s="30" t="str">
        <x:v>19</x:v>
      </x:c>
      <x:c r="O2421" s="30" t="str">
        <x:v>Линейное неравенство даёт r&gt;18,75.</x:v>
      </x:c>
      <x:c r="P2421" s="30" t="str">
        <x:v>Преобразования и численный результат проверены повторно; графики и чертежи сверены с исходной страницей.</x:v>
      </x:c>
      <x:c r="Q2421" s="30"/>
      <x:c r="R2421" s="30" t="str">
        <x:v>Официальный PDF задания + официальный критерий + независимое решение</x:v>
      </x:c>
      <x:c r="S2421" s="30"/>
      <x:c r="T2421" s="30"/>
      <x:c r="U2421" s="30" t="str">
        <x:v>Расхождений не обнаружено.</x:v>
      </x:c>
      <x:c r="V2421" s="87" t="str">
        <x:v>VERIFIED</x:v>
      </x:c>
      <x:c r="W2421" s="87" t="str">
        <x:v>Официальный PDF, задание 16</x:v>
      </x:c>
      <x:c r="X2421" s="87"/>
      <x:c r="Y2421" s="87"/>
      <x:c r="Z2421" s="87"/>
      <x:c r="AA2421" s="87"/>
      <x:c r="AB2421" s="87"/>
      <x:c r="AC2421" s="87"/>
      <x:c r="AD2421" s="87"/>
      <x:c r="AE2421" s="87"/>
      <x:c r="AF2421" s="87"/>
      <x:c r="AG2421" s="87"/>
      <x:c r="AH2421" s="87"/>
      <x:c r="AI2421" s="30"/>
      <x:c r="AJ2421" s="87" t="str">
        <x:v>master</x:v>
      </x:c>
      <x:c r="AK2421" s="87" t="str">
        <x:v>master-v0.81</x:v>
      </x:c>
      <x:c r="AL2421" s="87" t="str">
        <x:v>statgrad_master_base_v0_81_final(2).xlsx</x:v>
      </x:c>
      <x:c r="AM2421" s="87" t="str">
        <x:v>MATH_Apr_Prof_V12</x:v>
      </x:c>
      <x:c r="AN2421" s="87" t="n">
        <x:v>17</x:v>
      </x:c>
    </x:row>
    <x:row r="2422">
      <x:c r="A2422" s="87" t="n">
        <x:v>2421</x:v>
      </x:c>
      <x:c r="B2422" s="87" t="str">
        <x:v>APR-MATH-P-V12-017</x:v>
      </x:c>
      <x:c r="C2422" s="87" t="str">
        <x:v>СтатГрад</x:v>
      </x:c>
      <x:c r="D2422" s="87" t="str">
        <x:v>Апрель 2026</x:v>
      </x:c>
      <x:c r="E2422" s="87"/>
      <x:c r="F2422" s="87"/>
      <x:c r="G2422" s="87" t="str">
        <x:v>Математика</x:v>
      </x:c>
      <x:c r="H2422" s="87" t="str">
        <x:v>Профильный</x:v>
      </x:c>
      <x:c r="I2422" s="87" t="str">
        <x:v>ТР №5</x:v>
      </x:c>
      <x:c r="J2422" s="87" t="str">
        <x:v>МА2510512</x:v>
      </x:c>
      <x:c r="K2422" s="87" t="n">
        <x:v>17</x:v>
      </x:c>
      <x:c r="L2422" s="87" t="str">
        <x:v>Планиметрия</x:v>
      </x:c>
      <x:c r="M2422" s="30" t="str">
        <x:v>Доказать ∠ABC=∠ACH; AK=7, BK=21. Найти AC.</x:v>
      </x:c>
      <x:c r="N2422" s="30" t="str">
        <x:v>а) ∠ABC=∠ACH; б) AC=14</x:v>
      </x:c>
      <x:c r="O2422" s="30" t="str">
        <x:v>AC²=(7+21)·7=196.</x:v>
      </x:c>
      <x:c r="P2422" s="30" t="str">
        <x:v>Преобразования и численный результат проверены повторно; графики и чертежи сверены с исходной страницей.</x:v>
      </x:c>
      <x:c r="Q2422" s="30"/>
      <x:c r="R2422" s="30" t="str">
        <x:v>Официальный PDF задания + официальный критерий + независимое решение</x:v>
      </x:c>
      <x:c r="S2422" s="30"/>
      <x:c r="T2422" s="30"/>
      <x:c r="U2422" s="30" t="str">
        <x:v>Расхождений не обнаружено.</x:v>
      </x:c>
      <x:c r="V2422" s="87" t="str">
        <x:v>VERIFIED</x:v>
      </x:c>
      <x:c r="W2422" s="87" t="str">
        <x:v>Официальный PDF, задание 17</x:v>
      </x:c>
      <x:c r="X2422" s="87"/>
      <x:c r="Y2422" s="87"/>
      <x:c r="Z2422" s="87"/>
      <x:c r="AA2422" s="87"/>
      <x:c r="AB2422" s="87"/>
      <x:c r="AC2422" s="87"/>
      <x:c r="AD2422" s="87"/>
      <x:c r="AE2422" s="87"/>
      <x:c r="AF2422" s="87"/>
      <x:c r="AG2422" s="87"/>
      <x:c r="AH2422" s="87"/>
      <x:c r="AI2422" s="30"/>
      <x:c r="AJ2422" s="87" t="str">
        <x:v>master</x:v>
      </x:c>
      <x:c r="AK2422" s="87" t="str">
        <x:v>master-v0.81</x:v>
      </x:c>
      <x:c r="AL2422" s="87" t="str">
        <x:v>statgrad_master_base_v0_81_final(2).xlsx</x:v>
      </x:c>
      <x:c r="AM2422" s="87" t="str">
        <x:v>MATH_Apr_Prof_V12</x:v>
      </x:c>
      <x:c r="AN2422" s="87" t="n">
        <x:v>18</x:v>
      </x:c>
    </x:row>
    <x:row r="2423">
      <x:c r="A2423" s="87" t="n">
        <x:v>2422</x:v>
      </x:c>
      <x:c r="B2423" s="87" t="str">
        <x:v>APR-MATH-P-V12-018</x:v>
      </x:c>
      <x:c r="C2423" s="87" t="str">
        <x:v>СтатГрад</x:v>
      </x:c>
      <x:c r="D2423" s="87" t="str">
        <x:v>Апрель 2026</x:v>
      </x:c>
      <x:c r="E2423" s="87"/>
      <x:c r="F2423" s="87"/>
      <x:c r="G2423" s="87" t="str">
        <x:v>Математика</x:v>
      </x:c>
      <x:c r="H2423" s="87" t="str">
        <x:v>Профильный</x:v>
      </x:c>
      <x:c r="I2423" s="87" t="str">
        <x:v>ТР №5</x:v>
      </x:c>
      <x:c r="J2423" s="87" t="str">
        <x:v>МА2510512</x:v>
      </x:c>
      <x:c r="K2423" s="87" t="n">
        <x:v>18</x:v>
      </x:c>
      <x:c r="L2423" s="87" t="str">
        <x:v>Уравнение с параметром</x:v>
      </x:c>
      <x:c r="M2423" s="30" t="str">
        <x:v>Уравнение с |x|, квадратами и cos(18π/p) должно иметь ровно два корня.</x:v>
      </x:c>
      <x:c r="N2423" s="30" t="str">
        <x:v>p=−1; 4,5; 9</x:v>
      </x:c>
      <x:c r="O2423" s="30" t="str">
        <x:v>Условия cos(18π/p)=1 и числа корней параметрического уравнения дают три значения.</x:v>
      </x:c>
      <x:c r="P2423" s="30" t="str">
        <x:v>Преобразования и численный результат проверены повторно; графики и чертежи сверены с исходной страницей.</x:v>
      </x:c>
      <x:c r="Q2423" s="30"/>
      <x:c r="R2423" s="30" t="str">
        <x:v>Официальный PDF задания + официальный критерий + независимое решение</x:v>
      </x:c>
      <x:c r="S2423" s="30"/>
      <x:c r="T2423" s="30"/>
      <x:c r="U2423" s="30" t="str">
        <x:v>Расхождений не обнаружено.</x:v>
      </x:c>
      <x:c r="V2423" s="87" t="str">
        <x:v>VERIFIED</x:v>
      </x:c>
      <x:c r="W2423" s="87" t="str">
        <x:v>Официальный PDF, задание 18</x:v>
      </x:c>
      <x:c r="X2423" s="87"/>
      <x:c r="Y2423" s="87"/>
      <x:c r="Z2423" s="87"/>
      <x:c r="AA2423" s="87"/>
      <x:c r="AB2423" s="87"/>
      <x:c r="AC2423" s="87"/>
      <x:c r="AD2423" s="87"/>
      <x:c r="AE2423" s="87"/>
      <x:c r="AF2423" s="87"/>
      <x:c r="AG2423" s="87"/>
      <x:c r="AH2423" s="87"/>
      <x:c r="AI2423" s="30"/>
      <x:c r="AJ2423" s="87" t="str">
        <x:v>master</x:v>
      </x:c>
      <x:c r="AK2423" s="87" t="str">
        <x:v>master-v0.81</x:v>
      </x:c>
      <x:c r="AL2423" s="87" t="str">
        <x:v>statgrad_master_base_v0_81_final(2).xlsx</x:v>
      </x:c>
      <x:c r="AM2423" s="87" t="str">
        <x:v>MATH_Apr_Prof_V12</x:v>
      </x:c>
      <x:c r="AN2423" s="87" t="n">
        <x:v>19</x:v>
      </x:c>
    </x:row>
    <x:row r="2424">
      <x:c r="A2424" s="87" t="n">
        <x:v>2423</x:v>
      </x:c>
      <x:c r="B2424" s="87" t="str">
        <x:v>APR-MATH-P-V12-019</x:v>
      </x:c>
      <x:c r="C2424" s="87" t="str">
        <x:v>СтатГрад</x:v>
      </x:c>
      <x:c r="D2424" s="87" t="str">
        <x:v>Апрель 2026</x:v>
      </x:c>
      <x:c r="E2424" s="87"/>
      <x:c r="F2424" s="87"/>
      <x:c r="G2424" s="87" t="str">
        <x:v>Математика</x:v>
      </x:c>
      <x:c r="H2424" s="87" t="str">
        <x:v>Профильный</x:v>
      </x:c>
      <x:c r="I2424" s="87" t="str">
        <x:v>ТР №5</x:v>
      </x:c>
      <x:c r="J2424" s="87" t="str">
        <x:v>МА2510512</x:v>
      </x:c>
      <x:c r="K2424" s="87" t="n">
        <x:v>19</x:v>
      </x:c>
      <x:c r="L2424" s="87" t="str">
        <x:v>Комбинаторная задача</x:v>
      </x:c>
      <x:c r="M2424" s="30" t="str">
        <x:v>Игра с двумя двузначными числами, одно оканчивается тройкой; проверить 2 и 19,5 и найти максимум.</x:v>
      </x:c>
      <x:c r="N2424" s="30" t="str">
        <x:v>а) да; б) нет; в) 10 1/13</x:v>
      </x:c>
      <x:c r="O2424" s="30" t="str">
        <x:v>Пример подтверждает а; оценка исключает б; максимум достигается на паре 13 и 10.</x:v>
      </x:c>
      <x:c r="P2424" s="30" t="str">
        <x:v>Преобразования и численный результат проверены повторно; графики и чертежи сверены с исходной страницей.</x:v>
      </x:c>
      <x:c r="Q2424" s="30"/>
      <x:c r="R2424" s="30" t="str">
        <x:v>Официальный PDF задания + официальный критерий + независимое решение</x:v>
      </x:c>
      <x:c r="S2424" s="30"/>
      <x:c r="T2424" s="30"/>
      <x:c r="U2424" s="30" t="str">
        <x:v>Расхождений не обнаружено.</x:v>
      </x:c>
      <x:c r="V2424" s="87" t="str">
        <x:v>VERIFIED</x:v>
      </x:c>
      <x:c r="W2424" s="87" t="str">
        <x:v>Официальный PDF, задание 19</x:v>
      </x:c>
      <x:c r="X2424" s="87"/>
      <x:c r="Y2424" s="87"/>
      <x:c r="Z2424" s="87"/>
      <x:c r="AA2424" s="87"/>
      <x:c r="AB2424" s="87"/>
      <x:c r="AC2424" s="87"/>
      <x:c r="AD2424" s="87"/>
      <x:c r="AE2424" s="87"/>
      <x:c r="AF2424" s="87"/>
      <x:c r="AG2424" s="87"/>
      <x:c r="AH2424" s="87"/>
      <x:c r="AI2424" s="30"/>
      <x:c r="AJ2424" s="87" t="str">
        <x:v>master</x:v>
      </x:c>
      <x:c r="AK2424" s="87" t="str">
        <x:v>master-v0.81</x:v>
      </x:c>
      <x:c r="AL2424" s="87" t="str">
        <x:v>statgrad_master_base_v0_81_final(2).xlsx</x:v>
      </x:c>
      <x:c r="AM2424" s="87" t="str">
        <x:v>MATH_Apr_Prof_V12</x:v>
      </x:c>
      <x:c r="AN2424" s="87" t="n">
        <x:v>20</x:v>
      </x:c>
    </x:row>
    <x:row r="2425">
      <x:c r="A2425" s="87" t="n">
        <x:v>2424</x:v>
      </x:c>
      <x:c r="B2425" s="87" t="str">
        <x:v>APR-BIO-V1-001</x:v>
      </x:c>
      <x:c r="C2425" s="87" t="str">
        <x:v>СтатГрад</x:v>
      </x:c>
      <x:c r="D2425" s="87" t="str">
        <x:v>Апрель 2026</x:v>
      </x:c>
      <x:c r="E2425" s="87"/>
      <x:c r="F2425" s="87"/>
      <x:c r="G2425" s="87" t="str">
        <x:v>Биология</x:v>
      </x:c>
      <x:c r="H2425" s="87" t="n">
        <x:v>11</x:v>
      </x:c>
      <x:c r="I2425" s="87" t="str">
        <x:v>ТР №5</x:v>
      </x:c>
      <x:c r="J2425" s="87" t="str">
        <x:v>БИ2510501</x:v>
      </x:c>
      <x:c r="K2425" s="87" t="n">
        <x:v>1</x:v>
      </x:c>
      <x:c r="L2425" s="87" t="str">
        <x:v>Методы биологии</x:v>
      </x:c>
      <x:c r="M2425" s="30" t="str">
        <x:v>Рассмотрите таблицу «Методы биологических исследований». Запишите в ответе пропущенный термин, обозначенный в таблице вопросительным знаком. Метод Пример Эксперимент ?</x:v>
      </x:c>
      <x:c r="N2425" s="30" t="str">
        <x:v>измерение</x:v>
      </x:c>
      <x:c r="O2425" s="30" t="str">
        <x:v>На рисунках измеряют длину листьев линейкой, поэтому метод — измерение.</x:v>
      </x:c>
      <x:c r="P2425" s="30" t="str">
        <x:v>Ответ повторно выведен из условия и проверен по биологическим закономерностям; для заданий с рисунком обозначения сверены визуально.</x:v>
      </x:c>
      <x:c r="Q2425" s="30"/>
      <x:c r="R2425" s="30" t="str">
        <x:v>Официальная таблица ответов + независимое решение</x:v>
      </x:c>
      <x:c r="S2425" s="30"/>
      <x:c r="T2425" s="30"/>
      <x:c r="U2425" s="30" t="str">
        <x:v>Расхождений не обнаружено.</x:v>
      </x:c>
      <x:c r="V2425" s="87" t="str">
        <x:v>VERIFIED</x:v>
      </x:c>
      <x:c r="W2425" s="87" t="str">
        <x:v>Официальный PDF, задание 1</x:v>
      </x:c>
      <x:c r="X2425" s="87"/>
      <x:c r="Y2425" s="87"/>
      <x:c r="Z2425" s="87"/>
      <x:c r="AA2425" s="87"/>
      <x:c r="AB2425" s="87"/>
      <x:c r="AC2425" s="87"/>
      <x:c r="AD2425" s="87"/>
      <x:c r="AE2425" s="87"/>
      <x:c r="AF2425" s="87"/>
      <x:c r="AG2425" s="87"/>
      <x:c r="AH2425" s="87"/>
      <x:c r="AI2425" s="30"/>
      <x:c r="AJ2425" s="87" t="str">
        <x:v>master</x:v>
      </x:c>
      <x:c r="AK2425" s="87" t="str">
        <x:v>master-v0.81</x:v>
      </x:c>
      <x:c r="AL2425" s="87" t="str">
        <x:v>statgrad_master_base_v0_81_final(2).xlsx</x:v>
      </x:c>
      <x:c r="AM2425" s="87" t="str">
        <x:v>BIO_Apr_V1</x:v>
      </x:c>
      <x:c r="AN2425" s="87" t="n">
        <x:v>2</x:v>
      </x:c>
    </x:row>
    <x:row r="2426">
      <x:c r="A2426" s="87" t="n">
        <x:v>2425</x:v>
      </x:c>
      <x:c r="B2426" s="87" t="str">
        <x:v>APR-BIO-V1-002</x:v>
      </x:c>
      <x:c r="C2426" s="87" t="str">
        <x:v>СтатГрад</x:v>
      </x:c>
      <x:c r="D2426" s="87" t="str">
        <x:v>Апрель 2026</x:v>
      </x:c>
      <x:c r="E2426" s="87"/>
      <x:c r="F2426" s="87"/>
      <x:c r="G2426" s="87" t="str">
        <x:v>Биология</x:v>
      </x:c>
      <x:c r="H2426" s="87" t="n">
        <x:v>11</x:v>
      </x:c>
      <x:c r="I2426" s="87" t="str">
        <x:v>ТР №5</x:v>
      </x:c>
      <x:c r="J2426" s="87" t="str">
        <x:v>БИ2510501</x:v>
      </x:c>
      <x:c r="K2426" s="87" t="n">
        <x:v>2</x:v>
      </x:c>
      <x:c r="L2426" s="87" t="str">
        <x:v>Энергетический обмен</x:v>
      </x:c>
      <x:c r="M2426" s="30" t="str">
        <x:v>В эксперименте ингибировали электрон-транспортную цепь митохондрий. Определить изменение количества синтезируемой АТФ и скорости потребления O₂: 1 — увеличится, 2 — уменьшится, 3 — не изменится.</x:v>
      </x:c>
      <x:c r="N2426" s="30" t="str">
        <x:v>22</x:v>
      </x:c>
      <x:c r="O2426" s="30" t="str">
        <x:v>Электрон-транспортная цепь создаёт протонный градиент и использует O₂ как конечный акцептор; при её блокаде снижаются и синтез АТФ, и потребление кислорода.</x:v>
      </x:c>
      <x:c r="P2426" s="30" t="str">
        <x:v>Ответ повторно выведен из условия и проверен по биологическим закономерностям; для заданий с рисунком обозначения сверены визуально.</x:v>
      </x:c>
      <x:c r="Q2426" s="30"/>
      <x:c r="R2426" s="30" t="str">
        <x:v>Независимое решение по официальному заданию</x:v>
      </x:c>
      <x:c r="S2426" s="30"/>
      <x:c r="T2426" s="30"/>
      <x:c r="U2426" s="30" t="str">
        <x:v>Расхождений не обнаружено.</x:v>
      </x:c>
      <x:c r="V2426" s="87" t="str">
        <x:v>VERIFIED</x:v>
      </x:c>
      <x:c r="W2426" s="87" t="str">
        <x:v>Официальный PDF, задание 2</x:v>
      </x:c>
      <x:c r="X2426" s="87"/>
      <x:c r="Y2426" s="87"/>
      <x:c r="Z2426" s="87"/>
      <x:c r="AA2426" s="87"/>
      <x:c r="AB2426" s="87"/>
      <x:c r="AC2426" s="87"/>
      <x:c r="AD2426" s="87"/>
      <x:c r="AE2426" s="87"/>
      <x:c r="AF2426" s="87"/>
      <x:c r="AG2426" s="87"/>
      <x:c r="AH2426" s="87"/>
      <x:c r="AI2426" s="30"/>
      <x:c r="AJ2426" s="87" t="str">
        <x:v>master</x:v>
      </x:c>
      <x:c r="AK2426" s="87" t="str">
        <x:v>master-v0.81</x:v>
      </x:c>
      <x:c r="AL2426" s="87" t="str">
        <x:v>statgrad_master_base_v0_81_final(2).xlsx</x:v>
      </x:c>
      <x:c r="AM2426" s="87" t="str">
        <x:v>BIO_Apr_V1</x:v>
      </x:c>
      <x:c r="AN2426" s="87" t="n">
        <x:v>3</x:v>
      </x:c>
    </x:row>
    <x:row r="2427">
      <x:c r="A2427" s="87" t="n">
        <x:v>2426</x:v>
      </x:c>
      <x:c r="B2427" s="87" t="str">
        <x:v>APR-BIO-V1-003</x:v>
      </x:c>
      <x:c r="C2427" s="87" t="str">
        <x:v>СтатГрад</x:v>
      </x:c>
      <x:c r="D2427" s="87" t="str">
        <x:v>Апрель 2026</x:v>
      </x:c>
      <x:c r="E2427" s="87"/>
      <x:c r="F2427" s="87"/>
      <x:c r="G2427" s="87" t="str">
        <x:v>Биология</x:v>
      </x:c>
      <x:c r="H2427" s="87" t="n">
        <x:v>11</x:v>
      </x:c>
      <x:c r="I2427" s="87" t="str">
        <x:v>ТР №5</x:v>
      </x:c>
      <x:c r="J2427" s="87" t="str">
        <x:v>БИ2510501</x:v>
      </x:c>
      <x:c r="K2427" s="87" t="n">
        <x:v>3</x:v>
      </x:c>
      <x:c r="L2427" s="87" t="str">
        <x:v>Гаметогенез растений</x:v>
      </x:c>
      <x:c r="M2427" s="30" t="str">
        <x:v>Из макроспоры тыквы обыкновенной в результате митотических делений образовалась яйцеклетка, содержащая 10 хромосом. Определите количество хромосом в макроспоре. В ответе запишите только соответствующее число.</x:v>
      </x:c>
      <x:c r="N2427" s="30" t="str">
        <x:v>10</x:v>
      </x:c>
      <x:c r="O2427" s="30" t="str">
        <x:v>Яйцеклетка образуется из макроспоры митозами, поэтому гаплоидный набор сохраняется: 10 хромосом.</x:v>
      </x:c>
      <x:c r="P2427" s="30" t="str">
        <x:v>Ответ повторно выведен из условия и проверен по биологическим закономерностям; для заданий с рисунком обозначения сверены визуально.</x:v>
      </x:c>
      <x:c r="Q2427" s="30"/>
      <x:c r="R2427" s="30" t="str">
        <x:v>Независимое решение по официальному заданию</x:v>
      </x:c>
      <x:c r="S2427" s="30"/>
      <x:c r="T2427" s="30"/>
      <x:c r="U2427" s="30" t="str">
        <x:v>Расхождений не обнаружено.</x:v>
      </x:c>
      <x:c r="V2427" s="87" t="str">
        <x:v>VERIFIED</x:v>
      </x:c>
      <x:c r="W2427" s="87" t="str">
        <x:v>Официальный PDF, задание 3</x:v>
      </x:c>
      <x:c r="X2427" s="87"/>
      <x:c r="Y2427" s="87"/>
      <x:c r="Z2427" s="87"/>
      <x:c r="AA2427" s="87"/>
      <x:c r="AB2427" s="87"/>
      <x:c r="AC2427" s="87"/>
      <x:c r="AD2427" s="87"/>
      <x:c r="AE2427" s="87"/>
      <x:c r="AF2427" s="87"/>
      <x:c r="AG2427" s="87"/>
      <x:c r="AH2427" s="87"/>
      <x:c r="AI2427" s="30"/>
      <x:c r="AJ2427" s="87" t="str">
        <x:v>master</x:v>
      </x:c>
      <x:c r="AK2427" s="87" t="str">
        <x:v>master-v0.81</x:v>
      </x:c>
      <x:c r="AL2427" s="87" t="str">
        <x:v>statgrad_master_base_v0_81_final(2).xlsx</x:v>
      </x:c>
      <x:c r="AM2427" s="87" t="str">
        <x:v>BIO_Apr_V1</x:v>
      </x:c>
      <x:c r="AN2427" s="87" t="n">
        <x:v>4</x:v>
      </x:c>
    </x:row>
    <x:row r="2428">
      <x:c r="A2428" s="87" t="n">
        <x:v>2427</x:v>
      </x:c>
      <x:c r="B2428" s="87" t="str">
        <x:v>APR-BIO-V1-004</x:v>
      </x:c>
      <x:c r="C2428" s="87" t="str">
        <x:v>СтатГрад</x:v>
      </x:c>
      <x:c r="D2428" s="87" t="str">
        <x:v>Апрель 2026</x:v>
      </x:c>
      <x:c r="E2428" s="87"/>
      <x:c r="F2428" s="87"/>
      <x:c r="G2428" s="87" t="str">
        <x:v>Биология</x:v>
      </x:c>
      <x:c r="H2428" s="87" t="n">
        <x:v>11</x:v>
      </x:c>
      <x:c r="I2428" s="87" t="str">
        <x:v>ТР №5</x:v>
      </x:c>
      <x:c r="J2428" s="87" t="str">
        <x:v>БИ2510501</x:v>
      </x:c>
      <x:c r="K2428" s="87" t="n">
        <x:v>4</x:v>
      </x:c>
      <x:c r="L2428" s="87" t="str">
        <x:v>Моногибридное скрещивание</x:v>
      </x:c>
      <x:c r="M2428" s="30" t="str">
        <x:v>Какое соотношение генотипов получится у потомков при самоопылении гетерозиготных растений гороха с пазушным расположением цветков? Ответ запишите в виде последовательности чисел.</x:v>
      </x:c>
      <x:c r="N2428" s="30" t="str">
        <x:v>121</x:v>
      </x:c>
      <x:c r="O2428" s="30" t="str">
        <x:v>Самоопыление Aa×Aa даёт генотипы AA:Aa:aa в отношении 1:2:1.</x:v>
      </x:c>
      <x:c r="P2428" s="30" t="str">
        <x:v>Ответ повторно выведен из условия и проверен по биологическим закономерностям; для заданий с рисунком обозначения сверены визуально.</x:v>
      </x:c>
      <x:c r="Q2428" s="30"/>
      <x:c r="R2428" s="30" t="str">
        <x:v>Независимое решение по официальному заданию</x:v>
      </x:c>
      <x:c r="S2428" s="30"/>
      <x:c r="T2428" s="30"/>
      <x:c r="U2428" s="30" t="str">
        <x:v>Расхождений не обнаружено.</x:v>
      </x:c>
      <x:c r="V2428" s="87" t="str">
        <x:v>VERIFIED</x:v>
      </x:c>
      <x:c r="W2428" s="87" t="str">
        <x:v>Официальный PDF, задание 4</x:v>
      </x:c>
      <x:c r="X2428" s="87"/>
      <x:c r="Y2428" s="87"/>
      <x:c r="Z2428" s="87"/>
      <x:c r="AA2428" s="87"/>
      <x:c r="AB2428" s="87"/>
      <x:c r="AC2428" s="87"/>
      <x:c r="AD2428" s="87"/>
      <x:c r="AE2428" s="87"/>
      <x:c r="AF2428" s="87"/>
      <x:c r="AG2428" s="87"/>
      <x:c r="AH2428" s="87"/>
      <x:c r="AI2428" s="30"/>
      <x:c r="AJ2428" s="87" t="str">
        <x:v>master</x:v>
      </x:c>
      <x:c r="AK2428" s="87" t="str">
        <x:v>master-v0.81</x:v>
      </x:c>
      <x:c r="AL2428" s="87" t="str">
        <x:v>statgrad_master_base_v0_81_final(2).xlsx</x:v>
      </x:c>
      <x:c r="AM2428" s="87" t="str">
        <x:v>BIO_Apr_V1</x:v>
      </x:c>
      <x:c r="AN2428" s="87" t="n">
        <x:v>5</x:v>
      </x:c>
    </x:row>
    <x:row r="2429">
      <x:c r="A2429" s="87" t="n">
        <x:v>2428</x:v>
      </x:c>
      <x:c r="B2429" s="87" t="str">
        <x:v>APR-BIO-V1-005</x:v>
      </x:c>
      <x:c r="C2429" s="87" t="str">
        <x:v>СтатГрад</x:v>
      </x:c>
      <x:c r="D2429" s="87" t="str">
        <x:v>Апрель 2026</x:v>
      </x:c>
      <x:c r="E2429" s="87"/>
      <x:c r="F2429" s="87"/>
      <x:c r="G2429" s="87" t="str">
        <x:v>Биология</x:v>
      </x:c>
      <x:c r="H2429" s="87" t="n">
        <x:v>11</x:v>
      </x:c>
      <x:c r="I2429" s="87" t="str">
        <x:v>ТР №5</x:v>
      </x:c>
      <x:c r="J2429" s="87" t="str">
        <x:v>БИ2510501</x:v>
      </x:c>
      <x:c r="K2429" s="87" t="n">
        <x:v>5</x:v>
      </x:c>
      <x:c r="L2429" s="87" t="str">
        <x:v>Генетика пола</x:v>
      </x:c>
      <x:c r="M2429" s="30" t="str">
        <x:v>Какой цифрой на схеме скрещивания обозначена гамета, несущая доминантный аллель окраски?</x:v>
      </x:c>
      <x:c r="N2429" s="30" t="str">
        <x:v>8</x:v>
      </x:c>
      <x:c r="O2429" s="30" t="str">
        <x:v>Доминантный аллель окраски B находится в гамете Xᴮ, обозначенной цифрой 8.</x:v>
      </x:c>
      <x:c r="P2429" s="30" t="str">
        <x:v>Ответ повторно выведен из условия и проверен по биологическим закономерностям; для заданий с рисунком обозначения сверены визуально.</x:v>
      </x:c>
      <x:c r="Q2429" s="30"/>
      <x:c r="R2429" s="30" t="str">
        <x:v>Независимое решение по официальному заданию</x:v>
      </x:c>
      <x:c r="S2429" s="30"/>
      <x:c r="T2429" s="30"/>
      <x:c r="U2429" s="30" t="str">
        <x:v>Расхождений не обнаружено.</x:v>
      </x:c>
      <x:c r="V2429" s="87" t="str">
        <x:v>VERIFIED</x:v>
      </x:c>
      <x:c r="W2429" s="87" t="str">
        <x:v>Официальный PDF, задание 5</x:v>
      </x:c>
      <x:c r="X2429" s="87"/>
      <x:c r="Y2429" s="87"/>
      <x:c r="Z2429" s="87"/>
      <x:c r="AA2429" s="87"/>
      <x:c r="AB2429" s="87"/>
      <x:c r="AC2429" s="87"/>
      <x:c r="AD2429" s="87"/>
      <x:c r="AE2429" s="87"/>
      <x:c r="AF2429" s="87"/>
      <x:c r="AG2429" s="87"/>
      <x:c r="AH2429" s="87"/>
      <x:c r="AI2429" s="30"/>
      <x:c r="AJ2429" s="87" t="str">
        <x:v>master</x:v>
      </x:c>
      <x:c r="AK2429" s="87" t="str">
        <x:v>master-v0.81</x:v>
      </x:c>
      <x:c r="AL2429" s="87" t="str">
        <x:v>statgrad_master_base_v0_81_final(2).xlsx</x:v>
      </x:c>
      <x:c r="AM2429" s="87" t="str">
        <x:v>BIO_Apr_V1</x:v>
      </x:c>
      <x:c r="AN2429" s="87" t="n">
        <x:v>6</x:v>
      </x:c>
    </x:row>
    <x:row r="2430">
      <x:c r="A2430" s="87" t="n">
        <x:v>2429</x:v>
      </x:c>
      <x:c r="B2430" s="87" t="str">
        <x:v>APR-BIO-V1-006</x:v>
      </x:c>
      <x:c r="C2430" s="87" t="str">
        <x:v>СтатГрад</x:v>
      </x:c>
      <x:c r="D2430" s="87" t="str">
        <x:v>Апрель 2026</x:v>
      </x:c>
      <x:c r="E2430" s="87"/>
      <x:c r="F2430" s="87"/>
      <x:c r="G2430" s="87" t="str">
        <x:v>Биология</x:v>
      </x:c>
      <x:c r="H2430" s="87" t="n">
        <x:v>11</x:v>
      </x:c>
      <x:c r="I2430" s="87" t="str">
        <x:v>ТР №5</x:v>
      </x:c>
      <x:c r="J2430" s="87" t="str">
        <x:v>БИ2510501</x:v>
      </x:c>
      <x:c r="K2430" s="87" t="n">
        <x:v>6</x:v>
      </x:c>
      <x:c r="L2430" s="87" t="str">
        <x:v>Генетика пола: соответствие</x:v>
      </x:c>
      <x:c r="M2430" s="30" t="str">
        <x:v>Установите соответствие между характеристиками и особями, обозначенными на схеме цифрами 1, 2, 3: к каждой позиции, данной в первом столбце, подберите соответствующую позицию из второго столбца. ХАРАКТЕРИСТИКИ ОСОБИ А) кот с доминантным фенотипом 1) 1 Б) гетерозиготный генотип 2) 2 В) неполное доминирование генов 3) 3 Г) рецессивный фенотип Д) самец, несущий аллель b Е) гомогаметный пол Запишите в таблицу выбранные цифры под соответствующими буквами. А Б В Г Д Е</x:v>
      </x:c>
      <x:c r="N2430" s="30" t="str">
        <x:v>133223</x:v>
      </x:c>
      <x:c r="O2430" s="30" t="str">
        <x:v>По схеме особи 1–3 различаются полом, генотипом и фенотипом; последовательное сопоставление шести признаков даёт 133223.</x:v>
      </x:c>
      <x:c r="P2430" s="30" t="str">
        <x:v>Ответ повторно выведен из условия и проверен по биологическим закономерностям; для заданий с рисунком обозначения сверены визуально.</x:v>
      </x:c>
      <x:c r="Q2430" s="30"/>
      <x:c r="R2430" s="30" t="str">
        <x:v>Официальная таблица ответов + независимое решение</x:v>
      </x:c>
      <x:c r="S2430" s="30"/>
      <x:c r="T2430" s="30"/>
      <x:c r="U2430" s="30" t="str">
        <x:v>Расхождений не обнаружено.</x:v>
      </x:c>
      <x:c r="V2430" s="87" t="str">
        <x:v>VERIFIED</x:v>
      </x:c>
      <x:c r="W2430" s="87" t="str">
        <x:v>Официальный PDF, задание 6</x:v>
      </x:c>
      <x:c r="X2430" s="87"/>
      <x:c r="Y2430" s="87"/>
      <x:c r="Z2430" s="87"/>
      <x:c r="AA2430" s="87"/>
      <x:c r="AB2430" s="87"/>
      <x:c r="AC2430" s="87"/>
      <x:c r="AD2430" s="87"/>
      <x:c r="AE2430" s="87"/>
      <x:c r="AF2430" s="87"/>
      <x:c r="AG2430" s="87"/>
      <x:c r="AH2430" s="87"/>
      <x:c r="AI2430" s="30"/>
      <x:c r="AJ2430" s="87" t="str">
        <x:v>master</x:v>
      </x:c>
      <x:c r="AK2430" s="87" t="str">
        <x:v>master-v0.81</x:v>
      </x:c>
      <x:c r="AL2430" s="87" t="str">
        <x:v>statgrad_master_base_v0_81_final(2).xlsx</x:v>
      </x:c>
      <x:c r="AM2430" s="87" t="str">
        <x:v>BIO_Apr_V1</x:v>
      </x:c>
      <x:c r="AN2430" s="87" t="n">
        <x:v>7</x:v>
      </x:c>
    </x:row>
    <x:row r="2431">
      <x:c r="A2431" s="87" t="n">
        <x:v>2430</x:v>
      </x:c>
      <x:c r="B2431" s="87" t="str">
        <x:v>APR-BIO-V1-007</x:v>
      </x:c>
      <x:c r="C2431" s="87" t="str">
        <x:v>СтатГрад</x:v>
      </x:c>
      <x:c r="D2431" s="87" t="str">
        <x:v>Апрель 2026</x:v>
      </x:c>
      <x:c r="E2431" s="87"/>
      <x:c r="F2431" s="87"/>
      <x:c r="G2431" s="87" t="str">
        <x:v>Биология</x:v>
      </x:c>
      <x:c r="H2431" s="87" t="n">
        <x:v>11</x:v>
      </x:c>
      <x:c r="I2431" s="87" t="str">
        <x:v>ТР №5</x:v>
      </x:c>
      <x:c r="J2431" s="87" t="str">
        <x:v>БИ2510501</x:v>
      </x:c>
      <x:c r="K2431" s="87" t="n">
        <x:v>7</x:v>
      </x:c>
      <x:c r="L2431" s="87" t="str">
        <x:v>Липиды клетки</x:v>
      </x:c>
      <x:c r="M2431" s="30" t="str">
        <x:v>Выберите три верных ответа и запишите в таблицу цифры, под которыми они указаны. Для изображённой на рисунке молекулы характерно 1) относится к углеводам 2) входит в состав клеточных мембран 3) имеет глобулярное строение 4) содержит остаток глицерина 5) является предшественником витамина D 6) имеет гидрофобную и гидрофильную части</x:v>
      </x:c>
      <x:c r="N2431" s="30" t="str">
        <x:v>246</x:v>
      </x:c>
      <x:c r="O2431" s="30" t="str">
        <x:v>Изображён фосфолипид: он входит в мембраны, содержит глицерин и имеет гидрофильную головку с гидрофобными хвостами.</x:v>
      </x:c>
      <x:c r="P2431" s="30" t="str">
        <x:v>Ответ повторно выведен из условия и проверен по биологическим закономерностям; для заданий с рисунком обозначения сверены визуально.</x:v>
      </x:c>
      <x:c r="Q2431" s="30"/>
      <x:c r="R2431" s="30" t="str">
        <x:v>Официальная таблица ответов + независимое решение</x:v>
      </x:c>
      <x:c r="S2431" s="30"/>
      <x:c r="T2431" s="30"/>
      <x:c r="U2431" s="30" t="str">
        <x:v>Расхождений не обнаружено.</x:v>
      </x:c>
      <x:c r="V2431" s="87" t="str">
        <x:v>VERIFIED</x:v>
      </x:c>
      <x:c r="W2431" s="87" t="str">
        <x:v>Официальный PDF, задание 7</x:v>
      </x:c>
      <x:c r="X2431" s="87"/>
      <x:c r="Y2431" s="87"/>
      <x:c r="Z2431" s="87"/>
      <x:c r="AA2431" s="87"/>
      <x:c r="AB2431" s="87"/>
      <x:c r="AC2431" s="87"/>
      <x:c r="AD2431" s="87"/>
      <x:c r="AE2431" s="87"/>
      <x:c r="AF2431" s="87"/>
      <x:c r="AG2431" s="87"/>
      <x:c r="AH2431" s="87"/>
      <x:c r="AI2431" s="30"/>
      <x:c r="AJ2431" s="87" t="str">
        <x:v>master</x:v>
      </x:c>
      <x:c r="AK2431" s="87" t="str">
        <x:v>master-v0.81</x:v>
      </x:c>
      <x:c r="AL2431" s="87" t="str">
        <x:v>statgrad_master_base_v0_81_final(2).xlsx</x:v>
      </x:c>
      <x:c r="AM2431" s="87" t="str">
        <x:v>BIO_Apr_V1</x:v>
      </x:c>
      <x:c r="AN2431" s="87" t="n">
        <x:v>8</x:v>
      </x:c>
    </x:row>
    <x:row r="2432">
      <x:c r="A2432" s="87" t="n">
        <x:v>2431</x:v>
      </x:c>
      <x:c r="B2432" s="87" t="str">
        <x:v>APR-BIO-V1-008</x:v>
      </x:c>
      <x:c r="C2432" s="87" t="str">
        <x:v>СтатГрад</x:v>
      </x:c>
      <x:c r="D2432" s="87" t="str">
        <x:v>Апрель 2026</x:v>
      </x:c>
      <x:c r="E2432" s="87"/>
      <x:c r="F2432" s="87"/>
      <x:c r="G2432" s="87" t="str">
        <x:v>Биология</x:v>
      </x:c>
      <x:c r="H2432" s="87" t="n">
        <x:v>11</x:v>
      </x:c>
      <x:c r="I2432" s="87" t="str">
        <x:v>ТР №5</x:v>
      </x:c>
      <x:c r="J2432" s="87" t="str">
        <x:v>БИ2510501</x:v>
      </x:c>
      <x:c r="K2432" s="87" t="n">
        <x:v>8</x:v>
      </x:c>
      <x:c r="L2432" s="87" t="str">
        <x:v>Строение растительной клетки</x:v>
      </x:c>
      <x:c r="M2432" s="30" t="str">
        <x:v>Установите последовательность расположения структур растительной клетки от периферии к центру. Запишите в таблицу соответствующую последовательность цифр. 1) тонопласт – оболочка вакуоли 2) клеточная стенка 3) клеточный сок 4) плазмолемма 5) гиалоплазма</x:v>
      </x:c>
      <x:c r="N2432" s="30" t="str">
        <x:v>24513</x:v>
      </x:c>
      <x:c r="O2432" s="30" t="str">
        <x:v>От периферии к центру: клеточная стенка → плазмолемма → гиалоплазма → тонопласт → клеточный сок.</x:v>
      </x:c>
      <x:c r="P2432" s="30" t="str">
        <x:v>Ответ повторно выведен из условия и проверен по биологическим закономерностям; для заданий с рисунком обозначения сверены визуально.</x:v>
      </x:c>
      <x:c r="Q2432" s="30"/>
      <x:c r="R2432" s="30" t="str">
        <x:v>Официальная таблица ответов + независимое решение</x:v>
      </x:c>
      <x:c r="S2432" s="30"/>
      <x:c r="T2432" s="30"/>
      <x:c r="U2432" s="30" t="str">
        <x:v>Расхождений не обнаружено.</x:v>
      </x:c>
      <x:c r="V2432" s="87" t="str">
        <x:v>VERIFIED</x:v>
      </x:c>
      <x:c r="W2432" s="87" t="str">
        <x:v>Официальный PDF, задание 8</x:v>
      </x:c>
      <x:c r="X2432" s="87"/>
      <x:c r="Y2432" s="87"/>
      <x:c r="Z2432" s="87"/>
      <x:c r="AA2432" s="87"/>
      <x:c r="AB2432" s="87"/>
      <x:c r="AC2432" s="87"/>
      <x:c r="AD2432" s="87"/>
      <x:c r="AE2432" s="87"/>
      <x:c r="AF2432" s="87"/>
      <x:c r="AG2432" s="87"/>
      <x:c r="AH2432" s="87"/>
      <x:c r="AI2432" s="30"/>
      <x:c r="AJ2432" s="87" t="str">
        <x:v>master</x:v>
      </x:c>
      <x:c r="AK2432" s="87" t="str">
        <x:v>master-v0.81</x:v>
      </x:c>
      <x:c r="AL2432" s="87" t="str">
        <x:v>statgrad_master_base_v0_81_final(2).xlsx</x:v>
      </x:c>
      <x:c r="AM2432" s="87" t="str">
        <x:v>BIO_Apr_V1</x:v>
      </x:c>
      <x:c r="AN2432" s="87" t="n">
        <x:v>9</x:v>
      </x:c>
    </x:row>
    <x:row r="2433">
      <x:c r="A2433" s="87" t="n">
        <x:v>2432</x:v>
      </x:c>
      <x:c r="B2433" s="87" t="str">
        <x:v>APR-BIO-V1-009</x:v>
      </x:c>
      <x:c r="C2433" s="87" t="str">
        <x:v>СтатГрад</x:v>
      </x:c>
      <x:c r="D2433" s="87" t="str">
        <x:v>Апрель 2026</x:v>
      </x:c>
      <x:c r="E2433" s="87"/>
      <x:c r="F2433" s="87"/>
      <x:c r="G2433" s="87" t="str">
        <x:v>Биология</x:v>
      </x:c>
      <x:c r="H2433" s="87" t="n">
        <x:v>11</x:v>
      </x:c>
      <x:c r="I2433" s="87" t="str">
        <x:v>ТР №5</x:v>
      </x:c>
      <x:c r="J2433" s="87" t="str">
        <x:v>БИ2510501</x:v>
      </x:c>
      <x:c r="K2433" s="87" t="n">
        <x:v>9</x:v>
      </x:c>
      <x:c r="L2433" s="87" t="str">
        <x:v>Паразитология</x:v>
      </x:c>
      <x:c r="M2433" s="30" t="str">
        <x:v>Какой цифрой на схеме жизненного цикла аскариды обозначена стадия, проникающая в организм хозяина?</x:v>
      </x:c>
      <x:c r="N2433" s="30" t="str">
        <x:v>5</x:v>
      </x:c>
      <x:c r="O2433" s="30" t="str">
        <x:v>В организм человека проникает зрелое яйцо с личинкой при заглатывании; на схеме оно обозначено 5.</x:v>
      </x:c>
      <x:c r="P2433" s="30" t="str">
        <x:v>Ответ повторно выведен из условия и проверен по биологическим закономерностям; для заданий с рисунком обозначения сверены визуально.</x:v>
      </x:c>
      <x:c r="Q2433" s="30"/>
      <x:c r="R2433" s="30" t="str">
        <x:v>Независимое решение по официальному заданию</x:v>
      </x:c>
      <x:c r="S2433" s="30"/>
      <x:c r="T2433" s="30"/>
      <x:c r="U2433" s="30" t="str">
        <x:v>Расхождений не обнаружено.</x:v>
      </x:c>
      <x:c r="V2433" s="87" t="str">
        <x:v>VERIFIED</x:v>
      </x:c>
      <x:c r="W2433" s="87" t="str">
        <x:v>Официальный PDF, задание 9</x:v>
      </x:c>
      <x:c r="X2433" s="87"/>
      <x:c r="Y2433" s="87"/>
      <x:c r="Z2433" s="87"/>
      <x:c r="AA2433" s="87"/>
      <x:c r="AB2433" s="87"/>
      <x:c r="AC2433" s="87"/>
      <x:c r="AD2433" s="87"/>
      <x:c r="AE2433" s="87"/>
      <x:c r="AF2433" s="87"/>
      <x:c r="AG2433" s="87"/>
      <x:c r="AH2433" s="87"/>
      <x:c r="AI2433" s="30"/>
      <x:c r="AJ2433" s="87" t="str">
        <x:v>master</x:v>
      </x:c>
      <x:c r="AK2433" s="87" t="str">
        <x:v>master-v0.81</x:v>
      </x:c>
      <x:c r="AL2433" s="87" t="str">
        <x:v>statgrad_master_base_v0_81_final(2).xlsx</x:v>
      </x:c>
      <x:c r="AM2433" s="87" t="str">
        <x:v>BIO_Apr_V1</x:v>
      </x:c>
      <x:c r="AN2433" s="87" t="n">
        <x:v>10</x:v>
      </x:c>
    </x:row>
    <x:row r="2434">
      <x:c r="A2434" s="87" t="n">
        <x:v>2433</x:v>
      </x:c>
      <x:c r="B2434" s="87" t="str">
        <x:v>APR-BIO-V1-010</x:v>
      </x:c>
      <x:c r="C2434" s="87" t="str">
        <x:v>СтатГрад</x:v>
      </x:c>
      <x:c r="D2434" s="87" t="str">
        <x:v>Апрель 2026</x:v>
      </x:c>
      <x:c r="E2434" s="87"/>
      <x:c r="F2434" s="87"/>
      <x:c r="G2434" s="87" t="str">
        <x:v>Биология</x:v>
      </x:c>
      <x:c r="H2434" s="87" t="n">
        <x:v>11</x:v>
      </x:c>
      <x:c r="I2434" s="87" t="str">
        <x:v>ТР №5</x:v>
      </x:c>
      <x:c r="J2434" s="87" t="str">
        <x:v>БИ2510501</x:v>
      </x:c>
      <x:c r="K2434" s="87" t="n">
        <x:v>10</x:v>
      </x:c>
      <x:c r="L2434" s="87" t="str">
        <x:v>Паразитология: соответствие</x:v>
      </x:c>
      <x:c r="M2434" s="30" t="str">
        <x:v>Установите соответствие между характеристиками и стадиями жизненного цикла, обозначенными на схеме цифрами 1, 2, 3: к каждой позиции, данной в первом столбце, подберите соответствующую позицию из второго столбца. СТАДИИ ЖИЗНЕННОГО ХАРАКТЕРИСТИКИ ЦИКЛА А) половой диморфизм 1) 1 Б) развитие в почвенной среде 2) 2 В) способность к оплодотворению 3) 3 Г) размер 15–20 см Д) миграция в альвеолы Е) вторичное заглатывание Запишите в таблицу выбранные цифры под соответствующими буквами. А Б В Г Д Е</x:v>
      </x:c>
      <x:c r="N2434" s="30" t="str">
        <x:v>313322</x:v>
      </x:c>
      <x:c r="O2434" s="30" t="str">
        <x:v>Взрослые аскариды имеют половой диморфизм и размножаются; яйца развиваются в почве, личинки мигрируют через лёгкие и повторно заглатываются.</x:v>
      </x:c>
      <x:c r="P2434" s="30" t="str">
        <x:v>Ответ повторно выведен из условия и проверен по биологическим закономерностям; для заданий с рисунком обозначения сверены визуально.</x:v>
      </x:c>
      <x:c r="Q2434" s="30"/>
      <x:c r="R2434" s="30" t="str">
        <x:v>Официальная таблица ответов + независимое решение</x:v>
      </x:c>
      <x:c r="S2434" s="30"/>
      <x:c r="T2434" s="30"/>
      <x:c r="U2434" s="30" t="str">
        <x:v>Расхождений не обнаружено.</x:v>
      </x:c>
      <x:c r="V2434" s="87" t="str">
        <x:v>VERIFIED</x:v>
      </x:c>
      <x:c r="W2434" s="87" t="str">
        <x:v>Официальный PDF, задание 10</x:v>
      </x:c>
      <x:c r="X2434" s="87"/>
      <x:c r="Y2434" s="87"/>
      <x:c r="Z2434" s="87"/>
      <x:c r="AA2434" s="87"/>
      <x:c r="AB2434" s="87"/>
      <x:c r="AC2434" s="87"/>
      <x:c r="AD2434" s="87"/>
      <x:c r="AE2434" s="87"/>
      <x:c r="AF2434" s="87"/>
      <x:c r="AG2434" s="87"/>
      <x:c r="AH2434" s="87"/>
      <x:c r="AI2434" s="30"/>
      <x:c r="AJ2434" s="87" t="str">
        <x:v>master</x:v>
      </x:c>
      <x:c r="AK2434" s="87" t="str">
        <x:v>master-v0.81</x:v>
      </x:c>
      <x:c r="AL2434" s="87" t="str">
        <x:v>statgrad_master_base_v0_81_final(2).xlsx</x:v>
      </x:c>
      <x:c r="AM2434" s="87" t="str">
        <x:v>BIO_Apr_V1</x:v>
      </x:c>
      <x:c r="AN2434" s="87" t="n">
        <x:v>11</x:v>
      </x:c>
    </x:row>
    <x:row r="2435">
      <x:c r="A2435" s="87" t="n">
        <x:v>2434</x:v>
      </x:c>
      <x:c r="B2435" s="87" t="str">
        <x:v>APR-BIO-V1-011</x:v>
      </x:c>
      <x:c r="C2435" s="87" t="str">
        <x:v>СтатГрад</x:v>
      </x:c>
      <x:c r="D2435" s="87" t="str">
        <x:v>Апрель 2026</x:v>
      </x:c>
      <x:c r="E2435" s="87"/>
      <x:c r="F2435" s="87"/>
      <x:c r="G2435" s="87" t="str">
        <x:v>Биология</x:v>
      </x:c>
      <x:c r="H2435" s="87" t="n">
        <x:v>11</x:v>
      </x:c>
      <x:c r="I2435" s="87" t="str">
        <x:v>ТР №5</x:v>
      </x:c>
      <x:c r="J2435" s="87" t="str">
        <x:v>БИ2510501</x:v>
      </x:c>
      <x:c r="K2435" s="87" t="n">
        <x:v>11</x:v>
      </x:c>
      <x:c r="L2435" s="87" t="str">
        <x:v>Ткани растений</x:v>
      </x:c>
      <x:c r="M2435" s="30" t="str">
        <x:v>Выберите три верных ответа и запишите в таблицу цифры, под которыми они указаны. Какие структуры растений являются примерами или элементами покровных тканей? 1) пробка 2) ксилема 3) лубяные волокна 4) чечевички 5) меристема 6) эпидерма</x:v>
      </x:c>
      <x:c r="N2435" s="30" t="str">
        <x:v>146</x:v>
      </x:c>
      <x:c r="O2435" s="30" t="str">
        <x:v>Пробка и эпидерма — покровные ткани, чечевички являются элементами пробки.</x:v>
      </x:c>
      <x:c r="P2435" s="30" t="str">
        <x:v>Ответ повторно выведен из условия и проверен по биологическим закономерностям; для заданий с рисунком обозначения сверены визуально.</x:v>
      </x:c>
      <x:c r="Q2435" s="30"/>
      <x:c r="R2435" s="30" t="str">
        <x:v>Официальная таблица ответов + независимое решение</x:v>
      </x:c>
      <x:c r="S2435" s="30"/>
      <x:c r="T2435" s="30"/>
      <x:c r="U2435" s="30" t="str">
        <x:v>Расхождений не обнаружено.</x:v>
      </x:c>
      <x:c r="V2435" s="87" t="str">
        <x:v>VERIFIED</x:v>
      </x:c>
      <x:c r="W2435" s="87" t="str">
        <x:v>Официальный PDF, задание 11</x:v>
      </x:c>
      <x:c r="X2435" s="87"/>
      <x:c r="Y2435" s="87"/>
      <x:c r="Z2435" s="87"/>
      <x:c r="AA2435" s="87"/>
      <x:c r="AB2435" s="87"/>
      <x:c r="AC2435" s="87"/>
      <x:c r="AD2435" s="87"/>
      <x:c r="AE2435" s="87"/>
      <x:c r="AF2435" s="87"/>
      <x:c r="AG2435" s="87"/>
      <x:c r="AH2435" s="87"/>
      <x:c r="AI2435" s="30"/>
      <x:c r="AJ2435" s="87" t="str">
        <x:v>master</x:v>
      </x:c>
      <x:c r="AK2435" s="87" t="str">
        <x:v>master-v0.81</x:v>
      </x:c>
      <x:c r="AL2435" s="87" t="str">
        <x:v>statgrad_master_base_v0_81_final(2).xlsx</x:v>
      </x:c>
      <x:c r="AM2435" s="87" t="str">
        <x:v>BIO_Apr_V1</x:v>
      </x:c>
      <x:c r="AN2435" s="87" t="n">
        <x:v>12</x:v>
      </x:c>
    </x:row>
    <x:row r="2436">
      <x:c r="A2436" s="87" t="n">
        <x:v>2435</x:v>
      </x:c>
      <x:c r="B2436" s="87" t="str">
        <x:v>APR-BIO-V1-012</x:v>
      </x:c>
      <x:c r="C2436" s="87" t="str">
        <x:v>СтатГрад</x:v>
      </x:c>
      <x:c r="D2436" s="87" t="str">
        <x:v>Апрель 2026</x:v>
      </x:c>
      <x:c r="E2436" s="87"/>
      <x:c r="F2436" s="87"/>
      <x:c r="G2436" s="87" t="str">
        <x:v>Биология</x:v>
      </x:c>
      <x:c r="H2436" s="87" t="n">
        <x:v>11</x:v>
      </x:c>
      <x:c r="I2436" s="87" t="str">
        <x:v>ТР №5</x:v>
      </x:c>
      <x:c r="J2436" s="87" t="str">
        <x:v>БИ2510501</x:v>
      </x:c>
      <x:c r="K2436" s="87" t="n">
        <x:v>12</x:v>
      </x:c>
      <x:c r="L2436" s="87" t="str">
        <x:v>Систематика растений</x:v>
      </x:c>
      <x:c r="M2436" s="30" t="str">
        <x:v>Установите последовательность систематических групп растений, начиная с самого высокого ранга. Запишите в таблицу соответствующую последо- вательность цифр. 1) Сложноцветные 2) Растения 3) Двудольные 4) Тысячелистник арабский 5) Покрытосеменные 6) Тысячелистник</x:v>
      </x:c>
      <x:c r="N2436" s="30" t="str">
        <x:v>253164</x:v>
      </x:c>
      <x:c r="O2436" s="30" t="str">
        <x:v>Царство Растения → отдел Покрытосеменные → класс Двудольные → семейство Сложноцветные → род Тысячелистник → вид Тысячелистник арабский.</x:v>
      </x:c>
      <x:c r="P2436" s="30" t="str">
        <x:v>Ответ повторно выведен из условия и проверен по биологическим закономерностям; для заданий с рисунком обозначения сверены визуально.</x:v>
      </x:c>
      <x:c r="Q2436" s="30"/>
      <x:c r="R2436" s="30" t="str">
        <x:v>Официальная таблица ответов + независимое решение</x:v>
      </x:c>
      <x:c r="S2436" s="30"/>
      <x:c r="T2436" s="30"/>
      <x:c r="U2436" s="30" t="str">
        <x:v>Расхождений не обнаружено.</x:v>
      </x:c>
      <x:c r="V2436" s="87" t="str">
        <x:v>VERIFIED</x:v>
      </x:c>
      <x:c r="W2436" s="87" t="str">
        <x:v>Официальный PDF, задание 12</x:v>
      </x:c>
      <x:c r="X2436" s="87"/>
      <x:c r="Y2436" s="87"/>
      <x:c r="Z2436" s="87"/>
      <x:c r="AA2436" s="87"/>
      <x:c r="AB2436" s="87"/>
      <x:c r="AC2436" s="87"/>
      <x:c r="AD2436" s="87"/>
      <x:c r="AE2436" s="87"/>
      <x:c r="AF2436" s="87"/>
      <x:c r="AG2436" s="87"/>
      <x:c r="AH2436" s="87"/>
      <x:c r="AI2436" s="30"/>
      <x:c r="AJ2436" s="87" t="str">
        <x:v>master</x:v>
      </x:c>
      <x:c r="AK2436" s="87" t="str">
        <x:v>master-v0.81</x:v>
      </x:c>
      <x:c r="AL2436" s="87" t="str">
        <x:v>statgrad_master_base_v0_81_final(2).xlsx</x:v>
      </x:c>
      <x:c r="AM2436" s="87" t="str">
        <x:v>BIO_Apr_V1</x:v>
      </x:c>
      <x:c r="AN2436" s="87" t="n">
        <x:v>13</x:v>
      </x:c>
    </x:row>
    <x:row r="2437">
      <x:c r="A2437" s="87" t="n">
        <x:v>2436</x:v>
      </x:c>
      <x:c r="B2437" s="87" t="str">
        <x:v>APR-BIO-V1-013</x:v>
      </x:c>
      <x:c r="C2437" s="87" t="str">
        <x:v>СтатГрад</x:v>
      </x:c>
      <x:c r="D2437" s="87" t="str">
        <x:v>Апрель 2026</x:v>
      </x:c>
      <x:c r="E2437" s="87"/>
      <x:c r="F2437" s="87"/>
      <x:c r="G2437" s="87" t="str">
        <x:v>Биология</x:v>
      </x:c>
      <x:c r="H2437" s="87" t="n">
        <x:v>11</x:v>
      </x:c>
      <x:c r="I2437" s="87" t="str">
        <x:v>ТР №5</x:v>
      </x:c>
      <x:c r="J2437" s="87" t="str">
        <x:v>БИ2510501</x:v>
      </x:c>
      <x:c r="K2437" s="87" t="n">
        <x:v>13</x:v>
      </x:c>
      <x:c r="L2437" s="87" t="str">
        <x:v>Слуховой анализатор</x:v>
      </x:c>
      <x:c r="M2437" s="30" t="str">
        <x:v>Какой цифрой на рисунке обозначен центральный отдел слухового анализатора?</x:v>
      </x:c>
      <x:c r="N2437" s="30" t="str">
        <x:v>7</x:v>
      </x:c>
      <x:c r="O2437" s="30" t="str">
        <x:v>Центральный отдел слухового анализатора расположен в коре височной доли и обозначен цифрой 7.</x:v>
      </x:c>
      <x:c r="P2437" s="30" t="str">
        <x:v>Ответ повторно выведен из условия и проверен по биологическим закономерностям; для заданий с рисунком обозначения сверены визуально.</x:v>
      </x:c>
      <x:c r="Q2437" s="30"/>
      <x:c r="R2437" s="30" t="str">
        <x:v>Независимое решение по официальному заданию</x:v>
      </x:c>
      <x:c r="S2437" s="30"/>
      <x:c r="T2437" s="30"/>
      <x:c r="U2437" s="30" t="str">
        <x:v>Расхождений не обнаружено.</x:v>
      </x:c>
      <x:c r="V2437" s="87" t="str">
        <x:v>VERIFIED</x:v>
      </x:c>
      <x:c r="W2437" s="87" t="str">
        <x:v>Официальный PDF, задание 13</x:v>
      </x:c>
      <x:c r="X2437" s="87"/>
      <x:c r="Y2437" s="87"/>
      <x:c r="Z2437" s="87"/>
      <x:c r="AA2437" s="87"/>
      <x:c r="AB2437" s="87"/>
      <x:c r="AC2437" s="87"/>
      <x:c r="AD2437" s="87"/>
      <x:c r="AE2437" s="87"/>
      <x:c r="AF2437" s="87"/>
      <x:c r="AG2437" s="87"/>
      <x:c r="AH2437" s="87"/>
      <x:c r="AI2437" s="30"/>
      <x:c r="AJ2437" s="87" t="str">
        <x:v>master</x:v>
      </x:c>
      <x:c r="AK2437" s="87" t="str">
        <x:v>master-v0.81</x:v>
      </x:c>
      <x:c r="AL2437" s="87" t="str">
        <x:v>statgrad_master_base_v0_81_final(2).xlsx</x:v>
      </x:c>
      <x:c r="AM2437" s="87" t="str">
        <x:v>BIO_Apr_V1</x:v>
      </x:c>
      <x:c r="AN2437" s="87" t="n">
        <x:v>14</x:v>
      </x:c>
    </x:row>
    <x:row r="2438">
      <x:c r="A2438" s="87" t="n">
        <x:v>2437</x:v>
      </x:c>
      <x:c r="B2438" s="87" t="str">
        <x:v>APR-BIO-V1-014</x:v>
      </x:c>
      <x:c r="C2438" s="87" t="str">
        <x:v>СтатГрад</x:v>
      </x:c>
      <x:c r="D2438" s="87" t="str">
        <x:v>Апрель 2026</x:v>
      </x:c>
      <x:c r="E2438" s="87"/>
      <x:c r="F2438" s="87"/>
      <x:c r="G2438" s="87" t="str">
        <x:v>Биология</x:v>
      </x:c>
      <x:c r="H2438" s="87" t="n">
        <x:v>11</x:v>
      </x:c>
      <x:c r="I2438" s="87" t="str">
        <x:v>ТР №5</x:v>
      </x:c>
      <x:c r="J2438" s="87" t="str">
        <x:v>БИ2510501</x:v>
      </x:c>
      <x:c r="K2438" s="87" t="n">
        <x:v>14</x:v>
      </x:c>
      <x:c r="L2438" s="87" t="str">
        <x:v>Нервная система и органы чувств</x:v>
      </x:c>
      <x:c r="M2438" s="30" t="str">
        <x:v>Установите соответствие между характеристиками и элементами головы человека, обозначенными на рисунке цифрами 1, 2, 3: к каждой позиции, данной в первом столбце, подберите соответствующую позицию из второго столбца. ХАРАКТЕРИСТИКИ ЭЛЕМЕНТЫ А) содержит механорецепторы 1) 1 Б) образован двумя полушариями 2) 2 В) имеет в центре серое вещество 3) 3 Г) является местом отхождения черепномозговых нервов Д) покрыт бороздами и извилинами Е) расположен внутри височной кости Запишите в таблицу выбранные цифры под соответствующими буквами. А Б В Г Д Е</x:v>
      </x:c>
      <x:c r="N2438" s="30" t="str">
        <x:v>231132</x:v>
      </x:c>
      <x:c r="O2438" s="30" t="str">
        <x:v>Внутреннее ухо содержит рецепторы; мозжечок имеет два полушария и кору; продолговатый мозг содержит ядра и места выхода черепных нервов.</x:v>
      </x:c>
      <x:c r="P2438" s="30" t="str">
        <x:v>Ответ повторно выведен из условия и проверен по биологическим закономерностям; для заданий с рисунком обозначения сверены визуально.</x:v>
      </x:c>
      <x:c r="Q2438" s="30"/>
      <x:c r="R2438" s="30" t="str">
        <x:v>Официальная таблица ответов + независимое решение</x:v>
      </x:c>
      <x:c r="S2438" s="30"/>
      <x:c r="T2438" s="30"/>
      <x:c r="U2438" s="30" t="str">
        <x:v>Расхождений не обнаружено.</x:v>
      </x:c>
      <x:c r="V2438" s="87" t="str">
        <x:v>VERIFIED</x:v>
      </x:c>
      <x:c r="W2438" s="87" t="str">
        <x:v>Официальный PDF, задание 14</x:v>
      </x:c>
      <x:c r="X2438" s="87"/>
      <x:c r="Y2438" s="87"/>
      <x:c r="Z2438" s="87"/>
      <x:c r="AA2438" s="87"/>
      <x:c r="AB2438" s="87"/>
      <x:c r="AC2438" s="87"/>
      <x:c r="AD2438" s="87"/>
      <x:c r="AE2438" s="87"/>
      <x:c r="AF2438" s="87"/>
      <x:c r="AG2438" s="87"/>
      <x:c r="AH2438" s="87"/>
      <x:c r="AI2438" s="30"/>
      <x:c r="AJ2438" s="87" t="str">
        <x:v>master</x:v>
      </x:c>
      <x:c r="AK2438" s="87" t="str">
        <x:v>master-v0.81</x:v>
      </x:c>
      <x:c r="AL2438" s="87" t="str">
        <x:v>statgrad_master_base_v0_81_final(2).xlsx</x:v>
      </x:c>
      <x:c r="AM2438" s="87" t="str">
        <x:v>BIO_Apr_V1</x:v>
      </x:c>
      <x:c r="AN2438" s="87" t="n">
        <x:v>15</x:v>
      </x:c>
    </x:row>
    <x:row r="2439">
      <x:c r="A2439" s="87" t="n">
        <x:v>2438</x:v>
      </x:c>
      <x:c r="B2439" s="87" t="str">
        <x:v>APR-BIO-V1-015</x:v>
      </x:c>
      <x:c r="C2439" s="87" t="str">
        <x:v>СтатГрад</x:v>
      </x:c>
      <x:c r="D2439" s="87" t="str">
        <x:v>Апрель 2026</x:v>
      </x:c>
      <x:c r="E2439" s="87"/>
      <x:c r="F2439" s="87"/>
      <x:c r="G2439" s="87" t="str">
        <x:v>Биология</x:v>
      </x:c>
      <x:c r="H2439" s="87" t="n">
        <x:v>11</x:v>
      </x:c>
      <x:c r="I2439" s="87" t="str">
        <x:v>ТР №5</x:v>
      </x:c>
      <x:c r="J2439" s="87" t="str">
        <x:v>БИ2510501</x:v>
      </x:c>
      <x:c r="K2439" s="87" t="n">
        <x:v>15</x:v>
      </x:c>
      <x:c r="L2439" s="87" t="str">
        <x:v>Пищеварение</x:v>
      </x:c>
      <x:c r="M2439" s="30" t="str">
        <x:v>Выберите три верных ответа и запишите в таблицу цифры, под которыми они указаны. Какие вещества содержаться в слюне человека? 1) инсулин 2) лизоцим 3) амилаза 4) липаза 5) муцин 6) гемоглобин</x:v>
      </x:c>
      <x:c r="N2439" s="30" t="str">
        <x:v>235</x:v>
      </x:c>
      <x:c r="O2439" s="30" t="str">
        <x:v>Слюна содержит лизоцим, амилазу и муцин.</x:v>
      </x:c>
      <x:c r="P2439" s="30" t="str">
        <x:v>Ответ повторно выведен из условия и проверен по биологическим закономерностям; для заданий с рисунком обозначения сверены визуально.</x:v>
      </x:c>
      <x:c r="Q2439" s="30"/>
      <x:c r="R2439" s="30" t="str">
        <x:v>Официальная таблица ответов + независимое решение</x:v>
      </x:c>
      <x:c r="S2439" s="30"/>
      <x:c r="T2439" s="30"/>
      <x:c r="U2439" s="30" t="str">
        <x:v>Расхождений не обнаружено.</x:v>
      </x:c>
      <x:c r="V2439" s="87" t="str">
        <x:v>VERIFIED</x:v>
      </x:c>
      <x:c r="W2439" s="87" t="str">
        <x:v>Официальный PDF, задание 15</x:v>
      </x:c>
      <x:c r="X2439" s="87"/>
      <x:c r="Y2439" s="87"/>
      <x:c r="Z2439" s="87"/>
      <x:c r="AA2439" s="87"/>
      <x:c r="AB2439" s="87"/>
      <x:c r="AC2439" s="87"/>
      <x:c r="AD2439" s="87"/>
      <x:c r="AE2439" s="87"/>
      <x:c r="AF2439" s="87"/>
      <x:c r="AG2439" s="87"/>
      <x:c r="AH2439" s="87"/>
      <x:c r="AI2439" s="30"/>
      <x:c r="AJ2439" s="87" t="str">
        <x:v>master</x:v>
      </x:c>
      <x:c r="AK2439" s="87" t="str">
        <x:v>master-v0.81</x:v>
      </x:c>
      <x:c r="AL2439" s="87" t="str">
        <x:v>statgrad_master_base_v0_81_final(2).xlsx</x:v>
      </x:c>
      <x:c r="AM2439" s="87" t="str">
        <x:v>BIO_Apr_V1</x:v>
      </x:c>
      <x:c r="AN2439" s="87" t="n">
        <x:v>16</x:v>
      </x:c>
    </x:row>
    <x:row r="2440">
      <x:c r="A2440" s="87" t="n">
        <x:v>2439</x:v>
      </x:c>
      <x:c r="B2440" s="87" t="str">
        <x:v>APR-BIO-V1-016</x:v>
      </x:c>
      <x:c r="C2440" s="87" t="str">
        <x:v>СтатГрад</x:v>
      </x:c>
      <x:c r="D2440" s="87" t="str">
        <x:v>Апрель 2026</x:v>
      </x:c>
      <x:c r="E2440" s="87"/>
      <x:c r="F2440" s="87"/>
      <x:c r="G2440" s="87" t="str">
        <x:v>Биология</x:v>
      </x:c>
      <x:c r="H2440" s="87" t="n">
        <x:v>11</x:v>
      </x:c>
      <x:c r="I2440" s="87" t="str">
        <x:v>ТР №5</x:v>
      </x:c>
      <x:c r="J2440" s="87" t="str">
        <x:v>БИ2510501</x:v>
      </x:c>
      <x:c r="K2440" s="87" t="n">
        <x:v>16</x:v>
      </x:c>
      <x:c r="L2440" s="87" t="str">
        <x:v>Скелет человека</x:v>
      </x:c>
      <x:c r="M2440" s="30" t="str">
        <x:v>Установите последовательность элементов скелета человека, начиная с нижних конечностей. Запишите в таблицу соответствующую последовательность цифр. 1) атлант 2) крестец 3) наковальня 4) берцовая кость 5) лопатка</x:v>
      </x:c>
      <x:c r="N2440" s="30" t="str">
        <x:v>42513</x:v>
      </x:c>
      <x:c r="O2440" s="30" t="str">
        <x:v>Снизу вверх: берцовая кость → крестец → лопатка → атлант → наковальня.</x:v>
      </x:c>
      <x:c r="P2440" s="30" t="str">
        <x:v>Ответ повторно выведен из условия и проверен по биологическим закономерностям; для заданий с рисунком обозначения сверены визуально.</x:v>
      </x:c>
      <x:c r="Q2440" s="30"/>
      <x:c r="R2440" s="30" t="str">
        <x:v>Официальная таблица ответов + независимое решение</x:v>
      </x:c>
      <x:c r="S2440" s="30"/>
      <x:c r="T2440" s="30"/>
      <x:c r="U2440" s="30" t="str">
        <x:v>Расхождений не обнаружено.</x:v>
      </x:c>
      <x:c r="V2440" s="87" t="str">
        <x:v>VERIFIED</x:v>
      </x:c>
      <x:c r="W2440" s="87" t="str">
        <x:v>Официальный PDF, задание 16</x:v>
      </x:c>
      <x:c r="X2440" s="87"/>
      <x:c r="Y2440" s="87"/>
      <x:c r="Z2440" s="87"/>
      <x:c r="AA2440" s="87"/>
      <x:c r="AB2440" s="87"/>
      <x:c r="AC2440" s="87"/>
      <x:c r="AD2440" s="87"/>
      <x:c r="AE2440" s="87"/>
      <x:c r="AF2440" s="87"/>
      <x:c r="AG2440" s="87"/>
      <x:c r="AH2440" s="87"/>
      <x:c r="AI2440" s="30"/>
      <x:c r="AJ2440" s="87" t="str">
        <x:v>master</x:v>
      </x:c>
      <x:c r="AK2440" s="87" t="str">
        <x:v>master-v0.81</x:v>
      </x:c>
      <x:c r="AL2440" s="87" t="str">
        <x:v>statgrad_master_base_v0_81_final(2).xlsx</x:v>
      </x:c>
      <x:c r="AM2440" s="87" t="str">
        <x:v>BIO_Apr_V1</x:v>
      </x:c>
      <x:c r="AN2440" s="87" t="n">
        <x:v>17</x:v>
      </x:c>
    </x:row>
    <x:row r="2441">
      <x:c r="A2441" s="87" t="n">
        <x:v>2440</x:v>
      </x:c>
      <x:c r="B2441" s="87" t="str">
        <x:v>APR-BIO-V1-017</x:v>
      </x:c>
      <x:c r="C2441" s="87" t="str">
        <x:v>СтатГрад</x:v>
      </x:c>
      <x:c r="D2441" s="87" t="str">
        <x:v>Апрель 2026</x:v>
      </x:c>
      <x:c r="E2441" s="87"/>
      <x:c r="F2441" s="87"/>
      <x:c r="G2441" s="87" t="str">
        <x:v>Биология</x:v>
      </x:c>
      <x:c r="H2441" s="87" t="n">
        <x:v>11</x:v>
      </x:c>
      <x:c r="I2441" s="87" t="str">
        <x:v>ТР №5</x:v>
      </x:c>
      <x:c r="J2441" s="87" t="str">
        <x:v>БИ2510501</x:v>
      </x:c>
      <x:c r="K2441" s="87" t="n">
        <x:v>17</x:v>
      </x:c>
      <x:c r="L2441" s="87" t="str">
        <x:v>Доказательства эволюции</x:v>
      </x:c>
      <x:c r="M2441" s="30" t="str">
        <x:v>Прочитайте текст. Выберите три предложения, в которых даны примеры атавизмов. Запишите в таблицу цифры, под которыми они указаны. (1)У предков птиц были зубы, однако у современных видов они отсутствуют. (2)В редких случаях у кур могут развиваться зачатки зубов. (3)У предков современных китообразных были хорошо развиты задние конечности. (4)До сих пор можно встретить китов или дельфинов, родившихся с недоразвитыми ногами. (5)Представители крупного рогатого скота порой рождаются с дополнительными сосками. (6)А у всех свиней сохраняются боковые пальцы, которые не участвуют в передвижении и являются остатками более развитой конечности их предков.</x:v>
      </x:c>
      <x:c r="N2441" s="30" t="str">
        <x:v>245</x:v>
      </x:c>
      <x:c r="O2441" s="30" t="str">
        <x:v>Атавизмы — редкое появление признаков предков: зубы у кур, задние конечности у китообразных и дополнительные соски у скота.</x:v>
      </x:c>
      <x:c r="P2441" s="30" t="str">
        <x:v>Ответ повторно выведен из условия и проверен по биологическим закономерностям; для заданий с рисунком обозначения сверены визуально.</x:v>
      </x:c>
      <x:c r="Q2441" s="30"/>
      <x:c r="R2441" s="30" t="str">
        <x:v>Официальная таблица ответов + независимое решение</x:v>
      </x:c>
      <x:c r="S2441" s="30"/>
      <x:c r="T2441" s="30"/>
      <x:c r="U2441" s="30" t="str">
        <x:v>Расхождений не обнаружено.</x:v>
      </x:c>
      <x:c r="V2441" s="87" t="str">
        <x:v>VERIFIED</x:v>
      </x:c>
      <x:c r="W2441" s="87" t="str">
        <x:v>Официальный PDF, задание 17</x:v>
      </x:c>
      <x:c r="X2441" s="87"/>
      <x:c r="Y2441" s="87"/>
      <x:c r="Z2441" s="87"/>
      <x:c r="AA2441" s="87"/>
      <x:c r="AB2441" s="87"/>
      <x:c r="AC2441" s="87"/>
      <x:c r="AD2441" s="87"/>
      <x:c r="AE2441" s="87"/>
      <x:c r="AF2441" s="87"/>
      <x:c r="AG2441" s="87"/>
      <x:c r="AH2441" s="87"/>
      <x:c r="AI2441" s="30"/>
      <x:c r="AJ2441" s="87" t="str">
        <x:v>master</x:v>
      </x:c>
      <x:c r="AK2441" s="87" t="str">
        <x:v>master-v0.81</x:v>
      </x:c>
      <x:c r="AL2441" s="87" t="str">
        <x:v>statgrad_master_base_v0_81_final(2).xlsx</x:v>
      </x:c>
      <x:c r="AM2441" s="87" t="str">
        <x:v>BIO_Apr_V1</x:v>
      </x:c>
      <x:c r="AN2441" s="87" t="n">
        <x:v>18</x:v>
      </x:c>
    </x:row>
    <x:row r="2442">
      <x:c r="A2442" s="87" t="n">
        <x:v>2441</x:v>
      </x:c>
      <x:c r="B2442" s="87" t="str">
        <x:v>APR-BIO-V1-018</x:v>
      </x:c>
      <x:c r="C2442" s="87" t="str">
        <x:v>СтатГрад</x:v>
      </x:c>
      <x:c r="D2442" s="87" t="str">
        <x:v>Апрель 2026</x:v>
      </x:c>
      <x:c r="E2442" s="87"/>
      <x:c r="F2442" s="87"/>
      <x:c r="G2442" s="87" t="str">
        <x:v>Биология</x:v>
      </x:c>
      <x:c r="H2442" s="87" t="n">
        <x:v>11</x:v>
      </x:c>
      <x:c r="I2442" s="87" t="str">
        <x:v>ТР №5</x:v>
      </x:c>
      <x:c r="J2442" s="87" t="str">
        <x:v>БИ2510501</x:v>
      </x:c>
      <x:c r="K2442" s="87" t="n">
        <x:v>18</x:v>
      </x:c>
      <x:c r="L2442" s="87" t="str">
        <x:v>Трофические уровни</x:v>
      </x:c>
      <x:c r="M2442" s="30" t="str">
        <x:v>Выберите три верных ответа и запишите в таблицу цифры, под которыми они указаны. Консументами второго порядка могут являться 1) паук-крестовик 2) ёж 3) бабочка-капустница 4) майский жук 5) божья коровка 6) жираф</x:v>
      </x:c>
      <x:c r="N2442" s="30" t="str">
        <x:v>125</x:v>
      </x:c>
      <x:c r="O2442" s="30" t="str">
        <x:v>Паук, ёж и божья коровка могут питаться первичными консументами и выступать консументами второго порядка.</x:v>
      </x:c>
      <x:c r="P2442" s="30" t="str">
        <x:v>Ответ повторно выведен из условия и проверен по биологическим закономерностям; для заданий с рисунком обозначения сверены визуально.</x:v>
      </x:c>
      <x:c r="Q2442" s="30"/>
      <x:c r="R2442" s="30" t="str">
        <x:v>Официальная таблица ответов + независимое решение</x:v>
      </x:c>
      <x:c r="S2442" s="30"/>
      <x:c r="T2442" s="30"/>
      <x:c r="U2442" s="30" t="str">
        <x:v>Расхождений не обнаружено.</x:v>
      </x:c>
      <x:c r="V2442" s="87" t="str">
        <x:v>VERIFIED</x:v>
      </x:c>
      <x:c r="W2442" s="87" t="str">
        <x:v>Официальный PDF, задание 18</x:v>
      </x:c>
      <x:c r="X2442" s="87"/>
      <x:c r="Y2442" s="87"/>
      <x:c r="Z2442" s="87"/>
      <x:c r="AA2442" s="87"/>
      <x:c r="AB2442" s="87"/>
      <x:c r="AC2442" s="87"/>
      <x:c r="AD2442" s="87"/>
      <x:c r="AE2442" s="87"/>
      <x:c r="AF2442" s="87"/>
      <x:c r="AG2442" s="87"/>
      <x:c r="AH2442" s="87"/>
      <x:c r="AI2442" s="30"/>
      <x:c r="AJ2442" s="87" t="str">
        <x:v>master</x:v>
      </x:c>
      <x:c r="AK2442" s="87" t="str">
        <x:v>master-v0.81</x:v>
      </x:c>
      <x:c r="AL2442" s="87" t="str">
        <x:v>statgrad_master_base_v0_81_final(2).xlsx</x:v>
      </x:c>
      <x:c r="AM2442" s="87" t="str">
        <x:v>BIO_Apr_V1</x:v>
      </x:c>
      <x:c r="AN2442" s="87" t="n">
        <x:v>19</x:v>
      </x:c>
    </x:row>
    <x:row r="2443">
      <x:c r="A2443" s="87" t="n">
        <x:v>2442</x:v>
      </x:c>
      <x:c r="B2443" s="87" t="str">
        <x:v>APR-BIO-V1-019</x:v>
      </x:c>
      <x:c r="C2443" s="87" t="str">
        <x:v>СтатГрад</x:v>
      </x:c>
      <x:c r="D2443" s="87" t="str">
        <x:v>Апрель 2026</x:v>
      </x:c>
      <x:c r="E2443" s="87"/>
      <x:c r="F2443" s="87"/>
      <x:c r="G2443" s="87" t="str">
        <x:v>Биология</x:v>
      </x:c>
      <x:c r="H2443" s="87" t="n">
        <x:v>11</x:v>
      </x:c>
      <x:c r="I2443" s="87" t="str">
        <x:v>ТР №5</x:v>
      </x:c>
      <x:c r="J2443" s="87" t="str">
        <x:v>БИ2510501</x:v>
      </x:c>
      <x:c r="K2443" s="87" t="n">
        <x:v>19</x:v>
      </x:c>
      <x:c r="L2443" s="87" t="str">
        <x:v>Направления эволюции</x:v>
      </x:c>
      <x:c r="M2443" s="30" t="str">
        <x:v>Установите соответствие между примерами и путями эволюции: к каждой позиции, данной в первом столбце, подберите соответствующую позицию из второго столбца. ПРИМЕРЫ ПУТИ ЭВОЛЮЦИИ А) грудная клетка у рептилий 1) ароморфоз Б) брюшная и ротовая присоски у сосальщиков 2) идиоадаптация В) яркая окраска у попугаев Г) рычажные конечности у земноводных Д) хитиновый панцирь у членистоногих Е) крупные клыки у хищных млекопитающих Запишите в таблицу выбранные цифры под соответствующими буквами. А Б В Г Д Е</x:v>
      </x:c>
      <x:c r="N2443" s="30" t="str">
        <x:v>122112</x:v>
      </x:c>
      <x:c r="O2443" s="30" t="str">
        <x:v>Грудная клетка рептилий, рычажные конечности земноводных и хитиновый покров — крупные прогрессивные изменения; остальные признаки — частные приспособления.</x:v>
      </x:c>
      <x:c r="P2443" s="30" t="str">
        <x:v>Ответ повторно выведен из условия и проверен по биологическим закономерностям; для заданий с рисунком обозначения сверены визуально.</x:v>
      </x:c>
      <x:c r="Q2443" s="30"/>
      <x:c r="R2443" s="30" t="str">
        <x:v>Официальная таблица ответов + независимое решение</x:v>
      </x:c>
      <x:c r="S2443" s="30"/>
      <x:c r="T2443" s="30"/>
      <x:c r="U2443" s="30" t="str">
        <x:v>Расхождений не обнаружено.</x:v>
      </x:c>
      <x:c r="V2443" s="87" t="str">
        <x:v>VERIFIED</x:v>
      </x:c>
      <x:c r="W2443" s="87" t="str">
        <x:v>Официальный PDF, задание 19</x:v>
      </x:c>
      <x:c r="X2443" s="87"/>
      <x:c r="Y2443" s="87"/>
      <x:c r="Z2443" s="87"/>
      <x:c r="AA2443" s="87"/>
      <x:c r="AB2443" s="87"/>
      <x:c r="AC2443" s="87"/>
      <x:c r="AD2443" s="87"/>
      <x:c r="AE2443" s="87"/>
      <x:c r="AF2443" s="87"/>
      <x:c r="AG2443" s="87"/>
      <x:c r="AH2443" s="87"/>
      <x:c r="AI2443" s="30"/>
      <x:c r="AJ2443" s="87" t="str">
        <x:v>master</x:v>
      </x:c>
      <x:c r="AK2443" s="87" t="str">
        <x:v>master-v0.81</x:v>
      </x:c>
      <x:c r="AL2443" s="87" t="str">
        <x:v>statgrad_master_base_v0_81_final(2).xlsx</x:v>
      </x:c>
      <x:c r="AM2443" s="87" t="str">
        <x:v>BIO_Apr_V1</x:v>
      </x:c>
      <x:c r="AN2443" s="87" t="n">
        <x:v>20</x:v>
      </x:c>
    </x:row>
    <x:row r="2444">
      <x:c r="A2444" s="87" t="n">
        <x:v>2443</x:v>
      </x:c>
      <x:c r="B2444" s="87" t="str">
        <x:v>APR-BIO-V1-020</x:v>
      </x:c>
      <x:c r="C2444" s="87" t="str">
        <x:v>СтатГрад</x:v>
      </x:c>
      <x:c r="D2444" s="87" t="str">
        <x:v>Апрель 2026</x:v>
      </x:c>
      <x:c r="E2444" s="87"/>
      <x:c r="F2444" s="87"/>
      <x:c r="G2444" s="87" t="str">
        <x:v>Биология</x:v>
      </x:c>
      <x:c r="H2444" s="87" t="n">
        <x:v>11</x:v>
      </x:c>
      <x:c r="I2444" s="87" t="str">
        <x:v>ТР №5</x:v>
      </x:c>
      <x:c r="J2444" s="87" t="str">
        <x:v>БИ2510501</x:v>
      </x:c>
      <x:c r="K2444" s="87" t="n">
        <x:v>20</x:v>
      </x:c>
      <x:c r="L2444" s="87" t="str">
        <x:v>Сукцессия</x:v>
      </x:c>
      <x:c r="M2444" s="30" t="str">
        <x:v>Рассмотрите сукцессию, изображённую на рисунке.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Тип сукцессии Пионерное сообщество Климаксное сообщество __________________(А) ___________________(Б) ___________________(В) Список элементов 1) лишайники 2) рябина и крушина 3) грибы 4) вторичная 5) луговые травы 6) хвощи и папоротники 7) первичная 8) хвойные породы Запишите в таблицу выбранные цифры под соответствующими буквами. А Б В</x:v>
      </x:c>
      <x:c r="N2444" s="30" t="str">
        <x:v>718</x:v>
      </x:c>
      <x:c r="O2444" s="30" t="str">
        <x:v>Зарастание голого субстрата — первичная сукцессия: пионеры лишайники, климакс — хвойный лес.</x:v>
      </x:c>
      <x:c r="P2444" s="30" t="str">
        <x:v>Ответ повторно выведен из условия и проверен по биологическим закономерностям; для заданий с рисунком обозначения сверены визуально.</x:v>
      </x:c>
      <x:c r="Q2444" s="30"/>
      <x:c r="R2444" s="30" t="str">
        <x:v>Официальная таблица ответов + независимое решение</x:v>
      </x:c>
      <x:c r="S2444" s="30"/>
      <x:c r="T2444" s="30"/>
      <x:c r="U2444" s="30" t="str">
        <x:v>Расхождений не обнаружено.</x:v>
      </x:c>
      <x:c r="V2444" s="87" t="str">
        <x:v>VERIFIED</x:v>
      </x:c>
      <x:c r="W2444" s="87" t="str">
        <x:v>Официальный PDF, задание 20</x:v>
      </x:c>
      <x:c r="X2444" s="87"/>
      <x:c r="Y2444" s="87"/>
      <x:c r="Z2444" s="87"/>
      <x:c r="AA2444" s="87"/>
      <x:c r="AB2444" s="87"/>
      <x:c r="AC2444" s="87"/>
      <x:c r="AD2444" s="87"/>
      <x:c r="AE2444" s="87"/>
      <x:c r="AF2444" s="87"/>
      <x:c r="AG2444" s="87"/>
      <x:c r="AH2444" s="87"/>
      <x:c r="AI2444" s="30"/>
      <x:c r="AJ2444" s="87" t="str">
        <x:v>master</x:v>
      </x:c>
      <x:c r="AK2444" s="87" t="str">
        <x:v>master-v0.81</x:v>
      </x:c>
      <x:c r="AL2444" s="87" t="str">
        <x:v>statgrad_master_base_v0_81_final(2).xlsx</x:v>
      </x:c>
      <x:c r="AM2444" s="87" t="str">
        <x:v>BIO_Apr_V1</x:v>
      </x:c>
      <x:c r="AN2444" s="87" t="n">
        <x:v>21</x:v>
      </x:c>
    </x:row>
    <x:row r="2445">
      <x:c r="A2445" s="87" t="n">
        <x:v>2444</x:v>
      </x:c>
      <x:c r="B2445" s="87" t="str">
        <x:v>APR-BIO-V1-021</x:v>
      </x:c>
      <x:c r="C2445" s="87" t="str">
        <x:v>СтатГрад</x:v>
      </x:c>
      <x:c r="D2445" s="87" t="str">
        <x:v>Апрель 2026</x:v>
      </x:c>
      <x:c r="E2445" s="87"/>
      <x:c r="F2445" s="87"/>
      <x:c r="G2445" s="87" t="str">
        <x:v>Биология</x:v>
      </x:c>
      <x:c r="H2445" s="87" t="n">
        <x:v>11</x:v>
      </x:c>
      <x:c r="I2445" s="87" t="str">
        <x:v>ТР №5</x:v>
      </x:c>
      <x:c r="J2445" s="87" t="str">
        <x:v>БИ2510501</x:v>
      </x:c>
      <x:c r="K2445" s="87" t="n">
        <x:v>21</x:v>
      </x:c>
      <x:c r="L2445" s="87" t="str">
        <x:v>Анализ таблицы</x:v>
      </x:c>
      <x:c r="M2445" s="30" t="str">
        <x:v>Проанализируйте таблицу «Распределение пациентов, поступивших в больницу с открытыми переломами, по локализации травмы, возрасту и полу». Локализация пол возраст всего перелома М Ж 10–17 18–59 &gt; 60 абс. % Плечо 100 64 26 134 4 164 5,2 Предплечье 261 190 38 392 21 451 14,3 Бедро 254 106 30 326 4 360 11,4 Голень 895 270 102 1045 18 1165 36,9 Множественные 774 152 90 794 12 896 28,4 переломы Огнестрельные 116 4 4 114 2 120 3,8 переломы Всего 2367 789 290 2805 61 3156 100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Из-за снижения выработки коллагена риск переломов у пожилых людей выше, чем у молодых. 2) Число пациентов с открытыми переломами ног более, чем в два раза превышает число пациентов с открытыми переломами рук. 3) Самый распространённый вариант открытого перелома в подростковом возрасте – это перелом голени. 4) Вероятность получения множественных переломов одинакова в любом возрасте. 5) Максимальная вероятность летального исхода наблюдается при огнестрельных переломах.</x:v>
      </x:c>
      <x:c r="N2445" s="30" t="str">
        <x:v>23</x:v>
      </x:c>
      <x:c r="O2445" s="30" t="str">
        <x:v>Из таблицы следуют утверждения о преобладании переломов ног над переломами рук и о максимуме подростковых переломов голени.</x:v>
      </x:c>
      <x:c r="P2445" s="30" t="str">
        <x:v>Ответ повторно выведен из условия и проверен по биологическим закономерностям; для заданий с рисунком обозначения сверены визуально.</x:v>
      </x:c>
      <x:c r="Q2445" s="30"/>
      <x:c r="R2445" s="30" t="str">
        <x:v>Официальная таблица ответов + независимое решение</x:v>
      </x:c>
      <x:c r="S2445" s="30"/>
      <x:c r="T2445" s="30"/>
      <x:c r="U2445" s="30" t="str">
        <x:v>Расхождений не обнаружено.</x:v>
      </x:c>
      <x:c r="V2445" s="87" t="str">
        <x:v>VERIFIED</x:v>
      </x:c>
      <x:c r="W2445" s="87" t="str">
        <x:v>Официальный PDF, задание 21</x:v>
      </x:c>
      <x:c r="X2445" s="87"/>
      <x:c r="Y2445" s="87"/>
      <x:c r="Z2445" s="87"/>
      <x:c r="AA2445" s="87"/>
      <x:c r="AB2445" s="87"/>
      <x:c r="AC2445" s="87"/>
      <x:c r="AD2445" s="87"/>
      <x:c r="AE2445" s="87"/>
      <x:c r="AF2445" s="87"/>
      <x:c r="AG2445" s="87"/>
      <x:c r="AH2445" s="87"/>
      <x:c r="AI2445" s="30"/>
      <x:c r="AJ2445" s="87" t="str">
        <x:v>master</x:v>
      </x:c>
      <x:c r="AK2445" s="87" t="str">
        <x:v>master-v0.81</x:v>
      </x:c>
      <x:c r="AL2445" s="87" t="str">
        <x:v>statgrad_master_base_v0_81_final(2).xlsx</x:v>
      </x:c>
      <x:c r="AM2445" s="87" t="str">
        <x:v>BIO_Apr_V1</x:v>
      </x:c>
      <x:c r="AN2445" s="87" t="n">
        <x:v>22</x:v>
      </x:c>
    </x:row>
    <x:row r="2446">
      <x:c r="A2446" s="87" t="n">
        <x:v>2445</x:v>
      </x:c>
      <x:c r="B2446" s="87" t="str">
        <x:v>APR-BIO-V1-022</x:v>
      </x:c>
      <x:c r="C2446" s="87" t="str">
        <x:v>СтатГрад</x:v>
      </x:c>
      <x:c r="D2446" s="87" t="str">
        <x:v>Апрель 2026</x:v>
      </x:c>
      <x:c r="E2446" s="87"/>
      <x:c r="F2446" s="87"/>
      <x:c r="G2446" s="87" t="str">
        <x:v>Биология</x:v>
      </x:c>
      <x:c r="H2446" s="87" t="n">
        <x:v>11</x:v>
      </x:c>
      <x:c r="I2446" s="87" t="str">
        <x:v>ТР №5</x:v>
      </x:c>
      <x:c r="J2446" s="87" t="str">
        <x:v>БИ2510501</x:v>
      </x:c>
      <x:c r="K2446" s="87" t="n">
        <x:v>22</x:v>
      </x:c>
      <x:c r="L2446" s="87" t="str">
        <x:v>Развёрнутый ответ: эксперимент</x:v>
      </x:c>
      <x:c r="M2446" s="30" t="str">
        <x:v>Какую нулевую гипотезу* можно сформулировать перед постановкой эксперимента? Почему в эксперименте использовали только один штамм бактерий? Почему результаты эксперимента могут быть недостоверными, если выращивать саженцы в помещении, где температура колеблется в диапазоне 15–30оС в зависимости от времени суток? *Нулевая гипотеза – принимаемое по умолчанию предположение о том, что не существует связи между двумя наблюдаемыми событиями, феноменами.</x:v>
      </x:c>
      <x:c r="N2446" s="30" t="str">
        <x:v>Нулевая гипотеза: наличие нитратов не влияет на диаметр клубеньков. Использование одного штамма исключает различия реакции штаммов и их влияния на рост клубеньков. Колебания температуры меняют метаболизм бактерий и растения, поэтому влияние нитратов нельзя отделить от температурного фактора.</x:v>
      </x:c>
      <x:c r="O2446" s="30" t="str">
        <x:v>Нулевая гипотеза: наличие нитратов не влияет на диаметр клубеньков. Использование одного штамма исключает различия реакции штаммов и их влияния на рост клубеньков. Колебания температуры меняют метаболизм бактерий и растения, поэтому влияние нитратов нельзя отделить от температурного фактора.</x:v>
      </x:c>
      <x:c r="P2446" s="30" t="str">
        <x:v>Все обязательные смысловые элементы сопоставлены с официальными критериями оценивания.</x:v>
      </x:c>
      <x:c r="Q2446" s="30"/>
      <x:c r="R2446" s="30" t="str">
        <x:v>Официальные критерии СтатГрад</x:v>
      </x:c>
      <x:c r="S2446" s="30"/>
      <x:c r="T2446" s="30"/>
      <x:c r="U2446" s="30" t="str">
        <x:v>Расхождений не обнаружено.</x:v>
      </x:c>
      <x:c r="V2446" s="87" t="str">
        <x:v>VERIFIED</x:v>
      </x:c>
      <x:c r="W2446" s="87" t="str">
        <x:v>Официальный PDF, задание 22</x:v>
      </x:c>
      <x:c r="X2446" s="87"/>
      <x:c r="Y2446" s="87"/>
      <x:c r="Z2446" s="87"/>
      <x:c r="AA2446" s="87"/>
      <x:c r="AB2446" s="87"/>
      <x:c r="AC2446" s="87"/>
      <x:c r="AD2446" s="87"/>
      <x:c r="AE2446" s="87"/>
      <x:c r="AF2446" s="87"/>
      <x:c r="AG2446" s="87"/>
      <x:c r="AH2446" s="87"/>
      <x:c r="AI2446" s="30"/>
      <x:c r="AJ2446" s="87" t="str">
        <x:v>master</x:v>
      </x:c>
      <x:c r="AK2446" s="87" t="str">
        <x:v>master-v0.81</x:v>
      </x:c>
      <x:c r="AL2446" s="87" t="str">
        <x:v>statgrad_master_base_v0_81_final(2).xlsx</x:v>
      </x:c>
      <x:c r="AM2446" s="87" t="str">
        <x:v>BIO_Apr_V1</x:v>
      </x:c>
      <x:c r="AN2446" s="87" t="n">
        <x:v>23</x:v>
      </x:c>
    </x:row>
    <x:row r="2447">
      <x:c r="A2447" s="87" t="n">
        <x:v>2446</x:v>
      </x:c>
      <x:c r="B2447" s="87" t="str">
        <x:v>APR-BIO-V1-023</x:v>
      </x:c>
      <x:c r="C2447" s="87" t="str">
        <x:v>СтатГрад</x:v>
      </x:c>
      <x:c r="D2447" s="87" t="str">
        <x:v>Апрель 2026</x:v>
      </x:c>
      <x:c r="E2447" s="87"/>
      <x:c r="F2447" s="87"/>
      <x:c r="G2447" s="87" t="str">
        <x:v>Биология</x:v>
      </x:c>
      <x:c r="H2447" s="87" t="n">
        <x:v>11</x:v>
      </x:c>
      <x:c r="I2447" s="87" t="str">
        <x:v>ТР №5</x:v>
      </x:c>
      <x:c r="J2447" s="87" t="str">
        <x:v>БИ2510501</x:v>
      </x:c>
      <x:c r="K2447" s="87" t="n">
        <x:v>23</x:v>
      </x:c>
      <x:c r="L2447" s="87" t="str">
        <x:v>Развёрнутый ответ: симбиоз</x:v>
      </x:c>
      <x:c r="M2447" s="30" t="str">
        <x:v>Как называется тип взаимодействия между соей и клубеньковыми бактериями? Какое значение имеет это взаимодействие для сои? Дайте аргументированный ответ. Сделайте вывод по результатам эксперимента, как и почему нитраты влияют на диаметр клубеньков у сои.</x:v>
      </x:c>
      <x:c r="N2447" s="30" t="str">
        <x:v>Взаимодействие — мутуализм (симбиоз). Бактерии фиксируют атмосферный азот и переводят его в доступные растению соединения. Нитраты замедляют рост клубеньков: соя получает азот из раствора и не расходует ресурсы на клубеньки; возможно также прямое подавление бактерий нитратами.</x:v>
      </x:c>
      <x:c r="O2447" s="30" t="str">
        <x:v>Взаимодействие — мутуализм (симбиоз). Бактерии фиксируют атмосферный азот и переводят его в доступные растению соединения. Нитраты замедляют рост клубеньков: соя получает азот из раствора и не расходует ресурсы на клубеньки; возможно также прямое подавление бактерий нитратами.</x:v>
      </x:c>
      <x:c r="P2447" s="30" t="str">
        <x:v>Все обязательные смысловые элементы сопоставлены с официальными критериями оценивания.</x:v>
      </x:c>
      <x:c r="Q2447" s="30"/>
      <x:c r="R2447" s="30" t="str">
        <x:v>Официальные критерии СтатГрад</x:v>
      </x:c>
      <x:c r="S2447" s="30"/>
      <x:c r="T2447" s="30"/>
      <x:c r="U2447" s="30" t="str">
        <x:v>Расхождений не обнаружено.</x:v>
      </x:c>
      <x:c r="V2447" s="87" t="str">
        <x:v>VERIFIED</x:v>
      </x:c>
      <x:c r="W2447" s="87" t="str">
        <x:v>Официальный PDF, задание 23</x:v>
      </x:c>
      <x:c r="X2447" s="87"/>
      <x:c r="Y2447" s="87"/>
      <x:c r="Z2447" s="87"/>
      <x:c r="AA2447" s="87"/>
      <x:c r="AB2447" s="87"/>
      <x:c r="AC2447" s="87"/>
      <x:c r="AD2447" s="87"/>
      <x:c r="AE2447" s="87"/>
      <x:c r="AF2447" s="87"/>
      <x:c r="AG2447" s="87"/>
      <x:c r="AH2447" s="87"/>
      <x:c r="AI2447" s="30"/>
      <x:c r="AJ2447" s="87" t="str">
        <x:v>master</x:v>
      </x:c>
      <x:c r="AK2447" s="87" t="str">
        <x:v>master-v0.81</x:v>
      </x:c>
      <x:c r="AL2447" s="87" t="str">
        <x:v>statgrad_master_base_v0_81_final(2).xlsx</x:v>
      </x:c>
      <x:c r="AM2447" s="87" t="str">
        <x:v>BIO_Apr_V1</x:v>
      </x:c>
      <x:c r="AN2447" s="87" t="n">
        <x:v>24</x:v>
      </x:c>
    </x:row>
    <x:row r="2448">
      <x:c r="A2448" s="87" t="n">
        <x:v>2447</x:v>
      </x:c>
      <x:c r="B2448" s="87" t="str">
        <x:v>APR-BIO-V1-024</x:v>
      </x:c>
      <x:c r="C2448" s="87" t="str">
        <x:v>СтатГрад</x:v>
      </x:c>
      <x:c r="D2448" s="87" t="str">
        <x:v>Апрель 2026</x:v>
      </x:c>
      <x:c r="E2448" s="87"/>
      <x:c r="F2448" s="87"/>
      <x:c r="G2448" s="87" t="str">
        <x:v>Биология</x:v>
      </x:c>
      <x:c r="H2448" s="87" t="n">
        <x:v>11</x:v>
      </x:c>
      <x:c r="I2448" s="87" t="str">
        <x:v>ТР №5</x:v>
      </x:c>
      <x:c r="J2448" s="87" t="str">
        <x:v>БИ2510501</x:v>
      </x:c>
      <x:c r="K2448" s="87" t="n">
        <x:v>24</x:v>
      </x:c>
      <x:c r="L2448" s="87" t="str">
        <x:v>Развёрнутый ответ: биология и рисунок</x:v>
      </x:c>
      <x:c r="M2448" s="30" t="str">
        <x:v>Какой тип мутации изображён на рисунке? Ответ поясните. Какой метод генетики позволяет диагностировать наличие у человека подобного вида мутации? Перечислите две ситуации, при которых изображённая мутация не повлияет на фенотип организма.</x:v>
      </x:c>
      <x:c r="N2448" s="30" t="str">
        <x:v>Изображена генная точковая миссенс-мутация: замена нуклеотида приводит к замене аминокислоты. Диагностика — секвенирование (биохимический/молекулярно-генетический метод). Фенотип может не измениться, например, при замене вне функционально значимого участка белка, при рецессивности мутации и наличии нормального аллеля, отсутствии экспрессии в данной ткани или замене на сходную аминокислоту.</x:v>
      </x:c>
      <x:c r="O2448" s="30" t="str">
        <x:v>Изображена генная точковая миссенс-мутация: замена нуклеотида приводит к замене аминокислоты. Диагностика — секвенирование (биохимический/молекулярно-генетический метод). Фенотип может не измениться, например, при замене вне функционально значимого участка белка, при рецессивности мутации и наличии нормального аллеля, отсутствии экспрессии в данной ткани или замене на сходную аминокислоту.</x:v>
      </x:c>
      <x:c r="P2448" s="30" t="str">
        <x:v>Все обязательные смысловые элементы сопоставлены с официальными критериями оценивания.</x:v>
      </x:c>
      <x:c r="Q2448" s="30"/>
      <x:c r="R2448" s="30" t="str">
        <x:v>Официальные критерии СтатГрад</x:v>
      </x:c>
      <x:c r="S2448" s="30"/>
      <x:c r="T2448" s="30"/>
      <x:c r="U2448" s="30" t="str">
        <x:v>Расхождений не обнаружено.</x:v>
      </x:c>
      <x:c r="V2448" s="87" t="str">
        <x:v>VERIFIED</x:v>
      </x:c>
      <x:c r="W2448" s="87" t="str">
        <x:v>Официальный PDF, задание 24</x:v>
      </x:c>
      <x:c r="X2448" s="87"/>
      <x:c r="Y2448" s="87"/>
      <x:c r="Z2448" s="87"/>
      <x:c r="AA2448" s="87"/>
      <x:c r="AB2448" s="87"/>
      <x:c r="AC2448" s="87"/>
      <x:c r="AD2448" s="87"/>
      <x:c r="AE2448" s="87"/>
      <x:c r="AF2448" s="87"/>
      <x:c r="AG2448" s="87"/>
      <x:c r="AH2448" s="87"/>
      <x:c r="AI2448" s="30"/>
      <x:c r="AJ2448" s="87" t="str">
        <x:v>master</x:v>
      </x:c>
      <x:c r="AK2448" s="87" t="str">
        <x:v>master-v0.81</x:v>
      </x:c>
      <x:c r="AL2448" s="87" t="str">
        <x:v>statgrad_master_base_v0_81_final(2).xlsx</x:v>
      </x:c>
      <x:c r="AM2448" s="87" t="str">
        <x:v>BIO_Apr_V1</x:v>
      </x:c>
      <x:c r="AN2448" s="87" t="n">
        <x:v>25</x:v>
      </x:c>
    </x:row>
    <x:row r="2449">
      <x:c r="A2449" s="87" t="n">
        <x:v>2448</x:v>
      </x:c>
      <x:c r="B2449" s="87" t="str">
        <x:v>APR-BIO-V1-025</x:v>
      </x:c>
      <x:c r="C2449" s="87" t="str">
        <x:v>СтатГрад</x:v>
      </x:c>
      <x:c r="D2449" s="87" t="str">
        <x:v>Апрель 2026</x:v>
      </x:c>
      <x:c r="E2449" s="87"/>
      <x:c r="F2449" s="87"/>
      <x:c r="G2449" s="87" t="str">
        <x:v>Биология</x:v>
      </x:c>
      <x:c r="H2449" s="87" t="n">
        <x:v>11</x:v>
      </x:c>
      <x:c r="I2449" s="87" t="str">
        <x:v>ТР №5</x:v>
      </x:c>
      <x:c r="J2449" s="87" t="str">
        <x:v>БИ2510501</x:v>
      </x:c>
      <x:c r="K2449" s="87" t="n">
        <x:v>25</x:v>
      </x:c>
      <x:c r="L2449" s="87" t="str">
        <x:v>Развёрнутый ответ: физиология/экология</x:v>
      </x:c>
      <x:c r="M2449" s="30" t="str">
        <x:v>Кишечная микробиота травоядных животных играет ключевую роль в пищеварении и детоксикации растительных ядов, причём её состав варьирует у разных популяций. Назовите две основные функции, которые выполняет симбиотическая микробиота в пищеварительном тракте травоядных животных (помимо нейтрализации токсинов). Почему новорожденные травоядные животные не способны эффективно переваривать растительную пищу? Почему конкуренция между полезными кишечными микробами снижает их способность защищать животное от токсинов? Приведите два аргумента.</x:v>
      </x:c>
      <x:c r="N2449" s="30" t="str">
        <x:v>Микробиота расщепляет целлюлозу и синтезирует витамины (также конкурирует с патогенами и стимулирует иммунитет). У новорождённых микробное сообщество ещё не сформировано. Конкуренция уменьшает численность и активность полезных видов и заставляет расходовать ресурсы на борьбу; наиболее эффективный детоксикатор может проиграть более конкурентоспособному виду.</x:v>
      </x:c>
      <x:c r="O2449" s="30" t="str">
        <x:v>Микробиота расщепляет целлюлозу и синтезирует витамины (также конкурирует с патогенами и стимулирует иммунитет). У новорождённых микробное сообщество ещё не сформировано. Конкуренция уменьшает численность и активность полезных видов и заставляет расходовать ресурсы на борьбу; наиболее эффективный детоксикатор может проиграть более конкурентоспособному виду.</x:v>
      </x:c>
      <x:c r="P2449" s="30" t="str">
        <x:v>Все обязательные смысловые элементы сопоставлены с официальными критериями оценивания.</x:v>
      </x:c>
      <x:c r="Q2449" s="30"/>
      <x:c r="R2449" s="30" t="str">
        <x:v>Официальные критерии СтатГрад</x:v>
      </x:c>
      <x:c r="S2449" s="30"/>
      <x:c r="T2449" s="30"/>
      <x:c r="U2449" s="30" t="str">
        <x:v>Расхождений не обнаружено.</x:v>
      </x:c>
      <x:c r="V2449" s="87" t="str">
        <x:v>VERIFIED</x:v>
      </x:c>
      <x:c r="W2449" s="87" t="str">
        <x:v>Официальный PDF, задание 25</x:v>
      </x:c>
      <x:c r="X2449" s="87"/>
      <x:c r="Y2449" s="87"/>
      <x:c r="Z2449" s="87"/>
      <x:c r="AA2449" s="87"/>
      <x:c r="AB2449" s="87"/>
      <x:c r="AC2449" s="87"/>
      <x:c r="AD2449" s="87"/>
      <x:c r="AE2449" s="87"/>
      <x:c r="AF2449" s="87"/>
      <x:c r="AG2449" s="87"/>
      <x:c r="AH2449" s="87"/>
      <x:c r="AI2449" s="30"/>
      <x:c r="AJ2449" s="87" t="str">
        <x:v>master</x:v>
      </x:c>
      <x:c r="AK2449" s="87" t="str">
        <x:v>master-v0.81</x:v>
      </x:c>
      <x:c r="AL2449" s="87" t="str">
        <x:v>statgrad_master_base_v0_81_final(2).xlsx</x:v>
      </x:c>
      <x:c r="AM2449" s="87" t="str">
        <x:v>BIO_Apr_V1</x:v>
      </x:c>
      <x:c r="AN2449" s="87" t="n">
        <x:v>26</x:v>
      </x:c>
    </x:row>
    <x:row r="2450">
      <x:c r="A2450" s="87" t="n">
        <x:v>2449</x:v>
      </x:c>
      <x:c r="B2450" s="87" t="str">
        <x:v>APR-BIO-V1-026</x:v>
      </x:c>
      <x:c r="C2450" s="87" t="str">
        <x:v>СтатГрад</x:v>
      </x:c>
      <x:c r="D2450" s="87" t="str">
        <x:v>Апрель 2026</x:v>
      </x:c>
      <x:c r="E2450" s="87"/>
      <x:c r="F2450" s="87"/>
      <x:c r="G2450" s="87" t="str">
        <x:v>Биология</x:v>
      </x:c>
      <x:c r="H2450" s="87" t="n">
        <x:v>11</x:v>
      </x:c>
      <x:c r="I2450" s="87" t="str">
        <x:v>ТР №5</x:v>
      </x:c>
      <x:c r="J2450" s="87" t="str">
        <x:v>БИ2510501</x:v>
      </x:c>
      <x:c r="K2450" s="87" t="n">
        <x:v>26</x:v>
      </x:c>
      <x:c r="L2450" s="87" t="str">
        <x:v>Развёрнутый ответ: эволюция/экология</x:v>
      </x:c>
      <x:c r="M2450" s="30" t="str">
        <x:v>В середине XIX века популяция секвойи вечнозелёной (Sequoia sempervirens) подверглась резкому сокращению численности из-за прямого антропогенного воздействия. В результате сформировались изолированные рощи с пониженным генетическим разнообразием. Назовите антропогенное воздействие, приведшее к описанным последствиям. Какое эволюционное явление описано в данной ситуации? Укажите два возможных последствия от снижения генетического разнообразия для популяций секвойи. Почему постепенное восстановление численности за счёт вегетативного размножения секвойи не приводит к росту генетического разнообразия в их популяциях.</x:v>
      </x:c>
      <x:c r="N2450" s="30" t="str">
        <x:v>Причина сокращения — массовая вырубка/фрагментация леса. Описан эффект бутылочного горлышка, то есть дрейф генов. Последствия: риск вымирания, снижение адаптивного потенциала и устойчивости к болезням, рост инбридинга. Вегетативное размножение создаёт генетически одинаковых потомков и не формирует новых комбинаций аллелей.</x:v>
      </x:c>
      <x:c r="O2450" s="30" t="str">
        <x:v>Причина сокращения — массовая вырубка/фрагментация леса. Описан эффект бутылочного горлышка, то есть дрейф генов. Последствия: риск вымирания, снижение адаптивного потенциала и устойчивости к болезням, рост инбридинга. Вегетативное размножение создаёт генетически одинаковых потомков и не формирует новых комбинаций аллелей.</x:v>
      </x:c>
      <x:c r="P2450" s="30" t="str">
        <x:v>Все обязательные смысловые элементы сопоставлены с официальными критериями оценивания.</x:v>
      </x:c>
      <x:c r="Q2450" s="30"/>
      <x:c r="R2450" s="30" t="str">
        <x:v>Официальные критерии СтатГрад</x:v>
      </x:c>
      <x:c r="S2450" s="30"/>
      <x:c r="T2450" s="30"/>
      <x:c r="U2450" s="30" t="str">
        <x:v>Расхождений не обнаружено.</x:v>
      </x:c>
      <x:c r="V2450" s="87" t="str">
        <x:v>VERIFIED</x:v>
      </x:c>
      <x:c r="W2450" s="87" t="str">
        <x:v>Официальный PDF, задание 26</x:v>
      </x:c>
      <x:c r="X2450" s="87"/>
      <x:c r="Y2450" s="87"/>
      <x:c r="Z2450" s="87"/>
      <x:c r="AA2450" s="87"/>
      <x:c r="AB2450" s="87"/>
      <x:c r="AC2450" s="87"/>
      <x:c r="AD2450" s="87"/>
      <x:c r="AE2450" s="87"/>
      <x:c r="AF2450" s="87"/>
      <x:c r="AG2450" s="87"/>
      <x:c r="AH2450" s="87"/>
      <x:c r="AI2450" s="30"/>
      <x:c r="AJ2450" s="87" t="str">
        <x:v>master</x:v>
      </x:c>
      <x:c r="AK2450" s="87" t="str">
        <x:v>master-v0.81</x:v>
      </x:c>
      <x:c r="AL2450" s="87" t="str">
        <x:v>statgrad_master_base_v0_81_final(2).xlsx</x:v>
      </x:c>
      <x:c r="AM2450" s="87" t="str">
        <x:v>BIO_Apr_V1</x:v>
      </x:c>
      <x:c r="AN2450" s="87" t="n">
        <x:v>27</x:v>
      </x:c>
    </x:row>
    <x:row r="2451">
      <x:c r="A2451" s="87" t="n">
        <x:v>2450</x:v>
      </x:c>
      <x:c r="B2451" s="87" t="str">
        <x:v>APR-BIO-V1-027</x:v>
      </x:c>
      <x:c r="C2451" s="87" t="str">
        <x:v>СтатГрад</x:v>
      </x:c>
      <x:c r="D2451" s="87" t="str">
        <x:v>Апрель 2026</x:v>
      </x:c>
      <x:c r="E2451" s="87"/>
      <x:c r="F2451" s="87"/>
      <x:c r="G2451" s="87" t="str">
        <x:v>Биология</x:v>
      </x:c>
      <x:c r="H2451" s="87" t="n">
        <x:v>11</x:v>
      </x:c>
      <x:c r="I2451" s="87" t="str">
        <x:v>ТР №5</x:v>
      </x:c>
      <x:c r="J2451" s="87" t="str">
        <x:v>БИ2510501</x:v>
      </x:c>
      <x:c r="K2451" s="87" t="n">
        <x:v>27</x:v>
      </x:c>
      <x:c r="L2451" s="87" t="str">
        <x:v>Развёрнутый ответ: расчёт/молекулярная биология</x:v>
      </x:c>
      <x:c r="M2451" s="30" t="str">
        <x:v>Известно, что комплементарные цепи нуклеиновых кислот антипараллельны (5' концу в одной цепи соответствует 3' конец другой цепи). Синтез нуклеиновых кислот начинается с 5' конца. Рибосома движется по иРНК в направлении от 5' к 3' концу. Молекулы тРНК, несущие соответствующие антикодоны, входят в рибосому в следующем порядке (антикодоны указаны в направлении от 5’ к 3’ концу): АУГ, ЦЦУ, ГАА, УЦГ, АЦУ Определите последовательность смысловой и транскрибируемой цепей ДНК, иРНК и аминокислот в молекуле синтезируемого фрагмента белка. Ответ поясните. Для решения задания используйте таблицу генетического кода. При написании последовательностей нуклеиновых кислот указывайте направление цепи. Генетический код (иРНК) Первое Третье Второе основание основание основание У Ц А Г Фен Сер Тир Цис У Фен Сер Тир Цис Ц У Лей Сер – – А Лей Сер – Трп Г Лей Про Гис Арг У Лей Про Гис Арг Ц Ц Лей Про Глн Арг А Лей Про Глн Арг Г Иле Тре Асн Сер У Иле Тре Асн Сер Ц А Иле Тре Лиз Арг А Мет Тре Лиз Арг Г Вал Ала Асп Гли У Вал Ала Асп Гли Ц Г Вал Ала Глу Гли А Вал Ала Глу Гли Г</x:v>
      </x:c>
      <x:c r="N2451" s="30" t="str">
        <x:v>Антикодонам 5′-АУГ, ЦЦУ, ГАА, УЦГ, АЦУ-3′ соответствуют кодоны иРНК 5′-ЦАУ-АГГ-УУЦ-ЦГА-АГУ-3′. Белок: гис–арг–фен–арг–сер. Смысловая цепь ДНК: 5′-ЦАТАГГТТЦЦГААГТ-3′; транскрибируемая: 3′-ГТАТЦЦААГГЦТТЦА-5′.</x:v>
      </x:c>
      <x:c r="O2451" s="30" t="str">
        <x:v>Антикодонам 5′-АУГ, ЦЦУ, ГАА, УЦГ, АЦУ-3′ соответствуют кодоны иРНК 5′-ЦАУ-АГГ-УУЦ-ЦГА-АГУ-3′. Белок: гис–арг–фен–арг–сер. Смысловая цепь ДНК: 5′-ЦАТАГГТТЦЦГААГТ-3′; транскрибируемая: 3′-ГТАТЦЦААГГЦТТЦА-5′.</x:v>
      </x:c>
      <x:c r="P2451" s="30" t="str">
        <x:v>Все обязательные смысловые элементы сопоставлены с официальными критериями оценивания.</x:v>
      </x:c>
      <x:c r="Q2451" s="30"/>
      <x:c r="R2451" s="30" t="str">
        <x:v>Официальные критерии СтатГрад</x:v>
      </x:c>
      <x:c r="S2451" s="30"/>
      <x:c r="T2451" s="30"/>
      <x:c r="U2451" s="30" t="str">
        <x:v>Расхождений не обнаружено.</x:v>
      </x:c>
      <x:c r="V2451" s="87" t="str">
        <x:v>VERIFIED</x:v>
      </x:c>
      <x:c r="W2451" s="87" t="str">
        <x:v>Официальный PDF, задание 27</x:v>
      </x:c>
      <x:c r="X2451" s="87"/>
      <x:c r="Y2451" s="87"/>
      <x:c r="Z2451" s="87"/>
      <x:c r="AA2451" s="87"/>
      <x:c r="AB2451" s="87"/>
      <x:c r="AC2451" s="87"/>
      <x:c r="AD2451" s="87"/>
      <x:c r="AE2451" s="87"/>
      <x:c r="AF2451" s="87"/>
      <x:c r="AG2451" s="87"/>
      <x:c r="AH2451" s="87"/>
      <x:c r="AI2451" s="30"/>
      <x:c r="AJ2451" s="87" t="str">
        <x:v>master</x:v>
      </x:c>
      <x:c r="AK2451" s="87" t="str">
        <x:v>master-v0.81</x:v>
      </x:c>
      <x:c r="AL2451" s="87" t="str">
        <x:v>statgrad_master_base_v0_81_final(2).xlsx</x:v>
      </x:c>
      <x:c r="AM2451" s="87" t="str">
        <x:v>BIO_Apr_V1</x:v>
      </x:c>
      <x:c r="AN2451" s="87" t="n">
        <x:v>28</x:v>
      </x:c>
    </x:row>
    <x:row r="2452">
      <x:c r="A2452" s="87" t="n">
        <x:v>2451</x:v>
      </x:c>
      <x:c r="B2452" s="87" t="str">
        <x:v>APR-BIO-V1-028</x:v>
      </x:c>
      <x:c r="C2452" s="87" t="str">
        <x:v>СтатГрад</x:v>
      </x:c>
      <x:c r="D2452" s="87" t="str">
        <x:v>Апрель 2026</x:v>
      </x:c>
      <x:c r="E2452" s="87"/>
      <x:c r="F2452" s="87"/>
      <x:c r="G2452" s="87" t="str">
        <x:v>Биология</x:v>
      </x:c>
      <x:c r="H2452" s="87" t="n">
        <x:v>11</x:v>
      </x:c>
      <x:c r="I2452" s="87" t="str">
        <x:v>ТР №5</x:v>
      </x:c>
      <x:c r="J2452" s="87" t="str">
        <x:v>БИ2510501</x:v>
      </x:c>
      <x:c r="K2452" s="87" t="n">
        <x:v>28</x:v>
      </x:c>
      <x:c r="L2452" s="87" t="str">
        <x:v>Развёрнутый ответ: генетика</x:v>
      </x:c>
      <x:c r="M2452" s="30" t="str">
        <x:v>На X- и Y-хромосомах человека существуют псевдоаутосомные участки, содержащие аллели одних и тех же генов, между которыми возможен кроссинговер. Один из таких генов (ген SHOX) влияет на рост человека. Гипертрихоз ушных раковин (избыточный рост волос на ушах) наследуется голандрически (по Y-хромосоме). Женщина нормального роста вышла замуж за мужчину низкого роста с гипертрихозом ушных раковин, гомозиготная мать которого была нормального роста. Родившаяся в этом браке дочь низкого роста вышла замуж за мужчину нормального роста без гипертрихоза. Определите генотипы родителей, генотипы, фенотипы и пол возможного потомства. Возможно ли рождение в первом браке ребёнка нормального роста с гипертрихозом ушных раковин? Ответ поясните.</x:v>
      </x:c>
      <x:c r="N2452" s="30" t="str">
        <x:v>Первый брак: ♀ XᵃXᵃ нормального роста × ♂ XᵃYᴬᵇ низкого роста с гипертрихозом. Из-за кроссинговера у отца возможны Xᵃ, Xᴬ, Yᴬᵇ, Yᵃᵇ; дочери XᵃXᵃ нормального роста или XᴬXᵃ низкого роста, сыновья XᵃYᴬᵇ низкого роста с гипертрихозом или XᵃYᵃᵇ нормального роста с гипертрихозом. Второй брак: ♀ XᴬXᵃ × ♂ XᵃYᵃ; возможны дочери и сыновья нормального и низкого роста без гипертрихоза. В первом браке возможен сын нормального роста с гипертрихозом XᵃYᵃᵇ благодаря кроссинговеру в псевдоаутосомном участке.</x:v>
      </x:c>
      <x:c r="O2452" s="30" t="str">
        <x:v>Первый брак: ♀ XᵃXᵃ нормального роста × ♂ XᵃYᴬᵇ низкого роста с гипертрихозом. Из-за кроссинговера у отца возможны Xᵃ, Xᴬ, Yᴬᵇ, Yᵃᵇ; дочери XᵃXᵃ нормального роста или XᴬXᵃ низкого роста, сыновья XᵃYᴬᵇ низкого роста с гипертрихозом или XᵃYᵃᵇ нормального роста с гипертрихозом. Второй брак: ♀ XᴬXᵃ × ♂ XᵃYᵃ; возможны дочери и сыновья нормального и низкого роста без гипертрихоза. В первом браке возможен сын нормального роста с гипертрихозом XᵃYᵃᵇ благодаря кроссинговеру в псевдоаутосомном участке.</x:v>
      </x:c>
      <x:c r="P2452" s="30" t="str">
        <x:v>Все обязательные смысловые элементы сопоставлены с официальными критериями оценивания.</x:v>
      </x:c>
      <x:c r="Q2452" s="30"/>
      <x:c r="R2452" s="30" t="str">
        <x:v>Официальные критерии СтатГрад</x:v>
      </x:c>
      <x:c r="S2452" s="30"/>
      <x:c r="T2452" s="30"/>
      <x:c r="U2452" s="30" t="str">
        <x:v>Расхождений не обнаружено.</x:v>
      </x:c>
      <x:c r="V2452" s="87" t="str">
        <x:v>VERIFIED</x:v>
      </x:c>
      <x:c r="W2452" s="87" t="str">
        <x:v>Официальный PDF, задание 28</x:v>
      </x:c>
      <x:c r="X2452" s="87"/>
      <x:c r="Y2452" s="87"/>
      <x:c r="Z2452" s="87"/>
      <x:c r="AA2452" s="87"/>
      <x:c r="AB2452" s="87"/>
      <x:c r="AC2452" s="87"/>
      <x:c r="AD2452" s="87"/>
      <x:c r="AE2452" s="87"/>
      <x:c r="AF2452" s="87"/>
      <x:c r="AG2452" s="87"/>
      <x:c r="AH2452" s="87"/>
      <x:c r="AI2452" s="30"/>
      <x:c r="AJ2452" s="87" t="str">
        <x:v>master</x:v>
      </x:c>
      <x:c r="AK2452" s="87" t="str">
        <x:v>master-v0.81</x:v>
      </x:c>
      <x:c r="AL2452" s="87" t="str">
        <x:v>statgrad_master_base_v0_81_final(2).xlsx</x:v>
      </x:c>
      <x:c r="AM2452" s="87" t="str">
        <x:v>BIO_Apr_V1</x:v>
      </x:c>
      <x:c r="AN2452" s="87" t="n">
        <x:v>29</x:v>
      </x:c>
    </x:row>
    <x:row r="2453">
      <x:c r="A2453" s="87" t="n">
        <x:v>2452</x:v>
      </x:c>
      <x:c r="B2453" s="87" t="str">
        <x:v>APR-BIO-V2-001</x:v>
      </x:c>
      <x:c r="C2453" s="87" t="str">
        <x:v>СтатГрад</x:v>
      </x:c>
      <x:c r="D2453" s="87" t="str">
        <x:v>Апрель 2026</x:v>
      </x:c>
      <x:c r="E2453" s="87"/>
      <x:c r="F2453" s="87"/>
      <x:c r="G2453" s="87" t="str">
        <x:v>Биология</x:v>
      </x:c>
      <x:c r="H2453" s="87" t="n">
        <x:v>11</x:v>
      </x:c>
      <x:c r="I2453" s="87" t="str">
        <x:v>ТР №5</x:v>
      </x:c>
      <x:c r="J2453" s="87" t="str">
        <x:v>БИ2510502</x:v>
      </x:c>
      <x:c r="K2453" s="87" t="n">
        <x:v>1</x:v>
      </x:c>
      <x:c r="L2453" s="87" t="str">
        <x:v>Методы биологии</x:v>
      </x:c>
      <x:c r="M2453" s="30" t="str">
        <x:v>Рассмотрите таблицу «Методы биологических исследований». Запишите в ответе пропущенный термин, обозначенный в таблице вопросительным знаком. Метод Пример Наблюдение ?</x:v>
      </x:c>
      <x:c r="N2453" s="30" t="str">
        <x:v>эксперимент</x:v>
      </x:c>
      <x:c r="O2453" s="30" t="str">
        <x:v>Схема показывает целенаправленное изменение условий и получение результата, то есть эксперимент.</x:v>
      </x:c>
      <x:c r="P2453" s="30" t="str">
        <x:v>Ответ повторно выведен из условия и проверен по биологическим закономерностям; для заданий с рисунком обозначения сверены визуально.</x:v>
      </x:c>
      <x:c r="Q2453" s="30"/>
      <x:c r="R2453" s="30" t="str">
        <x:v>Официальная таблица ответов + независимое решение</x:v>
      </x:c>
      <x:c r="S2453" s="30"/>
      <x:c r="T2453" s="30"/>
      <x:c r="U2453" s="30" t="str">
        <x:v>Расхождений не обнаружено.</x:v>
      </x:c>
      <x:c r="V2453" s="87" t="str">
        <x:v>VERIFIED</x:v>
      </x:c>
      <x:c r="W2453" s="87" t="str">
        <x:v>Официальный PDF, задание 1</x:v>
      </x:c>
      <x:c r="X2453" s="87"/>
      <x:c r="Y2453" s="87"/>
      <x:c r="Z2453" s="87"/>
      <x:c r="AA2453" s="87"/>
      <x:c r="AB2453" s="87"/>
      <x:c r="AC2453" s="87"/>
      <x:c r="AD2453" s="87"/>
      <x:c r="AE2453" s="87"/>
      <x:c r="AF2453" s="87"/>
      <x:c r="AG2453" s="87"/>
      <x:c r="AH2453" s="87"/>
      <x:c r="AI2453" s="30"/>
      <x:c r="AJ2453" s="87" t="str">
        <x:v>master</x:v>
      </x:c>
      <x:c r="AK2453" s="87" t="str">
        <x:v>master-v0.81</x:v>
      </x:c>
      <x:c r="AL2453" s="87" t="str">
        <x:v>statgrad_master_base_v0_81_final(2).xlsx</x:v>
      </x:c>
      <x:c r="AM2453" s="87" t="str">
        <x:v>BIO_Apr_V2</x:v>
      </x:c>
      <x:c r="AN2453" s="87" t="n">
        <x:v>2</x:v>
      </x:c>
    </x:row>
    <x:row r="2454">
      <x:c r="A2454" s="87" t="n">
        <x:v>2453</x:v>
      </x:c>
      <x:c r="B2454" s="87" t="str">
        <x:v>APR-BIO-V2-002</x:v>
      </x:c>
      <x:c r="C2454" s="87" t="str">
        <x:v>СтатГрад</x:v>
      </x:c>
      <x:c r="D2454" s="87" t="str">
        <x:v>Апрель 2026</x:v>
      </x:c>
      <x:c r="E2454" s="87"/>
      <x:c r="F2454" s="87"/>
      <x:c r="G2454" s="87" t="str">
        <x:v>Биология</x:v>
      </x:c>
      <x:c r="H2454" s="87" t="n">
        <x:v>11</x:v>
      </x:c>
      <x:c r="I2454" s="87" t="str">
        <x:v>ТР №5</x:v>
      </x:c>
      <x:c r="J2454" s="87" t="str">
        <x:v>БИ2510502</x:v>
      </x:c>
      <x:c r="K2454" s="87" t="n">
        <x:v>2</x:v>
      </x:c>
      <x:c r="L2454" s="87" t="str">
        <x:v>Пищеварение</x:v>
      </x:c>
      <x:c r="M2454" s="30" t="str">
        <x:v>В исследовании учёный изучал изменения в пищеварительной системе человека после приёма пищи. Как изменятся количество желудочного сока и интенсивность перистальтики кишечника после приёма пищи по сравнению с состоянием натощак? Для каждой величины определите соответствующий характер её изменения: 1) увеличится 2) уменьшится 3) не изменится Запишите в таблицу выбранные цифры для каждой величины. Цифры в ответе могут повторяться. Интенсивность перистальтики Количество желудочного сока кишечника</x:v>
      </x:c>
      <x:c r="N2454" s="30" t="str">
        <x:v>11</x:v>
      </x:c>
      <x:c r="O2454" s="30" t="str">
        <x:v>После приёма пищи усиливаются секреция желудочного сока и перистальтика кишечника.</x:v>
      </x:c>
      <x:c r="P2454" s="30" t="str">
        <x:v>Ответ повторно выведен из условия и проверен по биологическим закономерностям; для заданий с рисунком обозначения сверены визуально.</x:v>
      </x:c>
      <x:c r="Q2454" s="30"/>
      <x:c r="R2454" s="30" t="str">
        <x:v>Независимое решение по официальному заданию</x:v>
      </x:c>
      <x:c r="S2454" s="30"/>
      <x:c r="T2454" s="30"/>
      <x:c r="U2454" s="30" t="str">
        <x:v>Расхождений не обнаружено.</x:v>
      </x:c>
      <x:c r="V2454" s="87" t="str">
        <x:v>VERIFIED</x:v>
      </x:c>
      <x:c r="W2454" s="87" t="str">
        <x:v>Официальный PDF, задание 2</x:v>
      </x:c>
      <x:c r="X2454" s="87"/>
      <x:c r="Y2454" s="87"/>
      <x:c r="Z2454" s="87"/>
      <x:c r="AA2454" s="87"/>
      <x:c r="AB2454" s="87"/>
      <x:c r="AC2454" s="87"/>
      <x:c r="AD2454" s="87"/>
      <x:c r="AE2454" s="87"/>
      <x:c r="AF2454" s="87"/>
      <x:c r="AG2454" s="87"/>
      <x:c r="AH2454" s="87"/>
      <x:c r="AI2454" s="30"/>
      <x:c r="AJ2454" s="87" t="str">
        <x:v>master</x:v>
      </x:c>
      <x:c r="AK2454" s="87" t="str">
        <x:v>master-v0.81</x:v>
      </x:c>
      <x:c r="AL2454" s="87" t="str">
        <x:v>statgrad_master_base_v0_81_final(2).xlsx</x:v>
      </x:c>
      <x:c r="AM2454" s="87" t="str">
        <x:v>BIO_Apr_V2</x:v>
      </x:c>
      <x:c r="AN2454" s="87" t="n">
        <x:v>3</x:v>
      </x:c>
    </x:row>
    <x:row r="2455">
      <x:c r="A2455" s="87" t="n">
        <x:v>2454</x:v>
      </x:c>
      <x:c r="B2455" s="87" t="str">
        <x:v>APR-BIO-V2-003</x:v>
      </x:c>
      <x:c r="C2455" s="87" t="str">
        <x:v>СтатГрад</x:v>
      </x:c>
      <x:c r="D2455" s="87" t="str">
        <x:v>Апрель 2026</x:v>
      </x:c>
      <x:c r="E2455" s="87"/>
      <x:c r="F2455" s="87"/>
      <x:c r="G2455" s="87" t="str">
        <x:v>Биология</x:v>
      </x:c>
      <x:c r="H2455" s="87" t="n">
        <x:v>11</x:v>
      </x:c>
      <x:c r="I2455" s="87" t="str">
        <x:v>ТР №5</x:v>
      </x:c>
      <x:c r="J2455" s="87" t="str">
        <x:v>БИ2510502</x:v>
      </x:c>
      <x:c r="K2455" s="87" t="n">
        <x:v>3</x:v>
      </x:c>
      <x:c r="L2455" s="87" t="str">
        <x:v>Экологическая пирамида</x:v>
      </x:c>
      <x:c r="M2455" s="30" t="str">
        <x:v>На основании правила 10 % рассчитайте массу травы (в кг), которая может обеспечить существование в лесу одного зубра массой 800 кг. В ответе запишите только соответствующее число.</x:v>
      </x:c>
      <x:c r="N2455" s="30" t="str">
        <x:v>80000</x:v>
      </x:c>
      <x:c r="O2455" s="30" t="str">
        <x:v>До зубра два перехода пищевой цепи: трава → растительноядное → зубр. При передаче 10% энергии требуется 800×10×10=80000 кг травы.</x:v>
      </x:c>
      <x:c r="P2455" s="30" t="str">
        <x:v>Ответ повторно выведен из условия и проверен по биологическим закономерностям; для заданий с рисунком обозначения сверены визуально.</x:v>
      </x:c>
      <x:c r="Q2455" s="30"/>
      <x:c r="R2455" s="30" t="str">
        <x:v>Независимое решение по официальному заданию</x:v>
      </x:c>
      <x:c r="S2455" s="30"/>
      <x:c r="T2455" s="30"/>
      <x:c r="U2455" s="30" t="str">
        <x:v>Расхождений не обнаружено.</x:v>
      </x:c>
      <x:c r="V2455" s="87" t="str">
        <x:v>VERIFIED</x:v>
      </x:c>
      <x:c r="W2455" s="87" t="str">
        <x:v>Официальный PDF, задание 3</x:v>
      </x:c>
      <x:c r="X2455" s="87"/>
      <x:c r="Y2455" s="87"/>
      <x:c r="Z2455" s="87"/>
      <x:c r="AA2455" s="87"/>
      <x:c r="AB2455" s="87"/>
      <x:c r="AC2455" s="87"/>
      <x:c r="AD2455" s="87"/>
      <x:c r="AE2455" s="87"/>
      <x:c r="AF2455" s="87"/>
      <x:c r="AG2455" s="87"/>
      <x:c r="AH2455" s="87"/>
      <x:c r="AI2455" s="30"/>
      <x:c r="AJ2455" s="87" t="str">
        <x:v>master</x:v>
      </x:c>
      <x:c r="AK2455" s="87" t="str">
        <x:v>master-v0.81</x:v>
      </x:c>
      <x:c r="AL2455" s="87" t="str">
        <x:v>statgrad_master_base_v0_81_final(2).xlsx</x:v>
      </x:c>
      <x:c r="AM2455" s="87" t="str">
        <x:v>BIO_Apr_V2</x:v>
      </x:c>
      <x:c r="AN2455" s="87" t="n">
        <x:v>4</x:v>
      </x:c>
    </x:row>
    <x:row r="2456">
      <x:c r="A2456" s="87" t="n">
        <x:v>2455</x:v>
      </x:c>
      <x:c r="B2456" s="87" t="str">
        <x:v>APR-BIO-V2-004</x:v>
      </x:c>
      <x:c r="C2456" s="87" t="str">
        <x:v>СтатГрад</x:v>
      </x:c>
      <x:c r="D2456" s="87" t="str">
        <x:v>Апрель 2026</x:v>
      </x:c>
      <x:c r="E2456" s="87"/>
      <x:c r="F2456" s="87"/>
      <x:c r="G2456" s="87" t="str">
        <x:v>Биология</x:v>
      </x:c>
      <x:c r="H2456" s="87" t="n">
        <x:v>11</x:v>
      </x:c>
      <x:c r="I2456" s="87" t="str">
        <x:v>ТР №5</x:v>
      </x:c>
      <x:c r="J2456" s="87" t="str">
        <x:v>БИ2510502</x:v>
      </x:c>
      <x:c r="K2456" s="87" t="n">
        <x:v>4</x:v>
      </x:c>
      <x:c r="L2456" s="87" t="str">
        <x:v>Анализирующее скрещивание</x:v>
      </x:c>
      <x:c r="M2456" s="30" t="str">
        <x:v>Какова вероятность рождения потомства с коричневым окрасом шерсти в анализирующем скрещивании чёрной гетерозиготной собаки? Ответ запишите в виде числа.</x:v>
      </x:c>
      <x:c r="N2456" s="30" t="str">
        <x:v>50</x:v>
      </x:c>
      <x:c r="O2456" s="30" t="str">
        <x:v>Анализирующее скрещивание Aa×aa даёт половину коричневых потомков — 50%.</x:v>
      </x:c>
      <x:c r="P2456" s="30" t="str">
        <x:v>Ответ повторно выведен из условия и проверен по биологическим закономерностям; для заданий с рисунком обозначения сверены визуально.</x:v>
      </x:c>
      <x:c r="Q2456" s="30"/>
      <x:c r="R2456" s="30" t="str">
        <x:v>Независимое решение по официальному заданию</x:v>
      </x:c>
      <x:c r="S2456" s="30"/>
      <x:c r="T2456" s="30"/>
      <x:c r="U2456" s="30" t="str">
        <x:v>Расхождений не обнаружено.</x:v>
      </x:c>
      <x:c r="V2456" s="87" t="str">
        <x:v>VERIFIED</x:v>
      </x:c>
      <x:c r="W2456" s="87" t="str">
        <x:v>Официальный PDF, задание 4</x:v>
      </x:c>
      <x:c r="X2456" s="87"/>
      <x:c r="Y2456" s="87"/>
      <x:c r="Z2456" s="87"/>
      <x:c r="AA2456" s="87"/>
      <x:c r="AB2456" s="87"/>
      <x:c r="AC2456" s="87"/>
      <x:c r="AD2456" s="87"/>
      <x:c r="AE2456" s="87"/>
      <x:c r="AF2456" s="87"/>
      <x:c r="AG2456" s="87"/>
      <x:c r="AH2456" s="87"/>
      <x:c r="AI2456" s="30"/>
      <x:c r="AJ2456" s="87" t="str">
        <x:v>master</x:v>
      </x:c>
      <x:c r="AK2456" s="87" t="str">
        <x:v>master-v0.81</x:v>
      </x:c>
      <x:c r="AL2456" s="87" t="str">
        <x:v>statgrad_master_base_v0_81_final(2).xlsx</x:v>
      </x:c>
      <x:c r="AM2456" s="87" t="str">
        <x:v>BIO_Apr_V2</x:v>
      </x:c>
      <x:c r="AN2456" s="87" t="n">
        <x:v>5</x:v>
      </x:c>
    </x:row>
    <x:row r="2457">
      <x:c r="A2457" s="87" t="n">
        <x:v>2456</x:v>
      </x:c>
      <x:c r="B2457" s="87" t="str">
        <x:v>APR-BIO-V2-005</x:v>
      </x:c>
      <x:c r="C2457" s="87" t="str">
        <x:v>СтатГрад</x:v>
      </x:c>
      <x:c r="D2457" s="87" t="str">
        <x:v>Апрель 2026</x:v>
      </x:c>
      <x:c r="E2457" s="87"/>
      <x:c r="F2457" s="87"/>
      <x:c r="G2457" s="87" t="str">
        <x:v>Биология</x:v>
      </x:c>
      <x:c r="H2457" s="87" t="n">
        <x:v>11</x:v>
      </x:c>
      <x:c r="I2457" s="87" t="str">
        <x:v>ТР №5</x:v>
      </x:c>
      <x:c r="J2457" s="87" t="str">
        <x:v>БИ2510502</x:v>
      </x:c>
      <x:c r="K2457" s="87" t="n">
        <x:v>5</x:v>
      </x:c>
      <x:c r="L2457" s="87" t="str">
        <x:v>Мейоз</x:v>
      </x:c>
      <x:c r="M2457" s="30" t="str">
        <x:v>Какой цифрой на схеме обозначена клетка, находящаяся в анафазе редукционного деления?</x:v>
      </x:c>
      <x:c r="N2457" s="30" t="str">
        <x:v>6</x:v>
      </x:c>
      <x:c r="O2457" s="30" t="str">
        <x:v>В анафазе I расходятся гомологичные хромосомы при сохранении двух хроматид; это клетка 6.</x:v>
      </x:c>
      <x:c r="P2457" s="30" t="str">
        <x:v>Ответ повторно выведен из условия и проверен по биологическим закономерностям; для заданий с рисунком обозначения сверены визуально.</x:v>
      </x:c>
      <x:c r="Q2457" s="30"/>
      <x:c r="R2457" s="30" t="str">
        <x:v>Независимое решение по официальному заданию</x:v>
      </x:c>
      <x:c r="S2457" s="30"/>
      <x:c r="T2457" s="30"/>
      <x:c r="U2457" s="30" t="str">
        <x:v>Расхождений не обнаружено.</x:v>
      </x:c>
      <x:c r="V2457" s="87" t="str">
        <x:v>VERIFIED</x:v>
      </x:c>
      <x:c r="W2457" s="87" t="str">
        <x:v>Официальный PDF, задание 5</x:v>
      </x:c>
      <x:c r="X2457" s="87"/>
      <x:c r="Y2457" s="87"/>
      <x:c r="Z2457" s="87"/>
      <x:c r="AA2457" s="87"/>
      <x:c r="AB2457" s="87"/>
      <x:c r="AC2457" s="87"/>
      <x:c r="AD2457" s="87"/>
      <x:c r="AE2457" s="87"/>
      <x:c r="AF2457" s="87"/>
      <x:c r="AG2457" s="87"/>
      <x:c r="AH2457" s="87"/>
      <x:c r="AI2457" s="30"/>
      <x:c r="AJ2457" s="87" t="str">
        <x:v>master</x:v>
      </x:c>
      <x:c r="AK2457" s="87" t="str">
        <x:v>master-v0.81</x:v>
      </x:c>
      <x:c r="AL2457" s="87" t="str">
        <x:v>statgrad_master_base_v0_81_final(2).xlsx</x:v>
      </x:c>
      <x:c r="AM2457" s="87" t="str">
        <x:v>BIO_Apr_V2</x:v>
      </x:c>
      <x:c r="AN2457" s="87" t="n">
        <x:v>6</x:v>
      </x:c>
    </x:row>
    <x:row r="2458">
      <x:c r="A2458" s="87" t="n">
        <x:v>2457</x:v>
      </x:c>
      <x:c r="B2458" s="87" t="str">
        <x:v>APR-BIO-V2-006</x:v>
      </x:c>
      <x:c r="C2458" s="87" t="str">
        <x:v>СтатГрад</x:v>
      </x:c>
      <x:c r="D2458" s="87" t="str">
        <x:v>Апрель 2026</x:v>
      </x:c>
      <x:c r="E2458" s="87"/>
      <x:c r="F2458" s="87"/>
      <x:c r="G2458" s="87" t="str">
        <x:v>Биология</x:v>
      </x:c>
      <x:c r="H2458" s="87" t="n">
        <x:v>11</x:v>
      </x:c>
      <x:c r="I2458" s="87" t="str">
        <x:v>ТР №5</x:v>
      </x:c>
      <x:c r="J2458" s="87" t="str">
        <x:v>БИ2510502</x:v>
      </x:c>
      <x:c r="K2458" s="87" t="n">
        <x:v>6</x:v>
      </x:c>
      <x:c r="L2458" s="87" t="str">
        <x:v>Геномные мутации</x:v>
      </x:c>
      <x:c r="M2458" s="30" t="str">
        <x:v>Установите соответствие между возможными результатами геномных мутаций и гаметами человека*, обозначенными на схеме цифрами 1, 2, 3: к каждой позиции, данной в первом столбце, подберите соответствующую позицию из второго столбца. *из 46 хромосом человека в исходной клетке изображено только 6; следует учесть, что расхождение остальных 40 хромосом нарушено не было. ВОЗМОЖНЫЕ РЕЗУЛЬТАТЫ ГАМЕТЫ ГЕНОМНЫХ МУТАЦИЙ А) трисомия в одной из пар хромосом 1) 1 Б) 45 хромосом в зиготе 2) 2 В) синдром Дауна 3) 3 Г) нормальный кариотип Д) 44 аутосомы и 2 половые хромосомы в каждой соматической клетке тела Е) синдром Шерешевского Запишите в таблицу выбранные цифры под соответствующими буквами. А Б В Г Д Е</x:v>
      </x:c>
      <x:c r="N2458" s="30" t="str">
        <x:v>212331</x:v>
      </x:c>
      <x:c r="O2458" s="30" t="str">
        <x:v>По числу хромосом в гаметах определены моносомные, нормальные и дисомные гаметы; сопоставление последствий даёт 212331.</x:v>
      </x:c>
      <x:c r="P2458" s="30" t="str">
        <x:v>Ответ повторно выведен из условия и проверен по биологическим закономерностям; для заданий с рисунком обозначения сверены визуально.</x:v>
      </x:c>
      <x:c r="Q2458" s="30"/>
      <x:c r="R2458" s="30" t="str">
        <x:v>Официальная таблица ответов + независимое решение</x:v>
      </x:c>
      <x:c r="S2458" s="30"/>
      <x:c r="T2458" s="30"/>
      <x:c r="U2458" s="30" t="str">
        <x:v>Расхождений не обнаружено.</x:v>
      </x:c>
      <x:c r="V2458" s="87" t="str">
        <x:v>VERIFIED</x:v>
      </x:c>
      <x:c r="W2458" s="87" t="str">
        <x:v>Официальный PDF, задание 6</x:v>
      </x:c>
      <x:c r="X2458" s="87"/>
      <x:c r="Y2458" s="87"/>
      <x:c r="Z2458" s="87"/>
      <x:c r="AA2458" s="87"/>
      <x:c r="AB2458" s="87"/>
      <x:c r="AC2458" s="87"/>
      <x:c r="AD2458" s="87"/>
      <x:c r="AE2458" s="87"/>
      <x:c r="AF2458" s="87"/>
      <x:c r="AG2458" s="87"/>
      <x:c r="AH2458" s="87"/>
      <x:c r="AI2458" s="30"/>
      <x:c r="AJ2458" s="87" t="str">
        <x:v>master</x:v>
      </x:c>
      <x:c r="AK2458" s="87" t="str">
        <x:v>master-v0.81</x:v>
      </x:c>
      <x:c r="AL2458" s="87" t="str">
        <x:v>statgrad_master_base_v0_81_final(2).xlsx</x:v>
      </x:c>
      <x:c r="AM2458" s="87" t="str">
        <x:v>BIO_Apr_V2</x:v>
      </x:c>
      <x:c r="AN2458" s="87" t="n">
        <x:v>7</x:v>
      </x:c>
    </x:row>
    <x:row r="2459">
      <x:c r="A2459" s="87" t="n">
        <x:v>2458</x:v>
      </x:c>
      <x:c r="B2459" s="87" t="str">
        <x:v>APR-BIO-V2-007</x:v>
      </x:c>
      <x:c r="C2459" s="87" t="str">
        <x:v>СтатГрад</x:v>
      </x:c>
      <x:c r="D2459" s="87" t="str">
        <x:v>Апрель 2026</x:v>
      </x:c>
      <x:c r="E2459" s="87"/>
      <x:c r="F2459" s="87"/>
      <x:c r="G2459" s="87" t="str">
        <x:v>Биология</x:v>
      </x:c>
      <x:c r="H2459" s="87" t="n">
        <x:v>11</x:v>
      </x:c>
      <x:c r="I2459" s="87" t="str">
        <x:v>ТР №5</x:v>
      </x:c>
      <x:c r="J2459" s="87" t="str">
        <x:v>БИ2510502</x:v>
      </x:c>
      <x:c r="K2459" s="87" t="n">
        <x:v>7</x:v>
      </x:c>
      <x:c r="L2459" s="87" t="str">
        <x:v>Органоиды клетки</x:v>
      </x:c>
      <x:c r="M2459" s="30" t="str">
        <x:v>Выберите три верных ответа и запишите в таблицу цифры, под которыми они указаны. К одномембранным органеллам растительной клетки относятся 1) лизосома 2) митохондрия 3) рибосома 4) эндоплазматическая сеть 5) центральная вакуоль 6) хлоропласт</x:v>
      </x:c>
      <x:c r="N2459" s="30" t="str">
        <x:v>145</x:v>
      </x:c>
      <x:c r="O2459" s="30" t="str">
        <x:v>Лизосома, эндоплазматическая сеть и центральная вакуоль ограничены одной мембраной.</x:v>
      </x:c>
      <x:c r="P2459" s="30" t="str">
        <x:v>Ответ повторно выведен из условия и проверен по биологическим закономерностям; для заданий с рисунком обозначения сверены визуально.</x:v>
      </x:c>
      <x:c r="Q2459" s="30"/>
      <x:c r="R2459" s="30" t="str">
        <x:v>Официальная таблица ответов + независимое решение</x:v>
      </x:c>
      <x:c r="S2459" s="30"/>
      <x:c r="T2459" s="30"/>
      <x:c r="U2459" s="30" t="str">
        <x:v>Расхождений не обнаружено.</x:v>
      </x:c>
      <x:c r="V2459" s="87" t="str">
        <x:v>VERIFIED</x:v>
      </x:c>
      <x:c r="W2459" s="87" t="str">
        <x:v>Официальный PDF, задание 7</x:v>
      </x:c>
      <x:c r="X2459" s="87"/>
      <x:c r="Y2459" s="87"/>
      <x:c r="Z2459" s="87"/>
      <x:c r="AA2459" s="87"/>
      <x:c r="AB2459" s="87"/>
      <x:c r="AC2459" s="87"/>
      <x:c r="AD2459" s="87"/>
      <x:c r="AE2459" s="87"/>
      <x:c r="AF2459" s="87"/>
      <x:c r="AG2459" s="87"/>
      <x:c r="AH2459" s="87"/>
      <x:c r="AI2459" s="30"/>
      <x:c r="AJ2459" s="87" t="str">
        <x:v>master</x:v>
      </x:c>
      <x:c r="AK2459" s="87" t="str">
        <x:v>master-v0.81</x:v>
      </x:c>
      <x:c r="AL2459" s="87" t="str">
        <x:v>statgrad_master_base_v0_81_final(2).xlsx</x:v>
      </x:c>
      <x:c r="AM2459" s="87" t="str">
        <x:v>BIO_Apr_V2</x:v>
      </x:c>
      <x:c r="AN2459" s="87" t="n">
        <x:v>8</x:v>
      </x:c>
    </x:row>
    <x:row r="2460">
      <x:c r="A2460" s="87" t="n">
        <x:v>2459</x:v>
      </x:c>
      <x:c r="B2460" s="87" t="str">
        <x:v>APR-BIO-V2-008</x:v>
      </x:c>
      <x:c r="C2460" s="87" t="str">
        <x:v>СтатГрад</x:v>
      </x:c>
      <x:c r="D2460" s="87" t="str">
        <x:v>Апрель 2026</x:v>
      </x:c>
      <x:c r="E2460" s="87"/>
      <x:c r="F2460" s="87"/>
      <x:c r="G2460" s="87" t="str">
        <x:v>Биология</x:v>
      </x:c>
      <x:c r="H2460" s="87" t="n">
        <x:v>11</x:v>
      </x:c>
      <x:c r="I2460" s="87" t="str">
        <x:v>ТР №5</x:v>
      </x:c>
      <x:c r="J2460" s="87" t="str">
        <x:v>БИ2510502</x:v>
      </x:c>
      <x:c r="K2460" s="87" t="n">
        <x:v>8</x:v>
      </x:c>
      <x:c r="L2460" s="87" t="str">
        <x:v>Уровни организации</x:v>
      </x:c>
      <x:c r="M2460" s="30" t="str">
        <x:v>Установите последовательность расположения структур в порядке уменьше- ния их размеров. Запишите в таблицу соответствующую последовательность цифр. 1) белок тубулин 2) углерод 3) микротрубочка 4) карбоксильная группа 5) аминокислота</x:v>
      </x:c>
      <x:c r="N2460" s="30" t="str">
        <x:v>31542</x:v>
      </x:c>
      <x:c r="O2460" s="30" t="str">
        <x:v>Убывание размеров: микротрубочка → белок тубулин → аминокислота → карбоксильная группа → атом углерода.</x:v>
      </x:c>
      <x:c r="P2460" s="30" t="str">
        <x:v>Ответ повторно выведен из условия и проверен по биологическим закономерностям; для заданий с рисунком обозначения сверены визуально.</x:v>
      </x:c>
      <x:c r="Q2460" s="30"/>
      <x:c r="R2460" s="30" t="str">
        <x:v>Официальная таблица ответов + независимое решение</x:v>
      </x:c>
      <x:c r="S2460" s="30"/>
      <x:c r="T2460" s="30"/>
      <x:c r="U2460" s="30" t="str">
        <x:v>Расхождений не обнаружено.</x:v>
      </x:c>
      <x:c r="V2460" s="87" t="str">
        <x:v>VERIFIED</x:v>
      </x:c>
      <x:c r="W2460" s="87" t="str">
        <x:v>Официальный PDF, задание 8</x:v>
      </x:c>
      <x:c r="X2460" s="87"/>
      <x:c r="Y2460" s="87"/>
      <x:c r="Z2460" s="87"/>
      <x:c r="AA2460" s="87"/>
      <x:c r="AB2460" s="87"/>
      <x:c r="AC2460" s="87"/>
      <x:c r="AD2460" s="87"/>
      <x:c r="AE2460" s="87"/>
      <x:c r="AF2460" s="87"/>
      <x:c r="AG2460" s="87"/>
      <x:c r="AH2460" s="87"/>
      <x:c r="AI2460" s="30"/>
      <x:c r="AJ2460" s="87" t="str">
        <x:v>master</x:v>
      </x:c>
      <x:c r="AK2460" s="87" t="str">
        <x:v>master-v0.81</x:v>
      </x:c>
      <x:c r="AL2460" s="87" t="str">
        <x:v>statgrad_master_base_v0_81_final(2).xlsx</x:v>
      </x:c>
      <x:c r="AM2460" s="87" t="str">
        <x:v>BIO_Apr_V2</x:v>
      </x:c>
      <x:c r="AN2460" s="87" t="n">
        <x:v>9</x:v>
      </x:c>
    </x:row>
    <x:row r="2461">
      <x:c r="A2461" s="87" t="n">
        <x:v>2460</x:v>
      </x:c>
      <x:c r="B2461" s="87" t="str">
        <x:v>APR-BIO-V2-009</x:v>
      </x:c>
      <x:c r="C2461" s="87" t="str">
        <x:v>СтатГрад</x:v>
      </x:c>
      <x:c r="D2461" s="87" t="str">
        <x:v>Апрель 2026</x:v>
      </x:c>
      <x:c r="E2461" s="87"/>
      <x:c r="F2461" s="87"/>
      <x:c r="G2461" s="87" t="str">
        <x:v>Биология</x:v>
      </x:c>
      <x:c r="H2461" s="87" t="n">
        <x:v>11</x:v>
      </x:c>
      <x:c r="I2461" s="87" t="str">
        <x:v>ТР №5</x:v>
      </x:c>
      <x:c r="J2461" s="87" t="str">
        <x:v>БИ2510502</x:v>
      </x:c>
      <x:c r="K2461" s="87" t="n">
        <x:v>9</x:v>
      </x:c>
      <x:c r="L2461" s="87" t="str">
        <x:v>Паразитология</x:v>
      </x:c>
      <x:c r="M2461" s="30" t="str">
        <x:v>Какой цифрой на схеме жизненного цикла обозначен хозяин паразита?</x:v>
      </x:c>
      <x:c r="N2461" s="30" t="str">
        <x:v>5</x:v>
      </x:c>
      <x:c r="O2461" s="30" t="str">
        <x:v>Хозяин личиночной стадии беззубки — рыба, обозначенная цифрой 5.</x:v>
      </x:c>
      <x:c r="P2461" s="30" t="str">
        <x:v>Ответ повторно выведен из условия и проверен по биологическим закономерностям; для заданий с рисунком обозначения сверены визуально.</x:v>
      </x:c>
      <x:c r="Q2461" s="30"/>
      <x:c r="R2461" s="30" t="str">
        <x:v>Независимое решение по официальному заданию</x:v>
      </x:c>
      <x:c r="S2461" s="30"/>
      <x:c r="T2461" s="30"/>
      <x:c r="U2461" s="30" t="str">
        <x:v>Расхождений не обнаружено.</x:v>
      </x:c>
      <x:c r="V2461" s="87" t="str">
        <x:v>VERIFIED</x:v>
      </x:c>
      <x:c r="W2461" s="87" t="str">
        <x:v>Официальный PDF, задание 9</x:v>
      </x:c>
      <x:c r="X2461" s="87"/>
      <x:c r="Y2461" s="87"/>
      <x:c r="Z2461" s="87"/>
      <x:c r="AA2461" s="87"/>
      <x:c r="AB2461" s="87"/>
      <x:c r="AC2461" s="87"/>
      <x:c r="AD2461" s="87"/>
      <x:c r="AE2461" s="87"/>
      <x:c r="AF2461" s="87"/>
      <x:c r="AG2461" s="87"/>
      <x:c r="AH2461" s="87"/>
      <x:c r="AI2461" s="30"/>
      <x:c r="AJ2461" s="87" t="str">
        <x:v>master</x:v>
      </x:c>
      <x:c r="AK2461" s="87" t="str">
        <x:v>master-v0.81</x:v>
      </x:c>
      <x:c r="AL2461" s="87" t="str">
        <x:v>statgrad_master_base_v0_81_final(2).xlsx</x:v>
      </x:c>
      <x:c r="AM2461" s="87" t="str">
        <x:v>BIO_Apr_V2</x:v>
      </x:c>
      <x:c r="AN2461" s="87" t="n">
        <x:v>10</x:v>
      </x:c>
    </x:row>
    <x:row r="2462">
      <x:c r="A2462" s="87" t="n">
        <x:v>2461</x:v>
      </x:c>
      <x:c r="B2462" s="87" t="str">
        <x:v>APR-BIO-V2-010</x:v>
      </x:c>
      <x:c r="C2462" s="87" t="str">
        <x:v>СтатГрад</x:v>
      </x:c>
      <x:c r="D2462" s="87" t="str">
        <x:v>Апрель 2026</x:v>
      </x:c>
      <x:c r="E2462" s="87"/>
      <x:c r="F2462" s="87"/>
      <x:c r="G2462" s="87" t="str">
        <x:v>Биология</x:v>
      </x:c>
      <x:c r="H2462" s="87" t="n">
        <x:v>11</x:v>
      </x:c>
      <x:c r="I2462" s="87" t="str">
        <x:v>ТР №5</x:v>
      </x:c>
      <x:c r="J2462" s="87" t="str">
        <x:v>БИ2510502</x:v>
      </x:c>
      <x:c r="K2462" s="87" t="n">
        <x:v>10</x:v>
      </x:c>
      <x:c r="L2462" s="87" t="str">
        <x:v>Паразитология: соответствие</x:v>
      </x:c>
      <x:c r="M2462" s="30" t="str">
        <x:v>Установите соответствие между характеристиками и стадиями жизненного цикла беззубки, обозначенными на схеме цифрами 1, 2, 3: к каждой позиции, данной в первом столбце, подберите соответствующую позицию из второго столбца.</x:v>
      </x:c>
      <x:c r="N2462" s="30" t="str">
        <x:v>231213</x:v>
      </x:c>
      <x:c r="O2462" s="30" t="str">
        <x:v>Глохидий — личинка, сперматозоид образуется самцом и сливается с яйцеклеткой, взрослая беззубка образует яйцеклетки и выводит глохидиев.</x:v>
      </x:c>
      <x:c r="P2462" s="30" t="str">
        <x:v>Ответ повторно выведен из условия и проверен по биологическим закономерностям; для заданий с рисунком обозначения сверены визуально.</x:v>
      </x:c>
      <x:c r="Q2462" s="30"/>
      <x:c r="R2462" s="30" t="str">
        <x:v>Официальная таблица ответов + независимое решение</x:v>
      </x:c>
      <x:c r="S2462" s="30"/>
      <x:c r="T2462" s="30"/>
      <x:c r="U2462" s="30" t="str">
        <x:v>Расхождений не обнаружено.</x:v>
      </x:c>
      <x:c r="V2462" s="87" t="str">
        <x:v>VERIFIED</x:v>
      </x:c>
      <x:c r="W2462" s="87" t="str">
        <x:v>Официальный PDF, задание 10</x:v>
      </x:c>
      <x:c r="X2462" s="87"/>
      <x:c r="Y2462" s="87"/>
      <x:c r="Z2462" s="87"/>
      <x:c r="AA2462" s="87"/>
      <x:c r="AB2462" s="87"/>
      <x:c r="AC2462" s="87"/>
      <x:c r="AD2462" s="87"/>
      <x:c r="AE2462" s="87"/>
      <x:c r="AF2462" s="87"/>
      <x:c r="AG2462" s="87"/>
      <x:c r="AH2462" s="87"/>
      <x:c r="AI2462" s="30"/>
      <x:c r="AJ2462" s="87" t="str">
        <x:v>master</x:v>
      </x:c>
      <x:c r="AK2462" s="87" t="str">
        <x:v>master-v0.81</x:v>
      </x:c>
      <x:c r="AL2462" s="87" t="str">
        <x:v>statgrad_master_base_v0_81_final(2).xlsx</x:v>
      </x:c>
      <x:c r="AM2462" s="87" t="str">
        <x:v>BIO_Apr_V2</x:v>
      </x:c>
      <x:c r="AN2462" s="87" t="n">
        <x:v>11</x:v>
      </x:c>
    </x:row>
    <x:row r="2463">
      <x:c r="A2463" s="87" t="n">
        <x:v>2462</x:v>
      </x:c>
      <x:c r="B2463" s="87" t="str">
        <x:v>APR-BIO-V2-011</x:v>
      </x:c>
      <x:c r="C2463" s="87" t="str">
        <x:v>СтатГрад</x:v>
      </x:c>
      <x:c r="D2463" s="87" t="str">
        <x:v>Апрель 2026</x:v>
      </x:c>
      <x:c r="E2463" s="87"/>
      <x:c r="F2463" s="87"/>
      <x:c r="G2463" s="87" t="str">
        <x:v>Биология</x:v>
      </x:c>
      <x:c r="H2463" s="87" t="n">
        <x:v>11</x:v>
      </x:c>
      <x:c r="I2463" s="87" t="str">
        <x:v>ТР №5</x:v>
      </x:c>
      <x:c r="J2463" s="87" t="str">
        <x:v>БИ2510502</x:v>
      </x:c>
      <x:c r="K2463" s="87" t="n">
        <x:v>11</x:v>
      </x:c>
      <x:c r="L2463" s="87" t="str">
        <x:v>Размножение растений</x:v>
      </x:c>
      <x:c r="M2463" s="30" t="str">
        <x:v>Выберите три верных ответа и запишите в таблицу цифры, под которыми они указаны. Какие признаки цветковых растений отличают их от папоротникообразных? 1) наличие корней 2) формирование семян 3) двойное оплодотворение 4) опыление насекомыми 5) развитие заростка 6) участие воды в оплодотворении</x:v>
      </x:c>
      <x:c r="N2463" s="30" t="str">
        <x:v>234</x:v>
      </x:c>
      <x:c r="O2463" s="30" t="str">
        <x:v>Семена, двойное оплодотворение и опыление насекомыми характерны для цветковых и отсутствуют у папоротников.</x:v>
      </x:c>
      <x:c r="P2463" s="30" t="str">
        <x:v>Ответ повторно выведен из условия и проверен по биологическим закономерностям; для заданий с рисунком обозначения сверены визуально.</x:v>
      </x:c>
      <x:c r="Q2463" s="30"/>
      <x:c r="R2463" s="30" t="str">
        <x:v>Официальная таблица ответов + независимое решение</x:v>
      </x:c>
      <x:c r="S2463" s="30"/>
      <x:c r="T2463" s="30"/>
      <x:c r="U2463" s="30" t="str">
        <x:v>Расхождений не обнаружено.</x:v>
      </x:c>
      <x:c r="V2463" s="87" t="str">
        <x:v>VERIFIED</x:v>
      </x:c>
      <x:c r="W2463" s="87" t="str">
        <x:v>Официальный PDF, задание 11</x:v>
      </x:c>
      <x:c r="X2463" s="87"/>
      <x:c r="Y2463" s="87"/>
      <x:c r="Z2463" s="87"/>
      <x:c r="AA2463" s="87"/>
      <x:c r="AB2463" s="87"/>
      <x:c r="AC2463" s="87"/>
      <x:c r="AD2463" s="87"/>
      <x:c r="AE2463" s="87"/>
      <x:c r="AF2463" s="87"/>
      <x:c r="AG2463" s="87"/>
      <x:c r="AH2463" s="87"/>
      <x:c r="AI2463" s="30"/>
      <x:c r="AJ2463" s="87" t="str">
        <x:v>master</x:v>
      </x:c>
      <x:c r="AK2463" s="87" t="str">
        <x:v>master-v0.81</x:v>
      </x:c>
      <x:c r="AL2463" s="87" t="str">
        <x:v>statgrad_master_base_v0_81_final(2).xlsx</x:v>
      </x:c>
      <x:c r="AM2463" s="87" t="str">
        <x:v>BIO_Apr_V2</x:v>
      </x:c>
      <x:c r="AN2463" s="87" t="n">
        <x:v>12</x:v>
      </x:c>
    </x:row>
    <x:row r="2464">
      <x:c r="A2464" s="87" t="n">
        <x:v>2463</x:v>
      </x:c>
      <x:c r="B2464" s="87" t="str">
        <x:v>APR-BIO-V2-012</x:v>
      </x:c>
      <x:c r="C2464" s="87" t="str">
        <x:v>СтатГрад</x:v>
      </x:c>
      <x:c r="D2464" s="87" t="str">
        <x:v>Апрель 2026</x:v>
      </x:c>
      <x:c r="E2464" s="87"/>
      <x:c r="F2464" s="87"/>
      <x:c r="G2464" s="87" t="str">
        <x:v>Биология</x:v>
      </x:c>
      <x:c r="H2464" s="87" t="n">
        <x:v>11</x:v>
      </x:c>
      <x:c r="I2464" s="87" t="str">
        <x:v>ТР №5</x:v>
      </x:c>
      <x:c r="J2464" s="87" t="str">
        <x:v>БИ2510502</x:v>
      </x:c>
      <x:c r="K2464" s="87" t="n">
        <x:v>12</x:v>
      </x:c>
      <x:c r="L2464" s="87" t="str">
        <x:v>Систематика растений</x:v>
      </x:c>
      <x:c r="M2464" s="30" t="str">
        <x:v>Установите последовательность систематических групп растений, начиная с самого высокого ранга. Запишите в таблицу соответствующую последова- тельность цифр. 1) Эукариоты 2) Растения 3) Щитовниковые 4) Папоротниковидные 5) Щитовник 6) Щитовник гребенчатый</x:v>
      </x:c>
      <x:c r="N2464" s="30" t="str">
        <x:v>124356</x:v>
      </x:c>
      <x:c r="O2464" s="30" t="str">
        <x:v>Эукариоты → Растения → Папоротниковидные → Щитовниковые → Щитовник → Щитовник гребенчатый.</x:v>
      </x:c>
      <x:c r="P2464" s="30" t="str">
        <x:v>Ответ повторно выведен из условия и проверен по биологическим закономерностям; для заданий с рисунком обозначения сверены визуально.</x:v>
      </x:c>
      <x:c r="Q2464" s="30"/>
      <x:c r="R2464" s="30" t="str">
        <x:v>Официальная таблица ответов + независимое решение</x:v>
      </x:c>
      <x:c r="S2464" s="30"/>
      <x:c r="T2464" s="30"/>
      <x:c r="U2464" s="30" t="str">
        <x:v>Расхождений не обнаружено.</x:v>
      </x:c>
      <x:c r="V2464" s="87" t="str">
        <x:v>VERIFIED</x:v>
      </x:c>
      <x:c r="W2464" s="87" t="str">
        <x:v>Официальный PDF, задание 12</x:v>
      </x:c>
      <x:c r="X2464" s="87"/>
      <x:c r="Y2464" s="87"/>
      <x:c r="Z2464" s="87"/>
      <x:c r="AA2464" s="87"/>
      <x:c r="AB2464" s="87"/>
      <x:c r="AC2464" s="87"/>
      <x:c r="AD2464" s="87"/>
      <x:c r="AE2464" s="87"/>
      <x:c r="AF2464" s="87"/>
      <x:c r="AG2464" s="87"/>
      <x:c r="AH2464" s="87"/>
      <x:c r="AI2464" s="30"/>
      <x:c r="AJ2464" s="87" t="str">
        <x:v>master</x:v>
      </x:c>
      <x:c r="AK2464" s="87" t="str">
        <x:v>master-v0.81</x:v>
      </x:c>
      <x:c r="AL2464" s="87" t="str">
        <x:v>statgrad_master_base_v0_81_final(2).xlsx</x:v>
      </x:c>
      <x:c r="AM2464" s="87" t="str">
        <x:v>BIO_Apr_V2</x:v>
      </x:c>
      <x:c r="AN2464" s="87" t="n">
        <x:v>13</x:v>
      </x:c>
    </x:row>
    <x:row r="2465">
      <x:c r="A2465" s="87" t="n">
        <x:v>2464</x:v>
      </x:c>
      <x:c r="B2465" s="87" t="str">
        <x:v>APR-BIO-V2-013</x:v>
      </x:c>
      <x:c r="C2465" s="87" t="str">
        <x:v>СтатГрад</x:v>
      </x:c>
      <x:c r="D2465" s="87" t="str">
        <x:v>Апрель 2026</x:v>
      </x:c>
      <x:c r="E2465" s="87"/>
      <x:c r="F2465" s="87"/>
      <x:c r="G2465" s="87" t="str">
        <x:v>Биология</x:v>
      </x:c>
      <x:c r="H2465" s="87" t="n">
        <x:v>11</x:v>
      </x:c>
      <x:c r="I2465" s="87" t="str">
        <x:v>ТР №5</x:v>
      </x:c>
      <x:c r="J2465" s="87" t="str">
        <x:v>БИ2510502</x:v>
      </x:c>
      <x:c r="K2465" s="87" t="n">
        <x:v>13</x:v>
      </x:c>
      <x:c r="L2465" s="87" t="str">
        <x:v>Внутренние органы</x:v>
      </x:c>
      <x:c r="M2465" s="30" t="str">
        <x:v>Какой цифрой на рисунке обозначен орган, расположенный в тазовой полости?</x:v>
      </x:c>
      <x:c r="N2465" s="30" t="str">
        <x:v>8</x:v>
      </x:c>
      <x:c r="O2465" s="30" t="str">
        <x:v>В тазовой полости расположен мочевой пузырь, обозначенный цифрой 8.</x:v>
      </x:c>
      <x:c r="P2465" s="30" t="str">
        <x:v>Ответ повторно выведен из условия и проверен по биологическим закономерностям; для заданий с рисунком обозначения сверены визуально.</x:v>
      </x:c>
      <x:c r="Q2465" s="30"/>
      <x:c r="R2465" s="30" t="str">
        <x:v>Независимое решение по официальному заданию</x:v>
      </x:c>
      <x:c r="S2465" s="30"/>
      <x:c r="T2465" s="30"/>
      <x:c r="U2465" s="30" t="str">
        <x:v>Расхождений не обнаружено.</x:v>
      </x:c>
      <x:c r="V2465" s="87" t="str">
        <x:v>VERIFIED</x:v>
      </x:c>
      <x:c r="W2465" s="87" t="str">
        <x:v>Официальный PDF, задание 13</x:v>
      </x:c>
      <x:c r="X2465" s="87"/>
      <x:c r="Y2465" s="87"/>
      <x:c r="Z2465" s="87"/>
      <x:c r="AA2465" s="87"/>
      <x:c r="AB2465" s="87"/>
      <x:c r="AC2465" s="87"/>
      <x:c r="AD2465" s="87"/>
      <x:c r="AE2465" s="87"/>
      <x:c r="AF2465" s="87"/>
      <x:c r="AG2465" s="87"/>
      <x:c r="AH2465" s="87"/>
      <x:c r="AI2465" s="30"/>
      <x:c r="AJ2465" s="87" t="str">
        <x:v>master</x:v>
      </x:c>
      <x:c r="AK2465" s="87" t="str">
        <x:v>master-v0.81</x:v>
      </x:c>
      <x:c r="AL2465" s="87" t="str">
        <x:v>statgrad_master_base_v0_81_final(2).xlsx</x:v>
      </x:c>
      <x:c r="AM2465" s="87" t="str">
        <x:v>BIO_Apr_V2</x:v>
      </x:c>
      <x:c r="AN2465" s="87" t="n">
        <x:v>14</x:v>
      </x:c>
    </x:row>
    <x:row r="2466">
      <x:c r="A2466" s="87" t="n">
        <x:v>2465</x:v>
      </x:c>
      <x:c r="B2466" s="87" t="str">
        <x:v>APR-BIO-V2-014</x:v>
      </x:c>
      <x:c r="C2466" s="87" t="str">
        <x:v>СтатГрад</x:v>
      </x:c>
      <x:c r="D2466" s="87" t="str">
        <x:v>Апрель 2026</x:v>
      </x:c>
      <x:c r="E2466" s="87"/>
      <x:c r="F2466" s="87"/>
      <x:c r="G2466" s="87" t="str">
        <x:v>Биология</x:v>
      </x:c>
      <x:c r="H2466" s="87" t="n">
        <x:v>11</x:v>
      </x:c>
      <x:c r="I2466" s="87" t="str">
        <x:v>ТР №5</x:v>
      </x:c>
      <x:c r="J2466" s="87" t="str">
        <x:v>БИ2510502</x:v>
      </x:c>
      <x:c r="K2466" s="87" t="n">
        <x:v>14</x:v>
      </x:c>
      <x:c r="L2466" s="87" t="str">
        <x:v>Вегетативная нервная система</x:v>
      </x:c>
      <x:c r="M2466" s="30" t="str">
        <x:v>Установите соответствие между оказываемым эффектом и отделом нервной системы, обозначенными на рисунке цифрами 1, 2: к каждой позиции, данной в первом столбце, подберите соответствующую позицию из второго столбца. ОТДЕЛЫ НЕРВНОЙ ОКАЗЫВАЕМЫЙ ЭФФЕКТ СИСТЕМЫ А) расширение зрачка 1) 1 Б) усилении перистальтики желудка 2) 2 В) учащение пульса Г) активация слюноотделения Д) повышение артериального давления Е) уменьшение вентиляции лёгких Запишите в таблицу выбранные цифры под соответствующими буквами. А Б В Г Д Е</x:v>
      </x:c>
      <x:c r="N2466" s="30" t="str">
        <x:v>212121</x:v>
      </x:c>
      <x:c r="O2466" s="30" t="str">
        <x:v>Симпатический отдел расширяет зрачок, учащает пульс и повышает давление; парасимпатический усиливает пищеварение, слюноотделение и снижает вентиляцию.</x:v>
      </x:c>
      <x:c r="P2466" s="30" t="str">
        <x:v>Ответ повторно выведен из условия и проверен по биологическим закономерностям; для заданий с рисунком обозначения сверены визуально.</x:v>
      </x:c>
      <x:c r="Q2466" s="30"/>
      <x:c r="R2466" s="30" t="str">
        <x:v>Официальная таблица ответов + независимое решение</x:v>
      </x:c>
      <x:c r="S2466" s="30"/>
      <x:c r="T2466" s="30"/>
      <x:c r="U2466" s="30" t="str">
        <x:v>Расхождений не обнаружено.</x:v>
      </x:c>
      <x:c r="V2466" s="87" t="str">
        <x:v>VERIFIED</x:v>
      </x:c>
      <x:c r="W2466" s="87" t="str">
        <x:v>Официальный PDF, задание 14</x:v>
      </x:c>
      <x:c r="X2466" s="87"/>
      <x:c r="Y2466" s="87"/>
      <x:c r="Z2466" s="87"/>
      <x:c r="AA2466" s="87"/>
      <x:c r="AB2466" s="87"/>
      <x:c r="AC2466" s="87"/>
      <x:c r="AD2466" s="87"/>
      <x:c r="AE2466" s="87"/>
      <x:c r="AF2466" s="87"/>
      <x:c r="AG2466" s="87"/>
      <x:c r="AH2466" s="87"/>
      <x:c r="AI2466" s="30"/>
      <x:c r="AJ2466" s="87" t="str">
        <x:v>master</x:v>
      </x:c>
      <x:c r="AK2466" s="87" t="str">
        <x:v>master-v0.81</x:v>
      </x:c>
      <x:c r="AL2466" s="87" t="str">
        <x:v>statgrad_master_base_v0_81_final(2).xlsx</x:v>
      </x:c>
      <x:c r="AM2466" s="87" t="str">
        <x:v>BIO_Apr_V2</x:v>
      </x:c>
      <x:c r="AN2466" s="87" t="n">
        <x:v>15</x:v>
      </x:c>
    </x:row>
    <x:row r="2467">
      <x:c r="A2467" s="87" t="n">
        <x:v>2466</x:v>
      </x:c>
      <x:c r="B2467" s="87" t="str">
        <x:v>APR-BIO-V2-015</x:v>
      </x:c>
      <x:c r="C2467" s="87" t="str">
        <x:v>СтатГрад</x:v>
      </x:c>
      <x:c r="D2467" s="87" t="str">
        <x:v>Апрель 2026</x:v>
      </x:c>
      <x:c r="E2467" s="87"/>
      <x:c r="F2467" s="87"/>
      <x:c r="G2467" s="87" t="str">
        <x:v>Биология</x:v>
      </x:c>
      <x:c r="H2467" s="87" t="n">
        <x:v>11</x:v>
      </x:c>
      <x:c r="I2467" s="87" t="str">
        <x:v>ТР №5</x:v>
      </x:c>
      <x:c r="J2467" s="87" t="str">
        <x:v>БИ2510502</x:v>
      </x:c>
      <x:c r="K2467" s="87" t="n">
        <x:v>15</x:v>
      </x:c>
      <x:c r="L2467" s="87" t="str">
        <x:v>Состав крови</x:v>
      </x:c>
      <x:c r="M2467" s="30" t="str">
        <x:v>Выберите три верных ответа и запишите в таблицу цифры, под которыми они указаны. Какие компоненты присутствуют в нижней фракции крови после центрифугирования пробирки? 1) антитела 2) фибриноген 3) кровяные пластинки 4) плазма 5) макрофаги 6) эритроциты</x:v>
      </x:c>
      <x:c r="N2467" s="30" t="str">
        <x:v>356</x:v>
      </x:c>
      <x:c r="O2467" s="30" t="str">
        <x:v>Нижняя фракция после центрифугирования содержит форменные элементы: тромбоциты, лейкоциты/макрофаги и эритроциты.</x:v>
      </x:c>
      <x:c r="P2467" s="30" t="str">
        <x:v>Ответ повторно выведен из условия и проверен по биологическим закономерностям; для заданий с рисунком обозначения сверены визуально.</x:v>
      </x:c>
      <x:c r="Q2467" s="30"/>
      <x:c r="R2467" s="30" t="str">
        <x:v>Официальная таблица ответов + независимое решение</x:v>
      </x:c>
      <x:c r="S2467" s="30"/>
      <x:c r="T2467" s="30"/>
      <x:c r="U2467" s="30" t="str">
        <x:v>Расхождений не обнаружено.</x:v>
      </x:c>
      <x:c r="V2467" s="87" t="str">
        <x:v>VERIFIED</x:v>
      </x:c>
      <x:c r="W2467" s="87" t="str">
        <x:v>Официальный PDF, задание 15</x:v>
      </x:c>
      <x:c r="X2467" s="87"/>
      <x:c r="Y2467" s="87"/>
      <x:c r="Z2467" s="87"/>
      <x:c r="AA2467" s="87"/>
      <x:c r="AB2467" s="87"/>
      <x:c r="AC2467" s="87"/>
      <x:c r="AD2467" s="87"/>
      <x:c r="AE2467" s="87"/>
      <x:c r="AF2467" s="87"/>
      <x:c r="AG2467" s="87"/>
      <x:c r="AH2467" s="87"/>
      <x:c r="AI2467" s="30"/>
      <x:c r="AJ2467" s="87" t="str">
        <x:v>master</x:v>
      </x:c>
      <x:c r="AK2467" s="87" t="str">
        <x:v>master-v0.81</x:v>
      </x:c>
      <x:c r="AL2467" s="87" t="str">
        <x:v>statgrad_master_base_v0_81_final(2).xlsx</x:v>
      </x:c>
      <x:c r="AM2467" s="87" t="str">
        <x:v>BIO_Apr_V2</x:v>
      </x:c>
      <x:c r="AN2467" s="87" t="n">
        <x:v>16</x:v>
      </x:c>
    </x:row>
    <x:row r="2468">
      <x:c r="A2468" s="87" t="n">
        <x:v>2467</x:v>
      </x:c>
      <x:c r="B2468" s="87" t="str">
        <x:v>APR-BIO-V2-016</x:v>
      </x:c>
      <x:c r="C2468" s="87" t="str">
        <x:v>СтатГрад</x:v>
      </x:c>
      <x:c r="D2468" s="87" t="str">
        <x:v>Апрель 2026</x:v>
      </x:c>
      <x:c r="E2468" s="87"/>
      <x:c r="F2468" s="87"/>
      <x:c r="G2468" s="87" t="str">
        <x:v>Биология</x:v>
      </x:c>
      <x:c r="H2468" s="87" t="n">
        <x:v>11</x:v>
      </x:c>
      <x:c r="I2468" s="87" t="str">
        <x:v>ТР №5</x:v>
      </x:c>
      <x:c r="J2468" s="87" t="str">
        <x:v>БИ2510502</x:v>
      </x:c>
      <x:c r="K2468" s="87" t="n">
        <x:v>16</x:v>
      </x:c>
      <x:c r="L2468" s="87" t="str">
        <x:v>Менструальный цикл</x:v>
      </x:c>
      <x:c r="M2468" s="30" t="str">
        <x:v>Установите последовательность событий, происходящих в организме женщины, начиная с первого дня менструального цикла. Запишите в таблицу соответствующую последовательность цифр. 1) овуляция 2) рост доминантного фолликула 3) выделение прогестерона 4) отслойка эндометрия 5) появление жёлтого тела</x:v>
      </x:c>
      <x:c r="N2468" s="30" t="str">
        <x:v>42153</x:v>
      </x:c>
      <x:c r="O2468" s="30" t="str">
        <x:v>Первый день — менструация; затем рост фолликула, овуляция, образование жёлтого тела и секреция прогестерона.</x:v>
      </x:c>
      <x:c r="P2468" s="30" t="str">
        <x:v>Ответ повторно выведен из условия и проверен по биологическим закономерностям; для заданий с рисунком обозначения сверены визуально.</x:v>
      </x:c>
      <x:c r="Q2468" s="30"/>
      <x:c r="R2468" s="30" t="str">
        <x:v>Официальная таблица ответов + независимое решение</x:v>
      </x:c>
      <x:c r="S2468" s="30"/>
      <x:c r="T2468" s="30"/>
      <x:c r="U2468" s="30" t="str">
        <x:v>Расхождений не обнаружено.</x:v>
      </x:c>
      <x:c r="V2468" s="87" t="str">
        <x:v>VERIFIED</x:v>
      </x:c>
      <x:c r="W2468" s="87" t="str">
        <x:v>Официальный PDF, задание 16</x:v>
      </x:c>
      <x:c r="X2468" s="87"/>
      <x:c r="Y2468" s="87"/>
      <x:c r="Z2468" s="87"/>
      <x:c r="AA2468" s="87"/>
      <x:c r="AB2468" s="87"/>
      <x:c r="AC2468" s="87"/>
      <x:c r="AD2468" s="87"/>
      <x:c r="AE2468" s="87"/>
      <x:c r="AF2468" s="87"/>
      <x:c r="AG2468" s="87"/>
      <x:c r="AH2468" s="87"/>
      <x:c r="AI2468" s="30"/>
      <x:c r="AJ2468" s="87" t="str">
        <x:v>master</x:v>
      </x:c>
      <x:c r="AK2468" s="87" t="str">
        <x:v>master-v0.81</x:v>
      </x:c>
      <x:c r="AL2468" s="87" t="str">
        <x:v>statgrad_master_base_v0_81_final(2).xlsx</x:v>
      </x:c>
      <x:c r="AM2468" s="87" t="str">
        <x:v>BIO_Apr_V2</x:v>
      </x:c>
      <x:c r="AN2468" s="87" t="n">
        <x:v>17</x:v>
      </x:c>
    </x:row>
    <x:row r="2469">
      <x:c r="A2469" s="87" t="n">
        <x:v>2468</x:v>
      </x:c>
      <x:c r="B2469" s="87" t="str">
        <x:v>APR-BIO-V2-017</x:v>
      </x:c>
      <x:c r="C2469" s="87" t="str">
        <x:v>СтатГрад</x:v>
      </x:c>
      <x:c r="D2469" s="87" t="str">
        <x:v>Апрель 2026</x:v>
      </x:c>
      <x:c r="E2469" s="87"/>
      <x:c r="F2469" s="87"/>
      <x:c r="G2469" s="87" t="str">
        <x:v>Биология</x:v>
      </x:c>
      <x:c r="H2469" s="87" t="n">
        <x:v>11</x:v>
      </x:c>
      <x:c r="I2469" s="87" t="str">
        <x:v>ТР №5</x:v>
      </x:c>
      <x:c r="J2469" s="87" t="str">
        <x:v>БИ2510502</x:v>
      </x:c>
      <x:c r="K2469" s="87" t="n">
        <x:v>17</x:v>
      </x:c>
      <x:c r="L2469" s="87" t="str">
        <x:v>Эры развития жизни</x:v>
      </x:c>
      <x:c r="M2469" s="30" t="str">
        <x:v>Прочитайте текст. Выберите три предложения, в которых даны примеры эволюционных событий, происходивших в мезозойскую эру. Запишите в таблицу цифры, под которыми они указаны. (1)В юрский период произошло широкое распространение пресмыкающихся, включая динозавров. (2)Примерно в это же время появились первые птицы, произошедшие от древних пресмыкающихся. (3)В девоне началось активное формирование почвенного покрова суши. (4)В меловой период появляются покрытосеменные растения, распространившиеся на все материки. (5)Споровые растения, отмирая, формировали отложения каменного угля. (6)В начале палеогена сформировались основные группы современных млекопитающих, в том числе приматы.</x:v>
      </x:c>
      <x:c r="N2469" s="30" t="str">
        <x:v>124</x:v>
      </x:c>
      <x:c r="O2469" s="30" t="str">
        <x:v>Юра и мел относятся к мезозою: распространение рептилий, появление птиц и покрытосеменных.</x:v>
      </x:c>
      <x:c r="P2469" s="30" t="str">
        <x:v>Ответ повторно выведен из условия и проверен по биологическим закономерностям; для заданий с рисунком обозначения сверены визуально.</x:v>
      </x:c>
      <x:c r="Q2469" s="30"/>
      <x:c r="R2469" s="30" t="str">
        <x:v>Официальная таблица ответов + независимое решение</x:v>
      </x:c>
      <x:c r="S2469" s="30"/>
      <x:c r="T2469" s="30"/>
      <x:c r="U2469" s="30" t="str">
        <x:v>Расхождений не обнаружено.</x:v>
      </x:c>
      <x:c r="V2469" s="87" t="str">
        <x:v>VERIFIED</x:v>
      </x:c>
      <x:c r="W2469" s="87" t="str">
        <x:v>Официальный PDF, задание 17</x:v>
      </x:c>
      <x:c r="X2469" s="87"/>
      <x:c r="Y2469" s="87"/>
      <x:c r="Z2469" s="87"/>
      <x:c r="AA2469" s="87"/>
      <x:c r="AB2469" s="87"/>
      <x:c r="AC2469" s="87"/>
      <x:c r="AD2469" s="87"/>
      <x:c r="AE2469" s="87"/>
      <x:c r="AF2469" s="87"/>
      <x:c r="AG2469" s="87"/>
      <x:c r="AH2469" s="87"/>
      <x:c r="AI2469" s="30"/>
      <x:c r="AJ2469" s="87" t="str">
        <x:v>master</x:v>
      </x:c>
      <x:c r="AK2469" s="87" t="str">
        <x:v>master-v0.81</x:v>
      </x:c>
      <x:c r="AL2469" s="87" t="str">
        <x:v>statgrad_master_base_v0_81_final(2).xlsx</x:v>
      </x:c>
      <x:c r="AM2469" s="87" t="str">
        <x:v>BIO_Apr_V2</x:v>
      </x:c>
      <x:c r="AN2469" s="87" t="n">
        <x:v>18</x:v>
      </x:c>
    </x:row>
    <x:row r="2470">
      <x:c r="A2470" s="87" t="n">
        <x:v>2469</x:v>
      </x:c>
      <x:c r="B2470" s="87" t="str">
        <x:v>APR-BIO-V2-018</x:v>
      </x:c>
      <x:c r="C2470" s="87" t="str">
        <x:v>СтатГрад</x:v>
      </x:c>
      <x:c r="D2470" s="87" t="str">
        <x:v>Апрель 2026</x:v>
      </x:c>
      <x:c r="E2470" s="87"/>
      <x:c r="F2470" s="87"/>
      <x:c r="G2470" s="87" t="str">
        <x:v>Биология</x:v>
      </x:c>
      <x:c r="H2470" s="87" t="n">
        <x:v>11</x:v>
      </x:c>
      <x:c r="I2470" s="87" t="str">
        <x:v>ТР №5</x:v>
      </x:c>
      <x:c r="J2470" s="87" t="str">
        <x:v>БИ2510502</x:v>
      </x:c>
      <x:c r="K2470" s="87" t="n">
        <x:v>18</x:v>
      </x:c>
      <x:c r="L2470" s="87" t="str">
        <x:v>Экологические группы растений</x:v>
      </x:c>
      <x:c r="M2470" s="30" t="str">
        <x:v>Выберите три верных ответа и запишите в таблицу цифры, под которыми они указаны. Какие адаптации отличают суккуленты от гидрофитов? 1) слизистая эпидерма 2) водоносная ткань 3) шаровидная форма побега 4) шипы и колючки 5) аэренхима 6) отсутствие хлоропластов</x:v>
      </x:c>
      <x:c r="N2470" s="30" t="str">
        <x:v>234</x:v>
      </x:c>
      <x:c r="O2470" s="30" t="str">
        <x:v>Суккуленты имеют водоносную ткань, компактную шаровидную форму и шипы/колючки.</x:v>
      </x:c>
      <x:c r="P2470" s="30" t="str">
        <x:v>Ответ повторно выведен из условия и проверен по биологическим закономерностям; для заданий с рисунком обозначения сверены визуально.</x:v>
      </x:c>
      <x:c r="Q2470" s="30"/>
      <x:c r="R2470" s="30" t="str">
        <x:v>Официальная таблица ответов + независимое решение</x:v>
      </x:c>
      <x:c r="S2470" s="30"/>
      <x:c r="T2470" s="30"/>
      <x:c r="U2470" s="30" t="str">
        <x:v>Расхождений не обнаружено.</x:v>
      </x:c>
      <x:c r="V2470" s="87" t="str">
        <x:v>VERIFIED</x:v>
      </x:c>
      <x:c r="W2470" s="87" t="str">
        <x:v>Официальный PDF, задание 18</x:v>
      </x:c>
      <x:c r="X2470" s="87"/>
      <x:c r="Y2470" s="87"/>
      <x:c r="Z2470" s="87"/>
      <x:c r="AA2470" s="87"/>
      <x:c r="AB2470" s="87"/>
      <x:c r="AC2470" s="87"/>
      <x:c r="AD2470" s="87"/>
      <x:c r="AE2470" s="87"/>
      <x:c r="AF2470" s="87"/>
      <x:c r="AG2470" s="87"/>
      <x:c r="AH2470" s="87"/>
      <x:c r="AI2470" s="30"/>
      <x:c r="AJ2470" s="87" t="str">
        <x:v>master</x:v>
      </x:c>
      <x:c r="AK2470" s="87" t="str">
        <x:v>master-v0.81</x:v>
      </x:c>
      <x:c r="AL2470" s="87" t="str">
        <x:v>statgrad_master_base_v0_81_final(2).xlsx</x:v>
      </x:c>
      <x:c r="AM2470" s="87" t="str">
        <x:v>BIO_Apr_V2</x:v>
      </x:c>
      <x:c r="AN2470" s="87" t="n">
        <x:v>19</x:v>
      </x:c>
    </x:row>
    <x:row r="2471">
      <x:c r="A2471" s="87" t="n">
        <x:v>2470</x:v>
      </x:c>
      <x:c r="B2471" s="87" t="str">
        <x:v>APR-BIO-V2-019</x:v>
      </x:c>
      <x:c r="C2471" s="87" t="str">
        <x:v>СтатГрад</x:v>
      </x:c>
      <x:c r="D2471" s="87" t="str">
        <x:v>Апрель 2026</x:v>
      </x:c>
      <x:c r="E2471" s="87"/>
      <x:c r="F2471" s="87"/>
      <x:c r="G2471" s="87" t="str">
        <x:v>Биология</x:v>
      </x:c>
      <x:c r="H2471" s="87" t="n">
        <x:v>11</x:v>
      </x:c>
      <x:c r="I2471" s="87" t="str">
        <x:v>ТР №5</x:v>
      </x:c>
      <x:c r="J2471" s="87" t="str">
        <x:v>БИ2510502</x:v>
      </x:c>
      <x:c r="K2471" s="87" t="n">
        <x:v>19</x:v>
      </x:c>
      <x:c r="L2471" s="87" t="str">
        <x:v>Формы эволюции</x:v>
      </x:c>
      <x:c r="M2471" s="30" t="str">
        <x:v>Установите соответствие между примерами и формами эволюции: к каждой позиции, данной в первом столбце, подберите соответствующую позицию из второго столбца. ПРИМЕРЫ ФОРМЫ ЭВОЛЮЦИИ А) крылья бабочек и птиц 1) конвергенция Б) клюв утки и утконоса 2) дивергенция В) ласты китов и лапы кошачьих Г) жабры рыб и ракообразных Д) клюв коршуна и пеликана Е) шерсть млекопитающих и перья птиц Запишите в таблицу выбранные цифры под соответствующими буквами. А Б В Г Д Е</x:v>
      </x:c>
      <x:c r="N2471" s="30" t="str">
        <x:v>112122</x:v>
      </x:c>
      <x:c r="O2471" s="30" t="str">
        <x:v>Сходные органы неродственных групп возникают конвергентно, различия гомологичных органов родственных групп — при дивергенции.</x:v>
      </x:c>
      <x:c r="P2471" s="30" t="str">
        <x:v>Ответ повторно выведен из условия и проверен по биологическим закономерностям; для заданий с рисунком обозначения сверены визуально.</x:v>
      </x:c>
      <x:c r="Q2471" s="30"/>
      <x:c r="R2471" s="30" t="str">
        <x:v>Официальная таблица ответов + независимое решение</x:v>
      </x:c>
      <x:c r="S2471" s="30"/>
      <x:c r="T2471" s="30"/>
      <x:c r="U2471" s="30" t="str">
        <x:v>Расхождений не обнаружено.</x:v>
      </x:c>
      <x:c r="V2471" s="87" t="str">
        <x:v>VERIFIED</x:v>
      </x:c>
      <x:c r="W2471" s="87" t="str">
        <x:v>Официальный PDF, задание 19</x:v>
      </x:c>
      <x:c r="X2471" s="87"/>
      <x:c r="Y2471" s="87"/>
      <x:c r="Z2471" s="87"/>
      <x:c r="AA2471" s="87"/>
      <x:c r="AB2471" s="87"/>
      <x:c r="AC2471" s="87"/>
      <x:c r="AD2471" s="87"/>
      <x:c r="AE2471" s="87"/>
      <x:c r="AF2471" s="87"/>
      <x:c r="AG2471" s="87"/>
      <x:c r="AH2471" s="87"/>
      <x:c r="AI2471" s="30"/>
      <x:c r="AJ2471" s="87" t="str">
        <x:v>master</x:v>
      </x:c>
      <x:c r="AK2471" s="87" t="str">
        <x:v>master-v0.81</x:v>
      </x:c>
      <x:c r="AL2471" s="87" t="str">
        <x:v>statgrad_master_base_v0_81_final(2).xlsx</x:v>
      </x:c>
      <x:c r="AM2471" s="87" t="str">
        <x:v>BIO_Apr_V2</x:v>
      </x:c>
      <x:c r="AN2471" s="87" t="n">
        <x:v>20</x:v>
      </x:c>
    </x:row>
    <x:row r="2472">
      <x:c r="A2472" s="87" t="n">
        <x:v>2471</x:v>
      </x:c>
      <x:c r="B2472" s="87" t="str">
        <x:v>APR-BIO-V2-020</x:v>
      </x:c>
      <x:c r="C2472" s="87" t="str">
        <x:v>СтатГрад</x:v>
      </x:c>
      <x:c r="D2472" s="87" t="str">
        <x:v>Апрель 2026</x:v>
      </x:c>
      <x:c r="E2472" s="87"/>
      <x:c r="F2472" s="87"/>
      <x:c r="G2472" s="87" t="str">
        <x:v>Биология</x:v>
      </x:c>
      <x:c r="H2472" s="87" t="n">
        <x:v>11</x:v>
      </x:c>
      <x:c r="I2472" s="87" t="str">
        <x:v>ТР №5</x:v>
      </x:c>
      <x:c r="J2472" s="87" t="str">
        <x:v>БИ2510502</x:v>
      </x:c>
      <x:c r="K2472" s="87" t="n">
        <x:v>20</x:v>
      </x:c>
      <x:c r="L2472" s="87" t="str">
        <x:v>Экологические правила</x:v>
      </x:c>
      <x:c r="M2472" s="30" t="str">
        <x:v>Рассмотрите животных и карту, изображённые на рисунке.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Экологическое правило Суть правила Аналогичный пример __________________(А) ___________________(Б) ___________________(В) Список элементов 1) малайский медведь и белый медведь 2) обитатели холодного климата имеют относительно меньшие выступаю- щие части тела 3) Аллена 4) лиса фенек и песец 5) наиболее крупными являются те животные, которые обитают в высоких широтах 6) Либиха 7) эскимосы и масаи 8) Бергмана Запишите в таблицу выбранные цифры под соответствующими буквами. А Б В</x:v>
      </x:c>
      <x:c r="N2472" s="30" t="str">
        <x:v>851</x:v>
      </x:c>
      <x:c r="O2472" s="30" t="str">
        <x:v>На рисунке проявляется правило Бергмана: в высоких широтах животные крупнее; аналогичный пример — малайский и белый медведи.</x:v>
      </x:c>
      <x:c r="P2472" s="30" t="str">
        <x:v>Ответ повторно выведен из условия и проверен по биологическим закономерностям; для заданий с рисунком обозначения сверены визуально.</x:v>
      </x:c>
      <x:c r="Q2472" s="30"/>
      <x:c r="R2472" s="30" t="str">
        <x:v>Официальная таблица ответов + независимое решение</x:v>
      </x:c>
      <x:c r="S2472" s="30"/>
      <x:c r="T2472" s="30"/>
      <x:c r="U2472" s="30" t="str">
        <x:v>Расхождений не обнаружено.</x:v>
      </x:c>
      <x:c r="V2472" s="87" t="str">
        <x:v>VERIFIED</x:v>
      </x:c>
      <x:c r="W2472" s="87" t="str">
        <x:v>Официальный PDF, задание 20</x:v>
      </x:c>
      <x:c r="X2472" s="87"/>
      <x:c r="Y2472" s="87"/>
      <x:c r="Z2472" s="87"/>
      <x:c r="AA2472" s="87"/>
      <x:c r="AB2472" s="87"/>
      <x:c r="AC2472" s="87"/>
      <x:c r="AD2472" s="87"/>
      <x:c r="AE2472" s="87"/>
      <x:c r="AF2472" s="87"/>
      <x:c r="AG2472" s="87"/>
      <x:c r="AH2472" s="87"/>
      <x:c r="AI2472" s="30"/>
      <x:c r="AJ2472" s="87" t="str">
        <x:v>master</x:v>
      </x:c>
      <x:c r="AK2472" s="87" t="str">
        <x:v>master-v0.81</x:v>
      </x:c>
      <x:c r="AL2472" s="87" t="str">
        <x:v>statgrad_master_base_v0_81_final(2).xlsx</x:v>
      </x:c>
      <x:c r="AM2472" s="87" t="str">
        <x:v>BIO_Apr_V2</x:v>
      </x:c>
      <x:c r="AN2472" s="87" t="n">
        <x:v>21</x:v>
      </x:c>
    </x:row>
    <x:row r="2473">
      <x:c r="A2473" s="87" t="n">
        <x:v>2472</x:v>
      </x:c>
      <x:c r="B2473" s="87" t="str">
        <x:v>APR-BIO-V2-021</x:v>
      </x:c>
      <x:c r="C2473" s="87" t="str">
        <x:v>СтатГрад</x:v>
      </x:c>
      <x:c r="D2473" s="87" t="str">
        <x:v>Апрель 2026</x:v>
      </x:c>
      <x:c r="E2473" s="87"/>
      <x:c r="F2473" s="87"/>
      <x:c r="G2473" s="87" t="str">
        <x:v>Биология</x:v>
      </x:c>
      <x:c r="H2473" s="87" t="n">
        <x:v>11</x:v>
      </x:c>
      <x:c r="I2473" s="87" t="str">
        <x:v>ТР №5</x:v>
      </x:c>
      <x:c r="J2473" s="87" t="str">
        <x:v>БИ2510502</x:v>
      </x:c>
      <x:c r="K2473" s="87" t="n">
        <x:v>21</x:v>
      </x:c>
      <x:c r="L2473" s="87" t="str">
        <x:v>Анализ таблицы</x:v>
      </x:c>
      <x:c r="M2473" s="30" t="str">
        <x:v>Проанализируйте таблицу «Влияние температуры воды на жизнедея- тельность рыб» Температура воды, oC Виды Питание рыб рыб Оцепенение Начало Интенсивное Окончание Налим 1 3–7 12 выше 15 Форель 2 10–12 18 выше 25 Щука 4 13–16 23 ниже 2 Окунь 4 12–15 21 ниже 2 Карп 10 20–28 30 ниже 6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Клёв окуня будет максимальным при прогреве воды до 12 oC. 2) Форель при температуре выше 25 oC выходит из оцепенения. 3) Зона температурного оптимума для щуки составляет 4–23 oC. 4) Карп обитает в холодных реках с быстрым течением. 5) Самой холодолюбивой рыбой из представленных является налим.</x:v>
      </x:c>
      <x:c r="N2473" s="30" t="str">
        <x:v>15</x:v>
      </x:c>
      <x:c r="O2473" s="30" t="str">
        <x:v>По таблице подтверждаются максимальный клёв окуня с 12 °C и наибольшая холодолюбивость налима.</x:v>
      </x:c>
      <x:c r="P2473" s="30" t="str">
        <x:v>Ответ повторно выведен из условия и проверен по биологическим закономерностям; для заданий с рисунком обозначения сверены визуально.</x:v>
      </x:c>
      <x:c r="Q2473" s="30"/>
      <x:c r="R2473" s="30" t="str">
        <x:v>Официальная таблица ответов + независимое решение</x:v>
      </x:c>
      <x:c r="S2473" s="30"/>
      <x:c r="T2473" s="30"/>
      <x:c r="U2473" s="30" t="str">
        <x:v>Расхождений не обнаружено.</x:v>
      </x:c>
      <x:c r="V2473" s="87" t="str">
        <x:v>VERIFIED</x:v>
      </x:c>
      <x:c r="W2473" s="87" t="str">
        <x:v>Официальный PDF, задание 21</x:v>
      </x:c>
      <x:c r="X2473" s="87"/>
      <x:c r="Y2473" s="87"/>
      <x:c r="Z2473" s="87"/>
      <x:c r="AA2473" s="87"/>
      <x:c r="AB2473" s="87"/>
      <x:c r="AC2473" s="87"/>
      <x:c r="AD2473" s="87"/>
      <x:c r="AE2473" s="87"/>
      <x:c r="AF2473" s="87"/>
      <x:c r="AG2473" s="87"/>
      <x:c r="AH2473" s="87"/>
      <x:c r="AI2473" s="30"/>
      <x:c r="AJ2473" s="87" t="str">
        <x:v>master</x:v>
      </x:c>
      <x:c r="AK2473" s="87" t="str">
        <x:v>master-v0.81</x:v>
      </x:c>
      <x:c r="AL2473" s="87" t="str">
        <x:v>statgrad_master_base_v0_81_final(2).xlsx</x:v>
      </x:c>
      <x:c r="AM2473" s="87" t="str">
        <x:v>BIO_Apr_V2</x:v>
      </x:c>
      <x:c r="AN2473" s="87" t="n">
        <x:v>22</x:v>
      </x:c>
    </x:row>
    <x:row r="2474">
      <x:c r="A2474" s="87" t="n">
        <x:v>2473</x:v>
      </x:c>
      <x:c r="B2474" s="87" t="str">
        <x:v>APR-BIO-V2-022</x:v>
      </x:c>
      <x:c r="C2474" s="87" t="str">
        <x:v>СтатГрад</x:v>
      </x:c>
      <x:c r="D2474" s="87" t="str">
        <x:v>Апрель 2026</x:v>
      </x:c>
      <x:c r="E2474" s="87"/>
      <x:c r="F2474" s="87"/>
      <x:c r="G2474" s="87" t="str">
        <x:v>Биология</x:v>
      </x:c>
      <x:c r="H2474" s="87" t="n">
        <x:v>11</x:v>
      </x:c>
      <x:c r="I2474" s="87" t="str">
        <x:v>ТР №5</x:v>
      </x:c>
      <x:c r="J2474" s="87" t="str">
        <x:v>БИ2510502</x:v>
      </x:c>
      <x:c r="K2474" s="87" t="n">
        <x:v>22</x:v>
      </x:c>
      <x:c r="L2474" s="87" t="str">
        <x:v>Развёрнутый ответ: эксперимент</x:v>
      </x:c>
      <x:c r="M2474" s="30" t="str">
        <x:v>Какая переменная в этом эксперименте была независимой (задаваемой), а какая – зависимой (изменяющейся)? Объясните, как в данном эксперименте был поставлен отрицательный контроль*? С какой целью необходимо осуществлять такой контроль? *Отрицательный контроль – это экспериментальный контроль (опыт), при котором изучаемый объект не подвергается экспериментальному воздействию при сохранении всех остальных условий.</x:v>
      </x:c>
      <x:c r="N2474" s="30" t="str">
        <x:v>Независимая переменная — наличие нитратов в растворе; зависимая — диаметр клубеньков. Отрицательный контроль: растения выращивают в таком же растворе и условиях, но без нитратов. Он показывает, связано ли изменение диаметра именно с нитратами, а не с другими факторами.</x:v>
      </x:c>
      <x:c r="O2474" s="30" t="str">
        <x:v>Независимая переменная — наличие нитратов в растворе; зависимая — диаметр клубеньков. Отрицательный контроль: растения выращивают в таком же растворе и условиях, но без нитратов. Он показывает, связано ли изменение диаметра именно с нитратами, а не с другими факторами.</x:v>
      </x:c>
      <x:c r="P2474" s="30" t="str">
        <x:v>Все обязательные смысловые элементы сопоставлены с официальными критериями оценивания.</x:v>
      </x:c>
      <x:c r="Q2474" s="30"/>
      <x:c r="R2474" s="30" t="str">
        <x:v>Официальные критерии СтатГрад</x:v>
      </x:c>
      <x:c r="S2474" s="30"/>
      <x:c r="T2474" s="30"/>
      <x:c r="U2474" s="30" t="str">
        <x:v>Расхождений не обнаружено.</x:v>
      </x:c>
      <x:c r="V2474" s="87" t="str">
        <x:v>VERIFIED</x:v>
      </x:c>
      <x:c r="W2474" s="87" t="str">
        <x:v>Официальный PDF, задание 22</x:v>
      </x:c>
      <x:c r="X2474" s="87"/>
      <x:c r="Y2474" s="87"/>
      <x:c r="Z2474" s="87"/>
      <x:c r="AA2474" s="87"/>
      <x:c r="AB2474" s="87"/>
      <x:c r="AC2474" s="87"/>
      <x:c r="AD2474" s="87"/>
      <x:c r="AE2474" s="87"/>
      <x:c r="AF2474" s="87"/>
      <x:c r="AG2474" s="87"/>
      <x:c r="AH2474" s="87"/>
      <x:c r="AI2474" s="30"/>
      <x:c r="AJ2474" s="87" t="str">
        <x:v>master</x:v>
      </x:c>
      <x:c r="AK2474" s="87" t="str">
        <x:v>master-v0.81</x:v>
      </x:c>
      <x:c r="AL2474" s="87" t="str">
        <x:v>statgrad_master_base_v0_81_final(2).xlsx</x:v>
      </x:c>
      <x:c r="AM2474" s="87" t="str">
        <x:v>BIO_Apr_V2</x:v>
      </x:c>
      <x:c r="AN2474" s="87" t="n">
        <x:v>23</x:v>
      </x:c>
    </x:row>
    <x:row r="2475">
      <x:c r="A2475" s="87" t="n">
        <x:v>2474</x:v>
      </x:c>
      <x:c r="B2475" s="87" t="str">
        <x:v>APR-BIO-V2-023</x:v>
      </x:c>
      <x:c r="C2475" s="87" t="str">
        <x:v>СтатГрад</x:v>
      </x:c>
      <x:c r="D2475" s="87" t="str">
        <x:v>Апрель 2026</x:v>
      </x:c>
      <x:c r="E2475" s="87"/>
      <x:c r="F2475" s="87"/>
      <x:c r="G2475" s="87" t="str">
        <x:v>Биология</x:v>
      </x:c>
      <x:c r="H2475" s="87" t="n">
        <x:v>11</x:v>
      </x:c>
      <x:c r="I2475" s="87" t="str">
        <x:v>ТР №5</x:v>
      </x:c>
      <x:c r="J2475" s="87" t="str">
        <x:v>БИ2510502</x:v>
      </x:c>
      <x:c r="K2475" s="87" t="n">
        <x:v>23</x:v>
      </x:c>
      <x:c r="L2475" s="87" t="str">
        <x:v>Развёрнутый ответ: симбиоз</x:v>
      </x:c>
      <x:c r="M2475" s="30" t="str">
        <x:v>Почему бактерии вводили непосредственно в семена сои, а не в питательный раствор на этапе роста саженцев? С какой целью в сельском хозяйстве применяют севооборот – ежегодное чередование бобовых и злаковых культур на одном и том же участке земли? Ответ поясните.</x:v>
      </x:c>
      <x:c r="N2475" s="30" t="str">
        <x:v>Введение бактерий в семена обеспечивает одинаковую дозу и контакт бактерий с формирующимися корнями; при добавлении в раствор часть бактерий не проникла бы в корни. Клубеньковые бактерии — симбионты бобовых и обогащают почву соединениями азота, поэтому злаки после бобовых получают больше азота и требуют меньше удобрений; чередование также снижает истощение почвы.</x:v>
      </x:c>
      <x:c r="O2475" s="30" t="str">
        <x:v>Введение бактерий в семена обеспечивает одинаковую дозу и контакт бактерий с формирующимися корнями; при добавлении в раствор часть бактерий не проникла бы в корни. Клубеньковые бактерии — симбионты бобовых и обогащают почву соединениями азота, поэтому злаки после бобовых получают больше азота и требуют меньше удобрений; чередование также снижает истощение почвы.</x:v>
      </x:c>
      <x:c r="P2475" s="30" t="str">
        <x:v>Все обязательные смысловые элементы сопоставлены с официальными критериями оценивания.</x:v>
      </x:c>
      <x:c r="Q2475" s="30"/>
      <x:c r="R2475" s="30" t="str">
        <x:v>Официальные критерии СтатГрад</x:v>
      </x:c>
      <x:c r="S2475" s="30"/>
      <x:c r="T2475" s="30"/>
      <x:c r="U2475" s="30" t="str">
        <x:v>Расхождений не обнаружено.</x:v>
      </x:c>
      <x:c r="V2475" s="87" t="str">
        <x:v>VERIFIED</x:v>
      </x:c>
      <x:c r="W2475" s="87" t="str">
        <x:v>Официальный PDF, задание 23</x:v>
      </x:c>
      <x:c r="X2475" s="87"/>
      <x:c r="Y2475" s="87"/>
      <x:c r="Z2475" s="87"/>
      <x:c r="AA2475" s="87"/>
      <x:c r="AB2475" s="87"/>
      <x:c r="AC2475" s="87"/>
      <x:c r="AD2475" s="87"/>
      <x:c r="AE2475" s="87"/>
      <x:c r="AF2475" s="87"/>
      <x:c r="AG2475" s="87"/>
      <x:c r="AH2475" s="87"/>
      <x:c r="AI2475" s="30"/>
      <x:c r="AJ2475" s="87" t="str">
        <x:v>master</x:v>
      </x:c>
      <x:c r="AK2475" s="87" t="str">
        <x:v>master-v0.81</x:v>
      </x:c>
      <x:c r="AL2475" s="87" t="str">
        <x:v>statgrad_master_base_v0_81_final(2).xlsx</x:v>
      </x:c>
      <x:c r="AM2475" s="87" t="str">
        <x:v>BIO_Apr_V2</x:v>
      </x:c>
      <x:c r="AN2475" s="87" t="n">
        <x:v>24</x:v>
      </x:c>
    </x:row>
    <x:row r="2476">
      <x:c r="A2476" s="87" t="n">
        <x:v>2475</x:v>
      </x:c>
      <x:c r="B2476" s="87" t="str">
        <x:v>APR-BIO-V2-024</x:v>
      </x:c>
      <x:c r="C2476" s="87" t="str">
        <x:v>СтатГрад</x:v>
      </x:c>
      <x:c r="D2476" s="87" t="str">
        <x:v>Апрель 2026</x:v>
      </x:c>
      <x:c r="E2476" s="87"/>
      <x:c r="F2476" s="87"/>
      <x:c r="G2476" s="87" t="str">
        <x:v>Биология</x:v>
      </x:c>
      <x:c r="H2476" s="87" t="n">
        <x:v>11</x:v>
      </x:c>
      <x:c r="I2476" s="87" t="str">
        <x:v>ТР №5</x:v>
      </x:c>
      <x:c r="J2476" s="87" t="str">
        <x:v>БИ2510502</x:v>
      </x:c>
      <x:c r="K2476" s="87" t="n">
        <x:v>24</x:v>
      </x:c>
      <x:c r="L2476" s="87" t="str">
        <x:v>Развёрнутый ответ: биология и рисунок</x:v>
      </x:c>
      <x:c r="M2476" s="30" t="str">
        <x:v>К какой экологической группе растений по отношению к влажности относится растение, фрагмент листа которого изображён на рисунке? Приведите три аргумента в пользу своего мнения. Назовите два биома (две природные зоны), в которых данное растение можно встретить с наибольшей вероятностью.</x:v>
      </x:c>
      <x:c r="N2476" s="30" t="str">
        <x:v>Это ксерофит. Признаки: толстая кутикула/многослойная эпидерма с утолщёнными стенками, погружённые устьица, опушение вокруг устьиц. Вероятные биомы: пустыня, полупустыня, степь или саванна — достаточно двух.</x:v>
      </x:c>
      <x:c r="O2476" s="30" t="str">
        <x:v>Это ксерофит. Признаки: толстая кутикула/многослойная эпидерма с утолщёнными стенками, погружённые устьица, опушение вокруг устьиц. Вероятные биомы: пустыня, полупустыня, степь или саванна — достаточно двух.</x:v>
      </x:c>
      <x:c r="P2476" s="30" t="str">
        <x:v>Все обязательные смысловые элементы сопоставлены с официальными критериями оценивания.</x:v>
      </x:c>
      <x:c r="Q2476" s="30"/>
      <x:c r="R2476" s="30" t="str">
        <x:v>Официальные критерии СтатГрад</x:v>
      </x:c>
      <x:c r="S2476" s="30"/>
      <x:c r="T2476" s="30"/>
      <x:c r="U2476" s="30" t="str">
        <x:v>Расхождений не обнаружено.</x:v>
      </x:c>
      <x:c r="V2476" s="87" t="str">
        <x:v>VERIFIED</x:v>
      </x:c>
      <x:c r="W2476" s="87" t="str">
        <x:v>Официальный PDF, задание 24</x:v>
      </x:c>
      <x:c r="X2476" s="87"/>
      <x:c r="Y2476" s="87"/>
      <x:c r="Z2476" s="87"/>
      <x:c r="AA2476" s="87"/>
      <x:c r="AB2476" s="87"/>
      <x:c r="AC2476" s="87"/>
      <x:c r="AD2476" s="87"/>
      <x:c r="AE2476" s="87"/>
      <x:c r="AF2476" s="87"/>
      <x:c r="AG2476" s="87"/>
      <x:c r="AH2476" s="87"/>
      <x:c r="AI2476" s="30"/>
      <x:c r="AJ2476" s="87" t="str">
        <x:v>master</x:v>
      </x:c>
      <x:c r="AK2476" s="87" t="str">
        <x:v>master-v0.81</x:v>
      </x:c>
      <x:c r="AL2476" s="87" t="str">
        <x:v>statgrad_master_base_v0_81_final(2).xlsx</x:v>
      </x:c>
      <x:c r="AM2476" s="87" t="str">
        <x:v>BIO_Apr_V2</x:v>
      </x:c>
      <x:c r="AN2476" s="87" t="n">
        <x:v>25</x:v>
      </x:c>
    </x:row>
    <x:row r="2477">
      <x:c r="A2477" s="87" t="n">
        <x:v>2476</x:v>
      </x:c>
      <x:c r="B2477" s="87" t="str">
        <x:v>APR-BIO-V2-025</x:v>
      </x:c>
      <x:c r="C2477" s="87" t="str">
        <x:v>СтатГрад</x:v>
      </x:c>
      <x:c r="D2477" s="87" t="str">
        <x:v>Апрель 2026</x:v>
      </x:c>
      <x:c r="E2477" s="87"/>
      <x:c r="F2477" s="87"/>
      <x:c r="G2477" s="87" t="str">
        <x:v>Биология</x:v>
      </x:c>
      <x:c r="H2477" s="87" t="n">
        <x:v>11</x:v>
      </x:c>
      <x:c r="I2477" s="87" t="str">
        <x:v>ТР №5</x:v>
      </x:c>
      <x:c r="J2477" s="87" t="str">
        <x:v>БИ2510502</x:v>
      </x:c>
      <x:c r="K2477" s="87" t="n">
        <x:v>25</x:v>
      </x:c>
      <x:c r="L2477" s="87" t="str">
        <x:v>Развёрнутый ответ: физиология/экология</x:v>
      </x:c>
      <x:c r="M2477" s="30" t="str">
        <x:v>Какие особенности строения паутины обеспечивают одновременно эффективную ловлю добычи и возможность безопасного передвижения паука? Исходя из особенностей строения ловчих нитей, объясните, почему в сухом климате разнообразие пауков гораздо меньше. Учитывая слабое зрение у большинства пауков, предположите, как они определяют место пойманной добычи на паутине? К какой группе по характеру раздражителя относятся участвующие в этом рецепторы? Назовите два примера других рецепторов, относящихся к этой же группе и расположенных во внутреннем ухе человека.</x:v>
      </x:c>
      <x:c r="N2477" s="30" t="str">
        <x:v>Спиральные ловчие нити покрыты клеем и удерживают добычу, а радиальные каркасные нити не клейкие и служат пауку для движения. В сухом климате клей высыхает. Место добычи определяется по вибрации нитей механорецепторами. Во внутреннем ухе к этой группе относятся волосковые клетки кортиева органа и вестибулярного аппарата.</x:v>
      </x:c>
      <x:c r="O2477" s="30" t="str">
        <x:v>Спиральные ловчие нити покрыты клеем и удерживают добычу, а радиальные каркасные нити не клейкие и служат пауку для движения. В сухом климате клей высыхает. Место добычи определяется по вибрации нитей механорецепторами. Во внутреннем ухе к этой группе относятся волосковые клетки кортиева органа и вестибулярного аппарата.</x:v>
      </x:c>
      <x:c r="P2477" s="30" t="str">
        <x:v>Все обязательные смысловые элементы сопоставлены с официальными критериями оценивания.</x:v>
      </x:c>
      <x:c r="Q2477" s="30"/>
      <x:c r="R2477" s="30" t="str">
        <x:v>Официальные критерии СтатГрад</x:v>
      </x:c>
      <x:c r="S2477" s="30"/>
      <x:c r="T2477" s="30"/>
      <x:c r="U2477" s="30" t="str">
        <x:v>Расхождений не обнаружено.</x:v>
      </x:c>
      <x:c r="V2477" s="87" t="str">
        <x:v>VERIFIED</x:v>
      </x:c>
      <x:c r="W2477" s="87" t="str">
        <x:v>Официальный PDF, задание 25</x:v>
      </x:c>
      <x:c r="X2477" s="87"/>
      <x:c r="Y2477" s="87"/>
      <x:c r="Z2477" s="87"/>
      <x:c r="AA2477" s="87"/>
      <x:c r="AB2477" s="87"/>
      <x:c r="AC2477" s="87"/>
      <x:c r="AD2477" s="87"/>
      <x:c r="AE2477" s="87"/>
      <x:c r="AF2477" s="87"/>
      <x:c r="AG2477" s="87"/>
      <x:c r="AH2477" s="87"/>
      <x:c r="AI2477" s="30"/>
      <x:c r="AJ2477" s="87" t="str">
        <x:v>master</x:v>
      </x:c>
      <x:c r="AK2477" s="87" t="str">
        <x:v>master-v0.81</x:v>
      </x:c>
      <x:c r="AL2477" s="87" t="str">
        <x:v>statgrad_master_base_v0_81_final(2).xlsx</x:v>
      </x:c>
      <x:c r="AM2477" s="87" t="str">
        <x:v>BIO_Apr_V2</x:v>
      </x:c>
      <x:c r="AN2477" s="87" t="n">
        <x:v>26</x:v>
      </x:c>
    </x:row>
    <x:row r="2478">
      <x:c r="A2478" s="87" t="n">
        <x:v>2477</x:v>
      </x:c>
      <x:c r="B2478" s="87" t="str">
        <x:v>APR-BIO-V2-026</x:v>
      </x:c>
      <x:c r="C2478" s="87" t="str">
        <x:v>СтатГрад</x:v>
      </x:c>
      <x:c r="D2478" s="87" t="str">
        <x:v>Апрель 2026</x:v>
      </x:c>
      <x:c r="E2478" s="87"/>
      <x:c r="F2478" s="87"/>
      <x:c r="G2478" s="87" t="str">
        <x:v>Биология</x:v>
      </x:c>
      <x:c r="H2478" s="87" t="n">
        <x:v>11</x:v>
      </x:c>
      <x:c r="I2478" s="87" t="str">
        <x:v>ТР №5</x:v>
      </x:c>
      <x:c r="J2478" s="87" t="str">
        <x:v>БИ2510502</x:v>
      </x:c>
      <x:c r="K2478" s="87" t="n">
        <x:v>26</x:v>
      </x:c>
      <x:c r="L2478" s="87" t="str">
        <x:v>Развёрнутый ответ: эволюция/экология</x:v>
      </x:c>
      <x:c r="M2478" s="30" t="str">
        <x:v>Исследование диких и городских популяций уток-крякв выявило значительные различия между ними. Городские утки перестали совершать сезонные миграции, период гнездования стал наступать раньше, а размер выводков сократился. Назовите причины каждого из изменений.</x:v>
      </x:c>
      <x:c r="N2478" s="30" t="str">
        <x:v>Миграции прекратились из-за постоянного обилия корма. Более раннее гнездование связано с городским теплом и искусственным освещением. Сокращение выводка объясняется высокой плотностью, дефицитом мест, стрессом либо выгодой меньшего выводка при высокой выживаемости птенцов.</x:v>
      </x:c>
      <x:c r="O2478" s="30" t="str">
        <x:v>Миграции прекратились из-за постоянного обилия корма. Более раннее гнездование связано с городским теплом и искусственным освещением. Сокращение выводка объясняется высокой плотностью, дефицитом мест, стрессом либо выгодой меньшего выводка при высокой выживаемости птенцов.</x:v>
      </x:c>
      <x:c r="P2478" s="30" t="str">
        <x:v>Все обязательные смысловые элементы сопоставлены с официальными критериями оценивания.</x:v>
      </x:c>
      <x:c r="Q2478" s="30"/>
      <x:c r="R2478" s="30" t="str">
        <x:v>Официальные критерии СтатГрад</x:v>
      </x:c>
      <x:c r="S2478" s="30"/>
      <x:c r="T2478" s="30"/>
      <x:c r="U2478" s="30" t="str">
        <x:v>Расхождений не обнаружено.</x:v>
      </x:c>
      <x:c r="V2478" s="87" t="str">
        <x:v>VERIFIED</x:v>
      </x:c>
      <x:c r="W2478" s="87" t="str">
        <x:v>Официальный PDF, задание 26</x:v>
      </x:c>
      <x:c r="X2478" s="87"/>
      <x:c r="Y2478" s="87"/>
      <x:c r="Z2478" s="87"/>
      <x:c r="AA2478" s="87"/>
      <x:c r="AB2478" s="87"/>
      <x:c r="AC2478" s="87"/>
      <x:c r="AD2478" s="87"/>
      <x:c r="AE2478" s="87"/>
      <x:c r="AF2478" s="87"/>
      <x:c r="AG2478" s="87"/>
      <x:c r="AH2478" s="87"/>
      <x:c r="AI2478" s="30"/>
      <x:c r="AJ2478" s="87" t="str">
        <x:v>master</x:v>
      </x:c>
      <x:c r="AK2478" s="87" t="str">
        <x:v>master-v0.81</x:v>
      </x:c>
      <x:c r="AL2478" s="87" t="str">
        <x:v>statgrad_master_base_v0_81_final(2).xlsx</x:v>
      </x:c>
      <x:c r="AM2478" s="87" t="str">
        <x:v>BIO_Apr_V2</x:v>
      </x:c>
      <x:c r="AN2478" s="87" t="n">
        <x:v>27</x:v>
      </x:c>
    </x:row>
    <x:row r="2479">
      <x:c r="A2479" s="87" t="n">
        <x:v>2478</x:v>
      </x:c>
      <x:c r="B2479" s="87" t="str">
        <x:v>APR-BIO-V2-027</x:v>
      </x:c>
      <x:c r="C2479" s="87" t="str">
        <x:v>СтатГрад</x:v>
      </x:c>
      <x:c r="D2479" s="87" t="str">
        <x:v>Апрель 2026</x:v>
      </x:c>
      <x:c r="E2479" s="87"/>
      <x:c r="F2479" s="87"/>
      <x:c r="G2479" s="87" t="str">
        <x:v>Биология</x:v>
      </x:c>
      <x:c r="H2479" s="87" t="n">
        <x:v>11</x:v>
      </x:c>
      <x:c r="I2479" s="87" t="str">
        <x:v>ТР №5</x:v>
      </x:c>
      <x:c r="J2479" s="87" t="str">
        <x:v>БИ2510502</x:v>
      </x:c>
      <x:c r="K2479" s="87" t="n">
        <x:v>27</x:v>
      </x:c>
      <x:c r="L2479" s="87" t="str">
        <x:v>Развёрнутый ответ: расчёт/молекулярная биология</x:v>
      </x:c>
      <x:c r="M2479" s="30" t="str">
        <x:v>Оттенок карапакса у морских черепах рода логгерхеды контролируется одним геном. Карапакс у доминантных гомозигот ярко-жёлтый с медовым отливом, у гетерозигот – золотисто-оливковый, а у рецессивных гомозигот – серо-зелёный. Обычно логгерхеды возвращаются на тот же пляж, где вылупились 20–30 лет назад, ориентируясь по магнитному полю Земли. В равновесной популяции из 1200 особей 480 имеют серо-зелёный оттенок карапакса. Во время миграции к местам откладки яиц число особей с золотисто-оливковым карапаксом увеличилось на 10 %. Рассчитайте частоту особей с золотисто-оливковым карапаксом и частоты аллелей в изначальной популяции, а также частоты всех фенотипов сразу после увеличения популяции. Поясните ход решения. При расчётах округляйте значения до четвертого знака после запятой.</x:v>
      </x:c>
      <x:c r="N2479" s="30" t="str">
        <x:v>Исходно aa=480/1200=0,4; q=√0,4=0,6325, p=0,3675; частота гетерозигот 2pq=0,4649, AA=p²=0,1351. Число/доля Aa выросла на 10%: 0,4649×1,1=0,5114; общий размер становится 1,0465. После увеличения: aa=0,4/1,0465=0,3822; Aa=0,5114/1,0465=0,4887; AA=0,1351/1,0465=0,1291.</x:v>
      </x:c>
      <x:c r="O2479" s="30" t="str">
        <x:v>Исходно aa=480/1200=0,4; q=√0,4=0,6325, p=0,3675; частота гетерозигот 2pq=0,4649, AA=p²=0,1351. Число/доля Aa выросла на 10%: 0,4649×1,1=0,5114; общий размер становится 1,0465. После увеличения: aa=0,4/1,0465=0,3822; Aa=0,5114/1,0465=0,4887; AA=0,1351/1,0465=0,1291.</x:v>
      </x:c>
      <x:c r="P2479" s="30" t="str">
        <x:v>Все обязательные смысловые элементы сопоставлены с официальными критериями оценивания.</x:v>
      </x:c>
      <x:c r="Q2479" s="30"/>
      <x:c r="R2479" s="30" t="str">
        <x:v>Официальные критерии СтатГрад</x:v>
      </x:c>
      <x:c r="S2479" s="30"/>
      <x:c r="T2479" s="30"/>
      <x:c r="U2479" s="30" t="str">
        <x:v>Расхождений не обнаружено.</x:v>
      </x:c>
      <x:c r="V2479" s="87" t="str">
        <x:v>VERIFIED</x:v>
      </x:c>
      <x:c r="W2479" s="87" t="str">
        <x:v>Официальный PDF, задание 27</x:v>
      </x:c>
      <x:c r="X2479" s="87"/>
      <x:c r="Y2479" s="87"/>
      <x:c r="Z2479" s="87"/>
      <x:c r="AA2479" s="87"/>
      <x:c r="AB2479" s="87"/>
      <x:c r="AC2479" s="87"/>
      <x:c r="AD2479" s="87"/>
      <x:c r="AE2479" s="87"/>
      <x:c r="AF2479" s="87"/>
      <x:c r="AG2479" s="87"/>
      <x:c r="AH2479" s="87"/>
      <x:c r="AI2479" s="30"/>
      <x:c r="AJ2479" s="87" t="str">
        <x:v>master</x:v>
      </x:c>
      <x:c r="AK2479" s="87" t="str">
        <x:v>master-v0.81</x:v>
      </x:c>
      <x:c r="AL2479" s="87" t="str">
        <x:v>statgrad_master_base_v0_81_final(2).xlsx</x:v>
      </x:c>
      <x:c r="AM2479" s="87" t="str">
        <x:v>BIO_Apr_V2</x:v>
      </x:c>
      <x:c r="AN2479" s="87" t="n">
        <x:v>28</x:v>
      </x:c>
    </x:row>
    <x:row r="2480">
      <x:c r="A2480" s="87" t="n">
        <x:v>2479</x:v>
      </x:c>
      <x:c r="B2480" s="87" t="str">
        <x:v>APR-BIO-V2-028</x:v>
      </x:c>
      <x:c r="C2480" s="87" t="str">
        <x:v>СтатГрад</x:v>
      </x:c>
      <x:c r="D2480" s="87" t="str">
        <x:v>Апрель 2026</x:v>
      </x:c>
      <x:c r="E2480" s="87"/>
      <x:c r="F2480" s="87"/>
      <x:c r="G2480" s="87" t="str">
        <x:v>Биология</x:v>
      </x:c>
      <x:c r="H2480" s="87" t="n">
        <x:v>11</x:v>
      </x:c>
      <x:c r="I2480" s="87" t="str">
        <x:v>ТР №5</x:v>
      </x:c>
      <x:c r="J2480" s="87" t="str">
        <x:v>БИ2510502</x:v>
      </x:c>
      <x:c r="K2480" s="87" t="n">
        <x:v>28</x:v>
      </x:c>
      <x:c r="L2480" s="87" t="str">
        <x:v>Развёрнутый ответ: генетика</x:v>
      </x:c>
      <x:c r="M2480" s="30" t="str">
        <x:v>У домовой мыши гетерогаметным полом является мужской пол. При скрещивании самок с окраской агути (серо-коричневая), нормальной шерстью и самцов с редкой шерстью чёрного окраса всё потомство получилось единообразным по признакам цвета и количества волос. Во втором скрещивании самок мыши с чёрной редкой шерстью и самцов с нормальной шерстью цвета агути получились самки с окрасом агути, нормальной шерстью и самцы с окрасом агути, редкой шерстью. Составьте схемы скрещивания, определите генотипы и фенотипы родительских особей, потомства в двух скрещиваниях и пол потомства в первом скрещивании. Объясните фенотипическое расщепление во втором скрещивании.</x:v>
      </x:c>
      <x:c r="N2480" s="30" t="str">
        <x:v>Первое скрещивание: ♀ AAXᴮXᴮ (агути, нормальная шерсть) × ♂ aaXᵇY (чёрный, редкая шерсть) → дочери AaXᴮXᵇ и сыновья AaXᴮY, все агути с нормальной шерстью. Второе: ♀ aaXᵇXᵇ × ♂ AAXᴮY → дочери AaXᴮXᵇ агути с нормальной шерстью и сыновья AaXᵇY агути с редкой шерстью. Различие полов связано с X-сцепленным наследованием типа шерсти.</x:v>
      </x:c>
      <x:c r="O2480" s="30" t="str">
        <x:v>Первое скрещивание: ♀ AAXᴮXᴮ (агути, нормальная шерсть) × ♂ aaXᵇY (чёрный, редкая шерсть) → дочери AaXᴮXᵇ и сыновья AaXᴮY, все агути с нормальной шерстью. Второе: ♀ aaXᵇXᵇ × ♂ AAXᴮY → дочери AaXᴮXᵇ агути с нормальной шерстью и сыновья AaXᵇY агути с редкой шерстью. Различие полов связано с X-сцепленным наследованием типа шерсти.</x:v>
      </x:c>
      <x:c r="P2480" s="30" t="str">
        <x:v>Все обязательные смысловые элементы сопоставлены с официальными критериями оценивания.</x:v>
      </x:c>
      <x:c r="Q2480" s="30"/>
      <x:c r="R2480" s="30" t="str">
        <x:v>Официальные критерии СтатГрад</x:v>
      </x:c>
      <x:c r="S2480" s="30"/>
      <x:c r="T2480" s="30"/>
      <x:c r="U2480" s="30" t="str">
        <x:v>Расхождений не обнаружено.</x:v>
      </x:c>
      <x:c r="V2480" s="87" t="str">
        <x:v>VERIFIED</x:v>
      </x:c>
      <x:c r="W2480" s="87" t="str">
        <x:v>Официальный PDF, задание 28</x:v>
      </x:c>
      <x:c r="X2480" s="87"/>
      <x:c r="Y2480" s="87"/>
      <x:c r="Z2480" s="87"/>
      <x:c r="AA2480" s="87"/>
      <x:c r="AB2480" s="87"/>
      <x:c r="AC2480" s="87"/>
      <x:c r="AD2480" s="87"/>
      <x:c r="AE2480" s="87"/>
      <x:c r="AF2480" s="87"/>
      <x:c r="AG2480" s="87"/>
      <x:c r="AH2480" s="87"/>
      <x:c r="AI2480" s="30"/>
      <x:c r="AJ2480" s="87" t="str">
        <x:v>master</x:v>
      </x:c>
      <x:c r="AK2480" s="87" t="str">
        <x:v>master-v0.81</x:v>
      </x:c>
      <x:c r="AL2480" s="87" t="str">
        <x:v>statgrad_master_base_v0_81_final(2).xlsx</x:v>
      </x:c>
      <x:c r="AM2480" s="87" t="str">
        <x:v>BIO_Apr_V2</x:v>
      </x:c>
      <x:c r="AN2480" s="87" t="n">
        <x:v>29</x:v>
      </x:c>
    </x:row>
    <x:row r="2481">
      <x:c r="A2481" s="87" t="n">
        <x:v>2480</x:v>
      </x:c>
      <x:c r="B2481" s="87" t="str">
        <x:v>APR-BIO-V3-001</x:v>
      </x:c>
      <x:c r="C2481" s="87" t="str">
        <x:v>СтатГрад</x:v>
      </x:c>
      <x:c r="D2481" s="87" t="str">
        <x:v>Апрель 2026</x:v>
      </x:c>
      <x:c r="E2481" s="87"/>
      <x:c r="F2481" s="87"/>
      <x:c r="G2481" s="87" t="str">
        <x:v>Биология</x:v>
      </x:c>
      <x:c r="H2481" s="87" t="n">
        <x:v>11</x:v>
      </x:c>
      <x:c r="I2481" s="87" t="str">
        <x:v>ТР №5</x:v>
      </x:c>
      <x:c r="J2481" s="87" t="str">
        <x:v>БИ2510503</x:v>
      </x:c>
      <x:c r="K2481" s="87" t="n">
        <x:v>1</x:v>
      </x:c>
      <x:c r="L2481" s="87" t="str">
        <x:v>Методы биологии</x:v>
      </x:c>
      <x:c r="M2481" s="30" t="str">
        <x:v>Рассмотрите таблицу «Методы биологических исследований». Запишите в ответе пропущенный термин, обозначенный в таблице вопросительным знаком. Метод Пример Эксперимент ?</x:v>
      </x:c>
      <x:c r="N2481" s="30" t="str">
        <x:v>измерение</x:v>
      </x:c>
      <x:c r="O2481" s="30" t="str">
        <x:v>На рисунках измеряют длину листьев линейкой, поэтому метод — измерение.</x:v>
      </x:c>
      <x:c r="P2481" s="30" t="str">
        <x:v>Ответ повторно выведен из условия и проверен по биологическим закономерностям; для заданий с рисунком обозначения сверены визуально.</x:v>
      </x:c>
      <x:c r="Q2481" s="30"/>
      <x:c r="R2481" s="30" t="str">
        <x:v>Официальная таблица ответов + независимое решение</x:v>
      </x:c>
      <x:c r="S2481" s="30"/>
      <x:c r="T2481" s="30"/>
      <x:c r="U2481" s="30" t="str">
        <x:v>Смешанный вариант: задание соответствует базовому источнику БИ2510501; расхождений не обнаружено.</x:v>
      </x:c>
      <x:c r="V2481" s="87" t="str">
        <x:v>VERIFIED</x:v>
      </x:c>
      <x:c r="W2481" s="87" t="str">
        <x:v>Официальный скан, задание 1</x:v>
      </x:c>
      <x:c r="X2481" s="87"/>
      <x:c r="Y2481" s="87"/>
      <x:c r="Z2481" s="87"/>
      <x:c r="AA2481" s="87"/>
      <x:c r="AB2481" s="87"/>
      <x:c r="AC2481" s="87"/>
      <x:c r="AD2481" s="87"/>
      <x:c r="AE2481" s="87"/>
      <x:c r="AF2481" s="87"/>
      <x:c r="AG2481" s="87"/>
      <x:c r="AH2481" s="87"/>
      <x:c r="AI2481" s="30"/>
      <x:c r="AJ2481" s="87" t="str">
        <x:v>master</x:v>
      </x:c>
      <x:c r="AK2481" s="87" t="str">
        <x:v>master-v0.81</x:v>
      </x:c>
      <x:c r="AL2481" s="87" t="str">
        <x:v>statgrad_master_base_v0_81_final(2).xlsx</x:v>
      </x:c>
      <x:c r="AM2481" s="87" t="str">
        <x:v>BIO_Apr_V3</x:v>
      </x:c>
      <x:c r="AN2481" s="87" t="n">
        <x:v>2</x:v>
      </x:c>
    </x:row>
    <x:row r="2482">
      <x:c r="A2482" s="87" t="n">
        <x:v>2481</x:v>
      </x:c>
      <x:c r="B2482" s="87" t="str">
        <x:v>APR-BIO-V3-002</x:v>
      </x:c>
      <x:c r="C2482" s="87" t="str">
        <x:v>СтатГрад</x:v>
      </x:c>
      <x:c r="D2482" s="87" t="str">
        <x:v>Апрель 2026</x:v>
      </x:c>
      <x:c r="E2482" s="87"/>
      <x:c r="F2482" s="87"/>
      <x:c r="G2482" s="87" t="str">
        <x:v>Биология</x:v>
      </x:c>
      <x:c r="H2482" s="87" t="n">
        <x:v>11</x:v>
      </x:c>
      <x:c r="I2482" s="87" t="str">
        <x:v>ТР №5</x:v>
      </x:c>
      <x:c r="J2482" s="87" t="str">
        <x:v>БИ2510503</x:v>
      </x:c>
      <x:c r="K2482" s="87" t="n">
        <x:v>2</x:v>
      </x:c>
      <x:c r="L2482" s="87" t="str">
        <x:v>Пищеварение</x:v>
      </x:c>
      <x:c r="M2482" s="30" t="str">
        <x:v>В исследовании учёный изучал изменения в пищеварительной системе человека после приёма пищи. Как изменятся количество желудочного сока и интенсивность перистальтики кишечника после приёма пищи по сравнению с состоянием натощак? Для каждой величины определите соответствующий характер её изменения: 1) увеличится 2) уменьшится 3) не изменится Запишите в таблицу выбранные цифры для каждой величины. Цифры в ответе могут повторяться. Интенсивность перистальтики Количество желудочного сока кишечника</x:v>
      </x:c>
      <x:c r="N2482" s="30" t="str">
        <x:v>11</x:v>
      </x:c>
      <x:c r="O2482" s="30" t="str">
        <x:v>После приёма пищи усиливаются секреция желудочного сока и перистальтика кишечника.</x:v>
      </x:c>
      <x:c r="P2482" s="30" t="str">
        <x:v>Ответ повторно выведен из условия и проверен по биологическим закономерностям; для заданий с рисунком обозначения сверены визуально.</x:v>
      </x:c>
      <x:c r="Q2482" s="30"/>
      <x:c r="R2482" s="30" t="str">
        <x:v>Независимое решение по официальному заданию</x:v>
      </x:c>
      <x:c r="S2482" s="30"/>
      <x:c r="T2482" s="30"/>
      <x:c r="U2482" s="30" t="str">
        <x:v>Смешанный вариант: задание соответствует базовому источнику БИ2510502; расхождений не обнаружено.</x:v>
      </x:c>
      <x:c r="V2482" s="87" t="str">
        <x:v>VERIFIED</x:v>
      </x:c>
      <x:c r="W2482" s="87" t="str">
        <x:v>Официальный скан, задание 2</x:v>
      </x:c>
      <x:c r="X2482" s="87"/>
      <x:c r="Y2482" s="87"/>
      <x:c r="Z2482" s="87"/>
      <x:c r="AA2482" s="87"/>
      <x:c r="AB2482" s="87"/>
      <x:c r="AC2482" s="87"/>
      <x:c r="AD2482" s="87"/>
      <x:c r="AE2482" s="87"/>
      <x:c r="AF2482" s="87"/>
      <x:c r="AG2482" s="87"/>
      <x:c r="AH2482" s="87"/>
      <x:c r="AI2482" s="30"/>
      <x:c r="AJ2482" s="87" t="str">
        <x:v>master</x:v>
      </x:c>
      <x:c r="AK2482" s="87" t="str">
        <x:v>master-v0.81</x:v>
      </x:c>
      <x:c r="AL2482" s="87" t="str">
        <x:v>statgrad_master_base_v0_81_final(2).xlsx</x:v>
      </x:c>
      <x:c r="AM2482" s="87" t="str">
        <x:v>BIO_Apr_V3</x:v>
      </x:c>
      <x:c r="AN2482" s="87" t="n">
        <x:v>3</x:v>
      </x:c>
    </x:row>
    <x:row r="2483">
      <x:c r="A2483" s="87" t="n">
        <x:v>2482</x:v>
      </x:c>
      <x:c r="B2483" s="87" t="str">
        <x:v>APR-BIO-V3-003</x:v>
      </x:c>
      <x:c r="C2483" s="87" t="str">
        <x:v>СтатГрад</x:v>
      </x:c>
      <x:c r="D2483" s="87" t="str">
        <x:v>Апрель 2026</x:v>
      </x:c>
      <x:c r="E2483" s="87"/>
      <x:c r="F2483" s="87"/>
      <x:c r="G2483" s="87" t="str">
        <x:v>Биология</x:v>
      </x:c>
      <x:c r="H2483" s="87" t="n">
        <x:v>11</x:v>
      </x:c>
      <x:c r="I2483" s="87" t="str">
        <x:v>ТР №5</x:v>
      </x:c>
      <x:c r="J2483" s="87" t="str">
        <x:v>БИ2510503</x:v>
      </x:c>
      <x:c r="K2483" s="87" t="n">
        <x:v>3</x:v>
      </x:c>
      <x:c r="L2483" s="87" t="str">
        <x:v>Гаметогенез растений</x:v>
      </x:c>
      <x:c r="M2483" s="30" t="str">
        <x:v>Из макроспоры тыквы обыкновенной в результате митотических делений образовалась яйцеклетка, содержащая 10 хромосом. Определите количество хромосом в макроспоре. В ответе запишите только соответствующее число.</x:v>
      </x:c>
      <x:c r="N2483" s="30" t="str">
        <x:v>10</x:v>
      </x:c>
      <x:c r="O2483" s="30" t="str">
        <x:v>Яйцеклетка образуется из макроспоры митозами, поэтому гаплоидный набор сохраняется: 10 хромосом.</x:v>
      </x:c>
      <x:c r="P2483" s="30" t="str">
        <x:v>Ответ повторно выведен из условия и проверен по биологическим закономерностям; для заданий с рисунком обозначения сверены визуально.</x:v>
      </x:c>
      <x:c r="Q2483" s="30"/>
      <x:c r="R2483" s="30" t="str">
        <x:v>Независимое решение по официальному заданию</x:v>
      </x:c>
      <x:c r="S2483" s="30"/>
      <x:c r="T2483" s="30"/>
      <x:c r="U2483" s="30" t="str">
        <x:v>Смешанный вариант: задание соответствует базовому источнику БИ2510501; расхождений не обнаружено.</x:v>
      </x:c>
      <x:c r="V2483" s="87" t="str">
        <x:v>VERIFIED</x:v>
      </x:c>
      <x:c r="W2483" s="87" t="str">
        <x:v>Официальный скан, задание 3</x:v>
      </x:c>
      <x:c r="X2483" s="87"/>
      <x:c r="Y2483" s="87"/>
      <x:c r="Z2483" s="87"/>
      <x:c r="AA2483" s="87"/>
      <x:c r="AB2483" s="87"/>
      <x:c r="AC2483" s="87"/>
      <x:c r="AD2483" s="87"/>
      <x:c r="AE2483" s="87"/>
      <x:c r="AF2483" s="87"/>
      <x:c r="AG2483" s="87"/>
      <x:c r="AH2483" s="87"/>
      <x:c r="AI2483" s="30"/>
      <x:c r="AJ2483" s="87" t="str">
        <x:v>master</x:v>
      </x:c>
      <x:c r="AK2483" s="87" t="str">
        <x:v>master-v0.81</x:v>
      </x:c>
      <x:c r="AL2483" s="87" t="str">
        <x:v>statgrad_master_base_v0_81_final(2).xlsx</x:v>
      </x:c>
      <x:c r="AM2483" s="87" t="str">
        <x:v>BIO_Apr_V3</x:v>
      </x:c>
      <x:c r="AN2483" s="87" t="n">
        <x:v>4</x:v>
      </x:c>
    </x:row>
    <x:row r="2484">
      <x:c r="A2484" s="87" t="n">
        <x:v>2483</x:v>
      </x:c>
      <x:c r="B2484" s="87" t="str">
        <x:v>APR-BIO-V3-004</x:v>
      </x:c>
      <x:c r="C2484" s="87" t="str">
        <x:v>СтатГрад</x:v>
      </x:c>
      <x:c r="D2484" s="87" t="str">
        <x:v>Апрель 2026</x:v>
      </x:c>
      <x:c r="E2484" s="87"/>
      <x:c r="F2484" s="87"/>
      <x:c r="G2484" s="87" t="str">
        <x:v>Биология</x:v>
      </x:c>
      <x:c r="H2484" s="87" t="n">
        <x:v>11</x:v>
      </x:c>
      <x:c r="I2484" s="87" t="str">
        <x:v>ТР №5</x:v>
      </x:c>
      <x:c r="J2484" s="87" t="str">
        <x:v>БИ2510503</x:v>
      </x:c>
      <x:c r="K2484" s="87" t="n">
        <x:v>4</x:v>
      </x:c>
      <x:c r="L2484" s="87" t="str">
        <x:v>Анализирующее скрещивание</x:v>
      </x:c>
      <x:c r="M2484" s="30" t="str">
        <x:v>Какова вероятность рождения потомства с коричневым окрасом шерсти в анализирующем скрещивании чёрной гетерозиготной собаки? Ответ запишите в виде числа.</x:v>
      </x:c>
      <x:c r="N2484" s="30" t="str">
        <x:v>50</x:v>
      </x:c>
      <x:c r="O2484" s="30" t="str">
        <x:v>Анализирующее скрещивание Aa×aa даёт половину коричневых потомков — 50%.</x:v>
      </x:c>
      <x:c r="P2484" s="30" t="str">
        <x:v>Ответ повторно выведен из условия и проверен по биологическим закономерностям; для заданий с рисунком обозначения сверены визуально.</x:v>
      </x:c>
      <x:c r="Q2484" s="30"/>
      <x:c r="R2484" s="30" t="str">
        <x:v>Независимое решение по официальному заданию</x:v>
      </x:c>
      <x:c r="S2484" s="30"/>
      <x:c r="T2484" s="30"/>
      <x:c r="U2484" s="30" t="str">
        <x:v>Смешанный вариант: задание соответствует базовому источнику БИ2510502; расхождений не обнаружено.</x:v>
      </x:c>
      <x:c r="V2484" s="87" t="str">
        <x:v>VERIFIED</x:v>
      </x:c>
      <x:c r="W2484" s="87" t="str">
        <x:v>Официальный скан, задание 4</x:v>
      </x:c>
      <x:c r="X2484" s="87"/>
      <x:c r="Y2484" s="87"/>
      <x:c r="Z2484" s="87"/>
      <x:c r="AA2484" s="87"/>
      <x:c r="AB2484" s="87"/>
      <x:c r="AC2484" s="87"/>
      <x:c r="AD2484" s="87"/>
      <x:c r="AE2484" s="87"/>
      <x:c r="AF2484" s="87"/>
      <x:c r="AG2484" s="87"/>
      <x:c r="AH2484" s="87"/>
      <x:c r="AI2484" s="30"/>
      <x:c r="AJ2484" s="87" t="str">
        <x:v>master</x:v>
      </x:c>
      <x:c r="AK2484" s="87" t="str">
        <x:v>master-v0.81</x:v>
      </x:c>
      <x:c r="AL2484" s="87" t="str">
        <x:v>statgrad_master_base_v0_81_final(2).xlsx</x:v>
      </x:c>
      <x:c r="AM2484" s="87" t="str">
        <x:v>BIO_Apr_V3</x:v>
      </x:c>
      <x:c r="AN2484" s="87" t="n">
        <x:v>5</x:v>
      </x:c>
    </x:row>
    <x:row r="2485">
      <x:c r="A2485" s="87" t="n">
        <x:v>2484</x:v>
      </x:c>
      <x:c r="B2485" s="87" t="str">
        <x:v>APR-BIO-V3-005</x:v>
      </x:c>
      <x:c r="C2485" s="87" t="str">
        <x:v>СтатГрад</x:v>
      </x:c>
      <x:c r="D2485" s="87" t="str">
        <x:v>Апрель 2026</x:v>
      </x:c>
      <x:c r="E2485" s="87"/>
      <x:c r="F2485" s="87"/>
      <x:c r="G2485" s="87" t="str">
        <x:v>Биология</x:v>
      </x:c>
      <x:c r="H2485" s="87" t="n">
        <x:v>11</x:v>
      </x:c>
      <x:c r="I2485" s="87" t="str">
        <x:v>ТР №5</x:v>
      </x:c>
      <x:c r="J2485" s="87" t="str">
        <x:v>БИ2510503</x:v>
      </x:c>
      <x:c r="K2485" s="87" t="n">
        <x:v>5</x:v>
      </x:c>
      <x:c r="L2485" s="87" t="str">
        <x:v>Генетика пола</x:v>
      </x:c>
      <x:c r="M2485" s="30" t="str">
        <x:v>Какой цифрой на схеме скрещивания обозначена гамета, несущая доминантный аллель окраски?</x:v>
      </x:c>
      <x:c r="N2485" s="30" t="str">
        <x:v>8</x:v>
      </x:c>
      <x:c r="O2485" s="30" t="str">
        <x:v>Доминантный аллель окраски B находится в гамете Xᴮ, обозначенной цифрой 8.</x:v>
      </x:c>
      <x:c r="P2485" s="30" t="str">
        <x:v>Ответ повторно выведен из условия и проверен по биологическим закономерностям; для заданий с рисунком обозначения сверены визуально.</x:v>
      </x:c>
      <x:c r="Q2485" s="30"/>
      <x:c r="R2485" s="30" t="str">
        <x:v>Независимое решение по официальному заданию</x:v>
      </x:c>
      <x:c r="S2485" s="30"/>
      <x:c r="T2485" s="30"/>
      <x:c r="U2485" s="30" t="str">
        <x:v>Смешанный вариант: задание соответствует базовому источнику БИ2510501; расхождений не обнаружено.</x:v>
      </x:c>
      <x:c r="V2485" s="87" t="str">
        <x:v>VERIFIED</x:v>
      </x:c>
      <x:c r="W2485" s="87" t="str">
        <x:v>Официальный скан, задание 5</x:v>
      </x:c>
      <x:c r="X2485" s="87"/>
      <x:c r="Y2485" s="87"/>
      <x:c r="Z2485" s="87"/>
      <x:c r="AA2485" s="87"/>
      <x:c r="AB2485" s="87"/>
      <x:c r="AC2485" s="87"/>
      <x:c r="AD2485" s="87"/>
      <x:c r="AE2485" s="87"/>
      <x:c r="AF2485" s="87"/>
      <x:c r="AG2485" s="87"/>
      <x:c r="AH2485" s="87"/>
      <x:c r="AI2485" s="30"/>
      <x:c r="AJ2485" s="87" t="str">
        <x:v>master</x:v>
      </x:c>
      <x:c r="AK2485" s="87" t="str">
        <x:v>master-v0.81</x:v>
      </x:c>
      <x:c r="AL2485" s="87" t="str">
        <x:v>statgrad_master_base_v0_81_final(2).xlsx</x:v>
      </x:c>
      <x:c r="AM2485" s="87" t="str">
        <x:v>BIO_Apr_V3</x:v>
      </x:c>
      <x:c r="AN2485" s="87" t="n">
        <x:v>6</x:v>
      </x:c>
    </x:row>
    <x:row r="2486">
      <x:c r="A2486" s="87" t="n">
        <x:v>2485</x:v>
      </x:c>
      <x:c r="B2486" s="87" t="str">
        <x:v>APR-BIO-V3-006</x:v>
      </x:c>
      <x:c r="C2486" s="87" t="str">
        <x:v>СтатГрад</x:v>
      </x:c>
      <x:c r="D2486" s="87" t="str">
        <x:v>Апрель 2026</x:v>
      </x:c>
      <x:c r="E2486" s="87"/>
      <x:c r="F2486" s="87"/>
      <x:c r="G2486" s="87" t="str">
        <x:v>Биология</x:v>
      </x:c>
      <x:c r="H2486" s="87" t="n">
        <x:v>11</x:v>
      </x:c>
      <x:c r="I2486" s="87" t="str">
        <x:v>ТР №5</x:v>
      </x:c>
      <x:c r="J2486" s="87" t="str">
        <x:v>БИ2510503</x:v>
      </x:c>
      <x:c r="K2486" s="87" t="n">
        <x:v>6</x:v>
      </x:c>
      <x:c r="L2486" s="87" t="str">
        <x:v>Генетика пола: соответствие</x:v>
      </x:c>
      <x:c r="M2486" s="30" t="str">
        <x:v>Установите соответствие между характеристиками и особями, обозначенными на схеме цифрами 1, 2, 3: к каждой позиции, данной в первом столбце, подберите соответствующую позицию из второго столбца. ХАРАКТЕРИСТИКИ ОСОБИ А) кот с доминантным фенотипом 1) 1 Б) гетерозиготный генотип 2) 2 В) неполное доминирование генов 3) 3 Г) рецессивный фенотип Д) самец, несущий аллель b Е) гомогаметный пол Запишите в таблицу выбранные цифры под соответствующими буквами. А Б В Г Д Е</x:v>
      </x:c>
      <x:c r="N2486" s="30" t="str">
        <x:v>133223</x:v>
      </x:c>
      <x:c r="O2486" s="30" t="str">
        <x:v>По схеме особи 1–3 различаются полом, генотипом и фенотипом; последовательное сопоставление шести признаков даёт 133223.</x:v>
      </x:c>
      <x:c r="P2486" s="30" t="str">
        <x:v>Ответ повторно выведен из условия и проверен по биологическим закономерностям; для заданий с рисунком обозначения сверены визуально.</x:v>
      </x:c>
      <x:c r="Q2486" s="30"/>
      <x:c r="R2486" s="30" t="str">
        <x:v>Официальная таблица ответов + независимое решение</x:v>
      </x:c>
      <x:c r="S2486" s="30"/>
      <x:c r="T2486" s="30"/>
      <x:c r="U2486" s="30" t="str">
        <x:v>Смешанный вариант: задание соответствует базовому источнику БИ2510501; расхождений не обнаружено.</x:v>
      </x:c>
      <x:c r="V2486" s="87" t="str">
        <x:v>VERIFIED</x:v>
      </x:c>
      <x:c r="W2486" s="87" t="str">
        <x:v>Официальный скан, задание 6</x:v>
      </x:c>
      <x:c r="X2486" s="87"/>
      <x:c r="Y2486" s="87"/>
      <x:c r="Z2486" s="87"/>
      <x:c r="AA2486" s="87"/>
      <x:c r="AB2486" s="87"/>
      <x:c r="AC2486" s="87"/>
      <x:c r="AD2486" s="87"/>
      <x:c r="AE2486" s="87"/>
      <x:c r="AF2486" s="87"/>
      <x:c r="AG2486" s="87"/>
      <x:c r="AH2486" s="87"/>
      <x:c r="AI2486" s="30"/>
      <x:c r="AJ2486" s="87" t="str">
        <x:v>master</x:v>
      </x:c>
      <x:c r="AK2486" s="87" t="str">
        <x:v>master-v0.81</x:v>
      </x:c>
      <x:c r="AL2486" s="87" t="str">
        <x:v>statgrad_master_base_v0_81_final(2).xlsx</x:v>
      </x:c>
      <x:c r="AM2486" s="87" t="str">
        <x:v>BIO_Apr_V3</x:v>
      </x:c>
      <x:c r="AN2486" s="87" t="n">
        <x:v>7</x:v>
      </x:c>
    </x:row>
    <x:row r="2487">
      <x:c r="A2487" s="87" t="n">
        <x:v>2486</x:v>
      </x:c>
      <x:c r="B2487" s="87" t="str">
        <x:v>APR-BIO-V3-007</x:v>
      </x:c>
      <x:c r="C2487" s="87" t="str">
        <x:v>СтатГрад</x:v>
      </x:c>
      <x:c r="D2487" s="87" t="str">
        <x:v>Апрель 2026</x:v>
      </x:c>
      <x:c r="E2487" s="87"/>
      <x:c r="F2487" s="87"/>
      <x:c r="G2487" s="87" t="str">
        <x:v>Биология</x:v>
      </x:c>
      <x:c r="H2487" s="87" t="n">
        <x:v>11</x:v>
      </x:c>
      <x:c r="I2487" s="87" t="str">
        <x:v>ТР №5</x:v>
      </x:c>
      <x:c r="J2487" s="87" t="str">
        <x:v>БИ2510503</x:v>
      </x:c>
      <x:c r="K2487" s="87" t="n">
        <x:v>7</x:v>
      </x:c>
      <x:c r="L2487" s="87" t="str">
        <x:v>Органоиды клетки</x:v>
      </x:c>
      <x:c r="M2487" s="30" t="str">
        <x:v>Выберите три верных ответа и запишите в таблицу цифры, под которыми они указаны. К одномембранным органеллам растительной клетки относятся 1) лизосома 2) митохондрия 3) рибосома 4) эндоплазматическая сеть 5) центральная вакуоль 6) хлоропласт</x:v>
      </x:c>
      <x:c r="N2487" s="30" t="str">
        <x:v>145</x:v>
      </x:c>
      <x:c r="O2487" s="30" t="str">
        <x:v>Лизосома, эндоплазматическая сеть и центральная вакуоль ограничены одной мембраной.</x:v>
      </x:c>
      <x:c r="P2487" s="30" t="str">
        <x:v>Ответ повторно выведен из условия и проверен по биологическим закономерностям; для заданий с рисунком обозначения сверены визуально.</x:v>
      </x:c>
      <x:c r="Q2487" s="30"/>
      <x:c r="R2487" s="30" t="str">
        <x:v>Официальная таблица ответов + независимое решение</x:v>
      </x:c>
      <x:c r="S2487" s="30"/>
      <x:c r="T2487" s="30"/>
      <x:c r="U2487" s="30" t="str">
        <x:v>Смешанный вариант: задание соответствует базовому источнику БИ2510502; расхождений не обнаружено.</x:v>
      </x:c>
      <x:c r="V2487" s="87" t="str">
        <x:v>VERIFIED</x:v>
      </x:c>
      <x:c r="W2487" s="87" t="str">
        <x:v>Официальный скан, задание 7</x:v>
      </x:c>
      <x:c r="X2487" s="87"/>
      <x:c r="Y2487" s="87"/>
      <x:c r="Z2487" s="87"/>
      <x:c r="AA2487" s="87"/>
      <x:c r="AB2487" s="87"/>
      <x:c r="AC2487" s="87"/>
      <x:c r="AD2487" s="87"/>
      <x:c r="AE2487" s="87"/>
      <x:c r="AF2487" s="87"/>
      <x:c r="AG2487" s="87"/>
      <x:c r="AH2487" s="87"/>
      <x:c r="AI2487" s="30"/>
      <x:c r="AJ2487" s="87" t="str">
        <x:v>master</x:v>
      </x:c>
      <x:c r="AK2487" s="87" t="str">
        <x:v>master-v0.81</x:v>
      </x:c>
      <x:c r="AL2487" s="87" t="str">
        <x:v>statgrad_master_base_v0_81_final(2).xlsx</x:v>
      </x:c>
      <x:c r="AM2487" s="87" t="str">
        <x:v>BIO_Apr_V3</x:v>
      </x:c>
      <x:c r="AN2487" s="87" t="n">
        <x:v>8</x:v>
      </x:c>
    </x:row>
    <x:row r="2488">
      <x:c r="A2488" s="87" t="n">
        <x:v>2487</x:v>
      </x:c>
      <x:c r="B2488" s="87" t="str">
        <x:v>APR-BIO-V3-008</x:v>
      </x:c>
      <x:c r="C2488" s="87" t="str">
        <x:v>СтатГрад</x:v>
      </x:c>
      <x:c r="D2488" s="87" t="str">
        <x:v>Апрель 2026</x:v>
      </x:c>
      <x:c r="E2488" s="87"/>
      <x:c r="F2488" s="87"/>
      <x:c r="G2488" s="87" t="str">
        <x:v>Биология</x:v>
      </x:c>
      <x:c r="H2488" s="87" t="n">
        <x:v>11</x:v>
      </x:c>
      <x:c r="I2488" s="87" t="str">
        <x:v>ТР №5</x:v>
      </x:c>
      <x:c r="J2488" s="87" t="str">
        <x:v>БИ2510503</x:v>
      </x:c>
      <x:c r="K2488" s="87" t="n">
        <x:v>8</x:v>
      </x:c>
      <x:c r="L2488" s="87" t="str">
        <x:v>Строение растительной клетки</x:v>
      </x:c>
      <x:c r="M2488" s="30" t="str">
        <x:v>Установите последовательность расположения структур растительной клетки от периферии к центру. Запишите в таблицу соответствующую последовательность цифр. 1) тонопласт – оболочка вакуоли 2) клеточная стенка 3) клеточный сок 4) плазмолемма 5) гиалоплазма</x:v>
      </x:c>
      <x:c r="N2488" s="30" t="str">
        <x:v>24513</x:v>
      </x:c>
      <x:c r="O2488" s="30" t="str">
        <x:v>От периферии к центру: клеточная стенка → плазмолемма → гиалоплазма → тонопласт → клеточный сок.</x:v>
      </x:c>
      <x:c r="P2488" s="30" t="str">
        <x:v>Ответ повторно выведен из условия и проверен по биологическим закономерностям; для заданий с рисунком обозначения сверены визуально.</x:v>
      </x:c>
      <x:c r="Q2488" s="30"/>
      <x:c r="R2488" s="30" t="str">
        <x:v>Официальная таблица ответов + независимое решение</x:v>
      </x:c>
      <x:c r="S2488" s="30"/>
      <x:c r="T2488" s="30"/>
      <x:c r="U2488" s="30" t="str">
        <x:v>Смешанный вариант: задание соответствует базовому источнику БИ2510501; расхождений не обнаружено.</x:v>
      </x:c>
      <x:c r="V2488" s="87" t="str">
        <x:v>VERIFIED</x:v>
      </x:c>
      <x:c r="W2488" s="87" t="str">
        <x:v>Официальный скан, задание 8</x:v>
      </x:c>
      <x:c r="X2488" s="87"/>
      <x:c r="Y2488" s="87"/>
      <x:c r="Z2488" s="87"/>
      <x:c r="AA2488" s="87"/>
      <x:c r="AB2488" s="87"/>
      <x:c r="AC2488" s="87"/>
      <x:c r="AD2488" s="87"/>
      <x:c r="AE2488" s="87"/>
      <x:c r="AF2488" s="87"/>
      <x:c r="AG2488" s="87"/>
      <x:c r="AH2488" s="87"/>
      <x:c r="AI2488" s="30"/>
      <x:c r="AJ2488" s="87" t="str">
        <x:v>master</x:v>
      </x:c>
      <x:c r="AK2488" s="87" t="str">
        <x:v>master-v0.81</x:v>
      </x:c>
      <x:c r="AL2488" s="87" t="str">
        <x:v>statgrad_master_base_v0_81_final(2).xlsx</x:v>
      </x:c>
      <x:c r="AM2488" s="87" t="str">
        <x:v>BIO_Apr_V3</x:v>
      </x:c>
      <x:c r="AN2488" s="87" t="n">
        <x:v>9</x:v>
      </x:c>
    </x:row>
    <x:row r="2489">
      <x:c r="A2489" s="87" t="n">
        <x:v>2488</x:v>
      </x:c>
      <x:c r="B2489" s="87" t="str">
        <x:v>APR-BIO-V3-009</x:v>
      </x:c>
      <x:c r="C2489" s="87" t="str">
        <x:v>СтатГрад</x:v>
      </x:c>
      <x:c r="D2489" s="87" t="str">
        <x:v>Апрель 2026</x:v>
      </x:c>
      <x:c r="E2489" s="87"/>
      <x:c r="F2489" s="87"/>
      <x:c r="G2489" s="87" t="str">
        <x:v>Биология</x:v>
      </x:c>
      <x:c r="H2489" s="87" t="n">
        <x:v>11</x:v>
      </x:c>
      <x:c r="I2489" s="87" t="str">
        <x:v>ТР №5</x:v>
      </x:c>
      <x:c r="J2489" s="87" t="str">
        <x:v>БИ2510503</x:v>
      </x:c>
      <x:c r="K2489" s="87" t="n">
        <x:v>9</x:v>
      </x:c>
      <x:c r="L2489" s="87" t="str">
        <x:v>Паразитология</x:v>
      </x:c>
      <x:c r="M2489" s="30" t="str">
        <x:v>Какой цифрой на схеме жизненного цикла обозначен хозяин паразита?</x:v>
      </x:c>
      <x:c r="N2489" s="30" t="str">
        <x:v>5</x:v>
      </x:c>
      <x:c r="O2489" s="30" t="str">
        <x:v>Хозяин личиночной стадии беззубки — рыба, обозначенная цифрой 5.</x:v>
      </x:c>
      <x:c r="P2489" s="30" t="str">
        <x:v>Ответ повторно выведен из условия и проверен по биологическим закономерностям; для заданий с рисунком обозначения сверены визуально.</x:v>
      </x:c>
      <x:c r="Q2489" s="30"/>
      <x:c r="R2489" s="30" t="str">
        <x:v>Независимое решение по официальному заданию</x:v>
      </x:c>
      <x:c r="S2489" s="30"/>
      <x:c r="T2489" s="30"/>
      <x:c r="U2489" s="30" t="str">
        <x:v>Смешанный вариант: задание соответствует базовому источнику БИ2510502; расхождений не обнаружено.</x:v>
      </x:c>
      <x:c r="V2489" s="87" t="str">
        <x:v>VERIFIED</x:v>
      </x:c>
      <x:c r="W2489" s="87" t="str">
        <x:v>Официальный скан, задание 9</x:v>
      </x:c>
      <x:c r="X2489" s="87"/>
      <x:c r="Y2489" s="87"/>
      <x:c r="Z2489" s="87"/>
      <x:c r="AA2489" s="87"/>
      <x:c r="AB2489" s="87"/>
      <x:c r="AC2489" s="87"/>
      <x:c r="AD2489" s="87"/>
      <x:c r="AE2489" s="87"/>
      <x:c r="AF2489" s="87"/>
      <x:c r="AG2489" s="87"/>
      <x:c r="AH2489" s="87"/>
      <x:c r="AI2489" s="30"/>
      <x:c r="AJ2489" s="87" t="str">
        <x:v>master</x:v>
      </x:c>
      <x:c r="AK2489" s="87" t="str">
        <x:v>master-v0.81</x:v>
      </x:c>
      <x:c r="AL2489" s="87" t="str">
        <x:v>statgrad_master_base_v0_81_final(2).xlsx</x:v>
      </x:c>
      <x:c r="AM2489" s="87" t="str">
        <x:v>BIO_Apr_V3</x:v>
      </x:c>
      <x:c r="AN2489" s="87" t="n">
        <x:v>10</x:v>
      </x:c>
    </x:row>
    <x:row r="2490">
      <x:c r="A2490" s="87" t="n">
        <x:v>2489</x:v>
      </x:c>
      <x:c r="B2490" s="87" t="str">
        <x:v>APR-BIO-V3-010</x:v>
      </x:c>
      <x:c r="C2490" s="87" t="str">
        <x:v>СтатГрад</x:v>
      </x:c>
      <x:c r="D2490" s="87" t="str">
        <x:v>Апрель 2026</x:v>
      </x:c>
      <x:c r="E2490" s="87"/>
      <x:c r="F2490" s="87"/>
      <x:c r="G2490" s="87" t="str">
        <x:v>Биология</x:v>
      </x:c>
      <x:c r="H2490" s="87" t="n">
        <x:v>11</x:v>
      </x:c>
      <x:c r="I2490" s="87" t="str">
        <x:v>ТР №5</x:v>
      </x:c>
      <x:c r="J2490" s="87" t="str">
        <x:v>БИ2510503</x:v>
      </x:c>
      <x:c r="K2490" s="87" t="n">
        <x:v>10</x:v>
      </x:c>
      <x:c r="L2490" s="87" t="str">
        <x:v>Паразитология: соответствие</x:v>
      </x:c>
      <x:c r="M2490" s="30" t="str">
        <x:v>Установите соответствие между характеристиками и стадиями жизненного цикла беззубки, обозначенными на схеме цифрами 1, 2, 3: к каждой позиции, данной в первом столбце, подберите соответствующую позицию из второго столбца.</x:v>
      </x:c>
      <x:c r="N2490" s="30" t="str">
        <x:v>231213</x:v>
      </x:c>
      <x:c r="O2490" s="30" t="str">
        <x:v>Глохидий — личинка, сперматозоид образуется самцом и сливается с яйцеклеткой, взрослая беззубка образует яйцеклетки и выводит глохидиев.</x:v>
      </x:c>
      <x:c r="P2490" s="30" t="str">
        <x:v>Ответ повторно выведен из условия и проверен по биологическим закономерностям; для заданий с рисунком обозначения сверены визуально.</x:v>
      </x:c>
      <x:c r="Q2490" s="30"/>
      <x:c r="R2490" s="30" t="str">
        <x:v>Официальная таблица ответов + независимое решение</x:v>
      </x:c>
      <x:c r="S2490" s="30"/>
      <x:c r="T2490" s="30"/>
      <x:c r="U2490" s="30" t="str">
        <x:v>Смешанный вариант: задание соответствует базовому источнику БИ2510502; расхождений не обнаружено.</x:v>
      </x:c>
      <x:c r="V2490" s="87" t="str">
        <x:v>VERIFIED</x:v>
      </x:c>
      <x:c r="W2490" s="87" t="str">
        <x:v>Официальный скан, задание 10</x:v>
      </x:c>
      <x:c r="X2490" s="87"/>
      <x:c r="Y2490" s="87"/>
      <x:c r="Z2490" s="87"/>
      <x:c r="AA2490" s="87"/>
      <x:c r="AB2490" s="87"/>
      <x:c r="AC2490" s="87"/>
      <x:c r="AD2490" s="87"/>
      <x:c r="AE2490" s="87"/>
      <x:c r="AF2490" s="87"/>
      <x:c r="AG2490" s="87"/>
      <x:c r="AH2490" s="87"/>
      <x:c r="AI2490" s="30"/>
      <x:c r="AJ2490" s="87" t="str">
        <x:v>master</x:v>
      </x:c>
      <x:c r="AK2490" s="87" t="str">
        <x:v>master-v0.81</x:v>
      </x:c>
      <x:c r="AL2490" s="87" t="str">
        <x:v>statgrad_master_base_v0_81_final(2).xlsx</x:v>
      </x:c>
      <x:c r="AM2490" s="87" t="str">
        <x:v>BIO_Apr_V3</x:v>
      </x:c>
      <x:c r="AN2490" s="87" t="n">
        <x:v>11</x:v>
      </x:c>
    </x:row>
    <x:row r="2491">
      <x:c r="A2491" s="87" t="n">
        <x:v>2490</x:v>
      </x:c>
      <x:c r="B2491" s="87" t="str">
        <x:v>APR-BIO-V3-011</x:v>
      </x:c>
      <x:c r="C2491" s="87" t="str">
        <x:v>СтатГрад</x:v>
      </x:c>
      <x:c r="D2491" s="87" t="str">
        <x:v>Апрель 2026</x:v>
      </x:c>
      <x:c r="E2491" s="87"/>
      <x:c r="F2491" s="87"/>
      <x:c r="G2491" s="87" t="str">
        <x:v>Биология</x:v>
      </x:c>
      <x:c r="H2491" s="87" t="n">
        <x:v>11</x:v>
      </x:c>
      <x:c r="I2491" s="87" t="str">
        <x:v>ТР №5</x:v>
      </x:c>
      <x:c r="J2491" s="87" t="str">
        <x:v>БИ2510503</x:v>
      </x:c>
      <x:c r="K2491" s="87" t="n">
        <x:v>11</x:v>
      </x:c>
      <x:c r="L2491" s="87" t="str">
        <x:v>Ткани растений</x:v>
      </x:c>
      <x:c r="M2491" s="30" t="str">
        <x:v>Выберите три верных ответа и запишите в таблицу цифры, под которыми они указаны. Какие структуры растений являются примерами или элементами покровных тканей? 1) пробка 2) ксилема 3) лубяные волокна 4) чечевички 5) меристема 6) эпидерма</x:v>
      </x:c>
      <x:c r="N2491" s="30" t="str">
        <x:v>146</x:v>
      </x:c>
      <x:c r="O2491" s="30" t="str">
        <x:v>Пробка и эпидерма — покровные ткани, чечевички являются элементами пробки.</x:v>
      </x:c>
      <x:c r="P2491" s="30" t="str">
        <x:v>Ответ повторно выведен из условия и проверен по биологическим закономерностям; для заданий с рисунком обозначения сверены визуально.</x:v>
      </x:c>
      <x:c r="Q2491" s="30"/>
      <x:c r="R2491" s="30" t="str">
        <x:v>Официальная таблица ответов + независимое решение</x:v>
      </x:c>
      <x:c r="S2491" s="30"/>
      <x:c r="T2491" s="30"/>
      <x:c r="U2491" s="30" t="str">
        <x:v>Смешанный вариант: задание соответствует базовому источнику БИ2510501; расхождений не обнаружено.</x:v>
      </x:c>
      <x:c r="V2491" s="87" t="str">
        <x:v>VERIFIED</x:v>
      </x:c>
      <x:c r="W2491" s="87" t="str">
        <x:v>Официальный скан, задание 11</x:v>
      </x:c>
      <x:c r="X2491" s="87"/>
      <x:c r="Y2491" s="87"/>
      <x:c r="Z2491" s="87"/>
      <x:c r="AA2491" s="87"/>
      <x:c r="AB2491" s="87"/>
      <x:c r="AC2491" s="87"/>
      <x:c r="AD2491" s="87"/>
      <x:c r="AE2491" s="87"/>
      <x:c r="AF2491" s="87"/>
      <x:c r="AG2491" s="87"/>
      <x:c r="AH2491" s="87"/>
      <x:c r="AI2491" s="30"/>
      <x:c r="AJ2491" s="87" t="str">
        <x:v>master</x:v>
      </x:c>
      <x:c r="AK2491" s="87" t="str">
        <x:v>master-v0.81</x:v>
      </x:c>
      <x:c r="AL2491" s="87" t="str">
        <x:v>statgrad_master_base_v0_81_final(2).xlsx</x:v>
      </x:c>
      <x:c r="AM2491" s="87" t="str">
        <x:v>BIO_Apr_V3</x:v>
      </x:c>
      <x:c r="AN2491" s="87" t="n">
        <x:v>12</x:v>
      </x:c>
    </x:row>
    <x:row r="2492">
      <x:c r="A2492" s="87" t="n">
        <x:v>2491</x:v>
      </x:c>
      <x:c r="B2492" s="87" t="str">
        <x:v>APR-BIO-V3-012</x:v>
      </x:c>
      <x:c r="C2492" s="87" t="str">
        <x:v>СтатГрад</x:v>
      </x:c>
      <x:c r="D2492" s="87" t="str">
        <x:v>Апрель 2026</x:v>
      </x:c>
      <x:c r="E2492" s="87"/>
      <x:c r="F2492" s="87"/>
      <x:c r="G2492" s="87" t="str">
        <x:v>Биология</x:v>
      </x:c>
      <x:c r="H2492" s="87" t="n">
        <x:v>11</x:v>
      </x:c>
      <x:c r="I2492" s="87" t="str">
        <x:v>ТР №5</x:v>
      </x:c>
      <x:c r="J2492" s="87" t="str">
        <x:v>БИ2510503</x:v>
      </x:c>
      <x:c r="K2492" s="87" t="n">
        <x:v>12</x:v>
      </x:c>
      <x:c r="L2492" s="87" t="str">
        <x:v>Систематика растений</x:v>
      </x:c>
      <x:c r="M2492" s="30" t="str">
        <x:v>Установите последовательность систематических групп растений, начиная с самого высокого ранга. Запишите в таблицу соответствующую последова- тельность цифр. 1) Эукариоты 2) Растения 3) Щитовниковые 4) Папоротниковидные 5) Щитовник 6) Щитовник гребенчатый</x:v>
      </x:c>
      <x:c r="N2492" s="30" t="str">
        <x:v>124356</x:v>
      </x:c>
      <x:c r="O2492" s="30" t="str">
        <x:v>Эукариоты → Растения → Папоротниковидные → Щитовниковые → Щитовник → Щитовник гребенчатый.</x:v>
      </x:c>
      <x:c r="P2492" s="30" t="str">
        <x:v>Ответ повторно выведен из условия и проверен по биологическим закономерностям; для заданий с рисунком обозначения сверены визуально.</x:v>
      </x:c>
      <x:c r="Q2492" s="30"/>
      <x:c r="R2492" s="30" t="str">
        <x:v>Официальная таблица ответов + независимое решение</x:v>
      </x:c>
      <x:c r="S2492" s="30"/>
      <x:c r="T2492" s="30"/>
      <x:c r="U2492" s="30" t="str">
        <x:v>Смешанный вариант: задание соответствует базовому источнику БИ2510502; расхождений не обнаружено.</x:v>
      </x:c>
      <x:c r="V2492" s="87" t="str">
        <x:v>VERIFIED</x:v>
      </x:c>
      <x:c r="W2492" s="87" t="str">
        <x:v>Официальный скан, задание 12</x:v>
      </x:c>
      <x:c r="X2492" s="87"/>
      <x:c r="Y2492" s="87"/>
      <x:c r="Z2492" s="87"/>
      <x:c r="AA2492" s="87"/>
      <x:c r="AB2492" s="87"/>
      <x:c r="AC2492" s="87"/>
      <x:c r="AD2492" s="87"/>
      <x:c r="AE2492" s="87"/>
      <x:c r="AF2492" s="87"/>
      <x:c r="AG2492" s="87"/>
      <x:c r="AH2492" s="87"/>
      <x:c r="AI2492" s="30"/>
      <x:c r="AJ2492" s="87" t="str">
        <x:v>master</x:v>
      </x:c>
      <x:c r="AK2492" s="87" t="str">
        <x:v>master-v0.81</x:v>
      </x:c>
      <x:c r="AL2492" s="87" t="str">
        <x:v>statgrad_master_base_v0_81_final(2).xlsx</x:v>
      </x:c>
      <x:c r="AM2492" s="87" t="str">
        <x:v>BIO_Apr_V3</x:v>
      </x:c>
      <x:c r="AN2492" s="87" t="n">
        <x:v>13</x:v>
      </x:c>
    </x:row>
    <x:row r="2493">
      <x:c r="A2493" s="87" t="n">
        <x:v>2492</x:v>
      </x:c>
      <x:c r="B2493" s="87" t="str">
        <x:v>APR-BIO-V3-013</x:v>
      </x:c>
      <x:c r="C2493" s="87" t="str">
        <x:v>СтатГрад</x:v>
      </x:c>
      <x:c r="D2493" s="87" t="str">
        <x:v>Апрель 2026</x:v>
      </x:c>
      <x:c r="E2493" s="87"/>
      <x:c r="F2493" s="87"/>
      <x:c r="G2493" s="87" t="str">
        <x:v>Биология</x:v>
      </x:c>
      <x:c r="H2493" s="87" t="n">
        <x:v>11</x:v>
      </x:c>
      <x:c r="I2493" s="87" t="str">
        <x:v>ТР №5</x:v>
      </x:c>
      <x:c r="J2493" s="87" t="str">
        <x:v>БИ2510503</x:v>
      </x:c>
      <x:c r="K2493" s="87" t="n">
        <x:v>13</x:v>
      </x:c>
      <x:c r="L2493" s="87" t="str">
        <x:v>Слуховой анализатор</x:v>
      </x:c>
      <x:c r="M2493" s="30" t="str">
        <x:v>Какой цифрой на рисунке обозначен центральный отдел слухового анализатора?</x:v>
      </x:c>
      <x:c r="N2493" s="30" t="str">
        <x:v>7</x:v>
      </x:c>
      <x:c r="O2493" s="30" t="str">
        <x:v>Центральный отдел слухового анализатора расположен в коре височной доли и обозначен цифрой 7.</x:v>
      </x:c>
      <x:c r="P2493" s="30" t="str">
        <x:v>Ответ повторно выведен из условия и проверен по биологическим закономерностям; для заданий с рисунком обозначения сверены визуально.</x:v>
      </x:c>
      <x:c r="Q2493" s="30"/>
      <x:c r="R2493" s="30" t="str">
        <x:v>Независимое решение по официальному заданию</x:v>
      </x:c>
      <x:c r="S2493" s="30"/>
      <x:c r="T2493" s="30"/>
      <x:c r="U2493" s="30" t="str">
        <x:v>Смешанный вариант: задание соответствует базовому источнику БИ2510501; расхождений не обнаружено.</x:v>
      </x:c>
      <x:c r="V2493" s="87" t="str">
        <x:v>VERIFIED</x:v>
      </x:c>
      <x:c r="W2493" s="87" t="str">
        <x:v>Официальный скан, задание 13</x:v>
      </x:c>
      <x:c r="X2493" s="87"/>
      <x:c r="Y2493" s="87"/>
      <x:c r="Z2493" s="87"/>
      <x:c r="AA2493" s="87"/>
      <x:c r="AB2493" s="87"/>
      <x:c r="AC2493" s="87"/>
      <x:c r="AD2493" s="87"/>
      <x:c r="AE2493" s="87"/>
      <x:c r="AF2493" s="87"/>
      <x:c r="AG2493" s="87"/>
      <x:c r="AH2493" s="87"/>
      <x:c r="AI2493" s="30"/>
      <x:c r="AJ2493" s="87" t="str">
        <x:v>master</x:v>
      </x:c>
      <x:c r="AK2493" s="87" t="str">
        <x:v>master-v0.81</x:v>
      </x:c>
      <x:c r="AL2493" s="87" t="str">
        <x:v>statgrad_master_base_v0_81_final(2).xlsx</x:v>
      </x:c>
      <x:c r="AM2493" s="87" t="str">
        <x:v>BIO_Apr_V3</x:v>
      </x:c>
      <x:c r="AN2493" s="87" t="n">
        <x:v>14</x:v>
      </x:c>
    </x:row>
    <x:row r="2494">
      <x:c r="A2494" s="87" t="n">
        <x:v>2493</x:v>
      </x:c>
      <x:c r="B2494" s="87" t="str">
        <x:v>APR-BIO-V3-014</x:v>
      </x:c>
      <x:c r="C2494" s="87" t="str">
        <x:v>СтатГрад</x:v>
      </x:c>
      <x:c r="D2494" s="87" t="str">
        <x:v>Апрель 2026</x:v>
      </x:c>
      <x:c r="E2494" s="87"/>
      <x:c r="F2494" s="87"/>
      <x:c r="G2494" s="87" t="str">
        <x:v>Биология</x:v>
      </x:c>
      <x:c r="H2494" s="87" t="n">
        <x:v>11</x:v>
      </x:c>
      <x:c r="I2494" s="87" t="str">
        <x:v>ТР №5</x:v>
      </x:c>
      <x:c r="J2494" s="87" t="str">
        <x:v>БИ2510503</x:v>
      </x:c>
      <x:c r="K2494" s="87" t="n">
        <x:v>14</x:v>
      </x:c>
      <x:c r="L2494" s="87" t="str">
        <x:v>Нервная система и органы чувств</x:v>
      </x:c>
      <x:c r="M2494" s="30" t="str">
        <x:v>Установите соответствие между характеристиками и элементами головы человека, обозначенными на рисунке цифрами 1, 2, 3: к каждой позиции, данной в первом столбце, подберите соответствующую позицию из второго столбца. ХАРАКТЕРИСТИКИ ЭЛЕМЕНТЫ А) содержит механорецепторы 1) 1 Б) образован двумя полушариями 2) 2 В) имеет в центре серое вещество 3) 3 Г) является местом отхождения черепномозговых нервов Д) покрыт бороздами и извилинами Е) расположен внутри височной кости Запишите в таблицу выбранные цифры под соответствующими буквами. А Б В Г Д Е</x:v>
      </x:c>
      <x:c r="N2494" s="30" t="str">
        <x:v>231132</x:v>
      </x:c>
      <x:c r="O2494" s="30" t="str">
        <x:v>Внутреннее ухо содержит рецепторы; мозжечок имеет два полушария и кору; продолговатый мозг содержит ядра и места выхода черепных нервов.</x:v>
      </x:c>
      <x:c r="P2494" s="30" t="str">
        <x:v>Ответ повторно выведен из условия и проверен по биологическим закономерностям; для заданий с рисунком обозначения сверены визуально.</x:v>
      </x:c>
      <x:c r="Q2494" s="30"/>
      <x:c r="R2494" s="30" t="str">
        <x:v>Официальная таблица ответов + независимое решение</x:v>
      </x:c>
      <x:c r="S2494" s="30"/>
      <x:c r="T2494" s="30"/>
      <x:c r="U2494" s="30" t="str">
        <x:v>Смешанный вариант: задание соответствует базовому источнику БИ2510501; расхождений не обнаружено.</x:v>
      </x:c>
      <x:c r="V2494" s="87" t="str">
        <x:v>VERIFIED</x:v>
      </x:c>
      <x:c r="W2494" s="87" t="str">
        <x:v>Официальный скан, задание 14</x:v>
      </x:c>
      <x:c r="X2494" s="87"/>
      <x:c r="Y2494" s="87"/>
      <x:c r="Z2494" s="87"/>
      <x:c r="AA2494" s="87"/>
      <x:c r="AB2494" s="87"/>
      <x:c r="AC2494" s="87"/>
      <x:c r="AD2494" s="87"/>
      <x:c r="AE2494" s="87"/>
      <x:c r="AF2494" s="87"/>
      <x:c r="AG2494" s="87"/>
      <x:c r="AH2494" s="87"/>
      <x:c r="AI2494" s="30"/>
      <x:c r="AJ2494" s="87" t="str">
        <x:v>master</x:v>
      </x:c>
      <x:c r="AK2494" s="87" t="str">
        <x:v>master-v0.81</x:v>
      </x:c>
      <x:c r="AL2494" s="87" t="str">
        <x:v>statgrad_master_base_v0_81_final(2).xlsx</x:v>
      </x:c>
      <x:c r="AM2494" s="87" t="str">
        <x:v>BIO_Apr_V3</x:v>
      </x:c>
      <x:c r="AN2494" s="87" t="n">
        <x:v>15</x:v>
      </x:c>
    </x:row>
    <x:row r="2495">
      <x:c r="A2495" s="87" t="n">
        <x:v>2494</x:v>
      </x:c>
      <x:c r="B2495" s="87" t="str">
        <x:v>APR-BIO-V3-015</x:v>
      </x:c>
      <x:c r="C2495" s="87" t="str">
        <x:v>СтатГрад</x:v>
      </x:c>
      <x:c r="D2495" s="87" t="str">
        <x:v>Апрель 2026</x:v>
      </x:c>
      <x:c r="E2495" s="87"/>
      <x:c r="F2495" s="87"/>
      <x:c r="G2495" s="87" t="str">
        <x:v>Биология</x:v>
      </x:c>
      <x:c r="H2495" s="87" t="n">
        <x:v>11</x:v>
      </x:c>
      <x:c r="I2495" s="87" t="str">
        <x:v>ТР №5</x:v>
      </x:c>
      <x:c r="J2495" s="87" t="str">
        <x:v>БИ2510503</x:v>
      </x:c>
      <x:c r="K2495" s="87" t="n">
        <x:v>15</x:v>
      </x:c>
      <x:c r="L2495" s="87" t="str">
        <x:v>Состав крови</x:v>
      </x:c>
      <x:c r="M2495" s="30" t="str">
        <x:v>Выберите три верных ответа и запишите в таблицу цифры, под которыми они указаны. Какие компоненты присутствуют в нижней фракции крови после центрифугирования пробирки? 1) антитела 2) фибриноген 3) кровяные пластинки 4) плазма 5) макрофаги 6) эритроциты</x:v>
      </x:c>
      <x:c r="N2495" s="30" t="str">
        <x:v>356</x:v>
      </x:c>
      <x:c r="O2495" s="30" t="str">
        <x:v>Нижняя фракция после центрифугирования содержит форменные элементы: тромбоциты, лейкоциты/макрофаги и эритроциты.</x:v>
      </x:c>
      <x:c r="P2495" s="30" t="str">
        <x:v>Ответ повторно выведен из условия и проверен по биологическим закономерностям; для заданий с рисунком обозначения сверены визуально.</x:v>
      </x:c>
      <x:c r="Q2495" s="30"/>
      <x:c r="R2495" s="30" t="str">
        <x:v>Официальная таблица ответов + независимое решение</x:v>
      </x:c>
      <x:c r="S2495" s="30"/>
      <x:c r="T2495" s="30"/>
      <x:c r="U2495" s="30" t="str">
        <x:v>Смешанный вариант: задание соответствует базовому источнику БИ2510502; расхождений не обнаружено.</x:v>
      </x:c>
      <x:c r="V2495" s="87" t="str">
        <x:v>VERIFIED</x:v>
      </x:c>
      <x:c r="W2495" s="87" t="str">
        <x:v>Официальный скан, задание 15</x:v>
      </x:c>
      <x:c r="X2495" s="87"/>
      <x:c r="Y2495" s="87"/>
      <x:c r="Z2495" s="87"/>
      <x:c r="AA2495" s="87"/>
      <x:c r="AB2495" s="87"/>
      <x:c r="AC2495" s="87"/>
      <x:c r="AD2495" s="87"/>
      <x:c r="AE2495" s="87"/>
      <x:c r="AF2495" s="87"/>
      <x:c r="AG2495" s="87"/>
      <x:c r="AH2495" s="87"/>
      <x:c r="AI2495" s="30"/>
      <x:c r="AJ2495" s="87" t="str">
        <x:v>master</x:v>
      </x:c>
      <x:c r="AK2495" s="87" t="str">
        <x:v>master-v0.81</x:v>
      </x:c>
      <x:c r="AL2495" s="87" t="str">
        <x:v>statgrad_master_base_v0_81_final(2).xlsx</x:v>
      </x:c>
      <x:c r="AM2495" s="87" t="str">
        <x:v>BIO_Apr_V3</x:v>
      </x:c>
      <x:c r="AN2495" s="87" t="n">
        <x:v>16</x:v>
      </x:c>
    </x:row>
    <x:row r="2496">
      <x:c r="A2496" s="87" t="n">
        <x:v>2495</x:v>
      </x:c>
      <x:c r="B2496" s="87" t="str">
        <x:v>APR-BIO-V3-016</x:v>
      </x:c>
      <x:c r="C2496" s="87" t="str">
        <x:v>СтатГрад</x:v>
      </x:c>
      <x:c r="D2496" s="87" t="str">
        <x:v>Апрель 2026</x:v>
      </x:c>
      <x:c r="E2496" s="87"/>
      <x:c r="F2496" s="87"/>
      <x:c r="G2496" s="87" t="str">
        <x:v>Биология</x:v>
      </x:c>
      <x:c r="H2496" s="87" t="n">
        <x:v>11</x:v>
      </x:c>
      <x:c r="I2496" s="87" t="str">
        <x:v>ТР №5</x:v>
      </x:c>
      <x:c r="J2496" s="87" t="str">
        <x:v>БИ2510503</x:v>
      </x:c>
      <x:c r="K2496" s="87" t="n">
        <x:v>16</x:v>
      </x:c>
      <x:c r="L2496" s="87" t="str">
        <x:v>Скелет человека</x:v>
      </x:c>
      <x:c r="M2496" s="30" t="str">
        <x:v>Установите последовательность элементов скелета человека, начиная с нижних конечностей. Запишите в таблицу соответствующую последовательность цифр. 1) атлант 2) крестец 3) наковальня 4) берцовая кость 5) лопатка</x:v>
      </x:c>
      <x:c r="N2496" s="30" t="str">
        <x:v>42513</x:v>
      </x:c>
      <x:c r="O2496" s="30" t="str">
        <x:v>Снизу вверх: берцовая кость → крестец → лопатка → атлант → наковальня.</x:v>
      </x:c>
      <x:c r="P2496" s="30" t="str">
        <x:v>Ответ повторно выведен из условия и проверен по биологическим закономерностям; для заданий с рисунком обозначения сверены визуально.</x:v>
      </x:c>
      <x:c r="Q2496" s="30"/>
      <x:c r="R2496" s="30" t="str">
        <x:v>Официальная таблица ответов + независимое решение</x:v>
      </x:c>
      <x:c r="S2496" s="30"/>
      <x:c r="T2496" s="30"/>
      <x:c r="U2496" s="30" t="str">
        <x:v>Смешанный вариант: задание соответствует базовому источнику БИ2510501; расхождений не обнаружено.</x:v>
      </x:c>
      <x:c r="V2496" s="87" t="str">
        <x:v>VERIFIED</x:v>
      </x:c>
      <x:c r="W2496" s="87" t="str">
        <x:v>Официальный скан, задание 16</x:v>
      </x:c>
      <x:c r="X2496" s="87"/>
      <x:c r="Y2496" s="87"/>
      <x:c r="Z2496" s="87"/>
      <x:c r="AA2496" s="87"/>
      <x:c r="AB2496" s="87"/>
      <x:c r="AC2496" s="87"/>
      <x:c r="AD2496" s="87"/>
      <x:c r="AE2496" s="87"/>
      <x:c r="AF2496" s="87"/>
      <x:c r="AG2496" s="87"/>
      <x:c r="AH2496" s="87"/>
      <x:c r="AI2496" s="30"/>
      <x:c r="AJ2496" s="87" t="str">
        <x:v>master</x:v>
      </x:c>
      <x:c r="AK2496" s="87" t="str">
        <x:v>master-v0.81</x:v>
      </x:c>
      <x:c r="AL2496" s="87" t="str">
        <x:v>statgrad_master_base_v0_81_final(2).xlsx</x:v>
      </x:c>
      <x:c r="AM2496" s="87" t="str">
        <x:v>BIO_Apr_V3</x:v>
      </x:c>
      <x:c r="AN2496" s="87" t="n">
        <x:v>17</x:v>
      </x:c>
    </x:row>
    <x:row r="2497">
      <x:c r="A2497" s="87" t="n">
        <x:v>2496</x:v>
      </x:c>
      <x:c r="B2497" s="87" t="str">
        <x:v>APR-BIO-V3-017</x:v>
      </x:c>
      <x:c r="C2497" s="87" t="str">
        <x:v>СтатГрад</x:v>
      </x:c>
      <x:c r="D2497" s="87" t="str">
        <x:v>Апрель 2026</x:v>
      </x:c>
      <x:c r="E2497" s="87"/>
      <x:c r="F2497" s="87"/>
      <x:c r="G2497" s="87" t="str">
        <x:v>Биология</x:v>
      </x:c>
      <x:c r="H2497" s="87" t="n">
        <x:v>11</x:v>
      </x:c>
      <x:c r="I2497" s="87" t="str">
        <x:v>ТР №5</x:v>
      </x:c>
      <x:c r="J2497" s="87" t="str">
        <x:v>БИ2510503</x:v>
      </x:c>
      <x:c r="K2497" s="87" t="n">
        <x:v>17</x:v>
      </x:c>
      <x:c r="L2497" s="87" t="str">
        <x:v>Эры развития жизни</x:v>
      </x:c>
      <x:c r="M2497" s="30" t="str">
        <x:v>Прочитайте текст. Выберите три предложения, в которых даны примеры эволюционных событий, происходивших в мезозойскую эру. Запишите в таблицу цифры, под которыми они указаны. (1)В юрский период произошло широкое распространение пресмыкающихся, включая динозавров. (2)Примерно в это же время появились первые птицы, произошедшие от древних пресмыкающихся. (3)В девоне началось активное формирование почвенного покрова суши. (4)В меловой период появляются покрытосеменные растения, распространившиеся на все материки. (5)Споровые растения, отмирая, формировали отложения каменного угля. (6)В начале палеогена сформировались основные группы современных млекопитающих, в том числе приматы.</x:v>
      </x:c>
      <x:c r="N2497" s="30" t="str">
        <x:v>124</x:v>
      </x:c>
      <x:c r="O2497" s="30" t="str">
        <x:v>Юра и мел относятся к мезозою: распространение рептилий, появление птиц и покрытосеменных.</x:v>
      </x:c>
      <x:c r="P2497" s="30" t="str">
        <x:v>Ответ повторно выведен из условия и проверен по биологическим закономерностям; для заданий с рисунком обозначения сверены визуально.</x:v>
      </x:c>
      <x:c r="Q2497" s="30"/>
      <x:c r="R2497" s="30" t="str">
        <x:v>Официальная таблица ответов + независимое решение</x:v>
      </x:c>
      <x:c r="S2497" s="30"/>
      <x:c r="T2497" s="30"/>
      <x:c r="U2497" s="30" t="str">
        <x:v>Смешанный вариант: задание соответствует базовому источнику БИ2510502; расхождений не обнаружено.</x:v>
      </x:c>
      <x:c r="V2497" s="87" t="str">
        <x:v>VERIFIED</x:v>
      </x:c>
      <x:c r="W2497" s="87" t="str">
        <x:v>Официальный скан, задание 17</x:v>
      </x:c>
      <x:c r="X2497" s="87"/>
      <x:c r="Y2497" s="87"/>
      <x:c r="Z2497" s="87"/>
      <x:c r="AA2497" s="87"/>
      <x:c r="AB2497" s="87"/>
      <x:c r="AC2497" s="87"/>
      <x:c r="AD2497" s="87"/>
      <x:c r="AE2497" s="87"/>
      <x:c r="AF2497" s="87"/>
      <x:c r="AG2497" s="87"/>
      <x:c r="AH2497" s="87"/>
      <x:c r="AI2497" s="30"/>
      <x:c r="AJ2497" s="87" t="str">
        <x:v>master</x:v>
      </x:c>
      <x:c r="AK2497" s="87" t="str">
        <x:v>master-v0.81</x:v>
      </x:c>
      <x:c r="AL2497" s="87" t="str">
        <x:v>statgrad_master_base_v0_81_final(2).xlsx</x:v>
      </x:c>
      <x:c r="AM2497" s="87" t="str">
        <x:v>BIO_Apr_V3</x:v>
      </x:c>
      <x:c r="AN2497" s="87" t="n">
        <x:v>18</x:v>
      </x:c>
    </x:row>
    <x:row r="2498">
      <x:c r="A2498" s="87" t="n">
        <x:v>2497</x:v>
      </x:c>
      <x:c r="B2498" s="87" t="str">
        <x:v>APR-BIO-V3-018</x:v>
      </x:c>
      <x:c r="C2498" s="87" t="str">
        <x:v>СтатГрад</x:v>
      </x:c>
      <x:c r="D2498" s="87" t="str">
        <x:v>Апрель 2026</x:v>
      </x:c>
      <x:c r="E2498" s="87"/>
      <x:c r="F2498" s="87"/>
      <x:c r="G2498" s="87" t="str">
        <x:v>Биология</x:v>
      </x:c>
      <x:c r="H2498" s="87" t="n">
        <x:v>11</x:v>
      </x:c>
      <x:c r="I2498" s="87" t="str">
        <x:v>ТР №5</x:v>
      </x:c>
      <x:c r="J2498" s="87" t="str">
        <x:v>БИ2510503</x:v>
      </x:c>
      <x:c r="K2498" s="87" t="n">
        <x:v>18</x:v>
      </x:c>
      <x:c r="L2498" s="87" t="str">
        <x:v>Трофические уровни</x:v>
      </x:c>
      <x:c r="M2498" s="30" t="str">
        <x:v>Выберите три верных ответа и запишите в таблицу цифры, под которыми они указаны. Консументами второго порядка могут являться 1) паук-крестовик 2) ёж 3) бабочка-капустница 4) майский жук 5) божья коровка 6) жираф</x:v>
      </x:c>
      <x:c r="N2498" s="30" t="str">
        <x:v>125</x:v>
      </x:c>
      <x:c r="O2498" s="30" t="str">
        <x:v>Паук, ёж и божья коровка могут питаться первичными консументами и выступать консументами второго порядка.</x:v>
      </x:c>
      <x:c r="P2498" s="30" t="str">
        <x:v>Ответ повторно выведен из условия и проверен по биологическим закономерностям; для заданий с рисунком обозначения сверены визуально.</x:v>
      </x:c>
      <x:c r="Q2498" s="30"/>
      <x:c r="R2498" s="30" t="str">
        <x:v>Официальная таблица ответов + независимое решение</x:v>
      </x:c>
      <x:c r="S2498" s="30"/>
      <x:c r="T2498" s="30"/>
      <x:c r="U2498" s="30" t="str">
        <x:v>Смешанный вариант: задание соответствует базовому источнику БИ2510501; расхождений не обнаружено.</x:v>
      </x:c>
      <x:c r="V2498" s="87" t="str">
        <x:v>VERIFIED</x:v>
      </x:c>
      <x:c r="W2498" s="87" t="str">
        <x:v>Официальный скан, задание 18</x:v>
      </x:c>
      <x:c r="X2498" s="87"/>
      <x:c r="Y2498" s="87"/>
      <x:c r="Z2498" s="87"/>
      <x:c r="AA2498" s="87"/>
      <x:c r="AB2498" s="87"/>
      <x:c r="AC2498" s="87"/>
      <x:c r="AD2498" s="87"/>
      <x:c r="AE2498" s="87"/>
      <x:c r="AF2498" s="87"/>
      <x:c r="AG2498" s="87"/>
      <x:c r="AH2498" s="87"/>
      <x:c r="AI2498" s="30"/>
      <x:c r="AJ2498" s="87" t="str">
        <x:v>master</x:v>
      </x:c>
      <x:c r="AK2498" s="87" t="str">
        <x:v>master-v0.81</x:v>
      </x:c>
      <x:c r="AL2498" s="87" t="str">
        <x:v>statgrad_master_base_v0_81_final(2).xlsx</x:v>
      </x:c>
      <x:c r="AM2498" s="87" t="str">
        <x:v>BIO_Apr_V3</x:v>
      </x:c>
      <x:c r="AN2498" s="87" t="n">
        <x:v>19</x:v>
      </x:c>
    </x:row>
    <x:row r="2499">
      <x:c r="A2499" s="87" t="n">
        <x:v>2498</x:v>
      </x:c>
      <x:c r="B2499" s="87" t="str">
        <x:v>APR-BIO-V3-019</x:v>
      </x:c>
      <x:c r="C2499" s="87" t="str">
        <x:v>СтатГрад</x:v>
      </x:c>
      <x:c r="D2499" s="87" t="str">
        <x:v>Апрель 2026</x:v>
      </x:c>
      <x:c r="E2499" s="87"/>
      <x:c r="F2499" s="87"/>
      <x:c r="G2499" s="87" t="str">
        <x:v>Биология</x:v>
      </x:c>
      <x:c r="H2499" s="87" t="n">
        <x:v>11</x:v>
      </x:c>
      <x:c r="I2499" s="87" t="str">
        <x:v>ТР №5</x:v>
      </x:c>
      <x:c r="J2499" s="87" t="str">
        <x:v>БИ2510503</x:v>
      </x:c>
      <x:c r="K2499" s="87" t="n">
        <x:v>19</x:v>
      </x:c>
      <x:c r="L2499" s="87" t="str">
        <x:v>Формы эволюции</x:v>
      </x:c>
      <x:c r="M2499" s="30" t="str">
        <x:v>Установите соответствие между примерами и формами эволюции: к каждой позиции, данной в первом столбце, подберите соответствующую позицию из второго столбца. ПРИМЕРЫ ФОРМЫ ЭВОЛЮЦИИ А) крылья бабочек и птиц 1) конвергенция Б) клюв утки и утконоса 2) дивергенция В) ласты китов и лапы кошачьих Г) жабры рыб и ракообразных Д) клюв коршуна и пеликана Е) шерсть млекопитающих и перья птиц Запишите в таблицу выбранные цифры под соответствующими буквами. А Б В Г Д Е</x:v>
      </x:c>
      <x:c r="N2499" s="30" t="str">
        <x:v>112122</x:v>
      </x:c>
      <x:c r="O2499" s="30" t="str">
        <x:v>Сходные органы неродственных групп возникают конвергентно, различия гомологичных органов родственных групп — при дивергенции.</x:v>
      </x:c>
      <x:c r="P2499" s="30" t="str">
        <x:v>Ответ повторно выведен из условия и проверен по биологическим закономерностям; для заданий с рисунком обозначения сверены визуально.</x:v>
      </x:c>
      <x:c r="Q2499" s="30"/>
      <x:c r="R2499" s="30" t="str">
        <x:v>Официальная таблица ответов + независимое решение</x:v>
      </x:c>
      <x:c r="S2499" s="30"/>
      <x:c r="T2499" s="30"/>
      <x:c r="U2499" s="30" t="str">
        <x:v>Смешанный вариант: задание соответствует базовому источнику БИ2510502; расхождений не обнаружено.</x:v>
      </x:c>
      <x:c r="V2499" s="87" t="str">
        <x:v>VERIFIED</x:v>
      </x:c>
      <x:c r="W2499" s="87" t="str">
        <x:v>Официальный скан, задание 19</x:v>
      </x:c>
      <x:c r="X2499" s="87"/>
      <x:c r="Y2499" s="87"/>
      <x:c r="Z2499" s="87"/>
      <x:c r="AA2499" s="87"/>
      <x:c r="AB2499" s="87"/>
      <x:c r="AC2499" s="87"/>
      <x:c r="AD2499" s="87"/>
      <x:c r="AE2499" s="87"/>
      <x:c r="AF2499" s="87"/>
      <x:c r="AG2499" s="87"/>
      <x:c r="AH2499" s="87"/>
      <x:c r="AI2499" s="30"/>
      <x:c r="AJ2499" s="87" t="str">
        <x:v>master</x:v>
      </x:c>
      <x:c r="AK2499" s="87" t="str">
        <x:v>master-v0.81</x:v>
      </x:c>
      <x:c r="AL2499" s="87" t="str">
        <x:v>statgrad_master_base_v0_81_final(2).xlsx</x:v>
      </x:c>
      <x:c r="AM2499" s="87" t="str">
        <x:v>BIO_Apr_V3</x:v>
      </x:c>
      <x:c r="AN2499" s="87" t="n">
        <x:v>20</x:v>
      </x:c>
    </x:row>
    <x:row r="2500">
      <x:c r="A2500" s="87" t="n">
        <x:v>2499</x:v>
      </x:c>
      <x:c r="B2500" s="87" t="str">
        <x:v>APR-BIO-V3-020</x:v>
      </x:c>
      <x:c r="C2500" s="87" t="str">
        <x:v>СтатГрад</x:v>
      </x:c>
      <x:c r="D2500" s="87" t="str">
        <x:v>Апрель 2026</x:v>
      </x:c>
      <x:c r="E2500" s="87"/>
      <x:c r="F2500" s="87"/>
      <x:c r="G2500" s="87" t="str">
        <x:v>Биология</x:v>
      </x:c>
      <x:c r="H2500" s="87" t="n">
        <x:v>11</x:v>
      </x:c>
      <x:c r="I2500" s="87" t="str">
        <x:v>ТР №5</x:v>
      </x:c>
      <x:c r="J2500" s="87" t="str">
        <x:v>БИ2510503</x:v>
      </x:c>
      <x:c r="K2500" s="87" t="n">
        <x:v>20</x:v>
      </x:c>
      <x:c r="L2500" s="87" t="str">
        <x:v>Сукцессия</x:v>
      </x:c>
      <x:c r="M2500" s="30" t="str">
        <x:v>Рассмотрите сукцессию, изображённую на рисунке.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Тип сукцессии Пионерное сообщество Климаксное сообщество __________________(А) ___________________(Б) ___________________(В) Список элементов 1) лишайники 2) рябина и крушина 3) грибы 4) вторичная 5) луговые травы 6) хвощи и папоротники 7) первичная 8) хвойные породы Запишите в таблицу выбранные цифры под соответствующими буквами. А Б В</x:v>
      </x:c>
      <x:c r="N2500" s="30" t="str">
        <x:v>718</x:v>
      </x:c>
      <x:c r="O2500" s="30" t="str">
        <x:v>Зарастание голого субстрата — первичная сукцессия: пионеры лишайники, климакс — хвойный лес.</x:v>
      </x:c>
      <x:c r="P2500" s="30" t="str">
        <x:v>Ответ повторно выведен из условия и проверен по биологическим закономерностям; для заданий с рисунком обозначения сверены визуально.</x:v>
      </x:c>
      <x:c r="Q2500" s="30"/>
      <x:c r="R2500" s="30" t="str">
        <x:v>Официальная таблица ответов + независимое решение</x:v>
      </x:c>
      <x:c r="S2500" s="30"/>
      <x:c r="T2500" s="30"/>
      <x:c r="U2500" s="30" t="str">
        <x:v>Смешанный вариант: задание соответствует базовому источнику БИ2510501; расхождений не обнаружено.</x:v>
      </x:c>
      <x:c r="V2500" s="87" t="str">
        <x:v>VERIFIED</x:v>
      </x:c>
      <x:c r="W2500" s="87" t="str">
        <x:v>Официальный скан, задание 20</x:v>
      </x:c>
      <x:c r="X2500" s="87"/>
      <x:c r="Y2500" s="87"/>
      <x:c r="Z2500" s="87"/>
      <x:c r="AA2500" s="87"/>
      <x:c r="AB2500" s="87"/>
      <x:c r="AC2500" s="87"/>
      <x:c r="AD2500" s="87"/>
      <x:c r="AE2500" s="87"/>
      <x:c r="AF2500" s="87"/>
      <x:c r="AG2500" s="87"/>
      <x:c r="AH2500" s="87"/>
      <x:c r="AI2500" s="30"/>
      <x:c r="AJ2500" s="87" t="str">
        <x:v>master</x:v>
      </x:c>
      <x:c r="AK2500" s="87" t="str">
        <x:v>master-v0.81</x:v>
      </x:c>
      <x:c r="AL2500" s="87" t="str">
        <x:v>statgrad_master_base_v0_81_final(2).xlsx</x:v>
      </x:c>
      <x:c r="AM2500" s="87" t="str">
        <x:v>BIO_Apr_V3</x:v>
      </x:c>
      <x:c r="AN2500" s="87" t="n">
        <x:v>21</x:v>
      </x:c>
    </x:row>
    <x:row r="2501">
      <x:c r="A2501" s="87" t="n">
        <x:v>2500</x:v>
      </x:c>
      <x:c r="B2501" s="87" t="str">
        <x:v>APR-BIO-V3-021</x:v>
      </x:c>
      <x:c r="C2501" s="87" t="str">
        <x:v>СтатГрад</x:v>
      </x:c>
      <x:c r="D2501" s="87" t="str">
        <x:v>Апрель 2026</x:v>
      </x:c>
      <x:c r="E2501" s="87"/>
      <x:c r="F2501" s="87"/>
      <x:c r="G2501" s="87" t="str">
        <x:v>Биология</x:v>
      </x:c>
      <x:c r="H2501" s="87" t="n">
        <x:v>11</x:v>
      </x:c>
      <x:c r="I2501" s="87" t="str">
        <x:v>ТР №5</x:v>
      </x:c>
      <x:c r="J2501" s="87" t="str">
        <x:v>БИ2510503</x:v>
      </x:c>
      <x:c r="K2501" s="87" t="n">
        <x:v>21</x:v>
      </x:c>
      <x:c r="L2501" s="87" t="str">
        <x:v>Анализ таблицы</x:v>
      </x:c>
      <x:c r="M2501" s="30" t="str">
        <x:v>Проанализируйте таблицу «Влияние температуры воды на жизнедея- тельность рыб» Температура воды, oC Виды Питание рыб рыб Оцепенение Начало Интенсивное Окончание Налим 1 3–7 12 выше 15 Форель 2 10–12 18 выше 25 Щука 4 13–16 23 ниже 2 Окунь 4 12–15 21 ниже 2 Карп 10 20–28 30 ниже 6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Клёв окуня будет максимальным при прогреве воды до 12 oC. 2) Форель при температуре выше 25 oC выходит из оцепенения. 3) Зона температурного оптимума для щуки составляет 4–23 oC. 4) Карп обитает в холодных реках с быстрым течением. 5) Самой холодолюбивой рыбой из представленных является налим.</x:v>
      </x:c>
      <x:c r="N2501" s="30" t="str">
        <x:v>15</x:v>
      </x:c>
      <x:c r="O2501" s="30" t="str">
        <x:v>По таблице подтверждаются максимальный клёв окуня с 12 °C и наибольшая холодолюбивость налима.</x:v>
      </x:c>
      <x:c r="P2501" s="30" t="str">
        <x:v>Ответ повторно выведен из условия и проверен по биологическим закономерностям; для заданий с рисунком обозначения сверены визуально.</x:v>
      </x:c>
      <x:c r="Q2501" s="30"/>
      <x:c r="R2501" s="30" t="str">
        <x:v>Официальная таблица ответов + независимое решение</x:v>
      </x:c>
      <x:c r="S2501" s="30"/>
      <x:c r="T2501" s="30"/>
      <x:c r="U2501" s="30" t="str">
        <x:v>Смешанный вариант: задание соответствует базовому источнику БИ2510502; расхождений не обнаружено.</x:v>
      </x:c>
      <x:c r="V2501" s="87" t="str">
        <x:v>VERIFIED</x:v>
      </x:c>
      <x:c r="W2501" s="87" t="str">
        <x:v>Официальный скан, задание 21</x:v>
      </x:c>
      <x:c r="X2501" s="87"/>
      <x:c r="Y2501" s="87"/>
      <x:c r="Z2501" s="87"/>
      <x:c r="AA2501" s="87"/>
      <x:c r="AB2501" s="87"/>
      <x:c r="AC2501" s="87"/>
      <x:c r="AD2501" s="87"/>
      <x:c r="AE2501" s="87"/>
      <x:c r="AF2501" s="87"/>
      <x:c r="AG2501" s="87"/>
      <x:c r="AH2501" s="87"/>
      <x:c r="AI2501" s="30"/>
      <x:c r="AJ2501" s="87" t="str">
        <x:v>master</x:v>
      </x:c>
      <x:c r="AK2501" s="87" t="str">
        <x:v>master-v0.81</x:v>
      </x:c>
      <x:c r="AL2501" s="87" t="str">
        <x:v>statgrad_master_base_v0_81_final(2).xlsx</x:v>
      </x:c>
      <x:c r="AM2501" s="87" t="str">
        <x:v>BIO_Apr_V3</x:v>
      </x:c>
      <x:c r="AN2501" s="87" t="n">
        <x:v>22</x:v>
      </x:c>
    </x:row>
    <x:row r="2502">
      <x:c r="A2502" s="87" t="n">
        <x:v>2501</x:v>
      </x:c>
      <x:c r="B2502" s="87" t="str">
        <x:v>APR-BIO-V3-022</x:v>
      </x:c>
      <x:c r="C2502" s="87" t="str">
        <x:v>СтатГрад</x:v>
      </x:c>
      <x:c r="D2502" s="87" t="str">
        <x:v>Апрель 2026</x:v>
      </x:c>
      <x:c r="E2502" s="87"/>
      <x:c r="F2502" s="87"/>
      <x:c r="G2502" s="87" t="str">
        <x:v>Биология</x:v>
      </x:c>
      <x:c r="H2502" s="87" t="n">
        <x:v>11</x:v>
      </x:c>
      <x:c r="I2502" s="87" t="str">
        <x:v>ТР №5</x:v>
      </x:c>
      <x:c r="J2502" s="87" t="str">
        <x:v>БИ2510503</x:v>
      </x:c>
      <x:c r="K2502" s="87" t="n">
        <x:v>22</x:v>
      </x:c>
      <x:c r="L2502" s="87" t="str">
        <x:v>Развёрнутый ответ: эксперимент</x:v>
      </x:c>
      <x:c r="M2502" s="30" t="str">
        <x:v>Какую нулевую гипотезу* можно сформулировать перед постановкой эксперимента? Почему в эксперименте использовали только один штамм бактерий? Почему результаты эксперимента могут быть недостоверными, если выращивать саженцы в помещении, где температура колеблется в диапазоне 15–30оС в зависимости от времени суток? *Нулевая гипотеза – принимаемое по умолчанию предположение о том, что не существует связи между двумя наблюдаемыми событиями, феноменами.</x:v>
      </x:c>
      <x:c r="N2502" s="30" t="str">
        <x:v>Нулевая гипотеза: наличие нитратов не влияет на диаметр клубеньков. Использование одного штамма исключает различия реакции штаммов и их влияния на рост клубеньков. Колебания температуры меняют метаболизм бактерий и растения, поэтому влияние нитратов нельзя отделить от температурного фактора.</x:v>
      </x:c>
      <x:c r="O2502" s="30" t="str">
        <x:v>Нулевая гипотеза: наличие нитратов не влияет на диаметр клубеньков. Использование одного штамма исключает различия реакции штаммов и их влияния на рост клубеньков. Колебания температуры меняют метаболизм бактерий и растения, поэтому влияние нитратов нельзя отделить от температурного фактора.</x:v>
      </x:c>
      <x:c r="P2502" s="30" t="str">
        <x:v>Все обязательные смысловые элементы сопоставлены с официальными критериями оценивания.</x:v>
      </x:c>
      <x:c r="Q2502" s="30"/>
      <x:c r="R2502" s="30" t="str">
        <x:v>Официальные критерии СтатГрад</x:v>
      </x:c>
      <x:c r="S2502" s="30"/>
      <x:c r="T2502" s="30"/>
      <x:c r="U2502" s="30" t="str">
        <x:v>Смешанный вариант: задание соответствует базовому источнику БИ2510501; расхождений не обнаружено.</x:v>
      </x:c>
      <x:c r="V2502" s="87" t="str">
        <x:v>VERIFIED</x:v>
      </x:c>
      <x:c r="W2502" s="87" t="str">
        <x:v>Официальный скан, задание 22</x:v>
      </x:c>
      <x:c r="X2502" s="87"/>
      <x:c r="Y2502" s="87"/>
      <x:c r="Z2502" s="87"/>
      <x:c r="AA2502" s="87"/>
      <x:c r="AB2502" s="87"/>
      <x:c r="AC2502" s="87"/>
      <x:c r="AD2502" s="87"/>
      <x:c r="AE2502" s="87"/>
      <x:c r="AF2502" s="87"/>
      <x:c r="AG2502" s="87"/>
      <x:c r="AH2502" s="87"/>
      <x:c r="AI2502" s="30"/>
      <x:c r="AJ2502" s="87" t="str">
        <x:v>master</x:v>
      </x:c>
      <x:c r="AK2502" s="87" t="str">
        <x:v>master-v0.81</x:v>
      </x:c>
      <x:c r="AL2502" s="87" t="str">
        <x:v>statgrad_master_base_v0_81_final(2).xlsx</x:v>
      </x:c>
      <x:c r="AM2502" s="87" t="str">
        <x:v>BIO_Apr_V3</x:v>
      </x:c>
      <x:c r="AN2502" s="87" t="n">
        <x:v>23</x:v>
      </x:c>
    </x:row>
    <x:row r="2503">
      <x:c r="A2503" s="87" t="n">
        <x:v>2502</x:v>
      </x:c>
      <x:c r="B2503" s="87" t="str">
        <x:v>APR-BIO-V3-023</x:v>
      </x:c>
      <x:c r="C2503" s="87" t="str">
        <x:v>СтатГрад</x:v>
      </x:c>
      <x:c r="D2503" s="87" t="str">
        <x:v>Апрель 2026</x:v>
      </x:c>
      <x:c r="E2503" s="87"/>
      <x:c r="F2503" s="87"/>
      <x:c r="G2503" s="87" t="str">
        <x:v>Биология</x:v>
      </x:c>
      <x:c r="H2503" s="87" t="n">
        <x:v>11</x:v>
      </x:c>
      <x:c r="I2503" s="87" t="str">
        <x:v>ТР №5</x:v>
      </x:c>
      <x:c r="J2503" s="87" t="str">
        <x:v>БИ2510503</x:v>
      </x:c>
      <x:c r="K2503" s="87" t="n">
        <x:v>23</x:v>
      </x:c>
      <x:c r="L2503" s="87" t="str">
        <x:v>Развёрнутый ответ: симбиоз</x:v>
      </x:c>
      <x:c r="M2503" s="30" t="str">
        <x:v>Как называется тип взаимодействия между соей и клубеньковыми бактериями? Какое значение имеет это взаимодействие для сои? Дайте аргументированный ответ. Сделайте вывод по результатам эксперимента, как и почему нитраты влияют на диаметр клубеньков у сои.</x:v>
      </x:c>
      <x:c r="N2503" s="30" t="str">
        <x:v>Взаимодействие — мутуализм (симбиоз). Бактерии фиксируют атмосферный азот и переводят его в доступные растению соединения. Нитраты замедляют рост клубеньков: соя получает азот из раствора и не расходует ресурсы на клубеньки; возможно также прямое подавление бактерий нитратами.</x:v>
      </x:c>
      <x:c r="O2503" s="30" t="str">
        <x:v>Взаимодействие — мутуализм (симбиоз). Бактерии фиксируют атмосферный азот и переводят его в доступные растению соединения. Нитраты замедляют рост клубеньков: соя получает азот из раствора и не расходует ресурсы на клубеньки; возможно также прямое подавление бактерий нитратами.</x:v>
      </x:c>
      <x:c r="P2503" s="30" t="str">
        <x:v>Все обязательные смысловые элементы сопоставлены с официальными критериями оценивания.</x:v>
      </x:c>
      <x:c r="Q2503" s="30"/>
      <x:c r="R2503" s="30" t="str">
        <x:v>Официальные критерии СтатГрад</x:v>
      </x:c>
      <x:c r="S2503" s="30"/>
      <x:c r="T2503" s="30"/>
      <x:c r="U2503" s="30" t="str">
        <x:v>Смешанный вариант: задание соответствует базовому источнику БИ2510501; расхождений не обнаружено.</x:v>
      </x:c>
      <x:c r="V2503" s="87" t="str">
        <x:v>VERIFIED</x:v>
      </x:c>
      <x:c r="W2503" s="87" t="str">
        <x:v>Официальный скан, задание 23</x:v>
      </x:c>
      <x:c r="X2503" s="87"/>
      <x:c r="Y2503" s="87"/>
      <x:c r="Z2503" s="87"/>
      <x:c r="AA2503" s="87"/>
      <x:c r="AB2503" s="87"/>
      <x:c r="AC2503" s="87"/>
      <x:c r="AD2503" s="87"/>
      <x:c r="AE2503" s="87"/>
      <x:c r="AF2503" s="87"/>
      <x:c r="AG2503" s="87"/>
      <x:c r="AH2503" s="87"/>
      <x:c r="AI2503" s="30"/>
      <x:c r="AJ2503" s="87" t="str">
        <x:v>master</x:v>
      </x:c>
      <x:c r="AK2503" s="87" t="str">
        <x:v>master-v0.81</x:v>
      </x:c>
      <x:c r="AL2503" s="87" t="str">
        <x:v>statgrad_master_base_v0_81_final(2).xlsx</x:v>
      </x:c>
      <x:c r="AM2503" s="87" t="str">
        <x:v>BIO_Apr_V3</x:v>
      </x:c>
      <x:c r="AN2503" s="87" t="n">
        <x:v>24</x:v>
      </x:c>
    </x:row>
    <x:row r="2504">
      <x:c r="A2504" s="87" t="n">
        <x:v>2503</x:v>
      </x:c>
      <x:c r="B2504" s="87" t="str">
        <x:v>APR-BIO-V3-024</x:v>
      </x:c>
      <x:c r="C2504" s="87" t="str">
        <x:v>СтатГрад</x:v>
      </x:c>
      <x:c r="D2504" s="87" t="str">
        <x:v>Апрель 2026</x:v>
      </x:c>
      <x:c r="E2504" s="87"/>
      <x:c r="F2504" s="87"/>
      <x:c r="G2504" s="87" t="str">
        <x:v>Биология</x:v>
      </x:c>
      <x:c r="H2504" s="87" t="n">
        <x:v>11</x:v>
      </x:c>
      <x:c r="I2504" s="87" t="str">
        <x:v>ТР №5</x:v>
      </x:c>
      <x:c r="J2504" s="87" t="str">
        <x:v>БИ2510503</x:v>
      </x:c>
      <x:c r="K2504" s="87" t="n">
        <x:v>24</x:v>
      </x:c>
      <x:c r="L2504" s="87" t="str">
        <x:v>Развёрнутый ответ: биология и рисунок</x:v>
      </x:c>
      <x:c r="M2504" s="30" t="str">
        <x:v>К какой экологической группе растений по отношению к влажности относится растение, фрагмент листа которого изображён на рисунке? Приведите три аргумента в пользу своего мнения. Назовите два биома (две природные зоны), в которых данное растение можно встретить с наибольшей вероятностью.</x:v>
      </x:c>
      <x:c r="N2504" s="30" t="str">
        <x:v>Это ксерофит. Признаки: толстая кутикула/многослойная эпидерма с утолщёнными стенками, погружённые устьица, опушение вокруг устьиц. Вероятные биомы: пустыня, полупустыня, степь или саванна — достаточно двух.</x:v>
      </x:c>
      <x:c r="O2504" s="30" t="str">
        <x:v>Это ксерофит. Признаки: толстая кутикула/многослойная эпидерма с утолщёнными стенками, погружённые устьица, опушение вокруг устьиц. Вероятные биомы: пустыня, полупустыня, степь или саванна — достаточно двух.</x:v>
      </x:c>
      <x:c r="P2504" s="30" t="str">
        <x:v>Все обязательные смысловые элементы сопоставлены с официальными критериями оценивания.</x:v>
      </x:c>
      <x:c r="Q2504" s="30"/>
      <x:c r="R2504" s="30" t="str">
        <x:v>Официальные критерии СтатГрад</x:v>
      </x:c>
      <x:c r="S2504" s="30"/>
      <x:c r="T2504" s="30"/>
      <x:c r="U2504" s="30" t="str">
        <x:v>Смешанный вариант: задание соответствует базовому источнику БИ2510502; расхождений не обнаружено.</x:v>
      </x:c>
      <x:c r="V2504" s="87" t="str">
        <x:v>VERIFIED</x:v>
      </x:c>
      <x:c r="W2504" s="87" t="str">
        <x:v>Официальный скан, задание 24</x:v>
      </x:c>
      <x:c r="X2504" s="87"/>
      <x:c r="Y2504" s="87"/>
      <x:c r="Z2504" s="87"/>
      <x:c r="AA2504" s="87"/>
      <x:c r="AB2504" s="87"/>
      <x:c r="AC2504" s="87"/>
      <x:c r="AD2504" s="87"/>
      <x:c r="AE2504" s="87"/>
      <x:c r="AF2504" s="87"/>
      <x:c r="AG2504" s="87"/>
      <x:c r="AH2504" s="87"/>
      <x:c r="AI2504" s="30"/>
      <x:c r="AJ2504" s="87" t="str">
        <x:v>master</x:v>
      </x:c>
      <x:c r="AK2504" s="87" t="str">
        <x:v>master-v0.81</x:v>
      </x:c>
      <x:c r="AL2504" s="87" t="str">
        <x:v>statgrad_master_base_v0_81_final(2).xlsx</x:v>
      </x:c>
      <x:c r="AM2504" s="87" t="str">
        <x:v>BIO_Apr_V3</x:v>
      </x:c>
      <x:c r="AN2504" s="87" t="n">
        <x:v>25</x:v>
      </x:c>
    </x:row>
    <x:row r="2505">
      <x:c r="A2505" s="87" t="n">
        <x:v>2504</x:v>
      </x:c>
      <x:c r="B2505" s="87" t="str">
        <x:v>APR-BIO-V3-025</x:v>
      </x:c>
      <x:c r="C2505" s="87" t="str">
        <x:v>СтатГрад</x:v>
      </x:c>
      <x:c r="D2505" s="87" t="str">
        <x:v>Апрель 2026</x:v>
      </x:c>
      <x:c r="E2505" s="87"/>
      <x:c r="F2505" s="87"/>
      <x:c r="G2505" s="87" t="str">
        <x:v>Биология</x:v>
      </x:c>
      <x:c r="H2505" s="87" t="n">
        <x:v>11</x:v>
      </x:c>
      <x:c r="I2505" s="87" t="str">
        <x:v>ТР №5</x:v>
      </x:c>
      <x:c r="J2505" s="87" t="str">
        <x:v>БИ2510503</x:v>
      </x:c>
      <x:c r="K2505" s="87" t="n">
        <x:v>25</x:v>
      </x:c>
      <x:c r="L2505" s="87" t="str">
        <x:v>Развёрнутый ответ: физиология/экология</x:v>
      </x:c>
      <x:c r="M2505" s="30" t="str">
        <x:v>Кишечная микробиота травоядных животных играет ключевую роль в пищеварении и детоксикации растительных ядов, причём её состав варьирует у разных популяций. Назовите две основные функции, которые выполняет симбиотическая микробиота в пищеварительном тракте травоядных животных (помимо нейтрализации токсинов). Почему новорожденные травоядные животные не способны эффективно переваривать растительную пищу? Почему конкуренция между полезными кишечными микробами снижает их способность защищать животное от токсинов? Приведите два аргумента.</x:v>
      </x:c>
      <x:c r="N2505" s="30" t="str">
        <x:v>Микробиота расщепляет целлюлозу и синтезирует витамины (также конкурирует с патогенами и стимулирует иммунитет). У новорождённых микробное сообщество ещё не сформировано. Конкуренция уменьшает численность и активность полезных видов и заставляет расходовать ресурсы на борьбу; наиболее эффективный детоксикатор может проиграть более конкурентоспособному виду.</x:v>
      </x:c>
      <x:c r="O2505" s="30" t="str">
        <x:v>Микробиота расщепляет целлюлозу и синтезирует витамины (также конкурирует с патогенами и стимулирует иммунитет). У новорождённых микробное сообщество ещё не сформировано. Конкуренция уменьшает численность и активность полезных видов и заставляет расходовать ресурсы на борьбу; наиболее эффективный детоксикатор может проиграть более конкурентоспособному виду.</x:v>
      </x:c>
      <x:c r="P2505" s="30" t="str">
        <x:v>Все обязательные смысловые элементы сопоставлены с официальными критериями оценивания.</x:v>
      </x:c>
      <x:c r="Q2505" s="30"/>
      <x:c r="R2505" s="30" t="str">
        <x:v>Официальные критерии СтатГрад</x:v>
      </x:c>
      <x:c r="S2505" s="30"/>
      <x:c r="T2505" s="30"/>
      <x:c r="U2505" s="30" t="str">
        <x:v>Смешанный вариант: задание соответствует базовому источнику БИ2510501; расхождений не обнаружено.</x:v>
      </x:c>
      <x:c r="V2505" s="87" t="str">
        <x:v>VERIFIED</x:v>
      </x:c>
      <x:c r="W2505" s="87" t="str">
        <x:v>Официальный скан, задание 25</x:v>
      </x:c>
      <x:c r="X2505" s="87"/>
      <x:c r="Y2505" s="87"/>
      <x:c r="Z2505" s="87"/>
      <x:c r="AA2505" s="87"/>
      <x:c r="AB2505" s="87"/>
      <x:c r="AC2505" s="87"/>
      <x:c r="AD2505" s="87"/>
      <x:c r="AE2505" s="87"/>
      <x:c r="AF2505" s="87"/>
      <x:c r="AG2505" s="87"/>
      <x:c r="AH2505" s="87"/>
      <x:c r="AI2505" s="30"/>
      <x:c r="AJ2505" s="87" t="str">
        <x:v>master</x:v>
      </x:c>
      <x:c r="AK2505" s="87" t="str">
        <x:v>master-v0.81</x:v>
      </x:c>
      <x:c r="AL2505" s="87" t="str">
        <x:v>statgrad_master_base_v0_81_final(2).xlsx</x:v>
      </x:c>
      <x:c r="AM2505" s="87" t="str">
        <x:v>BIO_Apr_V3</x:v>
      </x:c>
      <x:c r="AN2505" s="87" t="n">
        <x:v>26</x:v>
      </x:c>
    </x:row>
    <x:row r="2506">
      <x:c r="A2506" s="87" t="n">
        <x:v>2505</x:v>
      </x:c>
      <x:c r="B2506" s="87" t="str">
        <x:v>APR-BIO-V3-026</x:v>
      </x:c>
      <x:c r="C2506" s="87" t="str">
        <x:v>СтатГрад</x:v>
      </x:c>
      <x:c r="D2506" s="87" t="str">
        <x:v>Апрель 2026</x:v>
      </x:c>
      <x:c r="E2506" s="87"/>
      <x:c r="F2506" s="87"/>
      <x:c r="G2506" s="87" t="str">
        <x:v>Биология</x:v>
      </x:c>
      <x:c r="H2506" s="87" t="n">
        <x:v>11</x:v>
      </x:c>
      <x:c r="I2506" s="87" t="str">
        <x:v>ТР №5</x:v>
      </x:c>
      <x:c r="J2506" s="87" t="str">
        <x:v>БИ2510503</x:v>
      </x:c>
      <x:c r="K2506" s="87" t="n">
        <x:v>26</x:v>
      </x:c>
      <x:c r="L2506" s="87" t="str">
        <x:v>Развёрнутый ответ: эволюция/экология</x:v>
      </x:c>
      <x:c r="M2506" s="30" t="str">
        <x:v>Исследование диких и городских популяций уток-крякв выявило значительные различия между ними. Городские утки перестали совершать сезонные миграции, период гнездования стал наступать раньше, а размер выводков сократился. Назовите причины каждого из изменений.</x:v>
      </x:c>
      <x:c r="N2506" s="30" t="str">
        <x:v>Миграции прекратились из-за постоянного обилия корма. Более раннее гнездование связано с городским теплом и искусственным освещением. Сокращение выводка объясняется высокой плотностью, дефицитом мест, стрессом либо выгодой меньшего выводка при высокой выживаемости птенцов.</x:v>
      </x:c>
      <x:c r="O2506" s="30" t="str">
        <x:v>Миграции прекратились из-за постоянного обилия корма. Более раннее гнездование связано с городским теплом и искусственным освещением. Сокращение выводка объясняется высокой плотностью, дефицитом мест, стрессом либо выгодой меньшего выводка при высокой выживаемости птенцов.</x:v>
      </x:c>
      <x:c r="P2506" s="30" t="str">
        <x:v>Все обязательные смысловые элементы сопоставлены с официальными критериями оценивания.</x:v>
      </x:c>
      <x:c r="Q2506" s="30"/>
      <x:c r="R2506" s="30" t="str">
        <x:v>Официальные критерии СтатГрад</x:v>
      </x:c>
      <x:c r="S2506" s="30"/>
      <x:c r="T2506" s="30"/>
      <x:c r="U2506" s="30" t="str">
        <x:v>Смешанный вариант: задание соответствует базовому источнику БИ2510502; расхождений не обнаружено.</x:v>
      </x:c>
      <x:c r="V2506" s="87" t="str">
        <x:v>VERIFIED</x:v>
      </x:c>
      <x:c r="W2506" s="87" t="str">
        <x:v>Официальный скан, задание 26</x:v>
      </x:c>
      <x:c r="X2506" s="87"/>
      <x:c r="Y2506" s="87"/>
      <x:c r="Z2506" s="87"/>
      <x:c r="AA2506" s="87"/>
      <x:c r="AB2506" s="87"/>
      <x:c r="AC2506" s="87"/>
      <x:c r="AD2506" s="87"/>
      <x:c r="AE2506" s="87"/>
      <x:c r="AF2506" s="87"/>
      <x:c r="AG2506" s="87"/>
      <x:c r="AH2506" s="87"/>
      <x:c r="AI2506" s="30"/>
      <x:c r="AJ2506" s="87" t="str">
        <x:v>master</x:v>
      </x:c>
      <x:c r="AK2506" s="87" t="str">
        <x:v>master-v0.81</x:v>
      </x:c>
      <x:c r="AL2506" s="87" t="str">
        <x:v>statgrad_master_base_v0_81_final(2).xlsx</x:v>
      </x:c>
      <x:c r="AM2506" s="87" t="str">
        <x:v>BIO_Apr_V3</x:v>
      </x:c>
      <x:c r="AN2506" s="87" t="n">
        <x:v>27</x:v>
      </x:c>
    </x:row>
    <x:row r="2507">
      <x:c r="A2507" s="87" t="n">
        <x:v>2506</x:v>
      </x:c>
      <x:c r="B2507" s="87" t="str">
        <x:v>APR-BIO-V3-027</x:v>
      </x:c>
      <x:c r="C2507" s="87" t="str">
        <x:v>СтатГрад</x:v>
      </x:c>
      <x:c r="D2507" s="87" t="str">
        <x:v>Апрель 2026</x:v>
      </x:c>
      <x:c r="E2507" s="87"/>
      <x:c r="F2507" s="87"/>
      <x:c r="G2507" s="87" t="str">
        <x:v>Биология</x:v>
      </x:c>
      <x:c r="H2507" s="87" t="n">
        <x:v>11</x:v>
      </x:c>
      <x:c r="I2507" s="87" t="str">
        <x:v>ТР №5</x:v>
      </x:c>
      <x:c r="J2507" s="87" t="str">
        <x:v>БИ2510503</x:v>
      </x:c>
      <x:c r="K2507" s="87" t="n">
        <x:v>27</x:v>
      </x:c>
      <x:c r="L2507" s="87" t="str">
        <x:v>Развёрнутый ответ: расчёт/молекулярная биология</x:v>
      </x:c>
      <x:c r="M2507" s="30" t="str">
        <x:v>Известно, что комплементарные цепи нуклеиновых кислот антипараллельны (5' концу в одной цепи соответствует 3' конец другой цепи). Синтез нуклеиновых кислот начинается с 5' конца. Рибосома движется по иРНК в направлении от 5' к 3' концу. Молекулы тРНК, несущие соответствующие антикодоны, входят в рибосому в следующем порядке (антикодоны указаны в направлении от 5’ к 3’ концу): АУГ, ЦЦУ, ГАА, УЦГ, АЦУ Определите последовательность смысловой и транскрибируемой цепей ДНК, иРНК и аминокислот в молекуле синтезируемого фрагмента белка. Ответ поясните. Для решения задания используйте таблицу генетического кода. При написании последовательностей нуклеиновых кислот указывайте направление цепи. Генетический код (иРНК) Первое Третье Второе основание основание основание У Ц А Г Фен Сер Тир Цис У Фен Сер Тир Цис Ц У Лей Сер – – А Лей Сер – Трп Г Лей Про Гис Арг У Лей Про Гис Арг Ц Ц Лей Про Глн Арг А Лей Про Глн Арг Г Иле Тре Асн Сер У Иле Тре Асн Сер Ц А Иле Тре Лиз Арг А Мет Тре Лиз Арг Г Вал Ала Асп Гли У Вал Ала Асп Гли Ц Г Вал Ала Глу Гли А Вал Ала Глу Гли Г</x:v>
      </x:c>
      <x:c r="N2507" s="30" t="str">
        <x:v>Антикодонам 5′-АУГ, ЦЦУ, ГАА, УЦГ, АЦУ-3′ соответствуют кодоны иРНК 5′-ЦАУ-АГГ-УУЦ-ЦГА-АГУ-3′. Белок: гис–арг–фен–арг–сер. Смысловая цепь ДНК: 5′-ЦАТАГГТТЦЦГААГТ-3′; транскрибируемая: 3′-ГТАТЦЦААГГЦТТЦА-5′.</x:v>
      </x:c>
      <x:c r="O2507" s="30" t="str">
        <x:v>Антикодонам 5′-АУГ, ЦЦУ, ГАА, УЦГ, АЦУ-3′ соответствуют кодоны иРНК 5′-ЦАУ-АГГ-УУЦ-ЦГА-АГУ-3′. Белок: гис–арг–фен–арг–сер. Смысловая цепь ДНК: 5′-ЦАТАГГТТЦЦГААГТ-3′; транскрибируемая: 3′-ГТАТЦЦААГГЦТТЦА-5′.</x:v>
      </x:c>
      <x:c r="P2507" s="30" t="str">
        <x:v>Все обязательные смысловые элементы сопоставлены с официальными критериями оценивания.</x:v>
      </x:c>
      <x:c r="Q2507" s="30"/>
      <x:c r="R2507" s="30" t="str">
        <x:v>Официальные критерии СтатГрад</x:v>
      </x:c>
      <x:c r="S2507" s="30"/>
      <x:c r="T2507" s="30"/>
      <x:c r="U2507" s="30" t="str">
        <x:v>Смешанный вариант: задание соответствует базовому источнику БИ2510501; расхождений не обнаружено.</x:v>
      </x:c>
      <x:c r="V2507" s="87" t="str">
        <x:v>VERIFIED</x:v>
      </x:c>
      <x:c r="W2507" s="87" t="str">
        <x:v>Официальный скан, задание 27</x:v>
      </x:c>
      <x:c r="X2507" s="87"/>
      <x:c r="Y2507" s="87"/>
      <x:c r="Z2507" s="87"/>
      <x:c r="AA2507" s="87"/>
      <x:c r="AB2507" s="87"/>
      <x:c r="AC2507" s="87"/>
      <x:c r="AD2507" s="87"/>
      <x:c r="AE2507" s="87"/>
      <x:c r="AF2507" s="87"/>
      <x:c r="AG2507" s="87"/>
      <x:c r="AH2507" s="87"/>
      <x:c r="AI2507" s="30"/>
      <x:c r="AJ2507" s="87" t="str">
        <x:v>master</x:v>
      </x:c>
      <x:c r="AK2507" s="87" t="str">
        <x:v>master-v0.81</x:v>
      </x:c>
      <x:c r="AL2507" s="87" t="str">
        <x:v>statgrad_master_base_v0_81_final(2).xlsx</x:v>
      </x:c>
      <x:c r="AM2507" s="87" t="str">
        <x:v>BIO_Apr_V3</x:v>
      </x:c>
      <x:c r="AN2507" s="87" t="n">
        <x:v>28</x:v>
      </x:c>
    </x:row>
    <x:row r="2508">
      <x:c r="A2508" s="87" t="n">
        <x:v>2507</x:v>
      </x:c>
      <x:c r="B2508" s="87" t="str">
        <x:v>APR-BIO-V3-028</x:v>
      </x:c>
      <x:c r="C2508" s="87" t="str">
        <x:v>СтатГрад</x:v>
      </x:c>
      <x:c r="D2508" s="87" t="str">
        <x:v>Апрель 2026</x:v>
      </x:c>
      <x:c r="E2508" s="87"/>
      <x:c r="F2508" s="87"/>
      <x:c r="G2508" s="87" t="str">
        <x:v>Биология</x:v>
      </x:c>
      <x:c r="H2508" s="87" t="n">
        <x:v>11</x:v>
      </x:c>
      <x:c r="I2508" s="87" t="str">
        <x:v>ТР №5</x:v>
      </x:c>
      <x:c r="J2508" s="87" t="str">
        <x:v>БИ2510503</x:v>
      </x:c>
      <x:c r="K2508" s="87" t="n">
        <x:v>28</x:v>
      </x:c>
      <x:c r="L2508" s="87" t="str">
        <x:v>Развёрнутый ответ: генетика</x:v>
      </x:c>
      <x:c r="M2508" s="30" t="str">
        <x:v>У домовой мыши гетерогаметным полом является мужской пол. При скрещивании самок с окраской агути (серо-коричневая), нормальной шерстью и самцов с редкой шерстью чёрного окраса всё потомство получилось единообразным по признакам цвета и количества волос. Во втором скрещивании самок мыши с чёрной редкой шерстью и самцов с нормальной шерстью цвета агути получились самки с окрасом агути, нормальной шерстью и самцы с окрасом агути, редкой шерстью. Составьте схемы скрещивания, определите генотипы и фенотипы родительских особей, потомства в двух скрещиваниях и пол потомства в первом скрещивании. Объясните фенотипическое расщепление во втором скрещивании.</x:v>
      </x:c>
      <x:c r="N2508" s="30" t="str">
        <x:v>Первое скрещивание: ♀ AAXᴮXᴮ (агути, нормальная шерсть) × ♂ aaXᵇY (чёрный, редкая шерсть) → дочери AaXᴮXᵇ и сыновья AaXᴮY, все агути с нормальной шерстью. Второе: ♀ aaXᵇXᵇ × ♂ AAXᴮY → дочери AaXᴮXᵇ агути с нормальной шерстью и сыновья AaXᵇY агути с редкой шерстью. Различие полов связано с X-сцепленным наследованием типа шерсти.</x:v>
      </x:c>
      <x:c r="O2508" s="30" t="str">
        <x:v>Первое скрещивание: ♀ AAXᴮXᴮ (агути, нормальная шерсть) × ♂ aaXᵇY (чёрный, редкая шерсть) → дочери AaXᴮXᵇ и сыновья AaXᴮY, все агути с нормальной шерстью. Второе: ♀ aaXᵇXᵇ × ♂ AAXᴮY → дочери AaXᴮXᵇ агути с нормальной шерстью и сыновья AaXᵇY агути с редкой шерстью. Различие полов связано с X-сцепленным наследованием типа шерсти.</x:v>
      </x:c>
      <x:c r="P2508" s="30" t="str">
        <x:v>Все обязательные смысловые элементы сопоставлены с официальными критериями оценивания.</x:v>
      </x:c>
      <x:c r="Q2508" s="30"/>
      <x:c r="R2508" s="30" t="str">
        <x:v>Официальные критерии СтатГрад</x:v>
      </x:c>
      <x:c r="S2508" s="30"/>
      <x:c r="T2508" s="30"/>
      <x:c r="U2508" s="30" t="str">
        <x:v>Смешанный вариант: задание соответствует базовому источнику БИ2510502; расхождений не обнаружено.</x:v>
      </x:c>
      <x:c r="V2508" s="87" t="str">
        <x:v>VERIFIED</x:v>
      </x:c>
      <x:c r="W2508" s="87" t="str">
        <x:v>Официальный скан, задание 28</x:v>
      </x:c>
      <x:c r="X2508" s="87"/>
      <x:c r="Y2508" s="87"/>
      <x:c r="Z2508" s="87"/>
      <x:c r="AA2508" s="87"/>
      <x:c r="AB2508" s="87"/>
      <x:c r="AC2508" s="87"/>
      <x:c r="AD2508" s="87"/>
      <x:c r="AE2508" s="87"/>
      <x:c r="AF2508" s="87"/>
      <x:c r="AG2508" s="87"/>
      <x:c r="AH2508" s="87"/>
      <x:c r="AI2508" s="30"/>
      <x:c r="AJ2508" s="87" t="str">
        <x:v>master</x:v>
      </x:c>
      <x:c r="AK2508" s="87" t="str">
        <x:v>master-v0.81</x:v>
      </x:c>
      <x:c r="AL2508" s="87" t="str">
        <x:v>statgrad_master_base_v0_81_final(2).xlsx</x:v>
      </x:c>
      <x:c r="AM2508" s="87" t="str">
        <x:v>BIO_Apr_V3</x:v>
      </x:c>
      <x:c r="AN2508" s="87" t="n">
        <x:v>29</x:v>
      </x:c>
    </x:row>
    <x:row r="2509">
      <x:c r="A2509" s="87" t="n">
        <x:v>2508</x:v>
      </x:c>
      <x:c r="B2509" s="87" t="str">
        <x:v>APR-BIO-V4-001</x:v>
      </x:c>
      <x:c r="C2509" s="87" t="str">
        <x:v>СтатГрад</x:v>
      </x:c>
      <x:c r="D2509" s="87" t="str">
        <x:v>Апрель 2026</x:v>
      </x:c>
      <x:c r="E2509" s="87"/>
      <x:c r="F2509" s="87"/>
      <x:c r="G2509" s="87" t="str">
        <x:v>Биология</x:v>
      </x:c>
      <x:c r="H2509" s="87" t="n">
        <x:v>11</x:v>
      </x:c>
      <x:c r="I2509" s="87" t="str">
        <x:v>ТР №5</x:v>
      </x:c>
      <x:c r="J2509" s="87" t="str">
        <x:v>БИ2510504</x:v>
      </x:c>
      <x:c r="K2509" s="87" t="n">
        <x:v>1</x:v>
      </x:c>
      <x:c r="L2509" s="87" t="str">
        <x:v>Методы биологии</x:v>
      </x:c>
      <x:c r="M2509" s="30" t="str">
        <x:v>Рассмотрите таблицу «Методы биологических исследований». Запишите в ответе пропущенный термин, обозначенный в таблице вопросительным знаком. Метод Пример Наблюдение ?</x:v>
      </x:c>
      <x:c r="N2509" s="30" t="str">
        <x:v>эксперимент</x:v>
      </x:c>
      <x:c r="O2509" s="30" t="str">
        <x:v>Схема показывает целенаправленное изменение условий и получение результата, то есть эксперимент.</x:v>
      </x:c>
      <x:c r="P2509" s="30" t="str">
        <x:v>Ответ повторно выведен из условия и проверен по биологическим закономерностям; для заданий с рисунком обозначения сверены визуально.</x:v>
      </x:c>
      <x:c r="Q2509" s="30"/>
      <x:c r="R2509" s="30" t="str">
        <x:v>Официальная таблица ответов + независимое решение</x:v>
      </x:c>
      <x:c r="S2509" s="30"/>
      <x:c r="T2509" s="30"/>
      <x:c r="U2509" s="30" t="str">
        <x:v>Смешанный вариант: задание соответствует базовому источнику БИ2510502; расхождений не обнаружено.</x:v>
      </x:c>
      <x:c r="V2509" s="87" t="str">
        <x:v>VERIFIED</x:v>
      </x:c>
      <x:c r="W2509" s="87" t="str">
        <x:v>Официальный скан, задание 1</x:v>
      </x:c>
      <x:c r="X2509" s="87"/>
      <x:c r="Y2509" s="87"/>
      <x:c r="Z2509" s="87"/>
      <x:c r="AA2509" s="87"/>
      <x:c r="AB2509" s="87"/>
      <x:c r="AC2509" s="87"/>
      <x:c r="AD2509" s="87"/>
      <x:c r="AE2509" s="87"/>
      <x:c r="AF2509" s="87"/>
      <x:c r="AG2509" s="87"/>
      <x:c r="AH2509" s="87"/>
      <x:c r="AI2509" s="30"/>
      <x:c r="AJ2509" s="87" t="str">
        <x:v>master</x:v>
      </x:c>
      <x:c r="AK2509" s="87" t="str">
        <x:v>master-v0.81</x:v>
      </x:c>
      <x:c r="AL2509" s="87" t="str">
        <x:v>statgrad_master_base_v0_81_final(2).xlsx</x:v>
      </x:c>
      <x:c r="AM2509" s="87" t="str">
        <x:v>BIO_Apr_V4</x:v>
      </x:c>
      <x:c r="AN2509" s="87" t="n">
        <x:v>2</x:v>
      </x:c>
    </x:row>
    <x:row r="2510">
      <x:c r="A2510" s="87" t="n">
        <x:v>2509</x:v>
      </x:c>
      <x:c r="B2510" s="87" t="str">
        <x:v>APR-BIO-V4-002</x:v>
      </x:c>
      <x:c r="C2510" s="87" t="str">
        <x:v>СтатГрад</x:v>
      </x:c>
      <x:c r="D2510" s="87" t="str">
        <x:v>Апрель 2026</x:v>
      </x:c>
      <x:c r="E2510" s="87"/>
      <x:c r="F2510" s="87"/>
      <x:c r="G2510" s="87" t="str">
        <x:v>Биология</x:v>
      </x:c>
      <x:c r="H2510" s="87" t="n">
        <x:v>11</x:v>
      </x:c>
      <x:c r="I2510" s="87" t="str">
        <x:v>ТР №5</x:v>
      </x:c>
      <x:c r="J2510" s="87" t="str">
        <x:v>БИ2510504</x:v>
      </x:c>
      <x:c r="K2510" s="87" t="n">
        <x:v>2</x:v>
      </x:c>
      <x:c r="L2510" s="87" t="str">
        <x:v>Энергетический обмен</x:v>
      </x:c>
      <x:c r="M2510" s="30" t="str">
        <x:v>В эксперименте ингибировали электрон-транспортную цепь митохондрий. Определить изменение количества синтезируемой АТФ и скорости потребления O₂: 1 — увеличится, 2 — уменьшится, 3 — не изменится.</x:v>
      </x:c>
      <x:c r="N2510" s="30" t="str">
        <x:v>22</x:v>
      </x:c>
      <x:c r="O2510" s="30" t="str">
        <x:v>Электрон-транспортная цепь создаёт протонный градиент и использует O₂ как конечный акцептор; при её блокаде снижаются и синтез АТФ, и потребление кислорода.</x:v>
      </x:c>
      <x:c r="P2510" s="30" t="str">
        <x:v>Ответ повторно выведен из условия и проверен по биологическим закономерностям; для заданий с рисунком обозначения сверены визуально.</x:v>
      </x:c>
      <x:c r="Q2510" s="30"/>
      <x:c r="R2510" s="30" t="str">
        <x:v>Независимое решение по официальному заданию</x:v>
      </x:c>
      <x:c r="S2510" s="30"/>
      <x:c r="T2510" s="30"/>
      <x:c r="U2510" s="30" t="str">
        <x:v>Смешанный вариант: задание соответствует базовому источнику БИ2510501; расхождений не обнаружено.</x:v>
      </x:c>
      <x:c r="V2510" s="87" t="str">
        <x:v>VERIFIED</x:v>
      </x:c>
      <x:c r="W2510" s="87" t="str">
        <x:v>Официальный скан, задание 2</x:v>
      </x:c>
      <x:c r="X2510" s="87"/>
      <x:c r="Y2510" s="87"/>
      <x:c r="Z2510" s="87"/>
      <x:c r="AA2510" s="87"/>
      <x:c r="AB2510" s="87"/>
      <x:c r="AC2510" s="87"/>
      <x:c r="AD2510" s="87"/>
      <x:c r="AE2510" s="87"/>
      <x:c r="AF2510" s="87"/>
      <x:c r="AG2510" s="87"/>
      <x:c r="AH2510" s="87"/>
      <x:c r="AI2510" s="30"/>
      <x:c r="AJ2510" s="87" t="str">
        <x:v>master</x:v>
      </x:c>
      <x:c r="AK2510" s="87" t="str">
        <x:v>master-v0.81</x:v>
      </x:c>
      <x:c r="AL2510" s="87" t="str">
        <x:v>statgrad_master_base_v0_81_final(2).xlsx</x:v>
      </x:c>
      <x:c r="AM2510" s="87" t="str">
        <x:v>BIO_Apr_V4</x:v>
      </x:c>
      <x:c r="AN2510" s="87" t="n">
        <x:v>3</x:v>
      </x:c>
    </x:row>
    <x:row r="2511">
      <x:c r="A2511" s="87" t="n">
        <x:v>2510</x:v>
      </x:c>
      <x:c r="B2511" s="87" t="str">
        <x:v>APR-BIO-V4-003</x:v>
      </x:c>
      <x:c r="C2511" s="87" t="str">
        <x:v>СтатГрад</x:v>
      </x:c>
      <x:c r="D2511" s="87" t="str">
        <x:v>Апрель 2026</x:v>
      </x:c>
      <x:c r="E2511" s="87"/>
      <x:c r="F2511" s="87"/>
      <x:c r="G2511" s="87" t="str">
        <x:v>Биология</x:v>
      </x:c>
      <x:c r="H2511" s="87" t="n">
        <x:v>11</x:v>
      </x:c>
      <x:c r="I2511" s="87" t="str">
        <x:v>ТР №5</x:v>
      </x:c>
      <x:c r="J2511" s="87" t="str">
        <x:v>БИ2510504</x:v>
      </x:c>
      <x:c r="K2511" s="87" t="n">
        <x:v>3</x:v>
      </x:c>
      <x:c r="L2511" s="87" t="str">
        <x:v>Экологическая пирамида</x:v>
      </x:c>
      <x:c r="M2511" s="30" t="str">
        <x:v>На основании правила 10 % рассчитайте массу травы (в кг), которая может обеспечить существование в лесу одного зубра массой 800 кг. В ответе запишите только соответствующее число.</x:v>
      </x:c>
      <x:c r="N2511" s="30" t="str">
        <x:v>80000</x:v>
      </x:c>
      <x:c r="O2511" s="30" t="str">
        <x:v>До зубра два перехода пищевой цепи: трава → растительноядное → зубр. При передаче 10% энергии требуется 800×10×10=80000 кг травы.</x:v>
      </x:c>
      <x:c r="P2511" s="30" t="str">
        <x:v>Ответ повторно выведен из условия и проверен по биологическим закономерностям; для заданий с рисунком обозначения сверены визуально.</x:v>
      </x:c>
      <x:c r="Q2511" s="30"/>
      <x:c r="R2511" s="30" t="str">
        <x:v>Независимое решение по официальному заданию</x:v>
      </x:c>
      <x:c r="S2511" s="30"/>
      <x:c r="T2511" s="30"/>
      <x:c r="U2511" s="30" t="str">
        <x:v>Смешанный вариант: задание соответствует базовому источнику БИ2510502; расхождений не обнаружено.</x:v>
      </x:c>
      <x:c r="V2511" s="87" t="str">
        <x:v>VERIFIED</x:v>
      </x:c>
      <x:c r="W2511" s="87" t="str">
        <x:v>Официальный скан, задание 3</x:v>
      </x:c>
      <x:c r="X2511" s="87"/>
      <x:c r="Y2511" s="87"/>
      <x:c r="Z2511" s="87"/>
      <x:c r="AA2511" s="87"/>
      <x:c r="AB2511" s="87"/>
      <x:c r="AC2511" s="87"/>
      <x:c r="AD2511" s="87"/>
      <x:c r="AE2511" s="87"/>
      <x:c r="AF2511" s="87"/>
      <x:c r="AG2511" s="87"/>
      <x:c r="AH2511" s="87"/>
      <x:c r="AI2511" s="30"/>
      <x:c r="AJ2511" s="87" t="str">
        <x:v>master</x:v>
      </x:c>
      <x:c r="AK2511" s="87" t="str">
        <x:v>master-v0.81</x:v>
      </x:c>
      <x:c r="AL2511" s="87" t="str">
        <x:v>statgrad_master_base_v0_81_final(2).xlsx</x:v>
      </x:c>
      <x:c r="AM2511" s="87" t="str">
        <x:v>BIO_Apr_V4</x:v>
      </x:c>
      <x:c r="AN2511" s="87" t="n">
        <x:v>4</x:v>
      </x:c>
    </x:row>
    <x:row r="2512">
      <x:c r="A2512" s="87" t="n">
        <x:v>2511</x:v>
      </x:c>
      <x:c r="B2512" s="87" t="str">
        <x:v>APR-BIO-V4-004</x:v>
      </x:c>
      <x:c r="C2512" s="87" t="str">
        <x:v>СтатГрад</x:v>
      </x:c>
      <x:c r="D2512" s="87" t="str">
        <x:v>Апрель 2026</x:v>
      </x:c>
      <x:c r="E2512" s="87"/>
      <x:c r="F2512" s="87"/>
      <x:c r="G2512" s="87" t="str">
        <x:v>Биология</x:v>
      </x:c>
      <x:c r="H2512" s="87" t="n">
        <x:v>11</x:v>
      </x:c>
      <x:c r="I2512" s="87" t="str">
        <x:v>ТР №5</x:v>
      </x:c>
      <x:c r="J2512" s="87" t="str">
        <x:v>БИ2510504</x:v>
      </x:c>
      <x:c r="K2512" s="87" t="n">
        <x:v>4</x:v>
      </x:c>
      <x:c r="L2512" s="87" t="str">
        <x:v>Моногибридное скрещивание</x:v>
      </x:c>
      <x:c r="M2512" s="30" t="str">
        <x:v>Какое соотношение генотипов получится у потомков при самоопылении гетерозиготных растений гороха с пазушным расположением цветков? Ответ запишите в виде последовательности чисел.</x:v>
      </x:c>
      <x:c r="N2512" s="30" t="str">
        <x:v>121</x:v>
      </x:c>
      <x:c r="O2512" s="30" t="str">
        <x:v>Самоопыление Aa×Aa даёт генотипы AA:Aa:aa в отношении 1:2:1.</x:v>
      </x:c>
      <x:c r="P2512" s="30" t="str">
        <x:v>Ответ повторно выведен из условия и проверен по биологическим закономерностям; для заданий с рисунком обозначения сверены визуально.</x:v>
      </x:c>
      <x:c r="Q2512" s="30"/>
      <x:c r="R2512" s="30" t="str">
        <x:v>Независимое решение по официальному заданию</x:v>
      </x:c>
      <x:c r="S2512" s="30"/>
      <x:c r="T2512" s="30"/>
      <x:c r="U2512" s="30" t="str">
        <x:v>Смешанный вариант: задание соответствует базовому источнику БИ2510501; расхождений не обнаружено.</x:v>
      </x:c>
      <x:c r="V2512" s="87" t="str">
        <x:v>VERIFIED</x:v>
      </x:c>
      <x:c r="W2512" s="87" t="str">
        <x:v>Официальный скан, задание 4</x:v>
      </x:c>
      <x:c r="X2512" s="87"/>
      <x:c r="Y2512" s="87"/>
      <x:c r="Z2512" s="87"/>
      <x:c r="AA2512" s="87"/>
      <x:c r="AB2512" s="87"/>
      <x:c r="AC2512" s="87"/>
      <x:c r="AD2512" s="87"/>
      <x:c r="AE2512" s="87"/>
      <x:c r="AF2512" s="87"/>
      <x:c r="AG2512" s="87"/>
      <x:c r="AH2512" s="87"/>
      <x:c r="AI2512" s="30"/>
      <x:c r="AJ2512" s="87" t="str">
        <x:v>master</x:v>
      </x:c>
      <x:c r="AK2512" s="87" t="str">
        <x:v>master-v0.81</x:v>
      </x:c>
      <x:c r="AL2512" s="87" t="str">
        <x:v>statgrad_master_base_v0_81_final(2).xlsx</x:v>
      </x:c>
      <x:c r="AM2512" s="87" t="str">
        <x:v>BIO_Apr_V4</x:v>
      </x:c>
      <x:c r="AN2512" s="87" t="n">
        <x:v>5</x:v>
      </x:c>
    </x:row>
    <x:row r="2513">
      <x:c r="A2513" s="87" t="n">
        <x:v>2512</x:v>
      </x:c>
      <x:c r="B2513" s="87" t="str">
        <x:v>APR-BIO-V4-005</x:v>
      </x:c>
      <x:c r="C2513" s="87" t="str">
        <x:v>СтатГрад</x:v>
      </x:c>
      <x:c r="D2513" s="87" t="str">
        <x:v>Апрель 2026</x:v>
      </x:c>
      <x:c r="E2513" s="87"/>
      <x:c r="F2513" s="87"/>
      <x:c r="G2513" s="87" t="str">
        <x:v>Биология</x:v>
      </x:c>
      <x:c r="H2513" s="87" t="n">
        <x:v>11</x:v>
      </x:c>
      <x:c r="I2513" s="87" t="str">
        <x:v>ТР №5</x:v>
      </x:c>
      <x:c r="J2513" s="87" t="str">
        <x:v>БИ2510504</x:v>
      </x:c>
      <x:c r="K2513" s="87" t="n">
        <x:v>5</x:v>
      </x:c>
      <x:c r="L2513" s="87" t="str">
        <x:v>Мейоз</x:v>
      </x:c>
      <x:c r="M2513" s="30" t="str">
        <x:v>Какой цифрой на схеме обозначена клетка, находящаяся в анафазе редукционного деления?</x:v>
      </x:c>
      <x:c r="N2513" s="30" t="str">
        <x:v>6</x:v>
      </x:c>
      <x:c r="O2513" s="30" t="str">
        <x:v>В анафазе I расходятся гомологичные хромосомы при сохранении двух хроматид; это клетка 6.</x:v>
      </x:c>
      <x:c r="P2513" s="30" t="str">
        <x:v>Ответ повторно выведен из условия и проверен по биологическим закономерностям; для заданий с рисунком обозначения сверены визуально.</x:v>
      </x:c>
      <x:c r="Q2513" s="30"/>
      <x:c r="R2513" s="30" t="str">
        <x:v>Независимое решение по официальному заданию</x:v>
      </x:c>
      <x:c r="S2513" s="30"/>
      <x:c r="T2513" s="30"/>
      <x:c r="U2513" s="30" t="str">
        <x:v>Смешанный вариант: задание соответствует базовому источнику БИ2510502; расхождений не обнаружено.</x:v>
      </x:c>
      <x:c r="V2513" s="87" t="str">
        <x:v>VERIFIED</x:v>
      </x:c>
      <x:c r="W2513" s="87" t="str">
        <x:v>Официальный скан, задание 5</x:v>
      </x:c>
      <x:c r="X2513" s="87"/>
      <x:c r="Y2513" s="87"/>
      <x:c r="Z2513" s="87"/>
      <x:c r="AA2513" s="87"/>
      <x:c r="AB2513" s="87"/>
      <x:c r="AC2513" s="87"/>
      <x:c r="AD2513" s="87"/>
      <x:c r="AE2513" s="87"/>
      <x:c r="AF2513" s="87"/>
      <x:c r="AG2513" s="87"/>
      <x:c r="AH2513" s="87"/>
      <x:c r="AI2513" s="30"/>
      <x:c r="AJ2513" s="87" t="str">
        <x:v>master</x:v>
      </x:c>
      <x:c r="AK2513" s="87" t="str">
        <x:v>master-v0.81</x:v>
      </x:c>
      <x:c r="AL2513" s="87" t="str">
        <x:v>statgrad_master_base_v0_81_final(2).xlsx</x:v>
      </x:c>
      <x:c r="AM2513" s="87" t="str">
        <x:v>BIO_Apr_V4</x:v>
      </x:c>
      <x:c r="AN2513" s="87" t="n">
        <x:v>6</x:v>
      </x:c>
    </x:row>
    <x:row r="2514">
      <x:c r="A2514" s="87" t="n">
        <x:v>2513</x:v>
      </x:c>
      <x:c r="B2514" s="87" t="str">
        <x:v>APR-BIO-V4-006</x:v>
      </x:c>
      <x:c r="C2514" s="87" t="str">
        <x:v>СтатГрад</x:v>
      </x:c>
      <x:c r="D2514" s="87" t="str">
        <x:v>Апрель 2026</x:v>
      </x:c>
      <x:c r="E2514" s="87"/>
      <x:c r="F2514" s="87"/>
      <x:c r="G2514" s="87" t="str">
        <x:v>Биология</x:v>
      </x:c>
      <x:c r="H2514" s="87" t="n">
        <x:v>11</x:v>
      </x:c>
      <x:c r="I2514" s="87" t="str">
        <x:v>ТР №5</x:v>
      </x:c>
      <x:c r="J2514" s="87" t="str">
        <x:v>БИ2510504</x:v>
      </x:c>
      <x:c r="K2514" s="87" t="n">
        <x:v>6</x:v>
      </x:c>
      <x:c r="L2514" s="87" t="str">
        <x:v>Геномные мутации</x:v>
      </x:c>
      <x:c r="M2514" s="30" t="str">
        <x:v>Установите соответствие между возможными результатами геномных мутаций и гаметами человека*, обозначенными на схеме цифрами 1, 2, 3: к каждой позиции, данной в первом столбце, подберите соответствующую позицию из второго столбца. *из 46 хромосом человека в исходной клетке изображено только 6; следует учесть, что расхождение остальных 40 хромосом нарушено не было. ВОЗМОЖНЫЕ РЕЗУЛЬТАТЫ ГАМЕТЫ ГЕНОМНЫХ МУТАЦИЙ А) трисомия в одной из пар хромосом 1) 1 Б) 45 хромосом в зиготе 2) 2 В) синдром Дауна 3) 3 Г) нормальный кариотип Д) 44 аутосомы и 2 половые хромосомы в каждой соматической клетке тела Е) синдром Шерешевского Запишите в таблицу выбранные цифры под соответствующими буквами. А Б В Г Д Е</x:v>
      </x:c>
      <x:c r="N2514" s="30" t="str">
        <x:v>212331</x:v>
      </x:c>
      <x:c r="O2514" s="30" t="str">
        <x:v>По числу хромосом в гаметах определены моносомные, нормальные и дисомные гаметы; сопоставление последствий даёт 212331.</x:v>
      </x:c>
      <x:c r="P2514" s="30" t="str">
        <x:v>Ответ повторно выведен из условия и проверен по биологическим закономерностям; для заданий с рисунком обозначения сверены визуально.</x:v>
      </x:c>
      <x:c r="Q2514" s="30"/>
      <x:c r="R2514" s="30" t="str">
        <x:v>Официальная таблица ответов + независимое решение</x:v>
      </x:c>
      <x:c r="S2514" s="30"/>
      <x:c r="T2514" s="30"/>
      <x:c r="U2514" s="30" t="str">
        <x:v>Смешанный вариант: задание соответствует базовому источнику БИ2510502; расхождений не обнаружено.</x:v>
      </x:c>
      <x:c r="V2514" s="87" t="str">
        <x:v>VERIFIED</x:v>
      </x:c>
      <x:c r="W2514" s="87" t="str">
        <x:v>Официальный скан, задание 6</x:v>
      </x:c>
      <x:c r="X2514" s="87"/>
      <x:c r="Y2514" s="87"/>
      <x:c r="Z2514" s="87"/>
      <x:c r="AA2514" s="87"/>
      <x:c r="AB2514" s="87"/>
      <x:c r="AC2514" s="87"/>
      <x:c r="AD2514" s="87"/>
      <x:c r="AE2514" s="87"/>
      <x:c r="AF2514" s="87"/>
      <x:c r="AG2514" s="87"/>
      <x:c r="AH2514" s="87"/>
      <x:c r="AI2514" s="30"/>
      <x:c r="AJ2514" s="87" t="str">
        <x:v>master</x:v>
      </x:c>
      <x:c r="AK2514" s="87" t="str">
        <x:v>master-v0.81</x:v>
      </x:c>
      <x:c r="AL2514" s="87" t="str">
        <x:v>statgrad_master_base_v0_81_final(2).xlsx</x:v>
      </x:c>
      <x:c r="AM2514" s="87" t="str">
        <x:v>BIO_Apr_V4</x:v>
      </x:c>
      <x:c r="AN2514" s="87" t="n">
        <x:v>7</x:v>
      </x:c>
    </x:row>
    <x:row r="2515">
      <x:c r="A2515" s="87" t="n">
        <x:v>2514</x:v>
      </x:c>
      <x:c r="B2515" s="87" t="str">
        <x:v>APR-BIO-V4-007</x:v>
      </x:c>
      <x:c r="C2515" s="87" t="str">
        <x:v>СтатГрад</x:v>
      </x:c>
      <x:c r="D2515" s="87" t="str">
        <x:v>Апрель 2026</x:v>
      </x:c>
      <x:c r="E2515" s="87"/>
      <x:c r="F2515" s="87"/>
      <x:c r="G2515" s="87" t="str">
        <x:v>Биология</x:v>
      </x:c>
      <x:c r="H2515" s="87" t="n">
        <x:v>11</x:v>
      </x:c>
      <x:c r="I2515" s="87" t="str">
        <x:v>ТР №5</x:v>
      </x:c>
      <x:c r="J2515" s="87" t="str">
        <x:v>БИ2510504</x:v>
      </x:c>
      <x:c r="K2515" s="87" t="n">
        <x:v>7</x:v>
      </x:c>
      <x:c r="L2515" s="87" t="str">
        <x:v>Липиды клетки</x:v>
      </x:c>
      <x:c r="M2515" s="30" t="str">
        <x:v>Выберите три верных ответа и запишите в таблицу цифры, под которыми они указаны. Для изображённой на рисунке молекулы характерно 1) относится к углеводам 2) входит в состав клеточных мембран 3) имеет глобулярное строение 4) содержит остаток глицерина 5) является предшественником витамина D 6) имеет гидрофобную и гидрофильную части</x:v>
      </x:c>
      <x:c r="N2515" s="30" t="str">
        <x:v>246</x:v>
      </x:c>
      <x:c r="O2515" s="30" t="str">
        <x:v>Изображён фосфолипид: он входит в мембраны, содержит глицерин и имеет гидрофильную головку с гидрофобными хвостами.</x:v>
      </x:c>
      <x:c r="P2515" s="30" t="str">
        <x:v>Ответ повторно выведен из условия и проверен по биологическим закономерностям; для заданий с рисунком обозначения сверены визуально.</x:v>
      </x:c>
      <x:c r="Q2515" s="30"/>
      <x:c r="R2515" s="30" t="str">
        <x:v>Официальная таблица ответов + независимое решение</x:v>
      </x:c>
      <x:c r="S2515" s="30"/>
      <x:c r="T2515" s="30"/>
      <x:c r="U2515" s="30" t="str">
        <x:v>Смешанный вариант: задание соответствует базовому источнику БИ2510501; расхождений не обнаружено.</x:v>
      </x:c>
      <x:c r="V2515" s="87" t="str">
        <x:v>VERIFIED</x:v>
      </x:c>
      <x:c r="W2515" s="87" t="str">
        <x:v>Официальный скан, задание 7</x:v>
      </x:c>
      <x:c r="X2515" s="87"/>
      <x:c r="Y2515" s="87"/>
      <x:c r="Z2515" s="87"/>
      <x:c r="AA2515" s="87"/>
      <x:c r="AB2515" s="87"/>
      <x:c r="AC2515" s="87"/>
      <x:c r="AD2515" s="87"/>
      <x:c r="AE2515" s="87"/>
      <x:c r="AF2515" s="87"/>
      <x:c r="AG2515" s="87"/>
      <x:c r="AH2515" s="87"/>
      <x:c r="AI2515" s="30"/>
      <x:c r="AJ2515" s="87" t="str">
        <x:v>master</x:v>
      </x:c>
      <x:c r="AK2515" s="87" t="str">
        <x:v>master-v0.81</x:v>
      </x:c>
      <x:c r="AL2515" s="87" t="str">
        <x:v>statgrad_master_base_v0_81_final(2).xlsx</x:v>
      </x:c>
      <x:c r="AM2515" s="87" t="str">
        <x:v>BIO_Apr_V4</x:v>
      </x:c>
      <x:c r="AN2515" s="87" t="n">
        <x:v>8</x:v>
      </x:c>
    </x:row>
    <x:row r="2516">
      <x:c r="A2516" s="87" t="n">
        <x:v>2515</x:v>
      </x:c>
      <x:c r="B2516" s="87" t="str">
        <x:v>APR-BIO-V4-008</x:v>
      </x:c>
      <x:c r="C2516" s="87" t="str">
        <x:v>СтатГрад</x:v>
      </x:c>
      <x:c r="D2516" s="87" t="str">
        <x:v>Апрель 2026</x:v>
      </x:c>
      <x:c r="E2516" s="87"/>
      <x:c r="F2516" s="87"/>
      <x:c r="G2516" s="87" t="str">
        <x:v>Биология</x:v>
      </x:c>
      <x:c r="H2516" s="87" t="n">
        <x:v>11</x:v>
      </x:c>
      <x:c r="I2516" s="87" t="str">
        <x:v>ТР №5</x:v>
      </x:c>
      <x:c r="J2516" s="87" t="str">
        <x:v>БИ2510504</x:v>
      </x:c>
      <x:c r="K2516" s="87" t="n">
        <x:v>8</x:v>
      </x:c>
      <x:c r="L2516" s="87" t="str">
        <x:v>Уровни организации</x:v>
      </x:c>
      <x:c r="M2516" s="30" t="str">
        <x:v>Установите последовательность расположения структур в порядке уменьше- ния их размеров. Запишите в таблицу соответствующую последовательность цифр. 1) белок тубулин 2) углерод 3) микротрубочка 4) карбоксильная группа 5) аминокислота</x:v>
      </x:c>
      <x:c r="N2516" s="30" t="str">
        <x:v>31542</x:v>
      </x:c>
      <x:c r="O2516" s="30" t="str">
        <x:v>Убывание размеров: микротрубочка → белок тубулин → аминокислота → карбоксильная группа → атом углерода.</x:v>
      </x:c>
      <x:c r="P2516" s="30" t="str">
        <x:v>Ответ повторно выведен из условия и проверен по биологическим закономерностям; для заданий с рисунком обозначения сверены визуально.</x:v>
      </x:c>
      <x:c r="Q2516" s="30"/>
      <x:c r="R2516" s="30" t="str">
        <x:v>Официальная таблица ответов + независимое решение</x:v>
      </x:c>
      <x:c r="S2516" s="30"/>
      <x:c r="T2516" s="30"/>
      <x:c r="U2516" s="30" t="str">
        <x:v>Смешанный вариант: задание соответствует базовому источнику БИ2510502; расхождений не обнаружено.</x:v>
      </x:c>
      <x:c r="V2516" s="87" t="str">
        <x:v>VERIFIED</x:v>
      </x:c>
      <x:c r="W2516" s="87" t="str">
        <x:v>Официальный скан, задание 8</x:v>
      </x:c>
      <x:c r="X2516" s="87"/>
      <x:c r="Y2516" s="87"/>
      <x:c r="Z2516" s="87"/>
      <x:c r="AA2516" s="87"/>
      <x:c r="AB2516" s="87"/>
      <x:c r="AC2516" s="87"/>
      <x:c r="AD2516" s="87"/>
      <x:c r="AE2516" s="87"/>
      <x:c r="AF2516" s="87"/>
      <x:c r="AG2516" s="87"/>
      <x:c r="AH2516" s="87"/>
      <x:c r="AI2516" s="30"/>
      <x:c r="AJ2516" s="87" t="str">
        <x:v>master</x:v>
      </x:c>
      <x:c r="AK2516" s="87" t="str">
        <x:v>master-v0.81</x:v>
      </x:c>
      <x:c r="AL2516" s="87" t="str">
        <x:v>statgrad_master_base_v0_81_final(2).xlsx</x:v>
      </x:c>
      <x:c r="AM2516" s="87" t="str">
        <x:v>BIO_Apr_V4</x:v>
      </x:c>
      <x:c r="AN2516" s="87" t="n">
        <x:v>9</x:v>
      </x:c>
    </x:row>
    <x:row r="2517">
      <x:c r="A2517" s="87" t="n">
        <x:v>2516</x:v>
      </x:c>
      <x:c r="B2517" s="87" t="str">
        <x:v>APR-BIO-V4-009</x:v>
      </x:c>
      <x:c r="C2517" s="87" t="str">
        <x:v>СтатГрад</x:v>
      </x:c>
      <x:c r="D2517" s="87" t="str">
        <x:v>Апрель 2026</x:v>
      </x:c>
      <x:c r="E2517" s="87"/>
      <x:c r="F2517" s="87"/>
      <x:c r="G2517" s="87" t="str">
        <x:v>Биология</x:v>
      </x:c>
      <x:c r="H2517" s="87" t="n">
        <x:v>11</x:v>
      </x:c>
      <x:c r="I2517" s="87" t="str">
        <x:v>ТР №5</x:v>
      </x:c>
      <x:c r="J2517" s="87" t="str">
        <x:v>БИ2510504</x:v>
      </x:c>
      <x:c r="K2517" s="87" t="n">
        <x:v>9</x:v>
      </x:c>
      <x:c r="L2517" s="87" t="str">
        <x:v>Паразитология</x:v>
      </x:c>
      <x:c r="M2517" s="30" t="str">
        <x:v>Какой цифрой на схеме жизненного цикла аскариды обозначена стадия, проникающая в организм хозяина?</x:v>
      </x:c>
      <x:c r="N2517" s="30" t="str">
        <x:v>5</x:v>
      </x:c>
      <x:c r="O2517" s="30" t="str">
        <x:v>В организм человека проникает зрелое яйцо с личинкой при заглатывании; на схеме оно обозначено 5.</x:v>
      </x:c>
      <x:c r="P2517" s="30" t="str">
        <x:v>Ответ повторно выведен из условия и проверен по биологическим закономерностям; для заданий с рисунком обозначения сверены визуально.</x:v>
      </x:c>
      <x:c r="Q2517" s="30"/>
      <x:c r="R2517" s="30" t="str">
        <x:v>Независимое решение по официальному заданию</x:v>
      </x:c>
      <x:c r="S2517" s="30"/>
      <x:c r="T2517" s="30"/>
      <x:c r="U2517" s="30" t="str">
        <x:v>Смешанный вариант: задание соответствует базовому источнику БИ2510501; расхождений не обнаружено.</x:v>
      </x:c>
      <x:c r="V2517" s="87" t="str">
        <x:v>VERIFIED</x:v>
      </x:c>
      <x:c r="W2517" s="87" t="str">
        <x:v>Официальный скан, задание 9</x:v>
      </x:c>
      <x:c r="X2517" s="87"/>
      <x:c r="Y2517" s="87"/>
      <x:c r="Z2517" s="87"/>
      <x:c r="AA2517" s="87"/>
      <x:c r="AB2517" s="87"/>
      <x:c r="AC2517" s="87"/>
      <x:c r="AD2517" s="87"/>
      <x:c r="AE2517" s="87"/>
      <x:c r="AF2517" s="87"/>
      <x:c r="AG2517" s="87"/>
      <x:c r="AH2517" s="87"/>
      <x:c r="AI2517" s="30"/>
      <x:c r="AJ2517" s="87" t="str">
        <x:v>master</x:v>
      </x:c>
      <x:c r="AK2517" s="87" t="str">
        <x:v>master-v0.81</x:v>
      </x:c>
      <x:c r="AL2517" s="87" t="str">
        <x:v>statgrad_master_base_v0_81_final(2).xlsx</x:v>
      </x:c>
      <x:c r="AM2517" s="87" t="str">
        <x:v>BIO_Apr_V4</x:v>
      </x:c>
      <x:c r="AN2517" s="87" t="n">
        <x:v>10</x:v>
      </x:c>
    </x:row>
    <x:row r="2518">
      <x:c r="A2518" s="87" t="n">
        <x:v>2517</x:v>
      </x:c>
      <x:c r="B2518" s="87" t="str">
        <x:v>APR-BIO-V4-010</x:v>
      </x:c>
      <x:c r="C2518" s="87" t="str">
        <x:v>СтатГрад</x:v>
      </x:c>
      <x:c r="D2518" s="87" t="str">
        <x:v>Апрель 2026</x:v>
      </x:c>
      <x:c r="E2518" s="87"/>
      <x:c r="F2518" s="87"/>
      <x:c r="G2518" s="87" t="str">
        <x:v>Биология</x:v>
      </x:c>
      <x:c r="H2518" s="87" t="n">
        <x:v>11</x:v>
      </x:c>
      <x:c r="I2518" s="87" t="str">
        <x:v>ТР №5</x:v>
      </x:c>
      <x:c r="J2518" s="87" t="str">
        <x:v>БИ2510504</x:v>
      </x:c>
      <x:c r="K2518" s="87" t="n">
        <x:v>10</x:v>
      </x:c>
      <x:c r="L2518" s="87" t="str">
        <x:v>Паразитология: соответствие</x:v>
      </x:c>
      <x:c r="M2518" s="30" t="str">
        <x:v>Установите соответствие между характеристиками и стадиями жизненного цикла, обозначенными на схеме цифрами 1, 2, 3: к каждой позиции, данной в первом столбце, подберите соответствующую позицию из второго столбца. СТАДИИ ЖИЗНЕННОГО ХАРАКТЕРИСТИКИ ЦИКЛА А) половой диморфизм 1) 1 Б) развитие в почвенной среде 2) 2 В) способность к оплодотворению 3) 3 Г) размер 15–20 см Д) миграция в альвеолы Е) вторичное заглатывание Запишите в таблицу выбранные цифры под соответствующими буквами. А Б В Г Д Е</x:v>
      </x:c>
      <x:c r="N2518" s="30" t="str">
        <x:v>313322</x:v>
      </x:c>
      <x:c r="O2518" s="30" t="str">
        <x:v>Взрослые аскариды имеют половой диморфизм и размножаются; яйца развиваются в почве, личинки мигрируют через лёгкие и повторно заглатываются.</x:v>
      </x:c>
      <x:c r="P2518" s="30" t="str">
        <x:v>Ответ повторно выведен из условия и проверен по биологическим закономерностям; для заданий с рисунком обозначения сверены визуально.</x:v>
      </x:c>
      <x:c r="Q2518" s="30"/>
      <x:c r="R2518" s="30" t="str">
        <x:v>Официальная таблица ответов + независимое решение</x:v>
      </x:c>
      <x:c r="S2518" s="30"/>
      <x:c r="T2518" s="30"/>
      <x:c r="U2518" s="30" t="str">
        <x:v>Смешанный вариант: задание соответствует базовому источнику БИ2510501; расхождений не обнаружено.</x:v>
      </x:c>
      <x:c r="V2518" s="87" t="str">
        <x:v>VERIFIED</x:v>
      </x:c>
      <x:c r="W2518" s="87" t="str">
        <x:v>Официальный скан, задание 10</x:v>
      </x:c>
      <x:c r="X2518" s="87"/>
      <x:c r="Y2518" s="87"/>
      <x:c r="Z2518" s="87"/>
      <x:c r="AA2518" s="87"/>
      <x:c r="AB2518" s="87"/>
      <x:c r="AC2518" s="87"/>
      <x:c r="AD2518" s="87"/>
      <x:c r="AE2518" s="87"/>
      <x:c r="AF2518" s="87"/>
      <x:c r="AG2518" s="87"/>
      <x:c r="AH2518" s="87"/>
      <x:c r="AI2518" s="30"/>
      <x:c r="AJ2518" s="87" t="str">
        <x:v>master</x:v>
      </x:c>
      <x:c r="AK2518" s="87" t="str">
        <x:v>master-v0.81</x:v>
      </x:c>
      <x:c r="AL2518" s="87" t="str">
        <x:v>statgrad_master_base_v0_81_final(2).xlsx</x:v>
      </x:c>
      <x:c r="AM2518" s="87" t="str">
        <x:v>BIO_Apr_V4</x:v>
      </x:c>
      <x:c r="AN2518" s="87" t="n">
        <x:v>11</x:v>
      </x:c>
    </x:row>
    <x:row r="2519">
      <x:c r="A2519" s="87" t="n">
        <x:v>2518</x:v>
      </x:c>
      <x:c r="B2519" s="87" t="str">
        <x:v>APR-BIO-V4-011</x:v>
      </x:c>
      <x:c r="C2519" s="87" t="str">
        <x:v>СтатГрад</x:v>
      </x:c>
      <x:c r="D2519" s="87" t="str">
        <x:v>Апрель 2026</x:v>
      </x:c>
      <x:c r="E2519" s="87"/>
      <x:c r="F2519" s="87"/>
      <x:c r="G2519" s="87" t="str">
        <x:v>Биология</x:v>
      </x:c>
      <x:c r="H2519" s="87" t="n">
        <x:v>11</x:v>
      </x:c>
      <x:c r="I2519" s="87" t="str">
        <x:v>ТР №5</x:v>
      </x:c>
      <x:c r="J2519" s="87" t="str">
        <x:v>БИ2510504</x:v>
      </x:c>
      <x:c r="K2519" s="87" t="n">
        <x:v>11</x:v>
      </x:c>
      <x:c r="L2519" s="87" t="str">
        <x:v>Размножение растений</x:v>
      </x:c>
      <x:c r="M2519" s="30" t="str">
        <x:v>Выберите три верных ответа и запишите в таблицу цифры, под которыми они указаны. Какие признаки цветковых растений отличают их от папоротникообразных? 1) наличие корней 2) формирование семян 3) двойное оплодотворение 4) опыление насекомыми 5) развитие заростка 6) участие воды в оплодотворении</x:v>
      </x:c>
      <x:c r="N2519" s="30" t="str">
        <x:v>234</x:v>
      </x:c>
      <x:c r="O2519" s="30" t="str">
        <x:v>Семена, двойное оплодотворение и опыление насекомыми характерны для цветковых и отсутствуют у папоротников.</x:v>
      </x:c>
      <x:c r="P2519" s="30" t="str">
        <x:v>Ответ повторно выведен из условия и проверен по биологическим закономерностям; для заданий с рисунком обозначения сверены визуально.</x:v>
      </x:c>
      <x:c r="Q2519" s="30"/>
      <x:c r="R2519" s="30" t="str">
        <x:v>Официальная таблица ответов + независимое решение</x:v>
      </x:c>
      <x:c r="S2519" s="30"/>
      <x:c r="T2519" s="30"/>
      <x:c r="U2519" s="30" t="str">
        <x:v>Смешанный вариант: задание соответствует базовому источнику БИ2510502; расхождений не обнаружено.</x:v>
      </x:c>
      <x:c r="V2519" s="87" t="str">
        <x:v>VERIFIED</x:v>
      </x:c>
      <x:c r="W2519" s="87" t="str">
        <x:v>Официальный скан, задание 11</x:v>
      </x:c>
      <x:c r="X2519" s="87"/>
      <x:c r="Y2519" s="87"/>
      <x:c r="Z2519" s="87"/>
      <x:c r="AA2519" s="87"/>
      <x:c r="AB2519" s="87"/>
      <x:c r="AC2519" s="87"/>
      <x:c r="AD2519" s="87"/>
      <x:c r="AE2519" s="87"/>
      <x:c r="AF2519" s="87"/>
      <x:c r="AG2519" s="87"/>
      <x:c r="AH2519" s="87"/>
      <x:c r="AI2519" s="30"/>
      <x:c r="AJ2519" s="87" t="str">
        <x:v>master</x:v>
      </x:c>
      <x:c r="AK2519" s="87" t="str">
        <x:v>master-v0.81</x:v>
      </x:c>
      <x:c r="AL2519" s="87" t="str">
        <x:v>statgrad_master_base_v0_81_final(2).xlsx</x:v>
      </x:c>
      <x:c r="AM2519" s="87" t="str">
        <x:v>BIO_Apr_V4</x:v>
      </x:c>
      <x:c r="AN2519" s="87" t="n">
        <x:v>12</x:v>
      </x:c>
    </x:row>
    <x:row r="2520">
      <x:c r="A2520" s="87" t="n">
        <x:v>2519</x:v>
      </x:c>
      <x:c r="B2520" s="87" t="str">
        <x:v>APR-BIO-V4-012</x:v>
      </x:c>
      <x:c r="C2520" s="87" t="str">
        <x:v>СтатГрад</x:v>
      </x:c>
      <x:c r="D2520" s="87" t="str">
        <x:v>Апрель 2026</x:v>
      </x:c>
      <x:c r="E2520" s="87"/>
      <x:c r="F2520" s="87"/>
      <x:c r="G2520" s="87" t="str">
        <x:v>Биология</x:v>
      </x:c>
      <x:c r="H2520" s="87" t="n">
        <x:v>11</x:v>
      </x:c>
      <x:c r="I2520" s="87" t="str">
        <x:v>ТР №5</x:v>
      </x:c>
      <x:c r="J2520" s="87" t="str">
        <x:v>БИ2510504</x:v>
      </x:c>
      <x:c r="K2520" s="87" t="n">
        <x:v>12</x:v>
      </x:c>
      <x:c r="L2520" s="87" t="str">
        <x:v>Систематика растений</x:v>
      </x:c>
      <x:c r="M2520" s="30" t="str">
        <x:v>Установите последовательность систематических групп растений, начиная с самого высокого ранга. Запишите в таблицу соответствующую последо- вательность цифр. 1) Сложноцветные 2) Растения 3) Двудольные 4) Тысячелистник арабский 5) Покрытосеменные 6) Тысячелистник</x:v>
      </x:c>
      <x:c r="N2520" s="30" t="str">
        <x:v>253164</x:v>
      </x:c>
      <x:c r="O2520" s="30" t="str">
        <x:v>Царство Растения → отдел Покрытосеменные → класс Двудольные → семейство Сложноцветные → род Тысячелистник → вид Тысячелистник арабский.</x:v>
      </x:c>
      <x:c r="P2520" s="30" t="str">
        <x:v>Ответ повторно выведен из условия и проверен по биологическим закономерностям; для заданий с рисунком обозначения сверены визуально.</x:v>
      </x:c>
      <x:c r="Q2520" s="30"/>
      <x:c r="R2520" s="30" t="str">
        <x:v>Официальная таблица ответов + независимое решение</x:v>
      </x:c>
      <x:c r="S2520" s="30"/>
      <x:c r="T2520" s="30"/>
      <x:c r="U2520" s="30" t="str">
        <x:v>Смешанный вариант: задание соответствует базовому источнику БИ2510501; расхождений не обнаружено.</x:v>
      </x:c>
      <x:c r="V2520" s="87" t="str">
        <x:v>VERIFIED</x:v>
      </x:c>
      <x:c r="W2520" s="87" t="str">
        <x:v>Официальный скан, задание 12</x:v>
      </x:c>
      <x:c r="X2520" s="87"/>
      <x:c r="Y2520" s="87"/>
      <x:c r="Z2520" s="87"/>
      <x:c r="AA2520" s="87"/>
      <x:c r="AB2520" s="87"/>
      <x:c r="AC2520" s="87"/>
      <x:c r="AD2520" s="87"/>
      <x:c r="AE2520" s="87"/>
      <x:c r="AF2520" s="87"/>
      <x:c r="AG2520" s="87"/>
      <x:c r="AH2520" s="87"/>
      <x:c r="AI2520" s="30"/>
      <x:c r="AJ2520" s="87" t="str">
        <x:v>master</x:v>
      </x:c>
      <x:c r="AK2520" s="87" t="str">
        <x:v>master-v0.81</x:v>
      </x:c>
      <x:c r="AL2520" s="87" t="str">
        <x:v>statgrad_master_base_v0_81_final(2).xlsx</x:v>
      </x:c>
      <x:c r="AM2520" s="87" t="str">
        <x:v>BIO_Apr_V4</x:v>
      </x:c>
      <x:c r="AN2520" s="87" t="n">
        <x:v>13</x:v>
      </x:c>
    </x:row>
    <x:row r="2521">
      <x:c r="A2521" s="87" t="n">
        <x:v>2520</x:v>
      </x:c>
      <x:c r="B2521" s="87" t="str">
        <x:v>APR-BIO-V4-013</x:v>
      </x:c>
      <x:c r="C2521" s="87" t="str">
        <x:v>СтатГрад</x:v>
      </x:c>
      <x:c r="D2521" s="87" t="str">
        <x:v>Апрель 2026</x:v>
      </x:c>
      <x:c r="E2521" s="87"/>
      <x:c r="F2521" s="87"/>
      <x:c r="G2521" s="87" t="str">
        <x:v>Биология</x:v>
      </x:c>
      <x:c r="H2521" s="87" t="n">
        <x:v>11</x:v>
      </x:c>
      <x:c r="I2521" s="87" t="str">
        <x:v>ТР №5</x:v>
      </x:c>
      <x:c r="J2521" s="87" t="str">
        <x:v>БИ2510504</x:v>
      </x:c>
      <x:c r="K2521" s="87" t="n">
        <x:v>13</x:v>
      </x:c>
      <x:c r="L2521" s="87" t="str">
        <x:v>Внутренние органы</x:v>
      </x:c>
      <x:c r="M2521" s="30" t="str">
        <x:v>Какой цифрой на рисунке обозначен орган, расположенный в тазовой полости?</x:v>
      </x:c>
      <x:c r="N2521" s="30" t="str">
        <x:v>8</x:v>
      </x:c>
      <x:c r="O2521" s="30" t="str">
        <x:v>В тазовой полости расположен мочевой пузырь, обозначенный цифрой 8.</x:v>
      </x:c>
      <x:c r="P2521" s="30" t="str">
        <x:v>Ответ повторно выведен из условия и проверен по биологическим закономерностям; для заданий с рисунком обозначения сверены визуально.</x:v>
      </x:c>
      <x:c r="Q2521" s="30"/>
      <x:c r="R2521" s="30" t="str">
        <x:v>Независимое решение по официальному заданию</x:v>
      </x:c>
      <x:c r="S2521" s="30"/>
      <x:c r="T2521" s="30"/>
      <x:c r="U2521" s="30" t="str">
        <x:v>Смешанный вариант: задание соответствует базовому источнику БИ2510502; расхождений не обнаружено.</x:v>
      </x:c>
      <x:c r="V2521" s="87" t="str">
        <x:v>VERIFIED</x:v>
      </x:c>
      <x:c r="W2521" s="87" t="str">
        <x:v>Официальный скан, задание 13</x:v>
      </x:c>
      <x:c r="X2521" s="87"/>
      <x:c r="Y2521" s="87"/>
      <x:c r="Z2521" s="87"/>
      <x:c r="AA2521" s="87"/>
      <x:c r="AB2521" s="87"/>
      <x:c r="AC2521" s="87"/>
      <x:c r="AD2521" s="87"/>
      <x:c r="AE2521" s="87"/>
      <x:c r="AF2521" s="87"/>
      <x:c r="AG2521" s="87"/>
      <x:c r="AH2521" s="87"/>
      <x:c r="AI2521" s="30"/>
      <x:c r="AJ2521" s="87" t="str">
        <x:v>master</x:v>
      </x:c>
      <x:c r="AK2521" s="87" t="str">
        <x:v>master-v0.81</x:v>
      </x:c>
      <x:c r="AL2521" s="87" t="str">
        <x:v>statgrad_master_base_v0_81_final(2).xlsx</x:v>
      </x:c>
      <x:c r="AM2521" s="87" t="str">
        <x:v>BIO_Apr_V4</x:v>
      </x:c>
      <x:c r="AN2521" s="87" t="n">
        <x:v>14</x:v>
      </x:c>
    </x:row>
    <x:row r="2522">
      <x:c r="A2522" s="87" t="n">
        <x:v>2521</x:v>
      </x:c>
      <x:c r="B2522" s="87" t="str">
        <x:v>APR-BIO-V4-014</x:v>
      </x:c>
      <x:c r="C2522" s="87" t="str">
        <x:v>СтатГрад</x:v>
      </x:c>
      <x:c r="D2522" s="87" t="str">
        <x:v>Апрель 2026</x:v>
      </x:c>
      <x:c r="E2522" s="87"/>
      <x:c r="F2522" s="87"/>
      <x:c r="G2522" s="87" t="str">
        <x:v>Биология</x:v>
      </x:c>
      <x:c r="H2522" s="87" t="n">
        <x:v>11</x:v>
      </x:c>
      <x:c r="I2522" s="87" t="str">
        <x:v>ТР №5</x:v>
      </x:c>
      <x:c r="J2522" s="87" t="str">
        <x:v>БИ2510504</x:v>
      </x:c>
      <x:c r="K2522" s="87" t="n">
        <x:v>14</x:v>
      </x:c>
      <x:c r="L2522" s="87" t="str">
        <x:v>Вегетативная нервная система</x:v>
      </x:c>
      <x:c r="M2522" s="30" t="str">
        <x:v>Установите соответствие между оказываемым эффектом и отделом нервной системы, обозначенными на рисунке цифрами 1, 2: к каждой позиции, данной в первом столбце, подберите соответствующую позицию из второго столбца. ОТДЕЛЫ НЕРВНОЙ ОКАЗЫВАЕМЫЙ ЭФФЕКТ СИСТЕМЫ А) расширение зрачка 1) 1 Б) усилении перистальтики желудка 2) 2 В) учащение пульса Г) активация слюноотделения Д) повышение артериального давления Е) уменьшение вентиляции лёгких Запишите в таблицу выбранные цифры под соответствующими буквами. А Б В Г Д Е</x:v>
      </x:c>
      <x:c r="N2522" s="30" t="str">
        <x:v>212121</x:v>
      </x:c>
      <x:c r="O2522" s="30" t="str">
        <x:v>Симпатический отдел расширяет зрачок, учащает пульс и повышает давление; парасимпатический усиливает пищеварение, слюноотделение и снижает вентиляцию.</x:v>
      </x:c>
      <x:c r="P2522" s="30" t="str">
        <x:v>Ответ повторно выведен из условия и проверен по биологическим закономерностям; для заданий с рисунком обозначения сверены визуально.</x:v>
      </x:c>
      <x:c r="Q2522" s="30"/>
      <x:c r="R2522" s="30" t="str">
        <x:v>Официальная таблица ответов + независимое решение</x:v>
      </x:c>
      <x:c r="S2522" s="30"/>
      <x:c r="T2522" s="30"/>
      <x:c r="U2522" s="30" t="str">
        <x:v>Смешанный вариант: задание соответствует базовому источнику БИ2510502; расхождений не обнаружено.</x:v>
      </x:c>
      <x:c r="V2522" s="87" t="str">
        <x:v>VERIFIED</x:v>
      </x:c>
      <x:c r="W2522" s="87" t="str">
        <x:v>Официальный скан, задание 14</x:v>
      </x:c>
      <x:c r="X2522" s="87"/>
      <x:c r="Y2522" s="87"/>
      <x:c r="Z2522" s="87"/>
      <x:c r="AA2522" s="87"/>
      <x:c r="AB2522" s="87"/>
      <x:c r="AC2522" s="87"/>
      <x:c r="AD2522" s="87"/>
      <x:c r="AE2522" s="87"/>
      <x:c r="AF2522" s="87"/>
      <x:c r="AG2522" s="87"/>
      <x:c r="AH2522" s="87"/>
      <x:c r="AI2522" s="30"/>
      <x:c r="AJ2522" s="87" t="str">
        <x:v>master</x:v>
      </x:c>
      <x:c r="AK2522" s="87" t="str">
        <x:v>master-v0.81</x:v>
      </x:c>
      <x:c r="AL2522" s="87" t="str">
        <x:v>statgrad_master_base_v0_81_final(2).xlsx</x:v>
      </x:c>
      <x:c r="AM2522" s="87" t="str">
        <x:v>BIO_Apr_V4</x:v>
      </x:c>
      <x:c r="AN2522" s="87" t="n">
        <x:v>15</x:v>
      </x:c>
    </x:row>
    <x:row r="2523">
      <x:c r="A2523" s="87" t="n">
        <x:v>2522</x:v>
      </x:c>
      <x:c r="B2523" s="87" t="str">
        <x:v>APR-BIO-V4-015</x:v>
      </x:c>
      <x:c r="C2523" s="87" t="str">
        <x:v>СтатГрад</x:v>
      </x:c>
      <x:c r="D2523" s="87" t="str">
        <x:v>Апрель 2026</x:v>
      </x:c>
      <x:c r="E2523" s="87"/>
      <x:c r="F2523" s="87"/>
      <x:c r="G2523" s="87" t="str">
        <x:v>Биология</x:v>
      </x:c>
      <x:c r="H2523" s="87" t="n">
        <x:v>11</x:v>
      </x:c>
      <x:c r="I2523" s="87" t="str">
        <x:v>ТР №5</x:v>
      </x:c>
      <x:c r="J2523" s="87" t="str">
        <x:v>БИ2510504</x:v>
      </x:c>
      <x:c r="K2523" s="87" t="n">
        <x:v>15</x:v>
      </x:c>
      <x:c r="L2523" s="87" t="str">
        <x:v>Пищеварение</x:v>
      </x:c>
      <x:c r="M2523" s="30" t="str">
        <x:v>Выберите три верных ответа и запишите в таблицу цифры, под которыми они указаны. Какие вещества содержаться в слюне человека? 1) инсулин 2) лизоцим 3) амилаза 4) липаза 5) муцин 6) гемоглобин</x:v>
      </x:c>
      <x:c r="N2523" s="30" t="str">
        <x:v>235</x:v>
      </x:c>
      <x:c r="O2523" s="30" t="str">
        <x:v>Слюна содержит лизоцим, амилазу и муцин.</x:v>
      </x:c>
      <x:c r="P2523" s="30" t="str">
        <x:v>Ответ повторно выведен из условия и проверен по биологическим закономерностям; для заданий с рисунком обозначения сверены визуально.</x:v>
      </x:c>
      <x:c r="Q2523" s="30"/>
      <x:c r="R2523" s="30" t="str">
        <x:v>Официальная таблица ответов + независимое решение</x:v>
      </x:c>
      <x:c r="S2523" s="30"/>
      <x:c r="T2523" s="30"/>
      <x:c r="U2523" s="30" t="str">
        <x:v>Смешанный вариант: задание соответствует базовому источнику БИ2510501; расхождений не обнаружено.</x:v>
      </x:c>
      <x:c r="V2523" s="87" t="str">
        <x:v>VERIFIED</x:v>
      </x:c>
      <x:c r="W2523" s="87" t="str">
        <x:v>Официальный скан, задание 15</x:v>
      </x:c>
      <x:c r="X2523" s="87"/>
      <x:c r="Y2523" s="87"/>
      <x:c r="Z2523" s="87"/>
      <x:c r="AA2523" s="87"/>
      <x:c r="AB2523" s="87"/>
      <x:c r="AC2523" s="87"/>
      <x:c r="AD2523" s="87"/>
      <x:c r="AE2523" s="87"/>
      <x:c r="AF2523" s="87"/>
      <x:c r="AG2523" s="87"/>
      <x:c r="AH2523" s="87"/>
      <x:c r="AI2523" s="30"/>
      <x:c r="AJ2523" s="87" t="str">
        <x:v>master</x:v>
      </x:c>
      <x:c r="AK2523" s="87" t="str">
        <x:v>master-v0.81</x:v>
      </x:c>
      <x:c r="AL2523" s="87" t="str">
        <x:v>statgrad_master_base_v0_81_final(2).xlsx</x:v>
      </x:c>
      <x:c r="AM2523" s="87" t="str">
        <x:v>BIO_Apr_V4</x:v>
      </x:c>
      <x:c r="AN2523" s="87" t="n">
        <x:v>16</x:v>
      </x:c>
    </x:row>
    <x:row r="2524">
      <x:c r="A2524" s="87" t="n">
        <x:v>2523</x:v>
      </x:c>
      <x:c r="B2524" s="87" t="str">
        <x:v>APR-BIO-V4-016</x:v>
      </x:c>
      <x:c r="C2524" s="87" t="str">
        <x:v>СтатГрад</x:v>
      </x:c>
      <x:c r="D2524" s="87" t="str">
        <x:v>Апрель 2026</x:v>
      </x:c>
      <x:c r="E2524" s="87"/>
      <x:c r="F2524" s="87"/>
      <x:c r="G2524" s="87" t="str">
        <x:v>Биология</x:v>
      </x:c>
      <x:c r="H2524" s="87" t="n">
        <x:v>11</x:v>
      </x:c>
      <x:c r="I2524" s="87" t="str">
        <x:v>ТР №5</x:v>
      </x:c>
      <x:c r="J2524" s="87" t="str">
        <x:v>БИ2510504</x:v>
      </x:c>
      <x:c r="K2524" s="87" t="n">
        <x:v>16</x:v>
      </x:c>
      <x:c r="L2524" s="87" t="str">
        <x:v>Менструальный цикл</x:v>
      </x:c>
      <x:c r="M2524" s="30" t="str">
        <x:v>Установите последовательность событий, происходящих в организме женщины, начиная с первого дня менструального цикла. Запишите в таблицу соответствующую последовательность цифр. 1) овуляция 2) рост доминантного фолликула 3) выделение прогестерона 4) отслойка эндометрия 5) появление жёлтого тела</x:v>
      </x:c>
      <x:c r="N2524" s="30" t="str">
        <x:v>42153</x:v>
      </x:c>
      <x:c r="O2524" s="30" t="str">
        <x:v>Первый день — менструация; затем рост фолликула, овуляция, образование жёлтого тела и секреция прогестерона.</x:v>
      </x:c>
      <x:c r="P2524" s="30" t="str">
        <x:v>Ответ повторно выведен из условия и проверен по биологическим закономерностям; для заданий с рисунком обозначения сверены визуально.</x:v>
      </x:c>
      <x:c r="Q2524" s="30"/>
      <x:c r="R2524" s="30" t="str">
        <x:v>Официальная таблица ответов + независимое решение</x:v>
      </x:c>
      <x:c r="S2524" s="30"/>
      <x:c r="T2524" s="30"/>
      <x:c r="U2524" s="30" t="str">
        <x:v>Смешанный вариант: задание соответствует базовому источнику БИ2510502; расхождений не обнаружено.</x:v>
      </x:c>
      <x:c r="V2524" s="87" t="str">
        <x:v>VERIFIED</x:v>
      </x:c>
      <x:c r="W2524" s="87" t="str">
        <x:v>Официальный скан, задание 16</x:v>
      </x:c>
      <x:c r="X2524" s="87"/>
      <x:c r="Y2524" s="87"/>
      <x:c r="Z2524" s="87"/>
      <x:c r="AA2524" s="87"/>
      <x:c r="AB2524" s="87"/>
      <x:c r="AC2524" s="87"/>
      <x:c r="AD2524" s="87"/>
      <x:c r="AE2524" s="87"/>
      <x:c r="AF2524" s="87"/>
      <x:c r="AG2524" s="87"/>
      <x:c r="AH2524" s="87"/>
      <x:c r="AI2524" s="30"/>
      <x:c r="AJ2524" s="87" t="str">
        <x:v>master</x:v>
      </x:c>
      <x:c r="AK2524" s="87" t="str">
        <x:v>master-v0.81</x:v>
      </x:c>
      <x:c r="AL2524" s="87" t="str">
        <x:v>statgrad_master_base_v0_81_final(2).xlsx</x:v>
      </x:c>
      <x:c r="AM2524" s="87" t="str">
        <x:v>BIO_Apr_V4</x:v>
      </x:c>
      <x:c r="AN2524" s="87" t="n">
        <x:v>17</x:v>
      </x:c>
    </x:row>
    <x:row r="2525">
      <x:c r="A2525" s="87" t="n">
        <x:v>2524</x:v>
      </x:c>
      <x:c r="B2525" s="87" t="str">
        <x:v>APR-BIO-V4-017</x:v>
      </x:c>
      <x:c r="C2525" s="87" t="str">
        <x:v>СтатГрад</x:v>
      </x:c>
      <x:c r="D2525" s="87" t="str">
        <x:v>Апрель 2026</x:v>
      </x:c>
      <x:c r="E2525" s="87"/>
      <x:c r="F2525" s="87"/>
      <x:c r="G2525" s="87" t="str">
        <x:v>Биология</x:v>
      </x:c>
      <x:c r="H2525" s="87" t="n">
        <x:v>11</x:v>
      </x:c>
      <x:c r="I2525" s="87" t="str">
        <x:v>ТР №5</x:v>
      </x:c>
      <x:c r="J2525" s="87" t="str">
        <x:v>БИ2510504</x:v>
      </x:c>
      <x:c r="K2525" s="87" t="n">
        <x:v>17</x:v>
      </x:c>
      <x:c r="L2525" s="87" t="str">
        <x:v>Доказательства эволюции</x:v>
      </x:c>
      <x:c r="M2525" s="30" t="str">
        <x:v>Прочитайте текст. Выберите три предложения, в которых даны примеры атавизмов. Запишите в таблицу цифры, под которыми они указаны. (1)У предков птиц были зубы, однако у современных видов они отсутствуют. (2)В редких случаях у кур могут развиваться зачатки зубов. (3)У предков современных китообразных были хорошо развиты задние конечности. (4)До сих пор можно встретить китов или дельфинов, родившихся с недоразвитыми ногами. (5)Представители крупного рогатого скота порой рождаются с дополнительными сосками. (6)А у всех свиней сохраняются боковые пальцы, которые не участвуют в передвижении и являются остатками более развитой конечности их предков.</x:v>
      </x:c>
      <x:c r="N2525" s="30" t="str">
        <x:v>245</x:v>
      </x:c>
      <x:c r="O2525" s="30" t="str">
        <x:v>Атавизмы — редкое появление признаков предков: зубы у кур, задние конечности у китообразных и дополнительные соски у скота.</x:v>
      </x:c>
      <x:c r="P2525" s="30" t="str">
        <x:v>Ответ повторно выведен из условия и проверен по биологическим закономерностям; для заданий с рисунком обозначения сверены визуально.</x:v>
      </x:c>
      <x:c r="Q2525" s="30"/>
      <x:c r="R2525" s="30" t="str">
        <x:v>Официальная таблица ответов + независимое решение</x:v>
      </x:c>
      <x:c r="S2525" s="30"/>
      <x:c r="T2525" s="30"/>
      <x:c r="U2525" s="30" t="str">
        <x:v>Смешанный вариант: задание соответствует базовому источнику БИ2510501; расхождений не обнаружено.</x:v>
      </x:c>
      <x:c r="V2525" s="87" t="str">
        <x:v>VERIFIED</x:v>
      </x:c>
      <x:c r="W2525" s="87" t="str">
        <x:v>Официальный скан, задание 17</x:v>
      </x:c>
      <x:c r="X2525" s="87"/>
      <x:c r="Y2525" s="87"/>
      <x:c r="Z2525" s="87"/>
      <x:c r="AA2525" s="87"/>
      <x:c r="AB2525" s="87"/>
      <x:c r="AC2525" s="87"/>
      <x:c r="AD2525" s="87"/>
      <x:c r="AE2525" s="87"/>
      <x:c r="AF2525" s="87"/>
      <x:c r="AG2525" s="87"/>
      <x:c r="AH2525" s="87"/>
      <x:c r="AI2525" s="30"/>
      <x:c r="AJ2525" s="87" t="str">
        <x:v>master</x:v>
      </x:c>
      <x:c r="AK2525" s="87" t="str">
        <x:v>master-v0.81</x:v>
      </x:c>
      <x:c r="AL2525" s="87" t="str">
        <x:v>statgrad_master_base_v0_81_final(2).xlsx</x:v>
      </x:c>
      <x:c r="AM2525" s="87" t="str">
        <x:v>BIO_Apr_V4</x:v>
      </x:c>
      <x:c r="AN2525" s="87" t="n">
        <x:v>18</x:v>
      </x:c>
    </x:row>
    <x:row r="2526">
      <x:c r="A2526" s="87" t="n">
        <x:v>2525</x:v>
      </x:c>
      <x:c r="B2526" s="87" t="str">
        <x:v>APR-BIO-V4-018</x:v>
      </x:c>
      <x:c r="C2526" s="87" t="str">
        <x:v>СтатГрад</x:v>
      </x:c>
      <x:c r="D2526" s="87" t="str">
        <x:v>Апрель 2026</x:v>
      </x:c>
      <x:c r="E2526" s="87"/>
      <x:c r="F2526" s="87"/>
      <x:c r="G2526" s="87" t="str">
        <x:v>Биология</x:v>
      </x:c>
      <x:c r="H2526" s="87" t="n">
        <x:v>11</x:v>
      </x:c>
      <x:c r="I2526" s="87" t="str">
        <x:v>ТР №5</x:v>
      </x:c>
      <x:c r="J2526" s="87" t="str">
        <x:v>БИ2510504</x:v>
      </x:c>
      <x:c r="K2526" s="87" t="n">
        <x:v>18</x:v>
      </x:c>
      <x:c r="L2526" s="87" t="str">
        <x:v>Экологические группы растений</x:v>
      </x:c>
      <x:c r="M2526" s="30" t="str">
        <x:v>Выберите три верных ответа и запишите в таблицу цифры, под которыми они указаны. Какие адаптации отличают суккуленты от гидрофитов? 1) слизистая эпидерма 2) водоносная ткань 3) шаровидная форма побега 4) шипы и колючки 5) аэренхима 6) отсутствие хлоропластов</x:v>
      </x:c>
      <x:c r="N2526" s="30" t="str">
        <x:v>234</x:v>
      </x:c>
      <x:c r="O2526" s="30" t="str">
        <x:v>Суккуленты имеют водоносную ткань, компактную шаровидную форму и шипы/колючки.</x:v>
      </x:c>
      <x:c r="P2526" s="30" t="str">
        <x:v>Ответ повторно выведен из условия и проверен по биологическим закономерностям; для заданий с рисунком обозначения сверены визуально.</x:v>
      </x:c>
      <x:c r="Q2526" s="30"/>
      <x:c r="R2526" s="30" t="str">
        <x:v>Официальная таблица ответов + независимое решение</x:v>
      </x:c>
      <x:c r="S2526" s="30"/>
      <x:c r="T2526" s="30"/>
      <x:c r="U2526" s="30" t="str">
        <x:v>Смешанный вариант: задание соответствует базовому источнику БИ2510502; расхождений не обнаружено.</x:v>
      </x:c>
      <x:c r="V2526" s="87" t="str">
        <x:v>VERIFIED</x:v>
      </x:c>
      <x:c r="W2526" s="87" t="str">
        <x:v>Официальный скан, задание 18</x:v>
      </x:c>
      <x:c r="X2526" s="87"/>
      <x:c r="Y2526" s="87"/>
      <x:c r="Z2526" s="87"/>
      <x:c r="AA2526" s="87"/>
      <x:c r="AB2526" s="87"/>
      <x:c r="AC2526" s="87"/>
      <x:c r="AD2526" s="87"/>
      <x:c r="AE2526" s="87"/>
      <x:c r="AF2526" s="87"/>
      <x:c r="AG2526" s="87"/>
      <x:c r="AH2526" s="87"/>
      <x:c r="AI2526" s="30"/>
      <x:c r="AJ2526" s="87" t="str">
        <x:v>master</x:v>
      </x:c>
      <x:c r="AK2526" s="87" t="str">
        <x:v>master-v0.81</x:v>
      </x:c>
      <x:c r="AL2526" s="87" t="str">
        <x:v>statgrad_master_base_v0_81_final(2).xlsx</x:v>
      </x:c>
      <x:c r="AM2526" s="87" t="str">
        <x:v>BIO_Apr_V4</x:v>
      </x:c>
      <x:c r="AN2526" s="87" t="n">
        <x:v>19</x:v>
      </x:c>
    </x:row>
    <x:row r="2527">
      <x:c r="A2527" s="87" t="n">
        <x:v>2526</x:v>
      </x:c>
      <x:c r="B2527" s="87" t="str">
        <x:v>APR-BIO-V4-019</x:v>
      </x:c>
      <x:c r="C2527" s="87" t="str">
        <x:v>СтатГрад</x:v>
      </x:c>
      <x:c r="D2527" s="87" t="str">
        <x:v>Апрель 2026</x:v>
      </x:c>
      <x:c r="E2527" s="87"/>
      <x:c r="F2527" s="87"/>
      <x:c r="G2527" s="87" t="str">
        <x:v>Биология</x:v>
      </x:c>
      <x:c r="H2527" s="87" t="n">
        <x:v>11</x:v>
      </x:c>
      <x:c r="I2527" s="87" t="str">
        <x:v>ТР №5</x:v>
      </x:c>
      <x:c r="J2527" s="87" t="str">
        <x:v>БИ2510504</x:v>
      </x:c>
      <x:c r="K2527" s="87" t="n">
        <x:v>19</x:v>
      </x:c>
      <x:c r="L2527" s="87" t="str">
        <x:v>Направления эволюции</x:v>
      </x:c>
      <x:c r="M2527" s="30" t="str">
        <x:v>Установите соответствие между примерами и путями эволюции: к каждой позиции, данной в первом столбце, подберите соответствующую позицию из второго столбца. ПРИМЕРЫ ПУТИ ЭВОЛЮЦИИ А) грудная клетка у рептилий 1) ароморфоз Б) брюшная и ротовая присоски у сосальщиков 2) идиоадаптация В) яркая окраска у попугаев Г) рычажные конечности у земноводных Д) хитиновый панцирь у членистоногих Е) крупные клыки у хищных млекопитающих Запишите в таблицу выбранные цифры под соответствующими буквами. А Б В Г Д Е</x:v>
      </x:c>
      <x:c r="N2527" s="30" t="str">
        <x:v>122112</x:v>
      </x:c>
      <x:c r="O2527" s="30" t="str">
        <x:v>Грудная клетка рептилий, рычажные конечности земноводных и хитиновый покров — крупные прогрессивные изменения; остальные признаки — частные приспособления.</x:v>
      </x:c>
      <x:c r="P2527" s="30" t="str">
        <x:v>Ответ повторно выведен из условия и проверен по биологическим закономерностям; для заданий с рисунком обозначения сверены визуально.</x:v>
      </x:c>
      <x:c r="Q2527" s="30"/>
      <x:c r="R2527" s="30" t="str">
        <x:v>Официальная таблица ответов + независимое решение</x:v>
      </x:c>
      <x:c r="S2527" s="30"/>
      <x:c r="T2527" s="30"/>
      <x:c r="U2527" s="30" t="str">
        <x:v>Смешанный вариант: задание соответствует базовому источнику БИ2510501; расхождений не обнаружено.</x:v>
      </x:c>
      <x:c r="V2527" s="87" t="str">
        <x:v>VERIFIED</x:v>
      </x:c>
      <x:c r="W2527" s="87" t="str">
        <x:v>Официальный скан, задание 19</x:v>
      </x:c>
      <x:c r="X2527" s="87"/>
      <x:c r="Y2527" s="87"/>
      <x:c r="Z2527" s="87"/>
      <x:c r="AA2527" s="87"/>
      <x:c r="AB2527" s="87"/>
      <x:c r="AC2527" s="87"/>
      <x:c r="AD2527" s="87"/>
      <x:c r="AE2527" s="87"/>
      <x:c r="AF2527" s="87"/>
      <x:c r="AG2527" s="87"/>
      <x:c r="AH2527" s="87"/>
      <x:c r="AI2527" s="30"/>
      <x:c r="AJ2527" s="87" t="str">
        <x:v>master</x:v>
      </x:c>
      <x:c r="AK2527" s="87" t="str">
        <x:v>master-v0.81</x:v>
      </x:c>
      <x:c r="AL2527" s="87" t="str">
        <x:v>statgrad_master_base_v0_81_final(2).xlsx</x:v>
      </x:c>
      <x:c r="AM2527" s="87" t="str">
        <x:v>BIO_Apr_V4</x:v>
      </x:c>
      <x:c r="AN2527" s="87" t="n">
        <x:v>20</x:v>
      </x:c>
    </x:row>
    <x:row r="2528">
      <x:c r="A2528" s="87" t="n">
        <x:v>2527</x:v>
      </x:c>
      <x:c r="B2528" s="87" t="str">
        <x:v>APR-BIO-V4-020</x:v>
      </x:c>
      <x:c r="C2528" s="87" t="str">
        <x:v>СтатГрад</x:v>
      </x:c>
      <x:c r="D2528" s="87" t="str">
        <x:v>Апрель 2026</x:v>
      </x:c>
      <x:c r="E2528" s="87"/>
      <x:c r="F2528" s="87"/>
      <x:c r="G2528" s="87" t="str">
        <x:v>Биология</x:v>
      </x:c>
      <x:c r="H2528" s="87" t="n">
        <x:v>11</x:v>
      </x:c>
      <x:c r="I2528" s="87" t="str">
        <x:v>ТР №5</x:v>
      </x:c>
      <x:c r="J2528" s="87" t="str">
        <x:v>БИ2510504</x:v>
      </x:c>
      <x:c r="K2528" s="87" t="n">
        <x:v>20</x:v>
      </x:c>
      <x:c r="L2528" s="87" t="str">
        <x:v>Экологические правила</x:v>
      </x:c>
      <x:c r="M2528" s="30" t="str">
        <x:v>Рассмотрите животных и карту, изображённые на рисунке.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Экологическое правило Суть правила Аналогичный пример __________________(А) ___________________(Б) ___________________(В) Список элементов 1) малайский медведь и белый медведь 2) обитатели холодного климата имеют относительно меньшие выступаю- щие части тела 3) Аллена 4) лиса фенек и песец 5) наиболее крупными являются те животные, которые обитают в высоких широтах 6) Либиха 7) эскимосы и масаи 8) Бергмана Запишите в таблицу выбранные цифры под соответствующими буквами. А Б В</x:v>
      </x:c>
      <x:c r="N2528" s="30" t="str">
        <x:v>851</x:v>
      </x:c>
      <x:c r="O2528" s="30" t="str">
        <x:v>На рисунке проявляется правило Бергмана: в высоких широтах животные крупнее; аналогичный пример — малайский и белый медведи.</x:v>
      </x:c>
      <x:c r="P2528" s="30" t="str">
        <x:v>Ответ повторно выведен из условия и проверен по биологическим закономерностям; для заданий с рисунком обозначения сверены визуально.</x:v>
      </x:c>
      <x:c r="Q2528" s="30"/>
      <x:c r="R2528" s="30" t="str">
        <x:v>Официальная таблица ответов + независимое решение</x:v>
      </x:c>
      <x:c r="S2528" s="30"/>
      <x:c r="T2528" s="30"/>
      <x:c r="U2528" s="30" t="str">
        <x:v>Смешанный вариант: задание соответствует базовому источнику БИ2510502; расхождений не обнаружено.</x:v>
      </x:c>
      <x:c r="V2528" s="87" t="str">
        <x:v>VERIFIED</x:v>
      </x:c>
      <x:c r="W2528" s="87" t="str">
        <x:v>Официальный скан, задание 20</x:v>
      </x:c>
      <x:c r="X2528" s="87"/>
      <x:c r="Y2528" s="87"/>
      <x:c r="Z2528" s="87"/>
      <x:c r="AA2528" s="87"/>
      <x:c r="AB2528" s="87"/>
      <x:c r="AC2528" s="87"/>
      <x:c r="AD2528" s="87"/>
      <x:c r="AE2528" s="87"/>
      <x:c r="AF2528" s="87"/>
      <x:c r="AG2528" s="87"/>
      <x:c r="AH2528" s="87"/>
      <x:c r="AI2528" s="30"/>
      <x:c r="AJ2528" s="87" t="str">
        <x:v>master</x:v>
      </x:c>
      <x:c r="AK2528" s="87" t="str">
        <x:v>master-v0.81</x:v>
      </x:c>
      <x:c r="AL2528" s="87" t="str">
        <x:v>statgrad_master_base_v0_81_final(2).xlsx</x:v>
      </x:c>
      <x:c r="AM2528" s="87" t="str">
        <x:v>BIO_Apr_V4</x:v>
      </x:c>
      <x:c r="AN2528" s="87" t="n">
        <x:v>21</x:v>
      </x:c>
    </x:row>
    <x:row r="2529">
      <x:c r="A2529" s="87" t="n">
        <x:v>2528</x:v>
      </x:c>
      <x:c r="B2529" s="87" t="str">
        <x:v>APR-BIO-V4-021</x:v>
      </x:c>
      <x:c r="C2529" s="87" t="str">
        <x:v>СтатГрад</x:v>
      </x:c>
      <x:c r="D2529" s="87" t="str">
        <x:v>Апрель 2026</x:v>
      </x:c>
      <x:c r="E2529" s="87"/>
      <x:c r="F2529" s="87"/>
      <x:c r="G2529" s="87" t="str">
        <x:v>Биология</x:v>
      </x:c>
      <x:c r="H2529" s="87" t="n">
        <x:v>11</x:v>
      </x:c>
      <x:c r="I2529" s="87" t="str">
        <x:v>ТР №5</x:v>
      </x:c>
      <x:c r="J2529" s="87" t="str">
        <x:v>БИ2510504</x:v>
      </x:c>
      <x:c r="K2529" s="87" t="n">
        <x:v>21</x:v>
      </x:c>
      <x:c r="L2529" s="87" t="str">
        <x:v>Анализ таблицы</x:v>
      </x:c>
      <x:c r="M2529" s="30" t="str">
        <x:v>Проанализируйте таблицу «Распределение пациентов, поступивших в больницу с открытыми переломами, по локализации травмы, возрасту и полу». Локализация пол возраст всего перелома М Ж 10–17 18–59 &gt; 60 абс. % Плечо 100 64 26 134 4 164 5,2 Предплечье 261 190 38 392 21 451 14,3 Бедро 254 106 30 326 4 360 11,4 Голень 895 270 102 1045 18 1165 36,9 Множественные 774 152 90 794 12 896 28,4 переломы Огнестрельные 116 4 4 114 2 120 3,8 переломы Всего 2367 789 290 2805 61 3156 100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Из-за снижения выработки коллагена риск переломов у пожилых людей выше, чем у молодых. 2) Число пациентов с открытыми переломами ног более, чем в два раза превышает число пациентов с открытыми переломами рук. 3) Самый распространённый вариант открытого перелома в подростковом возрасте – это перелом голени. 4) Вероятность получения множественных переломов одинакова в любом возрасте. 5) Максимальная вероятность летального исхода наблюдается при огнестрельных переломах.</x:v>
      </x:c>
      <x:c r="N2529" s="30" t="str">
        <x:v>23</x:v>
      </x:c>
      <x:c r="O2529" s="30" t="str">
        <x:v>Из таблицы следуют утверждения о преобладании переломов ног над переломами рук и о максимуме подростковых переломов голени.</x:v>
      </x:c>
      <x:c r="P2529" s="30" t="str">
        <x:v>Ответ повторно выведен из условия и проверен по биологическим закономерностям; для заданий с рисунком обозначения сверены визуально.</x:v>
      </x:c>
      <x:c r="Q2529" s="30"/>
      <x:c r="R2529" s="30" t="str">
        <x:v>Официальная таблица ответов + независимое решение</x:v>
      </x:c>
      <x:c r="S2529" s="30"/>
      <x:c r="T2529" s="30"/>
      <x:c r="U2529" s="30" t="str">
        <x:v>Смешанный вариант: задание соответствует базовому источнику БИ2510501; расхождений не обнаружено.</x:v>
      </x:c>
      <x:c r="V2529" s="87" t="str">
        <x:v>VERIFIED</x:v>
      </x:c>
      <x:c r="W2529" s="87" t="str">
        <x:v>Официальный скан, задание 21</x:v>
      </x:c>
      <x:c r="X2529" s="87"/>
      <x:c r="Y2529" s="87"/>
      <x:c r="Z2529" s="87"/>
      <x:c r="AA2529" s="87"/>
      <x:c r="AB2529" s="87"/>
      <x:c r="AC2529" s="87"/>
      <x:c r="AD2529" s="87"/>
      <x:c r="AE2529" s="87"/>
      <x:c r="AF2529" s="87"/>
      <x:c r="AG2529" s="87"/>
      <x:c r="AH2529" s="87"/>
      <x:c r="AI2529" s="30"/>
      <x:c r="AJ2529" s="87" t="str">
        <x:v>master</x:v>
      </x:c>
      <x:c r="AK2529" s="87" t="str">
        <x:v>master-v0.81</x:v>
      </x:c>
      <x:c r="AL2529" s="87" t="str">
        <x:v>statgrad_master_base_v0_81_final(2).xlsx</x:v>
      </x:c>
      <x:c r="AM2529" s="87" t="str">
        <x:v>BIO_Apr_V4</x:v>
      </x:c>
      <x:c r="AN2529" s="87" t="n">
        <x:v>22</x:v>
      </x:c>
    </x:row>
    <x:row r="2530">
      <x:c r="A2530" s="87" t="n">
        <x:v>2529</x:v>
      </x:c>
      <x:c r="B2530" s="87" t="str">
        <x:v>APR-BIO-V4-022</x:v>
      </x:c>
      <x:c r="C2530" s="87" t="str">
        <x:v>СтатГрад</x:v>
      </x:c>
      <x:c r="D2530" s="87" t="str">
        <x:v>Апрель 2026</x:v>
      </x:c>
      <x:c r="E2530" s="87"/>
      <x:c r="F2530" s="87"/>
      <x:c r="G2530" s="87" t="str">
        <x:v>Биология</x:v>
      </x:c>
      <x:c r="H2530" s="87" t="n">
        <x:v>11</x:v>
      </x:c>
      <x:c r="I2530" s="87" t="str">
        <x:v>ТР №5</x:v>
      </x:c>
      <x:c r="J2530" s="87" t="str">
        <x:v>БИ2510504</x:v>
      </x:c>
      <x:c r="K2530" s="87" t="n">
        <x:v>22</x:v>
      </x:c>
      <x:c r="L2530" s="87" t="str">
        <x:v>Развёрнутый ответ: эксперимент</x:v>
      </x:c>
      <x:c r="M2530" s="30" t="str">
        <x:v>Какая переменная в этом эксперименте была независимой (задаваемой), а какая – зависимой (изменяющейся)? Объясните, как в данном эксперименте был поставлен отрицательный контроль*? С какой целью необходимо осуществлять такой контроль? *Отрицательный контроль – это экспериментальный контроль (опыт), при котором изучаемый объект не подвергается экспериментальному воздействию при сохранении всех остальных условий.</x:v>
      </x:c>
      <x:c r="N2530" s="30" t="str">
        <x:v>Независимая переменная — наличие нитратов в растворе; зависимая — диаметр клубеньков. Отрицательный контроль: растения выращивают в таком же растворе и условиях, но без нитратов. Он показывает, связано ли изменение диаметра именно с нитратами, а не с другими факторами.</x:v>
      </x:c>
      <x:c r="O2530" s="30" t="str">
        <x:v>Независимая переменная — наличие нитратов в растворе; зависимая — диаметр клубеньков. Отрицательный контроль: растения выращивают в таком же растворе и условиях, но без нитратов. Он показывает, связано ли изменение диаметра именно с нитратами, а не с другими факторами.</x:v>
      </x:c>
      <x:c r="P2530" s="30" t="str">
        <x:v>Все обязательные смысловые элементы сопоставлены с официальными критериями оценивания.</x:v>
      </x:c>
      <x:c r="Q2530" s="30"/>
      <x:c r="R2530" s="30" t="str">
        <x:v>Официальные критерии СтатГрад</x:v>
      </x:c>
      <x:c r="S2530" s="30"/>
      <x:c r="T2530" s="30"/>
      <x:c r="U2530" s="30" t="str">
        <x:v>Смешанный вариант: задание соответствует базовому источнику БИ2510502; расхождений не обнаружено.</x:v>
      </x:c>
      <x:c r="V2530" s="87" t="str">
        <x:v>VERIFIED</x:v>
      </x:c>
      <x:c r="W2530" s="87" t="str">
        <x:v>Официальный скан, задание 22</x:v>
      </x:c>
      <x:c r="X2530" s="87"/>
      <x:c r="Y2530" s="87"/>
      <x:c r="Z2530" s="87"/>
      <x:c r="AA2530" s="87"/>
      <x:c r="AB2530" s="87"/>
      <x:c r="AC2530" s="87"/>
      <x:c r="AD2530" s="87"/>
      <x:c r="AE2530" s="87"/>
      <x:c r="AF2530" s="87"/>
      <x:c r="AG2530" s="87"/>
      <x:c r="AH2530" s="87"/>
      <x:c r="AI2530" s="30"/>
      <x:c r="AJ2530" s="87" t="str">
        <x:v>master</x:v>
      </x:c>
      <x:c r="AK2530" s="87" t="str">
        <x:v>master-v0.81</x:v>
      </x:c>
      <x:c r="AL2530" s="87" t="str">
        <x:v>statgrad_master_base_v0_81_final(2).xlsx</x:v>
      </x:c>
      <x:c r="AM2530" s="87" t="str">
        <x:v>BIO_Apr_V4</x:v>
      </x:c>
      <x:c r="AN2530" s="87" t="n">
        <x:v>23</x:v>
      </x:c>
    </x:row>
    <x:row r="2531">
      <x:c r="A2531" s="87" t="n">
        <x:v>2530</x:v>
      </x:c>
      <x:c r="B2531" s="87" t="str">
        <x:v>APR-BIO-V4-023</x:v>
      </x:c>
      <x:c r="C2531" s="87" t="str">
        <x:v>СтатГрад</x:v>
      </x:c>
      <x:c r="D2531" s="87" t="str">
        <x:v>Апрель 2026</x:v>
      </x:c>
      <x:c r="E2531" s="87"/>
      <x:c r="F2531" s="87"/>
      <x:c r="G2531" s="87" t="str">
        <x:v>Биология</x:v>
      </x:c>
      <x:c r="H2531" s="87" t="n">
        <x:v>11</x:v>
      </x:c>
      <x:c r="I2531" s="87" t="str">
        <x:v>ТР №5</x:v>
      </x:c>
      <x:c r="J2531" s="87" t="str">
        <x:v>БИ2510504</x:v>
      </x:c>
      <x:c r="K2531" s="87" t="n">
        <x:v>23</x:v>
      </x:c>
      <x:c r="L2531" s="87" t="str">
        <x:v>Развёрнутый ответ: симбиоз</x:v>
      </x:c>
      <x:c r="M2531" s="30" t="str">
        <x:v>Почему бактерии вводили непосредственно в семена сои, а не в питательный раствор на этапе роста саженцев? С какой целью в сельском хозяйстве применяют севооборот – ежегодное чередование бобовых и злаковых культур на одном и том же участке земли? Ответ поясните.</x:v>
      </x:c>
      <x:c r="N2531" s="30" t="str">
        <x:v>Введение бактерий в семена обеспечивает одинаковую дозу и контакт бактерий с формирующимися корнями; при добавлении в раствор часть бактерий не проникла бы в корни. Клубеньковые бактерии — симбионты бобовых и обогащают почву соединениями азота, поэтому злаки после бобовых получают больше азота и требуют меньше удобрений; чередование также снижает истощение почвы.</x:v>
      </x:c>
      <x:c r="O2531" s="30" t="str">
        <x:v>Введение бактерий в семена обеспечивает одинаковую дозу и контакт бактерий с формирующимися корнями; при добавлении в раствор часть бактерий не проникла бы в корни. Клубеньковые бактерии — симбионты бобовых и обогащают почву соединениями азота, поэтому злаки после бобовых получают больше азота и требуют меньше удобрений; чередование также снижает истощение почвы.</x:v>
      </x:c>
      <x:c r="P2531" s="30" t="str">
        <x:v>Все обязательные смысловые элементы сопоставлены с официальными критериями оценивания.</x:v>
      </x:c>
      <x:c r="Q2531" s="30"/>
      <x:c r="R2531" s="30" t="str">
        <x:v>Официальные критерии СтатГрад</x:v>
      </x:c>
      <x:c r="S2531" s="30"/>
      <x:c r="T2531" s="30"/>
      <x:c r="U2531" s="30" t="str">
        <x:v>Смешанный вариант: задание соответствует базовому источнику БИ2510502; расхождений не обнаружено.</x:v>
      </x:c>
      <x:c r="V2531" s="87" t="str">
        <x:v>VERIFIED</x:v>
      </x:c>
      <x:c r="W2531" s="87" t="str">
        <x:v>Официальный скан, задание 23</x:v>
      </x:c>
      <x:c r="X2531" s="87"/>
      <x:c r="Y2531" s="87"/>
      <x:c r="Z2531" s="87"/>
      <x:c r="AA2531" s="87"/>
      <x:c r="AB2531" s="87"/>
      <x:c r="AC2531" s="87"/>
      <x:c r="AD2531" s="87"/>
      <x:c r="AE2531" s="87"/>
      <x:c r="AF2531" s="87"/>
      <x:c r="AG2531" s="87"/>
      <x:c r="AH2531" s="87"/>
      <x:c r="AI2531" s="30"/>
      <x:c r="AJ2531" s="87" t="str">
        <x:v>master</x:v>
      </x:c>
      <x:c r="AK2531" s="87" t="str">
        <x:v>master-v0.81</x:v>
      </x:c>
      <x:c r="AL2531" s="87" t="str">
        <x:v>statgrad_master_base_v0_81_final(2).xlsx</x:v>
      </x:c>
      <x:c r="AM2531" s="87" t="str">
        <x:v>BIO_Apr_V4</x:v>
      </x:c>
      <x:c r="AN2531" s="87" t="n">
        <x:v>24</x:v>
      </x:c>
    </x:row>
    <x:row r="2532">
      <x:c r="A2532" s="87" t="n">
        <x:v>2531</x:v>
      </x:c>
      <x:c r="B2532" s="87" t="str">
        <x:v>APR-BIO-V4-024</x:v>
      </x:c>
      <x:c r="C2532" s="87" t="str">
        <x:v>СтатГрад</x:v>
      </x:c>
      <x:c r="D2532" s="87" t="str">
        <x:v>Апрель 2026</x:v>
      </x:c>
      <x:c r="E2532" s="87"/>
      <x:c r="F2532" s="87"/>
      <x:c r="G2532" s="87" t="str">
        <x:v>Биология</x:v>
      </x:c>
      <x:c r="H2532" s="87" t="n">
        <x:v>11</x:v>
      </x:c>
      <x:c r="I2532" s="87" t="str">
        <x:v>ТР №5</x:v>
      </x:c>
      <x:c r="J2532" s="87" t="str">
        <x:v>БИ2510504</x:v>
      </x:c>
      <x:c r="K2532" s="87" t="n">
        <x:v>24</x:v>
      </x:c>
      <x:c r="L2532" s="87" t="str">
        <x:v>Развёрнутый ответ: биология и рисунок</x:v>
      </x:c>
      <x:c r="M2532" s="30" t="str">
        <x:v>Какой тип мутации изображён на рисунке? Ответ поясните. Какой метод генетики позволяет диагностировать наличие у человека подобного вида мутации? Перечислите две ситуации, при которых изображённая мутация не повлияет на фенотип организма.</x:v>
      </x:c>
      <x:c r="N2532" s="30" t="str">
        <x:v>Изображена генная точковая миссенс-мутация: замена нуклеотида приводит к замене аминокислоты. Диагностика — секвенирование (биохимический/молекулярно-генетический метод). Фенотип может не измениться, например, при замене вне функционально значимого участка белка, при рецессивности мутации и наличии нормального аллеля, отсутствии экспрессии в данной ткани или замене на сходную аминокислоту.</x:v>
      </x:c>
      <x:c r="O2532" s="30" t="str">
        <x:v>Изображена генная точковая миссенс-мутация: замена нуклеотида приводит к замене аминокислоты. Диагностика — секвенирование (биохимический/молекулярно-генетический метод). Фенотип может не измениться, например, при замене вне функционально значимого участка белка, при рецессивности мутации и наличии нормального аллеля, отсутствии экспрессии в данной ткани или замене на сходную аминокислоту.</x:v>
      </x:c>
      <x:c r="P2532" s="30" t="str">
        <x:v>Все обязательные смысловые элементы сопоставлены с официальными критериями оценивания.</x:v>
      </x:c>
      <x:c r="Q2532" s="30"/>
      <x:c r="R2532" s="30" t="str">
        <x:v>Официальные критерии СтатГрад</x:v>
      </x:c>
      <x:c r="S2532" s="30"/>
      <x:c r="T2532" s="30"/>
      <x:c r="U2532" s="30" t="str">
        <x:v>Смешанный вариант: задание соответствует базовому источнику БИ2510501; расхождений не обнаружено.</x:v>
      </x:c>
      <x:c r="V2532" s="87" t="str">
        <x:v>VERIFIED</x:v>
      </x:c>
      <x:c r="W2532" s="87" t="str">
        <x:v>Официальный скан, задание 24</x:v>
      </x:c>
      <x:c r="X2532" s="87"/>
      <x:c r="Y2532" s="87"/>
      <x:c r="Z2532" s="87"/>
      <x:c r="AA2532" s="87"/>
      <x:c r="AB2532" s="87"/>
      <x:c r="AC2532" s="87"/>
      <x:c r="AD2532" s="87"/>
      <x:c r="AE2532" s="87"/>
      <x:c r="AF2532" s="87"/>
      <x:c r="AG2532" s="87"/>
      <x:c r="AH2532" s="87"/>
      <x:c r="AI2532" s="30"/>
      <x:c r="AJ2532" s="87" t="str">
        <x:v>master</x:v>
      </x:c>
      <x:c r="AK2532" s="87" t="str">
        <x:v>master-v0.81</x:v>
      </x:c>
      <x:c r="AL2532" s="87" t="str">
        <x:v>statgrad_master_base_v0_81_final(2).xlsx</x:v>
      </x:c>
      <x:c r="AM2532" s="87" t="str">
        <x:v>BIO_Apr_V4</x:v>
      </x:c>
      <x:c r="AN2532" s="87" t="n">
        <x:v>25</x:v>
      </x:c>
    </x:row>
    <x:row r="2533">
      <x:c r="A2533" s="87" t="n">
        <x:v>2532</x:v>
      </x:c>
      <x:c r="B2533" s="87" t="str">
        <x:v>APR-BIO-V4-025</x:v>
      </x:c>
      <x:c r="C2533" s="87" t="str">
        <x:v>СтатГрад</x:v>
      </x:c>
      <x:c r="D2533" s="87" t="str">
        <x:v>Апрель 2026</x:v>
      </x:c>
      <x:c r="E2533" s="87"/>
      <x:c r="F2533" s="87"/>
      <x:c r="G2533" s="87" t="str">
        <x:v>Биология</x:v>
      </x:c>
      <x:c r="H2533" s="87" t="n">
        <x:v>11</x:v>
      </x:c>
      <x:c r="I2533" s="87" t="str">
        <x:v>ТР №5</x:v>
      </x:c>
      <x:c r="J2533" s="87" t="str">
        <x:v>БИ2510504</x:v>
      </x:c>
      <x:c r="K2533" s="87" t="n">
        <x:v>25</x:v>
      </x:c>
      <x:c r="L2533" s="87" t="str">
        <x:v>Развёрнутый ответ: физиология/экология</x:v>
      </x:c>
      <x:c r="M2533" s="30" t="str">
        <x:v>Какие особенности строения паутины обеспечивают одновременно эффективную ловлю добычи и возможность безопасного передвижения паука? Исходя из особенностей строения ловчих нитей, объясните, почему в сухом климате разнообразие пауков гораздо меньше. Учитывая слабое зрение у большинства пауков, предположите, как они определяют место пойманной добычи на паутине? К какой группе по характеру раздражителя относятся участвующие в этом рецепторы? Назовите два примера других рецепторов, относящихся к этой же группе и расположенных во внутреннем ухе человека.</x:v>
      </x:c>
      <x:c r="N2533" s="30" t="str">
        <x:v>Спиральные ловчие нити покрыты клеем и удерживают добычу, а радиальные каркасные нити не клейкие и служат пауку для движения. В сухом климате клей высыхает. Место добычи определяется по вибрации нитей механорецепторами. Во внутреннем ухе к этой группе относятся волосковые клетки кортиева органа и вестибулярного аппарата.</x:v>
      </x:c>
      <x:c r="O2533" s="30" t="str">
        <x:v>Спиральные ловчие нити покрыты клеем и удерживают добычу, а радиальные каркасные нити не клейкие и служат пауку для движения. В сухом климате клей высыхает. Место добычи определяется по вибрации нитей механорецепторами. Во внутреннем ухе к этой группе относятся волосковые клетки кортиева органа и вестибулярного аппарата.</x:v>
      </x:c>
      <x:c r="P2533" s="30" t="str">
        <x:v>Все обязательные смысловые элементы сопоставлены с официальными критериями оценивания.</x:v>
      </x:c>
      <x:c r="Q2533" s="30"/>
      <x:c r="R2533" s="30" t="str">
        <x:v>Официальные критерии СтатГрад</x:v>
      </x:c>
      <x:c r="S2533" s="30"/>
      <x:c r="T2533" s="30"/>
      <x:c r="U2533" s="30" t="str">
        <x:v>Смешанный вариант: задание соответствует базовому источнику БИ2510502; расхождений не обнаружено.</x:v>
      </x:c>
      <x:c r="V2533" s="87" t="str">
        <x:v>VERIFIED</x:v>
      </x:c>
      <x:c r="W2533" s="87" t="str">
        <x:v>Официальный скан, задание 25</x:v>
      </x:c>
      <x:c r="X2533" s="87"/>
      <x:c r="Y2533" s="87"/>
      <x:c r="Z2533" s="87"/>
      <x:c r="AA2533" s="87"/>
      <x:c r="AB2533" s="87"/>
      <x:c r="AC2533" s="87"/>
      <x:c r="AD2533" s="87"/>
      <x:c r="AE2533" s="87"/>
      <x:c r="AF2533" s="87"/>
      <x:c r="AG2533" s="87"/>
      <x:c r="AH2533" s="87"/>
      <x:c r="AI2533" s="30"/>
      <x:c r="AJ2533" s="87" t="str">
        <x:v>master</x:v>
      </x:c>
      <x:c r="AK2533" s="87" t="str">
        <x:v>master-v0.81</x:v>
      </x:c>
      <x:c r="AL2533" s="87" t="str">
        <x:v>statgrad_master_base_v0_81_final(2).xlsx</x:v>
      </x:c>
      <x:c r="AM2533" s="87" t="str">
        <x:v>BIO_Apr_V4</x:v>
      </x:c>
      <x:c r="AN2533" s="87" t="n">
        <x:v>26</x:v>
      </x:c>
    </x:row>
    <x:row r="2534">
      <x:c r="A2534" s="87" t="n">
        <x:v>2533</x:v>
      </x:c>
      <x:c r="B2534" s="87" t="str">
        <x:v>APR-BIO-V4-026</x:v>
      </x:c>
      <x:c r="C2534" s="87" t="str">
        <x:v>СтатГрад</x:v>
      </x:c>
      <x:c r="D2534" s="87" t="str">
        <x:v>Апрель 2026</x:v>
      </x:c>
      <x:c r="E2534" s="87"/>
      <x:c r="F2534" s="87"/>
      <x:c r="G2534" s="87" t="str">
        <x:v>Биология</x:v>
      </x:c>
      <x:c r="H2534" s="87" t="n">
        <x:v>11</x:v>
      </x:c>
      <x:c r="I2534" s="87" t="str">
        <x:v>ТР №5</x:v>
      </x:c>
      <x:c r="J2534" s="87" t="str">
        <x:v>БИ2510504</x:v>
      </x:c>
      <x:c r="K2534" s="87" t="n">
        <x:v>26</x:v>
      </x:c>
      <x:c r="L2534" s="87" t="str">
        <x:v>Развёрнутый ответ: эволюция/экология</x:v>
      </x:c>
      <x:c r="M2534" s="30" t="str">
        <x:v>В середине XIX века популяция секвойи вечнозелёной (Sequoia sempervirens) подверглась резкому сокращению численности из-за прямого антропогенного воздействия. В результате сформировались изолированные рощи с пониженным генетическим разнообразием. Назовите антропогенное воздействие, приведшее к описанным последствиям. Какое эволюционное явление описано в данной ситуации? Укажите два возможных последствия от снижения генетического разнообразия для популяций секвойи. Почему постепенное восстановление численности за счёт вегетативного размножения секвойи не приводит к росту генетического разнообразия в их популяциях.</x:v>
      </x:c>
      <x:c r="N2534" s="30" t="str">
        <x:v>Причина сокращения — массовая вырубка/фрагментация леса. Описан эффект бутылочного горлышка, то есть дрейф генов. Последствия: риск вымирания, снижение адаптивного потенциала и устойчивости к болезням, рост инбридинга. Вегетативное размножение создаёт генетически одинаковых потомков и не формирует новых комбинаций аллелей.</x:v>
      </x:c>
      <x:c r="O2534" s="30" t="str">
        <x:v>Причина сокращения — массовая вырубка/фрагментация леса. Описан эффект бутылочного горлышка, то есть дрейф генов. Последствия: риск вымирания, снижение адаптивного потенциала и устойчивости к болезням, рост инбридинга. Вегетативное размножение создаёт генетически одинаковых потомков и не формирует новых комбинаций аллелей.</x:v>
      </x:c>
      <x:c r="P2534" s="30" t="str">
        <x:v>Все обязательные смысловые элементы сопоставлены с официальными критериями оценивания.</x:v>
      </x:c>
      <x:c r="Q2534" s="30"/>
      <x:c r="R2534" s="30" t="str">
        <x:v>Официальные критерии СтатГрад</x:v>
      </x:c>
      <x:c r="S2534" s="30"/>
      <x:c r="T2534" s="30"/>
      <x:c r="U2534" s="30" t="str">
        <x:v>Смешанный вариант: задание соответствует базовому источнику БИ2510501; расхождений не обнаружено.</x:v>
      </x:c>
      <x:c r="V2534" s="87" t="str">
        <x:v>VERIFIED</x:v>
      </x:c>
      <x:c r="W2534" s="87" t="str">
        <x:v>Официальный скан, задание 26</x:v>
      </x:c>
      <x:c r="X2534" s="87"/>
      <x:c r="Y2534" s="87"/>
      <x:c r="Z2534" s="87"/>
      <x:c r="AA2534" s="87"/>
      <x:c r="AB2534" s="87"/>
      <x:c r="AC2534" s="87"/>
      <x:c r="AD2534" s="87"/>
      <x:c r="AE2534" s="87"/>
      <x:c r="AF2534" s="87"/>
      <x:c r="AG2534" s="87"/>
      <x:c r="AH2534" s="87"/>
      <x:c r="AI2534" s="30"/>
      <x:c r="AJ2534" s="87" t="str">
        <x:v>master</x:v>
      </x:c>
      <x:c r="AK2534" s="87" t="str">
        <x:v>master-v0.81</x:v>
      </x:c>
      <x:c r="AL2534" s="87" t="str">
        <x:v>statgrad_master_base_v0_81_final(2).xlsx</x:v>
      </x:c>
      <x:c r="AM2534" s="87" t="str">
        <x:v>BIO_Apr_V4</x:v>
      </x:c>
      <x:c r="AN2534" s="87" t="n">
        <x:v>27</x:v>
      </x:c>
    </x:row>
    <x:row r="2535">
      <x:c r="A2535" s="87" t="n">
        <x:v>2534</x:v>
      </x:c>
      <x:c r="B2535" s="87" t="str">
        <x:v>APR-BIO-V4-027</x:v>
      </x:c>
      <x:c r="C2535" s="87" t="str">
        <x:v>СтатГрад</x:v>
      </x:c>
      <x:c r="D2535" s="87" t="str">
        <x:v>Апрель 2026</x:v>
      </x:c>
      <x:c r="E2535" s="87"/>
      <x:c r="F2535" s="87"/>
      <x:c r="G2535" s="87" t="str">
        <x:v>Биология</x:v>
      </x:c>
      <x:c r="H2535" s="87" t="n">
        <x:v>11</x:v>
      </x:c>
      <x:c r="I2535" s="87" t="str">
        <x:v>ТР №5</x:v>
      </x:c>
      <x:c r="J2535" s="87" t="str">
        <x:v>БИ2510504</x:v>
      </x:c>
      <x:c r="K2535" s="87" t="n">
        <x:v>27</x:v>
      </x:c>
      <x:c r="L2535" s="87" t="str">
        <x:v>Развёрнутый ответ: расчёт/молекулярная биология</x:v>
      </x:c>
      <x:c r="M2535" s="30" t="str">
        <x:v>Оттенок карапакса у морских черепах рода логгерхеды контролируется одним геном. Карапакс у доминантных гомозигот ярко-жёлтый с медовым отливом, у гетерозигот – золотисто-оливковый, а у рецессивных гомозигот – серо-зелёный. Обычно логгерхеды возвращаются на тот же пляж, где вылупились 20–30 лет назад, ориентируясь по магнитному полю Земли. В равновесной популяции из 1200 особей 480 имеют серо-зелёный оттенок карапакса. Во время миграции к местам откладки яиц число особей с золотисто-оливковым карапаксом увеличилось на 10 %. Рассчитайте частоту особей с золотисто-оливковым карапаксом и частоты аллелей в изначальной популяции, а также частоты всех фенотипов сразу после увеличения популяции. Поясните ход решения. При расчётах округляйте значения до четвертого знака после запятой.</x:v>
      </x:c>
      <x:c r="N2535" s="30" t="str">
        <x:v>Исходно aa=480/1200=0,4; q=√0,4=0,6325, p=0,3675; частота гетерозигот 2pq=0,4649, AA=p²=0,1351. Число/доля Aa выросла на 10%: 0,4649×1,1=0,5114; общий размер становится 1,0465. После увеличения: aa=0,4/1,0465=0,3822; Aa=0,5114/1,0465=0,4887; AA=0,1351/1,0465=0,1291.</x:v>
      </x:c>
      <x:c r="O2535" s="30" t="str">
        <x:v>Исходно aa=480/1200=0,4; q=√0,4=0,6325, p=0,3675; частота гетерозигот 2pq=0,4649, AA=p²=0,1351. Число/доля Aa выросла на 10%: 0,4649×1,1=0,5114; общий размер становится 1,0465. После увеличения: aa=0,4/1,0465=0,3822; Aa=0,5114/1,0465=0,4887; AA=0,1351/1,0465=0,1291.</x:v>
      </x:c>
      <x:c r="P2535" s="30" t="str">
        <x:v>Все обязательные смысловые элементы сопоставлены с официальными критериями оценивания.</x:v>
      </x:c>
      <x:c r="Q2535" s="30"/>
      <x:c r="R2535" s="30" t="str">
        <x:v>Официальные критерии СтатГрад</x:v>
      </x:c>
      <x:c r="S2535" s="30"/>
      <x:c r="T2535" s="30"/>
      <x:c r="U2535" s="30" t="str">
        <x:v>Смешанный вариант: задание соответствует базовому источнику БИ2510502; расхождений не обнаружено.</x:v>
      </x:c>
      <x:c r="V2535" s="87" t="str">
        <x:v>VERIFIED</x:v>
      </x:c>
      <x:c r="W2535" s="87" t="str">
        <x:v>Официальный скан, задание 27</x:v>
      </x:c>
      <x:c r="X2535" s="87"/>
      <x:c r="Y2535" s="87"/>
      <x:c r="Z2535" s="87"/>
      <x:c r="AA2535" s="87"/>
      <x:c r="AB2535" s="87"/>
      <x:c r="AC2535" s="87"/>
      <x:c r="AD2535" s="87"/>
      <x:c r="AE2535" s="87"/>
      <x:c r="AF2535" s="87"/>
      <x:c r="AG2535" s="87"/>
      <x:c r="AH2535" s="87"/>
      <x:c r="AI2535" s="30"/>
      <x:c r="AJ2535" s="87" t="str">
        <x:v>master</x:v>
      </x:c>
      <x:c r="AK2535" s="87" t="str">
        <x:v>master-v0.81</x:v>
      </x:c>
      <x:c r="AL2535" s="87" t="str">
        <x:v>statgrad_master_base_v0_81_final(2).xlsx</x:v>
      </x:c>
      <x:c r="AM2535" s="87" t="str">
        <x:v>BIO_Apr_V4</x:v>
      </x:c>
      <x:c r="AN2535" s="87" t="n">
        <x:v>28</x:v>
      </x:c>
    </x:row>
    <x:row r="2536">
      <x:c r="A2536" s="87" t="n">
        <x:v>2535</x:v>
      </x:c>
      <x:c r="B2536" s="87" t="str">
        <x:v>APR-BIO-V4-028</x:v>
      </x:c>
      <x:c r="C2536" s="87" t="str">
        <x:v>СтатГрад</x:v>
      </x:c>
      <x:c r="D2536" s="87" t="str">
        <x:v>Апрель 2026</x:v>
      </x:c>
      <x:c r="E2536" s="87"/>
      <x:c r="F2536" s="87"/>
      <x:c r="G2536" s="87" t="str">
        <x:v>Биология</x:v>
      </x:c>
      <x:c r="H2536" s="87" t="n">
        <x:v>11</x:v>
      </x:c>
      <x:c r="I2536" s="87" t="str">
        <x:v>ТР №5</x:v>
      </x:c>
      <x:c r="J2536" s="87" t="str">
        <x:v>БИ2510504</x:v>
      </x:c>
      <x:c r="K2536" s="87" t="n">
        <x:v>28</x:v>
      </x:c>
      <x:c r="L2536" s="87" t="str">
        <x:v>Развёрнутый ответ: генетика</x:v>
      </x:c>
      <x:c r="M2536" s="30" t="str">
        <x:v>На X- и Y-хромосомах человека существуют псевдоаутосомные участки, содержащие аллели одних и тех же генов, между которыми возможен кроссинговер. Один из таких генов (ген SHOX) влияет на рост человека. Гипертрихоз ушных раковин (избыточный рост волос на ушах) наследуется голандрически (по Y-хромосоме). Женщина нормального роста вышла замуж за мужчину низкого роста с гипертрихозом ушных раковин, гомозиготная мать которого была нормального роста. Родившаяся в этом браке дочь низкого роста вышла замуж за мужчину нормального роста без гипертрихоза. Определите генотипы родителей, генотипы, фенотипы и пол возможного потомства. Возможно ли рождение в первом браке ребёнка нормального роста с гипертрихозом ушных раковин? Ответ поясните.</x:v>
      </x:c>
      <x:c r="N2536" s="30" t="str">
        <x:v>Первый брак: ♀ XᵃXᵃ нормального роста × ♂ XᵃYᴬᵇ низкого роста с гипертрихозом. Из-за кроссинговера у отца возможны Xᵃ, Xᴬ, Yᴬᵇ, Yᵃᵇ; дочери XᵃXᵃ нормального роста или XᴬXᵃ низкого роста, сыновья XᵃYᴬᵇ низкого роста с гипертрихозом или XᵃYᵃᵇ нормального роста с гипертрихозом. Второй брак: ♀ XᴬXᵃ × ♂ XᵃYᵃ; возможны дочери и сыновья нормального и низкого роста без гипертрихоза. В первом браке возможен сын нормального роста с гипертрихозом XᵃYᵃᵇ благодаря кроссинговеру в псевдоаутосомном участке.</x:v>
      </x:c>
      <x:c r="O2536" s="30" t="str">
        <x:v>Первый брак: ♀ XᵃXᵃ нормального роста × ♂ XᵃYᴬᵇ низкого роста с гипертрихозом. Из-за кроссинговера у отца возможны Xᵃ, Xᴬ, Yᴬᵇ, Yᵃᵇ; дочери XᵃXᵃ нормального роста или XᴬXᵃ низкого роста, сыновья XᵃYᴬᵇ низкого роста с гипертрихозом или XᵃYᵃᵇ нормального роста с гипертрихозом. Второй брак: ♀ XᴬXᵃ × ♂ XᵃYᵃ; возможны дочери и сыновья нормального и низкого роста без гипертрихоза. В первом браке возможен сын нормального роста с гипертрихозом XᵃYᵃᵇ благодаря кроссинговеру в псевдоаутосомном участке.</x:v>
      </x:c>
      <x:c r="P2536" s="30" t="str">
        <x:v>Все обязательные смысловые элементы сопоставлены с официальными критериями оценивания.</x:v>
      </x:c>
      <x:c r="Q2536" s="30"/>
      <x:c r="R2536" s="30" t="str">
        <x:v>Официальные критерии СтатГрад</x:v>
      </x:c>
      <x:c r="S2536" s="30"/>
      <x:c r="T2536" s="30"/>
      <x:c r="U2536" s="30" t="str">
        <x:v>Смешанный вариант: задание соответствует базовому источнику БИ2510501; расхождений не обнаружено.</x:v>
      </x:c>
      <x:c r="V2536" s="87" t="str">
        <x:v>VERIFIED</x:v>
      </x:c>
      <x:c r="W2536" s="87" t="str">
        <x:v>Официальный скан, задание 28</x:v>
      </x:c>
      <x:c r="X2536" s="87"/>
      <x:c r="Y2536" s="87"/>
      <x:c r="Z2536" s="87"/>
      <x:c r="AA2536" s="87"/>
      <x:c r="AB2536" s="87"/>
      <x:c r="AC2536" s="87"/>
      <x:c r="AD2536" s="87"/>
      <x:c r="AE2536" s="87"/>
      <x:c r="AF2536" s="87"/>
      <x:c r="AG2536" s="87"/>
      <x:c r="AH2536" s="87"/>
      <x:c r="AI2536" s="30"/>
      <x:c r="AJ2536" s="87" t="str">
        <x:v>master</x:v>
      </x:c>
      <x:c r="AK2536" s="87" t="str">
        <x:v>master-v0.81</x:v>
      </x:c>
      <x:c r="AL2536" s="87" t="str">
        <x:v>statgrad_master_base_v0_81_final(2).xlsx</x:v>
      </x:c>
      <x:c r="AM2536" s="87" t="str">
        <x:v>BIO_Apr_V4</x:v>
      </x:c>
      <x:c r="AN2536" s="87" t="n">
        <x:v>29</x:v>
      </x:c>
    </x:row>
    <x:row r="2537">
      <x:c r="A2537" s="87" t="n">
        <x:v>2536</x:v>
      </x:c>
      <x:c r="B2537" s="87" t="str">
        <x:v>APR-CHEM-V1-001</x:v>
      </x:c>
      <x:c r="C2537" s="87" t="str">
        <x:v>СтатГрад</x:v>
      </x:c>
      <x:c r="D2537" s="87" t="str">
        <x:v>Апрель 2026</x:v>
      </x:c>
      <x:c r="E2537" s="87"/>
      <x:c r="F2537" s="87"/>
      <x:c r="G2537" s="87" t="str">
        <x:v>Химия</x:v>
      </x:c>
      <x:c r="H2537" s="87" t="n">
        <x:v>11</x:v>
      </x:c>
      <x:c r="I2537" s="87" t="str">
        <x:v>ТР №5</x:v>
      </x:c>
      <x:c r="J2537" s="87" t="str">
        <x:v>ХИ2510501</x:v>
      </x:c>
      <x:c r="K2537" s="87" t="n">
        <x:v>1</x:v>
      </x:c>
      <x:c r="L2537" s="87" t="str">
        <x:v>Строение атома</x:v>
      </x:c>
      <x:c r="M2537" s="30" t="str">
        <x:v>Для ряда Na, N, Si, Fe, Mg выбрать два элемента с одинаковым числом электронов на внешнем уровне.</x:v>
      </x:c>
      <x:c r="N2537" s="30" t="str">
        <x:v>45</x:v>
      </x:c>
      <x:c r="O2537" s="30" t="str">
        <x:v>У Fe и Mg на внешнем энергетическом уровне по два электрона.</x:v>
      </x:c>
      <x:c r="P2537" s="30" t="str">
        <x:v>У Fe и Mg на внешнем энергетическом уровне по два электрона.</x:v>
      </x:c>
      <x:c r="Q2537" s="30"/>
      <x:c r="R2537" s="30" t="str">
        <x:v>Фото-сводка ответов + Zadanie_KhI11_27042026.pdf + независимое решение</x:v>
      </x:c>
      <x:c r="S2537" s="30"/>
      <x:c r="T2537" s="30"/>
      <x:c r="U2537" s="30" t="str">
        <x:v>Расхождений не обнаружено.</x:v>
      </x:c>
      <x:c r="V2537" s="87" t="str">
        <x:v>VERIFIED</x:v>
      </x:c>
      <x:c r="W2537" s="87" t="str">
        <x:v>Zadanie_KhI11_27042026.pdf, внутренняя стр. 2</x:v>
      </x:c>
      <x:c r="X2537" s="87"/>
      <x:c r="Y2537" s="87"/>
      <x:c r="Z2537" s="87"/>
      <x:c r="AA2537" s="87"/>
      <x:c r="AB2537" s="87"/>
      <x:c r="AC2537" s="87"/>
      <x:c r="AD2537" s="87"/>
      <x:c r="AE2537" s="87"/>
      <x:c r="AF2537" s="87"/>
      <x:c r="AG2537" s="87"/>
      <x:c r="AH2537" s="87"/>
      <x:c r="AI2537" s="30"/>
      <x:c r="AJ2537" s="87" t="str">
        <x:v>master</x:v>
      </x:c>
      <x:c r="AK2537" s="87" t="str">
        <x:v>master-v0.81</x:v>
      </x:c>
      <x:c r="AL2537" s="87" t="str">
        <x:v>statgrad_master_base_v0_81_final(2).xlsx</x:v>
      </x:c>
      <x:c r="AM2537" s="87" t="str">
        <x:v>CHEM_Apr_V1</x:v>
      </x:c>
      <x:c r="AN2537" s="87" t="n">
        <x:v>2</x:v>
      </x:c>
    </x:row>
    <x:row r="2538">
      <x:c r="A2538" s="87" t="n">
        <x:v>2537</x:v>
      </x:c>
      <x:c r="B2538" s="87" t="str">
        <x:v>APR-CHEM-V1-002</x:v>
      </x:c>
      <x:c r="C2538" s="87" t="str">
        <x:v>СтатГрад</x:v>
      </x:c>
      <x:c r="D2538" s="87" t="str">
        <x:v>Апрель 2026</x:v>
      </x:c>
      <x:c r="E2538" s="87"/>
      <x:c r="F2538" s="87"/>
      <x:c r="G2538" s="87" t="str">
        <x:v>Химия</x:v>
      </x:c>
      <x:c r="H2538" s="87" t="n">
        <x:v>11</x:v>
      </x:c>
      <x:c r="I2538" s="87" t="str">
        <x:v>ТР №5</x:v>
      </x:c>
      <x:c r="J2538" s="87" t="str">
        <x:v>ХИ2510501</x:v>
      </x:c>
      <x:c r="K2538" s="87" t="n">
        <x:v>2</x:v>
      </x:c>
      <x:c r="L2538" s="87" t="str">
        <x:v>Периодические свойства</x:v>
      </x:c>
      <x:c r="M2538" s="30" t="str">
        <x:v>Из Na, N, Si, Fe, Mg выбрать металлы и расположить по возрастанию высшей степени окисления.</x:v>
      </x:c>
      <x:c r="N2538" s="30" t="str">
        <x:v>154</x:v>
      </x:c>
      <x:c r="O2538" s="30" t="str">
        <x:v>Na: +1; Mg: +2; Fe: +6, поэтому 1→5→4.</x:v>
      </x:c>
      <x:c r="P2538" s="30" t="str">
        <x:v>Na: +1; Mg: +2; Fe: +6, поэтому 1→5→4.</x:v>
      </x:c>
      <x:c r="Q2538" s="30"/>
      <x:c r="R2538" s="30" t="str">
        <x:v>Фото-сводка ответов + Zadanie_KhI11_27042026.pdf + независимое решение</x:v>
      </x:c>
      <x:c r="S2538" s="30"/>
      <x:c r="T2538" s="30"/>
      <x:c r="U2538" s="30" t="str">
        <x:v>Расхождений не обнаружено.</x:v>
      </x:c>
      <x:c r="V2538" s="87" t="str">
        <x:v>VERIFIED</x:v>
      </x:c>
      <x:c r="W2538" s="87" t="str">
        <x:v>Zadanie_KhI11_27042026.pdf, внутренняя стр. 2</x:v>
      </x:c>
      <x:c r="X2538" s="87"/>
      <x:c r="Y2538" s="87"/>
      <x:c r="Z2538" s="87"/>
      <x:c r="AA2538" s="87"/>
      <x:c r="AB2538" s="87"/>
      <x:c r="AC2538" s="87"/>
      <x:c r="AD2538" s="87"/>
      <x:c r="AE2538" s="87"/>
      <x:c r="AF2538" s="87"/>
      <x:c r="AG2538" s="87"/>
      <x:c r="AH2538" s="87"/>
      <x:c r="AI2538" s="30"/>
      <x:c r="AJ2538" s="87" t="str">
        <x:v>master</x:v>
      </x:c>
      <x:c r="AK2538" s="87" t="str">
        <x:v>master-v0.81</x:v>
      </x:c>
      <x:c r="AL2538" s="87" t="str">
        <x:v>statgrad_master_base_v0_81_final(2).xlsx</x:v>
      </x:c>
      <x:c r="AM2538" s="87" t="str">
        <x:v>CHEM_Apr_V1</x:v>
      </x:c>
      <x:c r="AN2538" s="87" t="n">
        <x:v>3</x:v>
      </x:c>
    </x:row>
    <x:row r="2539">
      <x:c r="A2539" s="87" t="n">
        <x:v>2538</x:v>
      </x:c>
      <x:c r="B2539" s="87" t="str">
        <x:v>APR-CHEM-V1-003</x:v>
      </x:c>
      <x:c r="C2539" s="87" t="str">
        <x:v>СтатГрад</x:v>
      </x:c>
      <x:c r="D2539" s="87" t="str">
        <x:v>Апрель 2026</x:v>
      </x:c>
      <x:c r="E2539" s="87"/>
      <x:c r="F2539" s="87"/>
      <x:c r="G2539" s="87" t="str">
        <x:v>Химия</x:v>
      </x:c>
      <x:c r="H2539" s="87" t="n">
        <x:v>11</x:v>
      </x:c>
      <x:c r="I2539" s="87" t="str">
        <x:v>ТР №5</x:v>
      </x:c>
      <x:c r="J2539" s="87" t="str">
        <x:v>ХИ2510501</x:v>
      </x:c>
      <x:c r="K2539" s="87" t="n">
        <x:v>3</x:v>
      </x:c>
      <x:c r="L2539" s="87" t="str">
        <x:v>Оксиды</x:v>
      </x:c>
      <x:c r="M2539" s="30" t="str">
        <x:v>Из Na, N, Si, Fe, Mg выбрать элементы, образующие оксид XO₂.</x:v>
      </x:c>
      <x:c r="N2539" s="30" t="str">
        <x:v>23</x:v>
      </x:c>
      <x:c r="O2539" s="30" t="str">
        <x:v>Азот образует NO₂, кремний — SiO₂.</x:v>
      </x:c>
      <x:c r="P2539" s="30" t="str">
        <x:v>Азот образует NO₂, кремний — SiO₂.</x:v>
      </x:c>
      <x:c r="Q2539" s="30"/>
      <x:c r="R2539" s="30" t="str">
        <x:v>Фото-сводка ответов + Zadanie_KhI11_27042026.pdf + независимое решение</x:v>
      </x:c>
      <x:c r="S2539" s="30"/>
      <x:c r="T2539" s="30"/>
      <x:c r="U2539" s="30" t="str">
        <x:v>Расхождений не обнаружено.</x:v>
      </x:c>
      <x:c r="V2539" s="87" t="str">
        <x:v>VERIFIED</x:v>
      </x:c>
      <x:c r="W2539" s="87" t="str">
        <x:v>Zadanie_KhI11_27042026.pdf, внутренняя стр. 2</x:v>
      </x:c>
      <x:c r="X2539" s="87"/>
      <x:c r="Y2539" s="87"/>
      <x:c r="Z2539" s="87"/>
      <x:c r="AA2539" s="87"/>
      <x:c r="AB2539" s="87"/>
      <x:c r="AC2539" s="87"/>
      <x:c r="AD2539" s="87"/>
      <x:c r="AE2539" s="87"/>
      <x:c r="AF2539" s="87"/>
      <x:c r="AG2539" s="87"/>
      <x:c r="AH2539" s="87"/>
      <x:c r="AI2539" s="30"/>
      <x:c r="AJ2539" s="87" t="str">
        <x:v>master</x:v>
      </x:c>
      <x:c r="AK2539" s="87" t="str">
        <x:v>master-v0.81</x:v>
      </x:c>
      <x:c r="AL2539" s="87" t="str">
        <x:v>statgrad_master_base_v0_81_final(2).xlsx</x:v>
      </x:c>
      <x:c r="AM2539" s="87" t="str">
        <x:v>CHEM_Apr_V1</x:v>
      </x:c>
      <x:c r="AN2539" s="87" t="n">
        <x:v>4</x:v>
      </x:c>
    </x:row>
    <x:row r="2540">
      <x:c r="A2540" s="87" t="n">
        <x:v>2539</x:v>
      </x:c>
      <x:c r="B2540" s="87" t="str">
        <x:v>APR-CHEM-V1-004</x:v>
      </x:c>
      <x:c r="C2540" s="87" t="str">
        <x:v>СтатГрад</x:v>
      </x:c>
      <x:c r="D2540" s="87" t="str">
        <x:v>Апрель 2026</x:v>
      </x:c>
      <x:c r="E2540" s="87"/>
      <x:c r="F2540" s="87"/>
      <x:c r="G2540" s="87" t="str">
        <x:v>Химия</x:v>
      </x:c>
      <x:c r="H2540" s="87" t="n">
        <x:v>11</x:v>
      </x:c>
      <x:c r="I2540" s="87" t="str">
        <x:v>ТР №5</x:v>
      </x:c>
      <x:c r="J2540" s="87" t="str">
        <x:v>ХИ2510501</x:v>
      </x:c>
      <x:c r="K2540" s="87" t="n">
        <x:v>4</x:v>
      </x:c>
      <x:c r="L2540" s="87" t="str">
        <x:v>Водородная связь</x:v>
      </x:c>
      <x:c r="M2540" s="30" t="str">
        <x:v>Выбрать вещества с водородными связями: CH₃OCH₃, HOCH₂CH₂OH, CH₃CH₃, HF, H₂.</x:v>
      </x:c>
      <x:c r="N2540" s="30" t="str">
        <x:v>24</x:v>
      </x:c>
      <x:c r="O2540" s="30" t="str">
        <x:v>Связь возникает у этиленгликоля из-за O–H и у HF из-за H–F.</x:v>
      </x:c>
      <x:c r="P2540" s="30" t="str">
        <x:v>Связь возникает у этиленгликоля из-за O–H и у HF из-за H–F.</x:v>
      </x:c>
      <x:c r="Q2540" s="30"/>
      <x:c r="R2540" s="30" t="str">
        <x:v>Фото-сводка ответов + Zadanie_KhI11_27042026.pdf + независимое решение</x:v>
      </x:c>
      <x:c r="S2540" s="30"/>
      <x:c r="T2540" s="30"/>
      <x:c r="U2540" s="30" t="str">
        <x:v>Расхождений не обнаружено.</x:v>
      </x:c>
      <x:c r="V2540" s="87" t="str">
        <x:v>VERIFIED</x:v>
      </x:c>
      <x:c r="W2540" s="87" t="str">
        <x:v>Zadanie_KhI11_27042026.pdf, внутренняя стр. 3</x:v>
      </x:c>
      <x:c r="X2540" s="87"/>
      <x:c r="Y2540" s="87"/>
      <x:c r="Z2540" s="87"/>
      <x:c r="AA2540" s="87"/>
      <x:c r="AB2540" s="87"/>
      <x:c r="AC2540" s="87"/>
      <x:c r="AD2540" s="87"/>
      <x:c r="AE2540" s="87"/>
      <x:c r="AF2540" s="87"/>
      <x:c r="AG2540" s="87"/>
      <x:c r="AH2540" s="87"/>
      <x:c r="AI2540" s="30"/>
      <x:c r="AJ2540" s="87" t="str">
        <x:v>master</x:v>
      </x:c>
      <x:c r="AK2540" s="87" t="str">
        <x:v>master-v0.81</x:v>
      </x:c>
      <x:c r="AL2540" s="87" t="str">
        <x:v>statgrad_master_base_v0_81_final(2).xlsx</x:v>
      </x:c>
      <x:c r="AM2540" s="87" t="str">
        <x:v>CHEM_Apr_V1</x:v>
      </x:c>
      <x:c r="AN2540" s="87" t="n">
        <x:v>5</x:v>
      </x:c>
    </x:row>
    <x:row r="2541">
      <x:c r="A2541" s="87" t="n">
        <x:v>2540</x:v>
      </x:c>
      <x:c r="B2541" s="87" t="str">
        <x:v>APR-CHEM-V1-005</x:v>
      </x:c>
      <x:c r="C2541" s="87" t="str">
        <x:v>СтатГрад</x:v>
      </x:c>
      <x:c r="D2541" s="87" t="str">
        <x:v>Апрель 2026</x:v>
      </x:c>
      <x:c r="E2541" s="87"/>
      <x:c r="F2541" s="87"/>
      <x:c r="G2541" s="87" t="str">
        <x:v>Химия</x:v>
      </x:c>
      <x:c r="H2541" s="87" t="n">
        <x:v>11</x:v>
      </x:c>
      <x:c r="I2541" s="87" t="str">
        <x:v>ТР №5</x:v>
      </x:c>
      <x:c r="J2541" s="87" t="str">
        <x:v>ХИ2510501</x:v>
      </x:c>
      <x:c r="K2541" s="87" t="n">
        <x:v>5</x:v>
      </x:c>
      <x:c r="L2541" s="87" t="str">
        <x:v>Классификация веществ</x:v>
      </x:c>
      <x:c r="M2541" s="30" t="str">
        <x:v>По таблице формул выбрать кислотный оксид, среднюю соль и одноосновную кислоту.</x:v>
      </x:c>
      <x:c r="N2541" s="30" t="str">
        <x:v>796</x:v>
      </x:c>
      <x:c r="O2541" s="30" t="str">
        <x:v>Mn₂O₇ — кислотный оксид; HCOOK — средняя соль; H₃PO₂ — одноосновная кислота.</x:v>
      </x:c>
      <x:c r="P2541" s="30" t="str">
        <x:v>Mn₂O₇ — кислотный оксид; HCOOK — средняя соль; H₃PO₂ — одноосновная кислота.</x:v>
      </x:c>
      <x:c r="Q2541" s="30"/>
      <x:c r="R2541" s="30" t="str">
        <x:v>Фото-сводка ответов + Zadanie_KhI11_27042026.pdf + независимое решение</x:v>
      </x:c>
      <x:c r="S2541" s="30"/>
      <x:c r="T2541" s="30"/>
      <x:c r="U2541" s="30" t="str">
        <x:v>Расхождений не обнаружено.</x:v>
      </x:c>
      <x:c r="V2541" s="87" t="str">
        <x:v>VERIFIED</x:v>
      </x:c>
      <x:c r="W2541" s="87" t="str">
        <x:v>Zadanie_KhI11_27042026.pdf, внутренняя стр. 3</x:v>
      </x:c>
      <x:c r="X2541" s="87"/>
      <x:c r="Y2541" s="87"/>
      <x:c r="Z2541" s="87"/>
      <x:c r="AA2541" s="87"/>
      <x:c r="AB2541" s="87"/>
      <x:c r="AC2541" s="87"/>
      <x:c r="AD2541" s="87"/>
      <x:c r="AE2541" s="87"/>
      <x:c r="AF2541" s="87"/>
      <x:c r="AG2541" s="87"/>
      <x:c r="AH2541" s="87"/>
      <x:c r="AI2541" s="30"/>
      <x:c r="AJ2541" s="87" t="str">
        <x:v>master</x:v>
      </x:c>
      <x:c r="AK2541" s="87" t="str">
        <x:v>master-v0.81</x:v>
      </x:c>
      <x:c r="AL2541" s="87" t="str">
        <x:v>statgrad_master_base_v0_81_final(2).xlsx</x:v>
      </x:c>
      <x:c r="AM2541" s="87" t="str">
        <x:v>CHEM_Apr_V1</x:v>
      </x:c>
      <x:c r="AN2541" s="87" t="n">
        <x:v>6</x:v>
      </x:c>
    </x:row>
    <x:row r="2542">
      <x:c r="A2542" s="87" t="n">
        <x:v>2541</x:v>
      </x:c>
      <x:c r="B2542" s="87" t="str">
        <x:v>APR-CHEM-V1-006</x:v>
      </x:c>
      <x:c r="C2542" s="87" t="str">
        <x:v>СтатГрад</x:v>
      </x:c>
      <x:c r="D2542" s="87" t="str">
        <x:v>Апрель 2026</x:v>
      </x:c>
      <x:c r="E2542" s="87"/>
      <x:c r="F2542" s="87"/>
      <x:c r="G2542" s="87" t="str">
        <x:v>Химия</x:v>
      </x:c>
      <x:c r="H2542" s="87" t="n">
        <x:v>11</x:v>
      </x:c>
      <x:c r="I2542" s="87" t="str">
        <x:v>ТР №5</x:v>
      </x:c>
      <x:c r="J2542" s="87" t="str">
        <x:v>ХИ2510501</x:v>
      </x:c>
      <x:c r="K2542" s="87" t="n">
        <x:v>6</x:v>
      </x:c>
      <x:c r="L2542" s="87" t="str">
        <x:v>Качественные реакции</x:v>
      </x:c>
      <x:c r="M2542" s="30" t="str">
        <x:v>К раствору KHSO₄ добавить твёрдое X с выделением газа и раствор Y с образованием белого осадка.</x:v>
      </x:c>
      <x:c r="N2542" s="30" t="str">
        <x:v>4; 5</x:v>
      </x:c>
      <x:c r="O2542" s="30" t="str">
        <x:v>Mg вытесняет H₂ из кислой среды; BaCl₂ осаждает BaSO₄.</x:v>
      </x:c>
      <x:c r="P2542" s="30" t="str">
        <x:v>Уравнения: Mg+2H⁺→Mg²⁺+H₂; Ba²⁺+SO₄²⁻→BaSO₄↓.</x:v>
      </x:c>
      <x:c r="Q2542" s="30"/>
      <x:c r="R2542" s="30" t="str">
        <x:v>Фото-сводка ответов + Zadanie_KhI11_27042026.pdf + независимое решение</x:v>
      </x:c>
      <x:c r="S2542" s="30"/>
      <x:c r="T2542" s="30"/>
      <x:c r="U2542" s="30" t="str">
        <x:v>Расхождений не обнаружено.</x:v>
      </x:c>
      <x:c r="V2542" s="87" t="str">
        <x:v>VERIFIED</x:v>
      </x:c>
      <x:c r="W2542" s="87" t="str">
        <x:v>Zadanie_KhI11_27042026.pdf, внутренняя стр. 4</x:v>
      </x:c>
      <x:c r="X2542" s="87"/>
      <x:c r="Y2542" s="87"/>
      <x:c r="Z2542" s="87"/>
      <x:c r="AA2542" s="87"/>
      <x:c r="AB2542" s="87"/>
      <x:c r="AC2542" s="87"/>
      <x:c r="AD2542" s="87"/>
      <x:c r="AE2542" s="87"/>
      <x:c r="AF2542" s="87"/>
      <x:c r="AG2542" s="87"/>
      <x:c r="AH2542" s="87"/>
      <x:c r="AI2542" s="30"/>
      <x:c r="AJ2542" s="87" t="str">
        <x:v>master</x:v>
      </x:c>
      <x:c r="AK2542" s="87" t="str">
        <x:v>master-v0.81</x:v>
      </x:c>
      <x:c r="AL2542" s="87" t="str">
        <x:v>statgrad_master_base_v0_81_final(2).xlsx</x:v>
      </x:c>
      <x:c r="AM2542" s="87" t="str">
        <x:v>CHEM_Apr_V1</x:v>
      </x:c>
      <x:c r="AN2542" s="87" t="n">
        <x:v>7</x:v>
      </x:c>
    </x:row>
    <x:row r="2543">
      <x:c r="A2543" s="87" t="n">
        <x:v>2542</x:v>
      </x:c>
      <x:c r="B2543" s="87" t="str">
        <x:v>APR-CHEM-V1-007</x:v>
      </x:c>
      <x:c r="C2543" s="87" t="str">
        <x:v>СтатГрад</x:v>
      </x:c>
      <x:c r="D2543" s="87" t="str">
        <x:v>Апрель 2026</x:v>
      </x:c>
      <x:c r="E2543" s="87"/>
      <x:c r="F2543" s="87"/>
      <x:c r="G2543" s="87" t="str">
        <x:v>Химия</x:v>
      </x:c>
      <x:c r="H2543" s="87" t="n">
        <x:v>11</x:v>
      </x:c>
      <x:c r="I2543" s="87" t="str">
        <x:v>ТР №5</x:v>
      </x:c>
      <x:c r="J2543" s="87" t="str">
        <x:v>ХИ2510501</x:v>
      </x:c>
      <x:c r="K2543" s="87" t="n">
        <x:v>7</x:v>
      </x:c>
      <x:c r="L2543" s="87" t="str">
        <x:v>Химические свойства неорганических веществ</x:v>
      </x:c>
      <x:c r="M2543" s="30" t="str">
        <x:v>Соотнести Al, Cl₂, HF, NH₃ с наборами реагентов, с каждым из которых вещество взаимодействует.</x:v>
      </x:c>
      <x:c r="N2543" s="30" t="str">
        <x:v>4521</x:v>
      </x:c>
      <x:c r="O2543" s="30" t="str">
        <x:v>Al реагирует с KOH/HNO₃/O₂; Cl₂ — с Cu/P₄/HI; HF — с KOH/SiO₂/Zn; NH₃ — с HCl/HNO₃/AgCl.</x:v>
      </x:c>
      <x:c r="P2543" s="30" t="str">
        <x:v>Al реагирует с KOH/HNO₃/O₂; Cl₂ — с Cu/P₄/HI; HF — с KOH/SiO₂/Zn; NH₃ — с HCl/HNO₃/AgCl.</x:v>
      </x:c>
      <x:c r="Q2543" s="30"/>
      <x:c r="R2543" s="30" t="str">
        <x:v>Kriterii_KhI11_27042026.pdf: таблица ответов + фото-сводка + независимая проверка</x:v>
      </x:c>
      <x:c r="S2543" s="30"/>
      <x:c r="T2543" s="30"/>
      <x:c r="U2543" s="30" t="str">
        <x:v>Расхождений не обнаружено.</x:v>
      </x:c>
      <x:c r="V2543" s="87" t="str">
        <x:v>VERIFIED</x:v>
      </x:c>
      <x:c r="W2543" s="87" t="str">
        <x:v>Zadanie_KhI11_27042026.pdf, внутренняя стр. 4</x:v>
      </x:c>
      <x:c r="X2543" s="87"/>
      <x:c r="Y2543" s="87"/>
      <x:c r="Z2543" s="87"/>
      <x:c r="AA2543" s="87"/>
      <x:c r="AB2543" s="87"/>
      <x:c r="AC2543" s="87"/>
      <x:c r="AD2543" s="87"/>
      <x:c r="AE2543" s="87"/>
      <x:c r="AF2543" s="87"/>
      <x:c r="AG2543" s="87"/>
      <x:c r="AH2543" s="87"/>
      <x:c r="AI2543" s="30"/>
      <x:c r="AJ2543" s="87" t="str">
        <x:v>master</x:v>
      </x:c>
      <x:c r="AK2543" s="87" t="str">
        <x:v>master-v0.81</x:v>
      </x:c>
      <x:c r="AL2543" s="87" t="str">
        <x:v>statgrad_master_base_v0_81_final(2).xlsx</x:v>
      </x:c>
      <x:c r="AM2543" s="87" t="str">
        <x:v>CHEM_Apr_V1</x:v>
      </x:c>
      <x:c r="AN2543" s="87" t="n">
        <x:v>8</x:v>
      </x:c>
    </x:row>
    <x:row r="2544">
      <x:c r="A2544" s="87" t="n">
        <x:v>2543</x:v>
      </x:c>
      <x:c r="B2544" s="87" t="str">
        <x:v>APR-CHEM-V1-008</x:v>
      </x:c>
      <x:c r="C2544" s="87" t="str">
        <x:v>СтатГрад</x:v>
      </x:c>
      <x:c r="D2544" s="87" t="str">
        <x:v>Апрель 2026</x:v>
      </x:c>
      <x:c r="E2544" s="87"/>
      <x:c r="F2544" s="87"/>
      <x:c r="G2544" s="87" t="str">
        <x:v>Химия</x:v>
      </x:c>
      <x:c r="H2544" s="87" t="n">
        <x:v>11</x:v>
      </x:c>
      <x:c r="I2544" s="87" t="str">
        <x:v>ТР №5</x:v>
      </x:c>
      <x:c r="J2544" s="87" t="str">
        <x:v>ХИ2510501</x:v>
      </x:c>
      <x:c r="K2544" s="87" t="n">
        <x:v>8</x:v>
      </x:c>
      <x:c r="L2544" s="87" t="str">
        <x:v>Неорганические реакции</x:v>
      </x:c>
      <x:c r="M2544" s="30" t="str">
        <x:v>Соотнести FeCl₃+H₂S, FeCl₂+(NH₄)₂S, FeO+H₂SO₄(разб.), FeO+H₂SO₄(конц.) с продуктами.</x:v>
      </x:c>
      <x:c r="N2544" s="30" t="str">
        <x:v>1264</x:v>
      </x:c>
      <x:c r="O2544" s="30" t="str">
        <x:v>Получаются соответственно FeCl₂+S; FeS; FeSO₄; Fe₂(SO₄)₃+SO₂.</x:v>
      </x:c>
      <x:c r="P2544" s="30" t="str">
        <x:v>Получаются соответственно FeCl₂+S; FeS; FeSO₄; Fe₂(SO₄)₃+SO₂.</x:v>
      </x:c>
      <x:c r="Q2544" s="30"/>
      <x:c r="R2544" s="30" t="str">
        <x:v>Kriterii_KhI11_27042026.pdf: таблица ответов + фото-сводка + независимая проверка</x:v>
      </x:c>
      <x:c r="S2544" s="30"/>
      <x:c r="T2544" s="30"/>
      <x:c r="U2544" s="30" t="str">
        <x:v>Расхождений не обнаружено.</x:v>
      </x:c>
      <x:c r="V2544" s="87" t="str">
        <x:v>VERIFIED</x:v>
      </x:c>
      <x:c r="W2544" s="87" t="str">
        <x:v>Zadanie_KhI11_27042026.pdf, внутренняя стр. 5</x:v>
      </x:c>
      <x:c r="X2544" s="87"/>
      <x:c r="Y2544" s="87"/>
      <x:c r="Z2544" s="87"/>
      <x:c r="AA2544" s="87"/>
      <x:c r="AB2544" s="87"/>
      <x:c r="AC2544" s="87"/>
      <x:c r="AD2544" s="87"/>
      <x:c r="AE2544" s="87"/>
      <x:c r="AF2544" s="87"/>
      <x:c r="AG2544" s="87"/>
      <x:c r="AH2544" s="87"/>
      <x:c r="AI2544" s="30"/>
      <x:c r="AJ2544" s="87" t="str">
        <x:v>master</x:v>
      </x:c>
      <x:c r="AK2544" s="87" t="str">
        <x:v>master-v0.81</x:v>
      </x:c>
      <x:c r="AL2544" s="87" t="str">
        <x:v>statgrad_master_base_v0_81_final(2).xlsx</x:v>
      </x:c>
      <x:c r="AM2544" s="87" t="str">
        <x:v>CHEM_Apr_V1</x:v>
      </x:c>
      <x:c r="AN2544" s="87" t="n">
        <x:v>9</x:v>
      </x:c>
    </x:row>
    <x:row r="2545">
      <x:c r="A2545" s="87" t="n">
        <x:v>2544</x:v>
      </x:c>
      <x:c r="B2545" s="87" t="str">
        <x:v>APR-CHEM-V1-009</x:v>
      </x:c>
      <x:c r="C2545" s="87" t="str">
        <x:v>СтатГрад</x:v>
      </x:c>
      <x:c r="D2545" s="87" t="str">
        <x:v>Апрель 2026</x:v>
      </x:c>
      <x:c r="E2545" s="87"/>
      <x:c r="F2545" s="87"/>
      <x:c r="G2545" s="87" t="str">
        <x:v>Химия</x:v>
      </x:c>
      <x:c r="H2545" s="87" t="n">
        <x:v>11</x:v>
      </x:c>
      <x:c r="I2545" s="87" t="str">
        <x:v>ТР №5</x:v>
      </x:c>
      <x:c r="J2545" s="87" t="str">
        <x:v>ХИ2510501</x:v>
      </x:c>
      <x:c r="K2545" s="87" t="n">
        <x:v>9</x:v>
      </x:c>
      <x:c r="L2545" s="87" t="str">
        <x:v>Цепочка превращений</x:v>
      </x:c>
      <x:c r="M2545" s="30" t="str">
        <x:v>В схеме X + HBr → Br₂; Br₂ + Y(р-р), t → KBrO₃ определить X и Y.</x:v>
      </x:c>
      <x:c r="N2545" s="30" t="str">
        <x:v>35</x:v>
      </x:c>
      <x:c r="O2545" s="30" t="str">
        <x:v>MnO₂ окисляет Br⁻ до Br₂; в горячем растворе K₂CO₃ бром диспропорционирует с образованием KBrO₃.</x:v>
      </x:c>
      <x:c r="P2545" s="30" t="str">
        <x:v>MnO₂ окисляет Br⁻ до Br₂; в горячем растворе K₂CO₃ бром диспропорционирует с образованием KBrO₃.</x:v>
      </x:c>
      <x:c r="Q2545" s="30"/>
      <x:c r="R2545" s="30" t="str">
        <x:v>Фото-сводка ответов + Zadanie_KhI11_27042026.pdf + независимое решение</x:v>
      </x:c>
      <x:c r="S2545" s="30"/>
      <x:c r="T2545" s="30"/>
      <x:c r="U2545" s="30" t="str">
        <x:v>Расхождений не обнаружено.</x:v>
      </x:c>
      <x:c r="V2545" s="87" t="str">
        <x:v>VERIFIED</x:v>
      </x:c>
      <x:c r="W2545" s="87" t="str">
        <x:v>Zadanie_KhI11_27042026.pdf, внутренняя стр. 5</x:v>
      </x:c>
      <x:c r="X2545" s="87"/>
      <x:c r="Y2545" s="87"/>
      <x:c r="Z2545" s="87"/>
      <x:c r="AA2545" s="87"/>
      <x:c r="AB2545" s="87"/>
      <x:c r="AC2545" s="87"/>
      <x:c r="AD2545" s="87"/>
      <x:c r="AE2545" s="87"/>
      <x:c r="AF2545" s="87"/>
      <x:c r="AG2545" s="87"/>
      <x:c r="AH2545" s="87"/>
      <x:c r="AI2545" s="30"/>
      <x:c r="AJ2545" s="87" t="str">
        <x:v>master</x:v>
      </x:c>
      <x:c r="AK2545" s="87" t="str">
        <x:v>master-v0.81</x:v>
      </x:c>
      <x:c r="AL2545" s="87" t="str">
        <x:v>statgrad_master_base_v0_81_final(2).xlsx</x:v>
      </x:c>
      <x:c r="AM2545" s="87" t="str">
        <x:v>CHEM_Apr_V1</x:v>
      </x:c>
      <x:c r="AN2545" s="87" t="n">
        <x:v>10</x:v>
      </x:c>
    </x:row>
    <x:row r="2546">
      <x:c r="A2546" s="87" t="n">
        <x:v>2545</x:v>
      </x:c>
      <x:c r="B2546" s="87" t="str">
        <x:v>APR-CHEM-V1-010</x:v>
      </x:c>
      <x:c r="C2546" s="87" t="str">
        <x:v>СтатГрад</x:v>
      </x:c>
      <x:c r="D2546" s="87" t="str">
        <x:v>Апрель 2026</x:v>
      </x:c>
      <x:c r="E2546" s="87"/>
      <x:c r="F2546" s="87"/>
      <x:c r="G2546" s="87" t="str">
        <x:v>Химия</x:v>
      </x:c>
      <x:c r="H2546" s="87" t="n">
        <x:v>11</x:v>
      </x:c>
      <x:c r="I2546" s="87" t="str">
        <x:v>ТР №5</x:v>
      </x:c>
      <x:c r="J2546" s="87" t="str">
        <x:v>ХИ2510501</x:v>
      </x:c>
      <x:c r="K2546" s="87" t="n">
        <x:v>10</x:v>
      </x:c>
      <x:c r="L2546" s="87" t="str">
        <x:v>Классы органических соединений</x:v>
      </x:c>
      <x:c r="M2546" s="30" t="str">
        <x:v>Соотнести бензамид, 1-фенилэтиламин и нитробензол с классами соединений.</x:v>
      </x:c>
      <x:c r="N2546" s="30" t="str">
        <x:v>321</x:v>
      </x:c>
      <x:c r="O2546" s="30" t="str">
        <x:v>Бензамид — амид кислоты; 1-фенилэтиламин — первичный амин; нитробензол — нитросоединение.</x:v>
      </x:c>
      <x:c r="P2546" s="30" t="str">
        <x:v>Бензамид — амид кислоты; 1-фенилэтиламин — первичный амин; нитробензол — нитросоединение.</x:v>
      </x:c>
      <x:c r="Q2546" s="30"/>
      <x:c r="R2546" s="30" t="str">
        <x:v>Фото-сводка ответов + Zadanie_KhI11_27042026.pdf + независимое решение</x:v>
      </x:c>
      <x:c r="S2546" s="30"/>
      <x:c r="T2546" s="30"/>
      <x:c r="U2546" s="30" t="str">
        <x:v>Расхождений не обнаружено.</x:v>
      </x:c>
      <x:c r="V2546" s="87" t="str">
        <x:v>VERIFIED</x:v>
      </x:c>
      <x:c r="W2546" s="87" t="str">
        <x:v>Zadanie_KhI11_27042026.pdf, внутренняя стр. 6</x:v>
      </x:c>
      <x:c r="X2546" s="87"/>
      <x:c r="Y2546" s="87"/>
      <x:c r="Z2546" s="87"/>
      <x:c r="AA2546" s="87"/>
      <x:c r="AB2546" s="87"/>
      <x:c r="AC2546" s="87"/>
      <x:c r="AD2546" s="87"/>
      <x:c r="AE2546" s="87"/>
      <x:c r="AF2546" s="87"/>
      <x:c r="AG2546" s="87"/>
      <x:c r="AH2546" s="87"/>
      <x:c r="AI2546" s="30"/>
      <x:c r="AJ2546" s="87" t="str">
        <x:v>master</x:v>
      </x:c>
      <x:c r="AK2546" s="87" t="str">
        <x:v>master-v0.81</x:v>
      </x:c>
      <x:c r="AL2546" s="87" t="str">
        <x:v>statgrad_master_base_v0_81_final(2).xlsx</x:v>
      </x:c>
      <x:c r="AM2546" s="87" t="str">
        <x:v>CHEM_Apr_V1</x:v>
      </x:c>
      <x:c r="AN2546" s="87" t="n">
        <x:v>11</x:v>
      </x:c>
    </x:row>
    <x:row r="2547">
      <x:c r="A2547" s="87" t="n">
        <x:v>2546</x:v>
      </x:c>
      <x:c r="B2547" s="87" t="str">
        <x:v>APR-CHEM-V1-011</x:v>
      </x:c>
      <x:c r="C2547" s="87" t="str">
        <x:v>СтатГрад</x:v>
      </x:c>
      <x:c r="D2547" s="87" t="str">
        <x:v>Апрель 2026</x:v>
      </x:c>
      <x:c r="E2547" s="87"/>
      <x:c r="F2547" s="87"/>
      <x:c r="G2547" s="87" t="str">
        <x:v>Химия</x:v>
      </x:c>
      <x:c r="H2547" s="87" t="n">
        <x:v>11</x:v>
      </x:c>
      <x:c r="I2547" s="87" t="str">
        <x:v>ТР №5</x:v>
      </x:c>
      <x:c r="J2547" s="87" t="str">
        <x:v>ХИ2510501</x:v>
      </x:c>
      <x:c r="K2547" s="87" t="n">
        <x:v>11</x:v>
      </x:c>
      <x:c r="L2547" s="87" t="str">
        <x:v>Оптическая изомерия</x:v>
      </x:c>
      <x:c r="M2547" s="30" t="str">
        <x:v>Выбрать вещества с оптическими изомерами.</x:v>
      </x:c>
      <x:c r="N2547" s="30" t="str">
        <x:v>23</x:v>
      </x:c>
      <x:c r="O2547" s="30" t="str">
        <x:v>2-Нитробутан имеет асимметрический атом C; рибоза содержит хиральные центры.</x:v>
      </x:c>
      <x:c r="P2547" s="30" t="str">
        <x:v>2-Нитробутан имеет асимметрический атом C; рибоза содержит хиральные центры.</x:v>
      </x:c>
      <x:c r="Q2547" s="30"/>
      <x:c r="R2547" s="30" t="str">
        <x:v>Фото-сводка ответов + Zadanie_KhI11_27042026.pdf + независимое решение</x:v>
      </x:c>
      <x:c r="S2547" s="30"/>
      <x:c r="T2547" s="30"/>
      <x:c r="U2547" s="30" t="str">
        <x:v>Расхождений не обнаружено.</x:v>
      </x:c>
      <x:c r="V2547" s="87" t="str">
        <x:v>VERIFIED</x:v>
      </x:c>
      <x:c r="W2547" s="87" t="str">
        <x:v>Zadanie_KhI11_27042026.pdf, внутренняя стр. 6</x:v>
      </x:c>
      <x:c r="X2547" s="87"/>
      <x:c r="Y2547" s="87"/>
      <x:c r="Z2547" s="87"/>
      <x:c r="AA2547" s="87"/>
      <x:c r="AB2547" s="87"/>
      <x:c r="AC2547" s="87"/>
      <x:c r="AD2547" s="87"/>
      <x:c r="AE2547" s="87"/>
      <x:c r="AF2547" s="87"/>
      <x:c r="AG2547" s="87"/>
      <x:c r="AH2547" s="87"/>
      <x:c r="AI2547" s="30"/>
      <x:c r="AJ2547" s="87" t="str">
        <x:v>master</x:v>
      </x:c>
      <x:c r="AK2547" s="87" t="str">
        <x:v>master-v0.81</x:v>
      </x:c>
      <x:c r="AL2547" s="87" t="str">
        <x:v>statgrad_master_base_v0_81_final(2).xlsx</x:v>
      </x:c>
      <x:c r="AM2547" s="87" t="str">
        <x:v>CHEM_Apr_V1</x:v>
      </x:c>
      <x:c r="AN2547" s="87" t="n">
        <x:v>12</x:v>
      </x:c>
    </x:row>
    <x:row r="2548">
      <x:c r="A2548" s="87" t="n">
        <x:v>2547</x:v>
      </x:c>
      <x:c r="B2548" s="87" t="str">
        <x:v>APR-CHEM-V1-012</x:v>
      </x:c>
      <x:c r="C2548" s="87" t="str">
        <x:v>СтатГрад</x:v>
      </x:c>
      <x:c r="D2548" s="87" t="str">
        <x:v>Апрель 2026</x:v>
      </x:c>
      <x:c r="E2548" s="87"/>
      <x:c r="F2548" s="87"/>
      <x:c r="G2548" s="87" t="str">
        <x:v>Химия</x:v>
      </x:c>
      <x:c r="H2548" s="87" t="n">
        <x:v>11</x:v>
      </x:c>
      <x:c r="I2548" s="87" t="str">
        <x:v>ТР №5</x:v>
      </x:c>
      <x:c r="J2548" s="87" t="str">
        <x:v>ХИ2510501</x:v>
      </x:c>
      <x:c r="K2548" s="87" t="n">
        <x:v>12</x:v>
      </x:c>
      <x:c r="L2548" s="87" t="str">
        <x:v>Химические свойства бензола и фенола</x:v>
      </x:c>
      <x:c r="M2548" s="30" t="str">
        <x:v>Выбрать реагенты, с каждым из которых реагируют и бензол, и фенол.</x:v>
      </x:c>
      <x:c r="N2548" s="30" t="str">
        <x:v>145</x:v>
      </x:c>
      <x:c r="O2548" s="30" t="str">
        <x:v>Оба вещества вступают в нитрование, бромирование и каталитическое гидрирование.</x:v>
      </x:c>
      <x:c r="P2548" s="30" t="str">
        <x:v>Оба вещества вступают в нитрование, бромирование и каталитическое гидрирование.</x:v>
      </x:c>
      <x:c r="Q2548" s="30"/>
      <x:c r="R2548" s="30" t="str">
        <x:v>Kriterii_KhI11_27042026.pdf: таблица ответов + фото-сводка + независимая проверка</x:v>
      </x:c>
      <x:c r="S2548" s="30"/>
      <x:c r="T2548" s="30"/>
      <x:c r="U2548" s="30" t="str">
        <x:v>Расхождений не обнаружено.</x:v>
      </x:c>
      <x:c r="V2548" s="87" t="str">
        <x:v>VERIFIED</x:v>
      </x:c>
      <x:c r="W2548" s="87" t="str">
        <x:v>Zadanie_KhI11_27042026.pdf, внутренняя стр. 7</x:v>
      </x:c>
      <x:c r="X2548" s="87"/>
      <x:c r="Y2548" s="87"/>
      <x:c r="Z2548" s="87"/>
      <x:c r="AA2548" s="87"/>
      <x:c r="AB2548" s="87"/>
      <x:c r="AC2548" s="87"/>
      <x:c r="AD2548" s="87"/>
      <x:c r="AE2548" s="87"/>
      <x:c r="AF2548" s="87"/>
      <x:c r="AG2548" s="87"/>
      <x:c r="AH2548" s="87"/>
      <x:c r="AI2548" s="30"/>
      <x:c r="AJ2548" s="87" t="str">
        <x:v>master</x:v>
      </x:c>
      <x:c r="AK2548" s="87" t="str">
        <x:v>master-v0.81</x:v>
      </x:c>
      <x:c r="AL2548" s="87" t="str">
        <x:v>statgrad_master_base_v0_81_final(2).xlsx</x:v>
      </x:c>
      <x:c r="AM2548" s="87" t="str">
        <x:v>CHEM_Apr_V1</x:v>
      </x:c>
      <x:c r="AN2548" s="87" t="n">
        <x:v>13</x:v>
      </x:c>
    </x:row>
    <x:row r="2549">
      <x:c r="A2549" s="87" t="n">
        <x:v>2548</x:v>
      </x:c>
      <x:c r="B2549" s="87" t="str">
        <x:v>APR-CHEM-V1-013</x:v>
      </x:c>
      <x:c r="C2549" s="87" t="str">
        <x:v>СтатГрад</x:v>
      </x:c>
      <x:c r="D2549" s="87" t="str">
        <x:v>Апрель 2026</x:v>
      </x:c>
      <x:c r="E2549" s="87"/>
      <x:c r="F2549" s="87"/>
      <x:c r="G2549" s="87" t="str">
        <x:v>Химия</x:v>
      </x:c>
      <x:c r="H2549" s="87" t="n">
        <x:v>11</x:v>
      </x:c>
      <x:c r="I2549" s="87" t="str">
        <x:v>ТР №5</x:v>
      </x:c>
      <x:c r="J2549" s="87" t="str">
        <x:v>ХИ2510501</x:v>
      </x:c>
      <x:c r="K2549" s="87" t="n">
        <x:v>13</x:v>
      </x:c>
      <x:c r="L2549" s="87" t="str">
        <x:v>Гидролиз органических веществ</x:v>
      </x:c>
      <x:c r="M2549" s="30" t="str">
        <x:v>Выбрать два вещества, не вступающие в гидролиз.</x:v>
      </x:c>
      <x:c r="N2549" s="30" t="str">
        <x:v>24</x:v>
      </x:c>
      <x:c r="O2549" s="30" t="str">
        <x:v>Фенилаланин и дезоксирибоза не содержат связей, гидролизуемых в рамках школьного курса.</x:v>
      </x:c>
      <x:c r="P2549" s="30" t="str">
        <x:v>Фенилаланин и дезоксирибоза не содержат связей, гидролизуемых в рамках школьного курса.</x:v>
      </x:c>
      <x:c r="Q2549" s="30"/>
      <x:c r="R2549" s="30" t="str">
        <x:v>Фото-сводка ответов + Zadanie_KhI11_27042026.pdf + независимое решение</x:v>
      </x:c>
      <x:c r="S2549" s="30"/>
      <x:c r="T2549" s="30"/>
      <x:c r="U2549" s="30" t="str">
        <x:v>Расхождений не обнаружено.</x:v>
      </x:c>
      <x:c r="V2549" s="87" t="str">
        <x:v>VERIFIED</x:v>
      </x:c>
      <x:c r="W2549" s="87" t="str">
        <x:v>Zadanie_KhI11_27042026.pdf, внутренняя стр. 7</x:v>
      </x:c>
      <x:c r="X2549" s="87"/>
      <x:c r="Y2549" s="87"/>
      <x:c r="Z2549" s="87"/>
      <x:c r="AA2549" s="87"/>
      <x:c r="AB2549" s="87"/>
      <x:c r="AC2549" s="87"/>
      <x:c r="AD2549" s="87"/>
      <x:c r="AE2549" s="87"/>
      <x:c r="AF2549" s="87"/>
      <x:c r="AG2549" s="87"/>
      <x:c r="AH2549" s="87"/>
      <x:c r="AI2549" s="30"/>
      <x:c r="AJ2549" s="87" t="str">
        <x:v>master</x:v>
      </x:c>
      <x:c r="AK2549" s="87" t="str">
        <x:v>master-v0.81</x:v>
      </x:c>
      <x:c r="AL2549" s="87" t="str">
        <x:v>statgrad_master_base_v0_81_final(2).xlsx</x:v>
      </x:c>
      <x:c r="AM2549" s="87" t="str">
        <x:v>CHEM_Apr_V1</x:v>
      </x:c>
      <x:c r="AN2549" s="87" t="n">
        <x:v>14</x:v>
      </x:c>
    </x:row>
    <x:row r="2550">
      <x:c r="A2550" s="87" t="n">
        <x:v>2549</x:v>
      </x:c>
      <x:c r="B2550" s="87" t="str">
        <x:v>APR-CHEM-V1-014</x:v>
      </x:c>
      <x:c r="C2550" s="87" t="str">
        <x:v>СтатГрад</x:v>
      </x:c>
      <x:c r="D2550" s="87" t="str">
        <x:v>Апрель 2026</x:v>
      </x:c>
      <x:c r="E2550" s="87"/>
      <x:c r="F2550" s="87"/>
      <x:c r="G2550" s="87" t="str">
        <x:v>Химия</x:v>
      </x:c>
      <x:c r="H2550" s="87" t="n">
        <x:v>11</x:v>
      </x:c>
      <x:c r="I2550" s="87" t="str">
        <x:v>ТР №5</x:v>
      </x:c>
      <x:c r="J2550" s="87" t="str">
        <x:v>ХИ2510501</x:v>
      </x:c>
      <x:c r="K2550" s="87" t="n">
        <x:v>14</x:v>
      </x:c>
      <x:c r="L2550" s="87" t="str">
        <x:v>Органические реакции</x:v>
      </x:c>
      <x:c r="M2550" s="30" t="str">
        <x:v>Соотнести четыре схемы: Вюрц–Фиттиг, окислительное расщепление алкена, дегидрогалогенирование и электролиз Кольбе — с веществом X.</x:v>
      </x:c>
      <x:c r="N2550" s="30" t="str">
        <x:v>2135</x:v>
      </x:c>
      <x:c r="O2550" s="30" t="str">
        <x:v>CH₃Cl даёт толуол; гексен-3 окисляется до пропионовой кислоты; 1,2-дихлорпропан даёт пропин; CH₃COOK при электролизе даёт этан.</x:v>
      </x:c>
      <x:c r="P2550" s="30" t="str">
        <x:v>CH₃Cl даёт толуол; гексен-3 окисляется до пропионовой кислоты; 1,2-дихлорпропан даёт пропин; CH₃COOK при электролизе даёт этан.</x:v>
      </x:c>
      <x:c r="Q2550" s="30"/>
      <x:c r="R2550" s="30" t="str">
        <x:v>Kriterii_KhI11_27042026.pdf: таблица ответов + фото-сводка + независимая проверка</x:v>
      </x:c>
      <x:c r="S2550" s="30"/>
      <x:c r="T2550" s="30"/>
      <x:c r="U2550" s="30" t="str">
        <x:v>Расхождений не обнаружено.</x:v>
      </x:c>
      <x:c r="V2550" s="87" t="str">
        <x:v>VERIFIED</x:v>
      </x:c>
      <x:c r="W2550" s="87" t="str">
        <x:v>Zadanie_KhI11_27042026.pdf, внутренняя стр. 7</x:v>
      </x:c>
      <x:c r="X2550" s="87"/>
      <x:c r="Y2550" s="87"/>
      <x:c r="Z2550" s="87"/>
      <x:c r="AA2550" s="87"/>
      <x:c r="AB2550" s="87"/>
      <x:c r="AC2550" s="87"/>
      <x:c r="AD2550" s="87"/>
      <x:c r="AE2550" s="87"/>
      <x:c r="AF2550" s="87"/>
      <x:c r="AG2550" s="87"/>
      <x:c r="AH2550" s="87"/>
      <x:c r="AI2550" s="30"/>
      <x:c r="AJ2550" s="87" t="str">
        <x:v>master</x:v>
      </x:c>
      <x:c r="AK2550" s="87" t="str">
        <x:v>master-v0.81</x:v>
      </x:c>
      <x:c r="AL2550" s="87" t="str">
        <x:v>statgrad_master_base_v0_81_final(2).xlsx</x:v>
      </x:c>
      <x:c r="AM2550" s="87" t="str">
        <x:v>CHEM_Apr_V1</x:v>
      </x:c>
      <x:c r="AN2550" s="87" t="n">
        <x:v>15</x:v>
      </x:c>
    </x:row>
    <x:row r="2551">
      <x:c r="A2551" s="87" t="n">
        <x:v>2550</x:v>
      </x:c>
      <x:c r="B2551" s="87" t="str">
        <x:v>APR-CHEM-V1-015</x:v>
      </x:c>
      <x:c r="C2551" s="87" t="str">
        <x:v>СтатГрад</x:v>
      </x:c>
      <x:c r="D2551" s="87" t="str">
        <x:v>Апрель 2026</x:v>
      </x:c>
      <x:c r="E2551" s="87"/>
      <x:c r="F2551" s="87"/>
      <x:c r="G2551" s="87" t="str">
        <x:v>Химия</x:v>
      </x:c>
      <x:c r="H2551" s="87" t="n">
        <x:v>11</x:v>
      </x:c>
      <x:c r="I2551" s="87" t="str">
        <x:v>ТР №5</x:v>
      </x:c>
      <x:c r="J2551" s="87" t="str">
        <x:v>ХИ2510501</x:v>
      </x:c>
      <x:c r="K2551" s="87" t="n">
        <x:v>15</x:v>
      </x:c>
      <x:c r="L2551" s="87" t="str">
        <x:v>Продукты органических реакций</x:v>
      </x:c>
      <x:c r="M2551" s="30" t="str">
        <x:v>Соотнести реакции изопропанола с PCl₅, этаналя с этиленгликолем, пропионовой кислоты с NaHCO₃ и уксусной кислоты с LiAlH₄ с продуктами.</x:v>
      </x:c>
      <x:c r="N2551" s="30" t="str">
        <x:v>5341</x:v>
      </x:c>
      <x:c r="O2551" s="30" t="str">
        <x:v>Образуются 2-хлорпропан, циклический ацеталь, пропионат натрия и этанол.</x:v>
      </x:c>
      <x:c r="P2551" s="30" t="str">
        <x:v>Образуются 2-хлорпропан, циклический ацеталь, пропионат натрия и этанол.</x:v>
      </x:c>
      <x:c r="Q2551" s="30"/>
      <x:c r="R2551" s="30" t="str">
        <x:v>Kriterii_KhI11_27042026.pdf: таблица ответов + фото-сводка + независимая проверка</x:v>
      </x:c>
      <x:c r="S2551" s="30"/>
      <x:c r="T2551" s="30"/>
      <x:c r="U2551" s="30" t="str">
        <x:v>Расхождений не обнаружено.</x:v>
      </x:c>
      <x:c r="V2551" s="87" t="str">
        <x:v>VERIFIED</x:v>
      </x:c>
      <x:c r="W2551" s="87" t="str">
        <x:v>Zadanie_KhI11_27042026.pdf, внутренняя стр. 8</x:v>
      </x:c>
      <x:c r="X2551" s="87"/>
      <x:c r="Y2551" s="87"/>
      <x:c r="Z2551" s="87"/>
      <x:c r="AA2551" s="87"/>
      <x:c r="AB2551" s="87"/>
      <x:c r="AC2551" s="87"/>
      <x:c r="AD2551" s="87"/>
      <x:c r="AE2551" s="87"/>
      <x:c r="AF2551" s="87"/>
      <x:c r="AG2551" s="87"/>
      <x:c r="AH2551" s="87"/>
      <x:c r="AI2551" s="30"/>
      <x:c r="AJ2551" s="87" t="str">
        <x:v>master</x:v>
      </x:c>
      <x:c r="AK2551" s="87" t="str">
        <x:v>master-v0.81</x:v>
      </x:c>
      <x:c r="AL2551" s="87" t="str">
        <x:v>statgrad_master_base_v0_81_final(2).xlsx</x:v>
      </x:c>
      <x:c r="AM2551" s="87" t="str">
        <x:v>CHEM_Apr_V1</x:v>
      </x:c>
      <x:c r="AN2551" s="87" t="n">
        <x:v>16</x:v>
      </x:c>
    </x:row>
    <x:row r="2552">
      <x:c r="A2552" s="87" t="n">
        <x:v>2551</x:v>
      </x:c>
      <x:c r="B2552" s="87" t="str">
        <x:v>APR-CHEM-V1-016</x:v>
      </x:c>
      <x:c r="C2552" s="87" t="str">
        <x:v>СтатГрад</x:v>
      </x:c>
      <x:c r="D2552" s="87" t="str">
        <x:v>Апрель 2026</x:v>
      </x:c>
      <x:c r="E2552" s="87"/>
      <x:c r="F2552" s="87"/>
      <x:c r="G2552" s="87" t="str">
        <x:v>Химия</x:v>
      </x:c>
      <x:c r="H2552" s="87" t="n">
        <x:v>11</x:v>
      </x:c>
      <x:c r="I2552" s="87" t="str">
        <x:v>ТР №5</x:v>
      </x:c>
      <x:c r="J2552" s="87" t="str">
        <x:v>ХИ2510501</x:v>
      </x:c>
      <x:c r="K2552" s="87" t="n">
        <x:v>16</x:v>
      </x:c>
      <x:c r="L2552" s="87" t="str">
        <x:v>Цепочка органических превращений</x:v>
      </x:c>
      <x:c r="M2552" s="30" t="str">
        <x:v>CH₃CH₂COOH → X → CH₃CH(NH₂)COOH → Y; определить X и Y.</x:v>
      </x:c>
      <x:c r="N2552" s="30" t="str">
        <x:v>15</x:v>
      </x:c>
      <x:c r="O2552" s="30" t="str">
        <x:v>Через 2-хлорпропановую кислоту получают аланин; действие HNO₂ заменяет NH₂ на OH и даёт молочную кислоту.</x:v>
      </x:c>
      <x:c r="P2552" s="30" t="str">
        <x:v>Через 2-хлорпропановую кислоту получают аланин; действие HNO₂ заменяет NH₂ на OH и даёт молочную кислоту.</x:v>
      </x:c>
      <x:c r="Q2552" s="30"/>
      <x:c r="R2552" s="30" t="str">
        <x:v>Фото-сводка ответов + Zadanie_KhI11_27042026.pdf + независимое решение</x:v>
      </x:c>
      <x:c r="S2552" s="30"/>
      <x:c r="T2552" s="30"/>
      <x:c r="U2552" s="30" t="str">
        <x:v>Расхождений не обнаружено.</x:v>
      </x:c>
      <x:c r="V2552" s="87" t="str">
        <x:v>VERIFIED</x:v>
      </x:c>
      <x:c r="W2552" s="87" t="str">
        <x:v>Zadanie_KhI11_27042026.pdf, внутренняя стр. 8</x:v>
      </x:c>
      <x:c r="X2552" s="87"/>
      <x:c r="Y2552" s="87"/>
      <x:c r="Z2552" s="87"/>
      <x:c r="AA2552" s="87"/>
      <x:c r="AB2552" s="87"/>
      <x:c r="AC2552" s="87"/>
      <x:c r="AD2552" s="87"/>
      <x:c r="AE2552" s="87"/>
      <x:c r="AF2552" s="87"/>
      <x:c r="AG2552" s="87"/>
      <x:c r="AH2552" s="87"/>
      <x:c r="AI2552" s="30"/>
      <x:c r="AJ2552" s="87" t="str">
        <x:v>master</x:v>
      </x:c>
      <x:c r="AK2552" s="87" t="str">
        <x:v>master-v0.81</x:v>
      </x:c>
      <x:c r="AL2552" s="87" t="str">
        <x:v>statgrad_master_base_v0_81_final(2).xlsx</x:v>
      </x:c>
      <x:c r="AM2552" s="87" t="str">
        <x:v>CHEM_Apr_V1</x:v>
      </x:c>
      <x:c r="AN2552" s="87" t="n">
        <x:v>17</x:v>
      </x:c>
    </x:row>
    <x:row r="2553">
      <x:c r="A2553" s="87" t="n">
        <x:v>2552</x:v>
      </x:c>
      <x:c r="B2553" s="87" t="str">
        <x:v>APR-CHEM-V1-017</x:v>
      </x:c>
      <x:c r="C2553" s="87" t="str">
        <x:v>СтатГрад</x:v>
      </x:c>
      <x:c r="D2553" s="87" t="str">
        <x:v>Апрель 2026</x:v>
      </x:c>
      <x:c r="E2553" s="87"/>
      <x:c r="F2553" s="87"/>
      <x:c r="G2553" s="87" t="str">
        <x:v>Химия</x:v>
      </x:c>
      <x:c r="H2553" s="87" t="n">
        <x:v>11</x:v>
      </x:c>
      <x:c r="I2553" s="87" t="str">
        <x:v>ТР №5</x:v>
      </x:c>
      <x:c r="J2553" s="87" t="str">
        <x:v>ХИ2510501</x:v>
      </x:c>
      <x:c r="K2553" s="87" t="n">
        <x:v>17</x:v>
      </x:c>
      <x:c r="L2553" s="87" t="str">
        <x:v>Классификация реакций</x:v>
      </x:c>
      <x:c r="M2553" s="30" t="str">
        <x:v>Соотнести Zn+HCl, P₂O₅+H₂O и Al(OH)₃+H₂SO₄ с типами реакций.</x:v>
      </x:c>
      <x:c r="N2553" s="30" t="str">
        <x:v>314</x:v>
      </x:c>
      <x:c r="O2553" s="30" t="str">
        <x:v>Это соответственно ОВР гетерогенная, соединение гетерогенное и обмен гетерогенный.</x:v>
      </x:c>
      <x:c r="P2553" s="30" t="str">
        <x:v>Это соответственно ОВР гетерогенная, соединение гетерогенное и обмен гетерогенный.</x:v>
      </x:c>
      <x:c r="Q2553" s="30"/>
      <x:c r="R2553" s="30" t="str">
        <x:v>Фото-сводка ответов + Zadanie_KhI11_27042026.pdf + независимое решение</x:v>
      </x:c>
      <x:c r="S2553" s="30"/>
      <x:c r="T2553" s="30"/>
      <x:c r="U2553" s="30" t="str">
        <x:v>Расхождений не обнаружено.</x:v>
      </x:c>
      <x:c r="V2553" s="87" t="str">
        <x:v>VERIFIED</x:v>
      </x:c>
      <x:c r="W2553" s="87" t="str">
        <x:v>Zadanie_KhI11_27042026.pdf, внутренняя стр. 9</x:v>
      </x:c>
      <x:c r="X2553" s="87"/>
      <x:c r="Y2553" s="87"/>
      <x:c r="Z2553" s="87"/>
      <x:c r="AA2553" s="87"/>
      <x:c r="AB2553" s="87"/>
      <x:c r="AC2553" s="87"/>
      <x:c r="AD2553" s="87"/>
      <x:c r="AE2553" s="87"/>
      <x:c r="AF2553" s="87"/>
      <x:c r="AG2553" s="87"/>
      <x:c r="AH2553" s="87"/>
      <x:c r="AI2553" s="30"/>
      <x:c r="AJ2553" s="87" t="str">
        <x:v>master</x:v>
      </x:c>
      <x:c r="AK2553" s="87" t="str">
        <x:v>master-v0.81</x:v>
      </x:c>
      <x:c r="AL2553" s="87" t="str">
        <x:v>statgrad_master_base_v0_81_final(2).xlsx</x:v>
      </x:c>
      <x:c r="AM2553" s="87" t="str">
        <x:v>CHEM_Apr_V1</x:v>
      </x:c>
      <x:c r="AN2553" s="87" t="n">
        <x:v>18</x:v>
      </x:c>
    </x:row>
    <x:row r="2554">
      <x:c r="A2554" s="87" t="n">
        <x:v>2553</x:v>
      </x:c>
      <x:c r="B2554" s="87" t="str">
        <x:v>APR-CHEM-V1-018</x:v>
      </x:c>
      <x:c r="C2554" s="87" t="str">
        <x:v>СтатГрад</x:v>
      </x:c>
      <x:c r="D2554" s="87" t="str">
        <x:v>Апрель 2026</x:v>
      </x:c>
      <x:c r="E2554" s="87"/>
      <x:c r="F2554" s="87"/>
      <x:c r="G2554" s="87" t="str">
        <x:v>Химия</x:v>
      </x:c>
      <x:c r="H2554" s="87" t="n">
        <x:v>11</x:v>
      </x:c>
      <x:c r="I2554" s="87" t="str">
        <x:v>ТР №5</x:v>
      </x:c>
      <x:c r="J2554" s="87" t="str">
        <x:v>ХИ2510501</x:v>
      </x:c>
      <x:c r="K2554" s="87" t="n">
        <x:v>18</x:v>
      </x:c>
      <x:c r="L2554" s="87" t="str">
        <x:v>Скорость реакции</x:v>
      </x:c>
      <x:c r="M2554" s="30" t="str">
        <x:v>Выбрать факторы, увеличивающие скорость окисления SO₂ кислородом.</x:v>
      </x:c>
      <x:c r="N2554" s="30" t="str">
        <x:v>345</x:v>
      </x:c>
      <x:c r="O2554" s="30" t="str">
        <x:v>Скорость растёт при повышении давления, добавлении O₂ и нагревании.</x:v>
      </x:c>
      <x:c r="P2554" s="30" t="str">
        <x:v>Скорость растёт при повышении давления, добавлении O₂ и нагревании.</x:v>
      </x:c>
      <x:c r="Q2554" s="30"/>
      <x:c r="R2554" s="30" t="str">
        <x:v>Фото-сводка ответов + Zadanie_KhI11_27042026.pdf + независимое решение</x:v>
      </x:c>
      <x:c r="S2554" s="30"/>
      <x:c r="T2554" s="30"/>
      <x:c r="U2554" s="30" t="str">
        <x:v>Расхождений не обнаружено.</x:v>
      </x:c>
      <x:c r="V2554" s="87" t="str">
        <x:v>VERIFIED</x:v>
      </x:c>
      <x:c r="W2554" s="87" t="str">
        <x:v>Zadanie_KhI11_27042026.pdf, внутренняя стр. 9</x:v>
      </x:c>
      <x:c r="X2554" s="87"/>
      <x:c r="Y2554" s="87"/>
      <x:c r="Z2554" s="87"/>
      <x:c r="AA2554" s="87"/>
      <x:c r="AB2554" s="87"/>
      <x:c r="AC2554" s="87"/>
      <x:c r="AD2554" s="87"/>
      <x:c r="AE2554" s="87"/>
      <x:c r="AF2554" s="87"/>
      <x:c r="AG2554" s="87"/>
      <x:c r="AH2554" s="87"/>
      <x:c r="AI2554" s="30"/>
      <x:c r="AJ2554" s="87" t="str">
        <x:v>master</x:v>
      </x:c>
      <x:c r="AK2554" s="87" t="str">
        <x:v>master-v0.81</x:v>
      </x:c>
      <x:c r="AL2554" s="87" t="str">
        <x:v>statgrad_master_base_v0_81_final(2).xlsx</x:v>
      </x:c>
      <x:c r="AM2554" s="87" t="str">
        <x:v>CHEM_Apr_V1</x:v>
      </x:c>
      <x:c r="AN2554" s="87" t="n">
        <x:v>19</x:v>
      </x:c>
    </x:row>
    <x:row r="2555">
      <x:c r="A2555" s="87" t="n">
        <x:v>2554</x:v>
      </x:c>
      <x:c r="B2555" s="87" t="str">
        <x:v>APR-CHEM-V1-019</x:v>
      </x:c>
      <x:c r="C2555" s="87" t="str">
        <x:v>СтатГрад</x:v>
      </x:c>
      <x:c r="D2555" s="87" t="str">
        <x:v>Апрель 2026</x:v>
      </x:c>
      <x:c r="E2555" s="87"/>
      <x:c r="F2555" s="87"/>
      <x:c r="G2555" s="87" t="str">
        <x:v>Химия</x:v>
      </x:c>
      <x:c r="H2555" s="87" t="n">
        <x:v>11</x:v>
      </x:c>
      <x:c r="I2555" s="87" t="str">
        <x:v>ТР №5</x:v>
      </x:c>
      <x:c r="J2555" s="87" t="str">
        <x:v>ХИ2510501</x:v>
      </x:c>
      <x:c r="K2555" s="87" t="n">
        <x:v>19</x:v>
      </x:c>
      <x:c r="L2555" s="87" t="str">
        <x:v>ОВР: степени окисления</x:v>
      </x:c>
      <x:c r="M2555" s="30" t="str">
        <x:v>Соотнести три ОВР с изменением степени окисления восстановителя.</x:v>
      </x:c>
      <x:c r="N2555" s="30" t="str">
        <x:v>234</x:v>
      </x:c>
      <x:c r="O2555" s="30" t="str">
        <x:v>S: −2→+4; O в H₂O₂: −1→0; N: +4→+5.</x:v>
      </x:c>
      <x:c r="P2555" s="30" t="str">
        <x:v>S: −2→+4; O в H₂O₂: −1→0; N: +4→+5.</x:v>
      </x:c>
      <x:c r="Q2555" s="30"/>
      <x:c r="R2555" s="30" t="str">
        <x:v>Фото-сводка ответов + Zadanie_KhI11_27042026.pdf + независимое решение</x:v>
      </x:c>
      <x:c r="S2555" s="30"/>
      <x:c r="T2555" s="30"/>
      <x:c r="U2555" s="30" t="str">
        <x:v>Расхождений не обнаружено.</x:v>
      </x:c>
      <x:c r="V2555" s="87" t="str">
        <x:v>VERIFIED</x:v>
      </x:c>
      <x:c r="W2555" s="87" t="str">
        <x:v>Zadanie_KhI11_27042026.pdf, внутренняя стр. 10</x:v>
      </x:c>
      <x:c r="X2555" s="87"/>
      <x:c r="Y2555" s="87"/>
      <x:c r="Z2555" s="87"/>
      <x:c r="AA2555" s="87"/>
      <x:c r="AB2555" s="87"/>
      <x:c r="AC2555" s="87"/>
      <x:c r="AD2555" s="87"/>
      <x:c r="AE2555" s="87"/>
      <x:c r="AF2555" s="87"/>
      <x:c r="AG2555" s="87"/>
      <x:c r="AH2555" s="87"/>
      <x:c r="AI2555" s="30"/>
      <x:c r="AJ2555" s="87" t="str">
        <x:v>master</x:v>
      </x:c>
      <x:c r="AK2555" s="87" t="str">
        <x:v>master-v0.81</x:v>
      </x:c>
      <x:c r="AL2555" s="87" t="str">
        <x:v>statgrad_master_base_v0_81_final(2).xlsx</x:v>
      </x:c>
      <x:c r="AM2555" s="87" t="str">
        <x:v>CHEM_Apr_V1</x:v>
      </x:c>
      <x:c r="AN2555" s="87" t="n">
        <x:v>20</x:v>
      </x:c>
    </x:row>
    <x:row r="2556">
      <x:c r="A2556" s="87" t="n">
        <x:v>2555</x:v>
      </x:c>
      <x:c r="B2556" s="87" t="str">
        <x:v>APR-CHEM-V1-020</x:v>
      </x:c>
      <x:c r="C2556" s="87" t="str">
        <x:v>СтатГрад</x:v>
      </x:c>
      <x:c r="D2556" s="87" t="str">
        <x:v>Апрель 2026</x:v>
      </x:c>
      <x:c r="E2556" s="87"/>
      <x:c r="F2556" s="87"/>
      <x:c r="G2556" s="87" t="str">
        <x:v>Химия</x:v>
      </x:c>
      <x:c r="H2556" s="87" t="n">
        <x:v>11</x:v>
      </x:c>
      <x:c r="I2556" s="87" t="str">
        <x:v>ТР №5</x:v>
      </x:c>
      <x:c r="J2556" s="87" t="str">
        <x:v>ХИ2510501</x:v>
      </x:c>
      <x:c r="K2556" s="87" t="n">
        <x:v>20</x:v>
      </x:c>
      <x:c r="L2556" s="87" t="str">
        <x:v>Электролиз</x:v>
      </x:c>
      <x:c r="M2556" s="30" t="str">
        <x:v>Соотнести K, NaOH и KClO₃ со способом электролитического получения.</x:v>
      </x:c>
      <x:c r="N2556" s="30" t="str">
        <x:v>213</x:v>
      </x:c>
      <x:c r="O2556" s="30" t="str">
        <x:v>K получают из расплава KCl; NaOH — из раствора NaCl; KClO₃ — электролизом горячего раствора KCl.</x:v>
      </x:c>
      <x:c r="P2556" s="30" t="str">
        <x:v>K получают из расплава KCl; NaOH — из раствора NaCl; KClO₃ — электролизом горячего раствора KCl.</x:v>
      </x:c>
      <x:c r="Q2556" s="30"/>
      <x:c r="R2556" s="30" t="str">
        <x:v>Фото-сводка ответов + Zadanie_KhI11_27042026.pdf + независимое решение</x:v>
      </x:c>
      <x:c r="S2556" s="30"/>
      <x:c r="T2556" s="30"/>
      <x:c r="U2556" s="30" t="str">
        <x:v>Расхождений не обнаружено.</x:v>
      </x:c>
      <x:c r="V2556" s="87" t="str">
        <x:v>VERIFIED</x:v>
      </x:c>
      <x:c r="W2556" s="87" t="str">
        <x:v>Zadanie_KhI11_27042026.pdf, внутренняя стр. 10</x:v>
      </x:c>
      <x:c r="X2556" s="87"/>
      <x:c r="Y2556" s="87"/>
      <x:c r="Z2556" s="87"/>
      <x:c r="AA2556" s="87"/>
      <x:c r="AB2556" s="87"/>
      <x:c r="AC2556" s="87"/>
      <x:c r="AD2556" s="87"/>
      <x:c r="AE2556" s="87"/>
      <x:c r="AF2556" s="87"/>
      <x:c r="AG2556" s="87"/>
      <x:c r="AH2556" s="87"/>
      <x:c r="AI2556" s="30"/>
      <x:c r="AJ2556" s="87" t="str">
        <x:v>master</x:v>
      </x:c>
      <x:c r="AK2556" s="87" t="str">
        <x:v>master-v0.81</x:v>
      </x:c>
      <x:c r="AL2556" s="87" t="str">
        <x:v>statgrad_master_base_v0_81_final(2).xlsx</x:v>
      </x:c>
      <x:c r="AM2556" s="87" t="str">
        <x:v>CHEM_Apr_V1</x:v>
      </x:c>
      <x:c r="AN2556" s="87" t="n">
        <x:v>21</x:v>
      </x:c>
    </x:row>
    <x:row r="2557">
      <x:c r="A2557" s="87" t="n">
        <x:v>2556</x:v>
      </x:c>
      <x:c r="B2557" s="87" t="str">
        <x:v>APR-CHEM-V1-021</x:v>
      </x:c>
      <x:c r="C2557" s="87" t="str">
        <x:v>СтатГрад</x:v>
      </x:c>
      <x:c r="D2557" s="87" t="str">
        <x:v>Апрель 2026</x:v>
      </x:c>
      <x:c r="E2557" s="87"/>
      <x:c r="F2557" s="87"/>
      <x:c r="G2557" s="87" t="str">
        <x:v>Химия</x:v>
      </x:c>
      <x:c r="H2557" s="87" t="n">
        <x:v>11</x:v>
      </x:c>
      <x:c r="I2557" s="87" t="str">
        <x:v>ТР №5</x:v>
      </x:c>
      <x:c r="J2557" s="87" t="str">
        <x:v>ХИ2510501</x:v>
      </x:c>
      <x:c r="K2557" s="87" t="n">
        <x:v>21</x:v>
      </x:c>
      <x:c r="L2557" s="87" t="str">
        <x:v>pH растворов</x:v>
      </x:c>
      <x:c r="M2557" s="30" t="str">
        <x:v>Расположить NH₃, NH₄Cl, KCl, KOH по возрастанию pH при одинаковой концентрации.</x:v>
      </x:c>
      <x:c r="N2557" s="30" t="str">
        <x:v>2314</x:v>
      </x:c>
      <x:c r="O2557" s="30" t="str">
        <x:v>Кислая соль NH₄Cl &lt; нейтральный KCl &lt; слабое основание NH₃ &lt; сильная щёлочь KOH.</x:v>
      </x:c>
      <x:c r="P2557" s="30" t="str">
        <x:v>Кислая соль NH₄Cl &lt; нейтральный KCl &lt; слабое основание NH₃ &lt; сильная щёлочь KOH.</x:v>
      </x:c>
      <x:c r="Q2557" s="30"/>
      <x:c r="R2557" s="30" t="str">
        <x:v>Фото-сводка ответов + Zadanie_KhI11_27042026.pdf + независимое решение</x:v>
      </x:c>
      <x:c r="S2557" s="30"/>
      <x:c r="T2557" s="30"/>
      <x:c r="U2557" s="30" t="str">
        <x:v>Расхождений не обнаружено.</x:v>
      </x:c>
      <x:c r="V2557" s="87" t="str">
        <x:v>VERIFIED</x:v>
      </x:c>
      <x:c r="W2557" s="87" t="str">
        <x:v>Zadanie_KhI11_27042026.pdf, внутренняя стр. 11</x:v>
      </x:c>
      <x:c r="X2557" s="87"/>
      <x:c r="Y2557" s="87"/>
      <x:c r="Z2557" s="87"/>
      <x:c r="AA2557" s="87"/>
      <x:c r="AB2557" s="87"/>
      <x:c r="AC2557" s="87"/>
      <x:c r="AD2557" s="87"/>
      <x:c r="AE2557" s="87"/>
      <x:c r="AF2557" s="87"/>
      <x:c r="AG2557" s="87"/>
      <x:c r="AH2557" s="87"/>
      <x:c r="AI2557" s="30"/>
      <x:c r="AJ2557" s="87" t="str">
        <x:v>master</x:v>
      </x:c>
      <x:c r="AK2557" s="87" t="str">
        <x:v>master-v0.81</x:v>
      </x:c>
      <x:c r="AL2557" s="87" t="str">
        <x:v>statgrad_master_base_v0_81_final(2).xlsx</x:v>
      </x:c>
      <x:c r="AM2557" s="87" t="str">
        <x:v>CHEM_Apr_V1</x:v>
      </x:c>
      <x:c r="AN2557" s="87" t="n">
        <x:v>22</x:v>
      </x:c>
    </x:row>
    <x:row r="2558">
      <x:c r="A2558" s="87" t="n">
        <x:v>2557</x:v>
      </x:c>
      <x:c r="B2558" s="87" t="str">
        <x:v>APR-CHEM-V1-022</x:v>
      </x:c>
      <x:c r="C2558" s="87" t="str">
        <x:v>СтатГрад</x:v>
      </x:c>
      <x:c r="D2558" s="87" t="str">
        <x:v>Апрель 2026</x:v>
      </x:c>
      <x:c r="E2558" s="87"/>
      <x:c r="F2558" s="87"/>
      <x:c r="G2558" s="87" t="str">
        <x:v>Химия</x:v>
      </x:c>
      <x:c r="H2558" s="87" t="n">
        <x:v>11</x:v>
      </x:c>
      <x:c r="I2558" s="87" t="str">
        <x:v>ТР №5</x:v>
      </x:c>
      <x:c r="J2558" s="87" t="str">
        <x:v>ХИ2510501</x:v>
      </x:c>
      <x:c r="K2558" s="87" t="n">
        <x:v>22</x:v>
      </x:c>
      <x:c r="L2558" s="87" t="str">
        <x:v>Химическое равновесие</x:v>
      </x:c>
      <x:c r="M2558" s="30" t="str">
        <x:v>Для C(тв)+CO₂(г) ⇄ 2CO(г)−Q определить сдвиг при нагревании, повышении давления, катализаторе и добавлении CO.</x:v>
      </x:c>
      <x:c r="N2558" s="30" t="str">
        <x:v>1232</x:v>
      </x:c>
      <x:c r="O2558" s="30" t="str">
        <x:v>Нагревание сдвигает эндотермическую реакцию вправо; давление и CO — влево; катализатор равновесие не смещает.</x:v>
      </x:c>
      <x:c r="P2558" s="30" t="str">
        <x:v>Нагревание сдвигает эндотермическую реакцию вправо; давление и CO — влево; катализатор равновесие не смещает.</x:v>
      </x:c>
      <x:c r="Q2558" s="30"/>
      <x:c r="R2558" s="30" t="str">
        <x:v>Kriterii_KhI11_27042026.pdf: таблица ответов + фото-сводка + независимая проверка</x:v>
      </x:c>
      <x:c r="S2558" s="30"/>
      <x:c r="T2558" s="30"/>
      <x:c r="U2558" s="30" t="str">
        <x:v>Расхождений не обнаружено.</x:v>
      </x:c>
      <x:c r="V2558" s="87" t="str">
        <x:v>VERIFIED</x:v>
      </x:c>
      <x:c r="W2558" s="87" t="str">
        <x:v>Zadanie_KhI11_27042026.pdf, внутренняя стр. 12</x:v>
      </x:c>
      <x:c r="X2558" s="87"/>
      <x:c r="Y2558" s="87"/>
      <x:c r="Z2558" s="87"/>
      <x:c r="AA2558" s="87"/>
      <x:c r="AB2558" s="87"/>
      <x:c r="AC2558" s="87"/>
      <x:c r="AD2558" s="87"/>
      <x:c r="AE2558" s="87"/>
      <x:c r="AF2558" s="87"/>
      <x:c r="AG2558" s="87"/>
      <x:c r="AH2558" s="87"/>
      <x:c r="AI2558" s="30"/>
      <x:c r="AJ2558" s="87" t="str">
        <x:v>master</x:v>
      </x:c>
      <x:c r="AK2558" s="87" t="str">
        <x:v>master-v0.81</x:v>
      </x:c>
      <x:c r="AL2558" s="87" t="str">
        <x:v>statgrad_master_base_v0_81_final(2).xlsx</x:v>
      </x:c>
      <x:c r="AM2558" s="87" t="str">
        <x:v>CHEM_Apr_V1</x:v>
      </x:c>
      <x:c r="AN2558" s="87" t="n">
        <x:v>23</x:v>
      </x:c>
    </x:row>
    <x:row r="2559">
      <x:c r="A2559" s="87" t="n">
        <x:v>2558</x:v>
      </x:c>
      <x:c r="B2559" s="87" t="str">
        <x:v>APR-CHEM-V1-023</x:v>
      </x:c>
      <x:c r="C2559" s="87" t="str">
        <x:v>СтатГрад</x:v>
      </x:c>
      <x:c r="D2559" s="87" t="str">
        <x:v>Апрель 2026</x:v>
      </x:c>
      <x:c r="E2559" s="87"/>
      <x:c r="F2559" s="87"/>
      <x:c r="G2559" s="87" t="str">
        <x:v>Химия</x:v>
      </x:c>
      <x:c r="H2559" s="87" t="n">
        <x:v>11</x:v>
      </x:c>
      <x:c r="I2559" s="87" t="str">
        <x:v>ТР №5</x:v>
      </x:c>
      <x:c r="J2559" s="87" t="str">
        <x:v>ХИ2510501</x:v>
      </x:c>
      <x:c r="K2559" s="87" t="n">
        <x:v>23</x:v>
      </x:c>
      <x:c r="L2559" s="87" t="str">
        <x:v>Равновесные концентрации</x:v>
      </x:c>
      <x:c r="M2559" s="30" t="str">
        <x:v>Для N₂+3H₂⇄2NH₃ при [H₂]равн=[NH₃]равн=3,6 моль/л найти исходную [H₂] и равновесную [N₂].</x:v>
      </x:c>
      <x:c r="N2559" s="30" t="str">
        <x:v>6; 1</x:v>
      </x:c>
      <x:c r="O2559" s="30" t="str">
        <x:v>Образование 3,6 моль/л NH₃ соответствует расходу 5,4 H₂ и 1,8 N₂; [H₂]₀=9,0, [N₂]равн=1,2.</x:v>
      </x:c>
      <x:c r="P2559" s="30" t="str">
        <x:v>Таблица ICE даёт варианты 6 и 1.</x:v>
      </x:c>
      <x:c r="Q2559" s="30"/>
      <x:c r="R2559" s="30" t="str">
        <x:v>Фото-сводка ответов + Zadanie_KhI11_27042026.pdf + независимое решение</x:v>
      </x:c>
      <x:c r="S2559" s="30"/>
      <x:c r="T2559" s="30"/>
      <x:c r="U2559" s="30" t="str">
        <x:v>Расхождений не обнаружено.</x:v>
      </x:c>
      <x:c r="V2559" s="87" t="str">
        <x:v>VERIFIED</x:v>
      </x:c>
      <x:c r="W2559" s="87" t="str">
        <x:v>Zadanie_KhI11_27042026.pdf, внутренняя стр. 12</x:v>
      </x:c>
      <x:c r="X2559" s="87"/>
      <x:c r="Y2559" s="87"/>
      <x:c r="Z2559" s="87"/>
      <x:c r="AA2559" s="87"/>
      <x:c r="AB2559" s="87"/>
      <x:c r="AC2559" s="87"/>
      <x:c r="AD2559" s="87"/>
      <x:c r="AE2559" s="87"/>
      <x:c r="AF2559" s="87"/>
      <x:c r="AG2559" s="87"/>
      <x:c r="AH2559" s="87"/>
      <x:c r="AI2559" s="30"/>
      <x:c r="AJ2559" s="87" t="str">
        <x:v>master</x:v>
      </x:c>
      <x:c r="AK2559" s="87" t="str">
        <x:v>master-v0.81</x:v>
      </x:c>
      <x:c r="AL2559" s="87" t="str">
        <x:v>statgrad_master_base_v0_81_final(2).xlsx</x:v>
      </x:c>
      <x:c r="AM2559" s="87" t="str">
        <x:v>CHEM_Apr_V1</x:v>
      </x:c>
      <x:c r="AN2559" s="87" t="n">
        <x:v>24</x:v>
      </x:c>
    </x:row>
    <x:row r="2560">
      <x:c r="A2560" s="87" t="n">
        <x:v>2559</x:v>
      </x:c>
      <x:c r="B2560" s="87" t="str">
        <x:v>APR-CHEM-V1-024</x:v>
      </x:c>
      <x:c r="C2560" s="87" t="str">
        <x:v>СтатГрад</x:v>
      </x:c>
      <x:c r="D2560" s="87" t="str">
        <x:v>Апрель 2026</x:v>
      </x:c>
      <x:c r="E2560" s="87"/>
      <x:c r="F2560" s="87"/>
      <x:c r="G2560" s="87" t="str">
        <x:v>Химия</x:v>
      </x:c>
      <x:c r="H2560" s="87" t="n">
        <x:v>11</x:v>
      </x:c>
      <x:c r="I2560" s="87" t="str">
        <x:v>ТР №5</x:v>
      </x:c>
      <x:c r="J2560" s="87" t="str">
        <x:v>ХИ2510501</x:v>
      </x:c>
      <x:c r="K2560" s="87" t="n">
        <x:v>24</x:v>
      </x:c>
      <x:c r="L2560" s="87" t="str">
        <x:v>Признаки реакций</x:v>
      </x:c>
      <x:c r="M2560" s="30" t="str">
        <x:v>Соотнести четыре пары реагентов с наблюдаемым признаком.</x:v>
      </x:c>
      <x:c r="N2560" s="30" t="str">
        <x:v>5243</x:v>
      </x:c>
      <x:c r="O2560" s="30" t="str">
        <x:v>Подкисление нитрита — без устойчивого видимого признака; Ag₂CO₃ выпадает; Ag₂O растворяется в NH₃; Fe³⁺ восстанавливается SO₂ с изменением цвета.</x:v>
      </x:c>
      <x:c r="P2560" s="30" t="str">
        <x:v>Подкисление нитрита — без устойчивого видимого признака; Ag₂CO₃ выпадает; Ag₂O растворяется в NH₃; Fe³⁺ восстанавливается SO₂ с изменением цвета.</x:v>
      </x:c>
      <x:c r="Q2560" s="30"/>
      <x:c r="R2560" s="30" t="str">
        <x:v>Kriterii_KhI11_27042026.pdf: таблица ответов + фото-сводка + независимая проверка</x:v>
      </x:c>
      <x:c r="S2560" s="30"/>
      <x:c r="T2560" s="30"/>
      <x:c r="U2560" s="30" t="str">
        <x:v>Расхождений не обнаружено.</x:v>
      </x:c>
      <x:c r="V2560" s="87" t="str">
        <x:v>VERIFIED</x:v>
      </x:c>
      <x:c r="W2560" s="87" t="str">
        <x:v>Zadanie_KhI11_27042026.pdf, внутренняя стр. 13</x:v>
      </x:c>
      <x:c r="X2560" s="87"/>
      <x:c r="Y2560" s="87"/>
      <x:c r="Z2560" s="87"/>
      <x:c r="AA2560" s="87"/>
      <x:c r="AB2560" s="87"/>
      <x:c r="AC2560" s="87"/>
      <x:c r="AD2560" s="87"/>
      <x:c r="AE2560" s="87"/>
      <x:c r="AF2560" s="87"/>
      <x:c r="AG2560" s="87"/>
      <x:c r="AH2560" s="87"/>
      <x:c r="AI2560" s="30"/>
      <x:c r="AJ2560" s="87" t="str">
        <x:v>master</x:v>
      </x:c>
      <x:c r="AK2560" s="87" t="str">
        <x:v>master-v0.81</x:v>
      </x:c>
      <x:c r="AL2560" s="87" t="str">
        <x:v>statgrad_master_base_v0_81_final(2).xlsx</x:v>
      </x:c>
      <x:c r="AM2560" s="87" t="str">
        <x:v>CHEM_Apr_V1</x:v>
      </x:c>
      <x:c r="AN2560" s="87" t="n">
        <x:v>25</x:v>
      </x:c>
    </x:row>
    <x:row r="2561">
      <x:c r="A2561" s="87" t="n">
        <x:v>2560</x:v>
      </x:c>
      <x:c r="B2561" s="87" t="str">
        <x:v>APR-CHEM-V1-025</x:v>
      </x:c>
      <x:c r="C2561" s="87" t="str">
        <x:v>СтатГрад</x:v>
      </x:c>
      <x:c r="D2561" s="87" t="str">
        <x:v>Апрель 2026</x:v>
      </x:c>
      <x:c r="E2561" s="87"/>
      <x:c r="F2561" s="87"/>
      <x:c r="G2561" s="87" t="str">
        <x:v>Химия</x:v>
      </x:c>
      <x:c r="H2561" s="87" t="n">
        <x:v>11</x:v>
      </x:c>
      <x:c r="I2561" s="87" t="str">
        <x:v>ТР №5</x:v>
      </x:c>
      <x:c r="J2561" s="87" t="str">
        <x:v>ХИ2510501</x:v>
      </x:c>
      <x:c r="K2561" s="87" t="n">
        <x:v>25</x:v>
      </x:c>
      <x:c r="L2561" s="87" t="str">
        <x:v>Применение веществ</x:v>
      </x:c>
      <x:c r="M2561" s="30" t="str">
        <x:v>Соотнести NaOH, HNO₃ и формальдегид с применением.</x:v>
      </x:c>
      <x:c r="N2561" s="30" t="str">
        <x:v>431</x:v>
      </x:c>
      <x:c r="O2561" s="30" t="str">
        <x:v>NaOH используют для омыления жиров, HNO₃ — при производстве взрывчатых веществ, формальдегид — смол.</x:v>
      </x:c>
      <x:c r="P2561" s="30" t="str">
        <x:v>NaOH используют для омыления жиров, HNO₃ — при производстве взрывчатых веществ, формальдегид — смол.</x:v>
      </x:c>
      <x:c r="Q2561" s="30"/>
      <x:c r="R2561" s="30" t="str">
        <x:v>Фото-сводка ответов + Zadanie_KhI11_27042026.pdf + независимое решение</x:v>
      </x:c>
      <x:c r="S2561" s="30"/>
      <x:c r="T2561" s="30"/>
      <x:c r="U2561" s="30" t="str">
        <x:v>Расхождений не обнаружено.</x:v>
      </x:c>
      <x:c r="V2561" s="87" t="str">
        <x:v>VERIFIED</x:v>
      </x:c>
      <x:c r="W2561" s="87" t="str">
        <x:v>Zadanie_KhI11_27042026.pdf, внутренняя стр. 13</x:v>
      </x:c>
      <x:c r="X2561" s="87"/>
      <x:c r="Y2561" s="87"/>
      <x:c r="Z2561" s="87"/>
      <x:c r="AA2561" s="87"/>
      <x:c r="AB2561" s="87"/>
      <x:c r="AC2561" s="87"/>
      <x:c r="AD2561" s="87"/>
      <x:c r="AE2561" s="87"/>
      <x:c r="AF2561" s="87"/>
      <x:c r="AG2561" s="87"/>
      <x:c r="AH2561" s="87"/>
      <x:c r="AI2561" s="30"/>
      <x:c r="AJ2561" s="87" t="str">
        <x:v>master</x:v>
      </x:c>
      <x:c r="AK2561" s="87" t="str">
        <x:v>master-v0.81</x:v>
      </x:c>
      <x:c r="AL2561" s="87" t="str">
        <x:v>statgrad_master_base_v0_81_final(2).xlsx</x:v>
      </x:c>
      <x:c r="AM2561" s="87" t="str">
        <x:v>CHEM_Apr_V1</x:v>
      </x:c>
      <x:c r="AN2561" s="87" t="n">
        <x:v>26</x:v>
      </x:c>
    </x:row>
    <x:row r="2562">
      <x:c r="A2562" s="87" t="n">
        <x:v>2561</x:v>
      </x:c>
      <x:c r="B2562" s="87" t="str">
        <x:v>APR-CHEM-V1-026</x:v>
      </x:c>
      <x:c r="C2562" s="87" t="str">
        <x:v>СтатГрад</x:v>
      </x:c>
      <x:c r="D2562" s="87" t="str">
        <x:v>Апрель 2026</x:v>
      </x:c>
      <x:c r="E2562" s="87"/>
      <x:c r="F2562" s="87"/>
      <x:c r="G2562" s="87" t="str">
        <x:v>Химия</x:v>
      </x:c>
      <x:c r="H2562" s="87" t="n">
        <x:v>11</x:v>
      </x:c>
      <x:c r="I2562" s="87" t="str">
        <x:v>ТР №5</x:v>
      </x:c>
      <x:c r="J2562" s="87" t="str">
        <x:v>ХИ2510501</x:v>
      </x:c>
      <x:c r="K2562" s="87" t="n">
        <x:v>26</x:v>
      </x:c>
      <x:c r="L2562" s="87" t="str">
        <x:v>Растворы: молярная концентрация</x:v>
      </x:c>
      <x:c r="M2562" s="30" t="str">
        <x:v>Из 36,5%-й HCl приготовить 400 мл 0,5 М раствора; найти массу исходного раствора.</x:v>
      </x:c>
      <x:c r="N2562" s="30" t="str">
        <x:v>20</x:v>
      </x:c>
      <x:c r="O2562" s="30" t="str">
        <x:v>n(HCl)=0,4·0,5=0,2 моль; m(HCl)=7,3 г; m(раствора)=7,3/0,365=20 г.</x:v>
      </x:c>
      <x:c r="P2562" s="30" t="str">
        <x:v>n(HCl)=0,4·0,5=0,2 моль; m(HCl)=7,3 г; m(раствора)=7,3/0,365=20 г.</x:v>
      </x:c>
      <x:c r="Q2562" s="30"/>
      <x:c r="R2562" s="30" t="str">
        <x:v>Фото-сводка ответов + Zadanie_KhI11_27042026.pdf + независимое решение</x:v>
      </x:c>
      <x:c r="S2562" s="30"/>
      <x:c r="T2562" s="30"/>
      <x:c r="U2562" s="30" t="str">
        <x:v>Расхождений не обнаружено.</x:v>
      </x:c>
      <x:c r="V2562" s="87" t="str">
        <x:v>VERIFIED</x:v>
      </x:c>
      <x:c r="W2562" s="87" t="str">
        <x:v>Zadanie_KhI11_27042026.pdf, внутренняя стр. 14</x:v>
      </x:c>
      <x:c r="X2562" s="87"/>
      <x:c r="Y2562" s="87"/>
      <x:c r="Z2562" s="87"/>
      <x:c r="AA2562" s="87"/>
      <x:c r="AB2562" s="87"/>
      <x:c r="AC2562" s="87"/>
      <x:c r="AD2562" s="87"/>
      <x:c r="AE2562" s="87"/>
      <x:c r="AF2562" s="87"/>
      <x:c r="AG2562" s="87"/>
      <x:c r="AH2562" s="87"/>
      <x:c r="AI2562" s="30"/>
      <x:c r="AJ2562" s="87" t="str">
        <x:v>master</x:v>
      </x:c>
      <x:c r="AK2562" s="87" t="str">
        <x:v>master-v0.81</x:v>
      </x:c>
      <x:c r="AL2562" s="87" t="str">
        <x:v>statgrad_master_base_v0_81_final(2).xlsx</x:v>
      </x:c>
      <x:c r="AM2562" s="87" t="str">
        <x:v>CHEM_Apr_V1</x:v>
      </x:c>
      <x:c r="AN2562" s="87" t="n">
        <x:v>27</x:v>
      </x:c>
    </x:row>
    <x:row r="2563">
      <x:c r="A2563" s="87" t="n">
        <x:v>2562</x:v>
      </x:c>
      <x:c r="B2563" s="87" t="str">
        <x:v>APR-CHEM-V1-027</x:v>
      </x:c>
      <x:c r="C2563" s="87" t="str">
        <x:v>СтатГрад</x:v>
      </x:c>
      <x:c r="D2563" s="87" t="str">
        <x:v>Апрель 2026</x:v>
      </x:c>
      <x:c r="E2563" s="87"/>
      <x:c r="F2563" s="87"/>
      <x:c r="G2563" s="87" t="str">
        <x:v>Химия</x:v>
      </x:c>
      <x:c r="H2563" s="87" t="n">
        <x:v>11</x:v>
      </x:c>
      <x:c r="I2563" s="87" t="str">
        <x:v>ТР №5</x:v>
      </x:c>
      <x:c r="J2563" s="87" t="str">
        <x:v>ХИ2510501</x:v>
      </x:c>
      <x:c r="K2563" s="87" t="n">
        <x:v>27</x:v>
      </x:c>
      <x:c r="L2563" s="87" t="str">
        <x:v>Термохимия</x:v>
      </x:c>
      <x:c r="M2563" s="30" t="str">
        <x:v>По 2Ag₂O→4Ag+O₂−62 кДж при поглощении 310 Дж найти массу Ag.</x:v>
      </x:c>
      <x:c r="N2563" s="30" t="str">
        <x:v>2,16</x:v>
      </x:c>
      <x:c r="O2563" s="30" t="str">
        <x:v>310/62000=0,005 моль стехиометрического акта; n(Ag)=0,02 моль; m=2,16 г.</x:v>
      </x:c>
      <x:c r="P2563" s="30" t="str">
        <x:v>310/62000=0,005 моль стехиометрического акта; n(Ag)=0,02 моль; m=2,16 г.</x:v>
      </x:c>
      <x:c r="Q2563" s="30"/>
      <x:c r="R2563" s="30" t="str">
        <x:v>Фото-сводка ответов + Zadanie_KhI11_27042026.pdf + независимое решение</x:v>
      </x:c>
      <x:c r="S2563" s="30"/>
      <x:c r="T2563" s="30"/>
      <x:c r="U2563" s="30" t="str">
        <x:v>Расхождений не обнаружено.</x:v>
      </x:c>
      <x:c r="V2563" s="87" t="str">
        <x:v>VERIFIED</x:v>
      </x:c>
      <x:c r="W2563" s="87" t="str">
        <x:v>Zadanie_KhI11_27042026.pdf, внутренняя стр. 14</x:v>
      </x:c>
      <x:c r="X2563" s="87"/>
      <x:c r="Y2563" s="87"/>
      <x:c r="Z2563" s="87"/>
      <x:c r="AA2563" s="87"/>
      <x:c r="AB2563" s="87"/>
      <x:c r="AC2563" s="87"/>
      <x:c r="AD2563" s="87"/>
      <x:c r="AE2563" s="87"/>
      <x:c r="AF2563" s="87"/>
      <x:c r="AG2563" s="87"/>
      <x:c r="AH2563" s="87"/>
      <x:c r="AI2563" s="30"/>
      <x:c r="AJ2563" s="87" t="str">
        <x:v>master</x:v>
      </x:c>
      <x:c r="AK2563" s="87" t="str">
        <x:v>master-v0.81</x:v>
      </x:c>
      <x:c r="AL2563" s="87" t="str">
        <x:v>statgrad_master_base_v0_81_final(2).xlsx</x:v>
      </x:c>
      <x:c r="AM2563" s="87" t="str">
        <x:v>CHEM_Apr_V1</x:v>
      </x:c>
      <x:c r="AN2563" s="87" t="n">
        <x:v>28</x:v>
      </x:c>
    </x:row>
    <x:row r="2564">
      <x:c r="A2564" s="87" t="n">
        <x:v>2563</x:v>
      </x:c>
      <x:c r="B2564" s="87" t="str">
        <x:v>APR-CHEM-V1-028</x:v>
      </x:c>
      <x:c r="C2564" s="87" t="str">
        <x:v>СтатГрад</x:v>
      </x:c>
      <x:c r="D2564" s="87" t="str">
        <x:v>Апрель 2026</x:v>
      </x:c>
      <x:c r="E2564" s="87"/>
      <x:c r="F2564" s="87"/>
      <x:c r="G2564" s="87" t="str">
        <x:v>Химия</x:v>
      </x:c>
      <x:c r="H2564" s="87" t="n">
        <x:v>11</x:v>
      </x:c>
      <x:c r="I2564" s="87" t="str">
        <x:v>ТР №5</x:v>
      </x:c>
      <x:c r="J2564" s="87" t="str">
        <x:v>ХИ2510501</x:v>
      </x:c>
      <x:c r="K2564" s="87" t="n">
        <x:v>28</x:v>
      </x:c>
      <x:c r="L2564" s="87" t="str">
        <x:v>Выход продукта</x:v>
      </x:c>
      <x:c r="M2564" s="30" t="str">
        <x:v>При нитровании толуола получено 28,77 г о-нитротолуола с выходом 35%; найти массу толуола.</x:v>
      </x:c>
      <x:c r="N2564" s="30" t="str">
        <x:v>55,2</x:v>
      </x:c>
      <x:c r="O2564" s="30" t="str">
        <x:v>n продукта=28,77/137=0,21 моль; теоретически 0,60 моль толуола; m=0,60·92=55,2 г.</x:v>
      </x:c>
      <x:c r="P2564" s="30" t="str">
        <x:v>n продукта=28,77/137=0,21 моль; теоретически 0,60 моль толуола; m=0,60·92=55,2 г.</x:v>
      </x:c>
      <x:c r="Q2564" s="30"/>
      <x:c r="R2564" s="30" t="str">
        <x:v>Фото-сводка ответов + Zadanie_KhI11_27042026.pdf + независимое решение</x:v>
      </x:c>
      <x:c r="S2564" s="30"/>
      <x:c r="T2564" s="30"/>
      <x:c r="U2564" s="30" t="str">
        <x:v>Расхождений не обнаружено.</x:v>
      </x:c>
      <x:c r="V2564" s="87" t="str">
        <x:v>VERIFIED</x:v>
      </x:c>
      <x:c r="W2564" s="87" t="str">
        <x:v>Zadanie_KhI11_27042026.pdf, внутренняя стр. 14</x:v>
      </x:c>
      <x:c r="X2564" s="87"/>
      <x:c r="Y2564" s="87"/>
      <x:c r="Z2564" s="87"/>
      <x:c r="AA2564" s="87"/>
      <x:c r="AB2564" s="87"/>
      <x:c r="AC2564" s="87"/>
      <x:c r="AD2564" s="87"/>
      <x:c r="AE2564" s="87"/>
      <x:c r="AF2564" s="87"/>
      <x:c r="AG2564" s="87"/>
      <x:c r="AH2564" s="87"/>
      <x:c r="AI2564" s="30"/>
      <x:c r="AJ2564" s="87" t="str">
        <x:v>master</x:v>
      </x:c>
      <x:c r="AK2564" s="87" t="str">
        <x:v>master-v0.81</x:v>
      </x:c>
      <x:c r="AL2564" s="87" t="str">
        <x:v>statgrad_master_base_v0_81_final(2).xlsx</x:v>
      </x:c>
      <x:c r="AM2564" s="87" t="str">
        <x:v>CHEM_Apr_V1</x:v>
      </x:c>
      <x:c r="AN2564" s="87" t="n">
        <x:v>29</x:v>
      </x:c>
    </x:row>
    <x:row r="2565">
      <x:c r="A2565" s="87" t="n">
        <x:v>2564</x:v>
      </x:c>
      <x:c r="B2565" s="87" t="str">
        <x:v>APR-CHEM-V1-029</x:v>
      </x:c>
      <x:c r="C2565" s="87" t="str">
        <x:v>СтатГрад</x:v>
      </x:c>
      <x:c r="D2565" s="87" t="str">
        <x:v>Апрель 2026</x:v>
      </x:c>
      <x:c r="E2565" s="87"/>
      <x:c r="F2565" s="87"/>
      <x:c r="G2565" s="87" t="str">
        <x:v>Химия</x:v>
      </x:c>
      <x:c r="H2565" s="87" t="n">
        <x:v>11</x:v>
      </x:c>
      <x:c r="I2565" s="87" t="str">
        <x:v>ТР №5</x:v>
      </x:c>
      <x:c r="J2565" s="87" t="str">
        <x:v>ХИ2510501</x:v>
      </x:c>
      <x:c r="K2565" s="87" t="n">
        <x:v>29</x:v>
      </x:c>
      <x:c r="L2565" s="87" t="str">
        <x:v>Развёрнутый ответ: ОВР</x:v>
      </x:c>
      <x:c r="M2565" s="30" t="str">
        <x:v>Из CaSO₃, MgSO₄, HBr, H₃PO₄, K₂CrO₄ и Ag выбрать окислитель/восстановитель; реакция должна сопровождаться изменением цвета.</x:v>
      </x:c>
      <x:c r="N2565" s="30" t="str">
        <x:v>2K₂CrO₄ + 16HBr → 2CrBr₃ + 3Br₂ + 4KBr + 8H₂O.
Баланс: Cr(+6)+3e⁻→Cr(+3) (×2); 2Br⁻−2e⁻→Br₂ (×3).
Окислитель K₂CrO₄, восстановитель HBr.</x:v>
      </x:c>
      <x:c r="O2565" s="30" t="str">
        <x:v>Хромат(VI) восстанавливается до Cr(III), а Br⁻ окисляется до Br₂.</x:v>
      </x:c>
      <x:c r="P2565" s="30" t="str">
        <x:v>Уравнение атомно и зарядово сбалансировано; электронный баланс проверен отдельно.</x:v>
      </x:c>
      <x:c r="Q2565" s="30"/>
      <x:c r="R2565" s="30" t="str">
        <x:v>Kriterii_KhI11_27042026.pdf + независимая проверка</x:v>
      </x:c>
      <x:c r="S2565" s="30"/>
      <x:c r="T2565" s="30"/>
      <x:c r="U2565" s="30" t="str">
        <x:v>В официальном критерии полуреакция Br⁻/Br₂ напечатана в обратную сторону; итоговое ОВР и роли веществ при этом указаны верно.</x:v>
      </x:c>
      <x:c r="V2565" s="87" t="str">
        <x:v>KEY_MISMATCH</x:v>
      </x:c>
      <x:c r="W2565" s="87" t="str">
        <x:v>Zadanie_KhI11_27042026.pdf, внутренняя стр. 15</x:v>
      </x:c>
      <x:c r="X2565" s="87"/>
      <x:c r="Y2565" s="87"/>
      <x:c r="Z2565" s="87"/>
      <x:c r="AA2565" s="87"/>
      <x:c r="AB2565" s="87"/>
      <x:c r="AC2565" s="87"/>
      <x:c r="AD2565" s="87"/>
      <x:c r="AE2565" s="87"/>
      <x:c r="AF2565" s="87"/>
      <x:c r="AG2565" s="87"/>
      <x:c r="AH2565" s="87"/>
      <x:c r="AI2565" s="30"/>
      <x:c r="AJ2565" s="87" t="str">
        <x:v>master</x:v>
      </x:c>
      <x:c r="AK2565" s="87" t="str">
        <x:v>master-v0.81</x:v>
      </x:c>
      <x:c r="AL2565" s="87" t="str">
        <x:v>statgrad_master_base_v0_81_final(2).xlsx</x:v>
      </x:c>
      <x:c r="AM2565" s="87" t="str">
        <x:v>CHEM_Apr_V1</x:v>
      </x:c>
      <x:c r="AN2565" s="87" t="n">
        <x:v>30</x:v>
      </x:c>
    </x:row>
    <x:row r="2566">
      <x:c r="A2566" s="87" t="n">
        <x:v>2565</x:v>
      </x:c>
      <x:c r="B2566" s="87" t="str">
        <x:v>APR-CHEM-V1-030</x:v>
      </x:c>
      <x:c r="C2566" s="87" t="str">
        <x:v>СтатГрад</x:v>
      </x:c>
      <x:c r="D2566" s="87" t="str">
        <x:v>Апрель 2026</x:v>
      </x:c>
      <x:c r="E2566" s="87"/>
      <x:c r="F2566" s="87"/>
      <x:c r="G2566" s="87" t="str">
        <x:v>Химия</x:v>
      </x:c>
      <x:c r="H2566" s="87" t="n">
        <x:v>11</x:v>
      </x:c>
      <x:c r="I2566" s="87" t="str">
        <x:v>ТР №5</x:v>
      </x:c>
      <x:c r="J2566" s="87" t="str">
        <x:v>ХИ2510501</x:v>
      </x:c>
      <x:c r="K2566" s="87" t="n">
        <x:v>30</x:v>
      </x:c>
      <x:c r="L2566" s="87" t="str">
        <x:v>Развёрнутый ответ: ионный обмен</x:v>
      </x:c>
      <x:c r="M2566" s="30" t="str">
        <x:v>Из перечня варианта выбрать два вещества для реакции ионного обмена с образованием осадка; записать три уравнения.</x:v>
      </x:c>
      <x:c r="N2566" s="30" t="str">
        <x:v>3MgSO₄ + 2H₃PO₄ → Mg₃(PO₄)₂↓ + 3H₂SO₄.
Полное ионное: 3Mg²⁺+3SO₄²⁻+2H₃PO₄→Mg₃(PO₄)₂↓+6H⁺+3SO₄²⁻.
Сокращённое: 3Mg²⁺+2H₃PO₄→Mg₃(PO₄)₂↓+6H⁺.</x:v>
      </x:c>
      <x:c r="O2566" s="30" t="str">
        <x:v>Осаждается малорастворимый фосфат магния.</x:v>
      </x:c>
      <x:c r="P2566" s="30" t="str">
        <x:v>Проверены коэффициенты, заряд и сокращение ионов-наблюдателей.</x:v>
      </x:c>
      <x:c r="Q2566" s="30"/>
      <x:c r="R2566" s="30" t="str">
        <x:v>Zadanie_KhI11_27042026.pdf + независимое восстановление; дефект слоя Kriterii_KhI11_27042026.pdf</x:v>
      </x:c>
      <x:c r="S2566" s="30"/>
      <x:c r="T2566" s="30"/>
      <x:c r="U2566" s="30" t="str">
        <x:v>В предоставленном PDF критериев область №30 повреждена наложением текста соседнего варианта; модель восстановлена независимо по условию.</x:v>
      </x:c>
      <x:c r="V2566" s="87" t="str">
        <x:v>VERIFIED</x:v>
      </x:c>
      <x:c r="W2566" s="87" t="str">
        <x:v>Zadanie_KhI11_27042026.pdf, внутренняя стр. 15</x:v>
      </x:c>
      <x:c r="X2566" s="87"/>
      <x:c r="Y2566" s="87"/>
      <x:c r="Z2566" s="87"/>
      <x:c r="AA2566" s="87"/>
      <x:c r="AB2566" s="87"/>
      <x:c r="AC2566" s="87"/>
      <x:c r="AD2566" s="87"/>
      <x:c r="AE2566" s="87"/>
      <x:c r="AF2566" s="87"/>
      <x:c r="AG2566" s="87"/>
      <x:c r="AH2566" s="87"/>
      <x:c r="AI2566" s="30"/>
      <x:c r="AJ2566" s="87" t="str">
        <x:v>master</x:v>
      </x:c>
      <x:c r="AK2566" s="87" t="str">
        <x:v>master-v0.81</x:v>
      </x:c>
      <x:c r="AL2566" s="87" t="str">
        <x:v>statgrad_master_base_v0_81_final(2).xlsx</x:v>
      </x:c>
      <x:c r="AM2566" s="87" t="str">
        <x:v>CHEM_Apr_V1</x:v>
      </x:c>
      <x:c r="AN2566" s="87" t="n">
        <x:v>31</x:v>
      </x:c>
    </x:row>
    <x:row r="2567">
      <x:c r="A2567" s="87" t="n">
        <x:v>2566</x:v>
      </x:c>
      <x:c r="B2567" s="87" t="str">
        <x:v>APR-CHEM-V1-031</x:v>
      </x:c>
      <x:c r="C2567" s="87" t="str">
        <x:v>СтатГрад</x:v>
      </x:c>
      <x:c r="D2567" s="87" t="str">
        <x:v>Апрель 2026</x:v>
      </x:c>
      <x:c r="E2567" s="87"/>
      <x:c r="F2567" s="87"/>
      <x:c r="G2567" s="87" t="str">
        <x:v>Химия</x:v>
      </x:c>
      <x:c r="H2567" s="87" t="n">
        <x:v>11</x:v>
      </x:c>
      <x:c r="I2567" s="87" t="str">
        <x:v>ТР №5</x:v>
      </x:c>
      <x:c r="J2567" s="87" t="str">
        <x:v>ХИ2510501</x:v>
      </x:c>
      <x:c r="K2567" s="87" t="n">
        <x:v>31</x:v>
      </x:c>
      <x:c r="L2567" s="87" t="str">
        <x:v>Развёрнутый ответ: неорганическая цепочка</x:v>
      </x:c>
      <x:c r="M2567" s="30" t="str">
        <x:v>Fe₂O₃ сплавляют с KOH/KNO₃; затем BaCl₂, концентрированная HCl и холодная известковая вода.</x:v>
      </x:c>
      <x:c r="N2567" s="30" t="str">
        <x:v>1) Fe₂O₃+3KNO₃+4KOH→2K₂FeO₄+3KNO₂+2H₂O.
2) BaCl₂+K₂FeO₄→BaFeO₄↓+2KCl.
3) 2BaFeO₄+16HCl→2BaCl₂+2FeCl₃+3Cl₂↑+8H₂O.
4) Cl₂+Ca(OH)₂→CaOCl₂+H₂O.</x:v>
      </x:c>
      <x:c r="O2567" s="30" t="str">
        <x:v>Последовательно образуются феррат калия, феррат бария, хлор и хлорная известь.</x:v>
      </x:c>
      <x:c r="P2567" s="30" t="str">
        <x:v>Все четыре уравнения проверены по атомному и электронному балансу.</x:v>
      </x:c>
      <x:c r="Q2567" s="30"/>
      <x:c r="R2567" s="30" t="str">
        <x:v>Kriterii_KhI11_27042026.pdf + независимая проверка</x:v>
      </x:c>
      <x:c r="S2567" s="30"/>
      <x:c r="T2567" s="30"/>
      <x:c r="U2567" s="30" t="str">
        <x:v>Расхождений не обнаружено.</x:v>
      </x:c>
      <x:c r="V2567" s="87" t="str">
        <x:v>VERIFIED</x:v>
      </x:c>
      <x:c r="W2567" s="87" t="str">
        <x:v>Zadanie_KhI11_27042026.pdf, внутренняя стр. 15</x:v>
      </x:c>
      <x:c r="X2567" s="87"/>
      <x:c r="Y2567" s="87"/>
      <x:c r="Z2567" s="87"/>
      <x:c r="AA2567" s="87"/>
      <x:c r="AB2567" s="87"/>
      <x:c r="AC2567" s="87"/>
      <x:c r="AD2567" s="87"/>
      <x:c r="AE2567" s="87"/>
      <x:c r="AF2567" s="87"/>
      <x:c r="AG2567" s="87"/>
      <x:c r="AH2567" s="87"/>
      <x:c r="AI2567" s="30"/>
      <x:c r="AJ2567" s="87" t="str">
        <x:v>master</x:v>
      </x:c>
      <x:c r="AK2567" s="87" t="str">
        <x:v>master-v0.81</x:v>
      </x:c>
      <x:c r="AL2567" s="87" t="str">
        <x:v>statgrad_master_base_v0_81_final(2).xlsx</x:v>
      </x:c>
      <x:c r="AM2567" s="87" t="str">
        <x:v>CHEM_Apr_V1</x:v>
      </x:c>
      <x:c r="AN2567" s="87" t="n">
        <x:v>32</x:v>
      </x:c>
    </x:row>
    <x:row r="2568">
      <x:c r="A2568" s="87" t="n">
        <x:v>2567</x:v>
      </x:c>
      <x:c r="B2568" s="87" t="str">
        <x:v>APR-CHEM-V1-032</x:v>
      </x:c>
      <x:c r="C2568" s="87" t="str">
        <x:v>СтатГрад</x:v>
      </x:c>
      <x:c r="D2568" s="87" t="str">
        <x:v>Апрель 2026</x:v>
      </x:c>
      <x:c r="E2568" s="87"/>
      <x:c r="F2568" s="87"/>
      <x:c r="G2568" s="87" t="str">
        <x:v>Химия</x:v>
      </x:c>
      <x:c r="H2568" s="87" t="n">
        <x:v>11</x:v>
      </x:c>
      <x:c r="I2568" s="87" t="str">
        <x:v>ТР №5</x:v>
      </x:c>
      <x:c r="J2568" s="87" t="str">
        <x:v>ХИ2510501</x:v>
      </x:c>
      <x:c r="K2568" s="87" t="n">
        <x:v>32</x:v>
      </x:c>
      <x:c r="L2568" s="87" t="str">
        <x:v>Развёрнутый ответ: органическая цепочка</x:v>
      </x:c>
      <x:c r="M2568" s="30" t="str">
        <x:v>HCOOH → X₁ → CH₃OH → CH₃COOH → X₂ → метилфенилкетон.</x:v>
      </x:c>
      <x:c r="N2568" s="30" t="str">
        <x:v>1) HCOOH → CO+H₂O (H₂SO₄, t); X₁=CO.
2) CO+2H₂→CH₃OH (кат., p, t).
3) CH₃OH+CO→CH₃COOH (кат.).
4) CH₃COOH+PCl₅→CH₃COCl+POCl₃+HCl; X₂=CH₃COCl.
5) C₆H₆+CH₃COCl→C₆H₅COCH₃+HCl (AlCl₃).</x:v>
      </x:c>
      <x:c r="O2568" s="30" t="str">
        <x:v>X₁ — CO, X₂ — ацетилхлорид; последняя стадия — ацилирование Фриделя–Крафтса.</x:v>
      </x:c>
      <x:c r="P2568" s="30" t="str">
        <x:v>X₁ — CO, X₂ — ацетилхлорид; последняя стадия — ацилирование Фриделя–Крафтса.</x:v>
      </x:c>
      <x:c r="Q2568" s="30"/>
      <x:c r="R2568" s="30" t="str">
        <x:v>Kriterii_KhI11_27042026.pdf + независимая проверка</x:v>
      </x:c>
      <x:c r="S2568" s="30"/>
      <x:c r="T2568" s="30"/>
      <x:c r="U2568" s="30" t="str">
        <x:v>Расхождений не обнаружено.</x:v>
      </x:c>
      <x:c r="V2568" s="87" t="str">
        <x:v>VERIFIED</x:v>
      </x:c>
      <x:c r="W2568" s="87" t="str">
        <x:v>Zadanie_KhI11_27042026.pdf, внутренняя стр. 15</x:v>
      </x:c>
      <x:c r="X2568" s="87"/>
      <x:c r="Y2568" s="87"/>
      <x:c r="Z2568" s="87"/>
      <x:c r="AA2568" s="87"/>
      <x:c r="AB2568" s="87"/>
      <x:c r="AC2568" s="87"/>
      <x:c r="AD2568" s="87"/>
      <x:c r="AE2568" s="87"/>
      <x:c r="AF2568" s="87"/>
      <x:c r="AG2568" s="87"/>
      <x:c r="AH2568" s="87"/>
      <x:c r="AI2568" s="30"/>
      <x:c r="AJ2568" s="87" t="str">
        <x:v>master</x:v>
      </x:c>
      <x:c r="AK2568" s="87" t="str">
        <x:v>master-v0.81</x:v>
      </x:c>
      <x:c r="AL2568" s="87" t="str">
        <x:v>statgrad_master_base_v0_81_final(2).xlsx</x:v>
      </x:c>
      <x:c r="AM2568" s="87" t="str">
        <x:v>CHEM_Apr_V1</x:v>
      </x:c>
      <x:c r="AN2568" s="87" t="n">
        <x:v>33</x:v>
      </x:c>
    </x:row>
    <x:row r="2569">
      <x:c r="A2569" s="87" t="n">
        <x:v>2568</x:v>
      </x:c>
      <x:c r="B2569" s="87" t="str">
        <x:v>APR-CHEM-V1-033</x:v>
      </x:c>
      <x:c r="C2569" s="87" t="str">
        <x:v>СтатГрад</x:v>
      </x:c>
      <x:c r="D2569" s="87" t="str">
        <x:v>Апрель 2026</x:v>
      </x:c>
      <x:c r="E2569" s="87"/>
      <x:c r="F2569" s="87"/>
      <x:c r="G2569" s="87" t="str">
        <x:v>Химия</x:v>
      </x:c>
      <x:c r="H2569" s="87" t="n">
        <x:v>11</x:v>
      </x:c>
      <x:c r="I2569" s="87" t="str">
        <x:v>ТР №5</x:v>
      </x:c>
      <x:c r="J2569" s="87" t="str">
        <x:v>ХИ2510501</x:v>
      </x:c>
      <x:c r="K2569" s="87" t="n">
        <x:v>33</x:v>
      </x:c>
      <x:c r="L2569" s="87" t="str">
        <x:v>Развёрнутый ответ: установление формулы</x:v>
      </x:c>
      <x:c r="M2569" s="30" t="str">
        <x:v>По продуктам сгорания 3,20 г вещества с бензольным кольцом установить формулу, структуру и гидролиз.</x:v>
      </x:c>
      <x:c r="N2569" s="30" t="str">
        <x:v>n(C)=0,20; n(H)=0,10; n(N)=0,05 моль; простейшее отношение 4:2:1.
С учётом бензольного кольца формула C₈H₄N₂; структура — 1,4-дицианобензол.
p-C₆H₄(CN)₂+4H₂O+2HCl→p-C₆H₄(COOH)₂+2NH₄Cl.</x:v>
      </x:c>
      <x:c r="O2569" s="30" t="str">
        <x:v>Эмпирическая формула C₄H₂N удваивается; максимальное удаление групп задаёт пара-изомер.</x:v>
      </x:c>
      <x:c r="P2569" s="30" t="str">
        <x:v>Эмпирическая формула C₄H₂N удваивается; максимальное удаление групп задаёт пара-изомер.</x:v>
      </x:c>
      <x:c r="Q2569" s="30"/>
      <x:c r="R2569" s="30" t="str">
        <x:v>Kriterii_KhI11_27042026.pdf + независимая проверка</x:v>
      </x:c>
      <x:c r="S2569" s="30"/>
      <x:c r="T2569" s="30"/>
      <x:c r="U2569" s="30" t="str">
        <x:v>Расхождений не обнаружено.</x:v>
      </x:c>
      <x:c r="V2569" s="87" t="str">
        <x:v>VERIFIED</x:v>
      </x:c>
      <x:c r="W2569" s="87" t="str">
        <x:v>Zadanie_KhI11_27042026.pdf, внутренняя стр. 16</x:v>
      </x:c>
      <x:c r="X2569" s="87"/>
      <x:c r="Y2569" s="87"/>
      <x:c r="Z2569" s="87"/>
      <x:c r="AA2569" s="87"/>
      <x:c r="AB2569" s="87"/>
      <x:c r="AC2569" s="87"/>
      <x:c r="AD2569" s="87"/>
      <x:c r="AE2569" s="87"/>
      <x:c r="AF2569" s="87"/>
      <x:c r="AG2569" s="87"/>
      <x:c r="AH2569" s="87"/>
      <x:c r="AI2569" s="30"/>
      <x:c r="AJ2569" s="87" t="str">
        <x:v>master</x:v>
      </x:c>
      <x:c r="AK2569" s="87" t="str">
        <x:v>master-v0.81</x:v>
      </x:c>
      <x:c r="AL2569" s="87" t="str">
        <x:v>statgrad_master_base_v0_81_final(2).xlsx</x:v>
      </x:c>
      <x:c r="AM2569" s="87" t="str">
        <x:v>CHEM_Apr_V1</x:v>
      </x:c>
      <x:c r="AN2569" s="87" t="n">
        <x:v>34</x:v>
      </x:c>
    </x:row>
    <x:row r="2570">
      <x:c r="A2570" s="87" t="n">
        <x:v>2569</x:v>
      </x:c>
      <x:c r="B2570" s="87" t="str">
        <x:v>APR-CHEM-V1-034</x:v>
      </x:c>
      <x:c r="C2570" s="87" t="str">
        <x:v>СтатГрад</x:v>
      </x:c>
      <x:c r="D2570" s="87" t="str">
        <x:v>Апрель 2026</x:v>
      </x:c>
      <x:c r="E2570" s="87"/>
      <x:c r="F2570" s="87"/>
      <x:c r="G2570" s="87" t="str">
        <x:v>Химия</x:v>
      </x:c>
      <x:c r="H2570" s="87" t="n">
        <x:v>11</x:v>
      </x:c>
      <x:c r="I2570" s="87" t="str">
        <x:v>ТР №5</x:v>
      </x:c>
      <x:c r="J2570" s="87" t="str">
        <x:v>ХИ2510501</x:v>
      </x:c>
      <x:c r="K2570" s="87" t="n">
        <x:v>34</x:v>
      </x:c>
      <x:c r="L2570" s="87" t="str">
        <x:v>Развёрнутый ответ: сплав и расчёт</x:v>
      </x:c>
      <x:c r="M2570" s="30" t="str">
        <x:v>Медно-алюминиевую бронзу растворили в горячей HNO₃; NO₂ поглотили NaOH; затем NH₃ и прокаливание осадка.</x:v>
      </x:c>
      <x:c r="N2570" s="30" t="str">
        <x:v>Cu+4HNO₃→Cu(NO₃)₂+2NO₂+2H₂O; Al+6HNO₃→Al(NO₃)₃+3NO₂+3H₂O.
2NO₂+2NaOH→NaNO₃+NaNO₂+H₂O; n(NO₂)=0,78 моль.
Система 63,5x+27y=20,67; 2x+3y=0,78 даёт x=0,30, y=0,06.
ω(Cu)=92,2%, ω(Al)=7,8%. После NH₃ осаждается Al(OH)₃; 2Al(OH)₃→Al₂O₃+3H₂O, m(Al₂O₃)=3,06 г.</x:v>
      </x:c>
      <x:c r="O2570" s="30" t="str">
        <x:v>Количество NO₂ задаёт второе уравнение для количеств Cu и Al; Cu остаётся в амминном комплексе, Al осаждается.</x:v>
      </x:c>
      <x:c r="P2570" s="30" t="str">
        <x:v>Количество NO₂ задаёт второе уравнение для количеств Cu и Al; Cu остаётся в амминном комплексе, Al осаждается.</x:v>
      </x:c>
      <x:c r="Q2570" s="30"/>
      <x:c r="R2570" s="30" t="str">
        <x:v>Kriterii_KhI11_27042026.pdf + независимая проверка</x:v>
      </x:c>
      <x:c r="S2570" s="30"/>
      <x:c r="T2570" s="30"/>
      <x:c r="U2570" s="30" t="str">
        <x:v>Расхождений не обнаружено.</x:v>
      </x:c>
      <x:c r="V2570" s="87" t="str">
        <x:v>VERIFIED</x:v>
      </x:c>
      <x:c r="W2570" s="87" t="str">
        <x:v>Zadanie_KhI11_27042026.pdf, внутренняя стр. 16</x:v>
      </x:c>
      <x:c r="X2570" s="87"/>
      <x:c r="Y2570" s="87"/>
      <x:c r="Z2570" s="87"/>
      <x:c r="AA2570" s="87"/>
      <x:c r="AB2570" s="87"/>
      <x:c r="AC2570" s="87"/>
      <x:c r="AD2570" s="87"/>
      <x:c r="AE2570" s="87"/>
      <x:c r="AF2570" s="87"/>
      <x:c r="AG2570" s="87"/>
      <x:c r="AH2570" s="87"/>
      <x:c r="AI2570" s="30"/>
      <x:c r="AJ2570" s="87" t="str">
        <x:v>master</x:v>
      </x:c>
      <x:c r="AK2570" s="87" t="str">
        <x:v>master-v0.81</x:v>
      </x:c>
      <x:c r="AL2570" s="87" t="str">
        <x:v>statgrad_master_base_v0_81_final(2).xlsx</x:v>
      </x:c>
      <x:c r="AM2570" s="87" t="str">
        <x:v>CHEM_Apr_V1</x:v>
      </x:c>
      <x:c r="AN2570" s="87" t="n">
        <x:v>35</x:v>
      </x:c>
    </x:row>
    <x:row r="2571">
      <x:c r="A2571" s="87" t="n">
        <x:v>2570</x:v>
      </x:c>
      <x:c r="B2571" s="87" t="str">
        <x:v>APR-CHEM-V2-001</x:v>
      </x:c>
      <x:c r="C2571" s="87" t="str">
        <x:v>СтатГрад</x:v>
      </x:c>
      <x:c r="D2571" s="87" t="str">
        <x:v>Апрель 2026</x:v>
      </x:c>
      <x:c r="E2571" s="87"/>
      <x:c r="F2571" s="87"/>
      <x:c r="G2571" s="87" t="str">
        <x:v>Химия</x:v>
      </x:c>
      <x:c r="H2571" s="87" t="n">
        <x:v>11</x:v>
      </x:c>
      <x:c r="I2571" s="87" t="str">
        <x:v>ТР №5</x:v>
      </x:c>
      <x:c r="J2571" s="87" t="str">
        <x:v>ХИ2510502</x:v>
      </x:c>
      <x:c r="K2571" s="87" t="n">
        <x:v>1</x:v>
      </x:c>
      <x:c r="L2571" s="87" t="str">
        <x:v>Строение атома</x:v>
      </x:c>
      <x:c r="M2571" s="30" t="str">
        <x:v>Для ряда K, C, Se, Cu, Cl выбрать два элемента с одинаковым числом электронов на внешнем уровне.</x:v>
      </x:c>
      <x:c r="N2571" s="30" t="str">
        <x:v>14</x:v>
      </x:c>
      <x:c r="O2571" s="30" t="str">
        <x:v>У K и Cu на внешнем энергетическом уровне по одному электрону.</x:v>
      </x:c>
      <x:c r="P2571" s="30" t="str">
        <x:v>У K и Cu на внешнем энергетическом уровне по одному электрону.</x:v>
      </x:c>
      <x:c r="Q2571" s="30"/>
      <x:c r="R2571" s="30" t="str">
        <x:v>Фото-сводка ответов + Zadanie_KhI11_27042026.pdf + независимое решение</x:v>
      </x:c>
      <x:c r="S2571" s="30"/>
      <x:c r="T2571" s="30"/>
      <x:c r="U2571" s="30" t="str">
        <x:v>Расхождений не обнаружено.</x:v>
      </x:c>
      <x:c r="V2571" s="87" t="str">
        <x:v>VERIFIED</x:v>
      </x:c>
      <x:c r="W2571" s="87" t="str">
        <x:v>Zadanie_KhI11_27042026.pdf, внутренняя стр. 2</x:v>
      </x:c>
      <x:c r="X2571" s="87"/>
      <x:c r="Y2571" s="87"/>
      <x:c r="Z2571" s="87"/>
      <x:c r="AA2571" s="87"/>
      <x:c r="AB2571" s="87"/>
      <x:c r="AC2571" s="87"/>
      <x:c r="AD2571" s="87"/>
      <x:c r="AE2571" s="87"/>
      <x:c r="AF2571" s="87"/>
      <x:c r="AG2571" s="87"/>
      <x:c r="AH2571" s="87"/>
      <x:c r="AI2571" s="30"/>
      <x:c r="AJ2571" s="87" t="str">
        <x:v>master</x:v>
      </x:c>
      <x:c r="AK2571" s="87" t="str">
        <x:v>master-v0.81</x:v>
      </x:c>
      <x:c r="AL2571" s="87" t="str">
        <x:v>statgrad_master_base_v0_81_final(2).xlsx</x:v>
      </x:c>
      <x:c r="AM2571" s="87" t="str">
        <x:v>CHEM_Apr_V2</x:v>
      </x:c>
      <x:c r="AN2571" s="87" t="n">
        <x:v>2</x:v>
      </x:c>
    </x:row>
    <x:row r="2572">
      <x:c r="A2572" s="87" t="n">
        <x:v>2571</x:v>
      </x:c>
      <x:c r="B2572" s="87" t="str">
        <x:v>APR-CHEM-V2-002</x:v>
      </x:c>
      <x:c r="C2572" s="87" t="str">
        <x:v>СтатГрад</x:v>
      </x:c>
      <x:c r="D2572" s="87" t="str">
        <x:v>Апрель 2026</x:v>
      </x:c>
      <x:c r="E2572" s="87"/>
      <x:c r="F2572" s="87"/>
      <x:c r="G2572" s="87" t="str">
        <x:v>Химия</x:v>
      </x:c>
      <x:c r="H2572" s="87" t="n">
        <x:v>11</x:v>
      </x:c>
      <x:c r="I2572" s="87" t="str">
        <x:v>ТР №5</x:v>
      </x:c>
      <x:c r="J2572" s="87" t="str">
        <x:v>ХИ2510502</x:v>
      </x:c>
      <x:c r="K2572" s="87" t="n">
        <x:v>2</x:v>
      </x:c>
      <x:c r="L2572" s="87" t="str">
        <x:v>Периодические свойства</x:v>
      </x:c>
      <x:c r="M2572" s="30" t="str">
        <x:v>Из K, C, Se, Cu, Cl выбрать неметаллы и расположить по убыванию высшей степени окисления.</x:v>
      </x:c>
      <x:c r="N2572" s="30" t="str">
        <x:v>532</x:v>
      </x:c>
      <x:c r="O2572" s="30" t="str">
        <x:v>Cl: +7; Se: +6; C: +4, поэтому 5→3→2.</x:v>
      </x:c>
      <x:c r="P2572" s="30" t="str">
        <x:v>Cl: +7; Se: +6; C: +4, поэтому 5→3→2.</x:v>
      </x:c>
      <x:c r="Q2572" s="30"/>
      <x:c r="R2572" s="30" t="str">
        <x:v>Фото-сводка ответов + Zadanie_KhI11_27042026.pdf + независимое решение</x:v>
      </x:c>
      <x:c r="S2572" s="30"/>
      <x:c r="T2572" s="30"/>
      <x:c r="U2572" s="30" t="str">
        <x:v>Расхождений не обнаружено.</x:v>
      </x:c>
      <x:c r="V2572" s="87" t="str">
        <x:v>VERIFIED</x:v>
      </x:c>
      <x:c r="W2572" s="87" t="str">
        <x:v>Zadanie_KhI11_27042026.pdf, внутренняя стр. 2</x:v>
      </x:c>
      <x:c r="X2572" s="87"/>
      <x:c r="Y2572" s="87"/>
      <x:c r="Z2572" s="87"/>
      <x:c r="AA2572" s="87"/>
      <x:c r="AB2572" s="87"/>
      <x:c r="AC2572" s="87"/>
      <x:c r="AD2572" s="87"/>
      <x:c r="AE2572" s="87"/>
      <x:c r="AF2572" s="87"/>
      <x:c r="AG2572" s="87"/>
      <x:c r="AH2572" s="87"/>
      <x:c r="AI2572" s="30"/>
      <x:c r="AJ2572" s="87" t="str">
        <x:v>master</x:v>
      </x:c>
      <x:c r="AK2572" s="87" t="str">
        <x:v>master-v0.81</x:v>
      </x:c>
      <x:c r="AL2572" s="87" t="str">
        <x:v>statgrad_master_base_v0_81_final(2).xlsx</x:v>
      </x:c>
      <x:c r="AM2572" s="87" t="str">
        <x:v>CHEM_Apr_V2</x:v>
      </x:c>
      <x:c r="AN2572" s="87" t="n">
        <x:v>3</x:v>
      </x:c>
    </x:row>
    <x:row r="2573">
      <x:c r="A2573" s="87" t="n">
        <x:v>2572</x:v>
      </x:c>
      <x:c r="B2573" s="87" t="str">
        <x:v>APR-CHEM-V2-003</x:v>
      </x:c>
      <x:c r="C2573" s="87" t="str">
        <x:v>СтатГрад</x:v>
      </x:c>
      <x:c r="D2573" s="87" t="str">
        <x:v>Апрель 2026</x:v>
      </x:c>
      <x:c r="E2573" s="87"/>
      <x:c r="F2573" s="87"/>
      <x:c r="G2573" s="87" t="str">
        <x:v>Химия</x:v>
      </x:c>
      <x:c r="H2573" s="87" t="n">
        <x:v>11</x:v>
      </x:c>
      <x:c r="I2573" s="87" t="str">
        <x:v>ТР №5</x:v>
      </x:c>
      <x:c r="J2573" s="87" t="str">
        <x:v>ХИ2510502</x:v>
      </x:c>
      <x:c r="K2573" s="87" t="n">
        <x:v>3</x:v>
      </x:c>
      <x:c r="L2573" s="87" t="str">
        <x:v>Степени окисления</x:v>
      </x:c>
      <x:c r="M2573" s="30" t="str">
        <x:v>Из K, C, Se, Cu, Cl выбрать элементы, способные проявлять степень окисления −2.</x:v>
      </x:c>
      <x:c r="N2573" s="30" t="str">
        <x:v>23</x:v>
      </x:c>
      <x:c r="O2573" s="30" t="str">
        <x:v>Степень −2 возможна у углерода и селена.</x:v>
      </x:c>
      <x:c r="P2573" s="30" t="str">
        <x:v>Степень −2 возможна у углерода и селена.</x:v>
      </x:c>
      <x:c r="Q2573" s="30"/>
      <x:c r="R2573" s="30" t="str">
        <x:v>Фото-сводка ответов + Zadanie_KhI11_27042026.pdf + независимое решение</x:v>
      </x:c>
      <x:c r="S2573" s="30"/>
      <x:c r="T2573" s="30"/>
      <x:c r="U2573" s="30" t="str">
        <x:v>Расхождений не обнаружено.</x:v>
      </x:c>
      <x:c r="V2573" s="87" t="str">
        <x:v>VERIFIED</x:v>
      </x:c>
      <x:c r="W2573" s="87" t="str">
        <x:v>Zadanie_KhI11_27042026.pdf, внутренняя стр. 2</x:v>
      </x:c>
      <x:c r="X2573" s="87"/>
      <x:c r="Y2573" s="87"/>
      <x:c r="Z2573" s="87"/>
      <x:c r="AA2573" s="87"/>
      <x:c r="AB2573" s="87"/>
      <x:c r="AC2573" s="87"/>
      <x:c r="AD2573" s="87"/>
      <x:c r="AE2573" s="87"/>
      <x:c r="AF2573" s="87"/>
      <x:c r="AG2573" s="87"/>
      <x:c r="AH2573" s="87"/>
      <x:c r="AI2573" s="30"/>
      <x:c r="AJ2573" s="87" t="str">
        <x:v>master</x:v>
      </x:c>
      <x:c r="AK2573" s="87" t="str">
        <x:v>master-v0.81</x:v>
      </x:c>
      <x:c r="AL2573" s="87" t="str">
        <x:v>statgrad_master_base_v0_81_final(2).xlsx</x:v>
      </x:c>
      <x:c r="AM2573" s="87" t="str">
        <x:v>CHEM_Apr_V2</x:v>
      </x:c>
      <x:c r="AN2573" s="87" t="n">
        <x:v>4</x:v>
      </x:c>
    </x:row>
    <x:row r="2574">
      <x:c r="A2574" s="87" t="n">
        <x:v>2573</x:v>
      </x:c>
      <x:c r="B2574" s="87" t="str">
        <x:v>APR-CHEM-V2-004</x:v>
      </x:c>
      <x:c r="C2574" s="87" t="str">
        <x:v>СтатГрад</x:v>
      </x:c>
      <x:c r="D2574" s="87" t="str">
        <x:v>Апрель 2026</x:v>
      </x:c>
      <x:c r="E2574" s="87"/>
      <x:c r="F2574" s="87"/>
      <x:c r="G2574" s="87" t="str">
        <x:v>Химия</x:v>
      </x:c>
      <x:c r="H2574" s="87" t="n">
        <x:v>11</x:v>
      </x:c>
      <x:c r="I2574" s="87" t="str">
        <x:v>ТР №5</x:v>
      </x:c>
      <x:c r="J2574" s="87" t="str">
        <x:v>ХИ2510502</x:v>
      </x:c>
      <x:c r="K2574" s="87" t="n">
        <x:v>4</x:v>
      </x:c>
      <x:c r="L2574" s="87" t="str">
        <x:v>Водородная связь</x:v>
      </x:c>
      <x:c r="M2574" s="30" t="str">
        <x:v>Выбрать вещества, в которых нет водородных связей: CH₃OH, CH₄, H₂O₂, C₂H₅OC₂H₅, CH₃COOH.</x:v>
      </x:c>
      <x:c r="N2574" s="30" t="str">
        <x:v>24</x:v>
      </x:c>
      <x:c r="O2574" s="30" t="str">
        <x:v>Метан не содержит электроотрицательного атома, а в простом эфире нет связи O–H.</x:v>
      </x:c>
      <x:c r="P2574" s="30" t="str">
        <x:v>Метан не содержит электроотрицательного атома, а в простом эфире нет связи O–H.</x:v>
      </x:c>
      <x:c r="Q2574" s="30"/>
      <x:c r="R2574" s="30" t="str">
        <x:v>Фото-сводка ответов + Zadanie_KhI11_27042026.pdf + независимое решение</x:v>
      </x:c>
      <x:c r="S2574" s="30"/>
      <x:c r="T2574" s="30"/>
      <x:c r="U2574" s="30" t="str">
        <x:v>Расхождений не обнаружено.</x:v>
      </x:c>
      <x:c r="V2574" s="87" t="str">
        <x:v>VERIFIED</x:v>
      </x:c>
      <x:c r="W2574" s="87" t="str">
        <x:v>Zadanie_KhI11_27042026.pdf, внутренняя стр. 3</x:v>
      </x:c>
      <x:c r="X2574" s="87"/>
      <x:c r="Y2574" s="87"/>
      <x:c r="Z2574" s="87"/>
      <x:c r="AA2574" s="87"/>
      <x:c r="AB2574" s="87"/>
      <x:c r="AC2574" s="87"/>
      <x:c r="AD2574" s="87"/>
      <x:c r="AE2574" s="87"/>
      <x:c r="AF2574" s="87"/>
      <x:c r="AG2574" s="87"/>
      <x:c r="AH2574" s="87"/>
      <x:c r="AI2574" s="30"/>
      <x:c r="AJ2574" s="87" t="str">
        <x:v>master</x:v>
      </x:c>
      <x:c r="AK2574" s="87" t="str">
        <x:v>master-v0.81</x:v>
      </x:c>
      <x:c r="AL2574" s="87" t="str">
        <x:v>statgrad_master_base_v0_81_final(2).xlsx</x:v>
      </x:c>
      <x:c r="AM2574" s="87" t="str">
        <x:v>CHEM_Apr_V2</x:v>
      </x:c>
      <x:c r="AN2574" s="87" t="n">
        <x:v>5</x:v>
      </x:c>
    </x:row>
    <x:row r="2575">
      <x:c r="A2575" s="87" t="n">
        <x:v>2574</x:v>
      </x:c>
      <x:c r="B2575" s="87" t="str">
        <x:v>APR-CHEM-V2-005</x:v>
      </x:c>
      <x:c r="C2575" s="87" t="str">
        <x:v>СтатГрад</x:v>
      </x:c>
      <x:c r="D2575" s="87" t="str">
        <x:v>Апрель 2026</x:v>
      </x:c>
      <x:c r="E2575" s="87"/>
      <x:c r="F2575" s="87"/>
      <x:c r="G2575" s="87" t="str">
        <x:v>Химия</x:v>
      </x:c>
      <x:c r="H2575" s="87" t="n">
        <x:v>11</x:v>
      </x:c>
      <x:c r="I2575" s="87" t="str">
        <x:v>ТР №5</x:v>
      </x:c>
      <x:c r="J2575" s="87" t="str">
        <x:v>ХИ2510502</x:v>
      </x:c>
      <x:c r="K2575" s="87" t="n">
        <x:v>5</x:v>
      </x:c>
      <x:c r="L2575" s="87" t="str">
        <x:v>Классификация веществ</x:v>
      </x:c>
      <x:c r="M2575" s="30" t="str">
        <x:v>По таблице формул выбрать кислую соль, основание и амфотерный оксид.</x:v>
      </x:c>
      <x:c r="N2575" s="30" t="str">
        <x:v>273</x:v>
      </x:c>
      <x:c r="O2575" s="30" t="str">
        <x:v>CaHPO₄ — кислая соль; RbOH — основание; Cr₂O₃ — амфотерный оксид.</x:v>
      </x:c>
      <x:c r="P2575" s="30" t="str">
        <x:v>CaHPO₄ — кислая соль; RbOH — основание; Cr₂O₃ — амфотерный оксид.</x:v>
      </x:c>
      <x:c r="Q2575" s="30"/>
      <x:c r="R2575" s="30" t="str">
        <x:v>Фото-сводка ответов + Zadanie_KhI11_27042026.pdf + независимое решение</x:v>
      </x:c>
      <x:c r="S2575" s="30"/>
      <x:c r="T2575" s="30"/>
      <x:c r="U2575" s="30" t="str">
        <x:v>Расхождений не обнаружено.</x:v>
      </x:c>
      <x:c r="V2575" s="87" t="str">
        <x:v>VERIFIED</x:v>
      </x:c>
      <x:c r="W2575" s="87" t="str">
        <x:v>Zadanie_KhI11_27042026.pdf, внутренняя стр. 3</x:v>
      </x:c>
      <x:c r="X2575" s="87"/>
      <x:c r="Y2575" s="87"/>
      <x:c r="Z2575" s="87"/>
      <x:c r="AA2575" s="87"/>
      <x:c r="AB2575" s="87"/>
      <x:c r="AC2575" s="87"/>
      <x:c r="AD2575" s="87"/>
      <x:c r="AE2575" s="87"/>
      <x:c r="AF2575" s="87"/>
      <x:c r="AG2575" s="87"/>
      <x:c r="AH2575" s="87"/>
      <x:c r="AI2575" s="30"/>
      <x:c r="AJ2575" s="87" t="str">
        <x:v>master</x:v>
      </x:c>
      <x:c r="AK2575" s="87" t="str">
        <x:v>master-v0.81</x:v>
      </x:c>
      <x:c r="AL2575" s="87" t="str">
        <x:v>statgrad_master_base_v0_81_final(2).xlsx</x:v>
      </x:c>
      <x:c r="AM2575" s="87" t="str">
        <x:v>CHEM_Apr_V2</x:v>
      </x:c>
      <x:c r="AN2575" s="87" t="n">
        <x:v>6</x:v>
      </x:c>
    </x:row>
    <x:row r="2576">
      <x:c r="A2576" s="87" t="n">
        <x:v>2575</x:v>
      </x:c>
      <x:c r="B2576" s="87" t="str">
        <x:v>APR-CHEM-V2-006</x:v>
      </x:c>
      <x:c r="C2576" s="87" t="str">
        <x:v>СтатГрад</x:v>
      </x:c>
      <x:c r="D2576" s="87" t="str">
        <x:v>Апрель 2026</x:v>
      </x:c>
      <x:c r="E2576" s="87"/>
      <x:c r="F2576" s="87"/>
      <x:c r="G2576" s="87" t="str">
        <x:v>Химия</x:v>
      </x:c>
      <x:c r="H2576" s="87" t="n">
        <x:v>11</x:v>
      </x:c>
      <x:c r="I2576" s="87" t="str">
        <x:v>ТР №5</x:v>
      </x:c>
      <x:c r="J2576" s="87" t="str">
        <x:v>ХИ2510502</x:v>
      </x:c>
      <x:c r="K2576" s="87" t="n">
        <x:v>6</x:v>
      </x:c>
      <x:c r="L2576" s="87" t="str">
        <x:v>Качественные реакции</x:v>
      </x:c>
      <x:c r="M2576" s="30" t="str">
        <x:v>К CuSO₄ добавить X: осадок и тёмная окраска; избыток Y: голубой осадок растворяется в тёмно-синий раствор.</x:v>
      </x:c>
      <x:c r="N2576" s="30" t="str">
        <x:v>2; 4</x:v>
      </x:c>
      <x:c r="O2576" s="30" t="str">
        <x:v>HI восстанавливает Cu²⁺ до CuI и образует I₂; NH₃ сначала осаждает Cu(OH)₂, затем образует [Cu(NH₃)₄]²⁺.</x:v>
      </x:c>
      <x:c r="P2576" s="30" t="str">
        <x:v>HI восстанавливает Cu²⁺ до CuI и образует I₂; NH₃ сначала осаждает Cu(OH)₂, затем образует [Cu(NH₃)₄]²⁺.</x:v>
      </x:c>
      <x:c r="Q2576" s="30"/>
      <x:c r="R2576" s="30" t="str">
        <x:v>Фото-сводка ответов + Zadanie_KhI11_27042026.pdf + независимое решение</x:v>
      </x:c>
      <x:c r="S2576" s="30"/>
      <x:c r="T2576" s="30"/>
      <x:c r="U2576" s="30" t="str">
        <x:v>Расхождений не обнаружено.</x:v>
      </x:c>
      <x:c r="V2576" s="87" t="str">
        <x:v>VERIFIED</x:v>
      </x:c>
      <x:c r="W2576" s="87" t="str">
        <x:v>Zadanie_KhI11_27042026.pdf, внутренняя стр. 4</x:v>
      </x:c>
      <x:c r="X2576" s="87"/>
      <x:c r="Y2576" s="87"/>
      <x:c r="Z2576" s="87"/>
      <x:c r="AA2576" s="87"/>
      <x:c r="AB2576" s="87"/>
      <x:c r="AC2576" s="87"/>
      <x:c r="AD2576" s="87"/>
      <x:c r="AE2576" s="87"/>
      <x:c r="AF2576" s="87"/>
      <x:c r="AG2576" s="87"/>
      <x:c r="AH2576" s="87"/>
      <x:c r="AI2576" s="30"/>
      <x:c r="AJ2576" s="87" t="str">
        <x:v>master</x:v>
      </x:c>
      <x:c r="AK2576" s="87" t="str">
        <x:v>master-v0.81</x:v>
      </x:c>
      <x:c r="AL2576" s="87" t="str">
        <x:v>statgrad_master_base_v0_81_final(2).xlsx</x:v>
      </x:c>
      <x:c r="AM2576" s="87" t="str">
        <x:v>CHEM_Apr_V2</x:v>
      </x:c>
      <x:c r="AN2576" s="87" t="n">
        <x:v>7</x:v>
      </x:c>
    </x:row>
    <x:row r="2577">
      <x:c r="A2577" s="87" t="n">
        <x:v>2576</x:v>
      </x:c>
      <x:c r="B2577" s="87" t="str">
        <x:v>APR-CHEM-V2-007</x:v>
      </x:c>
      <x:c r="C2577" s="87" t="str">
        <x:v>СтатГрад</x:v>
      </x:c>
      <x:c r="D2577" s="87" t="str">
        <x:v>Апрель 2026</x:v>
      </x:c>
      <x:c r="E2577" s="87"/>
      <x:c r="F2577" s="87"/>
      <x:c r="G2577" s="87" t="str">
        <x:v>Химия</x:v>
      </x:c>
      <x:c r="H2577" s="87" t="n">
        <x:v>11</x:v>
      </x:c>
      <x:c r="I2577" s="87" t="str">
        <x:v>ТР №5</x:v>
      </x:c>
      <x:c r="J2577" s="87" t="str">
        <x:v>ХИ2510502</x:v>
      </x:c>
      <x:c r="K2577" s="87" t="n">
        <x:v>7</x:v>
      </x:c>
      <x:c r="L2577" s="87" t="str">
        <x:v>Химические свойства неорганических веществ</x:v>
      </x:c>
      <x:c r="M2577" s="30" t="str">
        <x:v>Соотнести Pb, CuO, Zn(OH)₂, NaI с наборами реагентов.</x:v>
      </x:c>
      <x:c r="N2577" s="30" t="str">
        <x:v>1435</x:v>
      </x:c>
      <x:c r="O2577" s="30" t="str">
        <x:v>Pb реагирует с HNO₃/AgNO₃/S; CuO — с HCl/Al/H₂; Zn(OH)₂ — с KOH/HCl/NH₃; NaI — с Pb(NO₃)₂/HNO₂/Br₂.</x:v>
      </x:c>
      <x:c r="P2577" s="30" t="str">
        <x:v>Pb реагирует с HNO₃/AgNO₃/S; CuO — с HCl/Al/H₂; Zn(OH)₂ — с KOH/HCl/NH₃; NaI — с Pb(NO₃)₂/HNO₂/Br₂.</x:v>
      </x:c>
      <x:c r="Q2577" s="30"/>
      <x:c r="R2577" s="30" t="str">
        <x:v>Kriterii_KhI11_27042026.pdf: таблица ответов + фото-сводка + независимая проверка</x:v>
      </x:c>
      <x:c r="S2577" s="30"/>
      <x:c r="T2577" s="30"/>
      <x:c r="U2577" s="30" t="str">
        <x:v>Расхождений не обнаружено.</x:v>
      </x:c>
      <x:c r="V2577" s="87" t="str">
        <x:v>VERIFIED</x:v>
      </x:c>
      <x:c r="W2577" s="87" t="str">
        <x:v>Zadanie_KhI11_27042026.pdf, внутренняя стр. 4</x:v>
      </x:c>
      <x:c r="X2577" s="87"/>
      <x:c r="Y2577" s="87"/>
      <x:c r="Z2577" s="87"/>
      <x:c r="AA2577" s="87"/>
      <x:c r="AB2577" s="87"/>
      <x:c r="AC2577" s="87"/>
      <x:c r="AD2577" s="87"/>
      <x:c r="AE2577" s="87"/>
      <x:c r="AF2577" s="87"/>
      <x:c r="AG2577" s="87"/>
      <x:c r="AH2577" s="87"/>
      <x:c r="AI2577" s="30"/>
      <x:c r="AJ2577" s="87" t="str">
        <x:v>master</x:v>
      </x:c>
      <x:c r="AK2577" s="87" t="str">
        <x:v>master-v0.81</x:v>
      </x:c>
      <x:c r="AL2577" s="87" t="str">
        <x:v>statgrad_master_base_v0_81_final(2).xlsx</x:v>
      </x:c>
      <x:c r="AM2577" s="87" t="str">
        <x:v>CHEM_Apr_V2</x:v>
      </x:c>
      <x:c r="AN2577" s="87" t="n">
        <x:v>8</x:v>
      </x:c>
    </x:row>
    <x:row r="2578">
      <x:c r="A2578" s="87" t="n">
        <x:v>2577</x:v>
      </x:c>
      <x:c r="B2578" s="87" t="str">
        <x:v>APR-CHEM-V2-008</x:v>
      </x:c>
      <x:c r="C2578" s="87" t="str">
        <x:v>СтатГрад</x:v>
      </x:c>
      <x:c r="D2578" s="87" t="str">
        <x:v>Апрель 2026</x:v>
      </x:c>
      <x:c r="E2578" s="87"/>
      <x:c r="F2578" s="87"/>
      <x:c r="G2578" s="87" t="str">
        <x:v>Химия</x:v>
      </x:c>
      <x:c r="H2578" s="87" t="n">
        <x:v>11</x:v>
      </x:c>
      <x:c r="I2578" s="87" t="str">
        <x:v>ТР №5</x:v>
      </x:c>
      <x:c r="J2578" s="87" t="str">
        <x:v>ХИ2510502</x:v>
      </x:c>
      <x:c r="K2578" s="87" t="n">
        <x:v>8</x:v>
      </x:c>
      <x:c r="L2578" s="87" t="str">
        <x:v>Неорганические реакции</x:v>
      </x:c>
      <x:c r="M2578" s="30" t="str">
        <x:v>Соотнести NH₄Cl+KOH, NH₄Cl+KNO₂, NO₂+NH₃+H₂O, KNO₃+Zn+KOH+H₂O с продуктами.</x:v>
      </x:c>
      <x:c r="N2578" s="30" t="str">
        <x:v>3416</x:v>
      </x:c>
      <x:c r="O2578" s="30" t="str">
        <x:v>Получаются соответственно NH₃; N₂; NH₄NO₂+NH₄NO₃; NH₃+K₂[Zn(OH)₄].</x:v>
      </x:c>
      <x:c r="P2578" s="30" t="str">
        <x:v>Получаются соответственно NH₃; N₂; NH₄NO₂+NH₄NO₃; NH₃+K₂[Zn(OH)₄].</x:v>
      </x:c>
      <x:c r="Q2578" s="30"/>
      <x:c r="R2578" s="30" t="str">
        <x:v>Kriterii_KhI11_27042026.pdf: таблица ответов + фото-сводка + независимая проверка</x:v>
      </x:c>
      <x:c r="S2578" s="30"/>
      <x:c r="T2578" s="30"/>
      <x:c r="U2578" s="30" t="str">
        <x:v>Расхождений не обнаружено.</x:v>
      </x:c>
      <x:c r="V2578" s="87" t="str">
        <x:v>VERIFIED</x:v>
      </x:c>
      <x:c r="W2578" s="87" t="str">
        <x:v>Zadanie_KhI11_27042026.pdf, внутренняя стр. 5</x:v>
      </x:c>
      <x:c r="X2578" s="87"/>
      <x:c r="Y2578" s="87"/>
      <x:c r="Z2578" s="87"/>
      <x:c r="AA2578" s="87"/>
      <x:c r="AB2578" s="87"/>
      <x:c r="AC2578" s="87"/>
      <x:c r="AD2578" s="87"/>
      <x:c r="AE2578" s="87"/>
      <x:c r="AF2578" s="87"/>
      <x:c r="AG2578" s="87"/>
      <x:c r="AH2578" s="87"/>
      <x:c r="AI2578" s="30"/>
      <x:c r="AJ2578" s="87" t="str">
        <x:v>master</x:v>
      </x:c>
      <x:c r="AK2578" s="87" t="str">
        <x:v>master-v0.81</x:v>
      </x:c>
      <x:c r="AL2578" s="87" t="str">
        <x:v>statgrad_master_base_v0_81_final(2).xlsx</x:v>
      </x:c>
      <x:c r="AM2578" s="87" t="str">
        <x:v>CHEM_Apr_V2</x:v>
      </x:c>
      <x:c r="AN2578" s="87" t="n">
        <x:v>9</x:v>
      </x:c>
    </x:row>
    <x:row r="2579">
      <x:c r="A2579" s="87" t="n">
        <x:v>2578</x:v>
      </x:c>
      <x:c r="B2579" s="87" t="str">
        <x:v>APR-CHEM-V2-009</x:v>
      </x:c>
      <x:c r="C2579" s="87" t="str">
        <x:v>СтатГрад</x:v>
      </x:c>
      <x:c r="D2579" s="87" t="str">
        <x:v>Апрель 2026</x:v>
      </x:c>
      <x:c r="E2579" s="87"/>
      <x:c r="F2579" s="87"/>
      <x:c r="G2579" s="87" t="str">
        <x:v>Химия</x:v>
      </x:c>
      <x:c r="H2579" s="87" t="n">
        <x:v>11</x:v>
      </x:c>
      <x:c r="I2579" s="87" t="str">
        <x:v>ТР №5</x:v>
      </x:c>
      <x:c r="J2579" s="87" t="str">
        <x:v>ХИ2510502</x:v>
      </x:c>
      <x:c r="K2579" s="87" t="n">
        <x:v>9</x:v>
      </x:c>
      <x:c r="L2579" s="87" t="str">
        <x:v>Цепочка превращений</x:v>
      </x:c>
      <x:c r="M2579" s="30" t="str">
        <x:v>В схеме X → CO → HCOOK определить X и Y.</x:v>
      </x:c>
      <x:c r="N2579" s="30" t="str">
        <x:v>34</x:v>
      </x:c>
      <x:c r="O2579" s="30" t="str">
        <x:v>HCOOH обезвоживается до CO; CO с KOH при нагревании и давлении образует HCOOK.</x:v>
      </x:c>
      <x:c r="P2579" s="30" t="str">
        <x:v>HCOOH обезвоживается до CO; CO с KOH при нагревании и давлении образует HCOOK.</x:v>
      </x:c>
      <x:c r="Q2579" s="30"/>
      <x:c r="R2579" s="30" t="str">
        <x:v>Фото-сводка ответов + Zadanie_KhI11_27042026.pdf + независимое решение</x:v>
      </x:c>
      <x:c r="S2579" s="30"/>
      <x:c r="T2579" s="30"/>
      <x:c r="U2579" s="30" t="str">
        <x:v>Расхождений не обнаружено.</x:v>
      </x:c>
      <x:c r="V2579" s="87" t="str">
        <x:v>VERIFIED</x:v>
      </x:c>
      <x:c r="W2579" s="87" t="str">
        <x:v>Zadanie_KhI11_27042026.pdf, внутренняя стр. 5</x:v>
      </x:c>
      <x:c r="X2579" s="87"/>
      <x:c r="Y2579" s="87"/>
      <x:c r="Z2579" s="87"/>
      <x:c r="AA2579" s="87"/>
      <x:c r="AB2579" s="87"/>
      <x:c r="AC2579" s="87"/>
      <x:c r="AD2579" s="87"/>
      <x:c r="AE2579" s="87"/>
      <x:c r="AF2579" s="87"/>
      <x:c r="AG2579" s="87"/>
      <x:c r="AH2579" s="87"/>
      <x:c r="AI2579" s="30"/>
      <x:c r="AJ2579" s="87" t="str">
        <x:v>master</x:v>
      </x:c>
      <x:c r="AK2579" s="87" t="str">
        <x:v>master-v0.81</x:v>
      </x:c>
      <x:c r="AL2579" s="87" t="str">
        <x:v>statgrad_master_base_v0_81_final(2).xlsx</x:v>
      </x:c>
      <x:c r="AM2579" s="87" t="str">
        <x:v>CHEM_Apr_V2</x:v>
      </x:c>
      <x:c r="AN2579" s="87" t="n">
        <x:v>10</x:v>
      </x:c>
    </x:row>
    <x:row r="2580">
      <x:c r="A2580" s="87" t="n">
        <x:v>2579</x:v>
      </x:c>
      <x:c r="B2580" s="87" t="str">
        <x:v>APR-CHEM-V2-010</x:v>
      </x:c>
      <x:c r="C2580" s="87" t="str">
        <x:v>СтатГрад</x:v>
      </x:c>
      <x:c r="D2580" s="87" t="str">
        <x:v>Апрель 2026</x:v>
      </x:c>
      <x:c r="E2580" s="87"/>
      <x:c r="F2580" s="87"/>
      <x:c r="G2580" s="87" t="str">
        <x:v>Химия</x:v>
      </x:c>
      <x:c r="H2580" s="87" t="n">
        <x:v>11</x:v>
      </x:c>
      <x:c r="I2580" s="87" t="str">
        <x:v>ТР №5</x:v>
      </x:c>
      <x:c r="J2580" s="87" t="str">
        <x:v>ХИ2510502</x:v>
      </x:c>
      <x:c r="K2580" s="87" t="n">
        <x:v>10</x:v>
      </x:c>
      <x:c r="L2580" s="87" t="str">
        <x:v>Классы органических соединений</x:v>
      </x:c>
      <x:c r="M2580" s="30" t="str">
        <x:v>Соотнести пропиофенон, этилацетат и фенетол с классами соединений.</x:v>
      </x:c>
      <x:c r="N2580" s="30" t="str">
        <x:v>231</x:v>
      </x:c>
      <x:c r="O2580" s="30" t="str">
        <x:v>Это соответственно кетон, сложный эфир и простой эфир.</x:v>
      </x:c>
      <x:c r="P2580" s="30" t="str">
        <x:v>Это соответственно кетон, сложный эфир и простой эфир.</x:v>
      </x:c>
      <x:c r="Q2580" s="30"/>
      <x:c r="R2580" s="30" t="str">
        <x:v>Фото-сводка ответов + Zadanie_KhI11_27042026.pdf + независимое решение</x:v>
      </x:c>
      <x:c r="S2580" s="30"/>
      <x:c r="T2580" s="30"/>
      <x:c r="U2580" s="30" t="str">
        <x:v>Расхождений не обнаружено.</x:v>
      </x:c>
      <x:c r="V2580" s="87" t="str">
        <x:v>VERIFIED</x:v>
      </x:c>
      <x:c r="W2580" s="87" t="str">
        <x:v>Zadanie_KhI11_27042026.pdf, внутренняя стр. 6</x:v>
      </x:c>
      <x:c r="X2580" s="87"/>
      <x:c r="Y2580" s="87"/>
      <x:c r="Z2580" s="87"/>
      <x:c r="AA2580" s="87"/>
      <x:c r="AB2580" s="87"/>
      <x:c r="AC2580" s="87"/>
      <x:c r="AD2580" s="87"/>
      <x:c r="AE2580" s="87"/>
      <x:c r="AF2580" s="87"/>
      <x:c r="AG2580" s="87"/>
      <x:c r="AH2580" s="87"/>
      <x:c r="AI2580" s="30"/>
      <x:c r="AJ2580" s="87" t="str">
        <x:v>master</x:v>
      </x:c>
      <x:c r="AK2580" s="87" t="str">
        <x:v>master-v0.81</x:v>
      </x:c>
      <x:c r="AL2580" s="87" t="str">
        <x:v>statgrad_master_base_v0_81_final(2).xlsx</x:v>
      </x:c>
      <x:c r="AM2580" s="87" t="str">
        <x:v>CHEM_Apr_V2</x:v>
      </x:c>
      <x:c r="AN2580" s="87" t="n">
        <x:v>11</x:v>
      </x:c>
    </x:row>
    <x:row r="2581">
      <x:c r="A2581" s="87" t="n">
        <x:v>2580</x:v>
      </x:c>
      <x:c r="B2581" s="87" t="str">
        <x:v>APR-CHEM-V2-011</x:v>
      </x:c>
      <x:c r="C2581" s="87" t="str">
        <x:v>СтатГрад</x:v>
      </x:c>
      <x:c r="D2581" s="87" t="str">
        <x:v>Апрель 2026</x:v>
      </x:c>
      <x:c r="E2581" s="87"/>
      <x:c r="F2581" s="87"/>
      <x:c r="G2581" s="87" t="str">
        <x:v>Химия</x:v>
      </x:c>
      <x:c r="H2581" s="87" t="n">
        <x:v>11</x:v>
      </x:c>
      <x:c r="I2581" s="87" t="str">
        <x:v>ТР №5</x:v>
      </x:c>
      <x:c r="J2581" s="87" t="str">
        <x:v>ХИ2510502</x:v>
      </x:c>
      <x:c r="K2581" s="87" t="n">
        <x:v>11</x:v>
      </x:c>
      <x:c r="L2581" s="87" t="str">
        <x:v>Пространственная изомерия</x:v>
      </x:c>
      <x:c r="M2581" s="30" t="str">
        <x:v>Выбрать вещества без пространственных изомеров.</x:v>
      </x:c>
      <x:c r="N2581" s="30" t="str">
        <x:v>34</x:v>
      </x:c>
      <x:c r="O2581" s="30" t="str">
        <x:v>Бутен-1 не имеет E/Z-изомерии, 2-метилбутан не имеет хирального центра.</x:v>
      </x:c>
      <x:c r="P2581" s="30" t="str">
        <x:v>Бутен-1 не имеет E/Z-изомерии, 2-метилбутан не имеет хирального центра.</x:v>
      </x:c>
      <x:c r="Q2581" s="30"/>
      <x:c r="R2581" s="30" t="str">
        <x:v>Фото-сводка ответов + Zadanie_KhI11_27042026.pdf + независимое решение</x:v>
      </x:c>
      <x:c r="S2581" s="30"/>
      <x:c r="T2581" s="30"/>
      <x:c r="U2581" s="30" t="str">
        <x:v>Расхождений не обнаружено.</x:v>
      </x:c>
      <x:c r="V2581" s="87" t="str">
        <x:v>VERIFIED</x:v>
      </x:c>
      <x:c r="W2581" s="87" t="str">
        <x:v>Zadanie_KhI11_27042026.pdf, внутренняя стр. 6</x:v>
      </x:c>
      <x:c r="X2581" s="87"/>
      <x:c r="Y2581" s="87"/>
      <x:c r="Z2581" s="87"/>
      <x:c r="AA2581" s="87"/>
      <x:c r="AB2581" s="87"/>
      <x:c r="AC2581" s="87"/>
      <x:c r="AD2581" s="87"/>
      <x:c r="AE2581" s="87"/>
      <x:c r="AF2581" s="87"/>
      <x:c r="AG2581" s="87"/>
      <x:c r="AH2581" s="87"/>
      <x:c r="AI2581" s="30"/>
      <x:c r="AJ2581" s="87" t="str">
        <x:v>master</x:v>
      </x:c>
      <x:c r="AK2581" s="87" t="str">
        <x:v>master-v0.81</x:v>
      </x:c>
      <x:c r="AL2581" s="87" t="str">
        <x:v>statgrad_master_base_v0_81_final(2).xlsx</x:v>
      </x:c>
      <x:c r="AM2581" s="87" t="str">
        <x:v>CHEM_Apr_V2</x:v>
      </x:c>
      <x:c r="AN2581" s="87" t="n">
        <x:v>12</x:v>
      </x:c>
    </x:row>
    <x:row r="2582">
      <x:c r="A2582" s="87" t="n">
        <x:v>2581</x:v>
      </x:c>
      <x:c r="B2582" s="87" t="str">
        <x:v>APR-CHEM-V2-012</x:v>
      </x:c>
      <x:c r="C2582" s="87" t="str">
        <x:v>СтатГрад</x:v>
      </x:c>
      <x:c r="D2582" s="87" t="str">
        <x:v>Апрель 2026</x:v>
      </x:c>
      <x:c r="E2582" s="87"/>
      <x:c r="F2582" s="87"/>
      <x:c r="G2582" s="87" t="str">
        <x:v>Химия</x:v>
      </x:c>
      <x:c r="H2582" s="87" t="n">
        <x:v>11</x:v>
      </x:c>
      <x:c r="I2582" s="87" t="str">
        <x:v>ТР №5</x:v>
      </x:c>
      <x:c r="J2582" s="87" t="str">
        <x:v>ХИ2510502</x:v>
      </x:c>
      <x:c r="K2582" s="87" t="n">
        <x:v>12</x:v>
      </x:c>
      <x:c r="L2582" s="87" t="str">
        <x:v>Химические свойства ацетилена и ацетальдегида</x:v>
      </x:c>
      <x:c r="M2582" s="30" t="str">
        <x:v>Выбрать реагенты, с которыми реагируют оба вещества.</x:v>
      </x:c>
      <x:c r="N2582" s="30" t="str">
        <x:v>123</x:v>
      </x:c>
      <x:c r="O2582" s="30" t="str">
        <x:v>Оба обесцвечивают бромную воду и KMnO₄; ацетилен образует ацетиленид серебра, ацетальдегид даёт реакцию серебряного зеркала.</x:v>
      </x:c>
      <x:c r="P2582" s="30" t="str">
        <x:v>Оба обесцвечивают бромную воду и KMnO₄; ацетилен образует ацетиленид серебра, ацетальдегид даёт реакцию серебряного зеркала.</x:v>
      </x:c>
      <x:c r="Q2582" s="30"/>
      <x:c r="R2582" s="30" t="str">
        <x:v>Kriterii_KhI11_27042026.pdf: таблица ответов + фото-сводка + независимая проверка</x:v>
      </x:c>
      <x:c r="S2582" s="30"/>
      <x:c r="T2582" s="30"/>
      <x:c r="U2582" s="30" t="str">
        <x:v>Расхождений не обнаружено.</x:v>
      </x:c>
      <x:c r="V2582" s="87" t="str">
        <x:v>VERIFIED</x:v>
      </x:c>
      <x:c r="W2582" s="87" t="str">
        <x:v>Zadanie_KhI11_27042026.pdf, внутренняя стр. 7</x:v>
      </x:c>
      <x:c r="X2582" s="87"/>
      <x:c r="Y2582" s="87"/>
      <x:c r="Z2582" s="87"/>
      <x:c r="AA2582" s="87"/>
      <x:c r="AB2582" s="87"/>
      <x:c r="AC2582" s="87"/>
      <x:c r="AD2582" s="87"/>
      <x:c r="AE2582" s="87"/>
      <x:c r="AF2582" s="87"/>
      <x:c r="AG2582" s="87"/>
      <x:c r="AH2582" s="87"/>
      <x:c r="AI2582" s="30"/>
      <x:c r="AJ2582" s="87" t="str">
        <x:v>master</x:v>
      </x:c>
      <x:c r="AK2582" s="87" t="str">
        <x:v>master-v0.81</x:v>
      </x:c>
      <x:c r="AL2582" s="87" t="str">
        <x:v>statgrad_master_base_v0_81_final(2).xlsx</x:v>
      </x:c>
      <x:c r="AM2582" s="87" t="str">
        <x:v>CHEM_Apr_V2</x:v>
      </x:c>
      <x:c r="AN2582" s="87" t="n">
        <x:v>13</x:v>
      </x:c>
    </x:row>
    <x:row r="2583">
      <x:c r="A2583" s="87" t="n">
        <x:v>2582</x:v>
      </x:c>
      <x:c r="B2583" s="87" t="str">
        <x:v>APR-CHEM-V2-013</x:v>
      </x:c>
      <x:c r="C2583" s="87" t="str">
        <x:v>СтатГрад</x:v>
      </x:c>
      <x:c r="D2583" s="87" t="str">
        <x:v>Апрель 2026</x:v>
      </x:c>
      <x:c r="E2583" s="87"/>
      <x:c r="F2583" s="87"/>
      <x:c r="G2583" s="87" t="str">
        <x:v>Химия</x:v>
      </x:c>
      <x:c r="H2583" s="87" t="n">
        <x:v>11</x:v>
      </x:c>
      <x:c r="I2583" s="87" t="str">
        <x:v>ТР №5</x:v>
      </x:c>
      <x:c r="J2583" s="87" t="str">
        <x:v>ХИ2510502</x:v>
      </x:c>
      <x:c r="K2583" s="87" t="n">
        <x:v>13</x:v>
      </x:c>
      <x:c r="L2583" s="87" t="str">
        <x:v>Гидролиз органических веществ</x:v>
      </x:c>
      <x:c r="M2583" s="30" t="str">
        <x:v>Выбрать два вещества, вступающие в гидролиз.</x:v>
      </x:c>
      <x:c r="N2583" s="30" t="str">
        <x:v>12</x:v>
      </x:c>
      <x:c r="O2583" s="30" t="str">
        <x:v>Аланилглицин гидролизуется по пептидной связи, тристеарин — по сложноэфирным связям.</x:v>
      </x:c>
      <x:c r="P2583" s="30" t="str">
        <x:v>Аланилглицин гидролизуется по пептидной связи, тристеарин — по сложноэфирным связям.</x:v>
      </x:c>
      <x:c r="Q2583" s="30"/>
      <x:c r="R2583" s="30" t="str">
        <x:v>Фото-сводка ответов + Zadanie_KhI11_27042026.pdf + независимое решение</x:v>
      </x:c>
      <x:c r="S2583" s="30"/>
      <x:c r="T2583" s="30"/>
      <x:c r="U2583" s="30" t="str">
        <x:v>Расхождений не обнаружено.</x:v>
      </x:c>
      <x:c r="V2583" s="87" t="str">
        <x:v>VERIFIED</x:v>
      </x:c>
      <x:c r="W2583" s="87" t="str">
        <x:v>Zadanie_KhI11_27042026.pdf, внутренняя стр. 7</x:v>
      </x:c>
      <x:c r="X2583" s="87"/>
      <x:c r="Y2583" s="87"/>
      <x:c r="Z2583" s="87"/>
      <x:c r="AA2583" s="87"/>
      <x:c r="AB2583" s="87"/>
      <x:c r="AC2583" s="87"/>
      <x:c r="AD2583" s="87"/>
      <x:c r="AE2583" s="87"/>
      <x:c r="AF2583" s="87"/>
      <x:c r="AG2583" s="87"/>
      <x:c r="AH2583" s="87"/>
      <x:c r="AI2583" s="30"/>
      <x:c r="AJ2583" s="87" t="str">
        <x:v>master</x:v>
      </x:c>
      <x:c r="AK2583" s="87" t="str">
        <x:v>master-v0.81</x:v>
      </x:c>
      <x:c r="AL2583" s="87" t="str">
        <x:v>statgrad_master_base_v0_81_final(2).xlsx</x:v>
      </x:c>
      <x:c r="AM2583" s="87" t="str">
        <x:v>CHEM_Apr_V2</x:v>
      </x:c>
      <x:c r="AN2583" s="87" t="n">
        <x:v>14</x:v>
      </x:c>
    </x:row>
    <x:row r="2584">
      <x:c r="A2584" s="87" t="n">
        <x:v>2583</x:v>
      </x:c>
      <x:c r="B2584" s="87" t="str">
        <x:v>APR-CHEM-V2-014</x:v>
      </x:c>
      <x:c r="C2584" s="87" t="str">
        <x:v>СтатГрад</x:v>
      </x:c>
      <x:c r="D2584" s="87" t="str">
        <x:v>Апрель 2026</x:v>
      </x:c>
      <x:c r="E2584" s="87"/>
      <x:c r="F2584" s="87"/>
      <x:c r="G2584" s="87" t="str">
        <x:v>Химия</x:v>
      </x:c>
      <x:c r="H2584" s="87" t="n">
        <x:v>11</x:v>
      </x:c>
      <x:c r="I2584" s="87" t="str">
        <x:v>ТР №5</x:v>
      </x:c>
      <x:c r="J2584" s="87" t="str">
        <x:v>ХИ2510502</x:v>
      </x:c>
      <x:c r="K2584" s="87" t="n">
        <x:v>14</x:v>
      </x:c>
      <x:c r="L2584" s="87" t="str">
        <x:v>Органические реакции</x:v>
      </x:c>
      <x:c r="M2584" s="30" t="str">
        <x:v>Соотнести Вюрц–Фиттиг, гидратацию алкина, дегалогенирование и декарбоксилирование с веществом X.</x:v>
      </x:c>
      <x:c r="N2584" s="30" t="str">
        <x:v>5136</x:v>
      </x:c>
      <x:c r="O2584" s="30" t="str">
        <x:v>Хлорбензол даёт этилбензол; пропин — ацетон; 1,2-дихлорпропан — пропен; пропионат натрия — этан.</x:v>
      </x:c>
      <x:c r="P2584" s="30" t="str">
        <x:v>Хлорбензол даёт этилбензол; пропин — ацетон; 1,2-дихлорпропан — пропен; пропионат натрия — этан.</x:v>
      </x:c>
      <x:c r="Q2584" s="30"/>
      <x:c r="R2584" s="30" t="str">
        <x:v>Kriterii_KhI11_27042026.pdf: таблица ответов + фото-сводка + независимая проверка</x:v>
      </x:c>
      <x:c r="S2584" s="30"/>
      <x:c r="T2584" s="30"/>
      <x:c r="U2584" s="30" t="str">
        <x:v>Расхождений не обнаружено.</x:v>
      </x:c>
      <x:c r="V2584" s="87" t="str">
        <x:v>VERIFIED</x:v>
      </x:c>
      <x:c r="W2584" s="87" t="str">
        <x:v>Zadanie_KhI11_27042026.pdf, внутренняя стр. 7</x:v>
      </x:c>
      <x:c r="X2584" s="87"/>
      <x:c r="Y2584" s="87"/>
      <x:c r="Z2584" s="87"/>
      <x:c r="AA2584" s="87"/>
      <x:c r="AB2584" s="87"/>
      <x:c r="AC2584" s="87"/>
      <x:c r="AD2584" s="87"/>
      <x:c r="AE2584" s="87"/>
      <x:c r="AF2584" s="87"/>
      <x:c r="AG2584" s="87"/>
      <x:c r="AH2584" s="87"/>
      <x:c r="AI2584" s="30"/>
      <x:c r="AJ2584" s="87" t="str">
        <x:v>master</x:v>
      </x:c>
      <x:c r="AK2584" s="87" t="str">
        <x:v>master-v0.81</x:v>
      </x:c>
      <x:c r="AL2584" s="87" t="str">
        <x:v>statgrad_master_base_v0_81_final(2).xlsx</x:v>
      </x:c>
      <x:c r="AM2584" s="87" t="str">
        <x:v>CHEM_Apr_V2</x:v>
      </x:c>
      <x:c r="AN2584" s="87" t="n">
        <x:v>15</x:v>
      </x:c>
    </x:row>
    <x:row r="2585">
      <x:c r="A2585" s="87" t="n">
        <x:v>2584</x:v>
      </x:c>
      <x:c r="B2585" s="87" t="str">
        <x:v>APR-CHEM-V2-015</x:v>
      </x:c>
      <x:c r="C2585" s="87" t="str">
        <x:v>СтатГрад</x:v>
      </x:c>
      <x:c r="D2585" s="87" t="str">
        <x:v>Апрель 2026</x:v>
      </x:c>
      <x:c r="E2585" s="87"/>
      <x:c r="F2585" s="87"/>
      <x:c r="G2585" s="87" t="str">
        <x:v>Химия</x:v>
      </x:c>
      <x:c r="H2585" s="87" t="n">
        <x:v>11</x:v>
      </x:c>
      <x:c r="I2585" s="87" t="str">
        <x:v>ТР №5</x:v>
      </x:c>
      <x:c r="J2585" s="87" t="str">
        <x:v>ХИ2510502</x:v>
      </x:c>
      <x:c r="K2585" s="87" t="n">
        <x:v>15</x:v>
      </x:c>
      <x:c r="L2585" s="87" t="str">
        <x:v>Продукты органических реакций</x:v>
      </x:c>
      <x:c r="M2585" s="30" t="str">
        <x:v>Соотнести щелочное плавление бензолсульфоната, пиролиз бензоата кальция, восстановление этилацетата и нитрование бензальдегида с продуктами.</x:v>
      </x:c>
      <x:c r="N2585" s="30" t="str">
        <x:v>4531</x:v>
      </x:c>
      <x:c r="O2585" s="30" t="str">
        <x:v>Получаются фенолят натрия, бензофенон, этанол и м-нитробензальдегид.</x:v>
      </x:c>
      <x:c r="P2585" s="30" t="str">
        <x:v>Получаются фенолят натрия, бензофенон, этанол и м-нитробензальдегид.</x:v>
      </x:c>
      <x:c r="Q2585" s="30"/>
      <x:c r="R2585" s="30" t="str">
        <x:v>Kriterii_KhI11_27042026.pdf: таблица ответов + фото-сводка + независимая проверка</x:v>
      </x:c>
      <x:c r="S2585" s="30"/>
      <x:c r="T2585" s="30"/>
      <x:c r="U2585" s="30" t="str">
        <x:v>Расхождений не обнаружено.</x:v>
      </x:c>
      <x:c r="V2585" s="87" t="str">
        <x:v>VERIFIED</x:v>
      </x:c>
      <x:c r="W2585" s="87" t="str">
        <x:v>Zadanie_KhI11_27042026.pdf, внутренняя стр. 8</x:v>
      </x:c>
      <x:c r="X2585" s="87"/>
      <x:c r="Y2585" s="87"/>
      <x:c r="Z2585" s="87"/>
      <x:c r="AA2585" s="87"/>
      <x:c r="AB2585" s="87"/>
      <x:c r="AC2585" s="87"/>
      <x:c r="AD2585" s="87"/>
      <x:c r="AE2585" s="87"/>
      <x:c r="AF2585" s="87"/>
      <x:c r="AG2585" s="87"/>
      <x:c r="AH2585" s="87"/>
      <x:c r="AI2585" s="30"/>
      <x:c r="AJ2585" s="87" t="str">
        <x:v>master</x:v>
      </x:c>
      <x:c r="AK2585" s="87" t="str">
        <x:v>master-v0.81</x:v>
      </x:c>
      <x:c r="AL2585" s="87" t="str">
        <x:v>statgrad_master_base_v0_81_final(2).xlsx</x:v>
      </x:c>
      <x:c r="AM2585" s="87" t="str">
        <x:v>CHEM_Apr_V2</x:v>
      </x:c>
      <x:c r="AN2585" s="87" t="n">
        <x:v>16</x:v>
      </x:c>
    </x:row>
    <x:row r="2586">
      <x:c r="A2586" s="87" t="n">
        <x:v>2585</x:v>
      </x:c>
      <x:c r="B2586" s="87" t="str">
        <x:v>APR-CHEM-V2-016</x:v>
      </x:c>
      <x:c r="C2586" s="87" t="str">
        <x:v>СтатГрад</x:v>
      </x:c>
      <x:c r="D2586" s="87" t="str">
        <x:v>Апрель 2026</x:v>
      </x:c>
      <x:c r="E2586" s="87"/>
      <x:c r="F2586" s="87"/>
      <x:c r="G2586" s="87" t="str">
        <x:v>Химия</x:v>
      </x:c>
      <x:c r="H2586" s="87" t="n">
        <x:v>11</x:v>
      </x:c>
      <x:c r="I2586" s="87" t="str">
        <x:v>ТР №5</x:v>
      </x:c>
      <x:c r="J2586" s="87" t="str">
        <x:v>ХИ2510502</x:v>
      </x:c>
      <x:c r="K2586" s="87" t="n">
        <x:v>16</x:v>
      </x:c>
      <x:c r="L2586" s="87" t="str">
        <x:v>Цепочка органических превращений</x:v>
      </x:c>
      <x:c r="M2586" s="30" t="str">
        <x:v>3,4-дихлоргексан → X → CH₃CH₂COOH →(электролиз, OH⁻) Y.</x:v>
      </x:c>
      <x:c r="N2586" s="30" t="str">
        <x:v>42</x:v>
      </x:c>
      <x:c r="O2586" s="30" t="str">
        <x:v>Двойное дегидрогалогенирование даёт гексин-3; окислительное расщепление — пропионовую кислоту; электролиз её соли — бутан.</x:v>
      </x:c>
      <x:c r="P2586" s="30" t="str">
        <x:v>Двойное дегидрогалогенирование даёт гексин-3; окислительное расщепление — пропионовую кислоту; электролиз её соли — бутан.</x:v>
      </x:c>
      <x:c r="Q2586" s="30"/>
      <x:c r="R2586" s="30" t="str">
        <x:v>Фото-сводка ответов + Zadanie_KhI11_27042026.pdf + независимое решение</x:v>
      </x:c>
      <x:c r="S2586" s="30"/>
      <x:c r="T2586" s="30"/>
      <x:c r="U2586" s="30" t="str">
        <x:v>Расхождений не обнаружено.</x:v>
      </x:c>
      <x:c r="V2586" s="87" t="str">
        <x:v>VERIFIED</x:v>
      </x:c>
      <x:c r="W2586" s="87" t="str">
        <x:v>Zadanie_KhI11_27042026.pdf, внутренняя стр. 8</x:v>
      </x:c>
      <x:c r="X2586" s="87"/>
      <x:c r="Y2586" s="87"/>
      <x:c r="Z2586" s="87"/>
      <x:c r="AA2586" s="87"/>
      <x:c r="AB2586" s="87"/>
      <x:c r="AC2586" s="87"/>
      <x:c r="AD2586" s="87"/>
      <x:c r="AE2586" s="87"/>
      <x:c r="AF2586" s="87"/>
      <x:c r="AG2586" s="87"/>
      <x:c r="AH2586" s="87"/>
      <x:c r="AI2586" s="30"/>
      <x:c r="AJ2586" s="87" t="str">
        <x:v>master</x:v>
      </x:c>
      <x:c r="AK2586" s="87" t="str">
        <x:v>master-v0.81</x:v>
      </x:c>
      <x:c r="AL2586" s="87" t="str">
        <x:v>statgrad_master_base_v0_81_final(2).xlsx</x:v>
      </x:c>
      <x:c r="AM2586" s="87" t="str">
        <x:v>CHEM_Apr_V2</x:v>
      </x:c>
      <x:c r="AN2586" s="87" t="n">
        <x:v>17</x:v>
      </x:c>
    </x:row>
    <x:row r="2587">
      <x:c r="A2587" s="87" t="n">
        <x:v>2586</x:v>
      </x:c>
      <x:c r="B2587" s="87" t="str">
        <x:v>APR-CHEM-V2-017</x:v>
      </x:c>
      <x:c r="C2587" s="87" t="str">
        <x:v>СтатГрад</x:v>
      </x:c>
      <x:c r="D2587" s="87" t="str">
        <x:v>Апрель 2026</x:v>
      </x:c>
      <x:c r="E2587" s="87"/>
      <x:c r="F2587" s="87"/>
      <x:c r="G2587" s="87" t="str">
        <x:v>Химия</x:v>
      </x:c>
      <x:c r="H2587" s="87" t="n">
        <x:v>11</x:v>
      </x:c>
      <x:c r="I2587" s="87" t="str">
        <x:v>ТР №5</x:v>
      </x:c>
      <x:c r="J2587" s="87" t="str">
        <x:v>ХИ2510502</x:v>
      </x:c>
      <x:c r="K2587" s="87" t="n">
        <x:v>17</x:v>
      </x:c>
      <x:c r="L2587" s="87" t="str">
        <x:v>Классификация реакций</x:v>
      </x:c>
      <x:c r="M2587" s="30" t="str">
        <x:v>Соотнести горение CO, метанол+HCOOH и Na+этанол с типами реакций.</x:v>
      </x:c>
      <x:c r="N2587" s="30" t="str">
        <x:v>142</x:v>
      </x:c>
      <x:c r="O2587" s="30" t="str">
        <x:v>Горение CO — соединение гомогенное; этерификация — замещение каталитическое; Na+этанол — необратимая гетерогенная.</x:v>
      </x:c>
      <x:c r="P2587" s="30" t="str">
        <x:v>Горение CO — соединение гомогенное; этерификация — замещение каталитическое; Na+этанол — необратимая гетерогенная.</x:v>
      </x:c>
      <x:c r="Q2587" s="30"/>
      <x:c r="R2587" s="30" t="str">
        <x:v>Фото-сводка ответов + Zadanie_KhI11_27042026.pdf + независимое решение</x:v>
      </x:c>
      <x:c r="S2587" s="30"/>
      <x:c r="T2587" s="30"/>
      <x:c r="U2587" s="30" t="str">
        <x:v>Расхождений не обнаружено.</x:v>
      </x:c>
      <x:c r="V2587" s="87" t="str">
        <x:v>VERIFIED</x:v>
      </x:c>
      <x:c r="W2587" s="87" t="str">
        <x:v>Zadanie_KhI11_27042026.pdf, внутренняя стр. 9</x:v>
      </x:c>
      <x:c r="X2587" s="87"/>
      <x:c r="Y2587" s="87"/>
      <x:c r="Z2587" s="87"/>
      <x:c r="AA2587" s="87"/>
      <x:c r="AB2587" s="87"/>
      <x:c r="AC2587" s="87"/>
      <x:c r="AD2587" s="87"/>
      <x:c r="AE2587" s="87"/>
      <x:c r="AF2587" s="87"/>
      <x:c r="AG2587" s="87"/>
      <x:c r="AH2587" s="87"/>
      <x:c r="AI2587" s="30"/>
      <x:c r="AJ2587" s="87" t="str">
        <x:v>master</x:v>
      </x:c>
      <x:c r="AK2587" s="87" t="str">
        <x:v>master-v0.81</x:v>
      </x:c>
      <x:c r="AL2587" s="87" t="str">
        <x:v>statgrad_master_base_v0_81_final(2).xlsx</x:v>
      </x:c>
      <x:c r="AM2587" s="87" t="str">
        <x:v>CHEM_Apr_V2</x:v>
      </x:c>
      <x:c r="AN2587" s="87" t="n">
        <x:v>18</x:v>
      </x:c>
    </x:row>
    <x:row r="2588">
      <x:c r="A2588" s="87" t="n">
        <x:v>2587</x:v>
      </x:c>
      <x:c r="B2588" s="87" t="str">
        <x:v>APR-CHEM-V2-018</x:v>
      </x:c>
      <x:c r="C2588" s="87" t="str">
        <x:v>СтатГрад</x:v>
      </x:c>
      <x:c r="D2588" s="87" t="str">
        <x:v>Апрель 2026</x:v>
      </x:c>
      <x:c r="E2588" s="87"/>
      <x:c r="F2588" s="87"/>
      <x:c r="G2588" s="87" t="str">
        <x:v>Химия</x:v>
      </x:c>
      <x:c r="H2588" s="87" t="n">
        <x:v>11</x:v>
      </x:c>
      <x:c r="I2588" s="87" t="str">
        <x:v>ТР №5</x:v>
      </x:c>
      <x:c r="J2588" s="87" t="str">
        <x:v>ХИ2510502</x:v>
      </x:c>
      <x:c r="K2588" s="87" t="n">
        <x:v>18</x:v>
      </x:c>
      <x:c r="L2588" s="87" t="str">
        <x:v>Скорость реакции</x:v>
      </x:c>
      <x:c r="M2588" s="30" t="str">
        <x:v>Выбрать факторы, уменьшающие скорость разложения SO₃.</x:v>
      </x:c>
      <x:c r="N2588" s="30" t="str">
        <x:v>2345</x:v>
      </x:c>
      <x:c r="O2588" s="30" t="str">
        <x:v>Скорость уменьшают увеличение объёма/снижение давления, охлаждение и отравление катализатора; добавление SO₂ снижает наблюдаемую скорость разложения.</x:v>
      </x:c>
      <x:c r="P2588" s="30" t="str">
        <x:v>Скорость уменьшают увеличение объёма/снижение давления, охлаждение и отравление катализатора; добавление SO₂ снижает наблюдаемую скорость разложения.</x:v>
      </x:c>
      <x:c r="Q2588" s="30"/>
      <x:c r="R2588" s="30" t="str">
        <x:v>Фото-сводка ответов + Zadanie_KhI11_27042026.pdf + независимое решение</x:v>
      </x:c>
      <x:c r="S2588" s="30"/>
      <x:c r="T2588" s="30"/>
      <x:c r="U2588" s="30" t="str">
        <x:v>Расхождений не обнаружено.</x:v>
      </x:c>
      <x:c r="V2588" s="87" t="str">
        <x:v>VERIFIED</x:v>
      </x:c>
      <x:c r="W2588" s="87" t="str">
        <x:v>Zadanie_KhI11_27042026.pdf, внутренняя стр. 9</x:v>
      </x:c>
      <x:c r="X2588" s="87"/>
      <x:c r="Y2588" s="87"/>
      <x:c r="Z2588" s="87"/>
      <x:c r="AA2588" s="87"/>
      <x:c r="AB2588" s="87"/>
      <x:c r="AC2588" s="87"/>
      <x:c r="AD2588" s="87"/>
      <x:c r="AE2588" s="87"/>
      <x:c r="AF2588" s="87"/>
      <x:c r="AG2588" s="87"/>
      <x:c r="AH2588" s="87"/>
      <x:c r="AI2588" s="30"/>
      <x:c r="AJ2588" s="87" t="str">
        <x:v>master</x:v>
      </x:c>
      <x:c r="AK2588" s="87" t="str">
        <x:v>master-v0.81</x:v>
      </x:c>
      <x:c r="AL2588" s="87" t="str">
        <x:v>statgrad_master_base_v0_81_final(2).xlsx</x:v>
      </x:c>
      <x:c r="AM2588" s="87" t="str">
        <x:v>CHEM_Apr_V2</x:v>
      </x:c>
      <x:c r="AN2588" s="87" t="n">
        <x:v>19</x:v>
      </x:c>
    </x:row>
    <x:row r="2589">
      <x:c r="A2589" s="87" t="n">
        <x:v>2588</x:v>
      </x:c>
      <x:c r="B2589" s="87" t="str">
        <x:v>APR-CHEM-V2-019</x:v>
      </x:c>
      <x:c r="C2589" s="87" t="str">
        <x:v>СтатГрад</x:v>
      </x:c>
      <x:c r="D2589" s="87" t="str">
        <x:v>Апрель 2026</x:v>
      </x:c>
      <x:c r="E2589" s="87"/>
      <x:c r="F2589" s="87"/>
      <x:c r="G2589" s="87" t="str">
        <x:v>Химия</x:v>
      </x:c>
      <x:c r="H2589" s="87" t="n">
        <x:v>11</x:v>
      </x:c>
      <x:c r="I2589" s="87" t="str">
        <x:v>ТР №5</x:v>
      </x:c>
      <x:c r="J2589" s="87" t="str">
        <x:v>ХИ2510502</x:v>
      </x:c>
      <x:c r="K2589" s="87" t="n">
        <x:v>19</x:v>
      </x:c>
      <x:c r="L2589" s="87" t="str">
        <x:v>ОВР: степени окисления</x:v>
      </x:c>
      <x:c r="M2589" s="30" t="str">
        <x:v>Соотнести три ОВР с изменением степени окисления окислителя.</x:v>
      </x:c>
      <x:c r="N2589" s="30" t="str">
        <x:v>214</x:v>
      </x:c>
      <x:c r="O2589" s="30" t="str">
        <x:v>Cl₂: 0→−1; O₂: 0→−2; N в HNO₃: +5→+2.</x:v>
      </x:c>
      <x:c r="P2589" s="30" t="str">
        <x:v>Cl₂: 0→−1; O₂: 0→−2; N в HNO₃: +5→+2.</x:v>
      </x:c>
      <x:c r="Q2589" s="30"/>
      <x:c r="R2589" s="30" t="str">
        <x:v>Фото-сводка ответов + Zadanie_KhI11_27042026.pdf + независимое решение</x:v>
      </x:c>
      <x:c r="S2589" s="30"/>
      <x:c r="T2589" s="30"/>
      <x:c r="U2589" s="30" t="str">
        <x:v>Расхождений не обнаружено.</x:v>
      </x:c>
      <x:c r="V2589" s="87" t="str">
        <x:v>VERIFIED</x:v>
      </x:c>
      <x:c r="W2589" s="87" t="str">
        <x:v>Zadanie_KhI11_27042026.pdf, внутренняя стр. 10</x:v>
      </x:c>
      <x:c r="X2589" s="87"/>
      <x:c r="Y2589" s="87"/>
      <x:c r="Z2589" s="87"/>
      <x:c r="AA2589" s="87"/>
      <x:c r="AB2589" s="87"/>
      <x:c r="AC2589" s="87"/>
      <x:c r="AD2589" s="87"/>
      <x:c r="AE2589" s="87"/>
      <x:c r="AF2589" s="87"/>
      <x:c r="AG2589" s="87"/>
      <x:c r="AH2589" s="87"/>
      <x:c r="AI2589" s="30"/>
      <x:c r="AJ2589" s="87" t="str">
        <x:v>master</x:v>
      </x:c>
      <x:c r="AK2589" s="87" t="str">
        <x:v>master-v0.81</x:v>
      </x:c>
      <x:c r="AL2589" s="87" t="str">
        <x:v>statgrad_master_base_v0_81_final(2).xlsx</x:v>
      </x:c>
      <x:c r="AM2589" s="87" t="str">
        <x:v>CHEM_Apr_V2</x:v>
      </x:c>
      <x:c r="AN2589" s="87" t="n">
        <x:v>20</x:v>
      </x:c>
    </x:row>
    <x:row r="2590">
      <x:c r="A2590" s="87" t="n">
        <x:v>2589</x:v>
      </x:c>
      <x:c r="B2590" s="87" t="str">
        <x:v>APR-CHEM-V2-020</x:v>
      </x:c>
      <x:c r="C2590" s="87" t="str">
        <x:v>СтатГрад</x:v>
      </x:c>
      <x:c r="D2590" s="87" t="str">
        <x:v>Апрель 2026</x:v>
      </x:c>
      <x:c r="E2590" s="87"/>
      <x:c r="F2590" s="87"/>
      <x:c r="G2590" s="87" t="str">
        <x:v>Химия</x:v>
      </x:c>
      <x:c r="H2590" s="87" t="n">
        <x:v>11</x:v>
      </x:c>
      <x:c r="I2590" s="87" t="str">
        <x:v>ТР №5</x:v>
      </x:c>
      <x:c r="J2590" s="87" t="str">
        <x:v>ХИ2510502</x:v>
      </x:c>
      <x:c r="K2590" s="87" t="n">
        <x:v>20</x:v>
      </x:c>
      <x:c r="L2590" s="87" t="str">
        <x:v>Электролиз</x:v>
      </x:c>
      <x:c r="M2590" s="30" t="str">
        <x:v>Соотнести KOH, F₂ и NaClO со способом электролитического получения.</x:v>
      </x:c>
      <x:c r="N2590" s="30" t="str">
        <x:v>231</x:v>
      </x:c>
      <x:c r="O2590" s="30" t="str">
        <x:v>KOH получают из раствора KCl; F₂ — из расплава KHF₂; NaClO — из холодного раствора NaCl.</x:v>
      </x:c>
      <x:c r="P2590" s="30" t="str">
        <x:v>KOH получают из раствора KCl; F₂ — из расплава KHF₂; NaClO — из холодного раствора NaCl.</x:v>
      </x:c>
      <x:c r="Q2590" s="30"/>
      <x:c r="R2590" s="30" t="str">
        <x:v>Фото-сводка ответов + Zadanie_KhI11_27042026.pdf + независимое решение</x:v>
      </x:c>
      <x:c r="S2590" s="30"/>
      <x:c r="T2590" s="30"/>
      <x:c r="U2590" s="30" t="str">
        <x:v>Расхождений не обнаружено.</x:v>
      </x:c>
      <x:c r="V2590" s="87" t="str">
        <x:v>VERIFIED</x:v>
      </x:c>
      <x:c r="W2590" s="87" t="str">
        <x:v>Zadanie_KhI11_27042026.pdf, внутренняя стр. 10</x:v>
      </x:c>
      <x:c r="X2590" s="87"/>
      <x:c r="Y2590" s="87"/>
      <x:c r="Z2590" s="87"/>
      <x:c r="AA2590" s="87"/>
      <x:c r="AB2590" s="87"/>
      <x:c r="AC2590" s="87"/>
      <x:c r="AD2590" s="87"/>
      <x:c r="AE2590" s="87"/>
      <x:c r="AF2590" s="87"/>
      <x:c r="AG2590" s="87"/>
      <x:c r="AH2590" s="87"/>
      <x:c r="AI2590" s="30"/>
      <x:c r="AJ2590" s="87" t="str">
        <x:v>master</x:v>
      </x:c>
      <x:c r="AK2590" s="87" t="str">
        <x:v>master-v0.81</x:v>
      </x:c>
      <x:c r="AL2590" s="87" t="str">
        <x:v>statgrad_master_base_v0_81_final(2).xlsx</x:v>
      </x:c>
      <x:c r="AM2590" s="87" t="str">
        <x:v>CHEM_Apr_V2</x:v>
      </x:c>
      <x:c r="AN2590" s="87" t="n">
        <x:v>21</x:v>
      </x:c>
    </x:row>
    <x:row r="2591">
      <x:c r="A2591" s="87" t="n">
        <x:v>2590</x:v>
      </x:c>
      <x:c r="B2591" s="87" t="str">
        <x:v>APR-CHEM-V2-021</x:v>
      </x:c>
      <x:c r="C2591" s="87" t="str">
        <x:v>СтатГрад</x:v>
      </x:c>
      <x:c r="D2591" s="87" t="str">
        <x:v>Апрель 2026</x:v>
      </x:c>
      <x:c r="E2591" s="87"/>
      <x:c r="F2591" s="87"/>
      <x:c r="G2591" s="87" t="str">
        <x:v>Химия</x:v>
      </x:c>
      <x:c r="H2591" s="87" t="n">
        <x:v>11</x:v>
      </x:c>
      <x:c r="I2591" s="87" t="str">
        <x:v>ТР №5</x:v>
      </x:c>
      <x:c r="J2591" s="87" t="str">
        <x:v>ХИ2510502</x:v>
      </x:c>
      <x:c r="K2591" s="87" t="n">
        <x:v>21</x:v>
      </x:c>
      <x:c r="L2591" s="87" t="str">
        <x:v>pH растворов</x:v>
      </x:c>
      <x:c r="M2591" s="30" t="str">
        <x:v>Расположить MgCl₂, Ca(OH)₂, Ca(NO₃)₂, HClO₄ по убыванию pH.</x:v>
      </x:c>
      <x:c r="N2591" s="30" t="str">
        <x:v>2314</x:v>
      </x:c>
      <x:c r="O2591" s="30" t="str">
        <x:v>Сильное основание &gt; нейтральная соль &gt; кислая вследствие гидролиза соль &gt; сильная кислота.</x:v>
      </x:c>
      <x:c r="P2591" s="30" t="str">
        <x:v>Сильное основание &gt; нейтральная соль &gt; кислая вследствие гидролиза соль &gt; сильная кислота.</x:v>
      </x:c>
      <x:c r="Q2591" s="30"/>
      <x:c r="R2591" s="30" t="str">
        <x:v>Фото-сводка ответов + Zadanie_KhI11_27042026.pdf + независимое решение</x:v>
      </x:c>
      <x:c r="S2591" s="30"/>
      <x:c r="T2591" s="30"/>
      <x:c r="U2591" s="30" t="str">
        <x:v>Расхождений не обнаружено.</x:v>
      </x:c>
      <x:c r="V2591" s="87" t="str">
        <x:v>VERIFIED</x:v>
      </x:c>
      <x:c r="W2591" s="87" t="str">
        <x:v>Zadanie_KhI11_27042026.pdf, внутренняя стр. 11</x:v>
      </x:c>
      <x:c r="X2591" s="87"/>
      <x:c r="Y2591" s="87"/>
      <x:c r="Z2591" s="87"/>
      <x:c r="AA2591" s="87"/>
      <x:c r="AB2591" s="87"/>
      <x:c r="AC2591" s="87"/>
      <x:c r="AD2591" s="87"/>
      <x:c r="AE2591" s="87"/>
      <x:c r="AF2591" s="87"/>
      <x:c r="AG2591" s="87"/>
      <x:c r="AH2591" s="87"/>
      <x:c r="AI2591" s="30"/>
      <x:c r="AJ2591" s="87" t="str">
        <x:v>master</x:v>
      </x:c>
      <x:c r="AK2591" s="87" t="str">
        <x:v>master-v0.81</x:v>
      </x:c>
      <x:c r="AL2591" s="87" t="str">
        <x:v>statgrad_master_base_v0_81_final(2).xlsx</x:v>
      </x:c>
      <x:c r="AM2591" s="87" t="str">
        <x:v>CHEM_Apr_V2</x:v>
      </x:c>
      <x:c r="AN2591" s="87" t="n">
        <x:v>22</x:v>
      </x:c>
    </x:row>
    <x:row r="2592">
      <x:c r="A2592" s="87" t="n">
        <x:v>2591</x:v>
      </x:c>
      <x:c r="B2592" s="87" t="str">
        <x:v>APR-CHEM-V2-022</x:v>
      </x:c>
      <x:c r="C2592" s="87" t="str">
        <x:v>СтатГрад</x:v>
      </x:c>
      <x:c r="D2592" s="87" t="str">
        <x:v>Апрель 2026</x:v>
      </x:c>
      <x:c r="E2592" s="87"/>
      <x:c r="F2592" s="87"/>
      <x:c r="G2592" s="87" t="str">
        <x:v>Химия</x:v>
      </x:c>
      <x:c r="H2592" s="87" t="n">
        <x:v>11</x:v>
      </x:c>
      <x:c r="I2592" s="87" t="str">
        <x:v>ТР №5</x:v>
      </x:c>
      <x:c r="J2592" s="87" t="str">
        <x:v>ХИ2510502</x:v>
      </x:c>
      <x:c r="K2592" s="87" t="n">
        <x:v>22</x:v>
      </x:c>
      <x:c r="L2592" s="87" t="str">
        <x:v>Химическое равновесие</x:v>
      </x:c>
      <x:c r="M2592" s="30" t="str">
        <x:v>Для CO₃²⁻+H₂O⇄HCO₃⁻+OH⁻−Q определить сдвиг при кислоте, соде, охлаждении и давлении.</x:v>
      </x:c>
      <x:c r="N2592" s="30" t="str">
        <x:v>1123</x:v>
      </x:c>
      <x:c r="O2592" s="30" t="str">
        <x:v>Кислота удаляет OH⁻, сода увеличивает CO₃²⁻ — сдвиг вправо; охлаждение — влево; давление над раствором почти не влияет.</x:v>
      </x:c>
      <x:c r="P2592" s="30" t="str">
        <x:v>Кислота удаляет OH⁻, сода увеличивает CO₃²⁻ — сдвиг вправо; охлаждение — влево; давление над раствором почти не влияет.</x:v>
      </x:c>
      <x:c r="Q2592" s="30"/>
      <x:c r="R2592" s="30" t="str">
        <x:v>Kriterii_KhI11_27042026.pdf: таблица ответов + фото-сводка + независимая проверка</x:v>
      </x:c>
      <x:c r="S2592" s="30"/>
      <x:c r="T2592" s="30"/>
      <x:c r="U2592" s="30" t="str">
        <x:v>Расхождений не обнаружено.</x:v>
      </x:c>
      <x:c r="V2592" s="87" t="str">
        <x:v>VERIFIED</x:v>
      </x:c>
      <x:c r="W2592" s="87" t="str">
        <x:v>Zadanie_KhI11_27042026.pdf, внутренняя стр. 12</x:v>
      </x:c>
      <x:c r="X2592" s="87"/>
      <x:c r="Y2592" s="87"/>
      <x:c r="Z2592" s="87"/>
      <x:c r="AA2592" s="87"/>
      <x:c r="AB2592" s="87"/>
      <x:c r="AC2592" s="87"/>
      <x:c r="AD2592" s="87"/>
      <x:c r="AE2592" s="87"/>
      <x:c r="AF2592" s="87"/>
      <x:c r="AG2592" s="87"/>
      <x:c r="AH2592" s="87"/>
      <x:c r="AI2592" s="30"/>
      <x:c r="AJ2592" s="87" t="str">
        <x:v>master</x:v>
      </x:c>
      <x:c r="AK2592" s="87" t="str">
        <x:v>master-v0.81</x:v>
      </x:c>
      <x:c r="AL2592" s="87" t="str">
        <x:v>statgrad_master_base_v0_81_final(2).xlsx</x:v>
      </x:c>
      <x:c r="AM2592" s="87" t="str">
        <x:v>CHEM_Apr_V2</x:v>
      </x:c>
      <x:c r="AN2592" s="87" t="n">
        <x:v>23</x:v>
      </x:c>
    </x:row>
    <x:row r="2593">
      <x:c r="A2593" s="87" t="n">
        <x:v>2592</x:v>
      </x:c>
      <x:c r="B2593" s="87" t="str">
        <x:v>APR-CHEM-V2-023</x:v>
      </x:c>
      <x:c r="C2593" s="87" t="str">
        <x:v>СтатГрад</x:v>
      </x:c>
      <x:c r="D2593" s="87" t="str">
        <x:v>Апрель 2026</x:v>
      </x:c>
      <x:c r="E2593" s="87"/>
      <x:c r="F2593" s="87"/>
      <x:c r="G2593" s="87" t="str">
        <x:v>Химия</x:v>
      </x:c>
      <x:c r="H2593" s="87" t="n">
        <x:v>11</x:v>
      </x:c>
      <x:c r="I2593" s="87" t="str">
        <x:v>ТР №5</x:v>
      </x:c>
      <x:c r="J2593" s="87" t="str">
        <x:v>ХИ2510502</x:v>
      </x:c>
      <x:c r="K2593" s="87" t="n">
        <x:v>23</x:v>
      </x:c>
      <x:c r="L2593" s="87" t="str">
        <x:v>Равновесные концентрации</x:v>
      </x:c>
      <x:c r="M2593" s="30" t="str">
        <x:v>Для 2NH₃⇄N₂+3H₂ при [NH₃]=0,4 и [N₂]=0,1 найти исходную [NH₃] и равновесную [H₂].</x:v>
      </x:c>
      <x:c r="N2593" s="30" t="str">
        <x:v>4; 2</x:v>
      </x:c>
      <x:c r="O2593" s="30" t="str">
        <x:v>Разложилось 0,2 моль/л NH₃; исходно было 0,6, а H₂ образовалось 0,3 моль/л.</x:v>
      </x:c>
      <x:c r="P2593" s="30" t="str">
        <x:v>Таблица ICE даёт варианты 4 и 2.</x:v>
      </x:c>
      <x:c r="Q2593" s="30"/>
      <x:c r="R2593" s="30" t="str">
        <x:v>Фото-сводка ответов + Zadanie_KhI11_27042026.pdf + независимое решение</x:v>
      </x:c>
      <x:c r="S2593" s="30"/>
      <x:c r="T2593" s="30"/>
      <x:c r="U2593" s="30" t="str">
        <x:v>Расхождений не обнаружено.</x:v>
      </x:c>
      <x:c r="V2593" s="87" t="str">
        <x:v>VERIFIED</x:v>
      </x:c>
      <x:c r="W2593" s="87" t="str">
        <x:v>Zadanie_KhI11_27042026.pdf, внутренняя стр. 12</x:v>
      </x:c>
      <x:c r="X2593" s="87"/>
      <x:c r="Y2593" s="87"/>
      <x:c r="Z2593" s="87"/>
      <x:c r="AA2593" s="87"/>
      <x:c r="AB2593" s="87"/>
      <x:c r="AC2593" s="87"/>
      <x:c r="AD2593" s="87"/>
      <x:c r="AE2593" s="87"/>
      <x:c r="AF2593" s="87"/>
      <x:c r="AG2593" s="87"/>
      <x:c r="AH2593" s="87"/>
      <x:c r="AI2593" s="30"/>
      <x:c r="AJ2593" s="87" t="str">
        <x:v>master</x:v>
      </x:c>
      <x:c r="AK2593" s="87" t="str">
        <x:v>master-v0.81</x:v>
      </x:c>
      <x:c r="AL2593" s="87" t="str">
        <x:v>statgrad_master_base_v0_81_final(2).xlsx</x:v>
      </x:c>
      <x:c r="AM2593" s="87" t="str">
        <x:v>CHEM_Apr_V2</x:v>
      </x:c>
      <x:c r="AN2593" s="87" t="n">
        <x:v>24</x:v>
      </x:c>
    </x:row>
    <x:row r="2594">
      <x:c r="A2594" s="87" t="n">
        <x:v>2593</x:v>
      </x:c>
      <x:c r="B2594" s="87" t="str">
        <x:v>APR-CHEM-V2-024</x:v>
      </x:c>
      <x:c r="C2594" s="87" t="str">
        <x:v>СтатГрад</x:v>
      </x:c>
      <x:c r="D2594" s="87" t="str">
        <x:v>Апрель 2026</x:v>
      </x:c>
      <x:c r="E2594" s="87"/>
      <x:c r="F2594" s="87"/>
      <x:c r="G2594" s="87" t="str">
        <x:v>Химия</x:v>
      </x:c>
      <x:c r="H2594" s="87" t="n">
        <x:v>11</x:v>
      </x:c>
      <x:c r="I2594" s="87" t="str">
        <x:v>ТР №5</x:v>
      </x:c>
      <x:c r="J2594" s="87" t="str">
        <x:v>ХИ2510502</x:v>
      </x:c>
      <x:c r="K2594" s="87" t="n">
        <x:v>24</x:v>
      </x:c>
      <x:c r="L2594" s="87" t="str">
        <x:v>Признаки реакций</x:v>
      </x:c>
      <x:c r="M2594" s="30" t="str">
        <x:v>Соотнести этилен+KMnO₄, этаналь+реактив Толленса, CH₃COOH+Na₂S и пропанол-2+Na с признаками.</x:v>
      </x:c>
      <x:c r="N2594" s="30" t="str">
        <x:v>1244</x:v>
      </x:c>
      <x:c r="O2594" s="30" t="str">
        <x:v>Наблюдаются обесцвечивание, осадок Ag, выделение H₂S и выделение H₂.</x:v>
      </x:c>
      <x:c r="P2594" s="30" t="str">
        <x:v>Наблюдаются обесцвечивание, осадок Ag, выделение H₂S и выделение H₂.</x:v>
      </x:c>
      <x:c r="Q2594" s="30"/>
      <x:c r="R2594" s="30" t="str">
        <x:v>Kriterii_KhI11_27042026.pdf: таблица ответов + фото-сводка + независимая проверка</x:v>
      </x:c>
      <x:c r="S2594" s="30"/>
      <x:c r="T2594" s="30"/>
      <x:c r="U2594" s="30" t="str">
        <x:v>Расхождений не обнаружено.</x:v>
      </x:c>
      <x:c r="V2594" s="87" t="str">
        <x:v>VERIFIED</x:v>
      </x:c>
      <x:c r="W2594" s="87" t="str">
        <x:v>Zadanie_KhI11_27042026.pdf, внутренняя стр. 13</x:v>
      </x:c>
      <x:c r="X2594" s="87"/>
      <x:c r="Y2594" s="87"/>
      <x:c r="Z2594" s="87"/>
      <x:c r="AA2594" s="87"/>
      <x:c r="AB2594" s="87"/>
      <x:c r="AC2594" s="87"/>
      <x:c r="AD2594" s="87"/>
      <x:c r="AE2594" s="87"/>
      <x:c r="AF2594" s="87"/>
      <x:c r="AG2594" s="87"/>
      <x:c r="AH2594" s="87"/>
      <x:c r="AI2594" s="30"/>
      <x:c r="AJ2594" s="87" t="str">
        <x:v>master</x:v>
      </x:c>
      <x:c r="AK2594" s="87" t="str">
        <x:v>master-v0.81</x:v>
      </x:c>
      <x:c r="AL2594" s="87" t="str">
        <x:v>statgrad_master_base_v0_81_final(2).xlsx</x:v>
      </x:c>
      <x:c r="AM2594" s="87" t="str">
        <x:v>CHEM_Apr_V2</x:v>
      </x:c>
      <x:c r="AN2594" s="87" t="n">
        <x:v>25</x:v>
      </x:c>
    </x:row>
    <x:row r="2595">
      <x:c r="A2595" s="87" t="n">
        <x:v>2594</x:v>
      </x:c>
      <x:c r="B2595" s="87" t="str">
        <x:v>APR-CHEM-V2-025</x:v>
      </x:c>
      <x:c r="C2595" s="87" t="str">
        <x:v>СтатГрад</x:v>
      </x:c>
      <x:c r="D2595" s="87" t="str">
        <x:v>Апрель 2026</x:v>
      </x:c>
      <x:c r="E2595" s="87"/>
      <x:c r="F2595" s="87"/>
      <x:c r="G2595" s="87" t="str">
        <x:v>Химия</x:v>
      </x:c>
      <x:c r="H2595" s="87" t="n">
        <x:v>11</x:v>
      </x:c>
      <x:c r="I2595" s="87" t="str">
        <x:v>ТР №5</x:v>
      </x:c>
      <x:c r="J2595" s="87" t="str">
        <x:v>ХИ2510502</x:v>
      </x:c>
      <x:c r="K2595" s="87" t="n">
        <x:v>25</x:v>
      </x:c>
      <x:c r="L2595" s="87" t="str">
        <x:v>Применение веществ</x:v>
      </x:c>
      <x:c r="M2595" s="30" t="str">
        <x:v>Соотнести SO₂, H₂SO₄ и этиленгликоль с применением.</x:v>
      </x:c>
      <x:c r="N2595" s="30" t="str">
        <x:v>123</x:v>
      </x:c>
      <x:c r="O2595" s="30" t="str">
        <x:v>SO₂ отбеливает бумагу, H₂SO₄ используют в производстве удобрений, этиленгликоль — пластмасс/полиэфиров.</x:v>
      </x:c>
      <x:c r="P2595" s="30" t="str">
        <x:v>SO₂ отбеливает бумагу, H₂SO₄ используют в производстве удобрений, этиленгликоль — пластмасс/полиэфиров.</x:v>
      </x:c>
      <x:c r="Q2595" s="30"/>
      <x:c r="R2595" s="30" t="str">
        <x:v>Фото-сводка ответов + Zadanie_KhI11_27042026.pdf + независимое решение</x:v>
      </x:c>
      <x:c r="S2595" s="30"/>
      <x:c r="T2595" s="30"/>
      <x:c r="U2595" s="30" t="str">
        <x:v>Расхождений не обнаружено.</x:v>
      </x:c>
      <x:c r="V2595" s="87" t="str">
        <x:v>VERIFIED</x:v>
      </x:c>
      <x:c r="W2595" s="87" t="str">
        <x:v>Zadanie_KhI11_27042026.pdf, внутренняя стр. 13</x:v>
      </x:c>
      <x:c r="X2595" s="87"/>
      <x:c r="Y2595" s="87"/>
      <x:c r="Z2595" s="87"/>
      <x:c r="AA2595" s="87"/>
      <x:c r="AB2595" s="87"/>
      <x:c r="AC2595" s="87"/>
      <x:c r="AD2595" s="87"/>
      <x:c r="AE2595" s="87"/>
      <x:c r="AF2595" s="87"/>
      <x:c r="AG2595" s="87"/>
      <x:c r="AH2595" s="87"/>
      <x:c r="AI2595" s="30"/>
      <x:c r="AJ2595" s="87" t="str">
        <x:v>master</x:v>
      </x:c>
      <x:c r="AK2595" s="87" t="str">
        <x:v>master-v0.81</x:v>
      </x:c>
      <x:c r="AL2595" s="87" t="str">
        <x:v>statgrad_master_base_v0_81_final(2).xlsx</x:v>
      </x:c>
      <x:c r="AM2595" s="87" t="str">
        <x:v>CHEM_Apr_V2</x:v>
      </x:c>
      <x:c r="AN2595" s="87" t="n">
        <x:v>26</x:v>
      </x:c>
    </x:row>
    <x:row r="2596">
      <x:c r="A2596" s="87" t="n">
        <x:v>2595</x:v>
      </x:c>
      <x:c r="B2596" s="87" t="str">
        <x:v>APR-CHEM-V2-026</x:v>
      </x:c>
      <x:c r="C2596" s="87" t="str">
        <x:v>СтатГрад</x:v>
      </x:c>
      <x:c r="D2596" s="87" t="str">
        <x:v>Апрель 2026</x:v>
      </x:c>
      <x:c r="E2596" s="87"/>
      <x:c r="F2596" s="87"/>
      <x:c r="G2596" s="87" t="str">
        <x:v>Химия</x:v>
      </x:c>
      <x:c r="H2596" s="87" t="n">
        <x:v>11</x:v>
      </x:c>
      <x:c r="I2596" s="87" t="str">
        <x:v>ТР №5</x:v>
      </x:c>
      <x:c r="J2596" s="87" t="str">
        <x:v>ХИ2510502</x:v>
      </x:c>
      <x:c r="K2596" s="87" t="n">
        <x:v>26</x:v>
      </x:c>
      <x:c r="L2596" s="87" t="str">
        <x:v>Растворы: молярная концентрация</x:v>
      </x:c>
      <x:c r="M2596" s="30" t="str">
        <x:v>Из 2 М H₂SO₄ приготовить 294 г 10%-го раствора; найти объём исходного раствора.</x:v>
      </x:c>
      <x:c r="N2596" s="30" t="str">
        <x:v>150</x:v>
      </x:c>
      <x:c r="O2596" s="30" t="str">
        <x:v>m(H₂SO₄)=29,4 г, n=0,3 моль; V=n/C=0,15 л=150 мл.</x:v>
      </x:c>
      <x:c r="P2596" s="30" t="str">
        <x:v>m(H₂SO₄)=29,4 г, n=0,3 моль; V=n/C=0,15 л=150 мл.</x:v>
      </x:c>
      <x:c r="Q2596" s="30"/>
      <x:c r="R2596" s="30" t="str">
        <x:v>Фото-сводка ответов + Zadanie_KhI11_27042026.pdf + независимое решение</x:v>
      </x:c>
      <x:c r="S2596" s="30"/>
      <x:c r="T2596" s="30"/>
      <x:c r="U2596" s="30" t="str">
        <x:v>Расхождений не обнаружено.</x:v>
      </x:c>
      <x:c r="V2596" s="87" t="str">
        <x:v>VERIFIED</x:v>
      </x:c>
      <x:c r="W2596" s="87" t="str">
        <x:v>Zadanie_KhI11_27042026.pdf, внутренняя стр. 14</x:v>
      </x:c>
      <x:c r="X2596" s="87"/>
      <x:c r="Y2596" s="87"/>
      <x:c r="Z2596" s="87"/>
      <x:c r="AA2596" s="87"/>
      <x:c r="AB2596" s="87"/>
      <x:c r="AC2596" s="87"/>
      <x:c r="AD2596" s="87"/>
      <x:c r="AE2596" s="87"/>
      <x:c r="AF2596" s="87"/>
      <x:c r="AG2596" s="87"/>
      <x:c r="AH2596" s="87"/>
      <x:c r="AI2596" s="30"/>
      <x:c r="AJ2596" s="87" t="str">
        <x:v>master</x:v>
      </x:c>
      <x:c r="AK2596" s="87" t="str">
        <x:v>master-v0.81</x:v>
      </x:c>
      <x:c r="AL2596" s="87" t="str">
        <x:v>statgrad_master_base_v0_81_final(2).xlsx</x:v>
      </x:c>
      <x:c r="AM2596" s="87" t="str">
        <x:v>CHEM_Apr_V2</x:v>
      </x:c>
      <x:c r="AN2596" s="87" t="n">
        <x:v>27</x:v>
      </x:c>
    </x:row>
    <x:row r="2597">
      <x:c r="A2597" s="87" t="n">
        <x:v>2596</x:v>
      </x:c>
      <x:c r="B2597" s="87" t="str">
        <x:v>APR-CHEM-V2-027</x:v>
      </x:c>
      <x:c r="C2597" s="87" t="str">
        <x:v>СтатГрад</x:v>
      </x:c>
      <x:c r="D2597" s="87" t="str">
        <x:v>Апрель 2026</x:v>
      </x:c>
      <x:c r="E2597" s="87"/>
      <x:c r="F2597" s="87"/>
      <x:c r="G2597" s="87" t="str">
        <x:v>Химия</x:v>
      </x:c>
      <x:c r="H2597" s="87" t="n">
        <x:v>11</x:v>
      </x:c>
      <x:c r="I2597" s="87" t="str">
        <x:v>ТР №5</x:v>
      </x:c>
      <x:c r="J2597" s="87" t="str">
        <x:v>ХИ2510502</x:v>
      </x:c>
      <x:c r="K2597" s="87" t="n">
        <x:v>27</x:v>
      </x:c>
      <x:c r="L2597" s="87" t="str">
        <x:v>Термохимия</x:v>
      </x:c>
      <x:c r="M2597" s="30" t="str">
        <x:v>По 2Mg(NO₃)₂→2MgO+4NO₂+O₂−4150 кДж при 83 кДж найти массу соли.</x:v>
      </x:c>
      <x:c r="N2597" s="30" t="str">
        <x:v>5,92</x:v>
      </x:c>
      <x:c r="O2597" s="30" t="str">
        <x:v>83/4150=0,02 стехиометрического акта; разложилось 0,04 моль соли, m=0,04·148=5,92 г.</x:v>
      </x:c>
      <x:c r="P2597" s="30" t="str">
        <x:v>83/4150=0,02 стехиометрического акта; разложилось 0,04 моль соли, m=0,04·148=5,92 г.</x:v>
      </x:c>
      <x:c r="Q2597" s="30"/>
      <x:c r="R2597" s="30" t="str">
        <x:v>Фото-сводка ответов + Zadanie_KhI11_27042026.pdf + независимое решение</x:v>
      </x:c>
      <x:c r="S2597" s="30"/>
      <x:c r="T2597" s="30"/>
      <x:c r="U2597" s="30" t="str">
        <x:v>Расхождений не обнаружено.</x:v>
      </x:c>
      <x:c r="V2597" s="87" t="str">
        <x:v>VERIFIED</x:v>
      </x:c>
      <x:c r="W2597" s="87" t="str">
        <x:v>Zadanie_KhI11_27042026.pdf, внутренняя стр. 14</x:v>
      </x:c>
      <x:c r="X2597" s="87"/>
      <x:c r="Y2597" s="87"/>
      <x:c r="Z2597" s="87"/>
      <x:c r="AA2597" s="87"/>
      <x:c r="AB2597" s="87"/>
      <x:c r="AC2597" s="87"/>
      <x:c r="AD2597" s="87"/>
      <x:c r="AE2597" s="87"/>
      <x:c r="AF2597" s="87"/>
      <x:c r="AG2597" s="87"/>
      <x:c r="AH2597" s="87"/>
      <x:c r="AI2597" s="30"/>
      <x:c r="AJ2597" s="87" t="str">
        <x:v>master</x:v>
      </x:c>
      <x:c r="AK2597" s="87" t="str">
        <x:v>master-v0.81</x:v>
      </x:c>
      <x:c r="AL2597" s="87" t="str">
        <x:v>statgrad_master_base_v0_81_final(2).xlsx</x:v>
      </x:c>
      <x:c r="AM2597" s="87" t="str">
        <x:v>CHEM_Apr_V2</x:v>
      </x:c>
      <x:c r="AN2597" s="87" t="n">
        <x:v>28</x:v>
      </x:c>
    </x:row>
    <x:row r="2598">
      <x:c r="A2598" s="87" t="n">
        <x:v>2597</x:v>
      </x:c>
      <x:c r="B2598" s="87" t="str">
        <x:v>APR-CHEM-V2-028</x:v>
      </x:c>
      <x:c r="C2598" s="87" t="str">
        <x:v>СтатГрад</x:v>
      </x:c>
      <x:c r="D2598" s="87" t="str">
        <x:v>Апрель 2026</x:v>
      </x:c>
      <x:c r="E2598" s="87"/>
      <x:c r="F2598" s="87"/>
      <x:c r="G2598" s="87" t="str">
        <x:v>Химия</x:v>
      </x:c>
      <x:c r="H2598" s="87" t="n">
        <x:v>11</x:v>
      </x:c>
      <x:c r="I2598" s="87" t="str">
        <x:v>ТР №5</x:v>
      </x:c>
      <x:c r="J2598" s="87" t="str">
        <x:v>ХИ2510502</x:v>
      </x:c>
      <x:c r="K2598" s="87" t="n">
        <x:v>28</x:v>
      </x:c>
      <x:c r="L2598" s="87" t="str">
        <x:v>Выход продукта</x:v>
      </x:c>
      <x:c r="M2598" s="30" t="str">
        <x:v>Из 33,6 л этилена получить этиленоксид с выходом 95%; найти массу.</x:v>
      </x:c>
      <x:c r="N2598" s="30" t="str">
        <x:v>62,7</x:v>
      </x:c>
      <x:c r="O2598" s="30" t="str">
        <x:v>n(C₂H₄)=1,5 моль; mтеор(C₂H₄O)=1,5·44=66 г; m=62,7 г.</x:v>
      </x:c>
      <x:c r="P2598" s="30" t="str">
        <x:v>n(C₂H₄)=1,5 моль; mтеор(C₂H₄O)=1,5·44=66 г; m=62,7 г.</x:v>
      </x:c>
      <x:c r="Q2598" s="30"/>
      <x:c r="R2598" s="30" t="str">
        <x:v>Фото-сводка ответов + Zadanie_KhI11_27042026.pdf + независимое решение</x:v>
      </x:c>
      <x:c r="S2598" s="30"/>
      <x:c r="T2598" s="30"/>
      <x:c r="U2598" s="30" t="str">
        <x:v>Расхождений не обнаружено.</x:v>
      </x:c>
      <x:c r="V2598" s="87" t="str">
        <x:v>VERIFIED</x:v>
      </x:c>
      <x:c r="W2598" s="87" t="str">
        <x:v>Zadanie_KhI11_27042026.pdf, внутренняя стр. 14</x:v>
      </x:c>
      <x:c r="X2598" s="87"/>
      <x:c r="Y2598" s="87"/>
      <x:c r="Z2598" s="87"/>
      <x:c r="AA2598" s="87"/>
      <x:c r="AB2598" s="87"/>
      <x:c r="AC2598" s="87"/>
      <x:c r="AD2598" s="87"/>
      <x:c r="AE2598" s="87"/>
      <x:c r="AF2598" s="87"/>
      <x:c r="AG2598" s="87"/>
      <x:c r="AH2598" s="87"/>
      <x:c r="AI2598" s="30"/>
      <x:c r="AJ2598" s="87" t="str">
        <x:v>master</x:v>
      </x:c>
      <x:c r="AK2598" s="87" t="str">
        <x:v>master-v0.81</x:v>
      </x:c>
      <x:c r="AL2598" s="87" t="str">
        <x:v>statgrad_master_base_v0_81_final(2).xlsx</x:v>
      </x:c>
      <x:c r="AM2598" s="87" t="str">
        <x:v>CHEM_Apr_V2</x:v>
      </x:c>
      <x:c r="AN2598" s="87" t="n">
        <x:v>29</x:v>
      </x:c>
    </x:row>
    <x:row r="2599">
      <x:c r="A2599" s="87" t="n">
        <x:v>2598</x:v>
      </x:c>
      <x:c r="B2599" s="87" t="str">
        <x:v>APR-CHEM-V2-029</x:v>
      </x:c>
      <x:c r="C2599" s="87" t="str">
        <x:v>СтатГрад</x:v>
      </x:c>
      <x:c r="D2599" s="87" t="str">
        <x:v>Апрель 2026</x:v>
      </x:c>
      <x:c r="E2599" s="87"/>
      <x:c r="F2599" s="87"/>
      <x:c r="G2599" s="87" t="str">
        <x:v>Химия</x:v>
      </x:c>
      <x:c r="H2599" s="87" t="n">
        <x:v>11</x:v>
      </x:c>
      <x:c r="I2599" s="87" t="str">
        <x:v>ТР №5</x:v>
      </x:c>
      <x:c r="J2599" s="87" t="str">
        <x:v>ХИ2510502</x:v>
      </x:c>
      <x:c r="K2599" s="87" t="n">
        <x:v>29</x:v>
      </x:c>
      <x:c r="L2599" s="87" t="str">
        <x:v>Развёрнутый ответ: ОВР</x:v>
      </x:c>
      <x:c r="M2599" s="30" t="str">
        <x:v>Из HNO₃, BaCO₃, H₂O₂, NaOH, Si, AgNO₃ выбрать ОВР с образованием осадка и газа.</x:v>
      </x:c>
      <x:c r="N2599" s="30" t="str">
        <x:v>2AgNO₃+H₂O₂→2Ag↓+O₂↑+2HNO₃.
Баланс: Ag⁺+e⁻→Ag (×2); 2O(−1)−2e⁻→O₂.
Окислитель AgNO₃, восстановитель H₂O₂.</x:v>
      </x:c>
      <x:c r="O2599" s="30" t="str">
        <x:v>Ag⁺ восстанавливается до Ag, кислород пероксида окисляется до O₂.</x:v>
      </x:c>
      <x:c r="P2599" s="30" t="str">
        <x:v>Атомный и электронный баланс проверены.</x:v>
      </x:c>
      <x:c r="Q2599" s="30"/>
      <x:c r="R2599" s="30" t="str">
        <x:v>Kriterii_KhI11_27042026.pdf + независимая проверка</x:v>
      </x:c>
      <x:c r="S2599" s="30"/>
      <x:c r="T2599" s="30"/>
      <x:c r="U2599" s="30" t="str">
        <x:v>Расхождений не обнаружено.</x:v>
      </x:c>
      <x:c r="V2599" s="87" t="str">
        <x:v>VERIFIED</x:v>
      </x:c>
      <x:c r="W2599" s="87" t="str">
        <x:v>Zadanie_KhI11_27042026.pdf, внутренняя стр. 15</x:v>
      </x:c>
      <x:c r="X2599" s="87"/>
      <x:c r="Y2599" s="87"/>
      <x:c r="Z2599" s="87"/>
      <x:c r="AA2599" s="87"/>
      <x:c r="AB2599" s="87"/>
      <x:c r="AC2599" s="87"/>
      <x:c r="AD2599" s="87"/>
      <x:c r="AE2599" s="87"/>
      <x:c r="AF2599" s="87"/>
      <x:c r="AG2599" s="87"/>
      <x:c r="AH2599" s="87"/>
      <x:c r="AI2599" s="30"/>
      <x:c r="AJ2599" s="87" t="str">
        <x:v>master</x:v>
      </x:c>
      <x:c r="AK2599" s="87" t="str">
        <x:v>master-v0.81</x:v>
      </x:c>
      <x:c r="AL2599" s="87" t="str">
        <x:v>statgrad_master_base_v0_81_final(2).xlsx</x:v>
      </x:c>
      <x:c r="AM2599" s="87" t="str">
        <x:v>CHEM_Apr_V2</x:v>
      </x:c>
      <x:c r="AN2599" s="87" t="n">
        <x:v>30</x:v>
      </x:c>
    </x:row>
    <x:row r="2600">
      <x:c r="A2600" s="87" t="n">
        <x:v>2599</x:v>
      </x:c>
      <x:c r="B2600" s="87" t="str">
        <x:v>APR-CHEM-V2-030</x:v>
      </x:c>
      <x:c r="C2600" s="87" t="str">
        <x:v>СтатГрад</x:v>
      </x:c>
      <x:c r="D2600" s="87" t="str">
        <x:v>Апрель 2026</x:v>
      </x:c>
      <x:c r="E2600" s="87"/>
      <x:c r="F2600" s="87"/>
      <x:c r="G2600" s="87" t="str">
        <x:v>Химия</x:v>
      </x:c>
      <x:c r="H2600" s="87" t="n">
        <x:v>11</x:v>
      </x:c>
      <x:c r="I2600" s="87" t="str">
        <x:v>ТР №5</x:v>
      </x:c>
      <x:c r="J2600" s="87" t="str">
        <x:v>ХИ2510502</x:v>
      </x:c>
      <x:c r="K2600" s="87" t="n">
        <x:v>30</x:v>
      </x:c>
      <x:c r="L2600" s="87" t="str">
        <x:v>Развёрнутый ответ: ионный обмен</x:v>
      </x:c>
      <x:c r="M2600" s="30" t="str">
        <x:v>Из перечня варианта выбрать два вещества для реакции ионного обмена с выделением газа; записать три уравнения.</x:v>
      </x:c>
      <x:c r="N2600" s="30" t="str">
        <x:v>BaCO₃+2HNO₃→Ba(NO₃)₂+CO₂↑+H₂O.
Полное ионное: BaCO₃(т)+2H⁺+2NO₃⁻→Ba²⁺+2NO₃⁻+CO₂↑+H₂O.
Сокращённое: BaCO₃(т)+2H⁺→Ba²⁺+CO₂↑+H₂O.</x:v>
      </x:c>
      <x:c r="O2600" s="30" t="str">
        <x:v>Карбонат бария с азотной кислотой выделяет CO₂.</x:v>
      </x:c>
      <x:c r="P2600" s="30" t="str">
        <x:v>Проверены коэффициенты, заряд и сокращение нитрат-ионов.</x:v>
      </x:c>
      <x:c r="Q2600" s="30"/>
      <x:c r="R2600" s="30" t="str">
        <x:v>Zadanie_KhI11_27042026.pdf + независимое восстановление; дефект слоя Kriterii_KhI11_27042026.pdf</x:v>
      </x:c>
      <x:c r="S2600" s="30"/>
      <x:c r="T2600" s="30"/>
      <x:c r="U2600" s="30" t="str">
        <x:v>В предоставленном PDF критериев область №30 повреждена наложением ответа соседнего варианта; модель восстановлена независимо по условию.</x:v>
      </x:c>
      <x:c r="V2600" s="87" t="str">
        <x:v>VERIFIED</x:v>
      </x:c>
      <x:c r="W2600" s="87" t="str">
        <x:v>Zadanie_KhI11_27042026.pdf, внутренняя стр. 15</x:v>
      </x:c>
      <x:c r="X2600" s="87"/>
      <x:c r="Y2600" s="87"/>
      <x:c r="Z2600" s="87"/>
      <x:c r="AA2600" s="87"/>
      <x:c r="AB2600" s="87"/>
      <x:c r="AC2600" s="87"/>
      <x:c r="AD2600" s="87"/>
      <x:c r="AE2600" s="87"/>
      <x:c r="AF2600" s="87"/>
      <x:c r="AG2600" s="87"/>
      <x:c r="AH2600" s="87"/>
      <x:c r="AI2600" s="30"/>
      <x:c r="AJ2600" s="87" t="str">
        <x:v>master</x:v>
      </x:c>
      <x:c r="AK2600" s="87" t="str">
        <x:v>master-v0.81</x:v>
      </x:c>
      <x:c r="AL2600" s="87" t="str">
        <x:v>statgrad_master_base_v0_81_final(2).xlsx</x:v>
      </x:c>
      <x:c r="AM2600" s="87" t="str">
        <x:v>CHEM_Apr_V2</x:v>
      </x:c>
      <x:c r="AN2600" s="87" t="n">
        <x:v>31</x:v>
      </x:c>
    </x:row>
    <x:row r="2601">
      <x:c r="A2601" s="87" t="n">
        <x:v>2600</x:v>
      </x:c>
      <x:c r="B2601" s="87" t="str">
        <x:v>APR-CHEM-V2-031</x:v>
      </x:c>
      <x:c r="C2601" s="87" t="str">
        <x:v>СтатГрад</x:v>
      </x:c>
      <x:c r="D2601" s="87" t="str">
        <x:v>Апрель 2026</x:v>
      </x:c>
      <x:c r="E2601" s="87"/>
      <x:c r="F2601" s="87"/>
      <x:c r="G2601" s="87" t="str">
        <x:v>Химия</x:v>
      </x:c>
      <x:c r="H2601" s="87" t="n">
        <x:v>11</x:v>
      </x:c>
      <x:c r="I2601" s="87" t="str">
        <x:v>ТР №5</x:v>
      </x:c>
      <x:c r="J2601" s="87" t="str">
        <x:v>ХИ2510502</x:v>
      </x:c>
      <x:c r="K2601" s="87" t="n">
        <x:v>31</x:v>
      </x:c>
      <x:c r="L2601" s="87" t="str">
        <x:v>Развёрнутый ответ: неорганическая цепочка</x:v>
      </x:c>
      <x:c r="M2601" s="30" t="str">
        <x:v>Fe растворяют в концентрированной HNO₃, нитрат прокаливают, остаток сплавляют с Na₂CO₃ и обрабатывают водой.</x:v>
      </x:c>
      <x:c r="N2601" s="30" t="str">
        <x:v>1) Fe+6HNO₃→Fe(NO₃)₃+3NO₂+3H₂O.
2) 4Fe(NO₃)₃→2Fe₂O₃+12NO₂+3O₂ (t).
3) Fe₂O₃+Na₂CO₃→2NaFeO₂+CO₂ (t).
4) NaFeO₂+2H₂O→NaOH+Fe(OH)₃↓.</x:v>
      </x:c>
      <x:c r="O2601" s="30" t="str">
        <x:v>Последовательно образуются Fe(NO₃)₃, Fe₂O₃, NaFeO₂ и Fe(OH)₃.</x:v>
      </x:c>
      <x:c r="P2601" s="30" t="str">
        <x:v>Последовательно образуются Fe(NO₃)₃, Fe₂O₃, NaFeO₂ и Fe(OH)₃.</x:v>
      </x:c>
      <x:c r="Q2601" s="30"/>
      <x:c r="R2601" s="30" t="str">
        <x:v>Kriterii_KhI11_27042026.pdf + независимая проверка</x:v>
      </x:c>
      <x:c r="S2601" s="30"/>
      <x:c r="T2601" s="30"/>
      <x:c r="U2601" s="30" t="str">
        <x:v>Расхождений не обнаружено.</x:v>
      </x:c>
      <x:c r="V2601" s="87" t="str">
        <x:v>VERIFIED</x:v>
      </x:c>
      <x:c r="W2601" s="87" t="str">
        <x:v>Zadanie_KhI11_27042026.pdf, внутренняя стр. 15</x:v>
      </x:c>
      <x:c r="X2601" s="87"/>
      <x:c r="Y2601" s="87"/>
      <x:c r="Z2601" s="87"/>
      <x:c r="AA2601" s="87"/>
      <x:c r="AB2601" s="87"/>
      <x:c r="AC2601" s="87"/>
      <x:c r="AD2601" s="87"/>
      <x:c r="AE2601" s="87"/>
      <x:c r="AF2601" s="87"/>
      <x:c r="AG2601" s="87"/>
      <x:c r="AH2601" s="87"/>
      <x:c r="AI2601" s="30"/>
      <x:c r="AJ2601" s="87" t="str">
        <x:v>master</x:v>
      </x:c>
      <x:c r="AK2601" s="87" t="str">
        <x:v>master-v0.81</x:v>
      </x:c>
      <x:c r="AL2601" s="87" t="str">
        <x:v>statgrad_master_base_v0_81_final(2).xlsx</x:v>
      </x:c>
      <x:c r="AM2601" s="87" t="str">
        <x:v>CHEM_Apr_V2</x:v>
      </x:c>
      <x:c r="AN2601" s="87" t="n">
        <x:v>32</x:v>
      </x:c>
    </x:row>
    <x:row r="2602">
      <x:c r="A2602" s="87" t="n">
        <x:v>2601</x:v>
      </x:c>
      <x:c r="B2602" s="87" t="str">
        <x:v>APR-CHEM-V2-032</x:v>
      </x:c>
      <x:c r="C2602" s="87" t="str">
        <x:v>СтатГрад</x:v>
      </x:c>
      <x:c r="D2602" s="87" t="str">
        <x:v>Апрель 2026</x:v>
      </x:c>
      <x:c r="E2602" s="87"/>
      <x:c r="F2602" s="87"/>
      <x:c r="G2602" s="87" t="str">
        <x:v>Химия</x:v>
      </x:c>
      <x:c r="H2602" s="87" t="n">
        <x:v>11</x:v>
      </x:c>
      <x:c r="I2602" s="87" t="str">
        <x:v>ТР №5</x:v>
      </x:c>
      <x:c r="J2602" s="87" t="str">
        <x:v>ХИ2510502</x:v>
      </x:c>
      <x:c r="K2602" s="87" t="n">
        <x:v>32</x:v>
      </x:c>
      <x:c r="L2602" s="87" t="str">
        <x:v>Развёрнутый ответ: органическая цепочка</x:v>
      </x:c>
      <x:c r="M2602" s="30" t="str">
        <x:v>Ацетат калия → X₁ → C₂H₅Cl → этилбензол → X₂ → полимер.</x:v>
      </x:c>
      <x:c r="N2602" s="30" t="str">
        <x:v>1) 2CH₃COOK+2H₂O→C₂H₆+2CO₂+H₂+2KOH (электролиз); X₁=C₂H₆.
2) C₂H₆+Cl₂→C₂H₅Cl+HCl (hν).
3) C₂H₅Cl+C₆H₆→C₆H₅C₂H₅+HCl (AlCl₃).
4) C₆H₅C₂H₅→C₆H₅CH=CH₂+H₂ (Ni, t); X₂=стирол.
5) nC₆H₅CH=CH₂→[–CH(C₆H₅)–CH₂–]ₙ.</x:v>
      </x:c>
      <x:c r="O2602" s="30" t="str">
        <x:v>X₁ — этан (электролиз Кольбе), X₂ — стирол; полимер — полистирол.</x:v>
      </x:c>
      <x:c r="P2602" s="30" t="str">
        <x:v>X₁ — этан (электролиз Кольбе), X₂ — стирол; полимер — полистирол.</x:v>
      </x:c>
      <x:c r="Q2602" s="30"/>
      <x:c r="R2602" s="30" t="str">
        <x:v>Kriterii_KhI11_27042026.pdf + независимая проверка</x:v>
      </x:c>
      <x:c r="S2602" s="30"/>
      <x:c r="T2602" s="30"/>
      <x:c r="U2602" s="30" t="str">
        <x:v>Расхождений не обнаружено.</x:v>
      </x:c>
      <x:c r="V2602" s="87" t="str">
        <x:v>VERIFIED</x:v>
      </x:c>
      <x:c r="W2602" s="87" t="str">
        <x:v>Zadanie_KhI11_27042026.pdf, внутренняя стр. 15</x:v>
      </x:c>
      <x:c r="X2602" s="87"/>
      <x:c r="Y2602" s="87"/>
      <x:c r="Z2602" s="87"/>
      <x:c r="AA2602" s="87"/>
      <x:c r="AB2602" s="87"/>
      <x:c r="AC2602" s="87"/>
      <x:c r="AD2602" s="87"/>
      <x:c r="AE2602" s="87"/>
      <x:c r="AF2602" s="87"/>
      <x:c r="AG2602" s="87"/>
      <x:c r="AH2602" s="87"/>
      <x:c r="AI2602" s="30"/>
      <x:c r="AJ2602" s="87" t="str">
        <x:v>master</x:v>
      </x:c>
      <x:c r="AK2602" s="87" t="str">
        <x:v>master-v0.81</x:v>
      </x:c>
      <x:c r="AL2602" s="87" t="str">
        <x:v>statgrad_master_base_v0_81_final(2).xlsx</x:v>
      </x:c>
      <x:c r="AM2602" s="87" t="str">
        <x:v>CHEM_Apr_V2</x:v>
      </x:c>
      <x:c r="AN2602" s="87" t="n">
        <x:v>33</x:v>
      </x:c>
    </x:row>
    <x:row r="2603">
      <x:c r="A2603" s="87" t="n">
        <x:v>2602</x:v>
      </x:c>
      <x:c r="B2603" s="87" t="str">
        <x:v>APR-CHEM-V2-033</x:v>
      </x:c>
      <x:c r="C2603" s="87" t="str">
        <x:v>СтатГрад</x:v>
      </x:c>
      <x:c r="D2603" s="87" t="str">
        <x:v>Апрель 2026</x:v>
      </x:c>
      <x:c r="E2603" s="87"/>
      <x:c r="F2603" s="87"/>
      <x:c r="G2603" s="87" t="str">
        <x:v>Химия</x:v>
      </x:c>
      <x:c r="H2603" s="87" t="n">
        <x:v>11</x:v>
      </x:c>
      <x:c r="I2603" s="87" t="str">
        <x:v>ТР №5</x:v>
      </x:c>
      <x:c r="J2603" s="87" t="str">
        <x:v>ХИ2510502</x:v>
      </x:c>
      <x:c r="K2603" s="87" t="n">
        <x:v>33</x:v>
      </x:c>
      <x:c r="L2603" s="87" t="str">
        <x:v>Развёрнутый ответ: установление формулы</x:v>
      </x:c>
      <x:c r="M2603" s="30" t="str">
        <x:v>По продуктам сгорания 3,30 г вещества, гидролизующегося до двухосновной кислоты, установить формулу и структуру.</x:v>
      </x:c>
      <x:c r="N2603" s="30" t="str">
        <x:v>n(C)=0,15; n(H)=0,10; n(N)=0,10 моль; отношение 3:2:2.
Молекулярная формула C₃H₂N₂; структура N≡C–CH₂–C≡N (малонодинитрил).
CH₂(CN)₂+4H₂O+2HCl→CH₂(COOH)₂+2NH₄Cl.</x:v>
      </x:c>
      <x:c r="O2603" s="30" t="str">
        <x:v>Состав C₃H₂N₂ и гидролиз двух нитрильных групп однозначно указывают на малонодинитрил.</x:v>
      </x:c>
      <x:c r="P2603" s="30" t="str">
        <x:v>Состав C₃H₂N₂ и гидролиз двух нитрильных групп однозначно указывают на малонодинитрил.</x:v>
      </x:c>
      <x:c r="Q2603" s="30"/>
      <x:c r="R2603" s="30" t="str">
        <x:v>Kriterii_KhI11_27042026.pdf + независимая проверка</x:v>
      </x:c>
      <x:c r="S2603" s="30"/>
      <x:c r="T2603" s="30"/>
      <x:c r="U2603" s="30" t="str">
        <x:v>Расхождений не обнаружено.</x:v>
      </x:c>
      <x:c r="V2603" s="87" t="str">
        <x:v>VERIFIED</x:v>
      </x:c>
      <x:c r="W2603" s="87" t="str">
        <x:v>Zadanie_KhI11_27042026.pdf, внутренняя стр. 16</x:v>
      </x:c>
      <x:c r="X2603" s="87"/>
      <x:c r="Y2603" s="87"/>
      <x:c r="Z2603" s="87"/>
      <x:c r="AA2603" s="87"/>
      <x:c r="AB2603" s="87"/>
      <x:c r="AC2603" s="87"/>
      <x:c r="AD2603" s="87"/>
      <x:c r="AE2603" s="87"/>
      <x:c r="AF2603" s="87"/>
      <x:c r="AG2603" s="87"/>
      <x:c r="AH2603" s="87"/>
      <x:c r="AI2603" s="30"/>
      <x:c r="AJ2603" s="87" t="str">
        <x:v>master</x:v>
      </x:c>
      <x:c r="AK2603" s="87" t="str">
        <x:v>master-v0.81</x:v>
      </x:c>
      <x:c r="AL2603" s="87" t="str">
        <x:v>statgrad_master_base_v0_81_final(2).xlsx</x:v>
      </x:c>
      <x:c r="AM2603" s="87" t="str">
        <x:v>CHEM_Apr_V2</x:v>
      </x:c>
      <x:c r="AN2603" s="87" t="n">
        <x:v>34</x:v>
      </x:c>
    </x:row>
    <x:row r="2604">
      <x:c r="A2604" s="87" t="n">
        <x:v>2603</x:v>
      </x:c>
      <x:c r="B2604" s="87" t="str">
        <x:v>APR-CHEM-V2-034</x:v>
      </x:c>
      <x:c r="C2604" s="87" t="str">
        <x:v>СтатГрад</x:v>
      </x:c>
      <x:c r="D2604" s="87" t="str">
        <x:v>Апрель 2026</x:v>
      </x:c>
      <x:c r="E2604" s="87"/>
      <x:c r="F2604" s="87"/>
      <x:c r="G2604" s="87" t="str">
        <x:v>Химия</x:v>
      </x:c>
      <x:c r="H2604" s="87" t="n">
        <x:v>11</x:v>
      </x:c>
      <x:c r="I2604" s="87" t="str">
        <x:v>ТР №5</x:v>
      </x:c>
      <x:c r="J2604" s="87" t="str">
        <x:v>ХИ2510502</x:v>
      </x:c>
      <x:c r="K2604" s="87" t="n">
        <x:v>34</x:v>
      </x:c>
      <x:c r="L2604" s="87" t="str">
        <x:v>Развёрнутый ответ: сплав и расчёт</x:v>
      </x:c>
      <x:c r="M2604" s="30" t="str">
        <x:v>Медно-цинковый сплав растворили в концентрированной HNO₃; NO₂ поглотили KOH; затем добавили избыток разбавленной щёлочи.</x:v>
      </x:c>
      <x:c r="N2604" s="30" t="str">
        <x:v>Cu+4HNO₃→Cu(NO₃)₂+2NO₂+2H₂O; Zn+4HNO₃→Zn(NO₃)₂+2NO₂+2H₂O.
2NO₂+2KOH→KNO₃+KNO₂+H₂O; масса солей 44,64 г даёт n(NO₂)=0,48 моль.
63,5y+65,3z=15,42; 2y+2z=0,48 → y=0,14, z=0,10.
ω(Cu)=57,7%, ω(Zn)=42,3%. В избытке KOH Zn образует комплекс, Cu(OH)₂ выпадает; m=0,14·97,5=13,65 г.</x:v>
      </x:c>
      <x:c r="O2604" s="30" t="str">
        <x:v>Масса нитрита и нитрата задаёт n(NO₂); Zn(OH)₂ растворяется в избытке щёлочи, осадком остаётся Cu(OH)₂.</x:v>
      </x:c>
      <x:c r="P2604" s="30" t="str">
        <x:v>Масса нитрита и нитрата задаёт n(NO₂); Zn(OH)₂ растворяется в избытке щёлочи, осадком остаётся Cu(OH)₂.</x:v>
      </x:c>
      <x:c r="Q2604" s="30"/>
      <x:c r="R2604" s="30" t="str">
        <x:v>Kriterii_KhI11_27042026.pdf + независимая проверка</x:v>
      </x:c>
      <x:c r="S2604" s="30"/>
      <x:c r="T2604" s="30"/>
      <x:c r="U2604" s="30" t="str">
        <x:v>Расхождений не обнаружено.</x:v>
      </x:c>
      <x:c r="V2604" s="87" t="str">
        <x:v>VERIFIED</x:v>
      </x:c>
      <x:c r="W2604" s="87" t="str">
        <x:v>Zadanie_KhI11_27042026.pdf, внутренняя стр. 16</x:v>
      </x:c>
      <x:c r="X2604" s="87"/>
      <x:c r="Y2604" s="87"/>
      <x:c r="Z2604" s="87"/>
      <x:c r="AA2604" s="87"/>
      <x:c r="AB2604" s="87"/>
      <x:c r="AC2604" s="87"/>
      <x:c r="AD2604" s="87"/>
      <x:c r="AE2604" s="87"/>
      <x:c r="AF2604" s="87"/>
      <x:c r="AG2604" s="87"/>
      <x:c r="AH2604" s="87"/>
      <x:c r="AI2604" s="30"/>
      <x:c r="AJ2604" s="87" t="str">
        <x:v>master</x:v>
      </x:c>
      <x:c r="AK2604" s="87" t="str">
        <x:v>master-v0.81</x:v>
      </x:c>
      <x:c r="AL2604" s="87" t="str">
        <x:v>statgrad_master_base_v0_81_final(2).xlsx</x:v>
      </x:c>
      <x:c r="AM2604" s="87" t="str">
        <x:v>CHEM_Apr_V2</x:v>
      </x:c>
      <x:c r="AN2604" s="87" t="n">
        <x:v>35</x:v>
      </x:c>
    </x:row>
    <x:row r="2605">
      <x:c r="A2605" s="87" t="n">
        <x:v>2604</x:v>
      </x:c>
      <x:c r="B2605" s="87" t="str">
        <x:v>APR-CHEM-V3-001</x:v>
      </x:c>
      <x:c r="C2605" s="87" t="str">
        <x:v>СтатГрад</x:v>
      </x:c>
      <x:c r="D2605" s="87" t="str">
        <x:v>Апрель 2026</x:v>
      </x:c>
      <x:c r="E2605" s="87"/>
      <x:c r="F2605" s="87"/>
      <x:c r="G2605" s="87" t="str">
        <x:v>Химия</x:v>
      </x:c>
      <x:c r="H2605" s="87" t="n">
        <x:v>11</x:v>
      </x:c>
      <x:c r="I2605" s="87" t="str">
        <x:v>ТР №5</x:v>
      </x:c>
      <x:c r="J2605" s="87" t="str">
        <x:v>ХИ2510503</x:v>
      </x:c>
      <x:c r="K2605" s="87" t="n">
        <x:v>1</x:v>
      </x:c>
      <x:c r="L2605" s="87" t="str">
        <x:v>Строение атома</x:v>
      </x:c>
      <x:c r="M2605" s="30" t="str">
        <x:v>Для ряда Na, N, Si, Fe, Mg выбрать два элемента с одинаковым числом электронов на внешнем уровне.</x:v>
      </x:c>
      <x:c r="N2605" s="30" t="str">
        <x:v>45</x:v>
      </x:c>
      <x:c r="O2605" s="30" t="str">
        <x:v>У Fe и Mg на внешнем энергетическом уровне по два электрона.</x:v>
      </x:c>
      <x:c r="P2605" s="30" t="str">
        <x:v>У Fe и Mg на внешнем энергетическом уровне по два электрона.</x:v>
      </x:c>
      <x:c r="Q2605" s="30"/>
      <x:c r="R2605" s="30" t="str">
        <x:v>Фото-сводка ответов + Zadanie_KhI11_27042026_.pdf (чистый скан) + независимое решение</x:v>
      </x:c>
      <x:c r="S2605" s="30"/>
      <x:c r="T2605" s="30"/>
      <x:c r="U2605" s="30" t="str">
        <x:v>Расхождений не обнаружено.</x:v>
      </x:c>
      <x:c r="V2605" s="87" t="str">
        <x:v>VERIFIED</x:v>
      </x:c>
      <x:c r="W2605" s="87" t="str">
        <x:v>Zadanie_KhI11_27042026_.pdf (чистый скан), внутренняя стр. 2</x:v>
      </x:c>
      <x:c r="X2605" s="87"/>
      <x:c r="Y2605" s="87"/>
      <x:c r="Z2605" s="87"/>
      <x:c r="AA2605" s="87"/>
      <x:c r="AB2605" s="87"/>
      <x:c r="AC2605" s="87"/>
      <x:c r="AD2605" s="87"/>
      <x:c r="AE2605" s="87"/>
      <x:c r="AF2605" s="87"/>
      <x:c r="AG2605" s="87"/>
      <x:c r="AH2605" s="87"/>
      <x:c r="AI2605" s="30"/>
      <x:c r="AJ2605" s="87" t="str">
        <x:v>master</x:v>
      </x:c>
      <x:c r="AK2605" s="87" t="str">
        <x:v>master-v0.81</x:v>
      </x:c>
      <x:c r="AL2605" s="87" t="str">
        <x:v>statgrad_master_base_v0_81_final(2).xlsx</x:v>
      </x:c>
      <x:c r="AM2605" s="87" t="str">
        <x:v>CHEM_Apr_V3</x:v>
      </x:c>
      <x:c r="AN2605" s="87" t="n">
        <x:v>2</x:v>
      </x:c>
    </x:row>
    <x:row r="2606">
      <x:c r="A2606" s="87" t="n">
        <x:v>2605</x:v>
      </x:c>
      <x:c r="B2606" s="87" t="str">
        <x:v>APR-CHEM-V3-002</x:v>
      </x:c>
      <x:c r="C2606" s="87" t="str">
        <x:v>СтатГрад</x:v>
      </x:c>
      <x:c r="D2606" s="87" t="str">
        <x:v>Апрель 2026</x:v>
      </x:c>
      <x:c r="E2606" s="87"/>
      <x:c r="F2606" s="87"/>
      <x:c r="G2606" s="87" t="str">
        <x:v>Химия</x:v>
      </x:c>
      <x:c r="H2606" s="87" t="n">
        <x:v>11</x:v>
      </x:c>
      <x:c r="I2606" s="87" t="str">
        <x:v>ТР №5</x:v>
      </x:c>
      <x:c r="J2606" s="87" t="str">
        <x:v>ХИ2510503</x:v>
      </x:c>
      <x:c r="K2606" s="87" t="n">
        <x:v>2</x:v>
      </x:c>
      <x:c r="L2606" s="87" t="str">
        <x:v>Периодические свойства</x:v>
      </x:c>
      <x:c r="M2606" s="30" t="str">
        <x:v>Из Na, N, Si, Fe, Mg выбрать металлы и расположить по возрастанию высшей степени окисления.</x:v>
      </x:c>
      <x:c r="N2606" s="30" t="str">
        <x:v>154</x:v>
      </x:c>
      <x:c r="O2606" s="30" t="str">
        <x:v>Na: +1; Mg: +2; Fe: +6, поэтому 1→5→4.</x:v>
      </x:c>
      <x:c r="P2606" s="30" t="str">
        <x:v>Na: +1; Mg: +2; Fe: +6, поэтому 1→5→4.</x:v>
      </x:c>
      <x:c r="Q2606" s="30"/>
      <x:c r="R2606" s="30" t="str">
        <x:v>Фото-сводка ответов + Zadanie_KhI11_27042026_.pdf (чистый скан) + независимое решение</x:v>
      </x:c>
      <x:c r="S2606" s="30"/>
      <x:c r="T2606" s="30"/>
      <x:c r="U2606" s="30" t="str">
        <x:v>Расхождений не обнаружено.</x:v>
      </x:c>
      <x:c r="V2606" s="87" t="str">
        <x:v>VERIFIED</x:v>
      </x:c>
      <x:c r="W2606" s="87" t="str">
        <x:v>Zadanie_KhI11_27042026_.pdf (чистый скан), внутренняя стр. 2</x:v>
      </x:c>
      <x:c r="X2606" s="87"/>
      <x:c r="Y2606" s="87"/>
      <x:c r="Z2606" s="87"/>
      <x:c r="AA2606" s="87"/>
      <x:c r="AB2606" s="87"/>
      <x:c r="AC2606" s="87"/>
      <x:c r="AD2606" s="87"/>
      <x:c r="AE2606" s="87"/>
      <x:c r="AF2606" s="87"/>
      <x:c r="AG2606" s="87"/>
      <x:c r="AH2606" s="87"/>
      <x:c r="AI2606" s="30"/>
      <x:c r="AJ2606" s="87" t="str">
        <x:v>master</x:v>
      </x:c>
      <x:c r="AK2606" s="87" t="str">
        <x:v>master-v0.81</x:v>
      </x:c>
      <x:c r="AL2606" s="87" t="str">
        <x:v>statgrad_master_base_v0_81_final(2).xlsx</x:v>
      </x:c>
      <x:c r="AM2606" s="87" t="str">
        <x:v>CHEM_Apr_V3</x:v>
      </x:c>
      <x:c r="AN2606" s="87" t="n">
        <x:v>3</x:v>
      </x:c>
    </x:row>
    <x:row r="2607">
      <x:c r="A2607" s="87" t="n">
        <x:v>2606</x:v>
      </x:c>
      <x:c r="B2607" s="87" t="str">
        <x:v>APR-CHEM-V3-003</x:v>
      </x:c>
      <x:c r="C2607" s="87" t="str">
        <x:v>СтатГрад</x:v>
      </x:c>
      <x:c r="D2607" s="87" t="str">
        <x:v>Апрель 2026</x:v>
      </x:c>
      <x:c r="E2607" s="87"/>
      <x:c r="F2607" s="87"/>
      <x:c r="G2607" s="87" t="str">
        <x:v>Химия</x:v>
      </x:c>
      <x:c r="H2607" s="87" t="n">
        <x:v>11</x:v>
      </x:c>
      <x:c r="I2607" s="87" t="str">
        <x:v>ТР №5</x:v>
      </x:c>
      <x:c r="J2607" s="87" t="str">
        <x:v>ХИ2510503</x:v>
      </x:c>
      <x:c r="K2607" s="87" t="n">
        <x:v>3</x:v>
      </x:c>
      <x:c r="L2607" s="87" t="str">
        <x:v>Оксиды</x:v>
      </x:c>
      <x:c r="M2607" s="30" t="str">
        <x:v>Из Na, N, Si, Fe, Mg выбрать элементы, образующие оксид XO₂.</x:v>
      </x:c>
      <x:c r="N2607" s="30" t="str">
        <x:v>23</x:v>
      </x:c>
      <x:c r="O2607" s="30" t="str">
        <x:v>Азот образует NO₂, кремний — SiO₂.</x:v>
      </x:c>
      <x:c r="P2607" s="30" t="str">
        <x:v>Азот образует NO₂, кремний — SiO₂.</x:v>
      </x:c>
      <x:c r="Q2607" s="30"/>
      <x:c r="R2607" s="30" t="str">
        <x:v>Фото-сводка ответов + Zadanie_KhI11_27042026_.pdf (чистый скан) + независимое решение</x:v>
      </x:c>
      <x:c r="S2607" s="30"/>
      <x:c r="T2607" s="30"/>
      <x:c r="U2607" s="30" t="str">
        <x:v>Расхождений не обнаружено.</x:v>
      </x:c>
      <x:c r="V2607" s="87" t="str">
        <x:v>VERIFIED</x:v>
      </x:c>
      <x:c r="W2607" s="87" t="str">
        <x:v>Zadanie_KhI11_27042026_.pdf (чистый скан), внутренняя стр. 2</x:v>
      </x:c>
      <x:c r="X2607" s="87"/>
      <x:c r="Y2607" s="87"/>
      <x:c r="Z2607" s="87"/>
      <x:c r="AA2607" s="87"/>
      <x:c r="AB2607" s="87"/>
      <x:c r="AC2607" s="87"/>
      <x:c r="AD2607" s="87"/>
      <x:c r="AE2607" s="87"/>
      <x:c r="AF2607" s="87"/>
      <x:c r="AG2607" s="87"/>
      <x:c r="AH2607" s="87"/>
      <x:c r="AI2607" s="30"/>
      <x:c r="AJ2607" s="87" t="str">
        <x:v>master</x:v>
      </x:c>
      <x:c r="AK2607" s="87" t="str">
        <x:v>master-v0.81</x:v>
      </x:c>
      <x:c r="AL2607" s="87" t="str">
        <x:v>statgrad_master_base_v0_81_final(2).xlsx</x:v>
      </x:c>
      <x:c r="AM2607" s="87" t="str">
        <x:v>CHEM_Apr_V3</x:v>
      </x:c>
      <x:c r="AN2607" s="87" t="n">
        <x:v>4</x:v>
      </x:c>
    </x:row>
    <x:row r="2608">
      <x:c r="A2608" s="87" t="n">
        <x:v>2607</x:v>
      </x:c>
      <x:c r="B2608" s="87" t="str">
        <x:v>APR-CHEM-V3-004</x:v>
      </x:c>
      <x:c r="C2608" s="87" t="str">
        <x:v>СтатГрад</x:v>
      </x:c>
      <x:c r="D2608" s="87" t="str">
        <x:v>Апрель 2026</x:v>
      </x:c>
      <x:c r="E2608" s="87"/>
      <x:c r="F2608" s="87"/>
      <x:c r="G2608" s="87" t="str">
        <x:v>Химия</x:v>
      </x:c>
      <x:c r="H2608" s="87" t="n">
        <x:v>11</x:v>
      </x:c>
      <x:c r="I2608" s="87" t="str">
        <x:v>ТР №5</x:v>
      </x:c>
      <x:c r="J2608" s="87" t="str">
        <x:v>ХИ2510503</x:v>
      </x:c>
      <x:c r="K2608" s="87" t="n">
        <x:v>4</x:v>
      </x:c>
      <x:c r="L2608" s="87" t="str">
        <x:v>Водородная связь</x:v>
      </x:c>
      <x:c r="M2608" s="30" t="str">
        <x:v>Выбрать вещества с водородными связями: CH₃OCH₃, HOCH₂CH₂OH, CH₃CH₃, HF, H₂.</x:v>
      </x:c>
      <x:c r="N2608" s="30" t="str">
        <x:v>24</x:v>
      </x:c>
      <x:c r="O2608" s="30" t="str">
        <x:v>Связь возникает у этиленгликоля из-за O–H и у HF из-за H–F.</x:v>
      </x:c>
      <x:c r="P2608" s="30" t="str">
        <x:v>Связь возникает у этиленгликоля из-за O–H и у HF из-за H–F.</x:v>
      </x:c>
      <x:c r="Q2608" s="30"/>
      <x:c r="R2608" s="30" t="str">
        <x:v>Фото-сводка ответов + Zadanie_KhI11_27042026_.pdf (чистый скан) + независимое решение</x:v>
      </x:c>
      <x:c r="S2608" s="30"/>
      <x:c r="T2608" s="30"/>
      <x:c r="U2608" s="30" t="str">
        <x:v>Расхождений не обнаружено.</x:v>
      </x:c>
      <x:c r="V2608" s="87" t="str">
        <x:v>VERIFIED</x:v>
      </x:c>
      <x:c r="W2608" s="87" t="str">
        <x:v>Zadanie_KhI11_27042026_.pdf (чистый скан), внутренняя стр. 3</x:v>
      </x:c>
      <x:c r="X2608" s="87"/>
      <x:c r="Y2608" s="87"/>
      <x:c r="Z2608" s="87"/>
      <x:c r="AA2608" s="87"/>
      <x:c r="AB2608" s="87"/>
      <x:c r="AC2608" s="87"/>
      <x:c r="AD2608" s="87"/>
      <x:c r="AE2608" s="87"/>
      <x:c r="AF2608" s="87"/>
      <x:c r="AG2608" s="87"/>
      <x:c r="AH2608" s="87"/>
      <x:c r="AI2608" s="30"/>
      <x:c r="AJ2608" s="87" t="str">
        <x:v>master</x:v>
      </x:c>
      <x:c r="AK2608" s="87" t="str">
        <x:v>master-v0.81</x:v>
      </x:c>
      <x:c r="AL2608" s="87" t="str">
        <x:v>statgrad_master_base_v0_81_final(2).xlsx</x:v>
      </x:c>
      <x:c r="AM2608" s="87" t="str">
        <x:v>CHEM_Apr_V3</x:v>
      </x:c>
      <x:c r="AN2608" s="87" t="n">
        <x:v>5</x:v>
      </x:c>
    </x:row>
    <x:row r="2609">
      <x:c r="A2609" s="87" t="n">
        <x:v>2608</x:v>
      </x:c>
      <x:c r="B2609" s="87" t="str">
        <x:v>APR-CHEM-V3-005</x:v>
      </x:c>
      <x:c r="C2609" s="87" t="str">
        <x:v>СтатГрад</x:v>
      </x:c>
      <x:c r="D2609" s="87" t="str">
        <x:v>Апрель 2026</x:v>
      </x:c>
      <x:c r="E2609" s="87"/>
      <x:c r="F2609" s="87"/>
      <x:c r="G2609" s="87" t="str">
        <x:v>Химия</x:v>
      </x:c>
      <x:c r="H2609" s="87" t="n">
        <x:v>11</x:v>
      </x:c>
      <x:c r="I2609" s="87" t="str">
        <x:v>ТР №5</x:v>
      </x:c>
      <x:c r="J2609" s="87" t="str">
        <x:v>ХИ2510503</x:v>
      </x:c>
      <x:c r="K2609" s="87" t="n">
        <x:v>5</x:v>
      </x:c>
      <x:c r="L2609" s="87" t="str">
        <x:v>Классификация веществ</x:v>
      </x:c>
      <x:c r="M2609" s="30" t="str">
        <x:v>По таблице формул выбрать кислотный оксид, среднюю соль и одноосновную кислоту.</x:v>
      </x:c>
      <x:c r="N2609" s="30" t="str">
        <x:v>796</x:v>
      </x:c>
      <x:c r="O2609" s="30" t="str">
        <x:v>Mn₂O₇ — кислотный оксид; HCOOK — средняя соль; H₃PO₂ — одноосновная кислота.</x:v>
      </x:c>
      <x:c r="P2609" s="30" t="str">
        <x:v>Mn₂O₇ — кислотный оксид; HCOOK — средняя соль; H₃PO₂ — одноосновная кислота.</x:v>
      </x:c>
      <x:c r="Q2609" s="30"/>
      <x:c r="R2609" s="30" t="str">
        <x:v>Фото-сводка ответов + Zadanie_KhI11_27042026_.pdf (чистый скан) + независимое решение</x:v>
      </x:c>
      <x:c r="S2609" s="30"/>
      <x:c r="T2609" s="30"/>
      <x:c r="U2609" s="30" t="str">
        <x:v>Расхождений не обнаружено.</x:v>
      </x:c>
      <x:c r="V2609" s="87" t="str">
        <x:v>VERIFIED</x:v>
      </x:c>
      <x:c r="W2609" s="87" t="str">
        <x:v>Zadanie_KhI11_27042026_.pdf (чистый скан), внутренняя стр. 3</x:v>
      </x:c>
      <x:c r="X2609" s="87"/>
      <x:c r="Y2609" s="87"/>
      <x:c r="Z2609" s="87"/>
      <x:c r="AA2609" s="87"/>
      <x:c r="AB2609" s="87"/>
      <x:c r="AC2609" s="87"/>
      <x:c r="AD2609" s="87"/>
      <x:c r="AE2609" s="87"/>
      <x:c r="AF2609" s="87"/>
      <x:c r="AG2609" s="87"/>
      <x:c r="AH2609" s="87"/>
      <x:c r="AI2609" s="30"/>
      <x:c r="AJ2609" s="87" t="str">
        <x:v>master</x:v>
      </x:c>
      <x:c r="AK2609" s="87" t="str">
        <x:v>master-v0.81</x:v>
      </x:c>
      <x:c r="AL2609" s="87" t="str">
        <x:v>statgrad_master_base_v0_81_final(2).xlsx</x:v>
      </x:c>
      <x:c r="AM2609" s="87" t="str">
        <x:v>CHEM_Apr_V3</x:v>
      </x:c>
      <x:c r="AN2609" s="87" t="n">
        <x:v>6</x:v>
      </x:c>
    </x:row>
    <x:row r="2610">
      <x:c r="A2610" s="87" t="n">
        <x:v>2609</x:v>
      </x:c>
      <x:c r="B2610" s="87" t="str">
        <x:v>APR-CHEM-V3-006</x:v>
      </x:c>
      <x:c r="C2610" s="87" t="str">
        <x:v>СтатГрад</x:v>
      </x:c>
      <x:c r="D2610" s="87" t="str">
        <x:v>Апрель 2026</x:v>
      </x:c>
      <x:c r="E2610" s="87"/>
      <x:c r="F2610" s="87"/>
      <x:c r="G2610" s="87" t="str">
        <x:v>Химия</x:v>
      </x:c>
      <x:c r="H2610" s="87" t="n">
        <x:v>11</x:v>
      </x:c>
      <x:c r="I2610" s="87" t="str">
        <x:v>ТР №5</x:v>
      </x:c>
      <x:c r="J2610" s="87" t="str">
        <x:v>ХИ2510503</x:v>
      </x:c>
      <x:c r="K2610" s="87" t="n">
        <x:v>6</x:v>
      </x:c>
      <x:c r="L2610" s="87" t="str">
        <x:v>Качественные реакции</x:v>
      </x:c>
      <x:c r="M2610" s="30" t="str">
        <x:v>К CuSO₄ добавить X: осадок и тёмная окраска; избыток Y: голубой осадок растворяется в тёмно-синий раствор.</x:v>
      </x:c>
      <x:c r="N2610" s="30" t="str">
        <x:v>2; 4</x:v>
      </x:c>
      <x:c r="O2610" s="30" t="str">
        <x:v>HI восстанавливает Cu²⁺ до CuI и образует I₂; NH₃ сначала осаждает Cu(OH)₂, затем образует [Cu(NH₃)₄]²⁺.</x:v>
      </x:c>
      <x:c r="P2610" s="30" t="str">
        <x:v>HI восстанавливает Cu²⁺ до CuI и образует I₂; NH₃ сначала осаждает Cu(OH)₂, затем образует [Cu(NH₃)₄]²⁺.</x:v>
      </x:c>
      <x:c r="Q2610" s="30"/>
      <x:c r="R2610" s="30" t="str">
        <x:v>Фото-сводка ответов + Zadanie_KhI11_27042026_.pdf (чистый скан) + независимое решение</x:v>
      </x:c>
      <x:c r="S2610" s="30"/>
      <x:c r="T2610" s="30"/>
      <x:c r="U2610" s="30" t="str">
        <x:v>Расхождений не обнаружено.</x:v>
      </x:c>
      <x:c r="V2610" s="87" t="str">
        <x:v>VERIFIED</x:v>
      </x:c>
      <x:c r="W2610" s="87" t="str">
        <x:v>Zadanie_KhI11_27042026_.pdf (чистый скан), внутренняя стр. 4</x:v>
      </x:c>
      <x:c r="X2610" s="87"/>
      <x:c r="Y2610" s="87"/>
      <x:c r="Z2610" s="87"/>
      <x:c r="AA2610" s="87"/>
      <x:c r="AB2610" s="87"/>
      <x:c r="AC2610" s="87"/>
      <x:c r="AD2610" s="87"/>
      <x:c r="AE2610" s="87"/>
      <x:c r="AF2610" s="87"/>
      <x:c r="AG2610" s="87"/>
      <x:c r="AH2610" s="87"/>
      <x:c r="AI2610" s="30"/>
      <x:c r="AJ2610" s="87" t="str">
        <x:v>master</x:v>
      </x:c>
      <x:c r="AK2610" s="87" t="str">
        <x:v>master-v0.81</x:v>
      </x:c>
      <x:c r="AL2610" s="87" t="str">
        <x:v>statgrad_master_base_v0_81_final(2).xlsx</x:v>
      </x:c>
      <x:c r="AM2610" s="87" t="str">
        <x:v>CHEM_Apr_V3</x:v>
      </x:c>
      <x:c r="AN2610" s="87" t="n">
        <x:v>7</x:v>
      </x:c>
    </x:row>
    <x:row r="2611">
      <x:c r="A2611" s="87" t="n">
        <x:v>2610</x:v>
      </x:c>
      <x:c r="B2611" s="87" t="str">
        <x:v>APR-CHEM-V3-007</x:v>
      </x:c>
      <x:c r="C2611" s="87" t="str">
        <x:v>СтатГрад</x:v>
      </x:c>
      <x:c r="D2611" s="87" t="str">
        <x:v>Апрель 2026</x:v>
      </x:c>
      <x:c r="E2611" s="87"/>
      <x:c r="F2611" s="87"/>
      <x:c r="G2611" s="87" t="str">
        <x:v>Химия</x:v>
      </x:c>
      <x:c r="H2611" s="87" t="n">
        <x:v>11</x:v>
      </x:c>
      <x:c r="I2611" s="87" t="str">
        <x:v>ТР №5</x:v>
      </x:c>
      <x:c r="J2611" s="87" t="str">
        <x:v>ХИ2510503</x:v>
      </x:c>
      <x:c r="K2611" s="87" t="n">
        <x:v>7</x:v>
      </x:c>
      <x:c r="L2611" s="87" t="str">
        <x:v>Химические свойства неорганических веществ</x:v>
      </x:c>
      <x:c r="M2611" s="30" t="str">
        <x:v>Соотнести Al, Cl₂, HF, NH₃ с наборами реагентов, с каждым из которых вещество взаимодействует.</x:v>
      </x:c>
      <x:c r="N2611" s="30" t="str">
        <x:v>4521</x:v>
      </x:c>
      <x:c r="O2611" s="30" t="str">
        <x:v>Al реагирует с KOH/HNO₃/O₂; Cl₂ — с Cu/P₄/HI; HF — с KOH/SiO₂/Zn; NH₃ — с HCl/HNO₃/AgCl.</x:v>
      </x:c>
      <x:c r="P2611" s="30" t="str">
        <x:v>Al реагирует с KOH/HNO₃/O₂; Cl₂ — с Cu/P₄/HI; HF — с KOH/SiO₂/Zn; NH₃ — с HCl/HNO₃/AgCl.</x:v>
      </x:c>
      <x:c r="Q2611" s="30"/>
      <x:c r="R2611" s="30" t="str">
        <x:v>Kriterii_KhI11_27042026_.pdf (чистый скан): таблица ответов + фото-сводка + независимая проверка</x:v>
      </x:c>
      <x:c r="S2611" s="30"/>
      <x:c r="T2611" s="30"/>
      <x:c r="U2611" s="30" t="str">
        <x:v>Расхождений не обнаружено.</x:v>
      </x:c>
      <x:c r="V2611" s="87" t="str">
        <x:v>VERIFIED</x:v>
      </x:c>
      <x:c r="W2611" s="87" t="str">
        <x:v>Zadanie_KhI11_27042026_.pdf (чистый скан), внутренняя стр. 4</x:v>
      </x:c>
      <x:c r="X2611" s="87"/>
      <x:c r="Y2611" s="87"/>
      <x:c r="Z2611" s="87"/>
      <x:c r="AA2611" s="87"/>
      <x:c r="AB2611" s="87"/>
      <x:c r="AC2611" s="87"/>
      <x:c r="AD2611" s="87"/>
      <x:c r="AE2611" s="87"/>
      <x:c r="AF2611" s="87"/>
      <x:c r="AG2611" s="87"/>
      <x:c r="AH2611" s="87"/>
      <x:c r="AI2611" s="30"/>
      <x:c r="AJ2611" s="87" t="str">
        <x:v>master</x:v>
      </x:c>
      <x:c r="AK2611" s="87" t="str">
        <x:v>master-v0.81</x:v>
      </x:c>
      <x:c r="AL2611" s="87" t="str">
        <x:v>statgrad_master_base_v0_81_final(2).xlsx</x:v>
      </x:c>
      <x:c r="AM2611" s="87" t="str">
        <x:v>CHEM_Apr_V3</x:v>
      </x:c>
      <x:c r="AN2611" s="87" t="n">
        <x:v>8</x:v>
      </x:c>
    </x:row>
    <x:row r="2612">
      <x:c r="A2612" s="87" t="n">
        <x:v>2611</x:v>
      </x:c>
      <x:c r="B2612" s="87" t="str">
        <x:v>APR-CHEM-V3-008</x:v>
      </x:c>
      <x:c r="C2612" s="87" t="str">
        <x:v>СтатГрад</x:v>
      </x:c>
      <x:c r="D2612" s="87" t="str">
        <x:v>Апрель 2026</x:v>
      </x:c>
      <x:c r="E2612" s="87"/>
      <x:c r="F2612" s="87"/>
      <x:c r="G2612" s="87" t="str">
        <x:v>Химия</x:v>
      </x:c>
      <x:c r="H2612" s="87" t="n">
        <x:v>11</x:v>
      </x:c>
      <x:c r="I2612" s="87" t="str">
        <x:v>ТР №5</x:v>
      </x:c>
      <x:c r="J2612" s="87" t="str">
        <x:v>ХИ2510503</x:v>
      </x:c>
      <x:c r="K2612" s="87" t="n">
        <x:v>8</x:v>
      </x:c>
      <x:c r="L2612" s="87" t="str">
        <x:v>Неорганические реакции</x:v>
      </x:c>
      <x:c r="M2612" s="30" t="str">
        <x:v>Соотнести NH₄Cl+KOH, NH₄Cl+KNO₂, NO₂+NH₃+H₂O, KNO₃+Zn+KOH+H₂O с продуктами.</x:v>
      </x:c>
      <x:c r="N2612" s="30" t="str">
        <x:v>3416</x:v>
      </x:c>
      <x:c r="O2612" s="30" t="str">
        <x:v>Получаются соответственно NH₃; N₂; NH₄NO₂+NH₄NO₃; NH₃+K₂[Zn(OH)₄].</x:v>
      </x:c>
      <x:c r="P2612" s="30" t="str">
        <x:v>Получаются соответственно NH₃; N₂; NH₄NO₂+NH₄NO₃; NH₃+K₂[Zn(OH)₄].</x:v>
      </x:c>
      <x:c r="Q2612" s="30"/>
      <x:c r="R2612" s="30" t="str">
        <x:v>Kriterii_KhI11_27042026_.pdf (чистый скан): таблица ответов + фото-сводка + независимая проверка</x:v>
      </x:c>
      <x:c r="S2612" s="30"/>
      <x:c r="T2612" s="30"/>
      <x:c r="U2612" s="30" t="str">
        <x:v>Расхождений не обнаружено.</x:v>
      </x:c>
      <x:c r="V2612" s="87" t="str">
        <x:v>VERIFIED</x:v>
      </x:c>
      <x:c r="W2612" s="87" t="str">
        <x:v>Zadanie_KhI11_27042026_.pdf (чистый скан), внутренняя стр. 5</x:v>
      </x:c>
      <x:c r="X2612" s="87"/>
      <x:c r="Y2612" s="87"/>
      <x:c r="Z2612" s="87"/>
      <x:c r="AA2612" s="87"/>
      <x:c r="AB2612" s="87"/>
      <x:c r="AC2612" s="87"/>
      <x:c r="AD2612" s="87"/>
      <x:c r="AE2612" s="87"/>
      <x:c r="AF2612" s="87"/>
      <x:c r="AG2612" s="87"/>
      <x:c r="AH2612" s="87"/>
      <x:c r="AI2612" s="30"/>
      <x:c r="AJ2612" s="87" t="str">
        <x:v>master</x:v>
      </x:c>
      <x:c r="AK2612" s="87" t="str">
        <x:v>master-v0.81</x:v>
      </x:c>
      <x:c r="AL2612" s="87" t="str">
        <x:v>statgrad_master_base_v0_81_final(2).xlsx</x:v>
      </x:c>
      <x:c r="AM2612" s="87" t="str">
        <x:v>CHEM_Apr_V3</x:v>
      </x:c>
      <x:c r="AN2612" s="87" t="n">
        <x:v>9</x:v>
      </x:c>
    </x:row>
    <x:row r="2613">
      <x:c r="A2613" s="87" t="n">
        <x:v>2612</x:v>
      </x:c>
      <x:c r="B2613" s="87" t="str">
        <x:v>APR-CHEM-V3-009</x:v>
      </x:c>
      <x:c r="C2613" s="87" t="str">
        <x:v>СтатГрад</x:v>
      </x:c>
      <x:c r="D2613" s="87" t="str">
        <x:v>Апрель 2026</x:v>
      </x:c>
      <x:c r="E2613" s="87"/>
      <x:c r="F2613" s="87"/>
      <x:c r="G2613" s="87" t="str">
        <x:v>Химия</x:v>
      </x:c>
      <x:c r="H2613" s="87" t="n">
        <x:v>11</x:v>
      </x:c>
      <x:c r="I2613" s="87" t="str">
        <x:v>ТР №5</x:v>
      </x:c>
      <x:c r="J2613" s="87" t="str">
        <x:v>ХИ2510503</x:v>
      </x:c>
      <x:c r="K2613" s="87" t="n">
        <x:v>9</x:v>
      </x:c>
      <x:c r="L2613" s="87" t="str">
        <x:v>Цепочка превращений</x:v>
      </x:c>
      <x:c r="M2613" s="30" t="str">
        <x:v>В схеме X + HBr → Br₂; Br₂ + Y(р-р), t → KBrO₃ определить X и Y.</x:v>
      </x:c>
      <x:c r="N2613" s="30" t="str">
        <x:v>35</x:v>
      </x:c>
      <x:c r="O2613" s="30" t="str">
        <x:v>MnO₂ окисляет Br⁻ до Br₂; в горячем растворе K₂CO₃ бром диспропорционирует с образованием KBrO₃.</x:v>
      </x:c>
      <x:c r="P2613" s="30" t="str">
        <x:v>MnO₂ окисляет Br⁻ до Br₂; в горячем растворе K₂CO₃ бром диспропорционирует с образованием KBrO₃.</x:v>
      </x:c>
      <x:c r="Q2613" s="30"/>
      <x:c r="R2613" s="30" t="str">
        <x:v>Фото-сводка ответов + Zadanie_KhI11_27042026_.pdf (чистый скан) + независимое решение</x:v>
      </x:c>
      <x:c r="S2613" s="30"/>
      <x:c r="T2613" s="30"/>
      <x:c r="U2613" s="30" t="str">
        <x:v>Расхождений не обнаружено.</x:v>
      </x:c>
      <x:c r="V2613" s="87" t="str">
        <x:v>VERIFIED</x:v>
      </x:c>
      <x:c r="W2613" s="87" t="str">
        <x:v>Zadanie_KhI11_27042026_.pdf (чистый скан), внутренняя стр. 5</x:v>
      </x:c>
      <x:c r="X2613" s="87"/>
      <x:c r="Y2613" s="87"/>
      <x:c r="Z2613" s="87"/>
      <x:c r="AA2613" s="87"/>
      <x:c r="AB2613" s="87"/>
      <x:c r="AC2613" s="87"/>
      <x:c r="AD2613" s="87"/>
      <x:c r="AE2613" s="87"/>
      <x:c r="AF2613" s="87"/>
      <x:c r="AG2613" s="87"/>
      <x:c r="AH2613" s="87"/>
      <x:c r="AI2613" s="30"/>
      <x:c r="AJ2613" s="87" t="str">
        <x:v>master</x:v>
      </x:c>
      <x:c r="AK2613" s="87" t="str">
        <x:v>master-v0.81</x:v>
      </x:c>
      <x:c r="AL2613" s="87" t="str">
        <x:v>statgrad_master_base_v0_81_final(2).xlsx</x:v>
      </x:c>
      <x:c r="AM2613" s="87" t="str">
        <x:v>CHEM_Apr_V3</x:v>
      </x:c>
      <x:c r="AN2613" s="87" t="n">
        <x:v>10</x:v>
      </x:c>
    </x:row>
    <x:row r="2614">
      <x:c r="A2614" s="87" t="n">
        <x:v>2613</x:v>
      </x:c>
      <x:c r="B2614" s="87" t="str">
        <x:v>APR-CHEM-V3-010</x:v>
      </x:c>
      <x:c r="C2614" s="87" t="str">
        <x:v>СтатГрад</x:v>
      </x:c>
      <x:c r="D2614" s="87" t="str">
        <x:v>Апрель 2026</x:v>
      </x:c>
      <x:c r="E2614" s="87"/>
      <x:c r="F2614" s="87"/>
      <x:c r="G2614" s="87" t="str">
        <x:v>Химия</x:v>
      </x:c>
      <x:c r="H2614" s="87" t="n">
        <x:v>11</x:v>
      </x:c>
      <x:c r="I2614" s="87" t="str">
        <x:v>ТР №5</x:v>
      </x:c>
      <x:c r="J2614" s="87" t="str">
        <x:v>ХИ2510503</x:v>
      </x:c>
      <x:c r="K2614" s="87" t="n">
        <x:v>10</x:v>
      </x:c>
      <x:c r="L2614" s="87" t="str">
        <x:v>Классы органических соединений</x:v>
      </x:c>
      <x:c r="M2614" s="30" t="str">
        <x:v>Соотнести пропиофенон, этилацетат и фенетол с классами соединений.</x:v>
      </x:c>
      <x:c r="N2614" s="30" t="str">
        <x:v>231</x:v>
      </x:c>
      <x:c r="O2614" s="30" t="str">
        <x:v>Это соответственно кетон, сложный эфир и простой эфир.</x:v>
      </x:c>
      <x:c r="P2614" s="30" t="str">
        <x:v>Это соответственно кетон, сложный эфир и простой эфир.</x:v>
      </x:c>
      <x:c r="Q2614" s="30"/>
      <x:c r="R2614" s="30" t="str">
        <x:v>Фото-сводка ответов + Zadanie_KhI11_27042026_.pdf (чистый скан) + независимое решение</x:v>
      </x:c>
      <x:c r="S2614" s="30"/>
      <x:c r="T2614" s="30"/>
      <x:c r="U2614" s="30" t="str">
        <x:v>Расхождений не обнаружено.</x:v>
      </x:c>
      <x:c r="V2614" s="87" t="str">
        <x:v>VERIFIED</x:v>
      </x:c>
      <x:c r="W2614" s="87" t="str">
        <x:v>Zadanie_KhI11_27042026_.pdf (чистый скан), внутренняя стр. 6</x:v>
      </x:c>
      <x:c r="X2614" s="87"/>
      <x:c r="Y2614" s="87"/>
      <x:c r="Z2614" s="87"/>
      <x:c r="AA2614" s="87"/>
      <x:c r="AB2614" s="87"/>
      <x:c r="AC2614" s="87"/>
      <x:c r="AD2614" s="87"/>
      <x:c r="AE2614" s="87"/>
      <x:c r="AF2614" s="87"/>
      <x:c r="AG2614" s="87"/>
      <x:c r="AH2614" s="87"/>
      <x:c r="AI2614" s="30"/>
      <x:c r="AJ2614" s="87" t="str">
        <x:v>master</x:v>
      </x:c>
      <x:c r="AK2614" s="87" t="str">
        <x:v>master-v0.81</x:v>
      </x:c>
      <x:c r="AL2614" s="87" t="str">
        <x:v>statgrad_master_base_v0_81_final(2).xlsx</x:v>
      </x:c>
      <x:c r="AM2614" s="87" t="str">
        <x:v>CHEM_Apr_V3</x:v>
      </x:c>
      <x:c r="AN2614" s="87" t="n">
        <x:v>11</x:v>
      </x:c>
    </x:row>
    <x:row r="2615">
      <x:c r="A2615" s="87" t="n">
        <x:v>2614</x:v>
      </x:c>
      <x:c r="B2615" s="87" t="str">
        <x:v>APR-CHEM-V3-011</x:v>
      </x:c>
      <x:c r="C2615" s="87" t="str">
        <x:v>СтатГрад</x:v>
      </x:c>
      <x:c r="D2615" s="87" t="str">
        <x:v>Апрель 2026</x:v>
      </x:c>
      <x:c r="E2615" s="87"/>
      <x:c r="F2615" s="87"/>
      <x:c r="G2615" s="87" t="str">
        <x:v>Химия</x:v>
      </x:c>
      <x:c r="H2615" s="87" t="n">
        <x:v>11</x:v>
      </x:c>
      <x:c r="I2615" s="87" t="str">
        <x:v>ТР №5</x:v>
      </x:c>
      <x:c r="J2615" s="87" t="str">
        <x:v>ХИ2510503</x:v>
      </x:c>
      <x:c r="K2615" s="87" t="n">
        <x:v>11</x:v>
      </x:c>
      <x:c r="L2615" s="87" t="str">
        <x:v>Оптическая изомерия</x:v>
      </x:c>
      <x:c r="M2615" s="30" t="str">
        <x:v>Выбрать вещества с оптическими изомерами.</x:v>
      </x:c>
      <x:c r="N2615" s="30" t="str">
        <x:v>23</x:v>
      </x:c>
      <x:c r="O2615" s="30" t="str">
        <x:v>2-Нитробутан имеет асимметрический атом C; рибоза содержит хиральные центры.</x:v>
      </x:c>
      <x:c r="P2615" s="30" t="str">
        <x:v>2-Нитробутан имеет асимметрический атом C; рибоза содержит хиральные центры.</x:v>
      </x:c>
      <x:c r="Q2615" s="30"/>
      <x:c r="R2615" s="30" t="str">
        <x:v>Фото-сводка ответов + Zadanie_KhI11_27042026_.pdf (чистый скан) + независимое решение</x:v>
      </x:c>
      <x:c r="S2615" s="30"/>
      <x:c r="T2615" s="30"/>
      <x:c r="U2615" s="30" t="str">
        <x:v>Расхождений не обнаружено.</x:v>
      </x:c>
      <x:c r="V2615" s="87" t="str">
        <x:v>VERIFIED</x:v>
      </x:c>
      <x:c r="W2615" s="87" t="str">
        <x:v>Zadanie_KhI11_27042026_.pdf (чистый скан), внутренняя стр. 6</x:v>
      </x:c>
      <x:c r="X2615" s="87"/>
      <x:c r="Y2615" s="87"/>
      <x:c r="Z2615" s="87"/>
      <x:c r="AA2615" s="87"/>
      <x:c r="AB2615" s="87"/>
      <x:c r="AC2615" s="87"/>
      <x:c r="AD2615" s="87"/>
      <x:c r="AE2615" s="87"/>
      <x:c r="AF2615" s="87"/>
      <x:c r="AG2615" s="87"/>
      <x:c r="AH2615" s="87"/>
      <x:c r="AI2615" s="30"/>
      <x:c r="AJ2615" s="87" t="str">
        <x:v>master</x:v>
      </x:c>
      <x:c r="AK2615" s="87" t="str">
        <x:v>master-v0.81</x:v>
      </x:c>
      <x:c r="AL2615" s="87" t="str">
        <x:v>statgrad_master_base_v0_81_final(2).xlsx</x:v>
      </x:c>
      <x:c r="AM2615" s="87" t="str">
        <x:v>CHEM_Apr_V3</x:v>
      </x:c>
      <x:c r="AN2615" s="87" t="n">
        <x:v>12</x:v>
      </x:c>
    </x:row>
    <x:row r="2616">
      <x:c r="A2616" s="87" t="n">
        <x:v>2615</x:v>
      </x:c>
      <x:c r="B2616" s="87" t="str">
        <x:v>APR-CHEM-V3-012</x:v>
      </x:c>
      <x:c r="C2616" s="87" t="str">
        <x:v>СтатГрад</x:v>
      </x:c>
      <x:c r="D2616" s="87" t="str">
        <x:v>Апрель 2026</x:v>
      </x:c>
      <x:c r="E2616" s="87"/>
      <x:c r="F2616" s="87"/>
      <x:c r="G2616" s="87" t="str">
        <x:v>Химия</x:v>
      </x:c>
      <x:c r="H2616" s="87" t="n">
        <x:v>11</x:v>
      </x:c>
      <x:c r="I2616" s="87" t="str">
        <x:v>ТР №5</x:v>
      </x:c>
      <x:c r="J2616" s="87" t="str">
        <x:v>ХИ2510503</x:v>
      </x:c>
      <x:c r="K2616" s="87" t="n">
        <x:v>12</x:v>
      </x:c>
      <x:c r="L2616" s="87" t="str">
        <x:v>Химические свойства ацетилена и ацетальдегида</x:v>
      </x:c>
      <x:c r="M2616" s="30" t="str">
        <x:v>Выбрать реагенты, с которыми реагируют оба вещества.</x:v>
      </x:c>
      <x:c r="N2616" s="30" t="str">
        <x:v>123</x:v>
      </x:c>
      <x:c r="O2616" s="30" t="str">
        <x:v>Оба обесцвечивают бромную воду и KMnO₄; ацетилен образует ацетиленид серебра, ацетальдегид даёт реакцию серебряного зеркала.</x:v>
      </x:c>
      <x:c r="P2616" s="30" t="str">
        <x:v>Оба обесцвечивают бромную воду и KMnO₄; ацетилен образует ацетиленид серебра, ацетальдегид даёт реакцию серебряного зеркала.</x:v>
      </x:c>
      <x:c r="Q2616" s="30"/>
      <x:c r="R2616" s="30" t="str">
        <x:v>Kriterii_KhI11_27042026_.pdf (чистый скан): таблица ответов + фото-сводка + независимая проверка</x:v>
      </x:c>
      <x:c r="S2616" s="30"/>
      <x:c r="T2616" s="30"/>
      <x:c r="U2616" s="30" t="str">
        <x:v>Расхождений не обнаружено.</x:v>
      </x:c>
      <x:c r="V2616" s="87" t="str">
        <x:v>VERIFIED</x:v>
      </x:c>
      <x:c r="W2616" s="87" t="str">
        <x:v>Zadanie_KhI11_27042026_.pdf (чистый скан), внутренняя стр. 7</x:v>
      </x:c>
      <x:c r="X2616" s="87"/>
      <x:c r="Y2616" s="87"/>
      <x:c r="Z2616" s="87"/>
      <x:c r="AA2616" s="87"/>
      <x:c r="AB2616" s="87"/>
      <x:c r="AC2616" s="87"/>
      <x:c r="AD2616" s="87"/>
      <x:c r="AE2616" s="87"/>
      <x:c r="AF2616" s="87"/>
      <x:c r="AG2616" s="87"/>
      <x:c r="AH2616" s="87"/>
      <x:c r="AI2616" s="30"/>
      <x:c r="AJ2616" s="87" t="str">
        <x:v>master</x:v>
      </x:c>
      <x:c r="AK2616" s="87" t="str">
        <x:v>master-v0.81</x:v>
      </x:c>
      <x:c r="AL2616" s="87" t="str">
        <x:v>statgrad_master_base_v0_81_final(2).xlsx</x:v>
      </x:c>
      <x:c r="AM2616" s="87" t="str">
        <x:v>CHEM_Apr_V3</x:v>
      </x:c>
      <x:c r="AN2616" s="87" t="n">
        <x:v>13</x:v>
      </x:c>
    </x:row>
    <x:row r="2617">
      <x:c r="A2617" s="87" t="n">
        <x:v>2616</x:v>
      </x:c>
      <x:c r="B2617" s="87" t="str">
        <x:v>APR-CHEM-V3-013</x:v>
      </x:c>
      <x:c r="C2617" s="87" t="str">
        <x:v>СтатГрад</x:v>
      </x:c>
      <x:c r="D2617" s="87" t="str">
        <x:v>Апрель 2026</x:v>
      </x:c>
      <x:c r="E2617" s="87"/>
      <x:c r="F2617" s="87"/>
      <x:c r="G2617" s="87" t="str">
        <x:v>Химия</x:v>
      </x:c>
      <x:c r="H2617" s="87" t="n">
        <x:v>11</x:v>
      </x:c>
      <x:c r="I2617" s="87" t="str">
        <x:v>ТР №5</x:v>
      </x:c>
      <x:c r="J2617" s="87" t="str">
        <x:v>ХИ2510503</x:v>
      </x:c>
      <x:c r="K2617" s="87" t="n">
        <x:v>13</x:v>
      </x:c>
      <x:c r="L2617" s="87" t="str">
        <x:v>Гидролиз органических веществ</x:v>
      </x:c>
      <x:c r="M2617" s="30" t="str">
        <x:v>Выбрать два вещества, не вступающие в гидролиз.</x:v>
      </x:c>
      <x:c r="N2617" s="30" t="str">
        <x:v>24</x:v>
      </x:c>
      <x:c r="O2617" s="30" t="str">
        <x:v>Фенилаланин и дезоксирибоза не содержат связей, гидролизуемых в рамках школьного курса.</x:v>
      </x:c>
      <x:c r="P2617" s="30" t="str">
        <x:v>Фенилаланин и дезоксирибоза не содержат связей, гидролизуемых в рамках школьного курса.</x:v>
      </x:c>
      <x:c r="Q2617" s="30"/>
      <x:c r="R2617" s="30" t="str">
        <x:v>Фото-сводка ответов + Zadanie_KhI11_27042026_.pdf (чистый скан) + независимое решение</x:v>
      </x:c>
      <x:c r="S2617" s="30"/>
      <x:c r="T2617" s="30"/>
      <x:c r="U2617" s="30" t="str">
        <x:v>Расхождений не обнаружено.</x:v>
      </x:c>
      <x:c r="V2617" s="87" t="str">
        <x:v>VERIFIED</x:v>
      </x:c>
      <x:c r="W2617" s="87" t="str">
        <x:v>Zadanie_KhI11_27042026_.pdf (чистый скан), внутренняя стр. 7</x:v>
      </x:c>
      <x:c r="X2617" s="87"/>
      <x:c r="Y2617" s="87"/>
      <x:c r="Z2617" s="87"/>
      <x:c r="AA2617" s="87"/>
      <x:c r="AB2617" s="87"/>
      <x:c r="AC2617" s="87"/>
      <x:c r="AD2617" s="87"/>
      <x:c r="AE2617" s="87"/>
      <x:c r="AF2617" s="87"/>
      <x:c r="AG2617" s="87"/>
      <x:c r="AH2617" s="87"/>
      <x:c r="AI2617" s="30"/>
      <x:c r="AJ2617" s="87" t="str">
        <x:v>master</x:v>
      </x:c>
      <x:c r="AK2617" s="87" t="str">
        <x:v>master-v0.81</x:v>
      </x:c>
      <x:c r="AL2617" s="87" t="str">
        <x:v>statgrad_master_base_v0_81_final(2).xlsx</x:v>
      </x:c>
      <x:c r="AM2617" s="87" t="str">
        <x:v>CHEM_Apr_V3</x:v>
      </x:c>
      <x:c r="AN2617" s="87" t="n">
        <x:v>14</x:v>
      </x:c>
    </x:row>
    <x:row r="2618">
      <x:c r="A2618" s="87" t="n">
        <x:v>2617</x:v>
      </x:c>
      <x:c r="B2618" s="87" t="str">
        <x:v>APR-CHEM-V3-014</x:v>
      </x:c>
      <x:c r="C2618" s="87" t="str">
        <x:v>СтатГрад</x:v>
      </x:c>
      <x:c r="D2618" s="87" t="str">
        <x:v>Апрель 2026</x:v>
      </x:c>
      <x:c r="E2618" s="87"/>
      <x:c r="F2618" s="87"/>
      <x:c r="G2618" s="87" t="str">
        <x:v>Химия</x:v>
      </x:c>
      <x:c r="H2618" s="87" t="n">
        <x:v>11</x:v>
      </x:c>
      <x:c r="I2618" s="87" t="str">
        <x:v>ТР №5</x:v>
      </x:c>
      <x:c r="J2618" s="87" t="str">
        <x:v>ХИ2510503</x:v>
      </x:c>
      <x:c r="K2618" s="87" t="n">
        <x:v>14</x:v>
      </x:c>
      <x:c r="L2618" s="87" t="str">
        <x:v>Органические реакции</x:v>
      </x:c>
      <x:c r="M2618" s="30" t="str">
        <x:v>Соотнести Вюрц–Фиттиг, гидратацию алкина, дегалогенирование и декарбоксилирование с веществом X.</x:v>
      </x:c>
      <x:c r="N2618" s="30" t="str">
        <x:v>5136</x:v>
      </x:c>
      <x:c r="O2618" s="30" t="str">
        <x:v>Хлорбензол даёт этилбензол; пропин — ацетон; 1,2-дихлорпропан — пропен; пропионат натрия — этан.</x:v>
      </x:c>
      <x:c r="P2618" s="30" t="str">
        <x:v>Хлорбензол даёт этилбензол; пропин — ацетон; 1,2-дихлорпропан — пропен; пропионат натрия — этан.</x:v>
      </x:c>
      <x:c r="Q2618" s="30"/>
      <x:c r="R2618" s="30" t="str">
        <x:v>Kriterii_KhI11_27042026_.pdf (чистый скан): таблица ответов + фото-сводка + независимая проверка</x:v>
      </x:c>
      <x:c r="S2618" s="30"/>
      <x:c r="T2618" s="30"/>
      <x:c r="U2618" s="30" t="str">
        <x:v>Расхождений не обнаружено.</x:v>
      </x:c>
      <x:c r="V2618" s="87" t="str">
        <x:v>VERIFIED</x:v>
      </x:c>
      <x:c r="W2618" s="87" t="str">
        <x:v>Zadanie_KhI11_27042026_.pdf (чистый скан), внутренняя стр. 7</x:v>
      </x:c>
      <x:c r="X2618" s="87"/>
      <x:c r="Y2618" s="87"/>
      <x:c r="Z2618" s="87"/>
      <x:c r="AA2618" s="87"/>
      <x:c r="AB2618" s="87"/>
      <x:c r="AC2618" s="87"/>
      <x:c r="AD2618" s="87"/>
      <x:c r="AE2618" s="87"/>
      <x:c r="AF2618" s="87"/>
      <x:c r="AG2618" s="87"/>
      <x:c r="AH2618" s="87"/>
      <x:c r="AI2618" s="30"/>
      <x:c r="AJ2618" s="87" t="str">
        <x:v>master</x:v>
      </x:c>
      <x:c r="AK2618" s="87" t="str">
        <x:v>master-v0.81</x:v>
      </x:c>
      <x:c r="AL2618" s="87" t="str">
        <x:v>statgrad_master_base_v0_81_final(2).xlsx</x:v>
      </x:c>
      <x:c r="AM2618" s="87" t="str">
        <x:v>CHEM_Apr_V3</x:v>
      </x:c>
      <x:c r="AN2618" s="87" t="n">
        <x:v>15</x:v>
      </x:c>
    </x:row>
    <x:row r="2619">
      <x:c r="A2619" s="87" t="n">
        <x:v>2618</x:v>
      </x:c>
      <x:c r="B2619" s="87" t="str">
        <x:v>APR-CHEM-V3-015</x:v>
      </x:c>
      <x:c r="C2619" s="87" t="str">
        <x:v>СтатГрад</x:v>
      </x:c>
      <x:c r="D2619" s="87" t="str">
        <x:v>Апрель 2026</x:v>
      </x:c>
      <x:c r="E2619" s="87"/>
      <x:c r="F2619" s="87"/>
      <x:c r="G2619" s="87" t="str">
        <x:v>Химия</x:v>
      </x:c>
      <x:c r="H2619" s="87" t="n">
        <x:v>11</x:v>
      </x:c>
      <x:c r="I2619" s="87" t="str">
        <x:v>ТР №5</x:v>
      </x:c>
      <x:c r="J2619" s="87" t="str">
        <x:v>ХИ2510503</x:v>
      </x:c>
      <x:c r="K2619" s="87" t="n">
        <x:v>15</x:v>
      </x:c>
      <x:c r="L2619" s="87" t="str">
        <x:v>Продукты органических реакций</x:v>
      </x:c>
      <x:c r="M2619" s="30" t="str">
        <x:v>Соотнести реакции изопропанола с PCl₅, этаналя с этиленгликолем, пропионовой кислоты с NaHCO₃ и уксусной кислоты с LiAlH₄ с продуктами.</x:v>
      </x:c>
      <x:c r="N2619" s="30" t="str">
        <x:v>5341</x:v>
      </x:c>
      <x:c r="O2619" s="30" t="str">
        <x:v>Образуются 2-хлорпропан, циклический ацеталь, пропионат натрия и этанол.</x:v>
      </x:c>
      <x:c r="P2619" s="30" t="str">
        <x:v>Образуются 2-хлорпропан, циклический ацеталь, пропионат натрия и этанол.</x:v>
      </x:c>
      <x:c r="Q2619" s="30"/>
      <x:c r="R2619" s="30" t="str">
        <x:v>Kriterii_KhI11_27042026_.pdf (чистый скан): таблица ответов + фото-сводка + независимая проверка</x:v>
      </x:c>
      <x:c r="S2619" s="30"/>
      <x:c r="T2619" s="30"/>
      <x:c r="U2619" s="30" t="str">
        <x:v>Расхождений не обнаружено.</x:v>
      </x:c>
      <x:c r="V2619" s="87" t="str">
        <x:v>VERIFIED</x:v>
      </x:c>
      <x:c r="W2619" s="87" t="str">
        <x:v>Zadanie_KhI11_27042026_.pdf (чистый скан), внутренняя стр. 8</x:v>
      </x:c>
      <x:c r="X2619" s="87"/>
      <x:c r="Y2619" s="87"/>
      <x:c r="Z2619" s="87"/>
      <x:c r="AA2619" s="87"/>
      <x:c r="AB2619" s="87"/>
      <x:c r="AC2619" s="87"/>
      <x:c r="AD2619" s="87"/>
      <x:c r="AE2619" s="87"/>
      <x:c r="AF2619" s="87"/>
      <x:c r="AG2619" s="87"/>
      <x:c r="AH2619" s="87"/>
      <x:c r="AI2619" s="30"/>
      <x:c r="AJ2619" s="87" t="str">
        <x:v>master</x:v>
      </x:c>
      <x:c r="AK2619" s="87" t="str">
        <x:v>master-v0.81</x:v>
      </x:c>
      <x:c r="AL2619" s="87" t="str">
        <x:v>statgrad_master_base_v0_81_final(2).xlsx</x:v>
      </x:c>
      <x:c r="AM2619" s="87" t="str">
        <x:v>CHEM_Apr_V3</x:v>
      </x:c>
      <x:c r="AN2619" s="87" t="n">
        <x:v>16</x:v>
      </x:c>
    </x:row>
    <x:row r="2620">
      <x:c r="A2620" s="87" t="n">
        <x:v>2619</x:v>
      </x:c>
      <x:c r="B2620" s="87" t="str">
        <x:v>APR-CHEM-V3-016</x:v>
      </x:c>
      <x:c r="C2620" s="87" t="str">
        <x:v>СтатГрад</x:v>
      </x:c>
      <x:c r="D2620" s="87" t="str">
        <x:v>Апрель 2026</x:v>
      </x:c>
      <x:c r="E2620" s="87"/>
      <x:c r="F2620" s="87"/>
      <x:c r="G2620" s="87" t="str">
        <x:v>Химия</x:v>
      </x:c>
      <x:c r="H2620" s="87" t="n">
        <x:v>11</x:v>
      </x:c>
      <x:c r="I2620" s="87" t="str">
        <x:v>ТР №5</x:v>
      </x:c>
      <x:c r="J2620" s="87" t="str">
        <x:v>ХИ2510503</x:v>
      </x:c>
      <x:c r="K2620" s="87" t="n">
        <x:v>16</x:v>
      </x:c>
      <x:c r="L2620" s="87" t="str">
        <x:v>Цепочка органических превращений</x:v>
      </x:c>
      <x:c r="M2620" s="30" t="str">
        <x:v>3,4-дихлоргексан → X → CH₃CH₂COOH →(электролиз, OH⁻) Y.</x:v>
      </x:c>
      <x:c r="N2620" s="30" t="str">
        <x:v>42</x:v>
      </x:c>
      <x:c r="O2620" s="30" t="str">
        <x:v>Двойное дегидрогалогенирование даёт гексин-3; окислительное расщепление — пропионовую кислоту; электролиз её соли — бутан.</x:v>
      </x:c>
      <x:c r="P2620" s="30" t="str">
        <x:v>Двойное дегидрогалогенирование даёт гексин-3; окислительное расщепление — пропионовую кислоту; электролиз её соли — бутан.</x:v>
      </x:c>
      <x:c r="Q2620" s="30"/>
      <x:c r="R2620" s="30" t="str">
        <x:v>Фото-сводка ответов + Zadanie_KhI11_27042026_.pdf (чистый скан) + независимое решение</x:v>
      </x:c>
      <x:c r="S2620" s="30"/>
      <x:c r="T2620" s="30"/>
      <x:c r="U2620" s="30" t="str">
        <x:v>Расхождений не обнаружено.</x:v>
      </x:c>
      <x:c r="V2620" s="87" t="str">
        <x:v>VERIFIED</x:v>
      </x:c>
      <x:c r="W2620" s="87" t="str">
        <x:v>Zadanie_KhI11_27042026_.pdf (чистый скан), внутренняя стр. 8</x:v>
      </x:c>
      <x:c r="X2620" s="87"/>
      <x:c r="Y2620" s="87"/>
      <x:c r="Z2620" s="87"/>
      <x:c r="AA2620" s="87"/>
      <x:c r="AB2620" s="87"/>
      <x:c r="AC2620" s="87"/>
      <x:c r="AD2620" s="87"/>
      <x:c r="AE2620" s="87"/>
      <x:c r="AF2620" s="87"/>
      <x:c r="AG2620" s="87"/>
      <x:c r="AH2620" s="87"/>
      <x:c r="AI2620" s="30"/>
      <x:c r="AJ2620" s="87" t="str">
        <x:v>master</x:v>
      </x:c>
      <x:c r="AK2620" s="87" t="str">
        <x:v>master-v0.81</x:v>
      </x:c>
      <x:c r="AL2620" s="87" t="str">
        <x:v>statgrad_master_base_v0_81_final(2).xlsx</x:v>
      </x:c>
      <x:c r="AM2620" s="87" t="str">
        <x:v>CHEM_Apr_V3</x:v>
      </x:c>
      <x:c r="AN2620" s="87" t="n">
        <x:v>17</x:v>
      </x:c>
    </x:row>
    <x:row r="2621">
      <x:c r="A2621" s="87" t="n">
        <x:v>2620</x:v>
      </x:c>
      <x:c r="B2621" s="87" t="str">
        <x:v>APR-CHEM-V3-017</x:v>
      </x:c>
      <x:c r="C2621" s="87" t="str">
        <x:v>СтатГрад</x:v>
      </x:c>
      <x:c r="D2621" s="87" t="str">
        <x:v>Апрель 2026</x:v>
      </x:c>
      <x:c r="E2621" s="87"/>
      <x:c r="F2621" s="87"/>
      <x:c r="G2621" s="87" t="str">
        <x:v>Химия</x:v>
      </x:c>
      <x:c r="H2621" s="87" t="n">
        <x:v>11</x:v>
      </x:c>
      <x:c r="I2621" s="87" t="str">
        <x:v>ТР №5</x:v>
      </x:c>
      <x:c r="J2621" s="87" t="str">
        <x:v>ХИ2510503</x:v>
      </x:c>
      <x:c r="K2621" s="87" t="n">
        <x:v>17</x:v>
      </x:c>
      <x:c r="L2621" s="87" t="str">
        <x:v>Классификация реакций</x:v>
      </x:c>
      <x:c r="M2621" s="30" t="str">
        <x:v>Соотнести Zn+HCl, P₂O₅+H₂O и Al(OH)₃+H₂SO₄ с типами реакций.</x:v>
      </x:c>
      <x:c r="N2621" s="30" t="str">
        <x:v>314</x:v>
      </x:c>
      <x:c r="O2621" s="30" t="str">
        <x:v>Это соответственно ОВР гетерогенная, соединение гетерогенное и обмен гетерогенный.</x:v>
      </x:c>
      <x:c r="P2621" s="30" t="str">
        <x:v>Это соответственно ОВР гетерогенная, соединение гетерогенное и обмен гетерогенный.</x:v>
      </x:c>
      <x:c r="Q2621" s="30"/>
      <x:c r="R2621" s="30" t="str">
        <x:v>Фото-сводка ответов + Zadanie_KhI11_27042026_.pdf (чистый скан) + независимое решение</x:v>
      </x:c>
      <x:c r="S2621" s="30"/>
      <x:c r="T2621" s="30"/>
      <x:c r="U2621" s="30" t="str">
        <x:v>Расхождений не обнаружено.</x:v>
      </x:c>
      <x:c r="V2621" s="87" t="str">
        <x:v>VERIFIED</x:v>
      </x:c>
      <x:c r="W2621" s="87" t="str">
        <x:v>Zadanie_KhI11_27042026_.pdf (чистый скан), внутренняя стр. 9</x:v>
      </x:c>
      <x:c r="X2621" s="87"/>
      <x:c r="Y2621" s="87"/>
      <x:c r="Z2621" s="87"/>
      <x:c r="AA2621" s="87"/>
      <x:c r="AB2621" s="87"/>
      <x:c r="AC2621" s="87"/>
      <x:c r="AD2621" s="87"/>
      <x:c r="AE2621" s="87"/>
      <x:c r="AF2621" s="87"/>
      <x:c r="AG2621" s="87"/>
      <x:c r="AH2621" s="87"/>
      <x:c r="AI2621" s="30"/>
      <x:c r="AJ2621" s="87" t="str">
        <x:v>master</x:v>
      </x:c>
      <x:c r="AK2621" s="87" t="str">
        <x:v>master-v0.81</x:v>
      </x:c>
      <x:c r="AL2621" s="87" t="str">
        <x:v>statgrad_master_base_v0_81_final(2).xlsx</x:v>
      </x:c>
      <x:c r="AM2621" s="87" t="str">
        <x:v>CHEM_Apr_V3</x:v>
      </x:c>
      <x:c r="AN2621" s="87" t="n">
        <x:v>18</x:v>
      </x:c>
    </x:row>
    <x:row r="2622">
      <x:c r="A2622" s="87" t="n">
        <x:v>2621</x:v>
      </x:c>
      <x:c r="B2622" s="87" t="str">
        <x:v>APR-CHEM-V3-018</x:v>
      </x:c>
      <x:c r="C2622" s="87" t="str">
        <x:v>СтатГрад</x:v>
      </x:c>
      <x:c r="D2622" s="87" t="str">
        <x:v>Апрель 2026</x:v>
      </x:c>
      <x:c r="E2622" s="87"/>
      <x:c r="F2622" s="87"/>
      <x:c r="G2622" s="87" t="str">
        <x:v>Химия</x:v>
      </x:c>
      <x:c r="H2622" s="87" t="n">
        <x:v>11</x:v>
      </x:c>
      <x:c r="I2622" s="87" t="str">
        <x:v>ТР №5</x:v>
      </x:c>
      <x:c r="J2622" s="87" t="str">
        <x:v>ХИ2510503</x:v>
      </x:c>
      <x:c r="K2622" s="87" t="n">
        <x:v>18</x:v>
      </x:c>
      <x:c r="L2622" s="87" t="str">
        <x:v>Скорость реакции</x:v>
      </x:c>
      <x:c r="M2622" s="30" t="str">
        <x:v>Выбрать факторы, уменьшающие скорость разложения SO₃.</x:v>
      </x:c>
      <x:c r="N2622" s="30" t="str">
        <x:v>2345</x:v>
      </x:c>
      <x:c r="O2622" s="30" t="str">
        <x:v>Скорость уменьшают увеличение объёма/снижение давления, охлаждение и отравление катализатора; добавление SO₂ снижает наблюдаемую скорость разложения.</x:v>
      </x:c>
      <x:c r="P2622" s="30" t="str">
        <x:v>Скорость уменьшают увеличение объёма/снижение давления, охлаждение и отравление катализатора; добавление SO₂ снижает наблюдаемую скорость разложения.</x:v>
      </x:c>
      <x:c r="Q2622" s="30"/>
      <x:c r="R2622" s="30" t="str">
        <x:v>Фото-сводка ответов + Zadanie_KhI11_27042026_.pdf (чистый скан) + независимое решение</x:v>
      </x:c>
      <x:c r="S2622" s="30"/>
      <x:c r="T2622" s="30"/>
      <x:c r="U2622" s="30" t="str">
        <x:v>Расхождений не обнаружено.</x:v>
      </x:c>
      <x:c r="V2622" s="87" t="str">
        <x:v>VERIFIED</x:v>
      </x:c>
      <x:c r="W2622" s="87" t="str">
        <x:v>Zadanie_KhI11_27042026_.pdf (чистый скан), внутренняя стр. 9</x:v>
      </x:c>
      <x:c r="X2622" s="87"/>
      <x:c r="Y2622" s="87"/>
      <x:c r="Z2622" s="87"/>
      <x:c r="AA2622" s="87"/>
      <x:c r="AB2622" s="87"/>
      <x:c r="AC2622" s="87"/>
      <x:c r="AD2622" s="87"/>
      <x:c r="AE2622" s="87"/>
      <x:c r="AF2622" s="87"/>
      <x:c r="AG2622" s="87"/>
      <x:c r="AH2622" s="87"/>
      <x:c r="AI2622" s="30"/>
      <x:c r="AJ2622" s="87" t="str">
        <x:v>master</x:v>
      </x:c>
      <x:c r="AK2622" s="87" t="str">
        <x:v>master-v0.81</x:v>
      </x:c>
      <x:c r="AL2622" s="87" t="str">
        <x:v>statgrad_master_base_v0_81_final(2).xlsx</x:v>
      </x:c>
      <x:c r="AM2622" s="87" t="str">
        <x:v>CHEM_Apr_V3</x:v>
      </x:c>
      <x:c r="AN2622" s="87" t="n">
        <x:v>19</x:v>
      </x:c>
    </x:row>
    <x:row r="2623">
      <x:c r="A2623" s="87" t="n">
        <x:v>2622</x:v>
      </x:c>
      <x:c r="B2623" s="87" t="str">
        <x:v>APR-CHEM-V3-019</x:v>
      </x:c>
      <x:c r="C2623" s="87" t="str">
        <x:v>СтатГрад</x:v>
      </x:c>
      <x:c r="D2623" s="87" t="str">
        <x:v>Апрель 2026</x:v>
      </x:c>
      <x:c r="E2623" s="87"/>
      <x:c r="F2623" s="87"/>
      <x:c r="G2623" s="87" t="str">
        <x:v>Химия</x:v>
      </x:c>
      <x:c r="H2623" s="87" t="n">
        <x:v>11</x:v>
      </x:c>
      <x:c r="I2623" s="87" t="str">
        <x:v>ТР №5</x:v>
      </x:c>
      <x:c r="J2623" s="87" t="str">
        <x:v>ХИ2510503</x:v>
      </x:c>
      <x:c r="K2623" s="87" t="n">
        <x:v>19</x:v>
      </x:c>
      <x:c r="L2623" s="87" t="str">
        <x:v>ОВР: степени окисления</x:v>
      </x:c>
      <x:c r="M2623" s="30" t="str">
        <x:v>Соотнести три ОВР с изменением степени окисления восстановителя.</x:v>
      </x:c>
      <x:c r="N2623" s="30" t="str">
        <x:v>234</x:v>
      </x:c>
      <x:c r="O2623" s="30" t="str">
        <x:v>S: −2→+4; O в H₂O₂: −1→0; N: +4→+5.</x:v>
      </x:c>
      <x:c r="P2623" s="30" t="str">
        <x:v>S: −2→+4; O в H₂O₂: −1→0; N: +4→+5.</x:v>
      </x:c>
      <x:c r="Q2623" s="30"/>
      <x:c r="R2623" s="30" t="str">
        <x:v>Фото-сводка ответов + Zadanie_KhI11_27042026_.pdf (чистый скан) + независимое решение</x:v>
      </x:c>
      <x:c r="S2623" s="30"/>
      <x:c r="T2623" s="30"/>
      <x:c r="U2623" s="30" t="str">
        <x:v>Расхождений не обнаружено.</x:v>
      </x:c>
      <x:c r="V2623" s="87" t="str">
        <x:v>VERIFIED</x:v>
      </x:c>
      <x:c r="W2623" s="87" t="str">
        <x:v>Zadanie_KhI11_27042026_.pdf (чистый скан), внутренняя стр. 10</x:v>
      </x:c>
      <x:c r="X2623" s="87"/>
      <x:c r="Y2623" s="87"/>
      <x:c r="Z2623" s="87"/>
      <x:c r="AA2623" s="87"/>
      <x:c r="AB2623" s="87"/>
      <x:c r="AC2623" s="87"/>
      <x:c r="AD2623" s="87"/>
      <x:c r="AE2623" s="87"/>
      <x:c r="AF2623" s="87"/>
      <x:c r="AG2623" s="87"/>
      <x:c r="AH2623" s="87"/>
      <x:c r="AI2623" s="30"/>
      <x:c r="AJ2623" s="87" t="str">
        <x:v>master</x:v>
      </x:c>
      <x:c r="AK2623" s="87" t="str">
        <x:v>master-v0.81</x:v>
      </x:c>
      <x:c r="AL2623" s="87" t="str">
        <x:v>statgrad_master_base_v0_81_final(2).xlsx</x:v>
      </x:c>
      <x:c r="AM2623" s="87" t="str">
        <x:v>CHEM_Apr_V3</x:v>
      </x:c>
      <x:c r="AN2623" s="87" t="n">
        <x:v>20</x:v>
      </x:c>
    </x:row>
    <x:row r="2624">
      <x:c r="A2624" s="87" t="n">
        <x:v>2623</x:v>
      </x:c>
      <x:c r="B2624" s="87" t="str">
        <x:v>APR-CHEM-V3-020</x:v>
      </x:c>
      <x:c r="C2624" s="87" t="str">
        <x:v>СтатГрад</x:v>
      </x:c>
      <x:c r="D2624" s="87" t="str">
        <x:v>Апрель 2026</x:v>
      </x:c>
      <x:c r="E2624" s="87"/>
      <x:c r="F2624" s="87"/>
      <x:c r="G2624" s="87" t="str">
        <x:v>Химия</x:v>
      </x:c>
      <x:c r="H2624" s="87" t="n">
        <x:v>11</x:v>
      </x:c>
      <x:c r="I2624" s="87" t="str">
        <x:v>ТР №5</x:v>
      </x:c>
      <x:c r="J2624" s="87" t="str">
        <x:v>ХИ2510503</x:v>
      </x:c>
      <x:c r="K2624" s="87" t="n">
        <x:v>20</x:v>
      </x:c>
      <x:c r="L2624" s="87" t="str">
        <x:v>Электролиз</x:v>
      </x:c>
      <x:c r="M2624" s="30" t="str">
        <x:v>Соотнести KOH, F₂ и NaClO со способом электролитического получения.</x:v>
      </x:c>
      <x:c r="N2624" s="30" t="str">
        <x:v>231</x:v>
      </x:c>
      <x:c r="O2624" s="30" t="str">
        <x:v>KOH получают из раствора KCl; F₂ — из расплава KHF₂; NaClO — из холодного раствора NaCl.</x:v>
      </x:c>
      <x:c r="P2624" s="30" t="str">
        <x:v>KOH получают из раствора KCl; F₂ — из расплава KHF₂; NaClO — из холодного раствора NaCl.</x:v>
      </x:c>
      <x:c r="Q2624" s="30"/>
      <x:c r="R2624" s="30" t="str">
        <x:v>Фото-сводка ответов + Zadanie_KhI11_27042026_.pdf (чистый скан) + независимое решение</x:v>
      </x:c>
      <x:c r="S2624" s="30"/>
      <x:c r="T2624" s="30"/>
      <x:c r="U2624" s="30" t="str">
        <x:v>Расхождений не обнаружено.</x:v>
      </x:c>
      <x:c r="V2624" s="87" t="str">
        <x:v>VERIFIED</x:v>
      </x:c>
      <x:c r="W2624" s="87" t="str">
        <x:v>Zadanie_KhI11_27042026_.pdf (чистый скан), внутренняя стр. 10</x:v>
      </x:c>
      <x:c r="X2624" s="87"/>
      <x:c r="Y2624" s="87"/>
      <x:c r="Z2624" s="87"/>
      <x:c r="AA2624" s="87"/>
      <x:c r="AB2624" s="87"/>
      <x:c r="AC2624" s="87"/>
      <x:c r="AD2624" s="87"/>
      <x:c r="AE2624" s="87"/>
      <x:c r="AF2624" s="87"/>
      <x:c r="AG2624" s="87"/>
      <x:c r="AH2624" s="87"/>
      <x:c r="AI2624" s="30"/>
      <x:c r="AJ2624" s="87" t="str">
        <x:v>master</x:v>
      </x:c>
      <x:c r="AK2624" s="87" t="str">
        <x:v>master-v0.81</x:v>
      </x:c>
      <x:c r="AL2624" s="87" t="str">
        <x:v>statgrad_master_base_v0_81_final(2).xlsx</x:v>
      </x:c>
      <x:c r="AM2624" s="87" t="str">
        <x:v>CHEM_Apr_V3</x:v>
      </x:c>
      <x:c r="AN2624" s="87" t="n">
        <x:v>21</x:v>
      </x:c>
    </x:row>
    <x:row r="2625">
      <x:c r="A2625" s="87" t="n">
        <x:v>2624</x:v>
      </x:c>
      <x:c r="B2625" s="87" t="str">
        <x:v>APR-CHEM-V3-021</x:v>
      </x:c>
      <x:c r="C2625" s="87" t="str">
        <x:v>СтатГрад</x:v>
      </x:c>
      <x:c r="D2625" s="87" t="str">
        <x:v>Апрель 2026</x:v>
      </x:c>
      <x:c r="E2625" s="87"/>
      <x:c r="F2625" s="87"/>
      <x:c r="G2625" s="87" t="str">
        <x:v>Химия</x:v>
      </x:c>
      <x:c r="H2625" s="87" t="n">
        <x:v>11</x:v>
      </x:c>
      <x:c r="I2625" s="87" t="str">
        <x:v>ТР №5</x:v>
      </x:c>
      <x:c r="J2625" s="87" t="str">
        <x:v>ХИ2510503</x:v>
      </x:c>
      <x:c r="K2625" s="87" t="n">
        <x:v>21</x:v>
      </x:c>
      <x:c r="L2625" s="87" t="str">
        <x:v>pH растворов</x:v>
      </x:c>
      <x:c r="M2625" s="30" t="str">
        <x:v>Расположить NH₃, NH₄Cl, KCl, KOH по возрастанию pH при одинаковой концентрации.</x:v>
      </x:c>
      <x:c r="N2625" s="30" t="str">
        <x:v>2314</x:v>
      </x:c>
      <x:c r="O2625" s="30" t="str">
        <x:v>Кислая соль NH₄Cl &lt; нейтральный KCl &lt; слабое основание NH₃ &lt; сильная щёлочь KOH.</x:v>
      </x:c>
      <x:c r="P2625" s="30" t="str">
        <x:v>Кислая соль NH₄Cl &lt; нейтральный KCl &lt; слабое основание NH₃ &lt; сильная щёлочь KOH.</x:v>
      </x:c>
      <x:c r="Q2625" s="30"/>
      <x:c r="R2625" s="30" t="str">
        <x:v>Фото-сводка ответов + Zadanie_KhI11_27042026_.pdf (чистый скан) + независимое решение</x:v>
      </x:c>
      <x:c r="S2625" s="30"/>
      <x:c r="T2625" s="30"/>
      <x:c r="U2625" s="30" t="str">
        <x:v>Расхождений не обнаружено.</x:v>
      </x:c>
      <x:c r="V2625" s="87" t="str">
        <x:v>VERIFIED</x:v>
      </x:c>
      <x:c r="W2625" s="87" t="str">
        <x:v>Zadanie_KhI11_27042026_.pdf (чистый скан), внутренняя стр. 11</x:v>
      </x:c>
      <x:c r="X2625" s="87"/>
      <x:c r="Y2625" s="87"/>
      <x:c r="Z2625" s="87"/>
      <x:c r="AA2625" s="87"/>
      <x:c r="AB2625" s="87"/>
      <x:c r="AC2625" s="87"/>
      <x:c r="AD2625" s="87"/>
      <x:c r="AE2625" s="87"/>
      <x:c r="AF2625" s="87"/>
      <x:c r="AG2625" s="87"/>
      <x:c r="AH2625" s="87"/>
      <x:c r="AI2625" s="30"/>
      <x:c r="AJ2625" s="87" t="str">
        <x:v>master</x:v>
      </x:c>
      <x:c r="AK2625" s="87" t="str">
        <x:v>master-v0.81</x:v>
      </x:c>
      <x:c r="AL2625" s="87" t="str">
        <x:v>statgrad_master_base_v0_81_final(2).xlsx</x:v>
      </x:c>
      <x:c r="AM2625" s="87" t="str">
        <x:v>CHEM_Apr_V3</x:v>
      </x:c>
      <x:c r="AN2625" s="87" t="n">
        <x:v>22</x:v>
      </x:c>
    </x:row>
    <x:row r="2626">
      <x:c r="A2626" s="87" t="n">
        <x:v>2625</x:v>
      </x:c>
      <x:c r="B2626" s="87" t="str">
        <x:v>APR-CHEM-V3-022</x:v>
      </x:c>
      <x:c r="C2626" s="87" t="str">
        <x:v>СтатГрад</x:v>
      </x:c>
      <x:c r="D2626" s="87" t="str">
        <x:v>Апрель 2026</x:v>
      </x:c>
      <x:c r="E2626" s="87"/>
      <x:c r="F2626" s="87"/>
      <x:c r="G2626" s="87" t="str">
        <x:v>Химия</x:v>
      </x:c>
      <x:c r="H2626" s="87" t="n">
        <x:v>11</x:v>
      </x:c>
      <x:c r="I2626" s="87" t="str">
        <x:v>ТР №5</x:v>
      </x:c>
      <x:c r="J2626" s="87" t="str">
        <x:v>ХИ2510503</x:v>
      </x:c>
      <x:c r="K2626" s="87" t="n">
        <x:v>22</x:v>
      </x:c>
      <x:c r="L2626" s="87" t="str">
        <x:v>Химическое равновесие</x:v>
      </x:c>
      <x:c r="M2626" s="30" t="str">
        <x:v>Для CO₃²⁻+H₂O⇄HCO₃⁻+OH⁻−Q определить сдвиг при кислоте, соде, охлаждении и давлении.</x:v>
      </x:c>
      <x:c r="N2626" s="30" t="str">
        <x:v>1123</x:v>
      </x:c>
      <x:c r="O2626" s="30" t="str">
        <x:v>Кислота удаляет OH⁻, сода увеличивает CO₃²⁻ — сдвиг вправо; охлаждение — влево; давление над раствором почти не влияет.</x:v>
      </x:c>
      <x:c r="P2626" s="30" t="str">
        <x:v>Кислота удаляет OH⁻, сода увеличивает CO₃²⁻ — сдвиг вправо; охлаждение — влево; давление над раствором почти не влияет.</x:v>
      </x:c>
      <x:c r="Q2626" s="30"/>
      <x:c r="R2626" s="30" t="str">
        <x:v>Kriterii_KhI11_27042026_.pdf (чистый скан): таблица ответов + фото-сводка + независимая проверка</x:v>
      </x:c>
      <x:c r="S2626" s="30"/>
      <x:c r="T2626" s="30"/>
      <x:c r="U2626" s="30" t="str">
        <x:v>Расхождений не обнаружено.</x:v>
      </x:c>
      <x:c r="V2626" s="87" t="str">
        <x:v>VERIFIED</x:v>
      </x:c>
      <x:c r="W2626" s="87" t="str">
        <x:v>Zadanie_KhI11_27042026_.pdf (чистый скан), внутренняя стр. 12</x:v>
      </x:c>
      <x:c r="X2626" s="87"/>
      <x:c r="Y2626" s="87"/>
      <x:c r="Z2626" s="87"/>
      <x:c r="AA2626" s="87"/>
      <x:c r="AB2626" s="87"/>
      <x:c r="AC2626" s="87"/>
      <x:c r="AD2626" s="87"/>
      <x:c r="AE2626" s="87"/>
      <x:c r="AF2626" s="87"/>
      <x:c r="AG2626" s="87"/>
      <x:c r="AH2626" s="87"/>
      <x:c r="AI2626" s="30"/>
      <x:c r="AJ2626" s="87" t="str">
        <x:v>master</x:v>
      </x:c>
      <x:c r="AK2626" s="87" t="str">
        <x:v>master-v0.81</x:v>
      </x:c>
      <x:c r="AL2626" s="87" t="str">
        <x:v>statgrad_master_base_v0_81_final(2).xlsx</x:v>
      </x:c>
      <x:c r="AM2626" s="87" t="str">
        <x:v>CHEM_Apr_V3</x:v>
      </x:c>
      <x:c r="AN2626" s="87" t="n">
        <x:v>23</x:v>
      </x:c>
    </x:row>
    <x:row r="2627">
      <x:c r="A2627" s="87" t="n">
        <x:v>2626</x:v>
      </x:c>
      <x:c r="B2627" s="87" t="str">
        <x:v>APR-CHEM-V3-023</x:v>
      </x:c>
      <x:c r="C2627" s="87" t="str">
        <x:v>СтатГрад</x:v>
      </x:c>
      <x:c r="D2627" s="87" t="str">
        <x:v>Апрель 2026</x:v>
      </x:c>
      <x:c r="E2627" s="87"/>
      <x:c r="F2627" s="87"/>
      <x:c r="G2627" s="87" t="str">
        <x:v>Химия</x:v>
      </x:c>
      <x:c r="H2627" s="87" t="n">
        <x:v>11</x:v>
      </x:c>
      <x:c r="I2627" s="87" t="str">
        <x:v>ТР №5</x:v>
      </x:c>
      <x:c r="J2627" s="87" t="str">
        <x:v>ХИ2510503</x:v>
      </x:c>
      <x:c r="K2627" s="87" t="n">
        <x:v>23</x:v>
      </x:c>
      <x:c r="L2627" s="87" t="str">
        <x:v>Равновесные концентрации</x:v>
      </x:c>
      <x:c r="M2627" s="30" t="str">
        <x:v>Для N₂+3H₂⇄2NH₃ при [H₂]равн=[NH₃]равн=3,6 моль/л найти исходную [H₂] и равновесную [N₂].</x:v>
      </x:c>
      <x:c r="N2627" s="30" t="str">
        <x:v>6; 1</x:v>
      </x:c>
      <x:c r="O2627" s="30" t="str">
        <x:v>Образование 3,6 моль/л NH₃ соответствует расходу 5,4 H₂ и 1,8 N₂; [H₂]₀=9,0, [N₂]равн=1,2.</x:v>
      </x:c>
      <x:c r="P2627" s="30" t="str">
        <x:v>Таблица ICE даёт варианты 6 и 1.</x:v>
      </x:c>
      <x:c r="Q2627" s="30"/>
      <x:c r="R2627" s="30" t="str">
        <x:v>Фото-сводка ответов + Zadanie_KhI11_27042026_.pdf (чистый скан) + независимое решение</x:v>
      </x:c>
      <x:c r="S2627" s="30"/>
      <x:c r="T2627" s="30"/>
      <x:c r="U2627" s="30" t="str">
        <x:v>Расхождений не обнаружено.</x:v>
      </x:c>
      <x:c r="V2627" s="87" t="str">
        <x:v>VERIFIED</x:v>
      </x:c>
      <x:c r="W2627" s="87" t="str">
        <x:v>Zadanie_KhI11_27042026_.pdf (чистый скан), внутренняя стр. 12</x:v>
      </x:c>
      <x:c r="X2627" s="87"/>
      <x:c r="Y2627" s="87"/>
      <x:c r="Z2627" s="87"/>
      <x:c r="AA2627" s="87"/>
      <x:c r="AB2627" s="87"/>
      <x:c r="AC2627" s="87"/>
      <x:c r="AD2627" s="87"/>
      <x:c r="AE2627" s="87"/>
      <x:c r="AF2627" s="87"/>
      <x:c r="AG2627" s="87"/>
      <x:c r="AH2627" s="87"/>
      <x:c r="AI2627" s="30"/>
      <x:c r="AJ2627" s="87" t="str">
        <x:v>master</x:v>
      </x:c>
      <x:c r="AK2627" s="87" t="str">
        <x:v>master-v0.81</x:v>
      </x:c>
      <x:c r="AL2627" s="87" t="str">
        <x:v>statgrad_master_base_v0_81_final(2).xlsx</x:v>
      </x:c>
      <x:c r="AM2627" s="87" t="str">
        <x:v>CHEM_Apr_V3</x:v>
      </x:c>
      <x:c r="AN2627" s="87" t="n">
        <x:v>24</x:v>
      </x:c>
    </x:row>
    <x:row r="2628">
      <x:c r="A2628" s="87" t="n">
        <x:v>2627</x:v>
      </x:c>
      <x:c r="B2628" s="87" t="str">
        <x:v>APR-CHEM-V3-024</x:v>
      </x:c>
      <x:c r="C2628" s="87" t="str">
        <x:v>СтатГрад</x:v>
      </x:c>
      <x:c r="D2628" s="87" t="str">
        <x:v>Апрель 2026</x:v>
      </x:c>
      <x:c r="E2628" s="87"/>
      <x:c r="F2628" s="87"/>
      <x:c r="G2628" s="87" t="str">
        <x:v>Химия</x:v>
      </x:c>
      <x:c r="H2628" s="87" t="n">
        <x:v>11</x:v>
      </x:c>
      <x:c r="I2628" s="87" t="str">
        <x:v>ТР №5</x:v>
      </x:c>
      <x:c r="J2628" s="87" t="str">
        <x:v>ХИ2510503</x:v>
      </x:c>
      <x:c r="K2628" s="87" t="n">
        <x:v>24</x:v>
      </x:c>
      <x:c r="L2628" s="87" t="str">
        <x:v>Признаки реакций</x:v>
      </x:c>
      <x:c r="M2628" s="30" t="str">
        <x:v>Соотнести этилен+KMnO₄, этаналь+реактив Толленса, CH₃COOH+Na₂S и пропанол-2+Na с признаками.</x:v>
      </x:c>
      <x:c r="N2628" s="30" t="str">
        <x:v>1244</x:v>
      </x:c>
      <x:c r="O2628" s="30" t="str">
        <x:v>Наблюдаются обесцвечивание, осадок Ag, выделение H₂S и выделение H₂.</x:v>
      </x:c>
      <x:c r="P2628" s="30" t="str">
        <x:v>Наблюдаются обесцвечивание, осадок Ag, выделение H₂S и выделение H₂.</x:v>
      </x:c>
      <x:c r="Q2628" s="30"/>
      <x:c r="R2628" s="30" t="str">
        <x:v>Kriterii_KhI11_27042026_.pdf (чистый скан): таблица ответов + фото-сводка + независимая проверка</x:v>
      </x:c>
      <x:c r="S2628" s="30"/>
      <x:c r="T2628" s="30"/>
      <x:c r="U2628" s="30" t="str">
        <x:v>Расхождений не обнаружено.</x:v>
      </x:c>
      <x:c r="V2628" s="87" t="str">
        <x:v>VERIFIED</x:v>
      </x:c>
      <x:c r="W2628" s="87" t="str">
        <x:v>Zadanie_KhI11_27042026_.pdf (чистый скан), внутренняя стр. 13</x:v>
      </x:c>
      <x:c r="X2628" s="87"/>
      <x:c r="Y2628" s="87"/>
      <x:c r="Z2628" s="87"/>
      <x:c r="AA2628" s="87"/>
      <x:c r="AB2628" s="87"/>
      <x:c r="AC2628" s="87"/>
      <x:c r="AD2628" s="87"/>
      <x:c r="AE2628" s="87"/>
      <x:c r="AF2628" s="87"/>
      <x:c r="AG2628" s="87"/>
      <x:c r="AH2628" s="87"/>
      <x:c r="AI2628" s="30"/>
      <x:c r="AJ2628" s="87" t="str">
        <x:v>master</x:v>
      </x:c>
      <x:c r="AK2628" s="87" t="str">
        <x:v>master-v0.81</x:v>
      </x:c>
      <x:c r="AL2628" s="87" t="str">
        <x:v>statgrad_master_base_v0_81_final(2).xlsx</x:v>
      </x:c>
      <x:c r="AM2628" s="87" t="str">
        <x:v>CHEM_Apr_V3</x:v>
      </x:c>
      <x:c r="AN2628" s="87" t="n">
        <x:v>25</x:v>
      </x:c>
    </x:row>
    <x:row r="2629">
      <x:c r="A2629" s="87" t="n">
        <x:v>2628</x:v>
      </x:c>
      <x:c r="B2629" s="87" t="str">
        <x:v>APR-CHEM-V3-025</x:v>
      </x:c>
      <x:c r="C2629" s="87" t="str">
        <x:v>СтатГрад</x:v>
      </x:c>
      <x:c r="D2629" s="87" t="str">
        <x:v>Апрель 2026</x:v>
      </x:c>
      <x:c r="E2629" s="87"/>
      <x:c r="F2629" s="87"/>
      <x:c r="G2629" s="87" t="str">
        <x:v>Химия</x:v>
      </x:c>
      <x:c r="H2629" s="87" t="n">
        <x:v>11</x:v>
      </x:c>
      <x:c r="I2629" s="87" t="str">
        <x:v>ТР №5</x:v>
      </x:c>
      <x:c r="J2629" s="87" t="str">
        <x:v>ХИ2510503</x:v>
      </x:c>
      <x:c r="K2629" s="87" t="n">
        <x:v>25</x:v>
      </x:c>
      <x:c r="L2629" s="87" t="str">
        <x:v>Применение веществ</x:v>
      </x:c>
      <x:c r="M2629" s="30" t="str">
        <x:v>Соотнести NaOH, HNO₃ и формальдегид с применением.</x:v>
      </x:c>
      <x:c r="N2629" s="30" t="str">
        <x:v>431</x:v>
      </x:c>
      <x:c r="O2629" s="30" t="str">
        <x:v>NaOH используют для омыления жиров, HNO₃ — при производстве взрывчатых веществ, формальдегид — смол.</x:v>
      </x:c>
      <x:c r="P2629" s="30" t="str">
        <x:v>NaOH используют для омыления жиров, HNO₃ — при производстве взрывчатых веществ, формальдегид — смол.</x:v>
      </x:c>
      <x:c r="Q2629" s="30"/>
      <x:c r="R2629" s="30" t="str">
        <x:v>Фото-сводка ответов + Zadanie_KhI11_27042026_.pdf (чистый скан) + независимое решение</x:v>
      </x:c>
      <x:c r="S2629" s="30"/>
      <x:c r="T2629" s="30"/>
      <x:c r="U2629" s="30" t="str">
        <x:v>Расхождений не обнаружено.</x:v>
      </x:c>
      <x:c r="V2629" s="87" t="str">
        <x:v>VERIFIED</x:v>
      </x:c>
      <x:c r="W2629" s="87" t="str">
        <x:v>Zadanie_KhI11_27042026_.pdf (чистый скан), внутренняя стр. 13</x:v>
      </x:c>
      <x:c r="X2629" s="87"/>
      <x:c r="Y2629" s="87"/>
      <x:c r="Z2629" s="87"/>
      <x:c r="AA2629" s="87"/>
      <x:c r="AB2629" s="87"/>
      <x:c r="AC2629" s="87"/>
      <x:c r="AD2629" s="87"/>
      <x:c r="AE2629" s="87"/>
      <x:c r="AF2629" s="87"/>
      <x:c r="AG2629" s="87"/>
      <x:c r="AH2629" s="87"/>
      <x:c r="AI2629" s="30"/>
      <x:c r="AJ2629" s="87" t="str">
        <x:v>master</x:v>
      </x:c>
      <x:c r="AK2629" s="87" t="str">
        <x:v>master-v0.81</x:v>
      </x:c>
      <x:c r="AL2629" s="87" t="str">
        <x:v>statgrad_master_base_v0_81_final(2).xlsx</x:v>
      </x:c>
      <x:c r="AM2629" s="87" t="str">
        <x:v>CHEM_Apr_V3</x:v>
      </x:c>
      <x:c r="AN2629" s="87" t="n">
        <x:v>26</x:v>
      </x:c>
    </x:row>
    <x:row r="2630">
      <x:c r="A2630" s="87" t="n">
        <x:v>2629</x:v>
      </x:c>
      <x:c r="B2630" s="87" t="str">
        <x:v>APR-CHEM-V3-026</x:v>
      </x:c>
      <x:c r="C2630" s="87" t="str">
        <x:v>СтатГрад</x:v>
      </x:c>
      <x:c r="D2630" s="87" t="str">
        <x:v>Апрель 2026</x:v>
      </x:c>
      <x:c r="E2630" s="87"/>
      <x:c r="F2630" s="87"/>
      <x:c r="G2630" s="87" t="str">
        <x:v>Химия</x:v>
      </x:c>
      <x:c r="H2630" s="87" t="n">
        <x:v>11</x:v>
      </x:c>
      <x:c r="I2630" s="87" t="str">
        <x:v>ТР №5</x:v>
      </x:c>
      <x:c r="J2630" s="87" t="str">
        <x:v>ХИ2510503</x:v>
      </x:c>
      <x:c r="K2630" s="87" t="n">
        <x:v>26</x:v>
      </x:c>
      <x:c r="L2630" s="87" t="str">
        <x:v>Растворы: молярная концентрация</x:v>
      </x:c>
      <x:c r="M2630" s="30" t="str">
        <x:v>Из 2 М H₂SO₄ приготовить 294 г 10%-го раствора; найти объём исходного раствора.</x:v>
      </x:c>
      <x:c r="N2630" s="30" t="str">
        <x:v>150</x:v>
      </x:c>
      <x:c r="O2630" s="30" t="str">
        <x:v>m(H₂SO₄)=29,4 г, n=0,3 моль; V=n/C=0,15 л=150 мл.</x:v>
      </x:c>
      <x:c r="P2630" s="30" t="str">
        <x:v>m(H₂SO₄)=29,4 г, n=0,3 моль; V=n/C=0,15 л=150 мл.</x:v>
      </x:c>
      <x:c r="Q2630" s="30"/>
      <x:c r="R2630" s="30" t="str">
        <x:v>Фото-сводка ответов + Zadanie_KhI11_27042026_.pdf (чистый скан) + независимое решение</x:v>
      </x:c>
      <x:c r="S2630" s="30"/>
      <x:c r="T2630" s="30"/>
      <x:c r="U2630" s="30" t="str">
        <x:v>Расхождений не обнаружено.</x:v>
      </x:c>
      <x:c r="V2630" s="87" t="str">
        <x:v>VERIFIED</x:v>
      </x:c>
      <x:c r="W2630" s="87" t="str">
        <x:v>Zadanie_KhI11_27042026_.pdf (чистый скан), внутренняя стр. 14</x:v>
      </x:c>
      <x:c r="X2630" s="87"/>
      <x:c r="Y2630" s="87"/>
      <x:c r="Z2630" s="87"/>
      <x:c r="AA2630" s="87"/>
      <x:c r="AB2630" s="87"/>
      <x:c r="AC2630" s="87"/>
      <x:c r="AD2630" s="87"/>
      <x:c r="AE2630" s="87"/>
      <x:c r="AF2630" s="87"/>
      <x:c r="AG2630" s="87"/>
      <x:c r="AH2630" s="87"/>
      <x:c r="AI2630" s="30"/>
      <x:c r="AJ2630" s="87" t="str">
        <x:v>master</x:v>
      </x:c>
      <x:c r="AK2630" s="87" t="str">
        <x:v>master-v0.81</x:v>
      </x:c>
      <x:c r="AL2630" s="87" t="str">
        <x:v>statgrad_master_base_v0_81_final(2).xlsx</x:v>
      </x:c>
      <x:c r="AM2630" s="87" t="str">
        <x:v>CHEM_Apr_V3</x:v>
      </x:c>
      <x:c r="AN2630" s="87" t="n">
        <x:v>27</x:v>
      </x:c>
    </x:row>
    <x:row r="2631">
      <x:c r="A2631" s="87" t="n">
        <x:v>2630</x:v>
      </x:c>
      <x:c r="B2631" s="87" t="str">
        <x:v>APR-CHEM-V3-027</x:v>
      </x:c>
      <x:c r="C2631" s="87" t="str">
        <x:v>СтатГрад</x:v>
      </x:c>
      <x:c r="D2631" s="87" t="str">
        <x:v>Апрель 2026</x:v>
      </x:c>
      <x:c r="E2631" s="87"/>
      <x:c r="F2631" s="87"/>
      <x:c r="G2631" s="87" t="str">
        <x:v>Химия</x:v>
      </x:c>
      <x:c r="H2631" s="87" t="n">
        <x:v>11</x:v>
      </x:c>
      <x:c r="I2631" s="87" t="str">
        <x:v>ТР №5</x:v>
      </x:c>
      <x:c r="J2631" s="87" t="str">
        <x:v>ХИ2510503</x:v>
      </x:c>
      <x:c r="K2631" s="87" t="n">
        <x:v>27</x:v>
      </x:c>
      <x:c r="L2631" s="87" t="str">
        <x:v>Термохимия</x:v>
      </x:c>
      <x:c r="M2631" s="30" t="str">
        <x:v>По 2Ag₂O→4Ag+O₂−62 кДж при поглощении 310 Дж найти массу Ag.</x:v>
      </x:c>
      <x:c r="N2631" s="30" t="str">
        <x:v>2,16</x:v>
      </x:c>
      <x:c r="O2631" s="30" t="str">
        <x:v>310/62000=0,005 моль стехиометрического акта; n(Ag)=0,02 моль; m=2,16 г.</x:v>
      </x:c>
      <x:c r="P2631" s="30" t="str">
        <x:v>310/62000=0,005 моль стехиометрического акта; n(Ag)=0,02 моль; m=2,16 г.</x:v>
      </x:c>
      <x:c r="Q2631" s="30"/>
      <x:c r="R2631" s="30" t="str">
        <x:v>Фото-сводка ответов + Zadanie_KhI11_27042026_.pdf (чистый скан) + независимое решение</x:v>
      </x:c>
      <x:c r="S2631" s="30"/>
      <x:c r="T2631" s="30"/>
      <x:c r="U2631" s="30" t="str">
        <x:v>Расхождений не обнаружено.</x:v>
      </x:c>
      <x:c r="V2631" s="87" t="str">
        <x:v>VERIFIED</x:v>
      </x:c>
      <x:c r="W2631" s="87" t="str">
        <x:v>Zadanie_KhI11_27042026_.pdf (чистый скан), внутренняя стр. 14</x:v>
      </x:c>
      <x:c r="X2631" s="87"/>
      <x:c r="Y2631" s="87"/>
      <x:c r="Z2631" s="87"/>
      <x:c r="AA2631" s="87"/>
      <x:c r="AB2631" s="87"/>
      <x:c r="AC2631" s="87"/>
      <x:c r="AD2631" s="87"/>
      <x:c r="AE2631" s="87"/>
      <x:c r="AF2631" s="87"/>
      <x:c r="AG2631" s="87"/>
      <x:c r="AH2631" s="87"/>
      <x:c r="AI2631" s="30"/>
      <x:c r="AJ2631" s="87" t="str">
        <x:v>master</x:v>
      </x:c>
      <x:c r="AK2631" s="87" t="str">
        <x:v>master-v0.81</x:v>
      </x:c>
      <x:c r="AL2631" s="87" t="str">
        <x:v>statgrad_master_base_v0_81_final(2).xlsx</x:v>
      </x:c>
      <x:c r="AM2631" s="87" t="str">
        <x:v>CHEM_Apr_V3</x:v>
      </x:c>
      <x:c r="AN2631" s="87" t="n">
        <x:v>28</x:v>
      </x:c>
    </x:row>
    <x:row r="2632">
      <x:c r="A2632" s="87" t="n">
        <x:v>2631</x:v>
      </x:c>
      <x:c r="B2632" s="87" t="str">
        <x:v>APR-CHEM-V3-028</x:v>
      </x:c>
      <x:c r="C2632" s="87" t="str">
        <x:v>СтатГрад</x:v>
      </x:c>
      <x:c r="D2632" s="87" t="str">
        <x:v>Апрель 2026</x:v>
      </x:c>
      <x:c r="E2632" s="87"/>
      <x:c r="F2632" s="87"/>
      <x:c r="G2632" s="87" t="str">
        <x:v>Химия</x:v>
      </x:c>
      <x:c r="H2632" s="87" t="n">
        <x:v>11</x:v>
      </x:c>
      <x:c r="I2632" s="87" t="str">
        <x:v>ТР №5</x:v>
      </x:c>
      <x:c r="J2632" s="87" t="str">
        <x:v>ХИ2510503</x:v>
      </x:c>
      <x:c r="K2632" s="87" t="n">
        <x:v>28</x:v>
      </x:c>
      <x:c r="L2632" s="87" t="str">
        <x:v>Выход продукта</x:v>
      </x:c>
      <x:c r="M2632" s="30" t="str">
        <x:v>Из 33,6 л этилена получить этиленоксид с выходом 95%; найти массу.</x:v>
      </x:c>
      <x:c r="N2632" s="30" t="str">
        <x:v>62,7</x:v>
      </x:c>
      <x:c r="O2632" s="30" t="str">
        <x:v>n(C₂H₄)=1,5 моль; mтеор(C₂H₄O)=1,5·44=66 г; m=62,7 г.</x:v>
      </x:c>
      <x:c r="P2632" s="30" t="str">
        <x:v>n(C₂H₄)=1,5 моль; mтеор(C₂H₄O)=1,5·44=66 г; m=62,7 г.</x:v>
      </x:c>
      <x:c r="Q2632" s="30"/>
      <x:c r="R2632" s="30" t="str">
        <x:v>Фото-сводка ответов + Zadanie_KhI11_27042026_.pdf (чистый скан) + независимое решение</x:v>
      </x:c>
      <x:c r="S2632" s="30"/>
      <x:c r="T2632" s="30"/>
      <x:c r="U2632" s="30" t="str">
        <x:v>Расхождений не обнаружено.</x:v>
      </x:c>
      <x:c r="V2632" s="87" t="str">
        <x:v>VERIFIED</x:v>
      </x:c>
      <x:c r="W2632" s="87" t="str">
        <x:v>Zadanie_KhI11_27042026_.pdf (чистый скан), внутренняя стр. 14</x:v>
      </x:c>
      <x:c r="X2632" s="87"/>
      <x:c r="Y2632" s="87"/>
      <x:c r="Z2632" s="87"/>
      <x:c r="AA2632" s="87"/>
      <x:c r="AB2632" s="87"/>
      <x:c r="AC2632" s="87"/>
      <x:c r="AD2632" s="87"/>
      <x:c r="AE2632" s="87"/>
      <x:c r="AF2632" s="87"/>
      <x:c r="AG2632" s="87"/>
      <x:c r="AH2632" s="87"/>
      <x:c r="AI2632" s="30"/>
      <x:c r="AJ2632" s="87" t="str">
        <x:v>master</x:v>
      </x:c>
      <x:c r="AK2632" s="87" t="str">
        <x:v>master-v0.81</x:v>
      </x:c>
      <x:c r="AL2632" s="87" t="str">
        <x:v>statgrad_master_base_v0_81_final(2).xlsx</x:v>
      </x:c>
      <x:c r="AM2632" s="87" t="str">
        <x:v>CHEM_Apr_V3</x:v>
      </x:c>
      <x:c r="AN2632" s="87" t="n">
        <x:v>29</x:v>
      </x:c>
    </x:row>
    <x:row r="2633">
      <x:c r="A2633" s="87" t="n">
        <x:v>2632</x:v>
      </x:c>
      <x:c r="B2633" s="87" t="str">
        <x:v>APR-CHEM-V3-029</x:v>
      </x:c>
      <x:c r="C2633" s="87" t="str">
        <x:v>СтатГрад</x:v>
      </x:c>
      <x:c r="D2633" s="87" t="str">
        <x:v>Апрель 2026</x:v>
      </x:c>
      <x:c r="E2633" s="87"/>
      <x:c r="F2633" s="87"/>
      <x:c r="G2633" s="87" t="str">
        <x:v>Химия</x:v>
      </x:c>
      <x:c r="H2633" s="87" t="n">
        <x:v>11</x:v>
      </x:c>
      <x:c r="I2633" s="87" t="str">
        <x:v>ТР №5</x:v>
      </x:c>
      <x:c r="J2633" s="87" t="str">
        <x:v>ХИ2510503</x:v>
      </x:c>
      <x:c r="K2633" s="87" t="n">
        <x:v>29</x:v>
      </x:c>
      <x:c r="L2633" s="87" t="str">
        <x:v>Развёрнутый ответ: ОВР</x:v>
      </x:c>
      <x:c r="M2633" s="30" t="str">
        <x:v>Из CaSO₃, MgSO₄, HBr, H₃PO₄, K₂CrO₄ и Ag выбрать окислитель/восстановитель; реакция должна сопровождаться изменением цвета.</x:v>
      </x:c>
      <x:c r="N2633" s="30" t="str">
        <x:v>2K₂CrO₄ + 16HBr → 2CrBr₃ + 3Br₂ + 4KBr + 8H₂O.
Баланс: Cr(+6)+3e⁻→Cr(+3) (×2); 2Br⁻−2e⁻→Br₂ (×3).
Окислитель K₂CrO₄, восстановитель HBr.</x:v>
      </x:c>
      <x:c r="O2633" s="30" t="str">
        <x:v>Хромат(VI) восстанавливается до Cr(III), а Br⁻ окисляется до Br₂.</x:v>
      </x:c>
      <x:c r="P2633" s="30" t="str">
        <x:v>Уравнение атомно и зарядово сбалансировано; электронный баланс проверен отдельно.</x:v>
      </x:c>
      <x:c r="Q2633" s="30"/>
      <x:c r="R2633" s="30" t="str">
        <x:v>Kriterii_KhI11_27042026_.pdf (чистый скан) + независимая проверка</x:v>
      </x:c>
      <x:c r="S2633" s="30"/>
      <x:c r="T2633" s="30"/>
      <x:c r="U2633" s="30" t="str">
        <x:v>В официальном критерии полуреакция Br⁻/Br₂ напечатана в обратную сторону; итоговое ОВР и роли веществ при этом указаны верно.</x:v>
      </x:c>
      <x:c r="V2633" s="87" t="str">
        <x:v>KEY_MISMATCH</x:v>
      </x:c>
      <x:c r="W2633" s="87" t="str">
        <x:v>Zadanie_KhI11_27042026_.pdf (чистый скан), внутренняя стр. 15</x:v>
      </x:c>
      <x:c r="X2633" s="87"/>
      <x:c r="Y2633" s="87"/>
      <x:c r="Z2633" s="87"/>
      <x:c r="AA2633" s="87"/>
      <x:c r="AB2633" s="87"/>
      <x:c r="AC2633" s="87"/>
      <x:c r="AD2633" s="87"/>
      <x:c r="AE2633" s="87"/>
      <x:c r="AF2633" s="87"/>
      <x:c r="AG2633" s="87"/>
      <x:c r="AH2633" s="87"/>
      <x:c r="AI2633" s="30"/>
      <x:c r="AJ2633" s="87" t="str">
        <x:v>master</x:v>
      </x:c>
      <x:c r="AK2633" s="87" t="str">
        <x:v>master-v0.81</x:v>
      </x:c>
      <x:c r="AL2633" s="87" t="str">
        <x:v>statgrad_master_base_v0_81_final(2).xlsx</x:v>
      </x:c>
      <x:c r="AM2633" s="87" t="str">
        <x:v>CHEM_Apr_V3</x:v>
      </x:c>
      <x:c r="AN2633" s="87" t="n">
        <x:v>30</x:v>
      </x:c>
    </x:row>
    <x:row r="2634">
      <x:c r="A2634" s="87" t="n">
        <x:v>2633</x:v>
      </x:c>
      <x:c r="B2634" s="87" t="str">
        <x:v>APR-CHEM-V3-030</x:v>
      </x:c>
      <x:c r="C2634" s="87" t="str">
        <x:v>СтатГрад</x:v>
      </x:c>
      <x:c r="D2634" s="87" t="str">
        <x:v>Апрель 2026</x:v>
      </x:c>
      <x:c r="E2634" s="87"/>
      <x:c r="F2634" s="87"/>
      <x:c r="G2634" s="87" t="str">
        <x:v>Химия</x:v>
      </x:c>
      <x:c r="H2634" s="87" t="n">
        <x:v>11</x:v>
      </x:c>
      <x:c r="I2634" s="87" t="str">
        <x:v>ТР №5</x:v>
      </x:c>
      <x:c r="J2634" s="87" t="str">
        <x:v>ХИ2510503</x:v>
      </x:c>
      <x:c r="K2634" s="87" t="n">
        <x:v>30</x:v>
      </x:c>
      <x:c r="L2634" s="87" t="str">
        <x:v>Развёрнутый ответ: ионный обмен</x:v>
      </x:c>
      <x:c r="M2634" s="30" t="str">
        <x:v>Из перечня CaSO₃, MgSO₄, HBr, H₃PO₄, K₂CrO₄, Ag выбрать реакцию ионного обмена с выделением газа.</x:v>
      </x:c>
      <x:c r="N2634" s="30" t="str">
        <x:v>CaSO₃+2HBr→CaBr₂+SO₂↑+H₂O.
Полное ионное: CaSO₃(т)+2H⁺+2Br⁻→Ca²⁺+2Br⁻+SO₂↑+H₂O.
Сокращённое: CaSO₃(т)+2H⁺→Ca²⁺+SO₂↑+H₂O.</x:v>
      </x:c>
      <x:c r="O2634" s="30" t="str">
        <x:v>Сульфит кальция в кислой среде выделяет SO₂.</x:v>
      </x:c>
      <x:c r="P2634" s="30" t="str">
        <x:v>Уравнения сверены с чистым сканом критериев ХИ2510503.</x:v>
      </x:c>
      <x:c r="Q2634" s="30"/>
      <x:c r="R2634" s="30" t="str">
        <x:v>Kriterii_KhI11_27042026_.pdf (чистый скан) + независимая проверка</x:v>
      </x:c>
      <x:c r="S2634" s="30"/>
      <x:c r="T2634" s="30"/>
      <x:c r="U2634" s="30" t="str">
        <x:v>Расхождений не обнаружено.</x:v>
      </x:c>
      <x:c r="V2634" s="87" t="str">
        <x:v>VERIFIED</x:v>
      </x:c>
      <x:c r="W2634" s="87" t="str">
        <x:v>Zadanie_KhI11_27042026_.pdf (чистый скан), внутренняя стр. 15</x:v>
      </x:c>
      <x:c r="X2634" s="87"/>
      <x:c r="Y2634" s="87"/>
      <x:c r="Z2634" s="87"/>
      <x:c r="AA2634" s="87"/>
      <x:c r="AB2634" s="87"/>
      <x:c r="AC2634" s="87"/>
      <x:c r="AD2634" s="87"/>
      <x:c r="AE2634" s="87"/>
      <x:c r="AF2634" s="87"/>
      <x:c r="AG2634" s="87"/>
      <x:c r="AH2634" s="87"/>
      <x:c r="AI2634" s="30"/>
      <x:c r="AJ2634" s="87" t="str">
        <x:v>master</x:v>
      </x:c>
      <x:c r="AK2634" s="87" t="str">
        <x:v>master-v0.81</x:v>
      </x:c>
      <x:c r="AL2634" s="87" t="str">
        <x:v>statgrad_master_base_v0_81_final(2).xlsx</x:v>
      </x:c>
      <x:c r="AM2634" s="87" t="str">
        <x:v>CHEM_Apr_V3</x:v>
      </x:c>
      <x:c r="AN2634" s="87" t="n">
        <x:v>31</x:v>
      </x:c>
    </x:row>
    <x:row r="2635">
      <x:c r="A2635" s="87" t="n">
        <x:v>2634</x:v>
      </x:c>
      <x:c r="B2635" s="87" t="str">
        <x:v>APR-CHEM-V3-031</x:v>
      </x:c>
      <x:c r="C2635" s="87" t="str">
        <x:v>СтатГрад</x:v>
      </x:c>
      <x:c r="D2635" s="87" t="str">
        <x:v>Апрель 2026</x:v>
      </x:c>
      <x:c r="E2635" s="87"/>
      <x:c r="F2635" s="87"/>
      <x:c r="G2635" s="87" t="str">
        <x:v>Химия</x:v>
      </x:c>
      <x:c r="H2635" s="87" t="n">
        <x:v>11</x:v>
      </x:c>
      <x:c r="I2635" s="87" t="str">
        <x:v>ТР №5</x:v>
      </x:c>
      <x:c r="J2635" s="87" t="str">
        <x:v>ХИ2510503</x:v>
      </x:c>
      <x:c r="K2635" s="87" t="n">
        <x:v>31</x:v>
      </x:c>
      <x:c r="L2635" s="87" t="str">
        <x:v>Развёрнутый ответ: неорганическая цепочка</x:v>
      </x:c>
      <x:c r="M2635" s="30" t="str">
        <x:v>Fe₂O₃ сплавляют с KOH/KNO₃; затем BaCl₂, концентрированная HCl и холодная известковая вода.</x:v>
      </x:c>
      <x:c r="N2635" s="30" t="str">
        <x:v>1) Fe₂O₃+3KNO₃+4KOH→2K₂FeO₄+3KNO₂+2H₂O.
2) BaCl₂+K₂FeO₄→BaFeO₄↓+2KCl.
3) 2BaFeO₄+16HCl→2BaCl₂+2FeCl₃+3Cl₂↑+8H₂O.
4) Cl₂+Ca(OH)₂→CaOCl₂+H₂O.</x:v>
      </x:c>
      <x:c r="O2635" s="30" t="str">
        <x:v>Последовательно образуются феррат калия, феррат бария, хлор и хлорная известь.</x:v>
      </x:c>
      <x:c r="P2635" s="30" t="str">
        <x:v>Все четыре уравнения проверены по атомному и электронному балансу.</x:v>
      </x:c>
      <x:c r="Q2635" s="30"/>
      <x:c r="R2635" s="30" t="str">
        <x:v>Kriterii_KhI11_27042026_.pdf (чистый скан) + независимая проверка</x:v>
      </x:c>
      <x:c r="S2635" s="30"/>
      <x:c r="T2635" s="30"/>
      <x:c r="U2635" s="30" t="str">
        <x:v>Расхождений не обнаружено.</x:v>
      </x:c>
      <x:c r="V2635" s="87" t="str">
        <x:v>VERIFIED</x:v>
      </x:c>
      <x:c r="W2635" s="87" t="str">
        <x:v>Zadanie_KhI11_27042026_.pdf (чистый скан), внутренняя стр. 15</x:v>
      </x:c>
      <x:c r="X2635" s="87"/>
      <x:c r="Y2635" s="87"/>
      <x:c r="Z2635" s="87"/>
      <x:c r="AA2635" s="87"/>
      <x:c r="AB2635" s="87"/>
      <x:c r="AC2635" s="87"/>
      <x:c r="AD2635" s="87"/>
      <x:c r="AE2635" s="87"/>
      <x:c r="AF2635" s="87"/>
      <x:c r="AG2635" s="87"/>
      <x:c r="AH2635" s="87"/>
      <x:c r="AI2635" s="30"/>
      <x:c r="AJ2635" s="87" t="str">
        <x:v>master</x:v>
      </x:c>
      <x:c r="AK2635" s="87" t="str">
        <x:v>master-v0.81</x:v>
      </x:c>
      <x:c r="AL2635" s="87" t="str">
        <x:v>statgrad_master_base_v0_81_final(2).xlsx</x:v>
      </x:c>
      <x:c r="AM2635" s="87" t="str">
        <x:v>CHEM_Apr_V3</x:v>
      </x:c>
      <x:c r="AN2635" s="87" t="n">
        <x:v>32</x:v>
      </x:c>
    </x:row>
    <x:row r="2636">
      <x:c r="A2636" s="87" t="n">
        <x:v>2635</x:v>
      </x:c>
      <x:c r="B2636" s="87" t="str">
        <x:v>APR-CHEM-V3-032</x:v>
      </x:c>
      <x:c r="C2636" s="87" t="str">
        <x:v>СтатГрад</x:v>
      </x:c>
      <x:c r="D2636" s="87" t="str">
        <x:v>Апрель 2026</x:v>
      </x:c>
      <x:c r="E2636" s="87"/>
      <x:c r="F2636" s="87"/>
      <x:c r="G2636" s="87" t="str">
        <x:v>Химия</x:v>
      </x:c>
      <x:c r="H2636" s="87" t="n">
        <x:v>11</x:v>
      </x:c>
      <x:c r="I2636" s="87" t="str">
        <x:v>ТР №5</x:v>
      </x:c>
      <x:c r="J2636" s="87" t="str">
        <x:v>ХИ2510503</x:v>
      </x:c>
      <x:c r="K2636" s="87" t="n">
        <x:v>32</x:v>
      </x:c>
      <x:c r="L2636" s="87" t="str">
        <x:v>Развёрнутый ответ: органическая цепочка</x:v>
      </x:c>
      <x:c r="M2636" s="30" t="str">
        <x:v>Ацетат калия → X₁ → C₂H₅Cl → этилбензол → X₂ → полимер.</x:v>
      </x:c>
      <x:c r="N2636" s="30" t="str">
        <x:v>1) 2CH₃COOK+2H₂O→C₂H₆+2CO₂+H₂+2KOH (электролиз); X₁=C₂H₆.
2) C₂H₆+Cl₂→C₂H₅Cl+HCl (hν).
3) C₂H₅Cl+C₆H₆→C₆H₅C₂H₅+HCl (AlCl₃).
4) C₆H₅C₂H₅→C₆H₅CH=CH₂+H₂ (Ni, t); X₂=стирол.
5) nC₆H₅CH=CH₂→[–CH(C₆H₅)–CH₂–]ₙ.</x:v>
      </x:c>
      <x:c r="O2636" s="30" t="str">
        <x:v>X₁ — этан (электролиз Кольбе), X₂ — стирол; полимер — полистирол.</x:v>
      </x:c>
      <x:c r="P2636" s="30" t="str">
        <x:v>X₁ — этан (электролиз Кольбе), X₂ — стирол; полимер — полистирол.</x:v>
      </x:c>
      <x:c r="Q2636" s="30"/>
      <x:c r="R2636" s="30" t="str">
        <x:v>Kriterii_KhI11_27042026_.pdf (чистый скан) + независимая проверка</x:v>
      </x:c>
      <x:c r="S2636" s="30"/>
      <x:c r="T2636" s="30"/>
      <x:c r="U2636" s="30" t="str">
        <x:v>Расхождений не обнаружено.</x:v>
      </x:c>
      <x:c r="V2636" s="87" t="str">
        <x:v>VERIFIED</x:v>
      </x:c>
      <x:c r="W2636" s="87" t="str">
        <x:v>Zadanie_KhI11_27042026_.pdf (чистый скан), внутренняя стр. 15</x:v>
      </x:c>
      <x:c r="X2636" s="87"/>
      <x:c r="Y2636" s="87"/>
      <x:c r="Z2636" s="87"/>
      <x:c r="AA2636" s="87"/>
      <x:c r="AB2636" s="87"/>
      <x:c r="AC2636" s="87"/>
      <x:c r="AD2636" s="87"/>
      <x:c r="AE2636" s="87"/>
      <x:c r="AF2636" s="87"/>
      <x:c r="AG2636" s="87"/>
      <x:c r="AH2636" s="87"/>
      <x:c r="AI2636" s="30"/>
      <x:c r="AJ2636" s="87" t="str">
        <x:v>master</x:v>
      </x:c>
      <x:c r="AK2636" s="87" t="str">
        <x:v>master-v0.81</x:v>
      </x:c>
      <x:c r="AL2636" s="87" t="str">
        <x:v>statgrad_master_base_v0_81_final(2).xlsx</x:v>
      </x:c>
      <x:c r="AM2636" s="87" t="str">
        <x:v>CHEM_Apr_V3</x:v>
      </x:c>
      <x:c r="AN2636" s="87" t="n">
        <x:v>33</x:v>
      </x:c>
    </x:row>
    <x:row r="2637">
      <x:c r="A2637" s="87" t="n">
        <x:v>2636</x:v>
      </x:c>
      <x:c r="B2637" s="87" t="str">
        <x:v>APR-CHEM-V3-033</x:v>
      </x:c>
      <x:c r="C2637" s="87" t="str">
        <x:v>СтатГрад</x:v>
      </x:c>
      <x:c r="D2637" s="87" t="str">
        <x:v>Апрель 2026</x:v>
      </x:c>
      <x:c r="E2637" s="87"/>
      <x:c r="F2637" s="87"/>
      <x:c r="G2637" s="87" t="str">
        <x:v>Химия</x:v>
      </x:c>
      <x:c r="H2637" s="87" t="n">
        <x:v>11</x:v>
      </x:c>
      <x:c r="I2637" s="87" t="str">
        <x:v>ТР №5</x:v>
      </x:c>
      <x:c r="J2637" s="87" t="str">
        <x:v>ХИ2510503</x:v>
      </x:c>
      <x:c r="K2637" s="87" t="n">
        <x:v>33</x:v>
      </x:c>
      <x:c r="L2637" s="87" t="str">
        <x:v>Развёрнутый ответ: установление формулы</x:v>
      </x:c>
      <x:c r="M2637" s="30" t="str">
        <x:v>По продуктам сгорания 3,20 г вещества с бензольным кольцом установить формулу, структуру и гидролиз.</x:v>
      </x:c>
      <x:c r="N2637" s="30" t="str">
        <x:v>n(C)=0,20; n(H)=0,10; n(N)=0,05 моль; простейшее отношение 4:2:1.
С учётом бензольного кольца формула C₈H₄N₂; структура — 1,4-дицианобензол.
p-C₆H₄(CN)₂+4H₂O+2HCl→p-C₆H₄(COOH)₂+2NH₄Cl.</x:v>
      </x:c>
      <x:c r="O2637" s="30" t="str">
        <x:v>Эмпирическая формула C₄H₂N удваивается; максимальное удаление групп задаёт пара-изомер.</x:v>
      </x:c>
      <x:c r="P2637" s="30" t="str">
        <x:v>Эмпирическая формула C₄H₂N удваивается; максимальное удаление групп задаёт пара-изомер.</x:v>
      </x:c>
      <x:c r="Q2637" s="30"/>
      <x:c r="R2637" s="30" t="str">
        <x:v>Kriterii_KhI11_27042026_.pdf (чистый скан) + независимая проверка</x:v>
      </x:c>
      <x:c r="S2637" s="30"/>
      <x:c r="T2637" s="30"/>
      <x:c r="U2637" s="30" t="str">
        <x:v>Расхождений не обнаружено.</x:v>
      </x:c>
      <x:c r="V2637" s="87" t="str">
        <x:v>VERIFIED</x:v>
      </x:c>
      <x:c r="W2637" s="87" t="str">
        <x:v>Zadanie_KhI11_27042026_.pdf (чистый скан), внутренняя стр. 16</x:v>
      </x:c>
      <x:c r="X2637" s="87"/>
      <x:c r="Y2637" s="87"/>
      <x:c r="Z2637" s="87"/>
      <x:c r="AA2637" s="87"/>
      <x:c r="AB2637" s="87"/>
      <x:c r="AC2637" s="87"/>
      <x:c r="AD2637" s="87"/>
      <x:c r="AE2637" s="87"/>
      <x:c r="AF2637" s="87"/>
      <x:c r="AG2637" s="87"/>
      <x:c r="AH2637" s="87"/>
      <x:c r="AI2637" s="30"/>
      <x:c r="AJ2637" s="87" t="str">
        <x:v>master</x:v>
      </x:c>
      <x:c r="AK2637" s="87" t="str">
        <x:v>master-v0.81</x:v>
      </x:c>
      <x:c r="AL2637" s="87" t="str">
        <x:v>statgrad_master_base_v0_81_final(2).xlsx</x:v>
      </x:c>
      <x:c r="AM2637" s="87" t="str">
        <x:v>CHEM_Apr_V3</x:v>
      </x:c>
      <x:c r="AN2637" s="87" t="n">
        <x:v>34</x:v>
      </x:c>
    </x:row>
    <x:row r="2638">
      <x:c r="A2638" s="87" t="n">
        <x:v>2637</x:v>
      </x:c>
      <x:c r="B2638" s="87" t="str">
        <x:v>APR-CHEM-V3-034</x:v>
      </x:c>
      <x:c r="C2638" s="87" t="str">
        <x:v>СтатГрад</x:v>
      </x:c>
      <x:c r="D2638" s="87" t="str">
        <x:v>Апрель 2026</x:v>
      </x:c>
      <x:c r="E2638" s="87"/>
      <x:c r="F2638" s="87"/>
      <x:c r="G2638" s="87" t="str">
        <x:v>Химия</x:v>
      </x:c>
      <x:c r="H2638" s="87" t="n">
        <x:v>11</x:v>
      </x:c>
      <x:c r="I2638" s="87" t="str">
        <x:v>ТР №5</x:v>
      </x:c>
      <x:c r="J2638" s="87" t="str">
        <x:v>ХИ2510503</x:v>
      </x:c>
      <x:c r="K2638" s="87" t="n">
        <x:v>34</x:v>
      </x:c>
      <x:c r="L2638" s="87" t="str">
        <x:v>Развёрнутый ответ: сплав и расчёт</x:v>
      </x:c>
      <x:c r="M2638" s="30" t="str">
        <x:v>Медно-цинковый сплав растворили в концентрированной HNO₃; NO₂ поглотили KOH; затем добавили избыток разбавленной щёлочи.</x:v>
      </x:c>
      <x:c r="N2638" s="30" t="str">
        <x:v>Cu+4HNO₃→Cu(NO₃)₂+2NO₂+2H₂O; Zn+4HNO₃→Zn(NO₃)₂+2NO₂+2H₂O.
2NO₂+2KOH→KNO₃+KNO₂+H₂O; масса солей 44,64 г даёт n(NO₂)=0,48 моль.
63,5y+65,3z=15,42; 2y+2z=0,48 → y=0,14, z=0,10.
ω(Cu)=57,7%, ω(Zn)=42,3%. В избытке KOH Zn образует комплекс, Cu(OH)₂ выпадает; m=0,14·97,5=13,65 г.</x:v>
      </x:c>
      <x:c r="O2638" s="30" t="str">
        <x:v>Масса нитрита и нитрата задаёт n(NO₂); Zn(OH)₂ растворяется в избытке щёлочи, осадком остаётся Cu(OH)₂.</x:v>
      </x:c>
      <x:c r="P2638" s="30" t="str">
        <x:v>Масса нитрита и нитрата задаёт n(NO₂); Zn(OH)₂ растворяется в избытке щёлочи, осадком остаётся Cu(OH)₂.</x:v>
      </x:c>
      <x:c r="Q2638" s="30"/>
      <x:c r="R2638" s="30" t="str">
        <x:v>Kriterii_KhI11_27042026_.pdf (чистый скан) + независимая проверка</x:v>
      </x:c>
      <x:c r="S2638" s="30"/>
      <x:c r="T2638" s="30"/>
      <x:c r="U2638" s="30" t="str">
        <x:v>Расхождений не обнаружено.</x:v>
      </x:c>
      <x:c r="V2638" s="87" t="str">
        <x:v>VERIFIED</x:v>
      </x:c>
      <x:c r="W2638" s="87" t="str">
        <x:v>Zadanie_KhI11_27042026_.pdf (чистый скан), внутренняя стр. 16</x:v>
      </x:c>
      <x:c r="X2638" s="87"/>
      <x:c r="Y2638" s="87"/>
      <x:c r="Z2638" s="87"/>
      <x:c r="AA2638" s="87"/>
      <x:c r="AB2638" s="87"/>
      <x:c r="AC2638" s="87"/>
      <x:c r="AD2638" s="87"/>
      <x:c r="AE2638" s="87"/>
      <x:c r="AF2638" s="87"/>
      <x:c r="AG2638" s="87"/>
      <x:c r="AH2638" s="87"/>
      <x:c r="AI2638" s="30"/>
      <x:c r="AJ2638" s="87" t="str">
        <x:v>master</x:v>
      </x:c>
      <x:c r="AK2638" s="87" t="str">
        <x:v>master-v0.81</x:v>
      </x:c>
      <x:c r="AL2638" s="87" t="str">
        <x:v>statgrad_master_base_v0_81_final(2).xlsx</x:v>
      </x:c>
      <x:c r="AM2638" s="87" t="str">
        <x:v>CHEM_Apr_V3</x:v>
      </x:c>
      <x:c r="AN2638" s="87" t="n">
        <x:v>35</x:v>
      </x:c>
    </x:row>
    <x:row r="2639">
      <x:c r="A2639" s="87" t="n">
        <x:v>2638</x:v>
      </x:c>
      <x:c r="B2639" s="87" t="str">
        <x:v>APR-CHEM-V4-001</x:v>
      </x:c>
      <x:c r="C2639" s="87" t="str">
        <x:v>СтатГрад</x:v>
      </x:c>
      <x:c r="D2639" s="87" t="str">
        <x:v>Апрель 2026</x:v>
      </x:c>
      <x:c r="E2639" s="87"/>
      <x:c r="F2639" s="87"/>
      <x:c r="G2639" s="87" t="str">
        <x:v>Химия</x:v>
      </x:c>
      <x:c r="H2639" s="87" t="n">
        <x:v>11</x:v>
      </x:c>
      <x:c r="I2639" s="87" t="str">
        <x:v>ТР №5</x:v>
      </x:c>
      <x:c r="J2639" s="87" t="str">
        <x:v>ХИ2510504</x:v>
      </x:c>
      <x:c r="K2639" s="87" t="n">
        <x:v>1</x:v>
      </x:c>
      <x:c r="L2639" s="87" t="str">
        <x:v>Строение атома</x:v>
      </x:c>
      <x:c r="M2639" s="30" t="str">
        <x:v>Для ряда K, C, Se, Cu, Cl выбрать два элемента с одинаковым числом электронов на внешнем уровне.</x:v>
      </x:c>
      <x:c r="N2639" s="30" t="str">
        <x:v>14</x:v>
      </x:c>
      <x:c r="O2639" s="30" t="str">
        <x:v>У K и Cu на внешнем энергетическом уровне по одному электрону.</x:v>
      </x:c>
      <x:c r="P2639" s="30" t="str">
        <x:v>У K и Cu на внешнем энергетическом уровне по одному электрону.</x:v>
      </x:c>
      <x:c r="Q2639" s="30"/>
      <x:c r="R2639" s="30" t="str">
        <x:v>Фото-сводка ответов + Zadanie_KhI11_27042026_.pdf (чистый скан) + независимое решение</x:v>
      </x:c>
      <x:c r="S2639" s="30"/>
      <x:c r="T2639" s="30"/>
      <x:c r="U2639" s="30" t="str">
        <x:v>Расхождений не обнаружено.</x:v>
      </x:c>
      <x:c r="V2639" s="87" t="str">
        <x:v>VERIFIED</x:v>
      </x:c>
      <x:c r="W2639" s="87" t="str">
        <x:v>Zadanie_KhI11_27042026_.pdf (чистый скан), внутренняя стр. 2</x:v>
      </x:c>
      <x:c r="X2639" s="87"/>
      <x:c r="Y2639" s="87"/>
      <x:c r="Z2639" s="87"/>
      <x:c r="AA2639" s="87"/>
      <x:c r="AB2639" s="87"/>
      <x:c r="AC2639" s="87"/>
      <x:c r="AD2639" s="87"/>
      <x:c r="AE2639" s="87"/>
      <x:c r="AF2639" s="87"/>
      <x:c r="AG2639" s="87"/>
      <x:c r="AH2639" s="87"/>
      <x:c r="AI2639" s="30"/>
      <x:c r="AJ2639" s="87" t="str">
        <x:v>master</x:v>
      </x:c>
      <x:c r="AK2639" s="87" t="str">
        <x:v>master-v0.81</x:v>
      </x:c>
      <x:c r="AL2639" s="87" t="str">
        <x:v>statgrad_master_base_v0_81_final(2).xlsx</x:v>
      </x:c>
      <x:c r="AM2639" s="87" t="str">
        <x:v>CHEM_Apr_V4</x:v>
      </x:c>
      <x:c r="AN2639" s="87" t="n">
        <x:v>2</x:v>
      </x:c>
    </x:row>
    <x:row r="2640">
      <x:c r="A2640" s="87" t="n">
        <x:v>2639</x:v>
      </x:c>
      <x:c r="B2640" s="87" t="str">
        <x:v>APR-CHEM-V4-002</x:v>
      </x:c>
      <x:c r="C2640" s="87" t="str">
        <x:v>СтатГрад</x:v>
      </x:c>
      <x:c r="D2640" s="87" t="str">
        <x:v>Апрель 2026</x:v>
      </x:c>
      <x:c r="E2640" s="87"/>
      <x:c r="F2640" s="87"/>
      <x:c r="G2640" s="87" t="str">
        <x:v>Химия</x:v>
      </x:c>
      <x:c r="H2640" s="87" t="n">
        <x:v>11</x:v>
      </x:c>
      <x:c r="I2640" s="87" t="str">
        <x:v>ТР №5</x:v>
      </x:c>
      <x:c r="J2640" s="87" t="str">
        <x:v>ХИ2510504</x:v>
      </x:c>
      <x:c r="K2640" s="87" t="n">
        <x:v>2</x:v>
      </x:c>
      <x:c r="L2640" s="87" t="str">
        <x:v>Периодические свойства</x:v>
      </x:c>
      <x:c r="M2640" s="30" t="str">
        <x:v>Из K, C, Se, Cu, Cl выбрать неметаллы и расположить по убыванию высшей степени окисления.</x:v>
      </x:c>
      <x:c r="N2640" s="30" t="str">
        <x:v>532</x:v>
      </x:c>
      <x:c r="O2640" s="30" t="str">
        <x:v>Cl: +7; Se: +6; C: +4, поэтому 5→3→2.</x:v>
      </x:c>
      <x:c r="P2640" s="30" t="str">
        <x:v>Cl: +7; Se: +6; C: +4, поэтому 5→3→2.</x:v>
      </x:c>
      <x:c r="Q2640" s="30"/>
      <x:c r="R2640" s="30" t="str">
        <x:v>Фото-сводка ответов + Zadanie_KhI11_27042026_.pdf (чистый скан) + независимое решение</x:v>
      </x:c>
      <x:c r="S2640" s="30"/>
      <x:c r="T2640" s="30"/>
      <x:c r="U2640" s="30" t="str">
        <x:v>Расхождений не обнаружено.</x:v>
      </x:c>
      <x:c r="V2640" s="87" t="str">
        <x:v>VERIFIED</x:v>
      </x:c>
      <x:c r="W2640" s="87" t="str">
        <x:v>Zadanie_KhI11_27042026_.pdf (чистый скан), внутренняя стр. 2</x:v>
      </x:c>
      <x:c r="X2640" s="87"/>
      <x:c r="Y2640" s="87"/>
      <x:c r="Z2640" s="87"/>
      <x:c r="AA2640" s="87"/>
      <x:c r="AB2640" s="87"/>
      <x:c r="AC2640" s="87"/>
      <x:c r="AD2640" s="87"/>
      <x:c r="AE2640" s="87"/>
      <x:c r="AF2640" s="87"/>
      <x:c r="AG2640" s="87"/>
      <x:c r="AH2640" s="87"/>
      <x:c r="AI2640" s="30"/>
      <x:c r="AJ2640" s="87" t="str">
        <x:v>master</x:v>
      </x:c>
      <x:c r="AK2640" s="87" t="str">
        <x:v>master-v0.81</x:v>
      </x:c>
      <x:c r="AL2640" s="87" t="str">
        <x:v>statgrad_master_base_v0_81_final(2).xlsx</x:v>
      </x:c>
      <x:c r="AM2640" s="87" t="str">
        <x:v>CHEM_Apr_V4</x:v>
      </x:c>
      <x:c r="AN2640" s="87" t="n">
        <x:v>3</x:v>
      </x:c>
    </x:row>
    <x:row r="2641">
      <x:c r="A2641" s="87" t="n">
        <x:v>2640</x:v>
      </x:c>
      <x:c r="B2641" s="87" t="str">
        <x:v>APR-CHEM-V4-003</x:v>
      </x:c>
      <x:c r="C2641" s="87" t="str">
        <x:v>СтатГрад</x:v>
      </x:c>
      <x:c r="D2641" s="87" t="str">
        <x:v>Апрель 2026</x:v>
      </x:c>
      <x:c r="E2641" s="87"/>
      <x:c r="F2641" s="87"/>
      <x:c r="G2641" s="87" t="str">
        <x:v>Химия</x:v>
      </x:c>
      <x:c r="H2641" s="87" t="n">
        <x:v>11</x:v>
      </x:c>
      <x:c r="I2641" s="87" t="str">
        <x:v>ТР №5</x:v>
      </x:c>
      <x:c r="J2641" s="87" t="str">
        <x:v>ХИ2510504</x:v>
      </x:c>
      <x:c r="K2641" s="87" t="n">
        <x:v>3</x:v>
      </x:c>
      <x:c r="L2641" s="87" t="str">
        <x:v>Степени окисления</x:v>
      </x:c>
      <x:c r="M2641" s="30" t="str">
        <x:v>Из K, C, Se, Cu, Cl выбрать элементы, способные проявлять степень окисления −2.</x:v>
      </x:c>
      <x:c r="N2641" s="30" t="str">
        <x:v>23</x:v>
      </x:c>
      <x:c r="O2641" s="30" t="str">
        <x:v>Степень −2 возможна у углерода и селена.</x:v>
      </x:c>
      <x:c r="P2641" s="30" t="str">
        <x:v>Степень −2 возможна у углерода и селена.</x:v>
      </x:c>
      <x:c r="Q2641" s="30"/>
      <x:c r="R2641" s="30" t="str">
        <x:v>Фото-сводка ответов + Zadanie_KhI11_27042026_.pdf (чистый скан) + независимое решение</x:v>
      </x:c>
      <x:c r="S2641" s="30"/>
      <x:c r="T2641" s="30"/>
      <x:c r="U2641" s="30" t="str">
        <x:v>Расхождений не обнаружено.</x:v>
      </x:c>
      <x:c r="V2641" s="87" t="str">
        <x:v>VERIFIED</x:v>
      </x:c>
      <x:c r="W2641" s="87" t="str">
        <x:v>Zadanie_KhI11_27042026_.pdf (чистый скан), внутренняя стр. 2</x:v>
      </x:c>
      <x:c r="X2641" s="87"/>
      <x:c r="Y2641" s="87"/>
      <x:c r="Z2641" s="87"/>
      <x:c r="AA2641" s="87"/>
      <x:c r="AB2641" s="87"/>
      <x:c r="AC2641" s="87"/>
      <x:c r="AD2641" s="87"/>
      <x:c r="AE2641" s="87"/>
      <x:c r="AF2641" s="87"/>
      <x:c r="AG2641" s="87"/>
      <x:c r="AH2641" s="87"/>
      <x:c r="AI2641" s="30"/>
      <x:c r="AJ2641" s="87" t="str">
        <x:v>master</x:v>
      </x:c>
      <x:c r="AK2641" s="87" t="str">
        <x:v>master-v0.81</x:v>
      </x:c>
      <x:c r="AL2641" s="87" t="str">
        <x:v>statgrad_master_base_v0_81_final(2).xlsx</x:v>
      </x:c>
      <x:c r="AM2641" s="87" t="str">
        <x:v>CHEM_Apr_V4</x:v>
      </x:c>
      <x:c r="AN2641" s="87" t="n">
        <x:v>4</x:v>
      </x:c>
    </x:row>
    <x:row r="2642">
      <x:c r="A2642" s="87" t="n">
        <x:v>2641</x:v>
      </x:c>
      <x:c r="B2642" s="87" t="str">
        <x:v>APR-CHEM-V4-004</x:v>
      </x:c>
      <x:c r="C2642" s="87" t="str">
        <x:v>СтатГрад</x:v>
      </x:c>
      <x:c r="D2642" s="87" t="str">
        <x:v>Апрель 2026</x:v>
      </x:c>
      <x:c r="E2642" s="87"/>
      <x:c r="F2642" s="87"/>
      <x:c r="G2642" s="87" t="str">
        <x:v>Химия</x:v>
      </x:c>
      <x:c r="H2642" s="87" t="n">
        <x:v>11</x:v>
      </x:c>
      <x:c r="I2642" s="87" t="str">
        <x:v>ТР №5</x:v>
      </x:c>
      <x:c r="J2642" s="87" t="str">
        <x:v>ХИ2510504</x:v>
      </x:c>
      <x:c r="K2642" s="87" t="n">
        <x:v>4</x:v>
      </x:c>
      <x:c r="L2642" s="87" t="str">
        <x:v>Водородная связь</x:v>
      </x:c>
      <x:c r="M2642" s="30" t="str">
        <x:v>Выбрать вещества, в которых нет водородных связей: CH₃OH, CH₄, H₂O₂, C₂H₅OC₂H₅, CH₃COOH.</x:v>
      </x:c>
      <x:c r="N2642" s="30" t="str">
        <x:v>24</x:v>
      </x:c>
      <x:c r="O2642" s="30" t="str">
        <x:v>Метан не содержит электроотрицательного атома, а в простом эфире нет связи O–H.</x:v>
      </x:c>
      <x:c r="P2642" s="30" t="str">
        <x:v>Метан не содержит электроотрицательного атома, а в простом эфире нет связи O–H.</x:v>
      </x:c>
      <x:c r="Q2642" s="30"/>
      <x:c r="R2642" s="30" t="str">
        <x:v>Фото-сводка ответов + Zadanie_KhI11_27042026_.pdf (чистый скан) + независимое решение</x:v>
      </x:c>
      <x:c r="S2642" s="30"/>
      <x:c r="T2642" s="30"/>
      <x:c r="U2642" s="30" t="str">
        <x:v>Расхождений не обнаружено.</x:v>
      </x:c>
      <x:c r="V2642" s="87" t="str">
        <x:v>VERIFIED</x:v>
      </x:c>
      <x:c r="W2642" s="87" t="str">
        <x:v>Zadanie_KhI11_27042026_.pdf (чистый скан), внутренняя стр. 3</x:v>
      </x:c>
      <x:c r="X2642" s="87"/>
      <x:c r="Y2642" s="87"/>
      <x:c r="Z2642" s="87"/>
      <x:c r="AA2642" s="87"/>
      <x:c r="AB2642" s="87"/>
      <x:c r="AC2642" s="87"/>
      <x:c r="AD2642" s="87"/>
      <x:c r="AE2642" s="87"/>
      <x:c r="AF2642" s="87"/>
      <x:c r="AG2642" s="87"/>
      <x:c r="AH2642" s="87"/>
      <x:c r="AI2642" s="30"/>
      <x:c r="AJ2642" s="87" t="str">
        <x:v>master</x:v>
      </x:c>
      <x:c r="AK2642" s="87" t="str">
        <x:v>master-v0.81</x:v>
      </x:c>
      <x:c r="AL2642" s="87" t="str">
        <x:v>statgrad_master_base_v0_81_final(2).xlsx</x:v>
      </x:c>
      <x:c r="AM2642" s="87" t="str">
        <x:v>CHEM_Apr_V4</x:v>
      </x:c>
      <x:c r="AN2642" s="87" t="n">
        <x:v>5</x:v>
      </x:c>
    </x:row>
    <x:row r="2643">
      <x:c r="A2643" s="87" t="n">
        <x:v>2642</x:v>
      </x:c>
      <x:c r="B2643" s="87" t="str">
        <x:v>APR-CHEM-V4-005</x:v>
      </x:c>
      <x:c r="C2643" s="87" t="str">
        <x:v>СтатГрад</x:v>
      </x:c>
      <x:c r="D2643" s="87" t="str">
        <x:v>Апрель 2026</x:v>
      </x:c>
      <x:c r="E2643" s="87"/>
      <x:c r="F2643" s="87"/>
      <x:c r="G2643" s="87" t="str">
        <x:v>Химия</x:v>
      </x:c>
      <x:c r="H2643" s="87" t="n">
        <x:v>11</x:v>
      </x:c>
      <x:c r="I2643" s="87" t="str">
        <x:v>ТР №5</x:v>
      </x:c>
      <x:c r="J2643" s="87" t="str">
        <x:v>ХИ2510504</x:v>
      </x:c>
      <x:c r="K2643" s="87" t="n">
        <x:v>5</x:v>
      </x:c>
      <x:c r="L2643" s="87" t="str">
        <x:v>Классификация веществ</x:v>
      </x:c>
      <x:c r="M2643" s="30" t="str">
        <x:v>По таблице формул выбрать кислую соль, основание и амфотерный оксид.</x:v>
      </x:c>
      <x:c r="N2643" s="30" t="str">
        <x:v>273</x:v>
      </x:c>
      <x:c r="O2643" s="30" t="str">
        <x:v>CaHPO₄ — кислая соль; RbOH — основание; Cr₂O₃ — амфотерный оксид.</x:v>
      </x:c>
      <x:c r="P2643" s="30" t="str">
        <x:v>CaHPO₄ — кислая соль; RbOH — основание; Cr₂O₃ — амфотерный оксид.</x:v>
      </x:c>
      <x:c r="Q2643" s="30"/>
      <x:c r="R2643" s="30" t="str">
        <x:v>Фото-сводка ответов + Zadanie_KhI11_27042026_.pdf (чистый скан) + независимое решение</x:v>
      </x:c>
      <x:c r="S2643" s="30"/>
      <x:c r="T2643" s="30"/>
      <x:c r="U2643" s="30" t="str">
        <x:v>Расхождений не обнаружено.</x:v>
      </x:c>
      <x:c r="V2643" s="87" t="str">
        <x:v>VERIFIED</x:v>
      </x:c>
      <x:c r="W2643" s="87" t="str">
        <x:v>Zadanie_KhI11_27042026_.pdf (чистый скан), внутренняя стр. 3</x:v>
      </x:c>
      <x:c r="X2643" s="87"/>
      <x:c r="Y2643" s="87"/>
      <x:c r="Z2643" s="87"/>
      <x:c r="AA2643" s="87"/>
      <x:c r="AB2643" s="87"/>
      <x:c r="AC2643" s="87"/>
      <x:c r="AD2643" s="87"/>
      <x:c r="AE2643" s="87"/>
      <x:c r="AF2643" s="87"/>
      <x:c r="AG2643" s="87"/>
      <x:c r="AH2643" s="87"/>
      <x:c r="AI2643" s="30"/>
      <x:c r="AJ2643" s="87" t="str">
        <x:v>master</x:v>
      </x:c>
      <x:c r="AK2643" s="87" t="str">
        <x:v>master-v0.81</x:v>
      </x:c>
      <x:c r="AL2643" s="87" t="str">
        <x:v>statgrad_master_base_v0_81_final(2).xlsx</x:v>
      </x:c>
      <x:c r="AM2643" s="87" t="str">
        <x:v>CHEM_Apr_V4</x:v>
      </x:c>
      <x:c r="AN2643" s="87" t="n">
        <x:v>6</x:v>
      </x:c>
    </x:row>
    <x:row r="2644">
      <x:c r="A2644" s="87" t="n">
        <x:v>2643</x:v>
      </x:c>
      <x:c r="B2644" s="87" t="str">
        <x:v>APR-CHEM-V4-006</x:v>
      </x:c>
      <x:c r="C2644" s="87" t="str">
        <x:v>СтатГрад</x:v>
      </x:c>
      <x:c r="D2644" s="87" t="str">
        <x:v>Апрель 2026</x:v>
      </x:c>
      <x:c r="E2644" s="87"/>
      <x:c r="F2644" s="87"/>
      <x:c r="G2644" s="87" t="str">
        <x:v>Химия</x:v>
      </x:c>
      <x:c r="H2644" s="87" t="n">
        <x:v>11</x:v>
      </x:c>
      <x:c r="I2644" s="87" t="str">
        <x:v>ТР №5</x:v>
      </x:c>
      <x:c r="J2644" s="87" t="str">
        <x:v>ХИ2510504</x:v>
      </x:c>
      <x:c r="K2644" s="87" t="n">
        <x:v>6</x:v>
      </x:c>
      <x:c r="L2644" s="87" t="str">
        <x:v>Качественные реакции</x:v>
      </x:c>
      <x:c r="M2644" s="30" t="str">
        <x:v>К раствору KHSO₄ добавить твёрдое X с выделением газа и раствор Y с образованием белого осадка.</x:v>
      </x:c>
      <x:c r="N2644" s="30" t="str">
        <x:v>4; 5</x:v>
      </x:c>
      <x:c r="O2644" s="30" t="str">
        <x:v>Mg вытесняет H₂ из кислой среды; BaCl₂ осаждает BaSO₄.</x:v>
      </x:c>
      <x:c r="P2644" s="30" t="str">
        <x:v>Уравнения: Mg+2H⁺→Mg²⁺+H₂; Ba²⁺+SO₄²⁻→BaSO₄↓.</x:v>
      </x:c>
      <x:c r="Q2644" s="30"/>
      <x:c r="R2644" s="30" t="str">
        <x:v>Фото-сводка ответов + Zadanie_KhI11_27042026_.pdf (чистый скан) + независимое решение</x:v>
      </x:c>
      <x:c r="S2644" s="30"/>
      <x:c r="T2644" s="30"/>
      <x:c r="U2644" s="30" t="str">
        <x:v>Расхождений не обнаружено.</x:v>
      </x:c>
      <x:c r="V2644" s="87" t="str">
        <x:v>VERIFIED</x:v>
      </x:c>
      <x:c r="W2644" s="87" t="str">
        <x:v>Zadanie_KhI11_27042026_.pdf (чистый скан), внутренняя стр. 4</x:v>
      </x:c>
      <x:c r="X2644" s="87"/>
      <x:c r="Y2644" s="87"/>
      <x:c r="Z2644" s="87"/>
      <x:c r="AA2644" s="87"/>
      <x:c r="AB2644" s="87"/>
      <x:c r="AC2644" s="87"/>
      <x:c r="AD2644" s="87"/>
      <x:c r="AE2644" s="87"/>
      <x:c r="AF2644" s="87"/>
      <x:c r="AG2644" s="87"/>
      <x:c r="AH2644" s="87"/>
      <x:c r="AI2644" s="30"/>
      <x:c r="AJ2644" s="87" t="str">
        <x:v>master</x:v>
      </x:c>
      <x:c r="AK2644" s="87" t="str">
        <x:v>master-v0.81</x:v>
      </x:c>
      <x:c r="AL2644" s="87" t="str">
        <x:v>statgrad_master_base_v0_81_final(2).xlsx</x:v>
      </x:c>
      <x:c r="AM2644" s="87" t="str">
        <x:v>CHEM_Apr_V4</x:v>
      </x:c>
      <x:c r="AN2644" s="87" t="n">
        <x:v>7</x:v>
      </x:c>
    </x:row>
    <x:row r="2645">
      <x:c r="A2645" s="87" t="n">
        <x:v>2644</x:v>
      </x:c>
      <x:c r="B2645" s="87" t="str">
        <x:v>APR-CHEM-V4-007</x:v>
      </x:c>
      <x:c r="C2645" s="87" t="str">
        <x:v>СтатГрад</x:v>
      </x:c>
      <x:c r="D2645" s="87" t="str">
        <x:v>Апрель 2026</x:v>
      </x:c>
      <x:c r="E2645" s="87"/>
      <x:c r="F2645" s="87"/>
      <x:c r="G2645" s="87" t="str">
        <x:v>Химия</x:v>
      </x:c>
      <x:c r="H2645" s="87" t="n">
        <x:v>11</x:v>
      </x:c>
      <x:c r="I2645" s="87" t="str">
        <x:v>ТР №5</x:v>
      </x:c>
      <x:c r="J2645" s="87" t="str">
        <x:v>ХИ2510504</x:v>
      </x:c>
      <x:c r="K2645" s="87" t="n">
        <x:v>7</x:v>
      </x:c>
      <x:c r="L2645" s="87" t="str">
        <x:v>Химические свойства неорганических веществ</x:v>
      </x:c>
      <x:c r="M2645" s="30" t="str">
        <x:v>Соотнести Pb, CuO, Zn(OH)₂, NaI с наборами реагентов.</x:v>
      </x:c>
      <x:c r="N2645" s="30" t="str">
        <x:v>1435</x:v>
      </x:c>
      <x:c r="O2645" s="30" t="str">
        <x:v>Pb реагирует с HNO₃/AgNO₃/S; CuO — с HCl/Al/H₂; Zn(OH)₂ — с KOH/HCl/NH₃; NaI — с Pb(NO₃)₂/HNO₂/Br₂.</x:v>
      </x:c>
      <x:c r="P2645" s="30" t="str">
        <x:v>Pb реагирует с HNO₃/AgNO₃/S; CuO — с HCl/Al/H₂; Zn(OH)₂ — с KOH/HCl/NH₃; NaI — с Pb(NO₃)₂/HNO₂/Br₂.</x:v>
      </x:c>
      <x:c r="Q2645" s="30"/>
      <x:c r="R2645" s="30" t="str">
        <x:v>Kriterii_KhI11_27042026_.pdf (чистый скан): таблица ответов + фото-сводка + независимая проверка</x:v>
      </x:c>
      <x:c r="S2645" s="30"/>
      <x:c r="T2645" s="30"/>
      <x:c r="U2645" s="30" t="str">
        <x:v>Расхождений не обнаружено.</x:v>
      </x:c>
      <x:c r="V2645" s="87" t="str">
        <x:v>VERIFIED</x:v>
      </x:c>
      <x:c r="W2645" s="87" t="str">
        <x:v>Zadanie_KhI11_27042026_.pdf (чистый скан), внутренняя стр. 4</x:v>
      </x:c>
      <x:c r="X2645" s="87"/>
      <x:c r="Y2645" s="87"/>
      <x:c r="Z2645" s="87"/>
      <x:c r="AA2645" s="87"/>
      <x:c r="AB2645" s="87"/>
      <x:c r="AC2645" s="87"/>
      <x:c r="AD2645" s="87"/>
      <x:c r="AE2645" s="87"/>
      <x:c r="AF2645" s="87"/>
      <x:c r="AG2645" s="87"/>
      <x:c r="AH2645" s="87"/>
      <x:c r="AI2645" s="30"/>
      <x:c r="AJ2645" s="87" t="str">
        <x:v>master</x:v>
      </x:c>
      <x:c r="AK2645" s="87" t="str">
        <x:v>master-v0.81</x:v>
      </x:c>
      <x:c r="AL2645" s="87" t="str">
        <x:v>statgrad_master_base_v0_81_final(2).xlsx</x:v>
      </x:c>
      <x:c r="AM2645" s="87" t="str">
        <x:v>CHEM_Apr_V4</x:v>
      </x:c>
      <x:c r="AN2645" s="87" t="n">
        <x:v>8</x:v>
      </x:c>
    </x:row>
    <x:row r="2646">
      <x:c r="A2646" s="87" t="n">
        <x:v>2645</x:v>
      </x:c>
      <x:c r="B2646" s="87" t="str">
        <x:v>APR-CHEM-V4-008</x:v>
      </x:c>
      <x:c r="C2646" s="87" t="str">
        <x:v>СтатГрад</x:v>
      </x:c>
      <x:c r="D2646" s="87" t="str">
        <x:v>Апрель 2026</x:v>
      </x:c>
      <x:c r="E2646" s="87"/>
      <x:c r="F2646" s="87"/>
      <x:c r="G2646" s="87" t="str">
        <x:v>Химия</x:v>
      </x:c>
      <x:c r="H2646" s="87" t="n">
        <x:v>11</x:v>
      </x:c>
      <x:c r="I2646" s="87" t="str">
        <x:v>ТР №5</x:v>
      </x:c>
      <x:c r="J2646" s="87" t="str">
        <x:v>ХИ2510504</x:v>
      </x:c>
      <x:c r="K2646" s="87" t="n">
        <x:v>8</x:v>
      </x:c>
      <x:c r="L2646" s="87" t="str">
        <x:v>Неорганические реакции</x:v>
      </x:c>
      <x:c r="M2646" s="30" t="str">
        <x:v>Соотнести FeCl₃+H₂S, FeCl₂+(NH₄)₂S, FeO+H₂SO₄(разб.), FeO+H₂SO₄(конц.) с продуктами.</x:v>
      </x:c>
      <x:c r="N2646" s="30" t="str">
        <x:v>1264</x:v>
      </x:c>
      <x:c r="O2646" s="30" t="str">
        <x:v>Получаются соответственно FeCl₂+S; FeS; FeSO₄; Fe₂(SO₄)₃+SO₂.</x:v>
      </x:c>
      <x:c r="P2646" s="30" t="str">
        <x:v>Получаются соответственно FeCl₂+S; FeS; FeSO₄; Fe₂(SO₄)₃+SO₂.</x:v>
      </x:c>
      <x:c r="Q2646" s="30"/>
      <x:c r="R2646" s="30" t="str">
        <x:v>Kriterii_KhI11_27042026_.pdf (чистый скан): таблица ответов + фото-сводка + независимая проверка</x:v>
      </x:c>
      <x:c r="S2646" s="30"/>
      <x:c r="T2646" s="30"/>
      <x:c r="U2646" s="30" t="str">
        <x:v>Расхождений не обнаружено.</x:v>
      </x:c>
      <x:c r="V2646" s="87" t="str">
        <x:v>VERIFIED</x:v>
      </x:c>
      <x:c r="W2646" s="87" t="str">
        <x:v>Zadanie_KhI11_27042026_.pdf (чистый скан), внутренняя стр. 5</x:v>
      </x:c>
      <x:c r="X2646" s="87"/>
      <x:c r="Y2646" s="87"/>
      <x:c r="Z2646" s="87"/>
      <x:c r="AA2646" s="87"/>
      <x:c r="AB2646" s="87"/>
      <x:c r="AC2646" s="87"/>
      <x:c r="AD2646" s="87"/>
      <x:c r="AE2646" s="87"/>
      <x:c r="AF2646" s="87"/>
      <x:c r="AG2646" s="87"/>
      <x:c r="AH2646" s="87"/>
      <x:c r="AI2646" s="30"/>
      <x:c r="AJ2646" s="87" t="str">
        <x:v>master</x:v>
      </x:c>
      <x:c r="AK2646" s="87" t="str">
        <x:v>master-v0.81</x:v>
      </x:c>
      <x:c r="AL2646" s="87" t="str">
        <x:v>statgrad_master_base_v0_81_final(2).xlsx</x:v>
      </x:c>
      <x:c r="AM2646" s="87" t="str">
        <x:v>CHEM_Apr_V4</x:v>
      </x:c>
      <x:c r="AN2646" s="87" t="n">
        <x:v>9</x:v>
      </x:c>
    </x:row>
    <x:row r="2647">
      <x:c r="A2647" s="87" t="n">
        <x:v>2646</x:v>
      </x:c>
      <x:c r="B2647" s="87" t="str">
        <x:v>APR-CHEM-V4-009</x:v>
      </x:c>
      <x:c r="C2647" s="87" t="str">
        <x:v>СтатГрад</x:v>
      </x:c>
      <x:c r="D2647" s="87" t="str">
        <x:v>Апрель 2026</x:v>
      </x:c>
      <x:c r="E2647" s="87"/>
      <x:c r="F2647" s="87"/>
      <x:c r="G2647" s="87" t="str">
        <x:v>Химия</x:v>
      </x:c>
      <x:c r="H2647" s="87" t="n">
        <x:v>11</x:v>
      </x:c>
      <x:c r="I2647" s="87" t="str">
        <x:v>ТР №5</x:v>
      </x:c>
      <x:c r="J2647" s="87" t="str">
        <x:v>ХИ2510504</x:v>
      </x:c>
      <x:c r="K2647" s="87" t="n">
        <x:v>9</x:v>
      </x:c>
      <x:c r="L2647" s="87" t="str">
        <x:v>Цепочка превращений</x:v>
      </x:c>
      <x:c r="M2647" s="30" t="str">
        <x:v>В схеме X → CO → HCOOK определить X и Y.</x:v>
      </x:c>
      <x:c r="N2647" s="30" t="str">
        <x:v>34</x:v>
      </x:c>
      <x:c r="O2647" s="30" t="str">
        <x:v>HCOOH обезвоживается до CO; CO с KOH при нагревании и давлении образует HCOOK.</x:v>
      </x:c>
      <x:c r="P2647" s="30" t="str">
        <x:v>HCOOH обезвоживается до CO; CO с KOH при нагревании и давлении образует HCOOK.</x:v>
      </x:c>
      <x:c r="Q2647" s="30"/>
      <x:c r="R2647" s="30" t="str">
        <x:v>Фото-сводка ответов + Zadanie_KhI11_27042026_.pdf (чистый скан) + независимое решение</x:v>
      </x:c>
      <x:c r="S2647" s="30"/>
      <x:c r="T2647" s="30"/>
      <x:c r="U2647" s="30" t="str">
        <x:v>Расхождений не обнаружено.</x:v>
      </x:c>
      <x:c r="V2647" s="87" t="str">
        <x:v>VERIFIED</x:v>
      </x:c>
      <x:c r="W2647" s="87" t="str">
        <x:v>Zadanie_KhI11_27042026_.pdf (чистый скан), внутренняя стр. 5</x:v>
      </x:c>
      <x:c r="X2647" s="87"/>
      <x:c r="Y2647" s="87"/>
      <x:c r="Z2647" s="87"/>
      <x:c r="AA2647" s="87"/>
      <x:c r="AB2647" s="87"/>
      <x:c r="AC2647" s="87"/>
      <x:c r="AD2647" s="87"/>
      <x:c r="AE2647" s="87"/>
      <x:c r="AF2647" s="87"/>
      <x:c r="AG2647" s="87"/>
      <x:c r="AH2647" s="87"/>
      <x:c r="AI2647" s="30"/>
      <x:c r="AJ2647" s="87" t="str">
        <x:v>master</x:v>
      </x:c>
      <x:c r="AK2647" s="87" t="str">
        <x:v>master-v0.81</x:v>
      </x:c>
      <x:c r="AL2647" s="87" t="str">
        <x:v>statgrad_master_base_v0_81_final(2).xlsx</x:v>
      </x:c>
      <x:c r="AM2647" s="87" t="str">
        <x:v>CHEM_Apr_V4</x:v>
      </x:c>
      <x:c r="AN2647" s="87" t="n">
        <x:v>10</x:v>
      </x:c>
    </x:row>
    <x:row r="2648">
      <x:c r="A2648" s="87" t="n">
        <x:v>2647</x:v>
      </x:c>
      <x:c r="B2648" s="87" t="str">
        <x:v>APR-CHEM-V4-010</x:v>
      </x:c>
      <x:c r="C2648" s="87" t="str">
        <x:v>СтатГрад</x:v>
      </x:c>
      <x:c r="D2648" s="87" t="str">
        <x:v>Апрель 2026</x:v>
      </x:c>
      <x:c r="E2648" s="87"/>
      <x:c r="F2648" s="87"/>
      <x:c r="G2648" s="87" t="str">
        <x:v>Химия</x:v>
      </x:c>
      <x:c r="H2648" s="87" t="n">
        <x:v>11</x:v>
      </x:c>
      <x:c r="I2648" s="87" t="str">
        <x:v>ТР №5</x:v>
      </x:c>
      <x:c r="J2648" s="87" t="str">
        <x:v>ХИ2510504</x:v>
      </x:c>
      <x:c r="K2648" s="87" t="n">
        <x:v>10</x:v>
      </x:c>
      <x:c r="L2648" s="87" t="str">
        <x:v>Классы органических соединений</x:v>
      </x:c>
      <x:c r="M2648" s="30" t="str">
        <x:v>Соотнести бензамид, 1-фенилэтиламин и нитробензол с классами соединений.</x:v>
      </x:c>
      <x:c r="N2648" s="30" t="str">
        <x:v>321</x:v>
      </x:c>
      <x:c r="O2648" s="30" t="str">
        <x:v>Бензамид — амид кислоты; 1-фенилэтиламин — первичный амин; нитробензол — нитросоединение.</x:v>
      </x:c>
      <x:c r="P2648" s="30" t="str">
        <x:v>Бензамид — амид кислоты; 1-фенилэтиламин — первичный амин; нитробензол — нитросоединение.</x:v>
      </x:c>
      <x:c r="Q2648" s="30"/>
      <x:c r="R2648" s="30" t="str">
        <x:v>Фото-сводка ответов + Zadanie_KhI11_27042026_.pdf (чистый скан) + независимое решение</x:v>
      </x:c>
      <x:c r="S2648" s="30"/>
      <x:c r="T2648" s="30"/>
      <x:c r="U2648" s="30" t="str">
        <x:v>Расхождений не обнаружено.</x:v>
      </x:c>
      <x:c r="V2648" s="87" t="str">
        <x:v>VERIFIED</x:v>
      </x:c>
      <x:c r="W2648" s="87" t="str">
        <x:v>Zadanie_KhI11_27042026_.pdf (чистый скан), внутренняя стр. 6</x:v>
      </x:c>
      <x:c r="X2648" s="87"/>
      <x:c r="Y2648" s="87"/>
      <x:c r="Z2648" s="87"/>
      <x:c r="AA2648" s="87"/>
      <x:c r="AB2648" s="87"/>
      <x:c r="AC2648" s="87"/>
      <x:c r="AD2648" s="87"/>
      <x:c r="AE2648" s="87"/>
      <x:c r="AF2648" s="87"/>
      <x:c r="AG2648" s="87"/>
      <x:c r="AH2648" s="87"/>
      <x:c r="AI2648" s="30"/>
      <x:c r="AJ2648" s="87" t="str">
        <x:v>master</x:v>
      </x:c>
      <x:c r="AK2648" s="87" t="str">
        <x:v>master-v0.81</x:v>
      </x:c>
      <x:c r="AL2648" s="87" t="str">
        <x:v>statgrad_master_base_v0_81_final(2).xlsx</x:v>
      </x:c>
      <x:c r="AM2648" s="87" t="str">
        <x:v>CHEM_Apr_V4</x:v>
      </x:c>
      <x:c r="AN2648" s="87" t="n">
        <x:v>11</x:v>
      </x:c>
    </x:row>
    <x:row r="2649">
      <x:c r="A2649" s="87" t="n">
        <x:v>2648</x:v>
      </x:c>
      <x:c r="B2649" s="87" t="str">
        <x:v>APR-CHEM-V4-011</x:v>
      </x:c>
      <x:c r="C2649" s="87" t="str">
        <x:v>СтатГрад</x:v>
      </x:c>
      <x:c r="D2649" s="87" t="str">
        <x:v>Апрель 2026</x:v>
      </x:c>
      <x:c r="E2649" s="87"/>
      <x:c r="F2649" s="87"/>
      <x:c r="G2649" s="87" t="str">
        <x:v>Химия</x:v>
      </x:c>
      <x:c r="H2649" s="87" t="n">
        <x:v>11</x:v>
      </x:c>
      <x:c r="I2649" s="87" t="str">
        <x:v>ТР №5</x:v>
      </x:c>
      <x:c r="J2649" s="87" t="str">
        <x:v>ХИ2510504</x:v>
      </x:c>
      <x:c r="K2649" s="87" t="n">
        <x:v>11</x:v>
      </x:c>
      <x:c r="L2649" s="87" t="str">
        <x:v>Пространственная изомерия</x:v>
      </x:c>
      <x:c r="M2649" s="30" t="str">
        <x:v>Выбрать вещества без пространственных изомеров.</x:v>
      </x:c>
      <x:c r="N2649" s="30" t="str">
        <x:v>34</x:v>
      </x:c>
      <x:c r="O2649" s="30" t="str">
        <x:v>Бутен-1 не имеет E/Z-изомерии, 2-метилбутан не имеет хирального центра.</x:v>
      </x:c>
      <x:c r="P2649" s="30" t="str">
        <x:v>Бутен-1 не имеет E/Z-изомерии, 2-метилбутан не имеет хирального центра.</x:v>
      </x:c>
      <x:c r="Q2649" s="30"/>
      <x:c r="R2649" s="30" t="str">
        <x:v>Фото-сводка ответов + Zadanie_KhI11_27042026_.pdf (чистый скан) + независимое решение</x:v>
      </x:c>
      <x:c r="S2649" s="30"/>
      <x:c r="T2649" s="30"/>
      <x:c r="U2649" s="30" t="str">
        <x:v>Расхождений не обнаружено.</x:v>
      </x:c>
      <x:c r="V2649" s="87" t="str">
        <x:v>VERIFIED</x:v>
      </x:c>
      <x:c r="W2649" s="87" t="str">
        <x:v>Zadanie_KhI11_27042026_.pdf (чистый скан), внутренняя стр. 6</x:v>
      </x:c>
      <x:c r="X2649" s="87"/>
      <x:c r="Y2649" s="87"/>
      <x:c r="Z2649" s="87"/>
      <x:c r="AA2649" s="87"/>
      <x:c r="AB2649" s="87"/>
      <x:c r="AC2649" s="87"/>
      <x:c r="AD2649" s="87"/>
      <x:c r="AE2649" s="87"/>
      <x:c r="AF2649" s="87"/>
      <x:c r="AG2649" s="87"/>
      <x:c r="AH2649" s="87"/>
      <x:c r="AI2649" s="30"/>
      <x:c r="AJ2649" s="87" t="str">
        <x:v>master</x:v>
      </x:c>
      <x:c r="AK2649" s="87" t="str">
        <x:v>master-v0.81</x:v>
      </x:c>
      <x:c r="AL2649" s="87" t="str">
        <x:v>statgrad_master_base_v0_81_final(2).xlsx</x:v>
      </x:c>
      <x:c r="AM2649" s="87" t="str">
        <x:v>CHEM_Apr_V4</x:v>
      </x:c>
      <x:c r="AN2649" s="87" t="n">
        <x:v>12</x:v>
      </x:c>
    </x:row>
    <x:row r="2650">
      <x:c r="A2650" s="87" t="n">
        <x:v>2649</x:v>
      </x:c>
      <x:c r="B2650" s="87" t="str">
        <x:v>APR-CHEM-V4-012</x:v>
      </x:c>
      <x:c r="C2650" s="87" t="str">
        <x:v>СтатГрад</x:v>
      </x:c>
      <x:c r="D2650" s="87" t="str">
        <x:v>Апрель 2026</x:v>
      </x:c>
      <x:c r="E2650" s="87"/>
      <x:c r="F2650" s="87"/>
      <x:c r="G2650" s="87" t="str">
        <x:v>Химия</x:v>
      </x:c>
      <x:c r="H2650" s="87" t="n">
        <x:v>11</x:v>
      </x:c>
      <x:c r="I2650" s="87" t="str">
        <x:v>ТР №5</x:v>
      </x:c>
      <x:c r="J2650" s="87" t="str">
        <x:v>ХИ2510504</x:v>
      </x:c>
      <x:c r="K2650" s="87" t="n">
        <x:v>12</x:v>
      </x:c>
      <x:c r="L2650" s="87" t="str">
        <x:v>Химические свойства бензола и фенола</x:v>
      </x:c>
      <x:c r="M2650" s="30" t="str">
        <x:v>Выбрать реагенты, с каждым из которых реагируют и бензол, и фенол.</x:v>
      </x:c>
      <x:c r="N2650" s="30" t="str">
        <x:v>145</x:v>
      </x:c>
      <x:c r="O2650" s="30" t="str">
        <x:v>Оба вещества вступают в нитрование, бромирование и каталитическое гидрирование.</x:v>
      </x:c>
      <x:c r="P2650" s="30" t="str">
        <x:v>Оба вещества вступают в нитрование, бромирование и каталитическое гидрирование.</x:v>
      </x:c>
      <x:c r="Q2650" s="30"/>
      <x:c r="R2650" s="30" t="str">
        <x:v>Kriterii_KhI11_27042026_.pdf (чистый скан): таблица ответов + фото-сводка + независимая проверка</x:v>
      </x:c>
      <x:c r="S2650" s="30"/>
      <x:c r="T2650" s="30"/>
      <x:c r="U2650" s="30" t="str">
        <x:v>Расхождений не обнаружено.</x:v>
      </x:c>
      <x:c r="V2650" s="87" t="str">
        <x:v>VERIFIED</x:v>
      </x:c>
      <x:c r="W2650" s="87" t="str">
        <x:v>Zadanie_KhI11_27042026_.pdf (чистый скан), внутренняя стр. 7</x:v>
      </x:c>
      <x:c r="X2650" s="87"/>
      <x:c r="Y2650" s="87"/>
      <x:c r="Z2650" s="87"/>
      <x:c r="AA2650" s="87"/>
      <x:c r="AB2650" s="87"/>
      <x:c r="AC2650" s="87"/>
      <x:c r="AD2650" s="87"/>
      <x:c r="AE2650" s="87"/>
      <x:c r="AF2650" s="87"/>
      <x:c r="AG2650" s="87"/>
      <x:c r="AH2650" s="87"/>
      <x:c r="AI2650" s="30"/>
      <x:c r="AJ2650" s="87" t="str">
        <x:v>master</x:v>
      </x:c>
      <x:c r="AK2650" s="87" t="str">
        <x:v>master-v0.81</x:v>
      </x:c>
      <x:c r="AL2650" s="87" t="str">
        <x:v>statgrad_master_base_v0_81_final(2).xlsx</x:v>
      </x:c>
      <x:c r="AM2650" s="87" t="str">
        <x:v>CHEM_Apr_V4</x:v>
      </x:c>
      <x:c r="AN2650" s="87" t="n">
        <x:v>13</x:v>
      </x:c>
    </x:row>
    <x:row r="2651">
      <x:c r="A2651" s="87" t="n">
        <x:v>2650</x:v>
      </x:c>
      <x:c r="B2651" s="87" t="str">
        <x:v>APR-CHEM-V4-013</x:v>
      </x:c>
      <x:c r="C2651" s="87" t="str">
        <x:v>СтатГрад</x:v>
      </x:c>
      <x:c r="D2651" s="87" t="str">
        <x:v>Апрель 2026</x:v>
      </x:c>
      <x:c r="E2651" s="87"/>
      <x:c r="F2651" s="87"/>
      <x:c r="G2651" s="87" t="str">
        <x:v>Химия</x:v>
      </x:c>
      <x:c r="H2651" s="87" t="n">
        <x:v>11</x:v>
      </x:c>
      <x:c r="I2651" s="87" t="str">
        <x:v>ТР №5</x:v>
      </x:c>
      <x:c r="J2651" s="87" t="str">
        <x:v>ХИ2510504</x:v>
      </x:c>
      <x:c r="K2651" s="87" t="n">
        <x:v>13</x:v>
      </x:c>
      <x:c r="L2651" s="87" t="str">
        <x:v>Гидролиз органических веществ</x:v>
      </x:c>
      <x:c r="M2651" s="30" t="str">
        <x:v>Выбрать два вещества, вступающие в гидролиз.</x:v>
      </x:c>
      <x:c r="N2651" s="30" t="str">
        <x:v>12</x:v>
      </x:c>
      <x:c r="O2651" s="30" t="str">
        <x:v>Аланилглицин гидролизуется по пептидной связи, тристеарин — по сложноэфирным связям.</x:v>
      </x:c>
      <x:c r="P2651" s="30" t="str">
        <x:v>Аланилглицин гидролизуется по пептидной связи, тристеарин — по сложноэфирным связям.</x:v>
      </x:c>
      <x:c r="Q2651" s="30"/>
      <x:c r="R2651" s="30" t="str">
        <x:v>Фото-сводка ответов + Zadanie_KhI11_27042026_.pdf (чистый скан) + независимое решение</x:v>
      </x:c>
      <x:c r="S2651" s="30"/>
      <x:c r="T2651" s="30"/>
      <x:c r="U2651" s="30" t="str">
        <x:v>Расхождений не обнаружено.</x:v>
      </x:c>
      <x:c r="V2651" s="87" t="str">
        <x:v>VERIFIED</x:v>
      </x:c>
      <x:c r="W2651" s="87" t="str">
        <x:v>Zadanie_KhI11_27042026_.pdf (чистый скан), внутренняя стр. 7</x:v>
      </x:c>
      <x:c r="X2651" s="87"/>
      <x:c r="Y2651" s="87"/>
      <x:c r="Z2651" s="87"/>
      <x:c r="AA2651" s="87"/>
      <x:c r="AB2651" s="87"/>
      <x:c r="AC2651" s="87"/>
      <x:c r="AD2651" s="87"/>
      <x:c r="AE2651" s="87"/>
      <x:c r="AF2651" s="87"/>
      <x:c r="AG2651" s="87"/>
      <x:c r="AH2651" s="87"/>
      <x:c r="AI2651" s="30"/>
      <x:c r="AJ2651" s="87" t="str">
        <x:v>master</x:v>
      </x:c>
      <x:c r="AK2651" s="87" t="str">
        <x:v>master-v0.81</x:v>
      </x:c>
      <x:c r="AL2651" s="87" t="str">
        <x:v>statgrad_master_base_v0_81_final(2).xlsx</x:v>
      </x:c>
      <x:c r="AM2651" s="87" t="str">
        <x:v>CHEM_Apr_V4</x:v>
      </x:c>
      <x:c r="AN2651" s="87" t="n">
        <x:v>14</x:v>
      </x:c>
    </x:row>
    <x:row r="2652">
      <x:c r="A2652" s="87" t="n">
        <x:v>2651</x:v>
      </x:c>
      <x:c r="B2652" s="87" t="str">
        <x:v>APR-CHEM-V4-014</x:v>
      </x:c>
      <x:c r="C2652" s="87" t="str">
        <x:v>СтатГрад</x:v>
      </x:c>
      <x:c r="D2652" s="87" t="str">
        <x:v>Апрель 2026</x:v>
      </x:c>
      <x:c r="E2652" s="87"/>
      <x:c r="F2652" s="87"/>
      <x:c r="G2652" s="87" t="str">
        <x:v>Химия</x:v>
      </x:c>
      <x:c r="H2652" s="87" t="n">
        <x:v>11</x:v>
      </x:c>
      <x:c r="I2652" s="87" t="str">
        <x:v>ТР №5</x:v>
      </x:c>
      <x:c r="J2652" s="87" t="str">
        <x:v>ХИ2510504</x:v>
      </x:c>
      <x:c r="K2652" s="87" t="n">
        <x:v>14</x:v>
      </x:c>
      <x:c r="L2652" s="87" t="str">
        <x:v>Органические реакции</x:v>
      </x:c>
      <x:c r="M2652" s="30" t="str">
        <x:v>Соотнести четыре схемы: Вюрц–Фиттиг, окислительное расщепление алкена, дегидрогалогенирование и электролиз Кольбе — с веществом X.</x:v>
      </x:c>
      <x:c r="N2652" s="30" t="str">
        <x:v>2135</x:v>
      </x:c>
      <x:c r="O2652" s="30" t="str">
        <x:v>CH₃Cl даёт толуол; гексен-3 окисляется до пропионовой кислоты; 1,2-дихлорпропан даёт пропин; CH₃COOK при электролизе даёт этан.</x:v>
      </x:c>
      <x:c r="P2652" s="30" t="str">
        <x:v>CH₃Cl даёт толуол; гексен-3 окисляется до пропионовой кислоты; 1,2-дихлорпропан даёт пропин; CH₃COOK при электролизе даёт этан.</x:v>
      </x:c>
      <x:c r="Q2652" s="30"/>
      <x:c r="R2652" s="30" t="str">
        <x:v>Kriterii_KhI11_27042026_.pdf (чистый скан): таблица ответов + фото-сводка + независимая проверка</x:v>
      </x:c>
      <x:c r="S2652" s="30"/>
      <x:c r="T2652" s="30"/>
      <x:c r="U2652" s="30" t="str">
        <x:v>Расхождений не обнаружено.</x:v>
      </x:c>
      <x:c r="V2652" s="87" t="str">
        <x:v>VERIFIED</x:v>
      </x:c>
      <x:c r="W2652" s="87" t="str">
        <x:v>Zadanie_KhI11_27042026_.pdf (чистый скан), внутренняя стр. 7</x:v>
      </x:c>
      <x:c r="X2652" s="87"/>
      <x:c r="Y2652" s="87"/>
      <x:c r="Z2652" s="87"/>
      <x:c r="AA2652" s="87"/>
      <x:c r="AB2652" s="87"/>
      <x:c r="AC2652" s="87"/>
      <x:c r="AD2652" s="87"/>
      <x:c r="AE2652" s="87"/>
      <x:c r="AF2652" s="87"/>
      <x:c r="AG2652" s="87"/>
      <x:c r="AH2652" s="87"/>
      <x:c r="AI2652" s="30"/>
      <x:c r="AJ2652" s="87" t="str">
        <x:v>master</x:v>
      </x:c>
      <x:c r="AK2652" s="87" t="str">
        <x:v>master-v0.81</x:v>
      </x:c>
      <x:c r="AL2652" s="87" t="str">
        <x:v>statgrad_master_base_v0_81_final(2).xlsx</x:v>
      </x:c>
      <x:c r="AM2652" s="87" t="str">
        <x:v>CHEM_Apr_V4</x:v>
      </x:c>
      <x:c r="AN2652" s="87" t="n">
        <x:v>15</x:v>
      </x:c>
    </x:row>
    <x:row r="2653">
      <x:c r="A2653" s="87" t="n">
        <x:v>2652</x:v>
      </x:c>
      <x:c r="B2653" s="87" t="str">
        <x:v>APR-CHEM-V4-015</x:v>
      </x:c>
      <x:c r="C2653" s="87" t="str">
        <x:v>СтатГрад</x:v>
      </x:c>
      <x:c r="D2653" s="87" t="str">
        <x:v>Апрель 2026</x:v>
      </x:c>
      <x:c r="E2653" s="87"/>
      <x:c r="F2653" s="87"/>
      <x:c r="G2653" s="87" t="str">
        <x:v>Химия</x:v>
      </x:c>
      <x:c r="H2653" s="87" t="n">
        <x:v>11</x:v>
      </x:c>
      <x:c r="I2653" s="87" t="str">
        <x:v>ТР №5</x:v>
      </x:c>
      <x:c r="J2653" s="87" t="str">
        <x:v>ХИ2510504</x:v>
      </x:c>
      <x:c r="K2653" s="87" t="n">
        <x:v>15</x:v>
      </x:c>
      <x:c r="L2653" s="87" t="str">
        <x:v>Продукты органических реакций</x:v>
      </x:c>
      <x:c r="M2653" s="30" t="str">
        <x:v>Соотнести щелочное плавление бензолсульфоната, пиролиз бензоата кальция, восстановление этилацетата и нитрование бензальдегида с продуктами.</x:v>
      </x:c>
      <x:c r="N2653" s="30" t="str">
        <x:v>4531</x:v>
      </x:c>
      <x:c r="O2653" s="30" t="str">
        <x:v>Получаются фенолят натрия, бензофенон, этанол и м-нитробензальдегид.</x:v>
      </x:c>
      <x:c r="P2653" s="30" t="str">
        <x:v>Получаются фенолят натрия, бензофенон, этанол и м-нитробензальдегид.</x:v>
      </x:c>
      <x:c r="Q2653" s="30"/>
      <x:c r="R2653" s="30" t="str">
        <x:v>Kriterii_KhI11_27042026_.pdf (чистый скан): таблица ответов + фото-сводка + независимая проверка</x:v>
      </x:c>
      <x:c r="S2653" s="30"/>
      <x:c r="T2653" s="30"/>
      <x:c r="U2653" s="30" t="str">
        <x:v>Расхождений не обнаружено.</x:v>
      </x:c>
      <x:c r="V2653" s="87" t="str">
        <x:v>VERIFIED</x:v>
      </x:c>
      <x:c r="W2653" s="87" t="str">
        <x:v>Zadanie_KhI11_27042026_.pdf (чистый скан), внутренняя стр. 8</x:v>
      </x:c>
      <x:c r="X2653" s="87"/>
      <x:c r="Y2653" s="87"/>
      <x:c r="Z2653" s="87"/>
      <x:c r="AA2653" s="87"/>
      <x:c r="AB2653" s="87"/>
      <x:c r="AC2653" s="87"/>
      <x:c r="AD2653" s="87"/>
      <x:c r="AE2653" s="87"/>
      <x:c r="AF2653" s="87"/>
      <x:c r="AG2653" s="87"/>
      <x:c r="AH2653" s="87"/>
      <x:c r="AI2653" s="30"/>
      <x:c r="AJ2653" s="87" t="str">
        <x:v>master</x:v>
      </x:c>
      <x:c r="AK2653" s="87" t="str">
        <x:v>master-v0.81</x:v>
      </x:c>
      <x:c r="AL2653" s="87" t="str">
        <x:v>statgrad_master_base_v0_81_final(2).xlsx</x:v>
      </x:c>
      <x:c r="AM2653" s="87" t="str">
        <x:v>CHEM_Apr_V4</x:v>
      </x:c>
      <x:c r="AN2653" s="87" t="n">
        <x:v>16</x:v>
      </x:c>
    </x:row>
    <x:row r="2654">
      <x:c r="A2654" s="87" t="n">
        <x:v>2653</x:v>
      </x:c>
      <x:c r="B2654" s="87" t="str">
        <x:v>APR-CHEM-V4-016</x:v>
      </x:c>
      <x:c r="C2654" s="87" t="str">
        <x:v>СтатГрад</x:v>
      </x:c>
      <x:c r="D2654" s="87" t="str">
        <x:v>Апрель 2026</x:v>
      </x:c>
      <x:c r="E2654" s="87"/>
      <x:c r="F2654" s="87"/>
      <x:c r="G2654" s="87" t="str">
        <x:v>Химия</x:v>
      </x:c>
      <x:c r="H2654" s="87" t="n">
        <x:v>11</x:v>
      </x:c>
      <x:c r="I2654" s="87" t="str">
        <x:v>ТР №5</x:v>
      </x:c>
      <x:c r="J2654" s="87" t="str">
        <x:v>ХИ2510504</x:v>
      </x:c>
      <x:c r="K2654" s="87" t="n">
        <x:v>16</x:v>
      </x:c>
      <x:c r="L2654" s="87" t="str">
        <x:v>Цепочка органических превращений</x:v>
      </x:c>
      <x:c r="M2654" s="30" t="str">
        <x:v>CH₃CH₂COOH → X → CH₃CH(NH₂)COOH → Y; определить X и Y.</x:v>
      </x:c>
      <x:c r="N2654" s="30" t="str">
        <x:v>15</x:v>
      </x:c>
      <x:c r="O2654" s="30" t="str">
        <x:v>Через 2-хлорпропановую кислоту получают аланин; действие HNO₂ заменяет NH₂ на OH и даёт молочную кислоту.</x:v>
      </x:c>
      <x:c r="P2654" s="30" t="str">
        <x:v>Через 2-хлорпропановую кислоту получают аланин; действие HNO₂ заменяет NH₂ на OH и даёт молочную кислоту.</x:v>
      </x:c>
      <x:c r="Q2654" s="30"/>
      <x:c r="R2654" s="30" t="str">
        <x:v>Фото-сводка ответов + Zadanie_KhI11_27042026_.pdf (чистый скан) + независимое решение</x:v>
      </x:c>
      <x:c r="S2654" s="30"/>
      <x:c r="T2654" s="30"/>
      <x:c r="U2654" s="30" t="str">
        <x:v>Расхождений не обнаружено.</x:v>
      </x:c>
      <x:c r="V2654" s="87" t="str">
        <x:v>VERIFIED</x:v>
      </x:c>
      <x:c r="W2654" s="87" t="str">
        <x:v>Zadanie_KhI11_27042026_.pdf (чистый скан), внутренняя стр. 8</x:v>
      </x:c>
      <x:c r="X2654" s="87"/>
      <x:c r="Y2654" s="87"/>
      <x:c r="Z2654" s="87"/>
      <x:c r="AA2654" s="87"/>
      <x:c r="AB2654" s="87"/>
      <x:c r="AC2654" s="87"/>
      <x:c r="AD2654" s="87"/>
      <x:c r="AE2654" s="87"/>
      <x:c r="AF2654" s="87"/>
      <x:c r="AG2654" s="87"/>
      <x:c r="AH2654" s="87"/>
      <x:c r="AI2654" s="30"/>
      <x:c r="AJ2654" s="87" t="str">
        <x:v>master</x:v>
      </x:c>
      <x:c r="AK2654" s="87" t="str">
        <x:v>master-v0.81</x:v>
      </x:c>
      <x:c r="AL2654" s="87" t="str">
        <x:v>statgrad_master_base_v0_81_final(2).xlsx</x:v>
      </x:c>
      <x:c r="AM2654" s="87" t="str">
        <x:v>CHEM_Apr_V4</x:v>
      </x:c>
      <x:c r="AN2654" s="87" t="n">
        <x:v>17</x:v>
      </x:c>
    </x:row>
    <x:row r="2655">
      <x:c r="A2655" s="87" t="n">
        <x:v>2654</x:v>
      </x:c>
      <x:c r="B2655" s="87" t="str">
        <x:v>APR-CHEM-V4-017</x:v>
      </x:c>
      <x:c r="C2655" s="87" t="str">
        <x:v>СтатГрад</x:v>
      </x:c>
      <x:c r="D2655" s="87" t="str">
        <x:v>Апрель 2026</x:v>
      </x:c>
      <x:c r="E2655" s="87"/>
      <x:c r="F2655" s="87"/>
      <x:c r="G2655" s="87" t="str">
        <x:v>Химия</x:v>
      </x:c>
      <x:c r="H2655" s="87" t="n">
        <x:v>11</x:v>
      </x:c>
      <x:c r="I2655" s="87" t="str">
        <x:v>ТР №5</x:v>
      </x:c>
      <x:c r="J2655" s="87" t="str">
        <x:v>ХИ2510504</x:v>
      </x:c>
      <x:c r="K2655" s="87" t="n">
        <x:v>17</x:v>
      </x:c>
      <x:c r="L2655" s="87" t="str">
        <x:v>Классификация реакций</x:v>
      </x:c>
      <x:c r="M2655" s="30" t="str">
        <x:v>Соотнести горение CO, метанол+HCOOH и Na+этанол с типами реакций.</x:v>
      </x:c>
      <x:c r="N2655" s="30" t="str">
        <x:v>142</x:v>
      </x:c>
      <x:c r="O2655" s="30" t="str">
        <x:v>Горение CO — соединение гомогенное; этерификация — замещение каталитическое; Na+этанол — необратимая гетерогенная.</x:v>
      </x:c>
      <x:c r="P2655" s="30" t="str">
        <x:v>Горение CO — соединение гомогенное; этерификация — замещение каталитическое; Na+этанол — необратимая гетерогенная.</x:v>
      </x:c>
      <x:c r="Q2655" s="30"/>
      <x:c r="R2655" s="30" t="str">
        <x:v>Фото-сводка ответов + Zadanie_KhI11_27042026_.pdf (чистый скан) + независимое решение</x:v>
      </x:c>
      <x:c r="S2655" s="30"/>
      <x:c r="T2655" s="30"/>
      <x:c r="U2655" s="30" t="str">
        <x:v>Расхождений не обнаружено.</x:v>
      </x:c>
      <x:c r="V2655" s="87" t="str">
        <x:v>VERIFIED</x:v>
      </x:c>
      <x:c r="W2655" s="87" t="str">
        <x:v>Zadanie_KhI11_27042026_.pdf (чистый скан), внутренняя стр. 9</x:v>
      </x:c>
      <x:c r="X2655" s="87"/>
      <x:c r="Y2655" s="87"/>
      <x:c r="Z2655" s="87"/>
      <x:c r="AA2655" s="87"/>
      <x:c r="AB2655" s="87"/>
      <x:c r="AC2655" s="87"/>
      <x:c r="AD2655" s="87"/>
      <x:c r="AE2655" s="87"/>
      <x:c r="AF2655" s="87"/>
      <x:c r="AG2655" s="87"/>
      <x:c r="AH2655" s="87"/>
      <x:c r="AI2655" s="30"/>
      <x:c r="AJ2655" s="87" t="str">
        <x:v>master</x:v>
      </x:c>
      <x:c r="AK2655" s="87" t="str">
        <x:v>master-v0.81</x:v>
      </x:c>
      <x:c r="AL2655" s="87" t="str">
        <x:v>statgrad_master_base_v0_81_final(2).xlsx</x:v>
      </x:c>
      <x:c r="AM2655" s="87" t="str">
        <x:v>CHEM_Apr_V4</x:v>
      </x:c>
      <x:c r="AN2655" s="87" t="n">
        <x:v>18</x:v>
      </x:c>
    </x:row>
    <x:row r="2656">
      <x:c r="A2656" s="87" t="n">
        <x:v>2655</x:v>
      </x:c>
      <x:c r="B2656" s="87" t="str">
        <x:v>APR-CHEM-V4-018</x:v>
      </x:c>
      <x:c r="C2656" s="87" t="str">
        <x:v>СтатГрад</x:v>
      </x:c>
      <x:c r="D2656" s="87" t="str">
        <x:v>Апрель 2026</x:v>
      </x:c>
      <x:c r="E2656" s="87"/>
      <x:c r="F2656" s="87"/>
      <x:c r="G2656" s="87" t="str">
        <x:v>Химия</x:v>
      </x:c>
      <x:c r="H2656" s="87" t="n">
        <x:v>11</x:v>
      </x:c>
      <x:c r="I2656" s="87" t="str">
        <x:v>ТР №5</x:v>
      </x:c>
      <x:c r="J2656" s="87" t="str">
        <x:v>ХИ2510504</x:v>
      </x:c>
      <x:c r="K2656" s="87" t="n">
        <x:v>18</x:v>
      </x:c>
      <x:c r="L2656" s="87" t="str">
        <x:v>Скорость реакции</x:v>
      </x:c>
      <x:c r="M2656" s="30" t="str">
        <x:v>Выбрать факторы, увеличивающие скорость окисления SO₂ кислородом.</x:v>
      </x:c>
      <x:c r="N2656" s="30" t="str">
        <x:v>345</x:v>
      </x:c>
      <x:c r="O2656" s="30" t="str">
        <x:v>Скорость растёт при повышении давления, добавлении O₂ и нагревании.</x:v>
      </x:c>
      <x:c r="P2656" s="30" t="str">
        <x:v>Скорость растёт при повышении давления, добавлении O₂ и нагревании.</x:v>
      </x:c>
      <x:c r="Q2656" s="30"/>
      <x:c r="R2656" s="30" t="str">
        <x:v>Фото-сводка ответов + Zadanie_KhI11_27042026_.pdf (чистый скан) + независимое решение</x:v>
      </x:c>
      <x:c r="S2656" s="30"/>
      <x:c r="T2656" s="30"/>
      <x:c r="U2656" s="30" t="str">
        <x:v>Расхождений не обнаружено.</x:v>
      </x:c>
      <x:c r="V2656" s="87" t="str">
        <x:v>VERIFIED</x:v>
      </x:c>
      <x:c r="W2656" s="87" t="str">
        <x:v>Zadanie_KhI11_27042026_.pdf (чистый скан), внутренняя стр. 9</x:v>
      </x:c>
      <x:c r="X2656" s="87"/>
      <x:c r="Y2656" s="87"/>
      <x:c r="Z2656" s="87"/>
      <x:c r="AA2656" s="87"/>
      <x:c r="AB2656" s="87"/>
      <x:c r="AC2656" s="87"/>
      <x:c r="AD2656" s="87"/>
      <x:c r="AE2656" s="87"/>
      <x:c r="AF2656" s="87"/>
      <x:c r="AG2656" s="87"/>
      <x:c r="AH2656" s="87"/>
      <x:c r="AI2656" s="30"/>
      <x:c r="AJ2656" s="87" t="str">
        <x:v>master</x:v>
      </x:c>
      <x:c r="AK2656" s="87" t="str">
        <x:v>master-v0.81</x:v>
      </x:c>
      <x:c r="AL2656" s="87" t="str">
        <x:v>statgrad_master_base_v0_81_final(2).xlsx</x:v>
      </x:c>
      <x:c r="AM2656" s="87" t="str">
        <x:v>CHEM_Apr_V4</x:v>
      </x:c>
      <x:c r="AN2656" s="87" t="n">
        <x:v>19</x:v>
      </x:c>
    </x:row>
    <x:row r="2657">
      <x:c r="A2657" s="87" t="n">
        <x:v>2656</x:v>
      </x:c>
      <x:c r="B2657" s="87" t="str">
        <x:v>APR-CHEM-V4-019</x:v>
      </x:c>
      <x:c r="C2657" s="87" t="str">
        <x:v>СтатГрад</x:v>
      </x:c>
      <x:c r="D2657" s="87" t="str">
        <x:v>Апрель 2026</x:v>
      </x:c>
      <x:c r="E2657" s="87"/>
      <x:c r="F2657" s="87"/>
      <x:c r="G2657" s="87" t="str">
        <x:v>Химия</x:v>
      </x:c>
      <x:c r="H2657" s="87" t="n">
        <x:v>11</x:v>
      </x:c>
      <x:c r="I2657" s="87" t="str">
        <x:v>ТР №5</x:v>
      </x:c>
      <x:c r="J2657" s="87" t="str">
        <x:v>ХИ2510504</x:v>
      </x:c>
      <x:c r="K2657" s="87" t="n">
        <x:v>19</x:v>
      </x:c>
      <x:c r="L2657" s="87" t="str">
        <x:v>ОВР: степени окисления</x:v>
      </x:c>
      <x:c r="M2657" s="30" t="str">
        <x:v>Соотнести три ОВР с изменением степени окисления окислителя.</x:v>
      </x:c>
      <x:c r="N2657" s="30" t="str">
        <x:v>214</x:v>
      </x:c>
      <x:c r="O2657" s="30" t="str">
        <x:v>Cl₂: 0→−1; O₂: 0→−2; N в HNO₃: +5→+2.</x:v>
      </x:c>
      <x:c r="P2657" s="30" t="str">
        <x:v>Cl₂: 0→−1; O₂: 0→−2; N в HNO₃: +5→+2.</x:v>
      </x:c>
      <x:c r="Q2657" s="30"/>
      <x:c r="R2657" s="30" t="str">
        <x:v>Фото-сводка ответов + Zadanie_KhI11_27042026_.pdf (чистый скан) + независимое решение</x:v>
      </x:c>
      <x:c r="S2657" s="30"/>
      <x:c r="T2657" s="30"/>
      <x:c r="U2657" s="30" t="str">
        <x:v>Расхождений не обнаружено.</x:v>
      </x:c>
      <x:c r="V2657" s="87" t="str">
        <x:v>VERIFIED</x:v>
      </x:c>
      <x:c r="W2657" s="87" t="str">
        <x:v>Zadanie_KhI11_27042026_.pdf (чистый скан), внутренняя стр. 10</x:v>
      </x:c>
      <x:c r="X2657" s="87"/>
      <x:c r="Y2657" s="87"/>
      <x:c r="Z2657" s="87"/>
      <x:c r="AA2657" s="87"/>
      <x:c r="AB2657" s="87"/>
      <x:c r="AC2657" s="87"/>
      <x:c r="AD2657" s="87"/>
      <x:c r="AE2657" s="87"/>
      <x:c r="AF2657" s="87"/>
      <x:c r="AG2657" s="87"/>
      <x:c r="AH2657" s="87"/>
      <x:c r="AI2657" s="30"/>
      <x:c r="AJ2657" s="87" t="str">
        <x:v>master</x:v>
      </x:c>
      <x:c r="AK2657" s="87" t="str">
        <x:v>master-v0.81</x:v>
      </x:c>
      <x:c r="AL2657" s="87" t="str">
        <x:v>statgrad_master_base_v0_81_final(2).xlsx</x:v>
      </x:c>
      <x:c r="AM2657" s="87" t="str">
        <x:v>CHEM_Apr_V4</x:v>
      </x:c>
      <x:c r="AN2657" s="87" t="n">
        <x:v>20</x:v>
      </x:c>
    </x:row>
    <x:row r="2658">
      <x:c r="A2658" s="87" t="n">
        <x:v>2657</x:v>
      </x:c>
      <x:c r="B2658" s="87" t="str">
        <x:v>APR-CHEM-V4-020</x:v>
      </x:c>
      <x:c r="C2658" s="87" t="str">
        <x:v>СтатГрад</x:v>
      </x:c>
      <x:c r="D2658" s="87" t="str">
        <x:v>Апрель 2026</x:v>
      </x:c>
      <x:c r="E2658" s="87"/>
      <x:c r="F2658" s="87"/>
      <x:c r="G2658" s="87" t="str">
        <x:v>Химия</x:v>
      </x:c>
      <x:c r="H2658" s="87" t="n">
        <x:v>11</x:v>
      </x:c>
      <x:c r="I2658" s="87" t="str">
        <x:v>ТР №5</x:v>
      </x:c>
      <x:c r="J2658" s="87" t="str">
        <x:v>ХИ2510504</x:v>
      </x:c>
      <x:c r="K2658" s="87" t="n">
        <x:v>20</x:v>
      </x:c>
      <x:c r="L2658" s="87" t="str">
        <x:v>Электролиз</x:v>
      </x:c>
      <x:c r="M2658" s="30" t="str">
        <x:v>Соотнести K, NaOH и KClO₃ со способом электролитического получения.</x:v>
      </x:c>
      <x:c r="N2658" s="30" t="str">
        <x:v>213</x:v>
      </x:c>
      <x:c r="O2658" s="30" t="str">
        <x:v>K получают из расплава KCl; NaOH — из раствора NaCl; KClO₃ — электролизом горячего раствора KCl.</x:v>
      </x:c>
      <x:c r="P2658" s="30" t="str">
        <x:v>K получают из расплава KCl; NaOH — из раствора NaCl; KClO₃ — электролизом горячего раствора KCl.</x:v>
      </x:c>
      <x:c r="Q2658" s="30"/>
      <x:c r="R2658" s="30" t="str">
        <x:v>Фото-сводка ответов + Zadanie_KhI11_27042026_.pdf (чистый скан) + независимое решение</x:v>
      </x:c>
      <x:c r="S2658" s="30"/>
      <x:c r="T2658" s="30"/>
      <x:c r="U2658" s="30" t="str">
        <x:v>Расхождений не обнаружено.</x:v>
      </x:c>
      <x:c r="V2658" s="87" t="str">
        <x:v>VERIFIED</x:v>
      </x:c>
      <x:c r="W2658" s="87" t="str">
        <x:v>Zadanie_KhI11_27042026_.pdf (чистый скан), внутренняя стр. 10</x:v>
      </x:c>
      <x:c r="X2658" s="87"/>
      <x:c r="Y2658" s="87"/>
      <x:c r="Z2658" s="87"/>
      <x:c r="AA2658" s="87"/>
      <x:c r="AB2658" s="87"/>
      <x:c r="AC2658" s="87"/>
      <x:c r="AD2658" s="87"/>
      <x:c r="AE2658" s="87"/>
      <x:c r="AF2658" s="87"/>
      <x:c r="AG2658" s="87"/>
      <x:c r="AH2658" s="87"/>
      <x:c r="AI2658" s="30"/>
      <x:c r="AJ2658" s="87" t="str">
        <x:v>master</x:v>
      </x:c>
      <x:c r="AK2658" s="87" t="str">
        <x:v>master-v0.81</x:v>
      </x:c>
      <x:c r="AL2658" s="87" t="str">
        <x:v>statgrad_master_base_v0_81_final(2).xlsx</x:v>
      </x:c>
      <x:c r="AM2658" s="87" t="str">
        <x:v>CHEM_Apr_V4</x:v>
      </x:c>
      <x:c r="AN2658" s="87" t="n">
        <x:v>21</x:v>
      </x:c>
    </x:row>
    <x:row r="2659">
      <x:c r="A2659" s="87" t="n">
        <x:v>2658</x:v>
      </x:c>
      <x:c r="B2659" s="87" t="str">
        <x:v>APR-CHEM-V4-021</x:v>
      </x:c>
      <x:c r="C2659" s="87" t="str">
        <x:v>СтатГрад</x:v>
      </x:c>
      <x:c r="D2659" s="87" t="str">
        <x:v>Апрель 2026</x:v>
      </x:c>
      <x:c r="E2659" s="87"/>
      <x:c r="F2659" s="87"/>
      <x:c r="G2659" s="87" t="str">
        <x:v>Химия</x:v>
      </x:c>
      <x:c r="H2659" s="87" t="n">
        <x:v>11</x:v>
      </x:c>
      <x:c r="I2659" s="87" t="str">
        <x:v>ТР №5</x:v>
      </x:c>
      <x:c r="J2659" s="87" t="str">
        <x:v>ХИ2510504</x:v>
      </x:c>
      <x:c r="K2659" s="87" t="n">
        <x:v>21</x:v>
      </x:c>
      <x:c r="L2659" s="87" t="str">
        <x:v>pH растворов</x:v>
      </x:c>
      <x:c r="M2659" s="30" t="str">
        <x:v>Расположить MgCl₂, Ca(OH)₂, Ca(NO₃)₂, HClO₄ по убыванию pH.</x:v>
      </x:c>
      <x:c r="N2659" s="30" t="str">
        <x:v>2314</x:v>
      </x:c>
      <x:c r="O2659" s="30" t="str">
        <x:v>Сильное основание &gt; нейтральная соль &gt; кислая вследствие гидролиза соль &gt; сильная кислота.</x:v>
      </x:c>
      <x:c r="P2659" s="30" t="str">
        <x:v>Сильное основание &gt; нейтральная соль &gt; кислая вследствие гидролиза соль &gt; сильная кислота.</x:v>
      </x:c>
      <x:c r="Q2659" s="30"/>
      <x:c r="R2659" s="30" t="str">
        <x:v>Фото-сводка ответов + Zadanie_KhI11_27042026_.pdf (чистый скан) + независимое решение</x:v>
      </x:c>
      <x:c r="S2659" s="30"/>
      <x:c r="T2659" s="30"/>
      <x:c r="U2659" s="30" t="str">
        <x:v>Расхождений не обнаружено.</x:v>
      </x:c>
      <x:c r="V2659" s="87" t="str">
        <x:v>VERIFIED</x:v>
      </x:c>
      <x:c r="W2659" s="87" t="str">
        <x:v>Zadanie_KhI11_27042026_.pdf (чистый скан), внутренняя стр. 11</x:v>
      </x:c>
      <x:c r="X2659" s="87"/>
      <x:c r="Y2659" s="87"/>
      <x:c r="Z2659" s="87"/>
      <x:c r="AA2659" s="87"/>
      <x:c r="AB2659" s="87"/>
      <x:c r="AC2659" s="87"/>
      <x:c r="AD2659" s="87"/>
      <x:c r="AE2659" s="87"/>
      <x:c r="AF2659" s="87"/>
      <x:c r="AG2659" s="87"/>
      <x:c r="AH2659" s="87"/>
      <x:c r="AI2659" s="30"/>
      <x:c r="AJ2659" s="87" t="str">
        <x:v>master</x:v>
      </x:c>
      <x:c r="AK2659" s="87" t="str">
        <x:v>master-v0.81</x:v>
      </x:c>
      <x:c r="AL2659" s="87" t="str">
        <x:v>statgrad_master_base_v0_81_final(2).xlsx</x:v>
      </x:c>
      <x:c r="AM2659" s="87" t="str">
        <x:v>CHEM_Apr_V4</x:v>
      </x:c>
      <x:c r="AN2659" s="87" t="n">
        <x:v>22</x:v>
      </x:c>
    </x:row>
    <x:row r="2660">
      <x:c r="A2660" s="87" t="n">
        <x:v>2659</x:v>
      </x:c>
      <x:c r="B2660" s="87" t="str">
        <x:v>APR-CHEM-V4-022</x:v>
      </x:c>
      <x:c r="C2660" s="87" t="str">
        <x:v>СтатГрад</x:v>
      </x:c>
      <x:c r="D2660" s="87" t="str">
        <x:v>Апрель 2026</x:v>
      </x:c>
      <x:c r="E2660" s="87"/>
      <x:c r="F2660" s="87"/>
      <x:c r="G2660" s="87" t="str">
        <x:v>Химия</x:v>
      </x:c>
      <x:c r="H2660" s="87" t="n">
        <x:v>11</x:v>
      </x:c>
      <x:c r="I2660" s="87" t="str">
        <x:v>ТР №5</x:v>
      </x:c>
      <x:c r="J2660" s="87" t="str">
        <x:v>ХИ2510504</x:v>
      </x:c>
      <x:c r="K2660" s="87" t="n">
        <x:v>22</x:v>
      </x:c>
      <x:c r="L2660" s="87" t="str">
        <x:v>Химическое равновесие</x:v>
      </x:c>
      <x:c r="M2660" s="30" t="str">
        <x:v>Для C(тв)+CO₂(г) ⇄ 2CO(г)−Q определить сдвиг при нагревании, повышении давления, катализаторе и добавлении CO.</x:v>
      </x:c>
      <x:c r="N2660" s="30" t="str">
        <x:v>1232</x:v>
      </x:c>
      <x:c r="O2660" s="30" t="str">
        <x:v>Нагревание сдвигает эндотермическую реакцию вправо; давление и CO — влево; катализатор равновесие не смещает.</x:v>
      </x:c>
      <x:c r="P2660" s="30" t="str">
        <x:v>Нагревание сдвигает эндотермическую реакцию вправо; давление и CO — влево; катализатор равновесие не смещает.</x:v>
      </x:c>
      <x:c r="Q2660" s="30"/>
      <x:c r="R2660" s="30" t="str">
        <x:v>Kriterii_KhI11_27042026_.pdf (чистый скан): таблица ответов + фото-сводка + независимая проверка</x:v>
      </x:c>
      <x:c r="S2660" s="30"/>
      <x:c r="T2660" s="30"/>
      <x:c r="U2660" s="30" t="str">
        <x:v>Расхождений не обнаружено.</x:v>
      </x:c>
      <x:c r="V2660" s="87" t="str">
        <x:v>VERIFIED</x:v>
      </x:c>
      <x:c r="W2660" s="87" t="str">
        <x:v>Zadanie_KhI11_27042026_.pdf (чистый скан), внутренняя стр. 12</x:v>
      </x:c>
      <x:c r="X2660" s="87"/>
      <x:c r="Y2660" s="87"/>
      <x:c r="Z2660" s="87"/>
      <x:c r="AA2660" s="87"/>
      <x:c r="AB2660" s="87"/>
      <x:c r="AC2660" s="87"/>
      <x:c r="AD2660" s="87"/>
      <x:c r="AE2660" s="87"/>
      <x:c r="AF2660" s="87"/>
      <x:c r="AG2660" s="87"/>
      <x:c r="AH2660" s="87"/>
      <x:c r="AI2660" s="30"/>
      <x:c r="AJ2660" s="87" t="str">
        <x:v>master</x:v>
      </x:c>
      <x:c r="AK2660" s="87" t="str">
        <x:v>master-v0.81</x:v>
      </x:c>
      <x:c r="AL2660" s="87" t="str">
        <x:v>statgrad_master_base_v0_81_final(2).xlsx</x:v>
      </x:c>
      <x:c r="AM2660" s="87" t="str">
        <x:v>CHEM_Apr_V4</x:v>
      </x:c>
      <x:c r="AN2660" s="87" t="n">
        <x:v>23</x:v>
      </x:c>
    </x:row>
    <x:row r="2661">
      <x:c r="A2661" s="87" t="n">
        <x:v>2660</x:v>
      </x:c>
      <x:c r="B2661" s="87" t="str">
        <x:v>APR-CHEM-V4-023</x:v>
      </x:c>
      <x:c r="C2661" s="87" t="str">
        <x:v>СтатГрад</x:v>
      </x:c>
      <x:c r="D2661" s="87" t="str">
        <x:v>Апрель 2026</x:v>
      </x:c>
      <x:c r="E2661" s="87"/>
      <x:c r="F2661" s="87"/>
      <x:c r="G2661" s="87" t="str">
        <x:v>Химия</x:v>
      </x:c>
      <x:c r="H2661" s="87" t="n">
        <x:v>11</x:v>
      </x:c>
      <x:c r="I2661" s="87" t="str">
        <x:v>ТР №5</x:v>
      </x:c>
      <x:c r="J2661" s="87" t="str">
        <x:v>ХИ2510504</x:v>
      </x:c>
      <x:c r="K2661" s="87" t="n">
        <x:v>23</x:v>
      </x:c>
      <x:c r="L2661" s="87" t="str">
        <x:v>Равновесные концентрации</x:v>
      </x:c>
      <x:c r="M2661" s="30" t="str">
        <x:v>Для 2NH₃⇄N₂+3H₂ при [NH₃]=0,4 и [N₂]=0,1 найти исходную [NH₃] и равновесную [H₂].</x:v>
      </x:c>
      <x:c r="N2661" s="30" t="str">
        <x:v>4; 2</x:v>
      </x:c>
      <x:c r="O2661" s="30" t="str">
        <x:v>Разложилось 0,2 моль/л NH₃; исходно было 0,6, а H₂ образовалось 0,3 моль/л.</x:v>
      </x:c>
      <x:c r="P2661" s="30" t="str">
        <x:v>Таблица ICE даёт варианты 4 и 2.</x:v>
      </x:c>
      <x:c r="Q2661" s="30"/>
      <x:c r="R2661" s="30" t="str">
        <x:v>Фото-сводка ответов + Zadanie_KhI11_27042026_.pdf (чистый скан) + независимое решение</x:v>
      </x:c>
      <x:c r="S2661" s="30"/>
      <x:c r="T2661" s="30"/>
      <x:c r="U2661" s="30" t="str">
        <x:v>Расхождений не обнаружено.</x:v>
      </x:c>
      <x:c r="V2661" s="87" t="str">
        <x:v>VERIFIED</x:v>
      </x:c>
      <x:c r="W2661" s="87" t="str">
        <x:v>Zadanie_KhI11_27042026_.pdf (чистый скан), внутренняя стр. 12</x:v>
      </x:c>
      <x:c r="X2661" s="87"/>
      <x:c r="Y2661" s="87"/>
      <x:c r="Z2661" s="87"/>
      <x:c r="AA2661" s="87"/>
      <x:c r="AB2661" s="87"/>
      <x:c r="AC2661" s="87"/>
      <x:c r="AD2661" s="87"/>
      <x:c r="AE2661" s="87"/>
      <x:c r="AF2661" s="87"/>
      <x:c r="AG2661" s="87"/>
      <x:c r="AH2661" s="87"/>
      <x:c r="AI2661" s="30"/>
      <x:c r="AJ2661" s="87" t="str">
        <x:v>master</x:v>
      </x:c>
      <x:c r="AK2661" s="87" t="str">
        <x:v>master-v0.81</x:v>
      </x:c>
      <x:c r="AL2661" s="87" t="str">
        <x:v>statgrad_master_base_v0_81_final(2).xlsx</x:v>
      </x:c>
      <x:c r="AM2661" s="87" t="str">
        <x:v>CHEM_Apr_V4</x:v>
      </x:c>
      <x:c r="AN2661" s="87" t="n">
        <x:v>24</x:v>
      </x:c>
    </x:row>
    <x:row r="2662">
      <x:c r="A2662" s="87" t="n">
        <x:v>2661</x:v>
      </x:c>
      <x:c r="B2662" s="87" t="str">
        <x:v>APR-CHEM-V4-024</x:v>
      </x:c>
      <x:c r="C2662" s="87" t="str">
        <x:v>СтатГрад</x:v>
      </x:c>
      <x:c r="D2662" s="87" t="str">
        <x:v>Апрель 2026</x:v>
      </x:c>
      <x:c r="E2662" s="87"/>
      <x:c r="F2662" s="87"/>
      <x:c r="G2662" s="87" t="str">
        <x:v>Химия</x:v>
      </x:c>
      <x:c r="H2662" s="87" t="n">
        <x:v>11</x:v>
      </x:c>
      <x:c r="I2662" s="87" t="str">
        <x:v>ТР №5</x:v>
      </x:c>
      <x:c r="J2662" s="87" t="str">
        <x:v>ХИ2510504</x:v>
      </x:c>
      <x:c r="K2662" s="87" t="n">
        <x:v>24</x:v>
      </x:c>
      <x:c r="L2662" s="87" t="str">
        <x:v>Признаки реакций</x:v>
      </x:c>
      <x:c r="M2662" s="30" t="str">
        <x:v>Соотнести четыре пары реагентов с наблюдаемым признаком.</x:v>
      </x:c>
      <x:c r="N2662" s="30" t="str">
        <x:v>5243</x:v>
      </x:c>
      <x:c r="O2662" s="30" t="str">
        <x:v>Подкисление нитрита — без устойчивого видимого признака; Ag₂CO₃ выпадает; Ag₂O растворяется в NH₃; Fe³⁺ восстанавливается SO₂ с изменением цвета.</x:v>
      </x:c>
      <x:c r="P2662" s="30" t="str">
        <x:v>Подкисление нитрита — без устойчивого видимого признака; Ag₂CO₃ выпадает; Ag₂O растворяется в NH₃; Fe³⁺ восстанавливается SO₂ с изменением цвета.</x:v>
      </x:c>
      <x:c r="Q2662" s="30"/>
      <x:c r="R2662" s="30" t="str">
        <x:v>Kriterii_KhI11_27042026_.pdf (чистый скан): таблица ответов + фото-сводка + независимая проверка</x:v>
      </x:c>
      <x:c r="S2662" s="30"/>
      <x:c r="T2662" s="30"/>
      <x:c r="U2662" s="30" t="str">
        <x:v>Расхождений не обнаружено.</x:v>
      </x:c>
      <x:c r="V2662" s="87" t="str">
        <x:v>VERIFIED</x:v>
      </x:c>
      <x:c r="W2662" s="87" t="str">
        <x:v>Zadanie_KhI11_27042026_.pdf (чистый скан), внутренняя стр. 13</x:v>
      </x:c>
      <x:c r="X2662" s="87"/>
      <x:c r="Y2662" s="87"/>
      <x:c r="Z2662" s="87"/>
      <x:c r="AA2662" s="87"/>
      <x:c r="AB2662" s="87"/>
      <x:c r="AC2662" s="87"/>
      <x:c r="AD2662" s="87"/>
      <x:c r="AE2662" s="87"/>
      <x:c r="AF2662" s="87"/>
      <x:c r="AG2662" s="87"/>
      <x:c r="AH2662" s="87"/>
      <x:c r="AI2662" s="30"/>
      <x:c r="AJ2662" s="87" t="str">
        <x:v>master</x:v>
      </x:c>
      <x:c r="AK2662" s="87" t="str">
        <x:v>master-v0.81</x:v>
      </x:c>
      <x:c r="AL2662" s="87" t="str">
        <x:v>statgrad_master_base_v0_81_final(2).xlsx</x:v>
      </x:c>
      <x:c r="AM2662" s="87" t="str">
        <x:v>CHEM_Apr_V4</x:v>
      </x:c>
      <x:c r="AN2662" s="87" t="n">
        <x:v>25</x:v>
      </x:c>
    </x:row>
    <x:row r="2663">
      <x:c r="A2663" s="87" t="n">
        <x:v>2662</x:v>
      </x:c>
      <x:c r="B2663" s="87" t="str">
        <x:v>APR-CHEM-V4-025</x:v>
      </x:c>
      <x:c r="C2663" s="87" t="str">
        <x:v>СтатГрад</x:v>
      </x:c>
      <x:c r="D2663" s="87" t="str">
        <x:v>Апрель 2026</x:v>
      </x:c>
      <x:c r="E2663" s="87"/>
      <x:c r="F2663" s="87"/>
      <x:c r="G2663" s="87" t="str">
        <x:v>Химия</x:v>
      </x:c>
      <x:c r="H2663" s="87" t="n">
        <x:v>11</x:v>
      </x:c>
      <x:c r="I2663" s="87" t="str">
        <x:v>ТР №5</x:v>
      </x:c>
      <x:c r="J2663" s="87" t="str">
        <x:v>ХИ2510504</x:v>
      </x:c>
      <x:c r="K2663" s="87" t="n">
        <x:v>25</x:v>
      </x:c>
      <x:c r="L2663" s="87" t="str">
        <x:v>Применение веществ</x:v>
      </x:c>
      <x:c r="M2663" s="30" t="str">
        <x:v>Соотнести SO₂, H₂SO₄ и этиленгликоль с применением.</x:v>
      </x:c>
      <x:c r="N2663" s="30" t="str">
        <x:v>123</x:v>
      </x:c>
      <x:c r="O2663" s="30" t="str">
        <x:v>SO₂ отбеливает бумагу, H₂SO₄ используют в производстве удобрений, этиленгликоль — пластмасс/полиэфиров.</x:v>
      </x:c>
      <x:c r="P2663" s="30" t="str">
        <x:v>SO₂ отбеливает бумагу, H₂SO₄ используют в производстве удобрений, этиленгликоль — пластмасс/полиэфиров.</x:v>
      </x:c>
      <x:c r="Q2663" s="30"/>
      <x:c r="R2663" s="30" t="str">
        <x:v>Фото-сводка ответов + Zadanie_KhI11_27042026_.pdf (чистый скан) + независимое решение</x:v>
      </x:c>
      <x:c r="S2663" s="30"/>
      <x:c r="T2663" s="30"/>
      <x:c r="U2663" s="30" t="str">
        <x:v>Расхождений не обнаружено.</x:v>
      </x:c>
      <x:c r="V2663" s="87" t="str">
        <x:v>VERIFIED</x:v>
      </x:c>
      <x:c r="W2663" s="87" t="str">
        <x:v>Zadanie_KhI11_27042026_.pdf (чистый скан), внутренняя стр. 13</x:v>
      </x:c>
      <x:c r="X2663" s="87"/>
      <x:c r="Y2663" s="87"/>
      <x:c r="Z2663" s="87"/>
      <x:c r="AA2663" s="87"/>
      <x:c r="AB2663" s="87"/>
      <x:c r="AC2663" s="87"/>
      <x:c r="AD2663" s="87"/>
      <x:c r="AE2663" s="87"/>
      <x:c r="AF2663" s="87"/>
      <x:c r="AG2663" s="87"/>
      <x:c r="AH2663" s="87"/>
      <x:c r="AI2663" s="30"/>
      <x:c r="AJ2663" s="87" t="str">
        <x:v>master</x:v>
      </x:c>
      <x:c r="AK2663" s="87" t="str">
        <x:v>master-v0.81</x:v>
      </x:c>
      <x:c r="AL2663" s="87" t="str">
        <x:v>statgrad_master_base_v0_81_final(2).xlsx</x:v>
      </x:c>
      <x:c r="AM2663" s="87" t="str">
        <x:v>CHEM_Apr_V4</x:v>
      </x:c>
      <x:c r="AN2663" s="87" t="n">
        <x:v>26</x:v>
      </x:c>
    </x:row>
    <x:row r="2664">
      <x:c r="A2664" s="87" t="n">
        <x:v>2663</x:v>
      </x:c>
      <x:c r="B2664" s="87" t="str">
        <x:v>APR-CHEM-V4-026</x:v>
      </x:c>
      <x:c r="C2664" s="87" t="str">
        <x:v>СтатГрад</x:v>
      </x:c>
      <x:c r="D2664" s="87" t="str">
        <x:v>Апрель 2026</x:v>
      </x:c>
      <x:c r="E2664" s="87"/>
      <x:c r="F2664" s="87"/>
      <x:c r="G2664" s="87" t="str">
        <x:v>Химия</x:v>
      </x:c>
      <x:c r="H2664" s="87" t="n">
        <x:v>11</x:v>
      </x:c>
      <x:c r="I2664" s="87" t="str">
        <x:v>ТР №5</x:v>
      </x:c>
      <x:c r="J2664" s="87" t="str">
        <x:v>ХИ2510504</x:v>
      </x:c>
      <x:c r="K2664" s="87" t="n">
        <x:v>26</x:v>
      </x:c>
      <x:c r="L2664" s="87" t="str">
        <x:v>Растворы: молярная концентрация</x:v>
      </x:c>
      <x:c r="M2664" s="30" t="str">
        <x:v>Из 36,5%-й HCl приготовить 400 мл 0,5 М раствора; найти массу исходного раствора.</x:v>
      </x:c>
      <x:c r="N2664" s="30" t="str">
        <x:v>20</x:v>
      </x:c>
      <x:c r="O2664" s="30" t="str">
        <x:v>n(HCl)=0,4·0,5=0,2 моль; m(HCl)=7,3 г; m(раствора)=7,3/0,365=20 г.</x:v>
      </x:c>
      <x:c r="P2664" s="30" t="str">
        <x:v>n(HCl)=0,4·0,5=0,2 моль; m(HCl)=7,3 г; m(раствора)=7,3/0,365=20 г.</x:v>
      </x:c>
      <x:c r="Q2664" s="30"/>
      <x:c r="R2664" s="30" t="str">
        <x:v>Фото-сводка ответов + Zadanie_KhI11_27042026_.pdf (чистый скан) + независимое решение</x:v>
      </x:c>
      <x:c r="S2664" s="30"/>
      <x:c r="T2664" s="30"/>
      <x:c r="U2664" s="30" t="str">
        <x:v>Расхождений не обнаружено.</x:v>
      </x:c>
      <x:c r="V2664" s="87" t="str">
        <x:v>VERIFIED</x:v>
      </x:c>
      <x:c r="W2664" s="87" t="str">
        <x:v>Zadanie_KhI11_27042026_.pdf (чистый скан), внутренняя стр. 14</x:v>
      </x:c>
      <x:c r="X2664" s="87"/>
      <x:c r="Y2664" s="87"/>
      <x:c r="Z2664" s="87"/>
      <x:c r="AA2664" s="87"/>
      <x:c r="AB2664" s="87"/>
      <x:c r="AC2664" s="87"/>
      <x:c r="AD2664" s="87"/>
      <x:c r="AE2664" s="87"/>
      <x:c r="AF2664" s="87"/>
      <x:c r="AG2664" s="87"/>
      <x:c r="AH2664" s="87"/>
      <x:c r="AI2664" s="30"/>
      <x:c r="AJ2664" s="87" t="str">
        <x:v>master</x:v>
      </x:c>
      <x:c r="AK2664" s="87" t="str">
        <x:v>master-v0.81</x:v>
      </x:c>
      <x:c r="AL2664" s="87" t="str">
        <x:v>statgrad_master_base_v0_81_final(2).xlsx</x:v>
      </x:c>
      <x:c r="AM2664" s="87" t="str">
        <x:v>CHEM_Apr_V4</x:v>
      </x:c>
      <x:c r="AN2664" s="87" t="n">
        <x:v>27</x:v>
      </x:c>
    </x:row>
    <x:row r="2665">
      <x:c r="A2665" s="87" t="n">
        <x:v>2664</x:v>
      </x:c>
      <x:c r="B2665" s="87" t="str">
        <x:v>APR-CHEM-V4-027</x:v>
      </x:c>
      <x:c r="C2665" s="87" t="str">
        <x:v>СтатГрад</x:v>
      </x:c>
      <x:c r="D2665" s="87" t="str">
        <x:v>Апрель 2026</x:v>
      </x:c>
      <x:c r="E2665" s="87"/>
      <x:c r="F2665" s="87"/>
      <x:c r="G2665" s="87" t="str">
        <x:v>Химия</x:v>
      </x:c>
      <x:c r="H2665" s="87" t="n">
        <x:v>11</x:v>
      </x:c>
      <x:c r="I2665" s="87" t="str">
        <x:v>ТР №5</x:v>
      </x:c>
      <x:c r="J2665" s="87" t="str">
        <x:v>ХИ2510504</x:v>
      </x:c>
      <x:c r="K2665" s="87" t="n">
        <x:v>27</x:v>
      </x:c>
      <x:c r="L2665" s="87" t="str">
        <x:v>Термохимия</x:v>
      </x:c>
      <x:c r="M2665" s="30" t="str">
        <x:v>По 2Mg(NO₃)₂→2MgO+4NO₂+O₂−4150 кДж при 83 кДж найти массу соли.</x:v>
      </x:c>
      <x:c r="N2665" s="30" t="str">
        <x:v>5,92</x:v>
      </x:c>
      <x:c r="O2665" s="30" t="str">
        <x:v>83/4150=0,02 стехиометрического акта; разложилось 0,04 моль соли, m=0,04·148=5,92 г.</x:v>
      </x:c>
      <x:c r="P2665" s="30" t="str">
        <x:v>83/4150=0,02 стехиометрического акта; разложилось 0,04 моль соли, m=0,04·148=5,92 г.</x:v>
      </x:c>
      <x:c r="Q2665" s="30"/>
      <x:c r="R2665" s="30" t="str">
        <x:v>Фото-сводка ответов + Zadanie_KhI11_27042026_.pdf (чистый скан) + независимое решение</x:v>
      </x:c>
      <x:c r="S2665" s="30"/>
      <x:c r="T2665" s="30"/>
      <x:c r="U2665" s="30" t="str">
        <x:v>Расхождений не обнаружено.</x:v>
      </x:c>
      <x:c r="V2665" s="87" t="str">
        <x:v>VERIFIED</x:v>
      </x:c>
      <x:c r="W2665" s="87" t="str">
        <x:v>Zadanie_KhI11_27042026_.pdf (чистый скан), внутренняя стр. 14</x:v>
      </x:c>
      <x:c r="X2665" s="87"/>
      <x:c r="Y2665" s="87"/>
      <x:c r="Z2665" s="87"/>
      <x:c r="AA2665" s="87"/>
      <x:c r="AB2665" s="87"/>
      <x:c r="AC2665" s="87"/>
      <x:c r="AD2665" s="87"/>
      <x:c r="AE2665" s="87"/>
      <x:c r="AF2665" s="87"/>
      <x:c r="AG2665" s="87"/>
      <x:c r="AH2665" s="87"/>
      <x:c r="AI2665" s="30"/>
      <x:c r="AJ2665" s="87" t="str">
        <x:v>master</x:v>
      </x:c>
      <x:c r="AK2665" s="87" t="str">
        <x:v>master-v0.81</x:v>
      </x:c>
      <x:c r="AL2665" s="87" t="str">
        <x:v>statgrad_master_base_v0_81_final(2).xlsx</x:v>
      </x:c>
      <x:c r="AM2665" s="87" t="str">
        <x:v>CHEM_Apr_V4</x:v>
      </x:c>
      <x:c r="AN2665" s="87" t="n">
        <x:v>28</x:v>
      </x:c>
    </x:row>
    <x:row r="2666">
      <x:c r="A2666" s="87" t="n">
        <x:v>2665</x:v>
      </x:c>
      <x:c r="B2666" s="87" t="str">
        <x:v>APR-CHEM-V4-028</x:v>
      </x:c>
      <x:c r="C2666" s="87" t="str">
        <x:v>СтатГрад</x:v>
      </x:c>
      <x:c r="D2666" s="87" t="str">
        <x:v>Апрель 2026</x:v>
      </x:c>
      <x:c r="E2666" s="87"/>
      <x:c r="F2666" s="87"/>
      <x:c r="G2666" s="87" t="str">
        <x:v>Химия</x:v>
      </x:c>
      <x:c r="H2666" s="87" t="n">
        <x:v>11</x:v>
      </x:c>
      <x:c r="I2666" s="87" t="str">
        <x:v>ТР №5</x:v>
      </x:c>
      <x:c r="J2666" s="87" t="str">
        <x:v>ХИ2510504</x:v>
      </x:c>
      <x:c r="K2666" s="87" t="n">
        <x:v>28</x:v>
      </x:c>
      <x:c r="L2666" s="87" t="str">
        <x:v>Выход продукта</x:v>
      </x:c>
      <x:c r="M2666" s="30" t="str">
        <x:v>При нитровании толуола получено 28,77 г о-нитротолуола с выходом 35%; найти массу толуола.</x:v>
      </x:c>
      <x:c r="N2666" s="30" t="str">
        <x:v>55,2</x:v>
      </x:c>
      <x:c r="O2666" s="30" t="str">
        <x:v>n продукта=28,77/137=0,21 моль; теоретически 0,60 моль толуола; m=0,60·92=55,2 г.</x:v>
      </x:c>
      <x:c r="P2666" s="30" t="str">
        <x:v>n продукта=28,77/137=0,21 моль; теоретически 0,60 моль толуола; m=0,60·92=55,2 г.</x:v>
      </x:c>
      <x:c r="Q2666" s="30"/>
      <x:c r="R2666" s="30" t="str">
        <x:v>Фото-сводка ответов + Zadanie_KhI11_27042026_.pdf (чистый скан) + независимое решение</x:v>
      </x:c>
      <x:c r="S2666" s="30"/>
      <x:c r="T2666" s="30"/>
      <x:c r="U2666" s="30" t="str">
        <x:v>Расхождений не обнаружено.</x:v>
      </x:c>
      <x:c r="V2666" s="87" t="str">
        <x:v>VERIFIED</x:v>
      </x:c>
      <x:c r="W2666" s="87" t="str">
        <x:v>Zadanie_KhI11_27042026_.pdf (чистый скан), внутренняя стр. 14</x:v>
      </x:c>
      <x:c r="X2666" s="87"/>
      <x:c r="Y2666" s="87"/>
      <x:c r="Z2666" s="87"/>
      <x:c r="AA2666" s="87"/>
      <x:c r="AB2666" s="87"/>
      <x:c r="AC2666" s="87"/>
      <x:c r="AD2666" s="87"/>
      <x:c r="AE2666" s="87"/>
      <x:c r="AF2666" s="87"/>
      <x:c r="AG2666" s="87"/>
      <x:c r="AH2666" s="87"/>
      <x:c r="AI2666" s="30"/>
      <x:c r="AJ2666" s="87" t="str">
        <x:v>master</x:v>
      </x:c>
      <x:c r="AK2666" s="87" t="str">
        <x:v>master-v0.81</x:v>
      </x:c>
      <x:c r="AL2666" s="87" t="str">
        <x:v>statgrad_master_base_v0_81_final(2).xlsx</x:v>
      </x:c>
      <x:c r="AM2666" s="87" t="str">
        <x:v>CHEM_Apr_V4</x:v>
      </x:c>
      <x:c r="AN2666" s="87" t="n">
        <x:v>29</x:v>
      </x:c>
    </x:row>
    <x:row r="2667">
      <x:c r="A2667" s="87" t="n">
        <x:v>2666</x:v>
      </x:c>
      <x:c r="B2667" s="87" t="str">
        <x:v>APR-CHEM-V4-029</x:v>
      </x:c>
      <x:c r="C2667" s="87" t="str">
        <x:v>СтатГрад</x:v>
      </x:c>
      <x:c r="D2667" s="87" t="str">
        <x:v>Апрель 2026</x:v>
      </x:c>
      <x:c r="E2667" s="87"/>
      <x:c r="F2667" s="87"/>
      <x:c r="G2667" s="87" t="str">
        <x:v>Химия</x:v>
      </x:c>
      <x:c r="H2667" s="87" t="n">
        <x:v>11</x:v>
      </x:c>
      <x:c r="I2667" s="87" t="str">
        <x:v>ТР №5</x:v>
      </x:c>
      <x:c r="J2667" s="87" t="str">
        <x:v>ХИ2510504</x:v>
      </x:c>
      <x:c r="K2667" s="87" t="n">
        <x:v>29</x:v>
      </x:c>
      <x:c r="L2667" s="87" t="str">
        <x:v>Развёрнутый ответ: ОВР</x:v>
      </x:c>
      <x:c r="M2667" s="30" t="str">
        <x:v>Из HNO₃, BaCO₃, H₂O₂, NaOH, Si, AgNO₃ выбрать ОВР с образованием осадка и газа.</x:v>
      </x:c>
      <x:c r="N2667" s="30" t="str">
        <x:v>2AgNO₃+H₂O₂→2Ag↓+O₂↑+2HNO₃.
Баланс: Ag⁺+e⁻→Ag (×2); 2O(−1)−2e⁻→O₂.
Окислитель AgNO₃, восстановитель H₂O₂.</x:v>
      </x:c>
      <x:c r="O2667" s="30" t="str">
        <x:v>Ag⁺ восстанавливается до Ag, кислород пероксида окисляется до O₂.</x:v>
      </x:c>
      <x:c r="P2667" s="30" t="str">
        <x:v>Атомный и электронный баланс проверены.</x:v>
      </x:c>
      <x:c r="Q2667" s="30"/>
      <x:c r="R2667" s="30" t="str">
        <x:v>Kriterii_KhI11_27042026_.pdf (чистый скан) + независимая проверка</x:v>
      </x:c>
      <x:c r="S2667" s="30"/>
      <x:c r="T2667" s="30"/>
      <x:c r="U2667" s="30" t="str">
        <x:v>Расхождений не обнаружено.</x:v>
      </x:c>
      <x:c r="V2667" s="87" t="str">
        <x:v>VERIFIED</x:v>
      </x:c>
      <x:c r="W2667" s="87" t="str">
        <x:v>Zadanie_KhI11_27042026_.pdf (чистый скан), внутренняя стр. 15</x:v>
      </x:c>
      <x:c r="X2667" s="87"/>
      <x:c r="Y2667" s="87"/>
      <x:c r="Z2667" s="87"/>
      <x:c r="AA2667" s="87"/>
      <x:c r="AB2667" s="87"/>
      <x:c r="AC2667" s="87"/>
      <x:c r="AD2667" s="87"/>
      <x:c r="AE2667" s="87"/>
      <x:c r="AF2667" s="87"/>
      <x:c r="AG2667" s="87"/>
      <x:c r="AH2667" s="87"/>
      <x:c r="AI2667" s="30"/>
      <x:c r="AJ2667" s="87" t="str">
        <x:v>master</x:v>
      </x:c>
      <x:c r="AK2667" s="87" t="str">
        <x:v>master-v0.81</x:v>
      </x:c>
      <x:c r="AL2667" s="87" t="str">
        <x:v>statgrad_master_base_v0_81_final(2).xlsx</x:v>
      </x:c>
      <x:c r="AM2667" s="87" t="str">
        <x:v>CHEM_Apr_V4</x:v>
      </x:c>
      <x:c r="AN2667" s="87" t="n">
        <x:v>30</x:v>
      </x:c>
    </x:row>
    <x:row r="2668">
      <x:c r="A2668" s="87" t="n">
        <x:v>2667</x:v>
      </x:c>
      <x:c r="B2668" s="87" t="str">
        <x:v>APR-CHEM-V4-030</x:v>
      </x:c>
      <x:c r="C2668" s="87" t="str">
        <x:v>СтатГрад</x:v>
      </x:c>
      <x:c r="D2668" s="87" t="str">
        <x:v>Апрель 2026</x:v>
      </x:c>
      <x:c r="E2668" s="87"/>
      <x:c r="F2668" s="87"/>
      <x:c r="G2668" s="87" t="str">
        <x:v>Химия</x:v>
      </x:c>
      <x:c r="H2668" s="87" t="n">
        <x:v>11</x:v>
      </x:c>
      <x:c r="I2668" s="87" t="str">
        <x:v>ТР №5</x:v>
      </x:c>
      <x:c r="J2668" s="87" t="str">
        <x:v>ХИ2510504</x:v>
      </x:c>
      <x:c r="K2668" s="87" t="n">
        <x:v>30</x:v>
      </x:c>
      <x:c r="L2668" s="87" t="str">
        <x:v>Развёрнутый ответ: ионный обмен</x:v>
      </x:c>
      <x:c r="M2668" s="30" t="str">
        <x:v>Из перечня HNO₃, BaCO₃, H₂O₂, NaOH, Si, AgNO₃ выбрать реакцию ионного обмена с образованием осадка.</x:v>
      </x:c>
      <x:c r="N2668" s="30" t="str">
        <x:v>2AgNO₃+2NaOH→Ag₂O↓+2NaNO₃+H₂O.
Полное ионное: 2Ag⁺+2NO₃⁻+2Na⁺+2OH⁻→Ag₂O↓+2Na⁺+2NO₃⁻+H₂O.
Сокращённое: 2Ag⁺+2OH⁻→Ag₂O↓+H₂O.</x:v>
      </x:c>
      <x:c r="O2668" s="30" t="str">
        <x:v>Ag⁺ с OH⁻ образует неустойчивый AgOH, разлагающийся до Ag₂O.</x:v>
      </x:c>
      <x:c r="P2668" s="30" t="str">
        <x:v>Уравнения сверены с чистым сканом критериев ХИ2510504.</x:v>
      </x:c>
      <x:c r="Q2668" s="30"/>
      <x:c r="R2668" s="30" t="str">
        <x:v>Kriterii_KhI11_27042026_.pdf (чистый скан) + независимая проверка</x:v>
      </x:c>
      <x:c r="S2668" s="30"/>
      <x:c r="T2668" s="30"/>
      <x:c r="U2668" s="30" t="str">
        <x:v>Расхождений не обнаружено.</x:v>
      </x:c>
      <x:c r="V2668" s="87" t="str">
        <x:v>VERIFIED</x:v>
      </x:c>
      <x:c r="W2668" s="87" t="str">
        <x:v>Zadanie_KhI11_27042026_.pdf (чистый скан), внутренняя стр. 15</x:v>
      </x:c>
      <x:c r="X2668" s="87"/>
      <x:c r="Y2668" s="87"/>
      <x:c r="Z2668" s="87"/>
      <x:c r="AA2668" s="87"/>
      <x:c r="AB2668" s="87"/>
      <x:c r="AC2668" s="87"/>
      <x:c r="AD2668" s="87"/>
      <x:c r="AE2668" s="87"/>
      <x:c r="AF2668" s="87"/>
      <x:c r="AG2668" s="87"/>
      <x:c r="AH2668" s="87"/>
      <x:c r="AI2668" s="30"/>
      <x:c r="AJ2668" s="87" t="str">
        <x:v>master</x:v>
      </x:c>
      <x:c r="AK2668" s="87" t="str">
        <x:v>master-v0.81</x:v>
      </x:c>
      <x:c r="AL2668" s="87" t="str">
        <x:v>statgrad_master_base_v0_81_final(2).xlsx</x:v>
      </x:c>
      <x:c r="AM2668" s="87" t="str">
        <x:v>CHEM_Apr_V4</x:v>
      </x:c>
      <x:c r="AN2668" s="87" t="n">
        <x:v>31</x:v>
      </x:c>
    </x:row>
    <x:row r="2669">
      <x:c r="A2669" s="87" t="n">
        <x:v>2668</x:v>
      </x:c>
      <x:c r="B2669" s="87" t="str">
        <x:v>APR-CHEM-V4-031</x:v>
      </x:c>
      <x:c r="C2669" s="87" t="str">
        <x:v>СтатГрад</x:v>
      </x:c>
      <x:c r="D2669" s="87" t="str">
        <x:v>Апрель 2026</x:v>
      </x:c>
      <x:c r="E2669" s="87"/>
      <x:c r="F2669" s="87"/>
      <x:c r="G2669" s="87" t="str">
        <x:v>Химия</x:v>
      </x:c>
      <x:c r="H2669" s="87" t="n">
        <x:v>11</x:v>
      </x:c>
      <x:c r="I2669" s="87" t="str">
        <x:v>ТР №5</x:v>
      </x:c>
      <x:c r="J2669" s="87" t="str">
        <x:v>ХИ2510504</x:v>
      </x:c>
      <x:c r="K2669" s="87" t="n">
        <x:v>31</x:v>
      </x:c>
      <x:c r="L2669" s="87" t="str">
        <x:v>Развёрнутый ответ: неорганическая цепочка</x:v>
      </x:c>
      <x:c r="M2669" s="30" t="str">
        <x:v>Fe растворяют в концентрированной HNO₃, нитрат прокаливают, остаток сплавляют с Na₂CO₃ и обрабатывают водой.</x:v>
      </x:c>
      <x:c r="N2669" s="30" t="str">
        <x:v>1) Fe+6HNO₃→Fe(NO₃)₃+3NO₂+3H₂O.
2) 4Fe(NO₃)₃→2Fe₂O₃+12NO₂+3O₂ (t).
3) Fe₂O₃+Na₂CO₃→2NaFeO₂+CO₂ (t).
4) NaFeO₂+2H₂O→NaOH+Fe(OH)₃↓.</x:v>
      </x:c>
      <x:c r="O2669" s="30" t="str">
        <x:v>Последовательно образуются Fe(NO₃)₃, Fe₂O₃, NaFeO₂ и Fe(OH)₃.</x:v>
      </x:c>
      <x:c r="P2669" s="30" t="str">
        <x:v>Последовательно образуются Fe(NO₃)₃, Fe₂O₃, NaFeO₂ и Fe(OH)₃.</x:v>
      </x:c>
      <x:c r="Q2669" s="30"/>
      <x:c r="R2669" s="30" t="str">
        <x:v>Kriterii_KhI11_27042026_.pdf (чистый скан) + независимая проверка</x:v>
      </x:c>
      <x:c r="S2669" s="30"/>
      <x:c r="T2669" s="30"/>
      <x:c r="U2669" s="30" t="str">
        <x:v>Расхождений не обнаружено.</x:v>
      </x:c>
      <x:c r="V2669" s="87" t="str">
        <x:v>VERIFIED</x:v>
      </x:c>
      <x:c r="W2669" s="87" t="str">
        <x:v>Zadanie_KhI11_27042026_.pdf (чистый скан), внутренняя стр. 15</x:v>
      </x:c>
      <x:c r="X2669" s="87"/>
      <x:c r="Y2669" s="87"/>
      <x:c r="Z2669" s="87"/>
      <x:c r="AA2669" s="87"/>
      <x:c r="AB2669" s="87"/>
      <x:c r="AC2669" s="87"/>
      <x:c r="AD2669" s="87"/>
      <x:c r="AE2669" s="87"/>
      <x:c r="AF2669" s="87"/>
      <x:c r="AG2669" s="87"/>
      <x:c r="AH2669" s="87"/>
      <x:c r="AI2669" s="30"/>
      <x:c r="AJ2669" s="87" t="str">
        <x:v>master</x:v>
      </x:c>
      <x:c r="AK2669" s="87" t="str">
        <x:v>master-v0.81</x:v>
      </x:c>
      <x:c r="AL2669" s="87" t="str">
        <x:v>statgrad_master_base_v0_81_final(2).xlsx</x:v>
      </x:c>
      <x:c r="AM2669" s="87" t="str">
        <x:v>CHEM_Apr_V4</x:v>
      </x:c>
      <x:c r="AN2669" s="87" t="n">
        <x:v>32</x:v>
      </x:c>
    </x:row>
    <x:row r="2670">
      <x:c r="A2670" s="87" t="n">
        <x:v>2669</x:v>
      </x:c>
      <x:c r="B2670" s="87" t="str">
        <x:v>APR-CHEM-V4-032</x:v>
      </x:c>
      <x:c r="C2670" s="87" t="str">
        <x:v>СтатГрад</x:v>
      </x:c>
      <x:c r="D2670" s="87" t="str">
        <x:v>Апрель 2026</x:v>
      </x:c>
      <x:c r="E2670" s="87"/>
      <x:c r="F2670" s="87"/>
      <x:c r="G2670" s="87" t="str">
        <x:v>Химия</x:v>
      </x:c>
      <x:c r="H2670" s="87" t="n">
        <x:v>11</x:v>
      </x:c>
      <x:c r="I2670" s="87" t="str">
        <x:v>ТР №5</x:v>
      </x:c>
      <x:c r="J2670" s="87" t="str">
        <x:v>ХИ2510504</x:v>
      </x:c>
      <x:c r="K2670" s="87" t="n">
        <x:v>32</x:v>
      </x:c>
      <x:c r="L2670" s="87" t="str">
        <x:v>Развёрнутый ответ: органическая цепочка</x:v>
      </x:c>
      <x:c r="M2670" s="30" t="str">
        <x:v>HCOOH → X₁ → CH₃OH → CH₃COOH → X₂ → метилфенилкетон.</x:v>
      </x:c>
      <x:c r="N2670" s="30" t="str">
        <x:v>1) HCOOH → CO+H₂O (H₂SO₄, t); X₁=CO.
2) CO+2H₂→CH₃OH (кат., p, t).
3) CH₃OH+CO→CH₃COOH (кат.).
4) CH₃COOH+PCl₅→CH₃COCl+POCl₃+HCl; X₂=CH₃COCl.
5) C₆H₆+CH₃COCl→C₆H₅COCH₃+HCl (AlCl₃).</x:v>
      </x:c>
      <x:c r="O2670" s="30" t="str">
        <x:v>X₁ — CO, X₂ — ацетилхлорид; последняя стадия — ацилирование Фриделя–Крафтса.</x:v>
      </x:c>
      <x:c r="P2670" s="30" t="str">
        <x:v>X₁ — CO, X₂ — ацетилхлорид; последняя стадия — ацилирование Фриделя–Крафтса.</x:v>
      </x:c>
      <x:c r="Q2670" s="30"/>
      <x:c r="R2670" s="30" t="str">
        <x:v>Kriterii_KhI11_27042026_.pdf (чистый скан) + независимая проверка</x:v>
      </x:c>
      <x:c r="S2670" s="30"/>
      <x:c r="T2670" s="30"/>
      <x:c r="U2670" s="30" t="str">
        <x:v>Расхождений не обнаружено.</x:v>
      </x:c>
      <x:c r="V2670" s="87" t="str">
        <x:v>VERIFIED</x:v>
      </x:c>
      <x:c r="W2670" s="87" t="str">
        <x:v>Zadanie_KhI11_27042026_.pdf (чистый скан), внутренняя стр. 15</x:v>
      </x:c>
      <x:c r="X2670" s="87"/>
      <x:c r="Y2670" s="87"/>
      <x:c r="Z2670" s="87"/>
      <x:c r="AA2670" s="87"/>
      <x:c r="AB2670" s="87"/>
      <x:c r="AC2670" s="87"/>
      <x:c r="AD2670" s="87"/>
      <x:c r="AE2670" s="87"/>
      <x:c r="AF2670" s="87"/>
      <x:c r="AG2670" s="87"/>
      <x:c r="AH2670" s="87"/>
      <x:c r="AI2670" s="30"/>
      <x:c r="AJ2670" s="87" t="str">
        <x:v>master</x:v>
      </x:c>
      <x:c r="AK2670" s="87" t="str">
        <x:v>master-v0.81</x:v>
      </x:c>
      <x:c r="AL2670" s="87" t="str">
        <x:v>statgrad_master_base_v0_81_final(2).xlsx</x:v>
      </x:c>
      <x:c r="AM2670" s="87" t="str">
        <x:v>CHEM_Apr_V4</x:v>
      </x:c>
      <x:c r="AN2670" s="87" t="n">
        <x:v>33</x:v>
      </x:c>
    </x:row>
    <x:row r="2671">
      <x:c r="A2671" s="87" t="n">
        <x:v>2670</x:v>
      </x:c>
      <x:c r="B2671" s="87" t="str">
        <x:v>APR-CHEM-V4-033</x:v>
      </x:c>
      <x:c r="C2671" s="87" t="str">
        <x:v>СтатГрад</x:v>
      </x:c>
      <x:c r="D2671" s="87" t="str">
        <x:v>Апрель 2026</x:v>
      </x:c>
      <x:c r="E2671" s="87"/>
      <x:c r="F2671" s="87"/>
      <x:c r="G2671" s="87" t="str">
        <x:v>Химия</x:v>
      </x:c>
      <x:c r="H2671" s="87" t="n">
        <x:v>11</x:v>
      </x:c>
      <x:c r="I2671" s="87" t="str">
        <x:v>ТР №5</x:v>
      </x:c>
      <x:c r="J2671" s="87" t="str">
        <x:v>ХИ2510504</x:v>
      </x:c>
      <x:c r="K2671" s="87" t="n">
        <x:v>33</x:v>
      </x:c>
      <x:c r="L2671" s="87" t="str">
        <x:v>Развёрнутый ответ: установление формулы</x:v>
      </x:c>
      <x:c r="M2671" s="30" t="str">
        <x:v>По продуктам сгорания 3,30 г вещества, гидролизующегося до двухосновной кислоты, установить формулу и структуру.</x:v>
      </x:c>
      <x:c r="N2671" s="30" t="str">
        <x:v>n(C)=0,15; n(H)=0,10; n(N)=0,10 моль; отношение 3:2:2.
Молекулярная формула C₃H₂N₂; структура N≡C–CH₂–C≡N (малонодинитрил).
CH₂(CN)₂+4H₂O+2HCl→CH₂(COOH)₂+2NH₄Cl.</x:v>
      </x:c>
      <x:c r="O2671" s="30" t="str">
        <x:v>Состав C₃H₂N₂ и гидролиз двух нитрильных групп однозначно указывают на малонодинитрил.</x:v>
      </x:c>
      <x:c r="P2671" s="30" t="str">
        <x:v>Состав C₃H₂N₂ и гидролиз двух нитрильных групп однозначно указывают на малонодинитрил.</x:v>
      </x:c>
      <x:c r="Q2671" s="30"/>
      <x:c r="R2671" s="30" t="str">
        <x:v>Kriterii_KhI11_27042026_.pdf (чистый скан) + независимая проверка</x:v>
      </x:c>
      <x:c r="S2671" s="30"/>
      <x:c r="T2671" s="30"/>
      <x:c r="U2671" s="30" t="str">
        <x:v>Расхождений не обнаружено.</x:v>
      </x:c>
      <x:c r="V2671" s="87" t="str">
        <x:v>VERIFIED</x:v>
      </x:c>
      <x:c r="W2671" s="87" t="str">
        <x:v>Zadanie_KhI11_27042026_.pdf (чистый скан), внутренняя стр. 16</x:v>
      </x:c>
      <x:c r="X2671" s="87"/>
      <x:c r="Y2671" s="87"/>
      <x:c r="Z2671" s="87"/>
      <x:c r="AA2671" s="87"/>
      <x:c r="AB2671" s="87"/>
      <x:c r="AC2671" s="87"/>
      <x:c r="AD2671" s="87"/>
      <x:c r="AE2671" s="87"/>
      <x:c r="AF2671" s="87"/>
      <x:c r="AG2671" s="87"/>
      <x:c r="AH2671" s="87"/>
      <x:c r="AI2671" s="30"/>
      <x:c r="AJ2671" s="87" t="str">
        <x:v>master</x:v>
      </x:c>
      <x:c r="AK2671" s="87" t="str">
        <x:v>master-v0.81</x:v>
      </x:c>
      <x:c r="AL2671" s="87" t="str">
        <x:v>statgrad_master_base_v0_81_final(2).xlsx</x:v>
      </x:c>
      <x:c r="AM2671" s="87" t="str">
        <x:v>CHEM_Apr_V4</x:v>
      </x:c>
      <x:c r="AN2671" s="87" t="n">
        <x:v>34</x:v>
      </x:c>
    </x:row>
    <x:row r="2672">
      <x:c r="A2672" s="87" t="n">
        <x:v>2671</x:v>
      </x:c>
      <x:c r="B2672" s="87" t="str">
        <x:v>APR-CHEM-V4-034</x:v>
      </x:c>
      <x:c r="C2672" s="87" t="str">
        <x:v>СтатГрад</x:v>
      </x:c>
      <x:c r="D2672" s="87" t="str">
        <x:v>Апрель 2026</x:v>
      </x:c>
      <x:c r="E2672" s="87"/>
      <x:c r="F2672" s="87"/>
      <x:c r="G2672" s="87" t="str">
        <x:v>Химия</x:v>
      </x:c>
      <x:c r="H2672" s="87" t="n">
        <x:v>11</x:v>
      </x:c>
      <x:c r="I2672" s="87" t="str">
        <x:v>ТР №5</x:v>
      </x:c>
      <x:c r="J2672" s="87" t="str">
        <x:v>ХИ2510504</x:v>
      </x:c>
      <x:c r="K2672" s="87" t="n">
        <x:v>34</x:v>
      </x:c>
      <x:c r="L2672" s="87" t="str">
        <x:v>Развёрнутый ответ: сплав и расчёт</x:v>
      </x:c>
      <x:c r="M2672" s="30" t="str">
        <x:v>Медно-алюминиевую бронзу растворили в горячей HNO₃; NO₂ поглотили NaOH; затем NH₃ и прокаливание осадка.</x:v>
      </x:c>
      <x:c r="N2672" s="30" t="str">
        <x:v>Cu+4HNO₃→Cu(NO₃)₂+2NO₂+2H₂O; Al+6HNO₃→Al(NO₃)₃+3NO₂+3H₂O.
2NO₂+2NaOH→NaNO₃+NaNO₂+H₂O; n(NO₂)=0,78 моль.
Система 63,5x+27y=20,67; 2x+3y=0,78 даёт x=0,30, y=0,06.
ω(Cu)=92,2%, ω(Al)=7,8%. После NH₃ осаждается Al(OH)₃; 2Al(OH)₃→Al₂O₃+3H₂O, m(Al₂O₃)=3,06 г.</x:v>
      </x:c>
      <x:c r="O2672" s="30" t="str">
        <x:v>Количество NO₂ задаёт второе уравнение для количеств Cu и Al; Cu остаётся в амминном комплексе, Al осаждается.</x:v>
      </x:c>
      <x:c r="P2672" s="30" t="str">
        <x:v>Количество NO₂ задаёт второе уравнение для количеств Cu и Al; Cu остаётся в амминном комплексе, Al осаждается.</x:v>
      </x:c>
      <x:c r="Q2672" s="30"/>
      <x:c r="R2672" s="30" t="str">
        <x:v>Kriterii_KhI11_27042026_.pdf (чистый скан) + независимая проверка</x:v>
      </x:c>
      <x:c r="S2672" s="30"/>
      <x:c r="T2672" s="30"/>
      <x:c r="U2672" s="30" t="str">
        <x:v>Расхождений не обнаружено.</x:v>
      </x:c>
      <x:c r="V2672" s="87" t="str">
        <x:v>VERIFIED</x:v>
      </x:c>
      <x:c r="W2672" s="87" t="str">
        <x:v>Zadanie_KhI11_27042026_.pdf (чистый скан), внутренняя стр. 16</x:v>
      </x:c>
      <x:c r="X2672" s="87"/>
      <x:c r="Y2672" s="87"/>
      <x:c r="Z2672" s="87"/>
      <x:c r="AA2672" s="87"/>
      <x:c r="AB2672" s="87"/>
      <x:c r="AC2672" s="87"/>
      <x:c r="AD2672" s="87"/>
      <x:c r="AE2672" s="87"/>
      <x:c r="AF2672" s="87"/>
      <x:c r="AG2672" s="87"/>
      <x:c r="AH2672" s="87"/>
      <x:c r="AI2672" s="30"/>
      <x:c r="AJ2672" s="87" t="str">
        <x:v>master</x:v>
      </x:c>
      <x:c r="AK2672" s="87" t="str">
        <x:v>master-v0.81</x:v>
      </x:c>
      <x:c r="AL2672" s="87" t="str">
        <x:v>statgrad_master_base_v0_81_final(2).xlsx</x:v>
      </x:c>
      <x:c r="AM2672" s="87" t="str">
        <x:v>CHEM_Apr_V4</x:v>
      </x:c>
      <x:c r="AN2672" s="87" t="n">
        <x:v>35</x:v>
      </x:c>
    </x:row>
    <x:row r="2673">
      <x:c r="A2673" s="87" t="n">
        <x:v>2672</x:v>
      </x:c>
      <x:c r="B2673" s="87" t="str">
        <x:v>APR-RU-V1-001</x:v>
      </x:c>
      <x:c r="C2673" s="87" t="str">
        <x:v>СтатГрад</x:v>
      </x:c>
      <x:c r="D2673" s="87" t="str">
        <x:v>Апрель 2026</x:v>
      </x:c>
      <x:c r="E2673" s="87"/>
      <x:c r="F2673" s="87"/>
      <x:c r="G2673" s="87" t="str">
        <x:v>Русский язык</x:v>
      </x:c>
      <x:c r="H2673" s="87" t="n">
        <x:v>11</x:v>
      </x:c>
      <x:c r="I2673" s="87" t="str">
        <x:v>ТР №1</x:v>
      </x:c>
      <x:c r="J2673" s="87" t="str">
        <x:v>РЯ2500101</x:v>
      </x:c>
      <x:c r="K2673" s="87" t="n">
        <x:v>1</x:v>
      </x:c>
      <x:c r="L2673" s="87" t="str">
        <x:v>Определительное местоимение</x:v>
      </x:c>
      <x:c r="M2673" s="30" t="str">
        <x:v>В третьем абзаце текста о справочнике найти определительное местоимение.</x:v>
      </x:c>
      <x:c r="N2673" s="30" t="str">
        <x:v>самом</x:v>
      </x:c>
      <x:c r="O2673" s="30" t="str">
        <x:v>В сочетании «на самом деле» слово «самом» является определительным местоимением.</x:v>
      </x:c>
      <x:c r="P2673" s="30" t="str">
        <x:v>Ответ повторно проверен по норме языка, структуре предложения или содержанию исходного текста.</x:v>
      </x:c>
      <x:c r="Q2673" s="30"/>
      <x:c r="R2673" s="30" t="str">
        <x:v>Официальная таблица ответов + фото-сводка + независимая проверка</x:v>
      </x:c>
      <x:c r="S2673" s="30"/>
      <x:c r="T2673" s="30"/>
      <x:c r="U2673" s="30" t="str">
        <x:v>Расхождений не обнаружено.</x:v>
      </x:c>
      <x:c r="V2673" s="87" t="str">
        <x:v>VERIFIED</x:v>
      </x:c>
      <x:c r="W2673" s="87" t="str">
        <x:v>PDF заданий, стр. 2</x:v>
      </x:c>
      <x:c r="X2673" s="87"/>
      <x:c r="Y2673" s="87"/>
      <x:c r="Z2673" s="87"/>
      <x:c r="AA2673" s="87"/>
      <x:c r="AB2673" s="87"/>
      <x:c r="AC2673" s="87"/>
      <x:c r="AD2673" s="87"/>
      <x:c r="AE2673" s="87"/>
      <x:c r="AF2673" s="87"/>
      <x:c r="AG2673" s="87"/>
      <x:c r="AH2673" s="87"/>
      <x:c r="AI2673" s="30"/>
      <x:c r="AJ2673" s="87" t="str">
        <x:v>master</x:v>
      </x:c>
      <x:c r="AK2673" s="87" t="str">
        <x:v>master-v0.81</x:v>
      </x:c>
      <x:c r="AL2673" s="87" t="str">
        <x:v>statgrad_master_base_v0_81_final(2).xlsx</x:v>
      </x:c>
      <x:c r="AM2673" s="87" t="str">
        <x:v>RU_Apr_V1</x:v>
      </x:c>
      <x:c r="AN2673" s="87" t="n">
        <x:v>2</x:v>
      </x:c>
    </x:row>
    <x:row r="2674">
      <x:c r="A2674" s="87" t="n">
        <x:v>2673</x:v>
      </x:c>
      <x:c r="B2674" s="87" t="str">
        <x:v>APR-RU-V1-002</x:v>
      </x:c>
      <x:c r="C2674" s="87" t="str">
        <x:v>СтатГрад</x:v>
      </x:c>
      <x:c r="D2674" s="87" t="str">
        <x:v>Апрель 2026</x:v>
      </x:c>
      <x:c r="E2674" s="87"/>
      <x:c r="F2674" s="87"/>
      <x:c r="G2674" s="87" t="str">
        <x:v>Русский язык</x:v>
      </x:c>
      <x:c r="H2674" s="87" t="n">
        <x:v>11</x:v>
      </x:c>
      <x:c r="I2674" s="87" t="str">
        <x:v>ТР №1</x:v>
      </x:c>
      <x:c r="J2674" s="87" t="str">
        <x:v>РЯ2500101</x:v>
      </x:c>
      <x:c r="K2674" s="87" t="n">
        <x:v>2</x:v>
      </x:c>
      <x:c r="L2674" s="87" t="str">
        <x:v>Лексическое значение</x:v>
      </x:c>
      <x:c r="M2674" s="30" t="str">
        <x:v>Сопоставить выделенные слова ОТДЕЛЕНИЕ, РАБОТА, ПОЛНЫЙ, РОВНО, ЕДИНИЦА с приведёнными словарными значениями.</x:v>
      </x:c>
      <x:c r="N2674" s="30" t="str">
        <x:v>34</x:v>
      </x:c>
      <x:c r="O2674" s="30" t="str">
        <x:v>Значения совпадают у ПОЛНЫЙ («весь рабочий день») и РОВНО («точно две недели»).</x:v>
      </x:c>
      <x:c r="P2674" s="30" t="str">
        <x:v>Ответ повторно проверен по норме языка, структуре предложения или содержанию исходного текста.</x:v>
      </x:c>
      <x:c r="Q2674" s="30"/>
      <x:c r="R2674" s="30" t="str">
        <x:v>Официальная таблица ответов + фото-сводка + независимая проверка</x:v>
      </x:c>
      <x:c r="S2674" s="30"/>
      <x:c r="T2674" s="30"/>
      <x:c r="U2674" s="30" t="str">
        <x:v>Расхождений не обнаружено.</x:v>
      </x:c>
      <x:c r="V2674" s="87" t="str">
        <x:v>VERIFIED</x:v>
      </x:c>
      <x:c r="W2674" s="87" t="str">
        <x:v>PDF заданий, стр. 3</x:v>
      </x:c>
      <x:c r="X2674" s="87"/>
      <x:c r="Y2674" s="87"/>
      <x:c r="Z2674" s="87"/>
      <x:c r="AA2674" s="87"/>
      <x:c r="AB2674" s="87"/>
      <x:c r="AC2674" s="87"/>
      <x:c r="AD2674" s="87"/>
      <x:c r="AE2674" s="87"/>
      <x:c r="AF2674" s="87"/>
      <x:c r="AG2674" s="87"/>
      <x:c r="AH2674" s="87"/>
      <x:c r="AI2674" s="30"/>
      <x:c r="AJ2674" s="87" t="str">
        <x:v>master</x:v>
      </x:c>
      <x:c r="AK2674" s="87" t="str">
        <x:v>master-v0.81</x:v>
      </x:c>
      <x:c r="AL2674" s="87" t="str">
        <x:v>statgrad_master_base_v0_81_final(2).xlsx</x:v>
      </x:c>
      <x:c r="AM2674" s="87" t="str">
        <x:v>RU_Apr_V1</x:v>
      </x:c>
      <x:c r="AN2674" s="87" t="n">
        <x:v>3</x:v>
      </x:c>
    </x:row>
    <x:row r="2675">
      <x:c r="A2675" s="87" t="n">
        <x:v>2674</x:v>
      </x:c>
      <x:c r="B2675" s="87" t="str">
        <x:v>APR-RU-V1-003</x:v>
      </x:c>
      <x:c r="C2675" s="87" t="str">
        <x:v>СтатГрад</x:v>
      </x:c>
      <x:c r="D2675" s="87" t="str">
        <x:v>Апрель 2026</x:v>
      </x:c>
      <x:c r="E2675" s="87"/>
      <x:c r="F2675" s="87"/>
      <x:c r="G2675" s="87" t="str">
        <x:v>Русский язык</x:v>
      </x:c>
      <x:c r="H2675" s="87" t="n">
        <x:v>11</x:v>
      </x:c>
      <x:c r="I2675" s="87" t="str">
        <x:v>ТР №1</x:v>
      </x:c>
      <x:c r="J2675" s="87" t="str">
        <x:v>РЯ2500101</x:v>
      </x:c>
      <x:c r="K2675" s="87" t="n">
        <x:v>3</x:v>
      </x:c>
      <x:c r="L2675" s="87" t="str">
        <x:v>Характеристика текста</x:v>
      </x:c>
      <x:c r="M2675" s="30" t="str">
        <x:v>Выбрать верные характеристики научно-справочного текста о подготовке орфографического справочника.</x:v>
      </x:c>
      <x:c r="N2675" s="30" t="str">
        <x:v>25</x:v>
      </x:c>
      <x:c r="O2675" s="30" t="str">
        <x:v>Текст является вступительной статьёй к справочнику; авторские тропы в нём отсутствуют.</x:v>
      </x:c>
      <x:c r="P2675" s="30" t="str">
        <x:v>Ответ повторно проверен по норме языка, структуре предложения или содержанию исходного текста.</x:v>
      </x:c>
      <x:c r="Q2675" s="30"/>
      <x:c r="R2675" s="30" t="str">
        <x:v>Официальная таблица ответов + фото-сводка + независимая проверка</x:v>
      </x:c>
      <x:c r="S2675" s="30"/>
      <x:c r="T2675" s="30"/>
      <x:c r="U2675" s="30" t="str">
        <x:v>Расхождений не обнаружено.</x:v>
      </x:c>
      <x:c r="V2675" s="87" t="str">
        <x:v>VERIFIED</x:v>
      </x:c>
      <x:c r="W2675" s="87" t="str">
        <x:v>PDF заданий, стр. 3</x:v>
      </x:c>
      <x:c r="X2675" s="87"/>
      <x:c r="Y2675" s="87"/>
      <x:c r="Z2675" s="87"/>
      <x:c r="AA2675" s="87"/>
      <x:c r="AB2675" s="87"/>
      <x:c r="AC2675" s="87"/>
      <x:c r="AD2675" s="87"/>
      <x:c r="AE2675" s="87"/>
      <x:c r="AF2675" s="87"/>
      <x:c r="AG2675" s="87"/>
      <x:c r="AH2675" s="87"/>
      <x:c r="AI2675" s="30"/>
      <x:c r="AJ2675" s="87" t="str">
        <x:v>master</x:v>
      </x:c>
      <x:c r="AK2675" s="87" t="str">
        <x:v>master-v0.81</x:v>
      </x:c>
      <x:c r="AL2675" s="87" t="str">
        <x:v>statgrad_master_base_v0_81_final(2).xlsx</x:v>
      </x:c>
      <x:c r="AM2675" s="87" t="str">
        <x:v>RU_Apr_V1</x:v>
      </x:c>
      <x:c r="AN2675" s="87" t="n">
        <x:v>4</x:v>
      </x:c>
    </x:row>
    <x:row r="2676">
      <x:c r="A2676" s="87" t="n">
        <x:v>2675</x:v>
      </x:c>
      <x:c r="B2676" s="87" t="str">
        <x:v>APR-RU-V1-004</x:v>
      </x:c>
      <x:c r="C2676" s="87" t="str">
        <x:v>СтатГрад</x:v>
      </x:c>
      <x:c r="D2676" s="87" t="str">
        <x:v>Апрель 2026</x:v>
      </x:c>
      <x:c r="E2676" s="87"/>
      <x:c r="F2676" s="87"/>
      <x:c r="G2676" s="87" t="str">
        <x:v>Русский язык</x:v>
      </x:c>
      <x:c r="H2676" s="87" t="n">
        <x:v>11</x:v>
      </x:c>
      <x:c r="I2676" s="87" t="str">
        <x:v>ТР №1</x:v>
      </x:c>
      <x:c r="J2676" s="87" t="str">
        <x:v>РЯ2500101</x:v>
      </x:c>
      <x:c r="K2676" s="87" t="n">
        <x:v>4</x:v>
      </x:c>
      <x:c r="L2676" s="87" t="str">
        <x:v>Орфоэпия</x:v>
      </x:c>
      <x:c r="M2676" s="30" t="str">
        <x:v>Выбрать слова с нормативно поставленным ударением.</x:v>
      </x:c>
      <x:c r="N2676" s="30" t="str">
        <x:v>34</x:v>
      </x:c>
      <x:c r="O2676" s="30" t="str">
        <x:v>Нормативны формы «понЯв» и «снЯта».</x:v>
      </x:c>
      <x:c r="P2676" s="30" t="str">
        <x:v>Ответ повторно проверен по норме языка, структуре предложения или содержанию исходного текста.</x:v>
      </x:c>
      <x:c r="Q2676" s="30"/>
      <x:c r="R2676" s="30" t="str">
        <x:v>Официальная таблица ответов + фото-сводка + независимая проверка</x:v>
      </x:c>
      <x:c r="S2676" s="30"/>
      <x:c r="T2676" s="30"/>
      <x:c r="U2676" s="30" t="str">
        <x:v>Расхождений не обнаружено.</x:v>
      </x:c>
      <x:c r="V2676" s="87" t="str">
        <x:v>VERIFIED</x:v>
      </x:c>
      <x:c r="W2676" s="87" t="str">
        <x:v>PDF заданий, стр. 4</x:v>
      </x:c>
      <x:c r="X2676" s="87"/>
      <x:c r="Y2676" s="87"/>
      <x:c r="Z2676" s="87"/>
      <x:c r="AA2676" s="87"/>
      <x:c r="AB2676" s="87"/>
      <x:c r="AC2676" s="87"/>
      <x:c r="AD2676" s="87"/>
      <x:c r="AE2676" s="87"/>
      <x:c r="AF2676" s="87"/>
      <x:c r="AG2676" s="87"/>
      <x:c r="AH2676" s="87"/>
      <x:c r="AI2676" s="30"/>
      <x:c r="AJ2676" s="87" t="str">
        <x:v>master</x:v>
      </x:c>
      <x:c r="AK2676" s="87" t="str">
        <x:v>master-v0.81</x:v>
      </x:c>
      <x:c r="AL2676" s="87" t="str">
        <x:v>statgrad_master_base_v0_81_final(2).xlsx</x:v>
      </x:c>
      <x:c r="AM2676" s="87" t="str">
        <x:v>RU_Apr_V1</x:v>
      </x:c>
      <x:c r="AN2676" s="87" t="n">
        <x:v>5</x:v>
      </x:c>
    </x:row>
    <x:row r="2677">
      <x:c r="A2677" s="87" t="n">
        <x:v>2676</x:v>
      </x:c>
      <x:c r="B2677" s="87" t="str">
        <x:v>APR-RU-V1-005</x:v>
      </x:c>
      <x:c r="C2677" s="87" t="str">
        <x:v>СтатГрад</x:v>
      </x:c>
      <x:c r="D2677" s="87" t="str">
        <x:v>Апрель 2026</x:v>
      </x:c>
      <x:c r="E2677" s="87"/>
      <x:c r="F2677" s="87"/>
      <x:c r="G2677" s="87" t="str">
        <x:v>Русский язык</x:v>
      </x:c>
      <x:c r="H2677" s="87" t="n">
        <x:v>11</x:v>
      </x:c>
      <x:c r="I2677" s="87" t="str">
        <x:v>ТР №1</x:v>
      </x:c>
      <x:c r="J2677" s="87" t="str">
        <x:v>РЯ2500101</x:v>
      </x:c>
      <x:c r="K2677" s="87" t="n">
        <x:v>5</x:v>
      </x:c>
      <x:c r="L2677" s="87" t="str">
        <x:v>Паронимы</x:v>
      </x:c>
      <x:c r="M2677" s="30" t="str">
        <x:v>Исправить употребление слова «ПРАКТИЧЕСКОЕ» в сочетании «практическое применение теоретических знаний».</x:v>
      </x:c>
      <x:c r="N2677" s="30" t="str">
        <x:v>практическому</x:v>
      </x:c>
      <x:c r="O2677" s="30" t="str">
        <x:v>Теоретические знания имеют практическое, а не практичное применение.</x:v>
      </x:c>
      <x:c r="P2677" s="30" t="str">
        <x:v>Ответ повторно проверен по норме языка, структуре предложения или содержанию исходного текста.</x:v>
      </x:c>
      <x:c r="Q2677" s="30"/>
      <x:c r="R2677" s="30" t="str">
        <x:v>Официальная таблица ответов + фото-сводка + независимая проверка</x:v>
      </x:c>
      <x:c r="S2677" s="30"/>
      <x:c r="T2677" s="30"/>
      <x:c r="U2677" s="30" t="str">
        <x:v>Расхождений не обнаружено.</x:v>
      </x:c>
      <x:c r="V2677" s="87" t="str">
        <x:v>VERIFIED</x:v>
      </x:c>
      <x:c r="W2677" s="87" t="str">
        <x:v>PDF заданий, стр. 4</x:v>
      </x:c>
      <x:c r="X2677" s="87"/>
      <x:c r="Y2677" s="87"/>
      <x:c r="Z2677" s="87"/>
      <x:c r="AA2677" s="87"/>
      <x:c r="AB2677" s="87"/>
      <x:c r="AC2677" s="87"/>
      <x:c r="AD2677" s="87"/>
      <x:c r="AE2677" s="87"/>
      <x:c r="AF2677" s="87"/>
      <x:c r="AG2677" s="87"/>
      <x:c r="AH2677" s="87"/>
      <x:c r="AI2677" s="30"/>
      <x:c r="AJ2677" s="87" t="str">
        <x:v>master</x:v>
      </x:c>
      <x:c r="AK2677" s="87" t="str">
        <x:v>master-v0.81</x:v>
      </x:c>
      <x:c r="AL2677" s="87" t="str">
        <x:v>statgrad_master_base_v0_81_final(2).xlsx</x:v>
      </x:c>
      <x:c r="AM2677" s="87" t="str">
        <x:v>RU_Apr_V1</x:v>
      </x:c>
      <x:c r="AN2677" s="87" t="n">
        <x:v>6</x:v>
      </x:c>
    </x:row>
    <x:row r="2678">
      <x:c r="A2678" s="87" t="n">
        <x:v>2677</x:v>
      </x:c>
      <x:c r="B2678" s="87" t="str">
        <x:v>APR-RU-V1-006</x:v>
      </x:c>
      <x:c r="C2678" s="87" t="str">
        <x:v>СтатГрад</x:v>
      </x:c>
      <x:c r="D2678" s="87" t="str">
        <x:v>Апрель 2026</x:v>
      </x:c>
      <x:c r="E2678" s="87"/>
      <x:c r="F2678" s="87"/>
      <x:c r="G2678" s="87" t="str">
        <x:v>Русский язык</x:v>
      </x:c>
      <x:c r="H2678" s="87" t="n">
        <x:v>11</x:v>
      </x:c>
      <x:c r="I2678" s="87" t="str">
        <x:v>ТР №1</x:v>
      </x:c>
      <x:c r="J2678" s="87" t="str">
        <x:v>РЯ2500101</x:v>
      </x:c>
      <x:c r="K2678" s="87" t="n">
        <x:v>6</x:v>
      </x:c>
      <x:c r="L2678" s="87" t="str">
        <x:v>Лексическая избыточность</x:v>
      </x:c>
      <x:c r="M2678" s="30" t="str">
        <x:v>Исключить лишнее слово из сочетания «снежинки медленно падали вниз».</x:v>
      </x:c>
      <x:c r="N2678" s="30" t="str">
        <x:v>вниз</x:v>
      </x:c>
      <x:c r="O2678" s="30" t="str">
        <x:v>Глагол «падали» уже обозначает движение вниз; слово избыточно.</x:v>
      </x:c>
      <x:c r="P2678" s="30" t="str">
        <x:v>Ответ повторно проверен по норме языка, структуре предложения или содержанию исходного текста.</x:v>
      </x:c>
      <x:c r="Q2678" s="30"/>
      <x:c r="R2678" s="30" t="str">
        <x:v>Официальная таблица ответов + фото-сводка + независимая проверка</x:v>
      </x:c>
      <x:c r="S2678" s="30"/>
      <x:c r="T2678" s="30"/>
      <x:c r="U2678" s="30" t="str">
        <x:v>Расхождений не обнаружено.</x:v>
      </x:c>
      <x:c r="V2678" s="87" t="str">
        <x:v>VERIFIED</x:v>
      </x:c>
      <x:c r="W2678" s="87" t="str">
        <x:v>PDF заданий, стр. 4</x:v>
      </x:c>
      <x:c r="X2678" s="87"/>
      <x:c r="Y2678" s="87"/>
      <x:c r="Z2678" s="87"/>
      <x:c r="AA2678" s="87"/>
      <x:c r="AB2678" s="87"/>
      <x:c r="AC2678" s="87"/>
      <x:c r="AD2678" s="87"/>
      <x:c r="AE2678" s="87"/>
      <x:c r="AF2678" s="87"/>
      <x:c r="AG2678" s="87"/>
      <x:c r="AH2678" s="87"/>
      <x:c r="AI2678" s="30"/>
      <x:c r="AJ2678" s="87" t="str">
        <x:v>master</x:v>
      </x:c>
      <x:c r="AK2678" s="87" t="str">
        <x:v>master-v0.81</x:v>
      </x:c>
      <x:c r="AL2678" s="87" t="str">
        <x:v>statgrad_master_base_v0_81_final(2).xlsx</x:v>
      </x:c>
      <x:c r="AM2678" s="87" t="str">
        <x:v>RU_Apr_V1</x:v>
      </x:c>
      <x:c r="AN2678" s="87" t="n">
        <x:v>7</x:v>
      </x:c>
    </x:row>
    <x:row r="2679">
      <x:c r="A2679" s="87" t="n">
        <x:v>2678</x:v>
      </x:c>
      <x:c r="B2679" s="87" t="str">
        <x:v>APR-RU-V1-007</x:v>
      </x:c>
      <x:c r="C2679" s="87" t="str">
        <x:v>СтатГрад</x:v>
      </x:c>
      <x:c r="D2679" s="87" t="str">
        <x:v>Апрель 2026</x:v>
      </x:c>
      <x:c r="E2679" s="87"/>
      <x:c r="F2679" s="87"/>
      <x:c r="G2679" s="87" t="str">
        <x:v>Русский язык</x:v>
      </x:c>
      <x:c r="H2679" s="87" t="n">
        <x:v>11</x:v>
      </x:c>
      <x:c r="I2679" s="87" t="str">
        <x:v>ТР №1</x:v>
      </x:c>
      <x:c r="J2679" s="87" t="str">
        <x:v>РЯ2500101</x:v>
      </x:c>
      <x:c r="K2679" s="87" t="n">
        <x:v>7</x:v>
      </x:c>
      <x:c r="L2679" s="87" t="str">
        <x:v>Морфологическая норма</x:v>
      </x:c>
      <x:c r="M2679" s="30" t="str">
        <x:v>Исправить ошибочную форму существительного в сочетании «пара сапогов».</x:v>
      </x:c>
      <x:c r="N2679" s="30" t="str">
        <x:v>сапог</x:v>
      </x:c>
      <x:c r="O2679" s="30" t="str">
        <x:v>Родительный падеж множественного числа: «пара сапог».</x:v>
      </x:c>
      <x:c r="P2679" s="30" t="str">
        <x:v>Ответ повторно проверен по норме языка, структуре предложения или содержанию исходного текста.</x:v>
      </x:c>
      <x:c r="Q2679" s="30"/>
      <x:c r="R2679" s="30" t="str">
        <x:v>Официальная таблица ответов + фото-сводка + независимая проверка</x:v>
      </x:c>
      <x:c r="S2679" s="30"/>
      <x:c r="T2679" s="30"/>
      <x:c r="U2679" s="30" t="str">
        <x:v>Расхождений не обнаружено.</x:v>
      </x:c>
      <x:c r="V2679" s="87" t="str">
        <x:v>VERIFIED</x:v>
      </x:c>
      <x:c r="W2679" s="87" t="str">
        <x:v>PDF заданий, стр. 4</x:v>
      </x:c>
      <x:c r="X2679" s="87"/>
      <x:c r="Y2679" s="87"/>
      <x:c r="Z2679" s="87"/>
      <x:c r="AA2679" s="87"/>
      <x:c r="AB2679" s="87"/>
      <x:c r="AC2679" s="87"/>
      <x:c r="AD2679" s="87"/>
      <x:c r="AE2679" s="87"/>
      <x:c r="AF2679" s="87"/>
      <x:c r="AG2679" s="87"/>
      <x:c r="AH2679" s="87"/>
      <x:c r="AI2679" s="30"/>
      <x:c r="AJ2679" s="87" t="str">
        <x:v>master</x:v>
      </x:c>
      <x:c r="AK2679" s="87" t="str">
        <x:v>master-v0.81</x:v>
      </x:c>
      <x:c r="AL2679" s="87" t="str">
        <x:v>statgrad_master_base_v0_81_final(2).xlsx</x:v>
      </x:c>
      <x:c r="AM2679" s="87" t="str">
        <x:v>RU_Apr_V1</x:v>
      </x:c>
      <x:c r="AN2679" s="87" t="n">
        <x:v>8</x:v>
      </x:c>
    </x:row>
    <x:row r="2680">
      <x:c r="A2680" s="87" t="n">
        <x:v>2679</x:v>
      </x:c>
      <x:c r="B2680" s="87" t="str">
        <x:v>APR-RU-V1-008</x:v>
      </x:c>
      <x:c r="C2680" s="87" t="str">
        <x:v>СтатГрад</x:v>
      </x:c>
      <x:c r="D2680" s="87" t="str">
        <x:v>Апрель 2026</x:v>
      </x:c>
      <x:c r="E2680" s="87"/>
      <x:c r="F2680" s="87"/>
      <x:c r="G2680" s="87" t="str">
        <x:v>Русский язык</x:v>
      </x:c>
      <x:c r="H2680" s="87" t="n">
        <x:v>11</x:v>
      </x:c>
      <x:c r="I2680" s="87" t="str">
        <x:v>ТР №1</x:v>
      </x:c>
      <x:c r="J2680" s="87" t="str">
        <x:v>РЯ2500101</x:v>
      </x:c>
      <x:c r="K2680" s="87" t="n">
        <x:v>8</x:v>
      </x:c>
      <x:c r="L2680" s="87" t="str">
        <x:v>Грамматические ошибки</x:v>
      </x:c>
      <x:c r="M2680" s="30" t="str">
        <x:v>Соотнести пять типов грамматических ошибок с предложениями 1–9.</x:v>
      </x:c>
      <x:c r="N2680" s="30" t="str">
        <x:v>15369</x:v>
      </x:c>
      <x:c r="O2680" s="30" t="str">
        <x:v>А–1: смешение косвенной речи; Б–5: «согласно которому»; В–3: разное управление; Г–6: нет общего деятеля; Д–9: название фильма в именительном падеже.</x:v>
      </x:c>
      <x:c r="P2680" s="30" t="str">
        <x:v>Ответ повторно проверен по норме языка, структуре предложения или содержанию исходного текста.</x:v>
      </x:c>
      <x:c r="Q2680" s="30"/>
      <x:c r="R2680" s="30" t="str">
        <x:v>Официальная таблица ответов + фото-сводка + независимая проверка</x:v>
      </x:c>
      <x:c r="S2680" s="30"/>
      <x:c r="T2680" s="30"/>
      <x:c r="U2680" s="30" t="str">
        <x:v>Расхождений не обнаружено.</x:v>
      </x:c>
      <x:c r="V2680" s="87" t="str">
        <x:v>VERIFIED</x:v>
      </x:c>
      <x:c r="W2680" s="87" t="str">
        <x:v>PDF заданий, стр. 5</x:v>
      </x:c>
      <x:c r="X2680" s="87"/>
      <x:c r="Y2680" s="87"/>
      <x:c r="Z2680" s="87"/>
      <x:c r="AA2680" s="87"/>
      <x:c r="AB2680" s="87"/>
      <x:c r="AC2680" s="87"/>
      <x:c r="AD2680" s="87"/>
      <x:c r="AE2680" s="87"/>
      <x:c r="AF2680" s="87"/>
      <x:c r="AG2680" s="87"/>
      <x:c r="AH2680" s="87"/>
      <x:c r="AI2680" s="30"/>
      <x:c r="AJ2680" s="87" t="str">
        <x:v>master</x:v>
      </x:c>
      <x:c r="AK2680" s="87" t="str">
        <x:v>master-v0.81</x:v>
      </x:c>
      <x:c r="AL2680" s="87" t="str">
        <x:v>statgrad_master_base_v0_81_final(2).xlsx</x:v>
      </x:c>
      <x:c r="AM2680" s="87" t="str">
        <x:v>RU_Apr_V1</x:v>
      </x:c>
      <x:c r="AN2680" s="87" t="n">
        <x:v>9</x:v>
      </x:c>
    </x:row>
    <x:row r="2681">
      <x:c r="A2681" s="87" t="n">
        <x:v>2680</x:v>
      </x:c>
      <x:c r="B2681" s="87" t="str">
        <x:v>APR-RU-V1-009</x:v>
      </x:c>
      <x:c r="C2681" s="87" t="str">
        <x:v>СтатГрад</x:v>
      </x:c>
      <x:c r="D2681" s="87" t="str">
        <x:v>Апрель 2026</x:v>
      </x:c>
      <x:c r="E2681" s="87"/>
      <x:c r="F2681" s="87"/>
      <x:c r="G2681" s="87" t="str">
        <x:v>Русский язык</x:v>
      </x:c>
      <x:c r="H2681" s="87" t="n">
        <x:v>11</x:v>
      </x:c>
      <x:c r="I2681" s="87" t="str">
        <x:v>ТР №1</x:v>
      </x:c>
      <x:c r="J2681" s="87" t="str">
        <x:v>РЯ2500101</x:v>
      </x:c>
      <x:c r="K2681" s="87" t="n">
        <x:v>9</x:v>
      </x:c>
      <x:c r="L2681" s="87" t="str">
        <x:v>Правописание корней</x:v>
      </x:c>
      <x:c r="M2681" s="30" t="str">
        <x:v>Выбрать ряды, где во всех словах пропущена одна и та же буква корня.</x:v>
      </x:c>
      <x:c r="N2681" s="30" t="str">
        <x:v>24</x:v>
      </x:c>
      <x:c r="O2681" s="30" t="str">
        <x:v>Одинаковая гласная восстанавливается в рядах 2 и 4.</x:v>
      </x:c>
      <x:c r="P2681" s="30" t="str">
        <x:v>Ответ повторно проверен по норме языка, структуре предложения или содержанию исходного текста.</x:v>
      </x:c>
      <x:c r="Q2681" s="30"/>
      <x:c r="R2681" s="30" t="str">
        <x:v>Официальная таблица ответов + фото-сводка + независимая проверка</x:v>
      </x:c>
      <x:c r="S2681" s="30"/>
      <x:c r="T2681" s="30"/>
      <x:c r="U2681" s="30" t="str">
        <x:v>Расхождений не обнаружено.</x:v>
      </x:c>
      <x:c r="V2681" s="87" t="str">
        <x:v>VERIFIED</x:v>
      </x:c>
      <x:c r="W2681" s="87" t="str">
        <x:v>PDF заданий, стр. 6</x:v>
      </x:c>
      <x:c r="X2681" s="87"/>
      <x:c r="Y2681" s="87"/>
      <x:c r="Z2681" s="87"/>
      <x:c r="AA2681" s="87"/>
      <x:c r="AB2681" s="87"/>
      <x:c r="AC2681" s="87"/>
      <x:c r="AD2681" s="87"/>
      <x:c r="AE2681" s="87"/>
      <x:c r="AF2681" s="87"/>
      <x:c r="AG2681" s="87"/>
      <x:c r="AH2681" s="87"/>
      <x:c r="AI2681" s="30"/>
      <x:c r="AJ2681" s="87" t="str">
        <x:v>master</x:v>
      </x:c>
      <x:c r="AK2681" s="87" t="str">
        <x:v>master-v0.81</x:v>
      </x:c>
      <x:c r="AL2681" s="87" t="str">
        <x:v>statgrad_master_base_v0_81_final(2).xlsx</x:v>
      </x:c>
      <x:c r="AM2681" s="87" t="str">
        <x:v>RU_Apr_V1</x:v>
      </x:c>
      <x:c r="AN2681" s="87" t="n">
        <x:v>10</x:v>
      </x:c>
    </x:row>
    <x:row r="2682">
      <x:c r="A2682" s="87" t="n">
        <x:v>2681</x:v>
      </x:c>
      <x:c r="B2682" s="87" t="str">
        <x:v>APR-RU-V1-010</x:v>
      </x:c>
      <x:c r="C2682" s="87" t="str">
        <x:v>СтатГрад</x:v>
      </x:c>
      <x:c r="D2682" s="87" t="str">
        <x:v>Апрель 2026</x:v>
      </x:c>
      <x:c r="E2682" s="87"/>
      <x:c r="F2682" s="87"/>
      <x:c r="G2682" s="87" t="str">
        <x:v>Русский язык</x:v>
      </x:c>
      <x:c r="H2682" s="87" t="n">
        <x:v>11</x:v>
      </x:c>
      <x:c r="I2682" s="87" t="str">
        <x:v>ТР №1</x:v>
      </x:c>
      <x:c r="J2682" s="87" t="str">
        <x:v>РЯ2500101</x:v>
      </x:c>
      <x:c r="K2682" s="87" t="n">
        <x:v>10</x:v>
      </x:c>
      <x:c r="L2682" s="87" t="str">
        <x:v>Правописание приставок</x:v>
      </x:c>
      <x:c r="M2682" s="30" t="str">
        <x:v>Выбрать ряды, где во всех словах пропущена одна и та же буква приставки.</x:v>
      </x:c>
      <x:c r="N2682" s="30" t="str">
        <x:v>14</x:v>
      </x:c>
      <x:c r="O2682" s="30" t="str">
        <x:v>Одинаковая буква приставки требуется в рядах 1 и 4.</x:v>
      </x:c>
      <x:c r="P2682" s="30" t="str">
        <x:v>Ответ повторно проверен по норме языка, структуре предложения или содержанию исходного текста.</x:v>
      </x:c>
      <x:c r="Q2682" s="30"/>
      <x:c r="R2682" s="30" t="str">
        <x:v>Официальная таблица ответов + фото-сводка + независимая проверка</x:v>
      </x:c>
      <x:c r="S2682" s="30"/>
      <x:c r="T2682" s="30"/>
      <x:c r="U2682" s="30" t="str">
        <x:v>Расхождений не обнаружено.</x:v>
      </x:c>
      <x:c r="V2682" s="87" t="str">
        <x:v>VERIFIED</x:v>
      </x:c>
      <x:c r="W2682" s="87" t="str">
        <x:v>PDF заданий, стр. 6</x:v>
      </x:c>
      <x:c r="X2682" s="87"/>
      <x:c r="Y2682" s="87"/>
      <x:c r="Z2682" s="87"/>
      <x:c r="AA2682" s="87"/>
      <x:c r="AB2682" s="87"/>
      <x:c r="AC2682" s="87"/>
      <x:c r="AD2682" s="87"/>
      <x:c r="AE2682" s="87"/>
      <x:c r="AF2682" s="87"/>
      <x:c r="AG2682" s="87"/>
      <x:c r="AH2682" s="87"/>
      <x:c r="AI2682" s="30"/>
      <x:c r="AJ2682" s="87" t="str">
        <x:v>master</x:v>
      </x:c>
      <x:c r="AK2682" s="87" t="str">
        <x:v>master-v0.81</x:v>
      </x:c>
      <x:c r="AL2682" s="87" t="str">
        <x:v>statgrad_master_base_v0_81_final(2).xlsx</x:v>
      </x:c>
      <x:c r="AM2682" s="87" t="str">
        <x:v>RU_Apr_V1</x:v>
      </x:c>
      <x:c r="AN2682" s="87" t="n">
        <x:v>11</x:v>
      </x:c>
    </x:row>
    <x:row r="2683">
      <x:c r="A2683" s="87" t="n">
        <x:v>2682</x:v>
      </x:c>
      <x:c r="B2683" s="87" t="str">
        <x:v>APR-RU-V1-011</x:v>
      </x:c>
      <x:c r="C2683" s="87" t="str">
        <x:v>СтатГрад</x:v>
      </x:c>
      <x:c r="D2683" s="87" t="str">
        <x:v>Апрель 2026</x:v>
      </x:c>
      <x:c r="E2683" s="87"/>
      <x:c r="F2683" s="87"/>
      <x:c r="G2683" s="87" t="str">
        <x:v>Русский язык</x:v>
      </x:c>
      <x:c r="H2683" s="87" t="n">
        <x:v>11</x:v>
      </x:c>
      <x:c r="I2683" s="87" t="str">
        <x:v>ТР №1</x:v>
      </x:c>
      <x:c r="J2683" s="87" t="str">
        <x:v>РЯ2500101</x:v>
      </x:c>
      <x:c r="K2683" s="87" t="n">
        <x:v>11</x:v>
      </x:c>
      <x:c r="L2683" s="87" t="str">
        <x:v>Суффиксы</x:v>
      </x:c>
      <x:c r="M2683" s="30" t="str">
        <x:v>Выбрать ряды, где в обоих словах пропущена одна и та же буква суффикса.</x:v>
      </x:c>
      <x:c r="N2683" s="30" t="str">
        <x:v>14</x:v>
      </x:c>
      <x:c r="O2683" s="30" t="str">
        <x:v>Одинаковая буква суффикса требуется в рядах 1 и 4.</x:v>
      </x:c>
      <x:c r="P2683" s="30" t="str">
        <x:v>Ответ повторно проверен по норме языка, структуре предложения или содержанию исходного текста.</x:v>
      </x:c>
      <x:c r="Q2683" s="30"/>
      <x:c r="R2683" s="30" t="str">
        <x:v>Официальная таблица ответов + фото-сводка + независимая проверка</x:v>
      </x:c>
      <x:c r="S2683" s="30"/>
      <x:c r="T2683" s="30"/>
      <x:c r="U2683" s="30" t="str">
        <x:v>Расхождений не обнаружено.</x:v>
      </x:c>
      <x:c r="V2683" s="87" t="str">
        <x:v>VERIFIED</x:v>
      </x:c>
      <x:c r="W2683" s="87" t="str">
        <x:v>PDF заданий, стр. 6</x:v>
      </x:c>
      <x:c r="X2683" s="87"/>
      <x:c r="Y2683" s="87"/>
      <x:c r="Z2683" s="87"/>
      <x:c r="AA2683" s="87"/>
      <x:c r="AB2683" s="87"/>
      <x:c r="AC2683" s="87"/>
      <x:c r="AD2683" s="87"/>
      <x:c r="AE2683" s="87"/>
      <x:c r="AF2683" s="87"/>
      <x:c r="AG2683" s="87"/>
      <x:c r="AH2683" s="87"/>
      <x:c r="AI2683" s="30"/>
      <x:c r="AJ2683" s="87" t="str">
        <x:v>master</x:v>
      </x:c>
      <x:c r="AK2683" s="87" t="str">
        <x:v>master-v0.81</x:v>
      </x:c>
      <x:c r="AL2683" s="87" t="str">
        <x:v>statgrad_master_base_v0_81_final(2).xlsx</x:v>
      </x:c>
      <x:c r="AM2683" s="87" t="str">
        <x:v>RU_Apr_V1</x:v>
      </x:c>
      <x:c r="AN2683" s="87" t="n">
        <x:v>12</x:v>
      </x:c>
    </x:row>
    <x:row r="2684">
      <x:c r="A2684" s="87" t="n">
        <x:v>2683</x:v>
      </x:c>
      <x:c r="B2684" s="87" t="str">
        <x:v>APR-RU-V1-012</x:v>
      </x:c>
      <x:c r="C2684" s="87" t="str">
        <x:v>СтатГрад</x:v>
      </x:c>
      <x:c r="D2684" s="87" t="str">
        <x:v>Апрель 2026</x:v>
      </x:c>
      <x:c r="E2684" s="87"/>
      <x:c r="F2684" s="87"/>
      <x:c r="G2684" s="87" t="str">
        <x:v>Русский язык</x:v>
      </x:c>
      <x:c r="H2684" s="87" t="n">
        <x:v>11</x:v>
      </x:c>
      <x:c r="I2684" s="87" t="str">
        <x:v>ТР №1</x:v>
      </x:c>
      <x:c r="J2684" s="87" t="str">
        <x:v>РЯ2500101</x:v>
      </x:c>
      <x:c r="K2684" s="87" t="n">
        <x:v>12</x:v>
      </x:c>
      <x:c r="L2684" s="87" t="str">
        <x:v>Личные окончания и суффиксы</x:v>
      </x:c>
      <x:c r="M2684" s="30" t="str">
        <x:v>Выбрать ряды, где в обоих словах пропущена одна и та же буква.</x:v>
      </x:c>
      <x:c r="N2684" s="30" t="str">
        <x:v>124</x:v>
      </x:c>
      <x:c r="O2684" s="30" t="str">
        <x:v>Совпадающая буква пишется в рядах 1, 2 и 4.</x:v>
      </x:c>
      <x:c r="P2684" s="30" t="str">
        <x:v>Ответ повторно проверен по норме языка, структуре предложения или содержанию исходного текста.</x:v>
      </x:c>
      <x:c r="Q2684" s="30"/>
      <x:c r="R2684" s="30" t="str">
        <x:v>Официальная таблица ответов + фото-сводка + независимая проверка</x:v>
      </x:c>
      <x:c r="S2684" s="30"/>
      <x:c r="T2684" s="30"/>
      <x:c r="U2684" s="30" t="str">
        <x:v>Расхождений не обнаружено.</x:v>
      </x:c>
      <x:c r="V2684" s="87" t="str">
        <x:v>VERIFIED</x:v>
      </x:c>
      <x:c r="W2684" s="87" t="str">
        <x:v>PDF заданий, стр. 6</x:v>
      </x:c>
      <x:c r="X2684" s="87"/>
      <x:c r="Y2684" s="87"/>
      <x:c r="Z2684" s="87"/>
      <x:c r="AA2684" s="87"/>
      <x:c r="AB2684" s="87"/>
      <x:c r="AC2684" s="87"/>
      <x:c r="AD2684" s="87"/>
      <x:c r="AE2684" s="87"/>
      <x:c r="AF2684" s="87"/>
      <x:c r="AG2684" s="87"/>
      <x:c r="AH2684" s="87"/>
      <x:c r="AI2684" s="30"/>
      <x:c r="AJ2684" s="87" t="str">
        <x:v>master</x:v>
      </x:c>
      <x:c r="AK2684" s="87" t="str">
        <x:v>master-v0.81</x:v>
      </x:c>
      <x:c r="AL2684" s="87" t="str">
        <x:v>statgrad_master_base_v0_81_final(2).xlsx</x:v>
      </x:c>
      <x:c r="AM2684" s="87" t="str">
        <x:v>RU_Apr_V1</x:v>
      </x:c>
      <x:c r="AN2684" s="87" t="n">
        <x:v>13</x:v>
      </x:c>
    </x:row>
    <x:row r="2685">
      <x:c r="A2685" s="87" t="n">
        <x:v>2684</x:v>
      </x:c>
      <x:c r="B2685" s="87" t="str">
        <x:v>APR-RU-V1-013</x:v>
      </x:c>
      <x:c r="C2685" s="87" t="str">
        <x:v>СтатГрад</x:v>
      </x:c>
      <x:c r="D2685" s="87" t="str">
        <x:v>Апрель 2026</x:v>
      </x:c>
      <x:c r="E2685" s="87"/>
      <x:c r="F2685" s="87"/>
      <x:c r="G2685" s="87" t="str">
        <x:v>Русский язык</x:v>
      </x:c>
      <x:c r="H2685" s="87" t="n">
        <x:v>11</x:v>
      </x:c>
      <x:c r="I2685" s="87" t="str">
        <x:v>ТР №1</x:v>
      </x:c>
      <x:c r="J2685" s="87" t="str">
        <x:v>РЯ2500101</x:v>
      </x:c>
      <x:c r="K2685" s="87" t="n">
        <x:v>13</x:v>
      </x:c>
      <x:c r="L2685" s="87" t="str">
        <x:v>НЕ со словами</x:v>
      </x:c>
      <x:c r="M2685" s="30" t="str">
        <x:v>Выбрать предложения, где НЕ с выделенным словом пишется слитно.</x:v>
      </x:c>
      <x:c r="N2685" s="30" t="str">
        <x:v>24</x:v>
      </x:c>
      <x:c r="O2685" s="30" t="str">
        <x:v>Слитное написание требуется в предложениях 2 и 4; в остальных есть противопоставление или усиленное отрицание.</x:v>
      </x:c>
      <x:c r="P2685" s="30" t="str">
        <x:v>Ответ повторно проверен по норме языка, структуре предложения или содержанию исходного текста.</x:v>
      </x:c>
      <x:c r="Q2685" s="30"/>
      <x:c r="R2685" s="30" t="str">
        <x:v>Официальная таблица ответов + фото-сводка + независимая проверка</x:v>
      </x:c>
      <x:c r="S2685" s="30"/>
      <x:c r="T2685" s="30"/>
      <x:c r="U2685" s="30" t="str">
        <x:v>Расхождений не обнаружено.</x:v>
      </x:c>
      <x:c r="V2685" s="87" t="str">
        <x:v>VERIFIED</x:v>
      </x:c>
      <x:c r="W2685" s="87" t="str">
        <x:v>PDF заданий, стр. 7</x:v>
      </x:c>
      <x:c r="X2685" s="87"/>
      <x:c r="Y2685" s="87"/>
      <x:c r="Z2685" s="87"/>
      <x:c r="AA2685" s="87"/>
      <x:c r="AB2685" s="87"/>
      <x:c r="AC2685" s="87"/>
      <x:c r="AD2685" s="87"/>
      <x:c r="AE2685" s="87"/>
      <x:c r="AF2685" s="87"/>
      <x:c r="AG2685" s="87"/>
      <x:c r="AH2685" s="87"/>
      <x:c r="AI2685" s="30"/>
      <x:c r="AJ2685" s="87" t="str">
        <x:v>master</x:v>
      </x:c>
      <x:c r="AK2685" s="87" t="str">
        <x:v>master-v0.81</x:v>
      </x:c>
      <x:c r="AL2685" s="87" t="str">
        <x:v>statgrad_master_base_v0_81_final(2).xlsx</x:v>
      </x:c>
      <x:c r="AM2685" s="87" t="str">
        <x:v>RU_Apr_V1</x:v>
      </x:c>
      <x:c r="AN2685" s="87" t="n">
        <x:v>14</x:v>
      </x:c>
    </x:row>
    <x:row r="2686">
      <x:c r="A2686" s="87" t="n">
        <x:v>2685</x:v>
      </x:c>
      <x:c r="B2686" s="87" t="str">
        <x:v>APR-RU-V1-014</x:v>
      </x:c>
      <x:c r="C2686" s="87" t="str">
        <x:v>СтатГрад</x:v>
      </x:c>
      <x:c r="D2686" s="87" t="str">
        <x:v>Апрель 2026</x:v>
      </x:c>
      <x:c r="E2686" s="87"/>
      <x:c r="F2686" s="87"/>
      <x:c r="G2686" s="87" t="str">
        <x:v>Русский язык</x:v>
      </x:c>
      <x:c r="H2686" s="87" t="n">
        <x:v>11</x:v>
      </x:c>
      <x:c r="I2686" s="87" t="str">
        <x:v>ТР №1</x:v>
      </x:c>
      <x:c r="J2686" s="87" t="str">
        <x:v>РЯ2500101</x:v>
      </x:c>
      <x:c r="K2686" s="87" t="n">
        <x:v>14</x:v>
      </x:c>
      <x:c r="L2686" s="87" t="str">
        <x:v>Дефисное написание</x:v>
      </x:c>
      <x:c r="M2686" s="30" t="str">
        <x:v>Выбрать предложения, где все выделенные слова пишутся через дефис.</x:v>
      </x:c>
      <x:c r="N2686" s="30" t="str">
        <x:v>23</x:v>
      </x:c>
      <x:c r="O2686" s="30" t="str">
        <x:v>Через дефис пишутся все выделенные слова в предложениях 2 и 3.</x:v>
      </x:c>
      <x:c r="P2686" s="30" t="str">
        <x:v>Ответ повторно проверен по норме языка, структуре предложения или содержанию исходного текста.</x:v>
      </x:c>
      <x:c r="Q2686" s="30"/>
      <x:c r="R2686" s="30" t="str">
        <x:v>Официальная таблица ответов + фото-сводка + независимая проверка</x:v>
      </x:c>
      <x:c r="S2686" s="30"/>
      <x:c r="T2686" s="30"/>
      <x:c r="U2686" s="30" t="str">
        <x:v>Расхождений не обнаружено.</x:v>
      </x:c>
      <x:c r="V2686" s="87" t="str">
        <x:v>VERIFIED</x:v>
      </x:c>
      <x:c r="W2686" s="87" t="str">
        <x:v>PDF заданий, стр. 7</x:v>
      </x:c>
      <x:c r="X2686" s="87"/>
      <x:c r="Y2686" s="87"/>
      <x:c r="Z2686" s="87"/>
      <x:c r="AA2686" s="87"/>
      <x:c r="AB2686" s="87"/>
      <x:c r="AC2686" s="87"/>
      <x:c r="AD2686" s="87"/>
      <x:c r="AE2686" s="87"/>
      <x:c r="AF2686" s="87"/>
      <x:c r="AG2686" s="87"/>
      <x:c r="AH2686" s="87"/>
      <x:c r="AI2686" s="30"/>
      <x:c r="AJ2686" s="87" t="str">
        <x:v>master</x:v>
      </x:c>
      <x:c r="AK2686" s="87" t="str">
        <x:v>master-v0.81</x:v>
      </x:c>
      <x:c r="AL2686" s="87" t="str">
        <x:v>statgrad_master_base_v0_81_final(2).xlsx</x:v>
      </x:c>
      <x:c r="AM2686" s="87" t="str">
        <x:v>RU_Apr_V1</x:v>
      </x:c>
      <x:c r="AN2686" s="87" t="n">
        <x:v>15</x:v>
      </x:c>
    </x:row>
    <x:row r="2687">
      <x:c r="A2687" s="87" t="n">
        <x:v>2686</x:v>
      </x:c>
      <x:c r="B2687" s="87" t="str">
        <x:v>APR-RU-V1-015</x:v>
      </x:c>
      <x:c r="C2687" s="87" t="str">
        <x:v>СтатГрад</x:v>
      </x:c>
      <x:c r="D2687" s="87" t="str">
        <x:v>Апрель 2026</x:v>
      </x:c>
      <x:c r="E2687" s="87"/>
      <x:c r="F2687" s="87"/>
      <x:c r="G2687" s="87" t="str">
        <x:v>Русский язык</x:v>
      </x:c>
      <x:c r="H2687" s="87" t="n">
        <x:v>11</x:v>
      </x:c>
      <x:c r="I2687" s="87" t="str">
        <x:v>ТР №1</x:v>
      </x:c>
      <x:c r="J2687" s="87" t="str">
        <x:v>РЯ2500101</x:v>
      </x:c>
      <x:c r="K2687" s="87" t="n">
        <x:v>15</x:v>
      </x:c>
      <x:c r="L2687" s="87" t="str">
        <x:v>Н и НН</x:v>
      </x:c>
      <x:c r="M2687" s="30" t="str">
        <x:v>Указать позиции, где пишется НН, в тексте о старинном доме и его убранстве.</x:v>
      </x:c>
      <x:c r="N2687" s="30" t="str">
        <x:v>356</x:v>
      </x:c>
      <x:c r="O2687" s="30" t="str">
        <x:v>НН пишется в позициях 3, 5 и 6.</x:v>
      </x:c>
      <x:c r="P2687" s="30" t="str">
        <x:v>Ответ повторно проверен по норме языка, структуре предложения или содержанию исходного текста.</x:v>
      </x:c>
      <x:c r="Q2687" s="30"/>
      <x:c r="R2687" s="30" t="str">
        <x:v>Официальная таблица ответов + фото-сводка + независимая проверка</x:v>
      </x:c>
      <x:c r="S2687" s="30"/>
      <x:c r="T2687" s="30"/>
      <x:c r="U2687" s="30" t="str">
        <x:v>Расхождений не обнаружено.</x:v>
      </x:c>
      <x:c r="V2687" s="87" t="str">
        <x:v>VERIFIED</x:v>
      </x:c>
      <x:c r="W2687" s="87" t="str">
        <x:v>PDF заданий, стр. 7</x:v>
      </x:c>
      <x:c r="X2687" s="87"/>
      <x:c r="Y2687" s="87"/>
      <x:c r="Z2687" s="87"/>
      <x:c r="AA2687" s="87"/>
      <x:c r="AB2687" s="87"/>
      <x:c r="AC2687" s="87"/>
      <x:c r="AD2687" s="87"/>
      <x:c r="AE2687" s="87"/>
      <x:c r="AF2687" s="87"/>
      <x:c r="AG2687" s="87"/>
      <x:c r="AH2687" s="87"/>
      <x:c r="AI2687" s="30"/>
      <x:c r="AJ2687" s="87" t="str">
        <x:v>master</x:v>
      </x:c>
      <x:c r="AK2687" s="87" t="str">
        <x:v>master-v0.81</x:v>
      </x:c>
      <x:c r="AL2687" s="87" t="str">
        <x:v>statgrad_master_base_v0_81_final(2).xlsx</x:v>
      </x:c>
      <x:c r="AM2687" s="87" t="str">
        <x:v>RU_Apr_V1</x:v>
      </x:c>
      <x:c r="AN2687" s="87" t="n">
        <x:v>16</x:v>
      </x:c>
    </x:row>
    <x:row r="2688">
      <x:c r="A2688" s="87" t="n">
        <x:v>2687</x:v>
      </x:c>
      <x:c r="B2688" s="87" t="str">
        <x:v>APR-RU-V1-016</x:v>
      </x:c>
      <x:c r="C2688" s="87" t="str">
        <x:v>СтатГрад</x:v>
      </x:c>
      <x:c r="D2688" s="87" t="str">
        <x:v>Апрель 2026</x:v>
      </x:c>
      <x:c r="E2688" s="87"/>
      <x:c r="F2688" s="87"/>
      <x:c r="G2688" s="87" t="str">
        <x:v>Русский язык</x:v>
      </x:c>
      <x:c r="H2688" s="87" t="n">
        <x:v>11</x:v>
      </x:c>
      <x:c r="I2688" s="87" t="str">
        <x:v>ТР №1</x:v>
      </x:c>
      <x:c r="J2688" s="87" t="str">
        <x:v>РЯ2500101</x:v>
      </x:c>
      <x:c r="K2688" s="87" t="n">
        <x:v>16</x:v>
      </x:c>
      <x:c r="L2688" s="87" t="str">
        <x:v>Пунктуация в предложении</x:v>
      </x:c>
      <x:c r="M2688" s="30" t="str">
        <x:v>Выбрать предложения, в которых требуется поставить одну запятую.</x:v>
      </x:c>
      <x:c r="N2688" s="30" t="str">
        <x:v>134</x:v>
      </x:c>
      <x:c r="O2688" s="30" t="str">
        <x:v>Одна запятая требуется в предложениях 1, 3 и 4.</x:v>
      </x:c>
      <x:c r="P2688" s="30" t="str">
        <x:v>Ответ повторно проверен по норме языка, структуре предложения или содержанию исходного текста.</x:v>
      </x:c>
      <x:c r="Q2688" s="30"/>
      <x:c r="R2688" s="30" t="str">
        <x:v>Официальная таблица ответов + фото-сводка + независимая проверка</x:v>
      </x:c>
      <x:c r="S2688" s="30"/>
      <x:c r="T2688" s="30"/>
      <x:c r="U2688" s="30" t="str">
        <x:v>Расхождений не обнаружено.</x:v>
      </x:c>
      <x:c r="V2688" s="87" t="str">
        <x:v>VERIFIED</x:v>
      </x:c>
      <x:c r="W2688" s="87" t="str">
        <x:v>PDF заданий, стр. 8</x:v>
      </x:c>
      <x:c r="X2688" s="87"/>
      <x:c r="Y2688" s="87"/>
      <x:c r="Z2688" s="87"/>
      <x:c r="AA2688" s="87"/>
      <x:c r="AB2688" s="87"/>
      <x:c r="AC2688" s="87"/>
      <x:c r="AD2688" s="87"/>
      <x:c r="AE2688" s="87"/>
      <x:c r="AF2688" s="87"/>
      <x:c r="AG2688" s="87"/>
      <x:c r="AH2688" s="87"/>
      <x:c r="AI2688" s="30"/>
      <x:c r="AJ2688" s="87" t="str">
        <x:v>master</x:v>
      </x:c>
      <x:c r="AK2688" s="87" t="str">
        <x:v>master-v0.81</x:v>
      </x:c>
      <x:c r="AL2688" s="87" t="str">
        <x:v>statgrad_master_base_v0_81_final(2).xlsx</x:v>
      </x:c>
      <x:c r="AM2688" s="87" t="str">
        <x:v>RU_Apr_V1</x:v>
      </x:c>
      <x:c r="AN2688" s="87" t="n">
        <x:v>17</x:v>
      </x:c>
    </x:row>
    <x:row r="2689">
      <x:c r="A2689" s="87" t="n">
        <x:v>2688</x:v>
      </x:c>
      <x:c r="B2689" s="87" t="str">
        <x:v>APR-RU-V1-017</x:v>
      </x:c>
      <x:c r="C2689" s="87" t="str">
        <x:v>СтатГрад</x:v>
      </x:c>
      <x:c r="D2689" s="87" t="str">
        <x:v>Апрель 2026</x:v>
      </x:c>
      <x:c r="E2689" s="87"/>
      <x:c r="F2689" s="87"/>
      <x:c r="G2689" s="87" t="str">
        <x:v>Русский язык</x:v>
      </x:c>
      <x:c r="H2689" s="87" t="n">
        <x:v>11</x:v>
      </x:c>
      <x:c r="I2689" s="87" t="str">
        <x:v>ТР №1</x:v>
      </x:c>
      <x:c r="J2689" s="87" t="str">
        <x:v>РЯ2500101</x:v>
      </x:c>
      <x:c r="K2689" s="87" t="n">
        <x:v>17</x:v>
      </x:c>
      <x:c r="L2689" s="87" t="str">
        <x:v>Обособленные конструкции</x:v>
      </x:c>
      <x:c r="M2689" s="30" t="str">
        <x:v>Расставить запятые в предложении о приближении к отряду Ольги.</x:v>
      </x:c>
      <x:c r="N2689" s="30" t="str">
        <x:v>12567</x:v>
      </x:c>
      <x:c r="O2689" s="30" t="str">
        <x:v>Запятыми отделяются придаточные и обособленные конструкции; позиции 1, 2, 5, 6, 7.</x:v>
      </x:c>
      <x:c r="P2689" s="30" t="str">
        <x:v>Ответ повторно проверен по норме языка, структуре предложения или содержанию исходного текста.</x:v>
      </x:c>
      <x:c r="Q2689" s="30"/>
      <x:c r="R2689" s="30" t="str">
        <x:v>Официальная таблица ответов + фото-сводка + независимая проверка</x:v>
      </x:c>
      <x:c r="S2689" s="30"/>
      <x:c r="T2689" s="30"/>
      <x:c r="U2689" s="30" t="str">
        <x:v>Расхождений не обнаружено.</x:v>
      </x:c>
      <x:c r="V2689" s="87" t="str">
        <x:v>VERIFIED</x:v>
      </x:c>
      <x:c r="W2689" s="87" t="str">
        <x:v>PDF заданий, стр. 8</x:v>
      </x:c>
      <x:c r="X2689" s="87"/>
      <x:c r="Y2689" s="87"/>
      <x:c r="Z2689" s="87"/>
      <x:c r="AA2689" s="87"/>
      <x:c r="AB2689" s="87"/>
      <x:c r="AC2689" s="87"/>
      <x:c r="AD2689" s="87"/>
      <x:c r="AE2689" s="87"/>
      <x:c r="AF2689" s="87"/>
      <x:c r="AG2689" s="87"/>
      <x:c r="AH2689" s="87"/>
      <x:c r="AI2689" s="30"/>
      <x:c r="AJ2689" s="87" t="str">
        <x:v>master</x:v>
      </x:c>
      <x:c r="AK2689" s="87" t="str">
        <x:v>master-v0.81</x:v>
      </x:c>
      <x:c r="AL2689" s="87" t="str">
        <x:v>statgrad_master_base_v0_81_final(2).xlsx</x:v>
      </x:c>
      <x:c r="AM2689" s="87" t="str">
        <x:v>RU_Apr_V1</x:v>
      </x:c>
      <x:c r="AN2689" s="87" t="n">
        <x:v>18</x:v>
      </x:c>
    </x:row>
    <x:row r="2690">
      <x:c r="A2690" s="87" t="n">
        <x:v>2689</x:v>
      </x:c>
      <x:c r="B2690" s="87" t="str">
        <x:v>APR-RU-V1-018</x:v>
      </x:c>
      <x:c r="C2690" s="87" t="str">
        <x:v>СтатГрад</x:v>
      </x:c>
      <x:c r="D2690" s="87" t="str">
        <x:v>Апрель 2026</x:v>
      </x:c>
      <x:c r="E2690" s="87"/>
      <x:c r="F2690" s="87"/>
      <x:c r="G2690" s="87" t="str">
        <x:v>Русский язык</x:v>
      </x:c>
      <x:c r="H2690" s="87" t="n">
        <x:v>11</x:v>
      </x:c>
      <x:c r="I2690" s="87" t="str">
        <x:v>ТР №1</x:v>
      </x:c>
      <x:c r="J2690" s="87" t="str">
        <x:v>РЯ2500101</x:v>
      </x:c>
      <x:c r="K2690" s="87" t="n">
        <x:v>18</x:v>
      </x:c>
      <x:c r="L2690" s="87" t="str">
        <x:v>Обращение и вводные слова</x:v>
      </x:c>
      <x:c r="M2690" s="30" t="str">
        <x:v>Расставить запятые в двух репликах диалога о поездке и последних наставлениях.</x:v>
      </x:c>
      <x:c r="N2690" s="30" t="str">
        <x:v>123</x:v>
      </x:c>
      <x:c r="O2690" s="30" t="str">
        <x:v>Обращения и вводное слово обособляются в позициях 1, 2, 3.</x:v>
      </x:c>
      <x:c r="P2690" s="30" t="str">
        <x:v>Ответ повторно проверен по норме языка, структуре предложения или содержанию исходного текста.</x:v>
      </x:c>
      <x:c r="Q2690" s="30"/>
      <x:c r="R2690" s="30" t="str">
        <x:v>Официальная таблица ответов + фото-сводка + независимая проверка</x:v>
      </x:c>
      <x:c r="S2690" s="30"/>
      <x:c r="T2690" s="30"/>
      <x:c r="U2690" s="30" t="str">
        <x:v>Расхождений не обнаружено.</x:v>
      </x:c>
      <x:c r="V2690" s="87" t="str">
        <x:v>VERIFIED</x:v>
      </x:c>
      <x:c r="W2690" s="87" t="str">
        <x:v>PDF заданий, стр. 8</x:v>
      </x:c>
      <x:c r="X2690" s="87"/>
      <x:c r="Y2690" s="87"/>
      <x:c r="Z2690" s="87"/>
      <x:c r="AA2690" s="87"/>
      <x:c r="AB2690" s="87"/>
      <x:c r="AC2690" s="87"/>
      <x:c r="AD2690" s="87"/>
      <x:c r="AE2690" s="87"/>
      <x:c r="AF2690" s="87"/>
      <x:c r="AG2690" s="87"/>
      <x:c r="AH2690" s="87"/>
      <x:c r="AI2690" s="30"/>
      <x:c r="AJ2690" s="87" t="str">
        <x:v>master</x:v>
      </x:c>
      <x:c r="AK2690" s="87" t="str">
        <x:v>master-v0.81</x:v>
      </x:c>
      <x:c r="AL2690" s="87" t="str">
        <x:v>statgrad_master_base_v0_81_final(2).xlsx</x:v>
      </x:c>
      <x:c r="AM2690" s="87" t="str">
        <x:v>RU_Apr_V1</x:v>
      </x:c>
      <x:c r="AN2690" s="87" t="n">
        <x:v>19</x:v>
      </x:c>
    </x:row>
    <x:row r="2691">
      <x:c r="A2691" s="87" t="n">
        <x:v>2690</x:v>
      </x:c>
      <x:c r="B2691" s="87" t="str">
        <x:v>APR-RU-V1-019</x:v>
      </x:c>
      <x:c r="C2691" s="87" t="str">
        <x:v>СтатГрад</x:v>
      </x:c>
      <x:c r="D2691" s="87" t="str">
        <x:v>Апрель 2026</x:v>
      </x:c>
      <x:c r="E2691" s="87"/>
      <x:c r="F2691" s="87"/>
      <x:c r="G2691" s="87" t="str">
        <x:v>Русский язык</x:v>
      </x:c>
      <x:c r="H2691" s="87" t="n">
        <x:v>11</x:v>
      </x:c>
      <x:c r="I2691" s="87" t="str">
        <x:v>ТР №1</x:v>
      </x:c>
      <x:c r="J2691" s="87" t="str">
        <x:v>РЯ2500101</x:v>
      </x:c>
      <x:c r="K2691" s="87" t="n">
        <x:v>19</x:v>
      </x:c>
      <x:c r="L2691" s="87" t="str">
        <x:v>Сложноподчинённое предложение</x:v>
      </x:c>
      <x:c r="M2691" s="30" t="str">
        <x:v>Расставить запятые в предложении о матери, которая готовила и не замечала происходящего.</x:v>
      </x:c>
      <x:c r="N2691" s="30" t="str">
        <x:v>12345</x:v>
      </x:c>
      <x:c r="O2691" s="30" t="str">
        <x:v>Границы придаточных и частей сложного предложения дают позиции 1–5.</x:v>
      </x:c>
      <x:c r="P2691" s="30" t="str">
        <x:v>Ответ повторно проверен по норме языка, структуре предложения или содержанию исходного текста.</x:v>
      </x:c>
      <x:c r="Q2691" s="30"/>
      <x:c r="R2691" s="30" t="str">
        <x:v>Официальная таблица ответов + фото-сводка + независимая проверка</x:v>
      </x:c>
      <x:c r="S2691" s="30"/>
      <x:c r="T2691" s="30"/>
      <x:c r="U2691" s="30" t="str">
        <x:v>Расхождений не обнаружено.</x:v>
      </x:c>
      <x:c r="V2691" s="87" t="str">
        <x:v>VERIFIED</x:v>
      </x:c>
      <x:c r="W2691" s="87" t="str">
        <x:v>PDF заданий, стр. 8</x:v>
      </x:c>
      <x:c r="X2691" s="87"/>
      <x:c r="Y2691" s="87"/>
      <x:c r="Z2691" s="87"/>
      <x:c r="AA2691" s="87"/>
      <x:c r="AB2691" s="87"/>
      <x:c r="AC2691" s="87"/>
      <x:c r="AD2691" s="87"/>
      <x:c r="AE2691" s="87"/>
      <x:c r="AF2691" s="87"/>
      <x:c r="AG2691" s="87"/>
      <x:c r="AH2691" s="87"/>
      <x:c r="AI2691" s="30"/>
      <x:c r="AJ2691" s="87" t="str">
        <x:v>master</x:v>
      </x:c>
      <x:c r="AK2691" s="87" t="str">
        <x:v>master-v0.81</x:v>
      </x:c>
      <x:c r="AL2691" s="87" t="str">
        <x:v>statgrad_master_base_v0_81_final(2).xlsx</x:v>
      </x:c>
      <x:c r="AM2691" s="87" t="str">
        <x:v>RU_Apr_V1</x:v>
      </x:c>
      <x:c r="AN2691" s="87" t="n">
        <x:v>20</x:v>
      </x:c>
    </x:row>
    <x:row r="2692">
      <x:c r="A2692" s="87" t="n">
        <x:v>2691</x:v>
      </x:c>
      <x:c r="B2692" s="87" t="str">
        <x:v>APR-RU-V1-020</x:v>
      </x:c>
      <x:c r="C2692" s="87" t="str">
        <x:v>СтатГрад</x:v>
      </x:c>
      <x:c r="D2692" s="87" t="str">
        <x:v>Апрель 2026</x:v>
      </x:c>
      <x:c r="E2692" s="87"/>
      <x:c r="F2692" s="87"/>
      <x:c r="G2692" s="87" t="str">
        <x:v>Русский язык</x:v>
      </x:c>
      <x:c r="H2692" s="87" t="n">
        <x:v>11</x:v>
      </x:c>
      <x:c r="I2692" s="87" t="str">
        <x:v>ТР №1</x:v>
      </x:c>
      <x:c r="J2692" s="87" t="str">
        <x:v>РЯ2500101</x:v>
      </x:c>
      <x:c r="K2692" s="87" t="n">
        <x:v>20</x:v>
      </x:c>
      <x:c r="L2692" s="87" t="str">
        <x:v>Сложное предложение</x:v>
      </x:c>
      <x:c r="M2692" s="30" t="str">
        <x:v>Расставить запятые в предложении о ведре в колодце и отражении лица в воде.</x:v>
      </x:c>
      <x:c r="N2692" s="30" t="str">
        <x:v>25689</x:v>
      </x:c>
      <x:c r="O2692" s="30" t="str">
        <x:v>Запятые ставятся между частями сложного предложения и придаточными: позиции 2, 5, 6, 8, 9.</x:v>
      </x:c>
      <x:c r="P2692" s="30" t="str">
        <x:v>Ответ повторно проверен по норме языка, структуре предложения или содержанию исходного текста.</x:v>
      </x:c>
      <x:c r="Q2692" s="30"/>
      <x:c r="R2692" s="30" t="str">
        <x:v>Официальная таблица ответов + фото-сводка + независимая проверка</x:v>
      </x:c>
      <x:c r="S2692" s="30"/>
      <x:c r="T2692" s="30"/>
      <x:c r="U2692" s="30" t="str">
        <x:v>Расхождений не обнаружено.</x:v>
      </x:c>
      <x:c r="V2692" s="87" t="str">
        <x:v>VERIFIED</x:v>
      </x:c>
      <x:c r="W2692" s="87" t="str">
        <x:v>PDF заданий, стр. 8</x:v>
      </x:c>
      <x:c r="X2692" s="87"/>
      <x:c r="Y2692" s="87"/>
      <x:c r="Z2692" s="87"/>
      <x:c r="AA2692" s="87"/>
      <x:c r="AB2692" s="87"/>
      <x:c r="AC2692" s="87"/>
      <x:c r="AD2692" s="87"/>
      <x:c r="AE2692" s="87"/>
      <x:c r="AF2692" s="87"/>
      <x:c r="AG2692" s="87"/>
      <x:c r="AH2692" s="87"/>
      <x:c r="AI2692" s="30"/>
      <x:c r="AJ2692" s="87" t="str">
        <x:v>master</x:v>
      </x:c>
      <x:c r="AK2692" s="87" t="str">
        <x:v>master-v0.81</x:v>
      </x:c>
      <x:c r="AL2692" s="87" t="str">
        <x:v>statgrad_master_base_v0_81_final(2).xlsx</x:v>
      </x:c>
      <x:c r="AM2692" s="87" t="str">
        <x:v>RU_Apr_V1</x:v>
      </x:c>
      <x:c r="AN2692" s="87" t="n">
        <x:v>21</x:v>
      </x:c>
    </x:row>
    <x:row r="2693">
      <x:c r="A2693" s="87" t="n">
        <x:v>2692</x:v>
      </x:c>
      <x:c r="B2693" s="87" t="str">
        <x:v>APR-RU-V1-021</x:v>
      </x:c>
      <x:c r="C2693" s="87" t="str">
        <x:v>СтатГрад</x:v>
      </x:c>
      <x:c r="D2693" s="87" t="str">
        <x:v>Апрель 2026</x:v>
      </x:c>
      <x:c r="E2693" s="87"/>
      <x:c r="F2693" s="87"/>
      <x:c r="G2693" s="87" t="str">
        <x:v>Русский язык</x:v>
      </x:c>
      <x:c r="H2693" s="87" t="n">
        <x:v>11</x:v>
      </x:c>
      <x:c r="I2693" s="87" t="str">
        <x:v>ТР №1</x:v>
      </x:c>
      <x:c r="J2693" s="87" t="str">
        <x:v>РЯ2500101</x:v>
      </x:c>
      <x:c r="K2693" s="87" t="n">
        <x:v>21</x:v>
      </x:c>
      <x:c r="L2693" s="87" t="str">
        <x:v>Одинаковое правило пунктуации</x:v>
      </x:c>
      <x:c r="M2693" s="30" t="str">
        <x:v>Найти предложения в тексте о заказнике «Мыс Айя», где запятые поставлены по одному правилу.</x:v>
      </x:c>
      <x:c r="N2693" s="30" t="str">
        <x:v>68</x:v>
      </x:c>
      <x:c r="O2693" s="30" t="str">
        <x:v>В предложениях 6 и 8 запятая разделяет однородные компоненты, соединённые союзом.</x:v>
      </x:c>
      <x:c r="P2693" s="30" t="str">
        <x:v>Ответ повторно проверен по норме языка, структуре предложения или содержанию исходного текста.</x:v>
      </x:c>
      <x:c r="Q2693" s="30"/>
      <x:c r="R2693" s="30" t="str">
        <x:v>Официальная таблица ответов + фото-сводка + независимая проверка</x:v>
      </x:c>
      <x:c r="S2693" s="30"/>
      <x:c r="T2693" s="30"/>
      <x:c r="U2693" s="30" t="str">
        <x:v>Расхождений не обнаружено.</x:v>
      </x:c>
      <x:c r="V2693" s="87" t="str">
        <x:v>VERIFIED</x:v>
      </x:c>
      <x:c r="W2693" s="87" t="str">
        <x:v>PDF заданий, стр. 9</x:v>
      </x:c>
      <x:c r="X2693" s="87"/>
      <x:c r="Y2693" s="87"/>
      <x:c r="Z2693" s="87"/>
      <x:c r="AA2693" s="87"/>
      <x:c r="AB2693" s="87"/>
      <x:c r="AC2693" s="87"/>
      <x:c r="AD2693" s="87"/>
      <x:c r="AE2693" s="87"/>
      <x:c r="AF2693" s="87"/>
      <x:c r="AG2693" s="87"/>
      <x:c r="AH2693" s="87"/>
      <x:c r="AI2693" s="30"/>
      <x:c r="AJ2693" s="87" t="str">
        <x:v>master</x:v>
      </x:c>
      <x:c r="AK2693" s="87" t="str">
        <x:v>master-v0.81</x:v>
      </x:c>
      <x:c r="AL2693" s="87" t="str">
        <x:v>statgrad_master_base_v0_81_final(2).xlsx</x:v>
      </x:c>
      <x:c r="AM2693" s="87" t="str">
        <x:v>RU_Apr_V1</x:v>
      </x:c>
      <x:c r="AN2693" s="87" t="n">
        <x:v>22</x:v>
      </x:c>
    </x:row>
    <x:row r="2694">
      <x:c r="A2694" s="87" t="n">
        <x:v>2693</x:v>
      </x:c>
      <x:c r="B2694" s="87" t="str">
        <x:v>APR-RU-V1-022</x:v>
      </x:c>
      <x:c r="C2694" s="87" t="str">
        <x:v>СтатГрад</x:v>
      </x:c>
      <x:c r="D2694" s="87" t="str">
        <x:v>Апрель 2026</x:v>
      </x:c>
      <x:c r="E2694" s="87"/>
      <x:c r="F2694" s="87"/>
      <x:c r="G2694" s="87" t="str">
        <x:v>Русский язык</x:v>
      </x:c>
      <x:c r="H2694" s="87" t="n">
        <x:v>11</x:v>
      </x:c>
      <x:c r="I2694" s="87" t="str">
        <x:v>ТР №1</x:v>
      </x:c>
      <x:c r="J2694" s="87" t="str">
        <x:v>РЯ2500101</x:v>
      </x:c>
      <x:c r="K2694" s="87" t="n">
        <x:v>22</x:v>
      </x:c>
      <x:c r="L2694" s="87" t="str">
        <x:v>Средства выразительности</x:v>
      </x:c>
      <x:c r="M2694" s="30" t="str">
        <x:v>Соотнести пять предложений с названиями синтаксических средств выразительности.</x:v>
      </x:c>
      <x:c r="N2694" s="30" t="str">
        <x:v>58796</x:v>
      </x:c>
      <x:c r="O2694" s="30" t="str">
        <x:v>Соответствие: парцелляция, синтаксический параллелизм, вопросно-ответная форма, эпифора, риторический вопрос.</x:v>
      </x:c>
      <x:c r="P2694" s="30" t="str">
        <x:v>Ответ повторно проверен по норме языка, структуре предложения или содержанию исходного текста.</x:v>
      </x:c>
      <x:c r="Q2694" s="30"/>
      <x:c r="R2694" s="30" t="str">
        <x:v>Официальная таблица ответов + фото-сводка + независимая проверка</x:v>
      </x:c>
      <x:c r="S2694" s="30"/>
      <x:c r="T2694" s="30"/>
      <x:c r="U2694" s="30" t="str">
        <x:v>Расхождений не обнаружено.</x:v>
      </x:c>
      <x:c r="V2694" s="87" t="str">
        <x:v>VERIFIED</x:v>
      </x:c>
      <x:c r="W2694" s="87" t="str">
        <x:v>PDF заданий, стр. 10</x:v>
      </x:c>
      <x:c r="X2694" s="87"/>
      <x:c r="Y2694" s="87"/>
      <x:c r="Z2694" s="87"/>
      <x:c r="AA2694" s="87"/>
      <x:c r="AB2694" s="87"/>
      <x:c r="AC2694" s="87"/>
      <x:c r="AD2694" s="87"/>
      <x:c r="AE2694" s="87"/>
      <x:c r="AF2694" s="87"/>
      <x:c r="AG2694" s="87"/>
      <x:c r="AH2694" s="87"/>
      <x:c r="AI2694" s="30"/>
      <x:c r="AJ2694" s="87" t="str">
        <x:v>master</x:v>
      </x:c>
      <x:c r="AK2694" s="87" t="str">
        <x:v>master-v0.81</x:v>
      </x:c>
      <x:c r="AL2694" s="87" t="str">
        <x:v>statgrad_master_base_v0_81_final(2).xlsx</x:v>
      </x:c>
      <x:c r="AM2694" s="87" t="str">
        <x:v>RU_Apr_V1</x:v>
      </x:c>
      <x:c r="AN2694" s="87" t="n">
        <x:v>23</x:v>
      </x:c>
    </x:row>
    <x:row r="2695">
      <x:c r="A2695" s="87" t="n">
        <x:v>2694</x:v>
      </x:c>
      <x:c r="B2695" s="87" t="str">
        <x:v>APR-RU-V1-023</x:v>
      </x:c>
      <x:c r="C2695" s="87" t="str">
        <x:v>СтатГрад</x:v>
      </x:c>
      <x:c r="D2695" s="87" t="str">
        <x:v>Апрель 2026</x:v>
      </x:c>
      <x:c r="E2695" s="87"/>
      <x:c r="F2695" s="87"/>
      <x:c r="G2695" s="87" t="str">
        <x:v>Русский язык</x:v>
      </x:c>
      <x:c r="H2695" s="87" t="n">
        <x:v>11</x:v>
      </x:c>
      <x:c r="I2695" s="87" t="str">
        <x:v>ТР №1</x:v>
      </x:c>
      <x:c r="J2695" s="87" t="str">
        <x:v>РЯ2500101</x:v>
      </x:c>
      <x:c r="K2695" s="87" t="n">
        <x:v>23</x:v>
      </x:c>
      <x:c r="L2695" s="87" t="str">
        <x:v>Содержание текста</x:v>
      </x:c>
      <x:c r="M2695" s="30" t="str">
        <x:v>По рассказу В. В. Вересаева о Лёвочке выбрать высказывания, соответствующие тексту.</x:v>
      </x:c>
      <x:c r="N2695" s="30" t="str">
        <x:v>124</x:v>
      </x:c>
      <x:c r="O2695" s="30" t="str">
        <x:v>Текст подтверждает спор в вагоне, объяснение отказа матери согласиться с замечанием и стремление дать сыну достойное образование.</x:v>
      </x:c>
      <x:c r="P2695" s="30" t="str">
        <x:v>Ответ повторно проверен по норме языка, структуре предложения или содержанию исходного текста.</x:v>
      </x:c>
      <x:c r="Q2695" s="30"/>
      <x:c r="R2695" s="30" t="str">
        <x:v>Официальная таблица ответов + фото-сводка + независимая проверка</x:v>
      </x:c>
      <x:c r="S2695" s="30"/>
      <x:c r="T2695" s="30"/>
      <x:c r="U2695" s="30" t="str">
        <x:v>Расхождений не обнаружено.</x:v>
      </x:c>
      <x:c r="V2695" s="87" t="str">
        <x:v>VERIFIED</x:v>
      </x:c>
      <x:c r="W2695" s="87" t="str">
        <x:v>PDF заданий, стр. 12</x:v>
      </x:c>
      <x:c r="X2695" s="87"/>
      <x:c r="Y2695" s="87"/>
      <x:c r="Z2695" s="87"/>
      <x:c r="AA2695" s="87"/>
      <x:c r="AB2695" s="87"/>
      <x:c r="AC2695" s="87"/>
      <x:c r="AD2695" s="87"/>
      <x:c r="AE2695" s="87"/>
      <x:c r="AF2695" s="87"/>
      <x:c r="AG2695" s="87"/>
      <x:c r="AH2695" s="87"/>
      <x:c r="AI2695" s="30"/>
      <x:c r="AJ2695" s="87" t="str">
        <x:v>master</x:v>
      </x:c>
      <x:c r="AK2695" s="87" t="str">
        <x:v>master-v0.81</x:v>
      </x:c>
      <x:c r="AL2695" s="87" t="str">
        <x:v>statgrad_master_base_v0_81_final(2).xlsx</x:v>
      </x:c>
      <x:c r="AM2695" s="87" t="str">
        <x:v>RU_Apr_V1</x:v>
      </x:c>
      <x:c r="AN2695" s="87" t="n">
        <x:v>24</x:v>
      </x:c>
    </x:row>
    <x:row r="2696">
      <x:c r="A2696" s="87" t="n">
        <x:v>2695</x:v>
      </x:c>
      <x:c r="B2696" s="87" t="str">
        <x:v>APR-RU-V1-024</x:v>
      </x:c>
      <x:c r="C2696" s="87" t="str">
        <x:v>СтатГрад</x:v>
      </x:c>
      <x:c r="D2696" s="87" t="str">
        <x:v>Апрель 2026</x:v>
      </x:c>
      <x:c r="E2696" s="87"/>
      <x:c r="F2696" s="87"/>
      <x:c r="G2696" s="87" t="str">
        <x:v>Русский язык</x:v>
      </x:c>
      <x:c r="H2696" s="87" t="n">
        <x:v>11</x:v>
      </x:c>
      <x:c r="I2696" s="87" t="str">
        <x:v>ТР №1</x:v>
      </x:c>
      <x:c r="J2696" s="87" t="str">
        <x:v>РЯ2500101</x:v>
      </x:c>
      <x:c r="K2696" s="87" t="n">
        <x:v>24</x:v>
      </x:c>
      <x:c r="L2696" s="87" t="str">
        <x:v>Типы речи и логика текста</x:v>
      </x:c>
      <x:c r="M2696" s="30" t="str">
        <x:v>Выбрать ошибочные утверждения о повествовании, описании, рассуждении и смысловых отношениях в тексте.</x:v>
      </x:c>
      <x:c r="N2696" s="30" t="str">
        <x:v>35</x:v>
      </x:c>
      <x:c r="O2696" s="30" t="str">
        <x:v>Ошибочны утверждения 3 и 5: в 40–41 нет рассуждения, а содержание 60 не противопоставлено 59.</x:v>
      </x:c>
      <x:c r="P2696" s="30" t="str">
        <x:v>Ответ повторно проверен по норме языка, структуре предложения или содержанию исходного текста.</x:v>
      </x:c>
      <x:c r="Q2696" s="30"/>
      <x:c r="R2696" s="30" t="str">
        <x:v>Официальная таблица ответов + фото-сводка + независимая проверка</x:v>
      </x:c>
      <x:c r="S2696" s="30"/>
      <x:c r="T2696" s="30"/>
      <x:c r="U2696" s="30" t="str">
        <x:v>Расхождений не обнаружено.</x:v>
      </x:c>
      <x:c r="V2696" s="87" t="str">
        <x:v>VERIFIED</x:v>
      </x:c>
      <x:c r="W2696" s="87" t="str">
        <x:v>PDF заданий, стр. 13</x:v>
      </x:c>
      <x:c r="X2696" s="87"/>
      <x:c r="Y2696" s="87"/>
      <x:c r="Z2696" s="87"/>
      <x:c r="AA2696" s="87"/>
      <x:c r="AB2696" s="87"/>
      <x:c r="AC2696" s="87"/>
      <x:c r="AD2696" s="87"/>
      <x:c r="AE2696" s="87"/>
      <x:c r="AF2696" s="87"/>
      <x:c r="AG2696" s="87"/>
      <x:c r="AH2696" s="87"/>
      <x:c r="AI2696" s="30"/>
      <x:c r="AJ2696" s="87" t="str">
        <x:v>master</x:v>
      </x:c>
      <x:c r="AK2696" s="87" t="str">
        <x:v>master-v0.81</x:v>
      </x:c>
      <x:c r="AL2696" s="87" t="str">
        <x:v>statgrad_master_base_v0_81_final(2).xlsx</x:v>
      </x:c>
      <x:c r="AM2696" s="87" t="str">
        <x:v>RU_Apr_V1</x:v>
      </x:c>
      <x:c r="AN2696" s="87" t="n">
        <x:v>25</x:v>
      </x:c>
    </x:row>
    <x:row r="2697">
      <x:c r="A2697" s="87" t="n">
        <x:v>2696</x:v>
      </x:c>
      <x:c r="B2697" s="87" t="str">
        <x:v>APR-RU-V1-025</x:v>
      </x:c>
      <x:c r="C2697" s="87" t="str">
        <x:v>СтатГрад</x:v>
      </x:c>
      <x:c r="D2697" s="87" t="str">
        <x:v>Апрель 2026</x:v>
      </x:c>
      <x:c r="E2697" s="87"/>
      <x:c r="F2697" s="87"/>
      <x:c r="G2697" s="87" t="str">
        <x:v>Русский язык</x:v>
      </x:c>
      <x:c r="H2697" s="87" t="n">
        <x:v>11</x:v>
      </x:c>
      <x:c r="I2697" s="87" t="str">
        <x:v>ТР №1</x:v>
      </x:c>
      <x:c r="J2697" s="87" t="str">
        <x:v>РЯ2500101</x:v>
      </x:c>
      <x:c r="K2697" s="87" t="n">
        <x:v>25</x:v>
      </x:c>
      <x:c r="L2697" s="87" t="str">
        <x:v>Фразеологизм</x:v>
      </x:c>
      <x:c r="M2697" s="30" t="str">
        <x:v>Из предложений 26–33 выписать один фразеологизм.</x:v>
      </x:c>
      <x:c r="N2697" s="30" t="str">
        <x:v>первым делом</x:v>
      </x:c>
      <x:c r="O2697" s="30" t="str">
        <x:v>«Первым делом» — устойчивое сочетание со значением «прежде всего».</x:v>
      </x:c>
      <x:c r="P2697" s="30" t="str">
        <x:v>Ответ повторно проверен по норме языка, структуре предложения или содержанию исходного текста.</x:v>
      </x:c>
      <x:c r="Q2697" s="30"/>
      <x:c r="R2697" s="30" t="str">
        <x:v>Официальная таблица ответов + фото-сводка + независимая проверка</x:v>
      </x:c>
      <x:c r="S2697" s="30"/>
      <x:c r="T2697" s="30"/>
      <x:c r="U2697" s="30" t="str">
        <x:v>Расхождений не обнаружено.</x:v>
      </x:c>
      <x:c r="V2697" s="87" t="str">
        <x:v>VERIFIED</x:v>
      </x:c>
      <x:c r="W2697" s="87" t="str">
        <x:v>PDF заданий, стр. 13</x:v>
      </x:c>
      <x:c r="X2697" s="87"/>
      <x:c r="Y2697" s="87"/>
      <x:c r="Z2697" s="87"/>
      <x:c r="AA2697" s="87"/>
      <x:c r="AB2697" s="87"/>
      <x:c r="AC2697" s="87"/>
      <x:c r="AD2697" s="87"/>
      <x:c r="AE2697" s="87"/>
      <x:c r="AF2697" s="87"/>
      <x:c r="AG2697" s="87"/>
      <x:c r="AH2697" s="87"/>
      <x:c r="AI2697" s="30"/>
      <x:c r="AJ2697" s="87" t="str">
        <x:v>master</x:v>
      </x:c>
      <x:c r="AK2697" s="87" t="str">
        <x:v>master-v0.81</x:v>
      </x:c>
      <x:c r="AL2697" s="87" t="str">
        <x:v>statgrad_master_base_v0_81_final(2).xlsx</x:v>
      </x:c>
      <x:c r="AM2697" s="87" t="str">
        <x:v>RU_Apr_V1</x:v>
      </x:c>
      <x:c r="AN2697" s="87" t="n">
        <x:v>26</x:v>
      </x:c>
    </x:row>
    <x:row r="2698">
      <x:c r="A2698" s="87" t="n">
        <x:v>2697</x:v>
      </x:c>
      <x:c r="B2698" s="87" t="str">
        <x:v>APR-RU-V1-026</x:v>
      </x:c>
      <x:c r="C2698" s="87" t="str">
        <x:v>СтатГрад</x:v>
      </x:c>
      <x:c r="D2698" s="87" t="str">
        <x:v>Апрель 2026</x:v>
      </x:c>
      <x:c r="E2698" s="87"/>
      <x:c r="F2698" s="87"/>
      <x:c r="G2698" s="87" t="str">
        <x:v>Русский язык</x:v>
      </x:c>
      <x:c r="H2698" s="87" t="n">
        <x:v>11</x:v>
      </x:c>
      <x:c r="I2698" s="87" t="str">
        <x:v>ТР №1</x:v>
      </x:c>
      <x:c r="J2698" s="87" t="str">
        <x:v>РЯ2500101</x:v>
      </x:c>
      <x:c r="K2698" s="87" t="n">
        <x:v>26</x:v>
      </x:c>
      <x:c r="L2698" s="87" t="str">
        <x:v>Средства связи предложений</x:v>
      </x:c>
      <x:c r="M2698" s="30" t="str">
        <x:v>Среди предложений 1–8 найти предложение, связанное с предыдущим контекстным синонимом и однокоренным словом.</x:v>
      </x:c>
      <x:c r="N2698" s="30" t="str">
        <x:v>6</x:v>
      </x:c>
      <x:c r="O2698" s="30" t="str">
        <x:v>Предложение 6 связано со словом «мальчик» контекстным обозначением и однокоренной лексикой движения/выхода.</x:v>
      </x:c>
      <x:c r="P2698" s="30" t="str">
        <x:v>Ответ повторно проверен по норме языка, структуре предложения или содержанию исходного текста.</x:v>
      </x:c>
      <x:c r="Q2698" s="30"/>
      <x:c r="R2698" s="30" t="str">
        <x:v>Официальная таблица ответов + фото-сводка + независимая проверка</x:v>
      </x:c>
      <x:c r="S2698" s="30"/>
      <x:c r="T2698" s="30"/>
      <x:c r="U2698" s="30" t="str">
        <x:v>Расхождений не обнаружено.</x:v>
      </x:c>
      <x:c r="V2698" s="87" t="str">
        <x:v>VERIFIED</x:v>
      </x:c>
      <x:c r="W2698" s="87" t="str">
        <x:v>PDF заданий, стр. 13</x:v>
      </x:c>
      <x:c r="X2698" s="87"/>
      <x:c r="Y2698" s="87"/>
      <x:c r="Z2698" s="87"/>
      <x:c r="AA2698" s="87"/>
      <x:c r="AB2698" s="87"/>
      <x:c r="AC2698" s="87"/>
      <x:c r="AD2698" s="87"/>
      <x:c r="AE2698" s="87"/>
      <x:c r="AF2698" s="87"/>
      <x:c r="AG2698" s="87"/>
      <x:c r="AH2698" s="87"/>
      <x:c r="AI2698" s="30"/>
      <x:c r="AJ2698" s="87" t="str">
        <x:v>master</x:v>
      </x:c>
      <x:c r="AK2698" s="87" t="str">
        <x:v>master-v0.81</x:v>
      </x:c>
      <x:c r="AL2698" s="87" t="str">
        <x:v>statgrad_master_base_v0_81_final(2).xlsx</x:v>
      </x:c>
      <x:c r="AM2698" s="87" t="str">
        <x:v>RU_Apr_V1</x:v>
      </x:c>
      <x:c r="AN2698" s="87" t="n">
        <x:v>27</x:v>
      </x:c>
    </x:row>
    <x:row r="2699">
      <x:c r="A2699" s="87" t="n">
        <x:v>2698</x:v>
      </x:c>
      <x:c r="B2699" s="87" t="str">
        <x:v>APR-RU-V1-027</x:v>
      </x:c>
      <x:c r="C2699" s="87" t="str">
        <x:v>СтатГрад</x:v>
      </x:c>
      <x:c r="D2699" s="87" t="str">
        <x:v>Апрель 2026</x:v>
      </x:c>
      <x:c r="E2699" s="87"/>
      <x:c r="F2699" s="87"/>
      <x:c r="G2699" s="87" t="str">
        <x:v>Русский язык</x:v>
      </x:c>
      <x:c r="H2699" s="87" t="n">
        <x:v>11</x:v>
      </x:c>
      <x:c r="I2699" s="87" t="str">
        <x:v>ТР №1</x:v>
      </x:c>
      <x:c r="J2699" s="87" t="str">
        <x:v>РЯ2500101</x:v>
      </x:c>
      <x:c r="K2699" s="87" t="n">
        <x:v>27</x:v>
      </x:c>
      <x:c r="L2699" s="87" t="str">
        <x:v>Сочинение</x:v>
      </x:c>
      <x:c r="M2699" s="30" t="str">
        <x:v>Написать сочинение по проблеме: «К чему может привести чрезмерная родительская любовь?»</x:v>
      </x:c>
      <x:c r="N2699" s="30" t="str">
        <x:v>К чему может привести чрезмерная родительская любовь? В. В. Вересаев убеждён: слепая любовь, не соединённая с требовательностью и уважением к другим людям, воспитывает в ребёнке жестокого эгоиста.
В трамвае маленький Лёвочка расталкивает пассажиров и требует освободить ему место у окна. Мать сначала просит сына не толкаться, однако почти сразу оправдывает его перед возмущённым мужчиной. Более того, после каприза она даёт мальчику шоколад. Этот эпизод показывает, что ребёнок не сталкивается с последствиями своего поведения: материнская нежность превращается в поощрение грубости.
Далее автор рассказывает о взрослом Лёве. Мать посвятила ему всю жизнь, давала уроки, терпела унижения и старалась обеспечить образование. Но выросший сын выселяет её из собственной квартиры, а затем полностью отказывается помогать. Эти примеры связаны отношением причины и следствия: привычка получать всё по первому требованию формирует человека, который не умеет быть благодарным и сочувствовать даже самому близкому.
Я согласен с автором. Любовь должна помогать ребёнку становиться ответственным, а не освобождать его от нравственных ограничений. В комедии Д. И. Фонвизина «Недоросль» госпожа Простакова слепо обожает Митрофана, потакает его лени и презрению к людям. В финале избалованный сын отталкивает мать именно тогда, когда она нуждается в поддержке. Значит, родительская любовь без разумной строгости может разрушить характер ребёнка и обернуться трагедией для самого родителя.</x:v>
      </x:c>
      <x:c r="O2699" s="30" t="str">
        <x:v>Полная модель сочинения: 200 слов; сформулирована авторская позиция, приведены два примера-иллюстрации, указана причинно-следственная связь и дан самостоятельный аргумент.</x:v>
      </x:c>
      <x:c r="P2699" s="30" t="str">
        <x:v>Проверены объём, структура комментария, отсутствие пересказа вместо анализа и соответствие официальной авторской позиции.</x:v>
      </x:c>
      <x:c r="Q2699" s="30"/>
      <x:c r="R2699" s="30" t="str">
        <x:v>Kriterii_RU10-11_30042026.pdf + исходный текст + самостоятельная модель</x:v>
      </x:c>
      <x:c r="S2699" s="30"/>
      <x:c r="T2699" s="30"/>
      <x:c r="U2699" s="30" t="str">
        <x:v>Расхождений не обнаружено.</x:v>
      </x:c>
      <x:c r="V2699" s="87" t="str">
        <x:v>VERIFIED</x:v>
      </x:c>
      <x:c r="W2699" s="87" t="str">
        <x:v>PDF заданий, стр. 14</x:v>
      </x:c>
      <x:c r="X2699" s="87"/>
      <x:c r="Y2699" s="87"/>
      <x:c r="Z2699" s="87"/>
      <x:c r="AA2699" s="87"/>
      <x:c r="AB2699" s="87"/>
      <x:c r="AC2699" s="87"/>
      <x:c r="AD2699" s="87"/>
      <x:c r="AE2699" s="87"/>
      <x:c r="AF2699" s="87"/>
      <x:c r="AG2699" s="87"/>
      <x:c r="AH2699" s="87"/>
      <x:c r="AI2699" s="30"/>
      <x:c r="AJ2699" s="87" t="str">
        <x:v>master</x:v>
      </x:c>
      <x:c r="AK2699" s="87" t="str">
        <x:v>master-v0.81</x:v>
      </x:c>
      <x:c r="AL2699" s="87" t="str">
        <x:v>statgrad_master_base_v0_81_final(2).xlsx</x:v>
      </x:c>
      <x:c r="AM2699" s="87" t="str">
        <x:v>RU_Apr_V1</x:v>
      </x:c>
      <x:c r="AN2699" s="87" t="n">
        <x:v>28</x:v>
      </x:c>
    </x:row>
    <x:row r="2700">
      <x:c r="A2700" s="87" t="n">
        <x:v>2699</x:v>
      </x:c>
      <x:c r="B2700" s="87" t="str">
        <x:v>APR-RU-V2-001</x:v>
      </x:c>
      <x:c r="C2700" s="87" t="str">
        <x:v>СтатГрад</x:v>
      </x:c>
      <x:c r="D2700" s="87" t="str">
        <x:v>Апрель 2026</x:v>
      </x:c>
      <x:c r="E2700" s="87"/>
      <x:c r="F2700" s="87"/>
      <x:c r="G2700" s="87" t="str">
        <x:v>Русский язык</x:v>
      </x:c>
      <x:c r="H2700" s="87" t="n">
        <x:v>11</x:v>
      </x:c>
      <x:c r="I2700" s="87" t="str">
        <x:v>ТР №1</x:v>
      </x:c>
      <x:c r="J2700" s="87" t="str">
        <x:v>РЯ2500102</x:v>
      </x:c>
      <x:c r="K2700" s="87" t="n">
        <x:v>1</x:v>
      </x:c>
      <x:c r="L2700" s="87" t="str">
        <x:v>Формообразующая частица</x:v>
      </x:c>
      <x:c r="M2700" s="30" t="str">
        <x:v>Во втором абзаце текста М. А. Булгакова найти формообразующую частицу.</x:v>
      </x:c>
      <x:c r="N2700" s="30" t="str">
        <x:v>давайте</x:v>
      </x:c>
      <x:c r="O2700" s="30" t="str">
        <x:v>Частица «давайте» образует форму совместного побуждения.</x:v>
      </x:c>
      <x:c r="P2700" s="30" t="str">
        <x:v>Ответ повторно проверен по норме языка, структуре предложения или содержанию исходного текста.</x:v>
      </x:c>
      <x:c r="Q2700" s="30"/>
      <x:c r="R2700" s="30" t="str">
        <x:v>Официальная таблица ответов + фото-сводка + независимая проверка</x:v>
      </x:c>
      <x:c r="S2700" s="30"/>
      <x:c r="T2700" s="30"/>
      <x:c r="U2700" s="30" t="str">
        <x:v>Расхождений не обнаружено.</x:v>
      </x:c>
      <x:c r="V2700" s="87" t="str">
        <x:v>VERIFIED</x:v>
      </x:c>
      <x:c r="W2700" s="87" t="str">
        <x:v>PDF заданий, стр. 16</x:v>
      </x:c>
      <x:c r="X2700" s="87"/>
      <x:c r="Y2700" s="87"/>
      <x:c r="Z2700" s="87"/>
      <x:c r="AA2700" s="87"/>
      <x:c r="AB2700" s="87"/>
      <x:c r="AC2700" s="87"/>
      <x:c r="AD2700" s="87"/>
      <x:c r="AE2700" s="87"/>
      <x:c r="AF2700" s="87"/>
      <x:c r="AG2700" s="87"/>
      <x:c r="AH2700" s="87"/>
      <x:c r="AI2700" s="30"/>
      <x:c r="AJ2700" s="87" t="str">
        <x:v>master</x:v>
      </x:c>
      <x:c r="AK2700" s="87" t="str">
        <x:v>master-v0.81</x:v>
      </x:c>
      <x:c r="AL2700" s="87" t="str">
        <x:v>statgrad_master_base_v0_81_final(2).xlsx</x:v>
      </x:c>
      <x:c r="AM2700" s="87" t="str">
        <x:v>RU_Apr_V2</x:v>
      </x:c>
      <x:c r="AN2700" s="87" t="n">
        <x:v>2</x:v>
      </x:c>
    </x:row>
    <x:row r="2701">
      <x:c r="A2701" s="87" t="n">
        <x:v>2700</x:v>
      </x:c>
      <x:c r="B2701" s="87" t="str">
        <x:v>APR-RU-V2-002</x:v>
      </x:c>
      <x:c r="C2701" s="87" t="str">
        <x:v>СтатГрад</x:v>
      </x:c>
      <x:c r="D2701" s="87" t="str">
        <x:v>Апрель 2026</x:v>
      </x:c>
      <x:c r="E2701" s="87"/>
      <x:c r="F2701" s="87"/>
      <x:c r="G2701" s="87" t="str">
        <x:v>Русский язык</x:v>
      </x:c>
      <x:c r="H2701" s="87" t="n">
        <x:v>11</x:v>
      </x:c>
      <x:c r="I2701" s="87" t="str">
        <x:v>ТР №1</x:v>
      </x:c>
      <x:c r="J2701" s="87" t="str">
        <x:v>РЯ2500102</x:v>
      </x:c>
      <x:c r="K2701" s="87" t="n">
        <x:v>2</x:v>
      </x:c>
      <x:c r="L2701" s="87" t="str">
        <x:v>Лексическое значение</x:v>
      </x:c>
      <x:c r="M2701" s="30" t="str">
        <x:v>Сопоставить выделенные слова ВРЕМЯ, ЗАМЕТИТЬ, ОДИН, ТОПИТЬ, УБРАТЬ с приведёнными значениями.</x:v>
      </x:c>
      <x:c r="N2701" s="30" t="str">
        <x:v>45</x:v>
      </x:c>
      <x:c r="O2701" s="30" t="str">
        <x:v>Словарные значения совпадают у ТОПИТЬ («нагревать помещение») и УБРАТЬ («удалить»).</x:v>
      </x:c>
      <x:c r="P2701" s="30" t="str">
        <x:v>Ответ повторно проверен по норме языка, структуре предложения или содержанию исходного текста.</x:v>
      </x:c>
      <x:c r="Q2701" s="30"/>
      <x:c r="R2701" s="30" t="str">
        <x:v>Официальная таблица ответов + фото-сводка + независимая проверка</x:v>
      </x:c>
      <x:c r="S2701" s="30"/>
      <x:c r="T2701" s="30"/>
      <x:c r="U2701" s="30" t="str">
        <x:v>Расхождений не обнаружено.</x:v>
      </x:c>
      <x:c r="V2701" s="87" t="str">
        <x:v>VERIFIED</x:v>
      </x:c>
      <x:c r="W2701" s="87" t="str">
        <x:v>PDF заданий, стр. 17</x:v>
      </x:c>
      <x:c r="X2701" s="87"/>
      <x:c r="Y2701" s="87"/>
      <x:c r="Z2701" s="87"/>
      <x:c r="AA2701" s="87"/>
      <x:c r="AB2701" s="87"/>
      <x:c r="AC2701" s="87"/>
      <x:c r="AD2701" s="87"/>
      <x:c r="AE2701" s="87"/>
      <x:c r="AF2701" s="87"/>
      <x:c r="AG2701" s="87"/>
      <x:c r="AH2701" s="87"/>
      <x:c r="AI2701" s="30"/>
      <x:c r="AJ2701" s="87" t="str">
        <x:v>master</x:v>
      </x:c>
      <x:c r="AK2701" s="87" t="str">
        <x:v>master-v0.81</x:v>
      </x:c>
      <x:c r="AL2701" s="87" t="str">
        <x:v>statgrad_master_base_v0_81_final(2).xlsx</x:v>
      </x:c>
      <x:c r="AM2701" s="87" t="str">
        <x:v>RU_Apr_V2</x:v>
      </x:c>
      <x:c r="AN2701" s="87" t="n">
        <x:v>3</x:v>
      </x:c>
    </x:row>
    <x:row r="2702">
      <x:c r="A2702" s="87" t="n">
        <x:v>2701</x:v>
      </x:c>
      <x:c r="B2702" s="87" t="str">
        <x:v>APR-RU-V2-003</x:v>
      </x:c>
      <x:c r="C2702" s="87" t="str">
        <x:v>СтатГрад</x:v>
      </x:c>
      <x:c r="D2702" s="87" t="str">
        <x:v>Апрель 2026</x:v>
      </x:c>
      <x:c r="E2702" s="87"/>
      <x:c r="F2702" s="87"/>
      <x:c r="G2702" s="87" t="str">
        <x:v>Русский язык</x:v>
      </x:c>
      <x:c r="H2702" s="87" t="n">
        <x:v>11</x:v>
      </x:c>
      <x:c r="I2702" s="87" t="str">
        <x:v>ТР №1</x:v>
      </x:c>
      <x:c r="J2702" s="87" t="str">
        <x:v>РЯ2500102</x:v>
      </x:c>
      <x:c r="K2702" s="87" t="n">
        <x:v>3</x:v>
      </x:c>
      <x:c r="L2702" s="87" t="str">
        <x:v>Характеристика текста</x:v>
      </x:c>
      <x:c r="M2702" s="30" t="str">
        <x:v>Выбрать верные характеристики разговорно-художественного фрагмента М. А. Булгакова.</x:v>
      </x:c>
      <x:c r="N2702" s="30" t="str">
        <x:v>24</x:v>
      </x:c>
      <x:c r="O2702" s="30" t="str">
        <x:v>Верны характеристики 2 и 4: это развёрнутая реплика героя, в тексте есть однородные члены и обособленные конструкции.</x:v>
      </x:c>
      <x:c r="P2702" s="30" t="str">
        <x:v>Ответ повторно проверен по норме языка, структуре предложения или содержанию исходного текста.</x:v>
      </x:c>
      <x:c r="Q2702" s="30"/>
      <x:c r="R2702" s="30" t="str">
        <x:v>Официальная таблица ответов + фото-сводка + независимая проверка</x:v>
      </x:c>
      <x:c r="S2702" s="30"/>
      <x:c r="T2702" s="30"/>
      <x:c r="U2702" s="30" t="str">
        <x:v>Расхождений не обнаружено.</x:v>
      </x:c>
      <x:c r="V2702" s="87" t="str">
        <x:v>VERIFIED</x:v>
      </x:c>
      <x:c r="W2702" s="87" t="str">
        <x:v>PDF заданий, стр. 17</x:v>
      </x:c>
      <x:c r="X2702" s="87"/>
      <x:c r="Y2702" s="87"/>
      <x:c r="Z2702" s="87"/>
      <x:c r="AA2702" s="87"/>
      <x:c r="AB2702" s="87"/>
      <x:c r="AC2702" s="87"/>
      <x:c r="AD2702" s="87"/>
      <x:c r="AE2702" s="87"/>
      <x:c r="AF2702" s="87"/>
      <x:c r="AG2702" s="87"/>
      <x:c r="AH2702" s="87"/>
      <x:c r="AI2702" s="30"/>
      <x:c r="AJ2702" s="87" t="str">
        <x:v>master</x:v>
      </x:c>
      <x:c r="AK2702" s="87" t="str">
        <x:v>master-v0.81</x:v>
      </x:c>
      <x:c r="AL2702" s="87" t="str">
        <x:v>statgrad_master_base_v0_81_final(2).xlsx</x:v>
      </x:c>
      <x:c r="AM2702" s="87" t="str">
        <x:v>RU_Apr_V2</x:v>
      </x:c>
      <x:c r="AN2702" s="87" t="n">
        <x:v>4</x:v>
      </x:c>
    </x:row>
    <x:row r="2703">
      <x:c r="A2703" s="87" t="n">
        <x:v>2702</x:v>
      </x:c>
      <x:c r="B2703" s="87" t="str">
        <x:v>APR-RU-V2-004</x:v>
      </x:c>
      <x:c r="C2703" s="87" t="str">
        <x:v>СтатГрад</x:v>
      </x:c>
      <x:c r="D2703" s="87" t="str">
        <x:v>Апрель 2026</x:v>
      </x:c>
      <x:c r="E2703" s="87"/>
      <x:c r="F2703" s="87"/>
      <x:c r="G2703" s="87" t="str">
        <x:v>Русский язык</x:v>
      </x:c>
      <x:c r="H2703" s="87" t="n">
        <x:v>11</x:v>
      </x:c>
      <x:c r="I2703" s="87" t="str">
        <x:v>ТР №1</x:v>
      </x:c>
      <x:c r="J2703" s="87" t="str">
        <x:v>РЯ2500102</x:v>
      </x:c>
      <x:c r="K2703" s="87" t="n">
        <x:v>4</x:v>
      </x:c>
      <x:c r="L2703" s="87" t="str">
        <x:v>Орфоэпия</x:v>
      </x:c>
      <x:c r="M2703" s="30" t="str">
        <x:v>Выбрать слова с нормативно поставленным ударением.</x:v>
      </x:c>
      <x:c r="N2703" s="30" t="str">
        <x:v>234</x:v>
      </x:c>
      <x:c r="O2703" s="30" t="str">
        <x:v>Нормативное ударение дано в позициях 2, 3 и 4.</x:v>
      </x:c>
      <x:c r="P2703" s="30" t="str">
        <x:v>Ответ повторно проверен по норме языка, структуре предложения или содержанию исходного текста.</x:v>
      </x:c>
      <x:c r="Q2703" s="30"/>
      <x:c r="R2703" s="30" t="str">
        <x:v>Официальная таблица ответов + фото-сводка + независимая проверка</x:v>
      </x:c>
      <x:c r="S2703" s="30"/>
      <x:c r="T2703" s="30"/>
      <x:c r="U2703" s="30" t="str">
        <x:v>Расхождений не обнаружено.</x:v>
      </x:c>
      <x:c r="V2703" s="87" t="str">
        <x:v>VERIFIED</x:v>
      </x:c>
      <x:c r="W2703" s="87" t="str">
        <x:v>PDF заданий, стр. 18</x:v>
      </x:c>
      <x:c r="X2703" s="87"/>
      <x:c r="Y2703" s="87"/>
      <x:c r="Z2703" s="87"/>
      <x:c r="AA2703" s="87"/>
      <x:c r="AB2703" s="87"/>
      <x:c r="AC2703" s="87"/>
      <x:c r="AD2703" s="87"/>
      <x:c r="AE2703" s="87"/>
      <x:c r="AF2703" s="87"/>
      <x:c r="AG2703" s="87"/>
      <x:c r="AH2703" s="87"/>
      <x:c r="AI2703" s="30"/>
      <x:c r="AJ2703" s="87" t="str">
        <x:v>master</x:v>
      </x:c>
      <x:c r="AK2703" s="87" t="str">
        <x:v>master-v0.81</x:v>
      </x:c>
      <x:c r="AL2703" s="87" t="str">
        <x:v>statgrad_master_base_v0_81_final(2).xlsx</x:v>
      </x:c>
      <x:c r="AM2703" s="87" t="str">
        <x:v>RU_Apr_V2</x:v>
      </x:c>
      <x:c r="AN2703" s="87" t="n">
        <x:v>5</x:v>
      </x:c>
    </x:row>
    <x:row r="2704">
      <x:c r="A2704" s="87" t="n">
        <x:v>2703</x:v>
      </x:c>
      <x:c r="B2704" s="87" t="str">
        <x:v>APR-RU-V2-005</x:v>
      </x:c>
      <x:c r="C2704" s="87" t="str">
        <x:v>СтатГрад</x:v>
      </x:c>
      <x:c r="D2704" s="87" t="str">
        <x:v>Апрель 2026</x:v>
      </x:c>
      <x:c r="E2704" s="87"/>
      <x:c r="F2704" s="87"/>
      <x:c r="G2704" s="87" t="str">
        <x:v>Русский язык</x:v>
      </x:c>
      <x:c r="H2704" s="87" t="n">
        <x:v>11</x:v>
      </x:c>
      <x:c r="I2704" s="87" t="str">
        <x:v>ТР №1</x:v>
      </x:c>
      <x:c r="J2704" s="87" t="str">
        <x:v>РЯ2500102</x:v>
      </x:c>
      <x:c r="K2704" s="87" t="n">
        <x:v>5</x:v>
      </x:c>
      <x:c r="L2704" s="87" t="str">
        <x:v>Паронимы</x:v>
      </x:c>
      <x:c r="M2704" s="30" t="str">
        <x:v>Исправить неверное употребление слова «ОБХВАТИЛ» в предложении о взгляде на пространство.</x:v>
      </x:c>
      <x:c r="N2704" s="30" t="str">
        <x:v>охватил</x:v>
      </x:c>
      <x:c r="O2704" s="30" t="str">
        <x:v>Взглядом охватывают пространство; «обхватить» означает окружить руками или охватить по окружности.</x:v>
      </x:c>
      <x:c r="P2704" s="30" t="str">
        <x:v>Ответ повторно проверен по норме языка, структуре предложения или содержанию исходного текста.</x:v>
      </x:c>
      <x:c r="Q2704" s="30"/>
      <x:c r="R2704" s="30" t="str">
        <x:v>Официальная таблица ответов + фото-сводка + независимая проверка</x:v>
      </x:c>
      <x:c r="S2704" s="30"/>
      <x:c r="T2704" s="30"/>
      <x:c r="U2704" s="30" t="str">
        <x:v>Расхождений не обнаружено.</x:v>
      </x:c>
      <x:c r="V2704" s="87" t="str">
        <x:v>VERIFIED</x:v>
      </x:c>
      <x:c r="W2704" s="87" t="str">
        <x:v>PDF заданий, стр. 18</x:v>
      </x:c>
      <x:c r="X2704" s="87"/>
      <x:c r="Y2704" s="87"/>
      <x:c r="Z2704" s="87"/>
      <x:c r="AA2704" s="87"/>
      <x:c r="AB2704" s="87"/>
      <x:c r="AC2704" s="87"/>
      <x:c r="AD2704" s="87"/>
      <x:c r="AE2704" s="87"/>
      <x:c r="AF2704" s="87"/>
      <x:c r="AG2704" s="87"/>
      <x:c r="AH2704" s="87"/>
      <x:c r="AI2704" s="30"/>
      <x:c r="AJ2704" s="87" t="str">
        <x:v>master</x:v>
      </x:c>
      <x:c r="AK2704" s="87" t="str">
        <x:v>master-v0.81</x:v>
      </x:c>
      <x:c r="AL2704" s="87" t="str">
        <x:v>statgrad_master_base_v0_81_final(2).xlsx</x:v>
      </x:c>
      <x:c r="AM2704" s="87" t="str">
        <x:v>RU_Apr_V2</x:v>
      </x:c>
      <x:c r="AN2704" s="87" t="n">
        <x:v>6</x:v>
      </x:c>
    </x:row>
    <x:row r="2705">
      <x:c r="A2705" s="87" t="n">
        <x:v>2704</x:v>
      </x:c>
      <x:c r="B2705" s="87" t="str">
        <x:v>APR-RU-V2-006</x:v>
      </x:c>
      <x:c r="C2705" s="87" t="str">
        <x:v>СтатГрад</x:v>
      </x:c>
      <x:c r="D2705" s="87" t="str">
        <x:v>Апрель 2026</x:v>
      </x:c>
      <x:c r="E2705" s="87"/>
      <x:c r="F2705" s="87"/>
      <x:c r="G2705" s="87" t="str">
        <x:v>Русский язык</x:v>
      </x:c>
      <x:c r="H2705" s="87" t="n">
        <x:v>11</x:v>
      </x:c>
      <x:c r="I2705" s="87" t="str">
        <x:v>ТР №1</x:v>
      </x:c>
      <x:c r="J2705" s="87" t="str">
        <x:v>РЯ2500102</x:v>
      </x:c>
      <x:c r="K2705" s="87" t="n">
        <x:v>6</x:v>
      </x:c>
      <x:c r="L2705" s="87" t="str">
        <x:v>Лексическая норма</x:v>
      </x:c>
      <x:c r="M2705" s="30" t="str">
        <x:v>Исправить предложение о прежней дружбе, восстановив нормативное выражение «водой не разольёшь».</x:v>
      </x:c>
      <x:c r="N2705" s="30" t="str">
        <x:v>не разольёшь</x:v>
      </x:c>
      <x:c r="O2705" s="30" t="str">
        <x:v>Нормативный фразеологизм — «нас водой не разольёшь»; ключ принимает форму «не разольёшь».</x:v>
      </x:c>
      <x:c r="P2705" s="30" t="str">
        <x:v>Ответ повторно проверен по норме языка, структуре предложения или содержанию исходного текста.</x:v>
      </x:c>
      <x:c r="Q2705" s="30"/>
      <x:c r="R2705" s="30" t="str">
        <x:v>Официальная таблица ответов + фото-сводка + независимая проверка</x:v>
      </x:c>
      <x:c r="S2705" s="30"/>
      <x:c r="T2705" s="30"/>
      <x:c r="U2705" s="30" t="str">
        <x:v>Расхождений не обнаружено.</x:v>
      </x:c>
      <x:c r="V2705" s="87" t="str">
        <x:v>VERIFIED</x:v>
      </x:c>
      <x:c r="W2705" s="87" t="str">
        <x:v>PDF заданий, стр. 18</x:v>
      </x:c>
      <x:c r="X2705" s="87"/>
      <x:c r="Y2705" s="87"/>
      <x:c r="Z2705" s="87"/>
      <x:c r="AA2705" s="87"/>
      <x:c r="AB2705" s="87"/>
      <x:c r="AC2705" s="87"/>
      <x:c r="AD2705" s="87"/>
      <x:c r="AE2705" s="87"/>
      <x:c r="AF2705" s="87"/>
      <x:c r="AG2705" s="87"/>
      <x:c r="AH2705" s="87"/>
      <x:c r="AI2705" s="30"/>
      <x:c r="AJ2705" s="87" t="str">
        <x:v>master</x:v>
      </x:c>
      <x:c r="AK2705" s="87" t="str">
        <x:v>master-v0.81</x:v>
      </x:c>
      <x:c r="AL2705" s="87" t="str">
        <x:v>statgrad_master_base_v0_81_final(2).xlsx</x:v>
      </x:c>
      <x:c r="AM2705" s="87" t="str">
        <x:v>RU_Apr_V2</x:v>
      </x:c>
      <x:c r="AN2705" s="87" t="n">
        <x:v>7</x:v>
      </x:c>
    </x:row>
    <x:row r="2706">
      <x:c r="A2706" s="87" t="n">
        <x:v>2705</x:v>
      </x:c>
      <x:c r="B2706" s="87" t="str">
        <x:v>APR-RU-V2-007</x:v>
      </x:c>
      <x:c r="C2706" s="87" t="str">
        <x:v>СтатГрад</x:v>
      </x:c>
      <x:c r="D2706" s="87" t="str">
        <x:v>Апрель 2026</x:v>
      </x:c>
      <x:c r="E2706" s="87"/>
      <x:c r="F2706" s="87"/>
      <x:c r="G2706" s="87" t="str">
        <x:v>Русский язык</x:v>
      </x:c>
      <x:c r="H2706" s="87" t="n">
        <x:v>11</x:v>
      </x:c>
      <x:c r="I2706" s="87" t="str">
        <x:v>ТР №1</x:v>
      </x:c>
      <x:c r="J2706" s="87" t="str">
        <x:v>РЯ2500102</x:v>
      </x:c>
      <x:c r="K2706" s="87" t="n">
        <x:v>7</x:v>
      </x:c>
      <x:c r="L2706" s="87" t="str">
        <x:v>Морфологическая норма</x:v>
      </x:c>
      <x:c r="M2706" s="30" t="str">
        <x:v>Исправить ошибочную форму прилагательного в сочетании «в следущем году».</x:v>
      </x:c>
      <x:c r="N2706" s="30" t="str">
        <x:v>следующем</x:v>
      </x:c>
      <x:c r="O2706" s="30" t="str">
        <x:v>Нормативная форма — «в следующем году».</x:v>
      </x:c>
      <x:c r="P2706" s="30" t="str">
        <x:v>Ответ повторно проверен по норме языка, структуре предложения или содержанию исходного текста.</x:v>
      </x:c>
      <x:c r="Q2706" s="30"/>
      <x:c r="R2706" s="30" t="str">
        <x:v>Официальная таблица ответов + фото-сводка + независимая проверка</x:v>
      </x:c>
      <x:c r="S2706" s="30"/>
      <x:c r="T2706" s="30"/>
      <x:c r="U2706" s="30" t="str">
        <x:v>Расхождений не обнаружено.</x:v>
      </x:c>
      <x:c r="V2706" s="87" t="str">
        <x:v>VERIFIED</x:v>
      </x:c>
      <x:c r="W2706" s="87" t="str">
        <x:v>PDF заданий, стр. 18</x:v>
      </x:c>
      <x:c r="X2706" s="87"/>
      <x:c r="Y2706" s="87"/>
      <x:c r="Z2706" s="87"/>
      <x:c r="AA2706" s="87"/>
      <x:c r="AB2706" s="87"/>
      <x:c r="AC2706" s="87"/>
      <x:c r="AD2706" s="87"/>
      <x:c r="AE2706" s="87"/>
      <x:c r="AF2706" s="87"/>
      <x:c r="AG2706" s="87"/>
      <x:c r="AH2706" s="87"/>
      <x:c r="AI2706" s="30"/>
      <x:c r="AJ2706" s="87" t="str">
        <x:v>master</x:v>
      </x:c>
      <x:c r="AK2706" s="87" t="str">
        <x:v>master-v0.81</x:v>
      </x:c>
      <x:c r="AL2706" s="87" t="str">
        <x:v>statgrad_master_base_v0_81_final(2).xlsx</x:v>
      </x:c>
      <x:c r="AM2706" s="87" t="str">
        <x:v>RU_Apr_V2</x:v>
      </x:c>
      <x:c r="AN2706" s="87" t="n">
        <x:v>8</x:v>
      </x:c>
    </x:row>
    <x:row r="2707">
      <x:c r="A2707" s="87" t="n">
        <x:v>2706</x:v>
      </x:c>
      <x:c r="B2707" s="87" t="str">
        <x:v>APR-RU-V2-008</x:v>
      </x:c>
      <x:c r="C2707" s="87" t="str">
        <x:v>СтатГрад</x:v>
      </x:c>
      <x:c r="D2707" s="87" t="str">
        <x:v>Апрель 2026</x:v>
      </x:c>
      <x:c r="E2707" s="87"/>
      <x:c r="F2707" s="87"/>
      <x:c r="G2707" s="87" t="str">
        <x:v>Русский язык</x:v>
      </x:c>
      <x:c r="H2707" s="87" t="n">
        <x:v>11</x:v>
      </x:c>
      <x:c r="I2707" s="87" t="str">
        <x:v>ТР №1</x:v>
      </x:c>
      <x:c r="J2707" s="87" t="str">
        <x:v>РЯ2500102</x:v>
      </x:c>
      <x:c r="K2707" s="87" t="n">
        <x:v>8</x:v>
      </x:c>
      <x:c r="L2707" s="87" t="str">
        <x:v>Грамматические ошибки</x:v>
      </x:c>
      <x:c r="M2707" s="30" t="str">
        <x:v>Соотнести пять типов грамматических ошибок с предложениями 1–9.</x:v>
      </x:c>
      <x:c r="N2707" s="30" t="str">
        <x:v>39125</x:v>
      </x:c>
      <x:c r="O2707" s="30" t="str">
        <x:v>А–3: сложное предложение; Б–9: «отношение к заповеднику»; В–1: «завершили проект»; Г–2: причастный оборот; Д–5: приложение «Щелкунчик».</x:v>
      </x:c>
      <x:c r="P2707" s="30" t="str">
        <x:v>Ответ повторно проверен по норме языка, структуре предложения или содержанию исходного текста.</x:v>
      </x:c>
      <x:c r="Q2707" s="30"/>
      <x:c r="R2707" s="30" t="str">
        <x:v>Официальная таблица ответов + фото-сводка + независимая проверка</x:v>
      </x:c>
      <x:c r="S2707" s="30"/>
      <x:c r="T2707" s="30"/>
      <x:c r="U2707" s="30" t="str">
        <x:v>Расхождений не обнаружено.</x:v>
      </x:c>
      <x:c r="V2707" s="87" t="str">
        <x:v>VERIFIED</x:v>
      </x:c>
      <x:c r="W2707" s="87" t="str">
        <x:v>PDF заданий, стр. 19</x:v>
      </x:c>
      <x:c r="X2707" s="87"/>
      <x:c r="Y2707" s="87"/>
      <x:c r="Z2707" s="87"/>
      <x:c r="AA2707" s="87"/>
      <x:c r="AB2707" s="87"/>
      <x:c r="AC2707" s="87"/>
      <x:c r="AD2707" s="87"/>
      <x:c r="AE2707" s="87"/>
      <x:c r="AF2707" s="87"/>
      <x:c r="AG2707" s="87"/>
      <x:c r="AH2707" s="87"/>
      <x:c r="AI2707" s="30"/>
      <x:c r="AJ2707" s="87" t="str">
        <x:v>master</x:v>
      </x:c>
      <x:c r="AK2707" s="87" t="str">
        <x:v>master-v0.81</x:v>
      </x:c>
      <x:c r="AL2707" s="87" t="str">
        <x:v>statgrad_master_base_v0_81_final(2).xlsx</x:v>
      </x:c>
      <x:c r="AM2707" s="87" t="str">
        <x:v>RU_Apr_V2</x:v>
      </x:c>
      <x:c r="AN2707" s="87" t="n">
        <x:v>9</x:v>
      </x:c>
    </x:row>
    <x:row r="2708">
      <x:c r="A2708" s="87" t="n">
        <x:v>2707</x:v>
      </x:c>
      <x:c r="B2708" s="87" t="str">
        <x:v>APR-RU-V2-009</x:v>
      </x:c>
      <x:c r="C2708" s="87" t="str">
        <x:v>СтатГрад</x:v>
      </x:c>
      <x:c r="D2708" s="87" t="str">
        <x:v>Апрель 2026</x:v>
      </x:c>
      <x:c r="E2708" s="87"/>
      <x:c r="F2708" s="87"/>
      <x:c r="G2708" s="87" t="str">
        <x:v>Русский язык</x:v>
      </x:c>
      <x:c r="H2708" s="87" t="n">
        <x:v>11</x:v>
      </x:c>
      <x:c r="I2708" s="87" t="str">
        <x:v>ТР №1</x:v>
      </x:c>
      <x:c r="J2708" s="87" t="str">
        <x:v>РЯ2500102</x:v>
      </x:c>
      <x:c r="K2708" s="87" t="n">
        <x:v>9</x:v>
      </x:c>
      <x:c r="L2708" s="87" t="str">
        <x:v>Правописание корней</x:v>
      </x:c>
      <x:c r="M2708" s="30" t="str">
        <x:v>Выбрать ряды, где во всех словах пропущена одна и та же буква корня.</x:v>
      </x:c>
      <x:c r="N2708" s="30" t="str">
        <x:v>15</x:v>
      </x:c>
      <x:c r="O2708" s="30" t="str">
        <x:v>Одинаковая буква корня восстанавливается в рядах 1 и 5.</x:v>
      </x:c>
      <x:c r="P2708" s="30" t="str">
        <x:v>Ответ повторно проверен по норме языка, структуре предложения или содержанию исходного текста.</x:v>
      </x:c>
      <x:c r="Q2708" s="30"/>
      <x:c r="R2708" s="30" t="str">
        <x:v>Официальная таблица ответов + фото-сводка + независимая проверка</x:v>
      </x:c>
      <x:c r="S2708" s="30"/>
      <x:c r="T2708" s="30"/>
      <x:c r="U2708" s="30" t="str">
        <x:v>Расхождений не обнаружено.</x:v>
      </x:c>
      <x:c r="V2708" s="87" t="str">
        <x:v>VERIFIED</x:v>
      </x:c>
      <x:c r="W2708" s="87" t="str">
        <x:v>PDF заданий, стр. 20</x:v>
      </x:c>
      <x:c r="X2708" s="87"/>
      <x:c r="Y2708" s="87"/>
      <x:c r="Z2708" s="87"/>
      <x:c r="AA2708" s="87"/>
      <x:c r="AB2708" s="87"/>
      <x:c r="AC2708" s="87"/>
      <x:c r="AD2708" s="87"/>
      <x:c r="AE2708" s="87"/>
      <x:c r="AF2708" s="87"/>
      <x:c r="AG2708" s="87"/>
      <x:c r="AH2708" s="87"/>
      <x:c r="AI2708" s="30"/>
      <x:c r="AJ2708" s="87" t="str">
        <x:v>master</x:v>
      </x:c>
      <x:c r="AK2708" s="87" t="str">
        <x:v>master-v0.81</x:v>
      </x:c>
      <x:c r="AL2708" s="87" t="str">
        <x:v>statgrad_master_base_v0_81_final(2).xlsx</x:v>
      </x:c>
      <x:c r="AM2708" s="87" t="str">
        <x:v>RU_Apr_V2</x:v>
      </x:c>
      <x:c r="AN2708" s="87" t="n">
        <x:v>10</x:v>
      </x:c>
    </x:row>
    <x:row r="2709">
      <x:c r="A2709" s="87" t="n">
        <x:v>2708</x:v>
      </x:c>
      <x:c r="B2709" s="87" t="str">
        <x:v>APR-RU-V2-010</x:v>
      </x:c>
      <x:c r="C2709" s="87" t="str">
        <x:v>СтатГрад</x:v>
      </x:c>
      <x:c r="D2709" s="87" t="str">
        <x:v>Апрель 2026</x:v>
      </x:c>
      <x:c r="E2709" s="87"/>
      <x:c r="F2709" s="87"/>
      <x:c r="G2709" s="87" t="str">
        <x:v>Русский язык</x:v>
      </x:c>
      <x:c r="H2709" s="87" t="n">
        <x:v>11</x:v>
      </x:c>
      <x:c r="I2709" s="87" t="str">
        <x:v>ТР №1</x:v>
      </x:c>
      <x:c r="J2709" s="87" t="str">
        <x:v>РЯ2500102</x:v>
      </x:c>
      <x:c r="K2709" s="87" t="n">
        <x:v>10</x:v>
      </x:c>
      <x:c r="L2709" s="87" t="str">
        <x:v>Правописание приставок</x:v>
      </x:c>
      <x:c r="M2709" s="30" t="str">
        <x:v>Выбрать ряды, где во всех словах пропущена одна и та же буква приставки.</x:v>
      </x:c>
      <x:c r="N2709" s="30" t="str">
        <x:v>245</x:v>
      </x:c>
      <x:c r="O2709" s="30" t="str">
        <x:v>Одинаковая буква приставки требуется в рядах 2, 4 и 5.</x:v>
      </x:c>
      <x:c r="P2709" s="30" t="str">
        <x:v>Ответ повторно проверен по норме языка, структуре предложения или содержанию исходного текста.</x:v>
      </x:c>
      <x:c r="Q2709" s="30"/>
      <x:c r="R2709" s="30" t="str">
        <x:v>Официальная таблица ответов + фото-сводка + независимая проверка</x:v>
      </x:c>
      <x:c r="S2709" s="30"/>
      <x:c r="T2709" s="30"/>
      <x:c r="U2709" s="30" t="str">
        <x:v>Расхождений не обнаружено.</x:v>
      </x:c>
      <x:c r="V2709" s="87" t="str">
        <x:v>VERIFIED</x:v>
      </x:c>
      <x:c r="W2709" s="87" t="str">
        <x:v>PDF заданий, стр. 20</x:v>
      </x:c>
      <x:c r="X2709" s="87"/>
      <x:c r="Y2709" s="87"/>
      <x:c r="Z2709" s="87"/>
      <x:c r="AA2709" s="87"/>
      <x:c r="AB2709" s="87"/>
      <x:c r="AC2709" s="87"/>
      <x:c r="AD2709" s="87"/>
      <x:c r="AE2709" s="87"/>
      <x:c r="AF2709" s="87"/>
      <x:c r="AG2709" s="87"/>
      <x:c r="AH2709" s="87"/>
      <x:c r="AI2709" s="30"/>
      <x:c r="AJ2709" s="87" t="str">
        <x:v>master</x:v>
      </x:c>
      <x:c r="AK2709" s="87" t="str">
        <x:v>master-v0.81</x:v>
      </x:c>
      <x:c r="AL2709" s="87" t="str">
        <x:v>statgrad_master_base_v0_81_final(2).xlsx</x:v>
      </x:c>
      <x:c r="AM2709" s="87" t="str">
        <x:v>RU_Apr_V2</x:v>
      </x:c>
      <x:c r="AN2709" s="87" t="n">
        <x:v>11</x:v>
      </x:c>
    </x:row>
    <x:row r="2710">
      <x:c r="A2710" s="87" t="n">
        <x:v>2709</x:v>
      </x:c>
      <x:c r="B2710" s="87" t="str">
        <x:v>APR-RU-V2-011</x:v>
      </x:c>
      <x:c r="C2710" s="87" t="str">
        <x:v>СтатГрад</x:v>
      </x:c>
      <x:c r="D2710" s="87" t="str">
        <x:v>Апрель 2026</x:v>
      </x:c>
      <x:c r="E2710" s="87"/>
      <x:c r="F2710" s="87"/>
      <x:c r="G2710" s="87" t="str">
        <x:v>Русский язык</x:v>
      </x:c>
      <x:c r="H2710" s="87" t="n">
        <x:v>11</x:v>
      </x:c>
      <x:c r="I2710" s="87" t="str">
        <x:v>ТР №1</x:v>
      </x:c>
      <x:c r="J2710" s="87" t="str">
        <x:v>РЯ2500102</x:v>
      </x:c>
      <x:c r="K2710" s="87" t="n">
        <x:v>11</x:v>
      </x:c>
      <x:c r="L2710" s="87" t="str">
        <x:v>Суффиксы</x:v>
      </x:c>
      <x:c r="M2710" s="30" t="str">
        <x:v>Выбрать ряды, где в обоих словах пропущена одна и та же буква суффикса.</x:v>
      </x:c>
      <x:c r="N2710" s="30" t="str">
        <x:v>23</x:v>
      </x:c>
      <x:c r="O2710" s="30" t="str">
        <x:v>Одинаковая буква суффикса требуется в рядах 2 и 3.</x:v>
      </x:c>
      <x:c r="P2710" s="30" t="str">
        <x:v>Ответ повторно проверен по норме языка, структуре предложения или содержанию исходного текста.</x:v>
      </x:c>
      <x:c r="Q2710" s="30"/>
      <x:c r="R2710" s="30" t="str">
        <x:v>Официальная таблица ответов + фото-сводка + независимая проверка</x:v>
      </x:c>
      <x:c r="S2710" s="30"/>
      <x:c r="T2710" s="30"/>
      <x:c r="U2710" s="30" t="str">
        <x:v>Расхождений не обнаружено.</x:v>
      </x:c>
      <x:c r="V2710" s="87" t="str">
        <x:v>VERIFIED</x:v>
      </x:c>
      <x:c r="W2710" s="87" t="str">
        <x:v>PDF заданий, стр. 20</x:v>
      </x:c>
      <x:c r="X2710" s="87"/>
      <x:c r="Y2710" s="87"/>
      <x:c r="Z2710" s="87"/>
      <x:c r="AA2710" s="87"/>
      <x:c r="AB2710" s="87"/>
      <x:c r="AC2710" s="87"/>
      <x:c r="AD2710" s="87"/>
      <x:c r="AE2710" s="87"/>
      <x:c r="AF2710" s="87"/>
      <x:c r="AG2710" s="87"/>
      <x:c r="AH2710" s="87"/>
      <x:c r="AI2710" s="30"/>
      <x:c r="AJ2710" s="87" t="str">
        <x:v>master</x:v>
      </x:c>
      <x:c r="AK2710" s="87" t="str">
        <x:v>master-v0.81</x:v>
      </x:c>
      <x:c r="AL2710" s="87" t="str">
        <x:v>statgrad_master_base_v0_81_final(2).xlsx</x:v>
      </x:c>
      <x:c r="AM2710" s="87" t="str">
        <x:v>RU_Apr_V2</x:v>
      </x:c>
      <x:c r="AN2710" s="87" t="n">
        <x:v>12</x:v>
      </x:c>
    </x:row>
    <x:row r="2711">
      <x:c r="A2711" s="87" t="n">
        <x:v>2710</x:v>
      </x:c>
      <x:c r="B2711" s="87" t="str">
        <x:v>APR-RU-V2-012</x:v>
      </x:c>
      <x:c r="C2711" s="87" t="str">
        <x:v>СтатГрад</x:v>
      </x:c>
      <x:c r="D2711" s="87" t="str">
        <x:v>Апрель 2026</x:v>
      </x:c>
      <x:c r="E2711" s="87"/>
      <x:c r="F2711" s="87"/>
      <x:c r="G2711" s="87" t="str">
        <x:v>Русский язык</x:v>
      </x:c>
      <x:c r="H2711" s="87" t="n">
        <x:v>11</x:v>
      </x:c>
      <x:c r="I2711" s="87" t="str">
        <x:v>ТР №1</x:v>
      </x:c>
      <x:c r="J2711" s="87" t="str">
        <x:v>РЯ2500102</x:v>
      </x:c>
      <x:c r="K2711" s="87" t="n">
        <x:v>12</x:v>
      </x:c>
      <x:c r="L2711" s="87" t="str">
        <x:v>Личные окончания и суффиксы</x:v>
      </x:c>
      <x:c r="M2711" s="30" t="str">
        <x:v>Выбрать ряды, где в обоих словах пропущена одна и та же буква.</x:v>
      </x:c>
      <x:c r="N2711" s="30" t="str">
        <x:v>13</x:v>
      </x:c>
      <x:c r="O2711" s="30" t="str">
        <x:v>Совпадающая буква пишется в рядах 1 и 3.</x:v>
      </x:c>
      <x:c r="P2711" s="30" t="str">
        <x:v>Ответ повторно проверен по норме языка, структуре предложения или содержанию исходного текста.</x:v>
      </x:c>
      <x:c r="Q2711" s="30"/>
      <x:c r="R2711" s="30" t="str">
        <x:v>Официальная таблица ответов + фото-сводка + независимая проверка</x:v>
      </x:c>
      <x:c r="S2711" s="30"/>
      <x:c r="T2711" s="30"/>
      <x:c r="U2711" s="30" t="str">
        <x:v>Расхождений не обнаружено.</x:v>
      </x:c>
      <x:c r="V2711" s="87" t="str">
        <x:v>VERIFIED</x:v>
      </x:c>
      <x:c r="W2711" s="87" t="str">
        <x:v>PDF заданий, стр. 20</x:v>
      </x:c>
      <x:c r="X2711" s="87"/>
      <x:c r="Y2711" s="87"/>
      <x:c r="Z2711" s="87"/>
      <x:c r="AA2711" s="87"/>
      <x:c r="AB2711" s="87"/>
      <x:c r="AC2711" s="87"/>
      <x:c r="AD2711" s="87"/>
      <x:c r="AE2711" s="87"/>
      <x:c r="AF2711" s="87"/>
      <x:c r="AG2711" s="87"/>
      <x:c r="AH2711" s="87"/>
      <x:c r="AI2711" s="30"/>
      <x:c r="AJ2711" s="87" t="str">
        <x:v>master</x:v>
      </x:c>
      <x:c r="AK2711" s="87" t="str">
        <x:v>master-v0.81</x:v>
      </x:c>
      <x:c r="AL2711" s="87" t="str">
        <x:v>statgrad_master_base_v0_81_final(2).xlsx</x:v>
      </x:c>
      <x:c r="AM2711" s="87" t="str">
        <x:v>RU_Apr_V2</x:v>
      </x:c>
      <x:c r="AN2711" s="87" t="n">
        <x:v>13</x:v>
      </x:c>
    </x:row>
    <x:row r="2712">
      <x:c r="A2712" s="87" t="n">
        <x:v>2711</x:v>
      </x:c>
      <x:c r="B2712" s="87" t="str">
        <x:v>APR-RU-V2-013</x:v>
      </x:c>
      <x:c r="C2712" s="87" t="str">
        <x:v>СтатГрад</x:v>
      </x:c>
      <x:c r="D2712" s="87" t="str">
        <x:v>Апрель 2026</x:v>
      </x:c>
      <x:c r="E2712" s="87"/>
      <x:c r="F2712" s="87"/>
      <x:c r="G2712" s="87" t="str">
        <x:v>Русский язык</x:v>
      </x:c>
      <x:c r="H2712" s="87" t="n">
        <x:v>11</x:v>
      </x:c>
      <x:c r="I2712" s="87" t="str">
        <x:v>ТР №1</x:v>
      </x:c>
      <x:c r="J2712" s="87" t="str">
        <x:v>РЯ2500102</x:v>
      </x:c>
      <x:c r="K2712" s="87" t="n">
        <x:v>13</x:v>
      </x:c>
      <x:c r="L2712" s="87" t="str">
        <x:v>НЕ со словами</x:v>
      </x:c>
      <x:c r="M2712" s="30" t="str">
        <x:v>Выбрать предложения, где НЕ/НИ с выделенным словом пишется слитно.</x:v>
      </x:c>
      <x:c r="N2712" s="30" t="str">
        <x:v>1234</x:v>
      </x:c>
      <x:c r="O2712" s="30" t="str">
        <x:v>Слитное написание требуется во всех четырёх выбранных случаях: 1, 2, 3, 4.</x:v>
      </x:c>
      <x:c r="P2712" s="30" t="str">
        <x:v>Ответ повторно проверен по норме языка, структуре предложения или содержанию исходного текста.</x:v>
      </x:c>
      <x:c r="Q2712" s="30"/>
      <x:c r="R2712" s="30" t="str">
        <x:v>Официальная таблица ответов + фото-сводка + независимая проверка</x:v>
      </x:c>
      <x:c r="S2712" s="30"/>
      <x:c r="T2712" s="30"/>
      <x:c r="U2712" s="30" t="str">
        <x:v>Расхождений не обнаружено.</x:v>
      </x:c>
      <x:c r="V2712" s="87" t="str">
        <x:v>VERIFIED</x:v>
      </x:c>
      <x:c r="W2712" s="87" t="str">
        <x:v>PDF заданий, стр. 21</x:v>
      </x:c>
      <x:c r="X2712" s="87"/>
      <x:c r="Y2712" s="87"/>
      <x:c r="Z2712" s="87"/>
      <x:c r="AA2712" s="87"/>
      <x:c r="AB2712" s="87"/>
      <x:c r="AC2712" s="87"/>
      <x:c r="AD2712" s="87"/>
      <x:c r="AE2712" s="87"/>
      <x:c r="AF2712" s="87"/>
      <x:c r="AG2712" s="87"/>
      <x:c r="AH2712" s="87"/>
      <x:c r="AI2712" s="30"/>
      <x:c r="AJ2712" s="87" t="str">
        <x:v>master</x:v>
      </x:c>
      <x:c r="AK2712" s="87" t="str">
        <x:v>master-v0.81</x:v>
      </x:c>
      <x:c r="AL2712" s="87" t="str">
        <x:v>statgrad_master_base_v0_81_final(2).xlsx</x:v>
      </x:c>
      <x:c r="AM2712" s="87" t="str">
        <x:v>RU_Apr_V2</x:v>
      </x:c>
      <x:c r="AN2712" s="87" t="n">
        <x:v>14</x:v>
      </x:c>
    </x:row>
    <x:row r="2713">
      <x:c r="A2713" s="87" t="n">
        <x:v>2712</x:v>
      </x:c>
      <x:c r="B2713" s="87" t="str">
        <x:v>APR-RU-V2-014</x:v>
      </x:c>
      <x:c r="C2713" s="87" t="str">
        <x:v>СтатГрад</x:v>
      </x:c>
      <x:c r="D2713" s="87" t="str">
        <x:v>Апрель 2026</x:v>
      </x:c>
      <x:c r="E2713" s="87"/>
      <x:c r="F2713" s="87"/>
      <x:c r="G2713" s="87" t="str">
        <x:v>Русский язык</x:v>
      </x:c>
      <x:c r="H2713" s="87" t="n">
        <x:v>11</x:v>
      </x:c>
      <x:c r="I2713" s="87" t="str">
        <x:v>ТР №1</x:v>
      </x:c>
      <x:c r="J2713" s="87" t="str">
        <x:v>РЯ2500102</x:v>
      </x:c>
      <x:c r="K2713" s="87" t="n">
        <x:v>14</x:v>
      </x:c>
      <x:c r="L2713" s="87" t="str">
        <x:v>Слитное написание</x:v>
      </x:c>
      <x:c r="M2713" s="30" t="str">
        <x:v>Выбрать предложения, где все выделенные слова пишутся слитно.</x:v>
      </x:c>
      <x:c r="N2713" s="30" t="str">
        <x:v>45</x:v>
      </x:c>
      <x:c r="O2713" s="30" t="str">
        <x:v>Все выделенные слова пишутся слитно в предложениях 4 и 5.</x:v>
      </x:c>
      <x:c r="P2713" s="30" t="str">
        <x:v>Ответ повторно проверен по норме языка, структуре предложения или содержанию исходного текста.</x:v>
      </x:c>
      <x:c r="Q2713" s="30"/>
      <x:c r="R2713" s="30" t="str">
        <x:v>Официальная таблица ответов + фото-сводка + независимая проверка</x:v>
      </x:c>
      <x:c r="S2713" s="30"/>
      <x:c r="T2713" s="30"/>
      <x:c r="U2713" s="30" t="str">
        <x:v>Расхождений не обнаружено.</x:v>
      </x:c>
      <x:c r="V2713" s="87" t="str">
        <x:v>VERIFIED</x:v>
      </x:c>
      <x:c r="W2713" s="87" t="str">
        <x:v>PDF заданий, стр. 21</x:v>
      </x:c>
      <x:c r="X2713" s="87"/>
      <x:c r="Y2713" s="87"/>
      <x:c r="Z2713" s="87"/>
      <x:c r="AA2713" s="87"/>
      <x:c r="AB2713" s="87"/>
      <x:c r="AC2713" s="87"/>
      <x:c r="AD2713" s="87"/>
      <x:c r="AE2713" s="87"/>
      <x:c r="AF2713" s="87"/>
      <x:c r="AG2713" s="87"/>
      <x:c r="AH2713" s="87"/>
      <x:c r="AI2713" s="30"/>
      <x:c r="AJ2713" s="87" t="str">
        <x:v>master</x:v>
      </x:c>
      <x:c r="AK2713" s="87" t="str">
        <x:v>master-v0.81</x:v>
      </x:c>
      <x:c r="AL2713" s="87" t="str">
        <x:v>statgrad_master_base_v0_81_final(2).xlsx</x:v>
      </x:c>
      <x:c r="AM2713" s="87" t="str">
        <x:v>RU_Apr_V2</x:v>
      </x:c>
      <x:c r="AN2713" s="87" t="n">
        <x:v>15</x:v>
      </x:c>
    </x:row>
    <x:row r="2714">
      <x:c r="A2714" s="87" t="n">
        <x:v>2713</x:v>
      </x:c>
      <x:c r="B2714" s="87" t="str">
        <x:v>APR-RU-V2-015</x:v>
      </x:c>
      <x:c r="C2714" s="87" t="str">
        <x:v>СтатГрад</x:v>
      </x:c>
      <x:c r="D2714" s="87" t="str">
        <x:v>Апрель 2026</x:v>
      </x:c>
      <x:c r="E2714" s="87"/>
      <x:c r="F2714" s="87"/>
      <x:c r="G2714" s="87" t="str">
        <x:v>Русский язык</x:v>
      </x:c>
      <x:c r="H2714" s="87" t="n">
        <x:v>11</x:v>
      </x:c>
      <x:c r="I2714" s="87" t="str">
        <x:v>ТР №1</x:v>
      </x:c>
      <x:c r="J2714" s="87" t="str">
        <x:v>РЯ2500102</x:v>
      </x:c>
      <x:c r="K2714" s="87" t="n">
        <x:v>15</x:v>
      </x:c>
      <x:c r="L2714" s="87" t="str">
        <x:v>Н и НН</x:v>
      </x:c>
      <x:c r="M2714" s="30" t="str">
        <x:v>Указать позиции, где пишется одна буква Н, в описании старинного зала.</x:v>
      </x:c>
      <x:c r="N2714" s="30" t="str">
        <x:v>56</x:v>
      </x:c>
      <x:c r="O2714" s="30" t="str">
        <x:v>Одна Н пишется в позициях 5 и 6.</x:v>
      </x:c>
      <x:c r="P2714" s="30" t="str">
        <x:v>Ответ повторно проверен по норме языка, структуре предложения или содержанию исходного текста.</x:v>
      </x:c>
      <x:c r="Q2714" s="30"/>
      <x:c r="R2714" s="30" t="str">
        <x:v>Официальная таблица ответов + фото-сводка + независимая проверка</x:v>
      </x:c>
      <x:c r="S2714" s="30"/>
      <x:c r="T2714" s="30"/>
      <x:c r="U2714" s="30" t="str">
        <x:v>Расхождений не обнаружено.</x:v>
      </x:c>
      <x:c r="V2714" s="87" t="str">
        <x:v>VERIFIED</x:v>
      </x:c>
      <x:c r="W2714" s="87" t="str">
        <x:v>PDF заданий, стр. 21</x:v>
      </x:c>
      <x:c r="X2714" s="87"/>
      <x:c r="Y2714" s="87"/>
      <x:c r="Z2714" s="87"/>
      <x:c r="AA2714" s="87"/>
      <x:c r="AB2714" s="87"/>
      <x:c r="AC2714" s="87"/>
      <x:c r="AD2714" s="87"/>
      <x:c r="AE2714" s="87"/>
      <x:c r="AF2714" s="87"/>
      <x:c r="AG2714" s="87"/>
      <x:c r="AH2714" s="87"/>
      <x:c r="AI2714" s="30"/>
      <x:c r="AJ2714" s="87" t="str">
        <x:v>master</x:v>
      </x:c>
      <x:c r="AK2714" s="87" t="str">
        <x:v>master-v0.81</x:v>
      </x:c>
      <x:c r="AL2714" s="87" t="str">
        <x:v>statgrad_master_base_v0_81_final(2).xlsx</x:v>
      </x:c>
      <x:c r="AM2714" s="87" t="str">
        <x:v>RU_Apr_V2</x:v>
      </x:c>
      <x:c r="AN2714" s="87" t="n">
        <x:v>16</x:v>
      </x:c>
    </x:row>
    <x:row r="2715">
      <x:c r="A2715" s="87" t="n">
        <x:v>2714</x:v>
      </x:c>
      <x:c r="B2715" s="87" t="str">
        <x:v>APR-RU-V2-016</x:v>
      </x:c>
      <x:c r="C2715" s="87" t="str">
        <x:v>СтатГрад</x:v>
      </x:c>
      <x:c r="D2715" s="87" t="str">
        <x:v>Апрель 2026</x:v>
      </x:c>
      <x:c r="E2715" s="87"/>
      <x:c r="F2715" s="87"/>
      <x:c r="G2715" s="87" t="str">
        <x:v>Русский язык</x:v>
      </x:c>
      <x:c r="H2715" s="87" t="n">
        <x:v>11</x:v>
      </x:c>
      <x:c r="I2715" s="87" t="str">
        <x:v>ТР №1</x:v>
      </x:c>
      <x:c r="J2715" s="87" t="str">
        <x:v>РЯ2500102</x:v>
      </x:c>
      <x:c r="K2715" s="87" t="n">
        <x:v>16</x:v>
      </x:c>
      <x:c r="L2715" s="87" t="str">
        <x:v>Пунктуация в предложении</x:v>
      </x:c>
      <x:c r="M2715" s="30" t="str">
        <x:v>Выбрать предложения, в которых требуется поставить одну запятую.</x:v>
      </x:c>
      <x:c r="N2715" s="30" t="str">
        <x:v>1235</x:v>
      </x:c>
      <x:c r="O2715" s="30" t="str">
        <x:v>Одна запятая требуется в предложениях 1, 2, 3 и 5.</x:v>
      </x:c>
      <x:c r="P2715" s="30" t="str">
        <x:v>Ответ повторно проверен по норме языка, структуре предложения или содержанию исходного текста.</x:v>
      </x:c>
      <x:c r="Q2715" s="30"/>
      <x:c r="R2715" s="30" t="str">
        <x:v>Официальная таблица ответов + фото-сводка + независимая проверка</x:v>
      </x:c>
      <x:c r="S2715" s="30"/>
      <x:c r="T2715" s="30"/>
      <x:c r="U2715" s="30" t="str">
        <x:v>Расхождений не обнаружено.</x:v>
      </x:c>
      <x:c r="V2715" s="87" t="str">
        <x:v>VERIFIED</x:v>
      </x:c>
      <x:c r="W2715" s="87" t="str">
        <x:v>PDF заданий, стр. 22</x:v>
      </x:c>
      <x:c r="X2715" s="87"/>
      <x:c r="Y2715" s="87"/>
      <x:c r="Z2715" s="87"/>
      <x:c r="AA2715" s="87"/>
      <x:c r="AB2715" s="87"/>
      <x:c r="AC2715" s="87"/>
      <x:c r="AD2715" s="87"/>
      <x:c r="AE2715" s="87"/>
      <x:c r="AF2715" s="87"/>
      <x:c r="AG2715" s="87"/>
      <x:c r="AH2715" s="87"/>
      <x:c r="AI2715" s="30"/>
      <x:c r="AJ2715" s="87" t="str">
        <x:v>master</x:v>
      </x:c>
      <x:c r="AK2715" s="87" t="str">
        <x:v>master-v0.81</x:v>
      </x:c>
      <x:c r="AL2715" s="87" t="str">
        <x:v>statgrad_master_base_v0_81_final(2).xlsx</x:v>
      </x:c>
      <x:c r="AM2715" s="87" t="str">
        <x:v>RU_Apr_V2</x:v>
      </x:c>
      <x:c r="AN2715" s="87" t="n">
        <x:v>17</x:v>
      </x:c>
    </x:row>
    <x:row r="2716">
      <x:c r="A2716" s="87" t="n">
        <x:v>2715</x:v>
      </x:c>
      <x:c r="B2716" s="87" t="str">
        <x:v>APR-RU-V2-017</x:v>
      </x:c>
      <x:c r="C2716" s="87" t="str">
        <x:v>СтатГрад</x:v>
      </x:c>
      <x:c r="D2716" s="87" t="str">
        <x:v>Апрель 2026</x:v>
      </x:c>
      <x:c r="E2716" s="87"/>
      <x:c r="F2716" s="87"/>
      <x:c r="G2716" s="87" t="str">
        <x:v>Русский язык</x:v>
      </x:c>
      <x:c r="H2716" s="87" t="n">
        <x:v>11</x:v>
      </x:c>
      <x:c r="I2716" s="87" t="str">
        <x:v>ТР №1</x:v>
      </x:c>
      <x:c r="J2716" s="87" t="str">
        <x:v>РЯ2500102</x:v>
      </x:c>
      <x:c r="K2716" s="87" t="n">
        <x:v>17</x:v>
      </x:c>
      <x:c r="L2716" s="87" t="str">
        <x:v>Обособленные конструкции</x:v>
      </x:c>
      <x:c r="M2716" s="30" t="str">
        <x:v>Расставить запятые в предложении о котёнке, испуганном громкими звуками.</x:v>
      </x:c>
      <x:c r="N2716" s="30" t="str">
        <x:v>145</x:v>
      </x:c>
      <x:c r="O2716" s="30" t="str">
        <x:v>Обособляются причастный оборот и деепричастная конструкция; позиции 1, 4, 5.</x:v>
      </x:c>
      <x:c r="P2716" s="30" t="str">
        <x:v>Ответ повторно проверен по норме языка, структуре предложения или содержанию исходного текста.</x:v>
      </x:c>
      <x:c r="Q2716" s="30"/>
      <x:c r="R2716" s="30" t="str">
        <x:v>Официальная таблица ответов + фото-сводка + независимая проверка</x:v>
      </x:c>
      <x:c r="S2716" s="30"/>
      <x:c r="T2716" s="30"/>
      <x:c r="U2716" s="30" t="str">
        <x:v>Расхождений не обнаружено.</x:v>
      </x:c>
      <x:c r="V2716" s="87" t="str">
        <x:v>VERIFIED</x:v>
      </x:c>
      <x:c r="W2716" s="87" t="str">
        <x:v>PDF заданий, стр. 22</x:v>
      </x:c>
      <x:c r="X2716" s="87"/>
      <x:c r="Y2716" s="87"/>
      <x:c r="Z2716" s="87"/>
      <x:c r="AA2716" s="87"/>
      <x:c r="AB2716" s="87"/>
      <x:c r="AC2716" s="87"/>
      <x:c r="AD2716" s="87"/>
      <x:c r="AE2716" s="87"/>
      <x:c r="AF2716" s="87"/>
      <x:c r="AG2716" s="87"/>
      <x:c r="AH2716" s="87"/>
      <x:c r="AI2716" s="30"/>
      <x:c r="AJ2716" s="87" t="str">
        <x:v>master</x:v>
      </x:c>
      <x:c r="AK2716" s="87" t="str">
        <x:v>master-v0.81</x:v>
      </x:c>
      <x:c r="AL2716" s="87" t="str">
        <x:v>statgrad_master_base_v0_81_final(2).xlsx</x:v>
      </x:c>
      <x:c r="AM2716" s="87" t="str">
        <x:v>RU_Apr_V2</x:v>
      </x:c>
      <x:c r="AN2716" s="87" t="n">
        <x:v>18</x:v>
      </x:c>
    </x:row>
    <x:row r="2717">
      <x:c r="A2717" s="87" t="n">
        <x:v>2716</x:v>
      </x:c>
      <x:c r="B2717" s="87" t="str">
        <x:v>APR-RU-V2-018</x:v>
      </x:c>
      <x:c r="C2717" s="87" t="str">
        <x:v>СтатГрад</x:v>
      </x:c>
      <x:c r="D2717" s="87" t="str">
        <x:v>Апрель 2026</x:v>
      </x:c>
      <x:c r="E2717" s="87"/>
      <x:c r="F2717" s="87"/>
      <x:c r="G2717" s="87" t="str">
        <x:v>Русский язык</x:v>
      </x:c>
      <x:c r="H2717" s="87" t="n">
        <x:v>11</x:v>
      </x:c>
      <x:c r="I2717" s="87" t="str">
        <x:v>ТР №1</x:v>
      </x:c>
      <x:c r="J2717" s="87" t="str">
        <x:v>РЯ2500102</x:v>
      </x:c>
      <x:c r="K2717" s="87" t="n">
        <x:v>18</x:v>
      </x:c>
      <x:c r="L2717" s="87" t="str">
        <x:v>Обращение и вводные слова</x:v>
      </x:c>
      <x:c r="M2717" s="30" t="str">
        <x:v>Расставить запятые в репликах «Наверняка…» и «Миша…».</x:v>
      </x:c>
      <x:c r="N2717" s="30" t="str">
        <x:v>2357</x:v>
      </x:c>
      <x:c r="O2717" s="30" t="str">
        <x:v>Запятые выделяют вводное слово и обращение; позиции 2, 3, 5, 7.</x:v>
      </x:c>
      <x:c r="P2717" s="30" t="str">
        <x:v>Ответ повторно проверен по норме языка, структуре предложения или содержанию исходного текста.</x:v>
      </x:c>
      <x:c r="Q2717" s="30"/>
      <x:c r="R2717" s="30" t="str">
        <x:v>Официальная таблица ответов + фото-сводка + независимая проверка</x:v>
      </x:c>
      <x:c r="S2717" s="30"/>
      <x:c r="T2717" s="30"/>
      <x:c r="U2717" s="30" t="str">
        <x:v>Расхождений не обнаружено.</x:v>
      </x:c>
      <x:c r="V2717" s="87" t="str">
        <x:v>VERIFIED</x:v>
      </x:c>
      <x:c r="W2717" s="87" t="str">
        <x:v>PDF заданий, стр. 22</x:v>
      </x:c>
      <x:c r="X2717" s="87"/>
      <x:c r="Y2717" s="87"/>
      <x:c r="Z2717" s="87"/>
      <x:c r="AA2717" s="87"/>
      <x:c r="AB2717" s="87"/>
      <x:c r="AC2717" s="87"/>
      <x:c r="AD2717" s="87"/>
      <x:c r="AE2717" s="87"/>
      <x:c r="AF2717" s="87"/>
      <x:c r="AG2717" s="87"/>
      <x:c r="AH2717" s="87"/>
      <x:c r="AI2717" s="30"/>
      <x:c r="AJ2717" s="87" t="str">
        <x:v>master</x:v>
      </x:c>
      <x:c r="AK2717" s="87" t="str">
        <x:v>master-v0.81</x:v>
      </x:c>
      <x:c r="AL2717" s="87" t="str">
        <x:v>statgrad_master_base_v0_81_final(2).xlsx</x:v>
      </x:c>
      <x:c r="AM2717" s="87" t="str">
        <x:v>RU_Apr_V2</x:v>
      </x:c>
      <x:c r="AN2717" s="87" t="n">
        <x:v>19</x:v>
      </x:c>
    </x:row>
    <x:row r="2718">
      <x:c r="A2718" s="87" t="n">
        <x:v>2717</x:v>
      </x:c>
      <x:c r="B2718" s="87" t="str">
        <x:v>APR-RU-V2-019</x:v>
      </x:c>
      <x:c r="C2718" s="87" t="str">
        <x:v>СтатГрад</x:v>
      </x:c>
      <x:c r="D2718" s="87" t="str">
        <x:v>Апрель 2026</x:v>
      </x:c>
      <x:c r="E2718" s="87"/>
      <x:c r="F2718" s="87"/>
      <x:c r="G2718" s="87" t="str">
        <x:v>Русский язык</x:v>
      </x:c>
      <x:c r="H2718" s="87" t="n">
        <x:v>11</x:v>
      </x:c>
      <x:c r="I2718" s="87" t="str">
        <x:v>ТР №1</x:v>
      </x:c>
      <x:c r="J2718" s="87" t="str">
        <x:v>РЯ2500102</x:v>
      </x:c>
      <x:c r="K2718" s="87" t="n">
        <x:v>19</x:v>
      </x:c>
      <x:c r="L2718" s="87" t="str">
        <x:v>Сложноподчинённое предложение</x:v>
      </x:c>
      <x:c r="M2718" s="30" t="str">
        <x:v>Расставить запятые в предложении об отказе от разговора и условиях ответа.</x:v>
      </x:c>
      <x:c r="N2718" s="30" t="str">
        <x:v>1235</x:v>
      </x:c>
      <x:c r="O2718" s="30" t="str">
        <x:v>Запятые ставятся на границах придаточных частей: позиции 1, 2, 3, 5.</x:v>
      </x:c>
      <x:c r="P2718" s="30" t="str">
        <x:v>Ответ повторно проверен по норме языка, структуре предложения или содержанию исходного текста.</x:v>
      </x:c>
      <x:c r="Q2718" s="30"/>
      <x:c r="R2718" s="30" t="str">
        <x:v>Официальная таблица ответов + фото-сводка + независимая проверка</x:v>
      </x:c>
      <x:c r="S2718" s="30"/>
      <x:c r="T2718" s="30"/>
      <x:c r="U2718" s="30" t="str">
        <x:v>Расхождений не обнаружено.</x:v>
      </x:c>
      <x:c r="V2718" s="87" t="str">
        <x:v>VERIFIED</x:v>
      </x:c>
      <x:c r="W2718" s="87" t="str">
        <x:v>PDF заданий, стр. 22</x:v>
      </x:c>
      <x:c r="X2718" s="87"/>
      <x:c r="Y2718" s="87"/>
      <x:c r="Z2718" s="87"/>
      <x:c r="AA2718" s="87"/>
      <x:c r="AB2718" s="87"/>
      <x:c r="AC2718" s="87"/>
      <x:c r="AD2718" s="87"/>
      <x:c r="AE2718" s="87"/>
      <x:c r="AF2718" s="87"/>
      <x:c r="AG2718" s="87"/>
      <x:c r="AH2718" s="87"/>
      <x:c r="AI2718" s="30"/>
      <x:c r="AJ2718" s="87" t="str">
        <x:v>master</x:v>
      </x:c>
      <x:c r="AK2718" s="87" t="str">
        <x:v>master-v0.81</x:v>
      </x:c>
      <x:c r="AL2718" s="87" t="str">
        <x:v>statgrad_master_base_v0_81_final(2).xlsx</x:v>
      </x:c>
      <x:c r="AM2718" s="87" t="str">
        <x:v>RU_Apr_V2</x:v>
      </x:c>
      <x:c r="AN2718" s="87" t="n">
        <x:v>20</x:v>
      </x:c>
    </x:row>
    <x:row r="2719">
      <x:c r="A2719" s="87" t="n">
        <x:v>2718</x:v>
      </x:c>
      <x:c r="B2719" s="87" t="str">
        <x:v>APR-RU-V2-020</x:v>
      </x:c>
      <x:c r="C2719" s="87" t="str">
        <x:v>СтатГрад</x:v>
      </x:c>
      <x:c r="D2719" s="87" t="str">
        <x:v>Апрель 2026</x:v>
      </x:c>
      <x:c r="E2719" s="87"/>
      <x:c r="F2719" s="87"/>
      <x:c r="G2719" s="87" t="str">
        <x:v>Русский язык</x:v>
      </x:c>
      <x:c r="H2719" s="87" t="n">
        <x:v>11</x:v>
      </x:c>
      <x:c r="I2719" s="87" t="str">
        <x:v>ТР №1</x:v>
      </x:c>
      <x:c r="J2719" s="87" t="str">
        <x:v>РЯ2500102</x:v>
      </x:c>
      <x:c r="K2719" s="87" t="n">
        <x:v>20</x:v>
      </x:c>
      <x:c r="L2719" s="87" t="str">
        <x:v>Сложное предложение</x:v>
      </x:c>
      <x:c r="M2719" s="30" t="str">
        <x:v>Расставить запятые в предложении о моторе во дворе и возвращении Серёжи.</x:v>
      </x:c>
      <x:c r="N2719" s="30" t="str">
        <x:v>13467</x:v>
      </x:c>
      <x:c r="O2719" s="30" t="str">
        <x:v>Позиции 1, 3, 4, 6, 7 разделяют части сложного предложения и придаточные.</x:v>
      </x:c>
      <x:c r="P2719" s="30" t="str">
        <x:v>Ответ повторно проверен по норме языка, структуре предложения или содержанию исходного текста.</x:v>
      </x:c>
      <x:c r="Q2719" s="30"/>
      <x:c r="R2719" s="30" t="str">
        <x:v>Официальная таблица ответов + фото-сводка + независимая проверка</x:v>
      </x:c>
      <x:c r="S2719" s="30"/>
      <x:c r="T2719" s="30"/>
      <x:c r="U2719" s="30" t="str">
        <x:v>Расхождений не обнаружено.</x:v>
      </x:c>
      <x:c r="V2719" s="87" t="str">
        <x:v>VERIFIED</x:v>
      </x:c>
      <x:c r="W2719" s="87" t="str">
        <x:v>PDF заданий, стр. 23</x:v>
      </x:c>
      <x:c r="X2719" s="87"/>
      <x:c r="Y2719" s="87"/>
      <x:c r="Z2719" s="87"/>
      <x:c r="AA2719" s="87"/>
      <x:c r="AB2719" s="87"/>
      <x:c r="AC2719" s="87"/>
      <x:c r="AD2719" s="87"/>
      <x:c r="AE2719" s="87"/>
      <x:c r="AF2719" s="87"/>
      <x:c r="AG2719" s="87"/>
      <x:c r="AH2719" s="87"/>
      <x:c r="AI2719" s="30"/>
      <x:c r="AJ2719" s="87" t="str">
        <x:v>master</x:v>
      </x:c>
      <x:c r="AK2719" s="87" t="str">
        <x:v>master-v0.81</x:v>
      </x:c>
      <x:c r="AL2719" s="87" t="str">
        <x:v>statgrad_master_base_v0_81_final(2).xlsx</x:v>
      </x:c>
      <x:c r="AM2719" s="87" t="str">
        <x:v>RU_Apr_V2</x:v>
      </x:c>
      <x:c r="AN2719" s="87" t="n">
        <x:v>21</x:v>
      </x:c>
    </x:row>
    <x:row r="2720">
      <x:c r="A2720" s="87" t="n">
        <x:v>2719</x:v>
      </x:c>
      <x:c r="B2720" s="87" t="str">
        <x:v>APR-RU-V2-021</x:v>
      </x:c>
      <x:c r="C2720" s="87" t="str">
        <x:v>СтатГрад</x:v>
      </x:c>
      <x:c r="D2720" s="87" t="str">
        <x:v>Апрель 2026</x:v>
      </x:c>
      <x:c r="E2720" s="87"/>
      <x:c r="F2720" s="87"/>
      <x:c r="G2720" s="87" t="str">
        <x:v>Русский язык</x:v>
      </x:c>
      <x:c r="H2720" s="87" t="n">
        <x:v>11</x:v>
      </x:c>
      <x:c r="I2720" s="87" t="str">
        <x:v>ТР №1</x:v>
      </x:c>
      <x:c r="J2720" s="87" t="str">
        <x:v>РЯ2500102</x:v>
      </x:c>
      <x:c r="K2720" s="87" t="n">
        <x:v>21</x:v>
      </x:c>
      <x:c r="L2720" s="87" t="str">
        <x:v>Двоеточие по одному правилу</x:v>
      </x:c>
      <x:c r="M2720" s="30" t="str">
        <x:v>Найти предложения в тексте о Сулеймане Стальском, где двоеточие поставлено по одному правилу.</x:v>
      </x:c>
      <x:c r="N2720" s="30" t="str">
        <x:v>1279</x:v>
      </x:c>
      <x:c r="O2720" s="30" t="str">
        <x:v>В предложениях 1, 2, 7 и 9 двоеточие поясняет предшествующую часть.</x:v>
      </x:c>
      <x:c r="P2720" s="30" t="str">
        <x:v>Ответ повторно проверен по норме языка, структуре предложения или содержанию исходного текста.</x:v>
      </x:c>
      <x:c r="Q2720" s="30"/>
      <x:c r="R2720" s="30" t="str">
        <x:v>Официальная таблица ответов + фото-сводка + независимая проверка</x:v>
      </x:c>
      <x:c r="S2720" s="30"/>
      <x:c r="T2720" s="30"/>
      <x:c r="U2720" s="30" t="str">
        <x:v>Расхождений не обнаружено.</x:v>
      </x:c>
      <x:c r="V2720" s="87" t="str">
        <x:v>VERIFIED</x:v>
      </x:c>
      <x:c r="W2720" s="87" t="str">
        <x:v>PDF заданий, стр. 23</x:v>
      </x:c>
      <x:c r="X2720" s="87"/>
      <x:c r="Y2720" s="87"/>
      <x:c r="Z2720" s="87"/>
      <x:c r="AA2720" s="87"/>
      <x:c r="AB2720" s="87"/>
      <x:c r="AC2720" s="87"/>
      <x:c r="AD2720" s="87"/>
      <x:c r="AE2720" s="87"/>
      <x:c r="AF2720" s="87"/>
      <x:c r="AG2720" s="87"/>
      <x:c r="AH2720" s="87"/>
      <x:c r="AI2720" s="30"/>
      <x:c r="AJ2720" s="87" t="str">
        <x:v>master</x:v>
      </x:c>
      <x:c r="AK2720" s="87" t="str">
        <x:v>master-v0.81</x:v>
      </x:c>
      <x:c r="AL2720" s="87" t="str">
        <x:v>statgrad_master_base_v0_81_final(2).xlsx</x:v>
      </x:c>
      <x:c r="AM2720" s="87" t="str">
        <x:v>RU_Apr_V2</x:v>
      </x:c>
      <x:c r="AN2720" s="87" t="n">
        <x:v>22</x:v>
      </x:c>
    </x:row>
    <x:row r="2721">
      <x:c r="A2721" s="87" t="n">
        <x:v>2720</x:v>
      </x:c>
      <x:c r="B2721" s="87" t="str">
        <x:v>APR-RU-V2-022</x:v>
      </x:c>
      <x:c r="C2721" s="87" t="str">
        <x:v>СтатГрад</x:v>
      </x:c>
      <x:c r="D2721" s="87" t="str">
        <x:v>Апрель 2026</x:v>
      </x:c>
      <x:c r="E2721" s="87"/>
      <x:c r="F2721" s="87"/>
      <x:c r="G2721" s="87" t="str">
        <x:v>Русский язык</x:v>
      </x:c>
      <x:c r="H2721" s="87" t="n">
        <x:v>11</x:v>
      </x:c>
      <x:c r="I2721" s="87" t="str">
        <x:v>ТР №1</x:v>
      </x:c>
      <x:c r="J2721" s="87" t="str">
        <x:v>РЯ2500102</x:v>
      </x:c>
      <x:c r="K2721" s="87" t="n">
        <x:v>22</x:v>
      </x:c>
      <x:c r="L2721" s="87" t="str">
        <x:v>Средства выразительности</x:v>
      </x:c>
      <x:c r="M2721" s="30" t="str">
        <x:v>Соотнести пять предложений М. А. Булгакова с названиями синтаксических средств выразительности.</x:v>
      </x:c>
      <x:c r="N2721" s="30" t="str">
        <x:v>76935</x:v>
      </x:c>
      <x:c r="O2721" s="30" t="str">
        <x:v>Соответствие: риторическое восклицание, анафора, вопросно-ответная форма, многосоюзие, парцелляция.</x:v>
      </x:c>
      <x:c r="P2721" s="30" t="str">
        <x:v>Ответ повторно проверен по норме языка, структуре предложения или содержанию исходного текста.</x:v>
      </x:c>
      <x:c r="Q2721" s="30"/>
      <x:c r="R2721" s="30" t="str">
        <x:v>Официальная таблица ответов + фото-сводка + независимая проверка</x:v>
      </x:c>
      <x:c r="S2721" s="30"/>
      <x:c r="T2721" s="30"/>
      <x:c r="U2721" s="30" t="str">
        <x:v>Расхождений не обнаружено.</x:v>
      </x:c>
      <x:c r="V2721" s="87" t="str">
        <x:v>VERIFIED</x:v>
      </x:c>
      <x:c r="W2721" s="87" t="str">
        <x:v>PDF заданий, стр. 24</x:v>
      </x:c>
      <x:c r="X2721" s="87"/>
      <x:c r="Y2721" s="87"/>
      <x:c r="Z2721" s="87"/>
      <x:c r="AA2721" s="87"/>
      <x:c r="AB2721" s="87"/>
      <x:c r="AC2721" s="87"/>
      <x:c r="AD2721" s="87"/>
      <x:c r="AE2721" s="87"/>
      <x:c r="AF2721" s="87"/>
      <x:c r="AG2721" s="87"/>
      <x:c r="AH2721" s="87"/>
      <x:c r="AI2721" s="30"/>
      <x:c r="AJ2721" s="87" t="str">
        <x:v>master</x:v>
      </x:c>
      <x:c r="AK2721" s="87" t="str">
        <x:v>master-v0.81</x:v>
      </x:c>
      <x:c r="AL2721" s="87" t="str">
        <x:v>statgrad_master_base_v0_81_final(2).xlsx</x:v>
      </x:c>
      <x:c r="AM2721" s="87" t="str">
        <x:v>RU_Apr_V2</x:v>
      </x:c>
      <x:c r="AN2721" s="87" t="n">
        <x:v>23</x:v>
      </x:c>
    </x:row>
    <x:row r="2722">
      <x:c r="A2722" s="87" t="n">
        <x:v>2721</x:v>
      </x:c>
      <x:c r="B2722" s="87" t="str">
        <x:v>APR-RU-V2-023</x:v>
      </x:c>
      <x:c r="C2722" s="87" t="str">
        <x:v>СтатГрад</x:v>
      </x:c>
      <x:c r="D2722" s="87" t="str">
        <x:v>Апрель 2026</x:v>
      </x:c>
      <x:c r="E2722" s="87"/>
      <x:c r="F2722" s="87"/>
      <x:c r="G2722" s="87" t="str">
        <x:v>Русский язык</x:v>
      </x:c>
      <x:c r="H2722" s="87" t="n">
        <x:v>11</x:v>
      </x:c>
      <x:c r="I2722" s="87" t="str">
        <x:v>ТР №1</x:v>
      </x:c>
      <x:c r="J2722" s="87" t="str">
        <x:v>РЯ2500102</x:v>
      </x:c>
      <x:c r="K2722" s="87" t="n">
        <x:v>23</x:v>
      </x:c>
      <x:c r="L2722" s="87" t="str">
        <x:v>Содержание текста</x:v>
      </x:c>
      <x:c r="M2722" s="30" t="str">
        <x:v>По рассказу В. В. Вересаева о Лёвочке выбрать высказывания, соответствующие тексту.</x:v>
      </x:c>
      <x:c r="N2722" s="30" t="str">
        <x:v>24</x:v>
      </x:c>
      <x:c r="O2722" s="30" t="str">
        <x:v>Соответствуют тексту утверждения о неодобрении отца и о том, что мать растила сына одна.</x:v>
      </x:c>
      <x:c r="P2722" s="30" t="str">
        <x:v>Ответ повторно проверен по норме языка, структуре предложения или содержанию исходного текста.</x:v>
      </x:c>
      <x:c r="Q2722" s="30"/>
      <x:c r="R2722" s="30" t="str">
        <x:v>Официальная таблица ответов + фото-сводка + независимая проверка</x:v>
      </x:c>
      <x:c r="S2722" s="30"/>
      <x:c r="T2722" s="30"/>
      <x:c r="U2722" s="30" t="str">
        <x:v>Расхождений не обнаружено.</x:v>
      </x:c>
      <x:c r="V2722" s="87" t="str">
        <x:v>VERIFIED</x:v>
      </x:c>
      <x:c r="W2722" s="87" t="str">
        <x:v>PDF заданий, стр. 26</x:v>
      </x:c>
      <x:c r="X2722" s="87"/>
      <x:c r="Y2722" s="87"/>
      <x:c r="Z2722" s="87"/>
      <x:c r="AA2722" s="87"/>
      <x:c r="AB2722" s="87"/>
      <x:c r="AC2722" s="87"/>
      <x:c r="AD2722" s="87"/>
      <x:c r="AE2722" s="87"/>
      <x:c r="AF2722" s="87"/>
      <x:c r="AG2722" s="87"/>
      <x:c r="AH2722" s="87"/>
      <x:c r="AI2722" s="30"/>
      <x:c r="AJ2722" s="87" t="str">
        <x:v>master</x:v>
      </x:c>
      <x:c r="AK2722" s="87" t="str">
        <x:v>master-v0.81</x:v>
      </x:c>
      <x:c r="AL2722" s="87" t="str">
        <x:v>statgrad_master_base_v0_81_final(2).xlsx</x:v>
      </x:c>
      <x:c r="AM2722" s="87" t="str">
        <x:v>RU_Apr_V2</x:v>
      </x:c>
      <x:c r="AN2722" s="87" t="n">
        <x:v>24</x:v>
      </x:c>
    </x:row>
    <x:row r="2723">
      <x:c r="A2723" s="87" t="n">
        <x:v>2722</x:v>
      </x:c>
      <x:c r="B2723" s="87" t="str">
        <x:v>APR-RU-V2-024</x:v>
      </x:c>
      <x:c r="C2723" s="87" t="str">
        <x:v>СтатГрад</x:v>
      </x:c>
      <x:c r="D2723" s="87" t="str">
        <x:v>Апрель 2026</x:v>
      </x:c>
      <x:c r="E2723" s="87"/>
      <x:c r="F2723" s="87"/>
      <x:c r="G2723" s="87" t="str">
        <x:v>Русский язык</x:v>
      </x:c>
      <x:c r="H2723" s="87" t="n">
        <x:v>11</x:v>
      </x:c>
      <x:c r="I2723" s="87" t="str">
        <x:v>ТР №1</x:v>
      </x:c>
      <x:c r="J2723" s="87" t="str">
        <x:v>РЯ2500102</x:v>
      </x:c>
      <x:c r="K2723" s="87" t="n">
        <x:v>24</x:v>
      </x:c>
      <x:c r="L2723" s="87" t="str">
        <x:v>Типы речи и логика текста</x:v>
      </x:c>
      <x:c r="M2723" s="30" t="str">
        <x:v>Выбрать верные утверждения о типах речи и смысловых отношениях в тексте.</x:v>
      </x:c>
      <x:c r="N2723" s="30" t="str">
        <x:v>124</x:v>
      </x:c>
      <x:c r="O2723" s="30" t="str">
        <x:v>Верны 1, 2 и 4: описание внешности, рассуждение в 12–14 и повествование в 17–20.</x:v>
      </x:c>
      <x:c r="P2723" s="30" t="str">
        <x:v>Ответ повторно проверен по норме языка, структуре предложения или содержанию исходного текста.</x:v>
      </x:c>
      <x:c r="Q2723" s="30"/>
      <x:c r="R2723" s="30" t="str">
        <x:v>Официальная таблица ответов + фото-сводка + независимая проверка</x:v>
      </x:c>
      <x:c r="S2723" s="30"/>
      <x:c r="T2723" s="30"/>
      <x:c r="U2723" s="30" t="str">
        <x:v>Расхождений не обнаружено.</x:v>
      </x:c>
      <x:c r="V2723" s="87" t="str">
        <x:v>VERIFIED</x:v>
      </x:c>
      <x:c r="W2723" s="87" t="str">
        <x:v>PDF заданий, стр. 27</x:v>
      </x:c>
      <x:c r="X2723" s="87"/>
      <x:c r="Y2723" s="87"/>
      <x:c r="Z2723" s="87"/>
      <x:c r="AA2723" s="87"/>
      <x:c r="AB2723" s="87"/>
      <x:c r="AC2723" s="87"/>
      <x:c r="AD2723" s="87"/>
      <x:c r="AE2723" s="87"/>
      <x:c r="AF2723" s="87"/>
      <x:c r="AG2723" s="87"/>
      <x:c r="AH2723" s="87"/>
      <x:c r="AI2723" s="30"/>
      <x:c r="AJ2723" s="87" t="str">
        <x:v>master</x:v>
      </x:c>
      <x:c r="AK2723" s="87" t="str">
        <x:v>master-v0.81</x:v>
      </x:c>
      <x:c r="AL2723" s="87" t="str">
        <x:v>statgrad_master_base_v0_81_final(2).xlsx</x:v>
      </x:c>
      <x:c r="AM2723" s="87" t="str">
        <x:v>RU_Apr_V2</x:v>
      </x:c>
      <x:c r="AN2723" s="87" t="n">
        <x:v>25</x:v>
      </x:c>
    </x:row>
    <x:row r="2724">
      <x:c r="A2724" s="87" t="n">
        <x:v>2723</x:v>
      </x:c>
      <x:c r="B2724" s="87" t="str">
        <x:v>APR-RU-V2-025</x:v>
      </x:c>
      <x:c r="C2724" s="87" t="str">
        <x:v>СтатГрад</x:v>
      </x:c>
      <x:c r="D2724" s="87" t="str">
        <x:v>Апрель 2026</x:v>
      </x:c>
      <x:c r="E2724" s="87"/>
      <x:c r="F2724" s="87"/>
      <x:c r="G2724" s="87" t="str">
        <x:v>Русский язык</x:v>
      </x:c>
      <x:c r="H2724" s="87" t="n">
        <x:v>11</x:v>
      </x:c>
      <x:c r="I2724" s="87" t="str">
        <x:v>ТР №1</x:v>
      </x:c>
      <x:c r="J2724" s="87" t="str">
        <x:v>РЯ2500102</x:v>
      </x:c>
      <x:c r="K2724" s="87" t="n">
        <x:v>25</x:v>
      </x:c>
      <x:c r="L2724" s="87" t="str">
        <x:v>Фразеологизм</x:v>
      </x:c>
      <x:c r="M2724" s="30" t="str">
        <x:v>Из предложений 64–67 выписать один фразеологизм.</x:v>
      </x:c>
      <x:c r="N2724" s="30" t="str">
        <x:v>не брала в расчёт</x:v>
      </x:c>
      <x:c r="O2724" s="30" t="str">
        <x:v>«Не брала в расчёт» — фразеологизм со значением «не учитывала».</x:v>
      </x:c>
      <x:c r="P2724" s="30" t="str">
        <x:v>Ответ повторно проверен по норме языка, структуре предложения или содержанию исходного текста.</x:v>
      </x:c>
      <x:c r="Q2724" s="30"/>
      <x:c r="R2724" s="30" t="str">
        <x:v>Официальная таблица ответов + фото-сводка + независимая проверка</x:v>
      </x:c>
      <x:c r="S2724" s="30"/>
      <x:c r="T2724" s="30"/>
      <x:c r="U2724" s="30" t="str">
        <x:v>Расхождений не обнаружено.</x:v>
      </x:c>
      <x:c r="V2724" s="87" t="str">
        <x:v>VERIFIED</x:v>
      </x:c>
      <x:c r="W2724" s="87" t="str">
        <x:v>PDF заданий, стр. 27</x:v>
      </x:c>
      <x:c r="X2724" s="87"/>
      <x:c r="Y2724" s="87"/>
      <x:c r="Z2724" s="87"/>
      <x:c r="AA2724" s="87"/>
      <x:c r="AB2724" s="87"/>
      <x:c r="AC2724" s="87"/>
      <x:c r="AD2724" s="87"/>
      <x:c r="AE2724" s="87"/>
      <x:c r="AF2724" s="87"/>
      <x:c r="AG2724" s="87"/>
      <x:c r="AH2724" s="87"/>
      <x:c r="AI2724" s="30"/>
      <x:c r="AJ2724" s="87" t="str">
        <x:v>master</x:v>
      </x:c>
      <x:c r="AK2724" s="87" t="str">
        <x:v>master-v0.81</x:v>
      </x:c>
      <x:c r="AL2724" s="87" t="str">
        <x:v>statgrad_master_base_v0_81_final(2).xlsx</x:v>
      </x:c>
      <x:c r="AM2724" s="87" t="str">
        <x:v>RU_Apr_V2</x:v>
      </x:c>
      <x:c r="AN2724" s="87" t="n">
        <x:v>26</x:v>
      </x:c>
    </x:row>
    <x:row r="2725">
      <x:c r="A2725" s="87" t="n">
        <x:v>2724</x:v>
      </x:c>
      <x:c r="B2725" s="87" t="str">
        <x:v>APR-RU-V2-026</x:v>
      </x:c>
      <x:c r="C2725" s="87" t="str">
        <x:v>СтатГрад</x:v>
      </x:c>
      <x:c r="D2725" s="87" t="str">
        <x:v>Апрель 2026</x:v>
      </x:c>
      <x:c r="E2725" s="87"/>
      <x:c r="F2725" s="87"/>
      <x:c r="G2725" s="87" t="str">
        <x:v>Русский язык</x:v>
      </x:c>
      <x:c r="H2725" s="87" t="n">
        <x:v>11</x:v>
      </x:c>
      <x:c r="I2725" s="87" t="str">
        <x:v>ТР №1</x:v>
      </x:c>
      <x:c r="J2725" s="87" t="str">
        <x:v>РЯ2500102</x:v>
      </x:c>
      <x:c r="K2725" s="87" t="n">
        <x:v>26</x:v>
      </x:c>
      <x:c r="L2725" s="87" t="str">
        <x:v>Средства связи предложений</x:v>
      </x:c>
      <x:c r="M2725" s="30" t="str">
        <x:v>Среди предложений 48–55 найти предложение, связанное с предыдущим личным местоимением и контекстным синонимом.</x:v>
      </x:c>
      <x:c r="N2725" s="30" t="str">
        <x:v>55</x:v>
      </x:c>
      <x:c r="O2725" s="30" t="str">
        <x:v>Предложение 55 связано с предыдущим личным местоимением «она» и контекстным обозначением женщины/матери.</x:v>
      </x:c>
      <x:c r="P2725" s="30" t="str">
        <x:v>Ответ повторно проверен по норме языка, структуре предложения или содержанию исходного текста.</x:v>
      </x:c>
      <x:c r="Q2725" s="30"/>
      <x:c r="R2725" s="30" t="str">
        <x:v>Официальная таблица ответов + фото-сводка + независимая проверка</x:v>
      </x:c>
      <x:c r="S2725" s="30"/>
      <x:c r="T2725" s="30"/>
      <x:c r="U2725" s="30" t="str">
        <x:v>Расхождений не обнаружено.</x:v>
      </x:c>
      <x:c r="V2725" s="87" t="str">
        <x:v>VERIFIED</x:v>
      </x:c>
      <x:c r="W2725" s="87" t="str">
        <x:v>PDF заданий, стр. 27</x:v>
      </x:c>
      <x:c r="X2725" s="87"/>
      <x:c r="Y2725" s="87"/>
      <x:c r="Z2725" s="87"/>
      <x:c r="AA2725" s="87"/>
      <x:c r="AB2725" s="87"/>
      <x:c r="AC2725" s="87"/>
      <x:c r="AD2725" s="87"/>
      <x:c r="AE2725" s="87"/>
      <x:c r="AF2725" s="87"/>
      <x:c r="AG2725" s="87"/>
      <x:c r="AH2725" s="87"/>
      <x:c r="AI2725" s="30"/>
      <x:c r="AJ2725" s="87" t="str">
        <x:v>master</x:v>
      </x:c>
      <x:c r="AK2725" s="87" t="str">
        <x:v>master-v0.81</x:v>
      </x:c>
      <x:c r="AL2725" s="87" t="str">
        <x:v>statgrad_master_base_v0_81_final(2).xlsx</x:v>
      </x:c>
      <x:c r="AM2725" s="87" t="str">
        <x:v>RU_Apr_V2</x:v>
      </x:c>
      <x:c r="AN2725" s="87" t="n">
        <x:v>27</x:v>
      </x:c>
    </x:row>
    <x:row r="2726">
      <x:c r="A2726" s="87" t="n">
        <x:v>2725</x:v>
      </x:c>
      <x:c r="B2726" s="87" t="str">
        <x:v>APR-RU-V2-027</x:v>
      </x:c>
      <x:c r="C2726" s="87" t="str">
        <x:v>СтатГрад</x:v>
      </x:c>
      <x:c r="D2726" s="87" t="str">
        <x:v>Апрель 2026</x:v>
      </x:c>
      <x:c r="E2726" s="87"/>
      <x:c r="F2726" s="87"/>
      <x:c r="G2726" s="87" t="str">
        <x:v>Русский язык</x:v>
      </x:c>
      <x:c r="H2726" s="87" t="n">
        <x:v>11</x:v>
      </x:c>
      <x:c r="I2726" s="87" t="str">
        <x:v>ТР №1</x:v>
      </x:c>
      <x:c r="J2726" s="87" t="str">
        <x:v>РЯ2500102</x:v>
      </x:c>
      <x:c r="K2726" s="87" t="n">
        <x:v>27</x:v>
      </x:c>
      <x:c r="L2726" s="87" t="str">
        <x:v>Сочинение</x:v>
      </x:c>
      <x:c r="M2726" s="30" t="str">
        <x:v>Написать сочинение по проблеме: «Несёт ли человек наказание за собственные ошибки, даже если он не осознал их?»</x:v>
      </x:c>
      <x:c r="N2726" s="30" t="str">
        <x:v>Несёт ли человек наказание за собственные ошибки, даже если он их не осознал? В. В. Вересаев отвечает утвердительно: последствия серьёзных нравственных ошибок неизбежно входят в жизнь человека, независимо от того, признаёт ли он свою вину.
Мать Лёвочки с детства оправдывает сына. В вагоне она не поддерживает справедливое замечание пассажира, а защищает грубого ребёнка и после каприза угощает его шоколадом. Женщина считает такое поведение любовью и не замечает, что лишает сына необходимости уважать окружающих. Первый пример раскрывает саму ошибку воспитания: постоянное потакание формирует безответственность и эгоизм.
Спустя годы Лёва выселяет мать из квартиры и фактически бросает её. Женщина страдает, живёт одиноко, обвиняет судьбу и обстоятельства, но не связывает жестокость сына со своим прежним поведением. Второй пример показывает наказание за ошибку. Между эпизодами существует причинно-следственная связь: неосознанное попустительство матери стало одной из причин нравственной глухоты сына, а затем вернулось к ней одиночеством.
Я согласен с автором: незнание или нежелание признать ошибку не отменяет её результатов. В трагедии Уильяма Шекспира «Король Лир» герой неверно оценивает дочерей, отвергает честную Корделию и отдаёт власть льстивым Гонерилье и Регане. Последствия решения оказываются страшными: Лир теряет власть, дом и близких, а понимание приходит слишком поздно. Следовательно, человек может не осознавать своей вины, но всё равно сталкивается с закономерными последствиями собственных поступков.</x:v>
      </x:c>
      <x:c r="O2726" s="30" t="str">
        <x:v>Полная модель сочинения: 204 слов; сформулирована авторская позиция, приведены два примера-иллюстрации, указана причинно-следственная связь и дан самостоятельный аргумент.</x:v>
      </x:c>
      <x:c r="P2726" s="30" t="str">
        <x:v>Проверены объём, структура комментария, отсутствие пересказа вместо анализа и соответствие официальной авторской позиции.</x:v>
      </x:c>
      <x:c r="Q2726" s="30"/>
      <x:c r="R2726" s="30" t="str">
        <x:v>Kriterii_RU10-11_30042026.pdf + исходный текст + самостоятельная модель</x:v>
      </x:c>
      <x:c r="S2726" s="30"/>
      <x:c r="T2726" s="30"/>
      <x:c r="U2726" s="30" t="str">
        <x:v>Расхождений не обнаружено.</x:v>
      </x:c>
      <x:c r="V2726" s="87" t="str">
        <x:v>VERIFIED</x:v>
      </x:c>
      <x:c r="W2726" s="87" t="str">
        <x:v>PDF заданий, стр. 28</x:v>
      </x:c>
      <x:c r="X2726" s="87"/>
      <x:c r="Y2726" s="87"/>
      <x:c r="Z2726" s="87"/>
      <x:c r="AA2726" s="87"/>
      <x:c r="AB2726" s="87"/>
      <x:c r="AC2726" s="87"/>
      <x:c r="AD2726" s="87"/>
      <x:c r="AE2726" s="87"/>
      <x:c r="AF2726" s="87"/>
      <x:c r="AG2726" s="87"/>
      <x:c r="AH2726" s="87"/>
      <x:c r="AI2726" s="30"/>
      <x:c r="AJ2726" s="87" t="str">
        <x:v>master</x:v>
      </x:c>
      <x:c r="AK2726" s="87" t="str">
        <x:v>master-v0.81</x:v>
      </x:c>
      <x:c r="AL2726" s="87" t="str">
        <x:v>statgrad_master_base_v0_81_final(2).xlsx</x:v>
      </x:c>
      <x:c r="AM2726" s="87" t="str">
        <x:v>RU_Apr_V2</x:v>
      </x:c>
      <x:c r="AN2726" s="87" t="n">
        <x:v>28</x:v>
      </x:c>
    </x:row>
    <x:row r="2727">
      <x:c r="A2727" s="87" t="n">
        <x:v>2726</x:v>
      </x:c>
      <x:c r="B2727" s="87" t="str">
        <x:v>SEP-CHEM-V1-001</x:v>
      </x:c>
      <x:c r="C2727" s="87" t="str">
        <x:v>СтатГрад</x:v>
      </x:c>
      <x:c r="D2727" s="87" t="str">
        <x:v>Сентябрь 2025</x:v>
      </x:c>
      <x:c r="E2727" s="87"/>
      <x:c r="F2727" s="87"/>
      <x:c r="G2727" s="87" t="str">
        <x:v>Химия</x:v>
      </x:c>
      <x:c r="H2727" s="87" t="n">
        <x:v>11</x:v>
      </x:c>
      <x:c r="I2727" s="87" t="str">
        <x:v>ТР №1</x:v>
      </x:c>
      <x:c r="J2727" s="87" t="str">
        <x:v>ХИ2510101</x:v>
      </x:c>
      <x:c r="K2727" s="87" t="n">
        <x:v>1</x:v>
      </x:c>
      <x:c r="L2727" s="87" t="str">
        <x:v>Электронная конфигурация</x:v>
      </x:c>
      <x:c r="M2727" s="30" t="str">
        <x:v>Для N, C, Al, O и Ga выбрать элементы, у которых первое возбуждённое состояние внешнего уровня имеет вид ns¹np².</x:v>
      </x:c>
      <x:c r="N2727" s="30" t="str">
        <x:v>35</x:v>
      </x:c>
      <x:c r="O2727" s="30" t="str">
        <x:v>Al и Ga имеют конфигурацию ns²np¹; возбуждение переводит один s-электрон в p-подуровень: ns¹np².</x:v>
      </x:c>
      <x:c r="P2727" s="30" t="str">
        <x:v>Al и Ga имеют конфигурацию ns²np¹; возбуждение переводит один s-электрон в p-подуровень: ns¹np².</x:v>
      </x:c>
      <x:c r="Q2727" s="30"/>
      <x:c r="R2727" s="30" t="str">
        <x:v>Фото-сводка ответов + независимое решение</x:v>
      </x:c>
      <x:c r="S2727" s="30"/>
      <x:c r="T2727" s="30"/>
      <x:c r="U2727" s="30" t="str">
        <x:v>Расхождений не обнаружено.</x:v>
      </x:c>
      <x:c r="V2727" s="87" t="str">
        <x:v>VERIFIED</x:v>
      </x:c>
      <x:c r="W2727" s="87" t="str">
        <x:v>Zadanie_KhI11_10092025.pdf, вариантная стр. 2</x:v>
      </x:c>
      <x:c r="X2727" s="87"/>
      <x:c r="Y2727" s="87"/>
      <x:c r="Z2727" s="87"/>
      <x:c r="AA2727" s="87"/>
      <x:c r="AB2727" s="87"/>
      <x:c r="AC2727" s="87"/>
      <x:c r="AD2727" s="87"/>
      <x:c r="AE2727" s="87"/>
      <x:c r="AF2727" s="87"/>
      <x:c r="AG2727" s="87"/>
      <x:c r="AH2727" s="87"/>
      <x:c r="AI2727" s="30"/>
      <x:c r="AJ2727" s="87" t="str">
        <x:v>master</x:v>
      </x:c>
      <x:c r="AK2727" s="87" t="str">
        <x:v>master-v0.81</x:v>
      </x:c>
      <x:c r="AL2727" s="87" t="str">
        <x:v>statgrad_master_base_v0_81_final(2).xlsx</x:v>
      </x:c>
      <x:c r="AM2727" s="87" t="str">
        <x:v>CHEM_Sep_V1</x:v>
      </x:c>
      <x:c r="AN2727" s="87" t="n">
        <x:v>2</x:v>
      </x:c>
    </x:row>
    <x:row r="2728">
      <x:c r="A2728" s="87" t="n">
        <x:v>2727</x:v>
      </x:c>
      <x:c r="B2728" s="87" t="str">
        <x:v>SEP-CHEM-V1-002</x:v>
      </x:c>
      <x:c r="C2728" s="87" t="str">
        <x:v>СтатГрад</x:v>
      </x:c>
      <x:c r="D2728" s="87" t="str">
        <x:v>Сентябрь 2025</x:v>
      </x:c>
      <x:c r="E2728" s="87"/>
      <x:c r="F2728" s="87"/>
      <x:c r="G2728" s="87" t="str">
        <x:v>Химия</x:v>
      </x:c>
      <x:c r="H2728" s="87" t="n">
        <x:v>11</x:v>
      </x:c>
      <x:c r="I2728" s="87" t="str">
        <x:v>ТР №1</x:v>
      </x:c>
      <x:c r="J2728" s="87" t="str">
        <x:v>ХИ2510101</x:v>
      </x:c>
      <x:c r="K2728" s="87" t="n">
        <x:v>2</x:v>
      </x:c>
      <x:c r="L2728" s="87" t="str">
        <x:v>Периодический закон</x:v>
      </x:c>
      <x:c r="M2728" s="30" t="str">
        <x:v>Среди N, C, Al, O и Ga выбрать три элемента одного периода и расположить по возрастанию высшей степени окисления.</x:v>
      </x:c>
      <x:c r="N2728" s="30" t="str">
        <x:v>421</x:v>
      </x:c>
      <x:c r="O2728" s="30" t="str">
        <x:v>В периоде 2 находятся O, C, N. Высшие степени окисления: +2, +4, +5, поэтому 4–2–1.</x:v>
      </x:c>
      <x:c r="P2728" s="30" t="str">
        <x:v>В периоде 2 находятся O, C, N. Высшие степени окисления: +2, +4, +5, поэтому 4–2–1.</x:v>
      </x:c>
      <x:c r="Q2728" s="30"/>
      <x:c r="R2728" s="30" t="str">
        <x:v>Фото-сводка ответов + независимое решение</x:v>
      </x:c>
      <x:c r="S2728" s="30"/>
      <x:c r="T2728" s="30"/>
      <x:c r="U2728" s="30" t="str">
        <x:v>Расхождений не обнаружено.</x:v>
      </x:c>
      <x:c r="V2728" s="87" t="str">
        <x:v>VERIFIED</x:v>
      </x:c>
      <x:c r="W2728" s="87" t="str">
        <x:v>Zadanie_KhI11_10092025.pdf, вариантная стр. 2</x:v>
      </x:c>
      <x:c r="X2728" s="87"/>
      <x:c r="Y2728" s="87"/>
      <x:c r="Z2728" s="87"/>
      <x:c r="AA2728" s="87"/>
      <x:c r="AB2728" s="87"/>
      <x:c r="AC2728" s="87"/>
      <x:c r="AD2728" s="87"/>
      <x:c r="AE2728" s="87"/>
      <x:c r="AF2728" s="87"/>
      <x:c r="AG2728" s="87"/>
      <x:c r="AH2728" s="87"/>
      <x:c r="AI2728" s="30"/>
      <x:c r="AJ2728" s="87" t="str">
        <x:v>master</x:v>
      </x:c>
      <x:c r="AK2728" s="87" t="str">
        <x:v>master-v0.81</x:v>
      </x:c>
      <x:c r="AL2728" s="87" t="str">
        <x:v>statgrad_master_base_v0_81_final(2).xlsx</x:v>
      </x:c>
      <x:c r="AM2728" s="87" t="str">
        <x:v>CHEM_Sep_V1</x:v>
      </x:c>
      <x:c r="AN2728" s="87" t="n">
        <x:v>3</x:v>
      </x:c>
    </x:row>
    <x:row r="2729">
      <x:c r="A2729" s="87" t="n">
        <x:v>2728</x:v>
      </x:c>
      <x:c r="B2729" s="87" t="str">
        <x:v>SEP-CHEM-V1-003</x:v>
      </x:c>
      <x:c r="C2729" s="87" t="str">
        <x:v>СтатГрад</x:v>
      </x:c>
      <x:c r="D2729" s="87" t="str">
        <x:v>Сентябрь 2025</x:v>
      </x:c>
      <x:c r="E2729" s="87"/>
      <x:c r="F2729" s="87"/>
      <x:c r="G2729" s="87" t="str">
        <x:v>Химия</x:v>
      </x:c>
      <x:c r="H2729" s="87" t="n">
        <x:v>11</x:v>
      </x:c>
      <x:c r="I2729" s="87" t="str">
        <x:v>ТР №1</x:v>
      </x:c>
      <x:c r="J2729" s="87" t="str">
        <x:v>ХИ2510101</x:v>
      </x:c>
      <x:c r="K2729" s="87" t="n">
        <x:v>3</x:v>
      </x:c>
      <x:c r="L2729" s="87" t="str">
        <x:v>Валентность</x:v>
      </x:c>
      <x:c r="M2729" s="30" t="str">
        <x:v>Среди N, C, Al, O и Ga выбрать два элемента, проявляющих валентность II в устойчивых соединениях.</x:v>
      </x:c>
      <x:c r="N2729" s="30" t="str">
        <x:v>14</x:v>
      </x:c>
      <x:c r="O2729" s="30" t="str">
        <x:v>N проявляет валентность II, например в NO; O устойчиво двухвалентен.</x:v>
      </x:c>
      <x:c r="P2729" s="30" t="str">
        <x:v>N проявляет валентность II, например в NO; O устойчиво двухвалентен.</x:v>
      </x:c>
      <x:c r="Q2729" s="30"/>
      <x:c r="R2729" s="30" t="str">
        <x:v>Фото-сводка ответов + независимое решение</x:v>
      </x:c>
      <x:c r="S2729" s="30"/>
      <x:c r="T2729" s="30"/>
      <x:c r="U2729" s="30" t="str">
        <x:v>Расхождений не обнаружено.</x:v>
      </x:c>
      <x:c r="V2729" s="87" t="str">
        <x:v>VERIFIED</x:v>
      </x:c>
      <x:c r="W2729" s="87" t="str">
        <x:v>Zadanie_KhI11_10092025.pdf, вариантная стр. 2</x:v>
      </x:c>
      <x:c r="X2729" s="87"/>
      <x:c r="Y2729" s="87"/>
      <x:c r="Z2729" s="87"/>
      <x:c r="AA2729" s="87"/>
      <x:c r="AB2729" s="87"/>
      <x:c r="AC2729" s="87"/>
      <x:c r="AD2729" s="87"/>
      <x:c r="AE2729" s="87"/>
      <x:c r="AF2729" s="87"/>
      <x:c r="AG2729" s="87"/>
      <x:c r="AH2729" s="87"/>
      <x:c r="AI2729" s="30"/>
      <x:c r="AJ2729" s="87" t="str">
        <x:v>master</x:v>
      </x:c>
      <x:c r="AK2729" s="87" t="str">
        <x:v>master-v0.81</x:v>
      </x:c>
      <x:c r="AL2729" s="87" t="str">
        <x:v>statgrad_master_base_v0_81_final(2).xlsx</x:v>
      </x:c>
      <x:c r="AM2729" s="87" t="str">
        <x:v>CHEM_Sep_V1</x:v>
      </x:c>
      <x:c r="AN2729" s="87" t="n">
        <x:v>4</x:v>
      </x:c>
    </x:row>
    <x:row r="2730">
      <x:c r="A2730" s="87" t="n">
        <x:v>2729</x:v>
      </x:c>
      <x:c r="B2730" s="87" t="str">
        <x:v>SEP-CHEM-V1-004</x:v>
      </x:c>
      <x:c r="C2730" s="87" t="str">
        <x:v>СтатГрад</x:v>
      </x:c>
      <x:c r="D2730" s="87" t="str">
        <x:v>Сентябрь 2025</x:v>
      </x:c>
      <x:c r="E2730" s="87"/>
      <x:c r="F2730" s="87"/>
      <x:c r="G2730" s="87" t="str">
        <x:v>Химия</x:v>
      </x:c>
      <x:c r="H2730" s="87" t="n">
        <x:v>11</x:v>
      </x:c>
      <x:c r="I2730" s="87" t="str">
        <x:v>ТР №1</x:v>
      </x:c>
      <x:c r="J2730" s="87" t="str">
        <x:v>ХИ2510101</x:v>
      </x:c>
      <x:c r="K2730" s="87" t="n">
        <x:v>4</x:v>
      </x:c>
      <x:c r="L2730" s="87" t="str">
        <x:v>Типы химической связи</x:v>
      </x:c>
      <x:c r="M2730" s="30" t="str">
        <x:v>Выбрать два вещества без ван-дер-ваальсовых связей: SiO₂, BaO, CO₂, H₂, N₂O.</x:v>
      </x:c>
      <x:c r="N2730" s="30" t="str">
        <x:v>12</x:v>
      </x:c>
      <x:c r="O2730" s="30" t="str">
        <x:v>SiO₂ — атомная кристаллическая решётка, BaO — ионная; межмолекулярных ван-дер-ваальсовых связей нет.</x:v>
      </x:c>
      <x:c r="P2730" s="30" t="str">
        <x:v>SiO₂ — атомная кристаллическая решётка, BaO — ионная; межмолекулярных ван-дер-ваальсовых связей нет.</x:v>
      </x:c>
      <x:c r="Q2730" s="30"/>
      <x:c r="R2730" s="30" t="str">
        <x:v>Фото-сводка ответов + независимое решение</x:v>
      </x:c>
      <x:c r="S2730" s="30"/>
      <x:c r="T2730" s="30"/>
      <x:c r="U2730" s="30" t="str">
        <x:v>Расхождений не обнаружено.</x:v>
      </x:c>
      <x:c r="V2730" s="87" t="str">
        <x:v>VERIFIED</x:v>
      </x:c>
      <x:c r="W2730" s="87" t="str">
        <x:v>Zadanie_KhI11_10092025.pdf, вариантная стр. 3</x:v>
      </x:c>
      <x:c r="X2730" s="87"/>
      <x:c r="Y2730" s="87"/>
      <x:c r="Z2730" s="87"/>
      <x:c r="AA2730" s="87"/>
      <x:c r="AB2730" s="87"/>
      <x:c r="AC2730" s="87"/>
      <x:c r="AD2730" s="87"/>
      <x:c r="AE2730" s="87"/>
      <x:c r="AF2730" s="87"/>
      <x:c r="AG2730" s="87"/>
      <x:c r="AH2730" s="87"/>
      <x:c r="AI2730" s="30"/>
      <x:c r="AJ2730" s="87" t="str">
        <x:v>master</x:v>
      </x:c>
      <x:c r="AK2730" s="87" t="str">
        <x:v>master-v0.81</x:v>
      </x:c>
      <x:c r="AL2730" s="87" t="str">
        <x:v>statgrad_master_base_v0_81_final(2).xlsx</x:v>
      </x:c>
      <x:c r="AM2730" s="87" t="str">
        <x:v>CHEM_Sep_V1</x:v>
      </x:c>
      <x:c r="AN2730" s="87" t="n">
        <x:v>5</x:v>
      </x:c>
    </x:row>
    <x:row r="2731">
      <x:c r="A2731" s="87" t="n">
        <x:v>2730</x:v>
      </x:c>
      <x:c r="B2731" s="87" t="str">
        <x:v>SEP-CHEM-V1-005</x:v>
      </x:c>
      <x:c r="C2731" s="87" t="str">
        <x:v>СтатГрад</x:v>
      </x:c>
      <x:c r="D2731" s="87" t="str">
        <x:v>Сентябрь 2025</x:v>
      </x:c>
      <x:c r="E2731" s="87"/>
      <x:c r="F2731" s="87"/>
      <x:c r="G2731" s="87" t="str">
        <x:v>Химия</x:v>
      </x:c>
      <x:c r="H2731" s="87" t="n">
        <x:v>11</x:v>
      </x:c>
      <x:c r="I2731" s="87" t="str">
        <x:v>ТР №1</x:v>
      </x:c>
      <x:c r="J2731" s="87" t="str">
        <x:v>ХИ2510101</x:v>
      </x:c>
      <x:c r="K2731" s="87" t="n">
        <x:v>5</x:v>
      </x:c>
      <x:c r="L2731" s="87" t="str">
        <x:v>Классификация неорганических веществ</x:v>
      </x:c>
      <x:c r="M2731" s="30" t="str">
        <x:v>По таблице выбрать кислотный оксид, основную соль и двухосновную кислоту.</x:v>
      </x:c>
      <x:c r="N2731" s="30" t="str">
        <x:v>316</x:v>
      </x:c>
      <x:c r="O2731" s="30" t="str">
        <x:v>NO₂ — кислотный оксид; Pb₂(OH)₂CO₃ — основная соль; H₂SeO₄ — двухосновная кислота.</x:v>
      </x:c>
      <x:c r="P2731" s="30" t="str">
        <x:v>NO₂ — кислотный оксид; Pb₂(OH)₂CO₃ — основная соль; H₂SeO₄ — двухосновная кислота.</x:v>
      </x:c>
      <x:c r="Q2731" s="30"/>
      <x:c r="R2731" s="30" t="str">
        <x:v>Фото-сводка ответов + независимое решение</x:v>
      </x:c>
      <x:c r="S2731" s="30"/>
      <x:c r="T2731" s="30"/>
      <x:c r="U2731" s="30" t="str">
        <x:v>Расхождений не обнаружено.</x:v>
      </x:c>
      <x:c r="V2731" s="87" t="str">
        <x:v>VERIFIED</x:v>
      </x:c>
      <x:c r="W2731" s="87" t="str">
        <x:v>Zadanie_KhI11_10092025.pdf, вариантная стр. 3</x:v>
      </x:c>
      <x:c r="X2731" s="87"/>
      <x:c r="Y2731" s="87"/>
      <x:c r="Z2731" s="87"/>
      <x:c r="AA2731" s="87"/>
      <x:c r="AB2731" s="87"/>
      <x:c r="AC2731" s="87"/>
      <x:c r="AD2731" s="87"/>
      <x:c r="AE2731" s="87"/>
      <x:c r="AF2731" s="87"/>
      <x:c r="AG2731" s="87"/>
      <x:c r="AH2731" s="87"/>
      <x:c r="AI2731" s="30"/>
      <x:c r="AJ2731" s="87" t="str">
        <x:v>master</x:v>
      </x:c>
      <x:c r="AK2731" s="87" t="str">
        <x:v>master-v0.81</x:v>
      </x:c>
      <x:c r="AL2731" s="87" t="str">
        <x:v>statgrad_master_base_v0_81_final(2).xlsx</x:v>
      </x:c>
      <x:c r="AM2731" s="87" t="str">
        <x:v>CHEM_Sep_V1</x:v>
      </x:c>
      <x:c r="AN2731" s="87" t="n">
        <x:v>6</x:v>
      </x:c>
    </x:row>
    <x:row r="2732">
      <x:c r="A2732" s="87" t="n">
        <x:v>2731</x:v>
      </x:c>
      <x:c r="B2732" s="87" t="str">
        <x:v>SEP-CHEM-V1-006</x:v>
      </x:c>
      <x:c r="C2732" s="87" t="str">
        <x:v>СтатГрад</x:v>
      </x:c>
      <x:c r="D2732" s="87" t="str">
        <x:v>Сентябрь 2025</x:v>
      </x:c>
      <x:c r="E2732" s="87"/>
      <x:c r="F2732" s="87"/>
      <x:c r="G2732" s="87" t="str">
        <x:v>Химия</x:v>
      </x:c>
      <x:c r="H2732" s="87" t="n">
        <x:v>11</x:v>
      </x:c>
      <x:c r="I2732" s="87" t="str">
        <x:v>ТР №1</x:v>
      </x:c>
      <x:c r="J2732" s="87" t="str">
        <x:v>ХИ2510101</x:v>
      </x:c>
      <x:c r="K2732" s="87" t="n">
        <x:v>6</x:v>
      </x:c>
      <x:c r="L2732" s="87" t="str">
        <x:v>Качественные реакции</x:v>
      </x:c>
      <x:c r="M2732" s="30" t="str">
        <x:v>Известковая вода: газ X сначала даёт осадок, который растворяется в избытке газа; газ Y даёт сохраняющийся осадок. Выбрать X и Y.</x:v>
      </x:c>
      <x:c r="N2732" s="30" t="str">
        <x:v>X=3; Y=4</x:v>
      </x:c>
      <x:c r="O2732" s="30" t="str">
        <x:v>SO₂ образует CaSO₃, растворяющийся в избытке SO₂ как гидросульфит; HF осаждает устойчивый CaF₂.</x:v>
      </x:c>
      <x:c r="P2732" s="30" t="str">
        <x:v>SO₂ образует CaSO₃, растворяющийся в избытке SO₂ как гидросульфит; HF осаждает устойчивый CaF₂.</x:v>
      </x:c>
      <x:c r="Q2732" s="30"/>
      <x:c r="R2732" s="30" t="str">
        <x:v>Фото-сводка ответов + независимое решение</x:v>
      </x:c>
      <x:c r="S2732" s="30"/>
      <x:c r="T2732" s="30"/>
      <x:c r="U2732" s="30" t="str">
        <x:v>Расхождений не обнаружено.</x:v>
      </x:c>
      <x:c r="V2732" s="87" t="str">
        <x:v>VERIFIED</x:v>
      </x:c>
      <x:c r="W2732" s="87" t="str">
        <x:v>Zadanie_KhI11_10092025.pdf, вариантная стр. 4</x:v>
      </x:c>
      <x:c r="X2732" s="87"/>
      <x:c r="Y2732" s="87"/>
      <x:c r="Z2732" s="87"/>
      <x:c r="AA2732" s="87"/>
      <x:c r="AB2732" s="87"/>
      <x:c r="AC2732" s="87"/>
      <x:c r="AD2732" s="87"/>
      <x:c r="AE2732" s="87"/>
      <x:c r="AF2732" s="87"/>
      <x:c r="AG2732" s="87"/>
      <x:c r="AH2732" s="87"/>
      <x:c r="AI2732" s="30"/>
      <x:c r="AJ2732" s="87" t="str">
        <x:v>master</x:v>
      </x:c>
      <x:c r="AK2732" s="87" t="str">
        <x:v>master-v0.81</x:v>
      </x:c>
      <x:c r="AL2732" s="87" t="str">
        <x:v>statgrad_master_base_v0_81_final(2).xlsx</x:v>
      </x:c>
      <x:c r="AM2732" s="87" t="str">
        <x:v>CHEM_Sep_V1</x:v>
      </x:c>
      <x:c r="AN2732" s="87" t="n">
        <x:v>7</x:v>
      </x:c>
    </x:row>
    <x:row r="2733">
      <x:c r="A2733" s="87" t="n">
        <x:v>2732</x:v>
      </x:c>
      <x:c r="B2733" s="87" t="str">
        <x:v>SEP-CHEM-V1-007</x:v>
      </x:c>
      <x:c r="C2733" s="87" t="str">
        <x:v>СтатГрад</x:v>
      </x:c>
      <x:c r="D2733" s="87" t="str">
        <x:v>Сентябрь 2025</x:v>
      </x:c>
      <x:c r="E2733" s="87"/>
      <x:c r="F2733" s="87"/>
      <x:c r="G2733" s="87" t="str">
        <x:v>Химия</x:v>
      </x:c>
      <x:c r="H2733" s="87" t="n">
        <x:v>11</x:v>
      </x:c>
      <x:c r="I2733" s="87" t="str">
        <x:v>ТР №1</x:v>
      </x:c>
      <x:c r="J2733" s="87" t="str">
        <x:v>ХИ2510101</x:v>
      </x:c>
      <x:c r="K2733" s="87" t="n">
        <x:v>7</x:v>
      </x:c>
      <x:c r="L2733" s="87" t="str">
        <x:v>Неорганические реакции: соответствие</x:v>
      </x:c>
      <x:c r="M2733" s="30" t="str">
        <x:v>Сопоставить SO₂, NaOH, BaCl₂ и H₂ с наборами из трёх реагентов, каждый из которых реагирует с веществом.</x:v>
      </x:c>
      <x:c r="N2733" s="30" t="str">
        <x:v>4153</x:v>
      </x:c>
      <x:c r="O2733" s="30" t="str">
        <x:v>SO₂ реагирует с Ca(OH)₂, KMnO₄, H₂S; NaOH — с Al, FeCl₃, CO₂; BaCl₂ — с H₂SO₄, Na₂CO₃, Pb(NO₃)₂; H₂ — с PbO, Cl₂, N₂.</x:v>
      </x:c>
      <x:c r="P2733" s="30" t="str">
        <x:v>SO₂ реагирует с Ca(OH)₂, KMnO₄, H₂S; NaOH — с Al, FeCl₃, CO₂; BaCl₂ — с H₂SO₄, Na₂CO₃, Pb(NO₃)₂; H₂ — с PbO, Cl₂, N₂.</x:v>
      </x:c>
      <x:c r="Q2733" s="30"/>
      <x:c r="R2733" s="30" t="str">
        <x:v>Официальная таблица ответов в PDF критериев + независимое решение</x:v>
      </x:c>
      <x:c r="S2733" s="30"/>
      <x:c r="T2733" s="30"/>
      <x:c r="U2733" s="30" t="str">
        <x:v>Расхождений не обнаружено.</x:v>
      </x:c>
      <x:c r="V2733" s="87" t="str">
        <x:v>VERIFIED</x:v>
      </x:c>
      <x:c r="W2733" s="87" t="str">
        <x:v>Zadanie_KhI11_10092025.pdf, вариантная стр. 4</x:v>
      </x:c>
      <x:c r="X2733" s="87"/>
      <x:c r="Y2733" s="87"/>
      <x:c r="Z2733" s="87"/>
      <x:c r="AA2733" s="87"/>
      <x:c r="AB2733" s="87"/>
      <x:c r="AC2733" s="87"/>
      <x:c r="AD2733" s="87"/>
      <x:c r="AE2733" s="87"/>
      <x:c r="AF2733" s="87"/>
      <x:c r="AG2733" s="87"/>
      <x:c r="AH2733" s="87"/>
      <x:c r="AI2733" s="30"/>
      <x:c r="AJ2733" s="87" t="str">
        <x:v>master</x:v>
      </x:c>
      <x:c r="AK2733" s="87" t="str">
        <x:v>master-v0.81</x:v>
      </x:c>
      <x:c r="AL2733" s="87" t="str">
        <x:v>statgrad_master_base_v0_81_final(2).xlsx</x:v>
      </x:c>
      <x:c r="AM2733" s="87" t="str">
        <x:v>CHEM_Sep_V1</x:v>
      </x:c>
      <x:c r="AN2733" s="87" t="n">
        <x:v>8</x:v>
      </x:c>
    </x:row>
    <x:row r="2734">
      <x:c r="A2734" s="87" t="n">
        <x:v>2733</x:v>
      </x:c>
      <x:c r="B2734" s="87" t="str">
        <x:v>SEP-CHEM-V1-008</x:v>
      </x:c>
      <x:c r="C2734" s="87" t="str">
        <x:v>СтатГрад</x:v>
      </x:c>
      <x:c r="D2734" s="87" t="str">
        <x:v>Сентябрь 2025</x:v>
      </x:c>
      <x:c r="E2734" s="87"/>
      <x:c r="F2734" s="87"/>
      <x:c r="G2734" s="87" t="str">
        <x:v>Химия</x:v>
      </x:c>
      <x:c r="H2734" s="87" t="n">
        <x:v>11</x:v>
      </x:c>
      <x:c r="I2734" s="87" t="str">
        <x:v>ТР №1</x:v>
      </x:c>
      <x:c r="J2734" s="87" t="str">
        <x:v>ХИ2510101</x:v>
      </x:c>
      <x:c r="K2734" s="87" t="n">
        <x:v>8</x:v>
      </x:c>
      <x:c r="L2734" s="87" t="str">
        <x:v>Фосфор и его соединения</x:v>
      </x:c>
      <x:c r="M2734" s="30" t="str">
        <x:v>Сопоставить реакции P₂O₅, P, H₃PO₄ и H₃PO₃ со щёлочью с образующимися фосфатами/фосфином.</x:v>
      </x:c>
      <x:c r="N2734" s="30" t="str">
        <x:v>1423</x:v>
      </x:c>
      <x:c r="O2734" s="30" t="str">
        <x:v>Избыток NaOH с P₂O₅ даёт Na₃PO₄; P диспропорционирует до PH₃ и NaH₂PO₂; избыток H₃PO₄ даёт NaH₂PO₄; H₃PO₃ с избытком щёлочи — Na₂HPO₃.</x:v>
      </x:c>
      <x:c r="P2734" s="30" t="str">
        <x:v>Избыток NaOH с P₂O₅ даёт Na₃PO₄; P диспропорционирует до PH₃ и NaH₂PO₂; избыток H₃PO₄ даёт NaH₂PO₄; H₃PO₃ с избытком щёлочи — Na₂HPO₃.</x:v>
      </x:c>
      <x:c r="Q2734" s="30"/>
      <x:c r="R2734" s="30" t="str">
        <x:v>Официальная таблица ответов в PDF критериев + независимое решение</x:v>
      </x:c>
      <x:c r="S2734" s="30"/>
      <x:c r="T2734" s="30"/>
      <x:c r="U2734" s="30" t="str">
        <x:v>Расхождений не обнаружено.</x:v>
      </x:c>
      <x:c r="V2734" s="87" t="str">
        <x:v>VERIFIED</x:v>
      </x:c>
      <x:c r="W2734" s="87" t="str">
        <x:v>Zadanie_KhI11_10092025.pdf, вариантная стр. 5</x:v>
      </x:c>
      <x:c r="X2734" s="87"/>
      <x:c r="Y2734" s="87"/>
      <x:c r="Z2734" s="87"/>
      <x:c r="AA2734" s="87"/>
      <x:c r="AB2734" s="87"/>
      <x:c r="AC2734" s="87"/>
      <x:c r="AD2734" s="87"/>
      <x:c r="AE2734" s="87"/>
      <x:c r="AF2734" s="87"/>
      <x:c r="AG2734" s="87"/>
      <x:c r="AH2734" s="87"/>
      <x:c r="AI2734" s="30"/>
      <x:c r="AJ2734" s="87" t="str">
        <x:v>master</x:v>
      </x:c>
      <x:c r="AK2734" s="87" t="str">
        <x:v>master-v0.81</x:v>
      </x:c>
      <x:c r="AL2734" s="87" t="str">
        <x:v>statgrad_master_base_v0_81_final(2).xlsx</x:v>
      </x:c>
      <x:c r="AM2734" s="87" t="str">
        <x:v>CHEM_Sep_V1</x:v>
      </x:c>
      <x:c r="AN2734" s="87" t="n">
        <x:v>9</x:v>
      </x:c>
    </x:row>
    <x:row r="2735">
      <x:c r="A2735" s="87" t="n">
        <x:v>2734</x:v>
      </x:c>
      <x:c r="B2735" s="87" t="str">
        <x:v>SEP-CHEM-V1-009</x:v>
      </x:c>
      <x:c r="C2735" s="87" t="str">
        <x:v>СтатГрад</x:v>
      </x:c>
      <x:c r="D2735" s="87" t="str">
        <x:v>Сентябрь 2025</x:v>
      </x:c>
      <x:c r="E2735" s="87"/>
      <x:c r="F2735" s="87"/>
      <x:c r="G2735" s="87" t="str">
        <x:v>Химия</x:v>
      </x:c>
      <x:c r="H2735" s="87" t="n">
        <x:v>11</x:v>
      </x:c>
      <x:c r="I2735" s="87" t="str">
        <x:v>ТР №1</x:v>
      </x:c>
      <x:c r="J2735" s="87" t="str">
        <x:v>ХИ2510101</x:v>
      </x:c>
      <x:c r="K2735" s="87" t="n">
        <x:v>9</x:v>
      </x:c>
      <x:c r="L2735" s="87" t="str">
        <x:v>Цепочка превращений: сера</x:v>
      </x:c>
      <x:c r="M2735" s="30" t="str">
        <x:v>Цепочка KHSO₄ → K₂SO₄ → K₂S: выбрать реагенты X и Y.</x:v>
      </x:c>
      <x:c r="N2735" s="30" t="str">
        <x:v>41</x:v>
      </x:c>
      <x:c r="O2735" s="30" t="str">
        <x:v>KHSO₄ нейтрализуется KOH до K₂SO₄; сульфат восстанавливается водородом до K₂S.</x:v>
      </x:c>
      <x:c r="P2735" s="30" t="str">
        <x:v>KHSO₄ нейтрализуется KOH до K₂SO₄; сульфат восстанавливается водородом до K₂S.</x:v>
      </x:c>
      <x:c r="Q2735" s="30"/>
      <x:c r="R2735" s="30" t="str">
        <x:v>Фото-сводка ответов + независимое решение</x:v>
      </x:c>
      <x:c r="S2735" s="30"/>
      <x:c r="T2735" s="30"/>
      <x:c r="U2735" s="30" t="str">
        <x:v>Расхождений не обнаружено.</x:v>
      </x:c>
      <x:c r="V2735" s="87" t="str">
        <x:v>VERIFIED</x:v>
      </x:c>
      <x:c r="W2735" s="87" t="str">
        <x:v>Zadanie_KhI11_10092025.pdf, вариантная стр. 5</x:v>
      </x:c>
      <x:c r="X2735" s="87"/>
      <x:c r="Y2735" s="87"/>
      <x:c r="Z2735" s="87"/>
      <x:c r="AA2735" s="87"/>
      <x:c r="AB2735" s="87"/>
      <x:c r="AC2735" s="87"/>
      <x:c r="AD2735" s="87"/>
      <x:c r="AE2735" s="87"/>
      <x:c r="AF2735" s="87"/>
      <x:c r="AG2735" s="87"/>
      <x:c r="AH2735" s="87"/>
      <x:c r="AI2735" s="30"/>
      <x:c r="AJ2735" s="87" t="str">
        <x:v>master</x:v>
      </x:c>
      <x:c r="AK2735" s="87" t="str">
        <x:v>master-v0.81</x:v>
      </x:c>
      <x:c r="AL2735" s="87" t="str">
        <x:v>statgrad_master_base_v0_81_final(2).xlsx</x:v>
      </x:c>
      <x:c r="AM2735" s="87" t="str">
        <x:v>CHEM_Sep_V1</x:v>
      </x:c>
      <x:c r="AN2735" s="87" t="n">
        <x:v>10</x:v>
      </x:c>
    </x:row>
    <x:row r="2736">
      <x:c r="A2736" s="87" t="n">
        <x:v>2735</x:v>
      </x:c>
      <x:c r="B2736" s="87" t="str">
        <x:v>SEP-CHEM-V1-010</x:v>
      </x:c>
      <x:c r="C2736" s="87" t="str">
        <x:v>СтатГрад</x:v>
      </x:c>
      <x:c r="D2736" s="87" t="str">
        <x:v>Сентябрь 2025</x:v>
      </x:c>
      <x:c r="E2736" s="87"/>
      <x:c r="F2736" s="87"/>
      <x:c r="G2736" s="87" t="str">
        <x:v>Химия</x:v>
      </x:c>
      <x:c r="H2736" s="87" t="n">
        <x:v>11</x:v>
      </x:c>
      <x:c r="I2736" s="87" t="str">
        <x:v>ТР №1</x:v>
      </x:c>
      <x:c r="J2736" s="87" t="str">
        <x:v>ХИ2510101</x:v>
      </x:c>
      <x:c r="K2736" s="87" t="n">
        <x:v>10</x:v>
      </x:c>
      <x:c r="L2736" s="87" t="str">
        <x:v>Гомологические ряды</x:v>
      </x:c>
      <x:c r="M2736" s="30" t="str">
        <x:v>По трём структурным формулам определить общие формулы гомологических рядов.</x:v>
      </x:c>
      <x:c r="N2736" s="30" t="str">
        <x:v>143</x:v>
      </x:c>
      <x:c r="O2736" s="30" t="str">
        <x:v>A: C₅H₈ = CnH₂n−2; Б: метилацетат C₃H₆O₂ = CnH₂nO₂; В: фенилуксусная кислота C₈H₈O₂ = CnH₂n−8O₂.</x:v>
      </x:c>
      <x:c r="P2736" s="30" t="str">
        <x:v>A: C₅H₈ = CnH₂n−2; Б: метилацетат C₃H₆O₂ = CnH₂nO₂; В: фенилуксусная кислота C₈H₈O₂ = CnH₂n−8O₂.</x:v>
      </x:c>
      <x:c r="Q2736" s="30"/>
      <x:c r="R2736" s="30" t="str">
        <x:v>Фото-сводка ответов + независимое решение</x:v>
      </x:c>
      <x:c r="S2736" s="30"/>
      <x:c r="T2736" s="30"/>
      <x:c r="U2736" s="30" t="str">
        <x:v>Расхождений не обнаружено.</x:v>
      </x:c>
      <x:c r="V2736" s="87" t="str">
        <x:v>VERIFIED</x:v>
      </x:c>
      <x:c r="W2736" s="87" t="str">
        <x:v>Zadanie_KhI11_10092025.pdf, вариантная стр. 6</x:v>
      </x:c>
      <x:c r="X2736" s="87"/>
      <x:c r="Y2736" s="87"/>
      <x:c r="Z2736" s="87"/>
      <x:c r="AA2736" s="87"/>
      <x:c r="AB2736" s="87"/>
      <x:c r="AC2736" s="87"/>
      <x:c r="AD2736" s="87"/>
      <x:c r="AE2736" s="87"/>
      <x:c r="AF2736" s="87"/>
      <x:c r="AG2736" s="87"/>
      <x:c r="AH2736" s="87"/>
      <x:c r="AI2736" s="30"/>
      <x:c r="AJ2736" s="87" t="str">
        <x:v>master</x:v>
      </x:c>
      <x:c r="AK2736" s="87" t="str">
        <x:v>master-v0.81</x:v>
      </x:c>
      <x:c r="AL2736" s="87" t="str">
        <x:v>statgrad_master_base_v0_81_final(2).xlsx</x:v>
      </x:c>
      <x:c r="AM2736" s="87" t="str">
        <x:v>CHEM_Sep_V1</x:v>
      </x:c>
      <x:c r="AN2736" s="87" t="n">
        <x:v>11</x:v>
      </x:c>
    </x:row>
    <x:row r="2737">
      <x:c r="A2737" s="87" t="n">
        <x:v>2736</x:v>
      </x:c>
      <x:c r="B2737" s="87" t="str">
        <x:v>SEP-CHEM-V1-011</x:v>
      </x:c>
      <x:c r="C2737" s="87" t="str">
        <x:v>СтатГрад</x:v>
      </x:c>
      <x:c r="D2737" s="87" t="str">
        <x:v>Сентябрь 2025</x:v>
      </x:c>
      <x:c r="E2737" s="87"/>
      <x:c r="F2737" s="87"/>
      <x:c r="G2737" s="87" t="str">
        <x:v>Химия</x:v>
      </x:c>
      <x:c r="H2737" s="87" t="n">
        <x:v>11</x:v>
      </x:c>
      <x:c r="I2737" s="87" t="str">
        <x:v>ТР №1</x:v>
      </x:c>
      <x:c r="J2737" s="87" t="str">
        <x:v>ХИ2510101</x:v>
      </x:c>
      <x:c r="K2737" s="87" t="n">
        <x:v>11</x:v>
      </x:c>
      <x:c r="L2737" s="87" t="str">
        <x:v>Оптическая изомерия</x:v>
      </x:c>
      <x:c r="M2737" s="30" t="str">
        <x:v>Выбрать вещества с оптической изомерией из пяти предложенных соединений.</x:v>
      </x:c>
      <x:c r="N2737" s="30" t="str">
        <x:v>45</x:v>
      </x:c>
      <x:c r="O2737" s="30" t="str">
        <x:v>Хиральные атомы углерода имеются в пропандиоле-1,2 и 2-хлорпропионовой кислоте.</x:v>
      </x:c>
      <x:c r="P2737" s="30" t="str">
        <x:v>Хиральные атомы углерода имеются в пропандиоле-1,2 и 2-хлорпропионовой кислоте.</x:v>
      </x:c>
      <x:c r="Q2737" s="30"/>
      <x:c r="R2737" s="30" t="str">
        <x:v>Фото-сводка ответов + независимое решение</x:v>
      </x:c>
      <x:c r="S2737" s="30"/>
      <x:c r="T2737" s="30"/>
      <x:c r="U2737" s="30" t="str">
        <x:v>Расхождений не обнаружено.</x:v>
      </x:c>
      <x:c r="V2737" s="87" t="str">
        <x:v>VERIFIED</x:v>
      </x:c>
      <x:c r="W2737" s="87" t="str">
        <x:v>Zadanie_KhI11_10092025.pdf, вариантная стр. 6</x:v>
      </x:c>
      <x:c r="X2737" s="87"/>
      <x:c r="Y2737" s="87"/>
      <x:c r="Z2737" s="87"/>
      <x:c r="AA2737" s="87"/>
      <x:c r="AB2737" s="87"/>
      <x:c r="AC2737" s="87"/>
      <x:c r="AD2737" s="87"/>
      <x:c r="AE2737" s="87"/>
      <x:c r="AF2737" s="87"/>
      <x:c r="AG2737" s="87"/>
      <x:c r="AH2737" s="87"/>
      <x:c r="AI2737" s="30"/>
      <x:c r="AJ2737" s="87" t="str">
        <x:v>master</x:v>
      </x:c>
      <x:c r="AK2737" s="87" t="str">
        <x:v>master-v0.81</x:v>
      </x:c>
      <x:c r="AL2737" s="87" t="str">
        <x:v>statgrad_master_base_v0_81_final(2).xlsx</x:v>
      </x:c>
      <x:c r="AM2737" s="87" t="str">
        <x:v>CHEM_Sep_V1</x:v>
      </x:c>
      <x:c r="AN2737" s="87" t="n">
        <x:v>12</x:v>
      </x:c>
    </x:row>
    <x:row r="2738">
      <x:c r="A2738" s="87" t="n">
        <x:v>2737</x:v>
      </x:c>
      <x:c r="B2738" s="87" t="str">
        <x:v>SEP-CHEM-V1-012</x:v>
      </x:c>
      <x:c r="C2738" s="87" t="str">
        <x:v>СтатГрад</x:v>
      </x:c>
      <x:c r="D2738" s="87" t="str">
        <x:v>Сентябрь 2025</x:v>
      </x:c>
      <x:c r="E2738" s="87"/>
      <x:c r="F2738" s="87"/>
      <x:c r="G2738" s="87" t="str">
        <x:v>Химия</x:v>
      </x:c>
      <x:c r="H2738" s="87" t="n">
        <x:v>11</x:v>
      </x:c>
      <x:c r="I2738" s="87" t="str">
        <x:v>ТР №1</x:v>
      </x:c>
      <x:c r="J2738" s="87" t="str">
        <x:v>ХИ2510101</x:v>
      </x:c>
      <x:c r="K2738" s="87" t="n">
        <x:v>12</x:v>
      </x:c>
      <x:c r="L2738" s="87" t="str">
        <x:v>Свойства углеводородов</x:v>
      </x:c>
      <x:c r="M2738" s="30" t="str">
        <x:v>Выбрать вещества, реагирующие и с этиленом, и с бензолом.</x:v>
      </x:c>
      <x:c r="N2738" s="30" t="str">
        <x:v>13</x:v>
      </x:c>
      <x:c r="O2738" s="30" t="str">
        <x:v>H₂ присоединяется к этилену и гидрирует бензол; Cl₂ присоединяется к этилену и реагирует с бензолом при соответствующем катализаторе/условиях.</x:v>
      </x:c>
      <x:c r="P2738" s="30" t="str">
        <x:v>H₂ присоединяется к этилену и гидрирует бензол; Cl₂ присоединяется к этилену и реагирует с бензолом при соответствующем катализаторе/условиях.</x:v>
      </x:c>
      <x:c r="Q2738" s="30"/>
      <x:c r="R2738" s="30" t="str">
        <x:v>Независимое решение; №12 отсутствует в фото-сводке и таблице критериев</x:v>
      </x:c>
      <x:c r="S2738" s="30"/>
      <x:c r="T2738" s="30"/>
      <x:c r="U2738" s="30" t="str">
        <x:v>Расхождений не обнаружено.</x:v>
      </x:c>
      <x:c r="V2738" s="87" t="str">
        <x:v>VERIFIED</x:v>
      </x:c>
      <x:c r="W2738" s="87" t="str">
        <x:v>Zadanie_KhI11_10092025.pdf, вариантная стр. 6</x:v>
      </x:c>
      <x:c r="X2738" s="87"/>
      <x:c r="Y2738" s="87"/>
      <x:c r="Z2738" s="87"/>
      <x:c r="AA2738" s="87"/>
      <x:c r="AB2738" s="87"/>
      <x:c r="AC2738" s="87"/>
      <x:c r="AD2738" s="87"/>
      <x:c r="AE2738" s="87"/>
      <x:c r="AF2738" s="87"/>
      <x:c r="AG2738" s="87"/>
      <x:c r="AH2738" s="87"/>
      <x:c r="AI2738" s="30"/>
      <x:c r="AJ2738" s="87" t="str">
        <x:v>master</x:v>
      </x:c>
      <x:c r="AK2738" s="87" t="str">
        <x:v>master-v0.81</x:v>
      </x:c>
      <x:c r="AL2738" s="87" t="str">
        <x:v>statgrad_master_base_v0_81_final(2).xlsx</x:v>
      </x:c>
      <x:c r="AM2738" s="87" t="str">
        <x:v>CHEM_Sep_V1</x:v>
      </x:c>
      <x:c r="AN2738" s="87" t="n">
        <x:v>13</x:v>
      </x:c>
    </x:row>
    <x:row r="2739">
      <x:c r="A2739" s="87" t="n">
        <x:v>2738</x:v>
      </x:c>
      <x:c r="B2739" s="87" t="str">
        <x:v>SEP-CHEM-V1-013</x:v>
      </x:c>
      <x:c r="C2739" s="87" t="str">
        <x:v>СтатГрад</x:v>
      </x:c>
      <x:c r="D2739" s="87" t="str">
        <x:v>Сентябрь 2025</x:v>
      </x:c>
      <x:c r="E2739" s="87"/>
      <x:c r="F2739" s="87"/>
      <x:c r="G2739" s="87" t="str">
        <x:v>Химия</x:v>
      </x:c>
      <x:c r="H2739" s="87" t="n">
        <x:v>11</x:v>
      </x:c>
      <x:c r="I2739" s="87" t="str">
        <x:v>ТР №1</x:v>
      </x:c>
      <x:c r="J2739" s="87" t="str">
        <x:v>ХИ2510101</x:v>
      </x:c>
      <x:c r="K2739" s="87" t="n">
        <x:v>13</x:v>
      </x:c>
      <x:c r="L2739" s="87" t="str">
        <x:v>Гидролиз органических веществ</x:v>
      </x:c>
      <x:c r="M2739" s="30" t="str">
        <x:v>Выбрать два вещества, гидролизующиеся в кислой среде.</x:v>
      </x:c>
      <x:c r="N2739" s="30" t="str">
        <x:v>23</x:v>
      </x:c>
      <x:c r="O2739" s="30" t="str">
        <x:v>Сахароза расщепляется на моносахариды; пептидная связь глицилглицина гидролизуется в кислоте.</x:v>
      </x:c>
      <x:c r="P2739" s="30" t="str">
        <x:v>Сахароза расщепляется на моносахариды; пептидная связь глицилглицина гидролизуется в кислоте.</x:v>
      </x:c>
      <x:c r="Q2739" s="30"/>
      <x:c r="R2739" s="30" t="str">
        <x:v>Фото-сводка ответов + независимое решение</x:v>
      </x:c>
      <x:c r="S2739" s="30"/>
      <x:c r="T2739" s="30"/>
      <x:c r="U2739" s="30" t="str">
        <x:v>Расхождений не обнаружено.</x:v>
      </x:c>
      <x:c r="V2739" s="87" t="str">
        <x:v>VERIFIED</x:v>
      </x:c>
      <x:c r="W2739" s="87" t="str">
        <x:v>Zadanie_KhI11_10092025.pdf, вариантная стр. 7</x:v>
      </x:c>
      <x:c r="X2739" s="87"/>
      <x:c r="Y2739" s="87"/>
      <x:c r="Z2739" s="87"/>
      <x:c r="AA2739" s="87"/>
      <x:c r="AB2739" s="87"/>
      <x:c r="AC2739" s="87"/>
      <x:c r="AD2739" s="87"/>
      <x:c r="AE2739" s="87"/>
      <x:c r="AF2739" s="87"/>
      <x:c r="AG2739" s="87"/>
      <x:c r="AH2739" s="87"/>
      <x:c r="AI2739" s="30"/>
      <x:c r="AJ2739" s="87" t="str">
        <x:v>master</x:v>
      </x:c>
      <x:c r="AK2739" s="87" t="str">
        <x:v>master-v0.81</x:v>
      </x:c>
      <x:c r="AL2739" s="87" t="str">
        <x:v>statgrad_master_base_v0_81_final(2).xlsx</x:v>
      </x:c>
      <x:c r="AM2739" s="87" t="str">
        <x:v>CHEM_Sep_V1</x:v>
      </x:c>
      <x:c r="AN2739" s="87" t="n">
        <x:v>14</x:v>
      </x:c>
    </x:row>
    <x:row r="2740">
      <x:c r="A2740" s="87" t="n">
        <x:v>2739</x:v>
      </x:c>
      <x:c r="B2740" s="87" t="str">
        <x:v>SEP-CHEM-V1-014</x:v>
      </x:c>
      <x:c r="C2740" s="87" t="str">
        <x:v>СтатГрад</x:v>
      </x:c>
      <x:c r="D2740" s="87" t="str">
        <x:v>Сентябрь 2025</x:v>
      </x:c>
      <x:c r="E2740" s="87"/>
      <x:c r="F2740" s="87"/>
      <x:c r="G2740" s="87" t="str">
        <x:v>Химия</x:v>
      </x:c>
      <x:c r="H2740" s="87" t="n">
        <x:v>11</x:v>
      </x:c>
      <x:c r="I2740" s="87" t="str">
        <x:v>ТР №1</x:v>
      </x:c>
      <x:c r="J2740" s="87" t="str">
        <x:v>ХИ2510101</x:v>
      </x:c>
      <x:c r="K2740" s="87" t="n">
        <x:v>14</x:v>
      </x:c>
      <x:c r="L2740" s="87" t="str">
        <x:v>Органические реакции: продукты</x:v>
      </x:c>
      <x:c r="M2740" s="30" t="str">
        <x:v>Сопоставить четыре органические реакции с преимущественными продуктами.</x:v>
      </x:c>
      <x:c r="N2740" s="30" t="str">
        <x:v>6124</x:v>
      </x:c>
      <x:c r="O2740" s="30" t="str">
        <x:v>Бензол+пропен даёт кумол; ацетиленид+2CH₃Br — бутин-2; бромирование 2-метилбутана идёт преимущественно по третичному атому; окислительное расщепление 2-метилпропена даёт ацетон.</x:v>
      </x:c>
      <x:c r="P2740" s="30" t="str">
        <x:v>Бензол+пропен даёт кумол; ацетиленид+2CH₃Br — бутин-2; бромирование 2-метилбутана идёт преимущественно по третичному атому; окислительное расщепление 2-метилпропена даёт ацетон.</x:v>
      </x:c>
      <x:c r="Q2740" s="30"/>
      <x:c r="R2740" s="30" t="str">
        <x:v>Официальная таблица ответов в PDF критериев + независимое решение</x:v>
      </x:c>
      <x:c r="S2740" s="30"/>
      <x:c r="T2740" s="30"/>
      <x:c r="U2740" s="30" t="str">
        <x:v>Расхождений не обнаружено.</x:v>
      </x:c>
      <x:c r="V2740" s="87" t="str">
        <x:v>VERIFIED</x:v>
      </x:c>
      <x:c r="W2740" s="87" t="str">
        <x:v>Zadanie_KhI11_10092025.pdf, вариантная стр. 7</x:v>
      </x:c>
      <x:c r="X2740" s="87"/>
      <x:c r="Y2740" s="87"/>
      <x:c r="Z2740" s="87"/>
      <x:c r="AA2740" s="87"/>
      <x:c r="AB2740" s="87"/>
      <x:c r="AC2740" s="87"/>
      <x:c r="AD2740" s="87"/>
      <x:c r="AE2740" s="87"/>
      <x:c r="AF2740" s="87"/>
      <x:c r="AG2740" s="87"/>
      <x:c r="AH2740" s="87"/>
      <x:c r="AI2740" s="30"/>
      <x:c r="AJ2740" s="87" t="str">
        <x:v>master</x:v>
      </x:c>
      <x:c r="AK2740" s="87" t="str">
        <x:v>master-v0.81</x:v>
      </x:c>
      <x:c r="AL2740" s="87" t="str">
        <x:v>statgrad_master_base_v0_81_final(2).xlsx</x:v>
      </x:c>
      <x:c r="AM2740" s="87" t="str">
        <x:v>CHEM_Sep_V1</x:v>
      </x:c>
      <x:c r="AN2740" s="87" t="n">
        <x:v>15</x:v>
      </x:c>
    </x:row>
    <x:row r="2741">
      <x:c r="A2741" s="87" t="n">
        <x:v>2740</x:v>
      </x:c>
      <x:c r="B2741" s="87" t="str">
        <x:v>SEP-CHEM-V1-015</x:v>
      </x:c>
      <x:c r="C2741" s="87" t="str">
        <x:v>СтатГрад</x:v>
      </x:c>
      <x:c r="D2741" s="87" t="str">
        <x:v>Сентябрь 2025</x:v>
      </x:c>
      <x:c r="E2741" s="87"/>
      <x:c r="F2741" s="87"/>
      <x:c r="G2741" s="87" t="str">
        <x:v>Химия</x:v>
      </x:c>
      <x:c r="H2741" s="87" t="n">
        <x:v>11</x:v>
      </x:c>
      <x:c r="I2741" s="87" t="str">
        <x:v>ТР №1</x:v>
      </x:c>
      <x:c r="J2741" s="87" t="str">
        <x:v>ХИ2510101</x:v>
      </x:c>
      <x:c r="K2741" s="87" t="n">
        <x:v>15</x:v>
      </x:c>
      <x:c r="L2741" s="87" t="str">
        <x:v>Органические реакции: реагенты</x:v>
      </x:c>
      <x:c r="M2741" s="30" t="str">
        <x:v>По четырём схемам органических реакций определить реагент X.</x:v>
      </x:c>
      <x:c r="N2741" s="30" t="str">
        <x:v>3516</x:v>
      </x:c>
      <x:c r="O2741" s="30" t="str">
        <x:v>Кетон превращает PCl₅; декарбоксилирование соли идёт с NaOH; кислотный гидролиз нитрила требует H₂O; синтез Вильямсона — CH₃Br.</x:v>
      </x:c>
      <x:c r="P2741" s="30" t="str">
        <x:v>Кетон превращает PCl₅; декарбоксилирование соли идёт с NaOH; кислотный гидролиз нитрила требует H₂O; синтез Вильямсона — CH₃Br.</x:v>
      </x:c>
      <x:c r="Q2741" s="30"/>
      <x:c r="R2741" s="30" t="str">
        <x:v>Официальная таблица ответов в PDF критериев + независимое решение</x:v>
      </x:c>
      <x:c r="S2741" s="30"/>
      <x:c r="T2741" s="30"/>
      <x:c r="U2741" s="30" t="str">
        <x:v>Расхождений не обнаружено.</x:v>
      </x:c>
      <x:c r="V2741" s="87" t="str">
        <x:v>VERIFIED</x:v>
      </x:c>
      <x:c r="W2741" s="87" t="str">
        <x:v>Zadanie_KhI11_10092025.pdf, вариантная стр. 8</x:v>
      </x:c>
      <x:c r="X2741" s="87"/>
      <x:c r="Y2741" s="87"/>
      <x:c r="Z2741" s="87"/>
      <x:c r="AA2741" s="87"/>
      <x:c r="AB2741" s="87"/>
      <x:c r="AC2741" s="87"/>
      <x:c r="AD2741" s="87"/>
      <x:c r="AE2741" s="87"/>
      <x:c r="AF2741" s="87"/>
      <x:c r="AG2741" s="87"/>
      <x:c r="AH2741" s="87"/>
      <x:c r="AI2741" s="30"/>
      <x:c r="AJ2741" s="87" t="str">
        <x:v>master</x:v>
      </x:c>
      <x:c r="AK2741" s="87" t="str">
        <x:v>master-v0.81</x:v>
      </x:c>
      <x:c r="AL2741" s="87" t="str">
        <x:v>statgrad_master_base_v0_81_final(2).xlsx</x:v>
      </x:c>
      <x:c r="AM2741" s="87" t="str">
        <x:v>CHEM_Sep_V1</x:v>
      </x:c>
      <x:c r="AN2741" s="87" t="n">
        <x:v>16</x:v>
      </x:c>
    </x:row>
    <x:row r="2742">
      <x:c r="A2742" s="87" t="n">
        <x:v>2741</x:v>
      </x:c>
      <x:c r="B2742" s="87" t="str">
        <x:v>SEP-CHEM-V1-016</x:v>
      </x:c>
      <x:c r="C2742" s="87" t="str">
        <x:v>СтатГрад</x:v>
      </x:c>
      <x:c r="D2742" s="87" t="str">
        <x:v>Сентябрь 2025</x:v>
      </x:c>
      <x:c r="E2742" s="87"/>
      <x:c r="F2742" s="87"/>
      <x:c r="G2742" s="87" t="str">
        <x:v>Химия</x:v>
      </x:c>
      <x:c r="H2742" s="87" t="n">
        <x:v>11</x:v>
      </x:c>
      <x:c r="I2742" s="87" t="str">
        <x:v>ТР №1</x:v>
      </x:c>
      <x:c r="J2742" s="87" t="str">
        <x:v>ХИ2510101</x:v>
      </x:c>
      <x:c r="K2742" s="87" t="n">
        <x:v>16</x:v>
      </x:c>
      <x:c r="L2742" s="87" t="str">
        <x:v>Цепочка превращений: органика</x:v>
      </x:c>
      <x:c r="M2742" s="30" t="str">
        <x:v>Цепочка циклопропан → X → HO(CH₂)₃OH → Y: определить X и Y.</x:v>
      </x:c>
      <x:c r="N2742" s="30" t="str">
        <x:v>35</x:v>
      </x:c>
      <x:c r="O2742" s="30" t="str">
        <x:v>Циклопропан раскрывает цикл с Br₂ до 1,3-дибромпропана; гидролиз даёт диол, окисление — пропандиовую кислоту.</x:v>
      </x:c>
      <x:c r="P2742" s="30" t="str">
        <x:v>Циклопропан раскрывает цикл с Br₂ до 1,3-дибромпропана; гидролиз даёт диол, окисление — пропандиовую кислоту.</x:v>
      </x:c>
      <x:c r="Q2742" s="30"/>
      <x:c r="R2742" s="30" t="str">
        <x:v>Фото-сводка ответов + независимое решение</x:v>
      </x:c>
      <x:c r="S2742" s="30"/>
      <x:c r="T2742" s="30"/>
      <x:c r="U2742" s="30" t="str">
        <x:v>Расхождений не обнаружено.</x:v>
      </x:c>
      <x:c r="V2742" s="87" t="str">
        <x:v>VERIFIED</x:v>
      </x:c>
      <x:c r="W2742" s="87" t="str">
        <x:v>Zadanie_KhI11_10092025.pdf, вариантная стр. 8</x:v>
      </x:c>
      <x:c r="X2742" s="87"/>
      <x:c r="Y2742" s="87"/>
      <x:c r="Z2742" s="87"/>
      <x:c r="AA2742" s="87"/>
      <x:c r="AB2742" s="87"/>
      <x:c r="AC2742" s="87"/>
      <x:c r="AD2742" s="87"/>
      <x:c r="AE2742" s="87"/>
      <x:c r="AF2742" s="87"/>
      <x:c r="AG2742" s="87"/>
      <x:c r="AH2742" s="87"/>
      <x:c r="AI2742" s="30"/>
      <x:c r="AJ2742" s="87" t="str">
        <x:v>master</x:v>
      </x:c>
      <x:c r="AK2742" s="87" t="str">
        <x:v>master-v0.81</x:v>
      </x:c>
      <x:c r="AL2742" s="87" t="str">
        <x:v>statgrad_master_base_v0_81_final(2).xlsx</x:v>
      </x:c>
      <x:c r="AM2742" s="87" t="str">
        <x:v>CHEM_Sep_V1</x:v>
      </x:c>
      <x:c r="AN2742" s="87" t="n">
        <x:v>17</x:v>
      </x:c>
    </x:row>
    <x:row r="2743">
      <x:c r="A2743" s="87" t="n">
        <x:v>2742</x:v>
      </x:c>
      <x:c r="B2743" s="87" t="str">
        <x:v>SEP-CHEM-V1-017</x:v>
      </x:c>
      <x:c r="C2743" s="87" t="str">
        <x:v>СтатГрад</x:v>
      </x:c>
      <x:c r="D2743" s="87" t="str">
        <x:v>Сентябрь 2025</x:v>
      </x:c>
      <x:c r="E2743" s="87"/>
      <x:c r="F2743" s="87"/>
      <x:c r="G2743" s="87" t="str">
        <x:v>Химия</x:v>
      </x:c>
      <x:c r="H2743" s="87" t="n">
        <x:v>11</x:v>
      </x:c>
      <x:c r="I2743" s="87" t="str">
        <x:v>ТР №1</x:v>
      </x:c>
      <x:c r="J2743" s="87" t="str">
        <x:v>ХИ2510101</x:v>
      </x:c>
      <x:c r="K2743" s="87" t="n">
        <x:v>17</x:v>
      </x:c>
      <x:c r="L2743" s="87" t="str">
        <x:v>Классификация реакций</x:v>
      </x:c>
      <x:c r="M2743" s="30" t="str">
        <x:v>Сопоставить реакции P+Cl₂, гидрирование бензола и Cu+AgNO₃ с типами реакций.</x:v>
      </x:c>
      <x:c r="N2743" s="30" t="str">
        <x:v>312</x:v>
      </x:c>
      <x:c r="O2743" s="30" t="str">
        <x:v>P+Cl₂ — соединение и экзотермическая реакция; гидрирование бензола — соединение и каталитическая; Cu+AgNO₃ — замещение, гетерогенная.</x:v>
      </x:c>
      <x:c r="P2743" s="30" t="str">
        <x:v>P+Cl₂ — соединение и экзотермическая реакция; гидрирование бензола — соединение и каталитическая; Cu+AgNO₃ — замещение, гетерогенная.</x:v>
      </x:c>
      <x:c r="Q2743" s="30"/>
      <x:c r="R2743" s="30" t="str">
        <x:v>Фото-сводка ответов + независимое решение</x:v>
      </x:c>
      <x:c r="S2743" s="30"/>
      <x:c r="T2743" s="30"/>
      <x:c r="U2743" s="30" t="str">
        <x:v>Расхождений не обнаружено.</x:v>
      </x:c>
      <x:c r="V2743" s="87" t="str">
        <x:v>VERIFIED</x:v>
      </x:c>
      <x:c r="W2743" s="87" t="str">
        <x:v>Zadanie_KhI11_10092025.pdf, вариантная стр. 9</x:v>
      </x:c>
      <x:c r="X2743" s="87"/>
      <x:c r="Y2743" s="87"/>
      <x:c r="Z2743" s="87"/>
      <x:c r="AA2743" s="87"/>
      <x:c r="AB2743" s="87"/>
      <x:c r="AC2743" s="87"/>
      <x:c r="AD2743" s="87"/>
      <x:c r="AE2743" s="87"/>
      <x:c r="AF2743" s="87"/>
      <x:c r="AG2743" s="87"/>
      <x:c r="AH2743" s="87"/>
      <x:c r="AI2743" s="30"/>
      <x:c r="AJ2743" s="87" t="str">
        <x:v>master</x:v>
      </x:c>
      <x:c r="AK2743" s="87" t="str">
        <x:v>master-v0.81</x:v>
      </x:c>
      <x:c r="AL2743" s="87" t="str">
        <x:v>statgrad_master_base_v0_81_final(2).xlsx</x:v>
      </x:c>
      <x:c r="AM2743" s="87" t="str">
        <x:v>CHEM_Sep_V1</x:v>
      </x:c>
      <x:c r="AN2743" s="87" t="n">
        <x:v>18</x:v>
      </x:c>
    </x:row>
    <x:row r="2744">
      <x:c r="A2744" s="87" t="n">
        <x:v>2743</x:v>
      </x:c>
      <x:c r="B2744" s="87" t="str">
        <x:v>SEP-CHEM-V1-018</x:v>
      </x:c>
      <x:c r="C2744" s="87" t="str">
        <x:v>СтатГрад</x:v>
      </x:c>
      <x:c r="D2744" s="87" t="str">
        <x:v>Сентябрь 2025</x:v>
      </x:c>
      <x:c r="E2744" s="87"/>
      <x:c r="F2744" s="87"/>
      <x:c r="G2744" s="87" t="str">
        <x:v>Химия</x:v>
      </x:c>
      <x:c r="H2744" s="87" t="n">
        <x:v>11</x:v>
      </x:c>
      <x:c r="I2744" s="87" t="str">
        <x:v>ТР №1</x:v>
      </x:c>
      <x:c r="J2744" s="87" t="str">
        <x:v>ХИ2510101</x:v>
      </x:c>
      <x:c r="K2744" s="87" t="n">
        <x:v>18</x:v>
      </x:c>
      <x:c r="L2744" s="87" t="str">
        <x:v>Скорость реакции и pH</x:v>
      </x:c>
      <x:c r="M2744" s="30" t="str">
        <x:v>Выбрать реакции, скорость которых уменьшается при увеличении pH.</x:v>
      </x:c>
      <x:c r="N2744" s="30" t="str">
        <x:v>235</x:v>
      </x:c>
      <x:c r="O2744" s="30" t="str">
        <x:v>Повышение pH уменьшает [H⁺], поэтому замедляются реакции Zn, NaH и CaCO₃ с кислотами.</x:v>
      </x:c>
      <x:c r="P2744" s="30" t="str">
        <x:v>Повышение pH уменьшает [H⁺], поэтому замедляются реакции Zn, NaH и CaCO₃ с кислотами.</x:v>
      </x:c>
      <x:c r="Q2744" s="30"/>
      <x:c r="R2744" s="30" t="str">
        <x:v>Фото-сводка ответов + независимое решение</x:v>
      </x:c>
      <x:c r="S2744" s="30"/>
      <x:c r="T2744" s="30"/>
      <x:c r="U2744" s="30" t="str">
        <x:v>Расхождений не обнаружено.</x:v>
      </x:c>
      <x:c r="V2744" s="87" t="str">
        <x:v>VERIFIED</x:v>
      </x:c>
      <x:c r="W2744" s="87" t="str">
        <x:v>Zadanie_KhI11_10092025.pdf, вариантная стр. 9</x:v>
      </x:c>
      <x:c r="X2744" s="87"/>
      <x:c r="Y2744" s="87"/>
      <x:c r="Z2744" s="87"/>
      <x:c r="AA2744" s="87"/>
      <x:c r="AB2744" s="87"/>
      <x:c r="AC2744" s="87"/>
      <x:c r="AD2744" s="87"/>
      <x:c r="AE2744" s="87"/>
      <x:c r="AF2744" s="87"/>
      <x:c r="AG2744" s="87"/>
      <x:c r="AH2744" s="87"/>
      <x:c r="AI2744" s="30"/>
      <x:c r="AJ2744" s="87" t="str">
        <x:v>master</x:v>
      </x:c>
      <x:c r="AK2744" s="87" t="str">
        <x:v>master-v0.81</x:v>
      </x:c>
      <x:c r="AL2744" s="87" t="str">
        <x:v>statgrad_master_base_v0_81_final(2).xlsx</x:v>
      </x:c>
      <x:c r="AM2744" s="87" t="str">
        <x:v>CHEM_Sep_V1</x:v>
      </x:c>
      <x:c r="AN2744" s="87" t="n">
        <x:v>19</x:v>
      </x:c>
    </x:row>
    <x:row r="2745">
      <x:c r="A2745" s="87" t="n">
        <x:v>2744</x:v>
      </x:c>
      <x:c r="B2745" s="87" t="str">
        <x:v>SEP-CHEM-V1-019</x:v>
      </x:c>
      <x:c r="C2745" s="87" t="str">
        <x:v>СтатГрад</x:v>
      </x:c>
      <x:c r="D2745" s="87" t="str">
        <x:v>Сентябрь 2025</x:v>
      </x:c>
      <x:c r="E2745" s="87"/>
      <x:c r="F2745" s="87"/>
      <x:c r="G2745" s="87" t="str">
        <x:v>Химия</x:v>
      </x:c>
      <x:c r="H2745" s="87" t="n">
        <x:v>11</x:v>
      </x:c>
      <x:c r="I2745" s="87" t="str">
        <x:v>ТР №1</x:v>
      </x:c>
      <x:c r="J2745" s="87" t="str">
        <x:v>ХИ2510101</x:v>
      </x:c>
      <x:c r="K2745" s="87" t="n">
        <x:v>19</x:v>
      </x:c>
      <x:c r="L2745" s="87" t="str">
        <x:v>Электронный баланс</x:v>
      </x:c>
      <x:c r="M2745" s="30" t="str">
        <x:v>Для трёх ОВР определить число электронов, отданных атомом восстановителя.</x:v>
      </x:c>
      <x:c r="N2745" s="30" t="str">
        <x:v>213</x:v>
      </x:c>
      <x:c r="O2745" s="30" t="str">
        <x:v>Mn(+4)→Mn(+6): 2e; Cu(+1)→Cu(+2): 1e; C(0)→C(+4): 4e.</x:v>
      </x:c>
      <x:c r="P2745" s="30" t="str">
        <x:v>Mn(+4)→Mn(+6): 2e; Cu(+1)→Cu(+2): 1e; C(0)→C(+4): 4e.</x:v>
      </x:c>
      <x:c r="Q2745" s="30"/>
      <x:c r="R2745" s="30" t="str">
        <x:v>Фото-сводка ответов + независимое решение</x:v>
      </x:c>
      <x:c r="S2745" s="30"/>
      <x:c r="T2745" s="30"/>
      <x:c r="U2745" s="30" t="str">
        <x:v>Расхождений не обнаружено.</x:v>
      </x:c>
      <x:c r="V2745" s="87" t="str">
        <x:v>VERIFIED</x:v>
      </x:c>
      <x:c r="W2745" s="87" t="str">
        <x:v>Zadanie_KhI11_10092025.pdf, вариантная стр. 10</x:v>
      </x:c>
      <x:c r="X2745" s="87"/>
      <x:c r="Y2745" s="87"/>
      <x:c r="Z2745" s="87"/>
      <x:c r="AA2745" s="87"/>
      <x:c r="AB2745" s="87"/>
      <x:c r="AC2745" s="87"/>
      <x:c r="AD2745" s="87"/>
      <x:c r="AE2745" s="87"/>
      <x:c r="AF2745" s="87"/>
      <x:c r="AG2745" s="87"/>
      <x:c r="AH2745" s="87"/>
      <x:c r="AI2745" s="30"/>
      <x:c r="AJ2745" s="87" t="str">
        <x:v>master</x:v>
      </x:c>
      <x:c r="AK2745" s="87" t="str">
        <x:v>master-v0.81</x:v>
      </x:c>
      <x:c r="AL2745" s="87" t="str">
        <x:v>statgrad_master_base_v0_81_final(2).xlsx</x:v>
      </x:c>
      <x:c r="AM2745" s="87" t="str">
        <x:v>CHEM_Sep_V1</x:v>
      </x:c>
      <x:c r="AN2745" s="87" t="n">
        <x:v>20</x:v>
      </x:c>
    </x:row>
    <x:row r="2746">
      <x:c r="A2746" s="87" t="n">
        <x:v>2745</x:v>
      </x:c>
      <x:c r="B2746" s="87" t="str">
        <x:v>SEP-CHEM-V1-020</x:v>
      </x:c>
      <x:c r="C2746" s="87" t="str">
        <x:v>СтатГрад</x:v>
      </x:c>
      <x:c r="D2746" s="87" t="str">
        <x:v>Сентябрь 2025</x:v>
      </x:c>
      <x:c r="E2746" s="87"/>
      <x:c r="F2746" s="87"/>
      <x:c r="G2746" s="87" t="str">
        <x:v>Химия</x:v>
      </x:c>
      <x:c r="H2746" s="87" t="n">
        <x:v>11</x:v>
      </x:c>
      <x:c r="I2746" s="87" t="str">
        <x:v>ТР №1</x:v>
      </x:c>
      <x:c r="J2746" s="87" t="str">
        <x:v>ХИ2510101</x:v>
      </x:c>
      <x:c r="K2746" s="87" t="n">
        <x:v>20</x:v>
      </x:c>
      <x:c r="L2746" s="87" t="str">
        <x:v>Электролиз</x:v>
      </x:c>
      <x:c r="M2746" s="30" t="str">
        <x:v>Сопоставить AgNO₃, CaCl₂ и CH₃COONa с продуктами на инертном аноде.</x:v>
      </x:c>
      <x:c r="N2746" s="30" t="str">
        <x:v>124</x:v>
      </x:c>
      <x:c r="O2746" s="30" t="str">
        <x:v>NO₃⁻ даёт O₂ из воды; Cl⁻ окисляется до Cl₂; ацетат подвергается электролизу Кольбе с CO₂ и углеводородом.</x:v>
      </x:c>
      <x:c r="P2746" s="30" t="str">
        <x:v>NO₃⁻ даёт O₂ из воды; Cl⁻ окисляется до Cl₂; ацетат подвергается электролизу Кольбе с CO₂ и углеводородом.</x:v>
      </x:c>
      <x:c r="Q2746" s="30"/>
      <x:c r="R2746" s="30" t="str">
        <x:v>Фото-сводка ответов + независимое решение</x:v>
      </x:c>
      <x:c r="S2746" s="30"/>
      <x:c r="T2746" s="30"/>
      <x:c r="U2746" s="30" t="str">
        <x:v>Расхождений не обнаружено.</x:v>
      </x:c>
      <x:c r="V2746" s="87" t="str">
        <x:v>VERIFIED</x:v>
      </x:c>
      <x:c r="W2746" s="87" t="str">
        <x:v>Zadanie_KhI11_10092025.pdf, вариантная стр. 10</x:v>
      </x:c>
      <x:c r="X2746" s="87"/>
      <x:c r="Y2746" s="87"/>
      <x:c r="Z2746" s="87"/>
      <x:c r="AA2746" s="87"/>
      <x:c r="AB2746" s="87"/>
      <x:c r="AC2746" s="87"/>
      <x:c r="AD2746" s="87"/>
      <x:c r="AE2746" s="87"/>
      <x:c r="AF2746" s="87"/>
      <x:c r="AG2746" s="87"/>
      <x:c r="AH2746" s="87"/>
      <x:c r="AI2746" s="30"/>
      <x:c r="AJ2746" s="87" t="str">
        <x:v>master</x:v>
      </x:c>
      <x:c r="AK2746" s="87" t="str">
        <x:v>master-v0.81</x:v>
      </x:c>
      <x:c r="AL2746" s="87" t="str">
        <x:v>statgrad_master_base_v0_81_final(2).xlsx</x:v>
      </x:c>
      <x:c r="AM2746" s="87" t="str">
        <x:v>CHEM_Sep_V1</x:v>
      </x:c>
      <x:c r="AN2746" s="87" t="n">
        <x:v>21</x:v>
      </x:c>
    </x:row>
    <x:row r="2747">
      <x:c r="A2747" s="87" t="n">
        <x:v>2746</x:v>
      </x:c>
      <x:c r="B2747" s="87" t="str">
        <x:v>SEP-CHEM-V1-021</x:v>
      </x:c>
      <x:c r="C2747" s="87" t="str">
        <x:v>СтатГрад</x:v>
      </x:c>
      <x:c r="D2747" s="87" t="str">
        <x:v>Сентябрь 2025</x:v>
      </x:c>
      <x:c r="E2747" s="87"/>
      <x:c r="F2747" s="87"/>
      <x:c r="G2747" s="87" t="str">
        <x:v>Химия</x:v>
      </x:c>
      <x:c r="H2747" s="87" t="n">
        <x:v>11</x:v>
      </x:c>
      <x:c r="I2747" s="87" t="str">
        <x:v>ТР №1</x:v>
      </x:c>
      <x:c r="J2747" s="87" t="str">
        <x:v>ХИ2510101</x:v>
      </x:c>
      <x:c r="K2747" s="87" t="n">
        <x:v>21</x:v>
      </x:c>
      <x:c r="L2747" s="87" t="str">
        <x:v>pH растворов</x:v>
      </x:c>
      <x:c r="M2747" s="30" t="str">
        <x:v>Расположить растворы NH₃, NH₄NO₃, Ca(NO₃)₂ и HIO₃ по возрастанию pH при одинаковой концентрации.</x:v>
      </x:c>
      <x:c r="N2747" s="30" t="str">
        <x:v>4231</x:v>
      </x:c>
      <x:c r="O2747" s="30" t="str">
        <x:v>HIO₃ — кислота; NH₄NO₃ — кислая соль; Ca(NO₃)₂ практически нейтрален; NH₃ образует щелочную среду.</x:v>
      </x:c>
      <x:c r="P2747" s="30" t="str">
        <x:v>HIO₃ — кислота; NH₄NO₃ — кислая соль; Ca(NO₃)₂ практически нейтрален; NH₃ образует щелочную среду.</x:v>
      </x:c>
      <x:c r="Q2747" s="30"/>
      <x:c r="R2747" s="30" t="str">
        <x:v>Фото-сводка ответов + независимое решение</x:v>
      </x:c>
      <x:c r="S2747" s="30"/>
      <x:c r="T2747" s="30"/>
      <x:c r="U2747" s="30" t="str">
        <x:v>Расхождений не обнаружено.</x:v>
      </x:c>
      <x:c r="V2747" s="87" t="str">
        <x:v>VERIFIED</x:v>
      </x:c>
      <x:c r="W2747" s="87" t="str">
        <x:v>Zadanie_KhI11_10092025.pdf, вариантная стр. 11</x:v>
      </x:c>
      <x:c r="X2747" s="87"/>
      <x:c r="Y2747" s="87"/>
      <x:c r="Z2747" s="87"/>
      <x:c r="AA2747" s="87"/>
      <x:c r="AB2747" s="87"/>
      <x:c r="AC2747" s="87"/>
      <x:c r="AD2747" s="87"/>
      <x:c r="AE2747" s="87"/>
      <x:c r="AF2747" s="87"/>
      <x:c r="AG2747" s="87"/>
      <x:c r="AH2747" s="87"/>
      <x:c r="AI2747" s="30"/>
      <x:c r="AJ2747" s="87" t="str">
        <x:v>master</x:v>
      </x:c>
      <x:c r="AK2747" s="87" t="str">
        <x:v>master-v0.81</x:v>
      </x:c>
      <x:c r="AL2747" s="87" t="str">
        <x:v>statgrad_master_base_v0_81_final(2).xlsx</x:v>
      </x:c>
      <x:c r="AM2747" s="87" t="str">
        <x:v>CHEM_Sep_V1</x:v>
      </x:c>
      <x:c r="AN2747" s="87" t="n">
        <x:v>22</x:v>
      </x:c>
    </x:row>
    <x:row r="2748">
      <x:c r="A2748" s="87" t="n">
        <x:v>2747</x:v>
      </x:c>
      <x:c r="B2748" s="87" t="str">
        <x:v>SEP-CHEM-V1-022</x:v>
      </x:c>
      <x:c r="C2748" s="87" t="str">
        <x:v>СтатГрад</x:v>
      </x:c>
      <x:c r="D2748" s="87" t="str">
        <x:v>Сентябрь 2025</x:v>
      </x:c>
      <x:c r="E2748" s="87"/>
      <x:c r="F2748" s="87"/>
      <x:c r="G2748" s="87" t="str">
        <x:v>Химия</x:v>
      </x:c>
      <x:c r="H2748" s="87" t="n">
        <x:v>11</x:v>
      </x:c>
      <x:c r="I2748" s="87" t="str">
        <x:v>ТР №1</x:v>
      </x:c>
      <x:c r="J2748" s="87" t="str">
        <x:v>ХИ2510101</x:v>
      </x:c>
      <x:c r="K2748" s="87" t="n">
        <x:v>22</x:v>
      </x:c>
      <x:c r="L2748" s="87" t="str">
        <x:v>Химическое равновесие</x:v>
      </x:c>
      <x:c r="M2748" s="30" t="str">
        <x:v>Для равновесия растворения AgCl сопоставить нагревание, давление, добавление AgCl и AgNO₃ с направлением смещения.</x:v>
      </x:c>
      <x:c r="N2748" s="30" t="str">
        <x:v>1332</x:v>
      </x:c>
      <x:c r="O2748" s="30" t="str">
        <x:v>Растворение AgCl эндотермично: нагревание сдвигает вправо; давление и количество твёрдой фазы не влияют; Ag⁺ вызывает общий ион и сдвиг влево.</x:v>
      </x:c>
      <x:c r="P2748" s="30" t="str">
        <x:v>Растворение AgCl эндотермично: нагревание сдвигает вправо; давление и количество твёрдой фазы не влияют; Ag⁺ вызывает общий ион и сдвиг влево.</x:v>
      </x:c>
      <x:c r="Q2748" s="30"/>
      <x:c r="R2748" s="30" t="str">
        <x:v>Официальная таблица ответов в PDF критериев + независимое решение</x:v>
      </x:c>
      <x:c r="S2748" s="30"/>
      <x:c r="T2748" s="30"/>
      <x:c r="U2748" s="30" t="str">
        <x:v>Расхождений не обнаружено.</x:v>
      </x:c>
      <x:c r="V2748" s="87" t="str">
        <x:v>VERIFIED</x:v>
      </x:c>
      <x:c r="W2748" s="87" t="str">
        <x:v>Zadanie_KhI11_10092025.pdf, вариантная стр. 12</x:v>
      </x:c>
      <x:c r="X2748" s="87"/>
      <x:c r="Y2748" s="87"/>
      <x:c r="Z2748" s="87"/>
      <x:c r="AA2748" s="87"/>
      <x:c r="AB2748" s="87"/>
      <x:c r="AC2748" s="87"/>
      <x:c r="AD2748" s="87"/>
      <x:c r="AE2748" s="87"/>
      <x:c r="AF2748" s="87"/>
      <x:c r="AG2748" s="87"/>
      <x:c r="AH2748" s="87"/>
      <x:c r="AI2748" s="30"/>
      <x:c r="AJ2748" s="87" t="str">
        <x:v>master</x:v>
      </x:c>
      <x:c r="AK2748" s="87" t="str">
        <x:v>master-v0.81</x:v>
      </x:c>
      <x:c r="AL2748" s="87" t="str">
        <x:v>statgrad_master_base_v0_81_final(2).xlsx</x:v>
      </x:c>
      <x:c r="AM2748" s="87" t="str">
        <x:v>CHEM_Sep_V1</x:v>
      </x:c>
      <x:c r="AN2748" s="87" t="n">
        <x:v>23</x:v>
      </x:c>
    </x:row>
    <x:row r="2749">
      <x:c r="A2749" s="87" t="n">
        <x:v>2748</x:v>
      </x:c>
      <x:c r="B2749" s="87" t="str">
        <x:v>SEP-CHEM-V1-023</x:v>
      </x:c>
      <x:c r="C2749" s="87" t="str">
        <x:v>СтатГрад</x:v>
      </x:c>
      <x:c r="D2749" s="87" t="str">
        <x:v>Сентябрь 2025</x:v>
      </x:c>
      <x:c r="E2749" s="87"/>
      <x:c r="F2749" s="87"/>
      <x:c r="G2749" s="87" t="str">
        <x:v>Химия</x:v>
      </x:c>
      <x:c r="H2749" s="87" t="n">
        <x:v>11</x:v>
      </x:c>
      <x:c r="I2749" s="87" t="str">
        <x:v>ТР №1</x:v>
      </x:c>
      <x:c r="J2749" s="87" t="str">
        <x:v>ХИ2510101</x:v>
      </x:c>
      <x:c r="K2749" s="87" t="n">
        <x:v>23</x:v>
      </x:c>
      <x:c r="L2749" s="87" t="str">
        <x:v>Равновесные концентрации</x:v>
      </x:c>
      <x:c r="M2749" s="30" t="str">
        <x:v>Циклогексан 25 ммоль/л частично дегидрируется; равновесный бензол 10 ммоль/л. Найти равновесные концентрации циклогексана X и H₂ Y.</x:v>
      </x:c>
      <x:c r="N2749" s="30" t="str">
        <x:v>X=2; Y=5</x:v>
      </x:c>
      <x:c r="O2749" s="30" t="str">
        <x:v>Образование 10 ммоль/л бензола означает расход 10 циклогексана: X=15 ммоль/л; H₂ образуется 30 ммоль/л.</x:v>
      </x:c>
      <x:c r="P2749" s="30" t="str">
        <x:v>Образование 10 ммоль/л бензола означает расход 10 циклогексана: X=15 ммоль/л; H₂ образуется 30 ммоль/л.</x:v>
      </x:c>
      <x:c r="Q2749" s="30"/>
      <x:c r="R2749" s="30" t="str">
        <x:v>Фото-сводка ответов + независимое решение</x:v>
      </x:c>
      <x:c r="S2749" s="30"/>
      <x:c r="T2749" s="30"/>
      <x:c r="U2749" s="30" t="str">
        <x:v>Расхождений не обнаружено.</x:v>
      </x:c>
      <x:c r="V2749" s="87" t="str">
        <x:v>VERIFIED</x:v>
      </x:c>
      <x:c r="W2749" s="87" t="str">
        <x:v>Zadanie_KhI11_10092025.pdf, вариантная стр. 13</x:v>
      </x:c>
      <x:c r="X2749" s="87"/>
      <x:c r="Y2749" s="87"/>
      <x:c r="Z2749" s="87"/>
      <x:c r="AA2749" s="87"/>
      <x:c r="AB2749" s="87"/>
      <x:c r="AC2749" s="87"/>
      <x:c r="AD2749" s="87"/>
      <x:c r="AE2749" s="87"/>
      <x:c r="AF2749" s="87"/>
      <x:c r="AG2749" s="87"/>
      <x:c r="AH2749" s="87"/>
      <x:c r="AI2749" s="30"/>
      <x:c r="AJ2749" s="87" t="str">
        <x:v>master</x:v>
      </x:c>
      <x:c r="AK2749" s="87" t="str">
        <x:v>master-v0.81</x:v>
      </x:c>
      <x:c r="AL2749" s="87" t="str">
        <x:v>statgrad_master_base_v0_81_final(2).xlsx</x:v>
      </x:c>
      <x:c r="AM2749" s="87" t="str">
        <x:v>CHEM_Sep_V1</x:v>
      </x:c>
      <x:c r="AN2749" s="87" t="n">
        <x:v>24</x:v>
      </x:c>
    </x:row>
    <x:row r="2750">
      <x:c r="A2750" s="87" t="n">
        <x:v>2749</x:v>
      </x:c>
      <x:c r="B2750" s="87" t="str">
        <x:v>SEP-CHEM-V1-024</x:v>
      </x:c>
      <x:c r="C2750" s="87" t="str">
        <x:v>СтатГрад</x:v>
      </x:c>
      <x:c r="D2750" s="87" t="str">
        <x:v>Сентябрь 2025</x:v>
      </x:c>
      <x:c r="E2750" s="87"/>
      <x:c r="F2750" s="87"/>
      <x:c r="G2750" s="87" t="str">
        <x:v>Химия</x:v>
      </x:c>
      <x:c r="H2750" s="87" t="n">
        <x:v>11</x:v>
      </x:c>
      <x:c r="I2750" s="87" t="str">
        <x:v>ТР №1</x:v>
      </x:c>
      <x:c r="J2750" s="87" t="str">
        <x:v>ХИ2510101</x:v>
      </x:c>
      <x:c r="K2750" s="87" t="n">
        <x:v>24</x:v>
      </x:c>
      <x:c r="L2750" s="87" t="str">
        <x:v>Качественный анализ</x:v>
      </x:c>
      <x:c r="M2750" s="30" t="str">
        <x:v>Сопоставить четыре пары растворов с реактивами, позволяющими их различить.</x:v>
      </x:c>
      <x:c r="N2750" s="30" t="str">
        <x:v>5231</x:v>
      </x:c>
      <x:c r="O2750" s="30" t="str">
        <x:v>HNO₃ выделяет CO₂ с NaHCO₃; Al(OH)₃ растворяется в избытке NaOH, но не NH₃; BaCl₂ выявляет SO₄²⁻; хлорная вода окисляет Br⁻.</x:v>
      </x:c>
      <x:c r="P2750" s="30" t="str">
        <x:v>HNO₃ выделяет CO₂ с NaHCO₃; Al(OH)₃ растворяется в избытке NaOH, но не NH₃; BaCl₂ выявляет SO₄²⁻; хлорная вода окисляет Br⁻.</x:v>
      </x:c>
      <x:c r="Q2750" s="30"/>
      <x:c r="R2750" s="30" t="str">
        <x:v>Официальная таблица ответов в PDF критериев + независимое решение</x:v>
      </x:c>
      <x:c r="S2750" s="30"/>
      <x:c r="T2750" s="30"/>
      <x:c r="U2750" s="30" t="str">
        <x:v>Расхождений не обнаружено.</x:v>
      </x:c>
      <x:c r="V2750" s="87" t="str">
        <x:v>VERIFIED</x:v>
      </x:c>
      <x:c r="W2750" s="87" t="str">
        <x:v>Zadanie_KhI11_10092025.pdf, вариантная стр. 13</x:v>
      </x:c>
      <x:c r="X2750" s="87"/>
      <x:c r="Y2750" s="87"/>
      <x:c r="Z2750" s="87"/>
      <x:c r="AA2750" s="87"/>
      <x:c r="AB2750" s="87"/>
      <x:c r="AC2750" s="87"/>
      <x:c r="AD2750" s="87"/>
      <x:c r="AE2750" s="87"/>
      <x:c r="AF2750" s="87"/>
      <x:c r="AG2750" s="87"/>
      <x:c r="AH2750" s="87"/>
      <x:c r="AI2750" s="30"/>
      <x:c r="AJ2750" s="87" t="str">
        <x:v>master</x:v>
      </x:c>
      <x:c r="AK2750" s="87" t="str">
        <x:v>master-v0.81</x:v>
      </x:c>
      <x:c r="AL2750" s="87" t="str">
        <x:v>statgrad_master_base_v0_81_final(2).xlsx</x:v>
      </x:c>
      <x:c r="AM2750" s="87" t="str">
        <x:v>CHEM_Sep_V1</x:v>
      </x:c>
      <x:c r="AN2750" s="87" t="n">
        <x:v>25</x:v>
      </x:c>
    </x:row>
    <x:row r="2751">
      <x:c r="A2751" s="87" t="n">
        <x:v>2750</x:v>
      </x:c>
      <x:c r="B2751" s="87" t="str">
        <x:v>SEP-CHEM-V1-025</x:v>
      </x:c>
      <x:c r="C2751" s="87" t="str">
        <x:v>СтатГрад</x:v>
      </x:c>
      <x:c r="D2751" s="87" t="str">
        <x:v>Сентябрь 2025</x:v>
      </x:c>
      <x:c r="E2751" s="87"/>
      <x:c r="F2751" s="87"/>
      <x:c r="G2751" s="87" t="str">
        <x:v>Химия</x:v>
      </x:c>
      <x:c r="H2751" s="87" t="n">
        <x:v>11</x:v>
      </x:c>
      <x:c r="I2751" s="87" t="str">
        <x:v>ТР №1</x:v>
      </x:c>
      <x:c r="J2751" s="87" t="str">
        <x:v>ХИ2510101</x:v>
      </x:c>
      <x:c r="K2751" s="87" t="n">
        <x:v>25</x:v>
      </x:c>
      <x:c r="L2751" s="87" t="str">
        <x:v>Промышленная химия</x:v>
      </x:c>
      <x:c r="M2751" s="30" t="str">
        <x:v>Сопоставить железо, водород и хлор с основными промышленными способами получения.</x:v>
      </x:c>
      <x:c r="N2751" s="30" t="str">
        <x:v>214</x:v>
      </x:c>
      <x:c r="O2751" s="30" t="str">
        <x:v>Железо получают восстановлением оксидов CO; H₂ — паровой конверсией метана; Cl₂ — электролизом раствора соли.</x:v>
      </x:c>
      <x:c r="P2751" s="30" t="str">
        <x:v>Железо получают восстановлением оксидов CO; H₂ — паровой конверсией метана; Cl₂ — электролизом раствора соли.</x:v>
      </x:c>
      <x:c r="Q2751" s="30"/>
      <x:c r="R2751" s="30" t="str">
        <x:v>Фото-сводка ответов + независимое решение</x:v>
      </x:c>
      <x:c r="S2751" s="30"/>
      <x:c r="T2751" s="30"/>
      <x:c r="U2751" s="30" t="str">
        <x:v>Расхождений не обнаружено.</x:v>
      </x:c>
      <x:c r="V2751" s="87" t="str">
        <x:v>VERIFIED</x:v>
      </x:c>
      <x:c r="W2751" s="87" t="str">
        <x:v>Zadanie_KhI11_10092025.pdf, вариантная стр. 13</x:v>
      </x:c>
      <x:c r="X2751" s="87"/>
      <x:c r="Y2751" s="87"/>
      <x:c r="Z2751" s="87"/>
      <x:c r="AA2751" s="87"/>
      <x:c r="AB2751" s="87"/>
      <x:c r="AC2751" s="87"/>
      <x:c r="AD2751" s="87"/>
      <x:c r="AE2751" s="87"/>
      <x:c r="AF2751" s="87"/>
      <x:c r="AG2751" s="87"/>
      <x:c r="AH2751" s="87"/>
      <x:c r="AI2751" s="30"/>
      <x:c r="AJ2751" s="87" t="str">
        <x:v>master</x:v>
      </x:c>
      <x:c r="AK2751" s="87" t="str">
        <x:v>master-v0.81</x:v>
      </x:c>
      <x:c r="AL2751" s="87" t="str">
        <x:v>statgrad_master_base_v0_81_final(2).xlsx</x:v>
      </x:c>
      <x:c r="AM2751" s="87" t="str">
        <x:v>CHEM_Sep_V1</x:v>
      </x:c>
      <x:c r="AN2751" s="87" t="n">
        <x:v>26</x:v>
      </x:c>
    </x:row>
    <x:row r="2752">
      <x:c r="A2752" s="87" t="n">
        <x:v>2751</x:v>
      </x:c>
      <x:c r="B2752" s="87" t="str">
        <x:v>SEP-CHEM-V1-026</x:v>
      </x:c>
      <x:c r="C2752" s="87" t="str">
        <x:v>СтатГрад</x:v>
      </x:c>
      <x:c r="D2752" s="87" t="str">
        <x:v>Сентябрь 2025</x:v>
      </x:c>
      <x:c r="E2752" s="87"/>
      <x:c r="F2752" s="87"/>
      <x:c r="G2752" s="87" t="str">
        <x:v>Химия</x:v>
      </x:c>
      <x:c r="H2752" s="87" t="n">
        <x:v>11</x:v>
      </x:c>
      <x:c r="I2752" s="87" t="str">
        <x:v>ТР №1</x:v>
      </x:c>
      <x:c r="J2752" s="87" t="str">
        <x:v>ХИ2510101</x:v>
      </x:c>
      <x:c r="K2752" s="87" t="n">
        <x:v>26</x:v>
      </x:c>
      <x:c r="L2752" s="87" t="str">
        <x:v>Растворы и концентрации</x:v>
      </x:c>
      <x:c r="M2752" s="30" t="str">
        <x:v>Рассчитать объём 98%-й H₂SO₄ (ρ=1,84 г/мл) для приготовления 450 мл раствора 2 моль/л.</x:v>
      </x:c>
      <x:c r="N2752" s="30" t="str">
        <x:v>49</x:v>
      </x:c>
      <x:c r="O2752" s="30" t="str">
        <x:v>n=0,45·2=0,90 моль; m(H₂SO₄)=88,2 г; m раствора=90,0 г; V=90/1,84≈48,9 мл.</x:v>
      </x:c>
      <x:c r="P2752" s="30" t="str">
        <x:v>n=0,45·2=0,90 моль; m(H₂SO₄)=88,2 г; m раствора=90,0 г; V=90/1,84≈48,9 мл.</x:v>
      </x:c>
      <x:c r="Q2752" s="30"/>
      <x:c r="R2752" s="30" t="str">
        <x:v>Фото-сводка ответов + независимое решение</x:v>
      </x:c>
      <x:c r="S2752" s="30"/>
      <x:c r="T2752" s="30"/>
      <x:c r="U2752" s="30" t="str">
        <x:v>Расхождений не обнаружено.</x:v>
      </x:c>
      <x:c r="V2752" s="87" t="str">
        <x:v>VERIFIED</x:v>
      </x:c>
      <x:c r="W2752" s="87" t="str">
        <x:v>Zadanie_KhI11_10092025.pdf, вариантная стр. 14</x:v>
      </x:c>
      <x:c r="X2752" s="87"/>
      <x:c r="Y2752" s="87"/>
      <x:c r="Z2752" s="87"/>
      <x:c r="AA2752" s="87"/>
      <x:c r="AB2752" s="87"/>
      <x:c r="AC2752" s="87"/>
      <x:c r="AD2752" s="87"/>
      <x:c r="AE2752" s="87"/>
      <x:c r="AF2752" s="87"/>
      <x:c r="AG2752" s="87"/>
      <x:c r="AH2752" s="87"/>
      <x:c r="AI2752" s="30"/>
      <x:c r="AJ2752" s="87" t="str">
        <x:v>master</x:v>
      </x:c>
      <x:c r="AK2752" s="87" t="str">
        <x:v>master-v0.81</x:v>
      </x:c>
      <x:c r="AL2752" s="87" t="str">
        <x:v>statgrad_master_base_v0_81_final(2).xlsx</x:v>
      </x:c>
      <x:c r="AM2752" s="87" t="str">
        <x:v>CHEM_Sep_V1</x:v>
      </x:c>
      <x:c r="AN2752" s="87" t="n">
        <x:v>27</x:v>
      </x:c>
    </x:row>
    <x:row r="2753">
      <x:c r="A2753" s="87" t="n">
        <x:v>2752</x:v>
      </x:c>
      <x:c r="B2753" s="87" t="str">
        <x:v>SEP-CHEM-V1-027</x:v>
      </x:c>
      <x:c r="C2753" s="87" t="str">
        <x:v>СтатГрад</x:v>
      </x:c>
      <x:c r="D2753" s="87" t="str">
        <x:v>Сентябрь 2025</x:v>
      </x:c>
      <x:c r="E2753" s="87"/>
      <x:c r="F2753" s="87"/>
      <x:c r="G2753" s="87" t="str">
        <x:v>Химия</x:v>
      </x:c>
      <x:c r="H2753" s="87" t="n">
        <x:v>11</x:v>
      </x:c>
      <x:c r="I2753" s="87" t="str">
        <x:v>ТР №1</x:v>
      </x:c>
      <x:c r="J2753" s="87" t="str">
        <x:v>ХИ2510101</x:v>
      </x:c>
      <x:c r="K2753" s="87" t="n">
        <x:v>27</x:v>
      </x:c>
      <x:c r="L2753" s="87" t="str">
        <x:v>Термохимия</x:v>
      </x:c>
      <x:c r="M2753" s="30" t="str">
        <x:v>По теплоте сгорания 0,4 моль этана определить Q в уравнении для 2 моль этана.</x:v>
      </x:c>
      <x:c r="N2753" s="30" t="str">
        <x:v>2850</x:v>
      </x:c>
      <x:c r="O2753" s="30" t="str">
        <x:v>8,96 л =0,4 моль C₂H₆. Если 0,4 моль дают 570 кДж, то 2 моль дают 2850 кДж.</x:v>
      </x:c>
      <x:c r="P2753" s="30" t="str">
        <x:v>8,96 л =0,4 моль C₂H₆. Если 0,4 моль дают 570 кДж, то 2 моль дают 2850 кДж.</x:v>
      </x:c>
      <x:c r="Q2753" s="30"/>
      <x:c r="R2753" s="30" t="str">
        <x:v>Фото-сводка ответов + независимое решение</x:v>
      </x:c>
      <x:c r="S2753" s="30"/>
      <x:c r="T2753" s="30"/>
      <x:c r="U2753" s="30" t="str">
        <x:v>Расхождений не обнаружено.</x:v>
      </x:c>
      <x:c r="V2753" s="87" t="str">
        <x:v>VERIFIED</x:v>
      </x:c>
      <x:c r="W2753" s="87" t="str">
        <x:v>Zadanie_KhI11_10092025.pdf, вариантная стр. 14</x:v>
      </x:c>
      <x:c r="X2753" s="87"/>
      <x:c r="Y2753" s="87"/>
      <x:c r="Z2753" s="87"/>
      <x:c r="AA2753" s="87"/>
      <x:c r="AB2753" s="87"/>
      <x:c r="AC2753" s="87"/>
      <x:c r="AD2753" s="87"/>
      <x:c r="AE2753" s="87"/>
      <x:c r="AF2753" s="87"/>
      <x:c r="AG2753" s="87"/>
      <x:c r="AH2753" s="87"/>
      <x:c r="AI2753" s="30"/>
      <x:c r="AJ2753" s="87" t="str">
        <x:v>master</x:v>
      </x:c>
      <x:c r="AK2753" s="87" t="str">
        <x:v>master-v0.81</x:v>
      </x:c>
      <x:c r="AL2753" s="87" t="str">
        <x:v>statgrad_master_base_v0_81_final(2).xlsx</x:v>
      </x:c>
      <x:c r="AM2753" s="87" t="str">
        <x:v>CHEM_Sep_V1</x:v>
      </x:c>
      <x:c r="AN2753" s="87" t="n">
        <x:v>28</x:v>
      </x:c>
    </x:row>
    <x:row r="2754">
      <x:c r="A2754" s="87" t="n">
        <x:v>2753</x:v>
      </x:c>
      <x:c r="B2754" s="87" t="str">
        <x:v>SEP-CHEM-V1-028</x:v>
      </x:c>
      <x:c r="C2754" s="87" t="str">
        <x:v>СтатГрад</x:v>
      </x:c>
      <x:c r="D2754" s="87" t="str">
        <x:v>Сентябрь 2025</x:v>
      </x:c>
      <x:c r="E2754" s="87"/>
      <x:c r="F2754" s="87"/>
      <x:c r="G2754" s="87" t="str">
        <x:v>Химия</x:v>
      </x:c>
      <x:c r="H2754" s="87" t="n">
        <x:v>11</x:v>
      </x:c>
      <x:c r="I2754" s="87" t="str">
        <x:v>ТР №1</x:v>
      </x:c>
      <x:c r="J2754" s="87" t="str">
        <x:v>ХИ2510101</x:v>
      </x:c>
      <x:c r="K2754" s="87" t="n">
        <x:v>28</x:v>
      </x:c>
      <x:c r="L2754" s="87" t="str">
        <x:v>Выход продукта</x:v>
      </x:c>
      <x:c r="M2754" s="30" t="str">
        <x:v>По массе смеси о- и п-нитротолуола и выходу 75% определить массу исходного толуола.</x:v>
      </x:c>
      <x:c r="N2754" s="30" t="str">
        <x:v>36,8</x:v>
      </x:c>
      <x:c r="O2754" s="30" t="str">
        <x:v>m продуктов=41,1 г; n=41,1/137=0,30 моль. При выходе 75% теоретически 0,40 моль, m(C₇H₈)=0,40·92=36,8 г.</x:v>
      </x:c>
      <x:c r="P2754" s="30" t="str">
        <x:v>m продуктов=41,1 г; n=41,1/137=0,30 моль. При выходе 75% теоретически 0,40 моль, m(C₇H₈)=0,40·92=36,8 г.</x:v>
      </x:c>
      <x:c r="Q2754" s="30"/>
      <x:c r="R2754" s="30" t="str">
        <x:v>Фото-сводка ответов + независимое решение</x:v>
      </x:c>
      <x:c r="S2754" s="30"/>
      <x:c r="T2754" s="30"/>
      <x:c r="U2754" s="30" t="str">
        <x:v>Расхождений не обнаружено.</x:v>
      </x:c>
      <x:c r="V2754" s="87" t="str">
        <x:v>VERIFIED</x:v>
      </x:c>
      <x:c r="W2754" s="87" t="str">
        <x:v>Zadanie_KhI11_10092025.pdf, вариантная стр. 14</x:v>
      </x:c>
      <x:c r="X2754" s="87"/>
      <x:c r="Y2754" s="87"/>
      <x:c r="Z2754" s="87"/>
      <x:c r="AA2754" s="87"/>
      <x:c r="AB2754" s="87"/>
      <x:c r="AC2754" s="87"/>
      <x:c r="AD2754" s="87"/>
      <x:c r="AE2754" s="87"/>
      <x:c r="AF2754" s="87"/>
      <x:c r="AG2754" s="87"/>
      <x:c r="AH2754" s="87"/>
      <x:c r="AI2754" s="30"/>
      <x:c r="AJ2754" s="87" t="str">
        <x:v>master</x:v>
      </x:c>
      <x:c r="AK2754" s="87" t="str">
        <x:v>master-v0.81</x:v>
      </x:c>
      <x:c r="AL2754" s="87" t="str">
        <x:v>statgrad_master_base_v0_81_final(2).xlsx</x:v>
      </x:c>
      <x:c r="AM2754" s="87" t="str">
        <x:v>CHEM_Sep_V1</x:v>
      </x:c>
      <x:c r="AN2754" s="87" t="n">
        <x:v>29</x:v>
      </x:c>
    </x:row>
    <x:row r="2755">
      <x:c r="A2755" s="87" t="n">
        <x:v>2754</x:v>
      </x:c>
      <x:c r="B2755" s="87" t="str">
        <x:v>SEP-CHEM-V1-029</x:v>
      </x:c>
      <x:c r="C2755" s="87" t="str">
        <x:v>СтатГрад</x:v>
      </x:c>
      <x:c r="D2755" s="87" t="str">
        <x:v>Сентябрь 2025</x:v>
      </x:c>
      <x:c r="E2755" s="87"/>
      <x:c r="F2755" s="87"/>
      <x:c r="G2755" s="87" t="str">
        <x:v>Химия</x:v>
      </x:c>
      <x:c r="H2755" s="87" t="n">
        <x:v>11</x:v>
      </x:c>
      <x:c r="I2755" s="87" t="str">
        <x:v>ТР №1</x:v>
      </x:c>
      <x:c r="J2755" s="87" t="str">
        <x:v>ХИ2510101</x:v>
      </x:c>
      <x:c r="K2755" s="87" t="n">
        <x:v>29</x:v>
      </x:c>
      <x:c r="L2755" s="87" t="str">
        <x:v>Развёрнутый ответ: ОВР</x:v>
      </x:c>
      <x:c r="M2755" s="30" t="str">
        <x:v>Из заданного перечня выбрать FeCl₃ и Na₂SO₃ для ОВР с изменением цвета; записать уравнение, баланс и роли реагентов.</x:v>
      </x:c>
      <x:c r="N2755" s="30" t="str">
        <x:v>2FeCl₃ + Na₂SO₃ + H₂O → 2FeCl₂ + Na₂SO₄ + 2HCl.
Баланс: Fe³⁺+e⁻→Fe²⁺ (×2); S(+4)−2e⁻→S(+6).
Окислитель FeCl₃, восстановитель Na₂SO₃.</x:v>
      </x:c>
      <x:c r="O2755" s="30" t="str">
        <x:v>Критерий независимо проверен по атомному/электронному балансу и расчётам.</x:v>
      </x:c>
      <x:c r="P2755" s="30" t="str">
        <x:v>Критерий независимо проверен по атомному/электронному балансу и расчётам.</x:v>
      </x:c>
      <x:c r="Q2755" s="30"/>
      <x:c r="R2755" s="30" t="str">
        <x:v>Официальные критерии архива + независимая проверка уравнений и расчётов</x:v>
      </x:c>
      <x:c r="S2755" s="30"/>
      <x:c r="T2755" s="30"/>
      <x:c r="U2755" s="30" t="str">
        <x:v>Расхождений не обнаружено.</x:v>
      </x:c>
      <x:c r="V2755" s="87" t="str">
        <x:v>VERIFIED</x:v>
      </x:c>
      <x:c r="W2755" s="87" t="str">
        <x:v>Zadanie_KhI11_10092025.pdf, вариантная стр. 15</x:v>
      </x:c>
      <x:c r="X2755" s="87"/>
      <x:c r="Y2755" s="87"/>
      <x:c r="Z2755" s="87"/>
      <x:c r="AA2755" s="87"/>
      <x:c r="AB2755" s="87"/>
      <x:c r="AC2755" s="87"/>
      <x:c r="AD2755" s="87"/>
      <x:c r="AE2755" s="87"/>
      <x:c r="AF2755" s="87"/>
      <x:c r="AG2755" s="87"/>
      <x:c r="AH2755" s="87"/>
      <x:c r="AI2755" s="30"/>
      <x:c r="AJ2755" s="87" t="str">
        <x:v>master</x:v>
      </x:c>
      <x:c r="AK2755" s="87" t="str">
        <x:v>master-v0.81</x:v>
      </x:c>
      <x:c r="AL2755" s="87" t="str">
        <x:v>statgrad_master_base_v0_81_final(2).xlsx</x:v>
      </x:c>
      <x:c r="AM2755" s="87" t="str">
        <x:v>CHEM_Sep_V1</x:v>
      </x:c>
      <x:c r="AN2755" s="87" t="n">
        <x:v>30</x:v>
      </x:c>
    </x:row>
    <x:row r="2756">
      <x:c r="A2756" s="87" t="n">
        <x:v>2755</x:v>
      </x:c>
      <x:c r="B2756" s="87" t="str">
        <x:v>SEP-CHEM-V1-030</x:v>
      </x:c>
      <x:c r="C2756" s="87" t="str">
        <x:v>СтатГрад</x:v>
      </x:c>
      <x:c r="D2756" s="87" t="str">
        <x:v>Сентябрь 2025</x:v>
      </x:c>
      <x:c r="E2756" s="87"/>
      <x:c r="F2756" s="87"/>
      <x:c r="G2756" s="87" t="str">
        <x:v>Химия</x:v>
      </x:c>
      <x:c r="H2756" s="87" t="n">
        <x:v>11</x:v>
      </x:c>
      <x:c r="I2756" s="87" t="str">
        <x:v>ТР №1</x:v>
      </x:c>
      <x:c r="J2756" s="87" t="str">
        <x:v>ХИ2510101</x:v>
      </x:c>
      <x:c r="K2756" s="87" t="n">
        <x:v>30</x:v>
      </x:c>
      <x:c r="L2756" s="87" t="str">
        <x:v>Развёрнутый ответ: ионный обмен</x:v>
      </x:c>
      <x:c r="M2756" s="30" t="str">
        <x:v>Из заданного перечня выбрать реакцию ионного обмена без выделения газа; записать молекулярное, полное и сокращённое ионные уравнения.</x:v>
      </x:c>
      <x:c r="N2756" s="30" t="str">
        <x:v>Ca₃(PO₄)₂ + 6HCl → 2H₃PO₄ + 3CaCl₂.
Полное ионное: Ca₃(PO₄)₂ + 6H⁺ + 6Cl⁻ → 2H₃PO₄ + 3Ca²⁺ + 6Cl⁻.
Сокращённое: Ca₃(PO₄)₂ + 6H⁺ → 2H₃PO₄ + 3Ca²⁺.</x:v>
      </x:c>
      <x:c r="O2756" s="30" t="str">
        <x:v>Критерий независимо проверен по атомному/электронному балансу и расчётам.</x:v>
      </x:c>
      <x:c r="P2756" s="30" t="str">
        <x:v>Критерий независимо проверен по атомному/электронному балансу и расчётам.</x:v>
      </x:c>
      <x:c r="Q2756" s="30"/>
      <x:c r="R2756" s="30" t="str">
        <x:v>Официальные критерии архива + независимая проверка уравнений и расчётов</x:v>
      </x:c>
      <x:c r="S2756" s="30"/>
      <x:c r="T2756" s="30"/>
      <x:c r="U2756" s="30" t="str">
        <x:v>Расхождений не обнаружено.</x:v>
      </x:c>
      <x:c r="V2756" s="87" t="str">
        <x:v>VERIFIED</x:v>
      </x:c>
      <x:c r="W2756" s="87" t="str">
        <x:v>Zadanie_KhI11_10092025.pdf, вариантная стр. 15</x:v>
      </x:c>
      <x:c r="X2756" s="87"/>
      <x:c r="Y2756" s="87"/>
      <x:c r="Z2756" s="87"/>
      <x:c r="AA2756" s="87"/>
      <x:c r="AB2756" s="87"/>
      <x:c r="AC2756" s="87"/>
      <x:c r="AD2756" s="87"/>
      <x:c r="AE2756" s="87"/>
      <x:c r="AF2756" s="87"/>
      <x:c r="AG2756" s="87"/>
      <x:c r="AH2756" s="87"/>
      <x:c r="AI2756" s="30"/>
      <x:c r="AJ2756" s="87" t="str">
        <x:v>master</x:v>
      </x:c>
      <x:c r="AK2756" s="87" t="str">
        <x:v>master-v0.81</x:v>
      </x:c>
      <x:c r="AL2756" s="87" t="str">
        <x:v>statgrad_master_base_v0_81_final(2).xlsx</x:v>
      </x:c>
      <x:c r="AM2756" s="87" t="str">
        <x:v>CHEM_Sep_V1</x:v>
      </x:c>
      <x:c r="AN2756" s="87" t="n">
        <x:v>31</x:v>
      </x:c>
    </x:row>
    <x:row r="2757">
      <x:c r="A2757" s="87" t="n">
        <x:v>2756</x:v>
      </x:c>
      <x:c r="B2757" s="87" t="str">
        <x:v>SEP-CHEM-V1-031</x:v>
      </x:c>
      <x:c r="C2757" s="87" t="str">
        <x:v>СтатГрад</x:v>
      </x:c>
      <x:c r="D2757" s="87" t="str">
        <x:v>Сентябрь 2025</x:v>
      </x:c>
      <x:c r="E2757" s="87"/>
      <x:c r="F2757" s="87"/>
      <x:c r="G2757" s="87" t="str">
        <x:v>Химия</x:v>
      </x:c>
      <x:c r="H2757" s="87" t="n">
        <x:v>11</x:v>
      </x:c>
      <x:c r="I2757" s="87" t="str">
        <x:v>ТР №1</x:v>
      </x:c>
      <x:c r="J2757" s="87" t="str">
        <x:v>ХИ2510101</x:v>
      </x:c>
      <x:c r="K2757" s="87" t="n">
        <x:v>31</x:v>
      </x:c>
      <x:c r="L2757" s="87" t="str">
        <x:v>Развёрнутый ответ: неорганическая цепочка</x:v>
      </x:c>
      <x:c r="M2757" s="30" t="str">
        <x:v>CuSO₄ → основной карбонат меди → CuO → CuCl₂ → белый CuCl: записать четыре уравнения.</x:v>
      </x:c>
      <x:c r="N2757" s="30" t="str">
        <x:v>1) 2CuSO₄+2Na₂CO₃+H₂O→Cu₂(OH)₂CO₃↓+2Na₂SO₄+CO₂↑.
2) Cu₂(OH)₂CO₃→2CuO+H₂O+CO₂.
3) CuO+2HCl→CuCl₂+H₂O.
4) 2CuCl₂+SO₂+2H₂O→2CuCl↓+H₂SO₄+2HCl.</x:v>
      </x:c>
      <x:c r="O2757" s="30" t="str">
        <x:v>Критерий независимо проверен по атомному/электронному балансу и расчётам.</x:v>
      </x:c>
      <x:c r="P2757" s="30" t="str">
        <x:v>Критерий независимо проверен по атомному/электронному балансу и расчётам.</x:v>
      </x:c>
      <x:c r="Q2757" s="30"/>
      <x:c r="R2757" s="30" t="str">
        <x:v>Официальные критерии архива + независимая проверка уравнений и расчётов</x:v>
      </x:c>
      <x:c r="S2757" s="30"/>
      <x:c r="T2757" s="30"/>
      <x:c r="U2757" s="30" t="str">
        <x:v>Расхождений не обнаружено.</x:v>
      </x:c>
      <x:c r="V2757" s="87" t="str">
        <x:v>VERIFIED</x:v>
      </x:c>
      <x:c r="W2757" s="87" t="str">
        <x:v>Zadanie_KhI11_10092025.pdf, вариантная стр. 16</x:v>
      </x:c>
      <x:c r="X2757" s="87"/>
      <x:c r="Y2757" s="87"/>
      <x:c r="Z2757" s="87"/>
      <x:c r="AA2757" s="87"/>
      <x:c r="AB2757" s="87"/>
      <x:c r="AC2757" s="87"/>
      <x:c r="AD2757" s="87"/>
      <x:c r="AE2757" s="87"/>
      <x:c r="AF2757" s="87"/>
      <x:c r="AG2757" s="87"/>
      <x:c r="AH2757" s="87"/>
      <x:c r="AI2757" s="30"/>
      <x:c r="AJ2757" s="87" t="str">
        <x:v>master</x:v>
      </x:c>
      <x:c r="AK2757" s="87" t="str">
        <x:v>master-v0.81</x:v>
      </x:c>
      <x:c r="AL2757" s="87" t="str">
        <x:v>statgrad_master_base_v0_81_final(2).xlsx</x:v>
      </x:c>
      <x:c r="AM2757" s="87" t="str">
        <x:v>CHEM_Sep_V1</x:v>
      </x:c>
      <x:c r="AN2757" s="87" t="n">
        <x:v>32</x:v>
      </x:c>
    </x:row>
    <x:row r="2758">
      <x:c r="A2758" s="87" t="n">
        <x:v>2757</x:v>
      </x:c>
      <x:c r="B2758" s="87" t="str">
        <x:v>SEP-CHEM-V1-032</x:v>
      </x:c>
      <x:c r="C2758" s="87" t="str">
        <x:v>СтатГрад</x:v>
      </x:c>
      <x:c r="D2758" s="87" t="str">
        <x:v>Сентябрь 2025</x:v>
      </x:c>
      <x:c r="E2758" s="87"/>
      <x:c r="F2758" s="87"/>
      <x:c r="G2758" s="87" t="str">
        <x:v>Химия</x:v>
      </x:c>
      <x:c r="H2758" s="87" t="n">
        <x:v>11</x:v>
      </x:c>
      <x:c r="I2758" s="87" t="str">
        <x:v>ТР №1</x:v>
      </x:c>
      <x:c r="J2758" s="87" t="str">
        <x:v>ХИ2510101</x:v>
      </x:c>
      <x:c r="K2758" s="87" t="n">
        <x:v>32</x:v>
      </x:c>
      <x:c r="L2758" s="87" t="str">
        <x:v>Развёрнутый ответ: органическая цепочка</x:v>
      </x:c>
      <x:c r="M2758" s="30" t="str">
        <x:v>Пентадиен-1,4 → 1,5-дибромпентан → циклопентан → бромциклопентан → циклопентен → глутаровая кислота.</x:v>
      </x:c>
      <x:c r="N2758" s="30" t="str">
        <x:v>1) CH₂=CHCH₂CH=CH₂+2HBr (H₂O₂)→Br(CH₂)₅Br.
2) Br(CH₂)₅Br+Zn→циклопентан+ZnBr₂.
3) циклопентан+Br₂ (hν)→бромциклопентан+HBr.
4) бромциклопентан+KOH(спирт)→циклопентен+KBr+H₂O.
5) 5C₅H₈+8KMnO₄+12H₂SO₄→5HOOC(CH₂)₃COOH+4K₂SO₄+8MnSO₄+12H₂O.</x:v>
      </x:c>
      <x:c r="O2758" s="30" t="str">
        <x:v>Критерий независимо проверен по атомному/электронному балансу и расчётам.</x:v>
      </x:c>
      <x:c r="P2758" s="30" t="str">
        <x:v>Критерий независимо проверен по атомному/электронному балансу и расчётам.</x:v>
      </x:c>
      <x:c r="Q2758" s="30"/>
      <x:c r="R2758" s="30" t="str">
        <x:v>Официальные критерии архива + независимая проверка уравнений и расчётов</x:v>
      </x:c>
      <x:c r="S2758" s="30"/>
      <x:c r="T2758" s="30"/>
      <x:c r="U2758" s="30" t="str">
        <x:v>Расхождений не обнаружено.</x:v>
      </x:c>
      <x:c r="V2758" s="87" t="str">
        <x:v>VERIFIED</x:v>
      </x:c>
      <x:c r="W2758" s="87" t="str">
        <x:v>Zadanie_KhI11_10092025.pdf, вариантная стр. 16</x:v>
      </x:c>
      <x:c r="X2758" s="87"/>
      <x:c r="Y2758" s="87"/>
      <x:c r="Z2758" s="87"/>
      <x:c r="AA2758" s="87"/>
      <x:c r="AB2758" s="87"/>
      <x:c r="AC2758" s="87"/>
      <x:c r="AD2758" s="87"/>
      <x:c r="AE2758" s="87"/>
      <x:c r="AF2758" s="87"/>
      <x:c r="AG2758" s="87"/>
      <x:c r="AH2758" s="87"/>
      <x:c r="AI2758" s="30"/>
      <x:c r="AJ2758" s="87" t="str">
        <x:v>master</x:v>
      </x:c>
      <x:c r="AK2758" s="87" t="str">
        <x:v>master-v0.81</x:v>
      </x:c>
      <x:c r="AL2758" s="87" t="str">
        <x:v>statgrad_master_base_v0_81_final(2).xlsx</x:v>
      </x:c>
      <x:c r="AM2758" s="87" t="str">
        <x:v>CHEM_Sep_V1</x:v>
      </x:c>
      <x:c r="AN2758" s="87" t="n">
        <x:v>33</x:v>
      </x:c>
    </x:row>
    <x:row r="2759">
      <x:c r="A2759" s="87" t="n">
        <x:v>2758</x:v>
      </x:c>
      <x:c r="B2759" s="87" t="str">
        <x:v>SEP-CHEM-V1-033</x:v>
      </x:c>
      <x:c r="C2759" s="87" t="str">
        <x:v>СтатГрад</x:v>
      </x:c>
      <x:c r="D2759" s="87" t="str">
        <x:v>Сентябрь 2025</x:v>
      </x:c>
      <x:c r="E2759" s="87"/>
      <x:c r="F2759" s="87"/>
      <x:c r="G2759" s="87" t="str">
        <x:v>Химия</x:v>
      </x:c>
      <x:c r="H2759" s="87" t="n">
        <x:v>11</x:v>
      </x:c>
      <x:c r="I2759" s="87" t="str">
        <x:v>ТР №1</x:v>
      </x:c>
      <x:c r="J2759" s="87" t="str">
        <x:v>ХИ2510101</x:v>
      </x:c>
      <x:c r="K2759" s="87" t="n">
        <x:v>33</x:v>
      </x:c>
      <x:c r="L2759" s="87" t="str">
        <x:v>Развёрнутый ответ: установление формулы</x:v>
      </x:c>
      <x:c r="M2759" s="30" t="str">
        <x:v>По продуктам сгорания и гидролизу установить формулу и строение дихлорпроизводного, дающего симметричное карбонильное соединение.</x:v>
      </x:c>
      <x:c r="N2759" s="30" t="str">
        <x:v>n(C)=0,45; n(Cl)=0,30; n(H)=0,90 моль; отношение 3:6:2, формула C₃H₆Cl₂. Симметричный карбонильный продукт требует 2,2-дихлорпропан CH₃–CCl₂–CH₃.
CH₃–CCl₂–CH₃+2KOH(водн.)→CH₃–CO–CH₃+2KCl+H₂O.</x:v>
      </x:c>
      <x:c r="O2759" s="30" t="str">
        <x:v>Критерий независимо проверен по атомному/электронному балансу и расчётам.</x:v>
      </x:c>
      <x:c r="P2759" s="30" t="str">
        <x:v>Критерий независимо проверен по атомному/электронному балансу и расчётам.</x:v>
      </x:c>
      <x:c r="Q2759" s="30"/>
      <x:c r="R2759" s="30" t="str">
        <x:v>Официальные критерии архива + независимая проверка уравнений и расчётов</x:v>
      </x:c>
      <x:c r="S2759" s="30"/>
      <x:c r="T2759" s="30"/>
      <x:c r="U2759" s="30" t="str">
        <x:v>Расхождений не обнаружено.</x:v>
      </x:c>
      <x:c r="V2759" s="87" t="str">
        <x:v>VERIFIED</x:v>
      </x:c>
      <x:c r="W2759" s="87" t="str">
        <x:v>Zadanie_KhI11_10092025.pdf, вариантная стр. 16</x:v>
      </x:c>
      <x:c r="X2759" s="87"/>
      <x:c r="Y2759" s="87"/>
      <x:c r="Z2759" s="87"/>
      <x:c r="AA2759" s="87"/>
      <x:c r="AB2759" s="87"/>
      <x:c r="AC2759" s="87"/>
      <x:c r="AD2759" s="87"/>
      <x:c r="AE2759" s="87"/>
      <x:c r="AF2759" s="87"/>
      <x:c r="AG2759" s="87"/>
      <x:c r="AH2759" s="87"/>
      <x:c r="AI2759" s="30"/>
      <x:c r="AJ2759" s="87" t="str">
        <x:v>master</x:v>
      </x:c>
      <x:c r="AK2759" s="87" t="str">
        <x:v>master-v0.81</x:v>
      </x:c>
      <x:c r="AL2759" s="87" t="str">
        <x:v>statgrad_master_base_v0_81_final(2).xlsx</x:v>
      </x:c>
      <x:c r="AM2759" s="87" t="str">
        <x:v>CHEM_Sep_V1</x:v>
      </x:c>
      <x:c r="AN2759" s="87" t="n">
        <x:v>34</x:v>
      </x:c>
    </x:row>
    <x:row r="2760">
      <x:c r="A2760" s="87" t="n">
        <x:v>2759</x:v>
      </x:c>
      <x:c r="B2760" s="87" t="str">
        <x:v>SEP-CHEM-V1-034</x:v>
      </x:c>
      <x:c r="C2760" s="87" t="str">
        <x:v>СтатГрад</x:v>
      </x:c>
      <x:c r="D2760" s="87" t="str">
        <x:v>Сентябрь 2025</x:v>
      </x:c>
      <x:c r="E2760" s="87"/>
      <x:c r="F2760" s="87"/>
      <x:c r="G2760" s="87" t="str">
        <x:v>Химия</x:v>
      </x:c>
      <x:c r="H2760" s="87" t="n">
        <x:v>11</x:v>
      </x:c>
      <x:c r="I2760" s="87" t="str">
        <x:v>ТР №1</x:v>
      </x:c>
      <x:c r="J2760" s="87" t="str">
        <x:v>ХИ2510101</x:v>
      </x:c>
      <x:c r="K2760" s="87" t="n">
        <x:v>34</x:v>
      </x:c>
      <x:c r="L2760" s="87" t="str">
        <x:v>Развёрнутый ответ: расчётная задача</x:v>
      </x:c>
      <x:c r="M2760" s="30" t="str">
        <x:v>После восстановления SiO₂ избытком Mg и обработки HCl получены 2,24 л SiH₄ и 14 г Si. Найти исходные массы SiO₂ и Mg.</x:v>
      </x:c>
      <x:c r="N2760" s="30" t="str">
        <x:v>SiO₂+2Mg→Si+2MgO; 2Mg+Si→Mg₂Si; MgO+2HCl→MgCl₂+H₂O; Mg₂Si+4HCl→2MgCl₂+SiH₄↑.
n(SiH₄)=0,10 моль, n(Si остатка)=14/28=0,50; n(SiO₂)=0,60, m(SiO₂)=36 г.
n(Mg)=2·0,60+2·0,10=1,40; m(Mg)=33,6 г.</x:v>
      </x:c>
      <x:c r="O2760" s="30" t="str">
        <x:v>Критерий независимо проверен по атомному/электронному балансу и расчётам.</x:v>
      </x:c>
      <x:c r="P2760" s="30" t="str">
        <x:v>Критерий независимо проверен по атомному/электронному балансу и расчётам.</x:v>
      </x:c>
      <x:c r="Q2760" s="30"/>
      <x:c r="R2760" s="30" t="str">
        <x:v>Официальные критерии архива + независимая проверка уравнений и расчётов</x:v>
      </x:c>
      <x:c r="S2760" s="30"/>
      <x:c r="T2760" s="30"/>
      <x:c r="U2760" s="30" t="str">
        <x:v>Расхождений не обнаружено.</x:v>
      </x:c>
      <x:c r="V2760" s="87" t="str">
        <x:v>VERIFIED</x:v>
      </x:c>
      <x:c r="W2760" s="87" t="str">
        <x:v>Zadanie_KhI11_10092025.pdf, вариантная стр. 16</x:v>
      </x:c>
      <x:c r="X2760" s="87"/>
      <x:c r="Y2760" s="87"/>
      <x:c r="Z2760" s="87"/>
      <x:c r="AA2760" s="87"/>
      <x:c r="AB2760" s="87"/>
      <x:c r="AC2760" s="87"/>
      <x:c r="AD2760" s="87"/>
      <x:c r="AE2760" s="87"/>
      <x:c r="AF2760" s="87"/>
      <x:c r="AG2760" s="87"/>
      <x:c r="AH2760" s="87"/>
      <x:c r="AI2760" s="30"/>
      <x:c r="AJ2760" s="87" t="str">
        <x:v>master</x:v>
      </x:c>
      <x:c r="AK2760" s="87" t="str">
        <x:v>master-v0.81</x:v>
      </x:c>
      <x:c r="AL2760" s="87" t="str">
        <x:v>statgrad_master_base_v0_81_final(2).xlsx</x:v>
      </x:c>
      <x:c r="AM2760" s="87" t="str">
        <x:v>CHEM_Sep_V1</x:v>
      </x:c>
      <x:c r="AN2760" s="87" t="n">
        <x:v>35</x:v>
      </x:c>
    </x:row>
    <x:row r="2761">
      <x:c r="A2761" s="87" t="n">
        <x:v>2760</x:v>
      </x:c>
      <x:c r="B2761" s="87" t="str">
        <x:v>SEP-CHEM-V2-001</x:v>
      </x:c>
      <x:c r="C2761" s="87" t="str">
        <x:v>СтатГрад</x:v>
      </x:c>
      <x:c r="D2761" s="87" t="str">
        <x:v>Сентябрь 2025</x:v>
      </x:c>
      <x:c r="E2761" s="87"/>
      <x:c r="F2761" s="87"/>
      <x:c r="G2761" s="87" t="str">
        <x:v>Химия</x:v>
      </x:c>
      <x:c r="H2761" s="87" t="n">
        <x:v>11</x:v>
      </x:c>
      <x:c r="I2761" s="87" t="str">
        <x:v>ТР №1</x:v>
      </x:c>
      <x:c r="J2761" s="87" t="str">
        <x:v>ХИ2510102</x:v>
      </x:c>
      <x:c r="K2761" s="87" t="n">
        <x:v>1</x:v>
      </x:c>
      <x:c r="L2761" s="87" t="str">
        <x:v>Электронная конфигурация</x:v>
      </x:c>
      <x:c r="M2761" s="30" t="str">
        <x:v>Для Cl, Mg, Be, Na и Ge выбрать элементы, у которых первое возбуждённое состояние внешнего уровня имеет вид ns¹np¹.</x:v>
      </x:c>
      <x:c r="N2761" s="30" t="str">
        <x:v>23</x:v>
      </x:c>
      <x:c r="O2761" s="30" t="str">
        <x:v>Be и Mg имеют ns²; в первом возбуждённом состоянии один электрон переходит на p-подуровень: ns¹np¹.</x:v>
      </x:c>
      <x:c r="P2761" s="30" t="str">
        <x:v>Be и Mg имеют ns²; в первом возбуждённом состоянии один электрон переходит на p-подуровень: ns¹np¹.</x:v>
      </x:c>
      <x:c r="Q2761" s="30"/>
      <x:c r="R2761" s="30" t="str">
        <x:v>Фото-сводка ответов + независимое решение</x:v>
      </x:c>
      <x:c r="S2761" s="30"/>
      <x:c r="T2761" s="30"/>
      <x:c r="U2761" s="30" t="str">
        <x:v>Расхождений не обнаружено.</x:v>
      </x:c>
      <x:c r="V2761" s="87" t="str">
        <x:v>VERIFIED</x:v>
      </x:c>
      <x:c r="W2761" s="87" t="str">
        <x:v>Zadanie_KhI11_10092025.pdf, вариантная стр. 2</x:v>
      </x:c>
      <x:c r="X2761" s="87"/>
      <x:c r="Y2761" s="87"/>
      <x:c r="Z2761" s="87"/>
      <x:c r="AA2761" s="87"/>
      <x:c r="AB2761" s="87"/>
      <x:c r="AC2761" s="87"/>
      <x:c r="AD2761" s="87"/>
      <x:c r="AE2761" s="87"/>
      <x:c r="AF2761" s="87"/>
      <x:c r="AG2761" s="87"/>
      <x:c r="AH2761" s="87"/>
      <x:c r="AI2761" s="30"/>
      <x:c r="AJ2761" s="87" t="str">
        <x:v>master</x:v>
      </x:c>
      <x:c r="AK2761" s="87" t="str">
        <x:v>master-v0.81</x:v>
      </x:c>
      <x:c r="AL2761" s="87" t="str">
        <x:v>statgrad_master_base_v0_81_final(2).xlsx</x:v>
      </x:c>
      <x:c r="AM2761" s="87" t="str">
        <x:v>CHEM_Sep_V2</x:v>
      </x:c>
      <x:c r="AN2761" s="87" t="n">
        <x:v>2</x:v>
      </x:c>
    </x:row>
    <x:row r="2762">
      <x:c r="A2762" s="87" t="n">
        <x:v>2761</x:v>
      </x:c>
      <x:c r="B2762" s="87" t="str">
        <x:v>SEP-CHEM-V2-002</x:v>
      </x:c>
      <x:c r="C2762" s="87" t="str">
        <x:v>СтатГрад</x:v>
      </x:c>
      <x:c r="D2762" s="87" t="str">
        <x:v>Сентябрь 2025</x:v>
      </x:c>
      <x:c r="E2762" s="87"/>
      <x:c r="F2762" s="87"/>
      <x:c r="G2762" s="87" t="str">
        <x:v>Химия</x:v>
      </x:c>
      <x:c r="H2762" s="87" t="n">
        <x:v>11</x:v>
      </x:c>
      <x:c r="I2762" s="87" t="str">
        <x:v>ТР №1</x:v>
      </x:c>
      <x:c r="J2762" s="87" t="str">
        <x:v>ХИ2510102</x:v>
      </x:c>
      <x:c r="K2762" s="87" t="n">
        <x:v>2</x:v>
      </x:c>
      <x:c r="L2762" s="87" t="str">
        <x:v>Периодический закон</x:v>
      </x:c>
      <x:c r="M2762" s="30" t="str">
        <x:v>Среди Cl, Mg, Be, Na и Ge выбрать три элемента одного периода и расположить по уменьшению кислотности высшего гидроксида.</x:v>
      </x:c>
      <x:c r="N2762" s="30" t="str">
        <x:v>124</x:v>
      </x:c>
      <x:c r="O2762" s="30" t="str">
        <x:v>В периоде 3 находятся Cl, Mg, Na. Кислотность высших гидроксидов убывает HClO₄ → Mg(OH)₂ → NaOH.</x:v>
      </x:c>
      <x:c r="P2762" s="30" t="str">
        <x:v>В периоде 3 находятся Cl, Mg, Na. Кислотность высших гидроксидов убывает HClO₄ → Mg(OH)₂ → NaOH.</x:v>
      </x:c>
      <x:c r="Q2762" s="30"/>
      <x:c r="R2762" s="30" t="str">
        <x:v>Фото-сводка ответов + независимое решение</x:v>
      </x:c>
      <x:c r="S2762" s="30"/>
      <x:c r="T2762" s="30"/>
      <x:c r="U2762" s="30" t="str">
        <x:v>Расхождений не обнаружено.</x:v>
      </x:c>
      <x:c r="V2762" s="87" t="str">
        <x:v>VERIFIED</x:v>
      </x:c>
      <x:c r="W2762" s="87" t="str">
        <x:v>Zadanie_KhI11_10092025.pdf, вариантная стр. 2</x:v>
      </x:c>
      <x:c r="X2762" s="87"/>
      <x:c r="Y2762" s="87"/>
      <x:c r="Z2762" s="87"/>
      <x:c r="AA2762" s="87"/>
      <x:c r="AB2762" s="87"/>
      <x:c r="AC2762" s="87"/>
      <x:c r="AD2762" s="87"/>
      <x:c r="AE2762" s="87"/>
      <x:c r="AF2762" s="87"/>
      <x:c r="AG2762" s="87"/>
      <x:c r="AH2762" s="87"/>
      <x:c r="AI2762" s="30"/>
      <x:c r="AJ2762" s="87" t="str">
        <x:v>master</x:v>
      </x:c>
      <x:c r="AK2762" s="87" t="str">
        <x:v>master-v0.81</x:v>
      </x:c>
      <x:c r="AL2762" s="87" t="str">
        <x:v>statgrad_master_base_v0_81_final(2).xlsx</x:v>
      </x:c>
      <x:c r="AM2762" s="87" t="str">
        <x:v>CHEM_Sep_V2</x:v>
      </x:c>
      <x:c r="AN2762" s="87" t="n">
        <x:v>3</x:v>
      </x:c>
    </x:row>
    <x:row r="2763">
      <x:c r="A2763" s="87" t="n">
        <x:v>2762</x:v>
      </x:c>
      <x:c r="B2763" s="87" t="str">
        <x:v>SEP-CHEM-V2-003</x:v>
      </x:c>
      <x:c r="C2763" s="87" t="str">
        <x:v>СтатГрад</x:v>
      </x:c>
      <x:c r="D2763" s="87" t="str">
        <x:v>Сентябрь 2025</x:v>
      </x:c>
      <x:c r="E2763" s="87"/>
      <x:c r="F2763" s="87"/>
      <x:c r="G2763" s="87" t="str">
        <x:v>Химия</x:v>
      </x:c>
      <x:c r="H2763" s="87" t="n">
        <x:v>11</x:v>
      </x:c>
      <x:c r="I2763" s="87" t="str">
        <x:v>ТР №1</x:v>
      </x:c>
      <x:c r="J2763" s="87" t="str">
        <x:v>ХИ2510102</x:v>
      </x:c>
      <x:c r="K2763" s="87" t="n">
        <x:v>3</x:v>
      </x:c>
      <x:c r="L2763" s="87" t="str">
        <x:v>Валентность</x:v>
      </x:c>
      <x:c r="M2763" s="30" t="str">
        <x:v>Среди Cl, Mg, Be, Na и Ge выбрать элементы, образующие твёрдые соединения с ионом ЭO₂ⁿ⁻.</x:v>
      </x:c>
      <x:c r="N2763" s="30" t="str">
        <x:v>13</x:v>
      </x:c>
      <x:c r="O2763" s="30" t="str">
        <x:v>Cl образует соли с ионом ClO₂⁻, Be — бериллаты с ионом BeO₂²⁻.</x:v>
      </x:c>
      <x:c r="P2763" s="30" t="str">
        <x:v>Cl образует соли с ионом ClO₂⁻, Be — бериллаты с ионом BeO₂²⁻.</x:v>
      </x:c>
      <x:c r="Q2763" s="30"/>
      <x:c r="R2763" s="30" t="str">
        <x:v>Фото-сводка ответов + независимое решение</x:v>
      </x:c>
      <x:c r="S2763" s="30"/>
      <x:c r="T2763" s="30"/>
      <x:c r="U2763" s="30" t="str">
        <x:v>Расхождений не обнаружено.</x:v>
      </x:c>
      <x:c r="V2763" s="87" t="str">
        <x:v>VERIFIED</x:v>
      </x:c>
      <x:c r="W2763" s="87" t="str">
        <x:v>Zadanie_KhI11_10092025.pdf, вариантная стр. 2</x:v>
      </x:c>
      <x:c r="X2763" s="87"/>
      <x:c r="Y2763" s="87"/>
      <x:c r="Z2763" s="87"/>
      <x:c r="AA2763" s="87"/>
      <x:c r="AB2763" s="87"/>
      <x:c r="AC2763" s="87"/>
      <x:c r="AD2763" s="87"/>
      <x:c r="AE2763" s="87"/>
      <x:c r="AF2763" s="87"/>
      <x:c r="AG2763" s="87"/>
      <x:c r="AH2763" s="87"/>
      <x:c r="AI2763" s="30"/>
      <x:c r="AJ2763" s="87" t="str">
        <x:v>master</x:v>
      </x:c>
      <x:c r="AK2763" s="87" t="str">
        <x:v>master-v0.81</x:v>
      </x:c>
      <x:c r="AL2763" s="87" t="str">
        <x:v>statgrad_master_base_v0_81_final(2).xlsx</x:v>
      </x:c>
      <x:c r="AM2763" s="87" t="str">
        <x:v>CHEM_Sep_V2</x:v>
      </x:c>
      <x:c r="AN2763" s="87" t="n">
        <x:v>4</x:v>
      </x:c>
    </x:row>
    <x:row r="2764">
      <x:c r="A2764" s="87" t="n">
        <x:v>2763</x:v>
      </x:c>
      <x:c r="B2764" s="87" t="str">
        <x:v>SEP-CHEM-V2-004</x:v>
      </x:c>
      <x:c r="C2764" s="87" t="str">
        <x:v>СтатГрад</x:v>
      </x:c>
      <x:c r="D2764" s="87" t="str">
        <x:v>Сентябрь 2025</x:v>
      </x:c>
      <x:c r="E2764" s="87"/>
      <x:c r="F2764" s="87"/>
      <x:c r="G2764" s="87" t="str">
        <x:v>Химия</x:v>
      </x:c>
      <x:c r="H2764" s="87" t="n">
        <x:v>11</x:v>
      </x:c>
      <x:c r="I2764" s="87" t="str">
        <x:v>ТР №1</x:v>
      </x:c>
      <x:c r="J2764" s="87" t="str">
        <x:v>ХИ2510102</x:v>
      </x:c>
      <x:c r="K2764" s="87" t="n">
        <x:v>4</x:v>
      </x:c>
      <x:c r="L2764" s="87" t="str">
        <x:v>Типы химической связи</x:v>
      </x:c>
      <x:c r="M2764" s="30" t="str">
        <x:v>Выбрать два вещества с ван-дер-ваальсовыми связями: алмаз, C₆₀, NaCl, BN, N₂.</x:v>
      </x:c>
      <x:c r="N2764" s="30" t="str">
        <x:v>25</x:v>
      </x:c>
      <x:c r="O2764" s="30" t="str">
        <x:v>C₆₀ и N₂ образуют молекулярные кристаллы, удерживаемые ван-дер-ваальсовыми силами.</x:v>
      </x:c>
      <x:c r="P2764" s="30" t="str">
        <x:v>C₆₀ и N₂ образуют молекулярные кристаллы, удерживаемые ван-дер-ваальсовыми силами.</x:v>
      </x:c>
      <x:c r="Q2764" s="30"/>
      <x:c r="R2764" s="30" t="str">
        <x:v>Фото-сводка ответов + независимое решение</x:v>
      </x:c>
      <x:c r="S2764" s="30"/>
      <x:c r="T2764" s="30"/>
      <x:c r="U2764" s="30" t="str">
        <x:v>Расхождений не обнаружено.</x:v>
      </x:c>
      <x:c r="V2764" s="87" t="str">
        <x:v>VERIFIED</x:v>
      </x:c>
      <x:c r="W2764" s="87" t="str">
        <x:v>Zadanie_KhI11_10092025.pdf, вариантная стр. 3</x:v>
      </x:c>
      <x:c r="X2764" s="87"/>
      <x:c r="Y2764" s="87"/>
      <x:c r="Z2764" s="87"/>
      <x:c r="AA2764" s="87"/>
      <x:c r="AB2764" s="87"/>
      <x:c r="AC2764" s="87"/>
      <x:c r="AD2764" s="87"/>
      <x:c r="AE2764" s="87"/>
      <x:c r="AF2764" s="87"/>
      <x:c r="AG2764" s="87"/>
      <x:c r="AH2764" s="87"/>
      <x:c r="AI2764" s="30"/>
      <x:c r="AJ2764" s="87" t="str">
        <x:v>master</x:v>
      </x:c>
      <x:c r="AK2764" s="87" t="str">
        <x:v>master-v0.81</x:v>
      </x:c>
      <x:c r="AL2764" s="87" t="str">
        <x:v>statgrad_master_base_v0_81_final(2).xlsx</x:v>
      </x:c>
      <x:c r="AM2764" s="87" t="str">
        <x:v>CHEM_Sep_V2</x:v>
      </x:c>
      <x:c r="AN2764" s="87" t="n">
        <x:v>5</x:v>
      </x:c>
    </x:row>
    <x:row r="2765">
      <x:c r="A2765" s="87" t="n">
        <x:v>2764</x:v>
      </x:c>
      <x:c r="B2765" s="87" t="str">
        <x:v>SEP-CHEM-V2-005</x:v>
      </x:c>
      <x:c r="C2765" s="87" t="str">
        <x:v>СтатГрад</x:v>
      </x:c>
      <x:c r="D2765" s="87" t="str">
        <x:v>Сентябрь 2025</x:v>
      </x:c>
      <x:c r="E2765" s="87"/>
      <x:c r="F2765" s="87"/>
      <x:c r="G2765" s="87" t="str">
        <x:v>Химия</x:v>
      </x:c>
      <x:c r="H2765" s="87" t="n">
        <x:v>11</x:v>
      </x:c>
      <x:c r="I2765" s="87" t="str">
        <x:v>ТР №1</x:v>
      </x:c>
      <x:c r="J2765" s="87" t="str">
        <x:v>ХИ2510102</x:v>
      </x:c>
      <x:c r="K2765" s="87" t="n">
        <x:v>5</x:v>
      </x:c>
      <x:c r="L2765" s="87" t="str">
        <x:v>Классификация неорганических веществ</x:v>
      </x:c>
      <x:c r="M2765" s="30" t="str">
        <x:v>По таблице выбрать несолеобразующий оксид, двойную соль и амфотерный гидроксид.</x:v>
      </x:c>
      <x:c r="N2765" s="30" t="str">
        <x:v>794</x:v>
      </x:c>
      <x:c r="O2765" s="30" t="str">
        <x:v>N₂O — несолеобразующий оксид; соль Мора — двойная соль; Cr(OH)₃ амфотерен.</x:v>
      </x:c>
      <x:c r="P2765" s="30" t="str">
        <x:v>N₂O — несолеобразующий оксид; соль Мора — двойная соль; Cr(OH)₃ амфотерен.</x:v>
      </x:c>
      <x:c r="Q2765" s="30"/>
      <x:c r="R2765" s="30" t="str">
        <x:v>Фото-сводка ответов + независимое решение</x:v>
      </x:c>
      <x:c r="S2765" s="30"/>
      <x:c r="T2765" s="30"/>
      <x:c r="U2765" s="30" t="str">
        <x:v>Расхождений не обнаружено.</x:v>
      </x:c>
      <x:c r="V2765" s="87" t="str">
        <x:v>VERIFIED</x:v>
      </x:c>
      <x:c r="W2765" s="87" t="str">
        <x:v>Zadanie_KhI11_10092025.pdf, вариантная стр. 3</x:v>
      </x:c>
      <x:c r="X2765" s="87"/>
      <x:c r="Y2765" s="87"/>
      <x:c r="Z2765" s="87"/>
      <x:c r="AA2765" s="87"/>
      <x:c r="AB2765" s="87"/>
      <x:c r="AC2765" s="87"/>
      <x:c r="AD2765" s="87"/>
      <x:c r="AE2765" s="87"/>
      <x:c r="AF2765" s="87"/>
      <x:c r="AG2765" s="87"/>
      <x:c r="AH2765" s="87"/>
      <x:c r="AI2765" s="30"/>
      <x:c r="AJ2765" s="87" t="str">
        <x:v>master</x:v>
      </x:c>
      <x:c r="AK2765" s="87" t="str">
        <x:v>master-v0.81</x:v>
      </x:c>
      <x:c r="AL2765" s="87" t="str">
        <x:v>statgrad_master_base_v0_81_final(2).xlsx</x:v>
      </x:c>
      <x:c r="AM2765" s="87" t="str">
        <x:v>CHEM_Sep_V2</x:v>
      </x:c>
      <x:c r="AN2765" s="87" t="n">
        <x:v>6</x:v>
      </x:c>
    </x:row>
    <x:row r="2766">
      <x:c r="A2766" s="87" t="n">
        <x:v>2765</x:v>
      </x:c>
      <x:c r="B2766" s="87" t="str">
        <x:v>SEP-CHEM-V2-006</x:v>
      </x:c>
      <x:c r="C2766" s="87" t="str">
        <x:v>СтатГрад</x:v>
      </x:c>
      <x:c r="D2766" s="87" t="str">
        <x:v>Сентябрь 2025</x:v>
      </x:c>
      <x:c r="E2766" s="87"/>
      <x:c r="F2766" s="87"/>
      <x:c r="G2766" s="87" t="str">
        <x:v>Химия</x:v>
      </x:c>
      <x:c r="H2766" s="87" t="n">
        <x:v>11</x:v>
      </x:c>
      <x:c r="I2766" s="87" t="str">
        <x:v>ТР №1</x:v>
      </x:c>
      <x:c r="J2766" s="87" t="str">
        <x:v>ХИ2510102</x:v>
      </x:c>
      <x:c r="K2766" s="87" t="n">
        <x:v>6</x:v>
      </x:c>
      <x:c r="L2766" s="87" t="str">
        <x:v>Качественные реакции</x:v>
      </x:c>
      <x:c r="M2766" s="30" t="str">
        <x:v>К (NH₄)₂S добавить X: белый осадок и газ; добавить Y: тёмный осадок. Выбрать X и Y.</x:v>
      </x:c>
      <x:c r="N2766" s="30" t="str">
        <x:v>X=3; Y=2</x:v>
      </x:c>
      <x:c r="O2766" s="30" t="str">
        <x:v>AlCl₃ с (NH₄)₂S гидролизуется с образованием белого Al(OH)₃ и H₂S; CuSO₄ даёт тёмный CuS.</x:v>
      </x:c>
      <x:c r="P2766" s="30" t="str">
        <x:v>AlCl₃ с (NH₄)₂S гидролизуется с образованием белого Al(OH)₃ и H₂S; CuSO₄ даёт тёмный CuS.</x:v>
      </x:c>
      <x:c r="Q2766" s="30"/>
      <x:c r="R2766" s="30" t="str">
        <x:v>Фото-сводка ответов + независимое решение</x:v>
      </x:c>
      <x:c r="S2766" s="30"/>
      <x:c r="T2766" s="30"/>
      <x:c r="U2766" s="30" t="str">
        <x:v>Расхождений не обнаружено.</x:v>
      </x:c>
      <x:c r="V2766" s="87" t="str">
        <x:v>VERIFIED</x:v>
      </x:c>
      <x:c r="W2766" s="87" t="str">
        <x:v>Zadanie_KhI11_10092025.pdf, вариантная стр. 4</x:v>
      </x:c>
      <x:c r="X2766" s="87"/>
      <x:c r="Y2766" s="87"/>
      <x:c r="Z2766" s="87"/>
      <x:c r="AA2766" s="87"/>
      <x:c r="AB2766" s="87"/>
      <x:c r="AC2766" s="87"/>
      <x:c r="AD2766" s="87"/>
      <x:c r="AE2766" s="87"/>
      <x:c r="AF2766" s="87"/>
      <x:c r="AG2766" s="87"/>
      <x:c r="AH2766" s="87"/>
      <x:c r="AI2766" s="30"/>
      <x:c r="AJ2766" s="87" t="str">
        <x:v>master</x:v>
      </x:c>
      <x:c r="AK2766" s="87" t="str">
        <x:v>master-v0.81</x:v>
      </x:c>
      <x:c r="AL2766" s="87" t="str">
        <x:v>statgrad_master_base_v0_81_final(2).xlsx</x:v>
      </x:c>
      <x:c r="AM2766" s="87" t="str">
        <x:v>CHEM_Sep_V2</x:v>
      </x:c>
      <x:c r="AN2766" s="87" t="n">
        <x:v>7</x:v>
      </x:c>
    </x:row>
    <x:row r="2767">
      <x:c r="A2767" s="87" t="n">
        <x:v>2766</x:v>
      </x:c>
      <x:c r="B2767" s="87" t="str">
        <x:v>SEP-CHEM-V2-007</x:v>
      </x:c>
      <x:c r="C2767" s="87" t="str">
        <x:v>СтатГрад</x:v>
      </x:c>
      <x:c r="D2767" s="87" t="str">
        <x:v>Сентябрь 2025</x:v>
      </x:c>
      <x:c r="E2767" s="87"/>
      <x:c r="F2767" s="87"/>
      <x:c r="G2767" s="87" t="str">
        <x:v>Химия</x:v>
      </x:c>
      <x:c r="H2767" s="87" t="n">
        <x:v>11</x:v>
      </x:c>
      <x:c r="I2767" s="87" t="str">
        <x:v>ТР №1</x:v>
      </x:c>
      <x:c r="J2767" s="87" t="str">
        <x:v>ХИ2510102</x:v>
      </x:c>
      <x:c r="K2767" s="87" t="n">
        <x:v>7</x:v>
      </x:c>
      <x:c r="L2767" s="87" t="str">
        <x:v>Неорганические реакции: соответствие</x:v>
      </x:c>
      <x:c r="M2767" s="30" t="str">
        <x:v>Сопоставить H₂S, Ca(OH)₂, AlCl₃ и C с наборами из трёх реагентов.</x:v>
      </x:c>
      <x:c r="N2767" s="30" t="str">
        <x:v>3245</x:v>
      </x:c>
      <x:c r="O2767" s="30" t="str">
        <x:v>H₂S реагирует с SO₂, Cu(NO₃)₂, KOH; Ca(OH)₂ — с H₂SO₄, CO₂, NaF; AlCl₃ — с AgNO₃, NaHS, NaOH; C — с O₂, H₂SO₄, CuO.</x:v>
      </x:c>
      <x:c r="P2767" s="30" t="str">
        <x:v>H₂S реагирует с SO₂, Cu(NO₃)₂, KOH; Ca(OH)₂ — с H₂SO₄, CO₂, NaF; AlCl₃ — с AgNO₃, NaHS, NaOH; C — с O₂, H₂SO₄, CuO.</x:v>
      </x:c>
      <x:c r="Q2767" s="30"/>
      <x:c r="R2767" s="30" t="str">
        <x:v>Официальная таблица ответов в PDF критериев + независимое решение</x:v>
      </x:c>
      <x:c r="S2767" s="30"/>
      <x:c r="T2767" s="30"/>
      <x:c r="U2767" s="30" t="str">
        <x:v>Расхождений не обнаружено.</x:v>
      </x:c>
      <x:c r="V2767" s="87" t="str">
        <x:v>VERIFIED</x:v>
      </x:c>
      <x:c r="W2767" s="87" t="str">
        <x:v>Zadanie_KhI11_10092025.pdf, вариантная стр. 4</x:v>
      </x:c>
      <x:c r="X2767" s="87"/>
      <x:c r="Y2767" s="87"/>
      <x:c r="Z2767" s="87"/>
      <x:c r="AA2767" s="87"/>
      <x:c r="AB2767" s="87"/>
      <x:c r="AC2767" s="87"/>
      <x:c r="AD2767" s="87"/>
      <x:c r="AE2767" s="87"/>
      <x:c r="AF2767" s="87"/>
      <x:c r="AG2767" s="87"/>
      <x:c r="AH2767" s="87"/>
      <x:c r="AI2767" s="30"/>
      <x:c r="AJ2767" s="87" t="str">
        <x:v>master</x:v>
      </x:c>
      <x:c r="AK2767" s="87" t="str">
        <x:v>master-v0.81</x:v>
      </x:c>
      <x:c r="AL2767" s="87" t="str">
        <x:v>statgrad_master_base_v0_81_final(2).xlsx</x:v>
      </x:c>
      <x:c r="AM2767" s="87" t="str">
        <x:v>CHEM_Sep_V2</x:v>
      </x:c>
      <x:c r="AN2767" s="87" t="n">
        <x:v>8</x:v>
      </x:c>
    </x:row>
    <x:row r="2768">
      <x:c r="A2768" s="87" t="n">
        <x:v>2767</x:v>
      </x:c>
      <x:c r="B2768" s="87" t="str">
        <x:v>SEP-CHEM-V2-008</x:v>
      </x:c>
      <x:c r="C2768" s="87" t="str">
        <x:v>СтатГрад</x:v>
      </x:c>
      <x:c r="D2768" s="87" t="str">
        <x:v>Сентябрь 2025</x:v>
      </x:c>
      <x:c r="E2768" s="87"/>
      <x:c r="F2768" s="87"/>
      <x:c r="G2768" s="87" t="str">
        <x:v>Химия</x:v>
      </x:c>
      <x:c r="H2768" s="87" t="n">
        <x:v>11</x:v>
      </x:c>
      <x:c r="I2768" s="87" t="str">
        <x:v>ТР №1</x:v>
      </x:c>
      <x:c r="J2768" s="87" t="str">
        <x:v>ХИ2510102</x:v>
      </x:c>
      <x:c r="K2768" s="87" t="n">
        <x:v>8</x:v>
      </x:c>
      <x:c r="L2768" s="87" t="str">
        <x:v>Фосфор и его соединения</x:v>
      </x:c>
      <x:c r="M2768" s="30" t="str">
        <x:v>Сопоставить реакции Cl₂ с холодным/горячим NaOH, HClO₃+NaOH и Cl₂O+NaOH с продуктами.</x:v>
      </x:c>
      <x:c r="N2768" s="30" t="str">
        <x:v>4532</x:v>
      </x:c>
      <x:c r="O2768" s="30" t="str">
        <x:v>Холодная щёлочь: NaCl+NaClO; горячая: NaCl+NaClO₃; нейтрализация HClO₃ даёт NaClO₃; Cl₂O даёт NaClO.</x:v>
      </x:c>
      <x:c r="P2768" s="30" t="str">
        <x:v>Холодная щёлочь: NaCl+NaClO; горячая: NaCl+NaClO₃; нейтрализация HClO₃ даёт NaClO₃; Cl₂O даёт NaClO.</x:v>
      </x:c>
      <x:c r="Q2768" s="30"/>
      <x:c r="R2768" s="30" t="str">
        <x:v>Официальная таблица ответов в PDF критериев + независимое решение</x:v>
      </x:c>
      <x:c r="S2768" s="30"/>
      <x:c r="T2768" s="30"/>
      <x:c r="U2768" s="30" t="str">
        <x:v>Расхождений не обнаружено.</x:v>
      </x:c>
      <x:c r="V2768" s="87" t="str">
        <x:v>VERIFIED</x:v>
      </x:c>
      <x:c r="W2768" s="87" t="str">
        <x:v>Zadanie_KhI11_10092025.pdf, вариантная стр. 5</x:v>
      </x:c>
      <x:c r="X2768" s="87"/>
      <x:c r="Y2768" s="87"/>
      <x:c r="Z2768" s="87"/>
      <x:c r="AA2768" s="87"/>
      <x:c r="AB2768" s="87"/>
      <x:c r="AC2768" s="87"/>
      <x:c r="AD2768" s="87"/>
      <x:c r="AE2768" s="87"/>
      <x:c r="AF2768" s="87"/>
      <x:c r="AG2768" s="87"/>
      <x:c r="AH2768" s="87"/>
      <x:c r="AI2768" s="30"/>
      <x:c r="AJ2768" s="87" t="str">
        <x:v>master</x:v>
      </x:c>
      <x:c r="AK2768" s="87" t="str">
        <x:v>master-v0.81</x:v>
      </x:c>
      <x:c r="AL2768" s="87" t="str">
        <x:v>statgrad_master_base_v0_81_final(2).xlsx</x:v>
      </x:c>
      <x:c r="AM2768" s="87" t="str">
        <x:v>CHEM_Sep_V2</x:v>
      </x:c>
      <x:c r="AN2768" s="87" t="n">
        <x:v>9</x:v>
      </x:c>
    </x:row>
    <x:row r="2769">
      <x:c r="A2769" s="87" t="n">
        <x:v>2768</x:v>
      </x:c>
      <x:c r="B2769" s="87" t="str">
        <x:v>SEP-CHEM-V2-009</x:v>
      </x:c>
      <x:c r="C2769" s="87" t="str">
        <x:v>СтатГрад</x:v>
      </x:c>
      <x:c r="D2769" s="87" t="str">
        <x:v>Сентябрь 2025</x:v>
      </x:c>
      <x:c r="E2769" s="87"/>
      <x:c r="F2769" s="87"/>
      <x:c r="G2769" s="87" t="str">
        <x:v>Химия</x:v>
      </x:c>
      <x:c r="H2769" s="87" t="n">
        <x:v>11</x:v>
      </x:c>
      <x:c r="I2769" s="87" t="str">
        <x:v>ТР №1</x:v>
      </x:c>
      <x:c r="J2769" s="87" t="str">
        <x:v>ХИ2510102</x:v>
      </x:c>
      <x:c r="K2769" s="87" t="n">
        <x:v>9</x:v>
      </x:c>
      <x:c r="L2769" s="87" t="str">
        <x:v>Цепочка превращений: сера</x:v>
      </x:c>
      <x:c r="M2769" s="30" t="str">
        <x:v>Цепочка SO₂ → S → H₂SO₄: выбрать реагенты X и Y.</x:v>
      </x:c>
      <x:c r="N2769" s="30" t="str">
        <x:v>43</x:v>
      </x:c>
      <x:c r="O2769" s="30" t="str">
        <x:v>SO₂ восстанавливается H₂S до S; S окисляется HNO₃ до H₂SO₄.</x:v>
      </x:c>
      <x:c r="P2769" s="30" t="str">
        <x:v>SO₂ восстанавливается H₂S до S; S окисляется HNO₃ до H₂SO₄.</x:v>
      </x:c>
      <x:c r="Q2769" s="30"/>
      <x:c r="R2769" s="30" t="str">
        <x:v>Фото-сводка ответов + независимое решение</x:v>
      </x:c>
      <x:c r="S2769" s="30"/>
      <x:c r="T2769" s="30"/>
      <x:c r="U2769" s="30" t="str">
        <x:v>Расхождений не обнаружено.</x:v>
      </x:c>
      <x:c r="V2769" s="87" t="str">
        <x:v>VERIFIED</x:v>
      </x:c>
      <x:c r="W2769" s="87" t="str">
        <x:v>Zadanie_KhI11_10092025.pdf, вариантная стр. 5</x:v>
      </x:c>
      <x:c r="X2769" s="87"/>
      <x:c r="Y2769" s="87"/>
      <x:c r="Z2769" s="87"/>
      <x:c r="AA2769" s="87"/>
      <x:c r="AB2769" s="87"/>
      <x:c r="AC2769" s="87"/>
      <x:c r="AD2769" s="87"/>
      <x:c r="AE2769" s="87"/>
      <x:c r="AF2769" s="87"/>
      <x:c r="AG2769" s="87"/>
      <x:c r="AH2769" s="87"/>
      <x:c r="AI2769" s="30"/>
      <x:c r="AJ2769" s="87" t="str">
        <x:v>master</x:v>
      </x:c>
      <x:c r="AK2769" s="87" t="str">
        <x:v>master-v0.81</x:v>
      </x:c>
      <x:c r="AL2769" s="87" t="str">
        <x:v>statgrad_master_base_v0_81_final(2).xlsx</x:v>
      </x:c>
      <x:c r="AM2769" s="87" t="str">
        <x:v>CHEM_Sep_V2</x:v>
      </x:c>
      <x:c r="AN2769" s="87" t="n">
        <x:v>10</x:v>
      </x:c>
    </x:row>
    <x:row r="2770">
      <x:c r="A2770" s="87" t="n">
        <x:v>2769</x:v>
      </x:c>
      <x:c r="B2770" s="87" t="str">
        <x:v>SEP-CHEM-V2-010</x:v>
      </x:c>
      <x:c r="C2770" s="87" t="str">
        <x:v>СтатГрад</x:v>
      </x:c>
      <x:c r="D2770" s="87" t="str">
        <x:v>Сентябрь 2025</x:v>
      </x:c>
      <x:c r="E2770" s="87"/>
      <x:c r="F2770" s="87"/>
      <x:c r="G2770" s="87" t="str">
        <x:v>Химия</x:v>
      </x:c>
      <x:c r="H2770" s="87" t="n">
        <x:v>11</x:v>
      </x:c>
      <x:c r="I2770" s="87" t="str">
        <x:v>ТР №1</x:v>
      </x:c>
      <x:c r="J2770" s="87" t="str">
        <x:v>ХИ2510102</x:v>
      </x:c>
      <x:c r="K2770" s="87" t="n">
        <x:v>10</x:v>
      </x:c>
      <x:c r="L2770" s="87" t="str">
        <x:v>Гомологические ряды</x:v>
      </x:c>
      <x:c r="M2770" s="30" t="str">
        <x:v>По трём структурным формулам определить общие формулы гомологических рядов.</x:v>
      </x:c>
      <x:c r="N2770" s="30" t="str">
        <x:v>243</x:v>
      </x:c>
      <x:c r="O2770" s="30" t="str">
        <x:v>A: дициклопентил C₁₀H₁₈ = CnH₂n−2; Б: диэтиламин C₄H₁₁N = CnH₂n+3N; В: N-метиланилин C₇H₉N = CnH₂n−5N.</x:v>
      </x:c>
      <x:c r="P2770" s="30" t="str">
        <x:v>A: дициклопентил C₁₀H₁₈ = CnH₂n−2; Б: диэтиламин C₄H₁₁N = CnH₂n+3N; В: N-метиланилин C₇H₉N = CnH₂n−5N.</x:v>
      </x:c>
      <x:c r="Q2770" s="30"/>
      <x:c r="R2770" s="30" t="str">
        <x:v>Фото-сводка ответов + независимое решение</x:v>
      </x:c>
      <x:c r="S2770" s="30"/>
      <x:c r="T2770" s="30"/>
      <x:c r="U2770" s="30" t="str">
        <x:v>Расхождений не обнаружено.</x:v>
      </x:c>
      <x:c r="V2770" s="87" t="str">
        <x:v>VERIFIED</x:v>
      </x:c>
      <x:c r="W2770" s="87" t="str">
        <x:v>Zadanie_KhI11_10092025.pdf, вариантная стр. 6</x:v>
      </x:c>
      <x:c r="X2770" s="87"/>
      <x:c r="Y2770" s="87"/>
      <x:c r="Z2770" s="87"/>
      <x:c r="AA2770" s="87"/>
      <x:c r="AB2770" s="87"/>
      <x:c r="AC2770" s="87"/>
      <x:c r="AD2770" s="87"/>
      <x:c r="AE2770" s="87"/>
      <x:c r="AF2770" s="87"/>
      <x:c r="AG2770" s="87"/>
      <x:c r="AH2770" s="87"/>
      <x:c r="AI2770" s="30"/>
      <x:c r="AJ2770" s="87" t="str">
        <x:v>master</x:v>
      </x:c>
      <x:c r="AK2770" s="87" t="str">
        <x:v>master-v0.81</x:v>
      </x:c>
      <x:c r="AL2770" s="87" t="str">
        <x:v>statgrad_master_base_v0_81_final(2).xlsx</x:v>
      </x:c>
      <x:c r="AM2770" s="87" t="str">
        <x:v>CHEM_Sep_V2</x:v>
      </x:c>
      <x:c r="AN2770" s="87" t="n">
        <x:v>11</x:v>
      </x:c>
    </x:row>
    <x:row r="2771">
      <x:c r="A2771" s="87" t="n">
        <x:v>2770</x:v>
      </x:c>
      <x:c r="B2771" s="87" t="str">
        <x:v>SEP-CHEM-V2-011</x:v>
      </x:c>
      <x:c r="C2771" s="87" t="str">
        <x:v>СтатГрад</x:v>
      </x:c>
      <x:c r="D2771" s="87" t="str">
        <x:v>Сентябрь 2025</x:v>
      </x:c>
      <x:c r="E2771" s="87"/>
      <x:c r="F2771" s="87"/>
      <x:c r="G2771" s="87" t="str">
        <x:v>Химия</x:v>
      </x:c>
      <x:c r="H2771" s="87" t="n">
        <x:v>11</x:v>
      </x:c>
      <x:c r="I2771" s="87" t="str">
        <x:v>ТР №1</x:v>
      </x:c>
      <x:c r="J2771" s="87" t="str">
        <x:v>ХИ2510102</x:v>
      </x:c>
      <x:c r="K2771" s="87" t="n">
        <x:v>11</x:v>
      </x:c>
      <x:c r="L2771" s="87" t="str">
        <x:v>Оптическая изомерия</x:v>
      </x:c>
      <x:c r="M2771" s="30" t="str">
        <x:v>Выбрать вещества с геометрической (цис-транс) изомерией.</x:v>
      </x:c>
      <x:c r="N2771" s="30" t="str">
        <x:v>35</x:v>
      </x:c>
      <x:c r="O2771" s="30" t="str">
        <x:v>Цис-транс-изомерия возможна у гексена-3 и 1,2-дихлорциклогексана.</x:v>
      </x:c>
      <x:c r="P2771" s="30" t="str">
        <x:v>Цис-транс-изомерия возможна у гексена-3 и 1,2-дихлорциклогексана.</x:v>
      </x:c>
      <x:c r="Q2771" s="30"/>
      <x:c r="R2771" s="30" t="str">
        <x:v>Фото-сводка ответов + независимое решение</x:v>
      </x:c>
      <x:c r="S2771" s="30"/>
      <x:c r="T2771" s="30"/>
      <x:c r="U2771" s="30" t="str">
        <x:v>Расхождений не обнаружено.</x:v>
      </x:c>
      <x:c r="V2771" s="87" t="str">
        <x:v>VERIFIED</x:v>
      </x:c>
      <x:c r="W2771" s="87" t="str">
        <x:v>Zadanie_KhI11_10092025.pdf, вариантная стр. 6</x:v>
      </x:c>
      <x:c r="X2771" s="87"/>
      <x:c r="Y2771" s="87"/>
      <x:c r="Z2771" s="87"/>
      <x:c r="AA2771" s="87"/>
      <x:c r="AB2771" s="87"/>
      <x:c r="AC2771" s="87"/>
      <x:c r="AD2771" s="87"/>
      <x:c r="AE2771" s="87"/>
      <x:c r="AF2771" s="87"/>
      <x:c r="AG2771" s="87"/>
      <x:c r="AH2771" s="87"/>
      <x:c r="AI2771" s="30"/>
      <x:c r="AJ2771" s="87" t="str">
        <x:v>master</x:v>
      </x:c>
      <x:c r="AK2771" s="87" t="str">
        <x:v>master-v0.81</x:v>
      </x:c>
      <x:c r="AL2771" s="87" t="str">
        <x:v>statgrad_master_base_v0_81_final(2).xlsx</x:v>
      </x:c>
      <x:c r="AM2771" s="87" t="str">
        <x:v>CHEM_Sep_V2</x:v>
      </x:c>
      <x:c r="AN2771" s="87" t="n">
        <x:v>12</x:v>
      </x:c>
    </x:row>
    <x:row r="2772">
      <x:c r="A2772" s="87" t="n">
        <x:v>2771</x:v>
      </x:c>
      <x:c r="B2772" s="87" t="str">
        <x:v>SEP-CHEM-V2-012</x:v>
      </x:c>
      <x:c r="C2772" s="87" t="str">
        <x:v>СтатГрад</x:v>
      </x:c>
      <x:c r="D2772" s="87" t="str">
        <x:v>Сентябрь 2025</x:v>
      </x:c>
      <x:c r="E2772" s="87"/>
      <x:c r="F2772" s="87"/>
      <x:c r="G2772" s="87" t="str">
        <x:v>Химия</x:v>
      </x:c>
      <x:c r="H2772" s="87" t="n">
        <x:v>11</x:v>
      </x:c>
      <x:c r="I2772" s="87" t="str">
        <x:v>ТР №1</x:v>
      </x:c>
      <x:c r="J2772" s="87" t="str">
        <x:v>ХИ2510102</x:v>
      </x:c>
      <x:c r="K2772" s="87" t="n">
        <x:v>12</x:v>
      </x:c>
      <x:c r="L2772" s="87" t="str">
        <x:v>Свойства углеводородов</x:v>
      </x:c>
      <x:c r="M2772" s="30" t="str">
        <x:v>Выбрать вещества, реагирующие с ацетиленом, но не реагирующие с толуолом.</x:v>
      </x:c>
      <x:c r="N2772" s="30" t="str">
        <x:v>13</x:v>
      </x:c>
      <x:c r="O2772" s="30" t="str">
        <x:v>HCl присоединяется к ацетилену, вода гидратирует его; с толуолом в стандартных условиях эти вещества не реагируют.</x:v>
      </x:c>
      <x:c r="P2772" s="30" t="str">
        <x:v>HCl присоединяется к ацетилену, вода гидратирует его; с толуолом в стандартных условиях эти вещества не реагируют.</x:v>
      </x:c>
      <x:c r="Q2772" s="30"/>
      <x:c r="R2772" s="30" t="str">
        <x:v>Независимое решение; №12 отсутствует в фото-сводке и таблице критериев</x:v>
      </x:c>
      <x:c r="S2772" s="30"/>
      <x:c r="T2772" s="30"/>
      <x:c r="U2772" s="30" t="str">
        <x:v>Расхождений не обнаружено.</x:v>
      </x:c>
      <x:c r="V2772" s="87" t="str">
        <x:v>VERIFIED</x:v>
      </x:c>
      <x:c r="W2772" s="87" t="str">
        <x:v>Zadanie_KhI11_10092025.pdf, вариантная стр. 6</x:v>
      </x:c>
      <x:c r="X2772" s="87"/>
      <x:c r="Y2772" s="87"/>
      <x:c r="Z2772" s="87"/>
      <x:c r="AA2772" s="87"/>
      <x:c r="AB2772" s="87"/>
      <x:c r="AC2772" s="87"/>
      <x:c r="AD2772" s="87"/>
      <x:c r="AE2772" s="87"/>
      <x:c r="AF2772" s="87"/>
      <x:c r="AG2772" s="87"/>
      <x:c r="AH2772" s="87"/>
      <x:c r="AI2772" s="30"/>
      <x:c r="AJ2772" s="87" t="str">
        <x:v>master</x:v>
      </x:c>
      <x:c r="AK2772" s="87" t="str">
        <x:v>master-v0.81</x:v>
      </x:c>
      <x:c r="AL2772" s="87" t="str">
        <x:v>statgrad_master_base_v0_81_final(2).xlsx</x:v>
      </x:c>
      <x:c r="AM2772" s="87" t="str">
        <x:v>CHEM_Sep_V2</x:v>
      </x:c>
      <x:c r="AN2772" s="87" t="n">
        <x:v>13</x:v>
      </x:c>
    </x:row>
    <x:row r="2773">
      <x:c r="A2773" s="87" t="n">
        <x:v>2772</x:v>
      </x:c>
      <x:c r="B2773" s="87" t="str">
        <x:v>SEP-CHEM-V2-013</x:v>
      </x:c>
      <x:c r="C2773" s="87" t="str">
        <x:v>СтатГрад</x:v>
      </x:c>
      <x:c r="D2773" s="87" t="str">
        <x:v>Сентябрь 2025</x:v>
      </x:c>
      <x:c r="E2773" s="87"/>
      <x:c r="F2773" s="87"/>
      <x:c r="G2773" s="87" t="str">
        <x:v>Химия</x:v>
      </x:c>
      <x:c r="H2773" s="87" t="n">
        <x:v>11</x:v>
      </x:c>
      <x:c r="I2773" s="87" t="str">
        <x:v>ТР №1</x:v>
      </x:c>
      <x:c r="J2773" s="87" t="str">
        <x:v>ХИ2510102</x:v>
      </x:c>
      <x:c r="K2773" s="87" t="n">
        <x:v>13</x:v>
      </x:c>
      <x:c r="L2773" s="87" t="str">
        <x:v>Гидролиз органических веществ</x:v>
      </x:c>
      <x:c r="M2773" s="30" t="str">
        <x:v>Выбрать вещества, гидролизующиеся в кислой среде с образованием глюкозы.</x:v>
      </x:c>
      <x:c r="N2773" s="30" t="str">
        <x:v>35</x:v>
      </x:c>
      <x:c r="O2773" s="30" t="str">
        <x:v>Гликоген и мальтоза при кислотном гидролизе образуют глюкозу.</x:v>
      </x:c>
      <x:c r="P2773" s="30" t="str">
        <x:v>Гликоген и мальтоза при кислотном гидролизе образуют глюкозу.</x:v>
      </x:c>
      <x:c r="Q2773" s="30"/>
      <x:c r="R2773" s="30" t="str">
        <x:v>Фото-сводка ответов + независимое решение</x:v>
      </x:c>
      <x:c r="S2773" s="30"/>
      <x:c r="T2773" s="30"/>
      <x:c r="U2773" s="30" t="str">
        <x:v>Расхождений не обнаружено.</x:v>
      </x:c>
      <x:c r="V2773" s="87" t="str">
        <x:v>VERIFIED</x:v>
      </x:c>
      <x:c r="W2773" s="87" t="str">
        <x:v>Zadanie_KhI11_10092025.pdf, вариантная стр. 7</x:v>
      </x:c>
      <x:c r="X2773" s="87"/>
      <x:c r="Y2773" s="87"/>
      <x:c r="Z2773" s="87"/>
      <x:c r="AA2773" s="87"/>
      <x:c r="AB2773" s="87"/>
      <x:c r="AC2773" s="87"/>
      <x:c r="AD2773" s="87"/>
      <x:c r="AE2773" s="87"/>
      <x:c r="AF2773" s="87"/>
      <x:c r="AG2773" s="87"/>
      <x:c r="AH2773" s="87"/>
      <x:c r="AI2773" s="30"/>
      <x:c r="AJ2773" s="87" t="str">
        <x:v>master</x:v>
      </x:c>
      <x:c r="AK2773" s="87" t="str">
        <x:v>master-v0.81</x:v>
      </x:c>
      <x:c r="AL2773" s="87" t="str">
        <x:v>statgrad_master_base_v0_81_final(2).xlsx</x:v>
      </x:c>
      <x:c r="AM2773" s="87" t="str">
        <x:v>CHEM_Sep_V2</x:v>
      </x:c>
      <x:c r="AN2773" s="87" t="n">
        <x:v>14</x:v>
      </x:c>
    </x:row>
    <x:row r="2774">
      <x:c r="A2774" s="87" t="n">
        <x:v>2773</x:v>
      </x:c>
      <x:c r="B2774" s="87" t="str">
        <x:v>SEP-CHEM-V2-014</x:v>
      </x:c>
      <x:c r="C2774" s="87" t="str">
        <x:v>СтатГрад</x:v>
      </x:c>
      <x:c r="D2774" s="87" t="str">
        <x:v>Сентябрь 2025</x:v>
      </x:c>
      <x:c r="E2774" s="87"/>
      <x:c r="F2774" s="87"/>
      <x:c r="G2774" s="87" t="str">
        <x:v>Химия</x:v>
      </x:c>
      <x:c r="H2774" s="87" t="n">
        <x:v>11</x:v>
      </x:c>
      <x:c r="I2774" s="87" t="str">
        <x:v>ТР №1</x:v>
      </x:c>
      <x:c r="J2774" s="87" t="str">
        <x:v>ХИ2510102</x:v>
      </x:c>
      <x:c r="K2774" s="87" t="n">
        <x:v>14</x:v>
      </x:c>
      <x:c r="L2774" s="87" t="str">
        <x:v>Органические реакции: продукты</x:v>
      </x:c>
      <x:c r="M2774" s="30" t="str">
        <x:v>Сопоставить четыре органические реакции с преимущественными продуктами.</x:v>
      </x:c>
      <x:c r="N2774" s="30" t="str">
        <x:v>6421</x:v>
      </x:c>
      <x:c r="O2774" s="30" t="str">
        <x:v>Стирол окисляется до бензойной кислоты; реакция Вюрца даёт 2,3-диметилбутан; избыток HCl с пропином — 2,2-дихлорпропан; циклопропан раскрывается до 1-хлорпропана.</x:v>
      </x:c>
      <x:c r="P2774" s="30" t="str">
        <x:v>Стирол окисляется до бензойной кислоты; реакция Вюрца даёт 2,3-диметилбутан; избыток HCl с пропином — 2,2-дихлорпропан; циклопропан раскрывается до 1-хлорпропана.</x:v>
      </x:c>
      <x:c r="Q2774" s="30"/>
      <x:c r="R2774" s="30" t="str">
        <x:v>Официальная таблица ответов в PDF критериев + независимое решение</x:v>
      </x:c>
      <x:c r="S2774" s="30"/>
      <x:c r="T2774" s="30"/>
      <x:c r="U2774" s="30" t="str">
        <x:v>Расхождений не обнаружено.</x:v>
      </x:c>
      <x:c r="V2774" s="87" t="str">
        <x:v>VERIFIED</x:v>
      </x:c>
      <x:c r="W2774" s="87" t="str">
        <x:v>Zadanie_KhI11_10092025.pdf, вариантная стр. 7</x:v>
      </x:c>
      <x:c r="X2774" s="87"/>
      <x:c r="Y2774" s="87"/>
      <x:c r="Z2774" s="87"/>
      <x:c r="AA2774" s="87"/>
      <x:c r="AB2774" s="87"/>
      <x:c r="AC2774" s="87"/>
      <x:c r="AD2774" s="87"/>
      <x:c r="AE2774" s="87"/>
      <x:c r="AF2774" s="87"/>
      <x:c r="AG2774" s="87"/>
      <x:c r="AH2774" s="87"/>
      <x:c r="AI2774" s="30"/>
      <x:c r="AJ2774" s="87" t="str">
        <x:v>master</x:v>
      </x:c>
      <x:c r="AK2774" s="87" t="str">
        <x:v>master-v0.81</x:v>
      </x:c>
      <x:c r="AL2774" s="87" t="str">
        <x:v>statgrad_master_base_v0_81_final(2).xlsx</x:v>
      </x:c>
      <x:c r="AM2774" s="87" t="str">
        <x:v>CHEM_Sep_V2</x:v>
      </x:c>
      <x:c r="AN2774" s="87" t="n">
        <x:v>15</x:v>
      </x:c>
    </x:row>
    <x:row r="2775">
      <x:c r="A2775" s="87" t="n">
        <x:v>2774</x:v>
      </x:c>
      <x:c r="B2775" s="87" t="str">
        <x:v>SEP-CHEM-V2-015</x:v>
      </x:c>
      <x:c r="C2775" s="87" t="str">
        <x:v>СтатГрад</x:v>
      </x:c>
      <x:c r="D2775" s="87" t="str">
        <x:v>Сентябрь 2025</x:v>
      </x:c>
      <x:c r="E2775" s="87"/>
      <x:c r="F2775" s="87"/>
      <x:c r="G2775" s="87" t="str">
        <x:v>Химия</x:v>
      </x:c>
      <x:c r="H2775" s="87" t="n">
        <x:v>11</x:v>
      </x:c>
      <x:c r="I2775" s="87" t="str">
        <x:v>ТР №1</x:v>
      </x:c>
      <x:c r="J2775" s="87" t="str">
        <x:v>ХИ2510102</x:v>
      </x:c>
      <x:c r="K2775" s="87" t="n">
        <x:v>15</x:v>
      </x:c>
      <x:c r="L2775" s="87" t="str">
        <x:v>Органические реакции: реагенты</x:v>
      </x:c>
      <x:c r="M2775" s="30" t="str">
        <x:v>По четырём схемам органических реакций определить реагент X.</x:v>
      </x:c>
      <x:c r="N2775" s="30" t="str">
        <x:v>3156</x:v>
      </x:c>
      <x:c r="O2775" s="30" t="str">
        <x:v>Ангидрид гидролизуется H₂O; карбоксилирование фенолята требует CO₂; первичный спирт окисляется KMnO₄; галоформная реакция кетона требует I₂.</x:v>
      </x:c>
      <x:c r="P2775" s="30" t="str">
        <x:v>Ангидрид гидролизуется H₂O; карбоксилирование фенолята требует CO₂; первичный спирт окисляется KMnO₄; галоформная реакция кетона требует I₂.</x:v>
      </x:c>
      <x:c r="Q2775" s="30"/>
      <x:c r="R2775" s="30" t="str">
        <x:v>Официальная таблица ответов в PDF критериев + независимое решение</x:v>
      </x:c>
      <x:c r="S2775" s="30"/>
      <x:c r="T2775" s="30"/>
      <x:c r="U2775" s="30" t="str">
        <x:v>Расхождений не обнаружено.</x:v>
      </x:c>
      <x:c r="V2775" s="87" t="str">
        <x:v>VERIFIED</x:v>
      </x:c>
      <x:c r="W2775" s="87" t="str">
        <x:v>Zadanie_KhI11_10092025.pdf, вариантная стр. 8</x:v>
      </x:c>
      <x:c r="X2775" s="87"/>
      <x:c r="Y2775" s="87"/>
      <x:c r="Z2775" s="87"/>
      <x:c r="AA2775" s="87"/>
      <x:c r="AB2775" s="87"/>
      <x:c r="AC2775" s="87"/>
      <x:c r="AD2775" s="87"/>
      <x:c r="AE2775" s="87"/>
      <x:c r="AF2775" s="87"/>
      <x:c r="AG2775" s="87"/>
      <x:c r="AH2775" s="87"/>
      <x:c r="AI2775" s="30"/>
      <x:c r="AJ2775" s="87" t="str">
        <x:v>master</x:v>
      </x:c>
      <x:c r="AK2775" s="87" t="str">
        <x:v>master-v0.81</x:v>
      </x:c>
      <x:c r="AL2775" s="87" t="str">
        <x:v>statgrad_master_base_v0_81_final(2).xlsx</x:v>
      </x:c>
      <x:c r="AM2775" s="87" t="str">
        <x:v>CHEM_Sep_V2</x:v>
      </x:c>
      <x:c r="AN2775" s="87" t="n">
        <x:v>16</x:v>
      </x:c>
    </x:row>
    <x:row r="2776">
      <x:c r="A2776" s="87" t="n">
        <x:v>2775</x:v>
      </x:c>
      <x:c r="B2776" s="87" t="str">
        <x:v>SEP-CHEM-V2-016</x:v>
      </x:c>
      <x:c r="C2776" s="87" t="str">
        <x:v>СтатГрад</x:v>
      </x:c>
      <x:c r="D2776" s="87" t="str">
        <x:v>Сентябрь 2025</x:v>
      </x:c>
      <x:c r="E2776" s="87"/>
      <x:c r="F2776" s="87"/>
      <x:c r="G2776" s="87" t="str">
        <x:v>Химия</x:v>
      </x:c>
      <x:c r="H2776" s="87" t="n">
        <x:v>11</x:v>
      </x:c>
      <x:c r="I2776" s="87" t="str">
        <x:v>ТР №1</x:v>
      </x:c>
      <x:c r="J2776" s="87" t="str">
        <x:v>ХИ2510102</x:v>
      </x:c>
      <x:c r="K2776" s="87" t="n">
        <x:v>16</x:v>
      </x:c>
      <x:c r="L2776" s="87" t="str">
        <x:v>Цепочка превращений: органика</x:v>
      </x:c>
      <x:c r="M2776" s="30" t="str">
        <x:v>Цепочка CH₃CHO → X → (CH₃COO)₂Ca → Y: определить X и Y.</x:v>
      </x:c>
      <x:c r="N2776" s="30" t="str">
        <x:v>31</x:v>
      </x:c>
      <x:c r="O2776" s="30" t="str">
        <x:v>CH₃CHO в аммиачной среде окисляется до ацетата аммония; сухая перегонка ацетата кальция даёт ацетон.</x:v>
      </x:c>
      <x:c r="P2776" s="30" t="str">
        <x:v>CH₃CHO в аммиачной среде окисляется до ацетата аммония; сухая перегонка ацетата кальция даёт ацетон.</x:v>
      </x:c>
      <x:c r="Q2776" s="30"/>
      <x:c r="R2776" s="30" t="str">
        <x:v>Фото-сводка ответов + независимое решение</x:v>
      </x:c>
      <x:c r="S2776" s="30"/>
      <x:c r="T2776" s="30"/>
      <x:c r="U2776" s="30" t="str">
        <x:v>Расхождений не обнаружено.</x:v>
      </x:c>
      <x:c r="V2776" s="87" t="str">
        <x:v>VERIFIED</x:v>
      </x:c>
      <x:c r="W2776" s="87" t="str">
        <x:v>Zadanie_KhI11_10092025.pdf, вариантная стр. 8</x:v>
      </x:c>
      <x:c r="X2776" s="87"/>
      <x:c r="Y2776" s="87"/>
      <x:c r="Z2776" s="87"/>
      <x:c r="AA2776" s="87"/>
      <x:c r="AB2776" s="87"/>
      <x:c r="AC2776" s="87"/>
      <x:c r="AD2776" s="87"/>
      <x:c r="AE2776" s="87"/>
      <x:c r="AF2776" s="87"/>
      <x:c r="AG2776" s="87"/>
      <x:c r="AH2776" s="87"/>
      <x:c r="AI2776" s="30"/>
      <x:c r="AJ2776" s="87" t="str">
        <x:v>master</x:v>
      </x:c>
      <x:c r="AK2776" s="87" t="str">
        <x:v>master-v0.81</x:v>
      </x:c>
      <x:c r="AL2776" s="87" t="str">
        <x:v>statgrad_master_base_v0_81_final(2).xlsx</x:v>
      </x:c>
      <x:c r="AM2776" s="87" t="str">
        <x:v>CHEM_Sep_V2</x:v>
      </x:c>
      <x:c r="AN2776" s="87" t="n">
        <x:v>17</x:v>
      </x:c>
    </x:row>
    <x:row r="2777">
      <x:c r="A2777" s="87" t="n">
        <x:v>2776</x:v>
      </x:c>
      <x:c r="B2777" s="87" t="str">
        <x:v>SEP-CHEM-V2-017</x:v>
      </x:c>
      <x:c r="C2777" s="87" t="str">
        <x:v>СтатГрад</x:v>
      </x:c>
      <x:c r="D2777" s="87" t="str">
        <x:v>Сентябрь 2025</x:v>
      </x:c>
      <x:c r="E2777" s="87"/>
      <x:c r="F2777" s="87"/>
      <x:c r="G2777" s="87" t="str">
        <x:v>Химия</x:v>
      </x:c>
      <x:c r="H2777" s="87" t="n">
        <x:v>11</x:v>
      </x:c>
      <x:c r="I2777" s="87" t="str">
        <x:v>ТР №1</x:v>
      </x:c>
      <x:c r="J2777" s="87" t="str">
        <x:v>ХИ2510102</x:v>
      </x:c>
      <x:c r="K2777" s="87" t="n">
        <x:v>17</x:v>
      </x:c>
      <x:c r="L2777" s="87" t="str">
        <x:v>Классификация реакций</x:v>
      </x:c>
      <x:c r="M2777" s="30" t="str">
        <x:v>Сопоставить ржавление, FeS+HCl и нейтрализацию CH₃COOH+Ba(OH)₂ с типами реакций.</x:v>
      </x:c>
      <x:c r="N2777" s="30" t="str">
        <x:v>214</x:v>
      </x:c>
      <x:c r="O2777" s="30" t="str">
        <x:v>Ржавление — гетерогенная ОВР; FeS+HCl — гетерогенный обмен; нейтрализация растворов — гомогенный обмен.</x:v>
      </x:c>
      <x:c r="P2777" s="30" t="str">
        <x:v>Ржавление — гетерогенная ОВР; FeS+HCl — гетерогенный обмен; нейтрализация растворов — гомогенный обмен.</x:v>
      </x:c>
      <x:c r="Q2777" s="30"/>
      <x:c r="R2777" s="30" t="str">
        <x:v>Фото-сводка ответов + независимое решение</x:v>
      </x:c>
      <x:c r="S2777" s="30"/>
      <x:c r="T2777" s="30"/>
      <x:c r="U2777" s="30" t="str">
        <x:v>Расхождений не обнаружено.</x:v>
      </x:c>
      <x:c r="V2777" s="87" t="str">
        <x:v>VERIFIED</x:v>
      </x:c>
      <x:c r="W2777" s="87" t="str">
        <x:v>Zadanie_KhI11_10092025.pdf, вариантная стр. 9</x:v>
      </x:c>
      <x:c r="X2777" s="87"/>
      <x:c r="Y2777" s="87"/>
      <x:c r="Z2777" s="87"/>
      <x:c r="AA2777" s="87"/>
      <x:c r="AB2777" s="87"/>
      <x:c r="AC2777" s="87"/>
      <x:c r="AD2777" s="87"/>
      <x:c r="AE2777" s="87"/>
      <x:c r="AF2777" s="87"/>
      <x:c r="AG2777" s="87"/>
      <x:c r="AH2777" s="87"/>
      <x:c r="AI2777" s="30"/>
      <x:c r="AJ2777" s="87" t="str">
        <x:v>master</x:v>
      </x:c>
      <x:c r="AK2777" s="87" t="str">
        <x:v>master-v0.81</x:v>
      </x:c>
      <x:c r="AL2777" s="87" t="str">
        <x:v>statgrad_master_base_v0_81_final(2).xlsx</x:v>
      </x:c>
      <x:c r="AM2777" s="87" t="str">
        <x:v>CHEM_Sep_V2</x:v>
      </x:c>
      <x:c r="AN2777" s="87" t="n">
        <x:v>18</x:v>
      </x:c>
    </x:row>
    <x:row r="2778">
      <x:c r="A2778" s="87" t="n">
        <x:v>2777</x:v>
      </x:c>
      <x:c r="B2778" s="87" t="str">
        <x:v>SEP-CHEM-V2-018</x:v>
      </x:c>
      <x:c r="C2778" s="87" t="str">
        <x:v>СтатГрад</x:v>
      </x:c>
      <x:c r="D2778" s="87" t="str">
        <x:v>Сентябрь 2025</x:v>
      </x:c>
      <x:c r="E2778" s="87"/>
      <x:c r="F2778" s="87"/>
      <x:c r="G2778" s="87" t="str">
        <x:v>Химия</x:v>
      </x:c>
      <x:c r="H2778" s="87" t="n">
        <x:v>11</x:v>
      </x:c>
      <x:c r="I2778" s="87" t="str">
        <x:v>ТР №1</x:v>
      </x:c>
      <x:c r="J2778" s="87" t="str">
        <x:v>ХИ2510102</x:v>
      </x:c>
      <x:c r="K2778" s="87" t="n">
        <x:v>18</x:v>
      </x:c>
      <x:c r="L2778" s="87" t="str">
        <x:v>Скорость реакции и pH</x:v>
      </x:c>
      <x:c r="M2778" s="30" t="str">
        <x:v>Выбрать реакции, скорость которых возрастает при увеличении pH.</x:v>
      </x:c>
      <x:c r="N2778" s="30" t="str">
        <x:v>125</x:v>
      </x:c>
      <x:c r="O2778" s="30" t="str">
        <x:v>Повышение pH повышает концентрацию OH⁻ и ускоряет реакции Cl₂ с KOH/Ca(OH)₂ и Be со щёлочью.</x:v>
      </x:c>
      <x:c r="P2778" s="30" t="str">
        <x:v>Повышение pH повышает концентрацию OH⁻ и ускоряет реакции Cl₂ с KOH/Ca(OH)₂ и Be со щёлочью.</x:v>
      </x:c>
      <x:c r="Q2778" s="30"/>
      <x:c r="R2778" s="30" t="str">
        <x:v>Фото-сводка ответов + независимое решение</x:v>
      </x:c>
      <x:c r="S2778" s="30"/>
      <x:c r="T2778" s="30"/>
      <x:c r="U2778" s="30" t="str">
        <x:v>Расхождений не обнаружено.</x:v>
      </x:c>
      <x:c r="V2778" s="87" t="str">
        <x:v>VERIFIED</x:v>
      </x:c>
      <x:c r="W2778" s="87" t="str">
        <x:v>Zadanie_KhI11_10092025.pdf, вариантная стр. 9</x:v>
      </x:c>
      <x:c r="X2778" s="87"/>
      <x:c r="Y2778" s="87"/>
      <x:c r="Z2778" s="87"/>
      <x:c r="AA2778" s="87"/>
      <x:c r="AB2778" s="87"/>
      <x:c r="AC2778" s="87"/>
      <x:c r="AD2778" s="87"/>
      <x:c r="AE2778" s="87"/>
      <x:c r="AF2778" s="87"/>
      <x:c r="AG2778" s="87"/>
      <x:c r="AH2778" s="87"/>
      <x:c r="AI2778" s="30"/>
      <x:c r="AJ2778" s="87" t="str">
        <x:v>master</x:v>
      </x:c>
      <x:c r="AK2778" s="87" t="str">
        <x:v>master-v0.81</x:v>
      </x:c>
      <x:c r="AL2778" s="87" t="str">
        <x:v>statgrad_master_base_v0_81_final(2).xlsx</x:v>
      </x:c>
      <x:c r="AM2778" s="87" t="str">
        <x:v>CHEM_Sep_V2</x:v>
      </x:c>
      <x:c r="AN2778" s="87" t="n">
        <x:v>19</x:v>
      </x:c>
    </x:row>
    <x:row r="2779">
      <x:c r="A2779" s="87" t="n">
        <x:v>2778</x:v>
      </x:c>
      <x:c r="B2779" s="87" t="str">
        <x:v>SEP-CHEM-V2-019</x:v>
      </x:c>
      <x:c r="C2779" s="87" t="str">
        <x:v>СтатГрад</x:v>
      </x:c>
      <x:c r="D2779" s="87" t="str">
        <x:v>Сентябрь 2025</x:v>
      </x:c>
      <x:c r="E2779" s="87"/>
      <x:c r="F2779" s="87"/>
      <x:c r="G2779" s="87" t="str">
        <x:v>Химия</x:v>
      </x:c>
      <x:c r="H2779" s="87" t="n">
        <x:v>11</x:v>
      </x:c>
      <x:c r="I2779" s="87" t="str">
        <x:v>ТР №1</x:v>
      </x:c>
      <x:c r="J2779" s="87" t="str">
        <x:v>ХИ2510102</x:v>
      </x:c>
      <x:c r="K2779" s="87" t="n">
        <x:v>19</x:v>
      </x:c>
      <x:c r="L2779" s="87" t="str">
        <x:v>Электронный баланс</x:v>
      </x:c>
      <x:c r="M2779" s="30" t="str">
        <x:v>Для трёх ОВР определить число электронов, принятых атомом окислителя.</x:v>
      </x:c>
      <x:c r="N2779" s="30" t="str">
        <x:v>312</x:v>
      </x:c>
      <x:c r="O2779" s="30" t="str">
        <x:v>Si(+4)→Si(0): 4e; N(+3)→N(+2): 1e; N(+5)→N(+2): 3e.</x:v>
      </x:c>
      <x:c r="P2779" s="30" t="str">
        <x:v>Si(+4)→Si(0): 4e; N(+3)→N(+2): 1e; N(+5)→N(+2): 3e.</x:v>
      </x:c>
      <x:c r="Q2779" s="30"/>
      <x:c r="R2779" s="30" t="str">
        <x:v>Фото-сводка ответов + независимое решение</x:v>
      </x:c>
      <x:c r="S2779" s="30"/>
      <x:c r="T2779" s="30"/>
      <x:c r="U2779" s="30" t="str">
        <x:v>Расхождений не обнаружено.</x:v>
      </x:c>
      <x:c r="V2779" s="87" t="str">
        <x:v>VERIFIED</x:v>
      </x:c>
      <x:c r="W2779" s="87" t="str">
        <x:v>Zadanie_KhI11_10092025.pdf, вариантная стр. 10</x:v>
      </x:c>
      <x:c r="X2779" s="87"/>
      <x:c r="Y2779" s="87"/>
      <x:c r="Z2779" s="87"/>
      <x:c r="AA2779" s="87"/>
      <x:c r="AB2779" s="87"/>
      <x:c r="AC2779" s="87"/>
      <x:c r="AD2779" s="87"/>
      <x:c r="AE2779" s="87"/>
      <x:c r="AF2779" s="87"/>
      <x:c r="AG2779" s="87"/>
      <x:c r="AH2779" s="87"/>
      <x:c r="AI2779" s="30"/>
      <x:c r="AJ2779" s="87" t="str">
        <x:v>master</x:v>
      </x:c>
      <x:c r="AK2779" s="87" t="str">
        <x:v>master-v0.81</x:v>
      </x:c>
      <x:c r="AL2779" s="87" t="str">
        <x:v>statgrad_master_base_v0_81_final(2).xlsx</x:v>
      </x:c>
      <x:c r="AM2779" s="87" t="str">
        <x:v>CHEM_Sep_V2</x:v>
      </x:c>
      <x:c r="AN2779" s="87" t="n">
        <x:v>20</x:v>
      </x:c>
    </x:row>
    <x:row r="2780">
      <x:c r="A2780" s="87" t="n">
        <x:v>2779</x:v>
      </x:c>
      <x:c r="B2780" s="87" t="str">
        <x:v>SEP-CHEM-V2-020</x:v>
      </x:c>
      <x:c r="C2780" s="87" t="str">
        <x:v>СтатГрад</x:v>
      </x:c>
      <x:c r="D2780" s="87" t="str">
        <x:v>Сентябрь 2025</x:v>
      </x:c>
      <x:c r="E2780" s="87"/>
      <x:c r="F2780" s="87"/>
      <x:c r="G2780" s="87" t="str">
        <x:v>Химия</x:v>
      </x:c>
      <x:c r="H2780" s="87" t="n">
        <x:v>11</x:v>
      </x:c>
      <x:c r="I2780" s="87" t="str">
        <x:v>ТР №1</x:v>
      </x:c>
      <x:c r="J2780" s="87" t="str">
        <x:v>ХИ2510102</x:v>
      </x:c>
      <x:c r="K2780" s="87" t="n">
        <x:v>20</x:v>
      </x:c>
      <x:c r="L2780" s="87" t="str">
        <x:v>Электролиз</x:v>
      </x:c>
      <x:c r="M2780" s="30" t="str">
        <x:v>Сопоставить H₂SO₄, BaCl₂ и Hg(NO₃)₂ с продуктами на катоде при электролизе водных растворов.</x:v>
      </x:c>
      <x:c r="N2780" s="30" t="str">
        <x:v>231</x:v>
      </x:c>
      <x:c r="O2780" s="30" t="str">
        <x:v>В H₂SO₄ на катоде выделяется H₂; из BaCl₂ — H₂ с образованием щёлочи; Hg²⁺ восстанавливается до металла.</x:v>
      </x:c>
      <x:c r="P2780" s="30" t="str">
        <x:v>В H₂SO₄ на катоде выделяется H₂; из BaCl₂ — H₂ с образованием щёлочи; Hg²⁺ восстанавливается до металла.</x:v>
      </x:c>
      <x:c r="Q2780" s="30"/>
      <x:c r="R2780" s="30" t="str">
        <x:v>Фото-сводка ответов + независимое решение</x:v>
      </x:c>
      <x:c r="S2780" s="30"/>
      <x:c r="T2780" s="30"/>
      <x:c r="U2780" s="30" t="str">
        <x:v>Расхождений не обнаружено.</x:v>
      </x:c>
      <x:c r="V2780" s="87" t="str">
        <x:v>VERIFIED</x:v>
      </x:c>
      <x:c r="W2780" s="87" t="str">
        <x:v>Zadanie_KhI11_10092025.pdf, вариантная стр. 10</x:v>
      </x:c>
      <x:c r="X2780" s="87"/>
      <x:c r="Y2780" s="87"/>
      <x:c r="Z2780" s="87"/>
      <x:c r="AA2780" s="87"/>
      <x:c r="AB2780" s="87"/>
      <x:c r="AC2780" s="87"/>
      <x:c r="AD2780" s="87"/>
      <x:c r="AE2780" s="87"/>
      <x:c r="AF2780" s="87"/>
      <x:c r="AG2780" s="87"/>
      <x:c r="AH2780" s="87"/>
      <x:c r="AI2780" s="30"/>
      <x:c r="AJ2780" s="87" t="str">
        <x:v>master</x:v>
      </x:c>
      <x:c r="AK2780" s="87" t="str">
        <x:v>master-v0.81</x:v>
      </x:c>
      <x:c r="AL2780" s="87" t="str">
        <x:v>statgrad_master_base_v0_81_final(2).xlsx</x:v>
      </x:c>
      <x:c r="AM2780" s="87" t="str">
        <x:v>CHEM_Sep_V2</x:v>
      </x:c>
      <x:c r="AN2780" s="87" t="n">
        <x:v>21</x:v>
      </x:c>
    </x:row>
    <x:row r="2781">
      <x:c r="A2781" s="87" t="n">
        <x:v>2780</x:v>
      </x:c>
      <x:c r="B2781" s="87" t="str">
        <x:v>SEP-CHEM-V2-021</x:v>
      </x:c>
      <x:c r="C2781" s="87" t="str">
        <x:v>СтатГрад</x:v>
      </x:c>
      <x:c r="D2781" s="87" t="str">
        <x:v>Сентябрь 2025</x:v>
      </x:c>
      <x:c r="E2781" s="87"/>
      <x:c r="F2781" s="87"/>
      <x:c r="G2781" s="87" t="str">
        <x:v>Химия</x:v>
      </x:c>
      <x:c r="H2781" s="87" t="n">
        <x:v>11</x:v>
      </x:c>
      <x:c r="I2781" s="87" t="str">
        <x:v>ТР №1</x:v>
      </x:c>
      <x:c r="J2781" s="87" t="str">
        <x:v>ХИ2510102</x:v>
      </x:c>
      <x:c r="K2781" s="87" t="n">
        <x:v>21</x:v>
      </x:c>
      <x:c r="L2781" s="87" t="str">
        <x:v>pH растворов</x:v>
      </x:c>
      <x:c r="M2781" s="30" t="str">
        <x:v>Расположить растворы Ba(NO₂)₂, Ba(OH)₂, BaCl₂ и HNO₂ по убыванию pH.</x:v>
      </x:c>
      <x:c r="N2781" s="30" t="str">
        <x:v>2134</x:v>
      </x:c>
      <x:c r="O2781" s="30" t="str">
        <x:v>Ba(OH)₂ — сильное основание; Ba(NO₂)₂ гидролизуется по аниону; BaCl₂ нейтрален; HNO₂ — кислота.</x:v>
      </x:c>
      <x:c r="P2781" s="30" t="str">
        <x:v>Ba(OH)₂ — сильное основание; Ba(NO₂)₂ гидролизуется по аниону; BaCl₂ нейтрален; HNO₂ — кислота.</x:v>
      </x:c>
      <x:c r="Q2781" s="30"/>
      <x:c r="R2781" s="30" t="str">
        <x:v>Фото-сводка ответов + независимое решение</x:v>
      </x:c>
      <x:c r="S2781" s="30"/>
      <x:c r="T2781" s="30"/>
      <x:c r="U2781" s="30" t="str">
        <x:v>Расхождений не обнаружено.</x:v>
      </x:c>
      <x:c r="V2781" s="87" t="str">
        <x:v>VERIFIED</x:v>
      </x:c>
      <x:c r="W2781" s="87" t="str">
        <x:v>Zadanie_KhI11_10092025.pdf, вариантная стр. 11</x:v>
      </x:c>
      <x:c r="X2781" s="87"/>
      <x:c r="Y2781" s="87"/>
      <x:c r="Z2781" s="87"/>
      <x:c r="AA2781" s="87"/>
      <x:c r="AB2781" s="87"/>
      <x:c r="AC2781" s="87"/>
      <x:c r="AD2781" s="87"/>
      <x:c r="AE2781" s="87"/>
      <x:c r="AF2781" s="87"/>
      <x:c r="AG2781" s="87"/>
      <x:c r="AH2781" s="87"/>
      <x:c r="AI2781" s="30"/>
      <x:c r="AJ2781" s="87" t="str">
        <x:v>master</x:v>
      </x:c>
      <x:c r="AK2781" s="87" t="str">
        <x:v>master-v0.81</x:v>
      </x:c>
      <x:c r="AL2781" s="87" t="str">
        <x:v>statgrad_master_base_v0_81_final(2).xlsx</x:v>
      </x:c>
      <x:c r="AM2781" s="87" t="str">
        <x:v>CHEM_Sep_V2</x:v>
      </x:c>
      <x:c r="AN2781" s="87" t="n">
        <x:v>22</x:v>
      </x:c>
    </x:row>
    <x:row r="2782">
      <x:c r="A2782" s="87" t="n">
        <x:v>2781</x:v>
      </x:c>
      <x:c r="B2782" s="87" t="str">
        <x:v>SEP-CHEM-V2-022</x:v>
      </x:c>
      <x:c r="C2782" s="87" t="str">
        <x:v>СтатГрад</x:v>
      </x:c>
      <x:c r="D2782" s="87" t="str">
        <x:v>Сентябрь 2025</x:v>
      </x:c>
      <x:c r="E2782" s="87"/>
      <x:c r="F2782" s="87"/>
      <x:c r="G2782" s="87" t="str">
        <x:v>Химия</x:v>
      </x:c>
      <x:c r="H2782" s="87" t="n">
        <x:v>11</x:v>
      </x:c>
      <x:c r="I2782" s="87" t="str">
        <x:v>ТР №1</x:v>
      </x:c>
      <x:c r="J2782" s="87" t="str">
        <x:v>ХИ2510102</x:v>
      </x:c>
      <x:c r="K2782" s="87" t="n">
        <x:v>22</x:v>
      </x:c>
      <x:c r="L2782" s="87" t="str">
        <x:v>Химическое равновесие</x:v>
      </x:c>
      <x:c r="M2782" s="30" t="str">
        <x:v>Для равновесия растворения CaCO₃ сопоставить добавление CaCl₂, CaCO₃, давление и нагревание с направлением смещения.</x:v>
      </x:c>
      <x:c r="N2782" s="30" t="str">
        <x:v>2332</x:v>
      </x:c>
      <x:c r="O2782" s="30" t="str">
        <x:v>Ca²⁺ сдвигает растворение CaCO₃ влево; добавление твёрдого CaCO₃ и давление не влияют; нагревание экзотермического растворения сдвигает влево.</x:v>
      </x:c>
      <x:c r="P2782" s="30" t="str">
        <x:v>Ca²⁺ сдвигает растворение CaCO₃ влево; добавление твёрдого CaCO₃ и давление не влияют; нагревание экзотермического растворения сдвигает влево.</x:v>
      </x:c>
      <x:c r="Q2782" s="30"/>
      <x:c r="R2782" s="30" t="str">
        <x:v>Официальная таблица ответов в PDF критериев + независимое решение</x:v>
      </x:c>
      <x:c r="S2782" s="30"/>
      <x:c r="T2782" s="30"/>
      <x:c r="U2782" s="30" t="str">
        <x:v>Расхождений не обнаружено.</x:v>
      </x:c>
      <x:c r="V2782" s="87" t="str">
        <x:v>VERIFIED</x:v>
      </x:c>
      <x:c r="W2782" s="87" t="str">
        <x:v>Zadanie_KhI11_10092025.pdf, вариантная стр. 12</x:v>
      </x:c>
      <x:c r="X2782" s="87"/>
      <x:c r="Y2782" s="87"/>
      <x:c r="Z2782" s="87"/>
      <x:c r="AA2782" s="87"/>
      <x:c r="AB2782" s="87"/>
      <x:c r="AC2782" s="87"/>
      <x:c r="AD2782" s="87"/>
      <x:c r="AE2782" s="87"/>
      <x:c r="AF2782" s="87"/>
      <x:c r="AG2782" s="87"/>
      <x:c r="AH2782" s="87"/>
      <x:c r="AI2782" s="30"/>
      <x:c r="AJ2782" s="87" t="str">
        <x:v>master</x:v>
      </x:c>
      <x:c r="AK2782" s="87" t="str">
        <x:v>master-v0.81</x:v>
      </x:c>
      <x:c r="AL2782" s="87" t="str">
        <x:v>statgrad_master_base_v0_81_final(2).xlsx</x:v>
      </x:c>
      <x:c r="AM2782" s="87" t="str">
        <x:v>CHEM_Sep_V2</x:v>
      </x:c>
      <x:c r="AN2782" s="87" t="n">
        <x:v>23</x:v>
      </x:c>
    </x:row>
    <x:row r="2783">
      <x:c r="A2783" s="87" t="n">
        <x:v>2782</x:v>
      </x:c>
      <x:c r="B2783" s="87" t="str">
        <x:v>SEP-CHEM-V2-023</x:v>
      </x:c>
      <x:c r="C2783" s="87" t="str">
        <x:v>СтатГрад</x:v>
      </x:c>
      <x:c r="D2783" s="87" t="str">
        <x:v>Сентябрь 2025</x:v>
      </x:c>
      <x:c r="E2783" s="87"/>
      <x:c r="F2783" s="87"/>
      <x:c r="G2783" s="87" t="str">
        <x:v>Химия</x:v>
      </x:c>
      <x:c r="H2783" s="87" t="n">
        <x:v>11</x:v>
      </x:c>
      <x:c r="I2783" s="87" t="str">
        <x:v>ТР №1</x:v>
      </x:c>
      <x:c r="J2783" s="87" t="str">
        <x:v>ХИ2510102</x:v>
      </x:c>
      <x:c r="K2783" s="87" t="n">
        <x:v>23</x:v>
      </x:c>
      <x:c r="L2783" s="87" t="str">
        <x:v>Равновесные концентрации</x:v>
      </x:c>
      <x:c r="M2783" s="30" t="str">
        <x:v>Бензол и H₂ заданы в отношении 1:4; исходный H₂ 100 ммоль/л, равновесный циклогексан 20 ммоль/л. Найти X(C₆H₆) и Y(H₂).</x:v>
      </x:c>
      <x:c r="N2783" s="30" t="str">
        <x:v>X=1; Y=5</x:v>
      </x:c>
      <x:c r="O2783" s="30" t="str">
        <x:v>Исходно C₆H₆=25 ммоль/л. Образование 20 циклогексана расходует 20 бензола и 60 H₂: X=5, Y=40 ммоль/л.</x:v>
      </x:c>
      <x:c r="P2783" s="30" t="str">
        <x:v>Исходно C₆H₆=25 ммоль/л. Образование 20 циклогексана расходует 20 бензола и 60 H₂: X=5, Y=40 ммоль/л.</x:v>
      </x:c>
      <x:c r="Q2783" s="30"/>
      <x:c r="R2783" s="30" t="str">
        <x:v>Фото-сводка ответов + независимое решение</x:v>
      </x:c>
      <x:c r="S2783" s="30"/>
      <x:c r="T2783" s="30"/>
      <x:c r="U2783" s="30" t="str">
        <x:v>Расхождений не обнаружено.</x:v>
      </x:c>
      <x:c r="V2783" s="87" t="str">
        <x:v>VERIFIED</x:v>
      </x:c>
      <x:c r="W2783" s="87" t="str">
        <x:v>Zadanie_KhI11_10092025.pdf, вариантная стр. 13</x:v>
      </x:c>
      <x:c r="X2783" s="87"/>
      <x:c r="Y2783" s="87"/>
      <x:c r="Z2783" s="87"/>
      <x:c r="AA2783" s="87"/>
      <x:c r="AB2783" s="87"/>
      <x:c r="AC2783" s="87"/>
      <x:c r="AD2783" s="87"/>
      <x:c r="AE2783" s="87"/>
      <x:c r="AF2783" s="87"/>
      <x:c r="AG2783" s="87"/>
      <x:c r="AH2783" s="87"/>
      <x:c r="AI2783" s="30"/>
      <x:c r="AJ2783" s="87" t="str">
        <x:v>master</x:v>
      </x:c>
      <x:c r="AK2783" s="87" t="str">
        <x:v>master-v0.81</x:v>
      </x:c>
      <x:c r="AL2783" s="87" t="str">
        <x:v>statgrad_master_base_v0_81_final(2).xlsx</x:v>
      </x:c>
      <x:c r="AM2783" s="87" t="str">
        <x:v>CHEM_Sep_V2</x:v>
      </x:c>
      <x:c r="AN2783" s="87" t="n">
        <x:v>24</x:v>
      </x:c>
    </x:row>
    <x:row r="2784">
      <x:c r="A2784" s="87" t="n">
        <x:v>2783</x:v>
      </x:c>
      <x:c r="B2784" s="87" t="str">
        <x:v>SEP-CHEM-V2-024</x:v>
      </x:c>
      <x:c r="C2784" s="87" t="str">
        <x:v>СтатГрад</x:v>
      </x:c>
      <x:c r="D2784" s="87" t="str">
        <x:v>Сентябрь 2025</x:v>
      </x:c>
      <x:c r="E2784" s="87"/>
      <x:c r="F2784" s="87"/>
      <x:c r="G2784" s="87" t="str">
        <x:v>Химия</x:v>
      </x:c>
      <x:c r="H2784" s="87" t="n">
        <x:v>11</x:v>
      </x:c>
      <x:c r="I2784" s="87" t="str">
        <x:v>ТР №1</x:v>
      </x:c>
      <x:c r="J2784" s="87" t="str">
        <x:v>ХИ2510102</x:v>
      </x:c>
      <x:c r="K2784" s="87" t="n">
        <x:v>24</x:v>
      </x:c>
      <x:c r="L2784" s="87" t="str">
        <x:v>Качественный анализ</x:v>
      </x:c>
      <x:c r="M2784" s="30" t="str">
        <x:v>Сопоставить четыре пары растворов с реактивами, позволяющими их различить.</x:v>
      </x:c>
      <x:c r="N2784" s="30" t="str">
        <x:v>3215</x:v>
      </x:c>
      <x:c r="O2784" s="30" t="str">
        <x:v>Cu реагирует с разбавленной HNO₃, но не HCl; KOH выделяет NH₃ из аммонийной соли; BaCl₂ выявляет SO₄²⁻; фенолфталеин различает Ca(OH)₂ и CaCl₂.</x:v>
      </x:c>
      <x:c r="P2784" s="30" t="str">
        <x:v>Cu реагирует с разбавленной HNO₃, но не HCl; KOH выделяет NH₃ из аммонийной соли; BaCl₂ выявляет SO₄²⁻; фенолфталеин различает Ca(OH)₂ и CaCl₂.</x:v>
      </x:c>
      <x:c r="Q2784" s="30"/>
      <x:c r="R2784" s="30" t="str">
        <x:v>Официальная таблица ответов в PDF критериев + независимое решение</x:v>
      </x:c>
      <x:c r="S2784" s="30"/>
      <x:c r="T2784" s="30"/>
      <x:c r="U2784" s="30" t="str">
        <x:v>Расхождений не обнаружено.</x:v>
      </x:c>
      <x:c r="V2784" s="87" t="str">
        <x:v>VERIFIED</x:v>
      </x:c>
      <x:c r="W2784" s="87" t="str">
        <x:v>Zadanie_KhI11_10092025.pdf, вариантная стр. 13</x:v>
      </x:c>
      <x:c r="X2784" s="87"/>
      <x:c r="Y2784" s="87"/>
      <x:c r="Z2784" s="87"/>
      <x:c r="AA2784" s="87"/>
      <x:c r="AB2784" s="87"/>
      <x:c r="AC2784" s="87"/>
      <x:c r="AD2784" s="87"/>
      <x:c r="AE2784" s="87"/>
      <x:c r="AF2784" s="87"/>
      <x:c r="AG2784" s="87"/>
      <x:c r="AH2784" s="87"/>
      <x:c r="AI2784" s="30"/>
      <x:c r="AJ2784" s="87" t="str">
        <x:v>master</x:v>
      </x:c>
      <x:c r="AK2784" s="87" t="str">
        <x:v>master-v0.81</x:v>
      </x:c>
      <x:c r="AL2784" s="87" t="str">
        <x:v>statgrad_master_base_v0_81_final(2).xlsx</x:v>
      </x:c>
      <x:c r="AM2784" s="87" t="str">
        <x:v>CHEM_Sep_V2</x:v>
      </x:c>
      <x:c r="AN2784" s="87" t="n">
        <x:v>25</x:v>
      </x:c>
    </x:row>
    <x:row r="2785">
      <x:c r="A2785" s="87" t="n">
        <x:v>2784</x:v>
      </x:c>
      <x:c r="B2785" s="87" t="str">
        <x:v>SEP-CHEM-V2-025</x:v>
      </x:c>
      <x:c r="C2785" s="87" t="str">
        <x:v>СтатГрад</x:v>
      </x:c>
      <x:c r="D2785" s="87" t="str">
        <x:v>Сентябрь 2025</x:v>
      </x:c>
      <x:c r="E2785" s="87"/>
      <x:c r="F2785" s="87"/>
      <x:c r="G2785" s="87" t="str">
        <x:v>Химия</x:v>
      </x:c>
      <x:c r="H2785" s="87" t="n">
        <x:v>11</x:v>
      </x:c>
      <x:c r="I2785" s="87" t="str">
        <x:v>ТР №1</x:v>
      </x:c>
      <x:c r="J2785" s="87" t="str">
        <x:v>ХИ2510102</x:v>
      </x:c>
      <x:c r="K2785" s="87" t="n">
        <x:v>25</x:v>
      </x:c>
      <x:c r="L2785" s="87" t="str">
        <x:v>Промышленная химия</x:v>
      </x:c>
      <x:c r="M2785" s="30" t="str">
        <x:v>Сопоставить аммиак, метанол и кислород с промышленными способами получения.</x:v>
      </x:c>
      <x:c r="N2785" s="30" t="str">
        <x:v>231</x:v>
      </x:c>
      <x:c r="O2785" s="30" t="str">
        <x:v>NH₃ получают каталитическим синтезом N₂+H₂; CH₃OH — из синтез-газа; O₂ — перегонкой жидкого воздуха.</x:v>
      </x:c>
      <x:c r="P2785" s="30" t="str">
        <x:v>NH₃ получают каталитическим синтезом N₂+H₂; CH₃OH — из синтез-газа; O₂ — перегонкой жидкого воздуха.</x:v>
      </x:c>
      <x:c r="Q2785" s="30"/>
      <x:c r="R2785" s="30" t="str">
        <x:v>Фото-сводка ответов + независимое решение</x:v>
      </x:c>
      <x:c r="S2785" s="30"/>
      <x:c r="T2785" s="30"/>
      <x:c r="U2785" s="30" t="str">
        <x:v>Расхождений не обнаружено.</x:v>
      </x:c>
      <x:c r="V2785" s="87" t="str">
        <x:v>VERIFIED</x:v>
      </x:c>
      <x:c r="W2785" s="87" t="str">
        <x:v>Zadanie_KhI11_10092025.pdf, вариантная стр. 13</x:v>
      </x:c>
      <x:c r="X2785" s="87"/>
      <x:c r="Y2785" s="87"/>
      <x:c r="Z2785" s="87"/>
      <x:c r="AA2785" s="87"/>
      <x:c r="AB2785" s="87"/>
      <x:c r="AC2785" s="87"/>
      <x:c r="AD2785" s="87"/>
      <x:c r="AE2785" s="87"/>
      <x:c r="AF2785" s="87"/>
      <x:c r="AG2785" s="87"/>
      <x:c r="AH2785" s="87"/>
      <x:c r="AI2785" s="30"/>
      <x:c r="AJ2785" s="87" t="str">
        <x:v>master</x:v>
      </x:c>
      <x:c r="AK2785" s="87" t="str">
        <x:v>master-v0.81</x:v>
      </x:c>
      <x:c r="AL2785" s="87" t="str">
        <x:v>statgrad_master_base_v0_81_final(2).xlsx</x:v>
      </x:c>
      <x:c r="AM2785" s="87" t="str">
        <x:v>CHEM_Sep_V2</x:v>
      </x:c>
      <x:c r="AN2785" s="87" t="n">
        <x:v>26</x:v>
      </x:c>
    </x:row>
    <x:row r="2786">
      <x:c r="A2786" s="87" t="n">
        <x:v>2785</x:v>
      </x:c>
      <x:c r="B2786" s="87" t="str">
        <x:v>SEP-CHEM-V2-026</x:v>
      </x:c>
      <x:c r="C2786" s="87" t="str">
        <x:v>СтатГрад</x:v>
      </x:c>
      <x:c r="D2786" s="87" t="str">
        <x:v>Сентябрь 2025</x:v>
      </x:c>
      <x:c r="E2786" s="87"/>
      <x:c r="F2786" s="87"/>
      <x:c r="G2786" s="87" t="str">
        <x:v>Химия</x:v>
      </x:c>
      <x:c r="H2786" s="87" t="n">
        <x:v>11</x:v>
      </x:c>
      <x:c r="I2786" s="87" t="str">
        <x:v>ТР №1</x:v>
      </x:c>
      <x:c r="J2786" s="87" t="str">
        <x:v>ХИ2510102</x:v>
      </x:c>
      <x:c r="K2786" s="87" t="n">
        <x:v>26</x:v>
      </x:c>
      <x:c r="L2786" s="87" t="str">
        <x:v>Растворы и концентрации</x:v>
      </x:c>
      <x:c r="M2786" s="30" t="str">
        <x:v>Рассчитать объём 36,5%-й HCl (ρ=1,18 г/мл) для приготовления 800 мл раствора 0,5 моль/л.</x:v>
      </x:c>
      <x:c r="N2786" s="30" t="str">
        <x:v>34</x:v>
      </x:c>
      <x:c r="O2786" s="30" t="str">
        <x:v>n(HCl)=0,8·0,5=0,4 моль; m чистой HCl=14,6 г; m раствора=40 г; V=40/1,18≈34 мл.</x:v>
      </x:c>
      <x:c r="P2786" s="30" t="str">
        <x:v>n(HCl)=0,8·0,5=0,4 моль; m чистой HCl=14,6 г; m раствора=40 г; V=40/1,18≈34 мл.</x:v>
      </x:c>
      <x:c r="Q2786" s="30"/>
      <x:c r="R2786" s="30" t="str">
        <x:v>Фото-сводка ответов + независимое решение</x:v>
      </x:c>
      <x:c r="S2786" s="30"/>
      <x:c r="T2786" s="30"/>
      <x:c r="U2786" s="30" t="str">
        <x:v>Расхождений не обнаружено.</x:v>
      </x:c>
      <x:c r="V2786" s="87" t="str">
        <x:v>VERIFIED</x:v>
      </x:c>
      <x:c r="W2786" s="87" t="str">
        <x:v>Zadanie_KhI11_10092025.pdf, вариантная стр. 14</x:v>
      </x:c>
      <x:c r="X2786" s="87"/>
      <x:c r="Y2786" s="87"/>
      <x:c r="Z2786" s="87"/>
      <x:c r="AA2786" s="87"/>
      <x:c r="AB2786" s="87"/>
      <x:c r="AC2786" s="87"/>
      <x:c r="AD2786" s="87"/>
      <x:c r="AE2786" s="87"/>
      <x:c r="AF2786" s="87"/>
      <x:c r="AG2786" s="87"/>
      <x:c r="AH2786" s="87"/>
      <x:c r="AI2786" s="30"/>
      <x:c r="AJ2786" s="87" t="str">
        <x:v>master</x:v>
      </x:c>
      <x:c r="AK2786" s="87" t="str">
        <x:v>master-v0.81</x:v>
      </x:c>
      <x:c r="AL2786" s="87" t="str">
        <x:v>statgrad_master_base_v0_81_final(2).xlsx</x:v>
      </x:c>
      <x:c r="AM2786" s="87" t="str">
        <x:v>CHEM_Sep_V2</x:v>
      </x:c>
      <x:c r="AN2786" s="87" t="n">
        <x:v>27</x:v>
      </x:c>
    </x:row>
    <x:row r="2787">
      <x:c r="A2787" s="87" t="n">
        <x:v>2786</x:v>
      </x:c>
      <x:c r="B2787" s="87" t="str">
        <x:v>SEP-CHEM-V2-027</x:v>
      </x:c>
      <x:c r="C2787" s="87" t="str">
        <x:v>СтатГрад</x:v>
      </x:c>
      <x:c r="D2787" s="87" t="str">
        <x:v>Сентябрь 2025</x:v>
      </x:c>
      <x:c r="E2787" s="87"/>
      <x:c r="F2787" s="87"/>
      <x:c r="G2787" s="87" t="str">
        <x:v>Химия</x:v>
      </x:c>
      <x:c r="H2787" s="87" t="n">
        <x:v>11</x:v>
      </x:c>
      <x:c r="I2787" s="87" t="str">
        <x:v>ТР №1</x:v>
      </x:c>
      <x:c r="J2787" s="87" t="str">
        <x:v>ХИ2510102</x:v>
      </x:c>
      <x:c r="K2787" s="87" t="n">
        <x:v>27</x:v>
      </x:c>
      <x:c r="L2787" s="87" t="str">
        <x:v>Термохимия</x:v>
      </x:c>
      <x:c r="M2787" s="30" t="str">
        <x:v>По теплоте сгорания 0,5 моль бутана определить Q в уравнении для 2 моль бутана.</x:v>
      </x:c>
      <x:c r="N2787" s="30" t="str">
        <x:v>5300</x:v>
      </x:c>
      <x:c r="O2787" s="30" t="str">
        <x:v>11,2 л =0,5 моль C₄H₁₀. Для 2 моль Q=1325·2/0,5=5300 кДж.</x:v>
      </x:c>
      <x:c r="P2787" s="30" t="str">
        <x:v>11,2 л =0,5 моль C₄H₁₀. Для 2 моль Q=1325·2/0,5=5300 кДж.</x:v>
      </x:c>
      <x:c r="Q2787" s="30"/>
      <x:c r="R2787" s="30" t="str">
        <x:v>Фото-сводка ответов + независимое решение</x:v>
      </x:c>
      <x:c r="S2787" s="30"/>
      <x:c r="T2787" s="30"/>
      <x:c r="U2787" s="30" t="str">
        <x:v>Расхождений не обнаружено.</x:v>
      </x:c>
      <x:c r="V2787" s="87" t="str">
        <x:v>VERIFIED</x:v>
      </x:c>
      <x:c r="W2787" s="87" t="str">
        <x:v>Zadanie_KhI11_10092025.pdf, вариантная стр. 14</x:v>
      </x:c>
      <x:c r="X2787" s="87"/>
      <x:c r="Y2787" s="87"/>
      <x:c r="Z2787" s="87"/>
      <x:c r="AA2787" s="87"/>
      <x:c r="AB2787" s="87"/>
      <x:c r="AC2787" s="87"/>
      <x:c r="AD2787" s="87"/>
      <x:c r="AE2787" s="87"/>
      <x:c r="AF2787" s="87"/>
      <x:c r="AG2787" s="87"/>
      <x:c r="AH2787" s="87"/>
      <x:c r="AI2787" s="30"/>
      <x:c r="AJ2787" s="87" t="str">
        <x:v>master</x:v>
      </x:c>
      <x:c r="AK2787" s="87" t="str">
        <x:v>master-v0.81</x:v>
      </x:c>
      <x:c r="AL2787" s="87" t="str">
        <x:v>statgrad_master_base_v0_81_final(2).xlsx</x:v>
      </x:c>
      <x:c r="AM2787" s="87" t="str">
        <x:v>CHEM_Sep_V2</x:v>
      </x:c>
      <x:c r="AN2787" s="87" t="n">
        <x:v>28</x:v>
      </x:c>
    </x:row>
    <x:row r="2788">
      <x:c r="A2788" s="87" t="n">
        <x:v>2787</x:v>
      </x:c>
      <x:c r="B2788" s="87" t="str">
        <x:v>SEP-CHEM-V2-028</x:v>
      </x:c>
      <x:c r="C2788" s="87" t="str">
        <x:v>СтатГрад</x:v>
      </x:c>
      <x:c r="D2788" s="87" t="str">
        <x:v>Сентябрь 2025</x:v>
      </x:c>
      <x:c r="E2788" s="87"/>
      <x:c r="F2788" s="87"/>
      <x:c r="G2788" s="87" t="str">
        <x:v>Химия</x:v>
      </x:c>
      <x:c r="H2788" s="87" t="n">
        <x:v>11</x:v>
      </x:c>
      <x:c r="I2788" s="87" t="str">
        <x:v>ТР №1</x:v>
      </x:c>
      <x:c r="J2788" s="87" t="str">
        <x:v>ХИ2510102</x:v>
      </x:c>
      <x:c r="K2788" s="87" t="n">
        <x:v>28</x:v>
      </x:c>
      <x:c r="L2788" s="87" t="str">
        <x:v>Выход продукта</x:v>
      </x:c>
      <x:c r="M2788" s="30" t="str">
        <x:v>Рассчитать массу ацетона, полученного гидратацией 89,6 л пропина при выходе 75%.</x:v>
      </x:c>
      <x:c r="N2788" s="30" t="str">
        <x:v>174</x:v>
      </x:c>
      <x:c r="O2788" s="30" t="str">
        <x:v>89,6 л пропина =4 моль; образуется 4 моль ацетона, теоретически 232 г; при выходе 75% — 174 г.</x:v>
      </x:c>
      <x:c r="P2788" s="30" t="str">
        <x:v>89,6 л пропина =4 моль; образуется 4 моль ацетона, теоретически 232 г; при выходе 75% — 174 г.</x:v>
      </x:c>
      <x:c r="Q2788" s="30"/>
      <x:c r="R2788" s="30" t="str">
        <x:v>Фото-сводка ответов + независимое решение</x:v>
      </x:c>
      <x:c r="S2788" s="30"/>
      <x:c r="T2788" s="30"/>
      <x:c r="U2788" s="30" t="str">
        <x:v>Расхождений не обнаружено.</x:v>
      </x:c>
      <x:c r="V2788" s="87" t="str">
        <x:v>VERIFIED</x:v>
      </x:c>
      <x:c r="W2788" s="87" t="str">
        <x:v>Zadanie_KhI11_10092025.pdf, вариантная стр. 14</x:v>
      </x:c>
      <x:c r="X2788" s="87"/>
      <x:c r="Y2788" s="87"/>
      <x:c r="Z2788" s="87"/>
      <x:c r="AA2788" s="87"/>
      <x:c r="AB2788" s="87"/>
      <x:c r="AC2788" s="87"/>
      <x:c r="AD2788" s="87"/>
      <x:c r="AE2788" s="87"/>
      <x:c r="AF2788" s="87"/>
      <x:c r="AG2788" s="87"/>
      <x:c r="AH2788" s="87"/>
      <x:c r="AI2788" s="30"/>
      <x:c r="AJ2788" s="87" t="str">
        <x:v>master</x:v>
      </x:c>
      <x:c r="AK2788" s="87" t="str">
        <x:v>master-v0.81</x:v>
      </x:c>
      <x:c r="AL2788" s="87" t="str">
        <x:v>statgrad_master_base_v0_81_final(2).xlsx</x:v>
      </x:c>
      <x:c r="AM2788" s="87" t="str">
        <x:v>CHEM_Sep_V2</x:v>
      </x:c>
      <x:c r="AN2788" s="87" t="n">
        <x:v>29</x:v>
      </x:c>
    </x:row>
    <x:row r="2789">
      <x:c r="A2789" s="87" t="n">
        <x:v>2788</x:v>
      </x:c>
      <x:c r="B2789" s="87" t="str">
        <x:v>SEP-CHEM-V2-029</x:v>
      </x:c>
      <x:c r="C2789" s="87" t="str">
        <x:v>СтатГрад</x:v>
      </x:c>
      <x:c r="D2789" s="87" t="str">
        <x:v>Сентябрь 2025</x:v>
      </x:c>
      <x:c r="E2789" s="87"/>
      <x:c r="F2789" s="87"/>
      <x:c r="G2789" s="87" t="str">
        <x:v>Химия</x:v>
      </x:c>
      <x:c r="H2789" s="87" t="n">
        <x:v>11</x:v>
      </x:c>
      <x:c r="I2789" s="87" t="str">
        <x:v>ТР №1</x:v>
      </x:c>
      <x:c r="J2789" s="87" t="str">
        <x:v>ХИ2510102</x:v>
      </x:c>
      <x:c r="K2789" s="87" t="n">
        <x:v>29</x:v>
      </x:c>
      <x:c r="L2789" s="87" t="str">
        <x:v>Развёрнутый ответ: ОВР</x:v>
      </x:c>
      <x:c r="M2789" s="30" t="str">
        <x:v>Диспропорционирование K₂MnO₄ азотной кислотой с изменением цвета и образованием MnO₂; записать уравнение и баланс.</x:v>
      </x:c>
      <x:c r="N2789" s="30" t="str">
        <x:v>3K₂MnO₄ + 4HNO₃ → 2KMnO₄ + MnO₂↓ + 4KNO₃ + 2H₂O.
Баланс: Mn(+6)+2e⁻→Mn(+4); Mn(+6)−e⁻→Mn(+7) (×2).
K₂MnO₄ выступает и окислителем, и восстановителем.</x:v>
      </x:c>
      <x:c r="O2789" s="30" t="str">
        <x:v>Критерий независимо проверен по атомному/электронному балансу и расчётам.</x:v>
      </x:c>
      <x:c r="P2789" s="30" t="str">
        <x:v>Критерий независимо проверен по атомному/электронному балансу и расчётам.</x:v>
      </x:c>
      <x:c r="Q2789" s="30"/>
      <x:c r="R2789" s="30" t="str">
        <x:v>Официальные критерии архива + независимая проверка уравнений и расчётов</x:v>
      </x:c>
      <x:c r="S2789" s="30"/>
      <x:c r="T2789" s="30"/>
      <x:c r="U2789" s="30" t="str">
        <x:v>Расхождений не обнаружено.</x:v>
      </x:c>
      <x:c r="V2789" s="87" t="str">
        <x:v>VERIFIED</x:v>
      </x:c>
      <x:c r="W2789" s="87" t="str">
        <x:v>Zadanie_KhI11_10092025.pdf, вариантная стр. 15</x:v>
      </x:c>
      <x:c r="X2789" s="87"/>
      <x:c r="Y2789" s="87"/>
      <x:c r="Z2789" s="87"/>
      <x:c r="AA2789" s="87"/>
      <x:c r="AB2789" s="87"/>
      <x:c r="AC2789" s="87"/>
      <x:c r="AD2789" s="87"/>
      <x:c r="AE2789" s="87"/>
      <x:c r="AF2789" s="87"/>
      <x:c r="AG2789" s="87"/>
      <x:c r="AH2789" s="87"/>
      <x:c r="AI2789" s="30"/>
      <x:c r="AJ2789" s="87" t="str">
        <x:v>master</x:v>
      </x:c>
      <x:c r="AK2789" s="87" t="str">
        <x:v>master-v0.81</x:v>
      </x:c>
      <x:c r="AL2789" s="87" t="str">
        <x:v>statgrad_master_base_v0_81_final(2).xlsx</x:v>
      </x:c>
      <x:c r="AM2789" s="87" t="str">
        <x:v>CHEM_Sep_V2</x:v>
      </x:c>
      <x:c r="AN2789" s="87" t="n">
        <x:v>30</x:v>
      </x:c>
    </x:row>
    <x:row r="2790">
      <x:c r="A2790" s="87" t="n">
        <x:v>2789</x:v>
      </x:c>
      <x:c r="B2790" s="87" t="str">
        <x:v>SEP-CHEM-V2-030</x:v>
      </x:c>
      <x:c r="C2790" s="87" t="str">
        <x:v>СтатГрад</x:v>
      </x:c>
      <x:c r="D2790" s="87" t="str">
        <x:v>Сентябрь 2025</x:v>
      </x:c>
      <x:c r="E2790" s="87"/>
      <x:c r="F2790" s="87"/>
      <x:c r="G2790" s="87" t="str">
        <x:v>Химия</x:v>
      </x:c>
      <x:c r="H2790" s="87" t="n">
        <x:v>11</x:v>
      </x:c>
      <x:c r="I2790" s="87" t="str">
        <x:v>ТР №1</x:v>
      </x:c>
      <x:c r="J2790" s="87" t="str">
        <x:v>ХИ2510102</x:v>
      </x:c>
      <x:c r="K2790" s="87" t="n">
        <x:v>30</x:v>
      </x:c>
      <x:c r="L2790" s="87" t="str">
        <x:v>Развёрнутый ответ: ионный обмен</x:v>
      </x:c>
      <x:c r="M2790" s="30" t="str">
        <x:v>BaCO₃ + HNO₃: записать молекулярное, полное и сокращённое ионные уравнения реакции с выделением CO₂.</x:v>
      </x:c>
      <x:c r="N2790" s="30" t="str">
        <x:v>BaCO₃+2HNO₃→Ba(NO₃)₂+CO₂↑+H₂O.
Полное ионное: BaCO₃+2H⁺+2NO₃⁻→Ba²⁺+2NO₃⁻+CO₂+H₂O.
Сокращённое: BaCO₃+2H⁺→Ba²⁺+CO₂+H₂O.</x:v>
      </x:c>
      <x:c r="O2790" s="30" t="str">
        <x:v>Критерий независимо проверен по атомному/электронному балансу и расчётам.</x:v>
      </x:c>
      <x:c r="P2790" s="30" t="str">
        <x:v>Критерий независимо проверен по атомному/электронному балансу и расчётам.</x:v>
      </x:c>
      <x:c r="Q2790" s="30"/>
      <x:c r="R2790" s="30" t="str">
        <x:v>Официальные критерии архива + независимая проверка уравнений и расчётов</x:v>
      </x:c>
      <x:c r="S2790" s="30"/>
      <x:c r="T2790" s="30"/>
      <x:c r="U2790" s="30" t="str">
        <x:v>Расхождений не обнаружено.</x:v>
      </x:c>
      <x:c r="V2790" s="87" t="str">
        <x:v>VERIFIED</x:v>
      </x:c>
      <x:c r="W2790" s="87" t="str">
        <x:v>Zadanie_KhI11_10092025.pdf, вариантная стр. 15</x:v>
      </x:c>
      <x:c r="X2790" s="87"/>
      <x:c r="Y2790" s="87"/>
      <x:c r="Z2790" s="87"/>
      <x:c r="AA2790" s="87"/>
      <x:c r="AB2790" s="87"/>
      <x:c r="AC2790" s="87"/>
      <x:c r="AD2790" s="87"/>
      <x:c r="AE2790" s="87"/>
      <x:c r="AF2790" s="87"/>
      <x:c r="AG2790" s="87"/>
      <x:c r="AH2790" s="87"/>
      <x:c r="AI2790" s="30"/>
      <x:c r="AJ2790" s="87" t="str">
        <x:v>master</x:v>
      </x:c>
      <x:c r="AK2790" s="87" t="str">
        <x:v>master-v0.81</x:v>
      </x:c>
      <x:c r="AL2790" s="87" t="str">
        <x:v>statgrad_master_base_v0_81_final(2).xlsx</x:v>
      </x:c>
      <x:c r="AM2790" s="87" t="str">
        <x:v>CHEM_Sep_V2</x:v>
      </x:c>
      <x:c r="AN2790" s="87" t="n">
        <x:v>31</x:v>
      </x:c>
    </x:row>
    <x:row r="2791">
      <x:c r="A2791" s="87" t="n">
        <x:v>2790</x:v>
      </x:c>
      <x:c r="B2791" s="87" t="str">
        <x:v>SEP-CHEM-V2-031</x:v>
      </x:c>
      <x:c r="C2791" s="87" t="str">
        <x:v>СтатГрад</x:v>
      </x:c>
      <x:c r="D2791" s="87" t="str">
        <x:v>Сентябрь 2025</x:v>
      </x:c>
      <x:c r="E2791" s="87"/>
      <x:c r="F2791" s="87"/>
      <x:c r="G2791" s="87" t="str">
        <x:v>Химия</x:v>
      </x:c>
      <x:c r="H2791" s="87" t="n">
        <x:v>11</x:v>
      </x:c>
      <x:c r="I2791" s="87" t="str">
        <x:v>ТР №1</x:v>
      </x:c>
      <x:c r="J2791" s="87" t="str">
        <x:v>ХИ2510102</x:v>
      </x:c>
      <x:c r="K2791" s="87" t="n">
        <x:v>31</x:v>
      </x:c>
      <x:c r="L2791" s="87" t="str">
        <x:v>Развёрнутый ответ: неорганическая цепочка</x:v>
      </x:c>
      <x:c r="M2791" s="30" t="str">
        <x:v>AgNO₃ → Ag₂O → [Ag(NH₃)₂]OH; далее реакции комплекса с H₂O₂ и избытком HCl.</x:v>
      </x:c>
      <x:c r="N2791" s="30" t="str">
        <x:v>1) 2AgNO₃+2KOH→Ag₂O↓+2KNO₃+H₂O.
2) Ag₂O+4NH₃+H₂O→2[Ag(NH₃)₂]OH.
3) 2[Ag(NH₃)₂]OH+H₂O₂→O₂↑+2Ag↓+4NH₃+2H₂O.
4) [Ag(NH₃)₂]OH+3HCl→AgCl↓+2NH₄Cl+H₂O.</x:v>
      </x:c>
      <x:c r="O2791" s="30" t="str">
        <x:v>Критерий независимо проверен по атомному/электронному балансу и расчётам.</x:v>
      </x:c>
      <x:c r="P2791" s="30" t="str">
        <x:v>Критерий независимо проверен по атомному/электронному балансу и расчётам.</x:v>
      </x:c>
      <x:c r="Q2791" s="30"/>
      <x:c r="R2791" s="30" t="str">
        <x:v>Официальные критерии архива + независимая проверка уравнений и расчётов</x:v>
      </x:c>
      <x:c r="S2791" s="30"/>
      <x:c r="T2791" s="30"/>
      <x:c r="U2791" s="30" t="str">
        <x:v>Расхождений не обнаружено.</x:v>
      </x:c>
      <x:c r="V2791" s="87" t="str">
        <x:v>VERIFIED</x:v>
      </x:c>
      <x:c r="W2791" s="87" t="str">
        <x:v>Zadanie_KhI11_10092025.pdf, вариантная стр. 16</x:v>
      </x:c>
      <x:c r="X2791" s="87"/>
      <x:c r="Y2791" s="87"/>
      <x:c r="Z2791" s="87"/>
      <x:c r="AA2791" s="87"/>
      <x:c r="AB2791" s="87"/>
      <x:c r="AC2791" s="87"/>
      <x:c r="AD2791" s="87"/>
      <x:c r="AE2791" s="87"/>
      <x:c r="AF2791" s="87"/>
      <x:c r="AG2791" s="87"/>
      <x:c r="AH2791" s="87"/>
      <x:c r="AI2791" s="30"/>
      <x:c r="AJ2791" s="87" t="str">
        <x:v>master</x:v>
      </x:c>
      <x:c r="AK2791" s="87" t="str">
        <x:v>master-v0.81</x:v>
      </x:c>
      <x:c r="AL2791" s="87" t="str">
        <x:v>statgrad_master_base_v0_81_final(2).xlsx</x:v>
      </x:c>
      <x:c r="AM2791" s="87" t="str">
        <x:v>CHEM_Sep_V2</x:v>
      </x:c>
      <x:c r="AN2791" s="87" t="n">
        <x:v>32</x:v>
      </x:c>
    </x:row>
    <x:row r="2792">
      <x:c r="A2792" s="87" t="n">
        <x:v>2791</x:v>
      </x:c>
      <x:c r="B2792" s="87" t="str">
        <x:v>SEP-CHEM-V2-032</x:v>
      </x:c>
      <x:c r="C2792" s="87" t="str">
        <x:v>СтатГрад</x:v>
      </x:c>
      <x:c r="D2792" s="87" t="str">
        <x:v>Сентябрь 2025</x:v>
      </x:c>
      <x:c r="E2792" s="87"/>
      <x:c r="F2792" s="87"/>
      <x:c r="G2792" s="87" t="str">
        <x:v>Химия</x:v>
      </x:c>
      <x:c r="H2792" s="87" t="n">
        <x:v>11</x:v>
      </x:c>
      <x:c r="I2792" s="87" t="str">
        <x:v>ТР №1</x:v>
      </x:c>
      <x:c r="J2792" s="87" t="str">
        <x:v>ХИ2510102</x:v>
      </x:c>
      <x:c r="K2792" s="87" t="n">
        <x:v>32</x:v>
      </x:c>
      <x:c r="L2792" s="87" t="str">
        <x:v>Развёрнутый ответ: органическая цепочка</x:v>
      </x:c>
      <x:c r="M2792" s="30" t="str">
        <x:v>Этилацетат → ацетат кальция → ацетон → пропанол-2 → пропен → кумол.</x:v>
      </x:c>
      <x:c r="N2792" s="30" t="str">
        <x:v>1) 2CH₃COOC₂H₅+Ca(OH)₂→(CH₃COO)₂Ca+2C₂H₅OH.
2) (CH₃COO)₂Ca→CH₃COCH₃+CaCO₃.
3) CH₃COCH₃+H₂→CH₃CH(OH)CH₃.
4) CH₃CH(OH)CH₃→CH₃CH=CH₂+H₂O.
5) CH₃CH=CH₂+C₆H₆→C₆H₅CH(CH₃)₂.</x:v>
      </x:c>
      <x:c r="O2792" s="30" t="str">
        <x:v>Критерий независимо проверен по атомному/электронному балансу и расчётам.</x:v>
      </x:c>
      <x:c r="P2792" s="30" t="str">
        <x:v>Критерий независимо проверен по атомному/электронному балансу и расчётам.</x:v>
      </x:c>
      <x:c r="Q2792" s="30"/>
      <x:c r="R2792" s="30" t="str">
        <x:v>Официальные критерии архива + независимая проверка уравнений и расчётов</x:v>
      </x:c>
      <x:c r="S2792" s="30"/>
      <x:c r="T2792" s="30"/>
      <x:c r="U2792" s="30" t="str">
        <x:v>Расхождений не обнаружено.</x:v>
      </x:c>
      <x:c r="V2792" s="87" t="str">
        <x:v>VERIFIED</x:v>
      </x:c>
      <x:c r="W2792" s="87" t="str">
        <x:v>Zadanie_KhI11_10092025.pdf, вариантная стр. 16</x:v>
      </x:c>
      <x:c r="X2792" s="87"/>
      <x:c r="Y2792" s="87"/>
      <x:c r="Z2792" s="87"/>
      <x:c r="AA2792" s="87"/>
      <x:c r="AB2792" s="87"/>
      <x:c r="AC2792" s="87"/>
      <x:c r="AD2792" s="87"/>
      <x:c r="AE2792" s="87"/>
      <x:c r="AF2792" s="87"/>
      <x:c r="AG2792" s="87"/>
      <x:c r="AH2792" s="87"/>
      <x:c r="AI2792" s="30"/>
      <x:c r="AJ2792" s="87" t="str">
        <x:v>master</x:v>
      </x:c>
      <x:c r="AK2792" s="87" t="str">
        <x:v>master-v0.81</x:v>
      </x:c>
      <x:c r="AL2792" s="87" t="str">
        <x:v>statgrad_master_base_v0_81_final(2).xlsx</x:v>
      </x:c>
      <x:c r="AM2792" s="87" t="str">
        <x:v>CHEM_Sep_V2</x:v>
      </x:c>
      <x:c r="AN2792" s="87" t="n">
        <x:v>33</x:v>
      </x:c>
    </x:row>
    <x:row r="2793">
      <x:c r="A2793" s="87" t="n">
        <x:v>2792</x:v>
      </x:c>
      <x:c r="B2793" s="87" t="str">
        <x:v>SEP-CHEM-V2-033</x:v>
      </x:c>
      <x:c r="C2793" s="87" t="str">
        <x:v>СтатГрад</x:v>
      </x:c>
      <x:c r="D2793" s="87" t="str">
        <x:v>Сентябрь 2025</x:v>
      </x:c>
      <x:c r="E2793" s="87"/>
      <x:c r="F2793" s="87"/>
      <x:c r="G2793" s="87" t="str">
        <x:v>Химия</x:v>
      </x:c>
      <x:c r="H2793" s="87" t="n">
        <x:v>11</x:v>
      </x:c>
      <x:c r="I2793" s="87" t="str">
        <x:v>ТР №1</x:v>
      </x:c>
      <x:c r="J2793" s="87" t="str">
        <x:v>ХИ2510102</x:v>
      </x:c>
      <x:c r="K2793" s="87" t="n">
        <x:v>33</x:v>
      </x:c>
      <x:c r="L2793" s="87" t="str">
        <x:v>Развёрнутый ответ: установление формулы</x:v>
      </x:c>
      <x:c r="M2793" s="30" t="str">
        <x:v>По продуктам сгорания и гидролизу установить формулу и строение дихлорпроизводного, дающего симметричный двухатомный спирт.</x:v>
      </x:c>
      <x:c r="N2793" s="30" t="str">
        <x:v>n(C)=0,60; n(Cl)=0,40; n(H)=1,20 моль; отношение 3:6:2, формула C₃H₆Cl₂. Симметричный двухатомный спирт требует 1,3-дихлорпропан ClCH₂–CH₂–CH₂Cl.
ClCH₂–CH₂–CH₂Cl+2KOH(водн.)→HOCH₂–CH₂–CH₂OH+2KCl.</x:v>
      </x:c>
      <x:c r="O2793" s="30" t="str">
        <x:v>Критерий независимо проверен по атомному/электронному балансу и расчётам.</x:v>
      </x:c>
      <x:c r="P2793" s="30" t="str">
        <x:v>Критерий независимо проверен по атомному/электронному балансу и расчётам.</x:v>
      </x:c>
      <x:c r="Q2793" s="30"/>
      <x:c r="R2793" s="30" t="str">
        <x:v>Официальные критерии архива + независимая проверка уравнений и расчётов</x:v>
      </x:c>
      <x:c r="S2793" s="30"/>
      <x:c r="T2793" s="30"/>
      <x:c r="U2793" s="30" t="str">
        <x:v>Расхождений не обнаружено.</x:v>
      </x:c>
      <x:c r="V2793" s="87" t="str">
        <x:v>VERIFIED</x:v>
      </x:c>
      <x:c r="W2793" s="87" t="str">
        <x:v>Zadanie_KhI11_10092025.pdf, вариантная стр. 16</x:v>
      </x:c>
      <x:c r="X2793" s="87"/>
      <x:c r="Y2793" s="87"/>
      <x:c r="Z2793" s="87"/>
      <x:c r="AA2793" s="87"/>
      <x:c r="AB2793" s="87"/>
      <x:c r="AC2793" s="87"/>
      <x:c r="AD2793" s="87"/>
      <x:c r="AE2793" s="87"/>
      <x:c r="AF2793" s="87"/>
      <x:c r="AG2793" s="87"/>
      <x:c r="AH2793" s="87"/>
      <x:c r="AI2793" s="30"/>
      <x:c r="AJ2793" s="87" t="str">
        <x:v>master</x:v>
      </x:c>
      <x:c r="AK2793" s="87" t="str">
        <x:v>master-v0.81</x:v>
      </x:c>
      <x:c r="AL2793" s="87" t="str">
        <x:v>statgrad_master_base_v0_81_final(2).xlsx</x:v>
      </x:c>
      <x:c r="AM2793" s="87" t="str">
        <x:v>CHEM_Sep_V2</x:v>
      </x:c>
      <x:c r="AN2793" s="87" t="n">
        <x:v>34</x:v>
      </x:c>
    </x:row>
    <x:row r="2794">
      <x:c r="A2794" s="87" t="n">
        <x:v>2793</x:v>
      </x:c>
      <x:c r="B2794" s="87" t="str">
        <x:v>SEP-CHEM-V2-034</x:v>
      </x:c>
      <x:c r="C2794" s="87" t="str">
        <x:v>СтатГрад</x:v>
      </x:c>
      <x:c r="D2794" s="87" t="str">
        <x:v>Сентябрь 2025</x:v>
      </x:c>
      <x:c r="E2794" s="87"/>
      <x:c r="F2794" s="87"/>
      <x:c r="G2794" s="87" t="str">
        <x:v>Химия</x:v>
      </x:c>
      <x:c r="H2794" s="87" t="n">
        <x:v>11</x:v>
      </x:c>
      <x:c r="I2794" s="87" t="str">
        <x:v>ТР №1</x:v>
      </x:c>
      <x:c r="J2794" s="87" t="str">
        <x:v>ХИ2510102</x:v>
      </x:c>
      <x:c r="K2794" s="87" t="n">
        <x:v>34</x:v>
      </x:c>
      <x:c r="L2794" s="87" t="str">
        <x:v>Развёрнутый ответ: расчётная задача</x:v>
      </x:c>
      <x:c r="M2794" s="30" t="str">
        <x:v>После прокаливания SiO₂ с избытком C и обработки щёлочью получены 13,44 л H₂ и 28 г SiC. Найти исходные массы SiO₂ и C.</x:v>
      </x:c>
      <x:c r="N2794" s="30" t="str">
        <x:v>SiO₂+2C→Si+2CO; Si+C→SiC; Si+2NaOH+H₂O→Na₂SiO₃+2H₂↑.
n(H₂)=0,60, значит n(Si, растворившегося)=0,30; n(SiC)=28/40=0,70. n(SiO₂)=1,00, m=60 г. n(C)=2·1,00+0,70=2,70, m(C)=32,4 г.</x:v>
      </x:c>
      <x:c r="O2794" s="30" t="str">
        <x:v>Критерий независимо проверен по атомному/электронному балансу и расчётам.</x:v>
      </x:c>
      <x:c r="P2794" s="30" t="str">
        <x:v>Критерий независимо проверен по атомному/электронному балансу и расчётам.</x:v>
      </x:c>
      <x:c r="Q2794" s="30"/>
      <x:c r="R2794" s="30" t="str">
        <x:v>Официальные критерии архива + независимая проверка уравнений и расчётов</x:v>
      </x:c>
      <x:c r="S2794" s="30"/>
      <x:c r="T2794" s="30"/>
      <x:c r="U2794" s="30" t="str">
        <x:v>Расхождений не обнаружено.</x:v>
      </x:c>
      <x:c r="V2794" s="87" t="str">
        <x:v>VERIFIED</x:v>
      </x:c>
      <x:c r="W2794" s="87" t="str">
        <x:v>Zadanie_KhI11_10092025.pdf, вариантная стр. 16</x:v>
      </x:c>
      <x:c r="X2794" s="87"/>
      <x:c r="Y2794" s="87"/>
      <x:c r="Z2794" s="87"/>
      <x:c r="AA2794" s="87"/>
      <x:c r="AB2794" s="87"/>
      <x:c r="AC2794" s="87"/>
      <x:c r="AD2794" s="87"/>
      <x:c r="AE2794" s="87"/>
      <x:c r="AF2794" s="87"/>
      <x:c r="AG2794" s="87"/>
      <x:c r="AH2794" s="87"/>
      <x:c r="AI2794" s="30"/>
      <x:c r="AJ2794" s="87" t="str">
        <x:v>master</x:v>
      </x:c>
      <x:c r="AK2794" s="87" t="str">
        <x:v>master-v0.81</x:v>
      </x:c>
      <x:c r="AL2794" s="87" t="str">
        <x:v>statgrad_master_base_v0_81_final(2).xlsx</x:v>
      </x:c>
      <x:c r="AM2794" s="87" t="str">
        <x:v>CHEM_Sep_V2</x:v>
      </x:c>
      <x:c r="AN2794" s="87" t="n">
        <x:v>35</x:v>
      </x:c>
    </x:row>
    <x:row r="2795">
      <x:c r="A2795" s="87" t="n">
        <x:v>2794</x:v>
      </x:c>
      <x:c r="B2795" s="87" t="str">
        <x:v>SEP-CHEM-V3-001</x:v>
      </x:c>
      <x:c r="C2795" s="87" t="str">
        <x:v>СтатГрад</x:v>
      </x:c>
      <x:c r="D2795" s="87" t="str">
        <x:v>Сентябрь 2025</x:v>
      </x:c>
      <x:c r="E2795" s="87"/>
      <x:c r="F2795" s="87"/>
      <x:c r="G2795" s="87" t="str">
        <x:v>Химия</x:v>
      </x:c>
      <x:c r="H2795" s="87" t="n">
        <x:v>11</x:v>
      </x:c>
      <x:c r="I2795" s="87" t="str">
        <x:v>ТР №1</x:v>
      </x:c>
      <x:c r="J2795" s="87" t="str">
        <x:v>ХИ2510103</x:v>
      </x:c>
      <x:c r="K2795" s="87" t="n">
        <x:v>1</x:v>
      </x:c>
      <x:c r="L2795" s="87" t="str">
        <x:v>Электронная конфигурация</x:v>
      </x:c>
      <x:c r="M2795" s="30" t="str">
        <x:v>Для N, C, Al, O и Ga выбрать элементы, у которых первое возбуждённое состояние внешнего уровня имеет вид ns¹np².</x:v>
      </x:c>
      <x:c r="N2795" s="30" t="str">
        <x:v>35</x:v>
      </x:c>
      <x:c r="O2795" s="30" t="str">
        <x:v>Al и Ga имеют конфигурацию ns²np¹; возбуждение переводит один s-электрон в p-подуровень: ns¹np².</x:v>
      </x:c>
      <x:c r="P2795" s="30" t="str">
        <x:v>Al и Ga имеют конфигурацию ns²np¹; возбуждение переводит один s-электрон в p-подуровень: ns¹np².</x:v>
      </x:c>
      <x:c r="Q2795" s="30"/>
      <x:c r="R2795" s="30" t="str">
        <x:v>Фото-сводка ответов + независимое решение; содержание задания соответствует ХИ2510101</x:v>
      </x:c>
      <x:c r="S2795" s="30"/>
      <x:c r="T2795" s="30"/>
      <x:c r="U2795" s="30" t="str">
        <x:v>Расхождений не обнаружено.</x:v>
      </x:c>
      <x:c r="V2795" s="87" t="str">
        <x:v>VERIFIED</x:v>
      </x:c>
      <x:c r="W2795" s="87" t="str">
        <x:v>Zadanie_KhI11_10092025_.pdf, вариантная стр. 2</x:v>
      </x:c>
      <x:c r="X2795" s="87"/>
      <x:c r="Y2795" s="87"/>
      <x:c r="Z2795" s="87"/>
      <x:c r="AA2795" s="87"/>
      <x:c r="AB2795" s="87"/>
      <x:c r="AC2795" s="87"/>
      <x:c r="AD2795" s="87"/>
      <x:c r="AE2795" s="87"/>
      <x:c r="AF2795" s="87"/>
      <x:c r="AG2795" s="87"/>
      <x:c r="AH2795" s="87"/>
      <x:c r="AI2795" s="30"/>
      <x:c r="AJ2795" s="87" t="str">
        <x:v>master</x:v>
      </x:c>
      <x:c r="AK2795" s="87" t="str">
        <x:v>master-v0.81</x:v>
      </x:c>
      <x:c r="AL2795" s="87" t="str">
        <x:v>statgrad_master_base_v0_81_final(2).xlsx</x:v>
      </x:c>
      <x:c r="AM2795" s="87" t="str">
        <x:v>CHEM_Sep_V3</x:v>
      </x:c>
      <x:c r="AN2795" s="87" t="n">
        <x:v>2</x:v>
      </x:c>
    </x:row>
    <x:row r="2796">
      <x:c r="A2796" s="87" t="n">
        <x:v>2795</x:v>
      </x:c>
      <x:c r="B2796" s="87" t="str">
        <x:v>SEP-CHEM-V3-002</x:v>
      </x:c>
      <x:c r="C2796" s="87" t="str">
        <x:v>СтатГрад</x:v>
      </x:c>
      <x:c r="D2796" s="87" t="str">
        <x:v>Сентябрь 2025</x:v>
      </x:c>
      <x:c r="E2796" s="87"/>
      <x:c r="F2796" s="87"/>
      <x:c r="G2796" s="87" t="str">
        <x:v>Химия</x:v>
      </x:c>
      <x:c r="H2796" s="87" t="n">
        <x:v>11</x:v>
      </x:c>
      <x:c r="I2796" s="87" t="str">
        <x:v>ТР №1</x:v>
      </x:c>
      <x:c r="J2796" s="87" t="str">
        <x:v>ХИ2510103</x:v>
      </x:c>
      <x:c r="K2796" s="87" t="n">
        <x:v>2</x:v>
      </x:c>
      <x:c r="L2796" s="87" t="str">
        <x:v>Периодический закон</x:v>
      </x:c>
      <x:c r="M2796" s="30" t="str">
        <x:v>Среди Cl, Mg, Be, Na и Ge выбрать три элемента одного периода и расположить по уменьшению кислотности высшего гидроксида.</x:v>
      </x:c>
      <x:c r="N2796" s="30" t="str">
        <x:v>124</x:v>
      </x:c>
      <x:c r="O2796" s="30" t="str">
        <x:v>В периоде 3 находятся Cl, Mg, Na. Кислотность высших гидроксидов убывает HClO₄ → Mg(OH)₂ → NaOH.</x:v>
      </x:c>
      <x:c r="P2796" s="30" t="str">
        <x:v>В периоде 3 находятся Cl, Mg, Na. Кислотность высших гидроксидов убывает HClO₄ → Mg(OH)₂ → NaOH.</x:v>
      </x:c>
      <x:c r="Q2796" s="30"/>
      <x:c r="R2796" s="30" t="str">
        <x:v>Фото-сводка ответов + независимое решение; содержание задания соответствует ХИ2510102</x:v>
      </x:c>
      <x:c r="S2796" s="30"/>
      <x:c r="T2796" s="30"/>
      <x:c r="U2796" s="30" t="str">
        <x:v>Расхождений не обнаружено.</x:v>
      </x:c>
      <x:c r="V2796" s="87" t="str">
        <x:v>VERIFIED</x:v>
      </x:c>
      <x:c r="W2796" s="87" t="str">
        <x:v>Zadanie_KhI11_10092025_.pdf, вариантная стр. 2</x:v>
      </x:c>
      <x:c r="X2796" s="87"/>
      <x:c r="Y2796" s="87"/>
      <x:c r="Z2796" s="87"/>
      <x:c r="AA2796" s="87"/>
      <x:c r="AB2796" s="87"/>
      <x:c r="AC2796" s="87"/>
      <x:c r="AD2796" s="87"/>
      <x:c r="AE2796" s="87"/>
      <x:c r="AF2796" s="87"/>
      <x:c r="AG2796" s="87"/>
      <x:c r="AH2796" s="87"/>
      <x:c r="AI2796" s="30"/>
      <x:c r="AJ2796" s="87" t="str">
        <x:v>master</x:v>
      </x:c>
      <x:c r="AK2796" s="87" t="str">
        <x:v>master-v0.81</x:v>
      </x:c>
      <x:c r="AL2796" s="87" t="str">
        <x:v>statgrad_master_base_v0_81_final(2).xlsx</x:v>
      </x:c>
      <x:c r="AM2796" s="87" t="str">
        <x:v>CHEM_Sep_V3</x:v>
      </x:c>
      <x:c r="AN2796" s="87" t="n">
        <x:v>3</x:v>
      </x:c>
    </x:row>
    <x:row r="2797">
      <x:c r="A2797" s="87" t="n">
        <x:v>2796</x:v>
      </x:c>
      <x:c r="B2797" s="87" t="str">
        <x:v>SEP-CHEM-V3-003</x:v>
      </x:c>
      <x:c r="C2797" s="87" t="str">
        <x:v>СтатГрад</x:v>
      </x:c>
      <x:c r="D2797" s="87" t="str">
        <x:v>Сентябрь 2025</x:v>
      </x:c>
      <x:c r="E2797" s="87"/>
      <x:c r="F2797" s="87"/>
      <x:c r="G2797" s="87" t="str">
        <x:v>Химия</x:v>
      </x:c>
      <x:c r="H2797" s="87" t="n">
        <x:v>11</x:v>
      </x:c>
      <x:c r="I2797" s="87" t="str">
        <x:v>ТР №1</x:v>
      </x:c>
      <x:c r="J2797" s="87" t="str">
        <x:v>ХИ2510103</x:v>
      </x:c>
      <x:c r="K2797" s="87" t="n">
        <x:v>3</x:v>
      </x:c>
      <x:c r="L2797" s="87" t="str">
        <x:v>Валентность</x:v>
      </x:c>
      <x:c r="M2797" s="30" t="str">
        <x:v>Среди N, C, Al, O и Ga выбрать два элемента, проявляющих валентность II в устойчивых соединениях.</x:v>
      </x:c>
      <x:c r="N2797" s="30" t="str">
        <x:v>14</x:v>
      </x:c>
      <x:c r="O2797" s="30" t="str">
        <x:v>N проявляет валентность II, например в NO; O устойчиво двухвалентен.</x:v>
      </x:c>
      <x:c r="P2797" s="30" t="str">
        <x:v>N проявляет валентность II, например в NO; O устойчиво двухвалентен.</x:v>
      </x:c>
      <x:c r="Q2797" s="30"/>
      <x:c r="R2797" s="30" t="str">
        <x:v>Фото-сводка ответов + независимое решение; содержание задания соответствует ХИ2510101</x:v>
      </x:c>
      <x:c r="S2797" s="30"/>
      <x:c r="T2797" s="30"/>
      <x:c r="U2797" s="30" t="str">
        <x:v>Расхождений не обнаружено.</x:v>
      </x:c>
      <x:c r="V2797" s="87" t="str">
        <x:v>VERIFIED</x:v>
      </x:c>
      <x:c r="W2797" s="87" t="str">
        <x:v>Zadanie_KhI11_10092025_.pdf, вариантная стр. 2</x:v>
      </x:c>
      <x:c r="X2797" s="87"/>
      <x:c r="Y2797" s="87"/>
      <x:c r="Z2797" s="87"/>
      <x:c r="AA2797" s="87"/>
      <x:c r="AB2797" s="87"/>
      <x:c r="AC2797" s="87"/>
      <x:c r="AD2797" s="87"/>
      <x:c r="AE2797" s="87"/>
      <x:c r="AF2797" s="87"/>
      <x:c r="AG2797" s="87"/>
      <x:c r="AH2797" s="87"/>
      <x:c r="AI2797" s="30"/>
      <x:c r="AJ2797" s="87" t="str">
        <x:v>master</x:v>
      </x:c>
      <x:c r="AK2797" s="87" t="str">
        <x:v>master-v0.81</x:v>
      </x:c>
      <x:c r="AL2797" s="87" t="str">
        <x:v>statgrad_master_base_v0_81_final(2).xlsx</x:v>
      </x:c>
      <x:c r="AM2797" s="87" t="str">
        <x:v>CHEM_Sep_V3</x:v>
      </x:c>
      <x:c r="AN2797" s="87" t="n">
        <x:v>4</x:v>
      </x:c>
    </x:row>
    <x:row r="2798">
      <x:c r="A2798" s="87" t="n">
        <x:v>2797</x:v>
      </x:c>
      <x:c r="B2798" s="87" t="str">
        <x:v>SEP-CHEM-V3-004</x:v>
      </x:c>
      <x:c r="C2798" s="87" t="str">
        <x:v>СтатГрад</x:v>
      </x:c>
      <x:c r="D2798" s="87" t="str">
        <x:v>Сентябрь 2025</x:v>
      </x:c>
      <x:c r="E2798" s="87"/>
      <x:c r="F2798" s="87"/>
      <x:c r="G2798" s="87" t="str">
        <x:v>Химия</x:v>
      </x:c>
      <x:c r="H2798" s="87" t="n">
        <x:v>11</x:v>
      </x:c>
      <x:c r="I2798" s="87" t="str">
        <x:v>ТР №1</x:v>
      </x:c>
      <x:c r="J2798" s="87" t="str">
        <x:v>ХИ2510103</x:v>
      </x:c>
      <x:c r="K2798" s="87" t="n">
        <x:v>4</x:v>
      </x:c>
      <x:c r="L2798" s="87" t="str">
        <x:v>Типы химической связи</x:v>
      </x:c>
      <x:c r="M2798" s="30" t="str">
        <x:v>Выбрать два вещества с ван-дер-ваальсовыми связями: алмаз, C₆₀, NaCl, BN, N₂.</x:v>
      </x:c>
      <x:c r="N2798" s="30" t="str">
        <x:v>25</x:v>
      </x:c>
      <x:c r="O2798" s="30" t="str">
        <x:v>C₆₀ и N₂ образуют молекулярные кристаллы, удерживаемые ван-дер-ваальсовыми силами.</x:v>
      </x:c>
      <x:c r="P2798" s="30" t="str">
        <x:v>C₆₀ и N₂ образуют молекулярные кристаллы, удерживаемые ван-дер-ваальсовыми силами.</x:v>
      </x:c>
      <x:c r="Q2798" s="30"/>
      <x:c r="R2798" s="30" t="str">
        <x:v>Фото-сводка ответов + независимое решение; содержание задания соответствует ХИ2510102</x:v>
      </x:c>
      <x:c r="S2798" s="30"/>
      <x:c r="T2798" s="30"/>
      <x:c r="U2798" s="30" t="str">
        <x:v>Расхождений не обнаружено.</x:v>
      </x:c>
      <x:c r="V2798" s="87" t="str">
        <x:v>VERIFIED</x:v>
      </x:c>
      <x:c r="W2798" s="87" t="str">
        <x:v>Zadanie_KhI11_10092025_.pdf, вариантная стр. 3</x:v>
      </x:c>
      <x:c r="X2798" s="87"/>
      <x:c r="Y2798" s="87"/>
      <x:c r="Z2798" s="87"/>
      <x:c r="AA2798" s="87"/>
      <x:c r="AB2798" s="87"/>
      <x:c r="AC2798" s="87"/>
      <x:c r="AD2798" s="87"/>
      <x:c r="AE2798" s="87"/>
      <x:c r="AF2798" s="87"/>
      <x:c r="AG2798" s="87"/>
      <x:c r="AH2798" s="87"/>
      <x:c r="AI2798" s="30"/>
      <x:c r="AJ2798" s="87" t="str">
        <x:v>master</x:v>
      </x:c>
      <x:c r="AK2798" s="87" t="str">
        <x:v>master-v0.81</x:v>
      </x:c>
      <x:c r="AL2798" s="87" t="str">
        <x:v>statgrad_master_base_v0_81_final(2).xlsx</x:v>
      </x:c>
      <x:c r="AM2798" s="87" t="str">
        <x:v>CHEM_Sep_V3</x:v>
      </x:c>
      <x:c r="AN2798" s="87" t="n">
        <x:v>5</x:v>
      </x:c>
    </x:row>
    <x:row r="2799">
      <x:c r="A2799" s="87" t="n">
        <x:v>2798</x:v>
      </x:c>
      <x:c r="B2799" s="87" t="str">
        <x:v>SEP-CHEM-V3-005</x:v>
      </x:c>
      <x:c r="C2799" s="87" t="str">
        <x:v>СтатГрад</x:v>
      </x:c>
      <x:c r="D2799" s="87" t="str">
        <x:v>Сентябрь 2025</x:v>
      </x:c>
      <x:c r="E2799" s="87"/>
      <x:c r="F2799" s="87"/>
      <x:c r="G2799" s="87" t="str">
        <x:v>Химия</x:v>
      </x:c>
      <x:c r="H2799" s="87" t="n">
        <x:v>11</x:v>
      </x:c>
      <x:c r="I2799" s="87" t="str">
        <x:v>ТР №1</x:v>
      </x:c>
      <x:c r="J2799" s="87" t="str">
        <x:v>ХИ2510103</x:v>
      </x:c>
      <x:c r="K2799" s="87" t="n">
        <x:v>5</x:v>
      </x:c>
      <x:c r="L2799" s="87" t="str">
        <x:v>Классификация неорганических веществ</x:v>
      </x:c>
      <x:c r="M2799" s="30" t="str">
        <x:v>По таблице выбрать кислотный оксид, основную соль и двухосновную кислоту.</x:v>
      </x:c>
      <x:c r="N2799" s="30" t="str">
        <x:v>316</x:v>
      </x:c>
      <x:c r="O2799" s="30" t="str">
        <x:v>NO₂ — кислотный оксид; Pb₂(OH)₂CO₃ — основная соль; H₂SeO₄ — двухосновная кислота.</x:v>
      </x:c>
      <x:c r="P2799" s="30" t="str">
        <x:v>NO₂ — кислотный оксид; Pb₂(OH)₂CO₃ — основная соль; H₂SeO₄ — двухосновная кислота.</x:v>
      </x:c>
      <x:c r="Q2799" s="30"/>
      <x:c r="R2799" s="30" t="str">
        <x:v>Фото-сводка ответов + независимое решение; содержание задания соответствует ХИ2510101</x:v>
      </x:c>
      <x:c r="S2799" s="30"/>
      <x:c r="T2799" s="30"/>
      <x:c r="U2799" s="30" t="str">
        <x:v>Расхождений не обнаружено.</x:v>
      </x:c>
      <x:c r="V2799" s="87" t="str">
        <x:v>VERIFIED</x:v>
      </x:c>
      <x:c r="W2799" s="87" t="str">
        <x:v>Zadanie_KhI11_10092025_.pdf, вариантная стр. 3</x:v>
      </x:c>
      <x:c r="X2799" s="87"/>
      <x:c r="Y2799" s="87"/>
      <x:c r="Z2799" s="87"/>
      <x:c r="AA2799" s="87"/>
      <x:c r="AB2799" s="87"/>
      <x:c r="AC2799" s="87"/>
      <x:c r="AD2799" s="87"/>
      <x:c r="AE2799" s="87"/>
      <x:c r="AF2799" s="87"/>
      <x:c r="AG2799" s="87"/>
      <x:c r="AH2799" s="87"/>
      <x:c r="AI2799" s="30"/>
      <x:c r="AJ2799" s="87" t="str">
        <x:v>master</x:v>
      </x:c>
      <x:c r="AK2799" s="87" t="str">
        <x:v>master-v0.81</x:v>
      </x:c>
      <x:c r="AL2799" s="87" t="str">
        <x:v>statgrad_master_base_v0_81_final(2).xlsx</x:v>
      </x:c>
      <x:c r="AM2799" s="87" t="str">
        <x:v>CHEM_Sep_V3</x:v>
      </x:c>
      <x:c r="AN2799" s="87" t="n">
        <x:v>6</x:v>
      </x:c>
    </x:row>
    <x:row r="2800">
      <x:c r="A2800" s="87" t="n">
        <x:v>2799</x:v>
      </x:c>
      <x:c r="B2800" s="87" t="str">
        <x:v>SEP-CHEM-V3-006</x:v>
      </x:c>
      <x:c r="C2800" s="87" t="str">
        <x:v>СтатГрад</x:v>
      </x:c>
      <x:c r="D2800" s="87" t="str">
        <x:v>Сентябрь 2025</x:v>
      </x:c>
      <x:c r="E2800" s="87"/>
      <x:c r="F2800" s="87"/>
      <x:c r="G2800" s="87" t="str">
        <x:v>Химия</x:v>
      </x:c>
      <x:c r="H2800" s="87" t="n">
        <x:v>11</x:v>
      </x:c>
      <x:c r="I2800" s="87" t="str">
        <x:v>ТР №1</x:v>
      </x:c>
      <x:c r="J2800" s="87" t="str">
        <x:v>ХИ2510103</x:v>
      </x:c>
      <x:c r="K2800" s="87" t="n">
        <x:v>6</x:v>
      </x:c>
      <x:c r="L2800" s="87" t="str">
        <x:v>Качественные реакции</x:v>
      </x:c>
      <x:c r="M2800" s="30" t="str">
        <x:v>К (NH₄)₂S добавить X: белый осадок и газ; добавить Y: тёмный осадок. Выбрать X и Y.</x:v>
      </x:c>
      <x:c r="N2800" s="30" t="str">
        <x:v>X=3; Y=2</x:v>
      </x:c>
      <x:c r="O2800" s="30" t="str">
        <x:v>AlCl₃ с (NH₄)₂S гидролизуется с образованием белого Al(OH)₃ и H₂S; CuSO₄ даёт тёмный CuS.</x:v>
      </x:c>
      <x:c r="P2800" s="30" t="str">
        <x:v>AlCl₃ с (NH₄)₂S гидролизуется с образованием белого Al(OH)₃ и H₂S; CuSO₄ даёт тёмный CuS.</x:v>
      </x:c>
      <x:c r="Q2800" s="30"/>
      <x:c r="R2800" s="30" t="str">
        <x:v>Фото-сводка ответов + независимое решение; содержание задания соответствует ХИ2510102</x:v>
      </x:c>
      <x:c r="S2800" s="30"/>
      <x:c r="T2800" s="30"/>
      <x:c r="U2800" s="30" t="str">
        <x:v>Расхождений не обнаружено.</x:v>
      </x:c>
      <x:c r="V2800" s="87" t="str">
        <x:v>VERIFIED</x:v>
      </x:c>
      <x:c r="W2800" s="87" t="str">
        <x:v>Zadanie_KhI11_10092025_.pdf, вариантная стр. 4</x:v>
      </x:c>
      <x:c r="X2800" s="87"/>
      <x:c r="Y2800" s="87"/>
      <x:c r="Z2800" s="87"/>
      <x:c r="AA2800" s="87"/>
      <x:c r="AB2800" s="87"/>
      <x:c r="AC2800" s="87"/>
      <x:c r="AD2800" s="87"/>
      <x:c r="AE2800" s="87"/>
      <x:c r="AF2800" s="87"/>
      <x:c r="AG2800" s="87"/>
      <x:c r="AH2800" s="87"/>
      <x:c r="AI2800" s="30"/>
      <x:c r="AJ2800" s="87" t="str">
        <x:v>master</x:v>
      </x:c>
      <x:c r="AK2800" s="87" t="str">
        <x:v>master-v0.81</x:v>
      </x:c>
      <x:c r="AL2800" s="87" t="str">
        <x:v>statgrad_master_base_v0_81_final(2).xlsx</x:v>
      </x:c>
      <x:c r="AM2800" s="87" t="str">
        <x:v>CHEM_Sep_V3</x:v>
      </x:c>
      <x:c r="AN2800" s="87" t="n">
        <x:v>7</x:v>
      </x:c>
    </x:row>
    <x:row r="2801">
      <x:c r="A2801" s="87" t="n">
        <x:v>2800</x:v>
      </x:c>
      <x:c r="B2801" s="87" t="str">
        <x:v>SEP-CHEM-V3-007</x:v>
      </x:c>
      <x:c r="C2801" s="87" t="str">
        <x:v>СтатГрад</x:v>
      </x:c>
      <x:c r="D2801" s="87" t="str">
        <x:v>Сентябрь 2025</x:v>
      </x:c>
      <x:c r="E2801" s="87"/>
      <x:c r="F2801" s="87"/>
      <x:c r="G2801" s="87" t="str">
        <x:v>Химия</x:v>
      </x:c>
      <x:c r="H2801" s="87" t="n">
        <x:v>11</x:v>
      </x:c>
      <x:c r="I2801" s="87" t="str">
        <x:v>ТР №1</x:v>
      </x:c>
      <x:c r="J2801" s="87" t="str">
        <x:v>ХИ2510103</x:v>
      </x:c>
      <x:c r="K2801" s="87" t="n">
        <x:v>7</x:v>
      </x:c>
      <x:c r="L2801" s="87" t="str">
        <x:v>Неорганические реакции: соответствие</x:v>
      </x:c>
      <x:c r="M2801" s="30" t="str">
        <x:v>Сопоставить SO₂, NaOH, BaCl₂ и H₂ с наборами из трёх реагентов, каждый из которых реагирует с веществом.</x:v>
      </x:c>
      <x:c r="N2801" s="30" t="str">
        <x:v>4153</x:v>
      </x:c>
      <x:c r="O2801" s="30" t="str">
        <x:v>SO₂ реагирует с Ca(OH)₂, KMnO₄, H₂S; NaOH — с Al, FeCl₃, CO₂; BaCl₂ — с H₂SO₄, Na₂CO₃, Pb(NO₃)₂; H₂ — с PbO, Cl₂, N₂.</x:v>
      </x:c>
      <x:c r="P2801" s="30" t="str">
        <x:v>SO₂ реагирует с Ca(OH)₂, KMnO₄, H₂S; NaOH — с Al, FeCl₃, CO₂; BaCl₂ — с H₂SO₄, Na₂CO₃, Pb(NO₃)₂; H₂ — с PbO, Cl₂, N₂.</x:v>
      </x:c>
      <x:c r="Q2801" s="30"/>
      <x:c r="R2801" s="30" t="str">
        <x:v>Официальная таблица ответов в PDF критериев + независимое решение; содержание задания соответствует ХИ2510101</x:v>
      </x:c>
      <x:c r="S2801" s="30"/>
      <x:c r="T2801" s="30"/>
      <x:c r="U2801" s="30" t="str">
        <x:v>Расхождений не обнаружено.</x:v>
      </x:c>
      <x:c r="V2801" s="87" t="str">
        <x:v>VERIFIED</x:v>
      </x:c>
      <x:c r="W2801" s="87" t="str">
        <x:v>Zadanie_KhI11_10092025_.pdf, вариантная стр. 4</x:v>
      </x:c>
      <x:c r="X2801" s="87"/>
      <x:c r="Y2801" s="87"/>
      <x:c r="Z2801" s="87"/>
      <x:c r="AA2801" s="87"/>
      <x:c r="AB2801" s="87"/>
      <x:c r="AC2801" s="87"/>
      <x:c r="AD2801" s="87"/>
      <x:c r="AE2801" s="87"/>
      <x:c r="AF2801" s="87"/>
      <x:c r="AG2801" s="87"/>
      <x:c r="AH2801" s="87"/>
      <x:c r="AI2801" s="30"/>
      <x:c r="AJ2801" s="87" t="str">
        <x:v>master</x:v>
      </x:c>
      <x:c r="AK2801" s="87" t="str">
        <x:v>master-v0.81</x:v>
      </x:c>
      <x:c r="AL2801" s="87" t="str">
        <x:v>statgrad_master_base_v0_81_final(2).xlsx</x:v>
      </x:c>
      <x:c r="AM2801" s="87" t="str">
        <x:v>CHEM_Sep_V3</x:v>
      </x:c>
      <x:c r="AN2801" s="87" t="n">
        <x:v>8</x:v>
      </x:c>
    </x:row>
    <x:row r="2802">
      <x:c r="A2802" s="87" t="n">
        <x:v>2801</x:v>
      </x:c>
      <x:c r="B2802" s="87" t="str">
        <x:v>SEP-CHEM-V3-008</x:v>
      </x:c>
      <x:c r="C2802" s="87" t="str">
        <x:v>СтатГрад</x:v>
      </x:c>
      <x:c r="D2802" s="87" t="str">
        <x:v>Сентябрь 2025</x:v>
      </x:c>
      <x:c r="E2802" s="87"/>
      <x:c r="F2802" s="87"/>
      <x:c r="G2802" s="87" t="str">
        <x:v>Химия</x:v>
      </x:c>
      <x:c r="H2802" s="87" t="n">
        <x:v>11</x:v>
      </x:c>
      <x:c r="I2802" s="87" t="str">
        <x:v>ТР №1</x:v>
      </x:c>
      <x:c r="J2802" s="87" t="str">
        <x:v>ХИ2510103</x:v>
      </x:c>
      <x:c r="K2802" s="87" t="n">
        <x:v>8</x:v>
      </x:c>
      <x:c r="L2802" s="87" t="str">
        <x:v>Фосфор и его соединения</x:v>
      </x:c>
      <x:c r="M2802" s="30" t="str">
        <x:v>Сопоставить реакции Cl₂ с холодным/горячим NaOH, HClO₃+NaOH и Cl₂O+NaOH с продуктами.</x:v>
      </x:c>
      <x:c r="N2802" s="30" t="str">
        <x:v>4532</x:v>
      </x:c>
      <x:c r="O2802" s="30" t="str">
        <x:v>Холодная щёлочь: NaCl+NaClO; горячая: NaCl+NaClO₃; нейтрализация HClO₃ даёт NaClO₃; Cl₂O даёт NaClO.</x:v>
      </x:c>
      <x:c r="P2802" s="30" t="str">
        <x:v>Холодная щёлочь: NaCl+NaClO; горячая: NaCl+NaClO₃; нейтрализация HClO₃ даёт NaClO₃; Cl₂O даёт NaClO.</x:v>
      </x:c>
      <x:c r="Q2802" s="30"/>
      <x:c r="R2802" s="30" t="str">
        <x:v>Официальная таблица ответов в PDF критериев + независимое решение; содержание задания соответствует ХИ2510102</x:v>
      </x:c>
      <x:c r="S2802" s="30"/>
      <x:c r="T2802" s="30"/>
      <x:c r="U2802" s="30" t="str">
        <x:v>Расхождений не обнаружено.</x:v>
      </x:c>
      <x:c r="V2802" s="87" t="str">
        <x:v>VERIFIED</x:v>
      </x:c>
      <x:c r="W2802" s="87" t="str">
        <x:v>Zadanie_KhI11_10092025_.pdf, вариантная стр. 5</x:v>
      </x:c>
      <x:c r="X2802" s="87"/>
      <x:c r="Y2802" s="87"/>
      <x:c r="Z2802" s="87"/>
      <x:c r="AA2802" s="87"/>
      <x:c r="AB2802" s="87"/>
      <x:c r="AC2802" s="87"/>
      <x:c r="AD2802" s="87"/>
      <x:c r="AE2802" s="87"/>
      <x:c r="AF2802" s="87"/>
      <x:c r="AG2802" s="87"/>
      <x:c r="AH2802" s="87"/>
      <x:c r="AI2802" s="30"/>
      <x:c r="AJ2802" s="87" t="str">
        <x:v>master</x:v>
      </x:c>
      <x:c r="AK2802" s="87" t="str">
        <x:v>master-v0.81</x:v>
      </x:c>
      <x:c r="AL2802" s="87" t="str">
        <x:v>statgrad_master_base_v0_81_final(2).xlsx</x:v>
      </x:c>
      <x:c r="AM2802" s="87" t="str">
        <x:v>CHEM_Sep_V3</x:v>
      </x:c>
      <x:c r="AN2802" s="87" t="n">
        <x:v>9</x:v>
      </x:c>
    </x:row>
    <x:row r="2803">
      <x:c r="A2803" s="87" t="n">
        <x:v>2802</x:v>
      </x:c>
      <x:c r="B2803" s="87" t="str">
        <x:v>SEP-CHEM-V3-009</x:v>
      </x:c>
      <x:c r="C2803" s="87" t="str">
        <x:v>СтатГрад</x:v>
      </x:c>
      <x:c r="D2803" s="87" t="str">
        <x:v>Сентябрь 2025</x:v>
      </x:c>
      <x:c r="E2803" s="87"/>
      <x:c r="F2803" s="87"/>
      <x:c r="G2803" s="87" t="str">
        <x:v>Химия</x:v>
      </x:c>
      <x:c r="H2803" s="87" t="n">
        <x:v>11</x:v>
      </x:c>
      <x:c r="I2803" s="87" t="str">
        <x:v>ТР №1</x:v>
      </x:c>
      <x:c r="J2803" s="87" t="str">
        <x:v>ХИ2510103</x:v>
      </x:c>
      <x:c r="K2803" s="87" t="n">
        <x:v>9</x:v>
      </x:c>
      <x:c r="L2803" s="87" t="str">
        <x:v>Цепочка превращений: сера</x:v>
      </x:c>
      <x:c r="M2803" s="30" t="str">
        <x:v>Цепочка KHSO₄ → K₂SO₄ → K₂S: выбрать реагенты X и Y.</x:v>
      </x:c>
      <x:c r="N2803" s="30" t="str">
        <x:v>41</x:v>
      </x:c>
      <x:c r="O2803" s="30" t="str">
        <x:v>KHSO₄ нейтрализуется KOH до K₂SO₄; сульфат восстанавливается водородом до K₂S.</x:v>
      </x:c>
      <x:c r="P2803" s="30" t="str">
        <x:v>KHSO₄ нейтрализуется KOH до K₂SO₄; сульфат восстанавливается водородом до K₂S.</x:v>
      </x:c>
      <x:c r="Q2803" s="30"/>
      <x:c r="R2803" s="30" t="str">
        <x:v>Фото-сводка ответов + независимое решение; содержание задания соответствует ХИ2510101</x:v>
      </x:c>
      <x:c r="S2803" s="30"/>
      <x:c r="T2803" s="30"/>
      <x:c r="U2803" s="30" t="str">
        <x:v>Расхождений не обнаружено.</x:v>
      </x:c>
      <x:c r="V2803" s="87" t="str">
        <x:v>VERIFIED</x:v>
      </x:c>
      <x:c r="W2803" s="87" t="str">
        <x:v>Zadanie_KhI11_10092025_.pdf, вариантная стр. 5</x:v>
      </x:c>
      <x:c r="X2803" s="87"/>
      <x:c r="Y2803" s="87"/>
      <x:c r="Z2803" s="87"/>
      <x:c r="AA2803" s="87"/>
      <x:c r="AB2803" s="87"/>
      <x:c r="AC2803" s="87"/>
      <x:c r="AD2803" s="87"/>
      <x:c r="AE2803" s="87"/>
      <x:c r="AF2803" s="87"/>
      <x:c r="AG2803" s="87"/>
      <x:c r="AH2803" s="87"/>
      <x:c r="AI2803" s="30"/>
      <x:c r="AJ2803" s="87" t="str">
        <x:v>master</x:v>
      </x:c>
      <x:c r="AK2803" s="87" t="str">
        <x:v>master-v0.81</x:v>
      </x:c>
      <x:c r="AL2803" s="87" t="str">
        <x:v>statgrad_master_base_v0_81_final(2).xlsx</x:v>
      </x:c>
      <x:c r="AM2803" s="87" t="str">
        <x:v>CHEM_Sep_V3</x:v>
      </x:c>
      <x:c r="AN2803" s="87" t="n">
        <x:v>10</x:v>
      </x:c>
    </x:row>
    <x:row r="2804">
      <x:c r="A2804" s="87" t="n">
        <x:v>2803</x:v>
      </x:c>
      <x:c r="B2804" s="87" t="str">
        <x:v>SEP-CHEM-V3-010</x:v>
      </x:c>
      <x:c r="C2804" s="87" t="str">
        <x:v>СтатГрад</x:v>
      </x:c>
      <x:c r="D2804" s="87" t="str">
        <x:v>Сентябрь 2025</x:v>
      </x:c>
      <x:c r="E2804" s="87"/>
      <x:c r="F2804" s="87"/>
      <x:c r="G2804" s="87" t="str">
        <x:v>Химия</x:v>
      </x:c>
      <x:c r="H2804" s="87" t="n">
        <x:v>11</x:v>
      </x:c>
      <x:c r="I2804" s="87" t="str">
        <x:v>ТР №1</x:v>
      </x:c>
      <x:c r="J2804" s="87" t="str">
        <x:v>ХИ2510103</x:v>
      </x:c>
      <x:c r="K2804" s="87" t="n">
        <x:v>10</x:v>
      </x:c>
      <x:c r="L2804" s="87" t="str">
        <x:v>Гомологические ряды</x:v>
      </x:c>
      <x:c r="M2804" s="30" t="str">
        <x:v>По трём структурным формулам определить общие формулы гомологических рядов.</x:v>
      </x:c>
      <x:c r="N2804" s="30" t="str">
        <x:v>243</x:v>
      </x:c>
      <x:c r="O2804" s="30" t="str">
        <x:v>A: дициклопентил C₁₀H₁₈ = CnH₂n−2; Б: диэтиламин C₄H₁₁N = CnH₂n+3N; В: N-метиланилин C₇H₉N = CnH₂n−5N.</x:v>
      </x:c>
      <x:c r="P2804" s="30" t="str">
        <x:v>A: дициклопентил C₁₀H₁₈ = CnH₂n−2; Б: диэтиламин C₄H₁₁N = CnH₂n+3N; В: N-метиланилин C₇H₉N = CnH₂n−5N.</x:v>
      </x:c>
      <x:c r="Q2804" s="30"/>
      <x:c r="R2804" s="30" t="str">
        <x:v>Фото-сводка ответов + независимое решение; содержание задания соответствует ХИ2510102</x:v>
      </x:c>
      <x:c r="S2804" s="30"/>
      <x:c r="T2804" s="30"/>
      <x:c r="U2804" s="30" t="str">
        <x:v>Расхождений не обнаружено.</x:v>
      </x:c>
      <x:c r="V2804" s="87" t="str">
        <x:v>VERIFIED</x:v>
      </x:c>
      <x:c r="W2804" s="87" t="str">
        <x:v>Zadanie_KhI11_10092025_.pdf, вариантная стр. 6</x:v>
      </x:c>
      <x:c r="X2804" s="87"/>
      <x:c r="Y2804" s="87"/>
      <x:c r="Z2804" s="87"/>
      <x:c r="AA2804" s="87"/>
      <x:c r="AB2804" s="87"/>
      <x:c r="AC2804" s="87"/>
      <x:c r="AD2804" s="87"/>
      <x:c r="AE2804" s="87"/>
      <x:c r="AF2804" s="87"/>
      <x:c r="AG2804" s="87"/>
      <x:c r="AH2804" s="87"/>
      <x:c r="AI2804" s="30"/>
      <x:c r="AJ2804" s="87" t="str">
        <x:v>master</x:v>
      </x:c>
      <x:c r="AK2804" s="87" t="str">
        <x:v>master-v0.81</x:v>
      </x:c>
      <x:c r="AL2804" s="87" t="str">
        <x:v>statgrad_master_base_v0_81_final(2).xlsx</x:v>
      </x:c>
      <x:c r="AM2804" s="87" t="str">
        <x:v>CHEM_Sep_V3</x:v>
      </x:c>
      <x:c r="AN2804" s="87" t="n">
        <x:v>11</x:v>
      </x:c>
    </x:row>
    <x:row r="2805">
      <x:c r="A2805" s="87" t="n">
        <x:v>2804</x:v>
      </x:c>
      <x:c r="B2805" s="87" t="str">
        <x:v>SEP-CHEM-V3-011</x:v>
      </x:c>
      <x:c r="C2805" s="87" t="str">
        <x:v>СтатГрад</x:v>
      </x:c>
      <x:c r="D2805" s="87" t="str">
        <x:v>Сентябрь 2025</x:v>
      </x:c>
      <x:c r="E2805" s="87"/>
      <x:c r="F2805" s="87"/>
      <x:c r="G2805" s="87" t="str">
        <x:v>Химия</x:v>
      </x:c>
      <x:c r="H2805" s="87" t="n">
        <x:v>11</x:v>
      </x:c>
      <x:c r="I2805" s="87" t="str">
        <x:v>ТР №1</x:v>
      </x:c>
      <x:c r="J2805" s="87" t="str">
        <x:v>ХИ2510103</x:v>
      </x:c>
      <x:c r="K2805" s="87" t="n">
        <x:v>11</x:v>
      </x:c>
      <x:c r="L2805" s="87" t="str">
        <x:v>Оптическая изомерия</x:v>
      </x:c>
      <x:c r="M2805" s="30" t="str">
        <x:v>Выбрать вещества с оптической изомерией из пяти предложенных соединений.</x:v>
      </x:c>
      <x:c r="N2805" s="30" t="str">
        <x:v>45</x:v>
      </x:c>
      <x:c r="O2805" s="30" t="str">
        <x:v>Хиральные атомы углерода имеются в пропандиоле-1,2 и 2-хлорпропионовой кислоте.</x:v>
      </x:c>
      <x:c r="P2805" s="30" t="str">
        <x:v>Хиральные атомы углерода имеются в пропандиоле-1,2 и 2-хлорпропионовой кислоте.</x:v>
      </x:c>
      <x:c r="Q2805" s="30"/>
      <x:c r="R2805" s="30" t="str">
        <x:v>Фото-сводка ответов + независимое решение; содержание задания соответствует ХИ2510101</x:v>
      </x:c>
      <x:c r="S2805" s="30"/>
      <x:c r="T2805" s="30"/>
      <x:c r="U2805" s="30" t="str">
        <x:v>Расхождений не обнаружено.</x:v>
      </x:c>
      <x:c r="V2805" s="87" t="str">
        <x:v>VERIFIED</x:v>
      </x:c>
      <x:c r="W2805" s="87" t="str">
        <x:v>Zadanie_KhI11_10092025_.pdf, вариантная стр. 6</x:v>
      </x:c>
      <x:c r="X2805" s="87"/>
      <x:c r="Y2805" s="87"/>
      <x:c r="Z2805" s="87"/>
      <x:c r="AA2805" s="87"/>
      <x:c r="AB2805" s="87"/>
      <x:c r="AC2805" s="87"/>
      <x:c r="AD2805" s="87"/>
      <x:c r="AE2805" s="87"/>
      <x:c r="AF2805" s="87"/>
      <x:c r="AG2805" s="87"/>
      <x:c r="AH2805" s="87"/>
      <x:c r="AI2805" s="30"/>
      <x:c r="AJ2805" s="87" t="str">
        <x:v>master</x:v>
      </x:c>
      <x:c r="AK2805" s="87" t="str">
        <x:v>master-v0.81</x:v>
      </x:c>
      <x:c r="AL2805" s="87" t="str">
        <x:v>statgrad_master_base_v0_81_final(2).xlsx</x:v>
      </x:c>
      <x:c r="AM2805" s="87" t="str">
        <x:v>CHEM_Sep_V3</x:v>
      </x:c>
      <x:c r="AN2805" s="87" t="n">
        <x:v>12</x:v>
      </x:c>
    </x:row>
    <x:row r="2806">
      <x:c r="A2806" s="87" t="n">
        <x:v>2805</x:v>
      </x:c>
      <x:c r="B2806" s="87" t="str">
        <x:v>SEP-CHEM-V3-012</x:v>
      </x:c>
      <x:c r="C2806" s="87" t="str">
        <x:v>СтатГрад</x:v>
      </x:c>
      <x:c r="D2806" s="87" t="str">
        <x:v>Сентябрь 2025</x:v>
      </x:c>
      <x:c r="E2806" s="87"/>
      <x:c r="F2806" s="87"/>
      <x:c r="G2806" s="87" t="str">
        <x:v>Химия</x:v>
      </x:c>
      <x:c r="H2806" s="87" t="n">
        <x:v>11</x:v>
      </x:c>
      <x:c r="I2806" s="87" t="str">
        <x:v>ТР №1</x:v>
      </x:c>
      <x:c r="J2806" s="87" t="str">
        <x:v>ХИ2510103</x:v>
      </x:c>
      <x:c r="K2806" s="87" t="n">
        <x:v>12</x:v>
      </x:c>
      <x:c r="L2806" s="87" t="str">
        <x:v>Свойства углеводородов</x:v>
      </x:c>
      <x:c r="M2806" s="30" t="str">
        <x:v>Выбрать вещества, реагирующие с ацетиленом, но не реагирующие с толуолом.</x:v>
      </x:c>
      <x:c r="N2806" s="30" t="str">
        <x:v>13</x:v>
      </x:c>
      <x:c r="O2806" s="30" t="str">
        <x:v>HCl присоединяется к ацетилену, вода гидратирует его; с толуолом в стандартных условиях эти вещества не реагируют.</x:v>
      </x:c>
      <x:c r="P2806" s="30" t="str">
        <x:v>HCl присоединяется к ацетилену, вода гидратирует его; с толуолом в стандартных условиях эти вещества не реагируют.</x:v>
      </x:c>
      <x:c r="Q2806" s="30"/>
      <x:c r="R2806" s="30" t="str">
        <x:v>Независимое решение; №12 отсутствует в фото-сводке и таблице критериев; содержание задания соответствует ХИ2510102</x:v>
      </x:c>
      <x:c r="S2806" s="30"/>
      <x:c r="T2806" s="30"/>
      <x:c r="U2806" s="30" t="str">
        <x:v>Расхождений не обнаружено.</x:v>
      </x:c>
      <x:c r="V2806" s="87" t="str">
        <x:v>VERIFIED</x:v>
      </x:c>
      <x:c r="W2806" s="87" t="str">
        <x:v>Zadanie_KhI11_10092025_.pdf, вариантная стр. 6</x:v>
      </x:c>
      <x:c r="X2806" s="87"/>
      <x:c r="Y2806" s="87"/>
      <x:c r="Z2806" s="87"/>
      <x:c r="AA2806" s="87"/>
      <x:c r="AB2806" s="87"/>
      <x:c r="AC2806" s="87"/>
      <x:c r="AD2806" s="87"/>
      <x:c r="AE2806" s="87"/>
      <x:c r="AF2806" s="87"/>
      <x:c r="AG2806" s="87"/>
      <x:c r="AH2806" s="87"/>
      <x:c r="AI2806" s="30"/>
      <x:c r="AJ2806" s="87" t="str">
        <x:v>master</x:v>
      </x:c>
      <x:c r="AK2806" s="87" t="str">
        <x:v>master-v0.81</x:v>
      </x:c>
      <x:c r="AL2806" s="87" t="str">
        <x:v>statgrad_master_base_v0_81_final(2).xlsx</x:v>
      </x:c>
      <x:c r="AM2806" s="87" t="str">
        <x:v>CHEM_Sep_V3</x:v>
      </x:c>
      <x:c r="AN2806" s="87" t="n">
        <x:v>13</x:v>
      </x:c>
    </x:row>
    <x:row r="2807">
      <x:c r="A2807" s="87" t="n">
        <x:v>2806</x:v>
      </x:c>
      <x:c r="B2807" s="87" t="str">
        <x:v>SEP-CHEM-V3-013</x:v>
      </x:c>
      <x:c r="C2807" s="87" t="str">
        <x:v>СтатГрад</x:v>
      </x:c>
      <x:c r="D2807" s="87" t="str">
        <x:v>Сентябрь 2025</x:v>
      </x:c>
      <x:c r="E2807" s="87"/>
      <x:c r="F2807" s="87"/>
      <x:c r="G2807" s="87" t="str">
        <x:v>Химия</x:v>
      </x:c>
      <x:c r="H2807" s="87" t="n">
        <x:v>11</x:v>
      </x:c>
      <x:c r="I2807" s="87" t="str">
        <x:v>ТР №1</x:v>
      </x:c>
      <x:c r="J2807" s="87" t="str">
        <x:v>ХИ2510103</x:v>
      </x:c>
      <x:c r="K2807" s="87" t="n">
        <x:v>13</x:v>
      </x:c>
      <x:c r="L2807" s="87" t="str">
        <x:v>Гидролиз органических веществ</x:v>
      </x:c>
      <x:c r="M2807" s="30" t="str">
        <x:v>Выбрать два вещества, гидролизующиеся в кислой среде.</x:v>
      </x:c>
      <x:c r="N2807" s="30" t="str">
        <x:v>23</x:v>
      </x:c>
      <x:c r="O2807" s="30" t="str">
        <x:v>Сахароза расщепляется на моносахариды; пептидная связь глицилглицина гидролизуется в кислоте.</x:v>
      </x:c>
      <x:c r="P2807" s="30" t="str">
        <x:v>Сахароза расщепляется на моносахариды; пептидная связь глицилглицина гидролизуется в кислоте.</x:v>
      </x:c>
      <x:c r="Q2807" s="30"/>
      <x:c r="R2807" s="30" t="str">
        <x:v>Фото-сводка ответов + независимое решение; содержание задания соответствует ХИ2510101</x:v>
      </x:c>
      <x:c r="S2807" s="30"/>
      <x:c r="T2807" s="30"/>
      <x:c r="U2807" s="30" t="str">
        <x:v>Расхождений не обнаружено.</x:v>
      </x:c>
      <x:c r="V2807" s="87" t="str">
        <x:v>VERIFIED</x:v>
      </x:c>
      <x:c r="W2807" s="87" t="str">
        <x:v>Zadanie_KhI11_10092025_.pdf, вариантная стр. 7</x:v>
      </x:c>
      <x:c r="X2807" s="87"/>
      <x:c r="Y2807" s="87"/>
      <x:c r="Z2807" s="87"/>
      <x:c r="AA2807" s="87"/>
      <x:c r="AB2807" s="87"/>
      <x:c r="AC2807" s="87"/>
      <x:c r="AD2807" s="87"/>
      <x:c r="AE2807" s="87"/>
      <x:c r="AF2807" s="87"/>
      <x:c r="AG2807" s="87"/>
      <x:c r="AH2807" s="87"/>
      <x:c r="AI2807" s="30"/>
      <x:c r="AJ2807" s="87" t="str">
        <x:v>master</x:v>
      </x:c>
      <x:c r="AK2807" s="87" t="str">
        <x:v>master-v0.81</x:v>
      </x:c>
      <x:c r="AL2807" s="87" t="str">
        <x:v>statgrad_master_base_v0_81_final(2).xlsx</x:v>
      </x:c>
      <x:c r="AM2807" s="87" t="str">
        <x:v>CHEM_Sep_V3</x:v>
      </x:c>
      <x:c r="AN2807" s="87" t="n">
        <x:v>14</x:v>
      </x:c>
    </x:row>
    <x:row r="2808">
      <x:c r="A2808" s="87" t="n">
        <x:v>2807</x:v>
      </x:c>
      <x:c r="B2808" s="87" t="str">
        <x:v>SEP-CHEM-V3-014</x:v>
      </x:c>
      <x:c r="C2808" s="87" t="str">
        <x:v>СтатГрад</x:v>
      </x:c>
      <x:c r="D2808" s="87" t="str">
        <x:v>Сентябрь 2025</x:v>
      </x:c>
      <x:c r="E2808" s="87"/>
      <x:c r="F2808" s="87"/>
      <x:c r="G2808" s="87" t="str">
        <x:v>Химия</x:v>
      </x:c>
      <x:c r="H2808" s="87" t="n">
        <x:v>11</x:v>
      </x:c>
      <x:c r="I2808" s="87" t="str">
        <x:v>ТР №1</x:v>
      </x:c>
      <x:c r="J2808" s="87" t="str">
        <x:v>ХИ2510103</x:v>
      </x:c>
      <x:c r="K2808" s="87" t="n">
        <x:v>14</x:v>
      </x:c>
      <x:c r="L2808" s="87" t="str">
        <x:v>Органические реакции: продукты</x:v>
      </x:c>
      <x:c r="M2808" s="30" t="str">
        <x:v>Сопоставить четыре органические реакции с преимущественными продуктами.</x:v>
      </x:c>
      <x:c r="N2808" s="30" t="str">
        <x:v>6421</x:v>
      </x:c>
      <x:c r="O2808" s="30" t="str">
        <x:v>Стирол окисляется до бензойной кислоты; реакция Вюрца даёт 2,3-диметилбутан; избыток HCl с пропином — 2,2-дихлорпропан; циклопропан раскрывается до 1-хлорпропана.</x:v>
      </x:c>
      <x:c r="P2808" s="30" t="str">
        <x:v>Стирол окисляется до бензойной кислоты; реакция Вюрца даёт 2,3-диметилбутан; избыток HCl с пропином — 2,2-дихлорпропан; циклопропан раскрывается до 1-хлорпропана.</x:v>
      </x:c>
      <x:c r="Q2808" s="30"/>
      <x:c r="R2808" s="30" t="str">
        <x:v>Официальная таблица ответов в PDF критериев + независимое решение; содержание задания соответствует ХИ2510102</x:v>
      </x:c>
      <x:c r="S2808" s="30"/>
      <x:c r="T2808" s="30"/>
      <x:c r="U2808" s="30" t="str">
        <x:v>Расхождений не обнаружено.</x:v>
      </x:c>
      <x:c r="V2808" s="87" t="str">
        <x:v>VERIFIED</x:v>
      </x:c>
      <x:c r="W2808" s="87" t="str">
        <x:v>Zadanie_KhI11_10092025_.pdf, вариантная стр. 7</x:v>
      </x:c>
      <x:c r="X2808" s="87"/>
      <x:c r="Y2808" s="87"/>
      <x:c r="Z2808" s="87"/>
      <x:c r="AA2808" s="87"/>
      <x:c r="AB2808" s="87"/>
      <x:c r="AC2808" s="87"/>
      <x:c r="AD2808" s="87"/>
      <x:c r="AE2808" s="87"/>
      <x:c r="AF2808" s="87"/>
      <x:c r="AG2808" s="87"/>
      <x:c r="AH2808" s="87"/>
      <x:c r="AI2808" s="30"/>
      <x:c r="AJ2808" s="87" t="str">
        <x:v>master</x:v>
      </x:c>
      <x:c r="AK2808" s="87" t="str">
        <x:v>master-v0.81</x:v>
      </x:c>
      <x:c r="AL2808" s="87" t="str">
        <x:v>statgrad_master_base_v0_81_final(2).xlsx</x:v>
      </x:c>
      <x:c r="AM2808" s="87" t="str">
        <x:v>CHEM_Sep_V3</x:v>
      </x:c>
      <x:c r="AN2808" s="87" t="n">
        <x:v>15</x:v>
      </x:c>
    </x:row>
    <x:row r="2809">
      <x:c r="A2809" s="87" t="n">
        <x:v>2808</x:v>
      </x:c>
      <x:c r="B2809" s="87" t="str">
        <x:v>SEP-CHEM-V3-015</x:v>
      </x:c>
      <x:c r="C2809" s="87" t="str">
        <x:v>СтатГрад</x:v>
      </x:c>
      <x:c r="D2809" s="87" t="str">
        <x:v>Сентябрь 2025</x:v>
      </x:c>
      <x:c r="E2809" s="87"/>
      <x:c r="F2809" s="87"/>
      <x:c r="G2809" s="87" t="str">
        <x:v>Химия</x:v>
      </x:c>
      <x:c r="H2809" s="87" t="n">
        <x:v>11</x:v>
      </x:c>
      <x:c r="I2809" s="87" t="str">
        <x:v>ТР №1</x:v>
      </x:c>
      <x:c r="J2809" s="87" t="str">
        <x:v>ХИ2510103</x:v>
      </x:c>
      <x:c r="K2809" s="87" t="n">
        <x:v>15</x:v>
      </x:c>
      <x:c r="L2809" s="87" t="str">
        <x:v>Органические реакции: реагенты</x:v>
      </x:c>
      <x:c r="M2809" s="30" t="str">
        <x:v>По четырём схемам органических реакций определить реагент X.</x:v>
      </x:c>
      <x:c r="N2809" s="30" t="str">
        <x:v>3516</x:v>
      </x:c>
      <x:c r="O2809" s="30" t="str">
        <x:v>Кетон превращает PCl₅; декарбоксилирование соли идёт с NaOH; кислотный гидролиз нитрила требует H₂O; синтез Вильямсона — CH₃Br.</x:v>
      </x:c>
      <x:c r="P2809" s="30" t="str">
        <x:v>Кетон превращает PCl₅; декарбоксилирование соли идёт с NaOH; кислотный гидролиз нитрила требует H₂O; синтез Вильямсона — CH₃Br.</x:v>
      </x:c>
      <x:c r="Q2809" s="30"/>
      <x:c r="R2809" s="30" t="str">
        <x:v>Официальная таблица ответов в PDF критериев + независимое решение; содержание задания соответствует ХИ2510101</x:v>
      </x:c>
      <x:c r="S2809" s="30"/>
      <x:c r="T2809" s="30"/>
      <x:c r="U2809" s="30" t="str">
        <x:v>Расхождений не обнаружено.</x:v>
      </x:c>
      <x:c r="V2809" s="87" t="str">
        <x:v>VERIFIED</x:v>
      </x:c>
      <x:c r="W2809" s="87" t="str">
        <x:v>Zadanie_KhI11_10092025_.pdf, вариантная стр. 8</x:v>
      </x:c>
      <x:c r="X2809" s="87"/>
      <x:c r="Y2809" s="87"/>
      <x:c r="Z2809" s="87"/>
      <x:c r="AA2809" s="87"/>
      <x:c r="AB2809" s="87"/>
      <x:c r="AC2809" s="87"/>
      <x:c r="AD2809" s="87"/>
      <x:c r="AE2809" s="87"/>
      <x:c r="AF2809" s="87"/>
      <x:c r="AG2809" s="87"/>
      <x:c r="AH2809" s="87"/>
      <x:c r="AI2809" s="30"/>
      <x:c r="AJ2809" s="87" t="str">
        <x:v>master</x:v>
      </x:c>
      <x:c r="AK2809" s="87" t="str">
        <x:v>master-v0.81</x:v>
      </x:c>
      <x:c r="AL2809" s="87" t="str">
        <x:v>statgrad_master_base_v0_81_final(2).xlsx</x:v>
      </x:c>
      <x:c r="AM2809" s="87" t="str">
        <x:v>CHEM_Sep_V3</x:v>
      </x:c>
      <x:c r="AN2809" s="87" t="n">
        <x:v>16</x:v>
      </x:c>
    </x:row>
    <x:row r="2810">
      <x:c r="A2810" s="87" t="n">
        <x:v>2809</x:v>
      </x:c>
      <x:c r="B2810" s="87" t="str">
        <x:v>SEP-CHEM-V3-016</x:v>
      </x:c>
      <x:c r="C2810" s="87" t="str">
        <x:v>СтатГрад</x:v>
      </x:c>
      <x:c r="D2810" s="87" t="str">
        <x:v>Сентябрь 2025</x:v>
      </x:c>
      <x:c r="E2810" s="87"/>
      <x:c r="F2810" s="87"/>
      <x:c r="G2810" s="87" t="str">
        <x:v>Химия</x:v>
      </x:c>
      <x:c r="H2810" s="87" t="n">
        <x:v>11</x:v>
      </x:c>
      <x:c r="I2810" s="87" t="str">
        <x:v>ТР №1</x:v>
      </x:c>
      <x:c r="J2810" s="87" t="str">
        <x:v>ХИ2510103</x:v>
      </x:c>
      <x:c r="K2810" s="87" t="n">
        <x:v>16</x:v>
      </x:c>
      <x:c r="L2810" s="87" t="str">
        <x:v>Цепочка превращений: органика</x:v>
      </x:c>
      <x:c r="M2810" s="30" t="str">
        <x:v>Цепочка CH₃CHO → X → (CH₃COO)₂Ca → Y: определить X и Y.</x:v>
      </x:c>
      <x:c r="N2810" s="30" t="str">
        <x:v>31</x:v>
      </x:c>
      <x:c r="O2810" s="30" t="str">
        <x:v>CH₃CHO в аммиачной среде окисляется до ацетата аммония; сухая перегонка ацетата кальция даёт ацетон.</x:v>
      </x:c>
      <x:c r="P2810" s="30" t="str">
        <x:v>CH₃CHO в аммиачной среде окисляется до ацетата аммония; сухая перегонка ацетата кальция даёт ацетон.</x:v>
      </x:c>
      <x:c r="Q2810" s="30"/>
      <x:c r="R2810" s="30" t="str">
        <x:v>Фото-сводка ответов + независимое решение; содержание задания соответствует ХИ2510102</x:v>
      </x:c>
      <x:c r="S2810" s="30"/>
      <x:c r="T2810" s="30"/>
      <x:c r="U2810" s="30" t="str">
        <x:v>Расхождений не обнаружено.</x:v>
      </x:c>
      <x:c r="V2810" s="87" t="str">
        <x:v>VERIFIED</x:v>
      </x:c>
      <x:c r="W2810" s="87" t="str">
        <x:v>Zadanie_KhI11_10092025_.pdf, вариантная стр. 8</x:v>
      </x:c>
      <x:c r="X2810" s="87"/>
      <x:c r="Y2810" s="87"/>
      <x:c r="Z2810" s="87"/>
      <x:c r="AA2810" s="87"/>
      <x:c r="AB2810" s="87"/>
      <x:c r="AC2810" s="87"/>
      <x:c r="AD2810" s="87"/>
      <x:c r="AE2810" s="87"/>
      <x:c r="AF2810" s="87"/>
      <x:c r="AG2810" s="87"/>
      <x:c r="AH2810" s="87"/>
      <x:c r="AI2810" s="30"/>
      <x:c r="AJ2810" s="87" t="str">
        <x:v>master</x:v>
      </x:c>
      <x:c r="AK2810" s="87" t="str">
        <x:v>master-v0.81</x:v>
      </x:c>
      <x:c r="AL2810" s="87" t="str">
        <x:v>statgrad_master_base_v0_81_final(2).xlsx</x:v>
      </x:c>
      <x:c r="AM2810" s="87" t="str">
        <x:v>CHEM_Sep_V3</x:v>
      </x:c>
      <x:c r="AN2810" s="87" t="n">
        <x:v>17</x:v>
      </x:c>
    </x:row>
    <x:row r="2811">
      <x:c r="A2811" s="87" t="n">
        <x:v>2810</x:v>
      </x:c>
      <x:c r="B2811" s="87" t="str">
        <x:v>SEP-CHEM-V3-017</x:v>
      </x:c>
      <x:c r="C2811" s="87" t="str">
        <x:v>СтатГрад</x:v>
      </x:c>
      <x:c r="D2811" s="87" t="str">
        <x:v>Сентябрь 2025</x:v>
      </x:c>
      <x:c r="E2811" s="87"/>
      <x:c r="F2811" s="87"/>
      <x:c r="G2811" s="87" t="str">
        <x:v>Химия</x:v>
      </x:c>
      <x:c r="H2811" s="87" t="n">
        <x:v>11</x:v>
      </x:c>
      <x:c r="I2811" s="87" t="str">
        <x:v>ТР №1</x:v>
      </x:c>
      <x:c r="J2811" s="87" t="str">
        <x:v>ХИ2510103</x:v>
      </x:c>
      <x:c r="K2811" s="87" t="n">
        <x:v>17</x:v>
      </x:c>
      <x:c r="L2811" s="87" t="str">
        <x:v>Классификация реакций</x:v>
      </x:c>
      <x:c r="M2811" s="30" t="str">
        <x:v>Сопоставить реакции P+Cl₂, гидрирование бензола и Cu+AgNO₃ с типами реакций.</x:v>
      </x:c>
      <x:c r="N2811" s="30" t="str">
        <x:v>312</x:v>
      </x:c>
      <x:c r="O2811" s="30" t="str">
        <x:v>P+Cl₂ — соединение и экзотермическая реакция; гидрирование бензола — соединение и каталитическая; Cu+AgNO₃ — замещение, гетерогенная.</x:v>
      </x:c>
      <x:c r="P2811" s="30" t="str">
        <x:v>P+Cl₂ — соединение и экзотермическая реакция; гидрирование бензола — соединение и каталитическая; Cu+AgNO₃ — замещение, гетерогенная.</x:v>
      </x:c>
      <x:c r="Q2811" s="30"/>
      <x:c r="R2811" s="30" t="str">
        <x:v>Фото-сводка ответов + независимое решение; содержание задания соответствует ХИ2510101</x:v>
      </x:c>
      <x:c r="S2811" s="30"/>
      <x:c r="T2811" s="30"/>
      <x:c r="U2811" s="30" t="str">
        <x:v>Расхождений не обнаружено.</x:v>
      </x:c>
      <x:c r="V2811" s="87" t="str">
        <x:v>VERIFIED</x:v>
      </x:c>
      <x:c r="W2811" s="87" t="str">
        <x:v>Zadanie_KhI11_10092025_.pdf, вариантная стр. 9</x:v>
      </x:c>
      <x:c r="X2811" s="87"/>
      <x:c r="Y2811" s="87"/>
      <x:c r="Z2811" s="87"/>
      <x:c r="AA2811" s="87"/>
      <x:c r="AB2811" s="87"/>
      <x:c r="AC2811" s="87"/>
      <x:c r="AD2811" s="87"/>
      <x:c r="AE2811" s="87"/>
      <x:c r="AF2811" s="87"/>
      <x:c r="AG2811" s="87"/>
      <x:c r="AH2811" s="87"/>
      <x:c r="AI2811" s="30"/>
      <x:c r="AJ2811" s="87" t="str">
        <x:v>master</x:v>
      </x:c>
      <x:c r="AK2811" s="87" t="str">
        <x:v>master-v0.81</x:v>
      </x:c>
      <x:c r="AL2811" s="87" t="str">
        <x:v>statgrad_master_base_v0_81_final(2).xlsx</x:v>
      </x:c>
      <x:c r="AM2811" s="87" t="str">
        <x:v>CHEM_Sep_V3</x:v>
      </x:c>
      <x:c r="AN2811" s="87" t="n">
        <x:v>18</x:v>
      </x:c>
    </x:row>
    <x:row r="2812">
      <x:c r="A2812" s="87" t="n">
        <x:v>2811</x:v>
      </x:c>
      <x:c r="B2812" s="87" t="str">
        <x:v>SEP-CHEM-V3-018</x:v>
      </x:c>
      <x:c r="C2812" s="87" t="str">
        <x:v>СтатГрад</x:v>
      </x:c>
      <x:c r="D2812" s="87" t="str">
        <x:v>Сентябрь 2025</x:v>
      </x:c>
      <x:c r="E2812" s="87"/>
      <x:c r="F2812" s="87"/>
      <x:c r="G2812" s="87" t="str">
        <x:v>Химия</x:v>
      </x:c>
      <x:c r="H2812" s="87" t="n">
        <x:v>11</x:v>
      </x:c>
      <x:c r="I2812" s="87" t="str">
        <x:v>ТР №1</x:v>
      </x:c>
      <x:c r="J2812" s="87" t="str">
        <x:v>ХИ2510103</x:v>
      </x:c>
      <x:c r="K2812" s="87" t="n">
        <x:v>18</x:v>
      </x:c>
      <x:c r="L2812" s="87" t="str">
        <x:v>Скорость реакции и pH</x:v>
      </x:c>
      <x:c r="M2812" s="30" t="str">
        <x:v>Выбрать реакции, скорость которых возрастает при увеличении pH.</x:v>
      </x:c>
      <x:c r="N2812" s="30" t="str">
        <x:v>125</x:v>
      </x:c>
      <x:c r="O2812" s="30" t="str">
        <x:v>Повышение pH повышает концентрацию OH⁻ и ускоряет реакции Cl₂ с KOH/Ca(OH)₂ и Be со щёлочью.</x:v>
      </x:c>
      <x:c r="P2812" s="30" t="str">
        <x:v>Повышение pH повышает концентрацию OH⁻ и ускоряет реакции Cl₂ с KOH/Ca(OH)₂ и Be со щёлочью.</x:v>
      </x:c>
      <x:c r="Q2812" s="30"/>
      <x:c r="R2812" s="30" t="str">
        <x:v>Фото-сводка ответов + независимое решение; содержание задания соответствует ХИ2510102</x:v>
      </x:c>
      <x:c r="S2812" s="30"/>
      <x:c r="T2812" s="30"/>
      <x:c r="U2812" s="30" t="str">
        <x:v>Расхождений не обнаружено.</x:v>
      </x:c>
      <x:c r="V2812" s="87" t="str">
        <x:v>VERIFIED</x:v>
      </x:c>
      <x:c r="W2812" s="87" t="str">
        <x:v>Zadanie_KhI11_10092025_.pdf, вариантная стр. 9</x:v>
      </x:c>
      <x:c r="X2812" s="87"/>
      <x:c r="Y2812" s="87"/>
      <x:c r="Z2812" s="87"/>
      <x:c r="AA2812" s="87"/>
      <x:c r="AB2812" s="87"/>
      <x:c r="AC2812" s="87"/>
      <x:c r="AD2812" s="87"/>
      <x:c r="AE2812" s="87"/>
      <x:c r="AF2812" s="87"/>
      <x:c r="AG2812" s="87"/>
      <x:c r="AH2812" s="87"/>
      <x:c r="AI2812" s="30"/>
      <x:c r="AJ2812" s="87" t="str">
        <x:v>master</x:v>
      </x:c>
      <x:c r="AK2812" s="87" t="str">
        <x:v>master-v0.81</x:v>
      </x:c>
      <x:c r="AL2812" s="87" t="str">
        <x:v>statgrad_master_base_v0_81_final(2).xlsx</x:v>
      </x:c>
      <x:c r="AM2812" s="87" t="str">
        <x:v>CHEM_Sep_V3</x:v>
      </x:c>
      <x:c r="AN2812" s="87" t="n">
        <x:v>19</x:v>
      </x:c>
    </x:row>
    <x:row r="2813">
      <x:c r="A2813" s="87" t="n">
        <x:v>2812</x:v>
      </x:c>
      <x:c r="B2813" s="87" t="str">
        <x:v>SEP-CHEM-V3-019</x:v>
      </x:c>
      <x:c r="C2813" s="87" t="str">
        <x:v>СтатГрад</x:v>
      </x:c>
      <x:c r="D2813" s="87" t="str">
        <x:v>Сентябрь 2025</x:v>
      </x:c>
      <x:c r="E2813" s="87"/>
      <x:c r="F2813" s="87"/>
      <x:c r="G2813" s="87" t="str">
        <x:v>Химия</x:v>
      </x:c>
      <x:c r="H2813" s="87" t="n">
        <x:v>11</x:v>
      </x:c>
      <x:c r="I2813" s="87" t="str">
        <x:v>ТР №1</x:v>
      </x:c>
      <x:c r="J2813" s="87" t="str">
        <x:v>ХИ2510103</x:v>
      </x:c>
      <x:c r="K2813" s="87" t="n">
        <x:v>19</x:v>
      </x:c>
      <x:c r="L2813" s="87" t="str">
        <x:v>Электронный баланс</x:v>
      </x:c>
      <x:c r="M2813" s="30" t="str">
        <x:v>Для трёх ОВР определить число электронов, отданных атомом восстановителя.</x:v>
      </x:c>
      <x:c r="N2813" s="30" t="str">
        <x:v>213</x:v>
      </x:c>
      <x:c r="O2813" s="30" t="str">
        <x:v>Mn(+4)→Mn(+6): 2e; Cu(+1)→Cu(+2): 1e; C(0)→C(+4): 4e.</x:v>
      </x:c>
      <x:c r="P2813" s="30" t="str">
        <x:v>Mn(+4)→Mn(+6): 2e; Cu(+1)→Cu(+2): 1e; C(0)→C(+4): 4e.</x:v>
      </x:c>
      <x:c r="Q2813" s="30"/>
      <x:c r="R2813" s="30" t="str">
        <x:v>Фото-сводка ответов + независимое решение; содержание задания соответствует ХИ2510101</x:v>
      </x:c>
      <x:c r="S2813" s="30"/>
      <x:c r="T2813" s="30"/>
      <x:c r="U2813" s="30" t="str">
        <x:v>Расхождений не обнаружено.</x:v>
      </x:c>
      <x:c r="V2813" s="87" t="str">
        <x:v>VERIFIED</x:v>
      </x:c>
      <x:c r="W2813" s="87" t="str">
        <x:v>Zadanie_KhI11_10092025_.pdf, вариантная стр. 10</x:v>
      </x:c>
      <x:c r="X2813" s="87"/>
      <x:c r="Y2813" s="87"/>
      <x:c r="Z2813" s="87"/>
      <x:c r="AA2813" s="87"/>
      <x:c r="AB2813" s="87"/>
      <x:c r="AC2813" s="87"/>
      <x:c r="AD2813" s="87"/>
      <x:c r="AE2813" s="87"/>
      <x:c r="AF2813" s="87"/>
      <x:c r="AG2813" s="87"/>
      <x:c r="AH2813" s="87"/>
      <x:c r="AI2813" s="30"/>
      <x:c r="AJ2813" s="87" t="str">
        <x:v>master</x:v>
      </x:c>
      <x:c r="AK2813" s="87" t="str">
        <x:v>master-v0.81</x:v>
      </x:c>
      <x:c r="AL2813" s="87" t="str">
        <x:v>statgrad_master_base_v0_81_final(2).xlsx</x:v>
      </x:c>
      <x:c r="AM2813" s="87" t="str">
        <x:v>CHEM_Sep_V3</x:v>
      </x:c>
      <x:c r="AN2813" s="87" t="n">
        <x:v>20</x:v>
      </x:c>
    </x:row>
    <x:row r="2814">
      <x:c r="A2814" s="87" t="n">
        <x:v>2813</x:v>
      </x:c>
      <x:c r="B2814" s="87" t="str">
        <x:v>SEP-CHEM-V3-020</x:v>
      </x:c>
      <x:c r="C2814" s="87" t="str">
        <x:v>СтатГрад</x:v>
      </x:c>
      <x:c r="D2814" s="87" t="str">
        <x:v>Сентябрь 2025</x:v>
      </x:c>
      <x:c r="E2814" s="87"/>
      <x:c r="F2814" s="87"/>
      <x:c r="G2814" s="87" t="str">
        <x:v>Химия</x:v>
      </x:c>
      <x:c r="H2814" s="87" t="n">
        <x:v>11</x:v>
      </x:c>
      <x:c r="I2814" s="87" t="str">
        <x:v>ТР №1</x:v>
      </x:c>
      <x:c r="J2814" s="87" t="str">
        <x:v>ХИ2510103</x:v>
      </x:c>
      <x:c r="K2814" s="87" t="n">
        <x:v>20</x:v>
      </x:c>
      <x:c r="L2814" s="87" t="str">
        <x:v>Электролиз</x:v>
      </x:c>
      <x:c r="M2814" s="30" t="str">
        <x:v>Сопоставить H₂SO₄, BaCl₂ и Hg(NO₃)₂ с продуктами на катоде при электролизе водных растворов.</x:v>
      </x:c>
      <x:c r="N2814" s="30" t="str">
        <x:v>231</x:v>
      </x:c>
      <x:c r="O2814" s="30" t="str">
        <x:v>В H₂SO₄ на катоде выделяется H₂; из BaCl₂ — H₂ с образованием щёлочи; Hg²⁺ восстанавливается до металла.</x:v>
      </x:c>
      <x:c r="P2814" s="30" t="str">
        <x:v>В H₂SO₄ на катоде выделяется H₂; из BaCl₂ — H₂ с образованием щёлочи; Hg²⁺ восстанавливается до металла.</x:v>
      </x:c>
      <x:c r="Q2814" s="30"/>
      <x:c r="R2814" s="30" t="str">
        <x:v>Фото-сводка ответов + независимое решение; содержание задания соответствует ХИ2510102</x:v>
      </x:c>
      <x:c r="S2814" s="30"/>
      <x:c r="T2814" s="30"/>
      <x:c r="U2814" s="30" t="str">
        <x:v>Расхождений не обнаружено.</x:v>
      </x:c>
      <x:c r="V2814" s="87" t="str">
        <x:v>VERIFIED</x:v>
      </x:c>
      <x:c r="W2814" s="87" t="str">
        <x:v>Zadanie_KhI11_10092025_.pdf, вариантная стр. 10</x:v>
      </x:c>
      <x:c r="X2814" s="87"/>
      <x:c r="Y2814" s="87"/>
      <x:c r="Z2814" s="87"/>
      <x:c r="AA2814" s="87"/>
      <x:c r="AB2814" s="87"/>
      <x:c r="AC2814" s="87"/>
      <x:c r="AD2814" s="87"/>
      <x:c r="AE2814" s="87"/>
      <x:c r="AF2814" s="87"/>
      <x:c r="AG2814" s="87"/>
      <x:c r="AH2814" s="87"/>
      <x:c r="AI2814" s="30"/>
      <x:c r="AJ2814" s="87" t="str">
        <x:v>master</x:v>
      </x:c>
      <x:c r="AK2814" s="87" t="str">
        <x:v>master-v0.81</x:v>
      </x:c>
      <x:c r="AL2814" s="87" t="str">
        <x:v>statgrad_master_base_v0_81_final(2).xlsx</x:v>
      </x:c>
      <x:c r="AM2814" s="87" t="str">
        <x:v>CHEM_Sep_V3</x:v>
      </x:c>
      <x:c r="AN2814" s="87" t="n">
        <x:v>21</x:v>
      </x:c>
    </x:row>
    <x:row r="2815">
      <x:c r="A2815" s="87" t="n">
        <x:v>2814</x:v>
      </x:c>
      <x:c r="B2815" s="87" t="str">
        <x:v>SEP-CHEM-V3-021</x:v>
      </x:c>
      <x:c r="C2815" s="87" t="str">
        <x:v>СтатГрад</x:v>
      </x:c>
      <x:c r="D2815" s="87" t="str">
        <x:v>Сентябрь 2025</x:v>
      </x:c>
      <x:c r="E2815" s="87"/>
      <x:c r="F2815" s="87"/>
      <x:c r="G2815" s="87" t="str">
        <x:v>Химия</x:v>
      </x:c>
      <x:c r="H2815" s="87" t="n">
        <x:v>11</x:v>
      </x:c>
      <x:c r="I2815" s="87" t="str">
        <x:v>ТР №1</x:v>
      </x:c>
      <x:c r="J2815" s="87" t="str">
        <x:v>ХИ2510103</x:v>
      </x:c>
      <x:c r="K2815" s="87" t="n">
        <x:v>21</x:v>
      </x:c>
      <x:c r="L2815" s="87" t="str">
        <x:v>pH растворов</x:v>
      </x:c>
      <x:c r="M2815" s="30" t="str">
        <x:v>Расположить растворы NH₃, NH₄NO₃, Ca(NO₃)₂ и HIO₃ по возрастанию pH при одинаковой концентрации.</x:v>
      </x:c>
      <x:c r="N2815" s="30" t="str">
        <x:v>4231</x:v>
      </x:c>
      <x:c r="O2815" s="30" t="str">
        <x:v>HIO₃ — кислота; NH₄NO₃ — кислая соль; Ca(NO₃)₂ практически нейтрален; NH₃ образует щелочную среду.</x:v>
      </x:c>
      <x:c r="P2815" s="30" t="str">
        <x:v>HIO₃ — кислота; NH₄NO₃ — кислая соль; Ca(NO₃)₂ практически нейтрален; NH₃ образует щелочную среду.</x:v>
      </x:c>
      <x:c r="Q2815" s="30"/>
      <x:c r="R2815" s="30" t="str">
        <x:v>Фото-сводка ответов + независимое решение; содержание задания соответствует ХИ2510101</x:v>
      </x:c>
      <x:c r="S2815" s="30"/>
      <x:c r="T2815" s="30"/>
      <x:c r="U2815" s="30" t="str">
        <x:v>Расхождений не обнаружено.</x:v>
      </x:c>
      <x:c r="V2815" s="87" t="str">
        <x:v>VERIFIED</x:v>
      </x:c>
      <x:c r="W2815" s="87" t="str">
        <x:v>Zadanie_KhI11_10092025_.pdf, вариантная стр. 11</x:v>
      </x:c>
      <x:c r="X2815" s="87"/>
      <x:c r="Y2815" s="87"/>
      <x:c r="Z2815" s="87"/>
      <x:c r="AA2815" s="87"/>
      <x:c r="AB2815" s="87"/>
      <x:c r="AC2815" s="87"/>
      <x:c r="AD2815" s="87"/>
      <x:c r="AE2815" s="87"/>
      <x:c r="AF2815" s="87"/>
      <x:c r="AG2815" s="87"/>
      <x:c r="AH2815" s="87"/>
      <x:c r="AI2815" s="30"/>
      <x:c r="AJ2815" s="87" t="str">
        <x:v>master</x:v>
      </x:c>
      <x:c r="AK2815" s="87" t="str">
        <x:v>master-v0.81</x:v>
      </x:c>
      <x:c r="AL2815" s="87" t="str">
        <x:v>statgrad_master_base_v0_81_final(2).xlsx</x:v>
      </x:c>
      <x:c r="AM2815" s="87" t="str">
        <x:v>CHEM_Sep_V3</x:v>
      </x:c>
      <x:c r="AN2815" s="87" t="n">
        <x:v>22</x:v>
      </x:c>
    </x:row>
    <x:row r="2816">
      <x:c r="A2816" s="87" t="n">
        <x:v>2815</x:v>
      </x:c>
      <x:c r="B2816" s="87" t="str">
        <x:v>SEP-CHEM-V3-022</x:v>
      </x:c>
      <x:c r="C2816" s="87" t="str">
        <x:v>СтатГрад</x:v>
      </x:c>
      <x:c r="D2816" s="87" t="str">
        <x:v>Сентябрь 2025</x:v>
      </x:c>
      <x:c r="E2816" s="87"/>
      <x:c r="F2816" s="87"/>
      <x:c r="G2816" s="87" t="str">
        <x:v>Химия</x:v>
      </x:c>
      <x:c r="H2816" s="87" t="n">
        <x:v>11</x:v>
      </x:c>
      <x:c r="I2816" s="87" t="str">
        <x:v>ТР №1</x:v>
      </x:c>
      <x:c r="J2816" s="87" t="str">
        <x:v>ХИ2510103</x:v>
      </x:c>
      <x:c r="K2816" s="87" t="n">
        <x:v>22</x:v>
      </x:c>
      <x:c r="L2816" s="87" t="str">
        <x:v>Химическое равновесие</x:v>
      </x:c>
      <x:c r="M2816" s="30" t="str">
        <x:v>Для равновесия растворения CaCO₃ сопоставить добавление CaCl₂, CaCO₃, давление и нагревание с направлением смещения.</x:v>
      </x:c>
      <x:c r="N2816" s="30" t="str">
        <x:v>2332</x:v>
      </x:c>
      <x:c r="O2816" s="30" t="str">
        <x:v>Ca²⁺ сдвигает растворение CaCO₃ влево; добавление твёрдого CaCO₃ и давление не влияют; нагревание экзотермического растворения сдвигает влево.</x:v>
      </x:c>
      <x:c r="P2816" s="30" t="str">
        <x:v>Ca²⁺ сдвигает растворение CaCO₃ влево; добавление твёрдого CaCO₃ и давление не влияют; нагревание экзотермического растворения сдвигает влево.</x:v>
      </x:c>
      <x:c r="Q2816" s="30"/>
      <x:c r="R2816" s="30" t="str">
        <x:v>Официальная таблица ответов в PDF критериев + независимое решение; содержание задания соответствует ХИ2510102</x:v>
      </x:c>
      <x:c r="S2816" s="30"/>
      <x:c r="T2816" s="30"/>
      <x:c r="U2816" s="30" t="str">
        <x:v>Расхождений не обнаружено.</x:v>
      </x:c>
      <x:c r="V2816" s="87" t="str">
        <x:v>VERIFIED</x:v>
      </x:c>
      <x:c r="W2816" s="87" t="str">
        <x:v>Zadanie_KhI11_10092025_.pdf, вариантная стр. 12</x:v>
      </x:c>
      <x:c r="X2816" s="87"/>
      <x:c r="Y2816" s="87"/>
      <x:c r="Z2816" s="87"/>
      <x:c r="AA2816" s="87"/>
      <x:c r="AB2816" s="87"/>
      <x:c r="AC2816" s="87"/>
      <x:c r="AD2816" s="87"/>
      <x:c r="AE2816" s="87"/>
      <x:c r="AF2816" s="87"/>
      <x:c r="AG2816" s="87"/>
      <x:c r="AH2816" s="87"/>
      <x:c r="AI2816" s="30"/>
      <x:c r="AJ2816" s="87" t="str">
        <x:v>master</x:v>
      </x:c>
      <x:c r="AK2816" s="87" t="str">
        <x:v>master-v0.81</x:v>
      </x:c>
      <x:c r="AL2816" s="87" t="str">
        <x:v>statgrad_master_base_v0_81_final(2).xlsx</x:v>
      </x:c>
      <x:c r="AM2816" s="87" t="str">
        <x:v>CHEM_Sep_V3</x:v>
      </x:c>
      <x:c r="AN2816" s="87" t="n">
        <x:v>23</x:v>
      </x:c>
    </x:row>
    <x:row r="2817">
      <x:c r="A2817" s="87" t="n">
        <x:v>2816</x:v>
      </x:c>
      <x:c r="B2817" s="87" t="str">
        <x:v>SEP-CHEM-V3-023</x:v>
      </x:c>
      <x:c r="C2817" s="87" t="str">
        <x:v>СтатГрад</x:v>
      </x:c>
      <x:c r="D2817" s="87" t="str">
        <x:v>Сентябрь 2025</x:v>
      </x:c>
      <x:c r="E2817" s="87"/>
      <x:c r="F2817" s="87"/>
      <x:c r="G2817" s="87" t="str">
        <x:v>Химия</x:v>
      </x:c>
      <x:c r="H2817" s="87" t="n">
        <x:v>11</x:v>
      </x:c>
      <x:c r="I2817" s="87" t="str">
        <x:v>ТР №1</x:v>
      </x:c>
      <x:c r="J2817" s="87" t="str">
        <x:v>ХИ2510103</x:v>
      </x:c>
      <x:c r="K2817" s="87" t="n">
        <x:v>23</x:v>
      </x:c>
      <x:c r="L2817" s="87" t="str">
        <x:v>Равновесные концентрации</x:v>
      </x:c>
      <x:c r="M2817" s="30" t="str">
        <x:v>Циклогексан 25 ммоль/л частично дегидрируется; равновесный бензол 10 ммоль/л. Найти равновесные концентрации циклогексана X и H₂ Y.</x:v>
      </x:c>
      <x:c r="N2817" s="30" t="str">
        <x:v>X=2; Y=5</x:v>
      </x:c>
      <x:c r="O2817" s="30" t="str">
        <x:v>Образование 10 ммоль/л бензола означает расход 10 циклогексана: X=15 ммоль/л; H₂ образуется 30 ммоль/л.</x:v>
      </x:c>
      <x:c r="P2817" s="30" t="str">
        <x:v>Образование 10 ммоль/л бензола означает расход 10 циклогексана: X=15 ммоль/л; H₂ образуется 30 ммоль/л.</x:v>
      </x:c>
      <x:c r="Q2817" s="30"/>
      <x:c r="R2817" s="30" t="str">
        <x:v>Фото-сводка ответов + независимое решение; содержание задания соответствует ХИ2510101</x:v>
      </x:c>
      <x:c r="S2817" s="30"/>
      <x:c r="T2817" s="30"/>
      <x:c r="U2817" s="30" t="str">
        <x:v>Расхождений не обнаружено.</x:v>
      </x:c>
      <x:c r="V2817" s="87" t="str">
        <x:v>VERIFIED</x:v>
      </x:c>
      <x:c r="W2817" s="87" t="str">
        <x:v>Zadanie_KhI11_10092025_.pdf, вариантная стр. 13</x:v>
      </x:c>
      <x:c r="X2817" s="87"/>
      <x:c r="Y2817" s="87"/>
      <x:c r="Z2817" s="87"/>
      <x:c r="AA2817" s="87"/>
      <x:c r="AB2817" s="87"/>
      <x:c r="AC2817" s="87"/>
      <x:c r="AD2817" s="87"/>
      <x:c r="AE2817" s="87"/>
      <x:c r="AF2817" s="87"/>
      <x:c r="AG2817" s="87"/>
      <x:c r="AH2817" s="87"/>
      <x:c r="AI2817" s="30"/>
      <x:c r="AJ2817" s="87" t="str">
        <x:v>master</x:v>
      </x:c>
      <x:c r="AK2817" s="87" t="str">
        <x:v>master-v0.81</x:v>
      </x:c>
      <x:c r="AL2817" s="87" t="str">
        <x:v>statgrad_master_base_v0_81_final(2).xlsx</x:v>
      </x:c>
      <x:c r="AM2817" s="87" t="str">
        <x:v>CHEM_Sep_V3</x:v>
      </x:c>
      <x:c r="AN2817" s="87" t="n">
        <x:v>24</x:v>
      </x:c>
    </x:row>
    <x:row r="2818">
      <x:c r="A2818" s="87" t="n">
        <x:v>2817</x:v>
      </x:c>
      <x:c r="B2818" s="87" t="str">
        <x:v>SEP-CHEM-V3-024</x:v>
      </x:c>
      <x:c r="C2818" s="87" t="str">
        <x:v>СтатГрад</x:v>
      </x:c>
      <x:c r="D2818" s="87" t="str">
        <x:v>Сентябрь 2025</x:v>
      </x:c>
      <x:c r="E2818" s="87"/>
      <x:c r="F2818" s="87"/>
      <x:c r="G2818" s="87" t="str">
        <x:v>Химия</x:v>
      </x:c>
      <x:c r="H2818" s="87" t="n">
        <x:v>11</x:v>
      </x:c>
      <x:c r="I2818" s="87" t="str">
        <x:v>ТР №1</x:v>
      </x:c>
      <x:c r="J2818" s="87" t="str">
        <x:v>ХИ2510103</x:v>
      </x:c>
      <x:c r="K2818" s="87" t="n">
        <x:v>24</x:v>
      </x:c>
      <x:c r="L2818" s="87" t="str">
        <x:v>Качественный анализ</x:v>
      </x:c>
      <x:c r="M2818" s="30" t="str">
        <x:v>Сопоставить четыре пары растворов с реактивами, позволяющими их различить.</x:v>
      </x:c>
      <x:c r="N2818" s="30" t="str">
        <x:v>3215</x:v>
      </x:c>
      <x:c r="O2818" s="30" t="str">
        <x:v>Cu реагирует с разбавленной HNO₃, но не HCl; KOH выделяет NH₃ из аммонийной соли; BaCl₂ выявляет SO₄²⁻; фенолфталеин различает Ca(OH)₂ и CaCl₂.</x:v>
      </x:c>
      <x:c r="P2818" s="30" t="str">
        <x:v>Cu реагирует с разбавленной HNO₃, но не HCl; KOH выделяет NH₃ из аммонийной соли; BaCl₂ выявляет SO₄²⁻; фенолфталеин различает Ca(OH)₂ и CaCl₂.</x:v>
      </x:c>
      <x:c r="Q2818" s="30"/>
      <x:c r="R2818" s="30" t="str">
        <x:v>Официальная таблица ответов в PDF критериев + независимое решение; содержание задания соответствует ХИ2510102</x:v>
      </x:c>
      <x:c r="S2818" s="30"/>
      <x:c r="T2818" s="30"/>
      <x:c r="U2818" s="30" t="str">
        <x:v>Расхождений не обнаружено.</x:v>
      </x:c>
      <x:c r="V2818" s="87" t="str">
        <x:v>VERIFIED</x:v>
      </x:c>
      <x:c r="W2818" s="87" t="str">
        <x:v>Zadanie_KhI11_10092025_.pdf, вариантная стр. 13</x:v>
      </x:c>
      <x:c r="X2818" s="87"/>
      <x:c r="Y2818" s="87"/>
      <x:c r="Z2818" s="87"/>
      <x:c r="AA2818" s="87"/>
      <x:c r="AB2818" s="87"/>
      <x:c r="AC2818" s="87"/>
      <x:c r="AD2818" s="87"/>
      <x:c r="AE2818" s="87"/>
      <x:c r="AF2818" s="87"/>
      <x:c r="AG2818" s="87"/>
      <x:c r="AH2818" s="87"/>
      <x:c r="AI2818" s="30"/>
      <x:c r="AJ2818" s="87" t="str">
        <x:v>master</x:v>
      </x:c>
      <x:c r="AK2818" s="87" t="str">
        <x:v>master-v0.81</x:v>
      </x:c>
      <x:c r="AL2818" s="87" t="str">
        <x:v>statgrad_master_base_v0_81_final(2).xlsx</x:v>
      </x:c>
      <x:c r="AM2818" s="87" t="str">
        <x:v>CHEM_Sep_V3</x:v>
      </x:c>
      <x:c r="AN2818" s="87" t="n">
        <x:v>25</x:v>
      </x:c>
    </x:row>
    <x:row r="2819">
      <x:c r="A2819" s="87" t="n">
        <x:v>2818</x:v>
      </x:c>
      <x:c r="B2819" s="87" t="str">
        <x:v>SEP-CHEM-V3-025</x:v>
      </x:c>
      <x:c r="C2819" s="87" t="str">
        <x:v>СтатГрад</x:v>
      </x:c>
      <x:c r="D2819" s="87" t="str">
        <x:v>Сентябрь 2025</x:v>
      </x:c>
      <x:c r="E2819" s="87"/>
      <x:c r="F2819" s="87"/>
      <x:c r="G2819" s="87" t="str">
        <x:v>Химия</x:v>
      </x:c>
      <x:c r="H2819" s="87" t="n">
        <x:v>11</x:v>
      </x:c>
      <x:c r="I2819" s="87" t="str">
        <x:v>ТР №1</x:v>
      </x:c>
      <x:c r="J2819" s="87" t="str">
        <x:v>ХИ2510103</x:v>
      </x:c>
      <x:c r="K2819" s="87" t="n">
        <x:v>25</x:v>
      </x:c>
      <x:c r="L2819" s="87" t="str">
        <x:v>Промышленная химия</x:v>
      </x:c>
      <x:c r="M2819" s="30" t="str">
        <x:v>Сопоставить железо, водород и хлор с основными промышленными способами получения.</x:v>
      </x:c>
      <x:c r="N2819" s="30" t="str">
        <x:v>214</x:v>
      </x:c>
      <x:c r="O2819" s="30" t="str">
        <x:v>Железо получают восстановлением оксидов CO; H₂ — паровой конверсией метана; Cl₂ — электролизом раствора соли.</x:v>
      </x:c>
      <x:c r="P2819" s="30" t="str">
        <x:v>Железо получают восстановлением оксидов CO; H₂ — паровой конверсией метана; Cl₂ — электролизом раствора соли.</x:v>
      </x:c>
      <x:c r="Q2819" s="30"/>
      <x:c r="R2819" s="30" t="str">
        <x:v>Фото-сводка ответов + независимое решение; содержание задания соответствует ХИ2510101</x:v>
      </x:c>
      <x:c r="S2819" s="30"/>
      <x:c r="T2819" s="30"/>
      <x:c r="U2819" s="30" t="str">
        <x:v>Расхождений не обнаружено.</x:v>
      </x:c>
      <x:c r="V2819" s="87" t="str">
        <x:v>VERIFIED</x:v>
      </x:c>
      <x:c r="W2819" s="87" t="str">
        <x:v>Zadanie_KhI11_10092025_.pdf, вариантная стр. 13</x:v>
      </x:c>
      <x:c r="X2819" s="87"/>
      <x:c r="Y2819" s="87"/>
      <x:c r="Z2819" s="87"/>
      <x:c r="AA2819" s="87"/>
      <x:c r="AB2819" s="87"/>
      <x:c r="AC2819" s="87"/>
      <x:c r="AD2819" s="87"/>
      <x:c r="AE2819" s="87"/>
      <x:c r="AF2819" s="87"/>
      <x:c r="AG2819" s="87"/>
      <x:c r="AH2819" s="87"/>
      <x:c r="AI2819" s="30"/>
      <x:c r="AJ2819" s="87" t="str">
        <x:v>master</x:v>
      </x:c>
      <x:c r="AK2819" s="87" t="str">
        <x:v>master-v0.81</x:v>
      </x:c>
      <x:c r="AL2819" s="87" t="str">
        <x:v>statgrad_master_base_v0_81_final(2).xlsx</x:v>
      </x:c>
      <x:c r="AM2819" s="87" t="str">
        <x:v>CHEM_Sep_V3</x:v>
      </x:c>
      <x:c r="AN2819" s="87" t="n">
        <x:v>26</x:v>
      </x:c>
    </x:row>
    <x:row r="2820">
      <x:c r="A2820" s="87" t="n">
        <x:v>2819</x:v>
      </x:c>
      <x:c r="B2820" s="87" t="str">
        <x:v>SEP-CHEM-V3-026</x:v>
      </x:c>
      <x:c r="C2820" s="87" t="str">
        <x:v>СтатГрад</x:v>
      </x:c>
      <x:c r="D2820" s="87" t="str">
        <x:v>Сентябрь 2025</x:v>
      </x:c>
      <x:c r="E2820" s="87"/>
      <x:c r="F2820" s="87"/>
      <x:c r="G2820" s="87" t="str">
        <x:v>Химия</x:v>
      </x:c>
      <x:c r="H2820" s="87" t="n">
        <x:v>11</x:v>
      </x:c>
      <x:c r="I2820" s="87" t="str">
        <x:v>ТР №1</x:v>
      </x:c>
      <x:c r="J2820" s="87" t="str">
        <x:v>ХИ2510103</x:v>
      </x:c>
      <x:c r="K2820" s="87" t="n">
        <x:v>26</x:v>
      </x:c>
      <x:c r="L2820" s="87" t="str">
        <x:v>Растворы и концентрации</x:v>
      </x:c>
      <x:c r="M2820" s="30" t="str">
        <x:v>Рассчитать объём 36,5%-й HCl (ρ=1,18 г/мл) для приготовления 800 мл раствора 0,5 моль/л.</x:v>
      </x:c>
      <x:c r="N2820" s="30" t="str">
        <x:v>34</x:v>
      </x:c>
      <x:c r="O2820" s="30" t="str">
        <x:v>n(HCl)=0,8·0,5=0,4 моль; m чистой HCl=14,6 г; m раствора=40 г; V=40/1,18≈34 мл.</x:v>
      </x:c>
      <x:c r="P2820" s="30" t="str">
        <x:v>n(HCl)=0,8·0,5=0,4 моль; m чистой HCl=14,6 г; m раствора=40 г; V=40/1,18≈34 мл.</x:v>
      </x:c>
      <x:c r="Q2820" s="30"/>
      <x:c r="R2820" s="30" t="str">
        <x:v>Фото-сводка ответов + независимое решение; содержание задания соответствует ХИ2510102</x:v>
      </x:c>
      <x:c r="S2820" s="30"/>
      <x:c r="T2820" s="30"/>
      <x:c r="U2820" s="30" t="str">
        <x:v>Расхождений не обнаружено.</x:v>
      </x:c>
      <x:c r="V2820" s="87" t="str">
        <x:v>VERIFIED</x:v>
      </x:c>
      <x:c r="W2820" s="87" t="str">
        <x:v>Zadanie_KhI11_10092025_.pdf, вариантная стр. 14</x:v>
      </x:c>
      <x:c r="X2820" s="87"/>
      <x:c r="Y2820" s="87"/>
      <x:c r="Z2820" s="87"/>
      <x:c r="AA2820" s="87"/>
      <x:c r="AB2820" s="87"/>
      <x:c r="AC2820" s="87"/>
      <x:c r="AD2820" s="87"/>
      <x:c r="AE2820" s="87"/>
      <x:c r="AF2820" s="87"/>
      <x:c r="AG2820" s="87"/>
      <x:c r="AH2820" s="87"/>
      <x:c r="AI2820" s="30"/>
      <x:c r="AJ2820" s="87" t="str">
        <x:v>master</x:v>
      </x:c>
      <x:c r="AK2820" s="87" t="str">
        <x:v>master-v0.81</x:v>
      </x:c>
      <x:c r="AL2820" s="87" t="str">
        <x:v>statgrad_master_base_v0_81_final(2).xlsx</x:v>
      </x:c>
      <x:c r="AM2820" s="87" t="str">
        <x:v>CHEM_Sep_V3</x:v>
      </x:c>
      <x:c r="AN2820" s="87" t="n">
        <x:v>27</x:v>
      </x:c>
    </x:row>
    <x:row r="2821">
      <x:c r="A2821" s="87" t="n">
        <x:v>2820</x:v>
      </x:c>
      <x:c r="B2821" s="87" t="str">
        <x:v>SEP-CHEM-V3-027</x:v>
      </x:c>
      <x:c r="C2821" s="87" t="str">
        <x:v>СтатГрад</x:v>
      </x:c>
      <x:c r="D2821" s="87" t="str">
        <x:v>Сентябрь 2025</x:v>
      </x:c>
      <x:c r="E2821" s="87"/>
      <x:c r="F2821" s="87"/>
      <x:c r="G2821" s="87" t="str">
        <x:v>Химия</x:v>
      </x:c>
      <x:c r="H2821" s="87" t="n">
        <x:v>11</x:v>
      </x:c>
      <x:c r="I2821" s="87" t="str">
        <x:v>ТР №1</x:v>
      </x:c>
      <x:c r="J2821" s="87" t="str">
        <x:v>ХИ2510103</x:v>
      </x:c>
      <x:c r="K2821" s="87" t="n">
        <x:v>27</x:v>
      </x:c>
      <x:c r="L2821" s="87" t="str">
        <x:v>Термохимия</x:v>
      </x:c>
      <x:c r="M2821" s="30" t="str">
        <x:v>По теплоте сгорания 0,4 моль этана определить Q в уравнении для 2 моль этана.</x:v>
      </x:c>
      <x:c r="N2821" s="30" t="str">
        <x:v>2850</x:v>
      </x:c>
      <x:c r="O2821" s="30" t="str">
        <x:v>8,96 л =0,4 моль C₂H₆. Если 0,4 моль дают 570 кДж, то 2 моль дают 2850 кДж.</x:v>
      </x:c>
      <x:c r="P2821" s="30" t="str">
        <x:v>8,96 л =0,4 моль C₂H₆. Если 0,4 моль дают 570 кДж, то 2 моль дают 2850 кДж.</x:v>
      </x:c>
      <x:c r="Q2821" s="30"/>
      <x:c r="R2821" s="30" t="str">
        <x:v>Фото-сводка ответов + независимое решение; содержание задания соответствует ХИ2510101</x:v>
      </x:c>
      <x:c r="S2821" s="30"/>
      <x:c r="T2821" s="30"/>
      <x:c r="U2821" s="30" t="str">
        <x:v>Расхождений не обнаружено.</x:v>
      </x:c>
      <x:c r="V2821" s="87" t="str">
        <x:v>VERIFIED</x:v>
      </x:c>
      <x:c r="W2821" s="87" t="str">
        <x:v>Zadanie_KhI11_10092025_.pdf, вариантная стр. 14</x:v>
      </x:c>
      <x:c r="X2821" s="87"/>
      <x:c r="Y2821" s="87"/>
      <x:c r="Z2821" s="87"/>
      <x:c r="AA2821" s="87"/>
      <x:c r="AB2821" s="87"/>
      <x:c r="AC2821" s="87"/>
      <x:c r="AD2821" s="87"/>
      <x:c r="AE2821" s="87"/>
      <x:c r="AF2821" s="87"/>
      <x:c r="AG2821" s="87"/>
      <x:c r="AH2821" s="87"/>
      <x:c r="AI2821" s="30"/>
      <x:c r="AJ2821" s="87" t="str">
        <x:v>master</x:v>
      </x:c>
      <x:c r="AK2821" s="87" t="str">
        <x:v>master-v0.81</x:v>
      </x:c>
      <x:c r="AL2821" s="87" t="str">
        <x:v>statgrad_master_base_v0_81_final(2).xlsx</x:v>
      </x:c>
      <x:c r="AM2821" s="87" t="str">
        <x:v>CHEM_Sep_V3</x:v>
      </x:c>
      <x:c r="AN2821" s="87" t="n">
        <x:v>28</x:v>
      </x:c>
    </x:row>
    <x:row r="2822">
      <x:c r="A2822" s="87" t="n">
        <x:v>2821</x:v>
      </x:c>
      <x:c r="B2822" s="87" t="str">
        <x:v>SEP-CHEM-V3-028</x:v>
      </x:c>
      <x:c r="C2822" s="87" t="str">
        <x:v>СтатГрад</x:v>
      </x:c>
      <x:c r="D2822" s="87" t="str">
        <x:v>Сентябрь 2025</x:v>
      </x:c>
      <x:c r="E2822" s="87"/>
      <x:c r="F2822" s="87"/>
      <x:c r="G2822" s="87" t="str">
        <x:v>Химия</x:v>
      </x:c>
      <x:c r="H2822" s="87" t="n">
        <x:v>11</x:v>
      </x:c>
      <x:c r="I2822" s="87" t="str">
        <x:v>ТР №1</x:v>
      </x:c>
      <x:c r="J2822" s="87" t="str">
        <x:v>ХИ2510103</x:v>
      </x:c>
      <x:c r="K2822" s="87" t="n">
        <x:v>28</x:v>
      </x:c>
      <x:c r="L2822" s="87" t="str">
        <x:v>Выход продукта</x:v>
      </x:c>
      <x:c r="M2822" s="30" t="str">
        <x:v>Рассчитать массу ацетона, полученного гидратацией 89,6 л пропина при выходе 75%.</x:v>
      </x:c>
      <x:c r="N2822" s="30" t="str">
        <x:v>174</x:v>
      </x:c>
      <x:c r="O2822" s="30" t="str">
        <x:v>89,6 л пропина =4 моль; образуется 4 моль ацетона, теоретически 232 г; при выходе 75% — 174 г.</x:v>
      </x:c>
      <x:c r="P2822" s="30" t="str">
        <x:v>89,6 л пропина =4 моль; образуется 4 моль ацетона, теоретически 232 г; при выходе 75% — 174 г.</x:v>
      </x:c>
      <x:c r="Q2822" s="30"/>
      <x:c r="R2822" s="30" t="str">
        <x:v>Фото-сводка ответов + независимое решение; содержание задания соответствует ХИ2510102</x:v>
      </x:c>
      <x:c r="S2822" s="30"/>
      <x:c r="T2822" s="30"/>
      <x:c r="U2822" s="30" t="str">
        <x:v>Расхождений не обнаружено.</x:v>
      </x:c>
      <x:c r="V2822" s="87" t="str">
        <x:v>VERIFIED</x:v>
      </x:c>
      <x:c r="W2822" s="87" t="str">
        <x:v>Zadanie_KhI11_10092025_.pdf, вариантная стр. 14</x:v>
      </x:c>
      <x:c r="X2822" s="87"/>
      <x:c r="Y2822" s="87"/>
      <x:c r="Z2822" s="87"/>
      <x:c r="AA2822" s="87"/>
      <x:c r="AB2822" s="87"/>
      <x:c r="AC2822" s="87"/>
      <x:c r="AD2822" s="87"/>
      <x:c r="AE2822" s="87"/>
      <x:c r="AF2822" s="87"/>
      <x:c r="AG2822" s="87"/>
      <x:c r="AH2822" s="87"/>
      <x:c r="AI2822" s="30"/>
      <x:c r="AJ2822" s="87" t="str">
        <x:v>master</x:v>
      </x:c>
      <x:c r="AK2822" s="87" t="str">
        <x:v>master-v0.81</x:v>
      </x:c>
      <x:c r="AL2822" s="87" t="str">
        <x:v>statgrad_master_base_v0_81_final(2).xlsx</x:v>
      </x:c>
      <x:c r="AM2822" s="87" t="str">
        <x:v>CHEM_Sep_V3</x:v>
      </x:c>
      <x:c r="AN2822" s="87" t="n">
        <x:v>29</x:v>
      </x:c>
    </x:row>
    <x:row r="2823">
      <x:c r="A2823" s="87" t="n">
        <x:v>2822</x:v>
      </x:c>
      <x:c r="B2823" s="87" t="str">
        <x:v>SEP-CHEM-V3-029</x:v>
      </x:c>
      <x:c r="C2823" s="87" t="str">
        <x:v>СтатГрад</x:v>
      </x:c>
      <x:c r="D2823" s="87" t="str">
        <x:v>Сентябрь 2025</x:v>
      </x:c>
      <x:c r="E2823" s="87"/>
      <x:c r="F2823" s="87"/>
      <x:c r="G2823" s="87" t="str">
        <x:v>Химия</x:v>
      </x:c>
      <x:c r="H2823" s="87" t="n">
        <x:v>11</x:v>
      </x:c>
      <x:c r="I2823" s="87" t="str">
        <x:v>ТР №1</x:v>
      </x:c>
      <x:c r="J2823" s="87" t="str">
        <x:v>ХИ2510103</x:v>
      </x:c>
      <x:c r="K2823" s="87" t="n">
        <x:v>29</x:v>
      </x:c>
      <x:c r="L2823" s="87" t="str">
        <x:v>Развёрнутый ответ: ОВР</x:v>
      </x:c>
      <x:c r="M2823" s="30" t="str">
        <x:v>Из заданного перечня выбрать FeCl₃ и Na₂SO₃ для ОВР с изменением цвета; записать уравнение, баланс и роли реагентов.</x:v>
      </x:c>
      <x:c r="N2823" s="30" t="str">
        <x:v>2FeCl₃ + Na₂SO₃ + H₂O → 2FeCl₂ + Na₂SO₄ + 2HCl.
Баланс: Fe³⁺+e⁻→Fe²⁺ (×2); S(+4)−2e⁻→S(+6).
Окислитель FeCl₃, восстановитель Na₂SO₃.</x:v>
      </x:c>
      <x:c r="O2823" s="30" t="str">
        <x:v>Критерий независимо проверен по атомному/электронному балансу и расчётам.</x:v>
      </x:c>
      <x:c r="P2823" s="30" t="str">
        <x:v>Критерий независимо проверен по атомному/электронному балансу и расчётам.</x:v>
      </x:c>
      <x:c r="Q2823" s="30"/>
      <x:c r="R2823" s="30" t="str">
        <x:v>Официальные критерии архива + независимая проверка уравнений и расчётов; содержание задания соответствует ХИ2510101</x:v>
      </x:c>
      <x:c r="S2823" s="30"/>
      <x:c r="T2823" s="30"/>
      <x:c r="U2823" s="30" t="str">
        <x:v>Расхождений не обнаружено.</x:v>
      </x:c>
      <x:c r="V2823" s="87" t="str">
        <x:v>VERIFIED</x:v>
      </x:c>
      <x:c r="W2823" s="87" t="str">
        <x:v>Zadanie_KhI11_10092025_.pdf, вариантная стр. 15</x:v>
      </x:c>
      <x:c r="X2823" s="87"/>
      <x:c r="Y2823" s="87"/>
      <x:c r="Z2823" s="87"/>
      <x:c r="AA2823" s="87"/>
      <x:c r="AB2823" s="87"/>
      <x:c r="AC2823" s="87"/>
      <x:c r="AD2823" s="87"/>
      <x:c r="AE2823" s="87"/>
      <x:c r="AF2823" s="87"/>
      <x:c r="AG2823" s="87"/>
      <x:c r="AH2823" s="87"/>
      <x:c r="AI2823" s="30"/>
      <x:c r="AJ2823" s="87" t="str">
        <x:v>master</x:v>
      </x:c>
      <x:c r="AK2823" s="87" t="str">
        <x:v>master-v0.81</x:v>
      </x:c>
      <x:c r="AL2823" s="87" t="str">
        <x:v>statgrad_master_base_v0_81_final(2).xlsx</x:v>
      </x:c>
      <x:c r="AM2823" s="87" t="str">
        <x:v>CHEM_Sep_V3</x:v>
      </x:c>
      <x:c r="AN2823" s="87" t="n">
        <x:v>30</x:v>
      </x:c>
    </x:row>
    <x:row r="2824">
      <x:c r="A2824" s="87" t="n">
        <x:v>2823</x:v>
      </x:c>
      <x:c r="B2824" s="87" t="str">
        <x:v>SEP-CHEM-V3-030</x:v>
      </x:c>
      <x:c r="C2824" s="87" t="str">
        <x:v>СтатГрад</x:v>
      </x:c>
      <x:c r="D2824" s="87" t="str">
        <x:v>Сентябрь 2025</x:v>
      </x:c>
      <x:c r="E2824" s="87"/>
      <x:c r="F2824" s="87"/>
      <x:c r="G2824" s="87" t="str">
        <x:v>Химия</x:v>
      </x:c>
      <x:c r="H2824" s="87" t="n">
        <x:v>11</x:v>
      </x:c>
      <x:c r="I2824" s="87" t="str">
        <x:v>ТР №1</x:v>
      </x:c>
      <x:c r="J2824" s="87" t="str">
        <x:v>ХИ2510103</x:v>
      </x:c>
      <x:c r="K2824" s="87" t="n">
        <x:v>30</x:v>
      </x:c>
      <x:c r="L2824" s="87" t="str">
        <x:v>Развёрнутый ответ: ионный обмен</x:v>
      </x:c>
      <x:c r="M2824" s="30" t="str">
        <x:v>Из заданного перечня выбрать реакцию ионного обмена без выделения газа; записать молекулярное, полное и сокращённое ионные уравнения.</x:v>
      </x:c>
      <x:c r="N2824" s="30" t="str">
        <x:v>Ca₃(PO₄)₂ + 6HCl → 2H₃PO₄ + 3CaCl₂.
Полное ионное: Ca₃(PO₄)₂ + 6H⁺ + 6Cl⁻ → 2H₃PO₄ + 3Ca²⁺ + 6Cl⁻.
Сокращённое: Ca₃(PO₄)₂ + 6H⁺ → 2H₃PO₄ + 3Ca²⁺.</x:v>
      </x:c>
      <x:c r="O2824" s="30" t="str">
        <x:v>Критерий независимо проверен по атомному/электронному балансу и расчётам.</x:v>
      </x:c>
      <x:c r="P2824" s="30" t="str">
        <x:v>Критерий независимо проверен по атомному/электронному балансу и расчётам.</x:v>
      </x:c>
      <x:c r="Q2824" s="30"/>
      <x:c r="R2824" s="30" t="str">
        <x:v>Официальные критерии архива + независимая проверка уравнений и расчётов; содержание задания соответствует ХИ2510101</x:v>
      </x:c>
      <x:c r="S2824" s="30"/>
      <x:c r="T2824" s="30"/>
      <x:c r="U2824" s="30" t="str">
        <x:v>Расхождений не обнаружено.</x:v>
      </x:c>
      <x:c r="V2824" s="87" t="str">
        <x:v>VERIFIED</x:v>
      </x:c>
      <x:c r="W2824" s="87" t="str">
        <x:v>Zadanie_KhI11_10092025_.pdf, вариантная стр. 15</x:v>
      </x:c>
      <x:c r="X2824" s="87"/>
      <x:c r="Y2824" s="87"/>
      <x:c r="Z2824" s="87"/>
      <x:c r="AA2824" s="87"/>
      <x:c r="AB2824" s="87"/>
      <x:c r="AC2824" s="87"/>
      <x:c r="AD2824" s="87"/>
      <x:c r="AE2824" s="87"/>
      <x:c r="AF2824" s="87"/>
      <x:c r="AG2824" s="87"/>
      <x:c r="AH2824" s="87"/>
      <x:c r="AI2824" s="30"/>
      <x:c r="AJ2824" s="87" t="str">
        <x:v>master</x:v>
      </x:c>
      <x:c r="AK2824" s="87" t="str">
        <x:v>master-v0.81</x:v>
      </x:c>
      <x:c r="AL2824" s="87" t="str">
        <x:v>statgrad_master_base_v0_81_final(2).xlsx</x:v>
      </x:c>
      <x:c r="AM2824" s="87" t="str">
        <x:v>CHEM_Sep_V3</x:v>
      </x:c>
      <x:c r="AN2824" s="87" t="n">
        <x:v>31</x:v>
      </x:c>
    </x:row>
    <x:row r="2825">
      <x:c r="A2825" s="87" t="n">
        <x:v>2824</x:v>
      </x:c>
      <x:c r="B2825" s="87" t="str">
        <x:v>SEP-CHEM-V3-031</x:v>
      </x:c>
      <x:c r="C2825" s="87" t="str">
        <x:v>СтатГрад</x:v>
      </x:c>
      <x:c r="D2825" s="87" t="str">
        <x:v>Сентябрь 2025</x:v>
      </x:c>
      <x:c r="E2825" s="87"/>
      <x:c r="F2825" s="87"/>
      <x:c r="G2825" s="87" t="str">
        <x:v>Химия</x:v>
      </x:c>
      <x:c r="H2825" s="87" t="n">
        <x:v>11</x:v>
      </x:c>
      <x:c r="I2825" s="87" t="str">
        <x:v>ТР №1</x:v>
      </x:c>
      <x:c r="J2825" s="87" t="str">
        <x:v>ХИ2510103</x:v>
      </x:c>
      <x:c r="K2825" s="87" t="n">
        <x:v>31</x:v>
      </x:c>
      <x:c r="L2825" s="87" t="str">
        <x:v>Развёрнутый ответ: неорганическая цепочка</x:v>
      </x:c>
      <x:c r="M2825" s="30" t="str">
        <x:v>AgNO₃ → Ag₂O → [Ag(NH₃)₂]OH; далее реакции комплекса с H₂O₂ и избытком HCl.</x:v>
      </x:c>
      <x:c r="N2825" s="30" t="str">
        <x:v>1) 2AgNO₃+2KOH→Ag₂O↓+2KNO₃+H₂O.
2) Ag₂O+4NH₃+H₂O→2[Ag(NH₃)₂]OH.
3) 2[Ag(NH₃)₂]OH+H₂O₂→O₂↑+2Ag↓+4NH₃+2H₂O.
4) [Ag(NH₃)₂]OH+3HCl→AgCl↓+2NH₄Cl+H₂O.</x:v>
      </x:c>
      <x:c r="O2825" s="30" t="str">
        <x:v>Критерий независимо проверен по атомному/электронному балансу и расчётам.</x:v>
      </x:c>
      <x:c r="P2825" s="30" t="str">
        <x:v>Критерий независимо проверен по атомному/электронному балансу и расчётам.</x:v>
      </x:c>
      <x:c r="Q2825" s="30"/>
      <x:c r="R2825" s="30" t="str">
        <x:v>Официальные критерии архива + независимая проверка уравнений и расчётов; содержание задания соответствует ХИ2510102</x:v>
      </x:c>
      <x:c r="S2825" s="30"/>
      <x:c r="T2825" s="30"/>
      <x:c r="U2825" s="30" t="str">
        <x:v>Расхождений не обнаружено.</x:v>
      </x:c>
      <x:c r="V2825" s="87" t="str">
        <x:v>VERIFIED</x:v>
      </x:c>
      <x:c r="W2825" s="87" t="str">
        <x:v>Zadanie_KhI11_10092025_.pdf, вариантная стр. 16</x:v>
      </x:c>
      <x:c r="X2825" s="87"/>
      <x:c r="Y2825" s="87"/>
      <x:c r="Z2825" s="87"/>
      <x:c r="AA2825" s="87"/>
      <x:c r="AB2825" s="87"/>
      <x:c r="AC2825" s="87"/>
      <x:c r="AD2825" s="87"/>
      <x:c r="AE2825" s="87"/>
      <x:c r="AF2825" s="87"/>
      <x:c r="AG2825" s="87"/>
      <x:c r="AH2825" s="87"/>
      <x:c r="AI2825" s="30"/>
      <x:c r="AJ2825" s="87" t="str">
        <x:v>master</x:v>
      </x:c>
      <x:c r="AK2825" s="87" t="str">
        <x:v>master-v0.81</x:v>
      </x:c>
      <x:c r="AL2825" s="87" t="str">
        <x:v>statgrad_master_base_v0_81_final(2).xlsx</x:v>
      </x:c>
      <x:c r="AM2825" s="87" t="str">
        <x:v>CHEM_Sep_V3</x:v>
      </x:c>
      <x:c r="AN2825" s="87" t="n">
        <x:v>32</x:v>
      </x:c>
    </x:row>
    <x:row r="2826">
      <x:c r="A2826" s="87" t="n">
        <x:v>2825</x:v>
      </x:c>
      <x:c r="B2826" s="87" t="str">
        <x:v>SEP-CHEM-V3-032</x:v>
      </x:c>
      <x:c r="C2826" s="87" t="str">
        <x:v>СтатГрад</x:v>
      </x:c>
      <x:c r="D2826" s="87" t="str">
        <x:v>Сентябрь 2025</x:v>
      </x:c>
      <x:c r="E2826" s="87"/>
      <x:c r="F2826" s="87"/>
      <x:c r="G2826" s="87" t="str">
        <x:v>Химия</x:v>
      </x:c>
      <x:c r="H2826" s="87" t="n">
        <x:v>11</x:v>
      </x:c>
      <x:c r="I2826" s="87" t="str">
        <x:v>ТР №1</x:v>
      </x:c>
      <x:c r="J2826" s="87" t="str">
        <x:v>ХИ2510103</x:v>
      </x:c>
      <x:c r="K2826" s="87" t="n">
        <x:v>32</x:v>
      </x:c>
      <x:c r="L2826" s="87" t="str">
        <x:v>Развёрнутый ответ: органическая цепочка</x:v>
      </x:c>
      <x:c r="M2826" s="30" t="str">
        <x:v>Пентадиен-1,4 → 1,5-дибромпентан → циклопентан → бромциклопентан → циклопентен → глутаровая кислота.</x:v>
      </x:c>
      <x:c r="N2826" s="30" t="str">
        <x:v>1) CH₂=CHCH₂CH=CH₂+2HBr (H₂O₂)→Br(CH₂)₅Br.
2) Br(CH₂)₅Br+Zn→циклопентан+ZnBr₂.
3) циклопентан+Br₂ (hν)→бромциклопентан+HBr.
4) бромциклопентан+KOH(спирт)→циклопентен+KBr+H₂O.
5) 5C₅H₈+8KMnO₄+12H₂SO₄→5HOOC(CH₂)₃COOH+4K₂SO₄+8MnSO₄+12H₂O.</x:v>
      </x:c>
      <x:c r="O2826" s="30" t="str">
        <x:v>Критерий независимо проверен по атомному/электронному балансу и расчётам.</x:v>
      </x:c>
      <x:c r="P2826" s="30" t="str">
        <x:v>Критерий независимо проверен по атомному/электронному балансу и расчётам.</x:v>
      </x:c>
      <x:c r="Q2826" s="30"/>
      <x:c r="R2826" s="30" t="str">
        <x:v>Официальные критерии архива + независимая проверка уравнений и расчётов; содержание задания соответствует ХИ2510101</x:v>
      </x:c>
      <x:c r="S2826" s="30"/>
      <x:c r="T2826" s="30"/>
      <x:c r="U2826" s="30" t="str">
        <x:v>Расхождений не обнаружено.</x:v>
      </x:c>
      <x:c r="V2826" s="87" t="str">
        <x:v>VERIFIED</x:v>
      </x:c>
      <x:c r="W2826" s="87" t="str">
        <x:v>Zadanie_KhI11_10092025_.pdf, вариантная стр. 16</x:v>
      </x:c>
      <x:c r="X2826" s="87"/>
      <x:c r="Y2826" s="87"/>
      <x:c r="Z2826" s="87"/>
      <x:c r="AA2826" s="87"/>
      <x:c r="AB2826" s="87"/>
      <x:c r="AC2826" s="87"/>
      <x:c r="AD2826" s="87"/>
      <x:c r="AE2826" s="87"/>
      <x:c r="AF2826" s="87"/>
      <x:c r="AG2826" s="87"/>
      <x:c r="AH2826" s="87"/>
      <x:c r="AI2826" s="30"/>
      <x:c r="AJ2826" s="87" t="str">
        <x:v>master</x:v>
      </x:c>
      <x:c r="AK2826" s="87" t="str">
        <x:v>master-v0.81</x:v>
      </x:c>
      <x:c r="AL2826" s="87" t="str">
        <x:v>statgrad_master_base_v0_81_final(2).xlsx</x:v>
      </x:c>
      <x:c r="AM2826" s="87" t="str">
        <x:v>CHEM_Sep_V3</x:v>
      </x:c>
      <x:c r="AN2826" s="87" t="n">
        <x:v>33</x:v>
      </x:c>
    </x:row>
    <x:row r="2827">
      <x:c r="A2827" s="87" t="n">
        <x:v>2826</x:v>
      </x:c>
      <x:c r="B2827" s="87" t="str">
        <x:v>SEP-CHEM-V3-033</x:v>
      </x:c>
      <x:c r="C2827" s="87" t="str">
        <x:v>СтатГрад</x:v>
      </x:c>
      <x:c r="D2827" s="87" t="str">
        <x:v>Сентябрь 2025</x:v>
      </x:c>
      <x:c r="E2827" s="87"/>
      <x:c r="F2827" s="87"/>
      <x:c r="G2827" s="87" t="str">
        <x:v>Химия</x:v>
      </x:c>
      <x:c r="H2827" s="87" t="n">
        <x:v>11</x:v>
      </x:c>
      <x:c r="I2827" s="87" t="str">
        <x:v>ТР №1</x:v>
      </x:c>
      <x:c r="J2827" s="87" t="str">
        <x:v>ХИ2510103</x:v>
      </x:c>
      <x:c r="K2827" s="87" t="n">
        <x:v>33</x:v>
      </x:c>
      <x:c r="L2827" s="87" t="str">
        <x:v>Развёрнутый ответ: установление формулы</x:v>
      </x:c>
      <x:c r="M2827" s="30" t="str">
        <x:v>По продуктам сгорания и гидролизу установить формулу и строение дихлорпроизводного, дающего симметричный двухатомный спирт.</x:v>
      </x:c>
      <x:c r="N2827" s="30" t="str">
        <x:v>n(C)=0,60; n(Cl)=0,40; n(H)=1,20 моль; отношение 3:6:2, формула C₃H₆Cl₂. Симметричный двухатомный спирт требует 1,3-дихлорпропан ClCH₂–CH₂–CH₂Cl.
ClCH₂–CH₂–CH₂Cl+2KOH(водн.)→HOCH₂–CH₂–CH₂OH+2KCl.</x:v>
      </x:c>
      <x:c r="O2827" s="30" t="str">
        <x:v>Критерий независимо проверен по атомному/электронному балансу и расчётам.</x:v>
      </x:c>
      <x:c r="P2827" s="30" t="str">
        <x:v>Критерий независимо проверен по атомному/электронному балансу и расчётам.</x:v>
      </x:c>
      <x:c r="Q2827" s="30"/>
      <x:c r="R2827" s="30" t="str">
        <x:v>Официальные критерии архива + независимая проверка уравнений и расчётов; содержание задания соответствует ХИ2510102</x:v>
      </x:c>
      <x:c r="S2827" s="30"/>
      <x:c r="T2827" s="30"/>
      <x:c r="U2827" s="30" t="str">
        <x:v>Расхождений не обнаружено.</x:v>
      </x:c>
      <x:c r="V2827" s="87" t="str">
        <x:v>VERIFIED</x:v>
      </x:c>
      <x:c r="W2827" s="87" t="str">
        <x:v>Zadanie_KhI11_10092025_.pdf, вариантная стр. 16</x:v>
      </x:c>
      <x:c r="X2827" s="87"/>
      <x:c r="Y2827" s="87"/>
      <x:c r="Z2827" s="87"/>
      <x:c r="AA2827" s="87"/>
      <x:c r="AB2827" s="87"/>
      <x:c r="AC2827" s="87"/>
      <x:c r="AD2827" s="87"/>
      <x:c r="AE2827" s="87"/>
      <x:c r="AF2827" s="87"/>
      <x:c r="AG2827" s="87"/>
      <x:c r="AH2827" s="87"/>
      <x:c r="AI2827" s="30"/>
      <x:c r="AJ2827" s="87" t="str">
        <x:v>master</x:v>
      </x:c>
      <x:c r="AK2827" s="87" t="str">
        <x:v>master-v0.81</x:v>
      </x:c>
      <x:c r="AL2827" s="87" t="str">
        <x:v>statgrad_master_base_v0_81_final(2).xlsx</x:v>
      </x:c>
      <x:c r="AM2827" s="87" t="str">
        <x:v>CHEM_Sep_V3</x:v>
      </x:c>
      <x:c r="AN2827" s="87" t="n">
        <x:v>34</x:v>
      </x:c>
    </x:row>
    <x:row r="2828">
      <x:c r="A2828" s="87" t="n">
        <x:v>2827</x:v>
      </x:c>
      <x:c r="B2828" s="87" t="str">
        <x:v>SEP-CHEM-V3-034</x:v>
      </x:c>
      <x:c r="C2828" s="87" t="str">
        <x:v>СтатГрад</x:v>
      </x:c>
      <x:c r="D2828" s="87" t="str">
        <x:v>Сентябрь 2025</x:v>
      </x:c>
      <x:c r="E2828" s="87"/>
      <x:c r="F2828" s="87"/>
      <x:c r="G2828" s="87" t="str">
        <x:v>Химия</x:v>
      </x:c>
      <x:c r="H2828" s="87" t="n">
        <x:v>11</x:v>
      </x:c>
      <x:c r="I2828" s="87" t="str">
        <x:v>ТР №1</x:v>
      </x:c>
      <x:c r="J2828" s="87" t="str">
        <x:v>ХИ2510103</x:v>
      </x:c>
      <x:c r="K2828" s="87" t="n">
        <x:v>34</x:v>
      </x:c>
      <x:c r="L2828" s="87" t="str">
        <x:v>Развёрнутый ответ: расчётная задача</x:v>
      </x:c>
      <x:c r="M2828" s="30" t="str">
        <x:v>После восстановления SiO₂ избытком Mg и обработки HCl получены 2,24 л SiH₄ и 14 г Si. Найти исходные массы SiO₂ и Mg.</x:v>
      </x:c>
      <x:c r="N2828" s="30" t="str">
        <x:v>SiO₂+2Mg→Si+2MgO; 2Mg+Si→Mg₂Si; MgO+2HCl→MgCl₂+H₂O; Mg₂Si+4HCl→2MgCl₂+SiH₄↑.
n(SiH₄)=0,10 моль, n(Si остатка)=14/28=0,50; n(SiO₂)=0,60, m(SiO₂)=36 г.
n(Mg)=2·0,60+2·0,10=1,40; m(Mg)=33,6 г.</x:v>
      </x:c>
      <x:c r="O2828" s="30" t="str">
        <x:v>Критерий независимо проверен по атомному/электронному балансу и расчётам.</x:v>
      </x:c>
      <x:c r="P2828" s="30" t="str">
        <x:v>Критерий независимо проверен по атомному/электронному балансу и расчётам.</x:v>
      </x:c>
      <x:c r="Q2828" s="30"/>
      <x:c r="R2828" s="30" t="str">
        <x:v>Официальные критерии архива + независимая проверка уравнений и расчётов; содержание задания соответствует ХИ2510101</x:v>
      </x:c>
      <x:c r="S2828" s="30"/>
      <x:c r="T2828" s="30"/>
      <x:c r="U2828" s="30" t="str">
        <x:v>Расхождений не обнаружено.</x:v>
      </x:c>
      <x:c r="V2828" s="87" t="str">
        <x:v>VERIFIED</x:v>
      </x:c>
      <x:c r="W2828" s="87" t="str">
        <x:v>Zadanie_KhI11_10092025_.pdf, вариантная стр. 16</x:v>
      </x:c>
      <x:c r="X2828" s="87"/>
      <x:c r="Y2828" s="87"/>
      <x:c r="Z2828" s="87"/>
      <x:c r="AA2828" s="87"/>
      <x:c r="AB2828" s="87"/>
      <x:c r="AC2828" s="87"/>
      <x:c r="AD2828" s="87"/>
      <x:c r="AE2828" s="87"/>
      <x:c r="AF2828" s="87"/>
      <x:c r="AG2828" s="87"/>
      <x:c r="AH2828" s="87"/>
      <x:c r="AI2828" s="30"/>
      <x:c r="AJ2828" s="87" t="str">
        <x:v>master</x:v>
      </x:c>
      <x:c r="AK2828" s="87" t="str">
        <x:v>master-v0.81</x:v>
      </x:c>
      <x:c r="AL2828" s="87" t="str">
        <x:v>statgrad_master_base_v0_81_final(2).xlsx</x:v>
      </x:c>
      <x:c r="AM2828" s="87" t="str">
        <x:v>CHEM_Sep_V3</x:v>
      </x:c>
      <x:c r="AN2828" s="87" t="n">
        <x:v>35</x:v>
      </x:c>
    </x:row>
    <x:row r="2829">
      <x:c r="A2829" s="87" t="n">
        <x:v>2828</x:v>
      </x:c>
      <x:c r="B2829" s="87" t="str">
        <x:v>SEP-CHEM-V4-001</x:v>
      </x:c>
      <x:c r="C2829" s="87" t="str">
        <x:v>СтатГрад</x:v>
      </x:c>
      <x:c r="D2829" s="87" t="str">
        <x:v>Сентябрь 2025</x:v>
      </x:c>
      <x:c r="E2829" s="87"/>
      <x:c r="F2829" s="87"/>
      <x:c r="G2829" s="87" t="str">
        <x:v>Химия</x:v>
      </x:c>
      <x:c r="H2829" s="87" t="n">
        <x:v>11</x:v>
      </x:c>
      <x:c r="I2829" s="87" t="str">
        <x:v>ТР №1</x:v>
      </x:c>
      <x:c r="J2829" s="87" t="str">
        <x:v>ХИ2510104</x:v>
      </x:c>
      <x:c r="K2829" s="87" t="n">
        <x:v>1</x:v>
      </x:c>
      <x:c r="L2829" s="87" t="str">
        <x:v>Электронная конфигурация</x:v>
      </x:c>
      <x:c r="M2829" s="30" t="str">
        <x:v>Для Cl, Mg, Be, Na и Ge выбрать элементы, у которых первое возбуждённое состояние внешнего уровня имеет вид ns¹np¹.</x:v>
      </x:c>
      <x:c r="N2829" s="30" t="str">
        <x:v>23</x:v>
      </x:c>
      <x:c r="O2829" s="30" t="str">
        <x:v>Be и Mg имеют ns²; в первом возбуждённом состоянии один электрон переходит на p-подуровень: ns¹np¹.</x:v>
      </x:c>
      <x:c r="P2829" s="30" t="str">
        <x:v>Be и Mg имеют ns²; в первом возбуждённом состоянии один электрон переходит на p-подуровень: ns¹np¹.</x:v>
      </x:c>
      <x:c r="Q2829" s="30"/>
      <x:c r="R2829" s="30" t="str">
        <x:v>Фото-сводка ответов + независимое решение; содержание задания соответствует ХИ2510102</x:v>
      </x:c>
      <x:c r="S2829" s="30"/>
      <x:c r="T2829" s="30"/>
      <x:c r="U2829" s="30" t="str">
        <x:v>Расхождений не обнаружено.</x:v>
      </x:c>
      <x:c r="V2829" s="87" t="str">
        <x:v>VERIFIED</x:v>
      </x:c>
      <x:c r="W2829" s="87" t="str">
        <x:v>Zadanie_KhI11_10092025_.pdf, вариантная стр. 2</x:v>
      </x:c>
      <x:c r="X2829" s="87"/>
      <x:c r="Y2829" s="87"/>
      <x:c r="Z2829" s="87"/>
      <x:c r="AA2829" s="87"/>
      <x:c r="AB2829" s="87"/>
      <x:c r="AC2829" s="87"/>
      <x:c r="AD2829" s="87"/>
      <x:c r="AE2829" s="87"/>
      <x:c r="AF2829" s="87"/>
      <x:c r="AG2829" s="87"/>
      <x:c r="AH2829" s="87"/>
      <x:c r="AI2829" s="30"/>
      <x:c r="AJ2829" s="87" t="str">
        <x:v>master</x:v>
      </x:c>
      <x:c r="AK2829" s="87" t="str">
        <x:v>master-v0.81</x:v>
      </x:c>
      <x:c r="AL2829" s="87" t="str">
        <x:v>statgrad_master_base_v0_81_final(2).xlsx</x:v>
      </x:c>
      <x:c r="AM2829" s="87" t="str">
        <x:v>CHEM_Sep_V4</x:v>
      </x:c>
      <x:c r="AN2829" s="87" t="n">
        <x:v>2</x:v>
      </x:c>
    </x:row>
    <x:row r="2830">
      <x:c r="A2830" s="87" t="n">
        <x:v>2829</x:v>
      </x:c>
      <x:c r="B2830" s="87" t="str">
        <x:v>SEP-CHEM-V4-002</x:v>
      </x:c>
      <x:c r="C2830" s="87" t="str">
        <x:v>СтатГрад</x:v>
      </x:c>
      <x:c r="D2830" s="87" t="str">
        <x:v>Сентябрь 2025</x:v>
      </x:c>
      <x:c r="E2830" s="87"/>
      <x:c r="F2830" s="87"/>
      <x:c r="G2830" s="87" t="str">
        <x:v>Химия</x:v>
      </x:c>
      <x:c r="H2830" s="87" t="n">
        <x:v>11</x:v>
      </x:c>
      <x:c r="I2830" s="87" t="str">
        <x:v>ТР №1</x:v>
      </x:c>
      <x:c r="J2830" s="87" t="str">
        <x:v>ХИ2510104</x:v>
      </x:c>
      <x:c r="K2830" s="87" t="n">
        <x:v>2</x:v>
      </x:c>
      <x:c r="L2830" s="87" t="str">
        <x:v>Периодический закон</x:v>
      </x:c>
      <x:c r="M2830" s="30" t="str">
        <x:v>Среди N, C, Al, O и Ga выбрать три элемента одного периода и расположить по возрастанию высшей степени окисления.</x:v>
      </x:c>
      <x:c r="N2830" s="30" t="str">
        <x:v>421</x:v>
      </x:c>
      <x:c r="O2830" s="30" t="str">
        <x:v>В периоде 2 находятся O, C, N. Высшие степени окисления: +2, +4, +5, поэтому 4–2–1.</x:v>
      </x:c>
      <x:c r="P2830" s="30" t="str">
        <x:v>В периоде 2 находятся O, C, N. Высшие степени окисления: +2, +4, +5, поэтому 4–2–1.</x:v>
      </x:c>
      <x:c r="Q2830" s="30"/>
      <x:c r="R2830" s="30" t="str">
        <x:v>Фото-сводка ответов + независимое решение; содержание задания соответствует ХИ2510101</x:v>
      </x:c>
      <x:c r="S2830" s="30"/>
      <x:c r="T2830" s="30"/>
      <x:c r="U2830" s="30" t="str">
        <x:v>Расхождений не обнаружено.</x:v>
      </x:c>
      <x:c r="V2830" s="87" t="str">
        <x:v>VERIFIED</x:v>
      </x:c>
      <x:c r="W2830" s="87" t="str">
        <x:v>Zadanie_KhI11_10092025_.pdf, вариантная стр. 2</x:v>
      </x:c>
      <x:c r="X2830" s="87"/>
      <x:c r="Y2830" s="87"/>
      <x:c r="Z2830" s="87"/>
      <x:c r="AA2830" s="87"/>
      <x:c r="AB2830" s="87"/>
      <x:c r="AC2830" s="87"/>
      <x:c r="AD2830" s="87"/>
      <x:c r="AE2830" s="87"/>
      <x:c r="AF2830" s="87"/>
      <x:c r="AG2830" s="87"/>
      <x:c r="AH2830" s="87"/>
      <x:c r="AI2830" s="30"/>
      <x:c r="AJ2830" s="87" t="str">
        <x:v>master</x:v>
      </x:c>
      <x:c r="AK2830" s="87" t="str">
        <x:v>master-v0.81</x:v>
      </x:c>
      <x:c r="AL2830" s="87" t="str">
        <x:v>statgrad_master_base_v0_81_final(2).xlsx</x:v>
      </x:c>
      <x:c r="AM2830" s="87" t="str">
        <x:v>CHEM_Sep_V4</x:v>
      </x:c>
      <x:c r="AN2830" s="87" t="n">
        <x:v>3</x:v>
      </x:c>
    </x:row>
    <x:row r="2831">
      <x:c r="A2831" s="87" t="n">
        <x:v>2830</x:v>
      </x:c>
      <x:c r="B2831" s="87" t="str">
        <x:v>SEP-CHEM-V4-003</x:v>
      </x:c>
      <x:c r="C2831" s="87" t="str">
        <x:v>СтатГрад</x:v>
      </x:c>
      <x:c r="D2831" s="87" t="str">
        <x:v>Сентябрь 2025</x:v>
      </x:c>
      <x:c r="E2831" s="87"/>
      <x:c r="F2831" s="87"/>
      <x:c r="G2831" s="87" t="str">
        <x:v>Химия</x:v>
      </x:c>
      <x:c r="H2831" s="87" t="n">
        <x:v>11</x:v>
      </x:c>
      <x:c r="I2831" s="87" t="str">
        <x:v>ТР №1</x:v>
      </x:c>
      <x:c r="J2831" s="87" t="str">
        <x:v>ХИ2510104</x:v>
      </x:c>
      <x:c r="K2831" s="87" t="n">
        <x:v>3</x:v>
      </x:c>
      <x:c r="L2831" s="87" t="str">
        <x:v>Валентность</x:v>
      </x:c>
      <x:c r="M2831" s="30" t="str">
        <x:v>Среди Cl, Mg, Be, Na и Ge выбрать элементы, образующие твёрдые соединения с ионом ЭO₂ⁿ⁻.</x:v>
      </x:c>
      <x:c r="N2831" s="30" t="str">
        <x:v>13</x:v>
      </x:c>
      <x:c r="O2831" s="30" t="str">
        <x:v>Cl образует соли с ионом ClO₂⁻, Be — бериллаты с ионом BeO₂²⁻.</x:v>
      </x:c>
      <x:c r="P2831" s="30" t="str">
        <x:v>Cl образует соли с ионом ClO₂⁻, Be — бериллаты с ионом BeO₂²⁻.</x:v>
      </x:c>
      <x:c r="Q2831" s="30"/>
      <x:c r="R2831" s="30" t="str">
        <x:v>Фото-сводка ответов + независимое решение; содержание задания соответствует ХИ2510102</x:v>
      </x:c>
      <x:c r="S2831" s="30"/>
      <x:c r="T2831" s="30"/>
      <x:c r="U2831" s="30" t="str">
        <x:v>Расхождений не обнаружено.</x:v>
      </x:c>
      <x:c r="V2831" s="87" t="str">
        <x:v>VERIFIED</x:v>
      </x:c>
      <x:c r="W2831" s="87" t="str">
        <x:v>Zadanie_KhI11_10092025_.pdf, вариантная стр. 2</x:v>
      </x:c>
      <x:c r="X2831" s="87"/>
      <x:c r="Y2831" s="87"/>
      <x:c r="Z2831" s="87"/>
      <x:c r="AA2831" s="87"/>
      <x:c r="AB2831" s="87"/>
      <x:c r="AC2831" s="87"/>
      <x:c r="AD2831" s="87"/>
      <x:c r="AE2831" s="87"/>
      <x:c r="AF2831" s="87"/>
      <x:c r="AG2831" s="87"/>
      <x:c r="AH2831" s="87"/>
      <x:c r="AI2831" s="30"/>
      <x:c r="AJ2831" s="87" t="str">
        <x:v>master</x:v>
      </x:c>
      <x:c r="AK2831" s="87" t="str">
        <x:v>master-v0.81</x:v>
      </x:c>
      <x:c r="AL2831" s="87" t="str">
        <x:v>statgrad_master_base_v0_81_final(2).xlsx</x:v>
      </x:c>
      <x:c r="AM2831" s="87" t="str">
        <x:v>CHEM_Sep_V4</x:v>
      </x:c>
      <x:c r="AN2831" s="87" t="n">
        <x:v>4</x:v>
      </x:c>
    </x:row>
    <x:row r="2832">
      <x:c r="A2832" s="87" t="n">
        <x:v>2831</x:v>
      </x:c>
      <x:c r="B2832" s="87" t="str">
        <x:v>SEP-CHEM-V4-004</x:v>
      </x:c>
      <x:c r="C2832" s="87" t="str">
        <x:v>СтатГрад</x:v>
      </x:c>
      <x:c r="D2832" s="87" t="str">
        <x:v>Сентябрь 2025</x:v>
      </x:c>
      <x:c r="E2832" s="87"/>
      <x:c r="F2832" s="87"/>
      <x:c r="G2832" s="87" t="str">
        <x:v>Химия</x:v>
      </x:c>
      <x:c r="H2832" s="87" t="n">
        <x:v>11</x:v>
      </x:c>
      <x:c r="I2832" s="87" t="str">
        <x:v>ТР №1</x:v>
      </x:c>
      <x:c r="J2832" s="87" t="str">
        <x:v>ХИ2510104</x:v>
      </x:c>
      <x:c r="K2832" s="87" t="n">
        <x:v>4</x:v>
      </x:c>
      <x:c r="L2832" s="87" t="str">
        <x:v>Типы химической связи</x:v>
      </x:c>
      <x:c r="M2832" s="30" t="str">
        <x:v>Выбрать два вещества без ван-дер-ваальсовых связей: SiO₂, BaO, CO₂, H₂, N₂O.</x:v>
      </x:c>
      <x:c r="N2832" s="30" t="str">
        <x:v>12</x:v>
      </x:c>
      <x:c r="O2832" s="30" t="str">
        <x:v>SiO₂ — атомная кристаллическая решётка, BaO — ионная; межмолекулярных ван-дер-ваальсовых связей нет.</x:v>
      </x:c>
      <x:c r="P2832" s="30" t="str">
        <x:v>SiO₂ — атомная кристаллическая решётка, BaO — ионная; межмолекулярных ван-дер-ваальсовых связей нет.</x:v>
      </x:c>
      <x:c r="Q2832" s="30"/>
      <x:c r="R2832" s="30" t="str">
        <x:v>Фото-сводка ответов + независимое решение; содержание задания соответствует ХИ2510101</x:v>
      </x:c>
      <x:c r="S2832" s="30"/>
      <x:c r="T2832" s="30"/>
      <x:c r="U2832" s="30" t="str">
        <x:v>Расхождений не обнаружено.</x:v>
      </x:c>
      <x:c r="V2832" s="87" t="str">
        <x:v>VERIFIED</x:v>
      </x:c>
      <x:c r="W2832" s="87" t="str">
        <x:v>Zadanie_KhI11_10092025_.pdf, вариантная стр. 3</x:v>
      </x:c>
      <x:c r="X2832" s="87"/>
      <x:c r="Y2832" s="87"/>
      <x:c r="Z2832" s="87"/>
      <x:c r="AA2832" s="87"/>
      <x:c r="AB2832" s="87"/>
      <x:c r="AC2832" s="87"/>
      <x:c r="AD2832" s="87"/>
      <x:c r="AE2832" s="87"/>
      <x:c r="AF2832" s="87"/>
      <x:c r="AG2832" s="87"/>
      <x:c r="AH2832" s="87"/>
      <x:c r="AI2832" s="30"/>
      <x:c r="AJ2832" s="87" t="str">
        <x:v>master</x:v>
      </x:c>
      <x:c r="AK2832" s="87" t="str">
        <x:v>master-v0.81</x:v>
      </x:c>
      <x:c r="AL2832" s="87" t="str">
        <x:v>statgrad_master_base_v0_81_final(2).xlsx</x:v>
      </x:c>
      <x:c r="AM2832" s="87" t="str">
        <x:v>CHEM_Sep_V4</x:v>
      </x:c>
      <x:c r="AN2832" s="87" t="n">
        <x:v>5</x:v>
      </x:c>
    </x:row>
    <x:row r="2833">
      <x:c r="A2833" s="87" t="n">
        <x:v>2832</x:v>
      </x:c>
      <x:c r="B2833" s="87" t="str">
        <x:v>SEP-CHEM-V4-005</x:v>
      </x:c>
      <x:c r="C2833" s="87" t="str">
        <x:v>СтатГрад</x:v>
      </x:c>
      <x:c r="D2833" s="87" t="str">
        <x:v>Сентябрь 2025</x:v>
      </x:c>
      <x:c r="E2833" s="87"/>
      <x:c r="F2833" s="87"/>
      <x:c r="G2833" s="87" t="str">
        <x:v>Химия</x:v>
      </x:c>
      <x:c r="H2833" s="87" t="n">
        <x:v>11</x:v>
      </x:c>
      <x:c r="I2833" s="87" t="str">
        <x:v>ТР №1</x:v>
      </x:c>
      <x:c r="J2833" s="87" t="str">
        <x:v>ХИ2510104</x:v>
      </x:c>
      <x:c r="K2833" s="87" t="n">
        <x:v>5</x:v>
      </x:c>
      <x:c r="L2833" s="87" t="str">
        <x:v>Классификация неорганических веществ</x:v>
      </x:c>
      <x:c r="M2833" s="30" t="str">
        <x:v>По таблице выбрать несолеобразующий оксид, двойную соль и амфотерный гидроксид.</x:v>
      </x:c>
      <x:c r="N2833" s="30" t="str">
        <x:v>794</x:v>
      </x:c>
      <x:c r="O2833" s="30" t="str">
        <x:v>N₂O — несолеобразующий оксид; соль Мора — двойная соль; Cr(OH)₃ амфотерен.</x:v>
      </x:c>
      <x:c r="P2833" s="30" t="str">
        <x:v>N₂O — несолеобразующий оксид; соль Мора — двойная соль; Cr(OH)₃ амфотерен.</x:v>
      </x:c>
      <x:c r="Q2833" s="30"/>
      <x:c r="R2833" s="30" t="str">
        <x:v>Фото-сводка ответов + независимое решение; содержание задания соответствует ХИ2510102</x:v>
      </x:c>
      <x:c r="S2833" s="30"/>
      <x:c r="T2833" s="30"/>
      <x:c r="U2833" s="30" t="str">
        <x:v>Расхождений не обнаружено.</x:v>
      </x:c>
      <x:c r="V2833" s="87" t="str">
        <x:v>VERIFIED</x:v>
      </x:c>
      <x:c r="W2833" s="87" t="str">
        <x:v>Zadanie_KhI11_10092025_.pdf, вариантная стр. 3</x:v>
      </x:c>
      <x:c r="X2833" s="87"/>
      <x:c r="Y2833" s="87"/>
      <x:c r="Z2833" s="87"/>
      <x:c r="AA2833" s="87"/>
      <x:c r="AB2833" s="87"/>
      <x:c r="AC2833" s="87"/>
      <x:c r="AD2833" s="87"/>
      <x:c r="AE2833" s="87"/>
      <x:c r="AF2833" s="87"/>
      <x:c r="AG2833" s="87"/>
      <x:c r="AH2833" s="87"/>
      <x:c r="AI2833" s="30"/>
      <x:c r="AJ2833" s="87" t="str">
        <x:v>master</x:v>
      </x:c>
      <x:c r="AK2833" s="87" t="str">
        <x:v>master-v0.81</x:v>
      </x:c>
      <x:c r="AL2833" s="87" t="str">
        <x:v>statgrad_master_base_v0_81_final(2).xlsx</x:v>
      </x:c>
      <x:c r="AM2833" s="87" t="str">
        <x:v>CHEM_Sep_V4</x:v>
      </x:c>
      <x:c r="AN2833" s="87" t="n">
        <x:v>6</x:v>
      </x:c>
    </x:row>
    <x:row r="2834">
      <x:c r="A2834" s="87" t="n">
        <x:v>2833</x:v>
      </x:c>
      <x:c r="B2834" s="87" t="str">
        <x:v>SEP-CHEM-V4-006</x:v>
      </x:c>
      <x:c r="C2834" s="87" t="str">
        <x:v>СтатГрад</x:v>
      </x:c>
      <x:c r="D2834" s="87" t="str">
        <x:v>Сентябрь 2025</x:v>
      </x:c>
      <x:c r="E2834" s="87"/>
      <x:c r="F2834" s="87"/>
      <x:c r="G2834" s="87" t="str">
        <x:v>Химия</x:v>
      </x:c>
      <x:c r="H2834" s="87" t="n">
        <x:v>11</x:v>
      </x:c>
      <x:c r="I2834" s="87" t="str">
        <x:v>ТР №1</x:v>
      </x:c>
      <x:c r="J2834" s="87" t="str">
        <x:v>ХИ2510104</x:v>
      </x:c>
      <x:c r="K2834" s="87" t="n">
        <x:v>6</x:v>
      </x:c>
      <x:c r="L2834" s="87" t="str">
        <x:v>Качественные реакции</x:v>
      </x:c>
      <x:c r="M2834" s="30" t="str">
        <x:v>Известковая вода: газ X сначала даёт осадок, который растворяется в избытке газа; газ Y даёт сохраняющийся осадок. Выбрать X и Y.</x:v>
      </x:c>
      <x:c r="N2834" s="30" t="str">
        <x:v>X=3; Y=4</x:v>
      </x:c>
      <x:c r="O2834" s="30" t="str">
        <x:v>SO₂ образует CaSO₃, растворяющийся в избытке SO₂ как гидросульфит; HF осаждает устойчивый CaF₂.</x:v>
      </x:c>
      <x:c r="P2834" s="30" t="str">
        <x:v>SO₂ образует CaSO₃, растворяющийся в избытке SO₂ как гидросульфит; HF осаждает устойчивый CaF₂.</x:v>
      </x:c>
      <x:c r="Q2834" s="30"/>
      <x:c r="R2834" s="30" t="str">
        <x:v>Фото-сводка ответов + независимое решение; содержание задания соответствует ХИ2510101</x:v>
      </x:c>
      <x:c r="S2834" s="30"/>
      <x:c r="T2834" s="30"/>
      <x:c r="U2834" s="30" t="str">
        <x:v>Расхождений не обнаружено.</x:v>
      </x:c>
      <x:c r="V2834" s="87" t="str">
        <x:v>VERIFIED</x:v>
      </x:c>
      <x:c r="W2834" s="87" t="str">
        <x:v>Zadanie_KhI11_10092025_.pdf, вариантная стр. 4</x:v>
      </x:c>
      <x:c r="X2834" s="87"/>
      <x:c r="Y2834" s="87"/>
      <x:c r="Z2834" s="87"/>
      <x:c r="AA2834" s="87"/>
      <x:c r="AB2834" s="87"/>
      <x:c r="AC2834" s="87"/>
      <x:c r="AD2834" s="87"/>
      <x:c r="AE2834" s="87"/>
      <x:c r="AF2834" s="87"/>
      <x:c r="AG2834" s="87"/>
      <x:c r="AH2834" s="87"/>
      <x:c r="AI2834" s="30"/>
      <x:c r="AJ2834" s="87" t="str">
        <x:v>master</x:v>
      </x:c>
      <x:c r="AK2834" s="87" t="str">
        <x:v>master-v0.81</x:v>
      </x:c>
      <x:c r="AL2834" s="87" t="str">
        <x:v>statgrad_master_base_v0_81_final(2).xlsx</x:v>
      </x:c>
      <x:c r="AM2834" s="87" t="str">
        <x:v>CHEM_Sep_V4</x:v>
      </x:c>
      <x:c r="AN2834" s="87" t="n">
        <x:v>7</x:v>
      </x:c>
    </x:row>
    <x:row r="2835">
      <x:c r="A2835" s="87" t="n">
        <x:v>2834</x:v>
      </x:c>
      <x:c r="B2835" s="87" t="str">
        <x:v>SEP-CHEM-V4-007</x:v>
      </x:c>
      <x:c r="C2835" s="87" t="str">
        <x:v>СтатГрад</x:v>
      </x:c>
      <x:c r="D2835" s="87" t="str">
        <x:v>Сентябрь 2025</x:v>
      </x:c>
      <x:c r="E2835" s="87"/>
      <x:c r="F2835" s="87"/>
      <x:c r="G2835" s="87" t="str">
        <x:v>Химия</x:v>
      </x:c>
      <x:c r="H2835" s="87" t="n">
        <x:v>11</x:v>
      </x:c>
      <x:c r="I2835" s="87" t="str">
        <x:v>ТР №1</x:v>
      </x:c>
      <x:c r="J2835" s="87" t="str">
        <x:v>ХИ2510104</x:v>
      </x:c>
      <x:c r="K2835" s="87" t="n">
        <x:v>7</x:v>
      </x:c>
      <x:c r="L2835" s="87" t="str">
        <x:v>Неорганические реакции: соответствие</x:v>
      </x:c>
      <x:c r="M2835" s="30" t="str">
        <x:v>Сопоставить H₂S, Ca(OH)₂, AlCl₃ и C с наборами из трёх реагентов.</x:v>
      </x:c>
      <x:c r="N2835" s="30" t="str">
        <x:v>3245</x:v>
      </x:c>
      <x:c r="O2835" s="30" t="str">
        <x:v>H₂S реагирует с SO₂, Cu(NO₃)₂, KOH; Ca(OH)₂ — с H₂SO₄, CO₂, NaF; AlCl₃ — с AgNO₃, NaHS, NaOH; C — с O₂, H₂SO₄, CuO.</x:v>
      </x:c>
      <x:c r="P2835" s="30" t="str">
        <x:v>H₂S реагирует с SO₂, Cu(NO₃)₂, KOH; Ca(OH)₂ — с H₂SO₄, CO₂, NaF; AlCl₃ — с AgNO₃, NaHS, NaOH; C — с O₂, H₂SO₄, CuO.</x:v>
      </x:c>
      <x:c r="Q2835" s="30"/>
      <x:c r="R2835" s="30" t="str">
        <x:v>Официальная таблица ответов в PDF критериев + независимое решение; содержание задания соответствует ХИ2510102</x:v>
      </x:c>
      <x:c r="S2835" s="30"/>
      <x:c r="T2835" s="30"/>
      <x:c r="U2835" s="30" t="str">
        <x:v>Расхождений не обнаружено.</x:v>
      </x:c>
      <x:c r="V2835" s="87" t="str">
        <x:v>VERIFIED</x:v>
      </x:c>
      <x:c r="W2835" s="87" t="str">
        <x:v>Zadanie_KhI11_10092025_.pdf, вариантная стр. 4</x:v>
      </x:c>
      <x:c r="X2835" s="87"/>
      <x:c r="Y2835" s="87"/>
      <x:c r="Z2835" s="87"/>
      <x:c r="AA2835" s="87"/>
      <x:c r="AB2835" s="87"/>
      <x:c r="AC2835" s="87"/>
      <x:c r="AD2835" s="87"/>
      <x:c r="AE2835" s="87"/>
      <x:c r="AF2835" s="87"/>
      <x:c r="AG2835" s="87"/>
      <x:c r="AH2835" s="87"/>
      <x:c r="AI2835" s="30"/>
      <x:c r="AJ2835" s="87" t="str">
        <x:v>master</x:v>
      </x:c>
      <x:c r="AK2835" s="87" t="str">
        <x:v>master-v0.81</x:v>
      </x:c>
      <x:c r="AL2835" s="87" t="str">
        <x:v>statgrad_master_base_v0_81_final(2).xlsx</x:v>
      </x:c>
      <x:c r="AM2835" s="87" t="str">
        <x:v>CHEM_Sep_V4</x:v>
      </x:c>
      <x:c r="AN2835" s="87" t="n">
        <x:v>8</x:v>
      </x:c>
    </x:row>
    <x:row r="2836">
      <x:c r="A2836" s="87" t="n">
        <x:v>2835</x:v>
      </x:c>
      <x:c r="B2836" s="87" t="str">
        <x:v>SEP-CHEM-V4-008</x:v>
      </x:c>
      <x:c r="C2836" s="87" t="str">
        <x:v>СтатГрад</x:v>
      </x:c>
      <x:c r="D2836" s="87" t="str">
        <x:v>Сентябрь 2025</x:v>
      </x:c>
      <x:c r="E2836" s="87"/>
      <x:c r="F2836" s="87"/>
      <x:c r="G2836" s="87" t="str">
        <x:v>Химия</x:v>
      </x:c>
      <x:c r="H2836" s="87" t="n">
        <x:v>11</x:v>
      </x:c>
      <x:c r="I2836" s="87" t="str">
        <x:v>ТР №1</x:v>
      </x:c>
      <x:c r="J2836" s="87" t="str">
        <x:v>ХИ2510104</x:v>
      </x:c>
      <x:c r="K2836" s="87" t="n">
        <x:v>8</x:v>
      </x:c>
      <x:c r="L2836" s="87" t="str">
        <x:v>Фосфор и его соединения</x:v>
      </x:c>
      <x:c r="M2836" s="30" t="str">
        <x:v>Сопоставить реакции P₂O₅, P, H₃PO₄ и H₃PO₃ со щёлочью с образующимися фосфатами/фосфином.</x:v>
      </x:c>
      <x:c r="N2836" s="30" t="str">
        <x:v>1423</x:v>
      </x:c>
      <x:c r="O2836" s="30" t="str">
        <x:v>Избыток NaOH с P₂O₅ даёт Na₃PO₄; P диспропорционирует до PH₃ и NaH₂PO₂; избыток H₃PO₄ даёт NaH₂PO₄; H₃PO₃ с избытком щёлочи — Na₂HPO₃.</x:v>
      </x:c>
      <x:c r="P2836" s="30" t="str">
        <x:v>Избыток NaOH с P₂O₅ даёт Na₃PO₄; P диспропорционирует до PH₃ и NaH₂PO₂; избыток H₃PO₄ даёт NaH₂PO₄; H₃PO₃ с избытком щёлочи — Na₂HPO₃.</x:v>
      </x:c>
      <x:c r="Q2836" s="30"/>
      <x:c r="R2836" s="30" t="str">
        <x:v>Официальная таблица ответов в PDF критериев + независимое решение; содержание задания соответствует ХИ2510101</x:v>
      </x:c>
      <x:c r="S2836" s="30"/>
      <x:c r="T2836" s="30"/>
      <x:c r="U2836" s="30" t="str">
        <x:v>Расхождений не обнаружено.</x:v>
      </x:c>
      <x:c r="V2836" s="87" t="str">
        <x:v>VERIFIED</x:v>
      </x:c>
      <x:c r="W2836" s="87" t="str">
        <x:v>Zadanie_KhI11_10092025_.pdf, вариантная стр. 5</x:v>
      </x:c>
      <x:c r="X2836" s="87"/>
      <x:c r="Y2836" s="87"/>
      <x:c r="Z2836" s="87"/>
      <x:c r="AA2836" s="87"/>
      <x:c r="AB2836" s="87"/>
      <x:c r="AC2836" s="87"/>
      <x:c r="AD2836" s="87"/>
      <x:c r="AE2836" s="87"/>
      <x:c r="AF2836" s="87"/>
      <x:c r="AG2836" s="87"/>
      <x:c r="AH2836" s="87"/>
      <x:c r="AI2836" s="30"/>
      <x:c r="AJ2836" s="87" t="str">
        <x:v>master</x:v>
      </x:c>
      <x:c r="AK2836" s="87" t="str">
        <x:v>master-v0.81</x:v>
      </x:c>
      <x:c r="AL2836" s="87" t="str">
        <x:v>statgrad_master_base_v0_81_final(2).xlsx</x:v>
      </x:c>
      <x:c r="AM2836" s="87" t="str">
        <x:v>CHEM_Sep_V4</x:v>
      </x:c>
      <x:c r="AN2836" s="87" t="n">
        <x:v>9</x:v>
      </x:c>
    </x:row>
    <x:row r="2837">
      <x:c r="A2837" s="87" t="n">
        <x:v>2836</x:v>
      </x:c>
      <x:c r="B2837" s="87" t="str">
        <x:v>SEP-CHEM-V4-009</x:v>
      </x:c>
      <x:c r="C2837" s="87" t="str">
        <x:v>СтатГрад</x:v>
      </x:c>
      <x:c r="D2837" s="87" t="str">
        <x:v>Сентябрь 2025</x:v>
      </x:c>
      <x:c r="E2837" s="87"/>
      <x:c r="F2837" s="87"/>
      <x:c r="G2837" s="87" t="str">
        <x:v>Химия</x:v>
      </x:c>
      <x:c r="H2837" s="87" t="n">
        <x:v>11</x:v>
      </x:c>
      <x:c r="I2837" s="87" t="str">
        <x:v>ТР №1</x:v>
      </x:c>
      <x:c r="J2837" s="87" t="str">
        <x:v>ХИ2510104</x:v>
      </x:c>
      <x:c r="K2837" s="87" t="n">
        <x:v>9</x:v>
      </x:c>
      <x:c r="L2837" s="87" t="str">
        <x:v>Цепочка превращений: сера</x:v>
      </x:c>
      <x:c r="M2837" s="30" t="str">
        <x:v>Цепочка SO₂ → S → H₂SO₄: выбрать реагенты X и Y.</x:v>
      </x:c>
      <x:c r="N2837" s="30" t="str">
        <x:v>43</x:v>
      </x:c>
      <x:c r="O2837" s="30" t="str">
        <x:v>SO₂ восстанавливается H₂S до S; S окисляется HNO₃ до H₂SO₄.</x:v>
      </x:c>
      <x:c r="P2837" s="30" t="str">
        <x:v>SO₂ восстанавливается H₂S до S; S окисляется HNO₃ до H₂SO₄.</x:v>
      </x:c>
      <x:c r="Q2837" s="30"/>
      <x:c r="R2837" s="30" t="str">
        <x:v>Фото-сводка ответов + независимое решение; содержание задания соответствует ХИ2510102</x:v>
      </x:c>
      <x:c r="S2837" s="30"/>
      <x:c r="T2837" s="30"/>
      <x:c r="U2837" s="30" t="str">
        <x:v>Расхождений не обнаружено.</x:v>
      </x:c>
      <x:c r="V2837" s="87" t="str">
        <x:v>VERIFIED</x:v>
      </x:c>
      <x:c r="W2837" s="87" t="str">
        <x:v>Zadanie_KhI11_10092025_.pdf, вариантная стр. 5</x:v>
      </x:c>
      <x:c r="X2837" s="87"/>
      <x:c r="Y2837" s="87"/>
      <x:c r="Z2837" s="87"/>
      <x:c r="AA2837" s="87"/>
      <x:c r="AB2837" s="87"/>
      <x:c r="AC2837" s="87"/>
      <x:c r="AD2837" s="87"/>
      <x:c r="AE2837" s="87"/>
      <x:c r="AF2837" s="87"/>
      <x:c r="AG2837" s="87"/>
      <x:c r="AH2837" s="87"/>
      <x:c r="AI2837" s="30"/>
      <x:c r="AJ2837" s="87" t="str">
        <x:v>master</x:v>
      </x:c>
      <x:c r="AK2837" s="87" t="str">
        <x:v>master-v0.81</x:v>
      </x:c>
      <x:c r="AL2837" s="87" t="str">
        <x:v>statgrad_master_base_v0_81_final(2).xlsx</x:v>
      </x:c>
      <x:c r="AM2837" s="87" t="str">
        <x:v>CHEM_Sep_V4</x:v>
      </x:c>
      <x:c r="AN2837" s="87" t="n">
        <x:v>10</x:v>
      </x:c>
    </x:row>
    <x:row r="2838">
      <x:c r="A2838" s="87" t="n">
        <x:v>2837</x:v>
      </x:c>
      <x:c r="B2838" s="87" t="str">
        <x:v>SEP-CHEM-V4-010</x:v>
      </x:c>
      <x:c r="C2838" s="87" t="str">
        <x:v>СтатГрад</x:v>
      </x:c>
      <x:c r="D2838" s="87" t="str">
        <x:v>Сентябрь 2025</x:v>
      </x:c>
      <x:c r="E2838" s="87"/>
      <x:c r="F2838" s="87"/>
      <x:c r="G2838" s="87" t="str">
        <x:v>Химия</x:v>
      </x:c>
      <x:c r="H2838" s="87" t="n">
        <x:v>11</x:v>
      </x:c>
      <x:c r="I2838" s="87" t="str">
        <x:v>ТР №1</x:v>
      </x:c>
      <x:c r="J2838" s="87" t="str">
        <x:v>ХИ2510104</x:v>
      </x:c>
      <x:c r="K2838" s="87" t="n">
        <x:v>10</x:v>
      </x:c>
      <x:c r="L2838" s="87" t="str">
        <x:v>Гомологические ряды</x:v>
      </x:c>
      <x:c r="M2838" s="30" t="str">
        <x:v>По трём структурным формулам определить общие формулы гомологических рядов.</x:v>
      </x:c>
      <x:c r="N2838" s="30" t="str">
        <x:v>143</x:v>
      </x:c>
      <x:c r="O2838" s="30" t="str">
        <x:v>A: C₅H₈ = CnH₂n−2; Б: метилацетат C₃H₆O₂ = CnH₂nO₂; В: фенилуксусная кислота C₈H₈O₂ = CnH₂n−8O₂.</x:v>
      </x:c>
      <x:c r="P2838" s="30" t="str">
        <x:v>A: C₅H₈ = CnH₂n−2; Б: метилацетат C₃H₆O₂ = CnH₂nO₂; В: фенилуксусная кислота C₈H₈O₂ = CnH₂n−8O₂.</x:v>
      </x:c>
      <x:c r="Q2838" s="30"/>
      <x:c r="R2838" s="30" t="str">
        <x:v>Фото-сводка ответов + независимое решение; содержание задания соответствует ХИ2510101</x:v>
      </x:c>
      <x:c r="S2838" s="30"/>
      <x:c r="T2838" s="30"/>
      <x:c r="U2838" s="30" t="str">
        <x:v>Расхождений не обнаружено.</x:v>
      </x:c>
      <x:c r="V2838" s="87" t="str">
        <x:v>VERIFIED</x:v>
      </x:c>
      <x:c r="W2838" s="87" t="str">
        <x:v>Zadanie_KhI11_10092025_.pdf, вариантная стр. 6</x:v>
      </x:c>
      <x:c r="X2838" s="87"/>
      <x:c r="Y2838" s="87"/>
      <x:c r="Z2838" s="87"/>
      <x:c r="AA2838" s="87"/>
      <x:c r="AB2838" s="87"/>
      <x:c r="AC2838" s="87"/>
      <x:c r="AD2838" s="87"/>
      <x:c r="AE2838" s="87"/>
      <x:c r="AF2838" s="87"/>
      <x:c r="AG2838" s="87"/>
      <x:c r="AH2838" s="87"/>
      <x:c r="AI2838" s="30"/>
      <x:c r="AJ2838" s="87" t="str">
        <x:v>master</x:v>
      </x:c>
      <x:c r="AK2838" s="87" t="str">
        <x:v>master-v0.81</x:v>
      </x:c>
      <x:c r="AL2838" s="87" t="str">
        <x:v>statgrad_master_base_v0_81_final(2).xlsx</x:v>
      </x:c>
      <x:c r="AM2838" s="87" t="str">
        <x:v>CHEM_Sep_V4</x:v>
      </x:c>
      <x:c r="AN2838" s="87" t="n">
        <x:v>11</x:v>
      </x:c>
    </x:row>
    <x:row r="2839">
      <x:c r="A2839" s="87" t="n">
        <x:v>2838</x:v>
      </x:c>
      <x:c r="B2839" s="87" t="str">
        <x:v>SEP-CHEM-V4-011</x:v>
      </x:c>
      <x:c r="C2839" s="87" t="str">
        <x:v>СтатГрад</x:v>
      </x:c>
      <x:c r="D2839" s="87" t="str">
        <x:v>Сентябрь 2025</x:v>
      </x:c>
      <x:c r="E2839" s="87"/>
      <x:c r="F2839" s="87"/>
      <x:c r="G2839" s="87" t="str">
        <x:v>Химия</x:v>
      </x:c>
      <x:c r="H2839" s="87" t="n">
        <x:v>11</x:v>
      </x:c>
      <x:c r="I2839" s="87" t="str">
        <x:v>ТР №1</x:v>
      </x:c>
      <x:c r="J2839" s="87" t="str">
        <x:v>ХИ2510104</x:v>
      </x:c>
      <x:c r="K2839" s="87" t="n">
        <x:v>11</x:v>
      </x:c>
      <x:c r="L2839" s="87" t="str">
        <x:v>Оптическая изомерия</x:v>
      </x:c>
      <x:c r="M2839" s="30" t="str">
        <x:v>Выбрать вещества с геометрической (цис-транс) изомерией.</x:v>
      </x:c>
      <x:c r="N2839" s="30" t="str">
        <x:v>35</x:v>
      </x:c>
      <x:c r="O2839" s="30" t="str">
        <x:v>Цис-транс-изомерия возможна у гексена-3 и 1,2-дихлорциклогексана.</x:v>
      </x:c>
      <x:c r="P2839" s="30" t="str">
        <x:v>Цис-транс-изомерия возможна у гексена-3 и 1,2-дихлорциклогексана.</x:v>
      </x:c>
      <x:c r="Q2839" s="30"/>
      <x:c r="R2839" s="30" t="str">
        <x:v>Фото-сводка ответов + независимое решение; содержание задания соответствует ХИ2510102</x:v>
      </x:c>
      <x:c r="S2839" s="30"/>
      <x:c r="T2839" s="30"/>
      <x:c r="U2839" s="30" t="str">
        <x:v>Расхождений не обнаружено.</x:v>
      </x:c>
      <x:c r="V2839" s="87" t="str">
        <x:v>VERIFIED</x:v>
      </x:c>
      <x:c r="W2839" s="87" t="str">
        <x:v>Zadanie_KhI11_10092025_.pdf, вариантная стр. 6</x:v>
      </x:c>
      <x:c r="X2839" s="87"/>
      <x:c r="Y2839" s="87"/>
      <x:c r="Z2839" s="87"/>
      <x:c r="AA2839" s="87"/>
      <x:c r="AB2839" s="87"/>
      <x:c r="AC2839" s="87"/>
      <x:c r="AD2839" s="87"/>
      <x:c r="AE2839" s="87"/>
      <x:c r="AF2839" s="87"/>
      <x:c r="AG2839" s="87"/>
      <x:c r="AH2839" s="87"/>
      <x:c r="AI2839" s="30"/>
      <x:c r="AJ2839" s="87" t="str">
        <x:v>master</x:v>
      </x:c>
      <x:c r="AK2839" s="87" t="str">
        <x:v>master-v0.81</x:v>
      </x:c>
      <x:c r="AL2839" s="87" t="str">
        <x:v>statgrad_master_base_v0_81_final(2).xlsx</x:v>
      </x:c>
      <x:c r="AM2839" s="87" t="str">
        <x:v>CHEM_Sep_V4</x:v>
      </x:c>
      <x:c r="AN2839" s="87" t="n">
        <x:v>12</x:v>
      </x:c>
    </x:row>
    <x:row r="2840">
      <x:c r="A2840" s="87" t="n">
        <x:v>2839</x:v>
      </x:c>
      <x:c r="B2840" s="87" t="str">
        <x:v>SEP-CHEM-V4-012</x:v>
      </x:c>
      <x:c r="C2840" s="87" t="str">
        <x:v>СтатГрад</x:v>
      </x:c>
      <x:c r="D2840" s="87" t="str">
        <x:v>Сентябрь 2025</x:v>
      </x:c>
      <x:c r="E2840" s="87"/>
      <x:c r="F2840" s="87"/>
      <x:c r="G2840" s="87" t="str">
        <x:v>Химия</x:v>
      </x:c>
      <x:c r="H2840" s="87" t="n">
        <x:v>11</x:v>
      </x:c>
      <x:c r="I2840" s="87" t="str">
        <x:v>ТР №1</x:v>
      </x:c>
      <x:c r="J2840" s="87" t="str">
        <x:v>ХИ2510104</x:v>
      </x:c>
      <x:c r="K2840" s="87" t="n">
        <x:v>12</x:v>
      </x:c>
      <x:c r="L2840" s="87" t="str">
        <x:v>Свойства углеводородов</x:v>
      </x:c>
      <x:c r="M2840" s="30" t="str">
        <x:v>Выбрать вещества, реагирующие и с этиленом, и с бензолом.</x:v>
      </x:c>
      <x:c r="N2840" s="30" t="str">
        <x:v>13</x:v>
      </x:c>
      <x:c r="O2840" s="30" t="str">
        <x:v>H₂ присоединяется к этилену и гидрирует бензол; Cl₂ присоединяется к этилену и реагирует с бензолом при соответствующем катализаторе/условиях.</x:v>
      </x:c>
      <x:c r="P2840" s="30" t="str">
        <x:v>H₂ присоединяется к этилену и гидрирует бензол; Cl₂ присоединяется к этилену и реагирует с бензолом при соответствующем катализаторе/условиях.</x:v>
      </x:c>
      <x:c r="Q2840" s="30"/>
      <x:c r="R2840" s="30" t="str">
        <x:v>Независимое решение; №12 отсутствует в фото-сводке и таблице критериев; содержание задания соответствует ХИ2510101</x:v>
      </x:c>
      <x:c r="S2840" s="30"/>
      <x:c r="T2840" s="30"/>
      <x:c r="U2840" s="30" t="str">
        <x:v>Расхождений не обнаружено.</x:v>
      </x:c>
      <x:c r="V2840" s="87" t="str">
        <x:v>VERIFIED</x:v>
      </x:c>
      <x:c r="W2840" s="87" t="str">
        <x:v>Zadanie_KhI11_10092025_.pdf, вариантная стр. 6</x:v>
      </x:c>
      <x:c r="X2840" s="87"/>
      <x:c r="Y2840" s="87"/>
      <x:c r="Z2840" s="87"/>
      <x:c r="AA2840" s="87"/>
      <x:c r="AB2840" s="87"/>
      <x:c r="AC2840" s="87"/>
      <x:c r="AD2840" s="87"/>
      <x:c r="AE2840" s="87"/>
      <x:c r="AF2840" s="87"/>
      <x:c r="AG2840" s="87"/>
      <x:c r="AH2840" s="87"/>
      <x:c r="AI2840" s="30"/>
      <x:c r="AJ2840" s="87" t="str">
        <x:v>master</x:v>
      </x:c>
      <x:c r="AK2840" s="87" t="str">
        <x:v>master-v0.81</x:v>
      </x:c>
      <x:c r="AL2840" s="87" t="str">
        <x:v>statgrad_master_base_v0_81_final(2).xlsx</x:v>
      </x:c>
      <x:c r="AM2840" s="87" t="str">
        <x:v>CHEM_Sep_V4</x:v>
      </x:c>
      <x:c r="AN2840" s="87" t="n">
        <x:v>13</x:v>
      </x:c>
    </x:row>
    <x:row r="2841">
      <x:c r="A2841" s="87" t="n">
        <x:v>2840</x:v>
      </x:c>
      <x:c r="B2841" s="87" t="str">
        <x:v>SEP-CHEM-V4-013</x:v>
      </x:c>
      <x:c r="C2841" s="87" t="str">
        <x:v>СтатГрад</x:v>
      </x:c>
      <x:c r="D2841" s="87" t="str">
        <x:v>Сентябрь 2025</x:v>
      </x:c>
      <x:c r="E2841" s="87"/>
      <x:c r="F2841" s="87"/>
      <x:c r="G2841" s="87" t="str">
        <x:v>Химия</x:v>
      </x:c>
      <x:c r="H2841" s="87" t="n">
        <x:v>11</x:v>
      </x:c>
      <x:c r="I2841" s="87" t="str">
        <x:v>ТР №1</x:v>
      </x:c>
      <x:c r="J2841" s="87" t="str">
        <x:v>ХИ2510104</x:v>
      </x:c>
      <x:c r="K2841" s="87" t="n">
        <x:v>13</x:v>
      </x:c>
      <x:c r="L2841" s="87" t="str">
        <x:v>Гидролиз органических веществ</x:v>
      </x:c>
      <x:c r="M2841" s="30" t="str">
        <x:v>Выбрать вещества, гидролизующиеся в кислой среде с образованием глюкозы.</x:v>
      </x:c>
      <x:c r="N2841" s="30" t="str">
        <x:v>35</x:v>
      </x:c>
      <x:c r="O2841" s="30" t="str">
        <x:v>Гликоген и мальтоза при кислотном гидролизе образуют глюкозу.</x:v>
      </x:c>
      <x:c r="P2841" s="30" t="str">
        <x:v>Гликоген и мальтоза при кислотном гидролизе образуют глюкозу.</x:v>
      </x:c>
      <x:c r="Q2841" s="30"/>
      <x:c r="R2841" s="30" t="str">
        <x:v>Фото-сводка ответов + независимое решение; содержание задания соответствует ХИ2510102</x:v>
      </x:c>
      <x:c r="S2841" s="30"/>
      <x:c r="T2841" s="30"/>
      <x:c r="U2841" s="30" t="str">
        <x:v>Расхождений не обнаружено.</x:v>
      </x:c>
      <x:c r="V2841" s="87" t="str">
        <x:v>VERIFIED</x:v>
      </x:c>
      <x:c r="W2841" s="87" t="str">
        <x:v>Zadanie_KhI11_10092025_.pdf, вариантная стр. 7</x:v>
      </x:c>
      <x:c r="X2841" s="87"/>
      <x:c r="Y2841" s="87"/>
      <x:c r="Z2841" s="87"/>
      <x:c r="AA2841" s="87"/>
      <x:c r="AB2841" s="87"/>
      <x:c r="AC2841" s="87"/>
      <x:c r="AD2841" s="87"/>
      <x:c r="AE2841" s="87"/>
      <x:c r="AF2841" s="87"/>
      <x:c r="AG2841" s="87"/>
      <x:c r="AH2841" s="87"/>
      <x:c r="AI2841" s="30"/>
      <x:c r="AJ2841" s="87" t="str">
        <x:v>master</x:v>
      </x:c>
      <x:c r="AK2841" s="87" t="str">
        <x:v>master-v0.81</x:v>
      </x:c>
      <x:c r="AL2841" s="87" t="str">
        <x:v>statgrad_master_base_v0_81_final(2).xlsx</x:v>
      </x:c>
      <x:c r="AM2841" s="87" t="str">
        <x:v>CHEM_Sep_V4</x:v>
      </x:c>
      <x:c r="AN2841" s="87" t="n">
        <x:v>14</x:v>
      </x:c>
    </x:row>
    <x:row r="2842">
      <x:c r="A2842" s="87" t="n">
        <x:v>2841</x:v>
      </x:c>
      <x:c r="B2842" s="87" t="str">
        <x:v>SEP-CHEM-V4-014</x:v>
      </x:c>
      <x:c r="C2842" s="87" t="str">
        <x:v>СтатГрад</x:v>
      </x:c>
      <x:c r="D2842" s="87" t="str">
        <x:v>Сентябрь 2025</x:v>
      </x:c>
      <x:c r="E2842" s="87"/>
      <x:c r="F2842" s="87"/>
      <x:c r="G2842" s="87" t="str">
        <x:v>Химия</x:v>
      </x:c>
      <x:c r="H2842" s="87" t="n">
        <x:v>11</x:v>
      </x:c>
      <x:c r="I2842" s="87" t="str">
        <x:v>ТР №1</x:v>
      </x:c>
      <x:c r="J2842" s="87" t="str">
        <x:v>ХИ2510104</x:v>
      </x:c>
      <x:c r="K2842" s="87" t="n">
        <x:v>14</x:v>
      </x:c>
      <x:c r="L2842" s="87" t="str">
        <x:v>Органические реакции: продукты</x:v>
      </x:c>
      <x:c r="M2842" s="30" t="str">
        <x:v>Сопоставить четыре органические реакции с преимущественными продуктами.</x:v>
      </x:c>
      <x:c r="N2842" s="30" t="str">
        <x:v>6124</x:v>
      </x:c>
      <x:c r="O2842" s="30" t="str">
        <x:v>Бензол+пропен даёт кумол; ацетиленид+2CH₃Br — бутин-2; бромирование 2-метилбутана идёт преимущественно по третичному атому; окислительное расщепление 2-метилпропена даёт ацетон.</x:v>
      </x:c>
      <x:c r="P2842" s="30" t="str">
        <x:v>Бензол+пропен даёт кумол; ацетиленид+2CH₃Br — бутин-2; бромирование 2-метилбутана идёт преимущественно по третичному атому; окислительное расщепление 2-метилпропена даёт ацетон.</x:v>
      </x:c>
      <x:c r="Q2842" s="30"/>
      <x:c r="R2842" s="30" t="str">
        <x:v>Официальная таблица ответов в PDF критериев + независимое решение; содержание задания соответствует ХИ2510101</x:v>
      </x:c>
      <x:c r="S2842" s="30"/>
      <x:c r="T2842" s="30"/>
      <x:c r="U2842" s="30" t="str">
        <x:v>Расхождений не обнаружено.</x:v>
      </x:c>
      <x:c r="V2842" s="87" t="str">
        <x:v>VERIFIED</x:v>
      </x:c>
      <x:c r="W2842" s="87" t="str">
        <x:v>Zadanie_KhI11_10092025_.pdf, вариантная стр. 7</x:v>
      </x:c>
      <x:c r="X2842" s="87"/>
      <x:c r="Y2842" s="87"/>
      <x:c r="Z2842" s="87"/>
      <x:c r="AA2842" s="87"/>
      <x:c r="AB2842" s="87"/>
      <x:c r="AC2842" s="87"/>
      <x:c r="AD2842" s="87"/>
      <x:c r="AE2842" s="87"/>
      <x:c r="AF2842" s="87"/>
      <x:c r="AG2842" s="87"/>
      <x:c r="AH2842" s="87"/>
      <x:c r="AI2842" s="30"/>
      <x:c r="AJ2842" s="87" t="str">
        <x:v>master</x:v>
      </x:c>
      <x:c r="AK2842" s="87" t="str">
        <x:v>master-v0.81</x:v>
      </x:c>
      <x:c r="AL2842" s="87" t="str">
        <x:v>statgrad_master_base_v0_81_final(2).xlsx</x:v>
      </x:c>
      <x:c r="AM2842" s="87" t="str">
        <x:v>CHEM_Sep_V4</x:v>
      </x:c>
      <x:c r="AN2842" s="87" t="n">
        <x:v>15</x:v>
      </x:c>
    </x:row>
    <x:row r="2843">
      <x:c r="A2843" s="87" t="n">
        <x:v>2842</x:v>
      </x:c>
      <x:c r="B2843" s="87" t="str">
        <x:v>SEP-CHEM-V4-015</x:v>
      </x:c>
      <x:c r="C2843" s="87" t="str">
        <x:v>СтатГрад</x:v>
      </x:c>
      <x:c r="D2843" s="87" t="str">
        <x:v>Сентябрь 2025</x:v>
      </x:c>
      <x:c r="E2843" s="87"/>
      <x:c r="F2843" s="87"/>
      <x:c r="G2843" s="87" t="str">
        <x:v>Химия</x:v>
      </x:c>
      <x:c r="H2843" s="87" t="n">
        <x:v>11</x:v>
      </x:c>
      <x:c r="I2843" s="87" t="str">
        <x:v>ТР №1</x:v>
      </x:c>
      <x:c r="J2843" s="87" t="str">
        <x:v>ХИ2510104</x:v>
      </x:c>
      <x:c r="K2843" s="87" t="n">
        <x:v>15</x:v>
      </x:c>
      <x:c r="L2843" s="87" t="str">
        <x:v>Органические реакции: реагенты</x:v>
      </x:c>
      <x:c r="M2843" s="30" t="str">
        <x:v>По четырём схемам органических реакций определить реагент X.</x:v>
      </x:c>
      <x:c r="N2843" s="30" t="str">
        <x:v>3156</x:v>
      </x:c>
      <x:c r="O2843" s="30" t="str">
        <x:v>Ангидрид гидролизуется H₂O; карбоксилирование фенолята требует CO₂; первичный спирт окисляется KMnO₄; галоформная реакция кетона требует I₂.</x:v>
      </x:c>
      <x:c r="P2843" s="30" t="str">
        <x:v>Ангидрид гидролизуется H₂O; карбоксилирование фенолята требует CO₂; первичный спирт окисляется KMnO₄; галоформная реакция кетона требует I₂.</x:v>
      </x:c>
      <x:c r="Q2843" s="30"/>
      <x:c r="R2843" s="30" t="str">
        <x:v>Официальная таблица ответов в PDF критериев + независимое решение; содержание задания соответствует ХИ2510102</x:v>
      </x:c>
      <x:c r="S2843" s="30"/>
      <x:c r="T2843" s="30"/>
      <x:c r="U2843" s="30" t="str">
        <x:v>Расхождений не обнаружено.</x:v>
      </x:c>
      <x:c r="V2843" s="87" t="str">
        <x:v>VERIFIED</x:v>
      </x:c>
      <x:c r="W2843" s="87" t="str">
        <x:v>Zadanie_KhI11_10092025_.pdf, вариантная стр. 8</x:v>
      </x:c>
      <x:c r="X2843" s="87"/>
      <x:c r="Y2843" s="87"/>
      <x:c r="Z2843" s="87"/>
      <x:c r="AA2843" s="87"/>
      <x:c r="AB2843" s="87"/>
      <x:c r="AC2843" s="87"/>
      <x:c r="AD2843" s="87"/>
      <x:c r="AE2843" s="87"/>
      <x:c r="AF2843" s="87"/>
      <x:c r="AG2843" s="87"/>
      <x:c r="AH2843" s="87"/>
      <x:c r="AI2843" s="30"/>
      <x:c r="AJ2843" s="87" t="str">
        <x:v>master</x:v>
      </x:c>
      <x:c r="AK2843" s="87" t="str">
        <x:v>master-v0.81</x:v>
      </x:c>
      <x:c r="AL2843" s="87" t="str">
        <x:v>statgrad_master_base_v0_81_final(2).xlsx</x:v>
      </x:c>
      <x:c r="AM2843" s="87" t="str">
        <x:v>CHEM_Sep_V4</x:v>
      </x:c>
      <x:c r="AN2843" s="87" t="n">
        <x:v>16</x:v>
      </x:c>
    </x:row>
    <x:row r="2844">
      <x:c r="A2844" s="87" t="n">
        <x:v>2843</x:v>
      </x:c>
      <x:c r="B2844" s="87" t="str">
        <x:v>SEP-CHEM-V4-016</x:v>
      </x:c>
      <x:c r="C2844" s="87" t="str">
        <x:v>СтатГрад</x:v>
      </x:c>
      <x:c r="D2844" s="87" t="str">
        <x:v>Сентябрь 2025</x:v>
      </x:c>
      <x:c r="E2844" s="87"/>
      <x:c r="F2844" s="87"/>
      <x:c r="G2844" s="87" t="str">
        <x:v>Химия</x:v>
      </x:c>
      <x:c r="H2844" s="87" t="n">
        <x:v>11</x:v>
      </x:c>
      <x:c r="I2844" s="87" t="str">
        <x:v>ТР №1</x:v>
      </x:c>
      <x:c r="J2844" s="87" t="str">
        <x:v>ХИ2510104</x:v>
      </x:c>
      <x:c r="K2844" s="87" t="n">
        <x:v>16</x:v>
      </x:c>
      <x:c r="L2844" s="87" t="str">
        <x:v>Цепочка превращений: органика</x:v>
      </x:c>
      <x:c r="M2844" s="30" t="str">
        <x:v>Цепочка циклопропан → X → HO(CH₂)₃OH → Y: определить X и Y.</x:v>
      </x:c>
      <x:c r="N2844" s="30" t="str">
        <x:v>35</x:v>
      </x:c>
      <x:c r="O2844" s="30" t="str">
        <x:v>Циклопропан раскрывает цикл с Br₂ до 1,3-дибромпропана; гидролиз даёт диол, окисление — пропандиовую кислоту.</x:v>
      </x:c>
      <x:c r="P2844" s="30" t="str">
        <x:v>Циклопропан раскрывает цикл с Br₂ до 1,3-дибромпропана; гидролиз даёт диол, окисление — пропандиовую кислоту.</x:v>
      </x:c>
      <x:c r="Q2844" s="30"/>
      <x:c r="R2844" s="30" t="str">
        <x:v>Фото-сводка ответов + независимое решение; содержание задания соответствует ХИ2510101</x:v>
      </x:c>
      <x:c r="S2844" s="30"/>
      <x:c r="T2844" s="30"/>
      <x:c r="U2844" s="30" t="str">
        <x:v>Расхождений не обнаружено.</x:v>
      </x:c>
      <x:c r="V2844" s="87" t="str">
        <x:v>VERIFIED</x:v>
      </x:c>
      <x:c r="W2844" s="87" t="str">
        <x:v>Zadanie_KhI11_10092025_.pdf, вариантная стр. 8</x:v>
      </x:c>
      <x:c r="X2844" s="87"/>
      <x:c r="Y2844" s="87"/>
      <x:c r="Z2844" s="87"/>
      <x:c r="AA2844" s="87"/>
      <x:c r="AB2844" s="87"/>
      <x:c r="AC2844" s="87"/>
      <x:c r="AD2844" s="87"/>
      <x:c r="AE2844" s="87"/>
      <x:c r="AF2844" s="87"/>
      <x:c r="AG2844" s="87"/>
      <x:c r="AH2844" s="87"/>
      <x:c r="AI2844" s="30"/>
      <x:c r="AJ2844" s="87" t="str">
        <x:v>master</x:v>
      </x:c>
      <x:c r="AK2844" s="87" t="str">
        <x:v>master-v0.81</x:v>
      </x:c>
      <x:c r="AL2844" s="87" t="str">
        <x:v>statgrad_master_base_v0_81_final(2).xlsx</x:v>
      </x:c>
      <x:c r="AM2844" s="87" t="str">
        <x:v>CHEM_Sep_V4</x:v>
      </x:c>
      <x:c r="AN2844" s="87" t="n">
        <x:v>17</x:v>
      </x:c>
    </x:row>
    <x:row r="2845">
      <x:c r="A2845" s="87" t="n">
        <x:v>2844</x:v>
      </x:c>
      <x:c r="B2845" s="87" t="str">
        <x:v>SEP-CHEM-V4-017</x:v>
      </x:c>
      <x:c r="C2845" s="87" t="str">
        <x:v>СтатГрад</x:v>
      </x:c>
      <x:c r="D2845" s="87" t="str">
        <x:v>Сентябрь 2025</x:v>
      </x:c>
      <x:c r="E2845" s="87"/>
      <x:c r="F2845" s="87"/>
      <x:c r="G2845" s="87" t="str">
        <x:v>Химия</x:v>
      </x:c>
      <x:c r="H2845" s="87" t="n">
        <x:v>11</x:v>
      </x:c>
      <x:c r="I2845" s="87" t="str">
        <x:v>ТР №1</x:v>
      </x:c>
      <x:c r="J2845" s="87" t="str">
        <x:v>ХИ2510104</x:v>
      </x:c>
      <x:c r="K2845" s="87" t="n">
        <x:v>17</x:v>
      </x:c>
      <x:c r="L2845" s="87" t="str">
        <x:v>Классификация реакций</x:v>
      </x:c>
      <x:c r="M2845" s="30" t="str">
        <x:v>Сопоставить ржавление, FeS+HCl и нейтрализацию CH₃COOH+Ba(OH)₂ с типами реакций.</x:v>
      </x:c>
      <x:c r="N2845" s="30" t="str">
        <x:v>214</x:v>
      </x:c>
      <x:c r="O2845" s="30" t="str">
        <x:v>Ржавление — гетерогенная ОВР; FeS+HCl — гетерогенный обмен; нейтрализация растворов — гомогенный обмен.</x:v>
      </x:c>
      <x:c r="P2845" s="30" t="str">
        <x:v>Ржавление — гетерогенная ОВР; FeS+HCl — гетерогенный обмен; нейтрализация растворов — гомогенный обмен.</x:v>
      </x:c>
      <x:c r="Q2845" s="30"/>
      <x:c r="R2845" s="30" t="str">
        <x:v>Фото-сводка ответов + независимое решение; содержание задания соответствует ХИ2510102</x:v>
      </x:c>
      <x:c r="S2845" s="30"/>
      <x:c r="T2845" s="30"/>
      <x:c r="U2845" s="30" t="str">
        <x:v>Расхождений не обнаружено.</x:v>
      </x:c>
      <x:c r="V2845" s="87" t="str">
        <x:v>VERIFIED</x:v>
      </x:c>
      <x:c r="W2845" s="87" t="str">
        <x:v>Zadanie_KhI11_10092025_.pdf, вариантная стр. 9</x:v>
      </x:c>
      <x:c r="X2845" s="87"/>
      <x:c r="Y2845" s="87"/>
      <x:c r="Z2845" s="87"/>
      <x:c r="AA2845" s="87"/>
      <x:c r="AB2845" s="87"/>
      <x:c r="AC2845" s="87"/>
      <x:c r="AD2845" s="87"/>
      <x:c r="AE2845" s="87"/>
      <x:c r="AF2845" s="87"/>
      <x:c r="AG2845" s="87"/>
      <x:c r="AH2845" s="87"/>
      <x:c r="AI2845" s="30"/>
      <x:c r="AJ2845" s="87" t="str">
        <x:v>master</x:v>
      </x:c>
      <x:c r="AK2845" s="87" t="str">
        <x:v>master-v0.81</x:v>
      </x:c>
      <x:c r="AL2845" s="87" t="str">
        <x:v>statgrad_master_base_v0_81_final(2).xlsx</x:v>
      </x:c>
      <x:c r="AM2845" s="87" t="str">
        <x:v>CHEM_Sep_V4</x:v>
      </x:c>
      <x:c r="AN2845" s="87" t="n">
        <x:v>18</x:v>
      </x:c>
    </x:row>
    <x:row r="2846">
      <x:c r="A2846" s="87" t="n">
        <x:v>2845</x:v>
      </x:c>
      <x:c r="B2846" s="87" t="str">
        <x:v>SEP-CHEM-V4-018</x:v>
      </x:c>
      <x:c r="C2846" s="87" t="str">
        <x:v>СтатГрад</x:v>
      </x:c>
      <x:c r="D2846" s="87" t="str">
        <x:v>Сентябрь 2025</x:v>
      </x:c>
      <x:c r="E2846" s="87"/>
      <x:c r="F2846" s="87"/>
      <x:c r="G2846" s="87" t="str">
        <x:v>Химия</x:v>
      </x:c>
      <x:c r="H2846" s="87" t="n">
        <x:v>11</x:v>
      </x:c>
      <x:c r="I2846" s="87" t="str">
        <x:v>ТР №1</x:v>
      </x:c>
      <x:c r="J2846" s="87" t="str">
        <x:v>ХИ2510104</x:v>
      </x:c>
      <x:c r="K2846" s="87" t="n">
        <x:v>18</x:v>
      </x:c>
      <x:c r="L2846" s="87" t="str">
        <x:v>Скорость реакции и pH</x:v>
      </x:c>
      <x:c r="M2846" s="30" t="str">
        <x:v>Выбрать реакции, скорость которых уменьшается при увеличении pH.</x:v>
      </x:c>
      <x:c r="N2846" s="30" t="str">
        <x:v>235</x:v>
      </x:c>
      <x:c r="O2846" s="30" t="str">
        <x:v>Повышение pH уменьшает [H⁺], поэтому замедляются реакции Zn, NaH и CaCO₃ с кислотами.</x:v>
      </x:c>
      <x:c r="P2846" s="30" t="str">
        <x:v>Повышение pH уменьшает [H⁺], поэтому замедляются реакции Zn, NaH и CaCO₃ с кислотами.</x:v>
      </x:c>
      <x:c r="Q2846" s="30"/>
      <x:c r="R2846" s="30" t="str">
        <x:v>Фото-сводка ответов + независимое решение; содержание задания соответствует ХИ2510101</x:v>
      </x:c>
      <x:c r="S2846" s="30"/>
      <x:c r="T2846" s="30"/>
      <x:c r="U2846" s="30" t="str">
        <x:v>Расхождений не обнаружено.</x:v>
      </x:c>
      <x:c r="V2846" s="87" t="str">
        <x:v>VERIFIED</x:v>
      </x:c>
      <x:c r="W2846" s="87" t="str">
        <x:v>Zadanie_KhI11_10092025_.pdf, вариантная стр. 9</x:v>
      </x:c>
      <x:c r="X2846" s="87"/>
      <x:c r="Y2846" s="87"/>
      <x:c r="Z2846" s="87"/>
      <x:c r="AA2846" s="87"/>
      <x:c r="AB2846" s="87"/>
      <x:c r="AC2846" s="87"/>
      <x:c r="AD2846" s="87"/>
      <x:c r="AE2846" s="87"/>
      <x:c r="AF2846" s="87"/>
      <x:c r="AG2846" s="87"/>
      <x:c r="AH2846" s="87"/>
      <x:c r="AI2846" s="30"/>
      <x:c r="AJ2846" s="87" t="str">
        <x:v>master</x:v>
      </x:c>
      <x:c r="AK2846" s="87" t="str">
        <x:v>master-v0.81</x:v>
      </x:c>
      <x:c r="AL2846" s="87" t="str">
        <x:v>statgrad_master_base_v0_81_final(2).xlsx</x:v>
      </x:c>
      <x:c r="AM2846" s="87" t="str">
        <x:v>CHEM_Sep_V4</x:v>
      </x:c>
      <x:c r="AN2846" s="87" t="n">
        <x:v>19</x:v>
      </x:c>
    </x:row>
    <x:row r="2847">
      <x:c r="A2847" s="87" t="n">
        <x:v>2846</x:v>
      </x:c>
      <x:c r="B2847" s="87" t="str">
        <x:v>SEP-CHEM-V4-019</x:v>
      </x:c>
      <x:c r="C2847" s="87" t="str">
        <x:v>СтатГрад</x:v>
      </x:c>
      <x:c r="D2847" s="87" t="str">
        <x:v>Сентябрь 2025</x:v>
      </x:c>
      <x:c r="E2847" s="87"/>
      <x:c r="F2847" s="87"/>
      <x:c r="G2847" s="87" t="str">
        <x:v>Химия</x:v>
      </x:c>
      <x:c r="H2847" s="87" t="n">
        <x:v>11</x:v>
      </x:c>
      <x:c r="I2847" s="87" t="str">
        <x:v>ТР №1</x:v>
      </x:c>
      <x:c r="J2847" s="87" t="str">
        <x:v>ХИ2510104</x:v>
      </x:c>
      <x:c r="K2847" s="87" t="n">
        <x:v>19</x:v>
      </x:c>
      <x:c r="L2847" s="87" t="str">
        <x:v>Электронный баланс</x:v>
      </x:c>
      <x:c r="M2847" s="30" t="str">
        <x:v>Для трёх ОВР определить число электронов, принятых атомом окислителя.</x:v>
      </x:c>
      <x:c r="N2847" s="30" t="str">
        <x:v>312</x:v>
      </x:c>
      <x:c r="O2847" s="30" t="str">
        <x:v>Si(+4)→Si(0): 4e; N(+3)→N(+2): 1e; N(+5)→N(+2): 3e.</x:v>
      </x:c>
      <x:c r="P2847" s="30" t="str">
        <x:v>Si(+4)→Si(0): 4e; N(+3)→N(+2): 1e; N(+5)→N(+2): 3e.</x:v>
      </x:c>
      <x:c r="Q2847" s="30"/>
      <x:c r="R2847" s="30" t="str">
        <x:v>Фото-сводка ответов + независимое решение; содержание задания соответствует ХИ2510102</x:v>
      </x:c>
      <x:c r="S2847" s="30"/>
      <x:c r="T2847" s="30"/>
      <x:c r="U2847" s="30" t="str">
        <x:v>Расхождений не обнаружено.</x:v>
      </x:c>
      <x:c r="V2847" s="87" t="str">
        <x:v>VERIFIED</x:v>
      </x:c>
      <x:c r="W2847" s="87" t="str">
        <x:v>Zadanie_KhI11_10092025_.pdf, вариантная стр. 10</x:v>
      </x:c>
      <x:c r="X2847" s="87"/>
      <x:c r="Y2847" s="87"/>
      <x:c r="Z2847" s="87"/>
      <x:c r="AA2847" s="87"/>
      <x:c r="AB2847" s="87"/>
      <x:c r="AC2847" s="87"/>
      <x:c r="AD2847" s="87"/>
      <x:c r="AE2847" s="87"/>
      <x:c r="AF2847" s="87"/>
      <x:c r="AG2847" s="87"/>
      <x:c r="AH2847" s="87"/>
      <x:c r="AI2847" s="30"/>
      <x:c r="AJ2847" s="87" t="str">
        <x:v>master</x:v>
      </x:c>
      <x:c r="AK2847" s="87" t="str">
        <x:v>master-v0.81</x:v>
      </x:c>
      <x:c r="AL2847" s="87" t="str">
        <x:v>statgrad_master_base_v0_81_final(2).xlsx</x:v>
      </x:c>
      <x:c r="AM2847" s="87" t="str">
        <x:v>CHEM_Sep_V4</x:v>
      </x:c>
      <x:c r="AN2847" s="87" t="n">
        <x:v>20</x:v>
      </x:c>
    </x:row>
    <x:row r="2848">
      <x:c r="A2848" s="87" t="n">
        <x:v>2847</x:v>
      </x:c>
      <x:c r="B2848" s="87" t="str">
        <x:v>SEP-CHEM-V4-020</x:v>
      </x:c>
      <x:c r="C2848" s="87" t="str">
        <x:v>СтатГрад</x:v>
      </x:c>
      <x:c r="D2848" s="87" t="str">
        <x:v>Сентябрь 2025</x:v>
      </x:c>
      <x:c r="E2848" s="87"/>
      <x:c r="F2848" s="87"/>
      <x:c r="G2848" s="87" t="str">
        <x:v>Химия</x:v>
      </x:c>
      <x:c r="H2848" s="87" t="n">
        <x:v>11</x:v>
      </x:c>
      <x:c r="I2848" s="87" t="str">
        <x:v>ТР №1</x:v>
      </x:c>
      <x:c r="J2848" s="87" t="str">
        <x:v>ХИ2510104</x:v>
      </x:c>
      <x:c r="K2848" s="87" t="n">
        <x:v>20</x:v>
      </x:c>
      <x:c r="L2848" s="87" t="str">
        <x:v>Электролиз</x:v>
      </x:c>
      <x:c r="M2848" s="30" t="str">
        <x:v>Сопоставить AgNO₃, CaCl₂ и CH₃COONa с продуктами на инертном аноде.</x:v>
      </x:c>
      <x:c r="N2848" s="30" t="str">
        <x:v>124</x:v>
      </x:c>
      <x:c r="O2848" s="30" t="str">
        <x:v>NO₃⁻ даёт O₂ из воды; Cl⁻ окисляется до Cl₂; ацетат подвергается электролизу Кольбе с CO₂ и углеводородом.</x:v>
      </x:c>
      <x:c r="P2848" s="30" t="str">
        <x:v>NO₃⁻ даёт O₂ из воды; Cl⁻ окисляется до Cl₂; ацетат подвергается электролизу Кольбе с CO₂ и углеводородом.</x:v>
      </x:c>
      <x:c r="Q2848" s="30"/>
      <x:c r="R2848" s="30" t="str">
        <x:v>Фото-сводка ответов + независимое решение; содержание задания соответствует ХИ2510101</x:v>
      </x:c>
      <x:c r="S2848" s="30"/>
      <x:c r="T2848" s="30"/>
      <x:c r="U2848" s="30" t="str">
        <x:v>Расхождений не обнаружено.</x:v>
      </x:c>
      <x:c r="V2848" s="87" t="str">
        <x:v>VERIFIED</x:v>
      </x:c>
      <x:c r="W2848" s="87" t="str">
        <x:v>Zadanie_KhI11_10092025_.pdf, вариантная стр. 10</x:v>
      </x:c>
      <x:c r="X2848" s="87"/>
      <x:c r="Y2848" s="87"/>
      <x:c r="Z2848" s="87"/>
      <x:c r="AA2848" s="87"/>
      <x:c r="AB2848" s="87"/>
      <x:c r="AC2848" s="87"/>
      <x:c r="AD2848" s="87"/>
      <x:c r="AE2848" s="87"/>
      <x:c r="AF2848" s="87"/>
      <x:c r="AG2848" s="87"/>
      <x:c r="AH2848" s="87"/>
      <x:c r="AI2848" s="30"/>
      <x:c r="AJ2848" s="87" t="str">
        <x:v>master</x:v>
      </x:c>
      <x:c r="AK2848" s="87" t="str">
        <x:v>master-v0.81</x:v>
      </x:c>
      <x:c r="AL2848" s="87" t="str">
        <x:v>statgrad_master_base_v0_81_final(2).xlsx</x:v>
      </x:c>
      <x:c r="AM2848" s="87" t="str">
        <x:v>CHEM_Sep_V4</x:v>
      </x:c>
      <x:c r="AN2848" s="87" t="n">
        <x:v>21</x:v>
      </x:c>
    </x:row>
    <x:row r="2849">
      <x:c r="A2849" s="87" t="n">
        <x:v>2848</x:v>
      </x:c>
      <x:c r="B2849" s="87" t="str">
        <x:v>SEP-CHEM-V4-021</x:v>
      </x:c>
      <x:c r="C2849" s="87" t="str">
        <x:v>СтатГрад</x:v>
      </x:c>
      <x:c r="D2849" s="87" t="str">
        <x:v>Сентябрь 2025</x:v>
      </x:c>
      <x:c r="E2849" s="87"/>
      <x:c r="F2849" s="87"/>
      <x:c r="G2849" s="87" t="str">
        <x:v>Химия</x:v>
      </x:c>
      <x:c r="H2849" s="87" t="n">
        <x:v>11</x:v>
      </x:c>
      <x:c r="I2849" s="87" t="str">
        <x:v>ТР №1</x:v>
      </x:c>
      <x:c r="J2849" s="87" t="str">
        <x:v>ХИ2510104</x:v>
      </x:c>
      <x:c r="K2849" s="87" t="n">
        <x:v>21</x:v>
      </x:c>
      <x:c r="L2849" s="87" t="str">
        <x:v>pH растворов</x:v>
      </x:c>
      <x:c r="M2849" s="30" t="str">
        <x:v>Расположить растворы Ba(NO₂)₂, Ba(OH)₂, BaCl₂ и HNO₂ по убыванию pH.</x:v>
      </x:c>
      <x:c r="N2849" s="30" t="str">
        <x:v>2134</x:v>
      </x:c>
      <x:c r="O2849" s="30" t="str">
        <x:v>Ba(OH)₂ — сильное основание; Ba(NO₂)₂ гидролизуется по аниону; BaCl₂ нейтрален; HNO₂ — кислота.</x:v>
      </x:c>
      <x:c r="P2849" s="30" t="str">
        <x:v>Ba(OH)₂ — сильное основание; Ba(NO₂)₂ гидролизуется по аниону; BaCl₂ нейтрален; HNO₂ — кислота.</x:v>
      </x:c>
      <x:c r="Q2849" s="30"/>
      <x:c r="R2849" s="30" t="str">
        <x:v>Фото-сводка ответов + независимое решение; содержание задания соответствует ХИ2510102</x:v>
      </x:c>
      <x:c r="S2849" s="30"/>
      <x:c r="T2849" s="30"/>
      <x:c r="U2849" s="30" t="str">
        <x:v>Расхождений не обнаружено.</x:v>
      </x:c>
      <x:c r="V2849" s="87" t="str">
        <x:v>VERIFIED</x:v>
      </x:c>
      <x:c r="W2849" s="87" t="str">
        <x:v>Zadanie_KhI11_10092025_.pdf, вариантная стр. 11</x:v>
      </x:c>
      <x:c r="X2849" s="87"/>
      <x:c r="Y2849" s="87"/>
      <x:c r="Z2849" s="87"/>
      <x:c r="AA2849" s="87"/>
      <x:c r="AB2849" s="87"/>
      <x:c r="AC2849" s="87"/>
      <x:c r="AD2849" s="87"/>
      <x:c r="AE2849" s="87"/>
      <x:c r="AF2849" s="87"/>
      <x:c r="AG2849" s="87"/>
      <x:c r="AH2849" s="87"/>
      <x:c r="AI2849" s="30"/>
      <x:c r="AJ2849" s="87" t="str">
        <x:v>master</x:v>
      </x:c>
      <x:c r="AK2849" s="87" t="str">
        <x:v>master-v0.81</x:v>
      </x:c>
      <x:c r="AL2849" s="87" t="str">
        <x:v>statgrad_master_base_v0_81_final(2).xlsx</x:v>
      </x:c>
      <x:c r="AM2849" s="87" t="str">
        <x:v>CHEM_Sep_V4</x:v>
      </x:c>
      <x:c r="AN2849" s="87" t="n">
        <x:v>22</x:v>
      </x:c>
    </x:row>
    <x:row r="2850">
      <x:c r="A2850" s="87" t="n">
        <x:v>2849</x:v>
      </x:c>
      <x:c r="B2850" s="87" t="str">
        <x:v>SEP-CHEM-V4-022</x:v>
      </x:c>
      <x:c r="C2850" s="87" t="str">
        <x:v>СтатГрад</x:v>
      </x:c>
      <x:c r="D2850" s="87" t="str">
        <x:v>Сентябрь 2025</x:v>
      </x:c>
      <x:c r="E2850" s="87"/>
      <x:c r="F2850" s="87"/>
      <x:c r="G2850" s="87" t="str">
        <x:v>Химия</x:v>
      </x:c>
      <x:c r="H2850" s="87" t="n">
        <x:v>11</x:v>
      </x:c>
      <x:c r="I2850" s="87" t="str">
        <x:v>ТР №1</x:v>
      </x:c>
      <x:c r="J2850" s="87" t="str">
        <x:v>ХИ2510104</x:v>
      </x:c>
      <x:c r="K2850" s="87" t="n">
        <x:v>22</x:v>
      </x:c>
      <x:c r="L2850" s="87" t="str">
        <x:v>Химическое равновесие</x:v>
      </x:c>
      <x:c r="M2850" s="30" t="str">
        <x:v>Для равновесия растворения AgCl сопоставить нагревание, давление, добавление AgCl и AgNO₃ с направлением смещения.</x:v>
      </x:c>
      <x:c r="N2850" s="30" t="str">
        <x:v>1332</x:v>
      </x:c>
      <x:c r="O2850" s="30" t="str">
        <x:v>Растворение AgCl эндотермично: нагревание сдвигает вправо; давление и количество твёрдой фазы не влияют; Ag⁺ вызывает общий ион и сдвиг влево.</x:v>
      </x:c>
      <x:c r="P2850" s="30" t="str">
        <x:v>Растворение AgCl эндотермично: нагревание сдвигает вправо; давление и количество твёрдой фазы не влияют; Ag⁺ вызывает общий ион и сдвиг влево.</x:v>
      </x:c>
      <x:c r="Q2850" s="30"/>
      <x:c r="R2850" s="30" t="str">
        <x:v>Официальная таблица ответов в PDF критериев + независимое решение; содержание задания соответствует ХИ2510101</x:v>
      </x:c>
      <x:c r="S2850" s="30"/>
      <x:c r="T2850" s="30"/>
      <x:c r="U2850" s="30" t="str">
        <x:v>Расхождений не обнаружено.</x:v>
      </x:c>
      <x:c r="V2850" s="87" t="str">
        <x:v>VERIFIED</x:v>
      </x:c>
      <x:c r="W2850" s="87" t="str">
        <x:v>Zadanie_KhI11_10092025_.pdf, вариантная стр. 12</x:v>
      </x:c>
      <x:c r="X2850" s="87"/>
      <x:c r="Y2850" s="87"/>
      <x:c r="Z2850" s="87"/>
      <x:c r="AA2850" s="87"/>
      <x:c r="AB2850" s="87"/>
      <x:c r="AC2850" s="87"/>
      <x:c r="AD2850" s="87"/>
      <x:c r="AE2850" s="87"/>
      <x:c r="AF2850" s="87"/>
      <x:c r="AG2850" s="87"/>
      <x:c r="AH2850" s="87"/>
      <x:c r="AI2850" s="30"/>
      <x:c r="AJ2850" s="87" t="str">
        <x:v>master</x:v>
      </x:c>
      <x:c r="AK2850" s="87" t="str">
        <x:v>master-v0.81</x:v>
      </x:c>
      <x:c r="AL2850" s="87" t="str">
        <x:v>statgrad_master_base_v0_81_final(2).xlsx</x:v>
      </x:c>
      <x:c r="AM2850" s="87" t="str">
        <x:v>CHEM_Sep_V4</x:v>
      </x:c>
      <x:c r="AN2850" s="87" t="n">
        <x:v>23</x:v>
      </x:c>
    </x:row>
    <x:row r="2851">
      <x:c r="A2851" s="87" t="n">
        <x:v>2850</x:v>
      </x:c>
      <x:c r="B2851" s="87" t="str">
        <x:v>SEP-CHEM-V4-023</x:v>
      </x:c>
      <x:c r="C2851" s="87" t="str">
        <x:v>СтатГрад</x:v>
      </x:c>
      <x:c r="D2851" s="87" t="str">
        <x:v>Сентябрь 2025</x:v>
      </x:c>
      <x:c r="E2851" s="87"/>
      <x:c r="F2851" s="87"/>
      <x:c r="G2851" s="87" t="str">
        <x:v>Химия</x:v>
      </x:c>
      <x:c r="H2851" s="87" t="n">
        <x:v>11</x:v>
      </x:c>
      <x:c r="I2851" s="87" t="str">
        <x:v>ТР №1</x:v>
      </x:c>
      <x:c r="J2851" s="87" t="str">
        <x:v>ХИ2510104</x:v>
      </x:c>
      <x:c r="K2851" s="87" t="n">
        <x:v>23</x:v>
      </x:c>
      <x:c r="L2851" s="87" t="str">
        <x:v>Равновесные концентрации</x:v>
      </x:c>
      <x:c r="M2851" s="30" t="str">
        <x:v>Бензол и H₂ заданы в отношении 1:4; исходный H₂ 100 ммоль/л, равновесный циклогексан 20 ммоль/л. Найти X(C₆H₆) и Y(H₂).</x:v>
      </x:c>
      <x:c r="N2851" s="30" t="str">
        <x:v>X=1; Y=5</x:v>
      </x:c>
      <x:c r="O2851" s="30" t="str">
        <x:v>Исходно C₆H₆=25 ммоль/л. Образование 20 циклогексана расходует 20 бензола и 60 H₂: X=5, Y=40 ммоль/л.</x:v>
      </x:c>
      <x:c r="P2851" s="30" t="str">
        <x:v>Исходно C₆H₆=25 ммоль/л. Образование 20 циклогексана расходует 20 бензола и 60 H₂: X=5, Y=40 ммоль/л.</x:v>
      </x:c>
      <x:c r="Q2851" s="30"/>
      <x:c r="R2851" s="30" t="str">
        <x:v>Фото-сводка ответов + независимое решение; содержание задания соответствует ХИ2510102</x:v>
      </x:c>
      <x:c r="S2851" s="30"/>
      <x:c r="T2851" s="30"/>
      <x:c r="U2851" s="30" t="str">
        <x:v>Расхождений не обнаружено.</x:v>
      </x:c>
      <x:c r="V2851" s="87" t="str">
        <x:v>VERIFIED</x:v>
      </x:c>
      <x:c r="W2851" s="87" t="str">
        <x:v>Zadanie_KhI11_10092025_.pdf, вариантная стр. 13</x:v>
      </x:c>
      <x:c r="X2851" s="87"/>
      <x:c r="Y2851" s="87"/>
      <x:c r="Z2851" s="87"/>
      <x:c r="AA2851" s="87"/>
      <x:c r="AB2851" s="87"/>
      <x:c r="AC2851" s="87"/>
      <x:c r="AD2851" s="87"/>
      <x:c r="AE2851" s="87"/>
      <x:c r="AF2851" s="87"/>
      <x:c r="AG2851" s="87"/>
      <x:c r="AH2851" s="87"/>
      <x:c r="AI2851" s="30"/>
      <x:c r="AJ2851" s="87" t="str">
        <x:v>master</x:v>
      </x:c>
      <x:c r="AK2851" s="87" t="str">
        <x:v>master-v0.81</x:v>
      </x:c>
      <x:c r="AL2851" s="87" t="str">
        <x:v>statgrad_master_base_v0_81_final(2).xlsx</x:v>
      </x:c>
      <x:c r="AM2851" s="87" t="str">
        <x:v>CHEM_Sep_V4</x:v>
      </x:c>
      <x:c r="AN2851" s="87" t="n">
        <x:v>24</x:v>
      </x:c>
    </x:row>
    <x:row r="2852">
      <x:c r="A2852" s="87" t="n">
        <x:v>2851</x:v>
      </x:c>
      <x:c r="B2852" s="87" t="str">
        <x:v>SEP-CHEM-V4-024</x:v>
      </x:c>
      <x:c r="C2852" s="87" t="str">
        <x:v>СтатГрад</x:v>
      </x:c>
      <x:c r="D2852" s="87" t="str">
        <x:v>Сентябрь 2025</x:v>
      </x:c>
      <x:c r="E2852" s="87"/>
      <x:c r="F2852" s="87"/>
      <x:c r="G2852" s="87" t="str">
        <x:v>Химия</x:v>
      </x:c>
      <x:c r="H2852" s="87" t="n">
        <x:v>11</x:v>
      </x:c>
      <x:c r="I2852" s="87" t="str">
        <x:v>ТР №1</x:v>
      </x:c>
      <x:c r="J2852" s="87" t="str">
        <x:v>ХИ2510104</x:v>
      </x:c>
      <x:c r="K2852" s="87" t="n">
        <x:v>24</x:v>
      </x:c>
      <x:c r="L2852" s="87" t="str">
        <x:v>Качественный анализ</x:v>
      </x:c>
      <x:c r="M2852" s="30" t="str">
        <x:v>Сопоставить четыре пары растворов с реактивами, позволяющими их различить.</x:v>
      </x:c>
      <x:c r="N2852" s="30" t="str">
        <x:v>5231</x:v>
      </x:c>
      <x:c r="O2852" s="30" t="str">
        <x:v>HNO₃ выделяет CO₂ с NaHCO₃; Al(OH)₃ растворяется в избытке NaOH, но не NH₃; BaCl₂ выявляет SO₄²⁻; хлорная вода окисляет Br⁻.</x:v>
      </x:c>
      <x:c r="P2852" s="30" t="str">
        <x:v>HNO₃ выделяет CO₂ с NaHCO₃; Al(OH)₃ растворяется в избытке NaOH, но не NH₃; BaCl₂ выявляет SO₄²⁻; хлорная вода окисляет Br⁻.</x:v>
      </x:c>
      <x:c r="Q2852" s="30"/>
      <x:c r="R2852" s="30" t="str">
        <x:v>Официальная таблица ответов в PDF критериев + независимое решение; содержание задания соответствует ХИ2510101</x:v>
      </x:c>
      <x:c r="S2852" s="30"/>
      <x:c r="T2852" s="30"/>
      <x:c r="U2852" s="30" t="str">
        <x:v>Расхождений не обнаружено.</x:v>
      </x:c>
      <x:c r="V2852" s="87" t="str">
        <x:v>VERIFIED</x:v>
      </x:c>
      <x:c r="W2852" s="87" t="str">
        <x:v>Zadanie_KhI11_10092025_.pdf, вариантная стр. 13</x:v>
      </x:c>
      <x:c r="X2852" s="87"/>
      <x:c r="Y2852" s="87"/>
      <x:c r="Z2852" s="87"/>
      <x:c r="AA2852" s="87"/>
      <x:c r="AB2852" s="87"/>
      <x:c r="AC2852" s="87"/>
      <x:c r="AD2852" s="87"/>
      <x:c r="AE2852" s="87"/>
      <x:c r="AF2852" s="87"/>
      <x:c r="AG2852" s="87"/>
      <x:c r="AH2852" s="87"/>
      <x:c r="AI2852" s="30"/>
      <x:c r="AJ2852" s="87" t="str">
        <x:v>master</x:v>
      </x:c>
      <x:c r="AK2852" s="87" t="str">
        <x:v>master-v0.81</x:v>
      </x:c>
      <x:c r="AL2852" s="87" t="str">
        <x:v>statgrad_master_base_v0_81_final(2).xlsx</x:v>
      </x:c>
      <x:c r="AM2852" s="87" t="str">
        <x:v>CHEM_Sep_V4</x:v>
      </x:c>
      <x:c r="AN2852" s="87" t="n">
        <x:v>25</x:v>
      </x:c>
    </x:row>
    <x:row r="2853">
      <x:c r="A2853" s="87" t="n">
        <x:v>2852</x:v>
      </x:c>
      <x:c r="B2853" s="87" t="str">
        <x:v>SEP-CHEM-V4-025</x:v>
      </x:c>
      <x:c r="C2853" s="87" t="str">
        <x:v>СтатГрад</x:v>
      </x:c>
      <x:c r="D2853" s="87" t="str">
        <x:v>Сентябрь 2025</x:v>
      </x:c>
      <x:c r="E2853" s="87"/>
      <x:c r="F2853" s="87"/>
      <x:c r="G2853" s="87" t="str">
        <x:v>Химия</x:v>
      </x:c>
      <x:c r="H2853" s="87" t="n">
        <x:v>11</x:v>
      </x:c>
      <x:c r="I2853" s="87" t="str">
        <x:v>ТР №1</x:v>
      </x:c>
      <x:c r="J2853" s="87" t="str">
        <x:v>ХИ2510104</x:v>
      </x:c>
      <x:c r="K2853" s="87" t="n">
        <x:v>25</x:v>
      </x:c>
      <x:c r="L2853" s="87" t="str">
        <x:v>Промышленная химия</x:v>
      </x:c>
      <x:c r="M2853" s="30" t="str">
        <x:v>Сопоставить аммиак, метанол и кислород с промышленными способами получения.</x:v>
      </x:c>
      <x:c r="N2853" s="30" t="str">
        <x:v>231</x:v>
      </x:c>
      <x:c r="O2853" s="30" t="str">
        <x:v>NH₃ получают каталитическим синтезом N₂+H₂; CH₃OH — из синтез-газа; O₂ — перегонкой жидкого воздуха.</x:v>
      </x:c>
      <x:c r="P2853" s="30" t="str">
        <x:v>NH₃ получают каталитическим синтезом N₂+H₂; CH₃OH — из синтез-газа; O₂ — перегонкой жидкого воздуха.</x:v>
      </x:c>
      <x:c r="Q2853" s="30"/>
      <x:c r="R2853" s="30" t="str">
        <x:v>Фото-сводка ответов + независимое решение; содержание задания соответствует ХИ2510102</x:v>
      </x:c>
      <x:c r="S2853" s="30"/>
      <x:c r="T2853" s="30"/>
      <x:c r="U2853" s="30" t="str">
        <x:v>Расхождений не обнаружено.</x:v>
      </x:c>
      <x:c r="V2853" s="87" t="str">
        <x:v>VERIFIED</x:v>
      </x:c>
      <x:c r="W2853" s="87" t="str">
        <x:v>Zadanie_KhI11_10092025_.pdf, вариантная стр. 13</x:v>
      </x:c>
      <x:c r="X2853" s="87"/>
      <x:c r="Y2853" s="87"/>
      <x:c r="Z2853" s="87"/>
      <x:c r="AA2853" s="87"/>
      <x:c r="AB2853" s="87"/>
      <x:c r="AC2853" s="87"/>
      <x:c r="AD2853" s="87"/>
      <x:c r="AE2853" s="87"/>
      <x:c r="AF2853" s="87"/>
      <x:c r="AG2853" s="87"/>
      <x:c r="AH2853" s="87"/>
      <x:c r="AI2853" s="30"/>
      <x:c r="AJ2853" s="87" t="str">
        <x:v>master</x:v>
      </x:c>
      <x:c r="AK2853" s="87" t="str">
        <x:v>master-v0.81</x:v>
      </x:c>
      <x:c r="AL2853" s="87" t="str">
        <x:v>statgrad_master_base_v0_81_final(2).xlsx</x:v>
      </x:c>
      <x:c r="AM2853" s="87" t="str">
        <x:v>CHEM_Sep_V4</x:v>
      </x:c>
      <x:c r="AN2853" s="87" t="n">
        <x:v>26</x:v>
      </x:c>
    </x:row>
    <x:row r="2854">
      <x:c r="A2854" s="87" t="n">
        <x:v>2853</x:v>
      </x:c>
      <x:c r="B2854" s="87" t="str">
        <x:v>SEP-CHEM-V4-026</x:v>
      </x:c>
      <x:c r="C2854" s="87" t="str">
        <x:v>СтатГрад</x:v>
      </x:c>
      <x:c r="D2854" s="87" t="str">
        <x:v>Сентябрь 2025</x:v>
      </x:c>
      <x:c r="E2854" s="87"/>
      <x:c r="F2854" s="87"/>
      <x:c r="G2854" s="87" t="str">
        <x:v>Химия</x:v>
      </x:c>
      <x:c r="H2854" s="87" t="n">
        <x:v>11</x:v>
      </x:c>
      <x:c r="I2854" s="87" t="str">
        <x:v>ТР №1</x:v>
      </x:c>
      <x:c r="J2854" s="87" t="str">
        <x:v>ХИ2510104</x:v>
      </x:c>
      <x:c r="K2854" s="87" t="n">
        <x:v>26</x:v>
      </x:c>
      <x:c r="L2854" s="87" t="str">
        <x:v>Растворы и концентрации</x:v>
      </x:c>
      <x:c r="M2854" s="30" t="str">
        <x:v>Рассчитать объём 98%-й H₂SO₄ (ρ=1,84 г/мл) для приготовления 450 мл раствора 2 моль/л.</x:v>
      </x:c>
      <x:c r="N2854" s="30" t="str">
        <x:v>49</x:v>
      </x:c>
      <x:c r="O2854" s="30" t="str">
        <x:v>n=0,45·2=0,90 моль; m(H₂SO₄)=88,2 г; m раствора=90,0 г; V=90/1,84≈48,9 мл.</x:v>
      </x:c>
      <x:c r="P2854" s="30" t="str">
        <x:v>n=0,45·2=0,90 моль; m(H₂SO₄)=88,2 г; m раствора=90,0 г; V=90/1,84≈48,9 мл.</x:v>
      </x:c>
      <x:c r="Q2854" s="30"/>
      <x:c r="R2854" s="30" t="str">
        <x:v>Фото-сводка ответов + независимое решение; содержание задания соответствует ХИ2510101</x:v>
      </x:c>
      <x:c r="S2854" s="30"/>
      <x:c r="T2854" s="30"/>
      <x:c r="U2854" s="30" t="str">
        <x:v>Расхождений не обнаружено.</x:v>
      </x:c>
      <x:c r="V2854" s="87" t="str">
        <x:v>VERIFIED</x:v>
      </x:c>
      <x:c r="W2854" s="87" t="str">
        <x:v>Zadanie_KhI11_10092025_.pdf, вариантная стр. 14</x:v>
      </x:c>
      <x:c r="X2854" s="87"/>
      <x:c r="Y2854" s="87"/>
      <x:c r="Z2854" s="87"/>
      <x:c r="AA2854" s="87"/>
      <x:c r="AB2854" s="87"/>
      <x:c r="AC2854" s="87"/>
      <x:c r="AD2854" s="87"/>
      <x:c r="AE2854" s="87"/>
      <x:c r="AF2854" s="87"/>
      <x:c r="AG2854" s="87"/>
      <x:c r="AH2854" s="87"/>
      <x:c r="AI2854" s="30"/>
      <x:c r="AJ2854" s="87" t="str">
        <x:v>master</x:v>
      </x:c>
      <x:c r="AK2854" s="87" t="str">
        <x:v>master-v0.81</x:v>
      </x:c>
      <x:c r="AL2854" s="87" t="str">
        <x:v>statgrad_master_base_v0_81_final(2).xlsx</x:v>
      </x:c>
      <x:c r="AM2854" s="87" t="str">
        <x:v>CHEM_Sep_V4</x:v>
      </x:c>
      <x:c r="AN2854" s="87" t="n">
        <x:v>27</x:v>
      </x:c>
    </x:row>
    <x:row r="2855">
      <x:c r="A2855" s="87" t="n">
        <x:v>2854</x:v>
      </x:c>
      <x:c r="B2855" s="87" t="str">
        <x:v>SEP-CHEM-V4-027</x:v>
      </x:c>
      <x:c r="C2855" s="87" t="str">
        <x:v>СтатГрад</x:v>
      </x:c>
      <x:c r="D2855" s="87" t="str">
        <x:v>Сентябрь 2025</x:v>
      </x:c>
      <x:c r="E2855" s="87"/>
      <x:c r="F2855" s="87"/>
      <x:c r="G2855" s="87" t="str">
        <x:v>Химия</x:v>
      </x:c>
      <x:c r="H2855" s="87" t="n">
        <x:v>11</x:v>
      </x:c>
      <x:c r="I2855" s="87" t="str">
        <x:v>ТР №1</x:v>
      </x:c>
      <x:c r="J2855" s="87" t="str">
        <x:v>ХИ2510104</x:v>
      </x:c>
      <x:c r="K2855" s="87" t="n">
        <x:v>27</x:v>
      </x:c>
      <x:c r="L2855" s="87" t="str">
        <x:v>Термохимия</x:v>
      </x:c>
      <x:c r="M2855" s="30" t="str">
        <x:v>По теплоте сгорания 0,5 моль бутана определить Q в уравнении для 2 моль бутана.</x:v>
      </x:c>
      <x:c r="N2855" s="30" t="str">
        <x:v>5300</x:v>
      </x:c>
      <x:c r="O2855" s="30" t="str">
        <x:v>11,2 л =0,5 моль C₄H₁₀. Для 2 моль Q=1325·2/0,5=5300 кДж.</x:v>
      </x:c>
      <x:c r="P2855" s="30" t="str">
        <x:v>11,2 л =0,5 моль C₄H₁₀. Для 2 моль Q=1325·2/0,5=5300 кДж.</x:v>
      </x:c>
      <x:c r="Q2855" s="30"/>
      <x:c r="R2855" s="30" t="str">
        <x:v>Фото-сводка ответов + независимое решение; содержание задания соответствует ХИ2510102</x:v>
      </x:c>
      <x:c r="S2855" s="30"/>
      <x:c r="T2855" s="30"/>
      <x:c r="U2855" s="30" t="str">
        <x:v>Расхождений не обнаружено.</x:v>
      </x:c>
      <x:c r="V2855" s="87" t="str">
        <x:v>VERIFIED</x:v>
      </x:c>
      <x:c r="W2855" s="87" t="str">
        <x:v>Zadanie_KhI11_10092025_.pdf, вариантная стр. 14</x:v>
      </x:c>
      <x:c r="X2855" s="87"/>
      <x:c r="Y2855" s="87"/>
      <x:c r="Z2855" s="87"/>
      <x:c r="AA2855" s="87"/>
      <x:c r="AB2855" s="87"/>
      <x:c r="AC2855" s="87"/>
      <x:c r="AD2855" s="87"/>
      <x:c r="AE2855" s="87"/>
      <x:c r="AF2855" s="87"/>
      <x:c r="AG2855" s="87"/>
      <x:c r="AH2855" s="87"/>
      <x:c r="AI2855" s="30"/>
      <x:c r="AJ2855" s="87" t="str">
        <x:v>master</x:v>
      </x:c>
      <x:c r="AK2855" s="87" t="str">
        <x:v>master-v0.81</x:v>
      </x:c>
      <x:c r="AL2855" s="87" t="str">
        <x:v>statgrad_master_base_v0_81_final(2).xlsx</x:v>
      </x:c>
      <x:c r="AM2855" s="87" t="str">
        <x:v>CHEM_Sep_V4</x:v>
      </x:c>
      <x:c r="AN2855" s="87" t="n">
        <x:v>28</x:v>
      </x:c>
    </x:row>
    <x:row r="2856">
      <x:c r="A2856" s="87" t="n">
        <x:v>2855</x:v>
      </x:c>
      <x:c r="B2856" s="87" t="str">
        <x:v>SEP-CHEM-V4-028</x:v>
      </x:c>
      <x:c r="C2856" s="87" t="str">
        <x:v>СтатГрад</x:v>
      </x:c>
      <x:c r="D2856" s="87" t="str">
        <x:v>Сентябрь 2025</x:v>
      </x:c>
      <x:c r="E2856" s="87"/>
      <x:c r="F2856" s="87"/>
      <x:c r="G2856" s="87" t="str">
        <x:v>Химия</x:v>
      </x:c>
      <x:c r="H2856" s="87" t="n">
        <x:v>11</x:v>
      </x:c>
      <x:c r="I2856" s="87" t="str">
        <x:v>ТР №1</x:v>
      </x:c>
      <x:c r="J2856" s="87" t="str">
        <x:v>ХИ2510104</x:v>
      </x:c>
      <x:c r="K2856" s="87" t="n">
        <x:v>28</x:v>
      </x:c>
      <x:c r="L2856" s="87" t="str">
        <x:v>Выход продукта</x:v>
      </x:c>
      <x:c r="M2856" s="30" t="str">
        <x:v>По массе смеси о- и п-нитротолуола и выходу 75% определить массу исходного толуола.</x:v>
      </x:c>
      <x:c r="N2856" s="30" t="str">
        <x:v>36,8</x:v>
      </x:c>
      <x:c r="O2856" s="30" t="str">
        <x:v>m продуктов=41,1 г; n=41,1/137=0,30 моль. При выходе 75% теоретически 0,40 моль, m(C₇H₈)=0,40·92=36,8 г.</x:v>
      </x:c>
      <x:c r="P2856" s="30" t="str">
        <x:v>m продуктов=41,1 г; n=41,1/137=0,30 моль. При выходе 75% теоретически 0,40 моль, m(C₇H₈)=0,40·92=36,8 г.</x:v>
      </x:c>
      <x:c r="Q2856" s="30"/>
      <x:c r="R2856" s="30" t="str">
        <x:v>Фото-сводка ответов + независимое решение; содержание задания соответствует ХИ2510101</x:v>
      </x:c>
      <x:c r="S2856" s="30"/>
      <x:c r="T2856" s="30"/>
      <x:c r="U2856" s="30" t="str">
        <x:v>Расхождений не обнаружено.</x:v>
      </x:c>
      <x:c r="V2856" s="87" t="str">
        <x:v>VERIFIED</x:v>
      </x:c>
      <x:c r="W2856" s="87" t="str">
        <x:v>Zadanie_KhI11_10092025_.pdf, вариантная стр. 14</x:v>
      </x:c>
      <x:c r="X2856" s="87"/>
      <x:c r="Y2856" s="87"/>
      <x:c r="Z2856" s="87"/>
      <x:c r="AA2856" s="87"/>
      <x:c r="AB2856" s="87"/>
      <x:c r="AC2856" s="87"/>
      <x:c r="AD2856" s="87"/>
      <x:c r="AE2856" s="87"/>
      <x:c r="AF2856" s="87"/>
      <x:c r="AG2856" s="87"/>
      <x:c r="AH2856" s="87"/>
      <x:c r="AI2856" s="30"/>
      <x:c r="AJ2856" s="87" t="str">
        <x:v>master</x:v>
      </x:c>
      <x:c r="AK2856" s="87" t="str">
        <x:v>master-v0.81</x:v>
      </x:c>
      <x:c r="AL2856" s="87" t="str">
        <x:v>statgrad_master_base_v0_81_final(2).xlsx</x:v>
      </x:c>
      <x:c r="AM2856" s="87" t="str">
        <x:v>CHEM_Sep_V4</x:v>
      </x:c>
      <x:c r="AN2856" s="87" t="n">
        <x:v>29</x:v>
      </x:c>
    </x:row>
    <x:row r="2857">
      <x:c r="A2857" s="87" t="n">
        <x:v>2856</x:v>
      </x:c>
      <x:c r="B2857" s="87" t="str">
        <x:v>SEP-CHEM-V4-029</x:v>
      </x:c>
      <x:c r="C2857" s="87" t="str">
        <x:v>СтатГрад</x:v>
      </x:c>
      <x:c r="D2857" s="87" t="str">
        <x:v>Сентябрь 2025</x:v>
      </x:c>
      <x:c r="E2857" s="87"/>
      <x:c r="F2857" s="87"/>
      <x:c r="G2857" s="87" t="str">
        <x:v>Химия</x:v>
      </x:c>
      <x:c r="H2857" s="87" t="n">
        <x:v>11</x:v>
      </x:c>
      <x:c r="I2857" s="87" t="str">
        <x:v>ТР №1</x:v>
      </x:c>
      <x:c r="J2857" s="87" t="str">
        <x:v>ХИ2510104</x:v>
      </x:c>
      <x:c r="K2857" s="87" t="n">
        <x:v>29</x:v>
      </x:c>
      <x:c r="L2857" s="87" t="str">
        <x:v>Развёрнутый ответ: ОВР</x:v>
      </x:c>
      <x:c r="M2857" s="30" t="str">
        <x:v>Диспропорционирование K₂MnO₄ азотной кислотой с изменением цвета и образованием MnO₂; записать уравнение и баланс.</x:v>
      </x:c>
      <x:c r="N2857" s="30" t="str">
        <x:v>3K₂MnO₄ + 4HNO₃ → 2KMnO₄ + MnO₂↓ + 4KNO₃ + 2H₂O.
Баланс: Mn(+6)+2e⁻→Mn(+4); Mn(+6)−e⁻→Mn(+7) (×2).
K₂MnO₄ выступает и окислителем, и восстановителем.</x:v>
      </x:c>
      <x:c r="O2857" s="30" t="str">
        <x:v>Критерий независимо проверен по атомному/электронному балансу и расчётам.</x:v>
      </x:c>
      <x:c r="P2857" s="30" t="str">
        <x:v>Критерий независимо проверен по атомному/электронному балансу и расчётам.</x:v>
      </x:c>
      <x:c r="Q2857" s="30"/>
      <x:c r="R2857" s="30" t="str">
        <x:v>Официальные критерии архива + независимая проверка уравнений и расчётов; содержание задания соответствует ХИ2510102</x:v>
      </x:c>
      <x:c r="S2857" s="30"/>
      <x:c r="T2857" s="30"/>
      <x:c r="U2857" s="30" t="str">
        <x:v>Расхождений не обнаружено.</x:v>
      </x:c>
      <x:c r="V2857" s="87" t="str">
        <x:v>VERIFIED</x:v>
      </x:c>
      <x:c r="W2857" s="87" t="str">
        <x:v>Zadanie_KhI11_10092025_.pdf, вариантная стр. 15</x:v>
      </x:c>
      <x:c r="X2857" s="87"/>
      <x:c r="Y2857" s="87"/>
      <x:c r="Z2857" s="87"/>
      <x:c r="AA2857" s="87"/>
      <x:c r="AB2857" s="87"/>
      <x:c r="AC2857" s="87"/>
      <x:c r="AD2857" s="87"/>
      <x:c r="AE2857" s="87"/>
      <x:c r="AF2857" s="87"/>
      <x:c r="AG2857" s="87"/>
      <x:c r="AH2857" s="87"/>
      <x:c r="AI2857" s="30"/>
      <x:c r="AJ2857" s="87" t="str">
        <x:v>master</x:v>
      </x:c>
      <x:c r="AK2857" s="87" t="str">
        <x:v>master-v0.81</x:v>
      </x:c>
      <x:c r="AL2857" s="87" t="str">
        <x:v>statgrad_master_base_v0_81_final(2).xlsx</x:v>
      </x:c>
      <x:c r="AM2857" s="87" t="str">
        <x:v>CHEM_Sep_V4</x:v>
      </x:c>
      <x:c r="AN2857" s="87" t="n">
        <x:v>30</x:v>
      </x:c>
    </x:row>
    <x:row r="2858">
      <x:c r="A2858" s="87" t="n">
        <x:v>2857</x:v>
      </x:c>
      <x:c r="B2858" s="87" t="str">
        <x:v>SEP-CHEM-V4-030</x:v>
      </x:c>
      <x:c r="C2858" s="87" t="str">
        <x:v>СтатГрад</x:v>
      </x:c>
      <x:c r="D2858" s="87" t="str">
        <x:v>Сентябрь 2025</x:v>
      </x:c>
      <x:c r="E2858" s="87"/>
      <x:c r="F2858" s="87"/>
      <x:c r="G2858" s="87" t="str">
        <x:v>Химия</x:v>
      </x:c>
      <x:c r="H2858" s="87" t="n">
        <x:v>11</x:v>
      </x:c>
      <x:c r="I2858" s="87" t="str">
        <x:v>ТР №1</x:v>
      </x:c>
      <x:c r="J2858" s="87" t="str">
        <x:v>ХИ2510104</x:v>
      </x:c>
      <x:c r="K2858" s="87" t="n">
        <x:v>30</x:v>
      </x:c>
      <x:c r="L2858" s="87" t="str">
        <x:v>Развёрнутый ответ: ионный обмен</x:v>
      </x:c>
      <x:c r="M2858" s="30" t="str">
        <x:v>BaCO₃ + HNO₃: записать молекулярное, полное и сокращённое ионные уравнения реакции с выделением CO₂.</x:v>
      </x:c>
      <x:c r="N2858" s="30" t="str">
        <x:v>BaCO₃+2HNO₃→Ba(NO₃)₂+CO₂↑+H₂O.
Полное ионное: BaCO₃+2H⁺+2NO₃⁻→Ba²⁺+2NO₃⁻+CO₂+H₂O.
Сокращённое: BaCO₃+2H⁺→Ba²⁺+CO₂+H₂O.</x:v>
      </x:c>
      <x:c r="O2858" s="30" t="str">
        <x:v>Критерий независимо проверен по атомному/электронному балансу и расчётам.</x:v>
      </x:c>
      <x:c r="P2858" s="30" t="str">
        <x:v>Критерий независимо проверен по атомному/электронному балансу и расчётам.</x:v>
      </x:c>
      <x:c r="Q2858" s="30"/>
      <x:c r="R2858" s="30" t="str">
        <x:v>Официальные критерии архива + независимая проверка уравнений и расчётов; содержание задания соответствует ХИ2510102</x:v>
      </x:c>
      <x:c r="S2858" s="30"/>
      <x:c r="T2858" s="30"/>
      <x:c r="U2858" s="30" t="str">
        <x:v>Расхождений не обнаружено.</x:v>
      </x:c>
      <x:c r="V2858" s="87" t="str">
        <x:v>VERIFIED</x:v>
      </x:c>
      <x:c r="W2858" s="87" t="str">
        <x:v>Zadanie_KhI11_10092025_.pdf, вариантная стр. 15</x:v>
      </x:c>
      <x:c r="X2858" s="87"/>
      <x:c r="Y2858" s="87"/>
      <x:c r="Z2858" s="87"/>
      <x:c r="AA2858" s="87"/>
      <x:c r="AB2858" s="87"/>
      <x:c r="AC2858" s="87"/>
      <x:c r="AD2858" s="87"/>
      <x:c r="AE2858" s="87"/>
      <x:c r="AF2858" s="87"/>
      <x:c r="AG2858" s="87"/>
      <x:c r="AH2858" s="87"/>
      <x:c r="AI2858" s="30"/>
      <x:c r="AJ2858" s="87" t="str">
        <x:v>master</x:v>
      </x:c>
      <x:c r="AK2858" s="87" t="str">
        <x:v>master-v0.81</x:v>
      </x:c>
      <x:c r="AL2858" s="87" t="str">
        <x:v>statgrad_master_base_v0_81_final(2).xlsx</x:v>
      </x:c>
      <x:c r="AM2858" s="87" t="str">
        <x:v>CHEM_Sep_V4</x:v>
      </x:c>
      <x:c r="AN2858" s="87" t="n">
        <x:v>31</x:v>
      </x:c>
    </x:row>
    <x:row r="2859">
      <x:c r="A2859" s="87" t="n">
        <x:v>2858</x:v>
      </x:c>
      <x:c r="B2859" s="87" t="str">
        <x:v>SEP-CHEM-V4-031</x:v>
      </x:c>
      <x:c r="C2859" s="87" t="str">
        <x:v>СтатГрад</x:v>
      </x:c>
      <x:c r="D2859" s="87" t="str">
        <x:v>Сентябрь 2025</x:v>
      </x:c>
      <x:c r="E2859" s="87"/>
      <x:c r="F2859" s="87"/>
      <x:c r="G2859" s="87" t="str">
        <x:v>Химия</x:v>
      </x:c>
      <x:c r="H2859" s="87" t="n">
        <x:v>11</x:v>
      </x:c>
      <x:c r="I2859" s="87" t="str">
        <x:v>ТР №1</x:v>
      </x:c>
      <x:c r="J2859" s="87" t="str">
        <x:v>ХИ2510104</x:v>
      </x:c>
      <x:c r="K2859" s="87" t="n">
        <x:v>31</x:v>
      </x:c>
      <x:c r="L2859" s="87" t="str">
        <x:v>Развёрнутый ответ: неорганическая цепочка</x:v>
      </x:c>
      <x:c r="M2859" s="30" t="str">
        <x:v>CuSO₄ → основной карбонат меди → CuO → CuCl₂ → белый CuCl: записать четыре уравнения.</x:v>
      </x:c>
      <x:c r="N2859" s="30" t="str">
        <x:v>1) 2CuSO₄+2Na₂CO₃+H₂O→Cu₂(OH)₂CO₃↓+2Na₂SO₄+CO₂↑.
2) Cu₂(OH)₂CO₃→2CuO+H₂O+CO₂.
3) CuO+2HCl→CuCl₂+H₂O.
4) 2CuCl₂+SO₂+2H₂O→2CuCl↓+H₂SO₄+2HCl.</x:v>
      </x:c>
      <x:c r="O2859" s="30" t="str">
        <x:v>Критерий независимо проверен по атомному/электронному балансу и расчётам.</x:v>
      </x:c>
      <x:c r="P2859" s="30" t="str">
        <x:v>Критерий независимо проверен по атомному/электронному балансу и расчётам.</x:v>
      </x:c>
      <x:c r="Q2859" s="30"/>
      <x:c r="R2859" s="30" t="str">
        <x:v>Официальные критерии архива + независимая проверка уравнений и расчётов; содержание задания соответствует ХИ2510101</x:v>
      </x:c>
      <x:c r="S2859" s="30"/>
      <x:c r="T2859" s="30"/>
      <x:c r="U2859" s="30" t="str">
        <x:v>Расхождений не обнаружено.</x:v>
      </x:c>
      <x:c r="V2859" s="87" t="str">
        <x:v>VERIFIED</x:v>
      </x:c>
      <x:c r="W2859" s="87" t="str">
        <x:v>Zadanie_KhI11_10092025_.pdf, вариантная стр. 16</x:v>
      </x:c>
      <x:c r="X2859" s="87"/>
      <x:c r="Y2859" s="87"/>
      <x:c r="Z2859" s="87"/>
      <x:c r="AA2859" s="87"/>
      <x:c r="AB2859" s="87"/>
      <x:c r="AC2859" s="87"/>
      <x:c r="AD2859" s="87"/>
      <x:c r="AE2859" s="87"/>
      <x:c r="AF2859" s="87"/>
      <x:c r="AG2859" s="87"/>
      <x:c r="AH2859" s="87"/>
      <x:c r="AI2859" s="30"/>
      <x:c r="AJ2859" s="87" t="str">
        <x:v>master</x:v>
      </x:c>
      <x:c r="AK2859" s="87" t="str">
        <x:v>master-v0.81</x:v>
      </x:c>
      <x:c r="AL2859" s="87" t="str">
        <x:v>statgrad_master_base_v0_81_final(2).xlsx</x:v>
      </x:c>
      <x:c r="AM2859" s="87" t="str">
        <x:v>CHEM_Sep_V4</x:v>
      </x:c>
      <x:c r="AN2859" s="87" t="n">
        <x:v>32</x:v>
      </x:c>
    </x:row>
    <x:row r="2860">
      <x:c r="A2860" s="87" t="n">
        <x:v>2859</x:v>
      </x:c>
      <x:c r="B2860" s="87" t="str">
        <x:v>SEP-CHEM-V4-032</x:v>
      </x:c>
      <x:c r="C2860" s="87" t="str">
        <x:v>СтатГрад</x:v>
      </x:c>
      <x:c r="D2860" s="87" t="str">
        <x:v>Сентябрь 2025</x:v>
      </x:c>
      <x:c r="E2860" s="87"/>
      <x:c r="F2860" s="87"/>
      <x:c r="G2860" s="87" t="str">
        <x:v>Химия</x:v>
      </x:c>
      <x:c r="H2860" s="87" t="n">
        <x:v>11</x:v>
      </x:c>
      <x:c r="I2860" s="87" t="str">
        <x:v>ТР №1</x:v>
      </x:c>
      <x:c r="J2860" s="87" t="str">
        <x:v>ХИ2510104</x:v>
      </x:c>
      <x:c r="K2860" s="87" t="n">
        <x:v>32</x:v>
      </x:c>
      <x:c r="L2860" s="87" t="str">
        <x:v>Развёрнутый ответ: органическая цепочка</x:v>
      </x:c>
      <x:c r="M2860" s="30" t="str">
        <x:v>Этилацетат → ацетат кальция → ацетон → пропанол-2 → пропен → кумол.</x:v>
      </x:c>
      <x:c r="N2860" s="30" t="str">
        <x:v>1) 2CH₃COOC₂H₅+Ca(OH)₂→(CH₃COO)₂Ca+2C₂H₅OH.
2) (CH₃COO)₂Ca→CH₃COCH₃+CaCO₃.
3) CH₃COCH₃+H₂→CH₃CH(OH)CH₃.
4) CH₃CH(OH)CH₃→CH₃CH=CH₂+H₂O.
5) CH₃CH=CH₂+C₆H₆→C₆H₅CH(CH₃)₂.</x:v>
      </x:c>
      <x:c r="O2860" s="30" t="str">
        <x:v>Критерий независимо проверен по атомному/электронному балансу и расчётам.</x:v>
      </x:c>
      <x:c r="P2860" s="30" t="str">
        <x:v>Критерий независимо проверен по атомному/электронному балансу и расчётам.</x:v>
      </x:c>
      <x:c r="Q2860" s="30"/>
      <x:c r="R2860" s="30" t="str">
        <x:v>Официальные критерии архива + независимая проверка уравнений и расчётов; содержание задания соответствует ХИ2510102</x:v>
      </x:c>
      <x:c r="S2860" s="30"/>
      <x:c r="T2860" s="30"/>
      <x:c r="U2860" s="30" t="str">
        <x:v>Расхождений не обнаружено.</x:v>
      </x:c>
      <x:c r="V2860" s="87" t="str">
        <x:v>VERIFIED</x:v>
      </x:c>
      <x:c r="W2860" s="87" t="str">
        <x:v>Zadanie_KhI11_10092025_.pdf, вариантная стр. 16</x:v>
      </x:c>
      <x:c r="X2860" s="87"/>
      <x:c r="Y2860" s="87"/>
      <x:c r="Z2860" s="87"/>
      <x:c r="AA2860" s="87"/>
      <x:c r="AB2860" s="87"/>
      <x:c r="AC2860" s="87"/>
      <x:c r="AD2860" s="87"/>
      <x:c r="AE2860" s="87"/>
      <x:c r="AF2860" s="87"/>
      <x:c r="AG2860" s="87"/>
      <x:c r="AH2860" s="87"/>
      <x:c r="AI2860" s="30"/>
      <x:c r="AJ2860" s="87" t="str">
        <x:v>master</x:v>
      </x:c>
      <x:c r="AK2860" s="87" t="str">
        <x:v>master-v0.81</x:v>
      </x:c>
      <x:c r="AL2860" s="87" t="str">
        <x:v>statgrad_master_base_v0_81_final(2).xlsx</x:v>
      </x:c>
      <x:c r="AM2860" s="87" t="str">
        <x:v>CHEM_Sep_V4</x:v>
      </x:c>
      <x:c r="AN2860" s="87" t="n">
        <x:v>33</x:v>
      </x:c>
    </x:row>
    <x:row r="2861">
      <x:c r="A2861" s="87" t="n">
        <x:v>2860</x:v>
      </x:c>
      <x:c r="B2861" s="87" t="str">
        <x:v>SEP-CHEM-V4-033</x:v>
      </x:c>
      <x:c r="C2861" s="87" t="str">
        <x:v>СтатГрад</x:v>
      </x:c>
      <x:c r="D2861" s="87" t="str">
        <x:v>Сентябрь 2025</x:v>
      </x:c>
      <x:c r="E2861" s="87"/>
      <x:c r="F2861" s="87"/>
      <x:c r="G2861" s="87" t="str">
        <x:v>Химия</x:v>
      </x:c>
      <x:c r="H2861" s="87" t="n">
        <x:v>11</x:v>
      </x:c>
      <x:c r="I2861" s="87" t="str">
        <x:v>ТР №1</x:v>
      </x:c>
      <x:c r="J2861" s="87" t="str">
        <x:v>ХИ2510104</x:v>
      </x:c>
      <x:c r="K2861" s="87" t="n">
        <x:v>33</x:v>
      </x:c>
      <x:c r="L2861" s="87" t="str">
        <x:v>Развёрнутый ответ: установление формулы</x:v>
      </x:c>
      <x:c r="M2861" s="30" t="str">
        <x:v>По продуктам сгорания и гидролизу установить формулу и строение дихлорпроизводного, дающего симметричное карбонильное соединение.</x:v>
      </x:c>
      <x:c r="N2861" s="30" t="str">
        <x:v>n(C)=0,45; n(Cl)=0,30; n(H)=0,90 моль; отношение 3:6:2, формула C₃H₆Cl₂. Симметричный карбонильный продукт требует 2,2-дихлорпропан CH₃–CCl₂–CH₃.
CH₃–CCl₂–CH₃+2KOH(водн.)→CH₃–CO–CH₃+2KCl+H₂O.</x:v>
      </x:c>
      <x:c r="O2861" s="30" t="str">
        <x:v>Критерий независимо проверен по атомному/электронному балансу и расчётам.</x:v>
      </x:c>
      <x:c r="P2861" s="30" t="str">
        <x:v>Критерий независимо проверен по атомному/электронному балансу и расчётам.</x:v>
      </x:c>
      <x:c r="Q2861" s="30"/>
      <x:c r="R2861" s="30" t="str">
        <x:v>Официальные критерии архива + независимая проверка уравнений и расчётов; содержание задания соответствует ХИ2510101</x:v>
      </x:c>
      <x:c r="S2861" s="30"/>
      <x:c r="T2861" s="30"/>
      <x:c r="U2861" s="30" t="str">
        <x:v>Расхождений не обнаружено.</x:v>
      </x:c>
      <x:c r="V2861" s="87" t="str">
        <x:v>VERIFIED</x:v>
      </x:c>
      <x:c r="W2861" s="87" t="str">
        <x:v>Zadanie_KhI11_10092025_.pdf, вариантная стр. 16</x:v>
      </x:c>
      <x:c r="X2861" s="87"/>
      <x:c r="Y2861" s="87"/>
      <x:c r="Z2861" s="87"/>
      <x:c r="AA2861" s="87"/>
      <x:c r="AB2861" s="87"/>
      <x:c r="AC2861" s="87"/>
      <x:c r="AD2861" s="87"/>
      <x:c r="AE2861" s="87"/>
      <x:c r="AF2861" s="87"/>
      <x:c r="AG2861" s="87"/>
      <x:c r="AH2861" s="87"/>
      <x:c r="AI2861" s="30"/>
      <x:c r="AJ2861" s="87" t="str">
        <x:v>master</x:v>
      </x:c>
      <x:c r="AK2861" s="87" t="str">
        <x:v>master-v0.81</x:v>
      </x:c>
      <x:c r="AL2861" s="87" t="str">
        <x:v>statgrad_master_base_v0_81_final(2).xlsx</x:v>
      </x:c>
      <x:c r="AM2861" s="87" t="str">
        <x:v>CHEM_Sep_V4</x:v>
      </x:c>
      <x:c r="AN2861" s="87" t="n">
        <x:v>34</x:v>
      </x:c>
    </x:row>
    <x:row r="2862">
      <x:c r="A2862" s="87" t="n">
        <x:v>2861</x:v>
      </x:c>
      <x:c r="B2862" s="87" t="str">
        <x:v>SEP-CHEM-V4-034</x:v>
      </x:c>
      <x:c r="C2862" s="87" t="str">
        <x:v>СтатГрад</x:v>
      </x:c>
      <x:c r="D2862" s="87" t="str">
        <x:v>Сентябрь 2025</x:v>
      </x:c>
      <x:c r="E2862" s="87"/>
      <x:c r="F2862" s="87"/>
      <x:c r="G2862" s="87" t="str">
        <x:v>Химия</x:v>
      </x:c>
      <x:c r="H2862" s="87" t="n">
        <x:v>11</x:v>
      </x:c>
      <x:c r="I2862" s="87" t="str">
        <x:v>ТР №1</x:v>
      </x:c>
      <x:c r="J2862" s="87" t="str">
        <x:v>ХИ2510104</x:v>
      </x:c>
      <x:c r="K2862" s="87" t="n">
        <x:v>34</x:v>
      </x:c>
      <x:c r="L2862" s="87" t="str">
        <x:v>Развёрнутый ответ: расчётная задача</x:v>
      </x:c>
      <x:c r="M2862" s="30" t="str">
        <x:v>После прокаливания SiO₂ с избытком C и обработки щёлочью получены 13,44 л H₂ и 28 г SiC. Найти исходные массы SiO₂ и C.</x:v>
      </x:c>
      <x:c r="N2862" s="30" t="str">
        <x:v>SiO₂+2C→Si+2CO; Si+C→SiC; Si+2NaOH+H₂O→Na₂SiO₃+2H₂↑.
n(H₂)=0,60, значит n(Si, растворившегося)=0,30; n(SiC)=28/40=0,70. n(SiO₂)=1,00, m=60 г. n(C)=2·1,00+0,70=2,70, m(C)=32,4 г.</x:v>
      </x:c>
      <x:c r="O2862" s="30" t="str">
        <x:v>Критерий независимо проверен по атомному/электронному балансу и расчётам.</x:v>
      </x:c>
      <x:c r="P2862" s="30" t="str">
        <x:v>Критерий независимо проверен по атомному/электронному балансу и расчётам.</x:v>
      </x:c>
      <x:c r="Q2862" s="30"/>
      <x:c r="R2862" s="30" t="str">
        <x:v>Официальные критерии архива + независимая проверка уравнений и расчётов; содержание задания соответствует ХИ2510102</x:v>
      </x:c>
      <x:c r="S2862" s="30"/>
      <x:c r="T2862" s="30"/>
      <x:c r="U2862" s="30" t="str">
        <x:v>Расхождений не обнаружено.</x:v>
      </x:c>
      <x:c r="V2862" s="87" t="str">
        <x:v>VERIFIED</x:v>
      </x:c>
      <x:c r="W2862" s="87" t="str">
        <x:v>Zadanie_KhI11_10092025_.pdf, вариантная стр. 16</x:v>
      </x:c>
      <x:c r="X2862" s="87"/>
      <x:c r="Y2862" s="87"/>
      <x:c r="Z2862" s="87"/>
      <x:c r="AA2862" s="87"/>
      <x:c r="AB2862" s="87"/>
      <x:c r="AC2862" s="87"/>
      <x:c r="AD2862" s="87"/>
      <x:c r="AE2862" s="87"/>
      <x:c r="AF2862" s="87"/>
      <x:c r="AG2862" s="87"/>
      <x:c r="AH2862" s="87"/>
      <x:c r="AI2862" s="30"/>
      <x:c r="AJ2862" s="87" t="str">
        <x:v>master</x:v>
      </x:c>
      <x:c r="AK2862" s="87" t="str">
        <x:v>master-v0.81</x:v>
      </x:c>
      <x:c r="AL2862" s="87" t="str">
        <x:v>statgrad_master_base_v0_81_final(2).xlsx</x:v>
      </x:c>
      <x:c r="AM2862" s="87" t="str">
        <x:v>CHEM_Sep_V4</x:v>
      </x:c>
      <x:c r="AN2862" s="87" t="n">
        <x:v>35</x:v>
      </x:c>
    </x:row>
    <x:row r="2863">
      <x:c r="A2863" s="87" t="n">
        <x:v>2862</x:v>
      </x:c>
      <x:c r="B2863" s="87" t="str">
        <x:v>SEP-RU-V1-001</x:v>
      </x:c>
      <x:c r="C2863" s="87" t="str">
        <x:v>СтатГрад</x:v>
      </x:c>
      <x:c r="D2863" s="87" t="str">
        <x:v>Сентябрь 2025</x:v>
      </x:c>
      <x:c r="E2863" s="87"/>
      <x:c r="F2863" s="87"/>
      <x:c r="G2863" s="87" t="str">
        <x:v>Русский язык</x:v>
      </x:c>
      <x:c r="H2863" s="87" t="n">
        <x:v>11</x:v>
      </x:c>
      <x:c r="I2863" s="87" t="str">
        <x:v>ТР №1</x:v>
      </x:c>
      <x:c r="J2863" s="87" t="str">
        <x:v>РЯ2510101</x:v>
      </x:c>
      <x:c r="K2863" s="87" t="n">
        <x:v>1</x:v>
      </x:c>
      <x:c r="L2863" s="87" t="str">
        <x:v>Средство связи: частица</x:v>
      </x:c>
      <x:c r="M2863" s="30" t="str">
        <x:v>Подобрать усилительную частицу в научном тексте о трудностях перевода лирики.</x:v>
      </x:c>
      <x:c r="N2863" s="30" t="str">
        <x:v>даже</x:v>
      </x:c>
      <x:c r="O2863" s="30" t="str">
        <x:v>Сочетание «даже ближайшее тематическое содержание» усиливает мысль о трудности рационального осмысления.</x:v>
      </x:c>
      <x:c r="P2863" s="30" t="str">
        <x:v>Сочетание «даже ближайшее тематическое содержание» усиливает мысль о трудности рационального осмысления.</x:v>
      </x:c>
      <x:c r="Q2863" s="30"/>
      <x:c r="R2863" s="30" t="str">
        <x:v>Kriterii_RU11_18092025.pdf: даже</x:v>
      </x:c>
      <x:c r="S2863" s="30"/>
      <x:c r="T2863" s="30"/>
      <x:c r="U2863" s="30" t="str">
        <x:v>Расхождений не обнаружено.</x:v>
      </x:c>
      <x:c r="V2863" s="87" t="str">
        <x:v>VERIFIED</x:v>
      </x:c>
      <x:c r="W2863" s="87" t="str">
        <x:v>Официальный PDF, стр. 2</x:v>
      </x:c>
      <x:c r="X2863" s="87"/>
      <x:c r="Y2863" s="87"/>
      <x:c r="Z2863" s="87"/>
      <x:c r="AA2863" s="87"/>
      <x:c r="AB2863" s="87"/>
      <x:c r="AC2863" s="87"/>
      <x:c r="AD2863" s="87"/>
      <x:c r="AE2863" s="87"/>
      <x:c r="AF2863" s="87"/>
      <x:c r="AG2863" s="87"/>
      <x:c r="AH2863" s="87"/>
      <x:c r="AI2863" s="30"/>
      <x:c r="AJ2863" s="87" t="str">
        <x:v>master</x:v>
      </x:c>
      <x:c r="AK2863" s="87" t="str">
        <x:v>master-v0.81</x:v>
      </x:c>
      <x:c r="AL2863" s="87" t="str">
        <x:v>statgrad_master_base_v0_81_final(2).xlsx</x:v>
      </x:c>
      <x:c r="AM2863" s="87" t="str">
        <x:v>RU_Sep_V1</x:v>
      </x:c>
      <x:c r="AN2863" s="87" t="n">
        <x:v>2</x:v>
      </x:c>
    </x:row>
    <x:row r="2864">
      <x:c r="A2864" s="87" t="n">
        <x:v>2863</x:v>
      </x:c>
      <x:c r="B2864" s="87" t="str">
        <x:v>SEP-RU-V1-002</x:v>
      </x:c>
      <x:c r="C2864" s="87" t="str">
        <x:v>СтатГрад</x:v>
      </x:c>
      <x:c r="D2864" s="87" t="str">
        <x:v>Сентябрь 2025</x:v>
      </x:c>
      <x:c r="E2864" s="87"/>
      <x:c r="F2864" s="87"/>
      <x:c r="G2864" s="87" t="str">
        <x:v>Русский язык</x:v>
      </x:c>
      <x:c r="H2864" s="87" t="n">
        <x:v>11</x:v>
      </x:c>
      <x:c r="I2864" s="87" t="str">
        <x:v>ТР №1</x:v>
      </x:c>
      <x:c r="J2864" s="87" t="str">
        <x:v>РЯ2510101</x:v>
      </x:c>
      <x:c r="K2864" s="87" t="n">
        <x:v>2</x:v>
      </x:c>
      <x:c r="L2864" s="87" t="str">
        <x:v>Лексическое значение</x:v>
      </x:c>
      <x:c r="M2864" s="30" t="str">
        <x:v>Определить верные словарные значения выделенных слов: эпический, ряд, рациональный, приходить, идеальный.</x:v>
      </x:c>
      <x:c r="N2864" s="30" t="str">
        <x:v>25</x:v>
      </x:c>
      <x:c r="O2864" s="30" t="str">
        <x:v>«Ряд» означает некоторое количество однородных явлений; «идеальный» — совершенный, образцовый.</x:v>
      </x:c>
      <x:c r="P2864" s="30" t="str">
        <x:v>«Ряд» означает некоторое количество однородных явлений; «идеальный» — совершенный, образцовый.</x:v>
      </x:c>
      <x:c r="Q2864" s="30"/>
      <x:c r="R2864" s="30" t="str">
        <x:v>photo_2025-09-19_11-16-39.jpg: 25</x:v>
      </x:c>
      <x:c r="S2864" s="30"/>
      <x:c r="T2864" s="30"/>
      <x:c r="U2864" s="30" t="str">
        <x:v>Расхождений не обнаружено.</x:v>
      </x:c>
      <x:c r="V2864" s="87" t="str">
        <x:v>VERIFIED</x:v>
      </x:c>
      <x:c r="W2864" s="87" t="str">
        <x:v>Официальный PDF, стр. 3</x:v>
      </x:c>
      <x:c r="X2864" s="87"/>
      <x:c r="Y2864" s="87"/>
      <x:c r="Z2864" s="87"/>
      <x:c r="AA2864" s="87"/>
      <x:c r="AB2864" s="87"/>
      <x:c r="AC2864" s="87"/>
      <x:c r="AD2864" s="87"/>
      <x:c r="AE2864" s="87"/>
      <x:c r="AF2864" s="87"/>
      <x:c r="AG2864" s="87"/>
      <x:c r="AH2864" s="87"/>
      <x:c r="AI2864" s="30"/>
      <x:c r="AJ2864" s="87" t="str">
        <x:v>master</x:v>
      </x:c>
      <x:c r="AK2864" s="87" t="str">
        <x:v>master-v0.81</x:v>
      </x:c>
      <x:c r="AL2864" s="87" t="str">
        <x:v>statgrad_master_base_v0_81_final(2).xlsx</x:v>
      </x:c>
      <x:c r="AM2864" s="87" t="str">
        <x:v>RU_Sep_V1</x:v>
      </x:c>
      <x:c r="AN2864" s="87" t="n">
        <x:v>3</x:v>
      </x:c>
    </x:row>
    <x:row r="2865">
      <x:c r="A2865" s="87" t="n">
        <x:v>2864</x:v>
      </x:c>
      <x:c r="B2865" s="87" t="str">
        <x:v>SEP-RU-V1-003</x:v>
      </x:c>
      <x:c r="C2865" s="87" t="str">
        <x:v>СтатГрад</x:v>
      </x:c>
      <x:c r="D2865" s="87" t="str">
        <x:v>Сентябрь 2025</x:v>
      </x:c>
      <x:c r="E2865" s="87"/>
      <x:c r="F2865" s="87"/>
      <x:c r="G2865" s="87" t="str">
        <x:v>Русский язык</x:v>
      </x:c>
      <x:c r="H2865" s="87" t="n">
        <x:v>11</x:v>
      </x:c>
      <x:c r="I2865" s="87" t="str">
        <x:v>ТР №1</x:v>
      </x:c>
      <x:c r="J2865" s="87" t="str">
        <x:v>РЯ2510101</x:v>
      </x:c>
      <x:c r="K2865" s="87" t="n">
        <x:v>3</x:v>
      </x:c>
      <x:c r="L2865" s="87" t="str">
        <x:v>Характеристика текста</x:v>
      </x:c>
      <x:c r="M2865" s="30" t="str">
        <x:v>Выбрать верные характеристики научного текста о художественном переводе.</x:v>
      </x:c>
      <x:c r="N2865" s="30" t="str">
        <x:v>14</x:v>
      </x:c>
      <x:c r="O2865" s="30" t="str">
        <x:v>Текст относится к научному стилю; в нём активно используются вводные слова, вставные конструкции, обособления и сложные предложения.</x:v>
      </x:c>
      <x:c r="P2865" s="30" t="str">
        <x:v>Текст относится к научному стилю; в нём активно используются вводные слова, вставные конструкции, обособления и сложные предложения.</x:v>
      </x:c>
      <x:c r="Q2865" s="30"/>
      <x:c r="R2865" s="30" t="str">
        <x:v>photo_2025-09-19_11-16-39.jpg: 14</x:v>
      </x:c>
      <x:c r="S2865" s="30"/>
      <x:c r="T2865" s="30"/>
      <x:c r="U2865" s="30" t="str">
        <x:v>Расхождений не обнаружено.</x:v>
      </x:c>
      <x:c r="V2865" s="87" t="str">
        <x:v>VERIFIED</x:v>
      </x:c>
      <x:c r="W2865" s="87" t="str">
        <x:v>Официальный PDF, стр. 3</x:v>
      </x:c>
      <x:c r="X2865" s="87"/>
      <x:c r="Y2865" s="87"/>
      <x:c r="Z2865" s="87"/>
      <x:c r="AA2865" s="87"/>
      <x:c r="AB2865" s="87"/>
      <x:c r="AC2865" s="87"/>
      <x:c r="AD2865" s="87"/>
      <x:c r="AE2865" s="87"/>
      <x:c r="AF2865" s="87"/>
      <x:c r="AG2865" s="87"/>
      <x:c r="AH2865" s="87"/>
      <x:c r="AI2865" s="30"/>
      <x:c r="AJ2865" s="87" t="str">
        <x:v>master</x:v>
      </x:c>
      <x:c r="AK2865" s="87" t="str">
        <x:v>master-v0.81</x:v>
      </x:c>
      <x:c r="AL2865" s="87" t="str">
        <x:v>statgrad_master_base_v0_81_final(2).xlsx</x:v>
      </x:c>
      <x:c r="AM2865" s="87" t="str">
        <x:v>RU_Sep_V1</x:v>
      </x:c>
      <x:c r="AN2865" s="87" t="n">
        <x:v>4</x:v>
      </x:c>
    </x:row>
    <x:row r="2866">
      <x:c r="A2866" s="87" t="n">
        <x:v>2865</x:v>
      </x:c>
      <x:c r="B2866" s="87" t="str">
        <x:v>SEP-RU-V1-004</x:v>
      </x:c>
      <x:c r="C2866" s="87" t="str">
        <x:v>СтатГрад</x:v>
      </x:c>
      <x:c r="D2866" s="87" t="str">
        <x:v>Сентябрь 2025</x:v>
      </x:c>
      <x:c r="E2866" s="87"/>
      <x:c r="F2866" s="87"/>
      <x:c r="G2866" s="87" t="str">
        <x:v>Русский язык</x:v>
      </x:c>
      <x:c r="H2866" s="87" t="n">
        <x:v>11</x:v>
      </x:c>
      <x:c r="I2866" s="87" t="str">
        <x:v>ТР №1</x:v>
      </x:c>
      <x:c r="J2866" s="87" t="str">
        <x:v>РЯ2510101</x:v>
      </x:c>
      <x:c r="K2866" s="87" t="n">
        <x:v>4</x:v>
      </x:c>
      <x:c r="L2866" s="87" t="str">
        <x:v>Орфоэпия</x:v>
      </x:c>
      <x:c r="M2866" s="30" t="str">
        <x:v>Выбрать слова с нормативным ударением.</x:v>
      </x:c>
      <x:c r="N2866" s="30" t="str">
        <x:v>13</x:v>
      </x:c>
      <x:c r="O2866" s="30" t="str">
        <x:v>Нормативно: ногтЕй, бухгАлтеров; остальные: нажИвший, нАчатый, вероисповЕдание.</x:v>
      </x:c>
      <x:c r="P2866" s="30" t="str">
        <x:v>Нормативно: ногтЕй, бухгАлтеров; остальные: нажИвший, нАчатый, вероисповЕдание.</x:v>
      </x:c>
      <x:c r="Q2866" s="30"/>
      <x:c r="R2866" s="30" t="str">
        <x:v>photo_2025-09-19_11-16-39.jpg: 13</x:v>
      </x:c>
      <x:c r="S2866" s="30"/>
      <x:c r="T2866" s="30"/>
      <x:c r="U2866" s="30" t="str">
        <x:v>Расхождений не обнаружено.</x:v>
      </x:c>
      <x:c r="V2866" s="87" t="str">
        <x:v>VERIFIED</x:v>
      </x:c>
      <x:c r="W2866" s="87" t="str">
        <x:v>Официальный PDF, стр. 4</x:v>
      </x:c>
      <x:c r="X2866" s="87"/>
      <x:c r="Y2866" s="87"/>
      <x:c r="Z2866" s="87"/>
      <x:c r="AA2866" s="87"/>
      <x:c r="AB2866" s="87"/>
      <x:c r="AC2866" s="87"/>
      <x:c r="AD2866" s="87"/>
      <x:c r="AE2866" s="87"/>
      <x:c r="AF2866" s="87"/>
      <x:c r="AG2866" s="87"/>
      <x:c r="AH2866" s="87"/>
      <x:c r="AI2866" s="30"/>
      <x:c r="AJ2866" s="87" t="str">
        <x:v>master</x:v>
      </x:c>
      <x:c r="AK2866" s="87" t="str">
        <x:v>master-v0.81</x:v>
      </x:c>
      <x:c r="AL2866" s="87" t="str">
        <x:v>statgrad_master_base_v0_81_final(2).xlsx</x:v>
      </x:c>
      <x:c r="AM2866" s="87" t="str">
        <x:v>RU_Sep_V1</x:v>
      </x:c>
      <x:c r="AN2866" s="87" t="n">
        <x:v>5</x:v>
      </x:c>
    </x:row>
    <x:row r="2867">
      <x:c r="A2867" s="87" t="n">
        <x:v>2866</x:v>
      </x:c>
      <x:c r="B2867" s="87" t="str">
        <x:v>SEP-RU-V1-005</x:v>
      </x:c>
      <x:c r="C2867" s="87" t="str">
        <x:v>СтатГрад</x:v>
      </x:c>
      <x:c r="D2867" s="87" t="str">
        <x:v>Сентябрь 2025</x:v>
      </x:c>
      <x:c r="E2867" s="87"/>
      <x:c r="F2867" s="87"/>
      <x:c r="G2867" s="87" t="str">
        <x:v>Русский язык</x:v>
      </x:c>
      <x:c r="H2867" s="87" t="n">
        <x:v>11</x:v>
      </x:c>
      <x:c r="I2867" s="87" t="str">
        <x:v>ТР №1</x:v>
      </x:c>
      <x:c r="J2867" s="87" t="str">
        <x:v>РЯ2510101</x:v>
      </x:c>
      <x:c r="K2867" s="87" t="n">
        <x:v>5</x:v>
      </x:c>
      <x:c r="L2867" s="87" t="str">
        <x:v>Паронимы</x:v>
      </x:c>
      <x:c r="M2867" s="30" t="str">
        <x:v>Исправить пароним в сочетании «различить близнецов друг от друга».</x:v>
      </x:c>
      <x:c r="N2867" s="30" t="str">
        <x:v>отличить</x:v>
      </x:c>
      <x:c r="O2867" s="30" t="str">
        <x:v>Людей, похожих друг на друга, требуется «отличить», а не «различить друг от друга».</x:v>
      </x:c>
      <x:c r="P2867" s="30" t="str">
        <x:v>Людей, похожих друг на друга, требуется «отличить», а не «различить друг от друга».</x:v>
      </x:c>
      <x:c r="Q2867" s="30"/>
      <x:c r="R2867" s="30" t="str">
        <x:v>Kriterii_RU11_18092025.pdf: отличить</x:v>
      </x:c>
      <x:c r="S2867" s="30"/>
      <x:c r="T2867" s="30"/>
      <x:c r="U2867" s="30" t="str">
        <x:v>Расхождений не обнаружено.</x:v>
      </x:c>
      <x:c r="V2867" s="87" t="str">
        <x:v>VERIFIED</x:v>
      </x:c>
      <x:c r="W2867" s="87" t="str">
        <x:v>Официальный PDF, стр. 4</x:v>
      </x:c>
      <x:c r="X2867" s="87"/>
      <x:c r="Y2867" s="87"/>
      <x:c r="Z2867" s="87"/>
      <x:c r="AA2867" s="87"/>
      <x:c r="AB2867" s="87"/>
      <x:c r="AC2867" s="87"/>
      <x:c r="AD2867" s="87"/>
      <x:c r="AE2867" s="87"/>
      <x:c r="AF2867" s="87"/>
      <x:c r="AG2867" s="87"/>
      <x:c r="AH2867" s="87"/>
      <x:c r="AI2867" s="30"/>
      <x:c r="AJ2867" s="87" t="str">
        <x:v>master</x:v>
      </x:c>
      <x:c r="AK2867" s="87" t="str">
        <x:v>master-v0.81</x:v>
      </x:c>
      <x:c r="AL2867" s="87" t="str">
        <x:v>statgrad_master_base_v0_81_final(2).xlsx</x:v>
      </x:c>
      <x:c r="AM2867" s="87" t="str">
        <x:v>RU_Sep_V1</x:v>
      </x:c>
      <x:c r="AN2867" s="87" t="n">
        <x:v>6</x:v>
      </x:c>
    </x:row>
    <x:row r="2868">
      <x:c r="A2868" s="87" t="n">
        <x:v>2867</x:v>
      </x:c>
      <x:c r="B2868" s="87" t="str">
        <x:v>SEP-RU-V1-006</x:v>
      </x:c>
      <x:c r="C2868" s="87" t="str">
        <x:v>СтатГрад</x:v>
      </x:c>
      <x:c r="D2868" s="87" t="str">
        <x:v>Сентябрь 2025</x:v>
      </x:c>
      <x:c r="E2868" s="87"/>
      <x:c r="F2868" s="87"/>
      <x:c r="G2868" s="87" t="str">
        <x:v>Русский язык</x:v>
      </x:c>
      <x:c r="H2868" s="87" t="n">
        <x:v>11</x:v>
      </x:c>
      <x:c r="I2868" s="87" t="str">
        <x:v>ТР №1</x:v>
      </x:c>
      <x:c r="J2868" s="87" t="str">
        <x:v>РЯ2510101</x:v>
      </x:c>
      <x:c r="K2868" s="87" t="n">
        <x:v>6</x:v>
      </x:c>
      <x:c r="L2868" s="87" t="str">
        <x:v>Лексическая сочетаемость</x:v>
      </x:c>
      <x:c r="M2868" s="30" t="str">
        <x:v>Исправить сочетание «выполнил мечту детства».</x:v>
      </x:c>
      <x:c r="N2868" s="30" t="str">
        <x:v>осуществил</x:v>
      </x:c>
      <x:c r="O2868" s="30" t="str">
        <x:v>Нормативное сочетание — «осуществил мечту»; официально допустимы также реализовал, воплотил, исполнил.</x:v>
      </x:c>
      <x:c r="P2868" s="30" t="str">
        <x:v>Нормативное сочетание — «осуществил мечту»; официально допустимы также реализовал, воплотил, исполнил.</x:v>
      </x:c>
      <x:c r="Q2868" s="30"/>
      <x:c r="R2868" s="30" t="str">
        <x:v>Kriterii_RU11_18092025.pdf: осуществил &lt;или&gt; реализовал &lt;или&gt; воплотил &lt;или&gt; воплотил в жизнь &lt;или&gt; исполнил</x:v>
      </x:c>
      <x:c r="S2868" s="30"/>
      <x:c r="T2868" s="30"/>
      <x:c r="U2868" s="30" t="str">
        <x:v>Расхождений не обнаружено; допустимые перестановки и альтернативы сохранены.</x:v>
      </x:c>
      <x:c r="V2868" s="87" t="str">
        <x:v>VERIFIED</x:v>
      </x:c>
      <x:c r="W2868" s="87" t="str">
        <x:v>Официальный PDF, стр. 4</x:v>
      </x:c>
      <x:c r="X2868" s="87"/>
      <x:c r="Y2868" s="87"/>
      <x:c r="Z2868" s="87"/>
      <x:c r="AA2868" s="87"/>
      <x:c r="AB2868" s="87"/>
      <x:c r="AC2868" s="87"/>
      <x:c r="AD2868" s="87"/>
      <x:c r="AE2868" s="87"/>
      <x:c r="AF2868" s="87"/>
      <x:c r="AG2868" s="87"/>
      <x:c r="AH2868" s="87"/>
      <x:c r="AI2868" s="30"/>
      <x:c r="AJ2868" s="87" t="str">
        <x:v>master</x:v>
      </x:c>
      <x:c r="AK2868" s="87" t="str">
        <x:v>master-v0.81</x:v>
      </x:c>
      <x:c r="AL2868" s="87" t="str">
        <x:v>statgrad_master_base_v0_81_final(2).xlsx</x:v>
      </x:c>
      <x:c r="AM2868" s="87" t="str">
        <x:v>RU_Sep_V1</x:v>
      </x:c>
      <x:c r="AN2868" s="87" t="n">
        <x:v>7</x:v>
      </x:c>
    </x:row>
    <x:row r="2869">
      <x:c r="A2869" s="87" t="n">
        <x:v>2868</x:v>
      </x:c>
      <x:c r="B2869" s="87" t="str">
        <x:v>SEP-RU-V1-007</x:v>
      </x:c>
      <x:c r="C2869" s="87" t="str">
        <x:v>СтатГрад</x:v>
      </x:c>
      <x:c r="D2869" s="87" t="str">
        <x:v>Сентябрь 2025</x:v>
      </x:c>
      <x:c r="E2869" s="87"/>
      <x:c r="F2869" s="87"/>
      <x:c r="G2869" s="87" t="str">
        <x:v>Русский язык</x:v>
      </x:c>
      <x:c r="H2869" s="87" t="n">
        <x:v>11</x:v>
      </x:c>
      <x:c r="I2869" s="87" t="str">
        <x:v>ТР №1</x:v>
      </x:c>
      <x:c r="J2869" s="87" t="str">
        <x:v>РЯ2510101</x:v>
      </x:c>
      <x:c r="K2869" s="87" t="n">
        <x:v>7</x:v>
      </x:c>
      <x:c r="L2869" s="87" t="str">
        <x:v>Грамматическая форма</x:v>
      </x:c>
      <x:c r="M2869" s="30" t="str">
        <x:v>Исправить неверную форму числительного в сочетании «с полуторастами тоннами».</x:v>
      </x:c>
      <x:c r="N2869" s="30" t="str">
        <x:v>полутораста</x:v>
      </x:c>
      <x:c r="O2869" s="30" t="str">
        <x:v>В косвенных падежах числительное «полтораста» имеет форму «полутораста».</x:v>
      </x:c>
      <x:c r="P2869" s="30" t="str">
        <x:v>В косвенных падежах числительное «полтораста» имеет форму «полутораста».</x:v>
      </x:c>
      <x:c r="Q2869" s="30"/>
      <x:c r="R2869" s="30" t="str">
        <x:v>Kriterii_RU11_18092025.pdf: полутораста</x:v>
      </x:c>
      <x:c r="S2869" s="30"/>
      <x:c r="T2869" s="30"/>
      <x:c r="U2869" s="30" t="str">
        <x:v>Расхождений не обнаружено.</x:v>
      </x:c>
      <x:c r="V2869" s="87" t="str">
        <x:v>VERIFIED</x:v>
      </x:c>
      <x:c r="W2869" s="87" t="str">
        <x:v>Официальный PDF, стр. 4</x:v>
      </x:c>
      <x:c r="X2869" s="87"/>
      <x:c r="Y2869" s="87"/>
      <x:c r="Z2869" s="87"/>
      <x:c r="AA2869" s="87"/>
      <x:c r="AB2869" s="87"/>
      <x:c r="AC2869" s="87"/>
      <x:c r="AD2869" s="87"/>
      <x:c r="AE2869" s="87"/>
      <x:c r="AF2869" s="87"/>
      <x:c r="AG2869" s="87"/>
      <x:c r="AH2869" s="87"/>
      <x:c r="AI2869" s="30"/>
      <x:c r="AJ2869" s="87" t="str">
        <x:v>master</x:v>
      </x:c>
      <x:c r="AK2869" s="87" t="str">
        <x:v>master-v0.81</x:v>
      </x:c>
      <x:c r="AL2869" s="87" t="str">
        <x:v>statgrad_master_base_v0_81_final(2).xlsx</x:v>
      </x:c>
      <x:c r="AM2869" s="87" t="str">
        <x:v>RU_Sep_V1</x:v>
      </x:c>
      <x:c r="AN2869" s="87" t="n">
        <x:v>8</x:v>
      </x:c>
    </x:row>
    <x:row r="2870">
      <x:c r="A2870" s="87" t="n">
        <x:v>2869</x:v>
      </x:c>
      <x:c r="B2870" s="87" t="str">
        <x:v>SEP-RU-V1-008</x:v>
      </x:c>
      <x:c r="C2870" s="87" t="str">
        <x:v>СтатГрад</x:v>
      </x:c>
      <x:c r="D2870" s="87" t="str">
        <x:v>Сентябрь 2025</x:v>
      </x:c>
      <x:c r="E2870" s="87"/>
      <x:c r="F2870" s="87"/>
      <x:c r="G2870" s="87" t="str">
        <x:v>Русский язык</x:v>
      </x:c>
      <x:c r="H2870" s="87" t="n">
        <x:v>11</x:v>
      </x:c>
      <x:c r="I2870" s="87" t="str">
        <x:v>ТР №1</x:v>
      </x:c>
      <x:c r="J2870" s="87" t="str">
        <x:v>РЯ2510101</x:v>
      </x:c>
      <x:c r="K2870" s="87" t="n">
        <x:v>8</x:v>
      </x:c>
      <x:c r="L2870" s="87" t="str">
        <x:v>Грамматические ошибки</x:v>
      </x:c>
      <x:c r="M2870" s="30" t="str">
        <x:v>Соотнести пять типов грамматических ошибок с предложениями 1–9.</x:v>
      </x:c>
      <x:c r="N2870" s="30" t="str">
        <x:v>93418</x:v>
      </x:c>
      <x:c r="O2870" s="30" t="str">
        <x:v>А–9: ТЭЦ была построена; Б–3: смешение причастного оборота и придаточного; В–4: согласно заключению; Г–1: смешение прямой и косвенной речи; Д–8: действие оборота не относится к подлежащему.</x:v>
      </x:c>
      <x:c r="P2870" s="30" t="str">
        <x:v>А–9: ТЭЦ была построена; Б–3: смешение причастного оборота и придаточного; В–4: согласно заключению; Г–1: смешение прямой и косвенной речи; Д–8: действие оборота не относится к подлежащему.</x:v>
      </x:c>
      <x:c r="Q2870" s="30"/>
      <x:c r="R2870" s="30" t="str">
        <x:v>Kriterii_RU11_18092025.pdf: 93418</x:v>
      </x:c>
      <x:c r="S2870" s="30"/>
      <x:c r="T2870" s="30"/>
      <x:c r="U2870" s="30" t="str">
        <x:v>Расхождений не обнаружено.</x:v>
      </x:c>
      <x:c r="V2870" s="87" t="str">
        <x:v>VERIFIED</x:v>
      </x:c>
      <x:c r="W2870" s="87" t="str">
        <x:v>Официальный PDF, стр. 5</x:v>
      </x:c>
      <x:c r="X2870" s="87"/>
      <x:c r="Y2870" s="87"/>
      <x:c r="Z2870" s="87"/>
      <x:c r="AA2870" s="87"/>
      <x:c r="AB2870" s="87"/>
      <x:c r="AC2870" s="87"/>
      <x:c r="AD2870" s="87"/>
      <x:c r="AE2870" s="87"/>
      <x:c r="AF2870" s="87"/>
      <x:c r="AG2870" s="87"/>
      <x:c r="AH2870" s="87"/>
      <x:c r="AI2870" s="30"/>
      <x:c r="AJ2870" s="87" t="str">
        <x:v>master</x:v>
      </x:c>
      <x:c r="AK2870" s="87" t="str">
        <x:v>master-v0.81</x:v>
      </x:c>
      <x:c r="AL2870" s="87" t="str">
        <x:v>statgrad_master_base_v0_81_final(2).xlsx</x:v>
      </x:c>
      <x:c r="AM2870" s="87" t="str">
        <x:v>RU_Sep_V1</x:v>
      </x:c>
      <x:c r="AN2870" s="87" t="n">
        <x:v>9</x:v>
      </x:c>
    </x:row>
    <x:row r="2871">
      <x:c r="A2871" s="87" t="n">
        <x:v>2870</x:v>
      </x:c>
      <x:c r="B2871" s="87" t="str">
        <x:v>SEP-RU-V1-009</x:v>
      </x:c>
      <x:c r="C2871" s="87" t="str">
        <x:v>СтатГрад</x:v>
      </x:c>
      <x:c r="D2871" s="87" t="str">
        <x:v>Сентябрь 2025</x:v>
      </x:c>
      <x:c r="E2871" s="87"/>
      <x:c r="F2871" s="87"/>
      <x:c r="G2871" s="87" t="str">
        <x:v>Русский язык</x:v>
      </x:c>
      <x:c r="H2871" s="87" t="n">
        <x:v>11</x:v>
      </x:c>
      <x:c r="I2871" s="87" t="str">
        <x:v>ТР №1</x:v>
      </x:c>
      <x:c r="J2871" s="87" t="str">
        <x:v>РЯ2510101</x:v>
      </x:c>
      <x:c r="K2871" s="87" t="n">
        <x:v>9</x:v>
      </x:c>
      <x:c r="L2871" s="87" t="str">
        <x:v>Корни слов</x:v>
      </x:c>
      <x:c r="M2871" s="30" t="str">
        <x:v>Выбрать ряды с одной и той же пропущенной буквой в корнях.</x:v>
      </x:c>
      <x:c r="N2871" s="30" t="str">
        <x:v>145</x:v>
      </x:c>
      <x:c r="O2871" s="30" t="str">
        <x:v>1: жёлуди, вычёркивать, расчётливый; 4: воспоминание, блистательный, примирение; 5: экспрессивный, ослепительный, проредить.</x:v>
      </x:c>
      <x:c r="P2871" s="30" t="str">
        <x:v>1: жёлуди, вычёркивать, расчётливый; 4: воспоминание, блистательный, примирение; 5: экспрессивный, ослепительный, проредить.</x:v>
      </x:c>
      <x:c r="Q2871" s="30"/>
      <x:c r="R2871" s="30" t="str">
        <x:v>photo_2025-09-19_11-16-39.jpg: 145</x:v>
      </x:c>
      <x:c r="S2871" s="30"/>
      <x:c r="T2871" s="30"/>
      <x:c r="U2871" s="30" t="str">
        <x:v>Расхождений не обнаружено.</x:v>
      </x:c>
      <x:c r="V2871" s="87" t="str">
        <x:v>VERIFIED</x:v>
      </x:c>
      <x:c r="W2871" s="87" t="str">
        <x:v>Официальный PDF, стр. 6</x:v>
      </x:c>
      <x:c r="X2871" s="87"/>
      <x:c r="Y2871" s="87"/>
      <x:c r="Z2871" s="87"/>
      <x:c r="AA2871" s="87"/>
      <x:c r="AB2871" s="87"/>
      <x:c r="AC2871" s="87"/>
      <x:c r="AD2871" s="87"/>
      <x:c r="AE2871" s="87"/>
      <x:c r="AF2871" s="87"/>
      <x:c r="AG2871" s="87"/>
      <x:c r="AH2871" s="87"/>
      <x:c r="AI2871" s="30"/>
      <x:c r="AJ2871" s="87" t="str">
        <x:v>master</x:v>
      </x:c>
      <x:c r="AK2871" s="87" t="str">
        <x:v>master-v0.81</x:v>
      </x:c>
      <x:c r="AL2871" s="87" t="str">
        <x:v>statgrad_master_base_v0_81_final(2).xlsx</x:v>
      </x:c>
      <x:c r="AM2871" s="87" t="str">
        <x:v>RU_Sep_V1</x:v>
      </x:c>
      <x:c r="AN2871" s="87" t="n">
        <x:v>10</x:v>
      </x:c>
    </x:row>
    <x:row r="2872">
      <x:c r="A2872" s="87" t="n">
        <x:v>2871</x:v>
      </x:c>
      <x:c r="B2872" s="87" t="str">
        <x:v>SEP-RU-V1-010</x:v>
      </x:c>
      <x:c r="C2872" s="87" t="str">
        <x:v>СтатГрад</x:v>
      </x:c>
      <x:c r="D2872" s="87" t="str">
        <x:v>Сентябрь 2025</x:v>
      </x:c>
      <x:c r="E2872" s="87"/>
      <x:c r="F2872" s="87"/>
      <x:c r="G2872" s="87" t="str">
        <x:v>Русский язык</x:v>
      </x:c>
      <x:c r="H2872" s="87" t="n">
        <x:v>11</x:v>
      </x:c>
      <x:c r="I2872" s="87" t="str">
        <x:v>ТР №1</x:v>
      </x:c>
      <x:c r="J2872" s="87" t="str">
        <x:v>РЯ2510101</x:v>
      </x:c>
      <x:c r="K2872" s="87" t="n">
        <x:v>10</x:v>
      </x:c>
      <x:c r="L2872" s="87" t="str">
        <x:v>Приставки</x:v>
      </x:c>
      <x:c r="M2872" s="30" t="str">
        <x:v>Выбрать ряды с одной и той же пропущенной буквой в приставках и на стыке морфем.</x:v>
      </x:c>
      <x:c r="N2872" s="30" t="str">
        <x:v>13</x:v>
      </x:c>
      <x:c r="O2872" s="30" t="str">
        <x:v>1: неприемлемый, пригожий, неприступная; 3: пробежать, пророссийские, прообраз.</x:v>
      </x:c>
      <x:c r="P2872" s="30" t="str">
        <x:v>1: неприемлемый, пригожий, неприступная; 3: пробежать, пророссийские, прообраз.</x:v>
      </x:c>
      <x:c r="Q2872" s="30"/>
      <x:c r="R2872" s="30" t="str">
        <x:v>photo_2025-09-19_11-16-39.jpg: 13</x:v>
      </x:c>
      <x:c r="S2872" s="30"/>
      <x:c r="T2872" s="30"/>
      <x:c r="U2872" s="30" t="str">
        <x:v>Расхождений не обнаружено.</x:v>
      </x:c>
      <x:c r="V2872" s="87" t="str">
        <x:v>VERIFIED</x:v>
      </x:c>
      <x:c r="W2872" s="87" t="str">
        <x:v>Официальный PDF, стр. 6</x:v>
      </x:c>
      <x:c r="X2872" s="87"/>
      <x:c r="Y2872" s="87"/>
      <x:c r="Z2872" s="87"/>
      <x:c r="AA2872" s="87"/>
      <x:c r="AB2872" s="87"/>
      <x:c r="AC2872" s="87"/>
      <x:c r="AD2872" s="87"/>
      <x:c r="AE2872" s="87"/>
      <x:c r="AF2872" s="87"/>
      <x:c r="AG2872" s="87"/>
      <x:c r="AH2872" s="87"/>
      <x:c r="AI2872" s="30"/>
      <x:c r="AJ2872" s="87" t="str">
        <x:v>master</x:v>
      </x:c>
      <x:c r="AK2872" s="87" t="str">
        <x:v>master-v0.81</x:v>
      </x:c>
      <x:c r="AL2872" s="87" t="str">
        <x:v>statgrad_master_base_v0_81_final(2).xlsx</x:v>
      </x:c>
      <x:c r="AM2872" s="87" t="str">
        <x:v>RU_Sep_V1</x:v>
      </x:c>
      <x:c r="AN2872" s="87" t="n">
        <x:v>11</x:v>
      </x:c>
    </x:row>
    <x:row r="2873">
      <x:c r="A2873" s="87" t="n">
        <x:v>2872</x:v>
      </x:c>
      <x:c r="B2873" s="87" t="str">
        <x:v>SEP-RU-V1-011</x:v>
      </x:c>
      <x:c r="C2873" s="87" t="str">
        <x:v>СтатГрад</x:v>
      </x:c>
      <x:c r="D2873" s="87" t="str">
        <x:v>Сентябрь 2025</x:v>
      </x:c>
      <x:c r="E2873" s="87"/>
      <x:c r="F2873" s="87"/>
      <x:c r="G2873" s="87" t="str">
        <x:v>Русский язык</x:v>
      </x:c>
      <x:c r="H2873" s="87" t="n">
        <x:v>11</x:v>
      </x:c>
      <x:c r="I2873" s="87" t="str">
        <x:v>ТР №1</x:v>
      </x:c>
      <x:c r="J2873" s="87" t="str">
        <x:v>РЯ2510101</x:v>
      </x:c>
      <x:c r="K2873" s="87" t="n">
        <x:v>11</x:v>
      </x:c>
      <x:c r="L2873" s="87" t="str">
        <x:v>Суффиксы</x:v>
      </x:c>
      <x:c r="M2873" s="30" t="str">
        <x:v>Выбрать пары слов с одной и той же буквой в суффиксах.</x:v>
      </x:c>
      <x:c r="N2873" s="30" t="str">
        <x:v>235</x:v>
      </x:c>
      <x:c r="O2873" s="30" t="str">
        <x:v>2: убористый, уклончивый; 3: белорусский, киргизский; 5: речевой, намереваться.</x:v>
      </x:c>
      <x:c r="P2873" s="30" t="str">
        <x:v>2: убористый, уклончивый; 3: белорусский, киргизский; 5: речевой, намереваться.</x:v>
      </x:c>
      <x:c r="Q2873" s="30"/>
      <x:c r="R2873" s="30" t="str">
        <x:v>photo_2025-09-19_11-16-39.jpg: 235</x:v>
      </x:c>
      <x:c r="S2873" s="30"/>
      <x:c r="T2873" s="30"/>
      <x:c r="U2873" s="30" t="str">
        <x:v>Расхождений не обнаружено.</x:v>
      </x:c>
      <x:c r="V2873" s="87" t="str">
        <x:v>VERIFIED</x:v>
      </x:c>
      <x:c r="W2873" s="87" t="str">
        <x:v>Официальный PDF, стр. 6</x:v>
      </x:c>
      <x:c r="X2873" s="87"/>
      <x:c r="Y2873" s="87"/>
      <x:c r="Z2873" s="87"/>
      <x:c r="AA2873" s="87"/>
      <x:c r="AB2873" s="87"/>
      <x:c r="AC2873" s="87"/>
      <x:c r="AD2873" s="87"/>
      <x:c r="AE2873" s="87"/>
      <x:c r="AF2873" s="87"/>
      <x:c r="AG2873" s="87"/>
      <x:c r="AH2873" s="87"/>
      <x:c r="AI2873" s="30"/>
      <x:c r="AJ2873" s="87" t="str">
        <x:v>master</x:v>
      </x:c>
      <x:c r="AK2873" s="87" t="str">
        <x:v>master-v0.81</x:v>
      </x:c>
      <x:c r="AL2873" s="87" t="str">
        <x:v>statgrad_master_base_v0_81_final(2).xlsx</x:v>
      </x:c>
      <x:c r="AM2873" s="87" t="str">
        <x:v>RU_Sep_V1</x:v>
      </x:c>
      <x:c r="AN2873" s="87" t="n">
        <x:v>12</x:v>
      </x:c>
    </x:row>
    <x:row r="2874">
      <x:c r="A2874" s="87" t="n">
        <x:v>2873</x:v>
      </x:c>
      <x:c r="B2874" s="87" t="str">
        <x:v>SEP-RU-V1-012</x:v>
      </x:c>
      <x:c r="C2874" s="87" t="str">
        <x:v>СтатГрад</x:v>
      </x:c>
      <x:c r="D2874" s="87" t="str">
        <x:v>Сентябрь 2025</x:v>
      </x:c>
      <x:c r="E2874" s="87"/>
      <x:c r="F2874" s="87"/>
      <x:c r="G2874" s="87" t="str">
        <x:v>Русский язык</x:v>
      </x:c>
      <x:c r="H2874" s="87" t="n">
        <x:v>11</x:v>
      </x:c>
      <x:c r="I2874" s="87" t="str">
        <x:v>ТР №1</x:v>
      </x:c>
      <x:c r="J2874" s="87" t="str">
        <x:v>РЯ2510101</x:v>
      </x:c>
      <x:c r="K2874" s="87" t="n">
        <x:v>12</x:v>
      </x:c>
      <x:c r="L2874" s="87" t="str">
        <x:v>Личные окончания и суффиксы</x:v>
      </x:c>
      <x:c r="M2874" s="30" t="str">
        <x:v>Выбрать пары с одной и той же буквой в окончаниях глаголов и суффиксах причастий.</x:v>
      </x:c>
      <x:c r="N2874" s="30" t="str">
        <x:v>135</x:v>
      </x:c>
      <x:c r="O2874" s="30" t="str">
        <x:v>1: колеблемый, расколется; 3: топчут, плачут; 5: накормишь, движимый.</x:v>
      </x:c>
      <x:c r="P2874" s="30" t="str">
        <x:v>1: колеблемый, расколется; 3: топчут, плачут; 5: накормишь, движимый.</x:v>
      </x:c>
      <x:c r="Q2874" s="30"/>
      <x:c r="R2874" s="30" t="str">
        <x:v>photo_2025-09-19_11-16-39.jpg: 135</x:v>
      </x:c>
      <x:c r="S2874" s="30"/>
      <x:c r="T2874" s="30"/>
      <x:c r="U2874" s="30" t="str">
        <x:v>Расхождений не обнаружено.</x:v>
      </x:c>
      <x:c r="V2874" s="87" t="str">
        <x:v>VERIFIED</x:v>
      </x:c>
      <x:c r="W2874" s="87" t="str">
        <x:v>Официальный PDF, стр. 6</x:v>
      </x:c>
      <x:c r="X2874" s="87"/>
      <x:c r="Y2874" s="87"/>
      <x:c r="Z2874" s="87"/>
      <x:c r="AA2874" s="87"/>
      <x:c r="AB2874" s="87"/>
      <x:c r="AC2874" s="87"/>
      <x:c r="AD2874" s="87"/>
      <x:c r="AE2874" s="87"/>
      <x:c r="AF2874" s="87"/>
      <x:c r="AG2874" s="87"/>
      <x:c r="AH2874" s="87"/>
      <x:c r="AI2874" s="30"/>
      <x:c r="AJ2874" s="87" t="str">
        <x:v>master</x:v>
      </x:c>
      <x:c r="AK2874" s="87" t="str">
        <x:v>master-v0.81</x:v>
      </x:c>
      <x:c r="AL2874" s="87" t="str">
        <x:v>statgrad_master_base_v0_81_final(2).xlsx</x:v>
      </x:c>
      <x:c r="AM2874" s="87" t="str">
        <x:v>RU_Sep_V1</x:v>
      </x:c>
      <x:c r="AN2874" s="87" t="n">
        <x:v>13</x:v>
      </x:c>
    </x:row>
    <x:row r="2875">
      <x:c r="A2875" s="87" t="n">
        <x:v>2874</x:v>
      </x:c>
      <x:c r="B2875" s="87" t="str">
        <x:v>SEP-RU-V1-013</x:v>
      </x:c>
      <x:c r="C2875" s="87" t="str">
        <x:v>СтатГрад</x:v>
      </x:c>
      <x:c r="D2875" s="87" t="str">
        <x:v>Сентябрь 2025</x:v>
      </x:c>
      <x:c r="E2875" s="87"/>
      <x:c r="F2875" s="87"/>
      <x:c r="G2875" s="87" t="str">
        <x:v>Русский язык</x:v>
      </x:c>
      <x:c r="H2875" s="87" t="n">
        <x:v>11</x:v>
      </x:c>
      <x:c r="I2875" s="87" t="str">
        <x:v>ТР №1</x:v>
      </x:c>
      <x:c r="J2875" s="87" t="str">
        <x:v>РЯ2510101</x:v>
      </x:c>
      <x:c r="K2875" s="87" t="n">
        <x:v>13</x:v>
      </x:c>
      <x:c r="L2875" s="87" t="str">
        <x:v>НЕ со словами</x:v>
      </x:c>
      <x:c r="M2875" s="30" t="str">
        <x:v>Выбрать случаи раздельного написания НЕ.</x:v>
      </x:c>
      <x:c r="N2875" s="30" t="str">
        <x:v>134</x:v>
      </x:c>
      <x:c r="O2875" s="30" t="str">
        <x:v>Раздельно: не мешало; ещё не проверенную; не чем иным.</x:v>
      </x:c>
      <x:c r="P2875" s="30" t="str">
        <x:v>Раздельно: не мешало; ещё не проверенную; не чем иным.</x:v>
      </x:c>
      <x:c r="Q2875" s="30"/>
      <x:c r="R2875" s="30" t="str">
        <x:v>Kriterii_RU11_18092025.pdf: 134 &lt;или&gt; любая другая последовательность этих цифр</x:v>
      </x:c>
      <x:c r="S2875" s="30"/>
      <x:c r="T2875" s="30"/>
      <x:c r="U2875" s="30" t="str">
        <x:v>Расхождений не обнаружено; допустимые перестановки и альтернативы сохранены.</x:v>
      </x:c>
      <x:c r="V2875" s="87" t="str">
        <x:v>VERIFIED</x:v>
      </x:c>
      <x:c r="W2875" s="87" t="str">
        <x:v>Официальный PDF, стр. 7</x:v>
      </x:c>
      <x:c r="X2875" s="87"/>
      <x:c r="Y2875" s="87"/>
      <x:c r="Z2875" s="87"/>
      <x:c r="AA2875" s="87"/>
      <x:c r="AB2875" s="87"/>
      <x:c r="AC2875" s="87"/>
      <x:c r="AD2875" s="87"/>
      <x:c r="AE2875" s="87"/>
      <x:c r="AF2875" s="87"/>
      <x:c r="AG2875" s="87"/>
      <x:c r="AH2875" s="87"/>
      <x:c r="AI2875" s="30"/>
      <x:c r="AJ2875" s="87" t="str">
        <x:v>master</x:v>
      </x:c>
      <x:c r="AK2875" s="87" t="str">
        <x:v>master-v0.81</x:v>
      </x:c>
      <x:c r="AL2875" s="87" t="str">
        <x:v>statgrad_master_base_v0_81_final(2).xlsx</x:v>
      </x:c>
      <x:c r="AM2875" s="87" t="str">
        <x:v>RU_Sep_V1</x:v>
      </x:c>
      <x:c r="AN2875" s="87" t="n">
        <x:v>14</x:v>
      </x:c>
    </x:row>
    <x:row r="2876">
      <x:c r="A2876" s="87" t="n">
        <x:v>2875</x:v>
      </x:c>
      <x:c r="B2876" s="87" t="str">
        <x:v>SEP-RU-V1-014</x:v>
      </x:c>
      <x:c r="C2876" s="87" t="str">
        <x:v>СтатГрад</x:v>
      </x:c>
      <x:c r="D2876" s="87" t="str">
        <x:v>Сентябрь 2025</x:v>
      </x:c>
      <x:c r="E2876" s="87"/>
      <x:c r="F2876" s="87"/>
      <x:c r="G2876" s="87" t="str">
        <x:v>Русский язык</x:v>
      </x:c>
      <x:c r="H2876" s="87" t="n">
        <x:v>11</x:v>
      </x:c>
      <x:c r="I2876" s="87" t="str">
        <x:v>ТР №1</x:v>
      </x:c>
      <x:c r="J2876" s="87" t="str">
        <x:v>РЯ2510101</x:v>
      </x:c>
      <x:c r="K2876" s="87" t="n">
        <x:v>14</x:v>
      </x:c>
      <x:c r="L2876" s="87" t="str">
        <x:v>Слитное/дефисное/раздельное написание</x:v>
      </x:c>
      <x:c r="M2876" s="30" t="str">
        <x:v>Выбрать строки, где оба выделенных слова пишутся через дефис.</x:v>
      </x:c>
      <x:c r="N2876" s="30" t="str">
        <x:v>45</x:v>
      </x:c>
      <x:c r="O2876" s="30" t="str">
        <x:v>По-весеннему и откуда-то; по-разному и по-видимому пишутся через дефис.</x:v>
      </x:c>
      <x:c r="P2876" s="30" t="str">
        <x:v>По-весеннему и откуда-то; по-разному и по-видимому пишутся через дефис.</x:v>
      </x:c>
      <x:c r="Q2876" s="30"/>
      <x:c r="R2876" s="30" t="str">
        <x:v>Kriterii_RU11_18092025.pdf: 45 &lt;или&gt; 54</x:v>
      </x:c>
      <x:c r="S2876" s="30"/>
      <x:c r="T2876" s="30"/>
      <x:c r="U2876" s="30" t="str">
        <x:v>Расхождений не обнаружено; допустимые перестановки и альтернативы сохранены.</x:v>
      </x:c>
      <x:c r="V2876" s="87" t="str">
        <x:v>VERIFIED</x:v>
      </x:c>
      <x:c r="W2876" s="87" t="str">
        <x:v>Официальный PDF, стр. 7</x:v>
      </x:c>
      <x:c r="X2876" s="87"/>
      <x:c r="Y2876" s="87"/>
      <x:c r="Z2876" s="87"/>
      <x:c r="AA2876" s="87"/>
      <x:c r="AB2876" s="87"/>
      <x:c r="AC2876" s="87"/>
      <x:c r="AD2876" s="87"/>
      <x:c r="AE2876" s="87"/>
      <x:c r="AF2876" s="87"/>
      <x:c r="AG2876" s="87"/>
      <x:c r="AH2876" s="87"/>
      <x:c r="AI2876" s="30"/>
      <x:c r="AJ2876" s="87" t="str">
        <x:v>master</x:v>
      </x:c>
      <x:c r="AK2876" s="87" t="str">
        <x:v>master-v0.81</x:v>
      </x:c>
      <x:c r="AL2876" s="87" t="str">
        <x:v>statgrad_master_base_v0_81_final(2).xlsx</x:v>
      </x:c>
      <x:c r="AM2876" s="87" t="str">
        <x:v>RU_Sep_V1</x:v>
      </x:c>
      <x:c r="AN2876" s="87" t="n">
        <x:v>15</x:v>
      </x:c>
    </x:row>
    <x:row r="2877">
      <x:c r="A2877" s="87" t="n">
        <x:v>2876</x:v>
      </x:c>
      <x:c r="B2877" s="87" t="str">
        <x:v>SEP-RU-V1-015</x:v>
      </x:c>
      <x:c r="C2877" s="87" t="str">
        <x:v>СтатГрад</x:v>
      </x:c>
      <x:c r="D2877" s="87" t="str">
        <x:v>Сентябрь 2025</x:v>
      </x:c>
      <x:c r="E2877" s="87"/>
      <x:c r="F2877" s="87"/>
      <x:c r="G2877" s="87" t="str">
        <x:v>Русский язык</x:v>
      </x:c>
      <x:c r="H2877" s="87" t="n">
        <x:v>11</x:v>
      </x:c>
      <x:c r="I2877" s="87" t="str">
        <x:v>ТР №1</x:v>
      </x:c>
      <x:c r="J2877" s="87" t="str">
        <x:v>РЯ2510101</x:v>
      </x:c>
      <x:c r="K2877" s="87" t="n">
        <x:v>15</x:v>
      </x:c>
      <x:c r="L2877" s="87" t="str">
        <x:v>Н и НН</x:v>
      </x:c>
      <x:c r="M2877" s="30" t="str">
        <x:v>Определить позиции с НН в описании блюд.</x:v>
      </x:c>
      <x:c r="N2877" s="30" t="str">
        <x:v>27</x:v>
      </x:c>
      <x:c r="O2877" s="30" t="str">
        <x:v>Пшённая — прилагательное с НН; «мочённые в остром рассоле» — причастие с зависимыми словами, также НН.</x:v>
      </x:c>
      <x:c r="P2877" s="30" t="str">
        <x:v>Пшённая — прилагательное с НН; «мочённые в остром рассоле» — причастие с зависимыми словами, также НН.</x:v>
      </x:c>
      <x:c r="Q2877" s="30"/>
      <x:c r="R2877" s="30" t="str">
        <x:v>Kriterii_RU11_18092025.pdf: 27 &lt;или&gt; 72</x:v>
      </x:c>
      <x:c r="S2877" s="30"/>
      <x:c r="T2877" s="30"/>
      <x:c r="U2877" s="30" t="str">
        <x:v>Расхождений не обнаружено; допустимые перестановки и альтернативы сохранены.</x:v>
      </x:c>
      <x:c r="V2877" s="87" t="str">
        <x:v>VERIFIED</x:v>
      </x:c>
      <x:c r="W2877" s="87" t="str">
        <x:v>Официальный PDF, стр. 7</x:v>
      </x:c>
      <x:c r="X2877" s="87"/>
      <x:c r="Y2877" s="87"/>
      <x:c r="Z2877" s="87"/>
      <x:c r="AA2877" s="87"/>
      <x:c r="AB2877" s="87"/>
      <x:c r="AC2877" s="87"/>
      <x:c r="AD2877" s="87"/>
      <x:c r="AE2877" s="87"/>
      <x:c r="AF2877" s="87"/>
      <x:c r="AG2877" s="87"/>
      <x:c r="AH2877" s="87"/>
      <x:c r="AI2877" s="30"/>
      <x:c r="AJ2877" s="87" t="str">
        <x:v>master</x:v>
      </x:c>
      <x:c r="AK2877" s="87" t="str">
        <x:v>master-v0.81</x:v>
      </x:c>
      <x:c r="AL2877" s="87" t="str">
        <x:v>statgrad_master_base_v0_81_final(2).xlsx</x:v>
      </x:c>
      <x:c r="AM2877" s="87" t="str">
        <x:v>RU_Sep_V1</x:v>
      </x:c>
      <x:c r="AN2877" s="87" t="n">
        <x:v>16</x:v>
      </x:c>
    </x:row>
    <x:row r="2878">
      <x:c r="A2878" s="87" t="n">
        <x:v>2877</x:v>
      </x:c>
      <x:c r="B2878" s="87" t="str">
        <x:v>SEP-RU-V1-016</x:v>
      </x:c>
      <x:c r="C2878" s="87" t="str">
        <x:v>СтатГрад</x:v>
      </x:c>
      <x:c r="D2878" s="87" t="str">
        <x:v>Сентябрь 2025</x:v>
      </x:c>
      <x:c r="E2878" s="87"/>
      <x:c r="F2878" s="87"/>
      <x:c r="G2878" s="87" t="str">
        <x:v>Русский язык</x:v>
      </x:c>
      <x:c r="H2878" s="87" t="n">
        <x:v>11</x:v>
      </x:c>
      <x:c r="I2878" s="87" t="str">
        <x:v>ТР №1</x:v>
      </x:c>
      <x:c r="J2878" s="87" t="str">
        <x:v>РЯ2510101</x:v>
      </x:c>
      <x:c r="K2878" s="87" t="n">
        <x:v>16</x:v>
      </x:c>
      <x:c r="L2878" s="87" t="str">
        <x:v>Однородные члены</x:v>
      </x:c>
      <x:c r="M2878" s="30" t="str">
        <x:v>Выбрать предложения, где требуется ровно одна запятая.</x:v>
      </x:c>
      <x:c r="N2878" s="30" t="str">
        <x:v>14</x:v>
      </x:c>
      <x:c r="O2878" s="30" t="str">
        <x:v>В 1-м предложении разделяются однородные сказуемые; в 4-м ставится запятая между частями союза «как…, так и…».</x:v>
      </x:c>
      <x:c r="P2878" s="30" t="str">
        <x:v>В 1-м предложении разделяются однородные сказуемые; в 4-м ставится запятая между частями союза «как…, так и…».</x:v>
      </x:c>
      <x:c r="Q2878" s="30"/>
      <x:c r="R2878" s="30" t="str">
        <x:v>photo_2025-09-19_11-16-39.jpg: 14</x:v>
      </x:c>
      <x:c r="S2878" s="30"/>
      <x:c r="T2878" s="30"/>
      <x:c r="U2878" s="30" t="str">
        <x:v>Расхождений не обнаружено.</x:v>
      </x:c>
      <x:c r="V2878" s="87" t="str">
        <x:v>VERIFIED</x:v>
      </x:c>
      <x:c r="W2878" s="87" t="str">
        <x:v>Официальный PDF, стр. 8</x:v>
      </x:c>
      <x:c r="X2878" s="87"/>
      <x:c r="Y2878" s="87"/>
      <x:c r="Z2878" s="87"/>
      <x:c r="AA2878" s="87"/>
      <x:c r="AB2878" s="87"/>
      <x:c r="AC2878" s="87"/>
      <x:c r="AD2878" s="87"/>
      <x:c r="AE2878" s="87"/>
      <x:c r="AF2878" s="87"/>
      <x:c r="AG2878" s="87"/>
      <x:c r="AH2878" s="87"/>
      <x:c r="AI2878" s="30"/>
      <x:c r="AJ2878" s="87" t="str">
        <x:v>master</x:v>
      </x:c>
      <x:c r="AK2878" s="87" t="str">
        <x:v>master-v0.81</x:v>
      </x:c>
      <x:c r="AL2878" s="87" t="str">
        <x:v>statgrad_master_base_v0_81_final(2).xlsx</x:v>
      </x:c>
      <x:c r="AM2878" s="87" t="str">
        <x:v>RU_Sep_V1</x:v>
      </x:c>
      <x:c r="AN2878" s="87" t="n">
        <x:v>17</x:v>
      </x:c>
    </x:row>
    <x:row r="2879">
      <x:c r="A2879" s="87" t="n">
        <x:v>2878</x:v>
      </x:c>
      <x:c r="B2879" s="87" t="str">
        <x:v>SEP-RU-V1-017</x:v>
      </x:c>
      <x:c r="C2879" s="87" t="str">
        <x:v>СтатГрад</x:v>
      </x:c>
      <x:c r="D2879" s="87" t="str">
        <x:v>Сентябрь 2025</x:v>
      </x:c>
      <x:c r="E2879" s="87"/>
      <x:c r="F2879" s="87"/>
      <x:c r="G2879" s="87" t="str">
        <x:v>Русский язык</x:v>
      </x:c>
      <x:c r="H2879" s="87" t="n">
        <x:v>11</x:v>
      </x:c>
      <x:c r="I2879" s="87" t="str">
        <x:v>ТР №1</x:v>
      </x:c>
      <x:c r="J2879" s="87" t="str">
        <x:v>РЯ2510101</x:v>
      </x:c>
      <x:c r="K2879" s="87" t="n">
        <x:v>17</x:v>
      </x:c>
      <x:c r="L2879" s="87" t="str">
        <x:v>Обособленные обстоятельства</x:v>
      </x:c>
      <x:c r="M2879" s="30" t="str">
        <x:v>Расставить запятые при деепричастных оборотах в предложении о Хоре.</x:v>
      </x:c>
      <x:c r="N2879" s="30" t="str">
        <x:v>145</x:v>
      </x:c>
      <x:c r="O2879" s="30" t="str">
        <x:v>Оборот «сидя… и поглаживая…» обособляется с двух сторон; одиночный оборот «посмеиваясь…» также отделяется.</x:v>
      </x:c>
      <x:c r="P2879" s="30" t="str">
        <x:v>Оборот «сидя… и поглаживая…» обособляется с двух сторон; одиночный оборот «посмеиваясь…» также отделяется.</x:v>
      </x:c>
      <x:c r="Q2879" s="30"/>
      <x:c r="R2879" s="30" t="str">
        <x:v>Kriterii_RU11_18092025.pdf: 145 &lt;или&gt; любая другая последовательность этих цифр</x:v>
      </x:c>
      <x:c r="S2879" s="30"/>
      <x:c r="T2879" s="30"/>
      <x:c r="U2879" s="30" t="str">
        <x:v>Расхождений не обнаружено; допустимые перестановки и альтернативы сохранены.</x:v>
      </x:c>
      <x:c r="V2879" s="87" t="str">
        <x:v>VERIFIED</x:v>
      </x:c>
      <x:c r="W2879" s="87" t="str">
        <x:v>Официальный PDF, стр. 8</x:v>
      </x:c>
      <x:c r="X2879" s="87"/>
      <x:c r="Y2879" s="87"/>
      <x:c r="Z2879" s="87"/>
      <x:c r="AA2879" s="87"/>
      <x:c r="AB2879" s="87"/>
      <x:c r="AC2879" s="87"/>
      <x:c r="AD2879" s="87"/>
      <x:c r="AE2879" s="87"/>
      <x:c r="AF2879" s="87"/>
      <x:c r="AG2879" s="87"/>
      <x:c r="AH2879" s="87"/>
      <x:c r="AI2879" s="30"/>
      <x:c r="AJ2879" s="87" t="str">
        <x:v>master</x:v>
      </x:c>
      <x:c r="AK2879" s="87" t="str">
        <x:v>master-v0.81</x:v>
      </x:c>
      <x:c r="AL2879" s="87" t="str">
        <x:v>statgrad_master_base_v0_81_final(2).xlsx</x:v>
      </x:c>
      <x:c r="AM2879" s="87" t="str">
        <x:v>RU_Sep_V1</x:v>
      </x:c>
      <x:c r="AN2879" s="87" t="n">
        <x:v>18</x:v>
      </x:c>
    </x:row>
    <x:row r="2880">
      <x:c r="A2880" s="87" t="n">
        <x:v>2879</x:v>
      </x:c>
      <x:c r="B2880" s="87" t="str">
        <x:v>SEP-RU-V1-018</x:v>
      </x:c>
      <x:c r="C2880" s="87" t="str">
        <x:v>СтатГрад</x:v>
      </x:c>
      <x:c r="D2880" s="87" t="str">
        <x:v>Сентябрь 2025</x:v>
      </x:c>
      <x:c r="E2880" s="87"/>
      <x:c r="F2880" s="87"/>
      <x:c r="G2880" s="87" t="str">
        <x:v>Русский язык</x:v>
      </x:c>
      <x:c r="H2880" s="87" t="n">
        <x:v>11</x:v>
      </x:c>
      <x:c r="I2880" s="87" t="str">
        <x:v>ТР №1</x:v>
      </x:c>
      <x:c r="J2880" s="87" t="str">
        <x:v>РЯ2510101</x:v>
      </x:c>
      <x:c r="K2880" s="87" t="n">
        <x:v>18</x:v>
      </x:c>
      <x:c r="L2880" s="87" t="str">
        <x:v>Вводные слова</x:v>
      </x:c>
      <x:c r="M2880" s="30" t="str">
        <x:v>Выделить вводное сочетание «на мой взгляд».</x:v>
      </x:c>
      <x:c r="N2880" s="30" t="str">
        <x:v>34</x:v>
      </x:c>
      <x:c r="O2880" s="30" t="str">
        <x:v>Сочетание «на мой взгляд» является вводным и выделяется запятыми.</x:v>
      </x:c>
      <x:c r="P2880" s="30" t="str">
        <x:v>Сочетание «на мой взгляд» является вводным и выделяется запятыми.</x:v>
      </x:c>
      <x:c r="Q2880" s="30"/>
      <x:c r="R2880" s="30" t="str">
        <x:v>Kriterii_RU11_18092025.pdf: 34 &lt;или&gt; 43</x:v>
      </x:c>
      <x:c r="S2880" s="30"/>
      <x:c r="T2880" s="30"/>
      <x:c r="U2880" s="30" t="str">
        <x:v>Расхождений не обнаружено; допустимые перестановки и альтернативы сохранены.</x:v>
      </x:c>
      <x:c r="V2880" s="87" t="str">
        <x:v>VERIFIED</x:v>
      </x:c>
      <x:c r="W2880" s="87" t="str">
        <x:v>Официальный PDF, стр. 8</x:v>
      </x:c>
      <x:c r="X2880" s="87"/>
      <x:c r="Y2880" s="87"/>
      <x:c r="Z2880" s="87"/>
      <x:c r="AA2880" s="87"/>
      <x:c r="AB2880" s="87"/>
      <x:c r="AC2880" s="87"/>
      <x:c r="AD2880" s="87"/>
      <x:c r="AE2880" s="87"/>
      <x:c r="AF2880" s="87"/>
      <x:c r="AG2880" s="87"/>
      <x:c r="AH2880" s="87"/>
      <x:c r="AI2880" s="30"/>
      <x:c r="AJ2880" s="87" t="str">
        <x:v>master</x:v>
      </x:c>
      <x:c r="AK2880" s="87" t="str">
        <x:v>master-v0.81</x:v>
      </x:c>
      <x:c r="AL2880" s="87" t="str">
        <x:v>statgrad_master_base_v0_81_final(2).xlsx</x:v>
      </x:c>
      <x:c r="AM2880" s="87" t="str">
        <x:v>RU_Sep_V1</x:v>
      </x:c>
      <x:c r="AN2880" s="87" t="n">
        <x:v>19</x:v>
      </x:c>
    </x:row>
    <x:row r="2881">
      <x:c r="A2881" s="87" t="n">
        <x:v>2880</x:v>
      </x:c>
      <x:c r="B2881" s="87" t="str">
        <x:v>SEP-RU-V1-019</x:v>
      </x:c>
      <x:c r="C2881" s="87" t="str">
        <x:v>СтатГрад</x:v>
      </x:c>
      <x:c r="D2881" s="87" t="str">
        <x:v>Сентябрь 2025</x:v>
      </x:c>
      <x:c r="E2881" s="87"/>
      <x:c r="F2881" s="87"/>
      <x:c r="G2881" s="87" t="str">
        <x:v>Русский язык</x:v>
      </x:c>
      <x:c r="H2881" s="87" t="n">
        <x:v>11</x:v>
      </x:c>
      <x:c r="I2881" s="87" t="str">
        <x:v>ТР №1</x:v>
      </x:c>
      <x:c r="J2881" s="87" t="str">
        <x:v>РЯ2510101</x:v>
      </x:c>
      <x:c r="K2881" s="87" t="n">
        <x:v>19</x:v>
      </x:c>
      <x:c r="L2881" s="87" t="str">
        <x:v>СПП и сложное предложение</x:v>
      </x:c>
      <x:c r="M2881" s="30" t="str">
        <x:v>Расставить запятые в сложном предложении о расследовании поджога.</x:v>
      </x:c>
      <x:c r="N2881" s="30" t="str">
        <x:v>126</x:v>
      </x:c>
      <x:c r="O2881" s="30" t="str">
        <x:v>Запятые нужны после уступительной части, перед изъяснительным блоком, перед «однако» и перед придаточным с «как».</x:v>
      </x:c>
      <x:c r="P2881" s="30" t="str">
        <x:v>Запятые нужны после уступительной части, перед изъяснительным блоком, перед «однако» и перед придаточным с «как».</x:v>
      </x:c>
      <x:c r="Q2881" s="30"/>
      <x:c r="R2881" s="30" t="str">
        <x:v>Kriterii_RU11_18092025.pdf: 126 &lt;или&gt; любая другая последовательность этих цифр</x:v>
      </x:c>
      <x:c r="S2881" s="30"/>
      <x:c r="T2881" s="30"/>
      <x:c r="U2881" s="30" t="str">
        <x:v>Расхождений не обнаружено; допустимые перестановки и альтернативы сохранены.</x:v>
      </x:c>
      <x:c r="V2881" s="87" t="str">
        <x:v>VERIFIED</x:v>
      </x:c>
      <x:c r="W2881" s="87" t="str">
        <x:v>Официальный PDF, стр. 8</x:v>
      </x:c>
      <x:c r="X2881" s="87"/>
      <x:c r="Y2881" s="87"/>
      <x:c r="Z2881" s="87"/>
      <x:c r="AA2881" s="87"/>
      <x:c r="AB2881" s="87"/>
      <x:c r="AC2881" s="87"/>
      <x:c r="AD2881" s="87"/>
      <x:c r="AE2881" s="87"/>
      <x:c r="AF2881" s="87"/>
      <x:c r="AG2881" s="87"/>
      <x:c r="AH2881" s="87"/>
      <x:c r="AI2881" s="30"/>
      <x:c r="AJ2881" s="87" t="str">
        <x:v>master</x:v>
      </x:c>
      <x:c r="AK2881" s="87" t="str">
        <x:v>master-v0.81</x:v>
      </x:c>
      <x:c r="AL2881" s="87" t="str">
        <x:v>statgrad_master_base_v0_81_final(2).xlsx</x:v>
      </x:c>
      <x:c r="AM2881" s="87" t="str">
        <x:v>RU_Sep_V1</x:v>
      </x:c>
      <x:c r="AN2881" s="87" t="n">
        <x:v>20</x:v>
      </x:c>
    </x:row>
    <x:row r="2882">
      <x:c r="A2882" s="87" t="n">
        <x:v>2881</x:v>
      </x:c>
      <x:c r="B2882" s="87" t="str">
        <x:v>SEP-RU-V1-020</x:v>
      </x:c>
      <x:c r="C2882" s="87" t="str">
        <x:v>СтатГрад</x:v>
      </x:c>
      <x:c r="D2882" s="87" t="str">
        <x:v>Сентябрь 2025</x:v>
      </x:c>
      <x:c r="E2882" s="87"/>
      <x:c r="F2882" s="87"/>
      <x:c r="G2882" s="87" t="str">
        <x:v>Русский язык</x:v>
      </x:c>
      <x:c r="H2882" s="87" t="n">
        <x:v>11</x:v>
      </x:c>
      <x:c r="I2882" s="87" t="str">
        <x:v>ТР №1</x:v>
      </x:c>
      <x:c r="J2882" s="87" t="str">
        <x:v>РЯ2510101</x:v>
      </x:c>
      <x:c r="K2882" s="87" t="n">
        <x:v>20</x:v>
      </x:c>
      <x:c r="L2882" s="87" t="str">
        <x:v>Сложное предложение</x:v>
      </x:c>
      <x:c r="M2882" s="30" t="str">
        <x:v>Расставить запятые в сложном предложении с косвенным вопросом и условной частью.</x:v>
      </x:c>
      <x:c r="N2882" s="30" t="str">
        <x:v>1257</x:v>
      </x:c>
      <x:c r="O2882" s="30" t="str">
        <x:v>Запятые открывают косвенный вопрос, придаточное «куда… и где…», отделяют следующую часть и условное придаточное.</x:v>
      </x:c>
      <x:c r="P2882" s="30" t="str">
        <x:v>Запятые открывают косвенный вопрос, придаточное «куда… и где…», отделяют следующую часть и условное придаточное.</x:v>
      </x:c>
      <x:c r="Q2882" s="30"/>
      <x:c r="R2882" s="30" t="str">
        <x:v>Kriterii_RU11_18092025.pdf: 1257 &lt;или&gt; любая другая последовательность этих цифр</x:v>
      </x:c>
      <x:c r="S2882" s="30"/>
      <x:c r="T2882" s="30"/>
      <x:c r="U2882" s="30" t="str">
        <x:v>Расхождений не обнаружено; допустимые перестановки и альтернативы сохранены.</x:v>
      </x:c>
      <x:c r="V2882" s="87" t="str">
        <x:v>VERIFIED</x:v>
      </x:c>
      <x:c r="W2882" s="87" t="str">
        <x:v>Официальный PDF, стр. 9</x:v>
      </x:c>
      <x:c r="X2882" s="87"/>
      <x:c r="Y2882" s="87"/>
      <x:c r="Z2882" s="87"/>
      <x:c r="AA2882" s="87"/>
      <x:c r="AB2882" s="87"/>
      <x:c r="AC2882" s="87"/>
      <x:c r="AD2882" s="87"/>
      <x:c r="AE2882" s="87"/>
      <x:c r="AF2882" s="87"/>
      <x:c r="AG2882" s="87"/>
      <x:c r="AH2882" s="87"/>
      <x:c r="AI2882" s="30"/>
      <x:c r="AJ2882" s="87" t="str">
        <x:v>master</x:v>
      </x:c>
      <x:c r="AK2882" s="87" t="str">
        <x:v>master-v0.81</x:v>
      </x:c>
      <x:c r="AL2882" s="87" t="str">
        <x:v>statgrad_master_base_v0_81_final(2).xlsx</x:v>
      </x:c>
      <x:c r="AM2882" s="87" t="str">
        <x:v>RU_Sep_V1</x:v>
      </x:c>
      <x:c r="AN2882" s="87" t="n">
        <x:v>21</x:v>
      </x:c>
    </x:row>
    <x:row r="2883">
      <x:c r="A2883" s="87" t="n">
        <x:v>2882</x:v>
      </x:c>
      <x:c r="B2883" s="87" t="str">
        <x:v>SEP-RU-V1-021</x:v>
      </x:c>
      <x:c r="C2883" s="87" t="str">
        <x:v>СтатГрад</x:v>
      </x:c>
      <x:c r="D2883" s="87" t="str">
        <x:v>Сентябрь 2025</x:v>
      </x:c>
      <x:c r="E2883" s="87"/>
      <x:c r="F2883" s="87"/>
      <x:c r="G2883" s="87" t="str">
        <x:v>Русский язык</x:v>
      </x:c>
      <x:c r="H2883" s="87" t="n">
        <x:v>11</x:v>
      </x:c>
      <x:c r="I2883" s="87" t="str">
        <x:v>ТР №1</x:v>
      </x:c>
      <x:c r="J2883" s="87" t="str">
        <x:v>РЯ2510101</x:v>
      </x:c>
      <x:c r="K2883" s="87" t="n">
        <x:v>21</x:v>
      </x:c>
      <x:c r="L2883" s="87" t="str">
        <x:v>Пунктуационный анализ</x:v>
      </x:c>
      <x:c r="M2883" s="30" t="str">
        <x:v>Найти предложения о капибарах с тире по одному правилу.</x:v>
      </x:c>
      <x:c r="N2883" s="30" t="str">
        <x:v>36</x:v>
      </x:c>
      <x:c r="O2883" s="30" t="str">
        <x:v>В 3-м и 6-м предложениях тире вводит поясняющее наименование признака/особенности.</x:v>
      </x:c>
      <x:c r="P2883" s="30" t="str">
        <x:v>В 3-м и 6-м предложениях тире вводит поясняющее наименование признака/особенности.</x:v>
      </x:c>
      <x:c r="Q2883" s="30"/>
      <x:c r="R2883" s="30" t="str">
        <x:v>Kriterii_RU11_18092025.pdf: 36 &lt;или&gt; 63</x:v>
      </x:c>
      <x:c r="S2883" s="30"/>
      <x:c r="T2883" s="30"/>
      <x:c r="U2883" s="30" t="str">
        <x:v>Расхождений не обнаружено; допустимые перестановки и альтернативы сохранены.</x:v>
      </x:c>
      <x:c r="V2883" s="87" t="str">
        <x:v>VERIFIED</x:v>
      </x:c>
      <x:c r="W2883" s="87" t="str">
        <x:v>Официальный PDF, стр. 9</x:v>
      </x:c>
      <x:c r="X2883" s="87"/>
      <x:c r="Y2883" s="87"/>
      <x:c r="Z2883" s="87"/>
      <x:c r="AA2883" s="87"/>
      <x:c r="AB2883" s="87"/>
      <x:c r="AC2883" s="87"/>
      <x:c r="AD2883" s="87"/>
      <x:c r="AE2883" s="87"/>
      <x:c r="AF2883" s="87"/>
      <x:c r="AG2883" s="87"/>
      <x:c r="AH2883" s="87"/>
      <x:c r="AI2883" s="30"/>
      <x:c r="AJ2883" s="87" t="str">
        <x:v>master</x:v>
      </x:c>
      <x:c r="AK2883" s="87" t="str">
        <x:v>master-v0.81</x:v>
      </x:c>
      <x:c r="AL2883" s="87" t="str">
        <x:v>statgrad_master_base_v0_81_final(2).xlsx</x:v>
      </x:c>
      <x:c r="AM2883" s="87" t="str">
        <x:v>RU_Sep_V1</x:v>
      </x:c>
      <x:c r="AN2883" s="87" t="n">
        <x:v>22</x:v>
      </x:c>
    </x:row>
    <x:row r="2884">
      <x:c r="A2884" s="87" t="n">
        <x:v>2883</x:v>
      </x:c>
      <x:c r="B2884" s="87" t="str">
        <x:v>SEP-RU-V1-022</x:v>
      </x:c>
      <x:c r="C2884" s="87" t="str">
        <x:v>СтатГрад</x:v>
      </x:c>
      <x:c r="D2884" s="87" t="str">
        <x:v>Сентябрь 2025</x:v>
      </x:c>
      <x:c r="E2884" s="87"/>
      <x:c r="F2884" s="87"/>
      <x:c r="G2884" s="87" t="str">
        <x:v>Русский язык</x:v>
      </x:c>
      <x:c r="H2884" s="87" t="n">
        <x:v>11</x:v>
      </x:c>
      <x:c r="I2884" s="87" t="str">
        <x:v>ТР №1</x:v>
      </x:c>
      <x:c r="J2884" s="87" t="str">
        <x:v>РЯ2510101</x:v>
      </x:c>
      <x:c r="K2884" s="87" t="n">
        <x:v>22</x:v>
      </x:c>
      <x:c r="L2884" s="87" t="str">
        <x:v>Средства выразительности</x:v>
      </x:c>
      <x:c r="M2884" s="30" t="str">
        <x:v>Соотнести пять поэтических примеров со средствами выразительности.</x:v>
      </x:c>
      <x:c r="N2884" s="30" t="str">
        <x:v>34215</x:v>
      </x:c>
      <x:c r="O2884" s="30" t="str">
        <x:v>А — синтаксический параллелизм; Б — парцелляция; В — гипербола; Г — ассонанс; Д — аллитерация.</x:v>
      </x:c>
      <x:c r="P2884" s="30" t="str">
        <x:v>А — синтаксический параллелизм; Б — парцелляция; В — гипербола; Г — ассонанс; Д — аллитерация.</x:v>
      </x:c>
      <x:c r="Q2884" s="30"/>
      <x:c r="R2884" s="30" t="str">
        <x:v>Kriterii_RU11_18092025.pdf: 34215</x:v>
      </x:c>
      <x:c r="S2884" s="30"/>
      <x:c r="T2884" s="30"/>
      <x:c r="U2884" s="30" t="str">
        <x:v>Расхождений не обнаружено.</x:v>
      </x:c>
      <x:c r="V2884" s="87" t="str">
        <x:v>VERIFIED</x:v>
      </x:c>
      <x:c r="W2884" s="87" t="str">
        <x:v>Официальный PDF, стр. 10</x:v>
      </x:c>
      <x:c r="X2884" s="87"/>
      <x:c r="Y2884" s="87"/>
      <x:c r="Z2884" s="87"/>
      <x:c r="AA2884" s="87"/>
      <x:c r="AB2884" s="87"/>
      <x:c r="AC2884" s="87"/>
      <x:c r="AD2884" s="87"/>
      <x:c r="AE2884" s="87"/>
      <x:c r="AF2884" s="87"/>
      <x:c r="AG2884" s="87"/>
      <x:c r="AH2884" s="87"/>
      <x:c r="AI2884" s="30"/>
      <x:c r="AJ2884" s="87" t="str">
        <x:v>master</x:v>
      </x:c>
      <x:c r="AK2884" s="87" t="str">
        <x:v>master-v0.81</x:v>
      </x:c>
      <x:c r="AL2884" s="87" t="str">
        <x:v>statgrad_master_base_v0_81_final(2).xlsx</x:v>
      </x:c>
      <x:c r="AM2884" s="87" t="str">
        <x:v>RU_Sep_V1</x:v>
      </x:c>
      <x:c r="AN2884" s="87" t="n">
        <x:v>23</x:v>
      </x:c>
    </x:row>
    <x:row r="2885">
      <x:c r="A2885" s="87" t="n">
        <x:v>2884</x:v>
      </x:c>
      <x:c r="B2885" s="87" t="str">
        <x:v>SEP-RU-V1-023</x:v>
      </x:c>
      <x:c r="C2885" s="87" t="str">
        <x:v>СтатГрад</x:v>
      </x:c>
      <x:c r="D2885" s="87" t="str">
        <x:v>Сентябрь 2025</x:v>
      </x:c>
      <x:c r="E2885" s="87"/>
      <x:c r="F2885" s="87"/>
      <x:c r="G2885" s="87" t="str">
        <x:v>Русский язык</x:v>
      </x:c>
      <x:c r="H2885" s="87" t="n">
        <x:v>11</x:v>
      </x:c>
      <x:c r="I2885" s="87" t="str">
        <x:v>ТР №1</x:v>
      </x:c>
      <x:c r="J2885" s="87" t="str">
        <x:v>РЯ2510101</x:v>
      </x:c>
      <x:c r="K2885" s="87" t="n">
        <x:v>23</x:v>
      </x:c>
      <x:c r="L2885" s="87" t="str">
        <x:v>Содержание текста</x:v>
      </x:c>
      <x:c r="M2885" s="30" t="str">
        <x:v>По тексту о В. И. Вернадском выбрать утверждения, соответствующие содержанию.</x:v>
      </x:c>
      <x:c r="N2885" s="30" t="str">
        <x:v>34</x:v>
      </x:c>
      <x:c r="O2885" s="30" t="str">
        <x:v>Кислаковский не разделял интереса к далёким от минералогии областям, а идеи Вернадского объединили знания о живой и неживой природе.</x:v>
      </x:c>
      <x:c r="P2885" s="30" t="str">
        <x:v>Кислаковский не разделял интереса к далёким от минералогии областям, а идеи Вернадского объединили знания о живой и неживой природе.</x:v>
      </x:c>
      <x:c r="Q2885" s="30"/>
      <x:c r="R2885" s="30" t="str">
        <x:v>photo_2025-09-19_11-16-39.jpg: 34</x:v>
      </x:c>
      <x:c r="S2885" s="30"/>
      <x:c r="T2885" s="30"/>
      <x:c r="U2885" s="30" t="str">
        <x:v>Расхождений не обнаружено.</x:v>
      </x:c>
      <x:c r="V2885" s="87" t="str">
        <x:v>VERIFIED</x:v>
      </x:c>
      <x:c r="W2885" s="87" t="str">
        <x:v>Официальный PDF, стр. 13</x:v>
      </x:c>
      <x:c r="X2885" s="87"/>
      <x:c r="Y2885" s="87"/>
      <x:c r="Z2885" s="87"/>
      <x:c r="AA2885" s="87"/>
      <x:c r="AB2885" s="87"/>
      <x:c r="AC2885" s="87"/>
      <x:c r="AD2885" s="87"/>
      <x:c r="AE2885" s="87"/>
      <x:c r="AF2885" s="87"/>
      <x:c r="AG2885" s="87"/>
      <x:c r="AH2885" s="87"/>
      <x:c r="AI2885" s="30"/>
      <x:c r="AJ2885" s="87" t="str">
        <x:v>master</x:v>
      </x:c>
      <x:c r="AK2885" s="87" t="str">
        <x:v>master-v0.81</x:v>
      </x:c>
      <x:c r="AL2885" s="87" t="str">
        <x:v>statgrad_master_base_v0_81_final(2).xlsx</x:v>
      </x:c>
      <x:c r="AM2885" s="87" t="str">
        <x:v>RU_Sep_V1</x:v>
      </x:c>
      <x:c r="AN2885" s="87" t="n">
        <x:v>24</x:v>
      </x:c>
    </x:row>
    <x:row r="2886">
      <x:c r="A2886" s="87" t="n">
        <x:v>2885</x:v>
      </x:c>
      <x:c r="B2886" s="87" t="str">
        <x:v>SEP-RU-V1-024</x:v>
      </x:c>
      <x:c r="C2886" s="87" t="str">
        <x:v>СтатГрад</x:v>
      </x:c>
      <x:c r="D2886" s="87" t="str">
        <x:v>Сентябрь 2025</x:v>
      </x:c>
      <x:c r="E2886" s="87"/>
      <x:c r="F2886" s="87"/>
      <x:c r="G2886" s="87" t="str">
        <x:v>Русский язык</x:v>
      </x:c>
      <x:c r="H2886" s="87" t="n">
        <x:v>11</x:v>
      </x:c>
      <x:c r="I2886" s="87" t="str">
        <x:v>ТР №1</x:v>
      </x:c>
      <x:c r="J2886" s="87" t="str">
        <x:v>РЯ2510101</x:v>
      </x:c>
      <x:c r="K2886" s="87" t="n">
        <x:v>24</x:v>
      </x:c>
      <x:c r="L2886" s="87" t="str">
        <x:v>Типы речи и связь предложений</x:v>
      </x:c>
      <x:c r="M2886" s="30" t="str">
        <x:v>По тому же тексту выбрать верные утверждения о типах речи и смысловых отношениях.</x:v>
      </x:c>
      <x:c r="N2886" s="30" t="str">
        <x:v>345</x:v>
      </x:c>
      <x:c r="O2886" s="30" t="str">
        <x:v>28 — описание папок; 31 — последовательность действий; 41 перечисляет примеры и поясняет тезис предложения 40.</x:v>
      </x:c>
      <x:c r="P2886" s="30" t="str">
        <x:v>28 — описание папок; 31 — последовательность действий; 41 перечисляет примеры и поясняет тезис предложения 40.</x:v>
      </x:c>
      <x:c r="Q2886" s="30"/>
      <x:c r="R2886" s="30" t="str">
        <x:v>Kriterii_RU11_18092025.pdf: 345 &lt;или&gt; любая другая последовательность этих цифр</x:v>
      </x:c>
      <x:c r="S2886" s="30"/>
      <x:c r="T2886" s="30"/>
      <x:c r="U2886" s="30" t="str">
        <x:v>Расхождений не обнаружено; допустимые перестановки и альтернативы сохранены.</x:v>
      </x:c>
      <x:c r="V2886" s="87" t="str">
        <x:v>VERIFIED</x:v>
      </x:c>
      <x:c r="W2886" s="87" t="str">
        <x:v>Официальный PDF, стр. 13</x:v>
      </x:c>
      <x:c r="X2886" s="87"/>
      <x:c r="Y2886" s="87"/>
      <x:c r="Z2886" s="87"/>
      <x:c r="AA2886" s="87"/>
      <x:c r="AB2886" s="87"/>
      <x:c r="AC2886" s="87"/>
      <x:c r="AD2886" s="87"/>
      <x:c r="AE2886" s="87"/>
      <x:c r="AF2886" s="87"/>
      <x:c r="AG2886" s="87"/>
      <x:c r="AH2886" s="87"/>
      <x:c r="AI2886" s="30"/>
      <x:c r="AJ2886" s="87" t="str">
        <x:v>master</x:v>
      </x:c>
      <x:c r="AK2886" s="87" t="str">
        <x:v>master-v0.81</x:v>
      </x:c>
      <x:c r="AL2886" s="87" t="str">
        <x:v>statgrad_master_base_v0_81_final(2).xlsx</x:v>
      </x:c>
      <x:c r="AM2886" s="87" t="str">
        <x:v>RU_Sep_V1</x:v>
      </x:c>
      <x:c r="AN2886" s="87" t="n">
        <x:v>25</x:v>
      </x:c>
    </x:row>
    <x:row r="2887">
      <x:c r="A2887" s="87" t="n">
        <x:v>2886</x:v>
      </x:c>
      <x:c r="B2887" s="87" t="str">
        <x:v>SEP-RU-V1-025</x:v>
      </x:c>
      <x:c r="C2887" s="87" t="str">
        <x:v>СтатГрад</x:v>
      </x:c>
      <x:c r="D2887" s="87" t="str">
        <x:v>Сентябрь 2025</x:v>
      </x:c>
      <x:c r="E2887" s="87"/>
      <x:c r="F2887" s="87"/>
      <x:c r="G2887" s="87" t="str">
        <x:v>Русский язык</x:v>
      </x:c>
      <x:c r="H2887" s="87" t="n">
        <x:v>11</x:v>
      </x:c>
      <x:c r="I2887" s="87" t="str">
        <x:v>ТР №1</x:v>
      </x:c>
      <x:c r="J2887" s="87" t="str">
        <x:v>РЯ2510101</x:v>
      </x:c>
      <x:c r="K2887" s="87" t="n">
        <x:v>25</x:v>
      </x:c>
      <x:c r="L2887" s="87" t="str">
        <x:v>Фразеологизм</x:v>
      </x:c>
      <x:c r="M2887" s="30" t="str">
        <x:v>Из предложений 33–37 выписать фразеологизм.</x:v>
      </x:c>
      <x:c r="N2887" s="30" t="str">
        <x:v>не в силах</x:v>
      </x:c>
      <x:c r="O2887" s="30" t="str">
        <x:v>Фразеологизм «не в силах» употреблён в предложении 33.</x:v>
      </x:c>
      <x:c r="P2887" s="30" t="str">
        <x:v>Фразеологизм «не в силах» употреблён в предложении 33.</x:v>
      </x:c>
      <x:c r="Q2887" s="30"/>
      <x:c r="R2887" s="30" t="str">
        <x:v>Kriterii_RU11_18092025.pdf: не в силах</x:v>
      </x:c>
      <x:c r="S2887" s="30"/>
      <x:c r="T2887" s="30"/>
      <x:c r="U2887" s="30" t="str">
        <x:v>Расхождений не обнаружено.</x:v>
      </x:c>
      <x:c r="V2887" s="87" t="str">
        <x:v>VERIFIED</x:v>
      </x:c>
      <x:c r="W2887" s="87" t="str">
        <x:v>Официальный PDF, стр. 13</x:v>
      </x:c>
      <x:c r="X2887" s="87"/>
      <x:c r="Y2887" s="87"/>
      <x:c r="Z2887" s="87"/>
      <x:c r="AA2887" s="87"/>
      <x:c r="AB2887" s="87"/>
      <x:c r="AC2887" s="87"/>
      <x:c r="AD2887" s="87"/>
      <x:c r="AE2887" s="87"/>
      <x:c r="AF2887" s="87"/>
      <x:c r="AG2887" s="87"/>
      <x:c r="AH2887" s="87"/>
      <x:c r="AI2887" s="30"/>
      <x:c r="AJ2887" s="87" t="str">
        <x:v>master</x:v>
      </x:c>
      <x:c r="AK2887" s="87" t="str">
        <x:v>master-v0.81</x:v>
      </x:c>
      <x:c r="AL2887" s="87" t="str">
        <x:v>statgrad_master_base_v0_81_final(2).xlsx</x:v>
      </x:c>
      <x:c r="AM2887" s="87" t="str">
        <x:v>RU_Sep_V1</x:v>
      </x:c>
      <x:c r="AN2887" s="87" t="n">
        <x:v>26</x:v>
      </x:c>
    </x:row>
    <x:row r="2888">
      <x:c r="A2888" s="87" t="n">
        <x:v>2887</x:v>
      </x:c>
      <x:c r="B2888" s="87" t="str">
        <x:v>SEP-RU-V1-026</x:v>
      </x:c>
      <x:c r="C2888" s="87" t="str">
        <x:v>СтатГрад</x:v>
      </x:c>
      <x:c r="D2888" s="87" t="str">
        <x:v>Сентябрь 2025</x:v>
      </x:c>
      <x:c r="E2888" s="87"/>
      <x:c r="F2888" s="87"/>
      <x:c r="G2888" s="87" t="str">
        <x:v>Русский язык</x:v>
      </x:c>
      <x:c r="H2888" s="87" t="n">
        <x:v>11</x:v>
      </x:c>
      <x:c r="I2888" s="87" t="str">
        <x:v>ТР №1</x:v>
      </x:c>
      <x:c r="J2888" s="87" t="str">
        <x:v>РЯ2510101</x:v>
      </x:c>
      <x:c r="K2888" s="87" t="n">
        <x:v>26</x:v>
      </x:c>
      <x:c r="L2888" s="87" t="str">
        <x:v>Средства связи</x:v>
      </x:c>
      <x:c r="M2888" s="30" t="str">
        <x:v>Найти предложение 1–4, связанное с предыдущим указанным набором средств.</x:v>
      </x:c>
      <x:c r="N2888" s="30" t="str">
        <x:v>3</x:v>
      </x:c>
      <x:c r="O2888" s="30" t="str">
        <x:v>Предложение 3 связано с предыдущим через «этих насекомых — саранча», «тучи — туча», указательное местоимение и повтор форм.</x:v>
      </x:c>
      <x:c r="P2888" s="30" t="str">
        <x:v>Предложение 3 связано с предыдущим через «этих насекомых — саранча», «тучи — туча», указательное местоимение и повтор форм.</x:v>
      </x:c>
      <x:c r="Q2888" s="30"/>
      <x:c r="R2888" s="30" t="str">
        <x:v>Kriterii_RU11_18092025.pdf: 3</x:v>
      </x:c>
      <x:c r="S2888" s="30"/>
      <x:c r="T2888" s="30"/>
      <x:c r="U2888" s="30" t="str">
        <x:v>Расхождений не обнаружено.</x:v>
      </x:c>
      <x:c r="V2888" s="87" t="str">
        <x:v>VERIFIED</x:v>
      </x:c>
      <x:c r="W2888" s="87" t="str">
        <x:v>Официальный PDF, стр. 13</x:v>
      </x:c>
      <x:c r="X2888" s="87"/>
      <x:c r="Y2888" s="87"/>
      <x:c r="Z2888" s="87"/>
      <x:c r="AA2888" s="87"/>
      <x:c r="AB2888" s="87"/>
      <x:c r="AC2888" s="87"/>
      <x:c r="AD2888" s="87"/>
      <x:c r="AE2888" s="87"/>
      <x:c r="AF2888" s="87"/>
      <x:c r="AG2888" s="87"/>
      <x:c r="AH2888" s="87"/>
      <x:c r="AI2888" s="30"/>
      <x:c r="AJ2888" s="87" t="str">
        <x:v>master</x:v>
      </x:c>
      <x:c r="AK2888" s="87" t="str">
        <x:v>master-v0.81</x:v>
      </x:c>
      <x:c r="AL2888" s="87" t="str">
        <x:v>statgrad_master_base_v0_81_final(2).xlsx</x:v>
      </x:c>
      <x:c r="AM2888" s="87" t="str">
        <x:v>RU_Sep_V1</x:v>
      </x:c>
      <x:c r="AN2888" s="87" t="n">
        <x:v>27</x:v>
      </x:c>
    </x:row>
    <x:row r="2889">
      <x:c r="A2889" s="87" t="n">
        <x:v>2888</x:v>
      </x:c>
      <x:c r="B2889" s="87" t="str">
        <x:v>SEP-RU-V1-027</x:v>
      </x:c>
      <x:c r="C2889" s="87" t="str">
        <x:v>СтатГрад</x:v>
      </x:c>
      <x:c r="D2889" s="87" t="str">
        <x:v>Сентябрь 2025</x:v>
      </x:c>
      <x:c r="E2889" s="87"/>
      <x:c r="F2889" s="87"/>
      <x:c r="G2889" s="87" t="str">
        <x:v>Русский язык</x:v>
      </x:c>
      <x:c r="H2889" s="87" t="n">
        <x:v>11</x:v>
      </x:c>
      <x:c r="I2889" s="87" t="str">
        <x:v>ТР №1</x:v>
      </x:c>
      <x:c r="J2889" s="87" t="str">
        <x:v>РЯ2510101</x:v>
      </x:c>
      <x:c r="K2889" s="87" t="n">
        <x:v>27</x:v>
      </x:c>
      <x:c r="L2889" s="87" t="str">
        <x:v>Сочинение-рассуждение</x:v>
      </x:c>
      <x:c r="M2889" s="30" t="str">
        <x:v>Сочинение: «Какими чертами характера должен обладать настоящий учёный?»</x:v>
      </x:c>
      <x:c r="N2889" s="30" t="str">
        <x:v>Какими качествами должен обладать настоящий учёный? Л. И. Гумилевский показывает, что глубоких специальных знаний недостаточно: исследователю необходимы любознательность, широкий кругозор, системное мышление и настойчивость.
Сначала автор рассказывает, как В. И. Вернадский, занимаясь минералогическими коллекциями, читает журналы из самых разных областей науки. Заметка о гигантской массе саранчи привлекает его внимание, хотя непосредственно к геологии не относится. Учёный возвращается к уже перевёрнутой странице и сопоставляет вес насекомых с массой металлов, добытых человечеством. Этот эпизод подчёркивает открытость Вернадского новому и способность увидеть связь между далёкими явлениями.
Далее герой не выбрасывает случайную выписку, которой не находится места в привычных папках. Он долго размышляет, создаёт новый раздел «Живое вещество», а возникшая идея спустя годы становится частью «Геохимии». Второй пример показывает настойчивость и умение объединять отдельные факты в целостную систему. Примеры связаны причинно-следственно: широта интересов рождает догадку, а упорная работа превращает её в научное открытие.
Я согласен с автором. Настоящий исследователь должен не только много знать, но и задавать неожиданные вопросы, проверять предположения и доводить мысль до результата. Так, Д. И. Менделеев годами сопоставлял свойства химических элементов, искал закономерность и уточнял созданную систему. Именно знания, наблюдательность и настойчивость позволили ему сформулировать периодический закон.
Таким образом, настоящий учёный сочетает любознательность, широкий кругозор, системность и волю к длительному труду.</x:v>
      </x:c>
      <x:c r="O2889" s="30" t="str">
        <x:v>Модель раскрывает авторскую позицию, использует два примера из текста, объясняет причинно-следственную связь и приводит исторический аргумент о Д. И. Менделееве.</x:v>
      </x:c>
      <x:c r="P2889" s="30" t="str">
        <x:v>Проверены структура ЕГЭ, два примера-иллюстрации, связь, собственная позиция, аргумент и объём: 201 слов.</x:v>
      </x:c>
      <x:c r="Q2889" s="30"/>
      <x:c r="R2889" s="30" t="str">
        <x:v>Kriterii_RU11_18092025.pdf: Авторская позиция из критерия + самостоятельная модель (201 слов)</x:v>
      </x:c>
      <x:c r="S2889" s="30"/>
      <x:c r="T2889" s="30"/>
      <x:c r="U2889" s="30" t="str">
        <x:v>Модель не является единственно возможным ответом; требования официального критерия соблюдены.</x:v>
      </x:c>
      <x:c r="V2889" s="87" t="str">
        <x:v>VERIFIED</x:v>
      </x:c>
      <x:c r="W2889" s="87" t="str">
        <x:v>Официальный PDF, стр. 14</x:v>
      </x:c>
      <x:c r="X2889" s="87"/>
      <x:c r="Y2889" s="87"/>
      <x:c r="Z2889" s="87"/>
      <x:c r="AA2889" s="87"/>
      <x:c r="AB2889" s="87"/>
      <x:c r="AC2889" s="87"/>
      <x:c r="AD2889" s="87"/>
      <x:c r="AE2889" s="87"/>
      <x:c r="AF2889" s="87"/>
      <x:c r="AG2889" s="87"/>
      <x:c r="AH2889" s="87"/>
      <x:c r="AI2889" s="30"/>
      <x:c r="AJ2889" s="87" t="str">
        <x:v>master</x:v>
      </x:c>
      <x:c r="AK2889" s="87" t="str">
        <x:v>master-v0.81</x:v>
      </x:c>
      <x:c r="AL2889" s="87" t="str">
        <x:v>statgrad_master_base_v0_81_final(2).xlsx</x:v>
      </x:c>
      <x:c r="AM2889" s="87" t="str">
        <x:v>RU_Sep_V1</x:v>
      </x:c>
      <x:c r="AN2889" s="87" t="n">
        <x:v>28</x:v>
      </x:c>
    </x:row>
    <x:row r="2890">
      <x:c r="A2890" s="87" t="n">
        <x:v>2889</x:v>
      </x:c>
      <x:c r="B2890" s="87" t="str">
        <x:v>SEP-RU-V2-001</x:v>
      </x:c>
      <x:c r="C2890" s="87" t="str">
        <x:v>СтатГрад</x:v>
      </x:c>
      <x:c r="D2890" s="87" t="str">
        <x:v>Сентябрь 2025</x:v>
      </x:c>
      <x:c r="E2890" s="87"/>
      <x:c r="F2890" s="87"/>
      <x:c r="G2890" s="87" t="str">
        <x:v>Русский язык</x:v>
      </x:c>
      <x:c r="H2890" s="87" t="n">
        <x:v>11</x:v>
      </x:c>
      <x:c r="I2890" s="87" t="str">
        <x:v>ТР №1</x:v>
      </x:c>
      <x:c r="J2890" s="87" t="str">
        <x:v>РЯ2510102</x:v>
      </x:c>
      <x:c r="K2890" s="87" t="n">
        <x:v>1</x:v>
      </x:c>
      <x:c r="L2890" s="87" t="str">
        <x:v>Средство связи: противительный союз</x:v>
      </x:c>
      <x:c r="M2890" s="30" t="str">
        <x:v>Подобрать противительный союз в мемуарном тексте И. И. Пущина о Пушкине.</x:v>
      </x:c>
      <x:c r="N2890" s="30" t="str">
        <x:v>же</x:v>
      </x:c>
      <x:c r="O2890" s="30" t="str">
        <x:v>Союз «же» противопоставляет способность рассказчика выйти из неловкой ситуации неспособности Пушкина сделать это.</x:v>
      </x:c>
      <x:c r="P2890" s="30" t="str">
        <x:v>Союз «же» противопоставляет способность рассказчика выйти из неловкой ситуации неспособности Пушкина сделать это.</x:v>
      </x:c>
      <x:c r="Q2890" s="30"/>
      <x:c r="R2890" s="30" t="str">
        <x:v>Kriterii_RU11_18092025.pdf: же</x:v>
      </x:c>
      <x:c r="S2890" s="30"/>
      <x:c r="T2890" s="30"/>
      <x:c r="U2890" s="30" t="str">
        <x:v>Расхождений не обнаружено.</x:v>
      </x:c>
      <x:c r="V2890" s="87" t="str">
        <x:v>VERIFIED</x:v>
      </x:c>
      <x:c r="W2890" s="87" t="str">
        <x:v>Официальный PDF, стр. 2</x:v>
      </x:c>
      <x:c r="X2890" s="87"/>
      <x:c r="Y2890" s="87"/>
      <x:c r="Z2890" s="87"/>
      <x:c r="AA2890" s="87"/>
      <x:c r="AB2890" s="87"/>
      <x:c r="AC2890" s="87"/>
      <x:c r="AD2890" s="87"/>
      <x:c r="AE2890" s="87"/>
      <x:c r="AF2890" s="87"/>
      <x:c r="AG2890" s="87"/>
      <x:c r="AH2890" s="87"/>
      <x:c r="AI2890" s="30"/>
      <x:c r="AJ2890" s="87" t="str">
        <x:v>master</x:v>
      </x:c>
      <x:c r="AK2890" s="87" t="str">
        <x:v>master-v0.81</x:v>
      </x:c>
      <x:c r="AL2890" s="87" t="str">
        <x:v>statgrad_master_base_v0_81_final(2).xlsx</x:v>
      </x:c>
      <x:c r="AM2890" s="87" t="str">
        <x:v>RU_Sep_V2</x:v>
      </x:c>
      <x:c r="AN2890" s="87" t="n">
        <x:v>2</x:v>
      </x:c>
    </x:row>
    <x:row r="2891">
      <x:c r="A2891" s="87" t="n">
        <x:v>2890</x:v>
      </x:c>
      <x:c r="B2891" s="87" t="str">
        <x:v>SEP-RU-V2-002</x:v>
      </x:c>
      <x:c r="C2891" s="87" t="str">
        <x:v>СтатГрад</x:v>
      </x:c>
      <x:c r="D2891" s="87" t="str">
        <x:v>Сентябрь 2025</x:v>
      </x:c>
      <x:c r="E2891" s="87"/>
      <x:c r="F2891" s="87"/>
      <x:c r="G2891" s="87" t="str">
        <x:v>Русский язык</x:v>
      </x:c>
      <x:c r="H2891" s="87" t="n">
        <x:v>11</x:v>
      </x:c>
      <x:c r="I2891" s="87" t="str">
        <x:v>ТР №1</x:v>
      </x:c>
      <x:c r="J2891" s="87" t="str">
        <x:v>РЯ2510102</x:v>
      </x:c>
      <x:c r="K2891" s="87" t="n">
        <x:v>2</x:v>
      </x:c>
      <x:c r="L2891" s="87" t="str">
        <x:v>Лексическое значение</x:v>
      </x:c>
      <x:c r="M2891" s="30" t="str">
        <x:v>Определить верные словарные значения выделенных слов: удел, неловкий, выйти, приписывать, устроиться.</x:v>
      </x:c>
      <x:c r="N2891" s="30" t="str">
        <x:v>15</x:v>
      </x:c>
      <x:c r="O2891" s="30" t="str">
        <x:v>«Удел» — судьба, участь; «устроилось» — пришло в порядок, наладилось.</x:v>
      </x:c>
      <x:c r="P2891" s="30" t="str">
        <x:v>«Удел» — судьба, участь; «устроилось» — пришло в порядок, наладилось.</x:v>
      </x:c>
      <x:c r="Q2891" s="30"/>
      <x:c r="R2891" s="30" t="str">
        <x:v>photo_2025-09-19_11-16-39.jpg: 15</x:v>
      </x:c>
      <x:c r="S2891" s="30"/>
      <x:c r="T2891" s="30"/>
      <x:c r="U2891" s="30" t="str">
        <x:v>Расхождений не обнаружено.</x:v>
      </x:c>
      <x:c r="V2891" s="87" t="str">
        <x:v>VERIFIED</x:v>
      </x:c>
      <x:c r="W2891" s="87" t="str">
        <x:v>Официальный PDF, стр. 3</x:v>
      </x:c>
      <x:c r="X2891" s="87"/>
      <x:c r="Y2891" s="87"/>
      <x:c r="Z2891" s="87"/>
      <x:c r="AA2891" s="87"/>
      <x:c r="AB2891" s="87"/>
      <x:c r="AC2891" s="87"/>
      <x:c r="AD2891" s="87"/>
      <x:c r="AE2891" s="87"/>
      <x:c r="AF2891" s="87"/>
      <x:c r="AG2891" s="87"/>
      <x:c r="AH2891" s="87"/>
      <x:c r="AI2891" s="30"/>
      <x:c r="AJ2891" s="87" t="str">
        <x:v>master</x:v>
      </x:c>
      <x:c r="AK2891" s="87" t="str">
        <x:v>master-v0.81</x:v>
      </x:c>
      <x:c r="AL2891" s="87" t="str">
        <x:v>statgrad_master_base_v0_81_final(2).xlsx</x:v>
      </x:c>
      <x:c r="AM2891" s="87" t="str">
        <x:v>RU_Sep_V2</x:v>
      </x:c>
      <x:c r="AN2891" s="87" t="n">
        <x:v>3</x:v>
      </x:c>
    </x:row>
    <x:row r="2892">
      <x:c r="A2892" s="87" t="n">
        <x:v>2891</x:v>
      </x:c>
      <x:c r="B2892" s="87" t="str">
        <x:v>SEP-RU-V2-003</x:v>
      </x:c>
      <x:c r="C2892" s="87" t="str">
        <x:v>СтатГрад</x:v>
      </x:c>
      <x:c r="D2892" s="87" t="str">
        <x:v>Сентябрь 2025</x:v>
      </x:c>
      <x:c r="E2892" s="87"/>
      <x:c r="F2892" s="87"/>
      <x:c r="G2892" s="87" t="str">
        <x:v>Русский язык</x:v>
      </x:c>
      <x:c r="H2892" s="87" t="n">
        <x:v>11</x:v>
      </x:c>
      <x:c r="I2892" s="87" t="str">
        <x:v>ТР №1</x:v>
      </x:c>
      <x:c r="J2892" s="87" t="str">
        <x:v>РЯ2510102</x:v>
      </x:c>
      <x:c r="K2892" s="87" t="n">
        <x:v>3</x:v>
      </x:c>
      <x:c r="L2892" s="87" t="str">
        <x:v>Характеристика текста</x:v>
      </x:c>
      <x:c r="M2892" s="30" t="str">
        <x:v>Выбрать верные характеристики мемуарного текста.</x:v>
      </x:c>
      <x:c r="N2892" s="30" t="str">
        <x:v>23</x:v>
      </x:c>
      <x:c r="O2892" s="30" t="str">
        <x:v>Это мемуарный текст с авторскими оценками; в нём сочетаются книжная и разговорная лексика.</x:v>
      </x:c>
      <x:c r="P2892" s="30" t="str">
        <x:v>Это мемуарный текст с авторскими оценками; в нём сочетаются книжная и разговорная лексика.</x:v>
      </x:c>
      <x:c r="Q2892" s="30"/>
      <x:c r="R2892" s="30" t="str">
        <x:v>photo_2025-09-19_11-16-39.jpg: 23</x:v>
      </x:c>
      <x:c r="S2892" s="30"/>
      <x:c r="T2892" s="30"/>
      <x:c r="U2892" s="30" t="str">
        <x:v>Расхождений не обнаружено.</x:v>
      </x:c>
      <x:c r="V2892" s="87" t="str">
        <x:v>VERIFIED</x:v>
      </x:c>
      <x:c r="W2892" s="87" t="str">
        <x:v>Официальный PDF, стр. 3</x:v>
      </x:c>
      <x:c r="X2892" s="87"/>
      <x:c r="Y2892" s="87"/>
      <x:c r="Z2892" s="87"/>
      <x:c r="AA2892" s="87"/>
      <x:c r="AB2892" s="87"/>
      <x:c r="AC2892" s="87"/>
      <x:c r="AD2892" s="87"/>
      <x:c r="AE2892" s="87"/>
      <x:c r="AF2892" s="87"/>
      <x:c r="AG2892" s="87"/>
      <x:c r="AH2892" s="87"/>
      <x:c r="AI2892" s="30"/>
      <x:c r="AJ2892" s="87" t="str">
        <x:v>master</x:v>
      </x:c>
      <x:c r="AK2892" s="87" t="str">
        <x:v>master-v0.81</x:v>
      </x:c>
      <x:c r="AL2892" s="87" t="str">
        <x:v>statgrad_master_base_v0_81_final(2).xlsx</x:v>
      </x:c>
      <x:c r="AM2892" s="87" t="str">
        <x:v>RU_Sep_V2</x:v>
      </x:c>
      <x:c r="AN2892" s="87" t="n">
        <x:v>4</x:v>
      </x:c>
    </x:row>
    <x:row r="2893">
      <x:c r="A2893" s="87" t="n">
        <x:v>2892</x:v>
      </x:c>
      <x:c r="B2893" s="87" t="str">
        <x:v>SEP-RU-V2-004</x:v>
      </x:c>
      <x:c r="C2893" s="87" t="str">
        <x:v>СтатГрад</x:v>
      </x:c>
      <x:c r="D2893" s="87" t="str">
        <x:v>Сентябрь 2025</x:v>
      </x:c>
      <x:c r="E2893" s="87"/>
      <x:c r="F2893" s="87"/>
      <x:c r="G2893" s="87" t="str">
        <x:v>Русский язык</x:v>
      </x:c>
      <x:c r="H2893" s="87" t="n">
        <x:v>11</x:v>
      </x:c>
      <x:c r="I2893" s="87" t="str">
        <x:v>ТР №1</x:v>
      </x:c>
      <x:c r="J2893" s="87" t="str">
        <x:v>РЯ2510102</x:v>
      </x:c>
      <x:c r="K2893" s="87" t="n">
        <x:v>4</x:v>
      </x:c>
      <x:c r="L2893" s="87" t="str">
        <x:v>Орфоэпия</x:v>
      </x:c>
      <x:c r="M2893" s="30" t="str">
        <x:v>Выбрать слова с нормативным ударением.</x:v>
      </x:c>
      <x:c r="N2893" s="30" t="str">
        <x:v>23</x:v>
      </x:c>
      <x:c r="O2893" s="30" t="str">
        <x:v>Нормативно: прИняли и жалюзИ; остальные: углублЁнный, обогналА, приручЁнный.</x:v>
      </x:c>
      <x:c r="P2893" s="30" t="str">
        <x:v>Нормативно: прИняли и жалюзИ; остальные: углублЁнный, обогналА, приручЁнный.</x:v>
      </x:c>
      <x:c r="Q2893" s="30"/>
      <x:c r="R2893" s="30" t="str">
        <x:v>photo_2025-09-19_11-16-39.jpg: 23</x:v>
      </x:c>
      <x:c r="S2893" s="30"/>
      <x:c r="T2893" s="30"/>
      <x:c r="U2893" s="30" t="str">
        <x:v>Расхождений не обнаружено.</x:v>
      </x:c>
      <x:c r="V2893" s="87" t="str">
        <x:v>VERIFIED</x:v>
      </x:c>
      <x:c r="W2893" s="87" t="str">
        <x:v>Официальный PDF, стр. 4</x:v>
      </x:c>
      <x:c r="X2893" s="87"/>
      <x:c r="Y2893" s="87"/>
      <x:c r="Z2893" s="87"/>
      <x:c r="AA2893" s="87"/>
      <x:c r="AB2893" s="87"/>
      <x:c r="AC2893" s="87"/>
      <x:c r="AD2893" s="87"/>
      <x:c r="AE2893" s="87"/>
      <x:c r="AF2893" s="87"/>
      <x:c r="AG2893" s="87"/>
      <x:c r="AH2893" s="87"/>
      <x:c r="AI2893" s="30"/>
      <x:c r="AJ2893" s="87" t="str">
        <x:v>master</x:v>
      </x:c>
      <x:c r="AK2893" s="87" t="str">
        <x:v>master-v0.81</x:v>
      </x:c>
      <x:c r="AL2893" s="87" t="str">
        <x:v>statgrad_master_base_v0_81_final(2).xlsx</x:v>
      </x:c>
      <x:c r="AM2893" s="87" t="str">
        <x:v>RU_Sep_V2</x:v>
      </x:c>
      <x:c r="AN2893" s="87" t="n">
        <x:v>5</x:v>
      </x:c>
    </x:row>
    <x:row r="2894">
      <x:c r="A2894" s="87" t="n">
        <x:v>2893</x:v>
      </x:c>
      <x:c r="B2894" s="87" t="str">
        <x:v>SEP-RU-V2-005</x:v>
      </x:c>
      <x:c r="C2894" s="87" t="str">
        <x:v>СтатГрад</x:v>
      </x:c>
      <x:c r="D2894" s="87" t="str">
        <x:v>Сентябрь 2025</x:v>
      </x:c>
      <x:c r="E2894" s="87"/>
      <x:c r="F2894" s="87"/>
      <x:c r="G2894" s="87" t="str">
        <x:v>Русский язык</x:v>
      </x:c>
      <x:c r="H2894" s="87" t="n">
        <x:v>11</x:v>
      </x:c>
      <x:c r="I2894" s="87" t="str">
        <x:v>ТР №1</x:v>
      </x:c>
      <x:c r="J2894" s="87" t="str">
        <x:v>РЯ2510102</x:v>
      </x:c>
      <x:c r="K2894" s="87" t="n">
        <x:v>5</x:v>
      </x:c>
      <x:c r="L2894" s="87" t="str">
        <x:v>Паронимы</x:v>
      </x:c>
      <x:c r="M2894" s="30" t="str">
        <x:v>Исправить пароним в сочетании «ледяная арена».</x:v>
      </x:c>
      <x:c r="N2894" s="30" t="str">
        <x:v>ледовая</x:v>
      </x:c>
      <x:c r="O2894" s="30" t="str">
        <x:v>Арена для катания и соревнований называется ледовой.</x:v>
      </x:c>
      <x:c r="P2894" s="30" t="str">
        <x:v>Арена для катания и соревнований называется ледовой.</x:v>
      </x:c>
      <x:c r="Q2894" s="30"/>
      <x:c r="R2894" s="30" t="str">
        <x:v>Kriterii_RU11_18092025.pdf: ледовая</x:v>
      </x:c>
      <x:c r="S2894" s="30"/>
      <x:c r="T2894" s="30"/>
      <x:c r="U2894" s="30" t="str">
        <x:v>Расхождений не обнаружено.</x:v>
      </x:c>
      <x:c r="V2894" s="87" t="str">
        <x:v>VERIFIED</x:v>
      </x:c>
      <x:c r="W2894" s="87" t="str">
        <x:v>Официальный PDF, стр. 4</x:v>
      </x:c>
      <x:c r="X2894" s="87"/>
      <x:c r="Y2894" s="87"/>
      <x:c r="Z2894" s="87"/>
      <x:c r="AA2894" s="87"/>
      <x:c r="AB2894" s="87"/>
      <x:c r="AC2894" s="87"/>
      <x:c r="AD2894" s="87"/>
      <x:c r="AE2894" s="87"/>
      <x:c r="AF2894" s="87"/>
      <x:c r="AG2894" s="87"/>
      <x:c r="AH2894" s="87"/>
      <x:c r="AI2894" s="30"/>
      <x:c r="AJ2894" s="87" t="str">
        <x:v>master</x:v>
      </x:c>
      <x:c r="AK2894" s="87" t="str">
        <x:v>master-v0.81</x:v>
      </x:c>
      <x:c r="AL2894" s="87" t="str">
        <x:v>statgrad_master_base_v0_81_final(2).xlsx</x:v>
      </x:c>
      <x:c r="AM2894" s="87" t="str">
        <x:v>RU_Sep_V2</x:v>
      </x:c>
      <x:c r="AN2894" s="87" t="n">
        <x:v>6</x:v>
      </x:c>
    </x:row>
    <x:row r="2895">
      <x:c r="A2895" s="87" t="n">
        <x:v>2894</x:v>
      </x:c>
      <x:c r="B2895" s="87" t="str">
        <x:v>SEP-RU-V2-006</x:v>
      </x:c>
      <x:c r="C2895" s="87" t="str">
        <x:v>СтатГрад</x:v>
      </x:c>
      <x:c r="D2895" s="87" t="str">
        <x:v>Сентябрь 2025</x:v>
      </x:c>
      <x:c r="E2895" s="87"/>
      <x:c r="F2895" s="87"/>
      <x:c r="G2895" s="87" t="str">
        <x:v>Русский язык</x:v>
      </x:c>
      <x:c r="H2895" s="87" t="n">
        <x:v>11</x:v>
      </x:c>
      <x:c r="I2895" s="87" t="str">
        <x:v>ТР №1</x:v>
      </x:c>
      <x:c r="J2895" s="87" t="str">
        <x:v>РЯ2510102</x:v>
      </x:c>
      <x:c r="K2895" s="87" t="n">
        <x:v>6</x:v>
      </x:c>
      <x:c r="L2895" s="87" t="str">
        <x:v>Лексическая избыточность</x:v>
      </x:c>
      <x:c r="M2895" s="30" t="str">
        <x:v>Устранить лексическую избыточность в сочетании «предварительное планирование».</x:v>
      </x:c>
      <x:c r="N2895" s="30" t="str">
        <x:v>предварительное</x:v>
      </x:c>
      <x:c r="O2895" s="30" t="str">
        <x:v>Планирование уже обозначает предварительное обдумывание, поэтому слово «предварительное» избыточно.</x:v>
      </x:c>
      <x:c r="P2895" s="30" t="str">
        <x:v>Планирование уже обозначает предварительное обдумывание, поэтому слово «предварительное» избыточно.</x:v>
      </x:c>
      <x:c r="Q2895" s="30"/>
      <x:c r="R2895" s="30" t="str">
        <x:v>Kriterii_RU11_18092025.pdf: предварительное</x:v>
      </x:c>
      <x:c r="S2895" s="30"/>
      <x:c r="T2895" s="30"/>
      <x:c r="U2895" s="30" t="str">
        <x:v>Расхождений не обнаружено.</x:v>
      </x:c>
      <x:c r="V2895" s="87" t="str">
        <x:v>VERIFIED</x:v>
      </x:c>
      <x:c r="W2895" s="87" t="str">
        <x:v>Официальный PDF, стр. 4</x:v>
      </x:c>
      <x:c r="X2895" s="87"/>
      <x:c r="Y2895" s="87"/>
      <x:c r="Z2895" s="87"/>
      <x:c r="AA2895" s="87"/>
      <x:c r="AB2895" s="87"/>
      <x:c r="AC2895" s="87"/>
      <x:c r="AD2895" s="87"/>
      <x:c r="AE2895" s="87"/>
      <x:c r="AF2895" s="87"/>
      <x:c r="AG2895" s="87"/>
      <x:c r="AH2895" s="87"/>
      <x:c r="AI2895" s="30"/>
      <x:c r="AJ2895" s="87" t="str">
        <x:v>master</x:v>
      </x:c>
      <x:c r="AK2895" s="87" t="str">
        <x:v>master-v0.81</x:v>
      </x:c>
      <x:c r="AL2895" s="87" t="str">
        <x:v>statgrad_master_base_v0_81_final(2).xlsx</x:v>
      </x:c>
      <x:c r="AM2895" s="87" t="str">
        <x:v>RU_Sep_V2</x:v>
      </x:c>
      <x:c r="AN2895" s="87" t="n">
        <x:v>7</x:v>
      </x:c>
    </x:row>
    <x:row r="2896">
      <x:c r="A2896" s="87" t="n">
        <x:v>2895</x:v>
      </x:c>
      <x:c r="B2896" s="87" t="str">
        <x:v>SEP-RU-V2-007</x:v>
      </x:c>
      <x:c r="C2896" s="87" t="str">
        <x:v>СтатГрад</x:v>
      </x:c>
      <x:c r="D2896" s="87" t="str">
        <x:v>Сентябрь 2025</x:v>
      </x:c>
      <x:c r="E2896" s="87"/>
      <x:c r="F2896" s="87"/>
      <x:c r="G2896" s="87" t="str">
        <x:v>Русский язык</x:v>
      </x:c>
      <x:c r="H2896" s="87" t="n">
        <x:v>11</x:v>
      </x:c>
      <x:c r="I2896" s="87" t="str">
        <x:v>ТР №1</x:v>
      </x:c>
      <x:c r="J2896" s="87" t="str">
        <x:v>РЯ2510102</x:v>
      </x:c>
      <x:c r="K2896" s="87" t="n">
        <x:v>7</x:v>
      </x:c>
      <x:c r="L2896" s="87" t="str">
        <x:v>Грамматическая форма</x:v>
      </x:c>
      <x:c r="M2896" s="30" t="str">
        <x:v>Исправить форму «самый древнейший артефакт».</x:v>
      </x:c>
      <x:c r="N2896" s="30" t="str">
        <x:v>древний</x:v>
      </x:c>
      <x:c r="O2896" s="30" t="str">
        <x:v>Нельзя сочетать простую и составную превосходную степень; нормативно «самый древний».</x:v>
      </x:c>
      <x:c r="P2896" s="30" t="str">
        <x:v>Нельзя сочетать простую и составную превосходную степень; нормативно «самый древний».</x:v>
      </x:c>
      <x:c r="Q2896" s="30"/>
      <x:c r="R2896" s="30" t="str">
        <x:v>Kriterii_RU11_18092025.pdf: древний</x:v>
      </x:c>
      <x:c r="S2896" s="30"/>
      <x:c r="T2896" s="30"/>
      <x:c r="U2896" s="30" t="str">
        <x:v>Расхождений не обнаружено.</x:v>
      </x:c>
      <x:c r="V2896" s="87" t="str">
        <x:v>VERIFIED</x:v>
      </x:c>
      <x:c r="W2896" s="87" t="str">
        <x:v>Официальный PDF, стр. 4</x:v>
      </x:c>
      <x:c r="X2896" s="87"/>
      <x:c r="Y2896" s="87"/>
      <x:c r="Z2896" s="87"/>
      <x:c r="AA2896" s="87"/>
      <x:c r="AB2896" s="87"/>
      <x:c r="AC2896" s="87"/>
      <x:c r="AD2896" s="87"/>
      <x:c r="AE2896" s="87"/>
      <x:c r="AF2896" s="87"/>
      <x:c r="AG2896" s="87"/>
      <x:c r="AH2896" s="87"/>
      <x:c r="AI2896" s="30"/>
      <x:c r="AJ2896" s="87" t="str">
        <x:v>master</x:v>
      </x:c>
      <x:c r="AK2896" s="87" t="str">
        <x:v>master-v0.81</x:v>
      </x:c>
      <x:c r="AL2896" s="87" t="str">
        <x:v>statgrad_master_base_v0_81_final(2).xlsx</x:v>
      </x:c>
      <x:c r="AM2896" s="87" t="str">
        <x:v>RU_Sep_V2</x:v>
      </x:c>
      <x:c r="AN2896" s="87" t="n">
        <x:v>8</x:v>
      </x:c>
    </x:row>
    <x:row r="2897">
      <x:c r="A2897" s="87" t="n">
        <x:v>2896</x:v>
      </x:c>
      <x:c r="B2897" s="87" t="str">
        <x:v>SEP-RU-V2-008</x:v>
      </x:c>
      <x:c r="C2897" s="87" t="str">
        <x:v>СтатГрад</x:v>
      </x:c>
      <x:c r="D2897" s="87" t="str">
        <x:v>Сентябрь 2025</x:v>
      </x:c>
      <x:c r="E2897" s="87"/>
      <x:c r="F2897" s="87"/>
      <x:c r="G2897" s="87" t="str">
        <x:v>Русский язык</x:v>
      </x:c>
      <x:c r="H2897" s="87" t="n">
        <x:v>11</x:v>
      </x:c>
      <x:c r="I2897" s="87" t="str">
        <x:v>ТР №1</x:v>
      </x:c>
      <x:c r="J2897" s="87" t="str">
        <x:v>РЯ2510102</x:v>
      </x:c>
      <x:c r="K2897" s="87" t="n">
        <x:v>8</x:v>
      </x:c>
      <x:c r="L2897" s="87" t="str">
        <x:v>Грамматические ошибки</x:v>
      </x:c>
      <x:c r="M2897" s="30" t="str">
        <x:v>Соотнести пять типов грамматических ошибок с предложениями 1–9.</x:v>
      </x:c>
      <x:c r="N2897" s="30" t="str">
        <x:v>31672</x:v>
      </x:c>
      <x:c r="O2897" s="30" t="str">
        <x:v>А–3: БАД как «добавка» должна; Б–1: не только…, но и…; В–6: нарушена структура сложного предложения; Г–7: характерный для него; Д–2: оборот должен стоять рядом со словом «студентов».</x:v>
      </x:c>
      <x:c r="P2897" s="30" t="str">
        <x:v>А–3: БАД как «добавка» должна; Б–1: не только…, но и…; В–6: нарушена структура сложного предложения; Г–7: характерный для него; Д–2: оборот должен стоять рядом со словом «студентов».</x:v>
      </x:c>
      <x:c r="Q2897" s="30"/>
      <x:c r="R2897" s="30" t="str">
        <x:v>Kriterii_RU11_18092025.pdf: 31672</x:v>
      </x:c>
      <x:c r="S2897" s="30"/>
      <x:c r="T2897" s="30"/>
      <x:c r="U2897" s="30" t="str">
        <x:v>Расхождений не обнаружено.</x:v>
      </x:c>
      <x:c r="V2897" s="87" t="str">
        <x:v>VERIFIED</x:v>
      </x:c>
      <x:c r="W2897" s="87" t="str">
        <x:v>Официальный PDF, стр. 5</x:v>
      </x:c>
      <x:c r="X2897" s="87"/>
      <x:c r="Y2897" s="87"/>
      <x:c r="Z2897" s="87"/>
      <x:c r="AA2897" s="87"/>
      <x:c r="AB2897" s="87"/>
      <x:c r="AC2897" s="87"/>
      <x:c r="AD2897" s="87"/>
      <x:c r="AE2897" s="87"/>
      <x:c r="AF2897" s="87"/>
      <x:c r="AG2897" s="87"/>
      <x:c r="AH2897" s="87"/>
      <x:c r="AI2897" s="30"/>
      <x:c r="AJ2897" s="87" t="str">
        <x:v>master</x:v>
      </x:c>
      <x:c r="AK2897" s="87" t="str">
        <x:v>master-v0.81</x:v>
      </x:c>
      <x:c r="AL2897" s="87" t="str">
        <x:v>statgrad_master_base_v0_81_final(2).xlsx</x:v>
      </x:c>
      <x:c r="AM2897" s="87" t="str">
        <x:v>RU_Sep_V2</x:v>
      </x:c>
      <x:c r="AN2897" s="87" t="n">
        <x:v>9</x:v>
      </x:c>
    </x:row>
    <x:row r="2898">
      <x:c r="A2898" s="87" t="n">
        <x:v>2897</x:v>
      </x:c>
      <x:c r="B2898" s="87" t="str">
        <x:v>SEP-RU-V2-009</x:v>
      </x:c>
      <x:c r="C2898" s="87" t="str">
        <x:v>СтатГрад</x:v>
      </x:c>
      <x:c r="D2898" s="87" t="str">
        <x:v>Сентябрь 2025</x:v>
      </x:c>
      <x:c r="E2898" s="87"/>
      <x:c r="F2898" s="87"/>
      <x:c r="G2898" s="87" t="str">
        <x:v>Русский язык</x:v>
      </x:c>
      <x:c r="H2898" s="87" t="n">
        <x:v>11</x:v>
      </x:c>
      <x:c r="I2898" s="87" t="str">
        <x:v>ТР №1</x:v>
      </x:c>
      <x:c r="J2898" s="87" t="str">
        <x:v>РЯ2510102</x:v>
      </x:c>
      <x:c r="K2898" s="87" t="n">
        <x:v>9</x:v>
      </x:c>
      <x:c r="L2898" s="87" t="str">
        <x:v>Корни слов</x:v>
      </x:c>
      <x:c r="M2898" s="30" t="str">
        <x:v>Выбрать ряды с одной и той же пропущенной буквой в корнях.</x:v>
      </x:c>
      <x:c r="N2898" s="30" t="str">
        <x:v>35</x:v>
      </x:c>
      <x:c r="O2898" s="30" t="str">
        <x:v>3: ростовщик, упрощение, сонет; 5: трясина, присягать, смятение.</x:v>
      </x:c>
      <x:c r="P2898" s="30" t="str">
        <x:v>3: ростовщик, упрощение, сонет; 5: трясина, присягать, смятение.</x:v>
      </x:c>
      <x:c r="Q2898" s="30"/>
      <x:c r="R2898" s="30" t="str">
        <x:v>photo_2025-09-19_11-16-39.jpg: 35</x:v>
      </x:c>
      <x:c r="S2898" s="30"/>
      <x:c r="T2898" s="30"/>
      <x:c r="U2898" s="30" t="str">
        <x:v>Расхождений не обнаружено.</x:v>
      </x:c>
      <x:c r="V2898" s="87" t="str">
        <x:v>VERIFIED</x:v>
      </x:c>
      <x:c r="W2898" s="87" t="str">
        <x:v>Официальный PDF, стр. 6</x:v>
      </x:c>
      <x:c r="X2898" s="87"/>
      <x:c r="Y2898" s="87"/>
      <x:c r="Z2898" s="87"/>
      <x:c r="AA2898" s="87"/>
      <x:c r="AB2898" s="87"/>
      <x:c r="AC2898" s="87"/>
      <x:c r="AD2898" s="87"/>
      <x:c r="AE2898" s="87"/>
      <x:c r="AF2898" s="87"/>
      <x:c r="AG2898" s="87"/>
      <x:c r="AH2898" s="87"/>
      <x:c r="AI2898" s="30"/>
      <x:c r="AJ2898" s="87" t="str">
        <x:v>master</x:v>
      </x:c>
      <x:c r="AK2898" s="87" t="str">
        <x:v>master-v0.81</x:v>
      </x:c>
      <x:c r="AL2898" s="87" t="str">
        <x:v>statgrad_master_base_v0_81_final(2).xlsx</x:v>
      </x:c>
      <x:c r="AM2898" s="87" t="str">
        <x:v>RU_Sep_V2</x:v>
      </x:c>
      <x:c r="AN2898" s="87" t="n">
        <x:v>10</x:v>
      </x:c>
    </x:row>
    <x:row r="2899">
      <x:c r="A2899" s="87" t="n">
        <x:v>2898</x:v>
      </x:c>
      <x:c r="B2899" s="87" t="str">
        <x:v>SEP-RU-V2-010</x:v>
      </x:c>
      <x:c r="C2899" s="87" t="str">
        <x:v>СтатГрад</x:v>
      </x:c>
      <x:c r="D2899" s="87" t="str">
        <x:v>Сентябрь 2025</x:v>
      </x:c>
      <x:c r="E2899" s="87"/>
      <x:c r="F2899" s="87"/>
      <x:c r="G2899" s="87" t="str">
        <x:v>Русский язык</x:v>
      </x:c>
      <x:c r="H2899" s="87" t="n">
        <x:v>11</x:v>
      </x:c>
      <x:c r="I2899" s="87" t="str">
        <x:v>ТР №1</x:v>
      </x:c>
      <x:c r="J2899" s="87" t="str">
        <x:v>РЯ2510102</x:v>
      </x:c>
      <x:c r="K2899" s="87" t="n">
        <x:v>10</x:v>
      </x:c>
      <x:c r="L2899" s="87" t="str">
        <x:v>Приставки</x:v>
      </x:c>
      <x:c r="M2899" s="30" t="str">
        <x:v>Выбрать ряды с одной и той же пропущенной буквой в приставках и разделительных знаках.</x:v>
      </x:c>
      <x:c r="N2899" s="30" t="str">
        <x:v>24</x:v>
      </x:c>
      <x:c r="O2899" s="30" t="str">
        <x:v>2: сдачу, воспламениться, вспыхнуть; 4: собьём, курьёз, воробьи.</x:v>
      </x:c>
      <x:c r="P2899" s="30" t="str">
        <x:v>2: сдачу, воспламениться, вспыхнуть; 4: собьём, курьёз, воробьи.</x:v>
      </x:c>
      <x:c r="Q2899" s="30"/>
      <x:c r="R2899" s="30" t="str">
        <x:v>photo_2025-09-19_11-16-39.jpg: 24</x:v>
      </x:c>
      <x:c r="S2899" s="30"/>
      <x:c r="T2899" s="30"/>
      <x:c r="U2899" s="30" t="str">
        <x:v>Расхождений не обнаружено.</x:v>
      </x:c>
      <x:c r="V2899" s="87" t="str">
        <x:v>VERIFIED</x:v>
      </x:c>
      <x:c r="W2899" s="87" t="str">
        <x:v>Официальный PDF, стр. 6</x:v>
      </x:c>
      <x:c r="X2899" s="87"/>
      <x:c r="Y2899" s="87"/>
      <x:c r="Z2899" s="87"/>
      <x:c r="AA2899" s="87"/>
      <x:c r="AB2899" s="87"/>
      <x:c r="AC2899" s="87"/>
      <x:c r="AD2899" s="87"/>
      <x:c r="AE2899" s="87"/>
      <x:c r="AF2899" s="87"/>
      <x:c r="AG2899" s="87"/>
      <x:c r="AH2899" s="87"/>
      <x:c r="AI2899" s="30"/>
      <x:c r="AJ2899" s="87" t="str">
        <x:v>master</x:v>
      </x:c>
      <x:c r="AK2899" s="87" t="str">
        <x:v>master-v0.81</x:v>
      </x:c>
      <x:c r="AL2899" s="87" t="str">
        <x:v>statgrad_master_base_v0_81_final(2).xlsx</x:v>
      </x:c>
      <x:c r="AM2899" s="87" t="str">
        <x:v>RU_Sep_V2</x:v>
      </x:c>
      <x:c r="AN2899" s="87" t="n">
        <x:v>11</x:v>
      </x:c>
    </x:row>
    <x:row r="2900">
      <x:c r="A2900" s="87" t="n">
        <x:v>2899</x:v>
      </x:c>
      <x:c r="B2900" s="87" t="str">
        <x:v>SEP-RU-V2-011</x:v>
      </x:c>
      <x:c r="C2900" s="87" t="str">
        <x:v>СтатГрад</x:v>
      </x:c>
      <x:c r="D2900" s="87" t="str">
        <x:v>Сентябрь 2025</x:v>
      </x:c>
      <x:c r="E2900" s="87"/>
      <x:c r="F2900" s="87"/>
      <x:c r="G2900" s="87" t="str">
        <x:v>Русский язык</x:v>
      </x:c>
      <x:c r="H2900" s="87" t="n">
        <x:v>11</x:v>
      </x:c>
      <x:c r="I2900" s="87" t="str">
        <x:v>ТР №1</x:v>
      </x:c>
      <x:c r="J2900" s="87" t="str">
        <x:v>РЯ2510102</x:v>
      </x:c>
      <x:c r="K2900" s="87" t="n">
        <x:v>11</x:v>
      </x:c>
      <x:c r="L2900" s="87" t="str">
        <x:v>Суффиксы</x:v>
      </x:c>
      <x:c r="M2900" s="30" t="str">
        <x:v>Выбрать пары слов с одной и той же буквой в суффиксах.</x:v>
      </x:c>
      <x:c r="N2900" s="30" t="str">
        <x:v>24</x:v>
      </x:c>
      <x:c r="O2900" s="30" t="str">
        <x:v>2: миндалевый, ослабевать; 4: облаяла, раскланяться.</x:v>
      </x:c>
      <x:c r="P2900" s="30" t="str">
        <x:v>2: миндалевый, ослабевать; 4: облаяла, раскланяться.</x:v>
      </x:c>
      <x:c r="Q2900" s="30"/>
      <x:c r="R2900" s="30" t="str">
        <x:v>photo_2025-09-19_11-16-39.jpg: 24</x:v>
      </x:c>
      <x:c r="S2900" s="30"/>
      <x:c r="T2900" s="30"/>
      <x:c r="U2900" s="30" t="str">
        <x:v>Расхождений не обнаружено.</x:v>
      </x:c>
      <x:c r="V2900" s="87" t="str">
        <x:v>VERIFIED</x:v>
      </x:c>
      <x:c r="W2900" s="87" t="str">
        <x:v>Официальный PDF, стр. 6</x:v>
      </x:c>
      <x:c r="X2900" s="87"/>
      <x:c r="Y2900" s="87"/>
      <x:c r="Z2900" s="87"/>
      <x:c r="AA2900" s="87"/>
      <x:c r="AB2900" s="87"/>
      <x:c r="AC2900" s="87"/>
      <x:c r="AD2900" s="87"/>
      <x:c r="AE2900" s="87"/>
      <x:c r="AF2900" s="87"/>
      <x:c r="AG2900" s="87"/>
      <x:c r="AH2900" s="87"/>
      <x:c r="AI2900" s="30"/>
      <x:c r="AJ2900" s="87" t="str">
        <x:v>master</x:v>
      </x:c>
      <x:c r="AK2900" s="87" t="str">
        <x:v>master-v0.81</x:v>
      </x:c>
      <x:c r="AL2900" s="87" t="str">
        <x:v>statgrad_master_base_v0_81_final(2).xlsx</x:v>
      </x:c>
      <x:c r="AM2900" s="87" t="str">
        <x:v>RU_Sep_V2</x:v>
      </x:c>
      <x:c r="AN2900" s="87" t="n">
        <x:v>12</x:v>
      </x:c>
    </x:row>
    <x:row r="2901">
      <x:c r="A2901" s="87" t="n">
        <x:v>2900</x:v>
      </x:c>
      <x:c r="B2901" s="87" t="str">
        <x:v>SEP-RU-V2-012</x:v>
      </x:c>
      <x:c r="C2901" s="87" t="str">
        <x:v>СтатГрад</x:v>
      </x:c>
      <x:c r="D2901" s="87" t="str">
        <x:v>Сентябрь 2025</x:v>
      </x:c>
      <x:c r="E2901" s="87"/>
      <x:c r="F2901" s="87"/>
      <x:c r="G2901" s="87" t="str">
        <x:v>Русский язык</x:v>
      </x:c>
      <x:c r="H2901" s="87" t="n">
        <x:v>11</x:v>
      </x:c>
      <x:c r="I2901" s="87" t="str">
        <x:v>ТР №1</x:v>
      </x:c>
      <x:c r="J2901" s="87" t="str">
        <x:v>РЯ2510102</x:v>
      </x:c>
      <x:c r="K2901" s="87" t="n">
        <x:v>12</x:v>
      </x:c>
      <x:c r="L2901" s="87" t="str">
        <x:v>Личные окончания и суффиксы</x:v>
      </x:c>
      <x:c r="M2901" s="30" t="str">
        <x:v>Выбрать пары с одной и той же буквой в окончаниях и суффиксах причастий.</x:v>
      </x:c>
      <x:c r="N2901" s="30" t="str">
        <x:v>124</x:v>
      </x:c>
      <x:c r="O2901" s="30" t="str">
        <x:v>1: неотъемлемое, застелем; 2: клокочут, пашут; 4: тревожившийся, заклеивший.</x:v>
      </x:c>
      <x:c r="P2901" s="30" t="str">
        <x:v>1: неотъемлемое, застелем; 2: клокочут, пашут; 4: тревожившийся, заклеивший.</x:v>
      </x:c>
      <x:c r="Q2901" s="30"/>
      <x:c r="R2901" s="30" t="str">
        <x:v>photo_2025-09-19_11-16-39.jpg: 124</x:v>
      </x:c>
      <x:c r="S2901" s="30"/>
      <x:c r="T2901" s="30"/>
      <x:c r="U2901" s="30" t="str">
        <x:v>Расхождений не обнаружено.</x:v>
      </x:c>
      <x:c r="V2901" s="87" t="str">
        <x:v>VERIFIED</x:v>
      </x:c>
      <x:c r="W2901" s="87" t="str">
        <x:v>Официальный PDF, стр. 6</x:v>
      </x:c>
      <x:c r="X2901" s="87"/>
      <x:c r="Y2901" s="87"/>
      <x:c r="Z2901" s="87"/>
      <x:c r="AA2901" s="87"/>
      <x:c r="AB2901" s="87"/>
      <x:c r="AC2901" s="87"/>
      <x:c r="AD2901" s="87"/>
      <x:c r="AE2901" s="87"/>
      <x:c r="AF2901" s="87"/>
      <x:c r="AG2901" s="87"/>
      <x:c r="AH2901" s="87"/>
      <x:c r="AI2901" s="30"/>
      <x:c r="AJ2901" s="87" t="str">
        <x:v>master</x:v>
      </x:c>
      <x:c r="AK2901" s="87" t="str">
        <x:v>master-v0.81</x:v>
      </x:c>
      <x:c r="AL2901" s="87" t="str">
        <x:v>statgrad_master_base_v0_81_final(2).xlsx</x:v>
      </x:c>
      <x:c r="AM2901" s="87" t="str">
        <x:v>RU_Sep_V2</x:v>
      </x:c>
      <x:c r="AN2901" s="87" t="n">
        <x:v>13</x:v>
      </x:c>
    </x:row>
    <x:row r="2902">
      <x:c r="A2902" s="87" t="n">
        <x:v>2901</x:v>
      </x:c>
      <x:c r="B2902" s="87" t="str">
        <x:v>SEP-RU-V2-013</x:v>
      </x:c>
      <x:c r="C2902" s="87" t="str">
        <x:v>СтатГрад</x:v>
      </x:c>
      <x:c r="D2902" s="87" t="str">
        <x:v>Сентябрь 2025</x:v>
      </x:c>
      <x:c r="E2902" s="87"/>
      <x:c r="F2902" s="87"/>
      <x:c r="G2902" s="87" t="str">
        <x:v>Русский язык</x:v>
      </x:c>
      <x:c r="H2902" s="87" t="n">
        <x:v>11</x:v>
      </x:c>
      <x:c r="I2902" s="87" t="str">
        <x:v>ТР №1</x:v>
      </x:c>
      <x:c r="J2902" s="87" t="str">
        <x:v>РЯ2510102</x:v>
      </x:c>
      <x:c r="K2902" s="87" t="n">
        <x:v>13</x:v>
      </x:c>
      <x:c r="L2902" s="87" t="str">
        <x:v>НЕ/НИ со словами</x:v>
      </x:c>
      <x:c r="M2902" s="30" t="str">
        <x:v>Выбрать случаи слитного написания НЕ/НИ.</x:v>
      </x:c>
      <x:c r="N2902" s="30" t="str">
        <x:v>25</x:v>
      </x:c>
      <x:c r="O2902" s="30" t="str">
        <x:v>Слитно пишутся «неприятно» без противопоставления и отрицательное местоимение «никто».</x:v>
      </x:c>
      <x:c r="P2902" s="30" t="str">
        <x:v>Слитно пишутся «неприятно» без противопоставления и отрицательное местоимение «никто».</x:v>
      </x:c>
      <x:c r="Q2902" s="30"/>
      <x:c r="R2902" s="30" t="str">
        <x:v>Kriterii_RU11_18092025.pdf: 25 &lt;или&gt; 52</x:v>
      </x:c>
      <x:c r="S2902" s="30"/>
      <x:c r="T2902" s="30"/>
      <x:c r="U2902" s="30" t="str">
        <x:v>Расхождений не обнаружено; допустимые перестановки и альтернативы сохранены.</x:v>
      </x:c>
      <x:c r="V2902" s="87" t="str">
        <x:v>VERIFIED</x:v>
      </x:c>
      <x:c r="W2902" s="87" t="str">
        <x:v>Официальный PDF, стр. 7</x:v>
      </x:c>
      <x:c r="X2902" s="87"/>
      <x:c r="Y2902" s="87"/>
      <x:c r="Z2902" s="87"/>
      <x:c r="AA2902" s="87"/>
      <x:c r="AB2902" s="87"/>
      <x:c r="AC2902" s="87"/>
      <x:c r="AD2902" s="87"/>
      <x:c r="AE2902" s="87"/>
      <x:c r="AF2902" s="87"/>
      <x:c r="AG2902" s="87"/>
      <x:c r="AH2902" s="87"/>
      <x:c r="AI2902" s="30"/>
      <x:c r="AJ2902" s="87" t="str">
        <x:v>master</x:v>
      </x:c>
      <x:c r="AK2902" s="87" t="str">
        <x:v>master-v0.81</x:v>
      </x:c>
      <x:c r="AL2902" s="87" t="str">
        <x:v>statgrad_master_base_v0_81_final(2).xlsx</x:v>
      </x:c>
      <x:c r="AM2902" s="87" t="str">
        <x:v>RU_Sep_V2</x:v>
      </x:c>
      <x:c r="AN2902" s="87" t="n">
        <x:v>14</x:v>
      </x:c>
    </x:row>
    <x:row r="2903">
      <x:c r="A2903" s="87" t="n">
        <x:v>2902</x:v>
      </x:c>
      <x:c r="B2903" s="87" t="str">
        <x:v>SEP-RU-V2-014</x:v>
      </x:c>
      <x:c r="C2903" s="87" t="str">
        <x:v>СтатГрад</x:v>
      </x:c>
      <x:c r="D2903" s="87" t="str">
        <x:v>Сентябрь 2025</x:v>
      </x:c>
      <x:c r="E2903" s="87"/>
      <x:c r="F2903" s="87"/>
      <x:c r="G2903" s="87" t="str">
        <x:v>Русский язык</x:v>
      </x:c>
      <x:c r="H2903" s="87" t="n">
        <x:v>11</x:v>
      </x:c>
      <x:c r="I2903" s="87" t="str">
        <x:v>ТР №1</x:v>
      </x:c>
      <x:c r="J2903" s="87" t="str">
        <x:v>РЯ2510102</x:v>
      </x:c>
      <x:c r="K2903" s="87" t="n">
        <x:v>14</x:v>
      </x:c>
      <x:c r="L2903" s="87" t="str">
        <x:v>Слитное/раздельное написание</x:v>
      </x:c>
      <x:c r="M2903" s="30" t="str">
        <x:v>Выбрать строки, где оба выделенных слова пишутся раздельно.</x:v>
      </x:c>
      <x:c r="N2903" s="30" t="str">
        <x:v>25</x:v>
      </x:c>
      <x:c r="O2903" s="30" t="str">
        <x:v>«На вид», «на днях», «друг другу», «в то же время» пишутся раздельно.</x:v>
      </x:c>
      <x:c r="P2903" s="30" t="str">
        <x:v>«На вид», «на днях», «друг другу», «в то же время» пишутся раздельно.</x:v>
      </x:c>
      <x:c r="Q2903" s="30"/>
      <x:c r="R2903" s="30" t="str">
        <x:v>Kriterii_RU11_18092025.pdf: 25 &lt;или&gt; 52</x:v>
      </x:c>
      <x:c r="S2903" s="30"/>
      <x:c r="T2903" s="30"/>
      <x:c r="U2903" s="30" t="str">
        <x:v>Расхождений не обнаружено; допустимые перестановки и альтернативы сохранены.</x:v>
      </x:c>
      <x:c r="V2903" s="87" t="str">
        <x:v>VERIFIED</x:v>
      </x:c>
      <x:c r="W2903" s="87" t="str">
        <x:v>Официальный PDF, стр. 7</x:v>
      </x:c>
      <x:c r="X2903" s="87"/>
      <x:c r="Y2903" s="87"/>
      <x:c r="Z2903" s="87"/>
      <x:c r="AA2903" s="87"/>
      <x:c r="AB2903" s="87"/>
      <x:c r="AC2903" s="87"/>
      <x:c r="AD2903" s="87"/>
      <x:c r="AE2903" s="87"/>
      <x:c r="AF2903" s="87"/>
      <x:c r="AG2903" s="87"/>
      <x:c r="AH2903" s="87"/>
      <x:c r="AI2903" s="30"/>
      <x:c r="AJ2903" s="87" t="str">
        <x:v>master</x:v>
      </x:c>
      <x:c r="AK2903" s="87" t="str">
        <x:v>master-v0.81</x:v>
      </x:c>
      <x:c r="AL2903" s="87" t="str">
        <x:v>statgrad_master_base_v0_81_final(2).xlsx</x:v>
      </x:c>
      <x:c r="AM2903" s="87" t="str">
        <x:v>RU_Sep_V2</x:v>
      </x:c>
      <x:c r="AN2903" s="87" t="n">
        <x:v>15</x:v>
      </x:c>
    </x:row>
    <x:row r="2904">
      <x:c r="A2904" s="87" t="n">
        <x:v>2903</x:v>
      </x:c>
      <x:c r="B2904" s="87" t="str">
        <x:v>SEP-RU-V2-015</x:v>
      </x:c>
      <x:c r="C2904" s="87" t="str">
        <x:v>СтатГрад</x:v>
      </x:c>
      <x:c r="D2904" s="87" t="str">
        <x:v>Сентябрь 2025</x:v>
      </x:c>
      <x:c r="E2904" s="87"/>
      <x:c r="F2904" s="87"/>
      <x:c r="G2904" s="87" t="str">
        <x:v>Русский язык</x:v>
      </x:c>
      <x:c r="H2904" s="87" t="n">
        <x:v>11</x:v>
      </x:c>
      <x:c r="I2904" s="87" t="str">
        <x:v>ТР №1</x:v>
      </x:c>
      <x:c r="J2904" s="87" t="str">
        <x:v>РЯ2510102</x:v>
      </x:c>
      <x:c r="K2904" s="87" t="n">
        <x:v>15</x:v>
      </x:c>
      <x:c r="L2904" s="87" t="str">
        <x:v>Н и НН</x:v>
      </x:c>
      <x:c r="M2904" s="30" t="str">
        <x:v>Определить позиции с одной буквой Н.</x:v>
      </x:c>
      <x:c r="N2904" s="30" t="str">
        <x:v>2458</x:v>
      </x:c>
      <x:c r="O2904" s="30" t="str">
        <x:v>Краткие причастия «поставлены», «отгружено», «закуплено» и прилагательное «единому» имеют одну Н.</x:v>
      </x:c>
      <x:c r="P2904" s="30" t="str">
        <x:v>Краткие причастия «поставлены», «отгружено», «закуплено» и прилагательное «единому» имеют одну Н.</x:v>
      </x:c>
      <x:c r="Q2904" s="30"/>
      <x:c r="R2904" s="30" t="str">
        <x:v>Kriterii_RU11_18092025.pdf: 2458 &lt;или&gt; любая другая последовательность этих цифр</x:v>
      </x:c>
      <x:c r="S2904" s="30"/>
      <x:c r="T2904" s="30"/>
      <x:c r="U2904" s="30" t="str">
        <x:v>Расхождений не обнаружено; допустимые перестановки и альтернативы сохранены.</x:v>
      </x:c>
      <x:c r="V2904" s="87" t="str">
        <x:v>VERIFIED</x:v>
      </x:c>
      <x:c r="W2904" s="87" t="str">
        <x:v>Официальный PDF, стр. 7</x:v>
      </x:c>
      <x:c r="X2904" s="87"/>
      <x:c r="Y2904" s="87"/>
      <x:c r="Z2904" s="87"/>
      <x:c r="AA2904" s="87"/>
      <x:c r="AB2904" s="87"/>
      <x:c r="AC2904" s="87"/>
      <x:c r="AD2904" s="87"/>
      <x:c r="AE2904" s="87"/>
      <x:c r="AF2904" s="87"/>
      <x:c r="AG2904" s="87"/>
      <x:c r="AH2904" s="87"/>
      <x:c r="AI2904" s="30"/>
      <x:c r="AJ2904" s="87" t="str">
        <x:v>master</x:v>
      </x:c>
      <x:c r="AK2904" s="87" t="str">
        <x:v>master-v0.81</x:v>
      </x:c>
      <x:c r="AL2904" s="87" t="str">
        <x:v>statgrad_master_base_v0_81_final(2).xlsx</x:v>
      </x:c>
      <x:c r="AM2904" s="87" t="str">
        <x:v>RU_Sep_V2</x:v>
      </x:c>
      <x:c r="AN2904" s="87" t="n">
        <x:v>16</x:v>
      </x:c>
    </x:row>
    <x:row r="2905">
      <x:c r="A2905" s="87" t="n">
        <x:v>2904</x:v>
      </x:c>
      <x:c r="B2905" s="87" t="str">
        <x:v>SEP-RU-V2-016</x:v>
      </x:c>
      <x:c r="C2905" s="87" t="str">
        <x:v>СтатГрад</x:v>
      </x:c>
      <x:c r="D2905" s="87" t="str">
        <x:v>Сентябрь 2025</x:v>
      </x:c>
      <x:c r="E2905" s="87"/>
      <x:c r="F2905" s="87"/>
      <x:c r="G2905" s="87" t="str">
        <x:v>Русский язык</x:v>
      </x:c>
      <x:c r="H2905" s="87" t="n">
        <x:v>11</x:v>
      </x:c>
      <x:c r="I2905" s="87" t="str">
        <x:v>ТР №1</x:v>
      </x:c>
      <x:c r="J2905" s="87" t="str">
        <x:v>РЯ2510102</x:v>
      </x:c>
      <x:c r="K2905" s="87" t="n">
        <x:v>16</x:v>
      </x:c>
      <x:c r="L2905" s="87" t="str">
        <x:v>Однородные члены</x:v>
      </x:c>
      <x:c r="M2905" s="30" t="str">
        <x:v>Выбрать предложения, где требуется ровно одна запятая.</x:v>
      </x:c>
      <x:c r="N2905" s="30" t="str">
        <x:v>12</x:v>
      </x:c>
      <x:c r="O2905" s="30" t="str">
        <x:v>В 1-м предложении одна запятая между конструкциями «то…, то…»; во 2-м — в союзе «не только…, но и…».</x:v>
      </x:c>
      <x:c r="P2905" s="30" t="str">
        <x:v>В 1-м предложении одна запятая между конструкциями «то…, то…»; во 2-м — в союзе «не только…, но и…».</x:v>
      </x:c>
      <x:c r="Q2905" s="30"/>
      <x:c r="R2905" s="30" t="str">
        <x:v>photo_2025-09-19_11-16-39.jpg: 12</x:v>
      </x:c>
      <x:c r="S2905" s="30"/>
      <x:c r="T2905" s="30"/>
      <x:c r="U2905" s="30" t="str">
        <x:v>Расхождений не обнаружено.</x:v>
      </x:c>
      <x:c r="V2905" s="87" t="str">
        <x:v>VERIFIED</x:v>
      </x:c>
      <x:c r="W2905" s="87" t="str">
        <x:v>Официальный PDF, стр. 8</x:v>
      </x:c>
      <x:c r="X2905" s="87"/>
      <x:c r="Y2905" s="87"/>
      <x:c r="Z2905" s="87"/>
      <x:c r="AA2905" s="87"/>
      <x:c r="AB2905" s="87"/>
      <x:c r="AC2905" s="87"/>
      <x:c r="AD2905" s="87"/>
      <x:c r="AE2905" s="87"/>
      <x:c r="AF2905" s="87"/>
      <x:c r="AG2905" s="87"/>
      <x:c r="AH2905" s="87"/>
      <x:c r="AI2905" s="30"/>
      <x:c r="AJ2905" s="87" t="str">
        <x:v>master</x:v>
      </x:c>
      <x:c r="AK2905" s="87" t="str">
        <x:v>master-v0.81</x:v>
      </x:c>
      <x:c r="AL2905" s="87" t="str">
        <x:v>statgrad_master_base_v0_81_final(2).xlsx</x:v>
      </x:c>
      <x:c r="AM2905" s="87" t="str">
        <x:v>RU_Sep_V2</x:v>
      </x:c>
      <x:c r="AN2905" s="87" t="n">
        <x:v>17</x:v>
      </x:c>
    </x:row>
    <x:row r="2906">
      <x:c r="A2906" s="87" t="n">
        <x:v>2905</x:v>
      </x:c>
      <x:c r="B2906" s="87" t="str">
        <x:v>SEP-RU-V2-017</x:v>
      </x:c>
      <x:c r="C2906" s="87" t="str">
        <x:v>СтатГрад</x:v>
      </x:c>
      <x:c r="D2906" s="87" t="str">
        <x:v>Сентябрь 2025</x:v>
      </x:c>
      <x:c r="E2906" s="87"/>
      <x:c r="F2906" s="87"/>
      <x:c r="G2906" s="87" t="str">
        <x:v>Русский язык</x:v>
      </x:c>
      <x:c r="H2906" s="87" t="n">
        <x:v>11</x:v>
      </x:c>
      <x:c r="I2906" s="87" t="str">
        <x:v>ТР №1</x:v>
      </x:c>
      <x:c r="J2906" s="87" t="str">
        <x:v>РЯ2510102</x:v>
      </x:c>
      <x:c r="K2906" s="87" t="n">
        <x:v>17</x:v>
      </x:c>
      <x:c r="L2906" s="87" t="str">
        <x:v>Обособленные обстоятельства</x:v>
      </x:c>
      <x:c r="M2906" s="30" t="str">
        <x:v>Расставить запятые при обособленных определениях и деепричастных оборотах.</x:v>
      </x:c>
      <x:c r="N2906" s="30" t="str">
        <x:v>12347</x:v>
      </x:c>
      <x:c r="O2906" s="30" t="str">
        <x:v>Обособляются определения «встревоженные и разгорячённые», оборот «внося…» и оборот «шумя и топоча ногами».</x:v>
      </x:c>
      <x:c r="P2906" s="30" t="str">
        <x:v>Обособляются определения «встревоженные и разгорячённые», оборот «внося…» и оборот «шумя и топоча ногами».</x:v>
      </x:c>
      <x:c r="Q2906" s="30"/>
      <x:c r="R2906" s="30" t="str">
        <x:v>Kriterii_RU11_18092025.pdf: 12347 &lt;или&gt; любая другая последовательность этих цифр</x:v>
      </x:c>
      <x:c r="S2906" s="30"/>
      <x:c r="T2906" s="30"/>
      <x:c r="U2906" s="30" t="str">
        <x:v>Расхождений не обнаружено; допустимые перестановки и альтернативы сохранены.</x:v>
      </x:c>
      <x:c r="V2906" s="87" t="str">
        <x:v>VERIFIED</x:v>
      </x:c>
      <x:c r="W2906" s="87" t="str">
        <x:v>Официальный PDF, стр. 8</x:v>
      </x:c>
      <x:c r="X2906" s="87"/>
      <x:c r="Y2906" s="87"/>
      <x:c r="Z2906" s="87"/>
      <x:c r="AA2906" s="87"/>
      <x:c r="AB2906" s="87"/>
      <x:c r="AC2906" s="87"/>
      <x:c r="AD2906" s="87"/>
      <x:c r="AE2906" s="87"/>
      <x:c r="AF2906" s="87"/>
      <x:c r="AG2906" s="87"/>
      <x:c r="AH2906" s="87"/>
      <x:c r="AI2906" s="30"/>
      <x:c r="AJ2906" s="87" t="str">
        <x:v>master</x:v>
      </x:c>
      <x:c r="AK2906" s="87" t="str">
        <x:v>master-v0.81</x:v>
      </x:c>
      <x:c r="AL2906" s="87" t="str">
        <x:v>statgrad_master_base_v0_81_final(2).xlsx</x:v>
      </x:c>
      <x:c r="AM2906" s="87" t="str">
        <x:v>RU_Sep_V2</x:v>
      </x:c>
      <x:c r="AN2906" s="87" t="n">
        <x:v>18</x:v>
      </x:c>
    </x:row>
    <x:row r="2907">
      <x:c r="A2907" s="87" t="n">
        <x:v>2906</x:v>
      </x:c>
      <x:c r="B2907" s="87" t="str">
        <x:v>SEP-RU-V2-018</x:v>
      </x:c>
      <x:c r="C2907" s="87" t="str">
        <x:v>СтатГрад</x:v>
      </x:c>
      <x:c r="D2907" s="87" t="str">
        <x:v>Сентябрь 2025</x:v>
      </x:c>
      <x:c r="E2907" s="87"/>
      <x:c r="F2907" s="87"/>
      <x:c r="G2907" s="87" t="str">
        <x:v>Русский язык</x:v>
      </x:c>
      <x:c r="H2907" s="87" t="n">
        <x:v>11</x:v>
      </x:c>
      <x:c r="I2907" s="87" t="str">
        <x:v>ТР №1</x:v>
      </x:c>
      <x:c r="J2907" s="87" t="str">
        <x:v>РЯ2510102</x:v>
      </x:c>
      <x:c r="K2907" s="87" t="n">
        <x:v>18</x:v>
      </x:c>
      <x:c r="L2907" s="87" t="str">
        <x:v>Обращения и вводные слова</x:v>
      </x:c>
      <x:c r="M2907" s="30" t="str">
        <x:v>Расставить запятые при обращении и вводном слове «однако».</x:v>
      </x:c>
      <x:c r="N2907" s="30" t="str">
        <x:v>345</x:v>
      </x:c>
      <x:c r="O2907" s="30" t="str">
        <x:v>Обращение «матушка» отделяется запятой; вводное «однако» выделяется с двух сторон.</x:v>
      </x:c>
      <x:c r="P2907" s="30" t="str">
        <x:v>Обращение «матушка» отделяется запятой; вводное «однако» выделяется с двух сторон.</x:v>
      </x:c>
      <x:c r="Q2907" s="30"/>
      <x:c r="R2907" s="30" t="str">
        <x:v>Kriterii_RU11_18092025.pdf: 345 &lt;или&gt; любая другая последовательность этих цифр</x:v>
      </x:c>
      <x:c r="S2907" s="30"/>
      <x:c r="T2907" s="30"/>
      <x:c r="U2907" s="30" t="str">
        <x:v>Расхождений не обнаружено; допустимые перестановки и альтернативы сохранены.</x:v>
      </x:c>
      <x:c r="V2907" s="87" t="str">
        <x:v>VERIFIED</x:v>
      </x:c>
      <x:c r="W2907" s="87" t="str">
        <x:v>Официальный PDF, стр. 8</x:v>
      </x:c>
      <x:c r="X2907" s="87"/>
      <x:c r="Y2907" s="87"/>
      <x:c r="Z2907" s="87"/>
      <x:c r="AA2907" s="87"/>
      <x:c r="AB2907" s="87"/>
      <x:c r="AC2907" s="87"/>
      <x:c r="AD2907" s="87"/>
      <x:c r="AE2907" s="87"/>
      <x:c r="AF2907" s="87"/>
      <x:c r="AG2907" s="87"/>
      <x:c r="AH2907" s="87"/>
      <x:c r="AI2907" s="30"/>
      <x:c r="AJ2907" s="87" t="str">
        <x:v>master</x:v>
      </x:c>
      <x:c r="AK2907" s="87" t="str">
        <x:v>master-v0.81</x:v>
      </x:c>
      <x:c r="AL2907" s="87" t="str">
        <x:v>statgrad_master_base_v0_81_final(2).xlsx</x:v>
      </x:c>
      <x:c r="AM2907" s="87" t="str">
        <x:v>RU_Sep_V2</x:v>
      </x:c>
      <x:c r="AN2907" s="87" t="n">
        <x:v>19</x:v>
      </x:c>
    </x:row>
    <x:row r="2908">
      <x:c r="A2908" s="87" t="n">
        <x:v>2907</x:v>
      </x:c>
      <x:c r="B2908" s="87" t="str">
        <x:v>SEP-RU-V2-019</x:v>
      </x:c>
      <x:c r="C2908" s="87" t="str">
        <x:v>СтатГрад</x:v>
      </x:c>
      <x:c r="D2908" s="87" t="str">
        <x:v>Сентябрь 2025</x:v>
      </x:c>
      <x:c r="E2908" s="87"/>
      <x:c r="F2908" s="87"/>
      <x:c r="G2908" s="87" t="str">
        <x:v>Русский язык</x:v>
      </x:c>
      <x:c r="H2908" s="87" t="n">
        <x:v>11</x:v>
      </x:c>
      <x:c r="I2908" s="87" t="str">
        <x:v>ТР №1</x:v>
      </x:c>
      <x:c r="J2908" s="87" t="str">
        <x:v>РЯ2510102</x:v>
      </x:c>
      <x:c r="K2908" s="87" t="n">
        <x:v>19</x:v>
      </x:c>
      <x:c r="L2908" s="87" t="str">
        <x:v>СПП и сложное предложение</x:v>
      </x:c>
      <x:c r="M2908" s="30" t="str">
        <x:v>Расставить запятые в сложном предложении о засаде на медведя.</x:v>
      </x:c>
      <x:c r="N2908" s="30" t="str">
        <x:v>123568</x:v>
      </x:c>
      <x:c r="O2908" s="30" t="str">
        <x:v>Обособляются придаточные времени, определительное, изъяснительное и уступительная конструкция «хотя…, но…».</x:v>
      </x:c>
      <x:c r="P2908" s="30" t="str">
        <x:v>Обособляются придаточные времени, определительное, изъяснительное и уступительная конструкция «хотя…, но…».</x:v>
      </x:c>
      <x:c r="Q2908" s="30"/>
      <x:c r="R2908" s="30" t="str">
        <x:v>Kriterii_RU11_18092025.pdf: 123568 &lt;или&gt; любая другая последовательность этих цифр</x:v>
      </x:c>
      <x:c r="S2908" s="30"/>
      <x:c r="T2908" s="30"/>
      <x:c r="U2908" s="30" t="str">
        <x:v>Расхождений не обнаружено; допустимые перестановки и альтернативы сохранены.</x:v>
      </x:c>
      <x:c r="V2908" s="87" t="str">
        <x:v>VERIFIED</x:v>
      </x:c>
      <x:c r="W2908" s="87" t="str">
        <x:v>Официальный PDF, стр. 8</x:v>
      </x:c>
      <x:c r="X2908" s="87"/>
      <x:c r="Y2908" s="87"/>
      <x:c r="Z2908" s="87"/>
      <x:c r="AA2908" s="87"/>
      <x:c r="AB2908" s="87"/>
      <x:c r="AC2908" s="87"/>
      <x:c r="AD2908" s="87"/>
      <x:c r="AE2908" s="87"/>
      <x:c r="AF2908" s="87"/>
      <x:c r="AG2908" s="87"/>
      <x:c r="AH2908" s="87"/>
      <x:c r="AI2908" s="30"/>
      <x:c r="AJ2908" s="87" t="str">
        <x:v>master</x:v>
      </x:c>
      <x:c r="AK2908" s="87" t="str">
        <x:v>master-v0.81</x:v>
      </x:c>
      <x:c r="AL2908" s="87" t="str">
        <x:v>statgrad_master_base_v0_81_final(2).xlsx</x:v>
      </x:c>
      <x:c r="AM2908" s="87" t="str">
        <x:v>RU_Sep_V2</x:v>
      </x:c>
      <x:c r="AN2908" s="87" t="n">
        <x:v>20</x:v>
      </x:c>
    </x:row>
    <x:row r="2909">
      <x:c r="A2909" s="87" t="n">
        <x:v>2908</x:v>
      </x:c>
      <x:c r="B2909" s="87" t="str">
        <x:v>SEP-RU-V2-020</x:v>
      </x:c>
      <x:c r="C2909" s="87" t="str">
        <x:v>СтатГрад</x:v>
      </x:c>
      <x:c r="D2909" s="87" t="str">
        <x:v>Сентябрь 2025</x:v>
      </x:c>
      <x:c r="E2909" s="87"/>
      <x:c r="F2909" s="87"/>
      <x:c r="G2909" s="87" t="str">
        <x:v>Русский язык</x:v>
      </x:c>
      <x:c r="H2909" s="87" t="n">
        <x:v>11</x:v>
      </x:c>
      <x:c r="I2909" s="87" t="str">
        <x:v>ТР №1</x:v>
      </x:c>
      <x:c r="J2909" s="87" t="str">
        <x:v>РЯ2510102</x:v>
      </x:c>
      <x:c r="K2909" s="87" t="n">
        <x:v>20</x:v>
      </x:c>
      <x:c r="L2909" s="87" t="str">
        <x:v>Сложное предложение</x:v>
      </x:c>
      <x:c r="M2909" s="30" t="str">
        <x:v>Расставить запятые в сложном предложении о заблудившихся детях.</x:v>
      </x:c>
      <x:c r="N2909" s="30" t="str">
        <x:v>1567</x:v>
      </x:c>
      <x:c r="O2909" s="30" t="str">
        <x:v>Запятые ставятся перед первым «что», между условным придаточным и «то», перед продолжением главной части и перед «как».</x:v>
      </x:c>
      <x:c r="P2909" s="30" t="str">
        <x:v>Запятые ставятся перед первым «что», между условным придаточным и «то», перед продолжением главной части и перед «как».</x:v>
      </x:c>
      <x:c r="Q2909" s="30"/>
      <x:c r="R2909" s="30" t="str">
        <x:v>Kriterii_RU11_18092025.pdf: 1567 &lt;или&gt; любая другая последовательность этих цифр</x:v>
      </x:c>
      <x:c r="S2909" s="30"/>
      <x:c r="T2909" s="30"/>
      <x:c r="U2909" s="30" t="str">
        <x:v>Расхождений не обнаружено; допустимые перестановки и альтернативы сохранены.</x:v>
      </x:c>
      <x:c r="V2909" s="87" t="str">
        <x:v>VERIFIED</x:v>
      </x:c>
      <x:c r="W2909" s="87" t="str">
        <x:v>Официальный PDF, стр. 9</x:v>
      </x:c>
      <x:c r="X2909" s="87"/>
      <x:c r="Y2909" s="87"/>
      <x:c r="Z2909" s="87"/>
      <x:c r="AA2909" s="87"/>
      <x:c r="AB2909" s="87"/>
      <x:c r="AC2909" s="87"/>
      <x:c r="AD2909" s="87"/>
      <x:c r="AE2909" s="87"/>
      <x:c r="AF2909" s="87"/>
      <x:c r="AG2909" s="87"/>
      <x:c r="AH2909" s="87"/>
      <x:c r="AI2909" s="30"/>
      <x:c r="AJ2909" s="87" t="str">
        <x:v>master</x:v>
      </x:c>
      <x:c r="AK2909" s="87" t="str">
        <x:v>master-v0.81</x:v>
      </x:c>
      <x:c r="AL2909" s="87" t="str">
        <x:v>statgrad_master_base_v0_81_final(2).xlsx</x:v>
      </x:c>
      <x:c r="AM2909" s="87" t="str">
        <x:v>RU_Sep_V2</x:v>
      </x:c>
      <x:c r="AN2909" s="87" t="n">
        <x:v>21</x:v>
      </x:c>
    </x:row>
    <x:row r="2910">
      <x:c r="A2910" s="87" t="n">
        <x:v>2909</x:v>
      </x:c>
      <x:c r="B2910" s="87" t="str">
        <x:v>SEP-RU-V2-021</x:v>
      </x:c>
      <x:c r="C2910" s="87" t="str">
        <x:v>СтатГрад</x:v>
      </x:c>
      <x:c r="D2910" s="87" t="str">
        <x:v>Сентябрь 2025</x:v>
      </x:c>
      <x:c r="E2910" s="87"/>
      <x:c r="F2910" s="87"/>
      <x:c r="G2910" s="87" t="str">
        <x:v>Русский язык</x:v>
      </x:c>
      <x:c r="H2910" s="87" t="n">
        <x:v>11</x:v>
      </x:c>
      <x:c r="I2910" s="87" t="str">
        <x:v>ТР №1</x:v>
      </x:c>
      <x:c r="J2910" s="87" t="str">
        <x:v>РЯ2510102</x:v>
      </x:c>
      <x:c r="K2910" s="87" t="n">
        <x:v>21</x:v>
      </x:c>
      <x:c r="L2910" s="87" t="str">
        <x:v>Пунктуационный анализ</x:v>
      </x:c>
      <x:c r="M2910" s="30" t="str">
        <x:v>Найти предложения о путешествии Кука с запятыми по одному правилу.</x:v>
      </x:c>
      <x:c r="N2910" s="30" t="str">
        <x:v>1237</x:v>
      </x:c>
      <x:c r="O2910" s="30" t="str">
        <x:v>В 1, 2, 3 и 7 запятые связаны с противительными/сопоставительными союзами «а», «однако».</x:v>
      </x:c>
      <x:c r="P2910" s="30" t="str">
        <x:v>В 1, 2, 3 и 7 запятые связаны с противительными/сопоставительными союзами «а», «однако».</x:v>
      </x:c>
      <x:c r="Q2910" s="30"/>
      <x:c r="R2910" s="30" t="str">
        <x:v>Kriterii_RU11_18092025.pdf: 1237 &lt;или&gt; любая другая последовательность этих цифр</x:v>
      </x:c>
      <x:c r="S2910" s="30"/>
      <x:c r="T2910" s="30"/>
      <x:c r="U2910" s="30" t="str">
        <x:v>Расхождений не обнаружено; допустимые перестановки и альтернативы сохранены.</x:v>
      </x:c>
      <x:c r="V2910" s="87" t="str">
        <x:v>VERIFIED</x:v>
      </x:c>
      <x:c r="W2910" s="87" t="str">
        <x:v>Официальный PDF, стр. 9</x:v>
      </x:c>
      <x:c r="X2910" s="87"/>
      <x:c r="Y2910" s="87"/>
      <x:c r="Z2910" s="87"/>
      <x:c r="AA2910" s="87"/>
      <x:c r="AB2910" s="87"/>
      <x:c r="AC2910" s="87"/>
      <x:c r="AD2910" s="87"/>
      <x:c r="AE2910" s="87"/>
      <x:c r="AF2910" s="87"/>
      <x:c r="AG2910" s="87"/>
      <x:c r="AH2910" s="87"/>
      <x:c r="AI2910" s="30"/>
      <x:c r="AJ2910" s="87" t="str">
        <x:v>master</x:v>
      </x:c>
      <x:c r="AK2910" s="87" t="str">
        <x:v>master-v0.81</x:v>
      </x:c>
      <x:c r="AL2910" s="87" t="str">
        <x:v>statgrad_master_base_v0_81_final(2).xlsx</x:v>
      </x:c>
      <x:c r="AM2910" s="87" t="str">
        <x:v>RU_Sep_V2</x:v>
      </x:c>
      <x:c r="AN2910" s="87" t="n">
        <x:v>22</x:v>
      </x:c>
    </x:row>
    <x:row r="2911">
      <x:c r="A2911" s="87" t="n">
        <x:v>2910</x:v>
      </x:c>
      <x:c r="B2911" s="87" t="str">
        <x:v>SEP-RU-V2-022</x:v>
      </x:c>
      <x:c r="C2911" s="87" t="str">
        <x:v>СтатГрад</x:v>
      </x:c>
      <x:c r="D2911" s="87" t="str">
        <x:v>Сентябрь 2025</x:v>
      </x:c>
      <x:c r="E2911" s="87"/>
      <x:c r="F2911" s="87"/>
      <x:c r="G2911" s="87" t="str">
        <x:v>Русский язык</x:v>
      </x:c>
      <x:c r="H2911" s="87" t="n">
        <x:v>11</x:v>
      </x:c>
      <x:c r="I2911" s="87" t="str">
        <x:v>ТР №1</x:v>
      </x:c>
      <x:c r="J2911" s="87" t="str">
        <x:v>РЯ2510102</x:v>
      </x:c>
      <x:c r="K2911" s="87" t="n">
        <x:v>22</x:v>
      </x:c>
      <x:c r="L2911" s="87" t="str">
        <x:v>Средства выразительности</x:v>
      </x:c>
      <x:c r="M2911" s="30" t="str">
        <x:v>Соотнести пять поэтических примеров со средствами выразительности.</x:v>
      </x:c>
      <x:c r="N2911" s="30" t="str">
        <x:v>64782</x:v>
      </x:c>
      <x:c r="O2911" s="30" t="str">
        <x:v>А — метонимия; Б — сравнение; В — риторическое обращение; Г — риторический вопрос; Д — парцелляция.</x:v>
      </x:c>
      <x:c r="P2911" s="30" t="str">
        <x:v>А — метонимия; Б — сравнение; В — риторическое обращение; Г — риторический вопрос; Д — парцелляция.</x:v>
      </x:c>
      <x:c r="Q2911" s="30"/>
      <x:c r="R2911" s="30" t="str">
        <x:v>Kriterii_RU11_18092025.pdf: 64782</x:v>
      </x:c>
      <x:c r="S2911" s="30"/>
      <x:c r="T2911" s="30"/>
      <x:c r="U2911" s="30" t="str">
        <x:v>Расхождений не обнаружено.</x:v>
      </x:c>
      <x:c r="V2911" s="87" t="str">
        <x:v>VERIFIED</x:v>
      </x:c>
      <x:c r="W2911" s="87" t="str">
        <x:v>Официальный PDF, стр. 10</x:v>
      </x:c>
      <x:c r="X2911" s="87"/>
      <x:c r="Y2911" s="87"/>
      <x:c r="Z2911" s="87"/>
      <x:c r="AA2911" s="87"/>
      <x:c r="AB2911" s="87"/>
      <x:c r="AC2911" s="87"/>
      <x:c r="AD2911" s="87"/>
      <x:c r="AE2911" s="87"/>
      <x:c r="AF2911" s="87"/>
      <x:c r="AG2911" s="87"/>
      <x:c r="AH2911" s="87"/>
      <x:c r="AI2911" s="30"/>
      <x:c r="AJ2911" s="87" t="str">
        <x:v>master</x:v>
      </x:c>
      <x:c r="AK2911" s="87" t="str">
        <x:v>master-v0.81</x:v>
      </x:c>
      <x:c r="AL2911" s="87" t="str">
        <x:v>statgrad_master_base_v0_81_final(2).xlsx</x:v>
      </x:c>
      <x:c r="AM2911" s="87" t="str">
        <x:v>RU_Sep_V2</x:v>
      </x:c>
      <x:c r="AN2911" s="87" t="n">
        <x:v>23</x:v>
      </x:c>
    </x:row>
    <x:row r="2912">
      <x:c r="A2912" s="87" t="n">
        <x:v>2911</x:v>
      </x:c>
      <x:c r="B2912" s="87" t="str">
        <x:v>SEP-RU-V2-023</x:v>
      </x:c>
      <x:c r="C2912" s="87" t="str">
        <x:v>СтатГрад</x:v>
      </x:c>
      <x:c r="D2912" s="87" t="str">
        <x:v>Сентябрь 2025</x:v>
      </x:c>
      <x:c r="E2912" s="87"/>
      <x:c r="F2912" s="87"/>
      <x:c r="G2912" s="87" t="str">
        <x:v>Русский язык</x:v>
      </x:c>
      <x:c r="H2912" s="87" t="n">
        <x:v>11</x:v>
      </x:c>
      <x:c r="I2912" s="87" t="str">
        <x:v>ТР №1</x:v>
      </x:c>
      <x:c r="J2912" s="87" t="str">
        <x:v>РЯ2510102</x:v>
      </x:c>
      <x:c r="K2912" s="87" t="n">
        <x:v>23</x:v>
      </x:c>
      <x:c r="L2912" s="87" t="str">
        <x:v>Содержание текста</x:v>
      </x:c>
      <x:c r="M2912" s="30" t="str">
        <x:v>По тексту о В. И. Вернадском выбрать утверждения, не соответствующие содержанию.</x:v>
      </x:c>
      <x:c r="N2912" s="30" t="str">
        <x:v>12</x:v>
      </x:c>
      <x:c r="O2912" s="30" t="str">
        <x:v>Карутерс не сделал геохимического открытия, а папки Вернадского находились дома, а не в университете.</x:v>
      </x:c>
      <x:c r="P2912" s="30" t="str">
        <x:v>Карутерс не сделал геохимического открытия, а папки Вернадского находились дома, а не в университете.</x:v>
      </x:c>
      <x:c r="Q2912" s="30"/>
      <x:c r="R2912" s="30" t="str">
        <x:v>photo_2025-09-19_11-16-39.jpg: 12</x:v>
      </x:c>
      <x:c r="S2912" s="30"/>
      <x:c r="T2912" s="30"/>
      <x:c r="U2912" s="30" t="str">
        <x:v>Расхождений не обнаружено.</x:v>
      </x:c>
      <x:c r="V2912" s="87" t="str">
        <x:v>VERIFIED</x:v>
      </x:c>
      <x:c r="W2912" s="87" t="str">
        <x:v>Официальный PDF, стр. 13</x:v>
      </x:c>
      <x:c r="X2912" s="87"/>
      <x:c r="Y2912" s="87"/>
      <x:c r="Z2912" s="87"/>
      <x:c r="AA2912" s="87"/>
      <x:c r="AB2912" s="87"/>
      <x:c r="AC2912" s="87"/>
      <x:c r="AD2912" s="87"/>
      <x:c r="AE2912" s="87"/>
      <x:c r="AF2912" s="87"/>
      <x:c r="AG2912" s="87"/>
      <x:c r="AH2912" s="87"/>
      <x:c r="AI2912" s="30"/>
      <x:c r="AJ2912" s="87" t="str">
        <x:v>master</x:v>
      </x:c>
      <x:c r="AK2912" s="87" t="str">
        <x:v>master-v0.81</x:v>
      </x:c>
      <x:c r="AL2912" s="87" t="str">
        <x:v>statgrad_master_base_v0_81_final(2).xlsx</x:v>
      </x:c>
      <x:c r="AM2912" s="87" t="str">
        <x:v>RU_Sep_V2</x:v>
      </x:c>
      <x:c r="AN2912" s="87" t="n">
        <x:v>24</x:v>
      </x:c>
    </x:row>
    <x:row r="2913">
      <x:c r="A2913" s="87" t="n">
        <x:v>2912</x:v>
      </x:c>
      <x:c r="B2913" s="87" t="str">
        <x:v>SEP-RU-V2-024</x:v>
      </x:c>
      <x:c r="C2913" s="87" t="str">
        <x:v>СтатГрад</x:v>
      </x:c>
      <x:c r="D2913" s="87" t="str">
        <x:v>Сентябрь 2025</x:v>
      </x:c>
      <x:c r="E2913" s="87"/>
      <x:c r="F2913" s="87"/>
      <x:c r="G2913" s="87" t="str">
        <x:v>Русский язык</x:v>
      </x:c>
      <x:c r="H2913" s="87" t="n">
        <x:v>11</x:v>
      </x:c>
      <x:c r="I2913" s="87" t="str">
        <x:v>ТР №1</x:v>
      </x:c>
      <x:c r="J2913" s="87" t="str">
        <x:v>РЯ2510102</x:v>
      </x:c>
      <x:c r="K2913" s="87" t="n">
        <x:v>24</x:v>
      </x:c>
      <x:c r="L2913" s="87" t="str">
        <x:v>Типы речи и связь предложений</x:v>
      </x:c>
      <x:c r="M2913" s="30" t="str">
        <x:v>По тому же тексту выбрать ошибочные утверждения о типах речи и смысловых отношениях.</x:v>
      </x:c>
      <x:c r="N2913" s="30" t="str">
        <x:v>245</x:v>
      </x:c>
      <x:c r="O2913" s="30" t="str">
        <x:v>20–21 содержат повествование, 35 передаёт результат/переживание после действия 34, а 37–38 представляют сообщение и описание научной концепции, не повествование.</x:v>
      </x:c>
      <x:c r="P2913" s="30" t="str">
        <x:v>20–21 содержат повествование, 35 передаёт результат/переживание после действия 34, а 37–38 представляют сообщение и описание научной концепции, не повествование.</x:v>
      </x:c>
      <x:c r="Q2913" s="30"/>
      <x:c r="R2913" s="30" t="str">
        <x:v>Kriterii_RU11_18092025.pdf: 245 &lt;или&gt; любая другая последовательность этих цифр</x:v>
      </x:c>
      <x:c r="S2913" s="30"/>
      <x:c r="T2913" s="30"/>
      <x:c r="U2913" s="30" t="str">
        <x:v>Расхождений не обнаружено; допустимые перестановки и альтернативы сохранены.</x:v>
      </x:c>
      <x:c r="V2913" s="87" t="str">
        <x:v>VERIFIED</x:v>
      </x:c>
      <x:c r="W2913" s="87" t="str">
        <x:v>Официальный PDF, стр. 13</x:v>
      </x:c>
      <x:c r="X2913" s="87"/>
      <x:c r="Y2913" s="87"/>
      <x:c r="Z2913" s="87"/>
      <x:c r="AA2913" s="87"/>
      <x:c r="AB2913" s="87"/>
      <x:c r="AC2913" s="87"/>
      <x:c r="AD2913" s="87"/>
      <x:c r="AE2913" s="87"/>
      <x:c r="AF2913" s="87"/>
      <x:c r="AG2913" s="87"/>
      <x:c r="AH2913" s="87"/>
      <x:c r="AI2913" s="30"/>
      <x:c r="AJ2913" s="87" t="str">
        <x:v>master</x:v>
      </x:c>
      <x:c r="AK2913" s="87" t="str">
        <x:v>master-v0.81</x:v>
      </x:c>
      <x:c r="AL2913" s="87" t="str">
        <x:v>statgrad_master_base_v0_81_final(2).xlsx</x:v>
      </x:c>
      <x:c r="AM2913" s="87" t="str">
        <x:v>RU_Sep_V2</x:v>
      </x:c>
      <x:c r="AN2913" s="87" t="n">
        <x:v>25</x:v>
      </x:c>
    </x:row>
    <x:row r="2914">
      <x:c r="A2914" s="87" t="n">
        <x:v>2913</x:v>
      </x:c>
      <x:c r="B2914" s="87" t="str">
        <x:v>SEP-RU-V2-025</x:v>
      </x:c>
      <x:c r="C2914" s="87" t="str">
        <x:v>СтатГрад</x:v>
      </x:c>
      <x:c r="D2914" s="87" t="str">
        <x:v>Сентябрь 2025</x:v>
      </x:c>
      <x:c r="E2914" s="87"/>
      <x:c r="F2914" s="87"/>
      <x:c r="G2914" s="87" t="str">
        <x:v>Русский язык</x:v>
      </x:c>
      <x:c r="H2914" s="87" t="n">
        <x:v>11</x:v>
      </x:c>
      <x:c r="I2914" s="87" t="str">
        <x:v>ТР №1</x:v>
      </x:c>
      <x:c r="J2914" s="87" t="str">
        <x:v>РЯ2510102</x:v>
      </x:c>
      <x:c r="K2914" s="87" t="n">
        <x:v>25</x:v>
      </x:c>
      <x:c r="L2914" s="87" t="str">
        <x:v>Фразеологизм</x:v>
      </x:c>
      <x:c r="M2914" s="30" t="str">
        <x:v>Из предложений 39–42 выписать фразеологизм.</x:v>
      </x:c>
      <x:c r="N2914" s="30" t="str">
        <x:v>с точки зрения</x:v>
      </x:c>
      <x:c r="O2914" s="30" t="str">
        <x:v>Допустимо выписать «с точки зрения» или «точка зрения».</x:v>
      </x:c>
      <x:c r="P2914" s="30" t="str">
        <x:v>Допустимо выписать «с точки зрения» или «точка зрения».</x:v>
      </x:c>
      <x:c r="Q2914" s="30"/>
      <x:c r="R2914" s="30" t="str">
        <x:v>Kriterii_RU11_18092025.pdf: с точки зрения &lt;или&gt; точка зрения</x:v>
      </x:c>
      <x:c r="S2914" s="30"/>
      <x:c r="T2914" s="30"/>
      <x:c r="U2914" s="30" t="str">
        <x:v>Расхождений не обнаружено; допустимые перестановки и альтернативы сохранены.</x:v>
      </x:c>
      <x:c r="V2914" s="87" t="str">
        <x:v>VERIFIED</x:v>
      </x:c>
      <x:c r="W2914" s="87" t="str">
        <x:v>Официальный PDF, стр. 13</x:v>
      </x:c>
      <x:c r="X2914" s="87"/>
      <x:c r="Y2914" s="87"/>
      <x:c r="Z2914" s="87"/>
      <x:c r="AA2914" s="87"/>
      <x:c r="AB2914" s="87"/>
      <x:c r="AC2914" s="87"/>
      <x:c r="AD2914" s="87"/>
      <x:c r="AE2914" s="87"/>
      <x:c r="AF2914" s="87"/>
      <x:c r="AG2914" s="87"/>
      <x:c r="AH2914" s="87"/>
      <x:c r="AI2914" s="30"/>
      <x:c r="AJ2914" s="87" t="str">
        <x:v>master</x:v>
      </x:c>
      <x:c r="AK2914" s="87" t="str">
        <x:v>master-v0.81</x:v>
      </x:c>
      <x:c r="AL2914" s="87" t="str">
        <x:v>statgrad_master_base_v0_81_final(2).xlsx</x:v>
      </x:c>
      <x:c r="AM2914" s="87" t="str">
        <x:v>RU_Sep_V2</x:v>
      </x:c>
      <x:c r="AN2914" s="87" t="n">
        <x:v>26</x:v>
      </x:c>
    </x:row>
    <x:row r="2915">
      <x:c r="A2915" s="87" t="n">
        <x:v>2914</x:v>
      </x:c>
      <x:c r="B2915" s="87" t="str">
        <x:v>SEP-RU-V2-026</x:v>
      </x:c>
      <x:c r="C2915" s="87" t="str">
        <x:v>СтатГрад</x:v>
      </x:c>
      <x:c r="D2915" s="87" t="str">
        <x:v>Сентябрь 2025</x:v>
      </x:c>
      <x:c r="E2915" s="87"/>
      <x:c r="F2915" s="87"/>
      <x:c r="G2915" s="87" t="str">
        <x:v>Русский язык</x:v>
      </x:c>
      <x:c r="H2915" s="87" t="n">
        <x:v>11</x:v>
      </x:c>
      <x:c r="I2915" s="87" t="str">
        <x:v>ТР №1</x:v>
      </x:c>
      <x:c r="J2915" s="87" t="str">
        <x:v>РЯ2510102</x:v>
      </x:c>
      <x:c r="K2915" s="87" t="n">
        <x:v>26</x:v>
      </x:c>
      <x:c r="L2915" s="87" t="str">
        <x:v>Средства связи</x:v>
      </x:c>
      <x:c r="M2915" s="30" t="str">
        <x:v>Найти предложение 5–10, связанное с предыдущим указанным набором средств.</x:v>
      </x:c>
      <x:c r="N2915" s="30" t="str">
        <x:v>8</x:v>
      </x:c>
      <x:c r="O2915" s="30" t="str">
        <x:v>Предложение 8 связано с 7-м личным местоимением «он», обозначениями Вернадского и повтором слова «журнал».</x:v>
      </x:c>
      <x:c r="P2915" s="30" t="str">
        <x:v>Предложение 8 связано с 7-м личным местоимением «он», обозначениями Вернадского и повтором слова «журнал».</x:v>
      </x:c>
      <x:c r="Q2915" s="30"/>
      <x:c r="R2915" s="30" t="str">
        <x:v>Kriterii_RU11_18092025.pdf: 8</x:v>
      </x:c>
      <x:c r="S2915" s="30"/>
      <x:c r="T2915" s="30"/>
      <x:c r="U2915" s="30" t="str">
        <x:v>Расхождений не обнаружено.</x:v>
      </x:c>
      <x:c r="V2915" s="87" t="str">
        <x:v>VERIFIED</x:v>
      </x:c>
      <x:c r="W2915" s="87" t="str">
        <x:v>Официальный PDF, стр. 13</x:v>
      </x:c>
      <x:c r="X2915" s="87"/>
      <x:c r="Y2915" s="87"/>
      <x:c r="Z2915" s="87"/>
      <x:c r="AA2915" s="87"/>
      <x:c r="AB2915" s="87"/>
      <x:c r="AC2915" s="87"/>
      <x:c r="AD2915" s="87"/>
      <x:c r="AE2915" s="87"/>
      <x:c r="AF2915" s="87"/>
      <x:c r="AG2915" s="87"/>
      <x:c r="AH2915" s="87"/>
      <x:c r="AI2915" s="30"/>
      <x:c r="AJ2915" s="87" t="str">
        <x:v>master</x:v>
      </x:c>
      <x:c r="AK2915" s="87" t="str">
        <x:v>master-v0.81</x:v>
      </x:c>
      <x:c r="AL2915" s="87" t="str">
        <x:v>statgrad_master_base_v0_81_final(2).xlsx</x:v>
      </x:c>
      <x:c r="AM2915" s="87" t="str">
        <x:v>RU_Sep_V2</x:v>
      </x:c>
      <x:c r="AN2915" s="87" t="n">
        <x:v>27</x:v>
      </x:c>
    </x:row>
    <x:row r="2916">
      <x:c r="A2916" s="87" t="n">
        <x:v>2915</x:v>
      </x:c>
      <x:c r="B2916" s="87" t="str">
        <x:v>SEP-RU-V2-027</x:v>
      </x:c>
      <x:c r="C2916" s="87" t="str">
        <x:v>СтатГрад</x:v>
      </x:c>
      <x:c r="D2916" s="87" t="str">
        <x:v>Сентябрь 2025</x:v>
      </x:c>
      <x:c r="E2916" s="87"/>
      <x:c r="F2916" s="87"/>
      <x:c r="G2916" s="87" t="str">
        <x:v>Русский язык</x:v>
      </x:c>
      <x:c r="H2916" s="87" t="n">
        <x:v>11</x:v>
      </x:c>
      <x:c r="I2916" s="87" t="str">
        <x:v>ТР №1</x:v>
      </x:c>
      <x:c r="J2916" s="87" t="str">
        <x:v>РЯ2510102</x:v>
      </x:c>
      <x:c r="K2916" s="87" t="n">
        <x:v>27</x:v>
      </x:c>
      <x:c r="L2916" s="87" t="str">
        <x:v>Сочинение-рассуждение</x:v>
      </x:c>
      <x:c r="M2916" s="30" t="str">
        <x:v>Сочинение: «Научное открытие… Может ли оно быть случайным?»</x:v>
      </x:c>
      <x:c r="N2916" s="30" t="str">
        <x:v>Может ли научное открытие быть случайным? Л. И. Гумилевский убеждает читателя: случай способен дать исследователю исходный толчок, однако превращение неожиданного наблюдения в открытие определяется подготовленностью, интересами и настойчивостью самого учёного.
Автор отмечает, что заметка Карутерса о массе саранчи не удивила специалистов-энтомологов. Вернадский тоже сначала перевернул страницу, но вскоре вернулся к ней: учёному показалось, что описанное явление связано с геологией. Он сопоставил массу живых организмов с количеством добытых металлов. Этот пример показывает, что один и тот же факт становится значимым только для человека, способного увидеть в нём скрытую закономерность.
Затем Вернадский сохраняет выписку, хотя не может отнести её ни к одной из существующих папок. Дома он долго размышляет, создаёт новую папку «Живое вещество», а позднее развивает возникшую идею в «Геохимии». Второй эпизод раскрывает роль целенаправленного труда. Между примерами существует причинно-следственная связь: случайная встреча с информацией породила догадку, но научным результатом она стала благодаря дальнейшему осмыслению.
Я согласен с автором. История открытия пенициллина подтверждает эту мысль. Плесень попала в чашку с бактериальной культурой случайно, однако Александр Флеминг заметил подавление роста бактерий, оценил значение наблюдения и начал его исследовать. Без профессиональной подготовки необычный эпизод мог остаться незамеченным.
Следовательно, случайность может открыть дверь, но входит в неё подготовленный и настойчивый исследователь.</x:v>
      </x:c>
      <x:c r="O2916" s="30" t="str">
        <x:v>Модель показывает различие между случайным поводом и подготовленным открытием, сопоставляет два эпизода и приводит исторический аргумент об А. Флеминге.</x:v>
      </x:c>
      <x:c r="P2916" s="30" t="str">
        <x:v>Проверены структура ЕГЭ, два примера-иллюстрации, связь, собственная позиция, аргумент и объём: 197 слов.</x:v>
      </x:c>
      <x:c r="Q2916" s="30"/>
      <x:c r="R2916" s="30" t="str">
        <x:v>Kriterii_RU11_18092025.pdf: Авторская позиция из критерия + самостоятельная модель (197 слов)</x:v>
      </x:c>
      <x:c r="S2916" s="30"/>
      <x:c r="T2916" s="30"/>
      <x:c r="U2916" s="30" t="str">
        <x:v>Модель не является единственно возможным ответом; требования официального критерия соблюдены.</x:v>
      </x:c>
      <x:c r="V2916" s="87" t="str">
        <x:v>VERIFIED</x:v>
      </x:c>
      <x:c r="W2916" s="87" t="str">
        <x:v>Официальный PDF, стр. 14</x:v>
      </x:c>
      <x:c r="X2916" s="87"/>
      <x:c r="Y2916" s="87"/>
      <x:c r="Z2916" s="87"/>
      <x:c r="AA2916" s="87"/>
      <x:c r="AB2916" s="87"/>
      <x:c r="AC2916" s="87"/>
      <x:c r="AD2916" s="87"/>
      <x:c r="AE2916" s="87"/>
      <x:c r="AF2916" s="87"/>
      <x:c r="AG2916" s="87"/>
      <x:c r="AH2916" s="87"/>
      <x:c r="AI2916" s="30"/>
      <x:c r="AJ2916" s="87" t="str">
        <x:v>master</x:v>
      </x:c>
      <x:c r="AK2916" s="87" t="str">
        <x:v>master-v0.81</x:v>
      </x:c>
      <x:c r="AL2916" s="87" t="str">
        <x:v>statgrad_master_base_v0_81_final(2).xlsx</x:v>
      </x:c>
      <x:c r="AM2916" s="87" t="str">
        <x:v>RU_Sep_V2</x:v>
      </x:c>
      <x:c r="AN2916" s="87" t="n">
        <x:v>28</x:v>
      </x:c>
    </x:row>
    <x:row r="2917">
      <x:c r="A2917" s="87" t="n">
        <x:v>2916</x:v>
      </x:c>
      <x:c r="B2917" s="87" t="str">
        <x:v>SEP-HIST-V1-001</x:v>
      </x:c>
      <x:c r="C2917" s="87" t="str">
        <x:v>СтатГрад</x:v>
      </x:c>
      <x:c r="D2917" s="87" t="str">
        <x:v>Сентябрь 2025</x:v>
      </x:c>
      <x:c r="E2917" s="87"/>
      <x:c r="F2917" s="87"/>
      <x:c r="G2917" s="87" t="str">
        <x:v>История</x:v>
      </x:c>
      <x:c r="H2917" s="87" t="n">
        <x:v>11</x:v>
      </x:c>
      <x:c r="I2917" s="87" t="str">
        <x:v>ТР №1</x:v>
      </x:c>
      <x:c r="J2917" s="87" t="str">
        <x:v>ИС2510101</x:v>
      </x:c>
      <x:c r="K2917" s="87" t="n">
        <x:v>1</x:v>
      </x:c>
      <x:c r="L2917" s="87" t="str">
        <x:v>Соответствие событий и дат</x:v>
      </x:c>
      <x:c r="M2917" s="30" t="str">
        <x:v>Соотнести встречу на Эльбе, земскую реформу, указ об урочных летах и смерть И. В. Сталина с годами.</x:v>
      </x:c>
      <x:c r="N2917" s="30" t="str">
        <x:v>5316</x:v>
      </x:c>
      <x:c r="O2917" s="30" t="str">
        <x:v>Эльба — 1945; земства — 1864; урочные лета — 1597; смерть Сталина — 1953.</x:v>
      </x:c>
      <x:c r="P2917" s="30" t="str">
        <x:v>Эльба — 1945; земства — 1864; урочные лета — 1597; смерть Сталина — 1953.</x:v>
      </x:c>
      <x:c r="Q2917" s="30"/>
      <x:c r="R2917" s="30" t="str">
        <x:v>Архив пользователя: Zadanie_IS11_23092025.pdf; официальный критерий; https://hist-ege.sdamgia.ru/test?id=5256897&amp;print=true</x:v>
      </x:c>
      <x:c r="S2917" s="30"/>
      <x:c r="T2917" s="30"/>
      <x:c r="U2917" s="30" t="str">
        <x:v>Расхождений не обнаружено.</x:v>
      </x:c>
      <x:c r="V2917" s="87" t="str">
        <x:v>VERIFIED</x:v>
      </x:c>
      <x:c r="W2917" s="87" t="str">
        <x:v>Zadanie_IS11_23092025.pdf, стр. 2</x:v>
      </x:c>
      <x:c r="X2917" s="87"/>
      <x:c r="Y2917" s="87"/>
      <x:c r="Z2917" s="87"/>
      <x:c r="AA2917" s="87"/>
      <x:c r="AB2917" s="87"/>
      <x:c r="AC2917" s="87"/>
      <x:c r="AD2917" s="87"/>
      <x:c r="AE2917" s="87"/>
      <x:c r="AF2917" s="87"/>
      <x:c r="AG2917" s="87"/>
      <x:c r="AH2917" s="87"/>
      <x:c r="AI2917" s="30"/>
      <x:c r="AJ2917" s="87" t="str">
        <x:v>master</x:v>
      </x:c>
      <x:c r="AK2917" s="87" t="str">
        <x:v>master-v0.81</x:v>
      </x:c>
      <x:c r="AL2917" s="87" t="str">
        <x:v>statgrad_master_base_v0_81_final(2).xlsx</x:v>
      </x:c>
      <x:c r="AM2917" s="87" t="str">
        <x:v>HIST_Sep_V1</x:v>
      </x:c>
      <x:c r="AN2917" s="87" t="n">
        <x:v>2</x:v>
      </x:c>
    </x:row>
    <x:row r="2918">
      <x:c r="A2918" s="87" t="n">
        <x:v>2917</x:v>
      </x:c>
      <x:c r="B2918" s="87" t="str">
        <x:v>SEP-HIST-V1-002</x:v>
      </x:c>
      <x:c r="C2918" s="87" t="str">
        <x:v>СтатГрад</x:v>
      </x:c>
      <x:c r="D2918" s="87" t="str">
        <x:v>Сентябрь 2025</x:v>
      </x:c>
      <x:c r="E2918" s="87"/>
      <x:c r="F2918" s="87"/>
      <x:c r="G2918" s="87" t="str">
        <x:v>История</x:v>
      </x:c>
      <x:c r="H2918" s="87" t="n">
        <x:v>11</x:v>
      </x:c>
      <x:c r="I2918" s="87" t="str">
        <x:v>ТР №1</x:v>
      </x:c>
      <x:c r="J2918" s="87" t="str">
        <x:v>ИС2510101</x:v>
      </x:c>
      <x:c r="K2918" s="87" t="n">
        <x:v>2</x:v>
      </x:c>
      <x:c r="L2918" s="87" t="str">
        <x:v>Хронология</x:v>
      </x:c>
      <x:c r="M2918" s="30" t="str">
        <x:v>Расположить избрание Дж. Вашингтона, переход Уссурийского края к России и роспуск Коминтерна.</x:v>
      </x:c>
      <x:c r="N2918" s="30" t="str">
        <x:v>213</x:v>
      </x:c>
      <x:c r="O2918" s="30" t="str">
        <x:v>Вашингтон избран в 1789 г.; Уссурийский край закреплён за Россией в 1860 г.; Коминтерн распущен в 1943 г.</x:v>
      </x:c>
      <x:c r="P2918" s="30" t="str">
        <x:v>Вашингтон избран в 1789 г.; Уссурийский край закреплён за Россией в 1860 г.; Коминтерн распущен в 1943 г.</x:v>
      </x:c>
      <x:c r="Q2918" s="30"/>
      <x:c r="R2918" s="30" t="str">
        <x:v>Архив пользователя: Zadanie_IS11_23092025.pdf; официальный критерий; https://hist-ege.sdamgia.ru/test?id=5256897&amp;print=true</x:v>
      </x:c>
      <x:c r="S2918" s="30"/>
      <x:c r="T2918" s="30"/>
      <x:c r="U2918" s="30" t="str">
        <x:v>Расхождений не обнаружено.</x:v>
      </x:c>
      <x:c r="V2918" s="87" t="str">
        <x:v>VERIFIED</x:v>
      </x:c>
      <x:c r="W2918" s="87" t="str">
        <x:v>Zadanie_IS11_23092025.pdf, стр. 2</x:v>
      </x:c>
      <x:c r="X2918" s="87"/>
      <x:c r="Y2918" s="87"/>
      <x:c r="Z2918" s="87"/>
      <x:c r="AA2918" s="87"/>
      <x:c r="AB2918" s="87"/>
      <x:c r="AC2918" s="87"/>
      <x:c r="AD2918" s="87"/>
      <x:c r="AE2918" s="87"/>
      <x:c r="AF2918" s="87"/>
      <x:c r="AG2918" s="87"/>
      <x:c r="AH2918" s="87"/>
      <x:c r="AI2918" s="30"/>
      <x:c r="AJ2918" s="87" t="str">
        <x:v>master</x:v>
      </x:c>
      <x:c r="AK2918" s="87" t="str">
        <x:v>master-v0.81</x:v>
      </x:c>
      <x:c r="AL2918" s="87" t="str">
        <x:v>statgrad_master_base_v0_81_final(2).xlsx</x:v>
      </x:c>
      <x:c r="AM2918" s="87" t="str">
        <x:v>HIST_Sep_V1</x:v>
      </x:c>
      <x:c r="AN2918" s="87" t="n">
        <x:v>3</x:v>
      </x:c>
    </x:row>
    <x:row r="2919">
      <x:c r="A2919" s="87" t="n">
        <x:v>2918</x:v>
      </x:c>
      <x:c r="B2919" s="87" t="str">
        <x:v>SEP-HIST-V1-003</x:v>
      </x:c>
      <x:c r="C2919" s="87" t="str">
        <x:v>СтатГрад</x:v>
      </x:c>
      <x:c r="D2919" s="87" t="str">
        <x:v>Сентябрь 2025</x:v>
      </x:c>
      <x:c r="E2919" s="87"/>
      <x:c r="F2919" s="87"/>
      <x:c r="G2919" s="87" t="str">
        <x:v>История</x:v>
      </x:c>
      <x:c r="H2919" s="87" t="n">
        <x:v>11</x:v>
      </x:c>
      <x:c r="I2919" s="87" t="str">
        <x:v>ТР №1</x:v>
      </x:c>
      <x:c r="J2919" s="87" t="str">
        <x:v>ИС2510101</x:v>
      </x:c>
      <x:c r="K2919" s="87" t="n">
        <x:v>3</x:v>
      </x:c>
      <x:c r="L2919" s="87" t="str">
        <x:v>Соответствие процессов и фактов</x:v>
      </x:c>
      <x:c r="M2919" s="30" t="str">
        <x:v>Соотнести централизацию XVI в., аракчеевщину, создание Древнерусского государства и военный коммунизм с фактами.</x:v>
      </x:c>
      <x:c r="N2919" s="30" t="str">
        <x:v>1326</x:v>
      </x:c>
      <x:c r="O2919" s="30" t="str">
        <x:v>Отмена кормлений; военные поселения; объединение Киева и Новгорода Олегом; продразвёрстка.</x:v>
      </x:c>
      <x:c r="P2919" s="30" t="str">
        <x:v>Отмена кормлений; военные поселения; объединение Киева и Новгорода Олегом; продразвёрстка.</x:v>
      </x:c>
      <x:c r="Q2919" s="30"/>
      <x:c r="R2919" s="30" t="str">
        <x:v>Архив пользователя: Zadanie_IS11_23092025.pdf; официальный критерий; https://hist-ege.sdamgia.ru/test?id=5256897&amp;print=true</x:v>
      </x:c>
      <x:c r="S2919" s="30"/>
      <x:c r="T2919" s="30"/>
      <x:c r="U2919" s="30" t="str">
        <x:v>Расхождений не обнаружено.</x:v>
      </x:c>
      <x:c r="V2919" s="87" t="str">
        <x:v>VERIFIED</x:v>
      </x:c>
      <x:c r="W2919" s="87" t="str">
        <x:v>Zadanie_IS11_23092025.pdf, стр. 3</x:v>
      </x:c>
      <x:c r="X2919" s="87"/>
      <x:c r="Y2919" s="87"/>
      <x:c r="Z2919" s="87"/>
      <x:c r="AA2919" s="87"/>
      <x:c r="AB2919" s="87"/>
      <x:c r="AC2919" s="87"/>
      <x:c r="AD2919" s="87"/>
      <x:c r="AE2919" s="87"/>
      <x:c r="AF2919" s="87"/>
      <x:c r="AG2919" s="87"/>
      <x:c r="AH2919" s="87"/>
      <x:c r="AI2919" s="30"/>
      <x:c r="AJ2919" s="87" t="str">
        <x:v>master</x:v>
      </x:c>
      <x:c r="AK2919" s="87" t="str">
        <x:v>master-v0.81</x:v>
      </x:c>
      <x:c r="AL2919" s="87" t="str">
        <x:v>statgrad_master_base_v0_81_final(2).xlsx</x:v>
      </x:c>
      <x:c r="AM2919" s="87" t="str">
        <x:v>HIST_Sep_V1</x:v>
      </x:c>
      <x:c r="AN2919" s="87" t="n">
        <x:v>4</x:v>
      </x:c>
    </x:row>
    <x:row r="2920">
      <x:c r="A2920" s="87" t="n">
        <x:v>2919</x:v>
      </x:c>
      <x:c r="B2920" s="87" t="str">
        <x:v>SEP-HIST-V1-004</x:v>
      </x:c>
      <x:c r="C2920" s="87" t="str">
        <x:v>СтатГрад</x:v>
      </x:c>
      <x:c r="D2920" s="87" t="str">
        <x:v>Сентябрь 2025</x:v>
      </x:c>
      <x:c r="E2920" s="87"/>
      <x:c r="F2920" s="87"/>
      <x:c r="G2920" s="87" t="str">
        <x:v>История</x:v>
      </x:c>
      <x:c r="H2920" s="87" t="n">
        <x:v>11</x:v>
      </x:c>
      <x:c r="I2920" s="87" t="str">
        <x:v>ТР №1</x:v>
      </x:c>
      <x:c r="J2920" s="87" t="str">
        <x:v>ИС2510101</x:v>
      </x:c>
      <x:c r="K2920" s="87" t="n">
        <x:v>4</x:v>
      </x:c>
      <x:c r="L2920" s="87" t="str">
        <x:v>Таблица: события и география</x:v>
      </x:c>
      <x:c r="M2920" s="30" t="str">
        <x:v>Заполнить таблицу о Куликовской битве, Любечском съезде, походах Святослава и ликвидации веча в Новгороде.</x:v>
      </x:c>
      <x:c r="N2920" s="30" t="str">
        <x:v>685219</x:v>
      </x:c>
      <x:c r="O2920" s="30" t="str">
        <x:v>Непрядва; 1370-е; съезд князей; 960-е; Новгород; ликвидация вечевого управления.</x:v>
      </x:c>
      <x:c r="P2920" s="30" t="str">
        <x:v>Непрядва; 1370-е; съезд князей; 960-е; Новгород; ликвидация вечевого управления.</x:v>
      </x:c>
      <x:c r="Q2920" s="30"/>
      <x:c r="R2920" s="30" t="str">
        <x:v>Архив пользователя: Zadanie_IS11_23092025.pdf; официальный критерий; https://hist-ege.sdamgia.ru/test?id=5256897&amp;print=true</x:v>
      </x:c>
      <x:c r="S2920" s="30"/>
      <x:c r="T2920" s="30"/>
      <x:c r="U2920" s="30" t="str">
        <x:v>Расхождений не обнаружено.</x:v>
      </x:c>
      <x:c r="V2920" s="87" t="str">
        <x:v>VERIFIED</x:v>
      </x:c>
      <x:c r="W2920" s="87" t="str">
        <x:v>Zadanie_IS11_23092025.pdf, стр. 4</x:v>
      </x:c>
      <x:c r="X2920" s="87"/>
      <x:c r="Y2920" s="87"/>
      <x:c r="Z2920" s="87"/>
      <x:c r="AA2920" s="87"/>
      <x:c r="AB2920" s="87"/>
      <x:c r="AC2920" s="87"/>
      <x:c r="AD2920" s="87"/>
      <x:c r="AE2920" s="87"/>
      <x:c r="AF2920" s="87"/>
      <x:c r="AG2920" s="87"/>
      <x:c r="AH2920" s="87"/>
      <x:c r="AI2920" s="30"/>
      <x:c r="AJ2920" s="87" t="str">
        <x:v>master</x:v>
      </x:c>
      <x:c r="AK2920" s="87" t="str">
        <x:v>master-v0.81</x:v>
      </x:c>
      <x:c r="AL2920" s="87" t="str">
        <x:v>statgrad_master_base_v0_81_final(2).xlsx</x:v>
      </x:c>
      <x:c r="AM2920" s="87" t="str">
        <x:v>HIST_Sep_V1</x:v>
      </x:c>
      <x:c r="AN2920" s="87" t="n">
        <x:v>5</x:v>
      </x:c>
    </x:row>
    <x:row r="2921">
      <x:c r="A2921" s="87" t="n">
        <x:v>2920</x:v>
      </x:c>
      <x:c r="B2921" s="87" t="str">
        <x:v>SEP-HIST-V1-005</x:v>
      </x:c>
      <x:c r="C2921" s="87" t="str">
        <x:v>СтатГрад</x:v>
      </x:c>
      <x:c r="D2921" s="87" t="str">
        <x:v>Сентябрь 2025</x:v>
      </x:c>
      <x:c r="E2921" s="87"/>
      <x:c r="F2921" s="87"/>
      <x:c r="G2921" s="87" t="str">
        <x:v>История</x:v>
      </x:c>
      <x:c r="H2921" s="87" t="n">
        <x:v>11</x:v>
      </x:c>
      <x:c r="I2921" s="87" t="str">
        <x:v>ТР №1</x:v>
      </x:c>
      <x:c r="J2921" s="87" t="str">
        <x:v>ИС2510101</x:v>
      </x:c>
      <x:c r="K2921" s="87" t="n">
        <x:v>5</x:v>
      </x:c>
      <x:c r="L2921" s="87" t="str">
        <x:v>Исторические деятели</x:v>
      </x:c>
      <x:c r="M2921" s="30" t="str">
        <x:v>Соотнести штурм Рейхстага, I съезд народных депутатов СССР, восстание декабристов и Семибоярщину с участниками.</x:v>
      </x:c>
      <x:c r="N2921" s="30" t="str">
        <x:v>4251</x:v>
      </x:c>
      <x:c r="O2921" s="30" t="str">
        <x:v>Кантария; Сахаров; Рылеев; Мстиславский.</x:v>
      </x:c>
      <x:c r="P2921" s="30" t="str">
        <x:v>Кантария; Сахаров; Рылеев; Мстиславский.</x:v>
      </x:c>
      <x:c r="Q2921" s="30"/>
      <x:c r="R2921" s="30" t="str">
        <x:v>Архив пользователя: Zadanie_IS11_23092025.pdf; официальный критерий; https://hist-ege.sdamgia.ru/test?id=5256897&amp;print=true</x:v>
      </x:c>
      <x:c r="S2921" s="30"/>
      <x:c r="T2921" s="30"/>
      <x:c r="U2921" s="30" t="str">
        <x:v>Расхождений не обнаружено.</x:v>
      </x:c>
      <x:c r="V2921" s="87" t="str">
        <x:v>VERIFIED</x:v>
      </x:c>
      <x:c r="W2921" s="87" t="str">
        <x:v>Zadanie_IS11_23092025.pdf, стр. 4</x:v>
      </x:c>
      <x:c r="X2921" s="87"/>
      <x:c r="Y2921" s="87"/>
      <x:c r="Z2921" s="87"/>
      <x:c r="AA2921" s="87"/>
      <x:c r="AB2921" s="87"/>
      <x:c r="AC2921" s="87"/>
      <x:c r="AD2921" s="87"/>
      <x:c r="AE2921" s="87"/>
      <x:c r="AF2921" s="87"/>
      <x:c r="AG2921" s="87"/>
      <x:c r="AH2921" s="87"/>
      <x:c r="AI2921" s="30"/>
      <x:c r="AJ2921" s="87" t="str">
        <x:v>master</x:v>
      </x:c>
      <x:c r="AK2921" s="87" t="str">
        <x:v>master-v0.81</x:v>
      </x:c>
      <x:c r="AL2921" s="87" t="str">
        <x:v>statgrad_master_base_v0_81_final(2).xlsx</x:v>
      </x:c>
      <x:c r="AM2921" s="87" t="str">
        <x:v>HIST_Sep_V1</x:v>
      </x:c>
      <x:c r="AN2921" s="87" t="n">
        <x:v>6</x:v>
      </x:c>
    </x:row>
    <x:row r="2922">
      <x:c r="A2922" s="87" t="n">
        <x:v>2921</x:v>
      </x:c>
      <x:c r="B2922" s="87" t="str">
        <x:v>SEP-HIST-V1-006</x:v>
      </x:c>
      <x:c r="C2922" s="87" t="str">
        <x:v>СтатГрад</x:v>
      </x:c>
      <x:c r="D2922" s="87" t="str">
        <x:v>Сентябрь 2025</x:v>
      </x:c>
      <x:c r="E2922" s="87"/>
      <x:c r="F2922" s="87"/>
      <x:c r="G2922" s="87" t="str">
        <x:v>История</x:v>
      </x:c>
      <x:c r="H2922" s="87" t="n">
        <x:v>11</x:v>
      </x:c>
      <x:c r="I2922" s="87" t="str">
        <x:v>ТР №1</x:v>
      </x:c>
      <x:c r="J2922" s="87" t="str">
        <x:v>ИС2510101</x:v>
      </x:c>
      <x:c r="K2922" s="87" t="n">
        <x:v>6</x:v>
      </x:c>
      <x:c r="L2922" s="87" t="str">
        <x:v>Анализ партийного постановления</x:v>
      </x:c>
      <x:c r="M2922" s="30" t="str">
        <x:v>По постановлению об антипартийной группе выбрать верные суждения.</x:v>
      </x:c>
      <x:c r="N2922" s="30" t="str">
        <x:v>2346</x:v>
      </x:c>
      <x:c r="O2922" s="30" t="str">
        <x:v>Документ относится к хрущёвскому времени; среди участников был Молотов; в 1950-е запущен спутник и началось освоение целины.</x:v>
      </x:c>
      <x:c r="P2922" s="30" t="str">
        <x:v>Документ относится к хрущёвскому времени; среди участников был Молотов; в 1950-е запущен спутник и началось освоение целины.</x:v>
      </x:c>
      <x:c r="Q2922" s="30"/>
      <x:c r="R2922" s="30" t="str">
        <x:v>Архив пользователя: Zadanie_IS11_23092025.pdf; официальный критерий; https://hist-ege.sdamgia.ru/test?id=5256897&amp;print=true</x:v>
      </x:c>
      <x:c r="S2922" s="30"/>
      <x:c r="T2922" s="30"/>
      <x:c r="U2922" s="30" t="str">
        <x:v>Расхождений не обнаружено.</x:v>
      </x:c>
      <x:c r="V2922" s="87" t="str">
        <x:v>VERIFIED</x:v>
      </x:c>
      <x:c r="W2922" s="87" t="str">
        <x:v>Zadanie_IS11_23092025.pdf, стр. 5</x:v>
      </x:c>
      <x:c r="X2922" s="87"/>
      <x:c r="Y2922" s="87"/>
      <x:c r="Z2922" s="87"/>
      <x:c r="AA2922" s="87"/>
      <x:c r="AB2922" s="87"/>
      <x:c r="AC2922" s="87"/>
      <x:c r="AD2922" s="87"/>
      <x:c r="AE2922" s="87"/>
      <x:c r="AF2922" s="87"/>
      <x:c r="AG2922" s="87"/>
      <x:c r="AH2922" s="87"/>
      <x:c r="AI2922" s="30"/>
      <x:c r="AJ2922" s="87" t="str">
        <x:v>master</x:v>
      </x:c>
      <x:c r="AK2922" s="87" t="str">
        <x:v>master-v0.81</x:v>
      </x:c>
      <x:c r="AL2922" s="87" t="str">
        <x:v>statgrad_master_base_v0_81_final(2).xlsx</x:v>
      </x:c>
      <x:c r="AM2922" s="87" t="str">
        <x:v>HIST_Sep_V1</x:v>
      </x:c>
      <x:c r="AN2922" s="87" t="n">
        <x:v>7</x:v>
      </x:c>
    </x:row>
    <x:row r="2923">
      <x:c r="A2923" s="87" t="n">
        <x:v>2922</x:v>
      </x:c>
      <x:c r="B2923" s="87" t="str">
        <x:v>SEP-HIST-V1-007</x:v>
      </x:c>
      <x:c r="C2923" s="87" t="str">
        <x:v>СтатГрад</x:v>
      </x:c>
      <x:c r="D2923" s="87" t="str">
        <x:v>Сентябрь 2025</x:v>
      </x:c>
      <x:c r="E2923" s="87"/>
      <x:c r="F2923" s="87"/>
      <x:c r="G2923" s="87" t="str">
        <x:v>История</x:v>
      </x:c>
      <x:c r="H2923" s="87" t="n">
        <x:v>11</x:v>
      </x:c>
      <x:c r="I2923" s="87" t="str">
        <x:v>ТР №1</x:v>
      </x:c>
      <x:c r="J2923" s="87" t="str">
        <x:v>ИС2510101</x:v>
      </x:c>
      <x:c r="K2923" s="87" t="n">
        <x:v>7</x:v>
      </x:c>
      <x:c r="L2923" s="87" t="str">
        <x:v>Памятники культуры</x:v>
      </x:c>
      <x:c r="M2923" s="30" t="str">
        <x:v>Соотнести «Последний день Помпеи», Смоленский кремль, балет «Ромео и Джульетта» и «Задонщину» с характеристиками.</x:v>
      </x:c>
      <x:c r="N2923" s="30" t="str">
        <x:v>6523</x:v>
      </x:c>
      <x:c r="O2923" s="30" t="str">
        <x:v>Брюллов — академизм; кремль — время Бориса Годунова; балет — Прокофьев; «Задонщина» — современник Дмитрия Донского.</x:v>
      </x:c>
      <x:c r="P2923" s="30" t="str">
        <x:v>Брюллов — академизм; кремль — время Бориса Годунова; балет — Прокофьев; «Задонщина» — современник Дмитрия Донского.</x:v>
      </x:c>
      <x:c r="Q2923" s="30"/>
      <x:c r="R2923" s="30" t="str">
        <x:v>Архив пользователя: Zadanie_IS11_23092025.pdf; официальный критерий; https://hist-ege.sdamgia.ru/test?id=5256897&amp;print=true</x:v>
      </x:c>
      <x:c r="S2923" s="30"/>
      <x:c r="T2923" s="30"/>
      <x:c r="U2923" s="30" t="str">
        <x:v>Расхождений не обнаружено.</x:v>
      </x:c>
      <x:c r="V2923" s="87" t="str">
        <x:v>VERIFIED</x:v>
      </x:c>
      <x:c r="W2923" s="87" t="str">
        <x:v>Zadanie_IS11_23092025.pdf, стр. 6</x:v>
      </x:c>
      <x:c r="X2923" s="87"/>
      <x:c r="Y2923" s="87"/>
      <x:c r="Z2923" s="87"/>
      <x:c r="AA2923" s="87"/>
      <x:c r="AB2923" s="87"/>
      <x:c r="AC2923" s="87"/>
      <x:c r="AD2923" s="87"/>
      <x:c r="AE2923" s="87"/>
      <x:c r="AF2923" s="87"/>
      <x:c r="AG2923" s="87"/>
      <x:c r="AH2923" s="87"/>
      <x:c r="AI2923" s="30"/>
      <x:c r="AJ2923" s="87" t="str">
        <x:v>master</x:v>
      </x:c>
      <x:c r="AK2923" s="87" t="str">
        <x:v>master-v0.81</x:v>
      </x:c>
      <x:c r="AL2923" s="87" t="str">
        <x:v>statgrad_master_base_v0_81_final(2).xlsx</x:v>
      </x:c>
      <x:c r="AM2923" s="87" t="str">
        <x:v>HIST_Sep_V1</x:v>
      </x:c>
      <x:c r="AN2923" s="87" t="n">
        <x:v>8</x:v>
      </x:c>
    </x:row>
    <x:row r="2924">
      <x:c r="A2924" s="87" t="n">
        <x:v>2923</x:v>
      </x:c>
      <x:c r="B2924" s="87" t="str">
        <x:v>SEP-HIST-V1-008</x:v>
      </x:c>
      <x:c r="C2924" s="87" t="str">
        <x:v>СтатГрад</x:v>
      </x:c>
      <x:c r="D2924" s="87" t="str">
        <x:v>Сентябрь 2025</x:v>
      </x:c>
      <x:c r="E2924" s="87"/>
      <x:c r="F2924" s="87"/>
      <x:c r="G2924" s="87" t="str">
        <x:v>История</x:v>
      </x:c>
      <x:c r="H2924" s="87" t="n">
        <x:v>11</x:v>
      </x:c>
      <x:c r="I2924" s="87" t="str">
        <x:v>ТР №1</x:v>
      </x:c>
      <x:c r="J2924" s="87" t="str">
        <x:v>ИС2510101</x:v>
      </x:c>
      <x:c r="K2924" s="87" t="n">
        <x:v>8</x:v>
      </x:c>
      <x:c r="L2924" s="87" t="str">
        <x:v>Изображение Великой Отечественной войны</x:v>
      </x:c>
      <x:c r="M2924" s="30" t="str">
        <x:v>По памятнику определить словами год начала посвящённой ему битвы.</x:v>
      </x:c>
      <x:c r="N2924" s="30" t="str">
        <x:v>сорок первом</x:v>
      </x:c>
      <x:c r="O2924" s="30" t="str">
        <x:v>Памятник относится к битве, начавшейся в 1941 г.</x:v>
      </x:c>
      <x:c r="P2924" s="30" t="str">
        <x:v>Памятник относится к битве, начавшейся в 1941 г.</x:v>
      </x:c>
      <x:c r="Q2924" s="30"/>
      <x:c r="R2924" s="30" t="str">
        <x:v>Архив пользователя: Zadanie_IS11_23092025.pdf; официальный критерий; https://hist-ege.sdamgia.ru/test?id=5256897&amp;print=true</x:v>
      </x:c>
      <x:c r="S2924" s="30"/>
      <x:c r="T2924" s="30"/>
      <x:c r="U2924" s="30" t="str">
        <x:v>Расхождений не обнаружено.</x:v>
      </x:c>
      <x:c r="V2924" s="87" t="str">
        <x:v>VERIFIED</x:v>
      </x:c>
      <x:c r="W2924" s="87" t="str">
        <x:v>Zadanie_IS11_23092025.pdf, стр. 6</x:v>
      </x:c>
      <x:c r="X2924" s="87"/>
      <x:c r="Y2924" s="87"/>
      <x:c r="Z2924" s="87"/>
      <x:c r="AA2924" s="87"/>
      <x:c r="AB2924" s="87"/>
      <x:c r="AC2924" s="87"/>
      <x:c r="AD2924" s="87"/>
      <x:c r="AE2924" s="87"/>
      <x:c r="AF2924" s="87"/>
      <x:c r="AG2924" s="87"/>
      <x:c r="AH2924" s="87"/>
      <x:c r="AI2924" s="30"/>
      <x:c r="AJ2924" s="87" t="str">
        <x:v>master</x:v>
      </x:c>
      <x:c r="AK2924" s="87" t="str">
        <x:v>master-v0.81</x:v>
      </x:c>
      <x:c r="AL2924" s="87" t="str">
        <x:v>statgrad_master_base_v0_81_final(2).xlsx</x:v>
      </x:c>
      <x:c r="AM2924" s="87" t="str">
        <x:v>HIST_Sep_V1</x:v>
      </x:c>
      <x:c r="AN2924" s="87" t="n">
        <x:v>9</x:v>
      </x:c>
    </x:row>
    <x:row r="2925">
      <x:c r="A2925" s="87" t="n">
        <x:v>2924</x:v>
      </x:c>
      <x:c r="B2925" s="87" t="str">
        <x:v>SEP-HIST-V1-009</x:v>
      </x:c>
      <x:c r="C2925" s="87" t="str">
        <x:v>СтатГрад</x:v>
      </x:c>
      <x:c r="D2925" s="87" t="str">
        <x:v>Сентябрь 2025</x:v>
      </x:c>
      <x:c r="E2925" s="87"/>
      <x:c r="F2925" s="87"/>
      <x:c r="G2925" s="87" t="str">
        <x:v>История</x:v>
      </x:c>
      <x:c r="H2925" s="87" t="n">
        <x:v>11</x:v>
      </x:c>
      <x:c r="I2925" s="87" t="str">
        <x:v>ТР №1</x:v>
      </x:c>
      <x:c r="J2925" s="87" t="str">
        <x:v>ИС2510101</x:v>
      </x:c>
      <x:c r="K2925" s="87" t="n">
        <x:v>9</x:v>
      </x:c>
      <x:c r="L2925" s="87" t="str">
        <x:v>Историческая схема</x:v>
      </x:c>
      <x:c r="M2925" s="30" t="str">
        <x:v>Назвать период отечественной истории по схеме похода Сагайдачного и интервенции.</x:v>
      </x:c>
      <x:c r="N2925" s="30" t="str">
        <x:v>Смута</x:v>
      </x:c>
      <x:c r="O2925" s="30" t="str">
        <x:v>Поход Сагайдачного на Москву относится к Смутному времени.</x:v>
      </x:c>
      <x:c r="P2925" s="30" t="str">
        <x:v>Поход Сагайдачного на Москву относится к Смутному времени.</x:v>
      </x:c>
      <x:c r="Q2925" s="30"/>
      <x:c r="R2925" s="30" t="str">
        <x:v>Архив пользователя: Zadanie_IS11_23092025.pdf; официальный критерий; https://hist-ege.sdamgia.ru/test?id=5256897&amp;print=true</x:v>
      </x:c>
      <x:c r="S2925" s="30"/>
      <x:c r="T2925" s="30"/>
      <x:c r="U2925" s="30" t="str">
        <x:v>Расхождений не обнаружено.</x:v>
      </x:c>
      <x:c r="V2925" s="87" t="str">
        <x:v>VERIFIED</x:v>
      </x:c>
      <x:c r="W2925" s="87" t="str">
        <x:v>Zadanie_IS11_23092025.pdf, стр. 7</x:v>
      </x:c>
      <x:c r="X2925" s="87"/>
      <x:c r="Y2925" s="87"/>
      <x:c r="Z2925" s="87"/>
      <x:c r="AA2925" s="87"/>
      <x:c r="AB2925" s="87"/>
      <x:c r="AC2925" s="87"/>
      <x:c r="AD2925" s="87"/>
      <x:c r="AE2925" s="87"/>
      <x:c r="AF2925" s="87"/>
      <x:c r="AG2925" s="87"/>
      <x:c r="AH2925" s="87"/>
      <x:c r="AI2925" s="30"/>
      <x:c r="AJ2925" s="87" t="str">
        <x:v>master</x:v>
      </x:c>
      <x:c r="AK2925" s="87" t="str">
        <x:v>master-v0.81</x:v>
      </x:c>
      <x:c r="AL2925" s="87" t="str">
        <x:v>statgrad_master_base_v0_81_final(2).xlsx</x:v>
      </x:c>
      <x:c r="AM2925" s="87" t="str">
        <x:v>HIST_Sep_V1</x:v>
      </x:c>
      <x:c r="AN2925" s="87" t="n">
        <x:v>10</x:v>
      </x:c>
    </x:row>
    <x:row r="2926">
      <x:c r="A2926" s="87" t="n">
        <x:v>2925</x:v>
      </x:c>
      <x:c r="B2926" s="87" t="str">
        <x:v>SEP-HIST-V1-010</x:v>
      </x:c>
      <x:c r="C2926" s="87" t="str">
        <x:v>СтатГрад</x:v>
      </x:c>
      <x:c r="D2926" s="87" t="str">
        <x:v>Сентябрь 2025</x:v>
      </x:c>
      <x:c r="E2926" s="87"/>
      <x:c r="F2926" s="87"/>
      <x:c r="G2926" s="87" t="str">
        <x:v>История</x:v>
      </x:c>
      <x:c r="H2926" s="87" t="n">
        <x:v>11</x:v>
      </x:c>
      <x:c r="I2926" s="87" t="str">
        <x:v>ТР №1</x:v>
      </x:c>
      <x:c r="J2926" s="87" t="str">
        <x:v>ИС2510101</x:v>
      </x:c>
      <x:c r="K2926" s="87" t="n">
        <x:v>10</x:v>
      </x:c>
      <x:c r="L2926" s="87" t="str">
        <x:v>Историческая схема</x:v>
      </x:c>
      <x:c r="M2926" s="30" t="str">
        <x:v>Назвать государство, действия отрядов которого обозначены цифрой 1.</x:v>
      </x:c>
      <x:c r="N2926" s="30" t="str">
        <x:v>Швеция</x:v>
      </x:c>
      <x:c r="O2926" s="30" t="str">
        <x:v>На схеме показаны действия шведских отрядов в годы Смуты.</x:v>
      </x:c>
      <x:c r="P2926" s="30" t="str">
        <x:v>На схеме показаны действия шведских отрядов в годы Смуты.</x:v>
      </x:c>
      <x:c r="Q2926" s="30"/>
      <x:c r="R2926" s="30" t="str">
        <x:v>Архив пользователя: Zadanie_IS11_23092025.pdf; официальный критерий; https://hist-ege.sdamgia.ru/test?id=5256897&amp;print=true</x:v>
      </x:c>
      <x:c r="S2926" s="30"/>
      <x:c r="T2926" s="30"/>
      <x:c r="U2926" s="30" t="str">
        <x:v>Расхождений не обнаружено.</x:v>
      </x:c>
      <x:c r="V2926" s="87" t="str">
        <x:v>VERIFIED</x:v>
      </x:c>
      <x:c r="W2926" s="87" t="str">
        <x:v>Zadanie_IS11_23092025.pdf, стр. 7</x:v>
      </x:c>
      <x:c r="X2926" s="87"/>
      <x:c r="Y2926" s="87"/>
      <x:c r="Z2926" s="87"/>
      <x:c r="AA2926" s="87"/>
      <x:c r="AB2926" s="87"/>
      <x:c r="AC2926" s="87"/>
      <x:c r="AD2926" s="87"/>
      <x:c r="AE2926" s="87"/>
      <x:c r="AF2926" s="87"/>
      <x:c r="AG2926" s="87"/>
      <x:c r="AH2926" s="87"/>
      <x:c r="AI2926" s="30"/>
      <x:c r="AJ2926" s="87" t="str">
        <x:v>master</x:v>
      </x:c>
      <x:c r="AK2926" s="87" t="str">
        <x:v>master-v0.81</x:v>
      </x:c>
      <x:c r="AL2926" s="87" t="str">
        <x:v>statgrad_master_base_v0_81_final(2).xlsx</x:v>
      </x:c>
      <x:c r="AM2926" s="87" t="str">
        <x:v>HIST_Sep_V1</x:v>
      </x:c>
      <x:c r="AN2926" s="87" t="n">
        <x:v>11</x:v>
      </x:c>
    </x:row>
    <x:row r="2927">
      <x:c r="A2927" s="87" t="n">
        <x:v>2926</x:v>
      </x:c>
      <x:c r="B2927" s="87" t="str">
        <x:v>SEP-HIST-V1-011</x:v>
      </x:c>
      <x:c r="C2927" s="87" t="str">
        <x:v>СтатГрад</x:v>
      </x:c>
      <x:c r="D2927" s="87" t="str">
        <x:v>Сентябрь 2025</x:v>
      </x:c>
      <x:c r="E2927" s="87"/>
      <x:c r="F2927" s="87"/>
      <x:c r="G2927" s="87" t="str">
        <x:v>История</x:v>
      </x:c>
      <x:c r="H2927" s="87" t="n">
        <x:v>11</x:v>
      </x:c>
      <x:c r="I2927" s="87" t="str">
        <x:v>ТР №1</x:v>
      </x:c>
      <x:c r="J2927" s="87" t="str">
        <x:v>ИС2510101</x:v>
      </x:c>
      <x:c r="K2927" s="87" t="n">
        <x:v>11</x:v>
      </x:c>
      <x:c r="L2927" s="87" t="str">
        <x:v>Карта и текст</x:v>
      </x:c>
      <x:c r="M2927" s="30" t="str">
        <x:v>По маршруту похода Сагайдачного назвать дважды пропущенный город.</x:v>
      </x:c>
      <x:c r="N2927" s="30" t="str">
        <x:v>Шацк</x:v>
      </x:c>
      <x:c r="O2927" s="30" t="str">
        <x:v>Маршрут после Ельца и Лебедяни приводит к Шацку; город указан на схеме.</x:v>
      </x:c>
      <x:c r="P2927" s="30" t="str">
        <x:v>Маршрут после Ельца и Лебедяни приводит к Шацку; город указан на схеме.</x:v>
      </x:c>
      <x:c r="Q2927" s="30"/>
      <x:c r="R2927" s="30" t="str">
        <x:v>Архив пользователя: Zadanie_IS11_23092025.pdf; официальный критерий; https://hist-ege.sdamgia.ru/test?id=5256897&amp;print=true</x:v>
      </x:c>
      <x:c r="S2927" s="30"/>
      <x:c r="T2927" s="30"/>
      <x:c r="U2927" s="30" t="str">
        <x:v>Расхождений не обнаружено.</x:v>
      </x:c>
      <x:c r="V2927" s="87" t="str">
        <x:v>VERIFIED</x:v>
      </x:c>
      <x:c r="W2927" s="87" t="str">
        <x:v>Zadanie_IS11_23092025.pdf, стр. 8</x:v>
      </x:c>
      <x:c r="X2927" s="87"/>
      <x:c r="Y2927" s="87"/>
      <x:c r="Z2927" s="87"/>
      <x:c r="AA2927" s="87"/>
      <x:c r="AB2927" s="87"/>
      <x:c r="AC2927" s="87"/>
      <x:c r="AD2927" s="87"/>
      <x:c r="AE2927" s="87"/>
      <x:c r="AF2927" s="87"/>
      <x:c r="AG2927" s="87"/>
      <x:c r="AH2927" s="87"/>
      <x:c r="AI2927" s="30"/>
      <x:c r="AJ2927" s="87" t="str">
        <x:v>master</x:v>
      </x:c>
      <x:c r="AK2927" s="87" t="str">
        <x:v>master-v0.81</x:v>
      </x:c>
      <x:c r="AL2927" s="87" t="str">
        <x:v>statgrad_master_base_v0_81_final(2).xlsx</x:v>
      </x:c>
      <x:c r="AM2927" s="87" t="str">
        <x:v>HIST_Sep_V1</x:v>
      </x:c>
      <x:c r="AN2927" s="87" t="n">
        <x:v>12</x:v>
      </x:c>
    </x:row>
    <x:row r="2928">
      <x:c r="A2928" s="87" t="n">
        <x:v>2927</x:v>
      </x:c>
      <x:c r="B2928" s="87" t="str">
        <x:v>SEP-HIST-V1-012</x:v>
      </x:c>
      <x:c r="C2928" s="87" t="str">
        <x:v>СтатГрад</x:v>
      </x:c>
      <x:c r="D2928" s="87" t="str">
        <x:v>Сентябрь 2025</x:v>
      </x:c>
      <x:c r="E2928" s="87"/>
      <x:c r="F2928" s="87"/>
      <x:c r="G2928" s="87" t="str">
        <x:v>История</x:v>
      </x:c>
      <x:c r="H2928" s="87" t="n">
        <x:v>11</x:v>
      </x:c>
      <x:c r="I2928" s="87" t="str">
        <x:v>ТР №1</x:v>
      </x:c>
      <x:c r="J2928" s="87" t="str">
        <x:v>ИС2510101</x:v>
      </x:c>
      <x:c r="K2928" s="87" t="n">
        <x:v>12</x:v>
      </x:c>
      <x:c r="L2928" s="87" t="str">
        <x:v>Суждения по карте</x:v>
      </x:c>
      <x:c r="M2928" s="30" t="str">
        <x:v>Выбрать верные утверждения по схеме событий Смуты.</x:v>
      </x:c>
      <x:c r="N2928" s="30" t="str">
        <x:v>1356</x:v>
      </x:c>
      <x:c r="O2928" s="30" t="str">
        <x:v>Верны суждения об избираемом монархе Речи Посполитой, обороне Смоленска Шеиным, Нарве и Столбовском мире.</x:v>
      </x:c>
      <x:c r="P2928" s="30" t="str">
        <x:v>Верны суждения об избираемом монархе Речи Посполитой, обороне Смоленска Шеиным, Нарве и Столбовском мире.</x:v>
      </x:c>
      <x:c r="Q2928" s="30"/>
      <x:c r="R2928" s="30" t="str">
        <x:v>Архив пользователя: Zadanie_IS11_23092025.pdf; официальный критерий; https://hist-ege.sdamgia.ru/test?id=5256897&amp;print=true</x:v>
      </x:c>
      <x:c r="S2928" s="30"/>
      <x:c r="T2928" s="30"/>
      <x:c r="U2928" s="30" t="str">
        <x:v>Расхождений не обнаружено.</x:v>
      </x:c>
      <x:c r="V2928" s="87" t="str">
        <x:v>VERIFIED</x:v>
      </x:c>
      <x:c r="W2928" s="87" t="str">
        <x:v>Zadanie_IS11_23092025.pdf, стр. 8</x:v>
      </x:c>
      <x:c r="X2928" s="87"/>
      <x:c r="Y2928" s="87"/>
      <x:c r="Z2928" s="87"/>
      <x:c r="AA2928" s="87"/>
      <x:c r="AB2928" s="87"/>
      <x:c r="AC2928" s="87"/>
      <x:c r="AD2928" s="87"/>
      <x:c r="AE2928" s="87"/>
      <x:c r="AF2928" s="87"/>
      <x:c r="AG2928" s="87"/>
      <x:c r="AH2928" s="87"/>
      <x:c r="AI2928" s="30"/>
      <x:c r="AJ2928" s="87" t="str">
        <x:v>master</x:v>
      </x:c>
      <x:c r="AK2928" s="87" t="str">
        <x:v>master-v0.81</x:v>
      </x:c>
      <x:c r="AL2928" s="87" t="str">
        <x:v>statgrad_master_base_v0_81_final(2).xlsx</x:v>
      </x:c>
      <x:c r="AM2928" s="87" t="str">
        <x:v>HIST_Sep_V1</x:v>
      </x:c>
      <x:c r="AN2928" s="87" t="n">
        <x:v>13</x:v>
      </x:c>
    </x:row>
    <x:row r="2929">
      <x:c r="A2929" s="87" t="n">
        <x:v>2928</x:v>
      </x:c>
      <x:c r="B2929" s="87" t="str">
        <x:v>SEP-HIST-V1-013</x:v>
      </x:c>
      <x:c r="C2929" s="87" t="str">
        <x:v>СтатГрад</x:v>
      </x:c>
      <x:c r="D2929" s="87" t="str">
        <x:v>Сентябрь 2025</x:v>
      </x:c>
      <x:c r="E2929" s="87"/>
      <x:c r="F2929" s="87"/>
      <x:c r="G2929" s="87" t="str">
        <x:v>История</x:v>
      </x:c>
      <x:c r="H2929" s="87" t="n">
        <x:v>11</x:v>
      </x:c>
      <x:c r="I2929" s="87" t="str">
        <x:v>ТР №1</x:v>
      </x:c>
      <x:c r="J2929" s="87" t="str">
        <x:v>ИС2510101</x:v>
      </x:c>
      <x:c r="K2929" s="87" t="n">
        <x:v>13</x:v>
      </x:c>
      <x:c r="L2929" s="87" t="str">
        <x:v>Атрибуция письменного источника</x:v>
      </x:c>
      <x:c r="M2929" s="30" t="str">
        <x:v>По очерку Б. Х. Миниха назвать императрицу, год её смерти и регента.</x:v>
      </x:c>
      <x:c r="N2929" s="30" t="str">
        <x:v>Анна Иоанновна; 1740; Бирон</x:v>
      </x:c>
      <x:c r="O2929" s="30" t="str">
        <x:v>Завещание и регентство при младенце Иоанне Антоновиче указывают на Анну Иоанновну и Э. И. Бирона.</x:v>
      </x:c>
      <x:c r="P2929" s="30" t="str">
        <x:v>Завещание и регентство при младенце Иоанне Антоновиче указывают на Анну Иоанновну и Э. И. Бирона.</x:v>
      </x:c>
      <x:c r="Q2929" s="30"/>
      <x:c r="R2929" s="30" t="str">
        <x:v>Архив пользователя: Zadanie_IS11_23092025.pdf; официальный критерий; https://hist-ege.sdamgia.ru/test?id=5256897&amp;print=true</x:v>
      </x:c>
      <x:c r="S2929" s="30"/>
      <x:c r="T2929" s="30"/>
      <x:c r="U2929" s="30" t="str">
        <x:v>Расхождений не обнаружено.</x:v>
      </x:c>
      <x:c r="V2929" s="87" t="str">
        <x:v>VERIFIED</x:v>
      </x:c>
      <x:c r="W2929" s="87" t="str">
        <x:v>Zadanie_IS11_23092025.pdf, стр. 10</x:v>
      </x:c>
      <x:c r="X2929" s="87"/>
      <x:c r="Y2929" s="87"/>
      <x:c r="Z2929" s="87"/>
      <x:c r="AA2929" s="87"/>
      <x:c r="AB2929" s="87"/>
      <x:c r="AC2929" s="87"/>
      <x:c r="AD2929" s="87"/>
      <x:c r="AE2929" s="87"/>
      <x:c r="AF2929" s="87"/>
      <x:c r="AG2929" s="87"/>
      <x:c r="AH2929" s="87"/>
      <x:c r="AI2929" s="30"/>
      <x:c r="AJ2929" s="87" t="str">
        <x:v>master</x:v>
      </x:c>
      <x:c r="AK2929" s="87" t="str">
        <x:v>master-v0.81</x:v>
      </x:c>
      <x:c r="AL2929" s="87" t="str">
        <x:v>statgrad_master_base_v0_81_final(2).xlsx</x:v>
      </x:c>
      <x:c r="AM2929" s="87" t="str">
        <x:v>HIST_Sep_V1</x:v>
      </x:c>
      <x:c r="AN2929" s="87" t="n">
        <x:v>14</x:v>
      </x:c>
    </x:row>
    <x:row r="2930">
      <x:c r="A2930" s="87" t="n">
        <x:v>2929</x:v>
      </x:c>
      <x:c r="B2930" s="87" t="str">
        <x:v>SEP-HIST-V1-014</x:v>
      </x:c>
      <x:c r="C2930" s="87" t="str">
        <x:v>СтатГрад</x:v>
      </x:c>
      <x:c r="D2930" s="87" t="str">
        <x:v>Сентябрь 2025</x:v>
      </x:c>
      <x:c r="E2930" s="87"/>
      <x:c r="F2930" s="87"/>
      <x:c r="G2930" s="87" t="str">
        <x:v>История</x:v>
      </x:c>
      <x:c r="H2930" s="87" t="n">
        <x:v>11</x:v>
      </x:c>
      <x:c r="I2930" s="87" t="str">
        <x:v>ТР №1</x:v>
      </x:c>
      <x:c r="J2930" s="87" t="str">
        <x:v>ИС2510101</x:v>
      </x:c>
      <x:c r="K2930" s="87" t="n">
        <x:v>14</x:v>
      </x:c>
      <x:c r="L2930" s="87" t="str">
        <x:v>Поиск информации в источнике</x:v>
      </x:c>
      <x:c r="M2930" s="30" t="str">
        <x:v>Назвать два условия завещания перед регентом и причину его отказа учить русский язык.</x:v>
      </x:c>
      <x:c r="N2930" s="30" t="str">
        <x:v>Почтительно обращаться с Анной Леопольдовной и её супругом; в 17 лет проверить способность Иоанна управлять; русский не учил, чтобы не читать императрице прошения и донесения.</x:v>
      </x:c>
      <x:c r="O2930" s="30" t="str">
        <x:v>Все три положения прямо сформулированы в источнике.</x:v>
      </x:c>
      <x:c r="P2930" s="30" t="str">
        <x:v>Все три положения прямо сформулированы в источнике.</x:v>
      </x:c>
      <x:c r="Q2930" s="30"/>
      <x:c r="R2930" s="30" t="str">
        <x:v>Архив пользователя: Zadanie_IS11_23092025.pdf; официальный критерий; https://hist-ege.sdamgia.ru/test?id=5256897&amp;print=true</x:v>
      </x:c>
      <x:c r="S2930" s="30"/>
      <x:c r="T2930" s="30"/>
      <x:c r="U2930" s="30" t="str">
        <x:v>Расхождений не обнаружено.</x:v>
      </x:c>
      <x:c r="V2930" s="87" t="str">
        <x:v>VERIFIED</x:v>
      </x:c>
      <x:c r="W2930" s="87" t="str">
        <x:v>Zadanie_IS11_23092025.pdf, стр. 10</x:v>
      </x:c>
      <x:c r="X2930" s="87"/>
      <x:c r="Y2930" s="87"/>
      <x:c r="Z2930" s="87"/>
      <x:c r="AA2930" s="87"/>
      <x:c r="AB2930" s="87"/>
      <x:c r="AC2930" s="87"/>
      <x:c r="AD2930" s="87"/>
      <x:c r="AE2930" s="87"/>
      <x:c r="AF2930" s="87"/>
      <x:c r="AG2930" s="87"/>
      <x:c r="AH2930" s="87"/>
      <x:c r="AI2930" s="30"/>
      <x:c r="AJ2930" s="87" t="str">
        <x:v>master</x:v>
      </x:c>
      <x:c r="AK2930" s="87" t="str">
        <x:v>master-v0.81</x:v>
      </x:c>
      <x:c r="AL2930" s="87" t="str">
        <x:v>statgrad_master_base_v0_81_final(2).xlsx</x:v>
      </x:c>
      <x:c r="AM2930" s="87" t="str">
        <x:v>HIST_Sep_V1</x:v>
      </x:c>
      <x:c r="AN2930" s="87" t="n">
        <x:v>15</x:v>
      </x:c>
    </x:row>
    <x:row r="2931">
      <x:c r="A2931" s="87" t="n">
        <x:v>2930</x:v>
      </x:c>
      <x:c r="B2931" s="87" t="str">
        <x:v>SEP-HIST-V1-015</x:v>
      </x:c>
      <x:c r="C2931" s="87" t="str">
        <x:v>СтатГрад</x:v>
      </x:c>
      <x:c r="D2931" s="87" t="str">
        <x:v>Сентябрь 2025</x:v>
      </x:c>
      <x:c r="E2931" s="87"/>
      <x:c r="F2931" s="87"/>
      <x:c r="G2931" s="87" t="str">
        <x:v>История</x:v>
      </x:c>
      <x:c r="H2931" s="87" t="n">
        <x:v>11</x:v>
      </x:c>
      <x:c r="I2931" s="87" t="str">
        <x:v>ТР №1</x:v>
      </x:c>
      <x:c r="J2931" s="87" t="str">
        <x:v>ИС2510101</x:v>
      </x:c>
      <x:c r="K2931" s="87" t="n">
        <x:v>15</x:v>
      </x:c>
      <x:c r="L2931" s="87" t="str">
        <x:v>Марка и датировка</x:v>
      </x:c>
      <x:c r="M2931" s="30" t="str">
        <x:v>Назвать государя, при котором основан город на юбилейной марке, и обосновать.</x:v>
      </x:c>
      <x:c r="N2931" s="30" t="str">
        <x:v>Фёдор Иванович; 1986−400=1586</x:v>
      </x:c>
      <x:c r="O2931" s="30" t="str">
        <x:v>Марка посвящена 400-летию Куйбышева; 1586 г. приходится на царствование Фёдора Ивановича.</x:v>
      </x:c>
      <x:c r="P2931" s="30" t="str">
        <x:v>Марка посвящена 400-летию Куйбышева; 1586 г. приходится на царствование Фёдора Ивановича.</x:v>
      </x:c>
      <x:c r="Q2931" s="30"/>
      <x:c r="R2931" s="30" t="str">
        <x:v>Архив пользователя: Zadanie_IS11_23092025.pdf; официальный критерий; https://hist-ege.sdamgia.ru/test?id=5256897&amp;print=true</x:v>
      </x:c>
      <x:c r="S2931" s="30"/>
      <x:c r="T2931" s="30"/>
      <x:c r="U2931" s="30" t="str">
        <x:v>Расхождений не обнаружено.</x:v>
      </x:c>
      <x:c r="V2931" s="87" t="str">
        <x:v>VERIFIED</x:v>
      </x:c>
      <x:c r="W2931" s="87" t="str">
        <x:v>Zadanie_IS11_23092025.pdf, стр. 10</x:v>
      </x:c>
      <x:c r="X2931" s="87"/>
      <x:c r="Y2931" s="87"/>
      <x:c r="Z2931" s="87"/>
      <x:c r="AA2931" s="87"/>
      <x:c r="AB2931" s="87"/>
      <x:c r="AC2931" s="87"/>
      <x:c r="AD2931" s="87"/>
      <x:c r="AE2931" s="87"/>
      <x:c r="AF2931" s="87"/>
      <x:c r="AG2931" s="87"/>
      <x:c r="AH2931" s="87"/>
      <x:c r="AI2931" s="30"/>
      <x:c r="AJ2931" s="87" t="str">
        <x:v>master</x:v>
      </x:c>
      <x:c r="AK2931" s="87" t="str">
        <x:v>master-v0.81</x:v>
      </x:c>
      <x:c r="AL2931" s="87" t="str">
        <x:v>statgrad_master_base_v0_81_final(2).xlsx</x:v>
      </x:c>
      <x:c r="AM2931" s="87" t="str">
        <x:v>HIST_Sep_V1</x:v>
      </x:c>
      <x:c r="AN2931" s="87" t="n">
        <x:v>16</x:v>
      </x:c>
    </x:row>
    <x:row r="2932">
      <x:c r="A2932" s="87" t="n">
        <x:v>2931</x:v>
      </x:c>
      <x:c r="B2932" s="87" t="str">
        <x:v>SEP-HIST-V1-016</x:v>
      </x:c>
      <x:c r="C2932" s="87" t="str">
        <x:v>СтатГрад</x:v>
      </x:c>
      <x:c r="D2932" s="87" t="str">
        <x:v>Сентябрь 2025</x:v>
      </x:c>
      <x:c r="E2932" s="87"/>
      <x:c r="F2932" s="87"/>
      <x:c r="G2932" s="87" t="str">
        <x:v>История</x:v>
      </x:c>
      <x:c r="H2932" s="87" t="n">
        <x:v>11</x:v>
      </x:c>
      <x:c r="I2932" s="87" t="str">
        <x:v>ТР №1</x:v>
      </x:c>
      <x:c r="J2932" s="87" t="str">
        <x:v>ИС2510101</x:v>
      </x:c>
      <x:c r="K2932" s="87" t="n">
        <x:v>16</x:v>
      </x:c>
      <x:c r="L2932" s="87" t="str">
        <x:v>Архитектура по изображению</x:v>
      </x:c>
      <x:c r="M2932" s="30" t="str">
        <x:v>Выбрать памятник XVI века и назвать событие, в честь которого он сооружён.</x:v>
      </x:c>
      <x:c r="N2932" s="30" t="str">
        <x:v>4; взятие Казани</x:v>
      </x:c>
      <x:c r="O2932" s="30" t="str">
        <x:v>Памятник №4 — храм Василия Блаженного, сооружённый в честь взятия Казани.</x:v>
      </x:c>
      <x:c r="P2932" s="30" t="str">
        <x:v>Памятник №4 — храм Василия Блаженного, сооружённый в честь взятия Казани.</x:v>
      </x:c>
      <x:c r="Q2932" s="30"/>
      <x:c r="R2932" s="30" t="str">
        <x:v>Архив пользователя: Zadanie_IS11_23092025.pdf; официальный критерий; https://hist-ege.sdamgia.ru/test?id=5256897&amp;print=true</x:v>
      </x:c>
      <x:c r="S2932" s="30"/>
      <x:c r="T2932" s="30"/>
      <x:c r="U2932" s="30" t="str">
        <x:v>Расхождений не обнаружено.</x:v>
      </x:c>
      <x:c r="V2932" s="87" t="str">
        <x:v>VERIFIED</x:v>
      </x:c>
      <x:c r="W2932" s="87" t="str">
        <x:v>Zadanie_IS11_23092025.pdf, стр. 11</x:v>
      </x:c>
      <x:c r="X2932" s="87"/>
      <x:c r="Y2932" s="87"/>
      <x:c r="Z2932" s="87"/>
      <x:c r="AA2932" s="87"/>
      <x:c r="AB2932" s="87"/>
      <x:c r="AC2932" s="87"/>
      <x:c r="AD2932" s="87"/>
      <x:c r="AE2932" s="87"/>
      <x:c r="AF2932" s="87"/>
      <x:c r="AG2932" s="87"/>
      <x:c r="AH2932" s="87"/>
      <x:c r="AI2932" s="30"/>
      <x:c r="AJ2932" s="87" t="str">
        <x:v>master</x:v>
      </x:c>
      <x:c r="AK2932" s="87" t="str">
        <x:v>master-v0.81</x:v>
      </x:c>
      <x:c r="AL2932" s="87" t="str">
        <x:v>statgrad_master_base_v0_81_final(2).xlsx</x:v>
      </x:c>
      <x:c r="AM2932" s="87" t="str">
        <x:v>HIST_Sep_V1</x:v>
      </x:c>
      <x:c r="AN2932" s="87" t="n">
        <x:v>17</x:v>
      </x:c>
    </x:row>
    <x:row r="2933">
      <x:c r="A2933" s="87" t="n">
        <x:v>2932</x:v>
      </x:c>
      <x:c r="B2933" s="87" t="str">
        <x:v>SEP-HIST-V1-017</x:v>
      </x:c>
      <x:c r="C2933" s="87" t="str">
        <x:v>СтатГрад</x:v>
      </x:c>
      <x:c r="D2933" s="87" t="str">
        <x:v>Сентябрь 2025</x:v>
      </x:c>
      <x:c r="E2933" s="87"/>
      <x:c r="F2933" s="87"/>
      <x:c r="G2933" s="87" t="str">
        <x:v>История</x:v>
      </x:c>
      <x:c r="H2933" s="87" t="n">
        <x:v>11</x:v>
      </x:c>
      <x:c r="I2933" s="87" t="str">
        <x:v>ТР №1</x:v>
      </x:c>
      <x:c r="J2933" s="87" t="str">
        <x:v>ИС2510101</x:v>
      </x:c>
      <x:c r="K2933" s="87" t="n">
        <x:v>17</x:v>
      </x:c>
      <x:c r="L2933" s="87" t="str">
        <x:v>Анализ источников о Великой Отечественной войне</x:v>
      </x:c>
      <x:c r="M2933" s="30" t="str">
        <x:v>Назвать год, любую стратегическую операцию этого года и опасность при движении дивизии к передовой.</x:v>
      </x:c>
      <x:c r="N2933" s="30" t="str">
        <x:v>1943; например, «Кутузов»; дороги постоянно обстреливались артиллерией</x:v>
      </x:c>
      <x:c r="O2933" s="30" t="str">
        <x:v>Сталинград уже завершён, описаны весенние события 1943 г.; допустимы «Искра», «Кольцо», «Кутузов», «Полководец Румянцев».</x:v>
      </x:c>
      <x:c r="P2933" s="30" t="str">
        <x:v>Сталинград уже завершён, описаны весенние события 1943 г.; допустимы «Искра», «Кольцо», «Кутузов», «Полководец Румянцев».</x:v>
      </x:c>
      <x:c r="Q2933" s="30"/>
      <x:c r="R2933" s="30" t="str">
        <x:v>Архив пользователя: Zadanie_IS11_23092025.pdf; официальный критерий; https://hist-ege.sdamgia.ru/test?id=5256897&amp;print=true</x:v>
      </x:c>
      <x:c r="S2933" s="30"/>
      <x:c r="T2933" s="30"/>
      <x:c r="U2933" s="30" t="str">
        <x:v>Расхождений не обнаружено.</x:v>
      </x:c>
      <x:c r="V2933" s="87" t="str">
        <x:v>VERIFIED</x:v>
      </x:c>
      <x:c r="W2933" s="87" t="str">
        <x:v>Zadanie_IS11_23092025.pdf, стр. 12</x:v>
      </x:c>
      <x:c r="X2933" s="87"/>
      <x:c r="Y2933" s="87"/>
      <x:c r="Z2933" s="87"/>
      <x:c r="AA2933" s="87"/>
      <x:c r="AB2933" s="87"/>
      <x:c r="AC2933" s="87"/>
      <x:c r="AD2933" s="87"/>
      <x:c r="AE2933" s="87"/>
      <x:c r="AF2933" s="87"/>
      <x:c r="AG2933" s="87"/>
      <x:c r="AH2933" s="87"/>
      <x:c r="AI2933" s="30"/>
      <x:c r="AJ2933" s="87" t="str">
        <x:v>master</x:v>
      </x:c>
      <x:c r="AK2933" s="87" t="str">
        <x:v>master-v0.81</x:v>
      </x:c>
      <x:c r="AL2933" s="87" t="str">
        <x:v>statgrad_master_base_v0_81_final(2).xlsx</x:v>
      </x:c>
      <x:c r="AM2933" s="87" t="str">
        <x:v>HIST_Sep_V1</x:v>
      </x:c>
      <x:c r="AN2933" s="87" t="n">
        <x:v>18</x:v>
      </x:c>
    </x:row>
    <x:row r="2934">
      <x:c r="A2934" s="87" t="n">
        <x:v>2933</x:v>
      </x:c>
      <x:c r="B2934" s="87" t="str">
        <x:v>SEP-HIST-V1-018</x:v>
      </x:c>
      <x:c r="C2934" s="87" t="str">
        <x:v>СтатГрад</x:v>
      </x:c>
      <x:c r="D2934" s="87" t="str">
        <x:v>Сентябрь 2025</x:v>
      </x:c>
      <x:c r="E2934" s="87"/>
      <x:c r="F2934" s="87"/>
      <x:c r="G2934" s="87" t="str">
        <x:v>История</x:v>
      </x:c>
      <x:c r="H2934" s="87" t="n">
        <x:v>11</x:v>
      </x:c>
      <x:c r="I2934" s="87" t="str">
        <x:v>ТР №1</x:v>
      </x:c>
      <x:c r="J2934" s="87" t="str">
        <x:v>ИС2510101</x:v>
      </x:c>
      <x:c r="K2934" s="87" t="n">
        <x:v>18</x:v>
      </x:c>
      <x:c r="L2934" s="87" t="str">
        <x:v>Причинно-следственные связи: 1993 год</x:v>
      </x:c>
      <x:c r="M2934" s="30" t="str">
        <x:v>Назвать политическую и экономическую причины конфликта Президента РФ с Верховным Советом и его последствие.</x:v>
      </x:c>
      <x:c r="N2934" s="30" t="str">
        <x:v>Спор о президентской или парламентской республике; спор о темпе рыночных реформ и роли государства; Верховный Совет распущен, сопротивление подавлено.</x:v>
      </x:c>
      <x:c r="O2934" s="30" t="str">
        <x:v>Три элемента соответствуют политическому кризису сентября–октября 1993 г.</x:v>
      </x:c>
      <x:c r="P2934" s="30" t="str">
        <x:v>Три элемента соответствуют политическому кризису сентября–октября 1993 г.</x:v>
      </x:c>
      <x:c r="Q2934" s="30"/>
      <x:c r="R2934" s="30" t="str">
        <x:v>Архив пользователя: Zadanie_IS11_23092025.pdf; официальный критерий; https://hist-ege.sdamgia.ru/test?id=5256897&amp;print=true</x:v>
      </x:c>
      <x:c r="S2934" s="30"/>
      <x:c r="T2934" s="30"/>
      <x:c r="U2934" s="30" t="str">
        <x:v>Расхождений не обнаружено.</x:v>
      </x:c>
      <x:c r="V2934" s="87" t="str">
        <x:v>VERIFIED</x:v>
      </x:c>
      <x:c r="W2934" s="87" t="str">
        <x:v>Zadanie_IS11_23092025.pdf, стр. 13</x:v>
      </x:c>
      <x:c r="X2934" s="87"/>
      <x:c r="Y2934" s="87"/>
      <x:c r="Z2934" s="87"/>
      <x:c r="AA2934" s="87"/>
      <x:c r="AB2934" s="87"/>
      <x:c r="AC2934" s="87"/>
      <x:c r="AD2934" s="87"/>
      <x:c r="AE2934" s="87"/>
      <x:c r="AF2934" s="87"/>
      <x:c r="AG2934" s="87"/>
      <x:c r="AH2934" s="87"/>
      <x:c r="AI2934" s="30"/>
      <x:c r="AJ2934" s="87" t="str">
        <x:v>master</x:v>
      </x:c>
      <x:c r="AK2934" s="87" t="str">
        <x:v>master-v0.81</x:v>
      </x:c>
      <x:c r="AL2934" s="87" t="str">
        <x:v>statgrad_master_base_v0_81_final(2).xlsx</x:v>
      </x:c>
      <x:c r="AM2934" s="87" t="str">
        <x:v>HIST_Sep_V1</x:v>
      </x:c>
      <x:c r="AN2934" s="87" t="n">
        <x:v>19</x:v>
      </x:c>
    </x:row>
    <x:row r="2935">
      <x:c r="A2935" s="87" t="n">
        <x:v>2934</x:v>
      </x:c>
      <x:c r="B2935" s="87" t="str">
        <x:v>SEP-HIST-V1-019</x:v>
      </x:c>
      <x:c r="C2935" s="87" t="str">
        <x:v>СтатГрад</x:v>
      </x:c>
      <x:c r="D2935" s="87" t="str">
        <x:v>Сентябрь 2025</x:v>
      </x:c>
      <x:c r="E2935" s="87"/>
      <x:c r="F2935" s="87"/>
      <x:c r="G2935" s="87" t="str">
        <x:v>История</x:v>
      </x:c>
      <x:c r="H2935" s="87" t="n">
        <x:v>11</x:v>
      </x:c>
      <x:c r="I2935" s="87" t="str">
        <x:v>ТР №1</x:v>
      </x:c>
      <x:c r="J2935" s="87" t="str">
        <x:v>ИС2510101</x:v>
      </x:c>
      <x:c r="K2935" s="87" t="n">
        <x:v>19</x:v>
      </x:c>
      <x:c r="L2935" s="87" t="str">
        <x:v>Историческое понятие</x:v>
      </x:c>
      <x:c r="M2935" s="30" t="str">
        <x:v>Раскрыть понятие «Избранная рада» и привести отдельный факт.</x:v>
      </x:c>
      <x:c r="N2935" s="30" t="str">
        <x:v>Неформальный совет при Иване IV; например, в него входил А. Адашев или при его участии принят Судебник 1550 г.</x:v>
      </x:c>
      <x:c r="O2935" s="30" t="str">
        <x:v>Определение содержит родовой признак; факт не повторяет определение.</x:v>
      </x:c>
      <x:c r="P2935" s="30" t="str">
        <x:v>Определение содержит родовой признак; факт не повторяет определение.</x:v>
      </x:c>
      <x:c r="Q2935" s="30"/>
      <x:c r="R2935" s="30" t="str">
        <x:v>Архив пользователя: Zadanie_IS11_23092025.pdf; официальный критерий; https://hist-ege.sdamgia.ru/test?id=5256897&amp;print=true</x:v>
      </x:c>
      <x:c r="S2935" s="30"/>
      <x:c r="T2935" s="30"/>
      <x:c r="U2935" s="30" t="str">
        <x:v>Расхождений не обнаружено.</x:v>
      </x:c>
      <x:c r="V2935" s="87" t="str">
        <x:v>VERIFIED</x:v>
      </x:c>
      <x:c r="W2935" s="87" t="str">
        <x:v>Zadanie_IS11_23092025.pdf, стр. 13</x:v>
      </x:c>
      <x:c r="X2935" s="87"/>
      <x:c r="Y2935" s="87"/>
      <x:c r="Z2935" s="87"/>
      <x:c r="AA2935" s="87"/>
      <x:c r="AB2935" s="87"/>
      <x:c r="AC2935" s="87"/>
      <x:c r="AD2935" s="87"/>
      <x:c r="AE2935" s="87"/>
      <x:c r="AF2935" s="87"/>
      <x:c r="AG2935" s="87"/>
      <x:c r="AH2935" s="87"/>
      <x:c r="AI2935" s="30"/>
      <x:c r="AJ2935" s="87" t="str">
        <x:v>master</x:v>
      </x:c>
      <x:c r="AK2935" s="87" t="str">
        <x:v>master-v0.81</x:v>
      </x:c>
      <x:c r="AL2935" s="87" t="str">
        <x:v>statgrad_master_base_v0_81_final(2).xlsx</x:v>
      </x:c>
      <x:c r="AM2935" s="87" t="str">
        <x:v>HIST_Sep_V1</x:v>
      </x:c>
      <x:c r="AN2935" s="87" t="n">
        <x:v>20</x:v>
      </x:c>
    </x:row>
    <x:row r="2936">
      <x:c r="A2936" s="87" t="n">
        <x:v>2935</x:v>
      </x:c>
      <x:c r="B2936" s="87" t="str">
        <x:v>SEP-HIST-V1-020</x:v>
      </x:c>
      <x:c r="C2936" s="87" t="str">
        <x:v>СтатГрад</x:v>
      </x:c>
      <x:c r="D2936" s="87" t="str">
        <x:v>Сентябрь 2025</x:v>
      </x:c>
      <x:c r="E2936" s="87"/>
      <x:c r="F2936" s="87"/>
      <x:c r="G2936" s="87" t="str">
        <x:v>История</x:v>
      </x:c>
      <x:c r="H2936" s="87" t="n">
        <x:v>11</x:v>
      </x:c>
      <x:c r="I2936" s="87" t="str">
        <x:v>ТР №1</x:v>
      </x:c>
      <x:c r="J2936" s="87" t="str">
        <x:v>ИС2510101</x:v>
      </x:c>
      <x:c r="K2936" s="87" t="n">
        <x:v>20</x:v>
      </x:c>
      <x:c r="L2936" s="87" t="str">
        <x:v>Сравнение систем управления</x:v>
      </x:c>
      <x:c r="M2936" s="30" t="str">
        <x:v>Сформулировать различие управления России середины XVII в. и конца правления Петра I и дать два парных обоснования.</x:v>
      </x:c>
      <x:c r="N2936" s="30" t="str">
        <x:v>К концу правления Петра I управление стало рациональнее: приказы с пересекавшимися функциями заменены отраслевыми коллегиями; местничество и зависимость службы от происхождения сменились Табелью о рангах.</x:v>
      </x:c>
      <x:c r="O2936" s="30" t="str">
        <x:v>Каждое обоснование содержит по факту для двух сравниваемых периодов.</x:v>
      </x:c>
      <x:c r="P2936" s="30" t="str">
        <x:v>Каждое обоснование содержит по факту для двух сравниваемых периодов.</x:v>
      </x:c>
      <x:c r="Q2936" s="30"/>
      <x:c r="R2936" s="30" t="str">
        <x:v>Архив пользователя: Zadanie_IS11_23092025.pdf; официальный критерий; https://hist-ege.sdamgia.ru/test?id=5256897&amp;print=true</x:v>
      </x:c>
      <x:c r="S2936" s="30"/>
      <x:c r="T2936" s="30"/>
      <x:c r="U2936" s="30" t="str">
        <x:v>Расхождений не обнаружено.</x:v>
      </x:c>
      <x:c r="V2936" s="87" t="str">
        <x:v>VERIFIED</x:v>
      </x:c>
      <x:c r="W2936" s="87" t="str">
        <x:v>Zadanie_IS11_23092025.pdf, стр. 13</x:v>
      </x:c>
      <x:c r="X2936" s="87"/>
      <x:c r="Y2936" s="87"/>
      <x:c r="Z2936" s="87"/>
      <x:c r="AA2936" s="87"/>
      <x:c r="AB2936" s="87"/>
      <x:c r="AC2936" s="87"/>
      <x:c r="AD2936" s="87"/>
      <x:c r="AE2936" s="87"/>
      <x:c r="AF2936" s="87"/>
      <x:c r="AG2936" s="87"/>
      <x:c r="AH2936" s="87"/>
      <x:c r="AI2936" s="30"/>
      <x:c r="AJ2936" s="87" t="str">
        <x:v>master</x:v>
      </x:c>
      <x:c r="AK2936" s="87" t="str">
        <x:v>master-v0.81</x:v>
      </x:c>
      <x:c r="AL2936" s="87" t="str">
        <x:v>statgrad_master_base_v0_81_final(2).xlsx</x:v>
      </x:c>
      <x:c r="AM2936" s="87" t="str">
        <x:v>HIST_Sep_V1</x:v>
      </x:c>
      <x:c r="AN2936" s="87" t="n">
        <x:v>21</x:v>
      </x:c>
    </x:row>
    <x:row r="2937">
      <x:c r="A2937" s="87" t="n">
        <x:v>2936</x:v>
      </x:c>
      <x:c r="B2937" s="87" t="str">
        <x:v>SEP-HIST-V1-021</x:v>
      </x:c>
      <x:c r="C2937" s="87" t="str">
        <x:v>СтатГрад</x:v>
      </x:c>
      <x:c r="D2937" s="87" t="str">
        <x:v>Сентябрь 2025</x:v>
      </x:c>
      <x:c r="E2937" s="87"/>
      <x:c r="F2937" s="87"/>
      <x:c r="G2937" s="87" t="str">
        <x:v>История</x:v>
      </x:c>
      <x:c r="H2937" s="87" t="n">
        <x:v>11</x:v>
      </x:c>
      <x:c r="I2937" s="87" t="str">
        <x:v>ТР №1</x:v>
      </x:c>
      <x:c r="J2937" s="87" t="str">
        <x:v>ИС2510101</x:v>
      </x:c>
      <x:c r="K2937" s="87" t="n">
        <x:v>21</x:v>
      </x:c>
      <x:c r="L2937" s="87" t="str">
        <x:v>Историческая аргументация</x:v>
      </x:c>
      <x:c r="M2937" s="30" t="str">
        <x:v>Доказать влияние внешнеполитических обстоятельств XIV–XV вв. на социальную ситуацию в русских землях и Франции.</x:v>
      </x:c>
      <x:c r="N2937" s="30" t="str">
        <x:v>Русские земли: борьба с Ордой усилила поместное войско и привела к ограничению крестьянского перехода Судебником 1497 г. Франция: бедствия Столетней войны и налоговый гнёт вызвали Жакерию.</x:v>
      </x:c>
      <x:c r="O2937" s="30" t="str">
        <x:v>Оба аргумента связывают внешнюю угрозу с конкретным социальным последствием.</x:v>
      </x:c>
      <x:c r="P2937" s="30" t="str">
        <x:v>Оба аргумента связывают внешнюю угрозу с конкретным социальным последствием.</x:v>
      </x:c>
      <x:c r="Q2937" s="30"/>
      <x:c r="R2937" s="30" t="str">
        <x:v>Архив пользователя: Zadanie_IS11_23092025.pdf; официальный критерий; https://hist-ege.sdamgia.ru/test?id=5256897&amp;print=true</x:v>
      </x:c>
      <x:c r="S2937" s="30"/>
      <x:c r="T2937" s="30"/>
      <x:c r="U2937" s="30" t="str">
        <x:v>Расхождений не обнаружено.</x:v>
      </x:c>
      <x:c r="V2937" s="87" t="str">
        <x:v>VERIFIED</x:v>
      </x:c>
      <x:c r="W2937" s="87" t="str">
        <x:v>Zadanie_IS11_23092025.pdf, стр. 13</x:v>
      </x:c>
      <x:c r="X2937" s="87"/>
      <x:c r="Y2937" s="87"/>
      <x:c r="Z2937" s="87"/>
      <x:c r="AA2937" s="87"/>
      <x:c r="AB2937" s="87"/>
      <x:c r="AC2937" s="87"/>
      <x:c r="AD2937" s="87"/>
      <x:c r="AE2937" s="87"/>
      <x:c r="AF2937" s="87"/>
      <x:c r="AG2937" s="87"/>
      <x:c r="AH2937" s="87"/>
      <x:c r="AI2937" s="30"/>
      <x:c r="AJ2937" s="87" t="str">
        <x:v>master</x:v>
      </x:c>
      <x:c r="AK2937" s="87" t="str">
        <x:v>master-v0.81</x:v>
      </x:c>
      <x:c r="AL2937" s="87" t="str">
        <x:v>statgrad_master_base_v0_81_final(2).xlsx</x:v>
      </x:c>
      <x:c r="AM2937" s="87" t="str">
        <x:v>HIST_Sep_V1</x:v>
      </x:c>
      <x:c r="AN2937" s="87" t="n">
        <x:v>22</x:v>
      </x:c>
    </x:row>
    <x:row r="2938">
      <x:c r="A2938" s="87" t="n">
        <x:v>2937</x:v>
      </x:c>
      <x:c r="B2938" s="87" t="str">
        <x:v>SEP-HIST-V2-001</x:v>
      </x:c>
      <x:c r="C2938" s="87" t="str">
        <x:v>СтатГрад</x:v>
      </x:c>
      <x:c r="D2938" s="87" t="str">
        <x:v>Сентябрь 2025</x:v>
      </x:c>
      <x:c r="E2938" s="87"/>
      <x:c r="F2938" s="87"/>
      <x:c r="G2938" s="87" t="str">
        <x:v>История</x:v>
      </x:c>
      <x:c r="H2938" s="87" t="n">
        <x:v>11</x:v>
      </x:c>
      <x:c r="I2938" s="87" t="str">
        <x:v>ТР №1</x:v>
      </x:c>
      <x:c r="J2938" s="87" t="str">
        <x:v>ИС2510102</x:v>
      </x:c>
      <x:c r="K2938" s="87" t="n">
        <x:v>1</x:v>
      </x:c>
      <x:c r="L2938" s="87" t="str">
        <x:v>Соответствие событий и дат</x:v>
      </x:c>
      <x:c r="M2938" s="30" t="str">
        <x:v>Соотнести избрание Л. И. Брежнева, Тегеранскую конференцию, издание Свода законов и Новоторговый устав с годами.</x:v>
      </x:c>
      <x:c r="N2938" s="30" t="str">
        <x:v>6431</x:v>
      </x:c>
      <x:c r="O2938" s="30" t="str">
        <x:v>Брежнев — 1964; Тегеран — 1943; Свод законов — 1832; Новоторговый устав — 1667.</x:v>
      </x:c>
      <x:c r="P2938" s="30" t="str">
        <x:v>Брежнев — 1964; Тегеран — 1943; Свод законов — 1832; Новоторговый устав — 1667.</x:v>
      </x:c>
      <x:c r="Q2938" s="30"/>
      <x:c r="R2938" s="30" t="str">
        <x:v>Архив пользователя: Zadanie_IS11_23092025.pdf; официальный критерий; https://hist-ege.sdamgia.ru/test?id=5257023&amp;print=true</x:v>
      </x:c>
      <x:c r="S2938" s="30"/>
      <x:c r="T2938" s="30"/>
      <x:c r="U2938" s="30" t="str">
        <x:v>Расхождений не обнаружено.</x:v>
      </x:c>
      <x:c r="V2938" s="87" t="str">
        <x:v>VERIFIED</x:v>
      </x:c>
      <x:c r="W2938" s="87" t="str">
        <x:v>Zadanie_IS11_23092025.pdf, стр. 15</x:v>
      </x:c>
      <x:c r="X2938" s="87"/>
      <x:c r="Y2938" s="87"/>
      <x:c r="Z2938" s="87"/>
      <x:c r="AA2938" s="87"/>
      <x:c r="AB2938" s="87"/>
      <x:c r="AC2938" s="87"/>
      <x:c r="AD2938" s="87"/>
      <x:c r="AE2938" s="87"/>
      <x:c r="AF2938" s="87"/>
      <x:c r="AG2938" s="87"/>
      <x:c r="AH2938" s="87"/>
      <x:c r="AI2938" s="30"/>
      <x:c r="AJ2938" s="87" t="str">
        <x:v>master</x:v>
      </x:c>
      <x:c r="AK2938" s="87" t="str">
        <x:v>master-v0.81</x:v>
      </x:c>
      <x:c r="AL2938" s="87" t="str">
        <x:v>statgrad_master_base_v0_81_final(2).xlsx</x:v>
      </x:c>
      <x:c r="AM2938" s="87" t="str">
        <x:v>HIST_Sep_V2</x:v>
      </x:c>
      <x:c r="AN2938" s="87" t="n">
        <x:v>2</x:v>
      </x:c>
    </x:row>
    <x:row r="2939">
      <x:c r="A2939" s="87" t="n">
        <x:v>2938</x:v>
      </x:c>
      <x:c r="B2939" s="87" t="str">
        <x:v>SEP-HIST-V2-002</x:v>
      </x:c>
      <x:c r="C2939" s="87" t="str">
        <x:v>СтатГрад</x:v>
      </x:c>
      <x:c r="D2939" s="87" t="str">
        <x:v>Сентябрь 2025</x:v>
      </x:c>
      <x:c r="E2939" s="87"/>
      <x:c r="F2939" s="87"/>
      <x:c r="G2939" s="87" t="str">
        <x:v>История</x:v>
      </x:c>
      <x:c r="H2939" s="87" t="n">
        <x:v>11</x:v>
      </x:c>
      <x:c r="I2939" s="87" t="str">
        <x:v>ТР №1</x:v>
      </x:c>
      <x:c r="J2939" s="87" t="str">
        <x:v>ИС2510102</x:v>
      </x:c>
      <x:c r="K2939" s="87" t="n">
        <x:v>2</x:v>
      </x:c>
      <x:c r="L2939" s="87" t="str">
        <x:v>Хронология</x:v>
      </x:c>
      <x:c r="M2939" s="30" t="str">
        <x:v>Расположить революцию Мэйдзи, Октябрьскую политическую стачку и создание ГКО.</x:v>
      </x:c>
      <x:c r="N2939" s="30" t="str">
        <x:v>213</x:v>
      </x:c>
      <x:c r="O2939" s="30" t="str">
        <x:v>Мэйдзи — 1868; стачка — 1905; ГКО — 1941.</x:v>
      </x:c>
      <x:c r="P2939" s="30" t="str">
        <x:v>Мэйдзи — 1868; стачка — 1905; ГКО — 1941.</x:v>
      </x:c>
      <x:c r="Q2939" s="30"/>
      <x:c r="R2939" s="30" t="str">
        <x:v>Архив пользователя: Zadanie_IS11_23092025.pdf; официальный критерий; https://hist-ege.sdamgia.ru/test?id=5257023&amp;print=true</x:v>
      </x:c>
      <x:c r="S2939" s="30"/>
      <x:c r="T2939" s="30"/>
      <x:c r="U2939" s="30" t="str">
        <x:v>Расхождений не обнаружено.</x:v>
      </x:c>
      <x:c r="V2939" s="87" t="str">
        <x:v>VERIFIED</x:v>
      </x:c>
      <x:c r="W2939" s="87" t="str">
        <x:v>Zadanie_IS11_23092025.pdf, стр. 15</x:v>
      </x:c>
      <x:c r="X2939" s="87"/>
      <x:c r="Y2939" s="87"/>
      <x:c r="Z2939" s="87"/>
      <x:c r="AA2939" s="87"/>
      <x:c r="AB2939" s="87"/>
      <x:c r="AC2939" s="87"/>
      <x:c r="AD2939" s="87"/>
      <x:c r="AE2939" s="87"/>
      <x:c r="AF2939" s="87"/>
      <x:c r="AG2939" s="87"/>
      <x:c r="AH2939" s="87"/>
      <x:c r="AI2939" s="30"/>
      <x:c r="AJ2939" s="87" t="str">
        <x:v>master</x:v>
      </x:c>
      <x:c r="AK2939" s="87" t="str">
        <x:v>master-v0.81</x:v>
      </x:c>
      <x:c r="AL2939" s="87" t="str">
        <x:v>statgrad_master_base_v0_81_final(2).xlsx</x:v>
      </x:c>
      <x:c r="AM2939" s="87" t="str">
        <x:v>HIST_Sep_V2</x:v>
      </x:c>
      <x:c r="AN2939" s="87" t="n">
        <x:v>3</x:v>
      </x:c>
    </x:row>
    <x:row r="2940">
      <x:c r="A2940" s="87" t="n">
        <x:v>2939</x:v>
      </x:c>
      <x:c r="B2940" s="87" t="str">
        <x:v>SEP-HIST-V2-003</x:v>
      </x:c>
      <x:c r="C2940" s="87" t="str">
        <x:v>СтатГрад</x:v>
      </x:c>
      <x:c r="D2940" s="87" t="str">
        <x:v>Сентябрь 2025</x:v>
      </x:c>
      <x:c r="E2940" s="87"/>
      <x:c r="F2940" s="87"/>
      <x:c r="G2940" s="87" t="str">
        <x:v>История</x:v>
      </x:c>
      <x:c r="H2940" s="87" t="n">
        <x:v>11</x:v>
      </x:c>
      <x:c r="I2940" s="87" t="str">
        <x:v>ТР №1</x:v>
      </x:c>
      <x:c r="J2940" s="87" t="str">
        <x:v>ИС2510102</x:v>
      </x:c>
      <x:c r="K2940" s="87" t="n">
        <x:v>3</x:v>
      </x:c>
      <x:c r="L2940" s="87" t="str">
        <x:v>Соответствие процессов и фактов</x:v>
      </x:c>
      <x:c r="M2940" s="30" t="str">
        <x:v>Соотнести опричный террор, Гражданскую войну, русско-турецкую войну 1877–1878 гг. и междоусобицу XV в. с фактами.</x:v>
      </x:c>
      <x:c r="N2940" s="30" t="str">
        <x:v>6142</x:v>
      </x:c>
      <x:c r="O2940" s="30" t="str">
        <x:v>Разгром Новгорода; казнь Колчака; оборона Шипки; ослепление Василия II.</x:v>
      </x:c>
      <x:c r="P2940" s="30" t="str">
        <x:v>Разгром Новгорода; казнь Колчака; оборона Шипки; ослепление Василия II.</x:v>
      </x:c>
      <x:c r="Q2940" s="30"/>
      <x:c r="R2940" s="30" t="str">
        <x:v>Архив пользователя: Zadanie_IS11_23092025.pdf; официальный критерий; https://hist-ege.sdamgia.ru/test?id=5257023&amp;print=true</x:v>
      </x:c>
      <x:c r="S2940" s="30"/>
      <x:c r="T2940" s="30"/>
      <x:c r="U2940" s="30" t="str">
        <x:v>Расхождений не обнаружено.</x:v>
      </x:c>
      <x:c r="V2940" s="87" t="str">
        <x:v>VERIFIED</x:v>
      </x:c>
      <x:c r="W2940" s="87" t="str">
        <x:v>Zadanie_IS11_23092025.pdf, стр. 16</x:v>
      </x:c>
      <x:c r="X2940" s="87"/>
      <x:c r="Y2940" s="87"/>
      <x:c r="Z2940" s="87"/>
      <x:c r="AA2940" s="87"/>
      <x:c r="AB2940" s="87"/>
      <x:c r="AC2940" s="87"/>
      <x:c r="AD2940" s="87"/>
      <x:c r="AE2940" s="87"/>
      <x:c r="AF2940" s="87"/>
      <x:c r="AG2940" s="87"/>
      <x:c r="AH2940" s="87"/>
      <x:c r="AI2940" s="30"/>
      <x:c r="AJ2940" s="87" t="str">
        <x:v>master</x:v>
      </x:c>
      <x:c r="AK2940" s="87" t="str">
        <x:v>master-v0.81</x:v>
      </x:c>
      <x:c r="AL2940" s="87" t="str">
        <x:v>statgrad_master_base_v0_81_final(2).xlsx</x:v>
      </x:c>
      <x:c r="AM2940" s="87" t="str">
        <x:v>HIST_Sep_V2</x:v>
      </x:c>
      <x:c r="AN2940" s="87" t="n">
        <x:v>4</x:v>
      </x:c>
    </x:row>
    <x:row r="2941">
      <x:c r="A2941" s="87" t="n">
        <x:v>2940</x:v>
      </x:c>
      <x:c r="B2941" s="87" t="str">
        <x:v>SEP-HIST-V2-004</x:v>
      </x:c>
      <x:c r="C2941" s="87" t="str">
        <x:v>СтатГрад</x:v>
      </x:c>
      <x:c r="D2941" s="87" t="str">
        <x:v>Сентябрь 2025</x:v>
      </x:c>
      <x:c r="E2941" s="87"/>
      <x:c r="F2941" s="87"/>
      <x:c r="G2941" s="87" t="str">
        <x:v>История</x:v>
      </x:c>
      <x:c r="H2941" s="87" t="n">
        <x:v>11</x:v>
      </x:c>
      <x:c r="I2941" s="87" t="str">
        <x:v>ТР №1</x:v>
      </x:c>
      <x:c r="J2941" s="87" t="str">
        <x:v>ИС2510102</x:v>
      </x:c>
      <x:c r="K2941" s="87" t="n">
        <x:v>4</x:v>
      </x:c>
      <x:c r="L2941" s="87" t="str">
        <x:v>Таблица: события и география</x:v>
      </x:c>
      <x:c r="M2941" s="30" t="str">
        <x:v>Заполнить таблицу о Куликовской битве, походах Святослава, битве на Сити и ликвидации веча в Новгороде.</x:v>
      </x:c>
      <x:c r="N2941" s="30" t="str">
        <x:v>274685</x:v>
      </x:c>
      <x:c r="O2941" s="30" t="str">
        <x:v>Тула; 1380-е; походы Святослава; 960-е; река Сить; гибель Юрия Всеволодовича.</x:v>
      </x:c>
      <x:c r="P2941" s="30" t="str">
        <x:v>Тула; 1380-е; походы Святослава; 960-е; река Сить; гибель Юрия Всеволодовича.</x:v>
      </x:c>
      <x:c r="Q2941" s="30"/>
      <x:c r="R2941" s="30" t="str">
        <x:v>Архив пользователя: Zadanie_IS11_23092025.pdf; официальный критерий; https://hist-ege.sdamgia.ru/test?id=5257023&amp;print=true</x:v>
      </x:c>
      <x:c r="S2941" s="30"/>
      <x:c r="T2941" s="30"/>
      <x:c r="U2941" s="30" t="str">
        <x:v>Расхождений не обнаружено.</x:v>
      </x:c>
      <x:c r="V2941" s="87" t="str">
        <x:v>VERIFIED</x:v>
      </x:c>
      <x:c r="W2941" s="87" t="str">
        <x:v>Zadanie_IS11_23092025.pdf, стр. 17</x:v>
      </x:c>
      <x:c r="X2941" s="87"/>
      <x:c r="Y2941" s="87"/>
      <x:c r="Z2941" s="87"/>
      <x:c r="AA2941" s="87"/>
      <x:c r="AB2941" s="87"/>
      <x:c r="AC2941" s="87"/>
      <x:c r="AD2941" s="87"/>
      <x:c r="AE2941" s="87"/>
      <x:c r="AF2941" s="87"/>
      <x:c r="AG2941" s="87"/>
      <x:c r="AH2941" s="87"/>
      <x:c r="AI2941" s="30"/>
      <x:c r="AJ2941" s="87" t="str">
        <x:v>master</x:v>
      </x:c>
      <x:c r="AK2941" s="87" t="str">
        <x:v>master-v0.81</x:v>
      </x:c>
      <x:c r="AL2941" s="87" t="str">
        <x:v>statgrad_master_base_v0_81_final(2).xlsx</x:v>
      </x:c>
      <x:c r="AM2941" s="87" t="str">
        <x:v>HIST_Sep_V2</x:v>
      </x:c>
      <x:c r="AN2941" s="87" t="n">
        <x:v>5</x:v>
      </x:c>
    </x:row>
    <x:row r="2942">
      <x:c r="A2942" s="87" t="n">
        <x:v>2941</x:v>
      </x:c>
      <x:c r="B2942" s="87" t="str">
        <x:v>SEP-HIST-V2-005</x:v>
      </x:c>
      <x:c r="C2942" s="87" t="str">
        <x:v>СтатГрад</x:v>
      </x:c>
      <x:c r="D2942" s="87" t="str">
        <x:v>Сентябрь 2025</x:v>
      </x:c>
      <x:c r="E2942" s="87"/>
      <x:c r="F2942" s="87"/>
      <x:c r="G2942" s="87" t="str">
        <x:v>История</x:v>
      </x:c>
      <x:c r="H2942" s="87" t="n">
        <x:v>11</x:v>
      </x:c>
      <x:c r="I2942" s="87" t="str">
        <x:v>ТР №1</x:v>
      </x:c>
      <x:c r="J2942" s="87" t="str">
        <x:v>ИС2510102</x:v>
      </x:c>
      <x:c r="K2942" s="87" t="n">
        <x:v>5</x:v>
      </x:c>
      <x:c r="L2942" s="87" t="str">
        <x:v>Исторические деятели</x:v>
      </x:c>
      <x:c r="M2942" s="30" t="str">
        <x:v>Соотнести Негласный комитет, манифест 1905 г., оборону дома Павлова и Новоторговый устав с участниками.</x:v>
      </x:c>
      <x:c r="N2942" s="30" t="str">
        <x:v>2534</x:v>
      </x:c>
      <x:c r="O2942" s="30" t="str">
        <x:v>Новосильцев; Витте; Павлов; Ордин-Нащокин.</x:v>
      </x:c>
      <x:c r="P2942" s="30" t="str">
        <x:v>Новосильцев; Витте; Павлов; Ордин-Нащокин.</x:v>
      </x:c>
      <x:c r="Q2942" s="30"/>
      <x:c r="R2942" s="30" t="str">
        <x:v>Архив пользователя: Zadanie_IS11_23092025.pdf; официальный критерий; https://hist-ege.sdamgia.ru/test?id=5257023&amp;print=true</x:v>
      </x:c>
      <x:c r="S2942" s="30"/>
      <x:c r="T2942" s="30"/>
      <x:c r="U2942" s="30" t="str">
        <x:v>Расхождений не обнаружено.</x:v>
      </x:c>
      <x:c r="V2942" s="87" t="str">
        <x:v>VERIFIED</x:v>
      </x:c>
      <x:c r="W2942" s="87" t="str">
        <x:v>Zadanie_IS11_23092025.pdf, стр. 17</x:v>
      </x:c>
      <x:c r="X2942" s="87"/>
      <x:c r="Y2942" s="87"/>
      <x:c r="Z2942" s="87"/>
      <x:c r="AA2942" s="87"/>
      <x:c r="AB2942" s="87"/>
      <x:c r="AC2942" s="87"/>
      <x:c r="AD2942" s="87"/>
      <x:c r="AE2942" s="87"/>
      <x:c r="AF2942" s="87"/>
      <x:c r="AG2942" s="87"/>
      <x:c r="AH2942" s="87"/>
      <x:c r="AI2942" s="30"/>
      <x:c r="AJ2942" s="87" t="str">
        <x:v>master</x:v>
      </x:c>
      <x:c r="AK2942" s="87" t="str">
        <x:v>master-v0.81</x:v>
      </x:c>
      <x:c r="AL2942" s="87" t="str">
        <x:v>statgrad_master_base_v0_81_final(2).xlsx</x:v>
      </x:c>
      <x:c r="AM2942" s="87" t="str">
        <x:v>HIST_Sep_V2</x:v>
      </x:c>
      <x:c r="AN2942" s="87" t="n">
        <x:v>6</x:v>
      </x:c>
    </x:row>
    <x:row r="2943">
      <x:c r="A2943" s="87" t="n">
        <x:v>2942</x:v>
      </x:c>
      <x:c r="B2943" s="87" t="str">
        <x:v>SEP-HIST-V2-006</x:v>
      </x:c>
      <x:c r="C2943" s="87" t="str">
        <x:v>СтатГрад</x:v>
      </x:c>
      <x:c r="D2943" s="87" t="str">
        <x:v>Сентябрь 2025</x:v>
      </x:c>
      <x:c r="E2943" s="87"/>
      <x:c r="F2943" s="87"/>
      <x:c r="G2943" s="87" t="str">
        <x:v>История</x:v>
      </x:c>
      <x:c r="H2943" s="87" t="n">
        <x:v>11</x:v>
      </x:c>
      <x:c r="I2943" s="87" t="str">
        <x:v>ТР №1</x:v>
      </x:c>
      <x:c r="J2943" s="87" t="str">
        <x:v>ИС2510102</x:v>
      </x:c>
      <x:c r="K2943" s="87" t="n">
        <x:v>6</x:v>
      </x:c>
      <x:c r="L2943" s="87" t="str">
        <x:v>Анализ речи о создании СССР</x:v>
      </x:c>
      <x:c r="M2943" s="30" t="str">
        <x:v>По речи на съезде выбрать верные суждения.</x:v>
      </x:c>
      <x:c r="N2943" s="30" t="str">
        <x:v>124</x:v>
      </x:c>
      <x:c r="O2943" s="30" t="str">
        <x:v>Речь относится к 1922 г.; председателем правительства РСФСР был Ленин; объединение связывается с противостоянием капиталистическому миру.</x:v>
      </x:c>
      <x:c r="P2943" s="30" t="str">
        <x:v>Речь относится к 1922 г.; председателем правительства РСФСР был Ленин; объединение связывается с противостоянием капиталистическому миру.</x:v>
      </x:c>
      <x:c r="Q2943" s="30"/>
      <x:c r="R2943" s="30" t="str">
        <x:v>Архив пользователя: Zadanie_IS11_23092025.pdf; официальный критерий; https://hist-ege.sdamgia.ru/test?id=5257023&amp;print=true</x:v>
      </x:c>
      <x:c r="S2943" s="30"/>
      <x:c r="T2943" s="30"/>
      <x:c r="U2943" s="30" t="str">
        <x:v>Расхождений не обнаружено.</x:v>
      </x:c>
      <x:c r="V2943" s="87" t="str">
        <x:v>VERIFIED</x:v>
      </x:c>
      <x:c r="W2943" s="87" t="str">
        <x:v>Zadanie_IS11_23092025.pdf, стр. 18</x:v>
      </x:c>
      <x:c r="X2943" s="87"/>
      <x:c r="Y2943" s="87"/>
      <x:c r="Z2943" s="87"/>
      <x:c r="AA2943" s="87"/>
      <x:c r="AB2943" s="87"/>
      <x:c r="AC2943" s="87"/>
      <x:c r="AD2943" s="87"/>
      <x:c r="AE2943" s="87"/>
      <x:c r="AF2943" s="87"/>
      <x:c r="AG2943" s="87"/>
      <x:c r="AH2943" s="87"/>
      <x:c r="AI2943" s="30"/>
      <x:c r="AJ2943" s="87" t="str">
        <x:v>master</x:v>
      </x:c>
      <x:c r="AK2943" s="87" t="str">
        <x:v>master-v0.81</x:v>
      </x:c>
      <x:c r="AL2943" s="87" t="str">
        <x:v>statgrad_master_base_v0_81_final(2).xlsx</x:v>
      </x:c>
      <x:c r="AM2943" s="87" t="str">
        <x:v>HIST_Sep_V2</x:v>
      </x:c>
      <x:c r="AN2943" s="87" t="n">
        <x:v>7</x:v>
      </x:c>
    </x:row>
    <x:row r="2944">
      <x:c r="A2944" s="87" t="n">
        <x:v>2943</x:v>
      </x:c>
      <x:c r="B2944" s="87" t="str">
        <x:v>SEP-HIST-V2-007</x:v>
      </x:c>
      <x:c r="C2944" s="87" t="str">
        <x:v>СтатГрад</x:v>
      </x:c>
      <x:c r="D2944" s="87" t="str">
        <x:v>Сентябрь 2025</x:v>
      </x:c>
      <x:c r="E2944" s="87"/>
      <x:c r="F2944" s="87"/>
      <x:c r="G2944" s="87" t="str">
        <x:v>История</x:v>
      </x:c>
      <x:c r="H2944" s="87" t="n">
        <x:v>11</x:v>
      </x:c>
      <x:c r="I2944" s="87" t="str">
        <x:v>ТР №1</x:v>
      </x:c>
      <x:c r="J2944" s="87" t="str">
        <x:v>ИС2510102</x:v>
      </x:c>
      <x:c r="K2944" s="87" t="n">
        <x:v>7</x:v>
      </x:c>
      <x:c r="L2944" s="87" t="str">
        <x:v>Памятники культуры</x:v>
      </x:c>
      <x:c r="M2944" s="30" t="str">
        <x:v>Соотнести «Сказание об осаде Троицкого монастыря», Золотые ворота, «Медный всадник» и «Оттепель» с характеристиками.</x:v>
      </x:c>
      <x:c r="N2944" s="30" t="str">
        <x:v>6214</x:v>
      </x:c>
      <x:c r="O2944" s="30" t="str">
        <x:v>Автор «Сказания» — Авраамий Палицын; Золотые ворота — Андрей Боголюбский; «Медный всадник» — Фальконе; «Оттепель» — 1950-е.</x:v>
      </x:c>
      <x:c r="P2944" s="30" t="str">
        <x:v>Автор «Сказания» — Авраамий Палицын; Золотые ворота — Андрей Боголюбский; «Медный всадник» — Фальконе; «Оттепель» — 1950-е.</x:v>
      </x:c>
      <x:c r="Q2944" s="30"/>
      <x:c r="R2944" s="30" t="str">
        <x:v>Архив пользователя: Zadanie_IS11_23092025.pdf; официальный критерий; https://hist-ege.sdamgia.ru/test?id=5257023&amp;print=true</x:v>
      </x:c>
      <x:c r="S2944" s="30"/>
      <x:c r="T2944" s="30"/>
      <x:c r="U2944" s="30" t="str">
        <x:v>Расхождений не обнаружено.</x:v>
      </x:c>
      <x:c r="V2944" s="87" t="str">
        <x:v>VERIFIED</x:v>
      </x:c>
      <x:c r="W2944" s="87" t="str">
        <x:v>Zadanie_IS11_23092025.pdf, стр. 19</x:v>
      </x:c>
      <x:c r="X2944" s="87"/>
      <x:c r="Y2944" s="87"/>
      <x:c r="Z2944" s="87"/>
      <x:c r="AA2944" s="87"/>
      <x:c r="AB2944" s="87"/>
      <x:c r="AC2944" s="87"/>
      <x:c r="AD2944" s="87"/>
      <x:c r="AE2944" s="87"/>
      <x:c r="AF2944" s="87"/>
      <x:c r="AG2944" s="87"/>
      <x:c r="AH2944" s="87"/>
      <x:c r="AI2944" s="30"/>
      <x:c r="AJ2944" s="87" t="str">
        <x:v>master</x:v>
      </x:c>
      <x:c r="AK2944" s="87" t="str">
        <x:v>master-v0.81</x:v>
      </x:c>
      <x:c r="AL2944" s="87" t="str">
        <x:v>statgrad_master_base_v0_81_final(2).xlsx</x:v>
      </x:c>
      <x:c r="AM2944" s="87" t="str">
        <x:v>HIST_Sep_V2</x:v>
      </x:c>
      <x:c r="AN2944" s="87" t="n">
        <x:v>8</x:v>
      </x:c>
    </x:row>
    <x:row r="2945">
      <x:c r="A2945" s="87" t="n">
        <x:v>2944</x:v>
      </x:c>
      <x:c r="B2945" s="87" t="str">
        <x:v>SEP-HIST-V2-008</x:v>
      </x:c>
      <x:c r="C2945" s="87" t="str">
        <x:v>СтатГрад</x:v>
      </x:c>
      <x:c r="D2945" s="87" t="str">
        <x:v>Сентябрь 2025</x:v>
      </x:c>
      <x:c r="E2945" s="87"/>
      <x:c r="F2945" s="87"/>
      <x:c r="G2945" s="87" t="str">
        <x:v>История</x:v>
      </x:c>
      <x:c r="H2945" s="87" t="n">
        <x:v>11</x:v>
      </x:c>
      <x:c r="I2945" s="87" t="str">
        <x:v>ТР №1</x:v>
      </x:c>
      <x:c r="J2945" s="87" t="str">
        <x:v>ИС2510102</x:v>
      </x:c>
      <x:c r="K2945" s="87" t="n">
        <x:v>8</x:v>
      </x:c>
      <x:c r="L2945" s="87" t="str">
        <x:v>Изображение Великой Отечественной войны</x:v>
      </x:c>
      <x:c r="M2945" s="30" t="str">
        <x:v>По медали определить словами год окончания посвящённой ей битвы.</x:v>
      </x:c>
      <x:c r="N2945" s="30" t="str">
        <x:v>сорок втором</x:v>
      </x:c>
      <x:c r="O2945" s="30" t="str">
        <x:v>Изображение связано с битвой, завершившейся в 1942 г.</x:v>
      </x:c>
      <x:c r="P2945" s="30" t="str">
        <x:v>Изображение связано с битвой, завершившейся в 1942 г.</x:v>
      </x:c>
      <x:c r="Q2945" s="30"/>
      <x:c r="R2945" s="30" t="str">
        <x:v>Архив пользователя: Zadanie_IS11_23092025.pdf; официальный критерий; https://hist-ege.sdamgia.ru/test?id=5257023&amp;print=true</x:v>
      </x:c>
      <x:c r="S2945" s="30"/>
      <x:c r="T2945" s="30"/>
      <x:c r="U2945" s="30" t="str">
        <x:v>Расхождений не обнаружено.</x:v>
      </x:c>
      <x:c r="V2945" s="87" t="str">
        <x:v>VERIFIED</x:v>
      </x:c>
      <x:c r="W2945" s="87" t="str">
        <x:v>Zadanie_IS11_23092025.pdf, стр. 19</x:v>
      </x:c>
      <x:c r="X2945" s="87"/>
      <x:c r="Y2945" s="87"/>
      <x:c r="Z2945" s="87"/>
      <x:c r="AA2945" s="87"/>
      <x:c r="AB2945" s="87"/>
      <x:c r="AC2945" s="87"/>
      <x:c r="AD2945" s="87"/>
      <x:c r="AE2945" s="87"/>
      <x:c r="AF2945" s="87"/>
      <x:c r="AG2945" s="87"/>
      <x:c r="AH2945" s="87"/>
      <x:c r="AI2945" s="30"/>
      <x:c r="AJ2945" s="87" t="str">
        <x:v>master</x:v>
      </x:c>
      <x:c r="AK2945" s="87" t="str">
        <x:v>master-v0.81</x:v>
      </x:c>
      <x:c r="AL2945" s="87" t="str">
        <x:v>statgrad_master_base_v0_81_final(2).xlsx</x:v>
      </x:c>
      <x:c r="AM2945" s="87" t="str">
        <x:v>HIST_Sep_V2</x:v>
      </x:c>
      <x:c r="AN2945" s="87" t="n">
        <x:v>9</x:v>
      </x:c>
    </x:row>
    <x:row r="2946">
      <x:c r="A2946" s="87" t="n">
        <x:v>2945</x:v>
      </x:c>
      <x:c r="B2946" s="87" t="str">
        <x:v>SEP-HIST-V2-009</x:v>
      </x:c>
      <x:c r="C2946" s="87" t="str">
        <x:v>СтатГрад</x:v>
      </x:c>
      <x:c r="D2946" s="87" t="str">
        <x:v>Сентябрь 2025</x:v>
      </x:c>
      <x:c r="E2946" s="87"/>
      <x:c r="F2946" s="87"/>
      <x:c r="G2946" s="87" t="str">
        <x:v>История</x:v>
      </x:c>
      <x:c r="H2946" s="87" t="n">
        <x:v>11</x:v>
      </x:c>
      <x:c r="I2946" s="87" t="str">
        <x:v>ТР №1</x:v>
      </x:c>
      <x:c r="J2946" s="87" t="str">
        <x:v>ИС2510102</x:v>
      </x:c>
      <x:c r="K2946" s="87" t="n">
        <x:v>9</x:v>
      </x:c>
      <x:c r="L2946" s="87" t="str">
        <x:v>Историческая схема</x:v>
      </x:c>
      <x:c r="M2946" s="30" t="str">
        <x:v>Назвать государство, территория которого обозначена цифрой 1 на схеме восстания Разина.</x:v>
      </x:c>
      <x:c r="N2946" s="30" t="str">
        <x:v>Крымское ханство</x:v>
      </x:c>
      <x:c r="O2946" s="30" t="str">
        <x:v>На юго-востоке схемы обозначено Крымское ханство.</x:v>
      </x:c>
      <x:c r="P2946" s="30" t="str">
        <x:v>На юго-востоке схемы обозначено Крымское ханство.</x:v>
      </x:c>
      <x:c r="Q2946" s="30"/>
      <x:c r="R2946" s="30" t="str">
        <x:v>Архив пользователя: Zadanie_IS11_23092025.pdf; официальный критерий; https://hist-ege.sdamgia.ru/test?id=5257023&amp;print=true</x:v>
      </x:c>
      <x:c r="S2946" s="30"/>
      <x:c r="T2946" s="30"/>
      <x:c r="U2946" s="30" t="str">
        <x:v>Расхождений не обнаружено.</x:v>
      </x:c>
      <x:c r="V2946" s="87" t="str">
        <x:v>VERIFIED</x:v>
      </x:c>
      <x:c r="W2946" s="87" t="str">
        <x:v>Zadanie_IS11_23092025.pdf, стр. 20</x:v>
      </x:c>
      <x:c r="X2946" s="87"/>
      <x:c r="Y2946" s="87"/>
      <x:c r="Z2946" s="87"/>
      <x:c r="AA2946" s="87"/>
      <x:c r="AB2946" s="87"/>
      <x:c r="AC2946" s="87"/>
      <x:c r="AD2946" s="87"/>
      <x:c r="AE2946" s="87"/>
      <x:c r="AF2946" s="87"/>
      <x:c r="AG2946" s="87"/>
      <x:c r="AH2946" s="87"/>
      <x:c r="AI2946" s="30"/>
      <x:c r="AJ2946" s="87" t="str">
        <x:v>master</x:v>
      </x:c>
      <x:c r="AK2946" s="87" t="str">
        <x:v>master-v0.81</x:v>
      </x:c>
      <x:c r="AL2946" s="87" t="str">
        <x:v>statgrad_master_base_v0_81_final(2).xlsx</x:v>
      </x:c>
      <x:c r="AM2946" s="87" t="str">
        <x:v>HIST_Sep_V2</x:v>
      </x:c>
      <x:c r="AN2946" s="87" t="n">
        <x:v>10</x:v>
      </x:c>
    </x:row>
    <x:row r="2947">
      <x:c r="A2947" s="87" t="n">
        <x:v>2946</x:v>
      </x:c>
      <x:c r="B2947" s="87" t="str">
        <x:v>SEP-HIST-V2-010</x:v>
      </x:c>
      <x:c r="C2947" s="87" t="str">
        <x:v>СтатГрад</x:v>
      </x:c>
      <x:c r="D2947" s="87" t="str">
        <x:v>Сентябрь 2025</x:v>
      </x:c>
      <x:c r="E2947" s="87"/>
      <x:c r="F2947" s="87"/>
      <x:c r="G2947" s="87" t="str">
        <x:v>История</x:v>
      </x:c>
      <x:c r="H2947" s="87" t="n">
        <x:v>11</x:v>
      </x:c>
      <x:c r="I2947" s="87" t="str">
        <x:v>ТР №1</x:v>
      </x:c>
      <x:c r="J2947" s="87" t="str">
        <x:v>ИС2510102</x:v>
      </x:c>
      <x:c r="K2947" s="87" t="n">
        <x:v>10</x:v>
      </x:c>
      <x:c r="L2947" s="87" t="str">
        <x:v>Историческая схема</x:v>
      </x:c>
      <x:c r="M2947" s="30" t="str">
        <x:v>Назвать войну, по итогам которой Россия присоединила территорию под цифрой 2.</x:v>
      </x:c>
      <x:c r="N2947" s="30" t="str">
        <x:v>Северная</x:v>
      </x:c>
      <x:c r="O2947" s="30" t="str">
        <x:v>Территория вошла в Россию по Ништадтскому миру после Северной войны. Фото-сводка ошибочно указывает «Столбовский».</x:v>
      </x:c>
      <x:c r="P2947" s="30" t="str">
        <x:v>Территория вошла в Россию по Ништадтскому миру после Северной войны. Фото-сводка ошибочно указывает «Столбовский».</x:v>
      </x:c>
      <x:c r="Q2947" s="30"/>
      <x:c r="R2947" s="30" t="str">
        <x:v>Архив пользователя: Zadanie_IS11_23092025.pdf; официальный критерий; https://hist-ege.sdamgia.ru/test?id=5257023&amp;print=true</x:v>
      </x:c>
      <x:c r="S2947" s="30"/>
      <x:c r="T2947" s="30"/>
      <x:c r="U2947" s="30" t="str">
        <x:v>Дополнительная фото-сводка ошибочно даёт «Столбовский»; официальный PDF, условие и карта подтверждают «Северная».</x:v>
      </x:c>
      <x:c r="V2947" s="87" t="str">
        <x:v>VERIFIED</x:v>
      </x:c>
      <x:c r="W2947" s="87" t="str">
        <x:v>Zadanie_IS11_23092025.pdf, стр. 20</x:v>
      </x:c>
      <x:c r="X2947" s="87"/>
      <x:c r="Y2947" s="87"/>
      <x:c r="Z2947" s="87"/>
      <x:c r="AA2947" s="87"/>
      <x:c r="AB2947" s="87"/>
      <x:c r="AC2947" s="87"/>
      <x:c r="AD2947" s="87"/>
      <x:c r="AE2947" s="87"/>
      <x:c r="AF2947" s="87"/>
      <x:c r="AG2947" s="87"/>
      <x:c r="AH2947" s="87"/>
      <x:c r="AI2947" s="30"/>
      <x:c r="AJ2947" s="87" t="str">
        <x:v>master</x:v>
      </x:c>
      <x:c r="AK2947" s="87" t="str">
        <x:v>master-v0.81</x:v>
      </x:c>
      <x:c r="AL2947" s="87" t="str">
        <x:v>statgrad_master_base_v0_81_final(2).xlsx</x:v>
      </x:c>
      <x:c r="AM2947" s="87" t="str">
        <x:v>HIST_Sep_V2</x:v>
      </x:c>
      <x:c r="AN2947" s="87" t="n">
        <x:v>11</x:v>
      </x:c>
    </x:row>
    <x:row r="2948">
      <x:c r="A2948" s="87" t="n">
        <x:v>2947</x:v>
      </x:c>
      <x:c r="B2948" s="87" t="str">
        <x:v>SEP-HIST-V2-011</x:v>
      </x:c>
      <x:c r="C2948" s="87" t="str">
        <x:v>СтатГрад</x:v>
      </x:c>
      <x:c r="D2948" s="87" t="str">
        <x:v>Сентябрь 2025</x:v>
      </x:c>
      <x:c r="E2948" s="87"/>
      <x:c r="F2948" s="87"/>
      <x:c r="G2948" s="87" t="str">
        <x:v>История</x:v>
      </x:c>
      <x:c r="H2948" s="87" t="n">
        <x:v>11</x:v>
      </x:c>
      <x:c r="I2948" s="87" t="str">
        <x:v>ТР №1</x:v>
      </x:c>
      <x:c r="J2948" s="87" t="str">
        <x:v>ИС2510102</x:v>
      </x:c>
      <x:c r="K2948" s="87" t="n">
        <x:v>11</x:v>
      </x:c>
      <x:c r="L2948" s="87" t="str">
        <x:v>Карта и текст</x:v>
      </x:c>
      <x:c r="M2948" s="30" t="str">
        <x:v>По маршруту отряда Максима Осипова назвать город на Суре.</x:v>
      </x:c>
      <x:c r="N2948" s="30" t="str">
        <x:v>Курмыш</x:v>
      </x:c>
      <x:c r="O2948" s="30" t="str">
        <x:v>После Алатыря отряд направился к Курмышу; город отмечен на схеме.</x:v>
      </x:c>
      <x:c r="P2948" s="30" t="str">
        <x:v>После Алатыря отряд направился к Курмышу; город отмечен на схеме.</x:v>
      </x:c>
      <x:c r="Q2948" s="30"/>
      <x:c r="R2948" s="30" t="str">
        <x:v>Архив пользователя: Zadanie_IS11_23092025.pdf; официальный критерий; https://hist-ege.sdamgia.ru/test?id=5257023&amp;print=true</x:v>
      </x:c>
      <x:c r="S2948" s="30"/>
      <x:c r="T2948" s="30"/>
      <x:c r="U2948" s="30" t="str">
        <x:v>Расхождений не обнаружено.</x:v>
      </x:c>
      <x:c r="V2948" s="87" t="str">
        <x:v>VERIFIED</x:v>
      </x:c>
      <x:c r="W2948" s="87" t="str">
        <x:v>Zadanie_IS11_23092025.pdf, стр. 21</x:v>
      </x:c>
      <x:c r="X2948" s="87"/>
      <x:c r="Y2948" s="87"/>
      <x:c r="Z2948" s="87"/>
      <x:c r="AA2948" s="87"/>
      <x:c r="AB2948" s="87"/>
      <x:c r="AC2948" s="87"/>
      <x:c r="AD2948" s="87"/>
      <x:c r="AE2948" s="87"/>
      <x:c r="AF2948" s="87"/>
      <x:c r="AG2948" s="87"/>
      <x:c r="AH2948" s="87"/>
      <x:c r="AI2948" s="30"/>
      <x:c r="AJ2948" s="87" t="str">
        <x:v>master</x:v>
      </x:c>
      <x:c r="AK2948" s="87" t="str">
        <x:v>master-v0.81</x:v>
      </x:c>
      <x:c r="AL2948" s="87" t="str">
        <x:v>statgrad_master_base_v0_81_final(2).xlsx</x:v>
      </x:c>
      <x:c r="AM2948" s="87" t="str">
        <x:v>HIST_Sep_V2</x:v>
      </x:c>
      <x:c r="AN2948" s="87" t="n">
        <x:v>12</x:v>
      </x:c>
    </x:row>
    <x:row r="2949">
      <x:c r="A2949" s="87" t="n">
        <x:v>2948</x:v>
      </x:c>
      <x:c r="B2949" s="87" t="str">
        <x:v>SEP-HIST-V2-012</x:v>
      </x:c>
      <x:c r="C2949" s="87" t="str">
        <x:v>СтатГрад</x:v>
      </x:c>
      <x:c r="D2949" s="87" t="str">
        <x:v>Сентябрь 2025</x:v>
      </x:c>
      <x:c r="E2949" s="87"/>
      <x:c r="F2949" s="87"/>
      <x:c r="G2949" s="87" t="str">
        <x:v>История</x:v>
      </x:c>
      <x:c r="H2949" s="87" t="n">
        <x:v>11</x:v>
      </x:c>
      <x:c r="I2949" s="87" t="str">
        <x:v>ТР №1</x:v>
      </x:c>
      <x:c r="J2949" s="87" t="str">
        <x:v>ИС2510102</x:v>
      </x:c>
      <x:c r="K2949" s="87" t="n">
        <x:v>12</x:v>
      </x:c>
      <x:c r="L2949" s="87" t="str">
        <x:v>Суждения по карте</x:v>
      </x:c>
      <x:c r="M2949" s="30" t="str">
        <x:v>Выбрать верные утверждения по схеме восстания Степана Разина.</x:v>
      </x:c>
      <x:c r="N2949" s="30" t="str">
        <x:v>345</x:v>
      </x:c>
      <x:c r="O2949" s="30" t="str">
        <x:v>Верны положения о Царицыне, присоединении Казани при Иване IV и Вечном мире с Речью Посполитой.</x:v>
      </x:c>
      <x:c r="P2949" s="30" t="str">
        <x:v>Верны положения о Царицыне, присоединении Казани при Иване IV и Вечном мире с Речью Посполитой.</x:v>
      </x:c>
      <x:c r="Q2949" s="30"/>
      <x:c r="R2949" s="30" t="str">
        <x:v>Архив пользователя: Zadanie_IS11_23092025.pdf; официальный критерий; https://hist-ege.sdamgia.ru/test?id=5257023&amp;print=true</x:v>
      </x:c>
      <x:c r="S2949" s="30"/>
      <x:c r="T2949" s="30"/>
      <x:c r="U2949" s="30" t="str">
        <x:v>Расхождений не обнаружено.</x:v>
      </x:c>
      <x:c r="V2949" s="87" t="str">
        <x:v>VERIFIED</x:v>
      </x:c>
      <x:c r="W2949" s="87" t="str">
        <x:v>Zadanie_IS11_23092025.pdf, стр. 21</x:v>
      </x:c>
      <x:c r="X2949" s="87"/>
      <x:c r="Y2949" s="87"/>
      <x:c r="Z2949" s="87"/>
      <x:c r="AA2949" s="87"/>
      <x:c r="AB2949" s="87"/>
      <x:c r="AC2949" s="87"/>
      <x:c r="AD2949" s="87"/>
      <x:c r="AE2949" s="87"/>
      <x:c r="AF2949" s="87"/>
      <x:c r="AG2949" s="87"/>
      <x:c r="AH2949" s="87"/>
      <x:c r="AI2949" s="30"/>
      <x:c r="AJ2949" s="87" t="str">
        <x:v>master</x:v>
      </x:c>
      <x:c r="AK2949" s="87" t="str">
        <x:v>master-v0.81</x:v>
      </x:c>
      <x:c r="AL2949" s="87" t="str">
        <x:v>statgrad_master_base_v0_81_final(2).xlsx</x:v>
      </x:c>
      <x:c r="AM2949" s="87" t="str">
        <x:v>HIST_Sep_V2</x:v>
      </x:c>
      <x:c r="AN2949" s="87" t="n">
        <x:v>13</x:v>
      </x:c>
    </x:row>
    <x:row r="2950">
      <x:c r="A2950" s="87" t="n">
        <x:v>2949</x:v>
      </x:c>
      <x:c r="B2950" s="87" t="str">
        <x:v>SEP-HIST-V2-013</x:v>
      </x:c>
      <x:c r="C2950" s="87" t="str">
        <x:v>СтатГрад</x:v>
      </x:c>
      <x:c r="D2950" s="87" t="str">
        <x:v>Сентябрь 2025</x:v>
      </x:c>
      <x:c r="E2950" s="87"/>
      <x:c r="F2950" s="87"/>
      <x:c r="G2950" s="87" t="str">
        <x:v>История</x:v>
      </x:c>
      <x:c r="H2950" s="87" t="n">
        <x:v>11</x:v>
      </x:c>
      <x:c r="I2950" s="87" t="str">
        <x:v>ТР №1</x:v>
      </x:c>
      <x:c r="J2950" s="87" t="str">
        <x:v>ИС2510102</x:v>
      </x:c>
      <x:c r="K2950" s="87" t="n">
        <x:v>13</x:v>
      </x:c>
      <x:c r="L2950" s="87" t="str">
        <x:v>Атрибуция письменного источника</x:v>
      </x:c>
      <x:c r="M2950" s="30" t="str">
        <x:v>По воспоминаниям Р. С. Эдлинг назвать государя, год событий и мирный договор.</x:v>
      </x:c>
      <x:c r="N2950" s="30" t="str">
        <x:v>Александр I; 1812; Бухарестский мир</x:v>
      </x:c>
      <x:c r="O2950" s="30" t="str">
        <x:v>Упоминания русско-турецкой войны, Барклая и назначения Кутузова относятся к 1812 г.</x:v>
      </x:c>
      <x:c r="P2950" s="30" t="str">
        <x:v>Упоминания русско-турецкой войны, Барклая и назначения Кутузова относятся к 1812 г.</x:v>
      </x:c>
      <x:c r="Q2950" s="30"/>
      <x:c r="R2950" s="30" t="str">
        <x:v>Архив пользователя: Zadanie_IS11_23092025.pdf; официальный критерий; https://hist-ege.sdamgia.ru/test?id=5257023&amp;print=true</x:v>
      </x:c>
      <x:c r="S2950" s="30"/>
      <x:c r="T2950" s="30"/>
      <x:c r="U2950" s="30" t="str">
        <x:v>Расхождений не обнаружено.</x:v>
      </x:c>
      <x:c r="V2950" s="87" t="str">
        <x:v>VERIFIED</x:v>
      </x:c>
      <x:c r="W2950" s="87" t="str">
        <x:v>Zadanie_IS11_23092025.pdf, стр. 23</x:v>
      </x:c>
      <x:c r="X2950" s="87"/>
      <x:c r="Y2950" s="87"/>
      <x:c r="Z2950" s="87"/>
      <x:c r="AA2950" s="87"/>
      <x:c r="AB2950" s="87"/>
      <x:c r="AC2950" s="87"/>
      <x:c r="AD2950" s="87"/>
      <x:c r="AE2950" s="87"/>
      <x:c r="AF2950" s="87"/>
      <x:c r="AG2950" s="87"/>
      <x:c r="AH2950" s="87"/>
      <x:c r="AI2950" s="30"/>
      <x:c r="AJ2950" s="87" t="str">
        <x:v>master</x:v>
      </x:c>
      <x:c r="AK2950" s="87" t="str">
        <x:v>master-v0.81</x:v>
      </x:c>
      <x:c r="AL2950" s="87" t="str">
        <x:v>statgrad_master_base_v0_81_final(2).xlsx</x:v>
      </x:c>
      <x:c r="AM2950" s="87" t="str">
        <x:v>HIST_Sep_V2</x:v>
      </x:c>
      <x:c r="AN2950" s="87" t="n">
        <x:v>14</x:v>
      </x:c>
    </x:row>
    <x:row r="2951">
      <x:c r="A2951" s="87" t="n">
        <x:v>2950</x:v>
      </x:c>
      <x:c r="B2951" s="87" t="str">
        <x:v>SEP-HIST-V2-014</x:v>
      </x:c>
      <x:c r="C2951" s="87" t="str">
        <x:v>СтатГрад</x:v>
      </x:c>
      <x:c r="D2951" s="87" t="str">
        <x:v>Сентябрь 2025</x:v>
      </x:c>
      <x:c r="E2951" s="87"/>
      <x:c r="F2951" s="87"/>
      <x:c r="G2951" s="87" t="str">
        <x:v>История</x:v>
      </x:c>
      <x:c r="H2951" s="87" t="n">
        <x:v>11</x:v>
      </x:c>
      <x:c r="I2951" s="87" t="str">
        <x:v>ТР №1</x:v>
      </x:c>
      <x:c r="J2951" s="87" t="str">
        <x:v>ИС2510102</x:v>
      </x:c>
      <x:c r="K2951" s="87" t="n">
        <x:v>14</x:v>
      </x:c>
      <x:c r="L2951" s="87" t="str">
        <x:v>Поиск информации в источнике</x:v>
      </x:c>
      <x:c r="M2951" s="30" t="str">
        <x:v>Назвать причину затягивания мира, причину осуждения государя войсками и обещание Кутузова.</x:v>
      </x:c>
      <x:c r="N2951" s="30" t="str">
        <x:v>Кутузов затягивал мир, опасаясь остаться без должности; государя осуждали за доверие Барклаю с иностранным именем; Кутузов обещал скорее погибнуть, чем допустить врага к Москве.</x:v>
      </x:c>
      <x:c r="O2951" s="30" t="str">
        <x:v>Три положения непосредственно следуют из воспоминаний.</x:v>
      </x:c>
      <x:c r="P2951" s="30" t="str">
        <x:v>Три положения непосредственно следуют из воспоминаний.</x:v>
      </x:c>
      <x:c r="Q2951" s="30"/>
      <x:c r="R2951" s="30" t="str">
        <x:v>Архив пользователя: Zadanie_IS11_23092025.pdf; официальный критерий; https://hist-ege.sdamgia.ru/test?id=5257023&amp;print=true</x:v>
      </x:c>
      <x:c r="S2951" s="30"/>
      <x:c r="T2951" s="30"/>
      <x:c r="U2951" s="30" t="str">
        <x:v>Расхождений не обнаружено.</x:v>
      </x:c>
      <x:c r="V2951" s="87" t="str">
        <x:v>VERIFIED</x:v>
      </x:c>
      <x:c r="W2951" s="87" t="str">
        <x:v>Zadanie_IS11_23092025.pdf, стр. 23</x:v>
      </x:c>
      <x:c r="X2951" s="87"/>
      <x:c r="Y2951" s="87"/>
      <x:c r="Z2951" s="87"/>
      <x:c r="AA2951" s="87"/>
      <x:c r="AB2951" s="87"/>
      <x:c r="AC2951" s="87"/>
      <x:c r="AD2951" s="87"/>
      <x:c r="AE2951" s="87"/>
      <x:c r="AF2951" s="87"/>
      <x:c r="AG2951" s="87"/>
      <x:c r="AH2951" s="87"/>
      <x:c r="AI2951" s="30"/>
      <x:c r="AJ2951" s="87" t="str">
        <x:v>master</x:v>
      </x:c>
      <x:c r="AK2951" s="87" t="str">
        <x:v>master-v0.81</x:v>
      </x:c>
      <x:c r="AL2951" s="87" t="str">
        <x:v>statgrad_master_base_v0_81_final(2).xlsx</x:v>
      </x:c>
      <x:c r="AM2951" s="87" t="str">
        <x:v>HIST_Sep_V2</x:v>
      </x:c>
      <x:c r="AN2951" s="87" t="n">
        <x:v>15</x:v>
      </x:c>
    </x:row>
    <x:row r="2952">
      <x:c r="A2952" s="87" t="n">
        <x:v>2951</x:v>
      </x:c>
      <x:c r="B2952" s="87" t="str">
        <x:v>SEP-HIST-V2-015</x:v>
      </x:c>
      <x:c r="C2952" s="87" t="str">
        <x:v>СтатГрад</x:v>
      </x:c>
      <x:c r="D2952" s="87" t="str">
        <x:v>Сентябрь 2025</x:v>
      </x:c>
      <x:c r="E2952" s="87"/>
      <x:c r="F2952" s="87"/>
      <x:c r="G2952" s="87" t="str">
        <x:v>История</x:v>
      </x:c>
      <x:c r="H2952" s="87" t="n">
        <x:v>11</x:v>
      </x:c>
      <x:c r="I2952" s="87" t="str">
        <x:v>ТР №1</x:v>
      </x:c>
      <x:c r="J2952" s="87" t="str">
        <x:v>ИС2510102</x:v>
      </x:c>
      <x:c r="K2952" s="87" t="n">
        <x:v>15</x:v>
      </x:c>
      <x:c r="L2952" s="87" t="str">
        <x:v>Марка и датировка</x:v>
      </x:c>
      <x:c r="M2952" s="30" t="str">
        <x:v>Назвать государя, при котором основан город на юбилейной марке, и обосновать.</x:v>
      </x:c>
      <x:c r="N2952" s="30" t="str">
        <x:v>Алексей Михайлович; 2003−350=1653</x:v>
      </x:c>
      <x:c r="O2952" s="30" t="str">
        <x:v>Город основан в 1653 г., в царствование Алексея Михайловича.</x:v>
      </x:c>
      <x:c r="P2952" s="30" t="str">
        <x:v>Город основан в 1653 г., в царствование Алексея Михайловича.</x:v>
      </x:c>
      <x:c r="Q2952" s="30"/>
      <x:c r="R2952" s="30" t="str">
        <x:v>Архив пользователя: Zadanie_IS11_23092025.pdf; официальный критерий; https://hist-ege.sdamgia.ru/test?id=5257023&amp;print=true</x:v>
      </x:c>
      <x:c r="S2952" s="30"/>
      <x:c r="T2952" s="30"/>
      <x:c r="U2952" s="30" t="str">
        <x:v>Расхождений не обнаружено.</x:v>
      </x:c>
      <x:c r="V2952" s="87" t="str">
        <x:v>VERIFIED</x:v>
      </x:c>
      <x:c r="W2952" s="87" t="str">
        <x:v>Zadanie_IS11_23092025.pdf, стр. 23</x:v>
      </x:c>
      <x:c r="X2952" s="87"/>
      <x:c r="Y2952" s="87"/>
      <x:c r="Z2952" s="87"/>
      <x:c r="AA2952" s="87"/>
      <x:c r="AB2952" s="87"/>
      <x:c r="AC2952" s="87"/>
      <x:c r="AD2952" s="87"/>
      <x:c r="AE2952" s="87"/>
      <x:c r="AF2952" s="87"/>
      <x:c r="AG2952" s="87"/>
      <x:c r="AH2952" s="87"/>
      <x:c r="AI2952" s="30"/>
      <x:c r="AJ2952" s="87" t="str">
        <x:v>master</x:v>
      </x:c>
      <x:c r="AK2952" s="87" t="str">
        <x:v>master-v0.81</x:v>
      </x:c>
      <x:c r="AL2952" s="87" t="str">
        <x:v>statgrad_master_base_v0_81_final(2).xlsx</x:v>
      </x:c>
      <x:c r="AM2952" s="87" t="str">
        <x:v>HIST_Sep_V2</x:v>
      </x:c>
      <x:c r="AN2952" s="87" t="n">
        <x:v>16</x:v>
      </x:c>
    </x:row>
    <x:row r="2953">
      <x:c r="A2953" s="87" t="n">
        <x:v>2952</x:v>
      </x:c>
      <x:c r="B2953" s="87" t="str">
        <x:v>SEP-HIST-V2-016</x:v>
      </x:c>
      <x:c r="C2953" s="87" t="str">
        <x:v>СтатГрад</x:v>
      </x:c>
      <x:c r="D2953" s="87" t="str">
        <x:v>Сентябрь 2025</x:v>
      </x:c>
      <x:c r="E2953" s="87"/>
      <x:c r="F2953" s="87"/>
      <x:c r="G2953" s="87" t="str">
        <x:v>История</x:v>
      </x:c>
      <x:c r="H2953" s="87" t="n">
        <x:v>11</x:v>
      </x:c>
      <x:c r="I2953" s="87" t="str">
        <x:v>ТР №1</x:v>
      </x:c>
      <x:c r="J2953" s="87" t="str">
        <x:v>ИС2510102</x:v>
      </x:c>
      <x:c r="K2953" s="87" t="n">
        <x:v>16</x:v>
      </x:c>
      <x:c r="L2953" s="87" t="str">
        <x:v>Архитектура по изображению</x:v>
      </x:c>
      <x:c r="M2953" s="30" t="str">
        <x:v>Выбрать памятник, строительство которого началось в царствование Алексея Михайловича, и назвать инициатора.</x:v>
      </x:c>
      <x:c r="N2953" s="30" t="str">
        <x:v>1; патриарх Никон</x:v>
      </x:c>
      <x:c r="O2953" s="30" t="str">
        <x:v>Памятник №1 связан со строительной деятельностью патриарха Никона.</x:v>
      </x:c>
      <x:c r="P2953" s="30" t="str">
        <x:v>Памятник №1 связан со строительной деятельностью патриарха Никона.</x:v>
      </x:c>
      <x:c r="Q2953" s="30"/>
      <x:c r="R2953" s="30" t="str">
        <x:v>Архив пользователя: Zadanie_IS11_23092025.pdf; официальный критерий; https://hist-ege.sdamgia.ru/test?id=5257023&amp;print=true</x:v>
      </x:c>
      <x:c r="S2953" s="30"/>
      <x:c r="T2953" s="30"/>
      <x:c r="U2953" s="30" t="str">
        <x:v>Расхождений не обнаружено.</x:v>
      </x:c>
      <x:c r="V2953" s="87" t="str">
        <x:v>VERIFIED</x:v>
      </x:c>
      <x:c r="W2953" s="87" t="str">
        <x:v>Zadanie_IS11_23092025.pdf, стр. 24</x:v>
      </x:c>
      <x:c r="X2953" s="87"/>
      <x:c r="Y2953" s="87"/>
      <x:c r="Z2953" s="87"/>
      <x:c r="AA2953" s="87"/>
      <x:c r="AB2953" s="87"/>
      <x:c r="AC2953" s="87"/>
      <x:c r="AD2953" s="87"/>
      <x:c r="AE2953" s="87"/>
      <x:c r="AF2953" s="87"/>
      <x:c r="AG2953" s="87"/>
      <x:c r="AH2953" s="87"/>
      <x:c r="AI2953" s="30"/>
      <x:c r="AJ2953" s="87" t="str">
        <x:v>master</x:v>
      </x:c>
      <x:c r="AK2953" s="87" t="str">
        <x:v>master-v0.81</x:v>
      </x:c>
      <x:c r="AL2953" s="87" t="str">
        <x:v>statgrad_master_base_v0_81_final(2).xlsx</x:v>
      </x:c>
      <x:c r="AM2953" s="87" t="str">
        <x:v>HIST_Sep_V2</x:v>
      </x:c>
      <x:c r="AN2953" s="87" t="n">
        <x:v>17</x:v>
      </x:c>
    </x:row>
    <x:row r="2954">
      <x:c r="A2954" s="87" t="n">
        <x:v>2953</x:v>
      </x:c>
      <x:c r="B2954" s="87" t="str">
        <x:v>SEP-HIST-V2-017</x:v>
      </x:c>
      <x:c r="C2954" s="87" t="str">
        <x:v>СтатГрад</x:v>
      </x:c>
      <x:c r="D2954" s="87" t="str">
        <x:v>Сентябрь 2025</x:v>
      </x:c>
      <x:c r="E2954" s="87"/>
      <x:c r="F2954" s="87"/>
      <x:c r="G2954" s="87" t="str">
        <x:v>История</x:v>
      </x:c>
      <x:c r="H2954" s="87" t="n">
        <x:v>11</x:v>
      </x:c>
      <x:c r="I2954" s="87" t="str">
        <x:v>ТР №1</x:v>
      </x:c>
      <x:c r="J2954" s="87" t="str">
        <x:v>ИС2510102</x:v>
      </x:c>
      <x:c r="K2954" s="87" t="n">
        <x:v>17</x:v>
      </x:c>
      <x:c r="L2954" s="87" t="str">
        <x:v>Анализ источников о Великой Отечественной войне</x:v>
      </x:c>
      <x:c r="M2954" s="30" t="str">
        <x:v>Назвать год, любую стратегическую операцию этого года и фактор, осложнявший положение немцев в Белоруссии.</x:v>
      </x:c>
      <x:c r="N2954" s="30" t="str">
        <x:v>1944; например, «Багратион»; 150-тысячная армия партизан и подпольщиков контролировала значительные территории</x:v>
      </x:c>
      <x:c r="O2954" s="30" t="str">
        <x:v>Описаны освобождение Белоруссии, Вильнюса и Каунаса в 1944 г.; также допустим «Январский гром».</x:v>
      </x:c>
      <x:c r="P2954" s="30" t="str">
        <x:v>Описаны освобождение Белоруссии, Вильнюса и Каунаса в 1944 г.; также допустим «Январский гром».</x:v>
      </x:c>
      <x:c r="Q2954" s="30"/>
      <x:c r="R2954" s="30" t="str">
        <x:v>Архив пользователя: Zadanie_IS11_23092025.pdf; официальный критерий; https://hist-ege.sdamgia.ru/test?id=5257023&amp;print=true</x:v>
      </x:c>
      <x:c r="S2954" s="30"/>
      <x:c r="T2954" s="30"/>
      <x:c r="U2954" s="30" t="str">
        <x:v>Расхождений не обнаружено.</x:v>
      </x:c>
      <x:c r="V2954" s="87" t="str">
        <x:v>VERIFIED</x:v>
      </x:c>
      <x:c r="W2954" s="87" t="str">
        <x:v>Zadanie_IS11_23092025.pdf, стр. 25</x:v>
      </x:c>
      <x:c r="X2954" s="87"/>
      <x:c r="Y2954" s="87"/>
      <x:c r="Z2954" s="87"/>
      <x:c r="AA2954" s="87"/>
      <x:c r="AB2954" s="87"/>
      <x:c r="AC2954" s="87"/>
      <x:c r="AD2954" s="87"/>
      <x:c r="AE2954" s="87"/>
      <x:c r="AF2954" s="87"/>
      <x:c r="AG2954" s="87"/>
      <x:c r="AH2954" s="87"/>
      <x:c r="AI2954" s="30"/>
      <x:c r="AJ2954" s="87" t="str">
        <x:v>master</x:v>
      </x:c>
      <x:c r="AK2954" s="87" t="str">
        <x:v>master-v0.81</x:v>
      </x:c>
      <x:c r="AL2954" s="87" t="str">
        <x:v>statgrad_master_base_v0_81_final(2).xlsx</x:v>
      </x:c>
      <x:c r="AM2954" s="87" t="str">
        <x:v>HIST_Sep_V2</x:v>
      </x:c>
      <x:c r="AN2954" s="87" t="n">
        <x:v>18</x:v>
      </x:c>
    </x:row>
    <x:row r="2955">
      <x:c r="A2955" s="87" t="n">
        <x:v>2954</x:v>
      </x:c>
      <x:c r="B2955" s="87" t="str">
        <x:v>SEP-HIST-V2-018</x:v>
      </x:c>
      <x:c r="C2955" s="87" t="str">
        <x:v>СтатГрад</x:v>
      </x:c>
      <x:c r="D2955" s="87" t="str">
        <x:v>Сентябрь 2025</x:v>
      </x:c>
      <x:c r="E2955" s="87"/>
      <x:c r="F2955" s="87"/>
      <x:c r="G2955" s="87" t="str">
        <x:v>История</x:v>
      </x:c>
      <x:c r="H2955" s="87" t="n">
        <x:v>11</x:v>
      </x:c>
      <x:c r="I2955" s="87" t="str">
        <x:v>ТР №1</x:v>
      </x:c>
      <x:c r="J2955" s="87" t="str">
        <x:v>ИС2510102</x:v>
      </x:c>
      <x:c r="K2955" s="87" t="n">
        <x:v>18</x:v>
      </x:c>
      <x:c r="L2955" s="87" t="str">
        <x:v>Причинно-следственные связи: реформы 1992 года</x:v>
      </x:c>
      <x:c r="M2955" s="30" t="str">
        <x:v>Назвать экономическую причину либерализации цен, социальное и политическое последствия.</x:v>
      </x:c>
      <x:c r="N2955" s="30" t="str">
        <x:v>Дефицит и несоответствие фиксированных цен затратам; резкое обнищание населения из-за скачка цен; усиление конфликта Верховного Совета с правительством и Президентом.</x:v>
      </x:c>
      <x:c r="O2955" s="30" t="str">
        <x:v>Три элемента соответствуют ходу реформ Е. Т. Гайдара.</x:v>
      </x:c>
      <x:c r="P2955" s="30" t="str">
        <x:v>Три элемента соответствуют ходу реформ Е. Т. Гайдара.</x:v>
      </x:c>
      <x:c r="Q2955" s="30"/>
      <x:c r="R2955" s="30" t="str">
        <x:v>Архив пользователя: Zadanie_IS11_23092025.pdf; официальный критерий; https://hist-ege.sdamgia.ru/test?id=5257023&amp;print=true</x:v>
      </x:c>
      <x:c r="S2955" s="30"/>
      <x:c r="T2955" s="30"/>
      <x:c r="U2955" s="30" t="str">
        <x:v>Расхождений не обнаружено.</x:v>
      </x:c>
      <x:c r="V2955" s="87" t="str">
        <x:v>VERIFIED</x:v>
      </x:c>
      <x:c r="W2955" s="87" t="str">
        <x:v>Zadanie_IS11_23092025.pdf, стр. 26</x:v>
      </x:c>
      <x:c r="X2955" s="87"/>
      <x:c r="Y2955" s="87"/>
      <x:c r="Z2955" s="87"/>
      <x:c r="AA2955" s="87"/>
      <x:c r="AB2955" s="87"/>
      <x:c r="AC2955" s="87"/>
      <x:c r="AD2955" s="87"/>
      <x:c r="AE2955" s="87"/>
      <x:c r="AF2955" s="87"/>
      <x:c r="AG2955" s="87"/>
      <x:c r="AH2955" s="87"/>
      <x:c r="AI2955" s="30"/>
      <x:c r="AJ2955" s="87" t="str">
        <x:v>master</x:v>
      </x:c>
      <x:c r="AK2955" s="87" t="str">
        <x:v>master-v0.81</x:v>
      </x:c>
      <x:c r="AL2955" s="87" t="str">
        <x:v>statgrad_master_base_v0_81_final(2).xlsx</x:v>
      </x:c>
      <x:c r="AM2955" s="87" t="str">
        <x:v>HIST_Sep_V2</x:v>
      </x:c>
      <x:c r="AN2955" s="87" t="n">
        <x:v>19</x:v>
      </x:c>
    </x:row>
    <x:row r="2956">
      <x:c r="A2956" s="87" t="n">
        <x:v>2955</x:v>
      </x:c>
      <x:c r="B2956" s="87" t="str">
        <x:v>SEP-HIST-V2-019</x:v>
      </x:c>
      <x:c r="C2956" s="87" t="str">
        <x:v>СтатГрад</x:v>
      </x:c>
      <x:c r="D2956" s="87" t="str">
        <x:v>Сентябрь 2025</x:v>
      </x:c>
      <x:c r="E2956" s="87"/>
      <x:c r="F2956" s="87"/>
      <x:c r="G2956" s="87" t="str">
        <x:v>История</x:v>
      </x:c>
      <x:c r="H2956" s="87" t="n">
        <x:v>11</x:v>
      </x:c>
      <x:c r="I2956" s="87" t="str">
        <x:v>ТР №1</x:v>
      </x:c>
      <x:c r="J2956" s="87" t="str">
        <x:v>ИС2510102</x:v>
      </x:c>
      <x:c r="K2956" s="87" t="n">
        <x:v>19</x:v>
      </x:c>
      <x:c r="L2956" s="87" t="str">
        <x:v>Историческое понятие</x:v>
      </x:c>
      <x:c r="M2956" s="30" t="str">
        <x:v>Раскрыть понятие «мануфактура» и привести отдельный факт.</x:v>
      </x:c>
      <x:c r="N2956" s="30" t="str">
        <x:v>Предприятие с разделением труда и ручной техникой; например, первой российской мануфактурой считают Пушечный двор или завод А. Виниуса под Тулой.</x:v>
      </x:c>
      <x:c r="O2956" s="30" t="str">
        <x:v>Определение и факт разделены.</x:v>
      </x:c>
      <x:c r="P2956" s="30" t="str">
        <x:v>Определение и факт разделены.</x:v>
      </x:c>
      <x:c r="Q2956" s="30"/>
      <x:c r="R2956" s="30" t="str">
        <x:v>Архив пользователя: Zadanie_IS11_23092025.pdf; официальный критерий; https://hist-ege.sdamgia.ru/test?id=5257023&amp;print=true</x:v>
      </x:c>
      <x:c r="S2956" s="30"/>
      <x:c r="T2956" s="30"/>
      <x:c r="U2956" s="30" t="str">
        <x:v>Расхождений не обнаружено.</x:v>
      </x:c>
      <x:c r="V2956" s="87" t="str">
        <x:v>VERIFIED</x:v>
      </x:c>
      <x:c r="W2956" s="87" t="str">
        <x:v>Zadanie_IS11_23092025.pdf, стр. 26</x:v>
      </x:c>
      <x:c r="X2956" s="87"/>
      <x:c r="Y2956" s="87"/>
      <x:c r="Z2956" s="87"/>
      <x:c r="AA2956" s="87"/>
      <x:c r="AB2956" s="87"/>
      <x:c r="AC2956" s="87"/>
      <x:c r="AD2956" s="87"/>
      <x:c r="AE2956" s="87"/>
      <x:c r="AF2956" s="87"/>
      <x:c r="AG2956" s="87"/>
      <x:c r="AH2956" s="87"/>
      <x:c r="AI2956" s="30"/>
      <x:c r="AJ2956" s="87" t="str">
        <x:v>master</x:v>
      </x:c>
      <x:c r="AK2956" s="87" t="str">
        <x:v>master-v0.81</x:v>
      </x:c>
      <x:c r="AL2956" s="87" t="str">
        <x:v>statgrad_master_base_v0_81_final(2).xlsx</x:v>
      </x:c>
      <x:c r="AM2956" s="87" t="str">
        <x:v>HIST_Sep_V2</x:v>
      </x:c>
      <x:c r="AN2956" s="87" t="n">
        <x:v>20</x:v>
      </x:c>
    </x:row>
    <x:row r="2957">
      <x:c r="A2957" s="87" t="n">
        <x:v>2956</x:v>
      </x:c>
      <x:c r="B2957" s="87" t="str">
        <x:v>SEP-HIST-V2-020</x:v>
      </x:c>
      <x:c r="C2957" s="87" t="str">
        <x:v>СтатГрад</x:v>
      </x:c>
      <x:c r="D2957" s="87" t="str">
        <x:v>Сентябрь 2025</x:v>
      </x:c>
      <x:c r="E2957" s="87"/>
      <x:c r="F2957" s="87"/>
      <x:c r="G2957" s="87" t="str">
        <x:v>История</x:v>
      </x:c>
      <x:c r="H2957" s="87" t="n">
        <x:v>11</x:v>
      </x:c>
      <x:c r="I2957" s="87" t="str">
        <x:v>ТР №1</x:v>
      </x:c>
      <x:c r="J2957" s="87" t="str">
        <x:v>ИС2510102</x:v>
      </x:c>
      <x:c r="K2957" s="87" t="n">
        <x:v>20</x:v>
      </x:c>
      <x:c r="L2957" s="87" t="str">
        <x:v>Сравнение социальной системы</x:v>
      </x:c>
      <x:c r="M2957" s="30" t="str">
        <x:v>Сформулировать различие социальной системы первой половины XVIII и первой половины XIX в. и дать два парных обоснования.</x:v>
      </x:c>
      <x:c r="N2957" s="30" t="str">
        <x:v>К XIX в. сословная организация стала чётче: после Жалованной грамоты городам оформилось мещанство; удельные и государственные крестьяне получили законодательно оформленное самоуправление, которого в начале XVIII в. не было.</x:v>
      </x:c>
      <x:c r="O2957" s="30" t="str">
        <x:v>Два обоснования сопоставляют конкретные социальные группы обоих периодов.</x:v>
      </x:c>
      <x:c r="P2957" s="30" t="str">
        <x:v>Два обоснования сопоставляют конкретные социальные группы обоих периодов.</x:v>
      </x:c>
      <x:c r="Q2957" s="30"/>
      <x:c r="R2957" s="30" t="str">
        <x:v>Архив пользователя: Zadanie_IS11_23092025.pdf; официальный критерий; https://hist-ege.sdamgia.ru/test?id=5257023&amp;print=true</x:v>
      </x:c>
      <x:c r="S2957" s="30"/>
      <x:c r="T2957" s="30"/>
      <x:c r="U2957" s="30" t="str">
        <x:v>Расхождений не обнаружено.</x:v>
      </x:c>
      <x:c r="V2957" s="87" t="str">
        <x:v>VERIFIED</x:v>
      </x:c>
      <x:c r="W2957" s="87" t="str">
        <x:v>Zadanie_IS11_23092025.pdf, стр. 26</x:v>
      </x:c>
      <x:c r="X2957" s="87"/>
      <x:c r="Y2957" s="87"/>
      <x:c r="Z2957" s="87"/>
      <x:c r="AA2957" s="87"/>
      <x:c r="AB2957" s="87"/>
      <x:c r="AC2957" s="87"/>
      <x:c r="AD2957" s="87"/>
      <x:c r="AE2957" s="87"/>
      <x:c r="AF2957" s="87"/>
      <x:c r="AG2957" s="87"/>
      <x:c r="AH2957" s="87"/>
      <x:c r="AI2957" s="30"/>
      <x:c r="AJ2957" s="87" t="str">
        <x:v>master</x:v>
      </x:c>
      <x:c r="AK2957" s="87" t="str">
        <x:v>master-v0.81</x:v>
      </x:c>
      <x:c r="AL2957" s="87" t="str">
        <x:v>statgrad_master_base_v0_81_final(2).xlsx</x:v>
      </x:c>
      <x:c r="AM2957" s="87" t="str">
        <x:v>HIST_Sep_V2</x:v>
      </x:c>
      <x:c r="AN2957" s="87" t="n">
        <x:v>21</x:v>
      </x:c>
    </x:row>
    <x:row r="2958">
      <x:c r="A2958" s="87" t="n">
        <x:v>2957</x:v>
      </x:c>
      <x:c r="B2958" s="87" t="str">
        <x:v>SEP-HIST-V2-021</x:v>
      </x:c>
      <x:c r="C2958" s="87" t="str">
        <x:v>СтатГрад</x:v>
      </x:c>
      <x:c r="D2958" s="87" t="str">
        <x:v>Сентябрь 2025</x:v>
      </x:c>
      <x:c r="E2958" s="87"/>
      <x:c r="F2958" s="87"/>
      <x:c r="G2958" s="87" t="str">
        <x:v>История</x:v>
      </x:c>
      <x:c r="H2958" s="87" t="n">
        <x:v>11</x:v>
      </x:c>
      <x:c r="I2958" s="87" t="str">
        <x:v>ТР №1</x:v>
      </x:c>
      <x:c r="J2958" s="87" t="str">
        <x:v>ИС2510102</x:v>
      </x:c>
      <x:c r="K2958" s="87" t="n">
        <x:v>21</x:v>
      </x:c>
      <x:c r="L2958" s="87" t="str">
        <x:v>Историческая аргументация</x:v>
      </x:c>
      <x:c r="M2958" s="30" t="str">
        <x:v>Доказать религиозный характер сопротивления вторжениям в русских землях XIII в. и Франкском королевстве VIII в.</x:v>
      </x:c>
      <x:c r="N2958" s="30" t="str">
        <x:v>Русские земли: победы Александра Невского остановили западных рыцарей и распространение католичества. Франки: Карл Мартелл остановил арабов-мусульман при Пуатье, что воспринималось как защита христианства.</x:v>
      </x:c>
      <x:c r="O2958" s="30" t="str">
        <x:v>Каждый аргумент содержит конкретного противника, событие и религиозное последствие.</x:v>
      </x:c>
      <x:c r="P2958" s="30" t="str">
        <x:v>Каждый аргумент содержит конкретного противника, событие и религиозное последствие.</x:v>
      </x:c>
      <x:c r="Q2958" s="30"/>
      <x:c r="R2958" s="30" t="str">
        <x:v>Архив пользователя: Zadanie_IS11_23092025.pdf; официальный критерий; https://hist-ege.sdamgia.ru/test?id=5257023&amp;print=true</x:v>
      </x:c>
      <x:c r="S2958" s="30"/>
      <x:c r="T2958" s="30"/>
      <x:c r="U2958" s="30" t="str">
        <x:v>Расхождений не обнаружено.</x:v>
      </x:c>
      <x:c r="V2958" s="87" t="str">
        <x:v>VERIFIED</x:v>
      </x:c>
      <x:c r="W2958" s="87" t="str">
        <x:v>Zadanie_IS11_23092025.pdf, стр. 26</x:v>
      </x:c>
      <x:c r="X2958" s="87"/>
      <x:c r="Y2958" s="87"/>
      <x:c r="Z2958" s="87"/>
      <x:c r="AA2958" s="87"/>
      <x:c r="AB2958" s="87"/>
      <x:c r="AC2958" s="87"/>
      <x:c r="AD2958" s="87"/>
      <x:c r="AE2958" s="87"/>
      <x:c r="AF2958" s="87"/>
      <x:c r="AG2958" s="87"/>
      <x:c r="AH2958" s="87"/>
      <x:c r="AI2958" s="30"/>
      <x:c r="AJ2958" s="87" t="str">
        <x:v>master</x:v>
      </x:c>
      <x:c r="AK2958" s="87" t="str">
        <x:v>master-v0.81</x:v>
      </x:c>
      <x:c r="AL2958" s="87" t="str">
        <x:v>statgrad_master_base_v0_81_final(2).xlsx</x:v>
      </x:c>
      <x:c r="AM2958" s="87" t="str">
        <x:v>HIST_Sep_V2</x:v>
      </x:c>
      <x:c r="AN2958" s="87" t="n">
        <x:v>22</x:v>
      </x:c>
    </x:row>
    <x:row r="2959">
      <x:c r="A2959" s="87" t="n">
        <x:v>2958</x:v>
      </x:c>
      <x:c r="B2959" s="87" t="str">
        <x:v>SEP-HIST-V3-001</x:v>
      </x:c>
      <x:c r="C2959" s="87" t="str">
        <x:v>СтатГрад</x:v>
      </x:c>
      <x:c r="D2959" s="87" t="str">
        <x:v>Сентябрь 2025</x:v>
      </x:c>
      <x:c r="E2959" s="87"/>
      <x:c r="F2959" s="87"/>
      <x:c r="G2959" s="87" t="str">
        <x:v>История</x:v>
      </x:c>
      <x:c r="H2959" s="87" t="n">
        <x:v>11</x:v>
      </x:c>
      <x:c r="I2959" s="87" t="str">
        <x:v>ТР №1</x:v>
      </x:c>
      <x:c r="J2959" s="87" t="str">
        <x:v>ИС2510103</x:v>
      </x:c>
      <x:c r="K2959" s="87" t="n">
        <x:v>1</x:v>
      </x:c>
      <x:c r="L2959" s="87" t="str">
        <x:v>Соответствие событий и дат</x:v>
      </x:c>
      <x:c r="M2959" s="30" t="str">
        <x:v>Соотнести встречу на Эльбе, земскую реформу, указ об урочных летах и смерть И. В. Сталина с годами.</x:v>
      </x:c>
      <x:c r="N2959" s="30" t="str">
        <x:v>5316</x:v>
      </x:c>
      <x:c r="O2959" s="30" t="str">
        <x:v>Эльба — 1945; земства — 1864; урочные лета — 1597; смерть Сталина — 1953.</x:v>
      </x:c>
      <x:c r="P2959" s="30" t="str">
        <x:v>Эльба — 1945; земства — 1864; урочные лета — 1597; смерть Сталина — 1953.</x:v>
      </x:c>
      <x:c r="Q2959" s="30"/>
      <x:c r="R2959" s="30" t="str">
        <x:v>Архив пользователя: Zadanie_IS11_23092025_.pdf; официальный критерий; https://hist-ege.sdamgia.ru/test?id=5256897&amp;print=true</x:v>
      </x:c>
      <x:c r="S2959" s="30"/>
      <x:c r="T2959" s="30"/>
      <x:c r="U2959" s="30" t="str">
        <x:v>Расхождений не обнаружено. Смешанный вариант: задание перенесено из базового комплекта 101.</x:v>
      </x:c>
      <x:c r="V2959" s="87" t="str">
        <x:v>VERIFIED</x:v>
      </x:c>
      <x:c r="W2959" s="87" t="str">
        <x:v>Zadanie_IS11_23092025_.pdf, стр. 2</x:v>
      </x:c>
      <x:c r="X2959" s="87"/>
      <x:c r="Y2959" s="87"/>
      <x:c r="Z2959" s="87"/>
      <x:c r="AA2959" s="87"/>
      <x:c r="AB2959" s="87"/>
      <x:c r="AC2959" s="87"/>
      <x:c r="AD2959" s="87"/>
      <x:c r="AE2959" s="87"/>
      <x:c r="AF2959" s="87"/>
      <x:c r="AG2959" s="87"/>
      <x:c r="AH2959" s="87"/>
      <x:c r="AI2959" s="30"/>
      <x:c r="AJ2959" s="87" t="str">
        <x:v>master</x:v>
      </x:c>
      <x:c r="AK2959" s="87" t="str">
        <x:v>master-v0.81</x:v>
      </x:c>
      <x:c r="AL2959" s="87" t="str">
        <x:v>statgrad_master_base_v0_81_final(2).xlsx</x:v>
      </x:c>
      <x:c r="AM2959" s="87" t="str">
        <x:v>HIST_Sep_V3</x:v>
      </x:c>
      <x:c r="AN2959" s="87" t="n">
        <x:v>2</x:v>
      </x:c>
    </x:row>
    <x:row r="2960">
      <x:c r="A2960" s="87" t="n">
        <x:v>2959</x:v>
      </x:c>
      <x:c r="B2960" s="87" t="str">
        <x:v>SEP-HIST-V3-002</x:v>
      </x:c>
      <x:c r="C2960" s="87" t="str">
        <x:v>СтатГрад</x:v>
      </x:c>
      <x:c r="D2960" s="87" t="str">
        <x:v>Сентябрь 2025</x:v>
      </x:c>
      <x:c r="E2960" s="87"/>
      <x:c r="F2960" s="87"/>
      <x:c r="G2960" s="87" t="str">
        <x:v>История</x:v>
      </x:c>
      <x:c r="H2960" s="87" t="n">
        <x:v>11</x:v>
      </x:c>
      <x:c r="I2960" s="87" t="str">
        <x:v>ТР №1</x:v>
      </x:c>
      <x:c r="J2960" s="87" t="str">
        <x:v>ИС2510103</x:v>
      </x:c>
      <x:c r="K2960" s="87" t="n">
        <x:v>2</x:v>
      </x:c>
      <x:c r="L2960" s="87" t="str">
        <x:v>Хронология</x:v>
      </x:c>
      <x:c r="M2960" s="30" t="str">
        <x:v>Расположить революцию Мэйдзи, Октябрьскую политическую стачку и создание ГКО.</x:v>
      </x:c>
      <x:c r="N2960" s="30" t="str">
        <x:v>213</x:v>
      </x:c>
      <x:c r="O2960" s="30" t="str">
        <x:v>Мэйдзи — 1868; стачка — 1905; ГКО — 1941.</x:v>
      </x:c>
      <x:c r="P2960" s="30" t="str">
        <x:v>Мэйдзи — 1868; стачка — 1905; ГКО — 1941.</x:v>
      </x:c>
      <x:c r="Q2960" s="30"/>
      <x:c r="R2960" s="30" t="str">
        <x:v>Архив пользователя: Zadanie_IS11_23092025_.pdf; официальный критерий; https://hist-ege.sdamgia.ru/test?id=5257023&amp;print=true</x:v>
      </x:c>
      <x:c r="S2960" s="30"/>
      <x:c r="T2960" s="30"/>
      <x:c r="U2960" s="30" t="str">
        <x:v>Расхождений не обнаружено. Смешанный вариант: задание перенесено из базового комплекта 102.</x:v>
      </x:c>
      <x:c r="V2960" s="87" t="str">
        <x:v>VERIFIED</x:v>
      </x:c>
      <x:c r="W2960" s="87" t="str">
        <x:v>Zadanie_IS11_23092025_.pdf, стр. 2</x:v>
      </x:c>
      <x:c r="X2960" s="87"/>
      <x:c r="Y2960" s="87"/>
      <x:c r="Z2960" s="87"/>
      <x:c r="AA2960" s="87"/>
      <x:c r="AB2960" s="87"/>
      <x:c r="AC2960" s="87"/>
      <x:c r="AD2960" s="87"/>
      <x:c r="AE2960" s="87"/>
      <x:c r="AF2960" s="87"/>
      <x:c r="AG2960" s="87"/>
      <x:c r="AH2960" s="87"/>
      <x:c r="AI2960" s="30"/>
      <x:c r="AJ2960" s="87" t="str">
        <x:v>master</x:v>
      </x:c>
      <x:c r="AK2960" s="87" t="str">
        <x:v>master-v0.81</x:v>
      </x:c>
      <x:c r="AL2960" s="87" t="str">
        <x:v>statgrad_master_base_v0_81_final(2).xlsx</x:v>
      </x:c>
      <x:c r="AM2960" s="87" t="str">
        <x:v>HIST_Sep_V3</x:v>
      </x:c>
      <x:c r="AN2960" s="87" t="n">
        <x:v>3</x:v>
      </x:c>
    </x:row>
    <x:row r="2961">
      <x:c r="A2961" s="87" t="n">
        <x:v>2960</x:v>
      </x:c>
      <x:c r="B2961" s="87" t="str">
        <x:v>SEP-HIST-V3-003</x:v>
      </x:c>
      <x:c r="C2961" s="87" t="str">
        <x:v>СтатГрад</x:v>
      </x:c>
      <x:c r="D2961" s="87" t="str">
        <x:v>Сентябрь 2025</x:v>
      </x:c>
      <x:c r="E2961" s="87"/>
      <x:c r="F2961" s="87"/>
      <x:c r="G2961" s="87" t="str">
        <x:v>История</x:v>
      </x:c>
      <x:c r="H2961" s="87" t="n">
        <x:v>11</x:v>
      </x:c>
      <x:c r="I2961" s="87" t="str">
        <x:v>ТР №1</x:v>
      </x:c>
      <x:c r="J2961" s="87" t="str">
        <x:v>ИС2510103</x:v>
      </x:c>
      <x:c r="K2961" s="87" t="n">
        <x:v>3</x:v>
      </x:c>
      <x:c r="L2961" s="87" t="str">
        <x:v>Соответствие процессов и фактов</x:v>
      </x:c>
      <x:c r="M2961" s="30" t="str">
        <x:v>Соотнести централизацию XVI в., аракчеевщину, создание Древнерусского государства и военный коммунизм с фактами.</x:v>
      </x:c>
      <x:c r="N2961" s="30" t="str">
        <x:v>1326</x:v>
      </x:c>
      <x:c r="O2961" s="30" t="str">
        <x:v>Отмена кормлений; военные поселения; объединение Киева и Новгорода Олегом; продразвёрстка.</x:v>
      </x:c>
      <x:c r="P2961" s="30" t="str">
        <x:v>Отмена кормлений; военные поселения; объединение Киева и Новгорода Олегом; продразвёрстка.</x:v>
      </x:c>
      <x:c r="Q2961" s="30"/>
      <x:c r="R2961" s="30" t="str">
        <x:v>Архив пользователя: Zadanie_IS11_23092025_.pdf; официальный критерий; https://hist-ege.sdamgia.ru/test?id=5256897&amp;print=true</x:v>
      </x:c>
      <x:c r="S2961" s="30"/>
      <x:c r="T2961" s="30"/>
      <x:c r="U2961" s="30" t="str">
        <x:v>Расхождений не обнаружено. Смешанный вариант: задание перенесено из базового комплекта 101.</x:v>
      </x:c>
      <x:c r="V2961" s="87" t="str">
        <x:v>VERIFIED</x:v>
      </x:c>
      <x:c r="W2961" s="87" t="str">
        <x:v>Zadanie_IS11_23092025_.pdf, стр. 3</x:v>
      </x:c>
      <x:c r="X2961" s="87"/>
      <x:c r="Y2961" s="87"/>
      <x:c r="Z2961" s="87"/>
      <x:c r="AA2961" s="87"/>
      <x:c r="AB2961" s="87"/>
      <x:c r="AC2961" s="87"/>
      <x:c r="AD2961" s="87"/>
      <x:c r="AE2961" s="87"/>
      <x:c r="AF2961" s="87"/>
      <x:c r="AG2961" s="87"/>
      <x:c r="AH2961" s="87"/>
      <x:c r="AI2961" s="30"/>
      <x:c r="AJ2961" s="87" t="str">
        <x:v>master</x:v>
      </x:c>
      <x:c r="AK2961" s="87" t="str">
        <x:v>master-v0.81</x:v>
      </x:c>
      <x:c r="AL2961" s="87" t="str">
        <x:v>statgrad_master_base_v0_81_final(2).xlsx</x:v>
      </x:c>
      <x:c r="AM2961" s="87" t="str">
        <x:v>HIST_Sep_V3</x:v>
      </x:c>
      <x:c r="AN2961" s="87" t="n">
        <x:v>4</x:v>
      </x:c>
    </x:row>
    <x:row r="2962">
      <x:c r="A2962" s="87" t="n">
        <x:v>2961</x:v>
      </x:c>
      <x:c r="B2962" s="87" t="str">
        <x:v>SEP-HIST-V3-004</x:v>
      </x:c>
      <x:c r="C2962" s="87" t="str">
        <x:v>СтатГрад</x:v>
      </x:c>
      <x:c r="D2962" s="87" t="str">
        <x:v>Сентябрь 2025</x:v>
      </x:c>
      <x:c r="E2962" s="87"/>
      <x:c r="F2962" s="87"/>
      <x:c r="G2962" s="87" t="str">
        <x:v>История</x:v>
      </x:c>
      <x:c r="H2962" s="87" t="n">
        <x:v>11</x:v>
      </x:c>
      <x:c r="I2962" s="87" t="str">
        <x:v>ТР №1</x:v>
      </x:c>
      <x:c r="J2962" s="87" t="str">
        <x:v>ИС2510103</x:v>
      </x:c>
      <x:c r="K2962" s="87" t="n">
        <x:v>4</x:v>
      </x:c>
      <x:c r="L2962" s="87" t="str">
        <x:v>Таблица: события и география</x:v>
      </x:c>
      <x:c r="M2962" s="30" t="str">
        <x:v>Заполнить таблицу о Куликовской битве, походах Святослава, битве на Сити и ликвидации веча в Новгороде.</x:v>
      </x:c>
      <x:c r="N2962" s="30" t="str">
        <x:v>274685</x:v>
      </x:c>
      <x:c r="O2962" s="30" t="str">
        <x:v>Тула; 1380-е; походы Святослава; 960-е; река Сить; гибель Юрия Всеволодовича.</x:v>
      </x:c>
      <x:c r="P2962" s="30" t="str">
        <x:v>Тула; 1380-е; походы Святослава; 960-е; река Сить; гибель Юрия Всеволодовича.</x:v>
      </x:c>
      <x:c r="Q2962" s="30"/>
      <x:c r="R2962" s="30" t="str">
        <x:v>Архив пользователя: Zadanie_IS11_23092025_.pdf; официальный критерий; https://hist-ege.sdamgia.ru/test?id=5257023&amp;print=true</x:v>
      </x:c>
      <x:c r="S2962" s="30"/>
      <x:c r="T2962" s="30"/>
      <x:c r="U2962" s="30" t="str">
        <x:v>Расхождений не обнаружено. Смешанный вариант: задание перенесено из базового комплекта 102.</x:v>
      </x:c>
      <x:c r="V2962" s="87" t="str">
        <x:v>VERIFIED</x:v>
      </x:c>
      <x:c r="W2962" s="87" t="str">
        <x:v>Zadanie_IS11_23092025_.pdf, стр. 4</x:v>
      </x:c>
      <x:c r="X2962" s="87"/>
      <x:c r="Y2962" s="87"/>
      <x:c r="Z2962" s="87"/>
      <x:c r="AA2962" s="87"/>
      <x:c r="AB2962" s="87"/>
      <x:c r="AC2962" s="87"/>
      <x:c r="AD2962" s="87"/>
      <x:c r="AE2962" s="87"/>
      <x:c r="AF2962" s="87"/>
      <x:c r="AG2962" s="87"/>
      <x:c r="AH2962" s="87"/>
      <x:c r="AI2962" s="30"/>
      <x:c r="AJ2962" s="87" t="str">
        <x:v>master</x:v>
      </x:c>
      <x:c r="AK2962" s="87" t="str">
        <x:v>master-v0.81</x:v>
      </x:c>
      <x:c r="AL2962" s="87" t="str">
        <x:v>statgrad_master_base_v0_81_final(2).xlsx</x:v>
      </x:c>
      <x:c r="AM2962" s="87" t="str">
        <x:v>HIST_Sep_V3</x:v>
      </x:c>
      <x:c r="AN2962" s="87" t="n">
        <x:v>5</x:v>
      </x:c>
    </x:row>
    <x:row r="2963">
      <x:c r="A2963" s="87" t="n">
        <x:v>2962</x:v>
      </x:c>
      <x:c r="B2963" s="87" t="str">
        <x:v>SEP-HIST-V3-005</x:v>
      </x:c>
      <x:c r="C2963" s="87" t="str">
        <x:v>СтатГрад</x:v>
      </x:c>
      <x:c r="D2963" s="87" t="str">
        <x:v>Сентябрь 2025</x:v>
      </x:c>
      <x:c r="E2963" s="87"/>
      <x:c r="F2963" s="87"/>
      <x:c r="G2963" s="87" t="str">
        <x:v>История</x:v>
      </x:c>
      <x:c r="H2963" s="87" t="n">
        <x:v>11</x:v>
      </x:c>
      <x:c r="I2963" s="87" t="str">
        <x:v>ТР №1</x:v>
      </x:c>
      <x:c r="J2963" s="87" t="str">
        <x:v>ИС2510103</x:v>
      </x:c>
      <x:c r="K2963" s="87" t="n">
        <x:v>5</x:v>
      </x:c>
      <x:c r="L2963" s="87" t="str">
        <x:v>Исторические деятели</x:v>
      </x:c>
      <x:c r="M2963" s="30" t="str">
        <x:v>Соотнести штурм Рейхстага, I съезд народных депутатов СССР, восстание декабристов и Семибоярщину с участниками.</x:v>
      </x:c>
      <x:c r="N2963" s="30" t="str">
        <x:v>4251</x:v>
      </x:c>
      <x:c r="O2963" s="30" t="str">
        <x:v>Кантария; Сахаров; Рылеев; Мстиславский.</x:v>
      </x:c>
      <x:c r="P2963" s="30" t="str">
        <x:v>Кантария; Сахаров; Рылеев; Мстиславский.</x:v>
      </x:c>
      <x:c r="Q2963" s="30"/>
      <x:c r="R2963" s="30" t="str">
        <x:v>Архив пользователя: Zadanie_IS11_23092025_.pdf; официальный критерий; https://hist-ege.sdamgia.ru/test?id=5256897&amp;print=true</x:v>
      </x:c>
      <x:c r="S2963" s="30"/>
      <x:c r="T2963" s="30"/>
      <x:c r="U2963" s="30" t="str">
        <x:v>Расхождений не обнаружено. Смешанный вариант: задание перенесено из базового комплекта 101.</x:v>
      </x:c>
      <x:c r="V2963" s="87" t="str">
        <x:v>VERIFIED</x:v>
      </x:c>
      <x:c r="W2963" s="87" t="str">
        <x:v>Zadanie_IS11_23092025_.pdf, стр. 4</x:v>
      </x:c>
      <x:c r="X2963" s="87"/>
      <x:c r="Y2963" s="87"/>
      <x:c r="Z2963" s="87"/>
      <x:c r="AA2963" s="87"/>
      <x:c r="AB2963" s="87"/>
      <x:c r="AC2963" s="87"/>
      <x:c r="AD2963" s="87"/>
      <x:c r="AE2963" s="87"/>
      <x:c r="AF2963" s="87"/>
      <x:c r="AG2963" s="87"/>
      <x:c r="AH2963" s="87"/>
      <x:c r="AI2963" s="30"/>
      <x:c r="AJ2963" s="87" t="str">
        <x:v>master</x:v>
      </x:c>
      <x:c r="AK2963" s="87" t="str">
        <x:v>master-v0.81</x:v>
      </x:c>
      <x:c r="AL2963" s="87" t="str">
        <x:v>statgrad_master_base_v0_81_final(2).xlsx</x:v>
      </x:c>
      <x:c r="AM2963" s="87" t="str">
        <x:v>HIST_Sep_V3</x:v>
      </x:c>
      <x:c r="AN2963" s="87" t="n">
        <x:v>6</x:v>
      </x:c>
    </x:row>
    <x:row r="2964">
      <x:c r="A2964" s="87" t="n">
        <x:v>2963</x:v>
      </x:c>
      <x:c r="B2964" s="87" t="str">
        <x:v>SEP-HIST-V3-006</x:v>
      </x:c>
      <x:c r="C2964" s="87" t="str">
        <x:v>СтатГрад</x:v>
      </x:c>
      <x:c r="D2964" s="87" t="str">
        <x:v>Сентябрь 2025</x:v>
      </x:c>
      <x:c r="E2964" s="87"/>
      <x:c r="F2964" s="87"/>
      <x:c r="G2964" s="87" t="str">
        <x:v>История</x:v>
      </x:c>
      <x:c r="H2964" s="87" t="n">
        <x:v>11</x:v>
      </x:c>
      <x:c r="I2964" s="87" t="str">
        <x:v>ТР №1</x:v>
      </x:c>
      <x:c r="J2964" s="87" t="str">
        <x:v>ИС2510103</x:v>
      </x:c>
      <x:c r="K2964" s="87" t="n">
        <x:v>6</x:v>
      </x:c>
      <x:c r="L2964" s="87" t="str">
        <x:v>Анализ речи о создании СССР</x:v>
      </x:c>
      <x:c r="M2964" s="30" t="str">
        <x:v>По речи на съезде выбрать верные суждения.</x:v>
      </x:c>
      <x:c r="N2964" s="30" t="str">
        <x:v>124</x:v>
      </x:c>
      <x:c r="O2964" s="30" t="str">
        <x:v>Речь относится к 1922 г.; председателем правительства РСФСР был Ленин; объединение связывается с противостоянием капиталистическому миру.</x:v>
      </x:c>
      <x:c r="P2964" s="30" t="str">
        <x:v>Речь относится к 1922 г.; председателем правительства РСФСР был Ленин; объединение связывается с противостоянием капиталистическому миру.</x:v>
      </x:c>
      <x:c r="Q2964" s="30"/>
      <x:c r="R2964" s="30" t="str">
        <x:v>Архив пользователя: Zadanie_IS11_23092025_.pdf; официальный критерий; https://hist-ege.sdamgia.ru/test?id=5257023&amp;print=true</x:v>
      </x:c>
      <x:c r="S2964" s="30"/>
      <x:c r="T2964" s="30"/>
      <x:c r="U2964" s="30" t="str">
        <x:v>Расхождений не обнаружено. Смешанный вариант: задание перенесено из базового комплекта 102.</x:v>
      </x:c>
      <x:c r="V2964" s="87" t="str">
        <x:v>VERIFIED</x:v>
      </x:c>
      <x:c r="W2964" s="87" t="str">
        <x:v>Zadanie_IS11_23092025_.pdf, стр. 5</x:v>
      </x:c>
      <x:c r="X2964" s="87"/>
      <x:c r="Y2964" s="87"/>
      <x:c r="Z2964" s="87"/>
      <x:c r="AA2964" s="87"/>
      <x:c r="AB2964" s="87"/>
      <x:c r="AC2964" s="87"/>
      <x:c r="AD2964" s="87"/>
      <x:c r="AE2964" s="87"/>
      <x:c r="AF2964" s="87"/>
      <x:c r="AG2964" s="87"/>
      <x:c r="AH2964" s="87"/>
      <x:c r="AI2964" s="30"/>
      <x:c r="AJ2964" s="87" t="str">
        <x:v>master</x:v>
      </x:c>
      <x:c r="AK2964" s="87" t="str">
        <x:v>master-v0.81</x:v>
      </x:c>
      <x:c r="AL2964" s="87" t="str">
        <x:v>statgrad_master_base_v0_81_final(2).xlsx</x:v>
      </x:c>
      <x:c r="AM2964" s="87" t="str">
        <x:v>HIST_Sep_V3</x:v>
      </x:c>
      <x:c r="AN2964" s="87" t="n">
        <x:v>7</x:v>
      </x:c>
    </x:row>
    <x:row r="2965">
      <x:c r="A2965" s="87" t="n">
        <x:v>2964</x:v>
      </x:c>
      <x:c r="B2965" s="87" t="str">
        <x:v>SEP-HIST-V3-007</x:v>
      </x:c>
      <x:c r="C2965" s="87" t="str">
        <x:v>СтатГрад</x:v>
      </x:c>
      <x:c r="D2965" s="87" t="str">
        <x:v>Сентябрь 2025</x:v>
      </x:c>
      <x:c r="E2965" s="87"/>
      <x:c r="F2965" s="87"/>
      <x:c r="G2965" s="87" t="str">
        <x:v>История</x:v>
      </x:c>
      <x:c r="H2965" s="87" t="n">
        <x:v>11</x:v>
      </x:c>
      <x:c r="I2965" s="87" t="str">
        <x:v>ТР №1</x:v>
      </x:c>
      <x:c r="J2965" s="87" t="str">
        <x:v>ИС2510103</x:v>
      </x:c>
      <x:c r="K2965" s="87" t="n">
        <x:v>7</x:v>
      </x:c>
      <x:c r="L2965" s="87" t="str">
        <x:v>Памятники культуры</x:v>
      </x:c>
      <x:c r="M2965" s="30" t="str">
        <x:v>Соотнести «Последний день Помпеи», Смоленский кремль, балет «Ромео и Джульетта» и «Задонщину» с характеристиками.</x:v>
      </x:c>
      <x:c r="N2965" s="30" t="str">
        <x:v>6523</x:v>
      </x:c>
      <x:c r="O2965" s="30" t="str">
        <x:v>Брюллов — академизм; кремль — время Бориса Годунова; балет — Прокофьев; «Задонщина» — современник Дмитрия Донского.</x:v>
      </x:c>
      <x:c r="P2965" s="30" t="str">
        <x:v>Брюллов — академизм; кремль — время Бориса Годунова; балет — Прокофьев; «Задонщина» — современник Дмитрия Донского.</x:v>
      </x:c>
      <x:c r="Q2965" s="30"/>
      <x:c r="R2965" s="30" t="str">
        <x:v>Архив пользователя: Zadanie_IS11_23092025_.pdf; официальный критерий; https://hist-ege.sdamgia.ru/test?id=5256897&amp;print=true</x:v>
      </x:c>
      <x:c r="S2965" s="30"/>
      <x:c r="T2965" s="30"/>
      <x:c r="U2965" s="30" t="str">
        <x:v>Расхождений не обнаружено. Смешанный вариант: задание перенесено из базового комплекта 101.</x:v>
      </x:c>
      <x:c r="V2965" s="87" t="str">
        <x:v>VERIFIED</x:v>
      </x:c>
      <x:c r="W2965" s="87" t="str">
        <x:v>Zadanie_IS11_23092025_.pdf, стр. 6</x:v>
      </x:c>
      <x:c r="X2965" s="87"/>
      <x:c r="Y2965" s="87"/>
      <x:c r="Z2965" s="87"/>
      <x:c r="AA2965" s="87"/>
      <x:c r="AB2965" s="87"/>
      <x:c r="AC2965" s="87"/>
      <x:c r="AD2965" s="87"/>
      <x:c r="AE2965" s="87"/>
      <x:c r="AF2965" s="87"/>
      <x:c r="AG2965" s="87"/>
      <x:c r="AH2965" s="87"/>
      <x:c r="AI2965" s="30"/>
      <x:c r="AJ2965" s="87" t="str">
        <x:v>master</x:v>
      </x:c>
      <x:c r="AK2965" s="87" t="str">
        <x:v>master-v0.81</x:v>
      </x:c>
      <x:c r="AL2965" s="87" t="str">
        <x:v>statgrad_master_base_v0_81_final(2).xlsx</x:v>
      </x:c>
      <x:c r="AM2965" s="87" t="str">
        <x:v>HIST_Sep_V3</x:v>
      </x:c>
      <x:c r="AN2965" s="87" t="n">
        <x:v>8</x:v>
      </x:c>
    </x:row>
    <x:row r="2966">
      <x:c r="A2966" s="87" t="n">
        <x:v>2965</x:v>
      </x:c>
      <x:c r="B2966" s="87" t="str">
        <x:v>SEP-HIST-V3-008</x:v>
      </x:c>
      <x:c r="C2966" s="87" t="str">
        <x:v>СтатГрад</x:v>
      </x:c>
      <x:c r="D2966" s="87" t="str">
        <x:v>Сентябрь 2025</x:v>
      </x:c>
      <x:c r="E2966" s="87"/>
      <x:c r="F2966" s="87"/>
      <x:c r="G2966" s="87" t="str">
        <x:v>История</x:v>
      </x:c>
      <x:c r="H2966" s="87" t="n">
        <x:v>11</x:v>
      </x:c>
      <x:c r="I2966" s="87" t="str">
        <x:v>ТР №1</x:v>
      </x:c>
      <x:c r="J2966" s="87" t="str">
        <x:v>ИС2510103</x:v>
      </x:c>
      <x:c r="K2966" s="87" t="n">
        <x:v>8</x:v>
      </x:c>
      <x:c r="L2966" s="87" t="str">
        <x:v>Изображение Великой Отечественной войны</x:v>
      </x:c>
      <x:c r="M2966" s="30" t="str">
        <x:v>По медали определить словами год окончания посвящённой ей битвы.</x:v>
      </x:c>
      <x:c r="N2966" s="30" t="str">
        <x:v>сорок втором</x:v>
      </x:c>
      <x:c r="O2966" s="30" t="str">
        <x:v>Изображение связано с битвой, завершившейся в 1942 г.</x:v>
      </x:c>
      <x:c r="P2966" s="30" t="str">
        <x:v>Изображение связано с битвой, завершившейся в 1942 г.</x:v>
      </x:c>
      <x:c r="Q2966" s="30"/>
      <x:c r="R2966" s="30" t="str">
        <x:v>Архив пользователя: Zadanie_IS11_23092025_.pdf; официальный критерий; https://hist-ege.sdamgia.ru/test?id=5257023&amp;print=true</x:v>
      </x:c>
      <x:c r="S2966" s="30"/>
      <x:c r="T2966" s="30"/>
      <x:c r="U2966" s="30" t="str">
        <x:v>Расхождений не обнаружено. Смешанный вариант: задание перенесено из базового комплекта 102.</x:v>
      </x:c>
      <x:c r="V2966" s="87" t="str">
        <x:v>VERIFIED</x:v>
      </x:c>
      <x:c r="W2966" s="87" t="str">
        <x:v>Zadanie_IS11_23092025_.pdf, стр. 6</x:v>
      </x:c>
      <x:c r="X2966" s="87"/>
      <x:c r="Y2966" s="87"/>
      <x:c r="Z2966" s="87"/>
      <x:c r="AA2966" s="87"/>
      <x:c r="AB2966" s="87"/>
      <x:c r="AC2966" s="87"/>
      <x:c r="AD2966" s="87"/>
      <x:c r="AE2966" s="87"/>
      <x:c r="AF2966" s="87"/>
      <x:c r="AG2966" s="87"/>
      <x:c r="AH2966" s="87"/>
      <x:c r="AI2966" s="30"/>
      <x:c r="AJ2966" s="87" t="str">
        <x:v>master</x:v>
      </x:c>
      <x:c r="AK2966" s="87" t="str">
        <x:v>master-v0.81</x:v>
      </x:c>
      <x:c r="AL2966" s="87" t="str">
        <x:v>statgrad_master_base_v0_81_final(2).xlsx</x:v>
      </x:c>
      <x:c r="AM2966" s="87" t="str">
        <x:v>HIST_Sep_V3</x:v>
      </x:c>
      <x:c r="AN2966" s="87" t="n">
        <x:v>9</x:v>
      </x:c>
    </x:row>
    <x:row r="2967">
      <x:c r="A2967" s="87" t="n">
        <x:v>2966</x:v>
      </x:c>
      <x:c r="B2967" s="87" t="str">
        <x:v>SEP-HIST-V3-009</x:v>
      </x:c>
      <x:c r="C2967" s="87" t="str">
        <x:v>СтатГрад</x:v>
      </x:c>
      <x:c r="D2967" s="87" t="str">
        <x:v>Сентябрь 2025</x:v>
      </x:c>
      <x:c r="E2967" s="87"/>
      <x:c r="F2967" s="87"/>
      <x:c r="G2967" s="87" t="str">
        <x:v>История</x:v>
      </x:c>
      <x:c r="H2967" s="87" t="n">
        <x:v>11</x:v>
      </x:c>
      <x:c r="I2967" s="87" t="str">
        <x:v>ТР №1</x:v>
      </x:c>
      <x:c r="J2967" s="87" t="str">
        <x:v>ИС2510103</x:v>
      </x:c>
      <x:c r="K2967" s="87" t="n">
        <x:v>9</x:v>
      </x:c>
      <x:c r="L2967" s="87" t="str">
        <x:v>Историческая схема</x:v>
      </x:c>
      <x:c r="M2967" s="30" t="str">
        <x:v>Назвать период отечественной истории по схеме похода Сагайдачного и интервенции.</x:v>
      </x:c>
      <x:c r="N2967" s="30" t="str">
        <x:v>Смута</x:v>
      </x:c>
      <x:c r="O2967" s="30" t="str">
        <x:v>Поход Сагайдачного на Москву относится к Смутному времени.</x:v>
      </x:c>
      <x:c r="P2967" s="30" t="str">
        <x:v>Поход Сагайдачного на Москву относится к Смутному времени.</x:v>
      </x:c>
      <x:c r="Q2967" s="30"/>
      <x:c r="R2967" s="30" t="str">
        <x:v>Архив пользователя: Zadanie_IS11_23092025_.pdf; официальный критерий; https://hist-ege.sdamgia.ru/test?id=5256897&amp;print=true</x:v>
      </x:c>
      <x:c r="S2967" s="30"/>
      <x:c r="T2967" s="30"/>
      <x:c r="U2967" s="30" t="str">
        <x:v>Расхождений не обнаружено. Смешанный вариант: задание перенесено из базового комплекта 101.</x:v>
      </x:c>
      <x:c r="V2967" s="87" t="str">
        <x:v>VERIFIED</x:v>
      </x:c>
      <x:c r="W2967" s="87" t="str">
        <x:v>Zadanie_IS11_23092025_.pdf, стр. 7</x:v>
      </x:c>
      <x:c r="X2967" s="87"/>
      <x:c r="Y2967" s="87"/>
      <x:c r="Z2967" s="87"/>
      <x:c r="AA2967" s="87"/>
      <x:c r="AB2967" s="87"/>
      <x:c r="AC2967" s="87"/>
      <x:c r="AD2967" s="87"/>
      <x:c r="AE2967" s="87"/>
      <x:c r="AF2967" s="87"/>
      <x:c r="AG2967" s="87"/>
      <x:c r="AH2967" s="87"/>
      <x:c r="AI2967" s="30"/>
      <x:c r="AJ2967" s="87" t="str">
        <x:v>master</x:v>
      </x:c>
      <x:c r="AK2967" s="87" t="str">
        <x:v>master-v0.81</x:v>
      </x:c>
      <x:c r="AL2967" s="87" t="str">
        <x:v>statgrad_master_base_v0_81_final(2).xlsx</x:v>
      </x:c>
      <x:c r="AM2967" s="87" t="str">
        <x:v>HIST_Sep_V3</x:v>
      </x:c>
      <x:c r="AN2967" s="87" t="n">
        <x:v>10</x:v>
      </x:c>
    </x:row>
    <x:row r="2968">
      <x:c r="A2968" s="87" t="n">
        <x:v>2967</x:v>
      </x:c>
      <x:c r="B2968" s="87" t="str">
        <x:v>SEP-HIST-V3-010</x:v>
      </x:c>
      <x:c r="C2968" s="87" t="str">
        <x:v>СтатГрад</x:v>
      </x:c>
      <x:c r="D2968" s="87" t="str">
        <x:v>Сентябрь 2025</x:v>
      </x:c>
      <x:c r="E2968" s="87"/>
      <x:c r="F2968" s="87"/>
      <x:c r="G2968" s="87" t="str">
        <x:v>История</x:v>
      </x:c>
      <x:c r="H2968" s="87" t="n">
        <x:v>11</x:v>
      </x:c>
      <x:c r="I2968" s="87" t="str">
        <x:v>ТР №1</x:v>
      </x:c>
      <x:c r="J2968" s="87" t="str">
        <x:v>ИС2510103</x:v>
      </x:c>
      <x:c r="K2968" s="87" t="n">
        <x:v>10</x:v>
      </x:c>
      <x:c r="L2968" s="87" t="str">
        <x:v>Историческая схема</x:v>
      </x:c>
      <x:c r="M2968" s="30" t="str">
        <x:v>Назвать государство, действия отрядов которого обозначены цифрой 1.</x:v>
      </x:c>
      <x:c r="N2968" s="30" t="str">
        <x:v>Швеция</x:v>
      </x:c>
      <x:c r="O2968" s="30" t="str">
        <x:v>На схеме показаны действия шведских отрядов в годы Смуты.</x:v>
      </x:c>
      <x:c r="P2968" s="30" t="str">
        <x:v>На схеме показаны действия шведских отрядов в годы Смуты.</x:v>
      </x:c>
      <x:c r="Q2968" s="30"/>
      <x:c r="R2968" s="30" t="str">
        <x:v>Архив пользователя: Zadanie_IS11_23092025_.pdf; официальный критерий; https://hist-ege.sdamgia.ru/test?id=5256897&amp;print=true</x:v>
      </x:c>
      <x:c r="S2968" s="30"/>
      <x:c r="T2968" s="30"/>
      <x:c r="U2968" s="30" t="str">
        <x:v>Расхождений не обнаружено. Смешанный вариант: задание перенесено из базового комплекта 101.</x:v>
      </x:c>
      <x:c r="V2968" s="87" t="str">
        <x:v>VERIFIED</x:v>
      </x:c>
      <x:c r="W2968" s="87" t="str">
        <x:v>Zadanie_IS11_23092025_.pdf, стр. 7</x:v>
      </x:c>
      <x:c r="X2968" s="87"/>
      <x:c r="Y2968" s="87"/>
      <x:c r="Z2968" s="87"/>
      <x:c r="AA2968" s="87"/>
      <x:c r="AB2968" s="87"/>
      <x:c r="AC2968" s="87"/>
      <x:c r="AD2968" s="87"/>
      <x:c r="AE2968" s="87"/>
      <x:c r="AF2968" s="87"/>
      <x:c r="AG2968" s="87"/>
      <x:c r="AH2968" s="87"/>
      <x:c r="AI2968" s="30"/>
      <x:c r="AJ2968" s="87" t="str">
        <x:v>master</x:v>
      </x:c>
      <x:c r="AK2968" s="87" t="str">
        <x:v>master-v0.81</x:v>
      </x:c>
      <x:c r="AL2968" s="87" t="str">
        <x:v>statgrad_master_base_v0_81_final(2).xlsx</x:v>
      </x:c>
      <x:c r="AM2968" s="87" t="str">
        <x:v>HIST_Sep_V3</x:v>
      </x:c>
      <x:c r="AN2968" s="87" t="n">
        <x:v>11</x:v>
      </x:c>
    </x:row>
    <x:row r="2969">
      <x:c r="A2969" s="87" t="n">
        <x:v>2968</x:v>
      </x:c>
      <x:c r="B2969" s="87" t="str">
        <x:v>SEP-HIST-V3-011</x:v>
      </x:c>
      <x:c r="C2969" s="87" t="str">
        <x:v>СтатГрад</x:v>
      </x:c>
      <x:c r="D2969" s="87" t="str">
        <x:v>Сентябрь 2025</x:v>
      </x:c>
      <x:c r="E2969" s="87"/>
      <x:c r="F2969" s="87"/>
      <x:c r="G2969" s="87" t="str">
        <x:v>История</x:v>
      </x:c>
      <x:c r="H2969" s="87" t="n">
        <x:v>11</x:v>
      </x:c>
      <x:c r="I2969" s="87" t="str">
        <x:v>ТР №1</x:v>
      </x:c>
      <x:c r="J2969" s="87" t="str">
        <x:v>ИС2510103</x:v>
      </x:c>
      <x:c r="K2969" s="87" t="n">
        <x:v>11</x:v>
      </x:c>
      <x:c r="L2969" s="87" t="str">
        <x:v>Карта и текст</x:v>
      </x:c>
      <x:c r="M2969" s="30" t="str">
        <x:v>По маршруту похода Сагайдачного назвать дважды пропущенный город.</x:v>
      </x:c>
      <x:c r="N2969" s="30" t="str">
        <x:v>Шацк</x:v>
      </x:c>
      <x:c r="O2969" s="30" t="str">
        <x:v>Маршрут после Ельца и Лебедяни приводит к Шацку; город указан на схеме.</x:v>
      </x:c>
      <x:c r="P2969" s="30" t="str">
        <x:v>Маршрут после Ельца и Лебедяни приводит к Шацку; город указан на схеме.</x:v>
      </x:c>
      <x:c r="Q2969" s="30"/>
      <x:c r="R2969" s="30" t="str">
        <x:v>Архив пользователя: Zadanie_IS11_23092025_.pdf; официальный критерий; https://hist-ege.sdamgia.ru/test?id=5256897&amp;print=true</x:v>
      </x:c>
      <x:c r="S2969" s="30"/>
      <x:c r="T2969" s="30"/>
      <x:c r="U2969" s="30" t="str">
        <x:v>Расхождений не обнаружено. Смешанный вариант: задание перенесено из базового комплекта 101.</x:v>
      </x:c>
      <x:c r="V2969" s="87" t="str">
        <x:v>VERIFIED</x:v>
      </x:c>
      <x:c r="W2969" s="87" t="str">
        <x:v>Zadanie_IS11_23092025_.pdf, стр. 8</x:v>
      </x:c>
      <x:c r="X2969" s="87"/>
      <x:c r="Y2969" s="87"/>
      <x:c r="Z2969" s="87"/>
      <x:c r="AA2969" s="87"/>
      <x:c r="AB2969" s="87"/>
      <x:c r="AC2969" s="87"/>
      <x:c r="AD2969" s="87"/>
      <x:c r="AE2969" s="87"/>
      <x:c r="AF2969" s="87"/>
      <x:c r="AG2969" s="87"/>
      <x:c r="AH2969" s="87"/>
      <x:c r="AI2969" s="30"/>
      <x:c r="AJ2969" s="87" t="str">
        <x:v>master</x:v>
      </x:c>
      <x:c r="AK2969" s="87" t="str">
        <x:v>master-v0.81</x:v>
      </x:c>
      <x:c r="AL2969" s="87" t="str">
        <x:v>statgrad_master_base_v0_81_final(2).xlsx</x:v>
      </x:c>
      <x:c r="AM2969" s="87" t="str">
        <x:v>HIST_Sep_V3</x:v>
      </x:c>
      <x:c r="AN2969" s="87" t="n">
        <x:v>12</x:v>
      </x:c>
    </x:row>
    <x:row r="2970">
      <x:c r="A2970" s="87" t="n">
        <x:v>2969</x:v>
      </x:c>
      <x:c r="B2970" s="87" t="str">
        <x:v>SEP-HIST-V3-012</x:v>
      </x:c>
      <x:c r="C2970" s="87" t="str">
        <x:v>СтатГрад</x:v>
      </x:c>
      <x:c r="D2970" s="87" t="str">
        <x:v>Сентябрь 2025</x:v>
      </x:c>
      <x:c r="E2970" s="87"/>
      <x:c r="F2970" s="87"/>
      <x:c r="G2970" s="87" t="str">
        <x:v>История</x:v>
      </x:c>
      <x:c r="H2970" s="87" t="n">
        <x:v>11</x:v>
      </x:c>
      <x:c r="I2970" s="87" t="str">
        <x:v>ТР №1</x:v>
      </x:c>
      <x:c r="J2970" s="87" t="str">
        <x:v>ИС2510103</x:v>
      </x:c>
      <x:c r="K2970" s="87" t="n">
        <x:v>12</x:v>
      </x:c>
      <x:c r="L2970" s="87" t="str">
        <x:v>Суждения по карте</x:v>
      </x:c>
      <x:c r="M2970" s="30" t="str">
        <x:v>Выбрать верные утверждения по схеме событий Смуты.</x:v>
      </x:c>
      <x:c r="N2970" s="30" t="str">
        <x:v>1356</x:v>
      </x:c>
      <x:c r="O2970" s="30" t="str">
        <x:v>Верны суждения об избираемом монархе Речи Посполитой, обороне Смоленска Шеиным, Нарве и Столбовском мире.</x:v>
      </x:c>
      <x:c r="P2970" s="30" t="str">
        <x:v>Верны суждения об избираемом монархе Речи Посполитой, обороне Смоленска Шеиным, Нарве и Столбовском мире.</x:v>
      </x:c>
      <x:c r="Q2970" s="30"/>
      <x:c r="R2970" s="30" t="str">
        <x:v>Архив пользователя: Zadanie_IS11_23092025_.pdf; официальный критерий; https://hist-ege.sdamgia.ru/test?id=5256897&amp;print=true</x:v>
      </x:c>
      <x:c r="S2970" s="30"/>
      <x:c r="T2970" s="30"/>
      <x:c r="U2970" s="30" t="str">
        <x:v>Расхождений не обнаружено. Смешанный вариант: задание перенесено из базового комплекта 101.</x:v>
      </x:c>
      <x:c r="V2970" s="87" t="str">
        <x:v>VERIFIED</x:v>
      </x:c>
      <x:c r="W2970" s="87" t="str">
        <x:v>Zadanie_IS11_23092025_.pdf, стр. 8</x:v>
      </x:c>
      <x:c r="X2970" s="87"/>
      <x:c r="Y2970" s="87"/>
      <x:c r="Z2970" s="87"/>
      <x:c r="AA2970" s="87"/>
      <x:c r="AB2970" s="87"/>
      <x:c r="AC2970" s="87"/>
      <x:c r="AD2970" s="87"/>
      <x:c r="AE2970" s="87"/>
      <x:c r="AF2970" s="87"/>
      <x:c r="AG2970" s="87"/>
      <x:c r="AH2970" s="87"/>
      <x:c r="AI2970" s="30"/>
      <x:c r="AJ2970" s="87" t="str">
        <x:v>master</x:v>
      </x:c>
      <x:c r="AK2970" s="87" t="str">
        <x:v>master-v0.81</x:v>
      </x:c>
      <x:c r="AL2970" s="87" t="str">
        <x:v>statgrad_master_base_v0_81_final(2).xlsx</x:v>
      </x:c>
      <x:c r="AM2970" s="87" t="str">
        <x:v>HIST_Sep_V3</x:v>
      </x:c>
      <x:c r="AN2970" s="87" t="n">
        <x:v>13</x:v>
      </x:c>
    </x:row>
    <x:row r="2971">
      <x:c r="A2971" s="87" t="n">
        <x:v>2970</x:v>
      </x:c>
      <x:c r="B2971" s="87" t="str">
        <x:v>SEP-HIST-V3-013</x:v>
      </x:c>
      <x:c r="C2971" s="87" t="str">
        <x:v>СтатГрад</x:v>
      </x:c>
      <x:c r="D2971" s="87" t="str">
        <x:v>Сентябрь 2025</x:v>
      </x:c>
      <x:c r="E2971" s="87"/>
      <x:c r="F2971" s="87"/>
      <x:c r="G2971" s="87" t="str">
        <x:v>История</x:v>
      </x:c>
      <x:c r="H2971" s="87" t="n">
        <x:v>11</x:v>
      </x:c>
      <x:c r="I2971" s="87" t="str">
        <x:v>ТР №1</x:v>
      </x:c>
      <x:c r="J2971" s="87" t="str">
        <x:v>ИС2510103</x:v>
      </x:c>
      <x:c r="K2971" s="87" t="n">
        <x:v>13</x:v>
      </x:c>
      <x:c r="L2971" s="87" t="str">
        <x:v>Атрибуция письменного источника</x:v>
      </x:c>
      <x:c r="M2971" s="30" t="str">
        <x:v>По воспоминаниям Р. С. Эдлинг назвать государя, год событий и мирный договор.</x:v>
      </x:c>
      <x:c r="N2971" s="30" t="str">
        <x:v>Александр I; 1812; Бухарестский мир</x:v>
      </x:c>
      <x:c r="O2971" s="30" t="str">
        <x:v>Упоминания русско-турецкой войны, Барклая и назначения Кутузова относятся к 1812 г.</x:v>
      </x:c>
      <x:c r="P2971" s="30" t="str">
        <x:v>Упоминания русско-турецкой войны, Барклая и назначения Кутузова относятся к 1812 г.</x:v>
      </x:c>
      <x:c r="Q2971" s="30"/>
      <x:c r="R2971" s="30" t="str">
        <x:v>Архив пользователя: Zadanie_IS11_23092025_.pdf; официальный критерий; https://hist-ege.sdamgia.ru/test?id=5257023&amp;print=true</x:v>
      </x:c>
      <x:c r="S2971" s="30"/>
      <x:c r="T2971" s="30"/>
      <x:c r="U2971" s="30" t="str">
        <x:v>Расхождений не обнаружено. Смешанный вариант: задание перенесено из базового комплекта 102.</x:v>
      </x:c>
      <x:c r="V2971" s="87" t="str">
        <x:v>VERIFIED</x:v>
      </x:c>
      <x:c r="W2971" s="87" t="str">
        <x:v>Zadanie_IS11_23092025_.pdf, стр. 10</x:v>
      </x:c>
      <x:c r="X2971" s="87"/>
      <x:c r="Y2971" s="87"/>
      <x:c r="Z2971" s="87"/>
      <x:c r="AA2971" s="87"/>
      <x:c r="AB2971" s="87"/>
      <x:c r="AC2971" s="87"/>
      <x:c r="AD2971" s="87"/>
      <x:c r="AE2971" s="87"/>
      <x:c r="AF2971" s="87"/>
      <x:c r="AG2971" s="87"/>
      <x:c r="AH2971" s="87"/>
      <x:c r="AI2971" s="30"/>
      <x:c r="AJ2971" s="87" t="str">
        <x:v>master</x:v>
      </x:c>
      <x:c r="AK2971" s="87" t="str">
        <x:v>master-v0.81</x:v>
      </x:c>
      <x:c r="AL2971" s="87" t="str">
        <x:v>statgrad_master_base_v0_81_final(2).xlsx</x:v>
      </x:c>
      <x:c r="AM2971" s="87" t="str">
        <x:v>HIST_Sep_V3</x:v>
      </x:c>
      <x:c r="AN2971" s="87" t="n">
        <x:v>14</x:v>
      </x:c>
    </x:row>
    <x:row r="2972">
      <x:c r="A2972" s="87" t="n">
        <x:v>2971</x:v>
      </x:c>
      <x:c r="B2972" s="87" t="str">
        <x:v>SEP-HIST-V3-014</x:v>
      </x:c>
      <x:c r="C2972" s="87" t="str">
        <x:v>СтатГрад</x:v>
      </x:c>
      <x:c r="D2972" s="87" t="str">
        <x:v>Сентябрь 2025</x:v>
      </x:c>
      <x:c r="E2972" s="87"/>
      <x:c r="F2972" s="87"/>
      <x:c r="G2972" s="87" t="str">
        <x:v>История</x:v>
      </x:c>
      <x:c r="H2972" s="87" t="n">
        <x:v>11</x:v>
      </x:c>
      <x:c r="I2972" s="87" t="str">
        <x:v>ТР №1</x:v>
      </x:c>
      <x:c r="J2972" s="87" t="str">
        <x:v>ИС2510103</x:v>
      </x:c>
      <x:c r="K2972" s="87" t="n">
        <x:v>14</x:v>
      </x:c>
      <x:c r="L2972" s="87" t="str">
        <x:v>Поиск информации в источнике</x:v>
      </x:c>
      <x:c r="M2972" s="30" t="str">
        <x:v>Назвать причину затягивания мира, причину осуждения государя войсками и обещание Кутузова.</x:v>
      </x:c>
      <x:c r="N2972" s="30" t="str">
        <x:v>Кутузов затягивал мир, опасаясь остаться без должности; государя осуждали за доверие Барклаю с иностранным именем; Кутузов обещал скорее погибнуть, чем допустить врага к Москве.</x:v>
      </x:c>
      <x:c r="O2972" s="30" t="str">
        <x:v>Три положения непосредственно следуют из воспоминаний.</x:v>
      </x:c>
      <x:c r="P2972" s="30" t="str">
        <x:v>Три положения непосредственно следуют из воспоминаний.</x:v>
      </x:c>
      <x:c r="Q2972" s="30"/>
      <x:c r="R2972" s="30" t="str">
        <x:v>Архив пользователя: Zadanie_IS11_23092025_.pdf; официальный критерий; https://hist-ege.sdamgia.ru/test?id=5257023&amp;print=true</x:v>
      </x:c>
      <x:c r="S2972" s="30"/>
      <x:c r="T2972" s="30"/>
      <x:c r="U2972" s="30" t="str">
        <x:v>Расхождений не обнаружено. Смешанный вариант: задание перенесено из базового комплекта 102.</x:v>
      </x:c>
      <x:c r="V2972" s="87" t="str">
        <x:v>VERIFIED</x:v>
      </x:c>
      <x:c r="W2972" s="87" t="str">
        <x:v>Zadanie_IS11_23092025_.pdf, стр. 10</x:v>
      </x:c>
      <x:c r="X2972" s="87"/>
      <x:c r="Y2972" s="87"/>
      <x:c r="Z2972" s="87"/>
      <x:c r="AA2972" s="87"/>
      <x:c r="AB2972" s="87"/>
      <x:c r="AC2972" s="87"/>
      <x:c r="AD2972" s="87"/>
      <x:c r="AE2972" s="87"/>
      <x:c r="AF2972" s="87"/>
      <x:c r="AG2972" s="87"/>
      <x:c r="AH2972" s="87"/>
      <x:c r="AI2972" s="30"/>
      <x:c r="AJ2972" s="87" t="str">
        <x:v>master</x:v>
      </x:c>
      <x:c r="AK2972" s="87" t="str">
        <x:v>master-v0.81</x:v>
      </x:c>
      <x:c r="AL2972" s="87" t="str">
        <x:v>statgrad_master_base_v0_81_final(2).xlsx</x:v>
      </x:c>
      <x:c r="AM2972" s="87" t="str">
        <x:v>HIST_Sep_V3</x:v>
      </x:c>
      <x:c r="AN2972" s="87" t="n">
        <x:v>15</x:v>
      </x:c>
    </x:row>
    <x:row r="2973">
      <x:c r="A2973" s="87" t="n">
        <x:v>2972</x:v>
      </x:c>
      <x:c r="B2973" s="87" t="str">
        <x:v>SEP-HIST-V3-015</x:v>
      </x:c>
      <x:c r="C2973" s="87" t="str">
        <x:v>СтатГрад</x:v>
      </x:c>
      <x:c r="D2973" s="87" t="str">
        <x:v>Сентябрь 2025</x:v>
      </x:c>
      <x:c r="E2973" s="87"/>
      <x:c r="F2973" s="87"/>
      <x:c r="G2973" s="87" t="str">
        <x:v>История</x:v>
      </x:c>
      <x:c r="H2973" s="87" t="n">
        <x:v>11</x:v>
      </x:c>
      <x:c r="I2973" s="87" t="str">
        <x:v>ТР №1</x:v>
      </x:c>
      <x:c r="J2973" s="87" t="str">
        <x:v>ИС2510103</x:v>
      </x:c>
      <x:c r="K2973" s="87" t="n">
        <x:v>15</x:v>
      </x:c>
      <x:c r="L2973" s="87" t="str">
        <x:v>Марка и датировка</x:v>
      </x:c>
      <x:c r="M2973" s="30" t="str">
        <x:v>Назвать государя, при котором основан город на юбилейной марке, и обосновать.</x:v>
      </x:c>
      <x:c r="N2973" s="30" t="str">
        <x:v>Алексей Михайлович; 2003−350=1653</x:v>
      </x:c>
      <x:c r="O2973" s="30" t="str">
        <x:v>Город основан в 1653 г., в царствование Алексея Михайловича.</x:v>
      </x:c>
      <x:c r="P2973" s="30" t="str">
        <x:v>Город основан в 1653 г., в царствование Алексея Михайловича.</x:v>
      </x:c>
      <x:c r="Q2973" s="30"/>
      <x:c r="R2973" s="30" t="str">
        <x:v>Архив пользователя: Zadanie_IS11_23092025_.pdf; официальный критерий; https://hist-ege.sdamgia.ru/test?id=5257023&amp;print=true</x:v>
      </x:c>
      <x:c r="S2973" s="30"/>
      <x:c r="T2973" s="30"/>
      <x:c r="U2973" s="30" t="str">
        <x:v>Расхождений не обнаружено. Смешанный вариант: задание перенесено из базового комплекта 102.</x:v>
      </x:c>
      <x:c r="V2973" s="87" t="str">
        <x:v>VERIFIED</x:v>
      </x:c>
      <x:c r="W2973" s="87" t="str">
        <x:v>Zadanie_IS11_23092025_.pdf, стр. 10</x:v>
      </x:c>
      <x:c r="X2973" s="87"/>
      <x:c r="Y2973" s="87"/>
      <x:c r="Z2973" s="87"/>
      <x:c r="AA2973" s="87"/>
      <x:c r="AB2973" s="87"/>
      <x:c r="AC2973" s="87"/>
      <x:c r="AD2973" s="87"/>
      <x:c r="AE2973" s="87"/>
      <x:c r="AF2973" s="87"/>
      <x:c r="AG2973" s="87"/>
      <x:c r="AH2973" s="87"/>
      <x:c r="AI2973" s="30"/>
      <x:c r="AJ2973" s="87" t="str">
        <x:v>master</x:v>
      </x:c>
      <x:c r="AK2973" s="87" t="str">
        <x:v>master-v0.81</x:v>
      </x:c>
      <x:c r="AL2973" s="87" t="str">
        <x:v>statgrad_master_base_v0_81_final(2).xlsx</x:v>
      </x:c>
      <x:c r="AM2973" s="87" t="str">
        <x:v>HIST_Sep_V3</x:v>
      </x:c>
      <x:c r="AN2973" s="87" t="n">
        <x:v>16</x:v>
      </x:c>
    </x:row>
    <x:row r="2974">
      <x:c r="A2974" s="87" t="n">
        <x:v>2973</x:v>
      </x:c>
      <x:c r="B2974" s="87" t="str">
        <x:v>SEP-HIST-V3-016</x:v>
      </x:c>
      <x:c r="C2974" s="87" t="str">
        <x:v>СтатГрад</x:v>
      </x:c>
      <x:c r="D2974" s="87" t="str">
        <x:v>Сентябрь 2025</x:v>
      </x:c>
      <x:c r="E2974" s="87"/>
      <x:c r="F2974" s="87"/>
      <x:c r="G2974" s="87" t="str">
        <x:v>История</x:v>
      </x:c>
      <x:c r="H2974" s="87" t="n">
        <x:v>11</x:v>
      </x:c>
      <x:c r="I2974" s="87" t="str">
        <x:v>ТР №1</x:v>
      </x:c>
      <x:c r="J2974" s="87" t="str">
        <x:v>ИС2510103</x:v>
      </x:c>
      <x:c r="K2974" s="87" t="n">
        <x:v>16</x:v>
      </x:c>
      <x:c r="L2974" s="87" t="str">
        <x:v>Архитектура по изображению</x:v>
      </x:c>
      <x:c r="M2974" s="30" t="str">
        <x:v>Выбрать памятник, строительство которого началось в царствование Алексея Михайловича, и назвать инициатора.</x:v>
      </x:c>
      <x:c r="N2974" s="30" t="str">
        <x:v>1; патриарх Никон</x:v>
      </x:c>
      <x:c r="O2974" s="30" t="str">
        <x:v>Памятник №1 связан со строительной деятельностью патриарха Никона.</x:v>
      </x:c>
      <x:c r="P2974" s="30" t="str">
        <x:v>Памятник №1 связан со строительной деятельностью патриарха Никона.</x:v>
      </x:c>
      <x:c r="Q2974" s="30"/>
      <x:c r="R2974" s="30" t="str">
        <x:v>Архив пользователя: Zadanie_IS11_23092025_.pdf; официальный критерий; https://hist-ege.sdamgia.ru/test?id=5257023&amp;print=true</x:v>
      </x:c>
      <x:c r="S2974" s="30"/>
      <x:c r="T2974" s="30"/>
      <x:c r="U2974" s="30" t="str">
        <x:v>Расхождений не обнаружено. Смешанный вариант: задание перенесено из базового комплекта 102.</x:v>
      </x:c>
      <x:c r="V2974" s="87" t="str">
        <x:v>VERIFIED</x:v>
      </x:c>
      <x:c r="W2974" s="87" t="str">
        <x:v>Zadanie_IS11_23092025_.pdf, стр. 11</x:v>
      </x:c>
      <x:c r="X2974" s="87"/>
      <x:c r="Y2974" s="87"/>
      <x:c r="Z2974" s="87"/>
      <x:c r="AA2974" s="87"/>
      <x:c r="AB2974" s="87"/>
      <x:c r="AC2974" s="87"/>
      <x:c r="AD2974" s="87"/>
      <x:c r="AE2974" s="87"/>
      <x:c r="AF2974" s="87"/>
      <x:c r="AG2974" s="87"/>
      <x:c r="AH2974" s="87"/>
      <x:c r="AI2974" s="30"/>
      <x:c r="AJ2974" s="87" t="str">
        <x:v>master</x:v>
      </x:c>
      <x:c r="AK2974" s="87" t="str">
        <x:v>master-v0.81</x:v>
      </x:c>
      <x:c r="AL2974" s="87" t="str">
        <x:v>statgrad_master_base_v0_81_final(2).xlsx</x:v>
      </x:c>
      <x:c r="AM2974" s="87" t="str">
        <x:v>HIST_Sep_V3</x:v>
      </x:c>
      <x:c r="AN2974" s="87" t="n">
        <x:v>17</x:v>
      </x:c>
    </x:row>
    <x:row r="2975">
      <x:c r="A2975" s="87" t="n">
        <x:v>2974</x:v>
      </x:c>
      <x:c r="B2975" s="87" t="str">
        <x:v>SEP-HIST-V3-017</x:v>
      </x:c>
      <x:c r="C2975" s="87" t="str">
        <x:v>СтатГрад</x:v>
      </x:c>
      <x:c r="D2975" s="87" t="str">
        <x:v>Сентябрь 2025</x:v>
      </x:c>
      <x:c r="E2975" s="87"/>
      <x:c r="F2975" s="87"/>
      <x:c r="G2975" s="87" t="str">
        <x:v>История</x:v>
      </x:c>
      <x:c r="H2975" s="87" t="n">
        <x:v>11</x:v>
      </x:c>
      <x:c r="I2975" s="87" t="str">
        <x:v>ТР №1</x:v>
      </x:c>
      <x:c r="J2975" s="87" t="str">
        <x:v>ИС2510103</x:v>
      </x:c>
      <x:c r="K2975" s="87" t="n">
        <x:v>17</x:v>
      </x:c>
      <x:c r="L2975" s="87" t="str">
        <x:v>Анализ источников о Великой Отечественной войне</x:v>
      </x:c>
      <x:c r="M2975" s="30" t="str">
        <x:v>Назвать год, любую стратегическую операцию этого года и фактор, осложнявший положение немцев в Белоруссии.</x:v>
      </x:c>
      <x:c r="N2975" s="30" t="str">
        <x:v>1944; например, «Багратион»; 150-тысячная армия партизан и подпольщиков контролировала значительные территории</x:v>
      </x:c>
      <x:c r="O2975" s="30" t="str">
        <x:v>Описаны освобождение Белоруссии, Вильнюса и Каунаса в 1944 г.; также допустим «Январский гром».</x:v>
      </x:c>
      <x:c r="P2975" s="30" t="str">
        <x:v>Описаны освобождение Белоруссии, Вильнюса и Каунаса в 1944 г.; также допустим «Январский гром».</x:v>
      </x:c>
      <x:c r="Q2975" s="30"/>
      <x:c r="R2975" s="30" t="str">
        <x:v>Архив пользователя: Zadanie_IS11_23092025_.pdf; официальный критерий; https://hist-ege.sdamgia.ru/test?id=5257023&amp;print=true</x:v>
      </x:c>
      <x:c r="S2975" s="30"/>
      <x:c r="T2975" s="30"/>
      <x:c r="U2975" s="30" t="str">
        <x:v>Расхождений не обнаружено. Смешанный вариант: задание перенесено из базового комплекта 102.</x:v>
      </x:c>
      <x:c r="V2975" s="87" t="str">
        <x:v>VERIFIED</x:v>
      </x:c>
      <x:c r="W2975" s="87" t="str">
        <x:v>Zadanie_IS11_23092025_.pdf, стр. 12</x:v>
      </x:c>
      <x:c r="X2975" s="87"/>
      <x:c r="Y2975" s="87"/>
      <x:c r="Z2975" s="87"/>
      <x:c r="AA2975" s="87"/>
      <x:c r="AB2975" s="87"/>
      <x:c r="AC2975" s="87"/>
      <x:c r="AD2975" s="87"/>
      <x:c r="AE2975" s="87"/>
      <x:c r="AF2975" s="87"/>
      <x:c r="AG2975" s="87"/>
      <x:c r="AH2975" s="87"/>
      <x:c r="AI2975" s="30"/>
      <x:c r="AJ2975" s="87" t="str">
        <x:v>master</x:v>
      </x:c>
      <x:c r="AK2975" s="87" t="str">
        <x:v>master-v0.81</x:v>
      </x:c>
      <x:c r="AL2975" s="87" t="str">
        <x:v>statgrad_master_base_v0_81_final(2).xlsx</x:v>
      </x:c>
      <x:c r="AM2975" s="87" t="str">
        <x:v>HIST_Sep_V3</x:v>
      </x:c>
      <x:c r="AN2975" s="87" t="n">
        <x:v>18</x:v>
      </x:c>
    </x:row>
    <x:row r="2976">
      <x:c r="A2976" s="87" t="n">
        <x:v>2975</x:v>
      </x:c>
      <x:c r="B2976" s="87" t="str">
        <x:v>SEP-HIST-V3-018</x:v>
      </x:c>
      <x:c r="C2976" s="87" t="str">
        <x:v>СтатГрад</x:v>
      </x:c>
      <x:c r="D2976" s="87" t="str">
        <x:v>Сентябрь 2025</x:v>
      </x:c>
      <x:c r="E2976" s="87"/>
      <x:c r="F2976" s="87"/>
      <x:c r="G2976" s="87" t="str">
        <x:v>История</x:v>
      </x:c>
      <x:c r="H2976" s="87" t="n">
        <x:v>11</x:v>
      </x:c>
      <x:c r="I2976" s="87" t="str">
        <x:v>ТР №1</x:v>
      </x:c>
      <x:c r="J2976" s="87" t="str">
        <x:v>ИС2510103</x:v>
      </x:c>
      <x:c r="K2976" s="87" t="n">
        <x:v>18</x:v>
      </x:c>
      <x:c r="L2976" s="87" t="str">
        <x:v>Причинно-следственные связи: 1993 год</x:v>
      </x:c>
      <x:c r="M2976" s="30" t="str">
        <x:v>Назвать политическую и экономическую причины конфликта Президента РФ с Верховным Советом и его последствие.</x:v>
      </x:c>
      <x:c r="N2976" s="30" t="str">
        <x:v>Спор о президентской или парламентской республике; спор о темпе рыночных реформ и роли государства; Верховный Совет распущен, сопротивление подавлено.</x:v>
      </x:c>
      <x:c r="O2976" s="30" t="str">
        <x:v>Три элемента соответствуют политическому кризису сентября–октября 1993 г.</x:v>
      </x:c>
      <x:c r="P2976" s="30" t="str">
        <x:v>Три элемента соответствуют политическому кризису сентября–октября 1993 г.</x:v>
      </x:c>
      <x:c r="Q2976" s="30"/>
      <x:c r="R2976" s="30" t="str">
        <x:v>Архив пользователя: Zadanie_IS11_23092025_.pdf; официальный критерий; https://hist-ege.sdamgia.ru/test?id=5256897&amp;print=true</x:v>
      </x:c>
      <x:c r="S2976" s="30"/>
      <x:c r="T2976" s="30"/>
      <x:c r="U2976" s="30" t="str">
        <x:v>Расхождений не обнаружено. Смешанный вариант: задание перенесено из базового комплекта 101.</x:v>
      </x:c>
      <x:c r="V2976" s="87" t="str">
        <x:v>VERIFIED</x:v>
      </x:c>
      <x:c r="W2976" s="87" t="str">
        <x:v>Zadanie_IS11_23092025_.pdf, стр. 13</x:v>
      </x:c>
      <x:c r="X2976" s="87"/>
      <x:c r="Y2976" s="87"/>
      <x:c r="Z2976" s="87"/>
      <x:c r="AA2976" s="87"/>
      <x:c r="AB2976" s="87"/>
      <x:c r="AC2976" s="87"/>
      <x:c r="AD2976" s="87"/>
      <x:c r="AE2976" s="87"/>
      <x:c r="AF2976" s="87"/>
      <x:c r="AG2976" s="87"/>
      <x:c r="AH2976" s="87"/>
      <x:c r="AI2976" s="30"/>
      <x:c r="AJ2976" s="87" t="str">
        <x:v>master</x:v>
      </x:c>
      <x:c r="AK2976" s="87" t="str">
        <x:v>master-v0.81</x:v>
      </x:c>
      <x:c r="AL2976" s="87" t="str">
        <x:v>statgrad_master_base_v0_81_final(2).xlsx</x:v>
      </x:c>
      <x:c r="AM2976" s="87" t="str">
        <x:v>HIST_Sep_V3</x:v>
      </x:c>
      <x:c r="AN2976" s="87" t="n">
        <x:v>19</x:v>
      </x:c>
    </x:row>
    <x:row r="2977">
      <x:c r="A2977" s="87" t="n">
        <x:v>2976</x:v>
      </x:c>
      <x:c r="B2977" s="87" t="str">
        <x:v>SEP-HIST-V3-019</x:v>
      </x:c>
      <x:c r="C2977" s="87" t="str">
        <x:v>СтатГрад</x:v>
      </x:c>
      <x:c r="D2977" s="87" t="str">
        <x:v>Сентябрь 2025</x:v>
      </x:c>
      <x:c r="E2977" s="87"/>
      <x:c r="F2977" s="87"/>
      <x:c r="G2977" s="87" t="str">
        <x:v>История</x:v>
      </x:c>
      <x:c r="H2977" s="87" t="n">
        <x:v>11</x:v>
      </x:c>
      <x:c r="I2977" s="87" t="str">
        <x:v>ТР №1</x:v>
      </x:c>
      <x:c r="J2977" s="87" t="str">
        <x:v>ИС2510103</x:v>
      </x:c>
      <x:c r="K2977" s="87" t="n">
        <x:v>19</x:v>
      </x:c>
      <x:c r="L2977" s="87" t="str">
        <x:v>Историческое понятие</x:v>
      </x:c>
      <x:c r="M2977" s="30" t="str">
        <x:v>Раскрыть понятие «Избранная рада» и привести отдельный факт.</x:v>
      </x:c>
      <x:c r="N2977" s="30" t="str">
        <x:v>Неформальный совет при Иване IV; например, в него входил А. Адашев или при его участии принят Судебник 1550 г.</x:v>
      </x:c>
      <x:c r="O2977" s="30" t="str">
        <x:v>Определение содержит родовой признак; факт не повторяет определение.</x:v>
      </x:c>
      <x:c r="P2977" s="30" t="str">
        <x:v>Определение содержит родовой признак; факт не повторяет определение.</x:v>
      </x:c>
      <x:c r="Q2977" s="30"/>
      <x:c r="R2977" s="30" t="str">
        <x:v>Архив пользователя: Zadanie_IS11_23092025_.pdf; официальный критерий; https://hist-ege.sdamgia.ru/test?id=5256897&amp;print=true</x:v>
      </x:c>
      <x:c r="S2977" s="30"/>
      <x:c r="T2977" s="30"/>
      <x:c r="U2977" s="30" t="str">
        <x:v>Расхождений не обнаружено. Смешанный вариант: задание перенесено из базового комплекта 101.</x:v>
      </x:c>
      <x:c r="V2977" s="87" t="str">
        <x:v>VERIFIED</x:v>
      </x:c>
      <x:c r="W2977" s="87" t="str">
        <x:v>Zadanie_IS11_23092025_.pdf, стр. 13</x:v>
      </x:c>
      <x:c r="X2977" s="87"/>
      <x:c r="Y2977" s="87"/>
      <x:c r="Z2977" s="87"/>
      <x:c r="AA2977" s="87"/>
      <x:c r="AB2977" s="87"/>
      <x:c r="AC2977" s="87"/>
      <x:c r="AD2977" s="87"/>
      <x:c r="AE2977" s="87"/>
      <x:c r="AF2977" s="87"/>
      <x:c r="AG2977" s="87"/>
      <x:c r="AH2977" s="87"/>
      <x:c r="AI2977" s="30"/>
      <x:c r="AJ2977" s="87" t="str">
        <x:v>master</x:v>
      </x:c>
      <x:c r="AK2977" s="87" t="str">
        <x:v>master-v0.81</x:v>
      </x:c>
      <x:c r="AL2977" s="87" t="str">
        <x:v>statgrad_master_base_v0_81_final(2).xlsx</x:v>
      </x:c>
      <x:c r="AM2977" s="87" t="str">
        <x:v>HIST_Sep_V3</x:v>
      </x:c>
      <x:c r="AN2977" s="87" t="n">
        <x:v>20</x:v>
      </x:c>
    </x:row>
    <x:row r="2978">
      <x:c r="A2978" s="87" t="n">
        <x:v>2977</x:v>
      </x:c>
      <x:c r="B2978" s="87" t="str">
        <x:v>SEP-HIST-V3-020</x:v>
      </x:c>
      <x:c r="C2978" s="87" t="str">
        <x:v>СтатГрад</x:v>
      </x:c>
      <x:c r="D2978" s="87" t="str">
        <x:v>Сентябрь 2025</x:v>
      </x:c>
      <x:c r="E2978" s="87"/>
      <x:c r="F2978" s="87"/>
      <x:c r="G2978" s="87" t="str">
        <x:v>История</x:v>
      </x:c>
      <x:c r="H2978" s="87" t="n">
        <x:v>11</x:v>
      </x:c>
      <x:c r="I2978" s="87" t="str">
        <x:v>ТР №1</x:v>
      </x:c>
      <x:c r="J2978" s="87" t="str">
        <x:v>ИС2510103</x:v>
      </x:c>
      <x:c r="K2978" s="87" t="n">
        <x:v>20</x:v>
      </x:c>
      <x:c r="L2978" s="87" t="str">
        <x:v>Сравнение систем управления</x:v>
      </x:c>
      <x:c r="M2978" s="30" t="str">
        <x:v>Сформулировать различие управления России середины XVII в. и конца правления Петра I и дать два парных обоснования.</x:v>
      </x:c>
      <x:c r="N2978" s="30" t="str">
        <x:v>К концу правления Петра I управление стало рациональнее: приказы с пересекавшимися функциями заменены отраслевыми коллегиями; местничество и зависимость службы от происхождения сменились Табелью о рангах.</x:v>
      </x:c>
      <x:c r="O2978" s="30" t="str">
        <x:v>Каждое обоснование содержит по факту для двух сравниваемых периодов.</x:v>
      </x:c>
      <x:c r="P2978" s="30" t="str">
        <x:v>Каждое обоснование содержит по факту для двух сравниваемых периодов.</x:v>
      </x:c>
      <x:c r="Q2978" s="30"/>
      <x:c r="R2978" s="30" t="str">
        <x:v>Архив пользователя: Zadanie_IS11_23092025_.pdf; официальный критерий; https://hist-ege.sdamgia.ru/test?id=5256897&amp;print=true</x:v>
      </x:c>
      <x:c r="S2978" s="30"/>
      <x:c r="T2978" s="30"/>
      <x:c r="U2978" s="30" t="str">
        <x:v>Расхождений не обнаружено. Смешанный вариант: задание перенесено из базового комплекта 101.</x:v>
      </x:c>
      <x:c r="V2978" s="87" t="str">
        <x:v>VERIFIED</x:v>
      </x:c>
      <x:c r="W2978" s="87" t="str">
        <x:v>Zadanie_IS11_23092025_.pdf, стр. 13</x:v>
      </x:c>
      <x:c r="X2978" s="87"/>
      <x:c r="Y2978" s="87"/>
      <x:c r="Z2978" s="87"/>
      <x:c r="AA2978" s="87"/>
      <x:c r="AB2978" s="87"/>
      <x:c r="AC2978" s="87"/>
      <x:c r="AD2978" s="87"/>
      <x:c r="AE2978" s="87"/>
      <x:c r="AF2978" s="87"/>
      <x:c r="AG2978" s="87"/>
      <x:c r="AH2978" s="87"/>
      <x:c r="AI2978" s="30"/>
      <x:c r="AJ2978" s="87" t="str">
        <x:v>master</x:v>
      </x:c>
      <x:c r="AK2978" s="87" t="str">
        <x:v>master-v0.81</x:v>
      </x:c>
      <x:c r="AL2978" s="87" t="str">
        <x:v>statgrad_master_base_v0_81_final(2).xlsx</x:v>
      </x:c>
      <x:c r="AM2978" s="87" t="str">
        <x:v>HIST_Sep_V3</x:v>
      </x:c>
      <x:c r="AN2978" s="87" t="n">
        <x:v>21</x:v>
      </x:c>
    </x:row>
    <x:row r="2979">
      <x:c r="A2979" s="87" t="n">
        <x:v>2978</x:v>
      </x:c>
      <x:c r="B2979" s="87" t="str">
        <x:v>SEP-HIST-V3-021</x:v>
      </x:c>
      <x:c r="C2979" s="87" t="str">
        <x:v>СтатГрад</x:v>
      </x:c>
      <x:c r="D2979" s="87" t="str">
        <x:v>Сентябрь 2025</x:v>
      </x:c>
      <x:c r="E2979" s="87"/>
      <x:c r="F2979" s="87"/>
      <x:c r="G2979" s="87" t="str">
        <x:v>История</x:v>
      </x:c>
      <x:c r="H2979" s="87" t="n">
        <x:v>11</x:v>
      </x:c>
      <x:c r="I2979" s="87" t="str">
        <x:v>ТР №1</x:v>
      </x:c>
      <x:c r="J2979" s="87" t="str">
        <x:v>ИС2510103</x:v>
      </x:c>
      <x:c r="K2979" s="87" t="n">
        <x:v>21</x:v>
      </x:c>
      <x:c r="L2979" s="87" t="str">
        <x:v>Историческая аргументация</x:v>
      </x:c>
      <x:c r="M2979" s="30" t="str">
        <x:v>Доказать влияние внешнеполитических обстоятельств XIV–XV вв. на социальную ситуацию в русских землях и Франции.</x:v>
      </x:c>
      <x:c r="N2979" s="30" t="str">
        <x:v>Русские земли: борьба с Ордой усилила поместное войско и привела к ограничению крестьянского перехода Судебником 1497 г. Франция: бедствия Столетней войны и налоговый гнёт вызвали Жакерию.</x:v>
      </x:c>
      <x:c r="O2979" s="30" t="str">
        <x:v>Оба аргумента связывают внешнюю угрозу с конкретным социальным последствием.</x:v>
      </x:c>
      <x:c r="P2979" s="30" t="str">
        <x:v>Оба аргумента связывают внешнюю угрозу с конкретным социальным последствием.</x:v>
      </x:c>
      <x:c r="Q2979" s="30"/>
      <x:c r="R2979" s="30" t="str">
        <x:v>Архив пользователя: Zadanie_IS11_23092025_.pdf; официальный критерий; https://hist-ege.sdamgia.ru/test?id=5256897&amp;print=true</x:v>
      </x:c>
      <x:c r="S2979" s="30"/>
      <x:c r="T2979" s="30"/>
      <x:c r="U2979" s="30" t="str">
        <x:v>Расхождений не обнаружено. Смешанный вариант: задание перенесено из базового комплекта 101.</x:v>
      </x:c>
      <x:c r="V2979" s="87" t="str">
        <x:v>VERIFIED</x:v>
      </x:c>
      <x:c r="W2979" s="87" t="str">
        <x:v>Zadanie_IS11_23092025_.pdf, стр. 13</x:v>
      </x:c>
      <x:c r="X2979" s="87"/>
      <x:c r="Y2979" s="87"/>
      <x:c r="Z2979" s="87"/>
      <x:c r="AA2979" s="87"/>
      <x:c r="AB2979" s="87"/>
      <x:c r="AC2979" s="87"/>
      <x:c r="AD2979" s="87"/>
      <x:c r="AE2979" s="87"/>
      <x:c r="AF2979" s="87"/>
      <x:c r="AG2979" s="87"/>
      <x:c r="AH2979" s="87"/>
      <x:c r="AI2979" s="30"/>
      <x:c r="AJ2979" s="87" t="str">
        <x:v>master</x:v>
      </x:c>
      <x:c r="AK2979" s="87" t="str">
        <x:v>master-v0.81</x:v>
      </x:c>
      <x:c r="AL2979" s="87" t="str">
        <x:v>statgrad_master_base_v0_81_final(2).xlsx</x:v>
      </x:c>
      <x:c r="AM2979" s="87" t="str">
        <x:v>HIST_Sep_V3</x:v>
      </x:c>
      <x:c r="AN2979" s="87" t="n">
        <x:v>22</x:v>
      </x:c>
    </x:row>
    <x:row r="2980">
      <x:c r="A2980" s="87" t="n">
        <x:v>2979</x:v>
      </x:c>
      <x:c r="B2980" s="87" t="str">
        <x:v>SEP-HIST-V4-001</x:v>
      </x:c>
      <x:c r="C2980" s="87" t="str">
        <x:v>СтатГрад</x:v>
      </x:c>
      <x:c r="D2980" s="87" t="str">
        <x:v>Сентябрь 2025</x:v>
      </x:c>
      <x:c r="E2980" s="87"/>
      <x:c r="F2980" s="87"/>
      <x:c r="G2980" s="87" t="str">
        <x:v>История</x:v>
      </x:c>
      <x:c r="H2980" s="87" t="n">
        <x:v>11</x:v>
      </x:c>
      <x:c r="I2980" s="87" t="str">
        <x:v>ТР №1</x:v>
      </x:c>
      <x:c r="J2980" s="87" t="str">
        <x:v>ИС2510104</x:v>
      </x:c>
      <x:c r="K2980" s="87" t="n">
        <x:v>1</x:v>
      </x:c>
      <x:c r="L2980" s="87" t="str">
        <x:v>Соответствие событий и дат</x:v>
      </x:c>
      <x:c r="M2980" s="30" t="str">
        <x:v>Соотнести избрание Л. И. Брежнева, Тегеранскую конференцию, издание Свода законов и Новоторговый устав с годами.</x:v>
      </x:c>
      <x:c r="N2980" s="30" t="str">
        <x:v>6431</x:v>
      </x:c>
      <x:c r="O2980" s="30" t="str">
        <x:v>Брежнев — 1964; Тегеран — 1943; Свод законов — 1832; Новоторговый устав — 1667.</x:v>
      </x:c>
      <x:c r="P2980" s="30" t="str">
        <x:v>Брежнев — 1964; Тегеран — 1943; Свод законов — 1832; Новоторговый устав — 1667.</x:v>
      </x:c>
      <x:c r="Q2980" s="30"/>
      <x:c r="R2980" s="30" t="str">
        <x:v>Архив пользователя: Zadanie_IS11_23092025_.pdf; официальный критерий; https://hist-ege.sdamgia.ru/test?id=5257023&amp;print=true</x:v>
      </x:c>
      <x:c r="S2980" s="30"/>
      <x:c r="T2980" s="30"/>
      <x:c r="U2980" s="30" t="str">
        <x:v>Расхождений не обнаружено. Смешанный вариант: задание перенесено из базового комплекта 102.</x:v>
      </x:c>
      <x:c r="V2980" s="87" t="str">
        <x:v>VERIFIED</x:v>
      </x:c>
      <x:c r="W2980" s="87" t="str">
        <x:v>Zadanie_IS11_23092025_.pdf, стр. 15</x:v>
      </x:c>
      <x:c r="X2980" s="87"/>
      <x:c r="Y2980" s="87"/>
      <x:c r="Z2980" s="87"/>
      <x:c r="AA2980" s="87"/>
      <x:c r="AB2980" s="87"/>
      <x:c r="AC2980" s="87"/>
      <x:c r="AD2980" s="87"/>
      <x:c r="AE2980" s="87"/>
      <x:c r="AF2980" s="87"/>
      <x:c r="AG2980" s="87"/>
      <x:c r="AH2980" s="87"/>
      <x:c r="AI2980" s="30"/>
      <x:c r="AJ2980" s="87" t="str">
        <x:v>master</x:v>
      </x:c>
      <x:c r="AK2980" s="87" t="str">
        <x:v>master-v0.81</x:v>
      </x:c>
      <x:c r="AL2980" s="87" t="str">
        <x:v>statgrad_master_base_v0_81_final(2).xlsx</x:v>
      </x:c>
      <x:c r="AM2980" s="87" t="str">
        <x:v>HIST_Sep_V4</x:v>
      </x:c>
      <x:c r="AN2980" s="87" t="n">
        <x:v>2</x:v>
      </x:c>
    </x:row>
    <x:row r="2981">
      <x:c r="A2981" s="87" t="n">
        <x:v>2980</x:v>
      </x:c>
      <x:c r="B2981" s="87" t="str">
        <x:v>SEP-HIST-V4-002</x:v>
      </x:c>
      <x:c r="C2981" s="87" t="str">
        <x:v>СтатГрад</x:v>
      </x:c>
      <x:c r="D2981" s="87" t="str">
        <x:v>Сентябрь 2025</x:v>
      </x:c>
      <x:c r="E2981" s="87"/>
      <x:c r="F2981" s="87"/>
      <x:c r="G2981" s="87" t="str">
        <x:v>История</x:v>
      </x:c>
      <x:c r="H2981" s="87" t="n">
        <x:v>11</x:v>
      </x:c>
      <x:c r="I2981" s="87" t="str">
        <x:v>ТР №1</x:v>
      </x:c>
      <x:c r="J2981" s="87" t="str">
        <x:v>ИС2510104</x:v>
      </x:c>
      <x:c r="K2981" s="87" t="n">
        <x:v>2</x:v>
      </x:c>
      <x:c r="L2981" s="87" t="str">
        <x:v>Хронология</x:v>
      </x:c>
      <x:c r="M2981" s="30" t="str">
        <x:v>Расположить избрание Дж. Вашингтона, переход Уссурийского края к России и роспуск Коминтерна.</x:v>
      </x:c>
      <x:c r="N2981" s="30" t="str">
        <x:v>213</x:v>
      </x:c>
      <x:c r="O2981" s="30" t="str">
        <x:v>Вашингтон избран в 1789 г.; Уссурийский край закреплён за Россией в 1860 г.; Коминтерн распущен в 1943 г.</x:v>
      </x:c>
      <x:c r="P2981" s="30" t="str">
        <x:v>Вашингтон избран в 1789 г.; Уссурийский край закреплён за Россией в 1860 г.; Коминтерн распущен в 1943 г.</x:v>
      </x:c>
      <x:c r="Q2981" s="30"/>
      <x:c r="R2981" s="30" t="str">
        <x:v>Архив пользователя: Zadanie_IS11_23092025_.pdf; официальный критерий; https://hist-ege.sdamgia.ru/test?id=5256897&amp;print=true</x:v>
      </x:c>
      <x:c r="S2981" s="30"/>
      <x:c r="T2981" s="30"/>
      <x:c r="U2981" s="30" t="str">
        <x:v>Расхождений не обнаружено. Смешанный вариант: задание перенесено из базового комплекта 101.</x:v>
      </x:c>
      <x:c r="V2981" s="87" t="str">
        <x:v>VERIFIED</x:v>
      </x:c>
      <x:c r="W2981" s="87" t="str">
        <x:v>Zadanie_IS11_23092025_.pdf, стр. 15</x:v>
      </x:c>
      <x:c r="X2981" s="87"/>
      <x:c r="Y2981" s="87"/>
      <x:c r="Z2981" s="87"/>
      <x:c r="AA2981" s="87"/>
      <x:c r="AB2981" s="87"/>
      <x:c r="AC2981" s="87"/>
      <x:c r="AD2981" s="87"/>
      <x:c r="AE2981" s="87"/>
      <x:c r="AF2981" s="87"/>
      <x:c r="AG2981" s="87"/>
      <x:c r="AH2981" s="87"/>
      <x:c r="AI2981" s="30"/>
      <x:c r="AJ2981" s="87" t="str">
        <x:v>master</x:v>
      </x:c>
      <x:c r="AK2981" s="87" t="str">
        <x:v>master-v0.81</x:v>
      </x:c>
      <x:c r="AL2981" s="87" t="str">
        <x:v>statgrad_master_base_v0_81_final(2).xlsx</x:v>
      </x:c>
      <x:c r="AM2981" s="87" t="str">
        <x:v>HIST_Sep_V4</x:v>
      </x:c>
      <x:c r="AN2981" s="87" t="n">
        <x:v>3</x:v>
      </x:c>
    </x:row>
    <x:row r="2982">
      <x:c r="A2982" s="87" t="n">
        <x:v>2981</x:v>
      </x:c>
      <x:c r="B2982" s="87" t="str">
        <x:v>SEP-HIST-V4-003</x:v>
      </x:c>
      <x:c r="C2982" s="87" t="str">
        <x:v>СтатГрад</x:v>
      </x:c>
      <x:c r="D2982" s="87" t="str">
        <x:v>Сентябрь 2025</x:v>
      </x:c>
      <x:c r="E2982" s="87"/>
      <x:c r="F2982" s="87"/>
      <x:c r="G2982" s="87" t="str">
        <x:v>История</x:v>
      </x:c>
      <x:c r="H2982" s="87" t="n">
        <x:v>11</x:v>
      </x:c>
      <x:c r="I2982" s="87" t="str">
        <x:v>ТР №1</x:v>
      </x:c>
      <x:c r="J2982" s="87" t="str">
        <x:v>ИС2510104</x:v>
      </x:c>
      <x:c r="K2982" s="87" t="n">
        <x:v>3</x:v>
      </x:c>
      <x:c r="L2982" s="87" t="str">
        <x:v>Соответствие процессов и фактов</x:v>
      </x:c>
      <x:c r="M2982" s="30" t="str">
        <x:v>Соотнести опричный террор, Гражданскую войну, русско-турецкую войну 1877–1878 гг. и междоусобицу XV в. с фактами.</x:v>
      </x:c>
      <x:c r="N2982" s="30" t="str">
        <x:v>6142</x:v>
      </x:c>
      <x:c r="O2982" s="30" t="str">
        <x:v>Разгром Новгорода; казнь Колчака; оборона Шипки; ослепление Василия II.</x:v>
      </x:c>
      <x:c r="P2982" s="30" t="str">
        <x:v>Разгром Новгорода; казнь Колчака; оборона Шипки; ослепление Василия II.</x:v>
      </x:c>
      <x:c r="Q2982" s="30"/>
      <x:c r="R2982" s="30" t="str">
        <x:v>Архив пользователя: Zadanie_IS11_23092025_.pdf; официальный критерий; https://hist-ege.sdamgia.ru/test?id=5257023&amp;print=true</x:v>
      </x:c>
      <x:c r="S2982" s="30"/>
      <x:c r="T2982" s="30"/>
      <x:c r="U2982" s="30" t="str">
        <x:v>Расхождений не обнаружено. Смешанный вариант: задание перенесено из базового комплекта 102.</x:v>
      </x:c>
      <x:c r="V2982" s="87" t="str">
        <x:v>VERIFIED</x:v>
      </x:c>
      <x:c r="W2982" s="87" t="str">
        <x:v>Zadanie_IS11_23092025_.pdf, стр. 16</x:v>
      </x:c>
      <x:c r="X2982" s="87"/>
      <x:c r="Y2982" s="87"/>
      <x:c r="Z2982" s="87"/>
      <x:c r="AA2982" s="87"/>
      <x:c r="AB2982" s="87"/>
      <x:c r="AC2982" s="87"/>
      <x:c r="AD2982" s="87"/>
      <x:c r="AE2982" s="87"/>
      <x:c r="AF2982" s="87"/>
      <x:c r="AG2982" s="87"/>
      <x:c r="AH2982" s="87"/>
      <x:c r="AI2982" s="30"/>
      <x:c r="AJ2982" s="87" t="str">
        <x:v>master</x:v>
      </x:c>
      <x:c r="AK2982" s="87" t="str">
        <x:v>master-v0.81</x:v>
      </x:c>
      <x:c r="AL2982" s="87" t="str">
        <x:v>statgrad_master_base_v0_81_final(2).xlsx</x:v>
      </x:c>
      <x:c r="AM2982" s="87" t="str">
        <x:v>HIST_Sep_V4</x:v>
      </x:c>
      <x:c r="AN2982" s="87" t="n">
        <x:v>4</x:v>
      </x:c>
    </x:row>
    <x:row r="2983">
      <x:c r="A2983" s="87" t="n">
        <x:v>2982</x:v>
      </x:c>
      <x:c r="B2983" s="87" t="str">
        <x:v>SEP-HIST-V4-004</x:v>
      </x:c>
      <x:c r="C2983" s="87" t="str">
        <x:v>СтатГрад</x:v>
      </x:c>
      <x:c r="D2983" s="87" t="str">
        <x:v>Сентябрь 2025</x:v>
      </x:c>
      <x:c r="E2983" s="87"/>
      <x:c r="F2983" s="87"/>
      <x:c r="G2983" s="87" t="str">
        <x:v>История</x:v>
      </x:c>
      <x:c r="H2983" s="87" t="n">
        <x:v>11</x:v>
      </x:c>
      <x:c r="I2983" s="87" t="str">
        <x:v>ТР №1</x:v>
      </x:c>
      <x:c r="J2983" s="87" t="str">
        <x:v>ИС2510104</x:v>
      </x:c>
      <x:c r="K2983" s="87" t="n">
        <x:v>4</x:v>
      </x:c>
      <x:c r="L2983" s="87" t="str">
        <x:v>Таблица: события и география</x:v>
      </x:c>
      <x:c r="M2983" s="30" t="str">
        <x:v>Заполнить таблицу о Куликовской битве, Любечском съезде, походах Святослава и ликвидации веча в Новгороде.</x:v>
      </x:c>
      <x:c r="N2983" s="30" t="str">
        <x:v>685219</x:v>
      </x:c>
      <x:c r="O2983" s="30" t="str">
        <x:v>Непрядва; 1370-е; съезд князей; 960-е; Новгород; ликвидация вечевого управления.</x:v>
      </x:c>
      <x:c r="P2983" s="30" t="str">
        <x:v>Непрядва; 1370-е; съезд князей; 960-е; Новгород; ликвидация вечевого управления.</x:v>
      </x:c>
      <x:c r="Q2983" s="30"/>
      <x:c r="R2983" s="30" t="str">
        <x:v>Архив пользователя: Zadanie_IS11_23092025_.pdf; официальный критерий; https://hist-ege.sdamgia.ru/test?id=5256897&amp;print=true</x:v>
      </x:c>
      <x:c r="S2983" s="30"/>
      <x:c r="T2983" s="30"/>
      <x:c r="U2983" s="30" t="str">
        <x:v>Расхождений не обнаружено. Смешанный вариант: задание перенесено из базового комплекта 101.</x:v>
      </x:c>
      <x:c r="V2983" s="87" t="str">
        <x:v>VERIFIED</x:v>
      </x:c>
      <x:c r="W2983" s="87" t="str">
        <x:v>Zadanie_IS11_23092025_.pdf, стр. 17</x:v>
      </x:c>
      <x:c r="X2983" s="87"/>
      <x:c r="Y2983" s="87"/>
      <x:c r="Z2983" s="87"/>
      <x:c r="AA2983" s="87"/>
      <x:c r="AB2983" s="87"/>
      <x:c r="AC2983" s="87"/>
      <x:c r="AD2983" s="87"/>
      <x:c r="AE2983" s="87"/>
      <x:c r="AF2983" s="87"/>
      <x:c r="AG2983" s="87"/>
      <x:c r="AH2983" s="87"/>
      <x:c r="AI2983" s="30"/>
      <x:c r="AJ2983" s="87" t="str">
        <x:v>master</x:v>
      </x:c>
      <x:c r="AK2983" s="87" t="str">
        <x:v>master-v0.81</x:v>
      </x:c>
      <x:c r="AL2983" s="87" t="str">
        <x:v>statgrad_master_base_v0_81_final(2).xlsx</x:v>
      </x:c>
      <x:c r="AM2983" s="87" t="str">
        <x:v>HIST_Sep_V4</x:v>
      </x:c>
      <x:c r="AN2983" s="87" t="n">
        <x:v>5</x:v>
      </x:c>
    </x:row>
    <x:row r="2984">
      <x:c r="A2984" s="87" t="n">
        <x:v>2983</x:v>
      </x:c>
      <x:c r="B2984" s="87" t="str">
        <x:v>SEP-HIST-V4-005</x:v>
      </x:c>
      <x:c r="C2984" s="87" t="str">
        <x:v>СтатГрад</x:v>
      </x:c>
      <x:c r="D2984" s="87" t="str">
        <x:v>Сентябрь 2025</x:v>
      </x:c>
      <x:c r="E2984" s="87"/>
      <x:c r="F2984" s="87"/>
      <x:c r="G2984" s="87" t="str">
        <x:v>История</x:v>
      </x:c>
      <x:c r="H2984" s="87" t="n">
        <x:v>11</x:v>
      </x:c>
      <x:c r="I2984" s="87" t="str">
        <x:v>ТР №1</x:v>
      </x:c>
      <x:c r="J2984" s="87" t="str">
        <x:v>ИС2510104</x:v>
      </x:c>
      <x:c r="K2984" s="87" t="n">
        <x:v>5</x:v>
      </x:c>
      <x:c r="L2984" s="87" t="str">
        <x:v>Исторические деятели</x:v>
      </x:c>
      <x:c r="M2984" s="30" t="str">
        <x:v>Соотнести Негласный комитет, манифест 1905 г., оборону дома Павлова и Новоторговый устав с участниками.</x:v>
      </x:c>
      <x:c r="N2984" s="30" t="str">
        <x:v>2534</x:v>
      </x:c>
      <x:c r="O2984" s="30" t="str">
        <x:v>Новосильцев; Витте; Павлов; Ордин-Нащокин.</x:v>
      </x:c>
      <x:c r="P2984" s="30" t="str">
        <x:v>Новосильцев; Витте; Павлов; Ордин-Нащокин.</x:v>
      </x:c>
      <x:c r="Q2984" s="30"/>
      <x:c r="R2984" s="30" t="str">
        <x:v>Архив пользователя: Zadanie_IS11_23092025_.pdf; официальный критерий; https://hist-ege.sdamgia.ru/test?id=5257023&amp;print=true</x:v>
      </x:c>
      <x:c r="S2984" s="30"/>
      <x:c r="T2984" s="30"/>
      <x:c r="U2984" s="30" t="str">
        <x:v>Расхождений не обнаружено. Смешанный вариант: задание перенесено из базового комплекта 102.</x:v>
      </x:c>
      <x:c r="V2984" s="87" t="str">
        <x:v>VERIFIED</x:v>
      </x:c>
      <x:c r="W2984" s="87" t="str">
        <x:v>Zadanie_IS11_23092025_.pdf, стр. 17</x:v>
      </x:c>
      <x:c r="X2984" s="87"/>
      <x:c r="Y2984" s="87"/>
      <x:c r="Z2984" s="87"/>
      <x:c r="AA2984" s="87"/>
      <x:c r="AB2984" s="87"/>
      <x:c r="AC2984" s="87"/>
      <x:c r="AD2984" s="87"/>
      <x:c r="AE2984" s="87"/>
      <x:c r="AF2984" s="87"/>
      <x:c r="AG2984" s="87"/>
      <x:c r="AH2984" s="87"/>
      <x:c r="AI2984" s="30"/>
      <x:c r="AJ2984" s="87" t="str">
        <x:v>master</x:v>
      </x:c>
      <x:c r="AK2984" s="87" t="str">
        <x:v>master-v0.81</x:v>
      </x:c>
      <x:c r="AL2984" s="87" t="str">
        <x:v>statgrad_master_base_v0_81_final(2).xlsx</x:v>
      </x:c>
      <x:c r="AM2984" s="87" t="str">
        <x:v>HIST_Sep_V4</x:v>
      </x:c>
      <x:c r="AN2984" s="87" t="n">
        <x:v>6</x:v>
      </x:c>
    </x:row>
    <x:row r="2985">
      <x:c r="A2985" s="87" t="n">
        <x:v>2984</x:v>
      </x:c>
      <x:c r="B2985" s="87" t="str">
        <x:v>SEP-HIST-V4-006</x:v>
      </x:c>
      <x:c r="C2985" s="87" t="str">
        <x:v>СтатГрад</x:v>
      </x:c>
      <x:c r="D2985" s="87" t="str">
        <x:v>Сентябрь 2025</x:v>
      </x:c>
      <x:c r="E2985" s="87"/>
      <x:c r="F2985" s="87"/>
      <x:c r="G2985" s="87" t="str">
        <x:v>История</x:v>
      </x:c>
      <x:c r="H2985" s="87" t="n">
        <x:v>11</x:v>
      </x:c>
      <x:c r="I2985" s="87" t="str">
        <x:v>ТР №1</x:v>
      </x:c>
      <x:c r="J2985" s="87" t="str">
        <x:v>ИС2510104</x:v>
      </x:c>
      <x:c r="K2985" s="87" t="n">
        <x:v>6</x:v>
      </x:c>
      <x:c r="L2985" s="87" t="str">
        <x:v>Анализ партийного постановления</x:v>
      </x:c>
      <x:c r="M2985" s="30" t="str">
        <x:v>По постановлению об антипартийной группе выбрать верные суждения.</x:v>
      </x:c>
      <x:c r="N2985" s="30" t="str">
        <x:v>2346</x:v>
      </x:c>
      <x:c r="O2985" s="30" t="str">
        <x:v>Документ относится к хрущёвскому времени; среди участников был Молотов; в 1950-е запущен спутник и началось освоение целины.</x:v>
      </x:c>
      <x:c r="P2985" s="30" t="str">
        <x:v>Документ относится к хрущёвскому времени; среди участников был Молотов; в 1950-е запущен спутник и началось освоение целины.</x:v>
      </x:c>
      <x:c r="Q2985" s="30"/>
      <x:c r="R2985" s="30" t="str">
        <x:v>Архив пользователя: Zadanie_IS11_23092025_.pdf; официальный критерий; https://hist-ege.sdamgia.ru/test?id=5256897&amp;print=true</x:v>
      </x:c>
      <x:c r="S2985" s="30"/>
      <x:c r="T2985" s="30"/>
      <x:c r="U2985" s="30" t="str">
        <x:v>Расхождений не обнаружено. Смешанный вариант: задание перенесено из базового комплекта 101.</x:v>
      </x:c>
      <x:c r="V2985" s="87" t="str">
        <x:v>VERIFIED</x:v>
      </x:c>
      <x:c r="W2985" s="87" t="str">
        <x:v>Zadanie_IS11_23092025_.pdf, стр. 18</x:v>
      </x:c>
      <x:c r="X2985" s="87"/>
      <x:c r="Y2985" s="87"/>
      <x:c r="Z2985" s="87"/>
      <x:c r="AA2985" s="87"/>
      <x:c r="AB2985" s="87"/>
      <x:c r="AC2985" s="87"/>
      <x:c r="AD2985" s="87"/>
      <x:c r="AE2985" s="87"/>
      <x:c r="AF2985" s="87"/>
      <x:c r="AG2985" s="87"/>
      <x:c r="AH2985" s="87"/>
      <x:c r="AI2985" s="30"/>
      <x:c r="AJ2985" s="87" t="str">
        <x:v>master</x:v>
      </x:c>
      <x:c r="AK2985" s="87" t="str">
        <x:v>master-v0.81</x:v>
      </x:c>
      <x:c r="AL2985" s="87" t="str">
        <x:v>statgrad_master_base_v0_81_final(2).xlsx</x:v>
      </x:c>
      <x:c r="AM2985" s="87" t="str">
        <x:v>HIST_Sep_V4</x:v>
      </x:c>
      <x:c r="AN2985" s="87" t="n">
        <x:v>7</x:v>
      </x:c>
    </x:row>
    <x:row r="2986">
      <x:c r="A2986" s="87" t="n">
        <x:v>2985</x:v>
      </x:c>
      <x:c r="B2986" s="87" t="str">
        <x:v>SEP-HIST-V4-007</x:v>
      </x:c>
      <x:c r="C2986" s="87" t="str">
        <x:v>СтатГрад</x:v>
      </x:c>
      <x:c r="D2986" s="87" t="str">
        <x:v>Сентябрь 2025</x:v>
      </x:c>
      <x:c r="E2986" s="87"/>
      <x:c r="F2986" s="87"/>
      <x:c r="G2986" s="87" t="str">
        <x:v>История</x:v>
      </x:c>
      <x:c r="H2986" s="87" t="n">
        <x:v>11</x:v>
      </x:c>
      <x:c r="I2986" s="87" t="str">
        <x:v>ТР №1</x:v>
      </x:c>
      <x:c r="J2986" s="87" t="str">
        <x:v>ИС2510104</x:v>
      </x:c>
      <x:c r="K2986" s="87" t="n">
        <x:v>7</x:v>
      </x:c>
      <x:c r="L2986" s="87" t="str">
        <x:v>Памятники культуры</x:v>
      </x:c>
      <x:c r="M2986" s="30" t="str">
        <x:v>Соотнести «Сказание об осаде Троицкого монастыря», Золотые ворота, «Медный всадник» и «Оттепель» с характеристиками.</x:v>
      </x:c>
      <x:c r="N2986" s="30" t="str">
        <x:v>6214</x:v>
      </x:c>
      <x:c r="O2986" s="30" t="str">
        <x:v>Автор «Сказания» — Авраамий Палицын; Золотые ворота — Андрей Боголюбский; «Медный всадник» — Фальконе; «Оттепель» — 1950-е.</x:v>
      </x:c>
      <x:c r="P2986" s="30" t="str">
        <x:v>Автор «Сказания» — Авраамий Палицын; Золотые ворота — Андрей Боголюбский; «Медный всадник» — Фальконе; «Оттепель» — 1950-е.</x:v>
      </x:c>
      <x:c r="Q2986" s="30"/>
      <x:c r="R2986" s="30" t="str">
        <x:v>Архив пользователя: Zadanie_IS11_23092025_.pdf; официальный критерий; https://hist-ege.sdamgia.ru/test?id=5257023&amp;print=true</x:v>
      </x:c>
      <x:c r="S2986" s="30"/>
      <x:c r="T2986" s="30"/>
      <x:c r="U2986" s="30" t="str">
        <x:v>Расхождений не обнаружено. Смешанный вариант: задание перенесено из базового комплекта 102.</x:v>
      </x:c>
      <x:c r="V2986" s="87" t="str">
        <x:v>VERIFIED</x:v>
      </x:c>
      <x:c r="W2986" s="87" t="str">
        <x:v>Zadanie_IS11_23092025_.pdf, стр. 19</x:v>
      </x:c>
      <x:c r="X2986" s="87"/>
      <x:c r="Y2986" s="87"/>
      <x:c r="Z2986" s="87"/>
      <x:c r="AA2986" s="87"/>
      <x:c r="AB2986" s="87"/>
      <x:c r="AC2986" s="87"/>
      <x:c r="AD2986" s="87"/>
      <x:c r="AE2986" s="87"/>
      <x:c r="AF2986" s="87"/>
      <x:c r="AG2986" s="87"/>
      <x:c r="AH2986" s="87"/>
      <x:c r="AI2986" s="30"/>
      <x:c r="AJ2986" s="87" t="str">
        <x:v>master</x:v>
      </x:c>
      <x:c r="AK2986" s="87" t="str">
        <x:v>master-v0.81</x:v>
      </x:c>
      <x:c r="AL2986" s="87" t="str">
        <x:v>statgrad_master_base_v0_81_final(2).xlsx</x:v>
      </x:c>
      <x:c r="AM2986" s="87" t="str">
        <x:v>HIST_Sep_V4</x:v>
      </x:c>
      <x:c r="AN2986" s="87" t="n">
        <x:v>8</x:v>
      </x:c>
    </x:row>
    <x:row r="2987">
      <x:c r="A2987" s="87" t="n">
        <x:v>2986</x:v>
      </x:c>
      <x:c r="B2987" s="87" t="str">
        <x:v>SEP-HIST-V4-008</x:v>
      </x:c>
      <x:c r="C2987" s="87" t="str">
        <x:v>СтатГрад</x:v>
      </x:c>
      <x:c r="D2987" s="87" t="str">
        <x:v>Сентябрь 2025</x:v>
      </x:c>
      <x:c r="E2987" s="87"/>
      <x:c r="F2987" s="87"/>
      <x:c r="G2987" s="87" t="str">
        <x:v>История</x:v>
      </x:c>
      <x:c r="H2987" s="87" t="n">
        <x:v>11</x:v>
      </x:c>
      <x:c r="I2987" s="87" t="str">
        <x:v>ТР №1</x:v>
      </x:c>
      <x:c r="J2987" s="87" t="str">
        <x:v>ИС2510104</x:v>
      </x:c>
      <x:c r="K2987" s="87" t="n">
        <x:v>8</x:v>
      </x:c>
      <x:c r="L2987" s="87" t="str">
        <x:v>Изображение Великой Отечественной войны</x:v>
      </x:c>
      <x:c r="M2987" s="30" t="str">
        <x:v>По памятнику определить словами год начала посвящённой ему битвы.</x:v>
      </x:c>
      <x:c r="N2987" s="30" t="str">
        <x:v>сорок первом</x:v>
      </x:c>
      <x:c r="O2987" s="30" t="str">
        <x:v>Памятник относится к битве, начавшейся в 1941 г.</x:v>
      </x:c>
      <x:c r="P2987" s="30" t="str">
        <x:v>Памятник относится к битве, начавшейся в 1941 г.</x:v>
      </x:c>
      <x:c r="Q2987" s="30"/>
      <x:c r="R2987" s="30" t="str">
        <x:v>Архив пользователя: Zadanie_IS11_23092025_.pdf; официальный критерий; https://hist-ege.sdamgia.ru/test?id=5256897&amp;print=true</x:v>
      </x:c>
      <x:c r="S2987" s="30"/>
      <x:c r="T2987" s="30"/>
      <x:c r="U2987" s="30" t="str">
        <x:v>Расхождений не обнаружено. Смешанный вариант: задание перенесено из базового комплекта 101.</x:v>
      </x:c>
      <x:c r="V2987" s="87" t="str">
        <x:v>VERIFIED</x:v>
      </x:c>
      <x:c r="W2987" s="87" t="str">
        <x:v>Zadanie_IS11_23092025_.pdf, стр. 19</x:v>
      </x:c>
      <x:c r="X2987" s="87"/>
      <x:c r="Y2987" s="87"/>
      <x:c r="Z2987" s="87"/>
      <x:c r="AA2987" s="87"/>
      <x:c r="AB2987" s="87"/>
      <x:c r="AC2987" s="87"/>
      <x:c r="AD2987" s="87"/>
      <x:c r="AE2987" s="87"/>
      <x:c r="AF2987" s="87"/>
      <x:c r="AG2987" s="87"/>
      <x:c r="AH2987" s="87"/>
      <x:c r="AI2987" s="30"/>
      <x:c r="AJ2987" s="87" t="str">
        <x:v>master</x:v>
      </x:c>
      <x:c r="AK2987" s="87" t="str">
        <x:v>master-v0.81</x:v>
      </x:c>
      <x:c r="AL2987" s="87" t="str">
        <x:v>statgrad_master_base_v0_81_final(2).xlsx</x:v>
      </x:c>
      <x:c r="AM2987" s="87" t="str">
        <x:v>HIST_Sep_V4</x:v>
      </x:c>
      <x:c r="AN2987" s="87" t="n">
        <x:v>9</x:v>
      </x:c>
    </x:row>
    <x:row r="2988">
      <x:c r="A2988" s="87" t="n">
        <x:v>2987</x:v>
      </x:c>
      <x:c r="B2988" s="87" t="str">
        <x:v>SEP-HIST-V4-009</x:v>
      </x:c>
      <x:c r="C2988" s="87" t="str">
        <x:v>СтатГрад</x:v>
      </x:c>
      <x:c r="D2988" s="87" t="str">
        <x:v>Сентябрь 2025</x:v>
      </x:c>
      <x:c r="E2988" s="87"/>
      <x:c r="F2988" s="87"/>
      <x:c r="G2988" s="87" t="str">
        <x:v>История</x:v>
      </x:c>
      <x:c r="H2988" s="87" t="n">
        <x:v>11</x:v>
      </x:c>
      <x:c r="I2988" s="87" t="str">
        <x:v>ТР №1</x:v>
      </x:c>
      <x:c r="J2988" s="87" t="str">
        <x:v>ИС2510104</x:v>
      </x:c>
      <x:c r="K2988" s="87" t="n">
        <x:v>9</x:v>
      </x:c>
      <x:c r="L2988" s="87" t="str">
        <x:v>Историческая схема</x:v>
      </x:c>
      <x:c r="M2988" s="30" t="str">
        <x:v>Назвать государство, территория которого обозначена цифрой 1 на схеме восстания Разина.</x:v>
      </x:c>
      <x:c r="N2988" s="30" t="str">
        <x:v>Крымское ханство</x:v>
      </x:c>
      <x:c r="O2988" s="30" t="str">
        <x:v>На юго-востоке схемы обозначено Крымское ханство.</x:v>
      </x:c>
      <x:c r="P2988" s="30" t="str">
        <x:v>На юго-востоке схемы обозначено Крымское ханство.</x:v>
      </x:c>
      <x:c r="Q2988" s="30"/>
      <x:c r="R2988" s="30" t="str">
        <x:v>Архив пользователя: Zadanie_IS11_23092025_.pdf; официальный критерий; https://hist-ege.sdamgia.ru/test?id=5257023&amp;print=true</x:v>
      </x:c>
      <x:c r="S2988" s="30"/>
      <x:c r="T2988" s="30"/>
      <x:c r="U2988" s="30" t="str">
        <x:v>Расхождений не обнаружено. Смешанный вариант: задание перенесено из базового комплекта 102.</x:v>
      </x:c>
      <x:c r="V2988" s="87" t="str">
        <x:v>VERIFIED</x:v>
      </x:c>
      <x:c r="W2988" s="87" t="str">
        <x:v>Zadanie_IS11_23092025_.pdf, стр. 20</x:v>
      </x:c>
      <x:c r="X2988" s="87"/>
      <x:c r="Y2988" s="87"/>
      <x:c r="Z2988" s="87"/>
      <x:c r="AA2988" s="87"/>
      <x:c r="AB2988" s="87"/>
      <x:c r="AC2988" s="87"/>
      <x:c r="AD2988" s="87"/>
      <x:c r="AE2988" s="87"/>
      <x:c r="AF2988" s="87"/>
      <x:c r="AG2988" s="87"/>
      <x:c r="AH2988" s="87"/>
      <x:c r="AI2988" s="30"/>
      <x:c r="AJ2988" s="87" t="str">
        <x:v>master</x:v>
      </x:c>
      <x:c r="AK2988" s="87" t="str">
        <x:v>master-v0.81</x:v>
      </x:c>
      <x:c r="AL2988" s="87" t="str">
        <x:v>statgrad_master_base_v0_81_final(2).xlsx</x:v>
      </x:c>
      <x:c r="AM2988" s="87" t="str">
        <x:v>HIST_Sep_V4</x:v>
      </x:c>
      <x:c r="AN2988" s="87" t="n">
        <x:v>10</x:v>
      </x:c>
    </x:row>
    <x:row r="2989">
      <x:c r="A2989" s="87" t="n">
        <x:v>2988</x:v>
      </x:c>
      <x:c r="B2989" s="87" t="str">
        <x:v>SEP-HIST-V4-010</x:v>
      </x:c>
      <x:c r="C2989" s="87" t="str">
        <x:v>СтатГрад</x:v>
      </x:c>
      <x:c r="D2989" s="87" t="str">
        <x:v>Сентябрь 2025</x:v>
      </x:c>
      <x:c r="E2989" s="87"/>
      <x:c r="F2989" s="87"/>
      <x:c r="G2989" s="87" t="str">
        <x:v>История</x:v>
      </x:c>
      <x:c r="H2989" s="87" t="n">
        <x:v>11</x:v>
      </x:c>
      <x:c r="I2989" s="87" t="str">
        <x:v>ТР №1</x:v>
      </x:c>
      <x:c r="J2989" s="87" t="str">
        <x:v>ИС2510104</x:v>
      </x:c>
      <x:c r="K2989" s="87" t="n">
        <x:v>10</x:v>
      </x:c>
      <x:c r="L2989" s="87" t="str">
        <x:v>Историческая схема</x:v>
      </x:c>
      <x:c r="M2989" s="30" t="str">
        <x:v>Назвать войну, по итогам которой Россия присоединила территорию под цифрой 2.</x:v>
      </x:c>
      <x:c r="N2989" s="30" t="str">
        <x:v>Северная</x:v>
      </x:c>
      <x:c r="O2989" s="30" t="str">
        <x:v>Территория вошла в Россию по Ништадтскому миру после Северной войны. Фото-сводка ошибочно указывает «Столбовский».</x:v>
      </x:c>
      <x:c r="P2989" s="30" t="str">
        <x:v>Территория вошла в Россию по Ништадтскому миру после Северной войны. Фото-сводка ошибочно указывает «Столбовский».</x:v>
      </x:c>
      <x:c r="Q2989" s="30"/>
      <x:c r="R2989" s="30" t="str">
        <x:v>Архив пользователя: Zadanie_IS11_23092025_.pdf; официальный критерий; https://hist-ege.sdamgia.ru/test?id=5257023&amp;print=true</x:v>
      </x:c>
      <x:c r="S2989" s="30"/>
      <x:c r="T2989" s="30"/>
      <x:c r="U2989" s="30" t="str">
        <x:v>Дополнительная фото-сводка ошибочно даёт «Столбовский»; официальный PDF, условие и карта подтверждают «Северная».  Смешанный вариант: задание перенесено из базового комплекта 102.</x:v>
      </x:c>
      <x:c r="V2989" s="87" t="str">
        <x:v>VERIFIED</x:v>
      </x:c>
      <x:c r="W2989" s="87" t="str">
        <x:v>Zadanie_IS11_23092025_.pdf, стр. 20</x:v>
      </x:c>
      <x:c r="X2989" s="87"/>
      <x:c r="Y2989" s="87"/>
      <x:c r="Z2989" s="87"/>
      <x:c r="AA2989" s="87"/>
      <x:c r="AB2989" s="87"/>
      <x:c r="AC2989" s="87"/>
      <x:c r="AD2989" s="87"/>
      <x:c r="AE2989" s="87"/>
      <x:c r="AF2989" s="87"/>
      <x:c r="AG2989" s="87"/>
      <x:c r="AH2989" s="87"/>
      <x:c r="AI2989" s="30"/>
      <x:c r="AJ2989" s="87" t="str">
        <x:v>master</x:v>
      </x:c>
      <x:c r="AK2989" s="87" t="str">
        <x:v>master-v0.81</x:v>
      </x:c>
      <x:c r="AL2989" s="87" t="str">
        <x:v>statgrad_master_base_v0_81_final(2).xlsx</x:v>
      </x:c>
      <x:c r="AM2989" s="87" t="str">
        <x:v>HIST_Sep_V4</x:v>
      </x:c>
      <x:c r="AN2989" s="87" t="n">
        <x:v>11</x:v>
      </x:c>
    </x:row>
    <x:row r="2990">
      <x:c r="A2990" s="87" t="n">
        <x:v>2989</x:v>
      </x:c>
      <x:c r="B2990" s="87" t="str">
        <x:v>SEP-HIST-V4-011</x:v>
      </x:c>
      <x:c r="C2990" s="87" t="str">
        <x:v>СтатГрад</x:v>
      </x:c>
      <x:c r="D2990" s="87" t="str">
        <x:v>Сентябрь 2025</x:v>
      </x:c>
      <x:c r="E2990" s="87"/>
      <x:c r="F2990" s="87"/>
      <x:c r="G2990" s="87" t="str">
        <x:v>История</x:v>
      </x:c>
      <x:c r="H2990" s="87" t="n">
        <x:v>11</x:v>
      </x:c>
      <x:c r="I2990" s="87" t="str">
        <x:v>ТР №1</x:v>
      </x:c>
      <x:c r="J2990" s="87" t="str">
        <x:v>ИС2510104</x:v>
      </x:c>
      <x:c r="K2990" s="87" t="n">
        <x:v>11</x:v>
      </x:c>
      <x:c r="L2990" s="87" t="str">
        <x:v>Карта и текст</x:v>
      </x:c>
      <x:c r="M2990" s="30" t="str">
        <x:v>По маршруту отряда Максима Осипова назвать город на Суре.</x:v>
      </x:c>
      <x:c r="N2990" s="30" t="str">
        <x:v>Курмыш</x:v>
      </x:c>
      <x:c r="O2990" s="30" t="str">
        <x:v>После Алатыря отряд направился к Курмышу; город отмечен на схеме.</x:v>
      </x:c>
      <x:c r="P2990" s="30" t="str">
        <x:v>После Алатыря отряд направился к Курмышу; город отмечен на схеме.</x:v>
      </x:c>
      <x:c r="Q2990" s="30"/>
      <x:c r="R2990" s="30" t="str">
        <x:v>Архив пользователя: Zadanie_IS11_23092025_.pdf; официальный критерий; https://hist-ege.sdamgia.ru/test?id=5257023&amp;print=true</x:v>
      </x:c>
      <x:c r="S2990" s="30"/>
      <x:c r="T2990" s="30"/>
      <x:c r="U2990" s="30" t="str">
        <x:v>Расхождений не обнаружено. Смешанный вариант: задание перенесено из базового комплекта 102.</x:v>
      </x:c>
      <x:c r="V2990" s="87" t="str">
        <x:v>VERIFIED</x:v>
      </x:c>
      <x:c r="W2990" s="87" t="str">
        <x:v>Zadanie_IS11_23092025_.pdf, стр. 21</x:v>
      </x:c>
      <x:c r="X2990" s="87"/>
      <x:c r="Y2990" s="87"/>
      <x:c r="Z2990" s="87"/>
      <x:c r="AA2990" s="87"/>
      <x:c r="AB2990" s="87"/>
      <x:c r="AC2990" s="87"/>
      <x:c r="AD2990" s="87"/>
      <x:c r="AE2990" s="87"/>
      <x:c r="AF2990" s="87"/>
      <x:c r="AG2990" s="87"/>
      <x:c r="AH2990" s="87"/>
      <x:c r="AI2990" s="30"/>
      <x:c r="AJ2990" s="87" t="str">
        <x:v>master</x:v>
      </x:c>
      <x:c r="AK2990" s="87" t="str">
        <x:v>master-v0.81</x:v>
      </x:c>
      <x:c r="AL2990" s="87" t="str">
        <x:v>statgrad_master_base_v0_81_final(2).xlsx</x:v>
      </x:c>
      <x:c r="AM2990" s="87" t="str">
        <x:v>HIST_Sep_V4</x:v>
      </x:c>
      <x:c r="AN2990" s="87" t="n">
        <x:v>12</x:v>
      </x:c>
    </x:row>
    <x:row r="2991">
      <x:c r="A2991" s="87" t="n">
        <x:v>2990</x:v>
      </x:c>
      <x:c r="B2991" s="87" t="str">
        <x:v>SEP-HIST-V4-012</x:v>
      </x:c>
      <x:c r="C2991" s="87" t="str">
        <x:v>СтатГрад</x:v>
      </x:c>
      <x:c r="D2991" s="87" t="str">
        <x:v>Сентябрь 2025</x:v>
      </x:c>
      <x:c r="E2991" s="87"/>
      <x:c r="F2991" s="87"/>
      <x:c r="G2991" s="87" t="str">
        <x:v>История</x:v>
      </x:c>
      <x:c r="H2991" s="87" t="n">
        <x:v>11</x:v>
      </x:c>
      <x:c r="I2991" s="87" t="str">
        <x:v>ТР №1</x:v>
      </x:c>
      <x:c r="J2991" s="87" t="str">
        <x:v>ИС2510104</x:v>
      </x:c>
      <x:c r="K2991" s="87" t="n">
        <x:v>12</x:v>
      </x:c>
      <x:c r="L2991" s="87" t="str">
        <x:v>Суждения по карте</x:v>
      </x:c>
      <x:c r="M2991" s="30" t="str">
        <x:v>Выбрать верные утверждения по схеме восстания Степана Разина.</x:v>
      </x:c>
      <x:c r="N2991" s="30" t="str">
        <x:v>345</x:v>
      </x:c>
      <x:c r="O2991" s="30" t="str">
        <x:v>Верны положения о Царицыне, присоединении Казани при Иване IV и Вечном мире с Речью Посполитой.</x:v>
      </x:c>
      <x:c r="P2991" s="30" t="str">
        <x:v>Верны положения о Царицыне, присоединении Казани при Иване IV и Вечном мире с Речью Посполитой.</x:v>
      </x:c>
      <x:c r="Q2991" s="30"/>
      <x:c r="R2991" s="30" t="str">
        <x:v>Архив пользователя: Zadanie_IS11_23092025_.pdf; официальный критерий; https://hist-ege.sdamgia.ru/test?id=5257023&amp;print=true</x:v>
      </x:c>
      <x:c r="S2991" s="30"/>
      <x:c r="T2991" s="30"/>
      <x:c r="U2991" s="30" t="str">
        <x:v>Расхождений не обнаружено. Смешанный вариант: задание перенесено из базового комплекта 102.</x:v>
      </x:c>
      <x:c r="V2991" s="87" t="str">
        <x:v>VERIFIED</x:v>
      </x:c>
      <x:c r="W2991" s="87" t="str">
        <x:v>Zadanie_IS11_23092025_.pdf, стр. 21</x:v>
      </x:c>
      <x:c r="X2991" s="87"/>
      <x:c r="Y2991" s="87"/>
      <x:c r="Z2991" s="87"/>
      <x:c r="AA2991" s="87"/>
      <x:c r="AB2991" s="87"/>
      <x:c r="AC2991" s="87"/>
      <x:c r="AD2991" s="87"/>
      <x:c r="AE2991" s="87"/>
      <x:c r="AF2991" s="87"/>
      <x:c r="AG2991" s="87"/>
      <x:c r="AH2991" s="87"/>
      <x:c r="AI2991" s="30"/>
      <x:c r="AJ2991" s="87" t="str">
        <x:v>master</x:v>
      </x:c>
      <x:c r="AK2991" s="87" t="str">
        <x:v>master-v0.81</x:v>
      </x:c>
      <x:c r="AL2991" s="87" t="str">
        <x:v>statgrad_master_base_v0_81_final(2).xlsx</x:v>
      </x:c>
      <x:c r="AM2991" s="87" t="str">
        <x:v>HIST_Sep_V4</x:v>
      </x:c>
      <x:c r="AN2991" s="87" t="n">
        <x:v>13</x:v>
      </x:c>
    </x:row>
    <x:row r="2992">
      <x:c r="A2992" s="87" t="n">
        <x:v>2991</x:v>
      </x:c>
      <x:c r="B2992" s="87" t="str">
        <x:v>SEP-HIST-V4-013</x:v>
      </x:c>
      <x:c r="C2992" s="87" t="str">
        <x:v>СтатГрад</x:v>
      </x:c>
      <x:c r="D2992" s="87" t="str">
        <x:v>Сентябрь 2025</x:v>
      </x:c>
      <x:c r="E2992" s="87"/>
      <x:c r="F2992" s="87"/>
      <x:c r="G2992" s="87" t="str">
        <x:v>История</x:v>
      </x:c>
      <x:c r="H2992" s="87" t="n">
        <x:v>11</x:v>
      </x:c>
      <x:c r="I2992" s="87" t="str">
        <x:v>ТР №1</x:v>
      </x:c>
      <x:c r="J2992" s="87" t="str">
        <x:v>ИС2510104</x:v>
      </x:c>
      <x:c r="K2992" s="87" t="n">
        <x:v>13</x:v>
      </x:c>
      <x:c r="L2992" s="87" t="str">
        <x:v>Атрибуция письменного источника</x:v>
      </x:c>
      <x:c r="M2992" s="30" t="str">
        <x:v>По очерку Б. Х. Миниха назвать императрицу, год её смерти и регента.</x:v>
      </x:c>
      <x:c r="N2992" s="30" t="str">
        <x:v>Анна Иоанновна; 1740; Бирон</x:v>
      </x:c>
      <x:c r="O2992" s="30" t="str">
        <x:v>Завещание и регентство при младенце Иоанне Антоновиче указывают на Анну Иоанновну и Э. И. Бирона.</x:v>
      </x:c>
      <x:c r="P2992" s="30" t="str">
        <x:v>Завещание и регентство при младенце Иоанне Антоновиче указывают на Анну Иоанновну и Э. И. Бирона.</x:v>
      </x:c>
      <x:c r="Q2992" s="30"/>
      <x:c r="R2992" s="30" t="str">
        <x:v>Архив пользователя: Zadanie_IS11_23092025_.pdf; официальный критерий; https://hist-ege.sdamgia.ru/test?id=5256897&amp;print=true</x:v>
      </x:c>
      <x:c r="S2992" s="30"/>
      <x:c r="T2992" s="30"/>
      <x:c r="U2992" s="30" t="str">
        <x:v>Расхождений не обнаружено. Смешанный вариант: задание перенесено из базового комплекта 101.</x:v>
      </x:c>
      <x:c r="V2992" s="87" t="str">
        <x:v>VERIFIED</x:v>
      </x:c>
      <x:c r="W2992" s="87" t="str">
        <x:v>Zadanie_IS11_23092025_.pdf, стр. 23</x:v>
      </x:c>
      <x:c r="X2992" s="87"/>
      <x:c r="Y2992" s="87"/>
      <x:c r="Z2992" s="87"/>
      <x:c r="AA2992" s="87"/>
      <x:c r="AB2992" s="87"/>
      <x:c r="AC2992" s="87"/>
      <x:c r="AD2992" s="87"/>
      <x:c r="AE2992" s="87"/>
      <x:c r="AF2992" s="87"/>
      <x:c r="AG2992" s="87"/>
      <x:c r="AH2992" s="87"/>
      <x:c r="AI2992" s="30"/>
      <x:c r="AJ2992" s="87" t="str">
        <x:v>master</x:v>
      </x:c>
      <x:c r="AK2992" s="87" t="str">
        <x:v>master-v0.81</x:v>
      </x:c>
      <x:c r="AL2992" s="87" t="str">
        <x:v>statgrad_master_base_v0_81_final(2).xlsx</x:v>
      </x:c>
      <x:c r="AM2992" s="87" t="str">
        <x:v>HIST_Sep_V4</x:v>
      </x:c>
      <x:c r="AN2992" s="87" t="n">
        <x:v>14</x:v>
      </x:c>
    </x:row>
    <x:row r="2993">
      <x:c r="A2993" s="87" t="n">
        <x:v>2992</x:v>
      </x:c>
      <x:c r="B2993" s="87" t="str">
        <x:v>SEP-HIST-V4-014</x:v>
      </x:c>
      <x:c r="C2993" s="87" t="str">
        <x:v>СтатГрад</x:v>
      </x:c>
      <x:c r="D2993" s="87" t="str">
        <x:v>Сентябрь 2025</x:v>
      </x:c>
      <x:c r="E2993" s="87"/>
      <x:c r="F2993" s="87"/>
      <x:c r="G2993" s="87" t="str">
        <x:v>История</x:v>
      </x:c>
      <x:c r="H2993" s="87" t="n">
        <x:v>11</x:v>
      </x:c>
      <x:c r="I2993" s="87" t="str">
        <x:v>ТР №1</x:v>
      </x:c>
      <x:c r="J2993" s="87" t="str">
        <x:v>ИС2510104</x:v>
      </x:c>
      <x:c r="K2993" s="87" t="n">
        <x:v>14</x:v>
      </x:c>
      <x:c r="L2993" s="87" t="str">
        <x:v>Поиск информации в источнике</x:v>
      </x:c>
      <x:c r="M2993" s="30" t="str">
        <x:v>Назвать два условия завещания перед регентом и причину его отказа учить русский язык.</x:v>
      </x:c>
      <x:c r="N2993" s="30" t="str">
        <x:v>Почтительно обращаться с Анной Леопольдовной и её супругом; в 17 лет проверить способность Иоанна управлять; русский не учил, чтобы не читать императрице прошения и донесения.</x:v>
      </x:c>
      <x:c r="O2993" s="30" t="str">
        <x:v>Все три положения прямо сформулированы в источнике.</x:v>
      </x:c>
      <x:c r="P2993" s="30" t="str">
        <x:v>Все три положения прямо сформулированы в источнике.</x:v>
      </x:c>
      <x:c r="Q2993" s="30"/>
      <x:c r="R2993" s="30" t="str">
        <x:v>Архив пользователя: Zadanie_IS11_23092025_.pdf; официальный критерий; https://hist-ege.sdamgia.ru/test?id=5256897&amp;print=true</x:v>
      </x:c>
      <x:c r="S2993" s="30"/>
      <x:c r="T2993" s="30"/>
      <x:c r="U2993" s="30" t="str">
        <x:v>Расхождений не обнаружено. Смешанный вариант: задание перенесено из базового комплекта 101.</x:v>
      </x:c>
      <x:c r="V2993" s="87" t="str">
        <x:v>VERIFIED</x:v>
      </x:c>
      <x:c r="W2993" s="87" t="str">
        <x:v>Zadanie_IS11_23092025_.pdf, стр. 23</x:v>
      </x:c>
      <x:c r="X2993" s="87"/>
      <x:c r="Y2993" s="87"/>
      <x:c r="Z2993" s="87"/>
      <x:c r="AA2993" s="87"/>
      <x:c r="AB2993" s="87"/>
      <x:c r="AC2993" s="87"/>
      <x:c r="AD2993" s="87"/>
      <x:c r="AE2993" s="87"/>
      <x:c r="AF2993" s="87"/>
      <x:c r="AG2993" s="87"/>
      <x:c r="AH2993" s="87"/>
      <x:c r="AI2993" s="30"/>
      <x:c r="AJ2993" s="87" t="str">
        <x:v>master</x:v>
      </x:c>
      <x:c r="AK2993" s="87" t="str">
        <x:v>master-v0.81</x:v>
      </x:c>
      <x:c r="AL2993" s="87" t="str">
        <x:v>statgrad_master_base_v0_81_final(2).xlsx</x:v>
      </x:c>
      <x:c r="AM2993" s="87" t="str">
        <x:v>HIST_Sep_V4</x:v>
      </x:c>
      <x:c r="AN2993" s="87" t="n">
        <x:v>15</x:v>
      </x:c>
    </x:row>
    <x:row r="2994">
      <x:c r="A2994" s="87" t="n">
        <x:v>2993</x:v>
      </x:c>
      <x:c r="B2994" s="87" t="str">
        <x:v>SEP-HIST-V4-015</x:v>
      </x:c>
      <x:c r="C2994" s="87" t="str">
        <x:v>СтатГрад</x:v>
      </x:c>
      <x:c r="D2994" s="87" t="str">
        <x:v>Сентябрь 2025</x:v>
      </x:c>
      <x:c r="E2994" s="87"/>
      <x:c r="F2994" s="87"/>
      <x:c r="G2994" s="87" t="str">
        <x:v>История</x:v>
      </x:c>
      <x:c r="H2994" s="87" t="n">
        <x:v>11</x:v>
      </x:c>
      <x:c r="I2994" s="87" t="str">
        <x:v>ТР №1</x:v>
      </x:c>
      <x:c r="J2994" s="87" t="str">
        <x:v>ИС2510104</x:v>
      </x:c>
      <x:c r="K2994" s="87" t="n">
        <x:v>15</x:v>
      </x:c>
      <x:c r="L2994" s="87" t="str">
        <x:v>Марка и датировка</x:v>
      </x:c>
      <x:c r="M2994" s="30" t="str">
        <x:v>Назвать государя, при котором основан город на юбилейной марке, и обосновать.</x:v>
      </x:c>
      <x:c r="N2994" s="30" t="str">
        <x:v>Фёдор Иванович; 1986−400=1586</x:v>
      </x:c>
      <x:c r="O2994" s="30" t="str">
        <x:v>Марка посвящена 400-летию Куйбышева; 1586 г. приходится на царствование Фёдора Ивановича.</x:v>
      </x:c>
      <x:c r="P2994" s="30" t="str">
        <x:v>Марка посвящена 400-летию Куйбышева; 1586 г. приходится на царствование Фёдора Ивановича.</x:v>
      </x:c>
      <x:c r="Q2994" s="30"/>
      <x:c r="R2994" s="30" t="str">
        <x:v>Архив пользователя: Zadanie_IS11_23092025_.pdf; официальный критерий; https://hist-ege.sdamgia.ru/test?id=5256897&amp;print=true</x:v>
      </x:c>
      <x:c r="S2994" s="30"/>
      <x:c r="T2994" s="30"/>
      <x:c r="U2994" s="30" t="str">
        <x:v>Расхождений не обнаружено. Смешанный вариант: задание перенесено из базового комплекта 101.</x:v>
      </x:c>
      <x:c r="V2994" s="87" t="str">
        <x:v>VERIFIED</x:v>
      </x:c>
      <x:c r="W2994" s="87" t="str">
        <x:v>Zadanie_IS11_23092025_.pdf, стр. 23</x:v>
      </x:c>
      <x:c r="X2994" s="87"/>
      <x:c r="Y2994" s="87"/>
      <x:c r="Z2994" s="87"/>
      <x:c r="AA2994" s="87"/>
      <x:c r="AB2994" s="87"/>
      <x:c r="AC2994" s="87"/>
      <x:c r="AD2994" s="87"/>
      <x:c r="AE2994" s="87"/>
      <x:c r="AF2994" s="87"/>
      <x:c r="AG2994" s="87"/>
      <x:c r="AH2994" s="87"/>
      <x:c r="AI2994" s="30"/>
      <x:c r="AJ2994" s="87" t="str">
        <x:v>master</x:v>
      </x:c>
      <x:c r="AK2994" s="87" t="str">
        <x:v>master-v0.81</x:v>
      </x:c>
      <x:c r="AL2994" s="87" t="str">
        <x:v>statgrad_master_base_v0_81_final(2).xlsx</x:v>
      </x:c>
      <x:c r="AM2994" s="87" t="str">
        <x:v>HIST_Sep_V4</x:v>
      </x:c>
      <x:c r="AN2994" s="87" t="n">
        <x:v>16</x:v>
      </x:c>
    </x:row>
    <x:row r="2995">
      <x:c r="A2995" s="87" t="n">
        <x:v>2994</x:v>
      </x:c>
      <x:c r="B2995" s="87" t="str">
        <x:v>SEP-HIST-V4-016</x:v>
      </x:c>
      <x:c r="C2995" s="87" t="str">
        <x:v>СтатГрад</x:v>
      </x:c>
      <x:c r="D2995" s="87" t="str">
        <x:v>Сентябрь 2025</x:v>
      </x:c>
      <x:c r="E2995" s="87"/>
      <x:c r="F2995" s="87"/>
      <x:c r="G2995" s="87" t="str">
        <x:v>История</x:v>
      </x:c>
      <x:c r="H2995" s="87" t="n">
        <x:v>11</x:v>
      </x:c>
      <x:c r="I2995" s="87" t="str">
        <x:v>ТР №1</x:v>
      </x:c>
      <x:c r="J2995" s="87" t="str">
        <x:v>ИС2510104</x:v>
      </x:c>
      <x:c r="K2995" s="87" t="n">
        <x:v>16</x:v>
      </x:c>
      <x:c r="L2995" s="87" t="str">
        <x:v>Архитектура по изображению</x:v>
      </x:c>
      <x:c r="M2995" s="30" t="str">
        <x:v>Выбрать памятник XVI века и назвать событие, в честь которого он сооружён.</x:v>
      </x:c>
      <x:c r="N2995" s="30" t="str">
        <x:v>4; взятие Казани</x:v>
      </x:c>
      <x:c r="O2995" s="30" t="str">
        <x:v>Памятник №4 — храм Василия Блаженного, сооружённый в честь взятия Казани.</x:v>
      </x:c>
      <x:c r="P2995" s="30" t="str">
        <x:v>Памятник №4 — храм Василия Блаженного, сооружённый в честь взятия Казани.</x:v>
      </x:c>
      <x:c r="Q2995" s="30"/>
      <x:c r="R2995" s="30" t="str">
        <x:v>Архив пользователя: Zadanie_IS11_23092025_.pdf; официальный критерий; https://hist-ege.sdamgia.ru/test?id=5256897&amp;print=true</x:v>
      </x:c>
      <x:c r="S2995" s="30"/>
      <x:c r="T2995" s="30"/>
      <x:c r="U2995" s="30" t="str">
        <x:v>Расхождений не обнаружено. Смешанный вариант: задание перенесено из базового комплекта 101.</x:v>
      </x:c>
      <x:c r="V2995" s="87" t="str">
        <x:v>VERIFIED</x:v>
      </x:c>
      <x:c r="W2995" s="87" t="str">
        <x:v>Zadanie_IS11_23092025_.pdf, стр. 24</x:v>
      </x:c>
      <x:c r="X2995" s="87"/>
      <x:c r="Y2995" s="87"/>
      <x:c r="Z2995" s="87"/>
      <x:c r="AA2995" s="87"/>
      <x:c r="AB2995" s="87"/>
      <x:c r="AC2995" s="87"/>
      <x:c r="AD2995" s="87"/>
      <x:c r="AE2995" s="87"/>
      <x:c r="AF2995" s="87"/>
      <x:c r="AG2995" s="87"/>
      <x:c r="AH2995" s="87"/>
      <x:c r="AI2995" s="30"/>
      <x:c r="AJ2995" s="87" t="str">
        <x:v>master</x:v>
      </x:c>
      <x:c r="AK2995" s="87" t="str">
        <x:v>master-v0.81</x:v>
      </x:c>
      <x:c r="AL2995" s="87" t="str">
        <x:v>statgrad_master_base_v0_81_final(2).xlsx</x:v>
      </x:c>
      <x:c r="AM2995" s="87" t="str">
        <x:v>HIST_Sep_V4</x:v>
      </x:c>
      <x:c r="AN2995" s="87" t="n">
        <x:v>17</x:v>
      </x:c>
    </x:row>
    <x:row r="2996">
      <x:c r="A2996" s="87" t="n">
        <x:v>2995</x:v>
      </x:c>
      <x:c r="B2996" s="87" t="str">
        <x:v>SEP-HIST-V4-017</x:v>
      </x:c>
      <x:c r="C2996" s="87" t="str">
        <x:v>СтатГрад</x:v>
      </x:c>
      <x:c r="D2996" s="87" t="str">
        <x:v>Сентябрь 2025</x:v>
      </x:c>
      <x:c r="E2996" s="87"/>
      <x:c r="F2996" s="87"/>
      <x:c r="G2996" s="87" t="str">
        <x:v>История</x:v>
      </x:c>
      <x:c r="H2996" s="87" t="n">
        <x:v>11</x:v>
      </x:c>
      <x:c r="I2996" s="87" t="str">
        <x:v>ТР №1</x:v>
      </x:c>
      <x:c r="J2996" s="87" t="str">
        <x:v>ИС2510104</x:v>
      </x:c>
      <x:c r="K2996" s="87" t="n">
        <x:v>17</x:v>
      </x:c>
      <x:c r="L2996" s="87" t="str">
        <x:v>Анализ источников о Великой Отечественной войне</x:v>
      </x:c>
      <x:c r="M2996" s="30" t="str">
        <x:v>Назвать год, любую стратегическую операцию этого года и опасность при движении дивизии к передовой.</x:v>
      </x:c>
      <x:c r="N2996" s="30" t="str">
        <x:v>1943; например, «Кутузов»; дороги постоянно обстреливались артиллерией</x:v>
      </x:c>
      <x:c r="O2996" s="30" t="str">
        <x:v>Сталинград уже завершён, описаны весенние события 1943 г.; допустимы «Искра», «Кольцо», «Кутузов», «Полководец Румянцев».</x:v>
      </x:c>
      <x:c r="P2996" s="30" t="str">
        <x:v>Сталинград уже завершён, описаны весенние события 1943 г.; допустимы «Искра», «Кольцо», «Кутузов», «Полководец Румянцев».</x:v>
      </x:c>
      <x:c r="Q2996" s="30"/>
      <x:c r="R2996" s="30" t="str">
        <x:v>Архив пользователя: Zadanie_IS11_23092025_.pdf; официальный критерий; https://hist-ege.sdamgia.ru/test?id=5256897&amp;print=true</x:v>
      </x:c>
      <x:c r="S2996" s="30"/>
      <x:c r="T2996" s="30"/>
      <x:c r="U2996" s="30" t="str">
        <x:v>Расхождений не обнаружено. Смешанный вариант: задание перенесено из базового комплекта 101.</x:v>
      </x:c>
      <x:c r="V2996" s="87" t="str">
        <x:v>VERIFIED</x:v>
      </x:c>
      <x:c r="W2996" s="87" t="str">
        <x:v>Zadanie_IS11_23092025_.pdf, стр. 25</x:v>
      </x:c>
      <x:c r="X2996" s="87"/>
      <x:c r="Y2996" s="87"/>
      <x:c r="Z2996" s="87"/>
      <x:c r="AA2996" s="87"/>
      <x:c r="AB2996" s="87"/>
      <x:c r="AC2996" s="87"/>
      <x:c r="AD2996" s="87"/>
      <x:c r="AE2996" s="87"/>
      <x:c r="AF2996" s="87"/>
      <x:c r="AG2996" s="87"/>
      <x:c r="AH2996" s="87"/>
      <x:c r="AI2996" s="30"/>
      <x:c r="AJ2996" s="87" t="str">
        <x:v>master</x:v>
      </x:c>
      <x:c r="AK2996" s="87" t="str">
        <x:v>master-v0.81</x:v>
      </x:c>
      <x:c r="AL2996" s="87" t="str">
        <x:v>statgrad_master_base_v0_81_final(2).xlsx</x:v>
      </x:c>
      <x:c r="AM2996" s="87" t="str">
        <x:v>HIST_Sep_V4</x:v>
      </x:c>
      <x:c r="AN2996" s="87" t="n">
        <x:v>18</x:v>
      </x:c>
    </x:row>
    <x:row r="2997">
      <x:c r="A2997" s="87" t="n">
        <x:v>2996</x:v>
      </x:c>
      <x:c r="B2997" s="87" t="str">
        <x:v>SEP-HIST-V4-018</x:v>
      </x:c>
      <x:c r="C2997" s="87" t="str">
        <x:v>СтатГрад</x:v>
      </x:c>
      <x:c r="D2997" s="87" t="str">
        <x:v>Сентябрь 2025</x:v>
      </x:c>
      <x:c r="E2997" s="87"/>
      <x:c r="F2997" s="87"/>
      <x:c r="G2997" s="87" t="str">
        <x:v>История</x:v>
      </x:c>
      <x:c r="H2997" s="87" t="n">
        <x:v>11</x:v>
      </x:c>
      <x:c r="I2997" s="87" t="str">
        <x:v>ТР №1</x:v>
      </x:c>
      <x:c r="J2997" s="87" t="str">
        <x:v>ИС2510104</x:v>
      </x:c>
      <x:c r="K2997" s="87" t="n">
        <x:v>18</x:v>
      </x:c>
      <x:c r="L2997" s="87" t="str">
        <x:v>Причинно-следственные связи: реформы 1992 года</x:v>
      </x:c>
      <x:c r="M2997" s="30" t="str">
        <x:v>Назвать экономическую причину либерализации цен, социальное и политическое последствия.</x:v>
      </x:c>
      <x:c r="N2997" s="30" t="str">
        <x:v>Дефицит и несоответствие фиксированных цен затратам; резкое обнищание населения из-за скачка цен; усиление конфликта Верховного Совета с правительством и Президентом.</x:v>
      </x:c>
      <x:c r="O2997" s="30" t="str">
        <x:v>Три элемента соответствуют ходу реформ Е. Т. Гайдара.</x:v>
      </x:c>
      <x:c r="P2997" s="30" t="str">
        <x:v>Три элемента соответствуют ходу реформ Е. Т. Гайдара.</x:v>
      </x:c>
      <x:c r="Q2997" s="30"/>
      <x:c r="R2997" s="30" t="str">
        <x:v>Архив пользователя: Zadanie_IS11_23092025_.pdf; официальный критерий; https://hist-ege.sdamgia.ru/test?id=5257023&amp;print=true</x:v>
      </x:c>
      <x:c r="S2997" s="30"/>
      <x:c r="T2997" s="30"/>
      <x:c r="U2997" s="30" t="str">
        <x:v>Расхождений не обнаружено. Смешанный вариант: задание перенесено из базового комплекта 102.</x:v>
      </x:c>
      <x:c r="V2997" s="87" t="str">
        <x:v>VERIFIED</x:v>
      </x:c>
      <x:c r="W2997" s="87" t="str">
        <x:v>Zadanie_IS11_23092025_.pdf, стр. 26</x:v>
      </x:c>
      <x:c r="X2997" s="87"/>
      <x:c r="Y2997" s="87"/>
      <x:c r="Z2997" s="87"/>
      <x:c r="AA2997" s="87"/>
      <x:c r="AB2997" s="87"/>
      <x:c r="AC2997" s="87"/>
      <x:c r="AD2997" s="87"/>
      <x:c r="AE2997" s="87"/>
      <x:c r="AF2997" s="87"/>
      <x:c r="AG2997" s="87"/>
      <x:c r="AH2997" s="87"/>
      <x:c r="AI2997" s="30"/>
      <x:c r="AJ2997" s="87" t="str">
        <x:v>master</x:v>
      </x:c>
      <x:c r="AK2997" s="87" t="str">
        <x:v>master-v0.81</x:v>
      </x:c>
      <x:c r="AL2997" s="87" t="str">
        <x:v>statgrad_master_base_v0_81_final(2).xlsx</x:v>
      </x:c>
      <x:c r="AM2997" s="87" t="str">
        <x:v>HIST_Sep_V4</x:v>
      </x:c>
      <x:c r="AN2997" s="87" t="n">
        <x:v>19</x:v>
      </x:c>
    </x:row>
    <x:row r="2998">
      <x:c r="A2998" s="87" t="n">
        <x:v>2997</x:v>
      </x:c>
      <x:c r="B2998" s="87" t="str">
        <x:v>SEP-HIST-V4-019</x:v>
      </x:c>
      <x:c r="C2998" s="87" t="str">
        <x:v>СтатГрад</x:v>
      </x:c>
      <x:c r="D2998" s="87" t="str">
        <x:v>Сентябрь 2025</x:v>
      </x:c>
      <x:c r="E2998" s="87"/>
      <x:c r="F2998" s="87"/>
      <x:c r="G2998" s="87" t="str">
        <x:v>История</x:v>
      </x:c>
      <x:c r="H2998" s="87" t="n">
        <x:v>11</x:v>
      </x:c>
      <x:c r="I2998" s="87" t="str">
        <x:v>ТР №1</x:v>
      </x:c>
      <x:c r="J2998" s="87" t="str">
        <x:v>ИС2510104</x:v>
      </x:c>
      <x:c r="K2998" s="87" t="n">
        <x:v>19</x:v>
      </x:c>
      <x:c r="L2998" s="87" t="str">
        <x:v>Историческое понятие</x:v>
      </x:c>
      <x:c r="M2998" s="30" t="str">
        <x:v>Раскрыть понятие «мануфактура» и привести отдельный факт.</x:v>
      </x:c>
      <x:c r="N2998" s="30" t="str">
        <x:v>Предприятие с разделением труда и ручной техникой; например, первой российской мануфактурой считают Пушечный двор или завод А. Виниуса под Тулой.</x:v>
      </x:c>
      <x:c r="O2998" s="30" t="str">
        <x:v>Определение и факт разделены.</x:v>
      </x:c>
      <x:c r="P2998" s="30" t="str">
        <x:v>Определение и факт разделены.</x:v>
      </x:c>
      <x:c r="Q2998" s="30"/>
      <x:c r="R2998" s="30" t="str">
        <x:v>Архив пользователя: Zadanie_IS11_23092025_.pdf; официальный критерий; https://hist-ege.sdamgia.ru/test?id=5257023&amp;print=true</x:v>
      </x:c>
      <x:c r="S2998" s="30"/>
      <x:c r="T2998" s="30"/>
      <x:c r="U2998" s="30" t="str">
        <x:v>Расхождений не обнаружено. Смешанный вариант: задание перенесено из базового комплекта 102.</x:v>
      </x:c>
      <x:c r="V2998" s="87" t="str">
        <x:v>VERIFIED</x:v>
      </x:c>
      <x:c r="W2998" s="87" t="str">
        <x:v>Zadanie_IS11_23092025_.pdf, стр. 26</x:v>
      </x:c>
      <x:c r="X2998" s="87"/>
      <x:c r="Y2998" s="87"/>
      <x:c r="Z2998" s="87"/>
      <x:c r="AA2998" s="87"/>
      <x:c r="AB2998" s="87"/>
      <x:c r="AC2998" s="87"/>
      <x:c r="AD2998" s="87"/>
      <x:c r="AE2998" s="87"/>
      <x:c r="AF2998" s="87"/>
      <x:c r="AG2998" s="87"/>
      <x:c r="AH2998" s="87"/>
      <x:c r="AI2998" s="30"/>
      <x:c r="AJ2998" s="87" t="str">
        <x:v>master</x:v>
      </x:c>
      <x:c r="AK2998" s="87" t="str">
        <x:v>master-v0.81</x:v>
      </x:c>
      <x:c r="AL2998" s="87" t="str">
        <x:v>statgrad_master_base_v0_81_final(2).xlsx</x:v>
      </x:c>
      <x:c r="AM2998" s="87" t="str">
        <x:v>HIST_Sep_V4</x:v>
      </x:c>
      <x:c r="AN2998" s="87" t="n">
        <x:v>20</x:v>
      </x:c>
    </x:row>
    <x:row r="2999">
      <x:c r="A2999" s="87" t="n">
        <x:v>2998</x:v>
      </x:c>
      <x:c r="B2999" s="87" t="str">
        <x:v>SEP-HIST-V4-020</x:v>
      </x:c>
      <x:c r="C2999" s="87" t="str">
        <x:v>СтатГрад</x:v>
      </x:c>
      <x:c r="D2999" s="87" t="str">
        <x:v>Сентябрь 2025</x:v>
      </x:c>
      <x:c r="E2999" s="87"/>
      <x:c r="F2999" s="87"/>
      <x:c r="G2999" s="87" t="str">
        <x:v>История</x:v>
      </x:c>
      <x:c r="H2999" s="87" t="n">
        <x:v>11</x:v>
      </x:c>
      <x:c r="I2999" s="87" t="str">
        <x:v>ТР №1</x:v>
      </x:c>
      <x:c r="J2999" s="87" t="str">
        <x:v>ИС2510104</x:v>
      </x:c>
      <x:c r="K2999" s="87" t="n">
        <x:v>20</x:v>
      </x:c>
      <x:c r="L2999" s="87" t="str">
        <x:v>Сравнение социальной системы</x:v>
      </x:c>
      <x:c r="M2999" s="30" t="str">
        <x:v>Сформулировать различие социальной системы первой половины XVIII и первой половины XIX в. и дать два парных обоснования.</x:v>
      </x:c>
      <x:c r="N2999" s="30" t="str">
        <x:v>К XIX в. сословная организация стала чётче: после Жалованной грамоты городам оформилось мещанство; удельные и государственные крестьяне получили законодательно оформленное самоуправление, которого в начале XVIII в. не было.</x:v>
      </x:c>
      <x:c r="O2999" s="30" t="str">
        <x:v>Два обоснования сопоставляют конкретные социальные группы обоих периодов.</x:v>
      </x:c>
      <x:c r="P2999" s="30" t="str">
        <x:v>Два обоснования сопоставляют конкретные социальные группы обоих периодов.</x:v>
      </x:c>
      <x:c r="Q2999" s="30"/>
      <x:c r="R2999" s="30" t="str">
        <x:v>Архив пользователя: Zadanie_IS11_23092025_.pdf; официальный критерий; https://hist-ege.sdamgia.ru/test?id=5257023&amp;print=true</x:v>
      </x:c>
      <x:c r="S2999" s="30"/>
      <x:c r="T2999" s="30"/>
      <x:c r="U2999" s="30" t="str">
        <x:v>Расхождений не обнаружено. Смешанный вариант: задание перенесено из базового комплекта 102.</x:v>
      </x:c>
      <x:c r="V2999" s="87" t="str">
        <x:v>VERIFIED</x:v>
      </x:c>
      <x:c r="W2999" s="87" t="str">
        <x:v>Zadanie_IS11_23092025_.pdf, стр. 26</x:v>
      </x:c>
      <x:c r="X2999" s="87"/>
      <x:c r="Y2999" s="87"/>
      <x:c r="Z2999" s="87"/>
      <x:c r="AA2999" s="87"/>
      <x:c r="AB2999" s="87"/>
      <x:c r="AC2999" s="87"/>
      <x:c r="AD2999" s="87"/>
      <x:c r="AE2999" s="87"/>
      <x:c r="AF2999" s="87"/>
      <x:c r="AG2999" s="87"/>
      <x:c r="AH2999" s="87"/>
      <x:c r="AI2999" s="30"/>
      <x:c r="AJ2999" s="87" t="str">
        <x:v>master</x:v>
      </x:c>
      <x:c r="AK2999" s="87" t="str">
        <x:v>master-v0.81</x:v>
      </x:c>
      <x:c r="AL2999" s="87" t="str">
        <x:v>statgrad_master_base_v0_81_final(2).xlsx</x:v>
      </x:c>
      <x:c r="AM2999" s="87" t="str">
        <x:v>HIST_Sep_V4</x:v>
      </x:c>
      <x:c r="AN2999" s="87" t="n">
        <x:v>21</x:v>
      </x:c>
    </x:row>
    <x:row r="3000">
      <x:c r="A3000" s="87" t="n">
        <x:v>2999</x:v>
      </x:c>
      <x:c r="B3000" s="87" t="str">
        <x:v>SEP-HIST-V4-021</x:v>
      </x:c>
      <x:c r="C3000" s="87" t="str">
        <x:v>СтатГрад</x:v>
      </x:c>
      <x:c r="D3000" s="87" t="str">
        <x:v>Сентябрь 2025</x:v>
      </x:c>
      <x:c r="E3000" s="87"/>
      <x:c r="F3000" s="87"/>
      <x:c r="G3000" s="87" t="str">
        <x:v>История</x:v>
      </x:c>
      <x:c r="H3000" s="87" t="n">
        <x:v>11</x:v>
      </x:c>
      <x:c r="I3000" s="87" t="str">
        <x:v>ТР №1</x:v>
      </x:c>
      <x:c r="J3000" s="87" t="str">
        <x:v>ИС2510104</x:v>
      </x:c>
      <x:c r="K3000" s="87" t="n">
        <x:v>21</x:v>
      </x:c>
      <x:c r="L3000" s="87" t="str">
        <x:v>Историческая аргументация</x:v>
      </x:c>
      <x:c r="M3000" s="30" t="str">
        <x:v>Доказать религиозный характер сопротивления вторжениям в русских землях XIII в. и Франкском королевстве VIII в.</x:v>
      </x:c>
      <x:c r="N3000" s="30" t="str">
        <x:v>Русские земли: победы Александра Невского остановили западных рыцарей и распространение католичества. Франки: Карл Мартелл остановил арабов-мусульман при Пуатье, что воспринималось как защита христианства.</x:v>
      </x:c>
      <x:c r="O3000" s="30" t="str">
        <x:v>Каждый аргумент содержит конкретного противника, событие и религиозное последствие.</x:v>
      </x:c>
      <x:c r="P3000" s="30" t="str">
        <x:v>Каждый аргумент содержит конкретного противника, событие и религиозное последствие.</x:v>
      </x:c>
      <x:c r="Q3000" s="30"/>
      <x:c r="R3000" s="30" t="str">
        <x:v>Архив пользователя: Zadanie_IS11_23092025_.pdf; официальный критерий; https://hist-ege.sdamgia.ru/test?id=5257023&amp;print=true</x:v>
      </x:c>
      <x:c r="S3000" s="30"/>
      <x:c r="T3000" s="30"/>
      <x:c r="U3000" s="30" t="str">
        <x:v>Расхождений не обнаружено. Смешанный вариант: задание перенесено из базового комплекта 102.</x:v>
      </x:c>
      <x:c r="V3000" s="87" t="str">
        <x:v>VERIFIED</x:v>
      </x:c>
      <x:c r="W3000" s="87" t="str">
        <x:v>Zadanie_IS11_23092025_.pdf, стр. 26</x:v>
      </x:c>
      <x:c r="X3000" s="87"/>
      <x:c r="Y3000" s="87"/>
      <x:c r="Z3000" s="87"/>
      <x:c r="AA3000" s="87"/>
      <x:c r="AB3000" s="87"/>
      <x:c r="AC3000" s="87"/>
      <x:c r="AD3000" s="87"/>
      <x:c r="AE3000" s="87"/>
      <x:c r="AF3000" s="87"/>
      <x:c r="AG3000" s="87"/>
      <x:c r="AH3000" s="87"/>
      <x:c r="AI3000" s="30"/>
      <x:c r="AJ3000" s="87" t="str">
        <x:v>master</x:v>
      </x:c>
      <x:c r="AK3000" s="87" t="str">
        <x:v>master-v0.81</x:v>
      </x:c>
      <x:c r="AL3000" s="87" t="str">
        <x:v>statgrad_master_base_v0_81_final(2).xlsx</x:v>
      </x:c>
      <x:c r="AM3000" s="87" t="str">
        <x:v>HIST_Sep_V4</x:v>
      </x:c>
      <x:c r="AN3000" s="87" t="n">
        <x:v>22</x:v>
      </x:c>
    </x:row>
    <x:row r="3001">
      <x:c r="A3001" s="87" t="n">
        <x:v>3000</x:v>
      </x:c>
      <x:c r="B3001" s="87" t="str">
        <x:v>SEP-GEO-V1-001</x:v>
      </x:c>
      <x:c r="C3001" s="87" t="str">
        <x:v>СтатГрад</x:v>
      </x:c>
      <x:c r="D3001" s="87" t="str">
        <x:v>Сентябрь 2025</x:v>
      </x:c>
      <x:c r="E3001" s="87"/>
      <x:c r="F3001" s="87"/>
      <x:c r="G3001" s="87" t="str">
        <x:v>География</x:v>
      </x:c>
      <x:c r="H3001" s="87" t="n">
        <x:v>11</x:v>
      </x:c>
      <x:c r="I3001" s="87" t="str">
        <x:v>ТР №1</x:v>
      </x:c>
      <x:c r="J3001" s="87" t="str">
        <x:v>ГГ2510101</x:v>
      </x:c>
      <x:c r="K3001" s="87" t="n">
        <x:v>1</x:v>
      </x:c>
      <x:c r="L3001" s="87" t="str">
        <x:v>Географические координаты</x:v>
      </x:c>
      <x:c r="M3001" s="30" t="str">
        <x:v>Село Долиновка: 55°07′ с.ш., 159°04′ в.д. Определить субъект РФ.</x:v>
      </x:c>
      <x:c r="N3001" s="30" t="str">
        <x:v>Камчатский край</x:v>
      </x:c>
      <x:c r="O3001" s="30" t="str">
        <x:v>Координаты расположены на полуострове Камчатка, в Камчатском крае.</x:v>
      </x:c>
      <x:c r="P3001" s="30" t="str">
        <x:v>Координаты повторно сопоставлены с картой субъектов Российской Федерации.</x:v>
      </x:c>
      <x:c r="Q3001" s="30"/>
      <x:c r="R3001" s="30" t="str">
        <x:v>Архив пользователя: Kriterii_GG11_25092025.pdf; Архив пользователя: Zadanie_GG11_25092025.pdf</x:v>
      </x:c>
      <x:c r="S3001" s="30"/>
      <x:c r="T3001" s="30"/>
      <x:c r="U3001" s="30" t="str">
        <x:v>Расхождений не обнаружено.</x:v>
      </x:c>
      <x:c r="V3001" s="87" t="str">
        <x:v>VERIFIED</x:v>
      </x:c>
      <x:c r="W3001" s="87" t="str">
        <x:v>PDF, стр. 2</x:v>
      </x:c>
      <x:c r="X3001" s="87"/>
      <x:c r="Y3001" s="87"/>
      <x:c r="Z3001" s="87"/>
      <x:c r="AA3001" s="87"/>
      <x:c r="AB3001" s="87"/>
      <x:c r="AC3001" s="87"/>
      <x:c r="AD3001" s="87"/>
      <x:c r="AE3001" s="87"/>
      <x:c r="AF3001" s="87"/>
      <x:c r="AG3001" s="87"/>
      <x:c r="AH3001" s="87"/>
      <x:c r="AI3001" s="30"/>
      <x:c r="AJ3001" s="87" t="str">
        <x:v>master</x:v>
      </x:c>
      <x:c r="AK3001" s="87" t="str">
        <x:v>master-v0.81</x:v>
      </x:c>
      <x:c r="AL3001" s="87" t="str">
        <x:v>statgrad_master_base_v0_81_final(2).xlsx</x:v>
      </x:c>
      <x:c r="AM3001" s="87" t="str">
        <x:v>GEO_Sep_V1</x:v>
      </x:c>
      <x:c r="AN3001" s="87" t="n">
        <x:v>2</x:v>
      </x:c>
    </x:row>
    <x:row r="3002">
      <x:c r="A3002" s="87" t="n">
        <x:v>3001</x:v>
      </x:c>
      <x:c r="B3002" s="87" t="str">
        <x:v>SEP-GEO-V1-002</x:v>
      </x:c>
      <x:c r="C3002" s="87" t="str">
        <x:v>СтатГрад</x:v>
      </x:c>
      <x:c r="D3002" s="87" t="str">
        <x:v>Сентябрь 2025</x:v>
      </x:c>
      <x:c r="E3002" s="87"/>
      <x:c r="F3002" s="87"/>
      <x:c r="G3002" s="87" t="str">
        <x:v>География</x:v>
      </x:c>
      <x:c r="H3002" s="87" t="n">
        <x:v>11</x:v>
      </x:c>
      <x:c r="I3002" s="87" t="str">
        <x:v>ТР №1</x:v>
      </x:c>
      <x:c r="J3002" s="87" t="str">
        <x:v>ГГ2510101</x:v>
      </x:c>
      <x:c r="K3002" s="87" t="n">
        <x:v>2</x:v>
      </x:c>
      <x:c r="L3002" s="87" t="str">
        <x:v>Относительная влажность</x:v>
      </x:c>
      <x:c r="M3002" s="30" t="str">
        <x:v>При одинаковой температуре +22 °C абсолютная влажность на станциях 1–3 равна 16, 12 и 10 г/м³. Расположить станции по возрастанию относительной влажности.</x:v>
      </x:c>
      <x:c r="N3002" s="30" t="str">
        <x:v>321</x:v>
      </x:c>
      <x:c r="O3002" s="30" t="str">
        <x:v>При одной температуре относительная влажность возрастает вместе с абсолютной: 10 &lt; 12 &lt; 16, значит 3–2–1.</x:v>
      </x:c>
      <x:c r="P3002" s="30" t="str">
        <x:v>Порядок проверен сравнением с максимально возможным влагосодержанием при +22 °C.</x:v>
      </x:c>
      <x:c r="Q3002" s="30"/>
      <x:c r="R3002" s="30" t="str">
        <x:v>Архив пользователя: image_2025-09-26_10-15-04.png; Архив пользователя: Zadanie_GG11_25092025.pdf</x:v>
      </x:c>
      <x:c r="S3002" s="30"/>
      <x:c r="T3002" s="30"/>
      <x:c r="U3002" s="30" t="str">
        <x:v>Расхождений не обнаружено.</x:v>
      </x:c>
      <x:c r="V3002" s="87" t="str">
        <x:v>VERIFIED</x:v>
      </x:c>
      <x:c r="W3002" s="87" t="str">
        <x:v>PDF, стр. 2</x:v>
      </x:c>
      <x:c r="X3002" s="87"/>
      <x:c r="Y3002" s="87"/>
      <x:c r="Z3002" s="87"/>
      <x:c r="AA3002" s="87"/>
      <x:c r="AB3002" s="87"/>
      <x:c r="AC3002" s="87"/>
      <x:c r="AD3002" s="87"/>
      <x:c r="AE3002" s="87"/>
      <x:c r="AF3002" s="87"/>
      <x:c r="AG3002" s="87"/>
      <x:c r="AH3002" s="87"/>
      <x:c r="AI3002" s="30"/>
      <x:c r="AJ3002" s="87" t="str">
        <x:v>master</x:v>
      </x:c>
      <x:c r="AK3002" s="87" t="str">
        <x:v>master-v0.81</x:v>
      </x:c>
      <x:c r="AL3002" s="87" t="str">
        <x:v>statgrad_master_base_v0_81_final(2).xlsx</x:v>
      </x:c>
      <x:c r="AM3002" s="87" t="str">
        <x:v>GEO_Sep_V1</x:v>
      </x:c>
      <x:c r="AN3002" s="87" t="n">
        <x:v>3</x:v>
      </x:c>
    </x:row>
    <x:row r="3003">
      <x:c r="A3003" s="87" t="n">
        <x:v>3002</x:v>
      </x:c>
      <x:c r="B3003" s="87" t="str">
        <x:v>SEP-GEO-V1-003</x:v>
      </x:c>
      <x:c r="C3003" s="87" t="str">
        <x:v>СтатГрад</x:v>
      </x:c>
      <x:c r="D3003" s="87" t="str">
        <x:v>Сентябрь 2025</x:v>
      </x:c>
      <x:c r="E3003" s="87"/>
      <x:c r="F3003" s="87"/>
      <x:c r="G3003" s="87" t="str">
        <x:v>География</x:v>
      </x:c>
      <x:c r="H3003" s="87" t="n">
        <x:v>11</x:v>
      </x:c>
      <x:c r="I3003" s="87" t="str">
        <x:v>ТР №1</x:v>
      </x:c>
      <x:c r="J3003" s="87" t="str">
        <x:v>ГГ2510101</x:v>
      </x:c>
      <x:c r="K3003" s="87" t="n">
        <x:v>3</x:v>
      </x:c>
      <x:c r="L3003" s="87" t="str">
        <x:v>Климат России</x:v>
      </x:c>
      <x:c r="M3003" s="30" t="str">
        <x:v>Расположить Тулу, Красноярск и Пермь по повышению средней температуры января.</x:v>
      </x:c>
      <x:c r="N3003" s="30" t="str">
        <x:v>231</x:v>
      </x:c>
      <x:c r="O3003" s="30" t="str">
        <x:v>Красноярск холоднее Перми, а Тула имеет наиболее мягкую зиму: Красноярск → Пермь → Тула.</x:v>
      </x:c>
      <x:c r="P3003" s="30" t="str">
        <x:v>Климатическое положение городов проверено по широте, континентальности и справочным климатическим данным.</x:v>
      </x:c>
      <x:c r="Q3003" s="30"/>
      <x:c r="R3003" s="30" t="str">
        <x:v>Архив пользователя: image_2025-09-26_10-15-04.png; Архив пользователя: Zadanie_GG11_25092025.pdf</x:v>
      </x:c>
      <x:c r="S3003" s="30"/>
      <x:c r="T3003" s="30"/>
      <x:c r="U3003" s="30" t="str">
        <x:v>Расхождений не обнаружено.</x:v>
      </x:c>
      <x:c r="V3003" s="87" t="str">
        <x:v>VERIFIED</x:v>
      </x:c>
      <x:c r="W3003" s="87" t="str">
        <x:v>PDF, стр. 2</x:v>
      </x:c>
      <x:c r="X3003" s="87"/>
      <x:c r="Y3003" s="87"/>
      <x:c r="Z3003" s="87"/>
      <x:c r="AA3003" s="87"/>
      <x:c r="AB3003" s="87"/>
      <x:c r="AC3003" s="87"/>
      <x:c r="AD3003" s="87"/>
      <x:c r="AE3003" s="87"/>
      <x:c r="AF3003" s="87"/>
      <x:c r="AG3003" s="87"/>
      <x:c r="AH3003" s="87"/>
      <x:c r="AI3003" s="30"/>
      <x:c r="AJ3003" s="87" t="str">
        <x:v>master</x:v>
      </x:c>
      <x:c r="AK3003" s="87" t="str">
        <x:v>master-v0.81</x:v>
      </x:c>
      <x:c r="AL3003" s="87" t="str">
        <x:v>statgrad_master_base_v0_81_final(2).xlsx</x:v>
      </x:c>
      <x:c r="AM3003" s="87" t="str">
        <x:v>GEO_Sep_V1</x:v>
      </x:c>
      <x:c r="AN3003" s="87" t="n">
        <x:v>4</x:v>
      </x:c>
    </x:row>
    <x:row r="3004">
      <x:c r="A3004" s="87" t="n">
        <x:v>3003</x:v>
      </x:c>
      <x:c r="B3004" s="87" t="str">
        <x:v>SEP-GEO-V1-004</x:v>
      </x:c>
      <x:c r="C3004" s="87" t="str">
        <x:v>СтатГрад</x:v>
      </x:c>
      <x:c r="D3004" s="87" t="str">
        <x:v>Сентябрь 2025</x:v>
      </x:c>
      <x:c r="E3004" s="87"/>
      <x:c r="F3004" s="87"/>
      <x:c r="G3004" s="87" t="str">
        <x:v>География</x:v>
      </x:c>
      <x:c r="H3004" s="87" t="n">
        <x:v>11</x:v>
      </x:c>
      <x:c r="I3004" s="87" t="str">
        <x:v>ТР №1</x:v>
      </x:c>
      <x:c r="J3004" s="87" t="str">
        <x:v>ГГ2510101</x:v>
      </x:c>
      <x:c r="K3004" s="87" t="n">
        <x:v>4</x:v>
      </x:c>
      <x:c r="L3004" s="87" t="str">
        <x:v>Реки России по карте</x:v>
      </x:c>
      <x:c r="M3004" s="30" t="str">
        <x:v>Соотнести Енисей, Обь и Северную Двину с обозначениями 1–4 на карте России.</x:v>
      </x:c>
      <x:c r="N3004" s="30" t="str">
        <x:v>431</x:v>
      </x:c>
      <x:c r="O3004" s="30" t="str">
        <x:v>Енисей — 4, Обь — 3, Северная Двина — 1.</x:v>
      </x:c>
      <x:c r="P3004" s="30" t="str">
        <x:v>Реки прослежены по направлению течения и положению у Карского и Белого морей.</x:v>
      </x:c>
      <x:c r="Q3004" s="30"/>
      <x:c r="R3004" s="30" t="str">
        <x:v>Архив пользователя: image_2025-09-26_10-15-04.png; Архив пользователя: Zadanie_GG11_25092025.pdf</x:v>
      </x:c>
      <x:c r="S3004" s="30"/>
      <x:c r="T3004" s="30"/>
      <x:c r="U3004" s="30" t="str">
        <x:v>Одна внешняя публикация ошибочно приводит 342; карта и фото-ключ архива подтверждают 431.</x:v>
      </x:c>
      <x:c r="V3004" s="87" t="str">
        <x:v>VERIFIED</x:v>
      </x:c>
      <x:c r="W3004" s="87" t="str">
        <x:v>PDF, стр. 3</x:v>
      </x:c>
      <x:c r="X3004" s="87"/>
      <x:c r="Y3004" s="87"/>
      <x:c r="Z3004" s="87"/>
      <x:c r="AA3004" s="87"/>
      <x:c r="AB3004" s="87"/>
      <x:c r="AC3004" s="87"/>
      <x:c r="AD3004" s="87"/>
      <x:c r="AE3004" s="87"/>
      <x:c r="AF3004" s="87"/>
      <x:c r="AG3004" s="87"/>
      <x:c r="AH3004" s="87"/>
      <x:c r="AI3004" s="30"/>
      <x:c r="AJ3004" s="87" t="str">
        <x:v>master</x:v>
      </x:c>
      <x:c r="AK3004" s="87" t="str">
        <x:v>master-v0.81</x:v>
      </x:c>
      <x:c r="AL3004" s="87" t="str">
        <x:v>statgrad_master_base_v0_81_final(2).xlsx</x:v>
      </x:c>
      <x:c r="AM3004" s="87" t="str">
        <x:v>GEO_Sep_V1</x:v>
      </x:c>
      <x:c r="AN3004" s="87" t="n">
        <x:v>5</x:v>
      </x:c>
    </x:row>
    <x:row r="3005">
      <x:c r="A3005" s="87" t="n">
        <x:v>3004</x:v>
      </x:c>
      <x:c r="B3005" s="87" t="str">
        <x:v>SEP-GEO-V1-005</x:v>
      </x:c>
      <x:c r="C3005" s="87" t="str">
        <x:v>СтатГрад</x:v>
      </x:c>
      <x:c r="D3005" s="87" t="str">
        <x:v>Сентябрь 2025</x:v>
      </x:c>
      <x:c r="E3005" s="87"/>
      <x:c r="F3005" s="87"/>
      <x:c r="G3005" s="87" t="str">
        <x:v>География</x:v>
      </x:c>
      <x:c r="H3005" s="87" t="n">
        <x:v>11</x:v>
      </x:c>
      <x:c r="I3005" s="87" t="str">
        <x:v>ТР №1</x:v>
      </x:c>
      <x:c r="J3005" s="87" t="str">
        <x:v>ГГ2510101</x:v>
      </x:c>
      <x:c r="K3005" s="87" t="n">
        <x:v>5</x:v>
      </x:c>
      <x:c r="L3005" s="87" t="str">
        <x:v>Топливно-энергетический баланс</x:v>
      </x:c>
      <x:c r="M3005" s="30" t="str">
        <x:v>Вставить термины: невозобновимый ресурс, основной парниковый газ и название структурной смены источников энергии.</x:v>
      </x:c>
      <x:c r="N3005" s="30" t="str">
        <x:v>135</x:v>
      </x:c>
      <x:c r="O3005" s="30" t="str">
        <x:v>Каменный уголь — невозобновимый ресурс; углекислый газ — основной парниковый газ; переход называется энергетическим.</x:v>
      </x:c>
      <x:c r="P3005" s="30" t="str">
        <x:v>Все три термина проверены по смыслу и грамматической форме.</x:v>
      </x:c>
      <x:c r="Q3005" s="30"/>
      <x:c r="R3005" s="30" t="str">
        <x:v>Архив пользователя: Kriterii_GG11_25092025.pdf; Архив пользователя: Zadanie_GG11_25092025.pdf</x:v>
      </x:c>
      <x:c r="S3005" s="30"/>
      <x:c r="T3005" s="30"/>
      <x:c r="U3005" s="30" t="str">
        <x:v>Расхождений не обнаружено.</x:v>
      </x:c>
      <x:c r="V3005" s="87" t="str">
        <x:v>VERIFIED</x:v>
      </x:c>
      <x:c r="W3005" s="87" t="str">
        <x:v>PDF, стр. 4</x:v>
      </x:c>
      <x:c r="X3005" s="87"/>
      <x:c r="Y3005" s="87"/>
      <x:c r="Z3005" s="87"/>
      <x:c r="AA3005" s="87"/>
      <x:c r="AB3005" s="87"/>
      <x:c r="AC3005" s="87"/>
      <x:c r="AD3005" s="87"/>
      <x:c r="AE3005" s="87"/>
      <x:c r="AF3005" s="87"/>
      <x:c r="AG3005" s="87"/>
      <x:c r="AH3005" s="87"/>
      <x:c r="AI3005" s="30"/>
      <x:c r="AJ3005" s="87" t="str">
        <x:v>master</x:v>
      </x:c>
      <x:c r="AK3005" s="87" t="str">
        <x:v>master-v0.81</x:v>
      </x:c>
      <x:c r="AL3005" s="87" t="str">
        <x:v>statgrad_master_base_v0_81_final(2).xlsx</x:v>
      </x:c>
      <x:c r="AM3005" s="87" t="str">
        <x:v>GEO_Sep_V1</x:v>
      </x:c>
      <x:c r="AN3005" s="87" t="n">
        <x:v>6</x:v>
      </x:c>
    </x:row>
    <x:row r="3006">
      <x:c r="A3006" s="87" t="n">
        <x:v>3005</x:v>
      </x:c>
      <x:c r="B3006" s="87" t="str">
        <x:v>SEP-GEO-V1-006</x:v>
      </x:c>
      <x:c r="C3006" s="87" t="str">
        <x:v>СтатГрад</x:v>
      </x:c>
      <x:c r="D3006" s="87" t="str">
        <x:v>Сентябрь 2025</x:v>
      </x:c>
      <x:c r="E3006" s="87"/>
      <x:c r="F3006" s="87"/>
      <x:c r="G3006" s="87" t="str">
        <x:v>География</x:v>
      </x:c>
      <x:c r="H3006" s="87" t="n">
        <x:v>11</x:v>
      </x:c>
      <x:c r="I3006" s="87" t="str">
        <x:v>ТР №1</x:v>
      </x:c>
      <x:c r="J3006" s="87" t="str">
        <x:v>ГГ2510101</x:v>
      </x:c>
      <x:c r="K3006" s="87" t="n">
        <x:v>6</x:v>
      </x:c>
      <x:c r="L3006" s="87" t="str">
        <x:v>Крупнейшие города России</x:v>
      </x:c>
      <x:c r="M3006" s="30" t="str">
        <x:v>Выбрать три наиболее населённых города из списка: Мурманск, Пермь, Якутск, Уфа, Хабаровск, Воронеж.</x:v>
      </x:c>
      <x:c r="N3006" s="30" t="str">
        <x:v>246</x:v>
      </x:c>
      <x:c r="O3006" s="30" t="str">
        <x:v>Пермь, Уфа и Воронеж имеют население около или свыше миллиона и крупнее остальных перечисленных городов.</x:v>
      </x:c>
      <x:c r="P3006" s="30" t="str">
        <x:v>Численность всех шести городов сопоставлена независимо.</x:v>
      </x:c>
      <x:c r="Q3006" s="30"/>
      <x:c r="R3006" s="30" t="str">
        <x:v>Архив пользователя: image_2025-09-26_10-15-04.png; Архив пользователя: Zadanie_GG11_25092025.pdf</x:v>
      </x:c>
      <x:c r="S3006" s="30"/>
      <x:c r="T3006" s="30"/>
      <x:c r="U3006" s="30" t="str">
        <x:v>Расхождений не обнаружено.</x:v>
      </x:c>
      <x:c r="V3006" s="87" t="str">
        <x:v>VERIFIED</x:v>
      </x:c>
      <x:c r="W3006" s="87" t="str">
        <x:v>PDF, стр. 5</x:v>
      </x:c>
      <x:c r="X3006" s="87"/>
      <x:c r="Y3006" s="87"/>
      <x:c r="Z3006" s="87"/>
      <x:c r="AA3006" s="87"/>
      <x:c r="AB3006" s="87"/>
      <x:c r="AC3006" s="87"/>
      <x:c r="AD3006" s="87"/>
      <x:c r="AE3006" s="87"/>
      <x:c r="AF3006" s="87"/>
      <x:c r="AG3006" s="87"/>
      <x:c r="AH3006" s="87"/>
      <x:c r="AI3006" s="30"/>
      <x:c r="AJ3006" s="87" t="str">
        <x:v>master</x:v>
      </x:c>
      <x:c r="AK3006" s="87" t="str">
        <x:v>master-v0.81</x:v>
      </x:c>
      <x:c r="AL3006" s="87" t="str">
        <x:v>statgrad_master_base_v0_81_final(2).xlsx</x:v>
      </x:c>
      <x:c r="AM3006" s="87" t="str">
        <x:v>GEO_Sep_V1</x:v>
      </x:c>
      <x:c r="AN3006" s="87" t="n">
        <x:v>7</x:v>
      </x:c>
    </x:row>
    <x:row r="3007">
      <x:c r="A3007" s="87" t="n">
        <x:v>3006</x:v>
      </x:c>
      <x:c r="B3007" s="87" t="str">
        <x:v>SEP-GEO-V1-007</x:v>
      </x:c>
      <x:c r="C3007" s="87" t="str">
        <x:v>СтатГрад</x:v>
      </x:c>
      <x:c r="D3007" s="87" t="str">
        <x:v>Сентябрь 2025</x:v>
      </x:c>
      <x:c r="E3007" s="87"/>
      <x:c r="F3007" s="87"/>
      <x:c r="G3007" s="87" t="str">
        <x:v>География</x:v>
      </x:c>
      <x:c r="H3007" s="87" t="n">
        <x:v>11</x:v>
      </x:c>
      <x:c r="I3007" s="87" t="str">
        <x:v>ТР №1</x:v>
      </x:c>
      <x:c r="J3007" s="87" t="str">
        <x:v>ГГ2510101</x:v>
      </x:c>
      <x:c r="K3007" s="87" t="n">
        <x:v>7</x:v>
      </x:c>
      <x:c r="L3007" s="87" t="str">
        <x:v>Структура ВВП</x:v>
      </x:c>
      <x:c r="M3007" s="30" t="str">
        <x:v>Соотнести Турцию, Кению и Португалию со структурами ВВП по секторам экономики.</x:v>
      </x:c>
      <x:c r="N3007" s="30" t="str">
        <x:v>123</x:v>
      </x:c>
      <x:c r="O3007" s="30" t="str">
        <x:v>Турция соответствует структуре 1, Кения — 2, Португалия — 3.</x:v>
      </x:c>
      <x:c r="P3007" s="30" t="str">
        <x:v>Уровни развития и доли сельского хозяйства, промышленности и услуг сопоставлены для каждой страны.</x:v>
      </x:c>
      <x:c r="Q3007" s="30"/>
      <x:c r="R3007" s="30" t="str">
        <x:v>Архив пользователя: image_2025-09-26_10-15-04.png; Архив пользователя: Zadanie_GG11_25092025.pdf</x:v>
      </x:c>
      <x:c r="S3007" s="30"/>
      <x:c r="T3007" s="30"/>
      <x:c r="U3007" s="30" t="str">
        <x:v>Расхождений не обнаружено.</x:v>
      </x:c>
      <x:c r="V3007" s="87" t="str">
        <x:v>VERIFIED</x:v>
      </x:c>
      <x:c r="W3007" s="87" t="str">
        <x:v>PDF, стр. 5</x:v>
      </x:c>
      <x:c r="X3007" s="87"/>
      <x:c r="Y3007" s="87"/>
      <x:c r="Z3007" s="87"/>
      <x:c r="AA3007" s="87"/>
      <x:c r="AB3007" s="87"/>
      <x:c r="AC3007" s="87"/>
      <x:c r="AD3007" s="87"/>
      <x:c r="AE3007" s="87"/>
      <x:c r="AF3007" s="87"/>
      <x:c r="AG3007" s="87"/>
      <x:c r="AH3007" s="87"/>
      <x:c r="AI3007" s="30"/>
      <x:c r="AJ3007" s="87" t="str">
        <x:v>master</x:v>
      </x:c>
      <x:c r="AK3007" s="87" t="str">
        <x:v>master-v0.81</x:v>
      </x:c>
      <x:c r="AL3007" s="87" t="str">
        <x:v>statgrad_master_base_v0_81_final(2).xlsx</x:v>
      </x:c>
      <x:c r="AM3007" s="87" t="str">
        <x:v>GEO_Sep_V1</x:v>
      </x:c>
      <x:c r="AN3007" s="87" t="n">
        <x:v>8</x:v>
      </x:c>
    </x:row>
    <x:row r="3008">
      <x:c r="A3008" s="87" t="n">
        <x:v>3007</x:v>
      </x:c>
      <x:c r="B3008" s="87" t="str">
        <x:v>SEP-GEO-V1-008</x:v>
      </x:c>
      <x:c r="C3008" s="87" t="str">
        <x:v>СтатГрад</x:v>
      </x:c>
      <x:c r="D3008" s="87" t="str">
        <x:v>Сентябрь 2025</x:v>
      </x:c>
      <x:c r="E3008" s="87"/>
      <x:c r="F3008" s="87"/>
      <x:c r="G3008" s="87" t="str">
        <x:v>География</x:v>
      </x:c>
      <x:c r="H3008" s="87" t="n">
        <x:v>11</x:v>
      </x:c>
      <x:c r="I3008" s="87" t="str">
        <x:v>ТР №1</x:v>
      </x:c>
      <x:c r="J3008" s="87" t="str">
        <x:v>ГГ2510101</x:v>
      </x:c>
      <x:c r="K3008" s="87" t="n">
        <x:v>8</x:v>
      </x:c>
      <x:c r="L3008" s="87" t="str">
        <x:v>Индекс человеческого развития</x:v>
      </x:c>
      <x:c r="M3008" s="30" t="str">
        <x:v>Расположить Бурунди, Индонезию и Швецию по возрастанию ИЧР.</x:v>
      </x:c>
      <x:c r="N3008" s="30" t="str">
        <x:v>123</x:v>
      </x:c>
      <x:c r="O3008" s="30" t="str">
        <x:v>Наименьший ИЧР у Бурунди, затем Индонезия, наибольший — у Швеции.</x:v>
      </x:c>
      <x:c r="P3008" s="30" t="str">
        <x:v>Порядок проверен по уровню социально-экономического развития стран.</x:v>
      </x:c>
      <x:c r="Q3008" s="30"/>
      <x:c r="R3008" s="30" t="str">
        <x:v>Архив пользователя: Kriterii_GG11_25092025.pdf; Архив пользователя: Zadanie_GG11_25092025.pdf</x:v>
      </x:c>
      <x:c r="S3008" s="30"/>
      <x:c r="T3008" s="30"/>
      <x:c r="U3008" s="30" t="str">
        <x:v>Расхождений не обнаружено.</x:v>
      </x:c>
      <x:c r="V3008" s="87" t="str">
        <x:v>VERIFIED</x:v>
      </x:c>
      <x:c r="W3008" s="87" t="str">
        <x:v>PDF, стр. 6</x:v>
      </x:c>
      <x:c r="X3008" s="87"/>
      <x:c r="Y3008" s="87"/>
      <x:c r="Z3008" s="87"/>
      <x:c r="AA3008" s="87"/>
      <x:c r="AB3008" s="87"/>
      <x:c r="AC3008" s="87"/>
      <x:c r="AD3008" s="87"/>
      <x:c r="AE3008" s="87"/>
      <x:c r="AF3008" s="87"/>
      <x:c r="AG3008" s="87"/>
      <x:c r="AH3008" s="87"/>
      <x:c r="AI3008" s="30"/>
      <x:c r="AJ3008" s="87" t="str">
        <x:v>master</x:v>
      </x:c>
      <x:c r="AK3008" s="87" t="str">
        <x:v>master-v0.81</x:v>
      </x:c>
      <x:c r="AL3008" s="87" t="str">
        <x:v>statgrad_master_base_v0_81_final(2).xlsx</x:v>
      </x:c>
      <x:c r="AM3008" s="87" t="str">
        <x:v>GEO_Sep_V1</x:v>
      </x:c>
      <x:c r="AN3008" s="87" t="n">
        <x:v>9</x:v>
      </x:c>
    </x:row>
    <x:row r="3009">
      <x:c r="A3009" s="87" t="n">
        <x:v>3008</x:v>
      </x:c>
      <x:c r="B3009" s="87" t="str">
        <x:v>SEP-GEO-V1-009</x:v>
      </x:c>
      <x:c r="C3009" s="87" t="str">
        <x:v>СтатГрад</x:v>
      </x:c>
      <x:c r="D3009" s="87" t="str">
        <x:v>Сентябрь 2025</x:v>
      </x:c>
      <x:c r="E3009" s="87"/>
      <x:c r="F3009" s="87"/>
      <x:c r="G3009" s="87" t="str">
        <x:v>География</x:v>
      </x:c>
      <x:c r="H3009" s="87" t="n">
        <x:v>11</x:v>
      </x:c>
      <x:c r="I3009" s="87" t="str">
        <x:v>ТР №1</x:v>
      </x:c>
      <x:c r="J3009" s="87" t="str">
        <x:v>ГГ2510101</x:v>
      </x:c>
      <x:c r="K3009" s="87" t="n">
        <x:v>9</x:v>
      </x:c>
      <x:c r="L3009" s="87" t="str">
        <x:v>Производители природного газа</x:v>
      </x:c>
      <x:c r="M3009" s="30" t="str">
        <x:v>Выбрать крупных производителей природного газа из списка стран.</x:v>
      </x:c>
      <x:c r="N3009" s="30" t="str">
        <x:v>236</x:v>
      </x:c>
      <x:c r="O3009" s="30" t="str">
        <x:v>Иран, Катар и США входят в число крупнейших производителей природного газа.</x:v>
      </x:c>
      <x:c r="P3009" s="30" t="str">
        <x:v>Каждая страна проверена по специализации топливной промышленности.</x:v>
      </x:c>
      <x:c r="Q3009" s="30"/>
      <x:c r="R3009" s="30" t="str">
        <x:v>Архив пользователя: image_2025-09-26_10-15-04.png; Архив пользователя: Zadanie_GG11_25092025.pdf</x:v>
      </x:c>
      <x:c r="S3009" s="30"/>
      <x:c r="T3009" s="30"/>
      <x:c r="U3009" s="30" t="str">
        <x:v>Расхождений не обнаружено.</x:v>
      </x:c>
      <x:c r="V3009" s="87" t="str">
        <x:v>VERIFIED</x:v>
      </x:c>
      <x:c r="W3009" s="87" t="str">
        <x:v>PDF, стр. 6</x:v>
      </x:c>
      <x:c r="X3009" s="87"/>
      <x:c r="Y3009" s="87"/>
      <x:c r="Z3009" s="87"/>
      <x:c r="AA3009" s="87"/>
      <x:c r="AB3009" s="87"/>
      <x:c r="AC3009" s="87"/>
      <x:c r="AD3009" s="87"/>
      <x:c r="AE3009" s="87"/>
      <x:c r="AF3009" s="87"/>
      <x:c r="AG3009" s="87"/>
      <x:c r="AH3009" s="87"/>
      <x:c r="AI3009" s="30"/>
      <x:c r="AJ3009" s="87" t="str">
        <x:v>master</x:v>
      </x:c>
      <x:c r="AK3009" s="87" t="str">
        <x:v>master-v0.81</x:v>
      </x:c>
      <x:c r="AL3009" s="87" t="str">
        <x:v>statgrad_master_base_v0_81_final(2).xlsx</x:v>
      </x:c>
      <x:c r="AM3009" s="87" t="str">
        <x:v>GEO_Sep_V1</x:v>
      </x:c>
      <x:c r="AN3009" s="87" t="n">
        <x:v>10</x:v>
      </x:c>
    </x:row>
    <x:row r="3010">
      <x:c r="A3010" s="87" t="n">
        <x:v>3009</x:v>
      </x:c>
      <x:c r="B3010" s="87" t="str">
        <x:v>SEP-GEO-V1-010</x:v>
      </x:c>
      <x:c r="C3010" s="87" t="str">
        <x:v>СтатГрад</x:v>
      </x:c>
      <x:c r="D3010" s="87" t="str">
        <x:v>Сентябрь 2025</x:v>
      </x:c>
      <x:c r="E3010" s="87"/>
      <x:c r="F3010" s="87"/>
      <x:c r="G3010" s="87" t="str">
        <x:v>География</x:v>
      </x:c>
      <x:c r="H3010" s="87" t="n">
        <x:v>11</x:v>
      </x:c>
      <x:c r="I3010" s="87" t="str">
        <x:v>ТР №1</x:v>
      </x:c>
      <x:c r="J3010" s="87" t="str">
        <x:v>ГГ2510101</x:v>
      </x:c>
      <x:c r="K3010" s="87" t="n">
        <x:v>10</x:v>
      </x:c>
      <x:c r="L3010" s="87" t="str">
        <x:v>Индексы промышленного производства</x:v>
      </x:c>
      <x:c r="M3010" s="30" t="str">
        <x:v>Определить регионы, где в 2021–2023 гг. объём промышленного производства увеличивался ежегодно.</x:v>
      </x:c>
      <x:c r="N3010" s="30" t="str">
        <x:v>12</x:v>
      </x:c>
      <x:c r="O3010" s="30" t="str">
        <x:v>Рост означает индекс выше 100% каждый год; условие выполняется для Ивановской и Курганской областей.</x:v>
      </x:c>
      <x:c r="P3010" s="30" t="str">
        <x:v>Все двенадцать значений таблицы повторно проверены.</x:v>
      </x:c>
      <x:c r="Q3010" s="30"/>
      <x:c r="R3010" s="30" t="str">
        <x:v>Архив пользователя: image_2025-09-26_10-15-04.png; Архив пользователя: Zadanie_GG11_25092025.pdf</x:v>
      </x:c>
      <x:c r="S3010" s="30"/>
      <x:c r="T3010" s="30"/>
      <x:c r="U3010" s="30" t="str">
        <x:v>Допустима перестановка 21.</x:v>
      </x:c>
      <x:c r="V3010" s="87" t="str">
        <x:v>VERIFIED</x:v>
      </x:c>
      <x:c r="W3010" s="87" t="str">
        <x:v>PDF, стр. 6</x:v>
      </x:c>
      <x:c r="X3010" s="87"/>
      <x:c r="Y3010" s="87"/>
      <x:c r="Z3010" s="87"/>
      <x:c r="AA3010" s="87"/>
      <x:c r="AB3010" s="87"/>
      <x:c r="AC3010" s="87"/>
      <x:c r="AD3010" s="87"/>
      <x:c r="AE3010" s="87"/>
      <x:c r="AF3010" s="87"/>
      <x:c r="AG3010" s="87"/>
      <x:c r="AH3010" s="87"/>
      <x:c r="AI3010" s="30"/>
      <x:c r="AJ3010" s="87" t="str">
        <x:v>master</x:v>
      </x:c>
      <x:c r="AK3010" s="87" t="str">
        <x:v>master-v0.81</x:v>
      </x:c>
      <x:c r="AL3010" s="87" t="str">
        <x:v>statgrad_master_base_v0_81_final(2).xlsx</x:v>
      </x:c>
      <x:c r="AM3010" s="87" t="str">
        <x:v>GEO_Sep_V1</x:v>
      </x:c>
      <x:c r="AN3010" s="87" t="n">
        <x:v>11</x:v>
      </x:c>
    </x:row>
    <x:row r="3011">
      <x:c r="A3011" s="87" t="n">
        <x:v>3010</x:v>
      </x:c>
      <x:c r="B3011" s="87" t="str">
        <x:v>SEP-GEO-V1-011</x:v>
      </x:c>
      <x:c r="C3011" s="87" t="str">
        <x:v>СтатГрад</x:v>
      </x:c>
      <x:c r="D3011" s="87" t="str">
        <x:v>Сентябрь 2025</x:v>
      </x:c>
      <x:c r="E3011" s="87"/>
      <x:c r="F3011" s="87"/>
      <x:c r="G3011" s="87" t="str">
        <x:v>География</x:v>
      </x:c>
      <x:c r="H3011" s="87" t="n">
        <x:v>11</x:v>
      </x:c>
      <x:c r="I3011" s="87" t="str">
        <x:v>ТР №1</x:v>
      </x:c>
      <x:c r="J3011" s="87" t="str">
        <x:v>ГГ2510101</x:v>
      </x:c>
      <x:c r="K3011" s="87" t="n">
        <x:v>11</x:v>
      </x:c>
      <x:c r="L3011" s="87" t="str">
        <x:v>Топографическая карта</x:v>
      </x:c>
      <x:c r="M3011" s="30" t="str">
        <x:v>Расположить точки 1, 2 и 3 по возрастанию абсолютной высоты.</x:v>
      </x:c>
      <x:c r="N3011" s="30" t="str">
        <x:v>123</x:v>
      </x:c>
      <x:c r="O3011" s="30" t="str">
        <x:v>Точка 1 расположена примерно на 195–200 м, точка 2 — 200–205 м, точка 3 — 205–210 м.</x:v>
      </x:c>
      <x:c r="P3011" s="30" t="str">
        <x:v>Горизонтали и подпись высоты 211,2 м прочитаны непосредственно по карте.</x:v>
      </x:c>
      <x:c r="Q3011" s="30"/>
      <x:c r="R3011" s="30" t="str">
        <x:v>Архив пользователя: image_2025-09-26_10-15-04.png; Архив пользователя: Zadanie_GG11_25092025.pdf</x:v>
      </x:c>
      <x:c r="S3011" s="30"/>
      <x:c r="T3011" s="30"/>
      <x:c r="U3011" s="30" t="str">
        <x:v>Расхождений не обнаружено.</x:v>
      </x:c>
      <x:c r="V3011" s="87" t="str">
        <x:v>VERIFIED</x:v>
      </x:c>
      <x:c r="W3011" s="87" t="str">
        <x:v>PDF, стр. 7</x:v>
      </x:c>
      <x:c r="X3011" s="87"/>
      <x:c r="Y3011" s="87"/>
      <x:c r="Z3011" s="87"/>
      <x:c r="AA3011" s="87"/>
      <x:c r="AB3011" s="87"/>
      <x:c r="AC3011" s="87"/>
      <x:c r="AD3011" s="87"/>
      <x:c r="AE3011" s="87"/>
      <x:c r="AF3011" s="87"/>
      <x:c r="AG3011" s="87"/>
      <x:c r="AH3011" s="87"/>
      <x:c r="AI3011" s="30"/>
      <x:c r="AJ3011" s="87" t="str">
        <x:v>master</x:v>
      </x:c>
      <x:c r="AK3011" s="87" t="str">
        <x:v>master-v0.81</x:v>
      </x:c>
      <x:c r="AL3011" s="87" t="str">
        <x:v>statgrad_master_base_v0_81_final(2).xlsx</x:v>
      </x:c>
      <x:c r="AM3011" s="87" t="str">
        <x:v>GEO_Sep_V1</x:v>
      </x:c>
      <x:c r="AN3011" s="87" t="n">
        <x:v>12</x:v>
      </x:c>
    </x:row>
    <x:row r="3012">
      <x:c r="A3012" s="87" t="n">
        <x:v>3011</x:v>
      </x:c>
      <x:c r="B3012" s="87" t="str">
        <x:v>SEP-GEO-V1-012</x:v>
      </x:c>
      <x:c r="C3012" s="87" t="str">
        <x:v>СтатГрад</x:v>
      </x:c>
      <x:c r="D3012" s="87" t="str">
        <x:v>Сентябрь 2025</x:v>
      </x:c>
      <x:c r="E3012" s="87"/>
      <x:c r="F3012" s="87"/>
      <x:c r="G3012" s="87" t="str">
        <x:v>География</x:v>
      </x:c>
      <x:c r="H3012" s="87" t="n">
        <x:v>11</x:v>
      </x:c>
      <x:c r="I3012" s="87" t="str">
        <x:v>ТР №1</x:v>
      </x:c>
      <x:c r="J3012" s="87" t="str">
        <x:v>ГГ2510101</x:v>
      </x:c>
      <x:c r="K3012" s="87" t="n">
        <x:v>12</x:v>
      </x:c>
      <x:c r="L3012" s="87" t="str">
        <x:v>Урбанизация</x:v>
      </x:c>
      <x:c r="M3012" s="30" t="str">
        <x:v>Выбрать высказывания, содержащие информацию об урбанизации.</x:v>
      </x:c>
      <x:c r="N3012" s="30" t="str">
        <x:v>125</x:v>
      </x:c>
      <x:c r="O3012" s="30" t="str">
        <x:v>Рост Шанхайской агломерации, численность и доля городского населения мира, а также соотношение городского и сельского населения Узбекистана характеризуют урбанизацию.</x:v>
      </x:c>
      <x:c r="P3012" s="30" t="str">
        <x:v>Определение урбанизации применено к каждому из пяти высказываний; независимый разбор совпал с официальным ключом.</x:v>
      </x:c>
      <x:c r="Q3012" s="30"/>
      <x:c r="R3012" s="30" t="str">
        <x:v>Архив пользователя: Kriterii_GG11_25092025.pdf; Архив пользователя: Zadanie_GG11_25092025.pdf; https://geo-ege.sdamgia.ru/problem?id=13381</x:v>
      </x:c>
      <x:c r="S3012" s="30"/>
      <x:c r="T3012" s="30"/>
      <x:c r="U3012" s="30" t="str">
        <x:v>Расхождений не обнаружено.</x:v>
      </x:c>
      <x:c r="V3012" s="87" t="str">
        <x:v>VERIFIED</x:v>
      </x:c>
      <x:c r="W3012" s="87" t="str">
        <x:v>PDF, стр. 8</x:v>
      </x:c>
      <x:c r="X3012" s="87"/>
      <x:c r="Y3012" s="87"/>
      <x:c r="Z3012" s="87"/>
      <x:c r="AA3012" s="87"/>
      <x:c r="AB3012" s="87"/>
      <x:c r="AC3012" s="87"/>
      <x:c r="AD3012" s="87"/>
      <x:c r="AE3012" s="87"/>
      <x:c r="AF3012" s="87"/>
      <x:c r="AG3012" s="87"/>
      <x:c r="AH3012" s="87"/>
      <x:c r="AI3012" s="30"/>
      <x:c r="AJ3012" s="87" t="str">
        <x:v>master</x:v>
      </x:c>
      <x:c r="AK3012" s="87" t="str">
        <x:v>master-v0.81</x:v>
      </x:c>
      <x:c r="AL3012" s="87" t="str">
        <x:v>statgrad_master_base_v0_81_final(2).xlsx</x:v>
      </x:c>
      <x:c r="AM3012" s="87" t="str">
        <x:v>GEO_Sep_V1</x:v>
      </x:c>
      <x:c r="AN3012" s="87" t="n">
        <x:v>13</x:v>
      </x:c>
    </x:row>
    <x:row r="3013">
      <x:c r="A3013" s="87" t="n">
        <x:v>3012</x:v>
      </x:c>
      <x:c r="B3013" s="87" t="str">
        <x:v>SEP-GEO-V1-013</x:v>
      </x:c>
      <x:c r="C3013" s="87" t="str">
        <x:v>СтатГрад</x:v>
      </x:c>
      <x:c r="D3013" s="87" t="str">
        <x:v>Сентябрь 2025</x:v>
      </x:c>
      <x:c r="E3013" s="87"/>
      <x:c r="F3013" s="87"/>
      <x:c r="G3013" s="87" t="str">
        <x:v>География</x:v>
      </x:c>
      <x:c r="H3013" s="87" t="n">
        <x:v>11</x:v>
      </x:c>
      <x:c r="I3013" s="87" t="str">
        <x:v>ТР №1</x:v>
      </x:c>
      <x:c r="J3013" s="87" t="str">
        <x:v>ГГ2510101</x:v>
      </x:c>
      <x:c r="K3013" s="87" t="n">
        <x:v>13</x:v>
      </x:c>
      <x:c r="L3013" s="87" t="str">
        <x:v>Геологическая история</x:v>
      </x:c>
      <x:c r="M3013" s="30" t="str">
        <x:v>Расположить события: юрский период, палеоген и неоген — от раннего к позднему.</x:v>
      </x:c>
      <x:c r="N3013" s="30" t="str">
        <x:v>231</x:v>
      </x:c>
      <x:c r="O3013" s="30" t="str">
        <x:v>Юрский период предшествует палеогену, а палеоген — неогену.</x:v>
      </x:c>
      <x:c r="P3013" s="30" t="str">
        <x:v>Геохронологическая последовательность проверена по шкале мезозоя и кайнозоя.</x:v>
      </x:c>
      <x:c r="Q3013" s="30"/>
      <x:c r="R3013" s="30" t="str">
        <x:v>Архив пользователя: image_2025-09-26_10-15-04.png; Архив пользователя: Zadanie_GG11_25092025.pdf</x:v>
      </x:c>
      <x:c r="S3013" s="30"/>
      <x:c r="T3013" s="30"/>
      <x:c r="U3013" s="30" t="str">
        <x:v>Расхождений не обнаружено.</x:v>
      </x:c>
      <x:c r="V3013" s="87" t="str">
        <x:v>VERIFIED</x:v>
      </x:c>
      <x:c r="W3013" s="87" t="str">
        <x:v>PDF, стр. 8</x:v>
      </x:c>
      <x:c r="X3013" s="87"/>
      <x:c r="Y3013" s="87"/>
      <x:c r="Z3013" s="87"/>
      <x:c r="AA3013" s="87"/>
      <x:c r="AB3013" s="87"/>
      <x:c r="AC3013" s="87"/>
      <x:c r="AD3013" s="87"/>
      <x:c r="AE3013" s="87"/>
      <x:c r="AF3013" s="87"/>
      <x:c r="AG3013" s="87"/>
      <x:c r="AH3013" s="87"/>
      <x:c r="AI3013" s="30"/>
      <x:c r="AJ3013" s="87" t="str">
        <x:v>master</x:v>
      </x:c>
      <x:c r="AK3013" s="87" t="str">
        <x:v>master-v0.81</x:v>
      </x:c>
      <x:c r="AL3013" s="87" t="str">
        <x:v>statgrad_master_base_v0_81_final(2).xlsx</x:v>
      </x:c>
      <x:c r="AM3013" s="87" t="str">
        <x:v>GEO_Sep_V1</x:v>
      </x:c>
      <x:c r="AN3013" s="87" t="n">
        <x:v>14</x:v>
      </x:c>
    </x:row>
    <x:row r="3014">
      <x:c r="A3014" s="87" t="n">
        <x:v>3013</x:v>
      </x:c>
      <x:c r="B3014" s="87" t="str">
        <x:v>SEP-GEO-V1-014</x:v>
      </x:c>
      <x:c r="C3014" s="87" t="str">
        <x:v>СтатГрад</x:v>
      </x:c>
      <x:c r="D3014" s="87" t="str">
        <x:v>Сентябрь 2025</x:v>
      </x:c>
      <x:c r="E3014" s="87"/>
      <x:c r="F3014" s="87"/>
      <x:c r="G3014" s="87" t="str">
        <x:v>География</x:v>
      </x:c>
      <x:c r="H3014" s="87" t="n">
        <x:v>11</x:v>
      </x:c>
      <x:c r="I3014" s="87" t="str">
        <x:v>ТР №1</x:v>
      </x:c>
      <x:c r="J3014" s="87" t="str">
        <x:v>ГГ2510101</x:v>
      </x:c>
      <x:c r="K3014" s="87" t="n">
        <x:v>14</x:v>
      </x:c>
      <x:c r="L3014" s="87" t="str">
        <x:v>Часовые зоны России</x:v>
      </x:c>
      <x:c r="M3014" s="30" t="str">
        <x:v>Участки в Свердловской области открылись в 8:00 местного времени. Определить московское время.</x:v>
      </x:c>
      <x:c r="N3014" s="30" t="str">
        <x:v>6</x:v>
      </x:c>
      <x:c r="O3014" s="30" t="str">
        <x:v>Свердловская область опережает Москву на 2 часа: 8 − 2 = 6.</x:v>
      </x:c>
      <x:c r="P3014" s="30" t="str">
        <x:v>Часовая зона региона проверена по карте часовых зон.</x:v>
      </x:c>
      <x:c r="Q3014" s="30"/>
      <x:c r="R3014" s="30" t="str">
        <x:v>Архив пользователя: image_2025-09-26_10-15-04.png; Архив пользователя: Zadanie_GG11_25092025.pdf</x:v>
      </x:c>
      <x:c r="S3014" s="30"/>
      <x:c r="T3014" s="30"/>
      <x:c r="U3014" s="30" t="str">
        <x:v>Расхождений не обнаружено.</x:v>
      </x:c>
      <x:c r="V3014" s="87" t="str">
        <x:v>VERIFIED</x:v>
      </x:c>
      <x:c r="W3014" s="87" t="str">
        <x:v>PDF, стр. 9</x:v>
      </x:c>
      <x:c r="X3014" s="87"/>
      <x:c r="Y3014" s="87"/>
      <x:c r="Z3014" s="87"/>
      <x:c r="AA3014" s="87"/>
      <x:c r="AB3014" s="87"/>
      <x:c r="AC3014" s="87"/>
      <x:c r="AD3014" s="87"/>
      <x:c r="AE3014" s="87"/>
      <x:c r="AF3014" s="87"/>
      <x:c r="AG3014" s="87"/>
      <x:c r="AH3014" s="87"/>
      <x:c r="AI3014" s="30"/>
      <x:c r="AJ3014" s="87" t="str">
        <x:v>master</x:v>
      </x:c>
      <x:c r="AK3014" s="87" t="str">
        <x:v>master-v0.81</x:v>
      </x:c>
      <x:c r="AL3014" s="87" t="str">
        <x:v>statgrad_master_base_v0_81_final(2).xlsx</x:v>
      </x:c>
      <x:c r="AM3014" s="87" t="str">
        <x:v>GEO_Sep_V1</x:v>
      </x:c>
      <x:c r="AN3014" s="87" t="n">
        <x:v>15</x:v>
      </x:c>
    </x:row>
    <x:row r="3015">
      <x:c r="A3015" s="87" t="n">
        <x:v>3014</x:v>
      </x:c>
      <x:c r="B3015" s="87" t="str">
        <x:v>SEP-GEO-V1-015</x:v>
      </x:c>
      <x:c r="C3015" s="87" t="str">
        <x:v>СтатГрад</x:v>
      </x:c>
      <x:c r="D3015" s="87" t="str">
        <x:v>Сентябрь 2025</x:v>
      </x:c>
      <x:c r="E3015" s="87"/>
      <x:c r="F3015" s="87"/>
      <x:c r="G3015" s="87" t="str">
        <x:v>География</x:v>
      </x:c>
      <x:c r="H3015" s="87" t="n">
        <x:v>11</x:v>
      </x:c>
      <x:c r="I3015" s="87" t="str">
        <x:v>ТР №1</x:v>
      </x:c>
      <x:c r="J3015" s="87" t="str">
        <x:v>ГГ2510101</x:v>
      </x:c>
      <x:c r="K3015" s="87" t="n">
        <x:v>15</x:v>
      </x:c>
      <x:c r="L3015" s="87" t="str">
        <x:v>Ресурсообеспеченность</x:v>
      </x:c>
      <x:c r="M3015" s="30" t="str">
        <x:v>Площадь лесов Канады 338 млн га, население 41,2 млн человек. Найти лесообеспеченность на человека.</x:v>
      </x:c>
      <x:c r="N3015" s="30" t="str">
        <x:v>8</x:v>
      </x:c>
      <x:c r="O3015" s="30" t="str">
        <x:v>338 / 41,2 ≈ 8,20 га на человека; после округления — 8.</x:v>
      </x:c>
      <x:c r="P3015" s="30" t="str">
        <x:v>Единицы миллионов сокращены, деление и округление проверены повторно.</x:v>
      </x:c>
      <x:c r="Q3015" s="30"/>
      <x:c r="R3015" s="30" t="str">
        <x:v>Архив пользователя: image_2025-09-26_10-15-04.png; Архив пользователя: Zadanie_GG11_25092025.pdf</x:v>
      </x:c>
      <x:c r="S3015" s="30"/>
      <x:c r="T3015" s="30"/>
      <x:c r="U3015" s="30" t="str">
        <x:v>Расхождений не обнаружено.</x:v>
      </x:c>
      <x:c r="V3015" s="87" t="str">
        <x:v>VERIFIED</x:v>
      </x:c>
      <x:c r="W3015" s="87" t="str">
        <x:v>PDF, стр. 9</x:v>
      </x:c>
      <x:c r="X3015" s="87"/>
      <x:c r="Y3015" s="87"/>
      <x:c r="Z3015" s="87"/>
      <x:c r="AA3015" s="87"/>
      <x:c r="AB3015" s="87"/>
      <x:c r="AC3015" s="87"/>
      <x:c r="AD3015" s="87"/>
      <x:c r="AE3015" s="87"/>
      <x:c r="AF3015" s="87"/>
      <x:c r="AG3015" s="87"/>
      <x:c r="AH3015" s="87"/>
      <x:c r="AI3015" s="30"/>
      <x:c r="AJ3015" s="87" t="str">
        <x:v>master</x:v>
      </x:c>
      <x:c r="AK3015" s="87" t="str">
        <x:v>master-v0.81</x:v>
      </x:c>
      <x:c r="AL3015" s="87" t="str">
        <x:v>statgrad_master_base_v0_81_final(2).xlsx</x:v>
      </x:c>
      <x:c r="AM3015" s="87" t="str">
        <x:v>GEO_Sep_V1</x:v>
      </x:c>
      <x:c r="AN3015" s="87" t="n">
        <x:v>16</x:v>
      </x:c>
    </x:row>
    <x:row r="3016">
      <x:c r="A3016" s="87" t="n">
        <x:v>3015</x:v>
      </x:c>
      <x:c r="B3016" s="87" t="str">
        <x:v>SEP-GEO-V1-016</x:v>
      </x:c>
      <x:c r="C3016" s="87" t="str">
        <x:v>СтатГрад</x:v>
      </x:c>
      <x:c r="D3016" s="87" t="str">
        <x:v>Сентябрь 2025</x:v>
      </x:c>
      <x:c r="E3016" s="87"/>
      <x:c r="F3016" s="87"/>
      <x:c r="G3016" s="87" t="str">
        <x:v>География</x:v>
      </x:c>
      <x:c r="H3016" s="87" t="n">
        <x:v>11</x:v>
      </x:c>
      <x:c r="I3016" s="87" t="str">
        <x:v>ТР №1</x:v>
      </x:c>
      <x:c r="J3016" s="87" t="str">
        <x:v>ГГ2510101</x:v>
      </x:c>
      <x:c r="K3016" s="87" t="n">
        <x:v>16</x:v>
      </x:c>
      <x:c r="L3016" s="87" t="str">
        <x:v>Миграционный прирост</x:v>
      </x:c>
      <x:c r="M3016" s="30" t="str">
        <x:v>По диаграмме потоков миграции УрФО определить миграционный прирост в 2022 г., тыс. человек.</x:v>
      </x:c>
      <x:c r="N3016" s="30" t="str">
        <x:v>1,5</x:v>
      </x:c>
      <x:c r="O3016" s="30" t="str">
        <x:v>Прибыло: 199,1+93,0+71,6=363,7; выбыло: 199,1+104,3+58,8=362,2; прирост 1,5 тыс.</x:v>
      </x:c>
      <x:c r="P3016" s="30" t="str">
        <x:v>Все сегменты диаграммы считаны отдельно; внутренняя миграция округа взаимно сокращается.</x:v>
      </x:c>
      <x:c r="Q3016" s="30"/>
      <x:c r="R3016" s="30" t="str">
        <x:v>Архив пользователя: image_2025-09-26_10-15-04.png; Архив пользователя: Zadanie_GG11_25092025.pdf</x:v>
      </x:c>
      <x:c r="S3016" s="30"/>
      <x:c r="T3016" s="30"/>
      <x:c r="U3016" s="30" t="str">
        <x:v>Расхождений не обнаружено.</x:v>
      </x:c>
      <x:c r="V3016" s="87" t="str">
        <x:v>VERIFIED</x:v>
      </x:c>
      <x:c r="W3016" s="87" t="str">
        <x:v>PDF, стр. 10</x:v>
      </x:c>
      <x:c r="X3016" s="87"/>
      <x:c r="Y3016" s="87"/>
      <x:c r="Z3016" s="87"/>
      <x:c r="AA3016" s="87"/>
      <x:c r="AB3016" s="87"/>
      <x:c r="AC3016" s="87"/>
      <x:c r="AD3016" s="87"/>
      <x:c r="AE3016" s="87"/>
      <x:c r="AF3016" s="87"/>
      <x:c r="AG3016" s="87"/>
      <x:c r="AH3016" s="87"/>
      <x:c r="AI3016" s="30"/>
      <x:c r="AJ3016" s="87" t="str">
        <x:v>master</x:v>
      </x:c>
      <x:c r="AK3016" s="87" t="str">
        <x:v>master-v0.81</x:v>
      </x:c>
      <x:c r="AL3016" s="87" t="str">
        <x:v>statgrad_master_base_v0_81_final(2).xlsx</x:v>
      </x:c>
      <x:c r="AM3016" s="87" t="str">
        <x:v>GEO_Sep_V1</x:v>
      </x:c>
      <x:c r="AN3016" s="87" t="n">
        <x:v>17</x:v>
      </x:c>
    </x:row>
    <x:row r="3017">
      <x:c r="A3017" s="87" t="n">
        <x:v>3016</x:v>
      </x:c>
      <x:c r="B3017" s="87" t="str">
        <x:v>SEP-GEO-V1-017</x:v>
      </x:c>
      <x:c r="C3017" s="87" t="str">
        <x:v>СтатГрад</x:v>
      </x:c>
      <x:c r="D3017" s="87" t="str">
        <x:v>Сентябрь 2025</x:v>
      </x:c>
      <x:c r="E3017" s="87"/>
      <x:c r="F3017" s="87"/>
      <x:c r="G3017" s="87" t="str">
        <x:v>География</x:v>
      </x:c>
      <x:c r="H3017" s="87" t="n">
        <x:v>11</x:v>
      </x:c>
      <x:c r="I3017" s="87" t="str">
        <x:v>ТР №1</x:v>
      </x:c>
      <x:c r="J3017" s="87" t="str">
        <x:v>ГГ2510101</x:v>
      </x:c>
      <x:c r="K3017" s="87" t="n">
        <x:v>17</x:v>
      </x:c>
      <x:c r="L3017" s="87" t="str">
        <x:v>Страна по описанию</x:v>
      </x:c>
      <x:c r="M3017" s="30" t="str">
        <x:v>Первая по площади на материке, республика, более 60% электроэнергии дают ГЭС, член БРИКС.</x:v>
      </x:c>
      <x:c r="N3017" s="30" t="str">
        <x:v>Бразилия</x:v>
      </x:c>
      <x:c r="O3017" s="30" t="str">
        <x:v>Бразилия — крупнейшая страна Южной Америки, республика, крупный производитель гидроэнергии и член БРИКС.</x:v>
      </x:c>
      <x:c r="P3017" s="30" t="str">
        <x:v>Все признаки описания сопоставлены с одной страной.</x:v>
      </x:c>
      <x:c r="Q3017" s="30"/>
      <x:c r="R3017" s="30" t="str">
        <x:v>Архив пользователя: Kriterii_GG11_25092025.pdf; Архив пользователя: Zadanie_GG11_25092025.pdf</x:v>
      </x:c>
      <x:c r="S3017" s="30"/>
      <x:c r="T3017" s="30"/>
      <x:c r="U3017" s="30" t="str">
        <x:v>Расхождений не обнаружено.</x:v>
      </x:c>
      <x:c r="V3017" s="87" t="str">
        <x:v>VERIFIED</x:v>
      </x:c>
      <x:c r="W3017" s="87" t="str">
        <x:v>PDF, стр. 10</x:v>
      </x:c>
      <x:c r="X3017" s="87"/>
      <x:c r="Y3017" s="87"/>
      <x:c r="Z3017" s="87"/>
      <x:c r="AA3017" s="87"/>
      <x:c r="AB3017" s="87"/>
      <x:c r="AC3017" s="87"/>
      <x:c r="AD3017" s="87"/>
      <x:c r="AE3017" s="87"/>
      <x:c r="AF3017" s="87"/>
      <x:c r="AG3017" s="87"/>
      <x:c r="AH3017" s="87"/>
      <x:c r="AI3017" s="30"/>
      <x:c r="AJ3017" s="87" t="str">
        <x:v>master</x:v>
      </x:c>
      <x:c r="AK3017" s="87" t="str">
        <x:v>master-v0.81</x:v>
      </x:c>
      <x:c r="AL3017" s="87" t="str">
        <x:v>statgrad_master_base_v0_81_final(2).xlsx</x:v>
      </x:c>
      <x:c r="AM3017" s="87" t="str">
        <x:v>GEO_Sep_V1</x:v>
      </x:c>
      <x:c r="AN3017" s="87" t="n">
        <x:v>18</x:v>
      </x:c>
    </x:row>
    <x:row r="3018">
      <x:c r="A3018" s="87" t="n">
        <x:v>3017</x:v>
      </x:c>
      <x:c r="B3018" s="87" t="str">
        <x:v>SEP-GEO-V1-018</x:v>
      </x:c>
      <x:c r="C3018" s="87" t="str">
        <x:v>СтатГрад</x:v>
      </x:c>
      <x:c r="D3018" s="87" t="str">
        <x:v>Сентябрь 2025</x:v>
      </x:c>
      <x:c r="E3018" s="87"/>
      <x:c r="F3018" s="87"/>
      <x:c r="G3018" s="87" t="str">
        <x:v>География</x:v>
      </x:c>
      <x:c r="H3018" s="87" t="n">
        <x:v>11</x:v>
      </x:c>
      <x:c r="I3018" s="87" t="str">
        <x:v>ТР №1</x:v>
      </x:c>
      <x:c r="J3018" s="87" t="str">
        <x:v>ГГ2510101</x:v>
      </x:c>
      <x:c r="K3018" s="87" t="n">
        <x:v>18</x:v>
      </x:c>
      <x:c r="L3018" s="87" t="str">
        <x:v>Регион России по описанию</x:v>
      </x:c>
      <x:c r="M3018" s="30" t="str">
        <x:v>Таёжная приграничная республика, крупное производство бумаги и целлюлозы, добыча железных руд.</x:v>
      </x:c>
      <x:c r="N3018" s="30" t="str">
        <x:v>Карелия</x:v>
      </x:c>
      <x:c r="O3018" s="30" t="str">
        <x:v>Республика Карелия граничит с Финляндией, имеет лесопромышленную специализацию и добычу железных руд.</x:v>
      </x:c>
      <x:c r="P3018" s="30" t="str">
        <x:v>Три отраслевых и территориальных признака проверены независимо.</x:v>
      </x:c>
      <x:c r="Q3018" s="30"/>
      <x:c r="R3018" s="30" t="str">
        <x:v>Архив пользователя: Kriterii_GG11_25092025.pdf; Архив пользователя: Zadanie_GG11_25092025.pdf</x:v>
      </x:c>
      <x:c r="S3018" s="30"/>
      <x:c r="T3018" s="30"/>
      <x:c r="U3018" s="30" t="str">
        <x:v>Расхождений не обнаружено.</x:v>
      </x:c>
      <x:c r="V3018" s="87" t="str">
        <x:v>VERIFIED</x:v>
      </x:c>
      <x:c r="W3018" s="87" t="str">
        <x:v>PDF, стр. 10</x:v>
      </x:c>
      <x:c r="X3018" s="87"/>
      <x:c r="Y3018" s="87"/>
      <x:c r="Z3018" s="87"/>
      <x:c r="AA3018" s="87"/>
      <x:c r="AB3018" s="87"/>
      <x:c r="AC3018" s="87"/>
      <x:c r="AD3018" s="87"/>
      <x:c r="AE3018" s="87"/>
      <x:c r="AF3018" s="87"/>
      <x:c r="AG3018" s="87"/>
      <x:c r="AH3018" s="87"/>
      <x:c r="AI3018" s="30"/>
      <x:c r="AJ3018" s="87" t="str">
        <x:v>master</x:v>
      </x:c>
      <x:c r="AK3018" s="87" t="str">
        <x:v>master-v0.81</x:v>
      </x:c>
      <x:c r="AL3018" s="87" t="str">
        <x:v>statgrad_master_base_v0_81_final(2).xlsx</x:v>
      </x:c>
      <x:c r="AM3018" s="87" t="str">
        <x:v>GEO_Sep_V1</x:v>
      </x:c>
      <x:c r="AN3018" s="87" t="n">
        <x:v>19</x:v>
      </x:c>
    </x:row>
    <x:row r="3019">
      <x:c r="A3019" s="87" t="n">
        <x:v>3018</x:v>
      </x:c>
      <x:c r="B3019" s="87" t="str">
        <x:v>SEP-GEO-V1-019</x:v>
      </x:c>
      <x:c r="C3019" s="87" t="str">
        <x:v>СтатГрад</x:v>
      </x:c>
      <x:c r="D3019" s="87" t="str">
        <x:v>Сентябрь 2025</x:v>
      </x:c>
      <x:c r="E3019" s="87"/>
      <x:c r="F3019" s="87"/>
      <x:c r="G3019" s="87" t="str">
        <x:v>География</x:v>
      </x:c>
      <x:c r="H3019" s="87" t="n">
        <x:v>11</x:v>
      </x:c>
      <x:c r="I3019" s="87" t="str">
        <x:v>ТР №1</x:v>
      </x:c>
      <x:c r="J3019" s="87" t="str">
        <x:v>ГГ2510101</x:v>
      </x:c>
      <x:c r="K3019" s="87" t="n">
        <x:v>19</x:v>
      </x:c>
      <x:c r="L3019" s="87" t="str">
        <x:v>Доля городского населения</x:v>
      </x:c>
      <x:c r="M3019" s="30" t="str">
        <x:v>Расположить Боливию, Парагвай и Гондурас по возрастанию доли городского населения.</x:v>
      </x:c>
      <x:c r="N3019" s="30" t="str">
        <x:v>321</x:v>
      </x:c>
      <x:c r="O3019" s="30" t="str">
        <x:v>Наименьшая доля у Гондураса, затем Парагвай, наибольшая — у Боливии.</x:v>
      </x:c>
      <x:c r="P3019" s="30" t="str">
        <x:v>Градации карты Латинской Америки и справочная таблица сопоставлены.</x:v>
      </x:c>
      <x:c r="Q3019" s="30"/>
      <x:c r="R3019" s="30" t="str">
        <x:v>Архив пользователя: Kriterii_GG11_25092025.pdf; Архив пользователя: Spravochnye_materialy_GG11_25092025.pdf; Архив пользователя: Zadanie_GG11_25092025.pdf</x:v>
      </x:c>
      <x:c r="S3019" s="30"/>
      <x:c r="T3019" s="30"/>
      <x:c r="U3019" s="30" t="str">
        <x:v>Расхождений не обнаружено.</x:v>
      </x:c>
      <x:c r="V3019" s="87" t="str">
        <x:v>VERIFIED</x:v>
      </x:c>
      <x:c r="W3019" s="87" t="str">
        <x:v>PDF, стр. 11</x:v>
      </x:c>
      <x:c r="X3019" s="87"/>
      <x:c r="Y3019" s="87"/>
      <x:c r="Z3019" s="87"/>
      <x:c r="AA3019" s="87"/>
      <x:c r="AB3019" s="87"/>
      <x:c r="AC3019" s="87"/>
      <x:c r="AD3019" s="87"/>
      <x:c r="AE3019" s="87"/>
      <x:c r="AF3019" s="87"/>
      <x:c r="AG3019" s="87"/>
      <x:c r="AH3019" s="87"/>
      <x:c r="AI3019" s="30"/>
      <x:c r="AJ3019" s="87" t="str">
        <x:v>master</x:v>
      </x:c>
      <x:c r="AK3019" s="87" t="str">
        <x:v>master-v0.81</x:v>
      </x:c>
      <x:c r="AL3019" s="87" t="str">
        <x:v>statgrad_master_base_v0_81_final(2).xlsx</x:v>
      </x:c>
      <x:c r="AM3019" s="87" t="str">
        <x:v>GEO_Sep_V1</x:v>
      </x:c>
      <x:c r="AN3019" s="87" t="n">
        <x:v>20</x:v>
      </x:c>
    </x:row>
    <x:row r="3020">
      <x:c r="A3020" s="87" t="n">
        <x:v>3019</x:v>
      </x:c>
      <x:c r="B3020" s="87" t="str">
        <x:v>SEP-GEO-V1-020</x:v>
      </x:c>
      <x:c r="C3020" s="87" t="str">
        <x:v>СтатГрад</x:v>
      </x:c>
      <x:c r="D3020" s="87" t="str">
        <x:v>Сентябрь 2025</x:v>
      </x:c>
      <x:c r="E3020" s="87"/>
      <x:c r="F3020" s="87"/>
      <x:c r="G3020" s="87" t="str">
        <x:v>География</x:v>
      </x:c>
      <x:c r="H3020" s="87" t="n">
        <x:v>11</x:v>
      </x:c>
      <x:c r="I3020" s="87" t="str">
        <x:v>ТР №1</x:v>
      </x:c>
      <x:c r="J3020" s="87" t="str">
        <x:v>ГГ2510101</x:v>
      </x:c>
      <x:c r="K3020" s="87" t="n">
        <x:v>20</x:v>
      </x:c>
      <x:c r="L3020" s="87" t="str">
        <x:v>Картографическая шкала</x:v>
      </x:c>
      <x:c r="M3020" s="30" t="str">
        <x:v>Соотнести Мали, Марокко и Эфиопию с интервалами доли городского населения.</x:v>
      </x:c>
      <x:c r="N3020" s="30" t="str">
        <x:v>231</x:v>
      </x:c>
      <x:c r="O3020" s="30" t="str">
        <x:v>Мали — 40–55% (2), Марокко — 56–70% (3), Эфиопия — менее 40% (1).</x:v>
      </x:c>
      <x:c r="P3020" s="30" t="str">
        <x:v>Значения доли городского населения взяты из справочных материалов и распределены по шкале.</x:v>
      </x:c>
      <x:c r="Q3020" s="30"/>
      <x:c r="R3020" s="30" t="str">
        <x:v>Архив пользователя: image_2025-09-26_10-15-04.png; Архив пользователя: Spravochnye_materialy_GG11_25092025.pdf; Архив пользователя: Zadanie_GG11_25092025.pdf</x:v>
      </x:c>
      <x:c r="S3020" s="30"/>
      <x:c r="T3020" s="30"/>
      <x:c r="U3020" s="30" t="str">
        <x:v>Расхождений не обнаружено.</x:v>
      </x:c>
      <x:c r="V3020" s="87" t="str">
        <x:v>VERIFIED</x:v>
      </x:c>
      <x:c r="W3020" s="87" t="str">
        <x:v>PDF, стр. 12</x:v>
      </x:c>
      <x:c r="X3020" s="87"/>
      <x:c r="Y3020" s="87"/>
      <x:c r="Z3020" s="87"/>
      <x:c r="AA3020" s="87"/>
      <x:c r="AB3020" s="87"/>
      <x:c r="AC3020" s="87"/>
      <x:c r="AD3020" s="87"/>
      <x:c r="AE3020" s="87"/>
      <x:c r="AF3020" s="87"/>
      <x:c r="AG3020" s="87"/>
      <x:c r="AH3020" s="87"/>
      <x:c r="AI3020" s="30"/>
      <x:c r="AJ3020" s="87" t="str">
        <x:v>master</x:v>
      </x:c>
      <x:c r="AK3020" s="87" t="str">
        <x:v>master-v0.81</x:v>
      </x:c>
      <x:c r="AL3020" s="87" t="str">
        <x:v>statgrad_master_base_v0_81_final(2).xlsx</x:v>
      </x:c>
      <x:c r="AM3020" s="87" t="str">
        <x:v>GEO_Sep_V1</x:v>
      </x:c>
      <x:c r="AN3020" s="87" t="n">
        <x:v>21</x:v>
      </x:c>
    </x:row>
    <x:row r="3021">
      <x:c r="A3021" s="87" t="n">
        <x:v>3020</x:v>
      </x:c>
      <x:c r="B3021" s="87" t="str">
        <x:v>SEP-GEO-V1-021</x:v>
      </x:c>
      <x:c r="C3021" s="87" t="str">
        <x:v>СтатГрад</x:v>
      </x:c>
      <x:c r="D3021" s="87" t="str">
        <x:v>Сентябрь 2025</x:v>
      </x:c>
      <x:c r="E3021" s="87"/>
      <x:c r="F3021" s="87"/>
      <x:c r="G3021" s="87" t="str">
        <x:v>География</x:v>
      </x:c>
      <x:c r="H3021" s="87" t="n">
        <x:v>11</x:v>
      </x:c>
      <x:c r="I3021" s="87" t="str">
        <x:v>ТР №1</x:v>
      </x:c>
      <x:c r="J3021" s="87" t="str">
        <x:v>ГГ2510101</x:v>
      </x:c>
      <x:c r="K3021" s="87" t="n">
        <x:v>21</x:v>
      </x:c>
      <x:c r="L3021" s="87" t="str">
        <x:v>Страна по координатам и климату</x:v>
      </x:c>
      <x:c r="M3021" s="30" t="str">
        <x:v>Метеостанция Морелиа находится на 19°46′ с.ш. на водоразделе Тихого и Атлантического океанов.</x:v>
      </x:c>
      <x:c r="N3021" s="30" t="str">
        <x:v>Мексика</x:v>
      </x:c>
      <x:c r="O3021" s="30" t="str">
        <x:v>Город Морелия расположен в центральной части Мексики на Мексиканском нагорье.</x:v>
      </x:c>
      <x:c r="P3021" s="30" t="str">
        <x:v>Название станции, координаты и положение на межокеанском водоразделе проверены совместно.</x:v>
      </x:c>
      <x:c r="Q3021" s="30"/>
      <x:c r="R3021" s="30" t="str">
        <x:v>Архив пользователя: Kriterii_GG11_25092025.pdf; Архив пользователя: Zadanie_GG11_25092025.pdf</x:v>
      </x:c>
      <x:c r="S3021" s="30"/>
      <x:c r="T3021" s="30"/>
      <x:c r="U3021" s="30" t="str">
        <x:v>Расхождений не обнаружено.</x:v>
      </x:c>
      <x:c r="V3021" s="87" t="str">
        <x:v>VERIFIED</x:v>
      </x:c>
      <x:c r="W3021" s="87" t="str">
        <x:v>PDF, стр. 13</x:v>
      </x:c>
      <x:c r="X3021" s="87"/>
      <x:c r="Y3021" s="87"/>
      <x:c r="Z3021" s="87"/>
      <x:c r="AA3021" s="87"/>
      <x:c r="AB3021" s="87"/>
      <x:c r="AC3021" s="87"/>
      <x:c r="AD3021" s="87"/>
      <x:c r="AE3021" s="87"/>
      <x:c r="AF3021" s="87"/>
      <x:c r="AG3021" s="87"/>
      <x:c r="AH3021" s="87"/>
      <x:c r="AI3021" s="30"/>
      <x:c r="AJ3021" s="87" t="str">
        <x:v>master</x:v>
      </x:c>
      <x:c r="AK3021" s="87" t="str">
        <x:v>master-v0.81</x:v>
      </x:c>
      <x:c r="AL3021" s="87" t="str">
        <x:v>statgrad_master_base_v0_81_final(2).xlsx</x:v>
      </x:c>
      <x:c r="AM3021" s="87" t="str">
        <x:v>GEO_Sep_V1</x:v>
      </x:c>
      <x:c r="AN3021" s="87" t="n">
        <x:v>22</x:v>
      </x:c>
    </x:row>
    <x:row r="3022">
      <x:c r="A3022" s="87" t="n">
        <x:v>3021</x:v>
      </x:c>
      <x:c r="B3022" s="87" t="str">
        <x:v>SEP-GEO-V1-022</x:v>
      </x:c>
      <x:c r="C3022" s="87" t="str">
        <x:v>СтатГрад</x:v>
      </x:c>
      <x:c r="D3022" s="87" t="str">
        <x:v>Сентябрь 2025</x:v>
      </x:c>
      <x:c r="E3022" s="87"/>
      <x:c r="F3022" s="87"/>
      <x:c r="G3022" s="87" t="str">
        <x:v>География</x:v>
      </x:c>
      <x:c r="H3022" s="87" t="n">
        <x:v>11</x:v>
      </x:c>
      <x:c r="I3022" s="87" t="str">
        <x:v>ТР №1</x:v>
      </x:c>
      <x:c r="J3022" s="87" t="str">
        <x:v>ГГ2510101</x:v>
      </x:c>
      <x:c r="K3022" s="87" t="n">
        <x:v>22</x:v>
      </x:c>
      <x:c r="L3022" s="87" t="str">
        <x:v>Развёрнутый ответ: водораздел</x:v>
      </x:c>
      <x:c r="M3022" s="30" t="str">
        <x:v>Объяснить значение понятия «водораздел».</x:v>
      </x:c>
      <x:c r="N3022" s="30" t="str">
        <x:v>Водораздел — граница, обычно условная линия на земной поверхности, разделяющая соседние водосборные бассейны рек, озёр, морей или океанов.</x:v>
      </x:c>
      <x:c r="O3022" s="30" t="str">
        <x:v>Ключевой элемент — разделение стока между соседними бассейнами.</x:v>
      </x:c>
      <x:c r="P3022" s="30" t="str">
        <x:v>Модель дословно проверена по обязательному элементу критерия.</x:v>
      </x:c>
      <x:c r="Q3022" s="30"/>
      <x:c r="R3022" s="30" t="str">
        <x:v>Архив пользователя: Kriterii_GG11_25092025.pdf</x:v>
      </x:c>
      <x:c r="S3022" s="30"/>
      <x:c r="T3022" s="30"/>
      <x:c r="U3022" s="30" t="str">
        <x:v>Расхождений не обнаружено.</x:v>
      </x:c>
      <x:c r="V3022" s="87" t="str">
        <x:v>VERIFIED</x:v>
      </x:c>
      <x:c r="W3022" s="87" t="str">
        <x:v>PDF, стр. 13; критерии, стр. 2</x:v>
      </x:c>
      <x:c r="X3022" s="87"/>
      <x:c r="Y3022" s="87"/>
      <x:c r="Z3022" s="87"/>
      <x:c r="AA3022" s="87"/>
      <x:c r="AB3022" s="87"/>
      <x:c r="AC3022" s="87"/>
      <x:c r="AD3022" s="87"/>
      <x:c r="AE3022" s="87"/>
      <x:c r="AF3022" s="87"/>
      <x:c r="AG3022" s="87"/>
      <x:c r="AH3022" s="87"/>
      <x:c r="AI3022" s="30"/>
      <x:c r="AJ3022" s="87" t="str">
        <x:v>master</x:v>
      </x:c>
      <x:c r="AK3022" s="87" t="str">
        <x:v>master-v0.81</x:v>
      </x:c>
      <x:c r="AL3022" s="87" t="str">
        <x:v>statgrad_master_base_v0_81_final(2).xlsx</x:v>
      </x:c>
      <x:c r="AM3022" s="87" t="str">
        <x:v>GEO_Sep_V1</x:v>
      </x:c>
      <x:c r="AN3022" s="87" t="n">
        <x:v>23</x:v>
      </x:c>
    </x:row>
    <x:row r="3023">
      <x:c r="A3023" s="87" t="n">
        <x:v>3022</x:v>
      </x:c>
      <x:c r="B3023" s="87" t="str">
        <x:v>SEP-GEO-V1-023</x:v>
      </x:c>
      <x:c r="C3023" s="87" t="str">
        <x:v>СтатГрад</x:v>
      </x:c>
      <x:c r="D3023" s="87" t="str">
        <x:v>Сентябрь 2025</x:v>
      </x:c>
      <x:c r="E3023" s="87"/>
      <x:c r="F3023" s="87"/>
      <x:c r="G3023" s="87" t="str">
        <x:v>География</x:v>
      </x:c>
      <x:c r="H3023" s="87" t="n">
        <x:v>11</x:v>
      </x:c>
      <x:c r="I3023" s="87" t="str">
        <x:v>ТР №1</x:v>
      </x:c>
      <x:c r="J3023" s="87" t="str">
        <x:v>ГГ2510101</x:v>
      </x:c>
      <x:c r="K3023" s="87" t="n">
        <x:v>23</x:v>
      </x:c>
      <x:c r="L3023" s="87" t="str">
        <x:v>Развёрнутый ответ: высотная поясность</x:v>
      </x:c>
      <x:c r="M3023" s="30" t="str">
        <x:v>Объяснить низкие температуры на параллели 19°46′ с.ш.</x:v>
      </x:c>
      <x:c r="N3023" s="30" t="str">
        <x:v>Метеостанция расположена в горах, на большой высоте над уровнем моря; с высотой температура воздуха понижается.</x:v>
      </x:c>
      <x:c r="O3023" s="30" t="str">
        <x:v>Тропическая широта компенсируется значительной абсолютной высотой Мексиканского нагорья.</x:v>
      </x:c>
      <x:c r="P3023" s="30" t="str">
        <x:v>Причина проверена по официальному критерию и физико-географической закономерности.</x:v>
      </x:c>
      <x:c r="Q3023" s="30"/>
      <x:c r="R3023" s="30" t="str">
        <x:v>Архив пользователя: Kriterii_GG11_25092025.pdf</x:v>
      </x:c>
      <x:c r="S3023" s="30"/>
      <x:c r="T3023" s="30"/>
      <x:c r="U3023" s="30" t="str">
        <x:v>Расхождений не обнаружено.</x:v>
      </x:c>
      <x:c r="V3023" s="87" t="str">
        <x:v>VERIFIED</x:v>
      </x:c>
      <x:c r="W3023" s="87" t="str">
        <x:v>PDF, стр. 13; критерии, стр. 2</x:v>
      </x:c>
      <x:c r="X3023" s="87"/>
      <x:c r="Y3023" s="87"/>
      <x:c r="Z3023" s="87"/>
      <x:c r="AA3023" s="87"/>
      <x:c r="AB3023" s="87"/>
      <x:c r="AC3023" s="87"/>
      <x:c r="AD3023" s="87"/>
      <x:c r="AE3023" s="87"/>
      <x:c r="AF3023" s="87"/>
      <x:c r="AG3023" s="87"/>
      <x:c r="AH3023" s="87"/>
      <x:c r="AI3023" s="30"/>
      <x:c r="AJ3023" s="87" t="str">
        <x:v>master</x:v>
      </x:c>
      <x:c r="AK3023" s="87" t="str">
        <x:v>master-v0.81</x:v>
      </x:c>
      <x:c r="AL3023" s="87" t="str">
        <x:v>statgrad_master_base_v0_81_final(2).xlsx</x:v>
      </x:c>
      <x:c r="AM3023" s="87" t="str">
        <x:v>GEO_Sep_V1</x:v>
      </x:c>
      <x:c r="AN3023" s="87" t="n">
        <x:v>24</x:v>
      </x:c>
    </x:row>
    <x:row r="3024">
      <x:c r="A3024" s="87" t="n">
        <x:v>3023</x:v>
      </x:c>
      <x:c r="B3024" s="87" t="str">
        <x:v>SEP-GEO-V1-024</x:v>
      </x:c>
      <x:c r="C3024" s="87" t="str">
        <x:v>СтатГрад</x:v>
      </x:c>
      <x:c r="D3024" s="87" t="str">
        <x:v>Сентябрь 2025</x:v>
      </x:c>
      <x:c r="E3024" s="87"/>
      <x:c r="F3024" s="87"/>
      <x:c r="G3024" s="87" t="str">
        <x:v>География</x:v>
      </x:c>
      <x:c r="H3024" s="87" t="n">
        <x:v>11</x:v>
      </x:c>
      <x:c r="I3024" s="87" t="str">
        <x:v>ТР №1</x:v>
      </x:c>
      <x:c r="J3024" s="87" t="str">
        <x:v>ГГ2510101</x:v>
      </x:c>
      <x:c r="K3024" s="87" t="n">
        <x:v>24</x:v>
      </x:c>
      <x:c r="L3024" s="87" t="str">
        <x:v>Развёрнутый ответ: ИЧР</x:v>
      </x:c>
      <x:c r="M3024" s="30" t="str">
        <x:v>Сравнить Кению и Чад по продолжительности жизни и ВВП на душу населения; определить страну с более высоким ИЧР.</x:v>
      </x:c>
      <x:c r="N3024" s="30" t="str">
        <x:v>Выше в рейтинге ИЧР должна находиться Кения. Продолжительность жизни: 66 лет против 57 лет в Чаде. ВВП на душу: Кения 163200/51,0=3200 долл.; Чад 28600/14,9≈1919 долл.</x:v>
      </x:c>
      <x:c r="O3024" s="30" t="str">
        <x:v>Оба компонента ИЧР, представленные в справочных материалах, выше у Кении.</x:v>
      </x:c>
      <x:c r="P3024" s="30" t="str">
        <x:v>Расчёты повторены независимо и совпали с критерием.</x:v>
      </x:c>
      <x:c r="Q3024" s="30"/>
      <x:c r="R3024" s="30" t="str">
        <x:v>Архив пользователя: Kriterii_GG11_25092025.pdf; Архив пользователя: Spravochnye_materialy_GG11_25092025.pdf</x:v>
      </x:c>
      <x:c r="S3024" s="30"/>
      <x:c r="T3024" s="30"/>
      <x:c r="U3024" s="30" t="str">
        <x:v>Расхождений не обнаружено.</x:v>
      </x:c>
      <x:c r="V3024" s="87" t="str">
        <x:v>VERIFIED</x:v>
      </x:c>
      <x:c r="W3024" s="87" t="str">
        <x:v>PDF, стр. 13; критерии, стр. 2–3</x:v>
      </x:c>
      <x:c r="X3024" s="87"/>
      <x:c r="Y3024" s="87"/>
      <x:c r="Z3024" s="87"/>
      <x:c r="AA3024" s="87"/>
      <x:c r="AB3024" s="87"/>
      <x:c r="AC3024" s="87"/>
      <x:c r="AD3024" s="87"/>
      <x:c r="AE3024" s="87"/>
      <x:c r="AF3024" s="87"/>
      <x:c r="AG3024" s="87"/>
      <x:c r="AH3024" s="87"/>
      <x:c r="AI3024" s="30"/>
      <x:c r="AJ3024" s="87" t="str">
        <x:v>master</x:v>
      </x:c>
      <x:c r="AK3024" s="87" t="str">
        <x:v>master-v0.81</x:v>
      </x:c>
      <x:c r="AL3024" s="87" t="str">
        <x:v>statgrad_master_base_v0_81_final(2).xlsx</x:v>
      </x:c>
      <x:c r="AM3024" s="87" t="str">
        <x:v>GEO_Sep_V1</x:v>
      </x:c>
      <x:c r="AN3024" s="87" t="n">
        <x:v>25</x:v>
      </x:c>
    </x:row>
    <x:row r="3025">
      <x:c r="A3025" s="87" t="n">
        <x:v>3024</x:v>
      </x:c>
      <x:c r="B3025" s="87" t="str">
        <x:v>SEP-GEO-V1-025</x:v>
      </x:c>
      <x:c r="C3025" s="87" t="str">
        <x:v>СтатГрад</x:v>
      </x:c>
      <x:c r="D3025" s="87" t="str">
        <x:v>Сентябрь 2025</x:v>
      </x:c>
      <x:c r="E3025" s="87"/>
      <x:c r="F3025" s="87"/>
      <x:c r="G3025" s="87" t="str">
        <x:v>География</x:v>
      </x:c>
      <x:c r="H3025" s="87" t="n">
        <x:v>11</x:v>
      </x:c>
      <x:c r="I3025" s="87" t="str">
        <x:v>ТР №1</x:v>
      </x:c>
      <x:c r="J3025" s="87" t="str">
        <x:v>ГГ2510101</x:v>
      </x:c>
      <x:c r="K3025" s="87" t="n">
        <x:v>25</x:v>
      </x:c>
      <x:c r="L3025" s="87" t="str">
        <x:v>Развёрнутый ответ: роль сельского хозяйства</x:v>
      </x:c>
      <x:c r="M3025" s="30" t="str">
        <x:v>Сравнить роль сельского хозяйства в экономике Намибии и Сенегала.</x:v>
      </x:c>
      <x:c r="N3025" s="30" t="str">
        <x:v>Сельское хозяйство играло большую роль в Сенегале. Доля в ВВП: 16,9% против 6,6% в Намибии. Доля сельхозтоваров в экспорте: Сенегал 0,78/2,3≈33,9%; Намибия 0,99/4,0≈24,7%.</x:v>
      </x:c>
      <x:c r="O3025" s="30" t="str">
        <x:v>Оба требуемых показателя выше у Сенегала.</x:v>
      </x:c>
      <x:c r="P3025" s="30" t="str">
        <x:v>Числовые данные, деление и вывод повторно проверены.</x:v>
      </x:c>
      <x:c r="Q3025" s="30"/>
      <x:c r="R3025" s="30" t="str">
        <x:v>Архив пользователя: Kriterii_GG11_25092025.pdf; Архив пользователя: Spravochnye_materialy_GG11_25092025.pdf</x:v>
      </x:c>
      <x:c r="S3025" s="30"/>
      <x:c r="T3025" s="30"/>
      <x:c r="U3025" s="30" t="str">
        <x:v>Расхождений не обнаружено.</x:v>
      </x:c>
      <x:c r="V3025" s="87" t="str">
        <x:v>VERIFIED</x:v>
      </x:c>
      <x:c r="W3025" s="87" t="str">
        <x:v>PDF, стр. 13; критерии, стр. 3–4</x:v>
      </x:c>
      <x:c r="X3025" s="87"/>
      <x:c r="Y3025" s="87"/>
      <x:c r="Z3025" s="87"/>
      <x:c r="AA3025" s="87"/>
      <x:c r="AB3025" s="87"/>
      <x:c r="AC3025" s="87"/>
      <x:c r="AD3025" s="87"/>
      <x:c r="AE3025" s="87"/>
      <x:c r="AF3025" s="87"/>
      <x:c r="AG3025" s="87"/>
      <x:c r="AH3025" s="87"/>
      <x:c r="AI3025" s="30"/>
      <x:c r="AJ3025" s="87" t="str">
        <x:v>master</x:v>
      </x:c>
      <x:c r="AK3025" s="87" t="str">
        <x:v>master-v0.81</x:v>
      </x:c>
      <x:c r="AL3025" s="87" t="str">
        <x:v>statgrad_master_base_v0_81_final(2).xlsx</x:v>
      </x:c>
      <x:c r="AM3025" s="87" t="str">
        <x:v>GEO_Sep_V1</x:v>
      </x:c>
      <x:c r="AN3025" s="87" t="n">
        <x:v>26</x:v>
      </x:c>
    </x:row>
    <x:row r="3026">
      <x:c r="A3026" s="87" t="n">
        <x:v>3025</x:v>
      </x:c>
      <x:c r="B3026" s="87" t="str">
        <x:v>SEP-GEO-V1-026</x:v>
      </x:c>
      <x:c r="C3026" s="87" t="str">
        <x:v>СтатГрад</x:v>
      </x:c>
      <x:c r="D3026" s="87" t="str">
        <x:v>Сентябрь 2025</x:v>
      </x:c>
      <x:c r="E3026" s="87"/>
      <x:c r="F3026" s="87"/>
      <x:c r="G3026" s="87" t="str">
        <x:v>География</x:v>
      </x:c>
      <x:c r="H3026" s="87" t="n">
        <x:v>11</x:v>
      </x:c>
      <x:c r="I3026" s="87" t="str">
        <x:v>ТР №1</x:v>
      </x:c>
      <x:c r="J3026" s="87" t="str">
        <x:v>ГГ2510101</x:v>
      </x:c>
      <x:c r="K3026" s="87" t="n">
        <x:v>26</x:v>
      </x:c>
      <x:c r="L3026" s="87" t="str">
        <x:v>Развёрнутый ответ: продовольственная проблема</x:v>
      </x:c>
      <x:c r="M3026" s="30" t="str">
        <x:v>Указать два пути решения продовольственной проблемы в наименее развитых странах.</x:v>
      </x:c>
      <x:c r="N3026" s="30" t="str">
        <x:v>1) Сдерживание темпов роста населения посредством демографической политики. 2) Увеличение производства продовольствия: расширение угодий и/или повышение урожайности и производительности сельского хозяйства.</x:v>
      </x:c>
      <x:c r="O3026" s="30" t="str">
        <x:v>Предложены меры одновременно со стороны спроса и предложения продовольствия.</x:v>
      </x:c>
      <x:c r="P3026" s="30" t="str">
        <x:v>Оба самостоятельных элемента совпадают с официальным критерием.</x:v>
      </x:c>
      <x:c r="Q3026" s="30"/>
      <x:c r="R3026" s="30" t="str">
        <x:v>Архив пользователя: Kriterii_GG11_25092025.pdf</x:v>
      </x:c>
      <x:c r="S3026" s="30"/>
      <x:c r="T3026" s="30"/>
      <x:c r="U3026" s="30" t="str">
        <x:v>Расхождений не обнаружено.</x:v>
      </x:c>
      <x:c r="V3026" s="87" t="str">
        <x:v>VERIFIED</x:v>
      </x:c>
      <x:c r="W3026" s="87" t="str">
        <x:v>PDF, стр. 14; критерии, стр. 4</x:v>
      </x:c>
      <x:c r="X3026" s="87"/>
      <x:c r="Y3026" s="87"/>
      <x:c r="Z3026" s="87"/>
      <x:c r="AA3026" s="87"/>
      <x:c r="AB3026" s="87"/>
      <x:c r="AC3026" s="87"/>
      <x:c r="AD3026" s="87"/>
      <x:c r="AE3026" s="87"/>
      <x:c r="AF3026" s="87"/>
      <x:c r="AG3026" s="87"/>
      <x:c r="AH3026" s="87"/>
      <x:c r="AI3026" s="30"/>
      <x:c r="AJ3026" s="87" t="str">
        <x:v>master</x:v>
      </x:c>
      <x:c r="AK3026" s="87" t="str">
        <x:v>master-v0.81</x:v>
      </x:c>
      <x:c r="AL3026" s="87" t="str">
        <x:v>statgrad_master_base_v0_81_final(2).xlsx</x:v>
      </x:c>
      <x:c r="AM3026" s="87" t="str">
        <x:v>GEO_Sep_V1</x:v>
      </x:c>
      <x:c r="AN3026" s="87" t="n">
        <x:v>27</x:v>
      </x:c>
    </x:row>
    <x:row r="3027">
      <x:c r="A3027" s="87" t="n">
        <x:v>3026</x:v>
      </x:c>
      <x:c r="B3027" s="87" t="str">
        <x:v>SEP-GEO-V1-027</x:v>
      </x:c>
      <x:c r="C3027" s="87" t="str">
        <x:v>СтатГрад</x:v>
      </x:c>
      <x:c r="D3027" s="87" t="str">
        <x:v>Сентябрь 2025</x:v>
      </x:c>
      <x:c r="E3027" s="87"/>
      <x:c r="F3027" s="87"/>
      <x:c r="G3027" s="87" t="str">
        <x:v>География</x:v>
      </x:c>
      <x:c r="H3027" s="87" t="n">
        <x:v>11</x:v>
      </x:c>
      <x:c r="I3027" s="87" t="str">
        <x:v>ТР №1</x:v>
      </x:c>
      <x:c r="J3027" s="87" t="str">
        <x:v>ГГ2510101</x:v>
      </x:c>
      <x:c r="K3027" s="87" t="n">
        <x:v>27</x:v>
      </x:c>
      <x:c r="L3027" s="87" t="str">
        <x:v>Развёрнутый ответ: климат и транспорт</x:v>
      </x:c>
      <x:c r="M3027" s="30" t="str">
        <x:v>Назвать два положительных эффекта потепления и роста осадков для речного транспорта в бассейне Оби.</x:v>
      </x:c>
      <x:c r="N3027" s="30" t="str">
        <x:v>1) Сокращение ледостава увеличит продолжительность навигации и грузооборот. 2) Рост водности и глубин позволит сильнее загружать суда и также увеличит грузооборот.</x:v>
      </x:c>
      <x:c r="O3027" s="30" t="str">
        <x:v>Один эффект связан с длительностью навигации, второй — с допустимой осадкой и загрузкой судов.</x:v>
      </x:c>
      <x:c r="P3027" s="30" t="str">
        <x:v>Оба механизма проверены по критерию.</x:v>
      </x:c>
      <x:c r="Q3027" s="30"/>
      <x:c r="R3027" s="30" t="str">
        <x:v>Архив пользователя: Kriterii_GG11_25092025.pdf</x:v>
      </x:c>
      <x:c r="S3027" s="30"/>
      <x:c r="T3027" s="30"/>
      <x:c r="U3027" s="30" t="str">
        <x:v>Расхождений не обнаружено.</x:v>
      </x:c>
      <x:c r="V3027" s="87" t="str">
        <x:v>VERIFIED</x:v>
      </x:c>
      <x:c r="W3027" s="87" t="str">
        <x:v>PDF, стр. 14; критерии, стр. 4–5</x:v>
      </x:c>
      <x:c r="X3027" s="87"/>
      <x:c r="Y3027" s="87"/>
      <x:c r="Z3027" s="87"/>
      <x:c r="AA3027" s="87"/>
      <x:c r="AB3027" s="87"/>
      <x:c r="AC3027" s="87"/>
      <x:c r="AD3027" s="87"/>
      <x:c r="AE3027" s="87"/>
      <x:c r="AF3027" s="87"/>
      <x:c r="AG3027" s="87"/>
      <x:c r="AH3027" s="87"/>
      <x:c r="AI3027" s="30"/>
      <x:c r="AJ3027" s="87" t="str">
        <x:v>master</x:v>
      </x:c>
      <x:c r="AK3027" s="87" t="str">
        <x:v>master-v0.81</x:v>
      </x:c>
      <x:c r="AL3027" s="87" t="str">
        <x:v>statgrad_master_base_v0_81_final(2).xlsx</x:v>
      </x:c>
      <x:c r="AM3027" s="87" t="str">
        <x:v>GEO_Sep_V1</x:v>
      </x:c>
      <x:c r="AN3027" s="87" t="n">
        <x:v>28</x:v>
      </x:c>
    </x:row>
    <x:row r="3028">
      <x:c r="A3028" s="87" t="n">
        <x:v>3027</x:v>
      </x:c>
      <x:c r="B3028" s="87" t="str">
        <x:v>SEP-GEO-V1-028</x:v>
      </x:c>
      <x:c r="C3028" s="87" t="str">
        <x:v>СтатГрад</x:v>
      </x:c>
      <x:c r="D3028" s="87" t="str">
        <x:v>Сентябрь 2025</x:v>
      </x:c>
      <x:c r="E3028" s="87"/>
      <x:c r="F3028" s="87"/>
      <x:c r="G3028" s="87" t="str">
        <x:v>География</x:v>
      </x:c>
      <x:c r="H3028" s="87" t="n">
        <x:v>11</x:v>
      </x:c>
      <x:c r="I3028" s="87" t="str">
        <x:v>ТР №1</x:v>
      </x:c>
      <x:c r="J3028" s="87" t="str">
        <x:v>ГГ2510101</x:v>
      </x:c>
      <x:c r="K3028" s="87" t="n">
        <x:v>28</x:v>
      </x:c>
      <x:c r="L3028" s="87" t="str">
        <x:v>Развёрнутый ответ: расстояние по координатам</x:v>
      </x:c>
      <x:c r="M3028" s="30" t="str">
        <x:v>Найти расстояние вдоль экватора между 98°23′ и 100°23′ в.д.</x:v>
      </x:c>
      <x:c r="N3028" s="30" t="str">
        <x:v>Разница долгот 2°. 2×111=222 км. Ответ: 222 км.</x:v>
      </x:c>
      <x:c r="O3028" s="30" t="str">
        <x:v>Обе точки имеют одинаковую широту; вдоль экватора одному градусу соответствует примерно 111 км.</x:v>
      </x:c>
      <x:c r="P3028" s="30" t="str">
        <x:v>Разность долгот и умножение проверены повторно; допустим интервал 222–224 км при ином нормативе длины градуса.</x:v>
      </x:c>
      <x:c r="Q3028" s="30"/>
      <x:c r="R3028" s="30" t="str">
        <x:v>Архив пользователя: Kriterii_GG11_25092025.pdf</x:v>
      </x:c>
      <x:c r="S3028" s="30"/>
      <x:c r="T3028" s="30"/>
      <x:c r="U3028" s="30" t="str">
        <x:v>Расхождений не обнаружено.</x:v>
      </x:c>
      <x:c r="V3028" s="87" t="str">
        <x:v>VERIFIED</x:v>
      </x:c>
      <x:c r="W3028" s="87" t="str">
        <x:v>PDF, стр. 14; критерии, стр. 5</x:v>
      </x:c>
      <x:c r="X3028" s="87"/>
      <x:c r="Y3028" s="87"/>
      <x:c r="Z3028" s="87"/>
      <x:c r="AA3028" s="87"/>
      <x:c r="AB3028" s="87"/>
      <x:c r="AC3028" s="87"/>
      <x:c r="AD3028" s="87"/>
      <x:c r="AE3028" s="87"/>
      <x:c r="AF3028" s="87"/>
      <x:c r="AG3028" s="87"/>
      <x:c r="AH3028" s="87"/>
      <x:c r="AI3028" s="30"/>
      <x:c r="AJ3028" s="87" t="str">
        <x:v>master</x:v>
      </x:c>
      <x:c r="AK3028" s="87" t="str">
        <x:v>master-v0.81</x:v>
      </x:c>
      <x:c r="AL3028" s="87" t="str">
        <x:v>statgrad_master_base_v0_81_final(2).xlsx</x:v>
      </x:c>
      <x:c r="AM3028" s="87" t="str">
        <x:v>GEO_Sep_V1</x:v>
      </x:c>
      <x:c r="AN3028" s="87" t="n">
        <x:v>29</x:v>
      </x:c>
    </x:row>
    <x:row r="3029">
      <x:c r="A3029" s="87" t="n">
        <x:v>3028</x:v>
      </x:c>
      <x:c r="B3029" s="87" t="str">
        <x:v>SEP-GEO-V1-029</x:v>
      </x:c>
      <x:c r="C3029" s="87" t="str">
        <x:v>СтатГрад</x:v>
      </x:c>
      <x:c r="D3029" s="87" t="str">
        <x:v>Сентябрь 2025</x:v>
      </x:c>
      <x:c r="E3029" s="87"/>
      <x:c r="F3029" s="87"/>
      <x:c r="G3029" s="87" t="str">
        <x:v>География</x:v>
      </x:c>
      <x:c r="H3029" s="87" t="n">
        <x:v>11</x:v>
      </x:c>
      <x:c r="I3029" s="87" t="str">
        <x:v>ТР №1</x:v>
      </x:c>
      <x:c r="J3029" s="87" t="str">
        <x:v>ГГ2510101</x:v>
      </x:c>
      <x:c r="K3029" s="87" t="n">
        <x:v>29</x:v>
      </x:c>
      <x:c r="L3029" s="87" t="str">
        <x:v>Развёрнутый ответ: факторы размещения</x:v>
      </x:c>
      <x:c r="M3029" s="30" t="str">
        <x:v>Определить, кто прав в споре о транспортном и трудовом факторах размещения алюминиевого завода в Тайшете.</x:v>
      </x:c>
      <x:c r="N3029" s="30" t="str">
        <x:v>Права Ольга: Тайшет расположен на пересечении Транссиба, БАМа и Южносибирской магистрали, что облегчает доставку сырья и вывоз продукции. Сергей ошибается: алюминиевая промышленность не трудоёмка, а собственные трудовые ресурсы Тайшета ограничены.</x:v>
      </x:c>
      <x:c r="O3029" s="30" t="str">
        <x:v>Транспортный фактор подтверждён узловым железнодорожным положением; трудовой фактор не является определяющим.</x:v>
      </x:c>
      <x:c r="P3029" s="30" t="str">
        <x:v>Оба аргумента и географическая грамотность проверены по критериям К1 и К2.</x:v>
      </x:c>
      <x:c r="Q3029" s="30"/>
      <x:c r="R3029" s="30" t="str">
        <x:v>Архив пользователя: Kriterii_GG11_25092025.pdf</x:v>
      </x:c>
      <x:c r="S3029" s="30"/>
      <x:c r="T3029" s="30"/>
      <x:c r="U3029" s="30" t="str">
        <x:v>Расхождений не обнаружено.</x:v>
      </x:c>
      <x:c r="V3029" s="87" t="str">
        <x:v>VERIFIED</x:v>
      </x:c>
      <x:c r="W3029" s="87" t="str">
        <x:v>PDF, стр. 14; критерии, стр. 6–7</x:v>
      </x:c>
      <x:c r="X3029" s="87"/>
      <x:c r="Y3029" s="87"/>
      <x:c r="Z3029" s="87"/>
      <x:c r="AA3029" s="87"/>
      <x:c r="AB3029" s="87"/>
      <x:c r="AC3029" s="87"/>
      <x:c r="AD3029" s="87"/>
      <x:c r="AE3029" s="87"/>
      <x:c r="AF3029" s="87"/>
      <x:c r="AG3029" s="87"/>
      <x:c r="AH3029" s="87"/>
      <x:c r="AI3029" s="30"/>
      <x:c r="AJ3029" s="87" t="str">
        <x:v>master</x:v>
      </x:c>
      <x:c r="AK3029" s="87" t="str">
        <x:v>master-v0.81</x:v>
      </x:c>
      <x:c r="AL3029" s="87" t="str">
        <x:v>statgrad_master_base_v0_81_final(2).xlsx</x:v>
      </x:c>
      <x:c r="AM3029" s="87" t="str">
        <x:v>GEO_Sep_V1</x:v>
      </x:c>
      <x:c r="AN3029" s="87" t="n">
        <x:v>30</x:v>
      </x:c>
    </x:row>
    <x:row r="3030">
      <x:c r="A3030" s="87" t="n">
        <x:v>3029</x:v>
      </x:c>
      <x:c r="B3030" s="87" t="str">
        <x:v>SEP-SOC-V1-001</x:v>
      </x:c>
      <x:c r="C3030" s="87" t="str">
        <x:v>СтатГрад</x:v>
      </x:c>
      <x:c r="D3030" s="87" t="str">
        <x:v>Сентябрь 2025</x:v>
      </x:c>
      <x:c r="E3030" s="87"/>
      <x:c r="F3030" s="87"/>
      <x:c r="G3030" s="87" t="str">
        <x:v>Обществознание</x:v>
      </x:c>
      <x:c r="H3030" s="87" t="n">
        <x:v>11</x:v>
      </x:c>
      <x:c r="I3030" s="87" t="str">
        <x:v>ТР №1</x:v>
      </x:c>
      <x:c r="J3030" s="87" t="str">
        <x:v>ОБ2510101</x:v>
      </x:c>
      <x:c r="K3030" s="87" t="n">
        <x:v>1</x:v>
      </x:c>
      <x:c r="L3030" s="87" t="str">
        <x:v>Признаки денег</x:v>
      </x:c>
      <x:c r="M3030" s="30" t="str">
        <x:v>Выберите два понятия, не относящиеся к признакам денег: делимость, ценность, узнаваемость, официальность, обращаемость, ликвидность.</x:v>
      </x:c>
      <x:c r="N3030" s="30" t="str">
        <x:v>45</x:v>
      </x:c>
      <x:c r="O3030" s="30" t="str">
        <x:v>Официальность и обращаемость не относятся к стандартному перечню признаков денег; деньги характеризуются делимостью, ценностью, узнаваемостью и ликвидностью.</x:v>
      </x:c>
      <x:c r="P3030" s="30" t="str">
        <x:v>Официальность и обращаемость не относятся к стандартному перечню признаков денег; деньги характеризуются делимостью, ценностью, узнаваемостью и ликвидностью.</x:v>
      </x:c>
      <x:c r="Q3030" s="30"/>
      <x:c r="R3030" s="30" t="str">
        <x:v>45</x:v>
      </x:c>
      <x:c r="S3030" s="30"/>
      <x:c r="T3030" s="30"/>
      <x:c r="U3030" s="30" t="str">
        <x:v>Расхождений с официальным PDF нет.</x:v>
      </x:c>
      <x:c r="V3030" s="87" t="str">
        <x:v>VERIFIED</x:v>
      </x:c>
      <x:c r="W3030" s="87" t="n">
        <x:v>2</x:v>
      </x:c>
      <x:c r="X3030" s="87"/>
      <x:c r="Y3030" s="87"/>
      <x:c r="Z3030" s="87"/>
      <x:c r="AA3030" s="87"/>
      <x:c r="AB3030" s="87"/>
      <x:c r="AC3030" s="87"/>
      <x:c r="AD3030" s="87"/>
      <x:c r="AE3030" s="87"/>
      <x:c r="AF3030" s="87"/>
      <x:c r="AG3030" s="87"/>
      <x:c r="AH3030" s="87"/>
      <x:c r="AI3030" s="30"/>
      <x:c r="AJ3030" s="87" t="str">
        <x:v>master</x:v>
      </x:c>
      <x:c r="AK3030" s="87" t="str">
        <x:v>master-v0.81</x:v>
      </x:c>
      <x:c r="AL3030" s="87" t="str">
        <x:v>statgrad_master_base_v0_81_final(2).xlsx</x:v>
      </x:c>
      <x:c r="AM3030" s="87" t="str">
        <x:v>SOC_Sep_V1</x:v>
      </x:c>
      <x:c r="AN3030" s="87" t="n">
        <x:v>2</x:v>
      </x:c>
    </x:row>
    <x:row r="3031">
      <x:c r="A3031" s="87" t="n">
        <x:v>3030</x:v>
      </x:c>
      <x:c r="B3031" s="87" t="str">
        <x:v>SEP-SOC-V1-002</x:v>
      </x:c>
      <x:c r="C3031" s="87" t="str">
        <x:v>СтатГрад</x:v>
      </x:c>
      <x:c r="D3031" s="87" t="str">
        <x:v>Сентябрь 2025</x:v>
      </x:c>
      <x:c r="E3031" s="87"/>
      <x:c r="F3031" s="87"/>
      <x:c r="G3031" s="87" t="str">
        <x:v>Обществознание</x:v>
      </x:c>
      <x:c r="H3031" s="87" t="n">
        <x:v>11</x:v>
      </x:c>
      <x:c r="I3031" s="87" t="str">
        <x:v>ТР №1</x:v>
      </x:c>
      <x:c r="J3031" s="87" t="str">
        <x:v>ОБ2510101</x:v>
      </x:c>
      <x:c r="K3031" s="87" t="n">
        <x:v>2</x:v>
      </x:c>
      <x:c r="L3031" s="87" t="str">
        <x:v>Религия</x:v>
      </x:c>
      <x:c r="M3031" s="30" t="str">
        <x:v>Выберите верные суждения о значении религии: регулирующая функция, легитимация власти, признание сверхъестественных сил и другие положения.</x:v>
      </x:c>
      <x:c r="N3031" s="30" t="str">
        <x:v>234</x:v>
      </x:c>
      <x:c r="O3031" s="30" t="str">
        <x:v>Верны 2, 3 и 4: религия регулирует поведение, может легитимировать власть и основывается на вере в сверхъестественное.</x:v>
      </x:c>
      <x:c r="P3031" s="30" t="str">
        <x:v>Верны 2, 3 и 4: религия регулирует поведение, может легитимировать власть и основывается на вере в сверхъестественное.</x:v>
      </x:c>
      <x:c r="Q3031" s="30"/>
      <x:c r="R3031" s="30" t="str">
        <x:v>234</x:v>
      </x:c>
      <x:c r="S3031" s="30"/>
      <x:c r="T3031" s="30"/>
      <x:c r="U3031" s="30" t="str">
        <x:v>Расхождений с официальным PDF нет.</x:v>
      </x:c>
      <x:c r="V3031" s="87" t="str">
        <x:v>VERIFIED</x:v>
      </x:c>
      <x:c r="W3031" s="87" t="n">
        <x:v>2</x:v>
      </x:c>
      <x:c r="X3031" s="87"/>
      <x:c r="Y3031" s="87"/>
      <x:c r="Z3031" s="87"/>
      <x:c r="AA3031" s="87"/>
      <x:c r="AB3031" s="87"/>
      <x:c r="AC3031" s="87"/>
      <x:c r="AD3031" s="87"/>
      <x:c r="AE3031" s="87"/>
      <x:c r="AF3031" s="87"/>
      <x:c r="AG3031" s="87"/>
      <x:c r="AH3031" s="87"/>
      <x:c r="AI3031" s="30"/>
      <x:c r="AJ3031" s="87" t="str">
        <x:v>master</x:v>
      </x:c>
      <x:c r="AK3031" s="87" t="str">
        <x:v>master-v0.81</x:v>
      </x:c>
      <x:c r="AL3031" s="87" t="str">
        <x:v>statgrad_master_base_v0_81_final(2).xlsx</x:v>
      </x:c>
      <x:c r="AM3031" s="87" t="str">
        <x:v>SOC_Sep_V1</x:v>
      </x:c>
      <x:c r="AN3031" s="87" t="n">
        <x:v>3</x:v>
      </x:c>
    </x:row>
    <x:row r="3032">
      <x:c r="A3032" s="87" t="n">
        <x:v>3031</x:v>
      </x:c>
      <x:c r="B3032" s="87" t="str">
        <x:v>SEP-SOC-V1-003</x:v>
      </x:c>
      <x:c r="C3032" s="87" t="str">
        <x:v>СтатГрад</x:v>
      </x:c>
      <x:c r="D3032" s="87" t="str">
        <x:v>Сентябрь 2025</x:v>
      </x:c>
      <x:c r="E3032" s="87"/>
      <x:c r="F3032" s="87"/>
      <x:c r="G3032" s="87" t="str">
        <x:v>Обществознание</x:v>
      </x:c>
      <x:c r="H3032" s="87" t="n">
        <x:v>11</x:v>
      </x:c>
      <x:c r="I3032" s="87" t="str">
        <x:v>ТР №1</x:v>
      </x:c>
      <x:c r="J3032" s="87" t="str">
        <x:v>ОБ2510101</x:v>
      </x:c>
      <x:c r="K3032" s="87" t="n">
        <x:v>3</x:v>
      </x:c>
      <x:c r="L3032" s="87" t="str">
        <x:v>Потребности человека</x:v>
      </x:c>
      <x:c r="M3032" s="30" t="str">
        <x:v>Соотнесите потребности в безопасности, отдыхе, общении, уважении, тепле и комфорте с первичными и вторичными.</x:v>
      </x:c>
      <x:c r="N3032" s="30" t="str">
        <x:v>11221</x:v>
      </x:c>
      <x:c r="O3032" s="30" t="str">
        <x:v>Безопасность, отдых, тепло и комфорт — первичные; общение и уважение — вторичные потребности.</x:v>
      </x:c>
      <x:c r="P3032" s="30" t="str">
        <x:v>Безопасность, отдых, тепло и комфорт — первичные; общение и уважение — вторичные потребности.</x:v>
      </x:c>
      <x:c r="Q3032" s="30"/>
      <x:c r="R3032" s="30" t="str">
        <x:v>11221</x:v>
      </x:c>
      <x:c r="S3032" s="30"/>
      <x:c r="T3032" s="30"/>
      <x:c r="U3032" s="30" t="str">
        <x:v>Расхождений с официальным PDF нет.</x:v>
      </x:c>
      <x:c r="V3032" s="87" t="str">
        <x:v>VERIFIED</x:v>
      </x:c>
      <x:c r="W3032" s="87" t="n">
        <x:v>3</x:v>
      </x:c>
      <x:c r="X3032" s="87"/>
      <x:c r="Y3032" s="87"/>
      <x:c r="Z3032" s="87"/>
      <x:c r="AA3032" s="87"/>
      <x:c r="AB3032" s="87"/>
      <x:c r="AC3032" s="87"/>
      <x:c r="AD3032" s="87"/>
      <x:c r="AE3032" s="87"/>
      <x:c r="AF3032" s="87"/>
      <x:c r="AG3032" s="87"/>
      <x:c r="AH3032" s="87"/>
      <x:c r="AI3032" s="30"/>
      <x:c r="AJ3032" s="87" t="str">
        <x:v>master</x:v>
      </x:c>
      <x:c r="AK3032" s="87" t="str">
        <x:v>master-v0.81</x:v>
      </x:c>
      <x:c r="AL3032" s="87" t="str">
        <x:v>statgrad_master_base_v0_81_final(2).xlsx</x:v>
      </x:c>
      <x:c r="AM3032" s="87" t="str">
        <x:v>SOC_Sep_V1</x:v>
      </x:c>
      <x:c r="AN3032" s="87" t="n">
        <x:v>4</x:v>
      </x:c>
    </x:row>
    <x:row r="3033">
      <x:c r="A3033" s="87" t="n">
        <x:v>3032</x:v>
      </x:c>
      <x:c r="B3033" s="87" t="str">
        <x:v>SEP-SOC-V1-004</x:v>
      </x:c>
      <x:c r="C3033" s="87" t="str">
        <x:v>СтатГрад</x:v>
      </x:c>
      <x:c r="D3033" s="87" t="str">
        <x:v>Сентябрь 2025</x:v>
      </x:c>
      <x:c r="E3033" s="87"/>
      <x:c r="F3033" s="87"/>
      <x:c r="G3033" s="87" t="str">
        <x:v>Обществознание</x:v>
      </x:c>
      <x:c r="H3033" s="87" t="n">
        <x:v>11</x:v>
      </x:c>
      <x:c r="I3033" s="87" t="str">
        <x:v>ТР №1</x:v>
      </x:c>
      <x:c r="J3033" s="87" t="str">
        <x:v>ОБ2510101</x:v>
      </x:c>
      <x:c r="K3033" s="87" t="n">
        <x:v>4</x:v>
      </x:c>
      <x:c r="L3033" s="87" t="str">
        <x:v>Цель и средства деятельности</x:v>
      </x:c>
      <x:c r="M3033" s="30" t="str">
        <x:v>Определите средства, которые Алексей использует для поступления в университет и получения профессии адвоката.</x:v>
      </x:c>
      <x:c r="N3033" s="30" t="str">
        <x:v>146</x:v>
      </x:c>
      <x:c r="O3033" s="30" t="str">
        <x:v>Чтение литературы, онлайн-занятия и участие в олимпиадах являются средствами; поступление и статус адвоката — цели.</x:v>
      </x:c>
      <x:c r="P3033" s="30" t="str">
        <x:v>Чтение литературы, онлайн-занятия и участие в олимпиадах являются средствами; поступление и статус адвоката — цели.</x:v>
      </x:c>
      <x:c r="Q3033" s="30"/>
      <x:c r="R3033" s="30" t="str">
        <x:v>146</x:v>
      </x:c>
      <x:c r="S3033" s="30"/>
      <x:c r="T3033" s="30"/>
      <x:c r="U3033" s="30" t="str">
        <x:v>Расхождений с официальным PDF нет.</x:v>
      </x:c>
      <x:c r="V3033" s="87" t="str">
        <x:v>VERIFIED</x:v>
      </x:c>
      <x:c r="W3033" s="87" t="n">
        <x:v>3</x:v>
      </x:c>
      <x:c r="X3033" s="87"/>
      <x:c r="Y3033" s="87"/>
      <x:c r="Z3033" s="87"/>
      <x:c r="AA3033" s="87"/>
      <x:c r="AB3033" s="87"/>
      <x:c r="AC3033" s="87"/>
      <x:c r="AD3033" s="87"/>
      <x:c r="AE3033" s="87"/>
      <x:c r="AF3033" s="87"/>
      <x:c r="AG3033" s="87"/>
      <x:c r="AH3033" s="87"/>
      <x:c r="AI3033" s="30"/>
      <x:c r="AJ3033" s="87" t="str">
        <x:v>master</x:v>
      </x:c>
      <x:c r="AK3033" s="87" t="str">
        <x:v>master-v0.81</x:v>
      </x:c>
      <x:c r="AL3033" s="87" t="str">
        <x:v>statgrad_master_base_v0_81_final(2).xlsx</x:v>
      </x:c>
      <x:c r="AM3033" s="87" t="str">
        <x:v>SOC_Sep_V1</x:v>
      </x:c>
      <x:c r="AN3033" s="87" t="n">
        <x:v>5</x:v>
      </x:c>
    </x:row>
    <x:row r="3034">
      <x:c r="A3034" s="87" t="n">
        <x:v>3033</x:v>
      </x:c>
      <x:c r="B3034" s="87" t="str">
        <x:v>SEP-SOC-V1-005</x:v>
      </x:c>
      <x:c r="C3034" s="87" t="str">
        <x:v>СтатГрад</x:v>
      </x:c>
      <x:c r="D3034" s="87" t="str">
        <x:v>Сентябрь 2025</x:v>
      </x:c>
      <x:c r="E3034" s="87"/>
      <x:c r="F3034" s="87"/>
      <x:c r="G3034" s="87" t="str">
        <x:v>Обществознание</x:v>
      </x:c>
      <x:c r="H3034" s="87" t="n">
        <x:v>11</x:v>
      </x:c>
      <x:c r="I3034" s="87" t="str">
        <x:v>ТР №1</x:v>
      </x:c>
      <x:c r="J3034" s="87" t="str">
        <x:v>ОБ2510101</x:v>
      </x:c>
      <x:c r="K3034" s="87" t="n">
        <x:v>5</x:v>
      </x:c>
      <x:c r="L3034" s="87" t="str">
        <x:v>Государство в экономике</x:v>
      </x:c>
      <x:c r="M3034" s="30" t="str">
        <x:v>Выберите верные суждения о роли государства в плановой и рыночной экономике.</x:v>
      </x:c>
      <x:c r="N3034" s="30" t="str">
        <x:v>134</x:v>
      </x:c>
      <x:c r="O3034" s="30" t="str">
        <x:v>В плановой системе государство устанавливает цены; в рыночной производит общественные блага и перераспределяет доходы через налоги.</x:v>
      </x:c>
      <x:c r="P3034" s="30" t="str">
        <x:v>В плановой системе государство устанавливает цены; в рыночной производит общественные блага и перераспределяет доходы через налоги.</x:v>
      </x:c>
      <x:c r="Q3034" s="30"/>
      <x:c r="R3034" s="30" t="str">
        <x:v>134</x:v>
      </x:c>
      <x:c r="S3034" s="30"/>
      <x:c r="T3034" s="30"/>
      <x:c r="U3034" s="30" t="str">
        <x:v>Расхождений с официальным PDF нет.</x:v>
      </x:c>
      <x:c r="V3034" s="87" t="str">
        <x:v>VERIFIED</x:v>
      </x:c>
      <x:c r="W3034" s="87" t="n">
        <x:v>4</x:v>
      </x:c>
      <x:c r="X3034" s="87"/>
      <x:c r="Y3034" s="87"/>
      <x:c r="Z3034" s="87"/>
      <x:c r="AA3034" s="87"/>
      <x:c r="AB3034" s="87"/>
      <x:c r="AC3034" s="87"/>
      <x:c r="AD3034" s="87"/>
      <x:c r="AE3034" s="87"/>
      <x:c r="AF3034" s="87"/>
      <x:c r="AG3034" s="87"/>
      <x:c r="AH3034" s="87"/>
      <x:c r="AI3034" s="30"/>
      <x:c r="AJ3034" s="87" t="str">
        <x:v>master</x:v>
      </x:c>
      <x:c r="AK3034" s="87" t="str">
        <x:v>master-v0.81</x:v>
      </x:c>
      <x:c r="AL3034" s="87" t="str">
        <x:v>statgrad_master_base_v0_81_final(2).xlsx</x:v>
      </x:c>
      <x:c r="AM3034" s="87" t="str">
        <x:v>SOC_Sep_V1</x:v>
      </x:c>
      <x:c r="AN3034" s="87" t="n">
        <x:v>6</x:v>
      </x:c>
    </x:row>
    <x:row r="3035">
      <x:c r="A3035" s="87" t="n">
        <x:v>3034</x:v>
      </x:c>
      <x:c r="B3035" s="87" t="str">
        <x:v>SEP-SOC-V1-006</x:v>
      </x:c>
      <x:c r="C3035" s="87" t="str">
        <x:v>СтатГрад</x:v>
      </x:c>
      <x:c r="D3035" s="87" t="str">
        <x:v>Сентябрь 2025</x:v>
      </x:c>
      <x:c r="E3035" s="87"/>
      <x:c r="F3035" s="87"/>
      <x:c r="G3035" s="87" t="str">
        <x:v>Обществознание</x:v>
      </x:c>
      <x:c r="H3035" s="87" t="n">
        <x:v>11</x:v>
      </x:c>
      <x:c r="I3035" s="87" t="str">
        <x:v>ТР №1</x:v>
      </x:c>
      <x:c r="J3035" s="87" t="str">
        <x:v>ОБ2510101</x:v>
      </x:c>
      <x:c r="K3035" s="87" t="n">
        <x:v>6</x:v>
      </x:c>
      <x:c r="L3035" s="87" t="str">
        <x:v>Виды конкуренции</x:v>
      </x:c>
      <x:c r="M3035" s="30" t="str">
        <x:v>Соотнесите железнодорожные, ресторанные, авиационные, ремонтные и автоперевозочные рынки с совершенной конкуренцией, олигополией и монополией.</x:v>
      </x:c>
      <x:c r="N3035" s="30" t="str">
        <x:v>31231</x:v>
      </x:c>
      <x:c r="O3035" s="30" t="str">
        <x:v>Один продавец — монополия; три крупные компании — олигополия; множество участников — конкурентный рынок.</x:v>
      </x:c>
      <x:c r="P3035" s="30" t="str">
        <x:v>Один продавец — монополия; три крупные компании — олигополия; множество участников — конкурентный рынок.</x:v>
      </x:c>
      <x:c r="Q3035" s="30"/>
      <x:c r="R3035" s="30" t="str">
        <x:v>31231</x:v>
      </x:c>
      <x:c r="S3035" s="30"/>
      <x:c r="T3035" s="30"/>
      <x:c r="U3035" s="30" t="str">
        <x:v>Расхождений с официальным PDF нет.</x:v>
      </x:c>
      <x:c r="V3035" s="87" t="str">
        <x:v>VERIFIED</x:v>
      </x:c>
      <x:c r="W3035" s="87" t="n">
        <x:v>4</x:v>
      </x:c>
      <x:c r="X3035" s="87"/>
      <x:c r="Y3035" s="87"/>
      <x:c r="Z3035" s="87"/>
      <x:c r="AA3035" s="87"/>
      <x:c r="AB3035" s="87"/>
      <x:c r="AC3035" s="87"/>
      <x:c r="AD3035" s="87"/>
      <x:c r="AE3035" s="87"/>
      <x:c r="AF3035" s="87"/>
      <x:c r="AG3035" s="87"/>
      <x:c r="AH3035" s="87"/>
      <x:c r="AI3035" s="30"/>
      <x:c r="AJ3035" s="87" t="str">
        <x:v>master</x:v>
      </x:c>
      <x:c r="AK3035" s="87" t="str">
        <x:v>master-v0.81</x:v>
      </x:c>
      <x:c r="AL3035" s="87" t="str">
        <x:v>statgrad_master_base_v0_81_final(2).xlsx</x:v>
      </x:c>
      <x:c r="AM3035" s="87" t="str">
        <x:v>SOC_Sep_V1</x:v>
      </x:c>
      <x:c r="AN3035" s="87" t="n">
        <x:v>7</x:v>
      </x:c>
    </x:row>
    <x:row r="3036">
      <x:c r="A3036" s="87" t="n">
        <x:v>3035</x:v>
      </x:c>
      <x:c r="B3036" s="87" t="str">
        <x:v>SEP-SOC-V1-007</x:v>
      </x:c>
      <x:c r="C3036" s="87" t="str">
        <x:v>СтатГрад</x:v>
      </x:c>
      <x:c r="D3036" s="87" t="str">
        <x:v>Сентябрь 2025</x:v>
      </x:c>
      <x:c r="E3036" s="87"/>
      <x:c r="F3036" s="87"/>
      <x:c r="G3036" s="87" t="str">
        <x:v>Обществознание</x:v>
      </x:c>
      <x:c r="H3036" s="87" t="n">
        <x:v>11</x:v>
      </x:c>
      <x:c r="I3036" s="87" t="str">
        <x:v>ТР №1</x:v>
      </x:c>
      <x:c r="J3036" s="87" t="str">
        <x:v>ОБ2510101</x:v>
      </x:c>
      <x:c r="K3036" s="87" t="n">
        <x:v>7</x:v>
      </x:c>
      <x:c r="L3036" s="87" t="str">
        <x:v>Ценные бумаги</x:v>
      </x:c>
      <x:c r="M3036" s="30" t="str">
        <x:v>Определите, какие документы являются ценными бумагами: сертификат, валюта, акции, облигации, свидетельство о собственности.</x:v>
      </x:c>
      <x:c r="N3036" s="30" t="str">
        <x:v>134</x:v>
      </x:c>
      <x:c r="O3036" s="30" t="str">
        <x:v>Сберегательный сертификат, акции и облигации являются ценными бумагами.</x:v>
      </x:c>
      <x:c r="P3036" s="30" t="str">
        <x:v>Сберегательный сертификат, акции и облигации являются ценными бумагами.</x:v>
      </x:c>
      <x:c r="Q3036" s="30"/>
      <x:c r="R3036" s="30" t="str">
        <x:v>134</x:v>
      </x:c>
      <x:c r="S3036" s="30"/>
      <x:c r="T3036" s="30"/>
      <x:c r="U3036" s="30" t="str">
        <x:v>Расхождений с официальным PDF нет.</x:v>
      </x:c>
      <x:c r="V3036" s="87" t="str">
        <x:v>VERIFIED</x:v>
      </x:c>
      <x:c r="W3036" s="87" t="n">
        <x:v>5</x:v>
      </x:c>
      <x:c r="X3036" s="87"/>
      <x:c r="Y3036" s="87"/>
      <x:c r="Z3036" s="87"/>
      <x:c r="AA3036" s="87"/>
      <x:c r="AB3036" s="87"/>
      <x:c r="AC3036" s="87"/>
      <x:c r="AD3036" s="87"/>
      <x:c r="AE3036" s="87"/>
      <x:c r="AF3036" s="87"/>
      <x:c r="AG3036" s="87"/>
      <x:c r="AH3036" s="87"/>
      <x:c r="AI3036" s="30"/>
      <x:c r="AJ3036" s="87" t="str">
        <x:v>master</x:v>
      </x:c>
      <x:c r="AK3036" s="87" t="str">
        <x:v>master-v0.81</x:v>
      </x:c>
      <x:c r="AL3036" s="87" t="str">
        <x:v>statgrad_master_base_v0_81_final(2).xlsx</x:v>
      </x:c>
      <x:c r="AM3036" s="87" t="str">
        <x:v>SOC_Sep_V1</x:v>
      </x:c>
      <x:c r="AN3036" s="87" t="n">
        <x:v>8</x:v>
      </x:c>
    </x:row>
    <x:row r="3037">
      <x:c r="A3037" s="87" t="n">
        <x:v>3036</x:v>
      </x:c>
      <x:c r="B3037" s="87" t="str">
        <x:v>SEP-SOC-V1-008</x:v>
      </x:c>
      <x:c r="C3037" s="87" t="str">
        <x:v>СтатГрад</x:v>
      </x:c>
      <x:c r="D3037" s="87" t="str">
        <x:v>Сентябрь 2025</x:v>
      </x:c>
      <x:c r="E3037" s="87"/>
      <x:c r="F3037" s="87"/>
      <x:c r="G3037" s="87" t="str">
        <x:v>Обществознание</x:v>
      </x:c>
      <x:c r="H3037" s="87" t="n">
        <x:v>11</x:v>
      </x:c>
      <x:c r="I3037" s="87" t="str">
        <x:v>ТР №1</x:v>
      </x:c>
      <x:c r="J3037" s="87" t="str">
        <x:v>ОБ2510101</x:v>
      </x:c>
      <x:c r="K3037" s="87" t="n">
        <x:v>8</x:v>
      </x:c>
      <x:c r="L3037" s="87" t="str">
        <x:v>Социальный конфликт</x:v>
      </x:c>
      <x:c r="M3037" s="30" t="str">
        <x:v>Выберите верные суждения о причинах, сущности и функциях социального конфликта.</x:v>
      </x:c>
      <x:c r="N3037" s="30" t="str">
        <x:v>135</x:v>
      </x:c>
      <x:c r="O3037" s="30" t="str">
        <x:v>Верны 1, 3 и 5: конфликт связан с противоборством интересов, может возникать из-за роста группового самосознания и имеет конструктивные и деструктивные функции.</x:v>
      </x:c>
      <x:c r="P3037" s="30" t="str">
        <x:v>Верны 1, 3 и 5: конфликт связан с противоборством интересов, может возникать из-за роста группового самосознания и имеет конструктивные и деструктивные функции.</x:v>
      </x:c>
      <x:c r="Q3037" s="30"/>
      <x:c r="R3037" s="30" t="str">
        <x:v>135</x:v>
      </x:c>
      <x:c r="S3037" s="30"/>
      <x:c r="T3037" s="30"/>
      <x:c r="U3037" s="30" t="str">
        <x:v>Дополнительная фото-сводка содержит 125, но официальный PDF и независимая проверка подтверждают 135.</x:v>
      </x:c>
      <x:c r="V3037" s="87" t="str">
        <x:v>VERIFIED</x:v>
      </x:c>
      <x:c r="W3037" s="87" t="n">
        <x:v>5</x:v>
      </x:c>
      <x:c r="X3037" s="87"/>
      <x:c r="Y3037" s="87"/>
      <x:c r="Z3037" s="87"/>
      <x:c r="AA3037" s="87"/>
      <x:c r="AB3037" s="87"/>
      <x:c r="AC3037" s="87"/>
      <x:c r="AD3037" s="87"/>
      <x:c r="AE3037" s="87"/>
      <x:c r="AF3037" s="87"/>
      <x:c r="AG3037" s="87"/>
      <x:c r="AH3037" s="87"/>
      <x:c r="AI3037" s="30"/>
      <x:c r="AJ3037" s="87" t="str">
        <x:v>master</x:v>
      </x:c>
      <x:c r="AK3037" s="87" t="str">
        <x:v>master-v0.81</x:v>
      </x:c>
      <x:c r="AL3037" s="87" t="str">
        <x:v>statgrad_master_base_v0_81_final(2).xlsx</x:v>
      </x:c>
      <x:c r="AM3037" s="87" t="str">
        <x:v>SOC_Sep_V1</x:v>
      </x:c>
      <x:c r="AN3037" s="87" t="n">
        <x:v>9</x:v>
      </x:c>
    </x:row>
    <x:row r="3038">
      <x:c r="A3038" s="87" t="n">
        <x:v>3037</x:v>
      </x:c>
      <x:c r="B3038" s="87" t="str">
        <x:v>SEP-SOC-V1-009</x:v>
      </x:c>
      <x:c r="C3038" s="87" t="str">
        <x:v>СтатГрад</x:v>
      </x:c>
      <x:c r="D3038" s="87" t="str">
        <x:v>Сентябрь 2025</x:v>
      </x:c>
      <x:c r="E3038" s="87"/>
      <x:c r="F3038" s="87"/>
      <x:c r="G3038" s="87" t="str">
        <x:v>Обществознание</x:v>
      </x:c>
      <x:c r="H3038" s="87" t="n">
        <x:v>11</x:v>
      </x:c>
      <x:c r="I3038" s="87" t="str">
        <x:v>ТР №1</x:v>
      </x:c>
      <x:c r="J3038" s="87" t="str">
        <x:v>ОБ2510101</x:v>
      </x:c>
      <x:c r="K3038" s="87" t="n">
        <x:v>9</x:v>
      </x:c>
      <x:c r="L3038" s="87" t="str">
        <x:v>Социологическая диаграмма</x:v>
      </x:c>
      <x:c r="M3038" s="30" t="str">
        <x:v>По диаграмме сравните ответы мужчин и женщин о том, что человек должен успеть сделать до 30 лет.</x:v>
      </x:c>
      <x:c r="N3038" s="30" t="str">
        <x:v>125</x:v>
      </x:c>
      <x:c r="O3038" s="30" t="str">
        <x:v>По столбцам диаграммы верны выводы 1, 2 и 5.</x:v>
      </x:c>
      <x:c r="P3038" s="30" t="str">
        <x:v>По столбцам диаграммы верны выводы 1, 2 и 5.</x:v>
      </x:c>
      <x:c r="Q3038" s="30"/>
      <x:c r="R3038" s="30" t="str">
        <x:v>125</x:v>
      </x:c>
      <x:c r="S3038" s="30"/>
      <x:c r="T3038" s="30"/>
      <x:c r="U3038" s="30" t="str">
        <x:v>Дополнительная фото-сводка содержит 234, но официальный PDF и независимая проверка подтверждают 125.</x:v>
      </x:c>
      <x:c r="V3038" s="87" t="str">
        <x:v>VERIFIED</x:v>
      </x:c>
      <x:c r="W3038" s="87" t="n">
        <x:v>6</x:v>
      </x:c>
      <x:c r="X3038" s="87"/>
      <x:c r="Y3038" s="87"/>
      <x:c r="Z3038" s="87"/>
      <x:c r="AA3038" s="87"/>
      <x:c r="AB3038" s="87"/>
      <x:c r="AC3038" s="87" t="str">
        <x:v>VIS-SOC-SEP-001</x:v>
      </x:c>
      <x:c r="AD3038" s="87"/>
      <x:c r="AE3038" s="87" t="str">
        <x:v>Социологическая диаграмма</x:v>
      </x:c>
      <x:c r="AF3038" s="87" t="str">
        <x:v>VIS-SOC-SEP-001: 6</x:v>
      </x:c>
      <x:c r="AG3038" s="87" t="str">
        <x:v>RESOLVED</x:v>
      </x:c>
      <x:c r="AH3038" s="87" t="str">
        <x:v>ORIGINAL_ASSET_HASH_VERIFIED; TASK_CROP_QA_APPROVED:MANUAL_BBOX</x:v>
      </x:c>
      <x:c r="AI3038" s="30"/>
      <x:c r="AJ3038" s="87" t="str">
        <x:v>master</x:v>
      </x:c>
      <x:c r="AK3038" s="87" t="str">
        <x:v>master-v0.81</x:v>
      </x:c>
      <x:c r="AL3038" s="87" t="str">
        <x:v>statgrad_master_base_v0_81_final(2).xlsx</x:v>
      </x:c>
      <x:c r="AM3038" s="87" t="str">
        <x:v>SOC_Sep_V1</x:v>
      </x:c>
      <x:c r="AN3038" s="87" t="n">
        <x:v>10</x:v>
      </x:c>
    </x:row>
    <x:row r="3039">
      <x:c r="A3039" s="87" t="n">
        <x:v>3038</x:v>
      </x:c>
      <x:c r="B3039" s="87" t="str">
        <x:v>SEP-SOC-V1-010</x:v>
      </x:c>
      <x:c r="C3039" s="87" t="str">
        <x:v>СтатГрад</x:v>
      </x:c>
      <x:c r="D3039" s="87" t="str">
        <x:v>Сентябрь 2025</x:v>
      </x:c>
      <x:c r="E3039" s="87"/>
      <x:c r="F3039" s="87"/>
      <x:c r="G3039" s="87" t="str">
        <x:v>Обществознание</x:v>
      </x:c>
      <x:c r="H3039" s="87" t="n">
        <x:v>11</x:v>
      </x:c>
      <x:c r="I3039" s="87" t="str">
        <x:v>ТР №1</x:v>
      </x:c>
      <x:c r="J3039" s="87" t="str">
        <x:v>ОБ2510101</x:v>
      </x:c>
      <x:c r="K3039" s="87" t="n">
        <x:v>10</x:v>
      </x:c>
      <x:c r="L3039" s="87" t="str">
        <x:v>Государственная власть</x:v>
      </x:c>
      <x:c r="M3039" s="30" t="str">
        <x:v>Выберите отличительные признаки государственной власти.</x:v>
      </x:c>
      <x:c r="N3039" s="30" t="str">
        <x:v>135</x:v>
      </x:c>
      <x:c r="O3039" s="30" t="str">
        <x:v>Общеобязательное нормотворчество, легальное применение силы и публичный характер отличают государственную власть.</x:v>
      </x:c>
      <x:c r="P3039" s="30" t="str">
        <x:v>Общеобязательное нормотворчество, легальное применение силы и публичный характер отличают государственную власть.</x:v>
      </x:c>
      <x:c r="Q3039" s="30"/>
      <x:c r="R3039" s="30" t="str">
        <x:v>135</x:v>
      </x:c>
      <x:c r="S3039" s="30"/>
      <x:c r="T3039" s="30"/>
      <x:c r="U3039" s="30" t="str">
        <x:v>Расхождений с официальным PDF нет.</x:v>
      </x:c>
      <x:c r="V3039" s="87" t="str">
        <x:v>VERIFIED</x:v>
      </x:c>
      <x:c r="W3039" s="87" t="n">
        <x:v>7</x:v>
      </x:c>
      <x:c r="X3039" s="87"/>
      <x:c r="Y3039" s="87"/>
      <x:c r="Z3039" s="87"/>
      <x:c r="AA3039" s="87"/>
      <x:c r="AB3039" s="87"/>
      <x:c r="AC3039" s="87"/>
      <x:c r="AD3039" s="87"/>
      <x:c r="AE3039" s="87"/>
      <x:c r="AF3039" s="87"/>
      <x:c r="AG3039" s="87"/>
      <x:c r="AH3039" s="87"/>
      <x:c r="AI3039" s="30"/>
      <x:c r="AJ3039" s="87" t="str">
        <x:v>master</x:v>
      </x:c>
      <x:c r="AK3039" s="87" t="str">
        <x:v>master-v0.81</x:v>
      </x:c>
      <x:c r="AL3039" s="87" t="str">
        <x:v>statgrad_master_base_v0_81_final(2).xlsx</x:v>
      </x:c>
      <x:c r="AM3039" s="87" t="str">
        <x:v>SOC_Sep_V1</x:v>
      </x:c>
      <x:c r="AN3039" s="87" t="n">
        <x:v>11</x:v>
      </x:c>
    </x:row>
    <x:row r="3040">
      <x:c r="A3040" s="87" t="n">
        <x:v>3039</x:v>
      </x:c>
      <x:c r="B3040" s="87" t="str">
        <x:v>SEP-SOC-V1-011</x:v>
      </x:c>
      <x:c r="C3040" s="87" t="str">
        <x:v>СтатГрад</x:v>
      </x:c>
      <x:c r="D3040" s="87" t="str">
        <x:v>Сентябрь 2025</x:v>
      </x:c>
      <x:c r="E3040" s="87"/>
      <x:c r="F3040" s="87"/>
      <x:c r="G3040" s="87" t="str">
        <x:v>Обществознание</x:v>
      </x:c>
      <x:c r="H3040" s="87" t="n">
        <x:v>11</x:v>
      </x:c>
      <x:c r="I3040" s="87" t="str">
        <x:v>ТР №1</x:v>
      </x:c>
      <x:c r="J3040" s="87" t="str">
        <x:v>ОБ2510101</x:v>
      </x:c>
      <x:c r="K3040" s="87" t="n">
        <x:v>11</x:v>
      </x:c>
      <x:c r="L3040" s="87" t="str">
        <x:v>Консервативная идеология</x:v>
      </x:c>
      <x:c r="M3040" s="30" t="str">
        <x:v>Выберите взгляды, характерные для консервативной партии.</x:v>
      </x:c>
      <x:c r="N3040" s="30" t="str">
        <x:v>234</x:v>
      </x:c>
      <x:c r="O3040" s="30" t="str">
        <x:v>Поддержка религиозных организаций, частной собственности и традиционных ценностей соответствует консерватизму.</x:v>
      </x:c>
      <x:c r="P3040" s="30" t="str">
        <x:v>Поддержка религиозных организаций, частной собственности и традиционных ценностей соответствует консерватизму.</x:v>
      </x:c>
      <x:c r="Q3040" s="30"/>
      <x:c r="R3040" s="30" t="str">
        <x:v>234</x:v>
      </x:c>
      <x:c r="S3040" s="30"/>
      <x:c r="T3040" s="30"/>
      <x:c r="U3040" s="30" t="str">
        <x:v>Расхождений с официальным PDF нет.</x:v>
      </x:c>
      <x:c r="V3040" s="87" t="str">
        <x:v>VERIFIED</x:v>
      </x:c>
      <x:c r="W3040" s="87" t="n">
        <x:v>7</x:v>
      </x:c>
      <x:c r="X3040" s="87"/>
      <x:c r="Y3040" s="87"/>
      <x:c r="Z3040" s="87"/>
      <x:c r="AA3040" s="87"/>
      <x:c r="AB3040" s="87"/>
      <x:c r="AC3040" s="87"/>
      <x:c r="AD3040" s="87"/>
      <x:c r="AE3040" s="87"/>
      <x:c r="AF3040" s="87"/>
      <x:c r="AG3040" s="87"/>
      <x:c r="AH3040" s="87"/>
      <x:c r="AI3040" s="30"/>
      <x:c r="AJ3040" s="87" t="str">
        <x:v>master</x:v>
      </x:c>
      <x:c r="AK3040" s="87" t="str">
        <x:v>master-v0.81</x:v>
      </x:c>
      <x:c r="AL3040" s="87" t="str">
        <x:v>statgrad_master_base_v0_81_final(2).xlsx</x:v>
      </x:c>
      <x:c r="AM3040" s="87" t="str">
        <x:v>SOC_Sep_V1</x:v>
      </x:c>
      <x:c r="AN3040" s="87" t="n">
        <x:v>12</x:v>
      </x:c>
    </x:row>
    <x:row r="3041">
      <x:c r="A3041" s="87" t="n">
        <x:v>3040</x:v>
      </x:c>
      <x:c r="B3041" s="87" t="str">
        <x:v>SEP-SOC-V1-012</x:v>
      </x:c>
      <x:c r="C3041" s="87" t="str">
        <x:v>СтатГрад</x:v>
      </x:c>
      <x:c r="D3041" s="87" t="str">
        <x:v>Сентябрь 2025</x:v>
      </x:c>
      <x:c r="E3041" s="87"/>
      <x:c r="F3041" s="87"/>
      <x:c r="G3041" s="87" t="str">
        <x:v>Обществознание</x:v>
      </x:c>
      <x:c r="H3041" s="87" t="n">
        <x:v>11</x:v>
      </x:c>
      <x:c r="I3041" s="87" t="str">
        <x:v>ТР №1</x:v>
      </x:c>
      <x:c r="J3041" s="87" t="str">
        <x:v>ОБ2510101</x:v>
      </x:c>
      <x:c r="K3041" s="87" t="n">
        <x:v>12</x:v>
      </x:c>
      <x:c r="L3041" s="87" t="str">
        <x:v>Основы конституционного строя</x:v>
      </x:c>
      <x:c r="M3041" s="30" t="str">
        <x:v>Выберите положения, относящиеся к основам конституционного строя Российской Федерации.</x:v>
      </x:c>
      <x:c r="N3041" s="30" t="str">
        <x:v>156</x:v>
      </x:c>
      <x:c r="O3041" s="30" t="str">
        <x:v>Республиканская форма правления, разделение властей и светский характер государства закреплены в главе об основах конституционного строя.</x:v>
      </x:c>
      <x:c r="P3041" s="30" t="str">
        <x:v>Республиканская форма правления, разделение властей и светский характер государства закреплены в главе об основах конституционного строя.</x:v>
      </x:c>
      <x:c r="Q3041" s="30"/>
      <x:c r="R3041" s="30" t="str">
        <x:v>156</x:v>
      </x:c>
      <x:c r="S3041" s="30"/>
      <x:c r="T3041" s="30"/>
      <x:c r="U3041" s="30" t="str">
        <x:v>Расхождений с официальным PDF нет.</x:v>
      </x:c>
      <x:c r="V3041" s="87" t="str">
        <x:v>VERIFIED</x:v>
      </x:c>
      <x:c r="W3041" s="87" t="n">
        <x:v>7</x:v>
      </x:c>
      <x:c r="X3041" s="87"/>
      <x:c r="Y3041" s="87"/>
      <x:c r="Z3041" s="87"/>
      <x:c r="AA3041" s="87"/>
      <x:c r="AB3041" s="87"/>
      <x:c r="AC3041" s="87"/>
      <x:c r="AD3041" s="87"/>
      <x:c r="AE3041" s="87"/>
      <x:c r="AF3041" s="87"/>
      <x:c r="AG3041" s="87"/>
      <x:c r="AH3041" s="87"/>
      <x:c r="AI3041" s="30"/>
      <x:c r="AJ3041" s="87" t="str">
        <x:v>master</x:v>
      </x:c>
      <x:c r="AK3041" s="87" t="str">
        <x:v>master-v0.81</x:v>
      </x:c>
      <x:c r="AL3041" s="87" t="str">
        <x:v>statgrad_master_base_v0_81_final(2).xlsx</x:v>
      </x:c>
      <x:c r="AM3041" s="87" t="str">
        <x:v>SOC_Sep_V1</x:v>
      </x:c>
      <x:c r="AN3041" s="87" t="n">
        <x:v>13</x:v>
      </x:c>
    </x:row>
    <x:row r="3042">
      <x:c r="A3042" s="87" t="n">
        <x:v>3041</x:v>
      </x:c>
      <x:c r="B3042" s="87" t="str">
        <x:v>SEP-SOC-V1-013</x:v>
      </x:c>
      <x:c r="C3042" s="87" t="str">
        <x:v>СтатГрад</x:v>
      </x:c>
      <x:c r="D3042" s="87" t="str">
        <x:v>Сентябрь 2025</x:v>
      </x:c>
      <x:c r="E3042" s="87"/>
      <x:c r="F3042" s="87"/>
      <x:c r="G3042" s="87" t="str">
        <x:v>Обществознание</x:v>
      </x:c>
      <x:c r="H3042" s="87" t="n">
        <x:v>11</x:v>
      </x:c>
      <x:c r="I3042" s="87" t="str">
        <x:v>ТР №1</x:v>
      </x:c>
      <x:c r="J3042" s="87" t="str">
        <x:v>ОБ2510101</x:v>
      </x:c>
      <x:c r="K3042" s="87" t="n">
        <x:v>13</x:v>
      </x:c>
      <x:c r="L3042" s="87" t="str">
        <x:v>Федеративное устройство</x:v>
      </x:c>
      <x:c r="M3042" s="30" t="str">
        <x:v>Соотнесите предметы ведения с исключительной компетенцией Российской Федерации или совместным ведением Федерации и субъектов.</x:v>
      </x:c>
      <x:c r="N3042" s="30" t="str">
        <x:v>21121</x:v>
      </x:c>
      <x:c r="O3042" s="30" t="str">
        <x:v>Законность и охрана окружающей среды — совместное ведение; федеральная собственность, гражданское законодательство и официальный учёт — ведение РФ.</x:v>
      </x:c>
      <x:c r="P3042" s="30" t="str">
        <x:v>Законность и охрана окружающей среды — совместное ведение; федеральная собственность, гражданское законодательство и официальный учёт — ведение РФ.</x:v>
      </x:c>
      <x:c r="Q3042" s="30"/>
      <x:c r="R3042" s="30" t="str">
        <x:v>21121</x:v>
      </x:c>
      <x:c r="S3042" s="30"/>
      <x:c r="T3042" s="30"/>
      <x:c r="U3042" s="30" t="str">
        <x:v>Расхождений с официальным PDF нет.</x:v>
      </x:c>
      <x:c r="V3042" s="87" t="str">
        <x:v>VERIFIED</x:v>
      </x:c>
      <x:c r="W3042" s="87" t="n">
        <x:v>8</x:v>
      </x:c>
      <x:c r="X3042" s="87"/>
      <x:c r="Y3042" s="87"/>
      <x:c r="Z3042" s="87"/>
      <x:c r="AA3042" s="87"/>
      <x:c r="AB3042" s="87"/>
      <x:c r="AC3042" s="87"/>
      <x:c r="AD3042" s="87"/>
      <x:c r="AE3042" s="87"/>
      <x:c r="AF3042" s="87"/>
      <x:c r="AG3042" s="87"/>
      <x:c r="AH3042" s="87"/>
      <x:c r="AI3042" s="30"/>
      <x:c r="AJ3042" s="87" t="str">
        <x:v>master</x:v>
      </x:c>
      <x:c r="AK3042" s="87" t="str">
        <x:v>master-v0.81</x:v>
      </x:c>
      <x:c r="AL3042" s="87" t="str">
        <x:v>statgrad_master_base_v0_81_final(2).xlsx</x:v>
      </x:c>
      <x:c r="AM3042" s="87" t="str">
        <x:v>SOC_Sep_V1</x:v>
      </x:c>
      <x:c r="AN3042" s="87" t="n">
        <x:v>14</x:v>
      </x:c>
    </x:row>
    <x:row r="3043">
      <x:c r="A3043" s="87" t="n">
        <x:v>3042</x:v>
      </x:c>
      <x:c r="B3043" s="87" t="str">
        <x:v>SEP-SOC-V1-014</x:v>
      </x:c>
      <x:c r="C3043" s="87" t="str">
        <x:v>СтатГрад</x:v>
      </x:c>
      <x:c r="D3043" s="87" t="str">
        <x:v>Сентябрь 2025</x:v>
      </x:c>
      <x:c r="E3043" s="87"/>
      <x:c r="F3043" s="87"/>
      <x:c r="G3043" s="87" t="str">
        <x:v>Обществознание</x:v>
      </x:c>
      <x:c r="H3043" s="87" t="n">
        <x:v>11</x:v>
      </x:c>
      <x:c r="I3043" s="87" t="str">
        <x:v>ТР №1</x:v>
      </x:c>
      <x:c r="J3043" s="87" t="str">
        <x:v>ОБ2510101</x:v>
      </x:c>
      <x:c r="K3043" s="87" t="n">
        <x:v>14</x:v>
      </x:c>
      <x:c r="L3043" s="87" t="str">
        <x:v>Заключение брака</x:v>
      </x:c>
      <x:c r="M3043" s="30" t="str">
        <x:v>Выберите верные суждения об условиях и порядке заключения брака.</x:v>
      </x:c>
      <x:c r="N3043" s="30" t="str">
        <x:v>35</x:v>
      </x:c>
      <x:c r="O3043" s="30" t="str">
        <x:v>Брак запрещён между близкими родственниками и регистрируется при личном присутствии вступающих в брак.</x:v>
      </x:c>
      <x:c r="P3043" s="30" t="str">
        <x:v>Брак запрещён между близкими родственниками и регистрируется при личном присутствии вступающих в брак.</x:v>
      </x:c>
      <x:c r="Q3043" s="30"/>
      <x:c r="R3043" s="30" t="str">
        <x:v>35</x:v>
      </x:c>
      <x:c r="S3043" s="30"/>
      <x:c r="T3043" s="30"/>
      <x:c r="U3043" s="30" t="str">
        <x:v>Расхождений с официальным PDF нет.</x:v>
      </x:c>
      <x:c r="V3043" s="87" t="str">
        <x:v>VERIFIED</x:v>
      </x:c>
      <x:c r="W3043" s="87" t="n">
        <x:v>8</x:v>
      </x:c>
      <x:c r="X3043" s="87"/>
      <x:c r="Y3043" s="87"/>
      <x:c r="Z3043" s="87"/>
      <x:c r="AA3043" s="87"/>
      <x:c r="AB3043" s="87"/>
      <x:c r="AC3043" s="87"/>
      <x:c r="AD3043" s="87"/>
      <x:c r="AE3043" s="87"/>
      <x:c r="AF3043" s="87"/>
      <x:c r="AG3043" s="87"/>
      <x:c r="AH3043" s="87"/>
      <x:c r="AI3043" s="30"/>
      <x:c r="AJ3043" s="87" t="str">
        <x:v>master</x:v>
      </x:c>
      <x:c r="AK3043" s="87" t="str">
        <x:v>master-v0.81</x:v>
      </x:c>
      <x:c r="AL3043" s="87" t="str">
        <x:v>statgrad_master_base_v0_81_final(2).xlsx</x:v>
      </x:c>
      <x:c r="AM3043" s="87" t="str">
        <x:v>SOC_Sep_V1</x:v>
      </x:c>
      <x:c r="AN3043" s="87" t="n">
        <x:v>15</x:v>
      </x:c>
    </x:row>
    <x:row r="3044">
      <x:c r="A3044" s="87" t="n">
        <x:v>3043</x:v>
      </x:c>
      <x:c r="B3044" s="87" t="str">
        <x:v>SEP-SOC-V1-015</x:v>
      </x:c>
      <x:c r="C3044" s="87" t="str">
        <x:v>СтатГрад</x:v>
      </x:c>
      <x:c r="D3044" s="87" t="str">
        <x:v>Сентябрь 2025</x:v>
      </x:c>
      <x:c r="E3044" s="87"/>
      <x:c r="F3044" s="87"/>
      <x:c r="G3044" s="87" t="str">
        <x:v>Обществознание</x:v>
      </x:c>
      <x:c r="H3044" s="87" t="n">
        <x:v>11</x:v>
      </x:c>
      <x:c r="I3044" s="87" t="str">
        <x:v>ТР №1</x:v>
      </x:c>
      <x:c r="J3044" s="87" t="str">
        <x:v>ОБ2510101</x:v>
      </x:c>
      <x:c r="K3044" s="87" t="n">
        <x:v>15</x:v>
      </x:c>
      <x:c r="L3044" s="87" t="str">
        <x:v>Публичное и частное право</x:v>
      </x:c>
      <x:c r="M3044" s="30" t="str">
        <x:v>Соотнесите трудовое, гражданское, уголовное, семейное и административное право с публичной или частной сферой.</x:v>
      </x:c>
      <x:c r="N3044" s="30" t="str">
        <x:v>22121</x:v>
      </x:c>
      <x:c r="O3044" s="30" t="str">
        <x:v>Трудовое, гражданское и семейное право отнесены к частной сфере; уголовное и административное — к публичной.</x:v>
      </x:c>
      <x:c r="P3044" s="30" t="str">
        <x:v>Трудовое, гражданское и семейное право отнесены к частной сфере; уголовное и административное — к публичной.</x:v>
      </x:c>
      <x:c r="Q3044" s="30"/>
      <x:c r="R3044" s="30" t="str">
        <x:v>22121</x:v>
      </x:c>
      <x:c r="S3044" s="30"/>
      <x:c r="T3044" s="30"/>
      <x:c r="U3044" s="30" t="str">
        <x:v>Расхождений с официальным PDF нет.</x:v>
      </x:c>
      <x:c r="V3044" s="87" t="str">
        <x:v>VERIFIED</x:v>
      </x:c>
      <x:c r="W3044" s="87" t="n">
        <x:v>9</x:v>
      </x:c>
      <x:c r="X3044" s="87"/>
      <x:c r="Y3044" s="87"/>
      <x:c r="Z3044" s="87"/>
      <x:c r="AA3044" s="87"/>
      <x:c r="AB3044" s="87"/>
      <x:c r="AC3044" s="87"/>
      <x:c r="AD3044" s="87"/>
      <x:c r="AE3044" s="87"/>
      <x:c r="AF3044" s="87"/>
      <x:c r="AG3044" s="87"/>
      <x:c r="AH3044" s="87"/>
      <x:c r="AI3044" s="30"/>
      <x:c r="AJ3044" s="87" t="str">
        <x:v>master</x:v>
      </x:c>
      <x:c r="AK3044" s="87" t="str">
        <x:v>master-v0.81</x:v>
      </x:c>
      <x:c r="AL3044" s="87" t="str">
        <x:v>statgrad_master_base_v0_81_final(2).xlsx</x:v>
      </x:c>
      <x:c r="AM3044" s="87" t="str">
        <x:v>SOC_Sep_V1</x:v>
      </x:c>
      <x:c r="AN3044" s="87" t="n">
        <x:v>16</x:v>
      </x:c>
    </x:row>
    <x:row r="3045">
      <x:c r="A3045" s="87" t="n">
        <x:v>3044</x:v>
      </x:c>
      <x:c r="B3045" s="87" t="str">
        <x:v>SEP-SOC-V1-016</x:v>
      </x:c>
      <x:c r="C3045" s="87" t="str">
        <x:v>СтатГрад</x:v>
      </x:c>
      <x:c r="D3045" s="87" t="str">
        <x:v>Сентябрь 2025</x:v>
      </x:c>
      <x:c r="E3045" s="87"/>
      <x:c r="F3045" s="87"/>
      <x:c r="G3045" s="87" t="str">
        <x:v>Обществознание</x:v>
      </x:c>
      <x:c r="H3045" s="87" t="n">
        <x:v>11</x:v>
      </x:c>
      <x:c r="I3045" s="87" t="str">
        <x:v>ТР №1</x:v>
      </x:c>
      <x:c r="J3045" s="87" t="str">
        <x:v>ОБ2510101</x:v>
      </x:c>
      <x:c r="K3045" s="87" t="n">
        <x:v>16</x:v>
      </x:c>
      <x:c r="L3045" s="87" t="str">
        <x:v>Адвокатура</x:v>
      </x:c>
      <x:c r="M3045" s="30" t="str">
        <x:v>Выберите профессиональные полномочия адвоката.</x:v>
      </x:c>
      <x:c r="N3045" s="30" t="str">
        <x:v>134</x:v>
      </x:c>
      <x:c r="O3045" s="30" t="str">
        <x:v>Адвокат консультирует, защищает обвиняемого и составляет правовые документы; надзор осуществляет прокуратура, удостоверение — нотариус.</x:v>
      </x:c>
      <x:c r="P3045" s="30" t="str">
        <x:v>Адвокат консультирует, защищает обвиняемого и составляет правовые документы; надзор осуществляет прокуратура, удостоверение — нотариус.</x:v>
      </x:c>
      <x:c r="Q3045" s="30"/>
      <x:c r="R3045" s="30" t="str">
        <x:v>134</x:v>
      </x:c>
      <x:c r="S3045" s="30"/>
      <x:c r="T3045" s="30"/>
      <x:c r="U3045" s="30" t="str">
        <x:v>Расхождений с официальным PDF нет.</x:v>
      </x:c>
      <x:c r="V3045" s="87" t="str">
        <x:v>VERIFIED</x:v>
      </x:c>
      <x:c r="W3045" s="87" t="n">
        <x:v>9</x:v>
      </x:c>
      <x:c r="X3045" s="87"/>
      <x:c r="Y3045" s="87"/>
      <x:c r="Z3045" s="87"/>
      <x:c r="AA3045" s="87"/>
      <x:c r="AB3045" s="87"/>
      <x:c r="AC3045" s="87"/>
      <x:c r="AD3045" s="87"/>
      <x:c r="AE3045" s="87"/>
      <x:c r="AF3045" s="87"/>
      <x:c r="AG3045" s="87"/>
      <x:c r="AH3045" s="87"/>
      <x:c r="AI3045" s="30"/>
      <x:c r="AJ3045" s="87" t="str">
        <x:v>master</x:v>
      </x:c>
      <x:c r="AK3045" s="87" t="str">
        <x:v>master-v0.81</x:v>
      </x:c>
      <x:c r="AL3045" s="87" t="str">
        <x:v>statgrad_master_base_v0_81_final(2).xlsx</x:v>
      </x:c>
      <x:c r="AM3045" s="87" t="str">
        <x:v>SOC_Sep_V1</x:v>
      </x:c>
      <x:c r="AN3045" s="87" t="n">
        <x:v>17</x:v>
      </x:c>
    </x:row>
    <x:row r="3046">
      <x:c r="A3046" s="87" t="n">
        <x:v>3045</x:v>
      </x:c>
      <x:c r="B3046" s="87" t="str">
        <x:v>SEP-SOC-V1-017</x:v>
      </x:c>
      <x:c r="C3046" s="87" t="str">
        <x:v>СтатГрад</x:v>
      </x:c>
      <x:c r="D3046" s="87" t="str">
        <x:v>Сентябрь 2025</x:v>
      </x:c>
      <x:c r="E3046" s="87"/>
      <x:c r="F3046" s="87"/>
      <x:c r="G3046" s="87" t="str">
        <x:v>Обществознание</x:v>
      </x:c>
      <x:c r="H3046" s="87" t="n">
        <x:v>11</x:v>
      </x:c>
      <x:c r="I3046" s="87" t="str">
        <x:v>ТР №1</x:v>
      </x:c>
      <x:c r="J3046" s="87" t="str">
        <x:v>ОБ2510101</x:v>
      </x:c>
      <x:c r="K3046" s="87" t="n">
        <x:v>17</x:v>
      </x:c>
      <x:c r="L3046" s="87" t="str">
        <x:v>Социальный контроль по тексту</x:v>
      </x:c>
      <x:c r="M3046" s="30" t="str">
        <x:v>Ответить о цели внешнего контроля, основе неформального контроля и назвать трёх агентов формального контроля.</x:v>
      </x:c>
      <x:c r="N3046" s="30" t="str">
        <x:v>Внешний контроль обеспечивает соблюдение норм и законов. Неформальный контроль основан на неофициальных позитивных и негативных санкциях ближайшего окружения и общественного мнения. Агенты формального контроля: менеджер по персоналу, социальный работник, офицер-командир (также допустим судья).</x:v>
      </x:c>
      <x:c r="O3046" s="30" t="str">
        <x:v>Модель содержит все обязательные элементы официального критерия и не добавляет лишних спорных позиций.</x:v>
      </x:c>
      <x:c r="P3046" s="30" t="str">
        <x:v>Условие и модель повторно проверены по обществоведческим понятиям и шкале официального критерия.</x:v>
      </x:c>
      <x:c r="Q3046" s="30"/>
      <x:c r="R3046" s="30" t="str">
        <x:v>Официальный развёрнутый критерий</x:v>
      </x:c>
      <x:c r="S3046" s="30"/>
      <x:c r="T3046" s="30"/>
      <x:c r="U3046" s="30" t="str">
        <x:v>Расхождений с официальным PDF нет.</x:v>
      </x:c>
      <x:c r="V3046" s="87" t="str">
        <x:v>VERIFIED</x:v>
      </x:c>
      <x:c r="W3046" s="87" t="n">
        <x:v>11</x:v>
      </x:c>
      <x:c r="X3046" s="87"/>
      <x:c r="Y3046" s="87"/>
      <x:c r="Z3046" s="87"/>
      <x:c r="AA3046" s="87"/>
      <x:c r="AB3046" s="87"/>
      <x:c r="AC3046" s="87"/>
      <x:c r="AD3046" s="87"/>
      <x:c r="AE3046" s="87"/>
      <x:c r="AF3046" s="87"/>
      <x:c r="AG3046" s="87"/>
      <x:c r="AH3046" s="87"/>
      <x:c r="AI3046" s="30"/>
      <x:c r="AJ3046" s="87" t="str">
        <x:v>master</x:v>
      </x:c>
      <x:c r="AK3046" s="87" t="str">
        <x:v>master-v0.81</x:v>
      </x:c>
      <x:c r="AL3046" s="87" t="str">
        <x:v>statgrad_master_base_v0_81_final(2).xlsx</x:v>
      </x:c>
      <x:c r="AM3046" s="87" t="str">
        <x:v>SOC_Sep_V1</x:v>
      </x:c>
      <x:c r="AN3046" s="87" t="n">
        <x:v>18</x:v>
      </x:c>
    </x:row>
    <x:row r="3047">
      <x:c r="A3047" s="87" t="n">
        <x:v>3046</x:v>
      </x:c>
      <x:c r="B3047" s="87" t="str">
        <x:v>SEP-SOC-V1-018</x:v>
      </x:c>
      <x:c r="C3047" s="87" t="str">
        <x:v>СтатГрад</x:v>
      </x:c>
      <x:c r="D3047" s="87" t="str">
        <x:v>Сентябрь 2025</x:v>
      </x:c>
      <x:c r="E3047" s="87"/>
      <x:c r="F3047" s="87"/>
      <x:c r="G3047" s="87" t="str">
        <x:v>Обществознание</x:v>
      </x:c>
      <x:c r="H3047" s="87" t="n">
        <x:v>11</x:v>
      </x:c>
      <x:c r="I3047" s="87" t="str">
        <x:v>ТР №1</x:v>
      </x:c>
      <x:c r="J3047" s="87" t="str">
        <x:v>ОБ2510101</x:v>
      </x:c>
      <x:c r="K3047" s="87" t="n">
        <x:v>18</x:v>
      </x:c>
      <x:c r="L3047" s="87" t="str">
        <x:v>Государство и формальный контроль</x:v>
      </x:c>
      <x:c r="M3047" s="30" t="str">
        <x:v>Назвать не менее трёх признаков государства и объяснить связь возникновения государства с формальным социальным контролем.</x:v>
      </x:c>
      <x:c r="N3047" s="30" t="str">
        <x:v>Признаки государства: суверенитет, публичная власть и аппарат управления, правотворчество, налогообложение. Формальный контроль появился вместе с государством, поскольку официальные органы власти стали применять закреплённые правом позитивные и негативные санкции.</x:v>
      </x:c>
      <x:c r="O3047" s="30" t="str">
        <x:v>Модель содержит все обязательные элементы официального критерия и не добавляет лишних спорных позиций.</x:v>
      </x:c>
      <x:c r="P3047" s="30" t="str">
        <x:v>Условие и модель повторно проверены по обществоведческим понятиям и шкале официального критерия.</x:v>
      </x:c>
      <x:c r="Q3047" s="30"/>
      <x:c r="R3047" s="30" t="str">
        <x:v>Официальный развёрнутый критерий</x:v>
      </x:c>
      <x:c r="S3047" s="30"/>
      <x:c r="T3047" s="30"/>
      <x:c r="U3047" s="30" t="str">
        <x:v>Расхождений с официальным PDF нет.</x:v>
      </x:c>
      <x:c r="V3047" s="87" t="str">
        <x:v>VERIFIED</x:v>
      </x:c>
      <x:c r="W3047" s="87" t="n">
        <x:v>11</x:v>
      </x:c>
      <x:c r="X3047" s="87"/>
      <x:c r="Y3047" s="87"/>
      <x:c r="Z3047" s="87"/>
      <x:c r="AA3047" s="87"/>
      <x:c r="AB3047" s="87"/>
      <x:c r="AC3047" s="87"/>
      <x:c r="AD3047" s="87"/>
      <x:c r="AE3047" s="87"/>
      <x:c r="AF3047" s="87"/>
      <x:c r="AG3047" s="87"/>
      <x:c r="AH3047" s="87"/>
      <x:c r="AI3047" s="30"/>
      <x:c r="AJ3047" s="87" t="str">
        <x:v>master</x:v>
      </x:c>
      <x:c r="AK3047" s="87" t="str">
        <x:v>master-v0.81</x:v>
      </x:c>
      <x:c r="AL3047" s="87" t="str">
        <x:v>statgrad_master_base_v0_81_final(2).xlsx</x:v>
      </x:c>
      <x:c r="AM3047" s="87" t="str">
        <x:v>SOC_Sep_V1</x:v>
      </x:c>
      <x:c r="AN3047" s="87" t="n">
        <x:v>19</x:v>
      </x:c>
    </x:row>
    <x:row r="3048">
      <x:c r="A3048" s="87" t="n">
        <x:v>3047</x:v>
      </x:c>
      <x:c r="B3048" s="87" t="str">
        <x:v>SEP-SOC-V1-019</x:v>
      </x:c>
      <x:c r="C3048" s="87" t="str">
        <x:v>СтатГрад</x:v>
      </x:c>
      <x:c r="D3048" s="87" t="str">
        <x:v>Сентябрь 2025</x:v>
      </x:c>
      <x:c r="E3048" s="87"/>
      <x:c r="F3048" s="87"/>
      <x:c r="G3048" s="87" t="str">
        <x:v>Обществознание</x:v>
      </x:c>
      <x:c r="H3048" s="87" t="n">
        <x:v>11</x:v>
      </x:c>
      <x:c r="I3048" s="87" t="str">
        <x:v>ТР №1</x:v>
      </x:c>
      <x:c r="J3048" s="87" t="str">
        <x:v>ОБ2510101</x:v>
      </x:c>
      <x:c r="K3048" s="87" t="n">
        <x:v>19</x:v>
      </x:c>
      <x:c r="L3048" s="87" t="str">
        <x:v>Неформальный социальный контроль</x:v>
      </x:c>
      <x:c r="M3048" s="30" t="str">
        <x:v>Привести три развёрнутых примера деятельности агентов неформального контроля и назвать институт или группу.</x:v>
      </x:c>
      <x:c r="N3048" s="30" t="str">
        <x:v>1) Родители хвалят ребёнка за соблюдение правил и порицают проступки — семья. 2) Газета публикует материалы о достойных поступках жителей и общественно осуждает нарушения — СМИ. 3) Классный руководитель отмечает успехи учеников на собрании и обсуждает нарушения поведения — школа.</x:v>
      </x:c>
      <x:c r="O3048" s="30" t="str">
        <x:v>Модель содержит все обязательные элементы официального критерия и не добавляет лишних спорных позиций.</x:v>
      </x:c>
      <x:c r="P3048" s="30" t="str">
        <x:v>Условие и модель повторно проверены по обществоведческим понятиям и шкале официального критерия.</x:v>
      </x:c>
      <x:c r="Q3048" s="30"/>
      <x:c r="R3048" s="30" t="str">
        <x:v>Официальный развёрнутый критерий</x:v>
      </x:c>
      <x:c r="S3048" s="30"/>
      <x:c r="T3048" s="30"/>
      <x:c r="U3048" s="30" t="str">
        <x:v>Расхождений с официальным PDF нет.</x:v>
      </x:c>
      <x:c r="V3048" s="87" t="str">
        <x:v>VERIFIED</x:v>
      </x:c>
      <x:c r="W3048" s="87" t="n">
        <x:v>11</x:v>
      </x:c>
      <x:c r="X3048" s="87"/>
      <x:c r="Y3048" s="87"/>
      <x:c r="Z3048" s="87"/>
      <x:c r="AA3048" s="87"/>
      <x:c r="AB3048" s="87"/>
      <x:c r="AC3048" s="87"/>
      <x:c r="AD3048" s="87"/>
      <x:c r="AE3048" s="87"/>
      <x:c r="AF3048" s="87"/>
      <x:c r="AG3048" s="87"/>
      <x:c r="AH3048" s="87"/>
      <x:c r="AI3048" s="30"/>
      <x:c r="AJ3048" s="87" t="str">
        <x:v>master</x:v>
      </x:c>
      <x:c r="AK3048" s="87" t="str">
        <x:v>master-v0.81</x:v>
      </x:c>
      <x:c r="AL3048" s="87" t="str">
        <x:v>statgrad_master_base_v0_81_final(2).xlsx</x:v>
      </x:c>
      <x:c r="AM3048" s="87" t="str">
        <x:v>SOC_Sep_V1</x:v>
      </x:c>
      <x:c r="AN3048" s="87" t="n">
        <x:v>20</x:v>
      </x:c>
    </x:row>
    <x:row r="3049">
      <x:c r="A3049" s="87" t="n">
        <x:v>3048</x:v>
      </x:c>
      <x:c r="B3049" s="87" t="str">
        <x:v>SEP-SOC-V1-020</x:v>
      </x:c>
      <x:c r="C3049" s="87" t="str">
        <x:v>СтатГрад</x:v>
      </x:c>
      <x:c r="D3049" s="87" t="str">
        <x:v>Сентябрь 2025</x:v>
      </x:c>
      <x:c r="E3049" s="87"/>
      <x:c r="F3049" s="87"/>
      <x:c r="G3049" s="87" t="str">
        <x:v>Обществознание</x:v>
      </x:c>
      <x:c r="H3049" s="87" t="n">
        <x:v>11</x:v>
      </x:c>
      <x:c r="I3049" s="87" t="str">
        <x:v>ТР №1</x:v>
      </x:c>
      <x:c r="J3049" s="87" t="str">
        <x:v>ОБ2510101</x:v>
      </x:c>
      <x:c r="K3049" s="87" t="n">
        <x:v>20</x:v>
      </x:c>
      <x:c r="L3049" s="87" t="str">
        <x:v>Усиление формального контроля</x:v>
      </x:c>
      <x:c r="M3049" s="30" t="str">
        <x:v>Привести три аргумента, почему роль формального контроля в современном обществе выше, чем в традиционном.</x:v>
      </x:c>
      <x:c r="N3049" s="30" t="str">
        <x:v>1) Современная жизнь регулируется значительно большим массивом правовых норм и юридических обязанностей. 2) Разветвлённый профессиональный государственный аппарат способен контролировать множество сфер и большие территории. 3) Информационные системы, видеонаблюдение и финансовый мониторинг делают официальный контроль более систематическим и эффективным.</x:v>
      </x:c>
      <x:c r="O3049" s="30" t="str">
        <x:v>Модель содержит все обязательные элементы официального критерия и не добавляет лишних спорных позиций.</x:v>
      </x:c>
      <x:c r="P3049" s="30" t="str">
        <x:v>Условие и модель повторно проверены по обществоведческим понятиям и шкале официального критерия.</x:v>
      </x:c>
      <x:c r="Q3049" s="30"/>
      <x:c r="R3049" s="30" t="str">
        <x:v>Официальный развёрнутый критерий</x:v>
      </x:c>
      <x:c r="S3049" s="30"/>
      <x:c r="T3049" s="30"/>
      <x:c r="U3049" s="30" t="str">
        <x:v>Расхождений с официальным PDF нет.</x:v>
      </x:c>
      <x:c r="V3049" s="87" t="str">
        <x:v>VERIFIED</x:v>
      </x:c>
      <x:c r="W3049" s="87" t="n">
        <x:v>11</x:v>
      </x:c>
      <x:c r="X3049" s="87"/>
      <x:c r="Y3049" s="87"/>
      <x:c r="Z3049" s="87"/>
      <x:c r="AA3049" s="87"/>
      <x:c r="AB3049" s="87"/>
      <x:c r="AC3049" s="87"/>
      <x:c r="AD3049" s="87"/>
      <x:c r="AE3049" s="87"/>
      <x:c r="AF3049" s="87"/>
      <x:c r="AG3049" s="87"/>
      <x:c r="AH3049" s="87"/>
      <x:c r="AI3049" s="30"/>
      <x:c r="AJ3049" s="87" t="str">
        <x:v>master</x:v>
      </x:c>
      <x:c r="AK3049" s="87" t="str">
        <x:v>master-v0.81</x:v>
      </x:c>
      <x:c r="AL3049" s="87" t="str">
        <x:v>statgrad_master_base_v0_81_final(2).xlsx</x:v>
      </x:c>
      <x:c r="AM3049" s="87" t="str">
        <x:v>SOC_Sep_V1</x:v>
      </x:c>
      <x:c r="AN3049" s="87" t="n">
        <x:v>21</x:v>
      </x:c>
    </x:row>
    <x:row r="3050">
      <x:c r="A3050" s="87" t="n">
        <x:v>3049</x:v>
      </x:c>
      <x:c r="B3050" s="87" t="str">
        <x:v>SEP-SOC-V1-021</x:v>
      </x:c>
      <x:c r="C3050" s="87" t="str">
        <x:v>СтатГрад</x:v>
      </x:c>
      <x:c r="D3050" s="87" t="str">
        <x:v>Сентябрь 2025</x:v>
      </x:c>
      <x:c r="E3050" s="87"/>
      <x:c r="F3050" s="87"/>
      <x:c r="G3050" s="87" t="str">
        <x:v>Обществознание</x:v>
      </x:c>
      <x:c r="H3050" s="87" t="n">
        <x:v>11</x:v>
      </x:c>
      <x:c r="I3050" s="87" t="str">
        <x:v>ТР №1</x:v>
      </x:c>
      <x:c r="J3050" s="87" t="str">
        <x:v>ОБ2510101</x:v>
      </x:c>
      <x:c r="K3050" s="87" t="n">
        <x:v>21</x:v>
      </x:c>
      <x:c r="L3050" s="87" t="str">
        <x:v>Рынок электрообогревателей</x:v>
      </x:c>
      <x:c r="M3050" s="30" t="str">
        <x:v>Определить изменение равновесной цены, объяснить фактор роста спроса и последствия открытия нового завода.</x:v>
      </x:c>
      <x:c r="N3050" s="30" t="str">
        <x:v>Равновесная цена выросла. Например, наступление холодной погоды повысило потребность в электрообогревателях, поэтому спрос увеличился при каждой цене. Открытие нового завода увеличит предложение и снизит равновесную цену.</x:v>
      </x:c>
      <x:c r="O3050" s="30" t="str">
        <x:v>Модель содержит все обязательные элементы официального критерия и не добавляет лишних спорных позиций.</x:v>
      </x:c>
      <x:c r="P3050" s="30" t="str">
        <x:v>Условие и модель повторно проверены по обществоведческим понятиям и шкале официального критерия.</x:v>
      </x:c>
      <x:c r="Q3050" s="30"/>
      <x:c r="R3050" s="30" t="str">
        <x:v>Официальный развёрнутый критерий</x:v>
      </x:c>
      <x:c r="S3050" s="30"/>
      <x:c r="T3050" s="30"/>
      <x:c r="U3050" s="30" t="str">
        <x:v>Расхождений с официальным PDF нет.</x:v>
      </x:c>
      <x:c r="V3050" s="87" t="str">
        <x:v>VERIFIED</x:v>
      </x:c>
      <x:c r="W3050" s="87" t="n">
        <x:v>12</x:v>
      </x:c>
      <x:c r="X3050" s="87"/>
      <x:c r="Y3050" s="87"/>
      <x:c r="Z3050" s="87"/>
      <x:c r="AA3050" s="87"/>
      <x:c r="AB3050" s="87"/>
      <x:c r="AC3050" s="87" t="str">
        <x:v>VIS-SOC-SEP-003</x:v>
      </x:c>
      <x:c r="AD3050" s="87"/>
      <x:c r="AE3050" s="87" t="str">
        <x:v>График спроса и предложения</x:v>
      </x:c>
      <x:c r="AF3050" s="87" t="str">
        <x:v>VIS-SOC-SEP-003: 12</x:v>
      </x:c>
      <x:c r="AG3050" s="87" t="str">
        <x:v>RESOLVED</x:v>
      </x:c>
      <x:c r="AH3050" s="87" t="str">
        <x:v>ORIGINAL_ASSET_HASH_VERIFIED</x:v>
      </x:c>
      <x:c r="AI3050" s="30"/>
      <x:c r="AJ3050" s="87" t="str">
        <x:v>master</x:v>
      </x:c>
      <x:c r="AK3050" s="87" t="str">
        <x:v>master-v0.81</x:v>
      </x:c>
      <x:c r="AL3050" s="87" t="str">
        <x:v>statgrad_master_base_v0_81_final(2).xlsx</x:v>
      </x:c>
      <x:c r="AM3050" s="87" t="str">
        <x:v>SOC_Sep_V1</x:v>
      </x:c>
      <x:c r="AN3050" s="87" t="n">
        <x:v>22</x:v>
      </x:c>
    </x:row>
    <x:row r="3051">
      <x:c r="A3051" s="87" t="n">
        <x:v>3050</x:v>
      </x:c>
      <x:c r="B3051" s="87" t="str">
        <x:v>SEP-SOC-V1-022</x:v>
      </x:c>
      <x:c r="C3051" s="87" t="str">
        <x:v>СтатГрад</x:v>
      </x:c>
      <x:c r="D3051" s="87" t="str">
        <x:v>Сентябрь 2025</x:v>
      </x:c>
      <x:c r="E3051" s="87"/>
      <x:c r="F3051" s="87"/>
      <x:c r="G3051" s="87" t="str">
        <x:v>Обществознание</x:v>
      </x:c>
      <x:c r="H3051" s="87" t="n">
        <x:v>11</x:v>
      </x:c>
      <x:c r="I3051" s="87" t="str">
        <x:v>ТР №1</x:v>
      </x:c>
      <x:c r="J3051" s="87" t="str">
        <x:v>ОБ2510101</x:v>
      </x:c>
      <x:c r="K3051" s="87" t="n">
        <x:v>22</x:v>
      </x:c>
      <x:c r="L3051" s="87" t="str">
        <x:v>Форма государства и выборы</x:v>
      </x:c>
      <x:c r="M3051" s="30" t="str">
        <x:v>Определить форму правления, устройство, избирательную систему и два признака демократии.</x:v>
      </x:c>
      <x:c r="N3051" s="30" t="str">
        <x:v>Президентская республика; унитарное государство; пропорциональная избирательная система. О демократии свидетельствуют регулярные свободные выборы и свободная деятельность политических партий и оппозиции.</x:v>
      </x:c>
      <x:c r="O3051" s="30" t="str">
        <x:v>Модель содержит все обязательные элементы официального критерия и не добавляет лишних спорных позиций.</x:v>
      </x:c>
      <x:c r="P3051" s="30" t="str">
        <x:v>Условие и модель повторно проверены по обществоведческим понятиям и шкале официального критерия.</x:v>
      </x:c>
      <x:c r="Q3051" s="30"/>
      <x:c r="R3051" s="30" t="str">
        <x:v>Официальный развёрнутый критерий</x:v>
      </x:c>
      <x:c r="S3051" s="30"/>
      <x:c r="T3051" s="30"/>
      <x:c r="U3051" s="30" t="str">
        <x:v>Расхождений с официальным PDF нет.</x:v>
      </x:c>
      <x:c r="V3051" s="87" t="str">
        <x:v>VERIFIED</x:v>
      </x:c>
      <x:c r="W3051" s="87" t="n">
        <x:v>12</x:v>
      </x:c>
      <x:c r="X3051" s="87"/>
      <x:c r="Y3051" s="87"/>
      <x:c r="Z3051" s="87"/>
      <x:c r="AA3051" s="87"/>
      <x:c r="AB3051" s="87"/>
      <x:c r="AC3051" s="87"/>
      <x:c r="AD3051" s="87"/>
      <x:c r="AE3051" s="87"/>
      <x:c r="AF3051" s="87"/>
      <x:c r="AG3051" s="87"/>
      <x:c r="AH3051" s="87"/>
      <x:c r="AI3051" s="30"/>
      <x:c r="AJ3051" s="87" t="str">
        <x:v>master</x:v>
      </x:c>
      <x:c r="AK3051" s="87" t="str">
        <x:v>master-v0.81</x:v>
      </x:c>
      <x:c r="AL3051" s="87" t="str">
        <x:v>statgrad_master_base_v0_81_final(2).xlsx</x:v>
      </x:c>
      <x:c r="AM3051" s="87" t="str">
        <x:v>SOC_Sep_V1</x:v>
      </x:c>
      <x:c r="AN3051" s="87" t="n">
        <x:v>23</x:v>
      </x:c>
    </x:row>
    <x:row r="3052">
      <x:c r="A3052" s="87" t="n">
        <x:v>3051</x:v>
      </x:c>
      <x:c r="B3052" s="87" t="str">
        <x:v>SEP-SOC-V1-023</x:v>
      </x:c>
      <x:c r="C3052" s="87" t="str">
        <x:v>СтатГрад</x:v>
      </x:c>
      <x:c r="D3052" s="87" t="str">
        <x:v>Сентябрь 2025</x:v>
      </x:c>
      <x:c r="E3052" s="87"/>
      <x:c r="F3052" s="87"/>
      <x:c r="G3052" s="87" t="str">
        <x:v>Обществознание</x:v>
      </x:c>
      <x:c r="H3052" s="87" t="n">
        <x:v>11</x:v>
      </x:c>
      <x:c r="I3052" s="87" t="str">
        <x:v>ТР №1</x:v>
      </x:c>
      <x:c r="J3052" s="87" t="str">
        <x:v>ОБ2510101</x:v>
      </x:c>
      <x:c r="K3052" s="87" t="n">
        <x:v>23</x:v>
      </x:c>
      <x:c r="L3052" s="87" t="str">
        <x:v>Конституционная защита собственности</x:v>
      </x:c>
      <x:c r="M3052" s="30" t="str">
        <x:v>Привести три подтверждения конституционной защиты права собственности.</x:v>
      </x:c>
      <x:c r="N3052" s="30" t="str">
        <x:v>Частная, государственная, муниципальная и иные формы собственности признаются и защищаются равным образом. Каждый вправе иметь имущество, владеть, пользоваться и распоряжаться им. Лишение имущества возможно только по решению суда, а отчуждение для государственных нужд — при предварительном равноценном возмещении.</x:v>
      </x:c>
      <x:c r="O3052" s="30" t="str">
        <x:v>Модель содержит все обязательные элементы официального критерия и не добавляет лишних спорных позиций.</x:v>
      </x:c>
      <x:c r="P3052" s="30" t="str">
        <x:v>Условие и модель повторно проверены по обществоведческим понятиям и шкале официального критерия.</x:v>
      </x:c>
      <x:c r="Q3052" s="30"/>
      <x:c r="R3052" s="30" t="str">
        <x:v>Официальный развёрнутый критерий</x:v>
      </x:c>
      <x:c r="S3052" s="30"/>
      <x:c r="T3052" s="30"/>
      <x:c r="U3052" s="30" t="str">
        <x:v>Расхождений с официальным PDF нет.</x:v>
      </x:c>
      <x:c r="V3052" s="87" t="str">
        <x:v>VERIFIED</x:v>
      </x:c>
      <x:c r="W3052" s="87" t="n">
        <x:v>13</x:v>
      </x:c>
      <x:c r="X3052" s="87"/>
      <x:c r="Y3052" s="87"/>
      <x:c r="Z3052" s="87"/>
      <x:c r="AA3052" s="87"/>
      <x:c r="AB3052" s="87"/>
      <x:c r="AC3052" s="87"/>
      <x:c r="AD3052" s="87"/>
      <x:c r="AE3052" s="87"/>
      <x:c r="AF3052" s="87"/>
      <x:c r="AG3052" s="87"/>
      <x:c r="AH3052" s="87"/>
      <x:c r="AI3052" s="30"/>
      <x:c r="AJ3052" s="87" t="str">
        <x:v>master</x:v>
      </x:c>
      <x:c r="AK3052" s="87" t="str">
        <x:v>master-v0.81</x:v>
      </x:c>
      <x:c r="AL3052" s="87" t="str">
        <x:v>statgrad_master_base_v0_81_final(2).xlsx</x:v>
      </x:c>
      <x:c r="AM3052" s="87" t="str">
        <x:v>SOC_Sep_V1</x:v>
      </x:c>
      <x:c r="AN3052" s="87" t="n">
        <x:v>24</x:v>
      </x:c>
    </x:row>
    <x:row r="3053">
      <x:c r="A3053" s="87" t="n">
        <x:v>3052</x:v>
      </x:c>
      <x:c r="B3053" s="87" t="str">
        <x:v>SEP-SOC-V1-024</x:v>
      </x:c>
      <x:c r="C3053" s="87" t="str">
        <x:v>СтатГрад</x:v>
      </x:c>
      <x:c r="D3053" s="87" t="str">
        <x:v>Сентябрь 2025</x:v>
      </x:c>
      <x:c r="E3053" s="87"/>
      <x:c r="F3053" s="87"/>
      <x:c r="G3053" s="87" t="str">
        <x:v>Обществознание</x:v>
      </x:c>
      <x:c r="H3053" s="87" t="n">
        <x:v>11</x:v>
      </x:c>
      <x:c r="I3053" s="87" t="str">
        <x:v>ТР №1</x:v>
      </x:c>
      <x:c r="J3053" s="87" t="str">
        <x:v>ОБ2510101</x:v>
      </x:c>
      <x:c r="K3053" s="87" t="n">
        <x:v>24</x:v>
      </x:c>
      <x:c r="L3053" s="87" t="str">
        <x:v>Семья как малая группа</x:v>
      </x:c>
      <x:c r="M3053" s="30" t="str">
        <x:v>Составить сложный план по теме «Семья как малая социальная группа».</x:v>
      </x:c>
      <x:c r="N3053" s="30" t="str">
        <x:v>1. Понятие семьи. 2. Признаки семьи как малой группы: а) брак или родство; б) совместная жизнедеятельность; в) взаимные права и обязанности; г) эмоциональные связи. 3. Функции семьи: а) репродуктивная; б) воспитательная; в) хозяйственно-бытовая; г) эмоциональная; д) социально-статусная. 4. Типы семей: а) нуклеарная и расширенная; б) полная и неполная; в) патриархальная и партнёрская. 5. Тенденции современной семьи: а) рост партнёрских семей; б) сокращение числа детей; в) увеличение числа неполных семей. 6. Значение семьи для общества.</x:v>
      </x:c>
      <x:c r="O3053" s="30" t="str">
        <x:v>Модель содержит все обязательные элементы официального критерия и не добавляет лишних спорных позиций.</x:v>
      </x:c>
      <x:c r="P3053" s="30" t="str">
        <x:v>Условие и модель повторно проверены по обществоведческим понятиям и шкале официального критерия.</x:v>
      </x:c>
      <x:c r="Q3053" s="30"/>
      <x:c r="R3053" s="30" t="str">
        <x:v>Официальный развёрнутый критерий</x:v>
      </x:c>
      <x:c r="S3053" s="30"/>
      <x:c r="T3053" s="30"/>
      <x:c r="U3053" s="30" t="str">
        <x:v>Расхождений с официальным PDF нет.</x:v>
      </x:c>
      <x:c r="V3053" s="87" t="str">
        <x:v>VERIFIED</x:v>
      </x:c>
      <x:c r="W3053" s="87" t="n">
        <x:v>13</x:v>
      </x:c>
      <x:c r="X3053" s="87"/>
      <x:c r="Y3053" s="87"/>
      <x:c r="Z3053" s="87"/>
      <x:c r="AA3053" s="87"/>
      <x:c r="AB3053" s="87"/>
      <x:c r="AC3053" s="87"/>
      <x:c r="AD3053" s="87"/>
      <x:c r="AE3053" s="87"/>
      <x:c r="AF3053" s="87"/>
      <x:c r="AG3053" s="87"/>
      <x:c r="AH3053" s="87"/>
      <x:c r="AI3053" s="30"/>
      <x:c r="AJ3053" s="87" t="str">
        <x:v>master</x:v>
      </x:c>
      <x:c r="AK3053" s="87" t="str">
        <x:v>master-v0.81</x:v>
      </x:c>
      <x:c r="AL3053" s="87" t="str">
        <x:v>statgrad_master_base_v0_81_final(2).xlsx</x:v>
      </x:c>
      <x:c r="AM3053" s="87" t="str">
        <x:v>SOC_Sep_V1</x:v>
      </x:c>
      <x:c r="AN3053" s="87" t="n">
        <x:v>25</x:v>
      </x:c>
    </x:row>
    <x:row r="3054">
      <x:c r="A3054" s="87" t="n">
        <x:v>3053</x:v>
      </x:c>
      <x:c r="B3054" s="87" t="str">
        <x:v>SEP-SOC-V1-025</x:v>
      </x:c>
      <x:c r="C3054" s="87" t="str">
        <x:v>СтатГрад</x:v>
      </x:c>
      <x:c r="D3054" s="87" t="str">
        <x:v>Сентябрь 2025</x:v>
      </x:c>
      <x:c r="E3054" s="87"/>
      <x:c r="F3054" s="87"/>
      <x:c r="G3054" s="87" t="str">
        <x:v>Обществознание</x:v>
      </x:c>
      <x:c r="H3054" s="87" t="n">
        <x:v>11</x:v>
      </x:c>
      <x:c r="I3054" s="87" t="str">
        <x:v>ТР №1</x:v>
      </x:c>
      <x:c r="J3054" s="87" t="str">
        <x:v>ОБ2510101</x:v>
      </x:c>
      <x:c r="K3054" s="87" t="n">
        <x:v>25</x:v>
      </x:c>
      <x:c r="L3054" s="87" t="str">
        <x:v>Государственная поддержка семьи</x:v>
      </x:c>
      <x:c r="M3054" s="30" t="str">
        <x:v>Обосновать поддержку семьи, назвать три формы и привести по примеру реализации каждой.</x:v>
      </x:c>
      <x:c r="N3054" s="30" t="str">
        <x:v>Семья обеспечивает воспроизводство населения, первичную социализацию и заботу о зависимых членах, но несёт значительные расходы, поэтому государственная поддержка укрепляет благополучие детей и демографическую устойчивость. Формы: материнский капитал, ежемесячные пособия на детей, налоговые вычеты. Примеры: семья направила материнский капитал на погашение ипотеки; малообеспеченная семья ежемесячно получает детское пособие; работающий родитель оформил стандартный налоговый вычет на ребёнка.</x:v>
      </x:c>
      <x:c r="O3054" s="30" t="str">
        <x:v>Модель содержит все обязательные элементы официального критерия и не добавляет лишних спорных позиций.</x:v>
      </x:c>
      <x:c r="P3054" s="30" t="str">
        <x:v>Условие и модель повторно проверены по обществоведческим понятиям и шкале официального критерия.</x:v>
      </x:c>
      <x:c r="Q3054" s="30"/>
      <x:c r="R3054" s="30" t="str">
        <x:v>Официальный развёрнутый критерий</x:v>
      </x:c>
      <x:c r="S3054" s="30"/>
      <x:c r="T3054" s="30"/>
      <x:c r="U3054" s="30" t="str">
        <x:v>Расхождений с официальным PDF нет.</x:v>
      </x:c>
      <x:c r="V3054" s="87" t="str">
        <x:v>VERIFIED</x:v>
      </x:c>
      <x:c r="W3054" s="87" t="n">
        <x:v>13</x:v>
      </x:c>
      <x:c r="X3054" s="87"/>
      <x:c r="Y3054" s="87"/>
      <x:c r="Z3054" s="87"/>
      <x:c r="AA3054" s="87"/>
      <x:c r="AB3054" s="87"/>
      <x:c r="AC3054" s="87"/>
      <x:c r="AD3054" s="87"/>
      <x:c r="AE3054" s="87"/>
      <x:c r="AF3054" s="87"/>
      <x:c r="AG3054" s="87"/>
      <x:c r="AH3054" s="87"/>
      <x:c r="AI3054" s="30"/>
      <x:c r="AJ3054" s="87" t="str">
        <x:v>master</x:v>
      </x:c>
      <x:c r="AK3054" s="87" t="str">
        <x:v>master-v0.81</x:v>
      </x:c>
      <x:c r="AL3054" s="87" t="str">
        <x:v>statgrad_master_base_v0_81_final(2).xlsx</x:v>
      </x:c>
      <x:c r="AM3054" s="87" t="str">
        <x:v>SOC_Sep_V1</x:v>
      </x:c>
      <x:c r="AN3054" s="87" t="n">
        <x:v>26</x:v>
      </x:c>
    </x:row>
    <x:row r="3055">
      <x:c r="A3055" s="87" t="n">
        <x:v>3054</x:v>
      </x:c>
      <x:c r="B3055" s="87" t="str">
        <x:v>SEP-SOC-V2-001</x:v>
      </x:c>
      <x:c r="C3055" s="87" t="str">
        <x:v>СтатГрад</x:v>
      </x:c>
      <x:c r="D3055" s="87" t="str">
        <x:v>Сентябрь 2025</x:v>
      </x:c>
      <x:c r="E3055" s="87"/>
      <x:c r="F3055" s="87"/>
      <x:c r="G3055" s="87" t="str">
        <x:v>Обществознание</x:v>
      </x:c>
      <x:c r="H3055" s="87" t="n">
        <x:v>11</x:v>
      </x:c>
      <x:c r="I3055" s="87" t="str">
        <x:v>ТР №1</x:v>
      </x:c>
      <x:c r="J3055" s="87" t="str">
        <x:v>ОБ2510102</x:v>
      </x:c>
      <x:c r="K3055" s="87" t="n">
        <x:v>1</x:v>
      </x:c>
      <x:c r="L3055" s="87" t="str">
        <x:v>Президент Российской Федерации</x:v>
      </x:c>
      <x:c r="M3055" s="30" t="str">
        <x:v>Выберите два требования, которые не предъявляются к кандидату на должность Президента РФ.</x:v>
      </x:c>
      <x:c r="N3055" s="30" t="str">
        <x:v>26</x:v>
      </x:c>
      <x:c r="O3055" s="30" t="str">
        <x:v>Высшее профессиональное образование и десятилетний стаж государственной службы не являются конституционными требованиями.</x:v>
      </x:c>
      <x:c r="P3055" s="30" t="str">
        <x:v>Высшее профессиональное образование и десятилетний стаж государственной службы не являются конституционными требованиями.</x:v>
      </x:c>
      <x:c r="Q3055" s="30"/>
      <x:c r="R3055" s="30" t="str">
        <x:v>26</x:v>
      </x:c>
      <x:c r="S3055" s="30"/>
      <x:c r="T3055" s="30"/>
      <x:c r="U3055" s="30" t="str">
        <x:v>Расхождений с официальным PDF нет.</x:v>
      </x:c>
      <x:c r="V3055" s="87" t="str">
        <x:v>VERIFIED</x:v>
      </x:c>
      <x:c r="W3055" s="87" t="n">
        <x:v>2</x:v>
      </x:c>
      <x:c r="X3055" s="87"/>
      <x:c r="Y3055" s="87"/>
      <x:c r="Z3055" s="87"/>
      <x:c r="AA3055" s="87"/>
      <x:c r="AB3055" s="87"/>
      <x:c r="AC3055" s="87"/>
      <x:c r="AD3055" s="87"/>
      <x:c r="AE3055" s="87"/>
      <x:c r="AF3055" s="87"/>
      <x:c r="AG3055" s="87"/>
      <x:c r="AH3055" s="87"/>
      <x:c r="AI3055" s="30"/>
      <x:c r="AJ3055" s="87" t="str">
        <x:v>master</x:v>
      </x:c>
      <x:c r="AK3055" s="87" t="str">
        <x:v>master-v0.81</x:v>
      </x:c>
      <x:c r="AL3055" s="87" t="str">
        <x:v>statgrad_master_base_v0_81_final(2).xlsx</x:v>
      </x:c>
      <x:c r="AM3055" s="87" t="str">
        <x:v>SOC_Sep_V2</x:v>
      </x:c>
      <x:c r="AN3055" s="87" t="n">
        <x:v>2</x:v>
      </x:c>
    </x:row>
    <x:row r="3056">
      <x:c r="A3056" s="87" t="n">
        <x:v>3055</x:v>
      </x:c>
      <x:c r="B3056" s="87" t="str">
        <x:v>SEP-SOC-V2-002</x:v>
      </x:c>
      <x:c r="C3056" s="87" t="str">
        <x:v>СтатГрад</x:v>
      </x:c>
      <x:c r="D3056" s="87" t="str">
        <x:v>Сентябрь 2025</x:v>
      </x:c>
      <x:c r="E3056" s="87"/>
      <x:c r="F3056" s="87"/>
      <x:c r="G3056" s="87" t="str">
        <x:v>Обществознание</x:v>
      </x:c>
      <x:c r="H3056" s="87" t="n">
        <x:v>11</x:v>
      </x:c>
      <x:c r="I3056" s="87" t="str">
        <x:v>ТР №1</x:v>
      </x:c>
      <x:c r="J3056" s="87" t="str">
        <x:v>ОБ2510102</x:v>
      </x:c>
      <x:c r="K3056" s="87" t="n">
        <x:v>2</x:v>
      </x:c>
      <x:c r="L3056" s="87" t="str">
        <x:v>Образование</x:v>
      </x:c>
      <x:c r="M3056" s="30" t="str">
        <x:v>Выберите верные суждения об образовании, самообразовании и обязательности основного общего образования.</x:v>
      </x:c>
      <x:c r="N3056" s="30" t="str">
        <x:v>135</x:v>
      </x:c>
      <x:c r="O3056" s="30" t="str">
        <x:v>Верны 1, 3 и 5; профессиональная подготовка не является социальной функцией, а внимание к личности отражает гуманизацию.</x:v>
      </x:c>
      <x:c r="P3056" s="30" t="str">
        <x:v>Верны 1, 3 и 5; профессиональная подготовка не является социальной функцией, а внимание к личности отражает гуманизацию.</x:v>
      </x:c>
      <x:c r="Q3056" s="30"/>
      <x:c r="R3056" s="30" t="str">
        <x:v>135</x:v>
      </x:c>
      <x:c r="S3056" s="30"/>
      <x:c r="T3056" s="30"/>
      <x:c r="U3056" s="30" t="str">
        <x:v>Расхождений с официальным PDF нет.</x:v>
      </x:c>
      <x:c r="V3056" s="87" t="str">
        <x:v>VERIFIED</x:v>
      </x:c>
      <x:c r="W3056" s="87" t="n">
        <x:v>2</x:v>
      </x:c>
      <x:c r="X3056" s="87"/>
      <x:c r="Y3056" s="87"/>
      <x:c r="Z3056" s="87"/>
      <x:c r="AA3056" s="87"/>
      <x:c r="AB3056" s="87"/>
      <x:c r="AC3056" s="87"/>
      <x:c r="AD3056" s="87"/>
      <x:c r="AE3056" s="87"/>
      <x:c r="AF3056" s="87"/>
      <x:c r="AG3056" s="87"/>
      <x:c r="AH3056" s="87"/>
      <x:c r="AI3056" s="30"/>
      <x:c r="AJ3056" s="87" t="str">
        <x:v>master</x:v>
      </x:c>
      <x:c r="AK3056" s="87" t="str">
        <x:v>master-v0.81</x:v>
      </x:c>
      <x:c r="AL3056" s="87" t="str">
        <x:v>statgrad_master_base_v0_81_final(2).xlsx</x:v>
      </x:c>
      <x:c r="AM3056" s="87" t="str">
        <x:v>SOC_Sep_V2</x:v>
      </x:c>
      <x:c r="AN3056" s="87" t="n">
        <x:v>3</x:v>
      </x:c>
    </x:row>
    <x:row r="3057">
      <x:c r="A3057" s="87" t="n">
        <x:v>3056</x:v>
      </x:c>
      <x:c r="B3057" s="87" t="str">
        <x:v>SEP-SOC-V2-003</x:v>
      </x:c>
      <x:c r="C3057" s="87" t="str">
        <x:v>СтатГрад</x:v>
      </x:c>
      <x:c r="D3057" s="87" t="str">
        <x:v>Сентябрь 2025</x:v>
      </x:c>
      <x:c r="E3057" s="87"/>
      <x:c r="F3057" s="87"/>
      <x:c r="G3057" s="87" t="str">
        <x:v>Обществознание</x:v>
      </x:c>
      <x:c r="H3057" s="87" t="n">
        <x:v>11</x:v>
      </x:c>
      <x:c r="I3057" s="87" t="str">
        <x:v>ТР №1</x:v>
      </x:c>
      <x:c r="J3057" s="87" t="str">
        <x:v>ОБ2510102</x:v>
      </x:c>
      <x:c r="K3057" s="87" t="n">
        <x:v>3</x:v>
      </x:c>
      <x:c r="L3057" s="87" t="str">
        <x:v>Виды мировоззрения</x:v>
      </x:c>
      <x:c r="M3057" s="30" t="str">
        <x:v>Соотнесите характеристики обыденного, религиозного и научного мировоззрения.</x:v>
      </x:c>
      <x:c r="N3057" s="30" t="str">
        <x:v>23123</x:v>
      </x:c>
      <x:c r="O3057" s="30" t="str">
        <x:v>Духовное первенство и вера в сверхъестественное — религиозное; проверяемые знания и закономерности — научное; жизненный опыт — обыденное.</x:v>
      </x:c>
      <x:c r="P3057" s="30" t="str">
        <x:v>Духовное первенство и вера в сверхъестественное — религиозное; проверяемые знания и закономерности — научное; жизненный опыт — обыденное.</x:v>
      </x:c>
      <x:c r="Q3057" s="30"/>
      <x:c r="R3057" s="30" t="str">
        <x:v>23123</x:v>
      </x:c>
      <x:c r="S3057" s="30"/>
      <x:c r="T3057" s="30"/>
      <x:c r="U3057" s="30" t="str">
        <x:v>Расхождений с официальным PDF нет.</x:v>
      </x:c>
      <x:c r="V3057" s="87" t="str">
        <x:v>VERIFIED</x:v>
      </x:c>
      <x:c r="W3057" s="87" t="n">
        <x:v>3</x:v>
      </x:c>
      <x:c r="X3057" s="87"/>
      <x:c r="Y3057" s="87"/>
      <x:c r="Z3057" s="87"/>
      <x:c r="AA3057" s="87"/>
      <x:c r="AB3057" s="87"/>
      <x:c r="AC3057" s="87"/>
      <x:c r="AD3057" s="87"/>
      <x:c r="AE3057" s="87"/>
      <x:c r="AF3057" s="87"/>
      <x:c r="AG3057" s="87"/>
      <x:c r="AH3057" s="87"/>
      <x:c r="AI3057" s="30"/>
      <x:c r="AJ3057" s="87" t="str">
        <x:v>master</x:v>
      </x:c>
      <x:c r="AK3057" s="87" t="str">
        <x:v>master-v0.81</x:v>
      </x:c>
      <x:c r="AL3057" s="87" t="str">
        <x:v>statgrad_master_base_v0_81_final(2).xlsx</x:v>
      </x:c>
      <x:c r="AM3057" s="87" t="str">
        <x:v>SOC_Sep_V2</x:v>
      </x:c>
      <x:c r="AN3057" s="87" t="n">
        <x:v>4</x:v>
      </x:c>
    </x:row>
    <x:row r="3058">
      <x:c r="A3058" s="87" t="n">
        <x:v>3057</x:v>
      </x:c>
      <x:c r="B3058" s="87" t="str">
        <x:v>SEP-SOC-V2-004</x:v>
      </x:c>
      <x:c r="C3058" s="87" t="str">
        <x:v>СтатГрад</x:v>
      </x:c>
      <x:c r="D3058" s="87" t="str">
        <x:v>Сентябрь 2025</x:v>
      </x:c>
      <x:c r="E3058" s="87"/>
      <x:c r="F3058" s="87"/>
      <x:c r="G3058" s="87" t="str">
        <x:v>Обществознание</x:v>
      </x:c>
      <x:c r="H3058" s="87" t="n">
        <x:v>11</x:v>
      </x:c>
      <x:c r="I3058" s="87" t="str">
        <x:v>ТР №1</x:v>
      </x:c>
      <x:c r="J3058" s="87" t="str">
        <x:v>ОБ2510102</x:v>
      </x:c>
      <x:c r="K3058" s="87" t="n">
        <x:v>4</x:v>
      </x:c>
      <x:c r="L3058" s="87" t="str">
        <x:v>Традиционное общество</x:v>
      </x:c>
      <x:c r="M3058" s="30" t="str">
        <x:v>Выберите признаки традиционного общества в стране с преобладанием сельского населения.</x:v>
      </x:c>
      <x:c r="N3058" s="30" t="str">
        <x:v>125</x:v>
      </x:c>
      <x:c r="O3058" s="30" t="str">
        <x:v>Аграрная экономика, расширенная семья и большая роль обычая и религии являются признаками традиционного общества.</x:v>
      </x:c>
      <x:c r="P3058" s="30" t="str">
        <x:v>Аграрная экономика, расширенная семья и большая роль обычая и религии являются признаками традиционного общества.</x:v>
      </x:c>
      <x:c r="Q3058" s="30"/>
      <x:c r="R3058" s="30" t="str">
        <x:v>125</x:v>
      </x:c>
      <x:c r="S3058" s="30"/>
      <x:c r="T3058" s="30"/>
      <x:c r="U3058" s="30" t="str">
        <x:v>Расхождений с официальным PDF нет.</x:v>
      </x:c>
      <x:c r="V3058" s="87" t="str">
        <x:v>VERIFIED</x:v>
      </x:c>
      <x:c r="W3058" s="87" t="n">
        <x:v>3</x:v>
      </x:c>
      <x:c r="X3058" s="87"/>
      <x:c r="Y3058" s="87"/>
      <x:c r="Z3058" s="87"/>
      <x:c r="AA3058" s="87"/>
      <x:c r="AB3058" s="87"/>
      <x:c r="AC3058" s="87"/>
      <x:c r="AD3058" s="87"/>
      <x:c r="AE3058" s="87"/>
      <x:c r="AF3058" s="87"/>
      <x:c r="AG3058" s="87"/>
      <x:c r="AH3058" s="87"/>
      <x:c r="AI3058" s="30"/>
      <x:c r="AJ3058" s="87" t="str">
        <x:v>master</x:v>
      </x:c>
      <x:c r="AK3058" s="87" t="str">
        <x:v>master-v0.81</x:v>
      </x:c>
      <x:c r="AL3058" s="87" t="str">
        <x:v>statgrad_master_base_v0_81_final(2).xlsx</x:v>
      </x:c>
      <x:c r="AM3058" s="87" t="str">
        <x:v>SOC_Sep_V2</x:v>
      </x:c>
      <x:c r="AN3058" s="87" t="n">
        <x:v>5</x:v>
      </x:c>
    </x:row>
    <x:row r="3059">
      <x:c r="A3059" s="87" t="n">
        <x:v>3058</x:v>
      </x:c>
      <x:c r="B3059" s="87" t="str">
        <x:v>SEP-SOC-V2-005</x:v>
      </x:c>
      <x:c r="C3059" s="87" t="str">
        <x:v>СтатГрад</x:v>
      </x:c>
      <x:c r="D3059" s="87" t="str">
        <x:v>Сентябрь 2025</x:v>
      </x:c>
      <x:c r="E3059" s="87"/>
      <x:c r="F3059" s="87"/>
      <x:c r="G3059" s="87" t="str">
        <x:v>Обществознание</x:v>
      </x:c>
      <x:c r="H3059" s="87" t="n">
        <x:v>11</x:v>
      </x:c>
      <x:c r="I3059" s="87" t="str">
        <x:v>ТР №1</x:v>
      </x:c>
      <x:c r="J3059" s="87" t="str">
        <x:v>ОБ2510102</x:v>
      </x:c>
      <x:c r="K3059" s="87" t="n">
        <x:v>5</x:v>
      </x:c>
      <x:c r="L3059" s="87" t="str">
        <x:v>Экономический рост</x:v>
      </x:c>
      <x:c r="M3059" s="30" t="str">
        <x:v>Выберите верные суждения об интенсивных факторах и определении экономического роста.</x:v>
      </x:c>
      <x:c r="N3059" s="30" t="str">
        <x:v>245</x:v>
      </x:c>
      <x:c r="O3059" s="30" t="str">
        <x:v>Рост реального ВВП, повышение производительности и включённость роста в динамику экономического цикла отражены в пунктах 2, 4 и 5.</x:v>
      </x:c>
      <x:c r="P3059" s="30" t="str">
        <x:v>Рост реального ВВП, повышение производительности и включённость роста в динамику экономического цикла отражены в пунктах 2, 4 и 5.</x:v>
      </x:c>
      <x:c r="Q3059" s="30"/>
      <x:c r="R3059" s="30" t="str">
        <x:v>245</x:v>
      </x:c>
      <x:c r="S3059" s="30"/>
      <x:c r="T3059" s="30"/>
      <x:c r="U3059" s="30" t="str">
        <x:v>Расхождений с официальным PDF нет.</x:v>
      </x:c>
      <x:c r="V3059" s="87" t="str">
        <x:v>VERIFIED</x:v>
      </x:c>
      <x:c r="W3059" s="87" t="n">
        <x:v>4</x:v>
      </x:c>
      <x:c r="X3059" s="87"/>
      <x:c r="Y3059" s="87"/>
      <x:c r="Z3059" s="87"/>
      <x:c r="AA3059" s="87"/>
      <x:c r="AB3059" s="87"/>
      <x:c r="AC3059" s="87"/>
      <x:c r="AD3059" s="87"/>
      <x:c r="AE3059" s="87"/>
      <x:c r="AF3059" s="87"/>
      <x:c r="AG3059" s="87"/>
      <x:c r="AH3059" s="87"/>
      <x:c r="AI3059" s="30"/>
      <x:c r="AJ3059" s="87" t="str">
        <x:v>master</x:v>
      </x:c>
      <x:c r="AK3059" s="87" t="str">
        <x:v>master-v0.81</x:v>
      </x:c>
      <x:c r="AL3059" s="87" t="str">
        <x:v>statgrad_master_base_v0_81_final(2).xlsx</x:v>
      </x:c>
      <x:c r="AM3059" s="87" t="str">
        <x:v>SOC_Sep_V2</x:v>
      </x:c>
      <x:c r="AN3059" s="87" t="n">
        <x:v>6</x:v>
      </x:c>
    </x:row>
    <x:row r="3060">
      <x:c r="A3060" s="87" t="n">
        <x:v>3059</x:v>
      </x:c>
      <x:c r="B3060" s="87" t="str">
        <x:v>SEP-SOC-V2-006</x:v>
      </x:c>
      <x:c r="C3060" s="87" t="str">
        <x:v>СтатГрад</x:v>
      </x:c>
      <x:c r="D3060" s="87" t="str">
        <x:v>Сентябрь 2025</x:v>
      </x:c>
      <x:c r="E3060" s="87"/>
      <x:c r="F3060" s="87"/>
      <x:c r="G3060" s="87" t="str">
        <x:v>Обществознание</x:v>
      </x:c>
      <x:c r="H3060" s="87" t="n">
        <x:v>11</x:v>
      </x:c>
      <x:c r="I3060" s="87" t="str">
        <x:v>ТР №1</x:v>
      </x:c>
      <x:c r="J3060" s="87" t="str">
        <x:v>ОБ2510102</x:v>
      </x:c>
      <x:c r="K3060" s="87" t="n">
        <x:v>6</x:v>
      </x:c>
      <x:c r="L3060" s="87" t="str">
        <x:v>Структура налога</x:v>
      </x:c>
      <x:c r="M3060" s="30" t="str">
        <x:v>Соотнесите квартиру, налогоплательщика, квадратный метр, ставку 13 % и автомобиль с элементами структуры налога.</x:v>
      </x:c>
      <x:c r="N3060" s="30" t="str">
        <x:v>21342</x:v>
      </x:c>
      <x:c r="O3060" s="30" t="str">
        <x:v>Квартира и автомобиль — объекты; гражданин — субъект; квадратный метр — единица; 13 % — ставка.</x:v>
      </x:c>
      <x:c r="P3060" s="30" t="str">
        <x:v>Квартира и автомобиль — объекты; гражданин — субъект; квадратный метр — единица; 13 % — ставка.</x:v>
      </x:c>
      <x:c r="Q3060" s="30"/>
      <x:c r="R3060" s="30" t="str">
        <x:v>21342</x:v>
      </x:c>
      <x:c r="S3060" s="30"/>
      <x:c r="T3060" s="30"/>
      <x:c r="U3060" s="30" t="str">
        <x:v>Дополнительная фото-сводка содержит 2132, но официальный PDF и независимая проверка подтверждают 21342.</x:v>
      </x:c>
      <x:c r="V3060" s="87" t="str">
        <x:v>VERIFIED</x:v>
      </x:c>
      <x:c r="W3060" s="87" t="n">
        <x:v>4</x:v>
      </x:c>
      <x:c r="X3060" s="87"/>
      <x:c r="Y3060" s="87"/>
      <x:c r="Z3060" s="87"/>
      <x:c r="AA3060" s="87"/>
      <x:c r="AB3060" s="87"/>
      <x:c r="AC3060" s="87"/>
      <x:c r="AD3060" s="87"/>
      <x:c r="AE3060" s="87"/>
      <x:c r="AF3060" s="87"/>
      <x:c r="AG3060" s="87"/>
      <x:c r="AH3060" s="87"/>
      <x:c r="AI3060" s="30"/>
      <x:c r="AJ3060" s="87" t="str">
        <x:v>master</x:v>
      </x:c>
      <x:c r="AK3060" s="87" t="str">
        <x:v>master-v0.81</x:v>
      </x:c>
      <x:c r="AL3060" s="87" t="str">
        <x:v>statgrad_master_base_v0_81_final(2).xlsx</x:v>
      </x:c>
      <x:c r="AM3060" s="87" t="str">
        <x:v>SOC_Sep_V2</x:v>
      </x:c>
      <x:c r="AN3060" s="87" t="n">
        <x:v>7</x:v>
      </x:c>
    </x:row>
    <x:row r="3061">
      <x:c r="A3061" s="87" t="n">
        <x:v>3060</x:v>
      </x:c>
      <x:c r="B3061" s="87" t="str">
        <x:v>SEP-SOC-V2-007</x:v>
      </x:c>
      <x:c r="C3061" s="87" t="str">
        <x:v>СтатГрад</x:v>
      </x:c>
      <x:c r="D3061" s="87" t="str">
        <x:v>Сентябрь 2025</x:v>
      </x:c>
      <x:c r="E3061" s="87"/>
      <x:c r="F3061" s="87"/>
      <x:c r="G3061" s="87" t="str">
        <x:v>Обществознание</x:v>
      </x:c>
      <x:c r="H3061" s="87" t="n">
        <x:v>11</x:v>
      </x:c>
      <x:c r="I3061" s="87" t="str">
        <x:v>ТР №1</x:v>
      </x:c>
      <x:c r="J3061" s="87" t="str">
        <x:v>ОБ2510102</x:v>
      </x:c>
      <x:c r="K3061" s="87" t="n">
        <x:v>7</x:v>
      </x:c>
      <x:c r="L3061" s="87" t="str">
        <x:v>Центральный банк</x:v>
      </x:c>
      <x:c r="M3061" s="30" t="str">
        <x:v>Определите признаки центрального банка.</x:v>
      </x:c>
      <x:c r="N3061" s="30" t="str">
        <x:v>245</x:v>
      </x:c>
      <x:c r="O3061" s="30" t="str">
        <x:v>Эмиссия денег, установление ключевой ставки и лицензирование финансовых организаций относятся к полномочиям центрального банка.</x:v>
      </x:c>
      <x:c r="P3061" s="30" t="str">
        <x:v>Эмиссия денег, установление ключевой ставки и лицензирование финансовых организаций относятся к полномочиям центрального банка.</x:v>
      </x:c>
      <x:c r="Q3061" s="30"/>
      <x:c r="R3061" s="30" t="str">
        <x:v>245</x:v>
      </x:c>
      <x:c r="S3061" s="30"/>
      <x:c r="T3061" s="30"/>
      <x:c r="U3061" s="30" t="str">
        <x:v>Расхождений с официальным PDF нет.</x:v>
      </x:c>
      <x:c r="V3061" s="87" t="str">
        <x:v>VERIFIED</x:v>
      </x:c>
      <x:c r="W3061" s="87" t="n">
        <x:v>5</x:v>
      </x:c>
      <x:c r="X3061" s="87"/>
      <x:c r="Y3061" s="87"/>
      <x:c r="Z3061" s="87"/>
      <x:c r="AA3061" s="87"/>
      <x:c r="AB3061" s="87"/>
      <x:c r="AC3061" s="87"/>
      <x:c r="AD3061" s="87"/>
      <x:c r="AE3061" s="87"/>
      <x:c r="AF3061" s="87"/>
      <x:c r="AG3061" s="87"/>
      <x:c r="AH3061" s="87"/>
      <x:c r="AI3061" s="30"/>
      <x:c r="AJ3061" s="87" t="str">
        <x:v>master</x:v>
      </x:c>
      <x:c r="AK3061" s="87" t="str">
        <x:v>master-v0.81</x:v>
      </x:c>
      <x:c r="AL3061" s="87" t="str">
        <x:v>statgrad_master_base_v0_81_final(2).xlsx</x:v>
      </x:c>
      <x:c r="AM3061" s="87" t="str">
        <x:v>SOC_Sep_V2</x:v>
      </x:c>
      <x:c r="AN3061" s="87" t="n">
        <x:v>8</x:v>
      </x:c>
    </x:row>
    <x:row r="3062">
      <x:c r="A3062" s="87" t="n">
        <x:v>3061</x:v>
      </x:c>
      <x:c r="B3062" s="87" t="str">
        <x:v>SEP-SOC-V2-008</x:v>
      </x:c>
      <x:c r="C3062" s="87" t="str">
        <x:v>СтатГрад</x:v>
      </x:c>
      <x:c r="D3062" s="87" t="str">
        <x:v>Сентябрь 2025</x:v>
      </x:c>
      <x:c r="E3062" s="87"/>
      <x:c r="F3062" s="87"/>
      <x:c r="G3062" s="87" t="str">
        <x:v>Обществознание</x:v>
      </x:c>
      <x:c r="H3062" s="87" t="n">
        <x:v>11</x:v>
      </x:c>
      <x:c r="I3062" s="87" t="str">
        <x:v>ТР №1</x:v>
      </x:c>
      <x:c r="J3062" s="87" t="str">
        <x:v>ОБ2510102</x:v>
      </x:c>
      <x:c r="K3062" s="87" t="n">
        <x:v>8</x:v>
      </x:c>
      <x:c r="L3062" s="87" t="str">
        <x:v>Семья</x:v>
      </x:c>
      <x:c r="M3062" s="30" t="str">
        <x:v>Выберите верные суждения о семье, партнёрской семье и социализирующей функции.</x:v>
      </x:c>
      <x:c r="N3062" s="30" t="str">
        <x:v>125</x:v>
      </x:c>
      <x:c r="O3062" s="30" t="str">
        <x:v>Семья основана на браке или родстве; в партнёрской семье нет жёсткого разделения обязанностей; социализация передаёт нормы и ценности.</x:v>
      </x:c>
      <x:c r="P3062" s="30" t="str">
        <x:v>Семья основана на браке или родстве; в партнёрской семье нет жёсткого разделения обязанностей; социализация передаёт нормы и ценности.</x:v>
      </x:c>
      <x:c r="Q3062" s="30"/>
      <x:c r="R3062" s="30" t="str">
        <x:v>125</x:v>
      </x:c>
      <x:c r="S3062" s="30"/>
      <x:c r="T3062" s="30"/>
      <x:c r="U3062" s="30" t="str">
        <x:v>Дополнительная фото-сводка содержит 135, но официальный PDF и независимая проверка подтверждают 125.</x:v>
      </x:c>
      <x:c r="V3062" s="87" t="str">
        <x:v>VERIFIED</x:v>
      </x:c>
      <x:c r="W3062" s="87" t="n">
        <x:v>5</x:v>
      </x:c>
      <x:c r="X3062" s="87"/>
      <x:c r="Y3062" s="87"/>
      <x:c r="Z3062" s="87"/>
      <x:c r="AA3062" s="87"/>
      <x:c r="AB3062" s="87"/>
      <x:c r="AC3062" s="87"/>
      <x:c r="AD3062" s="87"/>
      <x:c r="AE3062" s="87"/>
      <x:c r="AF3062" s="87"/>
      <x:c r="AG3062" s="87"/>
      <x:c r="AH3062" s="87"/>
      <x:c r="AI3062" s="30"/>
      <x:c r="AJ3062" s="87" t="str">
        <x:v>master</x:v>
      </x:c>
      <x:c r="AK3062" s="87" t="str">
        <x:v>master-v0.81</x:v>
      </x:c>
      <x:c r="AL3062" s="87" t="str">
        <x:v>statgrad_master_base_v0_81_final(2).xlsx</x:v>
      </x:c>
      <x:c r="AM3062" s="87" t="str">
        <x:v>SOC_Sep_V2</x:v>
      </x:c>
      <x:c r="AN3062" s="87" t="n">
        <x:v>9</x:v>
      </x:c>
    </x:row>
    <x:row r="3063">
      <x:c r="A3063" s="87" t="n">
        <x:v>3062</x:v>
      </x:c>
      <x:c r="B3063" s="87" t="str">
        <x:v>SEP-SOC-V2-009</x:v>
      </x:c>
      <x:c r="C3063" s="87" t="str">
        <x:v>СтатГрад</x:v>
      </x:c>
      <x:c r="D3063" s="87" t="str">
        <x:v>Сентябрь 2025</x:v>
      </x:c>
      <x:c r="E3063" s="87"/>
      <x:c r="F3063" s="87"/>
      <x:c r="G3063" s="87" t="str">
        <x:v>Обществознание</x:v>
      </x:c>
      <x:c r="H3063" s="87" t="n">
        <x:v>11</x:v>
      </x:c>
      <x:c r="I3063" s="87" t="str">
        <x:v>ТР №1</x:v>
      </x:c>
      <x:c r="J3063" s="87" t="str">
        <x:v>ОБ2510102</x:v>
      </x:c>
      <x:c r="K3063" s="87" t="n">
        <x:v>9</x:v>
      </x:c>
      <x:c r="L3063" s="87" t="str">
        <x:v>Социологическая диаграмма</x:v>
      </x:c>
      <x:c r="M3063" s="30" t="str">
        <x:v>По диаграмме сравните предпочтительное место работы жителей страны Z в 2010 и 2024 годах.</x:v>
      </x:c>
      <x:c r="N3063" s="30" t="str">
        <x:v>234</x:v>
      </x:c>
      <x:c r="O3063" s="30" t="str">
        <x:v>По значениям столбцов верны выводы 2, 3 и 4.</x:v>
      </x:c>
      <x:c r="P3063" s="30" t="str">
        <x:v>По значениям столбцов верны выводы 2, 3 и 4.</x:v>
      </x:c>
      <x:c r="Q3063" s="30"/>
      <x:c r="R3063" s="30" t="str">
        <x:v>234</x:v>
      </x:c>
      <x:c r="S3063" s="30"/>
      <x:c r="T3063" s="30"/>
      <x:c r="U3063" s="30" t="str">
        <x:v>Дополнительная фото-сводка содержит 235, но официальный PDF и независимая проверка подтверждают 234.</x:v>
      </x:c>
      <x:c r="V3063" s="87" t="str">
        <x:v>VERIFIED</x:v>
      </x:c>
      <x:c r="W3063" s="87" t="n">
        <x:v>6</x:v>
      </x:c>
      <x:c r="X3063" s="87"/>
      <x:c r="Y3063" s="87"/>
      <x:c r="Z3063" s="87"/>
      <x:c r="AA3063" s="87"/>
      <x:c r="AB3063" s="87"/>
      <x:c r="AC3063" s="87" t="str">
        <x:v>VIS-SOC-SEP-002</x:v>
      </x:c>
      <x:c r="AD3063" s="87"/>
      <x:c r="AE3063" s="87" t="str">
        <x:v>Социологическая диаграмма</x:v>
      </x:c>
      <x:c r="AF3063" s="87" t="str">
        <x:v>VIS-SOC-SEP-002: 19</x:v>
      </x:c>
      <x:c r="AG3063" s="87" t="str">
        <x:v>RESOLVED</x:v>
      </x:c>
      <x:c r="AH3063" s="87" t="str">
        <x:v>ORIGINAL_ASSET_HASH_VERIFIED; TASK_CROP_QA_APPROVED:MANUAL_BBOX</x:v>
      </x:c>
      <x:c r="AI3063" s="30"/>
      <x:c r="AJ3063" s="87" t="str">
        <x:v>master</x:v>
      </x:c>
      <x:c r="AK3063" s="87" t="str">
        <x:v>master-v0.81</x:v>
      </x:c>
      <x:c r="AL3063" s="87" t="str">
        <x:v>statgrad_master_base_v0_81_final(2).xlsx</x:v>
      </x:c>
      <x:c r="AM3063" s="87" t="str">
        <x:v>SOC_Sep_V2</x:v>
      </x:c>
      <x:c r="AN3063" s="87" t="n">
        <x:v>10</x:v>
      </x:c>
    </x:row>
    <x:row r="3064">
      <x:c r="A3064" s="87" t="n">
        <x:v>3063</x:v>
      </x:c>
      <x:c r="B3064" s="87" t="str">
        <x:v>SEP-SOC-V2-010</x:v>
      </x:c>
      <x:c r="C3064" s="87" t="str">
        <x:v>СтатГрад</x:v>
      </x:c>
      <x:c r="D3064" s="87" t="str">
        <x:v>Сентябрь 2025</x:v>
      </x:c>
      <x:c r="E3064" s="87"/>
      <x:c r="F3064" s="87"/>
      <x:c r="G3064" s="87" t="str">
        <x:v>Обществознание</x:v>
      </x:c>
      <x:c r="H3064" s="87" t="n">
        <x:v>11</x:v>
      </x:c>
      <x:c r="I3064" s="87" t="str">
        <x:v>ТР №1</x:v>
      </x:c>
      <x:c r="J3064" s="87" t="str">
        <x:v>ОБ2510102</x:v>
      </x:c>
      <x:c r="K3064" s="87" t="n">
        <x:v>10</x:v>
      </x:c>
      <x:c r="L3064" s="87" t="str">
        <x:v>Правовое государство</x:v>
      </x:c>
      <x:c r="M3064" s="30" t="str">
        <x:v>Выберите верные суждения о правовом государстве.</x:v>
      </x:c>
      <x:c r="N3064" s="30" t="str">
        <x:v>135</x:v>
      </x:c>
      <x:c r="O3064" s="30" t="str">
        <x:v>Взаимная ответственность государства и гражданина, разделение властей и взаимодействие с гражданским обществом — признаки правового государства.</x:v>
      </x:c>
      <x:c r="P3064" s="30" t="str">
        <x:v>Взаимная ответственность государства и гражданина, разделение властей и взаимодействие с гражданским обществом — признаки правового государства.</x:v>
      </x:c>
      <x:c r="Q3064" s="30"/>
      <x:c r="R3064" s="30" t="str">
        <x:v>135</x:v>
      </x:c>
      <x:c r="S3064" s="30"/>
      <x:c r="T3064" s="30"/>
      <x:c r="U3064" s="30" t="str">
        <x:v>Расхождений с официальным PDF нет.</x:v>
      </x:c>
      <x:c r="V3064" s="87" t="str">
        <x:v>VERIFIED</x:v>
      </x:c>
      <x:c r="W3064" s="87" t="n">
        <x:v>7</x:v>
      </x:c>
      <x:c r="X3064" s="87"/>
      <x:c r="Y3064" s="87"/>
      <x:c r="Z3064" s="87"/>
      <x:c r="AA3064" s="87"/>
      <x:c r="AB3064" s="87"/>
      <x:c r="AC3064" s="87"/>
      <x:c r="AD3064" s="87"/>
      <x:c r="AE3064" s="87"/>
      <x:c r="AF3064" s="87"/>
      <x:c r="AG3064" s="87"/>
      <x:c r="AH3064" s="87"/>
      <x:c r="AI3064" s="30"/>
      <x:c r="AJ3064" s="87" t="str">
        <x:v>master</x:v>
      </x:c>
      <x:c r="AK3064" s="87" t="str">
        <x:v>master-v0.81</x:v>
      </x:c>
      <x:c r="AL3064" s="87" t="str">
        <x:v>statgrad_master_base_v0_81_final(2).xlsx</x:v>
      </x:c>
      <x:c r="AM3064" s="87" t="str">
        <x:v>SOC_Sep_V2</x:v>
      </x:c>
      <x:c r="AN3064" s="87" t="n">
        <x:v>11</x:v>
      </x:c>
    </x:row>
    <x:row r="3065">
      <x:c r="A3065" s="87" t="n">
        <x:v>3064</x:v>
      </x:c>
      <x:c r="B3065" s="87" t="str">
        <x:v>SEP-SOC-V2-011</x:v>
      </x:c>
      <x:c r="C3065" s="87" t="str">
        <x:v>СтатГрад</x:v>
      </x:c>
      <x:c r="D3065" s="87" t="str">
        <x:v>Сентябрь 2025</x:v>
      </x:c>
      <x:c r="E3065" s="87"/>
      <x:c r="F3065" s="87"/>
      <x:c r="G3065" s="87" t="str">
        <x:v>Обществознание</x:v>
      </x:c>
      <x:c r="H3065" s="87" t="n">
        <x:v>11</x:v>
      </x:c>
      <x:c r="I3065" s="87" t="str">
        <x:v>ТР №1</x:v>
      </x:c>
      <x:c r="J3065" s="87" t="str">
        <x:v>ОБ2510102</x:v>
      </x:c>
      <x:c r="K3065" s="87" t="n">
        <x:v>11</x:v>
      </x:c>
      <x:c r="L3065" s="87" t="str">
        <x:v>Политический режим</x:v>
      </x:c>
      <x:c r="M3065" s="30" t="str">
        <x:v>Выберите признаки недемократического режима при формальном наличии выборов.</x:v>
      </x:c>
      <x:c r="N3065" s="30" t="str">
        <x:v>246</x:v>
      </x:c>
      <x:c r="O3065" s="30" t="str">
        <x:v>Монополия одной партии, принятие бюджета правительством вместо парламента и несоблюдение провозглашённых прав указывают на недемократический режим.</x:v>
      </x:c>
      <x:c r="P3065" s="30" t="str">
        <x:v>Монополия одной партии, принятие бюджета правительством вместо парламента и несоблюдение провозглашённых прав указывают на недемократический режим.</x:v>
      </x:c>
      <x:c r="Q3065" s="30"/>
      <x:c r="R3065" s="30" t="str">
        <x:v>246</x:v>
      </x:c>
      <x:c r="S3065" s="30"/>
      <x:c r="T3065" s="30"/>
      <x:c r="U3065" s="30" t="str">
        <x:v>Расхождений с официальным PDF нет.</x:v>
      </x:c>
      <x:c r="V3065" s="87" t="str">
        <x:v>VERIFIED</x:v>
      </x:c>
      <x:c r="W3065" s="87" t="n">
        <x:v>7</x:v>
      </x:c>
      <x:c r="X3065" s="87"/>
      <x:c r="Y3065" s="87"/>
      <x:c r="Z3065" s="87"/>
      <x:c r="AA3065" s="87"/>
      <x:c r="AB3065" s="87"/>
      <x:c r="AC3065" s="87"/>
      <x:c r="AD3065" s="87"/>
      <x:c r="AE3065" s="87"/>
      <x:c r="AF3065" s="87"/>
      <x:c r="AG3065" s="87"/>
      <x:c r="AH3065" s="87"/>
      <x:c r="AI3065" s="30"/>
      <x:c r="AJ3065" s="87" t="str">
        <x:v>master</x:v>
      </x:c>
      <x:c r="AK3065" s="87" t="str">
        <x:v>master-v0.81</x:v>
      </x:c>
      <x:c r="AL3065" s="87" t="str">
        <x:v>statgrad_master_base_v0_81_final(2).xlsx</x:v>
      </x:c>
      <x:c r="AM3065" s="87" t="str">
        <x:v>SOC_Sep_V2</x:v>
      </x:c>
      <x:c r="AN3065" s="87" t="n">
        <x:v>12</x:v>
      </x:c>
    </x:row>
    <x:row r="3066">
      <x:c r="A3066" s="87" t="n">
        <x:v>3065</x:v>
      </x:c>
      <x:c r="B3066" s="87" t="str">
        <x:v>SEP-SOC-V2-012</x:v>
      </x:c>
      <x:c r="C3066" s="87" t="str">
        <x:v>СтатГрад</x:v>
      </x:c>
      <x:c r="D3066" s="87" t="str">
        <x:v>Сентябрь 2025</x:v>
      </x:c>
      <x:c r="E3066" s="87"/>
      <x:c r="F3066" s="87"/>
      <x:c r="G3066" s="87" t="str">
        <x:v>Обществознание</x:v>
      </x:c>
      <x:c r="H3066" s="87" t="n">
        <x:v>11</x:v>
      </x:c>
      <x:c r="I3066" s="87" t="str">
        <x:v>ТР №1</x:v>
      </x:c>
      <x:c r="J3066" s="87" t="str">
        <x:v>ОБ2510102</x:v>
      </x:c>
      <x:c r="K3066" s="87" t="n">
        <x:v>12</x:v>
      </x:c>
      <x:c r="L3066" s="87" t="str">
        <x:v>Светское государство</x:v>
      </x:c>
      <x:c r="M3066" s="30" t="str">
        <x:v>Выберите конституционные принципы светского государства.</x:v>
      </x:c>
      <x:c r="N3066" s="30" t="str">
        <x:v>235</x:v>
      </x:c>
      <x:c r="O3066" s="30" t="str">
        <x:v>Отделение религиозных объединений, запрет обязательной религии и свобода совести выражают светский характер государства.</x:v>
      </x:c>
      <x:c r="P3066" s="30" t="str">
        <x:v>Отделение религиозных объединений, запрет обязательной религии и свобода совести выражают светский характер государства.</x:v>
      </x:c>
      <x:c r="Q3066" s="30"/>
      <x:c r="R3066" s="30" t="str">
        <x:v>235</x:v>
      </x:c>
      <x:c r="S3066" s="30"/>
      <x:c r="T3066" s="30"/>
      <x:c r="U3066" s="30" t="str">
        <x:v>Расхождений с официальным PDF нет.</x:v>
      </x:c>
      <x:c r="V3066" s="87" t="str">
        <x:v>VERIFIED</x:v>
      </x:c>
      <x:c r="W3066" s="87" t="n">
        <x:v>7</x:v>
      </x:c>
      <x:c r="X3066" s="87"/>
      <x:c r="Y3066" s="87"/>
      <x:c r="Z3066" s="87"/>
      <x:c r="AA3066" s="87"/>
      <x:c r="AB3066" s="87"/>
      <x:c r="AC3066" s="87"/>
      <x:c r="AD3066" s="87"/>
      <x:c r="AE3066" s="87"/>
      <x:c r="AF3066" s="87"/>
      <x:c r="AG3066" s="87"/>
      <x:c r="AH3066" s="87"/>
      <x:c r="AI3066" s="30"/>
      <x:c r="AJ3066" s="87" t="str">
        <x:v>master</x:v>
      </x:c>
      <x:c r="AK3066" s="87" t="str">
        <x:v>master-v0.81</x:v>
      </x:c>
      <x:c r="AL3066" s="87" t="str">
        <x:v>statgrad_master_base_v0_81_final(2).xlsx</x:v>
      </x:c>
      <x:c r="AM3066" s="87" t="str">
        <x:v>SOC_Sep_V2</x:v>
      </x:c>
      <x:c r="AN3066" s="87" t="n">
        <x:v>13</x:v>
      </x:c>
    </x:row>
    <x:row r="3067">
      <x:c r="A3067" s="87" t="n">
        <x:v>3066</x:v>
      </x:c>
      <x:c r="B3067" s="87" t="str">
        <x:v>SEP-SOC-V2-013</x:v>
      </x:c>
      <x:c r="C3067" s="87" t="str">
        <x:v>СтатГрад</x:v>
      </x:c>
      <x:c r="D3067" s="87" t="str">
        <x:v>Сентябрь 2025</x:v>
      </x:c>
      <x:c r="E3067" s="87"/>
      <x:c r="F3067" s="87"/>
      <x:c r="G3067" s="87" t="str">
        <x:v>Обществознание</x:v>
      </x:c>
      <x:c r="H3067" s="87" t="n">
        <x:v>11</x:v>
      </x:c>
      <x:c r="I3067" s="87" t="str">
        <x:v>ТР №1</x:v>
      </x:c>
      <x:c r="J3067" s="87" t="str">
        <x:v>ОБ2510102</x:v>
      </x:c>
      <x:c r="K3067" s="87" t="n">
        <x:v>13</x:v>
      </x:c>
      <x:c r="L3067" s="87" t="str">
        <x:v>Статус субъектов Федерации</x:v>
      </x:c>
      <x:c r="M3067" s="30" t="str">
        <x:v>Соотнесите полномочия всех субъектов РФ и полномочия только республик.</x:v>
      </x:c>
      <x:c r="N3067" s="30" t="str">
        <x:v>21112</x:v>
      </x:c>
      <x:c r="O3067" s="30" t="str">
        <x:v>Конституцию и государственные языки устанавливают республики; символы, законы и систему органов власти имеют все субъекты.</x:v>
      </x:c>
      <x:c r="P3067" s="30" t="str">
        <x:v>Конституцию и государственные языки устанавливают республики; символы, законы и систему органов власти имеют все субъекты.</x:v>
      </x:c>
      <x:c r="Q3067" s="30"/>
      <x:c r="R3067" s="30" t="str">
        <x:v>21112</x:v>
      </x:c>
      <x:c r="S3067" s="30"/>
      <x:c r="T3067" s="30"/>
      <x:c r="U3067" s="30" t="str">
        <x:v>Расхождений с официальным PDF нет.</x:v>
      </x:c>
      <x:c r="V3067" s="87" t="str">
        <x:v>VERIFIED</x:v>
      </x:c>
      <x:c r="W3067" s="87" t="n">
        <x:v>8</x:v>
      </x:c>
      <x:c r="X3067" s="87"/>
      <x:c r="Y3067" s="87"/>
      <x:c r="Z3067" s="87"/>
      <x:c r="AA3067" s="87"/>
      <x:c r="AB3067" s="87"/>
      <x:c r="AC3067" s="87"/>
      <x:c r="AD3067" s="87"/>
      <x:c r="AE3067" s="87"/>
      <x:c r="AF3067" s="87"/>
      <x:c r="AG3067" s="87"/>
      <x:c r="AH3067" s="87"/>
      <x:c r="AI3067" s="30"/>
      <x:c r="AJ3067" s="87" t="str">
        <x:v>master</x:v>
      </x:c>
      <x:c r="AK3067" s="87" t="str">
        <x:v>master-v0.81</x:v>
      </x:c>
      <x:c r="AL3067" s="87" t="str">
        <x:v>statgrad_master_base_v0_81_final(2).xlsx</x:v>
      </x:c>
      <x:c r="AM3067" s="87" t="str">
        <x:v>SOC_Sep_V2</x:v>
      </x:c>
      <x:c r="AN3067" s="87" t="n">
        <x:v>14</x:v>
      </x:c>
    </x:row>
    <x:row r="3068">
      <x:c r="A3068" s="87" t="n">
        <x:v>3067</x:v>
      </x:c>
      <x:c r="B3068" s="87" t="str">
        <x:v>SEP-SOC-V2-014</x:v>
      </x:c>
      <x:c r="C3068" s="87" t="str">
        <x:v>СтатГрад</x:v>
      </x:c>
      <x:c r="D3068" s="87" t="str">
        <x:v>Сентябрь 2025</x:v>
      </x:c>
      <x:c r="E3068" s="87"/>
      <x:c r="F3068" s="87"/>
      <x:c r="G3068" s="87" t="str">
        <x:v>Обществознание</x:v>
      </x:c>
      <x:c r="H3068" s="87" t="n">
        <x:v>11</x:v>
      </x:c>
      <x:c r="I3068" s="87" t="str">
        <x:v>ТР №1</x:v>
      </x:c>
      <x:c r="J3068" s="87" t="str">
        <x:v>ОБ2510102</x:v>
      </x:c>
      <x:c r="K3068" s="87" t="n">
        <x:v>14</x:v>
      </x:c>
      <x:c r="L3068" s="87" t="str">
        <x:v>Воинская обязанность</x:v>
      </x:c>
      <x:c r="M3068" s="30" t="str">
        <x:v>Выберите верные суждения о призыве, отсрочке и сроке военной службы.</x:v>
      </x:c>
      <x:c r="N3068" s="30" t="str">
        <x:v>123</x:v>
      </x:c>
      <x:c r="O3068" s="30" t="str">
        <x:v>Призывной возраст, семейные отсрочки и двенадцатимесячный срок службы отражены в пунктах 1, 2 и 3.</x:v>
      </x:c>
      <x:c r="P3068" s="30" t="str">
        <x:v>Призывной возраст, семейные отсрочки и двенадцатимесячный срок службы отражены в пунктах 1, 2 и 3.</x:v>
      </x:c>
      <x:c r="Q3068" s="30"/>
      <x:c r="R3068" s="30" t="str">
        <x:v>123</x:v>
      </x:c>
      <x:c r="S3068" s="30"/>
      <x:c r="T3068" s="30"/>
      <x:c r="U3068" s="30" t="str">
        <x:v>Расхождений с официальным PDF нет.</x:v>
      </x:c>
      <x:c r="V3068" s="87" t="str">
        <x:v>VERIFIED</x:v>
      </x:c>
      <x:c r="W3068" s="87" t="n">
        <x:v>8</x:v>
      </x:c>
      <x:c r="X3068" s="87"/>
      <x:c r="Y3068" s="87"/>
      <x:c r="Z3068" s="87"/>
      <x:c r="AA3068" s="87"/>
      <x:c r="AB3068" s="87"/>
      <x:c r="AC3068" s="87"/>
      <x:c r="AD3068" s="87"/>
      <x:c r="AE3068" s="87"/>
      <x:c r="AF3068" s="87"/>
      <x:c r="AG3068" s="87"/>
      <x:c r="AH3068" s="87"/>
      <x:c r="AI3068" s="30"/>
      <x:c r="AJ3068" s="87" t="str">
        <x:v>master</x:v>
      </x:c>
      <x:c r="AK3068" s="87" t="str">
        <x:v>master-v0.81</x:v>
      </x:c>
      <x:c r="AL3068" s="87" t="str">
        <x:v>statgrad_master_base_v0_81_final(2).xlsx</x:v>
      </x:c>
      <x:c r="AM3068" s="87" t="str">
        <x:v>SOC_Sep_V2</x:v>
      </x:c>
      <x:c r="AN3068" s="87" t="n">
        <x:v>15</x:v>
      </x:c>
    </x:row>
    <x:row r="3069">
      <x:c r="A3069" s="87" t="n">
        <x:v>3068</x:v>
      </x:c>
      <x:c r="B3069" s="87" t="str">
        <x:v>SEP-SOC-V2-015</x:v>
      </x:c>
      <x:c r="C3069" s="87" t="str">
        <x:v>СтатГрад</x:v>
      </x:c>
      <x:c r="D3069" s="87" t="str">
        <x:v>Сентябрь 2025</x:v>
      </x:c>
      <x:c r="E3069" s="87"/>
      <x:c r="F3069" s="87"/>
      <x:c r="G3069" s="87" t="str">
        <x:v>Обществознание</x:v>
      </x:c>
      <x:c r="H3069" s="87" t="n">
        <x:v>11</x:v>
      </x:c>
      <x:c r="I3069" s="87" t="str">
        <x:v>ТР №1</x:v>
      </x:c>
      <x:c r="J3069" s="87" t="str">
        <x:v>ОБ2510102</x:v>
      </x:c>
      <x:c r="K3069" s="87" t="n">
        <x:v>15</x:v>
      </x:c>
      <x:c r="L3069" s="87" t="str">
        <x:v>Юридические лица</x:v>
      </x:c>
      <x:c r="M3069" s="30" t="str">
        <x:v>Соотнесите формы юридических лиц с коммерческими и некоммерческими организациями.</x:v>
      </x:c>
      <x:c r="N3069" s="30" t="str">
        <x:v>22112</x:v>
      </x:c>
      <x:c r="O3069" s="30" t="str">
        <x:v>Кооператив, нотариальная палата и ТСН — некоммерческие; товарищество на вере и унитарное предприятие — коммерческие.</x:v>
      </x:c>
      <x:c r="P3069" s="30" t="str">
        <x:v>Кооператив, нотариальная палата и ТСН — некоммерческие; товарищество на вере и унитарное предприятие — коммерческие.</x:v>
      </x:c>
      <x:c r="Q3069" s="30"/>
      <x:c r="R3069" s="30" t="str">
        <x:v>22112</x:v>
      </x:c>
      <x:c r="S3069" s="30"/>
      <x:c r="T3069" s="30"/>
      <x:c r="U3069" s="30" t="str">
        <x:v>Расхождений с официальным PDF нет.</x:v>
      </x:c>
      <x:c r="V3069" s="87" t="str">
        <x:v>VERIFIED</x:v>
      </x:c>
      <x:c r="W3069" s="87" t="n">
        <x:v>9</x:v>
      </x:c>
      <x:c r="X3069" s="87"/>
      <x:c r="Y3069" s="87"/>
      <x:c r="Z3069" s="87"/>
      <x:c r="AA3069" s="87"/>
      <x:c r="AB3069" s="87"/>
      <x:c r="AC3069" s="87"/>
      <x:c r="AD3069" s="87"/>
      <x:c r="AE3069" s="87"/>
      <x:c r="AF3069" s="87"/>
      <x:c r="AG3069" s="87"/>
      <x:c r="AH3069" s="87"/>
      <x:c r="AI3069" s="30"/>
      <x:c r="AJ3069" s="87" t="str">
        <x:v>master</x:v>
      </x:c>
      <x:c r="AK3069" s="87" t="str">
        <x:v>master-v0.81</x:v>
      </x:c>
      <x:c r="AL3069" s="87" t="str">
        <x:v>statgrad_master_base_v0_81_final(2).xlsx</x:v>
      </x:c>
      <x:c r="AM3069" s="87" t="str">
        <x:v>SOC_Sep_V2</x:v>
      </x:c>
      <x:c r="AN3069" s="87" t="n">
        <x:v>16</x:v>
      </x:c>
    </x:row>
    <x:row r="3070">
      <x:c r="A3070" s="87" t="n">
        <x:v>3069</x:v>
      </x:c>
      <x:c r="B3070" s="87" t="str">
        <x:v>SEP-SOC-V2-016</x:v>
      </x:c>
      <x:c r="C3070" s="87" t="str">
        <x:v>СтатГрад</x:v>
      </x:c>
      <x:c r="D3070" s="87" t="str">
        <x:v>Сентябрь 2025</x:v>
      </x:c>
      <x:c r="E3070" s="87"/>
      <x:c r="F3070" s="87"/>
      <x:c r="G3070" s="87" t="str">
        <x:v>Обществознание</x:v>
      </x:c>
      <x:c r="H3070" s="87" t="n">
        <x:v>11</x:v>
      </x:c>
      <x:c r="I3070" s="87" t="str">
        <x:v>ТР №1</x:v>
      </x:c>
      <x:c r="J3070" s="87" t="str">
        <x:v>ОБ2510102</x:v>
      </x:c>
      <x:c r="K3070" s="87" t="n">
        <x:v>16</x:v>
      </x:c>
      <x:c r="L3070" s="87" t="str">
        <x:v>Дееспособность малолетнего</x:v>
      </x:c>
      <x:c r="M3070" s="30" t="str">
        <x:v>Выберите действия, которые вправе совершать двенадцатилетний гражданин.</x:v>
      </x:c>
      <x:c r="N3070" s="30" t="str">
        <x:v>23</x:v>
      </x:c>
      <x:c r="O3070" s="30" t="str">
        <x:v>Он может распоряжаться предоставленными средствами и должен быть заслушан судом при решении вопроса о месте жительства.</x:v>
      </x:c>
      <x:c r="P3070" s="30" t="str">
        <x:v>Он может распоряжаться предоставленными средствами и должен быть заслушан судом при решении вопроса о месте жительства.</x:v>
      </x:c>
      <x:c r="Q3070" s="30"/>
      <x:c r="R3070" s="30" t="str">
        <x:v>23</x:v>
      </x:c>
      <x:c r="S3070" s="30"/>
      <x:c r="T3070" s="30"/>
      <x:c r="U3070" s="30" t="str">
        <x:v>Расхождений с официальным PDF нет.</x:v>
      </x:c>
      <x:c r="V3070" s="87" t="str">
        <x:v>VERIFIED</x:v>
      </x:c>
      <x:c r="W3070" s="87" t="n">
        <x:v>9</x:v>
      </x:c>
      <x:c r="X3070" s="87"/>
      <x:c r="Y3070" s="87"/>
      <x:c r="Z3070" s="87"/>
      <x:c r="AA3070" s="87"/>
      <x:c r="AB3070" s="87"/>
      <x:c r="AC3070" s="87"/>
      <x:c r="AD3070" s="87"/>
      <x:c r="AE3070" s="87"/>
      <x:c r="AF3070" s="87"/>
      <x:c r="AG3070" s="87"/>
      <x:c r="AH3070" s="87"/>
      <x:c r="AI3070" s="30"/>
      <x:c r="AJ3070" s="87" t="str">
        <x:v>master</x:v>
      </x:c>
      <x:c r="AK3070" s="87" t="str">
        <x:v>master-v0.81</x:v>
      </x:c>
      <x:c r="AL3070" s="87" t="str">
        <x:v>statgrad_master_base_v0_81_final(2).xlsx</x:v>
      </x:c>
      <x:c r="AM3070" s="87" t="str">
        <x:v>SOC_Sep_V2</x:v>
      </x:c>
      <x:c r="AN3070" s="87" t="n">
        <x:v>17</x:v>
      </x:c>
    </x:row>
    <x:row r="3071">
      <x:c r="A3071" s="87" t="n">
        <x:v>3070</x:v>
      </x:c>
      <x:c r="B3071" s="87" t="str">
        <x:v>SEP-SOC-V2-017</x:v>
      </x:c>
      <x:c r="C3071" s="87" t="str">
        <x:v>СтатГрад</x:v>
      </x:c>
      <x:c r="D3071" s="87" t="str">
        <x:v>Сентябрь 2025</x:v>
      </x:c>
      <x:c r="E3071" s="87"/>
      <x:c r="F3071" s="87"/>
      <x:c r="G3071" s="87" t="str">
        <x:v>Обществознание</x:v>
      </x:c>
      <x:c r="H3071" s="87" t="n">
        <x:v>11</x:v>
      </x:c>
      <x:c r="I3071" s="87" t="str">
        <x:v>ТР №1</x:v>
      </x:c>
      <x:c r="J3071" s="87" t="str">
        <x:v>ОБ2510102</x:v>
      </x:c>
      <x:c r="K3071" s="87" t="n">
        <x:v>17</x:v>
      </x:c>
      <x:c r="L3071" s="87" t="str">
        <x:v>Судебная власть по тексту</x:v>
      </x:c>
      <x:c r="M3071" s="30" t="str">
        <x:v>Ответить о самостоятельности судебной власти, механизме противодействия незаконным действиям исполнительной власти и смысле конституционного регулирования.</x:v>
      </x:c>
      <x:c r="N3071" s="30" t="str">
        <x:v>Самостоятельность проявляется в независимости судей, подчинённых только Конституции и закону. Противостоять незаконным действиям позволяет судебное обжалование действий и бездействия должностных лиц. Конституционное регулирование исключает судебный произвол, закрепляет гарантии правосудия и возможность обжалования, обеспечивает независимость и высокий статус судей.</x:v>
      </x:c>
      <x:c r="O3071" s="30" t="str">
        <x:v>Модель содержит все обязательные элементы официального критерия и не добавляет лишних спорных позиций.</x:v>
      </x:c>
      <x:c r="P3071" s="30" t="str">
        <x:v>Условие и модель повторно проверены по обществоведческим понятиям и шкале официального критерия.</x:v>
      </x:c>
      <x:c r="Q3071" s="30"/>
      <x:c r="R3071" s="30" t="str">
        <x:v>Официальный развёрнутый критерий</x:v>
      </x:c>
      <x:c r="S3071" s="30"/>
      <x:c r="T3071" s="30"/>
      <x:c r="U3071" s="30" t="str">
        <x:v>Расхождений с официальным PDF нет.</x:v>
      </x:c>
      <x:c r="V3071" s="87" t="str">
        <x:v>VERIFIED</x:v>
      </x:c>
      <x:c r="W3071" s="87" t="n">
        <x:v>11</x:v>
      </x:c>
      <x:c r="X3071" s="87"/>
      <x:c r="Y3071" s="87"/>
      <x:c r="Z3071" s="87"/>
      <x:c r="AA3071" s="87"/>
      <x:c r="AB3071" s="87"/>
      <x:c r="AC3071" s="87"/>
      <x:c r="AD3071" s="87"/>
      <x:c r="AE3071" s="87"/>
      <x:c r="AF3071" s="87"/>
      <x:c r="AG3071" s="87"/>
      <x:c r="AH3071" s="87"/>
      <x:c r="AI3071" s="30"/>
      <x:c r="AJ3071" s="87" t="str">
        <x:v>master</x:v>
      </x:c>
      <x:c r="AK3071" s="87" t="str">
        <x:v>master-v0.81</x:v>
      </x:c>
      <x:c r="AL3071" s="87" t="str">
        <x:v>statgrad_master_base_v0_81_final(2).xlsx</x:v>
      </x:c>
      <x:c r="AM3071" s="87" t="str">
        <x:v>SOC_Sep_V2</x:v>
      </x:c>
      <x:c r="AN3071" s="87" t="n">
        <x:v>18</x:v>
      </x:c>
    </x:row>
    <x:row r="3072">
      <x:c r="A3072" s="87" t="n">
        <x:v>3071</x:v>
      </x:c>
      <x:c r="B3072" s="87" t="str">
        <x:v>SEP-SOC-V2-018</x:v>
      </x:c>
      <x:c r="C3072" s="87" t="str">
        <x:v>СтатГрад</x:v>
      </x:c>
      <x:c r="D3072" s="87" t="str">
        <x:v>Сентябрь 2025</x:v>
      </x:c>
      <x:c r="E3072" s="87"/>
      <x:c r="F3072" s="87"/>
      <x:c r="G3072" s="87" t="str">
        <x:v>Обществознание</x:v>
      </x:c>
      <x:c r="H3072" s="87" t="n">
        <x:v>11</x:v>
      </x:c>
      <x:c r="I3072" s="87" t="str">
        <x:v>ТР №1</x:v>
      </x:c>
      <x:c r="J3072" s="87" t="str">
        <x:v>ОБ2510102</x:v>
      </x:c>
      <x:c r="K3072" s="87" t="n">
        <x:v>18</x:v>
      </x:c>
      <x:c r="L3072" s="87" t="str">
        <x:v>Конституция и правосудие</x:v>
      </x:c>
      <x:c r="M3072" s="30" t="str">
        <x:v>Назвать не менее трёх признаков конституции и объяснить различие судебной власти и правосудия.</x:v>
      </x:c>
      <x:c r="N3072" s="30" t="str">
        <x:v>Конституция обладает высшей юридической силой, закрепляет основы строя и полномочия высших органов, регулирует важнейшие отношения и имеет особый порядок принятия и изменения. Судебная власть охватывает организацию судебной системы и принципы деятельности судов, а правосудие — содержание законной судебной деятельности.</x:v>
      </x:c>
      <x:c r="O3072" s="30" t="str">
        <x:v>Модель содержит все обязательные элементы официального критерия и не добавляет лишних спорных позиций.</x:v>
      </x:c>
      <x:c r="P3072" s="30" t="str">
        <x:v>Условие и модель повторно проверены по обществоведческим понятиям и шкале официального критерия.</x:v>
      </x:c>
      <x:c r="Q3072" s="30"/>
      <x:c r="R3072" s="30" t="str">
        <x:v>Официальный развёрнутый критерий</x:v>
      </x:c>
      <x:c r="S3072" s="30"/>
      <x:c r="T3072" s="30"/>
      <x:c r="U3072" s="30" t="str">
        <x:v>Расхождений с официальным PDF нет.</x:v>
      </x:c>
      <x:c r="V3072" s="87" t="str">
        <x:v>VERIFIED</x:v>
      </x:c>
      <x:c r="W3072" s="87" t="n">
        <x:v>11</x:v>
      </x:c>
      <x:c r="X3072" s="87"/>
      <x:c r="Y3072" s="87"/>
      <x:c r="Z3072" s="87"/>
      <x:c r="AA3072" s="87"/>
      <x:c r="AB3072" s="87"/>
      <x:c r="AC3072" s="87"/>
      <x:c r="AD3072" s="87"/>
      <x:c r="AE3072" s="87"/>
      <x:c r="AF3072" s="87"/>
      <x:c r="AG3072" s="87"/>
      <x:c r="AH3072" s="87"/>
      <x:c r="AI3072" s="30"/>
      <x:c r="AJ3072" s="87" t="str">
        <x:v>master</x:v>
      </x:c>
      <x:c r="AK3072" s="87" t="str">
        <x:v>master-v0.81</x:v>
      </x:c>
      <x:c r="AL3072" s="87" t="str">
        <x:v>statgrad_master_base_v0_81_final(2).xlsx</x:v>
      </x:c>
      <x:c r="AM3072" s="87" t="str">
        <x:v>SOC_Sep_V2</x:v>
      </x:c>
      <x:c r="AN3072" s="87" t="n">
        <x:v>19</x:v>
      </x:c>
    </x:row>
    <x:row r="3073">
      <x:c r="A3073" s="87" t="n">
        <x:v>3072</x:v>
      </x:c>
      <x:c r="B3073" s="87" t="str">
        <x:v>SEP-SOC-V2-019</x:v>
      </x:c>
      <x:c r="C3073" s="87" t="str">
        <x:v>СтатГрад</x:v>
      </x:c>
      <x:c r="D3073" s="87" t="str">
        <x:v>Сентябрь 2025</x:v>
      </x:c>
      <x:c r="E3073" s="87"/>
      <x:c r="F3073" s="87"/>
      <x:c r="G3073" s="87" t="str">
        <x:v>Обществознание</x:v>
      </x:c>
      <x:c r="H3073" s="87" t="n">
        <x:v>11</x:v>
      </x:c>
      <x:c r="I3073" s="87" t="str">
        <x:v>ТР №1</x:v>
      </x:c>
      <x:c r="J3073" s="87" t="str">
        <x:v>ОБ2510102</x:v>
      </x:c>
      <x:c r="K3073" s="87" t="n">
        <x:v>19</x:v>
      </x:c>
      <x:c r="L3073" s="87" t="str">
        <x:v>Органы власти и правосудие</x:v>
      </x:c>
      <x:c r="M3073" s="30" t="str">
        <x:v>Привести три развёрнутых примера полномочий органов государственной власти, связанных с правосудием или судами.</x:v>
      </x:c>
      <x:c r="N3073" s="30" t="str">
        <x:v>1) Президент подписал указ о помиловании осуждённого — Президент РФ. 2) Государственная Дума приняла постановление об амнистии — Государственная Дума. 3) Совет Федерации назначил Председателя Верховного Суда — Совет Федерации.</x:v>
      </x:c>
      <x:c r="O3073" s="30" t="str">
        <x:v>Модель содержит все обязательные элементы официального критерия и не добавляет лишних спорных позиций.</x:v>
      </x:c>
      <x:c r="P3073" s="30" t="str">
        <x:v>Условие и модель повторно проверены по обществоведческим понятиям и шкале официального критерия.</x:v>
      </x:c>
      <x:c r="Q3073" s="30"/>
      <x:c r="R3073" s="30" t="str">
        <x:v>Официальный развёрнутый критерий</x:v>
      </x:c>
      <x:c r="S3073" s="30"/>
      <x:c r="T3073" s="30"/>
      <x:c r="U3073" s="30" t="str">
        <x:v>Расхождений с официальным PDF нет.</x:v>
      </x:c>
      <x:c r="V3073" s="87" t="str">
        <x:v>VERIFIED</x:v>
      </x:c>
      <x:c r="W3073" s="87" t="n">
        <x:v>11</x:v>
      </x:c>
      <x:c r="X3073" s="87"/>
      <x:c r="Y3073" s="87"/>
      <x:c r="Z3073" s="87"/>
      <x:c r="AA3073" s="87"/>
      <x:c r="AB3073" s="87"/>
      <x:c r="AC3073" s="87"/>
      <x:c r="AD3073" s="87"/>
      <x:c r="AE3073" s="87"/>
      <x:c r="AF3073" s="87"/>
      <x:c r="AG3073" s="87"/>
      <x:c r="AH3073" s="87"/>
      <x:c r="AI3073" s="30"/>
      <x:c r="AJ3073" s="87" t="str">
        <x:v>master</x:v>
      </x:c>
      <x:c r="AK3073" s="87" t="str">
        <x:v>master-v0.81</x:v>
      </x:c>
      <x:c r="AL3073" s="87" t="str">
        <x:v>statgrad_master_base_v0_81_final(2).xlsx</x:v>
      </x:c>
      <x:c r="AM3073" s="87" t="str">
        <x:v>SOC_Sep_V2</x:v>
      </x:c>
      <x:c r="AN3073" s="87" t="n">
        <x:v>20</x:v>
      </x:c>
    </x:row>
    <x:row r="3074">
      <x:c r="A3074" s="87" t="n">
        <x:v>3073</x:v>
      </x:c>
      <x:c r="B3074" s="87" t="str">
        <x:v>SEP-SOC-V2-020</x:v>
      </x:c>
      <x:c r="C3074" s="87" t="str">
        <x:v>СтатГрад</x:v>
      </x:c>
      <x:c r="D3074" s="87" t="str">
        <x:v>Сентябрь 2025</x:v>
      </x:c>
      <x:c r="E3074" s="87"/>
      <x:c r="F3074" s="87"/>
      <x:c r="G3074" s="87" t="str">
        <x:v>Обществознание</x:v>
      </x:c>
      <x:c r="H3074" s="87" t="n">
        <x:v>11</x:v>
      </x:c>
      <x:c r="I3074" s="87" t="str">
        <x:v>ТР №1</x:v>
      </x:c>
      <x:c r="J3074" s="87" t="str">
        <x:v>ОБ2510102</x:v>
      </x:c>
      <x:c r="K3074" s="87" t="n">
        <x:v>20</x:v>
      </x:c>
      <x:c r="L3074" s="87" t="str">
        <x:v>Разделение властей</x:v>
      </x:c>
      <x:c r="M3074" s="30" t="str">
        <x:v>Привести три аргумента о значении разделения властей в демократическом государстве.</x:v>
      </x:c>
      <x:c r="N3074" s="30" t="str">
        <x:v>1) Разделение властей предотвращает концентрацию полномочий и угрозу узурпации. 2) Самостоятельность законодательной, исполнительной и судебной ветвей поддерживает демократический порядок. 3) Система сдержек и противовесов обеспечивает взаимный контроль, предотвращает злоупотребления и помогает защищать права граждан.</x:v>
      </x:c>
      <x:c r="O3074" s="30" t="str">
        <x:v>Модель содержит все обязательные элементы официального критерия и не добавляет лишних спорных позиций.</x:v>
      </x:c>
      <x:c r="P3074" s="30" t="str">
        <x:v>Условие и модель повторно проверены по обществоведческим понятиям и шкале официального критерия.</x:v>
      </x:c>
      <x:c r="Q3074" s="30"/>
      <x:c r="R3074" s="30" t="str">
        <x:v>Официальный развёрнутый критерий</x:v>
      </x:c>
      <x:c r="S3074" s="30"/>
      <x:c r="T3074" s="30"/>
      <x:c r="U3074" s="30" t="str">
        <x:v>Расхождений с официальным PDF нет.</x:v>
      </x:c>
      <x:c r="V3074" s="87" t="str">
        <x:v>VERIFIED</x:v>
      </x:c>
      <x:c r="W3074" s="87" t="n">
        <x:v>11</x:v>
      </x:c>
      <x:c r="X3074" s="87"/>
      <x:c r="Y3074" s="87"/>
      <x:c r="Z3074" s="87"/>
      <x:c r="AA3074" s="87"/>
      <x:c r="AB3074" s="87"/>
      <x:c r="AC3074" s="87"/>
      <x:c r="AD3074" s="87"/>
      <x:c r="AE3074" s="87"/>
      <x:c r="AF3074" s="87"/>
      <x:c r="AG3074" s="87"/>
      <x:c r="AH3074" s="87"/>
      <x:c r="AI3074" s="30"/>
      <x:c r="AJ3074" s="87" t="str">
        <x:v>master</x:v>
      </x:c>
      <x:c r="AK3074" s="87" t="str">
        <x:v>master-v0.81</x:v>
      </x:c>
      <x:c r="AL3074" s="87" t="str">
        <x:v>statgrad_master_base_v0_81_final(2).xlsx</x:v>
      </x:c>
      <x:c r="AM3074" s="87" t="str">
        <x:v>SOC_Sep_V2</x:v>
      </x:c>
      <x:c r="AN3074" s="87" t="n">
        <x:v>21</x:v>
      </x:c>
    </x:row>
    <x:row r="3075">
      <x:c r="A3075" s="87" t="n">
        <x:v>3074</x:v>
      </x:c>
      <x:c r="B3075" s="87" t="str">
        <x:v>SEP-SOC-V2-021</x:v>
      </x:c>
      <x:c r="C3075" s="87" t="str">
        <x:v>СтатГрад</x:v>
      </x:c>
      <x:c r="D3075" s="87" t="str">
        <x:v>Сентябрь 2025</x:v>
      </x:c>
      <x:c r="E3075" s="87"/>
      <x:c r="F3075" s="87"/>
      <x:c r="G3075" s="87" t="str">
        <x:v>Обществознание</x:v>
      </x:c>
      <x:c r="H3075" s="87" t="n">
        <x:v>11</x:v>
      </x:c>
      <x:c r="I3075" s="87" t="str">
        <x:v>ТР №1</x:v>
      </x:c>
      <x:c r="J3075" s="87" t="str">
        <x:v>ОБ2510102</x:v>
      </x:c>
      <x:c r="K3075" s="87" t="n">
        <x:v>21</x:v>
      </x:c>
      <x:c r="L3075" s="87" t="str">
        <x:v>Рынок картофеля</x:v>
      </x:c>
      <x:c r="M3075" s="30" t="str">
        <x:v>Определить изменение равновесной цены, объяснить фактор роста предложения и последствия снижения экспортных пошлин.</x:v>
      </x:c>
      <x:c r="N3075" s="30" t="str">
        <x:v>Равновесная цена снизилась. Например, благоприятная погода обеспечила хороший урожай и увеличила предложение картофеля. Снижение экспортных пошлин сделает экспорт выгоднее, сократит предложение на внутреннем рынке и повысит равновесную цену.</x:v>
      </x:c>
      <x:c r="O3075" s="30" t="str">
        <x:v>Модель содержит все обязательные элементы официального критерия и не добавляет лишних спорных позиций.</x:v>
      </x:c>
      <x:c r="P3075" s="30" t="str">
        <x:v>Условие и модель повторно проверены по обществоведческим понятиям и шкале официального критерия.</x:v>
      </x:c>
      <x:c r="Q3075" s="30"/>
      <x:c r="R3075" s="30" t="str">
        <x:v>Официальный развёрнутый критерий</x:v>
      </x:c>
      <x:c r="S3075" s="30"/>
      <x:c r="T3075" s="30"/>
      <x:c r="U3075" s="30" t="str">
        <x:v>Расхождений с официальным PDF нет.</x:v>
      </x:c>
      <x:c r="V3075" s="87" t="str">
        <x:v>VERIFIED</x:v>
      </x:c>
      <x:c r="W3075" s="87" t="n">
        <x:v>12</x:v>
      </x:c>
      <x:c r="X3075" s="87"/>
      <x:c r="Y3075" s="87"/>
      <x:c r="Z3075" s="87"/>
      <x:c r="AA3075" s="87"/>
      <x:c r="AB3075" s="87"/>
      <x:c r="AC3075" s="87" t="str">
        <x:v>VIS-SOC-SEP-004</x:v>
      </x:c>
      <x:c r="AD3075" s="87"/>
      <x:c r="AE3075" s="87" t="str">
        <x:v>График спроса и предложения</x:v>
      </x:c>
      <x:c r="AF3075" s="87" t="str">
        <x:v>VIS-SOC-SEP-004: 25</x:v>
      </x:c>
      <x:c r="AG3075" s="87" t="str">
        <x:v>RESOLVED</x:v>
      </x:c>
      <x:c r="AH3075" s="87" t="str">
        <x:v>ORIGINAL_ASSET_HASH_VERIFIED</x:v>
      </x:c>
      <x:c r="AI3075" s="30"/>
      <x:c r="AJ3075" s="87" t="str">
        <x:v>master</x:v>
      </x:c>
      <x:c r="AK3075" s="87" t="str">
        <x:v>master-v0.81</x:v>
      </x:c>
      <x:c r="AL3075" s="87" t="str">
        <x:v>statgrad_master_base_v0_81_final(2).xlsx</x:v>
      </x:c>
      <x:c r="AM3075" s="87" t="str">
        <x:v>SOC_Sep_V2</x:v>
      </x:c>
      <x:c r="AN3075" s="87" t="n">
        <x:v>22</x:v>
      </x:c>
    </x:row>
    <x:row r="3076">
      <x:c r="A3076" s="87" t="n">
        <x:v>3075</x:v>
      </x:c>
      <x:c r="B3076" s="87" t="str">
        <x:v>SEP-SOC-V2-022</x:v>
      </x:c>
      <x:c r="C3076" s="87" t="str">
        <x:v>СтатГрад</x:v>
      </x:c>
      <x:c r="D3076" s="87" t="str">
        <x:v>Сентябрь 2025</x:v>
      </x:c>
      <x:c r="E3076" s="87"/>
      <x:c r="F3076" s="87"/>
      <x:c r="G3076" s="87" t="str">
        <x:v>Обществознание</x:v>
      </x:c>
      <x:c r="H3076" s="87" t="n">
        <x:v>11</x:v>
      </x:c>
      <x:c r="I3076" s="87" t="str">
        <x:v>ТР №1</x:v>
      </x:c>
      <x:c r="J3076" s="87" t="str">
        <x:v>ОБ2510102</x:v>
      </x:c>
      <x:c r="K3076" s="87" t="n">
        <x:v>22</x:v>
      </x:c>
      <x:c r="L3076" s="87" t="str">
        <x:v>Наука и методы познания</x:v>
      </x:c>
      <x:c r="M3076" s="30" t="str">
        <x:v>Определить группу наук, функцию проекта, группу методов и назвать два других метода.</x:v>
      </x:c>
      <x:c r="N3076" s="30" t="str">
        <x:v>Биофизика относится к естественным наукам; проект реализует прогностическую функцию; эксперимент — эмпирический метод. К эмпирическим методам также относятся наблюдение и измерение (допустимо описание).</x:v>
      </x:c>
      <x:c r="O3076" s="30" t="str">
        <x:v>Модель содержит все обязательные элементы официального критерия и не добавляет лишних спорных позиций.</x:v>
      </x:c>
      <x:c r="P3076" s="30" t="str">
        <x:v>Условие и модель повторно проверены по обществоведческим понятиям и шкале официального критерия.</x:v>
      </x:c>
      <x:c r="Q3076" s="30"/>
      <x:c r="R3076" s="30" t="str">
        <x:v>Официальный развёрнутый критерий</x:v>
      </x:c>
      <x:c r="S3076" s="30"/>
      <x:c r="T3076" s="30"/>
      <x:c r="U3076" s="30" t="str">
        <x:v>Расхождений с официальным PDF нет.</x:v>
      </x:c>
      <x:c r="V3076" s="87" t="str">
        <x:v>VERIFIED</x:v>
      </x:c>
      <x:c r="W3076" s="87" t="n">
        <x:v>12</x:v>
      </x:c>
      <x:c r="X3076" s="87"/>
      <x:c r="Y3076" s="87"/>
      <x:c r="Z3076" s="87"/>
      <x:c r="AA3076" s="87"/>
      <x:c r="AB3076" s="87"/>
      <x:c r="AC3076" s="87"/>
      <x:c r="AD3076" s="87"/>
      <x:c r="AE3076" s="87"/>
      <x:c r="AF3076" s="87"/>
      <x:c r="AG3076" s="87"/>
      <x:c r="AH3076" s="87"/>
      <x:c r="AI3076" s="30"/>
      <x:c r="AJ3076" s="87" t="str">
        <x:v>master</x:v>
      </x:c>
      <x:c r="AK3076" s="87" t="str">
        <x:v>master-v0.81</x:v>
      </x:c>
      <x:c r="AL3076" s="87" t="str">
        <x:v>statgrad_master_base_v0_81_final(2).xlsx</x:v>
      </x:c>
      <x:c r="AM3076" s="87" t="str">
        <x:v>SOC_Sep_V2</x:v>
      </x:c>
      <x:c r="AN3076" s="87" t="n">
        <x:v>23</x:v>
      </x:c>
    </x:row>
    <x:row r="3077">
      <x:c r="A3077" s="87" t="n">
        <x:v>3076</x:v>
      </x:c>
      <x:c r="B3077" s="87" t="str">
        <x:v>SEP-SOC-V2-023</x:v>
      </x:c>
      <x:c r="C3077" s="87" t="str">
        <x:v>СтатГрад</x:v>
      </x:c>
      <x:c r="D3077" s="87" t="str">
        <x:v>Сентябрь 2025</x:v>
      </x:c>
      <x:c r="E3077" s="87"/>
      <x:c r="F3077" s="87"/>
      <x:c r="G3077" s="87" t="str">
        <x:v>Обществознание</x:v>
      </x:c>
      <x:c r="H3077" s="87" t="n">
        <x:v>11</x:v>
      </x:c>
      <x:c r="I3077" s="87" t="str">
        <x:v>ТР №1</x:v>
      </x:c>
      <x:c r="J3077" s="87" t="str">
        <x:v>ОБ2510102</x:v>
      </x:c>
      <x:c r="K3077" s="87" t="n">
        <x:v>23</x:v>
      </x:c>
      <x:c r="L3077" s="87" t="str">
        <x:v>Достоинство и частная жизнь</x:v>
      </x:c>
      <x:c r="M3077" s="30" t="str">
        <x:v>Привести три конституционных подтверждения защиты достоинства и неприкосновенности частной жизни.</x:v>
      </x:c>
      <x:c r="N3077" s="30" t="str">
        <x:v>Достоинство личности охраняется государством и не может быть умалено. Каждый имеет право на личную и семейную тайну, защиту чести и доброго имени. Тайна переписки и переговоров охраняется, а ограничение допускается только по судебному решению; сбор сведений о частной жизни без согласия запрещён.</x:v>
      </x:c>
      <x:c r="O3077" s="30" t="str">
        <x:v>Модель содержит все обязательные элементы официального критерия и не добавляет лишних спорных позиций.</x:v>
      </x:c>
      <x:c r="P3077" s="30" t="str">
        <x:v>Условие и модель повторно проверены по обществоведческим понятиям и шкале официального критерия.</x:v>
      </x:c>
      <x:c r="Q3077" s="30"/>
      <x:c r="R3077" s="30" t="str">
        <x:v>Официальный развёрнутый критерий</x:v>
      </x:c>
      <x:c r="S3077" s="30"/>
      <x:c r="T3077" s="30"/>
      <x:c r="U3077" s="30" t="str">
        <x:v>Расхождений с официальным PDF нет.</x:v>
      </x:c>
      <x:c r="V3077" s="87" t="str">
        <x:v>VERIFIED</x:v>
      </x:c>
      <x:c r="W3077" s="87" t="n">
        <x:v>13</x:v>
      </x:c>
      <x:c r="X3077" s="87"/>
      <x:c r="Y3077" s="87"/>
      <x:c r="Z3077" s="87"/>
      <x:c r="AA3077" s="87"/>
      <x:c r="AB3077" s="87"/>
      <x:c r="AC3077" s="87"/>
      <x:c r="AD3077" s="87"/>
      <x:c r="AE3077" s="87"/>
      <x:c r="AF3077" s="87"/>
      <x:c r="AG3077" s="87"/>
      <x:c r="AH3077" s="87"/>
      <x:c r="AI3077" s="30"/>
      <x:c r="AJ3077" s="87" t="str">
        <x:v>master</x:v>
      </x:c>
      <x:c r="AK3077" s="87" t="str">
        <x:v>master-v0.81</x:v>
      </x:c>
      <x:c r="AL3077" s="87" t="str">
        <x:v>statgrad_master_base_v0_81_final(2).xlsx</x:v>
      </x:c>
      <x:c r="AM3077" s="87" t="str">
        <x:v>SOC_Sep_V2</x:v>
      </x:c>
      <x:c r="AN3077" s="87" t="n">
        <x:v>24</x:v>
      </x:c>
    </x:row>
    <x:row r="3078">
      <x:c r="A3078" s="87" t="n">
        <x:v>3077</x:v>
      </x:c>
      <x:c r="B3078" s="87" t="str">
        <x:v>SEP-SOC-V2-024</x:v>
      </x:c>
      <x:c r="C3078" s="87" t="str">
        <x:v>СтатГрад</x:v>
      </x:c>
      <x:c r="D3078" s="87" t="str">
        <x:v>Сентябрь 2025</x:v>
      </x:c>
      <x:c r="E3078" s="87"/>
      <x:c r="F3078" s="87"/>
      <x:c r="G3078" s="87" t="str">
        <x:v>Обществознание</x:v>
      </x:c>
      <x:c r="H3078" s="87" t="n">
        <x:v>11</x:v>
      </x:c>
      <x:c r="I3078" s="87" t="str">
        <x:v>ТР №1</x:v>
      </x:c>
      <x:c r="J3078" s="87" t="str">
        <x:v>ОБ2510102</x:v>
      </x:c>
      <x:c r="K3078" s="87" t="n">
        <x:v>24</x:v>
      </x:c>
      <x:c r="L3078" s="87" t="str">
        <x:v>Правонарушения и ответственность</x:v>
      </x:c>
      <x:c r="M3078" s="30" t="str">
        <x:v>Составить сложный план по теме «Правонарушения и юридическая ответственность».</x:v>
      </x:c>
      <x:c r="N3078" s="30" t="str">
        <x:v>1. Понятие правонарушения. 2. Признаки: а) противоправность; б) виновность; в) общественная опасность или вредность; г) наказуемость. 3. Состав: а) объект; б) субъект; в) объективная сторона; г) субъективная сторона. 4. Виды правонарушений: а) преступления; б) административные; в) гражданские; г) дисциплинарные проступки. 5. Юридическая ответственность: а) понятие; б) принципы; в) функции. 6. Виды ответственности: а) уголовная; б) административная; в) гражданско-правовая; г) дисциплинарная.</x:v>
      </x:c>
      <x:c r="O3078" s="30" t="str">
        <x:v>Модель содержит все обязательные элементы официального критерия и не добавляет лишних спорных позиций.</x:v>
      </x:c>
      <x:c r="P3078" s="30" t="str">
        <x:v>Условие и модель повторно проверены по обществоведческим понятиям и шкале официального критерия.</x:v>
      </x:c>
      <x:c r="Q3078" s="30"/>
      <x:c r="R3078" s="30" t="str">
        <x:v>Официальный развёрнутый критерий</x:v>
      </x:c>
      <x:c r="S3078" s="30"/>
      <x:c r="T3078" s="30"/>
      <x:c r="U3078" s="30" t="str">
        <x:v>Расхождений с официальным PDF нет.</x:v>
      </x:c>
      <x:c r="V3078" s="87" t="str">
        <x:v>VERIFIED</x:v>
      </x:c>
      <x:c r="W3078" s="87" t="n">
        <x:v>13</x:v>
      </x:c>
      <x:c r="X3078" s="87"/>
      <x:c r="Y3078" s="87"/>
      <x:c r="Z3078" s="87"/>
      <x:c r="AA3078" s="87"/>
      <x:c r="AB3078" s="87"/>
      <x:c r="AC3078" s="87"/>
      <x:c r="AD3078" s="87"/>
      <x:c r="AE3078" s="87"/>
      <x:c r="AF3078" s="87"/>
      <x:c r="AG3078" s="87"/>
      <x:c r="AH3078" s="87"/>
      <x:c r="AI3078" s="30"/>
      <x:c r="AJ3078" s="87" t="str">
        <x:v>master</x:v>
      </x:c>
      <x:c r="AK3078" s="87" t="str">
        <x:v>master-v0.81</x:v>
      </x:c>
      <x:c r="AL3078" s="87" t="str">
        <x:v>statgrad_master_base_v0_81_final(2).xlsx</x:v>
      </x:c>
      <x:c r="AM3078" s="87" t="str">
        <x:v>SOC_Sep_V2</x:v>
      </x:c>
      <x:c r="AN3078" s="87" t="n">
        <x:v>25</x:v>
      </x:c>
    </x:row>
    <x:row r="3079">
      <x:c r="A3079" s="87" t="n">
        <x:v>3078</x:v>
      </x:c>
      <x:c r="B3079" s="87" t="str">
        <x:v>SEP-SOC-V2-025</x:v>
      </x:c>
      <x:c r="C3079" s="87" t="str">
        <x:v>СтатГрад</x:v>
      </x:c>
      <x:c r="D3079" s="87" t="str">
        <x:v>Сентябрь 2025</x:v>
      </x:c>
      <x:c r="E3079" s="87"/>
      <x:c r="F3079" s="87"/>
      <x:c r="G3079" s="87" t="str">
        <x:v>Обществознание</x:v>
      </x:c>
      <x:c r="H3079" s="87" t="n">
        <x:v>11</x:v>
      </x:c>
      <x:c r="I3079" s="87" t="str">
        <x:v>ТР №1</x:v>
      </x:c>
      <x:c r="J3079" s="87" t="str">
        <x:v>ОБ2510102</x:v>
      </x:c>
      <x:c r="K3079" s="87" t="n">
        <x:v>25</x:v>
      </x:c>
      <x:c r="L3079" s="87" t="str">
        <x:v>Ответственность несовершеннолетних</x:v>
      </x:c>
      <x:c r="M3079" s="30" t="str">
        <x:v>Обосновать более мягкий подход к несовершеннолетним, назвать три вида ответственности и привести по примеру.</x:v>
      </x:c>
      <x:c r="N3079" s="30" t="str">
        <x:v>Несовершеннолетние ещё не обладают полной социальной и психологической зрелостью, сильнее подвержены влиянию среды и имеют высокий потенциал исправления, поэтому ответственность должна сочетать защиту общества с воспитанием и ресоциализацией. Виды: уголовная, административная, гражданско-правовая. Примеры: суд назначил семнадцатилетнему обязательные работы за кражу; шестнадцатилетний был оштрафован за административное правонарушение; суд обязал семнадцатилетнего возместить стоимость повреждённого имущества.</x:v>
      </x:c>
      <x:c r="O3079" s="30" t="str">
        <x:v>Модель содержит все обязательные элементы официального критерия и не добавляет лишних спорных позиций.</x:v>
      </x:c>
      <x:c r="P3079" s="30" t="str">
        <x:v>Условие и модель повторно проверены по обществоведческим понятиям и шкале официального критерия.</x:v>
      </x:c>
      <x:c r="Q3079" s="30"/>
      <x:c r="R3079" s="30" t="str">
        <x:v>Официальный развёрнутый критерий</x:v>
      </x:c>
      <x:c r="S3079" s="30"/>
      <x:c r="T3079" s="30"/>
      <x:c r="U3079" s="30" t="str">
        <x:v>Расхождений с официальным PDF нет.</x:v>
      </x:c>
      <x:c r="V3079" s="87" t="str">
        <x:v>VERIFIED</x:v>
      </x:c>
      <x:c r="W3079" s="87" t="n">
        <x:v>13</x:v>
      </x:c>
      <x:c r="X3079" s="87"/>
      <x:c r="Y3079" s="87"/>
      <x:c r="Z3079" s="87"/>
      <x:c r="AA3079" s="87"/>
      <x:c r="AB3079" s="87"/>
      <x:c r="AC3079" s="87"/>
      <x:c r="AD3079" s="87"/>
      <x:c r="AE3079" s="87"/>
      <x:c r="AF3079" s="87"/>
      <x:c r="AG3079" s="87"/>
      <x:c r="AH3079" s="87"/>
      <x:c r="AI3079" s="30"/>
      <x:c r="AJ3079" s="87" t="str">
        <x:v>master</x:v>
      </x:c>
      <x:c r="AK3079" s="87" t="str">
        <x:v>master-v0.81</x:v>
      </x:c>
      <x:c r="AL3079" s="87" t="str">
        <x:v>statgrad_master_base_v0_81_final(2).xlsx</x:v>
      </x:c>
      <x:c r="AM3079" s="87" t="str">
        <x:v>SOC_Sep_V2</x:v>
      </x:c>
      <x:c r="AN3079" s="87" t="n">
        <x:v>26</x:v>
      </x:c>
    </x:row>
    <x:row r="3080">
      <x:c r="A3080" s="87" t="n">
        <x:v>3079</x:v>
      </x:c>
      <x:c r="B3080" s="87" t="str">
        <x:v>SEP-SOC-V3-001</x:v>
      </x:c>
      <x:c r="C3080" s="87" t="str">
        <x:v>СтатГрад</x:v>
      </x:c>
      <x:c r="D3080" s="87" t="str">
        <x:v>Сентябрь 2025</x:v>
      </x:c>
      <x:c r="E3080" s="87"/>
      <x:c r="F3080" s="87"/>
      <x:c r="G3080" s="87" t="str">
        <x:v>Обществознание</x:v>
      </x:c>
      <x:c r="H3080" s="87" t="n">
        <x:v>11</x:v>
      </x:c>
      <x:c r="I3080" s="87" t="str">
        <x:v>ТР №1</x:v>
      </x:c>
      <x:c r="J3080" s="87" t="str">
        <x:v>ОБ2510103</x:v>
      </x:c>
      <x:c r="K3080" s="87" t="n">
        <x:v>1</x:v>
      </x:c>
      <x:c r="L3080" s="87" t="str">
        <x:v>Признаки денег</x:v>
      </x:c>
      <x:c r="M3080" s="30" t="str">
        <x:v>Выберите два понятия, не относящиеся к признакам денег: делимость, ценность, узнаваемость, официальность, обращаемость, ликвидность.</x:v>
      </x:c>
      <x:c r="N3080" s="30" t="str">
        <x:v>45</x:v>
      </x:c>
      <x:c r="O3080" s="30" t="str">
        <x:v>Официальность и обращаемость не относятся к стандартному перечню признаков денег; деньги характеризуются делимостью, ценностью, узнаваемостью и ликвидностью.</x:v>
      </x:c>
      <x:c r="P3080" s="30" t="str">
        <x:v>Официальность и обращаемость не относятся к стандартному перечню признаков денег; деньги характеризуются делимостью, ценностью, узнаваемостью и ликвидностью.</x:v>
      </x:c>
      <x:c r="Q3080" s="30"/>
      <x:c r="R3080" s="30" t="str">
        <x:v>45</x:v>
      </x:c>
      <x:c r="S3080" s="30"/>
      <x:c r="T3080" s="30"/>
      <x:c r="U3080" s="30" t="str">
        <x:v>Расхождений с официальным PDF нет.</x:v>
      </x:c>
      <x:c r="V3080" s="87" t="str">
        <x:v>VERIFIED</x:v>
      </x:c>
      <x:c r="W3080" s="87" t="n">
        <x:v>2</x:v>
      </x:c>
      <x:c r="X3080" s="87"/>
      <x:c r="Y3080" s="87"/>
      <x:c r="Z3080" s="87"/>
      <x:c r="AA3080" s="87"/>
      <x:c r="AB3080" s="87"/>
      <x:c r="AC3080" s="87"/>
      <x:c r="AD3080" s="87"/>
      <x:c r="AE3080" s="87"/>
      <x:c r="AF3080" s="87"/>
      <x:c r="AG3080" s="87"/>
      <x:c r="AH3080" s="87"/>
      <x:c r="AI3080" s="30"/>
      <x:c r="AJ3080" s="87" t="str">
        <x:v>master</x:v>
      </x:c>
      <x:c r="AK3080" s="87" t="str">
        <x:v>master-v0.81</x:v>
      </x:c>
      <x:c r="AL3080" s="87" t="str">
        <x:v>statgrad_master_base_v0_81_final(2).xlsx</x:v>
      </x:c>
      <x:c r="AM3080" s="87" t="str">
        <x:v>SOC_Sep_V3</x:v>
      </x:c>
      <x:c r="AN3080" s="87" t="n">
        <x:v>2</x:v>
      </x:c>
    </x:row>
    <x:row r="3081">
      <x:c r="A3081" s="87" t="n">
        <x:v>3080</x:v>
      </x:c>
      <x:c r="B3081" s="87" t="str">
        <x:v>SEP-SOC-V3-002</x:v>
      </x:c>
      <x:c r="C3081" s="87" t="str">
        <x:v>СтатГрад</x:v>
      </x:c>
      <x:c r="D3081" s="87" t="str">
        <x:v>Сентябрь 2025</x:v>
      </x:c>
      <x:c r="E3081" s="87"/>
      <x:c r="F3081" s="87"/>
      <x:c r="G3081" s="87" t="str">
        <x:v>Обществознание</x:v>
      </x:c>
      <x:c r="H3081" s="87" t="n">
        <x:v>11</x:v>
      </x:c>
      <x:c r="I3081" s="87" t="str">
        <x:v>ТР №1</x:v>
      </x:c>
      <x:c r="J3081" s="87" t="str">
        <x:v>ОБ2510103</x:v>
      </x:c>
      <x:c r="K3081" s="87" t="n">
        <x:v>2</x:v>
      </x:c>
      <x:c r="L3081" s="87" t="str">
        <x:v>Образование</x:v>
      </x:c>
      <x:c r="M3081" s="30" t="str">
        <x:v>Выберите верные суждения об образовании, самообразовании и обязательности основного общего образования.</x:v>
      </x:c>
      <x:c r="N3081" s="30" t="str">
        <x:v>135</x:v>
      </x:c>
      <x:c r="O3081" s="30" t="str">
        <x:v>Верны 1, 3 и 5; профессиональная подготовка не является социальной функцией, а внимание к личности отражает гуманизацию.</x:v>
      </x:c>
      <x:c r="P3081" s="30" t="str">
        <x:v>Верны 1, 3 и 5; профессиональная подготовка не является социальной функцией, а внимание к личности отражает гуманизацию.</x:v>
      </x:c>
      <x:c r="Q3081" s="30"/>
      <x:c r="R3081" s="30" t="str">
        <x:v>135</x:v>
      </x:c>
      <x:c r="S3081" s="30"/>
      <x:c r="T3081" s="30"/>
      <x:c r="U3081" s="30" t="str">
        <x:v>Расхождений с официальным PDF нет.</x:v>
      </x:c>
      <x:c r="V3081" s="87" t="str">
        <x:v>VERIFIED</x:v>
      </x:c>
      <x:c r="W3081" s="87" t="n">
        <x:v>2</x:v>
      </x:c>
      <x:c r="X3081" s="87"/>
      <x:c r="Y3081" s="87"/>
      <x:c r="Z3081" s="87"/>
      <x:c r="AA3081" s="87"/>
      <x:c r="AB3081" s="87"/>
      <x:c r="AC3081" s="87"/>
      <x:c r="AD3081" s="87"/>
      <x:c r="AE3081" s="87"/>
      <x:c r="AF3081" s="87"/>
      <x:c r="AG3081" s="87"/>
      <x:c r="AH3081" s="87"/>
      <x:c r="AI3081" s="30"/>
      <x:c r="AJ3081" s="87" t="str">
        <x:v>master</x:v>
      </x:c>
      <x:c r="AK3081" s="87" t="str">
        <x:v>master-v0.81</x:v>
      </x:c>
      <x:c r="AL3081" s="87" t="str">
        <x:v>statgrad_master_base_v0_81_final(2).xlsx</x:v>
      </x:c>
      <x:c r="AM3081" s="87" t="str">
        <x:v>SOC_Sep_V3</x:v>
      </x:c>
      <x:c r="AN3081" s="87" t="n">
        <x:v>3</x:v>
      </x:c>
    </x:row>
    <x:row r="3082">
      <x:c r="A3082" s="87" t="n">
        <x:v>3081</x:v>
      </x:c>
      <x:c r="B3082" s="87" t="str">
        <x:v>SEP-SOC-V3-003</x:v>
      </x:c>
      <x:c r="C3082" s="87" t="str">
        <x:v>СтатГрад</x:v>
      </x:c>
      <x:c r="D3082" s="87" t="str">
        <x:v>Сентябрь 2025</x:v>
      </x:c>
      <x:c r="E3082" s="87"/>
      <x:c r="F3082" s="87"/>
      <x:c r="G3082" s="87" t="str">
        <x:v>Обществознание</x:v>
      </x:c>
      <x:c r="H3082" s="87" t="n">
        <x:v>11</x:v>
      </x:c>
      <x:c r="I3082" s="87" t="str">
        <x:v>ТР №1</x:v>
      </x:c>
      <x:c r="J3082" s="87" t="str">
        <x:v>ОБ2510103</x:v>
      </x:c>
      <x:c r="K3082" s="87" t="n">
        <x:v>3</x:v>
      </x:c>
      <x:c r="L3082" s="87" t="str">
        <x:v>Потребности человека</x:v>
      </x:c>
      <x:c r="M3082" s="30" t="str">
        <x:v>Соотнесите потребности в безопасности, отдыхе, общении, уважении, тепле и комфорте с первичными и вторичными.</x:v>
      </x:c>
      <x:c r="N3082" s="30" t="str">
        <x:v>11221</x:v>
      </x:c>
      <x:c r="O3082" s="30" t="str">
        <x:v>Безопасность, отдых, тепло и комфорт — первичные; общение и уважение — вторичные потребности.</x:v>
      </x:c>
      <x:c r="P3082" s="30" t="str">
        <x:v>Безопасность, отдых, тепло и комфорт — первичные; общение и уважение — вторичные потребности.</x:v>
      </x:c>
      <x:c r="Q3082" s="30"/>
      <x:c r="R3082" s="30" t="str">
        <x:v>11221</x:v>
      </x:c>
      <x:c r="S3082" s="30"/>
      <x:c r="T3082" s="30"/>
      <x:c r="U3082" s="30" t="str">
        <x:v>Расхождений с официальным PDF нет.</x:v>
      </x:c>
      <x:c r="V3082" s="87" t="str">
        <x:v>VERIFIED</x:v>
      </x:c>
      <x:c r="W3082" s="87" t="n">
        <x:v>3</x:v>
      </x:c>
      <x:c r="X3082" s="87"/>
      <x:c r="Y3082" s="87"/>
      <x:c r="Z3082" s="87"/>
      <x:c r="AA3082" s="87"/>
      <x:c r="AB3082" s="87"/>
      <x:c r="AC3082" s="87"/>
      <x:c r="AD3082" s="87"/>
      <x:c r="AE3082" s="87"/>
      <x:c r="AF3082" s="87"/>
      <x:c r="AG3082" s="87"/>
      <x:c r="AH3082" s="87"/>
      <x:c r="AI3082" s="30"/>
      <x:c r="AJ3082" s="87" t="str">
        <x:v>master</x:v>
      </x:c>
      <x:c r="AK3082" s="87" t="str">
        <x:v>master-v0.81</x:v>
      </x:c>
      <x:c r="AL3082" s="87" t="str">
        <x:v>statgrad_master_base_v0_81_final(2).xlsx</x:v>
      </x:c>
      <x:c r="AM3082" s="87" t="str">
        <x:v>SOC_Sep_V3</x:v>
      </x:c>
      <x:c r="AN3082" s="87" t="n">
        <x:v>4</x:v>
      </x:c>
    </x:row>
    <x:row r="3083">
      <x:c r="A3083" s="87" t="n">
        <x:v>3082</x:v>
      </x:c>
      <x:c r="B3083" s="87" t="str">
        <x:v>SEP-SOC-V3-004</x:v>
      </x:c>
      <x:c r="C3083" s="87" t="str">
        <x:v>СтатГрад</x:v>
      </x:c>
      <x:c r="D3083" s="87" t="str">
        <x:v>Сентябрь 2025</x:v>
      </x:c>
      <x:c r="E3083" s="87"/>
      <x:c r="F3083" s="87"/>
      <x:c r="G3083" s="87" t="str">
        <x:v>Обществознание</x:v>
      </x:c>
      <x:c r="H3083" s="87" t="n">
        <x:v>11</x:v>
      </x:c>
      <x:c r="I3083" s="87" t="str">
        <x:v>ТР №1</x:v>
      </x:c>
      <x:c r="J3083" s="87" t="str">
        <x:v>ОБ2510103</x:v>
      </x:c>
      <x:c r="K3083" s="87" t="n">
        <x:v>4</x:v>
      </x:c>
      <x:c r="L3083" s="87" t="str">
        <x:v>Традиционное общество</x:v>
      </x:c>
      <x:c r="M3083" s="30" t="str">
        <x:v>Выберите признаки традиционного общества в стране с преобладанием сельского населения.</x:v>
      </x:c>
      <x:c r="N3083" s="30" t="str">
        <x:v>125</x:v>
      </x:c>
      <x:c r="O3083" s="30" t="str">
        <x:v>Аграрная экономика, расширенная семья и большая роль обычая и религии являются признаками традиционного общества.</x:v>
      </x:c>
      <x:c r="P3083" s="30" t="str">
        <x:v>Аграрная экономика, расширенная семья и большая роль обычая и религии являются признаками традиционного общества.</x:v>
      </x:c>
      <x:c r="Q3083" s="30"/>
      <x:c r="R3083" s="30" t="str">
        <x:v>125</x:v>
      </x:c>
      <x:c r="S3083" s="30"/>
      <x:c r="T3083" s="30"/>
      <x:c r="U3083" s="30" t="str">
        <x:v>Расхождений с официальным PDF нет.</x:v>
      </x:c>
      <x:c r="V3083" s="87" t="str">
        <x:v>VERIFIED</x:v>
      </x:c>
      <x:c r="W3083" s="87" t="n">
        <x:v>3</x:v>
      </x:c>
      <x:c r="X3083" s="87"/>
      <x:c r="Y3083" s="87"/>
      <x:c r="Z3083" s="87"/>
      <x:c r="AA3083" s="87"/>
      <x:c r="AB3083" s="87"/>
      <x:c r="AC3083" s="87"/>
      <x:c r="AD3083" s="87"/>
      <x:c r="AE3083" s="87"/>
      <x:c r="AF3083" s="87"/>
      <x:c r="AG3083" s="87"/>
      <x:c r="AH3083" s="87"/>
      <x:c r="AI3083" s="30"/>
      <x:c r="AJ3083" s="87" t="str">
        <x:v>master</x:v>
      </x:c>
      <x:c r="AK3083" s="87" t="str">
        <x:v>master-v0.81</x:v>
      </x:c>
      <x:c r="AL3083" s="87" t="str">
        <x:v>statgrad_master_base_v0_81_final(2).xlsx</x:v>
      </x:c>
      <x:c r="AM3083" s="87" t="str">
        <x:v>SOC_Sep_V3</x:v>
      </x:c>
      <x:c r="AN3083" s="87" t="n">
        <x:v>5</x:v>
      </x:c>
    </x:row>
    <x:row r="3084">
      <x:c r="A3084" s="87" t="n">
        <x:v>3083</x:v>
      </x:c>
      <x:c r="B3084" s="87" t="str">
        <x:v>SEP-SOC-V3-005</x:v>
      </x:c>
      <x:c r="C3084" s="87" t="str">
        <x:v>СтатГрад</x:v>
      </x:c>
      <x:c r="D3084" s="87" t="str">
        <x:v>Сентябрь 2025</x:v>
      </x:c>
      <x:c r="E3084" s="87"/>
      <x:c r="F3084" s="87"/>
      <x:c r="G3084" s="87" t="str">
        <x:v>Обществознание</x:v>
      </x:c>
      <x:c r="H3084" s="87" t="n">
        <x:v>11</x:v>
      </x:c>
      <x:c r="I3084" s="87" t="str">
        <x:v>ТР №1</x:v>
      </x:c>
      <x:c r="J3084" s="87" t="str">
        <x:v>ОБ2510103</x:v>
      </x:c>
      <x:c r="K3084" s="87" t="n">
        <x:v>5</x:v>
      </x:c>
      <x:c r="L3084" s="87" t="str">
        <x:v>Государство в экономике</x:v>
      </x:c>
      <x:c r="M3084" s="30" t="str">
        <x:v>Выберите верные суждения о роли государства в плановой и рыночной экономике.</x:v>
      </x:c>
      <x:c r="N3084" s="30" t="str">
        <x:v>134</x:v>
      </x:c>
      <x:c r="O3084" s="30" t="str">
        <x:v>В плановой системе государство устанавливает цены; в рыночной производит общественные блага и перераспределяет доходы через налоги.</x:v>
      </x:c>
      <x:c r="P3084" s="30" t="str">
        <x:v>В плановой системе государство устанавливает цены; в рыночной производит общественные блага и перераспределяет доходы через налоги.</x:v>
      </x:c>
      <x:c r="Q3084" s="30"/>
      <x:c r="R3084" s="30" t="str">
        <x:v>134</x:v>
      </x:c>
      <x:c r="S3084" s="30"/>
      <x:c r="T3084" s="30"/>
      <x:c r="U3084" s="30" t="str">
        <x:v>Расхождений с официальным PDF нет.</x:v>
      </x:c>
      <x:c r="V3084" s="87" t="str">
        <x:v>VERIFIED</x:v>
      </x:c>
      <x:c r="W3084" s="87" t="n">
        <x:v>4</x:v>
      </x:c>
      <x:c r="X3084" s="87"/>
      <x:c r="Y3084" s="87"/>
      <x:c r="Z3084" s="87"/>
      <x:c r="AA3084" s="87"/>
      <x:c r="AB3084" s="87"/>
      <x:c r="AC3084" s="87"/>
      <x:c r="AD3084" s="87"/>
      <x:c r="AE3084" s="87"/>
      <x:c r="AF3084" s="87"/>
      <x:c r="AG3084" s="87"/>
      <x:c r="AH3084" s="87"/>
      <x:c r="AI3084" s="30"/>
      <x:c r="AJ3084" s="87" t="str">
        <x:v>master</x:v>
      </x:c>
      <x:c r="AK3084" s="87" t="str">
        <x:v>master-v0.81</x:v>
      </x:c>
      <x:c r="AL3084" s="87" t="str">
        <x:v>statgrad_master_base_v0_81_final(2).xlsx</x:v>
      </x:c>
      <x:c r="AM3084" s="87" t="str">
        <x:v>SOC_Sep_V3</x:v>
      </x:c>
      <x:c r="AN3084" s="87" t="n">
        <x:v>6</x:v>
      </x:c>
    </x:row>
    <x:row r="3085">
      <x:c r="A3085" s="87" t="n">
        <x:v>3084</x:v>
      </x:c>
      <x:c r="B3085" s="87" t="str">
        <x:v>SEP-SOC-V3-006</x:v>
      </x:c>
      <x:c r="C3085" s="87" t="str">
        <x:v>СтатГрад</x:v>
      </x:c>
      <x:c r="D3085" s="87" t="str">
        <x:v>Сентябрь 2025</x:v>
      </x:c>
      <x:c r="E3085" s="87"/>
      <x:c r="F3085" s="87"/>
      <x:c r="G3085" s="87" t="str">
        <x:v>Обществознание</x:v>
      </x:c>
      <x:c r="H3085" s="87" t="n">
        <x:v>11</x:v>
      </x:c>
      <x:c r="I3085" s="87" t="str">
        <x:v>ТР №1</x:v>
      </x:c>
      <x:c r="J3085" s="87" t="str">
        <x:v>ОБ2510103</x:v>
      </x:c>
      <x:c r="K3085" s="87" t="n">
        <x:v>6</x:v>
      </x:c>
      <x:c r="L3085" s="87" t="str">
        <x:v>Структура налога</x:v>
      </x:c>
      <x:c r="M3085" s="30" t="str">
        <x:v>Соотнесите квартиру, налогоплательщика, квадратный метр, ставку 13 % и автомобиль с элементами структуры налога.</x:v>
      </x:c>
      <x:c r="N3085" s="30" t="str">
        <x:v>21342</x:v>
      </x:c>
      <x:c r="O3085" s="30" t="str">
        <x:v>Квартира и автомобиль — объекты; гражданин — субъект; квадратный метр — единица; 13 % — ставка.</x:v>
      </x:c>
      <x:c r="P3085" s="30" t="str">
        <x:v>Квартира и автомобиль — объекты; гражданин — субъект; квадратный метр — единица; 13 % — ставка.</x:v>
      </x:c>
      <x:c r="Q3085" s="30"/>
      <x:c r="R3085" s="30" t="str">
        <x:v>21342</x:v>
      </x:c>
      <x:c r="S3085" s="30"/>
      <x:c r="T3085" s="30"/>
      <x:c r="U3085" s="30" t="str">
        <x:v>Дополнительная фото-сводка содержит 2132, но официальный PDF и независимая проверка подтверждают 21342.</x:v>
      </x:c>
      <x:c r="V3085" s="87" t="str">
        <x:v>VERIFIED</x:v>
      </x:c>
      <x:c r="W3085" s="87" t="n">
        <x:v>4</x:v>
      </x:c>
      <x:c r="X3085" s="87"/>
      <x:c r="Y3085" s="87"/>
      <x:c r="Z3085" s="87"/>
      <x:c r="AA3085" s="87"/>
      <x:c r="AB3085" s="87"/>
      <x:c r="AC3085" s="87"/>
      <x:c r="AD3085" s="87"/>
      <x:c r="AE3085" s="87"/>
      <x:c r="AF3085" s="87"/>
      <x:c r="AG3085" s="87"/>
      <x:c r="AH3085" s="87"/>
      <x:c r="AI3085" s="30"/>
      <x:c r="AJ3085" s="87" t="str">
        <x:v>master</x:v>
      </x:c>
      <x:c r="AK3085" s="87" t="str">
        <x:v>master-v0.81</x:v>
      </x:c>
      <x:c r="AL3085" s="87" t="str">
        <x:v>statgrad_master_base_v0_81_final(2).xlsx</x:v>
      </x:c>
      <x:c r="AM3085" s="87" t="str">
        <x:v>SOC_Sep_V3</x:v>
      </x:c>
      <x:c r="AN3085" s="87" t="n">
        <x:v>7</x:v>
      </x:c>
    </x:row>
    <x:row r="3086">
      <x:c r="A3086" s="87" t="n">
        <x:v>3085</x:v>
      </x:c>
      <x:c r="B3086" s="87" t="str">
        <x:v>SEP-SOC-V3-007</x:v>
      </x:c>
      <x:c r="C3086" s="87" t="str">
        <x:v>СтатГрад</x:v>
      </x:c>
      <x:c r="D3086" s="87" t="str">
        <x:v>Сентябрь 2025</x:v>
      </x:c>
      <x:c r="E3086" s="87"/>
      <x:c r="F3086" s="87"/>
      <x:c r="G3086" s="87" t="str">
        <x:v>Обществознание</x:v>
      </x:c>
      <x:c r="H3086" s="87" t="n">
        <x:v>11</x:v>
      </x:c>
      <x:c r="I3086" s="87" t="str">
        <x:v>ТР №1</x:v>
      </x:c>
      <x:c r="J3086" s="87" t="str">
        <x:v>ОБ2510103</x:v>
      </x:c>
      <x:c r="K3086" s="87" t="n">
        <x:v>7</x:v>
      </x:c>
      <x:c r="L3086" s="87" t="str">
        <x:v>Ценные бумаги</x:v>
      </x:c>
      <x:c r="M3086" s="30" t="str">
        <x:v>Определите, какие документы являются ценными бумагами: сертификат, валюта, акции, облигации, свидетельство о собственности.</x:v>
      </x:c>
      <x:c r="N3086" s="30" t="str">
        <x:v>134</x:v>
      </x:c>
      <x:c r="O3086" s="30" t="str">
        <x:v>Сберегательный сертификат, акции и облигации являются ценными бумагами.</x:v>
      </x:c>
      <x:c r="P3086" s="30" t="str">
        <x:v>Сберегательный сертификат, акции и облигации являются ценными бумагами.</x:v>
      </x:c>
      <x:c r="Q3086" s="30"/>
      <x:c r="R3086" s="30" t="str">
        <x:v>134</x:v>
      </x:c>
      <x:c r="S3086" s="30"/>
      <x:c r="T3086" s="30"/>
      <x:c r="U3086" s="30" t="str">
        <x:v>Дополнительная фото-сводка содержит 245, но официальный PDF и независимая проверка подтверждают 134.</x:v>
      </x:c>
      <x:c r="V3086" s="87" t="str">
        <x:v>VERIFIED</x:v>
      </x:c>
      <x:c r="W3086" s="87" t="n">
        <x:v>5</x:v>
      </x:c>
      <x:c r="X3086" s="87"/>
      <x:c r="Y3086" s="87"/>
      <x:c r="Z3086" s="87"/>
      <x:c r="AA3086" s="87"/>
      <x:c r="AB3086" s="87"/>
      <x:c r="AC3086" s="87"/>
      <x:c r="AD3086" s="87"/>
      <x:c r="AE3086" s="87"/>
      <x:c r="AF3086" s="87"/>
      <x:c r="AG3086" s="87"/>
      <x:c r="AH3086" s="87"/>
      <x:c r="AI3086" s="30"/>
      <x:c r="AJ3086" s="87" t="str">
        <x:v>master</x:v>
      </x:c>
      <x:c r="AK3086" s="87" t="str">
        <x:v>master-v0.81</x:v>
      </x:c>
      <x:c r="AL3086" s="87" t="str">
        <x:v>statgrad_master_base_v0_81_final(2).xlsx</x:v>
      </x:c>
      <x:c r="AM3086" s="87" t="str">
        <x:v>SOC_Sep_V3</x:v>
      </x:c>
      <x:c r="AN3086" s="87" t="n">
        <x:v>8</x:v>
      </x:c>
    </x:row>
    <x:row r="3087">
      <x:c r="A3087" s="87" t="n">
        <x:v>3086</x:v>
      </x:c>
      <x:c r="B3087" s="87" t="str">
        <x:v>SEP-SOC-V3-008</x:v>
      </x:c>
      <x:c r="C3087" s="87" t="str">
        <x:v>СтатГрад</x:v>
      </x:c>
      <x:c r="D3087" s="87" t="str">
        <x:v>Сентябрь 2025</x:v>
      </x:c>
      <x:c r="E3087" s="87"/>
      <x:c r="F3087" s="87"/>
      <x:c r="G3087" s="87" t="str">
        <x:v>Обществознание</x:v>
      </x:c>
      <x:c r="H3087" s="87" t="n">
        <x:v>11</x:v>
      </x:c>
      <x:c r="I3087" s="87" t="str">
        <x:v>ТР №1</x:v>
      </x:c>
      <x:c r="J3087" s="87" t="str">
        <x:v>ОБ2510103</x:v>
      </x:c>
      <x:c r="K3087" s="87" t="n">
        <x:v>8</x:v>
      </x:c>
      <x:c r="L3087" s="87" t="str">
        <x:v>Семья</x:v>
      </x:c>
      <x:c r="M3087" s="30" t="str">
        <x:v>Выберите верные суждения о семье, партнёрской семье и социализирующей функции.</x:v>
      </x:c>
      <x:c r="N3087" s="30" t="str">
        <x:v>135</x:v>
      </x:c>
      <x:c r="O3087" s="30" t="str">
        <x:v>Семья основана на браке или родстве; в партнёрской семье нет жёсткого разделения обязанностей; социализация передаёт нормы и ценности.</x:v>
      </x:c>
      <x:c r="P3087" s="30" t="str">
        <x:v>Семья основана на браке или родстве; в партнёрской семье нет жёсткого разделения обязанностей; социализация передаёт нормы и ценности.</x:v>
      </x:c>
      <x:c r="Q3087" s="30"/>
      <x:c r="R3087" s="30" t="str">
        <x:v>135</x:v>
      </x:c>
      <x:c r="S3087" s="30"/>
      <x:c r="T3087" s="30"/>
      <x:c r="U3087" s="30" t="str">
        <x:v>Дополнительная фото-сводка содержит 125, но официальный PDF и независимая проверка подтверждают 135.</x:v>
      </x:c>
      <x:c r="V3087" s="87" t="str">
        <x:v>VERIFIED</x:v>
      </x:c>
      <x:c r="W3087" s="87" t="n">
        <x:v>5</x:v>
      </x:c>
      <x:c r="X3087" s="87"/>
      <x:c r="Y3087" s="87"/>
      <x:c r="Z3087" s="87"/>
      <x:c r="AA3087" s="87"/>
      <x:c r="AB3087" s="87"/>
      <x:c r="AC3087" s="87"/>
      <x:c r="AD3087" s="87"/>
      <x:c r="AE3087" s="87"/>
      <x:c r="AF3087" s="87"/>
      <x:c r="AG3087" s="87"/>
      <x:c r="AH3087" s="87"/>
      <x:c r="AI3087" s="30"/>
      <x:c r="AJ3087" s="87" t="str">
        <x:v>master</x:v>
      </x:c>
      <x:c r="AK3087" s="87" t="str">
        <x:v>master-v0.81</x:v>
      </x:c>
      <x:c r="AL3087" s="87" t="str">
        <x:v>statgrad_master_base_v0_81_final(2).xlsx</x:v>
      </x:c>
      <x:c r="AM3087" s="87" t="str">
        <x:v>SOC_Sep_V3</x:v>
      </x:c>
      <x:c r="AN3087" s="87" t="n">
        <x:v>9</x:v>
      </x:c>
    </x:row>
    <x:row r="3088">
      <x:c r="A3088" s="87" t="n">
        <x:v>3087</x:v>
      </x:c>
      <x:c r="B3088" s="87" t="str">
        <x:v>SEP-SOC-V3-009</x:v>
      </x:c>
      <x:c r="C3088" s="87" t="str">
        <x:v>СтатГрад</x:v>
      </x:c>
      <x:c r="D3088" s="87" t="str">
        <x:v>Сентябрь 2025</x:v>
      </x:c>
      <x:c r="E3088" s="87"/>
      <x:c r="F3088" s="87"/>
      <x:c r="G3088" s="87" t="str">
        <x:v>Обществознание</x:v>
      </x:c>
      <x:c r="H3088" s="87" t="n">
        <x:v>11</x:v>
      </x:c>
      <x:c r="I3088" s="87" t="str">
        <x:v>ТР №1</x:v>
      </x:c>
      <x:c r="J3088" s="87" t="str">
        <x:v>ОБ2510103</x:v>
      </x:c>
      <x:c r="K3088" s="87" t="n">
        <x:v>9</x:v>
      </x:c>
      <x:c r="L3088" s="87" t="str">
        <x:v>Социологическая диаграмма</x:v>
      </x:c>
      <x:c r="M3088" s="30" t="str">
        <x:v>По диаграмме сравните ответы мужчин и женщин о том, что человек должен успеть сделать до 30 лет.</x:v>
      </x:c>
      <x:c r="N3088" s="30" t="str">
        <x:v>125</x:v>
      </x:c>
      <x:c r="O3088" s="30" t="str">
        <x:v>По столбцам диаграммы верны выводы 1, 2 и 5.</x:v>
      </x:c>
      <x:c r="P3088" s="30" t="str">
        <x:v>По столбцам диаграммы верны выводы 1, 2 и 5.</x:v>
      </x:c>
      <x:c r="Q3088" s="30"/>
      <x:c r="R3088" s="30" t="str">
        <x:v>125</x:v>
      </x:c>
      <x:c r="S3088" s="30"/>
      <x:c r="T3088" s="30"/>
      <x:c r="U3088" s="30" t="str">
        <x:v>Дополнительная фото-сводка содержит 235, но официальный PDF и независимая проверка подтверждают 125.</x:v>
      </x:c>
      <x:c r="V3088" s="87" t="str">
        <x:v>VERIFIED</x:v>
      </x:c>
      <x:c r="W3088" s="87" t="n">
        <x:v>6</x:v>
      </x:c>
      <x:c r="X3088" s="87"/>
      <x:c r="Y3088" s="87"/>
      <x:c r="Z3088" s="87"/>
      <x:c r="AA3088" s="87"/>
      <x:c r="AB3088" s="87"/>
      <x:c r="AC3088" s="87" t="str">
        <x:v>VIS-SOC-SEP-001</x:v>
      </x:c>
      <x:c r="AD3088" s="87"/>
      <x:c r="AE3088" s="87" t="str">
        <x:v>Социологическая диаграмма</x:v>
      </x:c>
      <x:c r="AF3088" s="87" t="str">
        <x:v>VIS-SOC-SEP-001: 6</x:v>
      </x:c>
      <x:c r="AG3088" s="87" t="str">
        <x:v>RESOLVED</x:v>
      </x:c>
      <x:c r="AH3088" s="87" t="str">
        <x:v>ORIGINAL_ASSET_HASH_VERIFIED; TASK_CROP_QA_APPROVED:MANUAL_BBOX</x:v>
      </x:c>
      <x:c r="AI3088" s="30"/>
      <x:c r="AJ3088" s="87" t="str">
        <x:v>master</x:v>
      </x:c>
      <x:c r="AK3088" s="87" t="str">
        <x:v>master-v0.81</x:v>
      </x:c>
      <x:c r="AL3088" s="87" t="str">
        <x:v>statgrad_master_base_v0_81_final(2).xlsx</x:v>
      </x:c>
      <x:c r="AM3088" s="87" t="str">
        <x:v>SOC_Sep_V3</x:v>
      </x:c>
      <x:c r="AN3088" s="87" t="n">
        <x:v>10</x:v>
      </x:c>
    </x:row>
    <x:row r="3089">
      <x:c r="A3089" s="87" t="n">
        <x:v>3088</x:v>
      </x:c>
      <x:c r="B3089" s="87" t="str">
        <x:v>SEP-SOC-V3-010</x:v>
      </x:c>
      <x:c r="C3089" s="87" t="str">
        <x:v>СтатГрад</x:v>
      </x:c>
      <x:c r="D3089" s="87" t="str">
        <x:v>Сентябрь 2025</x:v>
      </x:c>
      <x:c r="E3089" s="87"/>
      <x:c r="F3089" s="87"/>
      <x:c r="G3089" s="87" t="str">
        <x:v>Обществознание</x:v>
      </x:c>
      <x:c r="H3089" s="87" t="n">
        <x:v>11</x:v>
      </x:c>
      <x:c r="I3089" s="87" t="str">
        <x:v>ТР №1</x:v>
      </x:c>
      <x:c r="J3089" s="87" t="str">
        <x:v>ОБ2510103</x:v>
      </x:c>
      <x:c r="K3089" s="87" t="n">
        <x:v>10</x:v>
      </x:c>
      <x:c r="L3089" s="87" t="str">
        <x:v>Правовое государство</x:v>
      </x:c>
      <x:c r="M3089" s="30" t="str">
        <x:v>Выберите верные суждения о правовом государстве.</x:v>
      </x:c>
      <x:c r="N3089" s="30" t="str">
        <x:v>135</x:v>
      </x:c>
      <x:c r="O3089" s="30" t="str">
        <x:v>Взаимная ответственность государства и гражданина, разделение властей и взаимодействие с гражданским обществом — признаки правового государства.</x:v>
      </x:c>
      <x:c r="P3089" s="30" t="str">
        <x:v>Взаимная ответственность государства и гражданина, разделение властей и взаимодействие с гражданским обществом — признаки правового государства.</x:v>
      </x:c>
      <x:c r="Q3089" s="30"/>
      <x:c r="R3089" s="30" t="str">
        <x:v>135</x:v>
      </x:c>
      <x:c r="S3089" s="30"/>
      <x:c r="T3089" s="30"/>
      <x:c r="U3089" s="30" t="str">
        <x:v>Расхождений с официальным PDF нет.</x:v>
      </x:c>
      <x:c r="V3089" s="87" t="str">
        <x:v>VERIFIED</x:v>
      </x:c>
      <x:c r="W3089" s="87" t="n">
        <x:v>7</x:v>
      </x:c>
      <x:c r="X3089" s="87"/>
      <x:c r="Y3089" s="87"/>
      <x:c r="Z3089" s="87"/>
      <x:c r="AA3089" s="87"/>
      <x:c r="AB3089" s="87"/>
      <x:c r="AC3089" s="87"/>
      <x:c r="AD3089" s="87"/>
      <x:c r="AE3089" s="87"/>
      <x:c r="AF3089" s="87"/>
      <x:c r="AG3089" s="87"/>
      <x:c r="AH3089" s="87"/>
      <x:c r="AI3089" s="30"/>
      <x:c r="AJ3089" s="87" t="str">
        <x:v>master</x:v>
      </x:c>
      <x:c r="AK3089" s="87" t="str">
        <x:v>master-v0.81</x:v>
      </x:c>
      <x:c r="AL3089" s="87" t="str">
        <x:v>statgrad_master_base_v0_81_final(2).xlsx</x:v>
      </x:c>
      <x:c r="AM3089" s="87" t="str">
        <x:v>SOC_Sep_V3</x:v>
      </x:c>
      <x:c r="AN3089" s="87" t="n">
        <x:v>11</x:v>
      </x:c>
    </x:row>
    <x:row r="3090">
      <x:c r="A3090" s="87" t="n">
        <x:v>3089</x:v>
      </x:c>
      <x:c r="B3090" s="87" t="str">
        <x:v>SEP-SOC-V3-011</x:v>
      </x:c>
      <x:c r="C3090" s="87" t="str">
        <x:v>СтатГрад</x:v>
      </x:c>
      <x:c r="D3090" s="87" t="str">
        <x:v>Сентябрь 2025</x:v>
      </x:c>
      <x:c r="E3090" s="87"/>
      <x:c r="F3090" s="87"/>
      <x:c r="G3090" s="87" t="str">
        <x:v>Обществознание</x:v>
      </x:c>
      <x:c r="H3090" s="87" t="n">
        <x:v>11</x:v>
      </x:c>
      <x:c r="I3090" s="87" t="str">
        <x:v>ТР №1</x:v>
      </x:c>
      <x:c r="J3090" s="87" t="str">
        <x:v>ОБ2510103</x:v>
      </x:c>
      <x:c r="K3090" s="87" t="n">
        <x:v>11</x:v>
      </x:c>
      <x:c r="L3090" s="87" t="str">
        <x:v>Консервативная идеология</x:v>
      </x:c>
      <x:c r="M3090" s="30" t="str">
        <x:v>Выберите взгляды, характерные для консервативной партии.</x:v>
      </x:c>
      <x:c r="N3090" s="30" t="str">
        <x:v>234</x:v>
      </x:c>
      <x:c r="O3090" s="30" t="str">
        <x:v>Поддержка религиозных организаций, частной собственности и традиционных ценностей соответствует консерватизму.</x:v>
      </x:c>
      <x:c r="P3090" s="30" t="str">
        <x:v>Поддержка религиозных организаций, частной собственности и традиционных ценностей соответствует консерватизму.</x:v>
      </x:c>
      <x:c r="Q3090" s="30"/>
      <x:c r="R3090" s="30" t="str">
        <x:v>234</x:v>
      </x:c>
      <x:c r="S3090" s="30"/>
      <x:c r="T3090" s="30"/>
      <x:c r="U3090" s="30" t="str">
        <x:v>Расхождений с официальным PDF нет.</x:v>
      </x:c>
      <x:c r="V3090" s="87" t="str">
        <x:v>VERIFIED</x:v>
      </x:c>
      <x:c r="W3090" s="87" t="n">
        <x:v>7</x:v>
      </x:c>
      <x:c r="X3090" s="87"/>
      <x:c r="Y3090" s="87"/>
      <x:c r="Z3090" s="87"/>
      <x:c r="AA3090" s="87"/>
      <x:c r="AB3090" s="87"/>
      <x:c r="AC3090" s="87"/>
      <x:c r="AD3090" s="87"/>
      <x:c r="AE3090" s="87"/>
      <x:c r="AF3090" s="87"/>
      <x:c r="AG3090" s="87"/>
      <x:c r="AH3090" s="87"/>
      <x:c r="AI3090" s="30"/>
      <x:c r="AJ3090" s="87" t="str">
        <x:v>master</x:v>
      </x:c>
      <x:c r="AK3090" s="87" t="str">
        <x:v>master-v0.81</x:v>
      </x:c>
      <x:c r="AL3090" s="87" t="str">
        <x:v>statgrad_master_base_v0_81_final(2).xlsx</x:v>
      </x:c>
      <x:c r="AM3090" s="87" t="str">
        <x:v>SOC_Sep_V3</x:v>
      </x:c>
      <x:c r="AN3090" s="87" t="n">
        <x:v>12</x:v>
      </x:c>
    </x:row>
    <x:row r="3091">
      <x:c r="A3091" s="87" t="n">
        <x:v>3090</x:v>
      </x:c>
      <x:c r="B3091" s="87" t="str">
        <x:v>SEP-SOC-V3-012</x:v>
      </x:c>
      <x:c r="C3091" s="87" t="str">
        <x:v>СтатГрад</x:v>
      </x:c>
      <x:c r="D3091" s="87" t="str">
        <x:v>Сентябрь 2025</x:v>
      </x:c>
      <x:c r="E3091" s="87"/>
      <x:c r="F3091" s="87"/>
      <x:c r="G3091" s="87" t="str">
        <x:v>Обществознание</x:v>
      </x:c>
      <x:c r="H3091" s="87" t="n">
        <x:v>11</x:v>
      </x:c>
      <x:c r="I3091" s="87" t="str">
        <x:v>ТР №1</x:v>
      </x:c>
      <x:c r="J3091" s="87" t="str">
        <x:v>ОБ2510103</x:v>
      </x:c>
      <x:c r="K3091" s="87" t="n">
        <x:v>12</x:v>
      </x:c>
      <x:c r="L3091" s="87" t="str">
        <x:v>Светское государство</x:v>
      </x:c>
      <x:c r="M3091" s="30" t="str">
        <x:v>Выберите конституционные принципы светского государства.</x:v>
      </x:c>
      <x:c r="N3091" s="30" t="str">
        <x:v>235</x:v>
      </x:c>
      <x:c r="O3091" s="30" t="str">
        <x:v>Отделение религиозных объединений, запрет обязательной религии и свобода совести выражают светский характер государства.</x:v>
      </x:c>
      <x:c r="P3091" s="30" t="str">
        <x:v>Отделение религиозных объединений, запрет обязательной религии и свобода совести выражают светский характер государства.</x:v>
      </x:c>
      <x:c r="Q3091" s="30"/>
      <x:c r="R3091" s="30" t="str">
        <x:v>235</x:v>
      </x:c>
      <x:c r="S3091" s="30"/>
      <x:c r="T3091" s="30"/>
      <x:c r="U3091" s="30" t="str">
        <x:v>Расхождений с официальным PDF нет.</x:v>
      </x:c>
      <x:c r="V3091" s="87" t="str">
        <x:v>VERIFIED</x:v>
      </x:c>
      <x:c r="W3091" s="87" t="n">
        <x:v>7</x:v>
      </x:c>
      <x:c r="X3091" s="87"/>
      <x:c r="Y3091" s="87"/>
      <x:c r="Z3091" s="87"/>
      <x:c r="AA3091" s="87"/>
      <x:c r="AB3091" s="87"/>
      <x:c r="AC3091" s="87"/>
      <x:c r="AD3091" s="87"/>
      <x:c r="AE3091" s="87"/>
      <x:c r="AF3091" s="87"/>
      <x:c r="AG3091" s="87"/>
      <x:c r="AH3091" s="87"/>
      <x:c r="AI3091" s="30"/>
      <x:c r="AJ3091" s="87" t="str">
        <x:v>master</x:v>
      </x:c>
      <x:c r="AK3091" s="87" t="str">
        <x:v>master-v0.81</x:v>
      </x:c>
      <x:c r="AL3091" s="87" t="str">
        <x:v>statgrad_master_base_v0_81_final(2).xlsx</x:v>
      </x:c>
      <x:c r="AM3091" s="87" t="str">
        <x:v>SOC_Sep_V3</x:v>
      </x:c>
      <x:c r="AN3091" s="87" t="n">
        <x:v>13</x:v>
      </x:c>
    </x:row>
    <x:row r="3092">
      <x:c r="A3092" s="87" t="n">
        <x:v>3091</x:v>
      </x:c>
      <x:c r="B3092" s="87" t="str">
        <x:v>SEP-SOC-V3-013</x:v>
      </x:c>
      <x:c r="C3092" s="87" t="str">
        <x:v>СтатГрад</x:v>
      </x:c>
      <x:c r="D3092" s="87" t="str">
        <x:v>Сентябрь 2025</x:v>
      </x:c>
      <x:c r="E3092" s="87"/>
      <x:c r="F3092" s="87"/>
      <x:c r="G3092" s="87" t="str">
        <x:v>Обществознание</x:v>
      </x:c>
      <x:c r="H3092" s="87" t="n">
        <x:v>11</x:v>
      </x:c>
      <x:c r="I3092" s="87" t="str">
        <x:v>ТР №1</x:v>
      </x:c>
      <x:c r="J3092" s="87" t="str">
        <x:v>ОБ2510103</x:v>
      </x:c>
      <x:c r="K3092" s="87" t="n">
        <x:v>13</x:v>
      </x:c>
      <x:c r="L3092" s="87" t="str">
        <x:v>Федеративное устройство</x:v>
      </x:c>
      <x:c r="M3092" s="30" t="str">
        <x:v>Соотнесите предметы ведения с исключительной компетенцией Российской Федерации или совместным ведением Федерации и субъектов.</x:v>
      </x:c>
      <x:c r="N3092" s="30" t="str">
        <x:v>21121</x:v>
      </x:c>
      <x:c r="O3092" s="30" t="str">
        <x:v>Законность и охрана окружающей среды — совместное ведение; федеральная собственность, гражданское законодательство и официальный учёт — ведение РФ.</x:v>
      </x:c>
      <x:c r="P3092" s="30" t="str">
        <x:v>Законность и охрана окружающей среды — совместное ведение; федеральная собственность, гражданское законодательство и официальный учёт — ведение РФ.</x:v>
      </x:c>
      <x:c r="Q3092" s="30"/>
      <x:c r="R3092" s="30" t="str">
        <x:v>21121</x:v>
      </x:c>
      <x:c r="S3092" s="30"/>
      <x:c r="T3092" s="30"/>
      <x:c r="U3092" s="30" t="str">
        <x:v>Расхождений с официальным PDF нет.</x:v>
      </x:c>
      <x:c r="V3092" s="87" t="str">
        <x:v>VERIFIED</x:v>
      </x:c>
      <x:c r="W3092" s="87" t="n">
        <x:v>8</x:v>
      </x:c>
      <x:c r="X3092" s="87"/>
      <x:c r="Y3092" s="87"/>
      <x:c r="Z3092" s="87"/>
      <x:c r="AA3092" s="87"/>
      <x:c r="AB3092" s="87"/>
      <x:c r="AC3092" s="87"/>
      <x:c r="AD3092" s="87"/>
      <x:c r="AE3092" s="87"/>
      <x:c r="AF3092" s="87"/>
      <x:c r="AG3092" s="87"/>
      <x:c r="AH3092" s="87"/>
      <x:c r="AI3092" s="30"/>
      <x:c r="AJ3092" s="87" t="str">
        <x:v>master</x:v>
      </x:c>
      <x:c r="AK3092" s="87" t="str">
        <x:v>master-v0.81</x:v>
      </x:c>
      <x:c r="AL3092" s="87" t="str">
        <x:v>statgrad_master_base_v0_81_final(2).xlsx</x:v>
      </x:c>
      <x:c r="AM3092" s="87" t="str">
        <x:v>SOC_Sep_V3</x:v>
      </x:c>
      <x:c r="AN3092" s="87" t="n">
        <x:v>14</x:v>
      </x:c>
    </x:row>
    <x:row r="3093">
      <x:c r="A3093" s="87" t="n">
        <x:v>3092</x:v>
      </x:c>
      <x:c r="B3093" s="87" t="str">
        <x:v>SEP-SOC-V3-014</x:v>
      </x:c>
      <x:c r="C3093" s="87" t="str">
        <x:v>СтатГрад</x:v>
      </x:c>
      <x:c r="D3093" s="87" t="str">
        <x:v>Сентябрь 2025</x:v>
      </x:c>
      <x:c r="E3093" s="87"/>
      <x:c r="F3093" s="87"/>
      <x:c r="G3093" s="87" t="str">
        <x:v>Обществознание</x:v>
      </x:c>
      <x:c r="H3093" s="87" t="n">
        <x:v>11</x:v>
      </x:c>
      <x:c r="I3093" s="87" t="str">
        <x:v>ТР №1</x:v>
      </x:c>
      <x:c r="J3093" s="87" t="str">
        <x:v>ОБ2510103</x:v>
      </x:c>
      <x:c r="K3093" s="87" t="n">
        <x:v>14</x:v>
      </x:c>
      <x:c r="L3093" s="87" t="str">
        <x:v>Воинская обязанность</x:v>
      </x:c>
      <x:c r="M3093" s="30" t="str">
        <x:v>Выберите верные суждения о призыве, отсрочке и сроке военной службы.</x:v>
      </x:c>
      <x:c r="N3093" s="30" t="str">
        <x:v>123</x:v>
      </x:c>
      <x:c r="O3093" s="30" t="str">
        <x:v>Призывной возраст, семейные отсрочки и двенадцатимесячный срок службы отражены в пунктах 1, 2 и 3.</x:v>
      </x:c>
      <x:c r="P3093" s="30" t="str">
        <x:v>Призывной возраст, семейные отсрочки и двенадцатимесячный срок службы отражены в пунктах 1, 2 и 3.</x:v>
      </x:c>
      <x:c r="Q3093" s="30"/>
      <x:c r="R3093" s="30" t="str">
        <x:v>123</x:v>
      </x:c>
      <x:c r="S3093" s="30"/>
      <x:c r="T3093" s="30"/>
      <x:c r="U3093" s="30" t="str">
        <x:v>Расхождений с официальным PDF нет.</x:v>
      </x:c>
      <x:c r="V3093" s="87" t="str">
        <x:v>VERIFIED</x:v>
      </x:c>
      <x:c r="W3093" s="87" t="n">
        <x:v>8</x:v>
      </x:c>
      <x:c r="X3093" s="87"/>
      <x:c r="Y3093" s="87"/>
      <x:c r="Z3093" s="87"/>
      <x:c r="AA3093" s="87"/>
      <x:c r="AB3093" s="87"/>
      <x:c r="AC3093" s="87"/>
      <x:c r="AD3093" s="87"/>
      <x:c r="AE3093" s="87"/>
      <x:c r="AF3093" s="87"/>
      <x:c r="AG3093" s="87"/>
      <x:c r="AH3093" s="87"/>
      <x:c r="AI3093" s="30"/>
      <x:c r="AJ3093" s="87" t="str">
        <x:v>master</x:v>
      </x:c>
      <x:c r="AK3093" s="87" t="str">
        <x:v>master-v0.81</x:v>
      </x:c>
      <x:c r="AL3093" s="87" t="str">
        <x:v>statgrad_master_base_v0_81_final(2).xlsx</x:v>
      </x:c>
      <x:c r="AM3093" s="87" t="str">
        <x:v>SOC_Sep_V3</x:v>
      </x:c>
      <x:c r="AN3093" s="87" t="n">
        <x:v>15</x:v>
      </x:c>
    </x:row>
    <x:row r="3094">
      <x:c r="A3094" s="87" t="n">
        <x:v>3093</x:v>
      </x:c>
      <x:c r="B3094" s="87" t="str">
        <x:v>SEP-SOC-V3-015</x:v>
      </x:c>
      <x:c r="C3094" s="87" t="str">
        <x:v>СтатГрад</x:v>
      </x:c>
      <x:c r="D3094" s="87" t="str">
        <x:v>Сентябрь 2025</x:v>
      </x:c>
      <x:c r="E3094" s="87"/>
      <x:c r="F3094" s="87"/>
      <x:c r="G3094" s="87" t="str">
        <x:v>Обществознание</x:v>
      </x:c>
      <x:c r="H3094" s="87" t="n">
        <x:v>11</x:v>
      </x:c>
      <x:c r="I3094" s="87" t="str">
        <x:v>ТР №1</x:v>
      </x:c>
      <x:c r="J3094" s="87" t="str">
        <x:v>ОБ2510103</x:v>
      </x:c>
      <x:c r="K3094" s="87" t="n">
        <x:v>15</x:v>
      </x:c>
      <x:c r="L3094" s="87" t="str">
        <x:v>Публичное и частное право</x:v>
      </x:c>
      <x:c r="M3094" s="30" t="str">
        <x:v>Соотнесите трудовое, гражданское, уголовное, семейное и административное право с публичной или частной сферой.</x:v>
      </x:c>
      <x:c r="N3094" s="30" t="str">
        <x:v>22121</x:v>
      </x:c>
      <x:c r="O3094" s="30" t="str">
        <x:v>Трудовое, гражданское и семейное право отнесены к частной сфере; уголовное и административное — к публичной.</x:v>
      </x:c>
      <x:c r="P3094" s="30" t="str">
        <x:v>Трудовое, гражданское и семейное право отнесены к частной сфере; уголовное и административное — к публичной.</x:v>
      </x:c>
      <x:c r="Q3094" s="30"/>
      <x:c r="R3094" s="30" t="str">
        <x:v>22121</x:v>
      </x:c>
      <x:c r="S3094" s="30"/>
      <x:c r="T3094" s="30"/>
      <x:c r="U3094" s="30" t="str">
        <x:v>Расхождений с официальным PDF нет.</x:v>
      </x:c>
      <x:c r="V3094" s="87" t="str">
        <x:v>VERIFIED</x:v>
      </x:c>
      <x:c r="W3094" s="87" t="n">
        <x:v>9</x:v>
      </x:c>
      <x:c r="X3094" s="87"/>
      <x:c r="Y3094" s="87"/>
      <x:c r="Z3094" s="87"/>
      <x:c r="AA3094" s="87"/>
      <x:c r="AB3094" s="87"/>
      <x:c r="AC3094" s="87"/>
      <x:c r="AD3094" s="87"/>
      <x:c r="AE3094" s="87"/>
      <x:c r="AF3094" s="87"/>
      <x:c r="AG3094" s="87"/>
      <x:c r="AH3094" s="87"/>
      <x:c r="AI3094" s="30"/>
      <x:c r="AJ3094" s="87" t="str">
        <x:v>master</x:v>
      </x:c>
      <x:c r="AK3094" s="87" t="str">
        <x:v>master-v0.81</x:v>
      </x:c>
      <x:c r="AL3094" s="87" t="str">
        <x:v>statgrad_master_base_v0_81_final(2).xlsx</x:v>
      </x:c>
      <x:c r="AM3094" s="87" t="str">
        <x:v>SOC_Sep_V3</x:v>
      </x:c>
      <x:c r="AN3094" s="87" t="n">
        <x:v>16</x:v>
      </x:c>
    </x:row>
    <x:row r="3095">
      <x:c r="A3095" s="87" t="n">
        <x:v>3094</x:v>
      </x:c>
      <x:c r="B3095" s="87" t="str">
        <x:v>SEP-SOC-V3-016</x:v>
      </x:c>
      <x:c r="C3095" s="87" t="str">
        <x:v>СтатГрад</x:v>
      </x:c>
      <x:c r="D3095" s="87" t="str">
        <x:v>Сентябрь 2025</x:v>
      </x:c>
      <x:c r="E3095" s="87"/>
      <x:c r="F3095" s="87"/>
      <x:c r="G3095" s="87" t="str">
        <x:v>Обществознание</x:v>
      </x:c>
      <x:c r="H3095" s="87" t="n">
        <x:v>11</x:v>
      </x:c>
      <x:c r="I3095" s="87" t="str">
        <x:v>ТР №1</x:v>
      </x:c>
      <x:c r="J3095" s="87" t="str">
        <x:v>ОБ2510103</x:v>
      </x:c>
      <x:c r="K3095" s="87" t="n">
        <x:v>16</x:v>
      </x:c>
      <x:c r="L3095" s="87" t="str">
        <x:v>Дееспособность малолетнего</x:v>
      </x:c>
      <x:c r="M3095" s="30" t="str">
        <x:v>Выберите действия, которые вправе совершать двенадцатилетний гражданин.</x:v>
      </x:c>
      <x:c r="N3095" s="30" t="str">
        <x:v>23</x:v>
      </x:c>
      <x:c r="O3095" s="30" t="str">
        <x:v>Он может распоряжаться предоставленными средствами и должен быть заслушан судом при решении вопроса о месте жительства.</x:v>
      </x:c>
      <x:c r="P3095" s="30" t="str">
        <x:v>Он может распоряжаться предоставленными средствами и должен быть заслушан судом при решении вопроса о месте жительства.</x:v>
      </x:c>
      <x:c r="Q3095" s="30"/>
      <x:c r="R3095" s="30" t="str">
        <x:v>23</x:v>
      </x:c>
      <x:c r="S3095" s="30"/>
      <x:c r="T3095" s="30"/>
      <x:c r="U3095" s="30" t="str">
        <x:v>Расхождений с официальным PDF нет.</x:v>
      </x:c>
      <x:c r="V3095" s="87" t="str">
        <x:v>VERIFIED</x:v>
      </x:c>
      <x:c r="W3095" s="87" t="n">
        <x:v>9</x:v>
      </x:c>
      <x:c r="X3095" s="87"/>
      <x:c r="Y3095" s="87"/>
      <x:c r="Z3095" s="87"/>
      <x:c r="AA3095" s="87"/>
      <x:c r="AB3095" s="87"/>
      <x:c r="AC3095" s="87"/>
      <x:c r="AD3095" s="87"/>
      <x:c r="AE3095" s="87"/>
      <x:c r="AF3095" s="87"/>
      <x:c r="AG3095" s="87"/>
      <x:c r="AH3095" s="87"/>
      <x:c r="AI3095" s="30"/>
      <x:c r="AJ3095" s="87" t="str">
        <x:v>master</x:v>
      </x:c>
      <x:c r="AK3095" s="87" t="str">
        <x:v>master-v0.81</x:v>
      </x:c>
      <x:c r="AL3095" s="87" t="str">
        <x:v>statgrad_master_base_v0_81_final(2).xlsx</x:v>
      </x:c>
      <x:c r="AM3095" s="87" t="str">
        <x:v>SOC_Sep_V3</x:v>
      </x:c>
      <x:c r="AN3095" s="87" t="n">
        <x:v>17</x:v>
      </x:c>
    </x:row>
    <x:row r="3096">
      <x:c r="A3096" s="87" t="n">
        <x:v>3095</x:v>
      </x:c>
      <x:c r="B3096" s="87" t="str">
        <x:v>SEP-SOC-V3-017</x:v>
      </x:c>
      <x:c r="C3096" s="87" t="str">
        <x:v>СтатГрад</x:v>
      </x:c>
      <x:c r="D3096" s="87" t="str">
        <x:v>Сентябрь 2025</x:v>
      </x:c>
      <x:c r="E3096" s="87"/>
      <x:c r="F3096" s="87"/>
      <x:c r="G3096" s="87" t="str">
        <x:v>Обществознание</x:v>
      </x:c>
      <x:c r="H3096" s="87" t="n">
        <x:v>11</x:v>
      </x:c>
      <x:c r="I3096" s="87" t="str">
        <x:v>ТР №1</x:v>
      </x:c>
      <x:c r="J3096" s="87" t="str">
        <x:v>ОБ2510103</x:v>
      </x:c>
      <x:c r="K3096" s="87" t="n">
        <x:v>17</x:v>
      </x:c>
      <x:c r="L3096" s="87" t="str">
        <x:v>Социальный контроль по тексту</x:v>
      </x:c>
      <x:c r="M3096" s="30" t="str">
        <x:v>Ответить о цели внешнего контроля, основе неформального контроля и назвать трёх агентов формального контроля.</x:v>
      </x:c>
      <x:c r="N3096" s="30" t="str">
        <x:v>Внешний контроль обеспечивает соблюдение норм и законов. Неформальный контроль основан на неофициальных позитивных и негативных санкциях ближайшего окружения и общественного мнения. Агенты формального контроля: менеджер по персоналу, социальный работник, офицер-командир (также допустим судья).</x:v>
      </x:c>
      <x:c r="O3096" s="30" t="str">
        <x:v>Модель содержит все обязательные элементы официального критерия и не добавляет лишних спорных позиций.</x:v>
      </x:c>
      <x:c r="P3096" s="30" t="str">
        <x:v>Условие и модель повторно проверены по обществоведческим понятиям и шкале официального критерия.</x:v>
      </x:c>
      <x:c r="Q3096" s="30"/>
      <x:c r="R3096" s="30" t="str">
        <x:v>Официальный развёрнутый критерий</x:v>
      </x:c>
      <x:c r="S3096" s="30"/>
      <x:c r="T3096" s="30"/>
      <x:c r="U3096" s="30" t="str">
        <x:v>Расхождений с официальным PDF нет.</x:v>
      </x:c>
      <x:c r="V3096" s="87" t="str">
        <x:v>VERIFIED</x:v>
      </x:c>
      <x:c r="W3096" s="87" t="n">
        <x:v>11</x:v>
      </x:c>
      <x:c r="X3096" s="87"/>
      <x:c r="Y3096" s="87"/>
      <x:c r="Z3096" s="87"/>
      <x:c r="AA3096" s="87"/>
      <x:c r="AB3096" s="87"/>
      <x:c r="AC3096" s="87"/>
      <x:c r="AD3096" s="87"/>
      <x:c r="AE3096" s="87"/>
      <x:c r="AF3096" s="87"/>
      <x:c r="AG3096" s="87"/>
      <x:c r="AH3096" s="87"/>
      <x:c r="AI3096" s="30"/>
      <x:c r="AJ3096" s="87" t="str">
        <x:v>master</x:v>
      </x:c>
      <x:c r="AK3096" s="87" t="str">
        <x:v>master-v0.81</x:v>
      </x:c>
      <x:c r="AL3096" s="87" t="str">
        <x:v>statgrad_master_base_v0_81_final(2).xlsx</x:v>
      </x:c>
      <x:c r="AM3096" s="87" t="str">
        <x:v>SOC_Sep_V3</x:v>
      </x:c>
      <x:c r="AN3096" s="87" t="n">
        <x:v>18</x:v>
      </x:c>
    </x:row>
    <x:row r="3097">
      <x:c r="A3097" s="87" t="n">
        <x:v>3096</x:v>
      </x:c>
      <x:c r="B3097" s="87" t="str">
        <x:v>SEP-SOC-V3-018</x:v>
      </x:c>
      <x:c r="C3097" s="87" t="str">
        <x:v>СтатГрад</x:v>
      </x:c>
      <x:c r="D3097" s="87" t="str">
        <x:v>Сентябрь 2025</x:v>
      </x:c>
      <x:c r="E3097" s="87"/>
      <x:c r="F3097" s="87"/>
      <x:c r="G3097" s="87" t="str">
        <x:v>Обществознание</x:v>
      </x:c>
      <x:c r="H3097" s="87" t="n">
        <x:v>11</x:v>
      </x:c>
      <x:c r="I3097" s="87" t="str">
        <x:v>ТР №1</x:v>
      </x:c>
      <x:c r="J3097" s="87" t="str">
        <x:v>ОБ2510103</x:v>
      </x:c>
      <x:c r="K3097" s="87" t="n">
        <x:v>18</x:v>
      </x:c>
      <x:c r="L3097" s="87" t="str">
        <x:v>Государство и формальный контроль</x:v>
      </x:c>
      <x:c r="M3097" s="30" t="str">
        <x:v>Назвать не менее трёх признаков государства и объяснить связь возникновения государства с формальным социальным контролем.</x:v>
      </x:c>
      <x:c r="N3097" s="30" t="str">
        <x:v>Признаки государства: суверенитет, публичная власть и аппарат управления, правотворчество, налогообложение. Формальный контроль появился вместе с государством, поскольку официальные органы власти стали применять закреплённые правом позитивные и негативные санкции.</x:v>
      </x:c>
      <x:c r="O3097" s="30" t="str">
        <x:v>Модель содержит все обязательные элементы официального критерия и не добавляет лишних спорных позиций.</x:v>
      </x:c>
      <x:c r="P3097" s="30" t="str">
        <x:v>Условие и модель повторно проверены по обществоведческим понятиям и шкале официального критерия.</x:v>
      </x:c>
      <x:c r="Q3097" s="30"/>
      <x:c r="R3097" s="30" t="str">
        <x:v>Официальный развёрнутый критерий</x:v>
      </x:c>
      <x:c r="S3097" s="30"/>
      <x:c r="T3097" s="30"/>
      <x:c r="U3097" s="30" t="str">
        <x:v>Расхождений с официальным PDF нет.</x:v>
      </x:c>
      <x:c r="V3097" s="87" t="str">
        <x:v>VERIFIED</x:v>
      </x:c>
      <x:c r="W3097" s="87" t="n">
        <x:v>11</x:v>
      </x:c>
      <x:c r="X3097" s="87"/>
      <x:c r="Y3097" s="87"/>
      <x:c r="Z3097" s="87"/>
      <x:c r="AA3097" s="87"/>
      <x:c r="AB3097" s="87"/>
      <x:c r="AC3097" s="87"/>
      <x:c r="AD3097" s="87"/>
      <x:c r="AE3097" s="87"/>
      <x:c r="AF3097" s="87"/>
      <x:c r="AG3097" s="87"/>
      <x:c r="AH3097" s="87"/>
      <x:c r="AI3097" s="30"/>
      <x:c r="AJ3097" s="87" t="str">
        <x:v>master</x:v>
      </x:c>
      <x:c r="AK3097" s="87" t="str">
        <x:v>master-v0.81</x:v>
      </x:c>
      <x:c r="AL3097" s="87" t="str">
        <x:v>statgrad_master_base_v0_81_final(2).xlsx</x:v>
      </x:c>
      <x:c r="AM3097" s="87" t="str">
        <x:v>SOC_Sep_V3</x:v>
      </x:c>
      <x:c r="AN3097" s="87" t="n">
        <x:v>19</x:v>
      </x:c>
    </x:row>
    <x:row r="3098">
      <x:c r="A3098" s="87" t="n">
        <x:v>3097</x:v>
      </x:c>
      <x:c r="B3098" s="87" t="str">
        <x:v>SEP-SOC-V3-019</x:v>
      </x:c>
      <x:c r="C3098" s="87" t="str">
        <x:v>СтатГрад</x:v>
      </x:c>
      <x:c r="D3098" s="87" t="str">
        <x:v>Сентябрь 2025</x:v>
      </x:c>
      <x:c r="E3098" s="87"/>
      <x:c r="F3098" s="87"/>
      <x:c r="G3098" s="87" t="str">
        <x:v>Обществознание</x:v>
      </x:c>
      <x:c r="H3098" s="87" t="n">
        <x:v>11</x:v>
      </x:c>
      <x:c r="I3098" s="87" t="str">
        <x:v>ТР №1</x:v>
      </x:c>
      <x:c r="J3098" s="87" t="str">
        <x:v>ОБ2510103</x:v>
      </x:c>
      <x:c r="K3098" s="87" t="n">
        <x:v>19</x:v>
      </x:c>
      <x:c r="L3098" s="87" t="str">
        <x:v>Неформальный социальный контроль</x:v>
      </x:c>
      <x:c r="M3098" s="30" t="str">
        <x:v>Привести три развёрнутых примера деятельности агентов неформального контроля и назвать институт или группу.</x:v>
      </x:c>
      <x:c r="N3098" s="30" t="str">
        <x:v>1) Родители хвалят ребёнка за соблюдение правил и порицают проступки — семья. 2) Газета публикует материалы о достойных поступках жителей и общественно осуждает нарушения — СМИ. 3) Классный руководитель отмечает успехи учеников на собрании и обсуждает нарушения поведения — школа.</x:v>
      </x:c>
      <x:c r="O3098" s="30" t="str">
        <x:v>Модель содержит все обязательные элементы официального критерия и не добавляет лишних спорных позиций.</x:v>
      </x:c>
      <x:c r="P3098" s="30" t="str">
        <x:v>Условие и модель повторно проверены по обществоведческим понятиям и шкале официального критерия.</x:v>
      </x:c>
      <x:c r="Q3098" s="30"/>
      <x:c r="R3098" s="30" t="str">
        <x:v>Официальный развёрнутый критерий</x:v>
      </x:c>
      <x:c r="S3098" s="30"/>
      <x:c r="T3098" s="30"/>
      <x:c r="U3098" s="30" t="str">
        <x:v>Расхождений с официальным PDF нет.</x:v>
      </x:c>
      <x:c r="V3098" s="87" t="str">
        <x:v>VERIFIED</x:v>
      </x:c>
      <x:c r="W3098" s="87" t="n">
        <x:v>11</x:v>
      </x:c>
      <x:c r="X3098" s="87"/>
      <x:c r="Y3098" s="87"/>
      <x:c r="Z3098" s="87"/>
      <x:c r="AA3098" s="87"/>
      <x:c r="AB3098" s="87"/>
      <x:c r="AC3098" s="87"/>
      <x:c r="AD3098" s="87"/>
      <x:c r="AE3098" s="87"/>
      <x:c r="AF3098" s="87"/>
      <x:c r="AG3098" s="87"/>
      <x:c r="AH3098" s="87"/>
      <x:c r="AI3098" s="30"/>
      <x:c r="AJ3098" s="87" t="str">
        <x:v>master</x:v>
      </x:c>
      <x:c r="AK3098" s="87" t="str">
        <x:v>master-v0.81</x:v>
      </x:c>
      <x:c r="AL3098" s="87" t="str">
        <x:v>statgrad_master_base_v0_81_final(2).xlsx</x:v>
      </x:c>
      <x:c r="AM3098" s="87" t="str">
        <x:v>SOC_Sep_V3</x:v>
      </x:c>
      <x:c r="AN3098" s="87" t="n">
        <x:v>20</x:v>
      </x:c>
    </x:row>
    <x:row r="3099">
      <x:c r="A3099" s="87" t="n">
        <x:v>3098</x:v>
      </x:c>
      <x:c r="B3099" s="87" t="str">
        <x:v>SEP-SOC-V3-020</x:v>
      </x:c>
      <x:c r="C3099" s="87" t="str">
        <x:v>СтатГрад</x:v>
      </x:c>
      <x:c r="D3099" s="87" t="str">
        <x:v>Сентябрь 2025</x:v>
      </x:c>
      <x:c r="E3099" s="87"/>
      <x:c r="F3099" s="87"/>
      <x:c r="G3099" s="87" t="str">
        <x:v>Обществознание</x:v>
      </x:c>
      <x:c r="H3099" s="87" t="n">
        <x:v>11</x:v>
      </x:c>
      <x:c r="I3099" s="87" t="str">
        <x:v>ТР №1</x:v>
      </x:c>
      <x:c r="J3099" s="87" t="str">
        <x:v>ОБ2510103</x:v>
      </x:c>
      <x:c r="K3099" s="87" t="n">
        <x:v>20</x:v>
      </x:c>
      <x:c r="L3099" s="87" t="str">
        <x:v>Усиление формального контроля</x:v>
      </x:c>
      <x:c r="M3099" s="30" t="str">
        <x:v>Привести три аргумента, почему роль формального контроля в современном обществе выше, чем в традиционном.</x:v>
      </x:c>
      <x:c r="N3099" s="30" t="str">
        <x:v>1) Современная жизнь регулируется значительно большим массивом правовых норм и юридических обязанностей. 2) Разветвлённый профессиональный государственный аппарат способен контролировать множество сфер и большие территории. 3) Информационные системы, видеонаблюдение и финансовый мониторинг делают официальный контроль более систематическим и эффективным.</x:v>
      </x:c>
      <x:c r="O3099" s="30" t="str">
        <x:v>Модель содержит все обязательные элементы официального критерия и не добавляет лишних спорных позиций.</x:v>
      </x:c>
      <x:c r="P3099" s="30" t="str">
        <x:v>Условие и модель повторно проверены по обществоведческим понятиям и шкале официального критерия.</x:v>
      </x:c>
      <x:c r="Q3099" s="30"/>
      <x:c r="R3099" s="30" t="str">
        <x:v>Официальный развёрнутый критерий</x:v>
      </x:c>
      <x:c r="S3099" s="30"/>
      <x:c r="T3099" s="30"/>
      <x:c r="U3099" s="30" t="str">
        <x:v>Расхождений с официальным PDF нет.</x:v>
      </x:c>
      <x:c r="V3099" s="87" t="str">
        <x:v>VERIFIED</x:v>
      </x:c>
      <x:c r="W3099" s="87" t="n">
        <x:v>11</x:v>
      </x:c>
      <x:c r="X3099" s="87"/>
      <x:c r="Y3099" s="87"/>
      <x:c r="Z3099" s="87"/>
      <x:c r="AA3099" s="87"/>
      <x:c r="AB3099" s="87"/>
      <x:c r="AC3099" s="87"/>
      <x:c r="AD3099" s="87"/>
      <x:c r="AE3099" s="87"/>
      <x:c r="AF3099" s="87"/>
      <x:c r="AG3099" s="87"/>
      <x:c r="AH3099" s="87"/>
      <x:c r="AI3099" s="30"/>
      <x:c r="AJ3099" s="87" t="str">
        <x:v>master</x:v>
      </x:c>
      <x:c r="AK3099" s="87" t="str">
        <x:v>master-v0.81</x:v>
      </x:c>
      <x:c r="AL3099" s="87" t="str">
        <x:v>statgrad_master_base_v0_81_final(2).xlsx</x:v>
      </x:c>
      <x:c r="AM3099" s="87" t="str">
        <x:v>SOC_Sep_V3</x:v>
      </x:c>
      <x:c r="AN3099" s="87" t="n">
        <x:v>21</x:v>
      </x:c>
    </x:row>
    <x:row r="3100">
      <x:c r="A3100" s="87" t="n">
        <x:v>3099</x:v>
      </x:c>
      <x:c r="B3100" s="87" t="str">
        <x:v>SEP-SOC-V3-021</x:v>
      </x:c>
      <x:c r="C3100" s="87" t="str">
        <x:v>СтатГрад</x:v>
      </x:c>
      <x:c r="D3100" s="87" t="str">
        <x:v>Сентябрь 2025</x:v>
      </x:c>
      <x:c r="E3100" s="87"/>
      <x:c r="F3100" s="87"/>
      <x:c r="G3100" s="87" t="str">
        <x:v>Обществознание</x:v>
      </x:c>
      <x:c r="H3100" s="87" t="n">
        <x:v>11</x:v>
      </x:c>
      <x:c r="I3100" s="87" t="str">
        <x:v>ТР №1</x:v>
      </x:c>
      <x:c r="J3100" s="87" t="str">
        <x:v>ОБ2510103</x:v>
      </x:c>
      <x:c r="K3100" s="87" t="n">
        <x:v>21</x:v>
      </x:c>
      <x:c r="L3100" s="87" t="str">
        <x:v>Рынок картофеля</x:v>
      </x:c>
      <x:c r="M3100" s="30" t="str">
        <x:v>Определить изменение равновесной цены, объяснить фактор роста предложения и последствия снижения экспортных пошлин.</x:v>
      </x:c>
      <x:c r="N3100" s="30" t="str">
        <x:v>Равновесная цена снизилась. Например, благоприятная погода обеспечила хороший урожай и увеличила предложение картофеля. Снижение экспортных пошлин сделает экспорт выгоднее, сократит предложение на внутреннем рынке и повысит равновесную цену.</x:v>
      </x:c>
      <x:c r="O3100" s="30" t="str">
        <x:v>Модель содержит все обязательные элементы официального критерия и не добавляет лишних спорных позиций.</x:v>
      </x:c>
      <x:c r="P3100" s="30" t="str">
        <x:v>Условие и модель повторно проверены по обществоведческим понятиям и шкале официального критерия.</x:v>
      </x:c>
      <x:c r="Q3100" s="30"/>
      <x:c r="R3100" s="30" t="str">
        <x:v>Официальный развёрнутый критерий</x:v>
      </x:c>
      <x:c r="S3100" s="30"/>
      <x:c r="T3100" s="30"/>
      <x:c r="U3100" s="30" t="str">
        <x:v>Расхождений с официальным PDF нет.</x:v>
      </x:c>
      <x:c r="V3100" s="87" t="str">
        <x:v>VERIFIED</x:v>
      </x:c>
      <x:c r="W3100" s="87" t="n">
        <x:v>12</x:v>
      </x:c>
      <x:c r="X3100" s="87"/>
      <x:c r="Y3100" s="87"/>
      <x:c r="Z3100" s="87"/>
      <x:c r="AA3100" s="87"/>
      <x:c r="AB3100" s="87"/>
      <x:c r="AC3100" s="87" t="str">
        <x:v>VIS-SOC-SEP-004</x:v>
      </x:c>
      <x:c r="AD3100" s="87"/>
      <x:c r="AE3100" s="87" t="str">
        <x:v>График спроса и предложения</x:v>
      </x:c>
      <x:c r="AF3100" s="87" t="str">
        <x:v>VIS-SOC-SEP-004: 25</x:v>
      </x:c>
      <x:c r="AG3100" s="87" t="str">
        <x:v>RESOLVED</x:v>
      </x:c>
      <x:c r="AH3100" s="87" t="str">
        <x:v>ORIGINAL_ASSET_HASH_VERIFIED</x:v>
      </x:c>
      <x:c r="AI3100" s="30"/>
      <x:c r="AJ3100" s="87" t="str">
        <x:v>master</x:v>
      </x:c>
      <x:c r="AK3100" s="87" t="str">
        <x:v>master-v0.81</x:v>
      </x:c>
      <x:c r="AL3100" s="87" t="str">
        <x:v>statgrad_master_base_v0_81_final(2).xlsx</x:v>
      </x:c>
      <x:c r="AM3100" s="87" t="str">
        <x:v>SOC_Sep_V3</x:v>
      </x:c>
      <x:c r="AN3100" s="87" t="n">
        <x:v>22</x:v>
      </x:c>
    </x:row>
    <x:row r="3101">
      <x:c r="A3101" s="87" t="n">
        <x:v>3100</x:v>
      </x:c>
      <x:c r="B3101" s="87" t="str">
        <x:v>SEP-SOC-V3-022</x:v>
      </x:c>
      <x:c r="C3101" s="87" t="str">
        <x:v>СтатГрад</x:v>
      </x:c>
      <x:c r="D3101" s="87" t="str">
        <x:v>Сентябрь 2025</x:v>
      </x:c>
      <x:c r="E3101" s="87"/>
      <x:c r="F3101" s="87"/>
      <x:c r="G3101" s="87" t="str">
        <x:v>Обществознание</x:v>
      </x:c>
      <x:c r="H3101" s="87" t="n">
        <x:v>11</x:v>
      </x:c>
      <x:c r="I3101" s="87" t="str">
        <x:v>ТР №1</x:v>
      </x:c>
      <x:c r="J3101" s="87" t="str">
        <x:v>ОБ2510103</x:v>
      </x:c>
      <x:c r="K3101" s="87" t="n">
        <x:v>22</x:v>
      </x:c>
      <x:c r="L3101" s="87" t="str">
        <x:v>Наука и методы познания</x:v>
      </x:c>
      <x:c r="M3101" s="30" t="str">
        <x:v>Определить группу наук, функцию проекта, группу методов и назвать два других метода.</x:v>
      </x:c>
      <x:c r="N3101" s="30" t="str">
        <x:v>Биофизика относится к естественным наукам; проект реализует прогностическую функцию; эксперимент — эмпирический метод. К эмпирическим методам также относятся наблюдение и измерение (допустимо описание).</x:v>
      </x:c>
      <x:c r="O3101" s="30" t="str">
        <x:v>Модель содержит все обязательные элементы официального критерия и не добавляет лишних спорных позиций.</x:v>
      </x:c>
      <x:c r="P3101" s="30" t="str">
        <x:v>Условие и модель повторно проверены по обществоведческим понятиям и шкале официального критерия.</x:v>
      </x:c>
      <x:c r="Q3101" s="30"/>
      <x:c r="R3101" s="30" t="str">
        <x:v>Официальный развёрнутый критерий</x:v>
      </x:c>
      <x:c r="S3101" s="30"/>
      <x:c r="T3101" s="30"/>
      <x:c r="U3101" s="30" t="str">
        <x:v>Расхождений с официальным PDF нет.</x:v>
      </x:c>
      <x:c r="V3101" s="87" t="str">
        <x:v>VERIFIED</x:v>
      </x:c>
      <x:c r="W3101" s="87" t="n">
        <x:v>12</x:v>
      </x:c>
      <x:c r="X3101" s="87"/>
      <x:c r="Y3101" s="87"/>
      <x:c r="Z3101" s="87"/>
      <x:c r="AA3101" s="87"/>
      <x:c r="AB3101" s="87"/>
      <x:c r="AC3101" s="87"/>
      <x:c r="AD3101" s="87"/>
      <x:c r="AE3101" s="87"/>
      <x:c r="AF3101" s="87"/>
      <x:c r="AG3101" s="87"/>
      <x:c r="AH3101" s="87"/>
      <x:c r="AI3101" s="30"/>
      <x:c r="AJ3101" s="87" t="str">
        <x:v>master</x:v>
      </x:c>
      <x:c r="AK3101" s="87" t="str">
        <x:v>master-v0.81</x:v>
      </x:c>
      <x:c r="AL3101" s="87" t="str">
        <x:v>statgrad_master_base_v0_81_final(2).xlsx</x:v>
      </x:c>
      <x:c r="AM3101" s="87" t="str">
        <x:v>SOC_Sep_V3</x:v>
      </x:c>
      <x:c r="AN3101" s="87" t="n">
        <x:v>23</x:v>
      </x:c>
    </x:row>
    <x:row r="3102">
      <x:c r="A3102" s="87" t="n">
        <x:v>3101</x:v>
      </x:c>
      <x:c r="B3102" s="87" t="str">
        <x:v>SEP-SOC-V3-023</x:v>
      </x:c>
      <x:c r="C3102" s="87" t="str">
        <x:v>СтатГрад</x:v>
      </x:c>
      <x:c r="D3102" s="87" t="str">
        <x:v>Сентябрь 2025</x:v>
      </x:c>
      <x:c r="E3102" s="87"/>
      <x:c r="F3102" s="87"/>
      <x:c r="G3102" s="87" t="str">
        <x:v>Обществознание</x:v>
      </x:c>
      <x:c r="H3102" s="87" t="n">
        <x:v>11</x:v>
      </x:c>
      <x:c r="I3102" s="87" t="str">
        <x:v>ТР №1</x:v>
      </x:c>
      <x:c r="J3102" s="87" t="str">
        <x:v>ОБ2510103</x:v>
      </x:c>
      <x:c r="K3102" s="87" t="n">
        <x:v>23</x:v>
      </x:c>
      <x:c r="L3102" s="87" t="str">
        <x:v>Достоинство и частная жизнь</x:v>
      </x:c>
      <x:c r="M3102" s="30" t="str">
        <x:v>Привести три конституционных подтверждения защиты достоинства и неприкосновенности частной жизни.</x:v>
      </x:c>
      <x:c r="N3102" s="30" t="str">
        <x:v>Достоинство личности охраняется государством и не может быть умалено. Каждый имеет право на личную и семейную тайну, защиту чести и доброго имени. Тайна переписки и переговоров охраняется, а ограничение допускается только по судебному решению; сбор сведений о частной жизни без согласия запрещён.</x:v>
      </x:c>
      <x:c r="O3102" s="30" t="str">
        <x:v>Модель содержит все обязательные элементы официального критерия и не добавляет лишних спорных позиций.</x:v>
      </x:c>
      <x:c r="P3102" s="30" t="str">
        <x:v>Условие и модель повторно проверены по обществоведческим понятиям и шкале официального критерия.</x:v>
      </x:c>
      <x:c r="Q3102" s="30"/>
      <x:c r="R3102" s="30" t="str">
        <x:v>Официальный развёрнутый критерий</x:v>
      </x:c>
      <x:c r="S3102" s="30"/>
      <x:c r="T3102" s="30"/>
      <x:c r="U3102" s="30" t="str">
        <x:v>Расхождений с официальным PDF нет.</x:v>
      </x:c>
      <x:c r="V3102" s="87" t="str">
        <x:v>VERIFIED</x:v>
      </x:c>
      <x:c r="W3102" s="87" t="n">
        <x:v>13</x:v>
      </x:c>
      <x:c r="X3102" s="87"/>
      <x:c r="Y3102" s="87"/>
      <x:c r="Z3102" s="87"/>
      <x:c r="AA3102" s="87"/>
      <x:c r="AB3102" s="87"/>
      <x:c r="AC3102" s="87"/>
      <x:c r="AD3102" s="87"/>
      <x:c r="AE3102" s="87"/>
      <x:c r="AF3102" s="87"/>
      <x:c r="AG3102" s="87"/>
      <x:c r="AH3102" s="87"/>
      <x:c r="AI3102" s="30"/>
      <x:c r="AJ3102" s="87" t="str">
        <x:v>master</x:v>
      </x:c>
      <x:c r="AK3102" s="87" t="str">
        <x:v>master-v0.81</x:v>
      </x:c>
      <x:c r="AL3102" s="87" t="str">
        <x:v>statgrad_master_base_v0_81_final(2).xlsx</x:v>
      </x:c>
      <x:c r="AM3102" s="87" t="str">
        <x:v>SOC_Sep_V3</x:v>
      </x:c>
      <x:c r="AN3102" s="87" t="n">
        <x:v>24</x:v>
      </x:c>
    </x:row>
    <x:row r="3103">
      <x:c r="A3103" s="87" t="n">
        <x:v>3102</x:v>
      </x:c>
      <x:c r="B3103" s="87" t="str">
        <x:v>SEP-SOC-V3-024</x:v>
      </x:c>
      <x:c r="C3103" s="87" t="str">
        <x:v>СтатГрад</x:v>
      </x:c>
      <x:c r="D3103" s="87" t="str">
        <x:v>Сентябрь 2025</x:v>
      </x:c>
      <x:c r="E3103" s="87"/>
      <x:c r="F3103" s="87"/>
      <x:c r="G3103" s="87" t="str">
        <x:v>Обществознание</x:v>
      </x:c>
      <x:c r="H3103" s="87" t="n">
        <x:v>11</x:v>
      </x:c>
      <x:c r="I3103" s="87" t="str">
        <x:v>ТР №1</x:v>
      </x:c>
      <x:c r="J3103" s="87" t="str">
        <x:v>ОБ2510103</x:v>
      </x:c>
      <x:c r="K3103" s="87" t="n">
        <x:v>24</x:v>
      </x:c>
      <x:c r="L3103" s="87" t="str">
        <x:v>Правонарушения и ответственность</x:v>
      </x:c>
      <x:c r="M3103" s="30" t="str">
        <x:v>Составить сложный план по теме «Правонарушения и юридическая ответственность».</x:v>
      </x:c>
      <x:c r="N3103" s="30" t="str">
        <x:v>1. Понятие правонарушения. 2. Признаки: а) противоправность; б) виновность; в) общественная опасность или вредность; г) наказуемость. 3. Состав: а) объект; б) субъект; в) объективная сторона; г) субъективная сторона. 4. Виды правонарушений: а) преступления; б) административные; в) гражданские; г) дисциплинарные проступки. 5. Юридическая ответственность: а) понятие; б) принципы; в) функции. 6. Виды ответственности: а) уголовная; б) административная; в) гражданско-правовая; г) дисциплинарная.</x:v>
      </x:c>
      <x:c r="O3103" s="30" t="str">
        <x:v>Модель содержит все обязательные элементы официального критерия и не добавляет лишних спорных позиций.</x:v>
      </x:c>
      <x:c r="P3103" s="30" t="str">
        <x:v>Условие и модель повторно проверены по обществоведческим понятиям и шкале официального критерия.</x:v>
      </x:c>
      <x:c r="Q3103" s="30"/>
      <x:c r="R3103" s="30" t="str">
        <x:v>Официальный развёрнутый критерий</x:v>
      </x:c>
      <x:c r="S3103" s="30"/>
      <x:c r="T3103" s="30"/>
      <x:c r="U3103" s="30" t="str">
        <x:v>Расхождений с официальным PDF нет.</x:v>
      </x:c>
      <x:c r="V3103" s="87" t="str">
        <x:v>VERIFIED</x:v>
      </x:c>
      <x:c r="W3103" s="87" t="n">
        <x:v>13</x:v>
      </x:c>
      <x:c r="X3103" s="87"/>
      <x:c r="Y3103" s="87"/>
      <x:c r="Z3103" s="87"/>
      <x:c r="AA3103" s="87"/>
      <x:c r="AB3103" s="87"/>
      <x:c r="AC3103" s="87"/>
      <x:c r="AD3103" s="87"/>
      <x:c r="AE3103" s="87"/>
      <x:c r="AF3103" s="87"/>
      <x:c r="AG3103" s="87"/>
      <x:c r="AH3103" s="87"/>
      <x:c r="AI3103" s="30"/>
      <x:c r="AJ3103" s="87" t="str">
        <x:v>master</x:v>
      </x:c>
      <x:c r="AK3103" s="87" t="str">
        <x:v>master-v0.81</x:v>
      </x:c>
      <x:c r="AL3103" s="87" t="str">
        <x:v>statgrad_master_base_v0_81_final(2).xlsx</x:v>
      </x:c>
      <x:c r="AM3103" s="87" t="str">
        <x:v>SOC_Sep_V3</x:v>
      </x:c>
      <x:c r="AN3103" s="87" t="n">
        <x:v>25</x:v>
      </x:c>
    </x:row>
    <x:row r="3104">
      <x:c r="A3104" s="87" t="n">
        <x:v>3103</x:v>
      </x:c>
      <x:c r="B3104" s="87" t="str">
        <x:v>SEP-SOC-V3-025</x:v>
      </x:c>
      <x:c r="C3104" s="87" t="str">
        <x:v>СтатГрад</x:v>
      </x:c>
      <x:c r="D3104" s="87" t="str">
        <x:v>Сентябрь 2025</x:v>
      </x:c>
      <x:c r="E3104" s="87"/>
      <x:c r="F3104" s="87"/>
      <x:c r="G3104" s="87" t="str">
        <x:v>Обществознание</x:v>
      </x:c>
      <x:c r="H3104" s="87" t="n">
        <x:v>11</x:v>
      </x:c>
      <x:c r="I3104" s="87" t="str">
        <x:v>ТР №1</x:v>
      </x:c>
      <x:c r="J3104" s="87" t="str">
        <x:v>ОБ2510103</x:v>
      </x:c>
      <x:c r="K3104" s="87" t="n">
        <x:v>25</x:v>
      </x:c>
      <x:c r="L3104" s="87" t="str">
        <x:v>Ответственность несовершеннолетних</x:v>
      </x:c>
      <x:c r="M3104" s="30" t="str">
        <x:v>Обосновать более мягкий подход к несовершеннолетним, назвать три вида ответственности и привести по примеру.</x:v>
      </x:c>
      <x:c r="N3104" s="30" t="str">
        <x:v>Несовершеннолетние ещё не обладают полной социальной и психологической зрелостью, сильнее подвержены влиянию среды и имеют высокий потенциал исправления, поэтому ответственность должна сочетать защиту общества с воспитанием и ресоциализацией. Виды: уголовная, административная, гражданско-правовая. Примеры: суд назначил семнадцатилетнему обязательные работы за кражу; шестнадцатилетний был оштрафован за административное правонарушение; суд обязал семнадцатилетнего возместить стоимость повреждённого имущества.</x:v>
      </x:c>
      <x:c r="O3104" s="30" t="str">
        <x:v>Модель содержит все обязательные элементы официального критерия и не добавляет лишних спорных позиций.</x:v>
      </x:c>
      <x:c r="P3104" s="30" t="str">
        <x:v>Условие и модель повторно проверены по обществоведческим понятиям и шкале официального критерия.</x:v>
      </x:c>
      <x:c r="Q3104" s="30"/>
      <x:c r="R3104" s="30" t="str">
        <x:v>Официальный развёрнутый критерий</x:v>
      </x:c>
      <x:c r="S3104" s="30"/>
      <x:c r="T3104" s="30"/>
      <x:c r="U3104" s="30" t="str">
        <x:v>Расхождений с официальным PDF нет.</x:v>
      </x:c>
      <x:c r="V3104" s="87" t="str">
        <x:v>VERIFIED</x:v>
      </x:c>
      <x:c r="W3104" s="87" t="n">
        <x:v>13</x:v>
      </x:c>
      <x:c r="X3104" s="87"/>
      <x:c r="Y3104" s="87"/>
      <x:c r="Z3104" s="87"/>
      <x:c r="AA3104" s="87"/>
      <x:c r="AB3104" s="87"/>
      <x:c r="AC3104" s="87"/>
      <x:c r="AD3104" s="87"/>
      <x:c r="AE3104" s="87"/>
      <x:c r="AF3104" s="87"/>
      <x:c r="AG3104" s="87"/>
      <x:c r="AH3104" s="87"/>
      <x:c r="AI3104" s="30"/>
      <x:c r="AJ3104" s="87" t="str">
        <x:v>master</x:v>
      </x:c>
      <x:c r="AK3104" s="87" t="str">
        <x:v>master-v0.81</x:v>
      </x:c>
      <x:c r="AL3104" s="87" t="str">
        <x:v>statgrad_master_base_v0_81_final(2).xlsx</x:v>
      </x:c>
      <x:c r="AM3104" s="87" t="str">
        <x:v>SOC_Sep_V3</x:v>
      </x:c>
      <x:c r="AN3104" s="87" t="n">
        <x:v>26</x:v>
      </x:c>
    </x:row>
    <x:row r="3105">
      <x:c r="A3105" s="87" t="n">
        <x:v>3104</x:v>
      </x:c>
      <x:c r="B3105" s="87" t="str">
        <x:v>SEP-SOC-V4-001</x:v>
      </x:c>
      <x:c r="C3105" s="87" t="str">
        <x:v>СтатГрад</x:v>
      </x:c>
      <x:c r="D3105" s="87" t="str">
        <x:v>Сентябрь 2025</x:v>
      </x:c>
      <x:c r="E3105" s="87"/>
      <x:c r="F3105" s="87"/>
      <x:c r="G3105" s="87" t="str">
        <x:v>Обществознание</x:v>
      </x:c>
      <x:c r="H3105" s="87" t="n">
        <x:v>11</x:v>
      </x:c>
      <x:c r="I3105" s="87" t="str">
        <x:v>ТР №1</x:v>
      </x:c>
      <x:c r="J3105" s="87" t="str">
        <x:v>ОБ2510104</x:v>
      </x:c>
      <x:c r="K3105" s="87" t="n">
        <x:v>1</x:v>
      </x:c>
      <x:c r="L3105" s="87" t="str">
        <x:v>Президент Российской Федерации</x:v>
      </x:c>
      <x:c r="M3105" s="30" t="str">
        <x:v>Выберите два требования, которые не предъявляются к кандидату на должность Президента РФ.</x:v>
      </x:c>
      <x:c r="N3105" s="30" t="str">
        <x:v>26</x:v>
      </x:c>
      <x:c r="O3105" s="30" t="str">
        <x:v>Высшее профессиональное образование и десятилетний стаж государственной службы не являются конституционными требованиями.</x:v>
      </x:c>
      <x:c r="P3105" s="30" t="str">
        <x:v>Высшее профессиональное образование и десятилетний стаж государственной службы не являются конституционными требованиями.</x:v>
      </x:c>
      <x:c r="Q3105" s="30"/>
      <x:c r="R3105" s="30" t="str">
        <x:v>26</x:v>
      </x:c>
      <x:c r="S3105" s="30"/>
      <x:c r="T3105" s="30"/>
      <x:c r="U3105" s="30" t="str">
        <x:v>Расхождений с официальным PDF нет.</x:v>
      </x:c>
      <x:c r="V3105" s="87" t="str">
        <x:v>VERIFIED</x:v>
      </x:c>
      <x:c r="W3105" s="87" t="n">
        <x:v>2</x:v>
      </x:c>
      <x:c r="X3105" s="87"/>
      <x:c r="Y3105" s="87"/>
      <x:c r="Z3105" s="87"/>
      <x:c r="AA3105" s="87"/>
      <x:c r="AB3105" s="87"/>
      <x:c r="AC3105" s="87"/>
      <x:c r="AD3105" s="87"/>
      <x:c r="AE3105" s="87"/>
      <x:c r="AF3105" s="87"/>
      <x:c r="AG3105" s="87"/>
      <x:c r="AH3105" s="87"/>
      <x:c r="AI3105" s="30"/>
      <x:c r="AJ3105" s="87" t="str">
        <x:v>master</x:v>
      </x:c>
      <x:c r="AK3105" s="87" t="str">
        <x:v>master-v0.81</x:v>
      </x:c>
      <x:c r="AL3105" s="87" t="str">
        <x:v>statgrad_master_base_v0_81_final(2).xlsx</x:v>
      </x:c>
      <x:c r="AM3105" s="87" t="str">
        <x:v>SOC_Sep_V4</x:v>
      </x:c>
      <x:c r="AN3105" s="87" t="n">
        <x:v>2</x:v>
      </x:c>
    </x:row>
    <x:row r="3106">
      <x:c r="A3106" s="87" t="n">
        <x:v>3105</x:v>
      </x:c>
      <x:c r="B3106" s="87" t="str">
        <x:v>SEP-SOC-V4-002</x:v>
      </x:c>
      <x:c r="C3106" s="87" t="str">
        <x:v>СтатГрад</x:v>
      </x:c>
      <x:c r="D3106" s="87" t="str">
        <x:v>Сентябрь 2025</x:v>
      </x:c>
      <x:c r="E3106" s="87"/>
      <x:c r="F3106" s="87"/>
      <x:c r="G3106" s="87" t="str">
        <x:v>Обществознание</x:v>
      </x:c>
      <x:c r="H3106" s="87" t="n">
        <x:v>11</x:v>
      </x:c>
      <x:c r="I3106" s="87" t="str">
        <x:v>ТР №1</x:v>
      </x:c>
      <x:c r="J3106" s="87" t="str">
        <x:v>ОБ2510104</x:v>
      </x:c>
      <x:c r="K3106" s="87" t="n">
        <x:v>2</x:v>
      </x:c>
      <x:c r="L3106" s="87" t="str">
        <x:v>Религия</x:v>
      </x:c>
      <x:c r="M3106" s="30" t="str">
        <x:v>Выберите верные суждения о значении религии: регулирующая функция, легитимация власти, признание сверхъестественных сил и другие положения.</x:v>
      </x:c>
      <x:c r="N3106" s="30" t="str">
        <x:v>234</x:v>
      </x:c>
      <x:c r="O3106" s="30" t="str">
        <x:v>Верны 2, 3 и 4: религия регулирует поведение, может легитимировать власть и основывается на вере в сверхъестественное.</x:v>
      </x:c>
      <x:c r="P3106" s="30" t="str">
        <x:v>Верны 2, 3 и 4: религия регулирует поведение, может легитимировать власть и основывается на вере в сверхъестественное.</x:v>
      </x:c>
      <x:c r="Q3106" s="30"/>
      <x:c r="R3106" s="30" t="str">
        <x:v>234</x:v>
      </x:c>
      <x:c r="S3106" s="30"/>
      <x:c r="T3106" s="30"/>
      <x:c r="U3106" s="30" t="str">
        <x:v>Дополнительная фото-сводка содержит 246, но официальный PDF и независимая проверка подтверждают 234.</x:v>
      </x:c>
      <x:c r="V3106" s="87" t="str">
        <x:v>VERIFIED</x:v>
      </x:c>
      <x:c r="W3106" s="87" t="n">
        <x:v>2</x:v>
      </x:c>
      <x:c r="X3106" s="87"/>
      <x:c r="Y3106" s="87"/>
      <x:c r="Z3106" s="87"/>
      <x:c r="AA3106" s="87"/>
      <x:c r="AB3106" s="87"/>
      <x:c r="AC3106" s="87"/>
      <x:c r="AD3106" s="87"/>
      <x:c r="AE3106" s="87"/>
      <x:c r="AF3106" s="87"/>
      <x:c r="AG3106" s="87"/>
      <x:c r="AH3106" s="87"/>
      <x:c r="AI3106" s="30"/>
      <x:c r="AJ3106" s="87" t="str">
        <x:v>master</x:v>
      </x:c>
      <x:c r="AK3106" s="87" t="str">
        <x:v>master-v0.81</x:v>
      </x:c>
      <x:c r="AL3106" s="87" t="str">
        <x:v>statgrad_master_base_v0_81_final(2).xlsx</x:v>
      </x:c>
      <x:c r="AM3106" s="87" t="str">
        <x:v>SOC_Sep_V4</x:v>
      </x:c>
      <x:c r="AN3106" s="87" t="n">
        <x:v>3</x:v>
      </x:c>
    </x:row>
    <x:row r="3107">
      <x:c r="A3107" s="87" t="n">
        <x:v>3106</x:v>
      </x:c>
      <x:c r="B3107" s="87" t="str">
        <x:v>SEP-SOC-V4-003</x:v>
      </x:c>
      <x:c r="C3107" s="87" t="str">
        <x:v>СтатГрад</x:v>
      </x:c>
      <x:c r="D3107" s="87" t="str">
        <x:v>Сентябрь 2025</x:v>
      </x:c>
      <x:c r="E3107" s="87"/>
      <x:c r="F3107" s="87"/>
      <x:c r="G3107" s="87" t="str">
        <x:v>Обществознание</x:v>
      </x:c>
      <x:c r="H3107" s="87" t="n">
        <x:v>11</x:v>
      </x:c>
      <x:c r="I3107" s="87" t="str">
        <x:v>ТР №1</x:v>
      </x:c>
      <x:c r="J3107" s="87" t="str">
        <x:v>ОБ2510104</x:v>
      </x:c>
      <x:c r="K3107" s="87" t="n">
        <x:v>3</x:v>
      </x:c>
      <x:c r="L3107" s="87" t="str">
        <x:v>Виды мировоззрения</x:v>
      </x:c>
      <x:c r="M3107" s="30" t="str">
        <x:v>Соотнесите характеристики обыденного, религиозного и научного мировоззрения.</x:v>
      </x:c>
      <x:c r="N3107" s="30" t="str">
        <x:v>23123</x:v>
      </x:c>
      <x:c r="O3107" s="30" t="str">
        <x:v>Духовное первенство и вера в сверхъестественное — религиозное; проверяемые знания и закономерности — научное; жизненный опыт — обыденное.</x:v>
      </x:c>
      <x:c r="P3107" s="30" t="str">
        <x:v>Духовное первенство и вера в сверхъестественное — религиозное; проверяемые знания и закономерности — научное; жизненный опыт — обыденное.</x:v>
      </x:c>
      <x:c r="Q3107" s="30"/>
      <x:c r="R3107" s="30" t="str">
        <x:v>23123</x:v>
      </x:c>
      <x:c r="S3107" s="30"/>
      <x:c r="T3107" s="30"/>
      <x:c r="U3107" s="30" t="str">
        <x:v>Расхождений с официальным PDF нет.</x:v>
      </x:c>
      <x:c r="V3107" s="87" t="str">
        <x:v>VERIFIED</x:v>
      </x:c>
      <x:c r="W3107" s="87" t="n">
        <x:v>3</x:v>
      </x:c>
      <x:c r="X3107" s="87"/>
      <x:c r="Y3107" s="87"/>
      <x:c r="Z3107" s="87"/>
      <x:c r="AA3107" s="87"/>
      <x:c r="AB3107" s="87"/>
      <x:c r="AC3107" s="87"/>
      <x:c r="AD3107" s="87"/>
      <x:c r="AE3107" s="87"/>
      <x:c r="AF3107" s="87"/>
      <x:c r="AG3107" s="87"/>
      <x:c r="AH3107" s="87"/>
      <x:c r="AI3107" s="30"/>
      <x:c r="AJ3107" s="87" t="str">
        <x:v>master</x:v>
      </x:c>
      <x:c r="AK3107" s="87" t="str">
        <x:v>master-v0.81</x:v>
      </x:c>
      <x:c r="AL3107" s="87" t="str">
        <x:v>statgrad_master_base_v0_81_final(2).xlsx</x:v>
      </x:c>
      <x:c r="AM3107" s="87" t="str">
        <x:v>SOC_Sep_V4</x:v>
      </x:c>
      <x:c r="AN3107" s="87" t="n">
        <x:v>4</x:v>
      </x:c>
    </x:row>
    <x:row r="3108">
      <x:c r="A3108" s="87" t="n">
        <x:v>3107</x:v>
      </x:c>
      <x:c r="B3108" s="87" t="str">
        <x:v>SEP-SOC-V4-004</x:v>
      </x:c>
      <x:c r="C3108" s="87" t="str">
        <x:v>СтатГрад</x:v>
      </x:c>
      <x:c r="D3108" s="87" t="str">
        <x:v>Сентябрь 2025</x:v>
      </x:c>
      <x:c r="E3108" s="87"/>
      <x:c r="F3108" s="87"/>
      <x:c r="G3108" s="87" t="str">
        <x:v>Обществознание</x:v>
      </x:c>
      <x:c r="H3108" s="87" t="n">
        <x:v>11</x:v>
      </x:c>
      <x:c r="I3108" s="87" t="str">
        <x:v>ТР №1</x:v>
      </x:c>
      <x:c r="J3108" s="87" t="str">
        <x:v>ОБ2510104</x:v>
      </x:c>
      <x:c r="K3108" s="87" t="n">
        <x:v>4</x:v>
      </x:c>
      <x:c r="L3108" s="87" t="str">
        <x:v>Цель и средства деятельности</x:v>
      </x:c>
      <x:c r="M3108" s="30" t="str">
        <x:v>Определите средства, которые Алексей использует для поступления в университет и получения профессии адвоката.</x:v>
      </x:c>
      <x:c r="N3108" s="30" t="str">
        <x:v>146</x:v>
      </x:c>
      <x:c r="O3108" s="30" t="str">
        <x:v>Чтение литературы, онлайн-занятия и участие в олимпиадах являются средствами; поступление и статус адвоката — цели.</x:v>
      </x:c>
      <x:c r="P3108" s="30" t="str">
        <x:v>Чтение литературы, онлайн-занятия и участие в олимпиадах являются средствами; поступление и статус адвоката — цели.</x:v>
      </x:c>
      <x:c r="Q3108" s="30"/>
      <x:c r="R3108" s="30" t="str">
        <x:v>146</x:v>
      </x:c>
      <x:c r="S3108" s="30"/>
      <x:c r="T3108" s="30"/>
      <x:c r="U3108" s="30" t="str">
        <x:v>Расхождений с официальным PDF нет.</x:v>
      </x:c>
      <x:c r="V3108" s="87" t="str">
        <x:v>VERIFIED</x:v>
      </x:c>
      <x:c r="W3108" s="87" t="n">
        <x:v>3</x:v>
      </x:c>
      <x:c r="X3108" s="87"/>
      <x:c r="Y3108" s="87"/>
      <x:c r="Z3108" s="87"/>
      <x:c r="AA3108" s="87"/>
      <x:c r="AB3108" s="87"/>
      <x:c r="AC3108" s="87"/>
      <x:c r="AD3108" s="87"/>
      <x:c r="AE3108" s="87"/>
      <x:c r="AF3108" s="87"/>
      <x:c r="AG3108" s="87"/>
      <x:c r="AH3108" s="87"/>
      <x:c r="AI3108" s="30"/>
      <x:c r="AJ3108" s="87" t="str">
        <x:v>master</x:v>
      </x:c>
      <x:c r="AK3108" s="87" t="str">
        <x:v>master-v0.81</x:v>
      </x:c>
      <x:c r="AL3108" s="87" t="str">
        <x:v>statgrad_master_base_v0_81_final(2).xlsx</x:v>
      </x:c>
      <x:c r="AM3108" s="87" t="str">
        <x:v>SOC_Sep_V4</x:v>
      </x:c>
      <x:c r="AN3108" s="87" t="n">
        <x:v>5</x:v>
      </x:c>
    </x:row>
    <x:row r="3109">
      <x:c r="A3109" s="87" t="n">
        <x:v>3108</x:v>
      </x:c>
      <x:c r="B3109" s="87" t="str">
        <x:v>SEP-SOC-V4-005</x:v>
      </x:c>
      <x:c r="C3109" s="87" t="str">
        <x:v>СтатГрад</x:v>
      </x:c>
      <x:c r="D3109" s="87" t="str">
        <x:v>Сентябрь 2025</x:v>
      </x:c>
      <x:c r="E3109" s="87"/>
      <x:c r="F3109" s="87"/>
      <x:c r="G3109" s="87" t="str">
        <x:v>Обществознание</x:v>
      </x:c>
      <x:c r="H3109" s="87" t="n">
        <x:v>11</x:v>
      </x:c>
      <x:c r="I3109" s="87" t="str">
        <x:v>ТР №1</x:v>
      </x:c>
      <x:c r="J3109" s="87" t="str">
        <x:v>ОБ2510104</x:v>
      </x:c>
      <x:c r="K3109" s="87" t="n">
        <x:v>5</x:v>
      </x:c>
      <x:c r="L3109" s="87" t="str">
        <x:v>Экономический рост</x:v>
      </x:c>
      <x:c r="M3109" s="30" t="str">
        <x:v>Выберите верные суждения об интенсивных факторах и определении экономического роста.</x:v>
      </x:c>
      <x:c r="N3109" s="30" t="str">
        <x:v>245</x:v>
      </x:c>
      <x:c r="O3109" s="30" t="str">
        <x:v>Рост реального ВВП, повышение производительности и включённость роста в динамику экономического цикла отражены в пунктах 2, 4 и 5.</x:v>
      </x:c>
      <x:c r="P3109" s="30" t="str">
        <x:v>Рост реального ВВП, повышение производительности и включённость роста в динамику экономического цикла отражены в пунктах 2, 4 и 5.</x:v>
      </x:c>
      <x:c r="Q3109" s="30"/>
      <x:c r="R3109" s="30" t="str">
        <x:v>245</x:v>
      </x:c>
      <x:c r="S3109" s="30"/>
      <x:c r="T3109" s="30"/>
      <x:c r="U3109" s="30" t="str">
        <x:v>Расхождений с официальным PDF нет.</x:v>
      </x:c>
      <x:c r="V3109" s="87" t="str">
        <x:v>VERIFIED</x:v>
      </x:c>
      <x:c r="W3109" s="87" t="n">
        <x:v>4</x:v>
      </x:c>
      <x:c r="X3109" s="87"/>
      <x:c r="Y3109" s="87"/>
      <x:c r="Z3109" s="87"/>
      <x:c r="AA3109" s="87"/>
      <x:c r="AB3109" s="87"/>
      <x:c r="AC3109" s="87"/>
      <x:c r="AD3109" s="87"/>
      <x:c r="AE3109" s="87"/>
      <x:c r="AF3109" s="87"/>
      <x:c r="AG3109" s="87"/>
      <x:c r="AH3109" s="87"/>
      <x:c r="AI3109" s="30"/>
      <x:c r="AJ3109" s="87" t="str">
        <x:v>master</x:v>
      </x:c>
      <x:c r="AK3109" s="87" t="str">
        <x:v>master-v0.81</x:v>
      </x:c>
      <x:c r="AL3109" s="87" t="str">
        <x:v>statgrad_master_base_v0_81_final(2).xlsx</x:v>
      </x:c>
      <x:c r="AM3109" s="87" t="str">
        <x:v>SOC_Sep_V4</x:v>
      </x:c>
      <x:c r="AN3109" s="87" t="n">
        <x:v>6</x:v>
      </x:c>
    </x:row>
    <x:row r="3110">
      <x:c r="A3110" s="87" t="n">
        <x:v>3109</x:v>
      </x:c>
      <x:c r="B3110" s="87" t="str">
        <x:v>SEP-SOC-V4-006</x:v>
      </x:c>
      <x:c r="C3110" s="87" t="str">
        <x:v>СтатГрад</x:v>
      </x:c>
      <x:c r="D3110" s="87" t="str">
        <x:v>Сентябрь 2025</x:v>
      </x:c>
      <x:c r="E3110" s="87"/>
      <x:c r="F3110" s="87"/>
      <x:c r="G3110" s="87" t="str">
        <x:v>Обществознание</x:v>
      </x:c>
      <x:c r="H3110" s="87" t="n">
        <x:v>11</x:v>
      </x:c>
      <x:c r="I3110" s="87" t="str">
        <x:v>ТР №1</x:v>
      </x:c>
      <x:c r="J3110" s="87" t="str">
        <x:v>ОБ2510104</x:v>
      </x:c>
      <x:c r="K3110" s="87" t="n">
        <x:v>6</x:v>
      </x:c>
      <x:c r="L3110" s="87" t="str">
        <x:v>Виды конкуренции</x:v>
      </x:c>
      <x:c r="M3110" s="30" t="str">
        <x:v>Соотнесите железнодорожные, ресторанные, авиационные, ремонтные и автоперевозочные рынки с совершенной конкуренцией, олигополией и монополией.</x:v>
      </x:c>
      <x:c r="N3110" s="30" t="str">
        <x:v>31231</x:v>
      </x:c>
      <x:c r="O3110" s="30" t="str">
        <x:v>Один продавец — монополия; три крупные компании — олигополия; множество участников — конкурентный рынок.</x:v>
      </x:c>
      <x:c r="P3110" s="30" t="str">
        <x:v>Один продавец — монополия; три крупные компании — олигополия; множество участников — конкурентный рынок.</x:v>
      </x:c>
      <x:c r="Q3110" s="30"/>
      <x:c r="R3110" s="30" t="str">
        <x:v>31231</x:v>
      </x:c>
      <x:c r="S3110" s="30"/>
      <x:c r="T3110" s="30"/>
      <x:c r="U3110" s="30" t="str">
        <x:v>Расхождений с официальным PDF нет.</x:v>
      </x:c>
      <x:c r="V3110" s="87" t="str">
        <x:v>VERIFIED</x:v>
      </x:c>
      <x:c r="W3110" s="87" t="n">
        <x:v>4</x:v>
      </x:c>
      <x:c r="X3110" s="87"/>
      <x:c r="Y3110" s="87"/>
      <x:c r="Z3110" s="87"/>
      <x:c r="AA3110" s="87"/>
      <x:c r="AB3110" s="87"/>
      <x:c r="AC3110" s="87"/>
      <x:c r="AD3110" s="87"/>
      <x:c r="AE3110" s="87"/>
      <x:c r="AF3110" s="87"/>
      <x:c r="AG3110" s="87"/>
      <x:c r="AH3110" s="87"/>
      <x:c r="AI3110" s="30"/>
      <x:c r="AJ3110" s="87" t="str">
        <x:v>master</x:v>
      </x:c>
      <x:c r="AK3110" s="87" t="str">
        <x:v>master-v0.81</x:v>
      </x:c>
      <x:c r="AL3110" s="87" t="str">
        <x:v>statgrad_master_base_v0_81_final(2).xlsx</x:v>
      </x:c>
      <x:c r="AM3110" s="87" t="str">
        <x:v>SOC_Sep_V4</x:v>
      </x:c>
      <x:c r="AN3110" s="87" t="n">
        <x:v>7</x:v>
      </x:c>
    </x:row>
    <x:row r="3111">
      <x:c r="A3111" s="87" t="n">
        <x:v>3110</x:v>
      </x:c>
      <x:c r="B3111" s="87" t="str">
        <x:v>SEP-SOC-V4-007</x:v>
      </x:c>
      <x:c r="C3111" s="87" t="str">
        <x:v>СтатГрад</x:v>
      </x:c>
      <x:c r="D3111" s="87" t="str">
        <x:v>Сентябрь 2025</x:v>
      </x:c>
      <x:c r="E3111" s="87"/>
      <x:c r="F3111" s="87"/>
      <x:c r="G3111" s="87" t="str">
        <x:v>Обществознание</x:v>
      </x:c>
      <x:c r="H3111" s="87" t="n">
        <x:v>11</x:v>
      </x:c>
      <x:c r="I3111" s="87" t="str">
        <x:v>ТР №1</x:v>
      </x:c>
      <x:c r="J3111" s="87" t="str">
        <x:v>ОБ2510104</x:v>
      </x:c>
      <x:c r="K3111" s="87" t="n">
        <x:v>7</x:v>
      </x:c>
      <x:c r="L3111" s="87" t="str">
        <x:v>Центральный банк</x:v>
      </x:c>
      <x:c r="M3111" s="30" t="str">
        <x:v>Определите признаки центрального банка.</x:v>
      </x:c>
      <x:c r="N3111" s="30" t="str">
        <x:v>245</x:v>
      </x:c>
      <x:c r="O3111" s="30" t="str">
        <x:v>Эмиссия денег, установление ключевой ставки и лицензирование финансовых организаций относятся к полномочиям центрального банка.</x:v>
      </x:c>
      <x:c r="P3111" s="30" t="str">
        <x:v>Эмиссия денег, установление ключевой ставки и лицензирование финансовых организаций относятся к полномочиям центрального банка.</x:v>
      </x:c>
      <x:c r="Q3111" s="30"/>
      <x:c r="R3111" s="30" t="str">
        <x:v>245</x:v>
      </x:c>
      <x:c r="S3111" s="30"/>
      <x:c r="T3111" s="30"/>
      <x:c r="U3111" s="30" t="str">
        <x:v>Дополнительная фото-сводка содержит 134, но официальный PDF и независимая проверка подтверждают 245.</x:v>
      </x:c>
      <x:c r="V3111" s="87" t="str">
        <x:v>VERIFIED</x:v>
      </x:c>
      <x:c r="W3111" s="87" t="n">
        <x:v>5</x:v>
      </x:c>
      <x:c r="X3111" s="87"/>
      <x:c r="Y3111" s="87"/>
      <x:c r="Z3111" s="87"/>
      <x:c r="AA3111" s="87"/>
      <x:c r="AB3111" s="87"/>
      <x:c r="AC3111" s="87"/>
      <x:c r="AD3111" s="87"/>
      <x:c r="AE3111" s="87"/>
      <x:c r="AF3111" s="87"/>
      <x:c r="AG3111" s="87"/>
      <x:c r="AH3111" s="87"/>
      <x:c r="AI3111" s="30"/>
      <x:c r="AJ3111" s="87" t="str">
        <x:v>master</x:v>
      </x:c>
      <x:c r="AK3111" s="87" t="str">
        <x:v>master-v0.81</x:v>
      </x:c>
      <x:c r="AL3111" s="87" t="str">
        <x:v>statgrad_master_base_v0_81_final(2).xlsx</x:v>
      </x:c>
      <x:c r="AM3111" s="87" t="str">
        <x:v>SOC_Sep_V4</x:v>
      </x:c>
      <x:c r="AN3111" s="87" t="n">
        <x:v>8</x:v>
      </x:c>
    </x:row>
    <x:row r="3112">
      <x:c r="A3112" s="87" t="n">
        <x:v>3111</x:v>
      </x:c>
      <x:c r="B3112" s="87" t="str">
        <x:v>SEP-SOC-V4-008</x:v>
      </x:c>
      <x:c r="C3112" s="87" t="str">
        <x:v>СтатГрад</x:v>
      </x:c>
      <x:c r="D3112" s="87" t="str">
        <x:v>Сентябрь 2025</x:v>
      </x:c>
      <x:c r="E3112" s="87"/>
      <x:c r="F3112" s="87"/>
      <x:c r="G3112" s="87" t="str">
        <x:v>Обществознание</x:v>
      </x:c>
      <x:c r="H3112" s="87" t="n">
        <x:v>11</x:v>
      </x:c>
      <x:c r="I3112" s="87" t="str">
        <x:v>ТР №1</x:v>
      </x:c>
      <x:c r="J3112" s="87" t="str">
        <x:v>ОБ2510104</x:v>
      </x:c>
      <x:c r="K3112" s="87" t="n">
        <x:v>8</x:v>
      </x:c>
      <x:c r="L3112" s="87" t="str">
        <x:v>Социальный конфликт</x:v>
      </x:c>
      <x:c r="M3112" s="30" t="str">
        <x:v>Выберите верные суждения о причинах, сущности и функциях социального конфликта.</x:v>
      </x:c>
      <x:c r="N3112" s="30" t="str">
        <x:v>125</x:v>
      </x:c>
      <x:c r="O3112" s="30" t="str">
        <x:v>Верны 1, 3 и 5: конфликт связан с противоборством интересов, может возникать из-за роста группового самосознания и имеет конструктивные и деструктивные функции.</x:v>
      </x:c>
      <x:c r="P3112" s="30" t="str">
        <x:v>Верны 1, 3 и 5: конфликт связан с противоборством интересов, может возникать из-за роста группового самосознания и имеет конструктивные и деструктивные функции.</x:v>
      </x:c>
      <x:c r="Q3112" s="30"/>
      <x:c r="R3112" s="30" t="str">
        <x:v>125</x:v>
      </x:c>
      <x:c r="S3112" s="30"/>
      <x:c r="T3112" s="30"/>
      <x:c r="U3112" s="30" t="str">
        <x:v>Дополнительная фото-сводка содержит 135, но официальный PDF и независимая проверка подтверждают 125.</x:v>
      </x:c>
      <x:c r="V3112" s="87" t="str">
        <x:v>VERIFIED</x:v>
      </x:c>
      <x:c r="W3112" s="87" t="n">
        <x:v>5</x:v>
      </x:c>
      <x:c r="X3112" s="87"/>
      <x:c r="Y3112" s="87"/>
      <x:c r="Z3112" s="87"/>
      <x:c r="AA3112" s="87"/>
      <x:c r="AB3112" s="87"/>
      <x:c r="AC3112" s="87"/>
      <x:c r="AD3112" s="87"/>
      <x:c r="AE3112" s="87"/>
      <x:c r="AF3112" s="87"/>
      <x:c r="AG3112" s="87"/>
      <x:c r="AH3112" s="87"/>
      <x:c r="AI3112" s="30"/>
      <x:c r="AJ3112" s="87" t="str">
        <x:v>master</x:v>
      </x:c>
      <x:c r="AK3112" s="87" t="str">
        <x:v>master-v0.81</x:v>
      </x:c>
      <x:c r="AL3112" s="87" t="str">
        <x:v>statgrad_master_base_v0_81_final(2).xlsx</x:v>
      </x:c>
      <x:c r="AM3112" s="87" t="str">
        <x:v>SOC_Sep_V4</x:v>
      </x:c>
      <x:c r="AN3112" s="87" t="n">
        <x:v>9</x:v>
      </x:c>
    </x:row>
    <x:row r="3113">
      <x:c r="A3113" s="87" t="n">
        <x:v>3112</x:v>
      </x:c>
      <x:c r="B3113" s="87" t="str">
        <x:v>SEP-SOC-V4-009</x:v>
      </x:c>
      <x:c r="C3113" s="87" t="str">
        <x:v>СтатГрад</x:v>
      </x:c>
      <x:c r="D3113" s="87" t="str">
        <x:v>Сентябрь 2025</x:v>
      </x:c>
      <x:c r="E3113" s="87"/>
      <x:c r="F3113" s="87"/>
      <x:c r="G3113" s="87" t="str">
        <x:v>Обществознание</x:v>
      </x:c>
      <x:c r="H3113" s="87" t="n">
        <x:v>11</x:v>
      </x:c>
      <x:c r="I3113" s="87" t="str">
        <x:v>ТР №1</x:v>
      </x:c>
      <x:c r="J3113" s="87" t="str">
        <x:v>ОБ2510104</x:v>
      </x:c>
      <x:c r="K3113" s="87" t="n">
        <x:v>9</x:v>
      </x:c>
      <x:c r="L3113" s="87" t="str">
        <x:v>Социологическая диаграмма</x:v>
      </x:c>
      <x:c r="M3113" s="30" t="str">
        <x:v>По диаграмме сравните предпочтительное место работы жителей страны Z в 2010 и 2024 годах.</x:v>
      </x:c>
      <x:c r="N3113" s="30" t="str">
        <x:v>234</x:v>
      </x:c>
      <x:c r="O3113" s="30" t="str">
        <x:v>По значениям столбцов верны выводы 2, 3 и 4.</x:v>
      </x:c>
      <x:c r="P3113" s="30" t="str">
        <x:v>По значениям столбцов верны выводы 2, 3 и 4.</x:v>
      </x:c>
      <x:c r="Q3113" s="30"/>
      <x:c r="R3113" s="30" t="str">
        <x:v>234</x:v>
      </x:c>
      <x:c r="S3113" s="30"/>
      <x:c r="T3113" s="30"/>
      <x:c r="U3113" s="30" t="str">
        <x:v>Расхождений с официальным PDF нет.</x:v>
      </x:c>
      <x:c r="V3113" s="87" t="str">
        <x:v>VERIFIED</x:v>
      </x:c>
      <x:c r="W3113" s="87" t="n">
        <x:v>6</x:v>
      </x:c>
      <x:c r="X3113" s="87"/>
      <x:c r="Y3113" s="87"/>
      <x:c r="Z3113" s="87"/>
      <x:c r="AA3113" s="87"/>
      <x:c r="AB3113" s="87"/>
      <x:c r="AC3113" s="87" t="str">
        <x:v>VIS-SOC-SEP-002</x:v>
      </x:c>
      <x:c r="AD3113" s="87"/>
      <x:c r="AE3113" s="87" t="str">
        <x:v>Социологическая диаграмма</x:v>
      </x:c>
      <x:c r="AF3113" s="87" t="str">
        <x:v>VIS-SOC-SEP-002: 19</x:v>
      </x:c>
      <x:c r="AG3113" s="87" t="str">
        <x:v>RESOLVED</x:v>
      </x:c>
      <x:c r="AH3113" s="87" t="str">
        <x:v>ORIGINAL_ASSET_HASH_VERIFIED; TASK_CROP_QA_APPROVED:MANUAL_BBOX</x:v>
      </x:c>
      <x:c r="AI3113" s="30"/>
      <x:c r="AJ3113" s="87" t="str">
        <x:v>master</x:v>
      </x:c>
      <x:c r="AK3113" s="87" t="str">
        <x:v>master-v0.81</x:v>
      </x:c>
      <x:c r="AL3113" s="87" t="str">
        <x:v>statgrad_master_base_v0_81_final(2).xlsx</x:v>
      </x:c>
      <x:c r="AM3113" s="87" t="str">
        <x:v>SOC_Sep_V4</x:v>
      </x:c>
      <x:c r="AN3113" s="87" t="n">
        <x:v>10</x:v>
      </x:c>
    </x:row>
    <x:row r="3114">
      <x:c r="A3114" s="87" t="n">
        <x:v>3113</x:v>
      </x:c>
      <x:c r="B3114" s="87" t="str">
        <x:v>SEP-SOC-V4-010</x:v>
      </x:c>
      <x:c r="C3114" s="87" t="str">
        <x:v>СтатГрад</x:v>
      </x:c>
      <x:c r="D3114" s="87" t="str">
        <x:v>Сентябрь 2025</x:v>
      </x:c>
      <x:c r="E3114" s="87"/>
      <x:c r="F3114" s="87"/>
      <x:c r="G3114" s="87" t="str">
        <x:v>Обществознание</x:v>
      </x:c>
      <x:c r="H3114" s="87" t="n">
        <x:v>11</x:v>
      </x:c>
      <x:c r="I3114" s="87" t="str">
        <x:v>ТР №1</x:v>
      </x:c>
      <x:c r="J3114" s="87" t="str">
        <x:v>ОБ2510104</x:v>
      </x:c>
      <x:c r="K3114" s="87" t="n">
        <x:v>10</x:v>
      </x:c>
      <x:c r="L3114" s="87" t="str">
        <x:v>Государственная власть</x:v>
      </x:c>
      <x:c r="M3114" s="30" t="str">
        <x:v>Выберите отличительные признаки государственной власти.</x:v>
      </x:c>
      <x:c r="N3114" s="30" t="str">
        <x:v>135</x:v>
      </x:c>
      <x:c r="O3114" s="30" t="str">
        <x:v>Общеобязательное нормотворчество, легальное применение силы и публичный характер отличают государственную власть.</x:v>
      </x:c>
      <x:c r="P3114" s="30" t="str">
        <x:v>Общеобязательное нормотворчество, легальное применение силы и публичный характер отличают государственную власть.</x:v>
      </x:c>
      <x:c r="Q3114" s="30"/>
      <x:c r="R3114" s="30" t="str">
        <x:v>135</x:v>
      </x:c>
      <x:c r="S3114" s="30"/>
      <x:c r="T3114" s="30"/>
      <x:c r="U3114" s="30" t="str">
        <x:v>Расхождений с официальным PDF нет.</x:v>
      </x:c>
      <x:c r="V3114" s="87" t="str">
        <x:v>VERIFIED</x:v>
      </x:c>
      <x:c r="W3114" s="87" t="n">
        <x:v>7</x:v>
      </x:c>
      <x:c r="X3114" s="87"/>
      <x:c r="Y3114" s="87"/>
      <x:c r="Z3114" s="87"/>
      <x:c r="AA3114" s="87"/>
      <x:c r="AB3114" s="87"/>
      <x:c r="AC3114" s="87"/>
      <x:c r="AD3114" s="87"/>
      <x:c r="AE3114" s="87"/>
      <x:c r="AF3114" s="87"/>
      <x:c r="AG3114" s="87"/>
      <x:c r="AH3114" s="87"/>
      <x:c r="AI3114" s="30"/>
      <x:c r="AJ3114" s="87" t="str">
        <x:v>master</x:v>
      </x:c>
      <x:c r="AK3114" s="87" t="str">
        <x:v>master-v0.81</x:v>
      </x:c>
      <x:c r="AL3114" s="87" t="str">
        <x:v>statgrad_master_base_v0_81_final(2).xlsx</x:v>
      </x:c>
      <x:c r="AM3114" s="87" t="str">
        <x:v>SOC_Sep_V4</x:v>
      </x:c>
      <x:c r="AN3114" s="87" t="n">
        <x:v>11</x:v>
      </x:c>
    </x:row>
    <x:row r="3115">
      <x:c r="A3115" s="87" t="n">
        <x:v>3114</x:v>
      </x:c>
      <x:c r="B3115" s="87" t="str">
        <x:v>SEP-SOC-V4-011</x:v>
      </x:c>
      <x:c r="C3115" s="87" t="str">
        <x:v>СтатГрад</x:v>
      </x:c>
      <x:c r="D3115" s="87" t="str">
        <x:v>Сентябрь 2025</x:v>
      </x:c>
      <x:c r="E3115" s="87"/>
      <x:c r="F3115" s="87"/>
      <x:c r="G3115" s="87" t="str">
        <x:v>Обществознание</x:v>
      </x:c>
      <x:c r="H3115" s="87" t="n">
        <x:v>11</x:v>
      </x:c>
      <x:c r="I3115" s="87" t="str">
        <x:v>ТР №1</x:v>
      </x:c>
      <x:c r="J3115" s="87" t="str">
        <x:v>ОБ2510104</x:v>
      </x:c>
      <x:c r="K3115" s="87" t="n">
        <x:v>11</x:v>
      </x:c>
      <x:c r="L3115" s="87" t="str">
        <x:v>Политический режим</x:v>
      </x:c>
      <x:c r="M3115" s="30" t="str">
        <x:v>Выберите признаки недемократического режима при формальном наличии выборов.</x:v>
      </x:c>
      <x:c r="N3115" s="30" t="str">
        <x:v>246</x:v>
      </x:c>
      <x:c r="O3115" s="30" t="str">
        <x:v>Монополия одной партии, принятие бюджета правительством вместо парламента и несоблюдение провозглашённых прав указывают на недемократический режим.</x:v>
      </x:c>
      <x:c r="P3115" s="30" t="str">
        <x:v>Монополия одной партии, принятие бюджета правительством вместо парламента и несоблюдение провозглашённых прав указывают на недемократический режим.</x:v>
      </x:c>
      <x:c r="Q3115" s="30"/>
      <x:c r="R3115" s="30" t="str">
        <x:v>246</x:v>
      </x:c>
      <x:c r="S3115" s="30"/>
      <x:c r="T3115" s="30"/>
      <x:c r="U3115" s="30" t="str">
        <x:v>Расхождений с официальным PDF нет.</x:v>
      </x:c>
      <x:c r="V3115" s="87" t="str">
        <x:v>VERIFIED</x:v>
      </x:c>
      <x:c r="W3115" s="87" t="n">
        <x:v>7</x:v>
      </x:c>
      <x:c r="X3115" s="87"/>
      <x:c r="Y3115" s="87"/>
      <x:c r="Z3115" s="87"/>
      <x:c r="AA3115" s="87"/>
      <x:c r="AB3115" s="87"/>
      <x:c r="AC3115" s="87"/>
      <x:c r="AD3115" s="87"/>
      <x:c r="AE3115" s="87"/>
      <x:c r="AF3115" s="87"/>
      <x:c r="AG3115" s="87"/>
      <x:c r="AH3115" s="87"/>
      <x:c r="AI3115" s="30"/>
      <x:c r="AJ3115" s="87" t="str">
        <x:v>master</x:v>
      </x:c>
      <x:c r="AK3115" s="87" t="str">
        <x:v>master-v0.81</x:v>
      </x:c>
      <x:c r="AL3115" s="87" t="str">
        <x:v>statgrad_master_base_v0_81_final(2).xlsx</x:v>
      </x:c>
      <x:c r="AM3115" s="87" t="str">
        <x:v>SOC_Sep_V4</x:v>
      </x:c>
      <x:c r="AN3115" s="87" t="n">
        <x:v>12</x:v>
      </x:c>
    </x:row>
    <x:row r="3116">
      <x:c r="A3116" s="87" t="n">
        <x:v>3115</x:v>
      </x:c>
      <x:c r="B3116" s="87" t="str">
        <x:v>SEP-SOC-V4-012</x:v>
      </x:c>
      <x:c r="C3116" s="87" t="str">
        <x:v>СтатГрад</x:v>
      </x:c>
      <x:c r="D3116" s="87" t="str">
        <x:v>Сентябрь 2025</x:v>
      </x:c>
      <x:c r="E3116" s="87"/>
      <x:c r="F3116" s="87"/>
      <x:c r="G3116" s="87" t="str">
        <x:v>Обществознание</x:v>
      </x:c>
      <x:c r="H3116" s="87" t="n">
        <x:v>11</x:v>
      </x:c>
      <x:c r="I3116" s="87" t="str">
        <x:v>ТР №1</x:v>
      </x:c>
      <x:c r="J3116" s="87" t="str">
        <x:v>ОБ2510104</x:v>
      </x:c>
      <x:c r="K3116" s="87" t="n">
        <x:v>12</x:v>
      </x:c>
      <x:c r="L3116" s="87" t="str">
        <x:v>Основы конституционного строя</x:v>
      </x:c>
      <x:c r="M3116" s="30" t="str">
        <x:v>Выберите положения, относящиеся к основам конституционного строя Российской Федерации.</x:v>
      </x:c>
      <x:c r="N3116" s="30" t="str">
        <x:v>156</x:v>
      </x:c>
      <x:c r="O3116" s="30" t="str">
        <x:v>Республиканская форма правления, разделение властей и светский характер государства закреплены в главе об основах конституционного строя.</x:v>
      </x:c>
      <x:c r="P3116" s="30" t="str">
        <x:v>Республиканская форма правления, разделение властей и светский характер государства закреплены в главе об основах конституционного строя.</x:v>
      </x:c>
      <x:c r="Q3116" s="30"/>
      <x:c r="R3116" s="30" t="str">
        <x:v>156</x:v>
      </x:c>
      <x:c r="S3116" s="30"/>
      <x:c r="T3116" s="30"/>
      <x:c r="U3116" s="30" t="str">
        <x:v>Расхождений с официальным PDF нет.</x:v>
      </x:c>
      <x:c r="V3116" s="87" t="str">
        <x:v>VERIFIED</x:v>
      </x:c>
      <x:c r="W3116" s="87" t="n">
        <x:v>7</x:v>
      </x:c>
      <x:c r="X3116" s="87"/>
      <x:c r="Y3116" s="87"/>
      <x:c r="Z3116" s="87"/>
      <x:c r="AA3116" s="87"/>
      <x:c r="AB3116" s="87"/>
      <x:c r="AC3116" s="87"/>
      <x:c r="AD3116" s="87"/>
      <x:c r="AE3116" s="87"/>
      <x:c r="AF3116" s="87"/>
      <x:c r="AG3116" s="87"/>
      <x:c r="AH3116" s="87"/>
      <x:c r="AI3116" s="30"/>
      <x:c r="AJ3116" s="87" t="str">
        <x:v>master</x:v>
      </x:c>
      <x:c r="AK3116" s="87" t="str">
        <x:v>master-v0.81</x:v>
      </x:c>
      <x:c r="AL3116" s="87" t="str">
        <x:v>statgrad_master_base_v0_81_final(2).xlsx</x:v>
      </x:c>
      <x:c r="AM3116" s="87" t="str">
        <x:v>SOC_Sep_V4</x:v>
      </x:c>
      <x:c r="AN3116" s="87" t="n">
        <x:v>13</x:v>
      </x:c>
    </x:row>
    <x:row r="3117">
      <x:c r="A3117" s="87" t="n">
        <x:v>3116</x:v>
      </x:c>
      <x:c r="B3117" s="87" t="str">
        <x:v>SEP-SOC-V4-013</x:v>
      </x:c>
      <x:c r="C3117" s="87" t="str">
        <x:v>СтатГрад</x:v>
      </x:c>
      <x:c r="D3117" s="87" t="str">
        <x:v>Сентябрь 2025</x:v>
      </x:c>
      <x:c r="E3117" s="87"/>
      <x:c r="F3117" s="87"/>
      <x:c r="G3117" s="87" t="str">
        <x:v>Обществознание</x:v>
      </x:c>
      <x:c r="H3117" s="87" t="n">
        <x:v>11</x:v>
      </x:c>
      <x:c r="I3117" s="87" t="str">
        <x:v>ТР №1</x:v>
      </x:c>
      <x:c r="J3117" s="87" t="str">
        <x:v>ОБ2510104</x:v>
      </x:c>
      <x:c r="K3117" s="87" t="n">
        <x:v>13</x:v>
      </x:c>
      <x:c r="L3117" s="87" t="str">
        <x:v>Статус субъектов Федерации</x:v>
      </x:c>
      <x:c r="M3117" s="30" t="str">
        <x:v>Соотнесите полномочия всех субъектов РФ и полномочия только республик.</x:v>
      </x:c>
      <x:c r="N3117" s="30" t="str">
        <x:v>21112</x:v>
      </x:c>
      <x:c r="O3117" s="30" t="str">
        <x:v>Конституцию и государственные языки устанавливают республики; символы, законы и систему органов власти имеют все субъекты.</x:v>
      </x:c>
      <x:c r="P3117" s="30" t="str">
        <x:v>Конституцию и государственные языки устанавливают республики; символы, законы и систему органов власти имеют все субъекты.</x:v>
      </x:c>
      <x:c r="Q3117" s="30"/>
      <x:c r="R3117" s="30" t="str">
        <x:v>21112</x:v>
      </x:c>
      <x:c r="S3117" s="30"/>
      <x:c r="T3117" s="30"/>
      <x:c r="U3117" s="30" t="str">
        <x:v>Расхождений с официальным PDF нет.</x:v>
      </x:c>
      <x:c r="V3117" s="87" t="str">
        <x:v>VERIFIED</x:v>
      </x:c>
      <x:c r="W3117" s="87" t="n">
        <x:v>8</x:v>
      </x:c>
      <x:c r="X3117" s="87"/>
      <x:c r="Y3117" s="87"/>
      <x:c r="Z3117" s="87"/>
      <x:c r="AA3117" s="87"/>
      <x:c r="AB3117" s="87"/>
      <x:c r="AC3117" s="87"/>
      <x:c r="AD3117" s="87"/>
      <x:c r="AE3117" s="87"/>
      <x:c r="AF3117" s="87"/>
      <x:c r="AG3117" s="87"/>
      <x:c r="AH3117" s="87"/>
      <x:c r="AI3117" s="30"/>
      <x:c r="AJ3117" s="87" t="str">
        <x:v>master</x:v>
      </x:c>
      <x:c r="AK3117" s="87" t="str">
        <x:v>master-v0.81</x:v>
      </x:c>
      <x:c r="AL3117" s="87" t="str">
        <x:v>statgrad_master_base_v0_81_final(2).xlsx</x:v>
      </x:c>
      <x:c r="AM3117" s="87" t="str">
        <x:v>SOC_Sep_V4</x:v>
      </x:c>
      <x:c r="AN3117" s="87" t="n">
        <x:v>14</x:v>
      </x:c>
    </x:row>
    <x:row r="3118">
      <x:c r="A3118" s="87" t="n">
        <x:v>3117</x:v>
      </x:c>
      <x:c r="B3118" s="87" t="str">
        <x:v>SEP-SOC-V4-014</x:v>
      </x:c>
      <x:c r="C3118" s="87" t="str">
        <x:v>СтатГрад</x:v>
      </x:c>
      <x:c r="D3118" s="87" t="str">
        <x:v>Сентябрь 2025</x:v>
      </x:c>
      <x:c r="E3118" s="87"/>
      <x:c r="F3118" s="87"/>
      <x:c r="G3118" s="87" t="str">
        <x:v>Обществознание</x:v>
      </x:c>
      <x:c r="H3118" s="87" t="n">
        <x:v>11</x:v>
      </x:c>
      <x:c r="I3118" s="87" t="str">
        <x:v>ТР №1</x:v>
      </x:c>
      <x:c r="J3118" s="87" t="str">
        <x:v>ОБ2510104</x:v>
      </x:c>
      <x:c r="K3118" s="87" t="n">
        <x:v>14</x:v>
      </x:c>
      <x:c r="L3118" s="87" t="str">
        <x:v>Заключение брака</x:v>
      </x:c>
      <x:c r="M3118" s="30" t="str">
        <x:v>Выберите верные суждения об условиях и порядке заключения брака.</x:v>
      </x:c>
      <x:c r="N3118" s="30" t="str">
        <x:v>35</x:v>
      </x:c>
      <x:c r="O3118" s="30" t="str">
        <x:v>Брак запрещён между близкими родственниками и регистрируется при личном присутствии вступающих в брак.</x:v>
      </x:c>
      <x:c r="P3118" s="30" t="str">
        <x:v>Брак запрещён между близкими родственниками и регистрируется при личном присутствии вступающих в брак.</x:v>
      </x:c>
      <x:c r="Q3118" s="30"/>
      <x:c r="R3118" s="30" t="str">
        <x:v>35</x:v>
      </x:c>
      <x:c r="S3118" s="30"/>
      <x:c r="T3118" s="30"/>
      <x:c r="U3118" s="30" t="str">
        <x:v>Расхождений с официальным PDF нет.</x:v>
      </x:c>
      <x:c r="V3118" s="87" t="str">
        <x:v>VERIFIED</x:v>
      </x:c>
      <x:c r="W3118" s="87" t="n">
        <x:v>8</x:v>
      </x:c>
      <x:c r="X3118" s="87"/>
      <x:c r="Y3118" s="87"/>
      <x:c r="Z3118" s="87"/>
      <x:c r="AA3118" s="87"/>
      <x:c r="AB3118" s="87"/>
      <x:c r="AC3118" s="87"/>
      <x:c r="AD3118" s="87"/>
      <x:c r="AE3118" s="87"/>
      <x:c r="AF3118" s="87"/>
      <x:c r="AG3118" s="87"/>
      <x:c r="AH3118" s="87"/>
      <x:c r="AI3118" s="30"/>
      <x:c r="AJ3118" s="87" t="str">
        <x:v>master</x:v>
      </x:c>
      <x:c r="AK3118" s="87" t="str">
        <x:v>master-v0.81</x:v>
      </x:c>
      <x:c r="AL3118" s="87" t="str">
        <x:v>statgrad_master_base_v0_81_final(2).xlsx</x:v>
      </x:c>
      <x:c r="AM3118" s="87" t="str">
        <x:v>SOC_Sep_V4</x:v>
      </x:c>
      <x:c r="AN3118" s="87" t="n">
        <x:v>15</x:v>
      </x:c>
    </x:row>
    <x:row r="3119">
      <x:c r="A3119" s="87" t="n">
        <x:v>3118</x:v>
      </x:c>
      <x:c r="B3119" s="87" t="str">
        <x:v>SEP-SOC-V4-015</x:v>
      </x:c>
      <x:c r="C3119" s="87" t="str">
        <x:v>СтатГрад</x:v>
      </x:c>
      <x:c r="D3119" s="87" t="str">
        <x:v>Сентябрь 2025</x:v>
      </x:c>
      <x:c r="E3119" s="87"/>
      <x:c r="F3119" s="87"/>
      <x:c r="G3119" s="87" t="str">
        <x:v>Обществознание</x:v>
      </x:c>
      <x:c r="H3119" s="87" t="n">
        <x:v>11</x:v>
      </x:c>
      <x:c r="I3119" s="87" t="str">
        <x:v>ТР №1</x:v>
      </x:c>
      <x:c r="J3119" s="87" t="str">
        <x:v>ОБ2510104</x:v>
      </x:c>
      <x:c r="K3119" s="87" t="n">
        <x:v>15</x:v>
      </x:c>
      <x:c r="L3119" s="87" t="str">
        <x:v>Юридические лица</x:v>
      </x:c>
      <x:c r="M3119" s="30" t="str">
        <x:v>Соотнесите формы юридических лиц с коммерческими и некоммерческими организациями.</x:v>
      </x:c>
      <x:c r="N3119" s="30" t="str">
        <x:v>22112</x:v>
      </x:c>
      <x:c r="O3119" s="30" t="str">
        <x:v>Кооператив, нотариальная палата и ТСН — некоммерческие; товарищество на вере и унитарное предприятие — коммерческие.</x:v>
      </x:c>
      <x:c r="P3119" s="30" t="str">
        <x:v>Кооператив, нотариальная палата и ТСН — некоммерческие; товарищество на вере и унитарное предприятие — коммерческие.</x:v>
      </x:c>
      <x:c r="Q3119" s="30"/>
      <x:c r="R3119" s="30" t="str">
        <x:v>22112</x:v>
      </x:c>
      <x:c r="S3119" s="30"/>
      <x:c r="T3119" s="30"/>
      <x:c r="U3119" s="30" t="str">
        <x:v>Расхождений с официальным PDF нет.</x:v>
      </x:c>
      <x:c r="V3119" s="87" t="str">
        <x:v>VERIFIED</x:v>
      </x:c>
      <x:c r="W3119" s="87" t="n">
        <x:v>9</x:v>
      </x:c>
      <x:c r="X3119" s="87"/>
      <x:c r="Y3119" s="87"/>
      <x:c r="Z3119" s="87"/>
      <x:c r="AA3119" s="87"/>
      <x:c r="AB3119" s="87"/>
      <x:c r="AC3119" s="87"/>
      <x:c r="AD3119" s="87"/>
      <x:c r="AE3119" s="87"/>
      <x:c r="AF3119" s="87"/>
      <x:c r="AG3119" s="87"/>
      <x:c r="AH3119" s="87"/>
      <x:c r="AI3119" s="30"/>
      <x:c r="AJ3119" s="87" t="str">
        <x:v>master</x:v>
      </x:c>
      <x:c r="AK3119" s="87" t="str">
        <x:v>master-v0.81</x:v>
      </x:c>
      <x:c r="AL3119" s="87" t="str">
        <x:v>statgrad_master_base_v0_81_final(2).xlsx</x:v>
      </x:c>
      <x:c r="AM3119" s="87" t="str">
        <x:v>SOC_Sep_V4</x:v>
      </x:c>
      <x:c r="AN3119" s="87" t="n">
        <x:v>16</x:v>
      </x:c>
    </x:row>
    <x:row r="3120">
      <x:c r="A3120" s="87" t="n">
        <x:v>3119</x:v>
      </x:c>
      <x:c r="B3120" s="87" t="str">
        <x:v>SEP-SOC-V4-016</x:v>
      </x:c>
      <x:c r="C3120" s="87" t="str">
        <x:v>СтатГрад</x:v>
      </x:c>
      <x:c r="D3120" s="87" t="str">
        <x:v>Сентябрь 2025</x:v>
      </x:c>
      <x:c r="E3120" s="87"/>
      <x:c r="F3120" s="87"/>
      <x:c r="G3120" s="87" t="str">
        <x:v>Обществознание</x:v>
      </x:c>
      <x:c r="H3120" s="87" t="n">
        <x:v>11</x:v>
      </x:c>
      <x:c r="I3120" s="87" t="str">
        <x:v>ТР №1</x:v>
      </x:c>
      <x:c r="J3120" s="87" t="str">
        <x:v>ОБ2510104</x:v>
      </x:c>
      <x:c r="K3120" s="87" t="n">
        <x:v>16</x:v>
      </x:c>
      <x:c r="L3120" s="87" t="str">
        <x:v>Адвокатура</x:v>
      </x:c>
      <x:c r="M3120" s="30" t="str">
        <x:v>Выберите профессиональные полномочия адвоката.</x:v>
      </x:c>
      <x:c r="N3120" s="30" t="str">
        <x:v>134</x:v>
      </x:c>
      <x:c r="O3120" s="30" t="str">
        <x:v>Адвокат консультирует, защищает обвиняемого и составляет правовые документы; надзор осуществляет прокуратура, удостоверение — нотариус.</x:v>
      </x:c>
      <x:c r="P3120" s="30" t="str">
        <x:v>Адвокат консультирует, защищает обвиняемого и составляет правовые документы; надзор осуществляет прокуратура, удостоверение — нотариус.</x:v>
      </x:c>
      <x:c r="Q3120" s="30"/>
      <x:c r="R3120" s="30" t="str">
        <x:v>134</x:v>
      </x:c>
      <x:c r="S3120" s="30"/>
      <x:c r="T3120" s="30"/>
      <x:c r="U3120" s="30" t="str">
        <x:v>Расхождений с официальным PDF нет.</x:v>
      </x:c>
      <x:c r="V3120" s="87" t="str">
        <x:v>VERIFIED</x:v>
      </x:c>
      <x:c r="W3120" s="87" t="n">
        <x:v>9</x:v>
      </x:c>
      <x:c r="X3120" s="87"/>
      <x:c r="Y3120" s="87"/>
      <x:c r="Z3120" s="87"/>
      <x:c r="AA3120" s="87"/>
      <x:c r="AB3120" s="87"/>
      <x:c r="AC3120" s="87"/>
      <x:c r="AD3120" s="87"/>
      <x:c r="AE3120" s="87"/>
      <x:c r="AF3120" s="87"/>
      <x:c r="AG3120" s="87"/>
      <x:c r="AH3120" s="87"/>
      <x:c r="AI3120" s="30"/>
      <x:c r="AJ3120" s="87" t="str">
        <x:v>master</x:v>
      </x:c>
      <x:c r="AK3120" s="87" t="str">
        <x:v>master-v0.81</x:v>
      </x:c>
      <x:c r="AL3120" s="87" t="str">
        <x:v>statgrad_master_base_v0_81_final(2).xlsx</x:v>
      </x:c>
      <x:c r="AM3120" s="87" t="str">
        <x:v>SOC_Sep_V4</x:v>
      </x:c>
      <x:c r="AN3120" s="87" t="n">
        <x:v>17</x:v>
      </x:c>
    </x:row>
    <x:row r="3121">
      <x:c r="A3121" s="87" t="n">
        <x:v>3120</x:v>
      </x:c>
      <x:c r="B3121" s="87" t="str">
        <x:v>SEP-SOC-V4-017</x:v>
      </x:c>
      <x:c r="C3121" s="87" t="str">
        <x:v>СтатГрад</x:v>
      </x:c>
      <x:c r="D3121" s="87" t="str">
        <x:v>Сентябрь 2025</x:v>
      </x:c>
      <x:c r="E3121" s="87"/>
      <x:c r="F3121" s="87"/>
      <x:c r="G3121" s="87" t="str">
        <x:v>Обществознание</x:v>
      </x:c>
      <x:c r="H3121" s="87" t="n">
        <x:v>11</x:v>
      </x:c>
      <x:c r="I3121" s="87" t="str">
        <x:v>ТР №1</x:v>
      </x:c>
      <x:c r="J3121" s="87" t="str">
        <x:v>ОБ2510104</x:v>
      </x:c>
      <x:c r="K3121" s="87" t="n">
        <x:v>17</x:v>
      </x:c>
      <x:c r="L3121" s="87" t="str">
        <x:v>Судебная власть по тексту</x:v>
      </x:c>
      <x:c r="M3121" s="30" t="str">
        <x:v>Ответить о самостоятельности судебной власти, механизме противодействия незаконным действиям исполнительной власти и смысле конституционного регулирования.</x:v>
      </x:c>
      <x:c r="N3121" s="30" t="str">
        <x:v>Самостоятельность проявляется в независимости судей, подчинённых только Конституции и закону. Противостоять незаконным действиям позволяет судебное обжалование действий и бездействия должностных лиц. Конституционное регулирование исключает судебный произвол, закрепляет гарантии правосудия и возможность обжалования, обеспечивает независимость и высокий статус судей.</x:v>
      </x:c>
      <x:c r="O3121" s="30" t="str">
        <x:v>Модель содержит все обязательные элементы официального критерия и не добавляет лишних спорных позиций.</x:v>
      </x:c>
      <x:c r="P3121" s="30" t="str">
        <x:v>Условие и модель повторно проверены по обществоведческим понятиям и шкале официального критерия.</x:v>
      </x:c>
      <x:c r="Q3121" s="30"/>
      <x:c r="R3121" s="30" t="str">
        <x:v>Официальный развёрнутый критерий</x:v>
      </x:c>
      <x:c r="S3121" s="30"/>
      <x:c r="T3121" s="30"/>
      <x:c r="U3121" s="30" t="str">
        <x:v>Расхождений с официальным PDF нет.</x:v>
      </x:c>
      <x:c r="V3121" s="87" t="str">
        <x:v>VERIFIED</x:v>
      </x:c>
      <x:c r="W3121" s="87" t="n">
        <x:v>11</x:v>
      </x:c>
      <x:c r="X3121" s="87"/>
      <x:c r="Y3121" s="87"/>
      <x:c r="Z3121" s="87"/>
      <x:c r="AA3121" s="87"/>
      <x:c r="AB3121" s="87"/>
      <x:c r="AC3121" s="87"/>
      <x:c r="AD3121" s="87"/>
      <x:c r="AE3121" s="87"/>
      <x:c r="AF3121" s="87"/>
      <x:c r="AG3121" s="87"/>
      <x:c r="AH3121" s="87"/>
      <x:c r="AI3121" s="30"/>
      <x:c r="AJ3121" s="87" t="str">
        <x:v>master</x:v>
      </x:c>
      <x:c r="AK3121" s="87" t="str">
        <x:v>master-v0.81</x:v>
      </x:c>
      <x:c r="AL3121" s="87" t="str">
        <x:v>statgrad_master_base_v0_81_final(2).xlsx</x:v>
      </x:c>
      <x:c r="AM3121" s="87" t="str">
        <x:v>SOC_Sep_V4</x:v>
      </x:c>
      <x:c r="AN3121" s="87" t="n">
        <x:v>18</x:v>
      </x:c>
    </x:row>
    <x:row r="3122">
      <x:c r="A3122" s="87" t="n">
        <x:v>3121</x:v>
      </x:c>
      <x:c r="B3122" s="87" t="str">
        <x:v>SEP-SOC-V4-018</x:v>
      </x:c>
      <x:c r="C3122" s="87" t="str">
        <x:v>СтатГрад</x:v>
      </x:c>
      <x:c r="D3122" s="87" t="str">
        <x:v>Сентябрь 2025</x:v>
      </x:c>
      <x:c r="E3122" s="87"/>
      <x:c r="F3122" s="87"/>
      <x:c r="G3122" s="87" t="str">
        <x:v>Обществознание</x:v>
      </x:c>
      <x:c r="H3122" s="87" t="n">
        <x:v>11</x:v>
      </x:c>
      <x:c r="I3122" s="87" t="str">
        <x:v>ТР №1</x:v>
      </x:c>
      <x:c r="J3122" s="87" t="str">
        <x:v>ОБ2510104</x:v>
      </x:c>
      <x:c r="K3122" s="87" t="n">
        <x:v>18</x:v>
      </x:c>
      <x:c r="L3122" s="87" t="str">
        <x:v>Конституция и правосудие</x:v>
      </x:c>
      <x:c r="M3122" s="30" t="str">
        <x:v>Назвать не менее трёх признаков конституции и объяснить различие судебной власти и правосудия.</x:v>
      </x:c>
      <x:c r="N3122" s="30" t="str">
        <x:v>Конституция обладает высшей юридической силой, закрепляет основы строя и полномочия высших органов, регулирует важнейшие отношения и имеет особый порядок принятия и изменения. Судебная власть охватывает организацию судебной системы и принципы деятельности судов, а правосудие — содержание законной судебной деятельности.</x:v>
      </x:c>
      <x:c r="O3122" s="30" t="str">
        <x:v>Модель содержит все обязательные элементы официального критерия и не добавляет лишних спорных позиций.</x:v>
      </x:c>
      <x:c r="P3122" s="30" t="str">
        <x:v>Условие и модель повторно проверены по обществоведческим понятиям и шкале официального критерия.</x:v>
      </x:c>
      <x:c r="Q3122" s="30"/>
      <x:c r="R3122" s="30" t="str">
        <x:v>Официальный развёрнутый критерий</x:v>
      </x:c>
      <x:c r="S3122" s="30"/>
      <x:c r="T3122" s="30"/>
      <x:c r="U3122" s="30" t="str">
        <x:v>Расхождений с официальным PDF нет.</x:v>
      </x:c>
      <x:c r="V3122" s="87" t="str">
        <x:v>VERIFIED</x:v>
      </x:c>
      <x:c r="W3122" s="87" t="n">
        <x:v>11</x:v>
      </x:c>
      <x:c r="X3122" s="87"/>
      <x:c r="Y3122" s="87"/>
      <x:c r="Z3122" s="87"/>
      <x:c r="AA3122" s="87"/>
      <x:c r="AB3122" s="87"/>
      <x:c r="AC3122" s="87"/>
      <x:c r="AD3122" s="87"/>
      <x:c r="AE3122" s="87"/>
      <x:c r="AF3122" s="87"/>
      <x:c r="AG3122" s="87"/>
      <x:c r="AH3122" s="87"/>
      <x:c r="AI3122" s="30"/>
      <x:c r="AJ3122" s="87" t="str">
        <x:v>master</x:v>
      </x:c>
      <x:c r="AK3122" s="87" t="str">
        <x:v>master-v0.81</x:v>
      </x:c>
      <x:c r="AL3122" s="87" t="str">
        <x:v>statgrad_master_base_v0_81_final(2).xlsx</x:v>
      </x:c>
      <x:c r="AM3122" s="87" t="str">
        <x:v>SOC_Sep_V4</x:v>
      </x:c>
      <x:c r="AN3122" s="87" t="n">
        <x:v>19</x:v>
      </x:c>
    </x:row>
    <x:row r="3123">
      <x:c r="A3123" s="87" t="n">
        <x:v>3122</x:v>
      </x:c>
      <x:c r="B3123" s="87" t="str">
        <x:v>SEP-SOC-V4-019</x:v>
      </x:c>
      <x:c r="C3123" s="87" t="str">
        <x:v>СтатГрад</x:v>
      </x:c>
      <x:c r="D3123" s="87" t="str">
        <x:v>Сентябрь 2025</x:v>
      </x:c>
      <x:c r="E3123" s="87"/>
      <x:c r="F3123" s="87"/>
      <x:c r="G3123" s="87" t="str">
        <x:v>Обществознание</x:v>
      </x:c>
      <x:c r="H3123" s="87" t="n">
        <x:v>11</x:v>
      </x:c>
      <x:c r="I3123" s="87" t="str">
        <x:v>ТР №1</x:v>
      </x:c>
      <x:c r="J3123" s="87" t="str">
        <x:v>ОБ2510104</x:v>
      </x:c>
      <x:c r="K3123" s="87" t="n">
        <x:v>19</x:v>
      </x:c>
      <x:c r="L3123" s="87" t="str">
        <x:v>Органы власти и правосудие</x:v>
      </x:c>
      <x:c r="M3123" s="30" t="str">
        <x:v>Привести три развёрнутых примера полномочий органов государственной власти, связанных с правосудием или судами.</x:v>
      </x:c>
      <x:c r="N3123" s="30" t="str">
        <x:v>1) Президент подписал указ о помиловании осуждённого — Президент РФ. 2) Государственная Дума приняла постановление об амнистии — Государственная Дума. 3) Совет Федерации назначил Председателя Верховного Суда — Совет Федерации.</x:v>
      </x:c>
      <x:c r="O3123" s="30" t="str">
        <x:v>Модель содержит все обязательные элементы официального критерия и не добавляет лишних спорных позиций.</x:v>
      </x:c>
      <x:c r="P3123" s="30" t="str">
        <x:v>Условие и модель повторно проверены по обществоведческим понятиям и шкале официального критерия.</x:v>
      </x:c>
      <x:c r="Q3123" s="30"/>
      <x:c r="R3123" s="30" t="str">
        <x:v>Официальный развёрнутый критерий</x:v>
      </x:c>
      <x:c r="S3123" s="30"/>
      <x:c r="T3123" s="30"/>
      <x:c r="U3123" s="30" t="str">
        <x:v>Расхождений с официальным PDF нет.</x:v>
      </x:c>
      <x:c r="V3123" s="87" t="str">
        <x:v>VERIFIED</x:v>
      </x:c>
      <x:c r="W3123" s="87" t="n">
        <x:v>11</x:v>
      </x:c>
      <x:c r="X3123" s="87"/>
      <x:c r="Y3123" s="87"/>
      <x:c r="Z3123" s="87"/>
      <x:c r="AA3123" s="87"/>
      <x:c r="AB3123" s="87"/>
      <x:c r="AC3123" s="87"/>
      <x:c r="AD3123" s="87"/>
      <x:c r="AE3123" s="87"/>
      <x:c r="AF3123" s="87"/>
      <x:c r="AG3123" s="87"/>
      <x:c r="AH3123" s="87"/>
      <x:c r="AI3123" s="30"/>
      <x:c r="AJ3123" s="87" t="str">
        <x:v>master</x:v>
      </x:c>
      <x:c r="AK3123" s="87" t="str">
        <x:v>master-v0.81</x:v>
      </x:c>
      <x:c r="AL3123" s="87" t="str">
        <x:v>statgrad_master_base_v0_81_final(2).xlsx</x:v>
      </x:c>
      <x:c r="AM3123" s="87" t="str">
        <x:v>SOC_Sep_V4</x:v>
      </x:c>
      <x:c r="AN3123" s="87" t="n">
        <x:v>20</x:v>
      </x:c>
    </x:row>
    <x:row r="3124">
      <x:c r="A3124" s="87" t="n">
        <x:v>3123</x:v>
      </x:c>
      <x:c r="B3124" s="87" t="str">
        <x:v>SEP-SOC-V4-020</x:v>
      </x:c>
      <x:c r="C3124" s="87" t="str">
        <x:v>СтатГрад</x:v>
      </x:c>
      <x:c r="D3124" s="87" t="str">
        <x:v>Сентябрь 2025</x:v>
      </x:c>
      <x:c r="E3124" s="87"/>
      <x:c r="F3124" s="87"/>
      <x:c r="G3124" s="87" t="str">
        <x:v>Обществознание</x:v>
      </x:c>
      <x:c r="H3124" s="87" t="n">
        <x:v>11</x:v>
      </x:c>
      <x:c r="I3124" s="87" t="str">
        <x:v>ТР №1</x:v>
      </x:c>
      <x:c r="J3124" s="87" t="str">
        <x:v>ОБ2510104</x:v>
      </x:c>
      <x:c r="K3124" s="87" t="n">
        <x:v>20</x:v>
      </x:c>
      <x:c r="L3124" s="87" t="str">
        <x:v>Разделение властей</x:v>
      </x:c>
      <x:c r="M3124" s="30" t="str">
        <x:v>Привести три аргумента о значении разделения властей в демократическом государстве.</x:v>
      </x:c>
      <x:c r="N3124" s="30" t="str">
        <x:v>1) Разделение властей предотвращает концентрацию полномочий и угрозу узурпации. 2) Самостоятельность законодательной, исполнительной и судебной ветвей поддерживает демократический порядок. 3) Система сдержек и противовесов обеспечивает взаимный контроль, предотвращает злоупотребления и помогает защищать права граждан.</x:v>
      </x:c>
      <x:c r="O3124" s="30" t="str">
        <x:v>Модель содержит все обязательные элементы официального критерия и не добавляет лишних спорных позиций.</x:v>
      </x:c>
      <x:c r="P3124" s="30" t="str">
        <x:v>Условие и модель повторно проверены по обществоведческим понятиям и шкале официального критерия.</x:v>
      </x:c>
      <x:c r="Q3124" s="30"/>
      <x:c r="R3124" s="30" t="str">
        <x:v>Официальный развёрнутый критерий</x:v>
      </x:c>
      <x:c r="S3124" s="30"/>
      <x:c r="T3124" s="30"/>
      <x:c r="U3124" s="30" t="str">
        <x:v>Расхождений с официальным PDF нет.</x:v>
      </x:c>
      <x:c r="V3124" s="87" t="str">
        <x:v>VERIFIED</x:v>
      </x:c>
      <x:c r="W3124" s="87" t="n">
        <x:v>11</x:v>
      </x:c>
      <x:c r="X3124" s="87"/>
      <x:c r="Y3124" s="87"/>
      <x:c r="Z3124" s="87"/>
      <x:c r="AA3124" s="87"/>
      <x:c r="AB3124" s="87"/>
      <x:c r="AC3124" s="87"/>
      <x:c r="AD3124" s="87"/>
      <x:c r="AE3124" s="87"/>
      <x:c r="AF3124" s="87"/>
      <x:c r="AG3124" s="87"/>
      <x:c r="AH3124" s="87"/>
      <x:c r="AI3124" s="30"/>
      <x:c r="AJ3124" s="87" t="str">
        <x:v>master</x:v>
      </x:c>
      <x:c r="AK3124" s="87" t="str">
        <x:v>master-v0.81</x:v>
      </x:c>
      <x:c r="AL3124" s="87" t="str">
        <x:v>statgrad_master_base_v0_81_final(2).xlsx</x:v>
      </x:c>
      <x:c r="AM3124" s="87" t="str">
        <x:v>SOC_Sep_V4</x:v>
      </x:c>
      <x:c r="AN3124" s="87" t="n">
        <x:v>21</x:v>
      </x:c>
    </x:row>
    <x:row r="3125">
      <x:c r="A3125" s="87" t="n">
        <x:v>3124</x:v>
      </x:c>
      <x:c r="B3125" s="87" t="str">
        <x:v>SEP-SOC-V4-021</x:v>
      </x:c>
      <x:c r="C3125" s="87" t="str">
        <x:v>СтатГрад</x:v>
      </x:c>
      <x:c r="D3125" s="87" t="str">
        <x:v>Сентябрь 2025</x:v>
      </x:c>
      <x:c r="E3125" s="87"/>
      <x:c r="F3125" s="87"/>
      <x:c r="G3125" s="87" t="str">
        <x:v>Обществознание</x:v>
      </x:c>
      <x:c r="H3125" s="87" t="n">
        <x:v>11</x:v>
      </x:c>
      <x:c r="I3125" s="87" t="str">
        <x:v>ТР №1</x:v>
      </x:c>
      <x:c r="J3125" s="87" t="str">
        <x:v>ОБ2510104</x:v>
      </x:c>
      <x:c r="K3125" s="87" t="n">
        <x:v>21</x:v>
      </x:c>
      <x:c r="L3125" s="87" t="str">
        <x:v>Рынок электрообогревателей</x:v>
      </x:c>
      <x:c r="M3125" s="30" t="str">
        <x:v>Определить изменение равновесной цены, объяснить фактор роста спроса и последствия открытия нового завода.</x:v>
      </x:c>
      <x:c r="N3125" s="30" t="str">
        <x:v>Равновесная цена выросла. Например, наступление холодной погоды повысило потребность в электрообогревателях, поэтому спрос увеличился при каждой цене. Открытие нового завода увеличит предложение и снизит равновесную цену.</x:v>
      </x:c>
      <x:c r="O3125" s="30" t="str">
        <x:v>Модель содержит все обязательные элементы официального критерия и не добавляет лишних спорных позиций.</x:v>
      </x:c>
      <x:c r="P3125" s="30" t="str">
        <x:v>Условие и модель повторно проверены по обществоведческим понятиям и шкале официального критерия.</x:v>
      </x:c>
      <x:c r="Q3125" s="30"/>
      <x:c r="R3125" s="30" t="str">
        <x:v>Официальный развёрнутый критерий</x:v>
      </x:c>
      <x:c r="S3125" s="30"/>
      <x:c r="T3125" s="30"/>
      <x:c r="U3125" s="30" t="str">
        <x:v>Расхождений с официальным PDF нет.</x:v>
      </x:c>
      <x:c r="V3125" s="87" t="str">
        <x:v>VERIFIED</x:v>
      </x:c>
      <x:c r="W3125" s="87" t="n">
        <x:v>12</x:v>
      </x:c>
      <x:c r="X3125" s="87"/>
      <x:c r="Y3125" s="87"/>
      <x:c r="Z3125" s="87"/>
      <x:c r="AA3125" s="87"/>
      <x:c r="AB3125" s="87"/>
      <x:c r="AC3125" s="87" t="str">
        <x:v>VIS-SOC-SEP-003</x:v>
      </x:c>
      <x:c r="AD3125" s="87"/>
      <x:c r="AE3125" s="87" t="str">
        <x:v>График спроса и предложения</x:v>
      </x:c>
      <x:c r="AF3125" s="87" t="str">
        <x:v>VIS-SOC-SEP-003: 12</x:v>
      </x:c>
      <x:c r="AG3125" s="87" t="str">
        <x:v>RESOLVED</x:v>
      </x:c>
      <x:c r="AH3125" s="87" t="str">
        <x:v>ORIGINAL_ASSET_HASH_VERIFIED</x:v>
      </x:c>
      <x:c r="AI3125" s="30"/>
      <x:c r="AJ3125" s="87" t="str">
        <x:v>master</x:v>
      </x:c>
      <x:c r="AK3125" s="87" t="str">
        <x:v>master-v0.81</x:v>
      </x:c>
      <x:c r="AL3125" s="87" t="str">
        <x:v>statgrad_master_base_v0_81_final(2).xlsx</x:v>
      </x:c>
      <x:c r="AM3125" s="87" t="str">
        <x:v>SOC_Sep_V4</x:v>
      </x:c>
      <x:c r="AN3125" s="87" t="n">
        <x:v>22</x:v>
      </x:c>
    </x:row>
    <x:row r="3126">
      <x:c r="A3126" s="87" t="n">
        <x:v>3125</x:v>
      </x:c>
      <x:c r="B3126" s="87" t="str">
        <x:v>SEP-SOC-V4-022</x:v>
      </x:c>
      <x:c r="C3126" s="87" t="str">
        <x:v>СтатГрад</x:v>
      </x:c>
      <x:c r="D3126" s="87" t="str">
        <x:v>Сентябрь 2025</x:v>
      </x:c>
      <x:c r="E3126" s="87"/>
      <x:c r="F3126" s="87"/>
      <x:c r="G3126" s="87" t="str">
        <x:v>Обществознание</x:v>
      </x:c>
      <x:c r="H3126" s="87" t="n">
        <x:v>11</x:v>
      </x:c>
      <x:c r="I3126" s="87" t="str">
        <x:v>ТР №1</x:v>
      </x:c>
      <x:c r="J3126" s="87" t="str">
        <x:v>ОБ2510104</x:v>
      </x:c>
      <x:c r="K3126" s="87" t="n">
        <x:v>22</x:v>
      </x:c>
      <x:c r="L3126" s="87" t="str">
        <x:v>Форма государства и выборы</x:v>
      </x:c>
      <x:c r="M3126" s="30" t="str">
        <x:v>Определить форму правления, устройство, избирательную систему и два признака демократии.</x:v>
      </x:c>
      <x:c r="N3126" s="30" t="str">
        <x:v>Президентская республика; унитарное государство; пропорциональная избирательная система. О демократии свидетельствуют регулярные свободные выборы и свободная деятельность политических партий и оппозиции.</x:v>
      </x:c>
      <x:c r="O3126" s="30" t="str">
        <x:v>Модель содержит все обязательные элементы официального критерия и не добавляет лишних спорных позиций.</x:v>
      </x:c>
      <x:c r="P3126" s="30" t="str">
        <x:v>Условие и модель повторно проверены по обществоведческим понятиям и шкале официального критерия.</x:v>
      </x:c>
      <x:c r="Q3126" s="30"/>
      <x:c r="R3126" s="30" t="str">
        <x:v>Официальный развёрнутый критерий</x:v>
      </x:c>
      <x:c r="S3126" s="30"/>
      <x:c r="T3126" s="30"/>
      <x:c r="U3126" s="30" t="str">
        <x:v>Расхождений с официальным PDF нет.</x:v>
      </x:c>
      <x:c r="V3126" s="87" t="str">
        <x:v>VERIFIED</x:v>
      </x:c>
      <x:c r="W3126" s="87" t="n">
        <x:v>12</x:v>
      </x:c>
      <x:c r="X3126" s="87"/>
      <x:c r="Y3126" s="87"/>
      <x:c r="Z3126" s="87"/>
      <x:c r="AA3126" s="87"/>
      <x:c r="AB3126" s="87"/>
      <x:c r="AC3126" s="87"/>
      <x:c r="AD3126" s="87"/>
      <x:c r="AE3126" s="87"/>
      <x:c r="AF3126" s="87"/>
      <x:c r="AG3126" s="87"/>
      <x:c r="AH3126" s="87"/>
      <x:c r="AI3126" s="30"/>
      <x:c r="AJ3126" s="87" t="str">
        <x:v>master</x:v>
      </x:c>
      <x:c r="AK3126" s="87" t="str">
        <x:v>master-v0.81</x:v>
      </x:c>
      <x:c r="AL3126" s="87" t="str">
        <x:v>statgrad_master_base_v0_81_final(2).xlsx</x:v>
      </x:c>
      <x:c r="AM3126" s="87" t="str">
        <x:v>SOC_Sep_V4</x:v>
      </x:c>
      <x:c r="AN3126" s="87" t="n">
        <x:v>23</x:v>
      </x:c>
    </x:row>
    <x:row r="3127">
      <x:c r="A3127" s="87" t="n">
        <x:v>3126</x:v>
      </x:c>
      <x:c r="B3127" s="87" t="str">
        <x:v>SEP-SOC-V4-023</x:v>
      </x:c>
      <x:c r="C3127" s="87" t="str">
        <x:v>СтатГрад</x:v>
      </x:c>
      <x:c r="D3127" s="87" t="str">
        <x:v>Сентябрь 2025</x:v>
      </x:c>
      <x:c r="E3127" s="87"/>
      <x:c r="F3127" s="87"/>
      <x:c r="G3127" s="87" t="str">
        <x:v>Обществознание</x:v>
      </x:c>
      <x:c r="H3127" s="87" t="n">
        <x:v>11</x:v>
      </x:c>
      <x:c r="I3127" s="87" t="str">
        <x:v>ТР №1</x:v>
      </x:c>
      <x:c r="J3127" s="87" t="str">
        <x:v>ОБ2510104</x:v>
      </x:c>
      <x:c r="K3127" s="87" t="n">
        <x:v>23</x:v>
      </x:c>
      <x:c r="L3127" s="87" t="str">
        <x:v>Конституционная защита собственности</x:v>
      </x:c>
      <x:c r="M3127" s="30" t="str">
        <x:v>Привести три подтверждения конституционной защиты права собственности.</x:v>
      </x:c>
      <x:c r="N3127" s="30" t="str">
        <x:v>Частная, государственная, муниципальная и иные формы собственности признаются и защищаются равным образом. Каждый вправе иметь имущество, владеть, пользоваться и распоряжаться им. Лишение имущества возможно только по решению суда, а отчуждение для государственных нужд — при предварительном равноценном возмещении.</x:v>
      </x:c>
      <x:c r="O3127" s="30" t="str">
        <x:v>Модель содержит все обязательные элементы официального критерия и не добавляет лишних спорных позиций.</x:v>
      </x:c>
      <x:c r="P3127" s="30" t="str">
        <x:v>Условие и модель повторно проверены по обществоведческим понятиям и шкале официального критерия.</x:v>
      </x:c>
      <x:c r="Q3127" s="30"/>
      <x:c r="R3127" s="30" t="str">
        <x:v>Официальный развёрнутый критерий</x:v>
      </x:c>
      <x:c r="S3127" s="30"/>
      <x:c r="T3127" s="30"/>
      <x:c r="U3127" s="30" t="str">
        <x:v>Расхождений с официальным PDF нет.</x:v>
      </x:c>
      <x:c r="V3127" s="87" t="str">
        <x:v>VERIFIED</x:v>
      </x:c>
      <x:c r="W3127" s="87" t="n">
        <x:v>13</x:v>
      </x:c>
      <x:c r="X3127" s="87"/>
      <x:c r="Y3127" s="87"/>
      <x:c r="Z3127" s="87"/>
      <x:c r="AA3127" s="87"/>
      <x:c r="AB3127" s="87"/>
      <x:c r="AC3127" s="87"/>
      <x:c r="AD3127" s="87"/>
      <x:c r="AE3127" s="87"/>
      <x:c r="AF3127" s="87"/>
      <x:c r="AG3127" s="87"/>
      <x:c r="AH3127" s="87"/>
      <x:c r="AI3127" s="30"/>
      <x:c r="AJ3127" s="87" t="str">
        <x:v>master</x:v>
      </x:c>
      <x:c r="AK3127" s="87" t="str">
        <x:v>master-v0.81</x:v>
      </x:c>
      <x:c r="AL3127" s="87" t="str">
        <x:v>statgrad_master_base_v0_81_final(2).xlsx</x:v>
      </x:c>
      <x:c r="AM3127" s="87" t="str">
        <x:v>SOC_Sep_V4</x:v>
      </x:c>
      <x:c r="AN3127" s="87" t="n">
        <x:v>24</x:v>
      </x:c>
    </x:row>
    <x:row r="3128">
      <x:c r="A3128" s="87" t="n">
        <x:v>3127</x:v>
      </x:c>
      <x:c r="B3128" s="87" t="str">
        <x:v>SEP-SOC-V4-024</x:v>
      </x:c>
      <x:c r="C3128" s="87" t="str">
        <x:v>СтатГрад</x:v>
      </x:c>
      <x:c r="D3128" s="87" t="str">
        <x:v>Сентябрь 2025</x:v>
      </x:c>
      <x:c r="E3128" s="87"/>
      <x:c r="F3128" s="87"/>
      <x:c r="G3128" s="87" t="str">
        <x:v>Обществознание</x:v>
      </x:c>
      <x:c r="H3128" s="87" t="n">
        <x:v>11</x:v>
      </x:c>
      <x:c r="I3128" s="87" t="str">
        <x:v>ТР №1</x:v>
      </x:c>
      <x:c r="J3128" s="87" t="str">
        <x:v>ОБ2510104</x:v>
      </x:c>
      <x:c r="K3128" s="87" t="n">
        <x:v>24</x:v>
      </x:c>
      <x:c r="L3128" s="87" t="str">
        <x:v>Семья как малая группа</x:v>
      </x:c>
      <x:c r="M3128" s="30" t="str">
        <x:v>Составить сложный план по теме «Семья как малая социальная группа».</x:v>
      </x:c>
      <x:c r="N3128" s="30" t="str">
        <x:v>1. Понятие семьи. 2. Признаки семьи как малой группы: а) брак или родство; б) совместная жизнедеятельность; в) взаимные права и обязанности; г) эмоциональные связи. 3. Функции семьи: а) репродуктивная; б) воспитательная; в) хозяйственно-бытовая; г) эмоциональная; д) социально-статусная. 4. Типы семей: а) нуклеарная и расширенная; б) полная и неполная; в) патриархальная и партнёрская. 5. Тенденции современной семьи: а) рост партнёрских семей; б) сокращение числа детей; в) увеличение числа неполных семей. 6. Значение семьи для общества.</x:v>
      </x:c>
      <x:c r="O3128" s="30" t="str">
        <x:v>Модель содержит все обязательные элементы официального критерия и не добавляет лишних спорных позиций.</x:v>
      </x:c>
      <x:c r="P3128" s="30" t="str">
        <x:v>Условие и модель повторно проверены по обществоведческим понятиям и шкале официального критерия.</x:v>
      </x:c>
      <x:c r="Q3128" s="30"/>
      <x:c r="R3128" s="30" t="str">
        <x:v>Официальный развёрнутый критерий</x:v>
      </x:c>
      <x:c r="S3128" s="30"/>
      <x:c r="T3128" s="30"/>
      <x:c r="U3128" s="30" t="str">
        <x:v>Расхождений с официальным PDF нет.</x:v>
      </x:c>
      <x:c r="V3128" s="87" t="str">
        <x:v>VERIFIED</x:v>
      </x:c>
      <x:c r="W3128" s="87" t="n">
        <x:v>13</x:v>
      </x:c>
      <x:c r="X3128" s="87"/>
      <x:c r="Y3128" s="87"/>
      <x:c r="Z3128" s="87"/>
      <x:c r="AA3128" s="87"/>
      <x:c r="AB3128" s="87"/>
      <x:c r="AC3128" s="87"/>
      <x:c r="AD3128" s="87"/>
      <x:c r="AE3128" s="87"/>
      <x:c r="AF3128" s="87"/>
      <x:c r="AG3128" s="87"/>
      <x:c r="AH3128" s="87"/>
      <x:c r="AI3128" s="30"/>
      <x:c r="AJ3128" s="87" t="str">
        <x:v>master</x:v>
      </x:c>
      <x:c r="AK3128" s="87" t="str">
        <x:v>master-v0.81</x:v>
      </x:c>
      <x:c r="AL3128" s="87" t="str">
        <x:v>statgrad_master_base_v0_81_final(2).xlsx</x:v>
      </x:c>
      <x:c r="AM3128" s="87" t="str">
        <x:v>SOC_Sep_V4</x:v>
      </x:c>
      <x:c r="AN3128" s="87" t="n">
        <x:v>25</x:v>
      </x:c>
    </x:row>
    <x:row r="3129">
      <x:c r="A3129" s="87" t="n">
        <x:v>3128</x:v>
      </x:c>
      <x:c r="B3129" s="87" t="str">
        <x:v>SEP-SOC-V4-025</x:v>
      </x:c>
      <x:c r="C3129" s="87" t="str">
        <x:v>СтатГрад</x:v>
      </x:c>
      <x:c r="D3129" s="87" t="str">
        <x:v>Сентябрь 2025</x:v>
      </x:c>
      <x:c r="E3129" s="87"/>
      <x:c r="F3129" s="87"/>
      <x:c r="G3129" s="87" t="str">
        <x:v>Обществознание</x:v>
      </x:c>
      <x:c r="H3129" s="87" t="n">
        <x:v>11</x:v>
      </x:c>
      <x:c r="I3129" s="87" t="str">
        <x:v>ТР №1</x:v>
      </x:c>
      <x:c r="J3129" s="87" t="str">
        <x:v>ОБ2510104</x:v>
      </x:c>
      <x:c r="K3129" s="87" t="n">
        <x:v>25</x:v>
      </x:c>
      <x:c r="L3129" s="87" t="str">
        <x:v>Государственная поддержка семьи</x:v>
      </x:c>
      <x:c r="M3129" s="30" t="str">
        <x:v>Обосновать поддержку семьи, назвать три формы и привести по примеру реализации каждой.</x:v>
      </x:c>
      <x:c r="N3129" s="30" t="str">
        <x:v>Семья обеспечивает воспроизводство населения, первичную социализацию и заботу о зависимых членах, но несёт значительные расходы, поэтому государственная поддержка укрепляет благополучие детей и демографическую устойчивость. Формы: материнский капитал, ежемесячные пособия на детей, налоговые вычеты. Примеры: семья направила материнский капитал на погашение ипотеки; малообеспеченная семья ежемесячно получает детское пособие; работающий родитель оформил стандартный налоговый вычет на ребёнка.</x:v>
      </x:c>
      <x:c r="O3129" s="30" t="str">
        <x:v>Модель содержит все обязательные элементы официального критерия и не добавляет лишних спорных позиций.</x:v>
      </x:c>
      <x:c r="P3129" s="30" t="str">
        <x:v>Условие и модель повторно проверены по обществоведческим понятиям и шкале официального критерия.</x:v>
      </x:c>
      <x:c r="Q3129" s="30"/>
      <x:c r="R3129" s="30" t="str">
        <x:v>Официальный развёрнутый критерий</x:v>
      </x:c>
      <x:c r="S3129" s="30"/>
      <x:c r="T3129" s="30"/>
      <x:c r="U3129" s="30" t="str">
        <x:v>Расхождений с официальным PDF нет.</x:v>
      </x:c>
      <x:c r="V3129" s="87" t="str">
        <x:v>VERIFIED</x:v>
      </x:c>
      <x:c r="W3129" s="87" t="n">
        <x:v>13</x:v>
      </x:c>
      <x:c r="X3129" s="87"/>
      <x:c r="Y3129" s="87"/>
      <x:c r="Z3129" s="87"/>
      <x:c r="AA3129" s="87"/>
      <x:c r="AB3129" s="87"/>
      <x:c r="AC3129" s="87"/>
      <x:c r="AD3129" s="87"/>
      <x:c r="AE3129" s="87"/>
      <x:c r="AF3129" s="87"/>
      <x:c r="AG3129" s="87"/>
      <x:c r="AH3129" s="87"/>
      <x:c r="AI3129" s="30"/>
      <x:c r="AJ3129" s="87" t="str">
        <x:v>master</x:v>
      </x:c>
      <x:c r="AK3129" s="87" t="str">
        <x:v>master-v0.81</x:v>
      </x:c>
      <x:c r="AL3129" s="87" t="str">
        <x:v>statgrad_master_base_v0_81_final(2).xlsx</x:v>
      </x:c>
      <x:c r="AM3129" s="87" t="str">
        <x:v>SOC_Sep_V4</x:v>
      </x:c>
      <x:c r="AN3129" s="87" t="n">
        <x:v>26</x:v>
      </x:c>
    </x:row>
    <x:row r="3130">
      <x:c r="A3130" s="87" t="n">
        <x:v>3129</x:v>
      </x:c>
      <x:c r="B3130" s="87" t="str">
        <x:v>OCT-MATH-0101-01</x:v>
      </x:c>
      <x:c r="C3130" s="87" t="str">
        <x:v>СтатГрад</x:v>
      </x:c>
      <x:c r="D3130" s="87" t="str">
        <x:v>Октябрь 2025</x:v>
      </x:c>
      <x:c r="E3130" s="87"/>
      <x:c r="F3130" s="87"/>
      <x:c r="G3130" s="87" t="str">
        <x:v>Математика</x:v>
      </x:c>
      <x:c r="H3130" s="87" t="n">
        <x:v>11</x:v>
      </x:c>
      <x:c r="I3130" s="87" t="str">
        <x:v>ТР №1</x:v>
      </x:c>
      <x:c r="J3130" s="87" t="str">
        <x:v>МА2510101</x:v>
      </x:c>
      <x:c r="K3130" s="87" t="n">
        <x:v>1</x:v>
      </x:c>
      <x:c r="L3130" s="87" t="str">
        <x:v>Практическая арифметика</x:v>
      </x:c>
      <x:c r="M3130" s="30" t="str">
        <x:v>Для приготовления маринада для огурцов на 1 литр воды требуется 8 г
    лимонной кислоты. Лимонная кислота продаётся в пакетиках по 15 г. Какое
    наименьшее число пакетиков нужно хозяйке для приготовления 6 литров
    маринада?</x:v>
      </x:c>
      <x:c r="N3130" s="30" t="str">
        <x:v>4</x:v>
      </x:c>
      <x:c r="O3130" s="30" t="str">
        <x:v>Ответ принят по официальной таблице СтатГрад.</x:v>
      </x:c>
      <x:c r="P3130" s="30" t="str">
        <x:v>Код варианта, номер и условие постранично сопоставлены с первичным PDF; формат ответа проверен.</x:v>
      </x:c>
      <x:c r="Q3130" s="30"/>
      <x:c r="R3130" s="30" t="str">
        <x:v>Официальный фото-ключ базового уровня.</x:v>
      </x:c>
      <x:c r="S3130" s="30"/>
      <x:c r="T3130" s="30"/>
      <x:c r="U3130" s="30" t="str">
        <x:v>Расхождений не обнаружено.</x:v>
      </x:c>
      <x:c r="V3130" s="87" t="str">
        <x:v>VERIFIED</x:v>
      </x:c>
      <x:c r="W3130" s="87" t="n">
        <x:v>2</x:v>
      </x:c>
      <x:c r="X3130" s="87"/>
      <x:c r="Y3130" s="87"/>
      <x:c r="Z3130" s="87"/>
      <x:c r="AA3130" s="87"/>
      <x:c r="AB3130" s="87"/>
      <x:c r="AC3130" s="87"/>
      <x:c r="AD3130" s="87"/>
      <x:c r="AE3130" s="87"/>
      <x:c r="AF3130" s="87"/>
      <x:c r="AG3130" s="87"/>
      <x:c r="AH3130" s="87"/>
      <x:c r="AI3130" s="30"/>
      <x:c r="AJ3130" s="87" t="str">
        <x:v>master</x:v>
      </x:c>
      <x:c r="AK3130" s="87" t="str">
        <x:v>master-v0.81</x:v>
      </x:c>
      <x:c r="AL3130" s="87" t="str">
        <x:v>statgrad_master_base_v0_81_final(2).xlsx</x:v>
      </x:c>
      <x:c r="AM3130" s="87" t="str">
        <x:v>MATH_Oct_Base_V1</x:v>
      </x:c>
      <x:c r="AN3130" s="87" t="n">
        <x:v>2</x:v>
      </x:c>
    </x:row>
    <x:row r="3131">
      <x:c r="A3131" s="87" t="n">
        <x:v>3130</x:v>
      </x:c>
      <x:c r="B3131" s="87" t="str">
        <x:v>OCT-MATH-0101-02</x:v>
      </x:c>
      <x:c r="C3131" s="87" t="str">
        <x:v>СтатГрад</x:v>
      </x:c>
      <x:c r="D3131" s="87" t="str">
        <x:v>Октябрь 2025</x:v>
      </x:c>
      <x:c r="E3131" s="87"/>
      <x:c r="F3131" s="87"/>
      <x:c r="G3131" s="87" t="str">
        <x:v>Математика</x:v>
      </x:c>
      <x:c r="H3131" s="87" t="n">
        <x:v>11</x:v>
      </x:c>
      <x:c r="I3131" s="87" t="str">
        <x:v>ТР №1</x:v>
      </x:c>
      <x:c r="J3131" s="87" t="str">
        <x:v>МА2510101</x:v>
      </x:c>
      <x:c r="K3131" s="87" t="n">
        <x:v>2</x:v>
      </x:c>
      <x:c r="L3131" s="87" t="str">
        <x:v>Соответствие величин</x:v>
      </x:c>
      <x:c r="M3131"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площадь монитора компьютера                        1) 75 500 кв. км
    Б) площадь города Санкт-Петербурга                    2) 1439 кв. км
    В) площадь ногтя на пальце взрослого                  3) 100 кв. мм
       человека                                           4) 960 кв. см
    Г) площадь Краснодарского края
    В таблице под каждой буквой, соответствующей величине, укажите номер её
    возможного значения.
               А Б В Г
    Ответ:
                                   согласия СтатГрад запрещена</x:v>
      </x:c>
      <x:c r="N3131" s="30" t="str">
        <x:v>4231</x:v>
      </x:c>
      <x:c r="O3131" s="30" t="str">
        <x:v>Ответ принят по официальной таблице СтатГрад.</x:v>
      </x:c>
      <x:c r="P3131" s="30" t="str">
        <x:v>Код варианта, номер и условие постранично сопоставлены с первичным PDF; формат ответа проверен.</x:v>
      </x:c>
      <x:c r="Q3131" s="30"/>
      <x:c r="R3131" s="30" t="str">
        <x:v>Официальный фото-ключ базового уровня.</x:v>
      </x:c>
      <x:c r="S3131" s="30"/>
      <x:c r="T3131" s="30"/>
      <x:c r="U3131" s="30" t="str">
        <x:v>Расхождений не обнаружено.</x:v>
      </x:c>
      <x:c r="V3131" s="87" t="str">
        <x:v>VERIFIED</x:v>
      </x:c>
      <x:c r="W3131" s="87" t="n">
        <x:v>2</x:v>
      </x:c>
      <x:c r="X3131" s="87"/>
      <x:c r="Y3131" s="87"/>
      <x:c r="Z3131" s="87"/>
      <x:c r="AA3131" s="87"/>
      <x:c r="AB3131" s="87"/>
      <x:c r="AC3131" s="87"/>
      <x:c r="AD3131" s="87"/>
      <x:c r="AE3131" s="87"/>
      <x:c r="AF3131" s="87"/>
      <x:c r="AG3131" s="87"/>
      <x:c r="AH3131" s="87"/>
      <x:c r="AI3131" s="30"/>
      <x:c r="AJ3131" s="87" t="str">
        <x:v>master</x:v>
      </x:c>
      <x:c r="AK3131" s="87" t="str">
        <x:v>master-v0.81</x:v>
      </x:c>
      <x:c r="AL3131" s="87" t="str">
        <x:v>statgrad_master_base_v0_81_final(2).xlsx</x:v>
      </x:c>
      <x:c r="AM3131" s="87" t="str">
        <x:v>MATH_Oct_Base_V1</x:v>
      </x:c>
      <x:c r="AN3131" s="87" t="n">
        <x:v>3</x:v>
      </x:c>
    </x:row>
    <x:row r="3132">
      <x:c r="A3132" s="87" t="n">
        <x:v>3131</x:v>
      </x:c>
      <x:c r="B3132" s="87" t="str">
        <x:v>OCT-MATH-0101-03</x:v>
      </x:c>
      <x:c r="C3132" s="87" t="str">
        <x:v>СтатГрад</x:v>
      </x:c>
      <x:c r="D3132" s="87" t="str">
        <x:v>Октябрь 2025</x:v>
      </x:c>
      <x:c r="E3132" s="87"/>
      <x:c r="F3132" s="87"/>
      <x:c r="G3132" s="87" t="str">
        <x:v>Математика</x:v>
      </x:c>
      <x:c r="H3132" s="87" t="n">
        <x:v>11</x:v>
      </x:c>
      <x:c r="I3132" s="87" t="str">
        <x:v>ТР №1</x:v>
      </x:c>
      <x:c r="J3132" s="87" t="str">
        <x:v>МА2510101</x:v>
      </x:c>
      <x:c r="K3132" s="87" t="n">
        <x:v>3</x:v>
      </x:c>
      <x:c r="L3132" s="87" t="str">
        <x:v>Диаграмма</x:v>
      </x:c>
      <x:c r="M3132" s="30" t="str">
        <x:v>На диаграмме показана среднемесячная температура воздуха в Симферополе
    за каждый месяц 1988 года. По горизонтали указываются месяцы,
    по вертикали — температура в градусах Цельсия.
           24
           20
           16
           12
             8
             4
            0 янв фев мар апр май июн июл авг сен окт ноя дек
           –4
    Определите по диаграмме наименьшую среднемесячную температуру
    в Симферополе в 1988 году. Ответ дайте в градусах Цельсия.
                                              a+b</x:v>
      </x:c>
      <x:c r="N3132" s="30" t="str">
        <x:v>-2</x:v>
      </x:c>
      <x:c r="O3132" s="30" t="str">
        <x:v>Ответ принят по официальной таблице СтатГрад.</x:v>
      </x:c>
      <x:c r="P3132" s="30" t="str">
        <x:v>Код варианта, номер и условие постранично сопоставлены с первичным PDF; формат ответа проверен.</x:v>
      </x:c>
      <x:c r="Q3132" s="30"/>
      <x:c r="R3132" s="30" t="str">
        <x:v>Официальный фото-ключ базового уровня.</x:v>
      </x:c>
      <x:c r="S3132" s="30"/>
      <x:c r="T3132" s="30"/>
      <x:c r="U3132" s="30" t="str">
        <x:v>Расхождений не обнаружено.</x:v>
      </x:c>
      <x:c r="V3132" s="87" t="str">
        <x:v>VERIFIED</x:v>
      </x:c>
      <x:c r="W3132" s="87" t="n">
        <x:v>3</x:v>
      </x:c>
      <x:c r="X3132" s="87"/>
      <x:c r="Y3132" s="87"/>
      <x:c r="Z3132" s="87"/>
      <x:c r="AA3132" s="87"/>
      <x:c r="AB3132" s="87"/>
      <x:c r="AC3132" s="87" t="str">
        <x:v>VIS-MATH-OCT-001</x:v>
      </x:c>
      <x:c r="AD3132" s="87"/>
      <x:c r="AE3132" s="87" t="str">
        <x:v>Полная страница с визуальным контекстом</x:v>
      </x:c>
      <x:c r="AF3132" s="87" t="str">
        <x:v>VIS-MATH-OCT-001: 3</x:v>
      </x:c>
      <x:c r="AG3132" s="87" t="str">
        <x:v>RESOLVED / SOURCE_REGENERATED</x:v>
      </x:c>
      <x:c r="AH3132" s="87" t="str">
        <x:v>SOURCE_PAGE_REGENERATED_FULL_PAGE_NO_CROP; TASK_CROP_QA_APPROVED:USE_CONTEXT</x:v>
      </x:c>
      <x:c r="AI3132" s="30"/>
      <x:c r="AJ3132" s="87" t="str">
        <x:v>master</x:v>
      </x:c>
      <x:c r="AK3132" s="87" t="str">
        <x:v>master-v0.81</x:v>
      </x:c>
      <x:c r="AL3132" s="87" t="str">
        <x:v>statgrad_master_base_v0_81_final(2).xlsx</x:v>
      </x:c>
      <x:c r="AM3132" s="87" t="str">
        <x:v>MATH_Oct_Base_V1</x:v>
      </x:c>
      <x:c r="AN3132" s="87" t="n">
        <x:v>4</x:v>
      </x:c>
    </x:row>
    <x:row r="3133">
      <x:c r="A3133" s="87" t="n">
        <x:v>3132</x:v>
      </x:c>
      <x:c r="B3133" s="87" t="str">
        <x:v>OCT-MATH-0101-04</x:v>
      </x:c>
      <x:c r="C3133" s="87" t="str">
        <x:v>СтатГрад</x:v>
      </x:c>
      <x:c r="D3133" s="87" t="str">
        <x:v>Октябрь 2025</x:v>
      </x:c>
      <x:c r="E3133" s="87"/>
      <x:c r="F3133" s="87"/>
      <x:c r="G3133" s="87" t="str">
        <x:v>Математика</x:v>
      </x:c>
      <x:c r="H3133" s="87" t="n">
        <x:v>11</x:v>
      </x:c>
      <x:c r="I3133" s="87" t="str">
        <x:v>ТР №1</x:v>
      </x:c>
      <x:c r="J3133" s="87" t="str">
        <x:v>МА2510101</x:v>
      </x:c>
      <x:c r="K3133" s="87" t="n">
        <x:v>4</x:v>
      </x:c>
      <x:c r="L3133" s="87" t="str">
        <x:v>Вычисление по формуле</x:v>
      </x:c>
      <x:c r="M3133" s="30" t="str">
        <x:v>Площадь трапеции вычисляется по формуле
                                         =  S      ⋅ h , где a и b — длины
                                                2
    оснований трапеции, h — её высота. Пользуясь этой формулой, найдите
    площадь S , если a = 4 , b = 9 и h = 2 .
                                   согласия СтатГрад запрещена</x:v>
      </x:c>
      <x:c r="N3133" s="30" t="str">
        <x:v>13</x:v>
      </x:c>
      <x:c r="O3133" s="30" t="str">
        <x:v>Ответ принят по официальной таблице СтатГрад.</x:v>
      </x:c>
      <x:c r="P3133" s="30" t="str">
        <x:v>Код варианта, номер и условие постранично сопоставлены с первичным PDF; формат ответа проверен.</x:v>
      </x:c>
      <x:c r="Q3133" s="30"/>
      <x:c r="R3133" s="30" t="str">
        <x:v>Официальный фото-ключ базового уровня.</x:v>
      </x:c>
      <x:c r="S3133" s="30"/>
      <x:c r="T3133" s="30"/>
      <x:c r="U3133" s="30" t="str">
        <x:v>Расхождений не обнаружено.</x:v>
      </x:c>
      <x:c r="V3133" s="87" t="str">
        <x:v>VERIFIED</x:v>
      </x:c>
      <x:c r="W3133" s="87" t="n">
        <x:v>3</x:v>
      </x:c>
      <x:c r="X3133" s="87"/>
      <x:c r="Y3133" s="87"/>
      <x:c r="Z3133" s="87"/>
      <x:c r="AA3133" s="87"/>
      <x:c r="AB3133" s="87"/>
      <x:c r="AC3133" s="87" t="str">
        <x:v>VIS-MATH-OCT-001</x:v>
      </x:c>
      <x:c r="AD3133" s="87"/>
      <x:c r="AE3133" s="87" t="str">
        <x:v>Полная страница с визуальным контекстом</x:v>
      </x:c>
      <x:c r="AF3133" s="87" t="str">
        <x:v>VIS-MATH-OCT-001: 3</x:v>
      </x:c>
      <x:c r="AG3133" s="87" t="str">
        <x:v>RESOLVED / SOURCE_REGENERATED</x:v>
      </x:c>
      <x:c r="AH3133" s="87" t="str">
        <x:v>SOURCE_PAGE_REGENERATED_FULL_PAGE_NO_CROP</x:v>
      </x:c>
      <x:c r="AI3133" s="30"/>
      <x:c r="AJ3133" s="87" t="str">
        <x:v>master</x:v>
      </x:c>
      <x:c r="AK3133" s="87" t="str">
        <x:v>master-v0.81</x:v>
      </x:c>
      <x:c r="AL3133" s="87" t="str">
        <x:v>statgrad_master_base_v0_81_final(2).xlsx</x:v>
      </x:c>
      <x:c r="AM3133" s="87" t="str">
        <x:v>MATH_Oct_Base_V1</x:v>
      </x:c>
      <x:c r="AN3133" s="87" t="n">
        <x:v>5</x:v>
      </x:c>
    </x:row>
    <x:row r="3134">
      <x:c r="A3134" s="87" t="n">
        <x:v>3133</x:v>
      </x:c>
      <x:c r="B3134" s="87" t="str">
        <x:v>OCT-MATH-0101-05</x:v>
      </x:c>
      <x:c r="C3134" s="87" t="str">
        <x:v>СтатГрад</x:v>
      </x:c>
      <x:c r="D3134" s="87" t="str">
        <x:v>Октябрь 2025</x:v>
      </x:c>
      <x:c r="E3134" s="87"/>
      <x:c r="F3134" s="87"/>
      <x:c r="G3134" s="87" t="str">
        <x:v>Математика</x:v>
      </x:c>
      <x:c r="H3134" s="87" t="n">
        <x:v>11</x:v>
      </x:c>
      <x:c r="I3134" s="87" t="str">
        <x:v>ТР №1</x:v>
      </x:c>
      <x:c r="J3134" s="87" t="str">
        <x:v>МА2510101</x:v>
      </x:c>
      <x:c r="K3134" s="87" t="n">
        <x:v>5</x:v>
      </x:c>
      <x:c r="L3134" s="87" t="str">
        <x:v>Вероятность</x:v>
      </x:c>
      <x:c r="M3134" s="30" t="str">
        <x:v>На олимпиаде по обществознанию участников рассаживают по трём
    аудиториям. В первых двух аудиториях сажают по 140 человек, оставшихся
    проводят в запасную аудиторию в другом корпусе. При подсчёте выяснилось,
    что всего было 350 участников. Найдите вероятность того, что случайно
    выбранный участник писал олимпиаду в запасной аудитории.</x:v>
      </x:c>
      <x:c r="N3134" s="30" t="str">
        <x:v>0,2</x:v>
      </x:c>
      <x:c r="O3134" s="30" t="str">
        <x:v>Ответ принят по официальной таблице СтатГрад.</x:v>
      </x:c>
      <x:c r="P3134" s="30" t="str">
        <x:v>Код варианта, номер и условие постранично сопоставлены с первичным PDF; формат ответа проверен.</x:v>
      </x:c>
      <x:c r="Q3134" s="30"/>
      <x:c r="R3134" s="30" t="str">
        <x:v>Официальный фото-ключ базового уровня.</x:v>
      </x:c>
      <x:c r="S3134" s="30"/>
      <x:c r="T3134" s="30"/>
      <x:c r="U3134" s="30" t="str">
        <x:v>Расхождений не обнаружено.</x:v>
      </x:c>
      <x:c r="V3134" s="87" t="str">
        <x:v>VERIFIED</x:v>
      </x:c>
      <x:c r="W3134" s="87" t="n">
        <x:v>4</x:v>
      </x:c>
      <x:c r="X3134" s="87"/>
      <x:c r="Y3134" s="87"/>
      <x:c r="Z3134" s="87"/>
      <x:c r="AA3134" s="87"/>
      <x:c r="AB3134" s="87"/>
      <x:c r="AC3134" s="87"/>
      <x:c r="AD3134" s="87"/>
      <x:c r="AE3134" s="87"/>
      <x:c r="AF3134" s="87"/>
      <x:c r="AG3134" s="87"/>
      <x:c r="AH3134" s="87"/>
      <x:c r="AI3134" s="30"/>
      <x:c r="AJ3134" s="87" t="str">
        <x:v>master</x:v>
      </x:c>
      <x:c r="AK3134" s="87" t="str">
        <x:v>master-v0.81</x:v>
      </x:c>
      <x:c r="AL3134" s="87" t="str">
        <x:v>statgrad_master_base_v0_81_final(2).xlsx</x:v>
      </x:c>
      <x:c r="AM3134" s="87" t="str">
        <x:v>MATH_Oct_Base_V1</x:v>
      </x:c>
      <x:c r="AN3134" s="87" t="n">
        <x:v>6</x:v>
      </x:c>
    </x:row>
    <x:row r="3135">
      <x:c r="A3135" s="87" t="n">
        <x:v>3134</x:v>
      </x:c>
      <x:c r="B3135" s="87" t="str">
        <x:v>OCT-MATH-0101-06</x:v>
      </x:c>
      <x:c r="C3135" s="87" t="str">
        <x:v>СтатГрад</x:v>
      </x:c>
      <x:c r="D3135" s="87" t="str">
        <x:v>Октябрь 2025</x:v>
      </x:c>
      <x:c r="E3135" s="87"/>
      <x:c r="F3135" s="87"/>
      <x:c r="G3135" s="87" t="str">
        <x:v>Математика</x:v>
      </x:c>
      <x:c r="H3135" s="87" t="n">
        <x:v>11</x:v>
      </x:c>
      <x:c r="I3135" s="87" t="str">
        <x:v>ТР №1</x:v>
      </x:c>
      <x:c r="J3135" s="87" t="str">
        <x:v>МА2510101</x:v>
      </x:c>
      <x:c r="K3135" s="87" t="n">
        <x:v>6</x:v>
      </x:c>
      <x:c r="L3135" s="87" t="str">
        <x:v>Тариф / таблица</x:v>
      </x:c>
      <x:c r="M3135" s="30" t="str">
        <x:v>Интернет-провайдер предлагает три тарифных плана.
    Тарифный план             Абонентская плата                       Плата за трафик
    План «0»                          Нет                             0,8 руб. за 1 Мб
    План «200»            208 руб. за 200 Мб трафика                  0,6 руб. за 1 Мб
                                    в месяц                            сверх 200 Мб
    План «800»            736 руб. за 800 Мб трафика                  0,5 руб. за 1 Мб
                                    в месяц                            сверх 800 Мб
    Пользователь предполагает, что его трафик составит 550 Мб в месяц, и
    исходя из этого выбирает наиболее дешёвый тарифный план. Сколько рублей
    должен будет заплатить пользователь за месяц, если его трафик
    действительно будет равен 550 Мб?
                                   согласия СтатГрад запрещена</x:v>
      </x:c>
      <x:c r="N3135" s="30" t="str">
        <x:v>418</x:v>
      </x:c>
      <x:c r="O3135" s="30" t="str">
        <x:v>Ответ принят по официальной таблице СтатГрад.</x:v>
      </x:c>
      <x:c r="P3135" s="30" t="str">
        <x:v>Код варианта, номер и условие постранично сопоставлены с первичным PDF; формат ответа проверен.</x:v>
      </x:c>
      <x:c r="Q3135" s="30"/>
      <x:c r="R3135" s="30" t="str">
        <x:v>Официальный фото-ключ базового уровня.</x:v>
      </x:c>
      <x:c r="S3135" s="30"/>
      <x:c r="T3135" s="30"/>
      <x:c r="U3135" s="30" t="str">
        <x:v>Расхождений не обнаружено.</x:v>
      </x:c>
      <x:c r="V3135" s="87" t="str">
        <x:v>VERIFIED</x:v>
      </x:c>
      <x:c r="W3135" s="87" t="n">
        <x:v>4</x:v>
      </x:c>
      <x:c r="X3135" s="87"/>
      <x:c r="Y3135" s="87"/>
      <x:c r="Z3135" s="87"/>
      <x:c r="AA3135" s="87"/>
      <x:c r="AB3135" s="87"/>
      <x:c r="AC3135" s="87" t="str">
        <x:v>VIS-MATH-OCT-002</x:v>
      </x:c>
      <x:c r="AD3135" s="87"/>
      <x:c r="AE3135" s="87" t="str">
        <x:v>Полная страница с визуальным контекстом</x:v>
      </x:c>
      <x:c r="AF3135" s="87" t="str">
        <x:v>VIS-MATH-OCT-002: 4</x:v>
      </x:c>
      <x:c r="AG3135" s="87" t="str">
        <x:v>RESOLVED / SOURCE_REGENERATED</x:v>
      </x:c>
      <x:c r="AH3135" s="87" t="str">
        <x:v>SOURCE_PAGE_REGENERATED_FULL_PAGE_NO_CROP</x:v>
      </x:c>
      <x:c r="AI3135" s="30"/>
      <x:c r="AJ3135" s="87" t="str">
        <x:v>master</x:v>
      </x:c>
      <x:c r="AK3135" s="87" t="str">
        <x:v>master-v0.81</x:v>
      </x:c>
      <x:c r="AL3135" s="87" t="str">
        <x:v>statgrad_master_base_v0_81_final(2).xlsx</x:v>
      </x:c>
      <x:c r="AM3135" s="87" t="str">
        <x:v>MATH_Oct_Base_V1</x:v>
      </x:c>
      <x:c r="AN3135" s="87" t="n">
        <x:v>7</x:v>
      </x:c>
    </x:row>
    <x:row r="3136">
      <x:c r="A3136" s="87" t="n">
        <x:v>3135</x:v>
      </x:c>
      <x:c r="B3136" s="87" t="str">
        <x:v>OCT-MATH-0101-07</x:v>
      </x:c>
      <x:c r="C3136" s="87" t="str">
        <x:v>СтатГрад</x:v>
      </x:c>
      <x:c r="D3136" s="87" t="str">
        <x:v>Октябрь 2025</x:v>
      </x:c>
      <x:c r="E3136" s="87"/>
      <x:c r="F3136" s="87"/>
      <x:c r="G3136" s="87" t="str">
        <x:v>Математика</x:v>
      </x:c>
      <x:c r="H3136" s="87" t="n">
        <x:v>11</x:v>
      </x:c>
      <x:c r="I3136" s="87" t="str">
        <x:v>ТР №1</x:v>
      </x:c>
      <x:c r="J3136" s="87" t="str">
        <x:v>МА2510101</x:v>
      </x:c>
      <x:c r="K3136" s="87" t="n">
        <x:v>7</x:v>
      </x:c>
      <x:c r="L3136" s="87" t="str">
        <x:v>График</x:v>
      </x:c>
      <x:c r="M3136" s="30" t="str">
        <x:v>На рисунке точками показан годовой объём добычи угля в России открытым
    способом в период с 2001 по 2010 год. По горизонтали указывается год,
    по вертикали — объём добычи угля в миллионах тонн. Для наглядности
    точки соединены ломаной линией.
              250
               225
               200
               175
               150
                 2001 2002 2003 2004 2005 2006 2007 2008 2009 2010
    Пользуясь рисунком, поставьте в соответствие каждому из указанных
    периодов времени характеристику добычи угля в этот период.
      ПЕРИОДЫ ВРЕМЕНИ                              ХАРАКТЕРИСТИКИ
    А) 2001–2003 гг.                    1) В течение периода объём добычи
    Б) 2003–2005 гг.                       сначала рос, а затем стал падать.
    В) 2005–2007 гг.                    2) Объём добычи в этот период рос
    Г) 2007–2009 гг.                       с каждым годом.
                                        3) Период с минимальным показателем
                                           добычи за 10 лет.
                                        4) Годовой объём добычи составлял
                                           больше 175 млн т, но меньше 200 млн т.
    В таблице под каждой буквой укажите соответствующий номер.
               А Б В Г
    Ответ:
                                   согласия СтатГрад запрещена</x:v>
      </x:c>
      <x:c r="N3136" s="30" t="str">
        <x:v>3421</x:v>
      </x:c>
      <x:c r="O3136" s="30" t="str">
        <x:v>Ответ принят по официальной таблице СтатГрад.</x:v>
      </x:c>
      <x:c r="P3136" s="30" t="str">
        <x:v>Код варианта, номер и условие постранично сопоставлены с первичным PDF; формат ответа проверен.</x:v>
      </x:c>
      <x:c r="Q3136" s="30"/>
      <x:c r="R3136" s="30" t="str">
        <x:v>Официальный фото-ключ базового уровня.</x:v>
      </x:c>
      <x:c r="S3136" s="30"/>
      <x:c r="T3136" s="30"/>
      <x:c r="U3136" s="30" t="str">
        <x:v>Расхождений не обнаружено.</x:v>
      </x:c>
      <x:c r="V3136" s="87" t="str">
        <x:v>VERIFIED</x:v>
      </x:c>
      <x:c r="W3136" s="87" t="n">
        <x:v>5</x:v>
      </x:c>
      <x:c r="X3136" s="87"/>
      <x:c r="Y3136" s="87"/>
      <x:c r="Z3136" s="87"/>
      <x:c r="AA3136" s="87"/>
      <x:c r="AB3136" s="87"/>
      <x:c r="AC3136" s="87" t="str">
        <x:v>VIS-MATH-OCT-003</x:v>
      </x:c>
      <x:c r="AD3136" s="87"/>
      <x:c r="AE3136" s="87" t="str">
        <x:v>Полная страница с визуальным контекстом</x:v>
      </x:c>
      <x:c r="AF3136" s="87" t="str">
        <x:v>VIS-MATH-OCT-003: 5</x:v>
      </x:c>
      <x:c r="AG3136" s="87" t="str">
        <x:v>RESOLVED / SOURCE_REGENERATED</x:v>
      </x:c>
      <x:c r="AH3136" s="87" t="str">
        <x:v>SOURCE_PAGE_REGENERATED_FULL_PAGE_NO_CROP; TASK_CROP_QA_APPROVED:USE_CONTEXT</x:v>
      </x:c>
      <x:c r="AI3136" s="30"/>
      <x:c r="AJ3136" s="87" t="str">
        <x:v>master</x:v>
      </x:c>
      <x:c r="AK3136" s="87" t="str">
        <x:v>master-v0.81</x:v>
      </x:c>
      <x:c r="AL3136" s="87" t="str">
        <x:v>statgrad_master_base_v0_81_final(2).xlsx</x:v>
      </x:c>
      <x:c r="AM3136" s="87" t="str">
        <x:v>MATH_Oct_Base_V1</x:v>
      </x:c>
      <x:c r="AN3136" s="87" t="n">
        <x:v>8</x:v>
      </x:c>
    </x:row>
    <x:row r="3137">
      <x:c r="A3137" s="87" t="n">
        <x:v>3136</x:v>
      </x:c>
      <x:c r="B3137" s="87" t="str">
        <x:v>OCT-MATH-0101-08</x:v>
      </x:c>
      <x:c r="C3137" s="87" t="str">
        <x:v>СтатГрад</x:v>
      </x:c>
      <x:c r="D3137" s="87" t="str">
        <x:v>Октябрь 2025</x:v>
      </x:c>
      <x:c r="E3137" s="87"/>
      <x:c r="F3137" s="87"/>
      <x:c r="G3137" s="87" t="str">
        <x:v>Математика</x:v>
      </x:c>
      <x:c r="H3137" s="87" t="n">
        <x:v>11</x:v>
      </x:c>
      <x:c r="I3137" s="87" t="str">
        <x:v>ТР №1</x:v>
      </x:c>
      <x:c r="J3137" s="87" t="str">
        <x:v>МА2510101</x:v>
      </x:c>
      <x:c r="K3137" s="87" t="n">
        <x:v>8</x:v>
      </x:c>
      <x:c r="L3137" s="87" t="str">
        <x:v>Практическая задача</x:v>
      </x:c>
      <x:c r="M3137" s="30" t="str">
        <x:v>Кошка Китти тяжелее кошки Машки, а кошка Лада легче кошки Машки.
     Выберите утверждения, которые верны при указанных условиях.
     1) Любая кошка, помимо указанных, которая весит меньше Лады, весит
        также меньше Китти.
     2) Любая кошка, помимо указанных, которая весит меньше Китти, весит
        также меньше Лады.
     3) Среди указанных кошек нет кошек тяжелее Китти.
     4) Машка весит меньше Лады.
     В ответе запишите номера выбранных утверждений без пробелов, запятых и
     других дополнительных символов.</x:v>
      </x:c>
      <x:c r="N3137" s="30" t="str">
        <x:v>13</x:v>
      </x:c>
      <x:c r="O3137" s="30" t="str">
        <x:v>Ответ принят по официальной таблице СтатГрад.</x:v>
      </x:c>
      <x:c r="P3137" s="30" t="str">
        <x:v>Код варианта, номер и условие постранично сопоставлены с первичным PDF; формат ответа проверен.</x:v>
      </x:c>
      <x:c r="Q3137" s="30"/>
      <x:c r="R3137" s="30" t="str">
        <x:v>Официальный фото-ключ базового уровня.</x:v>
      </x:c>
      <x:c r="S3137" s="30"/>
      <x:c r="T3137" s="30"/>
      <x:c r="U3137" s="30" t="str">
        <x:v>Расхождений не обнаружено.</x:v>
      </x:c>
      <x:c r="V3137" s="87" t="str">
        <x:v>VERIFIED</x:v>
      </x:c>
      <x:c r="W3137" s="87" t="n">
        <x:v>6</x:v>
      </x:c>
      <x:c r="X3137" s="87"/>
      <x:c r="Y3137" s="87"/>
      <x:c r="Z3137" s="87"/>
      <x:c r="AA3137" s="87"/>
      <x:c r="AB3137" s="87"/>
      <x:c r="AC3137" s="87"/>
      <x:c r="AD3137" s="87"/>
      <x:c r="AE3137" s="87"/>
      <x:c r="AF3137" s="87"/>
      <x:c r="AG3137" s="87"/>
      <x:c r="AH3137" s="87"/>
      <x:c r="AI3137" s="30"/>
      <x:c r="AJ3137" s="87" t="str">
        <x:v>master</x:v>
      </x:c>
      <x:c r="AK3137" s="87" t="str">
        <x:v>master-v0.81</x:v>
      </x:c>
      <x:c r="AL3137" s="87" t="str">
        <x:v>statgrad_master_base_v0_81_final(2).xlsx</x:v>
      </x:c>
      <x:c r="AM3137" s="87" t="str">
        <x:v>MATH_Oct_Base_V1</x:v>
      </x:c>
      <x:c r="AN3137" s="87" t="n">
        <x:v>9</x:v>
      </x:c>
    </x:row>
    <x:row r="3138">
      <x:c r="A3138" s="87" t="n">
        <x:v>3137</x:v>
      </x:c>
      <x:c r="B3138" s="87" t="str">
        <x:v>OCT-MATH-0101-09</x:v>
      </x:c>
      <x:c r="C3138" s="87" t="str">
        <x:v>СтатГрад</x:v>
      </x:c>
      <x:c r="D3138" s="87" t="str">
        <x:v>Октябрь 2025</x:v>
      </x:c>
      <x:c r="E3138" s="87"/>
      <x:c r="F3138" s="87"/>
      <x:c r="G3138" s="87" t="str">
        <x:v>Математика</x:v>
      </x:c>
      <x:c r="H3138" s="87" t="n">
        <x:v>11</x:v>
      </x:c>
      <x:c r="I3138" s="87" t="str">
        <x:v>ТР №1</x:v>
      </x:c>
      <x:c r="J3138" s="87" t="str">
        <x:v>МА2510101</x:v>
      </x:c>
      <x:c r="K3138" s="87" t="n">
        <x:v>9</x:v>
      </x:c>
      <x:c r="L3138" s="87" t="str">
        <x:v>План / площадь</x:v>
      </x:c>
      <x:c r="M3138" s="30" t="str">
        <x:v>План местности разбит на клетки. Каждая клетка
     обозначает квадрат 1 м × 1 м . Найдите площадь
     участка, выделенного на плане. Ответ дайте
     в квадратных метрах.</x:v>
      </x:c>
      <x:c r="N3138" s="30" t="str">
        <x:v>6</x:v>
      </x:c>
      <x:c r="O3138" s="30" t="str">
        <x:v>Ответ принят по официальной таблице СтатГрад.</x:v>
      </x:c>
      <x:c r="P3138" s="30" t="str">
        <x:v>Код варианта, номер и условие постранично сопоставлены с первичным PDF; формат ответа проверен.</x:v>
      </x:c>
      <x:c r="Q3138" s="30"/>
      <x:c r="R3138" s="30" t="str">
        <x:v>Официальный фото-ключ базового уровня.</x:v>
      </x:c>
      <x:c r="S3138" s="30"/>
      <x:c r="T3138" s="30"/>
      <x:c r="U3138" s="30" t="str">
        <x:v>Расхождений не обнаружено.</x:v>
      </x:c>
      <x:c r="V3138" s="87" t="str">
        <x:v>VERIFIED</x:v>
      </x:c>
      <x:c r="W3138" s="87" t="n">
        <x:v>6</x:v>
      </x:c>
      <x:c r="X3138" s="87"/>
      <x:c r="Y3138" s="87"/>
      <x:c r="Z3138" s="87"/>
      <x:c r="AA3138" s="87"/>
      <x:c r="AB3138" s="87"/>
      <x:c r="AC3138" s="87" t="str">
        <x:v>VIS-MATH-OCT-004</x:v>
      </x:c>
      <x:c r="AD3138" s="87"/>
      <x:c r="AE3138" s="87" t="str">
        <x:v>Полная страница с визуальным контекстом</x:v>
      </x:c>
      <x:c r="AF3138" s="87" t="str">
        <x:v>VIS-MATH-OCT-004: 6</x:v>
      </x:c>
      <x:c r="AG3138" s="87" t="str">
        <x:v>RESOLVED / SOURCE_REGENERATED</x:v>
      </x:c>
      <x:c r="AH3138" s="87" t="str">
        <x:v>SOURCE_PAGE_REGENERATED_FULL_PAGE_NO_CROP; TASK_CROP_QA_APPROVED:USE_TIGHT</x:v>
      </x:c>
      <x:c r="AI3138" s="30"/>
      <x:c r="AJ3138" s="87" t="str">
        <x:v>master</x:v>
      </x:c>
      <x:c r="AK3138" s="87" t="str">
        <x:v>master-v0.81</x:v>
      </x:c>
      <x:c r="AL3138" s="87" t="str">
        <x:v>statgrad_master_base_v0_81_final(2).xlsx</x:v>
      </x:c>
      <x:c r="AM3138" s="87" t="str">
        <x:v>MATH_Oct_Base_V1</x:v>
      </x:c>
      <x:c r="AN3138" s="87" t="n">
        <x:v>10</x:v>
      </x:c>
    </x:row>
    <x:row r="3139">
      <x:c r="A3139" s="87" t="n">
        <x:v>3138</x:v>
      </x:c>
      <x:c r="B3139" s="87" t="str">
        <x:v>OCT-MATH-0101-10</x:v>
      </x:c>
      <x:c r="C3139" s="87" t="str">
        <x:v>СтатГрад</x:v>
      </x:c>
      <x:c r="D3139" s="87" t="str">
        <x:v>Октябрь 2025</x:v>
      </x:c>
      <x:c r="E3139" s="87"/>
      <x:c r="F3139" s="87"/>
      <x:c r="G3139" s="87" t="str">
        <x:v>Математика</x:v>
      </x:c>
      <x:c r="H3139" s="87" t="n">
        <x:v>11</x:v>
      </x:c>
      <x:c r="I3139" s="87" t="str">
        <x:v>ТР №1</x:v>
      </x:c>
      <x:c r="J3139" s="87" t="str">
        <x:v>МА2510101</x:v>
      </x:c>
      <x:c r="K3139" s="87" t="n">
        <x:v>10</x:v>
      </x:c>
      <x:c r="L3139" s="87" t="str">
        <x:v>Геометрия по рисунку</x:v>
      </x:c>
      <x:c r="M3139" s="30" t="str">
        <x:v>Дачный участок имеет форму прямоугольника
     со сторонами 25 метров и 15 метров. Хозяин                            8м
     планирует обнести его изгородью и отгородить                                         15 м
     такой же изгородью квадратный участок
     со стороной 8 метров (см. рисунок). Найдите
                                                                            25 м
     суммарную длину изгороди в метрах.</x:v>
      </x:c>
      <x:c r="N3139" s="30" t="str">
        <x:v>96</x:v>
      </x:c>
      <x:c r="O3139" s="30" t="str">
        <x:v>Ответ принят по официальной таблице СтатГрад.</x:v>
      </x:c>
      <x:c r="P3139" s="30" t="str">
        <x:v>Код варианта, номер и условие постранично сопоставлены с первичным PDF; формат ответа проверен.</x:v>
      </x:c>
      <x:c r="Q3139" s="30"/>
      <x:c r="R3139" s="30" t="str">
        <x:v>Официальный фото-ключ базового уровня.</x:v>
      </x:c>
      <x:c r="S3139" s="30"/>
      <x:c r="T3139" s="30"/>
      <x:c r="U3139" s="30" t="str">
        <x:v>Расхождений не обнаружено.</x:v>
      </x:c>
      <x:c r="V3139" s="87" t="str">
        <x:v>VERIFIED</x:v>
      </x:c>
      <x:c r="W3139" s="87" t="n">
        <x:v>6</x:v>
      </x:c>
      <x:c r="X3139" s="87"/>
      <x:c r="Y3139" s="87"/>
      <x:c r="Z3139" s="87"/>
      <x:c r="AA3139" s="87"/>
      <x:c r="AB3139" s="87"/>
      <x:c r="AC3139" s="87" t="str">
        <x:v>VIS-MATH-OCT-004</x:v>
      </x:c>
      <x:c r="AD3139" s="87"/>
      <x:c r="AE3139" s="87" t="str">
        <x:v>Полная страница с визуальным контекстом</x:v>
      </x:c>
      <x:c r="AF3139" s="87" t="str">
        <x:v>VIS-MATH-OCT-004: 6</x:v>
      </x:c>
      <x:c r="AG3139" s="87" t="str">
        <x:v>RESOLVED / SOURCE_REGENERATED</x:v>
      </x:c>
      <x:c r="AH3139" s="87" t="str">
        <x:v>SOURCE_PAGE_REGENERATED_FULL_PAGE_NO_CROP; TASK_CROP_QA_APPROVED:MANUAL_BBOX</x:v>
      </x:c>
      <x:c r="AI3139" s="30"/>
      <x:c r="AJ3139" s="87" t="str">
        <x:v>master</x:v>
      </x:c>
      <x:c r="AK3139" s="87" t="str">
        <x:v>master-v0.81</x:v>
      </x:c>
      <x:c r="AL3139" s="87" t="str">
        <x:v>statgrad_master_base_v0_81_final(2).xlsx</x:v>
      </x:c>
      <x:c r="AM3139" s="87" t="str">
        <x:v>MATH_Oct_Base_V1</x:v>
      </x:c>
      <x:c r="AN3139" s="87" t="n">
        <x:v>11</x:v>
      </x:c>
    </x:row>
    <x:row r="3140">
      <x:c r="A3140" s="87" t="n">
        <x:v>3139</x:v>
      </x:c>
      <x:c r="B3140" s="87" t="str">
        <x:v>OCT-MATH-0101-11</x:v>
      </x:c>
      <x:c r="C3140" s="87" t="str">
        <x:v>СтатГрад</x:v>
      </x:c>
      <x:c r="D3140" s="87" t="str">
        <x:v>Октябрь 2025</x:v>
      </x:c>
      <x:c r="E3140" s="87"/>
      <x:c r="F3140" s="87"/>
      <x:c r="G3140" s="87" t="str">
        <x:v>Математика</x:v>
      </x:c>
      <x:c r="H3140" s="87" t="n">
        <x:v>11</x:v>
      </x:c>
      <x:c r="I3140" s="87" t="str">
        <x:v>ТР №1</x:v>
      </x:c>
      <x:c r="J3140" s="87" t="str">
        <x:v>МА2510101</x:v>
      </x:c>
      <x:c r="K3140" s="87" t="n">
        <x:v>11</x:v>
      </x:c>
      <x:c r="L3140" s="87" t="str">
        <x:v>Стереометрия по рисунку</x:v>
      </x:c>
      <x:c r="M3140" s="30" t="str">
        <x:v>От деревянной правильной треугольной призмы
     отпилили все её вершины (см. рисунок). Сколько
     граней у получившегося многогранника (невидимые
     рёбра на рисунке не изображены)?
                                    согласия СтатГрад запрещена</x:v>
      </x:c>
      <x:c r="N3140" s="30" t="str">
        <x:v>11</x:v>
      </x:c>
      <x:c r="O3140" s="30" t="str">
        <x:v>Ответ принят по официальной таблице СтатГрад.</x:v>
      </x:c>
      <x:c r="P3140" s="30" t="str">
        <x:v>Код варианта, номер и условие постранично сопоставлены с первичным PDF; формат ответа проверен.</x:v>
      </x:c>
      <x:c r="Q3140" s="30"/>
      <x:c r="R3140" s="30" t="str">
        <x:v>Официальный фото-ключ базового уровня.</x:v>
      </x:c>
      <x:c r="S3140" s="30"/>
      <x:c r="T3140" s="30"/>
      <x:c r="U3140" s="30" t="str">
        <x:v>Расхождений не обнаружено.</x:v>
      </x:c>
      <x:c r="V3140" s="87" t="str">
        <x:v>VERIFIED</x:v>
      </x:c>
      <x:c r="W3140" s="87" t="n">
        <x:v>6</x:v>
      </x:c>
      <x:c r="X3140" s="87"/>
      <x:c r="Y3140" s="87"/>
      <x:c r="Z3140" s="87"/>
      <x:c r="AA3140" s="87"/>
      <x:c r="AB3140" s="87"/>
      <x:c r="AC3140" s="87" t="str">
        <x:v>VIS-MATH-OCT-004</x:v>
      </x:c>
      <x:c r="AD3140" s="87"/>
      <x:c r="AE3140" s="87" t="str">
        <x:v>Полная страница с визуальным контекстом</x:v>
      </x:c>
      <x:c r="AF3140" s="87" t="str">
        <x:v>VIS-MATH-OCT-004: 6</x:v>
      </x:c>
      <x:c r="AG3140" s="87" t="str">
        <x:v>RESOLVED / SOURCE_REGENERATED</x:v>
      </x:c>
      <x:c r="AH3140" s="87" t="str">
        <x:v>SOURCE_PAGE_REGENERATED_FULL_PAGE_NO_CROP; TASK_CROP_QA_APPROVED:USE_TIGHT</x:v>
      </x:c>
      <x:c r="AI3140" s="30"/>
      <x:c r="AJ3140" s="87" t="str">
        <x:v>master</x:v>
      </x:c>
      <x:c r="AK3140" s="87" t="str">
        <x:v>master-v0.81</x:v>
      </x:c>
      <x:c r="AL3140" s="87" t="str">
        <x:v>statgrad_master_base_v0_81_final(2).xlsx</x:v>
      </x:c>
      <x:c r="AM3140" s="87" t="str">
        <x:v>MATH_Oct_Base_V1</x:v>
      </x:c>
      <x:c r="AN3140" s="87" t="n">
        <x:v>12</x:v>
      </x:c>
    </x:row>
    <x:row r="3141">
      <x:c r="A3141" s="87" t="n">
        <x:v>3140</x:v>
      </x:c>
      <x:c r="B3141" s="87" t="str">
        <x:v>OCT-MATH-0101-12</x:v>
      </x:c>
      <x:c r="C3141" s="87" t="str">
        <x:v>СтатГрад</x:v>
      </x:c>
      <x:c r="D3141" s="87" t="str">
        <x:v>Октябрь 2025</x:v>
      </x:c>
      <x:c r="E3141" s="87"/>
      <x:c r="F3141" s="87"/>
      <x:c r="G3141" s="87" t="str">
        <x:v>Математика</x:v>
      </x:c>
      <x:c r="H3141" s="87" t="n">
        <x:v>11</x:v>
      </x:c>
      <x:c r="I3141" s="87" t="str">
        <x:v>ТР №1</x:v>
      </x:c>
      <x:c r="J3141" s="87" t="str">
        <x:v>МА2510101</x:v>
      </x:c>
      <x:c r="K3141" s="87" t="n">
        <x:v>12</x:v>
      </x:c>
      <x:c r="L3141" s="87" t="str">
        <x:v>Уравнение / вычисление</x:v>
      </x:c>
      <x:c r="M3141" s="30" t="str">
        <x:v>На прямой AB отмечена точка M . Луч MD —                                   C
     биссектриса угла CMB . Известно, что ∠DMC =°
                                                67 .                                         D
     Найдите угол CMA . Ответ дайте в градусах.
                                                                        A           M            B</x:v>
      </x:c>
      <x:c r="N3141" s="30" t="str">
        <x:v>46</x:v>
      </x:c>
      <x:c r="O3141" s="30" t="str">
        <x:v>Ответ принят по официальной таблице СтатГрад.</x:v>
      </x:c>
      <x:c r="P3141" s="30" t="str">
        <x:v>Код варианта, номер и условие постранично сопоставлены с первичным PDF; формат ответа проверен.</x:v>
      </x:c>
      <x:c r="Q3141" s="30"/>
      <x:c r="R3141" s="30" t="str">
        <x:v>Официальный фото-ключ базового уровня.</x:v>
      </x:c>
      <x:c r="S3141" s="30"/>
      <x:c r="T3141" s="30"/>
      <x:c r="U3141" s="30" t="str">
        <x:v>Расхождений не обнаружено.</x:v>
      </x:c>
      <x:c r="V3141" s="87" t="str">
        <x:v>VERIFIED</x:v>
      </x:c>
      <x:c r="W3141" s="87" t="n">
        <x:v>7</x:v>
      </x:c>
      <x:c r="X3141" s="87"/>
      <x:c r="Y3141" s="87"/>
      <x:c r="Z3141" s="87"/>
      <x:c r="AA3141" s="87"/>
      <x:c r="AB3141" s="87"/>
      <x:c r="AC3141" s="87"/>
      <x:c r="AD3141" s="87"/>
      <x:c r="AE3141" s="87"/>
      <x:c r="AF3141" s="87"/>
      <x:c r="AG3141" s="87"/>
      <x:c r="AH3141" s="87"/>
      <x:c r="AI3141" s="30"/>
      <x:c r="AJ3141" s="87" t="str">
        <x:v>master</x:v>
      </x:c>
      <x:c r="AK3141" s="87" t="str">
        <x:v>master-v0.81</x:v>
      </x:c>
      <x:c r="AL3141" s="87" t="str">
        <x:v>statgrad_master_base_v0_81_final(2).xlsx</x:v>
      </x:c>
      <x:c r="AM3141" s="87" t="str">
        <x:v>MATH_Oct_Base_V1</x:v>
      </x:c>
      <x:c r="AN3141" s="87" t="n">
        <x:v>13</x:v>
      </x:c>
    </x:row>
    <x:row r="3142">
      <x:c r="A3142" s="87" t="n">
        <x:v>3141</x:v>
      </x:c>
      <x:c r="B3142" s="87" t="str">
        <x:v>OCT-MATH-0101-13</x:v>
      </x:c>
      <x:c r="C3142" s="87" t="str">
        <x:v>СтатГрад</x:v>
      </x:c>
      <x:c r="D3142" s="87" t="str">
        <x:v>Октябрь 2025</x:v>
      </x:c>
      <x:c r="E3142" s="87"/>
      <x:c r="F3142" s="87"/>
      <x:c r="G3142" s="87" t="str">
        <x:v>Математика</x:v>
      </x:c>
      <x:c r="H3142" s="87" t="n">
        <x:v>11</x:v>
      </x:c>
      <x:c r="I3142" s="87" t="str">
        <x:v>ТР №1</x:v>
      </x:c>
      <x:c r="J3142" s="87" t="str">
        <x:v>МА2510101</x:v>
      </x:c>
      <x:c r="K3142" s="87" t="n">
        <x:v>13</x:v>
      </x:c>
      <x:c r="L3142" s="87" t="str">
        <x:v>Стереометрия</x:v>
      </x:c>
      <x:c r="M3142" s="30" t="str">
        <x:v>В прямоугольном параллелепипеде ABCDA1B1C1D1                           D1                   C1
     рёбра CD , CB и диагональ CD1 боковой грани A1                                     B1
     равны соответственно 5, 5 и 29 . Найдите объём
     параллелепипеда ABCDA1B1C1D1 .                                         D                    C
                                                                    A                   B
                                        5 5 1</x:v>
      </x:c>
      <x:c r="N3142" s="30" t="str">
        <x:v>50</x:v>
      </x:c>
      <x:c r="O3142" s="30" t="str">
        <x:v>Ответ принят по официальной таблице СтатГрад.</x:v>
      </x:c>
      <x:c r="P3142" s="30" t="str">
        <x:v>Код варианта, номер и условие постранично сопоставлены с первичным PDF; формат ответа проверен.</x:v>
      </x:c>
      <x:c r="Q3142" s="30"/>
      <x:c r="R3142" s="30" t="str">
        <x:v>Официальный фото-ключ базового уровня.</x:v>
      </x:c>
      <x:c r="S3142" s="30"/>
      <x:c r="T3142" s="30"/>
      <x:c r="U3142" s="30" t="str">
        <x:v>Расхождений не обнаружено.</x:v>
      </x:c>
      <x:c r="V3142" s="87" t="str">
        <x:v>VERIFIED</x:v>
      </x:c>
      <x:c r="W3142" s="87" t="n">
        <x:v>7</x:v>
      </x:c>
      <x:c r="X3142" s="87"/>
      <x:c r="Y3142" s="87"/>
      <x:c r="Z3142" s="87"/>
      <x:c r="AA3142" s="87"/>
      <x:c r="AB3142" s="87"/>
      <x:c r="AC3142" s="87"/>
      <x:c r="AD3142" s="87"/>
      <x:c r="AE3142" s="87"/>
      <x:c r="AF3142" s="87"/>
      <x:c r="AG3142" s="87"/>
      <x:c r="AH3142" s="87"/>
      <x:c r="AI3142" s="30"/>
      <x:c r="AJ3142" s="87" t="str">
        <x:v>master</x:v>
      </x:c>
      <x:c r="AK3142" s="87" t="str">
        <x:v>master-v0.81</x:v>
      </x:c>
      <x:c r="AL3142" s="87" t="str">
        <x:v>statgrad_master_base_v0_81_final(2).xlsx</x:v>
      </x:c>
      <x:c r="AM3142" s="87" t="str">
        <x:v>MATH_Oct_Base_V1</x:v>
      </x:c>
      <x:c r="AN3142" s="87" t="n">
        <x:v>14</x:v>
      </x:c>
    </x:row>
    <x:row r="3143">
      <x:c r="A3143" s="87" t="n">
        <x:v>3142</x:v>
      </x:c>
      <x:c r="B3143" s="87" t="str">
        <x:v>OCT-MATH-0101-14</x:v>
      </x:c>
      <x:c r="C3143" s="87" t="str">
        <x:v>СтатГрад</x:v>
      </x:c>
      <x:c r="D3143" s="87" t="str">
        <x:v>Октябрь 2025</x:v>
      </x:c>
      <x:c r="E3143" s="87"/>
      <x:c r="F3143" s="87"/>
      <x:c r="G3143" s="87" t="str">
        <x:v>Математика</x:v>
      </x:c>
      <x:c r="H3143" s="87" t="n">
        <x:v>11</x:v>
      </x:c>
      <x:c r="I3143" s="87" t="str">
        <x:v>ТР №1</x:v>
      </x:c>
      <x:c r="J3143" s="87" t="str">
        <x:v>МА2510101</x:v>
      </x:c>
      <x:c r="K3143" s="87" t="n">
        <x:v>14</x:v>
      </x:c>
      <x:c r="L3143" s="87" t="str">
        <x:v>Планиметрия</x:v>
      </x:c>
      <x:c r="M3143" s="30" t="str">
        <x:v>Найдите значение выражения          ⋅ − .
                                        3 4 12</x:v>
      </x:c>
      <x:c r="N3143" s="30" t="str">
        <x:v>2</x:v>
      </x:c>
      <x:c r="O3143" s="30" t="str">
        <x:v>Ответ принят по официальной таблице СтатГрад.</x:v>
      </x:c>
      <x:c r="P3143" s="30" t="str">
        <x:v>Код варианта, номер и условие постранично сопоставлены с первичным PDF; формат ответа проверен.</x:v>
      </x:c>
      <x:c r="Q3143" s="30"/>
      <x:c r="R3143" s="30" t="str">
        <x:v>Официальный фото-ключ базового уровня.</x:v>
      </x:c>
      <x:c r="S3143" s="30"/>
      <x:c r="T3143" s="30"/>
      <x:c r="U3143" s="30" t="str">
        <x:v>Расхождений не обнаружено.</x:v>
      </x:c>
      <x:c r="V3143" s="87" t="str">
        <x:v>VERIFIED</x:v>
      </x:c>
      <x:c r="W3143" s="87" t="n">
        <x:v>7</x:v>
      </x:c>
      <x:c r="X3143" s="87"/>
      <x:c r="Y3143" s="87"/>
      <x:c r="Z3143" s="87"/>
      <x:c r="AA3143" s="87"/>
      <x:c r="AB3143" s="87"/>
      <x:c r="AC3143" s="87"/>
      <x:c r="AD3143" s="87"/>
      <x:c r="AE3143" s="87"/>
      <x:c r="AF3143" s="87"/>
      <x:c r="AG3143" s="87"/>
      <x:c r="AH3143" s="87"/>
      <x:c r="AI3143" s="30"/>
      <x:c r="AJ3143" s="87" t="str">
        <x:v>master</x:v>
      </x:c>
      <x:c r="AK3143" s="87" t="str">
        <x:v>master-v0.81</x:v>
      </x:c>
      <x:c r="AL3143" s="87" t="str">
        <x:v>statgrad_master_base_v0_81_final(2).xlsx</x:v>
      </x:c>
      <x:c r="AM3143" s="87" t="str">
        <x:v>MATH_Oct_Base_V1</x:v>
      </x:c>
      <x:c r="AN3143" s="87" t="n">
        <x:v>15</x:v>
      </x:c>
    </x:row>
    <x:row r="3144">
      <x:c r="A3144" s="87" t="n">
        <x:v>3143</x:v>
      </x:c>
      <x:c r="B3144" s="87" t="str">
        <x:v>OCT-MATH-0101-15</x:v>
      </x:c>
      <x:c r="C3144" s="87" t="str">
        <x:v>СтатГрад</x:v>
      </x:c>
      <x:c r="D3144" s="87" t="str">
        <x:v>Октябрь 2025</x:v>
      </x:c>
      <x:c r="E3144" s="87"/>
      <x:c r="F3144" s="87"/>
      <x:c r="G3144" s="87" t="str">
        <x:v>Математика</x:v>
      </x:c>
      <x:c r="H3144" s="87" t="n">
        <x:v>11</x:v>
      </x:c>
      <x:c r="I3144" s="87" t="str">
        <x:v>ТР №1</x:v>
      </x:c>
      <x:c r="J3144" s="87" t="str">
        <x:v>МА2510101</x:v>
      </x:c>
      <x:c r="K3144" s="87" t="n">
        <x:v>15</x:v>
      </x:c>
      <x:c r="L3144" s="87" t="str">
        <x:v>Алгебра</x:v>
      </x:c>
      <x:c r="M3144" s="30" t="str">
        <x:v>Магазин делает пенсионерам скидку. Десяток яиц стоит в магазине
     112 рублей, а пенсионер заплатил за них 100 рублей 80 копеек. Сколько
     процентов составила скидка для пенсионера?</x:v>
      </x:c>
      <x:c r="N3144" s="30" t="str">
        <x:v>10</x:v>
      </x:c>
      <x:c r="O3144" s="30" t="str">
        <x:v>Ответ принят по официальной таблице СтатГрад.</x:v>
      </x:c>
      <x:c r="P3144" s="30" t="str">
        <x:v>Код варианта, номер и условие постранично сопоставлены с первичным PDF; формат ответа проверен.</x:v>
      </x:c>
      <x:c r="Q3144" s="30"/>
      <x:c r="R3144" s="30" t="str">
        <x:v>Официальный фото-ключ базового уровня.</x:v>
      </x:c>
      <x:c r="S3144" s="30"/>
      <x:c r="T3144" s="30"/>
      <x:c r="U3144" s="30" t="str">
        <x:v>Расхождений не обнаружено.</x:v>
      </x:c>
      <x:c r="V3144" s="87" t="str">
        <x:v>VERIFIED</x:v>
      </x:c>
      <x:c r="W3144" s="87" t="n">
        <x:v>7</x:v>
      </x:c>
      <x:c r="X3144" s="87"/>
      <x:c r="Y3144" s="87"/>
      <x:c r="Z3144" s="87"/>
      <x:c r="AA3144" s="87"/>
      <x:c r="AB3144" s="87"/>
      <x:c r="AC3144" s="87"/>
      <x:c r="AD3144" s="87"/>
      <x:c r="AE3144" s="87"/>
      <x:c r="AF3144" s="87"/>
      <x:c r="AG3144" s="87"/>
      <x:c r="AH3144" s="87"/>
      <x:c r="AI3144" s="30"/>
      <x:c r="AJ3144" s="87" t="str">
        <x:v>master</x:v>
      </x:c>
      <x:c r="AK3144" s="87" t="str">
        <x:v>master-v0.81</x:v>
      </x:c>
      <x:c r="AL3144" s="87" t="str">
        <x:v>statgrad_master_base_v0_81_final(2).xlsx</x:v>
      </x:c>
      <x:c r="AM3144" s="87" t="str">
        <x:v>MATH_Oct_Base_V1</x:v>
      </x:c>
      <x:c r="AN3144" s="87" t="n">
        <x:v>16</x:v>
      </x:c>
    </x:row>
    <x:row r="3145">
      <x:c r="A3145" s="87" t="n">
        <x:v>3144</x:v>
      </x:c>
      <x:c r="B3145" s="87" t="str">
        <x:v>OCT-MATH-0101-16</x:v>
      </x:c>
      <x:c r="C3145" s="87" t="str">
        <x:v>СтатГрад</x:v>
      </x:c>
      <x:c r="D3145" s="87" t="str">
        <x:v>Октябрь 2025</x:v>
      </x:c>
      <x:c r="E3145" s="87"/>
      <x:c r="F3145" s="87"/>
      <x:c r="G3145" s="87" t="str">
        <x:v>Математика</x:v>
      </x:c>
      <x:c r="H3145" s="87" t="n">
        <x:v>11</x:v>
      </x:c>
      <x:c r="I3145" s="87" t="str">
        <x:v>ТР №1</x:v>
      </x:c>
      <x:c r="J3145" s="87" t="str">
        <x:v>МА2510101</x:v>
      </x:c>
      <x:c r="K3145" s="87" t="n">
        <x:v>16</x:v>
      </x:c>
      <x:c r="L3145" s="87" t="str">
        <x:v>Проценты / финансы</x:v>
      </x:c>
      <x:c r="M3145" s="30" t="str">
        <x:v>Найдите значение выражения          54 ⋅ 1,5 .</x:v>
      </x:c>
      <x:c r="N3145" s="30" t="str">
        <x:v>9</x:v>
      </x:c>
      <x:c r="O3145" s="30" t="str">
        <x:v>Ответ принят по официальной таблице СтатГрад.</x:v>
      </x:c>
      <x:c r="P3145" s="30" t="str">
        <x:v>Код варианта, номер и условие постранично сопоставлены с первичным PDF; формат ответа проверен.</x:v>
      </x:c>
      <x:c r="Q3145" s="30"/>
      <x:c r="R3145" s="30" t="str">
        <x:v>Официальный фото-ключ базового уровня.</x:v>
      </x:c>
      <x:c r="S3145" s="30"/>
      <x:c r="T3145" s="30"/>
      <x:c r="U3145" s="30" t="str">
        <x:v>Расхождений не обнаружено.</x:v>
      </x:c>
      <x:c r="V3145" s="87" t="str">
        <x:v>VERIFIED</x:v>
      </x:c>
      <x:c r="W3145" s="87" t="n">
        <x:v>7</x:v>
      </x:c>
      <x:c r="X3145" s="87"/>
      <x:c r="Y3145" s="87"/>
      <x:c r="Z3145" s="87"/>
      <x:c r="AA3145" s="87"/>
      <x:c r="AB3145" s="87"/>
      <x:c r="AC3145" s="87"/>
      <x:c r="AD3145" s="87"/>
      <x:c r="AE3145" s="87"/>
      <x:c r="AF3145" s="87"/>
      <x:c r="AG3145" s="87"/>
      <x:c r="AH3145" s="87"/>
      <x:c r="AI3145" s="30"/>
      <x:c r="AJ3145" s="87" t="str">
        <x:v>master</x:v>
      </x:c>
      <x:c r="AK3145" s="87" t="str">
        <x:v>master-v0.81</x:v>
      </x:c>
      <x:c r="AL3145" s="87" t="str">
        <x:v>statgrad_master_base_v0_81_final(2).xlsx</x:v>
      </x:c>
      <x:c r="AM3145" s="87" t="str">
        <x:v>MATH_Oct_Base_V1</x:v>
      </x:c>
      <x:c r="AN3145" s="87" t="n">
        <x:v>17</x:v>
      </x:c>
    </x:row>
    <x:row r="3146">
      <x:c r="A3146" s="87" t="n">
        <x:v>3145</x:v>
      </x:c>
      <x:c r="B3146" s="87" t="str">
        <x:v>OCT-MATH-0101-17</x:v>
      </x:c>
      <x:c r="C3146" s="87" t="str">
        <x:v>СтатГрад</x:v>
      </x:c>
      <x:c r="D3146" s="87" t="str">
        <x:v>Октябрь 2025</x:v>
      </x:c>
      <x:c r="E3146" s="87"/>
      <x:c r="F3146" s="87"/>
      <x:c r="G3146" s="87" t="str">
        <x:v>Математика</x:v>
      </x:c>
      <x:c r="H3146" s="87" t="n">
        <x:v>11</x:v>
      </x:c>
      <x:c r="I3146" s="87" t="str">
        <x:v>ТР №1</x:v>
      </x:c>
      <x:c r="J3146" s="87" t="str">
        <x:v>МА2510101</x:v>
      </x:c>
      <x:c r="K3146" s="87" t="n">
        <x:v>17</x:v>
      </x:c>
      <x:c r="L3146" s="87" t="str">
        <x:v>Логика / комбинаторика</x:v>
      </x:c>
      <x:c r="M3146" s="30" t="str">
        <x:v>Найдите корень уравнения log 3 ( 5 x − 6 ) =
                                                2.
                                    согласия СтатГрад запрещена</x:v>
      </x:c>
      <x:c r="N3146" s="30" t="str">
        <x:v>3</x:v>
      </x:c>
      <x:c r="O3146" s="30" t="str">
        <x:v>Ответ принят по официальной таблице СтатГрад.</x:v>
      </x:c>
      <x:c r="P3146" s="30" t="str">
        <x:v>Код варианта, номер и условие постранично сопоставлены с первичным PDF; формат ответа проверен.</x:v>
      </x:c>
      <x:c r="Q3146" s="30"/>
      <x:c r="R3146" s="30" t="str">
        <x:v>Официальный фото-ключ базового уровня.</x:v>
      </x:c>
      <x:c r="S3146" s="30"/>
      <x:c r="T3146" s="30"/>
      <x:c r="U3146" s="30" t="str">
        <x:v>Расхождений не обнаружено.</x:v>
      </x:c>
      <x:c r="V3146" s="87" t="str">
        <x:v>VERIFIED</x:v>
      </x:c>
      <x:c r="W3146" s="87" t="n">
        <x:v>7</x:v>
      </x:c>
      <x:c r="X3146" s="87"/>
      <x:c r="Y3146" s="87"/>
      <x:c r="Z3146" s="87"/>
      <x:c r="AA3146" s="87"/>
      <x:c r="AB3146" s="87"/>
      <x:c r="AC3146" s="87"/>
      <x:c r="AD3146" s="87"/>
      <x:c r="AE3146" s="87"/>
      <x:c r="AF3146" s="87"/>
      <x:c r="AG3146" s="87"/>
      <x:c r="AH3146" s="87"/>
      <x:c r="AI3146" s="30"/>
      <x:c r="AJ3146" s="87" t="str">
        <x:v>master</x:v>
      </x:c>
      <x:c r="AK3146" s="87" t="str">
        <x:v>master-v0.81</x:v>
      </x:c>
      <x:c r="AL3146" s="87" t="str">
        <x:v>statgrad_master_base_v0_81_final(2).xlsx</x:v>
      </x:c>
      <x:c r="AM3146" s="87" t="str">
        <x:v>MATH_Oct_Base_V1</x:v>
      </x:c>
      <x:c r="AN3146" s="87" t="n">
        <x:v>18</x:v>
      </x:c>
    </x:row>
    <x:row r="3147">
      <x:c r="A3147" s="87" t="n">
        <x:v>3146</x:v>
      </x:c>
      <x:c r="B3147" s="87" t="str">
        <x:v>OCT-MATH-0101-18</x:v>
      </x:c>
      <x:c r="C3147" s="87" t="str">
        <x:v>СтатГрад</x:v>
      </x:c>
      <x:c r="D3147" s="87" t="str">
        <x:v>Октябрь 2025</x:v>
      </x:c>
      <x:c r="E3147" s="87"/>
      <x:c r="F3147" s="87"/>
      <x:c r="G3147" s="87" t="str">
        <x:v>Математика</x:v>
      </x:c>
      <x:c r="H3147" s="87" t="n">
        <x:v>11</x:v>
      </x:c>
      <x:c r="I3147" s="87" t="str">
        <x:v>ТР №1</x:v>
      </x:c>
      <x:c r="J3147" s="87" t="str">
        <x:v>МА2510101</x:v>
      </x:c>
      <x:c r="K3147" s="87" t="n">
        <x:v>18</x:v>
      </x:c>
      <x:c r="L3147" s="87" t="str">
        <x:v>Числовая задача</x:v>
      </x:c>
      <x:c r="M3147" s="30" t="str">
        <x:v>Каждому из четырёх неравенств в левом столбце соответствует одно
     из решений в правом столбце. Установите соответствие между
     неравенствами и их решениями.
                     НЕРАВЕНСТВА                                      РЕШЕНИЯ
                       А) 2 x  1                                     1)  ; 1
                       Б) 0,5x  2                                    2)  ;0
                        В) 0,5x  2                                   3)  1;   
                        Г) 2 x  1                                    4)  0;  
     Впишите в приведённую в ответе                     таблицу     под    каждой      буквой
     соответствующий решению номер.
                А Б В Г
     Ответ:</x:v>
      </x:c>
      <x:c r="N3147" s="30" t="str">
        <x:v>4132</x:v>
      </x:c>
      <x:c r="O3147" s="30" t="str">
        <x:v>Ответ принят по официальной таблице СтатГрад.</x:v>
      </x:c>
      <x:c r="P3147" s="30" t="str">
        <x:v>Код варианта, номер и условие постранично сопоставлены с первичным PDF; формат ответа проверен.</x:v>
      </x:c>
      <x:c r="Q3147" s="30"/>
      <x:c r="R3147" s="30" t="str">
        <x:v>Официальный фото-ключ базового уровня.</x:v>
      </x:c>
      <x:c r="S3147" s="30"/>
      <x:c r="T3147" s="30"/>
      <x:c r="U3147" s="30" t="str">
        <x:v>Расхождений не обнаружено.</x:v>
      </x:c>
      <x:c r="V3147" s="87" t="str">
        <x:v>VERIFIED</x:v>
      </x:c>
      <x:c r="W3147" s="87" t="n">
        <x:v>8</x:v>
      </x:c>
      <x:c r="X3147" s="87"/>
      <x:c r="Y3147" s="87"/>
      <x:c r="Z3147" s="87"/>
      <x:c r="AA3147" s="87"/>
      <x:c r="AB3147" s="87"/>
      <x:c r="AC3147" s="87"/>
      <x:c r="AD3147" s="87"/>
      <x:c r="AE3147" s="87"/>
      <x:c r="AF3147" s="87"/>
      <x:c r="AG3147" s="87"/>
      <x:c r="AH3147" s="87"/>
      <x:c r="AI3147" s="30"/>
      <x:c r="AJ3147" s="87" t="str">
        <x:v>master</x:v>
      </x:c>
      <x:c r="AK3147" s="87" t="str">
        <x:v>master-v0.81</x:v>
      </x:c>
      <x:c r="AL3147" s="87" t="str">
        <x:v>statgrad_master_base_v0_81_final(2).xlsx</x:v>
      </x:c>
      <x:c r="AM3147" s="87" t="str">
        <x:v>MATH_Oct_Base_V1</x:v>
      </x:c>
      <x:c r="AN3147" s="87" t="n">
        <x:v>19</x:v>
      </x:c>
    </x:row>
    <x:row r="3148">
      <x:c r="A3148" s="87" t="n">
        <x:v>3147</x:v>
      </x:c>
      <x:c r="B3148" s="87" t="str">
        <x:v>OCT-MATH-0101-19</x:v>
      </x:c>
      <x:c r="C3148" s="87" t="str">
        <x:v>СтатГрад</x:v>
      </x:c>
      <x:c r="D3148" s="87" t="str">
        <x:v>Октябрь 2025</x:v>
      </x:c>
      <x:c r="E3148" s="87"/>
      <x:c r="F3148" s="87"/>
      <x:c r="G3148" s="87" t="str">
        <x:v>Математика</x:v>
      </x:c>
      <x:c r="H3148" s="87" t="n">
        <x:v>11</x:v>
      </x:c>
      <x:c r="I3148" s="87" t="str">
        <x:v>ТР №1</x:v>
      </x:c>
      <x:c r="J3148" s="87" t="str">
        <x:v>МА2510101</x:v>
      </x:c>
      <x:c r="K3148" s="87" t="n">
        <x:v>19</x:v>
      </x:c>
      <x:c r="L3148" s="87" t="str">
        <x:v>Теория чисел</x:v>
      </x:c>
      <x:c r="M3148" s="30" t="str">
        <x:v>Найдите пятизначное натуральное число, кратное 5, сумма цифр которого
     равна их произведению. В ответе укажите какое-нибудь одно такое число.</x:v>
      </x:c>
      <x:c r="N3148" s="30" t="str">
        <x:v>11125</x:v>
      </x:c>
      <x:c r="O3148" s="30" t="str">
        <x:v>Ответ принят по официальной таблице СтатГрад.</x:v>
      </x:c>
      <x:c r="P3148" s="30" t="str">
        <x:v>Код варианта, номер и условие постранично сопоставлены с первичным PDF; формат ответа проверен.</x:v>
      </x:c>
      <x:c r="Q3148" s="30"/>
      <x:c r="R3148" s="30" t="str">
        <x:v>Официальный фото-ключ базового уровня.</x:v>
      </x:c>
      <x:c r="S3148" s="30"/>
      <x:c r="T3148" s="30"/>
      <x:c r="U3148" s="30" t="str">
        <x:v>Расхождений не обнаружено.</x:v>
      </x:c>
      <x:c r="V3148" s="87" t="str">
        <x:v>VERIFIED</x:v>
      </x:c>
      <x:c r="W3148" s="87" t="n">
        <x:v>8</x:v>
      </x:c>
      <x:c r="X3148" s="87"/>
      <x:c r="Y3148" s="87"/>
      <x:c r="Z3148" s="87"/>
      <x:c r="AA3148" s="87"/>
      <x:c r="AB3148" s="87"/>
      <x:c r="AC3148" s="87"/>
      <x:c r="AD3148" s="87"/>
      <x:c r="AE3148" s="87"/>
      <x:c r="AF3148" s="87"/>
      <x:c r="AG3148" s="87"/>
      <x:c r="AH3148" s="87"/>
      <x:c r="AI3148" s="30"/>
      <x:c r="AJ3148" s="87" t="str">
        <x:v>master</x:v>
      </x:c>
      <x:c r="AK3148" s="87" t="str">
        <x:v>master-v0.81</x:v>
      </x:c>
      <x:c r="AL3148" s="87" t="str">
        <x:v>statgrad_master_base_v0_81_final(2).xlsx</x:v>
      </x:c>
      <x:c r="AM3148" s="87" t="str">
        <x:v>MATH_Oct_Base_V1</x:v>
      </x:c>
      <x:c r="AN3148" s="87" t="n">
        <x:v>20</x:v>
      </x:c>
    </x:row>
    <x:row r="3149">
      <x:c r="A3149" s="87" t="n">
        <x:v>3148</x:v>
      </x:c>
      <x:c r="B3149" s="87" t="str">
        <x:v>OCT-MATH-0101-20</x:v>
      </x:c>
      <x:c r="C3149" s="87" t="str">
        <x:v>СтатГрад</x:v>
      </x:c>
      <x:c r="D3149" s="87" t="str">
        <x:v>Октябрь 2025</x:v>
      </x:c>
      <x:c r="E3149" s="87"/>
      <x:c r="F3149" s="87"/>
      <x:c r="G3149" s="87" t="str">
        <x:v>Математика</x:v>
      </x:c>
      <x:c r="H3149" s="87" t="n">
        <x:v>11</x:v>
      </x:c>
      <x:c r="I3149" s="87" t="str">
        <x:v>ТР №1</x:v>
      </x:c>
      <x:c r="J3149" s="87" t="str">
        <x:v>МА2510101</x:v>
      </x:c>
      <x:c r="K3149" s="87" t="n">
        <x:v>20</x:v>
      </x:c>
      <x:c r="L3149" s="87" t="str">
        <x:v>Практическая задача</x:v>
      </x:c>
      <x:c r="M3149" s="30" t="str">
        <x:v>Петя и Ваня выполняют одинаковый тест. Петя отвечает за час
     на 12 вопросов теста, а Ваня — на 20. Они одновременно начали отвечать
     на вопросы теста, и Петя закончил свой тест позже Вани на 90 минут.
     Сколько вопросов содержит тест?</x:v>
      </x:c>
      <x:c r="N3149" s="30" t="str">
        <x:v>45</x:v>
      </x:c>
      <x:c r="O3149" s="30" t="str">
        <x:v>Ответ принят по официальной таблице СтатГрад.</x:v>
      </x:c>
      <x:c r="P3149" s="30" t="str">
        <x:v>Код варианта, номер и условие постранично сопоставлены с первичным PDF; формат ответа проверен.</x:v>
      </x:c>
      <x:c r="Q3149" s="30"/>
      <x:c r="R3149" s="30" t="str">
        <x:v>Официальный фото-ключ базового уровня.</x:v>
      </x:c>
      <x:c r="S3149" s="30"/>
      <x:c r="T3149" s="30"/>
      <x:c r="U3149" s="30" t="str">
        <x:v>Расхождений не обнаружено.</x:v>
      </x:c>
      <x:c r="V3149" s="87" t="str">
        <x:v>VERIFIED</x:v>
      </x:c>
      <x:c r="W3149" s="87" t="n">
        <x:v>8</x:v>
      </x:c>
      <x:c r="X3149" s="87"/>
      <x:c r="Y3149" s="87"/>
      <x:c r="Z3149" s="87"/>
      <x:c r="AA3149" s="87"/>
      <x:c r="AB3149" s="87"/>
      <x:c r="AC3149" s="87"/>
      <x:c r="AD3149" s="87"/>
      <x:c r="AE3149" s="87"/>
      <x:c r="AF3149" s="87"/>
      <x:c r="AG3149" s="87"/>
      <x:c r="AH3149" s="87"/>
      <x:c r="AI3149" s="30"/>
      <x:c r="AJ3149" s="87" t="str">
        <x:v>master</x:v>
      </x:c>
      <x:c r="AK3149" s="87" t="str">
        <x:v>master-v0.81</x:v>
      </x:c>
      <x:c r="AL3149" s="87" t="str">
        <x:v>statgrad_master_base_v0_81_final(2).xlsx</x:v>
      </x:c>
      <x:c r="AM3149" s="87" t="str">
        <x:v>MATH_Oct_Base_V1</x:v>
      </x:c>
      <x:c r="AN3149" s="87" t="n">
        <x:v>21</x:v>
      </x:c>
    </x:row>
    <x:row r="3150">
      <x:c r="A3150" s="87" t="n">
        <x:v>3149</x:v>
      </x:c>
      <x:c r="B3150" s="87" t="str">
        <x:v>OCT-MATH-0101-21</x:v>
      </x:c>
      <x:c r="C3150" s="87" t="str">
        <x:v>СтатГрад</x:v>
      </x:c>
      <x:c r="D3150" s="87" t="str">
        <x:v>Октябрь 2025</x:v>
      </x:c>
      <x:c r="E3150" s="87"/>
      <x:c r="F3150" s="87"/>
      <x:c r="G3150" s="87" t="str">
        <x:v>Математика</x:v>
      </x:c>
      <x:c r="H3150" s="87" t="n">
        <x:v>11</x:v>
      </x:c>
      <x:c r="I3150" s="87" t="str">
        <x:v>ТР №1</x:v>
      </x:c>
      <x:c r="J3150" s="87" t="str">
        <x:v>МА2510101</x:v>
      </x:c>
      <x:c r="K3150" s="87" t="n">
        <x:v>21</x:v>
      </x:c>
      <x:c r="L3150" s="87" t="str">
        <x:v>Оптимизация / вычисление</x:v>
      </x:c>
      <x:c r="M3150" s="30" t="str">
        <x:v>В магазине квас на разлив можно купить в бутылках, причём стоимость кваса
     в бутылке складывается из стоимости самой бутылки и кваса, налитого в неё.
     Цена бутылки не зависит от её объёма. Бутылка кваса объёмом 1 литр стоит
     80 рублей, объёмом 2 литра — 142 рубля. Сколько рублей будет стоить
     бутылка кваса объёмом 1,5 литра?
                                    согласия СтатГрад запрещена</x:v>
      </x:c>
      <x:c r="N3150" s="30" t="str">
        <x:v>111</x:v>
      </x:c>
      <x:c r="O3150" s="30" t="str">
        <x:v>Ответ принят по официальной таблице СтатГрад.</x:v>
      </x:c>
      <x:c r="P3150" s="30" t="str">
        <x:v>Код варианта, номер и условие постранично сопоставлены с первичным PDF; формат ответа проверен.</x:v>
      </x:c>
      <x:c r="Q3150" s="30"/>
      <x:c r="R3150" s="30" t="str">
        <x:v>Официальный фото-ключ базового уровня.</x:v>
      </x:c>
      <x:c r="S3150" s="30"/>
      <x:c r="T3150" s="30"/>
      <x:c r="U3150" s="30" t="str">
        <x:v>Расхождений не обнаружено.</x:v>
      </x:c>
      <x:c r="V3150" s="87" t="str">
        <x:v>VERIFIED</x:v>
      </x:c>
      <x:c r="W3150" s="87" t="n">
        <x:v>8</x:v>
      </x:c>
      <x:c r="X3150" s="87"/>
      <x:c r="Y3150" s="87"/>
      <x:c r="Z3150" s="87"/>
      <x:c r="AA3150" s="87"/>
      <x:c r="AB3150" s="87"/>
      <x:c r="AC3150" s="87"/>
      <x:c r="AD3150" s="87"/>
      <x:c r="AE3150" s="87"/>
      <x:c r="AF3150" s="87"/>
      <x:c r="AG3150" s="87"/>
      <x:c r="AH3150" s="87"/>
      <x:c r="AI3150" s="30"/>
      <x:c r="AJ3150" s="87" t="str">
        <x:v>master</x:v>
      </x:c>
      <x:c r="AK3150" s="87" t="str">
        <x:v>master-v0.81</x:v>
      </x:c>
      <x:c r="AL3150" s="87" t="str">
        <x:v>statgrad_master_base_v0_81_final(2).xlsx</x:v>
      </x:c>
      <x:c r="AM3150" s="87" t="str">
        <x:v>MATH_Oct_Base_V1</x:v>
      </x:c>
      <x:c r="AN3150" s="87" t="n">
        <x:v>22</x:v>
      </x:c>
    </x:row>
    <x:row r="3151">
      <x:c r="A3151" s="87" t="n">
        <x:v>3150</x:v>
      </x:c>
      <x:c r="B3151" s="87" t="str">
        <x:v>OCT-MATH-0102-01</x:v>
      </x:c>
      <x:c r="C3151" s="87" t="str">
        <x:v>СтатГрад</x:v>
      </x:c>
      <x:c r="D3151" s="87" t="str">
        <x:v>Октябрь 2025</x:v>
      </x:c>
      <x:c r="E3151" s="87"/>
      <x:c r="F3151" s="87"/>
      <x:c r="G3151" s="87" t="str">
        <x:v>Математика</x:v>
      </x:c>
      <x:c r="H3151" s="87" t="n">
        <x:v>11</x:v>
      </x:c>
      <x:c r="I3151" s="87" t="str">
        <x:v>ТР №1</x:v>
      </x:c>
      <x:c r="J3151" s="87" t="str">
        <x:v>МА2510102</x:v>
      </x:c>
      <x:c r="K3151" s="87" t="n">
        <x:v>1</x:v>
      </x:c>
      <x:c r="L3151" s="87" t="str">
        <x:v>Практическая арифметика</x:v>
      </x:c>
      <x:c r="M3151" s="30" t="str">
        <x:v>Для приготовления маринада для огурцов на 1 литр воды требуется 11 г
    лимонной кислоты. Лимонная кислота продаётся в пакетиках по 10 г. Какое
    наименьшее число пакетиков нужно хозяйке для приготовления 5 литров
    маринада?</x:v>
      </x:c>
      <x:c r="N3151" s="30" t="str">
        <x:v>6</x:v>
      </x:c>
      <x:c r="O3151" s="30" t="str">
        <x:v>Ответ принят по официальной таблице СтатГрад.</x:v>
      </x:c>
      <x:c r="P3151" s="30" t="str">
        <x:v>Код варианта, номер и условие постранично сопоставлены с первичным PDF; формат ответа проверен.</x:v>
      </x:c>
      <x:c r="Q3151" s="30"/>
      <x:c r="R3151" s="30" t="str">
        <x:v>Официальный фото-ключ базового уровня.</x:v>
      </x:c>
      <x:c r="S3151" s="30"/>
      <x:c r="T3151" s="30"/>
      <x:c r="U3151" s="30" t="str">
        <x:v>Расхождений не обнаружено.</x:v>
      </x:c>
      <x:c r="V3151" s="87" t="str">
        <x:v>VERIFIED</x:v>
      </x:c>
      <x:c r="W3151" s="87" t="n">
        <x:v>10</x:v>
      </x:c>
      <x:c r="X3151" s="87"/>
      <x:c r="Y3151" s="87"/>
      <x:c r="Z3151" s="87"/>
      <x:c r="AA3151" s="87"/>
      <x:c r="AB3151" s="87"/>
      <x:c r="AC3151" s="87"/>
      <x:c r="AD3151" s="87"/>
      <x:c r="AE3151" s="87"/>
      <x:c r="AF3151" s="87"/>
      <x:c r="AG3151" s="87"/>
      <x:c r="AH3151" s="87"/>
      <x:c r="AI3151" s="30"/>
      <x:c r="AJ3151" s="87" t="str">
        <x:v>master</x:v>
      </x:c>
      <x:c r="AK3151" s="87" t="str">
        <x:v>master-v0.81</x:v>
      </x:c>
      <x:c r="AL3151" s="87" t="str">
        <x:v>statgrad_master_base_v0_81_final(2).xlsx</x:v>
      </x:c>
      <x:c r="AM3151" s="87" t="str">
        <x:v>MATH_Oct_Base_V2</x:v>
      </x:c>
      <x:c r="AN3151" s="87" t="n">
        <x:v>2</x:v>
      </x:c>
    </x:row>
    <x:row r="3152">
      <x:c r="A3152" s="87" t="n">
        <x:v>3151</x:v>
      </x:c>
      <x:c r="B3152" s="87" t="str">
        <x:v>OCT-MATH-0102-02</x:v>
      </x:c>
      <x:c r="C3152" s="87" t="str">
        <x:v>СтатГрад</x:v>
      </x:c>
      <x:c r="D3152" s="87" t="str">
        <x:v>Октябрь 2025</x:v>
      </x:c>
      <x:c r="E3152" s="87"/>
      <x:c r="F3152" s="87"/>
      <x:c r="G3152" s="87" t="str">
        <x:v>Математика</x:v>
      </x:c>
      <x:c r="H3152" s="87" t="n">
        <x:v>11</x:v>
      </x:c>
      <x:c r="I3152" s="87" t="str">
        <x:v>ТР №1</x:v>
      </x:c>
      <x:c r="J3152" s="87" t="str">
        <x:v>МА2510102</x:v>
      </x:c>
      <x:c r="K3152" s="87" t="n">
        <x:v>2</x:v>
      </x:c>
      <x:c r="L3152" s="87" t="str">
        <x:v>Соответствие величин</x:v>
      </x:c>
      <x:c r="M3152"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площадь волейбольной площадки                      1) 162 кв. м
    Б) площадь тетрадного листа                           2) 600 кв. см
    В) площадь письменного стола                          3) 2511 кв. км
    Г) площадь города Москвы                              4) 1,2 кв. м
    В таблице под каждой буквой, соответствующей величине, укажите номер её
    возможного значения.
               А Б В Г
    Ответ:
                                   согласия СтатГрад запрещена</x:v>
      </x:c>
      <x:c r="N3152" s="30" t="str">
        <x:v>1243</x:v>
      </x:c>
      <x:c r="O3152" s="30" t="str">
        <x:v>Ответ принят по официальной таблице СтатГрад.</x:v>
      </x:c>
      <x:c r="P3152" s="30" t="str">
        <x:v>Код варианта, номер и условие постранично сопоставлены с первичным PDF; формат ответа проверен.</x:v>
      </x:c>
      <x:c r="Q3152" s="30"/>
      <x:c r="R3152" s="30" t="str">
        <x:v>Официальный фото-ключ базового уровня.</x:v>
      </x:c>
      <x:c r="S3152" s="30"/>
      <x:c r="T3152" s="30"/>
      <x:c r="U3152" s="30" t="str">
        <x:v>Расхождений не обнаружено.</x:v>
      </x:c>
      <x:c r="V3152" s="87" t="str">
        <x:v>VERIFIED</x:v>
      </x:c>
      <x:c r="W3152" s="87" t="n">
        <x:v>10</x:v>
      </x:c>
      <x:c r="X3152" s="87"/>
      <x:c r="Y3152" s="87"/>
      <x:c r="Z3152" s="87"/>
      <x:c r="AA3152" s="87"/>
      <x:c r="AB3152" s="87"/>
      <x:c r="AC3152" s="87"/>
      <x:c r="AD3152" s="87"/>
      <x:c r="AE3152" s="87"/>
      <x:c r="AF3152" s="87"/>
      <x:c r="AG3152" s="87"/>
      <x:c r="AH3152" s="87"/>
      <x:c r="AI3152" s="30"/>
      <x:c r="AJ3152" s="87" t="str">
        <x:v>master</x:v>
      </x:c>
      <x:c r="AK3152" s="87" t="str">
        <x:v>master-v0.81</x:v>
      </x:c>
      <x:c r="AL3152" s="87" t="str">
        <x:v>statgrad_master_base_v0_81_final(2).xlsx</x:v>
      </x:c>
      <x:c r="AM3152" s="87" t="str">
        <x:v>MATH_Oct_Base_V2</x:v>
      </x:c>
      <x:c r="AN3152" s="87" t="n">
        <x:v>3</x:v>
      </x:c>
    </x:row>
    <x:row r="3153">
      <x:c r="A3153" s="87" t="n">
        <x:v>3152</x:v>
      </x:c>
      <x:c r="B3153" s="87" t="str">
        <x:v>OCT-MATH-0102-03</x:v>
      </x:c>
      <x:c r="C3153" s="87" t="str">
        <x:v>СтатГрад</x:v>
      </x:c>
      <x:c r="D3153" s="87" t="str">
        <x:v>Октябрь 2025</x:v>
      </x:c>
      <x:c r="E3153" s="87"/>
      <x:c r="F3153" s="87"/>
      <x:c r="G3153" s="87" t="str">
        <x:v>Математика</x:v>
      </x:c>
      <x:c r="H3153" s="87" t="n">
        <x:v>11</x:v>
      </x:c>
      <x:c r="I3153" s="87" t="str">
        <x:v>ТР №1</x:v>
      </x:c>
      <x:c r="J3153" s="87" t="str">
        <x:v>МА2510102</x:v>
      </x:c>
      <x:c r="K3153" s="87" t="n">
        <x:v>3</x:v>
      </x:c>
      <x:c r="L3153" s="87" t="str">
        <x:v>Диаграмма</x:v>
      </x:c>
      <x:c r="M3153" s="30" t="str">
        <x:v>На диаграмме показана среднемесячная температура воздуха в Санкт-
    Петербурге за каждый месяц 1999 года. По горизонтали указываются
    месяцы, по вертикали — температура в градусах Цельсия.
           20
           16
           12
             8
             4
            0 янв фев мар апр май июн июл авг сен окт ноя дек
           –4
           –8
    Определите по диаграмме наименьшую среднемесячную температуру
    в Санкт-Петербурге в 1999 году. Ответ дайте в градусах Цельсия.
                                              a+b</x:v>
      </x:c>
      <x:c r="N3153" s="30" t="str">
        <x:v>-8</x:v>
      </x:c>
      <x:c r="O3153" s="30" t="str">
        <x:v>Ответ принят по официальной таблице СтатГрад.</x:v>
      </x:c>
      <x:c r="P3153" s="30" t="str">
        <x:v>Код варианта, номер и условие постранично сопоставлены с первичным PDF; формат ответа проверен.</x:v>
      </x:c>
      <x:c r="Q3153" s="30"/>
      <x:c r="R3153" s="30" t="str">
        <x:v>Официальный фото-ключ базового уровня.</x:v>
      </x:c>
      <x:c r="S3153" s="30"/>
      <x:c r="T3153" s="30"/>
      <x:c r="U3153" s="30" t="str">
        <x:v>Расхождений не обнаружено.</x:v>
      </x:c>
      <x:c r="V3153" s="87" t="str">
        <x:v>VERIFIED</x:v>
      </x:c>
      <x:c r="W3153" s="87" t="n">
        <x:v>11</x:v>
      </x:c>
      <x:c r="X3153" s="87"/>
      <x:c r="Y3153" s="87"/>
      <x:c r="Z3153" s="87"/>
      <x:c r="AA3153" s="87"/>
      <x:c r="AB3153" s="87"/>
      <x:c r="AC3153" s="87" t="str">
        <x:v>VIS-MATH-OCT-005</x:v>
      </x:c>
      <x:c r="AD3153" s="87"/>
      <x:c r="AE3153" s="87" t="str">
        <x:v>Полная страница с визуальным контекстом</x:v>
      </x:c>
      <x:c r="AF3153" s="87" t="str">
        <x:v>VIS-MATH-OCT-005: 11</x:v>
      </x:c>
      <x:c r="AG3153" s="87" t="str">
        <x:v>RESOLVED / SOURCE_REGENERATED</x:v>
      </x:c>
      <x:c r="AH3153" s="87" t="str">
        <x:v>SOURCE_PAGE_REGENERATED_FULL_PAGE_NO_CROP; TASK_CROP_QA_APPROVED:USE_CONTEXT</x:v>
      </x:c>
      <x:c r="AI3153" s="30"/>
      <x:c r="AJ3153" s="87" t="str">
        <x:v>master</x:v>
      </x:c>
      <x:c r="AK3153" s="87" t="str">
        <x:v>master-v0.81</x:v>
      </x:c>
      <x:c r="AL3153" s="87" t="str">
        <x:v>statgrad_master_base_v0_81_final(2).xlsx</x:v>
      </x:c>
      <x:c r="AM3153" s="87" t="str">
        <x:v>MATH_Oct_Base_V2</x:v>
      </x:c>
      <x:c r="AN3153" s="87" t="n">
        <x:v>4</x:v>
      </x:c>
    </x:row>
    <x:row r="3154">
      <x:c r="A3154" s="87" t="n">
        <x:v>3153</x:v>
      </x:c>
      <x:c r="B3154" s="87" t="str">
        <x:v>OCT-MATH-0102-04</x:v>
      </x:c>
      <x:c r="C3154" s="87" t="str">
        <x:v>СтатГрад</x:v>
      </x:c>
      <x:c r="D3154" s="87" t="str">
        <x:v>Октябрь 2025</x:v>
      </x:c>
      <x:c r="E3154" s="87"/>
      <x:c r="F3154" s="87"/>
      <x:c r="G3154" s="87" t="str">
        <x:v>Математика</x:v>
      </x:c>
      <x:c r="H3154" s="87" t="n">
        <x:v>11</x:v>
      </x:c>
      <x:c r="I3154" s="87" t="str">
        <x:v>ТР №1</x:v>
      </x:c>
      <x:c r="J3154" s="87" t="str">
        <x:v>МА2510102</x:v>
      </x:c>
      <x:c r="K3154" s="87" t="n">
        <x:v>4</x:v>
      </x:c>
      <x:c r="L3154" s="87" t="str">
        <x:v>Вычисление по формуле</x:v>
      </x:c>
      <x:c r="M3154" s="30" t="str">
        <x:v>Площадь трапеции вычисляется по формуле
                                         =  S      ⋅ h , где a и b — длины
                                                2
    оснований трапеции, h — её высота. Пользуясь этой формулой, найдите
    площадь S , если a = 6 , b = 4 и h = 6 .
                                   согласия СтатГрад запрещена</x:v>
      </x:c>
      <x:c r="N3154" s="30" t="str">
        <x:v>30</x:v>
      </x:c>
      <x:c r="O3154" s="30" t="str">
        <x:v>Ответ принят по официальной таблице СтатГрад.</x:v>
      </x:c>
      <x:c r="P3154" s="30" t="str">
        <x:v>Код варианта, номер и условие постранично сопоставлены с первичным PDF; формат ответа проверен.</x:v>
      </x:c>
      <x:c r="Q3154" s="30"/>
      <x:c r="R3154" s="30" t="str">
        <x:v>Официальный фото-ключ базового уровня.</x:v>
      </x:c>
      <x:c r="S3154" s="30"/>
      <x:c r="T3154" s="30"/>
      <x:c r="U3154" s="30" t="str">
        <x:v>Расхождений не обнаружено.</x:v>
      </x:c>
      <x:c r="V3154" s="87" t="str">
        <x:v>VERIFIED</x:v>
      </x:c>
      <x:c r="W3154" s="87" t="n">
        <x:v>11</x:v>
      </x:c>
      <x:c r="X3154" s="87"/>
      <x:c r="Y3154" s="87"/>
      <x:c r="Z3154" s="87"/>
      <x:c r="AA3154" s="87"/>
      <x:c r="AB3154" s="87"/>
      <x:c r="AC3154" s="87" t="str">
        <x:v>VIS-MATH-OCT-005</x:v>
      </x:c>
      <x:c r="AD3154" s="87"/>
      <x:c r="AE3154" s="87" t="str">
        <x:v>Полная страница с визуальным контекстом</x:v>
      </x:c>
      <x:c r="AF3154" s="87" t="str">
        <x:v>VIS-MATH-OCT-005: 11</x:v>
      </x:c>
      <x:c r="AG3154" s="87" t="str">
        <x:v>RESOLVED / SOURCE_REGENERATED</x:v>
      </x:c>
      <x:c r="AH3154" s="87" t="str">
        <x:v>SOURCE_PAGE_REGENERATED_FULL_PAGE_NO_CROP</x:v>
      </x:c>
      <x:c r="AI3154" s="30"/>
      <x:c r="AJ3154" s="87" t="str">
        <x:v>master</x:v>
      </x:c>
      <x:c r="AK3154" s="87" t="str">
        <x:v>master-v0.81</x:v>
      </x:c>
      <x:c r="AL3154" s="87" t="str">
        <x:v>statgrad_master_base_v0_81_final(2).xlsx</x:v>
      </x:c>
      <x:c r="AM3154" s="87" t="str">
        <x:v>MATH_Oct_Base_V2</x:v>
      </x:c>
      <x:c r="AN3154" s="87" t="n">
        <x:v>5</x:v>
      </x:c>
    </x:row>
    <x:row r="3155">
      <x:c r="A3155" s="87" t="n">
        <x:v>3154</x:v>
      </x:c>
      <x:c r="B3155" s="87" t="str">
        <x:v>OCT-MATH-0102-05</x:v>
      </x:c>
      <x:c r="C3155" s="87" t="str">
        <x:v>СтатГрад</x:v>
      </x:c>
      <x:c r="D3155" s="87" t="str">
        <x:v>Октябрь 2025</x:v>
      </x:c>
      <x:c r="E3155" s="87"/>
      <x:c r="F3155" s="87"/>
      <x:c r="G3155" s="87" t="str">
        <x:v>Математика</x:v>
      </x:c>
      <x:c r="H3155" s="87" t="n">
        <x:v>11</x:v>
      </x:c>
      <x:c r="I3155" s="87" t="str">
        <x:v>ТР №1</x:v>
      </x:c>
      <x:c r="J3155" s="87" t="str">
        <x:v>МА2510102</x:v>
      </x:c>
      <x:c r="K3155" s="87" t="n">
        <x:v>5</x:v>
      </x:c>
      <x:c r="L3155" s="87" t="str">
        <x:v>Вероятность</x:v>
      </x:c>
      <x:c r="M3155" s="30" t="str">
        <x:v>На олимпиаде по химии участников рассаживают по трём аудиториям.
    В первых двух аудиториях сажают по 140 человек, оставшихся проводят
    в запасную аудиторию в другом корпусе. При подсчёте выяснилось, что
    всего было 400 участников. Найдите вероятность того, что случайно
    выбранный участник писал олимпиаду в запасной аудитории.</x:v>
      </x:c>
      <x:c r="N3155" s="30" t="str">
        <x:v>0,3</x:v>
      </x:c>
      <x:c r="O3155" s="30" t="str">
        <x:v>Ответ принят по официальной таблице СтатГрад.</x:v>
      </x:c>
      <x:c r="P3155" s="30" t="str">
        <x:v>Код варианта, номер и условие постранично сопоставлены с первичным PDF; формат ответа проверен.</x:v>
      </x:c>
      <x:c r="Q3155" s="30"/>
      <x:c r="R3155" s="30" t="str">
        <x:v>Официальный фото-ключ базового уровня.</x:v>
      </x:c>
      <x:c r="S3155" s="30"/>
      <x:c r="T3155" s="30"/>
      <x:c r="U3155" s="30" t="str">
        <x:v>Расхождений не обнаружено.</x:v>
      </x:c>
      <x:c r="V3155" s="87" t="str">
        <x:v>VERIFIED</x:v>
      </x:c>
      <x:c r="W3155" s="87" t="n">
        <x:v>12</x:v>
      </x:c>
      <x:c r="X3155" s="87"/>
      <x:c r="Y3155" s="87"/>
      <x:c r="Z3155" s="87"/>
      <x:c r="AA3155" s="87"/>
      <x:c r="AB3155" s="87"/>
      <x:c r="AC3155" s="87"/>
      <x:c r="AD3155" s="87"/>
      <x:c r="AE3155" s="87"/>
      <x:c r="AF3155" s="87"/>
      <x:c r="AG3155" s="87"/>
      <x:c r="AH3155" s="87"/>
      <x:c r="AI3155" s="30"/>
      <x:c r="AJ3155" s="87" t="str">
        <x:v>master</x:v>
      </x:c>
      <x:c r="AK3155" s="87" t="str">
        <x:v>master-v0.81</x:v>
      </x:c>
      <x:c r="AL3155" s="87" t="str">
        <x:v>statgrad_master_base_v0_81_final(2).xlsx</x:v>
      </x:c>
      <x:c r="AM3155" s="87" t="str">
        <x:v>MATH_Oct_Base_V2</x:v>
      </x:c>
      <x:c r="AN3155" s="87" t="n">
        <x:v>6</x:v>
      </x:c>
    </x:row>
    <x:row r="3156">
      <x:c r="A3156" s="87" t="n">
        <x:v>3155</x:v>
      </x:c>
      <x:c r="B3156" s="87" t="str">
        <x:v>OCT-MATH-0102-06</x:v>
      </x:c>
      <x:c r="C3156" s="87" t="str">
        <x:v>СтатГрад</x:v>
      </x:c>
      <x:c r="D3156" s="87" t="str">
        <x:v>Октябрь 2025</x:v>
      </x:c>
      <x:c r="E3156" s="87"/>
      <x:c r="F3156" s="87"/>
      <x:c r="G3156" s="87" t="str">
        <x:v>Математика</x:v>
      </x:c>
      <x:c r="H3156" s="87" t="n">
        <x:v>11</x:v>
      </x:c>
      <x:c r="I3156" s="87" t="str">
        <x:v>ТР №1</x:v>
      </x:c>
      <x:c r="J3156" s="87" t="str">
        <x:v>МА2510102</x:v>
      </x:c>
      <x:c r="K3156" s="87" t="n">
        <x:v>6</x:v>
      </x:c>
      <x:c r="L3156" s="87" t="str">
        <x:v>Тариф / таблица</x:v>
      </x:c>
      <x:c r="M3156" s="30" t="str">
        <x:v>Интернет-провайдер предлагает три тарифных плана.
    Тарифный план             Абонентская плата                       Плата за трафик
    План «0»                          Нет                             0,9 руб. за 1 Мб
    План «200»            208 руб. за 200 Мб трафика                  0,6 руб. за 1 Мб
                                    в месяц                            сверх 200 Мб
    План «600»            564 руб. за 600 Мб трафика                  0,4 руб. за 1 Мб
                                    в месяц                            сверх 600 Мб
    Пользователь предполагает, что его трафик составит 450 Мб в месяц,
    и исходя из этого выбирает наиболее дешёвый тарифный план. Сколько
    рублей должен будет заплатить пользователь за месяц, если его трафик
    действительно будет равен 450 Мб?
                                   согласия СтатГрад запрещена</x:v>
      </x:c>
      <x:c r="N3156" s="30" t="str">
        <x:v>358</x:v>
      </x:c>
      <x:c r="O3156" s="30" t="str">
        <x:v>Ответ принят по официальной таблице СтатГрад.</x:v>
      </x:c>
      <x:c r="P3156" s="30" t="str">
        <x:v>Код варианта, номер и условие постранично сопоставлены с первичным PDF; формат ответа проверен.</x:v>
      </x:c>
      <x:c r="Q3156" s="30"/>
      <x:c r="R3156" s="30" t="str">
        <x:v>Официальный фото-ключ базового уровня.</x:v>
      </x:c>
      <x:c r="S3156" s="30"/>
      <x:c r="T3156" s="30"/>
      <x:c r="U3156" s="30" t="str">
        <x:v>Расхождений не обнаружено.</x:v>
      </x:c>
      <x:c r="V3156" s="87" t="str">
        <x:v>VERIFIED</x:v>
      </x:c>
      <x:c r="W3156" s="87" t="n">
        <x:v>12</x:v>
      </x:c>
      <x:c r="X3156" s="87"/>
      <x:c r="Y3156" s="87"/>
      <x:c r="Z3156" s="87"/>
      <x:c r="AA3156" s="87"/>
      <x:c r="AB3156" s="87"/>
      <x:c r="AC3156" s="87" t="str">
        <x:v>VIS-MATH-OCT-006</x:v>
      </x:c>
      <x:c r="AD3156" s="87"/>
      <x:c r="AE3156" s="87" t="str">
        <x:v>Полная страница с визуальным контекстом</x:v>
      </x:c>
      <x:c r="AF3156" s="87" t="str">
        <x:v>VIS-MATH-OCT-006: 12</x:v>
      </x:c>
      <x:c r="AG3156" s="87" t="str">
        <x:v>RESOLVED / SOURCE_REGENERATED</x:v>
      </x:c>
      <x:c r="AH3156" s="87" t="str">
        <x:v>SOURCE_PAGE_REGENERATED_FULL_PAGE_NO_CROP</x:v>
      </x:c>
      <x:c r="AI3156" s="30"/>
      <x:c r="AJ3156" s="87" t="str">
        <x:v>master</x:v>
      </x:c>
      <x:c r="AK3156" s="87" t="str">
        <x:v>master-v0.81</x:v>
      </x:c>
      <x:c r="AL3156" s="87" t="str">
        <x:v>statgrad_master_base_v0_81_final(2).xlsx</x:v>
      </x:c>
      <x:c r="AM3156" s="87" t="str">
        <x:v>MATH_Oct_Base_V2</x:v>
      </x:c>
      <x:c r="AN3156" s="87" t="n">
        <x:v>7</x:v>
      </x:c>
    </x:row>
    <x:row r="3157">
      <x:c r="A3157" s="87" t="n">
        <x:v>3156</x:v>
      </x:c>
      <x:c r="B3157" s="87" t="str">
        <x:v>OCT-MATH-0102-07</x:v>
      </x:c>
      <x:c r="C3157" s="87" t="str">
        <x:v>СтатГрад</x:v>
      </x:c>
      <x:c r="D3157" s="87" t="str">
        <x:v>Октябрь 2025</x:v>
      </x:c>
      <x:c r="E3157" s="87"/>
      <x:c r="F3157" s="87"/>
      <x:c r="G3157" s="87" t="str">
        <x:v>Математика</x:v>
      </x:c>
      <x:c r="H3157" s="87" t="n">
        <x:v>11</x:v>
      </x:c>
      <x:c r="I3157" s="87" t="str">
        <x:v>ТР №1</x:v>
      </x:c>
      <x:c r="J3157" s="87" t="str">
        <x:v>МА2510102</x:v>
      </x:c>
      <x:c r="K3157" s="87" t="n">
        <x:v>7</x:v>
      </x:c>
      <x:c r="L3157" s="87" t="str">
        <x:v>График</x:v>
      </x:c>
      <x:c r="M3157" s="30" t="str">
        <x:v>На рисунке точками показан годовой объём добычи угля в России открытым
    способом в период с 2001 по 2010 год. По горизонтали указывается год,
    по вертикали — объём добычи угля в миллионах тонн. Для наглядности
    точки соединены ломаной линией.
               250
               225
               200
               175
               150
                 2001 2002 2003 2004 2005 2006 2007 2008 2009 2010
    Пользуясь рисунком, поставьте в соответствие каждому из указанных
    периодов времени характеристику добычи угля в этот период.
       ПЕРИОДЫ ВРЕМЕНИ                               ХАРАКТЕРИСТИКИ
    А) 2002–2004 гг.                      1) Объём добычи ежегодно составлял
    Б) 2004–2006 гг.                         меньше 190 млн т.
    В) 2006–2008 гг.                      2) В течение периода объём добычи
    Г) 2008–2010 гг.                         сначала уменьшался, а затем стал
                                             расти.
                                          3) Объём добычи в первый год почти
                                             не менялся, а затем значительно
                                             вырос.
                                          4) Объём добычи рос в течение периода.
    В таблице под каждой буквой укажите соответствующий номер.
               А Б В Г
    Ответ:
                                   согласия СтатГрад запрещена</x:v>
      </x:c>
      <x:c r="N3157" s="30" t="str">
        <x:v>1432</x:v>
      </x:c>
      <x:c r="O3157" s="30" t="str">
        <x:v>Ответ принят по официальной таблице СтатГрад.</x:v>
      </x:c>
      <x:c r="P3157" s="30" t="str">
        <x:v>Код варианта, номер и условие постранично сопоставлены с первичным PDF; формат ответа проверен.</x:v>
      </x:c>
      <x:c r="Q3157" s="30"/>
      <x:c r="R3157" s="30" t="str">
        <x:v>Официальный фото-ключ базового уровня.</x:v>
      </x:c>
      <x:c r="S3157" s="30"/>
      <x:c r="T3157" s="30"/>
      <x:c r="U3157" s="30" t="str">
        <x:v>Расхождений не обнаружено.</x:v>
      </x:c>
      <x:c r="V3157" s="87" t="str">
        <x:v>VERIFIED</x:v>
      </x:c>
      <x:c r="W3157" s="87" t="n">
        <x:v>13</x:v>
      </x:c>
      <x:c r="X3157" s="87"/>
      <x:c r="Y3157" s="87"/>
      <x:c r="Z3157" s="87"/>
      <x:c r="AA3157" s="87"/>
      <x:c r="AB3157" s="87"/>
      <x:c r="AC3157" s="87" t="str">
        <x:v>VIS-MATH-OCT-007</x:v>
      </x:c>
      <x:c r="AD3157" s="87"/>
      <x:c r="AE3157" s="87" t="str">
        <x:v>Полная страница с визуальным контекстом</x:v>
      </x:c>
      <x:c r="AF3157" s="87" t="str">
        <x:v>VIS-MATH-OCT-007: 13</x:v>
      </x:c>
      <x:c r="AG3157" s="87" t="str">
        <x:v>RESOLVED / SOURCE_REGENERATED</x:v>
      </x:c>
      <x:c r="AH3157" s="87" t="str">
        <x:v>SOURCE_PAGE_REGENERATED_FULL_PAGE_NO_CROP; TASK_CROP_QA_APPROVED:USE_CONTEXT</x:v>
      </x:c>
      <x:c r="AI3157" s="30"/>
      <x:c r="AJ3157" s="87" t="str">
        <x:v>master</x:v>
      </x:c>
      <x:c r="AK3157" s="87" t="str">
        <x:v>master-v0.81</x:v>
      </x:c>
      <x:c r="AL3157" s="87" t="str">
        <x:v>statgrad_master_base_v0_81_final(2).xlsx</x:v>
      </x:c>
      <x:c r="AM3157" s="87" t="str">
        <x:v>MATH_Oct_Base_V2</x:v>
      </x:c>
      <x:c r="AN3157" s="87" t="n">
        <x:v>8</x:v>
      </x:c>
    </x:row>
    <x:row r="3158">
      <x:c r="A3158" s="87" t="n">
        <x:v>3157</x:v>
      </x:c>
      <x:c r="B3158" s="87" t="str">
        <x:v>OCT-MATH-0102-08</x:v>
      </x:c>
      <x:c r="C3158" s="87" t="str">
        <x:v>СтатГрад</x:v>
      </x:c>
      <x:c r="D3158" s="87" t="str">
        <x:v>Октябрь 2025</x:v>
      </x:c>
      <x:c r="E3158" s="87"/>
      <x:c r="F3158" s="87"/>
      <x:c r="G3158" s="87" t="str">
        <x:v>Математика</x:v>
      </x:c>
      <x:c r="H3158" s="87" t="n">
        <x:v>11</x:v>
      </x:c>
      <x:c r="I3158" s="87" t="str">
        <x:v>ТР №1</x:v>
      </x:c>
      <x:c r="J3158" s="87" t="str">
        <x:v>МА2510102</x:v>
      </x:c>
      <x:c r="K3158" s="87" t="n">
        <x:v>8</x:v>
      </x:c>
      <x:c r="L3158" s="87" t="str">
        <x:v>Практическая задача</x:v>
      </x:c>
      <x:c r="M3158" s="30" t="str">
        <x:v>Во дворе школы растут всего три дерева: берёза, клён и дуб. Берёза выше
     клёна на 1 метр, но ниже дуба на 3 метра. Выберите утверждения, которые
     верны при указанных условиях.
     1) Среди указанных деревьев не найдётся двух одной высоты.
     2) Берёза, растущая во дворе школы, выше дуба, растущего там же.
     3) Любое дерево, помимо указанных, которое ниже берёзы, растущей
        во дворе школы, также ниже клёна, растущего там же.
     4) Любое дерево, помимо указанных, которое ниже клёна, растущего
        во дворе школы, также ниже берёзы, растущей там же.
     В ответе запишите номера выбранных утверждений без пробелов, запятых и
     других дополнительных символов.</x:v>
      </x:c>
      <x:c r="N3158" s="30" t="str">
        <x:v>14</x:v>
      </x:c>
      <x:c r="O3158" s="30" t="str">
        <x:v>Ответ принят по официальной таблице СтатГрад.</x:v>
      </x:c>
      <x:c r="P3158" s="30" t="str">
        <x:v>Код варианта, номер и условие постранично сопоставлены с первичным PDF; формат ответа проверен.</x:v>
      </x:c>
      <x:c r="Q3158" s="30"/>
      <x:c r="R3158" s="30" t="str">
        <x:v>Официальный фото-ключ базового уровня.</x:v>
      </x:c>
      <x:c r="S3158" s="30"/>
      <x:c r="T3158" s="30"/>
      <x:c r="U3158" s="30" t="str">
        <x:v>Расхождений не обнаружено.</x:v>
      </x:c>
      <x:c r="V3158" s="87" t="str">
        <x:v>VERIFIED</x:v>
      </x:c>
      <x:c r="W3158" s="87" t="n">
        <x:v>14</x:v>
      </x:c>
      <x:c r="X3158" s="87"/>
      <x:c r="Y3158" s="87"/>
      <x:c r="Z3158" s="87"/>
      <x:c r="AA3158" s="87"/>
      <x:c r="AB3158" s="87"/>
      <x:c r="AC3158" s="87"/>
      <x:c r="AD3158" s="87"/>
      <x:c r="AE3158" s="87"/>
      <x:c r="AF3158" s="87"/>
      <x:c r="AG3158" s="87"/>
      <x:c r="AH3158" s="87"/>
      <x:c r="AI3158" s="30"/>
      <x:c r="AJ3158" s="87" t="str">
        <x:v>master</x:v>
      </x:c>
      <x:c r="AK3158" s="87" t="str">
        <x:v>master-v0.81</x:v>
      </x:c>
      <x:c r="AL3158" s="87" t="str">
        <x:v>statgrad_master_base_v0_81_final(2).xlsx</x:v>
      </x:c>
      <x:c r="AM3158" s="87" t="str">
        <x:v>MATH_Oct_Base_V2</x:v>
      </x:c>
      <x:c r="AN3158" s="87" t="n">
        <x:v>9</x:v>
      </x:c>
    </x:row>
    <x:row r="3159">
      <x:c r="A3159" s="87" t="n">
        <x:v>3158</x:v>
      </x:c>
      <x:c r="B3159" s="87" t="str">
        <x:v>OCT-MATH-0102-09</x:v>
      </x:c>
      <x:c r="C3159" s="87" t="str">
        <x:v>СтатГрад</x:v>
      </x:c>
      <x:c r="D3159" s="87" t="str">
        <x:v>Октябрь 2025</x:v>
      </x:c>
      <x:c r="E3159" s="87"/>
      <x:c r="F3159" s="87"/>
      <x:c r="G3159" s="87" t="str">
        <x:v>Математика</x:v>
      </x:c>
      <x:c r="H3159" s="87" t="n">
        <x:v>11</x:v>
      </x:c>
      <x:c r="I3159" s="87" t="str">
        <x:v>ТР №1</x:v>
      </x:c>
      <x:c r="J3159" s="87" t="str">
        <x:v>МА2510102</x:v>
      </x:c>
      <x:c r="K3159" s="87" t="n">
        <x:v>9</x:v>
      </x:c>
      <x:c r="L3159" s="87" t="str">
        <x:v>План / площадь</x:v>
      </x:c>
      <x:c r="M3159" s="30" t="str">
        <x:v>План местности разбит на клетки. Каждая клетка
     обозначает квадрат 1 м × 1 м . Найдите площадь участка,
     выделенного на плане. Ответ дайте в квадратных
     метрах.</x:v>
      </x:c>
      <x:c r="N3159" s="30" t="str">
        <x:v>12</x:v>
      </x:c>
      <x:c r="O3159" s="30" t="str">
        <x:v>Ответ принят по официальной таблице СтатГрад.</x:v>
      </x:c>
      <x:c r="P3159" s="30" t="str">
        <x:v>Код варианта, номер и условие постранично сопоставлены с первичным PDF; формат ответа проверен.</x:v>
      </x:c>
      <x:c r="Q3159" s="30"/>
      <x:c r="R3159" s="30" t="str">
        <x:v>Официальный фото-ключ базового уровня.</x:v>
      </x:c>
      <x:c r="S3159" s="30"/>
      <x:c r="T3159" s="30"/>
      <x:c r="U3159" s="30" t="str">
        <x:v>Расхождений не обнаружено.</x:v>
      </x:c>
      <x:c r="V3159" s="87" t="str">
        <x:v>VERIFIED</x:v>
      </x:c>
      <x:c r="W3159" s="87" t="n">
        <x:v>14</x:v>
      </x:c>
      <x:c r="X3159" s="87"/>
      <x:c r="Y3159" s="87"/>
      <x:c r="Z3159" s="87"/>
      <x:c r="AA3159" s="87"/>
      <x:c r="AB3159" s="87"/>
      <x:c r="AC3159" s="87" t="str">
        <x:v>VIS-MATH-OCT-008</x:v>
      </x:c>
      <x:c r="AD3159" s="87"/>
      <x:c r="AE3159" s="87" t="str">
        <x:v>Полная страница с визуальным контекстом</x:v>
      </x:c>
      <x:c r="AF3159" s="87" t="str">
        <x:v>VIS-MATH-OCT-008: 14</x:v>
      </x:c>
      <x:c r="AG3159" s="87" t="str">
        <x:v>RESOLVED / SOURCE_REGENERATED</x:v>
      </x:c>
      <x:c r="AH3159" s="87" t="str">
        <x:v>SOURCE_PAGE_REGENERATED_FULL_PAGE_NO_CROP; TASK_CROP_QA_APPROVED:USE_CONTEXT</x:v>
      </x:c>
      <x:c r="AI3159" s="30"/>
      <x:c r="AJ3159" s="87" t="str">
        <x:v>master</x:v>
      </x:c>
      <x:c r="AK3159" s="87" t="str">
        <x:v>master-v0.81</x:v>
      </x:c>
      <x:c r="AL3159" s="87" t="str">
        <x:v>statgrad_master_base_v0_81_final(2).xlsx</x:v>
      </x:c>
      <x:c r="AM3159" s="87" t="str">
        <x:v>MATH_Oct_Base_V2</x:v>
      </x:c>
      <x:c r="AN3159" s="87" t="n">
        <x:v>10</x:v>
      </x:c>
    </x:row>
    <x:row r="3160">
      <x:c r="A3160" s="87" t="n">
        <x:v>3159</x:v>
      </x:c>
      <x:c r="B3160" s="87" t="str">
        <x:v>OCT-MATH-0102-10</x:v>
      </x:c>
      <x:c r="C3160" s="87" t="str">
        <x:v>СтатГрад</x:v>
      </x:c>
      <x:c r="D3160" s="87" t="str">
        <x:v>Октябрь 2025</x:v>
      </x:c>
      <x:c r="E3160" s="87"/>
      <x:c r="F3160" s="87"/>
      <x:c r="G3160" s="87" t="str">
        <x:v>Математика</x:v>
      </x:c>
      <x:c r="H3160" s="87" t="n">
        <x:v>11</x:v>
      </x:c>
      <x:c r="I3160" s="87" t="str">
        <x:v>ТР №1</x:v>
      </x:c>
      <x:c r="J3160" s="87" t="str">
        <x:v>МА2510102</x:v>
      </x:c>
      <x:c r="K3160" s="87" t="n">
        <x:v>10</x:v>
      </x:c>
      <x:c r="L3160" s="87" t="str">
        <x:v>Геометрия по рисунку</x:v>
      </x:c>
      <x:c r="M3160" s="30" t="str">
        <x:v>Дачный участок имеет форму прямоугольника
     со сторонами 30 метров и 20 метров. Хозяин                             12 м
     планирует обнести его изгородью и отгородить                                         20 м
     такой же изгородью квадратный участок
     со стороной 12 метров (см. рисунок). Найдите
     суммарную длину изгороди в метрах.                                     30 м</x:v>
      </x:c>
      <x:c r="N3160" s="30" t="str">
        <x:v>124</x:v>
      </x:c>
      <x:c r="O3160" s="30" t="str">
        <x:v>Ответ принят по официальной таблице СтатГрад.</x:v>
      </x:c>
      <x:c r="P3160" s="30" t="str">
        <x:v>Код варианта, номер и условие постранично сопоставлены с первичным PDF; формат ответа проверен.</x:v>
      </x:c>
      <x:c r="Q3160" s="30"/>
      <x:c r="R3160" s="30" t="str">
        <x:v>Официальный фото-ключ базового уровня.</x:v>
      </x:c>
      <x:c r="S3160" s="30"/>
      <x:c r="T3160" s="30"/>
      <x:c r="U3160" s="30" t="str">
        <x:v>Расхождений не обнаружено.</x:v>
      </x:c>
      <x:c r="V3160" s="87" t="str">
        <x:v>VERIFIED</x:v>
      </x:c>
      <x:c r="W3160" s="87" t="n">
        <x:v>14</x:v>
      </x:c>
      <x:c r="X3160" s="87"/>
      <x:c r="Y3160" s="87"/>
      <x:c r="Z3160" s="87"/>
      <x:c r="AA3160" s="87"/>
      <x:c r="AB3160" s="87"/>
      <x:c r="AC3160" s="87" t="str">
        <x:v>VIS-MATH-OCT-008</x:v>
      </x:c>
      <x:c r="AD3160" s="87"/>
      <x:c r="AE3160" s="87" t="str">
        <x:v>Полная страница с визуальным контекстом</x:v>
      </x:c>
      <x:c r="AF3160" s="87" t="str">
        <x:v>VIS-MATH-OCT-008: 14</x:v>
      </x:c>
      <x:c r="AG3160" s="87" t="str">
        <x:v>RESOLVED / SOURCE_REGENERATED</x:v>
      </x:c>
      <x:c r="AH3160" s="87" t="str">
        <x:v>SOURCE_PAGE_REGENERATED_FULL_PAGE_NO_CROP; TASK_CROP_QA_APPROVED:USE_CONTEXT</x:v>
      </x:c>
      <x:c r="AI3160" s="30"/>
      <x:c r="AJ3160" s="87" t="str">
        <x:v>master</x:v>
      </x:c>
      <x:c r="AK3160" s="87" t="str">
        <x:v>master-v0.81</x:v>
      </x:c>
      <x:c r="AL3160" s="87" t="str">
        <x:v>statgrad_master_base_v0_81_final(2).xlsx</x:v>
      </x:c>
      <x:c r="AM3160" s="87" t="str">
        <x:v>MATH_Oct_Base_V2</x:v>
      </x:c>
      <x:c r="AN3160" s="87" t="n">
        <x:v>11</x:v>
      </x:c>
    </x:row>
    <x:row r="3161">
      <x:c r="A3161" s="87" t="n">
        <x:v>3160</x:v>
      </x:c>
      <x:c r="B3161" s="87" t="str">
        <x:v>OCT-MATH-0102-11</x:v>
      </x:c>
      <x:c r="C3161" s="87" t="str">
        <x:v>СтатГрад</x:v>
      </x:c>
      <x:c r="D3161" s="87" t="str">
        <x:v>Октябрь 2025</x:v>
      </x:c>
      <x:c r="E3161" s="87"/>
      <x:c r="F3161" s="87"/>
      <x:c r="G3161" s="87" t="str">
        <x:v>Математика</x:v>
      </x:c>
      <x:c r="H3161" s="87" t="n">
        <x:v>11</x:v>
      </x:c>
      <x:c r="I3161" s="87" t="str">
        <x:v>ТР №1</x:v>
      </x:c>
      <x:c r="J3161" s="87" t="str">
        <x:v>МА2510102</x:v>
      </x:c>
      <x:c r="K3161" s="87" t="n">
        <x:v>11</x:v>
      </x:c>
      <x:c r="L3161" s="87" t="str">
        <x:v>Стереометрия по рисунку</x:v>
      </x:c>
      <x:c r="M3161" s="30" t="str">
        <x:v>От деревянной правильной треугольной призмы
     отпилили все её вершины (см. рисунок). Сколько
     рёбер у получившегося многогранника (невидимые
     рёбра на рисунке не изображены)?
                                    согласия СтатГрад запрещена</x:v>
      </x:c>
      <x:c r="N3161" s="30" t="str">
        <x:v>27</x:v>
      </x:c>
      <x:c r="O3161" s="30" t="str">
        <x:v>Ответ принят по официальной таблице СтатГрад.</x:v>
      </x:c>
      <x:c r="P3161" s="30" t="str">
        <x:v>Код варианта, номер и условие постранично сопоставлены с первичным PDF; формат ответа проверен.</x:v>
      </x:c>
      <x:c r="Q3161" s="30"/>
      <x:c r="R3161" s="30" t="str">
        <x:v>Официальный фото-ключ базового уровня.</x:v>
      </x:c>
      <x:c r="S3161" s="30"/>
      <x:c r="T3161" s="30"/>
      <x:c r="U3161" s="30" t="str">
        <x:v>Расхождений не обнаружено.</x:v>
      </x:c>
      <x:c r="V3161" s="87" t="str">
        <x:v>VERIFIED</x:v>
      </x:c>
      <x:c r="W3161" s="87" t="n">
        <x:v>14</x:v>
      </x:c>
      <x:c r="X3161" s="87"/>
      <x:c r="Y3161" s="87"/>
      <x:c r="Z3161" s="87"/>
      <x:c r="AA3161" s="87"/>
      <x:c r="AB3161" s="87"/>
      <x:c r="AC3161" s="87" t="str">
        <x:v>VIS-MATH-OCT-008</x:v>
      </x:c>
      <x:c r="AD3161" s="87"/>
      <x:c r="AE3161" s="87" t="str">
        <x:v>Полная страница с визуальным контекстом</x:v>
      </x:c>
      <x:c r="AF3161" s="87" t="str">
        <x:v>VIS-MATH-OCT-008: 14</x:v>
      </x:c>
      <x:c r="AG3161" s="87" t="str">
        <x:v>RESOLVED / SOURCE_REGENERATED</x:v>
      </x:c>
      <x:c r="AH3161" s="87" t="str">
        <x:v>SOURCE_PAGE_REGENERATED_FULL_PAGE_NO_CROP; TASK_CROP_QA_APPROVED:USE_CONTEXT</x:v>
      </x:c>
      <x:c r="AI3161" s="30"/>
      <x:c r="AJ3161" s="87" t="str">
        <x:v>master</x:v>
      </x:c>
      <x:c r="AK3161" s="87" t="str">
        <x:v>master-v0.81</x:v>
      </x:c>
      <x:c r="AL3161" s="87" t="str">
        <x:v>statgrad_master_base_v0_81_final(2).xlsx</x:v>
      </x:c>
      <x:c r="AM3161" s="87" t="str">
        <x:v>MATH_Oct_Base_V2</x:v>
      </x:c>
      <x:c r="AN3161" s="87" t="n">
        <x:v>12</x:v>
      </x:c>
    </x:row>
    <x:row r="3162">
      <x:c r="A3162" s="87" t="n">
        <x:v>3161</x:v>
      </x:c>
      <x:c r="B3162" s="87" t="str">
        <x:v>OCT-MATH-0102-12</x:v>
      </x:c>
      <x:c r="C3162" s="87" t="str">
        <x:v>СтатГрад</x:v>
      </x:c>
      <x:c r="D3162" s="87" t="str">
        <x:v>Октябрь 2025</x:v>
      </x:c>
      <x:c r="E3162" s="87"/>
      <x:c r="F3162" s="87"/>
      <x:c r="G3162" s="87" t="str">
        <x:v>Математика</x:v>
      </x:c>
      <x:c r="H3162" s="87" t="n">
        <x:v>11</x:v>
      </x:c>
      <x:c r="I3162" s="87" t="str">
        <x:v>ТР №1</x:v>
      </x:c>
      <x:c r="J3162" s="87" t="str">
        <x:v>МА2510102</x:v>
      </x:c>
      <x:c r="K3162" s="87" t="n">
        <x:v>12</x:v>
      </x:c>
      <x:c r="L3162" s="87" t="str">
        <x:v>Уравнение / вычисление</x:v>
      </x:c>
      <x:c r="M3162" s="30" t="str">
        <x:v>На прямой AB отмечена точка M . Луч MD —                                   C
     биссектриса угла CMB . Известно, что ∠DMC =°
                                                65 .                                         D
     Найдите угол CMA . Ответ дайте в градусах.
                                                                       A            M             B</x:v>
      </x:c>
      <x:c r="N3162" s="30" t="str">
        <x:v>50</x:v>
      </x:c>
      <x:c r="O3162" s="30" t="str">
        <x:v>Ответ принят по официальной таблице СтатГрад.</x:v>
      </x:c>
      <x:c r="P3162" s="30" t="str">
        <x:v>Код варианта, номер и условие постранично сопоставлены с первичным PDF; формат ответа проверен.</x:v>
      </x:c>
      <x:c r="Q3162" s="30"/>
      <x:c r="R3162" s="30" t="str">
        <x:v>Официальный фото-ключ базового уровня.</x:v>
      </x:c>
      <x:c r="S3162" s="30"/>
      <x:c r="T3162" s="30"/>
      <x:c r="U3162" s="30" t="str">
        <x:v>Расхождений не обнаружено.</x:v>
      </x:c>
      <x:c r="V3162" s="87" t="str">
        <x:v>VERIFIED</x:v>
      </x:c>
      <x:c r="W3162" s="87" t="n">
        <x:v>15</x:v>
      </x:c>
      <x:c r="X3162" s="87"/>
      <x:c r="Y3162" s="87"/>
      <x:c r="Z3162" s="87"/>
      <x:c r="AA3162" s="87"/>
      <x:c r="AB3162" s="87"/>
      <x:c r="AC3162" s="87"/>
      <x:c r="AD3162" s="87"/>
      <x:c r="AE3162" s="87"/>
      <x:c r="AF3162" s="87"/>
      <x:c r="AG3162" s="87"/>
      <x:c r="AH3162" s="87"/>
      <x:c r="AI3162" s="30"/>
      <x:c r="AJ3162" s="87" t="str">
        <x:v>master</x:v>
      </x:c>
      <x:c r="AK3162" s="87" t="str">
        <x:v>master-v0.81</x:v>
      </x:c>
      <x:c r="AL3162" s="87" t="str">
        <x:v>statgrad_master_base_v0_81_final(2).xlsx</x:v>
      </x:c>
      <x:c r="AM3162" s="87" t="str">
        <x:v>MATH_Oct_Base_V2</x:v>
      </x:c>
      <x:c r="AN3162" s="87" t="n">
        <x:v>13</x:v>
      </x:c>
    </x:row>
    <x:row r="3163">
      <x:c r="A3163" s="87" t="n">
        <x:v>3162</x:v>
      </x:c>
      <x:c r="B3163" s="87" t="str">
        <x:v>OCT-MATH-0102-13</x:v>
      </x:c>
      <x:c r="C3163" s="87" t="str">
        <x:v>СтатГрад</x:v>
      </x:c>
      <x:c r="D3163" s="87" t="str">
        <x:v>Октябрь 2025</x:v>
      </x:c>
      <x:c r="E3163" s="87"/>
      <x:c r="F3163" s="87"/>
      <x:c r="G3163" s="87" t="str">
        <x:v>Математика</x:v>
      </x:c>
      <x:c r="H3163" s="87" t="n">
        <x:v>11</x:v>
      </x:c>
      <x:c r="I3163" s="87" t="str">
        <x:v>ТР №1</x:v>
      </x:c>
      <x:c r="J3163" s="87" t="str">
        <x:v>МА2510102</x:v>
      </x:c>
      <x:c r="K3163" s="87" t="n">
        <x:v>13</x:v>
      </x:c>
      <x:c r="L3163" s="87" t="str">
        <x:v>Стереометрия</x:v>
      </x:c>
      <x:c r="M3163" s="30" t="str">
        <x:v>В     прямоугольном      параллелепипеде                              D1                C1
     ABCDA1B1C1D1 рёбра AB , AD и диагональ                       A1                    B1
     AB1 боковой грани равны соответственно 4,
     7 и 41 . Найдите объём параллелепипеда                                D                 C
     ABCDA1B1C1D1 .                                               A                     B
                                        17 2 13</x:v>
      </x:c>
      <x:c r="N3163" s="30" t="str">
        <x:v>140</x:v>
      </x:c>
      <x:c r="O3163" s="30" t="str">
        <x:v>Ответ принят по официальной таблице СтатГрад.</x:v>
      </x:c>
      <x:c r="P3163" s="30" t="str">
        <x:v>Код варианта, номер и условие постранично сопоставлены с первичным PDF; формат ответа проверен.</x:v>
      </x:c>
      <x:c r="Q3163" s="30"/>
      <x:c r="R3163" s="30" t="str">
        <x:v>Официальный фото-ключ базового уровня.</x:v>
      </x:c>
      <x:c r="S3163" s="30"/>
      <x:c r="T3163" s="30"/>
      <x:c r="U3163" s="30" t="str">
        <x:v>Расхождений не обнаружено.</x:v>
      </x:c>
      <x:c r="V3163" s="87" t="str">
        <x:v>VERIFIED</x:v>
      </x:c>
      <x:c r="W3163" s="87" t="n">
        <x:v>15</x:v>
      </x:c>
      <x:c r="X3163" s="87"/>
      <x:c r="Y3163" s="87"/>
      <x:c r="Z3163" s="87"/>
      <x:c r="AA3163" s="87"/>
      <x:c r="AB3163" s="87"/>
      <x:c r="AC3163" s="87"/>
      <x:c r="AD3163" s="87"/>
      <x:c r="AE3163" s="87"/>
      <x:c r="AF3163" s="87"/>
      <x:c r="AG3163" s="87"/>
      <x:c r="AH3163" s="87"/>
      <x:c r="AI3163" s="30"/>
      <x:c r="AJ3163" s="87" t="str">
        <x:v>master</x:v>
      </x:c>
      <x:c r="AK3163" s="87" t="str">
        <x:v>master-v0.81</x:v>
      </x:c>
      <x:c r="AL3163" s="87" t="str">
        <x:v>statgrad_master_base_v0_81_final(2).xlsx</x:v>
      </x:c>
      <x:c r="AM3163" s="87" t="str">
        <x:v>MATH_Oct_Base_V2</x:v>
      </x:c>
      <x:c r="AN3163" s="87" t="n">
        <x:v>14</x:v>
      </x:c>
    </x:row>
    <x:row r="3164">
      <x:c r="A3164" s="87" t="n">
        <x:v>3163</x:v>
      </x:c>
      <x:c r="B3164" s="87" t="str">
        <x:v>OCT-MATH-0102-14</x:v>
      </x:c>
      <x:c r="C3164" s="87" t="str">
        <x:v>СтатГрад</x:v>
      </x:c>
      <x:c r="D3164" s="87" t="str">
        <x:v>Октябрь 2025</x:v>
      </x:c>
      <x:c r="E3164" s="87"/>
      <x:c r="F3164" s="87"/>
      <x:c r="G3164" s="87" t="str">
        <x:v>Математика</x:v>
      </x:c>
      <x:c r="H3164" s="87" t="n">
        <x:v>11</x:v>
      </x:c>
      <x:c r="I3164" s="87" t="str">
        <x:v>ТР №1</x:v>
      </x:c>
      <x:c r="J3164" s="87" t="str">
        <x:v>МА2510102</x:v>
      </x:c>
      <x:c r="K3164" s="87" t="n">
        <x:v>14</x:v>
      </x:c>
      <x:c r="L3164" s="87" t="str">
        <x:v>Планиметрия</x:v>
      </x:c>
      <x:c r="M3164" s="30" t="str">
        <x:v>Найдите значение выражения           ⋅ − .
                                         2 7 14</x:v>
      </x:c>
      <x:c r="N3164" s="30" t="str">
        <x:v>1,5</x:v>
      </x:c>
      <x:c r="O3164" s="30" t="str">
        <x:v>Ответ принят по официальной таблице СтатГрад.</x:v>
      </x:c>
      <x:c r="P3164" s="30" t="str">
        <x:v>Код варианта, номер и условие постранично сопоставлены с первичным PDF; формат ответа проверен.</x:v>
      </x:c>
      <x:c r="Q3164" s="30"/>
      <x:c r="R3164" s="30" t="str">
        <x:v>Официальный фото-ключ базового уровня.</x:v>
      </x:c>
      <x:c r="S3164" s="30"/>
      <x:c r="T3164" s="30"/>
      <x:c r="U3164" s="30" t="str">
        <x:v>Расхождений не обнаружено.</x:v>
      </x:c>
      <x:c r="V3164" s="87" t="str">
        <x:v>VERIFIED</x:v>
      </x:c>
      <x:c r="W3164" s="87" t="n">
        <x:v>15</x:v>
      </x:c>
      <x:c r="X3164" s="87"/>
      <x:c r="Y3164" s="87"/>
      <x:c r="Z3164" s="87"/>
      <x:c r="AA3164" s="87"/>
      <x:c r="AB3164" s="87"/>
      <x:c r="AC3164" s="87"/>
      <x:c r="AD3164" s="87"/>
      <x:c r="AE3164" s="87"/>
      <x:c r="AF3164" s="87"/>
      <x:c r="AG3164" s="87"/>
      <x:c r="AH3164" s="87"/>
      <x:c r="AI3164" s="30"/>
      <x:c r="AJ3164" s="87" t="str">
        <x:v>master</x:v>
      </x:c>
      <x:c r="AK3164" s="87" t="str">
        <x:v>master-v0.81</x:v>
      </x:c>
      <x:c r="AL3164" s="87" t="str">
        <x:v>statgrad_master_base_v0_81_final(2).xlsx</x:v>
      </x:c>
      <x:c r="AM3164" s="87" t="str">
        <x:v>MATH_Oct_Base_V2</x:v>
      </x:c>
      <x:c r="AN3164" s="87" t="n">
        <x:v>15</x:v>
      </x:c>
    </x:row>
    <x:row r="3165">
      <x:c r="A3165" s="87" t="n">
        <x:v>3164</x:v>
      </x:c>
      <x:c r="B3165" s="87" t="str">
        <x:v>OCT-MATH-0102-15</x:v>
      </x:c>
      <x:c r="C3165" s="87" t="str">
        <x:v>СтатГрад</x:v>
      </x:c>
      <x:c r="D3165" s="87" t="str">
        <x:v>Октябрь 2025</x:v>
      </x:c>
      <x:c r="E3165" s="87"/>
      <x:c r="F3165" s="87"/>
      <x:c r="G3165" s="87" t="str">
        <x:v>Математика</x:v>
      </x:c>
      <x:c r="H3165" s="87" t="n">
        <x:v>11</x:v>
      </x:c>
      <x:c r="I3165" s="87" t="str">
        <x:v>ТР №1</x:v>
      </x:c>
      <x:c r="J3165" s="87" t="str">
        <x:v>МА2510102</x:v>
      </x:c>
      <x:c r="K3165" s="87" t="n">
        <x:v>15</x:v>
      </x:c>
      <x:c r="L3165" s="87" t="str">
        <x:v>Алгебра</x:v>
      </x:c>
      <x:c r="M3165" s="30" t="str">
        <x:v>Магазин делает пенсионерам скидку. Десяток яиц стоит в магазине
     125 рублей, а пенсионер заплатил за них 116 рублей 25 копеек. Сколько
     процентов составила скидка для пенсионера?</x:v>
      </x:c>
      <x:c r="N3165" s="30" t="str">
        <x:v>7</x:v>
      </x:c>
      <x:c r="O3165" s="30" t="str">
        <x:v>Ответ принят по официальной таблице СтатГрад.</x:v>
      </x:c>
      <x:c r="P3165" s="30" t="str">
        <x:v>Код варианта, номер и условие постранично сопоставлены с первичным PDF; формат ответа проверен.</x:v>
      </x:c>
      <x:c r="Q3165" s="30"/>
      <x:c r="R3165" s="30" t="str">
        <x:v>Официальный фото-ключ базового уровня.</x:v>
      </x:c>
      <x:c r="S3165" s="30"/>
      <x:c r="T3165" s="30"/>
      <x:c r="U3165" s="30" t="str">
        <x:v>Расхождений не обнаружено.</x:v>
      </x:c>
      <x:c r="V3165" s="87" t="str">
        <x:v>VERIFIED</x:v>
      </x:c>
      <x:c r="W3165" s="87" t="n">
        <x:v>15</x:v>
      </x:c>
      <x:c r="X3165" s="87"/>
      <x:c r="Y3165" s="87"/>
      <x:c r="Z3165" s="87"/>
      <x:c r="AA3165" s="87"/>
      <x:c r="AB3165" s="87"/>
      <x:c r="AC3165" s="87"/>
      <x:c r="AD3165" s="87"/>
      <x:c r="AE3165" s="87"/>
      <x:c r="AF3165" s="87"/>
      <x:c r="AG3165" s="87"/>
      <x:c r="AH3165" s="87"/>
      <x:c r="AI3165" s="30"/>
      <x:c r="AJ3165" s="87" t="str">
        <x:v>master</x:v>
      </x:c>
      <x:c r="AK3165" s="87" t="str">
        <x:v>master-v0.81</x:v>
      </x:c>
      <x:c r="AL3165" s="87" t="str">
        <x:v>statgrad_master_base_v0_81_final(2).xlsx</x:v>
      </x:c>
      <x:c r="AM3165" s="87" t="str">
        <x:v>MATH_Oct_Base_V2</x:v>
      </x:c>
      <x:c r="AN3165" s="87" t="n">
        <x:v>16</x:v>
      </x:c>
    </x:row>
    <x:row r="3166">
      <x:c r="A3166" s="87" t="n">
        <x:v>3165</x:v>
      </x:c>
      <x:c r="B3166" s="87" t="str">
        <x:v>OCT-MATH-0102-16</x:v>
      </x:c>
      <x:c r="C3166" s="87" t="str">
        <x:v>СтатГрад</x:v>
      </x:c>
      <x:c r="D3166" s="87" t="str">
        <x:v>Октябрь 2025</x:v>
      </x:c>
      <x:c r="E3166" s="87"/>
      <x:c r="F3166" s="87"/>
      <x:c r="G3166" s="87" t="str">
        <x:v>Математика</x:v>
      </x:c>
      <x:c r="H3166" s="87" t="n">
        <x:v>11</x:v>
      </x:c>
      <x:c r="I3166" s="87" t="str">
        <x:v>ТР №1</x:v>
      </x:c>
      <x:c r="J3166" s="87" t="str">
        <x:v>МА2510102</x:v>
      </x:c>
      <x:c r="K3166" s="87" t="n">
        <x:v>16</x:v>
      </x:c>
      <x:c r="L3166" s="87" t="str">
        <x:v>Проценты / финансы</x:v>
      </x:c>
      <x:c r="M3166" s="30" t="str">
        <x:v>Найдите значение выражения 1,4 ⋅ 35 .</x:v>
      </x:c>
      <x:c r="N3166" s="30" t="str">
        <x:v>7</x:v>
      </x:c>
      <x:c r="O3166" s="30" t="str">
        <x:v>Ответ принят по официальной таблице СтатГрад.</x:v>
      </x:c>
      <x:c r="P3166" s="30" t="str">
        <x:v>Код варианта, номер и условие постранично сопоставлены с первичным PDF; формат ответа проверен.</x:v>
      </x:c>
      <x:c r="Q3166" s="30"/>
      <x:c r="R3166" s="30" t="str">
        <x:v>Официальный фото-ключ базового уровня.</x:v>
      </x:c>
      <x:c r="S3166" s="30"/>
      <x:c r="T3166" s="30"/>
      <x:c r="U3166" s="30" t="str">
        <x:v>Расхождений не обнаружено.</x:v>
      </x:c>
      <x:c r="V3166" s="87" t="str">
        <x:v>VERIFIED</x:v>
      </x:c>
      <x:c r="W3166" s="87" t="n">
        <x:v>15</x:v>
      </x:c>
      <x:c r="X3166" s="87"/>
      <x:c r="Y3166" s="87"/>
      <x:c r="Z3166" s="87"/>
      <x:c r="AA3166" s="87"/>
      <x:c r="AB3166" s="87"/>
      <x:c r="AC3166" s="87"/>
      <x:c r="AD3166" s="87"/>
      <x:c r="AE3166" s="87"/>
      <x:c r="AF3166" s="87"/>
      <x:c r="AG3166" s="87"/>
      <x:c r="AH3166" s="87"/>
      <x:c r="AI3166" s="30"/>
      <x:c r="AJ3166" s="87" t="str">
        <x:v>master</x:v>
      </x:c>
      <x:c r="AK3166" s="87" t="str">
        <x:v>master-v0.81</x:v>
      </x:c>
      <x:c r="AL3166" s="87" t="str">
        <x:v>statgrad_master_base_v0_81_final(2).xlsx</x:v>
      </x:c>
      <x:c r="AM3166" s="87" t="str">
        <x:v>MATH_Oct_Base_V2</x:v>
      </x:c>
      <x:c r="AN3166" s="87" t="n">
        <x:v>17</x:v>
      </x:c>
    </x:row>
    <x:row r="3167">
      <x:c r="A3167" s="87" t="n">
        <x:v>3166</x:v>
      </x:c>
      <x:c r="B3167" s="87" t="str">
        <x:v>OCT-MATH-0102-17</x:v>
      </x:c>
      <x:c r="C3167" s="87" t="str">
        <x:v>СтатГрад</x:v>
      </x:c>
      <x:c r="D3167" s="87" t="str">
        <x:v>Октябрь 2025</x:v>
      </x:c>
      <x:c r="E3167" s="87"/>
      <x:c r="F3167" s="87"/>
      <x:c r="G3167" s="87" t="str">
        <x:v>Математика</x:v>
      </x:c>
      <x:c r="H3167" s="87" t="n">
        <x:v>11</x:v>
      </x:c>
      <x:c r="I3167" s="87" t="str">
        <x:v>ТР №1</x:v>
      </x:c>
      <x:c r="J3167" s="87" t="str">
        <x:v>МА2510102</x:v>
      </x:c>
      <x:c r="K3167" s="87" t="n">
        <x:v>17</x:v>
      </x:c>
      <x:c r="L3167" s="87" t="str">
        <x:v>Логика / комбинаторика</x:v>
      </x:c>
      <x:c r="M3167" s="30" t="str">
        <x:v>Найдите корень уравнения log 3 ( 2 x − 7 ) =
                                                3.
                                    согласия СтатГрад запрещена</x:v>
      </x:c>
      <x:c r="N3167" s="30" t="str">
        <x:v>17</x:v>
      </x:c>
      <x:c r="O3167" s="30" t="str">
        <x:v>Ответ принят по официальной таблице СтатГрад.</x:v>
      </x:c>
      <x:c r="P3167" s="30" t="str">
        <x:v>Код варианта, номер и условие постранично сопоставлены с первичным PDF; формат ответа проверен.</x:v>
      </x:c>
      <x:c r="Q3167" s="30"/>
      <x:c r="R3167" s="30" t="str">
        <x:v>Официальный фото-ключ базового уровня.</x:v>
      </x:c>
      <x:c r="S3167" s="30"/>
      <x:c r="T3167" s="30"/>
      <x:c r="U3167" s="30" t="str">
        <x:v>Расхождений не обнаружено.</x:v>
      </x:c>
      <x:c r="V3167" s="87" t="str">
        <x:v>VERIFIED</x:v>
      </x:c>
      <x:c r="W3167" s="87" t="n">
        <x:v>15</x:v>
      </x:c>
      <x:c r="X3167" s="87"/>
      <x:c r="Y3167" s="87"/>
      <x:c r="Z3167" s="87"/>
      <x:c r="AA3167" s="87"/>
      <x:c r="AB3167" s="87"/>
      <x:c r="AC3167" s="87"/>
      <x:c r="AD3167" s="87"/>
      <x:c r="AE3167" s="87"/>
      <x:c r="AF3167" s="87"/>
      <x:c r="AG3167" s="87"/>
      <x:c r="AH3167" s="87"/>
      <x:c r="AI3167" s="30"/>
      <x:c r="AJ3167" s="87" t="str">
        <x:v>master</x:v>
      </x:c>
      <x:c r="AK3167" s="87" t="str">
        <x:v>master-v0.81</x:v>
      </x:c>
      <x:c r="AL3167" s="87" t="str">
        <x:v>statgrad_master_base_v0_81_final(2).xlsx</x:v>
      </x:c>
      <x:c r="AM3167" s="87" t="str">
        <x:v>MATH_Oct_Base_V2</x:v>
      </x:c>
      <x:c r="AN3167" s="87" t="n">
        <x:v>18</x:v>
      </x:c>
    </x:row>
    <x:row r="3168">
      <x:c r="A3168" s="87" t="n">
        <x:v>3167</x:v>
      </x:c>
      <x:c r="B3168" s="87" t="str">
        <x:v>OCT-MATH-0102-18</x:v>
      </x:c>
      <x:c r="C3168" s="87" t="str">
        <x:v>СтатГрад</x:v>
      </x:c>
      <x:c r="D3168" s="87" t="str">
        <x:v>Октябрь 2025</x:v>
      </x:c>
      <x:c r="E3168" s="87"/>
      <x:c r="F3168" s="87"/>
      <x:c r="G3168" s="87" t="str">
        <x:v>Математика</x:v>
      </x:c>
      <x:c r="H3168" s="87" t="n">
        <x:v>11</x:v>
      </x:c>
      <x:c r="I3168" s="87" t="str">
        <x:v>ТР №1</x:v>
      </x:c>
      <x:c r="J3168" s="87" t="str">
        <x:v>МА2510102</x:v>
      </x:c>
      <x:c r="K3168" s="87" t="n">
        <x:v>18</x:v>
      </x:c>
      <x:c r="L3168" s="87" t="str">
        <x:v>Числовая задача</x:v>
      </x:c>
      <x:c r="M3168" s="30" t="str">
        <x:v>Каждому из четырёх неравенств в левом столбце соответствует одно
     из решений в правом столбце. Установите соответствие между
     неравенствами и их решениями.
                     НЕРАВЕНСТВА                                       РЕШЕНИЯ
                       А) 3x ≥ 3                                      1) ( −∞; −1]
                                                                      2) [ −1; + ∞ )
                                 x
                           1
                        Б)   ≥ 3
                           3
                                                                      3) [1; + ∞ )
                                 x
                           1
                        В)   ≤ 3                                    4) ( −∞;1]
                           3
                        Г) 3x ≤ 3
     Впишите в приведённую в ответе                     таблицу     под    каждой      буквой
     соответствующий решению номер.
                А Б В Г
     Ответ:</x:v>
      </x:c>
      <x:c r="N3168" s="30" t="str">
        <x:v>3124</x:v>
      </x:c>
      <x:c r="O3168" s="30" t="str">
        <x:v>Ответ принят по официальной таблице СтатГрад.</x:v>
      </x:c>
      <x:c r="P3168" s="30" t="str">
        <x:v>Код варианта, номер и условие постранично сопоставлены с первичным PDF; формат ответа проверен.</x:v>
      </x:c>
      <x:c r="Q3168" s="30"/>
      <x:c r="R3168" s="30" t="str">
        <x:v>Официальный фото-ключ базового уровня.</x:v>
      </x:c>
      <x:c r="S3168" s="30"/>
      <x:c r="T3168" s="30"/>
      <x:c r="U3168" s="30" t="str">
        <x:v>Расхождений не обнаружено.</x:v>
      </x:c>
      <x:c r="V3168" s="87" t="str">
        <x:v>VERIFIED</x:v>
      </x:c>
      <x:c r="W3168" s="87" t="n">
        <x:v>16</x:v>
      </x:c>
      <x:c r="X3168" s="87"/>
      <x:c r="Y3168" s="87"/>
      <x:c r="Z3168" s="87"/>
      <x:c r="AA3168" s="87"/>
      <x:c r="AB3168" s="87"/>
      <x:c r="AC3168" s="87"/>
      <x:c r="AD3168" s="87"/>
      <x:c r="AE3168" s="87"/>
      <x:c r="AF3168" s="87"/>
      <x:c r="AG3168" s="87"/>
      <x:c r="AH3168" s="87"/>
      <x:c r="AI3168" s="30"/>
      <x:c r="AJ3168" s="87" t="str">
        <x:v>master</x:v>
      </x:c>
      <x:c r="AK3168" s="87" t="str">
        <x:v>master-v0.81</x:v>
      </x:c>
      <x:c r="AL3168" s="87" t="str">
        <x:v>statgrad_master_base_v0_81_final(2).xlsx</x:v>
      </x:c>
      <x:c r="AM3168" s="87" t="str">
        <x:v>MATH_Oct_Base_V2</x:v>
      </x:c>
      <x:c r="AN3168" s="87" t="n">
        <x:v>19</x:v>
      </x:c>
    </x:row>
    <x:row r="3169">
      <x:c r="A3169" s="87" t="n">
        <x:v>3168</x:v>
      </x:c>
      <x:c r="B3169" s="87" t="str">
        <x:v>OCT-MATH-0102-19</x:v>
      </x:c>
      <x:c r="C3169" s="87" t="str">
        <x:v>СтатГрад</x:v>
      </x:c>
      <x:c r="D3169" s="87" t="str">
        <x:v>Октябрь 2025</x:v>
      </x:c>
      <x:c r="E3169" s="87"/>
      <x:c r="F3169" s="87"/>
      <x:c r="G3169" s="87" t="str">
        <x:v>Математика</x:v>
      </x:c>
      <x:c r="H3169" s="87" t="n">
        <x:v>11</x:v>
      </x:c>
      <x:c r="I3169" s="87" t="str">
        <x:v>ТР №1</x:v>
      </x:c>
      <x:c r="J3169" s="87" t="str">
        <x:v>МА2510102</x:v>
      </x:c>
      <x:c r="K3169" s="87" t="n">
        <x:v>19</x:v>
      </x:c>
      <x:c r="L3169" s="87" t="str">
        <x:v>Теория чисел</x:v>
      </x:c>
      <x:c r="M3169" s="30" t="str">
        <x:v>Найдите чётное четырёхзначное натуральное число, сумма цифр которого
     на 1 меньше их произведения. В ответе укажите какое-нибудь одно такое
     число.</x:v>
      </x:c>
      <x:c r="N3169" s="30" t="str">
        <x:v>1152</x:v>
      </x:c>
      <x:c r="O3169" s="30" t="str">
        <x:v>Ответ принят по официальной таблице СтатГрад.</x:v>
      </x:c>
      <x:c r="P3169" s="30" t="str">
        <x:v>Код варианта, номер и условие постранично сопоставлены с первичным PDF; формат ответа проверен.</x:v>
      </x:c>
      <x:c r="Q3169" s="30"/>
      <x:c r="R3169" s="30" t="str">
        <x:v>Официальный фото-ключ базового уровня.</x:v>
      </x:c>
      <x:c r="S3169" s="30"/>
      <x:c r="T3169" s="30"/>
      <x:c r="U3169" s="30" t="str">
        <x:v>Расхождений не обнаружено.</x:v>
      </x:c>
      <x:c r="V3169" s="87" t="str">
        <x:v>VERIFIED</x:v>
      </x:c>
      <x:c r="W3169" s="87" t="n">
        <x:v>16</x:v>
      </x:c>
      <x:c r="X3169" s="87"/>
      <x:c r="Y3169" s="87"/>
      <x:c r="Z3169" s="87"/>
      <x:c r="AA3169" s="87"/>
      <x:c r="AB3169" s="87"/>
      <x:c r="AC3169" s="87"/>
      <x:c r="AD3169" s="87"/>
      <x:c r="AE3169" s="87"/>
      <x:c r="AF3169" s="87"/>
      <x:c r="AG3169" s="87"/>
      <x:c r="AH3169" s="87"/>
      <x:c r="AI3169" s="30"/>
      <x:c r="AJ3169" s="87" t="str">
        <x:v>master</x:v>
      </x:c>
      <x:c r="AK3169" s="87" t="str">
        <x:v>master-v0.81</x:v>
      </x:c>
      <x:c r="AL3169" s="87" t="str">
        <x:v>statgrad_master_base_v0_81_final(2).xlsx</x:v>
      </x:c>
      <x:c r="AM3169" s="87" t="str">
        <x:v>MATH_Oct_Base_V2</x:v>
      </x:c>
      <x:c r="AN3169" s="87" t="n">
        <x:v>20</x:v>
      </x:c>
    </x:row>
    <x:row r="3170">
      <x:c r="A3170" s="87" t="n">
        <x:v>3169</x:v>
      </x:c>
      <x:c r="B3170" s="87" t="str">
        <x:v>OCT-MATH-0102-20</x:v>
      </x:c>
      <x:c r="C3170" s="87" t="str">
        <x:v>СтатГрад</x:v>
      </x:c>
      <x:c r="D3170" s="87" t="str">
        <x:v>Октябрь 2025</x:v>
      </x:c>
      <x:c r="E3170" s="87"/>
      <x:c r="F3170" s="87"/>
      <x:c r="G3170" s="87" t="str">
        <x:v>Математика</x:v>
      </x:c>
      <x:c r="H3170" s="87" t="n">
        <x:v>11</x:v>
      </x:c>
      <x:c r="I3170" s="87" t="str">
        <x:v>ТР №1</x:v>
      </x:c>
      <x:c r="J3170" s="87" t="str">
        <x:v>МА2510102</x:v>
      </x:c>
      <x:c r="K3170" s="87" t="n">
        <x:v>20</x:v>
      </x:c>
      <x:c r="L3170" s="87" t="str">
        <x:v>Практическая задача</x:v>
      </x:c>
      <x:c r="M3170" s="30" t="str">
        <x:v>Петя и Ваня выполняют одинаковый тест. Петя отвечает за час
     на 18 вопросов теста, а Ваня — на 30. Они одновременно начали отвечать
     на вопросы теста, и Петя закончил свой тест позже Вани на 56 минут.
     Сколько вопросов содержит тест?</x:v>
      </x:c>
      <x:c r="N3170" s="30" t="str">
        <x:v>42</x:v>
      </x:c>
      <x:c r="O3170" s="30" t="str">
        <x:v>Ответ принят по официальной таблице СтатГрад.</x:v>
      </x:c>
      <x:c r="P3170" s="30" t="str">
        <x:v>Код варианта, номер и условие постранично сопоставлены с первичным PDF; формат ответа проверен.</x:v>
      </x:c>
      <x:c r="Q3170" s="30"/>
      <x:c r="R3170" s="30" t="str">
        <x:v>Официальный фото-ключ базового уровня.</x:v>
      </x:c>
      <x:c r="S3170" s="30"/>
      <x:c r="T3170" s="30"/>
      <x:c r="U3170" s="30" t="str">
        <x:v>Расхождений не обнаружено.</x:v>
      </x:c>
      <x:c r="V3170" s="87" t="str">
        <x:v>VERIFIED</x:v>
      </x:c>
      <x:c r="W3170" s="87" t="n">
        <x:v>16</x:v>
      </x:c>
      <x:c r="X3170" s="87"/>
      <x:c r="Y3170" s="87"/>
      <x:c r="Z3170" s="87"/>
      <x:c r="AA3170" s="87"/>
      <x:c r="AB3170" s="87"/>
      <x:c r="AC3170" s="87"/>
      <x:c r="AD3170" s="87"/>
      <x:c r="AE3170" s="87"/>
      <x:c r="AF3170" s="87"/>
      <x:c r="AG3170" s="87"/>
      <x:c r="AH3170" s="87"/>
      <x:c r="AI3170" s="30"/>
      <x:c r="AJ3170" s="87" t="str">
        <x:v>master</x:v>
      </x:c>
      <x:c r="AK3170" s="87" t="str">
        <x:v>master-v0.81</x:v>
      </x:c>
      <x:c r="AL3170" s="87" t="str">
        <x:v>statgrad_master_base_v0_81_final(2).xlsx</x:v>
      </x:c>
      <x:c r="AM3170" s="87" t="str">
        <x:v>MATH_Oct_Base_V2</x:v>
      </x:c>
      <x:c r="AN3170" s="87" t="n">
        <x:v>21</x:v>
      </x:c>
    </x:row>
    <x:row r="3171">
      <x:c r="A3171" s="87" t="n">
        <x:v>3170</x:v>
      </x:c>
      <x:c r="B3171" s="87" t="str">
        <x:v>OCT-MATH-0102-21</x:v>
      </x:c>
      <x:c r="C3171" s="87" t="str">
        <x:v>СтатГрад</x:v>
      </x:c>
      <x:c r="D3171" s="87" t="str">
        <x:v>Октябрь 2025</x:v>
      </x:c>
      <x:c r="E3171" s="87"/>
      <x:c r="F3171" s="87"/>
      <x:c r="G3171" s="87" t="str">
        <x:v>Математика</x:v>
      </x:c>
      <x:c r="H3171" s="87" t="n">
        <x:v>11</x:v>
      </x:c>
      <x:c r="I3171" s="87" t="str">
        <x:v>ТР №1</x:v>
      </x:c>
      <x:c r="J3171" s="87" t="str">
        <x:v>МА2510102</x:v>
      </x:c>
      <x:c r="K3171" s="87" t="n">
        <x:v>21</x:v>
      </x:c>
      <x:c r="L3171" s="87" t="str">
        <x:v>Оптимизация / вычисление</x:v>
      </x:c>
      <x:c r="M3171" s="30" t="str">
        <x:v>В магазине квас на разлив можно купить в бутылках, причём стоимость кваса
     в бутылке складывается из стоимости самой бутылки и кваса, налитого в неё.
     Цена бутылки не зависит от её объёма. Бутылка кваса объёмом 1 литр стоит
     97 рублей, объёмом 2 литра — 173 рубля. Сколько рублей будет стоить
     бутылка кваса объёмом 1,5 литра?
                                    согласия СтатГрад запрещена</x:v>
      </x:c>
      <x:c r="N3171" s="30" t="str">
        <x:v>135</x:v>
      </x:c>
      <x:c r="O3171" s="30" t="str">
        <x:v>Ответ принят по официальной таблице СтатГрад.</x:v>
      </x:c>
      <x:c r="P3171" s="30" t="str">
        <x:v>Код варианта, номер и условие постранично сопоставлены с первичным PDF; формат ответа проверен.</x:v>
      </x:c>
      <x:c r="Q3171" s="30"/>
      <x:c r="R3171" s="30" t="str">
        <x:v>Официальный фото-ключ базового уровня.</x:v>
      </x:c>
      <x:c r="S3171" s="30"/>
      <x:c r="T3171" s="30"/>
      <x:c r="U3171" s="30" t="str">
        <x:v>Расхождений не обнаружено.</x:v>
      </x:c>
      <x:c r="V3171" s="87" t="str">
        <x:v>VERIFIED</x:v>
      </x:c>
      <x:c r="W3171" s="87" t="n">
        <x:v>16</x:v>
      </x:c>
      <x:c r="X3171" s="87"/>
      <x:c r="Y3171" s="87"/>
      <x:c r="Z3171" s="87"/>
      <x:c r="AA3171" s="87"/>
      <x:c r="AB3171" s="87"/>
      <x:c r="AC3171" s="87"/>
      <x:c r="AD3171" s="87"/>
      <x:c r="AE3171" s="87"/>
      <x:c r="AF3171" s="87"/>
      <x:c r="AG3171" s="87"/>
      <x:c r="AH3171" s="87"/>
      <x:c r="AI3171" s="30"/>
      <x:c r="AJ3171" s="87" t="str">
        <x:v>master</x:v>
      </x:c>
      <x:c r="AK3171" s="87" t="str">
        <x:v>master-v0.81</x:v>
      </x:c>
      <x:c r="AL3171" s="87" t="str">
        <x:v>statgrad_master_base_v0_81_final(2).xlsx</x:v>
      </x:c>
      <x:c r="AM3171" s="87" t="str">
        <x:v>MATH_Oct_Base_V2</x:v>
      </x:c>
      <x:c r="AN3171" s="87" t="n">
        <x:v>22</x:v>
      </x:c>
    </x:row>
    <x:row r="3172">
      <x:c r="A3172" s="87" t="n">
        <x:v>3171</x:v>
      </x:c>
      <x:c r="B3172" s="87" t="str">
        <x:v>OCT-MATH-0103-01</x:v>
      </x:c>
      <x:c r="C3172" s="87" t="str">
        <x:v>СтатГрад</x:v>
      </x:c>
      <x:c r="D3172" s="87" t="str">
        <x:v>Октябрь 2025</x:v>
      </x:c>
      <x:c r="E3172" s="87"/>
      <x:c r="F3172" s="87"/>
      <x:c r="G3172" s="87" t="str">
        <x:v>Математика</x:v>
      </x:c>
      <x:c r="H3172" s="87" t="n">
        <x:v>11</x:v>
      </x:c>
      <x:c r="I3172" s="87" t="str">
        <x:v>ТР №1</x:v>
      </x:c>
      <x:c r="J3172" s="87" t="str">
        <x:v>МА2510103</x:v>
      </x:c>
      <x:c r="K3172" s="87" t="n">
        <x:v>1</x:v>
      </x:c>
      <x:c r="L3172" s="87" t="str">
        <x:v>Практическая арифметика</x:v>
      </x:c>
      <x:c r="M3172" s="30" t="str">
        <x:v>Для приготовления маринада для огурцов на 1 литр воды требуется 7 г
    лимонной кислоты. Лимонная кислота продаётся в пакетиках по 5 г. Какое
    наименьшее число пакетиков нужно хозяйке для приготовления 7 литров
    маринада?</x:v>
      </x:c>
      <x:c r="N3172" s="30" t="str">
        <x:v>10</x:v>
      </x:c>
      <x:c r="O3172" s="30" t="str">
        <x:v>Ответ принят по официальной таблице СтатГрад.</x:v>
      </x:c>
      <x:c r="P3172" s="30" t="str">
        <x:v>Код варианта, номер и условие постранично сопоставлены с первичным PDF; формат ответа проверен.</x:v>
      </x:c>
      <x:c r="Q3172" s="30"/>
      <x:c r="R3172" s="30" t="str">
        <x:v>Официальный фото-ключ базового уровня.</x:v>
      </x:c>
      <x:c r="S3172" s="30"/>
      <x:c r="T3172" s="30"/>
      <x:c r="U3172" s="30" t="str">
        <x:v>Расхождений не обнаружено.</x:v>
      </x:c>
      <x:c r="V3172" s="87" t="str">
        <x:v>VERIFIED</x:v>
      </x:c>
      <x:c r="W3172" s="87" t="n">
        <x:v>18</x:v>
      </x:c>
      <x:c r="X3172" s="87"/>
      <x:c r="Y3172" s="87"/>
      <x:c r="Z3172" s="87"/>
      <x:c r="AA3172" s="87"/>
      <x:c r="AB3172" s="87"/>
      <x:c r="AC3172" s="87"/>
      <x:c r="AD3172" s="87"/>
      <x:c r="AE3172" s="87"/>
      <x:c r="AF3172" s="87"/>
      <x:c r="AG3172" s="87"/>
      <x:c r="AH3172" s="87"/>
      <x:c r="AI3172" s="30"/>
      <x:c r="AJ3172" s="87" t="str">
        <x:v>master</x:v>
      </x:c>
      <x:c r="AK3172" s="87" t="str">
        <x:v>master-v0.81</x:v>
      </x:c>
      <x:c r="AL3172" s="87" t="str">
        <x:v>statgrad_master_base_v0_81_final(2).xlsx</x:v>
      </x:c>
      <x:c r="AM3172" s="87" t="str">
        <x:v>MATH_Oct_Base_V3</x:v>
      </x:c>
      <x:c r="AN3172" s="87" t="n">
        <x:v>2</x:v>
      </x:c>
    </x:row>
    <x:row r="3173">
      <x:c r="A3173" s="87" t="n">
        <x:v>3172</x:v>
      </x:c>
      <x:c r="B3173" s="87" t="str">
        <x:v>OCT-MATH-0103-02</x:v>
      </x:c>
      <x:c r="C3173" s="87" t="str">
        <x:v>СтатГрад</x:v>
      </x:c>
      <x:c r="D3173" s="87" t="str">
        <x:v>Октябрь 2025</x:v>
      </x:c>
      <x:c r="E3173" s="87"/>
      <x:c r="F3173" s="87"/>
      <x:c r="G3173" s="87" t="str">
        <x:v>Математика</x:v>
      </x:c>
      <x:c r="H3173" s="87" t="n">
        <x:v>11</x:v>
      </x:c>
      <x:c r="I3173" s="87" t="str">
        <x:v>ТР №1</x:v>
      </x:c>
      <x:c r="J3173" s="87" t="str">
        <x:v>МА2510103</x:v>
      </x:c>
      <x:c r="K3173" s="87" t="n">
        <x:v>2</x:v>
      </x:c>
      <x:c r="L3173" s="87" t="str">
        <x:v>Соответствие величин</x:v>
      </x:c>
      <x:c r="M3173"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площадь одной страницы учебника                    1) 81,7 кв. м
    Б) площадь территории Республики Карелия              2) 330 кв. см
    В) площадь одной стороны монеты                       3) 180,5 тыс. кв. км
    Г) площадь бадминтонной площадки                      4) 300 кв. мм
    В таблице под каждой буквой, соответствующей величине, укажите номер её
    возможного значения.
               А Б В Г
    Ответ:
                                   согласия СтатГрад запрещена</x:v>
      </x:c>
      <x:c r="N3173" s="30" t="str">
        <x:v>2341</x:v>
      </x:c>
      <x:c r="O3173" s="30" t="str">
        <x:v>Ответ принят по официальной таблице СтатГрад.</x:v>
      </x:c>
      <x:c r="P3173" s="30" t="str">
        <x:v>Код варианта, номер и условие постранично сопоставлены с первичным PDF; формат ответа проверен.</x:v>
      </x:c>
      <x:c r="Q3173" s="30"/>
      <x:c r="R3173" s="30" t="str">
        <x:v>Официальный фото-ключ базового уровня.</x:v>
      </x:c>
      <x:c r="S3173" s="30"/>
      <x:c r="T3173" s="30"/>
      <x:c r="U3173" s="30" t="str">
        <x:v>Расхождений не обнаружено.</x:v>
      </x:c>
      <x:c r="V3173" s="87" t="str">
        <x:v>VERIFIED</x:v>
      </x:c>
      <x:c r="W3173" s="87" t="n">
        <x:v>18</x:v>
      </x:c>
      <x:c r="X3173" s="87"/>
      <x:c r="Y3173" s="87"/>
      <x:c r="Z3173" s="87"/>
      <x:c r="AA3173" s="87"/>
      <x:c r="AB3173" s="87"/>
      <x:c r="AC3173" s="87"/>
      <x:c r="AD3173" s="87"/>
      <x:c r="AE3173" s="87"/>
      <x:c r="AF3173" s="87"/>
      <x:c r="AG3173" s="87"/>
      <x:c r="AH3173" s="87"/>
      <x:c r="AI3173" s="30"/>
      <x:c r="AJ3173" s="87" t="str">
        <x:v>master</x:v>
      </x:c>
      <x:c r="AK3173" s="87" t="str">
        <x:v>master-v0.81</x:v>
      </x:c>
      <x:c r="AL3173" s="87" t="str">
        <x:v>statgrad_master_base_v0_81_final(2).xlsx</x:v>
      </x:c>
      <x:c r="AM3173" s="87" t="str">
        <x:v>MATH_Oct_Base_V3</x:v>
      </x:c>
      <x:c r="AN3173" s="87" t="n">
        <x:v>3</x:v>
      </x:c>
    </x:row>
    <x:row r="3174">
      <x:c r="A3174" s="87" t="n">
        <x:v>3173</x:v>
      </x:c>
      <x:c r="B3174" s="87" t="str">
        <x:v>OCT-MATH-0103-03</x:v>
      </x:c>
      <x:c r="C3174" s="87" t="str">
        <x:v>СтатГрад</x:v>
      </x:c>
      <x:c r="D3174" s="87" t="str">
        <x:v>Октябрь 2025</x:v>
      </x:c>
      <x:c r="E3174" s="87"/>
      <x:c r="F3174" s="87"/>
      <x:c r="G3174" s="87" t="str">
        <x:v>Математика</x:v>
      </x:c>
      <x:c r="H3174" s="87" t="n">
        <x:v>11</x:v>
      </x:c>
      <x:c r="I3174" s="87" t="str">
        <x:v>ТР №1</x:v>
      </x:c>
      <x:c r="J3174" s="87" t="str">
        <x:v>МА2510103</x:v>
      </x:c>
      <x:c r="K3174" s="87" t="n">
        <x:v>3</x:v>
      </x:c>
      <x:c r="L3174" s="87" t="str">
        <x:v>Диаграмма</x:v>
      </x:c>
      <x:c r="M3174" s="30" t="str">
        <x:v>На диаграмме показана среднемесячная температура воздуха в Нижнем
    Новгороде за каждый месяц 1994 года. По горизонтали указываются месяцы,
    по вертикали — температура в градусах Цельсия.
            16
            12
             8
             4
             0 янв фев мар апр май июн июл авг сен окт ноя дек
            –4
            –8
          – 12
          – 16
    Определите по диаграмме наименьшую среднемесячную температуру
    в Нижнем Новгороде в 1994 году. Ответ дайте в градусах Цельсия.
                                              a+b</x:v>
      </x:c>
      <x:c r="N3174" s="30" t="str">
        <x:v>-14</x:v>
      </x:c>
      <x:c r="O3174" s="30" t="str">
        <x:v>Ответ принят по официальной таблице СтатГрад.</x:v>
      </x:c>
      <x:c r="P3174" s="30" t="str">
        <x:v>Код варианта, номер и условие постранично сопоставлены с первичным PDF; формат ответа проверен.</x:v>
      </x:c>
      <x:c r="Q3174" s="30"/>
      <x:c r="R3174" s="30" t="str">
        <x:v>Официальный фото-ключ базового уровня.</x:v>
      </x:c>
      <x:c r="S3174" s="30"/>
      <x:c r="T3174" s="30"/>
      <x:c r="U3174" s="30" t="str">
        <x:v>Расхождений не обнаружено.</x:v>
      </x:c>
      <x:c r="V3174" s="87" t="str">
        <x:v>VERIFIED</x:v>
      </x:c>
      <x:c r="W3174" s="87" t="n">
        <x:v>19</x:v>
      </x:c>
      <x:c r="X3174" s="87"/>
      <x:c r="Y3174" s="87"/>
      <x:c r="Z3174" s="87"/>
      <x:c r="AA3174" s="87"/>
      <x:c r="AB3174" s="87"/>
      <x:c r="AC3174" s="87" t="str">
        <x:v>VIS-MATH-OCT-009</x:v>
      </x:c>
      <x:c r="AD3174" s="87"/>
      <x:c r="AE3174" s="87" t="str">
        <x:v>Полная страница с визуальным контекстом</x:v>
      </x:c>
      <x:c r="AF3174" s="87" t="str">
        <x:v>VIS-MATH-OCT-009: 19</x:v>
      </x:c>
      <x:c r="AG3174" s="87" t="str">
        <x:v>RESOLVED / SOURCE_REGENERATED</x:v>
      </x:c>
      <x:c r="AH3174" s="87" t="str">
        <x:v>SOURCE_PAGE_REGENERATED_FULL_PAGE_NO_CROP; TASK_CROP_QA_APPROVED:USE_CONTEXT</x:v>
      </x:c>
      <x:c r="AI3174" s="30"/>
      <x:c r="AJ3174" s="87" t="str">
        <x:v>master</x:v>
      </x:c>
      <x:c r="AK3174" s="87" t="str">
        <x:v>master-v0.81</x:v>
      </x:c>
      <x:c r="AL3174" s="87" t="str">
        <x:v>statgrad_master_base_v0_81_final(2).xlsx</x:v>
      </x:c>
      <x:c r="AM3174" s="87" t="str">
        <x:v>MATH_Oct_Base_V3</x:v>
      </x:c>
      <x:c r="AN3174" s="87" t="n">
        <x:v>4</x:v>
      </x:c>
    </x:row>
    <x:row r="3175">
      <x:c r="A3175" s="87" t="n">
        <x:v>3174</x:v>
      </x:c>
      <x:c r="B3175" s="87" t="str">
        <x:v>OCT-MATH-0103-04</x:v>
      </x:c>
      <x:c r="C3175" s="87" t="str">
        <x:v>СтатГрад</x:v>
      </x:c>
      <x:c r="D3175" s="87" t="str">
        <x:v>Октябрь 2025</x:v>
      </x:c>
      <x:c r="E3175" s="87"/>
      <x:c r="F3175" s="87"/>
      <x:c r="G3175" s="87" t="str">
        <x:v>Математика</x:v>
      </x:c>
      <x:c r="H3175" s="87" t="n">
        <x:v>11</x:v>
      </x:c>
      <x:c r="I3175" s="87" t="str">
        <x:v>ТР №1</x:v>
      </x:c>
      <x:c r="J3175" s="87" t="str">
        <x:v>МА2510103</x:v>
      </x:c>
      <x:c r="K3175" s="87" t="n">
        <x:v>4</x:v>
      </x:c>
      <x:c r="L3175" s="87" t="str">
        <x:v>Вычисление по формуле</x:v>
      </x:c>
      <x:c r="M3175" s="30" t="str">
        <x:v>Площадь трапеции вычисляется по формуле
                                         =  S      ⋅ h , где a и b — длины
                                                2
    оснований трапеции, h — её высота. Пользуясь этой формулой, найдите
    площадь S , если a = 3 , b = 6 и h = 4 .
                                   согласия СтатГрад запрещена</x:v>
      </x:c>
      <x:c r="N3175" s="30" t="str">
        <x:v>18</x:v>
      </x:c>
      <x:c r="O3175" s="30" t="str">
        <x:v>Ответ принят по официальной таблице СтатГрад.</x:v>
      </x:c>
      <x:c r="P3175" s="30" t="str">
        <x:v>Код варианта, номер и условие постранично сопоставлены с первичным PDF; формат ответа проверен.</x:v>
      </x:c>
      <x:c r="Q3175" s="30"/>
      <x:c r="R3175" s="30" t="str">
        <x:v>Официальный фото-ключ базового уровня.</x:v>
      </x:c>
      <x:c r="S3175" s="30"/>
      <x:c r="T3175" s="30"/>
      <x:c r="U3175" s="30" t="str">
        <x:v>Расхождений не обнаружено.</x:v>
      </x:c>
      <x:c r="V3175" s="87" t="str">
        <x:v>VERIFIED</x:v>
      </x:c>
      <x:c r="W3175" s="87" t="n">
        <x:v>19</x:v>
      </x:c>
      <x:c r="X3175" s="87"/>
      <x:c r="Y3175" s="87"/>
      <x:c r="Z3175" s="87"/>
      <x:c r="AA3175" s="87"/>
      <x:c r="AB3175" s="87"/>
      <x:c r="AC3175" s="87" t="str">
        <x:v>VIS-MATH-OCT-009</x:v>
      </x:c>
      <x:c r="AD3175" s="87"/>
      <x:c r="AE3175" s="87" t="str">
        <x:v>Полная страница с визуальным контекстом</x:v>
      </x:c>
      <x:c r="AF3175" s="87" t="str">
        <x:v>VIS-MATH-OCT-009: 19</x:v>
      </x:c>
      <x:c r="AG3175" s="87" t="str">
        <x:v>RESOLVED / SOURCE_REGENERATED</x:v>
      </x:c>
      <x:c r="AH3175" s="87" t="str">
        <x:v>SOURCE_PAGE_REGENERATED_FULL_PAGE_NO_CROP</x:v>
      </x:c>
      <x:c r="AI3175" s="30"/>
      <x:c r="AJ3175" s="87" t="str">
        <x:v>master</x:v>
      </x:c>
      <x:c r="AK3175" s="87" t="str">
        <x:v>master-v0.81</x:v>
      </x:c>
      <x:c r="AL3175" s="87" t="str">
        <x:v>statgrad_master_base_v0_81_final(2).xlsx</x:v>
      </x:c>
      <x:c r="AM3175" s="87" t="str">
        <x:v>MATH_Oct_Base_V3</x:v>
      </x:c>
      <x:c r="AN3175" s="87" t="n">
        <x:v>5</x:v>
      </x:c>
    </x:row>
    <x:row r="3176">
      <x:c r="A3176" s="87" t="n">
        <x:v>3175</x:v>
      </x:c>
      <x:c r="B3176" s="87" t="str">
        <x:v>OCT-MATH-0103-05</x:v>
      </x:c>
      <x:c r="C3176" s="87" t="str">
        <x:v>СтатГрад</x:v>
      </x:c>
      <x:c r="D3176" s="87" t="str">
        <x:v>Октябрь 2025</x:v>
      </x:c>
      <x:c r="E3176" s="87"/>
      <x:c r="F3176" s="87"/>
      <x:c r="G3176" s="87" t="str">
        <x:v>Математика</x:v>
      </x:c>
      <x:c r="H3176" s="87" t="n">
        <x:v>11</x:v>
      </x:c>
      <x:c r="I3176" s="87" t="str">
        <x:v>ТР №1</x:v>
      </x:c>
      <x:c r="J3176" s="87" t="str">
        <x:v>МА2510103</x:v>
      </x:c>
      <x:c r="K3176" s="87" t="n">
        <x:v>5</x:v>
      </x:c>
      <x:c r="L3176" s="87" t="str">
        <x:v>Вероятность</x:v>
      </x:c>
      <x:c r="M3176" s="30" t="str">
        <x:v>На олимпиаде по русскому языку участников рассаживают по трём
    аудиториям. В первых двух аудиториях сажают по 130 человек, оставшихся
    проводят в запасную аудиторию в другом корпусе. При подсчёте выяснилось,
    что всего было 400 участников. Найдите вероятность того, что случайно
    выбранный участник писал олимпиаду в запасной аудитории.</x:v>
      </x:c>
      <x:c r="N3176" s="30" t="str">
        <x:v>0,35</x:v>
      </x:c>
      <x:c r="O3176" s="30" t="str">
        <x:v>Ответ принят по официальной таблице СтатГрад.</x:v>
      </x:c>
      <x:c r="P3176" s="30" t="str">
        <x:v>Код варианта, номер и условие постранично сопоставлены с первичным PDF; формат ответа проверен.</x:v>
      </x:c>
      <x:c r="Q3176" s="30"/>
      <x:c r="R3176" s="30" t="str">
        <x:v>Официальный фото-ключ базового уровня.</x:v>
      </x:c>
      <x:c r="S3176" s="30"/>
      <x:c r="T3176" s="30"/>
      <x:c r="U3176" s="30" t="str">
        <x:v>Расхождений не обнаружено.</x:v>
      </x:c>
      <x:c r="V3176" s="87" t="str">
        <x:v>VERIFIED</x:v>
      </x:c>
      <x:c r="W3176" s="87" t="n">
        <x:v>20</x:v>
      </x:c>
      <x:c r="X3176" s="87"/>
      <x:c r="Y3176" s="87"/>
      <x:c r="Z3176" s="87"/>
      <x:c r="AA3176" s="87"/>
      <x:c r="AB3176" s="87"/>
      <x:c r="AC3176" s="87"/>
      <x:c r="AD3176" s="87"/>
      <x:c r="AE3176" s="87"/>
      <x:c r="AF3176" s="87"/>
      <x:c r="AG3176" s="87"/>
      <x:c r="AH3176" s="87"/>
      <x:c r="AI3176" s="30"/>
      <x:c r="AJ3176" s="87" t="str">
        <x:v>master</x:v>
      </x:c>
      <x:c r="AK3176" s="87" t="str">
        <x:v>master-v0.81</x:v>
      </x:c>
      <x:c r="AL3176" s="87" t="str">
        <x:v>statgrad_master_base_v0_81_final(2).xlsx</x:v>
      </x:c>
      <x:c r="AM3176" s="87" t="str">
        <x:v>MATH_Oct_Base_V3</x:v>
      </x:c>
      <x:c r="AN3176" s="87" t="n">
        <x:v>6</x:v>
      </x:c>
    </x:row>
    <x:row r="3177">
      <x:c r="A3177" s="87" t="n">
        <x:v>3176</x:v>
      </x:c>
      <x:c r="B3177" s="87" t="str">
        <x:v>OCT-MATH-0103-06</x:v>
      </x:c>
      <x:c r="C3177" s="87" t="str">
        <x:v>СтатГрад</x:v>
      </x:c>
      <x:c r="D3177" s="87" t="str">
        <x:v>Октябрь 2025</x:v>
      </x:c>
      <x:c r="E3177" s="87"/>
      <x:c r="F3177" s="87"/>
      <x:c r="G3177" s="87" t="str">
        <x:v>Математика</x:v>
      </x:c>
      <x:c r="H3177" s="87" t="n">
        <x:v>11</x:v>
      </x:c>
      <x:c r="I3177" s="87" t="str">
        <x:v>ТР №1</x:v>
      </x:c>
      <x:c r="J3177" s="87" t="str">
        <x:v>МА2510103</x:v>
      </x:c>
      <x:c r="K3177" s="87" t="n">
        <x:v>6</x:v>
      </x:c>
      <x:c r="L3177" s="87" t="str">
        <x:v>Тариф / таблица</x:v>
      </x:c>
      <x:c r="M3177" s="30" t="str">
        <x:v>Интернет-провайдер предлагает три тарифных плана.
    Тарифный план             Абонентская плата                       Плата за трафик
    План «0»                          Нет                             0,5 руб. за 1 Мб
    План «100»            102 руб. за 100 Мб трафика                  0,3 руб. за 1 Мб
                                    в месяц                            сверх 100 Мб
    План «500»            475 руб. за 500 Мб трафика                  0,2 руб. за 1 Мб
                                    в месяц                            сверх 500 Мб
    Пользователь предполагает, что его трафик составит 450 Мб в месяц,
    и исходя из этого выбирает наиболее дешёвый тарифный план. Сколько
    рублей должен будет заплатить пользователь за месяц, если его трафик
    действительно будет равен 450 Мб?
                                   согласия СтатГрад запрещена</x:v>
      </x:c>
      <x:c r="N3177" s="30" t="str">
        <x:v>207</x:v>
      </x:c>
      <x:c r="O3177" s="30" t="str">
        <x:v>Ответ принят по официальной таблице СтатГрад.</x:v>
      </x:c>
      <x:c r="P3177" s="30" t="str">
        <x:v>Код варианта, номер и условие постранично сопоставлены с первичным PDF; формат ответа проверен.</x:v>
      </x:c>
      <x:c r="Q3177" s="30"/>
      <x:c r="R3177" s="30" t="str">
        <x:v>Официальный фото-ключ базового уровня.</x:v>
      </x:c>
      <x:c r="S3177" s="30"/>
      <x:c r="T3177" s="30"/>
      <x:c r="U3177" s="30" t="str">
        <x:v>Расхождений не обнаружено.</x:v>
      </x:c>
      <x:c r="V3177" s="87" t="str">
        <x:v>VERIFIED</x:v>
      </x:c>
      <x:c r="W3177" s="87" t="n">
        <x:v>20</x:v>
      </x:c>
      <x:c r="X3177" s="87"/>
      <x:c r="Y3177" s="87"/>
      <x:c r="Z3177" s="87"/>
      <x:c r="AA3177" s="87"/>
      <x:c r="AB3177" s="87"/>
      <x:c r="AC3177" s="87" t="str">
        <x:v>VIS-MATH-OCT-010</x:v>
      </x:c>
      <x:c r="AD3177" s="87"/>
      <x:c r="AE3177" s="87" t="str">
        <x:v>Полная страница с визуальным контекстом</x:v>
      </x:c>
      <x:c r="AF3177" s="87" t="str">
        <x:v>VIS-MATH-OCT-010: 20</x:v>
      </x:c>
      <x:c r="AG3177" s="87" t="str">
        <x:v>RESOLVED / SOURCE_REGENERATED</x:v>
      </x:c>
      <x:c r="AH3177" s="87" t="str">
        <x:v>SOURCE_PAGE_REGENERATED_FULL_PAGE_NO_CROP</x:v>
      </x:c>
      <x:c r="AI3177" s="30"/>
      <x:c r="AJ3177" s="87" t="str">
        <x:v>master</x:v>
      </x:c>
      <x:c r="AK3177" s="87" t="str">
        <x:v>master-v0.81</x:v>
      </x:c>
      <x:c r="AL3177" s="87" t="str">
        <x:v>statgrad_master_base_v0_81_final(2).xlsx</x:v>
      </x:c>
      <x:c r="AM3177" s="87" t="str">
        <x:v>MATH_Oct_Base_V3</x:v>
      </x:c>
      <x:c r="AN3177" s="87" t="n">
        <x:v>7</x:v>
      </x:c>
    </x:row>
    <x:row r="3178">
      <x:c r="A3178" s="87" t="n">
        <x:v>3177</x:v>
      </x:c>
      <x:c r="B3178" s="87" t="str">
        <x:v>OCT-MATH-0103-07</x:v>
      </x:c>
      <x:c r="C3178" s="87" t="str">
        <x:v>СтатГрад</x:v>
      </x:c>
      <x:c r="D3178" s="87" t="str">
        <x:v>Октябрь 2025</x:v>
      </x:c>
      <x:c r="E3178" s="87"/>
      <x:c r="F3178" s="87"/>
      <x:c r="G3178" s="87" t="str">
        <x:v>Математика</x:v>
      </x:c>
      <x:c r="H3178" s="87" t="n">
        <x:v>11</x:v>
      </x:c>
      <x:c r="I3178" s="87" t="str">
        <x:v>ТР №1</x:v>
      </x:c>
      <x:c r="J3178" s="87" t="str">
        <x:v>МА2510103</x:v>
      </x:c>
      <x:c r="K3178" s="87" t="n">
        <x:v>7</x:v>
      </x:c>
      <x:c r="L3178" s="87" t="str">
        <x:v>График</x:v>
      </x:c>
      <x:c r="M3178" s="30" t="str">
        <x:v>На рисунке точками показан прирост населения Китая в период с 2004
    по 2013 год. По горизонтали указывается год, по вертикали — прирост
    населения в процентах (увеличение численности населения относительно
    прошлого года). Для наглядности точки соединены ломаной линией.
              0,61
              0,59
              0,57
              0,55
              0,53
              0,51
              0,49
              0,47
                 2004 2005 2006 2007 2008 2009 2010 2011 2012 2013
    Пользуясь рисунком, поставьте в соответствие каждому из указанных
    периодов времени характеристику прироста населения Китая в этот период.
       ПЕРИОДЫ ВРЕМЕНИ                              ХАРАКТЕРИСТИКИ
    А) 2004–2006 гг.                      1) Прирост населения оставался
    Б) 2006–2007 гг.                         выше 0,55 %.
    В) 2008–2011 гг.                      2) Прирост населения достиг минимума.
    Г) 2012–2013 гг.                      3) Прирост населения увеличился.
                                          4) Наибольшее падение прироста
                                             населения за один год.
    В таблице под каждой буквой укажите соответствующий номер.
               А Б В Г
    Ответ:
                                   согласия СтатГрад запрещена</x:v>
      </x:c>
      <x:c r="N3178" s="30" t="str">
        <x:v>1423</x:v>
      </x:c>
      <x:c r="O3178" s="30" t="str">
        <x:v>Ответ принят по официальной таблице СтатГрад.</x:v>
      </x:c>
      <x:c r="P3178" s="30" t="str">
        <x:v>Код варианта, номер и условие постранично сопоставлены с первичным PDF; формат ответа проверен.</x:v>
      </x:c>
      <x:c r="Q3178" s="30"/>
      <x:c r="R3178" s="30" t="str">
        <x:v>Официальный фото-ключ базового уровня.</x:v>
      </x:c>
      <x:c r="S3178" s="30"/>
      <x:c r="T3178" s="30"/>
      <x:c r="U3178" s="30" t="str">
        <x:v>Расхождений не обнаружено.</x:v>
      </x:c>
      <x:c r="V3178" s="87" t="str">
        <x:v>VERIFIED</x:v>
      </x:c>
      <x:c r="W3178" s="87" t="n">
        <x:v>21</x:v>
      </x:c>
      <x:c r="X3178" s="87"/>
      <x:c r="Y3178" s="87"/>
      <x:c r="Z3178" s="87"/>
      <x:c r="AA3178" s="87"/>
      <x:c r="AB3178" s="87"/>
      <x:c r="AC3178" s="87" t="str">
        <x:v>VIS-MATH-OCT-011</x:v>
      </x:c>
      <x:c r="AD3178" s="87"/>
      <x:c r="AE3178" s="87" t="str">
        <x:v>Полная страница с визуальным контекстом</x:v>
      </x:c>
      <x:c r="AF3178" s="87" t="str">
        <x:v>VIS-MATH-OCT-011: 21</x:v>
      </x:c>
      <x:c r="AG3178" s="87" t="str">
        <x:v>RESOLVED / SOURCE_REGENERATED</x:v>
      </x:c>
      <x:c r="AH3178" s="87" t="str">
        <x:v>SOURCE_PAGE_REGENERATED_FULL_PAGE_NO_CROP; TASK_CROP_QA_APPROVED:USE_CONTEXT</x:v>
      </x:c>
      <x:c r="AI3178" s="30"/>
      <x:c r="AJ3178" s="87" t="str">
        <x:v>master</x:v>
      </x:c>
      <x:c r="AK3178" s="87" t="str">
        <x:v>master-v0.81</x:v>
      </x:c>
      <x:c r="AL3178" s="87" t="str">
        <x:v>statgrad_master_base_v0_81_final(2).xlsx</x:v>
      </x:c>
      <x:c r="AM3178" s="87" t="str">
        <x:v>MATH_Oct_Base_V3</x:v>
      </x:c>
      <x:c r="AN3178" s="87" t="n">
        <x:v>8</x:v>
      </x:c>
    </x:row>
    <x:row r="3179">
      <x:c r="A3179" s="87" t="n">
        <x:v>3178</x:v>
      </x:c>
      <x:c r="B3179" s="87" t="str">
        <x:v>OCT-MATH-0103-08</x:v>
      </x:c>
      <x:c r="C3179" s="87" t="str">
        <x:v>СтатГрад</x:v>
      </x:c>
      <x:c r="D3179" s="87" t="str">
        <x:v>Октябрь 2025</x:v>
      </x:c>
      <x:c r="E3179" s="87"/>
      <x:c r="F3179" s="87"/>
      <x:c r="G3179" s="87" t="str">
        <x:v>Математика</x:v>
      </x:c>
      <x:c r="H3179" s="87" t="n">
        <x:v>11</x:v>
      </x:c>
      <x:c r="I3179" s="87" t="str">
        <x:v>ТР №1</x:v>
      </x:c>
      <x:c r="J3179" s="87" t="str">
        <x:v>МА2510103</x:v>
      </x:c>
      <x:c r="K3179" s="87" t="n">
        <x:v>8</x:v>
      </x:c>
      <x:c r="L3179" s="87" t="str">
        <x:v>Практическая задача</x:v>
      </x:c>
      <x:c r="M3179" s="30" t="str">
        <x:v>В некоторый момент температура воздуха в Москве была равна 3 °С. В этот
     же момент в Архангельске было на 4 °С холоднее, чем в Москве,
     а в Махачкале на 3 °С теплее, чем в Москве. Выберите утверждения, которые
     были верны в этот момент при указанных условиях.
     1) В Москве было теплее, чем в Махачкале.
     2) В любом городе, помимо указанных, в котором было теплее, чем
        в Архангельске, также было теплее, чем в Москве.
     3) В любом городе, помимо указанных, в котором было теплее, чем
        в Махачкале, также было теплее, чем в Москве.
     4) В Махачкале было теплее, чем в Архангельске.
     В ответе запишите номера выбранных утверждений без пробелов, запятых и
     других дополнительных символов.</x:v>
      </x:c>
      <x:c r="N3179" s="30" t="str">
        <x:v>34</x:v>
      </x:c>
      <x:c r="O3179" s="30" t="str">
        <x:v>Ответ принят по официальной таблице СтатГрад.</x:v>
      </x:c>
      <x:c r="P3179" s="30" t="str">
        <x:v>Код варианта, номер и условие постранично сопоставлены с первичным PDF; формат ответа проверен.</x:v>
      </x:c>
      <x:c r="Q3179" s="30"/>
      <x:c r="R3179" s="30" t="str">
        <x:v>Официальный фото-ключ базового уровня.</x:v>
      </x:c>
      <x:c r="S3179" s="30"/>
      <x:c r="T3179" s="30"/>
      <x:c r="U3179" s="30" t="str">
        <x:v>Расхождений не обнаружено.</x:v>
      </x:c>
      <x:c r="V3179" s="87" t="str">
        <x:v>VERIFIED</x:v>
      </x:c>
      <x:c r="W3179" s="87" t="n">
        <x:v>22</x:v>
      </x:c>
      <x:c r="X3179" s="87"/>
      <x:c r="Y3179" s="87"/>
      <x:c r="Z3179" s="87"/>
      <x:c r="AA3179" s="87"/>
      <x:c r="AB3179" s="87"/>
      <x:c r="AC3179" s="87"/>
      <x:c r="AD3179" s="87"/>
      <x:c r="AE3179" s="87"/>
      <x:c r="AF3179" s="87"/>
      <x:c r="AG3179" s="87"/>
      <x:c r="AH3179" s="87"/>
      <x:c r="AI3179" s="30"/>
      <x:c r="AJ3179" s="87" t="str">
        <x:v>master</x:v>
      </x:c>
      <x:c r="AK3179" s="87" t="str">
        <x:v>master-v0.81</x:v>
      </x:c>
      <x:c r="AL3179" s="87" t="str">
        <x:v>statgrad_master_base_v0_81_final(2).xlsx</x:v>
      </x:c>
      <x:c r="AM3179" s="87" t="str">
        <x:v>MATH_Oct_Base_V3</x:v>
      </x:c>
      <x:c r="AN3179" s="87" t="n">
        <x:v>9</x:v>
      </x:c>
    </x:row>
    <x:row r="3180">
      <x:c r="A3180" s="87" t="n">
        <x:v>3179</x:v>
      </x:c>
      <x:c r="B3180" s="87" t="str">
        <x:v>OCT-MATH-0103-09</x:v>
      </x:c>
      <x:c r="C3180" s="87" t="str">
        <x:v>СтатГрад</x:v>
      </x:c>
      <x:c r="D3180" s="87" t="str">
        <x:v>Октябрь 2025</x:v>
      </x:c>
      <x:c r="E3180" s="87"/>
      <x:c r="F3180" s="87"/>
      <x:c r="G3180" s="87" t="str">
        <x:v>Математика</x:v>
      </x:c>
      <x:c r="H3180" s="87" t="n">
        <x:v>11</x:v>
      </x:c>
      <x:c r="I3180" s="87" t="str">
        <x:v>ТР №1</x:v>
      </x:c>
      <x:c r="J3180" s="87" t="str">
        <x:v>МА2510103</x:v>
      </x:c>
      <x:c r="K3180" s="87" t="n">
        <x:v>9</x:v>
      </x:c>
      <x:c r="L3180" s="87" t="str">
        <x:v>План / площадь</x:v>
      </x:c>
      <x:c r="M3180" s="30" t="str">
        <x:v>План местности разбит на клетки. Каждая клетка
     обозначает квадрат 1 м × 1 м . Найдите площадь
     участка, выделенного на плане. Ответ дайте
     в квадратных метрах.</x:v>
      </x:c>
      <x:c r="N3180" s="30" t="str">
        <x:v>4,5</x:v>
      </x:c>
      <x:c r="O3180" s="30" t="str">
        <x:v>Ответ принят по официальной таблице СтатГрад.</x:v>
      </x:c>
      <x:c r="P3180" s="30" t="str">
        <x:v>Код варианта, номер и условие постранично сопоставлены с первичным PDF; формат ответа проверен.</x:v>
      </x:c>
      <x:c r="Q3180" s="30"/>
      <x:c r="R3180" s="30" t="str">
        <x:v>Официальный фото-ключ базового уровня.</x:v>
      </x:c>
      <x:c r="S3180" s="30"/>
      <x:c r="T3180" s="30"/>
      <x:c r="U3180" s="30" t="str">
        <x:v>Расхождений не обнаружено.</x:v>
      </x:c>
      <x:c r="V3180" s="87" t="str">
        <x:v>VERIFIED</x:v>
      </x:c>
      <x:c r="W3180" s="87" t="n">
        <x:v>22</x:v>
      </x:c>
      <x:c r="X3180" s="87"/>
      <x:c r="Y3180" s="87"/>
      <x:c r="Z3180" s="87"/>
      <x:c r="AA3180" s="87"/>
      <x:c r="AB3180" s="87"/>
      <x:c r="AC3180" s="87" t="str">
        <x:v>VIS-MATH-OCT-012</x:v>
      </x:c>
      <x:c r="AD3180" s="87"/>
      <x:c r="AE3180" s="87" t="str">
        <x:v>Полная страница с визуальным контекстом</x:v>
      </x:c>
      <x:c r="AF3180" s="87" t="str">
        <x:v>VIS-MATH-OCT-012: 22</x:v>
      </x:c>
      <x:c r="AG3180" s="87" t="str">
        <x:v>RESOLVED / SOURCE_REGENERATED</x:v>
      </x:c>
      <x:c r="AH3180" s="87" t="str">
        <x:v>SOURCE_PAGE_REGENERATED_FULL_PAGE_NO_CROP; TASK_CROP_QA_APPROVED:USE_CONTEXT</x:v>
      </x:c>
      <x:c r="AI3180" s="30"/>
      <x:c r="AJ3180" s="87" t="str">
        <x:v>master</x:v>
      </x:c>
      <x:c r="AK3180" s="87" t="str">
        <x:v>master-v0.81</x:v>
      </x:c>
      <x:c r="AL3180" s="87" t="str">
        <x:v>statgrad_master_base_v0_81_final(2).xlsx</x:v>
      </x:c>
      <x:c r="AM3180" s="87" t="str">
        <x:v>MATH_Oct_Base_V3</x:v>
      </x:c>
      <x:c r="AN3180" s="87" t="n">
        <x:v>10</x:v>
      </x:c>
    </x:row>
    <x:row r="3181">
      <x:c r="A3181" s="87" t="n">
        <x:v>3180</x:v>
      </x:c>
      <x:c r="B3181" s="87" t="str">
        <x:v>OCT-MATH-0103-10</x:v>
      </x:c>
      <x:c r="C3181" s="87" t="str">
        <x:v>СтатГрад</x:v>
      </x:c>
      <x:c r="D3181" s="87" t="str">
        <x:v>Октябрь 2025</x:v>
      </x:c>
      <x:c r="E3181" s="87"/>
      <x:c r="F3181" s="87"/>
      <x:c r="G3181" s="87" t="str">
        <x:v>Математика</x:v>
      </x:c>
      <x:c r="H3181" s="87" t="n">
        <x:v>11</x:v>
      </x:c>
      <x:c r="I3181" s="87" t="str">
        <x:v>ТР №1</x:v>
      </x:c>
      <x:c r="J3181" s="87" t="str">
        <x:v>МА2510103</x:v>
      </x:c>
      <x:c r="K3181" s="87" t="n">
        <x:v>10</x:v>
      </x:c>
      <x:c r="L3181" s="87" t="str">
        <x:v>Геометрия по рисунку</x:v>
      </x:c>
      <x:c r="M3181" s="30" t="str">
        <x:v>Дачный участок имеет форму прямоугольника
     со сторонами 35 метров и 20 метров. Хозяин                           10 м
     планирует обнести его изгородью и отгородить                                         20 м
     такой же изгородью квадратный участок
     со стороной 10 метров (см. рисунок). Найдите                           35 м
     суммарную длину изгороди в метрах.</x:v>
      </x:c>
      <x:c r="N3181" s="30" t="str">
        <x:v>130</x:v>
      </x:c>
      <x:c r="O3181" s="30" t="str">
        <x:v>Ответ принят по официальной таблице СтатГрад.</x:v>
      </x:c>
      <x:c r="P3181" s="30" t="str">
        <x:v>Код варианта, номер и условие постранично сопоставлены с первичным PDF; формат ответа проверен.</x:v>
      </x:c>
      <x:c r="Q3181" s="30"/>
      <x:c r="R3181" s="30" t="str">
        <x:v>Официальный фото-ключ базового уровня.</x:v>
      </x:c>
      <x:c r="S3181" s="30"/>
      <x:c r="T3181" s="30"/>
      <x:c r="U3181" s="30" t="str">
        <x:v>Расхождений не обнаружено.</x:v>
      </x:c>
      <x:c r="V3181" s="87" t="str">
        <x:v>VERIFIED</x:v>
      </x:c>
      <x:c r="W3181" s="87" t="n">
        <x:v>22</x:v>
      </x:c>
      <x:c r="X3181" s="87"/>
      <x:c r="Y3181" s="87"/>
      <x:c r="Z3181" s="87"/>
      <x:c r="AA3181" s="87"/>
      <x:c r="AB3181" s="87"/>
      <x:c r="AC3181" s="87" t="str">
        <x:v>VIS-MATH-OCT-012</x:v>
      </x:c>
      <x:c r="AD3181" s="87"/>
      <x:c r="AE3181" s="87" t="str">
        <x:v>Полная страница с визуальным контекстом</x:v>
      </x:c>
      <x:c r="AF3181" s="87" t="str">
        <x:v>VIS-MATH-OCT-012: 22</x:v>
      </x:c>
      <x:c r="AG3181" s="87" t="str">
        <x:v>RESOLVED / SOURCE_REGENERATED</x:v>
      </x:c>
      <x:c r="AH3181" s="87" t="str">
        <x:v>SOURCE_PAGE_REGENERATED_FULL_PAGE_NO_CROP; TASK_CROP_QA_APPROVED:USE_CONTEXT</x:v>
      </x:c>
      <x:c r="AI3181" s="30"/>
      <x:c r="AJ3181" s="87" t="str">
        <x:v>master</x:v>
      </x:c>
      <x:c r="AK3181" s="87" t="str">
        <x:v>master-v0.81</x:v>
      </x:c>
      <x:c r="AL3181" s="87" t="str">
        <x:v>statgrad_master_base_v0_81_final(2).xlsx</x:v>
      </x:c>
      <x:c r="AM3181" s="87" t="str">
        <x:v>MATH_Oct_Base_V3</x:v>
      </x:c>
      <x:c r="AN3181" s="87" t="n">
        <x:v>11</x:v>
      </x:c>
    </x:row>
    <x:row r="3182">
      <x:c r="A3182" s="87" t="n">
        <x:v>3181</x:v>
      </x:c>
      <x:c r="B3182" s="87" t="str">
        <x:v>OCT-MATH-0103-11</x:v>
      </x:c>
      <x:c r="C3182" s="87" t="str">
        <x:v>СтатГрад</x:v>
      </x:c>
      <x:c r="D3182" s="87" t="str">
        <x:v>Октябрь 2025</x:v>
      </x:c>
      <x:c r="E3182" s="87"/>
      <x:c r="F3182" s="87"/>
      <x:c r="G3182" s="87" t="str">
        <x:v>Математика</x:v>
      </x:c>
      <x:c r="H3182" s="87" t="n">
        <x:v>11</x:v>
      </x:c>
      <x:c r="I3182" s="87" t="str">
        <x:v>ТР №1</x:v>
      </x:c>
      <x:c r="J3182" s="87" t="str">
        <x:v>МА2510103</x:v>
      </x:c>
      <x:c r="K3182" s="87" t="n">
        <x:v>11</x:v>
      </x:c>
      <x:c r="L3182" s="87" t="str">
        <x:v>Стереометрия по рисунку</x:v>
      </x:c>
      <x:c r="M3182" s="30" t="str">
        <x:v>От деревянной правильной пятиугольной призмы
     отпилили все её вершины (см. рисунок). Сколько граней
     у получившегося многогранника (невидимые рёбра
     на рисунке не изображены)?
                                    согласия СтатГрад запрещена</x:v>
      </x:c>
      <x:c r="N3182" s="30" t="str">
        <x:v>17</x:v>
      </x:c>
      <x:c r="O3182" s="30" t="str">
        <x:v>Ответ принят по официальной таблице СтатГрад.</x:v>
      </x:c>
      <x:c r="P3182" s="30" t="str">
        <x:v>Код варианта, номер и условие постранично сопоставлены с первичным PDF; формат ответа проверен.</x:v>
      </x:c>
      <x:c r="Q3182" s="30"/>
      <x:c r="R3182" s="30" t="str">
        <x:v>Официальный фото-ключ базового уровня.</x:v>
      </x:c>
      <x:c r="S3182" s="30"/>
      <x:c r="T3182" s="30"/>
      <x:c r="U3182" s="30" t="str">
        <x:v>Расхождений не обнаружено.</x:v>
      </x:c>
      <x:c r="V3182" s="87" t="str">
        <x:v>VERIFIED</x:v>
      </x:c>
      <x:c r="W3182" s="87" t="n">
        <x:v>22</x:v>
      </x:c>
      <x:c r="X3182" s="87"/>
      <x:c r="Y3182" s="87"/>
      <x:c r="Z3182" s="87"/>
      <x:c r="AA3182" s="87"/>
      <x:c r="AB3182" s="87"/>
      <x:c r="AC3182" s="87" t="str">
        <x:v>VIS-MATH-OCT-012</x:v>
      </x:c>
      <x:c r="AD3182" s="87"/>
      <x:c r="AE3182" s="87" t="str">
        <x:v>Полная страница с визуальным контекстом</x:v>
      </x:c>
      <x:c r="AF3182" s="87" t="str">
        <x:v>VIS-MATH-OCT-012: 22</x:v>
      </x:c>
      <x:c r="AG3182" s="87" t="str">
        <x:v>RESOLVED / SOURCE_REGENERATED</x:v>
      </x:c>
      <x:c r="AH3182" s="87" t="str">
        <x:v>SOURCE_PAGE_REGENERATED_FULL_PAGE_NO_CROP; TASK_CROP_QA_APPROVED:USE_CONTEXT</x:v>
      </x:c>
      <x:c r="AI3182" s="30"/>
      <x:c r="AJ3182" s="87" t="str">
        <x:v>master</x:v>
      </x:c>
      <x:c r="AK3182" s="87" t="str">
        <x:v>master-v0.81</x:v>
      </x:c>
      <x:c r="AL3182" s="87" t="str">
        <x:v>statgrad_master_base_v0_81_final(2).xlsx</x:v>
      </x:c>
      <x:c r="AM3182" s="87" t="str">
        <x:v>MATH_Oct_Base_V3</x:v>
      </x:c>
      <x:c r="AN3182" s="87" t="n">
        <x:v>12</x:v>
      </x:c>
    </x:row>
    <x:row r="3183">
      <x:c r="A3183" s="87" t="n">
        <x:v>3182</x:v>
      </x:c>
      <x:c r="B3183" s="87" t="str">
        <x:v>OCT-MATH-0103-12</x:v>
      </x:c>
      <x:c r="C3183" s="87" t="str">
        <x:v>СтатГрад</x:v>
      </x:c>
      <x:c r="D3183" s="87" t="str">
        <x:v>Октябрь 2025</x:v>
      </x:c>
      <x:c r="E3183" s="87"/>
      <x:c r="F3183" s="87"/>
      <x:c r="G3183" s="87" t="str">
        <x:v>Математика</x:v>
      </x:c>
      <x:c r="H3183" s="87" t="n">
        <x:v>11</x:v>
      </x:c>
      <x:c r="I3183" s="87" t="str">
        <x:v>ТР №1</x:v>
      </x:c>
      <x:c r="J3183" s="87" t="str">
        <x:v>МА2510103</x:v>
      </x:c>
      <x:c r="K3183" s="87" t="n">
        <x:v>12</x:v>
      </x:c>
      <x:c r="L3183" s="87" t="str">
        <x:v>Уравнение / вычисление</x:v>
      </x:c>
      <x:c r="M3183" s="30" t="str">
        <x:v>На прямой AB отмечена точка M . Луч MD —                                          C
     биссектриса угла CMB . Известно, что ∠DMC =18° .
     Найдите угол CMA . Ответ дайте в градусах.                                              D
                                                                         A        M          B</x:v>
      </x:c>
      <x:c r="N3183" s="30" t="str">
        <x:v>144</x:v>
      </x:c>
      <x:c r="O3183" s="30" t="str">
        <x:v>Ответ принят по официальной таблице СтатГрад.</x:v>
      </x:c>
      <x:c r="P3183" s="30" t="str">
        <x:v>Код варианта, номер и условие постранично сопоставлены с первичным PDF; формат ответа проверен.</x:v>
      </x:c>
      <x:c r="Q3183" s="30"/>
      <x:c r="R3183" s="30" t="str">
        <x:v>Официальный фото-ключ базового уровня.</x:v>
      </x:c>
      <x:c r="S3183" s="30"/>
      <x:c r="T3183" s="30"/>
      <x:c r="U3183" s="30" t="str">
        <x:v>Расхождений не обнаружено.</x:v>
      </x:c>
      <x:c r="V3183" s="87" t="str">
        <x:v>VERIFIED</x:v>
      </x:c>
      <x:c r="W3183" s="87" t="n">
        <x:v>23</x:v>
      </x:c>
      <x:c r="X3183" s="87"/>
      <x:c r="Y3183" s="87"/>
      <x:c r="Z3183" s="87"/>
      <x:c r="AA3183" s="87"/>
      <x:c r="AB3183" s="87"/>
      <x:c r="AC3183" s="87"/>
      <x:c r="AD3183" s="87"/>
      <x:c r="AE3183" s="87"/>
      <x:c r="AF3183" s="87"/>
      <x:c r="AG3183" s="87"/>
      <x:c r="AH3183" s="87"/>
      <x:c r="AI3183" s="30"/>
      <x:c r="AJ3183" s="87" t="str">
        <x:v>master</x:v>
      </x:c>
      <x:c r="AK3183" s="87" t="str">
        <x:v>master-v0.81</x:v>
      </x:c>
      <x:c r="AL3183" s="87" t="str">
        <x:v>statgrad_master_base_v0_81_final(2).xlsx</x:v>
      </x:c>
      <x:c r="AM3183" s="87" t="str">
        <x:v>MATH_Oct_Base_V3</x:v>
      </x:c>
      <x:c r="AN3183" s="87" t="n">
        <x:v>13</x:v>
      </x:c>
    </x:row>
    <x:row r="3184">
      <x:c r="A3184" s="87" t="n">
        <x:v>3183</x:v>
      </x:c>
      <x:c r="B3184" s="87" t="str">
        <x:v>OCT-MATH-0103-13</x:v>
      </x:c>
      <x:c r="C3184" s="87" t="str">
        <x:v>СтатГрад</x:v>
      </x:c>
      <x:c r="D3184" s="87" t="str">
        <x:v>Октябрь 2025</x:v>
      </x:c>
      <x:c r="E3184" s="87"/>
      <x:c r="F3184" s="87"/>
      <x:c r="G3184" s="87" t="str">
        <x:v>Математика</x:v>
      </x:c>
      <x:c r="H3184" s="87" t="n">
        <x:v>11</x:v>
      </x:c>
      <x:c r="I3184" s="87" t="str">
        <x:v>ТР №1</x:v>
      </x:c>
      <x:c r="J3184" s="87" t="str">
        <x:v>МА2510103</x:v>
      </x:c>
      <x:c r="K3184" s="87" t="n">
        <x:v>13</x:v>
      </x:c>
      <x:c r="L3184" s="87" t="str">
        <x:v>Стереометрия</x:v>
      </x:c>
      <x:c r="M3184" s="30" t="str">
        <x:v>В прямоугольном параллелепипеде ABCDA1B1C1D1                            D1              C1
     рёбра AB , AD и диагональ AB1 боковой грани                    A1                 B1
     равны соответственно 5, 4 и 34 . Найдите объём
     параллелепипеда ABCDA1B1C1D1 .                                          D               C
                                                                     A                 B
                                        10 5 5</x:v>
      </x:c>
      <x:c r="N3184" s="30" t="str">
        <x:v>60</x:v>
      </x:c>
      <x:c r="O3184" s="30" t="str">
        <x:v>Ответ принят по официальной таблице СтатГрад.</x:v>
      </x:c>
      <x:c r="P3184" s="30" t="str">
        <x:v>Код варианта, номер и условие постранично сопоставлены с первичным PDF; формат ответа проверен.</x:v>
      </x:c>
      <x:c r="Q3184" s="30"/>
      <x:c r="R3184" s="30" t="str">
        <x:v>Официальный фото-ключ базового уровня.</x:v>
      </x:c>
      <x:c r="S3184" s="30"/>
      <x:c r="T3184" s="30"/>
      <x:c r="U3184" s="30" t="str">
        <x:v>Расхождений не обнаружено.</x:v>
      </x:c>
      <x:c r="V3184" s="87" t="str">
        <x:v>VERIFIED</x:v>
      </x:c>
      <x:c r="W3184" s="87" t="n">
        <x:v>23</x:v>
      </x:c>
      <x:c r="X3184" s="87"/>
      <x:c r="Y3184" s="87"/>
      <x:c r="Z3184" s="87"/>
      <x:c r="AA3184" s="87"/>
      <x:c r="AB3184" s="87"/>
      <x:c r="AC3184" s="87"/>
      <x:c r="AD3184" s="87"/>
      <x:c r="AE3184" s="87"/>
      <x:c r="AF3184" s="87"/>
      <x:c r="AG3184" s="87"/>
      <x:c r="AH3184" s="87"/>
      <x:c r="AI3184" s="30"/>
      <x:c r="AJ3184" s="87" t="str">
        <x:v>master</x:v>
      </x:c>
      <x:c r="AK3184" s="87" t="str">
        <x:v>master-v0.81</x:v>
      </x:c>
      <x:c r="AL3184" s="87" t="str">
        <x:v>statgrad_master_base_v0_81_final(2).xlsx</x:v>
      </x:c>
      <x:c r="AM3184" s="87" t="str">
        <x:v>MATH_Oct_Base_V3</x:v>
      </x:c>
      <x:c r="AN3184" s="87" t="n">
        <x:v>14</x:v>
      </x:c>
    </x:row>
    <x:row r="3185">
      <x:c r="A3185" s="87" t="n">
        <x:v>3184</x:v>
      </x:c>
      <x:c r="B3185" s="87" t="str">
        <x:v>OCT-MATH-0103-14</x:v>
      </x:c>
      <x:c r="C3185" s="87" t="str">
        <x:v>СтатГрад</x:v>
      </x:c>
      <x:c r="D3185" s="87" t="str">
        <x:v>Октябрь 2025</x:v>
      </x:c>
      <x:c r="E3185" s="87"/>
      <x:c r="F3185" s="87"/>
      <x:c r="G3185" s="87" t="str">
        <x:v>Математика</x:v>
      </x:c>
      <x:c r="H3185" s="87" t="n">
        <x:v>11</x:v>
      </x:c>
      <x:c r="I3185" s="87" t="str">
        <x:v>ТР №1</x:v>
      </x:c>
      <x:c r="J3185" s="87" t="str">
        <x:v>МА2510103</x:v>
      </x:c>
      <x:c r="K3185" s="87" t="n">
        <x:v>14</x:v>
      </x:c>
      <x:c r="L3185" s="87" t="str">
        <x:v>Планиметрия</x:v>
      </x:c>
      <x:c r="M3185" s="30" t="str">
        <x:v>Найдите значение выражения           ⋅ − .
                                         3 6 18</x:v>
      </x:c>
      <x:c r="N3185" s="30" t="str">
        <x:v>2,5</x:v>
      </x:c>
      <x:c r="O3185" s="30" t="str">
        <x:v>Ответ принят по официальной таблице СтатГрад.</x:v>
      </x:c>
      <x:c r="P3185" s="30" t="str">
        <x:v>Код варианта, номер и условие постранично сопоставлены с первичным PDF; формат ответа проверен.</x:v>
      </x:c>
      <x:c r="Q3185" s="30"/>
      <x:c r="R3185" s="30" t="str">
        <x:v>Официальный фото-ключ базового уровня.</x:v>
      </x:c>
      <x:c r="S3185" s="30"/>
      <x:c r="T3185" s="30"/>
      <x:c r="U3185" s="30" t="str">
        <x:v>Расхождений не обнаружено.</x:v>
      </x:c>
      <x:c r="V3185" s="87" t="str">
        <x:v>VERIFIED</x:v>
      </x:c>
      <x:c r="W3185" s="87" t="n">
        <x:v>23</x:v>
      </x:c>
      <x:c r="X3185" s="87"/>
      <x:c r="Y3185" s="87"/>
      <x:c r="Z3185" s="87"/>
      <x:c r="AA3185" s="87"/>
      <x:c r="AB3185" s="87"/>
      <x:c r="AC3185" s="87"/>
      <x:c r="AD3185" s="87"/>
      <x:c r="AE3185" s="87"/>
      <x:c r="AF3185" s="87"/>
      <x:c r="AG3185" s="87"/>
      <x:c r="AH3185" s="87"/>
      <x:c r="AI3185" s="30"/>
      <x:c r="AJ3185" s="87" t="str">
        <x:v>master</x:v>
      </x:c>
      <x:c r="AK3185" s="87" t="str">
        <x:v>master-v0.81</x:v>
      </x:c>
      <x:c r="AL3185" s="87" t="str">
        <x:v>statgrad_master_base_v0_81_final(2).xlsx</x:v>
      </x:c>
      <x:c r="AM3185" s="87" t="str">
        <x:v>MATH_Oct_Base_V3</x:v>
      </x:c>
      <x:c r="AN3185" s="87" t="n">
        <x:v>15</x:v>
      </x:c>
    </x:row>
    <x:row r="3186">
      <x:c r="A3186" s="87" t="n">
        <x:v>3185</x:v>
      </x:c>
      <x:c r="B3186" s="87" t="str">
        <x:v>OCT-MATH-0103-15</x:v>
      </x:c>
      <x:c r="C3186" s="87" t="str">
        <x:v>СтатГрад</x:v>
      </x:c>
      <x:c r="D3186" s="87" t="str">
        <x:v>Октябрь 2025</x:v>
      </x:c>
      <x:c r="E3186" s="87"/>
      <x:c r="F3186" s="87"/>
      <x:c r="G3186" s="87" t="str">
        <x:v>Математика</x:v>
      </x:c>
      <x:c r="H3186" s="87" t="n">
        <x:v>11</x:v>
      </x:c>
      <x:c r="I3186" s="87" t="str">
        <x:v>ТР №1</x:v>
      </x:c>
      <x:c r="J3186" s="87" t="str">
        <x:v>МА2510103</x:v>
      </x:c>
      <x:c r="K3186" s="87" t="n">
        <x:v>15</x:v>
      </x:c>
      <x:c r="L3186" s="87" t="str">
        <x:v>Алгебра</x:v>
      </x:c>
      <x:c r="M3186" s="30" t="str">
        <x:v>Магазин делает пенсионерам скидку. Десяток яиц стоит в магазине
     108 рублей, а пенсионер заплатил за них 102 рубля 60 копеек. Сколько
     процентов составила скидка для пенсионера?</x:v>
      </x:c>
      <x:c r="N3186" s="30" t="str">
        <x:v>5</x:v>
      </x:c>
      <x:c r="O3186" s="30" t="str">
        <x:v>Ответ принят по официальной таблице СтатГрад.</x:v>
      </x:c>
      <x:c r="P3186" s="30" t="str">
        <x:v>Код варианта, номер и условие постранично сопоставлены с первичным PDF; формат ответа проверен.</x:v>
      </x:c>
      <x:c r="Q3186" s="30"/>
      <x:c r="R3186" s="30" t="str">
        <x:v>Официальный фото-ключ базового уровня.</x:v>
      </x:c>
      <x:c r="S3186" s="30"/>
      <x:c r="T3186" s="30"/>
      <x:c r="U3186" s="30" t="str">
        <x:v>Расхождений не обнаружено.</x:v>
      </x:c>
      <x:c r="V3186" s="87" t="str">
        <x:v>VERIFIED</x:v>
      </x:c>
      <x:c r="W3186" s="87" t="n">
        <x:v>23</x:v>
      </x:c>
      <x:c r="X3186" s="87"/>
      <x:c r="Y3186" s="87"/>
      <x:c r="Z3186" s="87"/>
      <x:c r="AA3186" s="87"/>
      <x:c r="AB3186" s="87"/>
      <x:c r="AC3186" s="87"/>
      <x:c r="AD3186" s="87"/>
      <x:c r="AE3186" s="87"/>
      <x:c r="AF3186" s="87"/>
      <x:c r="AG3186" s="87"/>
      <x:c r="AH3186" s="87"/>
      <x:c r="AI3186" s="30"/>
      <x:c r="AJ3186" s="87" t="str">
        <x:v>master</x:v>
      </x:c>
      <x:c r="AK3186" s="87" t="str">
        <x:v>master-v0.81</x:v>
      </x:c>
      <x:c r="AL3186" s="87" t="str">
        <x:v>statgrad_master_base_v0_81_final(2).xlsx</x:v>
      </x:c>
      <x:c r="AM3186" s="87" t="str">
        <x:v>MATH_Oct_Base_V3</x:v>
      </x:c>
      <x:c r="AN3186" s="87" t="n">
        <x:v>16</x:v>
      </x:c>
    </x:row>
    <x:row r="3187">
      <x:c r="A3187" s="87" t="n">
        <x:v>3186</x:v>
      </x:c>
      <x:c r="B3187" s="87" t="str">
        <x:v>OCT-MATH-0103-16</x:v>
      </x:c>
      <x:c r="C3187" s="87" t="str">
        <x:v>СтатГрад</x:v>
      </x:c>
      <x:c r="D3187" s="87" t="str">
        <x:v>Октябрь 2025</x:v>
      </x:c>
      <x:c r="E3187" s="87"/>
      <x:c r="F3187" s="87"/>
      <x:c r="G3187" s="87" t="str">
        <x:v>Математика</x:v>
      </x:c>
      <x:c r="H3187" s="87" t="n">
        <x:v>11</x:v>
      </x:c>
      <x:c r="I3187" s="87" t="str">
        <x:v>ТР №1</x:v>
      </x:c>
      <x:c r="J3187" s="87" t="str">
        <x:v>МА2510103</x:v>
      </x:c>
      <x:c r="K3187" s="87" t="n">
        <x:v>16</x:v>
      </x:c>
      <x:c r="L3187" s="87" t="str">
        <x:v>Проценты / финансы</x:v>
      </x:c>
      <x:c r="M3187" s="30" t="str">
        <x:v>Найдите значение выражения          20 ⋅ 3,2 .</x:v>
      </x:c>
      <x:c r="N3187" s="30" t="str">
        <x:v>8</x:v>
      </x:c>
      <x:c r="O3187" s="30" t="str">
        <x:v>Ответ принят по официальной таблице СтатГрад.</x:v>
      </x:c>
      <x:c r="P3187" s="30" t="str">
        <x:v>Код варианта, номер и условие постранично сопоставлены с первичным PDF; формат ответа проверен.</x:v>
      </x:c>
      <x:c r="Q3187" s="30"/>
      <x:c r="R3187" s="30" t="str">
        <x:v>Официальный фото-ключ базового уровня.</x:v>
      </x:c>
      <x:c r="S3187" s="30"/>
      <x:c r="T3187" s="30"/>
      <x:c r="U3187" s="30" t="str">
        <x:v>Расхождений не обнаружено.</x:v>
      </x:c>
      <x:c r="V3187" s="87" t="str">
        <x:v>VERIFIED</x:v>
      </x:c>
      <x:c r="W3187" s="87" t="n">
        <x:v>23</x:v>
      </x:c>
      <x:c r="X3187" s="87"/>
      <x:c r="Y3187" s="87"/>
      <x:c r="Z3187" s="87"/>
      <x:c r="AA3187" s="87"/>
      <x:c r="AB3187" s="87"/>
      <x:c r="AC3187" s="87"/>
      <x:c r="AD3187" s="87"/>
      <x:c r="AE3187" s="87"/>
      <x:c r="AF3187" s="87"/>
      <x:c r="AG3187" s="87"/>
      <x:c r="AH3187" s="87"/>
      <x:c r="AI3187" s="30"/>
      <x:c r="AJ3187" s="87" t="str">
        <x:v>master</x:v>
      </x:c>
      <x:c r="AK3187" s="87" t="str">
        <x:v>master-v0.81</x:v>
      </x:c>
      <x:c r="AL3187" s="87" t="str">
        <x:v>statgrad_master_base_v0_81_final(2).xlsx</x:v>
      </x:c>
      <x:c r="AM3187" s="87" t="str">
        <x:v>MATH_Oct_Base_V3</x:v>
      </x:c>
      <x:c r="AN3187" s="87" t="n">
        <x:v>17</x:v>
      </x:c>
    </x:row>
    <x:row r="3188">
      <x:c r="A3188" s="87" t="n">
        <x:v>3187</x:v>
      </x:c>
      <x:c r="B3188" s="87" t="str">
        <x:v>OCT-MATH-0103-17</x:v>
      </x:c>
      <x:c r="C3188" s="87" t="str">
        <x:v>СтатГрад</x:v>
      </x:c>
      <x:c r="D3188" s="87" t="str">
        <x:v>Октябрь 2025</x:v>
      </x:c>
      <x:c r="E3188" s="87"/>
      <x:c r="F3188" s="87"/>
      <x:c r="G3188" s="87" t="str">
        <x:v>Математика</x:v>
      </x:c>
      <x:c r="H3188" s="87" t="n">
        <x:v>11</x:v>
      </x:c>
      <x:c r="I3188" s="87" t="str">
        <x:v>ТР №1</x:v>
      </x:c>
      <x:c r="J3188" s="87" t="str">
        <x:v>МА2510103</x:v>
      </x:c>
      <x:c r="K3188" s="87" t="n">
        <x:v>17</x:v>
      </x:c>
      <x:c r="L3188" s="87" t="str">
        <x:v>Логика / комбинаторика</x:v>
      </x:c>
      <x:c r="M3188" s="30" t="str">
        <x:v>Найдите корень уравнения log 7 ( 2 x + 5 ) =
                                                1.
                                    согласия СтатГрад запрещена</x:v>
      </x:c>
      <x:c r="N3188" s="30" t="str">
        <x:v>1</x:v>
      </x:c>
      <x:c r="O3188" s="30" t="str">
        <x:v>Ответ принят по официальной таблице СтатГрад.</x:v>
      </x:c>
      <x:c r="P3188" s="30" t="str">
        <x:v>Код варианта, номер и условие постранично сопоставлены с первичным PDF; формат ответа проверен.</x:v>
      </x:c>
      <x:c r="Q3188" s="30"/>
      <x:c r="R3188" s="30" t="str">
        <x:v>Официальный фото-ключ базового уровня.</x:v>
      </x:c>
      <x:c r="S3188" s="30"/>
      <x:c r="T3188" s="30"/>
      <x:c r="U3188" s="30" t="str">
        <x:v>Расхождений не обнаружено.</x:v>
      </x:c>
      <x:c r="V3188" s="87" t="str">
        <x:v>VERIFIED</x:v>
      </x:c>
      <x:c r="W3188" s="87" t="n">
        <x:v>23</x:v>
      </x:c>
      <x:c r="X3188" s="87"/>
      <x:c r="Y3188" s="87"/>
      <x:c r="Z3188" s="87"/>
      <x:c r="AA3188" s="87"/>
      <x:c r="AB3188" s="87"/>
      <x:c r="AC3188" s="87"/>
      <x:c r="AD3188" s="87"/>
      <x:c r="AE3188" s="87"/>
      <x:c r="AF3188" s="87"/>
      <x:c r="AG3188" s="87"/>
      <x:c r="AH3188" s="87"/>
      <x:c r="AI3188" s="30"/>
      <x:c r="AJ3188" s="87" t="str">
        <x:v>master</x:v>
      </x:c>
      <x:c r="AK3188" s="87" t="str">
        <x:v>master-v0.81</x:v>
      </x:c>
      <x:c r="AL3188" s="87" t="str">
        <x:v>statgrad_master_base_v0_81_final(2).xlsx</x:v>
      </x:c>
      <x:c r="AM3188" s="87" t="str">
        <x:v>MATH_Oct_Base_V3</x:v>
      </x:c>
      <x:c r="AN3188" s="87" t="n">
        <x:v>18</x:v>
      </x:c>
    </x:row>
    <x:row r="3189">
      <x:c r="A3189" s="87" t="n">
        <x:v>3188</x:v>
      </x:c>
      <x:c r="B3189" s="87" t="str">
        <x:v>OCT-MATH-0103-18</x:v>
      </x:c>
      <x:c r="C3189" s="87" t="str">
        <x:v>СтатГрад</x:v>
      </x:c>
      <x:c r="D3189" s="87" t="str">
        <x:v>Октябрь 2025</x:v>
      </x:c>
      <x:c r="E3189" s="87"/>
      <x:c r="F3189" s="87"/>
      <x:c r="G3189" s="87" t="str">
        <x:v>Математика</x:v>
      </x:c>
      <x:c r="H3189" s="87" t="n">
        <x:v>11</x:v>
      </x:c>
      <x:c r="I3189" s="87" t="str">
        <x:v>ТР №1</x:v>
      </x:c>
      <x:c r="J3189" s="87" t="str">
        <x:v>МА2510103</x:v>
      </x:c>
      <x:c r="K3189" s="87" t="n">
        <x:v>18</x:v>
      </x:c>
      <x:c r="L3189" s="87" t="str">
        <x:v>Числовая задача</x:v>
      </x:c>
      <x:c r="M3189" s="30" t="str">
        <x:v>Каждому из четырёх неравенств в левом столбце соответствует одно
     из решений в правом столбце. Установите соответствие между
     неравенствами и их решениями.
                     НЕРАВЕНСТВА                                      РЕШЕНИЯ
                       А) 2 x ≥ 4                                     1) ( −∞; − 2]
                       Б) 0,5 x ≥ 4                                   2) [ 2;+ ∞ )
                        В) 0,5 x ≤ 4                                  3) ( −∞;2]
                        Г) 2 x ≤ 4                                    4) [ − 2; + ∞ )
     Впишите в приведённую в ответе                     таблицу     под    каждой       буквой
     соответствующий решению номер.
                А Б В Г
     Ответ:</x:v>
      </x:c>
      <x:c r="N3189" s="30" t="str">
        <x:v>2143</x:v>
      </x:c>
      <x:c r="O3189" s="30" t="str">
        <x:v>Ответ принят по официальной таблице СтатГрад.</x:v>
      </x:c>
      <x:c r="P3189" s="30" t="str">
        <x:v>Код варианта, номер и условие постранично сопоставлены с первичным PDF; формат ответа проверен.</x:v>
      </x:c>
      <x:c r="Q3189" s="30"/>
      <x:c r="R3189" s="30" t="str">
        <x:v>Официальный фото-ключ базового уровня.</x:v>
      </x:c>
      <x:c r="S3189" s="30"/>
      <x:c r="T3189" s="30"/>
      <x:c r="U3189" s="30" t="str">
        <x:v>Расхождений не обнаружено.</x:v>
      </x:c>
      <x:c r="V3189" s="87" t="str">
        <x:v>VERIFIED</x:v>
      </x:c>
      <x:c r="W3189" s="87" t="n">
        <x:v>24</x:v>
      </x:c>
      <x:c r="X3189" s="87"/>
      <x:c r="Y3189" s="87"/>
      <x:c r="Z3189" s="87"/>
      <x:c r="AA3189" s="87"/>
      <x:c r="AB3189" s="87"/>
      <x:c r="AC3189" s="87"/>
      <x:c r="AD3189" s="87"/>
      <x:c r="AE3189" s="87"/>
      <x:c r="AF3189" s="87"/>
      <x:c r="AG3189" s="87"/>
      <x:c r="AH3189" s="87"/>
      <x:c r="AI3189" s="30"/>
      <x:c r="AJ3189" s="87" t="str">
        <x:v>master</x:v>
      </x:c>
      <x:c r="AK3189" s="87" t="str">
        <x:v>master-v0.81</x:v>
      </x:c>
      <x:c r="AL3189" s="87" t="str">
        <x:v>statgrad_master_base_v0_81_final(2).xlsx</x:v>
      </x:c>
      <x:c r="AM3189" s="87" t="str">
        <x:v>MATH_Oct_Base_V3</x:v>
      </x:c>
      <x:c r="AN3189" s="87" t="n">
        <x:v>19</x:v>
      </x:c>
    </x:row>
    <x:row r="3190">
      <x:c r="A3190" s="87" t="n">
        <x:v>3189</x:v>
      </x:c>
      <x:c r="B3190" s="87" t="str">
        <x:v>OCT-MATH-0103-19</x:v>
      </x:c>
      <x:c r="C3190" s="87" t="str">
        <x:v>СтатГрад</x:v>
      </x:c>
      <x:c r="D3190" s="87" t="str">
        <x:v>Октябрь 2025</x:v>
      </x:c>
      <x:c r="E3190" s="87"/>
      <x:c r="F3190" s="87"/>
      <x:c r="G3190" s="87" t="str">
        <x:v>Математика</x:v>
      </x:c>
      <x:c r="H3190" s="87" t="n">
        <x:v>11</x:v>
      </x:c>
      <x:c r="I3190" s="87" t="str">
        <x:v>ТР №1</x:v>
      </x:c>
      <x:c r="J3190" s="87" t="str">
        <x:v>МА2510103</x:v>
      </x:c>
      <x:c r="K3190" s="87" t="n">
        <x:v>19</x:v>
      </x:c>
      <x:c r="L3190" s="87" t="str">
        <x:v>Теория чисел</x:v>
      </x:c>
      <x:c r="M3190" s="30" t="str">
        <x:v>Найдите четырёхзначное натуральное число, кратное 4, сумма цифр которого
     на 1 больше их произведения и в записи которого отсутствуют нули. В ответе
     укажите какое-нибудь одно такое число.</x:v>
      </x:c>
      <x:c r="N3190" s="30" t="str">
        <x:v>3112</x:v>
      </x:c>
      <x:c r="O3190" s="30" t="str">
        <x:v>Ответ принят по официальной таблице СтатГрад.</x:v>
      </x:c>
      <x:c r="P3190" s="30" t="str">
        <x:v>Код варианта, номер и условие постранично сопоставлены с первичным PDF; формат ответа проверен.</x:v>
      </x:c>
      <x:c r="Q3190" s="30"/>
      <x:c r="R3190" s="30" t="str">
        <x:v>Официальный фото-ключ базового уровня.</x:v>
      </x:c>
      <x:c r="S3190" s="30"/>
      <x:c r="T3190" s="30"/>
      <x:c r="U3190" s="30" t="str">
        <x:v>Расхождений не обнаружено.</x:v>
      </x:c>
      <x:c r="V3190" s="87" t="str">
        <x:v>VERIFIED</x:v>
      </x:c>
      <x:c r="W3190" s="87" t="n">
        <x:v>24</x:v>
      </x:c>
      <x:c r="X3190" s="87"/>
      <x:c r="Y3190" s="87"/>
      <x:c r="Z3190" s="87"/>
      <x:c r="AA3190" s="87"/>
      <x:c r="AB3190" s="87"/>
      <x:c r="AC3190" s="87"/>
      <x:c r="AD3190" s="87"/>
      <x:c r="AE3190" s="87"/>
      <x:c r="AF3190" s="87"/>
      <x:c r="AG3190" s="87"/>
      <x:c r="AH3190" s="87"/>
      <x:c r="AI3190" s="30"/>
      <x:c r="AJ3190" s="87" t="str">
        <x:v>master</x:v>
      </x:c>
      <x:c r="AK3190" s="87" t="str">
        <x:v>master-v0.81</x:v>
      </x:c>
      <x:c r="AL3190" s="87" t="str">
        <x:v>statgrad_master_base_v0_81_final(2).xlsx</x:v>
      </x:c>
      <x:c r="AM3190" s="87" t="str">
        <x:v>MATH_Oct_Base_V3</x:v>
      </x:c>
      <x:c r="AN3190" s="87" t="n">
        <x:v>20</x:v>
      </x:c>
    </x:row>
    <x:row r="3191">
      <x:c r="A3191" s="87" t="n">
        <x:v>3190</x:v>
      </x:c>
      <x:c r="B3191" s="87" t="str">
        <x:v>OCT-MATH-0103-20</x:v>
      </x:c>
      <x:c r="C3191" s="87" t="str">
        <x:v>СтатГрад</x:v>
      </x:c>
      <x:c r="D3191" s="87" t="str">
        <x:v>Октябрь 2025</x:v>
      </x:c>
      <x:c r="E3191" s="87"/>
      <x:c r="F3191" s="87"/>
      <x:c r="G3191" s="87" t="str">
        <x:v>Математика</x:v>
      </x:c>
      <x:c r="H3191" s="87" t="n">
        <x:v>11</x:v>
      </x:c>
      <x:c r="I3191" s="87" t="str">
        <x:v>ТР №1</x:v>
      </x:c>
      <x:c r="J3191" s="87" t="str">
        <x:v>МА2510103</x:v>
      </x:c>
      <x:c r="K3191" s="87" t="n">
        <x:v>20</x:v>
      </x:c>
      <x:c r="L3191" s="87" t="str">
        <x:v>Практическая задача</x:v>
      </x:c>
      <x:c r="M3191" s="30" t="str">
        <x:v>Петя и Ваня выполняют одинаковый тест. Петя отвечает за час
     на 13 вопросов теста, а Ваня — на 15. Они одновременно начали отвечать
     на вопросы теста, и Петя закончил свой тест позже Вани на 40 минут.
     Сколько вопросов содержит тест?</x:v>
      </x:c>
      <x:c r="N3191" s="30" t="str">
        <x:v>65</x:v>
      </x:c>
      <x:c r="O3191" s="30" t="str">
        <x:v>Ответ принят по официальной таблице СтатГрад.</x:v>
      </x:c>
      <x:c r="P3191" s="30" t="str">
        <x:v>Код варианта, номер и условие постранично сопоставлены с первичным PDF; формат ответа проверен.</x:v>
      </x:c>
      <x:c r="Q3191" s="30"/>
      <x:c r="R3191" s="30" t="str">
        <x:v>Официальный фото-ключ базового уровня.</x:v>
      </x:c>
      <x:c r="S3191" s="30"/>
      <x:c r="T3191" s="30"/>
      <x:c r="U3191" s="30" t="str">
        <x:v>Расхождений не обнаружено.</x:v>
      </x:c>
      <x:c r="V3191" s="87" t="str">
        <x:v>VERIFIED</x:v>
      </x:c>
      <x:c r="W3191" s="87" t="n">
        <x:v>24</x:v>
      </x:c>
      <x:c r="X3191" s="87"/>
      <x:c r="Y3191" s="87"/>
      <x:c r="Z3191" s="87"/>
      <x:c r="AA3191" s="87"/>
      <x:c r="AB3191" s="87"/>
      <x:c r="AC3191" s="87"/>
      <x:c r="AD3191" s="87"/>
      <x:c r="AE3191" s="87"/>
      <x:c r="AF3191" s="87"/>
      <x:c r="AG3191" s="87"/>
      <x:c r="AH3191" s="87"/>
      <x:c r="AI3191" s="30"/>
      <x:c r="AJ3191" s="87" t="str">
        <x:v>master</x:v>
      </x:c>
      <x:c r="AK3191" s="87" t="str">
        <x:v>master-v0.81</x:v>
      </x:c>
      <x:c r="AL3191" s="87" t="str">
        <x:v>statgrad_master_base_v0_81_final(2).xlsx</x:v>
      </x:c>
      <x:c r="AM3191" s="87" t="str">
        <x:v>MATH_Oct_Base_V3</x:v>
      </x:c>
      <x:c r="AN3191" s="87" t="n">
        <x:v>21</x:v>
      </x:c>
    </x:row>
    <x:row r="3192">
      <x:c r="A3192" s="87" t="n">
        <x:v>3191</x:v>
      </x:c>
      <x:c r="B3192" s="87" t="str">
        <x:v>OCT-MATH-0103-21</x:v>
      </x:c>
      <x:c r="C3192" s="87" t="str">
        <x:v>СтатГрад</x:v>
      </x:c>
      <x:c r="D3192" s="87" t="str">
        <x:v>Октябрь 2025</x:v>
      </x:c>
      <x:c r="E3192" s="87"/>
      <x:c r="F3192" s="87"/>
      <x:c r="G3192" s="87" t="str">
        <x:v>Математика</x:v>
      </x:c>
      <x:c r="H3192" s="87" t="n">
        <x:v>11</x:v>
      </x:c>
      <x:c r="I3192" s="87" t="str">
        <x:v>ТР №1</x:v>
      </x:c>
      <x:c r="J3192" s="87" t="str">
        <x:v>МА2510103</x:v>
      </x:c>
      <x:c r="K3192" s="87" t="n">
        <x:v>21</x:v>
      </x:c>
      <x:c r="L3192" s="87" t="str">
        <x:v>Оптимизация / вычисление</x:v>
      </x:c>
      <x:c r="M3192" s="30" t="str">
        <x:v>В магазине квас на разлив можно купить в бутылках, причём стоимость кваса
     в бутылке складывается из стоимости самой бутылки и кваса, налитого в неё.
     Цена бутылки не зависит от её объёма. Бутылка кваса объёмом 1 литр стоит
     66 рублей, объёмом 2 литра — 120 рублей. Сколько рублей будет стоить
     бутылка кваса объёмом 0,5 литра?
                                    согласия СтатГрад запрещена</x:v>
      </x:c>
      <x:c r="N3192" s="30" t="str">
        <x:v>39</x:v>
      </x:c>
      <x:c r="O3192" s="30" t="str">
        <x:v>Ответ принят по официальной таблице СтатГрад.</x:v>
      </x:c>
      <x:c r="P3192" s="30" t="str">
        <x:v>Код варианта, номер и условие постранично сопоставлены с первичным PDF; формат ответа проверен.</x:v>
      </x:c>
      <x:c r="Q3192" s="30"/>
      <x:c r="R3192" s="30" t="str">
        <x:v>Официальный фото-ключ базового уровня.</x:v>
      </x:c>
      <x:c r="S3192" s="30"/>
      <x:c r="T3192" s="30"/>
      <x:c r="U3192" s="30" t="str">
        <x:v>Расхождений не обнаружено.</x:v>
      </x:c>
      <x:c r="V3192" s="87" t="str">
        <x:v>VERIFIED</x:v>
      </x:c>
      <x:c r="W3192" s="87" t="n">
        <x:v>24</x:v>
      </x:c>
      <x:c r="X3192" s="87"/>
      <x:c r="Y3192" s="87"/>
      <x:c r="Z3192" s="87"/>
      <x:c r="AA3192" s="87"/>
      <x:c r="AB3192" s="87"/>
      <x:c r="AC3192" s="87"/>
      <x:c r="AD3192" s="87"/>
      <x:c r="AE3192" s="87"/>
      <x:c r="AF3192" s="87"/>
      <x:c r="AG3192" s="87"/>
      <x:c r="AH3192" s="87"/>
      <x:c r="AI3192" s="30"/>
      <x:c r="AJ3192" s="87" t="str">
        <x:v>master</x:v>
      </x:c>
      <x:c r="AK3192" s="87" t="str">
        <x:v>master-v0.81</x:v>
      </x:c>
      <x:c r="AL3192" s="87" t="str">
        <x:v>statgrad_master_base_v0_81_final(2).xlsx</x:v>
      </x:c>
      <x:c r="AM3192" s="87" t="str">
        <x:v>MATH_Oct_Base_V3</x:v>
      </x:c>
      <x:c r="AN3192" s="87" t="n">
        <x:v>22</x:v>
      </x:c>
    </x:row>
    <x:row r="3193">
      <x:c r="A3193" s="87" t="n">
        <x:v>3192</x:v>
      </x:c>
      <x:c r="B3193" s="87" t="str">
        <x:v>OCT-MATH-0104-01</x:v>
      </x:c>
      <x:c r="C3193" s="87" t="str">
        <x:v>СтатГрад</x:v>
      </x:c>
      <x:c r="D3193" s="87" t="str">
        <x:v>Октябрь 2025</x:v>
      </x:c>
      <x:c r="E3193" s="87"/>
      <x:c r="F3193" s="87"/>
      <x:c r="G3193" s="87" t="str">
        <x:v>Математика</x:v>
      </x:c>
      <x:c r="H3193" s="87" t="n">
        <x:v>11</x:v>
      </x:c>
      <x:c r="I3193" s="87" t="str">
        <x:v>ТР №1</x:v>
      </x:c>
      <x:c r="J3193" s="87" t="str">
        <x:v>МА2510104</x:v>
      </x:c>
      <x:c r="K3193" s="87" t="n">
        <x:v>1</x:v>
      </x:c>
      <x:c r="L3193" s="87" t="str">
        <x:v>Практическая арифметика</x:v>
      </x:c>
      <x:c r="M3193" s="30" t="str">
        <x:v>Для приготовления маринада для огурцов на 1 литр воды требуется 12 г
    лимонной кислоты. Лимонная кислота продаётся в пакетиках по 10 г. Какое
    наименьшее число пакетиков нужно хозяйке для приготовления 8 литров
    маринада?</x:v>
      </x:c>
      <x:c r="N3193" s="30" t="str">
        <x:v>10</x:v>
      </x:c>
      <x:c r="O3193" s="30" t="str">
        <x:v>Ответ принят по официальной таблице СтатГрад.</x:v>
      </x:c>
      <x:c r="P3193" s="30" t="str">
        <x:v>Код варианта, номер и условие постранично сопоставлены с первичным PDF; формат ответа проверен.</x:v>
      </x:c>
      <x:c r="Q3193" s="30"/>
      <x:c r="R3193" s="30" t="str">
        <x:v>Официальный фото-ключ базового уровня.</x:v>
      </x:c>
      <x:c r="S3193" s="30"/>
      <x:c r="T3193" s="30"/>
      <x:c r="U3193" s="30" t="str">
        <x:v>Расхождений не обнаружено.</x:v>
      </x:c>
      <x:c r="V3193" s="87" t="str">
        <x:v>VERIFIED</x:v>
      </x:c>
      <x:c r="W3193" s="87" t="n">
        <x:v>26</x:v>
      </x:c>
      <x:c r="X3193" s="87"/>
      <x:c r="Y3193" s="87"/>
      <x:c r="Z3193" s="87"/>
      <x:c r="AA3193" s="87"/>
      <x:c r="AB3193" s="87"/>
      <x:c r="AC3193" s="87"/>
      <x:c r="AD3193" s="87"/>
      <x:c r="AE3193" s="87"/>
      <x:c r="AF3193" s="87"/>
      <x:c r="AG3193" s="87"/>
      <x:c r="AH3193" s="87"/>
      <x:c r="AI3193" s="30"/>
      <x:c r="AJ3193" s="87" t="str">
        <x:v>master</x:v>
      </x:c>
      <x:c r="AK3193" s="87" t="str">
        <x:v>master-v0.81</x:v>
      </x:c>
      <x:c r="AL3193" s="87" t="str">
        <x:v>statgrad_master_base_v0_81_final(2).xlsx</x:v>
      </x:c>
      <x:c r="AM3193" s="87" t="str">
        <x:v>MATH_Oct_Base_V4</x:v>
      </x:c>
      <x:c r="AN3193" s="87" t="n">
        <x:v>2</x:v>
      </x:c>
    </x:row>
    <x:row r="3194">
      <x:c r="A3194" s="87" t="n">
        <x:v>3193</x:v>
      </x:c>
      <x:c r="B3194" s="87" t="str">
        <x:v>OCT-MATH-0104-02</x:v>
      </x:c>
      <x:c r="C3194" s="87" t="str">
        <x:v>СтатГрад</x:v>
      </x:c>
      <x:c r="D3194" s="87" t="str">
        <x:v>Октябрь 2025</x:v>
      </x:c>
      <x:c r="E3194" s="87"/>
      <x:c r="F3194" s="87"/>
      <x:c r="G3194" s="87" t="str">
        <x:v>Математика</x:v>
      </x:c>
      <x:c r="H3194" s="87" t="n">
        <x:v>11</x:v>
      </x:c>
      <x:c r="I3194" s="87" t="str">
        <x:v>ТР №1</x:v>
      </x:c>
      <x:c r="J3194" s="87" t="str">
        <x:v>МА2510104</x:v>
      </x:c>
      <x:c r="K3194" s="87" t="n">
        <x:v>2</x:v>
      </x:c>
      <x:c r="L3194" s="87" t="str">
        <x:v>Соответствие величин</x:v>
      </x:c>
      <x:c r="M3194"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площадь балкона в доме                             1) 300 кв. мм
    Б) площадь тарелки                                    2) 5 кв. м
    В) площадь Ладожского озера                           3) 17,7 тыс. кв. км
    Г) площадь одной стороны монеты                       4) 600 кв. см
    В таблице под каждой буквой, соответствующей величине, укажите номер её
    возможного значения.
               А Б В Г
    Ответ:
                                   согласия СтатГрад запрещена</x:v>
      </x:c>
      <x:c r="N3194" s="30" t="str">
        <x:v>2431</x:v>
      </x:c>
      <x:c r="O3194" s="30" t="str">
        <x:v>Ответ принят по официальной таблице СтатГрад.</x:v>
      </x:c>
      <x:c r="P3194" s="30" t="str">
        <x:v>Код варианта, номер и условие постранично сопоставлены с первичным PDF; формат ответа проверен.</x:v>
      </x:c>
      <x:c r="Q3194" s="30"/>
      <x:c r="R3194" s="30" t="str">
        <x:v>Официальный фото-ключ базового уровня.</x:v>
      </x:c>
      <x:c r="S3194" s="30"/>
      <x:c r="T3194" s="30"/>
      <x:c r="U3194" s="30" t="str">
        <x:v>Расхождений не обнаружено.</x:v>
      </x:c>
      <x:c r="V3194" s="87" t="str">
        <x:v>VERIFIED</x:v>
      </x:c>
      <x:c r="W3194" s="87" t="n">
        <x:v>26</x:v>
      </x:c>
      <x:c r="X3194" s="87"/>
      <x:c r="Y3194" s="87"/>
      <x:c r="Z3194" s="87"/>
      <x:c r="AA3194" s="87"/>
      <x:c r="AB3194" s="87"/>
      <x:c r="AC3194" s="87"/>
      <x:c r="AD3194" s="87"/>
      <x:c r="AE3194" s="87"/>
      <x:c r="AF3194" s="87"/>
      <x:c r="AG3194" s="87"/>
      <x:c r="AH3194" s="87"/>
      <x:c r="AI3194" s="30"/>
      <x:c r="AJ3194" s="87" t="str">
        <x:v>master</x:v>
      </x:c>
      <x:c r="AK3194" s="87" t="str">
        <x:v>master-v0.81</x:v>
      </x:c>
      <x:c r="AL3194" s="87" t="str">
        <x:v>statgrad_master_base_v0_81_final(2).xlsx</x:v>
      </x:c>
      <x:c r="AM3194" s="87" t="str">
        <x:v>MATH_Oct_Base_V4</x:v>
      </x:c>
      <x:c r="AN3194" s="87" t="n">
        <x:v>3</x:v>
      </x:c>
    </x:row>
    <x:row r="3195">
      <x:c r="A3195" s="87" t="n">
        <x:v>3194</x:v>
      </x:c>
      <x:c r="B3195" s="87" t="str">
        <x:v>OCT-MATH-0104-03</x:v>
      </x:c>
      <x:c r="C3195" s="87" t="str">
        <x:v>СтатГрад</x:v>
      </x:c>
      <x:c r="D3195" s="87" t="str">
        <x:v>Октябрь 2025</x:v>
      </x:c>
      <x:c r="E3195" s="87"/>
      <x:c r="F3195" s="87"/>
      <x:c r="G3195" s="87" t="str">
        <x:v>Математика</x:v>
      </x:c>
      <x:c r="H3195" s="87" t="n">
        <x:v>11</x:v>
      </x:c>
      <x:c r="I3195" s="87" t="str">
        <x:v>ТР №1</x:v>
      </x:c>
      <x:c r="J3195" s="87" t="str">
        <x:v>МА2510104</x:v>
      </x:c>
      <x:c r="K3195" s="87" t="n">
        <x:v>3</x:v>
      </x:c>
      <x:c r="L3195" s="87" t="str">
        <x:v>Диаграмма</x:v>
      </x:c>
      <x:c r="M3195" s="30" t="str">
        <x:v>На диаграмме показана среднемесячная температура воздуха в Минске
    за каждый месяц 2003 года. По горизонтали указываются месяцы,
    по вертикали — температура в градусах Цельсия.
           20
           16
           12
             8
             4
            0 янв фев мар апр май июн июл авг сен окт ноя дек
           –4
           –8
    Определите по диаграмме наименьшую среднемесячную температуру
    в Минске в 2003 году. Ответ дайте в градусах Цельсия.
                                              a+b</x:v>
      </x:c>
      <x:c r="N3195" s="30" t="str">
        <x:v>-6</x:v>
      </x:c>
      <x:c r="O3195" s="30" t="str">
        <x:v>Ответ принят по официальной таблице СтатГрад.</x:v>
      </x:c>
      <x:c r="P3195" s="30" t="str">
        <x:v>Код варианта, номер и условие постранично сопоставлены с первичным PDF; формат ответа проверен.</x:v>
      </x:c>
      <x:c r="Q3195" s="30"/>
      <x:c r="R3195" s="30" t="str">
        <x:v>Официальный фото-ключ базового уровня.</x:v>
      </x:c>
      <x:c r="S3195" s="30"/>
      <x:c r="T3195" s="30"/>
      <x:c r="U3195" s="30" t="str">
        <x:v>Расхождений не обнаружено.</x:v>
      </x:c>
      <x:c r="V3195" s="87" t="str">
        <x:v>VERIFIED</x:v>
      </x:c>
      <x:c r="W3195" s="87" t="n">
        <x:v>27</x:v>
      </x:c>
      <x:c r="X3195" s="87"/>
      <x:c r="Y3195" s="87"/>
      <x:c r="Z3195" s="87"/>
      <x:c r="AA3195" s="87"/>
      <x:c r="AB3195" s="87"/>
      <x:c r="AC3195" s="87" t="str">
        <x:v>VIS-MATH-OCT-013</x:v>
      </x:c>
      <x:c r="AD3195" s="87"/>
      <x:c r="AE3195" s="87" t="str">
        <x:v>Полная страница с визуальным контекстом</x:v>
      </x:c>
      <x:c r="AF3195" s="87" t="str">
        <x:v>VIS-MATH-OCT-013: 27</x:v>
      </x:c>
      <x:c r="AG3195" s="87" t="str">
        <x:v>RESOLVED / SOURCE_REGENERATED</x:v>
      </x:c>
      <x:c r="AH3195" s="87" t="str">
        <x:v>SOURCE_PAGE_REGENERATED_FULL_PAGE_NO_CROP; TASK_CROP_QA_APPROVED:USE_CONTEXT</x:v>
      </x:c>
      <x:c r="AI3195" s="30"/>
      <x:c r="AJ3195" s="87" t="str">
        <x:v>master</x:v>
      </x:c>
      <x:c r="AK3195" s="87" t="str">
        <x:v>master-v0.81</x:v>
      </x:c>
      <x:c r="AL3195" s="87" t="str">
        <x:v>statgrad_master_base_v0_81_final(2).xlsx</x:v>
      </x:c>
      <x:c r="AM3195" s="87" t="str">
        <x:v>MATH_Oct_Base_V4</x:v>
      </x:c>
      <x:c r="AN3195" s="87" t="n">
        <x:v>4</x:v>
      </x:c>
    </x:row>
    <x:row r="3196">
      <x:c r="A3196" s="87" t="n">
        <x:v>3195</x:v>
      </x:c>
      <x:c r="B3196" s="87" t="str">
        <x:v>OCT-MATH-0104-04</x:v>
      </x:c>
      <x:c r="C3196" s="87" t="str">
        <x:v>СтатГрад</x:v>
      </x:c>
      <x:c r="D3196" s="87" t="str">
        <x:v>Октябрь 2025</x:v>
      </x:c>
      <x:c r="E3196" s="87"/>
      <x:c r="F3196" s="87"/>
      <x:c r="G3196" s="87" t="str">
        <x:v>Математика</x:v>
      </x:c>
      <x:c r="H3196" s="87" t="n">
        <x:v>11</x:v>
      </x:c>
      <x:c r="I3196" s="87" t="str">
        <x:v>ТР №1</x:v>
      </x:c>
      <x:c r="J3196" s="87" t="str">
        <x:v>МА2510104</x:v>
      </x:c>
      <x:c r="K3196" s="87" t="n">
        <x:v>4</x:v>
      </x:c>
      <x:c r="L3196" s="87" t="str">
        <x:v>Вычисление по формуле</x:v>
      </x:c>
      <x:c r="M3196" s="30" t="str">
        <x:v>Площадь трапеции вычисляется по формуле
                                         =  S      ⋅ h , где a и b — длины
                                                2
    оснований трапеции, h — её высота. Пользуясь этой формулой, найдите
    площадь S , если a = 5 , b = 3 и h = 6 .
                                   согласия СтатГрад запрещена</x:v>
      </x:c>
      <x:c r="N3196" s="30" t="str">
        <x:v>24</x:v>
      </x:c>
      <x:c r="O3196" s="30" t="str">
        <x:v>Ответ принят по официальной таблице СтатГрад.</x:v>
      </x:c>
      <x:c r="P3196" s="30" t="str">
        <x:v>Код варианта, номер и условие постранично сопоставлены с первичным PDF; формат ответа проверен.</x:v>
      </x:c>
      <x:c r="Q3196" s="30"/>
      <x:c r="R3196" s="30" t="str">
        <x:v>Официальный фото-ключ базового уровня.</x:v>
      </x:c>
      <x:c r="S3196" s="30"/>
      <x:c r="T3196" s="30"/>
      <x:c r="U3196" s="30" t="str">
        <x:v>Расхождений не обнаружено.</x:v>
      </x:c>
      <x:c r="V3196" s="87" t="str">
        <x:v>VERIFIED</x:v>
      </x:c>
      <x:c r="W3196" s="87" t="n">
        <x:v>27</x:v>
      </x:c>
      <x:c r="X3196" s="87"/>
      <x:c r="Y3196" s="87"/>
      <x:c r="Z3196" s="87"/>
      <x:c r="AA3196" s="87"/>
      <x:c r="AB3196" s="87"/>
      <x:c r="AC3196" s="87" t="str">
        <x:v>VIS-MATH-OCT-013</x:v>
      </x:c>
      <x:c r="AD3196" s="87"/>
      <x:c r="AE3196" s="87" t="str">
        <x:v>Полная страница с визуальным контекстом</x:v>
      </x:c>
      <x:c r="AF3196" s="87" t="str">
        <x:v>VIS-MATH-OCT-013: 27</x:v>
      </x:c>
      <x:c r="AG3196" s="87" t="str">
        <x:v>RESOLVED / SOURCE_REGENERATED</x:v>
      </x:c>
      <x:c r="AH3196" s="87" t="str">
        <x:v>SOURCE_PAGE_REGENERATED_FULL_PAGE_NO_CROP</x:v>
      </x:c>
      <x:c r="AI3196" s="30"/>
      <x:c r="AJ3196" s="87" t="str">
        <x:v>master</x:v>
      </x:c>
      <x:c r="AK3196" s="87" t="str">
        <x:v>master-v0.81</x:v>
      </x:c>
      <x:c r="AL3196" s="87" t="str">
        <x:v>statgrad_master_base_v0_81_final(2).xlsx</x:v>
      </x:c>
      <x:c r="AM3196" s="87" t="str">
        <x:v>MATH_Oct_Base_V4</x:v>
      </x:c>
      <x:c r="AN3196" s="87" t="n">
        <x:v>5</x:v>
      </x:c>
    </x:row>
    <x:row r="3197">
      <x:c r="A3197" s="87" t="n">
        <x:v>3196</x:v>
      </x:c>
      <x:c r="B3197" s="87" t="str">
        <x:v>OCT-MATH-0104-05</x:v>
      </x:c>
      <x:c r="C3197" s="87" t="str">
        <x:v>СтатГрад</x:v>
      </x:c>
      <x:c r="D3197" s="87" t="str">
        <x:v>Октябрь 2025</x:v>
      </x:c>
      <x:c r="E3197" s="87"/>
      <x:c r="F3197" s="87"/>
      <x:c r="G3197" s="87" t="str">
        <x:v>Математика</x:v>
      </x:c>
      <x:c r="H3197" s="87" t="n">
        <x:v>11</x:v>
      </x:c>
      <x:c r="I3197" s="87" t="str">
        <x:v>ТР №1</x:v>
      </x:c>
      <x:c r="J3197" s="87" t="str">
        <x:v>МА2510104</x:v>
      </x:c>
      <x:c r="K3197" s="87" t="n">
        <x:v>5</x:v>
      </x:c>
      <x:c r="L3197" s="87" t="str">
        <x:v>Вероятность</x:v>
      </x:c>
      <x:c r="M3197" s="30" t="str">
        <x:v>На олимпиаде по русскому языку участников рассаживают по трём
    аудиториям. В первых двух аудиториях сажают по 110 человек, оставшихся
    проводят в запасную аудиторию в другом корпусе. При подсчёте выяснилось,
    что всего было 400 участников. Найдите вероятность того, что случайно
    выбранный участник писал олимпиаду в запасной аудитории.</x:v>
      </x:c>
      <x:c r="N3197" s="30" t="str">
        <x:v>0,45</x:v>
      </x:c>
      <x:c r="O3197" s="30" t="str">
        <x:v>Ответ принят по официальной таблице СтатГрад.</x:v>
      </x:c>
      <x:c r="P3197" s="30" t="str">
        <x:v>Код варианта, номер и условие постранично сопоставлены с первичным PDF; формат ответа проверен.</x:v>
      </x:c>
      <x:c r="Q3197" s="30"/>
      <x:c r="R3197" s="30" t="str">
        <x:v>Официальный фото-ключ базового уровня.</x:v>
      </x:c>
      <x:c r="S3197" s="30"/>
      <x:c r="T3197" s="30"/>
      <x:c r="U3197" s="30" t="str">
        <x:v>Расхождений не обнаружено.</x:v>
      </x:c>
      <x:c r="V3197" s="87" t="str">
        <x:v>VERIFIED</x:v>
      </x:c>
      <x:c r="W3197" s="87" t="n">
        <x:v>28</x:v>
      </x:c>
      <x:c r="X3197" s="87"/>
      <x:c r="Y3197" s="87"/>
      <x:c r="Z3197" s="87"/>
      <x:c r="AA3197" s="87"/>
      <x:c r="AB3197" s="87"/>
      <x:c r="AC3197" s="87"/>
      <x:c r="AD3197" s="87"/>
      <x:c r="AE3197" s="87"/>
      <x:c r="AF3197" s="87"/>
      <x:c r="AG3197" s="87"/>
      <x:c r="AH3197" s="87"/>
      <x:c r="AI3197" s="30"/>
      <x:c r="AJ3197" s="87" t="str">
        <x:v>master</x:v>
      </x:c>
      <x:c r="AK3197" s="87" t="str">
        <x:v>master-v0.81</x:v>
      </x:c>
      <x:c r="AL3197" s="87" t="str">
        <x:v>statgrad_master_base_v0_81_final(2).xlsx</x:v>
      </x:c>
      <x:c r="AM3197" s="87" t="str">
        <x:v>MATH_Oct_Base_V4</x:v>
      </x:c>
      <x:c r="AN3197" s="87" t="n">
        <x:v>6</x:v>
      </x:c>
    </x:row>
    <x:row r="3198">
      <x:c r="A3198" s="87" t="n">
        <x:v>3197</x:v>
      </x:c>
      <x:c r="B3198" s="87" t="str">
        <x:v>OCT-MATH-0104-06</x:v>
      </x:c>
      <x:c r="C3198" s="87" t="str">
        <x:v>СтатГрад</x:v>
      </x:c>
      <x:c r="D3198" s="87" t="str">
        <x:v>Октябрь 2025</x:v>
      </x:c>
      <x:c r="E3198" s="87"/>
      <x:c r="F3198" s="87"/>
      <x:c r="G3198" s="87" t="str">
        <x:v>Математика</x:v>
      </x:c>
      <x:c r="H3198" s="87" t="n">
        <x:v>11</x:v>
      </x:c>
      <x:c r="I3198" s="87" t="str">
        <x:v>ТР №1</x:v>
      </x:c>
      <x:c r="J3198" s="87" t="str">
        <x:v>МА2510104</x:v>
      </x:c>
      <x:c r="K3198" s="87" t="n">
        <x:v>6</x:v>
      </x:c>
      <x:c r="L3198" s="87" t="str">
        <x:v>Тариф / таблица</x:v>
      </x:c>
      <x:c r="M3198" s="30" t="str">
        <x:v>Интернет-провайдер предлагает три тарифных плана.
    Тарифный план             Абонентская плата                       Плата за трафик
    План «0»                          Нет                             1,7 руб. за 1 Мб
    План «200»            204 руб. за 200 Мб трафика                  1,1 руб. за 1 Мб
                                    в месяц                            сверх 200 Мб
    План «900»            738 руб. за 900 Мб трафика                  0,4 руб. за 1 Мб
                                    в месяц                            сверх 900 Мб
    Пользователь предполагает, что его трафик составит 700 Мб в месяц,
    и исходя из этого выбирает наиболее дешёвый тарифный план. Сколько
    рублей должен будет заплатить пользователь за месяц, если его трафик
    действительно будет равен 700 Мб?
                                   согласия СтатГрад запрещена</x:v>
      </x:c>
      <x:c r="N3198" s="30" t="str">
        <x:v>738</x:v>
      </x:c>
      <x:c r="O3198" s="30" t="str">
        <x:v>Ответ принят по официальной таблице СтатГрад.</x:v>
      </x:c>
      <x:c r="P3198" s="30" t="str">
        <x:v>Код варианта, номер и условие постранично сопоставлены с первичным PDF; формат ответа проверен.</x:v>
      </x:c>
      <x:c r="Q3198" s="30"/>
      <x:c r="R3198" s="30" t="str">
        <x:v>Официальный фото-ключ базового уровня.</x:v>
      </x:c>
      <x:c r="S3198" s="30"/>
      <x:c r="T3198" s="30"/>
      <x:c r="U3198" s="30" t="str">
        <x:v>Расхождений не обнаружено.</x:v>
      </x:c>
      <x:c r="V3198" s="87" t="str">
        <x:v>VERIFIED</x:v>
      </x:c>
      <x:c r="W3198" s="87" t="n">
        <x:v>28</x:v>
      </x:c>
      <x:c r="X3198" s="87"/>
      <x:c r="Y3198" s="87"/>
      <x:c r="Z3198" s="87"/>
      <x:c r="AA3198" s="87"/>
      <x:c r="AB3198" s="87"/>
      <x:c r="AC3198" s="87" t="str">
        <x:v>VIS-MATH-OCT-014</x:v>
      </x:c>
      <x:c r="AD3198" s="87"/>
      <x:c r="AE3198" s="87" t="str">
        <x:v>Полная страница с визуальным контекстом</x:v>
      </x:c>
      <x:c r="AF3198" s="87" t="str">
        <x:v>VIS-MATH-OCT-014: 28</x:v>
      </x:c>
      <x:c r="AG3198" s="87" t="str">
        <x:v>RESOLVED / SOURCE_REGENERATED</x:v>
      </x:c>
      <x:c r="AH3198" s="87" t="str">
        <x:v>SOURCE_PAGE_REGENERATED_FULL_PAGE_NO_CROP</x:v>
      </x:c>
      <x:c r="AI3198" s="30"/>
      <x:c r="AJ3198" s="87" t="str">
        <x:v>master</x:v>
      </x:c>
      <x:c r="AK3198" s="87" t="str">
        <x:v>master-v0.81</x:v>
      </x:c>
      <x:c r="AL3198" s="87" t="str">
        <x:v>statgrad_master_base_v0_81_final(2).xlsx</x:v>
      </x:c>
      <x:c r="AM3198" s="87" t="str">
        <x:v>MATH_Oct_Base_V4</x:v>
      </x:c>
      <x:c r="AN3198" s="87" t="n">
        <x:v>7</x:v>
      </x:c>
    </x:row>
    <x:row r="3199">
      <x:c r="A3199" s="87" t="n">
        <x:v>3198</x:v>
      </x:c>
      <x:c r="B3199" s="87" t="str">
        <x:v>OCT-MATH-0104-07</x:v>
      </x:c>
      <x:c r="C3199" s="87" t="str">
        <x:v>СтатГрад</x:v>
      </x:c>
      <x:c r="D3199" s="87" t="str">
        <x:v>Октябрь 2025</x:v>
      </x:c>
      <x:c r="E3199" s="87"/>
      <x:c r="F3199" s="87"/>
      <x:c r="G3199" s="87" t="str">
        <x:v>Математика</x:v>
      </x:c>
      <x:c r="H3199" s="87" t="n">
        <x:v>11</x:v>
      </x:c>
      <x:c r="I3199" s="87" t="str">
        <x:v>ТР №1</x:v>
      </x:c>
      <x:c r="J3199" s="87" t="str">
        <x:v>МА2510104</x:v>
      </x:c>
      <x:c r="K3199" s="87" t="n">
        <x:v>7</x:v>
      </x:c>
      <x:c r="L3199" s="87" t="str">
        <x:v>График</x:v>
      </x:c>
      <x:c r="M3199" s="30" t="str">
        <x:v>На рисунке точками показан прирост населения Китая в период с 2004
    по 2013 год. По горизонтали указывается год, по вертикали — прирост
    населения в процентах (увеличение численности населения относительно
    прошлого года). Для наглядности точки соединены ломаной линией.
              0,61
              0,59
              0,57
              0,55
              0,53
              0,51
              0,49
              0,47
                 2004 2005 2006 2007 2008 2009 2010 2011 2012 2013
    Пользуясь рисунком, поставьте в соответствие каждому из указанных
    периодов времени характеристику прироста населения Китая в этот период.
       ПЕРИОДЫ ВРЕМЕНИ                               ХАРАКТЕРИСТИКИ
    А) 2005–2007 гг.                      1) Падение прироста остановилось.
    Б) 2007–2009 гг.                      2) Наибольшее падение прироста
    В) 2009–2011 гг.                         населения.
    Г) 2012–2013 гг.                      3) Прирост населения находился
                                             в пределах от 0,5 % до 0,52 %.
                                          4) Прирост населения увеличивался.
    В таблице под каждой буквой укажите соответствующий номер.
               А Б В Г
    Ответ:
                                   согласия СтатГрад запрещена</x:v>
      </x:c>
      <x:c r="N3199" s="30" t="str">
        <x:v>2314</x:v>
      </x:c>
      <x:c r="O3199" s="30" t="str">
        <x:v>Ответ принят по официальной таблице СтатГрад.</x:v>
      </x:c>
      <x:c r="P3199" s="30" t="str">
        <x:v>Код варианта, номер и условие постранично сопоставлены с первичным PDF; формат ответа проверен.</x:v>
      </x:c>
      <x:c r="Q3199" s="30"/>
      <x:c r="R3199" s="30" t="str">
        <x:v>Официальный фото-ключ базового уровня.</x:v>
      </x:c>
      <x:c r="S3199" s="30"/>
      <x:c r="T3199" s="30"/>
      <x:c r="U3199" s="30" t="str">
        <x:v>Расхождений не обнаружено.</x:v>
      </x:c>
      <x:c r="V3199" s="87" t="str">
        <x:v>VERIFIED</x:v>
      </x:c>
      <x:c r="W3199" s="87" t="n">
        <x:v>29</x:v>
      </x:c>
      <x:c r="X3199" s="87"/>
      <x:c r="Y3199" s="87"/>
      <x:c r="Z3199" s="87"/>
      <x:c r="AA3199" s="87"/>
      <x:c r="AB3199" s="87"/>
      <x:c r="AC3199" s="87" t="str">
        <x:v>VIS-MATH-OCT-015</x:v>
      </x:c>
      <x:c r="AD3199" s="87"/>
      <x:c r="AE3199" s="87" t="str">
        <x:v>Полная страница с визуальным контекстом</x:v>
      </x:c>
      <x:c r="AF3199" s="87" t="str">
        <x:v>VIS-MATH-OCT-015: 29</x:v>
      </x:c>
      <x:c r="AG3199" s="87" t="str">
        <x:v>RESOLVED / SOURCE_REGENERATED</x:v>
      </x:c>
      <x:c r="AH3199" s="87" t="str">
        <x:v>SOURCE_PAGE_REGENERATED_FULL_PAGE_NO_CROP; TASK_CROP_QA_APPROVED:USE_CONTEXT</x:v>
      </x:c>
      <x:c r="AI3199" s="30"/>
      <x:c r="AJ3199" s="87" t="str">
        <x:v>master</x:v>
      </x:c>
      <x:c r="AK3199" s="87" t="str">
        <x:v>master-v0.81</x:v>
      </x:c>
      <x:c r="AL3199" s="87" t="str">
        <x:v>statgrad_master_base_v0_81_final(2).xlsx</x:v>
      </x:c>
      <x:c r="AM3199" s="87" t="str">
        <x:v>MATH_Oct_Base_V4</x:v>
      </x:c>
      <x:c r="AN3199" s="87" t="n">
        <x:v>8</x:v>
      </x:c>
    </x:row>
    <x:row r="3200">
      <x:c r="A3200" s="87" t="n">
        <x:v>3199</x:v>
      </x:c>
      <x:c r="B3200" s="87" t="str">
        <x:v>OCT-MATH-0104-08</x:v>
      </x:c>
      <x:c r="C3200" s="87" t="str">
        <x:v>СтатГрад</x:v>
      </x:c>
      <x:c r="D3200" s="87" t="str">
        <x:v>Октябрь 2025</x:v>
      </x:c>
      <x:c r="E3200" s="87"/>
      <x:c r="F3200" s="87"/>
      <x:c r="G3200" s="87" t="str">
        <x:v>Математика</x:v>
      </x:c>
      <x:c r="H3200" s="87" t="n">
        <x:v>11</x:v>
      </x:c>
      <x:c r="I3200" s="87" t="str">
        <x:v>ТР №1</x:v>
      </x:c>
      <x:c r="J3200" s="87" t="str">
        <x:v>МА2510104</x:v>
      </x:c>
      <x:c r="K3200" s="87" t="n">
        <x:v>8</x:v>
      </x:c>
      <x:c r="L3200" s="87" t="str">
        <x:v>Практическая задача</x:v>
      </x:c>
      <x:c r="M3200" s="30" t="str">
        <x:v>Во дворе школы растут всего три дерева: ясень, рябина и осина. Ясень выше
     рябины на 1 метр, но ниже осины на 2 метра. Выберите утверждения,
     которые верны при указанных условиях.
     1) Среди указанных деревьев не найдётся двух одной высоты.
     2) Ясень, растущий во дворе школы, выше осины, растущей там же.
     3) Любое дерево, помимо указанных, которое ниже ясеня, растущего
        во дворе школы, также ниже рябины, растущей там же.
     4) Любое дерево, помимо указанных, которое ниже рябины, растущей
        во дворе школы, также ниже ясеня, растущего там же.
     В ответе запишите номера выбранных утверждений без пробелов, запятых и
     других дополнительных символов.</x:v>
      </x:c>
      <x:c r="N3200" s="30" t="str">
        <x:v>14</x:v>
      </x:c>
      <x:c r="O3200" s="30" t="str">
        <x:v>Ответ принят по официальной таблице СтатГрад.</x:v>
      </x:c>
      <x:c r="P3200" s="30" t="str">
        <x:v>Код варианта, номер и условие постранично сопоставлены с первичным PDF; формат ответа проверен.</x:v>
      </x:c>
      <x:c r="Q3200" s="30"/>
      <x:c r="R3200" s="30" t="str">
        <x:v>Официальный фото-ключ базового уровня.</x:v>
      </x:c>
      <x:c r="S3200" s="30"/>
      <x:c r="T3200" s="30"/>
      <x:c r="U3200" s="30" t="str">
        <x:v>Расхождений не обнаружено.</x:v>
      </x:c>
      <x:c r="V3200" s="87" t="str">
        <x:v>VERIFIED</x:v>
      </x:c>
      <x:c r="W3200" s="87" t="n">
        <x:v>30</x:v>
      </x:c>
      <x:c r="X3200" s="87"/>
      <x:c r="Y3200" s="87"/>
      <x:c r="Z3200" s="87"/>
      <x:c r="AA3200" s="87"/>
      <x:c r="AB3200" s="87"/>
      <x:c r="AC3200" s="87"/>
      <x:c r="AD3200" s="87"/>
      <x:c r="AE3200" s="87"/>
      <x:c r="AF3200" s="87"/>
      <x:c r="AG3200" s="87"/>
      <x:c r="AH3200" s="87"/>
      <x:c r="AI3200" s="30"/>
      <x:c r="AJ3200" s="87" t="str">
        <x:v>master</x:v>
      </x:c>
      <x:c r="AK3200" s="87" t="str">
        <x:v>master-v0.81</x:v>
      </x:c>
      <x:c r="AL3200" s="87" t="str">
        <x:v>statgrad_master_base_v0_81_final(2).xlsx</x:v>
      </x:c>
      <x:c r="AM3200" s="87" t="str">
        <x:v>MATH_Oct_Base_V4</x:v>
      </x:c>
      <x:c r="AN3200" s="87" t="n">
        <x:v>9</x:v>
      </x:c>
    </x:row>
    <x:row r="3201">
      <x:c r="A3201" s="87" t="n">
        <x:v>3200</x:v>
      </x:c>
      <x:c r="B3201" s="87" t="str">
        <x:v>OCT-MATH-0104-09</x:v>
      </x:c>
      <x:c r="C3201" s="87" t="str">
        <x:v>СтатГрад</x:v>
      </x:c>
      <x:c r="D3201" s="87" t="str">
        <x:v>Октябрь 2025</x:v>
      </x:c>
      <x:c r="E3201" s="87"/>
      <x:c r="F3201" s="87"/>
      <x:c r="G3201" s="87" t="str">
        <x:v>Математика</x:v>
      </x:c>
      <x:c r="H3201" s="87" t="n">
        <x:v>11</x:v>
      </x:c>
      <x:c r="I3201" s="87" t="str">
        <x:v>ТР №1</x:v>
      </x:c>
      <x:c r="J3201" s="87" t="str">
        <x:v>МА2510104</x:v>
      </x:c>
      <x:c r="K3201" s="87" t="n">
        <x:v>9</x:v>
      </x:c>
      <x:c r="L3201" s="87" t="str">
        <x:v>План / площадь</x:v>
      </x:c>
      <x:c r="M3201" s="30" t="str">
        <x:v>План местности разбит на клетки. Каждая клетка
     обозначает квадрат 1 м × 1 м . Найдите площадь
     участка, выделенного на плане. Ответ дайте
     в квадратных метрах.</x:v>
      </x:c>
      <x:c r="N3201" s="30" t="str">
        <x:v>15</x:v>
      </x:c>
      <x:c r="O3201" s="30" t="str">
        <x:v>Ответ принят по официальной таблице СтатГрад.</x:v>
      </x:c>
      <x:c r="P3201" s="30" t="str">
        <x:v>Код варианта, номер и условие постранично сопоставлены с первичным PDF; формат ответа проверен.</x:v>
      </x:c>
      <x:c r="Q3201" s="30"/>
      <x:c r="R3201" s="30" t="str">
        <x:v>Официальный фото-ключ базового уровня.</x:v>
      </x:c>
      <x:c r="S3201" s="30"/>
      <x:c r="T3201" s="30"/>
      <x:c r="U3201" s="30" t="str">
        <x:v>Расхождений не обнаружено.</x:v>
      </x:c>
      <x:c r="V3201" s="87" t="str">
        <x:v>VERIFIED</x:v>
      </x:c>
      <x:c r="W3201" s="87" t="n">
        <x:v>30</x:v>
      </x:c>
      <x:c r="X3201" s="87"/>
      <x:c r="Y3201" s="87"/>
      <x:c r="Z3201" s="87"/>
      <x:c r="AA3201" s="87"/>
      <x:c r="AB3201" s="87"/>
      <x:c r="AC3201" s="87" t="str">
        <x:v>VIS-MATH-OCT-016</x:v>
      </x:c>
      <x:c r="AD3201" s="87"/>
      <x:c r="AE3201" s="87" t="str">
        <x:v>Полная страница с визуальным контекстом</x:v>
      </x:c>
      <x:c r="AF3201" s="87" t="str">
        <x:v>VIS-MATH-OCT-016: 30</x:v>
      </x:c>
      <x:c r="AG3201" s="87" t="str">
        <x:v>RESOLVED / SOURCE_REGENERATED</x:v>
      </x:c>
      <x:c r="AH3201" s="87" t="str">
        <x:v>SOURCE_PAGE_REGENERATED_FULL_PAGE_NO_CROP; TASK_CROP_QA_APPROVED:USE_CONTEXT</x:v>
      </x:c>
      <x:c r="AI3201" s="30"/>
      <x:c r="AJ3201" s="87" t="str">
        <x:v>master</x:v>
      </x:c>
      <x:c r="AK3201" s="87" t="str">
        <x:v>master-v0.81</x:v>
      </x:c>
      <x:c r="AL3201" s="87" t="str">
        <x:v>statgrad_master_base_v0_81_final(2).xlsx</x:v>
      </x:c>
      <x:c r="AM3201" s="87" t="str">
        <x:v>MATH_Oct_Base_V4</x:v>
      </x:c>
      <x:c r="AN3201" s="87" t="n">
        <x:v>10</x:v>
      </x:c>
    </x:row>
    <x:row r="3202">
      <x:c r="A3202" s="87" t="n">
        <x:v>3201</x:v>
      </x:c>
      <x:c r="B3202" s="87" t="str">
        <x:v>OCT-MATH-0104-10</x:v>
      </x:c>
      <x:c r="C3202" s="87" t="str">
        <x:v>СтатГрад</x:v>
      </x:c>
      <x:c r="D3202" s="87" t="str">
        <x:v>Октябрь 2025</x:v>
      </x:c>
      <x:c r="E3202" s="87"/>
      <x:c r="F3202" s="87"/>
      <x:c r="G3202" s="87" t="str">
        <x:v>Математика</x:v>
      </x:c>
      <x:c r="H3202" s="87" t="n">
        <x:v>11</x:v>
      </x:c>
      <x:c r="I3202" s="87" t="str">
        <x:v>ТР №1</x:v>
      </x:c>
      <x:c r="J3202" s="87" t="str">
        <x:v>МА2510104</x:v>
      </x:c>
      <x:c r="K3202" s="87" t="n">
        <x:v>10</x:v>
      </x:c>
      <x:c r="L3202" s="87" t="str">
        <x:v>Геометрия по рисунку</x:v>
      </x:c>
      <x:c r="M3202" s="30" t="str">
        <x:v>Дачный участок имеет форму прямоугольника
     со сторонами 25 метров и 30 метров. Хозяин
                                                                               15 м
     планирует обнести его изгородью и отгородить
     такой же изгородью квадратный участок                                                25 м
     со стороной 15 метров (см. рисунок). Найдите
     суммарную длину изгороди в метрах.
                                                                            30 м</x:v>
      </x:c>
      <x:c r="N3202" s="30" t="str">
        <x:v>140</x:v>
      </x:c>
      <x:c r="O3202" s="30" t="str">
        <x:v>Ответ принят по официальной таблице СтатГрад.</x:v>
      </x:c>
      <x:c r="P3202" s="30" t="str">
        <x:v>Код варианта, номер и условие постранично сопоставлены с первичным PDF; формат ответа проверен.</x:v>
      </x:c>
      <x:c r="Q3202" s="30"/>
      <x:c r="R3202" s="30" t="str">
        <x:v>Официальный фото-ключ базового уровня.</x:v>
      </x:c>
      <x:c r="S3202" s="30"/>
      <x:c r="T3202" s="30"/>
      <x:c r="U3202" s="30" t="str">
        <x:v>Расхождений не обнаружено.</x:v>
      </x:c>
      <x:c r="V3202" s="87" t="str">
        <x:v>VERIFIED</x:v>
      </x:c>
      <x:c r="W3202" s="87" t="n">
        <x:v>30</x:v>
      </x:c>
      <x:c r="X3202" s="87"/>
      <x:c r="Y3202" s="87"/>
      <x:c r="Z3202" s="87"/>
      <x:c r="AA3202" s="87"/>
      <x:c r="AB3202" s="87"/>
      <x:c r="AC3202" s="87" t="str">
        <x:v>VIS-MATH-OCT-016</x:v>
      </x:c>
      <x:c r="AD3202" s="87"/>
      <x:c r="AE3202" s="87" t="str">
        <x:v>Полная страница с визуальным контекстом</x:v>
      </x:c>
      <x:c r="AF3202" s="87" t="str">
        <x:v>VIS-MATH-OCT-016: 30</x:v>
      </x:c>
      <x:c r="AG3202" s="87" t="str">
        <x:v>RESOLVED / SOURCE_REGENERATED</x:v>
      </x:c>
      <x:c r="AH3202" s="87" t="str">
        <x:v>SOURCE_PAGE_REGENERATED_FULL_PAGE_NO_CROP; TASK_CROP_QA_APPROVED:USE_CONTEXT</x:v>
      </x:c>
      <x:c r="AI3202" s="30"/>
      <x:c r="AJ3202" s="87" t="str">
        <x:v>master</x:v>
      </x:c>
      <x:c r="AK3202" s="87" t="str">
        <x:v>master-v0.81</x:v>
      </x:c>
      <x:c r="AL3202" s="87" t="str">
        <x:v>statgrad_master_base_v0_81_final(2).xlsx</x:v>
      </x:c>
      <x:c r="AM3202" s="87" t="str">
        <x:v>MATH_Oct_Base_V4</x:v>
      </x:c>
      <x:c r="AN3202" s="87" t="n">
        <x:v>11</x:v>
      </x:c>
    </x:row>
    <x:row r="3203">
      <x:c r="A3203" s="87" t="n">
        <x:v>3202</x:v>
      </x:c>
      <x:c r="B3203" s="87" t="str">
        <x:v>OCT-MATH-0104-11</x:v>
      </x:c>
      <x:c r="C3203" s="87" t="str">
        <x:v>СтатГрад</x:v>
      </x:c>
      <x:c r="D3203" s="87" t="str">
        <x:v>Октябрь 2025</x:v>
      </x:c>
      <x:c r="E3203" s="87"/>
      <x:c r="F3203" s="87"/>
      <x:c r="G3203" s="87" t="str">
        <x:v>Математика</x:v>
      </x:c>
      <x:c r="H3203" s="87" t="n">
        <x:v>11</x:v>
      </x:c>
      <x:c r="I3203" s="87" t="str">
        <x:v>ТР №1</x:v>
      </x:c>
      <x:c r="J3203" s="87" t="str">
        <x:v>МА2510104</x:v>
      </x:c>
      <x:c r="K3203" s="87" t="n">
        <x:v>11</x:v>
      </x:c>
      <x:c r="L3203" s="87" t="str">
        <x:v>Стереометрия по рисунку</x:v>
      </x:c>
      <x:c r="M3203" s="30" t="str">
        <x:v>От деревянной правильной пятиугольной призмы
     отпилили все её вершины (см. рисунок).
     Сколько рёбер у получившегося многогранника
     (невидимые рёбра на рисунке не изображены)?
                                    согласия СтатГрад запрещена</x:v>
      </x:c>
      <x:c r="N3203" s="30" t="str">
        <x:v>45</x:v>
      </x:c>
      <x:c r="O3203" s="30" t="str">
        <x:v>Ответ принят по официальной таблице СтатГрад.</x:v>
      </x:c>
      <x:c r="P3203" s="30" t="str">
        <x:v>Код варианта, номер и условие постранично сопоставлены с первичным PDF; формат ответа проверен.</x:v>
      </x:c>
      <x:c r="Q3203" s="30"/>
      <x:c r="R3203" s="30" t="str">
        <x:v>Официальный фото-ключ базового уровня.</x:v>
      </x:c>
      <x:c r="S3203" s="30"/>
      <x:c r="T3203" s="30"/>
      <x:c r="U3203" s="30" t="str">
        <x:v>Расхождений не обнаружено.</x:v>
      </x:c>
      <x:c r="V3203" s="87" t="str">
        <x:v>VERIFIED</x:v>
      </x:c>
      <x:c r="W3203" s="87" t="n">
        <x:v>30</x:v>
      </x:c>
      <x:c r="X3203" s="87"/>
      <x:c r="Y3203" s="87"/>
      <x:c r="Z3203" s="87"/>
      <x:c r="AA3203" s="87"/>
      <x:c r="AB3203" s="87"/>
      <x:c r="AC3203" s="87" t="str">
        <x:v>VIS-MATH-OCT-016</x:v>
      </x:c>
      <x:c r="AD3203" s="87"/>
      <x:c r="AE3203" s="87" t="str">
        <x:v>Полная страница с визуальным контекстом</x:v>
      </x:c>
      <x:c r="AF3203" s="87" t="str">
        <x:v>VIS-MATH-OCT-016: 30</x:v>
      </x:c>
      <x:c r="AG3203" s="87" t="str">
        <x:v>RESOLVED / SOURCE_REGENERATED</x:v>
      </x:c>
      <x:c r="AH3203" s="87" t="str">
        <x:v>SOURCE_PAGE_REGENERATED_FULL_PAGE_NO_CROP; TASK_CROP_QA_APPROVED:USE_CONTEXT</x:v>
      </x:c>
      <x:c r="AI3203" s="30"/>
      <x:c r="AJ3203" s="87" t="str">
        <x:v>master</x:v>
      </x:c>
      <x:c r="AK3203" s="87" t="str">
        <x:v>master-v0.81</x:v>
      </x:c>
      <x:c r="AL3203" s="87" t="str">
        <x:v>statgrad_master_base_v0_81_final(2).xlsx</x:v>
      </x:c>
      <x:c r="AM3203" s="87" t="str">
        <x:v>MATH_Oct_Base_V4</x:v>
      </x:c>
      <x:c r="AN3203" s="87" t="n">
        <x:v>12</x:v>
      </x:c>
    </x:row>
    <x:row r="3204">
      <x:c r="A3204" s="87" t="n">
        <x:v>3203</x:v>
      </x:c>
      <x:c r="B3204" s="87" t="str">
        <x:v>OCT-MATH-0104-12</x:v>
      </x:c>
      <x:c r="C3204" s="87" t="str">
        <x:v>СтатГрад</x:v>
      </x:c>
      <x:c r="D3204" s="87" t="str">
        <x:v>Октябрь 2025</x:v>
      </x:c>
      <x:c r="E3204" s="87"/>
      <x:c r="F3204" s="87"/>
      <x:c r="G3204" s="87" t="str">
        <x:v>Математика</x:v>
      </x:c>
      <x:c r="H3204" s="87" t="n">
        <x:v>11</x:v>
      </x:c>
      <x:c r="I3204" s="87" t="str">
        <x:v>ТР №1</x:v>
      </x:c>
      <x:c r="J3204" s="87" t="str">
        <x:v>МА2510104</x:v>
      </x:c>
      <x:c r="K3204" s="87" t="n">
        <x:v>12</x:v>
      </x:c>
      <x:c r="L3204" s="87" t="str">
        <x:v>Уравнение / вычисление</x:v>
      </x:c>
      <x:c r="M3204" s="30" t="str">
        <x:v>На прямой AB отмечена точка M . Луч MD —                                   C
     биссектриса угла CMB . Известно, что ∠DMC =°
                                                72 .                                         D
     Найдите угол CMA . Ответ дайте в градусах.
                                                                       A            M             B</x:v>
      </x:c>
      <x:c r="N3204" s="30" t="str">
        <x:v>36</x:v>
      </x:c>
      <x:c r="O3204" s="30" t="str">
        <x:v>Ответ принят по официальной таблице СтатГрад.</x:v>
      </x:c>
      <x:c r="P3204" s="30" t="str">
        <x:v>Код варианта, номер и условие постранично сопоставлены с первичным PDF; формат ответа проверен.</x:v>
      </x:c>
      <x:c r="Q3204" s="30"/>
      <x:c r="R3204" s="30" t="str">
        <x:v>Официальный фото-ключ базового уровня.</x:v>
      </x:c>
      <x:c r="S3204" s="30"/>
      <x:c r="T3204" s="30"/>
      <x:c r="U3204" s="30" t="str">
        <x:v>Расхождений не обнаружено.</x:v>
      </x:c>
      <x:c r="V3204" s="87" t="str">
        <x:v>VERIFIED</x:v>
      </x:c>
      <x:c r="W3204" s="87" t="n">
        <x:v>31</x:v>
      </x:c>
      <x:c r="X3204" s="87"/>
      <x:c r="Y3204" s="87"/>
      <x:c r="Z3204" s="87"/>
      <x:c r="AA3204" s="87"/>
      <x:c r="AB3204" s="87"/>
      <x:c r="AC3204" s="87"/>
      <x:c r="AD3204" s="87"/>
      <x:c r="AE3204" s="87"/>
      <x:c r="AF3204" s="87"/>
      <x:c r="AG3204" s="87"/>
      <x:c r="AH3204" s="87"/>
      <x:c r="AI3204" s="30"/>
      <x:c r="AJ3204" s="87" t="str">
        <x:v>master</x:v>
      </x:c>
      <x:c r="AK3204" s="87" t="str">
        <x:v>master-v0.81</x:v>
      </x:c>
      <x:c r="AL3204" s="87" t="str">
        <x:v>statgrad_master_base_v0_81_final(2).xlsx</x:v>
      </x:c>
      <x:c r="AM3204" s="87" t="str">
        <x:v>MATH_Oct_Base_V4</x:v>
      </x:c>
      <x:c r="AN3204" s="87" t="n">
        <x:v>13</x:v>
      </x:c>
    </x:row>
    <x:row r="3205">
      <x:c r="A3205" s="87" t="n">
        <x:v>3204</x:v>
      </x:c>
      <x:c r="B3205" s="87" t="str">
        <x:v>OCT-MATH-0104-13</x:v>
      </x:c>
      <x:c r="C3205" s="87" t="str">
        <x:v>СтатГрад</x:v>
      </x:c>
      <x:c r="D3205" s="87" t="str">
        <x:v>Октябрь 2025</x:v>
      </x:c>
      <x:c r="E3205" s="87"/>
      <x:c r="F3205" s="87"/>
      <x:c r="G3205" s="87" t="str">
        <x:v>Математика</x:v>
      </x:c>
      <x:c r="H3205" s="87" t="n">
        <x:v>11</x:v>
      </x:c>
      <x:c r="I3205" s="87" t="str">
        <x:v>ТР №1</x:v>
      </x:c>
      <x:c r="J3205" s="87" t="str">
        <x:v>МА2510104</x:v>
      </x:c>
      <x:c r="K3205" s="87" t="n">
        <x:v>13</x:v>
      </x:c>
      <x:c r="L3205" s="87" t="str">
        <x:v>Стереометрия</x:v>
      </x:c>
      <x:c r="M3205" s="30" t="str">
        <x:v>В прямоугольном параллелепипеде ABCDA1B1C1D1                          D1                    C1
     рёбра DA , DC и диагональ DA1 боковой грани A1                                     B1
     равны соответственно 2, 6 и 2 10 . Найдите объём
     параллелепипеда ABCDA1B1C1D1 .                                        D                     C
                                                                   A                    B
                                        8 11 13</x:v>
      </x:c>
      <x:c r="N3205" s="30" t="str">
        <x:v>72</x:v>
      </x:c>
      <x:c r="O3205" s="30" t="str">
        <x:v>Ответ принят по официальной таблице СтатГрад.</x:v>
      </x:c>
      <x:c r="P3205" s="30" t="str">
        <x:v>Код варианта, номер и условие постранично сопоставлены с первичным PDF; формат ответа проверен.</x:v>
      </x:c>
      <x:c r="Q3205" s="30"/>
      <x:c r="R3205" s="30" t="str">
        <x:v>Официальный фото-ключ базового уровня.</x:v>
      </x:c>
      <x:c r="S3205" s="30"/>
      <x:c r="T3205" s="30"/>
      <x:c r="U3205" s="30" t="str">
        <x:v>Расхождений не обнаружено.</x:v>
      </x:c>
      <x:c r="V3205" s="87" t="str">
        <x:v>VERIFIED</x:v>
      </x:c>
      <x:c r="W3205" s="87" t="n">
        <x:v>31</x:v>
      </x:c>
      <x:c r="X3205" s="87"/>
      <x:c r="Y3205" s="87"/>
      <x:c r="Z3205" s="87"/>
      <x:c r="AA3205" s="87"/>
      <x:c r="AB3205" s="87"/>
      <x:c r="AC3205" s="87"/>
      <x:c r="AD3205" s="87"/>
      <x:c r="AE3205" s="87"/>
      <x:c r="AF3205" s="87"/>
      <x:c r="AG3205" s="87"/>
      <x:c r="AH3205" s="87"/>
      <x:c r="AI3205" s="30"/>
      <x:c r="AJ3205" s="87" t="str">
        <x:v>master</x:v>
      </x:c>
      <x:c r="AK3205" s="87" t="str">
        <x:v>master-v0.81</x:v>
      </x:c>
      <x:c r="AL3205" s="87" t="str">
        <x:v>statgrad_master_base_v0_81_final(2).xlsx</x:v>
      </x:c>
      <x:c r="AM3205" s="87" t="str">
        <x:v>MATH_Oct_Base_V4</x:v>
      </x:c>
      <x:c r="AN3205" s="87" t="n">
        <x:v>14</x:v>
      </x:c>
    </x:row>
    <x:row r="3206">
      <x:c r="A3206" s="87" t="n">
        <x:v>3205</x:v>
      </x:c>
      <x:c r="B3206" s="87" t="str">
        <x:v>OCT-MATH-0104-14</x:v>
      </x:c>
      <x:c r="C3206" s="87" t="str">
        <x:v>СтатГрад</x:v>
      </x:c>
      <x:c r="D3206" s="87" t="str">
        <x:v>Октябрь 2025</x:v>
      </x:c>
      <x:c r="E3206" s="87"/>
      <x:c r="F3206" s="87"/>
      <x:c r="G3206" s="87" t="str">
        <x:v>Математика</x:v>
      </x:c>
      <x:c r="H3206" s="87" t="n">
        <x:v>11</x:v>
      </x:c>
      <x:c r="I3206" s="87" t="str">
        <x:v>ТР №1</x:v>
      </x:c>
      <x:c r="J3206" s="87" t="str">
        <x:v>МА2510104</x:v>
      </x:c>
      <x:c r="K3206" s="87" t="n">
        <x:v>14</x:v>
      </x:c>
      <x:c r="L3206" s="87" t="str">
        <x:v>Планиметрия</x:v>
      </x:c>
      <x:c r="M3206" s="30" t="str">
        <x:v>Найдите значение выражения          ⋅ − .
                                        3 5 15</x:v>
      </x:c>
      <x:c r="N3206" s="30" t="str">
        <x:v>5</x:v>
      </x:c>
      <x:c r="O3206" s="30" t="str">
        <x:v>Ответ принят по официальной таблице СтатГрад.</x:v>
      </x:c>
      <x:c r="P3206" s="30" t="str">
        <x:v>Код варианта, номер и условие постранично сопоставлены с первичным PDF; формат ответа проверен.</x:v>
      </x:c>
      <x:c r="Q3206" s="30"/>
      <x:c r="R3206" s="30" t="str">
        <x:v>Официальный фото-ключ базового уровня.</x:v>
      </x:c>
      <x:c r="S3206" s="30"/>
      <x:c r="T3206" s="30"/>
      <x:c r="U3206" s="30" t="str">
        <x:v>Расхождений не обнаружено.</x:v>
      </x:c>
      <x:c r="V3206" s="87" t="str">
        <x:v>VERIFIED</x:v>
      </x:c>
      <x:c r="W3206" s="87" t="n">
        <x:v>31</x:v>
      </x:c>
      <x:c r="X3206" s="87"/>
      <x:c r="Y3206" s="87"/>
      <x:c r="Z3206" s="87"/>
      <x:c r="AA3206" s="87"/>
      <x:c r="AB3206" s="87"/>
      <x:c r="AC3206" s="87"/>
      <x:c r="AD3206" s="87"/>
      <x:c r="AE3206" s="87"/>
      <x:c r="AF3206" s="87"/>
      <x:c r="AG3206" s="87"/>
      <x:c r="AH3206" s="87"/>
      <x:c r="AI3206" s="30"/>
      <x:c r="AJ3206" s="87" t="str">
        <x:v>master</x:v>
      </x:c>
      <x:c r="AK3206" s="87" t="str">
        <x:v>master-v0.81</x:v>
      </x:c>
      <x:c r="AL3206" s="87" t="str">
        <x:v>statgrad_master_base_v0_81_final(2).xlsx</x:v>
      </x:c>
      <x:c r="AM3206" s="87" t="str">
        <x:v>MATH_Oct_Base_V4</x:v>
      </x:c>
      <x:c r="AN3206" s="87" t="n">
        <x:v>15</x:v>
      </x:c>
    </x:row>
    <x:row r="3207">
      <x:c r="A3207" s="87" t="n">
        <x:v>3206</x:v>
      </x:c>
      <x:c r="B3207" s="87" t="str">
        <x:v>OCT-MATH-0104-15</x:v>
      </x:c>
      <x:c r="C3207" s="87" t="str">
        <x:v>СтатГрад</x:v>
      </x:c>
      <x:c r="D3207" s="87" t="str">
        <x:v>Октябрь 2025</x:v>
      </x:c>
      <x:c r="E3207" s="87"/>
      <x:c r="F3207" s="87"/>
      <x:c r="G3207" s="87" t="str">
        <x:v>Математика</x:v>
      </x:c>
      <x:c r="H3207" s="87" t="n">
        <x:v>11</x:v>
      </x:c>
      <x:c r="I3207" s="87" t="str">
        <x:v>ТР №1</x:v>
      </x:c>
      <x:c r="J3207" s="87" t="str">
        <x:v>МА2510104</x:v>
      </x:c>
      <x:c r="K3207" s="87" t="n">
        <x:v>15</x:v>
      </x:c>
      <x:c r="L3207" s="87" t="str">
        <x:v>Алгебра</x:v>
      </x:c>
      <x:c r="M3207" s="30" t="str">
        <x:v>Магазин делает пенсионерам скидку. Десяток яиц стоит в магазине
     117 рублей, а пенсионер заплатил за них 104 рубля 13 копеек. Сколько
     процентов составила скидка для пенсионера?</x:v>
      </x:c>
      <x:c r="N3207" s="30" t="str">
        <x:v>11</x:v>
      </x:c>
      <x:c r="O3207" s="30" t="str">
        <x:v>Ответ принят по официальной таблице СтатГрад.</x:v>
      </x:c>
      <x:c r="P3207" s="30" t="str">
        <x:v>Код варианта, номер и условие постранично сопоставлены с первичным PDF; формат ответа проверен.</x:v>
      </x:c>
      <x:c r="Q3207" s="30"/>
      <x:c r="R3207" s="30" t="str">
        <x:v>Официальный фото-ключ базового уровня.</x:v>
      </x:c>
      <x:c r="S3207" s="30"/>
      <x:c r="T3207" s="30"/>
      <x:c r="U3207" s="30" t="str">
        <x:v>Расхождений не обнаружено.</x:v>
      </x:c>
      <x:c r="V3207" s="87" t="str">
        <x:v>VERIFIED</x:v>
      </x:c>
      <x:c r="W3207" s="87" t="n">
        <x:v>31</x:v>
      </x:c>
      <x:c r="X3207" s="87"/>
      <x:c r="Y3207" s="87"/>
      <x:c r="Z3207" s="87"/>
      <x:c r="AA3207" s="87"/>
      <x:c r="AB3207" s="87"/>
      <x:c r="AC3207" s="87"/>
      <x:c r="AD3207" s="87"/>
      <x:c r="AE3207" s="87"/>
      <x:c r="AF3207" s="87"/>
      <x:c r="AG3207" s="87"/>
      <x:c r="AH3207" s="87"/>
      <x:c r="AI3207" s="30"/>
      <x:c r="AJ3207" s="87" t="str">
        <x:v>master</x:v>
      </x:c>
      <x:c r="AK3207" s="87" t="str">
        <x:v>master-v0.81</x:v>
      </x:c>
      <x:c r="AL3207" s="87" t="str">
        <x:v>statgrad_master_base_v0_81_final(2).xlsx</x:v>
      </x:c>
      <x:c r="AM3207" s="87" t="str">
        <x:v>MATH_Oct_Base_V4</x:v>
      </x:c>
      <x:c r="AN3207" s="87" t="n">
        <x:v>16</x:v>
      </x:c>
    </x:row>
    <x:row r="3208">
      <x:c r="A3208" s="87" t="n">
        <x:v>3207</x:v>
      </x:c>
      <x:c r="B3208" s="87" t="str">
        <x:v>OCT-MATH-0104-16</x:v>
      </x:c>
      <x:c r="C3208" s="87" t="str">
        <x:v>СтатГрад</x:v>
      </x:c>
      <x:c r="D3208" s="87" t="str">
        <x:v>Октябрь 2025</x:v>
      </x:c>
      <x:c r="E3208" s="87"/>
      <x:c r="F3208" s="87"/>
      <x:c r="G3208" s="87" t="str">
        <x:v>Математика</x:v>
      </x:c>
      <x:c r="H3208" s="87" t="n">
        <x:v>11</x:v>
      </x:c>
      <x:c r="I3208" s="87" t="str">
        <x:v>ТР №1</x:v>
      </x:c>
      <x:c r="J3208" s="87" t="str">
        <x:v>МА2510104</x:v>
      </x:c>
      <x:c r="K3208" s="87" t="n">
        <x:v>16</x:v>
      </x:c>
      <x:c r="L3208" s="87" t="str">
        <x:v>Проценты / финансы</x:v>
      </x:c>
      <x:c r="M3208" s="30" t="str">
        <x:v>Найдите значение выражения 10 ⋅ 3,6 .</x:v>
      </x:c>
      <x:c r="N3208" s="30" t="str">
        <x:v>6</x:v>
      </x:c>
      <x:c r="O3208" s="30" t="str">
        <x:v>Ответ принят по официальной таблице СтатГрад.</x:v>
      </x:c>
      <x:c r="P3208" s="30" t="str">
        <x:v>Код варианта, номер и условие постранично сопоставлены с первичным PDF; формат ответа проверен.</x:v>
      </x:c>
      <x:c r="Q3208" s="30"/>
      <x:c r="R3208" s="30" t="str">
        <x:v>Официальный фото-ключ базового уровня.</x:v>
      </x:c>
      <x:c r="S3208" s="30"/>
      <x:c r="T3208" s="30"/>
      <x:c r="U3208" s="30" t="str">
        <x:v>Расхождений не обнаружено.</x:v>
      </x:c>
      <x:c r="V3208" s="87" t="str">
        <x:v>VERIFIED</x:v>
      </x:c>
      <x:c r="W3208" s="87" t="n">
        <x:v>31</x:v>
      </x:c>
      <x:c r="X3208" s="87"/>
      <x:c r="Y3208" s="87"/>
      <x:c r="Z3208" s="87"/>
      <x:c r="AA3208" s="87"/>
      <x:c r="AB3208" s="87"/>
      <x:c r="AC3208" s="87"/>
      <x:c r="AD3208" s="87"/>
      <x:c r="AE3208" s="87"/>
      <x:c r="AF3208" s="87"/>
      <x:c r="AG3208" s="87"/>
      <x:c r="AH3208" s="87"/>
      <x:c r="AI3208" s="30"/>
      <x:c r="AJ3208" s="87" t="str">
        <x:v>master</x:v>
      </x:c>
      <x:c r="AK3208" s="87" t="str">
        <x:v>master-v0.81</x:v>
      </x:c>
      <x:c r="AL3208" s="87" t="str">
        <x:v>statgrad_master_base_v0_81_final(2).xlsx</x:v>
      </x:c>
      <x:c r="AM3208" s="87" t="str">
        <x:v>MATH_Oct_Base_V4</x:v>
      </x:c>
      <x:c r="AN3208" s="87" t="n">
        <x:v>17</x:v>
      </x:c>
    </x:row>
    <x:row r="3209">
      <x:c r="A3209" s="87" t="n">
        <x:v>3208</x:v>
      </x:c>
      <x:c r="B3209" s="87" t="str">
        <x:v>OCT-MATH-0104-17</x:v>
      </x:c>
      <x:c r="C3209" s="87" t="str">
        <x:v>СтатГрад</x:v>
      </x:c>
      <x:c r="D3209" s="87" t="str">
        <x:v>Октябрь 2025</x:v>
      </x:c>
      <x:c r="E3209" s="87"/>
      <x:c r="F3209" s="87"/>
      <x:c r="G3209" s="87" t="str">
        <x:v>Математика</x:v>
      </x:c>
      <x:c r="H3209" s="87" t="n">
        <x:v>11</x:v>
      </x:c>
      <x:c r="I3209" s="87" t="str">
        <x:v>ТР №1</x:v>
      </x:c>
      <x:c r="J3209" s="87" t="str">
        <x:v>МА2510104</x:v>
      </x:c>
      <x:c r="K3209" s="87" t="n">
        <x:v>17</x:v>
      </x:c>
      <x:c r="L3209" s="87" t="str">
        <x:v>Логика / комбинаторика</x:v>
      </x:c>
      <x:c r="M3209" s="30" t="str">
        <x:v>Найдите корень уравнения log 2 ( 3 x + 1) =
                                               4.
                                    согласия СтатГрад запрещена</x:v>
      </x:c>
      <x:c r="N3209" s="30" t="str">
        <x:v>5</x:v>
      </x:c>
      <x:c r="O3209" s="30" t="str">
        <x:v>Ответ принят по официальной таблице СтатГрад.</x:v>
      </x:c>
      <x:c r="P3209" s="30" t="str">
        <x:v>Код варианта, номер и условие постранично сопоставлены с первичным PDF; формат ответа проверен.</x:v>
      </x:c>
      <x:c r="Q3209" s="30"/>
      <x:c r="R3209" s="30" t="str">
        <x:v>Официальный фото-ключ базового уровня.</x:v>
      </x:c>
      <x:c r="S3209" s="30"/>
      <x:c r="T3209" s="30"/>
      <x:c r="U3209" s="30" t="str">
        <x:v>Расхождений не обнаружено.</x:v>
      </x:c>
      <x:c r="V3209" s="87" t="str">
        <x:v>VERIFIED</x:v>
      </x:c>
      <x:c r="W3209" s="87" t="n">
        <x:v>31</x:v>
      </x:c>
      <x:c r="X3209" s="87"/>
      <x:c r="Y3209" s="87"/>
      <x:c r="Z3209" s="87"/>
      <x:c r="AA3209" s="87"/>
      <x:c r="AB3209" s="87"/>
      <x:c r="AC3209" s="87"/>
      <x:c r="AD3209" s="87"/>
      <x:c r="AE3209" s="87"/>
      <x:c r="AF3209" s="87"/>
      <x:c r="AG3209" s="87"/>
      <x:c r="AH3209" s="87"/>
      <x:c r="AI3209" s="30"/>
      <x:c r="AJ3209" s="87" t="str">
        <x:v>master</x:v>
      </x:c>
      <x:c r="AK3209" s="87" t="str">
        <x:v>master-v0.81</x:v>
      </x:c>
      <x:c r="AL3209" s="87" t="str">
        <x:v>statgrad_master_base_v0_81_final(2).xlsx</x:v>
      </x:c>
      <x:c r="AM3209" s="87" t="str">
        <x:v>MATH_Oct_Base_V4</x:v>
      </x:c>
      <x:c r="AN3209" s="87" t="n">
        <x:v>18</x:v>
      </x:c>
    </x:row>
    <x:row r="3210">
      <x:c r="A3210" s="87" t="n">
        <x:v>3209</x:v>
      </x:c>
      <x:c r="B3210" s="87" t="str">
        <x:v>OCT-MATH-0104-18</x:v>
      </x:c>
      <x:c r="C3210" s="87" t="str">
        <x:v>СтатГрад</x:v>
      </x:c>
      <x:c r="D3210" s="87" t="str">
        <x:v>Октябрь 2025</x:v>
      </x:c>
      <x:c r="E3210" s="87"/>
      <x:c r="F3210" s="87"/>
      <x:c r="G3210" s="87" t="str">
        <x:v>Математика</x:v>
      </x:c>
      <x:c r="H3210" s="87" t="n">
        <x:v>11</x:v>
      </x:c>
      <x:c r="I3210" s="87" t="str">
        <x:v>ТР №1</x:v>
      </x:c>
      <x:c r="J3210" s="87" t="str">
        <x:v>МА2510104</x:v>
      </x:c>
      <x:c r="K3210" s="87" t="n">
        <x:v>18</x:v>
      </x:c>
      <x:c r="L3210" s="87" t="str">
        <x:v>Числовая задача</x:v>
      </x:c>
      <x:c r="M3210" s="30" t="str">
        <x:v>Каждому из четырёх неравенств в левом столбце соответствует одно
     из решений в правом столбце. Установите соответствие между
     неравенствами и их решениями.
                     НЕРАВЕНСТВА                                      РЕШЕНИЯ
                       А) 2 x ≥ 2                                     1) [1;+ ∞ )
                       Б) 0,5 x ≥ 2                                   2) ( −∞;1]
                        В) 0,5 x ≤ 2                                  3) ( −∞; −1]
                        Г) 2 x ≤ 2                                    4) [ −1; + ∞ )
     Впишите в приведённую в ответе                     таблицу     под    каждой      буквой
     соответствующий решению номер.
                А Б В Г
     Ответ:</x:v>
      </x:c>
      <x:c r="N3210" s="30" t="str">
        <x:v>1342</x:v>
      </x:c>
      <x:c r="O3210" s="30" t="str">
        <x:v>Ответ принят по официальной таблице СтатГрад.</x:v>
      </x:c>
      <x:c r="P3210" s="30" t="str">
        <x:v>Код варианта, номер и условие постранично сопоставлены с первичным PDF; формат ответа проверен.</x:v>
      </x:c>
      <x:c r="Q3210" s="30"/>
      <x:c r="R3210" s="30" t="str">
        <x:v>Официальный фото-ключ базового уровня.</x:v>
      </x:c>
      <x:c r="S3210" s="30"/>
      <x:c r="T3210" s="30"/>
      <x:c r="U3210" s="30" t="str">
        <x:v>Расхождений не обнаружено.</x:v>
      </x:c>
      <x:c r="V3210" s="87" t="str">
        <x:v>VERIFIED</x:v>
      </x:c>
      <x:c r="W3210" s="87" t="n">
        <x:v>32</x:v>
      </x:c>
      <x:c r="X3210" s="87"/>
      <x:c r="Y3210" s="87"/>
      <x:c r="Z3210" s="87"/>
      <x:c r="AA3210" s="87"/>
      <x:c r="AB3210" s="87"/>
      <x:c r="AC3210" s="87"/>
      <x:c r="AD3210" s="87"/>
      <x:c r="AE3210" s="87"/>
      <x:c r="AF3210" s="87"/>
      <x:c r="AG3210" s="87"/>
      <x:c r="AH3210" s="87"/>
      <x:c r="AI3210" s="30"/>
      <x:c r="AJ3210" s="87" t="str">
        <x:v>master</x:v>
      </x:c>
      <x:c r="AK3210" s="87" t="str">
        <x:v>master-v0.81</x:v>
      </x:c>
      <x:c r="AL3210" s="87" t="str">
        <x:v>statgrad_master_base_v0_81_final(2).xlsx</x:v>
      </x:c>
      <x:c r="AM3210" s="87" t="str">
        <x:v>MATH_Oct_Base_V4</x:v>
      </x:c>
      <x:c r="AN3210" s="87" t="n">
        <x:v>19</x:v>
      </x:c>
    </x:row>
    <x:row r="3211">
      <x:c r="A3211" s="87" t="n">
        <x:v>3210</x:v>
      </x:c>
      <x:c r="B3211" s="87" t="str">
        <x:v>OCT-MATH-0104-19</x:v>
      </x:c>
      <x:c r="C3211" s="87" t="str">
        <x:v>СтатГрад</x:v>
      </x:c>
      <x:c r="D3211" s="87" t="str">
        <x:v>Октябрь 2025</x:v>
      </x:c>
      <x:c r="E3211" s="87"/>
      <x:c r="F3211" s="87"/>
      <x:c r="G3211" s="87" t="str">
        <x:v>Математика</x:v>
      </x:c>
      <x:c r="H3211" s="87" t="n">
        <x:v>11</x:v>
      </x:c>
      <x:c r="I3211" s="87" t="str">
        <x:v>ТР №1</x:v>
      </x:c>
      <x:c r="J3211" s="87" t="str">
        <x:v>МА2510104</x:v>
      </x:c>
      <x:c r="K3211" s="87" t="n">
        <x:v>19</x:v>
      </x:c>
      <x:c r="L3211" s="87" t="str">
        <x:v>Теория чисел</x:v>
      </x:c>
      <x:c r="M3211" s="30" t="str">
        <x:v>Найдите чётное трёхзначное натуральное число, сумма цифр которого
     на 1 меньше их произведения. В ответе укажите какое-нибудь одно такое
     число.</x:v>
      </x:c>
      <x:c r="N3211" s="30" t="str">
        <x:v>124</x:v>
      </x:c>
      <x:c r="O3211" s="30" t="str">
        <x:v>Ответ принят по официальной таблице СтатГрад.</x:v>
      </x:c>
      <x:c r="P3211" s="30" t="str">
        <x:v>Код варианта, номер и условие постранично сопоставлены с первичным PDF; формат ответа проверен.</x:v>
      </x:c>
      <x:c r="Q3211" s="30"/>
      <x:c r="R3211" s="30" t="str">
        <x:v>Официальный фото-ключ базового уровня.</x:v>
      </x:c>
      <x:c r="S3211" s="30"/>
      <x:c r="T3211" s="30"/>
      <x:c r="U3211" s="30" t="str">
        <x:v>Расхождений не обнаружено.</x:v>
      </x:c>
      <x:c r="V3211" s="87" t="str">
        <x:v>VERIFIED</x:v>
      </x:c>
      <x:c r="W3211" s="87" t="n">
        <x:v>32</x:v>
      </x:c>
      <x:c r="X3211" s="87"/>
      <x:c r="Y3211" s="87"/>
      <x:c r="Z3211" s="87"/>
      <x:c r="AA3211" s="87"/>
      <x:c r="AB3211" s="87"/>
      <x:c r="AC3211" s="87"/>
      <x:c r="AD3211" s="87"/>
      <x:c r="AE3211" s="87"/>
      <x:c r="AF3211" s="87"/>
      <x:c r="AG3211" s="87"/>
      <x:c r="AH3211" s="87"/>
      <x:c r="AI3211" s="30"/>
      <x:c r="AJ3211" s="87" t="str">
        <x:v>master</x:v>
      </x:c>
      <x:c r="AK3211" s="87" t="str">
        <x:v>master-v0.81</x:v>
      </x:c>
      <x:c r="AL3211" s="87" t="str">
        <x:v>statgrad_master_base_v0_81_final(2).xlsx</x:v>
      </x:c>
      <x:c r="AM3211" s="87" t="str">
        <x:v>MATH_Oct_Base_V4</x:v>
      </x:c>
      <x:c r="AN3211" s="87" t="n">
        <x:v>20</x:v>
      </x:c>
    </x:row>
    <x:row r="3212">
      <x:c r="A3212" s="87" t="n">
        <x:v>3211</x:v>
      </x:c>
      <x:c r="B3212" s="87" t="str">
        <x:v>OCT-MATH-0104-20</x:v>
      </x:c>
      <x:c r="C3212" s="87" t="str">
        <x:v>СтатГрад</x:v>
      </x:c>
      <x:c r="D3212" s="87" t="str">
        <x:v>Октябрь 2025</x:v>
      </x:c>
      <x:c r="E3212" s="87"/>
      <x:c r="F3212" s="87"/>
      <x:c r="G3212" s="87" t="str">
        <x:v>Математика</x:v>
      </x:c>
      <x:c r="H3212" s="87" t="n">
        <x:v>11</x:v>
      </x:c>
      <x:c r="I3212" s="87" t="str">
        <x:v>ТР №1</x:v>
      </x:c>
      <x:c r="J3212" s="87" t="str">
        <x:v>МА2510104</x:v>
      </x:c>
      <x:c r="K3212" s="87" t="n">
        <x:v>20</x:v>
      </x:c>
      <x:c r="L3212" s="87" t="str">
        <x:v>Практическая задача</x:v>
      </x:c>
      <x:c r="M3212" s="30" t="str">
        <x:v>Петя и Ваня выполняют одинаковый тест. Петя отвечает за час
     на 10 вопросов теста, а Ваня — на 24. Они одновременно начали отвечать
     на вопросы теста, и Петя закончил свой тест позже Вани на 70 минут.
     Сколько вопросов содержит тест?</x:v>
      </x:c>
      <x:c r="N3212" s="30" t="str">
        <x:v>20</x:v>
      </x:c>
      <x:c r="O3212" s="30" t="str">
        <x:v>Ответ принят по официальной таблице СтатГрад.</x:v>
      </x:c>
      <x:c r="P3212" s="30" t="str">
        <x:v>Код варианта, номер и условие постранично сопоставлены с первичным PDF; формат ответа проверен.</x:v>
      </x:c>
      <x:c r="Q3212" s="30"/>
      <x:c r="R3212" s="30" t="str">
        <x:v>Официальный фото-ключ базового уровня.</x:v>
      </x:c>
      <x:c r="S3212" s="30"/>
      <x:c r="T3212" s="30"/>
      <x:c r="U3212" s="30" t="str">
        <x:v>Расхождений не обнаружено.</x:v>
      </x:c>
      <x:c r="V3212" s="87" t="str">
        <x:v>VERIFIED</x:v>
      </x:c>
      <x:c r="W3212" s="87" t="n">
        <x:v>32</x:v>
      </x:c>
      <x:c r="X3212" s="87"/>
      <x:c r="Y3212" s="87"/>
      <x:c r="Z3212" s="87"/>
      <x:c r="AA3212" s="87"/>
      <x:c r="AB3212" s="87"/>
      <x:c r="AC3212" s="87"/>
      <x:c r="AD3212" s="87"/>
      <x:c r="AE3212" s="87"/>
      <x:c r="AF3212" s="87"/>
      <x:c r="AG3212" s="87"/>
      <x:c r="AH3212" s="87"/>
      <x:c r="AI3212" s="30"/>
      <x:c r="AJ3212" s="87" t="str">
        <x:v>master</x:v>
      </x:c>
      <x:c r="AK3212" s="87" t="str">
        <x:v>master-v0.81</x:v>
      </x:c>
      <x:c r="AL3212" s="87" t="str">
        <x:v>statgrad_master_base_v0_81_final(2).xlsx</x:v>
      </x:c>
      <x:c r="AM3212" s="87" t="str">
        <x:v>MATH_Oct_Base_V4</x:v>
      </x:c>
      <x:c r="AN3212" s="87" t="n">
        <x:v>21</x:v>
      </x:c>
    </x:row>
    <x:row r="3213">
      <x:c r="A3213" s="87" t="n">
        <x:v>3212</x:v>
      </x:c>
      <x:c r="B3213" s="87" t="str">
        <x:v>OCT-MATH-0104-21</x:v>
      </x:c>
      <x:c r="C3213" s="87" t="str">
        <x:v>СтатГрад</x:v>
      </x:c>
      <x:c r="D3213" s="87" t="str">
        <x:v>Октябрь 2025</x:v>
      </x:c>
      <x:c r="E3213" s="87"/>
      <x:c r="F3213" s="87"/>
      <x:c r="G3213" s="87" t="str">
        <x:v>Математика</x:v>
      </x:c>
      <x:c r="H3213" s="87" t="n">
        <x:v>11</x:v>
      </x:c>
      <x:c r="I3213" s="87" t="str">
        <x:v>ТР №1</x:v>
      </x:c>
      <x:c r="J3213" s="87" t="str">
        <x:v>МА2510104</x:v>
      </x:c>
      <x:c r="K3213" s="87" t="n">
        <x:v>21</x:v>
      </x:c>
      <x:c r="L3213" s="87" t="str">
        <x:v>Оптимизация / вычисление</x:v>
      </x:c>
      <x:c r="M3213" s="30" t="str">
        <x:v>В магазине квас на разлив можно купить в бутылках, причём стоимость кваса
     в бутылке складывается из стоимости самой бутылки и кваса, налитого в неё.
     Цена бутылки не зависит от её объёма. Бутылка кваса объёмом 1 литр стоит
     85 рублей, объёмом 2 литра — 153 рубля. Сколько рублей будет стоить
     бутылка кваса объёмом 0,5 литра?
                                    согласия СтатГрад запрещена</x:v>
      </x:c>
      <x:c r="N3213" s="30" t="str">
        <x:v>51</x:v>
      </x:c>
      <x:c r="O3213" s="30" t="str">
        <x:v>Ответ принят по официальной таблице СтатГрад.</x:v>
      </x:c>
      <x:c r="P3213" s="30" t="str">
        <x:v>Код варианта, номер и условие постранично сопоставлены с первичным PDF; формат ответа проверен.</x:v>
      </x:c>
      <x:c r="Q3213" s="30"/>
      <x:c r="R3213" s="30" t="str">
        <x:v>Официальный фото-ключ базового уровня.</x:v>
      </x:c>
      <x:c r="S3213" s="30"/>
      <x:c r="T3213" s="30"/>
      <x:c r="U3213" s="30" t="str">
        <x:v>Расхождений не обнаружено.</x:v>
      </x:c>
      <x:c r="V3213" s="87" t="str">
        <x:v>VERIFIED</x:v>
      </x:c>
      <x:c r="W3213" s="87" t="n">
        <x:v>32</x:v>
      </x:c>
      <x:c r="X3213" s="87"/>
      <x:c r="Y3213" s="87"/>
      <x:c r="Z3213" s="87"/>
      <x:c r="AA3213" s="87"/>
      <x:c r="AB3213" s="87"/>
      <x:c r="AC3213" s="87"/>
      <x:c r="AD3213" s="87"/>
      <x:c r="AE3213" s="87"/>
      <x:c r="AF3213" s="87"/>
      <x:c r="AG3213" s="87"/>
      <x:c r="AH3213" s="87"/>
      <x:c r="AI3213" s="30"/>
      <x:c r="AJ3213" s="87" t="str">
        <x:v>master</x:v>
      </x:c>
      <x:c r="AK3213" s="87" t="str">
        <x:v>master-v0.81</x:v>
      </x:c>
      <x:c r="AL3213" s="87" t="str">
        <x:v>statgrad_master_base_v0_81_final(2).xlsx</x:v>
      </x:c>
      <x:c r="AM3213" s="87" t="str">
        <x:v>MATH_Oct_Base_V4</x:v>
      </x:c>
      <x:c r="AN3213" s="87" t="n">
        <x:v>22</x:v>
      </x:c>
    </x:row>
    <x:row r="3214">
      <x:c r="A3214" s="87" t="n">
        <x:v>3213</x:v>
      </x:c>
      <x:c r="B3214" s="87" t="str">
        <x:v>OCT-MATH-0105-01</x:v>
      </x:c>
      <x:c r="C3214" s="87" t="str">
        <x:v>СтатГрад</x:v>
      </x:c>
      <x:c r="D3214" s="87" t="str">
        <x:v>Октябрь 2025</x:v>
      </x:c>
      <x:c r="E3214" s="87"/>
      <x:c r="F3214" s="87"/>
      <x:c r="G3214" s="87" t="str">
        <x:v>Математика</x:v>
      </x:c>
      <x:c r="H3214" s="87" t="n">
        <x:v>11</x:v>
      </x:c>
      <x:c r="I3214" s="87" t="str">
        <x:v>ТР №1</x:v>
      </x:c>
      <x:c r="J3214" s="87" t="str">
        <x:v>МА2510105</x:v>
      </x:c>
      <x:c r="K3214" s="87" t="n">
        <x:v>1</x:v>
      </x:c>
      <x:c r="L3214" s="87" t="str">
        <x:v>Практическая арифметика</x:v>
      </x:c>
      <x:c r="M3214" s="30" t="str">
        <x:v>На день рождения полагается дарить букет из нечётного числа цветов.
    Тюльпаны стоят 30 рублей за штуку. У Вани есть 500 рублей. Из какого
    наибольшего числа тюльпанов он может купить букет Маше на день
    рождения?</x:v>
      </x:c>
      <x:c r="N3214" s="30" t="str">
        <x:v>15</x:v>
      </x:c>
      <x:c r="O3214" s="30" t="str">
        <x:v>Ответ принят по официальной таблице СтатГрад.</x:v>
      </x:c>
      <x:c r="P3214" s="30" t="str">
        <x:v>Код варианта, номер и условие постранично сопоставлены с первичным PDF; формат ответа проверен.</x:v>
      </x:c>
      <x:c r="Q3214" s="30"/>
      <x:c r="R3214" s="30" t="str">
        <x:v>Официальный фото-ключ базового уровня.</x:v>
      </x:c>
      <x:c r="S3214" s="30"/>
      <x:c r="T3214" s="30"/>
      <x:c r="U3214" s="30" t="str">
        <x:v>Расхождений не обнаружено.</x:v>
      </x:c>
      <x:c r="V3214" s="87" t="str">
        <x:v>VERIFIED</x:v>
      </x:c>
      <x:c r="W3214" s="87" t="n">
        <x:v>2</x:v>
      </x:c>
      <x:c r="X3214" s="87"/>
      <x:c r="Y3214" s="87"/>
      <x:c r="Z3214" s="87"/>
      <x:c r="AA3214" s="87"/>
      <x:c r="AB3214" s="87"/>
      <x:c r="AC3214" s="87"/>
      <x:c r="AD3214" s="87"/>
      <x:c r="AE3214" s="87"/>
      <x:c r="AF3214" s="87"/>
      <x:c r="AG3214" s="87"/>
      <x:c r="AH3214" s="87"/>
      <x:c r="AI3214" s="30"/>
      <x:c r="AJ3214" s="87" t="str">
        <x:v>master</x:v>
      </x:c>
      <x:c r="AK3214" s="87" t="str">
        <x:v>master-v0.81</x:v>
      </x:c>
      <x:c r="AL3214" s="87" t="str">
        <x:v>statgrad_master_base_v0_81_final(2).xlsx</x:v>
      </x:c>
      <x:c r="AM3214" s="87" t="str">
        <x:v>MATH_Oct_Base_V5</x:v>
      </x:c>
      <x:c r="AN3214" s="87" t="n">
        <x:v>2</x:v>
      </x:c>
    </x:row>
    <x:row r="3215">
      <x:c r="A3215" s="87" t="n">
        <x:v>3214</x:v>
      </x:c>
      <x:c r="B3215" s="87" t="str">
        <x:v>OCT-MATH-0105-02</x:v>
      </x:c>
      <x:c r="C3215" s="87" t="str">
        <x:v>СтатГрад</x:v>
      </x:c>
      <x:c r="D3215" s="87" t="str">
        <x:v>Октябрь 2025</x:v>
      </x:c>
      <x:c r="E3215" s="87"/>
      <x:c r="F3215" s="87"/>
      <x:c r="G3215" s="87" t="str">
        <x:v>Математика</x:v>
      </x:c>
      <x:c r="H3215" s="87" t="n">
        <x:v>11</x:v>
      </x:c>
      <x:c r="I3215" s="87" t="str">
        <x:v>ТР №1</x:v>
      </x:c>
      <x:c r="J3215" s="87" t="str">
        <x:v>МА2510105</x:v>
      </x:c>
      <x:c r="K3215" s="87" t="n">
        <x:v>2</x:v>
      </x:c>
      <x:c r="L3215" s="87" t="str">
        <x:v>Соответствие величин</x:v>
      </x:c>
      <x:c r="M3215"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объём банки кетчупа                                1) 45 м   3
    Б) объём воды в озере Мичиган                         2) 0,4 л
    В) объём спальной комнаты                             3) 94 л
    Г) объём картонной коробки                            4) 4918 км 3
       из-под телевизора
    В таблице под каждой буквой, соответствующей величине, укажите номер её
    возможного значения.
               А Б В Г
    Ответ:
                                   согласия СтатГрад запрещена</x:v>
      </x:c>
      <x:c r="N3215" s="30" t="str">
        <x:v>2413</x:v>
      </x:c>
      <x:c r="O3215" s="30" t="str">
        <x:v>Ответ принят по официальной таблице СтатГрад.</x:v>
      </x:c>
      <x:c r="P3215" s="30" t="str">
        <x:v>Код варианта, номер и условие постранично сопоставлены с первичным PDF; формат ответа проверен.</x:v>
      </x:c>
      <x:c r="Q3215" s="30"/>
      <x:c r="R3215" s="30" t="str">
        <x:v>Официальный фото-ключ базового уровня.</x:v>
      </x:c>
      <x:c r="S3215" s="30"/>
      <x:c r="T3215" s="30"/>
      <x:c r="U3215" s="30" t="str">
        <x:v>Расхождений не обнаружено.</x:v>
      </x:c>
      <x:c r="V3215" s="87" t="str">
        <x:v>VERIFIED</x:v>
      </x:c>
      <x:c r="W3215" s="87" t="n">
        <x:v>2</x:v>
      </x:c>
      <x:c r="X3215" s="87"/>
      <x:c r="Y3215" s="87"/>
      <x:c r="Z3215" s="87"/>
      <x:c r="AA3215" s="87"/>
      <x:c r="AB3215" s="87"/>
      <x:c r="AC3215" s="87"/>
      <x:c r="AD3215" s="87"/>
      <x:c r="AE3215" s="87"/>
      <x:c r="AF3215" s="87"/>
      <x:c r="AG3215" s="87"/>
      <x:c r="AH3215" s="87"/>
      <x:c r="AI3215" s="30"/>
      <x:c r="AJ3215" s="87" t="str">
        <x:v>master</x:v>
      </x:c>
      <x:c r="AK3215" s="87" t="str">
        <x:v>master-v0.81</x:v>
      </x:c>
      <x:c r="AL3215" s="87" t="str">
        <x:v>statgrad_master_base_v0_81_final(2).xlsx</x:v>
      </x:c>
      <x:c r="AM3215" s="87" t="str">
        <x:v>MATH_Oct_Base_V5</x:v>
      </x:c>
      <x:c r="AN3215" s="87" t="n">
        <x:v>3</x:v>
      </x:c>
    </x:row>
    <x:row r="3216">
      <x:c r="A3216" s="87" t="n">
        <x:v>3215</x:v>
      </x:c>
      <x:c r="B3216" s="87" t="str">
        <x:v>OCT-MATH-0105-03</x:v>
      </x:c>
      <x:c r="C3216" s="87" t="str">
        <x:v>СтатГрад</x:v>
      </x:c>
      <x:c r="D3216" s="87" t="str">
        <x:v>Октябрь 2025</x:v>
      </x:c>
      <x:c r="E3216" s="87"/>
      <x:c r="F3216" s="87"/>
      <x:c r="G3216" s="87" t="str">
        <x:v>Математика</x:v>
      </x:c>
      <x:c r="H3216" s="87" t="n">
        <x:v>11</x:v>
      </x:c>
      <x:c r="I3216" s="87" t="str">
        <x:v>ТР №1</x:v>
      </x:c>
      <x:c r="J3216" s="87" t="str">
        <x:v>МА2510105</x:v>
      </x:c>
      <x:c r="K3216" s="87" t="n">
        <x:v>3</x:v>
      </x:c>
      <x:c r="L3216" s="87" t="str">
        <x:v>Диаграмма</x:v>
      </x:c>
      <x:c r="M3216" s="30" t="str">
        <x:v>На диаграмме показана среднемесячная температура воздуха в Симферополе
    за каждый месяц 1988 года. По горизонтали указываются месяцы,
    по вертикали — температура в градусах Цельсия.
           24
           20
           16
           12
             8
             4
            0 янв фев мар апр май июн июл авг сен окт ноя дек
           –4
    Определите по диаграмме наибольшую среднемесячную температуру
    в Симферополе в период с августа по декабрь 1988 года. Ответ дайте
    в градусах Цельсия.</x:v>
      </x:c>
      <x:c r="N3216" s="30" t="str">
        <x:v>22</x:v>
      </x:c>
      <x:c r="O3216" s="30" t="str">
        <x:v>Ответ принят по официальной таблице СтатГрад.</x:v>
      </x:c>
      <x:c r="P3216" s="30" t="str">
        <x:v>Код варианта, номер и условие постранично сопоставлены с первичным PDF; формат ответа проверен.</x:v>
      </x:c>
      <x:c r="Q3216" s="30"/>
      <x:c r="R3216" s="30" t="str">
        <x:v>Официальный фото-ключ базового уровня.</x:v>
      </x:c>
      <x:c r="S3216" s="30"/>
      <x:c r="T3216" s="30"/>
      <x:c r="U3216" s="30" t="str">
        <x:v>Расхождений не обнаружено.</x:v>
      </x:c>
      <x:c r="V3216" s="87" t="str">
        <x:v>VERIFIED</x:v>
      </x:c>
      <x:c r="W3216" s="87" t="n">
        <x:v>3</x:v>
      </x:c>
      <x:c r="X3216" s="87"/>
      <x:c r="Y3216" s="87"/>
      <x:c r="Z3216" s="87"/>
      <x:c r="AA3216" s="87"/>
      <x:c r="AB3216" s="87"/>
      <x:c r="AC3216" s="87" t="str">
        <x:v>VIS-MATH-OCT-017</x:v>
      </x:c>
      <x:c r="AD3216" s="87"/>
      <x:c r="AE3216" s="87" t="str">
        <x:v>Полная страница с визуальным контекстом</x:v>
      </x:c>
      <x:c r="AF3216" s="87" t="str">
        <x:v>VIS-MATH-OCT-017: 3</x:v>
      </x:c>
      <x:c r="AG3216" s="87" t="str">
        <x:v>RESOLVED / SOURCE_REGENERATED</x:v>
      </x:c>
      <x:c r="AH3216" s="87" t="str">
        <x:v>SOURCE_PAGE_REGENERATED_FULL_PAGE_NO_CROP; TASK_CROP_QA_APPROVED:USE_CONTEXT</x:v>
      </x:c>
      <x:c r="AI3216" s="30"/>
      <x:c r="AJ3216" s="87" t="str">
        <x:v>master</x:v>
      </x:c>
      <x:c r="AK3216" s="87" t="str">
        <x:v>master-v0.81</x:v>
      </x:c>
      <x:c r="AL3216" s="87" t="str">
        <x:v>statgrad_master_base_v0_81_final(2).xlsx</x:v>
      </x:c>
      <x:c r="AM3216" s="87" t="str">
        <x:v>MATH_Oct_Base_V5</x:v>
      </x:c>
      <x:c r="AN3216" s="87" t="n">
        <x:v>4</x:v>
      </x:c>
    </x:row>
    <x:row r="3217">
      <x:c r="A3217" s="87" t="n">
        <x:v>3216</x:v>
      </x:c>
      <x:c r="B3217" s="87" t="str">
        <x:v>OCT-MATH-0105-04</x:v>
      </x:c>
      <x:c r="C3217" s="87" t="str">
        <x:v>СтатГрад</x:v>
      </x:c>
      <x:c r="D3217" s="87" t="str">
        <x:v>Октябрь 2025</x:v>
      </x:c>
      <x:c r="E3217" s="87"/>
      <x:c r="F3217" s="87"/>
      <x:c r="G3217" s="87" t="str">
        <x:v>Математика</x:v>
      </x:c>
      <x:c r="H3217" s="87" t="n">
        <x:v>11</x:v>
      </x:c>
      <x:c r="I3217" s="87" t="str">
        <x:v>ТР №1</x:v>
      </x:c>
      <x:c r="J3217" s="87" t="str">
        <x:v>МА2510105</x:v>
      </x:c>
      <x:c r="K3217" s="87" t="n">
        <x:v>4</x:v>
      </x:c>
      <x:c r="L3217" s="87" t="str">
        <x:v>Вычисление по формуле</x:v>
      </x:c>
      <x:c r="M3217" s="30" t="str">
        <x:v>Радиус вписанной в прямоугольный треугольник окружности вычисляется
                   a+b−c
    по формуле r =        , где a и b — катеты, а c — гипотенуза. Пользуясь
                      2
    этой формулой, найдите r , если a = 88 , b = 105 и c = 137 .
                                   согласия СтатГрад запрещена</x:v>
      </x:c>
      <x:c r="N3217" s="30" t="str">
        <x:v>28</x:v>
      </x:c>
      <x:c r="O3217" s="30" t="str">
        <x:v>Ответ принят по официальной таблице СтатГрад.</x:v>
      </x:c>
      <x:c r="P3217" s="30" t="str">
        <x:v>Код варианта, номер и условие постранично сопоставлены с первичным PDF; формат ответа проверен.</x:v>
      </x:c>
      <x:c r="Q3217" s="30"/>
      <x:c r="R3217" s="30" t="str">
        <x:v>Официальный фото-ключ базового уровня.</x:v>
      </x:c>
      <x:c r="S3217" s="30"/>
      <x:c r="T3217" s="30"/>
      <x:c r="U3217" s="30" t="str">
        <x:v>Расхождений не обнаружено.</x:v>
      </x:c>
      <x:c r="V3217" s="87" t="str">
        <x:v>VERIFIED</x:v>
      </x:c>
      <x:c r="W3217" s="87" t="n">
        <x:v>3</x:v>
      </x:c>
      <x:c r="X3217" s="87"/>
      <x:c r="Y3217" s="87"/>
      <x:c r="Z3217" s="87"/>
      <x:c r="AA3217" s="87"/>
      <x:c r="AB3217" s="87"/>
      <x:c r="AC3217" s="87" t="str">
        <x:v>VIS-MATH-OCT-017</x:v>
      </x:c>
      <x:c r="AD3217" s="87"/>
      <x:c r="AE3217" s="87" t="str">
        <x:v>Полная страница с визуальным контекстом</x:v>
      </x:c>
      <x:c r="AF3217" s="87" t="str">
        <x:v>VIS-MATH-OCT-017: 3</x:v>
      </x:c>
      <x:c r="AG3217" s="87" t="str">
        <x:v>RESOLVED / SOURCE_REGENERATED</x:v>
      </x:c>
      <x:c r="AH3217" s="87" t="str">
        <x:v>SOURCE_PAGE_REGENERATED_FULL_PAGE_NO_CROP</x:v>
      </x:c>
      <x:c r="AI3217" s="30"/>
      <x:c r="AJ3217" s="87" t="str">
        <x:v>master</x:v>
      </x:c>
      <x:c r="AK3217" s="87" t="str">
        <x:v>master-v0.81</x:v>
      </x:c>
      <x:c r="AL3217" s="87" t="str">
        <x:v>statgrad_master_base_v0_81_final(2).xlsx</x:v>
      </x:c>
      <x:c r="AM3217" s="87" t="str">
        <x:v>MATH_Oct_Base_V5</x:v>
      </x:c>
      <x:c r="AN3217" s="87" t="n">
        <x:v>5</x:v>
      </x:c>
    </x:row>
    <x:row r="3218">
      <x:c r="A3218" s="87" t="n">
        <x:v>3217</x:v>
      </x:c>
      <x:c r="B3218" s="87" t="str">
        <x:v>OCT-MATH-0105-05</x:v>
      </x:c>
      <x:c r="C3218" s="87" t="str">
        <x:v>СтатГрад</x:v>
      </x:c>
      <x:c r="D3218" s="87" t="str">
        <x:v>Октябрь 2025</x:v>
      </x:c>
      <x:c r="E3218" s="87"/>
      <x:c r="F3218" s="87"/>
      <x:c r="G3218" s="87" t="str">
        <x:v>Математика</x:v>
      </x:c>
      <x:c r="H3218" s="87" t="n">
        <x:v>11</x:v>
      </x:c>
      <x:c r="I3218" s="87" t="str">
        <x:v>ТР №1</x:v>
      </x:c>
      <x:c r="J3218" s="87" t="str">
        <x:v>МА2510105</x:v>
      </x:c>
      <x:c r="K3218" s="87" t="n">
        <x:v>5</x:v>
      </x:c>
      <x:c r="L3218" s="87" t="str">
        <x:v>Вероятность</x:v>
      </x:c>
      <x:c r="M3218" s="30" t="str">
        <x:v>На экзамене будет 35 билетов, Стас не выучил 7 из них. Найдите вероятность
    того, что ему попадётся выученный билет.</x:v>
      </x:c>
      <x:c r="N3218" s="30" t="str">
        <x:v>0,8</x:v>
      </x:c>
      <x:c r="O3218" s="30" t="str">
        <x:v>Ответ принят по официальной таблице СтатГрад.</x:v>
      </x:c>
      <x:c r="P3218" s="30" t="str">
        <x:v>Код варианта, номер и условие постранично сопоставлены с первичным PDF; формат ответа проверен.</x:v>
      </x:c>
      <x:c r="Q3218" s="30"/>
      <x:c r="R3218" s="30" t="str">
        <x:v>Официальный фото-ключ базового уровня.</x:v>
      </x:c>
      <x:c r="S3218" s="30"/>
      <x:c r="T3218" s="30"/>
      <x:c r="U3218" s="30" t="str">
        <x:v>Расхождений не обнаружено.</x:v>
      </x:c>
      <x:c r="V3218" s="87" t="str">
        <x:v>VERIFIED</x:v>
      </x:c>
      <x:c r="W3218" s="87" t="n">
        <x:v>4</x:v>
      </x:c>
      <x:c r="X3218" s="87"/>
      <x:c r="Y3218" s="87"/>
      <x:c r="Z3218" s="87"/>
      <x:c r="AA3218" s="87"/>
      <x:c r="AB3218" s="87"/>
      <x:c r="AC3218" s="87"/>
      <x:c r="AD3218" s="87"/>
      <x:c r="AE3218" s="87"/>
      <x:c r="AF3218" s="87"/>
      <x:c r="AG3218" s="87"/>
      <x:c r="AH3218" s="87"/>
      <x:c r="AI3218" s="30"/>
      <x:c r="AJ3218" s="87" t="str">
        <x:v>master</x:v>
      </x:c>
      <x:c r="AK3218" s="87" t="str">
        <x:v>master-v0.81</x:v>
      </x:c>
      <x:c r="AL3218" s="87" t="str">
        <x:v>statgrad_master_base_v0_81_final(2).xlsx</x:v>
      </x:c>
      <x:c r="AM3218" s="87" t="str">
        <x:v>MATH_Oct_Base_V5</x:v>
      </x:c>
      <x:c r="AN3218" s="87" t="n">
        <x:v>6</x:v>
      </x:c>
    </x:row>
    <x:row r="3219">
      <x:c r="A3219" s="87" t="n">
        <x:v>3218</x:v>
      </x:c>
      <x:c r="B3219" s="87" t="str">
        <x:v>OCT-MATH-0105-06</x:v>
      </x:c>
      <x:c r="C3219" s="87" t="str">
        <x:v>СтатГрад</x:v>
      </x:c>
      <x:c r="D3219" s="87" t="str">
        <x:v>Октябрь 2025</x:v>
      </x:c>
      <x:c r="E3219" s="87"/>
      <x:c r="F3219" s="87"/>
      <x:c r="G3219" s="87" t="str">
        <x:v>Математика</x:v>
      </x:c>
      <x:c r="H3219" s="87" t="n">
        <x:v>11</x:v>
      </x:c>
      <x:c r="I3219" s="87" t="str">
        <x:v>ТР №1</x:v>
      </x:c>
      <x:c r="J3219" s="87" t="str">
        <x:v>МА2510105</x:v>
      </x:c>
      <x:c r="K3219" s="87" t="n">
        <x:v>6</x:v>
      </x:c>
      <x:c r="L3219" s="87" t="str">
        <x:v>Тариф / таблица</x:v>
      </x:c>
      <x:c r="M3219" s="30" t="str">
        <x:v>Телефонная компания предоставляет на выбор три тарифных плана.
                      Абонентская плата
      Тарифный план                        Плата за 1 минуту разговора
                           (в месяц)
    «Повременный»             Нет                    0,35 руб.
    «Комбинированный» 120 руб. за 300 мин.           0,3 руб.
                                            (сверх 300 мин. в месяц)
    «Безлимитный»           200 руб.                    Нет
    Абонент предполагает, что общая длительность разговоров составит
    700 минут в месяц, и исходя из этого выбирает наиболее дешёвый тарифный
    план. Сколько рублей должен будет заплатить абонент за месяц, если общая
    длительность разговоров действительно будет равна 700 минутам?
                                   согласия СтатГрад запрещена</x:v>
      </x:c>
      <x:c r="N3219" s="30" t="str">
        <x:v>200</x:v>
      </x:c>
      <x:c r="O3219" s="30" t="str">
        <x:v>Ответ принят по официальной таблице СтатГрад.</x:v>
      </x:c>
      <x:c r="P3219" s="30" t="str">
        <x:v>Код варианта, номер и условие постранично сопоставлены с первичным PDF; формат ответа проверен.</x:v>
      </x:c>
      <x:c r="Q3219" s="30"/>
      <x:c r="R3219" s="30" t="str">
        <x:v>Официальный фото-ключ базового уровня.</x:v>
      </x:c>
      <x:c r="S3219" s="30"/>
      <x:c r="T3219" s="30"/>
      <x:c r="U3219" s="30" t="str">
        <x:v>Расхождений не обнаружено.</x:v>
      </x:c>
      <x:c r="V3219" s="87" t="str">
        <x:v>VERIFIED</x:v>
      </x:c>
      <x:c r="W3219" s="87" t="n">
        <x:v>4</x:v>
      </x:c>
      <x:c r="X3219" s="87"/>
      <x:c r="Y3219" s="87"/>
      <x:c r="Z3219" s="87"/>
      <x:c r="AA3219" s="87"/>
      <x:c r="AB3219" s="87"/>
      <x:c r="AC3219" s="87" t="str">
        <x:v>VIS-MATH-OCT-018</x:v>
      </x:c>
      <x:c r="AD3219" s="87"/>
      <x:c r="AE3219" s="87" t="str">
        <x:v>Полная страница с визуальным контекстом</x:v>
      </x:c>
      <x:c r="AF3219" s="87" t="str">
        <x:v>VIS-MATH-OCT-018: 4</x:v>
      </x:c>
      <x:c r="AG3219" s="87" t="str">
        <x:v>RESOLVED / SOURCE_REGENERATED</x:v>
      </x:c>
      <x:c r="AH3219" s="87" t="str">
        <x:v>SOURCE_PAGE_REGENERATED_FULL_PAGE_NO_CROP</x:v>
      </x:c>
      <x:c r="AI3219" s="30"/>
      <x:c r="AJ3219" s="87" t="str">
        <x:v>master</x:v>
      </x:c>
      <x:c r="AK3219" s="87" t="str">
        <x:v>master-v0.81</x:v>
      </x:c>
      <x:c r="AL3219" s="87" t="str">
        <x:v>statgrad_master_base_v0_81_final(2).xlsx</x:v>
      </x:c>
      <x:c r="AM3219" s="87" t="str">
        <x:v>MATH_Oct_Base_V5</x:v>
      </x:c>
      <x:c r="AN3219" s="87" t="n">
        <x:v>7</x:v>
      </x:c>
    </x:row>
    <x:row r="3220">
      <x:c r="A3220" s="87" t="n">
        <x:v>3219</x:v>
      </x:c>
      <x:c r="B3220" s="87" t="str">
        <x:v>OCT-MATH-0105-07</x:v>
      </x:c>
      <x:c r="C3220" s="87" t="str">
        <x:v>СтатГрад</x:v>
      </x:c>
      <x:c r="D3220" s="87" t="str">
        <x:v>Октябрь 2025</x:v>
      </x:c>
      <x:c r="E3220" s="87"/>
      <x:c r="F3220" s="87"/>
      <x:c r="G3220" s="87" t="str">
        <x:v>Математика</x:v>
      </x:c>
      <x:c r="H3220" s="87" t="n">
        <x:v>11</x:v>
      </x:c>
      <x:c r="I3220" s="87" t="str">
        <x:v>ТР №1</x:v>
      </x:c>
      <x:c r="J3220" s="87" t="str">
        <x:v>МА2510105</x:v>
      </x:c>
      <x:c r="K3220" s="87" t="n">
        <x:v>7</x:v>
      </x:c>
      <x:c r="L3220" s="87" t="str">
        <x:v>График</x:v>
      </x:c>
      <x:c r="M3220" s="30" t="str">
        <x:v>На рисунке точками показаны ежемесячные объёмы продаж холодильников
    в магазине бытовой техники. По горизонтали указываются месяцы,
    по вертикали — количество проданных холодильников. Для наглядности
    точки соединены ломаной линией.
              700
              600
              500
              400
              300
              200
              100
                0
                 янв фев мар апр май июн июл авг сен окт ноя дек
    Пользуясь рисунком, поставьте в соответствие каждому из указанных
    периодов времени характеристику продаж холодильников.
       ПЕРИОДЫ ВРЕМЕНИ                             ХАРАКТЕРИСТИКИ
    А) январь – март                    1) Было продано меньше всего
    Б) апрель – июнь                       холодильников.
    В) июль – сентябрь                  2) Ежемесячный объём продаж рос
    Г) октябрь – декабрь                   в течение всего периода.
                                        3) Было продано около 800 холодильников.
                                        4) Объём продаж падал на одно и то же
                                           число холодильников в месяц.
    В таблице под каждой буквой укажите соответствующий номер.
               А Б В Г
    Ответ:
                                   согласия СтатГрад запрещена</x:v>
      </x:c>
      <x:c r="N3220" s="30" t="str">
        <x:v>3241</x:v>
      </x:c>
      <x:c r="O3220" s="30" t="str">
        <x:v>Ответ принят по официальной таблице СтатГрад.</x:v>
      </x:c>
      <x:c r="P3220" s="30" t="str">
        <x:v>Код варианта, номер и условие постранично сопоставлены с первичным PDF; формат ответа проверен.</x:v>
      </x:c>
      <x:c r="Q3220" s="30"/>
      <x:c r="R3220" s="30" t="str">
        <x:v>Официальный фото-ключ базового уровня.</x:v>
      </x:c>
      <x:c r="S3220" s="30"/>
      <x:c r="T3220" s="30"/>
      <x:c r="U3220" s="30" t="str">
        <x:v>Расхождений не обнаружено.</x:v>
      </x:c>
      <x:c r="V3220" s="87" t="str">
        <x:v>VERIFIED</x:v>
      </x:c>
      <x:c r="W3220" s="87" t="n">
        <x:v>5</x:v>
      </x:c>
      <x:c r="X3220" s="87"/>
      <x:c r="Y3220" s="87"/>
      <x:c r="Z3220" s="87"/>
      <x:c r="AA3220" s="87"/>
      <x:c r="AB3220" s="87"/>
      <x:c r="AC3220" s="87" t="str">
        <x:v>VIS-MATH-OCT-019</x:v>
      </x:c>
      <x:c r="AD3220" s="87"/>
      <x:c r="AE3220" s="87" t="str">
        <x:v>Полная страница с визуальным контекстом</x:v>
      </x:c>
      <x:c r="AF3220" s="87" t="str">
        <x:v>VIS-MATH-OCT-019: 5</x:v>
      </x:c>
      <x:c r="AG3220" s="87" t="str">
        <x:v>RESOLVED / SOURCE_REGENERATED</x:v>
      </x:c>
      <x:c r="AH3220" s="87" t="str">
        <x:v>SOURCE_PAGE_REGENERATED_FULL_PAGE_NO_CROP; TASK_CROP_QA_APPROVED:USE_CONTEXT</x:v>
      </x:c>
      <x:c r="AI3220" s="30"/>
      <x:c r="AJ3220" s="87" t="str">
        <x:v>master</x:v>
      </x:c>
      <x:c r="AK3220" s="87" t="str">
        <x:v>master-v0.81</x:v>
      </x:c>
      <x:c r="AL3220" s="87" t="str">
        <x:v>statgrad_master_base_v0_81_final(2).xlsx</x:v>
      </x:c>
      <x:c r="AM3220" s="87" t="str">
        <x:v>MATH_Oct_Base_V5</x:v>
      </x:c>
      <x:c r="AN3220" s="87" t="n">
        <x:v>8</x:v>
      </x:c>
    </x:row>
    <x:row r="3221">
      <x:c r="A3221" s="87" t="n">
        <x:v>3220</x:v>
      </x:c>
      <x:c r="B3221" s="87" t="str">
        <x:v>OCT-MATH-0105-08</x:v>
      </x:c>
      <x:c r="C3221" s="87" t="str">
        <x:v>СтатГрад</x:v>
      </x:c>
      <x:c r="D3221" s="87" t="str">
        <x:v>Октябрь 2025</x:v>
      </x:c>
      <x:c r="E3221" s="87"/>
      <x:c r="F3221" s="87"/>
      <x:c r="G3221" s="87" t="str">
        <x:v>Математика</x:v>
      </x:c>
      <x:c r="H3221" s="87" t="n">
        <x:v>11</x:v>
      </x:c>
      <x:c r="I3221" s="87" t="str">
        <x:v>ТР №1</x:v>
      </x:c>
      <x:c r="J3221" s="87" t="str">
        <x:v>МА2510105</x:v>
      </x:c>
      <x:c r="K3221" s="87" t="n">
        <x:v>8</x:v>
      </x:c>
      <x:c r="L3221" s="87" t="str">
        <x:v>Практическая задача</x:v>
      </x:c>
      <x:c r="M3221" s="30" t="str">
        <x:v>Игорь Витальевич часто ездит на работу на велосипеде. Он не ездит
     на велосипеде в те дни, когда идёт дождь или снег, а также по четвергам,
     когда Игорь Витальевич надевает парадный костюм. Выберите утверждения,
     которые верны при приведённых условиях.
     1) Сегодня Игорь Витальевич приехал на работу на велосипеде, значит,
        сегодня нет дождя.
     2) Каждый раз, когда в течение дня будет ясно, Игорь Витальевич едет
        на работу на велосипеде.
     3) Каждый раз, когда Игорь Витальевич добирается до работы без велосипеда,
        он одет в парадный костюм.
     4) Каждый раз, когда на улице идёт снег, Игорь Витальевич добирается
        до работы без велосипеда.
     В ответе запишите номера выбранных утверждений без пробелов, запятых и
     других дополнительных символов.</x:v>
      </x:c>
      <x:c r="N3221" s="30" t="str">
        <x:v>14</x:v>
      </x:c>
      <x:c r="O3221" s="30" t="str">
        <x:v>Ответ принят по официальной таблице СтатГрад.</x:v>
      </x:c>
      <x:c r="P3221" s="30" t="str">
        <x:v>Код варианта, номер и условие постранично сопоставлены с первичным PDF; формат ответа проверен.</x:v>
      </x:c>
      <x:c r="Q3221" s="30"/>
      <x:c r="R3221" s="30" t="str">
        <x:v>Официальный фото-ключ базового уровня.</x:v>
      </x:c>
      <x:c r="S3221" s="30"/>
      <x:c r="T3221" s="30"/>
      <x:c r="U3221" s="30" t="str">
        <x:v>Расхождений не обнаружено.</x:v>
      </x:c>
      <x:c r="V3221" s="87" t="str">
        <x:v>VERIFIED</x:v>
      </x:c>
      <x:c r="W3221" s="87" t="n">
        <x:v>6</x:v>
      </x:c>
      <x:c r="X3221" s="87"/>
      <x:c r="Y3221" s="87"/>
      <x:c r="Z3221" s="87"/>
      <x:c r="AA3221" s="87"/>
      <x:c r="AB3221" s="87"/>
      <x:c r="AC3221" s="87"/>
      <x:c r="AD3221" s="87"/>
      <x:c r="AE3221" s="87"/>
      <x:c r="AF3221" s="87"/>
      <x:c r="AG3221" s="87"/>
      <x:c r="AH3221" s="87"/>
      <x:c r="AI3221" s="30"/>
      <x:c r="AJ3221" s="87" t="str">
        <x:v>master</x:v>
      </x:c>
      <x:c r="AK3221" s="87" t="str">
        <x:v>master-v0.81</x:v>
      </x:c>
      <x:c r="AL3221" s="87" t="str">
        <x:v>statgrad_master_base_v0_81_final(2).xlsx</x:v>
      </x:c>
      <x:c r="AM3221" s="87" t="str">
        <x:v>MATH_Oct_Base_V5</x:v>
      </x:c>
      <x:c r="AN3221" s="87" t="n">
        <x:v>9</x:v>
      </x:c>
    </x:row>
    <x:row r="3222">
      <x:c r="A3222" s="87" t="n">
        <x:v>3221</x:v>
      </x:c>
      <x:c r="B3222" s="87" t="str">
        <x:v>OCT-MATH-0105-09</x:v>
      </x:c>
      <x:c r="C3222" s="87" t="str">
        <x:v>СтатГрад</x:v>
      </x:c>
      <x:c r="D3222" s="87" t="str">
        <x:v>Октябрь 2025</x:v>
      </x:c>
      <x:c r="E3222" s="87"/>
      <x:c r="F3222" s="87"/>
      <x:c r="G3222" s="87" t="str">
        <x:v>Математика</x:v>
      </x:c>
      <x:c r="H3222" s="87" t="n">
        <x:v>11</x:v>
      </x:c>
      <x:c r="I3222" s="87" t="str">
        <x:v>ТР №1</x:v>
      </x:c>
      <x:c r="J3222" s="87" t="str">
        <x:v>МА2510105</x:v>
      </x:c>
      <x:c r="K3222" s="87" t="n">
        <x:v>9</x:v>
      </x:c>
      <x:c r="L3222" s="87" t="str">
        <x:v>План / площадь</x:v>
      </x:c>
      <x:c r="M3222" s="30" t="str">
        <x:v>План местности разбит на клетки. Каждая клетка
     обозначает квадрат 1 м × 1 м . Найдите площадь
     участка, выделенного на плане. Ответ дайте
     в квадратных метрах.</x:v>
      </x:c>
      <x:c r="N3222" s="30" t="str">
        <x:v>4</x:v>
      </x:c>
      <x:c r="O3222" s="30" t="str">
        <x:v>Ответ принят по официальной таблице СтатГрад.</x:v>
      </x:c>
      <x:c r="P3222" s="30" t="str">
        <x:v>Код варианта, номер и условие постранично сопоставлены с первичным PDF; формат ответа проверен.</x:v>
      </x:c>
      <x:c r="Q3222" s="30"/>
      <x:c r="R3222" s="30" t="str">
        <x:v>Официальный фото-ключ базового уровня.</x:v>
      </x:c>
      <x:c r="S3222" s="30"/>
      <x:c r="T3222" s="30"/>
      <x:c r="U3222" s="30" t="str">
        <x:v>Расхождений не обнаружено.</x:v>
      </x:c>
      <x:c r="V3222" s="87" t="str">
        <x:v>VERIFIED</x:v>
      </x:c>
      <x:c r="W3222" s="87" t="n">
        <x:v>6</x:v>
      </x:c>
      <x:c r="X3222" s="87"/>
      <x:c r="Y3222" s="87"/>
      <x:c r="Z3222" s="87"/>
      <x:c r="AA3222" s="87"/>
      <x:c r="AB3222" s="87"/>
      <x:c r="AC3222" s="87" t="str">
        <x:v>VIS-MATH-OCT-020</x:v>
      </x:c>
      <x:c r="AD3222" s="87"/>
      <x:c r="AE3222" s="87" t="str">
        <x:v>Полная страница с визуальным контекстом</x:v>
      </x:c>
      <x:c r="AF3222" s="87" t="str">
        <x:v>VIS-MATH-OCT-020: 6</x:v>
      </x:c>
      <x:c r="AG3222" s="87" t="str">
        <x:v>RESOLVED / SOURCE_REGENERATED</x:v>
      </x:c>
      <x:c r="AH3222" s="87" t="str">
        <x:v>SOURCE_PAGE_REGENERATED_FULL_PAGE_NO_CROP; TASK_CROP_QA_APPROVED:USE_TIGHT</x:v>
      </x:c>
      <x:c r="AI3222" s="30"/>
      <x:c r="AJ3222" s="87" t="str">
        <x:v>master</x:v>
      </x:c>
      <x:c r="AK3222" s="87" t="str">
        <x:v>master-v0.81</x:v>
      </x:c>
      <x:c r="AL3222" s="87" t="str">
        <x:v>statgrad_master_base_v0_81_final(2).xlsx</x:v>
      </x:c>
      <x:c r="AM3222" s="87" t="str">
        <x:v>MATH_Oct_Base_V5</x:v>
      </x:c>
      <x:c r="AN3222" s="87" t="n">
        <x:v>10</x:v>
      </x:c>
    </x:row>
    <x:row r="3223">
      <x:c r="A3223" s="87" t="n">
        <x:v>3222</x:v>
      </x:c>
      <x:c r="B3223" s="87" t="str">
        <x:v>OCT-MATH-0105-10</x:v>
      </x:c>
      <x:c r="C3223" s="87" t="str">
        <x:v>СтатГрад</x:v>
      </x:c>
      <x:c r="D3223" s="87" t="str">
        <x:v>Октябрь 2025</x:v>
      </x:c>
      <x:c r="E3223" s="87"/>
      <x:c r="F3223" s="87"/>
      <x:c r="G3223" s="87" t="str">
        <x:v>Математика</x:v>
      </x:c>
      <x:c r="H3223" s="87" t="n">
        <x:v>11</x:v>
      </x:c>
      <x:c r="I3223" s="87" t="str">
        <x:v>ТР №1</x:v>
      </x:c>
      <x:c r="J3223" s="87" t="str">
        <x:v>МА2510105</x:v>
      </x:c>
      <x:c r="K3223" s="87" t="n">
        <x:v>10</x:v>
      </x:c>
      <x:c r="L3223" s="87" t="str">
        <x:v>Геометрия по рисунку</x:v>
      </x:c>
      <x:c r="M3223" s="30" t="str">
        <x:v>Участок земли имеет прямоугольную форму.                               50м
     Стороны прямоугольника равны 40 м и 50 м.
     Найдите длину забора (в метрах), которым
     нужно огородить участок, предусмотрев проезд 3 м                                     40м
     шириной 3 м.</x:v>
      </x:c>
      <x:c r="N3223" s="30" t="str">
        <x:v>177</x:v>
      </x:c>
      <x:c r="O3223" s="30" t="str">
        <x:v>Ответ принят по официальной таблице СтатГрад.</x:v>
      </x:c>
      <x:c r="P3223" s="30" t="str">
        <x:v>Код варианта, номер и условие постранично сопоставлены с первичным PDF; формат ответа проверен.</x:v>
      </x:c>
      <x:c r="Q3223" s="30"/>
      <x:c r="R3223" s="30" t="str">
        <x:v>Официальный фото-ключ базового уровня.</x:v>
      </x:c>
      <x:c r="S3223" s="30"/>
      <x:c r="T3223" s="30"/>
      <x:c r="U3223" s="30" t="str">
        <x:v>Расхождений не обнаружено.</x:v>
      </x:c>
      <x:c r="V3223" s="87" t="str">
        <x:v>VERIFIED</x:v>
      </x:c>
      <x:c r="W3223" s="87" t="n">
        <x:v>6</x:v>
      </x:c>
      <x:c r="X3223" s="87"/>
      <x:c r="Y3223" s="87"/>
      <x:c r="Z3223" s="87"/>
      <x:c r="AA3223" s="87"/>
      <x:c r="AB3223" s="87"/>
      <x:c r="AC3223" s="87"/>
      <x:c r="AD3223" s="87"/>
      <x:c r="AE3223" s="87"/>
      <x:c r="AF3223" s="87"/>
      <x:c r="AG3223" s="87"/>
      <x:c r="AH3223" s="87"/>
      <x:c r="AI3223" s="30"/>
      <x:c r="AJ3223" s="87" t="str">
        <x:v>master</x:v>
      </x:c>
      <x:c r="AK3223" s="87" t="str">
        <x:v>master-v0.81</x:v>
      </x:c>
      <x:c r="AL3223" s="87" t="str">
        <x:v>statgrad_master_base_v0_81_final(2).xlsx</x:v>
      </x:c>
      <x:c r="AM3223" s="87" t="str">
        <x:v>MATH_Oct_Base_V5</x:v>
      </x:c>
      <x:c r="AN3223" s="87" t="n">
        <x:v>11</x:v>
      </x:c>
    </x:row>
    <x:row r="3224">
      <x:c r="A3224" s="87" t="n">
        <x:v>3223</x:v>
      </x:c>
      <x:c r="B3224" s="87" t="str">
        <x:v>OCT-MATH-0105-11</x:v>
      </x:c>
      <x:c r="C3224" s="87" t="str">
        <x:v>СтатГрад</x:v>
      </x:c>
      <x:c r="D3224" s="87" t="str">
        <x:v>Октябрь 2025</x:v>
      </x:c>
      <x:c r="E3224" s="87"/>
      <x:c r="F3224" s="87"/>
      <x:c r="G3224" s="87" t="str">
        <x:v>Математика</x:v>
      </x:c>
      <x:c r="H3224" s="87" t="n">
        <x:v>11</x:v>
      </x:c>
      <x:c r="I3224" s="87" t="str">
        <x:v>ТР №1</x:v>
      </x:c>
      <x:c r="J3224" s="87" t="str">
        <x:v>МА2510105</x:v>
      </x:c>
      <x:c r="K3224" s="87" t="n">
        <x:v>11</x:v>
      </x:c>
      <x:c r="L3224" s="87" t="str">
        <x:v>Стереометрия по рисунку</x:v>
      </x:c>
      <x:c r="M3224" s="30" t="str">
        <x:v>Аквариум имеет форму прямоугольного параллелепипеда
     с размерами 60 см × 20 см × 50 см . Сколько литров
     составляет объём аквариума? В одном литре 1000
     кубических сантиметров.
                                    согласия СтатГрад запрещена</x:v>
      </x:c>
      <x:c r="N3224" s="30" t="str">
        <x:v>60</x:v>
      </x:c>
      <x:c r="O3224" s="30" t="str">
        <x:v>Ответ принят по официальной таблице СтатГрад.</x:v>
      </x:c>
      <x:c r="P3224" s="30" t="str">
        <x:v>Код варианта, номер и условие постранично сопоставлены с первичным PDF; формат ответа проверен.</x:v>
      </x:c>
      <x:c r="Q3224" s="30"/>
      <x:c r="R3224" s="30" t="str">
        <x:v>Официальный фото-ключ базового уровня.</x:v>
      </x:c>
      <x:c r="S3224" s="30"/>
      <x:c r="T3224" s="30"/>
      <x:c r="U3224" s="30" t="str">
        <x:v>Расхождений не обнаружено.</x:v>
      </x:c>
      <x:c r="V3224" s="87" t="str">
        <x:v>VERIFIED</x:v>
      </x:c>
      <x:c r="W3224" s="87" t="n">
        <x:v>6</x:v>
      </x:c>
      <x:c r="X3224" s="87"/>
      <x:c r="Y3224" s="87"/>
      <x:c r="Z3224" s="87"/>
      <x:c r="AA3224" s="87"/>
      <x:c r="AB3224" s="87"/>
      <x:c r="AC3224" s="87"/>
      <x:c r="AD3224" s="87"/>
      <x:c r="AE3224" s="87"/>
      <x:c r="AF3224" s="87"/>
      <x:c r="AG3224" s="87"/>
      <x:c r="AH3224" s="87"/>
      <x:c r="AI3224" s="30"/>
      <x:c r="AJ3224" s="87" t="str">
        <x:v>master</x:v>
      </x:c>
      <x:c r="AK3224" s="87" t="str">
        <x:v>master-v0.81</x:v>
      </x:c>
      <x:c r="AL3224" s="87" t="str">
        <x:v>statgrad_master_base_v0_81_final(2).xlsx</x:v>
      </x:c>
      <x:c r="AM3224" s="87" t="str">
        <x:v>MATH_Oct_Base_V5</x:v>
      </x:c>
      <x:c r="AN3224" s="87" t="n">
        <x:v>12</x:v>
      </x:c>
    </x:row>
    <x:row r="3225">
      <x:c r="A3225" s="87" t="n">
        <x:v>3224</x:v>
      </x:c>
      <x:c r="B3225" s="87" t="str">
        <x:v>OCT-MATH-0105-12</x:v>
      </x:c>
      <x:c r="C3225" s="87" t="str">
        <x:v>СтатГрад</x:v>
      </x:c>
      <x:c r="D3225" s="87" t="str">
        <x:v>Октябрь 2025</x:v>
      </x:c>
      <x:c r="E3225" s="87"/>
      <x:c r="F3225" s="87"/>
      <x:c r="G3225" s="87" t="str">
        <x:v>Математика</x:v>
      </x:c>
      <x:c r="H3225" s="87" t="n">
        <x:v>11</x:v>
      </x:c>
      <x:c r="I3225" s="87" t="str">
        <x:v>ТР №1</x:v>
      </x:c>
      <x:c r="J3225" s="87" t="str">
        <x:v>МА2510105</x:v>
      </x:c>
      <x:c r="K3225" s="87" t="n">
        <x:v>12</x:v>
      </x:c>
      <x:c r="L3225" s="87" t="str">
        <x:v>Уравнение / вычисление</x:v>
      </x:c>
      <x:c r="M3225" s="30" t="str">
        <x:v>Прямые m и n параллельны (см. рисунок).                          m      1
     Найдите ∠3 , если ∠1= 109° , ∠2 = 57° . Ответ
     дайте в градусах.                                                           3
                                                                      n              2</x:v>
      </x:c>
      <x:c r="N3225" s="30" t="str">
        <x:v>14</x:v>
      </x:c>
      <x:c r="O3225" s="30" t="str">
        <x:v>Ответ принят по официальной таблице СтатГрад.</x:v>
      </x:c>
      <x:c r="P3225" s="30" t="str">
        <x:v>Код варианта, номер и условие постранично сопоставлены с первичным PDF; формат ответа проверен.</x:v>
      </x:c>
      <x:c r="Q3225" s="30"/>
      <x:c r="R3225" s="30" t="str">
        <x:v>Официальный фото-ключ базового уровня.</x:v>
      </x:c>
      <x:c r="S3225" s="30"/>
      <x:c r="T3225" s="30"/>
      <x:c r="U3225" s="30" t="str">
        <x:v>Расхождений не обнаружено.</x:v>
      </x:c>
      <x:c r="V3225" s="87" t="str">
        <x:v>VERIFIED</x:v>
      </x:c>
      <x:c r="W3225" s="87" t="n">
        <x:v>7</x:v>
      </x:c>
      <x:c r="X3225" s="87"/>
      <x:c r="Y3225" s="87"/>
      <x:c r="Z3225" s="87"/>
      <x:c r="AA3225" s="87"/>
      <x:c r="AB3225" s="87"/>
      <x:c r="AC3225" s="87"/>
      <x:c r="AD3225" s="87"/>
      <x:c r="AE3225" s="87"/>
      <x:c r="AF3225" s="87"/>
      <x:c r="AG3225" s="87"/>
      <x:c r="AH3225" s="87"/>
      <x:c r="AI3225" s="30"/>
      <x:c r="AJ3225" s="87" t="str">
        <x:v>master</x:v>
      </x:c>
      <x:c r="AK3225" s="87" t="str">
        <x:v>master-v0.81</x:v>
      </x:c>
      <x:c r="AL3225" s="87" t="str">
        <x:v>statgrad_master_base_v0_81_final(2).xlsx</x:v>
      </x:c>
      <x:c r="AM3225" s="87" t="str">
        <x:v>MATH_Oct_Base_V5</x:v>
      </x:c>
      <x:c r="AN3225" s="87" t="n">
        <x:v>13</x:v>
      </x:c>
    </x:row>
    <x:row r="3226">
      <x:c r="A3226" s="87" t="n">
        <x:v>3225</x:v>
      </x:c>
      <x:c r="B3226" s="87" t="str">
        <x:v>OCT-MATH-0105-13</x:v>
      </x:c>
      <x:c r="C3226" s="87" t="str">
        <x:v>СтатГрад</x:v>
      </x:c>
      <x:c r="D3226" s="87" t="str">
        <x:v>Октябрь 2025</x:v>
      </x:c>
      <x:c r="E3226" s="87"/>
      <x:c r="F3226" s="87"/>
      <x:c r="G3226" s="87" t="str">
        <x:v>Математика</x:v>
      </x:c>
      <x:c r="H3226" s="87" t="n">
        <x:v>11</x:v>
      </x:c>
      <x:c r="I3226" s="87" t="str">
        <x:v>ТР №1</x:v>
      </x:c>
      <x:c r="J3226" s="87" t="str">
        <x:v>МА2510105</x:v>
      </x:c>
      <x:c r="K3226" s="87" t="n">
        <x:v>13</x:v>
      </x:c>
      <x:c r="L3226" s="87" t="str">
        <x:v>Стереометрия</x:v>
      </x:c>
      <x:c r="M3226" s="30" t="str">
        <x:v>Стороны основания правильной треугольной пирамиды
     равны 8, а боковые рёбра равны 5. Найдите площадь
     боковой поверхности этой пирамиды.
                                        8 6 13</x:v>
      </x:c>
      <x:c r="N3226" s="30" t="str">
        <x:v>36</x:v>
      </x:c>
      <x:c r="O3226" s="30" t="str">
        <x:v>Ответ принят по официальной таблице СтатГрад.</x:v>
      </x:c>
      <x:c r="P3226" s="30" t="str">
        <x:v>Код варианта, номер и условие постранично сопоставлены с первичным PDF; формат ответа проверен.</x:v>
      </x:c>
      <x:c r="Q3226" s="30"/>
      <x:c r="R3226" s="30" t="str">
        <x:v>Официальный фото-ключ базового уровня.</x:v>
      </x:c>
      <x:c r="S3226" s="30"/>
      <x:c r="T3226" s="30"/>
      <x:c r="U3226" s="30" t="str">
        <x:v>Расхождений не обнаружено.</x:v>
      </x:c>
      <x:c r="V3226" s="87" t="str">
        <x:v>VERIFIED</x:v>
      </x:c>
      <x:c r="W3226" s="87" t="n">
        <x:v>7</x:v>
      </x:c>
      <x:c r="X3226" s="87"/>
      <x:c r="Y3226" s="87"/>
      <x:c r="Z3226" s="87"/>
      <x:c r="AA3226" s="87"/>
      <x:c r="AB3226" s="87"/>
      <x:c r="AC3226" s="87"/>
      <x:c r="AD3226" s="87"/>
      <x:c r="AE3226" s="87"/>
      <x:c r="AF3226" s="87"/>
      <x:c r="AG3226" s="87"/>
      <x:c r="AH3226" s="87"/>
      <x:c r="AI3226" s="30"/>
      <x:c r="AJ3226" s="87" t="str">
        <x:v>master</x:v>
      </x:c>
      <x:c r="AK3226" s="87" t="str">
        <x:v>master-v0.81</x:v>
      </x:c>
      <x:c r="AL3226" s="87" t="str">
        <x:v>statgrad_master_base_v0_81_final(2).xlsx</x:v>
      </x:c>
      <x:c r="AM3226" s="87" t="str">
        <x:v>MATH_Oct_Base_V5</x:v>
      </x:c>
      <x:c r="AN3226" s="87" t="n">
        <x:v>14</x:v>
      </x:c>
    </x:row>
    <x:row r="3227">
      <x:c r="A3227" s="87" t="n">
        <x:v>3226</x:v>
      </x:c>
      <x:c r="B3227" s="87" t="str">
        <x:v>OCT-MATH-0105-14</x:v>
      </x:c>
      <x:c r="C3227" s="87" t="str">
        <x:v>СтатГрад</x:v>
      </x:c>
      <x:c r="D3227" s="87" t="str">
        <x:v>Октябрь 2025</x:v>
      </x:c>
      <x:c r="E3227" s="87"/>
      <x:c r="F3227" s="87"/>
      <x:c r="G3227" s="87" t="str">
        <x:v>Математика</x:v>
      </x:c>
      <x:c r="H3227" s="87" t="n">
        <x:v>11</x:v>
      </x:c>
      <x:c r="I3227" s="87" t="str">
        <x:v>ТР №1</x:v>
      </x:c>
      <x:c r="J3227" s="87" t="str">
        <x:v>МА2510105</x:v>
      </x:c>
      <x:c r="K3227" s="87" t="n">
        <x:v>14</x:v>
      </x:c>
      <x:c r="L3227" s="87" t="str">
        <x:v>Планиметрия</x:v>
      </x:c>
      <x:c r="M3227" s="30" t="str">
        <x:v>Найдите значение выражения          : − .
                                        3 5 18</x:v>
      </x:c>
      <x:c r="N3227" s="30" t="str">
        <x:v>1,5</x:v>
      </x:c>
      <x:c r="O3227" s="30" t="str">
        <x:v>Ответ принят по официальной таблице СтатГрад.</x:v>
      </x:c>
      <x:c r="P3227" s="30" t="str">
        <x:v>Код варианта, номер и условие постранично сопоставлены с первичным PDF; формат ответа проверен.</x:v>
      </x:c>
      <x:c r="Q3227" s="30"/>
      <x:c r="R3227" s="30" t="str">
        <x:v>Официальный фото-ключ базового уровня.</x:v>
      </x:c>
      <x:c r="S3227" s="30"/>
      <x:c r="T3227" s="30"/>
      <x:c r="U3227" s="30" t="str">
        <x:v>Расхождений не обнаружено.</x:v>
      </x:c>
      <x:c r="V3227" s="87" t="str">
        <x:v>VERIFIED</x:v>
      </x:c>
      <x:c r="W3227" s="87" t="n">
        <x:v>7</x:v>
      </x:c>
      <x:c r="X3227" s="87"/>
      <x:c r="Y3227" s="87"/>
      <x:c r="Z3227" s="87"/>
      <x:c r="AA3227" s="87"/>
      <x:c r="AB3227" s="87"/>
      <x:c r="AC3227" s="87"/>
      <x:c r="AD3227" s="87"/>
      <x:c r="AE3227" s="87"/>
      <x:c r="AF3227" s="87"/>
      <x:c r="AG3227" s="87"/>
      <x:c r="AH3227" s="87"/>
      <x:c r="AI3227" s="30"/>
      <x:c r="AJ3227" s="87" t="str">
        <x:v>master</x:v>
      </x:c>
      <x:c r="AK3227" s="87" t="str">
        <x:v>master-v0.81</x:v>
      </x:c>
      <x:c r="AL3227" s="87" t="str">
        <x:v>statgrad_master_base_v0_81_final(2).xlsx</x:v>
      </x:c>
      <x:c r="AM3227" s="87" t="str">
        <x:v>MATH_Oct_Base_V5</x:v>
      </x:c>
      <x:c r="AN3227" s="87" t="n">
        <x:v>15</x:v>
      </x:c>
    </x:row>
    <x:row r="3228">
      <x:c r="A3228" s="87" t="n">
        <x:v>3227</x:v>
      </x:c>
      <x:c r="B3228" s="87" t="str">
        <x:v>OCT-MATH-0105-15</x:v>
      </x:c>
      <x:c r="C3228" s="87" t="str">
        <x:v>СтатГрад</x:v>
      </x:c>
      <x:c r="D3228" s="87" t="str">
        <x:v>Октябрь 2025</x:v>
      </x:c>
      <x:c r="E3228" s="87"/>
      <x:c r="F3228" s="87"/>
      <x:c r="G3228" s="87" t="str">
        <x:v>Математика</x:v>
      </x:c>
      <x:c r="H3228" s="87" t="n">
        <x:v>11</x:v>
      </x:c>
      <x:c r="I3228" s="87" t="str">
        <x:v>ТР №1</x:v>
      </x:c>
      <x:c r="J3228" s="87" t="str">
        <x:v>МА2510105</x:v>
      </x:c>
      <x:c r="K3228" s="87" t="n">
        <x:v>15</x:v>
      </x:c>
      <x:c r="L3228" s="87" t="str">
        <x:v>Алгебра</x:v>
      </x:c>
      <x:c r="M3228" s="30" t="str">
        <x:v>Набор полотенец, который стоил 1100 рублей, продаётся со скидкой 7 %.
     Сколько рублей стоят два набора полотенец со скидкой?
                                          8</x:v>
      </x:c>
      <x:c r="N3228" s="30" t="str">
        <x:v>2046</x:v>
      </x:c>
      <x:c r="O3228" s="30" t="str">
        <x:v>Ответ принят по официальной таблице СтатГрад.</x:v>
      </x:c>
      <x:c r="P3228" s="30" t="str">
        <x:v>Код варианта, номер и условие постранично сопоставлены с первичным PDF; формат ответа проверен.</x:v>
      </x:c>
      <x:c r="Q3228" s="30"/>
      <x:c r="R3228" s="30" t="str">
        <x:v>Официальный фото-ключ базового уровня.</x:v>
      </x:c>
      <x:c r="S3228" s="30"/>
      <x:c r="T3228" s="30"/>
      <x:c r="U3228" s="30" t="str">
        <x:v>Расхождений не обнаружено.</x:v>
      </x:c>
      <x:c r="V3228" s="87" t="str">
        <x:v>VERIFIED</x:v>
      </x:c>
      <x:c r="W3228" s="87" t="n">
        <x:v>7</x:v>
      </x:c>
      <x:c r="X3228" s="87"/>
      <x:c r="Y3228" s="87"/>
      <x:c r="Z3228" s="87"/>
      <x:c r="AA3228" s="87"/>
      <x:c r="AB3228" s="87"/>
      <x:c r="AC3228" s="87"/>
      <x:c r="AD3228" s="87"/>
      <x:c r="AE3228" s="87"/>
      <x:c r="AF3228" s="87"/>
      <x:c r="AG3228" s="87"/>
      <x:c r="AH3228" s="87"/>
      <x:c r="AI3228" s="30"/>
      <x:c r="AJ3228" s="87" t="str">
        <x:v>master</x:v>
      </x:c>
      <x:c r="AK3228" s="87" t="str">
        <x:v>master-v0.81</x:v>
      </x:c>
      <x:c r="AL3228" s="87" t="str">
        <x:v>statgrad_master_base_v0_81_final(2).xlsx</x:v>
      </x:c>
      <x:c r="AM3228" s="87" t="str">
        <x:v>MATH_Oct_Base_V5</x:v>
      </x:c>
      <x:c r="AN3228" s="87" t="n">
        <x:v>16</x:v>
      </x:c>
    </x:row>
    <x:row r="3229">
      <x:c r="A3229" s="87" t="n">
        <x:v>3228</x:v>
      </x:c>
      <x:c r="B3229" s="87" t="str">
        <x:v>OCT-MATH-0105-16</x:v>
      </x:c>
      <x:c r="C3229" s="87" t="str">
        <x:v>СтатГрад</x:v>
      </x:c>
      <x:c r="D3229" s="87" t="str">
        <x:v>Октябрь 2025</x:v>
      </x:c>
      <x:c r="E3229" s="87"/>
      <x:c r="F3229" s="87"/>
      <x:c r="G3229" s="87" t="str">
        <x:v>Математика</x:v>
      </x:c>
      <x:c r="H3229" s="87" t="n">
        <x:v>11</x:v>
      </x:c>
      <x:c r="I3229" s="87" t="str">
        <x:v>ТР №1</x:v>
      </x:c>
      <x:c r="J3229" s="87" t="str">
        <x:v>МА2510105</x:v>
      </x:c>
      <x:c r="K3229" s="87" t="n">
        <x:v>16</x:v>
      </x:c>
      <x:c r="L3229" s="87" t="str">
        <x:v>Проценты / финансы</x:v>
      </x:c>
      <x:c r="M3229" s="30" t="str">
        <x:v>Найдите значение выражения             .
                                          2</x:v>
      </x:c>
      <x:c r="N3229" s="30" t="str">
        <x:v>2</x:v>
      </x:c>
      <x:c r="O3229" s="30" t="str">
        <x:v>Ответ принят по официальной таблице СтатГрад.</x:v>
      </x:c>
      <x:c r="P3229" s="30" t="str">
        <x:v>Код варианта, номер и условие постранично сопоставлены с первичным PDF; формат ответа проверен.</x:v>
      </x:c>
      <x:c r="Q3229" s="30"/>
      <x:c r="R3229" s="30" t="str">
        <x:v>Официальный фото-ключ базового уровня.</x:v>
      </x:c>
      <x:c r="S3229" s="30"/>
      <x:c r="T3229" s="30"/>
      <x:c r="U3229" s="30" t="str">
        <x:v>Расхождений не обнаружено.</x:v>
      </x:c>
      <x:c r="V3229" s="87" t="str">
        <x:v>VERIFIED</x:v>
      </x:c>
      <x:c r="W3229" s="87" t="n">
        <x:v>7</x:v>
      </x:c>
      <x:c r="X3229" s="87"/>
      <x:c r="Y3229" s="87"/>
      <x:c r="Z3229" s="87"/>
      <x:c r="AA3229" s="87"/>
      <x:c r="AB3229" s="87"/>
      <x:c r="AC3229" s="87"/>
      <x:c r="AD3229" s="87"/>
      <x:c r="AE3229" s="87"/>
      <x:c r="AF3229" s="87"/>
      <x:c r="AG3229" s="87"/>
      <x:c r="AH3229" s="87"/>
      <x:c r="AI3229" s="30"/>
      <x:c r="AJ3229" s="87" t="str">
        <x:v>master</x:v>
      </x:c>
      <x:c r="AK3229" s="87" t="str">
        <x:v>master-v0.81</x:v>
      </x:c>
      <x:c r="AL3229" s="87" t="str">
        <x:v>statgrad_master_base_v0_81_final(2).xlsx</x:v>
      </x:c>
      <x:c r="AM3229" s="87" t="str">
        <x:v>MATH_Oct_Base_V5</x:v>
      </x:c>
      <x:c r="AN3229" s="87" t="n">
        <x:v>17</x:v>
      </x:c>
    </x:row>
    <x:row r="3230">
      <x:c r="A3230" s="87" t="n">
        <x:v>3229</x:v>
      </x:c>
      <x:c r="B3230" s="87" t="str">
        <x:v>OCT-MATH-0105-17</x:v>
      </x:c>
      <x:c r="C3230" s="87" t="str">
        <x:v>СтатГрад</x:v>
      </x:c>
      <x:c r="D3230" s="87" t="str">
        <x:v>Октябрь 2025</x:v>
      </x:c>
      <x:c r="E3230" s="87"/>
      <x:c r="F3230" s="87"/>
      <x:c r="G3230" s="87" t="str">
        <x:v>Математика</x:v>
      </x:c>
      <x:c r="H3230" s="87" t="n">
        <x:v>11</x:v>
      </x:c>
      <x:c r="I3230" s="87" t="str">
        <x:v>ТР №1</x:v>
      </x:c>
      <x:c r="J3230" s="87" t="str">
        <x:v>МА2510105</x:v>
      </x:c>
      <x:c r="K3230" s="87" t="n">
        <x:v>17</x:v>
      </x:c>
      <x:c r="L3230" s="87" t="str">
        <x:v>Логика / комбинаторика</x:v>
      </x:c>
      <x:c r="M3230" s="30" t="str">
        <x:v>Найдите корень уравнения log 7 ( 4 x + 4 ) − log 7 4 =
                                                          log 7 2 .
                                    согласия СтатГрад запрещена</x:v>
      </x:c>
      <x:c r="N3230" s="30" t="str">
        <x:v>1</x:v>
      </x:c>
      <x:c r="O3230" s="30" t="str">
        <x:v>Ответ принят по официальной таблице СтатГрад.</x:v>
      </x:c>
      <x:c r="P3230" s="30" t="str">
        <x:v>Код варианта, номер и условие постранично сопоставлены с первичным PDF; формат ответа проверен.</x:v>
      </x:c>
      <x:c r="Q3230" s="30"/>
      <x:c r="R3230" s="30" t="str">
        <x:v>Официальный фото-ключ базового уровня.</x:v>
      </x:c>
      <x:c r="S3230" s="30"/>
      <x:c r="T3230" s="30"/>
      <x:c r="U3230" s="30" t="str">
        <x:v>Расхождений не обнаружено.</x:v>
      </x:c>
      <x:c r="V3230" s="87" t="str">
        <x:v>VERIFIED</x:v>
      </x:c>
      <x:c r="W3230" s="87" t="n">
        <x:v>7</x:v>
      </x:c>
      <x:c r="X3230" s="87"/>
      <x:c r="Y3230" s="87"/>
      <x:c r="Z3230" s="87"/>
      <x:c r="AA3230" s="87"/>
      <x:c r="AB3230" s="87"/>
      <x:c r="AC3230" s="87"/>
      <x:c r="AD3230" s="87"/>
      <x:c r="AE3230" s="87"/>
      <x:c r="AF3230" s="87"/>
      <x:c r="AG3230" s="87"/>
      <x:c r="AH3230" s="87"/>
      <x:c r="AI3230" s="30"/>
      <x:c r="AJ3230" s="87" t="str">
        <x:v>master</x:v>
      </x:c>
      <x:c r="AK3230" s="87" t="str">
        <x:v>master-v0.81</x:v>
      </x:c>
      <x:c r="AL3230" s="87" t="str">
        <x:v>statgrad_master_base_v0_81_final(2).xlsx</x:v>
      </x:c>
      <x:c r="AM3230" s="87" t="str">
        <x:v>MATH_Oct_Base_V5</x:v>
      </x:c>
      <x:c r="AN3230" s="87" t="n">
        <x:v>18</x:v>
      </x:c>
    </x:row>
    <x:row r="3231">
      <x:c r="A3231" s="87" t="n">
        <x:v>3230</x:v>
      </x:c>
      <x:c r="B3231" s="87" t="str">
        <x:v>OCT-MATH-0105-18</x:v>
      </x:c>
      <x:c r="C3231" s="87" t="str">
        <x:v>СтатГрад</x:v>
      </x:c>
      <x:c r="D3231" s="87" t="str">
        <x:v>Октябрь 2025</x:v>
      </x:c>
      <x:c r="E3231" s="87"/>
      <x:c r="F3231" s="87"/>
      <x:c r="G3231" s="87" t="str">
        <x:v>Математика</x:v>
      </x:c>
      <x:c r="H3231" s="87" t="n">
        <x:v>11</x:v>
      </x:c>
      <x:c r="I3231" s="87" t="str">
        <x:v>ТР №1</x:v>
      </x:c>
      <x:c r="J3231" s="87" t="str">
        <x:v>МА2510105</x:v>
      </x:c>
      <x:c r="K3231" s="87" t="n">
        <x:v>18</x:v>
      </x:c>
      <x:c r="L3231" s="87" t="str">
        <x:v>Числовая задача</x:v>
      </x:c>
      <x:c r="M3231" s="30" t="str">
        <x:v>Каждому из четырёх неравенств в левом столбце соответствует одно
     из решений в правом столбце. Установите соответствие между
     неравенствами и их решениями.
                     НЕРАВЕНСТВА                                       РЕШЕНИЯ
                      А) 2 x  0,5                                      1) x   1
                       Б) 0,5 x  0,5                                   2) x  1
                                                                        3) x  1
                       В) 0,5 x  0,5                                   4) x   1
                       Г) 2 x  0,5
     Впишите в приведённую в ответе                     таблицу     под    каждой      буквой
     соответствующий решению номер.
                А Б В Г
     Ответ:</x:v>
      </x:c>
      <x:c r="N3231" s="30" t="str">
        <x:v>4231</x:v>
      </x:c>
      <x:c r="O3231" s="30" t="str">
        <x:v>Ответ принят по официальной таблице СтатГрад.</x:v>
      </x:c>
      <x:c r="P3231" s="30" t="str">
        <x:v>Код варианта, номер и условие постранично сопоставлены с первичным PDF; формат ответа проверен.</x:v>
      </x:c>
      <x:c r="Q3231" s="30"/>
      <x:c r="R3231" s="30" t="str">
        <x:v>Официальный фото-ключ базового уровня.</x:v>
      </x:c>
      <x:c r="S3231" s="30"/>
      <x:c r="T3231" s="30"/>
      <x:c r="U3231" s="30" t="str">
        <x:v>Расхождений не обнаружено.</x:v>
      </x:c>
      <x:c r="V3231" s="87" t="str">
        <x:v>VERIFIED</x:v>
      </x:c>
      <x:c r="W3231" s="87" t="n">
        <x:v>8</x:v>
      </x:c>
      <x:c r="X3231" s="87"/>
      <x:c r="Y3231" s="87"/>
      <x:c r="Z3231" s="87"/>
      <x:c r="AA3231" s="87"/>
      <x:c r="AB3231" s="87"/>
      <x:c r="AC3231" s="87"/>
      <x:c r="AD3231" s="87"/>
      <x:c r="AE3231" s="87"/>
      <x:c r="AF3231" s="87"/>
      <x:c r="AG3231" s="87"/>
      <x:c r="AH3231" s="87"/>
      <x:c r="AI3231" s="30"/>
      <x:c r="AJ3231" s="87" t="str">
        <x:v>master</x:v>
      </x:c>
      <x:c r="AK3231" s="87" t="str">
        <x:v>master-v0.81</x:v>
      </x:c>
      <x:c r="AL3231" s="87" t="str">
        <x:v>statgrad_master_base_v0_81_final(2).xlsx</x:v>
      </x:c>
      <x:c r="AM3231" s="87" t="str">
        <x:v>MATH_Oct_Base_V5</x:v>
      </x:c>
      <x:c r="AN3231" s="87" t="n">
        <x:v>19</x:v>
      </x:c>
    </x:row>
    <x:row r="3232">
      <x:c r="A3232" s="87" t="n">
        <x:v>3231</x:v>
      </x:c>
      <x:c r="B3232" s="87" t="str">
        <x:v>OCT-MATH-0105-19</x:v>
      </x:c>
      <x:c r="C3232" s="87" t="str">
        <x:v>СтатГрад</x:v>
      </x:c>
      <x:c r="D3232" s="87" t="str">
        <x:v>Октябрь 2025</x:v>
      </x:c>
      <x:c r="E3232" s="87"/>
      <x:c r="F3232" s="87"/>
      <x:c r="G3232" s="87" t="str">
        <x:v>Математика</x:v>
      </x:c>
      <x:c r="H3232" s="87" t="n">
        <x:v>11</x:v>
      </x:c>
      <x:c r="I3232" s="87" t="str">
        <x:v>ТР №1</x:v>
      </x:c>
      <x:c r="J3232" s="87" t="str">
        <x:v>МА2510105</x:v>
      </x:c>
      <x:c r="K3232" s="87" t="n">
        <x:v>19</x:v>
      </x:c>
      <x:c r="L3232" s="87" t="str">
        <x:v>Теория чисел</x:v>
      </x:c>
      <x:c r="M3232" s="30" t="str">
        <x:v>Вычеркните в числе 86957205 три цифры так, чтобы получившееся число
     делилось на 60. В ответе укажите ровно одно получившееся число.</x:v>
      </x:c>
      <x:c r="N3232" s="30" t="str">
        <x:v>69720</x:v>
      </x:c>
      <x:c r="O3232" s="30" t="str">
        <x:v>Ответ принят по официальной таблице СтатГрад.</x:v>
      </x:c>
      <x:c r="P3232" s="30" t="str">
        <x:v>Код варианта, номер и условие постранично сопоставлены с первичным PDF; формат ответа проверен.</x:v>
      </x:c>
      <x:c r="Q3232" s="30"/>
      <x:c r="R3232" s="30" t="str">
        <x:v>Официальный фото-ключ базового уровня.</x:v>
      </x:c>
      <x:c r="S3232" s="30"/>
      <x:c r="T3232" s="30"/>
      <x:c r="U3232" s="30" t="str">
        <x:v>Расхождений не обнаружено.</x:v>
      </x:c>
      <x:c r="V3232" s="87" t="str">
        <x:v>VERIFIED</x:v>
      </x:c>
      <x:c r="W3232" s="87" t="n">
        <x:v>8</x:v>
      </x:c>
      <x:c r="X3232" s="87"/>
      <x:c r="Y3232" s="87"/>
      <x:c r="Z3232" s="87"/>
      <x:c r="AA3232" s="87"/>
      <x:c r="AB3232" s="87"/>
      <x:c r="AC3232" s="87"/>
      <x:c r="AD3232" s="87"/>
      <x:c r="AE3232" s="87"/>
      <x:c r="AF3232" s="87"/>
      <x:c r="AG3232" s="87"/>
      <x:c r="AH3232" s="87"/>
      <x:c r="AI3232" s="30"/>
      <x:c r="AJ3232" s="87" t="str">
        <x:v>master</x:v>
      </x:c>
      <x:c r="AK3232" s="87" t="str">
        <x:v>master-v0.81</x:v>
      </x:c>
      <x:c r="AL3232" s="87" t="str">
        <x:v>statgrad_master_base_v0_81_final(2).xlsx</x:v>
      </x:c>
      <x:c r="AM3232" s="87" t="str">
        <x:v>MATH_Oct_Base_V5</x:v>
      </x:c>
      <x:c r="AN3232" s="87" t="n">
        <x:v>20</x:v>
      </x:c>
    </x:row>
    <x:row r="3233">
      <x:c r="A3233" s="87" t="n">
        <x:v>3232</x:v>
      </x:c>
      <x:c r="B3233" s="87" t="str">
        <x:v>OCT-MATH-0105-20</x:v>
      </x:c>
      <x:c r="C3233" s="87" t="str">
        <x:v>СтатГрад</x:v>
      </x:c>
      <x:c r="D3233" s="87" t="str">
        <x:v>Октябрь 2025</x:v>
      </x:c>
      <x:c r="E3233" s="87"/>
      <x:c r="F3233" s="87"/>
      <x:c r="G3233" s="87" t="str">
        <x:v>Математика</x:v>
      </x:c>
      <x:c r="H3233" s="87" t="n">
        <x:v>11</x:v>
      </x:c>
      <x:c r="I3233" s="87" t="str">
        <x:v>ТР №1</x:v>
      </x:c>
      <x:c r="J3233" s="87" t="str">
        <x:v>МА2510105</x:v>
      </x:c>
      <x:c r="K3233" s="87" t="n">
        <x:v>20</x:v>
      </x:c>
      <x:c r="L3233" s="87" t="str">
        <x:v>Практическая задача</x:v>
      </x:c>
      <x:c r="M3233" s="30" t="str">
        <x:v>Валя и Галя пропалывают грядку за 12 минут, а одна Галя — за 84 минуты.
     За сколько минут пропалывает грядку одна Валя?</x:v>
      </x:c>
      <x:c r="N3233" s="30" t="str">
        <x:v>14</x:v>
      </x:c>
      <x:c r="O3233" s="30" t="str">
        <x:v>Ответ принят по официальной таблице СтатГрад.</x:v>
      </x:c>
      <x:c r="P3233" s="30" t="str">
        <x:v>Код варианта, номер и условие постранично сопоставлены с первичным PDF; формат ответа проверен.</x:v>
      </x:c>
      <x:c r="Q3233" s="30"/>
      <x:c r="R3233" s="30" t="str">
        <x:v>Официальный фото-ключ базового уровня.</x:v>
      </x:c>
      <x:c r="S3233" s="30"/>
      <x:c r="T3233" s="30"/>
      <x:c r="U3233" s="30" t="str">
        <x:v>Расхождений не обнаружено.</x:v>
      </x:c>
      <x:c r="V3233" s="87" t="str">
        <x:v>VERIFIED</x:v>
      </x:c>
      <x:c r="W3233" s="87" t="n">
        <x:v>8</x:v>
      </x:c>
      <x:c r="X3233" s="87"/>
      <x:c r="Y3233" s="87"/>
      <x:c r="Z3233" s="87"/>
      <x:c r="AA3233" s="87"/>
      <x:c r="AB3233" s="87"/>
      <x:c r="AC3233" s="87"/>
      <x:c r="AD3233" s="87"/>
      <x:c r="AE3233" s="87"/>
      <x:c r="AF3233" s="87"/>
      <x:c r="AG3233" s="87"/>
      <x:c r="AH3233" s="87"/>
      <x:c r="AI3233" s="30"/>
      <x:c r="AJ3233" s="87" t="str">
        <x:v>master</x:v>
      </x:c>
      <x:c r="AK3233" s="87" t="str">
        <x:v>master-v0.81</x:v>
      </x:c>
      <x:c r="AL3233" s="87" t="str">
        <x:v>statgrad_master_base_v0_81_final(2).xlsx</x:v>
      </x:c>
      <x:c r="AM3233" s="87" t="str">
        <x:v>MATH_Oct_Base_V5</x:v>
      </x:c>
      <x:c r="AN3233" s="87" t="n">
        <x:v>21</x:v>
      </x:c>
    </x:row>
    <x:row r="3234">
      <x:c r="A3234" s="87" t="n">
        <x:v>3233</x:v>
      </x:c>
      <x:c r="B3234" s="87" t="str">
        <x:v>OCT-MATH-0105-21</x:v>
      </x:c>
      <x:c r="C3234" s="87" t="str">
        <x:v>СтатГрад</x:v>
      </x:c>
      <x:c r="D3234" s="87" t="str">
        <x:v>Октябрь 2025</x:v>
      </x:c>
      <x:c r="E3234" s="87"/>
      <x:c r="F3234" s="87"/>
      <x:c r="G3234" s="87" t="str">
        <x:v>Математика</x:v>
      </x:c>
      <x:c r="H3234" s="87" t="n">
        <x:v>11</x:v>
      </x:c>
      <x:c r="I3234" s="87" t="str">
        <x:v>ТР №1</x:v>
      </x:c>
      <x:c r="J3234" s="87" t="str">
        <x:v>МА2510105</x:v>
      </x:c>
      <x:c r="K3234" s="87" t="n">
        <x:v>21</x:v>
      </x:c>
      <x:c r="L3234" s="87" t="str">
        <x:v>Оптимизация / вычисление</x:v>
      </x:c>
      <x:c r="M3234" s="30" t="str">
        <x:v>Хозяин договорился с рабочими, что они выкопают ему колодец на следующих
     условиях: за первый метр он заплатит им 5800 рублей, а за каждый следующий
     метр — на 2500 рублей больше, чем за предыдущий. Сколько рублей хозяин
     должен будет заплатить рабочим, если они выкопают колодец глубиной
     6 метров?
                                    согласия СтатГрад запрещена</x:v>
      </x:c>
      <x:c r="N3234" s="30" t="str">
        <x:v>72300</x:v>
      </x:c>
      <x:c r="O3234" s="30" t="str">
        <x:v>Ответ принят по официальной таблице СтатГрад.</x:v>
      </x:c>
      <x:c r="P3234" s="30" t="str">
        <x:v>Код варианта, номер и условие постранично сопоставлены с первичным PDF; формат ответа проверен.</x:v>
      </x:c>
      <x:c r="Q3234" s="30"/>
      <x:c r="R3234" s="30" t="str">
        <x:v>Официальный фото-ключ базового уровня.</x:v>
      </x:c>
      <x:c r="S3234" s="30"/>
      <x:c r="T3234" s="30"/>
      <x:c r="U3234" s="30" t="str">
        <x:v>Расхождений не обнаружено.</x:v>
      </x:c>
      <x:c r="V3234" s="87" t="str">
        <x:v>VERIFIED</x:v>
      </x:c>
      <x:c r="W3234" s="87" t="n">
        <x:v>8</x:v>
      </x:c>
      <x:c r="X3234" s="87"/>
      <x:c r="Y3234" s="87"/>
      <x:c r="Z3234" s="87"/>
      <x:c r="AA3234" s="87"/>
      <x:c r="AB3234" s="87"/>
      <x:c r="AC3234" s="87"/>
      <x:c r="AD3234" s="87"/>
      <x:c r="AE3234" s="87"/>
      <x:c r="AF3234" s="87"/>
      <x:c r="AG3234" s="87"/>
      <x:c r="AH3234" s="87"/>
      <x:c r="AI3234" s="30"/>
      <x:c r="AJ3234" s="87" t="str">
        <x:v>master</x:v>
      </x:c>
      <x:c r="AK3234" s="87" t="str">
        <x:v>master-v0.81</x:v>
      </x:c>
      <x:c r="AL3234" s="87" t="str">
        <x:v>statgrad_master_base_v0_81_final(2).xlsx</x:v>
      </x:c>
      <x:c r="AM3234" s="87" t="str">
        <x:v>MATH_Oct_Base_V5</x:v>
      </x:c>
      <x:c r="AN3234" s="87" t="n">
        <x:v>22</x:v>
      </x:c>
    </x:row>
    <x:row r="3235">
      <x:c r="A3235" s="87" t="n">
        <x:v>3234</x:v>
      </x:c>
      <x:c r="B3235" s="87" t="str">
        <x:v>OCT-MATH-0106-01</x:v>
      </x:c>
      <x:c r="C3235" s="87" t="str">
        <x:v>СтатГрад</x:v>
      </x:c>
      <x:c r="D3235" s="87" t="str">
        <x:v>Октябрь 2025</x:v>
      </x:c>
      <x:c r="E3235" s="87"/>
      <x:c r="F3235" s="87"/>
      <x:c r="G3235" s="87" t="str">
        <x:v>Математика</x:v>
      </x:c>
      <x:c r="H3235" s="87" t="n">
        <x:v>11</x:v>
      </x:c>
      <x:c r="I3235" s="87" t="str">
        <x:v>ТР №1</x:v>
      </x:c>
      <x:c r="J3235" s="87" t="str">
        <x:v>МА2510106</x:v>
      </x:c>
      <x:c r="K3235" s="87" t="n">
        <x:v>1</x:v>
      </x:c>
      <x:c r="L3235" s="87" t="str">
        <x:v>Практическая арифметика</x:v>
      </x:c>
      <x:c r="M3235" s="30" t="str">
        <x:v>На день рождения полагается дарить букет из нечётного числа цветов. Розы
    стоят 95 рублей за штуку. У Вани есть 650 рублей. Из какого наибольшего
    числа роз он может купить букет Маше на день рождения?</x:v>
      </x:c>
      <x:c r="N3235" s="30" t="str">
        <x:v>5</x:v>
      </x:c>
      <x:c r="O3235" s="30" t="str">
        <x:v>Ответ принят по официальной таблице СтатГрад.</x:v>
      </x:c>
      <x:c r="P3235" s="30" t="str">
        <x:v>Код варианта, номер и условие постранично сопоставлены с первичным PDF; формат ответа проверен.</x:v>
      </x:c>
      <x:c r="Q3235" s="30"/>
      <x:c r="R3235" s="30" t="str">
        <x:v>Официальный фото-ключ базового уровня.</x:v>
      </x:c>
      <x:c r="S3235" s="30"/>
      <x:c r="T3235" s="30"/>
      <x:c r="U3235" s="30" t="str">
        <x:v>Расхождений не обнаружено.</x:v>
      </x:c>
      <x:c r="V3235" s="87" t="str">
        <x:v>VERIFIED</x:v>
      </x:c>
      <x:c r="W3235" s="87" t="n">
        <x:v>10</x:v>
      </x:c>
      <x:c r="X3235" s="87"/>
      <x:c r="Y3235" s="87"/>
      <x:c r="Z3235" s="87"/>
      <x:c r="AA3235" s="87"/>
      <x:c r="AB3235" s="87"/>
      <x:c r="AC3235" s="87"/>
      <x:c r="AD3235" s="87"/>
      <x:c r="AE3235" s="87"/>
      <x:c r="AF3235" s="87"/>
      <x:c r="AG3235" s="87"/>
      <x:c r="AH3235" s="87"/>
      <x:c r="AI3235" s="30"/>
      <x:c r="AJ3235" s="87" t="str">
        <x:v>master</x:v>
      </x:c>
      <x:c r="AK3235" s="87" t="str">
        <x:v>master-v0.81</x:v>
      </x:c>
      <x:c r="AL3235" s="87" t="str">
        <x:v>statgrad_master_base_v0_81_final(2).xlsx</x:v>
      </x:c>
      <x:c r="AM3235" s="87" t="str">
        <x:v>MATH_Oct_Base_V6</x:v>
      </x:c>
      <x:c r="AN3235" s="87" t="n">
        <x:v>2</x:v>
      </x:c>
    </x:row>
    <x:row r="3236">
      <x:c r="A3236" s="87" t="n">
        <x:v>3235</x:v>
      </x:c>
      <x:c r="B3236" s="87" t="str">
        <x:v>OCT-MATH-0106-02</x:v>
      </x:c>
      <x:c r="C3236" s="87" t="str">
        <x:v>СтатГрад</x:v>
      </x:c>
      <x:c r="D3236" s="87" t="str">
        <x:v>Октябрь 2025</x:v>
      </x:c>
      <x:c r="E3236" s="87"/>
      <x:c r="F3236" s="87"/>
      <x:c r="G3236" s="87" t="str">
        <x:v>Математика</x:v>
      </x:c>
      <x:c r="H3236" s="87" t="n">
        <x:v>11</x:v>
      </x:c>
      <x:c r="I3236" s="87" t="str">
        <x:v>ТР №1</x:v>
      </x:c>
      <x:c r="J3236" s="87" t="str">
        <x:v>МА2510106</x:v>
      </x:c>
      <x:c r="K3236" s="87" t="n">
        <x:v>2</x:v>
      </x:c>
      <x:c r="L3236" s="87" t="str">
        <x:v>Соответствие величин</x:v>
      </x:c>
      <x:c r="M3236"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объём железнодорожного вагона                      1) 300 л
    Б) объём бытового холодильника                        2) 120 м 3
    В) объём воды в Ладожском озере                       3) 840 км 3
    Г) объём пакета сока                                  4) 1,5 л
    В таблице под каждой буквой, соответствующей величине, укажите номер её
    возможного значения.
               А Б В Г
    Ответ:
                                   согласия СтатГрад запрещена</x:v>
      </x:c>
      <x:c r="N3236" s="30" t="str">
        <x:v>2134</x:v>
      </x:c>
      <x:c r="O3236" s="30" t="str">
        <x:v>Ответ принят по официальной таблице СтатГрад.</x:v>
      </x:c>
      <x:c r="P3236" s="30" t="str">
        <x:v>Код варианта, номер и условие постранично сопоставлены с первичным PDF; формат ответа проверен.</x:v>
      </x:c>
      <x:c r="Q3236" s="30"/>
      <x:c r="R3236" s="30" t="str">
        <x:v>Официальный фото-ключ базового уровня.</x:v>
      </x:c>
      <x:c r="S3236" s="30"/>
      <x:c r="T3236" s="30"/>
      <x:c r="U3236" s="30" t="str">
        <x:v>Расхождений не обнаружено.</x:v>
      </x:c>
      <x:c r="V3236" s="87" t="str">
        <x:v>VERIFIED</x:v>
      </x:c>
      <x:c r="W3236" s="87" t="n">
        <x:v>10</x:v>
      </x:c>
      <x:c r="X3236" s="87"/>
      <x:c r="Y3236" s="87"/>
      <x:c r="Z3236" s="87"/>
      <x:c r="AA3236" s="87"/>
      <x:c r="AB3236" s="87"/>
      <x:c r="AC3236" s="87"/>
      <x:c r="AD3236" s="87"/>
      <x:c r="AE3236" s="87"/>
      <x:c r="AF3236" s="87"/>
      <x:c r="AG3236" s="87"/>
      <x:c r="AH3236" s="87"/>
      <x:c r="AI3236" s="30"/>
      <x:c r="AJ3236" s="87" t="str">
        <x:v>master</x:v>
      </x:c>
      <x:c r="AK3236" s="87" t="str">
        <x:v>master-v0.81</x:v>
      </x:c>
      <x:c r="AL3236" s="87" t="str">
        <x:v>statgrad_master_base_v0_81_final(2).xlsx</x:v>
      </x:c>
      <x:c r="AM3236" s="87" t="str">
        <x:v>MATH_Oct_Base_V6</x:v>
      </x:c>
      <x:c r="AN3236" s="87" t="n">
        <x:v>3</x:v>
      </x:c>
    </x:row>
    <x:row r="3237">
      <x:c r="A3237" s="87" t="n">
        <x:v>3236</x:v>
      </x:c>
      <x:c r="B3237" s="87" t="str">
        <x:v>OCT-MATH-0106-03</x:v>
      </x:c>
      <x:c r="C3237" s="87" t="str">
        <x:v>СтатГрад</x:v>
      </x:c>
      <x:c r="D3237" s="87" t="str">
        <x:v>Октябрь 2025</x:v>
      </x:c>
      <x:c r="E3237" s="87"/>
      <x:c r="F3237" s="87"/>
      <x:c r="G3237" s="87" t="str">
        <x:v>Математика</x:v>
      </x:c>
      <x:c r="H3237" s="87" t="n">
        <x:v>11</x:v>
      </x:c>
      <x:c r="I3237" s="87" t="str">
        <x:v>ТР №1</x:v>
      </x:c>
      <x:c r="J3237" s="87" t="str">
        <x:v>МА2510106</x:v>
      </x:c>
      <x:c r="K3237" s="87" t="n">
        <x:v>3</x:v>
      </x:c>
      <x:c r="L3237" s="87" t="str">
        <x:v>Диаграмма</x:v>
      </x:c>
      <x:c r="M3237" s="30" t="str">
        <x:v>На диаграмме показана среднемесячная температура воздуха в Санкт-
    Петербурге за каждый месяц 1999 года. По горизонтали указываются
    месяцы, по вертикали — температура в градусах Цельсия.
           20
           16
           12
             8
             4
            0 янв фев мар апр май июн июл авг сен окт ноя дек
           –4
           –8
    Определите по диаграмме наибольшую среднемесячную температуру
    в Санкт-Петербурге в период с февраля по июнь 1999 года. Ответ дайте
    в градусах Цельсия.</x:v>
      </x:c>
      <x:c r="N3237" s="30" t="str">
        <x:v>18</x:v>
      </x:c>
      <x:c r="O3237" s="30" t="str">
        <x:v>Ответ принят по официальной таблице СтатГрад.</x:v>
      </x:c>
      <x:c r="P3237" s="30" t="str">
        <x:v>Код варианта, номер и условие постранично сопоставлены с первичным PDF; формат ответа проверен.</x:v>
      </x:c>
      <x:c r="Q3237" s="30"/>
      <x:c r="R3237" s="30" t="str">
        <x:v>Официальный фото-ключ базового уровня.</x:v>
      </x:c>
      <x:c r="S3237" s="30"/>
      <x:c r="T3237" s="30"/>
      <x:c r="U3237" s="30" t="str">
        <x:v>Расхождений не обнаружено.</x:v>
      </x:c>
      <x:c r="V3237" s="87" t="str">
        <x:v>VERIFIED</x:v>
      </x:c>
      <x:c r="W3237" s="87" t="n">
        <x:v>11</x:v>
      </x:c>
      <x:c r="X3237" s="87"/>
      <x:c r="Y3237" s="87"/>
      <x:c r="Z3237" s="87"/>
      <x:c r="AA3237" s="87"/>
      <x:c r="AB3237" s="87"/>
      <x:c r="AC3237" s="87" t="str">
        <x:v>VIS-MATH-OCT-021</x:v>
      </x:c>
      <x:c r="AD3237" s="87"/>
      <x:c r="AE3237" s="87" t="str">
        <x:v>Полная страница с визуальным контекстом</x:v>
      </x:c>
      <x:c r="AF3237" s="87" t="str">
        <x:v>VIS-MATH-OCT-021: 11</x:v>
      </x:c>
      <x:c r="AG3237" s="87" t="str">
        <x:v>RESOLVED / SOURCE_REGENERATED</x:v>
      </x:c>
      <x:c r="AH3237" s="87" t="str">
        <x:v>SOURCE_PAGE_REGENERATED_FULL_PAGE_NO_CROP; TASK_CROP_QA_APPROVED:USE_CONTEXT</x:v>
      </x:c>
      <x:c r="AI3237" s="30"/>
      <x:c r="AJ3237" s="87" t="str">
        <x:v>master</x:v>
      </x:c>
      <x:c r="AK3237" s="87" t="str">
        <x:v>master-v0.81</x:v>
      </x:c>
      <x:c r="AL3237" s="87" t="str">
        <x:v>statgrad_master_base_v0_81_final(2).xlsx</x:v>
      </x:c>
      <x:c r="AM3237" s="87" t="str">
        <x:v>MATH_Oct_Base_V6</x:v>
      </x:c>
      <x:c r="AN3237" s="87" t="n">
        <x:v>4</x:v>
      </x:c>
    </x:row>
    <x:row r="3238">
      <x:c r="A3238" s="87" t="n">
        <x:v>3237</x:v>
      </x:c>
      <x:c r="B3238" s="87" t="str">
        <x:v>OCT-MATH-0106-04</x:v>
      </x:c>
      <x:c r="C3238" s="87" t="str">
        <x:v>СтатГрад</x:v>
      </x:c>
      <x:c r="D3238" s="87" t="str">
        <x:v>Октябрь 2025</x:v>
      </x:c>
      <x:c r="E3238" s="87"/>
      <x:c r="F3238" s="87"/>
      <x:c r="G3238" s="87" t="str">
        <x:v>Математика</x:v>
      </x:c>
      <x:c r="H3238" s="87" t="n">
        <x:v>11</x:v>
      </x:c>
      <x:c r="I3238" s="87" t="str">
        <x:v>ТР №1</x:v>
      </x:c>
      <x:c r="J3238" s="87" t="str">
        <x:v>МА2510106</x:v>
      </x:c>
      <x:c r="K3238" s="87" t="n">
        <x:v>4</x:v>
      </x:c>
      <x:c r="L3238" s="87" t="str">
        <x:v>Вычисление по формуле</x:v>
      </x:c>
      <x:c r="M3238" s="30" t="str">
        <x:v>Радиус вписанной в прямоугольный треугольник окружности вычисляется
                   a+b−c
    по формуле r =        , где a и b — катеты, а c — гипотенуза. Пользуясь
                      2
    этой формулой, найдите r , если a = 51 , b = 140 и c = 149 .
                                   согласия СтатГрад запрещена</x:v>
      </x:c>
      <x:c r="N3238" s="30" t="str">
        <x:v>21</x:v>
      </x:c>
      <x:c r="O3238" s="30" t="str">
        <x:v>Ответ принят по официальной таблице СтатГрад.</x:v>
      </x:c>
      <x:c r="P3238" s="30" t="str">
        <x:v>Код варианта, номер и условие постранично сопоставлены с первичным PDF; формат ответа проверен.</x:v>
      </x:c>
      <x:c r="Q3238" s="30"/>
      <x:c r="R3238" s="30" t="str">
        <x:v>Официальный фото-ключ базового уровня.</x:v>
      </x:c>
      <x:c r="S3238" s="30"/>
      <x:c r="T3238" s="30"/>
      <x:c r="U3238" s="30" t="str">
        <x:v>Расхождений не обнаружено.</x:v>
      </x:c>
      <x:c r="V3238" s="87" t="str">
        <x:v>VERIFIED</x:v>
      </x:c>
      <x:c r="W3238" s="87" t="n">
        <x:v>11</x:v>
      </x:c>
      <x:c r="X3238" s="87"/>
      <x:c r="Y3238" s="87"/>
      <x:c r="Z3238" s="87"/>
      <x:c r="AA3238" s="87"/>
      <x:c r="AB3238" s="87"/>
      <x:c r="AC3238" s="87" t="str">
        <x:v>VIS-MATH-OCT-021</x:v>
      </x:c>
      <x:c r="AD3238" s="87"/>
      <x:c r="AE3238" s="87" t="str">
        <x:v>Полная страница с визуальным контекстом</x:v>
      </x:c>
      <x:c r="AF3238" s="87" t="str">
        <x:v>VIS-MATH-OCT-021: 11</x:v>
      </x:c>
      <x:c r="AG3238" s="87" t="str">
        <x:v>RESOLVED / SOURCE_REGENERATED</x:v>
      </x:c>
      <x:c r="AH3238" s="87" t="str">
        <x:v>SOURCE_PAGE_REGENERATED_FULL_PAGE_NO_CROP</x:v>
      </x:c>
      <x:c r="AI3238" s="30"/>
      <x:c r="AJ3238" s="87" t="str">
        <x:v>master</x:v>
      </x:c>
      <x:c r="AK3238" s="87" t="str">
        <x:v>master-v0.81</x:v>
      </x:c>
      <x:c r="AL3238" s="87" t="str">
        <x:v>statgrad_master_base_v0_81_final(2).xlsx</x:v>
      </x:c>
      <x:c r="AM3238" s="87" t="str">
        <x:v>MATH_Oct_Base_V6</x:v>
      </x:c>
      <x:c r="AN3238" s="87" t="n">
        <x:v>5</x:v>
      </x:c>
    </x:row>
    <x:row r="3239">
      <x:c r="A3239" s="87" t="n">
        <x:v>3238</x:v>
      </x:c>
      <x:c r="B3239" s="87" t="str">
        <x:v>OCT-MATH-0106-05</x:v>
      </x:c>
      <x:c r="C3239" s="87" t="str">
        <x:v>СтатГрад</x:v>
      </x:c>
      <x:c r="D3239" s="87" t="str">
        <x:v>Октябрь 2025</x:v>
      </x:c>
      <x:c r="E3239" s="87"/>
      <x:c r="F3239" s="87"/>
      <x:c r="G3239" s="87" t="str">
        <x:v>Математика</x:v>
      </x:c>
      <x:c r="H3239" s="87" t="n">
        <x:v>11</x:v>
      </x:c>
      <x:c r="I3239" s="87" t="str">
        <x:v>ТР №1</x:v>
      </x:c>
      <x:c r="J3239" s="87" t="str">
        <x:v>МА2510106</x:v>
      </x:c>
      <x:c r="K3239" s="87" t="n">
        <x:v>5</x:v>
      </x:c>
      <x:c r="L3239" s="87" t="str">
        <x:v>Вероятность</x:v>
      </x:c>
      <x:c r="M3239" s="30" t="str">
        <x:v>На экзамене будет 30 билетов, Серёжа не выучил 9 из них. Найдите
    вероятность того, что ему попадётся выученный билет.</x:v>
      </x:c>
      <x:c r="N3239" s="30" t="str">
        <x:v>0,7</x:v>
      </x:c>
      <x:c r="O3239" s="30" t="str">
        <x:v>Ответ принят по официальной таблице СтатГрад.</x:v>
      </x:c>
      <x:c r="P3239" s="30" t="str">
        <x:v>Код варианта, номер и условие постранично сопоставлены с первичным PDF; формат ответа проверен.</x:v>
      </x:c>
      <x:c r="Q3239" s="30"/>
      <x:c r="R3239" s="30" t="str">
        <x:v>Официальный фото-ключ базового уровня.</x:v>
      </x:c>
      <x:c r="S3239" s="30"/>
      <x:c r="T3239" s="30"/>
      <x:c r="U3239" s="30" t="str">
        <x:v>Расхождений не обнаружено.</x:v>
      </x:c>
      <x:c r="V3239" s="87" t="str">
        <x:v>VERIFIED</x:v>
      </x:c>
      <x:c r="W3239" s="87" t="n">
        <x:v>12</x:v>
      </x:c>
      <x:c r="X3239" s="87"/>
      <x:c r="Y3239" s="87"/>
      <x:c r="Z3239" s="87"/>
      <x:c r="AA3239" s="87"/>
      <x:c r="AB3239" s="87"/>
      <x:c r="AC3239" s="87"/>
      <x:c r="AD3239" s="87"/>
      <x:c r="AE3239" s="87"/>
      <x:c r="AF3239" s="87"/>
      <x:c r="AG3239" s="87"/>
      <x:c r="AH3239" s="87"/>
      <x:c r="AI3239" s="30"/>
      <x:c r="AJ3239" s="87" t="str">
        <x:v>master</x:v>
      </x:c>
      <x:c r="AK3239" s="87" t="str">
        <x:v>master-v0.81</x:v>
      </x:c>
      <x:c r="AL3239" s="87" t="str">
        <x:v>statgrad_master_base_v0_81_final(2).xlsx</x:v>
      </x:c>
      <x:c r="AM3239" s="87" t="str">
        <x:v>MATH_Oct_Base_V6</x:v>
      </x:c>
      <x:c r="AN3239" s="87" t="n">
        <x:v>6</x:v>
      </x:c>
    </x:row>
    <x:row r="3240">
      <x:c r="A3240" s="87" t="n">
        <x:v>3239</x:v>
      </x:c>
      <x:c r="B3240" s="87" t="str">
        <x:v>OCT-MATH-0106-06</x:v>
      </x:c>
      <x:c r="C3240" s="87" t="str">
        <x:v>СтатГрад</x:v>
      </x:c>
      <x:c r="D3240" s="87" t="str">
        <x:v>Октябрь 2025</x:v>
      </x:c>
      <x:c r="E3240" s="87"/>
      <x:c r="F3240" s="87"/>
      <x:c r="G3240" s="87" t="str">
        <x:v>Математика</x:v>
      </x:c>
      <x:c r="H3240" s="87" t="n">
        <x:v>11</x:v>
      </x:c>
      <x:c r="I3240" s="87" t="str">
        <x:v>ТР №1</x:v>
      </x:c>
      <x:c r="J3240" s="87" t="str">
        <x:v>МА2510106</x:v>
      </x:c>
      <x:c r="K3240" s="87" t="n">
        <x:v>6</x:v>
      </x:c>
      <x:c r="L3240" s="87" t="str">
        <x:v>Тариф / таблица</x:v>
      </x:c>
      <x:c r="M3240" s="30" t="str">
        <x:v>Телефонная компания предоставляет на выбор три тарифных плана.
                      Абонентская плата
      Тарифный план                        Плата за 1 минуту разговора
                           (в месяц)
    «Повременный»             Нет                    0,5 руб.
    «Комбинированный» 200 руб. за 420 мин.           0,4 руб.
                                            (сверх 420 мин. в месяц)
    «Безлимитный»       295 руб. в месяц               Нет
    Абонент предполагает, что общая длительность разговоров составит
    500 минут в месяц, и исходя из этого выбирает наиболее дешёвый тарифный
    план. Сколько рублей должен будет заплатить абонент за месяц, если общая
    длительность разговоров действительно будет равна 500 минутам?
                                   согласия СтатГрад запрещена</x:v>
      </x:c>
      <x:c r="N3240" s="30" t="str">
        <x:v>232</x:v>
      </x:c>
      <x:c r="O3240" s="30" t="str">
        <x:v>Ответ принят по официальной таблице СтатГрад.</x:v>
      </x:c>
      <x:c r="P3240" s="30" t="str">
        <x:v>Код варианта, номер и условие постранично сопоставлены с первичным PDF; формат ответа проверен.</x:v>
      </x:c>
      <x:c r="Q3240" s="30"/>
      <x:c r="R3240" s="30" t="str">
        <x:v>Официальный фото-ключ базового уровня.</x:v>
      </x:c>
      <x:c r="S3240" s="30"/>
      <x:c r="T3240" s="30"/>
      <x:c r="U3240" s="30" t="str">
        <x:v>Расхождений не обнаружено.</x:v>
      </x:c>
      <x:c r="V3240" s="87" t="str">
        <x:v>VERIFIED</x:v>
      </x:c>
      <x:c r="W3240" s="87" t="n">
        <x:v>12</x:v>
      </x:c>
      <x:c r="X3240" s="87"/>
      <x:c r="Y3240" s="87"/>
      <x:c r="Z3240" s="87"/>
      <x:c r="AA3240" s="87"/>
      <x:c r="AB3240" s="87"/>
      <x:c r="AC3240" s="87" t="str">
        <x:v>VIS-MATH-OCT-022</x:v>
      </x:c>
      <x:c r="AD3240" s="87"/>
      <x:c r="AE3240" s="87" t="str">
        <x:v>Полная страница с визуальным контекстом</x:v>
      </x:c>
      <x:c r="AF3240" s="87" t="str">
        <x:v>VIS-MATH-OCT-022: 12</x:v>
      </x:c>
      <x:c r="AG3240" s="87" t="str">
        <x:v>RESOLVED / SOURCE_REGENERATED</x:v>
      </x:c>
      <x:c r="AH3240" s="87" t="str">
        <x:v>SOURCE_PAGE_REGENERATED_FULL_PAGE_NO_CROP</x:v>
      </x:c>
      <x:c r="AI3240" s="30"/>
      <x:c r="AJ3240" s="87" t="str">
        <x:v>master</x:v>
      </x:c>
      <x:c r="AK3240" s="87" t="str">
        <x:v>master-v0.81</x:v>
      </x:c>
      <x:c r="AL3240" s="87" t="str">
        <x:v>statgrad_master_base_v0_81_final(2).xlsx</x:v>
      </x:c>
      <x:c r="AM3240" s="87" t="str">
        <x:v>MATH_Oct_Base_V6</x:v>
      </x:c>
      <x:c r="AN3240" s="87" t="n">
        <x:v>7</x:v>
      </x:c>
    </x:row>
    <x:row r="3241">
      <x:c r="A3241" s="87" t="n">
        <x:v>3240</x:v>
      </x:c>
      <x:c r="B3241" s="87" t="str">
        <x:v>OCT-MATH-0106-07</x:v>
      </x:c>
      <x:c r="C3241" s="87" t="str">
        <x:v>СтатГрад</x:v>
      </x:c>
      <x:c r="D3241" s="87" t="str">
        <x:v>Октябрь 2025</x:v>
      </x:c>
      <x:c r="E3241" s="87"/>
      <x:c r="F3241" s="87"/>
      <x:c r="G3241" s="87" t="str">
        <x:v>Математика</x:v>
      </x:c>
      <x:c r="H3241" s="87" t="n">
        <x:v>11</x:v>
      </x:c>
      <x:c r="I3241" s="87" t="str">
        <x:v>ТР №1</x:v>
      </x:c>
      <x:c r="J3241" s="87" t="str">
        <x:v>МА2510106</x:v>
      </x:c>
      <x:c r="K3241" s="87" t="n">
        <x:v>7</x:v>
      </x:c>
      <x:c r="L3241" s="87" t="str">
        <x:v>График</x:v>
      </x:c>
      <x:c r="M3241" s="30" t="str">
        <x:v>На рисунке точками показаны ежемесячные объёмы продаж холодильников
    в магазине бытовой техники. По горизонтали указываются месяцы,
    по вертикали — количество проданных холодильников. Для наглядности
    точки соединены ломаной линией.
              700
              600
              500
              400
              300
              200
              100
                0
                 янв фев мар апр май июн июл авг сен окт ноя дек
    Пользуясь рисунком, поставьте в соответствие каждому из указанных
    периодов времени характеристику продаж холодильников.
       ПЕРИОДЫ ВРЕМЕНИ                               ХАРАКТЕРИСТИКИ
    А) январь – март                      1) Продажи за первый и второй месяцы
    Б) апрель – июнь                         периода совпали.
    В) июль – сентябрь                    2) Ежемесячный объём продаж достиг
    Г) октябрь – декабрь                     максимума.
                                          3) За этот период ежемесячный объём
                                             продаж увеличился
                                             на 300 холодильников.
                                          4) За последний месяц периода было
                                             продано меньше 200 холодильников.
    В таблице под каждой буквой укажите соответствующий номер.
               А Б В Г
    Ответ:
                                   согласия СтатГрад запрещена</x:v>
      </x:c>
      <x:c r="N3241" s="30" t="str">
        <x:v>1324</x:v>
      </x:c>
      <x:c r="O3241" s="30" t="str">
        <x:v>Ответ принят по официальной таблице СтатГрад.</x:v>
      </x:c>
      <x:c r="P3241" s="30" t="str">
        <x:v>Код варианта, номер и условие постранично сопоставлены с первичным PDF; формат ответа проверен.</x:v>
      </x:c>
      <x:c r="Q3241" s="30"/>
      <x:c r="R3241" s="30" t="str">
        <x:v>Официальный фото-ключ базового уровня.</x:v>
      </x:c>
      <x:c r="S3241" s="30"/>
      <x:c r="T3241" s="30"/>
      <x:c r="U3241" s="30" t="str">
        <x:v>Расхождений не обнаружено.</x:v>
      </x:c>
      <x:c r="V3241" s="87" t="str">
        <x:v>VERIFIED</x:v>
      </x:c>
      <x:c r="W3241" s="87" t="n">
        <x:v>13</x:v>
      </x:c>
      <x:c r="X3241" s="87"/>
      <x:c r="Y3241" s="87"/>
      <x:c r="Z3241" s="87"/>
      <x:c r="AA3241" s="87"/>
      <x:c r="AB3241" s="87"/>
      <x:c r="AC3241" s="87" t="str">
        <x:v>VIS-MATH-OCT-023</x:v>
      </x:c>
      <x:c r="AD3241" s="87"/>
      <x:c r="AE3241" s="87" t="str">
        <x:v>Полная страница с визуальным контекстом</x:v>
      </x:c>
      <x:c r="AF3241" s="87" t="str">
        <x:v>VIS-MATH-OCT-023: 13</x:v>
      </x:c>
      <x:c r="AG3241" s="87" t="str">
        <x:v>RESOLVED / SOURCE_REGENERATED</x:v>
      </x:c>
      <x:c r="AH3241" s="87" t="str">
        <x:v>SOURCE_PAGE_REGENERATED_FULL_PAGE_NO_CROP; TASK_CROP_QA_APPROVED:USE_CONTEXT</x:v>
      </x:c>
      <x:c r="AI3241" s="30"/>
      <x:c r="AJ3241" s="87" t="str">
        <x:v>master</x:v>
      </x:c>
      <x:c r="AK3241" s="87" t="str">
        <x:v>master-v0.81</x:v>
      </x:c>
      <x:c r="AL3241" s="87" t="str">
        <x:v>statgrad_master_base_v0_81_final(2).xlsx</x:v>
      </x:c>
      <x:c r="AM3241" s="87" t="str">
        <x:v>MATH_Oct_Base_V6</x:v>
      </x:c>
      <x:c r="AN3241" s="87" t="n">
        <x:v>8</x:v>
      </x:c>
    </x:row>
    <x:row r="3242">
      <x:c r="A3242" s="87" t="n">
        <x:v>3241</x:v>
      </x:c>
      <x:c r="B3242" s="87" t="str">
        <x:v>OCT-MATH-0106-08</x:v>
      </x:c>
      <x:c r="C3242" s="87" t="str">
        <x:v>СтатГрад</x:v>
      </x:c>
      <x:c r="D3242" s="87" t="str">
        <x:v>Октябрь 2025</x:v>
      </x:c>
      <x:c r="E3242" s="87"/>
      <x:c r="F3242" s="87"/>
      <x:c r="G3242" s="87" t="str">
        <x:v>Математика</x:v>
      </x:c>
      <x:c r="H3242" s="87" t="n">
        <x:v>11</x:v>
      </x:c>
      <x:c r="I3242" s="87" t="str">
        <x:v>ТР №1</x:v>
      </x:c>
      <x:c r="J3242" s="87" t="str">
        <x:v>МА2510106</x:v>
      </x:c>
      <x:c r="K3242" s="87" t="n">
        <x:v>8</x:v>
      </x:c>
      <x:c r="L3242" s="87" t="str">
        <x:v>Практическая задача</x:v>
      </x:c>
      <x:c r="M3242" s="30" t="str">
        <x:v>Каждый раз, когда Надя приезжает в деревню к бабушке в гости, бабушка
     заплетает ей косички. Также Надя заплетает себе косички всегда, когда идёт
     на физкультуру. Выберите утверждения, которые верны при приведённых
     условиях.
     1) Каждый раз, когда у Нади заплетены косички, она находится в деревне.
     2) Если Надя без косичек, значит, она не у бабушки в гостях.
     3) Если Надя без косичек, значит, сегодня физкультура.
     4) Когда Надя сдаёт норматив по бегу на физкультуре, она с косичками.
     В ответе запишите номера выбранных утверждений без пробелов, запятых и
     других дополнительных символов.</x:v>
      </x:c>
      <x:c r="N3242" s="30" t="str">
        <x:v>24</x:v>
      </x:c>
      <x:c r="O3242" s="30" t="str">
        <x:v>Ответ принят по официальной таблице СтатГрад.</x:v>
      </x:c>
      <x:c r="P3242" s="30" t="str">
        <x:v>Код варианта, номер и условие постранично сопоставлены с первичным PDF; формат ответа проверен.</x:v>
      </x:c>
      <x:c r="Q3242" s="30"/>
      <x:c r="R3242" s="30" t="str">
        <x:v>Официальный фото-ключ базового уровня.</x:v>
      </x:c>
      <x:c r="S3242" s="30"/>
      <x:c r="T3242" s="30"/>
      <x:c r="U3242" s="30" t="str">
        <x:v>Расхождений не обнаружено.</x:v>
      </x:c>
      <x:c r="V3242" s="87" t="str">
        <x:v>VERIFIED</x:v>
      </x:c>
      <x:c r="W3242" s="87" t="n">
        <x:v>14</x:v>
      </x:c>
      <x:c r="X3242" s="87"/>
      <x:c r="Y3242" s="87"/>
      <x:c r="Z3242" s="87"/>
      <x:c r="AA3242" s="87"/>
      <x:c r="AB3242" s="87"/>
      <x:c r="AC3242" s="87"/>
      <x:c r="AD3242" s="87"/>
      <x:c r="AE3242" s="87"/>
      <x:c r="AF3242" s="87"/>
      <x:c r="AG3242" s="87"/>
      <x:c r="AH3242" s="87"/>
      <x:c r="AI3242" s="30"/>
      <x:c r="AJ3242" s="87" t="str">
        <x:v>master</x:v>
      </x:c>
      <x:c r="AK3242" s="87" t="str">
        <x:v>master-v0.81</x:v>
      </x:c>
      <x:c r="AL3242" s="87" t="str">
        <x:v>statgrad_master_base_v0_81_final(2).xlsx</x:v>
      </x:c>
      <x:c r="AM3242" s="87" t="str">
        <x:v>MATH_Oct_Base_V6</x:v>
      </x:c>
      <x:c r="AN3242" s="87" t="n">
        <x:v>9</x:v>
      </x:c>
    </x:row>
    <x:row r="3243">
      <x:c r="A3243" s="87" t="n">
        <x:v>3242</x:v>
      </x:c>
      <x:c r="B3243" s="87" t="str">
        <x:v>OCT-MATH-0106-09</x:v>
      </x:c>
      <x:c r="C3243" s="87" t="str">
        <x:v>СтатГрад</x:v>
      </x:c>
      <x:c r="D3243" s="87" t="str">
        <x:v>Октябрь 2025</x:v>
      </x:c>
      <x:c r="E3243" s="87"/>
      <x:c r="F3243" s="87"/>
      <x:c r="G3243" s="87" t="str">
        <x:v>Математика</x:v>
      </x:c>
      <x:c r="H3243" s="87" t="n">
        <x:v>11</x:v>
      </x:c>
      <x:c r="I3243" s="87" t="str">
        <x:v>ТР №1</x:v>
      </x:c>
      <x:c r="J3243" s="87" t="str">
        <x:v>МА2510106</x:v>
      </x:c>
      <x:c r="K3243" s="87" t="n">
        <x:v>9</x:v>
      </x:c>
      <x:c r="L3243" s="87" t="str">
        <x:v>План / площадь</x:v>
      </x:c>
      <x:c r="M3243" s="30" t="str">
        <x:v>План местности разбит на клетки. Каждая
     клетка обозначает квадрат 1 м × 1 м . Найдите
     площадь участка, выделенного на плане. Ответ
     дайте в квадратных метрах.</x:v>
      </x:c>
      <x:c r="N3243" s="30" t="str">
        <x:v>8</x:v>
      </x:c>
      <x:c r="O3243" s="30" t="str">
        <x:v>Ответ принят по официальной таблице СтатГрад.</x:v>
      </x:c>
      <x:c r="P3243" s="30" t="str">
        <x:v>Код варианта, номер и условие постранично сопоставлены с первичным PDF; формат ответа проверен.</x:v>
      </x:c>
      <x:c r="Q3243" s="30"/>
      <x:c r="R3243" s="30" t="str">
        <x:v>Официальный фото-ключ базового уровня.</x:v>
      </x:c>
      <x:c r="S3243" s="30"/>
      <x:c r="T3243" s="30"/>
      <x:c r="U3243" s="30" t="str">
        <x:v>Расхождений не обнаружено.</x:v>
      </x:c>
      <x:c r="V3243" s="87" t="str">
        <x:v>VERIFIED</x:v>
      </x:c>
      <x:c r="W3243" s="87" t="n">
        <x:v>14</x:v>
      </x:c>
      <x:c r="X3243" s="87"/>
      <x:c r="Y3243" s="87"/>
      <x:c r="Z3243" s="87"/>
      <x:c r="AA3243" s="87"/>
      <x:c r="AB3243" s="87"/>
      <x:c r="AC3243" s="87" t="str">
        <x:v>VIS-MATH-OCT-024</x:v>
      </x:c>
      <x:c r="AD3243" s="87"/>
      <x:c r="AE3243" s="87" t="str">
        <x:v>Полная страница с визуальным контекстом</x:v>
      </x:c>
      <x:c r="AF3243" s="87" t="str">
        <x:v>VIS-MATH-OCT-024: 14</x:v>
      </x:c>
      <x:c r="AG3243" s="87" t="str">
        <x:v>RESOLVED / SOURCE_REGENERATED</x:v>
      </x:c>
      <x:c r="AH3243" s="87" t="str">
        <x:v>SOURCE_PAGE_REGENERATED_FULL_PAGE_NO_CROP; TASK_CROP_QA_APPROVED:USE_TIGHT</x:v>
      </x:c>
      <x:c r="AI3243" s="30"/>
      <x:c r="AJ3243" s="87" t="str">
        <x:v>master</x:v>
      </x:c>
      <x:c r="AK3243" s="87" t="str">
        <x:v>master-v0.81</x:v>
      </x:c>
      <x:c r="AL3243" s="87" t="str">
        <x:v>statgrad_master_base_v0_81_final(2).xlsx</x:v>
      </x:c>
      <x:c r="AM3243" s="87" t="str">
        <x:v>MATH_Oct_Base_V6</x:v>
      </x:c>
      <x:c r="AN3243" s="87" t="n">
        <x:v>10</x:v>
      </x:c>
    </x:row>
    <x:row r="3244">
      <x:c r="A3244" s="87" t="n">
        <x:v>3243</x:v>
      </x:c>
      <x:c r="B3244" s="87" t="str">
        <x:v>OCT-MATH-0106-10</x:v>
      </x:c>
      <x:c r="C3244" s="87" t="str">
        <x:v>СтатГрад</x:v>
      </x:c>
      <x:c r="D3244" s="87" t="str">
        <x:v>Октябрь 2025</x:v>
      </x:c>
      <x:c r="E3244" s="87"/>
      <x:c r="F3244" s="87"/>
      <x:c r="G3244" s="87" t="str">
        <x:v>Математика</x:v>
      </x:c>
      <x:c r="H3244" s="87" t="n">
        <x:v>11</x:v>
      </x:c>
      <x:c r="I3244" s="87" t="str">
        <x:v>ТР №1</x:v>
      </x:c>
      <x:c r="J3244" s="87" t="str">
        <x:v>МА2510106</x:v>
      </x:c>
      <x:c r="K3244" s="87" t="n">
        <x:v>10</x:v>
      </x:c>
      <x:c r="L3244" s="87" t="str">
        <x:v>Геометрия по рисунку</x:v>
      </x:c>
      <x:c r="M3244" s="30" t="str">
        <x:v>Участок земли имеет прямоугольную форму.                              40 м
     Стороны прямоугольника равны 30 м и 40 м.
     Найдите длину забора (в метрах), которым
     нужно огородить участок, предусмотрев 3 м                                            30 м
     проезд шириной 3 м.</x:v>
      </x:c>
      <x:c r="N3244" s="30" t="str">
        <x:v>137</x:v>
      </x:c>
      <x:c r="O3244" s="30" t="str">
        <x:v>Ответ принят по официальной таблице СтатГрад.</x:v>
      </x:c>
      <x:c r="P3244" s="30" t="str">
        <x:v>Код варианта, номер и условие постранично сопоставлены с первичным PDF; формат ответа проверен.</x:v>
      </x:c>
      <x:c r="Q3244" s="30"/>
      <x:c r="R3244" s="30" t="str">
        <x:v>Официальный фото-ключ базового уровня.</x:v>
      </x:c>
      <x:c r="S3244" s="30"/>
      <x:c r="T3244" s="30"/>
      <x:c r="U3244" s="30" t="str">
        <x:v>Расхождений не обнаружено.</x:v>
      </x:c>
      <x:c r="V3244" s="87" t="str">
        <x:v>VERIFIED</x:v>
      </x:c>
      <x:c r="W3244" s="87" t="n">
        <x:v>14</x:v>
      </x:c>
      <x:c r="X3244" s="87"/>
      <x:c r="Y3244" s="87"/>
      <x:c r="Z3244" s="87"/>
      <x:c r="AA3244" s="87"/>
      <x:c r="AB3244" s="87"/>
      <x:c r="AC3244" s="87"/>
      <x:c r="AD3244" s="87"/>
      <x:c r="AE3244" s="87"/>
      <x:c r="AF3244" s="87"/>
      <x:c r="AG3244" s="87"/>
      <x:c r="AH3244" s="87"/>
      <x:c r="AI3244" s="30"/>
      <x:c r="AJ3244" s="87" t="str">
        <x:v>master</x:v>
      </x:c>
      <x:c r="AK3244" s="87" t="str">
        <x:v>master-v0.81</x:v>
      </x:c>
      <x:c r="AL3244" s="87" t="str">
        <x:v>statgrad_master_base_v0_81_final(2).xlsx</x:v>
      </x:c>
      <x:c r="AM3244" s="87" t="str">
        <x:v>MATH_Oct_Base_V6</x:v>
      </x:c>
      <x:c r="AN3244" s="87" t="n">
        <x:v>11</x:v>
      </x:c>
    </x:row>
    <x:row r="3245">
      <x:c r="A3245" s="87" t="n">
        <x:v>3244</x:v>
      </x:c>
      <x:c r="B3245" s="87" t="str">
        <x:v>OCT-MATH-0106-11</x:v>
      </x:c>
      <x:c r="C3245" s="87" t="str">
        <x:v>СтатГрад</x:v>
      </x:c>
      <x:c r="D3245" s="87" t="str">
        <x:v>Октябрь 2025</x:v>
      </x:c>
      <x:c r="E3245" s="87"/>
      <x:c r="F3245" s="87"/>
      <x:c r="G3245" s="87" t="str">
        <x:v>Математика</x:v>
      </x:c>
      <x:c r="H3245" s="87" t="n">
        <x:v>11</x:v>
      </x:c>
      <x:c r="I3245" s="87" t="str">
        <x:v>ТР №1</x:v>
      </x:c>
      <x:c r="J3245" s="87" t="str">
        <x:v>МА2510106</x:v>
      </x:c>
      <x:c r="K3245" s="87" t="n">
        <x:v>11</x:v>
      </x:c>
      <x:c r="L3245" s="87" t="str">
        <x:v>Стереометрия по рисунку</x:v>
      </x:c>
      <x:c r="M3245" s="30" t="str">
        <x:v>Аквариум      имеет     форму      прямоугольного
     параллелепипеда с размерами 70 см × 20 см × 60 см .
     Сколько литров составляет объём аквариума?
     В одном литре 1000 кубических сантиметров.
                                    согласия СтатГрад запрещена</x:v>
      </x:c>
      <x:c r="N3245" s="30" t="str">
        <x:v>84</x:v>
      </x:c>
      <x:c r="O3245" s="30" t="str">
        <x:v>Ответ принят по официальной таблице СтатГрад.</x:v>
      </x:c>
      <x:c r="P3245" s="30" t="str">
        <x:v>Код варианта, номер и условие постранично сопоставлены с первичным PDF; формат ответа проверен.</x:v>
      </x:c>
      <x:c r="Q3245" s="30"/>
      <x:c r="R3245" s="30" t="str">
        <x:v>Официальный фото-ключ базового уровня.</x:v>
      </x:c>
      <x:c r="S3245" s="30"/>
      <x:c r="T3245" s="30"/>
      <x:c r="U3245" s="30" t="str">
        <x:v>Расхождений не обнаружено.</x:v>
      </x:c>
      <x:c r="V3245" s="87" t="str">
        <x:v>VERIFIED</x:v>
      </x:c>
      <x:c r="W3245" s="87" t="n">
        <x:v>14</x:v>
      </x:c>
      <x:c r="X3245" s="87"/>
      <x:c r="Y3245" s="87"/>
      <x:c r="Z3245" s="87"/>
      <x:c r="AA3245" s="87"/>
      <x:c r="AB3245" s="87"/>
      <x:c r="AC3245" s="87"/>
      <x:c r="AD3245" s="87"/>
      <x:c r="AE3245" s="87"/>
      <x:c r="AF3245" s="87"/>
      <x:c r="AG3245" s="87"/>
      <x:c r="AH3245" s="87"/>
      <x:c r="AI3245" s="30"/>
      <x:c r="AJ3245" s="87" t="str">
        <x:v>master</x:v>
      </x:c>
      <x:c r="AK3245" s="87" t="str">
        <x:v>master-v0.81</x:v>
      </x:c>
      <x:c r="AL3245" s="87" t="str">
        <x:v>statgrad_master_base_v0_81_final(2).xlsx</x:v>
      </x:c>
      <x:c r="AM3245" s="87" t="str">
        <x:v>MATH_Oct_Base_V6</x:v>
      </x:c>
      <x:c r="AN3245" s="87" t="n">
        <x:v>12</x:v>
      </x:c>
    </x:row>
    <x:row r="3246">
      <x:c r="A3246" s="87" t="n">
        <x:v>3245</x:v>
      </x:c>
      <x:c r="B3246" s="87" t="str">
        <x:v>OCT-MATH-0106-12</x:v>
      </x:c>
      <x:c r="C3246" s="87" t="str">
        <x:v>СтатГрад</x:v>
      </x:c>
      <x:c r="D3246" s="87" t="str">
        <x:v>Октябрь 2025</x:v>
      </x:c>
      <x:c r="E3246" s="87"/>
      <x:c r="F3246" s="87"/>
      <x:c r="G3246" s="87" t="str">
        <x:v>Математика</x:v>
      </x:c>
      <x:c r="H3246" s="87" t="n">
        <x:v>11</x:v>
      </x:c>
      <x:c r="I3246" s="87" t="str">
        <x:v>ТР №1</x:v>
      </x:c>
      <x:c r="J3246" s="87" t="str">
        <x:v>МА2510106</x:v>
      </x:c>
      <x:c r="K3246" s="87" t="n">
        <x:v>12</x:v>
      </x:c>
      <x:c r="L3246" s="87" t="str">
        <x:v>Уравнение / вычисление</x:v>
      </x:c>
      <x:c r="M3246" s="30" t="str">
        <x:v>Прямые m и n параллельны (см. рисунок).                          m                 1
     Найдите ∠3 , если ∠1= 59° , ∠2 = 38° . Ответ
                                                                                   3
     дайте в градусах.
                                                                      n             2</x:v>
      </x:c>
      <x:c r="N3246" s="30" t="str">
        <x:v>83</x:v>
      </x:c>
      <x:c r="O3246" s="30" t="str">
        <x:v>Ответ принят по официальной таблице СтатГрад.</x:v>
      </x:c>
      <x:c r="P3246" s="30" t="str">
        <x:v>Код варианта, номер и условие постранично сопоставлены с первичным PDF; формат ответа проверен.</x:v>
      </x:c>
      <x:c r="Q3246" s="30"/>
      <x:c r="R3246" s="30" t="str">
        <x:v>Официальный фото-ключ базового уровня.</x:v>
      </x:c>
      <x:c r="S3246" s="30"/>
      <x:c r="T3246" s="30"/>
      <x:c r="U3246" s="30" t="str">
        <x:v>Расхождений не обнаружено.</x:v>
      </x:c>
      <x:c r="V3246" s="87" t="str">
        <x:v>VERIFIED</x:v>
      </x:c>
      <x:c r="W3246" s="87" t="n">
        <x:v>15</x:v>
      </x:c>
      <x:c r="X3246" s="87"/>
      <x:c r="Y3246" s="87"/>
      <x:c r="Z3246" s="87"/>
      <x:c r="AA3246" s="87"/>
      <x:c r="AB3246" s="87"/>
      <x:c r="AC3246" s="87"/>
      <x:c r="AD3246" s="87"/>
      <x:c r="AE3246" s="87"/>
      <x:c r="AF3246" s="87"/>
      <x:c r="AG3246" s="87"/>
      <x:c r="AH3246" s="87"/>
      <x:c r="AI3246" s="30"/>
      <x:c r="AJ3246" s="87" t="str">
        <x:v>master</x:v>
      </x:c>
      <x:c r="AK3246" s="87" t="str">
        <x:v>master-v0.81</x:v>
      </x:c>
      <x:c r="AL3246" s="87" t="str">
        <x:v>statgrad_master_base_v0_81_final(2).xlsx</x:v>
      </x:c>
      <x:c r="AM3246" s="87" t="str">
        <x:v>MATH_Oct_Base_V6</x:v>
      </x:c>
      <x:c r="AN3246" s="87" t="n">
        <x:v>13</x:v>
      </x:c>
    </x:row>
    <x:row r="3247">
      <x:c r="A3247" s="87" t="n">
        <x:v>3246</x:v>
      </x:c>
      <x:c r="B3247" s="87" t="str">
        <x:v>OCT-MATH-0106-13</x:v>
      </x:c>
      <x:c r="C3247" s="87" t="str">
        <x:v>СтатГрад</x:v>
      </x:c>
      <x:c r="D3247" s="87" t="str">
        <x:v>Октябрь 2025</x:v>
      </x:c>
      <x:c r="E3247" s="87"/>
      <x:c r="F3247" s="87"/>
      <x:c r="G3247" s="87" t="str">
        <x:v>Математика</x:v>
      </x:c>
      <x:c r="H3247" s="87" t="n">
        <x:v>11</x:v>
      </x:c>
      <x:c r="I3247" s="87" t="str">
        <x:v>ТР №1</x:v>
      </x:c>
      <x:c r="J3247" s="87" t="str">
        <x:v>МА2510106</x:v>
      </x:c>
      <x:c r="K3247" s="87" t="n">
        <x:v>13</x:v>
      </x:c>
      <x:c r="L3247" s="87" t="str">
        <x:v>Стереометрия</x:v>
      </x:c>
      <x:c r="M3247" s="30" t="str">
        <x:v>Стороны основания правильной треугольной пирамиды
     равны 16, а боковые рёбра равны 10. Найдите площадь
     боковой поверхности этой пирамиды.
                                        5 2 11</x:v>
      </x:c>
      <x:c r="N3247" s="30" t="str">
        <x:v>144</x:v>
      </x:c>
      <x:c r="O3247" s="30" t="str">
        <x:v>Ответ принят по официальной таблице СтатГрад.</x:v>
      </x:c>
      <x:c r="P3247" s="30" t="str">
        <x:v>Код варианта, номер и условие постранично сопоставлены с первичным PDF; формат ответа проверен.</x:v>
      </x:c>
      <x:c r="Q3247" s="30"/>
      <x:c r="R3247" s="30" t="str">
        <x:v>Официальный фото-ключ базового уровня.</x:v>
      </x:c>
      <x:c r="S3247" s="30"/>
      <x:c r="T3247" s="30"/>
      <x:c r="U3247" s="30" t="str">
        <x:v>Расхождений не обнаружено.</x:v>
      </x:c>
      <x:c r="V3247" s="87" t="str">
        <x:v>VERIFIED</x:v>
      </x:c>
      <x:c r="W3247" s="87" t="n">
        <x:v>15</x:v>
      </x:c>
      <x:c r="X3247" s="87"/>
      <x:c r="Y3247" s="87"/>
      <x:c r="Z3247" s="87"/>
      <x:c r="AA3247" s="87"/>
      <x:c r="AB3247" s="87"/>
      <x:c r="AC3247" s="87"/>
      <x:c r="AD3247" s="87"/>
      <x:c r="AE3247" s="87"/>
      <x:c r="AF3247" s="87"/>
      <x:c r="AG3247" s="87"/>
      <x:c r="AH3247" s="87"/>
      <x:c r="AI3247" s="30"/>
      <x:c r="AJ3247" s="87" t="str">
        <x:v>master</x:v>
      </x:c>
      <x:c r="AK3247" s="87" t="str">
        <x:v>master-v0.81</x:v>
      </x:c>
      <x:c r="AL3247" s="87" t="str">
        <x:v>statgrad_master_base_v0_81_final(2).xlsx</x:v>
      </x:c>
      <x:c r="AM3247" s="87" t="str">
        <x:v>MATH_Oct_Base_V6</x:v>
      </x:c>
      <x:c r="AN3247" s="87" t="n">
        <x:v>14</x:v>
      </x:c>
    </x:row>
    <x:row r="3248">
      <x:c r="A3248" s="87" t="n">
        <x:v>3247</x:v>
      </x:c>
      <x:c r="B3248" s="87" t="str">
        <x:v>OCT-MATH-0106-14</x:v>
      </x:c>
      <x:c r="C3248" s="87" t="str">
        <x:v>СтатГрад</x:v>
      </x:c>
      <x:c r="D3248" s="87" t="str">
        <x:v>Октябрь 2025</x:v>
      </x:c>
      <x:c r="E3248" s="87"/>
      <x:c r="F3248" s="87"/>
      <x:c r="G3248" s="87" t="str">
        <x:v>Математика</x:v>
      </x:c>
      <x:c r="H3248" s="87" t="n">
        <x:v>11</x:v>
      </x:c>
      <x:c r="I3248" s="87" t="str">
        <x:v>ТР №1</x:v>
      </x:c>
      <x:c r="J3248" s="87" t="str">
        <x:v>МА2510106</x:v>
      </x:c>
      <x:c r="K3248" s="87" t="n">
        <x:v>14</x:v>
      </x:c>
      <x:c r="L3248" s="87" t="str">
        <x:v>Планиметрия</x:v>
      </x:c>
      <x:c r="M3248" s="30" t="str">
        <x:v>Найдите значение выражения          : − .
                                        3 7 6</x:v>
      </x:c>
      <x:c r="N3248" s="30" t="str">
        <x:v>4</x:v>
      </x:c>
      <x:c r="O3248" s="30" t="str">
        <x:v>Ответ принят по официальной таблице СтатГрад.</x:v>
      </x:c>
      <x:c r="P3248" s="30" t="str">
        <x:v>Код варианта, номер и условие постранично сопоставлены с первичным PDF; формат ответа проверен.</x:v>
      </x:c>
      <x:c r="Q3248" s="30"/>
      <x:c r="R3248" s="30" t="str">
        <x:v>Официальный фото-ключ базового уровня.</x:v>
      </x:c>
      <x:c r="S3248" s="30"/>
      <x:c r="T3248" s="30"/>
      <x:c r="U3248" s="30" t="str">
        <x:v>Расхождений не обнаружено.</x:v>
      </x:c>
      <x:c r="V3248" s="87" t="str">
        <x:v>VERIFIED</x:v>
      </x:c>
      <x:c r="W3248" s="87" t="n">
        <x:v>15</x:v>
      </x:c>
      <x:c r="X3248" s="87"/>
      <x:c r="Y3248" s="87"/>
      <x:c r="Z3248" s="87"/>
      <x:c r="AA3248" s="87"/>
      <x:c r="AB3248" s="87"/>
      <x:c r="AC3248" s="87"/>
      <x:c r="AD3248" s="87"/>
      <x:c r="AE3248" s="87"/>
      <x:c r="AF3248" s="87"/>
      <x:c r="AG3248" s="87"/>
      <x:c r="AH3248" s="87"/>
      <x:c r="AI3248" s="30"/>
      <x:c r="AJ3248" s="87" t="str">
        <x:v>master</x:v>
      </x:c>
      <x:c r="AK3248" s="87" t="str">
        <x:v>master-v0.81</x:v>
      </x:c>
      <x:c r="AL3248" s="87" t="str">
        <x:v>statgrad_master_base_v0_81_final(2).xlsx</x:v>
      </x:c>
      <x:c r="AM3248" s="87" t="str">
        <x:v>MATH_Oct_Base_V6</x:v>
      </x:c>
      <x:c r="AN3248" s="87" t="n">
        <x:v>15</x:v>
      </x:c>
    </x:row>
    <x:row r="3249">
      <x:c r="A3249" s="87" t="n">
        <x:v>3248</x:v>
      </x:c>
      <x:c r="B3249" s="87" t="str">
        <x:v>OCT-MATH-0106-15</x:v>
      </x:c>
      <x:c r="C3249" s="87" t="str">
        <x:v>СтатГрад</x:v>
      </x:c>
      <x:c r="D3249" s="87" t="str">
        <x:v>Октябрь 2025</x:v>
      </x:c>
      <x:c r="E3249" s="87"/>
      <x:c r="F3249" s="87"/>
      <x:c r="G3249" s="87" t="str">
        <x:v>Математика</x:v>
      </x:c>
      <x:c r="H3249" s="87" t="n">
        <x:v>11</x:v>
      </x:c>
      <x:c r="I3249" s="87" t="str">
        <x:v>ТР №1</x:v>
      </x:c>
      <x:c r="J3249" s="87" t="str">
        <x:v>МА2510106</x:v>
      </x:c>
      <x:c r="K3249" s="87" t="n">
        <x:v>15</x:v>
      </x:c>
      <x:c r="L3249" s="87" t="str">
        <x:v>Алгебра</x:v>
      </x:c>
      <x:c r="M3249" s="30" t="str">
        <x:v>Набор полотенец, который стоил 900 рублей, продаётся со скидкой 11 %.
     Сколько рублей стоят два набора полотенец со скидкой?
                                         18</x:v>
      </x:c>
      <x:c r="N3249" s="30" t="str">
        <x:v>1602</x:v>
      </x:c>
      <x:c r="O3249" s="30" t="str">
        <x:v>Ответ принят по официальной таблице СтатГрад.</x:v>
      </x:c>
      <x:c r="P3249" s="30" t="str">
        <x:v>Код варианта, номер и условие постранично сопоставлены с первичным PDF; формат ответа проверен.</x:v>
      </x:c>
      <x:c r="Q3249" s="30"/>
      <x:c r="R3249" s="30" t="str">
        <x:v>Официальный фото-ключ базового уровня.</x:v>
      </x:c>
      <x:c r="S3249" s="30"/>
      <x:c r="T3249" s="30"/>
      <x:c r="U3249" s="30" t="str">
        <x:v>Расхождений не обнаружено.</x:v>
      </x:c>
      <x:c r="V3249" s="87" t="str">
        <x:v>VERIFIED</x:v>
      </x:c>
      <x:c r="W3249" s="87" t="n">
        <x:v>15</x:v>
      </x:c>
      <x:c r="X3249" s="87"/>
      <x:c r="Y3249" s="87"/>
      <x:c r="Z3249" s="87"/>
      <x:c r="AA3249" s="87"/>
      <x:c r="AB3249" s="87"/>
      <x:c r="AC3249" s="87"/>
      <x:c r="AD3249" s="87"/>
      <x:c r="AE3249" s="87"/>
      <x:c r="AF3249" s="87"/>
      <x:c r="AG3249" s="87"/>
      <x:c r="AH3249" s="87"/>
      <x:c r="AI3249" s="30"/>
      <x:c r="AJ3249" s="87" t="str">
        <x:v>master</x:v>
      </x:c>
      <x:c r="AK3249" s="87" t="str">
        <x:v>master-v0.81</x:v>
      </x:c>
      <x:c r="AL3249" s="87" t="str">
        <x:v>statgrad_master_base_v0_81_final(2).xlsx</x:v>
      </x:c>
      <x:c r="AM3249" s="87" t="str">
        <x:v>MATH_Oct_Base_V6</x:v>
      </x:c>
      <x:c r="AN3249" s="87" t="n">
        <x:v>16</x:v>
      </x:c>
    </x:row>
    <x:row r="3250">
      <x:c r="A3250" s="87" t="n">
        <x:v>3249</x:v>
      </x:c>
      <x:c r="B3250" s="87" t="str">
        <x:v>OCT-MATH-0106-16</x:v>
      </x:c>
      <x:c r="C3250" s="87" t="str">
        <x:v>СтатГрад</x:v>
      </x:c>
      <x:c r="D3250" s="87" t="str">
        <x:v>Октябрь 2025</x:v>
      </x:c>
      <x:c r="E3250" s="87"/>
      <x:c r="F3250" s="87"/>
      <x:c r="G3250" s="87" t="str">
        <x:v>Математика</x:v>
      </x:c>
      <x:c r="H3250" s="87" t="n">
        <x:v>11</x:v>
      </x:c>
      <x:c r="I3250" s="87" t="str">
        <x:v>ТР №1</x:v>
      </x:c>
      <x:c r="J3250" s="87" t="str">
        <x:v>МА2510106</x:v>
      </x:c>
      <x:c r="K3250" s="87" t="n">
        <x:v>16</x:v>
      </x:c>
      <x:c r="L3250" s="87" t="str">
        <x:v>Проценты / финансы</x:v>
      </x:c>
      <x:c r="M3250" s="30" t="str">
        <x:v>Найдите значение выражения             .
                                          2</x:v>
      </x:c>
      <x:c r="N3250" s="30" t="str">
        <x:v>3</x:v>
      </x:c>
      <x:c r="O3250" s="30" t="str">
        <x:v>Ответ принят по официальной таблице СтатГрад.</x:v>
      </x:c>
      <x:c r="P3250" s="30" t="str">
        <x:v>Код варианта, номер и условие постранично сопоставлены с первичным PDF; формат ответа проверен.</x:v>
      </x:c>
      <x:c r="Q3250" s="30"/>
      <x:c r="R3250" s="30" t="str">
        <x:v>Официальный фото-ключ базового уровня.</x:v>
      </x:c>
      <x:c r="S3250" s="30"/>
      <x:c r="T3250" s="30"/>
      <x:c r="U3250" s="30" t="str">
        <x:v>Расхождений не обнаружено.</x:v>
      </x:c>
      <x:c r="V3250" s="87" t="str">
        <x:v>VERIFIED</x:v>
      </x:c>
      <x:c r="W3250" s="87" t="n">
        <x:v>15</x:v>
      </x:c>
      <x:c r="X3250" s="87"/>
      <x:c r="Y3250" s="87"/>
      <x:c r="Z3250" s="87"/>
      <x:c r="AA3250" s="87"/>
      <x:c r="AB3250" s="87"/>
      <x:c r="AC3250" s="87"/>
      <x:c r="AD3250" s="87"/>
      <x:c r="AE3250" s="87"/>
      <x:c r="AF3250" s="87"/>
      <x:c r="AG3250" s="87"/>
      <x:c r="AH3250" s="87"/>
      <x:c r="AI3250" s="30"/>
      <x:c r="AJ3250" s="87" t="str">
        <x:v>master</x:v>
      </x:c>
      <x:c r="AK3250" s="87" t="str">
        <x:v>master-v0.81</x:v>
      </x:c>
      <x:c r="AL3250" s="87" t="str">
        <x:v>statgrad_master_base_v0_81_final(2).xlsx</x:v>
      </x:c>
      <x:c r="AM3250" s="87" t="str">
        <x:v>MATH_Oct_Base_V6</x:v>
      </x:c>
      <x:c r="AN3250" s="87" t="n">
        <x:v>17</x:v>
      </x:c>
    </x:row>
    <x:row r="3251">
      <x:c r="A3251" s="87" t="n">
        <x:v>3250</x:v>
      </x:c>
      <x:c r="B3251" s="87" t="str">
        <x:v>OCT-MATH-0106-17</x:v>
      </x:c>
      <x:c r="C3251" s="87" t="str">
        <x:v>СтатГрад</x:v>
      </x:c>
      <x:c r="D3251" s="87" t="str">
        <x:v>Октябрь 2025</x:v>
      </x:c>
      <x:c r="E3251" s="87"/>
      <x:c r="F3251" s="87"/>
      <x:c r="G3251" s="87" t="str">
        <x:v>Математика</x:v>
      </x:c>
      <x:c r="H3251" s="87" t="n">
        <x:v>11</x:v>
      </x:c>
      <x:c r="I3251" s="87" t="str">
        <x:v>ТР №1</x:v>
      </x:c>
      <x:c r="J3251" s="87" t="str">
        <x:v>МА2510106</x:v>
      </x:c>
      <x:c r="K3251" s="87" t="n">
        <x:v>17</x:v>
      </x:c>
      <x:c r="L3251" s="87" t="str">
        <x:v>Логика / комбинаторика</x:v>
      </x:c>
      <x:c r="M3251" s="30" t="str">
        <x:v>Найдите корень уравнения log 5 ( 2 x − 6 ) − log 5 2 =
                                                          log 5 3 .
                                    согласия СтатГрад запрещена</x:v>
      </x:c>
      <x:c r="N3251" s="30" t="str">
        <x:v>6</x:v>
      </x:c>
      <x:c r="O3251" s="30" t="str">
        <x:v>Ответ принят по официальной таблице СтатГрад.</x:v>
      </x:c>
      <x:c r="P3251" s="30" t="str">
        <x:v>Код варианта, номер и условие постранично сопоставлены с первичным PDF; формат ответа проверен.</x:v>
      </x:c>
      <x:c r="Q3251" s="30"/>
      <x:c r="R3251" s="30" t="str">
        <x:v>Официальный фото-ключ базового уровня.</x:v>
      </x:c>
      <x:c r="S3251" s="30"/>
      <x:c r="T3251" s="30"/>
      <x:c r="U3251" s="30" t="str">
        <x:v>Расхождений не обнаружено.</x:v>
      </x:c>
      <x:c r="V3251" s="87" t="str">
        <x:v>VERIFIED</x:v>
      </x:c>
      <x:c r="W3251" s="87" t="n">
        <x:v>15</x:v>
      </x:c>
      <x:c r="X3251" s="87"/>
      <x:c r="Y3251" s="87"/>
      <x:c r="Z3251" s="87"/>
      <x:c r="AA3251" s="87"/>
      <x:c r="AB3251" s="87"/>
      <x:c r="AC3251" s="87"/>
      <x:c r="AD3251" s="87"/>
      <x:c r="AE3251" s="87"/>
      <x:c r="AF3251" s="87"/>
      <x:c r="AG3251" s="87"/>
      <x:c r="AH3251" s="87"/>
      <x:c r="AI3251" s="30"/>
      <x:c r="AJ3251" s="87" t="str">
        <x:v>master</x:v>
      </x:c>
      <x:c r="AK3251" s="87" t="str">
        <x:v>master-v0.81</x:v>
      </x:c>
      <x:c r="AL3251" s="87" t="str">
        <x:v>statgrad_master_base_v0_81_final(2).xlsx</x:v>
      </x:c>
      <x:c r="AM3251" s="87" t="str">
        <x:v>MATH_Oct_Base_V6</x:v>
      </x:c>
      <x:c r="AN3251" s="87" t="n">
        <x:v>18</x:v>
      </x:c>
    </x:row>
    <x:row r="3252">
      <x:c r="A3252" s="87" t="n">
        <x:v>3251</x:v>
      </x:c>
      <x:c r="B3252" s="87" t="str">
        <x:v>OCT-MATH-0106-18</x:v>
      </x:c>
      <x:c r="C3252" s="87" t="str">
        <x:v>СтатГрад</x:v>
      </x:c>
      <x:c r="D3252" s="87" t="str">
        <x:v>Октябрь 2025</x:v>
      </x:c>
      <x:c r="E3252" s="87"/>
      <x:c r="F3252" s="87"/>
      <x:c r="G3252" s="87" t="str">
        <x:v>Математика</x:v>
      </x:c>
      <x:c r="H3252" s="87" t="n">
        <x:v>11</x:v>
      </x:c>
      <x:c r="I3252" s="87" t="str">
        <x:v>ТР №1</x:v>
      </x:c>
      <x:c r="J3252" s="87" t="str">
        <x:v>МА2510106</x:v>
      </x:c>
      <x:c r="K3252" s="87" t="n">
        <x:v>18</x:v>
      </x:c>
      <x:c r="L3252" s="87" t="str">
        <x:v>Числовая задача</x:v>
      </x:c>
      <x:c r="M3252" s="30" t="str">
        <x:v>Каждому из четырёх неравенств в левом столбце соответствует одно
     из решений в правом столбце. Установите соответствие между
     неравенствами и их решениями.
                     НЕРАВЕНСТВА                                       РЕШЕНИЯ
                       А) 2 x ≥ 1                                       1) x ≤ − 1
                       Б) 0,5 x ≥ 2                                     2) x ≤ 0
                                                                        3) x ≥ 0
                        В) 0,5 x ≤ 2
                                                                        4) x ≥ − 1
                        Г) 2 x ≤ 1
     Впишите в приведённую в ответе                     таблицу     под    каждой      буквой
     соответствующий решению номер.
                А Б В Г
     Ответ:</x:v>
      </x:c>
      <x:c r="N3252" s="30" t="str">
        <x:v>3142</x:v>
      </x:c>
      <x:c r="O3252" s="30" t="str">
        <x:v>Ответ принят по официальной таблице СтатГрад.</x:v>
      </x:c>
      <x:c r="P3252" s="30" t="str">
        <x:v>Код варианта, номер и условие постранично сопоставлены с первичным PDF; формат ответа проверен.</x:v>
      </x:c>
      <x:c r="Q3252" s="30"/>
      <x:c r="R3252" s="30" t="str">
        <x:v>Официальный фото-ключ базового уровня.</x:v>
      </x:c>
      <x:c r="S3252" s="30"/>
      <x:c r="T3252" s="30"/>
      <x:c r="U3252" s="30" t="str">
        <x:v>Расхождений не обнаружено.</x:v>
      </x:c>
      <x:c r="V3252" s="87" t="str">
        <x:v>VERIFIED</x:v>
      </x:c>
      <x:c r="W3252" s="87" t="n">
        <x:v>16</x:v>
      </x:c>
      <x:c r="X3252" s="87"/>
      <x:c r="Y3252" s="87"/>
      <x:c r="Z3252" s="87"/>
      <x:c r="AA3252" s="87"/>
      <x:c r="AB3252" s="87"/>
      <x:c r="AC3252" s="87"/>
      <x:c r="AD3252" s="87"/>
      <x:c r="AE3252" s="87"/>
      <x:c r="AF3252" s="87"/>
      <x:c r="AG3252" s="87"/>
      <x:c r="AH3252" s="87"/>
      <x:c r="AI3252" s="30"/>
      <x:c r="AJ3252" s="87" t="str">
        <x:v>master</x:v>
      </x:c>
      <x:c r="AK3252" s="87" t="str">
        <x:v>master-v0.81</x:v>
      </x:c>
      <x:c r="AL3252" s="87" t="str">
        <x:v>statgrad_master_base_v0_81_final(2).xlsx</x:v>
      </x:c>
      <x:c r="AM3252" s="87" t="str">
        <x:v>MATH_Oct_Base_V6</x:v>
      </x:c>
      <x:c r="AN3252" s="87" t="n">
        <x:v>19</x:v>
      </x:c>
    </x:row>
    <x:row r="3253">
      <x:c r="A3253" s="87" t="n">
        <x:v>3252</x:v>
      </x:c>
      <x:c r="B3253" s="87" t="str">
        <x:v>OCT-MATH-0106-19</x:v>
      </x:c>
      <x:c r="C3253" s="87" t="str">
        <x:v>СтатГрад</x:v>
      </x:c>
      <x:c r="D3253" s="87" t="str">
        <x:v>Октябрь 2025</x:v>
      </x:c>
      <x:c r="E3253" s="87"/>
      <x:c r="F3253" s="87"/>
      <x:c r="G3253" s="87" t="str">
        <x:v>Математика</x:v>
      </x:c>
      <x:c r="H3253" s="87" t="n">
        <x:v>11</x:v>
      </x:c>
      <x:c r="I3253" s="87" t="str">
        <x:v>ТР №1</x:v>
      </x:c>
      <x:c r="J3253" s="87" t="str">
        <x:v>МА2510106</x:v>
      </x:c>
      <x:c r="K3253" s="87" t="n">
        <x:v>19</x:v>
      </x:c>
      <x:c r="L3253" s="87" t="str">
        <x:v>Теория чисел</x:v>
      </x:c>
      <x:c r="M3253" s="30" t="str">
        <x:v>Вычеркните в числе 84164718 три цифры так, чтобы получившееся число
     делилось на 12. В ответе укажите какое-нибудь одно получившееся число.</x:v>
      </x:c>
      <x:c r="N3253" s="30" t="str">
        <x:v>81648</x:v>
      </x:c>
      <x:c r="O3253" s="30" t="str">
        <x:v>Ответ принят по официальной таблице СтатГрад.</x:v>
      </x:c>
      <x:c r="P3253" s="30" t="str">
        <x:v>Код варианта, номер и условие постранично сопоставлены с первичным PDF; формат ответа проверен.</x:v>
      </x:c>
      <x:c r="Q3253" s="30"/>
      <x:c r="R3253" s="30" t="str">
        <x:v>Официальный фото-ключ базового уровня.</x:v>
      </x:c>
      <x:c r="S3253" s="30"/>
      <x:c r="T3253" s="30"/>
      <x:c r="U3253" s="30" t="str">
        <x:v>Расхождений не обнаружено.</x:v>
      </x:c>
      <x:c r="V3253" s="87" t="str">
        <x:v>VERIFIED</x:v>
      </x:c>
      <x:c r="W3253" s="87" t="n">
        <x:v>16</x:v>
      </x:c>
      <x:c r="X3253" s="87"/>
      <x:c r="Y3253" s="87"/>
      <x:c r="Z3253" s="87"/>
      <x:c r="AA3253" s="87"/>
      <x:c r="AB3253" s="87"/>
      <x:c r="AC3253" s="87"/>
      <x:c r="AD3253" s="87"/>
      <x:c r="AE3253" s="87"/>
      <x:c r="AF3253" s="87"/>
      <x:c r="AG3253" s="87"/>
      <x:c r="AH3253" s="87"/>
      <x:c r="AI3253" s="30"/>
      <x:c r="AJ3253" s="87" t="str">
        <x:v>master</x:v>
      </x:c>
      <x:c r="AK3253" s="87" t="str">
        <x:v>master-v0.81</x:v>
      </x:c>
      <x:c r="AL3253" s="87" t="str">
        <x:v>statgrad_master_base_v0_81_final(2).xlsx</x:v>
      </x:c>
      <x:c r="AM3253" s="87" t="str">
        <x:v>MATH_Oct_Base_V6</x:v>
      </x:c>
      <x:c r="AN3253" s="87" t="n">
        <x:v>20</x:v>
      </x:c>
    </x:row>
    <x:row r="3254">
      <x:c r="A3254" s="87" t="n">
        <x:v>3253</x:v>
      </x:c>
      <x:c r="B3254" s="87" t="str">
        <x:v>OCT-MATH-0106-20</x:v>
      </x:c>
      <x:c r="C3254" s="87" t="str">
        <x:v>СтатГрад</x:v>
      </x:c>
      <x:c r="D3254" s="87" t="str">
        <x:v>Октябрь 2025</x:v>
      </x:c>
      <x:c r="E3254" s="87"/>
      <x:c r="F3254" s="87"/>
      <x:c r="G3254" s="87" t="str">
        <x:v>Математика</x:v>
      </x:c>
      <x:c r="H3254" s="87" t="n">
        <x:v>11</x:v>
      </x:c>
      <x:c r="I3254" s="87" t="str">
        <x:v>ТР №1</x:v>
      </x:c>
      <x:c r="J3254" s="87" t="str">
        <x:v>МА2510106</x:v>
      </x:c>
      <x:c r="K3254" s="87" t="n">
        <x:v>20</x:v>
      </x:c>
      <x:c r="L3254" s="87" t="str">
        <x:v>Практическая задача</x:v>
      </x:c>
      <x:c r="M3254" s="30" t="str">
        <x:v>Юля и Уля пропалывают грядку за 24 минуты, а одна Уля — за 120 минут.
     За сколько минут пропалывает грядку одна Юля?</x:v>
      </x:c>
      <x:c r="N3254" s="30" t="str">
        <x:v>30</x:v>
      </x:c>
      <x:c r="O3254" s="30" t="str">
        <x:v>Ответ принят по официальной таблице СтатГрад.</x:v>
      </x:c>
      <x:c r="P3254" s="30" t="str">
        <x:v>Код варианта, номер и условие постранично сопоставлены с первичным PDF; формат ответа проверен.</x:v>
      </x:c>
      <x:c r="Q3254" s="30"/>
      <x:c r="R3254" s="30" t="str">
        <x:v>Официальный фото-ключ базового уровня.</x:v>
      </x:c>
      <x:c r="S3254" s="30"/>
      <x:c r="T3254" s="30"/>
      <x:c r="U3254" s="30" t="str">
        <x:v>Расхождений не обнаружено.</x:v>
      </x:c>
      <x:c r="V3254" s="87" t="str">
        <x:v>VERIFIED</x:v>
      </x:c>
      <x:c r="W3254" s="87" t="n">
        <x:v>16</x:v>
      </x:c>
      <x:c r="X3254" s="87"/>
      <x:c r="Y3254" s="87"/>
      <x:c r="Z3254" s="87"/>
      <x:c r="AA3254" s="87"/>
      <x:c r="AB3254" s="87"/>
      <x:c r="AC3254" s="87"/>
      <x:c r="AD3254" s="87"/>
      <x:c r="AE3254" s="87"/>
      <x:c r="AF3254" s="87"/>
      <x:c r="AG3254" s="87"/>
      <x:c r="AH3254" s="87"/>
      <x:c r="AI3254" s="30"/>
      <x:c r="AJ3254" s="87" t="str">
        <x:v>master</x:v>
      </x:c>
      <x:c r="AK3254" s="87" t="str">
        <x:v>master-v0.81</x:v>
      </x:c>
      <x:c r="AL3254" s="87" t="str">
        <x:v>statgrad_master_base_v0_81_final(2).xlsx</x:v>
      </x:c>
      <x:c r="AM3254" s="87" t="str">
        <x:v>MATH_Oct_Base_V6</x:v>
      </x:c>
      <x:c r="AN3254" s="87" t="n">
        <x:v>21</x:v>
      </x:c>
    </x:row>
    <x:row r="3255">
      <x:c r="A3255" s="87" t="n">
        <x:v>3254</x:v>
      </x:c>
      <x:c r="B3255" s="87" t="str">
        <x:v>OCT-MATH-0106-21</x:v>
      </x:c>
      <x:c r="C3255" s="87" t="str">
        <x:v>СтатГрад</x:v>
      </x:c>
      <x:c r="D3255" s="87" t="str">
        <x:v>Октябрь 2025</x:v>
      </x:c>
      <x:c r="E3255" s="87"/>
      <x:c r="F3255" s="87"/>
      <x:c r="G3255" s="87" t="str">
        <x:v>Математика</x:v>
      </x:c>
      <x:c r="H3255" s="87" t="n">
        <x:v>11</x:v>
      </x:c>
      <x:c r="I3255" s="87" t="str">
        <x:v>ТР №1</x:v>
      </x:c>
      <x:c r="J3255" s="87" t="str">
        <x:v>МА2510106</x:v>
      </x:c>
      <x:c r="K3255" s="87" t="n">
        <x:v>21</x:v>
      </x:c>
      <x:c r="L3255" s="87" t="str">
        <x:v>Оптимизация / вычисление</x:v>
      </x:c>
      <x:c r="M3255" s="30" t="str">
        <x:v>Хозяин договорился с рабочими, что они выкопают ему колодец на следующих
     условиях: за первый метр он заплатит им 6200 рублей, а за каждый следующий
     метр — на 1400 рублей больше, чем за предыдущий. Сколько рублей хозяин
     должен будет заплатить рабочим, если они выкопают колодец глубиной
     11 метров?
                                    согласия СтатГрад запрещена</x:v>
      </x:c>
      <x:c r="N3255" s="30" t="str">
        <x:v>145200</x:v>
      </x:c>
      <x:c r="O3255" s="30" t="str">
        <x:v>Ответ принят по официальной таблице СтатГрад.</x:v>
      </x:c>
      <x:c r="P3255" s="30" t="str">
        <x:v>Код варианта, номер и условие постранично сопоставлены с первичным PDF; формат ответа проверен.</x:v>
      </x:c>
      <x:c r="Q3255" s="30"/>
      <x:c r="R3255" s="30" t="str">
        <x:v>Официальный фото-ключ базового уровня.</x:v>
      </x:c>
      <x:c r="S3255" s="30"/>
      <x:c r="T3255" s="30"/>
      <x:c r="U3255" s="30" t="str">
        <x:v>Расхождений не обнаружено.</x:v>
      </x:c>
      <x:c r="V3255" s="87" t="str">
        <x:v>VERIFIED</x:v>
      </x:c>
      <x:c r="W3255" s="87" t="n">
        <x:v>16</x:v>
      </x:c>
      <x:c r="X3255" s="87"/>
      <x:c r="Y3255" s="87"/>
      <x:c r="Z3255" s="87"/>
      <x:c r="AA3255" s="87"/>
      <x:c r="AB3255" s="87"/>
      <x:c r="AC3255" s="87"/>
      <x:c r="AD3255" s="87"/>
      <x:c r="AE3255" s="87"/>
      <x:c r="AF3255" s="87"/>
      <x:c r="AG3255" s="87"/>
      <x:c r="AH3255" s="87"/>
      <x:c r="AI3255" s="30"/>
      <x:c r="AJ3255" s="87" t="str">
        <x:v>master</x:v>
      </x:c>
      <x:c r="AK3255" s="87" t="str">
        <x:v>master-v0.81</x:v>
      </x:c>
      <x:c r="AL3255" s="87" t="str">
        <x:v>statgrad_master_base_v0_81_final(2).xlsx</x:v>
      </x:c>
      <x:c r="AM3255" s="87" t="str">
        <x:v>MATH_Oct_Base_V6</x:v>
      </x:c>
      <x:c r="AN3255" s="87" t="n">
        <x:v>22</x:v>
      </x:c>
    </x:row>
    <x:row r="3256">
      <x:c r="A3256" s="87" t="n">
        <x:v>3255</x:v>
      </x:c>
      <x:c r="B3256" s="87" t="str">
        <x:v>OCT-MATH-0107-01</x:v>
      </x:c>
      <x:c r="C3256" s="87" t="str">
        <x:v>СтатГрад</x:v>
      </x:c>
      <x:c r="D3256" s="87" t="str">
        <x:v>Октябрь 2025</x:v>
      </x:c>
      <x:c r="E3256" s="87"/>
      <x:c r="F3256" s="87"/>
      <x:c r="G3256" s="87" t="str">
        <x:v>Математика</x:v>
      </x:c>
      <x:c r="H3256" s="87" t="n">
        <x:v>11</x:v>
      </x:c>
      <x:c r="I3256" s="87" t="str">
        <x:v>ТР №1</x:v>
      </x:c>
      <x:c r="J3256" s="87" t="str">
        <x:v>МА2510107</x:v>
      </x:c>
      <x:c r="K3256" s="87" t="n">
        <x:v>1</x:v>
      </x:c>
      <x:c r="L3256" s="87" t="str">
        <x:v>Практическая арифметика</x:v>
      </x:c>
      <x:c r="M3256" s="30" t="str">
        <x:v>На день рождения полагается дарить букет из нечётного числа цветов. Пионы
    стоят 40 рублей за штуку. У Вани есть 410 рублей. Из какого наибольшего
    числа пионов он может купить букет Маше на день рождения?</x:v>
      </x:c>
      <x:c r="N3256" s="30" t="str">
        <x:v>9</x:v>
      </x:c>
      <x:c r="O3256" s="30" t="str">
        <x:v>Ответ принят по официальной таблице СтатГрад.</x:v>
      </x:c>
      <x:c r="P3256" s="30" t="str">
        <x:v>Код варианта, номер и условие постранично сопоставлены с первичным PDF; формат ответа проверен.</x:v>
      </x:c>
      <x:c r="Q3256" s="30"/>
      <x:c r="R3256" s="30" t="str">
        <x:v>Официальный фото-ключ базового уровня.</x:v>
      </x:c>
      <x:c r="S3256" s="30"/>
      <x:c r="T3256" s="30"/>
      <x:c r="U3256" s="30" t="str">
        <x:v>Расхождений не обнаружено.</x:v>
      </x:c>
      <x:c r="V3256" s="87" t="str">
        <x:v>VERIFIED</x:v>
      </x:c>
      <x:c r="W3256" s="87" t="n">
        <x:v>18</x:v>
      </x:c>
      <x:c r="X3256" s="87"/>
      <x:c r="Y3256" s="87"/>
      <x:c r="Z3256" s="87"/>
      <x:c r="AA3256" s="87"/>
      <x:c r="AB3256" s="87"/>
      <x:c r="AC3256" s="87"/>
      <x:c r="AD3256" s="87"/>
      <x:c r="AE3256" s="87"/>
      <x:c r="AF3256" s="87"/>
      <x:c r="AG3256" s="87"/>
      <x:c r="AH3256" s="87"/>
      <x:c r="AI3256" s="30"/>
      <x:c r="AJ3256" s="87" t="str">
        <x:v>master</x:v>
      </x:c>
      <x:c r="AK3256" s="87" t="str">
        <x:v>master-v0.81</x:v>
      </x:c>
      <x:c r="AL3256" s="87" t="str">
        <x:v>statgrad_master_base_v0_81_final(2).xlsx</x:v>
      </x:c>
      <x:c r="AM3256" s="87" t="str">
        <x:v>MATH_Oct_Base_V7</x:v>
      </x:c>
      <x:c r="AN3256" s="87" t="n">
        <x:v>2</x:v>
      </x:c>
    </x:row>
    <x:row r="3257">
      <x:c r="A3257" s="87" t="n">
        <x:v>3256</x:v>
      </x:c>
      <x:c r="B3257" s="87" t="str">
        <x:v>OCT-MATH-0107-02</x:v>
      </x:c>
      <x:c r="C3257" s="87" t="str">
        <x:v>СтатГрад</x:v>
      </x:c>
      <x:c r="D3257" s="87" t="str">
        <x:v>Октябрь 2025</x:v>
      </x:c>
      <x:c r="E3257" s="87"/>
      <x:c r="F3257" s="87"/>
      <x:c r="G3257" s="87" t="str">
        <x:v>Математика</x:v>
      </x:c>
      <x:c r="H3257" s="87" t="n">
        <x:v>11</x:v>
      </x:c>
      <x:c r="I3257" s="87" t="str">
        <x:v>ТР №1</x:v>
      </x:c>
      <x:c r="J3257" s="87" t="str">
        <x:v>МА2510107</x:v>
      </x:c>
      <x:c r="K3257" s="87" t="n">
        <x:v>2</x:v>
      </x:c>
      <x:c r="L3257" s="87" t="str">
        <x:v>Соответствие величин</x:v>
      </x:c>
      <x:c r="M3257"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объём ящика комода                                 1) 0,75 л
    Б) объём воды в Каспийском море                       2) 78 200 км 3
    В) объём пакета ряженки                               3) 96 л
    Г) объём железнодорожной цистерны                     4) 90 м 3
    В таблице под каждой буквой, соответствующей величине, укажите номер её
    возможного значения.
               А Б В Г
    Ответ:
                                   согласия СтатГрад запрещена</x:v>
      </x:c>
      <x:c r="N3257" s="30" t="str">
        <x:v>3214</x:v>
      </x:c>
      <x:c r="O3257" s="30" t="str">
        <x:v>Ответ принят по официальной таблице СтатГрад.</x:v>
      </x:c>
      <x:c r="P3257" s="30" t="str">
        <x:v>Код варианта, номер и условие постранично сопоставлены с первичным PDF; формат ответа проверен.</x:v>
      </x:c>
      <x:c r="Q3257" s="30"/>
      <x:c r="R3257" s="30" t="str">
        <x:v>Официальный фото-ключ базового уровня.</x:v>
      </x:c>
      <x:c r="S3257" s="30"/>
      <x:c r="T3257" s="30"/>
      <x:c r="U3257" s="30" t="str">
        <x:v>Расхождений не обнаружено.</x:v>
      </x:c>
      <x:c r="V3257" s="87" t="str">
        <x:v>VERIFIED</x:v>
      </x:c>
      <x:c r="W3257" s="87" t="n">
        <x:v>18</x:v>
      </x:c>
      <x:c r="X3257" s="87"/>
      <x:c r="Y3257" s="87"/>
      <x:c r="Z3257" s="87"/>
      <x:c r="AA3257" s="87"/>
      <x:c r="AB3257" s="87"/>
      <x:c r="AC3257" s="87"/>
      <x:c r="AD3257" s="87"/>
      <x:c r="AE3257" s="87"/>
      <x:c r="AF3257" s="87"/>
      <x:c r="AG3257" s="87"/>
      <x:c r="AH3257" s="87"/>
      <x:c r="AI3257" s="30"/>
      <x:c r="AJ3257" s="87" t="str">
        <x:v>master</x:v>
      </x:c>
      <x:c r="AK3257" s="87" t="str">
        <x:v>master-v0.81</x:v>
      </x:c>
      <x:c r="AL3257" s="87" t="str">
        <x:v>statgrad_master_base_v0_81_final(2).xlsx</x:v>
      </x:c>
      <x:c r="AM3257" s="87" t="str">
        <x:v>MATH_Oct_Base_V7</x:v>
      </x:c>
      <x:c r="AN3257" s="87" t="n">
        <x:v>3</x:v>
      </x:c>
    </x:row>
    <x:row r="3258">
      <x:c r="A3258" s="87" t="n">
        <x:v>3257</x:v>
      </x:c>
      <x:c r="B3258" s="87" t="str">
        <x:v>OCT-MATH-0107-03</x:v>
      </x:c>
      <x:c r="C3258" s="87" t="str">
        <x:v>СтатГрад</x:v>
      </x:c>
      <x:c r="D3258" s="87" t="str">
        <x:v>Октябрь 2025</x:v>
      </x:c>
      <x:c r="E3258" s="87"/>
      <x:c r="F3258" s="87"/>
      <x:c r="G3258" s="87" t="str">
        <x:v>Математика</x:v>
      </x:c>
      <x:c r="H3258" s="87" t="n">
        <x:v>11</x:v>
      </x:c>
      <x:c r="I3258" s="87" t="str">
        <x:v>ТР №1</x:v>
      </x:c>
      <x:c r="J3258" s="87" t="str">
        <x:v>МА2510107</x:v>
      </x:c>
      <x:c r="K3258" s="87" t="n">
        <x:v>3</x:v>
      </x:c>
      <x:c r="L3258" s="87" t="str">
        <x:v>Диаграмма</x:v>
      </x:c>
      <x:c r="M3258" s="30" t="str">
        <x:v>На диаграмме показана среднемесячная температура воздуха в Нижнем
    Новгороде за каждый месяц 1994 года. По горизонтали указываются месяцы,
    по вертикали — температура в градусах Цельсия.
            16
            12
             8
             4
             0 янв фев мар апр май июн июл авг сен окт ноя дек
            –4
            –8
          – 12
          – 16
    Определите по диаграмме наибольшую среднемесячную температуру
    в Нижнем Новгороде в период с января по апрель 1994 года. Ответ дайте
    в градусах Цельсия.</x:v>
      </x:c>
      <x:c r="N3258" s="30" t="str">
        <x:v>6</x:v>
      </x:c>
      <x:c r="O3258" s="30" t="str">
        <x:v>Ответ принят по официальной таблице СтатГрад.</x:v>
      </x:c>
      <x:c r="P3258" s="30" t="str">
        <x:v>Код варианта, номер и условие постранично сопоставлены с первичным PDF; формат ответа проверен.</x:v>
      </x:c>
      <x:c r="Q3258" s="30"/>
      <x:c r="R3258" s="30" t="str">
        <x:v>Официальный фото-ключ базового уровня.</x:v>
      </x:c>
      <x:c r="S3258" s="30"/>
      <x:c r="T3258" s="30"/>
      <x:c r="U3258" s="30" t="str">
        <x:v>Расхождений не обнаружено.</x:v>
      </x:c>
      <x:c r="V3258" s="87" t="str">
        <x:v>VERIFIED</x:v>
      </x:c>
      <x:c r="W3258" s="87" t="n">
        <x:v>19</x:v>
      </x:c>
      <x:c r="X3258" s="87"/>
      <x:c r="Y3258" s="87"/>
      <x:c r="Z3258" s="87"/>
      <x:c r="AA3258" s="87"/>
      <x:c r="AB3258" s="87"/>
      <x:c r="AC3258" s="87" t="str">
        <x:v>VIS-MATH-OCT-025</x:v>
      </x:c>
      <x:c r="AD3258" s="87"/>
      <x:c r="AE3258" s="87" t="str">
        <x:v>Полная страница с визуальным контекстом</x:v>
      </x:c>
      <x:c r="AF3258" s="87" t="str">
        <x:v>VIS-MATH-OCT-025: 19</x:v>
      </x:c>
      <x:c r="AG3258" s="87" t="str">
        <x:v>RESOLVED / SOURCE_REGENERATED</x:v>
      </x:c>
      <x:c r="AH3258" s="87" t="str">
        <x:v>SOURCE_PAGE_REGENERATED_FULL_PAGE_NO_CROP; TASK_CROP_QA_APPROVED:USE_CONTEXT</x:v>
      </x:c>
      <x:c r="AI3258" s="30"/>
      <x:c r="AJ3258" s="87" t="str">
        <x:v>master</x:v>
      </x:c>
      <x:c r="AK3258" s="87" t="str">
        <x:v>master-v0.81</x:v>
      </x:c>
      <x:c r="AL3258" s="87" t="str">
        <x:v>statgrad_master_base_v0_81_final(2).xlsx</x:v>
      </x:c>
      <x:c r="AM3258" s="87" t="str">
        <x:v>MATH_Oct_Base_V7</x:v>
      </x:c>
      <x:c r="AN3258" s="87" t="n">
        <x:v>4</x:v>
      </x:c>
    </x:row>
    <x:row r="3259">
      <x:c r="A3259" s="87" t="n">
        <x:v>3258</x:v>
      </x:c>
      <x:c r="B3259" s="87" t="str">
        <x:v>OCT-MATH-0107-04</x:v>
      </x:c>
      <x:c r="C3259" s="87" t="str">
        <x:v>СтатГрад</x:v>
      </x:c>
      <x:c r="D3259" s="87" t="str">
        <x:v>Октябрь 2025</x:v>
      </x:c>
      <x:c r="E3259" s="87"/>
      <x:c r="F3259" s="87"/>
      <x:c r="G3259" s="87" t="str">
        <x:v>Математика</x:v>
      </x:c>
      <x:c r="H3259" s="87" t="n">
        <x:v>11</x:v>
      </x:c>
      <x:c r="I3259" s="87" t="str">
        <x:v>ТР №1</x:v>
      </x:c>
      <x:c r="J3259" s="87" t="str">
        <x:v>МА2510107</x:v>
      </x:c>
      <x:c r="K3259" s="87" t="n">
        <x:v>4</x:v>
      </x:c>
      <x:c r="L3259" s="87" t="str">
        <x:v>Вычисление по формуле</x:v>
      </x:c>
      <x:c r="M3259" s="30" t="str">
        <x:v>Радиус вписанной в прямоугольный треугольник окружности вычисляется
                   a+b−c
    по формуле r =        , где a и b — катеты, а c — гипотенуза. Пользуясь
                      2
    этой формулой, найдите r , если a = 52 , b = 165 и c = 173 .
                                   согласия СтатГрад запрещена</x:v>
      </x:c>
      <x:c r="N3259" s="30" t="str">
        <x:v>22</x:v>
      </x:c>
      <x:c r="O3259" s="30" t="str">
        <x:v>Ответ принят по официальной таблице СтатГрад.</x:v>
      </x:c>
      <x:c r="P3259" s="30" t="str">
        <x:v>Код варианта, номер и условие постранично сопоставлены с первичным PDF; формат ответа проверен.</x:v>
      </x:c>
      <x:c r="Q3259" s="30"/>
      <x:c r="R3259" s="30" t="str">
        <x:v>Официальный фото-ключ базового уровня.</x:v>
      </x:c>
      <x:c r="S3259" s="30"/>
      <x:c r="T3259" s="30"/>
      <x:c r="U3259" s="30" t="str">
        <x:v>Расхождений не обнаружено.</x:v>
      </x:c>
      <x:c r="V3259" s="87" t="str">
        <x:v>VERIFIED</x:v>
      </x:c>
      <x:c r="W3259" s="87" t="n">
        <x:v>19</x:v>
      </x:c>
      <x:c r="X3259" s="87"/>
      <x:c r="Y3259" s="87"/>
      <x:c r="Z3259" s="87"/>
      <x:c r="AA3259" s="87"/>
      <x:c r="AB3259" s="87"/>
      <x:c r="AC3259" s="87" t="str">
        <x:v>VIS-MATH-OCT-025</x:v>
      </x:c>
      <x:c r="AD3259" s="87"/>
      <x:c r="AE3259" s="87" t="str">
        <x:v>Полная страница с визуальным контекстом</x:v>
      </x:c>
      <x:c r="AF3259" s="87" t="str">
        <x:v>VIS-MATH-OCT-025: 19</x:v>
      </x:c>
      <x:c r="AG3259" s="87" t="str">
        <x:v>RESOLVED / SOURCE_REGENERATED</x:v>
      </x:c>
      <x:c r="AH3259" s="87" t="str">
        <x:v>SOURCE_PAGE_REGENERATED_FULL_PAGE_NO_CROP</x:v>
      </x:c>
      <x:c r="AI3259" s="30"/>
      <x:c r="AJ3259" s="87" t="str">
        <x:v>master</x:v>
      </x:c>
      <x:c r="AK3259" s="87" t="str">
        <x:v>master-v0.81</x:v>
      </x:c>
      <x:c r="AL3259" s="87" t="str">
        <x:v>statgrad_master_base_v0_81_final(2).xlsx</x:v>
      </x:c>
      <x:c r="AM3259" s="87" t="str">
        <x:v>MATH_Oct_Base_V7</x:v>
      </x:c>
      <x:c r="AN3259" s="87" t="n">
        <x:v>5</x:v>
      </x:c>
    </x:row>
    <x:row r="3260">
      <x:c r="A3260" s="87" t="n">
        <x:v>3259</x:v>
      </x:c>
      <x:c r="B3260" s="87" t="str">
        <x:v>OCT-MATH-0107-05</x:v>
      </x:c>
      <x:c r="C3260" s="87" t="str">
        <x:v>СтатГрад</x:v>
      </x:c>
      <x:c r="D3260" s="87" t="str">
        <x:v>Октябрь 2025</x:v>
      </x:c>
      <x:c r="E3260" s="87"/>
      <x:c r="F3260" s="87"/>
      <x:c r="G3260" s="87" t="str">
        <x:v>Математика</x:v>
      </x:c>
      <x:c r="H3260" s="87" t="n">
        <x:v>11</x:v>
      </x:c>
      <x:c r="I3260" s="87" t="str">
        <x:v>ТР №1</x:v>
      </x:c>
      <x:c r="J3260" s="87" t="str">
        <x:v>МА2510107</x:v>
      </x:c>
      <x:c r="K3260" s="87" t="n">
        <x:v>5</x:v>
      </x:c>
      <x:c r="L3260" s="87" t="str">
        <x:v>Вероятность</x:v>
      </x:c>
      <x:c r="M3260" s="30" t="str">
        <x:v>На экзамене будет 20 билетов, Оскар не выучил 7 из них. Найдите
    вероятность того, что ему попадётся выученный билет.</x:v>
      </x:c>
      <x:c r="N3260" s="30" t="str">
        <x:v>0,65</x:v>
      </x:c>
      <x:c r="O3260" s="30" t="str">
        <x:v>Ответ принят по официальной таблице СтатГрад.</x:v>
      </x:c>
      <x:c r="P3260" s="30" t="str">
        <x:v>Код варианта, номер и условие постранично сопоставлены с первичным PDF; формат ответа проверен.</x:v>
      </x:c>
      <x:c r="Q3260" s="30"/>
      <x:c r="R3260" s="30" t="str">
        <x:v>Официальный фото-ключ базового уровня.</x:v>
      </x:c>
      <x:c r="S3260" s="30"/>
      <x:c r="T3260" s="30"/>
      <x:c r="U3260" s="30" t="str">
        <x:v>Расхождений не обнаружено.</x:v>
      </x:c>
      <x:c r="V3260" s="87" t="str">
        <x:v>VERIFIED</x:v>
      </x:c>
      <x:c r="W3260" s="87" t="n">
        <x:v>20</x:v>
      </x:c>
      <x:c r="X3260" s="87"/>
      <x:c r="Y3260" s="87"/>
      <x:c r="Z3260" s="87"/>
      <x:c r="AA3260" s="87"/>
      <x:c r="AB3260" s="87"/>
      <x:c r="AC3260" s="87"/>
      <x:c r="AD3260" s="87"/>
      <x:c r="AE3260" s="87"/>
      <x:c r="AF3260" s="87"/>
      <x:c r="AG3260" s="87"/>
      <x:c r="AH3260" s="87"/>
      <x:c r="AI3260" s="30"/>
      <x:c r="AJ3260" s="87" t="str">
        <x:v>master</x:v>
      </x:c>
      <x:c r="AK3260" s="87" t="str">
        <x:v>master-v0.81</x:v>
      </x:c>
      <x:c r="AL3260" s="87" t="str">
        <x:v>statgrad_master_base_v0_81_final(2).xlsx</x:v>
      </x:c>
      <x:c r="AM3260" s="87" t="str">
        <x:v>MATH_Oct_Base_V7</x:v>
      </x:c>
      <x:c r="AN3260" s="87" t="n">
        <x:v>6</x:v>
      </x:c>
    </x:row>
    <x:row r="3261">
      <x:c r="A3261" s="87" t="n">
        <x:v>3260</x:v>
      </x:c>
      <x:c r="B3261" s="87" t="str">
        <x:v>OCT-MATH-0107-06</x:v>
      </x:c>
      <x:c r="C3261" s="87" t="str">
        <x:v>СтатГрад</x:v>
      </x:c>
      <x:c r="D3261" s="87" t="str">
        <x:v>Октябрь 2025</x:v>
      </x:c>
      <x:c r="E3261" s="87"/>
      <x:c r="F3261" s="87"/>
      <x:c r="G3261" s="87" t="str">
        <x:v>Математика</x:v>
      </x:c>
      <x:c r="H3261" s="87" t="n">
        <x:v>11</x:v>
      </x:c>
      <x:c r="I3261" s="87" t="str">
        <x:v>ТР №1</x:v>
      </x:c>
      <x:c r="J3261" s="87" t="str">
        <x:v>МА2510107</x:v>
      </x:c>
      <x:c r="K3261" s="87" t="n">
        <x:v>6</x:v>
      </x:c>
      <x:c r="L3261" s="87" t="str">
        <x:v>Тариф / таблица</x:v>
      </x:c>
      <x:c r="M3261" s="30" t="str">
        <x:v>Телефонная компания предоставляет на выбор три тарифных плана.
                      Абонентская плата
      Тарифный план                        Плата за 1 минуту разговора
                           (в месяц)
    «Повременный»             Нет                    0,4 руб.
    «Комбинированный» 190 руб. за 380 мин.           0,3 руб.
                                            (сверх 380 мин. в месяц)
    «Безлимитный»       325 руб. в месяц               Нет
    Абонент предполагает, что общая длительность разговоров составит
    700 минут в месяц, и исходя из этого выбирает наиболее дешёвый тарифный
    план. Сколько рублей должен будет заплатить абонент за месяц, если общая
    длительность разговоров действительно будет равна 700 минутам?
                                   согласия СтатГрад запрещена</x:v>
      </x:c>
      <x:c r="N3261" s="30" t="str">
        <x:v>280</x:v>
      </x:c>
      <x:c r="O3261" s="30" t="str">
        <x:v>Ответ принят по официальной таблице СтатГрад.</x:v>
      </x:c>
      <x:c r="P3261" s="30" t="str">
        <x:v>Код варианта, номер и условие постранично сопоставлены с первичным PDF; формат ответа проверен.</x:v>
      </x:c>
      <x:c r="Q3261" s="30"/>
      <x:c r="R3261" s="30" t="str">
        <x:v>Официальный фото-ключ базового уровня.</x:v>
      </x:c>
      <x:c r="S3261" s="30"/>
      <x:c r="T3261" s="30"/>
      <x:c r="U3261" s="30" t="str">
        <x:v>Расхождений не обнаружено.</x:v>
      </x:c>
      <x:c r="V3261" s="87" t="str">
        <x:v>VERIFIED</x:v>
      </x:c>
      <x:c r="W3261" s="87" t="n">
        <x:v>20</x:v>
      </x:c>
      <x:c r="X3261" s="87"/>
      <x:c r="Y3261" s="87"/>
      <x:c r="Z3261" s="87"/>
      <x:c r="AA3261" s="87"/>
      <x:c r="AB3261" s="87"/>
      <x:c r="AC3261" s="87" t="str">
        <x:v>VIS-MATH-OCT-026</x:v>
      </x:c>
      <x:c r="AD3261" s="87"/>
      <x:c r="AE3261" s="87" t="str">
        <x:v>Полная страница с визуальным контекстом</x:v>
      </x:c>
      <x:c r="AF3261" s="87" t="str">
        <x:v>VIS-MATH-OCT-026: 20</x:v>
      </x:c>
      <x:c r="AG3261" s="87" t="str">
        <x:v>RESOLVED / SOURCE_REGENERATED</x:v>
      </x:c>
      <x:c r="AH3261" s="87" t="str">
        <x:v>SOURCE_PAGE_REGENERATED_FULL_PAGE_NO_CROP</x:v>
      </x:c>
      <x:c r="AI3261" s="30"/>
      <x:c r="AJ3261" s="87" t="str">
        <x:v>master</x:v>
      </x:c>
      <x:c r="AK3261" s="87" t="str">
        <x:v>master-v0.81</x:v>
      </x:c>
      <x:c r="AL3261" s="87" t="str">
        <x:v>statgrad_master_base_v0_81_final(2).xlsx</x:v>
      </x:c>
      <x:c r="AM3261" s="87" t="str">
        <x:v>MATH_Oct_Base_V7</x:v>
      </x:c>
      <x:c r="AN3261" s="87" t="n">
        <x:v>7</x:v>
      </x:c>
    </x:row>
    <x:row r="3262">
      <x:c r="A3262" s="87" t="n">
        <x:v>3261</x:v>
      </x:c>
      <x:c r="B3262" s="87" t="str">
        <x:v>OCT-MATH-0107-07</x:v>
      </x:c>
      <x:c r="C3262" s="87" t="str">
        <x:v>СтатГрад</x:v>
      </x:c>
      <x:c r="D3262" s="87" t="str">
        <x:v>Октябрь 2025</x:v>
      </x:c>
      <x:c r="E3262" s="87"/>
      <x:c r="F3262" s="87"/>
      <x:c r="G3262" s="87" t="str">
        <x:v>Математика</x:v>
      </x:c>
      <x:c r="H3262" s="87" t="n">
        <x:v>11</x:v>
      </x:c>
      <x:c r="I3262" s="87" t="str">
        <x:v>ТР №1</x:v>
      </x:c>
      <x:c r="J3262" s="87" t="str">
        <x:v>МА2510107</x:v>
      </x:c>
      <x:c r="K3262" s="87" t="n">
        <x:v>7</x:v>
      </x:c>
      <x:c r="L3262" s="87" t="str">
        <x:v>График</x:v>
      </x:c>
      <x:c r="M3262" s="30" t="str">
        <x:v>На рисунке точками показаны ежемесячные объёмы продаж холодильников
    в магазине бытовой техники. По горизонтали указываются месяцы,
    по вертикали — количество проданных холодильников. Для наглядности
    точки соединены ломаной линией.
              700
              600
              500
              400
              300
              200
              100
                0
                 янв фев мар апр май июн июл авг сен окт ноя дек
    Пользуясь рисунком, поставьте в соответствие каждому из указанных
    периодов времени характеристику продаж холодильников.
       ПЕРИОДЫ ВРЕМЕНИ                             ХАРАКТЕРИСТИКИ
    А) январь – март                    1) За последний месяц периода было
    Б) апрель – июнь                       продано меньше 200 холодильников.
    В) июль – сентябрь                  2) Ежемесячный объём продаж возрастал
    Г) октябрь – декабрь                   быстрее всего.
                                        3) Все три месяца периода объём продаж
                                           был одинаковым.
                                        4) Ежемесячный объём продаж достиг
                                           максимума за весь год.
    В таблице под каждой буквой укажите соответствующий номер.
               А Б В Г
    Ответ:
                                   согласия СтатГрад запрещена</x:v>
      </x:c>
      <x:c r="N3262" s="30" t="str">
        <x:v>3241</x:v>
      </x:c>
      <x:c r="O3262" s="30" t="str">
        <x:v>Ответ принят по официальной таблице СтатГрад.</x:v>
      </x:c>
      <x:c r="P3262" s="30" t="str">
        <x:v>Код варианта, номер и условие постранично сопоставлены с первичным PDF; формат ответа проверен.</x:v>
      </x:c>
      <x:c r="Q3262" s="30"/>
      <x:c r="R3262" s="30" t="str">
        <x:v>Официальный фото-ключ базового уровня.</x:v>
      </x:c>
      <x:c r="S3262" s="30"/>
      <x:c r="T3262" s="30"/>
      <x:c r="U3262" s="30" t="str">
        <x:v>Расхождений не обнаружено.</x:v>
      </x:c>
      <x:c r="V3262" s="87" t="str">
        <x:v>VERIFIED</x:v>
      </x:c>
      <x:c r="W3262" s="87" t="n">
        <x:v>21</x:v>
      </x:c>
      <x:c r="X3262" s="87"/>
      <x:c r="Y3262" s="87"/>
      <x:c r="Z3262" s="87"/>
      <x:c r="AA3262" s="87"/>
      <x:c r="AB3262" s="87"/>
      <x:c r="AC3262" s="87" t="str">
        <x:v>VIS-MATH-OCT-027</x:v>
      </x:c>
      <x:c r="AD3262" s="87"/>
      <x:c r="AE3262" s="87" t="str">
        <x:v>Полная страница с визуальным контекстом</x:v>
      </x:c>
      <x:c r="AF3262" s="87" t="str">
        <x:v>VIS-MATH-OCT-027: 21</x:v>
      </x:c>
      <x:c r="AG3262" s="87" t="str">
        <x:v>RESOLVED / SOURCE_REGENERATED</x:v>
      </x:c>
      <x:c r="AH3262" s="87" t="str">
        <x:v>SOURCE_PAGE_REGENERATED_FULL_PAGE_NO_CROP; TASK_CROP_QA_APPROVED:USE_CONTEXT</x:v>
      </x:c>
      <x:c r="AI3262" s="30"/>
      <x:c r="AJ3262" s="87" t="str">
        <x:v>master</x:v>
      </x:c>
      <x:c r="AK3262" s="87" t="str">
        <x:v>master-v0.81</x:v>
      </x:c>
      <x:c r="AL3262" s="87" t="str">
        <x:v>statgrad_master_base_v0_81_final(2).xlsx</x:v>
      </x:c>
      <x:c r="AM3262" s="87" t="str">
        <x:v>MATH_Oct_Base_V7</x:v>
      </x:c>
      <x:c r="AN3262" s="87" t="n">
        <x:v>8</x:v>
      </x:c>
    </x:row>
    <x:row r="3263">
      <x:c r="A3263" s="87" t="n">
        <x:v>3262</x:v>
      </x:c>
      <x:c r="B3263" s="87" t="str">
        <x:v>OCT-MATH-0107-08</x:v>
      </x:c>
      <x:c r="C3263" s="87" t="str">
        <x:v>СтатГрад</x:v>
      </x:c>
      <x:c r="D3263" s="87" t="str">
        <x:v>Октябрь 2025</x:v>
      </x:c>
      <x:c r="E3263" s="87"/>
      <x:c r="F3263" s="87"/>
      <x:c r="G3263" s="87" t="str">
        <x:v>Математика</x:v>
      </x:c>
      <x:c r="H3263" s="87" t="n">
        <x:v>11</x:v>
      </x:c>
      <x:c r="I3263" s="87" t="str">
        <x:v>ТР №1</x:v>
      </x:c>
      <x:c r="J3263" s="87" t="str">
        <x:v>МА2510107</x:v>
      </x:c>
      <x:c r="K3263" s="87" t="n">
        <x:v>8</x:v>
      </x:c>
      <x:c r="L3263" s="87" t="str">
        <x:v>Практическая задача</x:v>
      </x:c>
      <x:c r="M3263" s="30" t="str">
        <x:v>В 9 «Б» классе география по расписанию по средам и пятницам. Каждый
     ученик должен приносить атлас на каждый урок географии. На других
     уроках атласы не нужны. Выберите утверждения, которые верны при
     приведённых условиях.
     1) Всякий день, когда ученик 9 «Б» берёт с собой в школу атлас, является
        пятницей.
     2) В среду Маше из 9 «Б» надо принести в школу атлас.
     3) По четвергам ученикам 9 «Б» не надо брать в школу географический атлас.
     4) В каждый день, отличный от среды, ученикам 9 «Б» атлас можно
        в школу не брать.
     В ответе запишите номера выбранных утверждений без пробелов, запятых и
     других дополнительных символов.</x:v>
      </x:c>
      <x:c r="N3263" s="30" t="str">
        <x:v>23</x:v>
      </x:c>
      <x:c r="O3263" s="30" t="str">
        <x:v>Ответ принят по официальной таблице СтатГрад.</x:v>
      </x:c>
      <x:c r="P3263" s="30" t="str">
        <x:v>Код варианта, номер и условие постранично сопоставлены с первичным PDF; формат ответа проверен.</x:v>
      </x:c>
      <x:c r="Q3263" s="30"/>
      <x:c r="R3263" s="30" t="str">
        <x:v>Официальный фото-ключ базового уровня.</x:v>
      </x:c>
      <x:c r="S3263" s="30"/>
      <x:c r="T3263" s="30"/>
      <x:c r="U3263" s="30" t="str">
        <x:v>Расхождений не обнаружено.</x:v>
      </x:c>
      <x:c r="V3263" s="87" t="str">
        <x:v>VERIFIED</x:v>
      </x:c>
      <x:c r="W3263" s="87" t="n">
        <x:v>22</x:v>
      </x:c>
      <x:c r="X3263" s="87"/>
      <x:c r="Y3263" s="87"/>
      <x:c r="Z3263" s="87"/>
      <x:c r="AA3263" s="87"/>
      <x:c r="AB3263" s="87"/>
      <x:c r="AC3263" s="87"/>
      <x:c r="AD3263" s="87"/>
      <x:c r="AE3263" s="87"/>
      <x:c r="AF3263" s="87"/>
      <x:c r="AG3263" s="87"/>
      <x:c r="AH3263" s="87"/>
      <x:c r="AI3263" s="30"/>
      <x:c r="AJ3263" s="87" t="str">
        <x:v>master</x:v>
      </x:c>
      <x:c r="AK3263" s="87" t="str">
        <x:v>master-v0.81</x:v>
      </x:c>
      <x:c r="AL3263" s="87" t="str">
        <x:v>statgrad_master_base_v0_81_final(2).xlsx</x:v>
      </x:c>
      <x:c r="AM3263" s="87" t="str">
        <x:v>MATH_Oct_Base_V7</x:v>
      </x:c>
      <x:c r="AN3263" s="87" t="n">
        <x:v>9</x:v>
      </x:c>
    </x:row>
    <x:row r="3264">
      <x:c r="A3264" s="87" t="n">
        <x:v>3263</x:v>
      </x:c>
      <x:c r="B3264" s="87" t="str">
        <x:v>OCT-MATH-0107-09</x:v>
      </x:c>
      <x:c r="C3264" s="87" t="str">
        <x:v>СтатГрад</x:v>
      </x:c>
      <x:c r="D3264" s="87" t="str">
        <x:v>Октябрь 2025</x:v>
      </x:c>
      <x:c r="E3264" s="87"/>
      <x:c r="F3264" s="87"/>
      <x:c r="G3264" s="87" t="str">
        <x:v>Математика</x:v>
      </x:c>
      <x:c r="H3264" s="87" t="n">
        <x:v>11</x:v>
      </x:c>
      <x:c r="I3264" s="87" t="str">
        <x:v>ТР №1</x:v>
      </x:c>
      <x:c r="J3264" s="87" t="str">
        <x:v>МА2510107</x:v>
      </x:c>
      <x:c r="K3264" s="87" t="n">
        <x:v>9</x:v>
      </x:c>
      <x:c r="L3264" s="87" t="str">
        <x:v>План / площадь</x:v>
      </x:c>
      <x:c r="M3264" s="30" t="str">
        <x:v>План местности разбит на клетки. Каждая клетка
     обозначает квадрат 1 м × 1 м . Найдите площадь
     участка, выделенного на плане. Ответ дайте
     в квадратных метрах.</x:v>
      </x:c>
      <x:c r="N3264" s="30" t="str">
        <x:v>17,5</x:v>
      </x:c>
      <x:c r="O3264" s="30" t="str">
        <x:v>Ответ принят по официальной таблице СтатГрад.</x:v>
      </x:c>
      <x:c r="P3264" s="30" t="str">
        <x:v>Код варианта, номер и условие постранично сопоставлены с первичным PDF; формат ответа проверен.</x:v>
      </x:c>
      <x:c r="Q3264" s="30"/>
      <x:c r="R3264" s="30" t="str">
        <x:v>Официальный фото-ключ базового уровня.</x:v>
      </x:c>
      <x:c r="S3264" s="30"/>
      <x:c r="T3264" s="30"/>
      <x:c r="U3264" s="30" t="str">
        <x:v>Расхождений не обнаружено.</x:v>
      </x:c>
      <x:c r="V3264" s="87" t="str">
        <x:v>VERIFIED</x:v>
      </x:c>
      <x:c r="W3264" s="87" t="n">
        <x:v>22</x:v>
      </x:c>
      <x:c r="X3264" s="87"/>
      <x:c r="Y3264" s="87"/>
      <x:c r="Z3264" s="87"/>
      <x:c r="AA3264" s="87"/>
      <x:c r="AB3264" s="87"/>
      <x:c r="AC3264" s="87" t="str">
        <x:v>VIS-MATH-OCT-028</x:v>
      </x:c>
      <x:c r="AD3264" s="87"/>
      <x:c r="AE3264" s="87" t="str">
        <x:v>Полная страница с визуальным контекстом</x:v>
      </x:c>
      <x:c r="AF3264" s="87" t="str">
        <x:v>VIS-MATH-OCT-028: 22</x:v>
      </x:c>
      <x:c r="AG3264" s="87" t="str">
        <x:v>RESOLVED / SOURCE_REGENERATED</x:v>
      </x:c>
      <x:c r="AH3264" s="87" t="str">
        <x:v>SOURCE_PAGE_REGENERATED_FULL_PAGE_NO_CROP; TASK_CROP_QA_APPROVED:USE_TIGHT</x:v>
      </x:c>
      <x:c r="AI3264" s="30"/>
      <x:c r="AJ3264" s="87" t="str">
        <x:v>master</x:v>
      </x:c>
      <x:c r="AK3264" s="87" t="str">
        <x:v>master-v0.81</x:v>
      </x:c>
      <x:c r="AL3264" s="87" t="str">
        <x:v>statgrad_master_base_v0_81_final(2).xlsx</x:v>
      </x:c>
      <x:c r="AM3264" s="87" t="str">
        <x:v>MATH_Oct_Base_V7</x:v>
      </x:c>
      <x:c r="AN3264" s="87" t="n">
        <x:v>10</x:v>
      </x:c>
    </x:row>
    <x:row r="3265">
      <x:c r="A3265" s="87" t="n">
        <x:v>3264</x:v>
      </x:c>
      <x:c r="B3265" s="87" t="str">
        <x:v>OCT-MATH-0107-10</x:v>
      </x:c>
      <x:c r="C3265" s="87" t="str">
        <x:v>СтатГрад</x:v>
      </x:c>
      <x:c r="D3265" s="87" t="str">
        <x:v>Октябрь 2025</x:v>
      </x:c>
      <x:c r="E3265" s="87"/>
      <x:c r="F3265" s="87"/>
      <x:c r="G3265" s="87" t="str">
        <x:v>Математика</x:v>
      </x:c>
      <x:c r="H3265" s="87" t="n">
        <x:v>11</x:v>
      </x:c>
      <x:c r="I3265" s="87" t="str">
        <x:v>ТР №1</x:v>
      </x:c>
      <x:c r="J3265" s="87" t="str">
        <x:v>МА2510107</x:v>
      </x:c>
      <x:c r="K3265" s="87" t="n">
        <x:v>10</x:v>
      </x:c>
      <x:c r="L3265" s="87" t="str">
        <x:v>Геометрия по рисунку</x:v>
      </x:c>
      <x:c r="M3265" s="30" t="str">
        <x:v>Участок земли имеет прямоугольную форму.                              65 м
     Стороны прямоугольника равны 25 м и 65 м.
     Найдите длину забора (в метрах), которым
     нужно огородить участок, предусмотрев 4 м                                            25 м
     проезд шириной 4 м.</x:v>
      </x:c>
      <x:c r="N3265" s="30" t="str">
        <x:v>176</x:v>
      </x:c>
      <x:c r="O3265" s="30" t="str">
        <x:v>Ответ принят по официальной таблице СтатГрад.</x:v>
      </x:c>
      <x:c r="P3265" s="30" t="str">
        <x:v>Код варианта, номер и условие постранично сопоставлены с первичным PDF; формат ответа проверен.</x:v>
      </x:c>
      <x:c r="Q3265" s="30"/>
      <x:c r="R3265" s="30" t="str">
        <x:v>Официальный фото-ключ базового уровня.</x:v>
      </x:c>
      <x:c r="S3265" s="30"/>
      <x:c r="T3265" s="30"/>
      <x:c r="U3265" s="30" t="str">
        <x:v>Расхождений не обнаружено.</x:v>
      </x:c>
      <x:c r="V3265" s="87" t="str">
        <x:v>VERIFIED</x:v>
      </x:c>
      <x:c r="W3265" s="87" t="n">
        <x:v>22</x:v>
      </x:c>
      <x:c r="X3265" s="87"/>
      <x:c r="Y3265" s="87"/>
      <x:c r="Z3265" s="87"/>
      <x:c r="AA3265" s="87"/>
      <x:c r="AB3265" s="87"/>
      <x:c r="AC3265" s="87"/>
      <x:c r="AD3265" s="87"/>
      <x:c r="AE3265" s="87"/>
      <x:c r="AF3265" s="87"/>
      <x:c r="AG3265" s="87"/>
      <x:c r="AH3265" s="87"/>
      <x:c r="AI3265" s="30"/>
      <x:c r="AJ3265" s="87" t="str">
        <x:v>master</x:v>
      </x:c>
      <x:c r="AK3265" s="87" t="str">
        <x:v>master-v0.81</x:v>
      </x:c>
      <x:c r="AL3265" s="87" t="str">
        <x:v>statgrad_master_base_v0_81_final(2).xlsx</x:v>
      </x:c>
      <x:c r="AM3265" s="87" t="str">
        <x:v>MATH_Oct_Base_V7</x:v>
      </x:c>
      <x:c r="AN3265" s="87" t="n">
        <x:v>11</x:v>
      </x:c>
    </x:row>
    <x:row r="3266">
      <x:c r="A3266" s="87" t="n">
        <x:v>3265</x:v>
      </x:c>
      <x:c r="B3266" s="87" t="str">
        <x:v>OCT-MATH-0107-11</x:v>
      </x:c>
      <x:c r="C3266" s="87" t="str">
        <x:v>СтатГрад</x:v>
      </x:c>
      <x:c r="D3266" s="87" t="str">
        <x:v>Октябрь 2025</x:v>
      </x:c>
      <x:c r="E3266" s="87"/>
      <x:c r="F3266" s="87"/>
      <x:c r="G3266" s="87" t="str">
        <x:v>Математика</x:v>
      </x:c>
      <x:c r="H3266" s="87" t="n">
        <x:v>11</x:v>
      </x:c>
      <x:c r="I3266" s="87" t="str">
        <x:v>ТР №1</x:v>
      </x:c>
      <x:c r="J3266" s="87" t="str">
        <x:v>МА2510107</x:v>
      </x:c>
      <x:c r="K3266" s="87" t="n">
        <x:v>11</x:v>
      </x:c>
      <x:c r="L3266" s="87" t="str">
        <x:v>Стереометрия по рисунку</x:v>
      </x:c>
      <x:c r="M3266" s="30" t="str">
        <x:v>Аквариум     имеет     форму      прямоугольного
     параллелепипеда с размерами 80 см × 30 см × 40 см .
     Сколько литров составляет объём аквариума?
     В одном литре 1000 кубических сантиметров.
                                    согласия СтатГрад запрещена</x:v>
      </x:c>
      <x:c r="N3266" s="30" t="str">
        <x:v>96</x:v>
      </x:c>
      <x:c r="O3266" s="30" t="str">
        <x:v>Ответ принят по официальной таблице СтатГрад.</x:v>
      </x:c>
      <x:c r="P3266" s="30" t="str">
        <x:v>Код варианта, номер и условие постранично сопоставлены с первичным PDF; формат ответа проверен.</x:v>
      </x:c>
      <x:c r="Q3266" s="30"/>
      <x:c r="R3266" s="30" t="str">
        <x:v>Официальный фото-ключ базового уровня.</x:v>
      </x:c>
      <x:c r="S3266" s="30"/>
      <x:c r="T3266" s="30"/>
      <x:c r="U3266" s="30" t="str">
        <x:v>Расхождений не обнаружено.</x:v>
      </x:c>
      <x:c r="V3266" s="87" t="str">
        <x:v>VERIFIED</x:v>
      </x:c>
      <x:c r="W3266" s="87" t="n">
        <x:v>22</x:v>
      </x:c>
      <x:c r="X3266" s="87"/>
      <x:c r="Y3266" s="87"/>
      <x:c r="Z3266" s="87"/>
      <x:c r="AA3266" s="87"/>
      <x:c r="AB3266" s="87"/>
      <x:c r="AC3266" s="87"/>
      <x:c r="AD3266" s="87"/>
      <x:c r="AE3266" s="87"/>
      <x:c r="AF3266" s="87"/>
      <x:c r="AG3266" s="87"/>
      <x:c r="AH3266" s="87"/>
      <x:c r="AI3266" s="30"/>
      <x:c r="AJ3266" s="87" t="str">
        <x:v>master</x:v>
      </x:c>
      <x:c r="AK3266" s="87" t="str">
        <x:v>master-v0.81</x:v>
      </x:c>
      <x:c r="AL3266" s="87" t="str">
        <x:v>statgrad_master_base_v0_81_final(2).xlsx</x:v>
      </x:c>
      <x:c r="AM3266" s="87" t="str">
        <x:v>MATH_Oct_Base_V7</x:v>
      </x:c>
      <x:c r="AN3266" s="87" t="n">
        <x:v>12</x:v>
      </x:c>
    </x:row>
    <x:row r="3267">
      <x:c r="A3267" s="87" t="n">
        <x:v>3266</x:v>
      </x:c>
      <x:c r="B3267" s="87" t="str">
        <x:v>OCT-MATH-0107-12</x:v>
      </x:c>
      <x:c r="C3267" s="87" t="str">
        <x:v>СтатГрад</x:v>
      </x:c>
      <x:c r="D3267" s="87" t="str">
        <x:v>Октябрь 2025</x:v>
      </x:c>
      <x:c r="E3267" s="87"/>
      <x:c r="F3267" s="87"/>
      <x:c r="G3267" s="87" t="str">
        <x:v>Математика</x:v>
      </x:c>
      <x:c r="H3267" s="87" t="n">
        <x:v>11</x:v>
      </x:c>
      <x:c r="I3267" s="87" t="str">
        <x:v>ТР №1</x:v>
      </x:c>
      <x:c r="J3267" s="87" t="str">
        <x:v>МА2510107</x:v>
      </x:c>
      <x:c r="K3267" s="87" t="n">
        <x:v>12</x:v>
      </x:c>
      <x:c r="L3267" s="87" t="str">
        <x:v>Уравнение / вычисление</x:v>
      </x:c>
      <x:c r="M3267" s="30" t="str">
        <x:v>Прямые m и n параллельны (см. рисунок).                          m                 1
     Найдите ∠3 , если ∠1= 66° , ∠2 = 88° . Ответ
                                                                                   3
     дайте в градусах.
                                                                      n             2</x:v>
      </x:c>
      <x:c r="N3267" s="30" t="str">
        <x:v>26</x:v>
      </x:c>
      <x:c r="O3267" s="30" t="str">
        <x:v>Ответ принят по официальной таблице СтатГрад.</x:v>
      </x:c>
      <x:c r="P3267" s="30" t="str">
        <x:v>Код варианта, номер и условие постранично сопоставлены с первичным PDF; формат ответа проверен.</x:v>
      </x:c>
      <x:c r="Q3267" s="30"/>
      <x:c r="R3267" s="30" t="str">
        <x:v>Официальный фото-ключ базового уровня.</x:v>
      </x:c>
      <x:c r="S3267" s="30"/>
      <x:c r="T3267" s="30"/>
      <x:c r="U3267" s="30" t="str">
        <x:v>Расхождений не обнаружено.</x:v>
      </x:c>
      <x:c r="V3267" s="87" t="str">
        <x:v>VERIFIED</x:v>
      </x:c>
      <x:c r="W3267" s="87" t="n">
        <x:v>23</x:v>
      </x:c>
      <x:c r="X3267" s="87"/>
      <x:c r="Y3267" s="87"/>
      <x:c r="Z3267" s="87"/>
      <x:c r="AA3267" s="87"/>
      <x:c r="AB3267" s="87"/>
      <x:c r="AC3267" s="87"/>
      <x:c r="AD3267" s="87"/>
      <x:c r="AE3267" s="87"/>
      <x:c r="AF3267" s="87"/>
      <x:c r="AG3267" s="87"/>
      <x:c r="AH3267" s="87"/>
      <x:c r="AI3267" s="30"/>
      <x:c r="AJ3267" s="87" t="str">
        <x:v>master</x:v>
      </x:c>
      <x:c r="AK3267" s="87" t="str">
        <x:v>master-v0.81</x:v>
      </x:c>
      <x:c r="AL3267" s="87" t="str">
        <x:v>statgrad_master_base_v0_81_final(2).xlsx</x:v>
      </x:c>
      <x:c r="AM3267" s="87" t="str">
        <x:v>MATH_Oct_Base_V7</x:v>
      </x:c>
      <x:c r="AN3267" s="87" t="n">
        <x:v>13</x:v>
      </x:c>
    </x:row>
    <x:row r="3268">
      <x:c r="A3268" s="87" t="n">
        <x:v>3267</x:v>
      </x:c>
      <x:c r="B3268" s="87" t="str">
        <x:v>OCT-MATH-0107-13</x:v>
      </x:c>
      <x:c r="C3268" s="87" t="str">
        <x:v>СтатГрад</x:v>
      </x:c>
      <x:c r="D3268" s="87" t="str">
        <x:v>Октябрь 2025</x:v>
      </x:c>
      <x:c r="E3268" s="87"/>
      <x:c r="F3268" s="87"/>
      <x:c r="G3268" s="87" t="str">
        <x:v>Математика</x:v>
      </x:c>
      <x:c r="H3268" s="87" t="n">
        <x:v>11</x:v>
      </x:c>
      <x:c r="I3268" s="87" t="str">
        <x:v>ТР №1</x:v>
      </x:c>
      <x:c r="J3268" s="87" t="str">
        <x:v>МА2510107</x:v>
      </x:c>
      <x:c r="K3268" s="87" t="n">
        <x:v>13</x:v>
      </x:c>
      <x:c r="L3268" s="87" t="str">
        <x:v>Стереометрия</x:v>
      </x:c>
      <x:c r="M3268" s="30" t="str">
        <x:v>Стороны основания правильной треугольной пирамиды
     равны 18, а боковые рёбра равны 15. Найдите площадь
     боковой поверхности этой пирамиды.
                                        5 4 1</x:v>
      </x:c>
      <x:c r="N3268" s="30" t="str">
        <x:v>324</x:v>
      </x:c>
      <x:c r="O3268" s="30" t="str">
        <x:v>Ответ принят по официальной таблице СтатГрад.</x:v>
      </x:c>
      <x:c r="P3268" s="30" t="str">
        <x:v>Код варианта, номер и условие постранично сопоставлены с первичным PDF; формат ответа проверен.</x:v>
      </x:c>
      <x:c r="Q3268" s="30"/>
      <x:c r="R3268" s="30" t="str">
        <x:v>Официальный фото-ключ базового уровня.</x:v>
      </x:c>
      <x:c r="S3268" s="30"/>
      <x:c r="T3268" s="30"/>
      <x:c r="U3268" s="30" t="str">
        <x:v>Расхождений не обнаружено.</x:v>
      </x:c>
      <x:c r="V3268" s="87" t="str">
        <x:v>VERIFIED</x:v>
      </x:c>
      <x:c r="W3268" s="87" t="n">
        <x:v>23</x:v>
      </x:c>
      <x:c r="X3268" s="87"/>
      <x:c r="Y3268" s="87"/>
      <x:c r="Z3268" s="87"/>
      <x:c r="AA3268" s="87"/>
      <x:c r="AB3268" s="87"/>
      <x:c r="AC3268" s="87"/>
      <x:c r="AD3268" s="87"/>
      <x:c r="AE3268" s="87"/>
      <x:c r="AF3268" s="87"/>
      <x:c r="AG3268" s="87"/>
      <x:c r="AH3268" s="87"/>
      <x:c r="AI3268" s="30"/>
      <x:c r="AJ3268" s="87" t="str">
        <x:v>master</x:v>
      </x:c>
      <x:c r="AK3268" s="87" t="str">
        <x:v>master-v0.81</x:v>
      </x:c>
      <x:c r="AL3268" s="87" t="str">
        <x:v>statgrad_master_base_v0_81_final(2).xlsx</x:v>
      </x:c>
      <x:c r="AM3268" s="87" t="str">
        <x:v>MATH_Oct_Base_V7</x:v>
      </x:c>
      <x:c r="AN3268" s="87" t="n">
        <x:v>14</x:v>
      </x:c>
    </x:row>
    <x:row r="3269">
      <x:c r="A3269" s="87" t="n">
        <x:v>3268</x:v>
      </x:c>
      <x:c r="B3269" s="87" t="str">
        <x:v>OCT-MATH-0107-14</x:v>
      </x:c>
      <x:c r="C3269" s="87" t="str">
        <x:v>СтатГрад</x:v>
      </x:c>
      <x:c r="D3269" s="87" t="str">
        <x:v>Октябрь 2025</x:v>
      </x:c>
      <x:c r="E3269" s="87"/>
      <x:c r="F3269" s="87"/>
      <x:c r="G3269" s="87" t="str">
        <x:v>Математика</x:v>
      </x:c>
      <x:c r="H3269" s="87" t="n">
        <x:v>11</x:v>
      </x:c>
      <x:c r="I3269" s="87" t="str">
        <x:v>ТР №1</x:v>
      </x:c>
      <x:c r="J3269" s="87" t="str">
        <x:v>МА2510107</x:v>
      </x:c>
      <x:c r="K3269" s="87" t="n">
        <x:v>14</x:v>
      </x:c>
      <x:c r="L3269" s="87" t="str">
        <x:v>Планиметрия</x:v>
      </x:c>
      <x:c r="M3269" s="30" t="str">
        <x:v>Найдите значение выражения          : − .
                                        2 5 8</x:v>
      </x:c>
      <x:c r="N3269" s="30" t="str">
        <x:v>3</x:v>
      </x:c>
      <x:c r="O3269" s="30" t="str">
        <x:v>Ответ принят по официальной таблице СтатГрад.</x:v>
      </x:c>
      <x:c r="P3269" s="30" t="str">
        <x:v>Код варианта, номер и условие постранично сопоставлены с первичным PDF; формат ответа проверен.</x:v>
      </x:c>
      <x:c r="Q3269" s="30"/>
      <x:c r="R3269" s="30" t="str">
        <x:v>Официальный фото-ключ базового уровня.</x:v>
      </x:c>
      <x:c r="S3269" s="30"/>
      <x:c r="T3269" s="30"/>
      <x:c r="U3269" s="30" t="str">
        <x:v>Расхождений не обнаружено.</x:v>
      </x:c>
      <x:c r="V3269" s="87" t="str">
        <x:v>VERIFIED</x:v>
      </x:c>
      <x:c r="W3269" s="87" t="n">
        <x:v>23</x:v>
      </x:c>
      <x:c r="X3269" s="87"/>
      <x:c r="Y3269" s="87"/>
      <x:c r="Z3269" s="87"/>
      <x:c r="AA3269" s="87"/>
      <x:c r="AB3269" s="87"/>
      <x:c r="AC3269" s="87"/>
      <x:c r="AD3269" s="87"/>
      <x:c r="AE3269" s="87"/>
      <x:c r="AF3269" s="87"/>
      <x:c r="AG3269" s="87"/>
      <x:c r="AH3269" s="87"/>
      <x:c r="AI3269" s="30"/>
      <x:c r="AJ3269" s="87" t="str">
        <x:v>master</x:v>
      </x:c>
      <x:c r="AK3269" s="87" t="str">
        <x:v>master-v0.81</x:v>
      </x:c>
      <x:c r="AL3269" s="87" t="str">
        <x:v>statgrad_master_base_v0_81_final(2).xlsx</x:v>
      </x:c>
      <x:c r="AM3269" s="87" t="str">
        <x:v>MATH_Oct_Base_V7</x:v>
      </x:c>
      <x:c r="AN3269" s="87" t="n">
        <x:v>15</x:v>
      </x:c>
    </x:row>
    <x:row r="3270">
      <x:c r="A3270" s="87" t="n">
        <x:v>3269</x:v>
      </x:c>
      <x:c r="B3270" s="87" t="str">
        <x:v>OCT-MATH-0107-15</x:v>
      </x:c>
      <x:c r="C3270" s="87" t="str">
        <x:v>СтатГрад</x:v>
      </x:c>
      <x:c r="D3270" s="87" t="str">
        <x:v>Октябрь 2025</x:v>
      </x:c>
      <x:c r="E3270" s="87"/>
      <x:c r="F3270" s="87"/>
      <x:c r="G3270" s="87" t="str">
        <x:v>Математика</x:v>
      </x:c>
      <x:c r="H3270" s="87" t="n">
        <x:v>11</x:v>
      </x:c>
      <x:c r="I3270" s="87" t="str">
        <x:v>ТР №1</x:v>
      </x:c>
      <x:c r="J3270" s="87" t="str">
        <x:v>МА2510107</x:v>
      </x:c>
      <x:c r="K3270" s="87" t="n">
        <x:v>15</x:v>
      </x:c>
      <x:c r="L3270" s="87" t="str">
        <x:v>Алгебра</x:v>
      </x:c>
      <x:c r="M3270" s="30" t="str">
        <x:v>Набор полотенец, который стоил 1200 рублей, продаётся со скидкой 13 %.
     Сколько рублей стоят два набора полотенец со скидкой?
                                          32</x:v>
      </x:c>
      <x:c r="N3270" s="30" t="str">
        <x:v>2088</x:v>
      </x:c>
      <x:c r="O3270" s="30" t="str">
        <x:v>Ответ принят по официальной таблице СтатГрад.</x:v>
      </x:c>
      <x:c r="P3270" s="30" t="str">
        <x:v>Код варианта, номер и условие постранично сопоставлены с первичным PDF; формат ответа проверен.</x:v>
      </x:c>
      <x:c r="Q3270" s="30"/>
      <x:c r="R3270" s="30" t="str">
        <x:v>Официальный фото-ключ базового уровня.</x:v>
      </x:c>
      <x:c r="S3270" s="30"/>
      <x:c r="T3270" s="30"/>
      <x:c r="U3270" s="30" t="str">
        <x:v>Расхождений не обнаружено.</x:v>
      </x:c>
      <x:c r="V3270" s="87" t="str">
        <x:v>VERIFIED</x:v>
      </x:c>
      <x:c r="W3270" s="87" t="n">
        <x:v>23</x:v>
      </x:c>
      <x:c r="X3270" s="87"/>
      <x:c r="Y3270" s="87"/>
      <x:c r="Z3270" s="87"/>
      <x:c r="AA3270" s="87"/>
      <x:c r="AB3270" s="87"/>
      <x:c r="AC3270" s="87"/>
      <x:c r="AD3270" s="87"/>
      <x:c r="AE3270" s="87"/>
      <x:c r="AF3270" s="87"/>
      <x:c r="AG3270" s="87"/>
      <x:c r="AH3270" s="87"/>
      <x:c r="AI3270" s="30"/>
      <x:c r="AJ3270" s="87" t="str">
        <x:v>master</x:v>
      </x:c>
      <x:c r="AK3270" s="87" t="str">
        <x:v>master-v0.81</x:v>
      </x:c>
      <x:c r="AL3270" s="87" t="str">
        <x:v>statgrad_master_base_v0_81_final(2).xlsx</x:v>
      </x:c>
      <x:c r="AM3270" s="87" t="str">
        <x:v>MATH_Oct_Base_V7</x:v>
      </x:c>
      <x:c r="AN3270" s="87" t="n">
        <x:v>16</x:v>
      </x:c>
    </x:row>
    <x:row r="3271">
      <x:c r="A3271" s="87" t="n">
        <x:v>3270</x:v>
      </x:c>
      <x:c r="B3271" s="87" t="str">
        <x:v>OCT-MATH-0107-16</x:v>
      </x:c>
      <x:c r="C3271" s="87" t="str">
        <x:v>СтатГрад</x:v>
      </x:c>
      <x:c r="D3271" s="87" t="str">
        <x:v>Октябрь 2025</x:v>
      </x:c>
      <x:c r="E3271" s="87"/>
      <x:c r="F3271" s="87"/>
      <x:c r="G3271" s="87" t="str">
        <x:v>Математика</x:v>
      </x:c>
      <x:c r="H3271" s="87" t="n">
        <x:v>11</x:v>
      </x:c>
      <x:c r="I3271" s="87" t="str">
        <x:v>ТР №1</x:v>
      </x:c>
      <x:c r="J3271" s="87" t="str">
        <x:v>МА2510107</x:v>
      </x:c>
      <x:c r="K3271" s="87" t="n">
        <x:v>16</x:v>
      </x:c>
      <x:c r="L3271" s="87" t="str">
        <x:v>Проценты / финансы</x:v>
      </x:c>
      <x:c r="M3271" s="30" t="str">
        <x:v>Найдите значение выражения              .
                                           2</x:v>
      </x:c>
      <x:c r="N3271" s="30" t="str">
        <x:v>4</x:v>
      </x:c>
      <x:c r="O3271" s="30" t="str">
        <x:v>Ответ принят по официальной таблице СтатГрад.</x:v>
      </x:c>
      <x:c r="P3271" s="30" t="str">
        <x:v>Код варианта, номер и условие постранично сопоставлены с первичным PDF; формат ответа проверен.</x:v>
      </x:c>
      <x:c r="Q3271" s="30"/>
      <x:c r="R3271" s="30" t="str">
        <x:v>Официальный фото-ключ базового уровня.</x:v>
      </x:c>
      <x:c r="S3271" s="30"/>
      <x:c r="T3271" s="30"/>
      <x:c r="U3271" s="30" t="str">
        <x:v>Расхождений не обнаружено.</x:v>
      </x:c>
      <x:c r="V3271" s="87" t="str">
        <x:v>VERIFIED</x:v>
      </x:c>
      <x:c r="W3271" s="87" t="n">
        <x:v>23</x:v>
      </x:c>
      <x:c r="X3271" s="87"/>
      <x:c r="Y3271" s="87"/>
      <x:c r="Z3271" s="87"/>
      <x:c r="AA3271" s="87"/>
      <x:c r="AB3271" s="87"/>
      <x:c r="AC3271" s="87"/>
      <x:c r="AD3271" s="87"/>
      <x:c r="AE3271" s="87"/>
      <x:c r="AF3271" s="87"/>
      <x:c r="AG3271" s="87"/>
      <x:c r="AH3271" s="87"/>
      <x:c r="AI3271" s="30"/>
      <x:c r="AJ3271" s="87" t="str">
        <x:v>master</x:v>
      </x:c>
      <x:c r="AK3271" s="87" t="str">
        <x:v>master-v0.81</x:v>
      </x:c>
      <x:c r="AL3271" s="87" t="str">
        <x:v>statgrad_master_base_v0_81_final(2).xlsx</x:v>
      </x:c>
      <x:c r="AM3271" s="87" t="str">
        <x:v>MATH_Oct_Base_V7</x:v>
      </x:c>
      <x:c r="AN3271" s="87" t="n">
        <x:v>17</x:v>
      </x:c>
    </x:row>
    <x:row r="3272">
      <x:c r="A3272" s="87" t="n">
        <x:v>3271</x:v>
      </x:c>
      <x:c r="B3272" s="87" t="str">
        <x:v>OCT-MATH-0107-17</x:v>
      </x:c>
      <x:c r="C3272" s="87" t="str">
        <x:v>СтатГрад</x:v>
      </x:c>
      <x:c r="D3272" s="87" t="str">
        <x:v>Октябрь 2025</x:v>
      </x:c>
      <x:c r="E3272" s="87"/>
      <x:c r="F3272" s="87"/>
      <x:c r="G3272" s="87" t="str">
        <x:v>Математика</x:v>
      </x:c>
      <x:c r="H3272" s="87" t="n">
        <x:v>11</x:v>
      </x:c>
      <x:c r="I3272" s="87" t="str">
        <x:v>ТР №1</x:v>
      </x:c>
      <x:c r="J3272" s="87" t="str">
        <x:v>МА2510107</x:v>
      </x:c>
      <x:c r="K3272" s="87" t="n">
        <x:v>17</x:v>
      </x:c>
      <x:c r="L3272" s="87" t="str">
        <x:v>Логика / комбинаторика</x:v>
      </x:c>
      <x:c r="M3272" s="30" t="str">
        <x:v>Найдите корень уравнения log 2 ( 3 x − 6 ) − log 2 3 =
                                                          log 2 3 .
                                    согласия СтатГрад запрещена</x:v>
      </x:c>
      <x:c r="N3272" s="30" t="str">
        <x:v>5</x:v>
      </x:c>
      <x:c r="O3272" s="30" t="str">
        <x:v>Ответ принят по официальной таблице СтатГрад.</x:v>
      </x:c>
      <x:c r="P3272" s="30" t="str">
        <x:v>Код варианта, номер и условие постранично сопоставлены с первичным PDF; формат ответа проверен.</x:v>
      </x:c>
      <x:c r="Q3272" s="30"/>
      <x:c r="R3272" s="30" t="str">
        <x:v>Официальный фото-ключ базового уровня.</x:v>
      </x:c>
      <x:c r="S3272" s="30"/>
      <x:c r="T3272" s="30"/>
      <x:c r="U3272" s="30" t="str">
        <x:v>Расхождений не обнаружено.</x:v>
      </x:c>
      <x:c r="V3272" s="87" t="str">
        <x:v>VERIFIED</x:v>
      </x:c>
      <x:c r="W3272" s="87" t="n">
        <x:v>23</x:v>
      </x:c>
      <x:c r="X3272" s="87"/>
      <x:c r="Y3272" s="87"/>
      <x:c r="Z3272" s="87"/>
      <x:c r="AA3272" s="87"/>
      <x:c r="AB3272" s="87"/>
      <x:c r="AC3272" s="87"/>
      <x:c r="AD3272" s="87"/>
      <x:c r="AE3272" s="87"/>
      <x:c r="AF3272" s="87"/>
      <x:c r="AG3272" s="87"/>
      <x:c r="AH3272" s="87"/>
      <x:c r="AI3272" s="30"/>
      <x:c r="AJ3272" s="87" t="str">
        <x:v>master</x:v>
      </x:c>
      <x:c r="AK3272" s="87" t="str">
        <x:v>master-v0.81</x:v>
      </x:c>
      <x:c r="AL3272" s="87" t="str">
        <x:v>statgrad_master_base_v0_81_final(2).xlsx</x:v>
      </x:c>
      <x:c r="AM3272" s="87" t="str">
        <x:v>MATH_Oct_Base_V7</x:v>
      </x:c>
      <x:c r="AN3272" s="87" t="n">
        <x:v>18</x:v>
      </x:c>
    </x:row>
    <x:row r="3273">
      <x:c r="A3273" s="87" t="n">
        <x:v>3272</x:v>
      </x:c>
      <x:c r="B3273" s="87" t="str">
        <x:v>OCT-MATH-0107-18</x:v>
      </x:c>
      <x:c r="C3273" s="87" t="str">
        <x:v>СтатГрад</x:v>
      </x:c>
      <x:c r="D3273" s="87" t="str">
        <x:v>Октябрь 2025</x:v>
      </x:c>
      <x:c r="E3273" s="87"/>
      <x:c r="F3273" s="87"/>
      <x:c r="G3273" s="87" t="str">
        <x:v>Математика</x:v>
      </x:c>
      <x:c r="H3273" s="87" t="n">
        <x:v>11</x:v>
      </x:c>
      <x:c r="I3273" s="87" t="str">
        <x:v>ТР №1</x:v>
      </x:c>
      <x:c r="J3273" s="87" t="str">
        <x:v>МА2510107</x:v>
      </x:c>
      <x:c r="K3273" s="87" t="n">
        <x:v>18</x:v>
      </x:c>
      <x:c r="L3273" s="87" t="str">
        <x:v>Числовая задача</x:v>
      </x:c>
      <x:c r="M3273" s="30" t="str">
        <x:v>Каждому из четырёх неравенств в левом столбце соответствует одно
     из решений в правом столбце. Установите соответствие между
     неравенствами и их решениями.
                     НЕРАВЕНСТВА                                       РЕШЕНИЯ
                             1                                          1) x ≤ − 1
                      А) 3 ≥
                          x
                             3                                          2) x ≥ 1
                                x                                       3) x ≤ 1
                          1 1
                       Б)   ≥                                         4) x ≥ − 1
                          3 3
                                x
                          1 1
                       В)   ≤
                          3 3
                              1
                       Г) 3 ≤
                           x
                              3
     Впишите в приведённую в ответе                     таблицу     под    каждой      буквой
     соответствующий решению номер.
                А Б В Г
     Ответ:</x:v>
      </x:c>
      <x:c r="N3273" s="30" t="str">
        <x:v>4321</x:v>
      </x:c>
      <x:c r="O3273" s="30" t="str">
        <x:v>Ответ принят по официальной таблице СтатГрад.</x:v>
      </x:c>
      <x:c r="P3273" s="30" t="str">
        <x:v>Код варианта, номер и условие постранично сопоставлены с первичным PDF; формат ответа проверен.</x:v>
      </x:c>
      <x:c r="Q3273" s="30"/>
      <x:c r="R3273" s="30" t="str">
        <x:v>Официальный фото-ключ базового уровня.</x:v>
      </x:c>
      <x:c r="S3273" s="30"/>
      <x:c r="T3273" s="30"/>
      <x:c r="U3273" s="30" t="str">
        <x:v>Расхождений не обнаружено.</x:v>
      </x:c>
      <x:c r="V3273" s="87" t="str">
        <x:v>VERIFIED</x:v>
      </x:c>
      <x:c r="W3273" s="87" t="n">
        <x:v>24</x:v>
      </x:c>
      <x:c r="X3273" s="87"/>
      <x:c r="Y3273" s="87"/>
      <x:c r="Z3273" s="87"/>
      <x:c r="AA3273" s="87"/>
      <x:c r="AB3273" s="87"/>
      <x:c r="AC3273" s="87"/>
      <x:c r="AD3273" s="87"/>
      <x:c r="AE3273" s="87"/>
      <x:c r="AF3273" s="87"/>
      <x:c r="AG3273" s="87"/>
      <x:c r="AH3273" s="87"/>
      <x:c r="AI3273" s="30"/>
      <x:c r="AJ3273" s="87" t="str">
        <x:v>master</x:v>
      </x:c>
      <x:c r="AK3273" s="87" t="str">
        <x:v>master-v0.81</x:v>
      </x:c>
      <x:c r="AL3273" s="87" t="str">
        <x:v>statgrad_master_base_v0_81_final(2).xlsx</x:v>
      </x:c>
      <x:c r="AM3273" s="87" t="str">
        <x:v>MATH_Oct_Base_V7</x:v>
      </x:c>
      <x:c r="AN3273" s="87" t="n">
        <x:v>19</x:v>
      </x:c>
    </x:row>
    <x:row r="3274">
      <x:c r="A3274" s="87" t="n">
        <x:v>3273</x:v>
      </x:c>
      <x:c r="B3274" s="87" t="str">
        <x:v>OCT-MATH-0107-19</x:v>
      </x:c>
      <x:c r="C3274" s="87" t="str">
        <x:v>СтатГрад</x:v>
      </x:c>
      <x:c r="D3274" s="87" t="str">
        <x:v>Октябрь 2025</x:v>
      </x:c>
      <x:c r="E3274" s="87"/>
      <x:c r="F3274" s="87"/>
      <x:c r="G3274" s="87" t="str">
        <x:v>Математика</x:v>
      </x:c>
      <x:c r="H3274" s="87" t="n">
        <x:v>11</x:v>
      </x:c>
      <x:c r="I3274" s="87" t="str">
        <x:v>ТР №1</x:v>
      </x:c>
      <x:c r="J3274" s="87" t="str">
        <x:v>МА2510107</x:v>
      </x:c>
      <x:c r="K3274" s="87" t="n">
        <x:v>19</x:v>
      </x:c>
      <x:c r="L3274" s="87" t="str">
        <x:v>Теория чисел</x:v>
      </x:c>
      <x:c r="M3274" s="30" t="str">
        <x:v>Вычеркните в числе 87451257 три цифры так, чтобы получившееся число
     делилось на 15. В ответе укажите какое-нибудь одно получившееся число.</x:v>
      </x:c>
      <x:c r="N3274" s="30" t="str">
        <x:v>87525</x:v>
      </x:c>
      <x:c r="O3274" s="30" t="str">
        <x:v>Ответ принят по официальной таблице СтатГрад.</x:v>
      </x:c>
      <x:c r="P3274" s="30" t="str">
        <x:v>Код варианта, номер и условие постранично сопоставлены с первичным PDF; формат ответа проверен.</x:v>
      </x:c>
      <x:c r="Q3274" s="30"/>
      <x:c r="R3274" s="30" t="str">
        <x:v>Официальный фото-ключ базового уровня.</x:v>
      </x:c>
      <x:c r="S3274" s="30"/>
      <x:c r="T3274" s="30"/>
      <x:c r="U3274" s="30" t="str">
        <x:v>Расхождений не обнаружено.</x:v>
      </x:c>
      <x:c r="V3274" s="87" t="str">
        <x:v>VERIFIED</x:v>
      </x:c>
      <x:c r="W3274" s="87" t="n">
        <x:v>24</x:v>
      </x:c>
      <x:c r="X3274" s="87"/>
      <x:c r="Y3274" s="87"/>
      <x:c r="Z3274" s="87"/>
      <x:c r="AA3274" s="87"/>
      <x:c r="AB3274" s="87"/>
      <x:c r="AC3274" s="87"/>
      <x:c r="AD3274" s="87"/>
      <x:c r="AE3274" s="87"/>
      <x:c r="AF3274" s="87"/>
      <x:c r="AG3274" s="87"/>
      <x:c r="AH3274" s="87"/>
      <x:c r="AI3274" s="30"/>
      <x:c r="AJ3274" s="87" t="str">
        <x:v>master</x:v>
      </x:c>
      <x:c r="AK3274" s="87" t="str">
        <x:v>master-v0.81</x:v>
      </x:c>
      <x:c r="AL3274" s="87" t="str">
        <x:v>statgrad_master_base_v0_81_final(2).xlsx</x:v>
      </x:c>
      <x:c r="AM3274" s="87" t="str">
        <x:v>MATH_Oct_Base_V7</x:v>
      </x:c>
      <x:c r="AN3274" s="87" t="n">
        <x:v>20</x:v>
      </x:c>
    </x:row>
    <x:row r="3275">
      <x:c r="A3275" s="87" t="n">
        <x:v>3274</x:v>
      </x:c>
      <x:c r="B3275" s="87" t="str">
        <x:v>OCT-MATH-0107-20</x:v>
      </x:c>
      <x:c r="C3275" s="87" t="str">
        <x:v>СтатГрад</x:v>
      </x:c>
      <x:c r="D3275" s="87" t="str">
        <x:v>Октябрь 2025</x:v>
      </x:c>
      <x:c r="E3275" s="87"/>
      <x:c r="F3275" s="87"/>
      <x:c r="G3275" s="87" t="str">
        <x:v>Математика</x:v>
      </x:c>
      <x:c r="H3275" s="87" t="n">
        <x:v>11</x:v>
      </x:c>
      <x:c r="I3275" s="87" t="str">
        <x:v>ТР №1</x:v>
      </x:c>
      <x:c r="J3275" s="87" t="str">
        <x:v>МА2510107</x:v>
      </x:c>
      <x:c r="K3275" s="87" t="n">
        <x:v>20</x:v>
      </x:c>
      <x:c r="L3275" s="87" t="str">
        <x:v>Практическая задача</x:v>
      </x:c>
      <x:c r="M3275" s="30" t="str">
        <x:v>Поля и Оля пропалывают грядку за 18 минут, а одна Оля — за 30 минут.
     За сколько минут пропалывает грядку одна Поля?</x:v>
      </x:c>
      <x:c r="N3275" s="30" t="str">
        <x:v>45</x:v>
      </x:c>
      <x:c r="O3275" s="30" t="str">
        <x:v>Ответ принят по официальной таблице СтатГрад.</x:v>
      </x:c>
      <x:c r="P3275" s="30" t="str">
        <x:v>Код варианта, номер и условие постранично сопоставлены с первичным PDF; формат ответа проверен.</x:v>
      </x:c>
      <x:c r="Q3275" s="30"/>
      <x:c r="R3275" s="30" t="str">
        <x:v>Официальный фото-ключ базового уровня.</x:v>
      </x:c>
      <x:c r="S3275" s="30"/>
      <x:c r="T3275" s="30"/>
      <x:c r="U3275" s="30" t="str">
        <x:v>Расхождений не обнаружено.</x:v>
      </x:c>
      <x:c r="V3275" s="87" t="str">
        <x:v>VERIFIED</x:v>
      </x:c>
      <x:c r="W3275" s="87" t="n">
        <x:v>24</x:v>
      </x:c>
      <x:c r="X3275" s="87"/>
      <x:c r="Y3275" s="87"/>
      <x:c r="Z3275" s="87"/>
      <x:c r="AA3275" s="87"/>
      <x:c r="AB3275" s="87"/>
      <x:c r="AC3275" s="87"/>
      <x:c r="AD3275" s="87"/>
      <x:c r="AE3275" s="87"/>
      <x:c r="AF3275" s="87"/>
      <x:c r="AG3275" s="87"/>
      <x:c r="AH3275" s="87"/>
      <x:c r="AI3275" s="30"/>
      <x:c r="AJ3275" s="87" t="str">
        <x:v>master</x:v>
      </x:c>
      <x:c r="AK3275" s="87" t="str">
        <x:v>master-v0.81</x:v>
      </x:c>
      <x:c r="AL3275" s="87" t="str">
        <x:v>statgrad_master_base_v0_81_final(2).xlsx</x:v>
      </x:c>
      <x:c r="AM3275" s="87" t="str">
        <x:v>MATH_Oct_Base_V7</x:v>
      </x:c>
      <x:c r="AN3275" s="87" t="n">
        <x:v>21</x:v>
      </x:c>
    </x:row>
    <x:row r="3276">
      <x:c r="A3276" s="87" t="n">
        <x:v>3275</x:v>
      </x:c>
      <x:c r="B3276" s="87" t="str">
        <x:v>OCT-MATH-0107-21</x:v>
      </x:c>
      <x:c r="C3276" s="87" t="str">
        <x:v>СтатГрад</x:v>
      </x:c>
      <x:c r="D3276" s="87" t="str">
        <x:v>Октябрь 2025</x:v>
      </x:c>
      <x:c r="E3276" s="87"/>
      <x:c r="F3276" s="87"/>
      <x:c r="G3276" s="87" t="str">
        <x:v>Математика</x:v>
      </x:c>
      <x:c r="H3276" s="87" t="n">
        <x:v>11</x:v>
      </x:c>
      <x:c r="I3276" s="87" t="str">
        <x:v>ТР №1</x:v>
      </x:c>
      <x:c r="J3276" s="87" t="str">
        <x:v>МА2510107</x:v>
      </x:c>
      <x:c r="K3276" s="87" t="n">
        <x:v>21</x:v>
      </x:c>
      <x:c r="L3276" s="87" t="str">
        <x:v>Оптимизация / вычисление</x:v>
      </x:c>
      <x:c r="M3276" s="30" t="str">
        <x:v>Хозяин договорился с рабочими, что они выкопают ему колодец на следующих
     условиях: за первый метр он заплатит им 7000 рублей, а за каждый следующий
     метр — на 1900 рублей больше, чем за предыдущий. Сколько рублей хозяин
     должен будет заплатить рабочим, если они выкопают колодец глубиной
     7 метров?
                                    согласия СтатГрад запрещена</x:v>
      </x:c>
      <x:c r="N3276" s="30" t="str">
        <x:v>88900</x:v>
      </x:c>
      <x:c r="O3276" s="30" t="str">
        <x:v>Ответ принят по официальной таблице СтатГрад.</x:v>
      </x:c>
      <x:c r="P3276" s="30" t="str">
        <x:v>Код варианта, номер и условие постранично сопоставлены с первичным PDF; формат ответа проверен.</x:v>
      </x:c>
      <x:c r="Q3276" s="30"/>
      <x:c r="R3276" s="30" t="str">
        <x:v>Официальный фото-ключ базового уровня.</x:v>
      </x:c>
      <x:c r="S3276" s="30"/>
      <x:c r="T3276" s="30"/>
      <x:c r="U3276" s="30" t="str">
        <x:v>Расхождений не обнаружено.</x:v>
      </x:c>
      <x:c r="V3276" s="87" t="str">
        <x:v>VERIFIED</x:v>
      </x:c>
      <x:c r="W3276" s="87" t="n">
        <x:v>24</x:v>
      </x:c>
      <x:c r="X3276" s="87"/>
      <x:c r="Y3276" s="87"/>
      <x:c r="Z3276" s="87"/>
      <x:c r="AA3276" s="87"/>
      <x:c r="AB3276" s="87"/>
      <x:c r="AC3276" s="87"/>
      <x:c r="AD3276" s="87"/>
      <x:c r="AE3276" s="87"/>
      <x:c r="AF3276" s="87"/>
      <x:c r="AG3276" s="87"/>
      <x:c r="AH3276" s="87"/>
      <x:c r="AI3276" s="30"/>
      <x:c r="AJ3276" s="87" t="str">
        <x:v>master</x:v>
      </x:c>
      <x:c r="AK3276" s="87" t="str">
        <x:v>master-v0.81</x:v>
      </x:c>
      <x:c r="AL3276" s="87" t="str">
        <x:v>statgrad_master_base_v0_81_final(2).xlsx</x:v>
      </x:c>
      <x:c r="AM3276" s="87" t="str">
        <x:v>MATH_Oct_Base_V7</x:v>
      </x:c>
      <x:c r="AN3276" s="87" t="n">
        <x:v>22</x:v>
      </x:c>
    </x:row>
    <x:row r="3277">
      <x:c r="A3277" s="87" t="n">
        <x:v>3276</x:v>
      </x:c>
      <x:c r="B3277" s="87" t="str">
        <x:v>OCT-MATH-0108-01</x:v>
      </x:c>
      <x:c r="C3277" s="87" t="str">
        <x:v>СтатГрад</x:v>
      </x:c>
      <x:c r="D3277" s="87" t="str">
        <x:v>Октябрь 2025</x:v>
      </x:c>
      <x:c r="E3277" s="87"/>
      <x:c r="F3277" s="87"/>
      <x:c r="G3277" s="87" t="str">
        <x:v>Математика</x:v>
      </x:c>
      <x:c r="H3277" s="87" t="n">
        <x:v>11</x:v>
      </x:c>
      <x:c r="I3277" s="87" t="str">
        <x:v>ТР №1</x:v>
      </x:c>
      <x:c r="J3277" s="87" t="str">
        <x:v>МА2510108</x:v>
      </x:c>
      <x:c r="K3277" s="87" t="n">
        <x:v>1</x:v>
      </x:c>
      <x:c r="L3277" s="87" t="str">
        <x:v>Практическая арифметика</x:v>
      </x:c>
      <x:c r="M3277" s="30" t="str">
        <x:v>На день рождения полагается дарить букет из нечётного числа цветов.
    Хризантемы стоят 65 рублей за штуку. У Вани есть 560 рублей. Из какого
    наибольшего числа хризантем он может купить букет Маше на день
    рождения?</x:v>
      </x:c>
      <x:c r="N3277" s="30" t="str">
        <x:v>7</x:v>
      </x:c>
      <x:c r="O3277" s="30" t="str">
        <x:v>Ответ принят по официальной таблице СтатГрад.</x:v>
      </x:c>
      <x:c r="P3277" s="30" t="str">
        <x:v>Код варианта, номер и условие постранично сопоставлены с первичным PDF; формат ответа проверен.</x:v>
      </x:c>
      <x:c r="Q3277" s="30"/>
      <x:c r="R3277" s="30" t="str">
        <x:v>Официальный фото-ключ базового уровня.</x:v>
      </x:c>
      <x:c r="S3277" s="30"/>
      <x:c r="T3277" s="30"/>
      <x:c r="U3277" s="30" t="str">
        <x:v>Расхождений не обнаружено.</x:v>
      </x:c>
      <x:c r="V3277" s="87" t="str">
        <x:v>VERIFIED</x:v>
      </x:c>
      <x:c r="W3277" s="87" t="n">
        <x:v>26</x:v>
      </x:c>
      <x:c r="X3277" s="87"/>
      <x:c r="Y3277" s="87"/>
      <x:c r="Z3277" s="87"/>
      <x:c r="AA3277" s="87"/>
      <x:c r="AB3277" s="87"/>
      <x:c r="AC3277" s="87"/>
      <x:c r="AD3277" s="87"/>
      <x:c r="AE3277" s="87"/>
      <x:c r="AF3277" s="87"/>
      <x:c r="AG3277" s="87"/>
      <x:c r="AH3277" s="87"/>
      <x:c r="AI3277" s="30"/>
      <x:c r="AJ3277" s="87" t="str">
        <x:v>master</x:v>
      </x:c>
      <x:c r="AK3277" s="87" t="str">
        <x:v>master-v0.81</x:v>
      </x:c>
      <x:c r="AL3277" s="87" t="str">
        <x:v>statgrad_master_base_v0_81_final(2).xlsx</x:v>
      </x:c>
      <x:c r="AM3277" s="87" t="str">
        <x:v>MATH_Oct_Base_V8</x:v>
      </x:c>
      <x:c r="AN3277" s="87" t="n">
        <x:v>2</x:v>
      </x:c>
    </x:row>
    <x:row r="3278">
      <x:c r="A3278" s="87" t="n">
        <x:v>3277</x:v>
      </x:c>
      <x:c r="B3278" s="87" t="str">
        <x:v>OCT-MATH-0108-02</x:v>
      </x:c>
      <x:c r="C3278" s="87" t="str">
        <x:v>СтатГрад</x:v>
      </x:c>
      <x:c r="D3278" s="87" t="str">
        <x:v>Октябрь 2025</x:v>
      </x:c>
      <x:c r="E3278" s="87"/>
      <x:c r="F3278" s="87"/>
      <x:c r="G3278" s="87" t="str">
        <x:v>Математика</x:v>
      </x:c>
      <x:c r="H3278" s="87" t="n">
        <x:v>11</x:v>
      </x:c>
      <x:c r="I3278" s="87" t="str">
        <x:v>ТР №1</x:v>
      </x:c>
      <x:c r="J3278" s="87" t="str">
        <x:v>МА2510108</x:v>
      </x:c>
      <x:c r="K3278" s="87" t="n">
        <x:v>2</x:v>
      </x:c>
      <x:c r="L3278" s="87" t="str">
        <x:v>Соответствие величин</x:v>
      </x:c>
      <x:c r="M3278"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объём детской комнаты                              1) 12,8 км 3
    Б) объём пакета сметаны                               2) 0,5 л
    В) объём коробки из-под стиральной                    3) 36 м 3
       машины
                                                          4) 300 л
    Г) объём воды в озере Таймыр
    В таблице под каждой буквой, соответствующей величине, укажите номер её
    возможного значения.
               А Б В Г
    Ответ:
                                   согласия СтатГрад запрещена</x:v>
      </x:c>
      <x:c r="N3278" s="30" t="str">
        <x:v>3241</x:v>
      </x:c>
      <x:c r="O3278" s="30" t="str">
        <x:v>Ответ принят по официальной таблице СтатГрад.</x:v>
      </x:c>
      <x:c r="P3278" s="30" t="str">
        <x:v>Код варианта, номер и условие постранично сопоставлены с первичным PDF; формат ответа проверен.</x:v>
      </x:c>
      <x:c r="Q3278" s="30"/>
      <x:c r="R3278" s="30" t="str">
        <x:v>Официальный фото-ключ базового уровня.</x:v>
      </x:c>
      <x:c r="S3278" s="30"/>
      <x:c r="T3278" s="30"/>
      <x:c r="U3278" s="30" t="str">
        <x:v>Расхождений не обнаружено.</x:v>
      </x:c>
      <x:c r="V3278" s="87" t="str">
        <x:v>VERIFIED</x:v>
      </x:c>
      <x:c r="W3278" s="87" t="n">
        <x:v>26</x:v>
      </x:c>
      <x:c r="X3278" s="87"/>
      <x:c r="Y3278" s="87"/>
      <x:c r="Z3278" s="87"/>
      <x:c r="AA3278" s="87"/>
      <x:c r="AB3278" s="87"/>
      <x:c r="AC3278" s="87"/>
      <x:c r="AD3278" s="87"/>
      <x:c r="AE3278" s="87"/>
      <x:c r="AF3278" s="87"/>
      <x:c r="AG3278" s="87"/>
      <x:c r="AH3278" s="87"/>
      <x:c r="AI3278" s="30"/>
      <x:c r="AJ3278" s="87" t="str">
        <x:v>master</x:v>
      </x:c>
      <x:c r="AK3278" s="87" t="str">
        <x:v>master-v0.81</x:v>
      </x:c>
      <x:c r="AL3278" s="87" t="str">
        <x:v>statgrad_master_base_v0_81_final(2).xlsx</x:v>
      </x:c>
      <x:c r="AM3278" s="87" t="str">
        <x:v>MATH_Oct_Base_V8</x:v>
      </x:c>
      <x:c r="AN3278" s="87" t="n">
        <x:v>3</x:v>
      </x:c>
    </x:row>
    <x:row r="3279">
      <x:c r="A3279" s="87" t="n">
        <x:v>3278</x:v>
      </x:c>
      <x:c r="B3279" s="87" t="str">
        <x:v>OCT-MATH-0108-03</x:v>
      </x:c>
      <x:c r="C3279" s="87" t="str">
        <x:v>СтатГрад</x:v>
      </x:c>
      <x:c r="D3279" s="87" t="str">
        <x:v>Октябрь 2025</x:v>
      </x:c>
      <x:c r="E3279" s="87"/>
      <x:c r="F3279" s="87"/>
      <x:c r="G3279" s="87" t="str">
        <x:v>Математика</x:v>
      </x:c>
      <x:c r="H3279" s="87" t="n">
        <x:v>11</x:v>
      </x:c>
      <x:c r="I3279" s="87" t="str">
        <x:v>ТР №1</x:v>
      </x:c>
      <x:c r="J3279" s="87" t="str">
        <x:v>МА2510108</x:v>
      </x:c>
      <x:c r="K3279" s="87" t="n">
        <x:v>3</x:v>
      </x:c>
      <x:c r="L3279" s="87" t="str">
        <x:v>Диаграмма</x:v>
      </x:c>
      <x:c r="M3279" s="30" t="str">
        <x:v>На диаграмме показана среднемесячная температура воздуха в Минске
    за каждый месяц 2003 года. По горизонтали указываются месяцы,
    по вертикали — температура в градусах Цельсия.
           20
           16
           12
             8
             4
            0 янв фев мар апр май июн июл авг сен окт ноя дек
           –4
           –8
    Определите по диаграмме наибольшую среднемесячную температуру
    в Минске в период с сентября по декабрь 2003 года. Ответ дайте в градусах
    Цельсия.</x:v>
      </x:c>
      <x:c r="N3279" s="30" t="str">
        <x:v>12</x:v>
      </x:c>
      <x:c r="O3279" s="30" t="str">
        <x:v>Ответ принят по официальной таблице СтатГрад.</x:v>
      </x:c>
      <x:c r="P3279" s="30" t="str">
        <x:v>Код варианта, номер и условие постранично сопоставлены с первичным PDF; формат ответа проверен.</x:v>
      </x:c>
      <x:c r="Q3279" s="30"/>
      <x:c r="R3279" s="30" t="str">
        <x:v>Официальный фото-ключ базового уровня.</x:v>
      </x:c>
      <x:c r="S3279" s="30"/>
      <x:c r="T3279" s="30"/>
      <x:c r="U3279" s="30" t="str">
        <x:v>Расхождений не обнаружено.</x:v>
      </x:c>
      <x:c r="V3279" s="87" t="str">
        <x:v>VERIFIED</x:v>
      </x:c>
      <x:c r="W3279" s="87" t="n">
        <x:v>27</x:v>
      </x:c>
      <x:c r="X3279" s="87"/>
      <x:c r="Y3279" s="87"/>
      <x:c r="Z3279" s="87"/>
      <x:c r="AA3279" s="87"/>
      <x:c r="AB3279" s="87"/>
      <x:c r="AC3279" s="87" t="str">
        <x:v>VIS-MATH-OCT-029</x:v>
      </x:c>
      <x:c r="AD3279" s="87"/>
      <x:c r="AE3279" s="87" t="str">
        <x:v>Полная страница с визуальным контекстом</x:v>
      </x:c>
      <x:c r="AF3279" s="87" t="str">
        <x:v>VIS-MATH-OCT-029: 27</x:v>
      </x:c>
      <x:c r="AG3279" s="87" t="str">
        <x:v>RESOLVED / SOURCE_REGENERATED</x:v>
      </x:c>
      <x:c r="AH3279" s="87" t="str">
        <x:v>SOURCE_PAGE_REGENERATED_FULL_PAGE_NO_CROP; TASK_CROP_QA_APPROVED:USE_CONTEXT</x:v>
      </x:c>
      <x:c r="AI3279" s="30"/>
      <x:c r="AJ3279" s="87" t="str">
        <x:v>master</x:v>
      </x:c>
      <x:c r="AK3279" s="87" t="str">
        <x:v>master-v0.81</x:v>
      </x:c>
      <x:c r="AL3279" s="87" t="str">
        <x:v>statgrad_master_base_v0_81_final(2).xlsx</x:v>
      </x:c>
      <x:c r="AM3279" s="87" t="str">
        <x:v>MATH_Oct_Base_V8</x:v>
      </x:c>
      <x:c r="AN3279" s="87" t="n">
        <x:v>4</x:v>
      </x:c>
    </x:row>
    <x:row r="3280">
      <x:c r="A3280" s="87" t="n">
        <x:v>3279</x:v>
      </x:c>
      <x:c r="B3280" s="87" t="str">
        <x:v>OCT-MATH-0108-04</x:v>
      </x:c>
      <x:c r="C3280" s="87" t="str">
        <x:v>СтатГрад</x:v>
      </x:c>
      <x:c r="D3280" s="87" t="str">
        <x:v>Октябрь 2025</x:v>
      </x:c>
      <x:c r="E3280" s="87"/>
      <x:c r="F3280" s="87"/>
      <x:c r="G3280" s="87" t="str">
        <x:v>Математика</x:v>
      </x:c>
      <x:c r="H3280" s="87" t="n">
        <x:v>11</x:v>
      </x:c>
      <x:c r="I3280" s="87" t="str">
        <x:v>ТР №1</x:v>
      </x:c>
      <x:c r="J3280" s="87" t="str">
        <x:v>МА2510108</x:v>
      </x:c>
      <x:c r="K3280" s="87" t="n">
        <x:v>4</x:v>
      </x:c>
      <x:c r="L3280" s="87" t="str">
        <x:v>Вычисление по формуле</x:v>
      </x:c>
      <x:c r="M3280" s="30" t="str">
        <x:v>Радиус вписанной в прямоугольный треугольник окружности вычисляется
                   a+b−c
    по формуле r =        , где a и b — катеты, а c — гипотенуза. Пользуясь
                      2
    этой формулой, найдите r , если a = 69 , b = 260 и c = 269 .
                                   согласия СтатГрад запрещена</x:v>
      </x:c>
      <x:c r="N3280" s="30" t="str">
        <x:v>30</x:v>
      </x:c>
      <x:c r="O3280" s="30" t="str">
        <x:v>Ответ принят по официальной таблице СтатГрад.</x:v>
      </x:c>
      <x:c r="P3280" s="30" t="str">
        <x:v>Код варианта, номер и условие постранично сопоставлены с первичным PDF; формат ответа проверен.</x:v>
      </x:c>
      <x:c r="Q3280" s="30"/>
      <x:c r="R3280" s="30" t="str">
        <x:v>Официальный фото-ключ базового уровня.</x:v>
      </x:c>
      <x:c r="S3280" s="30"/>
      <x:c r="T3280" s="30"/>
      <x:c r="U3280" s="30" t="str">
        <x:v>Расхождений не обнаружено.</x:v>
      </x:c>
      <x:c r="V3280" s="87" t="str">
        <x:v>VERIFIED</x:v>
      </x:c>
      <x:c r="W3280" s="87" t="n">
        <x:v>27</x:v>
      </x:c>
      <x:c r="X3280" s="87"/>
      <x:c r="Y3280" s="87"/>
      <x:c r="Z3280" s="87"/>
      <x:c r="AA3280" s="87"/>
      <x:c r="AB3280" s="87"/>
      <x:c r="AC3280" s="87" t="str">
        <x:v>VIS-MATH-OCT-029</x:v>
      </x:c>
      <x:c r="AD3280" s="87"/>
      <x:c r="AE3280" s="87" t="str">
        <x:v>Полная страница с визуальным контекстом</x:v>
      </x:c>
      <x:c r="AF3280" s="87" t="str">
        <x:v>VIS-MATH-OCT-029: 27</x:v>
      </x:c>
      <x:c r="AG3280" s="87" t="str">
        <x:v>RESOLVED / SOURCE_REGENERATED</x:v>
      </x:c>
      <x:c r="AH3280" s="87" t="str">
        <x:v>SOURCE_PAGE_REGENERATED_FULL_PAGE_NO_CROP</x:v>
      </x:c>
      <x:c r="AI3280" s="30"/>
      <x:c r="AJ3280" s="87" t="str">
        <x:v>master</x:v>
      </x:c>
      <x:c r="AK3280" s="87" t="str">
        <x:v>master-v0.81</x:v>
      </x:c>
      <x:c r="AL3280" s="87" t="str">
        <x:v>statgrad_master_base_v0_81_final(2).xlsx</x:v>
      </x:c>
      <x:c r="AM3280" s="87" t="str">
        <x:v>MATH_Oct_Base_V8</x:v>
      </x:c>
      <x:c r="AN3280" s="87" t="n">
        <x:v>5</x:v>
      </x:c>
    </x:row>
    <x:row r="3281">
      <x:c r="A3281" s="87" t="n">
        <x:v>3280</x:v>
      </x:c>
      <x:c r="B3281" s="87" t="str">
        <x:v>OCT-MATH-0108-05</x:v>
      </x:c>
      <x:c r="C3281" s="87" t="str">
        <x:v>СтатГрад</x:v>
      </x:c>
      <x:c r="D3281" s="87" t="str">
        <x:v>Октябрь 2025</x:v>
      </x:c>
      <x:c r="E3281" s="87"/>
      <x:c r="F3281" s="87"/>
      <x:c r="G3281" s="87" t="str">
        <x:v>Математика</x:v>
      </x:c>
      <x:c r="H3281" s="87" t="n">
        <x:v>11</x:v>
      </x:c>
      <x:c r="I3281" s="87" t="str">
        <x:v>ТР №1</x:v>
      </x:c>
      <x:c r="J3281" s="87" t="str">
        <x:v>МА2510108</x:v>
      </x:c>
      <x:c r="K3281" s="87" t="n">
        <x:v>5</x:v>
      </x:c>
      <x:c r="L3281" s="87" t="str">
        <x:v>Вероятность</x:v>
      </x:c>
      <x:c r="M3281" s="30" t="str">
        <x:v>На экзамене будет 50 билетов, Сеня не выучил 5 из них. Найдите вероятность
    того, что ему попадётся выученный билет.</x:v>
      </x:c>
      <x:c r="N3281" s="30" t="str">
        <x:v>0,9</x:v>
      </x:c>
      <x:c r="O3281" s="30" t="str">
        <x:v>Ответ принят по официальной таблице СтатГрад.</x:v>
      </x:c>
      <x:c r="P3281" s="30" t="str">
        <x:v>Код варианта, номер и условие постранично сопоставлены с первичным PDF; формат ответа проверен.</x:v>
      </x:c>
      <x:c r="Q3281" s="30"/>
      <x:c r="R3281" s="30" t="str">
        <x:v>Официальный фото-ключ базового уровня.</x:v>
      </x:c>
      <x:c r="S3281" s="30"/>
      <x:c r="T3281" s="30"/>
      <x:c r="U3281" s="30" t="str">
        <x:v>Расхождений не обнаружено.</x:v>
      </x:c>
      <x:c r="V3281" s="87" t="str">
        <x:v>VERIFIED</x:v>
      </x:c>
      <x:c r="W3281" s="87" t="n">
        <x:v>28</x:v>
      </x:c>
      <x:c r="X3281" s="87"/>
      <x:c r="Y3281" s="87"/>
      <x:c r="Z3281" s="87"/>
      <x:c r="AA3281" s="87"/>
      <x:c r="AB3281" s="87"/>
      <x:c r="AC3281" s="87"/>
      <x:c r="AD3281" s="87"/>
      <x:c r="AE3281" s="87"/>
      <x:c r="AF3281" s="87"/>
      <x:c r="AG3281" s="87"/>
      <x:c r="AH3281" s="87"/>
      <x:c r="AI3281" s="30"/>
      <x:c r="AJ3281" s="87" t="str">
        <x:v>master</x:v>
      </x:c>
      <x:c r="AK3281" s="87" t="str">
        <x:v>master-v0.81</x:v>
      </x:c>
      <x:c r="AL3281" s="87" t="str">
        <x:v>statgrad_master_base_v0_81_final(2).xlsx</x:v>
      </x:c>
      <x:c r="AM3281" s="87" t="str">
        <x:v>MATH_Oct_Base_V8</x:v>
      </x:c>
      <x:c r="AN3281" s="87" t="n">
        <x:v>6</x:v>
      </x:c>
    </x:row>
    <x:row r="3282">
      <x:c r="A3282" s="87" t="n">
        <x:v>3281</x:v>
      </x:c>
      <x:c r="B3282" s="87" t="str">
        <x:v>OCT-MATH-0108-06</x:v>
      </x:c>
      <x:c r="C3282" s="87" t="str">
        <x:v>СтатГрад</x:v>
      </x:c>
      <x:c r="D3282" s="87" t="str">
        <x:v>Октябрь 2025</x:v>
      </x:c>
      <x:c r="E3282" s="87"/>
      <x:c r="F3282" s="87"/>
      <x:c r="G3282" s="87" t="str">
        <x:v>Математика</x:v>
      </x:c>
      <x:c r="H3282" s="87" t="n">
        <x:v>11</x:v>
      </x:c>
      <x:c r="I3282" s="87" t="str">
        <x:v>ТР №1</x:v>
      </x:c>
      <x:c r="J3282" s="87" t="str">
        <x:v>МА2510108</x:v>
      </x:c>
      <x:c r="K3282" s="87" t="n">
        <x:v>6</x:v>
      </x:c>
      <x:c r="L3282" s="87" t="str">
        <x:v>Тариф / таблица</x:v>
      </x:c>
      <x:c r="M3282" s="30" t="str">
        <x:v>Телефонная компания предоставляет на выбор три тарифных плана.
                      Абонентская плата
      Тарифный план                        Плата за 1 минуту разговора
                           (в месяц)
    «Повременный»             Нет                    0,5 руб.
    «Комбинированный» 200 руб. за 400 мин.           0,4 руб.
                                            (сверх 400 мин. в месяц)
    «Безлимитный»       345 руб. в месяц               Нет
    Абонент предполагает, что общая длительность разговоров составит
    600 минут в месяц, и исходя из этого выбирает наиболее дешёвый тарифный
    план. Сколько рублей должен будет заплатить абонент за месяц, если общая
    длительность разговоров действительно будет равна 600 минутам?
                                   согласия СтатГрад запрещена</x:v>
      </x:c>
      <x:c r="N3282" s="30" t="str">
        <x:v>280</x:v>
      </x:c>
      <x:c r="O3282" s="30" t="str">
        <x:v>Ответ принят по официальной таблице СтатГрад.</x:v>
      </x:c>
      <x:c r="P3282" s="30" t="str">
        <x:v>Код варианта, номер и условие постранично сопоставлены с первичным PDF; формат ответа проверен.</x:v>
      </x:c>
      <x:c r="Q3282" s="30"/>
      <x:c r="R3282" s="30" t="str">
        <x:v>Официальный фото-ключ базового уровня.</x:v>
      </x:c>
      <x:c r="S3282" s="30"/>
      <x:c r="T3282" s="30"/>
      <x:c r="U3282" s="30" t="str">
        <x:v>Расхождений не обнаружено.</x:v>
      </x:c>
      <x:c r="V3282" s="87" t="str">
        <x:v>VERIFIED</x:v>
      </x:c>
      <x:c r="W3282" s="87" t="n">
        <x:v>28</x:v>
      </x:c>
      <x:c r="X3282" s="87"/>
      <x:c r="Y3282" s="87"/>
      <x:c r="Z3282" s="87"/>
      <x:c r="AA3282" s="87"/>
      <x:c r="AB3282" s="87"/>
      <x:c r="AC3282" s="87" t="str">
        <x:v>VIS-MATH-OCT-030</x:v>
      </x:c>
      <x:c r="AD3282" s="87"/>
      <x:c r="AE3282" s="87" t="str">
        <x:v>Полная страница с визуальным контекстом</x:v>
      </x:c>
      <x:c r="AF3282" s="87" t="str">
        <x:v>VIS-MATH-OCT-030: 28</x:v>
      </x:c>
      <x:c r="AG3282" s="87" t="str">
        <x:v>RESOLVED / SOURCE_REGENERATED</x:v>
      </x:c>
      <x:c r="AH3282" s="87" t="str">
        <x:v>SOURCE_PAGE_REGENERATED_FULL_PAGE_NO_CROP</x:v>
      </x:c>
      <x:c r="AI3282" s="30"/>
      <x:c r="AJ3282" s="87" t="str">
        <x:v>master</x:v>
      </x:c>
      <x:c r="AK3282" s="87" t="str">
        <x:v>master-v0.81</x:v>
      </x:c>
      <x:c r="AL3282" s="87" t="str">
        <x:v>statgrad_master_base_v0_81_final(2).xlsx</x:v>
      </x:c>
      <x:c r="AM3282" s="87" t="str">
        <x:v>MATH_Oct_Base_V8</x:v>
      </x:c>
      <x:c r="AN3282" s="87" t="n">
        <x:v>7</x:v>
      </x:c>
    </x:row>
    <x:row r="3283">
      <x:c r="A3283" s="87" t="n">
        <x:v>3282</x:v>
      </x:c>
      <x:c r="B3283" s="87" t="str">
        <x:v>OCT-MATH-0108-07</x:v>
      </x:c>
      <x:c r="C3283" s="87" t="str">
        <x:v>СтатГрад</x:v>
      </x:c>
      <x:c r="D3283" s="87" t="str">
        <x:v>Октябрь 2025</x:v>
      </x:c>
      <x:c r="E3283" s="87"/>
      <x:c r="F3283" s="87"/>
      <x:c r="G3283" s="87" t="str">
        <x:v>Математика</x:v>
      </x:c>
      <x:c r="H3283" s="87" t="n">
        <x:v>11</x:v>
      </x:c>
      <x:c r="I3283" s="87" t="str">
        <x:v>ТР №1</x:v>
      </x:c>
      <x:c r="J3283" s="87" t="str">
        <x:v>МА2510108</x:v>
      </x:c>
      <x:c r="K3283" s="87" t="n">
        <x:v>7</x:v>
      </x:c>
      <x:c r="L3283" s="87" t="str">
        <x:v>График</x:v>
      </x:c>
      <x:c r="M3283" s="30" t="str">
        <x:v>На рисунке точками показаны ежемесячные объёмы продаж холодильников
    в магазине бытовой техники. По горизонтали указываются месяцы,
    по вертикали — количество проданных холодильников. Для наглядности
    точки соединены ломаной линией.
              700
              600
              500
              400
              300
              200
              100
                0
                 янв фев мар апр май июн июл авг сен окт ноя дек
    Пользуясь рисунком, поставьте в соответствие каждому из указанных
    периодов времени характеристику продаж холодильников.
       ПЕРИОДЫ ВРЕМЕНИ                             ХАРАКТЕРИСТИКИ
    А) январь – март                    1) В первый и второй месяц периода было
    Б) апрель – июнь                       продано одинаковое количество
    В) июль – сентябрь                     холодильников.
    Г) октябрь – декабрь                2) Ежемесячный объём продаж
                                           уменьшился более чем на 200
                                           холодильников за весь период.
                                        3) Ежемесячный объём продаж
                                           уменьшался медленнее всего.
                                        4) Ежемесячный объём продаж вырос
                                           на 200 холодильников за один месяц.
    В таблице под каждой буквой укажите соответствующий номер.
               А Б В Г
    Ответ:
                                   согласия СтатГрад запрещена</x:v>
      </x:c>
      <x:c r="N3283" s="30" t="str">
        <x:v>1432</x:v>
      </x:c>
      <x:c r="O3283" s="30" t="str">
        <x:v>Ответ принят по официальной таблице СтатГрад.</x:v>
      </x:c>
      <x:c r="P3283" s="30" t="str">
        <x:v>Код варианта, номер и условие постранично сопоставлены с первичным PDF; формат ответа проверен.</x:v>
      </x:c>
      <x:c r="Q3283" s="30"/>
      <x:c r="R3283" s="30" t="str">
        <x:v>Официальный фото-ключ базового уровня.</x:v>
      </x:c>
      <x:c r="S3283" s="30"/>
      <x:c r="T3283" s="30"/>
      <x:c r="U3283" s="30" t="str">
        <x:v>Расхождений не обнаружено.</x:v>
      </x:c>
      <x:c r="V3283" s="87" t="str">
        <x:v>VERIFIED</x:v>
      </x:c>
      <x:c r="W3283" s="87" t="n">
        <x:v>29</x:v>
      </x:c>
      <x:c r="X3283" s="87"/>
      <x:c r="Y3283" s="87"/>
      <x:c r="Z3283" s="87"/>
      <x:c r="AA3283" s="87"/>
      <x:c r="AB3283" s="87"/>
      <x:c r="AC3283" s="87" t="str">
        <x:v>VIS-MATH-OCT-031</x:v>
      </x:c>
      <x:c r="AD3283" s="87"/>
      <x:c r="AE3283" s="87" t="str">
        <x:v>Полная страница с визуальным контекстом</x:v>
      </x:c>
      <x:c r="AF3283" s="87" t="str">
        <x:v>VIS-MATH-OCT-031: 29</x:v>
      </x:c>
      <x:c r="AG3283" s="87" t="str">
        <x:v>RESOLVED / SOURCE_REGENERATED</x:v>
      </x:c>
      <x:c r="AH3283" s="87" t="str">
        <x:v>SOURCE_PAGE_REGENERATED_FULL_PAGE_NO_CROP; TASK_CROP_QA_APPROVED:USE_CONTEXT</x:v>
      </x:c>
      <x:c r="AI3283" s="30"/>
      <x:c r="AJ3283" s="87" t="str">
        <x:v>master</x:v>
      </x:c>
      <x:c r="AK3283" s="87" t="str">
        <x:v>master-v0.81</x:v>
      </x:c>
      <x:c r="AL3283" s="87" t="str">
        <x:v>statgrad_master_base_v0_81_final(2).xlsx</x:v>
      </x:c>
      <x:c r="AM3283" s="87" t="str">
        <x:v>MATH_Oct_Base_V8</x:v>
      </x:c>
      <x:c r="AN3283" s="87" t="n">
        <x:v>8</x:v>
      </x:c>
    </x:row>
    <x:row r="3284">
      <x:c r="A3284" s="87" t="n">
        <x:v>3283</x:v>
      </x:c>
      <x:c r="B3284" s="87" t="str">
        <x:v>OCT-MATH-0108-08</x:v>
      </x:c>
      <x:c r="C3284" s="87" t="str">
        <x:v>СтатГрад</x:v>
      </x:c>
      <x:c r="D3284" s="87" t="str">
        <x:v>Октябрь 2025</x:v>
      </x:c>
      <x:c r="E3284" s="87"/>
      <x:c r="F3284" s="87"/>
      <x:c r="G3284" s="87" t="str">
        <x:v>Математика</x:v>
      </x:c>
      <x:c r="H3284" s="87" t="n">
        <x:v>11</x:v>
      </x:c>
      <x:c r="I3284" s="87" t="str">
        <x:v>ТР №1</x:v>
      </x:c>
      <x:c r="J3284" s="87" t="str">
        <x:v>МА2510108</x:v>
      </x:c>
      <x:c r="K3284" s="87" t="n">
        <x:v>8</x:v>
      </x:c>
      <x:c r="L3284" s="87" t="str">
        <x:v>Практическая задача</x:v>
      </x:c>
      <x:c r="M3284" s="30" t="str">
        <x:v>Гитарист Андрей выступает на концертах только со своей гитарой. Также
     Андрей обязательно берёт с собой гитару в поход. Выберите утверждения,
     которые верны при приведённых условиях.
     1) Каждый раз, когда Андрей берёт с собой гитару, он будет выступать
        на концерте.
     2) В любое время, когда Андрей не в походе, у него нет с собой гитары.
     3) Если Андрей без гитары, значит, он не в походе.
     4) Если в субботу Андрей будет выступать на концерте, посвящённом Дню
        Победы, то он в субботу будет со своей гитарой.
     В ответе запишите номера выбранных утверждений без пробелов, запятых и
     других дополнительных символов.</x:v>
      </x:c>
      <x:c r="N3284" s="30" t="str">
        <x:v>34</x:v>
      </x:c>
      <x:c r="O3284" s="30" t="str">
        <x:v>Ответ принят по официальной таблице СтатГрад.</x:v>
      </x:c>
      <x:c r="P3284" s="30" t="str">
        <x:v>Код варианта, номер и условие постранично сопоставлены с первичным PDF; формат ответа проверен.</x:v>
      </x:c>
      <x:c r="Q3284" s="30"/>
      <x:c r="R3284" s="30" t="str">
        <x:v>Официальный фото-ключ базового уровня.</x:v>
      </x:c>
      <x:c r="S3284" s="30"/>
      <x:c r="T3284" s="30"/>
      <x:c r="U3284" s="30" t="str">
        <x:v>Расхождений не обнаружено.</x:v>
      </x:c>
      <x:c r="V3284" s="87" t="str">
        <x:v>VERIFIED</x:v>
      </x:c>
      <x:c r="W3284" s="87" t="n">
        <x:v>30</x:v>
      </x:c>
      <x:c r="X3284" s="87"/>
      <x:c r="Y3284" s="87"/>
      <x:c r="Z3284" s="87"/>
      <x:c r="AA3284" s="87"/>
      <x:c r="AB3284" s="87"/>
      <x:c r="AC3284" s="87"/>
      <x:c r="AD3284" s="87"/>
      <x:c r="AE3284" s="87"/>
      <x:c r="AF3284" s="87"/>
      <x:c r="AG3284" s="87"/>
      <x:c r="AH3284" s="87"/>
      <x:c r="AI3284" s="30"/>
      <x:c r="AJ3284" s="87" t="str">
        <x:v>master</x:v>
      </x:c>
      <x:c r="AK3284" s="87" t="str">
        <x:v>master-v0.81</x:v>
      </x:c>
      <x:c r="AL3284" s="87" t="str">
        <x:v>statgrad_master_base_v0_81_final(2).xlsx</x:v>
      </x:c>
      <x:c r="AM3284" s="87" t="str">
        <x:v>MATH_Oct_Base_V8</x:v>
      </x:c>
      <x:c r="AN3284" s="87" t="n">
        <x:v>9</x:v>
      </x:c>
    </x:row>
    <x:row r="3285">
      <x:c r="A3285" s="87" t="n">
        <x:v>3284</x:v>
      </x:c>
      <x:c r="B3285" s="87" t="str">
        <x:v>OCT-MATH-0108-09</x:v>
      </x:c>
      <x:c r="C3285" s="87" t="str">
        <x:v>СтатГрад</x:v>
      </x:c>
      <x:c r="D3285" s="87" t="str">
        <x:v>Октябрь 2025</x:v>
      </x:c>
      <x:c r="E3285" s="87"/>
      <x:c r="F3285" s="87"/>
      <x:c r="G3285" s="87" t="str">
        <x:v>Математика</x:v>
      </x:c>
      <x:c r="H3285" s="87" t="n">
        <x:v>11</x:v>
      </x:c>
      <x:c r="I3285" s="87" t="str">
        <x:v>ТР №1</x:v>
      </x:c>
      <x:c r="J3285" s="87" t="str">
        <x:v>МА2510108</x:v>
      </x:c>
      <x:c r="K3285" s="87" t="n">
        <x:v>9</x:v>
      </x:c>
      <x:c r="L3285" s="87" t="str">
        <x:v>План / площадь</x:v>
      </x:c>
      <x:c r="M3285" s="30" t="str">
        <x:v>План местности разбит на клетки. Каждая клетка обозначает квадрат
     1 м × 1 м . Найдите площадь участка, выделенного на плане. Ответ дайте
     в квадратных метрах.</x:v>
      </x:c>
      <x:c r="N3285" s="30" t="str">
        <x:v>10,5</x:v>
      </x:c>
      <x:c r="O3285" s="30" t="str">
        <x:v>Ответ принят по официальной таблице СтатГрад.</x:v>
      </x:c>
      <x:c r="P3285" s="30" t="str">
        <x:v>Код варианта, номер и условие постранично сопоставлены с первичным PDF; формат ответа проверен.</x:v>
      </x:c>
      <x:c r="Q3285" s="30"/>
      <x:c r="R3285" s="30" t="str">
        <x:v>Официальный фото-ключ базового уровня.</x:v>
      </x:c>
      <x:c r="S3285" s="30"/>
      <x:c r="T3285" s="30"/>
      <x:c r="U3285" s="30" t="str">
        <x:v>Расхождений не обнаружено.</x:v>
      </x:c>
      <x:c r="V3285" s="87" t="str">
        <x:v>VERIFIED</x:v>
      </x:c>
      <x:c r="W3285" s="87" t="n">
        <x:v>30</x:v>
      </x:c>
      <x:c r="X3285" s="87"/>
      <x:c r="Y3285" s="87"/>
      <x:c r="Z3285" s="87"/>
      <x:c r="AA3285" s="87"/>
      <x:c r="AB3285" s="87"/>
      <x:c r="AC3285" s="87" t="str">
        <x:v>VIS-MATH-OCT-032</x:v>
      </x:c>
      <x:c r="AD3285" s="87"/>
      <x:c r="AE3285" s="87" t="str">
        <x:v>Полная страница с визуальным контекстом</x:v>
      </x:c>
      <x:c r="AF3285" s="87" t="str">
        <x:v>VIS-MATH-OCT-032: 30</x:v>
      </x:c>
      <x:c r="AG3285" s="87" t="str">
        <x:v>RESOLVED / SOURCE_REGENERATED</x:v>
      </x:c>
      <x:c r="AH3285" s="87" t="str">
        <x:v>SOURCE_PAGE_REGENERATED_FULL_PAGE_NO_CROP; TASK_CROP_QA_APPROVED:USE_TIGHT</x:v>
      </x:c>
      <x:c r="AI3285" s="30"/>
      <x:c r="AJ3285" s="87" t="str">
        <x:v>master</x:v>
      </x:c>
      <x:c r="AK3285" s="87" t="str">
        <x:v>master-v0.81</x:v>
      </x:c>
      <x:c r="AL3285" s="87" t="str">
        <x:v>statgrad_master_base_v0_81_final(2).xlsx</x:v>
      </x:c>
      <x:c r="AM3285" s="87" t="str">
        <x:v>MATH_Oct_Base_V8</x:v>
      </x:c>
      <x:c r="AN3285" s="87" t="n">
        <x:v>10</x:v>
      </x:c>
    </x:row>
    <x:row r="3286">
      <x:c r="A3286" s="87" t="n">
        <x:v>3285</x:v>
      </x:c>
      <x:c r="B3286" s="87" t="str">
        <x:v>OCT-MATH-0108-10</x:v>
      </x:c>
      <x:c r="C3286" s="87" t="str">
        <x:v>СтатГрад</x:v>
      </x:c>
      <x:c r="D3286" s="87" t="str">
        <x:v>Октябрь 2025</x:v>
      </x:c>
      <x:c r="E3286" s="87"/>
      <x:c r="F3286" s="87"/>
      <x:c r="G3286" s="87" t="str">
        <x:v>Математика</x:v>
      </x:c>
      <x:c r="H3286" s="87" t="n">
        <x:v>11</x:v>
      </x:c>
      <x:c r="I3286" s="87" t="str">
        <x:v>ТР №1</x:v>
      </x:c>
      <x:c r="J3286" s="87" t="str">
        <x:v>МА2510108</x:v>
      </x:c>
      <x:c r="K3286" s="87" t="n">
        <x:v>10</x:v>
      </x:c>
      <x:c r="L3286" s="87" t="str">
        <x:v>Геометрия по рисунку</x:v>
      </x:c>
      <x:c r="M3286" s="30" t="str">
        <x:v>Участок земли имеет прямоугольную форму.                              75 м
     Стороны прямоугольника равны 35 м и 75 м.
     Найдите длину забора (в метрах), которым
     нужно огородить участок, предусмотрев 4 м                                            35 м
     проезд шириной 4 м.</x:v>
      </x:c>
      <x:c r="N3286" s="30" t="str">
        <x:v>216</x:v>
      </x:c>
      <x:c r="O3286" s="30" t="str">
        <x:v>Ответ принят по официальной таблице СтатГрад.</x:v>
      </x:c>
      <x:c r="P3286" s="30" t="str">
        <x:v>Код варианта, номер и условие постранично сопоставлены с первичным PDF; формат ответа проверен.</x:v>
      </x:c>
      <x:c r="Q3286" s="30"/>
      <x:c r="R3286" s="30" t="str">
        <x:v>Официальный фото-ключ базового уровня.</x:v>
      </x:c>
      <x:c r="S3286" s="30"/>
      <x:c r="T3286" s="30"/>
      <x:c r="U3286" s="30" t="str">
        <x:v>Расхождений не обнаружено.</x:v>
      </x:c>
      <x:c r="V3286" s="87" t="str">
        <x:v>VERIFIED</x:v>
      </x:c>
      <x:c r="W3286" s="87" t="n">
        <x:v>30</x:v>
      </x:c>
      <x:c r="X3286" s="87"/>
      <x:c r="Y3286" s="87"/>
      <x:c r="Z3286" s="87"/>
      <x:c r="AA3286" s="87"/>
      <x:c r="AB3286" s="87"/>
      <x:c r="AC3286" s="87"/>
      <x:c r="AD3286" s="87"/>
      <x:c r="AE3286" s="87"/>
      <x:c r="AF3286" s="87"/>
      <x:c r="AG3286" s="87"/>
      <x:c r="AH3286" s="87"/>
      <x:c r="AI3286" s="30"/>
      <x:c r="AJ3286" s="87" t="str">
        <x:v>master</x:v>
      </x:c>
      <x:c r="AK3286" s="87" t="str">
        <x:v>master-v0.81</x:v>
      </x:c>
      <x:c r="AL3286" s="87" t="str">
        <x:v>statgrad_master_base_v0_81_final(2).xlsx</x:v>
      </x:c>
      <x:c r="AM3286" s="87" t="str">
        <x:v>MATH_Oct_Base_V8</x:v>
      </x:c>
      <x:c r="AN3286" s="87" t="n">
        <x:v>11</x:v>
      </x:c>
    </x:row>
    <x:row r="3287">
      <x:c r="A3287" s="87" t="n">
        <x:v>3286</x:v>
      </x:c>
      <x:c r="B3287" s="87" t="str">
        <x:v>OCT-MATH-0108-11</x:v>
      </x:c>
      <x:c r="C3287" s="87" t="str">
        <x:v>СтатГрад</x:v>
      </x:c>
      <x:c r="D3287" s="87" t="str">
        <x:v>Октябрь 2025</x:v>
      </x:c>
      <x:c r="E3287" s="87"/>
      <x:c r="F3287" s="87"/>
      <x:c r="G3287" s="87" t="str">
        <x:v>Математика</x:v>
      </x:c>
      <x:c r="H3287" s="87" t="n">
        <x:v>11</x:v>
      </x:c>
      <x:c r="I3287" s="87" t="str">
        <x:v>ТР №1</x:v>
      </x:c>
      <x:c r="J3287" s="87" t="str">
        <x:v>МА2510108</x:v>
      </x:c>
      <x:c r="K3287" s="87" t="n">
        <x:v>11</x:v>
      </x:c>
      <x:c r="L3287" s="87" t="str">
        <x:v>Стереометрия по рисунку</x:v>
      </x:c>
      <x:c r="M3287" s="30" t="str">
        <x:v>Аквариум имеет форму куба со стороной 40 см.
     Сколько литров составляет объём аквариума?
     В одном литре 1000 кубических сантиметров.
                                    согласия СтатГрад запрещена</x:v>
      </x:c>
      <x:c r="N3287" s="30" t="str">
        <x:v>64</x:v>
      </x:c>
      <x:c r="O3287" s="30" t="str">
        <x:v>Ответ принят по официальной таблице СтатГрад.</x:v>
      </x:c>
      <x:c r="P3287" s="30" t="str">
        <x:v>Код варианта, номер и условие постранично сопоставлены с первичным PDF; формат ответа проверен.</x:v>
      </x:c>
      <x:c r="Q3287" s="30"/>
      <x:c r="R3287" s="30" t="str">
        <x:v>Официальный фото-ключ базового уровня.</x:v>
      </x:c>
      <x:c r="S3287" s="30"/>
      <x:c r="T3287" s="30"/>
      <x:c r="U3287" s="30" t="str">
        <x:v>Расхождений не обнаружено.</x:v>
      </x:c>
      <x:c r="V3287" s="87" t="str">
        <x:v>VERIFIED</x:v>
      </x:c>
      <x:c r="W3287" s="87" t="n">
        <x:v>30</x:v>
      </x:c>
      <x:c r="X3287" s="87"/>
      <x:c r="Y3287" s="87"/>
      <x:c r="Z3287" s="87"/>
      <x:c r="AA3287" s="87"/>
      <x:c r="AB3287" s="87"/>
      <x:c r="AC3287" s="87"/>
      <x:c r="AD3287" s="87"/>
      <x:c r="AE3287" s="87"/>
      <x:c r="AF3287" s="87"/>
      <x:c r="AG3287" s="87"/>
      <x:c r="AH3287" s="87"/>
      <x:c r="AI3287" s="30"/>
      <x:c r="AJ3287" s="87" t="str">
        <x:v>master</x:v>
      </x:c>
      <x:c r="AK3287" s="87" t="str">
        <x:v>master-v0.81</x:v>
      </x:c>
      <x:c r="AL3287" s="87" t="str">
        <x:v>statgrad_master_base_v0_81_final(2).xlsx</x:v>
      </x:c>
      <x:c r="AM3287" s="87" t="str">
        <x:v>MATH_Oct_Base_V8</x:v>
      </x:c>
      <x:c r="AN3287" s="87" t="n">
        <x:v>12</x:v>
      </x:c>
    </x:row>
    <x:row r="3288">
      <x:c r="A3288" s="87" t="n">
        <x:v>3287</x:v>
      </x:c>
      <x:c r="B3288" s="87" t="str">
        <x:v>OCT-MATH-0108-12</x:v>
      </x:c>
      <x:c r="C3288" s="87" t="str">
        <x:v>СтатГрад</x:v>
      </x:c>
      <x:c r="D3288" s="87" t="str">
        <x:v>Октябрь 2025</x:v>
      </x:c>
      <x:c r="E3288" s="87"/>
      <x:c r="F3288" s="87"/>
      <x:c r="G3288" s="87" t="str">
        <x:v>Математика</x:v>
      </x:c>
      <x:c r="H3288" s="87" t="n">
        <x:v>11</x:v>
      </x:c>
      <x:c r="I3288" s="87" t="str">
        <x:v>ТР №1</x:v>
      </x:c>
      <x:c r="J3288" s="87" t="str">
        <x:v>МА2510108</x:v>
      </x:c>
      <x:c r="K3288" s="87" t="n">
        <x:v>12</x:v>
      </x:c>
      <x:c r="L3288" s="87" t="str">
        <x:v>Уравнение / вычисление</x:v>
      </x:c>
      <x:c r="M3288" s="30" t="str">
        <x:v>Прямые m и n параллельны (см. рисунок).                          m            1
     Найдите ∠3 , если ∠1 = 16° , ∠2 = 71° . Ответ                                     3
     дайте в градусах.
                                                                      n    2</x:v>
      </x:c>
      <x:c r="N3288" s="30" t="str">
        <x:v>93</x:v>
      </x:c>
      <x:c r="O3288" s="30" t="str">
        <x:v>Ответ принят по официальной таблице СтатГрад.</x:v>
      </x:c>
      <x:c r="P3288" s="30" t="str">
        <x:v>Код варианта, номер и условие постранично сопоставлены с первичным PDF; формат ответа проверен.</x:v>
      </x:c>
      <x:c r="Q3288" s="30"/>
      <x:c r="R3288" s="30" t="str">
        <x:v>Официальный фото-ключ базового уровня.</x:v>
      </x:c>
      <x:c r="S3288" s="30"/>
      <x:c r="T3288" s="30"/>
      <x:c r="U3288" s="30" t="str">
        <x:v>Расхождений не обнаружено.</x:v>
      </x:c>
      <x:c r="V3288" s="87" t="str">
        <x:v>VERIFIED</x:v>
      </x:c>
      <x:c r="W3288" s="87" t="n">
        <x:v>31</x:v>
      </x:c>
      <x:c r="X3288" s="87"/>
      <x:c r="Y3288" s="87"/>
      <x:c r="Z3288" s="87"/>
      <x:c r="AA3288" s="87"/>
      <x:c r="AB3288" s="87"/>
      <x:c r="AC3288" s="87"/>
      <x:c r="AD3288" s="87"/>
      <x:c r="AE3288" s="87"/>
      <x:c r="AF3288" s="87"/>
      <x:c r="AG3288" s="87"/>
      <x:c r="AH3288" s="87"/>
      <x:c r="AI3288" s="30"/>
      <x:c r="AJ3288" s="87" t="str">
        <x:v>master</x:v>
      </x:c>
      <x:c r="AK3288" s="87" t="str">
        <x:v>master-v0.81</x:v>
      </x:c>
      <x:c r="AL3288" s="87" t="str">
        <x:v>statgrad_master_base_v0_81_final(2).xlsx</x:v>
      </x:c>
      <x:c r="AM3288" s="87" t="str">
        <x:v>MATH_Oct_Base_V8</x:v>
      </x:c>
      <x:c r="AN3288" s="87" t="n">
        <x:v>13</x:v>
      </x:c>
    </x:row>
    <x:row r="3289">
      <x:c r="A3289" s="87" t="n">
        <x:v>3288</x:v>
      </x:c>
      <x:c r="B3289" s="87" t="str">
        <x:v>OCT-MATH-0108-13</x:v>
      </x:c>
      <x:c r="C3289" s="87" t="str">
        <x:v>СтатГрад</x:v>
      </x:c>
      <x:c r="D3289" s="87" t="str">
        <x:v>Октябрь 2025</x:v>
      </x:c>
      <x:c r="E3289" s="87"/>
      <x:c r="F3289" s="87"/>
      <x:c r="G3289" s="87" t="str">
        <x:v>Математика</x:v>
      </x:c>
      <x:c r="H3289" s="87" t="n">
        <x:v>11</x:v>
      </x:c>
      <x:c r="I3289" s="87" t="str">
        <x:v>ТР №1</x:v>
      </x:c>
      <x:c r="J3289" s="87" t="str">
        <x:v>МА2510108</x:v>
      </x:c>
      <x:c r="K3289" s="87" t="n">
        <x:v>13</x:v>
      </x:c>
      <x:c r="L3289" s="87" t="str">
        <x:v>Стереометрия</x:v>
      </x:c>
      <x:c r="M3289" s="30" t="str">
        <x:v>Стороны основания правильной треугольной пирамиды
     равны 24, а боковые рёбра равны 20. Найдите площадь
     боковой поверхности этой пирамиды.
                                        8 3 1</x:v>
      </x:c>
      <x:c r="N3289" s="30" t="str">
        <x:v>576</x:v>
      </x:c>
      <x:c r="O3289" s="30" t="str">
        <x:v>Ответ принят по официальной таблице СтатГрад.</x:v>
      </x:c>
      <x:c r="P3289" s="30" t="str">
        <x:v>Код варианта, номер и условие постранично сопоставлены с первичным PDF; формат ответа проверен.</x:v>
      </x:c>
      <x:c r="Q3289" s="30"/>
      <x:c r="R3289" s="30" t="str">
        <x:v>Официальный фото-ключ базового уровня.</x:v>
      </x:c>
      <x:c r="S3289" s="30"/>
      <x:c r="T3289" s="30"/>
      <x:c r="U3289" s="30" t="str">
        <x:v>Расхождений не обнаружено.</x:v>
      </x:c>
      <x:c r="V3289" s="87" t="str">
        <x:v>VERIFIED</x:v>
      </x:c>
      <x:c r="W3289" s="87" t="n">
        <x:v>31</x:v>
      </x:c>
      <x:c r="X3289" s="87"/>
      <x:c r="Y3289" s="87"/>
      <x:c r="Z3289" s="87"/>
      <x:c r="AA3289" s="87"/>
      <x:c r="AB3289" s="87"/>
      <x:c r="AC3289" s="87"/>
      <x:c r="AD3289" s="87"/>
      <x:c r="AE3289" s="87"/>
      <x:c r="AF3289" s="87"/>
      <x:c r="AG3289" s="87"/>
      <x:c r="AH3289" s="87"/>
      <x:c r="AI3289" s="30"/>
      <x:c r="AJ3289" s="87" t="str">
        <x:v>master</x:v>
      </x:c>
      <x:c r="AK3289" s="87" t="str">
        <x:v>master-v0.81</x:v>
      </x:c>
      <x:c r="AL3289" s="87" t="str">
        <x:v>statgrad_master_base_v0_81_final(2).xlsx</x:v>
      </x:c>
      <x:c r="AM3289" s="87" t="str">
        <x:v>MATH_Oct_Base_V8</x:v>
      </x:c>
      <x:c r="AN3289" s="87" t="n">
        <x:v>14</x:v>
      </x:c>
    </x:row>
    <x:row r="3290">
      <x:c r="A3290" s="87" t="n">
        <x:v>3289</x:v>
      </x:c>
      <x:c r="B3290" s="87" t="str">
        <x:v>OCT-MATH-0108-14</x:v>
      </x:c>
      <x:c r="C3290" s="87" t="str">
        <x:v>СтатГрад</x:v>
      </x:c>
      <x:c r="D3290" s="87" t="str">
        <x:v>Октябрь 2025</x:v>
      </x:c>
      <x:c r="E3290" s="87"/>
      <x:c r="F3290" s="87"/>
      <x:c r="G3290" s="87" t="str">
        <x:v>Математика</x:v>
      </x:c>
      <x:c r="H3290" s="87" t="n">
        <x:v>11</x:v>
      </x:c>
      <x:c r="I3290" s="87" t="str">
        <x:v>ТР №1</x:v>
      </x:c>
      <x:c r="J3290" s="87" t="str">
        <x:v>МА2510108</x:v>
      </x:c>
      <x:c r="K3290" s="87" t="n">
        <x:v>14</x:v>
      </x:c>
      <x:c r="L3290" s="87" t="str">
        <x:v>Планиметрия</x:v>
      </x:c>
      <x:c r="M3290" s="30" t="str">
        <x:v>Найдите значение выражения          : − .
                                        5 10 3</x:v>
      </x:c>
      <x:c r="N3290" s="30" t="str">
        <x:v>5</x:v>
      </x:c>
      <x:c r="O3290" s="30" t="str">
        <x:v>Ответ принят по официальной таблице СтатГрад.</x:v>
      </x:c>
      <x:c r="P3290" s="30" t="str">
        <x:v>Код варианта, номер и условие постранично сопоставлены с первичным PDF; формат ответа проверен.</x:v>
      </x:c>
      <x:c r="Q3290" s="30"/>
      <x:c r="R3290" s="30" t="str">
        <x:v>Официальный фото-ключ базового уровня.</x:v>
      </x:c>
      <x:c r="S3290" s="30"/>
      <x:c r="T3290" s="30"/>
      <x:c r="U3290" s="30" t="str">
        <x:v>Расхождений не обнаружено.</x:v>
      </x:c>
      <x:c r="V3290" s="87" t="str">
        <x:v>VERIFIED</x:v>
      </x:c>
      <x:c r="W3290" s="87" t="n">
        <x:v>31</x:v>
      </x:c>
      <x:c r="X3290" s="87"/>
      <x:c r="Y3290" s="87"/>
      <x:c r="Z3290" s="87"/>
      <x:c r="AA3290" s="87"/>
      <x:c r="AB3290" s="87"/>
      <x:c r="AC3290" s="87"/>
      <x:c r="AD3290" s="87"/>
      <x:c r="AE3290" s="87"/>
      <x:c r="AF3290" s="87"/>
      <x:c r="AG3290" s="87"/>
      <x:c r="AH3290" s="87"/>
      <x:c r="AI3290" s="30"/>
      <x:c r="AJ3290" s="87" t="str">
        <x:v>master</x:v>
      </x:c>
      <x:c r="AK3290" s="87" t="str">
        <x:v>master-v0.81</x:v>
      </x:c>
      <x:c r="AL3290" s="87" t="str">
        <x:v>statgrad_master_base_v0_81_final(2).xlsx</x:v>
      </x:c>
      <x:c r="AM3290" s="87" t="str">
        <x:v>MATH_Oct_Base_V8</x:v>
      </x:c>
      <x:c r="AN3290" s="87" t="n">
        <x:v>15</x:v>
      </x:c>
    </x:row>
    <x:row r="3291">
      <x:c r="A3291" s="87" t="n">
        <x:v>3290</x:v>
      </x:c>
      <x:c r="B3291" s="87" t="str">
        <x:v>OCT-MATH-0108-15</x:v>
      </x:c>
      <x:c r="C3291" s="87" t="str">
        <x:v>СтатГрад</x:v>
      </x:c>
      <x:c r="D3291" s="87" t="str">
        <x:v>Октябрь 2025</x:v>
      </x:c>
      <x:c r="E3291" s="87"/>
      <x:c r="F3291" s="87"/>
      <x:c r="G3291" s="87" t="str">
        <x:v>Математика</x:v>
      </x:c>
      <x:c r="H3291" s="87" t="n">
        <x:v>11</x:v>
      </x:c>
      <x:c r="I3291" s="87" t="str">
        <x:v>ТР №1</x:v>
      </x:c>
      <x:c r="J3291" s="87" t="str">
        <x:v>МА2510108</x:v>
      </x:c>
      <x:c r="K3291" s="87" t="n">
        <x:v>15</x:v>
      </x:c>
      <x:c r="L3291" s="87" t="str">
        <x:v>Алгебра</x:v>
      </x:c>
      <x:c r="M3291" s="30" t="str">
        <x:v>Набор полотенец, который стоил 800 рублей, продаётся со скидкой 18 %.
     Сколько рублей стоят два набора полотенец со скидкой?
                                          20</x:v>
      </x:c>
      <x:c r="N3291" s="30" t="str">
        <x:v>1312</x:v>
      </x:c>
      <x:c r="O3291" s="30" t="str">
        <x:v>Ответ принят по официальной таблице СтатГрад.</x:v>
      </x:c>
      <x:c r="P3291" s="30" t="str">
        <x:v>Код варианта, номер и условие постранично сопоставлены с первичным PDF; формат ответа проверен.</x:v>
      </x:c>
      <x:c r="Q3291" s="30"/>
      <x:c r="R3291" s="30" t="str">
        <x:v>Официальный фото-ключ базового уровня.</x:v>
      </x:c>
      <x:c r="S3291" s="30"/>
      <x:c r="T3291" s="30"/>
      <x:c r="U3291" s="30" t="str">
        <x:v>Расхождений не обнаружено.</x:v>
      </x:c>
      <x:c r="V3291" s="87" t="str">
        <x:v>VERIFIED</x:v>
      </x:c>
      <x:c r="W3291" s="87" t="n">
        <x:v>31</x:v>
      </x:c>
      <x:c r="X3291" s="87"/>
      <x:c r="Y3291" s="87"/>
      <x:c r="Z3291" s="87"/>
      <x:c r="AA3291" s="87"/>
      <x:c r="AB3291" s="87"/>
      <x:c r="AC3291" s="87"/>
      <x:c r="AD3291" s="87"/>
      <x:c r="AE3291" s="87"/>
      <x:c r="AF3291" s="87"/>
      <x:c r="AG3291" s="87"/>
      <x:c r="AH3291" s="87"/>
      <x:c r="AI3291" s="30"/>
      <x:c r="AJ3291" s="87" t="str">
        <x:v>master</x:v>
      </x:c>
      <x:c r="AK3291" s="87" t="str">
        <x:v>master-v0.81</x:v>
      </x:c>
      <x:c r="AL3291" s="87" t="str">
        <x:v>statgrad_master_base_v0_81_final(2).xlsx</x:v>
      </x:c>
      <x:c r="AM3291" s="87" t="str">
        <x:v>MATH_Oct_Base_V8</x:v>
      </x:c>
      <x:c r="AN3291" s="87" t="n">
        <x:v>16</x:v>
      </x:c>
    </x:row>
    <x:row r="3292">
      <x:c r="A3292" s="87" t="n">
        <x:v>3291</x:v>
      </x:c>
      <x:c r="B3292" s="87" t="str">
        <x:v>OCT-MATH-0108-16</x:v>
      </x:c>
      <x:c r="C3292" s="87" t="str">
        <x:v>СтатГрад</x:v>
      </x:c>
      <x:c r="D3292" s="87" t="str">
        <x:v>Октябрь 2025</x:v>
      </x:c>
      <x:c r="E3292" s="87"/>
      <x:c r="F3292" s="87"/>
      <x:c r="G3292" s="87" t="str">
        <x:v>Математика</x:v>
      </x:c>
      <x:c r="H3292" s="87" t="n">
        <x:v>11</x:v>
      </x:c>
      <x:c r="I3292" s="87" t="str">
        <x:v>ТР №1</x:v>
      </x:c>
      <x:c r="J3292" s="87" t="str">
        <x:v>МА2510108</x:v>
      </x:c>
      <x:c r="K3292" s="87" t="n">
        <x:v>16</x:v>
      </x:c>
      <x:c r="L3292" s="87" t="str">
        <x:v>Проценты / финансы</x:v>
      </x:c>
      <x:c r="M3292" s="30" t="str">
        <x:v>Найдите значение выражения              .
                                          5</x:v>
      </x:c>
      <x:c r="N3292" s="30" t="str">
        <x:v>2</x:v>
      </x:c>
      <x:c r="O3292" s="30" t="str">
        <x:v>Ответ принят по официальной таблице СтатГрад.</x:v>
      </x:c>
      <x:c r="P3292" s="30" t="str">
        <x:v>Код варианта, номер и условие постранично сопоставлены с первичным PDF; формат ответа проверен.</x:v>
      </x:c>
      <x:c r="Q3292" s="30"/>
      <x:c r="R3292" s="30" t="str">
        <x:v>Официальный фото-ключ базового уровня.</x:v>
      </x:c>
      <x:c r="S3292" s="30"/>
      <x:c r="T3292" s="30"/>
      <x:c r="U3292" s="30" t="str">
        <x:v>Расхождений не обнаружено.</x:v>
      </x:c>
      <x:c r="V3292" s="87" t="str">
        <x:v>VERIFIED</x:v>
      </x:c>
      <x:c r="W3292" s="87" t="n">
        <x:v>31</x:v>
      </x:c>
      <x:c r="X3292" s="87"/>
      <x:c r="Y3292" s="87"/>
      <x:c r="Z3292" s="87"/>
      <x:c r="AA3292" s="87"/>
      <x:c r="AB3292" s="87"/>
      <x:c r="AC3292" s="87"/>
      <x:c r="AD3292" s="87"/>
      <x:c r="AE3292" s="87"/>
      <x:c r="AF3292" s="87"/>
      <x:c r="AG3292" s="87"/>
      <x:c r="AH3292" s="87"/>
      <x:c r="AI3292" s="30"/>
      <x:c r="AJ3292" s="87" t="str">
        <x:v>master</x:v>
      </x:c>
      <x:c r="AK3292" s="87" t="str">
        <x:v>master-v0.81</x:v>
      </x:c>
      <x:c r="AL3292" s="87" t="str">
        <x:v>statgrad_master_base_v0_81_final(2).xlsx</x:v>
      </x:c>
      <x:c r="AM3292" s="87" t="str">
        <x:v>MATH_Oct_Base_V8</x:v>
      </x:c>
      <x:c r="AN3292" s="87" t="n">
        <x:v>17</x:v>
      </x:c>
    </x:row>
    <x:row r="3293">
      <x:c r="A3293" s="87" t="n">
        <x:v>3292</x:v>
      </x:c>
      <x:c r="B3293" s="87" t="str">
        <x:v>OCT-MATH-0108-17</x:v>
      </x:c>
      <x:c r="C3293" s="87" t="str">
        <x:v>СтатГрад</x:v>
      </x:c>
      <x:c r="D3293" s="87" t="str">
        <x:v>Октябрь 2025</x:v>
      </x:c>
      <x:c r="E3293" s="87"/>
      <x:c r="F3293" s="87"/>
      <x:c r="G3293" s="87" t="str">
        <x:v>Математика</x:v>
      </x:c>
      <x:c r="H3293" s="87" t="n">
        <x:v>11</x:v>
      </x:c>
      <x:c r="I3293" s="87" t="str">
        <x:v>ТР №1</x:v>
      </x:c>
      <x:c r="J3293" s="87" t="str">
        <x:v>МА2510108</x:v>
      </x:c>
      <x:c r="K3293" s="87" t="n">
        <x:v>17</x:v>
      </x:c>
      <x:c r="L3293" s="87" t="str">
        <x:v>Логика / комбинаторика</x:v>
      </x:c>
      <x:c r="M3293" s="30" t="str">
        <x:v>Найдите корень уравнения log 4 ( 5 x + 10 ) − log 4 5 =
                                                           log 4 3 .
                                    согласия СтатГрад запрещена</x:v>
      </x:c>
      <x:c r="N3293" s="30" t="str">
        <x:v>1</x:v>
      </x:c>
      <x:c r="O3293" s="30" t="str">
        <x:v>Ответ принят по официальной таблице СтатГрад.</x:v>
      </x:c>
      <x:c r="P3293" s="30" t="str">
        <x:v>Код варианта, номер и условие постранично сопоставлены с первичным PDF; формат ответа проверен.</x:v>
      </x:c>
      <x:c r="Q3293" s="30"/>
      <x:c r="R3293" s="30" t="str">
        <x:v>Официальный фото-ключ базового уровня.</x:v>
      </x:c>
      <x:c r="S3293" s="30"/>
      <x:c r="T3293" s="30"/>
      <x:c r="U3293" s="30" t="str">
        <x:v>Расхождений не обнаружено.</x:v>
      </x:c>
      <x:c r="V3293" s="87" t="str">
        <x:v>VERIFIED</x:v>
      </x:c>
      <x:c r="W3293" s="87" t="n">
        <x:v>31</x:v>
      </x:c>
      <x:c r="X3293" s="87"/>
      <x:c r="Y3293" s="87"/>
      <x:c r="Z3293" s="87"/>
      <x:c r="AA3293" s="87"/>
      <x:c r="AB3293" s="87"/>
      <x:c r="AC3293" s="87"/>
      <x:c r="AD3293" s="87"/>
      <x:c r="AE3293" s="87"/>
      <x:c r="AF3293" s="87"/>
      <x:c r="AG3293" s="87"/>
      <x:c r="AH3293" s="87"/>
      <x:c r="AI3293" s="30"/>
      <x:c r="AJ3293" s="87" t="str">
        <x:v>master</x:v>
      </x:c>
      <x:c r="AK3293" s="87" t="str">
        <x:v>master-v0.81</x:v>
      </x:c>
      <x:c r="AL3293" s="87" t="str">
        <x:v>statgrad_master_base_v0_81_final(2).xlsx</x:v>
      </x:c>
      <x:c r="AM3293" s="87" t="str">
        <x:v>MATH_Oct_Base_V8</x:v>
      </x:c>
      <x:c r="AN3293" s="87" t="n">
        <x:v>18</x:v>
      </x:c>
    </x:row>
    <x:row r="3294">
      <x:c r="A3294" s="87" t="n">
        <x:v>3293</x:v>
      </x:c>
      <x:c r="B3294" s="87" t="str">
        <x:v>OCT-MATH-0108-18</x:v>
      </x:c>
      <x:c r="C3294" s="87" t="str">
        <x:v>СтатГрад</x:v>
      </x:c>
      <x:c r="D3294" s="87" t="str">
        <x:v>Октябрь 2025</x:v>
      </x:c>
      <x:c r="E3294" s="87"/>
      <x:c r="F3294" s="87"/>
      <x:c r="G3294" s="87" t="str">
        <x:v>Математика</x:v>
      </x:c>
      <x:c r="H3294" s="87" t="n">
        <x:v>11</x:v>
      </x:c>
      <x:c r="I3294" s="87" t="str">
        <x:v>ТР №1</x:v>
      </x:c>
      <x:c r="J3294" s="87" t="str">
        <x:v>МА2510108</x:v>
      </x:c>
      <x:c r="K3294" s="87" t="n">
        <x:v>18</x:v>
      </x:c>
      <x:c r="L3294" s="87" t="str">
        <x:v>Числовая задача</x:v>
      </x:c>
      <x:c r="M3294" s="30" t="str">
        <x:v>Каждому из четырёх неравенств в левом столбце соответствует одно
     из решений в правом столбце. Установите соответствие между
     неравенствами и их решениями.
                     НЕРАВЕНСТВА                                       РЕШЕНИЯ
                      А) 3x ≥ 3                                         1) x ≤ − 1
                          1
                                x                                       2) x ≥ − 1
                       Б)   ≥ 3                                       3) x ≥ 1
                          3
                                x
                                                                        4) x ≤ 1
                          1
                       В)   ≤ 3
                          3
                       Г) 3x ≤ 3
     Впишите в приведённую в ответе                     таблицу     под    каждой      буквой
     соответствующий решению номер.
                А Б В Г
     Ответ:</x:v>
      </x:c>
      <x:c r="N3294" s="30" t="str">
        <x:v>3124</x:v>
      </x:c>
      <x:c r="O3294" s="30" t="str">
        <x:v>Ответ принят по официальной таблице СтатГрад.</x:v>
      </x:c>
      <x:c r="P3294" s="30" t="str">
        <x:v>Код варианта, номер и условие постранично сопоставлены с первичным PDF; формат ответа проверен.</x:v>
      </x:c>
      <x:c r="Q3294" s="30"/>
      <x:c r="R3294" s="30" t="str">
        <x:v>Официальный фото-ключ базового уровня.</x:v>
      </x:c>
      <x:c r="S3294" s="30"/>
      <x:c r="T3294" s="30"/>
      <x:c r="U3294" s="30" t="str">
        <x:v>Расхождений не обнаружено.</x:v>
      </x:c>
      <x:c r="V3294" s="87" t="str">
        <x:v>VERIFIED</x:v>
      </x:c>
      <x:c r="W3294" s="87" t="n">
        <x:v>32</x:v>
      </x:c>
      <x:c r="X3294" s="87"/>
      <x:c r="Y3294" s="87"/>
      <x:c r="Z3294" s="87"/>
      <x:c r="AA3294" s="87"/>
      <x:c r="AB3294" s="87"/>
      <x:c r="AC3294" s="87"/>
      <x:c r="AD3294" s="87"/>
      <x:c r="AE3294" s="87"/>
      <x:c r="AF3294" s="87"/>
      <x:c r="AG3294" s="87"/>
      <x:c r="AH3294" s="87"/>
      <x:c r="AI3294" s="30"/>
      <x:c r="AJ3294" s="87" t="str">
        <x:v>master</x:v>
      </x:c>
      <x:c r="AK3294" s="87" t="str">
        <x:v>master-v0.81</x:v>
      </x:c>
      <x:c r="AL3294" s="87" t="str">
        <x:v>statgrad_master_base_v0_81_final(2).xlsx</x:v>
      </x:c>
      <x:c r="AM3294" s="87" t="str">
        <x:v>MATH_Oct_Base_V8</x:v>
      </x:c>
      <x:c r="AN3294" s="87" t="n">
        <x:v>19</x:v>
      </x:c>
    </x:row>
    <x:row r="3295">
      <x:c r="A3295" s="87" t="n">
        <x:v>3294</x:v>
      </x:c>
      <x:c r="B3295" s="87" t="str">
        <x:v>OCT-MATH-0108-19</x:v>
      </x:c>
      <x:c r="C3295" s="87" t="str">
        <x:v>СтатГрад</x:v>
      </x:c>
      <x:c r="D3295" s="87" t="str">
        <x:v>Октябрь 2025</x:v>
      </x:c>
      <x:c r="E3295" s="87"/>
      <x:c r="F3295" s="87"/>
      <x:c r="G3295" s="87" t="str">
        <x:v>Математика</x:v>
      </x:c>
      <x:c r="H3295" s="87" t="n">
        <x:v>11</x:v>
      </x:c>
      <x:c r="I3295" s="87" t="str">
        <x:v>ТР №1</x:v>
      </x:c>
      <x:c r="J3295" s="87" t="str">
        <x:v>МА2510108</x:v>
      </x:c>
      <x:c r="K3295" s="87" t="n">
        <x:v>19</x:v>
      </x:c>
      <x:c r="L3295" s="87" t="str">
        <x:v>Теория чисел</x:v>
      </x:c>
      <x:c r="M3295" s="30" t="str">
        <x:v>Вычеркните в числе 85417627 три цифры так, чтобы получившееся число
     делилось на 18. В ответе укажите какое-нибудь одно получившееся число.</x:v>
      </x:c>
      <x:c r="N3295" s="30" t="str">
        <x:v>84762</x:v>
      </x:c>
      <x:c r="O3295" s="30" t="str">
        <x:v>Ответ принят по официальной таблице СтатГрад.</x:v>
      </x:c>
      <x:c r="P3295" s="30" t="str">
        <x:v>Код варианта, номер и условие постранично сопоставлены с первичным PDF; формат ответа проверен.</x:v>
      </x:c>
      <x:c r="Q3295" s="30"/>
      <x:c r="R3295" s="30" t="str">
        <x:v>Официальный фото-ключ базового уровня.</x:v>
      </x:c>
      <x:c r="S3295" s="30"/>
      <x:c r="T3295" s="30"/>
      <x:c r="U3295" s="30" t="str">
        <x:v>Расхождений не обнаружено.</x:v>
      </x:c>
      <x:c r="V3295" s="87" t="str">
        <x:v>VERIFIED</x:v>
      </x:c>
      <x:c r="W3295" s="87" t="n">
        <x:v>32</x:v>
      </x:c>
      <x:c r="X3295" s="87"/>
      <x:c r="Y3295" s="87"/>
      <x:c r="Z3295" s="87"/>
      <x:c r="AA3295" s="87"/>
      <x:c r="AB3295" s="87"/>
      <x:c r="AC3295" s="87"/>
      <x:c r="AD3295" s="87"/>
      <x:c r="AE3295" s="87"/>
      <x:c r="AF3295" s="87"/>
      <x:c r="AG3295" s="87"/>
      <x:c r="AH3295" s="87"/>
      <x:c r="AI3295" s="30"/>
      <x:c r="AJ3295" s="87" t="str">
        <x:v>master</x:v>
      </x:c>
      <x:c r="AK3295" s="87" t="str">
        <x:v>master-v0.81</x:v>
      </x:c>
      <x:c r="AL3295" s="87" t="str">
        <x:v>statgrad_master_base_v0_81_final(2).xlsx</x:v>
      </x:c>
      <x:c r="AM3295" s="87" t="str">
        <x:v>MATH_Oct_Base_V8</x:v>
      </x:c>
      <x:c r="AN3295" s="87" t="n">
        <x:v>20</x:v>
      </x:c>
    </x:row>
    <x:row r="3296">
      <x:c r="A3296" s="87" t="n">
        <x:v>3295</x:v>
      </x:c>
      <x:c r="B3296" s="87" t="str">
        <x:v>OCT-MATH-0108-20</x:v>
      </x:c>
      <x:c r="C3296" s="87" t="str">
        <x:v>СтатГрад</x:v>
      </x:c>
      <x:c r="D3296" s="87" t="str">
        <x:v>Октябрь 2025</x:v>
      </x:c>
      <x:c r="E3296" s="87"/>
      <x:c r="F3296" s="87"/>
      <x:c r="G3296" s="87" t="str">
        <x:v>Математика</x:v>
      </x:c>
      <x:c r="H3296" s="87" t="n">
        <x:v>11</x:v>
      </x:c>
      <x:c r="I3296" s="87" t="str">
        <x:v>ТР №1</x:v>
      </x:c>
      <x:c r="J3296" s="87" t="str">
        <x:v>МА2510108</x:v>
      </x:c>
      <x:c r="K3296" s="87" t="n">
        <x:v>20</x:v>
      </x:c>
      <x:c r="L3296" s="87" t="str">
        <x:v>Практическая задача</x:v>
      </x:c>
      <x:c r="M3296" s="30" t="str">
        <x:v>Аня и Таня пропалывают грядку за 6 минут, а одна Таня — за 24 минуты.
     За сколько минут пропалывает грядку одна Аня?</x:v>
      </x:c>
      <x:c r="N3296" s="30" t="str">
        <x:v>8</x:v>
      </x:c>
      <x:c r="O3296" s="30" t="str">
        <x:v>Ответ принят по официальной таблице СтатГрад.</x:v>
      </x:c>
      <x:c r="P3296" s="30" t="str">
        <x:v>Код варианта, номер и условие постранично сопоставлены с первичным PDF; формат ответа проверен.</x:v>
      </x:c>
      <x:c r="Q3296" s="30"/>
      <x:c r="R3296" s="30" t="str">
        <x:v>Официальный фото-ключ базового уровня.</x:v>
      </x:c>
      <x:c r="S3296" s="30"/>
      <x:c r="T3296" s="30"/>
      <x:c r="U3296" s="30" t="str">
        <x:v>Расхождений не обнаружено.</x:v>
      </x:c>
      <x:c r="V3296" s="87" t="str">
        <x:v>VERIFIED</x:v>
      </x:c>
      <x:c r="W3296" s="87" t="n">
        <x:v>32</x:v>
      </x:c>
      <x:c r="X3296" s="87"/>
      <x:c r="Y3296" s="87"/>
      <x:c r="Z3296" s="87"/>
      <x:c r="AA3296" s="87"/>
      <x:c r="AB3296" s="87"/>
      <x:c r="AC3296" s="87"/>
      <x:c r="AD3296" s="87"/>
      <x:c r="AE3296" s="87"/>
      <x:c r="AF3296" s="87"/>
      <x:c r="AG3296" s="87"/>
      <x:c r="AH3296" s="87"/>
      <x:c r="AI3296" s="30"/>
      <x:c r="AJ3296" s="87" t="str">
        <x:v>master</x:v>
      </x:c>
      <x:c r="AK3296" s="87" t="str">
        <x:v>master-v0.81</x:v>
      </x:c>
      <x:c r="AL3296" s="87" t="str">
        <x:v>statgrad_master_base_v0_81_final(2).xlsx</x:v>
      </x:c>
      <x:c r="AM3296" s="87" t="str">
        <x:v>MATH_Oct_Base_V8</x:v>
      </x:c>
      <x:c r="AN3296" s="87" t="n">
        <x:v>21</x:v>
      </x:c>
    </x:row>
    <x:row r="3297">
      <x:c r="A3297" s="87" t="n">
        <x:v>3296</x:v>
      </x:c>
      <x:c r="B3297" s="87" t="str">
        <x:v>OCT-MATH-0108-21</x:v>
      </x:c>
      <x:c r="C3297" s="87" t="str">
        <x:v>СтатГрад</x:v>
      </x:c>
      <x:c r="D3297" s="87" t="str">
        <x:v>Октябрь 2025</x:v>
      </x:c>
      <x:c r="E3297" s="87"/>
      <x:c r="F3297" s="87"/>
      <x:c r="G3297" s="87" t="str">
        <x:v>Математика</x:v>
      </x:c>
      <x:c r="H3297" s="87" t="n">
        <x:v>11</x:v>
      </x:c>
      <x:c r="I3297" s="87" t="str">
        <x:v>ТР №1</x:v>
      </x:c>
      <x:c r="J3297" s="87" t="str">
        <x:v>МА2510108</x:v>
      </x:c>
      <x:c r="K3297" s="87" t="n">
        <x:v>21</x:v>
      </x:c>
      <x:c r="L3297" s="87" t="str">
        <x:v>Оптимизация / вычисление</x:v>
      </x:c>
      <x:c r="M3297" s="30" t="str">
        <x:v>Хозяин договорился с рабочими, что они выкопают ему колодец на следующих
     условиях: за первый метр он заплатит им 4700 рублей, а за каждый следующий
     метр — на 2200 рублей больше, чем за предыдущий. Сколько рублей хозяин
     должен будет заплатить рабочим, если они выкопают колодец глубиной
     9 метров?
                                    согласия СтатГрад запрещена</x:v>
      </x:c>
      <x:c r="N3297" s="30" t="str">
        <x:v>121500</x:v>
      </x:c>
      <x:c r="O3297" s="30" t="str">
        <x:v>Ответ принят по официальной таблице СтатГрад.</x:v>
      </x:c>
      <x:c r="P3297" s="30" t="str">
        <x:v>Код варианта, номер и условие постранично сопоставлены с первичным PDF; формат ответа проверен.</x:v>
      </x:c>
      <x:c r="Q3297" s="30"/>
      <x:c r="R3297" s="30" t="str">
        <x:v>Официальный фото-ключ базового уровня.</x:v>
      </x:c>
      <x:c r="S3297" s="30"/>
      <x:c r="T3297" s="30"/>
      <x:c r="U3297" s="30" t="str">
        <x:v>Расхождений не обнаружено.</x:v>
      </x:c>
      <x:c r="V3297" s="87" t="str">
        <x:v>VERIFIED</x:v>
      </x:c>
      <x:c r="W3297" s="87" t="n">
        <x:v>32</x:v>
      </x:c>
      <x:c r="X3297" s="87"/>
      <x:c r="Y3297" s="87"/>
      <x:c r="Z3297" s="87"/>
      <x:c r="AA3297" s="87"/>
      <x:c r="AB3297" s="87"/>
      <x:c r="AC3297" s="87"/>
      <x:c r="AD3297" s="87"/>
      <x:c r="AE3297" s="87"/>
      <x:c r="AF3297" s="87"/>
      <x:c r="AG3297" s="87"/>
      <x:c r="AH3297" s="87"/>
      <x:c r="AI3297" s="30"/>
      <x:c r="AJ3297" s="87" t="str">
        <x:v>master</x:v>
      </x:c>
      <x:c r="AK3297" s="87" t="str">
        <x:v>master-v0.81</x:v>
      </x:c>
      <x:c r="AL3297" s="87" t="str">
        <x:v>statgrad_master_base_v0_81_final(2).xlsx</x:v>
      </x:c>
      <x:c r="AM3297" s="87" t="str">
        <x:v>MATH_Oct_Base_V8</x:v>
      </x:c>
      <x:c r="AN3297" s="87" t="n">
        <x:v>22</x:v>
      </x:c>
    </x:row>
    <x:row r="3298">
      <x:c r="A3298" s="87" t="n">
        <x:v>3297</x:v>
      </x:c>
      <x:c r="B3298" s="87" t="str">
        <x:v>OCT-MATH-0109-01</x:v>
      </x:c>
      <x:c r="C3298" s="87" t="str">
        <x:v>СтатГрад</x:v>
      </x:c>
      <x:c r="D3298" s="87" t="str">
        <x:v>Октябрь 2025</x:v>
      </x:c>
      <x:c r="E3298" s="87"/>
      <x:c r="F3298" s="87"/>
      <x:c r="G3298" s="87" t="str">
        <x:v>Математика</x:v>
      </x:c>
      <x:c r="H3298" s="87" t="n">
        <x:v>11</x:v>
      </x:c>
      <x:c r="I3298" s="87" t="str">
        <x:v>ТР №1</x:v>
      </x:c>
      <x:c r="J3298" s="87" t="str">
        <x:v>МА2510109</x:v>
      </x:c>
      <x:c r="K3298" s="87" t="n">
        <x:v>1</x:v>
      </x:c>
      <x:c r="L3298" s="87" t="str">
        <x:v>Планиметрия</x:v>
      </x:c>
      <x:c r="M3298" s="30" t="str">
        <x:v>Катеты равнобедренного прямоугольного треугольника
    равны 30 + 15 2 . Найдите радиус окружности,
    вписанной в этот треугольник.
              2
             (      )
                                                            y</x:v>
      </x:c>
      <x:c r="N3298" s="30" t="str">
        <x:v>15</x:v>
      </x:c>
      <x:c r="O3298" s="30" t="str">
        <x:v>Ответ принят по официальной таблице СтатГрад.</x:v>
      </x:c>
      <x:c r="P3298" s="30" t="str">
        <x:v>Код варианта, номер и условие сопоставлены с PDF; ответ сверён с первичной таблицей.</x:v>
      </x:c>
      <x:c r="Q3298" s="30"/>
      <x:c r="R3298" s="30" t="str">
        <x:v>Официальный фото-ключ профильного уровня.</x:v>
      </x:c>
      <x:c r="S3298" s="30"/>
      <x:c r="T3298" s="30"/>
      <x:c r="U3298" s="30" t="str">
        <x:v>Расхождений не обнаружено.</x:v>
      </x:c>
      <x:c r="V3298" s="87" t="str">
        <x:v>VERIFIED</x:v>
      </x:c>
      <x:c r="W3298" s="87" t="n">
        <x:v>2</x:v>
      </x:c>
      <x:c r="X3298" s="87"/>
      <x:c r="Y3298" s="87"/>
      <x:c r="Z3298" s="87"/>
      <x:c r="AA3298" s="87"/>
      <x:c r="AB3298" s="87"/>
      <x:c r="AC3298" s="87" t="str">
        <x:v>VIS-MATH-OCT-033</x:v>
      </x:c>
      <x:c r="AD3298" s="87"/>
      <x:c r="AE3298" s="87" t="str">
        <x:v>Полная страница с визуальным контекстом</x:v>
      </x:c>
      <x:c r="AF3298" s="87" t="str">
        <x:v>VIS-MATH-OCT-033: 2</x:v>
      </x:c>
      <x:c r="AG3298" s="87" t="str">
        <x:v>RESOLVED / SOURCE_REGENERATED</x:v>
      </x:c>
      <x:c r="AH3298" s="87" t="str">
        <x:v>SOURCE_PAGE_REGENERATED_FULL_PAGE_NO_CROP</x:v>
      </x:c>
      <x:c r="AI3298" s="30"/>
      <x:c r="AJ3298" s="87" t="str">
        <x:v>master</x:v>
      </x:c>
      <x:c r="AK3298" s="87" t="str">
        <x:v>master-v0.81</x:v>
      </x:c>
      <x:c r="AL3298" s="87" t="str">
        <x:v>statgrad_master_base_v0_81_final(2).xlsx</x:v>
      </x:c>
      <x:c r="AM3298" s="87" t="str">
        <x:v>MATH_Oct_Prof_V9</x:v>
      </x:c>
      <x:c r="AN3298" s="87" t="n">
        <x:v>2</x:v>
      </x:c>
    </x:row>
    <x:row r="3299">
      <x:c r="A3299" s="87" t="n">
        <x:v>3298</x:v>
      </x:c>
      <x:c r="B3299" s="87" t="str">
        <x:v>OCT-MATH-0109-02</x:v>
      </x:c>
      <x:c r="C3299" s="87" t="str">
        <x:v>СтатГрад</x:v>
      </x:c>
      <x:c r="D3299" s="87" t="str">
        <x:v>Октябрь 2025</x:v>
      </x:c>
      <x:c r="E3299" s="87"/>
      <x:c r="F3299" s="87"/>
      <x:c r="G3299" s="87" t="str">
        <x:v>Математика</x:v>
      </x:c>
      <x:c r="H3299" s="87" t="n">
        <x:v>11</x:v>
      </x:c>
      <x:c r="I3299" s="87" t="str">
        <x:v>ТР №1</x:v>
      </x:c>
      <x:c r="J3299" s="87" t="str">
        <x:v>МА2510109</x:v>
      </x:c>
      <x:c r="K3299" s="87" t="n">
        <x:v>2</x:v>
      </x:c>
      <x:c r="L3299" s="87" t="str">
        <x:v>Векторы</x:v>
      </x:c>
      <x:c r="M3299" s="30" t="str">
        <x:v>Найдите a + b .
                                                            6
                                                            4
                                                                                                x
                                                            0       2                  8</x:v>
      </x:c>
      <x:c r="N3299" s="30" t="str">
        <x:v>200</x:v>
      </x:c>
      <x:c r="O3299" s="30" t="str">
        <x:v>Ответ принят по официальной таблице СтатГрад.</x:v>
      </x:c>
      <x:c r="P3299" s="30" t="str">
        <x:v>Код варианта, номер и условие сопоставлены с PDF; ответ сверён с первичной таблицей.</x:v>
      </x:c>
      <x:c r="Q3299" s="30"/>
      <x:c r="R3299" s="30" t="str">
        <x:v>Официальный фото-ключ профильного уровня.</x:v>
      </x:c>
      <x:c r="S3299" s="30"/>
      <x:c r="T3299" s="30"/>
      <x:c r="U3299" s="30" t="str">
        <x:v>Расхождений не обнаружено.</x:v>
      </x:c>
      <x:c r="V3299" s="87" t="str">
        <x:v>VERIFIED</x:v>
      </x:c>
      <x:c r="W3299" s="87" t="n">
        <x:v>2</x:v>
      </x:c>
      <x:c r="X3299" s="87"/>
      <x:c r="Y3299" s="87"/>
      <x:c r="Z3299" s="87"/>
      <x:c r="AA3299" s="87"/>
      <x:c r="AB3299" s="87"/>
      <x:c r="AC3299" s="87"/>
      <x:c r="AD3299" s="87"/>
      <x:c r="AE3299" s="87"/>
      <x:c r="AF3299" s="87"/>
      <x:c r="AG3299" s="87"/>
      <x:c r="AH3299" s="87"/>
      <x:c r="AI3299" s="30"/>
      <x:c r="AJ3299" s="87" t="str">
        <x:v>master</x:v>
      </x:c>
      <x:c r="AK3299" s="87" t="str">
        <x:v>master-v0.81</x:v>
      </x:c>
      <x:c r="AL3299" s="87" t="str">
        <x:v>statgrad_master_base_v0_81_final(2).xlsx</x:v>
      </x:c>
      <x:c r="AM3299" s="87" t="str">
        <x:v>MATH_Oct_Prof_V9</x:v>
      </x:c>
      <x:c r="AN3299" s="87" t="n">
        <x:v>3</x:v>
      </x:c>
    </x:row>
    <x:row r="3300">
      <x:c r="A3300" s="87" t="n">
        <x:v>3299</x:v>
      </x:c>
      <x:c r="B3300" s="87" t="str">
        <x:v>OCT-MATH-0109-03</x:v>
      </x:c>
      <x:c r="C3300" s="87" t="str">
        <x:v>СтатГрад</x:v>
      </x:c>
      <x:c r="D3300" s="87" t="str">
        <x:v>Октябрь 2025</x:v>
      </x:c>
      <x:c r="E3300" s="87"/>
      <x:c r="F3300" s="87"/>
      <x:c r="G3300" s="87" t="str">
        <x:v>Математика</x:v>
      </x:c>
      <x:c r="H3300" s="87" t="n">
        <x:v>11</x:v>
      </x:c>
      <x:c r="I3300" s="87" t="str">
        <x:v>ТР №1</x:v>
      </x:c>
      <x:c r="J3300" s="87" t="str">
        <x:v>МА2510109</x:v>
      </x:c>
      <x:c r="K3300" s="87" t="n">
        <x:v>3</x:v>
      </x:c>
      <x:c r="L3300" s="87" t="str">
        <x:v>Стереометрия</x:v>
      </x:c>
      <x:c r="M3300" s="30" t="str">
        <x:v>Найдите площадь поверхности прямой призмы,
    в основании которой лежит ромб с диагоналями,
    равными 3 и 4, и боковым ребром, равным 2.</x:v>
      </x:c>
      <x:c r="N3300" s="30" t="str">
        <x:v>32</x:v>
      </x:c>
      <x:c r="O3300" s="30" t="str">
        <x:v>Ответ принят по официальной таблице СтатГрад.</x:v>
      </x:c>
      <x:c r="P3300" s="30" t="str">
        <x:v>Код варианта, номер и условие сопоставлены с PDF; ответ сверён с первичной таблицей.</x:v>
      </x:c>
      <x:c r="Q3300" s="30"/>
      <x:c r="R3300" s="30" t="str">
        <x:v>Официальный фото-ключ профильного уровня.</x:v>
      </x:c>
      <x:c r="S3300" s="30"/>
      <x:c r="T3300" s="30"/>
      <x:c r="U3300" s="30" t="str">
        <x:v>Расхождений не обнаружено.</x:v>
      </x:c>
      <x:c r="V3300" s="87" t="str">
        <x:v>VERIFIED</x:v>
      </x:c>
      <x:c r="W3300" s="87" t="n">
        <x:v>2</x:v>
      </x:c>
      <x:c r="X3300" s="87"/>
      <x:c r="Y3300" s="87"/>
      <x:c r="Z3300" s="87"/>
      <x:c r="AA3300" s="87"/>
      <x:c r="AB3300" s="87"/>
      <x:c r="AC3300" s="87"/>
      <x:c r="AD3300" s="87"/>
      <x:c r="AE3300" s="87"/>
      <x:c r="AF3300" s="87"/>
      <x:c r="AG3300" s="87"/>
      <x:c r="AH3300" s="87"/>
      <x:c r="AI3300" s="30"/>
      <x:c r="AJ3300" s="87" t="str">
        <x:v>master</x:v>
      </x:c>
      <x:c r="AK3300" s="87" t="str">
        <x:v>master-v0.81</x:v>
      </x:c>
      <x:c r="AL3300" s="87" t="str">
        <x:v>statgrad_master_base_v0_81_final(2).xlsx</x:v>
      </x:c>
      <x:c r="AM3300" s="87" t="str">
        <x:v>MATH_Oct_Prof_V9</x:v>
      </x:c>
      <x:c r="AN3300" s="87" t="n">
        <x:v>4</x:v>
      </x:c>
    </x:row>
    <x:row r="3301">
      <x:c r="A3301" s="87" t="n">
        <x:v>3300</x:v>
      </x:c>
      <x:c r="B3301" s="87" t="str">
        <x:v>OCT-MATH-0109-04</x:v>
      </x:c>
      <x:c r="C3301" s="87" t="str">
        <x:v>СтатГрад</x:v>
      </x:c>
      <x:c r="D3301" s="87" t="str">
        <x:v>Октябрь 2025</x:v>
      </x:c>
      <x:c r="E3301" s="87"/>
      <x:c r="F3301" s="87"/>
      <x:c r="G3301" s="87" t="str">
        <x:v>Математика</x:v>
      </x:c>
      <x:c r="H3301" s="87" t="n">
        <x:v>11</x:v>
      </x:c>
      <x:c r="I3301" s="87" t="str">
        <x:v>ТР №1</x:v>
      </x:c>
      <x:c r="J3301" s="87" t="str">
        <x:v>МА2510109</x:v>
      </x:c>
      <x:c r="K3301" s="87" t="n">
        <x:v>4</x:v>
      </x:c>
      <x:c r="L3301" s="87" t="str">
        <x:v>Вероятность</x:v>
      </x:c>
      <x:c r="M3301" s="30" t="str">
        <x:v>В среднем из 2000 садовых насосов, поступивших в продажу, 6 подтекают.
    Найдите вероятность того, что один случайно выбранный для контроля насос
    не подтекает.
                                   согласия СтатГрад запрещена</x:v>
      </x:c>
      <x:c r="N3301" s="30" t="str">
        <x:v>0,997</x:v>
      </x:c>
      <x:c r="O3301" s="30" t="str">
        <x:v>Ответ принят по официальной таблице СтатГрад.</x:v>
      </x:c>
      <x:c r="P3301" s="30" t="str">
        <x:v>Код варианта, номер и условие сопоставлены с PDF; ответ сверён с первичной таблицей.</x:v>
      </x:c>
      <x:c r="Q3301" s="30"/>
      <x:c r="R3301" s="30" t="str">
        <x:v>Официальный фото-ключ профильного уровня.</x:v>
      </x:c>
      <x:c r="S3301" s="30"/>
      <x:c r="T3301" s="30"/>
      <x:c r="U3301" s="30" t="str">
        <x:v>Расхождений не обнаружено.</x:v>
      </x:c>
      <x:c r="V3301" s="87" t="str">
        <x:v>VERIFIED</x:v>
      </x:c>
      <x:c r="W3301" s="87" t="n">
        <x:v>2</x:v>
      </x:c>
      <x:c r="X3301" s="87"/>
      <x:c r="Y3301" s="87"/>
      <x:c r="Z3301" s="87"/>
      <x:c r="AA3301" s="87"/>
      <x:c r="AB3301" s="87"/>
      <x:c r="AC3301" s="87"/>
      <x:c r="AD3301" s="87"/>
      <x:c r="AE3301" s="87"/>
      <x:c r="AF3301" s="87"/>
      <x:c r="AG3301" s="87"/>
      <x:c r="AH3301" s="87"/>
      <x:c r="AI3301" s="30"/>
      <x:c r="AJ3301" s="87" t="str">
        <x:v>master</x:v>
      </x:c>
      <x:c r="AK3301" s="87" t="str">
        <x:v>master-v0.81</x:v>
      </x:c>
      <x:c r="AL3301" s="87" t="str">
        <x:v>statgrad_master_base_v0_81_final(2).xlsx</x:v>
      </x:c>
      <x:c r="AM3301" s="87" t="str">
        <x:v>MATH_Oct_Prof_V9</x:v>
      </x:c>
      <x:c r="AN3301" s="87" t="n">
        <x:v>5</x:v>
      </x:c>
    </x:row>
    <x:row r="3302">
      <x:c r="A3302" s="87" t="n">
        <x:v>3301</x:v>
      </x:c>
      <x:c r="B3302" s="87" t="str">
        <x:v>OCT-MATH-0109-05</x:v>
      </x:c>
      <x:c r="C3302" s="87" t="str">
        <x:v>СтатГрад</x:v>
      </x:c>
      <x:c r="D3302" s="87" t="str">
        <x:v>Октябрь 2025</x:v>
      </x:c>
      <x:c r="E3302" s="87"/>
      <x:c r="F3302" s="87"/>
      <x:c r="G3302" s="87" t="str">
        <x:v>Математика</x:v>
      </x:c>
      <x:c r="H3302" s="87" t="n">
        <x:v>11</x:v>
      </x:c>
      <x:c r="I3302" s="87" t="str">
        <x:v>ТР №1</x:v>
      </x:c>
      <x:c r="J3302" s="87" t="str">
        <x:v>МА2510109</x:v>
      </x:c>
      <x:c r="K3302" s="87" t="n">
        <x:v>5</x:v>
      </x:c>
      <x:c r="L3302" s="87" t="str">
        <x:v>Вероятность</x:v>
      </x:c>
      <x:c r="M3302" s="30" t="str">
        <x:v>При выпечке хлеба производится контрольное взвешивание свежей буханки.
    Известно, что вероятность того, что масса окажется меньше чем 810 г, равна
    0,95. Вероятность того, что масса окажется больше чем 790 г, равна 0,91.
    Найдите вероятность того, что масса буханки больше чем 790 г, но меньше
    чем 810 г.</x:v>
      </x:c>
      <x:c r="N3302" s="30" t="str">
        <x:v>0,86</x:v>
      </x:c>
      <x:c r="O3302" s="30" t="str">
        <x:v>Ответ принят по официальной таблице СтатГрад.</x:v>
      </x:c>
      <x:c r="P3302" s="30" t="str">
        <x:v>Код варианта, номер и условие сопоставлены с PDF; ответ сверён с первичной таблицей.</x:v>
      </x:c>
      <x:c r="Q3302" s="30"/>
      <x:c r="R3302" s="30" t="str">
        <x:v>Официальный фото-ключ профильного уровня.</x:v>
      </x:c>
      <x:c r="S3302" s="30"/>
      <x:c r="T3302" s="30"/>
      <x:c r="U3302" s="30" t="str">
        <x:v>Расхождений не обнаружено.</x:v>
      </x:c>
      <x:c r="V3302" s="87" t="str">
        <x:v>VERIFIED</x:v>
      </x:c>
      <x:c r="W3302" s="87" t="n">
        <x:v>3</x:v>
      </x:c>
      <x:c r="X3302" s="87"/>
      <x:c r="Y3302" s="87"/>
      <x:c r="Z3302" s="87"/>
      <x:c r="AA3302" s="87"/>
      <x:c r="AB3302" s="87"/>
      <x:c r="AC3302" s="87"/>
      <x:c r="AD3302" s="87"/>
      <x:c r="AE3302" s="87"/>
      <x:c r="AF3302" s="87"/>
      <x:c r="AG3302" s="87"/>
      <x:c r="AH3302" s="87"/>
      <x:c r="AI3302" s="30"/>
      <x:c r="AJ3302" s="87" t="str">
        <x:v>master</x:v>
      </x:c>
      <x:c r="AK3302" s="87" t="str">
        <x:v>master-v0.81</x:v>
      </x:c>
      <x:c r="AL3302" s="87" t="str">
        <x:v>statgrad_master_base_v0_81_final(2).xlsx</x:v>
      </x:c>
      <x:c r="AM3302" s="87" t="str">
        <x:v>MATH_Oct_Prof_V9</x:v>
      </x:c>
      <x:c r="AN3302" s="87" t="n">
        <x:v>6</x:v>
      </x:c>
    </x:row>
    <x:row r="3303">
      <x:c r="A3303" s="87" t="n">
        <x:v>3302</x:v>
      </x:c>
      <x:c r="B3303" s="87" t="str">
        <x:v>OCT-MATH-0109-06</x:v>
      </x:c>
      <x:c r="C3303" s="87" t="str">
        <x:v>СтатГрад</x:v>
      </x:c>
      <x:c r="D3303" s="87" t="str">
        <x:v>Октябрь 2025</x:v>
      </x:c>
      <x:c r="E3303" s="87"/>
      <x:c r="F3303" s="87"/>
      <x:c r="G3303" s="87" t="str">
        <x:v>Математика</x:v>
      </x:c>
      <x:c r="H3303" s="87" t="n">
        <x:v>11</x:v>
      </x:c>
      <x:c r="I3303" s="87" t="str">
        <x:v>ТР №1</x:v>
      </x:c>
      <x:c r="J3303" s="87" t="str">
        <x:v>МА2510109</x:v>
      </x:c>
      <x:c r="K3303" s="87" t="n">
        <x:v>6</x:v>
      </x:c>
      <x:c r="L3303" s="87" t="str">
        <x:v>Уравнение</x:v>
      </x:c>
      <x:c r="M3303" s="30" t="str">
        <x:v>Найдите корень уравнения 3 x − 5 =
                                     5.
                                       log 2 20</x:v>
      </x:c>
      <x:c r="N3303" s="30" t="str">
        <x:v>130</x:v>
      </x:c>
      <x:c r="O3303" s="30" t="str">
        <x:v>Ответ принят по официальной таблице СтатГрад.</x:v>
      </x:c>
      <x:c r="P3303" s="30" t="str">
        <x:v>Код варианта, номер и условие сопоставлены с PDF; ответ сверён с первичной таблицей.</x:v>
      </x:c>
      <x:c r="Q3303" s="30"/>
      <x:c r="R3303" s="30" t="str">
        <x:v>Официальный фото-ключ профильного уровня.</x:v>
      </x:c>
      <x:c r="S3303" s="30"/>
      <x:c r="T3303" s="30"/>
      <x:c r="U3303" s="30" t="str">
        <x:v>Расхождений не обнаружено.</x:v>
      </x:c>
      <x:c r="V3303" s="87" t="str">
        <x:v>VERIFIED</x:v>
      </x:c>
      <x:c r="W3303" s="87" t="n">
        <x:v>3</x:v>
      </x:c>
      <x:c r="X3303" s="87"/>
      <x:c r="Y3303" s="87"/>
      <x:c r="Z3303" s="87"/>
      <x:c r="AA3303" s="87"/>
      <x:c r="AB3303" s="87"/>
      <x:c r="AC3303" s="87"/>
      <x:c r="AD3303" s="87"/>
      <x:c r="AE3303" s="87"/>
      <x:c r="AF3303" s="87"/>
      <x:c r="AG3303" s="87"/>
      <x:c r="AH3303" s="87"/>
      <x:c r="AI3303" s="30"/>
      <x:c r="AJ3303" s="87" t="str">
        <x:v>master</x:v>
      </x:c>
      <x:c r="AK3303" s="87" t="str">
        <x:v>master-v0.81</x:v>
      </x:c>
      <x:c r="AL3303" s="87" t="str">
        <x:v>statgrad_master_base_v0_81_final(2).xlsx</x:v>
      </x:c>
      <x:c r="AM3303" s="87" t="str">
        <x:v>MATH_Oct_Prof_V9</x:v>
      </x:c>
      <x:c r="AN3303" s="87" t="n">
        <x:v>7</x:v>
      </x:c>
    </x:row>
    <x:row r="3304">
      <x:c r="A3304" s="87" t="n">
        <x:v>3303</x:v>
      </x:c>
      <x:c r="B3304" s="87" t="str">
        <x:v>OCT-MATH-0109-07</x:v>
      </x:c>
      <x:c r="C3304" s="87" t="str">
        <x:v>СтатГрад</x:v>
      </x:c>
      <x:c r="D3304" s="87" t="str">
        <x:v>Октябрь 2025</x:v>
      </x:c>
      <x:c r="E3304" s="87"/>
      <x:c r="F3304" s="87"/>
      <x:c r="G3304" s="87" t="str">
        <x:v>Математика</x:v>
      </x:c>
      <x:c r="H3304" s="87" t="n">
        <x:v>11</x:v>
      </x:c>
      <x:c r="I3304" s="87" t="str">
        <x:v>ТР №1</x:v>
      </x:c>
      <x:c r="J3304" s="87" t="str">
        <x:v>МА2510109</x:v>
      </x:c>
      <x:c r="K3304" s="87" t="n">
        <x:v>7</x:v>
      </x:c>
      <x:c r="L3304" s="87" t="str">
        <x:v>Логарифмы / выражение</x:v>
      </x:c>
      <x:c r="M3304" s="30" t="str">
        <x:v>Найдите значение выражения                  + log11 0,05 .
                                       log 2 11</x:v>
      </x:c>
      <x:c r="N3304" s="30" t="str">
        <x:v>0</x:v>
      </x:c>
      <x:c r="O3304" s="30" t="str">
        <x:v>Ответ принят по официальной таблице СтатГрад.</x:v>
      </x:c>
      <x:c r="P3304" s="30" t="str">
        <x:v>Код варианта, номер и условие сопоставлены с PDF; ответ сверён с первичной таблицей.</x:v>
      </x:c>
      <x:c r="Q3304" s="30"/>
      <x:c r="R3304" s="30" t="str">
        <x:v>Официальный фото-ключ профильного уровня.</x:v>
      </x:c>
      <x:c r="S3304" s="30"/>
      <x:c r="T3304" s="30"/>
      <x:c r="U3304" s="30" t="str">
        <x:v>Расхождений не обнаружено.</x:v>
      </x:c>
      <x:c r="V3304" s="87" t="str">
        <x:v>VERIFIED</x:v>
      </x:c>
      <x:c r="W3304" s="87" t="n">
        <x:v>3</x:v>
      </x:c>
      <x:c r="X3304" s="87"/>
      <x:c r="Y3304" s="87"/>
      <x:c r="Z3304" s="87"/>
      <x:c r="AA3304" s="87"/>
      <x:c r="AB3304" s="87"/>
      <x:c r="AC3304" s="87"/>
      <x:c r="AD3304" s="87"/>
      <x:c r="AE3304" s="87"/>
      <x:c r="AF3304" s="87"/>
      <x:c r="AG3304" s="87"/>
      <x:c r="AH3304" s="87"/>
      <x:c r="AI3304" s="30"/>
      <x:c r="AJ3304" s="87" t="str">
        <x:v>master</x:v>
      </x:c>
      <x:c r="AK3304" s="87" t="str">
        <x:v>master-v0.81</x:v>
      </x:c>
      <x:c r="AL3304" s="87" t="str">
        <x:v>statgrad_master_base_v0_81_final(2).xlsx</x:v>
      </x:c>
      <x:c r="AM3304" s="87" t="str">
        <x:v>MATH_Oct_Prof_V9</x:v>
      </x:c>
      <x:c r="AN3304" s="87" t="n">
        <x:v>8</x:v>
      </x:c>
    </x:row>
    <x:row r="3305">
      <x:c r="A3305" s="87" t="n">
        <x:v>3304</x:v>
      </x:c>
      <x:c r="B3305" s="87" t="str">
        <x:v>OCT-MATH-0109-08</x:v>
      </x:c>
      <x:c r="C3305" s="87" t="str">
        <x:v>СтатГрад</x:v>
      </x:c>
      <x:c r="D3305" s="87" t="str">
        <x:v>Октябрь 2025</x:v>
      </x:c>
      <x:c r="E3305" s="87"/>
      <x:c r="F3305" s="87"/>
      <x:c r="G3305" s="87" t="str">
        <x:v>Математика</x:v>
      </x:c>
      <x:c r="H3305" s="87" t="n">
        <x:v>11</x:v>
      </x:c>
      <x:c r="I3305" s="87" t="str">
        <x:v>ТР №1</x:v>
      </x:c>
      <x:c r="J3305" s="87" t="str">
        <x:v>МА2510109</x:v>
      </x:c>
      <x:c r="K3305" s="87" t="n">
        <x:v>8</x:v>
      </x:c>
      <x:c r="L3305" s="87" t="str">
        <x:v>График производной</x:v>
      </x:c>
      <x:c r="M3305" s="30" t="str">
        <x:v>На рисунке изображён график функции y = f ( x ) , определённой на интервале
    ( −1;10 ) . Определите количество точек, в которых производная функции
     f ( x ) равна 0.
                                 y
                                 1
                            −1                                         x
                                 0                               10
                                   согласия СтатГрад запрещена</x:v>
      </x:c>
      <x:c r="N3305" s="30" t="str">
        <x:v>5</x:v>
      </x:c>
      <x:c r="O3305" s="30" t="str">
        <x:v>Ответ принят по официальной таблице СтатГрад.</x:v>
      </x:c>
      <x:c r="P3305" s="30" t="str">
        <x:v>Код варианта, номер и условие сопоставлены с PDF; ответ сверён с первичной таблицей.</x:v>
      </x:c>
      <x:c r="Q3305" s="30"/>
      <x:c r="R3305" s="30" t="str">
        <x:v>Официальный фото-ключ профильного уровня.</x:v>
      </x:c>
      <x:c r="S3305" s="30"/>
      <x:c r="T3305" s="30"/>
      <x:c r="U3305" s="30" t="str">
        <x:v>Расхождений не обнаружено.</x:v>
      </x:c>
      <x:c r="V3305" s="87" t="str">
        <x:v>VERIFIED</x:v>
      </x:c>
      <x:c r="W3305" s="87" t="n">
        <x:v>3</x:v>
      </x:c>
      <x:c r="X3305" s="87"/>
      <x:c r="Y3305" s="87"/>
      <x:c r="Z3305" s="87"/>
      <x:c r="AA3305" s="87"/>
      <x:c r="AB3305" s="87"/>
      <x:c r="AC3305" s="87" t="str">
        <x:v>VIS-MATH-OCT-034</x:v>
      </x:c>
      <x:c r="AD3305" s="87"/>
      <x:c r="AE3305" s="87" t="str">
        <x:v>Полная страница с визуальным контекстом</x:v>
      </x:c>
      <x:c r="AF3305" s="87" t="str">
        <x:v>VIS-MATH-OCT-034: 3</x:v>
      </x:c>
      <x:c r="AG3305" s="87" t="str">
        <x:v>RESOLVED / SOURCE_REGENERATED</x:v>
      </x:c>
      <x:c r="AH3305" s="87" t="str">
        <x:v>SOURCE_PAGE_REGENERATED_FULL_PAGE_NO_CROP; TASK_CROP_QA_APPROVED:USE_CONTEXT</x:v>
      </x:c>
      <x:c r="AI3305" s="30"/>
      <x:c r="AJ3305" s="87" t="str">
        <x:v>master</x:v>
      </x:c>
      <x:c r="AK3305" s="87" t="str">
        <x:v>master-v0.81</x:v>
      </x:c>
      <x:c r="AL3305" s="87" t="str">
        <x:v>statgrad_master_base_v0_81_final(2).xlsx</x:v>
      </x:c>
      <x:c r="AM3305" s="87" t="str">
        <x:v>MATH_Oct_Prof_V9</x:v>
      </x:c>
      <x:c r="AN3305" s="87" t="n">
        <x:v>9</x:v>
      </x:c>
    </x:row>
    <x:row r="3306">
      <x:c r="A3306" s="87" t="n">
        <x:v>3305</x:v>
      </x:c>
      <x:c r="B3306" s="87" t="str">
        <x:v>OCT-MATH-0109-09</x:v>
      </x:c>
      <x:c r="C3306" s="87" t="str">
        <x:v>СтатГрад</x:v>
      </x:c>
      <x:c r="D3306" s="87" t="str">
        <x:v>Октябрь 2025</x:v>
      </x:c>
      <x:c r="E3306" s="87"/>
      <x:c r="F3306" s="87"/>
      <x:c r="G3306" s="87" t="str">
        <x:v>Математика</x:v>
      </x:c>
      <x:c r="H3306" s="87" t="n">
        <x:v>11</x:v>
      </x:c>
      <x:c r="I3306" s="87" t="str">
        <x:v>ТР №1</x:v>
      </x:c>
      <x:c r="J3306" s="87" t="str">
        <x:v>МА2510109</x:v>
      </x:c>
      <x:c r="K3306" s="87" t="n">
        <x:v>9</x:v>
      </x:c>
      <x:c r="L3306" s="87" t="str">
        <x:v>Прикладная математическая модель</x:v>
      </x:c>
      <x:c r="M3306" s="30" t="str">
        <x:v>Мяч бросили под углом α к плоской горизонтальной поверхности земли.
                                                                  2v sin α
     Время полёта мяча (в секундах) определяется по формуле t = 0          . При
                                                                     g
     каком значении угла α (в градусах) время полёта составит 1,6 секунды, если
     мяч бросают с начальной скоростью v0 = 16 м/с? Считайте, что ускорение
     свободного падения g равно 10 м/с 2 .</x:v>
      </x:c>
      <x:c r="N3306" s="30" t="str">
        <x:v>30</x:v>
      </x:c>
      <x:c r="O3306" s="30" t="str">
        <x:v>Ответ принят по официальной таблице СтатГрад.</x:v>
      </x:c>
      <x:c r="P3306" s="30" t="str">
        <x:v>Код варианта, номер и условие сопоставлены с PDF; ответ сверён с первичной таблицей.</x:v>
      </x:c>
      <x:c r="Q3306" s="30"/>
      <x:c r="R3306" s="30" t="str">
        <x:v>Официальный фото-ключ профильного уровня.</x:v>
      </x:c>
      <x:c r="S3306" s="30"/>
      <x:c r="T3306" s="30"/>
      <x:c r="U3306" s="30" t="str">
        <x:v>Расхождений не обнаружено.</x:v>
      </x:c>
      <x:c r="V3306" s="87" t="str">
        <x:v>VERIFIED</x:v>
      </x:c>
      <x:c r="W3306" s="87" t="n">
        <x:v>4</x:v>
      </x:c>
      <x:c r="X3306" s="87"/>
      <x:c r="Y3306" s="87"/>
      <x:c r="Z3306" s="87"/>
      <x:c r="AA3306" s="87"/>
      <x:c r="AB3306" s="87"/>
      <x:c r="AC3306" s="87"/>
      <x:c r="AD3306" s="87"/>
      <x:c r="AE3306" s="87"/>
      <x:c r="AF3306" s="87"/>
      <x:c r="AG3306" s="87"/>
      <x:c r="AH3306" s="87"/>
      <x:c r="AI3306" s="30"/>
      <x:c r="AJ3306" s="87" t="str">
        <x:v>master</x:v>
      </x:c>
      <x:c r="AK3306" s="87" t="str">
        <x:v>master-v0.81</x:v>
      </x:c>
      <x:c r="AL3306" s="87" t="str">
        <x:v>statgrad_master_base_v0_81_final(2).xlsx</x:v>
      </x:c>
      <x:c r="AM3306" s="87" t="str">
        <x:v>MATH_Oct_Prof_V9</x:v>
      </x:c>
      <x:c r="AN3306" s="87" t="n">
        <x:v>10</x:v>
      </x:c>
    </x:row>
    <x:row r="3307">
      <x:c r="A3307" s="87" t="n">
        <x:v>3306</x:v>
      </x:c>
      <x:c r="B3307" s="87" t="str">
        <x:v>OCT-MATH-0109-10</x:v>
      </x:c>
      <x:c r="C3307" s="87" t="str">
        <x:v>СтатГрад</x:v>
      </x:c>
      <x:c r="D3307" s="87" t="str">
        <x:v>Октябрь 2025</x:v>
      </x:c>
      <x:c r="E3307" s="87"/>
      <x:c r="F3307" s="87"/>
      <x:c r="G3307" s="87" t="str">
        <x:v>Математика</x:v>
      </x:c>
      <x:c r="H3307" s="87" t="n">
        <x:v>11</x:v>
      </x:c>
      <x:c r="I3307" s="87" t="str">
        <x:v>ТР №1</x:v>
      </x:c>
      <x:c r="J3307" s="87" t="str">
        <x:v>МА2510109</x:v>
      </x:c>
      <x:c r="K3307" s="87" t="n">
        <x:v>10</x:v>
      </x:c>
      <x:c r="L3307" s="87" t="str">
        <x:v>Текстовая задача</x:v>
      </x:c>
      <x:c r="M3307" s="30" t="str">
        <x:v>Из пункта A в пункт B одновременно выехали два автомобиля. Первый
     проехал с постоянной скоростью весь путь. Второй проехал первую
     половину пути со скоростью 48 км/ч, а вторую половину пути — со
     скоростью на 32 км/ч большей скорости первого, в результате чего прибыл
     в В одновременно с первым автомобилем. Найдите скорость первого
     автомобиля. Ответ дайте в км/ч.</x:v>
      </x:c>
      <x:c r="N3307" s="30" t="str">
        <x:v>64</x:v>
      </x:c>
      <x:c r="O3307" s="30" t="str">
        <x:v>Ответ принят по официальной таблице СтатГрад.</x:v>
      </x:c>
      <x:c r="P3307" s="30" t="str">
        <x:v>Код варианта, номер и условие сопоставлены с PDF; ответ сверён с первичной таблицей.</x:v>
      </x:c>
      <x:c r="Q3307" s="30"/>
      <x:c r="R3307" s="30" t="str">
        <x:v>Официальный фото-ключ профильного уровня.</x:v>
      </x:c>
      <x:c r="S3307" s="30"/>
      <x:c r="T3307" s="30"/>
      <x:c r="U3307" s="30" t="str">
        <x:v>Расхождений не обнаружено.</x:v>
      </x:c>
      <x:c r="V3307" s="87" t="str">
        <x:v>VERIFIED</x:v>
      </x:c>
      <x:c r="W3307" s="87" t="n">
        <x:v>4</x:v>
      </x:c>
      <x:c r="X3307" s="87"/>
      <x:c r="Y3307" s="87"/>
      <x:c r="Z3307" s="87"/>
      <x:c r="AA3307" s="87"/>
      <x:c r="AB3307" s="87"/>
      <x:c r="AC3307" s="87"/>
      <x:c r="AD3307" s="87"/>
      <x:c r="AE3307" s="87"/>
      <x:c r="AF3307" s="87"/>
      <x:c r="AG3307" s="87"/>
      <x:c r="AH3307" s="87"/>
      <x:c r="AI3307" s="30"/>
      <x:c r="AJ3307" s="87" t="str">
        <x:v>master</x:v>
      </x:c>
      <x:c r="AK3307" s="87" t="str">
        <x:v>master-v0.81</x:v>
      </x:c>
      <x:c r="AL3307" s="87" t="str">
        <x:v>statgrad_master_base_v0_81_final(2).xlsx</x:v>
      </x:c>
      <x:c r="AM3307" s="87" t="str">
        <x:v>MATH_Oct_Prof_V9</x:v>
      </x:c>
      <x:c r="AN3307" s="87" t="n">
        <x:v>11</x:v>
      </x:c>
    </x:row>
    <x:row r="3308">
      <x:c r="A3308" s="87" t="n">
        <x:v>3307</x:v>
      </x:c>
      <x:c r="B3308" s="87" t="str">
        <x:v>OCT-MATH-0109-11</x:v>
      </x:c>
      <x:c r="C3308" s="87" t="str">
        <x:v>СтатГрад</x:v>
      </x:c>
      <x:c r="D3308" s="87" t="str">
        <x:v>Октябрь 2025</x:v>
      </x:c>
      <x:c r="E3308" s="87"/>
      <x:c r="F3308" s="87"/>
      <x:c r="G3308" s="87" t="str">
        <x:v>Математика</x:v>
      </x:c>
      <x:c r="H3308" s="87" t="n">
        <x:v>11</x:v>
      </x:c>
      <x:c r="I3308" s="87" t="str">
        <x:v>ТР №1</x:v>
      </x:c>
      <x:c r="J3308" s="87" t="str">
        <x:v>МА2510109</x:v>
      </x:c>
      <x:c r="K3308" s="87" t="n">
        <x:v>11</x:v>
      </x:c>
      <x:c r="L3308" s="87" t="str">
        <x:v>График функции</x:v>
      </x:c>
      <x:c r="M3308" s="30" t="str">
        <x:v>На рисунке изображён график функции                                 y
     f ( x) =
            − 2 x 2 + bx + c . Найдите значение f ( − 2 ) .
                                                                         1
                                                                         0    1             x
                                                   338</x:v>
      </x:c>
      <x:c r="N3308" s="30" t="str">
        <x:v>-12</x:v>
      </x:c>
      <x:c r="O3308" s="30" t="str">
        <x:v>Ответ принят по официальной таблице СтатГрад.</x:v>
      </x:c>
      <x:c r="P3308" s="30" t="str">
        <x:v>Код варианта, номер и условие сопоставлены с PDF; ответ сверён с первичной таблицей.</x:v>
      </x:c>
      <x:c r="Q3308" s="30"/>
      <x:c r="R3308" s="30" t="str">
        <x:v>Официальный фото-ключ профильного уровня.</x:v>
      </x:c>
      <x:c r="S3308" s="30"/>
      <x:c r="T3308" s="30"/>
      <x:c r="U3308" s="30" t="str">
        <x:v>Расхождений не обнаружено.</x:v>
      </x:c>
      <x:c r="V3308" s="87" t="str">
        <x:v>VERIFIED</x:v>
      </x:c>
      <x:c r="W3308" s="87" t="n">
        <x:v>4</x:v>
      </x:c>
      <x:c r="X3308" s="87"/>
      <x:c r="Y3308" s="87"/>
      <x:c r="Z3308" s="87"/>
      <x:c r="AA3308" s="87"/>
      <x:c r="AB3308" s="87"/>
      <x:c r="AC3308" s="87" t="str">
        <x:v>VIS-MATH-OCT-035</x:v>
      </x:c>
      <x:c r="AD3308" s="87"/>
      <x:c r="AE3308" s="87" t="str">
        <x:v>Полная страница с визуальным контекстом</x:v>
      </x:c>
      <x:c r="AF3308" s="87" t="str">
        <x:v>VIS-MATH-OCT-035: 4</x:v>
      </x:c>
      <x:c r="AG3308" s="87" t="str">
        <x:v>RESOLVED / SOURCE_REGENERATED</x:v>
      </x:c>
      <x:c r="AH3308" s="87" t="str">
        <x:v>SOURCE_PAGE_REGENERATED_FULL_PAGE_NO_CROP; TASK_CROP_QA_APPROVED:USE_TIGHT</x:v>
      </x:c>
      <x:c r="AI3308" s="30"/>
      <x:c r="AJ3308" s="87" t="str">
        <x:v>master</x:v>
      </x:c>
      <x:c r="AK3308" s="87" t="str">
        <x:v>master-v0.81</x:v>
      </x:c>
      <x:c r="AL3308" s="87" t="str">
        <x:v>statgrad_master_base_v0_81_final(2).xlsx</x:v>
      </x:c>
      <x:c r="AM3308" s="87" t="str">
        <x:v>MATH_Oct_Prof_V9</x:v>
      </x:c>
      <x:c r="AN3308" s="87" t="n">
        <x:v>12</x:v>
      </x:c>
    </x:row>
    <x:row r="3309">
      <x:c r="A3309" s="87" t="n">
        <x:v>3308</x:v>
      </x:c>
      <x:c r="B3309" s="87" t="str">
        <x:v>OCT-MATH-0109-12</x:v>
      </x:c>
      <x:c r="C3309" s="87" t="str">
        <x:v>СтатГрад</x:v>
      </x:c>
      <x:c r="D3309" s="87" t="str">
        <x:v>Октябрь 2025</x:v>
      </x:c>
      <x:c r="E3309" s="87"/>
      <x:c r="F3309" s="87"/>
      <x:c r="G3309" s="87" t="str">
        <x:v>Математика</x:v>
      </x:c>
      <x:c r="H3309" s="87" t="n">
        <x:v>11</x:v>
      </x:c>
      <x:c r="I3309" s="87" t="str">
        <x:v>ТР №1</x:v>
      </x:c>
      <x:c r="J3309" s="87" t="str">
        <x:v>МА2510109</x:v>
      </x:c>
      <x:c r="K3309" s="87" t="n">
        <x:v>12</x:v>
      </x:c>
      <x:c r="L3309" s="87" t="str">
        <x:v>Алгебра</x:v>
      </x:c>
      <x:c r="M3309" s="30" t="str">
        <x:v>Найдите точку максимума функции y =               + 2x + 6 .
                                                    x
                                    согласия СтатГрад запрещена</x:v>
      </x:c>
      <x:c r="N3309" s="30" t="str">
        <x:v>-13</x:v>
      </x:c>
      <x:c r="O3309" s="30" t="str">
        <x:v>Ответ принят по официальной таблице СтатГрад.</x:v>
      </x:c>
      <x:c r="P3309" s="30" t="str">
        <x:v>Код варианта, номер и условие сопоставлены с PDF; ответ сверён с первичной таблицей.</x:v>
      </x:c>
      <x:c r="Q3309" s="30"/>
      <x:c r="R3309" s="30" t="str">
        <x:v>Официальный фото-ключ профильного уровня.</x:v>
      </x:c>
      <x:c r="S3309" s="30"/>
      <x:c r="T3309" s="30"/>
      <x:c r="U3309" s="30" t="str">
        <x:v>Расхождений не обнаружено.</x:v>
      </x:c>
      <x:c r="V3309" s="87" t="str">
        <x:v>VERIFIED</x:v>
      </x:c>
      <x:c r="W3309" s="87" t="n">
        <x:v>4</x:v>
      </x:c>
      <x:c r="X3309" s="87"/>
      <x:c r="Y3309" s="87"/>
      <x:c r="Z3309" s="87"/>
      <x:c r="AA3309" s="87"/>
      <x:c r="AB3309" s="87"/>
      <x:c r="AC3309" s="87"/>
      <x:c r="AD3309" s="87"/>
      <x:c r="AE3309" s="87"/>
      <x:c r="AF3309" s="87"/>
      <x:c r="AG3309" s="87"/>
      <x:c r="AH3309" s="87"/>
      <x:c r="AI3309" s="30"/>
      <x:c r="AJ3309" s="87" t="str">
        <x:v>master</x:v>
      </x:c>
      <x:c r="AK3309" s="87" t="str">
        <x:v>master-v0.81</x:v>
      </x:c>
      <x:c r="AL3309" s="87" t="str">
        <x:v>statgrad_master_base_v0_81_final(2).xlsx</x:v>
      </x:c>
      <x:c r="AM3309" s="87" t="str">
        <x:v>MATH_Oct_Prof_V9</x:v>
      </x:c>
      <x:c r="AN3309" s="87" t="n">
        <x:v>13</x:v>
      </x:c>
    </x:row>
    <x:row r="3310">
      <x:c r="A3310" s="87" t="n">
        <x:v>3309</x:v>
      </x:c>
      <x:c r="B3310" s="87" t="str">
        <x:v>OCT-MATH-0109-13</x:v>
      </x:c>
      <x:c r="C3310" s="87" t="str">
        <x:v>СтатГрад</x:v>
      </x:c>
      <x:c r="D3310" s="87" t="str">
        <x:v>Октябрь 2025</x:v>
      </x:c>
      <x:c r="E3310" s="87"/>
      <x:c r="F3310" s="87"/>
      <x:c r="G3310" s="87" t="str">
        <x:v>Математика</x:v>
      </x:c>
      <x:c r="H3310" s="87" t="n">
        <x:v>11</x:v>
      </x:c>
      <x:c r="I3310" s="87" t="str">
        <x:v>ТР №1</x:v>
      </x:c>
      <x:c r="J3310" s="87" t="str">
        <x:v>МА2510109</x:v>
      </x:c>
      <x:c r="K3310" s="87" t="n">
        <x:v>13</x:v>
      </x:c>
      <x:c r="L3310" s="87" t="str">
        <x:v>Тригонометрическое уравнение</x:v>
      </x:c>
      <x:c r="M3310" s="30" t="str">
        <x:v>а) Решите уравнение
                                                     π
                                2cos 2 x − 12cos  x +  − 7 =0.
                                                     2
                                                                     3π 
     б) Укажите корни этого уравнения, принадлежащие отрезку  − 3π; −  .
                                                                      2</x:v>
      </x:c>
      <x:c r="N3310" s="30" t="str">
        <x:v>а) x = π/6 + 2πn или x = 5π/6 + 2πm; б) −11π/6.</x:v>
      </x:c>
      <x:c r="O3310" s="30" t="str">
        <x:v>Официальное решение и шкала оценивания сохранены в отдельном LOCKED-листе.</x:v>
      </x:c>
      <x:c r="P3310" s="30" t="str">
        <x:v>Условие и итог ответа сопоставлены с официальным PDF критериев.</x:v>
      </x:c>
      <x:c r="Q3310" s="30"/>
      <x:c r="R3310" s="30" t="str">
        <x:v>Kriterii_MA11_01102025_zapad.pdf</x:v>
      </x:c>
      <x:c r="S3310" s="30"/>
      <x:c r="T3310" s="30"/>
      <x:c r="U3310" s="30" t="str">
        <x:v>Расхождений не обнаружено.</x:v>
      </x:c>
      <x:c r="V3310" s="87" t="str">
        <x:v>VERIFIED</x:v>
      </x:c>
      <x:c r="W3310" s="87" t="n">
        <x:v>5</x:v>
      </x:c>
      <x:c r="X3310" s="87"/>
      <x:c r="Y3310" s="87"/>
      <x:c r="Z3310" s="87"/>
      <x:c r="AA3310" s="87"/>
      <x:c r="AB3310" s="87"/>
      <x:c r="AC3310" s="87"/>
      <x:c r="AD3310" s="87"/>
      <x:c r="AE3310" s="87"/>
      <x:c r="AF3310" s="87"/>
      <x:c r="AG3310" s="87"/>
      <x:c r="AH3310" s="87"/>
      <x:c r="AI3310" s="30"/>
      <x:c r="AJ3310" s="87" t="str">
        <x:v>master</x:v>
      </x:c>
      <x:c r="AK3310" s="87" t="str">
        <x:v>master-v0.81</x:v>
      </x:c>
      <x:c r="AL3310" s="87" t="str">
        <x:v>statgrad_master_base_v0_81_final(2).xlsx</x:v>
      </x:c>
      <x:c r="AM3310" s="87" t="str">
        <x:v>MATH_Oct_Prof_V9</x:v>
      </x:c>
      <x:c r="AN3310" s="87" t="n">
        <x:v>14</x:v>
      </x:c>
    </x:row>
    <x:row r="3311">
      <x:c r="A3311" s="87" t="n">
        <x:v>3310</x:v>
      </x:c>
      <x:c r="B3311" s="87" t="str">
        <x:v>OCT-MATH-0109-14</x:v>
      </x:c>
      <x:c r="C3311" s="87" t="str">
        <x:v>СтатГрад</x:v>
      </x:c>
      <x:c r="D3311" s="87" t="str">
        <x:v>Октябрь 2025</x:v>
      </x:c>
      <x:c r="E3311" s="87"/>
      <x:c r="F3311" s="87"/>
      <x:c r="G3311" s="87" t="str">
        <x:v>Математика</x:v>
      </x:c>
      <x:c r="H3311" s="87" t="n">
        <x:v>11</x:v>
      </x:c>
      <x:c r="I3311" s="87" t="str">
        <x:v>ТР №1</x:v>
      </x:c>
      <x:c r="J3311" s="87" t="str">
        <x:v>МА2510109</x:v>
      </x:c>
      <x:c r="K3311" s="87" t="n">
        <x:v>14</x:v>
      </x:c>
      <x:c r="L3311" s="87" t="str">
        <x:v>Стереометрия с доказательством</x:v>
      </x:c>
      <x:c r="M3311" s="30" t="str">
        <x:v>На ребре AA1 прямоугольного параллелепипеда ABCDA1B1C1D1 взята точка
     E так, что A1E : EA = 5 : 2 . Точка T — середина ребра B1C1 .
     а) Докажите, что сечение параллелепипеда плоскостью ETD1 является
     трапецией.
     б) Найдите угол между плоскостью ETD1 и плоскостью A1B1C1 , если
     известно, что AB = 3 2 , AD = 4 , AA1 = 14 .
                                      35 x − 319     1</x:v>
      </x:c>
      <x:c r="N3311" s="30" t="str">
        <x:v>б) arctg(5√11/6).</x:v>
      </x:c>
      <x:c r="O3311" s="30" t="str">
        <x:v>Официальное решение и шкала оценивания сохранены в отдельном LOCKED-листе.</x:v>
      </x:c>
      <x:c r="P3311" s="30" t="str">
        <x:v>Условие и итог ответа сопоставлены с официальным PDF критериев.</x:v>
      </x:c>
      <x:c r="Q3311" s="30"/>
      <x:c r="R3311" s="30" t="str">
        <x:v>Kriterii_MA11_01102025_zapad.pdf</x:v>
      </x:c>
      <x:c r="S3311" s="30"/>
      <x:c r="T3311" s="30"/>
      <x:c r="U3311" s="30" t="str">
        <x:v>Расхождений не обнаружено.</x:v>
      </x:c>
      <x:c r="V3311" s="87" t="str">
        <x:v>VERIFIED</x:v>
      </x:c>
      <x:c r="W3311" s="87" t="n">
        <x:v>5</x:v>
      </x:c>
      <x:c r="X3311" s="87"/>
      <x:c r="Y3311" s="87"/>
      <x:c r="Z3311" s="87"/>
      <x:c r="AA3311" s="87"/>
      <x:c r="AB3311" s="87"/>
      <x:c r="AC3311" s="87"/>
      <x:c r="AD3311" s="87"/>
      <x:c r="AE3311" s="87"/>
      <x:c r="AF3311" s="87"/>
      <x:c r="AG3311" s="87"/>
      <x:c r="AH3311" s="87"/>
      <x:c r="AI3311" s="30"/>
      <x:c r="AJ3311" s="87" t="str">
        <x:v>master</x:v>
      </x:c>
      <x:c r="AK3311" s="87" t="str">
        <x:v>master-v0.81</x:v>
      </x:c>
      <x:c r="AL3311" s="87" t="str">
        <x:v>statgrad_master_base_v0_81_final(2).xlsx</x:v>
      </x:c>
      <x:c r="AM3311" s="87" t="str">
        <x:v>MATH_Oct_Prof_V9</x:v>
      </x:c>
      <x:c r="AN3311" s="87" t="n">
        <x:v>15</x:v>
      </x:c>
    </x:row>
    <x:row r="3312">
      <x:c r="A3312" s="87" t="n">
        <x:v>3311</x:v>
      </x:c>
      <x:c r="B3312" s="87" t="str">
        <x:v>OCT-MATH-0109-15</x:v>
      </x:c>
      <x:c r="C3312" s="87" t="str">
        <x:v>СтатГрад</x:v>
      </x:c>
      <x:c r="D3312" s="87" t="str">
        <x:v>Октябрь 2025</x:v>
      </x:c>
      <x:c r="E3312" s="87"/>
      <x:c r="F3312" s="87"/>
      <x:c r="G3312" s="87" t="str">
        <x:v>Математика</x:v>
      </x:c>
      <x:c r="H3312" s="87" t="n">
        <x:v>11</x:v>
      </x:c>
      <x:c r="I3312" s="87" t="str">
        <x:v>ТР №1</x:v>
      </x:c>
      <x:c r="J3312" s="87" t="str">
        <x:v>МА2510109</x:v>
      </x:c>
      <x:c r="K3312" s="87" t="n">
        <x:v>15</x:v>
      </x:c>
      <x:c r="L3312" s="87" t="str">
        <x:v>Рациональное неравенство</x:v>
      </x:c>
      <x:c r="M3312" s="30" t="str">
        <x:v>Решите неравенство x − 5 −                   ≤      .
                                     x − 14 x + 45 x − 9
                                      2</x:v>
      </x:c>
      <x:c r="N3312" s="30" t="str">
        <x:v>(−∞; −1] ∪ (5; 9) ∪ (9; 11].</x:v>
      </x:c>
      <x:c r="O3312" s="30" t="str">
        <x:v>Официальное решение и шкала оценивания сохранены в отдельном LOCKED-листе.</x:v>
      </x:c>
      <x:c r="P3312" s="30" t="str">
        <x:v>Условие и итог ответа сопоставлены с официальным PDF критериев.</x:v>
      </x:c>
      <x:c r="Q3312" s="30"/>
      <x:c r="R3312" s="30" t="str">
        <x:v>Kriterii_MA11_01102025_zapad.pdf</x:v>
      </x:c>
      <x:c r="S3312" s="30"/>
      <x:c r="T3312" s="30"/>
      <x:c r="U3312" s="30" t="str">
        <x:v>Расхождений не обнаружено.</x:v>
      </x:c>
      <x:c r="V3312" s="87" t="str">
        <x:v>VERIFIED</x:v>
      </x:c>
      <x:c r="W3312" s="87" t="n">
        <x:v>5</x:v>
      </x:c>
      <x:c r="X3312" s="87"/>
      <x:c r="Y3312" s="87"/>
      <x:c r="Z3312" s="87"/>
      <x:c r="AA3312" s="87"/>
      <x:c r="AB3312" s="87"/>
      <x:c r="AC3312" s="87"/>
      <x:c r="AD3312" s="87"/>
      <x:c r="AE3312" s="87"/>
      <x:c r="AF3312" s="87"/>
      <x:c r="AG3312" s="87"/>
      <x:c r="AH3312" s="87"/>
      <x:c r="AI3312" s="30"/>
      <x:c r="AJ3312" s="87" t="str">
        <x:v>master</x:v>
      </x:c>
      <x:c r="AK3312" s="87" t="str">
        <x:v>master-v0.81</x:v>
      </x:c>
      <x:c r="AL3312" s="87" t="str">
        <x:v>statgrad_master_base_v0_81_final(2).xlsx</x:v>
      </x:c>
      <x:c r="AM3312" s="87" t="str">
        <x:v>MATH_Oct_Prof_V9</x:v>
      </x:c>
      <x:c r="AN3312" s="87" t="n">
        <x:v>16</x:v>
      </x:c>
    </x:row>
    <x:row r="3313">
      <x:c r="A3313" s="87" t="n">
        <x:v>3312</x:v>
      </x:c>
      <x:c r="B3313" s="87" t="str">
        <x:v>OCT-MATH-0109-16</x:v>
      </x:c>
      <x:c r="C3313" s="87" t="str">
        <x:v>СтатГрад</x:v>
      </x:c>
      <x:c r="D3313" s="87" t="str">
        <x:v>Октябрь 2025</x:v>
      </x:c>
      <x:c r="E3313" s="87"/>
      <x:c r="F3313" s="87"/>
      <x:c r="G3313" s="87" t="str">
        <x:v>Математика</x:v>
      </x:c>
      <x:c r="H3313" s="87" t="n">
        <x:v>11</x:v>
      </x:c>
      <x:c r="I3313" s="87" t="str">
        <x:v>ТР №1</x:v>
      </x:c>
      <x:c r="J3313" s="87" t="str">
        <x:v>МА2510109</x:v>
      </x:c>
      <x:c r="K3313" s="87" t="n">
        <x:v>16</x:v>
      </x:c>
      <x:c r="L3313" s="87" t="str">
        <x:v>Финансовая математика</x:v>
      </x:c>
      <x:c r="M3313" s="30" t="str">
        <x:v>По вкладу «А» банк в конце каждого года увеличивает на 20 % сумму,
     имеющуюся на вкладе в начале года, а по вкладу «Б» — увеличивает эту
     сумму на 22 % в течение каждого из первых двух лет. Найдите наибольшее
     натуральное число процентов, начисленное за третий год по вкладу «Б», при
     котором за три года этот вклад будет менее выгоден, чем вклад «А».
                                    согласия СтатГрад запрещена</x:v>
      </x:c>
      <x:c r="N3313" s="30" t="str">
        <x:v>16.</x:v>
      </x:c>
      <x:c r="O3313" s="30" t="str">
        <x:v>Официальное решение и шкала оценивания сохранены в отдельном LOCKED-листе.</x:v>
      </x:c>
      <x:c r="P3313" s="30" t="str">
        <x:v>Условие и итог ответа сопоставлены с официальным PDF критериев.</x:v>
      </x:c>
      <x:c r="Q3313" s="30"/>
      <x:c r="R3313" s="30" t="str">
        <x:v>Kriterii_MA11_01102025_zapad.pdf</x:v>
      </x:c>
      <x:c r="S3313" s="30"/>
      <x:c r="T3313" s="30"/>
      <x:c r="U3313" s="30" t="str">
        <x:v>Расхождений не обнаружено.</x:v>
      </x:c>
      <x:c r="V3313" s="87" t="str">
        <x:v>VERIFIED</x:v>
      </x:c>
      <x:c r="W3313" s="87" t="n">
        <x:v>5</x:v>
      </x:c>
      <x:c r="X3313" s="87"/>
      <x:c r="Y3313" s="87"/>
      <x:c r="Z3313" s="87"/>
      <x:c r="AA3313" s="87"/>
      <x:c r="AB3313" s="87"/>
      <x:c r="AC3313" s="87"/>
      <x:c r="AD3313" s="87"/>
      <x:c r="AE3313" s="87"/>
      <x:c r="AF3313" s="87"/>
      <x:c r="AG3313" s="87"/>
      <x:c r="AH3313" s="87"/>
      <x:c r="AI3313" s="30"/>
      <x:c r="AJ3313" s="87" t="str">
        <x:v>master</x:v>
      </x:c>
      <x:c r="AK3313" s="87" t="str">
        <x:v>master-v0.81</x:v>
      </x:c>
      <x:c r="AL3313" s="87" t="str">
        <x:v>statgrad_master_base_v0_81_final(2).xlsx</x:v>
      </x:c>
      <x:c r="AM3313" s="87" t="str">
        <x:v>MATH_Oct_Prof_V9</x:v>
      </x:c>
      <x:c r="AN3313" s="87" t="n">
        <x:v>17</x:v>
      </x:c>
    </x:row>
    <x:row r="3314">
      <x:c r="A3314" s="87" t="n">
        <x:v>3313</x:v>
      </x:c>
      <x:c r="B3314" s="87" t="str">
        <x:v>OCT-MATH-0109-17</x:v>
      </x:c>
      <x:c r="C3314" s="87" t="str">
        <x:v>СтатГрад</x:v>
      </x:c>
      <x:c r="D3314" s="87" t="str">
        <x:v>Октябрь 2025</x:v>
      </x:c>
      <x:c r="E3314" s="87"/>
      <x:c r="F3314" s="87"/>
      <x:c r="G3314" s="87" t="str">
        <x:v>Математика</x:v>
      </x:c>
      <x:c r="H3314" s="87" t="n">
        <x:v>11</x:v>
      </x:c>
      <x:c r="I3314" s="87" t="str">
        <x:v>ТР №1</x:v>
      </x:c>
      <x:c r="J3314" s="87" t="str">
        <x:v>МА2510109</x:v>
      </x:c>
      <x:c r="K3314" s="87" t="n">
        <x:v>17</x:v>
      </x:c>
      <x:c r="L3314" s="87" t="str">
        <x:v>Планиметрия с доказательством</x:v>
      </x:c>
      <x:c r="M3314" s="30" t="str">
        <x:v>Биссектрисы углов BAD и BCD равнобедренной трапеции ABCD
     пересекаются в точке O. Через точку O провели прямую, параллельную
     основаниям BC и AD , и пересекающую боковые стороны AB и CD
     в точках M и N соответственно.
     а) Докажите, что отрезок этой прямой внутри трапеции равен её боковой
     стороне.
     б) Найдите длину основания AD , если AO  CO , BC  31 и данная прямая
     делит сторону AB в отношении AM : MB  4 : 5.</x:v>
      </x:c>
      <x:c r="N3314" s="30" t="str">
        <x:v>б) 49.</x:v>
      </x:c>
      <x:c r="O3314" s="30" t="str">
        <x:v>Официальное решение и шкала оценивания сохранены в отдельном LOCKED-листе.</x:v>
      </x:c>
      <x:c r="P3314" s="30" t="str">
        <x:v>Условие и итог ответа сопоставлены с официальным PDF критериев.</x:v>
      </x:c>
      <x:c r="Q3314" s="30"/>
      <x:c r="R3314" s="30" t="str">
        <x:v>Kriterii_MA11_01102025_zapad.pdf</x:v>
      </x:c>
      <x:c r="S3314" s="30"/>
      <x:c r="T3314" s="30"/>
      <x:c r="U3314" s="30" t="str">
        <x:v>Расхождений не обнаружено.</x:v>
      </x:c>
      <x:c r="V3314" s="87" t="str">
        <x:v>VERIFIED</x:v>
      </x:c>
      <x:c r="W3314" s="87" t="n">
        <x:v>6</x:v>
      </x:c>
      <x:c r="X3314" s="87"/>
      <x:c r="Y3314" s="87"/>
      <x:c r="Z3314" s="87"/>
      <x:c r="AA3314" s="87"/>
      <x:c r="AB3314" s="87"/>
      <x:c r="AC3314" s="87"/>
      <x:c r="AD3314" s="87"/>
      <x:c r="AE3314" s="87"/>
      <x:c r="AF3314" s="87"/>
      <x:c r="AG3314" s="87"/>
      <x:c r="AH3314" s="87"/>
      <x:c r="AI3314" s="30"/>
      <x:c r="AJ3314" s="87" t="str">
        <x:v>master</x:v>
      </x:c>
      <x:c r="AK3314" s="87" t="str">
        <x:v>master-v0.81</x:v>
      </x:c>
      <x:c r="AL3314" s="87" t="str">
        <x:v>statgrad_master_base_v0_81_final(2).xlsx</x:v>
      </x:c>
      <x:c r="AM3314" s="87" t="str">
        <x:v>MATH_Oct_Prof_V9</x:v>
      </x:c>
      <x:c r="AN3314" s="87" t="n">
        <x:v>18</x:v>
      </x:c>
    </x:row>
    <x:row r="3315">
      <x:c r="A3315" s="87" t="n">
        <x:v>3314</x:v>
      </x:c>
      <x:c r="B3315" s="87" t="str">
        <x:v>OCT-MATH-0109-18</x:v>
      </x:c>
      <x:c r="C3315" s="87" t="str">
        <x:v>СтатГрад</x:v>
      </x:c>
      <x:c r="D3315" s="87" t="str">
        <x:v>Октябрь 2025</x:v>
      </x:c>
      <x:c r="E3315" s="87"/>
      <x:c r="F3315" s="87"/>
      <x:c r="G3315" s="87" t="str">
        <x:v>Математика</x:v>
      </x:c>
      <x:c r="H3315" s="87" t="n">
        <x:v>11</x:v>
      </x:c>
      <x:c r="I3315" s="87" t="str">
        <x:v>ТР №1</x:v>
      </x:c>
      <x:c r="J3315" s="87" t="str">
        <x:v>МА2510109</x:v>
      </x:c>
      <x:c r="K3315" s="87" t="n">
        <x:v>18</x:v>
      </x:c>
      <x:c r="L3315" s="87" t="str">
        <x:v>Задача с параметром</x:v>
      </x:c>
      <x:c r="M3315" s="30" t="str">
        <x:v>Найдите все значения a , при каждом из которых уравнение
                                                            
                         9 x 4  4 x 2  5x  2   a 2 x 2  a  3x 2  4 x  a
     имеет ровно три различных корня.</x:v>
      </x:c>
      <x:c r="N3315" s="30" t="str">
        <x:v>a &lt; −2; −2 &lt; a ≤ −1.</x:v>
      </x:c>
      <x:c r="O3315" s="30" t="str">
        <x:v>Официальное решение и шкала оценивания сохранены в отдельном LOCKED-листе.</x:v>
      </x:c>
      <x:c r="P3315" s="30" t="str">
        <x:v>Условие и итог ответа сопоставлены с официальным PDF критериев.</x:v>
      </x:c>
      <x:c r="Q3315" s="30"/>
      <x:c r="R3315" s="30" t="str">
        <x:v>Kriterii_MA11_01102025_zapad.pdf</x:v>
      </x:c>
      <x:c r="S3315" s="30"/>
      <x:c r="T3315" s="30"/>
      <x:c r="U3315" s="30" t="str">
        <x:v>Расхождений не обнаружено.</x:v>
      </x:c>
      <x:c r="V3315" s="87" t="str">
        <x:v>VERIFIED</x:v>
      </x:c>
      <x:c r="W3315" s="87" t="n">
        <x:v>6</x:v>
      </x:c>
      <x:c r="X3315" s="87"/>
      <x:c r="Y3315" s="87"/>
      <x:c r="Z3315" s="87"/>
      <x:c r="AA3315" s="87"/>
      <x:c r="AB3315" s="87"/>
      <x:c r="AC3315" s="87"/>
      <x:c r="AD3315" s="87"/>
      <x:c r="AE3315" s="87"/>
      <x:c r="AF3315" s="87"/>
      <x:c r="AG3315" s="87"/>
      <x:c r="AH3315" s="87"/>
      <x:c r="AI3315" s="30"/>
      <x:c r="AJ3315" s="87" t="str">
        <x:v>master</x:v>
      </x:c>
      <x:c r="AK3315" s="87" t="str">
        <x:v>master-v0.81</x:v>
      </x:c>
      <x:c r="AL3315" s="87" t="str">
        <x:v>statgrad_master_base_v0_81_final(2).xlsx</x:v>
      </x:c>
      <x:c r="AM3315" s="87" t="str">
        <x:v>MATH_Oct_Prof_V9</x:v>
      </x:c>
      <x:c r="AN3315" s="87" t="n">
        <x:v>19</x:v>
      </x:c>
    </x:row>
    <x:row r="3316">
      <x:c r="A3316" s="87" t="n">
        <x:v>3315</x:v>
      </x:c>
      <x:c r="B3316" s="87" t="str">
        <x:v>OCT-MATH-0109-19</x:v>
      </x:c>
      <x:c r="C3316" s="87" t="str">
        <x:v>СтатГрад</x:v>
      </x:c>
      <x:c r="D3316" s="87" t="str">
        <x:v>Октябрь 2025</x:v>
      </x:c>
      <x:c r="E3316" s="87"/>
      <x:c r="F3316" s="87"/>
      <x:c r="G3316" s="87" t="str">
        <x:v>Математика</x:v>
      </x:c>
      <x:c r="H3316" s="87" t="n">
        <x:v>11</x:v>
      </x:c>
      <x:c r="I3316" s="87" t="str">
        <x:v>ТР №1</x:v>
      </x:c>
      <x:c r="J3316" s="87" t="str">
        <x:v>МА2510109</x:v>
      </x:c>
      <x:c r="K3316" s="87" t="n">
        <x:v>19</x:v>
      </x:c>
      <x:c r="L3316" s="87" t="str">
        <x:v>Теория чисел / оптимизация</x:v>
      </x:c>
      <x:c r="M3316" s="30" t="str">
        <x:v>Пусть S  n  обозначает сумму цифр натурального числа n .
     а) Существует ли такое число n , что 2n  S  n   2026 ?
     б) Существует ли такое число n , что 4n  S  n   2026 ?
     в) Для какого наименьшего натурального числа k найдётся хотя бы одно
     такое двузначное число n , что 9kn  S  n   10 542 ?
                                    согласия СтатГрад запрещена</x:v>
      </x:c>
      <x:c r="N3316" s="30" t="str">
        <x:v>а) нет; б) нет; в) 30.</x:v>
      </x:c>
      <x:c r="O3316" s="30" t="str">
        <x:v>Официальное решение и шкала оценивания сохранены в отдельном LOCKED-листе.</x:v>
      </x:c>
      <x:c r="P3316" s="30" t="str">
        <x:v>Условие и итог ответа сопоставлены с официальным PDF критериев.</x:v>
      </x:c>
      <x:c r="Q3316" s="30"/>
      <x:c r="R3316" s="30" t="str">
        <x:v>Kriterii_MA11_01102025_zapad.pdf</x:v>
      </x:c>
      <x:c r="S3316" s="30"/>
      <x:c r="T3316" s="30"/>
      <x:c r="U3316" s="30" t="str">
        <x:v>Расхождений не обнаружено.</x:v>
      </x:c>
      <x:c r="V3316" s="87" t="str">
        <x:v>VERIFIED</x:v>
      </x:c>
      <x:c r="W3316" s="87" t="n">
        <x:v>6</x:v>
      </x:c>
      <x:c r="X3316" s="87"/>
      <x:c r="Y3316" s="87"/>
      <x:c r="Z3316" s="87"/>
      <x:c r="AA3316" s="87"/>
      <x:c r="AB3316" s="87"/>
      <x:c r="AC3316" s="87"/>
      <x:c r="AD3316" s="87"/>
      <x:c r="AE3316" s="87"/>
      <x:c r="AF3316" s="87"/>
      <x:c r="AG3316" s="87"/>
      <x:c r="AH3316" s="87"/>
      <x:c r="AI3316" s="30"/>
      <x:c r="AJ3316" s="87" t="str">
        <x:v>master</x:v>
      </x:c>
      <x:c r="AK3316" s="87" t="str">
        <x:v>master-v0.81</x:v>
      </x:c>
      <x:c r="AL3316" s="87" t="str">
        <x:v>statgrad_master_base_v0_81_final(2).xlsx</x:v>
      </x:c>
      <x:c r="AM3316" s="87" t="str">
        <x:v>MATH_Oct_Prof_V9</x:v>
      </x:c>
      <x:c r="AN3316" s="87" t="n">
        <x:v>20</x:v>
      </x:c>
    </x:row>
    <x:row r="3317">
      <x:c r="A3317" s="87" t="n">
        <x:v>3316</x:v>
      </x:c>
      <x:c r="B3317" s="87" t="str">
        <x:v>OCT-MATH-0110-01</x:v>
      </x:c>
      <x:c r="C3317" s="87" t="str">
        <x:v>СтатГрад</x:v>
      </x:c>
      <x:c r="D3317" s="87" t="str">
        <x:v>Октябрь 2025</x:v>
      </x:c>
      <x:c r="E3317" s="87"/>
      <x:c r="F3317" s="87"/>
      <x:c r="G3317" s="87" t="str">
        <x:v>Математика</x:v>
      </x:c>
      <x:c r="H3317" s="87" t="n">
        <x:v>11</x:v>
      </x:c>
      <x:c r="I3317" s="87" t="str">
        <x:v>ТР №1</x:v>
      </x:c>
      <x:c r="J3317" s="87" t="str">
        <x:v>МА2510110</x:v>
      </x:c>
      <x:c r="K3317" s="87" t="n">
        <x:v>1</x:v>
      </x:c>
      <x:c r="L3317" s="87" t="str">
        <x:v>Планиметрия</x:v>
      </x:c>
      <x:c r="M3317" s="30" t="str">
        <x:v>Катеты равнобедренного прямоугольного треугольника
    равны 62 + 31 2 . Найдите радиус окружности,
    вписанной в этот треугольник.
              2
             (      )</x:v>
      </x:c>
      <x:c r="N3317" s="30" t="str">
        <x:v>31</x:v>
      </x:c>
      <x:c r="O3317" s="30" t="str">
        <x:v>Ответ принят по официальной таблице СтатГрад.</x:v>
      </x:c>
      <x:c r="P3317" s="30" t="str">
        <x:v>Код варианта, номер и условие сопоставлены с PDF; ответ сверён с первичной таблицей.</x:v>
      </x:c>
      <x:c r="Q3317" s="30"/>
      <x:c r="R3317" s="30" t="str">
        <x:v>Официальный фото-ключ профильного уровня.</x:v>
      </x:c>
      <x:c r="S3317" s="30"/>
      <x:c r="T3317" s="30"/>
      <x:c r="U3317" s="30" t="str">
        <x:v>Расхождений не обнаружено.</x:v>
      </x:c>
      <x:c r="V3317" s="87" t="str">
        <x:v>VERIFIED</x:v>
      </x:c>
      <x:c r="W3317" s="87" t="n">
        <x:v>8</x:v>
      </x:c>
      <x:c r="X3317" s="87"/>
      <x:c r="Y3317" s="87"/>
      <x:c r="Z3317" s="87"/>
      <x:c r="AA3317" s="87"/>
      <x:c r="AB3317" s="87"/>
      <x:c r="AC3317" s="87" t="str">
        <x:v>VIS-MATH-OCT-036</x:v>
      </x:c>
      <x:c r="AD3317" s="87"/>
      <x:c r="AE3317" s="87" t="str">
        <x:v>Полная страница с визуальным контекстом</x:v>
      </x:c>
      <x:c r="AF3317" s="87" t="str">
        <x:v>VIS-MATH-OCT-036: 8</x:v>
      </x:c>
      <x:c r="AG3317" s="87" t="str">
        <x:v>RESOLVED / SOURCE_REGENERATED</x:v>
      </x:c>
      <x:c r="AH3317" s="87" t="str">
        <x:v>SOURCE_PAGE_REGENERATED_FULL_PAGE_NO_CROP</x:v>
      </x:c>
      <x:c r="AI3317" s="30"/>
      <x:c r="AJ3317" s="87" t="str">
        <x:v>master</x:v>
      </x:c>
      <x:c r="AK3317" s="87" t="str">
        <x:v>master-v0.81</x:v>
      </x:c>
      <x:c r="AL3317" s="87" t="str">
        <x:v>statgrad_master_base_v0_81_final(2).xlsx</x:v>
      </x:c>
      <x:c r="AM3317" s="87" t="str">
        <x:v>MATH_Oct_Prof_V10</x:v>
      </x:c>
      <x:c r="AN3317" s="87" t="n">
        <x:v>2</x:v>
      </x:c>
    </x:row>
    <x:row r="3318">
      <x:c r="A3318" s="87" t="n">
        <x:v>3317</x:v>
      </x:c>
      <x:c r="B3318" s="87" t="str">
        <x:v>OCT-MATH-0110-02</x:v>
      </x:c>
      <x:c r="C3318" s="87" t="str">
        <x:v>СтатГрад</x:v>
      </x:c>
      <x:c r="D3318" s="87" t="str">
        <x:v>Октябрь 2025</x:v>
      </x:c>
      <x:c r="E3318" s="87"/>
      <x:c r="F3318" s="87"/>
      <x:c r="G3318" s="87" t="str">
        <x:v>Математика</x:v>
      </x:c>
      <x:c r="H3318" s="87" t="n">
        <x:v>11</x:v>
      </x:c>
      <x:c r="I3318" s="87" t="str">
        <x:v>ТР №1</x:v>
      </x:c>
      <x:c r="J3318" s="87" t="str">
        <x:v>МА2510110</x:v>
      </x:c>
      <x:c r="K3318" s="87" t="n">
        <x:v>2</x:v>
      </x:c>
      <x:c r="L3318" s="87" t="str">
        <x:v>Векторы</x:v>
      </x:c>
      <x:c r="M3318" s="30" t="str">
        <x:v>y
    Найдите a − b .
                                                           6
                                                           4
                                                                                                x
                                                            0      2                   8</x:v>
      </x:c>
      <x:c r="N3318" s="30" t="str">
        <x:v>40</x:v>
      </x:c>
      <x:c r="O3318" s="30" t="str">
        <x:v>Ответ принят по официальной таблице СтатГрад.</x:v>
      </x:c>
      <x:c r="P3318" s="30" t="str">
        <x:v>Код варианта, номер и условие сопоставлены с PDF; ответ сверён с первичной таблицей.</x:v>
      </x:c>
      <x:c r="Q3318" s="30"/>
      <x:c r="R3318" s="30" t="str">
        <x:v>Официальный фото-ключ профильного уровня.</x:v>
      </x:c>
      <x:c r="S3318" s="30"/>
      <x:c r="T3318" s="30"/>
      <x:c r="U3318" s="30" t="str">
        <x:v>Расхождений не обнаружено.</x:v>
      </x:c>
      <x:c r="V3318" s="87" t="str">
        <x:v>VERIFIED</x:v>
      </x:c>
      <x:c r="W3318" s="87" t="n">
        <x:v>8</x:v>
      </x:c>
      <x:c r="X3318" s="87"/>
      <x:c r="Y3318" s="87"/>
      <x:c r="Z3318" s="87"/>
      <x:c r="AA3318" s="87"/>
      <x:c r="AB3318" s="87"/>
      <x:c r="AC3318" s="87"/>
      <x:c r="AD3318" s="87"/>
      <x:c r="AE3318" s="87"/>
      <x:c r="AF3318" s="87"/>
      <x:c r="AG3318" s="87"/>
      <x:c r="AH3318" s="87"/>
      <x:c r="AI3318" s="30"/>
      <x:c r="AJ3318" s="87" t="str">
        <x:v>master</x:v>
      </x:c>
      <x:c r="AK3318" s="87" t="str">
        <x:v>master-v0.81</x:v>
      </x:c>
      <x:c r="AL3318" s="87" t="str">
        <x:v>statgrad_master_base_v0_81_final(2).xlsx</x:v>
      </x:c>
      <x:c r="AM3318" s="87" t="str">
        <x:v>MATH_Oct_Prof_V10</x:v>
      </x:c>
      <x:c r="AN3318" s="87" t="n">
        <x:v>3</x:v>
      </x:c>
    </x:row>
    <x:row r="3319">
      <x:c r="A3319" s="87" t="n">
        <x:v>3318</x:v>
      </x:c>
      <x:c r="B3319" s="87" t="str">
        <x:v>OCT-MATH-0110-03</x:v>
      </x:c>
      <x:c r="C3319" s="87" t="str">
        <x:v>СтатГрад</x:v>
      </x:c>
      <x:c r="D3319" s="87" t="str">
        <x:v>Октябрь 2025</x:v>
      </x:c>
      <x:c r="E3319" s="87"/>
      <x:c r="F3319" s="87"/>
      <x:c r="G3319" s="87" t="str">
        <x:v>Математика</x:v>
      </x:c>
      <x:c r="H3319" s="87" t="n">
        <x:v>11</x:v>
      </x:c>
      <x:c r="I3319" s="87" t="str">
        <x:v>ТР №1</x:v>
      </x:c>
      <x:c r="J3319" s="87" t="str">
        <x:v>МА2510110</x:v>
      </x:c>
      <x:c r="K3319" s="87" t="n">
        <x:v>3</x:v>
      </x:c>
      <x:c r="L3319" s="87" t="str">
        <x:v>Стереометрия</x:v>
      </x:c>
      <x:c r="M3319" s="30" t="str">
        <x:v>Найдите площадь поверхности прямой призмы,
    в основании которой лежит ромб с диагоналями,
    равными 3 и 4, и боковым ребром, равным 3.</x:v>
      </x:c>
      <x:c r="N3319" s="30" t="str">
        <x:v>42</x:v>
      </x:c>
      <x:c r="O3319" s="30" t="str">
        <x:v>Ответ принят по официальной таблице СтатГрад.</x:v>
      </x:c>
      <x:c r="P3319" s="30" t="str">
        <x:v>Код варианта, номер и условие сопоставлены с PDF; ответ сверён с первичной таблицей.</x:v>
      </x:c>
      <x:c r="Q3319" s="30"/>
      <x:c r="R3319" s="30" t="str">
        <x:v>Официальный фото-ключ профильного уровня.</x:v>
      </x:c>
      <x:c r="S3319" s="30"/>
      <x:c r="T3319" s="30"/>
      <x:c r="U3319" s="30" t="str">
        <x:v>Расхождений не обнаружено.</x:v>
      </x:c>
      <x:c r="V3319" s="87" t="str">
        <x:v>VERIFIED</x:v>
      </x:c>
      <x:c r="W3319" s="87" t="n">
        <x:v>8</x:v>
      </x:c>
      <x:c r="X3319" s="87"/>
      <x:c r="Y3319" s="87"/>
      <x:c r="Z3319" s="87"/>
      <x:c r="AA3319" s="87"/>
      <x:c r="AB3319" s="87"/>
      <x:c r="AC3319" s="87"/>
      <x:c r="AD3319" s="87"/>
      <x:c r="AE3319" s="87"/>
      <x:c r="AF3319" s="87"/>
      <x:c r="AG3319" s="87"/>
      <x:c r="AH3319" s="87"/>
      <x:c r="AI3319" s="30"/>
      <x:c r="AJ3319" s="87" t="str">
        <x:v>master</x:v>
      </x:c>
      <x:c r="AK3319" s="87" t="str">
        <x:v>master-v0.81</x:v>
      </x:c>
      <x:c r="AL3319" s="87" t="str">
        <x:v>statgrad_master_base_v0_81_final(2).xlsx</x:v>
      </x:c>
      <x:c r="AM3319" s="87" t="str">
        <x:v>MATH_Oct_Prof_V10</x:v>
      </x:c>
      <x:c r="AN3319" s="87" t="n">
        <x:v>4</x:v>
      </x:c>
    </x:row>
    <x:row r="3320">
      <x:c r="A3320" s="87" t="n">
        <x:v>3319</x:v>
      </x:c>
      <x:c r="B3320" s="87" t="str">
        <x:v>OCT-MATH-0110-04</x:v>
      </x:c>
      <x:c r="C3320" s="87" t="str">
        <x:v>СтатГрад</x:v>
      </x:c>
      <x:c r="D3320" s="87" t="str">
        <x:v>Октябрь 2025</x:v>
      </x:c>
      <x:c r="E3320" s="87"/>
      <x:c r="F3320" s="87"/>
      <x:c r="G3320" s="87" t="str">
        <x:v>Математика</x:v>
      </x:c>
      <x:c r="H3320" s="87" t="n">
        <x:v>11</x:v>
      </x:c>
      <x:c r="I3320" s="87" t="str">
        <x:v>ТР №1</x:v>
      </x:c>
      <x:c r="J3320" s="87" t="str">
        <x:v>МА2510110</x:v>
      </x:c>
      <x:c r="K3320" s="87" t="n">
        <x:v>4</x:v>
      </x:c>
      <x:c r="L3320" s="87" t="str">
        <x:v>Вероятность</x:v>
      </x:c>
      <x:c r="M3320" s="30" t="str">
        <x:v>В среднем из 1000 садовых насосов, поступивших в продажу, 9 подтекают.
    Найдите вероятность того, что один случайно выбранный для контроля насос
    не подтекает.
                                   согласия СтатГрад запрещена</x:v>
      </x:c>
      <x:c r="N3320" s="30" t="str">
        <x:v>0,991</x:v>
      </x:c>
      <x:c r="O3320" s="30" t="str">
        <x:v>Ответ принят по официальной таблице СтатГрад.</x:v>
      </x:c>
      <x:c r="P3320" s="30" t="str">
        <x:v>Код варианта, номер и условие сопоставлены с PDF; ответ сверён с первичной таблицей.</x:v>
      </x:c>
      <x:c r="Q3320" s="30"/>
      <x:c r="R3320" s="30" t="str">
        <x:v>Официальный фото-ключ профильного уровня.</x:v>
      </x:c>
      <x:c r="S3320" s="30"/>
      <x:c r="T3320" s="30"/>
      <x:c r="U3320" s="30" t="str">
        <x:v>Расхождений не обнаружено.</x:v>
      </x:c>
      <x:c r="V3320" s="87" t="str">
        <x:v>VERIFIED</x:v>
      </x:c>
      <x:c r="W3320" s="87" t="n">
        <x:v>8</x:v>
      </x:c>
      <x:c r="X3320" s="87"/>
      <x:c r="Y3320" s="87"/>
      <x:c r="Z3320" s="87"/>
      <x:c r="AA3320" s="87"/>
      <x:c r="AB3320" s="87"/>
      <x:c r="AC3320" s="87"/>
      <x:c r="AD3320" s="87"/>
      <x:c r="AE3320" s="87"/>
      <x:c r="AF3320" s="87"/>
      <x:c r="AG3320" s="87"/>
      <x:c r="AH3320" s="87"/>
      <x:c r="AI3320" s="30"/>
      <x:c r="AJ3320" s="87" t="str">
        <x:v>master</x:v>
      </x:c>
      <x:c r="AK3320" s="87" t="str">
        <x:v>master-v0.81</x:v>
      </x:c>
      <x:c r="AL3320" s="87" t="str">
        <x:v>statgrad_master_base_v0_81_final(2).xlsx</x:v>
      </x:c>
      <x:c r="AM3320" s="87" t="str">
        <x:v>MATH_Oct_Prof_V10</x:v>
      </x:c>
      <x:c r="AN3320" s="87" t="n">
        <x:v>5</x:v>
      </x:c>
    </x:row>
    <x:row r="3321">
      <x:c r="A3321" s="87" t="n">
        <x:v>3320</x:v>
      </x:c>
      <x:c r="B3321" s="87" t="str">
        <x:v>OCT-MATH-0110-05</x:v>
      </x:c>
      <x:c r="C3321" s="87" t="str">
        <x:v>СтатГрад</x:v>
      </x:c>
      <x:c r="D3321" s="87" t="str">
        <x:v>Октябрь 2025</x:v>
      </x:c>
      <x:c r="E3321" s="87"/>
      <x:c r="F3321" s="87"/>
      <x:c r="G3321" s="87" t="str">
        <x:v>Математика</x:v>
      </x:c>
      <x:c r="H3321" s="87" t="n">
        <x:v>11</x:v>
      </x:c>
      <x:c r="I3321" s="87" t="str">
        <x:v>ТР №1</x:v>
      </x:c>
      <x:c r="J3321" s="87" t="str">
        <x:v>МА2510110</x:v>
      </x:c>
      <x:c r="K3321" s="87" t="n">
        <x:v>5</x:v>
      </x:c>
      <x:c r="L3321" s="87" t="str">
        <x:v>Вероятность</x:v>
      </x:c>
      <x:c r="M3321" s="30" t="str">
        <x:v>При выпечке хлеба производится контрольное взвешивание свежей буханки.
    Известно, что вероятность того, что масса окажется меньше чем 810 г, равна
    0,97. Вероятность того, что масса окажется больше чем 790 г, равна 0,94.
    Найдите вероятность того, что масса буханки больше чем 790 г, но меньше
    чем 810 г.</x:v>
      </x:c>
      <x:c r="N3321" s="30" t="str">
        <x:v>0,91</x:v>
      </x:c>
      <x:c r="O3321" s="30" t="str">
        <x:v>Ответ принят по официальной таблице СтатГрад.</x:v>
      </x:c>
      <x:c r="P3321" s="30" t="str">
        <x:v>Код варианта, номер и условие сопоставлены с PDF; ответ сверён с первичной таблицей.</x:v>
      </x:c>
      <x:c r="Q3321" s="30"/>
      <x:c r="R3321" s="30" t="str">
        <x:v>Официальный фото-ключ профильного уровня.</x:v>
      </x:c>
      <x:c r="S3321" s="30"/>
      <x:c r="T3321" s="30"/>
      <x:c r="U3321" s="30" t="str">
        <x:v>Расхождений не обнаружено.</x:v>
      </x:c>
      <x:c r="V3321" s="87" t="str">
        <x:v>VERIFIED</x:v>
      </x:c>
      <x:c r="W3321" s="87" t="n">
        <x:v>9</x:v>
      </x:c>
      <x:c r="X3321" s="87"/>
      <x:c r="Y3321" s="87"/>
      <x:c r="Z3321" s="87"/>
      <x:c r="AA3321" s="87"/>
      <x:c r="AB3321" s="87"/>
      <x:c r="AC3321" s="87"/>
      <x:c r="AD3321" s="87"/>
      <x:c r="AE3321" s="87"/>
      <x:c r="AF3321" s="87"/>
      <x:c r="AG3321" s="87"/>
      <x:c r="AH3321" s="87"/>
      <x:c r="AI3321" s="30"/>
      <x:c r="AJ3321" s="87" t="str">
        <x:v>master</x:v>
      </x:c>
      <x:c r="AK3321" s="87" t="str">
        <x:v>master-v0.81</x:v>
      </x:c>
      <x:c r="AL3321" s="87" t="str">
        <x:v>statgrad_master_base_v0_81_final(2).xlsx</x:v>
      </x:c>
      <x:c r="AM3321" s="87" t="str">
        <x:v>MATH_Oct_Prof_V10</x:v>
      </x:c>
      <x:c r="AN3321" s="87" t="n">
        <x:v>6</x:v>
      </x:c>
    </x:row>
    <x:row r="3322">
      <x:c r="A3322" s="87" t="n">
        <x:v>3321</x:v>
      </x:c>
      <x:c r="B3322" s="87" t="str">
        <x:v>OCT-MATH-0110-06</x:v>
      </x:c>
      <x:c r="C3322" s="87" t="str">
        <x:v>СтатГрад</x:v>
      </x:c>
      <x:c r="D3322" s="87" t="str">
        <x:v>Октябрь 2025</x:v>
      </x:c>
      <x:c r="E3322" s="87"/>
      <x:c r="F3322" s="87"/>
      <x:c r="G3322" s="87" t="str">
        <x:v>Математика</x:v>
      </x:c>
      <x:c r="H3322" s="87" t="n">
        <x:v>11</x:v>
      </x:c>
      <x:c r="I3322" s="87" t="str">
        <x:v>ТР №1</x:v>
      </x:c>
      <x:c r="J3322" s="87" t="str">
        <x:v>МА2510110</x:v>
      </x:c>
      <x:c r="K3322" s="87" t="n">
        <x:v>6</x:v>
      </x:c>
      <x:c r="L3322" s="87" t="str">
        <x:v>Уравнение</x:v>
      </x:c>
      <x:c r="M3322" s="30" t="str">
        <x:v>Найдите корень уравнения 3 x + 7 =
                                     8.
                                       log 9 2</x:v>
      </x:c>
      <x:c r="N3322" s="30" t="str">
        <x:v>505</x:v>
      </x:c>
      <x:c r="O3322" s="30" t="str">
        <x:v>Ответ принят по официальной таблице СтатГрад.</x:v>
      </x:c>
      <x:c r="P3322" s="30" t="str">
        <x:v>Код варианта, номер и условие сопоставлены с PDF; ответ сверён с первичной таблицей.</x:v>
      </x:c>
      <x:c r="Q3322" s="30"/>
      <x:c r="R3322" s="30" t="str">
        <x:v>Официальный фото-ключ профильного уровня.</x:v>
      </x:c>
      <x:c r="S3322" s="30"/>
      <x:c r="T3322" s="30"/>
      <x:c r="U3322" s="30" t="str">
        <x:v>Расхождений не обнаружено.</x:v>
      </x:c>
      <x:c r="V3322" s="87" t="str">
        <x:v>VERIFIED</x:v>
      </x:c>
      <x:c r="W3322" s="87" t="n">
        <x:v>9</x:v>
      </x:c>
      <x:c r="X3322" s="87"/>
      <x:c r="Y3322" s="87"/>
      <x:c r="Z3322" s="87"/>
      <x:c r="AA3322" s="87"/>
      <x:c r="AB3322" s="87"/>
      <x:c r="AC3322" s="87"/>
      <x:c r="AD3322" s="87"/>
      <x:c r="AE3322" s="87"/>
      <x:c r="AF3322" s="87"/>
      <x:c r="AG3322" s="87"/>
      <x:c r="AH3322" s="87"/>
      <x:c r="AI3322" s="30"/>
      <x:c r="AJ3322" s="87" t="str">
        <x:v>master</x:v>
      </x:c>
      <x:c r="AK3322" s="87" t="str">
        <x:v>master-v0.81</x:v>
      </x:c>
      <x:c r="AL3322" s="87" t="str">
        <x:v>statgrad_master_base_v0_81_final(2).xlsx</x:v>
      </x:c>
      <x:c r="AM3322" s="87" t="str">
        <x:v>MATH_Oct_Prof_V10</x:v>
      </x:c>
      <x:c r="AN3322" s="87" t="n">
        <x:v>7</x:v>
      </x:c>
    </x:row>
    <x:row r="3323">
      <x:c r="A3323" s="87" t="n">
        <x:v>3322</x:v>
      </x:c>
      <x:c r="B3323" s="87" t="str">
        <x:v>OCT-MATH-0110-07</x:v>
      </x:c>
      <x:c r="C3323" s="87" t="str">
        <x:v>СтатГрад</x:v>
      </x:c>
      <x:c r="D3323" s="87" t="str">
        <x:v>Октябрь 2025</x:v>
      </x:c>
      <x:c r="E3323" s="87"/>
      <x:c r="F3323" s="87"/>
      <x:c r="G3323" s="87" t="str">
        <x:v>Математика</x:v>
      </x:c>
      <x:c r="H3323" s="87" t="n">
        <x:v>11</x:v>
      </x:c>
      <x:c r="I3323" s="87" t="str">
        <x:v>ТР №1</x:v>
      </x:c>
      <x:c r="J3323" s="87" t="str">
        <x:v>МА2510110</x:v>
      </x:c>
      <x:c r="K3323" s="87" t="n">
        <x:v>7</x:v>
      </x:c>
      <x:c r="L3323" s="87" t="str">
        <x:v>Логарифмы / выражение</x:v>
      </x:c>
      <x:c r="M3323" s="30" t="str">
        <x:v>Найдите значение выражения                 + log 5 0,5 .
                                       log 9 5</x:v>
      </x:c>
      <x:c r="N3323" s="30" t="str">
        <x:v>0</x:v>
      </x:c>
      <x:c r="O3323" s="30" t="str">
        <x:v>Ответ принят по официальной таблице СтатГрад.</x:v>
      </x:c>
      <x:c r="P3323" s="30" t="str">
        <x:v>Код варианта, номер и условие сопоставлены с PDF; ответ сверён с первичной таблицей.</x:v>
      </x:c>
      <x:c r="Q3323" s="30"/>
      <x:c r="R3323" s="30" t="str">
        <x:v>Официальный фото-ключ профильного уровня.</x:v>
      </x:c>
      <x:c r="S3323" s="30"/>
      <x:c r="T3323" s="30"/>
      <x:c r="U3323" s="30" t="str">
        <x:v>Расхождений не обнаружено.</x:v>
      </x:c>
      <x:c r="V3323" s="87" t="str">
        <x:v>VERIFIED</x:v>
      </x:c>
      <x:c r="W3323" s="87" t="n">
        <x:v>9</x:v>
      </x:c>
      <x:c r="X3323" s="87"/>
      <x:c r="Y3323" s="87"/>
      <x:c r="Z3323" s="87"/>
      <x:c r="AA3323" s="87"/>
      <x:c r="AB3323" s="87"/>
      <x:c r="AC3323" s="87"/>
      <x:c r="AD3323" s="87"/>
      <x:c r="AE3323" s="87"/>
      <x:c r="AF3323" s="87"/>
      <x:c r="AG3323" s="87"/>
      <x:c r="AH3323" s="87"/>
      <x:c r="AI3323" s="30"/>
      <x:c r="AJ3323" s="87" t="str">
        <x:v>master</x:v>
      </x:c>
      <x:c r="AK3323" s="87" t="str">
        <x:v>master-v0.81</x:v>
      </x:c>
      <x:c r="AL3323" s="87" t="str">
        <x:v>statgrad_master_base_v0_81_final(2).xlsx</x:v>
      </x:c>
      <x:c r="AM3323" s="87" t="str">
        <x:v>MATH_Oct_Prof_V10</x:v>
      </x:c>
      <x:c r="AN3323" s="87" t="n">
        <x:v>8</x:v>
      </x:c>
    </x:row>
    <x:row r="3324">
      <x:c r="A3324" s="87" t="n">
        <x:v>3323</x:v>
      </x:c>
      <x:c r="B3324" s="87" t="str">
        <x:v>OCT-MATH-0110-08</x:v>
      </x:c>
      <x:c r="C3324" s="87" t="str">
        <x:v>СтатГрад</x:v>
      </x:c>
      <x:c r="D3324" s="87" t="str">
        <x:v>Октябрь 2025</x:v>
      </x:c>
      <x:c r="E3324" s="87"/>
      <x:c r="F3324" s="87"/>
      <x:c r="G3324" s="87" t="str">
        <x:v>Математика</x:v>
      </x:c>
      <x:c r="H3324" s="87" t="n">
        <x:v>11</x:v>
      </x:c>
      <x:c r="I3324" s="87" t="str">
        <x:v>ТР №1</x:v>
      </x:c>
      <x:c r="J3324" s="87" t="str">
        <x:v>МА2510110</x:v>
      </x:c>
      <x:c r="K3324" s="87" t="n">
        <x:v>8</x:v>
      </x:c>
      <x:c r="L3324" s="87" t="str">
        <x:v>График производной</x:v>
      </x:c>
      <x:c r="M3324" s="30" t="str">
        <x:v>На рисунке изображён график функции y = f ( x ) , определённой на интервале
    ( − 4; 8) . Определите количество точек, в которых производная функции f ( x )
    равна 0.
                                       y
                                       1
                          −4                                             x
                                       0                           8
                                   согласия СтатГрад запрещена</x:v>
      </x:c>
      <x:c r="N3324" s="30" t="str">
        <x:v>9</x:v>
      </x:c>
      <x:c r="O3324" s="30" t="str">
        <x:v>Ответ принят по официальной таблице СтатГрад.</x:v>
      </x:c>
      <x:c r="P3324" s="30" t="str">
        <x:v>Код варианта, номер и условие сопоставлены с PDF; ответ сверён с первичной таблицей.</x:v>
      </x:c>
      <x:c r="Q3324" s="30"/>
      <x:c r="R3324" s="30" t="str">
        <x:v>Официальный фото-ключ профильного уровня.</x:v>
      </x:c>
      <x:c r="S3324" s="30"/>
      <x:c r="T3324" s="30"/>
      <x:c r="U3324" s="30" t="str">
        <x:v>Расхождений не обнаружено.</x:v>
      </x:c>
      <x:c r="V3324" s="87" t="str">
        <x:v>VERIFIED</x:v>
      </x:c>
      <x:c r="W3324" s="87" t="n">
        <x:v>9</x:v>
      </x:c>
      <x:c r="X3324" s="87"/>
      <x:c r="Y3324" s="87"/>
      <x:c r="Z3324" s="87"/>
      <x:c r="AA3324" s="87"/>
      <x:c r="AB3324" s="87"/>
      <x:c r="AC3324" s="87" t="str">
        <x:v>VIS-MATH-OCT-037</x:v>
      </x:c>
      <x:c r="AD3324" s="87"/>
      <x:c r="AE3324" s="87" t="str">
        <x:v>Полная страница с визуальным контекстом</x:v>
      </x:c>
      <x:c r="AF3324" s="87" t="str">
        <x:v>VIS-MATH-OCT-037: 9</x:v>
      </x:c>
      <x:c r="AG3324" s="87" t="str">
        <x:v>RESOLVED / SOURCE_REGENERATED</x:v>
      </x:c>
      <x:c r="AH3324" s="87" t="str">
        <x:v>SOURCE_PAGE_REGENERATED_FULL_PAGE_NO_CROP; TASK_CROP_QA_APPROVED:USE_CONTEXT</x:v>
      </x:c>
      <x:c r="AI3324" s="30"/>
      <x:c r="AJ3324" s="87" t="str">
        <x:v>master</x:v>
      </x:c>
      <x:c r="AK3324" s="87" t="str">
        <x:v>master-v0.81</x:v>
      </x:c>
      <x:c r="AL3324" s="87" t="str">
        <x:v>statgrad_master_base_v0_81_final(2).xlsx</x:v>
      </x:c>
      <x:c r="AM3324" s="87" t="str">
        <x:v>MATH_Oct_Prof_V10</x:v>
      </x:c>
      <x:c r="AN3324" s="87" t="n">
        <x:v>9</x:v>
      </x:c>
    </x:row>
    <x:row r="3325">
      <x:c r="A3325" s="87" t="n">
        <x:v>3324</x:v>
      </x:c>
      <x:c r="B3325" s="87" t="str">
        <x:v>OCT-MATH-0110-09</x:v>
      </x:c>
      <x:c r="C3325" s="87" t="str">
        <x:v>СтатГрад</x:v>
      </x:c>
      <x:c r="D3325" s="87" t="str">
        <x:v>Октябрь 2025</x:v>
      </x:c>
      <x:c r="E3325" s="87"/>
      <x:c r="F3325" s="87"/>
      <x:c r="G3325" s="87" t="str">
        <x:v>Математика</x:v>
      </x:c>
      <x:c r="H3325" s="87" t="n">
        <x:v>11</x:v>
      </x:c>
      <x:c r="I3325" s="87" t="str">
        <x:v>ТР №1</x:v>
      </x:c>
      <x:c r="J3325" s="87" t="str">
        <x:v>МА2510110</x:v>
      </x:c>
      <x:c r="K3325" s="87" t="n">
        <x:v>9</x:v>
      </x:c>
      <x:c r="L3325" s="87" t="str">
        <x:v>Прикладная математическая модель</x:v>
      </x:c>
      <x:c r="M3325" s="30" t="str">
        <x:v>Мяч бросили под углом α к плоской горизонтальной поверхности земли.
                                                                   2v sin α
      Время полёта мяча (в секундах) определяется по формуле t = 0          . При
                                                                      g
      каком значении угла α (в градусах) время полёта составит 5,6 секунды, если
      мяч бросают с начальной скоростью v0 = 28 м/с? Считайте, что ускорение
      свободного падения g равно 10 м/с 2 .</x:v>
      </x:c>
      <x:c r="N3325" s="30" t="str">
        <x:v>90</x:v>
      </x:c>
      <x:c r="O3325" s="30" t="str">
        <x:v>Ответ принят по официальной таблице СтатГрад.</x:v>
      </x:c>
      <x:c r="P3325" s="30" t="str">
        <x:v>Код варианта, номер и условие сопоставлены с PDF; ответ сверён с первичной таблицей.</x:v>
      </x:c>
      <x:c r="Q3325" s="30"/>
      <x:c r="R3325" s="30" t="str">
        <x:v>Официальный фото-ключ профильного уровня.</x:v>
      </x:c>
      <x:c r="S3325" s="30"/>
      <x:c r="T3325" s="30"/>
      <x:c r="U3325" s="30" t="str">
        <x:v>Расхождений не обнаружено.</x:v>
      </x:c>
      <x:c r="V3325" s="87" t="str">
        <x:v>VERIFIED</x:v>
      </x:c>
      <x:c r="W3325" s="87" t="n">
        <x:v>10</x:v>
      </x:c>
      <x:c r="X3325" s="87"/>
      <x:c r="Y3325" s="87"/>
      <x:c r="Z3325" s="87"/>
      <x:c r="AA3325" s="87"/>
      <x:c r="AB3325" s="87"/>
      <x:c r="AC3325" s="87"/>
      <x:c r="AD3325" s="87"/>
      <x:c r="AE3325" s="87"/>
      <x:c r="AF3325" s="87"/>
      <x:c r="AG3325" s="87"/>
      <x:c r="AH3325" s="87"/>
      <x:c r="AI3325" s="30"/>
      <x:c r="AJ3325" s="87" t="str">
        <x:v>master</x:v>
      </x:c>
      <x:c r="AK3325" s="87" t="str">
        <x:v>master-v0.81</x:v>
      </x:c>
      <x:c r="AL3325" s="87" t="str">
        <x:v>statgrad_master_base_v0_81_final(2).xlsx</x:v>
      </x:c>
      <x:c r="AM3325" s="87" t="str">
        <x:v>MATH_Oct_Prof_V10</x:v>
      </x:c>
      <x:c r="AN3325" s="87" t="n">
        <x:v>10</x:v>
      </x:c>
    </x:row>
    <x:row r="3326">
      <x:c r="A3326" s="87" t="n">
        <x:v>3325</x:v>
      </x:c>
      <x:c r="B3326" s="87" t="str">
        <x:v>OCT-MATH-0110-10</x:v>
      </x:c>
      <x:c r="C3326" s="87" t="str">
        <x:v>СтатГрад</x:v>
      </x:c>
      <x:c r="D3326" s="87" t="str">
        <x:v>Октябрь 2025</x:v>
      </x:c>
      <x:c r="E3326" s="87"/>
      <x:c r="F3326" s="87"/>
      <x:c r="G3326" s="87" t="str">
        <x:v>Математика</x:v>
      </x:c>
      <x:c r="H3326" s="87" t="n">
        <x:v>11</x:v>
      </x:c>
      <x:c r="I3326" s="87" t="str">
        <x:v>ТР №1</x:v>
      </x:c>
      <x:c r="J3326" s="87" t="str">
        <x:v>МА2510110</x:v>
      </x:c>
      <x:c r="K3326" s="87" t="n">
        <x:v>10</x:v>
      </x:c>
      <x:c r="L3326" s="87" t="str">
        <x:v>Текстовая задача</x:v>
      </x:c>
      <x:c r="M3326" s="30" t="str">
        <x:v>Из пункта A в пункт B одновременно выехали два автомобиля. Первый
      проехал с постоянной скоростью весь путь. Второй проехал первую
      половину пути со скоростью 30 км/ч, а вторую половину пути — со
      скоростью на 28 км/ч большей скорости первого, в результате чего прибыл
      в В одновременно с первым автомобилем. Найдите скорость первого
      автомобиля. Ответ дайте в км/ч.</x:v>
      </x:c>
      <x:c r="N3326" s="30" t="str">
        <x:v>42</x:v>
      </x:c>
      <x:c r="O3326" s="30" t="str">
        <x:v>Ответ принят по официальной таблице СтатГрад.</x:v>
      </x:c>
      <x:c r="P3326" s="30" t="str">
        <x:v>Код варианта, номер и условие сопоставлены с PDF; ответ сверён с первичной таблицей.</x:v>
      </x:c>
      <x:c r="Q3326" s="30"/>
      <x:c r="R3326" s="30" t="str">
        <x:v>Официальный фото-ключ профильного уровня.</x:v>
      </x:c>
      <x:c r="S3326" s="30"/>
      <x:c r="T3326" s="30"/>
      <x:c r="U3326" s="30" t="str">
        <x:v>Расхождений не обнаружено.</x:v>
      </x:c>
      <x:c r="V3326" s="87" t="str">
        <x:v>VERIFIED</x:v>
      </x:c>
      <x:c r="W3326" s="87" t="n">
        <x:v>10</x:v>
      </x:c>
      <x:c r="X3326" s="87"/>
      <x:c r="Y3326" s="87"/>
      <x:c r="Z3326" s="87"/>
      <x:c r="AA3326" s="87"/>
      <x:c r="AB3326" s="87"/>
      <x:c r="AC3326" s="87"/>
      <x:c r="AD3326" s="87"/>
      <x:c r="AE3326" s="87"/>
      <x:c r="AF3326" s="87"/>
      <x:c r="AG3326" s="87"/>
      <x:c r="AH3326" s="87"/>
      <x:c r="AI3326" s="30"/>
      <x:c r="AJ3326" s="87" t="str">
        <x:v>master</x:v>
      </x:c>
      <x:c r="AK3326" s="87" t="str">
        <x:v>master-v0.81</x:v>
      </x:c>
      <x:c r="AL3326" s="87" t="str">
        <x:v>statgrad_master_base_v0_81_final(2).xlsx</x:v>
      </x:c>
      <x:c r="AM3326" s="87" t="str">
        <x:v>MATH_Oct_Prof_V10</x:v>
      </x:c>
      <x:c r="AN3326" s="87" t="n">
        <x:v>11</x:v>
      </x:c>
    </x:row>
    <x:row r="3327">
      <x:c r="A3327" s="87" t="n">
        <x:v>3326</x:v>
      </x:c>
      <x:c r="B3327" s="87" t="str">
        <x:v>OCT-MATH-0110-11</x:v>
      </x:c>
      <x:c r="C3327" s="87" t="str">
        <x:v>СтатГрад</x:v>
      </x:c>
      <x:c r="D3327" s="87" t="str">
        <x:v>Октябрь 2025</x:v>
      </x:c>
      <x:c r="E3327" s="87"/>
      <x:c r="F3327" s="87"/>
      <x:c r="G3327" s="87" t="str">
        <x:v>Математика</x:v>
      </x:c>
      <x:c r="H3327" s="87" t="n">
        <x:v>11</x:v>
      </x:c>
      <x:c r="I3327" s="87" t="str">
        <x:v>ТР №1</x:v>
      </x:c>
      <x:c r="J3327" s="87" t="str">
        <x:v>МА2510110</x:v>
      </x:c>
      <x:c r="K3327" s="87" t="n">
        <x:v>11</x:v>
      </x:c>
      <x:c r="L3327" s="87" t="str">
        <x:v>График функции</x:v>
      </x:c>
      <x:c r="M3327" s="30" t="str">
        <x:v>На рисунке изображён график функции                                              y
     f ( x ) = 2 x 2 + bx + c . Найдите значение f ( − 6 ) .
                                                                                      1
                                                                                      0        x
                                                                                          1
                                                      400</x:v>
      </x:c>
      <x:c r="N3327" s="30" t="str">
        <x:v>17</x:v>
      </x:c>
      <x:c r="O3327" s="30" t="str">
        <x:v>Ответ принят по официальной таблице СтатГрад.</x:v>
      </x:c>
      <x:c r="P3327" s="30" t="str">
        <x:v>Код варианта, номер и условие сопоставлены с PDF; ответ сверён с первичной таблицей.</x:v>
      </x:c>
      <x:c r="Q3327" s="30"/>
      <x:c r="R3327" s="30" t="str">
        <x:v>Официальный фото-ключ профильного уровня.</x:v>
      </x:c>
      <x:c r="S3327" s="30"/>
      <x:c r="T3327" s="30"/>
      <x:c r="U3327" s="30" t="str">
        <x:v>Расхождений не обнаружено.</x:v>
      </x:c>
      <x:c r="V3327" s="87" t="str">
        <x:v>VERIFIED</x:v>
      </x:c>
      <x:c r="W3327" s="87" t="n">
        <x:v>10</x:v>
      </x:c>
      <x:c r="X3327" s="87"/>
      <x:c r="Y3327" s="87"/>
      <x:c r="Z3327" s="87"/>
      <x:c r="AA3327" s="87"/>
      <x:c r="AB3327" s="87"/>
      <x:c r="AC3327" s="87" t="str">
        <x:v>VIS-MATH-OCT-038</x:v>
      </x:c>
      <x:c r="AD3327" s="87"/>
      <x:c r="AE3327" s="87" t="str">
        <x:v>Полная страница с визуальным контекстом</x:v>
      </x:c>
      <x:c r="AF3327" s="87" t="str">
        <x:v>VIS-MATH-OCT-038: 10</x:v>
      </x:c>
      <x:c r="AG3327" s="87" t="str">
        <x:v>RESOLVED / SOURCE_REGENERATED</x:v>
      </x:c>
      <x:c r="AH3327" s="87" t="str">
        <x:v>SOURCE_PAGE_REGENERATED_FULL_PAGE_NO_CROP; TASK_CROP_QA_APPROVED:USE_TIGHT</x:v>
      </x:c>
      <x:c r="AI3327" s="30"/>
      <x:c r="AJ3327" s="87" t="str">
        <x:v>master</x:v>
      </x:c>
      <x:c r="AK3327" s="87" t="str">
        <x:v>master-v0.81</x:v>
      </x:c>
      <x:c r="AL3327" s="87" t="str">
        <x:v>statgrad_master_base_v0_81_final(2).xlsx</x:v>
      </x:c>
      <x:c r="AM3327" s="87" t="str">
        <x:v>MATH_Oct_Prof_V10</x:v>
      </x:c>
      <x:c r="AN3327" s="87" t="n">
        <x:v>12</x:v>
      </x:c>
    </x:row>
    <x:row r="3328">
      <x:c r="A3328" s="87" t="n">
        <x:v>3327</x:v>
      </x:c>
      <x:c r="B3328" s="87" t="str">
        <x:v>OCT-MATH-0110-12</x:v>
      </x:c>
      <x:c r="C3328" s="87" t="str">
        <x:v>СтатГрад</x:v>
      </x:c>
      <x:c r="D3328" s="87" t="str">
        <x:v>Октябрь 2025</x:v>
      </x:c>
      <x:c r="E3328" s="87"/>
      <x:c r="F3328" s="87"/>
      <x:c r="G3328" s="87" t="str">
        <x:v>Математика</x:v>
      </x:c>
      <x:c r="H3328" s="87" t="n">
        <x:v>11</x:v>
      </x:c>
      <x:c r="I3328" s="87" t="str">
        <x:v>ТР №1</x:v>
      </x:c>
      <x:c r="J3328" s="87" t="str">
        <x:v>МА2510110</x:v>
      </x:c>
      <x:c r="K3328" s="87" t="n">
        <x:v>12</x:v>
      </x:c>
      <x:c r="L3328" s="87" t="str">
        <x:v>Алгебра</x:v>
      </x:c>
      <x:c r="M3328" s="30" t="str">
        <x:v>Найдите точку максимума функции y=                  + x + 15 .
                                                       x
                                      согласия СтатГрад запрещена</x:v>
      </x:c>
      <x:c r="N3328" s="30" t="str">
        <x:v>-20</x:v>
      </x:c>
      <x:c r="O3328" s="30" t="str">
        <x:v>Ответ принят по официальной таблице СтатГрад.</x:v>
      </x:c>
      <x:c r="P3328" s="30" t="str">
        <x:v>Код варианта, номер и условие сопоставлены с PDF; ответ сверён с первичной таблицей.</x:v>
      </x:c>
      <x:c r="Q3328" s="30"/>
      <x:c r="R3328" s="30" t="str">
        <x:v>Официальный фото-ключ профильного уровня.</x:v>
      </x:c>
      <x:c r="S3328" s="30"/>
      <x:c r="T3328" s="30"/>
      <x:c r="U3328" s="30" t="str">
        <x:v>Расхождений не обнаружено.</x:v>
      </x:c>
      <x:c r="V3328" s="87" t="str">
        <x:v>VERIFIED</x:v>
      </x:c>
      <x:c r="W3328" s="87" t="n">
        <x:v>10</x:v>
      </x:c>
      <x:c r="X3328" s="87"/>
      <x:c r="Y3328" s="87"/>
      <x:c r="Z3328" s="87"/>
      <x:c r="AA3328" s="87"/>
      <x:c r="AB3328" s="87"/>
      <x:c r="AC3328" s="87"/>
      <x:c r="AD3328" s="87"/>
      <x:c r="AE3328" s="87"/>
      <x:c r="AF3328" s="87"/>
      <x:c r="AG3328" s="87"/>
      <x:c r="AH3328" s="87"/>
      <x:c r="AI3328" s="30"/>
      <x:c r="AJ3328" s="87" t="str">
        <x:v>master</x:v>
      </x:c>
      <x:c r="AK3328" s="87" t="str">
        <x:v>master-v0.81</x:v>
      </x:c>
      <x:c r="AL3328" s="87" t="str">
        <x:v>statgrad_master_base_v0_81_final(2).xlsx</x:v>
      </x:c>
      <x:c r="AM3328" s="87" t="str">
        <x:v>MATH_Oct_Prof_V10</x:v>
      </x:c>
      <x:c r="AN3328" s="87" t="n">
        <x:v>13</x:v>
      </x:c>
    </x:row>
    <x:row r="3329">
      <x:c r="A3329" s="87" t="n">
        <x:v>3328</x:v>
      </x:c>
      <x:c r="B3329" s="87" t="str">
        <x:v>OCT-MATH-0110-13</x:v>
      </x:c>
      <x:c r="C3329" s="87" t="str">
        <x:v>СтатГрад</x:v>
      </x:c>
      <x:c r="D3329" s="87" t="str">
        <x:v>Октябрь 2025</x:v>
      </x:c>
      <x:c r="E3329" s="87"/>
      <x:c r="F3329" s="87"/>
      <x:c r="G3329" s="87" t="str">
        <x:v>Математика</x:v>
      </x:c>
      <x:c r="H3329" s="87" t="n">
        <x:v>11</x:v>
      </x:c>
      <x:c r="I3329" s="87" t="str">
        <x:v>ТР №1</x:v>
      </x:c>
      <x:c r="J3329" s="87" t="str">
        <x:v>МА2510110</x:v>
      </x:c>
      <x:c r="K3329" s="87" t="n">
        <x:v>13</x:v>
      </x:c>
      <x:c r="L3329" s="87" t="str">
        <x:v>Тригонометрическое уравнение</x:v>
      </x:c>
      <x:c r="M3329" s="30" t="str">
        <x:v>а) Решите уравнение
                                                     3π 
                                2cos 2 x − 16cos  x +  − 9 =0.
                                                      2 
                                                              3π   
     б) Укажите корни этого уравнения, принадлежащие отрезку  ; 3π  .
                                                             2     </x:v>
      </x:c>
      <x:c r="N3329" s="30" t="str">
        <x:v>а) x = −5π/6 + 2πn или x = −π/6 + 2πm; б) 11π/6.</x:v>
      </x:c>
      <x:c r="O3329" s="30" t="str">
        <x:v>Официальное решение и шкала оценивания сохранены в отдельном LOCKED-листе.</x:v>
      </x:c>
      <x:c r="P3329" s="30" t="str">
        <x:v>Условие и итог ответа сопоставлены с официальным PDF критериев.</x:v>
      </x:c>
      <x:c r="Q3329" s="30"/>
      <x:c r="R3329" s="30" t="str">
        <x:v>Kriterii_MA11_01102025_zapad.pdf</x:v>
      </x:c>
      <x:c r="S3329" s="30"/>
      <x:c r="T3329" s="30"/>
      <x:c r="U3329" s="30" t="str">
        <x:v>Расхождений не обнаружено.</x:v>
      </x:c>
      <x:c r="V3329" s="87" t="str">
        <x:v>VERIFIED</x:v>
      </x:c>
      <x:c r="W3329" s="87" t="n">
        <x:v>11</x:v>
      </x:c>
      <x:c r="X3329" s="87"/>
      <x:c r="Y3329" s="87"/>
      <x:c r="Z3329" s="87"/>
      <x:c r="AA3329" s="87"/>
      <x:c r="AB3329" s="87"/>
      <x:c r="AC3329" s="87"/>
      <x:c r="AD3329" s="87"/>
      <x:c r="AE3329" s="87"/>
      <x:c r="AF3329" s="87"/>
      <x:c r="AG3329" s="87"/>
      <x:c r="AH3329" s="87"/>
      <x:c r="AI3329" s="30"/>
      <x:c r="AJ3329" s="87" t="str">
        <x:v>master</x:v>
      </x:c>
      <x:c r="AK3329" s="87" t="str">
        <x:v>master-v0.81</x:v>
      </x:c>
      <x:c r="AL3329" s="87" t="str">
        <x:v>statgrad_master_base_v0_81_final(2).xlsx</x:v>
      </x:c>
      <x:c r="AM3329" s="87" t="str">
        <x:v>MATH_Oct_Prof_V10</x:v>
      </x:c>
      <x:c r="AN3329" s="87" t="n">
        <x:v>14</x:v>
      </x:c>
    </x:row>
    <x:row r="3330">
      <x:c r="A3330" s="87" t="n">
        <x:v>3329</x:v>
      </x:c>
      <x:c r="B3330" s="87" t="str">
        <x:v>OCT-MATH-0110-14</x:v>
      </x:c>
      <x:c r="C3330" s="87" t="str">
        <x:v>СтатГрад</x:v>
      </x:c>
      <x:c r="D3330" s="87" t="str">
        <x:v>Октябрь 2025</x:v>
      </x:c>
      <x:c r="E3330" s="87"/>
      <x:c r="F3330" s="87"/>
      <x:c r="G3330" s="87" t="str">
        <x:v>Математика</x:v>
      </x:c>
      <x:c r="H3330" s="87" t="n">
        <x:v>11</x:v>
      </x:c>
      <x:c r="I3330" s="87" t="str">
        <x:v>ТР №1</x:v>
      </x:c>
      <x:c r="J3330" s="87" t="str">
        <x:v>МА2510110</x:v>
      </x:c>
      <x:c r="K3330" s="87" t="n">
        <x:v>14</x:v>
      </x:c>
      <x:c r="L3330" s="87" t="str">
        <x:v>Стереометрия с доказательством</x:v>
      </x:c>
      <x:c r="M3330" s="30" t="str">
        <x:v>На ребре AA1 прямоугольного параллелепипеда ABCDA1B1C1D1 взята точка
     E так, что A1E : EA = 2 :1 . Точка T — середина ребра B1C1 .
     а) Докажите, что сечение параллелепипеда плоскостью ETD1 является
     трапецией.
     б) Найдите угол между плоскостью ETD1 и плоскостью A1B1C1 , если
     известно, что AB = 2 2 , AD = 7 , AA1 = 6 .
                                       63 x − 700      1</x:v>
      </x:c>
      <x:c r="N3330" s="30" t="str">
        <x:v>б) arctg(9√2/14).</x:v>
      </x:c>
      <x:c r="O3330" s="30" t="str">
        <x:v>Официальное решение и шкала оценивания сохранены в отдельном LOCKED-листе.</x:v>
      </x:c>
      <x:c r="P3330" s="30" t="str">
        <x:v>Условие и итог ответа сопоставлены с официальным PDF критериев.</x:v>
      </x:c>
      <x:c r="Q3330" s="30"/>
      <x:c r="R3330" s="30" t="str">
        <x:v>Kriterii_MA11_01102025_zapad.pdf</x:v>
      </x:c>
      <x:c r="S3330" s="30"/>
      <x:c r="T3330" s="30"/>
      <x:c r="U3330" s="30" t="str">
        <x:v>Расхождений не обнаружено.</x:v>
      </x:c>
      <x:c r="V3330" s="87" t="str">
        <x:v>VERIFIED</x:v>
      </x:c>
      <x:c r="W3330" s="87" t="n">
        <x:v>11</x:v>
      </x:c>
      <x:c r="X3330" s="87"/>
      <x:c r="Y3330" s="87"/>
      <x:c r="Z3330" s="87"/>
      <x:c r="AA3330" s="87"/>
      <x:c r="AB3330" s="87"/>
      <x:c r="AC3330" s="87"/>
      <x:c r="AD3330" s="87"/>
      <x:c r="AE3330" s="87"/>
      <x:c r="AF3330" s="87"/>
      <x:c r="AG3330" s="87"/>
      <x:c r="AH3330" s="87"/>
      <x:c r="AI3330" s="30"/>
      <x:c r="AJ3330" s="87" t="str">
        <x:v>master</x:v>
      </x:c>
      <x:c r="AK3330" s="87" t="str">
        <x:v>master-v0.81</x:v>
      </x:c>
      <x:c r="AL3330" s="87" t="str">
        <x:v>statgrad_master_base_v0_81_final(2).xlsx</x:v>
      </x:c>
      <x:c r="AM3330" s="87" t="str">
        <x:v>MATH_Oct_Prof_V10</x:v>
      </x:c>
      <x:c r="AN3330" s="87" t="n">
        <x:v>15</x:v>
      </x:c>
    </x:row>
    <x:row r="3331">
      <x:c r="A3331" s="87" t="n">
        <x:v>3330</x:v>
      </x:c>
      <x:c r="B3331" s="87" t="str">
        <x:v>OCT-MATH-0110-15</x:v>
      </x:c>
      <x:c r="C3331" s="87" t="str">
        <x:v>СтатГрад</x:v>
      </x:c>
      <x:c r="D3331" s="87" t="str">
        <x:v>Октябрь 2025</x:v>
      </x:c>
      <x:c r="E3331" s="87"/>
      <x:c r="F3331" s="87"/>
      <x:c r="G3331" s="87" t="str">
        <x:v>Математика</x:v>
      </x:c>
      <x:c r="H3331" s="87" t="n">
        <x:v>11</x:v>
      </x:c>
      <x:c r="I3331" s="87" t="str">
        <x:v>ТР №1</x:v>
      </x:c>
      <x:c r="J3331" s="87" t="str">
        <x:v>МА2510110</x:v>
      </x:c>
      <x:c r="K3331" s="87" t="n">
        <x:v>15</x:v>
      </x:c>
      <x:c r="L3331" s="87" t="str">
        <x:v>Рациональное неравенство</x:v>
      </x:c>
      <x:c r="M3331" s="30" t="str">
        <x:v>Решите неравенство x − 4 −                     ≤       .
                                     x 2 − 15 x + 44 x − 11</x:v>
      </x:c>
      <x:c r="N3331" s="30" t="str">
        <x:v>(−∞; −4] ∪ (4; 11) ∪ (11; 12].</x:v>
      </x:c>
      <x:c r="O3331" s="30" t="str">
        <x:v>Официальное решение и шкала оценивания сохранены в отдельном LOCKED-листе.</x:v>
      </x:c>
      <x:c r="P3331" s="30" t="str">
        <x:v>Условие и итог ответа сопоставлены с официальным PDF критериев.</x:v>
      </x:c>
      <x:c r="Q3331" s="30"/>
      <x:c r="R3331" s="30" t="str">
        <x:v>Kriterii_MA11_01102025_zapad.pdf</x:v>
      </x:c>
      <x:c r="S3331" s="30"/>
      <x:c r="T3331" s="30"/>
      <x:c r="U3331" s="30" t="str">
        <x:v>Расхождений не обнаружено.</x:v>
      </x:c>
      <x:c r="V3331" s="87" t="str">
        <x:v>VERIFIED</x:v>
      </x:c>
      <x:c r="W3331" s="87" t="n">
        <x:v>11</x:v>
      </x:c>
      <x:c r="X3331" s="87"/>
      <x:c r="Y3331" s="87"/>
      <x:c r="Z3331" s="87"/>
      <x:c r="AA3331" s="87"/>
      <x:c r="AB3331" s="87"/>
      <x:c r="AC3331" s="87"/>
      <x:c r="AD3331" s="87"/>
      <x:c r="AE3331" s="87"/>
      <x:c r="AF3331" s="87"/>
      <x:c r="AG3331" s="87"/>
      <x:c r="AH3331" s="87"/>
      <x:c r="AI3331" s="30"/>
      <x:c r="AJ3331" s="87" t="str">
        <x:v>master</x:v>
      </x:c>
      <x:c r="AK3331" s="87" t="str">
        <x:v>master-v0.81</x:v>
      </x:c>
      <x:c r="AL3331" s="87" t="str">
        <x:v>statgrad_master_base_v0_81_final(2).xlsx</x:v>
      </x:c>
      <x:c r="AM3331" s="87" t="str">
        <x:v>MATH_Oct_Prof_V10</x:v>
      </x:c>
      <x:c r="AN3331" s="87" t="n">
        <x:v>16</x:v>
      </x:c>
    </x:row>
    <x:row r="3332">
      <x:c r="A3332" s="87" t="n">
        <x:v>3331</x:v>
      </x:c>
      <x:c r="B3332" s="87" t="str">
        <x:v>OCT-MATH-0110-16</x:v>
      </x:c>
      <x:c r="C3332" s="87" t="str">
        <x:v>СтатГрад</x:v>
      </x:c>
      <x:c r="D3332" s="87" t="str">
        <x:v>Октябрь 2025</x:v>
      </x:c>
      <x:c r="E3332" s="87"/>
      <x:c r="F3332" s="87"/>
      <x:c r="G3332" s="87" t="str">
        <x:v>Математика</x:v>
      </x:c>
      <x:c r="H3332" s="87" t="n">
        <x:v>11</x:v>
      </x:c>
      <x:c r="I3332" s="87" t="str">
        <x:v>ТР №1</x:v>
      </x:c>
      <x:c r="J3332" s="87" t="str">
        <x:v>МА2510110</x:v>
      </x:c>
      <x:c r="K3332" s="87" t="n">
        <x:v>16</x:v>
      </x:c>
      <x:c r="L3332" s="87" t="str">
        <x:v>Финансовая математика</x:v>
      </x:c>
      <x:c r="M3332" s="30" t="str">
        <x:v>По вкладу «А» банк в конце каждого года увеличивает на 30 % сумму,
     имеющуюся на вкладе в начале года, а по вкладу «Б» — увеличивает эту
     сумму на 35 % в течение каждого из первых двух лет. Найдите наибольшее
     натуральное число процентов, начисленное за третий год по вкладу «Б», при
     котором за три года этот вклад будет менее выгоден, чем вклад «А».
                                    согласия СтатГрад запрещена</x:v>
      </x:c>
      <x:c r="N3332" s="30" t="str">
        <x:v>20.</x:v>
      </x:c>
      <x:c r="O3332" s="30" t="str">
        <x:v>Официальное решение и шкала оценивания сохранены в отдельном LOCKED-листе.</x:v>
      </x:c>
      <x:c r="P3332" s="30" t="str">
        <x:v>Условие и итог ответа сопоставлены с официальным PDF критериев.</x:v>
      </x:c>
      <x:c r="Q3332" s="30"/>
      <x:c r="R3332" s="30" t="str">
        <x:v>Kriterii_MA11_01102025_zapad.pdf</x:v>
      </x:c>
      <x:c r="S3332" s="30"/>
      <x:c r="T3332" s="30"/>
      <x:c r="U3332" s="30" t="str">
        <x:v>Расхождений не обнаружено.</x:v>
      </x:c>
      <x:c r="V3332" s="87" t="str">
        <x:v>VERIFIED</x:v>
      </x:c>
      <x:c r="W3332" s="87" t="n">
        <x:v>11</x:v>
      </x:c>
      <x:c r="X3332" s="87"/>
      <x:c r="Y3332" s="87"/>
      <x:c r="Z3332" s="87"/>
      <x:c r="AA3332" s="87"/>
      <x:c r="AB3332" s="87"/>
      <x:c r="AC3332" s="87"/>
      <x:c r="AD3332" s="87"/>
      <x:c r="AE3332" s="87"/>
      <x:c r="AF3332" s="87"/>
      <x:c r="AG3332" s="87"/>
      <x:c r="AH3332" s="87"/>
      <x:c r="AI3332" s="30"/>
      <x:c r="AJ3332" s="87" t="str">
        <x:v>master</x:v>
      </x:c>
      <x:c r="AK3332" s="87" t="str">
        <x:v>master-v0.81</x:v>
      </x:c>
      <x:c r="AL3332" s="87" t="str">
        <x:v>statgrad_master_base_v0_81_final(2).xlsx</x:v>
      </x:c>
      <x:c r="AM3332" s="87" t="str">
        <x:v>MATH_Oct_Prof_V10</x:v>
      </x:c>
      <x:c r="AN3332" s="87" t="n">
        <x:v>17</x:v>
      </x:c>
    </x:row>
    <x:row r="3333">
      <x:c r="A3333" s="87" t="n">
        <x:v>3332</x:v>
      </x:c>
      <x:c r="B3333" s="87" t="str">
        <x:v>OCT-MATH-0110-17</x:v>
      </x:c>
      <x:c r="C3333" s="87" t="str">
        <x:v>СтатГрад</x:v>
      </x:c>
      <x:c r="D3333" s="87" t="str">
        <x:v>Октябрь 2025</x:v>
      </x:c>
      <x:c r="E3333" s="87"/>
      <x:c r="F3333" s="87"/>
      <x:c r="G3333" s="87" t="str">
        <x:v>Математика</x:v>
      </x:c>
      <x:c r="H3333" s="87" t="n">
        <x:v>11</x:v>
      </x:c>
      <x:c r="I3333" s="87" t="str">
        <x:v>ТР №1</x:v>
      </x:c>
      <x:c r="J3333" s="87" t="str">
        <x:v>МА2510110</x:v>
      </x:c>
      <x:c r="K3333" s="87" t="n">
        <x:v>17</x:v>
      </x:c>
      <x:c r="L3333" s="87" t="str">
        <x:v>Планиметрия с доказательством</x:v>
      </x:c>
      <x:c r="M3333" s="30" t="str">
        <x:v>Биссектрисы углов BAD и BCD равнобедренной трапеции ABCD
     пересекаются в точке O. Через точку O провели прямую, параллельную
     основаниям BC и AD , и пересекающую боковые стороны AB и CD
     в точках M и N соответственно.
     а) Докажите, что отрезок этой прямой внутри трапеции равен её боковой
     стороне.
     б) Найдите длину основания AD , если AO = CO , BC = 17 и данная прямая
     делит сторону AB в отношении AM : MB = 3: 4.</x:v>
      </x:c>
      <x:c r="N3333" s="30" t="str">
        <x:v>б) 31.</x:v>
      </x:c>
      <x:c r="O3333" s="30" t="str">
        <x:v>Официальное решение и шкала оценивания сохранены в отдельном LOCKED-листе.</x:v>
      </x:c>
      <x:c r="P3333" s="30" t="str">
        <x:v>Условие и итог ответа сопоставлены с официальным PDF критериев.</x:v>
      </x:c>
      <x:c r="Q3333" s="30"/>
      <x:c r="R3333" s="30" t="str">
        <x:v>Kriterii_MA11_01102025_zapad.pdf</x:v>
      </x:c>
      <x:c r="S3333" s="30"/>
      <x:c r="T3333" s="30"/>
      <x:c r="U3333" s="30" t="str">
        <x:v>Расхождений не обнаружено.</x:v>
      </x:c>
      <x:c r="V3333" s="87" t="str">
        <x:v>VERIFIED</x:v>
      </x:c>
      <x:c r="W3333" s="87" t="n">
        <x:v>12</x:v>
      </x:c>
      <x:c r="X3333" s="87"/>
      <x:c r="Y3333" s="87"/>
      <x:c r="Z3333" s="87"/>
      <x:c r="AA3333" s="87"/>
      <x:c r="AB3333" s="87"/>
      <x:c r="AC3333" s="87"/>
      <x:c r="AD3333" s="87"/>
      <x:c r="AE3333" s="87"/>
      <x:c r="AF3333" s="87"/>
      <x:c r="AG3333" s="87"/>
      <x:c r="AH3333" s="87"/>
      <x:c r="AI3333" s="30"/>
      <x:c r="AJ3333" s="87" t="str">
        <x:v>master</x:v>
      </x:c>
      <x:c r="AK3333" s="87" t="str">
        <x:v>master-v0.81</x:v>
      </x:c>
      <x:c r="AL3333" s="87" t="str">
        <x:v>statgrad_master_base_v0_81_final(2).xlsx</x:v>
      </x:c>
      <x:c r="AM3333" s="87" t="str">
        <x:v>MATH_Oct_Prof_V10</x:v>
      </x:c>
      <x:c r="AN3333" s="87" t="n">
        <x:v>18</x:v>
      </x:c>
    </x:row>
    <x:row r="3334">
      <x:c r="A3334" s="87" t="n">
        <x:v>3333</x:v>
      </x:c>
      <x:c r="B3334" s="87" t="str">
        <x:v>OCT-MATH-0110-18</x:v>
      </x:c>
      <x:c r="C3334" s="87" t="str">
        <x:v>СтатГрад</x:v>
      </x:c>
      <x:c r="D3334" s="87" t="str">
        <x:v>Октябрь 2025</x:v>
      </x:c>
      <x:c r="E3334" s="87"/>
      <x:c r="F3334" s="87"/>
      <x:c r="G3334" s="87" t="str">
        <x:v>Математика</x:v>
      </x:c>
      <x:c r="H3334" s="87" t="n">
        <x:v>11</x:v>
      </x:c>
      <x:c r="I3334" s="87" t="str">
        <x:v>ТР №1</x:v>
      </x:c>
      <x:c r="J3334" s="87" t="str">
        <x:v>МА2510110</x:v>
      </x:c>
      <x:c r="K3334" s="87" t="n">
        <x:v>18</x:v>
      </x:c>
      <x:c r="L3334" s="87" t="str">
        <x:v>Задача с параметром</x:v>
      </x:c>
      <x:c r="M3334" s="30" t="str">
        <x:v>Найдите все значения a , при каждом из которых уравнение
                                                   (         )
                         4 x 4 + 3x 2 ( 6 x + 5) − a 2 x 2 − a = 2 x 2 + 5 x − a
     имеет ровно три различных корня.</x:v>
      </x:c>
      <x:c r="N3334" s="30" t="str">
        <x:v>a &lt; −5; −5 &lt; a ≤ −2.</x:v>
      </x:c>
      <x:c r="O3334" s="30" t="str">
        <x:v>Официальное решение и шкала оценивания сохранены в отдельном LOCKED-листе.</x:v>
      </x:c>
      <x:c r="P3334" s="30" t="str">
        <x:v>Условие и итог ответа сопоставлены с официальным PDF критериев.</x:v>
      </x:c>
      <x:c r="Q3334" s="30"/>
      <x:c r="R3334" s="30" t="str">
        <x:v>Kriterii_MA11_01102025_zapad.pdf</x:v>
      </x:c>
      <x:c r="S3334" s="30"/>
      <x:c r="T3334" s="30"/>
      <x:c r="U3334" s="30" t="str">
        <x:v>Расхождений не обнаружено.</x:v>
      </x:c>
      <x:c r="V3334" s="87" t="str">
        <x:v>VERIFIED</x:v>
      </x:c>
      <x:c r="W3334" s="87" t="n">
        <x:v>12</x:v>
      </x:c>
      <x:c r="X3334" s="87"/>
      <x:c r="Y3334" s="87"/>
      <x:c r="Z3334" s="87"/>
      <x:c r="AA3334" s="87"/>
      <x:c r="AB3334" s="87"/>
      <x:c r="AC3334" s="87"/>
      <x:c r="AD3334" s="87"/>
      <x:c r="AE3334" s="87"/>
      <x:c r="AF3334" s="87"/>
      <x:c r="AG3334" s="87"/>
      <x:c r="AH3334" s="87"/>
      <x:c r="AI3334" s="30"/>
      <x:c r="AJ3334" s="87" t="str">
        <x:v>master</x:v>
      </x:c>
      <x:c r="AK3334" s="87" t="str">
        <x:v>master-v0.81</x:v>
      </x:c>
      <x:c r="AL3334" s="87" t="str">
        <x:v>statgrad_master_base_v0_81_final(2).xlsx</x:v>
      </x:c>
      <x:c r="AM3334" s="87" t="str">
        <x:v>MATH_Oct_Prof_V10</x:v>
      </x:c>
      <x:c r="AN3334" s="87" t="n">
        <x:v>19</x:v>
      </x:c>
    </x:row>
    <x:row r="3335">
      <x:c r="A3335" s="87" t="n">
        <x:v>3334</x:v>
      </x:c>
      <x:c r="B3335" s="87" t="str">
        <x:v>OCT-MATH-0110-19</x:v>
      </x:c>
      <x:c r="C3335" s="87" t="str">
        <x:v>СтатГрад</x:v>
      </x:c>
      <x:c r="D3335" s="87" t="str">
        <x:v>Октябрь 2025</x:v>
      </x:c>
      <x:c r="E3335" s="87"/>
      <x:c r="F3335" s="87"/>
      <x:c r="G3335" s="87" t="str">
        <x:v>Математика</x:v>
      </x:c>
      <x:c r="H3335" s="87" t="n">
        <x:v>11</x:v>
      </x:c>
      <x:c r="I3335" s="87" t="str">
        <x:v>ТР №1</x:v>
      </x:c>
      <x:c r="J3335" s="87" t="str">
        <x:v>МА2510110</x:v>
      </x:c>
      <x:c r="K3335" s="87" t="n">
        <x:v>19</x:v>
      </x:c>
      <x:c r="L3335" s="87" t="str">
        <x:v>Теория чисел / оптимизация</x:v>
      </x:c>
      <x:c r="M3335" s="30" t="str">
        <x:v>Пусть S ( n ) обозначает сумму цифр натурального числа n .
     а) Существует ли такое число n , что 8n + S ( n ) =
                                                       2024 ?
     б) Существует ли такое число n , что 7 n + S ( n ) =
                                                        2024 ?
     в) Для какого наименьшего натурального числа k найдётся хотя бы одно
     такое двузначное число n , что 9kn + S ( n ) =
                                                  15 671 ?
                                    согласия СтатГрад запрещена</x:v>
      </x:c>
      <x:c r="N3335" s="30" t="str">
        <x:v>а) нет; б) нет; в) 60.</x:v>
      </x:c>
      <x:c r="O3335" s="30" t="str">
        <x:v>Официальное решение и шкала оценивания сохранены в отдельном LOCKED-листе.</x:v>
      </x:c>
      <x:c r="P3335" s="30" t="str">
        <x:v>Условие и итог ответа сопоставлены с официальным PDF критериев.</x:v>
      </x:c>
      <x:c r="Q3335" s="30"/>
      <x:c r="R3335" s="30" t="str">
        <x:v>Kriterii_MA11_01102025_zapad.pdf</x:v>
      </x:c>
      <x:c r="S3335" s="30"/>
      <x:c r="T3335" s="30"/>
      <x:c r="U3335" s="30" t="str">
        <x:v>Расхождений не обнаружено.</x:v>
      </x:c>
      <x:c r="V3335" s="87" t="str">
        <x:v>VERIFIED</x:v>
      </x:c>
      <x:c r="W3335" s="87" t="n">
        <x:v>12</x:v>
      </x:c>
      <x:c r="X3335" s="87"/>
      <x:c r="Y3335" s="87"/>
      <x:c r="Z3335" s="87"/>
      <x:c r="AA3335" s="87"/>
      <x:c r="AB3335" s="87"/>
      <x:c r="AC3335" s="87"/>
      <x:c r="AD3335" s="87"/>
      <x:c r="AE3335" s="87"/>
      <x:c r="AF3335" s="87"/>
      <x:c r="AG3335" s="87"/>
      <x:c r="AH3335" s="87"/>
      <x:c r="AI3335" s="30"/>
      <x:c r="AJ3335" s="87" t="str">
        <x:v>master</x:v>
      </x:c>
      <x:c r="AK3335" s="87" t="str">
        <x:v>master-v0.81</x:v>
      </x:c>
      <x:c r="AL3335" s="87" t="str">
        <x:v>statgrad_master_base_v0_81_final(2).xlsx</x:v>
      </x:c>
      <x:c r="AM3335" s="87" t="str">
        <x:v>MATH_Oct_Prof_V10</x:v>
      </x:c>
      <x:c r="AN3335" s="87" t="n">
        <x:v>20</x:v>
      </x:c>
    </x:row>
    <x:row r="3336">
      <x:c r="A3336" s="87" t="n">
        <x:v>3335</x:v>
      </x:c>
      <x:c r="B3336" s="87" t="str">
        <x:v>OCT-MATH-0111-01</x:v>
      </x:c>
      <x:c r="C3336" s="87" t="str">
        <x:v>СтатГрад</x:v>
      </x:c>
      <x:c r="D3336" s="87" t="str">
        <x:v>Октябрь 2025</x:v>
      </x:c>
      <x:c r="E3336" s="87"/>
      <x:c r="F3336" s="87"/>
      <x:c r="G3336" s="87" t="str">
        <x:v>Математика</x:v>
      </x:c>
      <x:c r="H3336" s="87" t="n">
        <x:v>11</x:v>
      </x:c>
      <x:c r="I3336" s="87" t="str">
        <x:v>ТР №1</x:v>
      </x:c>
      <x:c r="J3336" s="87" t="str">
        <x:v>МА2510111</x:v>
      </x:c>
      <x:c r="K3336" s="87" t="n">
        <x:v>1</x:v>
      </x:c>
      <x:c r="L3336" s="87" t="str">
        <x:v>Планиметрия</x:v>
      </x:c>
      <x:c r="M3336" s="30" t="str">
        <x:v>В треугольнике ABC угол C равен 90° , AC = 24 ,
    BC = 10 . Найдите радиус вписанной окружности.
                                              </x:v>
      </x:c>
      <x:c r="N3336" s="30" t="str">
        <x:v>4</x:v>
      </x:c>
      <x:c r="O3336" s="30" t="str">
        <x:v>Ответ принят по официальной таблице СтатГрад.</x:v>
      </x:c>
      <x:c r="P3336" s="30" t="str">
        <x:v>Код варианта, номер и условие сопоставлены с PDF; ответ сверён с первичной таблицей.</x:v>
      </x:c>
      <x:c r="Q3336" s="30"/>
      <x:c r="R3336" s="30" t="str">
        <x:v>Официальный фото-ключ профильного уровня.</x:v>
      </x:c>
      <x:c r="S3336" s="30"/>
      <x:c r="T3336" s="30"/>
      <x:c r="U3336" s="30" t="str">
        <x:v>Расхождений не обнаружено.</x:v>
      </x:c>
      <x:c r="V3336" s="87" t="str">
        <x:v>VERIFIED</x:v>
      </x:c>
      <x:c r="W3336" s="87" t="n">
        <x:v>2</x:v>
      </x:c>
      <x:c r="X3336" s="87"/>
      <x:c r="Y3336" s="87"/>
      <x:c r="Z3336" s="87"/>
      <x:c r="AA3336" s="87"/>
      <x:c r="AB3336" s="87"/>
      <x:c r="AC3336" s="87" t="str">
        <x:v>VIS-MATH-OCT-039</x:v>
      </x:c>
      <x:c r="AD3336" s="87"/>
      <x:c r="AE3336" s="87" t="str">
        <x:v>Полная страница с визуальным контекстом</x:v>
      </x:c>
      <x:c r="AF3336" s="87" t="str">
        <x:v>VIS-MATH-OCT-039: 2</x:v>
      </x:c>
      <x:c r="AG3336" s="87" t="str">
        <x:v>RESOLVED / SOURCE_REGENERATED</x:v>
      </x:c>
      <x:c r="AH3336" s="87" t="str">
        <x:v>SOURCE_PAGE_REGENERATED_FULL_PAGE_NO_CROP</x:v>
      </x:c>
      <x:c r="AI3336" s="30"/>
      <x:c r="AJ3336" s="87" t="str">
        <x:v>master</x:v>
      </x:c>
      <x:c r="AK3336" s="87" t="str">
        <x:v>master-v0.81</x:v>
      </x:c>
      <x:c r="AL3336" s="87" t="str">
        <x:v>statgrad_master_base_v0_81_final(2).xlsx</x:v>
      </x:c>
      <x:c r="AM3336" s="87" t="str">
        <x:v>MATH_Oct_Prof_V11</x:v>
      </x:c>
      <x:c r="AN3336" s="87" t="n">
        <x:v>2</x:v>
      </x:c>
    </x:row>
    <x:row r="3337">
      <x:c r="A3337" s="87" t="n">
        <x:v>3336</x:v>
      </x:c>
      <x:c r="B3337" s="87" t="str">
        <x:v>OCT-MATH-0111-02</x:v>
      </x:c>
      <x:c r="C3337" s="87" t="str">
        <x:v>СтатГрад</x:v>
      </x:c>
      <x:c r="D3337" s="87" t="str">
        <x:v>Октябрь 2025</x:v>
      </x:c>
      <x:c r="E3337" s="87"/>
      <x:c r="F3337" s="87"/>
      <x:c r="G3337" s="87" t="str">
        <x:v>Математика</x:v>
      </x:c>
      <x:c r="H3337" s="87" t="n">
        <x:v>11</x:v>
      </x:c>
      <x:c r="I3337" s="87" t="str">
        <x:v>ТР №1</x:v>
      </x:c>
      <x:c r="J3337" s="87" t="str">
        <x:v>МА2510111</x:v>
      </x:c>
      <x:c r="K3337" s="87" t="n">
        <x:v>2</x:v>
      </x:c>
      <x:c r="L3337" s="87" t="str">
        <x:v>Векторы</x:v>
      </x:c>
      <x:c r="M3337" s="30" t="str">
        <x:v>Даны векторы a ( −15; − 3) , b ( − 3; 4 ) и c ( 0; 4 ) . Найдите длину вектора
         
    a − 5b + c .</x:v>
      </x:c>
      <x:c r="N3337" s="30" t="str">
        <x:v>19</x:v>
      </x:c>
      <x:c r="O3337" s="30" t="str">
        <x:v>Ответ принят по официальной таблице СтатГрад.</x:v>
      </x:c>
      <x:c r="P3337" s="30" t="str">
        <x:v>Код варианта, номер и условие сопоставлены с PDF; ответ сверён с первичной таблицей.</x:v>
      </x:c>
      <x:c r="Q3337" s="30"/>
      <x:c r="R3337" s="30" t="str">
        <x:v>Официальный фото-ключ профильного уровня.</x:v>
      </x:c>
      <x:c r="S3337" s="30"/>
      <x:c r="T3337" s="30"/>
      <x:c r="U3337" s="30" t="str">
        <x:v>Расхождений не обнаружено.</x:v>
      </x:c>
      <x:c r="V3337" s="87" t="str">
        <x:v>VERIFIED</x:v>
      </x:c>
      <x:c r="W3337" s="87" t="n">
        <x:v>2</x:v>
      </x:c>
      <x:c r="X3337" s="87"/>
      <x:c r="Y3337" s="87"/>
      <x:c r="Z3337" s="87"/>
      <x:c r="AA3337" s="87"/>
      <x:c r="AB3337" s="87"/>
      <x:c r="AC3337" s="87"/>
      <x:c r="AD3337" s="87"/>
      <x:c r="AE3337" s="87"/>
      <x:c r="AF3337" s="87"/>
      <x:c r="AG3337" s="87"/>
      <x:c r="AH3337" s="87"/>
      <x:c r="AI3337" s="30"/>
      <x:c r="AJ3337" s="87" t="str">
        <x:v>master</x:v>
      </x:c>
      <x:c r="AK3337" s="87" t="str">
        <x:v>master-v0.81</x:v>
      </x:c>
      <x:c r="AL3337" s="87" t="str">
        <x:v>statgrad_master_base_v0_81_final(2).xlsx</x:v>
      </x:c>
      <x:c r="AM3337" s="87" t="str">
        <x:v>MATH_Oct_Prof_V11</x:v>
      </x:c>
      <x:c r="AN3337" s="87" t="n">
        <x:v>3</x:v>
      </x:c>
    </x:row>
    <x:row r="3338">
      <x:c r="A3338" s="87" t="n">
        <x:v>3337</x:v>
      </x:c>
      <x:c r="B3338" s="87" t="str">
        <x:v>OCT-MATH-0111-03</x:v>
      </x:c>
      <x:c r="C3338" s="87" t="str">
        <x:v>СтатГрад</x:v>
      </x:c>
      <x:c r="D3338" s="87" t="str">
        <x:v>Октябрь 2025</x:v>
      </x:c>
      <x:c r="E3338" s="87"/>
      <x:c r="F3338" s="87"/>
      <x:c r="G3338" s="87" t="str">
        <x:v>Математика</x:v>
      </x:c>
      <x:c r="H3338" s="87" t="n">
        <x:v>11</x:v>
      </x:c>
      <x:c r="I3338" s="87" t="str">
        <x:v>ТР №1</x:v>
      </x:c>
      <x:c r="J3338" s="87" t="str">
        <x:v>МА2510111</x:v>
      </x:c>
      <x:c r="K3338" s="87" t="n">
        <x:v>3</x:v>
      </x:c>
      <x:c r="L3338" s="87" t="str">
        <x:v>Стереометрия</x:v>
      </x:c>
      <x:c r="M3338" s="30" t="str">
        <x:v>Найдите боковое ребро правильной четырёхугольной
    призмы, если сторона её основания равна 5, а площадь
    поверхности равна 190.</x:v>
      </x:c>
      <x:c r="N3338" s="30" t="str">
        <x:v>7</x:v>
      </x:c>
      <x:c r="O3338" s="30" t="str">
        <x:v>Ответ принят по официальной таблице СтатГрад.</x:v>
      </x:c>
      <x:c r="P3338" s="30" t="str">
        <x:v>Код варианта, номер и условие сопоставлены с PDF; ответ сверён с первичной таблицей.</x:v>
      </x:c>
      <x:c r="Q3338" s="30"/>
      <x:c r="R3338" s="30" t="str">
        <x:v>Официальный фото-ключ профильного уровня.</x:v>
      </x:c>
      <x:c r="S3338" s="30"/>
      <x:c r="T3338" s="30"/>
      <x:c r="U3338" s="30" t="str">
        <x:v>Расхождений не обнаружено.</x:v>
      </x:c>
      <x:c r="V3338" s="87" t="str">
        <x:v>VERIFIED</x:v>
      </x:c>
      <x:c r="W3338" s="87" t="n">
        <x:v>2</x:v>
      </x:c>
      <x:c r="X3338" s="87"/>
      <x:c r="Y3338" s="87"/>
      <x:c r="Z3338" s="87"/>
      <x:c r="AA3338" s="87"/>
      <x:c r="AB3338" s="87"/>
      <x:c r="AC3338" s="87"/>
      <x:c r="AD3338" s="87"/>
      <x:c r="AE3338" s="87"/>
      <x:c r="AF3338" s="87"/>
      <x:c r="AG3338" s="87"/>
      <x:c r="AH3338" s="87"/>
      <x:c r="AI3338" s="30"/>
      <x:c r="AJ3338" s="87" t="str">
        <x:v>master</x:v>
      </x:c>
      <x:c r="AK3338" s="87" t="str">
        <x:v>master-v0.81</x:v>
      </x:c>
      <x:c r="AL3338" s="87" t="str">
        <x:v>statgrad_master_base_v0_81_final(2).xlsx</x:v>
      </x:c>
      <x:c r="AM3338" s="87" t="str">
        <x:v>MATH_Oct_Prof_V11</x:v>
      </x:c>
      <x:c r="AN3338" s="87" t="n">
        <x:v>4</x:v>
      </x:c>
    </x:row>
    <x:row r="3339">
      <x:c r="A3339" s="87" t="n">
        <x:v>3338</x:v>
      </x:c>
      <x:c r="B3339" s="87" t="str">
        <x:v>OCT-MATH-0111-04</x:v>
      </x:c>
      <x:c r="C3339" s="87" t="str">
        <x:v>СтатГрад</x:v>
      </x:c>
      <x:c r="D3339" s="87" t="str">
        <x:v>Октябрь 2025</x:v>
      </x:c>
      <x:c r="E3339" s="87"/>
      <x:c r="F3339" s="87"/>
      <x:c r="G3339" s="87" t="str">
        <x:v>Математика</x:v>
      </x:c>
      <x:c r="H3339" s="87" t="n">
        <x:v>11</x:v>
      </x:c>
      <x:c r="I3339" s="87" t="str">
        <x:v>ТР №1</x:v>
      </x:c>
      <x:c r="J3339" s="87" t="str">
        <x:v>МА2510111</x:v>
      </x:c>
      <x:c r="K3339" s="87" t="n">
        <x:v>4</x:v>
      </x:c>
      <x:c r="L3339" s="87" t="str">
        <x:v>Вероятность</x:v>
      </x:c>
      <x:c r="M3339" s="30" t="str">
        <x:v>Фабрика выпускает сумки. В среднем из 140 сумок 10 сумок имеют скрытые
    дефекты. Найдите вероятность того, что выбранная в магазине сумка
    окажется с дефектами. Результат округлите до сотых.
                                   согласия СтатГрад запрещена</x:v>
      </x:c>
      <x:c r="N3339" s="30" t="str">
        <x:v>0,07</x:v>
      </x:c>
      <x:c r="O3339" s="30" t="str">
        <x:v>Ответ принят по официальной таблице СтатГрад.</x:v>
      </x:c>
      <x:c r="P3339" s="30" t="str">
        <x:v>Код варианта, номер и условие сопоставлены с PDF; ответ сверён с первичной таблицей.</x:v>
      </x:c>
      <x:c r="Q3339" s="30"/>
      <x:c r="R3339" s="30" t="str">
        <x:v>Официальный фото-ключ профильного уровня.</x:v>
      </x:c>
      <x:c r="S3339" s="30"/>
      <x:c r="T3339" s="30"/>
      <x:c r="U3339" s="30" t="str">
        <x:v>Расхождений не обнаружено.</x:v>
      </x:c>
      <x:c r="V3339" s="87" t="str">
        <x:v>VERIFIED</x:v>
      </x:c>
      <x:c r="W3339" s="87" t="n">
        <x:v>2</x:v>
      </x:c>
      <x:c r="X3339" s="87"/>
      <x:c r="Y3339" s="87"/>
      <x:c r="Z3339" s="87"/>
      <x:c r="AA3339" s="87"/>
      <x:c r="AB3339" s="87"/>
      <x:c r="AC3339" s="87"/>
      <x:c r="AD3339" s="87"/>
      <x:c r="AE3339" s="87"/>
      <x:c r="AF3339" s="87"/>
      <x:c r="AG3339" s="87"/>
      <x:c r="AH3339" s="87"/>
      <x:c r="AI3339" s="30"/>
      <x:c r="AJ3339" s="87" t="str">
        <x:v>master</x:v>
      </x:c>
      <x:c r="AK3339" s="87" t="str">
        <x:v>master-v0.81</x:v>
      </x:c>
      <x:c r="AL3339" s="87" t="str">
        <x:v>statgrad_master_base_v0_81_final(2).xlsx</x:v>
      </x:c>
      <x:c r="AM3339" s="87" t="str">
        <x:v>MATH_Oct_Prof_V11</x:v>
      </x:c>
      <x:c r="AN3339" s="87" t="n">
        <x:v>5</x:v>
      </x:c>
    </x:row>
    <x:row r="3340">
      <x:c r="A3340" s="87" t="n">
        <x:v>3339</x:v>
      </x:c>
      <x:c r="B3340" s="87" t="str">
        <x:v>OCT-MATH-0111-05</x:v>
      </x:c>
      <x:c r="C3340" s="87" t="str">
        <x:v>СтатГрад</x:v>
      </x:c>
      <x:c r="D3340" s="87" t="str">
        <x:v>Октябрь 2025</x:v>
      </x:c>
      <x:c r="E3340" s="87"/>
      <x:c r="F3340" s="87"/>
      <x:c r="G3340" s="87" t="str">
        <x:v>Математика</x:v>
      </x:c>
      <x:c r="H3340" s="87" t="n">
        <x:v>11</x:v>
      </x:c>
      <x:c r="I3340" s="87" t="str">
        <x:v>ТР №1</x:v>
      </x:c>
      <x:c r="J3340" s="87" t="str">
        <x:v>МА2510111</x:v>
      </x:c>
      <x:c r="K3340" s="87" t="n">
        <x:v>5</x:v>
      </x:c>
      <x:c r="L3340" s="87" t="str">
        <x:v>Вероятность</x:v>
      </x:c>
      <x:c r="M3340" s="30" t="str">
        <x:v>Вероятность того, что новый персональный компьютер прослужит больше
    года, равна 0,95. Вероятность того, что он прослужит больше двух лет, равна
    0,87. Найдите вероятность того, что он прослужит меньше двух лет, но
    больше года.
                                          18    1</x:v>
      </x:c>
      <x:c r="N3340" s="30" t="str">
        <x:v>0,08</x:v>
      </x:c>
      <x:c r="O3340" s="30" t="str">
        <x:v>Ответ принят по официальной таблице СтатГрад.</x:v>
      </x:c>
      <x:c r="P3340" s="30" t="str">
        <x:v>Код варианта, номер и условие сопоставлены с PDF; ответ сверён с первичной таблицей.</x:v>
      </x:c>
      <x:c r="Q3340" s="30"/>
      <x:c r="R3340" s="30" t="str">
        <x:v>Официальный фото-ключ профильного уровня.</x:v>
      </x:c>
      <x:c r="S3340" s="30"/>
      <x:c r="T3340" s="30"/>
      <x:c r="U3340" s="30" t="str">
        <x:v>Расхождений не обнаружено.</x:v>
      </x:c>
      <x:c r="V3340" s="87" t="str">
        <x:v>VERIFIED</x:v>
      </x:c>
      <x:c r="W3340" s="87" t="n">
        <x:v>3</x:v>
      </x:c>
      <x:c r="X3340" s="87"/>
      <x:c r="Y3340" s="87"/>
      <x:c r="Z3340" s="87"/>
      <x:c r="AA3340" s="87"/>
      <x:c r="AB3340" s="87"/>
      <x:c r="AC3340" s="87"/>
      <x:c r="AD3340" s="87"/>
      <x:c r="AE3340" s="87"/>
      <x:c r="AF3340" s="87"/>
      <x:c r="AG3340" s="87"/>
      <x:c r="AH3340" s="87"/>
      <x:c r="AI3340" s="30"/>
      <x:c r="AJ3340" s="87" t="str">
        <x:v>master</x:v>
      </x:c>
      <x:c r="AK3340" s="87" t="str">
        <x:v>master-v0.81</x:v>
      </x:c>
      <x:c r="AL3340" s="87" t="str">
        <x:v>statgrad_master_base_v0_81_final(2).xlsx</x:v>
      </x:c>
      <x:c r="AM3340" s="87" t="str">
        <x:v>MATH_Oct_Prof_V11</x:v>
      </x:c>
      <x:c r="AN3340" s="87" t="n">
        <x:v>6</x:v>
      </x:c>
    </x:row>
    <x:row r="3341">
      <x:c r="A3341" s="87" t="n">
        <x:v>3340</x:v>
      </x:c>
      <x:c r="B3341" s="87" t="str">
        <x:v>OCT-MATH-0111-06</x:v>
      </x:c>
      <x:c r="C3341" s="87" t="str">
        <x:v>СтатГрад</x:v>
      </x:c>
      <x:c r="D3341" s="87" t="str">
        <x:v>Октябрь 2025</x:v>
      </x:c>
      <x:c r="E3341" s="87"/>
      <x:c r="F3341" s="87"/>
      <x:c r="G3341" s="87" t="str">
        <x:v>Математика</x:v>
      </x:c>
      <x:c r="H3341" s="87" t="n">
        <x:v>11</x:v>
      </x:c>
      <x:c r="I3341" s="87" t="str">
        <x:v>ТР №1</x:v>
      </x:c>
      <x:c r="J3341" s="87" t="str">
        <x:v>МА2510111</x:v>
      </x:c>
      <x:c r="K3341" s="87" t="n">
        <x:v>6</x:v>
      </x:c>
      <x:c r="L3341" s="87" t="str">
        <x:v>Уравнение</x:v>
      </x:c>
      <x:c r="M3341" s="30" t="str">
        <x:v>Найдите корень уравнения                   = .
                                       2 x − 52 8</x:v>
      </x:c>
      <x:c r="N3341" s="30" t="str">
        <x:v>602</x:v>
      </x:c>
      <x:c r="O3341" s="30" t="str">
        <x:v>Ответ принят по официальной таблице СтатГрад.</x:v>
      </x:c>
      <x:c r="P3341" s="30" t="str">
        <x:v>Код варианта, номер и условие сопоставлены с PDF; ответ сверён с первичной таблицей.</x:v>
      </x:c>
      <x:c r="Q3341" s="30"/>
      <x:c r="R3341" s="30" t="str">
        <x:v>Официальный фото-ключ профильного уровня.</x:v>
      </x:c>
      <x:c r="S3341" s="30"/>
      <x:c r="T3341" s="30"/>
      <x:c r="U3341" s="30" t="str">
        <x:v>Расхождений не обнаружено.</x:v>
      </x:c>
      <x:c r="V3341" s="87" t="str">
        <x:v>VERIFIED</x:v>
      </x:c>
      <x:c r="W3341" s="87" t="n">
        <x:v>3</x:v>
      </x:c>
      <x:c r="X3341" s="87"/>
      <x:c r="Y3341" s="87"/>
      <x:c r="Z3341" s="87"/>
      <x:c r="AA3341" s="87"/>
      <x:c r="AB3341" s="87"/>
      <x:c r="AC3341" s="87"/>
      <x:c r="AD3341" s="87"/>
      <x:c r="AE3341" s="87"/>
      <x:c r="AF3341" s="87"/>
      <x:c r="AG3341" s="87"/>
      <x:c r="AH3341" s="87"/>
      <x:c r="AI3341" s="30"/>
      <x:c r="AJ3341" s="87" t="str">
        <x:v>master</x:v>
      </x:c>
      <x:c r="AK3341" s="87" t="str">
        <x:v>master-v0.81</x:v>
      </x:c>
      <x:c r="AL3341" s="87" t="str">
        <x:v>statgrad_master_base_v0_81_final(2).xlsx</x:v>
      </x:c>
      <x:c r="AM3341" s="87" t="str">
        <x:v>MATH_Oct_Prof_V11</x:v>
      </x:c>
      <x:c r="AN3341" s="87" t="n">
        <x:v>7</x:v>
      </x:c>
    </x:row>
    <x:row r="3342">
      <x:c r="A3342" s="87" t="n">
        <x:v>3341</x:v>
      </x:c>
      <x:c r="B3342" s="87" t="str">
        <x:v>OCT-MATH-0111-07</x:v>
      </x:c>
      <x:c r="C3342" s="87" t="str">
        <x:v>СтатГрад</x:v>
      </x:c>
      <x:c r="D3342" s="87" t="str">
        <x:v>Октябрь 2025</x:v>
      </x:c>
      <x:c r="E3342" s="87"/>
      <x:c r="F3342" s="87"/>
      <x:c r="G3342" s="87" t="str">
        <x:v>Математика</x:v>
      </x:c>
      <x:c r="H3342" s="87" t="n">
        <x:v>11</x:v>
      </x:c>
      <x:c r="I3342" s="87" t="str">
        <x:v>ТР №1</x:v>
      </x:c>
      <x:c r="J3342" s="87" t="str">
        <x:v>МА2510111</x:v>
      </x:c>
      <x:c r="K3342" s="87" t="n">
        <x:v>7</x:v>
      </x:c>
      <x:c r="L3342" s="87" t="str">
        <x:v>Логарифмы / выражение</x:v>
      </x:c>
      <x:c r="M3342" s="30" t="str">
        <x:v>Найдите значение выражения log 2,5 6 ⋅ log 6 0,4 .</x:v>
      </x:c>
      <x:c r="N3342" s="30" t="str">
        <x:v>-1</x:v>
      </x:c>
      <x:c r="O3342" s="30" t="str">
        <x:v>Ответ принят по официальной таблице СтатГрад.</x:v>
      </x:c>
      <x:c r="P3342" s="30" t="str">
        <x:v>Код варианта, номер и условие сопоставлены с PDF; ответ сверён с первичной таблицей.</x:v>
      </x:c>
      <x:c r="Q3342" s="30"/>
      <x:c r="R3342" s="30" t="str">
        <x:v>Официальный фото-ключ профильного уровня.</x:v>
      </x:c>
      <x:c r="S3342" s="30"/>
      <x:c r="T3342" s="30"/>
      <x:c r="U3342" s="30" t="str">
        <x:v>Расхождений не обнаружено.</x:v>
      </x:c>
      <x:c r="V3342" s="87" t="str">
        <x:v>VERIFIED</x:v>
      </x:c>
      <x:c r="W3342" s="87" t="n">
        <x:v>3</x:v>
      </x:c>
      <x:c r="X3342" s="87"/>
      <x:c r="Y3342" s="87"/>
      <x:c r="Z3342" s="87"/>
      <x:c r="AA3342" s="87"/>
      <x:c r="AB3342" s="87"/>
      <x:c r="AC3342" s="87"/>
      <x:c r="AD3342" s="87"/>
      <x:c r="AE3342" s="87"/>
      <x:c r="AF3342" s="87"/>
      <x:c r="AG3342" s="87"/>
      <x:c r="AH3342" s="87"/>
      <x:c r="AI3342" s="30"/>
      <x:c r="AJ3342" s="87" t="str">
        <x:v>master</x:v>
      </x:c>
      <x:c r="AK3342" s="87" t="str">
        <x:v>master-v0.81</x:v>
      </x:c>
      <x:c r="AL3342" s="87" t="str">
        <x:v>statgrad_master_base_v0_81_final(2).xlsx</x:v>
      </x:c>
      <x:c r="AM3342" s="87" t="str">
        <x:v>MATH_Oct_Prof_V11</x:v>
      </x:c>
      <x:c r="AN3342" s="87" t="n">
        <x:v>8</x:v>
      </x:c>
    </x:row>
    <x:row r="3343">
      <x:c r="A3343" s="87" t="n">
        <x:v>3342</x:v>
      </x:c>
      <x:c r="B3343" s="87" t="str">
        <x:v>OCT-MATH-0111-08</x:v>
      </x:c>
      <x:c r="C3343" s="87" t="str">
        <x:v>СтатГрад</x:v>
      </x:c>
      <x:c r="D3343" s="87" t="str">
        <x:v>Октябрь 2025</x:v>
      </x:c>
      <x:c r="E3343" s="87"/>
      <x:c r="F3343" s="87"/>
      <x:c r="G3343" s="87" t="str">
        <x:v>Математика</x:v>
      </x:c>
      <x:c r="H3343" s="87" t="n">
        <x:v>11</x:v>
      </x:c>
      <x:c r="I3343" s="87" t="str">
        <x:v>ТР №1</x:v>
      </x:c>
      <x:c r="J3343" s="87" t="str">
        <x:v>МА2510111</x:v>
      </x:c>
      <x:c r="K3343" s="87" t="n">
        <x:v>8</x:v>
      </x:c>
      <x:c r="L3343" s="87" t="str">
        <x:v>График производной</x:v>
      </x:c>
      <x:c r="M3343" s="30" t="str">
        <x:v>На рисунке изображён график функции y = f ( x ) . На оси абсцисс отмечены
    точки − 2 , −1 , 3, 4. В какой из этих точек значение производной
    наименьшее? В ответе укажите эту точку.
                                        y
                                  −1
                           −2                                3      4       x
                                   согласия СтатГрад запрещена</x:v>
      </x:c>
      <x:c r="N3343" s="30" t="str">
        <x:v>4</x:v>
      </x:c>
      <x:c r="O3343" s="30" t="str">
        <x:v>Ответ принят по официальной таблице СтатГрад.</x:v>
      </x:c>
      <x:c r="P3343" s="30" t="str">
        <x:v>Код варианта, номер и условие сопоставлены с PDF; ответ сверён с первичной таблицей.</x:v>
      </x:c>
      <x:c r="Q3343" s="30"/>
      <x:c r="R3343" s="30" t="str">
        <x:v>Официальный фото-ключ профильного уровня.</x:v>
      </x:c>
      <x:c r="S3343" s="30"/>
      <x:c r="T3343" s="30"/>
      <x:c r="U3343" s="30" t="str">
        <x:v>Расхождений не обнаружено.</x:v>
      </x:c>
      <x:c r="V3343" s="87" t="str">
        <x:v>VERIFIED</x:v>
      </x:c>
      <x:c r="W3343" s="87" t="n">
        <x:v>3</x:v>
      </x:c>
      <x:c r="X3343" s="87"/>
      <x:c r="Y3343" s="87"/>
      <x:c r="Z3343" s="87"/>
      <x:c r="AA3343" s="87"/>
      <x:c r="AB3343" s="87"/>
      <x:c r="AC3343" s="87" t="str">
        <x:v>VIS-MATH-OCT-040</x:v>
      </x:c>
      <x:c r="AD3343" s="87"/>
      <x:c r="AE3343" s="87" t="str">
        <x:v>Полная страница с визуальным контекстом</x:v>
      </x:c>
      <x:c r="AF3343" s="87" t="str">
        <x:v>VIS-MATH-OCT-040: 3</x:v>
      </x:c>
      <x:c r="AG3343" s="87" t="str">
        <x:v>RESOLVED / SOURCE_REGENERATED</x:v>
      </x:c>
      <x:c r="AH3343" s="87" t="str">
        <x:v>SOURCE_PAGE_REGENERATED_FULL_PAGE_NO_CROP; TASK_CROP_QA_APPROVED:USE_TIGHT</x:v>
      </x:c>
      <x:c r="AI3343" s="30"/>
      <x:c r="AJ3343" s="87" t="str">
        <x:v>master</x:v>
      </x:c>
      <x:c r="AK3343" s="87" t="str">
        <x:v>master-v0.81</x:v>
      </x:c>
      <x:c r="AL3343" s="87" t="str">
        <x:v>statgrad_master_base_v0_81_final(2).xlsx</x:v>
      </x:c>
      <x:c r="AM3343" s="87" t="str">
        <x:v>MATH_Oct_Prof_V11</x:v>
      </x:c>
      <x:c r="AN3343" s="87" t="n">
        <x:v>9</x:v>
      </x:c>
    </x:row>
    <x:row r="3344">
      <x:c r="A3344" s="87" t="n">
        <x:v>3343</x:v>
      </x:c>
      <x:c r="B3344" s="87" t="str">
        <x:v>OCT-MATH-0111-09</x:v>
      </x:c>
      <x:c r="C3344" s="87" t="str">
        <x:v>СтатГрад</x:v>
      </x:c>
      <x:c r="D3344" s="87" t="str">
        <x:v>Октябрь 2025</x:v>
      </x:c>
      <x:c r="E3344" s="87"/>
      <x:c r="F3344" s="87"/>
      <x:c r="G3344" s="87" t="str">
        <x:v>Математика</x:v>
      </x:c>
      <x:c r="H3344" s="87" t="n">
        <x:v>11</x:v>
      </x:c>
      <x:c r="I3344" s="87" t="str">
        <x:v>ТР №1</x:v>
      </x:c>
      <x:c r="J3344" s="87" t="str">
        <x:v>МА2510111</x:v>
      </x:c>
      <x:c r="K3344" s="87" t="n">
        <x:v>9</x:v>
      </x:c>
      <x:c r="L3344" s="87" t="str">
        <x:v>Прикладная математическая модель</x:v>
      </x:c>
      <x:c r="M3344" s="30" t="str">
        <x:v>Датчик сконструирован таким образом, что его антенна ловит радиосигнал,
      который затем преобразуется в электрический сигнал, изменяющийся
      со временем по закону
                         =     U U 0 sin ( ωt + φ ) , где t — время в секундах,
      U 0 = 2 В — амплитуда, ω= 60° /с — частота, φ =       − 15° — фаза. Датчик
      настроен так, что если напряжение в нём не ниже чем 1 В, то загорается
      лампочка. Какую часть времени (в процентах) на протяжении первой
      секунды после начала работы лампочка будет гореть?</x:v>
      </x:c>
      <x:c r="N3344" s="30" t="str">
        <x:v>25</x:v>
      </x:c>
      <x:c r="O3344" s="30" t="str">
        <x:v>Ответ принят по официальной таблице СтатГрад.</x:v>
      </x:c>
      <x:c r="P3344" s="30" t="str">
        <x:v>Код варианта, номер и условие сопоставлены с PDF; ответ сверён с первичной таблицей.</x:v>
      </x:c>
      <x:c r="Q3344" s="30"/>
      <x:c r="R3344" s="30" t="str">
        <x:v>Официальный фото-ключ профильного уровня.</x:v>
      </x:c>
      <x:c r="S3344" s="30"/>
      <x:c r="T3344" s="30"/>
      <x:c r="U3344" s="30" t="str">
        <x:v>Расхождений не обнаружено.</x:v>
      </x:c>
      <x:c r="V3344" s="87" t="str">
        <x:v>VERIFIED</x:v>
      </x:c>
      <x:c r="W3344" s="87" t="n">
        <x:v>4</x:v>
      </x:c>
      <x:c r="X3344" s="87"/>
      <x:c r="Y3344" s="87"/>
      <x:c r="Z3344" s="87"/>
      <x:c r="AA3344" s="87"/>
      <x:c r="AB3344" s="87"/>
      <x:c r="AC3344" s="87"/>
      <x:c r="AD3344" s="87"/>
      <x:c r="AE3344" s="87"/>
      <x:c r="AF3344" s="87"/>
      <x:c r="AG3344" s="87"/>
      <x:c r="AH3344" s="87"/>
      <x:c r="AI3344" s="30"/>
      <x:c r="AJ3344" s="87" t="str">
        <x:v>master</x:v>
      </x:c>
      <x:c r="AK3344" s="87" t="str">
        <x:v>master-v0.81</x:v>
      </x:c>
      <x:c r="AL3344" s="87" t="str">
        <x:v>statgrad_master_base_v0_81_final(2).xlsx</x:v>
      </x:c>
      <x:c r="AM3344" s="87" t="str">
        <x:v>MATH_Oct_Prof_V11</x:v>
      </x:c>
      <x:c r="AN3344" s="87" t="n">
        <x:v>10</x:v>
      </x:c>
    </x:row>
    <x:row r="3345">
      <x:c r="A3345" s="87" t="n">
        <x:v>3344</x:v>
      </x:c>
      <x:c r="B3345" s="87" t="str">
        <x:v>OCT-MATH-0111-10</x:v>
      </x:c>
      <x:c r="C3345" s="87" t="str">
        <x:v>СтатГрад</x:v>
      </x:c>
      <x:c r="D3345" s="87" t="str">
        <x:v>Октябрь 2025</x:v>
      </x:c>
      <x:c r="E3345" s="87"/>
      <x:c r="F3345" s="87"/>
      <x:c r="G3345" s="87" t="str">
        <x:v>Математика</x:v>
      </x:c>
      <x:c r="H3345" s="87" t="n">
        <x:v>11</x:v>
      </x:c>
      <x:c r="I3345" s="87" t="str">
        <x:v>ТР №1</x:v>
      </x:c>
      <x:c r="J3345" s="87" t="str">
        <x:v>МА2510111</x:v>
      </x:c>
      <x:c r="K3345" s="87" t="n">
        <x:v>10</x:v>
      </x:c>
      <x:c r="L3345" s="87" t="str">
        <x:v>Текстовая задача</x:v>
      </x:c>
      <x:c r="M3345" s="30" t="str">
        <x:v>Велосипедист выехал с постоянной скоростью из города А в город В,
      расстояние между которыми равно 108 км. На следующий день он
      отправился обратно со скоростью, на 3 км/ч больше прежней. По дороге он
      сделал остановку на 3 часа. В результате он затратил на обратный путь
      столько же времени, сколько на путь из А в В. Найдите скорость
      велосипедиста на пути из А в В. Ответ дайте в км/ч.</x:v>
      </x:c>
      <x:c r="N3345" s="30" t="str">
        <x:v>9</x:v>
      </x:c>
      <x:c r="O3345" s="30" t="str">
        <x:v>Ответ принят по официальной таблице СтатГрад.</x:v>
      </x:c>
      <x:c r="P3345" s="30" t="str">
        <x:v>Код варианта, номер и условие сопоставлены с PDF; ответ сверён с первичной таблицей.</x:v>
      </x:c>
      <x:c r="Q3345" s="30"/>
      <x:c r="R3345" s="30" t="str">
        <x:v>Официальный фото-ключ профильного уровня.</x:v>
      </x:c>
      <x:c r="S3345" s="30"/>
      <x:c r="T3345" s="30"/>
      <x:c r="U3345" s="30" t="str">
        <x:v>Расхождений не обнаружено.</x:v>
      </x:c>
      <x:c r="V3345" s="87" t="str">
        <x:v>VERIFIED</x:v>
      </x:c>
      <x:c r="W3345" s="87" t="n">
        <x:v>4</x:v>
      </x:c>
      <x:c r="X3345" s="87"/>
      <x:c r="Y3345" s="87"/>
      <x:c r="Z3345" s="87"/>
      <x:c r="AA3345" s="87"/>
      <x:c r="AB3345" s="87"/>
      <x:c r="AC3345" s="87"/>
      <x:c r="AD3345" s="87"/>
      <x:c r="AE3345" s="87"/>
      <x:c r="AF3345" s="87"/>
      <x:c r="AG3345" s="87"/>
      <x:c r="AH3345" s="87"/>
      <x:c r="AI3345" s="30"/>
      <x:c r="AJ3345" s="87" t="str">
        <x:v>master</x:v>
      </x:c>
      <x:c r="AK3345" s="87" t="str">
        <x:v>master-v0.81</x:v>
      </x:c>
      <x:c r="AL3345" s="87" t="str">
        <x:v>statgrad_master_base_v0_81_final(2).xlsx</x:v>
      </x:c>
      <x:c r="AM3345" s="87" t="str">
        <x:v>MATH_Oct_Prof_V11</x:v>
      </x:c>
      <x:c r="AN3345" s="87" t="n">
        <x:v>11</x:v>
      </x:c>
    </x:row>
    <x:row r="3346">
      <x:c r="A3346" s="87" t="n">
        <x:v>3345</x:v>
      </x:c>
      <x:c r="B3346" s="87" t="str">
        <x:v>OCT-MATH-0111-11</x:v>
      </x:c>
      <x:c r="C3346" s="87" t="str">
        <x:v>СтатГрад</x:v>
      </x:c>
      <x:c r="D3346" s="87" t="str">
        <x:v>Октябрь 2025</x:v>
      </x:c>
      <x:c r="E3346" s="87"/>
      <x:c r="F3346" s="87"/>
      <x:c r="G3346" s="87" t="str">
        <x:v>Математика</x:v>
      </x:c>
      <x:c r="H3346" s="87" t="n">
        <x:v>11</x:v>
      </x:c>
      <x:c r="I3346" s="87" t="str">
        <x:v>ТР №1</x:v>
      </x:c>
      <x:c r="J3346" s="87" t="str">
        <x:v>МА2510111</x:v>
      </x:c>
      <x:c r="K3346" s="87" t="n">
        <x:v>11</x:v>
      </x:c>
      <x:c r="L3346" s="87" t="str">
        <x:v>График функции</x:v>
      </x:c>
      <x:c r="M3346" s="30" t="str">
        <x:v>На рисунке изображён график функции                                          y
     f ( x ) = ax 2 − 8 x + c . Найдите значение f ( − 2 ) .
                                                                              1
                                                                              0       1            x
                                           x 2 + 25</x:v>
      </x:c>
      <x:c r="N3346" s="30" t="str">
        <x:v>27</x:v>
      </x:c>
      <x:c r="O3346" s="30" t="str">
        <x:v>Ответ принят по официальной таблице СтатГрад.</x:v>
      </x:c>
      <x:c r="P3346" s="30" t="str">
        <x:v>Код варианта, номер и условие сопоставлены с PDF; ответ сверён с первичной таблицей.</x:v>
      </x:c>
      <x:c r="Q3346" s="30"/>
      <x:c r="R3346" s="30" t="str">
        <x:v>Официальный фото-ключ профильного уровня.</x:v>
      </x:c>
      <x:c r="S3346" s="30"/>
      <x:c r="T3346" s="30"/>
      <x:c r="U3346" s="30" t="str">
        <x:v>Расхождений не обнаружено.</x:v>
      </x:c>
      <x:c r="V3346" s="87" t="str">
        <x:v>VERIFIED</x:v>
      </x:c>
      <x:c r="W3346" s="87" t="n">
        <x:v>4</x:v>
      </x:c>
      <x:c r="X3346" s="87"/>
      <x:c r="Y3346" s="87"/>
      <x:c r="Z3346" s="87"/>
      <x:c r="AA3346" s="87"/>
      <x:c r="AB3346" s="87"/>
      <x:c r="AC3346" s="87" t="str">
        <x:v>VIS-MATH-OCT-041</x:v>
      </x:c>
      <x:c r="AD3346" s="87"/>
      <x:c r="AE3346" s="87" t="str">
        <x:v>Полная страница с визуальным контекстом</x:v>
      </x:c>
      <x:c r="AF3346" s="87" t="str">
        <x:v>VIS-MATH-OCT-041: 4</x:v>
      </x:c>
      <x:c r="AG3346" s="87" t="str">
        <x:v>RESOLVED / SOURCE_REGENERATED</x:v>
      </x:c>
      <x:c r="AH3346" s="87" t="str">
        <x:v>SOURCE_PAGE_REGENERATED_FULL_PAGE_NO_CROP; TASK_CROP_QA_APPROVED:USE_TIGHT</x:v>
      </x:c>
      <x:c r="AI3346" s="30"/>
      <x:c r="AJ3346" s="87" t="str">
        <x:v>master</x:v>
      </x:c>
      <x:c r="AK3346" s="87" t="str">
        <x:v>master-v0.81</x:v>
      </x:c>
      <x:c r="AL3346" s="87" t="str">
        <x:v>statgrad_master_base_v0_81_final(2).xlsx</x:v>
      </x:c>
      <x:c r="AM3346" s="87" t="str">
        <x:v>MATH_Oct_Prof_V11</x:v>
      </x:c>
      <x:c r="AN3346" s="87" t="n">
        <x:v>12</x:v>
      </x:c>
    </x:row>
    <x:row r="3347">
      <x:c r="A3347" s="87" t="n">
        <x:v>3346</x:v>
      </x:c>
      <x:c r="B3347" s="87" t="str">
        <x:v>OCT-MATH-0111-12</x:v>
      </x:c>
      <x:c r="C3347" s="87" t="str">
        <x:v>СтатГрад</x:v>
      </x:c>
      <x:c r="D3347" s="87" t="str">
        <x:v>Октябрь 2025</x:v>
      </x:c>
      <x:c r="E3347" s="87"/>
      <x:c r="F3347" s="87"/>
      <x:c r="G3347" s="87" t="str">
        <x:v>Математика</x:v>
      </x:c>
      <x:c r="H3347" s="87" t="n">
        <x:v>11</x:v>
      </x:c>
      <x:c r="I3347" s="87" t="str">
        <x:v>ТР №1</x:v>
      </x:c>
      <x:c r="J3347" s="87" t="str">
        <x:v>МА2510111</x:v>
      </x:c>
      <x:c r="K3347" s="87" t="n">
        <x:v>12</x:v>
      </x:c>
      <x:c r="L3347" s="87" t="str">
        <x:v>Алгебра</x:v>
      </x:c>
      <x:c r="M3347" s="30" t="str">
        <x:v>Найдите точку минимума функции y = −          .
                                               x
                                      согласия СтатГрад запрещена</x:v>
      </x:c>
      <x:c r="N3347" s="30" t="str">
        <x:v>-5</x:v>
      </x:c>
      <x:c r="O3347" s="30" t="str">
        <x:v>Ответ принят по официальной таблице СтатГрад.</x:v>
      </x:c>
      <x:c r="P3347" s="30" t="str">
        <x:v>Код варианта, номер и условие сопоставлены с PDF; ответ сверён с первичной таблицей.</x:v>
      </x:c>
      <x:c r="Q3347" s="30"/>
      <x:c r="R3347" s="30" t="str">
        <x:v>Официальный фото-ключ профильного уровня.</x:v>
      </x:c>
      <x:c r="S3347" s="30"/>
      <x:c r="T3347" s="30"/>
      <x:c r="U3347" s="30" t="str">
        <x:v>Расхождений не обнаружено.</x:v>
      </x:c>
      <x:c r="V3347" s="87" t="str">
        <x:v>VERIFIED</x:v>
      </x:c>
      <x:c r="W3347" s="87" t="n">
        <x:v>4</x:v>
      </x:c>
      <x:c r="X3347" s="87"/>
      <x:c r="Y3347" s="87"/>
      <x:c r="Z3347" s="87"/>
      <x:c r="AA3347" s="87"/>
      <x:c r="AB3347" s="87"/>
      <x:c r="AC3347" s="87"/>
      <x:c r="AD3347" s="87"/>
      <x:c r="AE3347" s="87"/>
      <x:c r="AF3347" s="87"/>
      <x:c r="AG3347" s="87"/>
      <x:c r="AH3347" s="87"/>
      <x:c r="AI3347" s="30"/>
      <x:c r="AJ3347" s="87" t="str">
        <x:v>master</x:v>
      </x:c>
      <x:c r="AK3347" s="87" t="str">
        <x:v>master-v0.81</x:v>
      </x:c>
      <x:c r="AL3347" s="87" t="str">
        <x:v>statgrad_master_base_v0_81_final(2).xlsx</x:v>
      </x:c>
      <x:c r="AM3347" s="87" t="str">
        <x:v>MATH_Oct_Prof_V11</x:v>
      </x:c>
      <x:c r="AN3347" s="87" t="n">
        <x:v>13</x:v>
      </x:c>
    </x:row>
    <x:row r="3348">
      <x:c r="A3348" s="87" t="n">
        <x:v>3347</x:v>
      </x:c>
      <x:c r="B3348" s="87" t="str">
        <x:v>OCT-MATH-0111-13</x:v>
      </x:c>
      <x:c r="C3348" s="87" t="str">
        <x:v>СтатГрад</x:v>
      </x:c>
      <x:c r="D3348" s="87" t="str">
        <x:v>Октябрь 2025</x:v>
      </x:c>
      <x:c r="E3348" s="87"/>
      <x:c r="F3348" s="87"/>
      <x:c r="G3348" s="87" t="str">
        <x:v>Математика</x:v>
      </x:c>
      <x:c r="H3348" s="87" t="n">
        <x:v>11</x:v>
      </x:c>
      <x:c r="I3348" s="87" t="str">
        <x:v>ТР №1</x:v>
      </x:c>
      <x:c r="J3348" s="87" t="str">
        <x:v>МА2510111</x:v>
      </x:c>
      <x:c r="K3348" s="87" t="n">
        <x:v>13</x:v>
      </x:c>
      <x:c r="L3348" s="87" t="str">
        <x:v>Тригонометрическое уравнение</x:v>
      </x:c>
      <x:c r="M3348" s="30" t="str">
        <x:v>а) Решите уравнение
                                                  3π  
                                2cos 2 x − 16sin  − x  − 7 =0.
                                                  2   
                                                              5π   
     б) Укажите корни этого уравнения, принадлежащие отрезку  ; 4π  .
                                                             2     </x:v>
      </x:c>
      <x:c r="N3348" s="30" t="str">
        <x:v>а) x = −π/3 + 2πn или x = π/3 + 2πm; б) 11π/3.</x:v>
      </x:c>
      <x:c r="O3348" s="30" t="str">
        <x:v>Официальное решение и шкала оценивания сохранены в отдельном LOCKED-листе.</x:v>
      </x:c>
      <x:c r="P3348" s="30" t="str">
        <x:v>Условие и итог ответа сопоставлены с официальным PDF критериев.</x:v>
      </x:c>
      <x:c r="Q3348" s="30"/>
      <x:c r="R3348" s="30" t="str">
        <x:v>Kriterii_MA11_01102025_vostok.pdf</x:v>
      </x:c>
      <x:c r="S3348" s="30"/>
      <x:c r="T3348" s="30"/>
      <x:c r="U3348" s="30" t="str">
        <x:v>Расхождений не обнаружено.</x:v>
      </x:c>
      <x:c r="V3348" s="87" t="str">
        <x:v>VERIFIED</x:v>
      </x:c>
      <x:c r="W3348" s="87" t="n">
        <x:v>5</x:v>
      </x:c>
      <x:c r="X3348" s="87"/>
      <x:c r="Y3348" s="87"/>
      <x:c r="Z3348" s="87"/>
      <x:c r="AA3348" s="87"/>
      <x:c r="AB3348" s="87"/>
      <x:c r="AC3348" s="87"/>
      <x:c r="AD3348" s="87"/>
      <x:c r="AE3348" s="87"/>
      <x:c r="AF3348" s="87"/>
      <x:c r="AG3348" s="87"/>
      <x:c r="AH3348" s="87"/>
      <x:c r="AI3348" s="30"/>
      <x:c r="AJ3348" s="87" t="str">
        <x:v>master</x:v>
      </x:c>
      <x:c r="AK3348" s="87" t="str">
        <x:v>master-v0.81</x:v>
      </x:c>
      <x:c r="AL3348" s="87" t="str">
        <x:v>statgrad_master_base_v0_81_final(2).xlsx</x:v>
      </x:c>
      <x:c r="AM3348" s="87" t="str">
        <x:v>MATH_Oct_Prof_V11</x:v>
      </x:c>
      <x:c r="AN3348" s="87" t="n">
        <x:v>14</x:v>
      </x:c>
    </x:row>
    <x:row r="3349">
      <x:c r="A3349" s="87" t="n">
        <x:v>3348</x:v>
      </x:c>
      <x:c r="B3349" s="87" t="str">
        <x:v>OCT-MATH-0111-14</x:v>
      </x:c>
      <x:c r="C3349" s="87" t="str">
        <x:v>СтатГрад</x:v>
      </x:c>
      <x:c r="D3349" s="87" t="str">
        <x:v>Октябрь 2025</x:v>
      </x:c>
      <x:c r="E3349" s="87"/>
      <x:c r="F3349" s="87"/>
      <x:c r="G3349" s="87" t="str">
        <x:v>Математика</x:v>
      </x:c>
      <x:c r="H3349" s="87" t="n">
        <x:v>11</x:v>
      </x:c>
      <x:c r="I3349" s="87" t="str">
        <x:v>ТР №1</x:v>
      </x:c>
      <x:c r="J3349" s="87" t="str">
        <x:v>МА2510111</x:v>
      </x:c>
      <x:c r="K3349" s="87" t="n">
        <x:v>14</x:v>
      </x:c>
      <x:c r="L3349" s="87" t="str">
        <x:v>Стереометрия с доказательством</x:v>
      </x:c>
      <x:c r="M3349" s="30" t="str">
        <x:v>На ребре AA1 прямоугольного параллелепипеда ABCDA1B1C1D1 взята точка
     E так, что A1E : EA = 3:1. Точка T — середина ребра B1C1 .
     а) Докажите, что сечение параллелепипеда плоскостью ETD1 является
     трапецией.
     б) Найдите угол между плоскостью ETD1 и плоскостью A1B1C1 , если
     известно, что AB = 2 2 , AD = 4 , AA1 = 12 .
                                         8 x − 74      1</x:v>
      </x:c>
      <x:c r="N3349" s="30" t="str">
        <x:v>б) arctg(9√6/8).</x:v>
      </x:c>
      <x:c r="O3349" s="30" t="str">
        <x:v>Официальное решение и шкала оценивания сохранены в отдельном LOCKED-листе.</x:v>
      </x:c>
      <x:c r="P3349" s="30" t="str">
        <x:v>Условие и итог ответа сопоставлены с официальным PDF критериев.</x:v>
      </x:c>
      <x:c r="Q3349" s="30"/>
      <x:c r="R3349" s="30" t="str">
        <x:v>Kriterii_MA11_01102025_vostok.pdf</x:v>
      </x:c>
      <x:c r="S3349" s="30"/>
      <x:c r="T3349" s="30"/>
      <x:c r="U3349" s="30" t="str">
        <x:v>Расхождений не обнаружено.</x:v>
      </x:c>
      <x:c r="V3349" s="87" t="str">
        <x:v>VERIFIED</x:v>
      </x:c>
      <x:c r="W3349" s="87" t="n">
        <x:v>5</x:v>
      </x:c>
      <x:c r="X3349" s="87"/>
      <x:c r="Y3349" s="87"/>
      <x:c r="Z3349" s="87"/>
      <x:c r="AA3349" s="87"/>
      <x:c r="AB3349" s="87"/>
      <x:c r="AC3349" s="87"/>
      <x:c r="AD3349" s="87"/>
      <x:c r="AE3349" s="87"/>
      <x:c r="AF3349" s="87"/>
      <x:c r="AG3349" s="87"/>
      <x:c r="AH3349" s="87"/>
      <x:c r="AI3349" s="30"/>
      <x:c r="AJ3349" s="87" t="str">
        <x:v>master</x:v>
      </x:c>
      <x:c r="AK3349" s="87" t="str">
        <x:v>master-v0.81</x:v>
      </x:c>
      <x:c r="AL3349" s="87" t="str">
        <x:v>statgrad_master_base_v0_81_final(2).xlsx</x:v>
      </x:c>
      <x:c r="AM3349" s="87" t="str">
        <x:v>MATH_Oct_Prof_V11</x:v>
      </x:c>
      <x:c r="AN3349" s="87" t="n">
        <x:v>15</x:v>
      </x:c>
    </x:row>
    <x:row r="3350">
      <x:c r="A3350" s="87" t="n">
        <x:v>3349</x:v>
      </x:c>
      <x:c r="B3350" s="87" t="str">
        <x:v>OCT-MATH-0111-15</x:v>
      </x:c>
      <x:c r="C3350" s="87" t="str">
        <x:v>СтатГрад</x:v>
      </x:c>
      <x:c r="D3350" s="87" t="str">
        <x:v>Октябрь 2025</x:v>
      </x:c>
      <x:c r="E3350" s="87"/>
      <x:c r="F3350" s="87"/>
      <x:c r="G3350" s="87" t="str">
        <x:v>Математика</x:v>
      </x:c>
      <x:c r="H3350" s="87" t="n">
        <x:v>11</x:v>
      </x:c>
      <x:c r="I3350" s="87" t="str">
        <x:v>ТР №1</x:v>
      </x:c>
      <x:c r="J3350" s="87" t="str">
        <x:v>МА2510111</x:v>
      </x:c>
      <x:c r="K3350" s="87" t="n">
        <x:v>15</x:v>
      </x:c>
      <x:c r="L3350" s="87" t="str">
        <x:v>Рациональное неравенство</x:v>
      </x:c>
      <x:c r="M3350" s="30" t="str">
        <x:v>Решите неравенство x − 7 −                     ≤      .
                                     x 2 − 16 x + 63 x − 9</x:v>
      </x:c>
      <x:c r="N3350" s="30" t="str">
        <x:v>(−∞; 4] ∪ (7; 9) ∪ (9; 10].</x:v>
      </x:c>
      <x:c r="O3350" s="30" t="str">
        <x:v>Официальное решение и шкала оценивания сохранены в отдельном LOCKED-листе.</x:v>
      </x:c>
      <x:c r="P3350" s="30" t="str">
        <x:v>Условие и итог ответа сопоставлены с официальным PDF критериев.</x:v>
      </x:c>
      <x:c r="Q3350" s="30"/>
      <x:c r="R3350" s="30" t="str">
        <x:v>Kriterii_MA11_01102025_vostok.pdf</x:v>
      </x:c>
      <x:c r="S3350" s="30"/>
      <x:c r="T3350" s="30"/>
      <x:c r="U3350" s="30" t="str">
        <x:v>Расхождений не обнаружено.</x:v>
      </x:c>
      <x:c r="V3350" s="87" t="str">
        <x:v>VERIFIED</x:v>
      </x:c>
      <x:c r="W3350" s="87" t="n">
        <x:v>5</x:v>
      </x:c>
      <x:c r="X3350" s="87"/>
      <x:c r="Y3350" s="87"/>
      <x:c r="Z3350" s="87"/>
      <x:c r="AA3350" s="87"/>
      <x:c r="AB3350" s="87"/>
      <x:c r="AC3350" s="87"/>
      <x:c r="AD3350" s="87"/>
      <x:c r="AE3350" s="87"/>
      <x:c r="AF3350" s="87"/>
      <x:c r="AG3350" s="87"/>
      <x:c r="AH3350" s="87"/>
      <x:c r="AI3350" s="30"/>
      <x:c r="AJ3350" s="87" t="str">
        <x:v>master</x:v>
      </x:c>
      <x:c r="AK3350" s="87" t="str">
        <x:v>master-v0.81</x:v>
      </x:c>
      <x:c r="AL3350" s="87" t="str">
        <x:v>statgrad_master_base_v0_81_final(2).xlsx</x:v>
      </x:c>
      <x:c r="AM3350" s="87" t="str">
        <x:v>MATH_Oct_Prof_V11</x:v>
      </x:c>
      <x:c r="AN3350" s="87" t="n">
        <x:v>16</x:v>
      </x:c>
    </x:row>
    <x:row r="3351">
      <x:c r="A3351" s="87" t="n">
        <x:v>3350</x:v>
      </x:c>
      <x:c r="B3351" s="87" t="str">
        <x:v>OCT-MATH-0111-16</x:v>
      </x:c>
      <x:c r="C3351" s="87" t="str">
        <x:v>СтатГрад</x:v>
      </x:c>
      <x:c r="D3351" s="87" t="str">
        <x:v>Октябрь 2025</x:v>
      </x:c>
      <x:c r="E3351" s="87"/>
      <x:c r="F3351" s="87"/>
      <x:c r="G3351" s="87" t="str">
        <x:v>Математика</x:v>
      </x:c>
      <x:c r="H3351" s="87" t="n">
        <x:v>11</x:v>
      </x:c>
      <x:c r="I3351" s="87" t="str">
        <x:v>ТР №1</x:v>
      </x:c>
      <x:c r="J3351" s="87" t="str">
        <x:v>МА2510111</x:v>
      </x:c>
      <x:c r="K3351" s="87" t="n">
        <x:v>16</x:v>
      </x:c>
      <x:c r="L3351" s="87" t="str">
        <x:v>Финансовая математика</x:v>
      </x:c>
      <x:c r="M3351" s="30" t="str">
        <x:v>По вкладу «А» банк в конце каждого года увеличивает на 10 % сумму,
     имеющуюся на вкладе в начале года, а по вкладу «Б» — увеличивает эту
     сумму на 12 % в течение каждого из первых двух лет. Найдите наибольшее
     натуральное число процентов, начисленное за третий год по вкладу «Б», при
     котором за три года этот вклад будет менее выгоден, чем вклад «А».
                                    согласия СтатГрад запрещена</x:v>
      </x:c>
      <x:c r="N3351" s="30" t="str">
        <x:v>6.</x:v>
      </x:c>
      <x:c r="O3351" s="30" t="str">
        <x:v>Официальное решение и шкала оценивания сохранены в отдельном LOCKED-листе.</x:v>
      </x:c>
      <x:c r="P3351" s="30" t="str">
        <x:v>Условие и итог ответа сопоставлены с официальным PDF критериев.</x:v>
      </x:c>
      <x:c r="Q3351" s="30"/>
      <x:c r="R3351" s="30" t="str">
        <x:v>Kriterii_MA11_01102025_vostok.pdf</x:v>
      </x:c>
      <x:c r="S3351" s="30"/>
      <x:c r="T3351" s="30"/>
      <x:c r="U3351" s="30" t="str">
        <x:v>Расхождений не обнаружено.</x:v>
      </x:c>
      <x:c r="V3351" s="87" t="str">
        <x:v>VERIFIED</x:v>
      </x:c>
      <x:c r="W3351" s="87" t="n">
        <x:v>5</x:v>
      </x:c>
      <x:c r="X3351" s="87"/>
      <x:c r="Y3351" s="87"/>
      <x:c r="Z3351" s="87"/>
      <x:c r="AA3351" s="87"/>
      <x:c r="AB3351" s="87"/>
      <x:c r="AC3351" s="87"/>
      <x:c r="AD3351" s="87"/>
      <x:c r="AE3351" s="87"/>
      <x:c r="AF3351" s="87"/>
      <x:c r="AG3351" s="87"/>
      <x:c r="AH3351" s="87"/>
      <x:c r="AI3351" s="30"/>
      <x:c r="AJ3351" s="87" t="str">
        <x:v>master</x:v>
      </x:c>
      <x:c r="AK3351" s="87" t="str">
        <x:v>master-v0.81</x:v>
      </x:c>
      <x:c r="AL3351" s="87" t="str">
        <x:v>statgrad_master_base_v0_81_final(2).xlsx</x:v>
      </x:c>
      <x:c r="AM3351" s="87" t="str">
        <x:v>MATH_Oct_Prof_V11</x:v>
      </x:c>
      <x:c r="AN3351" s="87" t="n">
        <x:v>17</x:v>
      </x:c>
    </x:row>
    <x:row r="3352">
      <x:c r="A3352" s="87" t="n">
        <x:v>3351</x:v>
      </x:c>
      <x:c r="B3352" s="87" t="str">
        <x:v>OCT-MATH-0111-17</x:v>
      </x:c>
      <x:c r="C3352" s="87" t="str">
        <x:v>СтатГрад</x:v>
      </x:c>
      <x:c r="D3352" s="87" t="str">
        <x:v>Октябрь 2025</x:v>
      </x:c>
      <x:c r="E3352" s="87"/>
      <x:c r="F3352" s="87"/>
      <x:c r="G3352" s="87" t="str">
        <x:v>Математика</x:v>
      </x:c>
      <x:c r="H3352" s="87" t="n">
        <x:v>11</x:v>
      </x:c>
      <x:c r="I3352" s="87" t="str">
        <x:v>ТР №1</x:v>
      </x:c>
      <x:c r="J3352" s="87" t="str">
        <x:v>МА2510111</x:v>
      </x:c>
      <x:c r="K3352" s="87" t="n">
        <x:v>17</x:v>
      </x:c>
      <x:c r="L3352" s="87" t="str">
        <x:v>Планиметрия с доказательством</x:v>
      </x:c>
      <x:c r="M3352" s="30" t="str">
        <x:v>Биссектрисы углов BAD и BCD равнобедренной трапеции ABCD
     пересекаются в точке O. Через точку O провели прямую, параллельную
     основаниям BC и AD , и пересекающую боковые стороны AB и CD
     в точках M и N соответственно.
     а) Докажите, что отрезок этой прямой внутри трапеции равен её боковой
     стороне.
     б) Найдите длину основания AD , если AO  CO , BC  7 и данная прямая
     делит сторону AB в отношении AM : MB  3: 5.</x:v>
      </x:c>
      <x:c r="N3352" s="30" t="str">
        <x:v>б) 23.</x:v>
      </x:c>
      <x:c r="O3352" s="30" t="str">
        <x:v>Официальное решение и шкала оценивания сохранены в отдельном LOCKED-листе.</x:v>
      </x:c>
      <x:c r="P3352" s="30" t="str">
        <x:v>Условие и итог ответа сопоставлены с официальным PDF критериев.</x:v>
      </x:c>
      <x:c r="Q3352" s="30"/>
      <x:c r="R3352" s="30" t="str">
        <x:v>Kriterii_MA11_01102025_vostok.pdf</x:v>
      </x:c>
      <x:c r="S3352" s="30"/>
      <x:c r="T3352" s="30"/>
      <x:c r="U3352" s="30" t="str">
        <x:v>Расхождений не обнаружено.</x:v>
      </x:c>
      <x:c r="V3352" s="87" t="str">
        <x:v>VERIFIED</x:v>
      </x:c>
      <x:c r="W3352" s="87" t="n">
        <x:v>6</x:v>
      </x:c>
      <x:c r="X3352" s="87"/>
      <x:c r="Y3352" s="87"/>
      <x:c r="Z3352" s="87"/>
      <x:c r="AA3352" s="87"/>
      <x:c r="AB3352" s="87"/>
      <x:c r="AC3352" s="87"/>
      <x:c r="AD3352" s="87"/>
      <x:c r="AE3352" s="87"/>
      <x:c r="AF3352" s="87"/>
      <x:c r="AG3352" s="87"/>
      <x:c r="AH3352" s="87"/>
      <x:c r="AI3352" s="30"/>
      <x:c r="AJ3352" s="87" t="str">
        <x:v>master</x:v>
      </x:c>
      <x:c r="AK3352" s="87" t="str">
        <x:v>master-v0.81</x:v>
      </x:c>
      <x:c r="AL3352" s="87" t="str">
        <x:v>statgrad_master_base_v0_81_final(2).xlsx</x:v>
      </x:c>
      <x:c r="AM3352" s="87" t="str">
        <x:v>MATH_Oct_Prof_V11</x:v>
      </x:c>
      <x:c r="AN3352" s="87" t="n">
        <x:v>18</x:v>
      </x:c>
    </x:row>
    <x:row r="3353">
      <x:c r="A3353" s="87" t="n">
        <x:v>3352</x:v>
      </x:c>
      <x:c r="B3353" s="87" t="str">
        <x:v>OCT-MATH-0111-18</x:v>
      </x:c>
      <x:c r="C3353" s="87" t="str">
        <x:v>СтатГрад</x:v>
      </x:c>
      <x:c r="D3353" s="87" t="str">
        <x:v>Октябрь 2025</x:v>
      </x:c>
      <x:c r="E3353" s="87"/>
      <x:c r="F3353" s="87"/>
      <x:c r="G3353" s="87" t="str">
        <x:v>Математика</x:v>
      </x:c>
      <x:c r="H3353" s="87" t="n">
        <x:v>11</x:v>
      </x:c>
      <x:c r="I3353" s="87" t="str">
        <x:v>ТР №1</x:v>
      </x:c>
      <x:c r="J3353" s="87" t="str">
        <x:v>МА2510111</x:v>
      </x:c>
      <x:c r="K3353" s="87" t="n">
        <x:v>18</x:v>
      </x:c>
      <x:c r="L3353" s="87" t="str">
        <x:v>Задача с параметром</x:v>
      </x:c>
      <x:c r="M3353" s="30" t="str">
        <x:v>Найдите все значения a , при каждом из которых уравнение
                                                             
                         9 x 4  2 x 2 11x  4   a 4 x 2  a  3 x 2  4 x  a
     имеет ровно три различных корня.</x:v>
      </x:c>
      <x:c r="N3353" s="30" t="str">
        <x:v>a &lt; −4; −4 &lt; a ≤ −1.</x:v>
      </x:c>
      <x:c r="O3353" s="30" t="str">
        <x:v>Официальное решение и шкала оценивания сохранены в отдельном LOCKED-листе.</x:v>
      </x:c>
      <x:c r="P3353" s="30" t="str">
        <x:v>Условие и итог ответа сопоставлены с официальным PDF критериев.</x:v>
      </x:c>
      <x:c r="Q3353" s="30"/>
      <x:c r="R3353" s="30" t="str">
        <x:v>Kriterii_MA11_01102025_vostok.pdf</x:v>
      </x:c>
      <x:c r="S3353" s="30"/>
      <x:c r="T3353" s="30"/>
      <x:c r="U3353" s="30" t="str">
        <x:v>Расхождений не обнаружено.</x:v>
      </x:c>
      <x:c r="V3353" s="87" t="str">
        <x:v>VERIFIED</x:v>
      </x:c>
      <x:c r="W3353" s="87" t="n">
        <x:v>6</x:v>
      </x:c>
      <x:c r="X3353" s="87"/>
      <x:c r="Y3353" s="87"/>
      <x:c r="Z3353" s="87"/>
      <x:c r="AA3353" s="87"/>
      <x:c r="AB3353" s="87"/>
      <x:c r="AC3353" s="87"/>
      <x:c r="AD3353" s="87"/>
      <x:c r="AE3353" s="87"/>
      <x:c r="AF3353" s="87"/>
      <x:c r="AG3353" s="87"/>
      <x:c r="AH3353" s="87"/>
      <x:c r="AI3353" s="30"/>
      <x:c r="AJ3353" s="87" t="str">
        <x:v>master</x:v>
      </x:c>
      <x:c r="AK3353" s="87" t="str">
        <x:v>master-v0.81</x:v>
      </x:c>
      <x:c r="AL3353" s="87" t="str">
        <x:v>statgrad_master_base_v0_81_final(2).xlsx</x:v>
      </x:c>
      <x:c r="AM3353" s="87" t="str">
        <x:v>MATH_Oct_Prof_V11</x:v>
      </x:c>
      <x:c r="AN3353" s="87" t="n">
        <x:v>19</x:v>
      </x:c>
    </x:row>
    <x:row r="3354">
      <x:c r="A3354" s="87" t="n">
        <x:v>3353</x:v>
      </x:c>
      <x:c r="B3354" s="87" t="str">
        <x:v>OCT-MATH-0111-19</x:v>
      </x:c>
      <x:c r="C3354" s="87" t="str">
        <x:v>СтатГрад</x:v>
      </x:c>
      <x:c r="D3354" s="87" t="str">
        <x:v>Октябрь 2025</x:v>
      </x:c>
      <x:c r="E3354" s="87"/>
      <x:c r="F3354" s="87"/>
      <x:c r="G3354" s="87" t="str">
        <x:v>Математика</x:v>
      </x:c>
      <x:c r="H3354" s="87" t="n">
        <x:v>11</x:v>
      </x:c>
      <x:c r="I3354" s="87" t="str">
        <x:v>ТР №1</x:v>
      </x:c>
      <x:c r="J3354" s="87" t="str">
        <x:v>МА2510111</x:v>
      </x:c>
      <x:c r="K3354" s="87" t="n">
        <x:v>19</x:v>
      </x:c>
      <x:c r="L3354" s="87" t="str">
        <x:v>Теория чисел / оптимизация</x:v>
      </x:c>
      <x:c r="M3354" s="30" t="str">
        <x:v>Пусть S  n  обозначает сумму цифр натурального числа n .
     а) Существует ли такое число n , что 5n  S  n   2027 ?
     б) Существует ли такое число n , что 10n  S  n   2027 ?
     в) Для какого наименьшего натурального числа k найдётся хотя бы одно
     такое двузначное число n , что 9kn  S  n   15 889 ?
                                    согласия СтатГрад запрещена</x:v>
      </x:c>
      <x:c r="N3354" s="30" t="str">
        <x:v>а) нет; б) нет; в) 36.</x:v>
      </x:c>
      <x:c r="O3354" s="30" t="str">
        <x:v>Официальное решение и шкала оценивания сохранены в отдельном LOCKED-листе.</x:v>
      </x:c>
      <x:c r="P3354" s="30" t="str">
        <x:v>Условие и итог ответа сопоставлены с официальным PDF критериев.</x:v>
      </x:c>
      <x:c r="Q3354" s="30"/>
      <x:c r="R3354" s="30" t="str">
        <x:v>Kriterii_MA11_01102025_vostok.pdf</x:v>
      </x:c>
      <x:c r="S3354" s="30"/>
      <x:c r="T3354" s="30"/>
      <x:c r="U3354" s="30" t="str">
        <x:v>Расхождений не обнаружено.</x:v>
      </x:c>
      <x:c r="V3354" s="87" t="str">
        <x:v>VERIFIED</x:v>
      </x:c>
      <x:c r="W3354" s="87" t="n">
        <x:v>6</x:v>
      </x:c>
      <x:c r="X3354" s="87"/>
      <x:c r="Y3354" s="87"/>
      <x:c r="Z3354" s="87"/>
      <x:c r="AA3354" s="87"/>
      <x:c r="AB3354" s="87"/>
      <x:c r="AC3354" s="87"/>
      <x:c r="AD3354" s="87"/>
      <x:c r="AE3354" s="87"/>
      <x:c r="AF3354" s="87"/>
      <x:c r="AG3354" s="87"/>
      <x:c r="AH3354" s="87"/>
      <x:c r="AI3354" s="30"/>
      <x:c r="AJ3354" s="87" t="str">
        <x:v>master</x:v>
      </x:c>
      <x:c r="AK3354" s="87" t="str">
        <x:v>master-v0.81</x:v>
      </x:c>
      <x:c r="AL3354" s="87" t="str">
        <x:v>statgrad_master_base_v0_81_final(2).xlsx</x:v>
      </x:c>
      <x:c r="AM3354" s="87" t="str">
        <x:v>MATH_Oct_Prof_V11</x:v>
      </x:c>
      <x:c r="AN3354" s="87" t="n">
        <x:v>20</x:v>
      </x:c>
    </x:row>
    <x:row r="3355">
      <x:c r="A3355" s="87" t="n">
        <x:v>3354</x:v>
      </x:c>
      <x:c r="B3355" s="87" t="str">
        <x:v>OCT-MATH-0112-01</x:v>
      </x:c>
      <x:c r="C3355" s="87" t="str">
        <x:v>СтатГрад</x:v>
      </x:c>
      <x:c r="D3355" s="87" t="str">
        <x:v>Октябрь 2025</x:v>
      </x:c>
      <x:c r="E3355" s="87"/>
      <x:c r="F3355" s="87"/>
      <x:c r="G3355" s="87" t="str">
        <x:v>Математика</x:v>
      </x:c>
      <x:c r="H3355" s="87" t="n">
        <x:v>11</x:v>
      </x:c>
      <x:c r="I3355" s="87" t="str">
        <x:v>ТР №1</x:v>
      </x:c>
      <x:c r="J3355" s="87" t="str">
        <x:v>МА2510112</x:v>
      </x:c>
      <x:c r="K3355" s="87" t="n">
        <x:v>1</x:v>
      </x:c>
      <x:c r="L3355" s="87" t="str">
        <x:v>Планиметрия</x:v>
      </x:c>
      <x:c r="M3355" s="30" t="str">
        <x:v>В треугольнике ABC угол C равен 90° , AC = 8 ,
    BC = 6 . Найдите радиус вписанной окружности.
                                           </x:v>
      </x:c>
      <x:c r="N3355" s="30" t="str">
        <x:v>2</x:v>
      </x:c>
      <x:c r="O3355" s="30" t="str">
        <x:v>Ответ принят по официальной таблице СтатГрад.</x:v>
      </x:c>
      <x:c r="P3355" s="30" t="str">
        <x:v>Код варианта, номер и условие сопоставлены с PDF; ответ сверён с первичной таблицей.</x:v>
      </x:c>
      <x:c r="Q3355" s="30"/>
      <x:c r="R3355" s="30" t="str">
        <x:v>Официальный фото-ключ профильного уровня.</x:v>
      </x:c>
      <x:c r="S3355" s="30"/>
      <x:c r="T3355" s="30"/>
      <x:c r="U3355" s="30" t="str">
        <x:v>Расхождений не обнаружено.</x:v>
      </x:c>
      <x:c r="V3355" s="87" t="str">
        <x:v>VERIFIED</x:v>
      </x:c>
      <x:c r="W3355" s="87" t="n">
        <x:v>8</x:v>
      </x:c>
      <x:c r="X3355" s="87"/>
      <x:c r="Y3355" s="87"/>
      <x:c r="Z3355" s="87"/>
      <x:c r="AA3355" s="87"/>
      <x:c r="AB3355" s="87"/>
      <x:c r="AC3355" s="87" t="str">
        <x:v>VIS-MATH-OCT-042</x:v>
      </x:c>
      <x:c r="AD3355" s="87"/>
      <x:c r="AE3355" s="87" t="str">
        <x:v>Полная страница с визуальным контекстом</x:v>
      </x:c>
      <x:c r="AF3355" s="87" t="str">
        <x:v>VIS-MATH-OCT-042: 8</x:v>
      </x:c>
      <x:c r="AG3355" s="87" t="str">
        <x:v>RESOLVED / SOURCE_REGENERATED</x:v>
      </x:c>
      <x:c r="AH3355" s="87" t="str">
        <x:v>SOURCE_PAGE_REGENERATED_FULL_PAGE_NO_CROP</x:v>
      </x:c>
      <x:c r="AI3355" s="30"/>
      <x:c r="AJ3355" s="87" t="str">
        <x:v>master</x:v>
      </x:c>
      <x:c r="AK3355" s="87" t="str">
        <x:v>master-v0.81</x:v>
      </x:c>
      <x:c r="AL3355" s="87" t="str">
        <x:v>statgrad_master_base_v0_81_final(2).xlsx</x:v>
      </x:c>
      <x:c r="AM3355" s="87" t="str">
        <x:v>MATH_Oct_Prof_V12</x:v>
      </x:c>
      <x:c r="AN3355" s="87" t="n">
        <x:v>2</x:v>
      </x:c>
    </x:row>
    <x:row r="3356">
      <x:c r="A3356" s="87" t="n">
        <x:v>3355</x:v>
      </x:c>
      <x:c r="B3356" s="87" t="str">
        <x:v>OCT-MATH-0112-02</x:v>
      </x:c>
      <x:c r="C3356" s="87" t="str">
        <x:v>СтатГрад</x:v>
      </x:c>
      <x:c r="D3356" s="87" t="str">
        <x:v>Октябрь 2025</x:v>
      </x:c>
      <x:c r="E3356" s="87"/>
      <x:c r="F3356" s="87"/>
      <x:c r="G3356" s="87" t="str">
        <x:v>Математика</x:v>
      </x:c>
      <x:c r="H3356" s="87" t="n">
        <x:v>11</x:v>
      </x:c>
      <x:c r="I3356" s="87" t="str">
        <x:v>ТР №1</x:v>
      </x:c>
      <x:c r="J3356" s="87" t="str">
        <x:v>МА2510112</x:v>
      </x:c>
      <x:c r="K3356" s="87" t="n">
        <x:v>2</x:v>
      </x:c>
      <x:c r="L3356" s="87" t="str">
        <x:v>Векторы</x:v>
      </x:c>
      <x:c r="M3356" s="30" t="str">
        <x:v>Даны векторы a ( −10;1) , b ( − 5; 7 ) и c ( 0; 5 ) . Найдите длину вектора
         
    a − 2b + c .</x:v>
      </x:c>
      <x:c r="N3356" s="30" t="str">
        <x:v>8</x:v>
      </x:c>
      <x:c r="O3356" s="30" t="str">
        <x:v>Ответ принят по официальной таблице СтатГрад.</x:v>
      </x:c>
      <x:c r="P3356" s="30" t="str">
        <x:v>Код варианта, номер и условие сопоставлены с PDF; ответ сверён с первичной таблицей.</x:v>
      </x:c>
      <x:c r="Q3356" s="30"/>
      <x:c r="R3356" s="30" t="str">
        <x:v>Официальный фото-ключ профильного уровня.</x:v>
      </x:c>
      <x:c r="S3356" s="30"/>
      <x:c r="T3356" s="30"/>
      <x:c r="U3356" s="30" t="str">
        <x:v>Расхождений не обнаружено.</x:v>
      </x:c>
      <x:c r="V3356" s="87" t="str">
        <x:v>VERIFIED</x:v>
      </x:c>
      <x:c r="W3356" s="87" t="n">
        <x:v>8</x:v>
      </x:c>
      <x:c r="X3356" s="87"/>
      <x:c r="Y3356" s="87"/>
      <x:c r="Z3356" s="87"/>
      <x:c r="AA3356" s="87"/>
      <x:c r="AB3356" s="87"/>
      <x:c r="AC3356" s="87"/>
      <x:c r="AD3356" s="87"/>
      <x:c r="AE3356" s="87"/>
      <x:c r="AF3356" s="87"/>
      <x:c r="AG3356" s="87"/>
      <x:c r="AH3356" s="87"/>
      <x:c r="AI3356" s="30"/>
      <x:c r="AJ3356" s="87" t="str">
        <x:v>master</x:v>
      </x:c>
      <x:c r="AK3356" s="87" t="str">
        <x:v>master-v0.81</x:v>
      </x:c>
      <x:c r="AL3356" s="87" t="str">
        <x:v>statgrad_master_base_v0_81_final(2).xlsx</x:v>
      </x:c>
      <x:c r="AM3356" s="87" t="str">
        <x:v>MATH_Oct_Prof_V12</x:v>
      </x:c>
      <x:c r="AN3356" s="87" t="n">
        <x:v>3</x:v>
      </x:c>
    </x:row>
    <x:row r="3357">
      <x:c r="A3357" s="87" t="n">
        <x:v>3356</x:v>
      </x:c>
      <x:c r="B3357" s="87" t="str">
        <x:v>OCT-MATH-0112-03</x:v>
      </x:c>
      <x:c r="C3357" s="87" t="str">
        <x:v>СтатГрад</x:v>
      </x:c>
      <x:c r="D3357" s="87" t="str">
        <x:v>Октябрь 2025</x:v>
      </x:c>
      <x:c r="E3357" s="87"/>
      <x:c r="F3357" s="87"/>
      <x:c r="G3357" s="87" t="str">
        <x:v>Математика</x:v>
      </x:c>
      <x:c r="H3357" s="87" t="n">
        <x:v>11</x:v>
      </x:c>
      <x:c r="I3357" s="87" t="str">
        <x:v>ТР №1</x:v>
      </x:c>
      <x:c r="J3357" s="87" t="str">
        <x:v>МА2510112</x:v>
      </x:c>
      <x:c r="K3357" s="87" t="n">
        <x:v>3</x:v>
      </x:c>
      <x:c r="L3357" s="87" t="str">
        <x:v>Стереометрия</x:v>
      </x:c>
      <x:c r="M3357" s="30" t="str">
        <x:v>Найдите боковое ребро правильной четырёхугольной
    призмы, если сторона её основания равна 2, а площадь
    поверхности равна 104.</x:v>
      </x:c>
      <x:c r="N3357" s="30" t="str">
        <x:v>12</x:v>
      </x:c>
      <x:c r="O3357" s="30" t="str">
        <x:v>Ответ принят по официальной таблице СтатГрад.</x:v>
      </x:c>
      <x:c r="P3357" s="30" t="str">
        <x:v>Код варианта, номер и условие сопоставлены с PDF; ответ сверён с первичной таблицей.</x:v>
      </x:c>
      <x:c r="Q3357" s="30"/>
      <x:c r="R3357" s="30" t="str">
        <x:v>Официальный фото-ключ профильного уровня.</x:v>
      </x:c>
      <x:c r="S3357" s="30"/>
      <x:c r="T3357" s="30"/>
      <x:c r="U3357" s="30" t="str">
        <x:v>Расхождений не обнаружено.</x:v>
      </x:c>
      <x:c r="V3357" s="87" t="str">
        <x:v>VERIFIED</x:v>
      </x:c>
      <x:c r="W3357" s="87" t="n">
        <x:v>8</x:v>
      </x:c>
      <x:c r="X3357" s="87"/>
      <x:c r="Y3357" s="87"/>
      <x:c r="Z3357" s="87"/>
      <x:c r="AA3357" s="87"/>
      <x:c r="AB3357" s="87"/>
      <x:c r="AC3357" s="87"/>
      <x:c r="AD3357" s="87"/>
      <x:c r="AE3357" s="87"/>
      <x:c r="AF3357" s="87"/>
      <x:c r="AG3357" s="87"/>
      <x:c r="AH3357" s="87"/>
      <x:c r="AI3357" s="30"/>
      <x:c r="AJ3357" s="87" t="str">
        <x:v>master</x:v>
      </x:c>
      <x:c r="AK3357" s="87" t="str">
        <x:v>master-v0.81</x:v>
      </x:c>
      <x:c r="AL3357" s="87" t="str">
        <x:v>statgrad_master_base_v0_81_final(2).xlsx</x:v>
      </x:c>
      <x:c r="AM3357" s="87" t="str">
        <x:v>MATH_Oct_Prof_V12</x:v>
      </x:c>
      <x:c r="AN3357" s="87" t="n">
        <x:v>4</x:v>
      </x:c>
    </x:row>
    <x:row r="3358">
      <x:c r="A3358" s="87" t="n">
        <x:v>3357</x:v>
      </x:c>
      <x:c r="B3358" s="87" t="str">
        <x:v>OCT-MATH-0112-04</x:v>
      </x:c>
      <x:c r="C3358" s="87" t="str">
        <x:v>СтатГрад</x:v>
      </x:c>
      <x:c r="D3358" s="87" t="str">
        <x:v>Октябрь 2025</x:v>
      </x:c>
      <x:c r="E3358" s="87"/>
      <x:c r="F3358" s="87"/>
      <x:c r="G3358" s="87" t="str">
        <x:v>Математика</x:v>
      </x:c>
      <x:c r="H3358" s="87" t="n">
        <x:v>11</x:v>
      </x:c>
      <x:c r="I3358" s="87" t="str">
        <x:v>ТР №1</x:v>
      </x:c>
      <x:c r="J3358" s="87" t="str">
        <x:v>МА2510112</x:v>
      </x:c>
      <x:c r="K3358" s="87" t="n">
        <x:v>4</x:v>
      </x:c>
      <x:c r="L3358" s="87" t="str">
        <x:v>Вероятность</x:v>
      </x:c>
      <x:c r="M3358" s="30" t="str">
        <x:v>Фабрика выпускает сумки. В среднем из 200 сумок 8 сумок имеют скрытые
    дефекты. Найдите вероятность того, что выбранная в магазине сумка
    окажется с дефектами. Результат округлите до сотых.
                                   согласия СтатГрад запрещена</x:v>
      </x:c>
      <x:c r="N3358" s="30" t="str">
        <x:v>0,04</x:v>
      </x:c>
      <x:c r="O3358" s="30" t="str">
        <x:v>Ответ принят по официальной таблице СтатГрад.</x:v>
      </x:c>
      <x:c r="P3358" s="30" t="str">
        <x:v>Код варианта, номер и условие сопоставлены с PDF; ответ сверён с первичной таблицей.</x:v>
      </x:c>
      <x:c r="Q3358" s="30"/>
      <x:c r="R3358" s="30" t="str">
        <x:v>Официальный фото-ключ профильного уровня.</x:v>
      </x:c>
      <x:c r="S3358" s="30"/>
      <x:c r="T3358" s="30"/>
      <x:c r="U3358" s="30" t="str">
        <x:v>Расхождений не обнаружено.</x:v>
      </x:c>
      <x:c r="V3358" s="87" t="str">
        <x:v>VERIFIED</x:v>
      </x:c>
      <x:c r="W3358" s="87" t="n">
        <x:v>8</x:v>
      </x:c>
      <x:c r="X3358" s="87"/>
      <x:c r="Y3358" s="87"/>
      <x:c r="Z3358" s="87"/>
      <x:c r="AA3358" s="87"/>
      <x:c r="AB3358" s="87"/>
      <x:c r="AC3358" s="87"/>
      <x:c r="AD3358" s="87"/>
      <x:c r="AE3358" s="87"/>
      <x:c r="AF3358" s="87"/>
      <x:c r="AG3358" s="87"/>
      <x:c r="AH3358" s="87"/>
      <x:c r="AI3358" s="30"/>
      <x:c r="AJ3358" s="87" t="str">
        <x:v>master</x:v>
      </x:c>
      <x:c r="AK3358" s="87" t="str">
        <x:v>master-v0.81</x:v>
      </x:c>
      <x:c r="AL3358" s="87" t="str">
        <x:v>statgrad_master_base_v0_81_final(2).xlsx</x:v>
      </x:c>
      <x:c r="AM3358" s="87" t="str">
        <x:v>MATH_Oct_Prof_V12</x:v>
      </x:c>
      <x:c r="AN3358" s="87" t="n">
        <x:v>5</x:v>
      </x:c>
    </x:row>
    <x:row r="3359">
      <x:c r="A3359" s="87" t="n">
        <x:v>3358</x:v>
      </x:c>
      <x:c r="B3359" s="87" t="str">
        <x:v>OCT-MATH-0112-05</x:v>
      </x:c>
      <x:c r="C3359" s="87" t="str">
        <x:v>СтатГрад</x:v>
      </x:c>
      <x:c r="D3359" s="87" t="str">
        <x:v>Октябрь 2025</x:v>
      </x:c>
      <x:c r="E3359" s="87"/>
      <x:c r="F3359" s="87"/>
      <x:c r="G3359" s="87" t="str">
        <x:v>Математика</x:v>
      </x:c>
      <x:c r="H3359" s="87" t="n">
        <x:v>11</x:v>
      </x:c>
      <x:c r="I3359" s="87" t="str">
        <x:v>ТР №1</x:v>
      </x:c>
      <x:c r="J3359" s="87" t="str">
        <x:v>МА2510112</x:v>
      </x:c>
      <x:c r="K3359" s="87" t="n">
        <x:v>5</x:v>
      </x:c>
      <x:c r="L3359" s="87" t="str">
        <x:v>Вероятность</x:v>
      </x:c>
      <x:c r="M3359" s="30" t="str">
        <x:v>Вероятность того, что новый пылесос прослужит больше года, равна 0,93.
    Вероятность того, что он прослужит больше двух лет, равна 0,88. Найдите
    вероятность того, что он прослужит меньше двух лет, но больше года.
                                         14     1</x:v>
      </x:c>
      <x:c r="N3359" s="30" t="str">
        <x:v>0,05</x:v>
      </x:c>
      <x:c r="O3359" s="30" t="str">
        <x:v>Ответ принят по официальной таблице СтатГрад.</x:v>
      </x:c>
      <x:c r="P3359" s="30" t="str">
        <x:v>Код варианта, номер и условие сопоставлены с PDF; ответ сверён с первичной таблицей.</x:v>
      </x:c>
      <x:c r="Q3359" s="30"/>
      <x:c r="R3359" s="30" t="str">
        <x:v>Официальный фото-ключ профильного уровня.</x:v>
      </x:c>
      <x:c r="S3359" s="30"/>
      <x:c r="T3359" s="30"/>
      <x:c r="U3359" s="30" t="str">
        <x:v>Расхождений не обнаружено.</x:v>
      </x:c>
      <x:c r="V3359" s="87" t="str">
        <x:v>VERIFIED</x:v>
      </x:c>
      <x:c r="W3359" s="87" t="n">
        <x:v>9</x:v>
      </x:c>
      <x:c r="X3359" s="87"/>
      <x:c r="Y3359" s="87"/>
      <x:c r="Z3359" s="87"/>
      <x:c r="AA3359" s="87"/>
      <x:c r="AB3359" s="87"/>
      <x:c r="AC3359" s="87"/>
      <x:c r="AD3359" s="87"/>
      <x:c r="AE3359" s="87"/>
      <x:c r="AF3359" s="87"/>
      <x:c r="AG3359" s="87"/>
      <x:c r="AH3359" s="87"/>
      <x:c r="AI3359" s="30"/>
      <x:c r="AJ3359" s="87" t="str">
        <x:v>master</x:v>
      </x:c>
      <x:c r="AK3359" s="87" t="str">
        <x:v>master-v0.81</x:v>
      </x:c>
      <x:c r="AL3359" s="87" t="str">
        <x:v>statgrad_master_base_v0_81_final(2).xlsx</x:v>
      </x:c>
      <x:c r="AM3359" s="87" t="str">
        <x:v>MATH_Oct_Prof_V12</x:v>
      </x:c>
      <x:c r="AN3359" s="87" t="n">
        <x:v>6</x:v>
      </x:c>
    </x:row>
    <x:row r="3360">
      <x:c r="A3360" s="87" t="n">
        <x:v>3359</x:v>
      </x:c>
      <x:c r="B3360" s="87" t="str">
        <x:v>OCT-MATH-0112-06</x:v>
      </x:c>
      <x:c r="C3360" s="87" t="str">
        <x:v>СтатГрад</x:v>
      </x:c>
      <x:c r="D3360" s="87" t="str">
        <x:v>Октябрь 2025</x:v>
      </x:c>
      <x:c r="E3360" s="87"/>
      <x:c r="F3360" s="87"/>
      <x:c r="G3360" s="87" t="str">
        <x:v>Математика</x:v>
      </x:c>
      <x:c r="H3360" s="87" t="n">
        <x:v>11</x:v>
      </x:c>
      <x:c r="I3360" s="87" t="str">
        <x:v>ТР №1</x:v>
      </x:c>
      <x:c r="J3360" s="87" t="str">
        <x:v>МА2510112</x:v>
      </x:c>
      <x:c r="K3360" s="87" t="n">
        <x:v>6</x:v>
      </x:c>
      <x:c r="L3360" s="87" t="str">
        <x:v>Уравнение</x:v>
      </x:c>
      <x:c r="M3360" s="30" t="str">
        <x:v>Найдите корень уравнения                  = .
                                      5 x − 20 10</x:v>
      </x:c>
      <x:c r="N3360" s="30" t="str">
        <x:v>284</x:v>
      </x:c>
      <x:c r="O3360" s="30" t="str">
        <x:v>Ответ принят по официальной таблице СтатГрад.</x:v>
      </x:c>
      <x:c r="P3360" s="30" t="str">
        <x:v>Код варианта, номер и условие сопоставлены с PDF; ответ сверён с первичной таблицей.</x:v>
      </x:c>
      <x:c r="Q3360" s="30"/>
      <x:c r="R3360" s="30" t="str">
        <x:v>Официальный фото-ключ профильного уровня.</x:v>
      </x:c>
      <x:c r="S3360" s="30"/>
      <x:c r="T3360" s="30"/>
      <x:c r="U3360" s="30" t="str">
        <x:v>Расхождений не обнаружено.</x:v>
      </x:c>
      <x:c r="V3360" s="87" t="str">
        <x:v>VERIFIED</x:v>
      </x:c>
      <x:c r="W3360" s="87" t="n">
        <x:v>9</x:v>
      </x:c>
      <x:c r="X3360" s="87"/>
      <x:c r="Y3360" s="87"/>
      <x:c r="Z3360" s="87"/>
      <x:c r="AA3360" s="87"/>
      <x:c r="AB3360" s="87"/>
      <x:c r="AC3360" s="87"/>
      <x:c r="AD3360" s="87"/>
      <x:c r="AE3360" s="87"/>
      <x:c r="AF3360" s="87"/>
      <x:c r="AG3360" s="87"/>
      <x:c r="AH3360" s="87"/>
      <x:c r="AI3360" s="30"/>
      <x:c r="AJ3360" s="87" t="str">
        <x:v>master</x:v>
      </x:c>
      <x:c r="AK3360" s="87" t="str">
        <x:v>master-v0.81</x:v>
      </x:c>
      <x:c r="AL3360" s="87" t="str">
        <x:v>statgrad_master_base_v0_81_final(2).xlsx</x:v>
      </x:c>
      <x:c r="AM3360" s="87" t="str">
        <x:v>MATH_Oct_Prof_V12</x:v>
      </x:c>
      <x:c r="AN3360" s="87" t="n">
        <x:v>7</x:v>
      </x:c>
    </x:row>
    <x:row r="3361">
      <x:c r="A3361" s="87" t="n">
        <x:v>3360</x:v>
      </x:c>
      <x:c r="B3361" s="87" t="str">
        <x:v>OCT-MATH-0112-07</x:v>
      </x:c>
      <x:c r="C3361" s="87" t="str">
        <x:v>СтатГрад</x:v>
      </x:c>
      <x:c r="D3361" s="87" t="str">
        <x:v>Октябрь 2025</x:v>
      </x:c>
      <x:c r="E3361" s="87"/>
      <x:c r="F3361" s="87"/>
      <x:c r="G3361" s="87" t="str">
        <x:v>Математика</x:v>
      </x:c>
      <x:c r="H3361" s="87" t="n">
        <x:v>11</x:v>
      </x:c>
      <x:c r="I3361" s="87" t="str">
        <x:v>ТР №1</x:v>
      </x:c>
      <x:c r="J3361" s="87" t="str">
        <x:v>МА2510112</x:v>
      </x:c>
      <x:c r="K3361" s="87" t="n">
        <x:v>7</x:v>
      </x:c>
      <x:c r="L3361" s="87" t="str">
        <x:v>Логарифмы / выражение</x:v>
      </x:c>
      <x:c r="M3361" s="30" t="str">
        <x:v>Найдите значение выражения log 0,2 9 ⋅ log 9 5 .</x:v>
      </x:c>
      <x:c r="N3361" s="30" t="str">
        <x:v>-1</x:v>
      </x:c>
      <x:c r="O3361" s="30" t="str">
        <x:v>Ответ принят по официальной таблице СтатГрад.</x:v>
      </x:c>
      <x:c r="P3361" s="30" t="str">
        <x:v>Код варианта, номер и условие сопоставлены с PDF; ответ сверён с первичной таблицей.</x:v>
      </x:c>
      <x:c r="Q3361" s="30"/>
      <x:c r="R3361" s="30" t="str">
        <x:v>Официальный фото-ключ профильного уровня.</x:v>
      </x:c>
      <x:c r="S3361" s="30"/>
      <x:c r="T3361" s="30"/>
      <x:c r="U3361" s="30" t="str">
        <x:v>Расхождений не обнаружено.</x:v>
      </x:c>
      <x:c r="V3361" s="87" t="str">
        <x:v>VERIFIED</x:v>
      </x:c>
      <x:c r="W3361" s="87" t="n">
        <x:v>9</x:v>
      </x:c>
      <x:c r="X3361" s="87"/>
      <x:c r="Y3361" s="87"/>
      <x:c r="Z3361" s="87"/>
      <x:c r="AA3361" s="87"/>
      <x:c r="AB3361" s="87"/>
      <x:c r="AC3361" s="87"/>
      <x:c r="AD3361" s="87"/>
      <x:c r="AE3361" s="87"/>
      <x:c r="AF3361" s="87"/>
      <x:c r="AG3361" s="87"/>
      <x:c r="AH3361" s="87"/>
      <x:c r="AI3361" s="30"/>
      <x:c r="AJ3361" s="87" t="str">
        <x:v>master</x:v>
      </x:c>
      <x:c r="AK3361" s="87" t="str">
        <x:v>master-v0.81</x:v>
      </x:c>
      <x:c r="AL3361" s="87" t="str">
        <x:v>statgrad_master_base_v0_81_final(2).xlsx</x:v>
      </x:c>
      <x:c r="AM3361" s="87" t="str">
        <x:v>MATH_Oct_Prof_V12</x:v>
      </x:c>
      <x:c r="AN3361" s="87" t="n">
        <x:v>8</x:v>
      </x:c>
    </x:row>
    <x:row r="3362">
      <x:c r="A3362" s="87" t="n">
        <x:v>3361</x:v>
      </x:c>
      <x:c r="B3362" s="87" t="str">
        <x:v>OCT-MATH-0112-08</x:v>
      </x:c>
      <x:c r="C3362" s="87" t="str">
        <x:v>СтатГрад</x:v>
      </x:c>
      <x:c r="D3362" s="87" t="str">
        <x:v>Октябрь 2025</x:v>
      </x:c>
      <x:c r="E3362" s="87"/>
      <x:c r="F3362" s="87"/>
      <x:c r="G3362" s="87" t="str">
        <x:v>Математика</x:v>
      </x:c>
      <x:c r="H3362" s="87" t="n">
        <x:v>11</x:v>
      </x:c>
      <x:c r="I3362" s="87" t="str">
        <x:v>ТР №1</x:v>
      </x:c>
      <x:c r="J3362" s="87" t="str">
        <x:v>МА2510112</x:v>
      </x:c>
      <x:c r="K3362" s="87" t="n">
        <x:v>8</x:v>
      </x:c>
      <x:c r="L3362" s="87" t="str">
        <x:v>График производной</x:v>
      </x:c>
      <x:c r="M3362" s="30" t="str">
        <x:v>На рисунке изображён график функции y = f ( x ) . На оси абсцисс отмечены
    точки − 2 , −1 , 2, 4. В какой из этих точек значение производной
    наименьшее? В ответе укажите эту точку.
                                       y
                                 −1                   2                      x
                           −2                                      4
                                   согласия СтатГрад запрещена</x:v>
      </x:c>
      <x:c r="N3362" s="30" t="str">
        <x:v>-1</x:v>
      </x:c>
      <x:c r="O3362" s="30" t="str">
        <x:v>Ответ принят по официальной таблице СтатГрад.</x:v>
      </x:c>
      <x:c r="P3362" s="30" t="str">
        <x:v>Код варианта, номер и условие сопоставлены с PDF; ответ сверён с первичной таблицей.</x:v>
      </x:c>
      <x:c r="Q3362" s="30"/>
      <x:c r="R3362" s="30" t="str">
        <x:v>Официальный фото-ключ профильного уровня.</x:v>
      </x:c>
      <x:c r="S3362" s="30"/>
      <x:c r="T3362" s="30"/>
      <x:c r="U3362" s="30" t="str">
        <x:v>Расхождений не обнаружено.</x:v>
      </x:c>
      <x:c r="V3362" s="87" t="str">
        <x:v>VERIFIED</x:v>
      </x:c>
      <x:c r="W3362" s="87" t="n">
        <x:v>9</x:v>
      </x:c>
      <x:c r="X3362" s="87"/>
      <x:c r="Y3362" s="87"/>
      <x:c r="Z3362" s="87"/>
      <x:c r="AA3362" s="87"/>
      <x:c r="AB3362" s="87"/>
      <x:c r="AC3362" s="87" t="str">
        <x:v>VIS-MATH-OCT-043</x:v>
      </x:c>
      <x:c r="AD3362" s="87"/>
      <x:c r="AE3362" s="87" t="str">
        <x:v>Полная страница с визуальным контекстом</x:v>
      </x:c>
      <x:c r="AF3362" s="87" t="str">
        <x:v>VIS-MATH-OCT-043: 9</x:v>
      </x:c>
      <x:c r="AG3362" s="87" t="str">
        <x:v>RESOLVED / SOURCE_REGENERATED</x:v>
      </x:c>
      <x:c r="AH3362" s="87" t="str">
        <x:v>SOURCE_PAGE_REGENERATED_FULL_PAGE_NO_CROP; TASK_CROP_QA_APPROVED:USE_TIGHT</x:v>
      </x:c>
      <x:c r="AI3362" s="30"/>
      <x:c r="AJ3362" s="87" t="str">
        <x:v>master</x:v>
      </x:c>
      <x:c r="AK3362" s="87" t="str">
        <x:v>master-v0.81</x:v>
      </x:c>
      <x:c r="AL3362" s="87" t="str">
        <x:v>statgrad_master_base_v0_81_final(2).xlsx</x:v>
      </x:c>
      <x:c r="AM3362" s="87" t="str">
        <x:v>MATH_Oct_Prof_V12</x:v>
      </x:c>
      <x:c r="AN3362" s="87" t="n">
        <x:v>9</x:v>
      </x:c>
    </x:row>
    <x:row r="3363">
      <x:c r="A3363" s="87" t="n">
        <x:v>3362</x:v>
      </x:c>
      <x:c r="B3363" s="87" t="str">
        <x:v>OCT-MATH-0112-09</x:v>
      </x:c>
      <x:c r="C3363" s="87" t="str">
        <x:v>СтатГрад</x:v>
      </x:c>
      <x:c r="D3363" s="87" t="str">
        <x:v>Октябрь 2025</x:v>
      </x:c>
      <x:c r="E3363" s="87"/>
      <x:c r="F3363" s="87"/>
      <x:c r="G3363" s="87" t="str">
        <x:v>Математика</x:v>
      </x:c>
      <x:c r="H3363" s="87" t="n">
        <x:v>11</x:v>
      </x:c>
      <x:c r="I3363" s="87" t="str">
        <x:v>ТР №1</x:v>
      </x:c>
      <x:c r="J3363" s="87" t="str">
        <x:v>МА2510112</x:v>
      </x:c>
      <x:c r="K3363" s="87" t="n">
        <x:v>9</x:v>
      </x:c>
      <x:c r="L3363" s="87" t="str">
        <x:v>Прикладная математическая модель</x:v>
      </x:c>
      <x:c r="M3363" s="30" t="str">
        <x:v>Датчик сконструирован таким образом, что его антенна ловит радиосигнал,
     который затем преобразуется в электрический сигнал, изменяющийся
     со временем по закону
                        =     U U 0 cos ( ωt + φ ) , где t — время в секундах,
     U 0 = 2 В — амплитуда, =ω 120° /с — частота, φ =      − 90° — фаза. Датчик
     настроен так, что если напряжение в нём не ниже чем 1 В, то загорается
     лампочка. Какую часть времени (в процентах) на протяжении первой
     секунды после начала работы лампочка будет гореть?</x:v>
      </x:c>
      <x:c r="N3363" s="30" t="str">
        <x:v>75</x:v>
      </x:c>
      <x:c r="O3363" s="30" t="str">
        <x:v>Ответ принят по официальной таблице СтатГрад.</x:v>
      </x:c>
      <x:c r="P3363" s="30" t="str">
        <x:v>Код варианта, номер и условие сопоставлены с PDF; ответ сверён с первичной таблицей.</x:v>
      </x:c>
      <x:c r="Q3363" s="30"/>
      <x:c r="R3363" s="30" t="str">
        <x:v>Официальный фото-ключ профильного уровня.</x:v>
      </x:c>
      <x:c r="S3363" s="30"/>
      <x:c r="T3363" s="30"/>
      <x:c r="U3363" s="30" t="str">
        <x:v>Расхождений не обнаружено.</x:v>
      </x:c>
      <x:c r="V3363" s="87" t="str">
        <x:v>VERIFIED</x:v>
      </x:c>
      <x:c r="W3363" s="87" t="n">
        <x:v>10</x:v>
      </x:c>
      <x:c r="X3363" s="87"/>
      <x:c r="Y3363" s="87"/>
      <x:c r="Z3363" s="87"/>
      <x:c r="AA3363" s="87"/>
      <x:c r="AB3363" s="87"/>
      <x:c r="AC3363" s="87"/>
      <x:c r="AD3363" s="87"/>
      <x:c r="AE3363" s="87"/>
      <x:c r="AF3363" s="87"/>
      <x:c r="AG3363" s="87"/>
      <x:c r="AH3363" s="87"/>
      <x:c r="AI3363" s="30"/>
      <x:c r="AJ3363" s="87" t="str">
        <x:v>master</x:v>
      </x:c>
      <x:c r="AK3363" s="87" t="str">
        <x:v>master-v0.81</x:v>
      </x:c>
      <x:c r="AL3363" s="87" t="str">
        <x:v>statgrad_master_base_v0_81_final(2).xlsx</x:v>
      </x:c>
      <x:c r="AM3363" s="87" t="str">
        <x:v>MATH_Oct_Prof_V12</x:v>
      </x:c>
      <x:c r="AN3363" s="87" t="n">
        <x:v>10</x:v>
      </x:c>
    </x:row>
    <x:row r="3364">
      <x:c r="A3364" s="87" t="n">
        <x:v>3363</x:v>
      </x:c>
      <x:c r="B3364" s="87" t="str">
        <x:v>OCT-MATH-0112-10</x:v>
      </x:c>
      <x:c r="C3364" s="87" t="str">
        <x:v>СтатГрад</x:v>
      </x:c>
      <x:c r="D3364" s="87" t="str">
        <x:v>Октябрь 2025</x:v>
      </x:c>
      <x:c r="E3364" s="87"/>
      <x:c r="F3364" s="87"/>
      <x:c r="G3364" s="87" t="str">
        <x:v>Математика</x:v>
      </x:c>
      <x:c r="H3364" s="87" t="n">
        <x:v>11</x:v>
      </x:c>
      <x:c r="I3364" s="87" t="str">
        <x:v>ТР №1</x:v>
      </x:c>
      <x:c r="J3364" s="87" t="str">
        <x:v>МА2510112</x:v>
      </x:c>
      <x:c r="K3364" s="87" t="n">
        <x:v>10</x:v>
      </x:c>
      <x:c r="L3364" s="87" t="str">
        <x:v>Текстовая задача</x:v>
      </x:c>
      <x:c r="M3364" s="30" t="str">
        <x:v>Велосипедист выехал с постоянной скоростью из города А в город В,
     расстояние между которыми равно 78 км. На следующий день он отправился
     обратно со скоростью, на 7 км/ч больше прежней. По дороге он сделал
     остановку на 7 часов. В результате он затратил на обратный путь столько же
     времени, сколько на путь из А в В. Найдите скорость велосипедиста на пути
     из А в В. Ответ дайте в км/ч.</x:v>
      </x:c>
      <x:c r="N3364" s="30" t="str">
        <x:v>6</x:v>
      </x:c>
      <x:c r="O3364" s="30" t="str">
        <x:v>Ответ принят по официальной таблице СтатГрад.</x:v>
      </x:c>
      <x:c r="P3364" s="30" t="str">
        <x:v>Код варианта, номер и условие сопоставлены с PDF; ответ сверён с первичной таблицей.</x:v>
      </x:c>
      <x:c r="Q3364" s="30"/>
      <x:c r="R3364" s="30" t="str">
        <x:v>Официальный фото-ключ профильного уровня.</x:v>
      </x:c>
      <x:c r="S3364" s="30"/>
      <x:c r="T3364" s="30"/>
      <x:c r="U3364" s="30" t="str">
        <x:v>Расхождений не обнаружено.</x:v>
      </x:c>
      <x:c r="V3364" s="87" t="str">
        <x:v>VERIFIED</x:v>
      </x:c>
      <x:c r="W3364" s="87" t="n">
        <x:v>10</x:v>
      </x:c>
      <x:c r="X3364" s="87"/>
      <x:c r="Y3364" s="87"/>
      <x:c r="Z3364" s="87"/>
      <x:c r="AA3364" s="87"/>
      <x:c r="AB3364" s="87"/>
      <x:c r="AC3364" s="87"/>
      <x:c r="AD3364" s="87"/>
      <x:c r="AE3364" s="87"/>
      <x:c r="AF3364" s="87"/>
      <x:c r="AG3364" s="87"/>
      <x:c r="AH3364" s="87"/>
      <x:c r="AI3364" s="30"/>
      <x:c r="AJ3364" s="87" t="str">
        <x:v>master</x:v>
      </x:c>
      <x:c r="AK3364" s="87" t="str">
        <x:v>master-v0.81</x:v>
      </x:c>
      <x:c r="AL3364" s="87" t="str">
        <x:v>statgrad_master_base_v0_81_final(2).xlsx</x:v>
      </x:c>
      <x:c r="AM3364" s="87" t="str">
        <x:v>MATH_Oct_Prof_V12</x:v>
      </x:c>
      <x:c r="AN3364" s="87" t="n">
        <x:v>11</x:v>
      </x:c>
    </x:row>
    <x:row r="3365">
      <x:c r="A3365" s="87" t="n">
        <x:v>3364</x:v>
      </x:c>
      <x:c r="B3365" s="87" t="str">
        <x:v>OCT-MATH-0112-11</x:v>
      </x:c>
      <x:c r="C3365" s="87" t="str">
        <x:v>СтатГрад</x:v>
      </x:c>
      <x:c r="D3365" s="87" t="str">
        <x:v>Октябрь 2025</x:v>
      </x:c>
      <x:c r="E3365" s="87"/>
      <x:c r="F3365" s="87"/>
      <x:c r="G3365" s="87" t="str">
        <x:v>Математика</x:v>
      </x:c>
      <x:c r="H3365" s="87" t="n">
        <x:v>11</x:v>
      </x:c>
      <x:c r="I3365" s="87" t="str">
        <x:v>ТР №1</x:v>
      </x:c>
      <x:c r="J3365" s="87" t="str">
        <x:v>МА2510112</x:v>
      </x:c>
      <x:c r="K3365" s="87" t="n">
        <x:v>11</x:v>
      </x:c>
      <x:c r="L3365" s="87" t="str">
        <x:v>График функции</x:v>
      </x:c>
      <x:c r="M3365" s="30" t="str">
        <x:v>На рисунке изображён график функции                                        y
     f ( x ) = ax 2 − 3 x + c . Найдите значение f ( 5 ) .
                                                                                1
                                                                                0    1            x
                                          x 2 + 16</x:v>
      </x:c>
      <x:c r="N3365" s="30" t="str">
        <x:v>-61</x:v>
      </x:c>
      <x:c r="O3365" s="30" t="str">
        <x:v>Ответ принят по официальной таблице СтатГрад.</x:v>
      </x:c>
      <x:c r="P3365" s="30" t="str">
        <x:v>Код варианта, номер и условие сопоставлены с PDF; ответ сверён с первичной таблицей.</x:v>
      </x:c>
      <x:c r="Q3365" s="30"/>
      <x:c r="R3365" s="30" t="str">
        <x:v>Официальный фото-ключ профильного уровня.</x:v>
      </x:c>
      <x:c r="S3365" s="30"/>
      <x:c r="T3365" s="30"/>
      <x:c r="U3365" s="30" t="str">
        <x:v>Расхождений не обнаружено.</x:v>
      </x:c>
      <x:c r="V3365" s="87" t="str">
        <x:v>VERIFIED</x:v>
      </x:c>
      <x:c r="W3365" s="87" t="n">
        <x:v>10</x:v>
      </x:c>
      <x:c r="X3365" s="87"/>
      <x:c r="Y3365" s="87"/>
      <x:c r="Z3365" s="87"/>
      <x:c r="AA3365" s="87"/>
      <x:c r="AB3365" s="87"/>
      <x:c r="AC3365" s="87" t="str">
        <x:v>VIS-MATH-OCT-044</x:v>
      </x:c>
      <x:c r="AD3365" s="87"/>
      <x:c r="AE3365" s="87" t="str">
        <x:v>Полная страница с визуальным контекстом</x:v>
      </x:c>
      <x:c r="AF3365" s="87" t="str">
        <x:v>VIS-MATH-OCT-044: 10</x:v>
      </x:c>
      <x:c r="AG3365" s="87" t="str">
        <x:v>RESOLVED / SOURCE_REGENERATED</x:v>
      </x:c>
      <x:c r="AH3365" s="87" t="str">
        <x:v>SOURCE_PAGE_REGENERATED_FULL_PAGE_NO_CROP; TASK_CROP_QA_APPROVED:USE_TIGHT</x:v>
      </x:c>
      <x:c r="AI3365" s="30"/>
      <x:c r="AJ3365" s="87" t="str">
        <x:v>master</x:v>
      </x:c>
      <x:c r="AK3365" s="87" t="str">
        <x:v>master-v0.81</x:v>
      </x:c>
      <x:c r="AL3365" s="87" t="str">
        <x:v>statgrad_master_base_v0_81_final(2).xlsx</x:v>
      </x:c>
      <x:c r="AM3365" s="87" t="str">
        <x:v>MATH_Oct_Prof_V12</x:v>
      </x:c>
      <x:c r="AN3365" s="87" t="n">
        <x:v>12</x:v>
      </x:c>
    </x:row>
    <x:row r="3366">
      <x:c r="A3366" s="87" t="n">
        <x:v>3365</x:v>
      </x:c>
      <x:c r="B3366" s="87" t="str">
        <x:v>OCT-MATH-0112-12</x:v>
      </x:c>
      <x:c r="C3366" s="87" t="str">
        <x:v>СтатГрад</x:v>
      </x:c>
      <x:c r="D3366" s="87" t="str">
        <x:v>Октябрь 2025</x:v>
      </x:c>
      <x:c r="E3366" s="87"/>
      <x:c r="F3366" s="87"/>
      <x:c r="G3366" s="87" t="str">
        <x:v>Математика</x:v>
      </x:c>
      <x:c r="H3366" s="87" t="n">
        <x:v>11</x:v>
      </x:c>
      <x:c r="I3366" s="87" t="str">
        <x:v>ТР №1</x:v>
      </x:c>
      <x:c r="J3366" s="87" t="str">
        <x:v>МА2510112</x:v>
      </x:c>
      <x:c r="K3366" s="87" t="n">
        <x:v>12</x:v>
      </x:c>
      <x:c r="L3366" s="87" t="str">
        <x:v>Алгебра</x:v>
      </x:c>
      <x:c r="M3366" s="30" t="str">
        <x:v>Найдите точку минимума функции y = −          .
                                              x
                                     согласия СтатГрад запрещена</x:v>
      </x:c>
      <x:c r="N3366" s="30" t="str">
        <x:v>-4</x:v>
      </x:c>
      <x:c r="O3366" s="30" t="str">
        <x:v>Ответ принят по официальной таблице СтатГрад.</x:v>
      </x:c>
      <x:c r="P3366" s="30" t="str">
        <x:v>Код варианта, номер и условие сопоставлены с PDF; ответ сверён с первичной таблицей.</x:v>
      </x:c>
      <x:c r="Q3366" s="30"/>
      <x:c r="R3366" s="30" t="str">
        <x:v>Официальный фото-ключ профильного уровня.</x:v>
      </x:c>
      <x:c r="S3366" s="30"/>
      <x:c r="T3366" s="30"/>
      <x:c r="U3366" s="30" t="str">
        <x:v>Расхождений не обнаружено.</x:v>
      </x:c>
      <x:c r="V3366" s="87" t="str">
        <x:v>VERIFIED</x:v>
      </x:c>
      <x:c r="W3366" s="87" t="n">
        <x:v>10</x:v>
      </x:c>
      <x:c r="X3366" s="87"/>
      <x:c r="Y3366" s="87"/>
      <x:c r="Z3366" s="87"/>
      <x:c r="AA3366" s="87"/>
      <x:c r="AB3366" s="87"/>
      <x:c r="AC3366" s="87"/>
      <x:c r="AD3366" s="87"/>
      <x:c r="AE3366" s="87"/>
      <x:c r="AF3366" s="87"/>
      <x:c r="AG3366" s="87"/>
      <x:c r="AH3366" s="87"/>
      <x:c r="AI3366" s="30"/>
      <x:c r="AJ3366" s="87" t="str">
        <x:v>master</x:v>
      </x:c>
      <x:c r="AK3366" s="87" t="str">
        <x:v>master-v0.81</x:v>
      </x:c>
      <x:c r="AL3366" s="87" t="str">
        <x:v>statgrad_master_base_v0_81_final(2).xlsx</x:v>
      </x:c>
      <x:c r="AM3366" s="87" t="str">
        <x:v>MATH_Oct_Prof_V12</x:v>
      </x:c>
      <x:c r="AN3366" s="87" t="n">
        <x:v>13</x:v>
      </x:c>
    </x:row>
    <x:row r="3367">
      <x:c r="A3367" s="87" t="n">
        <x:v>3366</x:v>
      </x:c>
      <x:c r="B3367" s="87" t="str">
        <x:v>OCT-MATH-0112-13</x:v>
      </x:c>
      <x:c r="C3367" s="87" t="str">
        <x:v>СтатГрад</x:v>
      </x:c>
      <x:c r="D3367" s="87" t="str">
        <x:v>Октябрь 2025</x:v>
      </x:c>
      <x:c r="E3367" s="87"/>
      <x:c r="F3367" s="87"/>
      <x:c r="G3367" s="87" t="str">
        <x:v>Математика</x:v>
      </x:c>
      <x:c r="H3367" s="87" t="n">
        <x:v>11</x:v>
      </x:c>
      <x:c r="I3367" s="87" t="str">
        <x:v>ТР №1</x:v>
      </x:c>
      <x:c r="J3367" s="87" t="str">
        <x:v>МА2510112</x:v>
      </x:c>
      <x:c r="K3367" s="87" t="n">
        <x:v>13</x:v>
      </x:c>
      <x:c r="L3367" s="87" t="str">
        <x:v>Тригонометрическое уравнение</x:v>
      </x:c>
      <x:c r="M3367" s="30" t="str">
        <x:v>а) Решите уравнение
                                                 π    
                                 2cos 2 x − 4sin  + x  − 1 =0.
                                                 2    
                                                              5π      
     б) Укажите корни этого уравнения, принадлежащие отрезку  − ; − π  .
                                                              2       </x:v>
      </x:c>
      <x:c r="N3367" s="30" t="str">
        <x:v>а) x = −2π/3 + 2πn или x = 2π/3 + 2πm; б) −4π/3.</x:v>
      </x:c>
      <x:c r="O3367" s="30" t="str">
        <x:v>Официальное решение и шкала оценивания сохранены в отдельном LOCKED-листе.</x:v>
      </x:c>
      <x:c r="P3367" s="30" t="str">
        <x:v>Условие и итог ответа сопоставлены с официальным PDF критериев.</x:v>
      </x:c>
      <x:c r="Q3367" s="30"/>
      <x:c r="R3367" s="30" t="str">
        <x:v>Kriterii_MA11_01102025_vostok.pdf</x:v>
      </x:c>
      <x:c r="S3367" s="30"/>
      <x:c r="T3367" s="30"/>
      <x:c r="U3367" s="30" t="str">
        <x:v>Расхождений не обнаружено.</x:v>
      </x:c>
      <x:c r="V3367" s="87" t="str">
        <x:v>VERIFIED</x:v>
      </x:c>
      <x:c r="W3367" s="87" t="n">
        <x:v>11</x:v>
      </x:c>
      <x:c r="X3367" s="87"/>
      <x:c r="Y3367" s="87"/>
      <x:c r="Z3367" s="87"/>
      <x:c r="AA3367" s="87"/>
      <x:c r="AB3367" s="87"/>
      <x:c r="AC3367" s="87"/>
      <x:c r="AD3367" s="87"/>
      <x:c r="AE3367" s="87"/>
      <x:c r="AF3367" s="87"/>
      <x:c r="AG3367" s="87"/>
      <x:c r="AH3367" s="87"/>
      <x:c r="AI3367" s="30"/>
      <x:c r="AJ3367" s="87" t="str">
        <x:v>master</x:v>
      </x:c>
      <x:c r="AK3367" s="87" t="str">
        <x:v>master-v0.81</x:v>
      </x:c>
      <x:c r="AL3367" s="87" t="str">
        <x:v>statgrad_master_base_v0_81_final(2).xlsx</x:v>
      </x:c>
      <x:c r="AM3367" s="87" t="str">
        <x:v>MATH_Oct_Prof_V12</x:v>
      </x:c>
      <x:c r="AN3367" s="87" t="n">
        <x:v>14</x:v>
      </x:c>
    </x:row>
    <x:row r="3368">
      <x:c r="A3368" s="87" t="n">
        <x:v>3367</x:v>
      </x:c>
      <x:c r="B3368" s="87" t="str">
        <x:v>OCT-MATH-0112-14</x:v>
      </x:c>
      <x:c r="C3368" s="87" t="str">
        <x:v>СтатГрад</x:v>
      </x:c>
      <x:c r="D3368" s="87" t="str">
        <x:v>Октябрь 2025</x:v>
      </x:c>
      <x:c r="E3368" s="87"/>
      <x:c r="F3368" s="87"/>
      <x:c r="G3368" s="87" t="str">
        <x:v>Математика</x:v>
      </x:c>
      <x:c r="H3368" s="87" t="n">
        <x:v>11</x:v>
      </x:c>
      <x:c r="I3368" s="87" t="str">
        <x:v>ТР №1</x:v>
      </x:c>
      <x:c r="J3368" s="87" t="str">
        <x:v>МА2510112</x:v>
      </x:c>
      <x:c r="K3368" s="87" t="n">
        <x:v>14</x:v>
      </x:c>
      <x:c r="L3368" s="87" t="str">
        <x:v>Стереометрия с доказательством</x:v>
      </x:c>
      <x:c r="M3368" s="30" t="str">
        <x:v>На ребре AA1 прямоугольного параллелепипеда ABCDA1B1C1D1 взята точка
     E так, что A1E : EA = 5 : 3 . Точка T — середина ребра B1C1 .
     а) Докажите, что сечение параллелепипеда плоскостью ETD1 является
     трапецией.
     б) Найдите угол между плоскостью ETD1 и плоскостью A1B1C1 , если
     известно, что AB = 5 , AD = 7 2 , AA1 = 8 .
                                      63 x − 509     1</x:v>
      </x:c>
      <x:c r="N3368" s="30" t="str">
        <x:v>б) arctg(3√11/14).</x:v>
      </x:c>
      <x:c r="O3368" s="30" t="str">
        <x:v>Официальное решение и шкала оценивания сохранены в отдельном LOCKED-листе.</x:v>
      </x:c>
      <x:c r="P3368" s="30" t="str">
        <x:v>Условие и итог ответа сопоставлены с официальным PDF критериев.</x:v>
      </x:c>
      <x:c r="Q3368" s="30"/>
      <x:c r="R3368" s="30" t="str">
        <x:v>Kriterii_MA11_01102025_vostok.pdf</x:v>
      </x:c>
      <x:c r="S3368" s="30"/>
      <x:c r="T3368" s="30"/>
      <x:c r="U3368" s="30" t="str">
        <x:v>Расхождений не обнаружено.</x:v>
      </x:c>
      <x:c r="V3368" s="87" t="str">
        <x:v>VERIFIED</x:v>
      </x:c>
      <x:c r="W3368" s="87" t="n">
        <x:v>11</x:v>
      </x:c>
      <x:c r="X3368" s="87"/>
      <x:c r="Y3368" s="87"/>
      <x:c r="Z3368" s="87"/>
      <x:c r="AA3368" s="87"/>
      <x:c r="AB3368" s="87"/>
      <x:c r="AC3368" s="87"/>
      <x:c r="AD3368" s="87"/>
      <x:c r="AE3368" s="87"/>
      <x:c r="AF3368" s="87"/>
      <x:c r="AG3368" s="87"/>
      <x:c r="AH3368" s="87"/>
      <x:c r="AI3368" s="30"/>
      <x:c r="AJ3368" s="87" t="str">
        <x:v>master</x:v>
      </x:c>
      <x:c r="AK3368" s="87" t="str">
        <x:v>master-v0.81</x:v>
      </x:c>
      <x:c r="AL3368" s="87" t="str">
        <x:v>statgrad_master_base_v0_81_final(2).xlsx</x:v>
      </x:c>
      <x:c r="AM3368" s="87" t="str">
        <x:v>MATH_Oct_Prof_V12</x:v>
      </x:c>
      <x:c r="AN3368" s="87" t="n">
        <x:v>15</x:v>
      </x:c>
    </x:row>
    <x:row r="3369">
      <x:c r="A3369" s="87" t="n">
        <x:v>3368</x:v>
      </x:c>
      <x:c r="B3369" s="87" t="str">
        <x:v>OCT-MATH-0112-15</x:v>
      </x:c>
      <x:c r="C3369" s="87" t="str">
        <x:v>СтатГрад</x:v>
      </x:c>
      <x:c r="D3369" s="87" t="str">
        <x:v>Октябрь 2025</x:v>
      </x:c>
      <x:c r="E3369" s="87"/>
      <x:c r="F3369" s="87"/>
      <x:c r="G3369" s="87" t="str">
        <x:v>Математика</x:v>
      </x:c>
      <x:c r="H3369" s="87" t="n">
        <x:v>11</x:v>
      </x:c>
      <x:c r="I3369" s="87" t="str">
        <x:v>ТР №1</x:v>
      </x:c>
      <x:c r="J3369" s="87" t="str">
        <x:v>МА2510112</x:v>
      </x:c>
      <x:c r="K3369" s="87" t="n">
        <x:v>15</x:v>
      </x:c>
      <x:c r="L3369" s="87" t="str">
        <x:v>Рациональное неравенство</x:v>
      </x:c>
      <x:c r="M3369" s="30" t="str">
        <x:v>Решите неравенство x − 3 −                   ≤      .
                                    x 2 − 11x + 24 x − 8</x:v>
      </x:c>
      <x:c r="N3369" s="30" t="str">
        <x:v>(−∞; −5] ∪ (3; 8) ∪ (8; 11].</x:v>
      </x:c>
      <x:c r="O3369" s="30" t="str">
        <x:v>Официальное решение и шкала оценивания сохранены в отдельном LOCKED-листе.</x:v>
      </x:c>
      <x:c r="P3369" s="30" t="str">
        <x:v>Условие и итог ответа сопоставлены с официальным PDF критериев.</x:v>
      </x:c>
      <x:c r="Q3369" s="30"/>
      <x:c r="R3369" s="30" t="str">
        <x:v>Kriterii_MA11_01102025_vostok.pdf</x:v>
      </x:c>
      <x:c r="S3369" s="30"/>
      <x:c r="T3369" s="30"/>
      <x:c r="U3369" s="30" t="str">
        <x:v>Расхождений не обнаружено.</x:v>
      </x:c>
      <x:c r="V3369" s="87" t="str">
        <x:v>VERIFIED</x:v>
      </x:c>
      <x:c r="W3369" s="87" t="n">
        <x:v>11</x:v>
      </x:c>
      <x:c r="X3369" s="87"/>
      <x:c r="Y3369" s="87"/>
      <x:c r="Z3369" s="87"/>
      <x:c r="AA3369" s="87"/>
      <x:c r="AB3369" s="87"/>
      <x:c r="AC3369" s="87"/>
      <x:c r="AD3369" s="87"/>
      <x:c r="AE3369" s="87"/>
      <x:c r="AF3369" s="87"/>
      <x:c r="AG3369" s="87"/>
      <x:c r="AH3369" s="87"/>
      <x:c r="AI3369" s="30"/>
      <x:c r="AJ3369" s="87" t="str">
        <x:v>master</x:v>
      </x:c>
      <x:c r="AK3369" s="87" t="str">
        <x:v>master-v0.81</x:v>
      </x:c>
      <x:c r="AL3369" s="87" t="str">
        <x:v>statgrad_master_base_v0_81_final(2).xlsx</x:v>
      </x:c>
      <x:c r="AM3369" s="87" t="str">
        <x:v>MATH_Oct_Prof_V12</x:v>
      </x:c>
      <x:c r="AN3369" s="87" t="n">
        <x:v>16</x:v>
      </x:c>
    </x:row>
    <x:row r="3370">
      <x:c r="A3370" s="87" t="n">
        <x:v>3369</x:v>
      </x:c>
      <x:c r="B3370" s="87" t="str">
        <x:v>OCT-MATH-0112-16</x:v>
      </x:c>
      <x:c r="C3370" s="87" t="str">
        <x:v>СтатГрад</x:v>
      </x:c>
      <x:c r="D3370" s="87" t="str">
        <x:v>Октябрь 2025</x:v>
      </x:c>
      <x:c r="E3370" s="87"/>
      <x:c r="F3370" s="87"/>
      <x:c r="G3370" s="87" t="str">
        <x:v>Математика</x:v>
      </x:c>
      <x:c r="H3370" s="87" t="n">
        <x:v>11</x:v>
      </x:c>
      <x:c r="I3370" s="87" t="str">
        <x:v>ТР №1</x:v>
      </x:c>
      <x:c r="J3370" s="87" t="str">
        <x:v>МА2510112</x:v>
      </x:c>
      <x:c r="K3370" s="87" t="n">
        <x:v>16</x:v>
      </x:c>
      <x:c r="L3370" s="87" t="str">
        <x:v>Финансовая математика</x:v>
      </x:c>
      <x:c r="M3370" s="30" t="str">
        <x:v>По вкладу «А» банк в конце каждого года увеличивает на 20 % сумму,
     имеющуюся на вкладе в начале года, а по вкладу «Б» — увеличивает эту
     сумму на 24 % в течение каждого из первых двух лет. Найдите наибольшее
     натуральное число процентов, начисленное за третий год по вкладу «Б», при
     котором за три года этот вклад будет менее выгоден, чем вклад «А».
                                    согласия СтатГрад запрещена</x:v>
      </x:c>
      <x:c r="N3370" s="30" t="str">
        <x:v>12.</x:v>
      </x:c>
      <x:c r="O3370" s="30" t="str">
        <x:v>Официальное решение и шкала оценивания сохранены в отдельном LOCKED-листе.</x:v>
      </x:c>
      <x:c r="P3370" s="30" t="str">
        <x:v>Условие и итог ответа сопоставлены с официальным PDF критериев.</x:v>
      </x:c>
      <x:c r="Q3370" s="30"/>
      <x:c r="R3370" s="30" t="str">
        <x:v>Kriterii_MA11_01102025_vostok.pdf</x:v>
      </x:c>
      <x:c r="S3370" s="30"/>
      <x:c r="T3370" s="30"/>
      <x:c r="U3370" s="30" t="str">
        <x:v>Расхождений не обнаружено.</x:v>
      </x:c>
      <x:c r="V3370" s="87" t="str">
        <x:v>VERIFIED</x:v>
      </x:c>
      <x:c r="W3370" s="87" t="n">
        <x:v>11</x:v>
      </x:c>
      <x:c r="X3370" s="87"/>
      <x:c r="Y3370" s="87"/>
      <x:c r="Z3370" s="87"/>
      <x:c r="AA3370" s="87"/>
      <x:c r="AB3370" s="87"/>
      <x:c r="AC3370" s="87"/>
      <x:c r="AD3370" s="87"/>
      <x:c r="AE3370" s="87"/>
      <x:c r="AF3370" s="87"/>
      <x:c r="AG3370" s="87"/>
      <x:c r="AH3370" s="87"/>
      <x:c r="AI3370" s="30"/>
      <x:c r="AJ3370" s="87" t="str">
        <x:v>master</x:v>
      </x:c>
      <x:c r="AK3370" s="87" t="str">
        <x:v>master-v0.81</x:v>
      </x:c>
      <x:c r="AL3370" s="87" t="str">
        <x:v>statgrad_master_base_v0_81_final(2).xlsx</x:v>
      </x:c>
      <x:c r="AM3370" s="87" t="str">
        <x:v>MATH_Oct_Prof_V12</x:v>
      </x:c>
      <x:c r="AN3370" s="87" t="n">
        <x:v>17</x:v>
      </x:c>
    </x:row>
    <x:row r="3371">
      <x:c r="A3371" s="87" t="n">
        <x:v>3370</x:v>
      </x:c>
      <x:c r="B3371" s="87" t="str">
        <x:v>OCT-MATH-0112-17</x:v>
      </x:c>
      <x:c r="C3371" s="87" t="str">
        <x:v>СтатГрад</x:v>
      </x:c>
      <x:c r="D3371" s="87" t="str">
        <x:v>Октябрь 2025</x:v>
      </x:c>
      <x:c r="E3371" s="87"/>
      <x:c r="F3371" s="87"/>
      <x:c r="G3371" s="87" t="str">
        <x:v>Математика</x:v>
      </x:c>
      <x:c r="H3371" s="87" t="n">
        <x:v>11</x:v>
      </x:c>
      <x:c r="I3371" s="87" t="str">
        <x:v>ТР №1</x:v>
      </x:c>
      <x:c r="J3371" s="87" t="str">
        <x:v>МА2510112</x:v>
      </x:c>
      <x:c r="K3371" s="87" t="n">
        <x:v>17</x:v>
      </x:c>
      <x:c r="L3371" s="87" t="str">
        <x:v>Планиметрия с доказательством</x:v>
      </x:c>
      <x:c r="M3371" s="30" t="str">
        <x:v>Биссектрисы углов BAD и BCD равнобедренной трапеции ABCD
     пересекаются в точке O. Через точку O провели прямую, параллельную
     основаниям BC и AD , и пересекающую боковые стороны AB и CD
     в точках M и N соответственно.
     а) Докажите, что отрезок этой прямой внутри трапеции равен её боковой
     стороне.
     б) Найдите длину основания AD , если AO = CO , BC = 14 и данная прямая
     делит сторону AB в отношении AM : MB = 2 : 3.</x:v>
      </x:c>
      <x:c r="N3371" s="30" t="str">
        <x:v>б) 34.</x:v>
      </x:c>
      <x:c r="O3371" s="30" t="str">
        <x:v>Официальное решение и шкала оценивания сохранены в отдельном LOCKED-листе.</x:v>
      </x:c>
      <x:c r="P3371" s="30" t="str">
        <x:v>Условие и итог ответа сопоставлены с официальным PDF критериев.</x:v>
      </x:c>
      <x:c r="Q3371" s="30"/>
      <x:c r="R3371" s="30" t="str">
        <x:v>Kriterii_MA11_01102025_vostok.pdf</x:v>
      </x:c>
      <x:c r="S3371" s="30"/>
      <x:c r="T3371" s="30"/>
      <x:c r="U3371" s="30" t="str">
        <x:v>Расхождений не обнаружено.</x:v>
      </x:c>
      <x:c r="V3371" s="87" t="str">
        <x:v>VERIFIED</x:v>
      </x:c>
      <x:c r="W3371" s="87" t="n">
        <x:v>12</x:v>
      </x:c>
      <x:c r="X3371" s="87"/>
      <x:c r="Y3371" s="87"/>
      <x:c r="Z3371" s="87"/>
      <x:c r="AA3371" s="87"/>
      <x:c r="AB3371" s="87"/>
      <x:c r="AC3371" s="87"/>
      <x:c r="AD3371" s="87"/>
      <x:c r="AE3371" s="87"/>
      <x:c r="AF3371" s="87"/>
      <x:c r="AG3371" s="87"/>
      <x:c r="AH3371" s="87"/>
      <x:c r="AI3371" s="30"/>
      <x:c r="AJ3371" s="87" t="str">
        <x:v>master</x:v>
      </x:c>
      <x:c r="AK3371" s="87" t="str">
        <x:v>master-v0.81</x:v>
      </x:c>
      <x:c r="AL3371" s="87" t="str">
        <x:v>statgrad_master_base_v0_81_final(2).xlsx</x:v>
      </x:c>
      <x:c r="AM3371" s="87" t="str">
        <x:v>MATH_Oct_Prof_V12</x:v>
      </x:c>
      <x:c r="AN3371" s="87" t="n">
        <x:v>18</x:v>
      </x:c>
    </x:row>
    <x:row r="3372">
      <x:c r="A3372" s="87" t="n">
        <x:v>3371</x:v>
      </x:c>
      <x:c r="B3372" s="87" t="str">
        <x:v>OCT-MATH-0112-18</x:v>
      </x:c>
      <x:c r="C3372" s="87" t="str">
        <x:v>СтатГрад</x:v>
      </x:c>
      <x:c r="D3372" s="87" t="str">
        <x:v>Октябрь 2025</x:v>
      </x:c>
      <x:c r="E3372" s="87"/>
      <x:c r="F3372" s="87"/>
      <x:c r="G3372" s="87" t="str">
        <x:v>Математика</x:v>
      </x:c>
      <x:c r="H3372" s="87" t="n">
        <x:v>11</x:v>
      </x:c>
      <x:c r="I3372" s="87" t="str">
        <x:v>ТР №1</x:v>
      </x:c>
      <x:c r="J3372" s="87" t="str">
        <x:v>МА2510112</x:v>
      </x:c>
      <x:c r="K3372" s="87" t="n">
        <x:v>18</x:v>
      </x:c>
      <x:c r="L3372" s="87" t="str">
        <x:v>Задача с параметром</x:v>
      </x:c>
      <x:c r="M3372" s="30" t="str">
        <x:v>Найдите все значения a , при каждом из которых уравнение
                                                   (         )
                          4 x 4 + x 2 (10 x + 3) − a 2 x 2 − a = 2 x 2 + 3 x − a
     имеет ровно три различных корня.</x:v>
      </x:c>
      <x:c r="N3372" s="30" t="str">
        <x:v>a &lt; −3; −3 &lt; a ≤ −1.</x:v>
      </x:c>
      <x:c r="O3372" s="30" t="str">
        <x:v>Официальное решение и шкала оценивания сохранены в отдельном LOCKED-листе.</x:v>
      </x:c>
      <x:c r="P3372" s="30" t="str">
        <x:v>Условие и итог ответа сопоставлены с официальным PDF критериев.</x:v>
      </x:c>
      <x:c r="Q3372" s="30"/>
      <x:c r="R3372" s="30" t="str">
        <x:v>Kriterii_MA11_01102025_vostok.pdf</x:v>
      </x:c>
      <x:c r="S3372" s="30"/>
      <x:c r="T3372" s="30"/>
      <x:c r="U3372" s="30" t="str">
        <x:v>Расхождений не обнаружено.</x:v>
      </x:c>
      <x:c r="V3372" s="87" t="str">
        <x:v>VERIFIED</x:v>
      </x:c>
      <x:c r="W3372" s="87" t="n">
        <x:v>12</x:v>
      </x:c>
      <x:c r="X3372" s="87"/>
      <x:c r="Y3372" s="87"/>
      <x:c r="Z3372" s="87"/>
      <x:c r="AA3372" s="87"/>
      <x:c r="AB3372" s="87"/>
      <x:c r="AC3372" s="87"/>
      <x:c r="AD3372" s="87"/>
      <x:c r="AE3372" s="87"/>
      <x:c r="AF3372" s="87"/>
      <x:c r="AG3372" s="87"/>
      <x:c r="AH3372" s="87"/>
      <x:c r="AI3372" s="30"/>
      <x:c r="AJ3372" s="87" t="str">
        <x:v>master</x:v>
      </x:c>
      <x:c r="AK3372" s="87" t="str">
        <x:v>master-v0.81</x:v>
      </x:c>
      <x:c r="AL3372" s="87" t="str">
        <x:v>statgrad_master_base_v0_81_final(2).xlsx</x:v>
      </x:c>
      <x:c r="AM3372" s="87" t="str">
        <x:v>MATH_Oct_Prof_V12</x:v>
      </x:c>
      <x:c r="AN3372" s="87" t="n">
        <x:v>19</x:v>
      </x:c>
    </x:row>
    <x:row r="3373">
      <x:c r="A3373" s="87" t="n">
        <x:v>3372</x:v>
      </x:c>
      <x:c r="B3373" s="87" t="str">
        <x:v>OCT-MATH-0112-19</x:v>
      </x:c>
      <x:c r="C3373" s="87" t="str">
        <x:v>СтатГрад</x:v>
      </x:c>
      <x:c r="D3373" s="87" t="str">
        <x:v>Октябрь 2025</x:v>
      </x:c>
      <x:c r="E3373" s="87"/>
      <x:c r="F3373" s="87"/>
      <x:c r="G3373" s="87" t="str">
        <x:v>Математика</x:v>
      </x:c>
      <x:c r="H3373" s="87" t="n">
        <x:v>11</x:v>
      </x:c>
      <x:c r="I3373" s="87" t="str">
        <x:v>ТР №1</x:v>
      </x:c>
      <x:c r="J3373" s="87" t="str">
        <x:v>МА2510112</x:v>
      </x:c>
      <x:c r="K3373" s="87" t="n">
        <x:v>19</x:v>
      </x:c>
      <x:c r="L3373" s="87" t="str">
        <x:v>Теория чисел / оптимизация</x:v>
      </x:c>
      <x:c r="M3373" s="30" t="str">
        <x:v>Пусть S ( n ) обозначает сумму цифр натурального числа n .
     а) Существует ли такое число n , что 11n + S ( n ) =
                                                        2021 ?
     б) Существует ли такое число n , что 3n + S ( n ) =
                                                       2021 ?
     в) Для какого наименьшего натурального числа k найдётся хотя бы одно
     такое двузначное число n , что 9kn + S ( n ) =
                                                  11350 ?
                                    согласия СтатГрад запрещена</x:v>
      </x:c>
      <x:c r="N3373" s="30" t="str">
        <x:v>а) нет; б) нет; в) 45.</x:v>
      </x:c>
      <x:c r="O3373" s="30" t="str">
        <x:v>Официальное решение и шкала оценивания сохранены в отдельном LOCKED-листе.</x:v>
      </x:c>
      <x:c r="P3373" s="30" t="str">
        <x:v>Условие и итог ответа сопоставлены с официальным PDF критериев.</x:v>
      </x:c>
      <x:c r="Q3373" s="30"/>
      <x:c r="R3373" s="30" t="str">
        <x:v>Kriterii_MA11_01102025_vostok.pdf</x:v>
      </x:c>
      <x:c r="S3373" s="30"/>
      <x:c r="T3373" s="30"/>
      <x:c r="U3373" s="30" t="str">
        <x:v>Расхождений не обнаружено.</x:v>
      </x:c>
      <x:c r="V3373" s="87" t="str">
        <x:v>VERIFIED</x:v>
      </x:c>
      <x:c r="W3373" s="87" t="n">
        <x:v>12</x:v>
      </x:c>
      <x:c r="X3373" s="87"/>
      <x:c r="Y3373" s="87"/>
      <x:c r="Z3373" s="87"/>
      <x:c r="AA3373" s="87"/>
      <x:c r="AB3373" s="87"/>
      <x:c r="AC3373" s="87"/>
      <x:c r="AD3373" s="87"/>
      <x:c r="AE3373" s="87"/>
      <x:c r="AF3373" s="87"/>
      <x:c r="AG3373" s="87"/>
      <x:c r="AH3373" s="87"/>
      <x:c r="AI3373" s="30"/>
      <x:c r="AJ3373" s="87" t="str">
        <x:v>master</x:v>
      </x:c>
      <x:c r="AK3373" s="87" t="str">
        <x:v>master-v0.81</x:v>
      </x:c>
      <x:c r="AL3373" s="87" t="str">
        <x:v>statgrad_master_base_v0_81_final(2).xlsx</x:v>
      </x:c>
      <x:c r="AM3373" s="87" t="str">
        <x:v>MATH_Oct_Prof_V12</x:v>
      </x:c>
      <x:c r="AN3373" s="87" t="n">
        <x:v>20</x:v>
      </x:c>
    </x:row>
    <x:row r="3374">
      <x:c r="A3374" s="87" t="n">
        <x:v>3373</x:v>
      </x:c>
      <x:c r="B3374" s="87" t="str">
        <x:v>OCT-BIO-101-001</x:v>
      </x:c>
      <x:c r="C3374" s="87" t="str">
        <x:v>СтатГрад</x:v>
      </x:c>
      <x:c r="D3374" s="87" t="str">
        <x:v>Октябрь 2025</x:v>
      </x:c>
      <x:c r="E3374" s="87"/>
      <x:c r="F3374" s="87"/>
      <x:c r="G3374" s="87" t="str">
        <x:v>Биология</x:v>
      </x:c>
      <x:c r="H3374" s="87" t="n">
        <x:v>11</x:v>
      </x:c>
      <x:c r="I3374" s="87" t="str">
        <x:v>ТР №1</x:v>
      </x:c>
      <x:c r="J3374" s="87" t="str">
        <x:v>БИ2510101</x:v>
      </x:c>
      <x:c r="K3374" s="87" t="n">
        <x:v>1</x:v>
      </x:c>
      <x:c r="L3374" s="87" t="str">
        <x:v>Биологические науки и методы</x:v>
      </x:c>
      <x:c r="M3374" s="30" t="str">
        <x:v>Рассмотрите таблицу «Биология – комплексная наука». Запишите в ответе
    пропущенный термин, обозначенный в таблице вопросительным знаком.
       Раздел биологии                          Предмет изучения
           генетика                      наследственность и изменчивость
               ?                    бактерии, простейшие, одноклеточные грибы
    Ответ: ___________________________.</x:v>
      </x:c>
      <x:c r="N3374" s="30" t="str">
        <x:v>микробиология</x:v>
      </x:c>
      <x:c r="O3374" s="30" t="str">
        <x:v>Ответ проверен по условию и официальным материалам.</x:v>
      </x:c>
      <x:c r="P3374" s="30" t="str">
        <x:v>Визуальный контекст связан с полной страницей JPEG.</x:v>
      </x:c>
      <x:c r="Q3374" s="30"/>
      <x:c r="R3374" s="30" t="str">
        <x:v>Официальный ключ + независимая проверка</x:v>
      </x:c>
      <x:c r="S3374" s="30"/>
      <x:c r="T3374" s="30"/>
      <x:c r="U3374" s="30" t="str">
        <x:v>Расхождений не обнаружено.</x:v>
      </x:c>
      <x:c r="V3374" s="87" t="str">
        <x:v>VERIFIED</x:v>
      </x:c>
      <x:c r="W3374" s="87" t="str">
        <x:v>tasks_b.pdf, стр. 2</x:v>
      </x:c>
      <x:c r="X3374" s="87"/>
      <x:c r="Y3374" s="87"/>
      <x:c r="Z3374" s="87"/>
      <x:c r="AA3374" s="87"/>
      <x:c r="AB3374" s="87"/>
      <x:c r="AC3374" s="87" t="str">
        <x:v>VIS-BIO-OCT-001</x:v>
      </x:c>
      <x:c r="AD3374" s="87"/>
      <x:c r="AE3374" s="87"/>
      <x:c r="AF3374" s="87" t="str">
        <x:v>VIS-BIO-OCT-001: 2</x:v>
      </x:c>
      <x:c r="AG3374" s="87" t="str">
        <x:v>RESOLVED</x:v>
      </x:c>
      <x:c r="AH3374" s="87" t="str">
        <x:v>CROP_VERIFIED</x:v>
      </x:c>
      <x:c r="AI3374" s="30"/>
      <x:c r="AJ3374" s="87" t="str">
        <x:v>master</x:v>
      </x:c>
      <x:c r="AK3374" s="87" t="str">
        <x:v>master-v0.81</x:v>
      </x:c>
      <x:c r="AL3374" s="87" t="str">
        <x:v>statgrad_master_base_v0_81_final(2).xlsx</x:v>
      </x:c>
      <x:c r="AM3374" s="87" t="str">
        <x:v>BIO_Oct_V1</x:v>
      </x:c>
      <x:c r="AN3374" s="87" t="n">
        <x:v>2</x:v>
      </x:c>
    </x:row>
    <x:row r="3375">
      <x:c r="A3375" s="87" t="n">
        <x:v>3374</x:v>
      </x:c>
      <x:c r="B3375" s="87" t="str">
        <x:v>OCT-BIO-101-002</x:v>
      </x:c>
      <x:c r="C3375" s="87" t="str">
        <x:v>СтатГрад</x:v>
      </x:c>
      <x:c r="D3375" s="87" t="str">
        <x:v>Октябрь 2025</x:v>
      </x:c>
      <x:c r="E3375" s="87"/>
      <x:c r="F3375" s="87"/>
      <x:c r="G3375" s="87" t="str">
        <x:v>Биология</x:v>
      </x:c>
      <x:c r="H3375" s="87" t="n">
        <x:v>11</x:v>
      </x:c>
      <x:c r="I3375" s="87" t="str">
        <x:v>ТР №1</x:v>
      </x:c>
      <x:c r="J3375" s="87" t="str">
        <x:v>БИ2510101</x:v>
      </x:c>
      <x:c r="K3375" s="87" t="n">
        <x:v>2</x:v>
      </x:c>
      <x:c r="L3375" s="87" t="str">
        <x:v>Краткое задание по биологии</x:v>
      </x:c>
      <x:c r="M3375" s="30" t="str">
        <x:v>Учёный изучал воздействие приносимых с полей органических удобрений
    на экосистему озера. Как при этом изменятся количество одноклеточных
    водорослей и смертность рыб в озере?
    Для каждой величины определите соответствующий характер её изменения:
          1) увеличится
          2) уменьшится
          3) не изменится
    Запишите в таблицу выбранные цифры для каждой величины. Цифры
    в ответе могут повторяться.
         Количество одноклеточных
                                                              Смертность рыб
                водорослей</x:v>
      </x:c>
      <x:c r="N3375" s="30" t="str">
        <x:v>11</x:v>
      </x:c>
      <x:c r="O3375" s="30" t="str">
        <x:v>Ответ проверен по условию и официальным материалам.</x:v>
      </x:c>
      <x:c r="P3375" s="30" t="str">
        <x:v>Визуальный контекст связан с полной страницей JPEG.</x:v>
      </x:c>
      <x:c r="Q3375" s="30"/>
      <x:c r="R3375" s="30" t="str">
        <x:v>Архивный фото-ключ + независимая проверка</x:v>
      </x:c>
      <x:c r="S3375" s="30"/>
      <x:c r="T3375" s="30"/>
      <x:c r="U3375" s="30" t="str">
        <x:v>Расхождений не обнаружено.</x:v>
      </x:c>
      <x:c r="V3375" s="87" t="str">
        <x:v>VERIFIED</x:v>
      </x:c>
      <x:c r="W3375" s="87" t="str">
        <x:v>tasks_b.pdf, стр. 2</x:v>
      </x:c>
      <x:c r="X3375" s="87"/>
      <x:c r="Y3375" s="87"/>
      <x:c r="Z3375" s="87"/>
      <x:c r="AA3375" s="87"/>
      <x:c r="AB3375" s="87"/>
      <x:c r="AC3375" s="87" t="str">
        <x:v>VIS-BIO-OCT-001</x:v>
      </x:c>
      <x:c r="AD3375" s="87"/>
      <x:c r="AE3375" s="87"/>
      <x:c r="AF3375" s="87" t="str">
        <x:v>VIS-BIO-OCT-001: 2</x:v>
      </x:c>
      <x:c r="AG3375" s="87" t="str">
        <x:v>RESOLVED</x:v>
      </x:c>
      <x:c r="AH3375" s="87" t="str">
        <x:v>CROP_VERIFIED</x:v>
      </x:c>
      <x:c r="AI3375" s="30"/>
      <x:c r="AJ3375" s="87" t="str">
        <x:v>master</x:v>
      </x:c>
      <x:c r="AK3375" s="87" t="str">
        <x:v>master-v0.81</x:v>
      </x:c>
      <x:c r="AL3375" s="87" t="str">
        <x:v>statgrad_master_base_v0_81_final(2).xlsx</x:v>
      </x:c>
      <x:c r="AM3375" s="87" t="str">
        <x:v>BIO_Oct_V1</x:v>
      </x:c>
      <x:c r="AN3375" s="87" t="n">
        <x:v>3</x:v>
      </x:c>
    </x:row>
    <x:row r="3376">
      <x:c r="A3376" s="87" t="n">
        <x:v>3375</x:v>
      </x:c>
      <x:c r="B3376" s="87" t="str">
        <x:v>OCT-BIO-101-003</x:v>
      </x:c>
      <x:c r="C3376" s="87" t="str">
        <x:v>СтатГрад</x:v>
      </x:c>
      <x:c r="D3376" s="87" t="str">
        <x:v>Октябрь 2025</x:v>
      </x:c>
      <x:c r="E3376" s="87"/>
      <x:c r="F3376" s="87"/>
      <x:c r="G3376" s="87" t="str">
        <x:v>Биология</x:v>
      </x:c>
      <x:c r="H3376" s="87" t="n">
        <x:v>11</x:v>
      </x:c>
      <x:c r="I3376" s="87" t="str">
        <x:v>ТР №1</x:v>
      </x:c>
      <x:c r="J3376" s="87" t="str">
        <x:v>БИ2510101</x:v>
      </x:c>
      <x:c r="K3376" s="87" t="n">
        <x:v>3</x:v>
      </x:c>
      <x:c r="L3376" s="87" t="str">
        <x:v>Краткое задание по биологии</x:v>
      </x:c>
      <x:c r="M3376" s="30" t="str">
        <x:v>В клетке листа гороха содержится 14 хромосом. Сколько хромосом содержит
    клетка семядоли гороха? В ответе запишите только соответствующее число.
    Ответ: ___________________________.</x:v>
      </x:c>
      <x:c r="N3376" s="30" t="str">
        <x:v>14</x:v>
      </x:c>
      <x:c r="O3376" s="30" t="str">
        <x:v>Ответ проверен по условию и официальным материалам.</x:v>
      </x:c>
      <x:c r="P3376" s="30" t="str">
        <x:v>Визуальный контекст связан с полной страницей JPEG.</x:v>
      </x:c>
      <x:c r="Q3376" s="30"/>
      <x:c r="R3376" s="30" t="str">
        <x:v>Архивный фото-ключ + независимая проверка</x:v>
      </x:c>
      <x:c r="S3376" s="30"/>
      <x:c r="T3376" s="30"/>
      <x:c r="U3376" s="30" t="str">
        <x:v>Расхождений не обнаружено.</x:v>
      </x:c>
      <x:c r="V3376" s="87" t="str">
        <x:v>VERIFIED</x:v>
      </x:c>
      <x:c r="W3376" s="87" t="str">
        <x:v>tasks_b.pdf, стр. 2</x:v>
      </x:c>
      <x:c r="X3376" s="87"/>
      <x:c r="Y3376" s="87"/>
      <x:c r="Z3376" s="87"/>
      <x:c r="AA3376" s="87"/>
      <x:c r="AB3376" s="87"/>
      <x:c r="AC3376" s="87" t="str">
        <x:v>VIS-BIO-OCT-001</x:v>
      </x:c>
      <x:c r="AD3376" s="87"/>
      <x:c r="AE3376" s="87"/>
      <x:c r="AF3376" s="87" t="str">
        <x:v>VIS-BIO-OCT-001: 2</x:v>
      </x:c>
      <x:c r="AG3376" s="87" t="str">
        <x:v>RESOLVED</x:v>
      </x:c>
      <x:c r="AH3376" s="87" t="str">
        <x:v>CROP_VERIFIED</x:v>
      </x:c>
      <x:c r="AI3376" s="30"/>
      <x:c r="AJ3376" s="87" t="str">
        <x:v>master</x:v>
      </x:c>
      <x:c r="AK3376" s="87" t="str">
        <x:v>master-v0.81</x:v>
      </x:c>
      <x:c r="AL3376" s="87" t="str">
        <x:v>statgrad_master_base_v0_81_final(2).xlsx</x:v>
      </x:c>
      <x:c r="AM3376" s="87" t="str">
        <x:v>BIO_Oct_V1</x:v>
      </x:c>
      <x:c r="AN3376" s="87" t="n">
        <x:v>4</x:v>
      </x:c>
    </x:row>
    <x:row r="3377">
      <x:c r="A3377" s="87" t="n">
        <x:v>3376</x:v>
      </x:c>
      <x:c r="B3377" s="87" t="str">
        <x:v>OCT-BIO-101-004</x:v>
      </x:c>
      <x:c r="C3377" s="87" t="str">
        <x:v>СтатГрад</x:v>
      </x:c>
      <x:c r="D3377" s="87" t="str">
        <x:v>Октябрь 2025</x:v>
      </x:c>
      <x:c r="E3377" s="87"/>
      <x:c r="F3377" s="87"/>
      <x:c r="G3377" s="87" t="str">
        <x:v>Биология</x:v>
      </x:c>
      <x:c r="H3377" s="87" t="n">
        <x:v>11</x:v>
      </x:c>
      <x:c r="I3377" s="87" t="str">
        <x:v>ТР №1</x:v>
      </x:c>
      <x:c r="J3377" s="87" t="str">
        <x:v>БИ2510101</x:v>
      </x:c>
      <x:c r="K3377" s="87" t="n">
        <x:v>4</x:v>
      </x:c>
      <x:c r="L3377" s="87" t="str">
        <x:v>Краткое задание по биологии</x:v>
      </x:c>
      <x:c r="M3377" s="30" t="str">
        <x:v>Какое соотношение генотипов получится у потомков при скрещивании двух
    гетерозиготных растений? Ответ запишите в виде последовательности чисел.
    Ответ: ___________________________.
                                   согласия СтатГрад запрещена</x:v>
      </x:c>
      <x:c r="N3377" s="30" t="str">
        <x:v>121</x:v>
      </x:c>
      <x:c r="O3377" s="30" t="str">
        <x:v>Ответ проверен по условию и официальным материалам.</x:v>
      </x:c>
      <x:c r="P3377" s="30" t="str">
        <x:v>Визуальный контекст связан с полной страницей JPEG.</x:v>
      </x:c>
      <x:c r="Q3377" s="30"/>
      <x:c r="R3377" s="30" t="str">
        <x:v>Архивный фото-ключ + независимая проверка</x:v>
      </x:c>
      <x:c r="S3377" s="30"/>
      <x:c r="T3377" s="30"/>
      <x:c r="U3377" s="30" t="str">
        <x:v>Расхождений не обнаружено.</x:v>
      </x:c>
      <x:c r="V3377" s="87" t="str">
        <x:v>VERIFIED</x:v>
      </x:c>
      <x:c r="W3377" s="87" t="str">
        <x:v>tasks_b.pdf, стр. 2</x:v>
      </x:c>
      <x:c r="X3377" s="87"/>
      <x:c r="Y3377" s="87"/>
      <x:c r="Z3377" s="87"/>
      <x:c r="AA3377" s="87"/>
      <x:c r="AB3377" s="87"/>
      <x:c r="AC3377" s="87" t="str">
        <x:v>VIS-BIO-OCT-001</x:v>
      </x:c>
      <x:c r="AD3377" s="87"/>
      <x:c r="AE3377" s="87"/>
      <x:c r="AF3377" s="87" t="str">
        <x:v>VIS-BIO-OCT-001: 2</x:v>
      </x:c>
      <x:c r="AG3377" s="87" t="str">
        <x:v>RESOLVED</x:v>
      </x:c>
      <x:c r="AH3377" s="87" t="str">
        <x:v>CROP_VERIFIED</x:v>
      </x:c>
      <x:c r="AI3377" s="30"/>
      <x:c r="AJ3377" s="87" t="str">
        <x:v>master</x:v>
      </x:c>
      <x:c r="AK3377" s="87" t="str">
        <x:v>master-v0.81</x:v>
      </x:c>
      <x:c r="AL3377" s="87" t="str">
        <x:v>statgrad_master_base_v0_81_final(2).xlsx</x:v>
      </x:c>
      <x:c r="AM3377" s="87" t="str">
        <x:v>BIO_Oct_V1</x:v>
      </x:c>
      <x:c r="AN3377" s="87" t="n">
        <x:v>5</x:v>
      </x:c>
    </x:row>
    <x:row r="3378">
      <x:c r="A3378" s="87" t="n">
        <x:v>3377</x:v>
      </x:c>
      <x:c r="B3378" s="87" t="str">
        <x:v>OCT-BIO-101-005</x:v>
      </x:c>
      <x:c r="C3378" s="87" t="str">
        <x:v>СтатГрад</x:v>
      </x:c>
      <x:c r="D3378" s="87" t="str">
        <x:v>Октябрь 2025</x:v>
      </x:c>
      <x:c r="E3378" s="87"/>
      <x:c r="F3378" s="87"/>
      <x:c r="G3378" s="87" t="str">
        <x:v>Биология</x:v>
      </x:c>
      <x:c r="H3378" s="87" t="n">
        <x:v>11</x:v>
      </x:c>
      <x:c r="I3378" s="87" t="str">
        <x:v>ТР №1</x:v>
      </x:c>
      <x:c r="J3378" s="87" t="str">
        <x:v>БИ2510101</x:v>
      </x:c>
      <x:c r="K3378" s="87" t="n">
        <x:v>5</x:v>
      </x:c>
      <x:c r="L3378" s="87" t="str">
        <x:v>Краткое задание по биологии</x:v>
      </x:c>
      <x:c r="M3378" s="30" t="str">
        <x:v>Каким номером на рисунке обозначена мембрана клетки?
    Ответ: ___________________________.</x:v>
      </x:c>
      <x:c r="N3378" s="30" t="str">
        <x:v>9</x:v>
      </x:c>
      <x:c r="O3378" s="30" t="str">
        <x:v>Ответ проверен по условию и официальным материалам.</x:v>
      </x:c>
      <x:c r="P3378" s="30" t="str">
        <x:v>Визуальный контекст связан с полной страницей JPEG.</x:v>
      </x:c>
      <x:c r="Q3378" s="30"/>
      <x:c r="R3378" s="30" t="str">
        <x:v>Архивный фото-ключ + независимая проверка</x:v>
      </x:c>
      <x:c r="S3378" s="30"/>
      <x:c r="T3378" s="30"/>
      <x:c r="U3378" s="30" t="str">
        <x:v>Расхождений не обнаружено.</x:v>
      </x:c>
      <x:c r="V3378" s="87" t="str">
        <x:v>VERIFIED</x:v>
      </x:c>
      <x:c r="W3378" s="87" t="str">
        <x:v>tasks_b.pdf, стр. 3</x:v>
      </x:c>
      <x:c r="X3378" s="87"/>
      <x:c r="Y3378" s="87"/>
      <x:c r="Z3378" s="87"/>
      <x:c r="AA3378" s="87"/>
      <x:c r="AB3378" s="87"/>
      <x:c r="AC3378" s="87" t="str">
        <x:v>VIS-BIO-OCT-002</x:v>
      </x:c>
      <x:c r="AD3378" s="87"/>
      <x:c r="AE3378" s="87"/>
      <x:c r="AF3378" s="87" t="str">
        <x:v>VIS-BIO-OCT-002: 3</x:v>
      </x:c>
      <x:c r="AG3378" s="87" t="str">
        <x:v>RESOLVED</x:v>
      </x:c>
      <x:c r="AH3378" s="87" t="str">
        <x:v>CROP_VERIFIED; TASK_CROP_QA_APPROVED:MANUAL_BBOX</x:v>
      </x:c>
      <x:c r="AI3378" s="30"/>
      <x:c r="AJ3378" s="87" t="str">
        <x:v>master</x:v>
      </x:c>
      <x:c r="AK3378" s="87" t="str">
        <x:v>master-v0.81</x:v>
      </x:c>
      <x:c r="AL3378" s="87" t="str">
        <x:v>statgrad_master_base_v0_81_final(2).xlsx</x:v>
      </x:c>
      <x:c r="AM3378" s="87" t="str">
        <x:v>BIO_Oct_V1</x:v>
      </x:c>
      <x:c r="AN3378" s="87" t="n">
        <x:v>6</x:v>
      </x:c>
    </x:row>
    <x:row r="3379">
      <x:c r="A3379" s="87" t="n">
        <x:v>3378</x:v>
      </x:c>
      <x:c r="B3379" s="87" t="str">
        <x:v>OCT-BIO-101-006</x:v>
      </x:c>
      <x:c r="C3379" s="87" t="str">
        <x:v>СтатГрад</x:v>
      </x:c>
      <x:c r="D3379" s="87" t="str">
        <x:v>Октябрь 2025</x:v>
      </x:c>
      <x:c r="E3379" s="87"/>
      <x:c r="F3379" s="87"/>
      <x:c r="G3379" s="87" t="str">
        <x:v>Биология</x:v>
      </x:c>
      <x:c r="H3379" s="87" t="n">
        <x:v>11</x:v>
      </x:c>
      <x:c r="I3379" s="87" t="str">
        <x:v>ТР №1</x:v>
      </x:c>
      <x:c r="J3379" s="87" t="str">
        <x:v>БИ2510101</x:v>
      </x:c>
      <x:c r="K3379" s="87" t="n">
        <x:v>6</x:v>
      </x:c>
      <x:c r="L3379" s="87" t="str">
        <x:v>Краткое задание по биологии</x:v>
      </x:c>
      <x:c r="M3379" s="30" t="str">
        <x:v>Установите соответствие между характеристиками и структурами
    бактериальной клетки, обозначенными на рисунке цифрами 1, 2, 3: к каждой
    позиции, данной в первом столбце, подберите соответствующую позицию
    из второго столбца.
                                                               СТРУКТУРЫ
                 ХАРАКТЕРИСТИКИ
                                                          БАКТЕРИАЛЬНОЙ КЛЕТКИ
    А) передаётся при конъюгации                          1) 1
    Б) состоит из РНК и белков                            2) 2
    В) внеклеточная структура                             3) 3
    Г) осуществляет трансляцию
    Д) может содержать гены устойчивости
       к антибиотикам
    Е) служит для перемещения в пространстве
    Запишите в таблицу выбранные цифры под соответствующими буквами.
               А Б В Г Д Е
    Ответ:
                                   согласия СтатГрад запрещена</x:v>
      </x:c>
      <x:c r="N3379" s="30" t="str">
        <x:v>213123</x:v>
      </x:c>
      <x:c r="O3379" s="30" t="str">
        <x:v>Ответ проверен по условию и официальным материалам.</x:v>
      </x:c>
      <x:c r="P3379" s="30" t="str">
        <x:v>Визуальный контекст связан с полной страницей JPEG.</x:v>
      </x:c>
      <x:c r="Q3379" s="30"/>
      <x:c r="R3379" s="30" t="str">
        <x:v>Официальный ключ + независимая проверка</x:v>
      </x:c>
      <x:c r="S3379" s="30"/>
      <x:c r="T3379" s="30"/>
      <x:c r="U3379" s="30" t="str">
        <x:v>Расхождений не обнаружено.</x:v>
      </x:c>
      <x:c r="V3379" s="87" t="str">
        <x:v>VERIFIED</x:v>
      </x:c>
      <x:c r="W3379" s="87" t="str">
        <x:v>tasks_b.pdf, стр. 3</x:v>
      </x:c>
      <x:c r="X3379" s="87"/>
      <x:c r="Y3379" s="87"/>
      <x:c r="Z3379" s="87"/>
      <x:c r="AA3379" s="87"/>
      <x:c r="AB3379" s="87"/>
      <x:c r="AC3379" s="87" t="str">
        <x:v>VIS-BIO-OCT-002</x:v>
      </x:c>
      <x:c r="AD3379" s="87"/>
      <x:c r="AE3379" s="87"/>
      <x:c r="AF3379" s="87" t="str">
        <x:v>VIS-BIO-OCT-002: 3</x:v>
      </x:c>
      <x:c r="AG3379" s="87" t="str">
        <x:v>RESOLVED</x:v>
      </x:c>
      <x:c r="AH3379" s="87" t="str">
        <x:v>CROP_VERIFIED; TASK_CROP_QA_APPROVED:USE_CONTEXT</x:v>
      </x:c>
      <x:c r="AI3379" s="30"/>
      <x:c r="AJ3379" s="87" t="str">
        <x:v>master</x:v>
      </x:c>
      <x:c r="AK3379" s="87" t="str">
        <x:v>master-v0.81</x:v>
      </x:c>
      <x:c r="AL3379" s="87" t="str">
        <x:v>statgrad_master_base_v0_81_final(2).xlsx</x:v>
      </x:c>
      <x:c r="AM3379" s="87" t="str">
        <x:v>BIO_Oct_V1</x:v>
      </x:c>
      <x:c r="AN3379" s="87" t="n">
        <x:v>7</x:v>
      </x:c>
    </x:row>
    <x:row r="3380">
      <x:c r="A3380" s="87" t="n">
        <x:v>3379</x:v>
      </x:c>
      <x:c r="B3380" s="87" t="str">
        <x:v>OCT-BIO-101-007</x:v>
      </x:c>
      <x:c r="C3380" s="87" t="str">
        <x:v>СтатГрад</x:v>
      </x:c>
      <x:c r="D3380" s="87" t="str">
        <x:v>Октябрь 2025</x:v>
      </x:c>
      <x:c r="E3380" s="87"/>
      <x:c r="F3380" s="87"/>
      <x:c r="G3380" s="87" t="str">
        <x:v>Биология</x:v>
      </x:c>
      <x:c r="H3380" s="87" t="n">
        <x:v>11</x:v>
      </x:c>
      <x:c r="I3380" s="87" t="str">
        <x:v>ТР №1</x:v>
      </x:c>
      <x:c r="J3380" s="87" t="str">
        <x:v>БИ2510101</x:v>
      </x:c>
      <x:c r="K3380" s="87" t="n">
        <x:v>7</x:v>
      </x:c>
      <x:c r="L3380" s="87" t="str">
        <x:v>Краткое задание по биологии</x:v>
      </x:c>
      <x:c r="M3380" s="30" t="str">
        <x:v>Выберите три верных ответа и запишите в таблицу цифры, под которыми
    они указаны.
    Мутационная изменчивость, в отличие от комбинативной
    1) создаёт новые аллели генов
    2) повышает генетическое разнообразие популяций
    3) бывает генной, хромосомной и геномной
    4) является случайным изменением генетического материала клетки
    5) проявляется у большого количества особей одновременно
    6) обусловлена взаимным расположением хромосом в метафазе мейоза
    Ответ:</x:v>
      </x:c>
      <x:c r="N3380" s="30" t="str">
        <x:v>134</x:v>
      </x:c>
      <x:c r="O3380" s="30" t="str">
        <x:v>Ответ проверен по условию и официальным материалам.</x:v>
      </x:c>
      <x:c r="P3380" s="30" t="str">
        <x:v>Визуальный контекст связан с полной страницей JPEG.</x:v>
      </x:c>
      <x:c r="Q3380" s="30"/>
      <x:c r="R3380" s="30" t="str">
        <x:v>Официальный ключ + независимая проверка</x:v>
      </x:c>
      <x:c r="S3380" s="30"/>
      <x:c r="T3380" s="30"/>
      <x:c r="U3380" s="30" t="str">
        <x:v>Расхождений не обнаружено.</x:v>
      </x:c>
      <x:c r="V3380" s="87" t="str">
        <x:v>VERIFIED</x:v>
      </x:c>
      <x:c r="W3380" s="87" t="str">
        <x:v>tasks_b.pdf, стр. 4</x:v>
      </x:c>
      <x:c r="X3380" s="87"/>
      <x:c r="Y3380" s="87"/>
      <x:c r="Z3380" s="87"/>
      <x:c r="AA3380" s="87"/>
      <x:c r="AB3380" s="87"/>
      <x:c r="AC3380" s="87" t="str">
        <x:v>VIS-BIO-OCT-003</x:v>
      </x:c>
      <x:c r="AD3380" s="87"/>
      <x:c r="AE3380" s="87"/>
      <x:c r="AF3380" s="87" t="str">
        <x:v>VIS-BIO-OCT-003: 4</x:v>
      </x:c>
      <x:c r="AG3380" s="87" t="str">
        <x:v>RESOLVED</x:v>
      </x:c>
      <x:c r="AH3380" s="87" t="str">
        <x:v>CROP_VERIFIED</x:v>
      </x:c>
      <x:c r="AI3380" s="30"/>
      <x:c r="AJ3380" s="87" t="str">
        <x:v>master</x:v>
      </x:c>
      <x:c r="AK3380" s="87" t="str">
        <x:v>master-v0.81</x:v>
      </x:c>
      <x:c r="AL3380" s="87" t="str">
        <x:v>statgrad_master_base_v0_81_final(2).xlsx</x:v>
      </x:c>
      <x:c r="AM3380" s="87" t="str">
        <x:v>BIO_Oct_V1</x:v>
      </x:c>
      <x:c r="AN3380" s="87" t="n">
        <x:v>8</x:v>
      </x:c>
    </x:row>
    <x:row r="3381">
      <x:c r="A3381" s="87" t="n">
        <x:v>3380</x:v>
      </x:c>
      <x:c r="B3381" s="87" t="str">
        <x:v>OCT-BIO-101-008</x:v>
      </x:c>
      <x:c r="C3381" s="87" t="str">
        <x:v>СтатГрад</x:v>
      </x:c>
      <x:c r="D3381" s="87" t="str">
        <x:v>Октябрь 2025</x:v>
      </x:c>
      <x:c r="E3381" s="87"/>
      <x:c r="F3381" s="87"/>
      <x:c r="G3381" s="87" t="str">
        <x:v>Биология</x:v>
      </x:c>
      <x:c r="H3381" s="87" t="n">
        <x:v>11</x:v>
      </x:c>
      <x:c r="I3381" s="87" t="str">
        <x:v>ТР №1</x:v>
      </x:c>
      <x:c r="J3381" s="87" t="str">
        <x:v>БИ2510101</x:v>
      </x:c>
      <x:c r="K3381" s="87" t="n">
        <x:v>8</x:v>
      </x:c>
      <x:c r="L3381" s="87" t="str">
        <x:v>Краткое задание по биологии</x:v>
      </x:c>
      <x:c r="M3381" s="30" t="str">
        <x:v>Установите последовательность процессов, происходящих при митозе.
    Запишите в таблицу соответствующую последовательность цифр.
    1) движение хромосом к экватору клетки
    2) формирование дочерних ядер
    3) присоединение нитей веретена деления к центромерам хромосом
    4) разрушение ядерной оболочки
    5) расхождение сестринских хроматид к полюсам клетки
    Ответ:
                                   согласия СтатГрад запрещена</x:v>
      </x:c>
      <x:c r="N3381" s="30" t="str">
        <x:v>43152</x:v>
      </x:c>
      <x:c r="O3381" s="30" t="str">
        <x:v>Ответ проверен по условию и официальным материалам.</x:v>
      </x:c>
      <x:c r="P3381" s="30" t="str">
        <x:v>Визуальный контекст связан с полной страницей JPEG.</x:v>
      </x:c>
      <x:c r="Q3381" s="30"/>
      <x:c r="R3381" s="30" t="str">
        <x:v>Официальный ключ + независимая проверка</x:v>
      </x:c>
      <x:c r="S3381" s="30"/>
      <x:c r="T3381" s="30"/>
      <x:c r="U3381" s="30" t="str">
        <x:v>Расхождений не обнаружено.</x:v>
      </x:c>
      <x:c r="V3381" s="87" t="str">
        <x:v>VERIFIED</x:v>
      </x:c>
      <x:c r="W3381" s="87" t="str">
        <x:v>tasks_b.pdf, стр. 4</x:v>
      </x:c>
      <x:c r="X3381" s="87"/>
      <x:c r="Y3381" s="87"/>
      <x:c r="Z3381" s="87"/>
      <x:c r="AA3381" s="87"/>
      <x:c r="AB3381" s="87"/>
      <x:c r="AC3381" s="87" t="str">
        <x:v>VIS-BIO-OCT-003</x:v>
      </x:c>
      <x:c r="AD3381" s="87"/>
      <x:c r="AE3381" s="87"/>
      <x:c r="AF3381" s="87" t="str">
        <x:v>VIS-BIO-OCT-003: 4</x:v>
      </x:c>
      <x:c r="AG3381" s="87" t="str">
        <x:v>RESOLVED</x:v>
      </x:c>
      <x:c r="AH3381" s="87" t="str">
        <x:v>CROP_VERIFIED</x:v>
      </x:c>
      <x:c r="AI3381" s="30"/>
      <x:c r="AJ3381" s="87" t="str">
        <x:v>master</x:v>
      </x:c>
      <x:c r="AK3381" s="87" t="str">
        <x:v>master-v0.81</x:v>
      </x:c>
      <x:c r="AL3381" s="87" t="str">
        <x:v>statgrad_master_base_v0_81_final(2).xlsx</x:v>
      </x:c>
      <x:c r="AM3381" s="87" t="str">
        <x:v>BIO_Oct_V1</x:v>
      </x:c>
      <x:c r="AN3381" s="87" t="n">
        <x:v>9</x:v>
      </x:c>
    </x:row>
    <x:row r="3382">
      <x:c r="A3382" s="87" t="n">
        <x:v>3381</x:v>
      </x:c>
      <x:c r="B3382" s="87" t="str">
        <x:v>OCT-BIO-101-009</x:v>
      </x:c>
      <x:c r="C3382" s="87" t="str">
        <x:v>СтатГрад</x:v>
      </x:c>
      <x:c r="D3382" s="87" t="str">
        <x:v>Октябрь 2025</x:v>
      </x:c>
      <x:c r="E3382" s="87"/>
      <x:c r="F3382" s="87"/>
      <x:c r="G3382" s="87" t="str">
        <x:v>Биология</x:v>
      </x:c>
      <x:c r="H3382" s="87" t="n">
        <x:v>11</x:v>
      </x:c>
      <x:c r="I3382" s="87" t="str">
        <x:v>ТР №1</x:v>
      </x:c>
      <x:c r="J3382" s="87" t="str">
        <x:v>БИ2510101</x:v>
      </x:c>
      <x:c r="K3382" s="87" t="n">
        <x:v>9</x:v>
      </x:c>
      <x:c r="L3382" s="87" t="str">
        <x:v>Краткое задание по биологии</x:v>
      </x:c>
      <x:c r="M3382" s="30" t="str">
        <x:v>Под каким номером на рисунке обозначен организм, тело которого покрыто
     мантией?
     Ответ: ___________________________.</x:v>
      </x:c>
      <x:c r="N3382" s="30" t="str">
        <x:v>5</x:v>
      </x:c>
      <x:c r="O3382" s="30" t="str">
        <x:v>Ответ проверен по условию и официальным материалам.</x:v>
      </x:c>
      <x:c r="P3382" s="30" t="str">
        <x:v>Визуальный контекст связан с полной страницей JPEG.</x:v>
      </x:c>
      <x:c r="Q3382" s="30"/>
      <x:c r="R3382" s="30" t="str">
        <x:v>Архивный фото-ключ + независимая проверка</x:v>
      </x:c>
      <x:c r="S3382" s="30"/>
      <x:c r="T3382" s="30"/>
      <x:c r="U3382" s="30" t="str">
        <x:v>Расхождений не обнаружено.</x:v>
      </x:c>
      <x:c r="V3382" s="87" t="str">
        <x:v>VERIFIED</x:v>
      </x:c>
      <x:c r="W3382" s="87" t="str">
        <x:v>tasks_b.pdf, стр. 5</x:v>
      </x:c>
      <x:c r="X3382" s="87"/>
      <x:c r="Y3382" s="87"/>
      <x:c r="Z3382" s="87"/>
      <x:c r="AA3382" s="87"/>
      <x:c r="AB3382" s="87"/>
      <x:c r="AC3382" s="87" t="str">
        <x:v>VIS-BIO-OCT-004</x:v>
      </x:c>
      <x:c r="AD3382" s="87"/>
      <x:c r="AE3382" s="87"/>
      <x:c r="AF3382" s="87" t="str">
        <x:v>VIS-BIO-OCT-004: 5</x:v>
      </x:c>
      <x:c r="AG3382" s="87" t="str">
        <x:v>RESOLVED</x:v>
      </x:c>
      <x:c r="AH3382" s="87" t="str">
        <x:v>CROP_VERIFIED; TASK_CROP_QA_APPROVED:MANUAL_BBOX</x:v>
      </x:c>
      <x:c r="AI3382" s="30"/>
      <x:c r="AJ3382" s="87" t="str">
        <x:v>master</x:v>
      </x:c>
      <x:c r="AK3382" s="87" t="str">
        <x:v>master-v0.81</x:v>
      </x:c>
      <x:c r="AL3382" s="87" t="str">
        <x:v>statgrad_master_base_v0_81_final(2).xlsx</x:v>
      </x:c>
      <x:c r="AM3382" s="87" t="str">
        <x:v>BIO_Oct_V1</x:v>
      </x:c>
      <x:c r="AN3382" s="87" t="n">
        <x:v>10</x:v>
      </x:c>
    </x:row>
    <x:row r="3383">
      <x:c r="A3383" s="87" t="n">
        <x:v>3382</x:v>
      </x:c>
      <x:c r="B3383" s="87" t="str">
        <x:v>OCT-BIO-101-010</x:v>
      </x:c>
      <x:c r="C3383" s="87" t="str">
        <x:v>СтатГрад</x:v>
      </x:c>
      <x:c r="D3383" s="87" t="str">
        <x:v>Октябрь 2025</x:v>
      </x:c>
      <x:c r="E3383" s="87"/>
      <x:c r="F3383" s="87"/>
      <x:c r="G3383" s="87" t="str">
        <x:v>Биология</x:v>
      </x:c>
      <x:c r="H3383" s="87" t="n">
        <x:v>11</x:v>
      </x:c>
      <x:c r="I3383" s="87" t="str">
        <x:v>ТР №1</x:v>
      </x:c>
      <x:c r="J3383" s="87" t="str">
        <x:v>БИ2510101</x:v>
      </x:c>
      <x:c r="K3383" s="87" t="n">
        <x:v>10</x:v>
      </x:c>
      <x:c r="L3383" s="87" t="str">
        <x:v>Краткое задание по биологии</x:v>
      </x:c>
      <x:c r="M3383" s="30" t="str">
        <x:v>Установите соответствие между характеристиками и животными,
     изображёнными на рисунках 1, 2, 3: к каждой позиции, данной в первом
     столбце, подберите соответствующую позицию из второго столбца.
                ХАРАКТЕРИСТИКИ                                       ЖИВОТНЫЕ
     А) наличие стрекательных клеток                       1) 1
     Б) кожно-мускульный мешок                             2) 2
     В) трахейное дыхание                                  3) 3
     Г) незамкнутая кровеносная система
     Д) студенистая мезоглея
     Е) лестничная нервная система
     Запишите в таблицу выбранные цифры под соответствующими буквами.
                А Б В Г Д Е
     Ответ:
                                    согласия СтатГрад запрещена</x:v>
      </x:c>
      <x:c r="N3383" s="30" t="str">
        <x:v>312231</x:v>
      </x:c>
      <x:c r="O3383" s="30" t="str">
        <x:v>Ответ проверен по условию и официальным материалам.</x:v>
      </x:c>
      <x:c r="P3383" s="30" t="str">
        <x:v>Визуальный контекст связан с полной страницей JPEG.</x:v>
      </x:c>
      <x:c r="Q3383" s="30"/>
      <x:c r="R3383" s="30" t="str">
        <x:v>Официальный ключ + независимая проверка</x:v>
      </x:c>
      <x:c r="S3383" s="30"/>
      <x:c r="T3383" s="30"/>
      <x:c r="U3383" s="30" t="str">
        <x:v>Расхождений не обнаружено.</x:v>
      </x:c>
      <x:c r="V3383" s="87" t="str">
        <x:v>VERIFIED</x:v>
      </x:c>
      <x:c r="W3383" s="87" t="str">
        <x:v>tasks_b.pdf, стр. 5</x:v>
      </x:c>
      <x:c r="X3383" s="87"/>
      <x:c r="Y3383" s="87"/>
      <x:c r="Z3383" s="87"/>
      <x:c r="AA3383" s="87"/>
      <x:c r="AB3383" s="87"/>
      <x:c r="AC3383" s="87" t="str">
        <x:v>VIS-BIO-OCT-004</x:v>
      </x:c>
      <x:c r="AD3383" s="87"/>
      <x:c r="AE3383" s="87"/>
      <x:c r="AF3383" s="87" t="str">
        <x:v>VIS-BIO-OCT-004: 5</x:v>
      </x:c>
      <x:c r="AG3383" s="87" t="str">
        <x:v>RESOLVED</x:v>
      </x:c>
      <x:c r="AH3383" s="87" t="str">
        <x:v>CROP_VERIFIED; TASK_CROP_QA_APPROVED:USE_TIGHT</x:v>
      </x:c>
      <x:c r="AI3383" s="30"/>
      <x:c r="AJ3383" s="87" t="str">
        <x:v>master</x:v>
      </x:c>
      <x:c r="AK3383" s="87" t="str">
        <x:v>master-v0.81</x:v>
      </x:c>
      <x:c r="AL3383" s="87" t="str">
        <x:v>statgrad_master_base_v0_81_final(2).xlsx</x:v>
      </x:c>
      <x:c r="AM3383" s="87" t="str">
        <x:v>BIO_Oct_V1</x:v>
      </x:c>
      <x:c r="AN3383" s="87" t="n">
        <x:v>11</x:v>
      </x:c>
    </x:row>
    <x:row r="3384">
      <x:c r="A3384" s="87" t="n">
        <x:v>3383</x:v>
      </x:c>
      <x:c r="B3384" s="87" t="str">
        <x:v>OCT-BIO-101-011</x:v>
      </x:c>
      <x:c r="C3384" s="87" t="str">
        <x:v>СтатГрад</x:v>
      </x:c>
      <x:c r="D3384" s="87" t="str">
        <x:v>Октябрь 2025</x:v>
      </x:c>
      <x:c r="E3384" s="87"/>
      <x:c r="F3384" s="87"/>
      <x:c r="G3384" s="87" t="str">
        <x:v>Биология</x:v>
      </x:c>
      <x:c r="H3384" s="87" t="n">
        <x:v>11</x:v>
      </x:c>
      <x:c r="I3384" s="87" t="str">
        <x:v>ТР №1</x:v>
      </x:c>
      <x:c r="J3384" s="87" t="str">
        <x:v>БИ2510101</x:v>
      </x:c>
      <x:c r="K3384" s="87" t="n">
        <x:v>11</x:v>
      </x:c>
      <x:c r="L3384" s="87" t="str">
        <x:v>Краткое задание по биологии</x:v>
      </x:c>
      <x:c r="M3384" s="30" t="str">
        <x:v>Выберите три верных ответа и запишите в таблицу цифры, под которыми
     они указаны.
     Для мхов в отличие от плаунов характерно
     1) преобладание гаметофита в жизненном цикле
     2) развитие листостебельного растения из споры
     3) наличие проводящих тканей
     4) зависимость от воды в размножении
     5) всасывание воды через корни
     6) наличие протонемы в жизненном цикле
     Ответ:</x:v>
      </x:c>
      <x:c r="N3384" s="30" t="str">
        <x:v>126</x:v>
      </x:c>
      <x:c r="O3384" s="30" t="str">
        <x:v>Ответ проверен по условию и официальным материалам.</x:v>
      </x:c>
      <x:c r="P3384" s="30" t="str">
        <x:v>Визуальный контекст связан с полной страницей JPEG.</x:v>
      </x:c>
      <x:c r="Q3384" s="30"/>
      <x:c r="R3384" s="30" t="str">
        <x:v>Официальный ключ + независимая проверка</x:v>
      </x:c>
      <x:c r="S3384" s="30"/>
      <x:c r="T3384" s="30"/>
      <x:c r="U3384" s="30" t="str">
        <x:v>Расхождений не обнаружено.</x:v>
      </x:c>
      <x:c r="V3384" s="87" t="str">
        <x:v>VERIFIED</x:v>
      </x:c>
      <x:c r="W3384" s="87" t="str">
        <x:v>tasks_b.pdf, стр. 6</x:v>
      </x:c>
      <x:c r="X3384" s="87"/>
      <x:c r="Y3384" s="87"/>
      <x:c r="Z3384" s="87"/>
      <x:c r="AA3384" s="87"/>
      <x:c r="AB3384" s="87"/>
      <x:c r="AC3384" s="87" t="str">
        <x:v>VIS-BIO-OCT-005</x:v>
      </x:c>
      <x:c r="AD3384" s="87"/>
      <x:c r="AE3384" s="87"/>
      <x:c r="AF3384" s="87" t="str">
        <x:v>VIS-BIO-OCT-005: 6</x:v>
      </x:c>
      <x:c r="AG3384" s="87" t="str">
        <x:v>RESOLVED</x:v>
      </x:c>
      <x:c r="AH3384" s="87" t="str">
        <x:v>CROP_VERIFIED</x:v>
      </x:c>
      <x:c r="AI3384" s="30"/>
      <x:c r="AJ3384" s="87" t="str">
        <x:v>master</x:v>
      </x:c>
      <x:c r="AK3384" s="87" t="str">
        <x:v>master-v0.81</x:v>
      </x:c>
      <x:c r="AL3384" s="87" t="str">
        <x:v>statgrad_master_base_v0_81_final(2).xlsx</x:v>
      </x:c>
      <x:c r="AM3384" s="87" t="str">
        <x:v>BIO_Oct_V1</x:v>
      </x:c>
      <x:c r="AN3384" s="87" t="n">
        <x:v>12</x:v>
      </x:c>
    </x:row>
    <x:row r="3385">
      <x:c r="A3385" s="87" t="n">
        <x:v>3384</x:v>
      </x:c>
      <x:c r="B3385" s="87" t="str">
        <x:v>OCT-BIO-101-012</x:v>
      </x:c>
      <x:c r="C3385" s="87" t="str">
        <x:v>СтатГрад</x:v>
      </x:c>
      <x:c r="D3385" s="87" t="str">
        <x:v>Октябрь 2025</x:v>
      </x:c>
      <x:c r="E3385" s="87"/>
      <x:c r="F3385" s="87"/>
      <x:c r="G3385" s="87" t="str">
        <x:v>Биология</x:v>
      </x:c>
      <x:c r="H3385" s="87" t="n">
        <x:v>11</x:v>
      </x:c>
      <x:c r="I3385" s="87" t="str">
        <x:v>ТР №1</x:v>
      </x:c>
      <x:c r="J3385" s="87" t="str">
        <x:v>БИ2510101</x:v>
      </x:c>
      <x:c r="K3385" s="87" t="n">
        <x:v>12</x:v>
      </x:c>
      <x:c r="L3385" s="87" t="str">
        <x:v>Краткое задание по биологии</x:v>
      </x:c>
      <x:c r="M3385" s="30" t="str">
        <x:v>Установите последовательность систематических организмов, начиная
     с самого низкого ранга. Запишите в таблицу соответствующую последо-
     вательность цифр.
     1) Протеецветные
     2) Покрытосеменные
     3) Двудольные
     4) Эукариоты
     5) Лотос орехоносный
     6) Лотосовые
     Ответ:
                                    согласия СтатГрад запрещена</x:v>
      </x:c>
      <x:c r="N3385" s="30" t="str">
        <x:v>561324</x:v>
      </x:c>
      <x:c r="O3385" s="30" t="str">
        <x:v>Ответ проверен по условию и официальным материалам.</x:v>
      </x:c>
      <x:c r="P3385" s="30" t="str">
        <x:v>Визуальный контекст связан с полной страницей JPEG.</x:v>
      </x:c>
      <x:c r="Q3385" s="30"/>
      <x:c r="R3385" s="30" t="str">
        <x:v>Официальный ключ + независимая проверка</x:v>
      </x:c>
      <x:c r="S3385" s="30"/>
      <x:c r="T3385" s="30"/>
      <x:c r="U3385" s="30" t="str">
        <x:v>Расхождений не обнаружено.</x:v>
      </x:c>
      <x:c r="V3385" s="87" t="str">
        <x:v>VERIFIED</x:v>
      </x:c>
      <x:c r="W3385" s="87" t="str">
        <x:v>tasks_b.pdf, стр. 6</x:v>
      </x:c>
      <x:c r="X3385" s="87"/>
      <x:c r="Y3385" s="87"/>
      <x:c r="Z3385" s="87"/>
      <x:c r="AA3385" s="87"/>
      <x:c r="AB3385" s="87"/>
      <x:c r="AC3385" s="87" t="str">
        <x:v>VIS-BIO-OCT-005</x:v>
      </x:c>
      <x:c r="AD3385" s="87"/>
      <x:c r="AE3385" s="87"/>
      <x:c r="AF3385" s="87" t="str">
        <x:v>VIS-BIO-OCT-005: 6</x:v>
      </x:c>
      <x:c r="AG3385" s="87" t="str">
        <x:v>RESOLVED</x:v>
      </x:c>
      <x:c r="AH3385" s="87" t="str">
        <x:v>CROP_VERIFIED</x:v>
      </x:c>
      <x:c r="AI3385" s="30"/>
      <x:c r="AJ3385" s="87" t="str">
        <x:v>master</x:v>
      </x:c>
      <x:c r="AK3385" s="87" t="str">
        <x:v>master-v0.81</x:v>
      </x:c>
      <x:c r="AL3385" s="87" t="str">
        <x:v>statgrad_master_base_v0_81_final(2).xlsx</x:v>
      </x:c>
      <x:c r="AM3385" s="87" t="str">
        <x:v>BIO_Oct_V1</x:v>
      </x:c>
      <x:c r="AN3385" s="87" t="n">
        <x:v>13</x:v>
      </x:c>
    </x:row>
    <x:row r="3386">
      <x:c r="A3386" s="87" t="n">
        <x:v>3385</x:v>
      </x:c>
      <x:c r="B3386" s="87" t="str">
        <x:v>OCT-BIO-101-013</x:v>
      </x:c>
      <x:c r="C3386" s="87" t="str">
        <x:v>СтатГрад</x:v>
      </x:c>
      <x:c r="D3386" s="87" t="str">
        <x:v>Октябрь 2025</x:v>
      </x:c>
      <x:c r="E3386" s="87"/>
      <x:c r="F3386" s="87"/>
      <x:c r="G3386" s="87" t="str">
        <x:v>Биология</x:v>
      </x:c>
      <x:c r="H3386" s="87" t="n">
        <x:v>11</x:v>
      </x:c>
      <x:c r="I3386" s="87" t="str">
        <x:v>ТР №1</x:v>
      </x:c>
      <x:c r="J3386" s="87" t="str">
        <x:v>БИ2510101</x:v>
      </x:c>
      <x:c r="K3386" s="87" t="n">
        <x:v>13</x:v>
      </x:c>
      <x:c r="L3386" s="87" t="str">
        <x:v>Краткое задание по биологии</x:v>
      </x:c>
      <x:c r="M3386" s="30" t="str">
        <x:v>Каким номером на рисунке обозначено актиновое волокно?
     Ответ: ___________________________.</x:v>
      </x:c>
      <x:c r="N3386" s="30" t="str">
        <x:v>7</x:v>
      </x:c>
      <x:c r="O3386" s="30" t="str">
        <x:v>Ответ проверен по условию и официальным материалам.</x:v>
      </x:c>
      <x:c r="P3386" s="30" t="str">
        <x:v>Визуальный контекст связан с полной страницей JPEG.</x:v>
      </x:c>
      <x:c r="Q3386" s="30"/>
      <x:c r="R3386" s="30" t="str">
        <x:v>Архивный фото-ключ + независимая проверка</x:v>
      </x:c>
      <x:c r="S3386" s="30"/>
      <x:c r="T3386" s="30"/>
      <x:c r="U3386" s="30" t="str">
        <x:v>Расхождений не обнаружено.</x:v>
      </x:c>
      <x:c r="V3386" s="87" t="str">
        <x:v>VERIFIED</x:v>
      </x:c>
      <x:c r="W3386" s="87" t="str">
        <x:v>tasks_b.pdf, стр. 7</x:v>
      </x:c>
      <x:c r="X3386" s="87"/>
      <x:c r="Y3386" s="87"/>
      <x:c r="Z3386" s="87"/>
      <x:c r="AA3386" s="87"/>
      <x:c r="AB3386" s="87"/>
      <x:c r="AC3386" s="87" t="str">
        <x:v>VIS-BIO-OCT-006</x:v>
      </x:c>
      <x:c r="AD3386" s="87"/>
      <x:c r="AE3386" s="87"/>
      <x:c r="AF3386" s="87" t="str">
        <x:v>VIS-BIO-OCT-006: 7</x:v>
      </x:c>
      <x:c r="AG3386" s="87" t="str">
        <x:v>RESOLVED</x:v>
      </x:c>
      <x:c r="AH3386" s="87" t="str">
        <x:v>CROP_VERIFIED; TASK_CROP_QA_APPROVED:MANUAL_BBOX</x:v>
      </x:c>
      <x:c r="AI3386" s="30"/>
      <x:c r="AJ3386" s="87" t="str">
        <x:v>master</x:v>
      </x:c>
      <x:c r="AK3386" s="87" t="str">
        <x:v>master-v0.81</x:v>
      </x:c>
      <x:c r="AL3386" s="87" t="str">
        <x:v>statgrad_master_base_v0_81_final(2).xlsx</x:v>
      </x:c>
      <x:c r="AM3386" s="87" t="str">
        <x:v>BIO_Oct_V1</x:v>
      </x:c>
      <x:c r="AN3386" s="87" t="n">
        <x:v>14</x:v>
      </x:c>
    </x:row>
    <x:row r="3387">
      <x:c r="A3387" s="87" t="n">
        <x:v>3386</x:v>
      </x:c>
      <x:c r="B3387" s="87" t="str">
        <x:v>OCT-BIO-101-014</x:v>
      </x:c>
      <x:c r="C3387" s="87" t="str">
        <x:v>СтатГрад</x:v>
      </x:c>
      <x:c r="D3387" s="87" t="str">
        <x:v>Октябрь 2025</x:v>
      </x:c>
      <x:c r="E3387" s="87"/>
      <x:c r="F3387" s="87"/>
      <x:c r="G3387" s="87" t="str">
        <x:v>Биология</x:v>
      </x:c>
      <x:c r="H3387" s="87" t="n">
        <x:v>11</x:v>
      </x:c>
      <x:c r="I3387" s="87" t="str">
        <x:v>ТР №1</x:v>
      </x:c>
      <x:c r="J3387" s="87" t="str">
        <x:v>БИ2510101</x:v>
      </x:c>
      <x:c r="K3387" s="87" t="n">
        <x:v>14</x:v>
      </x:c>
      <x:c r="L3387" s="87" t="str">
        <x:v>Краткое задание по биологии</x:v>
      </x:c>
      <x:c r="M3387" s="30" t="str">
        <x:v>Установите соответствие между характеристиками и структурами,
     обозначенными на рисунке цифрами 1, 2, 3: к каждой позиции, данной
     в первом столбце, подберите соответствующую позицию из второго столбца.
                ХАРАКТЕРИСТИКИ                                       СТРУКТУРЫ
     А) является многоядерной клеткой                      1) 1
     Б) содержит остеоциты                                 2) 2
     В) выполняет кроветворную функцию                     3) 3
     Г) имеет поперечную исчерченность
     Д) обладает свойством возбудимости
     Е) является примером волокнистой
        соединительной ткани
     Запишите в таблицу выбранные цифры под соответствующими буквами.
                А Б В Г Д Е
     Ответ:
                                    согласия СтатГрад запрещена</x:v>
      </x:c>
      <x:c r="N3387" s="30" t="str">
        <x:v>311332</x:v>
      </x:c>
      <x:c r="O3387" s="30" t="str">
        <x:v>Ответ проверен по условию и официальным материалам.</x:v>
      </x:c>
      <x:c r="P3387" s="30" t="str">
        <x:v>Визуальный контекст связан с полной страницей JPEG.</x:v>
      </x:c>
      <x:c r="Q3387" s="30"/>
      <x:c r="R3387" s="30" t="str">
        <x:v>Официальный ключ + независимая проверка</x:v>
      </x:c>
      <x:c r="S3387" s="30"/>
      <x:c r="T3387" s="30"/>
      <x:c r="U3387" s="30" t="str">
        <x:v>Расхождений не обнаружено.</x:v>
      </x:c>
      <x:c r="V3387" s="87" t="str">
        <x:v>VERIFIED</x:v>
      </x:c>
      <x:c r="W3387" s="87" t="str">
        <x:v>tasks_b.pdf, стр. 7</x:v>
      </x:c>
      <x:c r="X3387" s="87"/>
      <x:c r="Y3387" s="87"/>
      <x:c r="Z3387" s="87"/>
      <x:c r="AA3387" s="87"/>
      <x:c r="AB3387" s="87"/>
      <x:c r="AC3387" s="87" t="str">
        <x:v>VIS-BIO-OCT-006</x:v>
      </x:c>
      <x:c r="AD3387" s="87"/>
      <x:c r="AE3387" s="87"/>
      <x:c r="AF3387" s="87" t="str">
        <x:v>VIS-BIO-OCT-006: 7</x:v>
      </x:c>
      <x:c r="AG3387" s="87" t="str">
        <x:v>RESOLVED</x:v>
      </x:c>
      <x:c r="AH3387" s="87" t="str">
        <x:v>CROP_VERIFIED; TASK_CROP_QA_APPROVED:USE_TIGHT</x:v>
      </x:c>
      <x:c r="AI3387" s="30"/>
      <x:c r="AJ3387" s="87" t="str">
        <x:v>master</x:v>
      </x:c>
      <x:c r="AK3387" s="87" t="str">
        <x:v>master-v0.81</x:v>
      </x:c>
      <x:c r="AL3387" s="87" t="str">
        <x:v>statgrad_master_base_v0_81_final(2).xlsx</x:v>
      </x:c>
      <x:c r="AM3387" s="87" t="str">
        <x:v>BIO_Oct_V1</x:v>
      </x:c>
      <x:c r="AN3387" s="87" t="n">
        <x:v>15</x:v>
      </x:c>
    </x:row>
    <x:row r="3388">
      <x:c r="A3388" s="87" t="n">
        <x:v>3387</x:v>
      </x:c>
      <x:c r="B3388" s="87" t="str">
        <x:v>OCT-BIO-101-015</x:v>
      </x:c>
      <x:c r="C3388" s="87" t="str">
        <x:v>СтатГрад</x:v>
      </x:c>
      <x:c r="D3388" s="87" t="str">
        <x:v>Октябрь 2025</x:v>
      </x:c>
      <x:c r="E3388" s="87"/>
      <x:c r="F3388" s="87"/>
      <x:c r="G3388" s="87" t="str">
        <x:v>Биология</x:v>
      </x:c>
      <x:c r="H3388" s="87" t="n">
        <x:v>11</x:v>
      </x:c>
      <x:c r="I3388" s="87" t="str">
        <x:v>ТР №1</x:v>
      </x:c>
      <x:c r="J3388" s="87" t="str">
        <x:v>БИ2510101</x:v>
      </x:c>
      <x:c r="K3388" s="87" t="n">
        <x:v>15</x:v>
      </x:c>
      <x:c r="L3388" s="87" t="str">
        <x:v>Краткое задание по биологии</x:v>
      </x:c>
      <x:c r="M3388" s="30" t="str">
        <x:v>Выберите три верных ответа и запишите в таблицу цифры, под которыми
     они указаны.
     Какие железы из перечисленных являются экзокринными?
     1) слёзные
     2) эпифиз
     3) сальные
     4) щитовидная
     5) молочные
     6) зобная
     Ответ:</x:v>
      </x:c>
      <x:c r="N3388" s="30" t="str">
        <x:v>135</x:v>
      </x:c>
      <x:c r="O3388" s="30" t="str">
        <x:v>Ответ проверен по условию и официальным материалам.</x:v>
      </x:c>
      <x:c r="P3388" s="30" t="str">
        <x:v>Визуальный контекст связан с полной страницей JPEG.</x:v>
      </x:c>
      <x:c r="Q3388" s="30"/>
      <x:c r="R3388" s="30" t="str">
        <x:v>Официальный ключ + независимая проверка</x:v>
      </x:c>
      <x:c r="S3388" s="30"/>
      <x:c r="T3388" s="30"/>
      <x:c r="U3388" s="30" t="str">
        <x:v>Расхождений не обнаружено.</x:v>
      </x:c>
      <x:c r="V3388" s="87" t="str">
        <x:v>VERIFIED</x:v>
      </x:c>
      <x:c r="W3388" s="87" t="str">
        <x:v>tasks_b.pdf, стр. 8</x:v>
      </x:c>
      <x:c r="X3388" s="87"/>
      <x:c r="Y3388" s="87"/>
      <x:c r="Z3388" s="87"/>
      <x:c r="AA3388" s="87"/>
      <x:c r="AB3388" s="87"/>
      <x:c r="AC3388" s="87" t="str">
        <x:v>VIS-BIO-OCT-007</x:v>
      </x:c>
      <x:c r="AD3388" s="87"/>
      <x:c r="AE3388" s="87"/>
      <x:c r="AF3388" s="87" t="str">
        <x:v>VIS-BIO-OCT-007: 8</x:v>
      </x:c>
      <x:c r="AG3388" s="87" t="str">
        <x:v>RESOLVED</x:v>
      </x:c>
      <x:c r="AH3388" s="87" t="str">
        <x:v>CROP_VERIFIED</x:v>
      </x:c>
      <x:c r="AI3388" s="30"/>
      <x:c r="AJ3388" s="87" t="str">
        <x:v>master</x:v>
      </x:c>
      <x:c r="AK3388" s="87" t="str">
        <x:v>master-v0.81</x:v>
      </x:c>
      <x:c r="AL3388" s="87" t="str">
        <x:v>statgrad_master_base_v0_81_final(2).xlsx</x:v>
      </x:c>
      <x:c r="AM3388" s="87" t="str">
        <x:v>BIO_Oct_V1</x:v>
      </x:c>
      <x:c r="AN3388" s="87" t="n">
        <x:v>16</x:v>
      </x:c>
    </x:row>
    <x:row r="3389">
      <x:c r="A3389" s="87" t="n">
        <x:v>3388</x:v>
      </x:c>
      <x:c r="B3389" s="87" t="str">
        <x:v>OCT-BIO-101-016</x:v>
      </x:c>
      <x:c r="C3389" s="87" t="str">
        <x:v>СтатГрад</x:v>
      </x:c>
      <x:c r="D3389" s="87" t="str">
        <x:v>Октябрь 2025</x:v>
      </x:c>
      <x:c r="E3389" s="87"/>
      <x:c r="F3389" s="87"/>
      <x:c r="G3389" s="87" t="str">
        <x:v>Биология</x:v>
      </x:c>
      <x:c r="H3389" s="87" t="n">
        <x:v>11</x:v>
      </x:c>
      <x:c r="I3389" s="87" t="str">
        <x:v>ТР №1</x:v>
      </x:c>
      <x:c r="J3389" s="87" t="str">
        <x:v>БИ2510101</x:v>
      </x:c>
      <x:c r="K3389" s="87" t="n">
        <x:v>16</x:v>
      </x:c>
      <x:c r="L3389" s="87" t="str">
        <x:v>Краткое задание по биологии</x:v>
      </x:c>
      <x:c r="M3389" s="30" t="str">
        <x:v>Установите последовательность этапов обмена белков в организме человека.
     Запишите в таблицу соответствующую последовательность цифр.
     1) перемещение мономеров белков по воротной вене печени
     2) гидролиз белков в желудочно-кишечном тракте
     3) отщепление аминогруппы в гепатоцитах печени
     4) всасывание аминокислот в кровь
     5) формирование пищевого комка
     Ответ:</x:v>
      </x:c>
      <x:c r="N3389" s="30" t="str">
        <x:v>52413</x:v>
      </x:c>
      <x:c r="O3389" s="30" t="str">
        <x:v>Ответ проверен по условию и официальным материалам.</x:v>
      </x:c>
      <x:c r="P3389" s="30" t="str">
        <x:v>Визуальный контекст связан с полной страницей JPEG.</x:v>
      </x:c>
      <x:c r="Q3389" s="30"/>
      <x:c r="R3389" s="30" t="str">
        <x:v>Официальный ключ + независимая проверка</x:v>
      </x:c>
      <x:c r="S3389" s="30"/>
      <x:c r="T3389" s="30"/>
      <x:c r="U3389" s="30" t="str">
        <x:v>Расхождений не обнаружено.</x:v>
      </x:c>
      <x:c r="V3389" s="87" t="str">
        <x:v>VERIFIED</x:v>
      </x:c>
      <x:c r="W3389" s="87" t="str">
        <x:v>tasks_b.pdf, стр. 8</x:v>
      </x:c>
      <x:c r="X3389" s="87"/>
      <x:c r="Y3389" s="87"/>
      <x:c r="Z3389" s="87"/>
      <x:c r="AA3389" s="87"/>
      <x:c r="AB3389" s="87"/>
      <x:c r="AC3389" s="87" t="str">
        <x:v>VIS-BIO-OCT-007</x:v>
      </x:c>
      <x:c r="AD3389" s="87"/>
      <x:c r="AE3389" s="87"/>
      <x:c r="AF3389" s="87" t="str">
        <x:v>VIS-BIO-OCT-007: 8</x:v>
      </x:c>
      <x:c r="AG3389" s="87" t="str">
        <x:v>RESOLVED</x:v>
      </x:c>
      <x:c r="AH3389" s="87" t="str">
        <x:v>CROP_VERIFIED</x:v>
      </x:c>
      <x:c r="AI3389" s="30"/>
      <x:c r="AJ3389" s="87" t="str">
        <x:v>master</x:v>
      </x:c>
      <x:c r="AK3389" s="87" t="str">
        <x:v>master-v0.81</x:v>
      </x:c>
      <x:c r="AL3389" s="87" t="str">
        <x:v>statgrad_master_base_v0_81_final(2).xlsx</x:v>
      </x:c>
      <x:c r="AM3389" s="87" t="str">
        <x:v>BIO_Oct_V1</x:v>
      </x:c>
      <x:c r="AN3389" s="87" t="n">
        <x:v>17</x:v>
      </x:c>
    </x:row>
    <x:row r="3390">
      <x:c r="A3390" s="87" t="n">
        <x:v>3389</x:v>
      </x:c>
      <x:c r="B3390" s="87" t="str">
        <x:v>OCT-BIO-101-017</x:v>
      </x:c>
      <x:c r="C3390" s="87" t="str">
        <x:v>СтатГрад</x:v>
      </x:c>
      <x:c r="D3390" s="87" t="str">
        <x:v>Октябрь 2025</x:v>
      </x:c>
      <x:c r="E3390" s="87"/>
      <x:c r="F3390" s="87"/>
      <x:c r="G3390" s="87" t="str">
        <x:v>Биология</x:v>
      </x:c>
      <x:c r="H3390" s="87" t="n">
        <x:v>11</x:v>
      </x:c>
      <x:c r="I3390" s="87" t="str">
        <x:v>ТР №1</x:v>
      </x:c>
      <x:c r="J3390" s="87" t="str">
        <x:v>БИ2510101</x:v>
      </x:c>
      <x:c r="K3390" s="87" t="n">
        <x:v>17</x:v>
      </x:c>
      <x:c r="L3390" s="87" t="str">
        <x:v>Краткое задание по биологии</x:v>
      </x:c>
      <x:c r="M3390" s="30" t="str">
        <x:v>Прочитайте текст. Выберите три предложения, в которых даны примеры
     гомологичных структур животных. Запишите в таблицу цифры,
     под которыми они указаны.
     (1)В результате дивергенции видов однотипные структуры тела животных
     могут приобретать разное строение и функции. (2)Так, у птиц роговые
     структуры кожи преобразовались в перья, а у млекопитающих – в волосы.
     (3)Также схожую структуру имеют раковины моллюсков и саркодовых
     простейших. (4)Антенны ракообразных и усики насекомых, несмотря на
     отличия в строении, выполняют одну и ту же функцию – осязание. (5)Глаза
     головоногих моллюсков и позвоночных животных имеют схожее строение,
     но развиваются из разных эмбриональных зачатков. (6)А ласты моржей
     и китообразных схожи по всем параметрам: общее происхождение,
     одинаковая функция и идентичная морфология.
     Ответ:
                                    согласия СтатГрад запрещена</x:v>
      </x:c>
      <x:c r="N3390" s="30" t="str">
        <x:v>246</x:v>
      </x:c>
      <x:c r="O3390" s="30" t="str">
        <x:v>Ответ проверен по условию и официальным материалам.</x:v>
      </x:c>
      <x:c r="P3390" s="30" t="str">
        <x:v>Визуальный контекст связан с полной страницей JPEG.</x:v>
      </x:c>
      <x:c r="Q3390" s="30"/>
      <x:c r="R3390" s="30" t="str">
        <x:v>Официальный ключ + независимая проверка</x:v>
      </x:c>
      <x:c r="S3390" s="30"/>
      <x:c r="T3390" s="30"/>
      <x:c r="U3390" s="30" t="str">
        <x:v>Расхождений не обнаружено.</x:v>
      </x:c>
      <x:c r="V3390" s="87" t="str">
        <x:v>VERIFIED</x:v>
      </x:c>
      <x:c r="W3390" s="87" t="str">
        <x:v>tasks_b.pdf, стр. 8</x:v>
      </x:c>
      <x:c r="X3390" s="87"/>
      <x:c r="Y3390" s="87"/>
      <x:c r="Z3390" s="87"/>
      <x:c r="AA3390" s="87"/>
      <x:c r="AB3390" s="87"/>
      <x:c r="AC3390" s="87" t="str">
        <x:v>VIS-BIO-OCT-007</x:v>
      </x:c>
      <x:c r="AD3390" s="87"/>
      <x:c r="AE3390" s="87"/>
      <x:c r="AF3390" s="87" t="str">
        <x:v>VIS-BIO-OCT-007: 8</x:v>
      </x:c>
      <x:c r="AG3390" s="87" t="str">
        <x:v>RESOLVED</x:v>
      </x:c>
      <x:c r="AH3390" s="87" t="str">
        <x:v>CROP_VERIFIED</x:v>
      </x:c>
      <x:c r="AI3390" s="30"/>
      <x:c r="AJ3390" s="87" t="str">
        <x:v>master</x:v>
      </x:c>
      <x:c r="AK3390" s="87" t="str">
        <x:v>master-v0.81</x:v>
      </x:c>
      <x:c r="AL3390" s="87" t="str">
        <x:v>statgrad_master_base_v0_81_final(2).xlsx</x:v>
      </x:c>
      <x:c r="AM3390" s="87" t="str">
        <x:v>BIO_Oct_V1</x:v>
      </x:c>
      <x:c r="AN3390" s="87" t="n">
        <x:v>18</x:v>
      </x:c>
    </x:row>
    <x:row r="3391">
      <x:c r="A3391" s="87" t="n">
        <x:v>3390</x:v>
      </x:c>
      <x:c r="B3391" s="87" t="str">
        <x:v>OCT-BIO-101-018</x:v>
      </x:c>
      <x:c r="C3391" s="87" t="str">
        <x:v>СтатГрад</x:v>
      </x:c>
      <x:c r="D3391" s="87" t="str">
        <x:v>Октябрь 2025</x:v>
      </x:c>
      <x:c r="E3391" s="87"/>
      <x:c r="F3391" s="87"/>
      <x:c r="G3391" s="87" t="str">
        <x:v>Биология</x:v>
      </x:c>
      <x:c r="H3391" s="87" t="n">
        <x:v>11</x:v>
      </x:c>
      <x:c r="I3391" s="87" t="str">
        <x:v>ТР №1</x:v>
      </x:c>
      <x:c r="J3391" s="87" t="str">
        <x:v>БИ2510101</x:v>
      </x:c>
      <x:c r="K3391" s="87" t="n">
        <x:v>18</x:v>
      </x:c>
      <x:c r="L3391" s="87" t="str">
        <x:v>Краткое задание по биологии</x:v>
      </x:c>
      <x:c r="M3391" s="30" t="str">
        <x:v>Выберите три верных ответа и запишите в таблицу цифры, под которыми
     они указаны.
     Сапротрофами в природных сообществах являются
     1) гнилостные бактерии
     2) дрожжи
     3) цианобактерии
     4) паразитические растения
     5) плесневые грибы
     6) животные-детритофаги
     Ответ:</x:v>
      </x:c>
      <x:c r="N3391" s="30" t="str">
        <x:v>125</x:v>
      </x:c>
      <x:c r="O3391" s="30" t="str">
        <x:v>Ответ проверен по условию и официальным материалам.</x:v>
      </x:c>
      <x:c r="P3391" s="30" t="str">
        <x:v>Визуальный контекст связан с полной страницей JPEG.</x:v>
      </x:c>
      <x:c r="Q3391" s="30"/>
      <x:c r="R3391" s="30" t="str">
        <x:v>Официальный ключ + независимая проверка</x:v>
      </x:c>
      <x:c r="S3391" s="30"/>
      <x:c r="T3391" s="30"/>
      <x:c r="U3391" s="30" t="str">
        <x:v>Расхождений не обнаружено.</x:v>
      </x:c>
      <x:c r="V3391" s="87" t="str">
        <x:v>VERIFIED</x:v>
      </x:c>
      <x:c r="W3391" s="87" t="str">
        <x:v>tasks_b.pdf, стр. 9</x:v>
      </x:c>
      <x:c r="X3391" s="87"/>
      <x:c r="Y3391" s="87"/>
      <x:c r="Z3391" s="87"/>
      <x:c r="AA3391" s="87"/>
      <x:c r="AB3391" s="87"/>
      <x:c r="AC3391" s="87" t="str">
        <x:v>VIS-BIO-OCT-008</x:v>
      </x:c>
      <x:c r="AD3391" s="87"/>
      <x:c r="AE3391" s="87"/>
      <x:c r="AF3391" s="87" t="str">
        <x:v>VIS-BIO-OCT-008: 9</x:v>
      </x:c>
      <x:c r="AG3391" s="87" t="str">
        <x:v>RESOLVED</x:v>
      </x:c>
      <x:c r="AH3391" s="87" t="str">
        <x:v>CROP_VERIFIED</x:v>
      </x:c>
      <x:c r="AI3391" s="30"/>
      <x:c r="AJ3391" s="87" t="str">
        <x:v>master</x:v>
      </x:c>
      <x:c r="AK3391" s="87" t="str">
        <x:v>master-v0.81</x:v>
      </x:c>
      <x:c r="AL3391" s="87" t="str">
        <x:v>statgrad_master_base_v0_81_final(2).xlsx</x:v>
      </x:c>
      <x:c r="AM3391" s="87" t="str">
        <x:v>BIO_Oct_V1</x:v>
      </x:c>
      <x:c r="AN3391" s="87" t="n">
        <x:v>19</x:v>
      </x:c>
    </x:row>
    <x:row r="3392">
      <x:c r="A3392" s="87" t="n">
        <x:v>3391</x:v>
      </x:c>
      <x:c r="B3392" s="87" t="str">
        <x:v>OCT-BIO-101-019</x:v>
      </x:c>
      <x:c r="C3392" s="87" t="str">
        <x:v>СтатГрад</x:v>
      </x:c>
      <x:c r="D3392" s="87" t="str">
        <x:v>Октябрь 2025</x:v>
      </x:c>
      <x:c r="E3392" s="87"/>
      <x:c r="F3392" s="87"/>
      <x:c r="G3392" s="87" t="str">
        <x:v>Биология</x:v>
      </x:c>
      <x:c r="H3392" s="87" t="n">
        <x:v>11</x:v>
      </x:c>
      <x:c r="I3392" s="87" t="str">
        <x:v>ТР №1</x:v>
      </x:c>
      <x:c r="J3392" s="87" t="str">
        <x:v>БИ2510101</x:v>
      </x:c>
      <x:c r="K3392" s="87" t="n">
        <x:v>19</x:v>
      </x:c>
      <x:c r="L3392" s="87" t="str">
        <x:v>Краткое задание по биологии</x:v>
      </x:c>
      <x:c r="M3392" s="30" t="str">
        <x:v>Установите соответствие между адаптациями растений и абиотическими
     факторами: к каждой позиции, данной в первом столбце, подберите
     соответствующую позицию из второго столбца
                                                                АБИОТИЧЕСКИЕ
              АДАПТАЦИИ РАСТЕНИЙ
                                                                   ФАКТОРЫ
     А) суккулентный облик                                 1) низкая температура
     Б) расположение устьиц в складках листа               2) низкая влажность
     В) преобладание ненасыщенных жирных
        кислот в клеточных мембранах
     Г) антифризные вещества в клеточном соке
     Д) преобразование листьев в колючки
     Е) глубокая корневая система
     Запишите в таблицу выбранные цифры под соответствующими буквами.
                А Б В Г Д Е
     Ответ:
                                    согласия СтатГрад запрещена</x:v>
      </x:c>
      <x:c r="N3392" s="30" t="str">
        <x:v>221122</x:v>
      </x:c>
      <x:c r="O3392" s="30" t="str">
        <x:v>Ответ проверен по условию и официальным материалам.</x:v>
      </x:c>
      <x:c r="P3392" s="30" t="str">
        <x:v>Визуальный контекст связан с полной страницей JPEG.</x:v>
      </x:c>
      <x:c r="Q3392" s="30"/>
      <x:c r="R3392" s="30" t="str">
        <x:v>Официальный ключ + независимая проверка</x:v>
      </x:c>
      <x:c r="S3392" s="30"/>
      <x:c r="T3392" s="30"/>
      <x:c r="U3392" s="30" t="str">
        <x:v>Расхождений не обнаружено.</x:v>
      </x:c>
      <x:c r="V3392" s="87" t="str">
        <x:v>VERIFIED</x:v>
      </x:c>
      <x:c r="W3392" s="87" t="str">
        <x:v>tasks_b.pdf, стр. 9</x:v>
      </x:c>
      <x:c r="X3392" s="87"/>
      <x:c r="Y3392" s="87"/>
      <x:c r="Z3392" s="87"/>
      <x:c r="AA3392" s="87"/>
      <x:c r="AB3392" s="87"/>
      <x:c r="AC3392" s="87" t="str">
        <x:v>VIS-BIO-OCT-008</x:v>
      </x:c>
      <x:c r="AD3392" s="87"/>
      <x:c r="AE3392" s="87"/>
      <x:c r="AF3392" s="87" t="str">
        <x:v>VIS-BIO-OCT-008: 9</x:v>
      </x:c>
      <x:c r="AG3392" s="87" t="str">
        <x:v>RESOLVED</x:v>
      </x:c>
      <x:c r="AH3392" s="87" t="str">
        <x:v>CROP_VERIFIED</x:v>
      </x:c>
      <x:c r="AI3392" s="30"/>
      <x:c r="AJ3392" s="87" t="str">
        <x:v>master</x:v>
      </x:c>
      <x:c r="AK3392" s="87" t="str">
        <x:v>master-v0.81</x:v>
      </x:c>
      <x:c r="AL3392" s="87" t="str">
        <x:v>statgrad_master_base_v0_81_final(2).xlsx</x:v>
      </x:c>
      <x:c r="AM3392" s="87" t="str">
        <x:v>BIO_Oct_V1</x:v>
      </x:c>
      <x:c r="AN3392" s="87" t="n">
        <x:v>20</x:v>
      </x:c>
    </x:row>
    <x:row r="3393">
      <x:c r="A3393" s="87" t="n">
        <x:v>3392</x:v>
      </x:c>
      <x:c r="B3393" s="87" t="str">
        <x:v>OCT-BIO-101-020</x:v>
      </x:c>
      <x:c r="C3393" s="87" t="str">
        <x:v>СтатГрад</x:v>
      </x:c>
      <x:c r="D3393" s="87" t="str">
        <x:v>Октябрь 2025</x:v>
      </x:c>
      <x:c r="E3393" s="87"/>
      <x:c r="F3393" s="87"/>
      <x:c r="G3393" s="87" t="str">
        <x:v>Биология</x:v>
      </x:c>
      <x:c r="H3393" s="87" t="n">
        <x:v>11</x:v>
      </x:c>
      <x:c r="I3393" s="87" t="str">
        <x:v>ТР №1</x:v>
      </x:c>
      <x:c r="J3393" s="87" t="str">
        <x:v>БИ2510101</x:v>
      </x:c>
      <x:c r="K3393" s="87" t="n">
        <x:v>20</x:v>
      </x:c>
      <x:c r="L3393" s="87" t="str">
        <x:v>Краткое задание по биологии</x:v>
      </x:c>
      <x:c r="M3393" s="30" t="str">
        <x:v>Проанализируйте таблицу «Способы видообразования».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Способ
                                       Причина                           Пример
      видообразования
                               постепенное изменение
     ______________(А)                                             эволюция лошади
                                   условий среды
                                     появление
         дивергентное
                                  географических               ___________________(В)
       аллопатрическое
                                      барьеров
        дивергентное                                          лососи с разными сроками
                               __________________(Б)
       симпатрическое                                                  нереста
     Список элементов
     1) появление полиплоидных лягушек
     2) филетическое
     3) наличие разных экологических условий
     4) существование нескольких видов галапагосских вьюрков
     5) гибридогенное
     6) формирование географических барьеров
     7) появление сливы при скрещивании тёрна и алычи
     8) индуцированный мутагенез
     Запишите в таблицу выбранные цифры под соответствующими буквами.
                А Б В
     Ответ:
                                    согласия СтатГрад запрещена</x:v>
      </x:c>
      <x:c r="N3393" s="30" t="str">
        <x:v>234</x:v>
      </x:c>
      <x:c r="O3393" s="30" t="str">
        <x:v>Ответ проверен по условию и официальным материалам.</x:v>
      </x:c>
      <x:c r="P3393" s="30" t="str">
        <x:v>Визуальный контекст связан с полной страницей JPEG.</x:v>
      </x:c>
      <x:c r="Q3393" s="30"/>
      <x:c r="R3393" s="30" t="str">
        <x:v>Официальный ключ + независимая проверка</x:v>
      </x:c>
      <x:c r="S3393" s="30"/>
      <x:c r="T3393" s="30"/>
      <x:c r="U3393" s="30" t="str">
        <x:v>Расхождений не обнаружено.</x:v>
      </x:c>
      <x:c r="V3393" s="87" t="str">
        <x:v>VERIFIED</x:v>
      </x:c>
      <x:c r="W3393" s="87" t="str">
        <x:v>tasks_b.pdf, стр. 10</x:v>
      </x:c>
      <x:c r="X3393" s="87"/>
      <x:c r="Y3393" s="87"/>
      <x:c r="Z3393" s="87"/>
      <x:c r="AA3393" s="87"/>
      <x:c r="AB3393" s="87"/>
      <x:c r="AC3393" s="87" t="str">
        <x:v>VIS-BIO-OCT-009</x:v>
      </x:c>
      <x:c r="AD3393" s="87"/>
      <x:c r="AE3393" s="87"/>
      <x:c r="AF3393" s="87" t="str">
        <x:v>VIS-BIO-OCT-009: 10</x:v>
      </x:c>
      <x:c r="AG3393" s="87" t="str">
        <x:v>RESOLVED</x:v>
      </x:c>
      <x:c r="AH3393" s="87" t="str">
        <x:v>CROP_VERIFIED</x:v>
      </x:c>
      <x:c r="AI3393" s="30"/>
      <x:c r="AJ3393" s="87" t="str">
        <x:v>master</x:v>
      </x:c>
      <x:c r="AK3393" s="87" t="str">
        <x:v>master-v0.81</x:v>
      </x:c>
      <x:c r="AL3393" s="87" t="str">
        <x:v>statgrad_master_base_v0_81_final(2).xlsx</x:v>
      </x:c>
      <x:c r="AM3393" s="87" t="str">
        <x:v>BIO_Oct_V1</x:v>
      </x:c>
      <x:c r="AN3393" s="87" t="n">
        <x:v>21</x:v>
      </x:c>
    </x:row>
    <x:row r="3394">
      <x:c r="A3394" s="87" t="n">
        <x:v>3393</x:v>
      </x:c>
      <x:c r="B3394" s="87" t="str">
        <x:v>OCT-BIO-101-021</x:v>
      </x:c>
      <x:c r="C3394" s="87" t="str">
        <x:v>СтатГрад</x:v>
      </x:c>
      <x:c r="D3394" s="87" t="str">
        <x:v>Октябрь 2025</x:v>
      </x:c>
      <x:c r="E3394" s="87"/>
      <x:c r="F3394" s="87"/>
      <x:c r="G3394" s="87" t="str">
        <x:v>Биология</x:v>
      </x:c>
      <x:c r="H3394" s="87" t="n">
        <x:v>11</x:v>
      </x:c>
      <x:c r="I3394" s="87" t="str">
        <x:v>ТР №1</x:v>
      </x:c>
      <x:c r="J3394" s="87" t="str">
        <x:v>БИ2510101</x:v>
      </x:c>
      <x:c r="K3394" s="87" t="n">
        <x:v>21</x:v>
      </x:c>
      <x:c r="L3394" s="87" t="str">
        <x:v>Краткое задание по биологии</x:v>
      </x:c>
      <x:c r="M3394" s="30" t="str">
        <x:v>Проанализируйте таблицу «Содержание антигенов в различных вакцинах
     для профилактики клещевого энцефалита».
     Номер исследованной                                         Содержание антигена
                                           Доза, мл
          вакцины                                                  вируса, мкг/доза
              1                               0,25                     0,3–1,5
              2                               0,5                      0,6–3,0
              3                               0,25                       0,75
              4                               0,5                        1,5
              5                               0,25                       1,19
              6                               0,5                        2,38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Вакцины используются в концентрациях от 0,3 до 3 мкг/мл.
     2) Вакцины, имеющие более высокое содержание антигена, более
        эффективны.
     3) Самое низкое количество антигена может быть обнаружено в вакцине 1.
     4) Вакцины с дозой 0,25 мл применяются для ревакцинации после вакцин
        с дозой 0,5 мл.
     5) В вакцине 2 концентрация антигена может достигать 6 мкг/мл.
     Ответ: ___________________________.
                                    согласия СтатГрад запрещена</x:v>
      </x:c>
      <x:c r="N3394" s="30" t="str">
        <x:v>35</x:v>
      </x:c>
      <x:c r="O3394" s="30" t="str">
        <x:v>Ответ проверен по условию и официальным материалам.</x:v>
      </x:c>
      <x:c r="P3394" s="30" t="str">
        <x:v>Визуальный контекст связан с полной страницей JPEG.</x:v>
      </x:c>
      <x:c r="Q3394" s="30"/>
      <x:c r="R3394" s="30" t="str">
        <x:v>Официальный ключ + независимая проверка</x:v>
      </x:c>
      <x:c r="S3394" s="30"/>
      <x:c r="T3394" s="30"/>
      <x:c r="U3394" s="30" t="str">
        <x:v>Расхождений не обнаружено.</x:v>
      </x:c>
      <x:c r="V3394" s="87" t="str">
        <x:v>VERIFIED</x:v>
      </x:c>
      <x:c r="W3394" s="87" t="str">
        <x:v>tasks_b.pdf, стр. 11</x:v>
      </x:c>
      <x:c r="X3394" s="87"/>
      <x:c r="Y3394" s="87"/>
      <x:c r="Z3394" s="87"/>
      <x:c r="AA3394" s="87"/>
      <x:c r="AB3394" s="87"/>
      <x:c r="AC3394" s="87" t="str">
        <x:v>VIS-BIO-OCT-010</x:v>
      </x:c>
      <x:c r="AD3394" s="87"/>
      <x:c r="AE3394" s="87"/>
      <x:c r="AF3394" s="87" t="str">
        <x:v>VIS-BIO-OCT-010: 11</x:v>
      </x:c>
      <x:c r="AG3394" s="87" t="str">
        <x:v>RESOLVED</x:v>
      </x:c>
      <x:c r="AH3394" s="87" t="str">
        <x:v>CROP_VERIFIED</x:v>
      </x:c>
      <x:c r="AI3394" s="30"/>
      <x:c r="AJ3394" s="87" t="str">
        <x:v>master</x:v>
      </x:c>
      <x:c r="AK3394" s="87" t="str">
        <x:v>master-v0.81</x:v>
      </x:c>
      <x:c r="AL3394" s="87" t="str">
        <x:v>statgrad_master_base_v0_81_final(2).xlsx</x:v>
      </x:c>
      <x:c r="AM3394" s="87" t="str">
        <x:v>BIO_Oct_V1</x:v>
      </x:c>
      <x:c r="AN3394" s="87" t="n">
        <x:v>22</x:v>
      </x:c>
    </x:row>
    <x:row r="3395">
      <x:c r="A3395" s="87" t="n">
        <x:v>3394</x:v>
      </x:c>
      <x:c r="B3395" s="87" t="str">
        <x:v>OCT-BIO-101-022</x:v>
      </x:c>
      <x:c r="C3395" s="87" t="str">
        <x:v>СтатГрад</x:v>
      </x:c>
      <x:c r="D3395" s="87" t="str">
        <x:v>Октябрь 2025</x:v>
      </x:c>
      <x:c r="E3395" s="87"/>
      <x:c r="F3395" s="87"/>
      <x:c r="G3395" s="87" t="str">
        <x:v>Биология</x:v>
      </x:c>
      <x:c r="H3395" s="87" t="n">
        <x:v>11</x:v>
      </x:c>
      <x:c r="I3395" s="87" t="str">
        <x:v>ТР №1</x:v>
      </x:c>
      <x:c r="J3395" s="87" t="str">
        <x:v>БИ2510101</x:v>
      </x:c>
      <x:c r="K3395" s="87" t="n">
        <x:v>22</x:v>
      </x:c>
      <x:c r="L3395" s="87" t="str">
        <x:v>Методология эксперимента</x:v>
      </x:c>
      <x:c r="M3395" s="30" t="str">
        <x:v>Сформулируйте нулевую гипотезу* для данного исследования. Почему
     результаты эксперимента были бы недостоверными, если бы учёный
     использовал по одному растению в каждой группе?
     * Нулевая гипотеза – принимаемое по умолчанию предположение, что
     не существует связи между двумя наблюдаемыми событиями, феноменами.</x:v>
      </x:c>
      <x:c r="N3395" s="30" t="str">
        <x:v>Содержание верного ответа и указания по оцениванию
         (допускаются иные формулировки ответа, не искажающие его смысла)
                                                                                       Баллы
     Элементы ответа:
     1) стимуляторы роста не влияют на рост растений;
     2) отдельные растения могут иметь индивидуальные особенности,
     влияющие на рост их побегов и корней (на рост растения, на
     скорость роста растения);
     3) это не позволит достоверно установить, есть ли различия
     в скорости роста и развития растений в зависимости от добавления
     стимуляторов роста.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Все иные ситуации, не соответствующие правилам выставления 3,
                                                                                          0
     2 и 1 балла
                                                   Максимальный балл                      3
                                    согласия СтатГрад запрещена</x:v>
      </x:c>
      <x:c r="O3395" s="30" t="str">
        <x:v>Ответ проверен по условию и официальным материалам.</x:v>
      </x:c>
      <x:c r="P3395" s="30" t="str">
        <x:v>Визуальный контекст связан с полной страницей JPEG.</x:v>
      </x:c>
      <x:c r="Q3395" s="30"/>
      <x:c r="R3395" s="30" t="str">
        <x:v>Официальные критерии</x:v>
      </x:c>
      <x:c r="S3395" s="30"/>
      <x:c r="T3395" s="30"/>
      <x:c r="U3395" s="30" t="str">
        <x:v>Расхождений не обнаружено.</x:v>
      </x:c>
      <x:c r="V3395" s="87" t="str">
        <x:v>VERIFIED</x:v>
      </x:c>
      <x:c r="W3395" s="87" t="str">
        <x:v>tasks_b.pdf, стр. 12</x:v>
      </x:c>
      <x:c r="X3395" s="87"/>
      <x:c r="Y3395" s="87"/>
      <x:c r="Z3395" s="87"/>
      <x:c r="AA3395" s="87"/>
      <x:c r="AB3395" s="87"/>
      <x:c r="AC3395" s="87"/>
      <x:c r="AD3395" s="87"/>
      <x:c r="AE3395" s="87"/>
      <x:c r="AF3395" s="87"/>
      <x:c r="AG3395" s="87"/>
      <x:c r="AH3395" s="87"/>
      <x:c r="AI3395" s="30"/>
      <x:c r="AJ3395" s="87" t="str">
        <x:v>master</x:v>
      </x:c>
      <x:c r="AK3395" s="87" t="str">
        <x:v>master-v0.81</x:v>
      </x:c>
      <x:c r="AL3395" s="87" t="str">
        <x:v>statgrad_master_base_v0_81_final(2).xlsx</x:v>
      </x:c>
      <x:c r="AM3395" s="87" t="str">
        <x:v>BIO_Oct_V1</x:v>
      </x:c>
      <x:c r="AN3395" s="87" t="n">
        <x:v>23</x:v>
      </x:c>
    </x:row>
    <x:row r="3396">
      <x:c r="A3396" s="87" t="n">
        <x:v>3395</x:v>
      </x:c>
      <x:c r="B3396" s="87" t="str">
        <x:v>OCT-BIO-101-023</x:v>
      </x:c>
      <x:c r="C3396" s="87" t="str">
        <x:v>СтатГрад</x:v>
      </x:c>
      <x:c r="D3396" s="87" t="str">
        <x:v>Октябрь 2025</x:v>
      </x:c>
      <x:c r="E3396" s="87"/>
      <x:c r="F3396" s="87"/>
      <x:c r="G3396" s="87" t="str">
        <x:v>Биология</x:v>
      </x:c>
      <x:c r="H3396" s="87" t="n">
        <x:v>11</x:v>
      </x:c>
      <x:c r="I3396" s="87" t="str">
        <x:v>ТР №1</x:v>
      </x:c>
      <x:c r="J3396" s="87" t="str">
        <x:v>БИ2510101</x:v>
      </x:c>
      <x:c r="K3396" s="87" t="n">
        <x:v>23</x:v>
      </x:c>
      <x:c r="L3396" s="87" t="str">
        <x:v>Физиология растений</x:v>
      </x:c>
      <x:c r="M3396" s="30" t="str">
        <x:v>Эксперимент показал, что наибольший рост побегов демонстрировали
     растения, которые поливали водой с добавлением стимулятора роста корней.
     Как можно объяснить данный результат? Ответ поясните.</x:v>
      </x:c>
      <x:c r="N3396" s="30" t="str">
        <x:v>Содержание верного ответа и указания по оцениванию
         (допускаются иные формулировки ответа, не искажающие его смысла)
                                                                                       Баллы
     Элементы ответа:
     1) стимуляция роста корней даёт более мощную корневую систему;
     2) мощная корневая система позволяет лучше снабжать побеги
     минералами и водой;
     3) положительный эффект от большого поступления воды и
     минералов перевешивает эффект от стимуляции роста побегов.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Все иные ситуации, не соответствующие правилам выставления 3,
                                                                                          0
     2 и 1 балла
                                                 Максимальный балл                        3
                                    согласия СтатГрад запрещена</x:v>
      </x:c>
      <x:c r="O3396" s="30" t="str">
        <x:v>Ответ проверен по условию и официальным материалам.</x:v>
      </x:c>
      <x:c r="P3396" s="30" t="str">
        <x:v>Визуальный контекст связан с полной страницей JPEG.</x:v>
      </x:c>
      <x:c r="Q3396" s="30"/>
      <x:c r="R3396" s="30" t="str">
        <x:v>Официальные критерии</x:v>
      </x:c>
      <x:c r="S3396" s="30"/>
      <x:c r="T3396" s="30"/>
      <x:c r="U3396" s="30" t="str">
        <x:v>Расхождений не обнаружено.</x:v>
      </x:c>
      <x:c r="V3396" s="87" t="str">
        <x:v>VERIFIED</x:v>
      </x:c>
      <x:c r="W3396" s="87" t="str">
        <x:v>tasks_b.pdf, стр. 12</x:v>
      </x:c>
      <x:c r="X3396" s="87"/>
      <x:c r="Y3396" s="87"/>
      <x:c r="Z3396" s="87"/>
      <x:c r="AA3396" s="87"/>
      <x:c r="AB3396" s="87"/>
      <x:c r="AC3396" s="87"/>
      <x:c r="AD3396" s="87"/>
      <x:c r="AE3396" s="87"/>
      <x:c r="AF3396" s="87"/>
      <x:c r="AG3396" s="87"/>
      <x:c r="AH3396" s="87"/>
      <x:c r="AI3396" s="30"/>
      <x:c r="AJ3396" s="87" t="str">
        <x:v>master</x:v>
      </x:c>
      <x:c r="AK3396" s="87" t="str">
        <x:v>master-v0.81</x:v>
      </x:c>
      <x:c r="AL3396" s="87" t="str">
        <x:v>statgrad_master_base_v0_81_final(2).xlsx</x:v>
      </x:c>
      <x:c r="AM3396" s="87" t="str">
        <x:v>BIO_Oct_V1</x:v>
      </x:c>
      <x:c r="AN3396" s="87" t="n">
        <x:v>24</x:v>
      </x:c>
    </x:row>
    <x:row r="3397">
      <x:c r="A3397" s="87" t="n">
        <x:v>3396</x:v>
      </x:c>
      <x:c r="B3397" s="87" t="str">
        <x:v>OCT-BIO-101-024</x:v>
      </x:c>
      <x:c r="C3397" s="87" t="str">
        <x:v>СтатГрад</x:v>
      </x:c>
      <x:c r="D3397" s="87" t="str">
        <x:v>Октябрь 2025</x:v>
      </x:c>
      <x:c r="E3397" s="87"/>
      <x:c r="F3397" s="87"/>
      <x:c r="G3397" s="87" t="str">
        <x:v>Биология</x:v>
      </x:c>
      <x:c r="H3397" s="87" t="n">
        <x:v>11</x:v>
      </x:c>
      <x:c r="I3397" s="87" t="str">
        <x:v>ТР №1</x:v>
      </x:c>
      <x:c r="J3397" s="87" t="str">
        <x:v>БИ2510101</x:v>
      </x:c>
      <x:c r="K3397" s="87" t="n">
        <x:v>24</x:v>
      </x:c>
      <x:c r="L3397" s="87" t="str">
        <x:v>Распознавание объекта</x:v>
      </x:c>
      <x:c r="M3397" s="30" t="str">
        <x:v>Как называются структуры, изображённые на рисунке? Какую функцию
     они выполняют? Для животных какого класса они характерны?
     Предположите у каких животных, дневных или ночных, эти структуры
     развиты в наибольшей степени. Ответ поясните.
                                    согласия СтатГрад запрещена</x:v>
      </x:c>
      <x:c r="N3397" s="30" t="str">
        <x:v>Содержание верного ответа и указания по оцениванию
         (допускаются иные формулировки ответа, не искажающие его смысла)
                                                                                       Баллы
     Элементы ответа:
     1) вибриссы;
     2) осязание (содержат тактильные рецепторы);
     3) класс Млекопитающие;
     4) у ночных животных;
     5) они заменяют зрение (позволят определять расстояние в темноте).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четыре из названных выше элементов,
                                                                                          2
     которые не содержат биологических ошибок
     Ответ включает в себя три из названных выше элементов, которые
                                                                                          1
     не содержат биологических ошибок
     Все иные ситуации, не соответствующие правилам выставления 3,
     2 и 1 балла                                                                          0
     ИЛИ неверно определены структуры
                                                    Максимальный балл                     3
                                    согласия СтатГрад запрещена</x:v>
      </x:c>
      <x:c r="O3397" s="30" t="str">
        <x:v>Ответ проверен по условию и официальным материалам.</x:v>
      </x:c>
      <x:c r="P3397" s="30" t="str">
        <x:v>Визуальный контекст связан с полной страницей JPEG.</x:v>
      </x:c>
      <x:c r="Q3397" s="30"/>
      <x:c r="R3397" s="30" t="str">
        <x:v>Официальные критерии</x:v>
      </x:c>
      <x:c r="S3397" s="30"/>
      <x:c r="T3397" s="30"/>
      <x:c r="U3397" s="30" t="str">
        <x:v>Расхождений не обнаружено.</x:v>
      </x:c>
      <x:c r="V3397" s="87" t="str">
        <x:v>VERIFIED</x:v>
      </x:c>
      <x:c r="W3397" s="87" t="str">
        <x:v>tasks_b.pdf, стр. 12</x:v>
      </x:c>
      <x:c r="X3397" s="87"/>
      <x:c r="Y3397" s="87"/>
      <x:c r="Z3397" s="87"/>
      <x:c r="AA3397" s="87"/>
      <x:c r="AB3397" s="87"/>
      <x:c r="AC3397" s="87" t="str">
        <x:v>VIS-BIO-OCT-011</x:v>
      </x:c>
      <x:c r="AD3397" s="87"/>
      <x:c r="AE3397" s="87"/>
      <x:c r="AF3397" s="87" t="str">
        <x:v>VIS-BIO-OCT-011: 12</x:v>
      </x:c>
      <x:c r="AG3397" s="87" t="str">
        <x:v>RESOLVED</x:v>
      </x:c>
      <x:c r="AH3397" s="87" t="str">
        <x:v>CROP_VERIFIED; TASK_CROP_QA_APPROVED:USE_TIGHT</x:v>
      </x:c>
      <x:c r="AI3397" s="30"/>
      <x:c r="AJ3397" s="87" t="str">
        <x:v>master</x:v>
      </x:c>
      <x:c r="AK3397" s="87" t="str">
        <x:v>master-v0.81</x:v>
      </x:c>
      <x:c r="AL3397" s="87" t="str">
        <x:v>statgrad_master_base_v0_81_final(2).xlsx</x:v>
      </x:c>
      <x:c r="AM3397" s="87" t="str">
        <x:v>BIO_Oct_V1</x:v>
      </x:c>
      <x:c r="AN3397" s="87" t="n">
        <x:v>25</x:v>
      </x:c>
    </x:row>
    <x:row r="3398">
      <x:c r="A3398" s="87" t="n">
        <x:v>3397</x:v>
      </x:c>
      <x:c r="B3398" s="87" t="str">
        <x:v>OCT-BIO-101-025</x:v>
      </x:c>
      <x:c r="C3398" s="87" t="str">
        <x:v>СтатГрад</x:v>
      </x:c>
      <x:c r="D3398" s="87" t="str">
        <x:v>Октябрь 2025</x:v>
      </x:c>
      <x:c r="E3398" s="87"/>
      <x:c r="F3398" s="87"/>
      <x:c r="G3398" s="87" t="str">
        <x:v>Биология</x:v>
      </x:c>
      <x:c r="H3398" s="87" t="n">
        <x:v>11</x:v>
      </x:c>
      <x:c r="I3398" s="87" t="str">
        <x:v>ТР №1</x:v>
      </x:c>
      <x:c r="J3398" s="87" t="str">
        <x:v>БИ2510101</x:v>
      </x:c>
      <x:c r="K3398" s="87" t="n">
        <x:v>25</x:v>
      </x:c>
      <x:c r="L3398" s="87" t="str">
        <x:v>Размножение человека</x:v>
      </x:c>
      <x:c r="M3398" s="30" t="str">
        <x:v>Аптечный тест на беременность основан на распознавании в моче
     хорионического гонадотропного гормона (ХГЧ). Ориентируясь на название
     гормона, ответьте на два вопроса. В какой момент после зачатия уровень
     ХГЧ начнёт возрастать? Ответ поясните. На какой орган женщины
     воздействует данный гормон? Предположите, можно ли с помощью
     количественной оценки ХГЧ подтвердить беременность дизиготными
     близнецами. Дайте аргументированный ответ.</x:v>
      </x:c>
      <x:c r="N3398" s="30" t="str">
        <x:v>Содержание верного ответа и указания по оцениванию
         (допускаются иные формулировки ответа, не искажающие его смысла)
                                                                                      Баллы
     Элементы ответа:
     1) уровень ХГЧ начнёт возрастать после имплантации (внедрения
     эмбриона в стенку матки);
     2) в этот момент формируется хорион (начинает формироваться
     плацента), клетки которого (которой) синтезируют ХГЧ;
     3) ХГЧ воздействует на половые железы женщины (на яичники, на
     гонады);
     4) можно, так как каждый эмбрион будет производить свою
     порцию ХГЧ;
     5) чем больше эмбрионов, тем больше уровень ХГЧ.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четыре из названных выше элементов,
                                                                                          2
     которые не содержат биологических ошибок
     Ответ включает в себя три из названных выше элементов, которые
                                                                                          1
     не содержат биологических ошибок
     Все иные ситуации, не соответствующие правилам выставления 3,
                                                                                          0
     2 и 1 балла
                                                   Максимальный балл                      3
                                    согласия СтатГрад запрещена</x:v>
      </x:c>
      <x:c r="O3398" s="30" t="str">
        <x:v>Ответ проверен по условию и официальным материалам.</x:v>
      </x:c>
      <x:c r="P3398" s="30" t="str">
        <x:v>Визуальный контекст связан с полной страницей JPEG.</x:v>
      </x:c>
      <x:c r="Q3398" s="30"/>
      <x:c r="R3398" s="30" t="str">
        <x:v>Официальные критерии</x:v>
      </x:c>
      <x:c r="S3398" s="30"/>
      <x:c r="T3398" s="30"/>
      <x:c r="U3398" s="30" t="str">
        <x:v>Расхождений не обнаружено.</x:v>
      </x:c>
      <x:c r="V3398" s="87" t="str">
        <x:v>VERIFIED</x:v>
      </x:c>
      <x:c r="W3398" s="87" t="str">
        <x:v>tasks_b.pdf, стр. 13</x:v>
      </x:c>
      <x:c r="X3398" s="87"/>
      <x:c r="Y3398" s="87"/>
      <x:c r="Z3398" s="87"/>
      <x:c r="AA3398" s="87"/>
      <x:c r="AB3398" s="87"/>
      <x:c r="AC3398" s="87"/>
      <x:c r="AD3398" s="87"/>
      <x:c r="AE3398" s="87"/>
      <x:c r="AF3398" s="87"/>
      <x:c r="AG3398" s="87"/>
      <x:c r="AH3398" s="87"/>
      <x:c r="AI3398" s="30"/>
      <x:c r="AJ3398" s="87" t="str">
        <x:v>master</x:v>
      </x:c>
      <x:c r="AK3398" s="87" t="str">
        <x:v>master-v0.81</x:v>
      </x:c>
      <x:c r="AL3398" s="87" t="str">
        <x:v>statgrad_master_base_v0_81_final(2).xlsx</x:v>
      </x:c>
      <x:c r="AM3398" s="87" t="str">
        <x:v>BIO_Oct_V1</x:v>
      </x:c>
      <x:c r="AN3398" s="87" t="n">
        <x:v>26</x:v>
      </x:c>
    </x:row>
    <x:row r="3399">
      <x:c r="A3399" s="87" t="n">
        <x:v>3398</x:v>
      </x:c>
      <x:c r="B3399" s="87" t="str">
        <x:v>OCT-BIO-101-026</x:v>
      </x:c>
      <x:c r="C3399" s="87" t="str">
        <x:v>СтатГрад</x:v>
      </x:c>
      <x:c r="D3399" s="87" t="str">
        <x:v>Октябрь 2025</x:v>
      </x:c>
      <x:c r="E3399" s="87"/>
      <x:c r="F3399" s="87"/>
      <x:c r="G3399" s="87" t="str">
        <x:v>Биология</x:v>
      </x:c>
      <x:c r="H3399" s="87" t="n">
        <x:v>11</x:v>
      </x:c>
      <x:c r="I3399" s="87" t="str">
        <x:v>ТР №1</x:v>
      </x:c>
      <x:c r="J3399" s="87" t="str">
        <x:v>БИ2510101</x:v>
      </x:c>
      <x:c r="K3399" s="87" t="n">
        <x:v>26</x:v>
      </x:c>
      <x:c r="L3399" s="87" t="str">
        <x:v>Зоология паразитов</x:v>
      </x:c>
      <x:c r="M3399" s="30" t="str">
        <x:v>Гусеничный гриб (Cordyceps militaris) развивается на насекомых, особенно
     часто на личинках бабочек и мотыльков. Гриб выделяет вещества, которые
     влияют на поведение гусениц, заставляя их переедать. Когда насекомое
     окукливается, гриб начинает формировать плодовые тела. Какие отношения
     возникают между гусеницей и грибом? С какой целью гриб провоцирует
     гусеницу к перееданию? Назовите две причины и объясните значение
     для гриба каждой из них.</x:v>
      </x:c>
      <x:c r="N3399" s="30" t="str">
        <x:v>Содержание верного ответа и указания по оцениванию
         (допускаются иные формулировки ответа, не искажающие его смысла)
                                                                                       Баллы
     Элементы ответа:
     1) паразитизм;
     2) гриб заставляет гусеницу переедать, чтобы она накопила больше
     питательных веществ;
     3) за счёт накопленных веществ происходит питание гриба (рост
     мицелия, формирование плодовых тел);
     4) гриб вынуждает гусеницу переедать, чтобы она быстрее
     превратиться в куколку;
     5) превращение в куколку снижает риск гибели гусеницы
     (увеличивает вероятность того, что гриб сможет образовать
     плодовые тела и споры).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четыре из названных выше элементов,
                                                                                          2
     которые не содержат биологических ошибок
     Ответ включает в себя три из названных выше элементов, которые
                                                                                          1
     не содержат биологических ошибок
     Все иные ситуации, не соответствующие правилам выставления 3,
                                                                                          0
     2 и 1 балла
                                                   Максимальный балл                      3
                                    согласия СтатГрад запрещена</x:v>
      </x:c>
      <x:c r="O3399" s="30" t="str">
        <x:v>Ответ проверен по условию и официальным материалам.</x:v>
      </x:c>
      <x:c r="P3399" s="30" t="str">
        <x:v>Визуальный контекст связан с полной страницей JPEG.</x:v>
      </x:c>
      <x:c r="Q3399" s="30"/>
      <x:c r="R3399" s="30" t="str">
        <x:v>Официальные критерии</x:v>
      </x:c>
      <x:c r="S3399" s="30"/>
      <x:c r="T3399" s="30"/>
      <x:c r="U3399" s="30" t="str">
        <x:v>Расхождений не обнаружено.</x:v>
      </x:c>
      <x:c r="V3399" s="87" t="str">
        <x:v>VERIFIED</x:v>
      </x:c>
      <x:c r="W3399" s="87" t="str">
        <x:v>tasks_b.pdf, стр. 13</x:v>
      </x:c>
      <x:c r="X3399" s="87"/>
      <x:c r="Y3399" s="87"/>
      <x:c r="Z3399" s="87"/>
      <x:c r="AA3399" s="87"/>
      <x:c r="AB3399" s="87"/>
      <x:c r="AC3399" s="87"/>
      <x:c r="AD3399" s="87"/>
      <x:c r="AE3399" s="87"/>
      <x:c r="AF3399" s="87"/>
      <x:c r="AG3399" s="87"/>
      <x:c r="AH3399" s="87"/>
      <x:c r="AI3399" s="30"/>
      <x:c r="AJ3399" s="87" t="str">
        <x:v>master</x:v>
      </x:c>
      <x:c r="AK3399" s="87" t="str">
        <x:v>master-v0.81</x:v>
      </x:c>
      <x:c r="AL3399" s="87" t="str">
        <x:v>statgrad_master_base_v0_81_final(2).xlsx</x:v>
      </x:c>
      <x:c r="AM3399" s="87" t="str">
        <x:v>BIO_Oct_V1</x:v>
      </x:c>
      <x:c r="AN3399" s="87" t="n">
        <x:v>27</x:v>
      </x:c>
    </x:row>
    <x:row r="3400">
      <x:c r="A3400" s="87" t="n">
        <x:v>3399</x:v>
      </x:c>
      <x:c r="B3400" s="87" t="str">
        <x:v>OCT-BIO-101-027</x:v>
      </x:c>
      <x:c r="C3400" s="87" t="str">
        <x:v>СтатГрад</x:v>
      </x:c>
      <x:c r="D3400" s="87" t="str">
        <x:v>Октябрь 2025</x:v>
      </x:c>
      <x:c r="E3400" s="87"/>
      <x:c r="F3400" s="87"/>
      <x:c r="G3400" s="87" t="str">
        <x:v>Биология</x:v>
      </x:c>
      <x:c r="H3400" s="87" t="n">
        <x:v>11</x:v>
      </x:c>
      <x:c r="I3400" s="87" t="str">
        <x:v>ТР №1</x:v>
      </x:c>
      <x:c r="J3400" s="87" t="str">
        <x:v>БИ2510101</x:v>
      </x:c>
      <x:c r="K3400" s="87" t="n">
        <x:v>27</x:v>
      </x:c>
      <x:c r="L3400" s="87" t="str">
        <x:v>Генетическая задача</x:v>
      </x:c>
      <x:c r="M3400" s="30" t="str">
        <x:v>Известно, что комплементарные цепи нуклеиновых кислот антипараллельны
     (5' концу в одной цепи соответствует 3' конец другой цепи). Синтез
     нуклеиновых кислот начинается с 5' конца. Рибосома движется по иРНК
     в направлении от 5' к 3' концу. Молекулы тРНК, несущие соответствующие
     антикодоны, входят в рибосому в следующем порядке (антикодоны указаны
     в направлении от 5’ к 3’ концу):
                            ЦАГ, ГАУ, УАЦ, ГЦУ, ГУА
     Определите последовательность смысловой и транскрибируемой цепей ДНК,
     иРНК и аминокислот в молекуле синтезируемого фрагмента белка.
     Ответ поясните. Для решения задания используйте таблицу генетического
     кода. При написании последовательностей нуклеиновых кислот указывайте
     направление цепи.
                                    согласия СтатГрад запрещена</x:v>
      </x:c>
      <x:c r="N3400" s="30" t="str">
        <x:v>Содержание верного ответа и указания по оцениванию
         (правильный ответ должен содержать следующие позиции)
                                                                                  Баллы
Схема решения задачи включает:
1) нуклеотидная последовательность участка иРНК:
5’-ЦУГАУЦГУААГЦУАЦ-3’;
2) по таблице генетического кода находим последовательность
фрагмента полипептида:
лей-иле-вал-сер-тир;
3) по иРНК определяем участок молекулы ДНК:
5’-ЦТГАТЦГТААГЦТАЦ-3’
3’-ГАЦТАГЦАТТЦГАТГ-5’;
4) верхняя цепь молекулы ДНК смысловая (нижняя –
транскрибируемая).
При написании нуклеиновых кислот обязательно должны быть
указаны концы. Для молекулы ДНК должны быть указаны
последовательности обеих цепей.
Если подписаны цепи ДНК, то четвёртый элемент ответа
считать верным
Ответ включает в себя все названные выше элементы и не
                                                                                     3
содержит биологических ошибок
Ответ включает в себя три из названных выше элементов, которые
                                                                                     2
не содержат биологических ошибок
Ответ включает в себя два из названных выше элементов, который
                                                                                     1
не содержит биологических ошибок
Ответ неправильный                                                                   0
                                             Максимальный балл                       3
                               согласия СтатГрад запрещена</x:v>
      </x:c>
      <x:c r="O3400" s="30" t="str">
        <x:v>Ответ проверен по условию и официальным материалам.</x:v>
      </x:c>
      <x:c r="P3400" s="30" t="str">
        <x:v>Визуальный контекст связан с полной страницей JPEG.</x:v>
      </x:c>
      <x:c r="Q3400" s="30"/>
      <x:c r="R3400" s="30" t="str">
        <x:v>Официальные критерии</x:v>
      </x:c>
      <x:c r="S3400" s="30"/>
      <x:c r="T3400" s="30"/>
      <x:c r="U3400" s="30" t="str">
        <x:v>Расхождений не обнаружено.</x:v>
      </x:c>
      <x:c r="V3400" s="87" t="str">
        <x:v>VERIFIED</x:v>
      </x:c>
      <x:c r="W3400" s="87" t="str">
        <x:v>tasks_b.pdf, стр. 13</x:v>
      </x:c>
      <x:c r="X3400" s="87"/>
      <x:c r="Y3400" s="87"/>
      <x:c r="Z3400" s="87"/>
      <x:c r="AA3400" s="87"/>
      <x:c r="AB3400" s="87"/>
      <x:c r="AC3400" s="87"/>
      <x:c r="AD3400" s="87"/>
      <x:c r="AE3400" s="87"/>
      <x:c r="AF3400" s="87"/>
      <x:c r="AG3400" s="87"/>
      <x:c r="AH3400" s="87"/>
      <x:c r="AI3400" s="30"/>
      <x:c r="AJ3400" s="87" t="str">
        <x:v>master</x:v>
      </x:c>
      <x:c r="AK3400" s="87" t="str">
        <x:v>master-v0.81</x:v>
      </x:c>
      <x:c r="AL3400" s="87" t="str">
        <x:v>statgrad_master_base_v0_81_final(2).xlsx</x:v>
      </x:c>
      <x:c r="AM3400" s="87" t="str">
        <x:v>BIO_Oct_V1</x:v>
      </x:c>
      <x:c r="AN3400" s="87" t="n">
        <x:v>28</x:v>
      </x:c>
    </x:row>
    <x:row r="3401">
      <x:c r="A3401" s="87" t="n">
        <x:v>3400</x:v>
      </x:c>
      <x:c r="B3401" s="87" t="str">
        <x:v>OCT-BIO-101-028</x:v>
      </x:c>
      <x:c r="C3401" s="87" t="str">
        <x:v>СтатГрад</x:v>
      </x:c>
      <x:c r="D3401" s="87" t="str">
        <x:v>Октябрь 2025</x:v>
      </x:c>
      <x:c r="E3401" s="87"/>
      <x:c r="F3401" s="87"/>
      <x:c r="G3401" s="87" t="str">
        <x:v>Биология</x:v>
      </x:c>
      <x:c r="H3401" s="87" t="n">
        <x:v>11</x:v>
      </x:c>
      <x:c r="I3401" s="87" t="str">
        <x:v>ТР №1</x:v>
      </x:c>
      <x:c r="J3401" s="87" t="str">
        <x:v>БИ2510101</x:v>
      </x:c>
      <x:c r="K3401" s="87" t="n">
        <x:v>28</x:v>
      </x:c>
      <x:c r="L3401" s="87" t="str">
        <x:v>Генетическая задача</x:v>
      </x:c>
      <x:c r="M3401" s="30" t="str">
        <x:v>На X- и Y-хромосомах человека существуют псевдоаутосомные участки,
     содержащие аллели одного гена, между которыми может происходить
     кроссинговер. Один из таких генов вызывает скелетную дисплазию.
     Женщина с нормальным развитием скелета и дальтонизмом вышла замуж
     за гетерозиготного мужчину со скелетной дисплазией. Его мать была
     гомозиготна по аллелю нормального развития скелета. Родившаяся в этом
     браке дочь со скелетной дисплазией вышла замуж за здорового мужчину.
     Определите генотипы родителей и генотипы, фенотипы, пол возможного
     потомства. Возможно ли рождение во втором браке ребёнка дальтоника
     с нормальным развитием скелета? Ответ поясните.
                                    согласия СтатГрад запрещена</x:v>
      </x:c>
      <x:c r="N3401" s="30" t="str">
        <x:v>Содержание верного ответа и указания по оцениванию
                                                                      Баллы
             (правильный ответ должен содержать следующие позиции)
     Схема решения задачи включает:
     1) P ♀ ХadХad                   ×       ♂ XaDYA
     G Хad                                 XaD, XAD, YA, Ya
     F1
     генотипы, фенотипы возможных дочерей:
     ХadXaD – нормальное развитие скелета, нормальное цветовое
     зрение;
     ХadXAD – скелетная дисплазия, нормальное цветовое зрение;
     генотипы, фенотипы возможных сыновей:
     ХadYA – скелетная дисплазия, дальтонизм;
     ХadYa – нормальное развитие скелета, дальтонизм;
     2) ♀ ХadXAD                    ×       ♂ ХaDYa
     G Хad, XAD, XaD, XAd                      ХaD, Ya
     F2
     генотипы, фенотипы возможных дочерей:
     ХadХaD – нормальное развитие скелета, нормальное цветовое
     зрение;
     XADХaD – скелетная дисплазия, нормальное цветовое зрение;
     XaDХaD – нормальное развитие скелета, нормальное цветовое
     зрение;
     XAdХaD – скелетная дисплазия, нормальное цветовое зрение;
     генотипы, фенотипы возможных сыновей:
     ХadYa – нормальное развитие скелета, дальтонизм;
     XADYa – скелетная дисплазия, нормальное цветовое зрение;
     XaDYa – нормальное развитие скелета, нормальное цветовое зрение;
     XAdYa – скелетная дисплазия, дальтонизм;
     3) во втором браке возможно рождение сына с нормальным
     развитием скелета и дальтонизмом (XadYa). В генотипе этого
     ребёнка находятся материнская Хad-хромосома и отцовская Ya-
     хромосома.
     (Допускается генетическая символика изображения сцепленных
                                    согласия СтатГрад запрещена
генов в виде
               А      B        А B           A       A
                                                             B
                           ,         ИЛИ                 ,
                  A    B       А             B       B       A   A,
ИЛИ X X , X Y , ИЛИ X X , X Y .)
        AB   AB       AB   A         A
                                     B
                                         A
                                         B
                                             A
                                             B
                                                 A
Элементы 1 и 2 засчитываются только при наличии и генотипов,
и фенотипов, и пола всех возможных потомков.
Ответ «здоров» или «норма» считать верным
Ответ включает в себя все названные выше элементы и не
                                                                                     3
содержит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Ответ неправильный                                                                   0
                                            Максимальный балл                        3
                               согласия СтатГрад запрещена</x:v>
      </x:c>
      <x:c r="O3401" s="30" t="str">
        <x:v>Ответ проверен по условию и официальным материалам.</x:v>
      </x:c>
      <x:c r="P3401" s="30" t="str">
        <x:v>Визуальный контекст связан с полной страницей JPEG.</x:v>
      </x:c>
      <x:c r="Q3401" s="30"/>
      <x:c r="R3401" s="30" t="str">
        <x:v>Официальные критерии</x:v>
      </x:c>
      <x:c r="S3401" s="30"/>
      <x:c r="T3401" s="30"/>
      <x:c r="U3401" s="30" t="str">
        <x:v>Расхождений не обнаружено.</x:v>
      </x:c>
      <x:c r="V3401" s="87" t="str">
        <x:v>VERIFIED</x:v>
      </x:c>
      <x:c r="W3401" s="87" t="str">
        <x:v>tasks_b.pdf, стр. 14</x:v>
      </x:c>
      <x:c r="X3401" s="87"/>
      <x:c r="Y3401" s="87"/>
      <x:c r="Z3401" s="87"/>
      <x:c r="AA3401" s="87"/>
      <x:c r="AB3401" s="87"/>
      <x:c r="AC3401" s="87" t="str">
        <x:v>VIS-BIO-OCT-012</x:v>
      </x:c>
      <x:c r="AD3401" s="87"/>
      <x:c r="AE3401" s="87"/>
      <x:c r="AF3401" s="87" t="str">
        <x:v>VIS-BIO-OCT-012: 14</x:v>
      </x:c>
      <x:c r="AG3401" s="87" t="str">
        <x:v>RESOLVED</x:v>
      </x:c>
      <x:c r="AH3401" s="87" t="str">
        <x:v>CROP_VERIFIED</x:v>
      </x:c>
      <x:c r="AI3401" s="30"/>
      <x:c r="AJ3401" s="87" t="str">
        <x:v>master</x:v>
      </x:c>
      <x:c r="AK3401" s="87" t="str">
        <x:v>master-v0.81</x:v>
      </x:c>
      <x:c r="AL3401" s="87" t="str">
        <x:v>statgrad_master_base_v0_81_final(2).xlsx</x:v>
      </x:c>
      <x:c r="AM3401" s="87" t="str">
        <x:v>BIO_Oct_V1</x:v>
      </x:c>
      <x:c r="AN3401" s="87" t="n">
        <x:v>29</x:v>
      </x:c>
    </x:row>
    <x:row r="3402">
      <x:c r="A3402" s="87" t="n">
        <x:v>3401</x:v>
      </x:c>
      <x:c r="B3402" s="87" t="str">
        <x:v>OCT-BIO-102-001</x:v>
      </x:c>
      <x:c r="C3402" s="87" t="str">
        <x:v>СтатГрад</x:v>
      </x:c>
      <x:c r="D3402" s="87" t="str">
        <x:v>Октябрь 2025</x:v>
      </x:c>
      <x:c r="E3402" s="87"/>
      <x:c r="F3402" s="87"/>
      <x:c r="G3402" s="87" t="str">
        <x:v>Биология</x:v>
      </x:c>
      <x:c r="H3402" s="87" t="n">
        <x:v>11</x:v>
      </x:c>
      <x:c r="I3402" s="87" t="str">
        <x:v>ТР №1</x:v>
      </x:c>
      <x:c r="J3402" s="87" t="str">
        <x:v>БИ2510102</x:v>
      </x:c>
      <x:c r="K3402" s="87" t="n">
        <x:v>1</x:v>
      </x:c>
      <x:c r="L3402" s="87" t="str">
        <x:v>Биологические науки и методы</x:v>
      </x:c>
      <x:c r="M3402" s="30" t="str">
        <x:v>Рассмотрите таблицу «Биология – комплексная наука». Запишите в ответе
    пропущенный термин, обозначенный в таблице вопросительным знаком.
       Раздел биологии                             Предмет изучения
          энтомология
                ?
    Ответ: ___________________________.</x:v>
      </x:c>
      <x:c r="N3402" s="30" t="str">
        <x:v>палеонтология</x:v>
      </x:c>
      <x:c r="O3402" s="30" t="str">
        <x:v>Ответ проверен по условию и официальным материалам.</x:v>
      </x:c>
      <x:c r="P3402" s="30" t="str">
        <x:v>Визуальный контекст связан с полной страницей JPEG.</x:v>
      </x:c>
      <x:c r="Q3402" s="30"/>
      <x:c r="R3402" s="30" t="str">
        <x:v>Официальный ключ + независимая проверка</x:v>
      </x:c>
      <x:c r="S3402" s="30"/>
      <x:c r="T3402" s="30"/>
      <x:c r="U3402" s="30" t="str">
        <x:v>Расхождений не обнаружено.</x:v>
      </x:c>
      <x:c r="V3402" s="87" t="str">
        <x:v>VERIFIED</x:v>
      </x:c>
      <x:c r="W3402" s="87" t="str">
        <x:v>tasks_b.pdf, стр. 16</x:v>
      </x:c>
      <x:c r="X3402" s="87"/>
      <x:c r="Y3402" s="87"/>
      <x:c r="Z3402" s="87"/>
      <x:c r="AA3402" s="87"/>
      <x:c r="AB3402" s="87"/>
      <x:c r="AC3402" s="87" t="str">
        <x:v>VIS-BIO-OCT-013</x:v>
      </x:c>
      <x:c r="AD3402" s="87"/>
      <x:c r="AE3402" s="87"/>
      <x:c r="AF3402" s="87" t="str">
        <x:v>VIS-BIO-OCT-013: 16</x:v>
      </x:c>
      <x:c r="AG3402" s="87" t="str">
        <x:v>RESOLVED</x:v>
      </x:c>
      <x:c r="AH3402" s="87" t="str">
        <x:v>CROP_VERIFIED</x:v>
      </x:c>
      <x:c r="AI3402" s="30"/>
      <x:c r="AJ3402" s="87" t="str">
        <x:v>master</x:v>
      </x:c>
      <x:c r="AK3402" s="87" t="str">
        <x:v>master-v0.81</x:v>
      </x:c>
      <x:c r="AL3402" s="87" t="str">
        <x:v>statgrad_master_base_v0_81_final(2).xlsx</x:v>
      </x:c>
      <x:c r="AM3402" s="87" t="str">
        <x:v>BIO_Oct_V2</x:v>
      </x:c>
      <x:c r="AN3402" s="87" t="n">
        <x:v>2</x:v>
      </x:c>
    </x:row>
    <x:row r="3403">
      <x:c r="A3403" s="87" t="n">
        <x:v>3402</x:v>
      </x:c>
      <x:c r="B3403" s="87" t="str">
        <x:v>OCT-BIO-102-002</x:v>
      </x:c>
      <x:c r="C3403" s="87" t="str">
        <x:v>СтатГрад</x:v>
      </x:c>
      <x:c r="D3403" s="87" t="str">
        <x:v>Октябрь 2025</x:v>
      </x:c>
      <x:c r="E3403" s="87"/>
      <x:c r="F3403" s="87"/>
      <x:c r="G3403" s="87" t="str">
        <x:v>Биология</x:v>
      </x:c>
      <x:c r="H3403" s="87" t="n">
        <x:v>11</x:v>
      </x:c>
      <x:c r="I3403" s="87" t="str">
        <x:v>ТР №1</x:v>
      </x:c>
      <x:c r="J3403" s="87" t="str">
        <x:v>БИ2510102</x:v>
      </x:c>
      <x:c r="K3403" s="87" t="n">
        <x:v>2</x:v>
      </x:c>
      <x:c r="L3403" s="87" t="str">
        <x:v>Краткое задание по биологии</x:v>
      </x:c>
      <x:c r="M3403" s="30" t="str">
        <x:v>Экспериментатор внёс фермент лактазу в среду с молоком, поместил
    в термостат с температурой 30 Со и решил через 30 минут измерить
    содержание веществ в среде. Как при этом изменится количество
    аминокислот и моносахаридов в среде?
    Для каждой величины определите соответствующий характер её изменения:
          1) увеличится
          2) уменьшится
          3) не изменится
    Запишите в таблицу выбранные цифры для каждой величины. Цифры
    в ответе могут повторяться.
          Количество аминокислот                      Количество моносахаридов
                                   согласия СтатГрад запрещена</x:v>
      </x:c>
      <x:c r="N3403" s="30" t="str">
        <x:v>31</x:v>
      </x:c>
      <x:c r="O3403" s="30" t="str">
        <x:v>Ответ проверен по условию и официальным материалам.</x:v>
      </x:c>
      <x:c r="P3403" s="30" t="str">
        <x:v>Визуальный контекст связан с полной страницей JPEG.</x:v>
      </x:c>
      <x:c r="Q3403" s="30"/>
      <x:c r="R3403" s="30" t="str">
        <x:v>Архивный фото-ключ + независимая проверка</x:v>
      </x:c>
      <x:c r="S3403" s="30"/>
      <x:c r="T3403" s="30"/>
      <x:c r="U3403" s="30" t="str">
        <x:v>Расхождений не обнаружено.</x:v>
      </x:c>
      <x:c r="V3403" s="87" t="str">
        <x:v>VERIFIED</x:v>
      </x:c>
      <x:c r="W3403" s="87" t="str">
        <x:v>tasks_b.pdf, стр. 16</x:v>
      </x:c>
      <x:c r="X3403" s="87"/>
      <x:c r="Y3403" s="87"/>
      <x:c r="Z3403" s="87"/>
      <x:c r="AA3403" s="87"/>
      <x:c r="AB3403" s="87"/>
      <x:c r="AC3403" s="87" t="str">
        <x:v>VIS-BIO-OCT-013</x:v>
      </x:c>
      <x:c r="AD3403" s="87"/>
      <x:c r="AE3403" s="87"/>
      <x:c r="AF3403" s="87" t="str">
        <x:v>VIS-BIO-OCT-013: 16</x:v>
      </x:c>
      <x:c r="AG3403" s="87" t="str">
        <x:v>RESOLVED</x:v>
      </x:c>
      <x:c r="AH3403" s="87" t="str">
        <x:v>CROP_VERIFIED</x:v>
      </x:c>
      <x:c r="AI3403" s="30"/>
      <x:c r="AJ3403" s="87" t="str">
        <x:v>master</x:v>
      </x:c>
      <x:c r="AK3403" s="87" t="str">
        <x:v>master-v0.81</x:v>
      </x:c>
      <x:c r="AL3403" s="87" t="str">
        <x:v>statgrad_master_base_v0_81_final(2).xlsx</x:v>
      </x:c>
      <x:c r="AM3403" s="87" t="str">
        <x:v>BIO_Oct_V2</x:v>
      </x:c>
      <x:c r="AN3403" s="87" t="n">
        <x:v>3</x:v>
      </x:c>
    </x:row>
    <x:row r="3404">
      <x:c r="A3404" s="87" t="n">
        <x:v>3403</x:v>
      </x:c>
      <x:c r="B3404" s="87" t="str">
        <x:v>OCT-BIO-102-003</x:v>
      </x:c>
      <x:c r="C3404" s="87" t="str">
        <x:v>СтатГрад</x:v>
      </x:c>
      <x:c r="D3404" s="87" t="str">
        <x:v>Октябрь 2025</x:v>
      </x:c>
      <x:c r="E3404" s="87"/>
      <x:c r="F3404" s="87"/>
      <x:c r="G3404" s="87" t="str">
        <x:v>Биология</x:v>
      </x:c>
      <x:c r="H3404" s="87" t="n">
        <x:v>11</x:v>
      </x:c>
      <x:c r="I3404" s="87" t="str">
        <x:v>ТР №1</x:v>
      </x:c>
      <x:c r="J3404" s="87" t="str">
        <x:v>БИ2510102</x:v>
      </x:c>
      <x:c r="K3404" s="87" t="n">
        <x:v>3</x:v>
      </x:c>
      <x:c r="L3404" s="87" t="str">
        <x:v>Краткое задание по биологии</x:v>
      </x:c>
      <x:c r="M3404" s="30" t="str">
        <x:v>В экосистеме степи степной орёл является консументом второго порядка.
    Используя правило 10 %, рассчитайте количество энергии, перешедшее
    на уровень степного орла, если первичная годовая продукция экосистемы
    составила 320 000 кДж. В ответе запишите только соответствующее число.
    Ответ: ___________________________.</x:v>
      </x:c>
      <x:c r="N3404" s="30" t="str">
        <x:v>3200</x:v>
      </x:c>
      <x:c r="O3404" s="30" t="str">
        <x:v>Ответ проверен по условию и официальным материалам.</x:v>
      </x:c>
      <x:c r="P3404" s="30" t="str">
        <x:v>Визуальный контекст связан с полной страницей JPEG.</x:v>
      </x:c>
      <x:c r="Q3404" s="30"/>
      <x:c r="R3404" s="30" t="str">
        <x:v>Архивный фото-ключ + независимая проверка</x:v>
      </x:c>
      <x:c r="S3404" s="30"/>
      <x:c r="T3404" s="30"/>
      <x:c r="U3404" s="30" t="str">
        <x:v>Расхождений не обнаружено.</x:v>
      </x:c>
      <x:c r="V3404" s="87" t="str">
        <x:v>VERIFIED</x:v>
      </x:c>
      <x:c r="W3404" s="87" t="str">
        <x:v>tasks_b.pdf, стр. 17</x:v>
      </x:c>
      <x:c r="X3404" s="87"/>
      <x:c r="Y3404" s="87"/>
      <x:c r="Z3404" s="87"/>
      <x:c r="AA3404" s="87"/>
      <x:c r="AB3404" s="87"/>
      <x:c r="AC3404" s="87" t="str">
        <x:v>VIS-BIO-OCT-014</x:v>
      </x:c>
      <x:c r="AD3404" s="87"/>
      <x:c r="AE3404" s="87"/>
      <x:c r="AF3404" s="87" t="str">
        <x:v>VIS-BIO-OCT-014: 17</x:v>
      </x:c>
      <x:c r="AG3404" s="87" t="str">
        <x:v>RESOLVED</x:v>
      </x:c>
      <x:c r="AH3404" s="87" t="str">
        <x:v>CROP_VERIFIED</x:v>
      </x:c>
      <x:c r="AI3404" s="30"/>
      <x:c r="AJ3404" s="87" t="str">
        <x:v>master</x:v>
      </x:c>
      <x:c r="AK3404" s="87" t="str">
        <x:v>master-v0.81</x:v>
      </x:c>
      <x:c r="AL3404" s="87" t="str">
        <x:v>statgrad_master_base_v0_81_final(2).xlsx</x:v>
      </x:c>
      <x:c r="AM3404" s="87" t="str">
        <x:v>BIO_Oct_V2</x:v>
      </x:c>
      <x:c r="AN3404" s="87" t="n">
        <x:v>4</x:v>
      </x:c>
    </x:row>
    <x:row r="3405">
      <x:c r="A3405" s="87" t="n">
        <x:v>3404</x:v>
      </x:c>
      <x:c r="B3405" s="87" t="str">
        <x:v>OCT-BIO-102-004</x:v>
      </x:c>
      <x:c r="C3405" s="87" t="str">
        <x:v>СтатГрад</x:v>
      </x:c>
      <x:c r="D3405" s="87" t="str">
        <x:v>Октябрь 2025</x:v>
      </x:c>
      <x:c r="E3405" s="87"/>
      <x:c r="F3405" s="87"/>
      <x:c r="G3405" s="87" t="str">
        <x:v>Биология</x:v>
      </x:c>
      <x:c r="H3405" s="87" t="n">
        <x:v>11</x:v>
      </x:c>
      <x:c r="I3405" s="87" t="str">
        <x:v>ТР №1</x:v>
      </x:c>
      <x:c r="J3405" s="87" t="str">
        <x:v>БИ2510102</x:v>
      </x:c>
      <x:c r="K3405" s="87" t="n">
        <x:v>4</x:v>
      </x:c>
      <x:c r="L3405" s="87" t="str">
        <x:v>Краткое задание по биологии</x:v>
      </x:c>
      <x:c r="M3405" s="30" t="str">
        <x:v>Какова вероятность (в долях) появления в потомстве особей с промежу-
    точным фенотипом при самоопылении гетерозиготного растения
    при неполном доминировании? Ответ запишите в виде числа.
    Ответ: ___________________________.
                                   согласия СтатГрад запрещена</x:v>
      </x:c>
      <x:c r="N3405" s="30" t="str">
        <x:v>0,5</x:v>
      </x:c>
      <x:c r="O3405" s="30" t="str">
        <x:v>Ответ проверен по условию и официальным материалам.</x:v>
      </x:c>
      <x:c r="P3405" s="30" t="str">
        <x:v>Визуальный контекст связан с полной страницей JPEG.</x:v>
      </x:c>
      <x:c r="Q3405" s="30"/>
      <x:c r="R3405" s="30" t="str">
        <x:v>Архивный фото-ключ + независимая проверка</x:v>
      </x:c>
      <x:c r="S3405" s="30"/>
      <x:c r="T3405" s="30"/>
      <x:c r="U3405" s="30" t="str">
        <x:v>Расхождений не обнаружено.</x:v>
      </x:c>
      <x:c r="V3405" s="87" t="str">
        <x:v>VERIFIED</x:v>
      </x:c>
      <x:c r="W3405" s="87" t="str">
        <x:v>tasks_b.pdf, стр. 17</x:v>
      </x:c>
      <x:c r="X3405" s="87"/>
      <x:c r="Y3405" s="87"/>
      <x:c r="Z3405" s="87"/>
      <x:c r="AA3405" s="87"/>
      <x:c r="AB3405" s="87"/>
      <x:c r="AC3405" s="87" t="str">
        <x:v>VIS-BIO-OCT-014</x:v>
      </x:c>
      <x:c r="AD3405" s="87"/>
      <x:c r="AE3405" s="87"/>
      <x:c r="AF3405" s="87" t="str">
        <x:v>VIS-BIO-OCT-014: 17</x:v>
      </x:c>
      <x:c r="AG3405" s="87" t="str">
        <x:v>RESOLVED</x:v>
      </x:c>
      <x:c r="AH3405" s="87" t="str">
        <x:v>CROP_VERIFIED</x:v>
      </x:c>
      <x:c r="AI3405" s="30"/>
      <x:c r="AJ3405" s="87" t="str">
        <x:v>master</x:v>
      </x:c>
      <x:c r="AK3405" s="87" t="str">
        <x:v>master-v0.81</x:v>
      </x:c>
      <x:c r="AL3405" s="87" t="str">
        <x:v>statgrad_master_base_v0_81_final(2).xlsx</x:v>
      </x:c>
      <x:c r="AM3405" s="87" t="str">
        <x:v>BIO_Oct_V2</x:v>
      </x:c>
      <x:c r="AN3405" s="87" t="n">
        <x:v>5</x:v>
      </x:c>
    </x:row>
    <x:row r="3406">
      <x:c r="A3406" s="87" t="n">
        <x:v>3405</x:v>
      </x:c>
      <x:c r="B3406" s="87" t="str">
        <x:v>OCT-BIO-102-005</x:v>
      </x:c>
      <x:c r="C3406" s="87" t="str">
        <x:v>СтатГрад</x:v>
      </x:c>
      <x:c r="D3406" s="87" t="str">
        <x:v>Октябрь 2025</x:v>
      </x:c>
      <x:c r="E3406" s="87"/>
      <x:c r="F3406" s="87"/>
      <x:c r="G3406" s="87" t="str">
        <x:v>Биология</x:v>
      </x:c>
      <x:c r="H3406" s="87" t="n">
        <x:v>11</x:v>
      </x:c>
      <x:c r="I3406" s="87" t="str">
        <x:v>ТР №1</x:v>
      </x:c>
      <x:c r="J3406" s="87" t="str">
        <x:v>БИ2510102</x:v>
      </x:c>
      <x:c r="K3406" s="87" t="n">
        <x:v>5</x:v>
      </x:c>
      <x:c r="L3406" s="87" t="str">
        <x:v>Краткое задание по биологии</x:v>
      </x:c>
      <x:c r="M3406" s="30" t="str">
        <x:v>Каким номером на рисунке обозначен геном митохондрии?
    Ответ: ___________________________.</x:v>
      </x:c>
      <x:c r="N3406" s="30" t="str">
        <x:v>5</x:v>
      </x:c>
      <x:c r="O3406" s="30" t="str">
        <x:v>Ответ проверен по условию и официальным материалам.</x:v>
      </x:c>
      <x:c r="P3406" s="30" t="str">
        <x:v>Визуальный контекст связан с полной страницей JPEG.</x:v>
      </x:c>
      <x:c r="Q3406" s="30"/>
      <x:c r="R3406" s="30" t="str">
        <x:v>Архивный фото-ключ + независимая проверка</x:v>
      </x:c>
      <x:c r="S3406" s="30"/>
      <x:c r="T3406" s="30"/>
      <x:c r="U3406" s="30" t="str">
        <x:v>Расхождений не обнаружено.</x:v>
      </x:c>
      <x:c r="V3406" s="87" t="str">
        <x:v>VERIFIED</x:v>
      </x:c>
      <x:c r="W3406" s="87" t="str">
        <x:v>tasks_b.pdf, стр. 18</x:v>
      </x:c>
      <x:c r="X3406" s="87"/>
      <x:c r="Y3406" s="87"/>
      <x:c r="Z3406" s="87"/>
      <x:c r="AA3406" s="87"/>
      <x:c r="AB3406" s="87"/>
      <x:c r="AC3406" s="87" t="str">
        <x:v>VIS-BIO-OCT-015</x:v>
      </x:c>
      <x:c r="AD3406" s="87"/>
      <x:c r="AE3406" s="87"/>
      <x:c r="AF3406" s="87" t="str">
        <x:v>VIS-BIO-OCT-015: 18</x:v>
      </x:c>
      <x:c r="AG3406" s="87" t="str">
        <x:v>RESOLVED</x:v>
      </x:c>
      <x:c r="AH3406" s="87" t="str">
        <x:v>CROP_VERIFIED; TASK_CROP_QA_APPROVED:MANUAL_BBOX</x:v>
      </x:c>
      <x:c r="AI3406" s="30"/>
      <x:c r="AJ3406" s="87" t="str">
        <x:v>master</x:v>
      </x:c>
      <x:c r="AK3406" s="87" t="str">
        <x:v>master-v0.81</x:v>
      </x:c>
      <x:c r="AL3406" s="87" t="str">
        <x:v>statgrad_master_base_v0_81_final(2).xlsx</x:v>
      </x:c>
      <x:c r="AM3406" s="87" t="str">
        <x:v>BIO_Oct_V2</x:v>
      </x:c>
      <x:c r="AN3406" s="87" t="n">
        <x:v>6</x:v>
      </x:c>
    </x:row>
    <x:row r="3407">
      <x:c r="A3407" s="87" t="n">
        <x:v>3406</x:v>
      </x:c>
      <x:c r="B3407" s="87" t="str">
        <x:v>OCT-BIO-102-006</x:v>
      </x:c>
      <x:c r="C3407" s="87" t="str">
        <x:v>СтатГрад</x:v>
      </x:c>
      <x:c r="D3407" s="87" t="str">
        <x:v>Октябрь 2025</x:v>
      </x:c>
      <x:c r="E3407" s="87"/>
      <x:c r="F3407" s="87"/>
      <x:c r="G3407" s="87" t="str">
        <x:v>Биология</x:v>
      </x:c>
      <x:c r="H3407" s="87" t="n">
        <x:v>11</x:v>
      </x:c>
      <x:c r="I3407" s="87" t="str">
        <x:v>ТР №1</x:v>
      </x:c>
      <x:c r="J3407" s="87" t="str">
        <x:v>БИ2510102</x:v>
      </x:c>
      <x:c r="K3407" s="87" t="n">
        <x:v>6</x:v>
      </x:c>
      <x:c r="L3407" s="87" t="str">
        <x:v>Краткое задание по биологии</x:v>
      </x:c>
      <x:c r="M3407" s="30" t="str">
        <x:v>Установите соответствие между характеристиками и структурами,
    обозначенными на рисунке цифрами 1, 2, 3: к каждой позиции, данной
    в первом столбце, подберите соответствующую позицию из второго столбца.
               ХАРАКТЕРИСТИКИ                                       СТРУКТУРЫ
    А) содержит запасные включения          1) 1
    Б) отделяет содержимое митохондрии от 2) 2
       цитоплазмы                           3) 3
    В) содержит АТФ-синтетазу
    Г) является местом протекания реакций
       цикла Кребса
    Д) обеспечивает транспорт электронов
    Е) участвует в создании градиента ионов
       водорода
    Запишите в таблицу выбранные цифры под соответствующими буквами.
               А Б В Г Д Е
    Ответ:
                                   согласия СтатГрад запрещена</x:v>
      </x:c>
      <x:c r="N3407" s="30" t="str">
        <x:v>312322</x:v>
      </x:c>
      <x:c r="O3407" s="30" t="str">
        <x:v>Ответ проверен по условию и официальным материалам.</x:v>
      </x:c>
      <x:c r="P3407" s="30" t="str">
        <x:v>Визуальный контекст связан с полной страницей JPEG.</x:v>
      </x:c>
      <x:c r="Q3407" s="30"/>
      <x:c r="R3407" s="30" t="str">
        <x:v>Официальный ключ + независимая проверка</x:v>
      </x:c>
      <x:c r="S3407" s="30"/>
      <x:c r="T3407" s="30"/>
      <x:c r="U3407" s="30" t="str">
        <x:v>Расхождений не обнаружено.</x:v>
      </x:c>
      <x:c r="V3407" s="87" t="str">
        <x:v>VERIFIED</x:v>
      </x:c>
      <x:c r="W3407" s="87" t="str">
        <x:v>tasks_b.pdf, стр. 18</x:v>
      </x:c>
      <x:c r="X3407" s="87"/>
      <x:c r="Y3407" s="87"/>
      <x:c r="Z3407" s="87"/>
      <x:c r="AA3407" s="87"/>
      <x:c r="AB3407" s="87"/>
      <x:c r="AC3407" s="87" t="str">
        <x:v>VIS-BIO-OCT-015</x:v>
      </x:c>
      <x:c r="AD3407" s="87"/>
      <x:c r="AE3407" s="87"/>
      <x:c r="AF3407" s="87" t="str">
        <x:v>VIS-BIO-OCT-015: 18</x:v>
      </x:c>
      <x:c r="AG3407" s="87" t="str">
        <x:v>RESOLVED</x:v>
      </x:c>
      <x:c r="AH3407" s="87" t="str">
        <x:v>CROP_VERIFIED; TASK_CROP_QA_APPROVED:USE_TIGHT</x:v>
      </x:c>
      <x:c r="AI3407" s="30"/>
      <x:c r="AJ3407" s="87" t="str">
        <x:v>master</x:v>
      </x:c>
      <x:c r="AK3407" s="87" t="str">
        <x:v>master-v0.81</x:v>
      </x:c>
      <x:c r="AL3407" s="87" t="str">
        <x:v>statgrad_master_base_v0_81_final(2).xlsx</x:v>
      </x:c>
      <x:c r="AM3407" s="87" t="str">
        <x:v>BIO_Oct_V2</x:v>
      </x:c>
      <x:c r="AN3407" s="87" t="n">
        <x:v>7</x:v>
      </x:c>
    </x:row>
    <x:row r="3408">
      <x:c r="A3408" s="87" t="n">
        <x:v>3407</x:v>
      </x:c>
      <x:c r="B3408" s="87" t="str">
        <x:v>OCT-BIO-102-007</x:v>
      </x:c>
      <x:c r="C3408" s="87" t="str">
        <x:v>СтатГрад</x:v>
      </x:c>
      <x:c r="D3408" s="87" t="str">
        <x:v>Октябрь 2025</x:v>
      </x:c>
      <x:c r="E3408" s="87"/>
      <x:c r="F3408" s="87"/>
      <x:c r="G3408" s="87" t="str">
        <x:v>Биология</x:v>
      </x:c>
      <x:c r="H3408" s="87" t="n">
        <x:v>11</x:v>
      </x:c>
      <x:c r="I3408" s="87" t="str">
        <x:v>ТР №1</x:v>
      </x:c>
      <x:c r="J3408" s="87" t="str">
        <x:v>БИ2510102</x:v>
      </x:c>
      <x:c r="K3408" s="87" t="n">
        <x:v>7</x:v>
      </x:c>
      <x:c r="L3408" s="87" t="str">
        <x:v>Краткое задание по биологии</x:v>
      </x:c>
      <x:c r="M3408" s="30" t="str">
        <x:v>Выберите три верных ответа и запишите в таблицу цифры, под которыми
    они указаны.
    Комбинативная изменчивость
    1) носит индивидуальный характер
    2) изменяется в пределах нормы реакции
    3) повышает генетическое многообразие в популяции
    4) создаёт новые аллели
    5) происходит под воздействием факторов окружающей среды
    6) основана на перекомбинации хромосом в мейозе
    Ответ:</x:v>
      </x:c>
      <x:c r="N3408" s="30" t="str">
        <x:v>136</x:v>
      </x:c>
      <x:c r="O3408" s="30" t="str">
        <x:v>Ответ проверен по условию и официальным материалам.</x:v>
      </x:c>
      <x:c r="P3408" s="30" t="str">
        <x:v>Визуальный контекст связан с полной страницей JPEG.</x:v>
      </x:c>
      <x:c r="Q3408" s="30"/>
      <x:c r="R3408" s="30" t="str">
        <x:v>Официальный ключ + независимая проверка</x:v>
      </x:c>
      <x:c r="S3408" s="30"/>
      <x:c r="T3408" s="30"/>
      <x:c r="U3408" s="30" t="str">
        <x:v>Расхождений не обнаружено.</x:v>
      </x:c>
      <x:c r="V3408" s="87" t="str">
        <x:v>VERIFIED</x:v>
      </x:c>
      <x:c r="W3408" s="87" t="str">
        <x:v>tasks_b.pdf, стр. 19</x:v>
      </x:c>
      <x:c r="X3408" s="87"/>
      <x:c r="Y3408" s="87"/>
      <x:c r="Z3408" s="87"/>
      <x:c r="AA3408" s="87"/>
      <x:c r="AB3408" s="87"/>
      <x:c r="AC3408" s="87" t="str">
        <x:v>VIS-BIO-OCT-016</x:v>
      </x:c>
      <x:c r="AD3408" s="87"/>
      <x:c r="AE3408" s="87"/>
      <x:c r="AF3408" s="87" t="str">
        <x:v>VIS-BIO-OCT-016: 19</x:v>
      </x:c>
      <x:c r="AG3408" s="87" t="str">
        <x:v>RESOLVED</x:v>
      </x:c>
      <x:c r="AH3408" s="87" t="str">
        <x:v>CROP_VERIFIED</x:v>
      </x:c>
      <x:c r="AI3408" s="30"/>
      <x:c r="AJ3408" s="87" t="str">
        <x:v>master</x:v>
      </x:c>
      <x:c r="AK3408" s="87" t="str">
        <x:v>master-v0.81</x:v>
      </x:c>
      <x:c r="AL3408" s="87" t="str">
        <x:v>statgrad_master_base_v0_81_final(2).xlsx</x:v>
      </x:c>
      <x:c r="AM3408" s="87" t="str">
        <x:v>BIO_Oct_V2</x:v>
      </x:c>
      <x:c r="AN3408" s="87" t="n">
        <x:v>8</x:v>
      </x:c>
    </x:row>
    <x:row r="3409">
      <x:c r="A3409" s="87" t="n">
        <x:v>3408</x:v>
      </x:c>
      <x:c r="B3409" s="87" t="str">
        <x:v>OCT-BIO-102-008</x:v>
      </x:c>
      <x:c r="C3409" s="87" t="str">
        <x:v>СтатГрад</x:v>
      </x:c>
      <x:c r="D3409" s="87" t="str">
        <x:v>Октябрь 2025</x:v>
      </x:c>
      <x:c r="E3409" s="87"/>
      <x:c r="F3409" s="87"/>
      <x:c r="G3409" s="87" t="str">
        <x:v>Биология</x:v>
      </x:c>
      <x:c r="H3409" s="87" t="n">
        <x:v>11</x:v>
      </x:c>
      <x:c r="I3409" s="87" t="str">
        <x:v>ТР №1</x:v>
      </x:c>
      <x:c r="J3409" s="87" t="str">
        <x:v>БИ2510102</x:v>
      </x:c>
      <x:c r="K3409" s="87" t="n">
        <x:v>8</x:v>
      </x:c>
      <x:c r="L3409" s="87" t="str">
        <x:v>Краткое задание по биологии</x:v>
      </x:c>
      <x:c r="M3409" s="30" t="str">
        <x:v>Установите последовательность стадий жизненного цикла организма,
    имеющего цикл со спорической редукцией, начиная со слияния гамет.
    Запишите в таблицу соответствующую последовательность цифр.
    1) развитие спорофита
    2) образование гамет митозом
    3) формирование спор мейозом
    4) развитие гаметофита
    5) образование зиготы
    Ответ:
                                   согласия СтатГрад запрещена</x:v>
      </x:c>
      <x:c r="N3409" s="30" t="str">
        <x:v>51342</x:v>
      </x:c>
      <x:c r="O3409" s="30" t="str">
        <x:v>Ответ проверен по условию и официальным материалам.</x:v>
      </x:c>
      <x:c r="P3409" s="30" t="str">
        <x:v>Визуальный контекст связан с полной страницей JPEG.</x:v>
      </x:c>
      <x:c r="Q3409" s="30"/>
      <x:c r="R3409" s="30" t="str">
        <x:v>Официальный ключ + независимая проверка</x:v>
      </x:c>
      <x:c r="S3409" s="30"/>
      <x:c r="T3409" s="30"/>
      <x:c r="U3409" s="30" t="str">
        <x:v>Расхождений не обнаружено.</x:v>
      </x:c>
      <x:c r="V3409" s="87" t="str">
        <x:v>VERIFIED</x:v>
      </x:c>
      <x:c r="W3409" s="87" t="str">
        <x:v>tasks_b.pdf, стр. 19</x:v>
      </x:c>
      <x:c r="X3409" s="87"/>
      <x:c r="Y3409" s="87"/>
      <x:c r="Z3409" s="87"/>
      <x:c r="AA3409" s="87"/>
      <x:c r="AB3409" s="87"/>
      <x:c r="AC3409" s="87" t="str">
        <x:v>VIS-BIO-OCT-016</x:v>
      </x:c>
      <x:c r="AD3409" s="87"/>
      <x:c r="AE3409" s="87"/>
      <x:c r="AF3409" s="87" t="str">
        <x:v>VIS-BIO-OCT-016: 19</x:v>
      </x:c>
      <x:c r="AG3409" s="87" t="str">
        <x:v>RESOLVED</x:v>
      </x:c>
      <x:c r="AH3409" s="87" t="str">
        <x:v>CROP_VERIFIED</x:v>
      </x:c>
      <x:c r="AI3409" s="30"/>
      <x:c r="AJ3409" s="87" t="str">
        <x:v>master</x:v>
      </x:c>
      <x:c r="AK3409" s="87" t="str">
        <x:v>master-v0.81</x:v>
      </x:c>
      <x:c r="AL3409" s="87" t="str">
        <x:v>statgrad_master_base_v0_81_final(2).xlsx</x:v>
      </x:c>
      <x:c r="AM3409" s="87" t="str">
        <x:v>BIO_Oct_V2</x:v>
      </x:c>
      <x:c r="AN3409" s="87" t="n">
        <x:v>9</x:v>
      </x:c>
    </x:row>
    <x:row r="3410">
      <x:c r="A3410" s="87" t="n">
        <x:v>3409</x:v>
      </x:c>
      <x:c r="B3410" s="87" t="str">
        <x:v>OCT-BIO-102-009</x:v>
      </x:c>
      <x:c r="C3410" s="87" t="str">
        <x:v>СтатГрад</x:v>
      </x:c>
      <x:c r="D3410" s="87" t="str">
        <x:v>Октябрь 2025</x:v>
      </x:c>
      <x:c r="E3410" s="87"/>
      <x:c r="F3410" s="87"/>
      <x:c r="G3410" s="87" t="str">
        <x:v>Биология</x:v>
      </x:c>
      <x:c r="H3410" s="87" t="n">
        <x:v>11</x:v>
      </x:c>
      <x:c r="I3410" s="87" t="str">
        <x:v>ТР №1</x:v>
      </x:c>
      <x:c r="J3410" s="87" t="str">
        <x:v>БИ2510102</x:v>
      </x:c>
      <x:c r="K3410" s="87" t="n">
        <x:v>9</x:v>
      </x:c>
      <x:c r="L3410" s="87" t="str">
        <x:v>Краткое задание по биологии</x:v>
      </x:c>
      <x:c r="M3410" s="30" t="str">
        <x:v>Под каким номером на схеме жизненного цикла паразита обозначена циста?
     Ответ: ___________________________.</x:v>
      </x:c>
      <x:c r="N3410" s="30" t="str">
        <x:v>8</x:v>
      </x:c>
      <x:c r="O3410" s="30" t="str">
        <x:v>Ответ проверен по условию и официальным материалам.</x:v>
      </x:c>
      <x:c r="P3410" s="30" t="str">
        <x:v>Визуальный контекст связан с полной страницей JPEG.</x:v>
      </x:c>
      <x:c r="Q3410" s="30"/>
      <x:c r="R3410" s="30" t="str">
        <x:v>Архивный фото-ключ + независимая проверка</x:v>
      </x:c>
      <x:c r="S3410" s="30"/>
      <x:c r="T3410" s="30"/>
      <x:c r="U3410" s="30" t="str">
        <x:v>Расхождений не обнаружено.</x:v>
      </x:c>
      <x:c r="V3410" s="87" t="str">
        <x:v>VERIFIED</x:v>
      </x:c>
      <x:c r="W3410" s="87" t="str">
        <x:v>tasks_b.pdf, стр. 20</x:v>
      </x:c>
      <x:c r="X3410" s="87"/>
      <x:c r="Y3410" s="87"/>
      <x:c r="Z3410" s="87"/>
      <x:c r="AA3410" s="87"/>
      <x:c r="AB3410" s="87"/>
      <x:c r="AC3410" s="87" t="str">
        <x:v>VIS-BIO-OCT-017</x:v>
      </x:c>
      <x:c r="AD3410" s="87"/>
      <x:c r="AE3410" s="87"/>
      <x:c r="AF3410" s="87" t="str">
        <x:v>VIS-BIO-OCT-017: 20</x:v>
      </x:c>
      <x:c r="AG3410" s="87" t="str">
        <x:v>RESOLVED</x:v>
      </x:c>
      <x:c r="AH3410" s="87" t="str">
        <x:v>CROP_VERIFIED; TASK_CROP_QA_APPROVED:MANUAL_BBOX</x:v>
      </x:c>
      <x:c r="AI3410" s="30"/>
      <x:c r="AJ3410" s="87" t="str">
        <x:v>master</x:v>
      </x:c>
      <x:c r="AK3410" s="87" t="str">
        <x:v>master-v0.81</x:v>
      </x:c>
      <x:c r="AL3410" s="87" t="str">
        <x:v>statgrad_master_base_v0_81_final(2).xlsx</x:v>
      </x:c>
      <x:c r="AM3410" s="87" t="str">
        <x:v>BIO_Oct_V2</x:v>
      </x:c>
      <x:c r="AN3410" s="87" t="n">
        <x:v>10</x:v>
      </x:c>
    </x:row>
    <x:row r="3411">
      <x:c r="A3411" s="87" t="n">
        <x:v>3410</x:v>
      </x:c>
      <x:c r="B3411" s="87" t="str">
        <x:v>OCT-BIO-102-010</x:v>
      </x:c>
      <x:c r="C3411" s="87" t="str">
        <x:v>СтатГрад</x:v>
      </x:c>
      <x:c r="D3411" s="87" t="str">
        <x:v>Октябрь 2025</x:v>
      </x:c>
      <x:c r="E3411" s="87"/>
      <x:c r="F3411" s="87"/>
      <x:c r="G3411" s="87" t="str">
        <x:v>Биология</x:v>
      </x:c>
      <x:c r="H3411" s="87" t="n">
        <x:v>11</x:v>
      </x:c>
      <x:c r="I3411" s="87" t="str">
        <x:v>ТР №1</x:v>
      </x:c>
      <x:c r="J3411" s="87" t="str">
        <x:v>БИ2510102</x:v>
      </x:c>
      <x:c r="K3411" s="87" t="n">
        <x:v>10</x:v>
      </x:c>
      <x:c r="L3411" s="87" t="str">
        <x:v>Краткое задание по биологии</x:v>
      </x:c>
      <x:c r="M3411" s="30" t="str">
        <x:v>Установите соответствие между характеристиками и хозяевами паразита,
     обозначенными на схеме цифрами 1, 2: к каждой позиции, данной в первом
     столбце, подберите соответствующую позицию.
                ХАРАКТЕРИСТИКИ                                ХОЗЯЕВА ПАРАЗИТА
     А) заражается при употреблении травы                  1) 1
     Б) является промежуточным хозяином                    2) 2
     В) обитает в воде
     Г) содержит половозрелую стадию
     Д) выводит во внешнюю среду яйца
        паразита
     Е) относится к беспозвоночным животным
     Запишите в таблицу выбранные цифры под соответствующими буквами.
                А Б В Г Д Е
     Ответ:
                                    согласия СтатГрад запрещена</x:v>
      </x:c>
      <x:c r="N3411" s="30" t="str">
        <x:v>122112</x:v>
      </x:c>
      <x:c r="O3411" s="30" t="str">
        <x:v>Ответ проверен по условию и официальным материалам.</x:v>
      </x:c>
      <x:c r="P3411" s="30" t="str">
        <x:v>Визуальный контекст связан с полной страницей JPEG.</x:v>
      </x:c>
      <x:c r="Q3411" s="30"/>
      <x:c r="R3411" s="30" t="str">
        <x:v>Официальный ключ + независимая проверка</x:v>
      </x:c>
      <x:c r="S3411" s="30"/>
      <x:c r="T3411" s="30"/>
      <x:c r="U3411" s="30" t="str">
        <x:v>Расхождений не обнаружено.</x:v>
      </x:c>
      <x:c r="V3411" s="87" t="str">
        <x:v>VERIFIED</x:v>
      </x:c>
      <x:c r="W3411" s="87" t="str">
        <x:v>tasks_b.pdf, стр. 20</x:v>
      </x:c>
      <x:c r="X3411" s="87"/>
      <x:c r="Y3411" s="87"/>
      <x:c r="Z3411" s="87"/>
      <x:c r="AA3411" s="87"/>
      <x:c r="AB3411" s="87"/>
      <x:c r="AC3411" s="87" t="str">
        <x:v>VIS-BIO-OCT-017</x:v>
      </x:c>
      <x:c r="AD3411" s="87"/>
      <x:c r="AE3411" s="87"/>
      <x:c r="AF3411" s="87" t="str">
        <x:v>VIS-BIO-OCT-017: 20</x:v>
      </x:c>
      <x:c r="AG3411" s="87" t="str">
        <x:v>RESOLVED</x:v>
      </x:c>
      <x:c r="AH3411" s="87" t="str">
        <x:v>CROP_VERIFIED; TASK_CROP_QA_APPROVED:USE_TIGHT</x:v>
      </x:c>
      <x:c r="AI3411" s="30"/>
      <x:c r="AJ3411" s="87" t="str">
        <x:v>master</x:v>
      </x:c>
      <x:c r="AK3411" s="87" t="str">
        <x:v>master-v0.81</x:v>
      </x:c>
      <x:c r="AL3411" s="87" t="str">
        <x:v>statgrad_master_base_v0_81_final(2).xlsx</x:v>
      </x:c>
      <x:c r="AM3411" s="87" t="str">
        <x:v>BIO_Oct_V2</x:v>
      </x:c>
      <x:c r="AN3411" s="87" t="n">
        <x:v>11</x:v>
      </x:c>
    </x:row>
    <x:row r="3412">
      <x:c r="A3412" s="87" t="n">
        <x:v>3411</x:v>
      </x:c>
      <x:c r="B3412" s="87" t="str">
        <x:v>OCT-BIO-102-011</x:v>
      </x:c>
      <x:c r="C3412" s="87" t="str">
        <x:v>СтатГрад</x:v>
      </x:c>
      <x:c r="D3412" s="87" t="str">
        <x:v>Октябрь 2025</x:v>
      </x:c>
      <x:c r="E3412" s="87"/>
      <x:c r="F3412" s="87"/>
      <x:c r="G3412" s="87" t="str">
        <x:v>Биология</x:v>
      </x:c>
      <x:c r="H3412" s="87" t="n">
        <x:v>11</x:v>
      </x:c>
      <x:c r="I3412" s="87" t="str">
        <x:v>ТР №1</x:v>
      </x:c>
      <x:c r="J3412" s="87" t="str">
        <x:v>БИ2510102</x:v>
      </x:c>
      <x:c r="K3412" s="87" t="n">
        <x:v>11</x:v>
      </x:c>
      <x:c r="L3412" s="87" t="str">
        <x:v>Краткое задание по биологии</x:v>
      </x:c>
      <x:c r="M3412" s="30" t="str">
        <x:v>Выберите три верных ответа и запишите в таблицу цифры, под которыми
     они указаны.
     Сухими многосемянными плодами являются
     1) коробочка
     2) боб
     3) зерновка
     4) костянка
     5) стручок
     6) семянка
     Ответ:</x:v>
      </x:c>
      <x:c r="N3412" s="30" t="str">
        <x:v>125</x:v>
      </x:c>
      <x:c r="O3412" s="30" t="str">
        <x:v>Ответ проверен по условию и официальным материалам.</x:v>
      </x:c>
      <x:c r="P3412" s="30" t="str">
        <x:v>Визуальный контекст связан с полной страницей JPEG.</x:v>
      </x:c>
      <x:c r="Q3412" s="30"/>
      <x:c r="R3412" s="30" t="str">
        <x:v>Официальный ключ + независимая проверка</x:v>
      </x:c>
      <x:c r="S3412" s="30"/>
      <x:c r="T3412" s="30"/>
      <x:c r="U3412" s="30" t="str">
        <x:v>Расхождений не обнаружено.</x:v>
      </x:c>
      <x:c r="V3412" s="87" t="str">
        <x:v>VERIFIED</x:v>
      </x:c>
      <x:c r="W3412" s="87" t="str">
        <x:v>tasks_b.pdf, стр. 21</x:v>
      </x:c>
      <x:c r="X3412" s="87"/>
      <x:c r="Y3412" s="87"/>
      <x:c r="Z3412" s="87"/>
      <x:c r="AA3412" s="87"/>
      <x:c r="AB3412" s="87"/>
      <x:c r="AC3412" s="87" t="str">
        <x:v>VIS-BIO-OCT-018</x:v>
      </x:c>
      <x:c r="AD3412" s="87"/>
      <x:c r="AE3412" s="87"/>
      <x:c r="AF3412" s="87" t="str">
        <x:v>VIS-BIO-OCT-018: 21</x:v>
      </x:c>
      <x:c r="AG3412" s="87" t="str">
        <x:v>RESOLVED</x:v>
      </x:c>
      <x:c r="AH3412" s="87" t="str">
        <x:v>CROP_VERIFIED</x:v>
      </x:c>
      <x:c r="AI3412" s="30"/>
      <x:c r="AJ3412" s="87" t="str">
        <x:v>master</x:v>
      </x:c>
      <x:c r="AK3412" s="87" t="str">
        <x:v>master-v0.81</x:v>
      </x:c>
      <x:c r="AL3412" s="87" t="str">
        <x:v>statgrad_master_base_v0_81_final(2).xlsx</x:v>
      </x:c>
      <x:c r="AM3412" s="87" t="str">
        <x:v>BIO_Oct_V2</x:v>
      </x:c>
      <x:c r="AN3412" s="87" t="n">
        <x:v>12</x:v>
      </x:c>
    </x:row>
    <x:row r="3413">
      <x:c r="A3413" s="87" t="n">
        <x:v>3412</x:v>
      </x:c>
      <x:c r="B3413" s="87" t="str">
        <x:v>OCT-BIO-102-012</x:v>
      </x:c>
      <x:c r="C3413" s="87" t="str">
        <x:v>СтатГрад</x:v>
      </x:c>
      <x:c r="D3413" s="87" t="str">
        <x:v>Октябрь 2025</x:v>
      </x:c>
      <x:c r="E3413" s="87"/>
      <x:c r="F3413" s="87"/>
      <x:c r="G3413" s="87" t="str">
        <x:v>Биология</x:v>
      </x:c>
      <x:c r="H3413" s="87" t="n">
        <x:v>11</x:v>
      </x:c>
      <x:c r="I3413" s="87" t="str">
        <x:v>ТР №1</x:v>
      </x:c>
      <x:c r="J3413" s="87" t="str">
        <x:v>БИ2510102</x:v>
      </x:c>
      <x:c r="K3413" s="87" t="n">
        <x:v>12</x:v>
      </x:c>
      <x:c r="L3413" s="87" t="str">
        <x:v>Краткое задание по биологии</x:v>
      </x:c>
      <x:c r="M3413" s="30" t="str">
        <x:v>Установите последовательность систематических групп организмов, начиная
     с самого высокого ранга. Запишите в таблицу соответствующую последова-
     тельность цифр.
     1) Цветковые
     2) Колокольчик
     3) Двудольные
     4) Колокольчик остролистный
     5) Растения
     6) Астроцветные
     Ответ:
                                    согласия СтатГрад запрещена</x:v>
      </x:c>
      <x:c r="N3413" s="30" t="str">
        <x:v>513624</x:v>
      </x:c>
      <x:c r="O3413" s="30" t="str">
        <x:v>Ответ проверен по условию и официальным материалам.</x:v>
      </x:c>
      <x:c r="P3413" s="30" t="str">
        <x:v>Визуальный контекст связан с полной страницей JPEG.</x:v>
      </x:c>
      <x:c r="Q3413" s="30"/>
      <x:c r="R3413" s="30" t="str">
        <x:v>Официальный ключ + независимая проверка</x:v>
      </x:c>
      <x:c r="S3413" s="30"/>
      <x:c r="T3413" s="30"/>
      <x:c r="U3413" s="30" t="str">
        <x:v>Расхождений не обнаружено.</x:v>
      </x:c>
      <x:c r="V3413" s="87" t="str">
        <x:v>VERIFIED</x:v>
      </x:c>
      <x:c r="W3413" s="87" t="str">
        <x:v>tasks_b.pdf, стр. 21</x:v>
      </x:c>
      <x:c r="X3413" s="87"/>
      <x:c r="Y3413" s="87"/>
      <x:c r="Z3413" s="87"/>
      <x:c r="AA3413" s="87"/>
      <x:c r="AB3413" s="87"/>
      <x:c r="AC3413" s="87" t="str">
        <x:v>VIS-BIO-OCT-018</x:v>
      </x:c>
      <x:c r="AD3413" s="87"/>
      <x:c r="AE3413" s="87"/>
      <x:c r="AF3413" s="87" t="str">
        <x:v>VIS-BIO-OCT-018: 21</x:v>
      </x:c>
      <x:c r="AG3413" s="87" t="str">
        <x:v>RESOLVED</x:v>
      </x:c>
      <x:c r="AH3413" s="87" t="str">
        <x:v>CROP_VERIFIED</x:v>
      </x:c>
      <x:c r="AI3413" s="30"/>
      <x:c r="AJ3413" s="87" t="str">
        <x:v>master</x:v>
      </x:c>
      <x:c r="AK3413" s="87" t="str">
        <x:v>master-v0.81</x:v>
      </x:c>
      <x:c r="AL3413" s="87" t="str">
        <x:v>statgrad_master_base_v0_81_final(2).xlsx</x:v>
      </x:c>
      <x:c r="AM3413" s="87" t="str">
        <x:v>BIO_Oct_V2</x:v>
      </x:c>
      <x:c r="AN3413" s="87" t="n">
        <x:v>13</x:v>
      </x:c>
    </x:row>
    <x:row r="3414">
      <x:c r="A3414" s="87" t="n">
        <x:v>3413</x:v>
      </x:c>
      <x:c r="B3414" s="87" t="str">
        <x:v>OCT-BIO-102-013</x:v>
      </x:c>
      <x:c r="C3414" s="87" t="str">
        <x:v>СтатГрад</x:v>
      </x:c>
      <x:c r="D3414" s="87" t="str">
        <x:v>Октябрь 2025</x:v>
      </x:c>
      <x:c r="E3414" s="87"/>
      <x:c r="F3414" s="87"/>
      <x:c r="G3414" s="87" t="str">
        <x:v>Биология</x:v>
      </x:c>
      <x:c r="H3414" s="87" t="n">
        <x:v>11</x:v>
      </x:c>
      <x:c r="I3414" s="87" t="str">
        <x:v>ТР №1</x:v>
      </x:c>
      <x:c r="J3414" s="87" t="str">
        <x:v>БИ2510102</x:v>
      </x:c>
      <x:c r="K3414" s="87" t="n">
        <x:v>13</x:v>
      </x:c>
      <x:c r="L3414" s="87" t="str">
        <x:v>Краткое задание по биологии</x:v>
      </x:c>
      <x:c r="M3414" s="30" t="str">
        <x:v>Каким номером на рисунке обозначен створчатый клапан?
     Ответ: ___________________________.</x:v>
      </x:c>
      <x:c r="N3414" s="30" t="str">
        <x:v>8</x:v>
      </x:c>
      <x:c r="O3414" s="30" t="str">
        <x:v>Ответ проверен по условию и официальным материалам.</x:v>
      </x:c>
      <x:c r="P3414" s="30" t="str">
        <x:v>Визуальный контекст связан с полной страницей JPEG.</x:v>
      </x:c>
      <x:c r="Q3414" s="30"/>
      <x:c r="R3414" s="30" t="str">
        <x:v>Архивный фото-ключ + независимая проверка</x:v>
      </x:c>
      <x:c r="S3414" s="30"/>
      <x:c r="T3414" s="30"/>
      <x:c r="U3414" s="30" t="str">
        <x:v>Расхождений не обнаружено.</x:v>
      </x:c>
      <x:c r="V3414" s="87" t="str">
        <x:v>VERIFIED</x:v>
      </x:c>
      <x:c r="W3414" s="87" t="str">
        <x:v>tasks_b.pdf, стр. 22</x:v>
      </x:c>
      <x:c r="X3414" s="87"/>
      <x:c r="Y3414" s="87"/>
      <x:c r="Z3414" s="87"/>
      <x:c r="AA3414" s="87"/>
      <x:c r="AB3414" s="87"/>
      <x:c r="AC3414" s="87" t="str">
        <x:v>VIS-BIO-OCT-019</x:v>
      </x:c>
      <x:c r="AD3414" s="87"/>
      <x:c r="AE3414" s="87"/>
      <x:c r="AF3414" s="87" t="str">
        <x:v>VIS-BIO-OCT-019: 22</x:v>
      </x:c>
      <x:c r="AG3414" s="87" t="str">
        <x:v>RESOLVED</x:v>
      </x:c>
      <x:c r="AH3414" s="87" t="str">
        <x:v>CROP_VERIFIED; TASK_CROP_QA_APPROVED:MANUAL_BBOX</x:v>
      </x:c>
      <x:c r="AI3414" s="30"/>
      <x:c r="AJ3414" s="87" t="str">
        <x:v>master</x:v>
      </x:c>
      <x:c r="AK3414" s="87" t="str">
        <x:v>master-v0.81</x:v>
      </x:c>
      <x:c r="AL3414" s="87" t="str">
        <x:v>statgrad_master_base_v0_81_final(2).xlsx</x:v>
      </x:c>
      <x:c r="AM3414" s="87" t="str">
        <x:v>BIO_Oct_V2</x:v>
      </x:c>
      <x:c r="AN3414" s="87" t="n">
        <x:v>14</x:v>
      </x:c>
    </x:row>
    <x:row r="3415">
      <x:c r="A3415" s="87" t="n">
        <x:v>3414</x:v>
      </x:c>
      <x:c r="B3415" s="87" t="str">
        <x:v>OCT-BIO-102-014</x:v>
      </x:c>
      <x:c r="C3415" s="87" t="str">
        <x:v>СтатГрад</x:v>
      </x:c>
      <x:c r="D3415" s="87" t="str">
        <x:v>Октябрь 2025</x:v>
      </x:c>
      <x:c r="E3415" s="87"/>
      <x:c r="F3415" s="87"/>
      <x:c r="G3415" s="87" t="str">
        <x:v>Биология</x:v>
      </x:c>
      <x:c r="H3415" s="87" t="n">
        <x:v>11</x:v>
      </x:c>
      <x:c r="I3415" s="87" t="str">
        <x:v>ТР №1</x:v>
      </x:c>
      <x:c r="J3415" s="87" t="str">
        <x:v>БИ2510102</x:v>
      </x:c>
      <x:c r="K3415" s="87" t="n">
        <x:v>14</x:v>
      </x:c>
      <x:c r="L3415" s="87" t="str">
        <x:v>Краткое задание по биологии</x:v>
      </x:c>
      <x:c r="M3415" s="30" t="str">
        <x:v>Установите соответствие между характеристиками и участками кровеносного
     русла, обозначенными на рисунке цифрами 1, 2, 3: к каждой позиции, данной
     в первом столбце, подберите соответствующую позицию из второго столбца.
                                                           УЧАСТКИ КРОВЕНОСНОГО
                  ХАРАКТЕРИСТИКИ
                                                                  РУСЛА
     А) имеет ответвление – сонную артерию                 1) 1
     Б) впадает в правое предсердие                        2) 2
     В) ограничен миокардом                                3) 3
     Г) содержит богатую оксигемоглобином
        кровь
     Д) проводит кровь в лёгочный ствол
     Е) несёт кровь от брюшных органов
     Запишите в таблицу выбранные цифры под соответствующими буквами.
                А Б В Г Д Е
     Ответ:
                                    согласия СтатГрад запрещена</x:v>
      </x:c>
      <x:c r="N3415" s="30" t="str">
        <x:v>132123</x:v>
      </x:c>
      <x:c r="O3415" s="30" t="str">
        <x:v>Ответ проверен по условию и официальным материалам.</x:v>
      </x:c>
      <x:c r="P3415" s="30" t="str">
        <x:v>Визуальный контекст связан с полной страницей JPEG.</x:v>
      </x:c>
      <x:c r="Q3415" s="30"/>
      <x:c r="R3415" s="30" t="str">
        <x:v>Официальный ключ + независимая проверка</x:v>
      </x:c>
      <x:c r="S3415" s="30"/>
      <x:c r="T3415" s="30"/>
      <x:c r="U3415" s="30" t="str">
        <x:v>Расхождений не обнаружено.</x:v>
      </x:c>
      <x:c r="V3415" s="87" t="str">
        <x:v>VERIFIED</x:v>
      </x:c>
      <x:c r="W3415" s="87" t="str">
        <x:v>tasks_b.pdf, стр. 22</x:v>
      </x:c>
      <x:c r="X3415" s="87"/>
      <x:c r="Y3415" s="87"/>
      <x:c r="Z3415" s="87"/>
      <x:c r="AA3415" s="87"/>
      <x:c r="AB3415" s="87"/>
      <x:c r="AC3415" s="87" t="str">
        <x:v>VIS-BIO-OCT-019</x:v>
      </x:c>
      <x:c r="AD3415" s="87"/>
      <x:c r="AE3415" s="87"/>
      <x:c r="AF3415" s="87" t="str">
        <x:v>VIS-BIO-OCT-019: 22</x:v>
      </x:c>
      <x:c r="AG3415" s="87" t="str">
        <x:v>RESOLVED</x:v>
      </x:c>
      <x:c r="AH3415" s="87" t="str">
        <x:v>CROP_VERIFIED; TASK_CROP_QA_APPROVED:USE_TIGHT</x:v>
      </x:c>
      <x:c r="AI3415" s="30"/>
      <x:c r="AJ3415" s="87" t="str">
        <x:v>master</x:v>
      </x:c>
      <x:c r="AK3415" s="87" t="str">
        <x:v>master-v0.81</x:v>
      </x:c>
      <x:c r="AL3415" s="87" t="str">
        <x:v>statgrad_master_base_v0_81_final(2).xlsx</x:v>
      </x:c>
      <x:c r="AM3415" s="87" t="str">
        <x:v>BIO_Oct_V2</x:v>
      </x:c>
      <x:c r="AN3415" s="87" t="n">
        <x:v>15</x:v>
      </x:c>
    </x:row>
    <x:row r="3416">
      <x:c r="A3416" s="87" t="n">
        <x:v>3415</x:v>
      </x:c>
      <x:c r="B3416" s="87" t="str">
        <x:v>OCT-BIO-102-015</x:v>
      </x:c>
      <x:c r="C3416" s="87" t="str">
        <x:v>СтатГрад</x:v>
      </x:c>
      <x:c r="D3416" s="87" t="str">
        <x:v>Октябрь 2025</x:v>
      </x:c>
      <x:c r="E3416" s="87"/>
      <x:c r="F3416" s="87"/>
      <x:c r="G3416" s="87" t="str">
        <x:v>Биология</x:v>
      </x:c>
      <x:c r="H3416" s="87" t="n">
        <x:v>11</x:v>
      </x:c>
      <x:c r="I3416" s="87" t="str">
        <x:v>ТР №1</x:v>
      </x:c>
      <x:c r="J3416" s="87" t="str">
        <x:v>БИ2510102</x:v>
      </x:c>
      <x:c r="K3416" s="87" t="n">
        <x:v>15</x:v>
      </x:c>
      <x:c r="L3416" s="87" t="str">
        <x:v>Краткое задание по биологии</x:v>
      </x:c>
      <x:c r="M3416" s="30" t="str">
        <x:v>Выберите три верных ответа и запишите в таблицу цифры, под которыми
     они указаны.
     Элементами осевого скелета человека являются
     1) ключица
     2) грудина
     3) крестец
     4) затылочная кость
     5) лобковая кость
     6) лучевая кость
     Ответ:</x:v>
      </x:c>
      <x:c r="N3416" s="30" t="str">
        <x:v>234</x:v>
      </x:c>
      <x:c r="O3416" s="30" t="str">
        <x:v>Ответ проверен по условию и официальным материалам.</x:v>
      </x:c>
      <x:c r="P3416" s="30" t="str">
        <x:v>Визуальный контекст связан с полной страницей JPEG.</x:v>
      </x:c>
      <x:c r="Q3416" s="30"/>
      <x:c r="R3416" s="30" t="str">
        <x:v>Официальный ключ + независимая проверка</x:v>
      </x:c>
      <x:c r="S3416" s="30"/>
      <x:c r="T3416" s="30"/>
      <x:c r="U3416" s="30" t="str">
        <x:v>Расхождений не обнаружено.</x:v>
      </x:c>
      <x:c r="V3416" s="87" t="str">
        <x:v>VERIFIED</x:v>
      </x:c>
      <x:c r="W3416" s="87" t="str">
        <x:v>tasks_b.pdf, стр. 23</x:v>
      </x:c>
      <x:c r="X3416" s="87"/>
      <x:c r="Y3416" s="87"/>
      <x:c r="Z3416" s="87"/>
      <x:c r="AA3416" s="87"/>
      <x:c r="AB3416" s="87"/>
      <x:c r="AC3416" s="87" t="str">
        <x:v>VIS-BIO-OCT-020</x:v>
      </x:c>
      <x:c r="AD3416" s="87"/>
      <x:c r="AE3416" s="87"/>
      <x:c r="AF3416" s="87" t="str">
        <x:v>VIS-BIO-OCT-020: 23</x:v>
      </x:c>
      <x:c r="AG3416" s="87" t="str">
        <x:v>RESOLVED</x:v>
      </x:c>
      <x:c r="AH3416" s="87" t="str">
        <x:v>CROP_VERIFIED</x:v>
      </x:c>
      <x:c r="AI3416" s="30"/>
      <x:c r="AJ3416" s="87" t="str">
        <x:v>master</x:v>
      </x:c>
      <x:c r="AK3416" s="87" t="str">
        <x:v>master-v0.81</x:v>
      </x:c>
      <x:c r="AL3416" s="87" t="str">
        <x:v>statgrad_master_base_v0_81_final(2).xlsx</x:v>
      </x:c>
      <x:c r="AM3416" s="87" t="str">
        <x:v>BIO_Oct_V2</x:v>
      </x:c>
      <x:c r="AN3416" s="87" t="n">
        <x:v>16</x:v>
      </x:c>
    </x:row>
    <x:row r="3417">
      <x:c r="A3417" s="87" t="n">
        <x:v>3416</x:v>
      </x:c>
      <x:c r="B3417" s="87" t="str">
        <x:v>OCT-BIO-102-016</x:v>
      </x:c>
      <x:c r="C3417" s="87" t="str">
        <x:v>СтатГрад</x:v>
      </x:c>
      <x:c r="D3417" s="87" t="str">
        <x:v>Октябрь 2025</x:v>
      </x:c>
      <x:c r="E3417" s="87"/>
      <x:c r="F3417" s="87"/>
      <x:c r="G3417" s="87" t="str">
        <x:v>Биология</x:v>
      </x:c>
      <x:c r="H3417" s="87" t="n">
        <x:v>11</x:v>
      </x:c>
      <x:c r="I3417" s="87" t="str">
        <x:v>ТР №1</x:v>
      </x:c>
      <x:c r="J3417" s="87" t="str">
        <x:v>БИ2510102</x:v>
      </x:c>
      <x:c r="K3417" s="87" t="n">
        <x:v>16</x:v>
      </x:c>
      <x:c r="L3417" s="87" t="str">
        <x:v>Краткое задание по биологии</x:v>
      </x:c>
      <x:c r="M3417" s="30" t="str">
        <x:v>Установите последовательность движения воздуха в процессе выдоха.
     Запишите в таблицу соответствующую последовательность цифр.
     1) бронхиальное дерево
     2) гортань
     3) ноздри
     4) носовые ходы
     5) альвеолы
     6) трахея
     Ответ:</x:v>
      </x:c>
      <x:c r="N3417" s="30" t="str">
        <x:v>516243</x:v>
      </x:c>
      <x:c r="O3417" s="30" t="str">
        <x:v>Ответ проверен по условию и официальным материалам.</x:v>
      </x:c>
      <x:c r="P3417" s="30" t="str">
        <x:v>Визуальный контекст связан с полной страницей JPEG.</x:v>
      </x:c>
      <x:c r="Q3417" s="30"/>
      <x:c r="R3417" s="30" t="str">
        <x:v>Официальный ключ + независимая проверка</x:v>
      </x:c>
      <x:c r="S3417" s="30"/>
      <x:c r="T3417" s="30"/>
      <x:c r="U3417" s="30" t="str">
        <x:v>Расхождений не обнаружено.</x:v>
      </x:c>
      <x:c r="V3417" s="87" t="str">
        <x:v>VERIFIED</x:v>
      </x:c>
      <x:c r="W3417" s="87" t="str">
        <x:v>tasks_b.pdf, стр. 23</x:v>
      </x:c>
      <x:c r="X3417" s="87"/>
      <x:c r="Y3417" s="87"/>
      <x:c r="Z3417" s="87"/>
      <x:c r="AA3417" s="87"/>
      <x:c r="AB3417" s="87"/>
      <x:c r="AC3417" s="87" t="str">
        <x:v>VIS-BIO-OCT-020</x:v>
      </x:c>
      <x:c r="AD3417" s="87"/>
      <x:c r="AE3417" s="87"/>
      <x:c r="AF3417" s="87" t="str">
        <x:v>VIS-BIO-OCT-020: 23</x:v>
      </x:c>
      <x:c r="AG3417" s="87" t="str">
        <x:v>RESOLVED</x:v>
      </x:c>
      <x:c r="AH3417" s="87" t="str">
        <x:v>CROP_VERIFIED</x:v>
      </x:c>
      <x:c r="AI3417" s="30"/>
      <x:c r="AJ3417" s="87" t="str">
        <x:v>master</x:v>
      </x:c>
      <x:c r="AK3417" s="87" t="str">
        <x:v>master-v0.81</x:v>
      </x:c>
      <x:c r="AL3417" s="87" t="str">
        <x:v>statgrad_master_base_v0_81_final(2).xlsx</x:v>
      </x:c>
      <x:c r="AM3417" s="87" t="str">
        <x:v>BIO_Oct_V2</x:v>
      </x:c>
      <x:c r="AN3417" s="87" t="n">
        <x:v>17</x:v>
      </x:c>
    </x:row>
    <x:row r="3418">
      <x:c r="A3418" s="87" t="n">
        <x:v>3417</x:v>
      </x:c>
      <x:c r="B3418" s="87" t="str">
        <x:v>OCT-BIO-102-017</x:v>
      </x:c>
      <x:c r="C3418" s="87" t="str">
        <x:v>СтатГрад</x:v>
      </x:c>
      <x:c r="D3418" s="87" t="str">
        <x:v>Октябрь 2025</x:v>
      </x:c>
      <x:c r="E3418" s="87"/>
      <x:c r="F3418" s="87"/>
      <x:c r="G3418" s="87" t="str">
        <x:v>Биология</x:v>
      </x:c>
      <x:c r="H3418" s="87" t="n">
        <x:v>11</x:v>
      </x:c>
      <x:c r="I3418" s="87" t="str">
        <x:v>ТР №1</x:v>
      </x:c>
      <x:c r="J3418" s="87" t="str">
        <x:v>БИ2510102</x:v>
      </x:c>
      <x:c r="K3418" s="87" t="n">
        <x:v>17</x:v>
      </x:c>
      <x:c r="L3418" s="87" t="str">
        <x:v>Краткое задание по биологии</x:v>
      </x:c>
      <x:c r="M3418" s="30" t="str">
        <x:v>Прочитайте текст. Выберите три предложения, в которых описаны
     особенности образа жизни неандертальцев. Запишите в таблицу цифры,
     под которыми они указаны.
     (1)Неандертальцы обитали в условиях прохладного климата. (2)В связи
     с этим они научились использовать различные вещества и предметы для
     извлечения огня. (3)Умение обрабатывать камни позволяло им создавать
     примитивные орудия труда. (4)У них возникают полноценная членораз-
     дельная речь и зачатки письменности. (5)Питались неандертальцы исклю-
     чительно растительной пищей. (6)Выращивание сельскохозяйственных
     культур обеспечило переход неандертальцев к оседлому существованию.
     Ответ:
                                    согласия СтатГрад запрещена</x:v>
      </x:c>
      <x:c r="N3418" s="30" t="str">
        <x:v>123</x:v>
      </x:c>
      <x:c r="O3418" s="30" t="str">
        <x:v>Ответ проверен по условию и официальным материалам.</x:v>
      </x:c>
      <x:c r="P3418" s="30" t="str">
        <x:v>Визуальный контекст связан с полной страницей JPEG.</x:v>
      </x:c>
      <x:c r="Q3418" s="30"/>
      <x:c r="R3418" s="30" t="str">
        <x:v>Официальный ключ + независимая проверка</x:v>
      </x:c>
      <x:c r="S3418" s="30"/>
      <x:c r="T3418" s="30"/>
      <x:c r="U3418" s="30" t="str">
        <x:v>Расхождений не обнаружено.</x:v>
      </x:c>
      <x:c r="V3418" s="87" t="str">
        <x:v>VERIFIED</x:v>
      </x:c>
      <x:c r="W3418" s="87" t="str">
        <x:v>tasks_b.pdf, стр. 23</x:v>
      </x:c>
      <x:c r="X3418" s="87"/>
      <x:c r="Y3418" s="87"/>
      <x:c r="Z3418" s="87"/>
      <x:c r="AA3418" s="87"/>
      <x:c r="AB3418" s="87"/>
      <x:c r="AC3418" s="87" t="str">
        <x:v>VIS-BIO-OCT-020</x:v>
      </x:c>
      <x:c r="AD3418" s="87"/>
      <x:c r="AE3418" s="87"/>
      <x:c r="AF3418" s="87" t="str">
        <x:v>VIS-BIO-OCT-020: 23</x:v>
      </x:c>
      <x:c r="AG3418" s="87" t="str">
        <x:v>RESOLVED</x:v>
      </x:c>
      <x:c r="AH3418" s="87" t="str">
        <x:v>CROP_VERIFIED</x:v>
      </x:c>
      <x:c r="AI3418" s="30"/>
      <x:c r="AJ3418" s="87" t="str">
        <x:v>master</x:v>
      </x:c>
      <x:c r="AK3418" s="87" t="str">
        <x:v>master-v0.81</x:v>
      </x:c>
      <x:c r="AL3418" s="87" t="str">
        <x:v>statgrad_master_base_v0_81_final(2).xlsx</x:v>
      </x:c>
      <x:c r="AM3418" s="87" t="str">
        <x:v>BIO_Oct_V2</x:v>
      </x:c>
      <x:c r="AN3418" s="87" t="n">
        <x:v>18</x:v>
      </x:c>
    </x:row>
    <x:row r="3419">
      <x:c r="A3419" s="87" t="n">
        <x:v>3418</x:v>
      </x:c>
      <x:c r="B3419" s="87" t="str">
        <x:v>OCT-BIO-102-018</x:v>
      </x:c>
      <x:c r="C3419" s="87" t="str">
        <x:v>СтатГрад</x:v>
      </x:c>
      <x:c r="D3419" s="87" t="str">
        <x:v>Октябрь 2025</x:v>
      </x:c>
      <x:c r="E3419" s="87"/>
      <x:c r="F3419" s="87"/>
      <x:c r="G3419" s="87" t="str">
        <x:v>Биология</x:v>
      </x:c>
      <x:c r="H3419" s="87" t="n">
        <x:v>11</x:v>
      </x:c>
      <x:c r="I3419" s="87" t="str">
        <x:v>ТР №1</x:v>
      </x:c>
      <x:c r="J3419" s="87" t="str">
        <x:v>БИ2510102</x:v>
      </x:c>
      <x:c r="K3419" s="87" t="n">
        <x:v>18</x:v>
      </x:c>
      <x:c r="L3419" s="87" t="str">
        <x:v>Краткое задание по биологии</x:v>
      </x:c>
      <x:c r="M3419" s="30" t="str">
        <x:v>Выберите три верных ответа и запишите в таблицу цифры, под которыми
     они указаны.
     Какие факторы среды относят к абиотическим?
     1) рыхление почвы червями
     2) забота о потомстве
     3) температура водоёма
     4) кислотность почвы
     5) комменсализм
     6) высота прилива
     Ответ:</x:v>
      </x:c>
      <x:c r="N3419" s="30" t="str">
        <x:v>346</x:v>
      </x:c>
      <x:c r="O3419" s="30" t="str">
        <x:v>Ответ проверен по условию и официальным материалам.</x:v>
      </x:c>
      <x:c r="P3419" s="30" t="str">
        <x:v>Визуальный контекст связан с полной страницей JPEG.</x:v>
      </x:c>
      <x:c r="Q3419" s="30"/>
      <x:c r="R3419" s="30" t="str">
        <x:v>Официальный ключ + независимая проверка</x:v>
      </x:c>
      <x:c r="S3419" s="30"/>
      <x:c r="T3419" s="30"/>
      <x:c r="U3419" s="30" t="str">
        <x:v>Расхождений не обнаружено.</x:v>
      </x:c>
      <x:c r="V3419" s="87" t="str">
        <x:v>VERIFIED</x:v>
      </x:c>
      <x:c r="W3419" s="87" t="str">
        <x:v>tasks_b.pdf, стр. 24</x:v>
      </x:c>
      <x:c r="X3419" s="87"/>
      <x:c r="Y3419" s="87"/>
      <x:c r="Z3419" s="87"/>
      <x:c r="AA3419" s="87"/>
      <x:c r="AB3419" s="87"/>
      <x:c r="AC3419" s="87" t="str">
        <x:v>VIS-BIO-OCT-021</x:v>
      </x:c>
      <x:c r="AD3419" s="87"/>
      <x:c r="AE3419" s="87"/>
      <x:c r="AF3419" s="87" t="str">
        <x:v>VIS-BIO-OCT-021: 24</x:v>
      </x:c>
      <x:c r="AG3419" s="87" t="str">
        <x:v>RESOLVED</x:v>
      </x:c>
      <x:c r="AH3419" s="87" t="str">
        <x:v>CROP_VERIFIED</x:v>
      </x:c>
      <x:c r="AI3419" s="30"/>
      <x:c r="AJ3419" s="87" t="str">
        <x:v>master</x:v>
      </x:c>
      <x:c r="AK3419" s="87" t="str">
        <x:v>master-v0.81</x:v>
      </x:c>
      <x:c r="AL3419" s="87" t="str">
        <x:v>statgrad_master_base_v0_81_final(2).xlsx</x:v>
      </x:c>
      <x:c r="AM3419" s="87" t="str">
        <x:v>BIO_Oct_V2</x:v>
      </x:c>
      <x:c r="AN3419" s="87" t="n">
        <x:v>19</x:v>
      </x:c>
    </x:row>
    <x:row r="3420">
      <x:c r="A3420" s="87" t="n">
        <x:v>3419</x:v>
      </x:c>
      <x:c r="B3420" s="87" t="str">
        <x:v>OCT-BIO-102-019</x:v>
      </x:c>
      <x:c r="C3420" s="87" t="str">
        <x:v>СтатГрад</x:v>
      </x:c>
      <x:c r="D3420" s="87" t="str">
        <x:v>Октябрь 2025</x:v>
      </x:c>
      <x:c r="E3420" s="87"/>
      <x:c r="F3420" s="87"/>
      <x:c r="G3420" s="87" t="str">
        <x:v>Биология</x:v>
      </x:c>
      <x:c r="H3420" s="87" t="n">
        <x:v>11</x:v>
      </x:c>
      <x:c r="I3420" s="87" t="str">
        <x:v>ТР №1</x:v>
      </x:c>
      <x:c r="J3420" s="87" t="str">
        <x:v>БИ2510102</x:v>
      </x:c>
      <x:c r="K3420" s="87" t="n">
        <x:v>19</x:v>
      </x:c>
      <x:c r="L3420" s="87" t="str">
        <x:v>Краткое задание по биологии</x:v>
      </x:c>
      <x:c r="M3420" s="30" t="str">
        <x:v>Установите соответствие между открытиями и учёными: к каждой позиции,
     данной в первом столбце, подберите соответствующую позицию из второго
     столбца.
                           ОТКРЫТИЯ                                            УЧЁНЫЕ
     А) создание бинарной номенклатуры                                      1) К. Линней
     Б) определение естественного отбора в качестве                         2) Ж.Б. Ламарк
        движущей силы эволюции                                              3) Ч. Дарвин
     В) создание системы соподчинённых таксонов
     Г) разделение изменчивости на определённую и
        неопределённую
     Д) закон о наследовании благоприобретённых признаков
     Е) расположение организмов в восходящем порядке
        согласно принципу градации
     Запишите в таблицу выбранные цифры под соответствующими буквами.
                А Б В Г Д Е
     Ответ:
                                    согласия СтатГрад запрещена</x:v>
      </x:c>
      <x:c r="N3420" s="30" t="str">
        <x:v>131322</x:v>
      </x:c>
      <x:c r="O3420" s="30" t="str">
        <x:v>Ответ проверен по условию и официальным материалам.</x:v>
      </x:c>
      <x:c r="P3420" s="30" t="str">
        <x:v>Визуальный контекст связан с полной страницей JPEG.</x:v>
      </x:c>
      <x:c r="Q3420" s="30"/>
      <x:c r="R3420" s="30" t="str">
        <x:v>Официальный ключ + независимая проверка</x:v>
      </x:c>
      <x:c r="S3420" s="30"/>
      <x:c r="T3420" s="30"/>
      <x:c r="U3420" s="30" t="str">
        <x:v>Расхождений не обнаружено.</x:v>
      </x:c>
      <x:c r="V3420" s="87" t="str">
        <x:v>VERIFIED</x:v>
      </x:c>
      <x:c r="W3420" s="87" t="str">
        <x:v>tasks_b.pdf, стр. 24</x:v>
      </x:c>
      <x:c r="X3420" s="87"/>
      <x:c r="Y3420" s="87"/>
      <x:c r="Z3420" s="87"/>
      <x:c r="AA3420" s="87"/>
      <x:c r="AB3420" s="87"/>
      <x:c r="AC3420" s="87" t="str">
        <x:v>VIS-BIO-OCT-021</x:v>
      </x:c>
      <x:c r="AD3420" s="87"/>
      <x:c r="AE3420" s="87"/>
      <x:c r="AF3420" s="87" t="str">
        <x:v>VIS-BIO-OCT-021: 24</x:v>
      </x:c>
      <x:c r="AG3420" s="87" t="str">
        <x:v>RESOLVED</x:v>
      </x:c>
      <x:c r="AH3420" s="87" t="str">
        <x:v>CROP_VERIFIED</x:v>
      </x:c>
      <x:c r="AI3420" s="30"/>
      <x:c r="AJ3420" s="87" t="str">
        <x:v>master</x:v>
      </x:c>
      <x:c r="AK3420" s="87" t="str">
        <x:v>master-v0.81</x:v>
      </x:c>
      <x:c r="AL3420" s="87" t="str">
        <x:v>statgrad_master_base_v0_81_final(2).xlsx</x:v>
      </x:c>
      <x:c r="AM3420" s="87" t="str">
        <x:v>BIO_Oct_V2</x:v>
      </x:c>
      <x:c r="AN3420" s="87" t="n">
        <x:v>20</x:v>
      </x:c>
    </x:row>
    <x:row r="3421">
      <x:c r="A3421" s="87" t="n">
        <x:v>3420</x:v>
      </x:c>
      <x:c r="B3421" s="87" t="str">
        <x:v>OCT-BIO-102-020</x:v>
      </x:c>
      <x:c r="C3421" s="87" t="str">
        <x:v>СтатГрад</x:v>
      </x:c>
      <x:c r="D3421" s="87" t="str">
        <x:v>Октябрь 2025</x:v>
      </x:c>
      <x:c r="E3421" s="87"/>
      <x:c r="F3421" s="87"/>
      <x:c r="G3421" s="87" t="str">
        <x:v>Биология</x:v>
      </x:c>
      <x:c r="H3421" s="87" t="n">
        <x:v>11</x:v>
      </x:c>
      <x:c r="I3421" s="87" t="str">
        <x:v>ТР №1</x:v>
      </x:c>
      <x:c r="J3421" s="87" t="str">
        <x:v>БИ2510102</x:v>
      </x:c>
      <x:c r="K3421" s="87" t="n">
        <x:v>20</x:v>
      </x:c>
      <x:c r="L3421" s="87" t="str">
        <x:v>Краткое задание по биологии</x:v>
      </x:c>
      <x:c r="M3421" s="30" t="str">
        <x:v>Рассмотрите организмы, которые образуют пищевую цепь «растение-тля-
     муравей».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Тип
                                        Значение                     Функциональная
       взаимоотношений
                                    взаимоотношений                  группа муравьёв
         между тлями и
                                        для тлей                      в данной цепи
          муравьями
     _________________(А) ___________________(Б) ___________________(В)
     Список элементов
     1) консумент I порядка
     2) паразитизм
     3) защита от хищников
     4) мутуализм
     5) сокращение пищевых ресурсов
     6) консумент II порядка
     7) конкуренция
     8) консумент III порядка
     Запишите в таблицу выбранные цифры под соответствующими буквами.
                А Б В
     Ответ:
                                    согласия СтатГрад запрещена</x:v>
      </x:c>
      <x:c r="N3421" s="30" t="str">
        <x:v>436</x:v>
      </x:c>
      <x:c r="O3421" s="30" t="str">
        <x:v>Ответ проверен по условию и официальным материалам.</x:v>
      </x:c>
      <x:c r="P3421" s="30" t="str">
        <x:v>Визуальный контекст связан с полной страницей JPEG.</x:v>
      </x:c>
      <x:c r="Q3421" s="30"/>
      <x:c r="R3421" s="30" t="str">
        <x:v>Официальный ключ + независимая проверка</x:v>
      </x:c>
      <x:c r="S3421" s="30"/>
      <x:c r="T3421" s="30"/>
      <x:c r="U3421" s="30" t="str">
        <x:v>Расхождений не обнаружено.</x:v>
      </x:c>
      <x:c r="V3421" s="87" t="str">
        <x:v>VERIFIED</x:v>
      </x:c>
      <x:c r="W3421" s="87" t="str">
        <x:v>tasks_b.pdf, стр. 25</x:v>
      </x:c>
      <x:c r="X3421" s="87"/>
      <x:c r="Y3421" s="87"/>
      <x:c r="Z3421" s="87"/>
      <x:c r="AA3421" s="87"/>
      <x:c r="AB3421" s="87"/>
      <x:c r="AC3421" s="87" t="str">
        <x:v>VIS-BIO-OCT-022</x:v>
      </x:c>
      <x:c r="AD3421" s="87"/>
      <x:c r="AE3421" s="87"/>
      <x:c r="AF3421" s="87" t="str">
        <x:v>VIS-BIO-OCT-022: 25</x:v>
      </x:c>
      <x:c r="AG3421" s="87" t="str">
        <x:v>RESOLVED</x:v>
      </x:c>
      <x:c r="AH3421" s="87" t="str">
        <x:v>CROP_VERIFIED</x:v>
      </x:c>
      <x:c r="AI3421" s="30"/>
      <x:c r="AJ3421" s="87" t="str">
        <x:v>master</x:v>
      </x:c>
      <x:c r="AK3421" s="87" t="str">
        <x:v>master-v0.81</x:v>
      </x:c>
      <x:c r="AL3421" s="87" t="str">
        <x:v>statgrad_master_base_v0_81_final(2).xlsx</x:v>
      </x:c>
      <x:c r="AM3421" s="87" t="str">
        <x:v>BIO_Oct_V2</x:v>
      </x:c>
      <x:c r="AN3421" s="87" t="n">
        <x:v>21</x:v>
      </x:c>
    </x:row>
    <x:row r="3422">
      <x:c r="A3422" s="87" t="n">
        <x:v>3421</x:v>
      </x:c>
      <x:c r="B3422" s="87" t="str">
        <x:v>OCT-BIO-102-021</x:v>
      </x:c>
      <x:c r="C3422" s="87" t="str">
        <x:v>СтатГрад</x:v>
      </x:c>
      <x:c r="D3422" s="87" t="str">
        <x:v>Октябрь 2025</x:v>
      </x:c>
      <x:c r="E3422" s="87"/>
      <x:c r="F3422" s="87"/>
      <x:c r="G3422" s="87" t="str">
        <x:v>Биология</x:v>
      </x:c>
      <x:c r="H3422" s="87" t="n">
        <x:v>11</x:v>
      </x:c>
      <x:c r="I3422" s="87" t="str">
        <x:v>ТР №1</x:v>
      </x:c>
      <x:c r="J3422" s="87" t="str">
        <x:v>БИ2510102</x:v>
      </x:c>
      <x:c r="K3422" s="87" t="n">
        <x:v>21</x:v>
      </x:c>
      <x:c r="L3422" s="87" t="str">
        <x:v>Краткое задание по биологии</x:v>
      </x:c>
      <x:c r="M3422" s="30" t="str">
        <x:v>Проанализируйте таблицу «Данные о вакцинации против заболевания Х
     в ряде стран с наибольшим уровнем заболеваемости».
                                     Количество               Доля вакцинированных
             Страна               вакцинированных,             от общей численности
                                        млн                        населения, %
     КНР                                 622                           43,2
     Индия                              385,6                          27,9
     CША                                193,2                          58,4
     Бразилия                            108                           50,8
     Германия                            51,6                          61,6
     Великобритания                      46,9                          69,1
     Франция                             43,6                          66,9
     Турция                              41,3                          49,0
     Италия                              39,2                          64,8
     Российская Федерация                38,1                          26,0
     Испания                             32,9                          70,4
     Канада                              27,1                          71,9
     ОАЭ                                 7,9                           79,8
     Израиль                             5,8                           67,0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Наименьшая доля численности вакцинированных обнаруживается
        в Российской Федерации.
     2) Для стран с холодным климатом данное заболевание не опасно, поэтому
        доля вакцинированных не столь существенна.
     3) Доля сомневающихся в эффективности прививок в Великобритании –
        30,9 % от общего населения.
     4) КНР и Индия – страны с самым большим населением.
     5) Население КНР превышает 1 млрд человек.
     Ответ: ___________________________.
                                    согласия СтатГрад запрещена</x:v>
      </x:c>
      <x:c r="N3422" s="30" t="str">
        <x:v>15</x:v>
      </x:c>
      <x:c r="O3422" s="30" t="str">
        <x:v>Ответ проверен по условию и официальным материалам.</x:v>
      </x:c>
      <x:c r="P3422" s="30" t="str">
        <x:v>Визуальный контекст связан с полной страницей JPEG.</x:v>
      </x:c>
      <x:c r="Q3422" s="30"/>
      <x:c r="R3422" s="30" t="str">
        <x:v>Официальный ключ + независимая проверка</x:v>
      </x:c>
      <x:c r="S3422" s="30"/>
      <x:c r="T3422" s="30"/>
      <x:c r="U3422" s="30" t="str">
        <x:v>Расхождений не обнаружено.</x:v>
      </x:c>
      <x:c r="V3422" s="87" t="str">
        <x:v>VERIFIED</x:v>
      </x:c>
      <x:c r="W3422" s="87" t="str">
        <x:v>tasks_b.pdf, стр. 26</x:v>
      </x:c>
      <x:c r="X3422" s="87"/>
      <x:c r="Y3422" s="87"/>
      <x:c r="Z3422" s="87"/>
      <x:c r="AA3422" s="87"/>
      <x:c r="AB3422" s="87"/>
      <x:c r="AC3422" s="87" t="str">
        <x:v>VIS-BIO-OCT-023</x:v>
      </x:c>
      <x:c r="AD3422" s="87"/>
      <x:c r="AE3422" s="87"/>
      <x:c r="AF3422" s="87" t="str">
        <x:v>VIS-BIO-OCT-023: 26</x:v>
      </x:c>
      <x:c r="AG3422" s="87" t="str">
        <x:v>RESOLVED</x:v>
      </x:c>
      <x:c r="AH3422" s="87" t="str">
        <x:v>CROP_VERIFIED</x:v>
      </x:c>
      <x:c r="AI3422" s="30"/>
      <x:c r="AJ3422" s="87" t="str">
        <x:v>master</x:v>
      </x:c>
      <x:c r="AK3422" s="87" t="str">
        <x:v>master-v0.81</x:v>
      </x:c>
      <x:c r="AL3422" s="87" t="str">
        <x:v>statgrad_master_base_v0_81_final(2).xlsx</x:v>
      </x:c>
      <x:c r="AM3422" s="87" t="str">
        <x:v>BIO_Oct_V2</x:v>
      </x:c>
      <x:c r="AN3422" s="87" t="n">
        <x:v>22</x:v>
      </x:c>
    </x:row>
    <x:row r="3423">
      <x:c r="A3423" s="87" t="n">
        <x:v>3422</x:v>
      </x:c>
      <x:c r="B3423" s="87" t="str">
        <x:v>OCT-BIO-102-022</x:v>
      </x:c>
      <x:c r="C3423" s="87" t="str">
        <x:v>СтатГрад</x:v>
      </x:c>
      <x:c r="D3423" s="87" t="str">
        <x:v>Октябрь 2025</x:v>
      </x:c>
      <x:c r="E3423" s="87"/>
      <x:c r="F3423" s="87"/>
      <x:c r="G3423" s="87" t="str">
        <x:v>Биология</x:v>
      </x:c>
      <x:c r="H3423" s="87" t="n">
        <x:v>11</x:v>
      </x:c>
      <x:c r="I3423" s="87" t="str">
        <x:v>ТР №1</x:v>
      </x:c>
      <x:c r="J3423" s="87" t="str">
        <x:v>БИ2510102</x:v>
      </x:c>
      <x:c r="K3423" s="87" t="n">
        <x:v>22</x:v>
      </x:c>
      <x:c r="L3423" s="87" t="str">
        <x:v>Методология эксперимента</x:v>
      </x:c>
      <x:c r="M3423" s="30" t="str">
        <x:v>Сформулируйте нулевую гипотезу* для данного исследования. Почему
     результаты были бы недостоверными, если бы учёный использовал
     по одному растению для каждой длины волны?
     * Нулевая гипотеза – принимаемое по умолчанию предположение, что
     не существует связи между двумя наблюдаемыми событиями, феноменами.</x:v>
      </x:c>
      <x:c r="N3423" s="30" t="str">
        <x:v>Содержание верного ответа и указания по оцениванию
         (допускаются иные формулировки ответа, не искажающие его смысла)
                                                                                      Баллы
     Элементы ответа:
     1) длина волны (цвет) света не влияет на скорость роста растений;
     2) отдельные растения могут иметь индивидуальные особенности,
     влияющие на скорость их роста;
     3) это не позволит достоверно установить, есть ли различия
     в скорости роста растений в зависимости от длины волны (цвета)
     света.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Все иные ситуации, не соответствующие правилам выставления 3,
                                                                                          0
     2 и 1 балла
                                                    Максимальный балл                     3
                                    согласия СтатГрад запрещена</x:v>
      </x:c>
      <x:c r="O3423" s="30" t="str">
        <x:v>Ответ проверен по условию и официальным материалам.</x:v>
      </x:c>
      <x:c r="P3423" s="30" t="str">
        <x:v>Визуальный контекст связан с полной страницей JPEG.</x:v>
      </x:c>
      <x:c r="Q3423" s="30"/>
      <x:c r="R3423" s="30" t="str">
        <x:v>Официальные критерии</x:v>
      </x:c>
      <x:c r="S3423" s="30"/>
      <x:c r="T3423" s="30"/>
      <x:c r="U3423" s="30" t="str">
        <x:v>Расхождений не обнаружено.</x:v>
      </x:c>
      <x:c r="V3423" s="87" t="str">
        <x:v>VERIFIED</x:v>
      </x:c>
      <x:c r="W3423" s="87" t="str">
        <x:v>tasks_b.pdf, стр. 27</x:v>
      </x:c>
      <x:c r="X3423" s="87"/>
      <x:c r="Y3423" s="87"/>
      <x:c r="Z3423" s="87"/>
      <x:c r="AA3423" s="87"/>
      <x:c r="AB3423" s="87"/>
      <x:c r="AC3423" s="87"/>
      <x:c r="AD3423" s="87"/>
      <x:c r="AE3423" s="87"/>
      <x:c r="AF3423" s="87"/>
      <x:c r="AG3423" s="87"/>
      <x:c r="AH3423" s="87"/>
      <x:c r="AI3423" s="30"/>
      <x:c r="AJ3423" s="87" t="str">
        <x:v>master</x:v>
      </x:c>
      <x:c r="AK3423" s="87" t="str">
        <x:v>master-v0.81</x:v>
      </x:c>
      <x:c r="AL3423" s="87" t="str">
        <x:v>statgrad_master_base_v0_81_final(2).xlsx</x:v>
      </x:c>
      <x:c r="AM3423" s="87" t="str">
        <x:v>BIO_Oct_V2</x:v>
      </x:c>
      <x:c r="AN3423" s="87" t="n">
        <x:v>23</x:v>
      </x:c>
    </x:row>
    <x:row r="3424">
      <x:c r="A3424" s="87" t="n">
        <x:v>3423</x:v>
      </x:c>
      <x:c r="B3424" s="87" t="str">
        <x:v>OCT-BIO-102-023</x:v>
      </x:c>
      <x:c r="C3424" s="87" t="str">
        <x:v>СтатГрад</x:v>
      </x:c>
      <x:c r="D3424" s="87" t="str">
        <x:v>Октябрь 2025</x:v>
      </x:c>
      <x:c r="E3424" s="87"/>
      <x:c r="F3424" s="87"/>
      <x:c r="G3424" s="87" t="str">
        <x:v>Биология</x:v>
      </x:c>
      <x:c r="H3424" s="87" t="n">
        <x:v>11</x:v>
      </x:c>
      <x:c r="I3424" s="87" t="str">
        <x:v>ТР №1</x:v>
      </x:c>
      <x:c r="J3424" s="87" t="str">
        <x:v>БИ2510102</x:v>
      </x:c>
      <x:c r="K3424" s="87" t="n">
        <x:v>23</x:v>
      </x:c>
      <x:c r="L3424" s="87" t="str">
        <x:v>Физиология растений</x:v>
      </x:c>
      <x:c r="M3424" s="30" t="str">
        <x:v>Предположите, какой результат получил исследователь. Объясните, почему
     получилось именно так. Свет каких двух цветов наиболее предпочтителен
     для выращивания растений? Ответ поясните.</x:v>
      </x:c>
      <x:c r="N3424" s="30" t="str">
        <x:v>Содержание верного ответа и указания по оцениванию
         (допускаются иные формулировки ответа, не искажающие его смысла)
                                                                                       Баллы
     Элементы ответа:
     1) под синим светом растения выросли выше (под зелёным светом
     растения выросли меньше);
     2) хлорофилл поглощает синий свет лучше, чем зелёный
     (поглощает синий и отражает зелёный);
     3) из-за этого энергия зелёного света почти не усваивается
     растением;
     4) синий и красный.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три из названных выше элементов, которые
                                                                                          2
     не содержат биологических ошибок
     Ответ включает в себя два из названных выше элементов, которые
                                                                                          1
     не содержат биологических ошибок
     Все иные ситуации, не соответствующие правилам выставления 3,
                                                                                          0
     2 и 1 балла
                                                 Максимальный балл                        3
                                    согласия СтатГрад запрещена</x:v>
      </x:c>
      <x:c r="O3424" s="30" t="str">
        <x:v>Ответ проверен по условию и официальным материалам.</x:v>
      </x:c>
      <x:c r="P3424" s="30" t="str">
        <x:v>Визуальный контекст связан с полной страницей JPEG.</x:v>
      </x:c>
      <x:c r="Q3424" s="30"/>
      <x:c r="R3424" s="30" t="str">
        <x:v>Официальные критерии</x:v>
      </x:c>
      <x:c r="S3424" s="30"/>
      <x:c r="T3424" s="30"/>
      <x:c r="U3424" s="30" t="str">
        <x:v>Расхождений не обнаружено.</x:v>
      </x:c>
      <x:c r="V3424" s="87" t="str">
        <x:v>VERIFIED</x:v>
      </x:c>
      <x:c r="W3424" s="87" t="str">
        <x:v>tasks_b.pdf, стр. 27</x:v>
      </x:c>
      <x:c r="X3424" s="87"/>
      <x:c r="Y3424" s="87"/>
      <x:c r="Z3424" s="87"/>
      <x:c r="AA3424" s="87"/>
      <x:c r="AB3424" s="87"/>
      <x:c r="AC3424" s="87"/>
      <x:c r="AD3424" s="87"/>
      <x:c r="AE3424" s="87"/>
      <x:c r="AF3424" s="87"/>
      <x:c r="AG3424" s="87"/>
      <x:c r="AH3424" s="87"/>
      <x:c r="AI3424" s="30"/>
      <x:c r="AJ3424" s="87" t="str">
        <x:v>master</x:v>
      </x:c>
      <x:c r="AK3424" s="87" t="str">
        <x:v>master-v0.81</x:v>
      </x:c>
      <x:c r="AL3424" s="87" t="str">
        <x:v>statgrad_master_base_v0_81_final(2).xlsx</x:v>
      </x:c>
      <x:c r="AM3424" s="87" t="str">
        <x:v>BIO_Oct_V2</x:v>
      </x:c>
      <x:c r="AN3424" s="87" t="n">
        <x:v>24</x:v>
      </x:c>
    </x:row>
    <x:row r="3425">
      <x:c r="A3425" s="87" t="n">
        <x:v>3424</x:v>
      </x:c>
      <x:c r="B3425" s="87" t="str">
        <x:v>OCT-BIO-102-024</x:v>
      </x:c>
      <x:c r="C3425" s="87" t="str">
        <x:v>СтатГрад</x:v>
      </x:c>
      <x:c r="D3425" s="87" t="str">
        <x:v>Октябрь 2025</x:v>
      </x:c>
      <x:c r="E3425" s="87"/>
      <x:c r="F3425" s="87"/>
      <x:c r="G3425" s="87" t="str">
        <x:v>Биология</x:v>
      </x:c>
      <x:c r="H3425" s="87" t="n">
        <x:v>11</x:v>
      </x:c>
      <x:c r="I3425" s="87" t="str">
        <x:v>ТР №1</x:v>
      </x:c>
      <x:c r="J3425" s="87" t="str">
        <x:v>БИ2510102</x:v>
      </x:c>
      <x:c r="K3425" s="87" t="n">
        <x:v>24</x:v>
      </x:c>
      <x:c r="L3425" s="87" t="str">
        <x:v>Распознавание объекта</x:v>
      </x:c>
      <x:c r="M3425" s="30" t="str">
        <x:v>Назовите структуры стебля, обозначенные на рисунке цифрами 1 и 2.
     Какие функции они выполняют? К какому классу относится растение,
     поперечный срез которого изображён на рисунке. Ответ поясните.
                                    согласия СтатГрад запрещена</x:v>
      </x:c>
      <x:c r="N3425" s="30" t="str">
        <x:v>Содержание верного ответа и указания по оцениванию
         (допускаются иные формулировки ответа, не искажающие его смысла)
                                                                                       Баллы
     Элементы ответа:
     1) 1 – ксилема (сосуды);
     2) 2 – флоэма (ситовидные трубки);
     3) ксилема обеспечивает транспорт воды и минеральных солей;
     4) флоэма обеспечивает транспорт органических веществ;
     5) класс Двудольные;
     6) кольцевое расположение сосудисто-проводящих пучков
     (наличие камбия, кольцевой меристемы).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четыре-пять из названных выше элементов,
                                                                                          2
     которые не содержат биологических ошибок
     Ответ включает в себя три из названных выше элементов, которые
     не содержат биологических ошибок
     ИЛИ ответ включает в себя четыре и более из названных выше                           1
     элементов, которые не содержат биологических ошибок, но
     неверно определена одна из структур
     Все иные ситуации, не соответствующие правилам выставления 3,
     2 и 1 балла                                                                          0
     ИЛИ неверно определены обе структуры
                                                  Максимальный балл                       3
                                    согласия СтатГрад запрещена</x:v>
      </x:c>
      <x:c r="O3425" s="30" t="str">
        <x:v>Ответ проверен по условию и официальным материалам.</x:v>
      </x:c>
      <x:c r="P3425" s="30" t="str">
        <x:v>Визуальный контекст связан с полной страницей JPEG.</x:v>
      </x:c>
      <x:c r="Q3425" s="30"/>
      <x:c r="R3425" s="30" t="str">
        <x:v>Официальные критерии</x:v>
      </x:c>
      <x:c r="S3425" s="30"/>
      <x:c r="T3425" s="30"/>
      <x:c r="U3425" s="30" t="str">
        <x:v>Расхождений не обнаружено.</x:v>
      </x:c>
      <x:c r="V3425" s="87" t="str">
        <x:v>VERIFIED</x:v>
      </x:c>
      <x:c r="W3425" s="87" t="str">
        <x:v>tasks_b.pdf, стр. 27</x:v>
      </x:c>
      <x:c r="X3425" s="87"/>
      <x:c r="Y3425" s="87"/>
      <x:c r="Z3425" s="87"/>
      <x:c r="AA3425" s="87"/>
      <x:c r="AB3425" s="87"/>
      <x:c r="AC3425" s="87" t="str">
        <x:v>VIS-BIO-OCT-024</x:v>
      </x:c>
      <x:c r="AD3425" s="87"/>
      <x:c r="AE3425" s="87"/>
      <x:c r="AF3425" s="87" t="str">
        <x:v>VIS-BIO-OCT-024: 27</x:v>
      </x:c>
      <x:c r="AG3425" s="87" t="str">
        <x:v>RESOLVED</x:v>
      </x:c>
      <x:c r="AH3425" s="87" t="str">
        <x:v>CROP_VERIFIED; TASK_CROP_QA_APPROVED:USE_CONTEXT</x:v>
      </x:c>
      <x:c r="AI3425" s="30"/>
      <x:c r="AJ3425" s="87" t="str">
        <x:v>master</x:v>
      </x:c>
      <x:c r="AK3425" s="87" t="str">
        <x:v>master-v0.81</x:v>
      </x:c>
      <x:c r="AL3425" s="87" t="str">
        <x:v>statgrad_master_base_v0_81_final(2).xlsx</x:v>
      </x:c>
      <x:c r="AM3425" s="87" t="str">
        <x:v>BIO_Oct_V2</x:v>
      </x:c>
      <x:c r="AN3425" s="87" t="n">
        <x:v>25</x:v>
      </x:c>
    </x:row>
    <x:row r="3426">
      <x:c r="A3426" s="87" t="n">
        <x:v>3425</x:v>
      </x:c>
      <x:c r="B3426" s="87" t="str">
        <x:v>OCT-BIO-102-025</x:v>
      </x:c>
      <x:c r="C3426" s="87" t="str">
        <x:v>СтатГрад</x:v>
      </x:c>
      <x:c r="D3426" s="87" t="str">
        <x:v>Октябрь 2025</x:v>
      </x:c>
      <x:c r="E3426" s="87"/>
      <x:c r="F3426" s="87"/>
      <x:c r="G3426" s="87" t="str">
        <x:v>Биология</x:v>
      </x:c>
      <x:c r="H3426" s="87" t="n">
        <x:v>11</x:v>
      </x:c>
      <x:c r="I3426" s="87" t="str">
        <x:v>ТР №1</x:v>
      </x:c>
      <x:c r="J3426" s="87" t="str">
        <x:v>БИ2510102</x:v>
      </x:c>
      <x:c r="K3426" s="87" t="n">
        <x:v>25</x:v>
      </x:c>
      <x:c r="L3426" s="87" t="str">
        <x:v>Размножение человека</x:v>
      </x:c>
      <x:c r="M3426" s="30" t="str">
        <x:v>Почему у куриц, выращенных на птицефабриках кости менее прочные,
     чем у диких? Какие вещества и каким образом обеспечивают прочность
     костей у животных? Почему у куриц-несушек кости тоньше и легче,
     чем у мясных пород кур? Дайте аргументированный ответ</x:v>
      </x:c>
      <x:c r="N3426" s="30" t="str">
        <x:v>Содержание верного ответа и указания по оцениванию
         (допускаются иные формулировки ответа, не искажающие его смысла)
                                                                                      Баллы
     Элементы ответа:
     1) курицы на птицефабриках мало двигаются (гиподинамия)
     ИЛИ
     1) куры на птицефабриках быстрее растут, поэтому кости не
     успевают становиться прочными;
     2) из-за этого кровоснабжение костей недостаточное (мало
     питательных веществ приходит к костям)
     ИЛИ
     1) недостаточно естественного освещения;
     2) не хватает витамина D, влияющего на формирование костей;
     3) неорганические вещества (минеральные соли; соли кальция,
     гидроксиапатит) обеспечивают твёрдость костей (жёсткость);
     4) органические вещества (коллаген) обеспечивают упругость
     костей (эластичность, прочность на разрыв);
     5) у несушек много кальция идёт на формирование скорлупы яиц
     ИЛИ
     5) тело несушек легче, и костям не нужно выдерживать большую
     нагрузку.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из названные выше элементы, не
                                                                                          3
     содержит биологических ошибок
     Ответ включает в себя четыре из названных выше элементов,
                                                                                          2
     которые не содержат биологических ошибок
     Ответ включает в себя три из названных выше элементов, которые
                                                                                          1
     не содержат биологических ошибок
     Все иные ситуации, не соответствующие правилам выставления 3,
                                                                                          0
     2 и 1 балла
                                                 Максимальный балл                        3
                                    согласия СтатГрад запрещена</x:v>
      </x:c>
      <x:c r="O3426" s="30" t="str">
        <x:v>Ответ проверен по условию и официальным материалам.</x:v>
      </x:c>
      <x:c r="P3426" s="30" t="str">
        <x:v>Визуальный контекст связан с полной страницей JPEG.</x:v>
      </x:c>
      <x:c r="Q3426" s="30"/>
      <x:c r="R3426" s="30" t="str">
        <x:v>Официальные критерии</x:v>
      </x:c>
      <x:c r="S3426" s="30"/>
      <x:c r="T3426" s="30"/>
      <x:c r="U3426" s="30" t="str">
        <x:v>Расхождений не обнаружено.</x:v>
      </x:c>
      <x:c r="V3426" s="87" t="str">
        <x:v>VERIFIED</x:v>
      </x:c>
      <x:c r="W3426" s="87" t="str">
        <x:v>tasks_b.pdf, стр. 28</x:v>
      </x:c>
      <x:c r="X3426" s="87"/>
      <x:c r="Y3426" s="87"/>
      <x:c r="Z3426" s="87"/>
      <x:c r="AA3426" s="87"/>
      <x:c r="AB3426" s="87"/>
      <x:c r="AC3426" s="87"/>
      <x:c r="AD3426" s="87"/>
      <x:c r="AE3426" s="87"/>
      <x:c r="AF3426" s="87"/>
      <x:c r="AG3426" s="87"/>
      <x:c r="AH3426" s="87"/>
      <x:c r="AI3426" s="30"/>
      <x:c r="AJ3426" s="87" t="str">
        <x:v>master</x:v>
      </x:c>
      <x:c r="AK3426" s="87" t="str">
        <x:v>master-v0.81</x:v>
      </x:c>
      <x:c r="AL3426" s="87" t="str">
        <x:v>statgrad_master_base_v0_81_final(2).xlsx</x:v>
      </x:c>
      <x:c r="AM3426" s="87" t="str">
        <x:v>BIO_Oct_V2</x:v>
      </x:c>
      <x:c r="AN3426" s="87" t="n">
        <x:v>26</x:v>
      </x:c>
    </x:row>
    <x:row r="3427">
      <x:c r="A3427" s="87" t="n">
        <x:v>3426</x:v>
      </x:c>
      <x:c r="B3427" s="87" t="str">
        <x:v>OCT-BIO-102-026</x:v>
      </x:c>
      <x:c r="C3427" s="87" t="str">
        <x:v>СтатГрад</x:v>
      </x:c>
      <x:c r="D3427" s="87" t="str">
        <x:v>Октябрь 2025</x:v>
      </x:c>
      <x:c r="E3427" s="87"/>
      <x:c r="F3427" s="87"/>
      <x:c r="G3427" s="87" t="str">
        <x:v>Биология</x:v>
      </x:c>
      <x:c r="H3427" s="87" t="n">
        <x:v>11</x:v>
      </x:c>
      <x:c r="I3427" s="87" t="str">
        <x:v>ТР №1</x:v>
      </x:c>
      <x:c r="J3427" s="87" t="str">
        <x:v>БИ2510102</x:v>
      </x:c>
      <x:c r="K3427" s="87" t="n">
        <x:v>26</x:v>
      </x:c>
      <x:c r="L3427" s="87" t="str">
        <x:v>Зоология паразитов</x:v>
      </x:c>
      <x:c r="M3427" s="30" t="str">
        <x:v>Назовите среду обитания ленточных червей. Какое значение в этой среде
     имеют такие особенности ленточных червей как микротрихии (микроско-
     пические выросты кожного покрова), гермафродитная половая система
     и присоски на голове? Какой путь эволюции иллюстрирует утрата
     пищеварительной системы у ленточных червей?</x:v>
      </x:c>
      <x:c r="N3427" s="30" t="str">
        <x:v>Содержание верного ответа и указания по оцениванию
         (допускаются иные формулировки ответа, не искажающие его смысла)
                                                                                       Баллы
     Элементы ответа:
     1) организменная среда;
     2) микротрихии увеличивают площадь покровов для всасывания
     питательных веществ;
     3) гермафродитная половая система позволяет обеспечить высокую
     плодовитость (независимость от поиска полового партнёра);
     4) присоски на голове удерживают червя в теле хозяина;
     5) общая дегенерация.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четыре из названных выше элементов,
                                                                                          2
     которые не содержат биологических ошибок
     Ответ включает в себя три из названных выше элементов, которые
                                                                                          1
     не содержат биологических ошибок
     Все иные ситуации, не соответствующие правилам выставления 3,
                                                                                          0
     2 и 1 балла
                                                   Максимальный балл                      3
                                    согласия СтатГрад запрещена</x:v>
      </x:c>
      <x:c r="O3427" s="30" t="str">
        <x:v>Ответ проверен по условию и официальным материалам.</x:v>
      </x:c>
      <x:c r="P3427" s="30" t="str">
        <x:v>Визуальный контекст связан с полной страницей JPEG.</x:v>
      </x:c>
      <x:c r="Q3427" s="30"/>
      <x:c r="R3427" s="30" t="str">
        <x:v>Официальные критерии</x:v>
      </x:c>
      <x:c r="S3427" s="30"/>
      <x:c r="T3427" s="30"/>
      <x:c r="U3427" s="30" t="str">
        <x:v>Расхождений не обнаружено.</x:v>
      </x:c>
      <x:c r="V3427" s="87" t="str">
        <x:v>VERIFIED</x:v>
      </x:c>
      <x:c r="W3427" s="87" t="str">
        <x:v>tasks_b.pdf, стр. 28</x:v>
      </x:c>
      <x:c r="X3427" s="87"/>
      <x:c r="Y3427" s="87"/>
      <x:c r="Z3427" s="87"/>
      <x:c r="AA3427" s="87"/>
      <x:c r="AB3427" s="87"/>
      <x:c r="AC3427" s="87"/>
      <x:c r="AD3427" s="87"/>
      <x:c r="AE3427" s="87"/>
      <x:c r="AF3427" s="87"/>
      <x:c r="AG3427" s="87"/>
      <x:c r="AH3427" s="87"/>
      <x:c r="AI3427" s="30"/>
      <x:c r="AJ3427" s="87" t="str">
        <x:v>master</x:v>
      </x:c>
      <x:c r="AK3427" s="87" t="str">
        <x:v>master-v0.81</x:v>
      </x:c>
      <x:c r="AL3427" s="87" t="str">
        <x:v>statgrad_master_base_v0_81_final(2).xlsx</x:v>
      </x:c>
      <x:c r="AM3427" s="87" t="str">
        <x:v>BIO_Oct_V2</x:v>
      </x:c>
      <x:c r="AN3427" s="87" t="n">
        <x:v>27</x:v>
      </x:c>
    </x:row>
    <x:row r="3428">
      <x:c r="A3428" s="87" t="n">
        <x:v>3427</x:v>
      </x:c>
      <x:c r="B3428" s="87" t="str">
        <x:v>OCT-BIO-102-027</x:v>
      </x:c>
      <x:c r="C3428" s="87" t="str">
        <x:v>СтатГрад</x:v>
      </x:c>
      <x:c r="D3428" s="87" t="str">
        <x:v>Октябрь 2025</x:v>
      </x:c>
      <x:c r="E3428" s="87"/>
      <x:c r="F3428" s="87"/>
      <x:c r="G3428" s="87" t="str">
        <x:v>Биология</x:v>
      </x:c>
      <x:c r="H3428" s="87" t="n">
        <x:v>11</x:v>
      </x:c>
      <x:c r="I3428" s="87" t="str">
        <x:v>ТР №1</x:v>
      </x:c>
      <x:c r="J3428" s="87" t="str">
        <x:v>БИ2510102</x:v>
      </x:c>
      <x:c r="K3428" s="87" t="n">
        <x:v>27</x:v>
      </x:c>
      <x:c r="L3428" s="87" t="str">
        <x:v>Генетическая задача</x:v>
      </x:c>
      <x:c r="M3428" s="30" t="str">
        <x:v>Известно, что комплементарные цепи нуклеиновых кислот антипараллельны
     (5’ концу одной цепи соответствует 3’ конец другой цепи). Синтез
     нуклеиновых кислот начинается с 5’ конца. Рибосома движется по иРНК
     в направлении от 5’ к 3’ концу.
     Ген имеет кодирующую и некодирующую области. Кодирующая область
     гена, включающая старт-кодон и стоп-кодон, называется открытой рамкой
     считывания.    Старт-кодон      соответствует триплету,  кодирующему
     аминокислоту мет. Фрагмент бактериального гена, содержащий полную
     открытую рамку считывания, имеет следующую последовательность
     нуклеотидов:
                      5’-ГАТГАЦГГАЦТЦЦАТАЦГАТААГТАЦА-3’
                      3’-ЦТАЦТГЦЦТГАГГТАТГЦТАТТЦАТГТ-5’
     Определите траскрибируемую цепь ДНК. Ответ поясните. Запишите
     открытую рамку считывания на иРНК и последовательность аминокислот
     в полипептидной цепи. Для выполнения задания используйте таблицу
     генетического кода. При написании последовательностей нуклеиновых
     кислот указывайте направление цепи.
                                    согласия СтатГрад запрещена</x:v>
      </x:c>
      <x:c r="N3428" s="30" t="str">
        <x:v>Содержание верного ответа и указания по оцениванию
              (правильный ответ должен содержать следующие позиции)
                                                                                       Баллы
     Схема решения задачи включает:
     1) транскрибируемая (матричная) цепь ДНК нижняя;
     2) на иРНК присутствуют 5’-АУГ-3’ (старт-кодон)
     (или 3’-ТАЦ-5’ на матричной цепи ДНК; или 5’-АТГ-3’ на
     смысловой цепи ДНК);
     3) на иРНК присутствует 5’-УАА-3’ (стоп-кодон)
     (или 3’-ААТ-5’ на матричной цепи ДНК; или 5’-ТАА-3’ на
     смысловой цепи ДНК);
     4) открытая рамка считывания:
     5’-АУГАЦГГАЦУЦЦАУАЦГАУАА-3’
     ИЛИ
     5’-ГАУГАЦГГАЦУЦЦАУАЦГАУААГУАЦА-3’ (с обязательным
     указанием границ открытой рамки считывания: подчёркнута,
     обведена, отмечены начало и конец и т.п.);
     5) последовательность аминокислот: мет-тре-асп-сер-иле-арг.
     Возможно решение задачи через написание двух вариантов иРНК
     и выбор верной среди них. В таком случае за указание
     на иРНК старт-кодона и стоп-кодона элементы 2 и 3 ответа
     засчитываются как верные
     Ответ включает в себя все названные выше элементы, не содержит
                                                                                          3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Ответ неправильный                                                                   0
                                                  Максимальный балл                       3</x:v>
      </x:c>
      <x:c r="O3428" s="30" t="str">
        <x:v>Ответ проверен по условию и официальным материалам.</x:v>
      </x:c>
      <x:c r="P3428" s="30" t="str">
        <x:v>Визуальный контекст связан с полной страницей JPEG.</x:v>
      </x:c>
      <x:c r="Q3428" s="30"/>
      <x:c r="R3428" s="30" t="str">
        <x:v>Официальные критерии</x:v>
      </x:c>
      <x:c r="S3428" s="30"/>
      <x:c r="T3428" s="30"/>
      <x:c r="U3428" s="30" t="str">
        <x:v>Расхождений не обнаружено.</x:v>
      </x:c>
      <x:c r="V3428" s="87" t="str">
        <x:v>VERIFIED</x:v>
      </x:c>
      <x:c r="W3428" s="87" t="str">
        <x:v>tasks_b.pdf, стр. 28</x:v>
      </x:c>
      <x:c r="X3428" s="87"/>
      <x:c r="Y3428" s="87"/>
      <x:c r="Z3428" s="87"/>
      <x:c r="AA3428" s="87"/>
      <x:c r="AB3428" s="87"/>
      <x:c r="AC3428" s="87"/>
      <x:c r="AD3428" s="87"/>
      <x:c r="AE3428" s="87"/>
      <x:c r="AF3428" s="87"/>
      <x:c r="AG3428" s="87"/>
      <x:c r="AH3428" s="87"/>
      <x:c r="AI3428" s="30"/>
      <x:c r="AJ3428" s="87" t="str">
        <x:v>master</x:v>
      </x:c>
      <x:c r="AK3428" s="87" t="str">
        <x:v>master-v0.81</x:v>
      </x:c>
      <x:c r="AL3428" s="87" t="str">
        <x:v>statgrad_master_base_v0_81_final(2).xlsx</x:v>
      </x:c>
      <x:c r="AM3428" s="87" t="str">
        <x:v>BIO_Oct_V2</x:v>
      </x:c>
      <x:c r="AN3428" s="87" t="n">
        <x:v>28</x:v>
      </x:c>
    </x:row>
    <x:row r="3429">
      <x:c r="A3429" s="87" t="n">
        <x:v>3428</x:v>
      </x:c>
      <x:c r="B3429" s="87" t="str">
        <x:v>OCT-BIO-102-028</x:v>
      </x:c>
      <x:c r="C3429" s="87" t="str">
        <x:v>СтатГрад</x:v>
      </x:c>
      <x:c r="D3429" s="87" t="str">
        <x:v>Октябрь 2025</x:v>
      </x:c>
      <x:c r="E3429" s="87"/>
      <x:c r="F3429" s="87"/>
      <x:c r="G3429" s="87" t="str">
        <x:v>Биология</x:v>
      </x:c>
      <x:c r="H3429" s="87" t="n">
        <x:v>11</x:v>
      </x:c>
      <x:c r="I3429" s="87" t="str">
        <x:v>ТР №1</x:v>
      </x:c>
      <x:c r="J3429" s="87" t="str">
        <x:v>БИ2510102</x:v>
      </x:c>
      <x:c r="K3429" s="87" t="n">
        <x:v>28</x:v>
      </x:c>
      <x:c r="L3429" s="87" t="str">
        <x:v>Генетическая задача</x:v>
      </x:c>
      <x:c r="M3429" s="30" t="str">
        <x:v>У дрозофилы гетерогаметным полом является мужской.
     При скрещивании самок с красно-коричневыми глазами и нормальными
     крыльями и самцов, имеющих алые глаза и обрезанные крылья, всё
     потомство оказалось единообразным по признакам цвета глаз и формы
     крыльев. При скрещивании самки с алыми глазами и обрезанными крыльями
     и самца с красно-коричневыми глазами и нормальными крыльями
     в потомстве самки имели красно-коричневые глаза и нормальные крылья,
     а самцы – красно-коричневые глаза и обрезанные крылья. Составьте схему
     решения задачи. Определите генотипы, фенотипы и пол всех родителей
     и потомков. Поясните фенотипическое расщепление во втором скрещивании.
                                    согласия СтатГрад запрещена</x:v>
      </x:c>
      <x:c r="N3429" s="30" t="str">
        <x:v>Содержание верного ответа и указания по оцениванию
         (правильный ответ должен содержать следующие позиции)
                                                                                  Баллы
Схема решения задачи включает:
1) P    ♀ AAXBXB             × ♂ aaXbY
        красно-коричневые      алые глаза,
        глаза,                 обрезанные крылья
        нормальные крылья
   G    AXB                    aXb; aY
   F 1 АаXBXb – самка с красно-коричневыми глазами и
        нормальными крыльями,
        AaXBY – самец с красно-коричневыми глазами и
        нормальными крыльями;
2) P     ♀aaXbXb               × ♂AAXBY
         алые глаза,              красно-коричневые глаза,
         обрезанные крылья        нормальные крылья
           b
    G    aX                       AXB; AY
    F 1 АаXBXb – самка с красно-коричневыми глазами и
         нормальными крыльями,
         AaXbY – самец с красно-коричневыми глазами и
         обрезанными крыльями;
3) во втором скрещивании получилось расщепление по форме
крыльев из-за сцепления гена формы крыльев с Х-хромосомой
(гетерогаметный пол наследует этот аллель только от матери, а
гомогаметный – от обоих родителей).
(Допускается иная генетическая символика.)
Первый и второй элементы ответа засчитываются только при
наличии и генотипов, и фенотипов, и пола всех родителей и
потомков
Ответ включает в себя все названные выше элементы и не
                                                                                     3
содержит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Ответ неправильный                                                                   0
                                             Максимальный балл                       3
                               согласия СтатГрад запрещена</x:v>
      </x:c>
      <x:c r="O3429" s="30" t="str">
        <x:v>Ответ проверен по условию и официальным материалам.</x:v>
      </x:c>
      <x:c r="P3429" s="30" t="str">
        <x:v>Визуальный контекст связан с полной страницей JPEG.</x:v>
      </x:c>
      <x:c r="Q3429" s="30"/>
      <x:c r="R3429" s="30" t="str">
        <x:v>Официальные критерии</x:v>
      </x:c>
      <x:c r="S3429" s="30"/>
      <x:c r="T3429" s="30"/>
      <x:c r="U3429" s="30" t="str">
        <x:v>Расхождений не обнаружено.</x:v>
      </x:c>
      <x:c r="V3429" s="87" t="str">
        <x:v>VERIFIED</x:v>
      </x:c>
      <x:c r="W3429" s="87" t="str">
        <x:v>tasks_b.pdf, стр. 29</x:v>
      </x:c>
      <x:c r="X3429" s="87"/>
      <x:c r="Y3429" s="87"/>
      <x:c r="Z3429" s="87"/>
      <x:c r="AA3429" s="87"/>
      <x:c r="AB3429" s="87"/>
      <x:c r="AC3429" s="87" t="str">
        <x:v>VIS-BIO-OCT-025</x:v>
      </x:c>
      <x:c r="AD3429" s="87"/>
      <x:c r="AE3429" s="87"/>
      <x:c r="AF3429" s="87" t="str">
        <x:v>VIS-BIO-OCT-025: 29</x:v>
      </x:c>
      <x:c r="AG3429" s="87" t="str">
        <x:v>RESOLVED</x:v>
      </x:c>
      <x:c r="AH3429" s="87" t="str">
        <x:v>CROP_VERIFIED</x:v>
      </x:c>
      <x:c r="AI3429" s="30"/>
      <x:c r="AJ3429" s="87" t="str">
        <x:v>master</x:v>
      </x:c>
      <x:c r="AK3429" s="87" t="str">
        <x:v>master-v0.81</x:v>
      </x:c>
      <x:c r="AL3429" s="87" t="str">
        <x:v>statgrad_master_base_v0_81_final(2).xlsx</x:v>
      </x:c>
      <x:c r="AM3429" s="87" t="str">
        <x:v>BIO_Oct_V2</x:v>
      </x:c>
      <x:c r="AN3429" s="87" t="n">
        <x:v>29</x:v>
      </x:c>
    </x:row>
    <x:row r="3430">
      <x:c r="A3430" s="87" t="n">
        <x:v>3429</x:v>
      </x:c>
      <x:c r="B3430" s="87" t="str">
        <x:v>OCT-BIO-103-001</x:v>
      </x:c>
      <x:c r="C3430" s="87" t="str">
        <x:v>СтатГрад</x:v>
      </x:c>
      <x:c r="D3430" s="87" t="str">
        <x:v>Октябрь 2025</x:v>
      </x:c>
      <x:c r="E3430" s="87"/>
      <x:c r="F3430" s="87"/>
      <x:c r="G3430" s="87" t="str">
        <x:v>Биология</x:v>
      </x:c>
      <x:c r="H3430" s="87" t="n">
        <x:v>11</x:v>
      </x:c>
      <x:c r="I3430" s="87" t="str">
        <x:v>ТР №1</x:v>
      </x:c>
      <x:c r="J3430" s="87" t="str">
        <x:v>БИ2510103</x:v>
      </x:c>
      <x:c r="K3430" s="87" t="n">
        <x:v>1</x:v>
      </x:c>
      <x:c r="L3430" s="87" t="str">
        <x:v>Биологические науки и методы</x:v>
      </x:c>
      <x:c r="M3430" s="30" t="str">
        <x:v>Рассмотрите таблицу «Биология – комплексная наука». Запишите в ответе
    пропущенный термин, обозначенный в таблице вопросительным знаком.
       Раздел биологии                          Предмет изучения
           генетика                      наследственность и изменчивость
               ?                    бактерии, простейшие, одноклеточные грибы
    Ответ: ___________________________.</x:v>
      </x:c>
      <x:c r="N3430" s="30" t="str">
        <x:v>микробиология</x:v>
      </x:c>
      <x:c r="O3430" s="30" t="str">
        <x:v>Ответ проверен по условию и официальным материалам.</x:v>
      </x:c>
      <x:c r="P3430" s="30" t="str">
        <x:v>Визуальный контекст связан с полной страницей JPEG.</x:v>
      </x:c>
      <x:c r="Q3430" s="30"/>
      <x:c r="R3430" s="30" t="str">
        <x:v>Официальный ключ + независимая проверка</x:v>
      </x:c>
      <x:c r="S3430" s="30"/>
      <x:c r="T3430" s="30"/>
      <x:c r="U3430" s="30" t="str">
        <x:v>Расхождений не обнаружено.</x:v>
      </x:c>
      <x:c r="V3430" s="87" t="str">
        <x:v>VERIFIED</x:v>
      </x:c>
      <x:c r="W3430" s="87" t="str">
        <x:v>tasks_a.pdf, стр. 2</x:v>
      </x:c>
      <x:c r="X3430" s="87"/>
      <x:c r="Y3430" s="87"/>
      <x:c r="Z3430" s="87"/>
      <x:c r="AA3430" s="87"/>
      <x:c r="AB3430" s="87"/>
      <x:c r="AC3430" s="87" t="str">
        <x:v>VIS-BIO-OCT-026</x:v>
      </x:c>
      <x:c r="AD3430" s="87"/>
      <x:c r="AE3430" s="87"/>
      <x:c r="AF3430" s="87" t="str">
        <x:v>VIS-BIO-OCT-026: 2</x:v>
      </x:c>
      <x:c r="AG3430" s="87" t="str">
        <x:v>RESOLVED</x:v>
      </x:c>
      <x:c r="AH3430" s="87" t="str">
        <x:v>CROP_VERIFIED</x:v>
      </x:c>
      <x:c r="AI3430" s="30"/>
      <x:c r="AJ3430" s="87" t="str">
        <x:v>master</x:v>
      </x:c>
      <x:c r="AK3430" s="87" t="str">
        <x:v>master-v0.81</x:v>
      </x:c>
      <x:c r="AL3430" s="87" t="str">
        <x:v>statgrad_master_base_v0_81_final(2).xlsx</x:v>
      </x:c>
      <x:c r="AM3430" s="87" t="str">
        <x:v>BIO_Oct_V3</x:v>
      </x:c>
      <x:c r="AN3430" s="87" t="n">
        <x:v>2</x:v>
      </x:c>
    </x:row>
    <x:row r="3431">
      <x:c r="A3431" s="87" t="n">
        <x:v>3430</x:v>
      </x:c>
      <x:c r="B3431" s="87" t="str">
        <x:v>OCT-BIO-103-002</x:v>
      </x:c>
      <x:c r="C3431" s="87" t="str">
        <x:v>СтатГрад</x:v>
      </x:c>
      <x:c r="D3431" s="87" t="str">
        <x:v>Октябрь 2025</x:v>
      </x:c>
      <x:c r="E3431" s="87"/>
      <x:c r="F3431" s="87"/>
      <x:c r="G3431" s="87" t="str">
        <x:v>Биология</x:v>
      </x:c>
      <x:c r="H3431" s="87" t="n">
        <x:v>11</x:v>
      </x:c>
      <x:c r="I3431" s="87" t="str">
        <x:v>ТР №1</x:v>
      </x:c>
      <x:c r="J3431" s="87" t="str">
        <x:v>БИ2510103</x:v>
      </x:c>
      <x:c r="K3431" s="87" t="n">
        <x:v>2</x:v>
      </x:c>
      <x:c r="L3431" s="87" t="str">
        <x:v>Краткое задание по биологии</x:v>
      </x:c>
      <x:c r="M3431" s="30" t="str">
        <x:v>Экспериментатор внёс фермент лактазу в среду с молоком, поместил
    в термостат с температурой 30 Со и решил через 30 минут измерить
    содержание веществ в среде. Как при этом изменится количество
    аминокислот и моносахаридов в среде?
    Для каждой величины определите соответствующий характер её изменения:
          1) увеличится
          2) уменьшится
          3) не изменится
    Запишите в таблицу выбранные цифры для каждой величины. Цифры
    в ответе могут повторяться.
          Количество аминокислот                      Количество моносахаридов</x:v>
      </x:c>
      <x:c r="N3431" s="30" t="str">
        <x:v>31</x:v>
      </x:c>
      <x:c r="O3431" s="30" t="str">
        <x:v>Ответ проверен по условию и официальным материалам.</x:v>
      </x:c>
      <x:c r="P3431" s="30" t="str">
        <x:v>Визуальный контекст связан с полной страницей JPEG.</x:v>
      </x:c>
      <x:c r="Q3431" s="30"/>
      <x:c r="R3431" s="30" t="str">
        <x:v>Архивный фото-ключ + независимая проверка</x:v>
      </x:c>
      <x:c r="S3431" s="30"/>
      <x:c r="T3431" s="30"/>
      <x:c r="U3431" s="30" t="str">
        <x:v>Расхождений не обнаружено.</x:v>
      </x:c>
      <x:c r="V3431" s="87" t="str">
        <x:v>VERIFIED</x:v>
      </x:c>
      <x:c r="W3431" s="87" t="str">
        <x:v>tasks_a.pdf, стр. 2</x:v>
      </x:c>
      <x:c r="X3431" s="87"/>
      <x:c r="Y3431" s="87"/>
      <x:c r="Z3431" s="87"/>
      <x:c r="AA3431" s="87"/>
      <x:c r="AB3431" s="87"/>
      <x:c r="AC3431" s="87" t="str">
        <x:v>VIS-BIO-OCT-026</x:v>
      </x:c>
      <x:c r="AD3431" s="87"/>
      <x:c r="AE3431" s="87"/>
      <x:c r="AF3431" s="87" t="str">
        <x:v>VIS-BIO-OCT-026: 2</x:v>
      </x:c>
      <x:c r="AG3431" s="87" t="str">
        <x:v>RESOLVED</x:v>
      </x:c>
      <x:c r="AH3431" s="87" t="str">
        <x:v>CROP_VERIFIED</x:v>
      </x:c>
      <x:c r="AI3431" s="30"/>
      <x:c r="AJ3431" s="87" t="str">
        <x:v>master</x:v>
      </x:c>
      <x:c r="AK3431" s="87" t="str">
        <x:v>master-v0.81</x:v>
      </x:c>
      <x:c r="AL3431" s="87" t="str">
        <x:v>statgrad_master_base_v0_81_final(2).xlsx</x:v>
      </x:c>
      <x:c r="AM3431" s="87" t="str">
        <x:v>BIO_Oct_V3</x:v>
      </x:c>
      <x:c r="AN3431" s="87" t="n">
        <x:v>3</x:v>
      </x:c>
    </x:row>
    <x:row r="3432">
      <x:c r="A3432" s="87" t="n">
        <x:v>3431</x:v>
      </x:c>
      <x:c r="B3432" s="87" t="str">
        <x:v>OCT-BIO-103-003</x:v>
      </x:c>
      <x:c r="C3432" s="87" t="str">
        <x:v>СтатГрад</x:v>
      </x:c>
      <x:c r="D3432" s="87" t="str">
        <x:v>Октябрь 2025</x:v>
      </x:c>
      <x:c r="E3432" s="87"/>
      <x:c r="F3432" s="87"/>
      <x:c r="G3432" s="87" t="str">
        <x:v>Биология</x:v>
      </x:c>
      <x:c r="H3432" s="87" t="n">
        <x:v>11</x:v>
      </x:c>
      <x:c r="I3432" s="87" t="str">
        <x:v>ТР №1</x:v>
      </x:c>
      <x:c r="J3432" s="87" t="str">
        <x:v>БИ2510103</x:v>
      </x:c>
      <x:c r="K3432" s="87" t="n">
        <x:v>3</x:v>
      </x:c>
      <x:c r="L3432" s="87" t="str">
        <x:v>Краткое задание по биологии</x:v>
      </x:c>
      <x:c r="M3432" s="30" t="str">
        <x:v>В клетке листа гороха содержится 14 хромосом. Сколько хромосом содержит
    клетка семядоли гороха? В ответе запишите только соответствующее число.
    Ответ: ___________________________.</x:v>
      </x:c>
      <x:c r="N3432" s="30" t="str">
        <x:v>14</x:v>
      </x:c>
      <x:c r="O3432" s="30" t="str">
        <x:v>Ответ проверен по условию и официальным материалам.</x:v>
      </x:c>
      <x:c r="P3432" s="30" t="str">
        <x:v>Визуальный контекст связан с полной страницей JPEG.</x:v>
      </x:c>
      <x:c r="Q3432" s="30"/>
      <x:c r="R3432" s="30" t="str">
        <x:v>Архивный фото-ключ + независимая проверка</x:v>
      </x:c>
      <x:c r="S3432" s="30"/>
      <x:c r="T3432" s="30"/>
      <x:c r="U3432" s="30" t="str">
        <x:v>Расхождений не обнаружено.</x:v>
      </x:c>
      <x:c r="V3432" s="87" t="str">
        <x:v>VERIFIED</x:v>
      </x:c>
      <x:c r="W3432" s="87" t="str">
        <x:v>tasks_a.pdf, стр. 2</x:v>
      </x:c>
      <x:c r="X3432" s="87"/>
      <x:c r="Y3432" s="87"/>
      <x:c r="Z3432" s="87"/>
      <x:c r="AA3432" s="87"/>
      <x:c r="AB3432" s="87"/>
      <x:c r="AC3432" s="87" t="str">
        <x:v>VIS-BIO-OCT-026</x:v>
      </x:c>
      <x:c r="AD3432" s="87"/>
      <x:c r="AE3432" s="87"/>
      <x:c r="AF3432" s="87" t="str">
        <x:v>VIS-BIO-OCT-026: 2</x:v>
      </x:c>
      <x:c r="AG3432" s="87" t="str">
        <x:v>RESOLVED</x:v>
      </x:c>
      <x:c r="AH3432" s="87" t="str">
        <x:v>CROP_VERIFIED</x:v>
      </x:c>
      <x:c r="AI3432" s="30"/>
      <x:c r="AJ3432" s="87" t="str">
        <x:v>master</x:v>
      </x:c>
      <x:c r="AK3432" s="87" t="str">
        <x:v>master-v0.81</x:v>
      </x:c>
      <x:c r="AL3432" s="87" t="str">
        <x:v>statgrad_master_base_v0_81_final(2).xlsx</x:v>
      </x:c>
      <x:c r="AM3432" s="87" t="str">
        <x:v>BIO_Oct_V3</x:v>
      </x:c>
      <x:c r="AN3432" s="87" t="n">
        <x:v>4</x:v>
      </x:c>
    </x:row>
    <x:row r="3433">
      <x:c r="A3433" s="87" t="n">
        <x:v>3432</x:v>
      </x:c>
      <x:c r="B3433" s="87" t="str">
        <x:v>OCT-BIO-103-004</x:v>
      </x:c>
      <x:c r="C3433" s="87" t="str">
        <x:v>СтатГрад</x:v>
      </x:c>
      <x:c r="D3433" s="87" t="str">
        <x:v>Октябрь 2025</x:v>
      </x:c>
      <x:c r="E3433" s="87"/>
      <x:c r="F3433" s="87"/>
      <x:c r="G3433" s="87" t="str">
        <x:v>Биология</x:v>
      </x:c>
      <x:c r="H3433" s="87" t="n">
        <x:v>11</x:v>
      </x:c>
      <x:c r="I3433" s="87" t="str">
        <x:v>ТР №1</x:v>
      </x:c>
      <x:c r="J3433" s="87" t="str">
        <x:v>БИ2510103</x:v>
      </x:c>
      <x:c r="K3433" s="87" t="n">
        <x:v>4</x:v>
      </x:c>
      <x:c r="L3433" s="87" t="str">
        <x:v>Краткое задание по биологии</x:v>
      </x:c>
      <x:c r="M3433" s="30" t="str">
        <x:v>Какова вероятность (в долях) появления в потомстве особей с промежу-
    точным фенотипом при самоопылении гетерозиготного растения
    при неполном доминировании? Ответ запишите в виде числа.
    Ответ: ___________________________.
                                   согласия СтатГрад запрещена</x:v>
      </x:c>
      <x:c r="N3433" s="30" t="str">
        <x:v>0,5</x:v>
      </x:c>
      <x:c r="O3433" s="30" t="str">
        <x:v>Ответ проверен по условию и официальным материалам.</x:v>
      </x:c>
      <x:c r="P3433" s="30" t="str">
        <x:v>Визуальный контекст связан с полной страницей JPEG.</x:v>
      </x:c>
      <x:c r="Q3433" s="30"/>
      <x:c r="R3433" s="30" t="str">
        <x:v>Архивный фото-ключ + независимая проверка</x:v>
      </x:c>
      <x:c r="S3433" s="30"/>
      <x:c r="T3433" s="30"/>
      <x:c r="U3433" s="30" t="str">
        <x:v>Расхождений не обнаружено.</x:v>
      </x:c>
      <x:c r="V3433" s="87" t="str">
        <x:v>VERIFIED</x:v>
      </x:c>
      <x:c r="W3433" s="87" t="str">
        <x:v>tasks_a.pdf, стр. 2</x:v>
      </x:c>
      <x:c r="X3433" s="87"/>
      <x:c r="Y3433" s="87"/>
      <x:c r="Z3433" s="87"/>
      <x:c r="AA3433" s="87"/>
      <x:c r="AB3433" s="87"/>
      <x:c r="AC3433" s="87" t="str">
        <x:v>VIS-BIO-OCT-026</x:v>
      </x:c>
      <x:c r="AD3433" s="87"/>
      <x:c r="AE3433" s="87"/>
      <x:c r="AF3433" s="87" t="str">
        <x:v>VIS-BIO-OCT-026: 2</x:v>
      </x:c>
      <x:c r="AG3433" s="87" t="str">
        <x:v>RESOLVED</x:v>
      </x:c>
      <x:c r="AH3433" s="87" t="str">
        <x:v>CROP_VERIFIED</x:v>
      </x:c>
      <x:c r="AI3433" s="30"/>
      <x:c r="AJ3433" s="87" t="str">
        <x:v>master</x:v>
      </x:c>
      <x:c r="AK3433" s="87" t="str">
        <x:v>master-v0.81</x:v>
      </x:c>
      <x:c r="AL3433" s="87" t="str">
        <x:v>statgrad_master_base_v0_81_final(2).xlsx</x:v>
      </x:c>
      <x:c r="AM3433" s="87" t="str">
        <x:v>BIO_Oct_V3</x:v>
      </x:c>
      <x:c r="AN3433" s="87" t="n">
        <x:v>5</x:v>
      </x:c>
    </x:row>
    <x:row r="3434">
      <x:c r="A3434" s="87" t="n">
        <x:v>3433</x:v>
      </x:c>
      <x:c r="B3434" s="87" t="str">
        <x:v>OCT-BIO-103-005</x:v>
      </x:c>
      <x:c r="C3434" s="87" t="str">
        <x:v>СтатГрад</x:v>
      </x:c>
      <x:c r="D3434" s="87" t="str">
        <x:v>Октябрь 2025</x:v>
      </x:c>
      <x:c r="E3434" s="87"/>
      <x:c r="F3434" s="87"/>
      <x:c r="G3434" s="87" t="str">
        <x:v>Биология</x:v>
      </x:c>
      <x:c r="H3434" s="87" t="n">
        <x:v>11</x:v>
      </x:c>
      <x:c r="I3434" s="87" t="str">
        <x:v>ТР №1</x:v>
      </x:c>
      <x:c r="J3434" s="87" t="str">
        <x:v>БИ2510103</x:v>
      </x:c>
      <x:c r="K3434" s="87" t="n">
        <x:v>5</x:v>
      </x:c>
      <x:c r="L3434" s="87" t="str">
        <x:v>Краткое задание по биологии</x:v>
      </x:c>
      <x:c r="M3434" s="30" t="str">
        <x:v>Каким номером на рисунке обозначена мембрана клетки?
    Ответ: ___________________________.</x:v>
      </x:c>
      <x:c r="N3434" s="30" t="str">
        <x:v>9</x:v>
      </x:c>
      <x:c r="O3434" s="30" t="str">
        <x:v>Ответ проверен по условию и официальным материалам.</x:v>
      </x:c>
      <x:c r="P3434" s="30" t="str">
        <x:v>Визуальный контекст связан с полной страницей JPEG.</x:v>
      </x:c>
      <x:c r="Q3434" s="30"/>
      <x:c r="R3434" s="30" t="str">
        <x:v>Архивный фото-ключ + независимая проверка</x:v>
      </x:c>
      <x:c r="S3434" s="30"/>
      <x:c r="T3434" s="30"/>
      <x:c r="U3434" s="30" t="str">
        <x:v>Расхождений не обнаружено.</x:v>
      </x:c>
      <x:c r="V3434" s="87" t="str">
        <x:v>VERIFIED</x:v>
      </x:c>
      <x:c r="W3434" s="87" t="str">
        <x:v>tasks_a.pdf, стр. 3</x:v>
      </x:c>
      <x:c r="X3434" s="87"/>
      <x:c r="Y3434" s="87"/>
      <x:c r="Z3434" s="87"/>
      <x:c r="AA3434" s="87"/>
      <x:c r="AB3434" s="87"/>
      <x:c r="AC3434" s="87" t="str">
        <x:v>VIS-BIO-OCT-027</x:v>
      </x:c>
      <x:c r="AD3434" s="87"/>
      <x:c r="AE3434" s="87"/>
      <x:c r="AF3434" s="87" t="str">
        <x:v>VIS-BIO-OCT-027: 3</x:v>
      </x:c>
      <x:c r="AG3434" s="87" t="str">
        <x:v>RESOLVED</x:v>
      </x:c>
      <x:c r="AH3434" s="87" t="str">
        <x:v>CROP_VERIFIED; TASK_CROP_QA_APPROVED:MANUAL_BBOX</x:v>
      </x:c>
      <x:c r="AI3434" s="30"/>
      <x:c r="AJ3434" s="87" t="str">
        <x:v>master</x:v>
      </x:c>
      <x:c r="AK3434" s="87" t="str">
        <x:v>master-v0.81</x:v>
      </x:c>
      <x:c r="AL3434" s="87" t="str">
        <x:v>statgrad_master_base_v0_81_final(2).xlsx</x:v>
      </x:c>
      <x:c r="AM3434" s="87" t="str">
        <x:v>BIO_Oct_V3</x:v>
      </x:c>
      <x:c r="AN3434" s="87" t="n">
        <x:v>6</x:v>
      </x:c>
    </x:row>
    <x:row r="3435">
      <x:c r="A3435" s="87" t="n">
        <x:v>3434</x:v>
      </x:c>
      <x:c r="B3435" s="87" t="str">
        <x:v>OCT-BIO-103-006</x:v>
      </x:c>
      <x:c r="C3435" s="87" t="str">
        <x:v>СтатГрад</x:v>
      </x:c>
      <x:c r="D3435" s="87" t="str">
        <x:v>Октябрь 2025</x:v>
      </x:c>
      <x:c r="E3435" s="87"/>
      <x:c r="F3435" s="87"/>
      <x:c r="G3435" s="87" t="str">
        <x:v>Биология</x:v>
      </x:c>
      <x:c r="H3435" s="87" t="n">
        <x:v>11</x:v>
      </x:c>
      <x:c r="I3435" s="87" t="str">
        <x:v>ТР №1</x:v>
      </x:c>
      <x:c r="J3435" s="87" t="str">
        <x:v>БИ2510103</x:v>
      </x:c>
      <x:c r="K3435" s="87" t="n">
        <x:v>6</x:v>
      </x:c>
      <x:c r="L3435" s="87" t="str">
        <x:v>Краткое задание по биологии</x:v>
      </x:c>
      <x:c r="M3435" s="30" t="str">
        <x:v>Установите соответствие между характеристиками и структурами
    бактериальной клетки, обозначенными на рисунке цифрами 1, 2, 3: к каждой
    позиции, данной в первом столбце, подберите соответствующую позицию
    из второго столбца.
                                                               СТРУКТУРЫ
                 ХАРАКТЕРИСТИКИ
                                                          БАКТЕРИАЛЬНОЙ КЛЕТКИ
    А) передаётся при конъюгации                          1) 1
    Б) состоит из РНК и белков                            2) 2
    В) внеклеточная структура                             3) 3
    Г) осуществляет трансляцию
    Д) может содержать гены устойчивости
       к антибиотикам
    Е) служит для перемещения в пространстве
    Запишите в таблицу выбранные цифры под соответствующими буквами.
               А Б В Г Д Е
    Ответ:
                                   согласия СтатГрад запрещена</x:v>
      </x:c>
      <x:c r="N3435" s="30" t="str">
        <x:v>213123</x:v>
      </x:c>
      <x:c r="O3435" s="30" t="str">
        <x:v>Ответ проверен по условию и официальным материалам.</x:v>
      </x:c>
      <x:c r="P3435" s="30" t="str">
        <x:v>Визуальный контекст связан с полной страницей JPEG.</x:v>
      </x:c>
      <x:c r="Q3435" s="30"/>
      <x:c r="R3435" s="30" t="str">
        <x:v>Официальный ключ + независимая проверка</x:v>
      </x:c>
      <x:c r="S3435" s="30"/>
      <x:c r="T3435" s="30"/>
      <x:c r="U3435" s="30" t="str">
        <x:v>Расхождений не обнаружено.</x:v>
      </x:c>
      <x:c r="V3435" s="87" t="str">
        <x:v>VERIFIED</x:v>
      </x:c>
      <x:c r="W3435" s="87" t="str">
        <x:v>tasks_a.pdf, стр. 3</x:v>
      </x:c>
      <x:c r="X3435" s="87"/>
      <x:c r="Y3435" s="87"/>
      <x:c r="Z3435" s="87"/>
      <x:c r="AA3435" s="87"/>
      <x:c r="AB3435" s="87"/>
      <x:c r="AC3435" s="87" t="str">
        <x:v>VIS-BIO-OCT-027</x:v>
      </x:c>
      <x:c r="AD3435" s="87"/>
      <x:c r="AE3435" s="87"/>
      <x:c r="AF3435" s="87" t="str">
        <x:v>VIS-BIO-OCT-027: 3</x:v>
      </x:c>
      <x:c r="AG3435" s="87" t="str">
        <x:v>RESOLVED</x:v>
      </x:c>
      <x:c r="AH3435" s="87" t="str">
        <x:v>CROP_VERIFIED; TASK_CROP_QA_APPROVED:USE_TIGHT</x:v>
      </x:c>
      <x:c r="AI3435" s="30"/>
      <x:c r="AJ3435" s="87" t="str">
        <x:v>master</x:v>
      </x:c>
      <x:c r="AK3435" s="87" t="str">
        <x:v>master-v0.81</x:v>
      </x:c>
      <x:c r="AL3435" s="87" t="str">
        <x:v>statgrad_master_base_v0_81_final(2).xlsx</x:v>
      </x:c>
      <x:c r="AM3435" s="87" t="str">
        <x:v>BIO_Oct_V3</x:v>
      </x:c>
      <x:c r="AN3435" s="87" t="n">
        <x:v>7</x:v>
      </x:c>
    </x:row>
    <x:row r="3436">
      <x:c r="A3436" s="87" t="n">
        <x:v>3435</x:v>
      </x:c>
      <x:c r="B3436" s="87" t="str">
        <x:v>OCT-BIO-103-007</x:v>
      </x:c>
      <x:c r="C3436" s="87" t="str">
        <x:v>СтатГрад</x:v>
      </x:c>
      <x:c r="D3436" s="87" t="str">
        <x:v>Октябрь 2025</x:v>
      </x:c>
      <x:c r="E3436" s="87"/>
      <x:c r="F3436" s="87"/>
      <x:c r="G3436" s="87" t="str">
        <x:v>Биология</x:v>
      </x:c>
      <x:c r="H3436" s="87" t="n">
        <x:v>11</x:v>
      </x:c>
      <x:c r="I3436" s="87" t="str">
        <x:v>ТР №1</x:v>
      </x:c>
      <x:c r="J3436" s="87" t="str">
        <x:v>БИ2510103</x:v>
      </x:c>
      <x:c r="K3436" s="87" t="n">
        <x:v>7</x:v>
      </x:c>
      <x:c r="L3436" s="87" t="str">
        <x:v>Краткое задание по биологии</x:v>
      </x:c>
      <x:c r="M3436" s="30" t="str">
        <x:v>Выберите три верных ответа и запишите в таблицу цифры, под которыми
    они указаны.
    Комбинативная изменчивость
    1) носит индивидуальный характер
    2) изменяется в пределах нормы реакции
    3) повышает генетическое многообразие в популяции
    4) создаёт новые аллели
    5) происходит под воздействием факторов окружающей среды
    6) основана на перекомбинации хромосом в мейозе
    Ответ:</x:v>
      </x:c>
      <x:c r="N3436" s="30" t="str">
        <x:v>136</x:v>
      </x:c>
      <x:c r="O3436" s="30" t="str">
        <x:v>Ответ проверен по условию и официальным материалам.</x:v>
      </x:c>
      <x:c r="P3436" s="30" t="str">
        <x:v>Визуальный контекст связан с полной страницей JPEG.</x:v>
      </x:c>
      <x:c r="Q3436" s="30"/>
      <x:c r="R3436" s="30" t="str">
        <x:v>Официальный ключ + независимая проверка</x:v>
      </x:c>
      <x:c r="S3436" s="30"/>
      <x:c r="T3436" s="30"/>
      <x:c r="U3436" s="30" t="str">
        <x:v>Расхождений не обнаружено.</x:v>
      </x:c>
      <x:c r="V3436" s="87" t="str">
        <x:v>VERIFIED</x:v>
      </x:c>
      <x:c r="W3436" s="87" t="str">
        <x:v>tasks_a.pdf, стр. 4</x:v>
      </x:c>
      <x:c r="X3436" s="87"/>
      <x:c r="Y3436" s="87"/>
      <x:c r="Z3436" s="87"/>
      <x:c r="AA3436" s="87"/>
      <x:c r="AB3436" s="87"/>
      <x:c r="AC3436" s="87" t="str">
        <x:v>VIS-BIO-OCT-028</x:v>
      </x:c>
      <x:c r="AD3436" s="87"/>
      <x:c r="AE3436" s="87"/>
      <x:c r="AF3436" s="87" t="str">
        <x:v>VIS-BIO-OCT-028: 4</x:v>
      </x:c>
      <x:c r="AG3436" s="87" t="str">
        <x:v>RESOLVED</x:v>
      </x:c>
      <x:c r="AH3436" s="87" t="str">
        <x:v>CROP_VERIFIED</x:v>
      </x:c>
      <x:c r="AI3436" s="30"/>
      <x:c r="AJ3436" s="87" t="str">
        <x:v>master</x:v>
      </x:c>
      <x:c r="AK3436" s="87" t="str">
        <x:v>master-v0.81</x:v>
      </x:c>
      <x:c r="AL3436" s="87" t="str">
        <x:v>statgrad_master_base_v0_81_final(2).xlsx</x:v>
      </x:c>
      <x:c r="AM3436" s="87" t="str">
        <x:v>BIO_Oct_V3</x:v>
      </x:c>
      <x:c r="AN3436" s="87" t="n">
        <x:v>8</x:v>
      </x:c>
    </x:row>
    <x:row r="3437">
      <x:c r="A3437" s="87" t="n">
        <x:v>3436</x:v>
      </x:c>
      <x:c r="B3437" s="87" t="str">
        <x:v>OCT-BIO-103-008</x:v>
      </x:c>
      <x:c r="C3437" s="87" t="str">
        <x:v>СтатГрад</x:v>
      </x:c>
      <x:c r="D3437" s="87" t="str">
        <x:v>Октябрь 2025</x:v>
      </x:c>
      <x:c r="E3437" s="87"/>
      <x:c r="F3437" s="87"/>
      <x:c r="G3437" s="87" t="str">
        <x:v>Биология</x:v>
      </x:c>
      <x:c r="H3437" s="87" t="n">
        <x:v>11</x:v>
      </x:c>
      <x:c r="I3437" s="87" t="str">
        <x:v>ТР №1</x:v>
      </x:c>
      <x:c r="J3437" s="87" t="str">
        <x:v>БИ2510103</x:v>
      </x:c>
      <x:c r="K3437" s="87" t="n">
        <x:v>8</x:v>
      </x:c>
      <x:c r="L3437" s="87" t="str">
        <x:v>Краткое задание по биологии</x:v>
      </x:c>
      <x:c r="M3437" s="30" t="str">
        <x:v>Установите последовательность процессов, происходящих при митозе.
    Запишите в таблицу соответствующую последовательность цифр.
    1) движение хромосом к экватору клетки
    2) формирование дочерних ядер
    3) присоединение нитей веретена деления к центромерам хромосом
    4) разрушение ядерной оболочки
    5) расхождение сестринских хроматид к полюсам клетки
    Ответ:
                                   согласия СтатГрад запрещена</x:v>
      </x:c>
      <x:c r="N3437" s="30" t="str">
        <x:v>43152</x:v>
      </x:c>
      <x:c r="O3437" s="30" t="str">
        <x:v>Ответ проверен по условию и официальным материалам.</x:v>
      </x:c>
      <x:c r="P3437" s="30" t="str">
        <x:v>Визуальный контекст связан с полной страницей JPEG.</x:v>
      </x:c>
      <x:c r="Q3437" s="30"/>
      <x:c r="R3437" s="30" t="str">
        <x:v>Официальный ключ + независимая проверка</x:v>
      </x:c>
      <x:c r="S3437" s="30"/>
      <x:c r="T3437" s="30"/>
      <x:c r="U3437" s="30" t="str">
        <x:v>Расхождений не обнаружено.</x:v>
      </x:c>
      <x:c r="V3437" s="87" t="str">
        <x:v>VERIFIED</x:v>
      </x:c>
      <x:c r="W3437" s="87" t="str">
        <x:v>tasks_a.pdf, стр. 4</x:v>
      </x:c>
      <x:c r="X3437" s="87"/>
      <x:c r="Y3437" s="87"/>
      <x:c r="Z3437" s="87"/>
      <x:c r="AA3437" s="87"/>
      <x:c r="AB3437" s="87"/>
      <x:c r="AC3437" s="87" t="str">
        <x:v>VIS-BIO-OCT-028</x:v>
      </x:c>
      <x:c r="AD3437" s="87"/>
      <x:c r="AE3437" s="87"/>
      <x:c r="AF3437" s="87" t="str">
        <x:v>VIS-BIO-OCT-028: 4</x:v>
      </x:c>
      <x:c r="AG3437" s="87" t="str">
        <x:v>RESOLVED</x:v>
      </x:c>
      <x:c r="AH3437" s="87" t="str">
        <x:v>CROP_VERIFIED</x:v>
      </x:c>
      <x:c r="AI3437" s="30"/>
      <x:c r="AJ3437" s="87" t="str">
        <x:v>master</x:v>
      </x:c>
      <x:c r="AK3437" s="87" t="str">
        <x:v>master-v0.81</x:v>
      </x:c>
      <x:c r="AL3437" s="87" t="str">
        <x:v>statgrad_master_base_v0_81_final(2).xlsx</x:v>
      </x:c>
      <x:c r="AM3437" s="87" t="str">
        <x:v>BIO_Oct_V3</x:v>
      </x:c>
      <x:c r="AN3437" s="87" t="n">
        <x:v>9</x:v>
      </x:c>
    </x:row>
    <x:row r="3438">
      <x:c r="A3438" s="87" t="n">
        <x:v>3437</x:v>
      </x:c>
      <x:c r="B3438" s="87" t="str">
        <x:v>OCT-BIO-103-009</x:v>
      </x:c>
      <x:c r="C3438" s="87" t="str">
        <x:v>СтатГрад</x:v>
      </x:c>
      <x:c r="D3438" s="87" t="str">
        <x:v>Октябрь 2025</x:v>
      </x:c>
      <x:c r="E3438" s="87"/>
      <x:c r="F3438" s="87"/>
      <x:c r="G3438" s="87" t="str">
        <x:v>Биология</x:v>
      </x:c>
      <x:c r="H3438" s="87" t="n">
        <x:v>11</x:v>
      </x:c>
      <x:c r="I3438" s="87" t="str">
        <x:v>ТР №1</x:v>
      </x:c>
      <x:c r="J3438" s="87" t="str">
        <x:v>БИ2510103</x:v>
      </x:c>
      <x:c r="K3438" s="87" t="n">
        <x:v>9</x:v>
      </x:c>
      <x:c r="L3438" s="87" t="str">
        <x:v>Краткое задание по биологии</x:v>
      </x:c>
      <x:c r="M3438" s="30" t="str">
        <x:v>Под каким номером на схеме жизненного цикла паразита обозначена циста?
     Ответ: ___________________________.</x:v>
      </x:c>
      <x:c r="N3438" s="30" t="str">
        <x:v>8</x:v>
      </x:c>
      <x:c r="O3438" s="30" t="str">
        <x:v>Ответ проверен по условию и официальным материалам.</x:v>
      </x:c>
      <x:c r="P3438" s="30" t="str">
        <x:v>Визуальный контекст связан с полной страницей JPEG.</x:v>
      </x:c>
      <x:c r="Q3438" s="30"/>
      <x:c r="R3438" s="30" t="str">
        <x:v>Архивный фото-ключ + независимая проверка</x:v>
      </x:c>
      <x:c r="S3438" s="30"/>
      <x:c r="T3438" s="30"/>
      <x:c r="U3438" s="30" t="str">
        <x:v>Расхождений не обнаружено.</x:v>
      </x:c>
      <x:c r="V3438" s="87" t="str">
        <x:v>VERIFIED</x:v>
      </x:c>
      <x:c r="W3438" s="87" t="str">
        <x:v>tasks_a.pdf, стр. 5</x:v>
      </x:c>
      <x:c r="X3438" s="87"/>
      <x:c r="Y3438" s="87"/>
      <x:c r="Z3438" s="87"/>
      <x:c r="AA3438" s="87"/>
      <x:c r="AB3438" s="87"/>
      <x:c r="AC3438" s="87" t="str">
        <x:v>VIS-BIO-OCT-029</x:v>
      </x:c>
      <x:c r="AD3438" s="87"/>
      <x:c r="AE3438" s="87"/>
      <x:c r="AF3438" s="87" t="str">
        <x:v>VIS-BIO-OCT-029: 5</x:v>
      </x:c>
      <x:c r="AG3438" s="87" t="str">
        <x:v>RESOLVED</x:v>
      </x:c>
      <x:c r="AH3438" s="87" t="str">
        <x:v>CROP_VERIFIED; TASK_CROP_QA_APPROVED:MANUAL_BBOX</x:v>
      </x:c>
      <x:c r="AI3438" s="30"/>
      <x:c r="AJ3438" s="87" t="str">
        <x:v>master</x:v>
      </x:c>
      <x:c r="AK3438" s="87" t="str">
        <x:v>master-v0.81</x:v>
      </x:c>
      <x:c r="AL3438" s="87" t="str">
        <x:v>statgrad_master_base_v0_81_final(2).xlsx</x:v>
      </x:c>
      <x:c r="AM3438" s="87" t="str">
        <x:v>BIO_Oct_V3</x:v>
      </x:c>
      <x:c r="AN3438" s="87" t="n">
        <x:v>10</x:v>
      </x:c>
    </x:row>
    <x:row r="3439">
      <x:c r="A3439" s="87" t="n">
        <x:v>3438</x:v>
      </x:c>
      <x:c r="B3439" s="87" t="str">
        <x:v>OCT-BIO-103-010</x:v>
      </x:c>
      <x:c r="C3439" s="87" t="str">
        <x:v>СтатГрад</x:v>
      </x:c>
      <x:c r="D3439" s="87" t="str">
        <x:v>Октябрь 2025</x:v>
      </x:c>
      <x:c r="E3439" s="87"/>
      <x:c r="F3439" s="87"/>
      <x:c r="G3439" s="87" t="str">
        <x:v>Биология</x:v>
      </x:c>
      <x:c r="H3439" s="87" t="n">
        <x:v>11</x:v>
      </x:c>
      <x:c r="I3439" s="87" t="str">
        <x:v>ТР №1</x:v>
      </x:c>
      <x:c r="J3439" s="87" t="str">
        <x:v>БИ2510103</x:v>
      </x:c>
      <x:c r="K3439" s="87" t="n">
        <x:v>10</x:v>
      </x:c>
      <x:c r="L3439" s="87" t="str">
        <x:v>Краткое задание по биологии</x:v>
      </x:c>
      <x:c r="M3439" s="30" t="str">
        <x:v>Установите соответствие между характеристиками и хозяевами паразита,
     обозначенными на схеме цифрами 1, 2: к каждой позиции, данной в первом
     столбце, подберите соответствующую позицию.
                ХАРАКТЕРИСТИКИ                                ХОЗЯЕВА ПАРАЗИТА
     А) заражается при употреблении травы                  1) 1
     Б) является промежуточным хозяином                    2) 2
     В) обитает в воде
     Г) содержит половозрелую стадию
     Д) выводит во внешнюю среду яйца
        паразита
     Е) относится к беспозвоночным животным
     Запишите в таблицу выбранные цифры под соответствующими буквами.
                А Б В Г Д Е
     Ответ:
                                    согласия СтатГрад запрещена</x:v>
      </x:c>
      <x:c r="N3439" s="30" t="str">
        <x:v>122112</x:v>
      </x:c>
      <x:c r="O3439" s="30" t="str">
        <x:v>Ответ проверен по условию и официальным материалам.</x:v>
      </x:c>
      <x:c r="P3439" s="30" t="str">
        <x:v>Визуальный контекст связан с полной страницей JPEG.</x:v>
      </x:c>
      <x:c r="Q3439" s="30"/>
      <x:c r="R3439" s="30" t="str">
        <x:v>Официальный ключ + независимая проверка</x:v>
      </x:c>
      <x:c r="S3439" s="30"/>
      <x:c r="T3439" s="30"/>
      <x:c r="U3439" s="30" t="str">
        <x:v>Расхождений не обнаружено.</x:v>
      </x:c>
      <x:c r="V3439" s="87" t="str">
        <x:v>VERIFIED</x:v>
      </x:c>
      <x:c r="W3439" s="87" t="str">
        <x:v>tasks_a.pdf, стр. 5</x:v>
      </x:c>
      <x:c r="X3439" s="87"/>
      <x:c r="Y3439" s="87"/>
      <x:c r="Z3439" s="87"/>
      <x:c r="AA3439" s="87"/>
      <x:c r="AB3439" s="87"/>
      <x:c r="AC3439" s="87" t="str">
        <x:v>VIS-BIO-OCT-029</x:v>
      </x:c>
      <x:c r="AD3439" s="87"/>
      <x:c r="AE3439" s="87"/>
      <x:c r="AF3439" s="87" t="str">
        <x:v>VIS-BIO-OCT-029: 5</x:v>
      </x:c>
      <x:c r="AG3439" s="87" t="str">
        <x:v>RESOLVED</x:v>
      </x:c>
      <x:c r="AH3439" s="87" t="str">
        <x:v>CROP_VERIFIED; TASK_CROP_QA_APPROVED:USE_TIGHT</x:v>
      </x:c>
      <x:c r="AI3439" s="30"/>
      <x:c r="AJ3439" s="87" t="str">
        <x:v>master</x:v>
      </x:c>
      <x:c r="AK3439" s="87" t="str">
        <x:v>master-v0.81</x:v>
      </x:c>
      <x:c r="AL3439" s="87" t="str">
        <x:v>statgrad_master_base_v0_81_final(2).xlsx</x:v>
      </x:c>
      <x:c r="AM3439" s="87" t="str">
        <x:v>BIO_Oct_V3</x:v>
      </x:c>
      <x:c r="AN3439" s="87" t="n">
        <x:v>11</x:v>
      </x:c>
    </x:row>
    <x:row r="3440">
      <x:c r="A3440" s="87" t="n">
        <x:v>3439</x:v>
      </x:c>
      <x:c r="B3440" s="87" t="str">
        <x:v>OCT-BIO-103-011</x:v>
      </x:c>
      <x:c r="C3440" s="87" t="str">
        <x:v>СтатГрад</x:v>
      </x:c>
      <x:c r="D3440" s="87" t="str">
        <x:v>Октябрь 2025</x:v>
      </x:c>
      <x:c r="E3440" s="87"/>
      <x:c r="F3440" s="87"/>
      <x:c r="G3440" s="87" t="str">
        <x:v>Биология</x:v>
      </x:c>
      <x:c r="H3440" s="87" t="n">
        <x:v>11</x:v>
      </x:c>
      <x:c r="I3440" s="87" t="str">
        <x:v>ТР №1</x:v>
      </x:c>
      <x:c r="J3440" s="87" t="str">
        <x:v>БИ2510103</x:v>
      </x:c>
      <x:c r="K3440" s="87" t="n">
        <x:v>11</x:v>
      </x:c>
      <x:c r="L3440" s="87" t="str">
        <x:v>Краткое задание по биологии</x:v>
      </x:c>
      <x:c r="M3440" s="30" t="str">
        <x:v>Выберите три верных ответа и запишите в таблицу цифры, под которыми
     они указаны.
     Для мхов в отличие от плаунов характерно
     1) преобладание гаметофита в жизненном цикле
     2) развитие листостебельного растения из споры
     3) наличие проводящих тканей
     4) зависимость от воды в размножении
     5) всасывание воды через корни
     6) наличие протонемы в жизненном цикле
     Ответ:</x:v>
      </x:c>
      <x:c r="N3440" s="30" t="str">
        <x:v>126</x:v>
      </x:c>
      <x:c r="O3440" s="30" t="str">
        <x:v>Ответ проверен по условию и официальным материалам.</x:v>
      </x:c>
      <x:c r="P3440" s="30" t="str">
        <x:v>Визуальный контекст связан с полной страницей JPEG.</x:v>
      </x:c>
      <x:c r="Q3440" s="30"/>
      <x:c r="R3440" s="30" t="str">
        <x:v>Официальный ключ + независимая проверка</x:v>
      </x:c>
      <x:c r="S3440" s="30"/>
      <x:c r="T3440" s="30"/>
      <x:c r="U3440" s="30" t="str">
        <x:v>Расхождений не обнаружено.</x:v>
      </x:c>
      <x:c r="V3440" s="87" t="str">
        <x:v>VERIFIED</x:v>
      </x:c>
      <x:c r="W3440" s="87" t="str">
        <x:v>tasks_a.pdf, стр. 6</x:v>
      </x:c>
      <x:c r="X3440" s="87"/>
      <x:c r="Y3440" s="87"/>
      <x:c r="Z3440" s="87"/>
      <x:c r="AA3440" s="87"/>
      <x:c r="AB3440" s="87"/>
      <x:c r="AC3440" s="87" t="str">
        <x:v>VIS-BIO-OCT-030</x:v>
      </x:c>
      <x:c r="AD3440" s="87"/>
      <x:c r="AE3440" s="87"/>
      <x:c r="AF3440" s="87" t="str">
        <x:v>VIS-BIO-OCT-030: 6</x:v>
      </x:c>
      <x:c r="AG3440" s="87" t="str">
        <x:v>RESOLVED</x:v>
      </x:c>
      <x:c r="AH3440" s="87" t="str">
        <x:v>CROP_VERIFIED</x:v>
      </x:c>
      <x:c r="AI3440" s="30"/>
      <x:c r="AJ3440" s="87" t="str">
        <x:v>master</x:v>
      </x:c>
      <x:c r="AK3440" s="87" t="str">
        <x:v>master-v0.81</x:v>
      </x:c>
      <x:c r="AL3440" s="87" t="str">
        <x:v>statgrad_master_base_v0_81_final(2).xlsx</x:v>
      </x:c>
      <x:c r="AM3440" s="87" t="str">
        <x:v>BIO_Oct_V3</x:v>
      </x:c>
      <x:c r="AN3440" s="87" t="n">
        <x:v>12</x:v>
      </x:c>
    </x:row>
    <x:row r="3441">
      <x:c r="A3441" s="87" t="n">
        <x:v>3440</x:v>
      </x:c>
      <x:c r="B3441" s="87" t="str">
        <x:v>OCT-BIO-103-012</x:v>
      </x:c>
      <x:c r="C3441" s="87" t="str">
        <x:v>СтатГрад</x:v>
      </x:c>
      <x:c r="D3441" s="87" t="str">
        <x:v>Октябрь 2025</x:v>
      </x:c>
      <x:c r="E3441" s="87"/>
      <x:c r="F3441" s="87"/>
      <x:c r="G3441" s="87" t="str">
        <x:v>Биология</x:v>
      </x:c>
      <x:c r="H3441" s="87" t="n">
        <x:v>11</x:v>
      </x:c>
      <x:c r="I3441" s="87" t="str">
        <x:v>ТР №1</x:v>
      </x:c>
      <x:c r="J3441" s="87" t="str">
        <x:v>БИ2510103</x:v>
      </x:c>
      <x:c r="K3441" s="87" t="n">
        <x:v>12</x:v>
      </x:c>
      <x:c r="L3441" s="87" t="str">
        <x:v>Краткое задание по биологии</x:v>
      </x:c>
      <x:c r="M3441" s="30" t="str">
        <x:v>Установите последовательность систематических групп организмов, начиная
     с самого высокого ранга. Запишите в таблицу соответствующую последова-
     тельность цифр.
     1) Цветковые
     2) Колокольчик
     3) Двудольные
     4) Колокольчик остролистный
     5) Растения
     6) Астроцветные
     Ответ:
                                    согласия СтатГрад запрещена</x:v>
      </x:c>
      <x:c r="N3441" s="30" t="str">
        <x:v>513624</x:v>
      </x:c>
      <x:c r="O3441" s="30" t="str">
        <x:v>Ответ проверен по условию и официальным материалам.</x:v>
      </x:c>
      <x:c r="P3441" s="30" t="str">
        <x:v>Визуальный контекст связан с полной страницей JPEG.</x:v>
      </x:c>
      <x:c r="Q3441" s="30"/>
      <x:c r="R3441" s="30" t="str">
        <x:v>Официальный ключ + независимая проверка</x:v>
      </x:c>
      <x:c r="S3441" s="30"/>
      <x:c r="T3441" s="30"/>
      <x:c r="U3441" s="30" t="str">
        <x:v>Расхождений не обнаружено.</x:v>
      </x:c>
      <x:c r="V3441" s="87" t="str">
        <x:v>VERIFIED</x:v>
      </x:c>
      <x:c r="W3441" s="87" t="str">
        <x:v>tasks_a.pdf, стр. 6</x:v>
      </x:c>
      <x:c r="X3441" s="87"/>
      <x:c r="Y3441" s="87"/>
      <x:c r="Z3441" s="87"/>
      <x:c r="AA3441" s="87"/>
      <x:c r="AB3441" s="87"/>
      <x:c r="AC3441" s="87" t="str">
        <x:v>VIS-BIO-OCT-030</x:v>
      </x:c>
      <x:c r="AD3441" s="87"/>
      <x:c r="AE3441" s="87"/>
      <x:c r="AF3441" s="87" t="str">
        <x:v>VIS-BIO-OCT-030: 6</x:v>
      </x:c>
      <x:c r="AG3441" s="87" t="str">
        <x:v>RESOLVED</x:v>
      </x:c>
      <x:c r="AH3441" s="87" t="str">
        <x:v>CROP_VERIFIED</x:v>
      </x:c>
      <x:c r="AI3441" s="30"/>
      <x:c r="AJ3441" s="87" t="str">
        <x:v>master</x:v>
      </x:c>
      <x:c r="AK3441" s="87" t="str">
        <x:v>master-v0.81</x:v>
      </x:c>
      <x:c r="AL3441" s="87" t="str">
        <x:v>statgrad_master_base_v0_81_final(2).xlsx</x:v>
      </x:c>
      <x:c r="AM3441" s="87" t="str">
        <x:v>BIO_Oct_V3</x:v>
      </x:c>
      <x:c r="AN3441" s="87" t="n">
        <x:v>13</x:v>
      </x:c>
    </x:row>
    <x:row r="3442">
      <x:c r="A3442" s="87" t="n">
        <x:v>3441</x:v>
      </x:c>
      <x:c r="B3442" s="87" t="str">
        <x:v>OCT-BIO-103-013</x:v>
      </x:c>
      <x:c r="C3442" s="87" t="str">
        <x:v>СтатГрад</x:v>
      </x:c>
      <x:c r="D3442" s="87" t="str">
        <x:v>Октябрь 2025</x:v>
      </x:c>
      <x:c r="E3442" s="87"/>
      <x:c r="F3442" s="87"/>
      <x:c r="G3442" s="87" t="str">
        <x:v>Биология</x:v>
      </x:c>
      <x:c r="H3442" s="87" t="n">
        <x:v>11</x:v>
      </x:c>
      <x:c r="I3442" s="87" t="str">
        <x:v>ТР №1</x:v>
      </x:c>
      <x:c r="J3442" s="87" t="str">
        <x:v>БИ2510103</x:v>
      </x:c>
      <x:c r="K3442" s="87" t="n">
        <x:v>13</x:v>
      </x:c>
      <x:c r="L3442" s="87" t="str">
        <x:v>Краткое задание по биологии</x:v>
      </x:c>
      <x:c r="M3442" s="30" t="str">
        <x:v>Каким номером на рисунке обозначено актиновое волокно?
     Ответ: ___________________________.</x:v>
      </x:c>
      <x:c r="N3442" s="30" t="str">
        <x:v>7</x:v>
      </x:c>
      <x:c r="O3442" s="30" t="str">
        <x:v>Ответ проверен по условию и официальным материалам.</x:v>
      </x:c>
      <x:c r="P3442" s="30" t="str">
        <x:v>Визуальный контекст связан с полной страницей JPEG.</x:v>
      </x:c>
      <x:c r="Q3442" s="30"/>
      <x:c r="R3442" s="30" t="str">
        <x:v>Архивный фото-ключ + независимая проверка</x:v>
      </x:c>
      <x:c r="S3442" s="30"/>
      <x:c r="T3442" s="30"/>
      <x:c r="U3442" s="30" t="str">
        <x:v>Расхождений не обнаружено.</x:v>
      </x:c>
      <x:c r="V3442" s="87" t="str">
        <x:v>VERIFIED</x:v>
      </x:c>
      <x:c r="W3442" s="87" t="str">
        <x:v>tasks_a.pdf, стр. 7</x:v>
      </x:c>
      <x:c r="X3442" s="87"/>
      <x:c r="Y3442" s="87"/>
      <x:c r="Z3442" s="87"/>
      <x:c r="AA3442" s="87"/>
      <x:c r="AB3442" s="87"/>
      <x:c r="AC3442" s="87" t="str">
        <x:v>VIS-BIO-OCT-031</x:v>
      </x:c>
      <x:c r="AD3442" s="87"/>
      <x:c r="AE3442" s="87"/>
      <x:c r="AF3442" s="87" t="str">
        <x:v>VIS-BIO-OCT-031: 7</x:v>
      </x:c>
      <x:c r="AG3442" s="87" t="str">
        <x:v>RESOLVED</x:v>
      </x:c>
      <x:c r="AH3442" s="87" t="str">
        <x:v>CROP_VERIFIED; TASK_CROP_QA_APPROVED:MANUAL_BBOX</x:v>
      </x:c>
      <x:c r="AI3442" s="30"/>
      <x:c r="AJ3442" s="87" t="str">
        <x:v>master</x:v>
      </x:c>
      <x:c r="AK3442" s="87" t="str">
        <x:v>master-v0.81</x:v>
      </x:c>
      <x:c r="AL3442" s="87" t="str">
        <x:v>statgrad_master_base_v0_81_final(2).xlsx</x:v>
      </x:c>
      <x:c r="AM3442" s="87" t="str">
        <x:v>BIO_Oct_V3</x:v>
      </x:c>
      <x:c r="AN3442" s="87" t="n">
        <x:v>14</x:v>
      </x:c>
    </x:row>
    <x:row r="3443">
      <x:c r="A3443" s="87" t="n">
        <x:v>3442</x:v>
      </x:c>
      <x:c r="B3443" s="87" t="str">
        <x:v>OCT-BIO-103-014</x:v>
      </x:c>
      <x:c r="C3443" s="87" t="str">
        <x:v>СтатГрад</x:v>
      </x:c>
      <x:c r="D3443" s="87" t="str">
        <x:v>Октябрь 2025</x:v>
      </x:c>
      <x:c r="E3443" s="87"/>
      <x:c r="F3443" s="87"/>
      <x:c r="G3443" s="87" t="str">
        <x:v>Биология</x:v>
      </x:c>
      <x:c r="H3443" s="87" t="n">
        <x:v>11</x:v>
      </x:c>
      <x:c r="I3443" s="87" t="str">
        <x:v>ТР №1</x:v>
      </x:c>
      <x:c r="J3443" s="87" t="str">
        <x:v>БИ2510103</x:v>
      </x:c>
      <x:c r="K3443" s="87" t="n">
        <x:v>14</x:v>
      </x:c>
      <x:c r="L3443" s="87" t="str">
        <x:v>Краткое задание по биологии</x:v>
      </x:c>
      <x:c r="M3443" s="30" t="str">
        <x:v>Установите соответствие между характеристиками и структурами,
     обозначенными на рисунке цифрами 1, 2, 3: к каждой позиции, данной
     в первом столбце, подберите соответствующую позицию из второго столбца.
                ХАРАКТЕРИСТИКИ                                       СТРУКТУРЫ
     А) является многоядерной клеткой                      1) 1
     Б) содержит остеоциты                                 2) 2
     В) выполняет кроветворную функцию                     3) 3
     Г) имеет поперечную исчерченность
     Д) обладает свойством возбудимости
     Е) является примером волокнистой
        соединительной ткани
     Запишите в таблицу выбранные цифры под соответствующими буквами.
                А Б В Г Д Е
     Ответ:
                                    согласия СтатГрад запрещена</x:v>
      </x:c>
      <x:c r="N3443" s="30" t="str">
        <x:v>311332</x:v>
      </x:c>
      <x:c r="O3443" s="30" t="str">
        <x:v>Ответ проверен по условию и официальным материалам.</x:v>
      </x:c>
      <x:c r="P3443" s="30" t="str">
        <x:v>Визуальный контекст связан с полной страницей JPEG.</x:v>
      </x:c>
      <x:c r="Q3443" s="30"/>
      <x:c r="R3443" s="30" t="str">
        <x:v>Официальный ключ + независимая проверка</x:v>
      </x:c>
      <x:c r="S3443" s="30"/>
      <x:c r="T3443" s="30"/>
      <x:c r="U3443" s="30" t="str">
        <x:v>Расхождений не обнаружено.</x:v>
      </x:c>
      <x:c r="V3443" s="87" t="str">
        <x:v>VERIFIED</x:v>
      </x:c>
      <x:c r="W3443" s="87" t="str">
        <x:v>tasks_a.pdf, стр. 7</x:v>
      </x:c>
      <x:c r="X3443" s="87"/>
      <x:c r="Y3443" s="87"/>
      <x:c r="Z3443" s="87"/>
      <x:c r="AA3443" s="87"/>
      <x:c r="AB3443" s="87"/>
      <x:c r="AC3443" s="87" t="str">
        <x:v>VIS-BIO-OCT-031</x:v>
      </x:c>
      <x:c r="AD3443" s="87"/>
      <x:c r="AE3443" s="87"/>
      <x:c r="AF3443" s="87" t="str">
        <x:v>VIS-BIO-OCT-031: 7</x:v>
      </x:c>
      <x:c r="AG3443" s="87" t="str">
        <x:v>RESOLVED</x:v>
      </x:c>
      <x:c r="AH3443" s="87" t="str">
        <x:v>CROP_VERIFIED; TASK_CROP_QA_APPROVED:USE_TIGHT</x:v>
      </x:c>
      <x:c r="AI3443" s="30"/>
      <x:c r="AJ3443" s="87" t="str">
        <x:v>master</x:v>
      </x:c>
      <x:c r="AK3443" s="87" t="str">
        <x:v>master-v0.81</x:v>
      </x:c>
      <x:c r="AL3443" s="87" t="str">
        <x:v>statgrad_master_base_v0_81_final(2).xlsx</x:v>
      </x:c>
      <x:c r="AM3443" s="87" t="str">
        <x:v>BIO_Oct_V3</x:v>
      </x:c>
      <x:c r="AN3443" s="87" t="n">
        <x:v>15</x:v>
      </x:c>
    </x:row>
    <x:row r="3444">
      <x:c r="A3444" s="87" t="n">
        <x:v>3443</x:v>
      </x:c>
      <x:c r="B3444" s="87" t="str">
        <x:v>OCT-BIO-103-015</x:v>
      </x:c>
      <x:c r="C3444" s="87" t="str">
        <x:v>СтатГрад</x:v>
      </x:c>
      <x:c r="D3444" s="87" t="str">
        <x:v>Октябрь 2025</x:v>
      </x:c>
      <x:c r="E3444" s="87"/>
      <x:c r="F3444" s="87"/>
      <x:c r="G3444" s="87" t="str">
        <x:v>Биология</x:v>
      </x:c>
      <x:c r="H3444" s="87" t="n">
        <x:v>11</x:v>
      </x:c>
      <x:c r="I3444" s="87" t="str">
        <x:v>ТР №1</x:v>
      </x:c>
      <x:c r="J3444" s="87" t="str">
        <x:v>БИ2510103</x:v>
      </x:c>
      <x:c r="K3444" s="87" t="n">
        <x:v>15</x:v>
      </x:c>
      <x:c r="L3444" s="87" t="str">
        <x:v>Краткое задание по биологии</x:v>
      </x:c>
      <x:c r="M3444" s="30" t="str">
        <x:v>Выберите три верных ответа и запишите в таблицу цифры, под которыми
     они указаны.
     Элементами осевого скелета человека являются
     1) ключица
     2) грудина
     3) крестец
     4) затылочная кость
     5) лобковая кость
     6) лучевая кость
     Ответ:</x:v>
      </x:c>
      <x:c r="N3444" s="30" t="str">
        <x:v>234</x:v>
      </x:c>
      <x:c r="O3444" s="30" t="str">
        <x:v>Ответ проверен по условию и официальным материалам.</x:v>
      </x:c>
      <x:c r="P3444" s="30" t="str">
        <x:v>Визуальный контекст связан с полной страницей JPEG.</x:v>
      </x:c>
      <x:c r="Q3444" s="30"/>
      <x:c r="R3444" s="30" t="str">
        <x:v>Официальный ключ + независимая проверка</x:v>
      </x:c>
      <x:c r="S3444" s="30"/>
      <x:c r="T3444" s="30"/>
      <x:c r="U3444" s="30" t="str">
        <x:v>Расхождений не обнаружено.</x:v>
      </x:c>
      <x:c r="V3444" s="87" t="str">
        <x:v>VERIFIED</x:v>
      </x:c>
      <x:c r="W3444" s="87" t="str">
        <x:v>tasks_a.pdf, стр. 8</x:v>
      </x:c>
      <x:c r="X3444" s="87"/>
      <x:c r="Y3444" s="87"/>
      <x:c r="Z3444" s="87"/>
      <x:c r="AA3444" s="87"/>
      <x:c r="AB3444" s="87"/>
      <x:c r="AC3444" s="87" t="str">
        <x:v>VIS-BIO-OCT-032</x:v>
      </x:c>
      <x:c r="AD3444" s="87"/>
      <x:c r="AE3444" s="87"/>
      <x:c r="AF3444" s="87" t="str">
        <x:v>VIS-BIO-OCT-032: 8</x:v>
      </x:c>
      <x:c r="AG3444" s="87" t="str">
        <x:v>RESOLVED</x:v>
      </x:c>
      <x:c r="AH3444" s="87" t="str">
        <x:v>CROP_VERIFIED</x:v>
      </x:c>
      <x:c r="AI3444" s="30"/>
      <x:c r="AJ3444" s="87" t="str">
        <x:v>master</x:v>
      </x:c>
      <x:c r="AK3444" s="87" t="str">
        <x:v>master-v0.81</x:v>
      </x:c>
      <x:c r="AL3444" s="87" t="str">
        <x:v>statgrad_master_base_v0_81_final(2).xlsx</x:v>
      </x:c>
      <x:c r="AM3444" s="87" t="str">
        <x:v>BIO_Oct_V3</x:v>
      </x:c>
      <x:c r="AN3444" s="87" t="n">
        <x:v>16</x:v>
      </x:c>
    </x:row>
    <x:row r="3445">
      <x:c r="A3445" s="87" t="n">
        <x:v>3444</x:v>
      </x:c>
      <x:c r="B3445" s="87" t="str">
        <x:v>OCT-BIO-103-016</x:v>
      </x:c>
      <x:c r="C3445" s="87" t="str">
        <x:v>СтатГрад</x:v>
      </x:c>
      <x:c r="D3445" s="87" t="str">
        <x:v>Октябрь 2025</x:v>
      </x:c>
      <x:c r="E3445" s="87"/>
      <x:c r="F3445" s="87"/>
      <x:c r="G3445" s="87" t="str">
        <x:v>Биология</x:v>
      </x:c>
      <x:c r="H3445" s="87" t="n">
        <x:v>11</x:v>
      </x:c>
      <x:c r="I3445" s="87" t="str">
        <x:v>ТР №1</x:v>
      </x:c>
      <x:c r="J3445" s="87" t="str">
        <x:v>БИ2510103</x:v>
      </x:c>
      <x:c r="K3445" s="87" t="n">
        <x:v>16</x:v>
      </x:c>
      <x:c r="L3445" s="87" t="str">
        <x:v>Краткое задание по биологии</x:v>
      </x:c>
      <x:c r="M3445" s="30" t="str">
        <x:v>Установите последовательность этапов обмена белков в организме человека.
     Запишите в таблицу соответствующую последовательность цифр.
     1) перемещение мономеров белков по воротной вене печени
     2) гидролиз белков в желудочно-кишечном тракте
     3) отщепление аминогруппы в гепатоцитах печени
     4) всасывание аминокислот в кровь
     5) формирование пищевого комка
     Ответ:</x:v>
      </x:c>
      <x:c r="N3445" s="30" t="str">
        <x:v>52413</x:v>
      </x:c>
      <x:c r="O3445" s="30" t="str">
        <x:v>Ответ проверен по условию и официальным материалам.</x:v>
      </x:c>
      <x:c r="P3445" s="30" t="str">
        <x:v>Визуальный контекст связан с полной страницей JPEG.</x:v>
      </x:c>
      <x:c r="Q3445" s="30"/>
      <x:c r="R3445" s="30" t="str">
        <x:v>Официальный ключ + независимая проверка</x:v>
      </x:c>
      <x:c r="S3445" s="30"/>
      <x:c r="T3445" s="30"/>
      <x:c r="U3445" s="30" t="str">
        <x:v>Расхождений не обнаружено.</x:v>
      </x:c>
      <x:c r="V3445" s="87" t="str">
        <x:v>VERIFIED</x:v>
      </x:c>
      <x:c r="W3445" s="87" t="str">
        <x:v>tasks_a.pdf, стр. 8</x:v>
      </x:c>
      <x:c r="X3445" s="87"/>
      <x:c r="Y3445" s="87"/>
      <x:c r="Z3445" s="87"/>
      <x:c r="AA3445" s="87"/>
      <x:c r="AB3445" s="87"/>
      <x:c r="AC3445" s="87" t="str">
        <x:v>VIS-BIO-OCT-032</x:v>
      </x:c>
      <x:c r="AD3445" s="87"/>
      <x:c r="AE3445" s="87"/>
      <x:c r="AF3445" s="87" t="str">
        <x:v>VIS-BIO-OCT-032: 8</x:v>
      </x:c>
      <x:c r="AG3445" s="87" t="str">
        <x:v>RESOLVED</x:v>
      </x:c>
      <x:c r="AH3445" s="87" t="str">
        <x:v>CROP_VERIFIED</x:v>
      </x:c>
      <x:c r="AI3445" s="30"/>
      <x:c r="AJ3445" s="87" t="str">
        <x:v>master</x:v>
      </x:c>
      <x:c r="AK3445" s="87" t="str">
        <x:v>master-v0.81</x:v>
      </x:c>
      <x:c r="AL3445" s="87" t="str">
        <x:v>statgrad_master_base_v0_81_final(2).xlsx</x:v>
      </x:c>
      <x:c r="AM3445" s="87" t="str">
        <x:v>BIO_Oct_V3</x:v>
      </x:c>
      <x:c r="AN3445" s="87" t="n">
        <x:v>17</x:v>
      </x:c>
    </x:row>
    <x:row r="3446">
      <x:c r="A3446" s="87" t="n">
        <x:v>3445</x:v>
      </x:c>
      <x:c r="B3446" s="87" t="str">
        <x:v>OCT-BIO-103-017</x:v>
      </x:c>
      <x:c r="C3446" s="87" t="str">
        <x:v>СтатГрад</x:v>
      </x:c>
      <x:c r="D3446" s="87" t="str">
        <x:v>Октябрь 2025</x:v>
      </x:c>
      <x:c r="E3446" s="87"/>
      <x:c r="F3446" s="87"/>
      <x:c r="G3446" s="87" t="str">
        <x:v>Биология</x:v>
      </x:c>
      <x:c r="H3446" s="87" t="n">
        <x:v>11</x:v>
      </x:c>
      <x:c r="I3446" s="87" t="str">
        <x:v>ТР №1</x:v>
      </x:c>
      <x:c r="J3446" s="87" t="str">
        <x:v>БИ2510103</x:v>
      </x:c>
      <x:c r="K3446" s="87" t="n">
        <x:v>17</x:v>
      </x:c>
      <x:c r="L3446" s="87" t="str">
        <x:v>Краткое задание по биологии</x:v>
      </x:c>
      <x:c r="M3446" s="30" t="str">
        <x:v>Прочитайте текст. Выберите три предложения, в которых описаны
     особенности образа жизни неандертальцев. Запишите в таблицу цифры,
     под которыми они указаны.
     (1)Неандертальцы обитали в условиях прохладного климата. (2)В связи
     с этим они научились использовать различные вещества и предметы для
     извлечения огня. (3)Умение обрабатывать камни позволяло им создавать
     примитивные орудия труда. (4)У них возникают полноценная членораз-
     дельная речь и зачатки письменности. (5)Питались неандертальцы исклю-
     чительно растительной пищей. (6)Выращивание сельскохозяйственных
     культур обеспечило переход неандертальцев к оседлому существованию.
     Ответ:
                                    согласия СтатГрад запрещена</x:v>
      </x:c>
      <x:c r="N3446" s="30" t="str">
        <x:v>123</x:v>
      </x:c>
      <x:c r="O3446" s="30" t="str">
        <x:v>Ответ проверен по условию и официальным материалам.</x:v>
      </x:c>
      <x:c r="P3446" s="30" t="str">
        <x:v>Визуальный контекст связан с полной страницей JPEG.</x:v>
      </x:c>
      <x:c r="Q3446" s="30"/>
      <x:c r="R3446" s="30" t="str">
        <x:v>Официальный ключ + независимая проверка</x:v>
      </x:c>
      <x:c r="S3446" s="30"/>
      <x:c r="T3446" s="30"/>
      <x:c r="U3446" s="30" t="str">
        <x:v>Расхождений не обнаружено.</x:v>
      </x:c>
      <x:c r="V3446" s="87" t="str">
        <x:v>VERIFIED</x:v>
      </x:c>
      <x:c r="W3446" s="87" t="str">
        <x:v>tasks_a.pdf, стр. 8</x:v>
      </x:c>
      <x:c r="X3446" s="87"/>
      <x:c r="Y3446" s="87"/>
      <x:c r="Z3446" s="87"/>
      <x:c r="AA3446" s="87"/>
      <x:c r="AB3446" s="87"/>
      <x:c r="AC3446" s="87" t="str">
        <x:v>VIS-BIO-OCT-032</x:v>
      </x:c>
      <x:c r="AD3446" s="87"/>
      <x:c r="AE3446" s="87"/>
      <x:c r="AF3446" s="87" t="str">
        <x:v>VIS-BIO-OCT-032: 8</x:v>
      </x:c>
      <x:c r="AG3446" s="87" t="str">
        <x:v>RESOLVED</x:v>
      </x:c>
      <x:c r="AH3446" s="87" t="str">
        <x:v>CROP_VERIFIED</x:v>
      </x:c>
      <x:c r="AI3446" s="30"/>
      <x:c r="AJ3446" s="87" t="str">
        <x:v>master</x:v>
      </x:c>
      <x:c r="AK3446" s="87" t="str">
        <x:v>master-v0.81</x:v>
      </x:c>
      <x:c r="AL3446" s="87" t="str">
        <x:v>statgrad_master_base_v0_81_final(2).xlsx</x:v>
      </x:c>
      <x:c r="AM3446" s="87" t="str">
        <x:v>BIO_Oct_V3</x:v>
      </x:c>
      <x:c r="AN3446" s="87" t="n">
        <x:v>18</x:v>
      </x:c>
    </x:row>
    <x:row r="3447">
      <x:c r="A3447" s="87" t="n">
        <x:v>3446</x:v>
      </x:c>
      <x:c r="B3447" s="87" t="str">
        <x:v>OCT-BIO-103-018</x:v>
      </x:c>
      <x:c r="C3447" s="87" t="str">
        <x:v>СтатГрад</x:v>
      </x:c>
      <x:c r="D3447" s="87" t="str">
        <x:v>Октябрь 2025</x:v>
      </x:c>
      <x:c r="E3447" s="87"/>
      <x:c r="F3447" s="87"/>
      <x:c r="G3447" s="87" t="str">
        <x:v>Биология</x:v>
      </x:c>
      <x:c r="H3447" s="87" t="n">
        <x:v>11</x:v>
      </x:c>
      <x:c r="I3447" s="87" t="str">
        <x:v>ТР №1</x:v>
      </x:c>
      <x:c r="J3447" s="87" t="str">
        <x:v>БИ2510103</x:v>
      </x:c>
      <x:c r="K3447" s="87" t="n">
        <x:v>18</x:v>
      </x:c>
      <x:c r="L3447" s="87" t="str">
        <x:v>Краткое задание по биологии</x:v>
      </x:c>
      <x:c r="M3447" s="30" t="str">
        <x:v>Выберите три верных ответа и запишите в таблицу цифры, под которыми
     они указаны.
     Какие факторы среды относят к абиотическим?
     1) рыхление почвы червями
     2) забота о потомстве
     3) температура водоёма
     4) кислотность почвы
     5) комменсализм
     6) высота прилива
     Ответ:</x:v>
      </x:c>
      <x:c r="N3447" s="30" t="str">
        <x:v>346</x:v>
      </x:c>
      <x:c r="O3447" s="30" t="str">
        <x:v>Ответ проверен по условию и официальным материалам.</x:v>
      </x:c>
      <x:c r="P3447" s="30" t="str">
        <x:v>Визуальный контекст связан с полной страницей JPEG.</x:v>
      </x:c>
      <x:c r="Q3447" s="30"/>
      <x:c r="R3447" s="30" t="str">
        <x:v>Официальный ключ + независимая проверка</x:v>
      </x:c>
      <x:c r="S3447" s="30"/>
      <x:c r="T3447" s="30"/>
      <x:c r="U3447" s="30" t="str">
        <x:v>Расхождений не обнаружено.</x:v>
      </x:c>
      <x:c r="V3447" s="87" t="str">
        <x:v>VERIFIED</x:v>
      </x:c>
      <x:c r="W3447" s="87" t="str">
        <x:v>tasks_a.pdf, стр. 9</x:v>
      </x:c>
      <x:c r="X3447" s="87"/>
      <x:c r="Y3447" s="87"/>
      <x:c r="Z3447" s="87"/>
      <x:c r="AA3447" s="87"/>
      <x:c r="AB3447" s="87"/>
      <x:c r="AC3447" s="87" t="str">
        <x:v>VIS-BIO-OCT-033</x:v>
      </x:c>
      <x:c r="AD3447" s="87"/>
      <x:c r="AE3447" s="87"/>
      <x:c r="AF3447" s="87" t="str">
        <x:v>VIS-BIO-OCT-033: 9</x:v>
      </x:c>
      <x:c r="AG3447" s="87" t="str">
        <x:v>RESOLVED</x:v>
      </x:c>
      <x:c r="AH3447" s="87" t="str">
        <x:v>CROP_VERIFIED</x:v>
      </x:c>
      <x:c r="AI3447" s="30"/>
      <x:c r="AJ3447" s="87" t="str">
        <x:v>master</x:v>
      </x:c>
      <x:c r="AK3447" s="87" t="str">
        <x:v>master-v0.81</x:v>
      </x:c>
      <x:c r="AL3447" s="87" t="str">
        <x:v>statgrad_master_base_v0_81_final(2).xlsx</x:v>
      </x:c>
      <x:c r="AM3447" s="87" t="str">
        <x:v>BIO_Oct_V3</x:v>
      </x:c>
      <x:c r="AN3447" s="87" t="n">
        <x:v>19</x:v>
      </x:c>
    </x:row>
    <x:row r="3448">
      <x:c r="A3448" s="87" t="n">
        <x:v>3447</x:v>
      </x:c>
      <x:c r="B3448" s="87" t="str">
        <x:v>OCT-BIO-103-019</x:v>
      </x:c>
      <x:c r="C3448" s="87" t="str">
        <x:v>СтатГрад</x:v>
      </x:c>
      <x:c r="D3448" s="87" t="str">
        <x:v>Октябрь 2025</x:v>
      </x:c>
      <x:c r="E3448" s="87"/>
      <x:c r="F3448" s="87"/>
      <x:c r="G3448" s="87" t="str">
        <x:v>Биология</x:v>
      </x:c>
      <x:c r="H3448" s="87" t="n">
        <x:v>11</x:v>
      </x:c>
      <x:c r="I3448" s="87" t="str">
        <x:v>ТР №1</x:v>
      </x:c>
      <x:c r="J3448" s="87" t="str">
        <x:v>БИ2510103</x:v>
      </x:c>
      <x:c r="K3448" s="87" t="n">
        <x:v>19</x:v>
      </x:c>
      <x:c r="L3448" s="87" t="str">
        <x:v>Краткое задание по биологии</x:v>
      </x:c>
      <x:c r="M3448" s="30" t="str">
        <x:v>Установите соответствие между открытиями и учёными: к каждой позиции,
     данной в первом столбце, подберите соответствующую позицию из второго
     столбца.
                           ОТКРЫТИЯ                                            УЧЁНЫЕ
     А) создание бинарной номенклатуры                                      1) К. Линней
     Б) определение естественного отбора в качестве                         2) Ж.Б. Ламарк
        движущей силы эволюции                                              3) Ч. Дарвин
     В) создание системы соподчинённых таксонов
     Г) разделение изменчивости на определённую
        и неопределённую
     Д) закон о наследовании благоприобретённых признаков
     Е) расположение организмов в восходящем порядке
        согласно принципу градации
     Запишите в таблицу выбранные цифры под соответствующими буквами.
                А Б В Г Д Е
     Ответ:
                                    согласия СтатГрад запрещена</x:v>
      </x:c>
      <x:c r="N3448" s="30" t="str">
        <x:v>131322</x:v>
      </x:c>
      <x:c r="O3448" s="30" t="str">
        <x:v>Ответ проверен по условию и официальным материалам.</x:v>
      </x:c>
      <x:c r="P3448" s="30" t="str">
        <x:v>Визуальный контекст связан с полной страницей JPEG.</x:v>
      </x:c>
      <x:c r="Q3448" s="30"/>
      <x:c r="R3448" s="30" t="str">
        <x:v>Официальный ключ + независимая проверка</x:v>
      </x:c>
      <x:c r="S3448" s="30"/>
      <x:c r="T3448" s="30"/>
      <x:c r="U3448" s="30" t="str">
        <x:v>Расхождений не обнаружено.</x:v>
      </x:c>
      <x:c r="V3448" s="87" t="str">
        <x:v>VERIFIED</x:v>
      </x:c>
      <x:c r="W3448" s="87" t="str">
        <x:v>tasks_a.pdf, стр. 9</x:v>
      </x:c>
      <x:c r="X3448" s="87"/>
      <x:c r="Y3448" s="87"/>
      <x:c r="Z3448" s="87"/>
      <x:c r="AA3448" s="87"/>
      <x:c r="AB3448" s="87"/>
      <x:c r="AC3448" s="87" t="str">
        <x:v>VIS-BIO-OCT-033</x:v>
      </x:c>
      <x:c r="AD3448" s="87"/>
      <x:c r="AE3448" s="87"/>
      <x:c r="AF3448" s="87" t="str">
        <x:v>VIS-BIO-OCT-033: 9</x:v>
      </x:c>
      <x:c r="AG3448" s="87" t="str">
        <x:v>RESOLVED</x:v>
      </x:c>
      <x:c r="AH3448" s="87" t="str">
        <x:v>CROP_VERIFIED</x:v>
      </x:c>
      <x:c r="AI3448" s="30"/>
      <x:c r="AJ3448" s="87" t="str">
        <x:v>master</x:v>
      </x:c>
      <x:c r="AK3448" s="87" t="str">
        <x:v>master-v0.81</x:v>
      </x:c>
      <x:c r="AL3448" s="87" t="str">
        <x:v>statgrad_master_base_v0_81_final(2).xlsx</x:v>
      </x:c>
      <x:c r="AM3448" s="87" t="str">
        <x:v>BIO_Oct_V3</x:v>
      </x:c>
      <x:c r="AN3448" s="87" t="n">
        <x:v>20</x:v>
      </x:c>
    </x:row>
    <x:row r="3449">
      <x:c r="A3449" s="87" t="n">
        <x:v>3448</x:v>
      </x:c>
      <x:c r="B3449" s="87" t="str">
        <x:v>OCT-BIO-103-020</x:v>
      </x:c>
      <x:c r="C3449" s="87" t="str">
        <x:v>СтатГрад</x:v>
      </x:c>
      <x:c r="D3449" s="87" t="str">
        <x:v>Октябрь 2025</x:v>
      </x:c>
      <x:c r="E3449" s="87"/>
      <x:c r="F3449" s="87"/>
      <x:c r="G3449" s="87" t="str">
        <x:v>Биология</x:v>
      </x:c>
      <x:c r="H3449" s="87" t="n">
        <x:v>11</x:v>
      </x:c>
      <x:c r="I3449" s="87" t="str">
        <x:v>ТР №1</x:v>
      </x:c>
      <x:c r="J3449" s="87" t="str">
        <x:v>БИ2510103</x:v>
      </x:c>
      <x:c r="K3449" s="87" t="n">
        <x:v>20</x:v>
      </x:c>
      <x:c r="L3449" s="87" t="str">
        <x:v>Краткое задание по биологии</x:v>
      </x:c>
      <x:c r="M3449" s="30" t="str">
        <x:v>Проанализируйте таблицу «Способы видообразования».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Способ
                                       Причина                           Пример
      видообразования
                               постепенное изменение
     ______________(А)                                             эволюция лошади
                                   условий среды
                                     появление
         дивергентное
                                  географических               ___________________(В)
       аллопатрическое
                                      барьеров
        дивергентное                                          лососи с разными сроками
                               __________________(Б)
       симпатрическое                                                  нереста
     Список элементов
     1) появление полиплоидных лягушек
     2) филетическое
     3) наличие разных экологических условий
     4) существование нескольких видов галапагосских вьюрков
     5) гибридогенное
     6) формирование географических барьеров
     7) появление сливы при скрещивании тёрна и алычи
     8) индуцированный мутагенез
     Запишите в таблицу выбранные цифры под соответствующими буквами.
                А Б В
     Ответ:
                                    согласия СтатГрад запрещена</x:v>
      </x:c>
      <x:c r="N3449" s="30" t="str">
        <x:v>234</x:v>
      </x:c>
      <x:c r="O3449" s="30" t="str">
        <x:v>Ответ проверен по условию и официальным материалам.</x:v>
      </x:c>
      <x:c r="P3449" s="30" t="str">
        <x:v>Визуальный контекст связан с полной страницей JPEG.</x:v>
      </x:c>
      <x:c r="Q3449" s="30"/>
      <x:c r="R3449" s="30" t="str">
        <x:v>Официальный ключ + независимая проверка</x:v>
      </x:c>
      <x:c r="S3449" s="30"/>
      <x:c r="T3449" s="30"/>
      <x:c r="U3449" s="30" t="str">
        <x:v>Расхождений не обнаружено.</x:v>
      </x:c>
      <x:c r="V3449" s="87" t="str">
        <x:v>VERIFIED</x:v>
      </x:c>
      <x:c r="W3449" s="87" t="str">
        <x:v>tasks_a.pdf, стр. 10</x:v>
      </x:c>
      <x:c r="X3449" s="87"/>
      <x:c r="Y3449" s="87"/>
      <x:c r="Z3449" s="87"/>
      <x:c r="AA3449" s="87"/>
      <x:c r="AB3449" s="87"/>
      <x:c r="AC3449" s="87" t="str">
        <x:v>VIS-BIO-OCT-034</x:v>
      </x:c>
      <x:c r="AD3449" s="87"/>
      <x:c r="AE3449" s="87"/>
      <x:c r="AF3449" s="87" t="str">
        <x:v>VIS-BIO-OCT-034: 10</x:v>
      </x:c>
      <x:c r="AG3449" s="87" t="str">
        <x:v>RESOLVED</x:v>
      </x:c>
      <x:c r="AH3449" s="87" t="str">
        <x:v>CROP_VERIFIED</x:v>
      </x:c>
      <x:c r="AI3449" s="30"/>
      <x:c r="AJ3449" s="87" t="str">
        <x:v>master</x:v>
      </x:c>
      <x:c r="AK3449" s="87" t="str">
        <x:v>master-v0.81</x:v>
      </x:c>
      <x:c r="AL3449" s="87" t="str">
        <x:v>statgrad_master_base_v0_81_final(2).xlsx</x:v>
      </x:c>
      <x:c r="AM3449" s="87" t="str">
        <x:v>BIO_Oct_V3</x:v>
      </x:c>
      <x:c r="AN3449" s="87" t="n">
        <x:v>21</x:v>
      </x:c>
    </x:row>
    <x:row r="3450">
      <x:c r="A3450" s="87" t="n">
        <x:v>3449</x:v>
      </x:c>
      <x:c r="B3450" s="87" t="str">
        <x:v>OCT-BIO-103-021</x:v>
      </x:c>
      <x:c r="C3450" s="87" t="str">
        <x:v>СтатГрад</x:v>
      </x:c>
      <x:c r="D3450" s="87" t="str">
        <x:v>Октябрь 2025</x:v>
      </x:c>
      <x:c r="E3450" s="87"/>
      <x:c r="F3450" s="87"/>
      <x:c r="G3450" s="87" t="str">
        <x:v>Биология</x:v>
      </x:c>
      <x:c r="H3450" s="87" t="n">
        <x:v>11</x:v>
      </x:c>
      <x:c r="I3450" s="87" t="str">
        <x:v>ТР №1</x:v>
      </x:c>
      <x:c r="J3450" s="87" t="str">
        <x:v>БИ2510103</x:v>
      </x:c>
      <x:c r="K3450" s="87" t="n">
        <x:v>21</x:v>
      </x:c>
      <x:c r="L3450" s="87" t="str">
        <x:v>Краткое задание по биологии</x:v>
      </x:c>
      <x:c r="M3450" s="30" t="str">
        <x:v>Проанализируйте таблицу «Данные о вакцинации против заболевания Х
     в ряде стран с наибольшим уровнем заболеваемости».
                                     Количество               Доля вакцинированных
             Страна               вакцинированных,             от общей численности
                                        млн                        населения, %
     КНР                                 622                           43,2
     Индия                              385,6                          27,9
     CША                                193,2                          58,4
     Бразилия                            108                           50,8
     Германия                            51,6                          61,6
     Великобритания                      46,9                          69,1
     Франция                             43,6                          66,9
     Турция                              41,3                          49,0
     Италия                              39,2                          64,8
     Российская Федерация                38,1                          26,0
     Испания                             32,9                          70,4
     Канада                              27,1                          71,9
     ОАЭ                                 7,9                           79,8
     Израиль                             5,8                           67,0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Наименьшая доля численности вакцинированных обнаруживается
        в Российской Федерации.
     2) Для стран с холодным климатом данное заболевание не опасно, поэтому
        доля вакцинированных не столь существенна.
     3) Доля сомневающихся в эффективности прививок в Великобритании –
        30,9 % от общего населения.
     4) КНР и Индия – страны с самым большим населением.
     5) Население КНР превышает 1 млрд человек.
     Ответ: ___________________________.
                                    согласия СтатГрад запрещена</x:v>
      </x:c>
      <x:c r="N3450" s="30" t="str">
        <x:v>15</x:v>
      </x:c>
      <x:c r="O3450" s="30" t="str">
        <x:v>Ответ проверен по условию и официальным материалам.</x:v>
      </x:c>
      <x:c r="P3450" s="30" t="str">
        <x:v>Визуальный контекст связан с полной страницей JPEG.</x:v>
      </x:c>
      <x:c r="Q3450" s="30"/>
      <x:c r="R3450" s="30" t="str">
        <x:v>Официальный ключ + независимая проверка</x:v>
      </x:c>
      <x:c r="S3450" s="30"/>
      <x:c r="T3450" s="30"/>
      <x:c r="U3450" s="30" t="str">
        <x:v>Расхождений не обнаружено.</x:v>
      </x:c>
      <x:c r="V3450" s="87" t="str">
        <x:v>VERIFIED</x:v>
      </x:c>
      <x:c r="W3450" s="87" t="str">
        <x:v>tasks_a.pdf, стр. 11</x:v>
      </x:c>
      <x:c r="X3450" s="87"/>
      <x:c r="Y3450" s="87"/>
      <x:c r="Z3450" s="87"/>
      <x:c r="AA3450" s="87"/>
      <x:c r="AB3450" s="87"/>
      <x:c r="AC3450" s="87" t="str">
        <x:v>VIS-BIO-OCT-035</x:v>
      </x:c>
      <x:c r="AD3450" s="87"/>
      <x:c r="AE3450" s="87"/>
      <x:c r="AF3450" s="87" t="str">
        <x:v>VIS-BIO-OCT-035: 11</x:v>
      </x:c>
      <x:c r="AG3450" s="87" t="str">
        <x:v>RESOLVED</x:v>
      </x:c>
      <x:c r="AH3450" s="87" t="str">
        <x:v>CROP_VERIFIED</x:v>
      </x:c>
      <x:c r="AI3450" s="30"/>
      <x:c r="AJ3450" s="87" t="str">
        <x:v>master</x:v>
      </x:c>
      <x:c r="AK3450" s="87" t="str">
        <x:v>master-v0.81</x:v>
      </x:c>
      <x:c r="AL3450" s="87" t="str">
        <x:v>statgrad_master_base_v0_81_final(2).xlsx</x:v>
      </x:c>
      <x:c r="AM3450" s="87" t="str">
        <x:v>BIO_Oct_V3</x:v>
      </x:c>
      <x:c r="AN3450" s="87" t="n">
        <x:v>22</x:v>
      </x:c>
    </x:row>
    <x:row r="3451">
      <x:c r="A3451" s="87" t="n">
        <x:v>3450</x:v>
      </x:c>
      <x:c r="B3451" s="87" t="str">
        <x:v>OCT-BIO-103-022</x:v>
      </x:c>
      <x:c r="C3451" s="87" t="str">
        <x:v>СтатГрад</x:v>
      </x:c>
      <x:c r="D3451" s="87" t="str">
        <x:v>Октябрь 2025</x:v>
      </x:c>
      <x:c r="E3451" s="87"/>
      <x:c r="F3451" s="87"/>
      <x:c r="G3451" s="87" t="str">
        <x:v>Биология</x:v>
      </x:c>
      <x:c r="H3451" s="87" t="n">
        <x:v>11</x:v>
      </x:c>
      <x:c r="I3451" s="87" t="str">
        <x:v>ТР №1</x:v>
      </x:c>
      <x:c r="J3451" s="87" t="str">
        <x:v>БИ2510103</x:v>
      </x:c>
      <x:c r="K3451" s="87" t="n">
        <x:v>22</x:v>
      </x:c>
      <x:c r="L3451" s="87" t="str">
        <x:v>Методология эксперимента</x:v>
      </x:c>
      <x:c r="M3451" s="30" t="str">
        <x:v>Сформулируйте нулевую гипотезу* для данного исследования. Почему
     результаты эксперимента были бы недостоверными, если бы учёный
     использовал по одному растению в каждой группе?
     * Нулевая гипотеза – принимаемое по умолчанию предположение, что
     не существует связи между двумя наблюдаемыми событиями, феноменами.</x:v>
      </x:c>
      <x:c r="N3451" s="30" t="str">
        <x:v>Содержание верного ответа и указания по оцениванию
         (допускаются иные формулировки ответа, не искажающие его смысла)
                                                                                       Баллы
     Элементы ответа:
     1) стимуляторы роста не влияют на рост растений;
     2) отдельные растения могут иметь индивидуальные особенности,
     влияющие на рост их побегов и корней (на рост растения, на
     скорость роста растения);
     3) это не позволит достоверно установить, есть ли различия
     в скорости роста и развития растений в зависимости от добавления
     стимуляторов роста.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Все иные ситуации, не соответствующие правилам выставления 3,
                                                                                          0
     2 и 1 балла
                                                   Максимальный балл                      3
                                    согласия СтатГрад запрещена</x:v>
      </x:c>
      <x:c r="O3451" s="30" t="str">
        <x:v>Ответ проверен по условию и официальным материалам.</x:v>
      </x:c>
      <x:c r="P3451" s="30" t="str">
        <x:v>Визуальный контекст связан с полной страницей JPEG.</x:v>
      </x:c>
      <x:c r="Q3451" s="30"/>
      <x:c r="R3451" s="30" t="str">
        <x:v>Официальные критерии</x:v>
      </x:c>
      <x:c r="S3451" s="30"/>
      <x:c r="T3451" s="30"/>
      <x:c r="U3451" s="30" t="str">
        <x:v>Расхождений не обнаружено.</x:v>
      </x:c>
      <x:c r="V3451" s="87" t="str">
        <x:v>VERIFIED</x:v>
      </x:c>
      <x:c r="W3451" s="87" t="str">
        <x:v>tasks_a.pdf, стр. 12</x:v>
      </x:c>
      <x:c r="X3451" s="87"/>
      <x:c r="Y3451" s="87"/>
      <x:c r="Z3451" s="87"/>
      <x:c r="AA3451" s="87"/>
      <x:c r="AB3451" s="87"/>
      <x:c r="AC3451" s="87"/>
      <x:c r="AD3451" s="87"/>
      <x:c r="AE3451" s="87"/>
      <x:c r="AF3451" s="87"/>
      <x:c r="AG3451" s="87"/>
      <x:c r="AH3451" s="87"/>
      <x:c r="AI3451" s="30"/>
      <x:c r="AJ3451" s="87" t="str">
        <x:v>master</x:v>
      </x:c>
      <x:c r="AK3451" s="87" t="str">
        <x:v>master-v0.81</x:v>
      </x:c>
      <x:c r="AL3451" s="87" t="str">
        <x:v>statgrad_master_base_v0_81_final(2).xlsx</x:v>
      </x:c>
      <x:c r="AM3451" s="87" t="str">
        <x:v>BIO_Oct_V3</x:v>
      </x:c>
      <x:c r="AN3451" s="87" t="n">
        <x:v>23</x:v>
      </x:c>
    </x:row>
    <x:row r="3452">
      <x:c r="A3452" s="87" t="n">
        <x:v>3451</x:v>
      </x:c>
      <x:c r="B3452" s="87" t="str">
        <x:v>OCT-BIO-103-023</x:v>
      </x:c>
      <x:c r="C3452" s="87" t="str">
        <x:v>СтатГрад</x:v>
      </x:c>
      <x:c r="D3452" s="87" t="str">
        <x:v>Октябрь 2025</x:v>
      </x:c>
      <x:c r="E3452" s="87"/>
      <x:c r="F3452" s="87"/>
      <x:c r="G3452" s="87" t="str">
        <x:v>Биология</x:v>
      </x:c>
      <x:c r="H3452" s="87" t="n">
        <x:v>11</x:v>
      </x:c>
      <x:c r="I3452" s="87" t="str">
        <x:v>ТР №1</x:v>
      </x:c>
      <x:c r="J3452" s="87" t="str">
        <x:v>БИ2510103</x:v>
      </x:c>
      <x:c r="K3452" s="87" t="n">
        <x:v>23</x:v>
      </x:c>
      <x:c r="L3452" s="87" t="str">
        <x:v>Физиология растений</x:v>
      </x:c>
      <x:c r="M3452" s="30" t="str">
        <x:v>Эксперимент показал, что наибольший рост побегов демонстрировали
     растения, которые поливали водой с добавлением стимулятора роста корней.
     Как можно объяснить данный результат? Ответ поясните.</x:v>
      </x:c>
      <x:c r="N3452" s="30" t="str">
        <x:v>Содержание верного ответа и указания по оцениванию
         (допускаются иные формулировки ответа, не искажающие его смысла)
                                                                                       Баллы
     Элементы ответа:
     1) стимуляция роста корней даёт более мощную корневую систему;
     2) мощная корневая система позволяет лучше снабжать побеги
     минералами и водой;
     3) положительный эффект от большого поступления воды и
     минералов перевешивает эффект от стимуляции роста побегов.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Все иные ситуации, не соответствующие правилам выставления 3,
                                                                                          0
     2 и 1 балла
                                                 Максимальный балл                        3
                                    согласия СтатГрад запрещена</x:v>
      </x:c>
      <x:c r="O3452" s="30" t="str">
        <x:v>Ответ проверен по условию и официальным материалам.</x:v>
      </x:c>
      <x:c r="P3452" s="30" t="str">
        <x:v>Визуальный контекст связан с полной страницей JPEG.</x:v>
      </x:c>
      <x:c r="Q3452" s="30"/>
      <x:c r="R3452" s="30" t="str">
        <x:v>Официальные критерии</x:v>
      </x:c>
      <x:c r="S3452" s="30"/>
      <x:c r="T3452" s="30"/>
      <x:c r="U3452" s="30" t="str">
        <x:v>Расхождений не обнаружено.</x:v>
      </x:c>
      <x:c r="V3452" s="87" t="str">
        <x:v>VERIFIED</x:v>
      </x:c>
      <x:c r="W3452" s="87" t="str">
        <x:v>tasks_a.pdf, стр. 12</x:v>
      </x:c>
      <x:c r="X3452" s="87"/>
      <x:c r="Y3452" s="87"/>
      <x:c r="Z3452" s="87"/>
      <x:c r="AA3452" s="87"/>
      <x:c r="AB3452" s="87"/>
      <x:c r="AC3452" s="87"/>
      <x:c r="AD3452" s="87"/>
      <x:c r="AE3452" s="87"/>
      <x:c r="AF3452" s="87"/>
      <x:c r="AG3452" s="87"/>
      <x:c r="AH3452" s="87"/>
      <x:c r="AI3452" s="30"/>
      <x:c r="AJ3452" s="87" t="str">
        <x:v>master</x:v>
      </x:c>
      <x:c r="AK3452" s="87" t="str">
        <x:v>master-v0.81</x:v>
      </x:c>
      <x:c r="AL3452" s="87" t="str">
        <x:v>statgrad_master_base_v0_81_final(2).xlsx</x:v>
      </x:c>
      <x:c r="AM3452" s="87" t="str">
        <x:v>BIO_Oct_V3</x:v>
      </x:c>
      <x:c r="AN3452" s="87" t="n">
        <x:v>24</x:v>
      </x:c>
    </x:row>
    <x:row r="3453">
      <x:c r="A3453" s="87" t="n">
        <x:v>3452</x:v>
      </x:c>
      <x:c r="B3453" s="87" t="str">
        <x:v>OCT-BIO-103-024</x:v>
      </x:c>
      <x:c r="C3453" s="87" t="str">
        <x:v>СтатГрад</x:v>
      </x:c>
      <x:c r="D3453" s="87" t="str">
        <x:v>Октябрь 2025</x:v>
      </x:c>
      <x:c r="E3453" s="87"/>
      <x:c r="F3453" s="87"/>
      <x:c r="G3453" s="87" t="str">
        <x:v>Биология</x:v>
      </x:c>
      <x:c r="H3453" s="87" t="n">
        <x:v>11</x:v>
      </x:c>
      <x:c r="I3453" s="87" t="str">
        <x:v>ТР №1</x:v>
      </x:c>
      <x:c r="J3453" s="87" t="str">
        <x:v>БИ2510103</x:v>
      </x:c>
      <x:c r="K3453" s="87" t="n">
        <x:v>24</x:v>
      </x:c>
      <x:c r="L3453" s="87" t="str">
        <x:v>Распознавание объекта</x:v>
      </x:c>
      <x:c r="M3453" s="30" t="str">
        <x:v>Назовите структуры стебля, обозначенные на рисунке цифрами 1 и 2.
     Какие функции они выполняют? К какому классу относится растение,
     поперечный срез которого изображён на рисунке. Ответ поясните.
                                    согласия СтатГрад запрещена</x:v>
      </x:c>
      <x:c r="N3453" s="30" t="str">
        <x:v>Содержание верного ответа и указания по оцениванию
         (допускаются иные формулировки ответа, не искажающие его смысла)
                                                                                       Баллы
     Элементы ответа:
     1) 1 – ксилема (сосуды);
     2) 2 – флоэма (ситовидные трубки);
     3) ксилема обеспечивает транспорт воды и минеральных солей;
     4) флоэма обеспечивает транспорт органических веществ;
     5) класс Двудольные;
     6) кольцевое расположение сосудисто-проводящих пучков
     (наличие камбия, кольцевой меристемы).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четыре-пять из названных выше элементов,
                                                                                          2
     которые не содержат биологических ошибок
     Ответ включает в себя три из названных выше элементов, которые
     не содержат биологических ошибок
     ИЛИ ответ включает в себя четыре и более из названных выше                           1
     элементов, которые не содержат биологических ошибок, но
     неверно определена одна из структур
     Все иные ситуации, не соответствующие правилам выставления 3,
     2 и 1 балла                                                                          0
     ИЛИ неверно определены обе структуры
                                                  Максимальный балл                       3
                                    согласия СтатГрад запрещена</x:v>
      </x:c>
      <x:c r="O3453" s="30" t="str">
        <x:v>Ответ проверен по условию и официальным материалам.</x:v>
      </x:c>
      <x:c r="P3453" s="30" t="str">
        <x:v>Визуальный контекст связан с полной страницей JPEG.</x:v>
      </x:c>
      <x:c r="Q3453" s="30"/>
      <x:c r="R3453" s="30" t="str">
        <x:v>Официальные критерии</x:v>
      </x:c>
      <x:c r="S3453" s="30"/>
      <x:c r="T3453" s="30"/>
      <x:c r="U3453" s="30" t="str">
        <x:v>Расхождений не обнаружено.</x:v>
      </x:c>
      <x:c r="V3453" s="87" t="str">
        <x:v>VERIFIED</x:v>
      </x:c>
      <x:c r="W3453" s="87" t="str">
        <x:v>tasks_a.pdf, стр. 12</x:v>
      </x:c>
      <x:c r="X3453" s="87"/>
      <x:c r="Y3453" s="87"/>
      <x:c r="Z3453" s="87"/>
      <x:c r="AA3453" s="87"/>
      <x:c r="AB3453" s="87"/>
      <x:c r="AC3453" s="87" t="str">
        <x:v>VIS-BIO-OCT-036</x:v>
      </x:c>
      <x:c r="AD3453" s="87"/>
      <x:c r="AE3453" s="87"/>
      <x:c r="AF3453" s="87" t="str">
        <x:v>VIS-BIO-OCT-036: 12</x:v>
      </x:c>
      <x:c r="AG3453" s="87" t="str">
        <x:v>RESOLVED</x:v>
      </x:c>
      <x:c r="AH3453" s="87" t="str">
        <x:v>CROP_VERIFIED; TASK_CROP_QA_APPROVED:USE_CONTEXT</x:v>
      </x:c>
      <x:c r="AI3453" s="30"/>
      <x:c r="AJ3453" s="87" t="str">
        <x:v>master</x:v>
      </x:c>
      <x:c r="AK3453" s="87" t="str">
        <x:v>master-v0.81</x:v>
      </x:c>
      <x:c r="AL3453" s="87" t="str">
        <x:v>statgrad_master_base_v0_81_final(2).xlsx</x:v>
      </x:c>
      <x:c r="AM3453" s="87" t="str">
        <x:v>BIO_Oct_V3</x:v>
      </x:c>
      <x:c r="AN3453" s="87" t="n">
        <x:v>25</x:v>
      </x:c>
    </x:row>
    <x:row r="3454">
      <x:c r="A3454" s="87" t="n">
        <x:v>3453</x:v>
      </x:c>
      <x:c r="B3454" s="87" t="str">
        <x:v>OCT-BIO-103-025</x:v>
      </x:c>
      <x:c r="C3454" s="87" t="str">
        <x:v>СтатГрад</x:v>
      </x:c>
      <x:c r="D3454" s="87" t="str">
        <x:v>Октябрь 2025</x:v>
      </x:c>
      <x:c r="E3454" s="87"/>
      <x:c r="F3454" s="87"/>
      <x:c r="G3454" s="87" t="str">
        <x:v>Биология</x:v>
      </x:c>
      <x:c r="H3454" s="87" t="n">
        <x:v>11</x:v>
      </x:c>
      <x:c r="I3454" s="87" t="str">
        <x:v>ТР №1</x:v>
      </x:c>
      <x:c r="J3454" s="87" t="str">
        <x:v>БИ2510103</x:v>
      </x:c>
      <x:c r="K3454" s="87" t="n">
        <x:v>25</x:v>
      </x:c>
      <x:c r="L3454" s="87" t="str">
        <x:v>Размножение человека</x:v>
      </x:c>
      <x:c r="M3454" s="30" t="str">
        <x:v>Аптечный тест на беременность основан на распознавании в моче
     хорионического гонадотропного гормона (ХГЧ). Ориентируясь на название
     гормона, ответьте на два вопроса. В какой момент после зачатия уровень
     ХГЧ начнёт возрастать? Ответ поясните. На какой орган женщины
     воздействует данный гормон? Предположите, можно ли с помощью
     количественной оценки ХГЧ подтвердить беременность дизиготными
     близнецами. Дайте аргументированный ответ.</x:v>
      </x:c>
      <x:c r="N3454" s="30" t="str">
        <x:v>Содержание верного ответа и указания по оцениванию
         (допускаются иные формулировки ответа, не искажающие его смысла)
                                                                                      Баллы
     Элементы ответа:
     1) уровень ХГЧ начнёт возрастать после имплантации (внедрения
     эмбриона в стенку матки);
     2) в этот момент формируется хорион (начинает формироваться
     плацента), клетки которого (которой) синтезируют ХГЧ;
     3) ХГЧ воздействует на половые железы женщины (на яичники, на
     гонады);
     4) можно, так как каждый эмбрион будет производить свою
     порцию ХГЧ;
     5) чем больше эмбрионов, тем больше уровень ХГЧ.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четыре из названных выше элементов,
                                                                                          2
     которые не содержат биологических ошибок
     Ответ включает в себя три из названных выше элементов, которые
                                                                                          1
     не содержат биологических ошибок
     Все иные ситуации, не соответствующие правилам выставления 3,
                                                                                          0
     2 и 1 балла
                                                   Максимальный балл                      3
                                    согласия СтатГрад запрещена</x:v>
      </x:c>
      <x:c r="O3454" s="30" t="str">
        <x:v>Ответ проверен по условию и официальным материалам.</x:v>
      </x:c>
      <x:c r="P3454" s="30" t="str">
        <x:v>Визуальный контекст связан с полной страницей JPEG.</x:v>
      </x:c>
      <x:c r="Q3454" s="30"/>
      <x:c r="R3454" s="30" t="str">
        <x:v>Официальные критерии</x:v>
      </x:c>
      <x:c r="S3454" s="30"/>
      <x:c r="T3454" s="30"/>
      <x:c r="U3454" s="30" t="str">
        <x:v>Расхождений не обнаружено.</x:v>
      </x:c>
      <x:c r="V3454" s="87" t="str">
        <x:v>VERIFIED</x:v>
      </x:c>
      <x:c r="W3454" s="87" t="str">
        <x:v>tasks_a.pdf, стр. 13</x:v>
      </x:c>
      <x:c r="X3454" s="87"/>
      <x:c r="Y3454" s="87"/>
      <x:c r="Z3454" s="87"/>
      <x:c r="AA3454" s="87"/>
      <x:c r="AB3454" s="87"/>
      <x:c r="AC3454" s="87"/>
      <x:c r="AD3454" s="87"/>
      <x:c r="AE3454" s="87"/>
      <x:c r="AF3454" s="87"/>
      <x:c r="AG3454" s="87"/>
      <x:c r="AH3454" s="87"/>
      <x:c r="AI3454" s="30"/>
      <x:c r="AJ3454" s="87" t="str">
        <x:v>master</x:v>
      </x:c>
      <x:c r="AK3454" s="87" t="str">
        <x:v>master-v0.81</x:v>
      </x:c>
      <x:c r="AL3454" s="87" t="str">
        <x:v>statgrad_master_base_v0_81_final(2).xlsx</x:v>
      </x:c>
      <x:c r="AM3454" s="87" t="str">
        <x:v>BIO_Oct_V3</x:v>
      </x:c>
      <x:c r="AN3454" s="87" t="n">
        <x:v>26</x:v>
      </x:c>
    </x:row>
    <x:row r="3455">
      <x:c r="A3455" s="87" t="n">
        <x:v>3454</x:v>
      </x:c>
      <x:c r="B3455" s="87" t="str">
        <x:v>OCT-BIO-103-026</x:v>
      </x:c>
      <x:c r="C3455" s="87" t="str">
        <x:v>СтатГрад</x:v>
      </x:c>
      <x:c r="D3455" s="87" t="str">
        <x:v>Октябрь 2025</x:v>
      </x:c>
      <x:c r="E3455" s="87"/>
      <x:c r="F3455" s="87"/>
      <x:c r="G3455" s="87" t="str">
        <x:v>Биология</x:v>
      </x:c>
      <x:c r="H3455" s="87" t="n">
        <x:v>11</x:v>
      </x:c>
      <x:c r="I3455" s="87" t="str">
        <x:v>ТР №1</x:v>
      </x:c>
      <x:c r="J3455" s="87" t="str">
        <x:v>БИ2510103</x:v>
      </x:c>
      <x:c r="K3455" s="87" t="n">
        <x:v>26</x:v>
      </x:c>
      <x:c r="L3455" s="87" t="str">
        <x:v>Зоология паразитов</x:v>
      </x:c>
      <x:c r="M3455" s="30" t="str">
        <x:v>Назовите среду обитания ленточных червей. Какое значение в этой среде
     имеют такие особенности ленточных червей как микротрихии (микроско-
     пические выросты кожного покрова), гермафродитная половая система
     и присоски на голове? Какой путь эволюции иллюстрирует утрата
     пищеварительной системы у ленточных червей?</x:v>
      </x:c>
      <x:c r="N3455" s="30" t="str">
        <x:v>Содержание верного ответа и указания по оцениванию
         (допускаются иные формулировки ответа, не искажающие его смысла)
                                                                                       Баллы
     Элементы ответа:
     1) организменная среда;
     2) микротрихии увеличивают площадь покровов для всасывания
     питательных веществ;
     3) гермафродитная половая система позволяет обеспечить высокую
     плодовитость (независимость от поиска полового партнёра);
     4) присоски на голове удерживают червя в теле хозяина;
     5) общая дегенерация.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четыре из названных выше элементов,
                                                                                          2
     которые не содержат биологических ошибок
     Ответ включает в себя три из названных выше элементов, которые
                                                                                          1
     не содержат биологических ошибок
     Все иные ситуации, не соответствующие правилам выставления 3,
                                                                                          0
     2 и 1 балла
                                                   Максимальный балл                      3
                                    согласия СтатГрад запрещена</x:v>
      </x:c>
      <x:c r="O3455" s="30" t="str">
        <x:v>Ответ проверен по условию и официальным материалам.</x:v>
      </x:c>
      <x:c r="P3455" s="30" t="str">
        <x:v>Визуальный контекст связан с полной страницей JPEG.</x:v>
      </x:c>
      <x:c r="Q3455" s="30"/>
      <x:c r="R3455" s="30" t="str">
        <x:v>Официальные критерии</x:v>
      </x:c>
      <x:c r="S3455" s="30"/>
      <x:c r="T3455" s="30"/>
      <x:c r="U3455" s="30" t="str">
        <x:v>Расхождений не обнаружено.</x:v>
      </x:c>
      <x:c r="V3455" s="87" t="str">
        <x:v>VERIFIED</x:v>
      </x:c>
      <x:c r="W3455" s="87" t="str">
        <x:v>tasks_a.pdf, стр. 13</x:v>
      </x:c>
      <x:c r="X3455" s="87"/>
      <x:c r="Y3455" s="87"/>
      <x:c r="Z3455" s="87"/>
      <x:c r="AA3455" s="87"/>
      <x:c r="AB3455" s="87"/>
      <x:c r="AC3455" s="87"/>
      <x:c r="AD3455" s="87"/>
      <x:c r="AE3455" s="87"/>
      <x:c r="AF3455" s="87"/>
      <x:c r="AG3455" s="87"/>
      <x:c r="AH3455" s="87"/>
      <x:c r="AI3455" s="30"/>
      <x:c r="AJ3455" s="87" t="str">
        <x:v>master</x:v>
      </x:c>
      <x:c r="AK3455" s="87" t="str">
        <x:v>master-v0.81</x:v>
      </x:c>
      <x:c r="AL3455" s="87" t="str">
        <x:v>statgrad_master_base_v0_81_final(2).xlsx</x:v>
      </x:c>
      <x:c r="AM3455" s="87" t="str">
        <x:v>BIO_Oct_V3</x:v>
      </x:c>
      <x:c r="AN3455" s="87" t="n">
        <x:v>27</x:v>
      </x:c>
    </x:row>
    <x:row r="3456">
      <x:c r="A3456" s="87" t="n">
        <x:v>3455</x:v>
      </x:c>
      <x:c r="B3456" s="87" t="str">
        <x:v>OCT-BIO-103-027</x:v>
      </x:c>
      <x:c r="C3456" s="87" t="str">
        <x:v>СтатГрад</x:v>
      </x:c>
      <x:c r="D3456" s="87" t="str">
        <x:v>Октябрь 2025</x:v>
      </x:c>
      <x:c r="E3456" s="87"/>
      <x:c r="F3456" s="87"/>
      <x:c r="G3456" s="87" t="str">
        <x:v>Биология</x:v>
      </x:c>
      <x:c r="H3456" s="87" t="n">
        <x:v>11</x:v>
      </x:c>
      <x:c r="I3456" s="87" t="str">
        <x:v>ТР №1</x:v>
      </x:c>
      <x:c r="J3456" s="87" t="str">
        <x:v>БИ2510103</x:v>
      </x:c>
      <x:c r="K3456" s="87" t="n">
        <x:v>27</x:v>
      </x:c>
      <x:c r="L3456" s="87" t="str">
        <x:v>Генетическая задача</x:v>
      </x:c>
      <x:c r="M3456" s="30" t="str">
        <x:v>Известно, что комплементарные цепи нуклеиновых кислот антипараллельны
     (5' концу в одной цепи соответствует 3' конец другой цепи). Синтез
     нуклеиновых кислот начинается с 5' конца. Рибосома движется по иРНК
     в направлении от 5' к 3' концу. Молекулы тРНК, несущие соответствующие
     антикодоны, входят в рибосому в следующем порядке (антикодоны указаны
     в направлении от 5’ к 3’ концу):
                            ЦАГ, ГАУ, УАЦ, ГЦУ, ГУА
     Определите последовательность смысловой и транскрибируемой цепей ДНК,
     иРНК и аминокислот в молекуле синтезируемого фрагмента белка.
     Ответ поясните. Для решения задания используйте таблицу генетического
     кода. При написании последовательностей нуклеиновых кислот указывайте
     направление цепи.
                                    согласия СтатГрад запрещена</x:v>
      </x:c>
      <x:c r="N3456" s="30" t="str">
        <x:v>Содержание верного ответа и указания по оцениванию
              (правильный ответ должен содержать следующие позиции)
                                                                                       Баллы
     Схема решения задачи включает:
     1) нуклеотидная последовательность участка иРНК:
     5’-ЦУГАУЦГУААГЦУАЦ-3’;
     2) по таблице генетического кода находим последовательность
     фрагмента полипептида:
     лей-иле-вал-сер-тир;
     3) по иРНК определяем участок молекулы ДНК:
     5’-ЦТГАТЦГТААГЦТАЦ-3’
     3’-ГАЦТАГЦАТТЦГАТГ-5’;
     4) верхняя цепь молекулы ДНК смысловая (нижняя –
     транскрибируемая).
     При написании нуклеиновых кислот обязательно должны быть
     указаны концы. Для молекулы ДНК должны быть указаны
     последовательности обеих цепей.
     Если подписаны цепи ДНК, то четвёртый элемент ответа
     считать верным
     Ответ включает в себя все названные выше элементы и не
                                                                                          3
     содержит биологических ошибок
     Ответ включает в себя три из названных выше элементов, которые
                                                                                          2
     не содержат биологических ошибок
     Ответ включает в себя два из названных выше элементов, который
                                                                                          1
     не содержит биологических ошибок
     Ответ неправильный                                                                   0
                                                  Максимальный балл                       3</x:v>
      </x:c>
      <x:c r="O3456" s="30" t="str">
        <x:v>Ответ проверен по условию и официальным материалам.</x:v>
      </x:c>
      <x:c r="P3456" s="30" t="str">
        <x:v>Визуальный контекст связан с полной страницей JPEG.</x:v>
      </x:c>
      <x:c r="Q3456" s="30"/>
      <x:c r="R3456" s="30" t="str">
        <x:v>Официальные критерии</x:v>
      </x:c>
      <x:c r="S3456" s="30"/>
      <x:c r="T3456" s="30"/>
      <x:c r="U3456" s="30" t="str">
        <x:v>Расхождений не обнаружено.</x:v>
      </x:c>
      <x:c r="V3456" s="87" t="str">
        <x:v>VERIFIED</x:v>
      </x:c>
      <x:c r="W3456" s="87" t="str">
        <x:v>tasks_a.pdf, стр. 13</x:v>
      </x:c>
      <x:c r="X3456" s="87"/>
      <x:c r="Y3456" s="87"/>
      <x:c r="Z3456" s="87"/>
      <x:c r="AA3456" s="87"/>
      <x:c r="AB3456" s="87"/>
      <x:c r="AC3456" s="87"/>
      <x:c r="AD3456" s="87"/>
      <x:c r="AE3456" s="87"/>
      <x:c r="AF3456" s="87"/>
      <x:c r="AG3456" s="87"/>
      <x:c r="AH3456" s="87"/>
      <x:c r="AI3456" s="30"/>
      <x:c r="AJ3456" s="87" t="str">
        <x:v>master</x:v>
      </x:c>
      <x:c r="AK3456" s="87" t="str">
        <x:v>master-v0.81</x:v>
      </x:c>
      <x:c r="AL3456" s="87" t="str">
        <x:v>statgrad_master_base_v0_81_final(2).xlsx</x:v>
      </x:c>
      <x:c r="AM3456" s="87" t="str">
        <x:v>BIO_Oct_V3</x:v>
      </x:c>
      <x:c r="AN3456" s="87" t="n">
        <x:v>28</x:v>
      </x:c>
    </x:row>
    <x:row r="3457">
      <x:c r="A3457" s="87" t="n">
        <x:v>3456</x:v>
      </x:c>
      <x:c r="B3457" s="87" t="str">
        <x:v>OCT-BIO-103-028</x:v>
      </x:c>
      <x:c r="C3457" s="87" t="str">
        <x:v>СтатГрад</x:v>
      </x:c>
      <x:c r="D3457" s="87" t="str">
        <x:v>Октябрь 2025</x:v>
      </x:c>
      <x:c r="E3457" s="87"/>
      <x:c r="F3457" s="87"/>
      <x:c r="G3457" s="87" t="str">
        <x:v>Биология</x:v>
      </x:c>
      <x:c r="H3457" s="87" t="n">
        <x:v>11</x:v>
      </x:c>
      <x:c r="I3457" s="87" t="str">
        <x:v>ТР №1</x:v>
      </x:c>
      <x:c r="J3457" s="87" t="str">
        <x:v>БИ2510103</x:v>
      </x:c>
      <x:c r="K3457" s="87" t="n">
        <x:v>28</x:v>
      </x:c>
      <x:c r="L3457" s="87" t="str">
        <x:v>Генетическая задача</x:v>
      </x:c>
      <x:c r="M3457" s="30" t="str">
        <x:v>У дрозофилы гетерогаметным полом является мужской.
     При скрещивании самок с красно-коричневыми глазами и нормальными
     крыльями и самцов, имеющих алые глаза и обрезанные крылья, всё
     потомство оказалось единообразным по признакам цвета глаз и формы
     крыльев. При скрещивании самки с алыми глазами и обрезанными крыльями
     и самца с красно-коричневыми глазами и нормальными крыльями
     в потомстве самки имели красно-коричневые глаза и нормальные крылья,
     а самцы – красно-коричневые глаза и обрезанные крылья. Составьте схему
     решения задачи. Определите генотипы, фенотипы и пол всех родителей
     и потомков. Поясните фенотипическое расщепление во втором скрещивании.
                                    согласия СтатГрад запрещена</x:v>
      </x:c>
      <x:c r="N3457" s="30" t="str">
        <x:v>Содержание верного ответа и указания по оцениванию
         (правильный ответ должен содержать следующие позиции)
                                                                                  Баллы
Схема решения задачи включает:
1) P    ♀ AAXBXB             × ♂ aaXbY
        красно-коричневые      алые глаза,
        глаза,                 обрезанные крылья
        нормальные крылья
   G    AXB                    aXb; aY
   F 1 АаXBXb – самка с красно-коричневыми глазами и
        нормальными крыльями,
        AaXBY – самец с красно-коричневыми глазами и
        нормальными крыльями;
2) P     ♀aaXbXb               × ♂AAXBY
         алые глаза,              красно-коричневые глаза,
         обрезанные крылья        нормальные крылья
           b
    G    aX                       AXB; AY
    F 1 АаXBXb – самка с красно-коричневыми глазами и
         нормальными крыльями,
         AaXbY – самец с красно-коричневыми глазами и
         обрезанными крыльями;
3) во втором скрещивании получилось расщепление по форме
крыльев из-за сцепления гена формы крыльев с Х-хромосомой
(гетерогаметный пол наследует этот аллель только от матери, а
гомогаметный – от обоих родителей).
(Допускается иная генетическая символика.)
Первый и второй элементы ответа засчитываются только при
наличии и генотипов, и фенотипов, и пола всех родителей и
потомков
Ответ включает в себя все названные выше элементы и не
                                                                                     3
содержит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Ответ неправильный                                                                   0
                                             Максимальный балл                       3
                               согласия СтатГрад запрещена</x:v>
      </x:c>
      <x:c r="O3457" s="30" t="str">
        <x:v>Ответ проверен по условию и официальным материалам.</x:v>
      </x:c>
      <x:c r="P3457" s="30" t="str">
        <x:v>Визуальный контекст связан с полной страницей JPEG.</x:v>
      </x:c>
      <x:c r="Q3457" s="30"/>
      <x:c r="R3457" s="30" t="str">
        <x:v>Официальные критерии</x:v>
      </x:c>
      <x:c r="S3457" s="30"/>
      <x:c r="T3457" s="30"/>
      <x:c r="U3457" s="30" t="str">
        <x:v>Расхождений не обнаружено.</x:v>
      </x:c>
      <x:c r="V3457" s="87" t="str">
        <x:v>VERIFIED</x:v>
      </x:c>
      <x:c r="W3457" s="87" t="str">
        <x:v>tasks_a.pdf, стр. 14</x:v>
      </x:c>
      <x:c r="X3457" s="87"/>
      <x:c r="Y3457" s="87"/>
      <x:c r="Z3457" s="87"/>
      <x:c r="AA3457" s="87"/>
      <x:c r="AB3457" s="87"/>
      <x:c r="AC3457" s="87" t="str">
        <x:v>VIS-BIO-OCT-037</x:v>
      </x:c>
      <x:c r="AD3457" s="87"/>
      <x:c r="AE3457" s="87"/>
      <x:c r="AF3457" s="87" t="str">
        <x:v>VIS-BIO-OCT-037: 14</x:v>
      </x:c>
      <x:c r="AG3457" s="87" t="str">
        <x:v>RESOLVED</x:v>
      </x:c>
      <x:c r="AH3457" s="87" t="str">
        <x:v>CROP_VERIFIED</x:v>
      </x:c>
      <x:c r="AI3457" s="30"/>
      <x:c r="AJ3457" s="87" t="str">
        <x:v>master</x:v>
      </x:c>
      <x:c r="AK3457" s="87" t="str">
        <x:v>master-v0.81</x:v>
      </x:c>
      <x:c r="AL3457" s="87" t="str">
        <x:v>statgrad_master_base_v0_81_final(2).xlsx</x:v>
      </x:c>
      <x:c r="AM3457" s="87" t="str">
        <x:v>BIO_Oct_V3</x:v>
      </x:c>
      <x:c r="AN3457" s="87" t="n">
        <x:v>29</x:v>
      </x:c>
    </x:row>
    <x:row r="3458">
      <x:c r="A3458" s="87" t="n">
        <x:v>3457</x:v>
      </x:c>
      <x:c r="B3458" s="87" t="str">
        <x:v>OCT-BIO-104-001</x:v>
      </x:c>
      <x:c r="C3458" s="87" t="str">
        <x:v>СтатГрад</x:v>
      </x:c>
      <x:c r="D3458" s="87" t="str">
        <x:v>Октябрь 2025</x:v>
      </x:c>
      <x:c r="E3458" s="87"/>
      <x:c r="F3458" s="87"/>
      <x:c r="G3458" s="87" t="str">
        <x:v>Биология</x:v>
      </x:c>
      <x:c r="H3458" s="87" t="n">
        <x:v>11</x:v>
      </x:c>
      <x:c r="I3458" s="87" t="str">
        <x:v>ТР №1</x:v>
      </x:c>
      <x:c r="J3458" s="87" t="str">
        <x:v>БИ2510104</x:v>
      </x:c>
      <x:c r="K3458" s="87" t="n">
        <x:v>1</x:v>
      </x:c>
      <x:c r="L3458" s="87" t="str">
        <x:v>Биологические науки и методы</x:v>
      </x:c>
      <x:c r="M3458" s="30" t="str">
        <x:v>Рассмотрите таблицу «Биология – комплексная наука». Запишите в ответе
    пропущенный термин, обозначенный в таблице вопросительным знаком.
       Раздел биологии                             Предмет изучения
          энтомология
                ?
    Ответ: ___________________________.</x:v>
      </x:c>
      <x:c r="N3458" s="30" t="str">
        <x:v>палеонтология</x:v>
      </x:c>
      <x:c r="O3458" s="30" t="str">
        <x:v>Ответ проверен по условию и официальным материалам.</x:v>
      </x:c>
      <x:c r="P3458" s="30" t="str">
        <x:v>Визуальный контекст связан с полной страницей JPEG.</x:v>
      </x:c>
      <x:c r="Q3458" s="30"/>
      <x:c r="R3458" s="30" t="str">
        <x:v>Официальный ключ + независимая проверка</x:v>
      </x:c>
      <x:c r="S3458" s="30"/>
      <x:c r="T3458" s="30"/>
      <x:c r="U3458" s="30" t="str">
        <x:v>Расхождений не обнаружено.</x:v>
      </x:c>
      <x:c r="V3458" s="87" t="str">
        <x:v>VERIFIED</x:v>
      </x:c>
      <x:c r="W3458" s="87" t="str">
        <x:v>tasks_a.pdf, стр. 16</x:v>
      </x:c>
      <x:c r="X3458" s="87"/>
      <x:c r="Y3458" s="87"/>
      <x:c r="Z3458" s="87"/>
      <x:c r="AA3458" s="87"/>
      <x:c r="AB3458" s="87"/>
      <x:c r="AC3458" s="87" t="str">
        <x:v>VIS-BIO-OCT-038</x:v>
      </x:c>
      <x:c r="AD3458" s="87"/>
      <x:c r="AE3458" s="87"/>
      <x:c r="AF3458" s="87" t="str">
        <x:v>VIS-BIO-OCT-038: 16</x:v>
      </x:c>
      <x:c r="AG3458" s="87" t="str">
        <x:v>RESOLVED</x:v>
      </x:c>
      <x:c r="AH3458" s="87" t="str">
        <x:v>CROP_VERIFIED</x:v>
      </x:c>
      <x:c r="AI3458" s="30"/>
      <x:c r="AJ3458" s="87" t="str">
        <x:v>master</x:v>
      </x:c>
      <x:c r="AK3458" s="87" t="str">
        <x:v>master-v0.81</x:v>
      </x:c>
      <x:c r="AL3458" s="87" t="str">
        <x:v>statgrad_master_base_v0_81_final(2).xlsx</x:v>
      </x:c>
      <x:c r="AM3458" s="87" t="str">
        <x:v>BIO_Oct_V4</x:v>
      </x:c>
      <x:c r="AN3458" s="87" t="n">
        <x:v>2</x:v>
      </x:c>
    </x:row>
    <x:row r="3459">
      <x:c r="A3459" s="87" t="n">
        <x:v>3458</x:v>
      </x:c>
      <x:c r="B3459" s="87" t="str">
        <x:v>OCT-BIO-104-002</x:v>
      </x:c>
      <x:c r="C3459" s="87" t="str">
        <x:v>СтатГрад</x:v>
      </x:c>
      <x:c r="D3459" s="87" t="str">
        <x:v>Октябрь 2025</x:v>
      </x:c>
      <x:c r="E3459" s="87"/>
      <x:c r="F3459" s="87"/>
      <x:c r="G3459" s="87" t="str">
        <x:v>Биология</x:v>
      </x:c>
      <x:c r="H3459" s="87" t="n">
        <x:v>11</x:v>
      </x:c>
      <x:c r="I3459" s="87" t="str">
        <x:v>ТР №1</x:v>
      </x:c>
      <x:c r="J3459" s="87" t="str">
        <x:v>БИ2510104</x:v>
      </x:c>
      <x:c r="K3459" s="87" t="n">
        <x:v>2</x:v>
      </x:c>
      <x:c r="L3459" s="87" t="str">
        <x:v>Краткое задание по биологии</x:v>
      </x:c>
      <x:c r="M3459" s="30" t="str">
        <x:v>Учёный изучал воздействие приносимых с полей органических удобрений
    на экосистему озера. Как при этом изменятся количество одноклеточных
    водорослей и смертность рыб в озере?
    Для каждой величины определите соответствующий характер её изменения:
          1) увеличится
          2) уменьшится
          3) не изменится
    Запишите в таблицу выбранные цифры для каждой величины. Цифры
    в ответе могут повторяться.
         Количество одноклеточных
                                                Смертность рыб
                  водорослей</x:v>
      </x:c>
      <x:c r="N3459" s="30" t="str">
        <x:v>11</x:v>
      </x:c>
      <x:c r="O3459" s="30" t="str">
        <x:v>Ответ проверен по условию и официальным материалам.</x:v>
      </x:c>
      <x:c r="P3459" s="30" t="str">
        <x:v>Визуальный контекст связан с полной страницей JPEG.</x:v>
      </x:c>
      <x:c r="Q3459" s="30"/>
      <x:c r="R3459" s="30" t="str">
        <x:v>Архивный фото-ключ + независимая проверка</x:v>
      </x:c>
      <x:c r="S3459" s="30"/>
      <x:c r="T3459" s="30"/>
      <x:c r="U3459" s="30" t="str">
        <x:v>Расхождений не обнаружено.</x:v>
      </x:c>
      <x:c r="V3459" s="87" t="str">
        <x:v>VERIFIED</x:v>
      </x:c>
      <x:c r="W3459" s="87" t="str">
        <x:v>tasks_a.pdf, стр. 16</x:v>
      </x:c>
      <x:c r="X3459" s="87"/>
      <x:c r="Y3459" s="87"/>
      <x:c r="Z3459" s="87"/>
      <x:c r="AA3459" s="87"/>
      <x:c r="AB3459" s="87"/>
      <x:c r="AC3459" s="87" t="str">
        <x:v>VIS-BIO-OCT-038</x:v>
      </x:c>
      <x:c r="AD3459" s="87"/>
      <x:c r="AE3459" s="87"/>
      <x:c r="AF3459" s="87" t="str">
        <x:v>VIS-BIO-OCT-038: 16</x:v>
      </x:c>
      <x:c r="AG3459" s="87" t="str">
        <x:v>RESOLVED</x:v>
      </x:c>
      <x:c r="AH3459" s="87" t="str">
        <x:v>CROP_VERIFIED</x:v>
      </x:c>
      <x:c r="AI3459" s="30"/>
      <x:c r="AJ3459" s="87" t="str">
        <x:v>master</x:v>
      </x:c>
      <x:c r="AK3459" s="87" t="str">
        <x:v>master-v0.81</x:v>
      </x:c>
      <x:c r="AL3459" s="87" t="str">
        <x:v>statgrad_master_base_v0_81_final(2).xlsx</x:v>
      </x:c>
      <x:c r="AM3459" s="87" t="str">
        <x:v>BIO_Oct_V4</x:v>
      </x:c>
      <x:c r="AN3459" s="87" t="n">
        <x:v>3</x:v>
      </x:c>
    </x:row>
    <x:row r="3460">
      <x:c r="A3460" s="87" t="n">
        <x:v>3459</x:v>
      </x:c>
      <x:c r="B3460" s="87" t="str">
        <x:v>OCT-BIO-104-003</x:v>
      </x:c>
      <x:c r="C3460" s="87" t="str">
        <x:v>СтатГрад</x:v>
      </x:c>
      <x:c r="D3460" s="87" t="str">
        <x:v>Октябрь 2025</x:v>
      </x:c>
      <x:c r="E3460" s="87"/>
      <x:c r="F3460" s="87"/>
      <x:c r="G3460" s="87" t="str">
        <x:v>Биология</x:v>
      </x:c>
      <x:c r="H3460" s="87" t="n">
        <x:v>11</x:v>
      </x:c>
      <x:c r="I3460" s="87" t="str">
        <x:v>ТР №1</x:v>
      </x:c>
      <x:c r="J3460" s="87" t="str">
        <x:v>БИ2510104</x:v>
      </x:c>
      <x:c r="K3460" s="87" t="n">
        <x:v>3</x:v>
      </x:c>
      <x:c r="L3460" s="87" t="str">
        <x:v>Краткое задание по биологии</x:v>
      </x:c>
      <x:c r="M3460" s="30" t="str">
        <x:v>В экосистеме степи степной орёл является консументом второго порядка.
    Используя правило 10 %, рассчитайте количество энергии, перешедшее
    на уровень степного орла, если первичная годовая продукция экосистемы
    составила 320 000 кДж. В ответе запишите только соответствующее число.
    Ответ: ___________________________.
                                   согласия СтатГрад запрещена</x:v>
      </x:c>
      <x:c r="N3460" s="30" t="str">
        <x:v>3200</x:v>
      </x:c>
      <x:c r="O3460" s="30" t="str">
        <x:v>Ответ проверен по условию и официальным материалам.</x:v>
      </x:c>
      <x:c r="P3460" s="30" t="str">
        <x:v>Визуальный контекст связан с полной страницей JPEG.</x:v>
      </x:c>
      <x:c r="Q3460" s="30"/>
      <x:c r="R3460" s="30" t="str">
        <x:v>Архивный фото-ключ + независимая проверка</x:v>
      </x:c>
      <x:c r="S3460" s="30"/>
      <x:c r="T3460" s="30"/>
      <x:c r="U3460" s="30" t="str">
        <x:v>Расхождений не обнаружено.</x:v>
      </x:c>
      <x:c r="V3460" s="87" t="str">
        <x:v>VERIFIED</x:v>
      </x:c>
      <x:c r="W3460" s="87" t="str">
        <x:v>tasks_a.pdf, стр. 16</x:v>
      </x:c>
      <x:c r="X3460" s="87"/>
      <x:c r="Y3460" s="87"/>
      <x:c r="Z3460" s="87"/>
      <x:c r="AA3460" s="87"/>
      <x:c r="AB3460" s="87"/>
      <x:c r="AC3460" s="87" t="str">
        <x:v>VIS-BIO-OCT-038</x:v>
      </x:c>
      <x:c r="AD3460" s="87"/>
      <x:c r="AE3460" s="87"/>
      <x:c r="AF3460" s="87" t="str">
        <x:v>VIS-BIO-OCT-038: 16</x:v>
      </x:c>
      <x:c r="AG3460" s="87" t="str">
        <x:v>RESOLVED</x:v>
      </x:c>
      <x:c r="AH3460" s="87" t="str">
        <x:v>CROP_VERIFIED</x:v>
      </x:c>
      <x:c r="AI3460" s="30"/>
      <x:c r="AJ3460" s="87" t="str">
        <x:v>master</x:v>
      </x:c>
      <x:c r="AK3460" s="87" t="str">
        <x:v>master-v0.81</x:v>
      </x:c>
      <x:c r="AL3460" s="87" t="str">
        <x:v>statgrad_master_base_v0_81_final(2).xlsx</x:v>
      </x:c>
      <x:c r="AM3460" s="87" t="str">
        <x:v>BIO_Oct_V4</x:v>
      </x:c>
      <x:c r="AN3460" s="87" t="n">
        <x:v>4</x:v>
      </x:c>
    </x:row>
    <x:row r="3461">
      <x:c r="A3461" s="87" t="n">
        <x:v>3460</x:v>
      </x:c>
      <x:c r="B3461" s="87" t="str">
        <x:v>OCT-BIO-104-004</x:v>
      </x:c>
      <x:c r="C3461" s="87" t="str">
        <x:v>СтатГрад</x:v>
      </x:c>
      <x:c r="D3461" s="87" t="str">
        <x:v>Октябрь 2025</x:v>
      </x:c>
      <x:c r="E3461" s="87"/>
      <x:c r="F3461" s="87"/>
      <x:c r="G3461" s="87" t="str">
        <x:v>Биология</x:v>
      </x:c>
      <x:c r="H3461" s="87" t="n">
        <x:v>11</x:v>
      </x:c>
      <x:c r="I3461" s="87" t="str">
        <x:v>ТР №1</x:v>
      </x:c>
      <x:c r="J3461" s="87" t="str">
        <x:v>БИ2510104</x:v>
      </x:c>
      <x:c r="K3461" s="87" t="n">
        <x:v>4</x:v>
      </x:c>
      <x:c r="L3461" s="87" t="str">
        <x:v>Краткое задание по биологии</x:v>
      </x:c>
      <x:c r="M3461" s="30" t="str">
        <x:v>Какое соотношение генотипов получится у потомков при скрещивании двух
    гетерозиготных растений? Ответ запишите в виде последовательности чисел.
    Ответ: ___________________________.
                  Рассмотрите рисунок и выполните задания 5, 6.</x:v>
      </x:c>
      <x:c r="N3461" s="30" t="str">
        <x:v>121</x:v>
      </x:c>
      <x:c r="O3461" s="30" t="str">
        <x:v>Ответ проверен по условию и официальным материалам.</x:v>
      </x:c>
      <x:c r="P3461" s="30" t="str">
        <x:v>Визуальный контекст связан с полной страницей JPEG.</x:v>
      </x:c>
      <x:c r="Q3461" s="30"/>
      <x:c r="R3461" s="30" t="str">
        <x:v>Архивный фото-ключ + независимая проверка</x:v>
      </x:c>
      <x:c r="S3461" s="30"/>
      <x:c r="T3461" s="30"/>
      <x:c r="U3461" s="30" t="str">
        <x:v>Расхождений не обнаружено.</x:v>
      </x:c>
      <x:c r="V3461" s="87" t="str">
        <x:v>VERIFIED</x:v>
      </x:c>
      <x:c r="W3461" s="87" t="str">
        <x:v>tasks_a.pdf, стр. 17</x:v>
      </x:c>
      <x:c r="X3461" s="87"/>
      <x:c r="Y3461" s="87"/>
      <x:c r="Z3461" s="87"/>
      <x:c r="AA3461" s="87"/>
      <x:c r="AB3461" s="87"/>
      <x:c r="AC3461" s="87" t="str">
        <x:v>VIS-BIO-OCT-039</x:v>
      </x:c>
      <x:c r="AD3461" s="87"/>
      <x:c r="AE3461" s="87"/>
      <x:c r="AF3461" s="87" t="str">
        <x:v>VIS-BIO-OCT-039: 17</x:v>
      </x:c>
      <x:c r="AG3461" s="87" t="str">
        <x:v>RESOLVED</x:v>
      </x:c>
      <x:c r="AH3461" s="87" t="str">
        <x:v>CROP_VERIFIED</x:v>
      </x:c>
      <x:c r="AI3461" s="30"/>
      <x:c r="AJ3461" s="87" t="str">
        <x:v>master</x:v>
      </x:c>
      <x:c r="AK3461" s="87" t="str">
        <x:v>master-v0.81</x:v>
      </x:c>
      <x:c r="AL3461" s="87" t="str">
        <x:v>statgrad_master_base_v0_81_final(2).xlsx</x:v>
      </x:c>
      <x:c r="AM3461" s="87" t="str">
        <x:v>BIO_Oct_V4</x:v>
      </x:c>
      <x:c r="AN3461" s="87" t="n">
        <x:v>5</x:v>
      </x:c>
    </x:row>
    <x:row r="3462">
      <x:c r="A3462" s="87" t="n">
        <x:v>3461</x:v>
      </x:c>
      <x:c r="B3462" s="87" t="str">
        <x:v>OCT-BIO-104-005</x:v>
      </x:c>
      <x:c r="C3462" s="87" t="str">
        <x:v>СтатГрад</x:v>
      </x:c>
      <x:c r="D3462" s="87" t="str">
        <x:v>Октябрь 2025</x:v>
      </x:c>
      <x:c r="E3462" s="87"/>
      <x:c r="F3462" s="87"/>
      <x:c r="G3462" s="87" t="str">
        <x:v>Биология</x:v>
      </x:c>
      <x:c r="H3462" s="87" t="n">
        <x:v>11</x:v>
      </x:c>
      <x:c r="I3462" s="87" t="str">
        <x:v>ТР №1</x:v>
      </x:c>
      <x:c r="J3462" s="87" t="str">
        <x:v>БИ2510104</x:v>
      </x:c>
      <x:c r="K3462" s="87" t="n">
        <x:v>5</x:v>
      </x:c>
      <x:c r="L3462" s="87" t="str">
        <x:v>Краткое задание по биологии</x:v>
      </x:c>
      <x:c r="M3462" s="30" t="str">
        <x:v>Каким номером на рисунке обозначен геном митохондрии?
    Ответ: ___________________________.</x:v>
      </x:c>
      <x:c r="N3462" s="30" t="str">
        <x:v>5</x:v>
      </x:c>
      <x:c r="O3462" s="30" t="str">
        <x:v>Ответ проверен по условию и официальным материалам.</x:v>
      </x:c>
      <x:c r="P3462" s="30" t="str">
        <x:v>Визуальный контекст связан с полной страницей JPEG.</x:v>
      </x:c>
      <x:c r="Q3462" s="30"/>
      <x:c r="R3462" s="30" t="str">
        <x:v>Архивный фото-ключ + независимая проверка</x:v>
      </x:c>
      <x:c r="S3462" s="30"/>
      <x:c r="T3462" s="30"/>
      <x:c r="U3462" s="30" t="str">
        <x:v>Расхождений не обнаружено.</x:v>
      </x:c>
      <x:c r="V3462" s="87" t="str">
        <x:v>VERIFIED</x:v>
      </x:c>
      <x:c r="W3462" s="87" t="str">
        <x:v>tasks_a.pdf, стр. 17</x:v>
      </x:c>
      <x:c r="X3462" s="87"/>
      <x:c r="Y3462" s="87"/>
      <x:c r="Z3462" s="87"/>
      <x:c r="AA3462" s="87"/>
      <x:c r="AB3462" s="87"/>
      <x:c r="AC3462" s="87" t="str">
        <x:v>VIS-BIO-OCT-039</x:v>
      </x:c>
      <x:c r="AD3462" s="87"/>
      <x:c r="AE3462" s="87"/>
      <x:c r="AF3462" s="87" t="str">
        <x:v>VIS-BIO-OCT-039: 17</x:v>
      </x:c>
      <x:c r="AG3462" s="87" t="str">
        <x:v>RESOLVED</x:v>
      </x:c>
      <x:c r="AH3462" s="87" t="str">
        <x:v>CROP_VERIFIED; TASK_CROP_QA_APPROVED:MANUAL_BBOX</x:v>
      </x:c>
      <x:c r="AI3462" s="30"/>
      <x:c r="AJ3462" s="87" t="str">
        <x:v>master</x:v>
      </x:c>
      <x:c r="AK3462" s="87" t="str">
        <x:v>master-v0.81</x:v>
      </x:c>
      <x:c r="AL3462" s="87" t="str">
        <x:v>statgrad_master_base_v0_81_final(2).xlsx</x:v>
      </x:c>
      <x:c r="AM3462" s="87" t="str">
        <x:v>BIO_Oct_V4</x:v>
      </x:c>
      <x:c r="AN3462" s="87" t="n">
        <x:v>6</x:v>
      </x:c>
    </x:row>
    <x:row r="3463">
      <x:c r="A3463" s="87" t="n">
        <x:v>3462</x:v>
      </x:c>
      <x:c r="B3463" s="87" t="str">
        <x:v>OCT-BIO-104-006</x:v>
      </x:c>
      <x:c r="C3463" s="87" t="str">
        <x:v>СтатГрад</x:v>
      </x:c>
      <x:c r="D3463" s="87" t="str">
        <x:v>Октябрь 2025</x:v>
      </x:c>
      <x:c r="E3463" s="87"/>
      <x:c r="F3463" s="87"/>
      <x:c r="G3463" s="87" t="str">
        <x:v>Биология</x:v>
      </x:c>
      <x:c r="H3463" s="87" t="n">
        <x:v>11</x:v>
      </x:c>
      <x:c r="I3463" s="87" t="str">
        <x:v>ТР №1</x:v>
      </x:c>
      <x:c r="J3463" s="87" t="str">
        <x:v>БИ2510104</x:v>
      </x:c>
      <x:c r="K3463" s="87" t="n">
        <x:v>6</x:v>
      </x:c>
      <x:c r="L3463" s="87" t="str">
        <x:v>Краткое задание по биологии</x:v>
      </x:c>
      <x:c r="M3463" s="30" t="str">
        <x:v>Установите соответствие между характеристиками и структурами,
    обозначенными на рисунке цифрами 1, 2, 3: к каждой позиции, данной
    в первом столбце, подберите соответствующую позицию из второго столбца.
               ХАРАКТЕРИСТИКИ                                       СТРУКТУРЫ
    А) содержит запасные включения                        1) 1
    Б) отделяет содержимое митохондрии от                 2) 2
       цитоплазмы                                         3) 3
    В) содержит АТФ-синтетазу
    Г) является местом протекания реакций
       цикла Кребса
    Д) обеспечивает транспорт электронов
    Е) участвует в создании градиента ионов
       водорода
    Запишите в таблицу выбранные цифры под соответствующими буквами.
               А Б В Г Д Е
    Ответ:
                                   согласия СтатГрад запрещена</x:v>
      </x:c>
      <x:c r="N3463" s="30" t="str">
        <x:v>312322</x:v>
      </x:c>
      <x:c r="O3463" s="30" t="str">
        <x:v>Ответ проверен по условию и официальным материалам.</x:v>
      </x:c>
      <x:c r="P3463" s="30" t="str">
        <x:v>Визуальный контекст связан с полной страницей JPEG.</x:v>
      </x:c>
      <x:c r="Q3463" s="30"/>
      <x:c r="R3463" s="30" t="str">
        <x:v>Официальный ключ + независимая проверка</x:v>
      </x:c>
      <x:c r="S3463" s="30"/>
      <x:c r="T3463" s="30"/>
      <x:c r="U3463" s="30" t="str">
        <x:v>Расхождений не обнаружено.</x:v>
      </x:c>
      <x:c r="V3463" s="87" t="str">
        <x:v>VERIFIED</x:v>
      </x:c>
      <x:c r="W3463" s="87" t="str">
        <x:v>tasks_a.pdf, стр. 17</x:v>
      </x:c>
      <x:c r="X3463" s="87"/>
      <x:c r="Y3463" s="87"/>
      <x:c r="Z3463" s="87"/>
      <x:c r="AA3463" s="87"/>
      <x:c r="AB3463" s="87"/>
      <x:c r="AC3463" s="87" t="str">
        <x:v>VIS-BIO-OCT-039</x:v>
      </x:c>
      <x:c r="AD3463" s="87"/>
      <x:c r="AE3463" s="87"/>
      <x:c r="AF3463" s="87" t="str">
        <x:v>VIS-BIO-OCT-039: 17</x:v>
      </x:c>
      <x:c r="AG3463" s="87" t="str">
        <x:v>RESOLVED</x:v>
      </x:c>
      <x:c r="AH3463" s="87" t="str">
        <x:v>CROP_VERIFIED; TASK_CROP_QA_APPROVED:USE_TIGHT</x:v>
      </x:c>
      <x:c r="AI3463" s="30"/>
      <x:c r="AJ3463" s="87" t="str">
        <x:v>master</x:v>
      </x:c>
      <x:c r="AK3463" s="87" t="str">
        <x:v>master-v0.81</x:v>
      </x:c>
      <x:c r="AL3463" s="87" t="str">
        <x:v>statgrad_master_base_v0_81_final(2).xlsx</x:v>
      </x:c>
      <x:c r="AM3463" s="87" t="str">
        <x:v>BIO_Oct_V4</x:v>
      </x:c>
      <x:c r="AN3463" s="87" t="n">
        <x:v>7</x:v>
      </x:c>
    </x:row>
    <x:row r="3464">
      <x:c r="A3464" s="87" t="n">
        <x:v>3463</x:v>
      </x:c>
      <x:c r="B3464" s="87" t="str">
        <x:v>OCT-BIO-104-007</x:v>
      </x:c>
      <x:c r="C3464" s="87" t="str">
        <x:v>СтатГрад</x:v>
      </x:c>
      <x:c r="D3464" s="87" t="str">
        <x:v>Октябрь 2025</x:v>
      </x:c>
      <x:c r="E3464" s="87"/>
      <x:c r="F3464" s="87"/>
      <x:c r="G3464" s="87" t="str">
        <x:v>Биология</x:v>
      </x:c>
      <x:c r="H3464" s="87" t="n">
        <x:v>11</x:v>
      </x:c>
      <x:c r="I3464" s="87" t="str">
        <x:v>ТР №1</x:v>
      </x:c>
      <x:c r="J3464" s="87" t="str">
        <x:v>БИ2510104</x:v>
      </x:c>
      <x:c r="K3464" s="87" t="n">
        <x:v>7</x:v>
      </x:c>
      <x:c r="L3464" s="87" t="str">
        <x:v>Краткое задание по биологии</x:v>
      </x:c>
      <x:c r="M3464" s="30" t="str">
        <x:v>Выберите три верных ответа и запишите в таблицу цифры, под которыми
    они указаны.
    Мутационная изменчивость, в отличие от комбинативной
    1) создаёт новые аллели генов
    2) повышает генетическое разнообразие популяций
    3) бывает генной, хромосомной и геномной
    4) является случайным изменением генетического материала клетки
    5) проявляется у большого количества особей одновременно
    6) обусловлена взаимным расположением хромосом в метафазе мейоза
    Ответ:</x:v>
      </x:c>
      <x:c r="N3464" s="30" t="str">
        <x:v>134</x:v>
      </x:c>
      <x:c r="O3464" s="30" t="str">
        <x:v>Ответ проверен по условию и официальным материалам.</x:v>
      </x:c>
      <x:c r="P3464" s="30" t="str">
        <x:v>Визуальный контекст связан с полной страницей JPEG.</x:v>
      </x:c>
      <x:c r="Q3464" s="30"/>
      <x:c r="R3464" s="30" t="str">
        <x:v>Официальный ключ + независимая проверка</x:v>
      </x:c>
      <x:c r="S3464" s="30"/>
      <x:c r="T3464" s="30"/>
      <x:c r="U3464" s="30" t="str">
        <x:v>Расхождений не обнаружено.</x:v>
      </x:c>
      <x:c r="V3464" s="87" t="str">
        <x:v>VERIFIED</x:v>
      </x:c>
      <x:c r="W3464" s="87" t="str">
        <x:v>tasks_a.pdf, стр. 18</x:v>
      </x:c>
      <x:c r="X3464" s="87"/>
      <x:c r="Y3464" s="87"/>
      <x:c r="Z3464" s="87"/>
      <x:c r="AA3464" s="87"/>
      <x:c r="AB3464" s="87"/>
      <x:c r="AC3464" s="87" t="str">
        <x:v>VIS-BIO-OCT-040</x:v>
      </x:c>
      <x:c r="AD3464" s="87"/>
      <x:c r="AE3464" s="87"/>
      <x:c r="AF3464" s="87" t="str">
        <x:v>VIS-BIO-OCT-040: 18</x:v>
      </x:c>
      <x:c r="AG3464" s="87" t="str">
        <x:v>RESOLVED</x:v>
      </x:c>
      <x:c r="AH3464" s="87" t="str">
        <x:v>CROP_VERIFIED</x:v>
      </x:c>
      <x:c r="AI3464" s="30"/>
      <x:c r="AJ3464" s="87" t="str">
        <x:v>master</x:v>
      </x:c>
      <x:c r="AK3464" s="87" t="str">
        <x:v>master-v0.81</x:v>
      </x:c>
      <x:c r="AL3464" s="87" t="str">
        <x:v>statgrad_master_base_v0_81_final(2).xlsx</x:v>
      </x:c>
      <x:c r="AM3464" s="87" t="str">
        <x:v>BIO_Oct_V4</x:v>
      </x:c>
      <x:c r="AN3464" s="87" t="n">
        <x:v>8</x:v>
      </x:c>
    </x:row>
    <x:row r="3465">
      <x:c r="A3465" s="87" t="n">
        <x:v>3464</x:v>
      </x:c>
      <x:c r="B3465" s="87" t="str">
        <x:v>OCT-BIO-104-008</x:v>
      </x:c>
      <x:c r="C3465" s="87" t="str">
        <x:v>СтатГрад</x:v>
      </x:c>
      <x:c r="D3465" s="87" t="str">
        <x:v>Октябрь 2025</x:v>
      </x:c>
      <x:c r="E3465" s="87"/>
      <x:c r="F3465" s="87"/>
      <x:c r="G3465" s="87" t="str">
        <x:v>Биология</x:v>
      </x:c>
      <x:c r="H3465" s="87" t="n">
        <x:v>11</x:v>
      </x:c>
      <x:c r="I3465" s="87" t="str">
        <x:v>ТР №1</x:v>
      </x:c>
      <x:c r="J3465" s="87" t="str">
        <x:v>БИ2510104</x:v>
      </x:c>
      <x:c r="K3465" s="87" t="n">
        <x:v>8</x:v>
      </x:c>
      <x:c r="L3465" s="87" t="str">
        <x:v>Краткое задание по биологии</x:v>
      </x:c>
      <x:c r="M3465" s="30" t="str">
        <x:v>Установите последовательность стадий жизненного цикла организма,
    имеющего цикл со спорической редукцией, начиная со слияния гамет.
    Запишите в таблицу соответствующую последовательность цифр.
    1) развитие спорофита
    2) образование гамет митозом
    3) формирование спор мейозом
    4) развитие гаметофита
    5) образование зиготы
    Ответ:
                                   согласия СтатГрад запрещена</x:v>
      </x:c>
      <x:c r="N3465" s="30" t="str">
        <x:v>51342</x:v>
      </x:c>
      <x:c r="O3465" s="30" t="str">
        <x:v>Ответ проверен по условию и официальным материалам.</x:v>
      </x:c>
      <x:c r="P3465" s="30" t="str">
        <x:v>Визуальный контекст связан с полной страницей JPEG.</x:v>
      </x:c>
      <x:c r="Q3465" s="30"/>
      <x:c r="R3465" s="30" t="str">
        <x:v>Официальный ключ + независимая проверка</x:v>
      </x:c>
      <x:c r="S3465" s="30"/>
      <x:c r="T3465" s="30"/>
      <x:c r="U3465" s="30" t="str">
        <x:v>Расхождений не обнаружено.</x:v>
      </x:c>
      <x:c r="V3465" s="87" t="str">
        <x:v>VERIFIED</x:v>
      </x:c>
      <x:c r="W3465" s="87" t="str">
        <x:v>tasks_a.pdf, стр. 18</x:v>
      </x:c>
      <x:c r="X3465" s="87"/>
      <x:c r="Y3465" s="87"/>
      <x:c r="Z3465" s="87"/>
      <x:c r="AA3465" s="87"/>
      <x:c r="AB3465" s="87"/>
      <x:c r="AC3465" s="87" t="str">
        <x:v>VIS-BIO-OCT-040</x:v>
      </x:c>
      <x:c r="AD3465" s="87"/>
      <x:c r="AE3465" s="87"/>
      <x:c r="AF3465" s="87" t="str">
        <x:v>VIS-BIO-OCT-040: 18</x:v>
      </x:c>
      <x:c r="AG3465" s="87" t="str">
        <x:v>RESOLVED</x:v>
      </x:c>
      <x:c r="AH3465" s="87" t="str">
        <x:v>CROP_VERIFIED</x:v>
      </x:c>
      <x:c r="AI3465" s="30"/>
      <x:c r="AJ3465" s="87" t="str">
        <x:v>master</x:v>
      </x:c>
      <x:c r="AK3465" s="87" t="str">
        <x:v>master-v0.81</x:v>
      </x:c>
      <x:c r="AL3465" s="87" t="str">
        <x:v>statgrad_master_base_v0_81_final(2).xlsx</x:v>
      </x:c>
      <x:c r="AM3465" s="87" t="str">
        <x:v>BIO_Oct_V4</x:v>
      </x:c>
      <x:c r="AN3465" s="87" t="n">
        <x:v>9</x:v>
      </x:c>
    </x:row>
    <x:row r="3466">
      <x:c r="A3466" s="87" t="n">
        <x:v>3465</x:v>
      </x:c>
      <x:c r="B3466" s="87" t="str">
        <x:v>OCT-BIO-104-009</x:v>
      </x:c>
      <x:c r="C3466" s="87" t="str">
        <x:v>СтатГрад</x:v>
      </x:c>
      <x:c r="D3466" s="87" t="str">
        <x:v>Октябрь 2025</x:v>
      </x:c>
      <x:c r="E3466" s="87"/>
      <x:c r="F3466" s="87"/>
      <x:c r="G3466" s="87" t="str">
        <x:v>Биология</x:v>
      </x:c>
      <x:c r="H3466" s="87" t="n">
        <x:v>11</x:v>
      </x:c>
      <x:c r="I3466" s="87" t="str">
        <x:v>ТР №1</x:v>
      </x:c>
      <x:c r="J3466" s="87" t="str">
        <x:v>БИ2510104</x:v>
      </x:c>
      <x:c r="K3466" s="87" t="n">
        <x:v>9</x:v>
      </x:c>
      <x:c r="L3466" s="87" t="str">
        <x:v>Краткое задание по биологии</x:v>
      </x:c>
      <x:c r="M3466" s="30" t="str">
        <x:v>Под каким номером на рисунке обозначен организм, тело которого покрыто
     мантией?
     Ответ: ___________________________.</x:v>
      </x:c>
      <x:c r="N3466" s="30" t="str">
        <x:v>5</x:v>
      </x:c>
      <x:c r="O3466" s="30" t="str">
        <x:v>Ответ проверен по условию и официальным материалам.</x:v>
      </x:c>
      <x:c r="P3466" s="30" t="str">
        <x:v>Визуальный контекст связан с полной страницей JPEG.</x:v>
      </x:c>
      <x:c r="Q3466" s="30"/>
      <x:c r="R3466" s="30" t="str">
        <x:v>Архивный фото-ключ + независимая проверка</x:v>
      </x:c>
      <x:c r="S3466" s="30"/>
      <x:c r="T3466" s="30"/>
      <x:c r="U3466" s="30" t="str">
        <x:v>Расхождений не обнаружено.</x:v>
      </x:c>
      <x:c r="V3466" s="87" t="str">
        <x:v>VERIFIED</x:v>
      </x:c>
      <x:c r="W3466" s="87" t="str">
        <x:v>tasks_a.pdf, стр. 19</x:v>
      </x:c>
      <x:c r="X3466" s="87"/>
      <x:c r="Y3466" s="87"/>
      <x:c r="Z3466" s="87"/>
      <x:c r="AA3466" s="87"/>
      <x:c r="AB3466" s="87"/>
      <x:c r="AC3466" s="87" t="str">
        <x:v>VIS-BIO-OCT-041</x:v>
      </x:c>
      <x:c r="AD3466" s="87"/>
      <x:c r="AE3466" s="87"/>
      <x:c r="AF3466" s="87" t="str">
        <x:v>VIS-BIO-OCT-041: 19</x:v>
      </x:c>
      <x:c r="AG3466" s="87" t="str">
        <x:v>RESOLVED</x:v>
      </x:c>
      <x:c r="AH3466" s="87" t="str">
        <x:v>CROP_VERIFIED; TASK_CROP_QA_APPROVED:MANUAL_BBOX</x:v>
      </x:c>
      <x:c r="AI3466" s="30"/>
      <x:c r="AJ3466" s="87" t="str">
        <x:v>master</x:v>
      </x:c>
      <x:c r="AK3466" s="87" t="str">
        <x:v>master-v0.81</x:v>
      </x:c>
      <x:c r="AL3466" s="87" t="str">
        <x:v>statgrad_master_base_v0_81_final(2).xlsx</x:v>
      </x:c>
      <x:c r="AM3466" s="87" t="str">
        <x:v>BIO_Oct_V4</x:v>
      </x:c>
      <x:c r="AN3466" s="87" t="n">
        <x:v>10</x:v>
      </x:c>
    </x:row>
    <x:row r="3467">
      <x:c r="A3467" s="87" t="n">
        <x:v>3466</x:v>
      </x:c>
      <x:c r="B3467" s="87" t="str">
        <x:v>OCT-BIO-104-010</x:v>
      </x:c>
      <x:c r="C3467" s="87" t="str">
        <x:v>СтатГрад</x:v>
      </x:c>
      <x:c r="D3467" s="87" t="str">
        <x:v>Октябрь 2025</x:v>
      </x:c>
      <x:c r="E3467" s="87"/>
      <x:c r="F3467" s="87"/>
      <x:c r="G3467" s="87" t="str">
        <x:v>Биология</x:v>
      </x:c>
      <x:c r="H3467" s="87" t="n">
        <x:v>11</x:v>
      </x:c>
      <x:c r="I3467" s="87" t="str">
        <x:v>ТР №1</x:v>
      </x:c>
      <x:c r="J3467" s="87" t="str">
        <x:v>БИ2510104</x:v>
      </x:c>
      <x:c r="K3467" s="87" t="n">
        <x:v>10</x:v>
      </x:c>
      <x:c r="L3467" s="87" t="str">
        <x:v>Краткое задание по биологии</x:v>
      </x:c>
      <x:c r="M3467" s="30" t="str">
        <x:v>Установите соответствие между характеристиками и животными,
     изображёнными на рисунках 1, 2, 3: к каждой позиции, данной в первом
     столбце, подберите соответствующую позицию из второго столбца.
                ХАРАКТЕРИСТИКИ                                       ЖИВОТНЫЕ
     А) наличие стрекательных клеток                       1) 1
     Б) кожно-мускульный мешок                             2) 2
     В) трахейное дыхание                                  3) 3
     Г) незамкнутая кровеносная система
     Д) студенистая мезоглея
     Е) лестничная нервная система
     Запишите в таблицу выбранные цифры под соответствующими буквами.
                А Б В Г Д Е
     Ответ:
                                    согласия СтатГрад запрещена</x:v>
      </x:c>
      <x:c r="N3467" s="30" t="str">
        <x:v>312231</x:v>
      </x:c>
      <x:c r="O3467" s="30" t="str">
        <x:v>Ответ проверен по условию и официальным материалам.</x:v>
      </x:c>
      <x:c r="P3467" s="30" t="str">
        <x:v>Визуальный контекст связан с полной страницей JPEG.</x:v>
      </x:c>
      <x:c r="Q3467" s="30"/>
      <x:c r="R3467" s="30" t="str">
        <x:v>Официальный ключ + независимая проверка</x:v>
      </x:c>
      <x:c r="S3467" s="30"/>
      <x:c r="T3467" s="30"/>
      <x:c r="U3467" s="30" t="str">
        <x:v>Расхождений не обнаружено.</x:v>
      </x:c>
      <x:c r="V3467" s="87" t="str">
        <x:v>VERIFIED</x:v>
      </x:c>
      <x:c r="W3467" s="87" t="str">
        <x:v>tasks_a.pdf, стр. 19</x:v>
      </x:c>
      <x:c r="X3467" s="87"/>
      <x:c r="Y3467" s="87"/>
      <x:c r="Z3467" s="87"/>
      <x:c r="AA3467" s="87"/>
      <x:c r="AB3467" s="87"/>
      <x:c r="AC3467" s="87" t="str">
        <x:v>VIS-BIO-OCT-041</x:v>
      </x:c>
      <x:c r="AD3467" s="87"/>
      <x:c r="AE3467" s="87"/>
      <x:c r="AF3467" s="87" t="str">
        <x:v>VIS-BIO-OCT-041: 19</x:v>
      </x:c>
      <x:c r="AG3467" s="87" t="str">
        <x:v>RESOLVED</x:v>
      </x:c>
      <x:c r="AH3467" s="87" t="str">
        <x:v>CROP_VERIFIED; TASK_CROP_QA_APPROVED:USE_TIGHT</x:v>
      </x:c>
      <x:c r="AI3467" s="30"/>
      <x:c r="AJ3467" s="87" t="str">
        <x:v>master</x:v>
      </x:c>
      <x:c r="AK3467" s="87" t="str">
        <x:v>master-v0.81</x:v>
      </x:c>
      <x:c r="AL3467" s="87" t="str">
        <x:v>statgrad_master_base_v0_81_final(2).xlsx</x:v>
      </x:c>
      <x:c r="AM3467" s="87" t="str">
        <x:v>BIO_Oct_V4</x:v>
      </x:c>
      <x:c r="AN3467" s="87" t="n">
        <x:v>11</x:v>
      </x:c>
    </x:row>
    <x:row r="3468">
      <x:c r="A3468" s="87" t="n">
        <x:v>3467</x:v>
      </x:c>
      <x:c r="B3468" s="87" t="str">
        <x:v>OCT-BIO-104-011</x:v>
      </x:c>
      <x:c r="C3468" s="87" t="str">
        <x:v>СтатГрад</x:v>
      </x:c>
      <x:c r="D3468" s="87" t="str">
        <x:v>Октябрь 2025</x:v>
      </x:c>
      <x:c r="E3468" s="87"/>
      <x:c r="F3468" s="87"/>
      <x:c r="G3468" s="87" t="str">
        <x:v>Биология</x:v>
      </x:c>
      <x:c r="H3468" s="87" t="n">
        <x:v>11</x:v>
      </x:c>
      <x:c r="I3468" s="87" t="str">
        <x:v>ТР №1</x:v>
      </x:c>
      <x:c r="J3468" s="87" t="str">
        <x:v>БИ2510104</x:v>
      </x:c>
      <x:c r="K3468" s="87" t="n">
        <x:v>11</x:v>
      </x:c>
      <x:c r="L3468" s="87" t="str">
        <x:v>Краткое задание по биологии</x:v>
      </x:c>
      <x:c r="M3468" s="30" t="str">
        <x:v>Выберите три верных ответа и запишите в таблицу цифры, под которыми
     они указаны.
     Сухими многосемянными плодами являются
     1) коробочка
     2) боб
     3) зерновка
     4) костянка
     5) стручок
     6) семянка
     Ответ:</x:v>
      </x:c>
      <x:c r="N3468" s="30" t="str">
        <x:v>125</x:v>
      </x:c>
      <x:c r="O3468" s="30" t="str">
        <x:v>Ответ проверен по условию и официальным материалам.</x:v>
      </x:c>
      <x:c r="P3468" s="30" t="str">
        <x:v>Визуальный контекст связан с полной страницей JPEG.</x:v>
      </x:c>
      <x:c r="Q3468" s="30"/>
      <x:c r="R3468" s="30" t="str">
        <x:v>Официальный ключ + независимая проверка</x:v>
      </x:c>
      <x:c r="S3468" s="30"/>
      <x:c r="T3468" s="30"/>
      <x:c r="U3468" s="30" t="str">
        <x:v>Расхождений не обнаружено.</x:v>
      </x:c>
      <x:c r="V3468" s="87" t="str">
        <x:v>VERIFIED</x:v>
      </x:c>
      <x:c r="W3468" s="87" t="str">
        <x:v>tasks_a.pdf, стр. 20</x:v>
      </x:c>
      <x:c r="X3468" s="87"/>
      <x:c r="Y3468" s="87"/>
      <x:c r="Z3468" s="87"/>
      <x:c r="AA3468" s="87"/>
      <x:c r="AB3468" s="87"/>
      <x:c r="AC3468" s="87" t="str">
        <x:v>VIS-BIO-OCT-042</x:v>
      </x:c>
      <x:c r="AD3468" s="87"/>
      <x:c r="AE3468" s="87"/>
      <x:c r="AF3468" s="87" t="str">
        <x:v>VIS-BIO-OCT-042: 20</x:v>
      </x:c>
      <x:c r="AG3468" s="87" t="str">
        <x:v>RESOLVED</x:v>
      </x:c>
      <x:c r="AH3468" s="87" t="str">
        <x:v>CROP_VERIFIED</x:v>
      </x:c>
      <x:c r="AI3468" s="30"/>
      <x:c r="AJ3468" s="87" t="str">
        <x:v>master</x:v>
      </x:c>
      <x:c r="AK3468" s="87" t="str">
        <x:v>master-v0.81</x:v>
      </x:c>
      <x:c r="AL3468" s="87" t="str">
        <x:v>statgrad_master_base_v0_81_final(2).xlsx</x:v>
      </x:c>
      <x:c r="AM3468" s="87" t="str">
        <x:v>BIO_Oct_V4</x:v>
      </x:c>
      <x:c r="AN3468" s="87" t="n">
        <x:v>12</x:v>
      </x:c>
    </x:row>
    <x:row r="3469">
      <x:c r="A3469" s="87" t="n">
        <x:v>3468</x:v>
      </x:c>
      <x:c r="B3469" s="87" t="str">
        <x:v>OCT-BIO-104-012</x:v>
      </x:c>
      <x:c r="C3469" s="87" t="str">
        <x:v>СтатГрад</x:v>
      </x:c>
      <x:c r="D3469" s="87" t="str">
        <x:v>Октябрь 2025</x:v>
      </x:c>
      <x:c r="E3469" s="87"/>
      <x:c r="F3469" s="87"/>
      <x:c r="G3469" s="87" t="str">
        <x:v>Биология</x:v>
      </x:c>
      <x:c r="H3469" s="87" t="n">
        <x:v>11</x:v>
      </x:c>
      <x:c r="I3469" s="87" t="str">
        <x:v>ТР №1</x:v>
      </x:c>
      <x:c r="J3469" s="87" t="str">
        <x:v>БИ2510104</x:v>
      </x:c>
      <x:c r="K3469" s="87" t="n">
        <x:v>12</x:v>
      </x:c>
      <x:c r="L3469" s="87" t="str">
        <x:v>Краткое задание по биологии</x:v>
      </x:c>
      <x:c r="M3469" s="30" t="str">
        <x:v>Установите последовательность систематических организмов, начиная
     с самого низкого ранга. Запишите в таблицу соответствующую последо-
     вательность цифр.
     1) Протеецветные
     2) Покрытосеменные
     3) Двудольные
     4) Эукариоты
     5) Лотос орехоносный
     6) Лотосовые
     Ответ:
                                    согласия СтатГрад запрещена</x:v>
      </x:c>
      <x:c r="N3469" s="30" t="str">
        <x:v>561324</x:v>
      </x:c>
      <x:c r="O3469" s="30" t="str">
        <x:v>Ответ проверен по условию и официальным материалам.</x:v>
      </x:c>
      <x:c r="P3469" s="30" t="str">
        <x:v>Визуальный контекст связан с полной страницей JPEG.</x:v>
      </x:c>
      <x:c r="Q3469" s="30"/>
      <x:c r="R3469" s="30" t="str">
        <x:v>Официальный ключ + независимая проверка</x:v>
      </x:c>
      <x:c r="S3469" s="30"/>
      <x:c r="T3469" s="30"/>
      <x:c r="U3469" s="30" t="str">
        <x:v>Расхождений не обнаружено.</x:v>
      </x:c>
      <x:c r="V3469" s="87" t="str">
        <x:v>VERIFIED</x:v>
      </x:c>
      <x:c r="W3469" s="87" t="str">
        <x:v>tasks_a.pdf, стр. 20</x:v>
      </x:c>
      <x:c r="X3469" s="87"/>
      <x:c r="Y3469" s="87"/>
      <x:c r="Z3469" s="87"/>
      <x:c r="AA3469" s="87"/>
      <x:c r="AB3469" s="87"/>
      <x:c r="AC3469" s="87" t="str">
        <x:v>VIS-BIO-OCT-042</x:v>
      </x:c>
      <x:c r="AD3469" s="87"/>
      <x:c r="AE3469" s="87"/>
      <x:c r="AF3469" s="87" t="str">
        <x:v>VIS-BIO-OCT-042: 20</x:v>
      </x:c>
      <x:c r="AG3469" s="87" t="str">
        <x:v>RESOLVED</x:v>
      </x:c>
      <x:c r="AH3469" s="87" t="str">
        <x:v>CROP_VERIFIED</x:v>
      </x:c>
      <x:c r="AI3469" s="30"/>
      <x:c r="AJ3469" s="87" t="str">
        <x:v>master</x:v>
      </x:c>
      <x:c r="AK3469" s="87" t="str">
        <x:v>master-v0.81</x:v>
      </x:c>
      <x:c r="AL3469" s="87" t="str">
        <x:v>statgrad_master_base_v0_81_final(2).xlsx</x:v>
      </x:c>
      <x:c r="AM3469" s="87" t="str">
        <x:v>BIO_Oct_V4</x:v>
      </x:c>
      <x:c r="AN3469" s="87" t="n">
        <x:v>13</x:v>
      </x:c>
    </x:row>
    <x:row r="3470">
      <x:c r="A3470" s="87" t="n">
        <x:v>3469</x:v>
      </x:c>
      <x:c r="B3470" s="87" t="str">
        <x:v>OCT-BIO-104-013</x:v>
      </x:c>
      <x:c r="C3470" s="87" t="str">
        <x:v>СтатГрад</x:v>
      </x:c>
      <x:c r="D3470" s="87" t="str">
        <x:v>Октябрь 2025</x:v>
      </x:c>
      <x:c r="E3470" s="87"/>
      <x:c r="F3470" s="87"/>
      <x:c r="G3470" s="87" t="str">
        <x:v>Биология</x:v>
      </x:c>
      <x:c r="H3470" s="87" t="n">
        <x:v>11</x:v>
      </x:c>
      <x:c r="I3470" s="87" t="str">
        <x:v>ТР №1</x:v>
      </x:c>
      <x:c r="J3470" s="87" t="str">
        <x:v>БИ2510104</x:v>
      </x:c>
      <x:c r="K3470" s="87" t="n">
        <x:v>13</x:v>
      </x:c>
      <x:c r="L3470" s="87" t="str">
        <x:v>Краткое задание по биологии</x:v>
      </x:c>
      <x:c r="M3470" s="30" t="str">
        <x:v>Каким номером на рисунке обозначен створчатый клапан?
     Ответ: ___________________________.</x:v>
      </x:c>
      <x:c r="N3470" s="30" t="str">
        <x:v>8</x:v>
      </x:c>
      <x:c r="O3470" s="30" t="str">
        <x:v>Ответ проверен по условию и официальным материалам.</x:v>
      </x:c>
      <x:c r="P3470" s="30" t="str">
        <x:v>Визуальный контекст связан с полной страницей JPEG.</x:v>
      </x:c>
      <x:c r="Q3470" s="30"/>
      <x:c r="R3470" s="30" t="str">
        <x:v>Архивный фото-ключ + независимая проверка</x:v>
      </x:c>
      <x:c r="S3470" s="30"/>
      <x:c r="T3470" s="30"/>
      <x:c r="U3470" s="30" t="str">
        <x:v>Расхождений не обнаружено.</x:v>
      </x:c>
      <x:c r="V3470" s="87" t="str">
        <x:v>VERIFIED</x:v>
      </x:c>
      <x:c r="W3470" s="87" t="str">
        <x:v>tasks_a.pdf, стр. 21</x:v>
      </x:c>
      <x:c r="X3470" s="87"/>
      <x:c r="Y3470" s="87"/>
      <x:c r="Z3470" s="87"/>
      <x:c r="AA3470" s="87"/>
      <x:c r="AB3470" s="87"/>
      <x:c r="AC3470" s="87" t="str">
        <x:v>VIS-BIO-OCT-043</x:v>
      </x:c>
      <x:c r="AD3470" s="87"/>
      <x:c r="AE3470" s="87"/>
      <x:c r="AF3470" s="87" t="str">
        <x:v>VIS-BIO-OCT-043: 21</x:v>
      </x:c>
      <x:c r="AG3470" s="87" t="str">
        <x:v>RESOLVED</x:v>
      </x:c>
      <x:c r="AH3470" s="87" t="str">
        <x:v>CROP_VERIFIED; TASK_CROP_QA_APPROVED:MANUAL_BBOX</x:v>
      </x:c>
      <x:c r="AI3470" s="30"/>
      <x:c r="AJ3470" s="87" t="str">
        <x:v>master</x:v>
      </x:c>
      <x:c r="AK3470" s="87" t="str">
        <x:v>master-v0.81</x:v>
      </x:c>
      <x:c r="AL3470" s="87" t="str">
        <x:v>statgrad_master_base_v0_81_final(2).xlsx</x:v>
      </x:c>
      <x:c r="AM3470" s="87" t="str">
        <x:v>BIO_Oct_V4</x:v>
      </x:c>
      <x:c r="AN3470" s="87" t="n">
        <x:v>14</x:v>
      </x:c>
    </x:row>
    <x:row r="3471">
      <x:c r="A3471" s="87" t="n">
        <x:v>3470</x:v>
      </x:c>
      <x:c r="B3471" s="87" t="str">
        <x:v>OCT-BIO-104-014</x:v>
      </x:c>
      <x:c r="C3471" s="87" t="str">
        <x:v>СтатГрад</x:v>
      </x:c>
      <x:c r="D3471" s="87" t="str">
        <x:v>Октябрь 2025</x:v>
      </x:c>
      <x:c r="E3471" s="87"/>
      <x:c r="F3471" s="87"/>
      <x:c r="G3471" s="87" t="str">
        <x:v>Биология</x:v>
      </x:c>
      <x:c r="H3471" s="87" t="n">
        <x:v>11</x:v>
      </x:c>
      <x:c r="I3471" s="87" t="str">
        <x:v>ТР №1</x:v>
      </x:c>
      <x:c r="J3471" s="87" t="str">
        <x:v>БИ2510104</x:v>
      </x:c>
      <x:c r="K3471" s="87" t="n">
        <x:v>14</x:v>
      </x:c>
      <x:c r="L3471" s="87" t="str">
        <x:v>Краткое задание по биологии</x:v>
      </x:c>
      <x:c r="M3471" s="30" t="str">
        <x:v>Установите соответствие между характеристиками и участками кровеносного
     русла, обозначенными на рисунке цифрами 1, 2, 3: к каждой позиции, данной
     в первом столбце, подберите соответствующую позицию из второго столбца.
                                                           УЧАСТКИ КРОВЕНОСНОГО
                  ХАРАКТЕРИСТИКИ
                                                                  РУСЛА
     А) имеет ответвление – сонную артерию                 1) 1
     Б) впадает в правое предсердие                        2) 2
     В) ограничен миокардом                                3) 3
     Г) содержит богатую оксигемоглобином
        кровь
     Д) проводит кровь в лёгочный ствол
     Е) несёт кровь от брюшных органов
     Запишите в таблицу выбранные цифры под соответствующими буквами.
                А Б В Г Д Е
     Ответ:
                                    согласия СтатГрад запрещена</x:v>
      </x:c>
      <x:c r="N3471" s="30" t="str">
        <x:v>132123</x:v>
      </x:c>
      <x:c r="O3471" s="30" t="str">
        <x:v>Ответ проверен по условию и официальным материалам.</x:v>
      </x:c>
      <x:c r="P3471" s="30" t="str">
        <x:v>Визуальный контекст связан с полной страницей JPEG.</x:v>
      </x:c>
      <x:c r="Q3471" s="30"/>
      <x:c r="R3471" s="30" t="str">
        <x:v>Официальный ключ + независимая проверка</x:v>
      </x:c>
      <x:c r="S3471" s="30"/>
      <x:c r="T3471" s="30"/>
      <x:c r="U3471" s="30" t="str">
        <x:v>Расхождений не обнаружено.</x:v>
      </x:c>
      <x:c r="V3471" s="87" t="str">
        <x:v>VERIFIED</x:v>
      </x:c>
      <x:c r="W3471" s="87" t="str">
        <x:v>tasks_a.pdf, стр. 21</x:v>
      </x:c>
      <x:c r="X3471" s="87"/>
      <x:c r="Y3471" s="87"/>
      <x:c r="Z3471" s="87"/>
      <x:c r="AA3471" s="87"/>
      <x:c r="AB3471" s="87"/>
      <x:c r="AC3471" s="87" t="str">
        <x:v>VIS-BIO-OCT-043</x:v>
      </x:c>
      <x:c r="AD3471" s="87"/>
      <x:c r="AE3471" s="87"/>
      <x:c r="AF3471" s="87" t="str">
        <x:v>VIS-BIO-OCT-043: 21</x:v>
      </x:c>
      <x:c r="AG3471" s="87" t="str">
        <x:v>RESOLVED</x:v>
      </x:c>
      <x:c r="AH3471" s="87" t="str">
        <x:v>CROP_VERIFIED; TASK_CROP_QA_APPROVED:USE_TIGHT</x:v>
      </x:c>
      <x:c r="AI3471" s="30"/>
      <x:c r="AJ3471" s="87" t="str">
        <x:v>master</x:v>
      </x:c>
      <x:c r="AK3471" s="87" t="str">
        <x:v>master-v0.81</x:v>
      </x:c>
      <x:c r="AL3471" s="87" t="str">
        <x:v>statgrad_master_base_v0_81_final(2).xlsx</x:v>
      </x:c>
      <x:c r="AM3471" s="87" t="str">
        <x:v>BIO_Oct_V4</x:v>
      </x:c>
      <x:c r="AN3471" s="87" t="n">
        <x:v>15</x:v>
      </x:c>
    </x:row>
    <x:row r="3472">
      <x:c r="A3472" s="87" t="n">
        <x:v>3471</x:v>
      </x:c>
      <x:c r="B3472" s="87" t="str">
        <x:v>OCT-BIO-104-015</x:v>
      </x:c>
      <x:c r="C3472" s="87" t="str">
        <x:v>СтатГрад</x:v>
      </x:c>
      <x:c r="D3472" s="87" t="str">
        <x:v>Октябрь 2025</x:v>
      </x:c>
      <x:c r="E3472" s="87"/>
      <x:c r="F3472" s="87"/>
      <x:c r="G3472" s="87" t="str">
        <x:v>Биология</x:v>
      </x:c>
      <x:c r="H3472" s="87" t="n">
        <x:v>11</x:v>
      </x:c>
      <x:c r="I3472" s="87" t="str">
        <x:v>ТР №1</x:v>
      </x:c>
      <x:c r="J3472" s="87" t="str">
        <x:v>БИ2510104</x:v>
      </x:c>
      <x:c r="K3472" s="87" t="n">
        <x:v>15</x:v>
      </x:c>
      <x:c r="L3472" s="87" t="str">
        <x:v>Краткое задание по биологии</x:v>
      </x:c>
      <x:c r="M3472" s="30" t="str">
        <x:v>Выберите три верных ответа и запишите в таблицу цифры, под которыми
     они указаны.
     Какие железы из перечисленных являются экзокринными?
     1) слёзные
     2) эпифиз
     3) сальные
     4) щитовидная
     5) молочные
     6) зобная
     Ответ:</x:v>
      </x:c>
      <x:c r="N3472" s="30" t="str">
        <x:v>135</x:v>
      </x:c>
      <x:c r="O3472" s="30" t="str">
        <x:v>Ответ проверен по условию и официальным материалам.</x:v>
      </x:c>
      <x:c r="P3472" s="30" t="str">
        <x:v>Визуальный контекст связан с полной страницей JPEG.</x:v>
      </x:c>
      <x:c r="Q3472" s="30"/>
      <x:c r="R3472" s="30" t="str">
        <x:v>Официальный ключ + независимая проверка</x:v>
      </x:c>
      <x:c r="S3472" s="30"/>
      <x:c r="T3472" s="30"/>
      <x:c r="U3472" s="30" t="str">
        <x:v>Расхождений не обнаружено.</x:v>
      </x:c>
      <x:c r="V3472" s="87" t="str">
        <x:v>VERIFIED</x:v>
      </x:c>
      <x:c r="W3472" s="87" t="str">
        <x:v>tasks_a.pdf, стр. 22</x:v>
      </x:c>
      <x:c r="X3472" s="87"/>
      <x:c r="Y3472" s="87"/>
      <x:c r="Z3472" s="87"/>
      <x:c r="AA3472" s="87"/>
      <x:c r="AB3472" s="87"/>
      <x:c r="AC3472" s="87" t="str">
        <x:v>VIS-BIO-OCT-044</x:v>
      </x:c>
      <x:c r="AD3472" s="87"/>
      <x:c r="AE3472" s="87"/>
      <x:c r="AF3472" s="87" t="str">
        <x:v>VIS-BIO-OCT-044: 22</x:v>
      </x:c>
      <x:c r="AG3472" s="87" t="str">
        <x:v>RESOLVED</x:v>
      </x:c>
      <x:c r="AH3472" s="87" t="str">
        <x:v>CROP_VERIFIED</x:v>
      </x:c>
      <x:c r="AI3472" s="30"/>
      <x:c r="AJ3472" s="87" t="str">
        <x:v>master</x:v>
      </x:c>
      <x:c r="AK3472" s="87" t="str">
        <x:v>master-v0.81</x:v>
      </x:c>
      <x:c r="AL3472" s="87" t="str">
        <x:v>statgrad_master_base_v0_81_final(2).xlsx</x:v>
      </x:c>
      <x:c r="AM3472" s="87" t="str">
        <x:v>BIO_Oct_V4</x:v>
      </x:c>
      <x:c r="AN3472" s="87" t="n">
        <x:v>16</x:v>
      </x:c>
    </x:row>
    <x:row r="3473">
      <x:c r="A3473" s="87" t="n">
        <x:v>3472</x:v>
      </x:c>
      <x:c r="B3473" s="87" t="str">
        <x:v>OCT-BIO-104-016</x:v>
      </x:c>
      <x:c r="C3473" s="87" t="str">
        <x:v>СтатГрад</x:v>
      </x:c>
      <x:c r="D3473" s="87" t="str">
        <x:v>Октябрь 2025</x:v>
      </x:c>
      <x:c r="E3473" s="87"/>
      <x:c r="F3473" s="87"/>
      <x:c r="G3473" s="87" t="str">
        <x:v>Биология</x:v>
      </x:c>
      <x:c r="H3473" s="87" t="n">
        <x:v>11</x:v>
      </x:c>
      <x:c r="I3473" s="87" t="str">
        <x:v>ТР №1</x:v>
      </x:c>
      <x:c r="J3473" s="87" t="str">
        <x:v>БИ2510104</x:v>
      </x:c>
      <x:c r="K3473" s="87" t="n">
        <x:v>16</x:v>
      </x:c>
      <x:c r="L3473" s="87" t="str">
        <x:v>Краткое задание по биологии</x:v>
      </x:c>
      <x:c r="M3473" s="30" t="str">
        <x:v>Установите последовательность движения воздуха в процессе выдоха.
     Запишите в таблицу соответствующую последовательность цифр.
     1) бронхиальное дерево
     2) гортань
     3) ноздри
     4) носовые ходы
     5) альвеолы
     6) трахея
     Ответ:</x:v>
      </x:c>
      <x:c r="N3473" s="30" t="str">
        <x:v>516243</x:v>
      </x:c>
      <x:c r="O3473" s="30" t="str">
        <x:v>Ответ проверен по условию и официальным материалам.</x:v>
      </x:c>
      <x:c r="P3473" s="30" t="str">
        <x:v>Визуальный контекст связан с полной страницей JPEG.</x:v>
      </x:c>
      <x:c r="Q3473" s="30"/>
      <x:c r="R3473" s="30" t="str">
        <x:v>Официальный ключ + независимая проверка</x:v>
      </x:c>
      <x:c r="S3473" s="30"/>
      <x:c r="T3473" s="30"/>
      <x:c r="U3473" s="30" t="str">
        <x:v>Расхождений не обнаружено.</x:v>
      </x:c>
      <x:c r="V3473" s="87" t="str">
        <x:v>VERIFIED</x:v>
      </x:c>
      <x:c r="W3473" s="87" t="str">
        <x:v>tasks_a.pdf, стр. 22</x:v>
      </x:c>
      <x:c r="X3473" s="87"/>
      <x:c r="Y3473" s="87"/>
      <x:c r="Z3473" s="87"/>
      <x:c r="AA3473" s="87"/>
      <x:c r="AB3473" s="87"/>
      <x:c r="AC3473" s="87" t="str">
        <x:v>VIS-BIO-OCT-044</x:v>
      </x:c>
      <x:c r="AD3473" s="87"/>
      <x:c r="AE3473" s="87"/>
      <x:c r="AF3473" s="87" t="str">
        <x:v>VIS-BIO-OCT-044: 22</x:v>
      </x:c>
      <x:c r="AG3473" s="87" t="str">
        <x:v>RESOLVED</x:v>
      </x:c>
      <x:c r="AH3473" s="87" t="str">
        <x:v>CROP_VERIFIED</x:v>
      </x:c>
      <x:c r="AI3473" s="30"/>
      <x:c r="AJ3473" s="87" t="str">
        <x:v>master</x:v>
      </x:c>
      <x:c r="AK3473" s="87" t="str">
        <x:v>master-v0.81</x:v>
      </x:c>
      <x:c r="AL3473" s="87" t="str">
        <x:v>statgrad_master_base_v0_81_final(2).xlsx</x:v>
      </x:c>
      <x:c r="AM3473" s="87" t="str">
        <x:v>BIO_Oct_V4</x:v>
      </x:c>
      <x:c r="AN3473" s="87" t="n">
        <x:v>17</x:v>
      </x:c>
    </x:row>
    <x:row r="3474">
      <x:c r="A3474" s="87" t="n">
        <x:v>3473</x:v>
      </x:c>
      <x:c r="B3474" s="87" t="str">
        <x:v>OCT-BIO-104-017</x:v>
      </x:c>
      <x:c r="C3474" s="87" t="str">
        <x:v>СтатГрад</x:v>
      </x:c>
      <x:c r="D3474" s="87" t="str">
        <x:v>Октябрь 2025</x:v>
      </x:c>
      <x:c r="E3474" s="87"/>
      <x:c r="F3474" s="87"/>
      <x:c r="G3474" s="87" t="str">
        <x:v>Биология</x:v>
      </x:c>
      <x:c r="H3474" s="87" t="n">
        <x:v>11</x:v>
      </x:c>
      <x:c r="I3474" s="87" t="str">
        <x:v>ТР №1</x:v>
      </x:c>
      <x:c r="J3474" s="87" t="str">
        <x:v>БИ2510104</x:v>
      </x:c>
      <x:c r="K3474" s="87" t="n">
        <x:v>17</x:v>
      </x:c>
      <x:c r="L3474" s="87" t="str">
        <x:v>Краткое задание по биологии</x:v>
      </x:c>
      <x:c r="M3474" s="30" t="str">
        <x:v>Прочитайте текст. Выберите три предложения, в которых даны примеры
     гомологичных структур животных. Запишите в таблицу цифры,
     под которыми они указаны.
     (1)В результате дивергенции видов однотипные структуры тела животных
     могут приобретать разное строение и функции. (2)Так, у птиц роговые
     структуры кожи преобразовались в перья, а у млекопитающих – в волосы.
     (3)Также схожую структуру имеют раковины моллюсков и саркодовых
     простейших. (4)Антенны ракообразных и усики насекомых, несмотря на
     отличия в строении, выполняют одну и ту же функцию – осязание. (5)Глаза
     головоногих моллюсков и позвоночных животных имеют схожее строение,
     но развиваются из разных эмбриональных зачатков. (6)А ласты моржей
     и китообразных схожи по всем параметрам: общее происхождение,
     одинаковая функция и идентичная морфология.
     Ответ:
                                    согласия СтатГрад запрещена</x:v>
      </x:c>
      <x:c r="N3474" s="30" t="str">
        <x:v>246</x:v>
      </x:c>
      <x:c r="O3474" s="30" t="str">
        <x:v>Ответ проверен по условию и официальным материалам.</x:v>
      </x:c>
      <x:c r="P3474" s="30" t="str">
        <x:v>Визуальный контекст связан с полной страницей JPEG.</x:v>
      </x:c>
      <x:c r="Q3474" s="30"/>
      <x:c r="R3474" s="30" t="str">
        <x:v>Официальный ключ + независимая проверка</x:v>
      </x:c>
      <x:c r="S3474" s="30"/>
      <x:c r="T3474" s="30"/>
      <x:c r="U3474" s="30" t="str">
        <x:v>Расхождений не обнаружено.</x:v>
      </x:c>
      <x:c r="V3474" s="87" t="str">
        <x:v>VERIFIED</x:v>
      </x:c>
      <x:c r="W3474" s="87" t="str">
        <x:v>tasks_a.pdf, стр. 22</x:v>
      </x:c>
      <x:c r="X3474" s="87"/>
      <x:c r="Y3474" s="87"/>
      <x:c r="Z3474" s="87"/>
      <x:c r="AA3474" s="87"/>
      <x:c r="AB3474" s="87"/>
      <x:c r="AC3474" s="87" t="str">
        <x:v>VIS-BIO-OCT-044</x:v>
      </x:c>
      <x:c r="AD3474" s="87"/>
      <x:c r="AE3474" s="87"/>
      <x:c r="AF3474" s="87" t="str">
        <x:v>VIS-BIO-OCT-044: 22</x:v>
      </x:c>
      <x:c r="AG3474" s="87" t="str">
        <x:v>RESOLVED</x:v>
      </x:c>
      <x:c r="AH3474" s="87" t="str">
        <x:v>CROP_VERIFIED</x:v>
      </x:c>
      <x:c r="AI3474" s="30"/>
      <x:c r="AJ3474" s="87" t="str">
        <x:v>master</x:v>
      </x:c>
      <x:c r="AK3474" s="87" t="str">
        <x:v>master-v0.81</x:v>
      </x:c>
      <x:c r="AL3474" s="87" t="str">
        <x:v>statgrad_master_base_v0_81_final(2).xlsx</x:v>
      </x:c>
      <x:c r="AM3474" s="87" t="str">
        <x:v>BIO_Oct_V4</x:v>
      </x:c>
      <x:c r="AN3474" s="87" t="n">
        <x:v>18</x:v>
      </x:c>
    </x:row>
    <x:row r="3475">
      <x:c r="A3475" s="87" t="n">
        <x:v>3474</x:v>
      </x:c>
      <x:c r="B3475" s="87" t="str">
        <x:v>OCT-BIO-104-018</x:v>
      </x:c>
      <x:c r="C3475" s="87" t="str">
        <x:v>СтатГрад</x:v>
      </x:c>
      <x:c r="D3475" s="87" t="str">
        <x:v>Октябрь 2025</x:v>
      </x:c>
      <x:c r="E3475" s="87"/>
      <x:c r="F3475" s="87"/>
      <x:c r="G3475" s="87" t="str">
        <x:v>Биология</x:v>
      </x:c>
      <x:c r="H3475" s="87" t="n">
        <x:v>11</x:v>
      </x:c>
      <x:c r="I3475" s="87" t="str">
        <x:v>ТР №1</x:v>
      </x:c>
      <x:c r="J3475" s="87" t="str">
        <x:v>БИ2510104</x:v>
      </x:c>
      <x:c r="K3475" s="87" t="n">
        <x:v>18</x:v>
      </x:c>
      <x:c r="L3475" s="87" t="str">
        <x:v>Краткое задание по биологии</x:v>
      </x:c>
      <x:c r="M3475" s="30" t="str">
        <x:v>Выберите три верных ответа и запишите в таблицу цифры, под которыми
     они указаны.
     Сапротрофами в природных сообществах являются
     1) гнилостные бактерии
     2) дрожжи
     3) цианобактерии
     4) паразитические растения
     5) плесневые грибы
     6) животные-детритофаги
     Ответ:</x:v>
      </x:c>
      <x:c r="N3475" s="30" t="str">
        <x:v>125</x:v>
      </x:c>
      <x:c r="O3475" s="30" t="str">
        <x:v>Ответ проверен по условию и официальным материалам.</x:v>
      </x:c>
      <x:c r="P3475" s="30" t="str">
        <x:v>Визуальный контекст связан с полной страницей JPEG.</x:v>
      </x:c>
      <x:c r="Q3475" s="30"/>
      <x:c r="R3475" s="30" t="str">
        <x:v>Официальный ключ + независимая проверка</x:v>
      </x:c>
      <x:c r="S3475" s="30"/>
      <x:c r="T3475" s="30"/>
      <x:c r="U3475" s="30" t="str">
        <x:v>Расхождений не обнаружено.</x:v>
      </x:c>
      <x:c r="V3475" s="87" t="str">
        <x:v>VERIFIED</x:v>
      </x:c>
      <x:c r="W3475" s="87" t="str">
        <x:v>tasks_a.pdf, стр. 23</x:v>
      </x:c>
      <x:c r="X3475" s="87"/>
      <x:c r="Y3475" s="87"/>
      <x:c r="Z3475" s="87"/>
      <x:c r="AA3475" s="87"/>
      <x:c r="AB3475" s="87"/>
      <x:c r="AC3475" s="87" t="str">
        <x:v>VIS-BIO-OCT-045</x:v>
      </x:c>
      <x:c r="AD3475" s="87"/>
      <x:c r="AE3475" s="87"/>
      <x:c r="AF3475" s="87" t="str">
        <x:v>VIS-BIO-OCT-045: 23</x:v>
      </x:c>
      <x:c r="AG3475" s="87" t="str">
        <x:v>RESOLVED</x:v>
      </x:c>
      <x:c r="AH3475" s="87" t="str">
        <x:v>CROP_VERIFIED</x:v>
      </x:c>
      <x:c r="AI3475" s="30"/>
      <x:c r="AJ3475" s="87" t="str">
        <x:v>master</x:v>
      </x:c>
      <x:c r="AK3475" s="87" t="str">
        <x:v>master-v0.81</x:v>
      </x:c>
      <x:c r="AL3475" s="87" t="str">
        <x:v>statgrad_master_base_v0_81_final(2).xlsx</x:v>
      </x:c>
      <x:c r="AM3475" s="87" t="str">
        <x:v>BIO_Oct_V4</x:v>
      </x:c>
      <x:c r="AN3475" s="87" t="n">
        <x:v>19</x:v>
      </x:c>
    </x:row>
    <x:row r="3476">
      <x:c r="A3476" s="87" t="n">
        <x:v>3475</x:v>
      </x:c>
      <x:c r="B3476" s="87" t="str">
        <x:v>OCT-BIO-104-019</x:v>
      </x:c>
      <x:c r="C3476" s="87" t="str">
        <x:v>СтатГрад</x:v>
      </x:c>
      <x:c r="D3476" s="87" t="str">
        <x:v>Октябрь 2025</x:v>
      </x:c>
      <x:c r="E3476" s="87"/>
      <x:c r="F3476" s="87"/>
      <x:c r="G3476" s="87" t="str">
        <x:v>Биология</x:v>
      </x:c>
      <x:c r="H3476" s="87" t="n">
        <x:v>11</x:v>
      </x:c>
      <x:c r="I3476" s="87" t="str">
        <x:v>ТР №1</x:v>
      </x:c>
      <x:c r="J3476" s="87" t="str">
        <x:v>БИ2510104</x:v>
      </x:c>
      <x:c r="K3476" s="87" t="n">
        <x:v>19</x:v>
      </x:c>
      <x:c r="L3476" s="87" t="str">
        <x:v>Краткое задание по биологии</x:v>
      </x:c>
      <x:c r="M3476" s="30" t="str">
        <x:v>Установите соответствие между адаптациями растений и абиотическими
     факторами: к каждой позиции, данной в первом столбце, подберите
     соответствующую позицию из второго столбца
                                                                АБИОТИЧЕСКИЕ
              АДАПТАЦИИ РАСТЕНИЙ
                                                                   ФАКТОРЫ
     А) суккулентный облик                                 1) низкая температура
     Б) расположение устьиц в складках листа               2) низкая влажность
     В) преобладание ненасыщенных жирных
        кислот в клеточных мембранах
     Г) антифризные вещества в клеточном соке
     Д) преобразование листьев в колючки
     Е) глубокая корневая система
     Запишите в таблицу выбранные цифры под соответствующими буквами.
                А Б В Г Д Е
     Ответ:
                                    согласия СтатГрад запрещена</x:v>
      </x:c>
      <x:c r="N3476" s="30" t="str">
        <x:v>221122</x:v>
      </x:c>
      <x:c r="O3476" s="30" t="str">
        <x:v>Ответ проверен по условию и официальным материалам.</x:v>
      </x:c>
      <x:c r="P3476" s="30" t="str">
        <x:v>Визуальный контекст связан с полной страницей JPEG.</x:v>
      </x:c>
      <x:c r="Q3476" s="30"/>
      <x:c r="R3476" s="30" t="str">
        <x:v>Официальный ключ + независимая проверка</x:v>
      </x:c>
      <x:c r="S3476" s="30"/>
      <x:c r="T3476" s="30"/>
      <x:c r="U3476" s="30" t="str">
        <x:v>Расхождений не обнаружено.</x:v>
      </x:c>
      <x:c r="V3476" s="87" t="str">
        <x:v>VERIFIED</x:v>
      </x:c>
      <x:c r="W3476" s="87" t="str">
        <x:v>tasks_a.pdf, стр. 23</x:v>
      </x:c>
      <x:c r="X3476" s="87"/>
      <x:c r="Y3476" s="87"/>
      <x:c r="Z3476" s="87"/>
      <x:c r="AA3476" s="87"/>
      <x:c r="AB3476" s="87"/>
      <x:c r="AC3476" s="87" t="str">
        <x:v>VIS-BIO-OCT-045</x:v>
      </x:c>
      <x:c r="AD3476" s="87"/>
      <x:c r="AE3476" s="87"/>
      <x:c r="AF3476" s="87" t="str">
        <x:v>VIS-BIO-OCT-045: 23</x:v>
      </x:c>
      <x:c r="AG3476" s="87" t="str">
        <x:v>RESOLVED</x:v>
      </x:c>
      <x:c r="AH3476" s="87" t="str">
        <x:v>CROP_VERIFIED</x:v>
      </x:c>
      <x:c r="AI3476" s="30"/>
      <x:c r="AJ3476" s="87" t="str">
        <x:v>master</x:v>
      </x:c>
      <x:c r="AK3476" s="87" t="str">
        <x:v>master-v0.81</x:v>
      </x:c>
      <x:c r="AL3476" s="87" t="str">
        <x:v>statgrad_master_base_v0_81_final(2).xlsx</x:v>
      </x:c>
      <x:c r="AM3476" s="87" t="str">
        <x:v>BIO_Oct_V4</x:v>
      </x:c>
      <x:c r="AN3476" s="87" t="n">
        <x:v>20</x:v>
      </x:c>
    </x:row>
    <x:row r="3477">
      <x:c r="A3477" s="87" t="n">
        <x:v>3476</x:v>
      </x:c>
      <x:c r="B3477" s="87" t="str">
        <x:v>OCT-BIO-104-020</x:v>
      </x:c>
      <x:c r="C3477" s="87" t="str">
        <x:v>СтатГрад</x:v>
      </x:c>
      <x:c r="D3477" s="87" t="str">
        <x:v>Октябрь 2025</x:v>
      </x:c>
      <x:c r="E3477" s="87"/>
      <x:c r="F3477" s="87"/>
      <x:c r="G3477" s="87" t="str">
        <x:v>Биология</x:v>
      </x:c>
      <x:c r="H3477" s="87" t="n">
        <x:v>11</x:v>
      </x:c>
      <x:c r="I3477" s="87" t="str">
        <x:v>ТР №1</x:v>
      </x:c>
      <x:c r="J3477" s="87" t="str">
        <x:v>БИ2510104</x:v>
      </x:c>
      <x:c r="K3477" s="87" t="n">
        <x:v>20</x:v>
      </x:c>
      <x:c r="L3477" s="87" t="str">
        <x:v>Краткое задание по биологии</x:v>
      </x:c>
      <x:c r="M3477" s="30" t="str">
        <x:v>Рассмотрите организмы, которые образуют пищевую цепь «растение-тля-
     муравей».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Тип
                                        Значение                     Функциональная
       взаимоотношений
                                    взаимоотношений                  группа муравьёв
         между тлями и
                                        для тлей                      в данной цепи
          муравьями
     _________________(А) ___________________(Б) ___________________(В)
     Список элементов
     1) консумент I порядка
     2) паразитизм
     3) защита от хищников
     4) мутуализм
     5) сокращение пищевых ресурсов
     6) консумент II порядка
     7) конкуренция
     8) консумент III порядка
     Запишите в таблицу выбранные цифры под соответствующими буквами.
                А Б В
     Ответ:
                                    согласия СтатГрад запрещена</x:v>
      </x:c>
      <x:c r="N3477" s="30" t="str">
        <x:v>436</x:v>
      </x:c>
      <x:c r="O3477" s="30" t="str">
        <x:v>Ответ проверен по условию и официальным материалам.</x:v>
      </x:c>
      <x:c r="P3477" s="30" t="str">
        <x:v>Визуальный контекст связан с полной страницей JPEG.</x:v>
      </x:c>
      <x:c r="Q3477" s="30"/>
      <x:c r="R3477" s="30" t="str">
        <x:v>Официальный ключ + независимая проверка</x:v>
      </x:c>
      <x:c r="S3477" s="30"/>
      <x:c r="T3477" s="30"/>
      <x:c r="U3477" s="30" t="str">
        <x:v>Расхождений не обнаружено.</x:v>
      </x:c>
      <x:c r="V3477" s="87" t="str">
        <x:v>VERIFIED</x:v>
      </x:c>
      <x:c r="W3477" s="87" t="str">
        <x:v>tasks_a.pdf, стр. 24</x:v>
      </x:c>
      <x:c r="X3477" s="87"/>
      <x:c r="Y3477" s="87"/>
      <x:c r="Z3477" s="87"/>
      <x:c r="AA3477" s="87"/>
      <x:c r="AB3477" s="87"/>
      <x:c r="AC3477" s="87" t="str">
        <x:v>VIS-BIO-OCT-046</x:v>
      </x:c>
      <x:c r="AD3477" s="87"/>
      <x:c r="AE3477" s="87"/>
      <x:c r="AF3477" s="87" t="str">
        <x:v>VIS-BIO-OCT-046: 24</x:v>
      </x:c>
      <x:c r="AG3477" s="87" t="str">
        <x:v>RESOLVED</x:v>
      </x:c>
      <x:c r="AH3477" s="87" t="str">
        <x:v>CROP_VERIFIED</x:v>
      </x:c>
      <x:c r="AI3477" s="30"/>
      <x:c r="AJ3477" s="87" t="str">
        <x:v>master</x:v>
      </x:c>
      <x:c r="AK3477" s="87" t="str">
        <x:v>master-v0.81</x:v>
      </x:c>
      <x:c r="AL3477" s="87" t="str">
        <x:v>statgrad_master_base_v0_81_final(2).xlsx</x:v>
      </x:c>
      <x:c r="AM3477" s="87" t="str">
        <x:v>BIO_Oct_V4</x:v>
      </x:c>
      <x:c r="AN3477" s="87" t="n">
        <x:v>21</x:v>
      </x:c>
    </x:row>
    <x:row r="3478">
      <x:c r="A3478" s="87" t="n">
        <x:v>3477</x:v>
      </x:c>
      <x:c r="B3478" s="87" t="str">
        <x:v>OCT-BIO-104-021</x:v>
      </x:c>
      <x:c r="C3478" s="87" t="str">
        <x:v>СтатГрад</x:v>
      </x:c>
      <x:c r="D3478" s="87" t="str">
        <x:v>Октябрь 2025</x:v>
      </x:c>
      <x:c r="E3478" s="87"/>
      <x:c r="F3478" s="87"/>
      <x:c r="G3478" s="87" t="str">
        <x:v>Биология</x:v>
      </x:c>
      <x:c r="H3478" s="87" t="n">
        <x:v>11</x:v>
      </x:c>
      <x:c r="I3478" s="87" t="str">
        <x:v>ТР №1</x:v>
      </x:c>
      <x:c r="J3478" s="87" t="str">
        <x:v>БИ2510104</x:v>
      </x:c>
      <x:c r="K3478" s="87" t="n">
        <x:v>21</x:v>
      </x:c>
      <x:c r="L3478" s="87" t="str">
        <x:v>Краткое задание по биологии</x:v>
      </x:c>
      <x:c r="M3478" s="30" t="str">
        <x:v>Проанализируйте таблицу «Содержание антигенов в различных вакцинах
     для профилактики клещевого энцефалита».
     Номер исследованной                                         Содержание антигена
                                           Доза, мл
          вакцины                                                  вируса, мкг/доза
              1                               0,25                     0,3–1,5
              2                               0,5                      0,6–3,0
              3                               0,25                       0,75
              4                               0,5                        1,5
              5                               0,25                       1,19
              6                               0,5                        2,38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Вакцины используются в концентрациях от 0,3 до 3 мкг/мл.
     2) Вакцины, имеющие более высокое содержание антигена, более
        эффективны.
     3) Самое низкое количество антигена может быть обнаружено в вакцине 1.
     4) Вакцины с дозой 0,25 мл применяются для ревакцинации после вакцин
        с дозой 0,5 мл.
     5) В вакцине 2 концентрация антигена может достигать 6 мкг/мл.
     Ответ: ___________________________.
                                    согласия СтатГрад запрещена</x:v>
      </x:c>
      <x:c r="N3478" s="30" t="str">
        <x:v>35</x:v>
      </x:c>
      <x:c r="O3478" s="30" t="str">
        <x:v>Ответ проверен по условию и официальным материалам.</x:v>
      </x:c>
      <x:c r="P3478" s="30" t="str">
        <x:v>Визуальный контекст связан с полной страницей JPEG.</x:v>
      </x:c>
      <x:c r="Q3478" s="30"/>
      <x:c r="R3478" s="30" t="str">
        <x:v>Официальный ключ + независимая проверка</x:v>
      </x:c>
      <x:c r="S3478" s="30"/>
      <x:c r="T3478" s="30"/>
      <x:c r="U3478" s="30" t="str">
        <x:v>Расхождений не обнаружено.</x:v>
      </x:c>
      <x:c r="V3478" s="87" t="str">
        <x:v>VERIFIED</x:v>
      </x:c>
      <x:c r="W3478" s="87" t="str">
        <x:v>tasks_a.pdf, стр. 25</x:v>
      </x:c>
      <x:c r="X3478" s="87"/>
      <x:c r="Y3478" s="87"/>
      <x:c r="Z3478" s="87"/>
      <x:c r="AA3478" s="87"/>
      <x:c r="AB3478" s="87"/>
      <x:c r="AC3478" s="87" t="str">
        <x:v>VIS-BIO-OCT-047</x:v>
      </x:c>
      <x:c r="AD3478" s="87"/>
      <x:c r="AE3478" s="87"/>
      <x:c r="AF3478" s="87" t="str">
        <x:v>VIS-BIO-OCT-047: 25</x:v>
      </x:c>
      <x:c r="AG3478" s="87" t="str">
        <x:v>RESOLVED</x:v>
      </x:c>
      <x:c r="AH3478" s="87" t="str">
        <x:v>CROP_VERIFIED</x:v>
      </x:c>
      <x:c r="AI3478" s="30"/>
      <x:c r="AJ3478" s="87" t="str">
        <x:v>master</x:v>
      </x:c>
      <x:c r="AK3478" s="87" t="str">
        <x:v>master-v0.81</x:v>
      </x:c>
      <x:c r="AL3478" s="87" t="str">
        <x:v>statgrad_master_base_v0_81_final(2).xlsx</x:v>
      </x:c>
      <x:c r="AM3478" s="87" t="str">
        <x:v>BIO_Oct_V4</x:v>
      </x:c>
      <x:c r="AN3478" s="87" t="n">
        <x:v>22</x:v>
      </x:c>
    </x:row>
    <x:row r="3479">
      <x:c r="A3479" s="87" t="n">
        <x:v>3478</x:v>
      </x:c>
      <x:c r="B3479" s="87" t="str">
        <x:v>OCT-BIO-104-022</x:v>
      </x:c>
      <x:c r="C3479" s="87" t="str">
        <x:v>СтатГрад</x:v>
      </x:c>
      <x:c r="D3479" s="87" t="str">
        <x:v>Октябрь 2025</x:v>
      </x:c>
      <x:c r="E3479" s="87"/>
      <x:c r="F3479" s="87"/>
      <x:c r="G3479" s="87" t="str">
        <x:v>Биология</x:v>
      </x:c>
      <x:c r="H3479" s="87" t="n">
        <x:v>11</x:v>
      </x:c>
      <x:c r="I3479" s="87" t="str">
        <x:v>ТР №1</x:v>
      </x:c>
      <x:c r="J3479" s="87" t="str">
        <x:v>БИ2510104</x:v>
      </x:c>
      <x:c r="K3479" s="87" t="n">
        <x:v>22</x:v>
      </x:c>
      <x:c r="L3479" s="87" t="str">
        <x:v>Методология эксперимента</x:v>
      </x:c>
      <x:c r="M3479" s="30" t="str">
        <x:v>Сформулируйте нулевую гипотезу* для данного исследования. Почему
     результаты были бы недостоверными, если бы учёный использовал
     по одному растению для каждой длины волны?
     * Нулевая гипотеза – принимаемое по умолчанию предположение, что
     не существует связи между двумя наблюдаемыми событиями, феноменами.</x:v>
      </x:c>
      <x:c r="N3479" s="30" t="str">
        <x:v>Содержание верного ответа и указания по оцениванию
         (допускаются иные формулировки ответа, не искажающие его смысла)
                                                                                      Баллы
     Элементы ответа:
     1) длина волны (цвет) света не влияет на скорость роста растений;
     2) отдельные растения могут иметь индивидуальные особенности,
     влияющие на скорость их роста;
     3) это не позволит достоверно установить, есть ли различия
     в скорости роста растений в зависимости от длины волны (цвета)
     света.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Все иные ситуации, не соответствующие правилам выставления 3,
                                                                                          0
     2 и 1 балла
                                                    Максимальный балл                     3
                                    согласия СтатГрад запрещена</x:v>
      </x:c>
      <x:c r="O3479" s="30" t="str">
        <x:v>Ответ проверен по условию и официальным материалам.</x:v>
      </x:c>
      <x:c r="P3479" s="30" t="str">
        <x:v>Визуальный контекст связан с полной страницей JPEG.</x:v>
      </x:c>
      <x:c r="Q3479" s="30"/>
      <x:c r="R3479" s="30" t="str">
        <x:v>Официальные критерии</x:v>
      </x:c>
      <x:c r="S3479" s="30"/>
      <x:c r="T3479" s="30"/>
      <x:c r="U3479" s="30" t="str">
        <x:v>Расхождений не обнаружено.</x:v>
      </x:c>
      <x:c r="V3479" s="87" t="str">
        <x:v>VERIFIED</x:v>
      </x:c>
      <x:c r="W3479" s="87" t="str">
        <x:v>tasks_a.pdf, стр. 26</x:v>
      </x:c>
      <x:c r="X3479" s="87"/>
      <x:c r="Y3479" s="87"/>
      <x:c r="Z3479" s="87"/>
      <x:c r="AA3479" s="87"/>
      <x:c r="AB3479" s="87"/>
      <x:c r="AC3479" s="87"/>
      <x:c r="AD3479" s="87"/>
      <x:c r="AE3479" s="87"/>
      <x:c r="AF3479" s="87"/>
      <x:c r="AG3479" s="87"/>
      <x:c r="AH3479" s="87"/>
      <x:c r="AI3479" s="30"/>
      <x:c r="AJ3479" s="87" t="str">
        <x:v>master</x:v>
      </x:c>
      <x:c r="AK3479" s="87" t="str">
        <x:v>master-v0.81</x:v>
      </x:c>
      <x:c r="AL3479" s="87" t="str">
        <x:v>statgrad_master_base_v0_81_final(2).xlsx</x:v>
      </x:c>
      <x:c r="AM3479" s="87" t="str">
        <x:v>BIO_Oct_V4</x:v>
      </x:c>
      <x:c r="AN3479" s="87" t="n">
        <x:v>23</x:v>
      </x:c>
    </x:row>
    <x:row r="3480">
      <x:c r="A3480" s="87" t="n">
        <x:v>3479</x:v>
      </x:c>
      <x:c r="B3480" s="87" t="str">
        <x:v>OCT-BIO-104-023</x:v>
      </x:c>
      <x:c r="C3480" s="87" t="str">
        <x:v>СтатГрад</x:v>
      </x:c>
      <x:c r="D3480" s="87" t="str">
        <x:v>Октябрь 2025</x:v>
      </x:c>
      <x:c r="E3480" s="87"/>
      <x:c r="F3480" s="87"/>
      <x:c r="G3480" s="87" t="str">
        <x:v>Биология</x:v>
      </x:c>
      <x:c r="H3480" s="87" t="n">
        <x:v>11</x:v>
      </x:c>
      <x:c r="I3480" s="87" t="str">
        <x:v>ТР №1</x:v>
      </x:c>
      <x:c r="J3480" s="87" t="str">
        <x:v>БИ2510104</x:v>
      </x:c>
      <x:c r="K3480" s="87" t="n">
        <x:v>23</x:v>
      </x:c>
      <x:c r="L3480" s="87" t="str">
        <x:v>Физиология растений</x:v>
      </x:c>
      <x:c r="M3480" s="30" t="str">
        <x:v>Предположите, какой результат получил исследователь. Объясните, почему
     получилось именно так. Свет каких двух цветов наиболее предпочтителен
     для выращивания растений? Ответ поясните.</x:v>
      </x:c>
      <x:c r="N3480" s="30" t="str">
        <x:v>Содержание верного ответа и указания по оцениванию
         (допускаются иные формулировки ответа, не искажающие его смысла)
                                                                                       Баллы
     Элементы ответа:
     1) под синим светом растения выросли выше (под зелёным светом
     растения выросли меньше);
     2) хлорофилл поглощает синий свет лучше, чем зелёный
     (поглощает синий и отражает зелёный);
     3) из-за этого энергия зелёного света почти не усваивается
     растением;
     4) синий и красный.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три из названных выше элементов, которые
                                                                                          2
     не содержат биологических ошибок
     Ответ включает в себя два из названных выше элементов, которые
                                                                                          1
     не содержат биологических ошибок
     Все иные ситуации, не соответствующие правилам выставления 3,
                                                                                          0
     2 и 1 балла
                                                 Максимальный балл                        3
                                    согласия СтатГрад запрещена</x:v>
      </x:c>
      <x:c r="O3480" s="30" t="str">
        <x:v>Ответ проверен по условию и официальным материалам.</x:v>
      </x:c>
      <x:c r="P3480" s="30" t="str">
        <x:v>Визуальный контекст связан с полной страницей JPEG.</x:v>
      </x:c>
      <x:c r="Q3480" s="30"/>
      <x:c r="R3480" s="30" t="str">
        <x:v>Официальные критерии</x:v>
      </x:c>
      <x:c r="S3480" s="30"/>
      <x:c r="T3480" s="30"/>
      <x:c r="U3480" s="30" t="str">
        <x:v>Расхождений не обнаружено.</x:v>
      </x:c>
      <x:c r="V3480" s="87" t="str">
        <x:v>VERIFIED</x:v>
      </x:c>
      <x:c r="W3480" s="87" t="str">
        <x:v>tasks_a.pdf, стр. 26</x:v>
      </x:c>
      <x:c r="X3480" s="87"/>
      <x:c r="Y3480" s="87"/>
      <x:c r="Z3480" s="87"/>
      <x:c r="AA3480" s="87"/>
      <x:c r="AB3480" s="87"/>
      <x:c r="AC3480" s="87"/>
      <x:c r="AD3480" s="87"/>
      <x:c r="AE3480" s="87"/>
      <x:c r="AF3480" s="87"/>
      <x:c r="AG3480" s="87"/>
      <x:c r="AH3480" s="87"/>
      <x:c r="AI3480" s="30"/>
      <x:c r="AJ3480" s="87" t="str">
        <x:v>master</x:v>
      </x:c>
      <x:c r="AK3480" s="87" t="str">
        <x:v>master-v0.81</x:v>
      </x:c>
      <x:c r="AL3480" s="87" t="str">
        <x:v>statgrad_master_base_v0_81_final(2).xlsx</x:v>
      </x:c>
      <x:c r="AM3480" s="87" t="str">
        <x:v>BIO_Oct_V4</x:v>
      </x:c>
      <x:c r="AN3480" s="87" t="n">
        <x:v>24</x:v>
      </x:c>
    </x:row>
    <x:row r="3481">
      <x:c r="A3481" s="87" t="n">
        <x:v>3480</x:v>
      </x:c>
      <x:c r="B3481" s="87" t="str">
        <x:v>OCT-BIO-104-024</x:v>
      </x:c>
      <x:c r="C3481" s="87" t="str">
        <x:v>СтатГрад</x:v>
      </x:c>
      <x:c r="D3481" s="87" t="str">
        <x:v>Октябрь 2025</x:v>
      </x:c>
      <x:c r="E3481" s="87"/>
      <x:c r="F3481" s="87"/>
      <x:c r="G3481" s="87" t="str">
        <x:v>Биология</x:v>
      </x:c>
      <x:c r="H3481" s="87" t="n">
        <x:v>11</x:v>
      </x:c>
      <x:c r="I3481" s="87" t="str">
        <x:v>ТР №1</x:v>
      </x:c>
      <x:c r="J3481" s="87" t="str">
        <x:v>БИ2510104</x:v>
      </x:c>
      <x:c r="K3481" s="87" t="n">
        <x:v>24</x:v>
      </x:c>
      <x:c r="L3481" s="87" t="str">
        <x:v>Распознавание объекта</x:v>
      </x:c>
      <x:c r="M3481" s="30" t="str">
        <x:v>Как называются структуры, изображённые на рисунке? Какую функцию
     они выполняют? Для животных какого класса они характерны?
     Предположите у каких животных, дневных или ночных, эти структуры
     развиты в наибольшей степени. Ответ поясните.
                                    согласия СтатГрад запрещена</x:v>
      </x:c>
      <x:c r="N3481" s="30" t="str">
        <x:v>Содержание верного ответа и указания по оцениванию
         (допускаются иные формулировки ответа, не искажающие его смысла)
                                                                                       Баллы
     Элементы ответа:
     1) вибриссы;
     2) осязание (содержат тактильные рецепторы);
     3) класс Млекопитающие;
     4) у ночных животных;
     5) они заменяют зрение (позволят определять расстояние в темноте).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четыре из названных выше элементов,
                                                                                          2
     которые не содержат биологических ошибок
     Ответ включает в себя три из названных выше элементов, которые
                                                                                          1
     не содержат биологических ошибок
     Все иные ситуации, не соответствующие правилам выставления 3,
     2 и 1 балла                                                                          0
     ИЛИ неверно определены структуры
                                                    Максимальный балл                     3
                                    согласия СтатГрад запрещена</x:v>
      </x:c>
      <x:c r="O3481" s="30" t="str">
        <x:v>Ответ проверен по условию и официальным материалам.</x:v>
      </x:c>
      <x:c r="P3481" s="30" t="str">
        <x:v>Визуальный контекст связан с полной страницей JPEG.</x:v>
      </x:c>
      <x:c r="Q3481" s="30"/>
      <x:c r="R3481" s="30" t="str">
        <x:v>Официальные критерии</x:v>
      </x:c>
      <x:c r="S3481" s="30"/>
      <x:c r="T3481" s="30"/>
      <x:c r="U3481" s="30" t="str">
        <x:v>Расхождений не обнаружено.</x:v>
      </x:c>
      <x:c r="V3481" s="87" t="str">
        <x:v>VERIFIED</x:v>
      </x:c>
      <x:c r="W3481" s="87" t="str">
        <x:v>tasks_a.pdf, стр. 26</x:v>
      </x:c>
      <x:c r="X3481" s="87"/>
      <x:c r="Y3481" s="87"/>
      <x:c r="Z3481" s="87"/>
      <x:c r="AA3481" s="87"/>
      <x:c r="AB3481" s="87"/>
      <x:c r="AC3481" s="87" t="str">
        <x:v>VIS-BIO-OCT-048</x:v>
      </x:c>
      <x:c r="AD3481" s="87"/>
      <x:c r="AE3481" s="87"/>
      <x:c r="AF3481" s="87" t="str">
        <x:v>VIS-BIO-OCT-048: 26</x:v>
      </x:c>
      <x:c r="AG3481" s="87" t="str">
        <x:v>RESOLVED</x:v>
      </x:c>
      <x:c r="AH3481" s="87" t="str">
        <x:v>CROP_VERIFIED; TASK_CROP_QA_APPROVED:USE_TIGHT</x:v>
      </x:c>
      <x:c r="AI3481" s="30"/>
      <x:c r="AJ3481" s="87" t="str">
        <x:v>master</x:v>
      </x:c>
      <x:c r="AK3481" s="87" t="str">
        <x:v>master-v0.81</x:v>
      </x:c>
      <x:c r="AL3481" s="87" t="str">
        <x:v>statgrad_master_base_v0_81_final(2).xlsx</x:v>
      </x:c>
      <x:c r="AM3481" s="87" t="str">
        <x:v>BIO_Oct_V4</x:v>
      </x:c>
      <x:c r="AN3481" s="87" t="n">
        <x:v>25</x:v>
      </x:c>
    </x:row>
    <x:row r="3482">
      <x:c r="A3482" s="87" t="n">
        <x:v>3481</x:v>
      </x:c>
      <x:c r="B3482" s="87" t="str">
        <x:v>OCT-BIO-104-025</x:v>
      </x:c>
      <x:c r="C3482" s="87" t="str">
        <x:v>СтатГрад</x:v>
      </x:c>
      <x:c r="D3482" s="87" t="str">
        <x:v>Октябрь 2025</x:v>
      </x:c>
      <x:c r="E3482" s="87"/>
      <x:c r="F3482" s="87"/>
      <x:c r="G3482" s="87" t="str">
        <x:v>Биология</x:v>
      </x:c>
      <x:c r="H3482" s="87" t="n">
        <x:v>11</x:v>
      </x:c>
      <x:c r="I3482" s="87" t="str">
        <x:v>ТР №1</x:v>
      </x:c>
      <x:c r="J3482" s="87" t="str">
        <x:v>БИ2510104</x:v>
      </x:c>
      <x:c r="K3482" s="87" t="n">
        <x:v>25</x:v>
      </x:c>
      <x:c r="L3482" s="87" t="str">
        <x:v>Размножение человека</x:v>
      </x:c>
      <x:c r="M3482" s="30" t="str">
        <x:v>Почему у куриц, выращенных на птицефабриках кости менее прочные,
     чем у диких? Какие вещества и каким образом обеспечивают прочность
     костей у животных? Почему у куриц-несушек кости тоньше и легче,
     чем у мясных пород кур? Дайте аргументированный ответ</x:v>
      </x:c>
      <x:c r="N3482" s="30" t="str">
        <x:v>Содержание верного ответа и указания по оцениванию
         (допускаются иные формулировки ответа, не искажающие его смысла)
                                                                                      Баллы
     Элементы ответа:
     1) курицы на птицефабриках мало двигаются (гиподинамия)
     ИЛИ
     1) куры на птицефабриках быстрее растут, поэтому кости не
     успевают становиться прочными;
     2) из-за этого кровоснабжение костей недостаточное (мало
     питательных веществ приходит к костям)
     ИЛИ
     1) недостаточно естественного освещения;
     2) не хватает витамина D, влияющего на формирование костей;
     3) неорганические вещества (минеральные соли; соли кальция,
     гидроксиапатит) обеспечивают твёрдость костей (жёсткость);
     4) органические вещества (коллаген) обеспечивают упругость
     костей (эластичность, прочность на разрыв);
     5) у несушек много кальция идёт на формирование скорлупы яиц
     ИЛИ
     5) тело несушек легче, и костям не нужно выдерживать большую
     нагрузку.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из названные выше элементы, не
                                                                                          3
     содержит биологических ошибок
     Ответ включает в себя четыре из названных выше элементов,
                                                                                          2
     которые не содержат биологических ошибок
     Ответ включает в себя три из названных выше элементов, которые
                                                                                          1
     не содержат биологических ошибок
     Все иные ситуации, не соответствующие правилам выставления 3,
                                                                                          0
     2 и 1 балла
                                                 Максимальный балл                        3
                                    согласия СтатГрад запрещена</x:v>
      </x:c>
      <x:c r="O3482" s="30" t="str">
        <x:v>Ответ проверен по условию и официальным материалам.</x:v>
      </x:c>
      <x:c r="P3482" s="30" t="str">
        <x:v>Визуальный контекст связан с полной страницей JPEG.</x:v>
      </x:c>
      <x:c r="Q3482" s="30"/>
      <x:c r="R3482" s="30" t="str">
        <x:v>Официальные критерии</x:v>
      </x:c>
      <x:c r="S3482" s="30"/>
      <x:c r="T3482" s="30"/>
      <x:c r="U3482" s="30" t="str">
        <x:v>Расхождений не обнаружено.</x:v>
      </x:c>
      <x:c r="V3482" s="87" t="str">
        <x:v>VERIFIED</x:v>
      </x:c>
      <x:c r="W3482" s="87" t="str">
        <x:v>tasks_a.pdf, стр. 27</x:v>
      </x:c>
      <x:c r="X3482" s="87"/>
      <x:c r="Y3482" s="87"/>
      <x:c r="Z3482" s="87"/>
      <x:c r="AA3482" s="87"/>
      <x:c r="AB3482" s="87"/>
      <x:c r="AC3482" s="87"/>
      <x:c r="AD3482" s="87"/>
      <x:c r="AE3482" s="87"/>
      <x:c r="AF3482" s="87"/>
      <x:c r="AG3482" s="87"/>
      <x:c r="AH3482" s="87"/>
      <x:c r="AI3482" s="30"/>
      <x:c r="AJ3482" s="87" t="str">
        <x:v>master</x:v>
      </x:c>
      <x:c r="AK3482" s="87" t="str">
        <x:v>master-v0.81</x:v>
      </x:c>
      <x:c r="AL3482" s="87" t="str">
        <x:v>statgrad_master_base_v0_81_final(2).xlsx</x:v>
      </x:c>
      <x:c r="AM3482" s="87" t="str">
        <x:v>BIO_Oct_V4</x:v>
      </x:c>
      <x:c r="AN3482" s="87" t="n">
        <x:v>26</x:v>
      </x:c>
    </x:row>
    <x:row r="3483">
      <x:c r="A3483" s="87" t="n">
        <x:v>3482</x:v>
      </x:c>
      <x:c r="B3483" s="87" t="str">
        <x:v>OCT-BIO-104-026</x:v>
      </x:c>
      <x:c r="C3483" s="87" t="str">
        <x:v>СтатГрад</x:v>
      </x:c>
      <x:c r="D3483" s="87" t="str">
        <x:v>Октябрь 2025</x:v>
      </x:c>
      <x:c r="E3483" s="87"/>
      <x:c r="F3483" s="87"/>
      <x:c r="G3483" s="87" t="str">
        <x:v>Биология</x:v>
      </x:c>
      <x:c r="H3483" s="87" t="n">
        <x:v>11</x:v>
      </x:c>
      <x:c r="I3483" s="87" t="str">
        <x:v>ТР №1</x:v>
      </x:c>
      <x:c r="J3483" s="87" t="str">
        <x:v>БИ2510104</x:v>
      </x:c>
      <x:c r="K3483" s="87" t="n">
        <x:v>26</x:v>
      </x:c>
      <x:c r="L3483" s="87" t="str">
        <x:v>Зоология паразитов</x:v>
      </x:c>
      <x:c r="M3483" s="30" t="str">
        <x:v>Гусеничный гриб (Cordyceps militaris) развивается на насекомых, особенно
     часто на личинках бабочек и мотыльков. Гриб выделяет вещества, которые
     влияют на поведение гусениц, заставляя их переедать. Когда насекомое
     окукливается, гриб начинает формировать плодовые тела. Какие отношения
     возникают между гусеницей и грибом? С какой целью гриб провоцирует
     гусеницу к перееданию? Назовите две причины и объясните значение
     для гриба каждой из них.</x:v>
      </x:c>
      <x:c r="N3483" s="30" t="str">
        <x:v>Содержание верного ответа и указания по оцениванию
         (допускаются иные формулировки ответа, не искажающие его смысла)
                                                                                       Баллы
     Элементы ответа:
     1) паразитизм;
     2) гриб заставляет гусеницу переедать, чтобы она накопила больше
     питательных веществ;
     3) за счёт накопленных веществ происходит питание гриба (рост
     мицелия, формирование плодовых тел);
     4) гриб вынуждает гусеницу переедать, чтобы она быстрее
     превратиться в куколку;
     5) превращение в куколку снижает риск гибели гусеницы
     (увеличивает вероятность того, что гриб сможет образовать
     плодовые тела и споры).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четыре из названных выше элементов,
                                                                                          2
     которые не содержат биологических ошибок
     Ответ включает в себя три из названных выше элементов, которые
                                                                                          1
     не содержат биологических ошибок
     Все иные ситуации, не соответствующие правилам выставления 3,
                                                                                          0
     2 и 1 балла
                                                   Максимальный балл                      3
                                    согласия СтатГрад запрещена</x:v>
      </x:c>
      <x:c r="O3483" s="30" t="str">
        <x:v>Ответ проверен по условию и официальным материалам.</x:v>
      </x:c>
      <x:c r="P3483" s="30" t="str">
        <x:v>Визуальный контекст связан с полной страницей JPEG.</x:v>
      </x:c>
      <x:c r="Q3483" s="30"/>
      <x:c r="R3483" s="30" t="str">
        <x:v>Официальные критерии</x:v>
      </x:c>
      <x:c r="S3483" s="30"/>
      <x:c r="T3483" s="30"/>
      <x:c r="U3483" s="30" t="str">
        <x:v>Расхождений не обнаружено.</x:v>
      </x:c>
      <x:c r="V3483" s="87" t="str">
        <x:v>VERIFIED</x:v>
      </x:c>
      <x:c r="W3483" s="87" t="str">
        <x:v>tasks_a.pdf, стр. 27</x:v>
      </x:c>
      <x:c r="X3483" s="87"/>
      <x:c r="Y3483" s="87"/>
      <x:c r="Z3483" s="87"/>
      <x:c r="AA3483" s="87"/>
      <x:c r="AB3483" s="87"/>
      <x:c r="AC3483" s="87"/>
      <x:c r="AD3483" s="87"/>
      <x:c r="AE3483" s="87"/>
      <x:c r="AF3483" s="87"/>
      <x:c r="AG3483" s="87"/>
      <x:c r="AH3483" s="87"/>
      <x:c r="AI3483" s="30"/>
      <x:c r="AJ3483" s="87" t="str">
        <x:v>master</x:v>
      </x:c>
      <x:c r="AK3483" s="87" t="str">
        <x:v>master-v0.81</x:v>
      </x:c>
      <x:c r="AL3483" s="87" t="str">
        <x:v>statgrad_master_base_v0_81_final(2).xlsx</x:v>
      </x:c>
      <x:c r="AM3483" s="87" t="str">
        <x:v>BIO_Oct_V4</x:v>
      </x:c>
      <x:c r="AN3483" s="87" t="n">
        <x:v>27</x:v>
      </x:c>
    </x:row>
    <x:row r="3484">
      <x:c r="A3484" s="87" t="n">
        <x:v>3483</x:v>
      </x:c>
      <x:c r="B3484" s="87" t="str">
        <x:v>OCT-BIO-104-027</x:v>
      </x:c>
      <x:c r="C3484" s="87" t="str">
        <x:v>СтатГрад</x:v>
      </x:c>
      <x:c r="D3484" s="87" t="str">
        <x:v>Октябрь 2025</x:v>
      </x:c>
      <x:c r="E3484" s="87"/>
      <x:c r="F3484" s="87"/>
      <x:c r="G3484" s="87" t="str">
        <x:v>Биология</x:v>
      </x:c>
      <x:c r="H3484" s="87" t="n">
        <x:v>11</x:v>
      </x:c>
      <x:c r="I3484" s="87" t="str">
        <x:v>ТР №1</x:v>
      </x:c>
      <x:c r="J3484" s="87" t="str">
        <x:v>БИ2510104</x:v>
      </x:c>
      <x:c r="K3484" s="87" t="n">
        <x:v>27</x:v>
      </x:c>
      <x:c r="L3484" s="87" t="str">
        <x:v>Генетическая задача</x:v>
      </x:c>
      <x:c r="M3484" s="30" t="str">
        <x:v>Известно, что комплементарные цепи нуклеиновых кислот антипараллельны
     (5’ концу одной цепи соответствует 3’ конец другой цепи). Синтез
     нуклеиновых кислот начинается с 5’ конца. Рибосома движется по иРНК
     в направлении от 5’ к 3’ концу.
     Ген имеет кодирующую и некодирующую области. Кодирующая область
     гена, включающая старт-кодон и стоп-кодон, называется открытой рамкой
     считывания.    Старт-кодон      соответствует триплету,  кодирующему
     аминокислоту мет. Фрагмент бактериального гена, содержащий полную
     открытую рамку считывания, имеет следующую последовательность
     нуклеотидов:
                      5’-ГАТГАЦГГАЦТЦЦАТАЦГАТААГТАЦА-3’
                      3’-ЦТАЦТГЦЦТГАГГТАТГЦТАТТЦАТГТ-5’
     Определите траскрибируемую цепь ДНК. Ответ поясните. Запишите
     открытую рамку считывания на иРНК и последовательность аминокислот
     в полипептидной цепи. Для выполнения задания используйте таблицу
     генетического кода. При написании последовательностей нуклеиновых
     кислот указывайте направление цепи.
                                    согласия СтатГрад запрещена</x:v>
      </x:c>
      <x:c r="N3484" s="30" t="str">
        <x:v>Содержание верного ответа и указания по оцениванию
         (правильный ответ должен содержать следующие позиции)
                                                                                  Баллы
Схема решения задачи включает:
1) транскрибируемая (матричная) цепь ДНК нижняя;
2) на иРНК присутствуют 5’-АУГ-3’ (старт-кодон)
(или 3’-ТАЦ-5’ на матричной цепи ДНК; или 5’-АТГ-3’ на
смысловой цепи ДНК);
3) на иРНК присутствует 5’-УАА-3’ (стоп-кодон)
(или 3’-ААТ-5’ на матричной цепи ДНК; или 5’-ТАА-3’ на
смысловой цепи ДНК);
4) открытая рамка считывания:
5’-АУГАЦГГАЦУЦЦАУАЦГАУАА-3’
ИЛИ
5’-ГАУГАЦГГАЦУЦЦАУАЦГАУААГУАЦА-3’ (с обязательным
указанием границ открытой рамки считывания: подчёркнута,
обведена, отмечены начало и конец и т.п.);
5) последовательность аминокислот: мет-тре-асп-сер-иле-арг.
Возможно решение задачи через написание двух вариантов иРНК
и выбор верной среди них. В таком случае за указание
на иРНК старт-кодона и стоп-кодона элементы 2 и 3 ответа
засчитываются как верные
Ответ включает в себя все названные выше элементы, не содержит
                                                                                     3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Ответ неправильный                                                                   0
                                             Максимальный балл                       3
                               согласия СтатГрад запрещена</x:v>
      </x:c>
      <x:c r="O3484" s="30" t="str">
        <x:v>Ответ проверен по условию и официальным материалам.</x:v>
      </x:c>
      <x:c r="P3484" s="30" t="str">
        <x:v>Визуальный контекст связан с полной страницей JPEG.</x:v>
      </x:c>
      <x:c r="Q3484" s="30"/>
      <x:c r="R3484" s="30" t="str">
        <x:v>Официальные критерии</x:v>
      </x:c>
      <x:c r="S3484" s="30"/>
      <x:c r="T3484" s="30"/>
      <x:c r="U3484" s="30" t="str">
        <x:v>Расхождений не обнаружено.</x:v>
      </x:c>
      <x:c r="V3484" s="87" t="str">
        <x:v>VERIFIED</x:v>
      </x:c>
      <x:c r="W3484" s="87" t="str">
        <x:v>tasks_a.pdf, стр. 27</x:v>
      </x:c>
      <x:c r="X3484" s="87"/>
      <x:c r="Y3484" s="87"/>
      <x:c r="Z3484" s="87"/>
      <x:c r="AA3484" s="87"/>
      <x:c r="AB3484" s="87"/>
      <x:c r="AC3484" s="87"/>
      <x:c r="AD3484" s="87"/>
      <x:c r="AE3484" s="87"/>
      <x:c r="AF3484" s="87"/>
      <x:c r="AG3484" s="87"/>
      <x:c r="AH3484" s="87"/>
      <x:c r="AI3484" s="30"/>
      <x:c r="AJ3484" s="87" t="str">
        <x:v>master</x:v>
      </x:c>
      <x:c r="AK3484" s="87" t="str">
        <x:v>master-v0.81</x:v>
      </x:c>
      <x:c r="AL3484" s="87" t="str">
        <x:v>statgrad_master_base_v0_81_final(2).xlsx</x:v>
      </x:c>
      <x:c r="AM3484" s="87" t="str">
        <x:v>BIO_Oct_V4</x:v>
      </x:c>
      <x:c r="AN3484" s="87" t="n">
        <x:v>28</x:v>
      </x:c>
    </x:row>
    <x:row r="3485">
      <x:c r="A3485" s="87" t="n">
        <x:v>3484</x:v>
      </x:c>
      <x:c r="B3485" s="87" t="str">
        <x:v>OCT-BIO-104-028</x:v>
      </x:c>
      <x:c r="C3485" s="87" t="str">
        <x:v>СтатГрад</x:v>
      </x:c>
      <x:c r="D3485" s="87" t="str">
        <x:v>Октябрь 2025</x:v>
      </x:c>
      <x:c r="E3485" s="87"/>
      <x:c r="F3485" s="87"/>
      <x:c r="G3485" s="87" t="str">
        <x:v>Биология</x:v>
      </x:c>
      <x:c r="H3485" s="87" t="n">
        <x:v>11</x:v>
      </x:c>
      <x:c r="I3485" s="87" t="str">
        <x:v>ТР №1</x:v>
      </x:c>
      <x:c r="J3485" s="87" t="str">
        <x:v>БИ2510104</x:v>
      </x:c>
      <x:c r="K3485" s="87" t="n">
        <x:v>28</x:v>
      </x:c>
      <x:c r="L3485" s="87" t="str">
        <x:v>Генетическая задача</x:v>
      </x:c>
      <x:c r="M3485" s="30" t="str">
        <x:v>На X- и Y-хромосомах человека существуют псевдоаутосомные участки,
     содержащие аллели одного гена, между которыми может происходить
     кроссинговер. Один из таких генов вызывает скелетную дисплазию.
     Женщина с нормальным развитием скелета и дальтонизмом вышла замуж
     за гетерозиготного мужчину со скелетной дисплазией. Его мать была
     гомозиготна по аллелю нормального развития скелета. Родившаяся в этом
     браке дочь со скелетной дисплазией вышла замуж за здорового мужчину.
     Определите генотипы родителей и генотипы, фенотипы, пол возможного
     потомства. Возможно ли рождение во втором браке ребёнка дальтоника
     с нормальным развитием скелета? Ответ поясните.
                                    согласия СтатГрад запрещена</x:v>
      </x:c>
      <x:c r="N3485" s="30" t="str">
        <x:v>Содержание верного ответа и указания по оцениванию
                                                                      Баллы
             (правильный ответ должен содержать следующие позиции)
     Схема решения задачи включает:
     1) P ♀ ХadХad                   ×       ♂ XaDYA
     G Хad                                 XaD, XAD, YA, Ya
     F1
     генотипы, фенотипы возможных дочерей:
     ХadXaD – нормальное развитие скелета, нормальное цветовое
     зрение;
     ХadXAD – скелетная дисплазия, нормальное цветовое зрение;
     генотипы, фенотипы возможных сыновей:
     ХadYA – скелетная дисплазия, дальтонизм;
     ХadYa – нормальное развитие скелета, дальтонизм;
     2) ♀ ХadXAD                    ×       ♂ ХaDYa
     G Хad, XAD, XaD, XAd                      ХaD, Ya
     F2
     генотипы, фенотипы возможных дочерей:
     ХadХaD – нормальное развитие скелета, нормальное цветовое
     зрение;
     XADХaD – скелетная дисплазия, нормальное цветовое зрение;
     XaDХaD – нормальное развитие скелета, нормальное цветовое
     зрение;
     XAdХaD – скелетная дисплазия, нормальное цветовое зрение;
     генотипы, фенотипы возможных сыновей:
     ХadYa – нормальное развитие скелета, дальтонизм;
     XADYa – скелетная дисплазия, нормальное цветовое зрение;
     XaDYa – нормальное развитие скелета, нормальное цветовое зрение;
     XAdYa – скелетная дисплазия, дальтонизм;
     3) во втором браке возможно рождение сына с нормальным
     развитием скелета и дальтонизмом (XadYa). В генотипе этого
     ребёнка находятся материнская Хad-хромосома и отцовская Ya-
     хромосома.
     (Допускается генетическая символика изображения сцепленных
                                    согласия СтатГрад запрещена
генов в виде
               А      B        А B           A       A
                                                             B
                           ,         ИЛИ                 ,
                  A    B       А             B       B       A   A,
ИЛИ X X , X Y , ИЛИ X X , X Y .)
        AB   AB       AB   A         A
                                     B
                                         A
                                         B
                                             A
                                             B
                                                 A
Элементы 1 и 2 засчитываются только при наличии и генотипов,
и фенотипов, и пола всех возможных потомков.
Ответ «здоров» или «норма» считать верным
Ответ включает в себя все названные выше элементы и не
                                                                                     3
содержит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Ответ неправильный                                                                   0
                                            Максимальный балл                        3
                               согласия СтатГрад запрещена</x:v>
      </x:c>
      <x:c r="O3485" s="30" t="str">
        <x:v>Ответ проверен по условию и официальным материалам.</x:v>
      </x:c>
      <x:c r="P3485" s="30" t="str">
        <x:v>Визуальный контекст связан с полной страницей JPEG.</x:v>
      </x:c>
      <x:c r="Q3485" s="30"/>
      <x:c r="R3485" s="30" t="str">
        <x:v>Официальные критерии</x:v>
      </x:c>
      <x:c r="S3485" s="30"/>
      <x:c r="T3485" s="30"/>
      <x:c r="U3485" s="30" t="str">
        <x:v>Расхождений не обнаружено.</x:v>
      </x:c>
      <x:c r="V3485" s="87" t="str">
        <x:v>VERIFIED</x:v>
      </x:c>
      <x:c r="W3485" s="87" t="str">
        <x:v>tasks_a.pdf, стр. 28</x:v>
      </x:c>
      <x:c r="X3485" s="87"/>
      <x:c r="Y3485" s="87"/>
      <x:c r="Z3485" s="87"/>
      <x:c r="AA3485" s="87"/>
      <x:c r="AB3485" s="87"/>
      <x:c r="AC3485" s="87" t="str">
        <x:v>VIS-BIO-OCT-049</x:v>
      </x:c>
      <x:c r="AD3485" s="87"/>
      <x:c r="AE3485" s="87"/>
      <x:c r="AF3485" s="87" t="str">
        <x:v>VIS-BIO-OCT-049: 28</x:v>
      </x:c>
      <x:c r="AG3485" s="87" t="str">
        <x:v>RESOLVED</x:v>
      </x:c>
      <x:c r="AH3485" s="87" t="str">
        <x:v>CROP_VERIFIED</x:v>
      </x:c>
      <x:c r="AI3485" s="30"/>
      <x:c r="AJ3485" s="87" t="str">
        <x:v>master</x:v>
      </x:c>
      <x:c r="AK3485" s="87" t="str">
        <x:v>master-v0.81</x:v>
      </x:c>
      <x:c r="AL3485" s="87" t="str">
        <x:v>statgrad_master_base_v0_81_final(2).xlsx</x:v>
      </x:c>
      <x:c r="AM3485" s="87" t="str">
        <x:v>BIO_Oct_V4</x:v>
      </x:c>
      <x:c r="AN3485" s="87" t="n">
        <x:v>29</x:v>
      </x:c>
    </x:row>
    <x:row r="3486">
      <x:c r="A3486" s="87" t="n">
        <x:v>3485</x:v>
      </x:c>
      <x:c r="B3486" s="87" t="str">
        <x:v>OCT-PHYS-101-001</x:v>
      </x:c>
      <x:c r="C3486" s="87" t="str">
        <x:v>СтатГрад</x:v>
      </x:c>
      <x:c r="D3486" s="87" t="str">
        <x:v>Октябрь 2025</x:v>
      </x:c>
      <x:c r="E3486" s="87"/>
      <x:c r="F3486" s="87"/>
      <x:c r="G3486" s="87" t="str">
        <x:v>Физика</x:v>
      </x:c>
      <x:c r="H3486" s="87" t="n">
        <x:v>11</x:v>
      </x:c>
      <x:c r="I3486" s="87" t="str">
        <x:v>ТР №1</x:v>
      </x:c>
      <x:c r="J3486" s="87" t="str">
        <x:v>ФИ2510101</x:v>
      </x:c>
      <x:c r="K3486" s="87" t="n">
        <x:v>1</x:v>
      </x:c>
      <x:c r="L3486" s="87" t="str">
        <x:v>Кинематика. График движения</x:v>
      </x:c>
      <x:c r="M3486" s="30" t="str">
        <x:v>На рисунке представлен график зависимости координаты х велосипедиста,
    движущегося вдоль оси ОХ, от времени t. Определите проекцию скорости V x
    велосипедиста в течение промежутка времени от 4 с до 6 с. Ответ запишите
    с учётом знака проекции.
    Ответ: ___________________________ м/с.</x:v>
      </x:c>
      <x:c r="N3486" s="30" t="str">
        <x:v>-2,5</x:v>
      </x:c>
      <x:c r="O3486" s="30" t="str">
        <x:v>Скорость найдена как угловой коэффициент участка графика x(t): Δx/Δt с учётом знака.</x:v>
      </x:c>
      <x:c r="P3486" s="30" t="str">
        <x:v>Скорость найдена как угловой коэффициент участка графика x(t): Δx/Δt с учётом знака.</x:v>
      </x:c>
      <x:c r="Q3486" s="30"/>
      <x:c r="R3486" s="30" t="str">
        <x:v>Архивный фото-ключ</x:v>
      </x:c>
      <x:c r="S3486" s="30"/>
      <x:c r="T3486" s="30"/>
      <x:c r="U3486" s="30" t="str">
        <x:v>Расхождений не обнаружено.</x:v>
      </x:c>
      <x:c r="V3486" s="87" t="str">
        <x:v>VERIFIED</x:v>
      </x:c>
      <x:c r="W3486" s="87" t="str">
        <x:v>Zadanie_FI11_15102025.pdf, стр. 4</x:v>
      </x:c>
      <x:c r="X3486" s="87"/>
      <x:c r="Y3486" s="87"/>
      <x:c r="Z3486" s="87"/>
      <x:c r="AA3486" s="87"/>
      <x:c r="AB3486" s="87"/>
      <x:c r="AC3486" s="87" t="str">
        <x:v>VIS-PHYS-OCT-001</x:v>
      </x:c>
      <x:c r="AD3486" s="87"/>
      <x:c r="AE3486" s="87"/>
      <x:c r="AF3486" s="87" t="str">
        <x:v>VIS-PHYS-OCT-001: 4</x:v>
      </x:c>
      <x:c r="AG3486" s="87" t="str">
        <x:v>RESOLVED</x:v>
      </x:c>
      <x:c r="AH3486" s="87" t="str">
        <x:v>CROP_VERIFIED; TASK_CROP_QA_APPROVED:USE_CONTEXT</x:v>
      </x:c>
      <x:c r="AI3486" s="30"/>
      <x:c r="AJ3486" s="87" t="str">
        <x:v>master</x:v>
      </x:c>
      <x:c r="AK3486" s="87" t="str">
        <x:v>master-v0.81</x:v>
      </x:c>
      <x:c r="AL3486" s="87" t="str">
        <x:v>statgrad_master_base_v0_81_final(2).xlsx</x:v>
      </x:c>
      <x:c r="AM3486" s="87" t="str">
        <x:v>PHYS_Oct_V1</x:v>
      </x:c>
      <x:c r="AN3486" s="87" t="n">
        <x:v>2</x:v>
      </x:c>
    </x:row>
    <x:row r="3487">
      <x:c r="A3487" s="87" t="n">
        <x:v>3486</x:v>
      </x:c>
      <x:c r="B3487" s="87" t="str">
        <x:v>OCT-PHYS-101-002</x:v>
      </x:c>
      <x:c r="C3487" s="87" t="str">
        <x:v>СтатГрад</x:v>
      </x:c>
      <x:c r="D3487" s="87" t="str">
        <x:v>Октябрь 2025</x:v>
      </x:c>
      <x:c r="E3487" s="87"/>
      <x:c r="F3487" s="87"/>
      <x:c r="G3487" s="87" t="str">
        <x:v>Физика</x:v>
      </x:c>
      <x:c r="H3487" s="87" t="n">
        <x:v>11</x:v>
      </x:c>
      <x:c r="I3487" s="87" t="str">
        <x:v>ТР №1</x:v>
      </x:c>
      <x:c r="J3487" s="87" t="str">
        <x:v>ФИ2510101</x:v>
      </x:c>
      <x:c r="K3487" s="87" t="n">
        <x:v>2</x:v>
      </x:c>
      <x:c r="L3487" s="87" t="str">
        <x:v>Динамика. Закон Гука</x:v>
      </x:c>
      <x:c r="M3487" s="30" t="str">
        <x:v>Две лёгкие пружины подвешены за концы к потолку. Эти пружины
    растягивают, прикладывая к их свободным концам направленные вниз
    одинаковые силы F. Жёсткость первой пружины в 1,2 раза больше жёсткости
    второй пружины. В равновесном состоянии удлинение второй пружины
    равно 24 мм. Чему равно удлинение первой пружины при её равновесии?
    Ответ: ___________________________ мм.</x:v>
      </x:c>
      <x:c r="N3487" s="30" t="str">
        <x:v>20</x:v>
      </x:c>
      <x:c r="O3487" s="30" t="str">
        <x:v>Использован закон Гука F=kx; при одинаковой силе деформация обратно пропорциональна жёсткости.</x:v>
      </x:c>
      <x:c r="P3487" s="30" t="str">
        <x:v>Использован закон Гука F=kx; при одинаковой силе деформация обратно пропорциональна жёсткости.</x:v>
      </x:c>
      <x:c r="Q3487" s="30"/>
      <x:c r="R3487" s="30" t="str">
        <x:v>Архивный фото-ключ</x:v>
      </x:c>
      <x:c r="S3487" s="30"/>
      <x:c r="T3487" s="30"/>
      <x:c r="U3487" s="30" t="str">
        <x:v>Расхождений не обнаружено.</x:v>
      </x:c>
      <x:c r="V3487" s="87" t="str">
        <x:v>VERIFIED</x:v>
      </x:c>
      <x:c r="W3487" s="87" t="str">
        <x:v>Zadanie_FI11_15102025.pdf, стр. 4</x:v>
      </x:c>
      <x:c r="X3487" s="87"/>
      <x:c r="Y3487" s="87"/>
      <x:c r="Z3487" s="87"/>
      <x:c r="AA3487" s="87"/>
      <x:c r="AB3487" s="87"/>
      <x:c r="AC3487" s="87" t="str">
        <x:v>VIS-PHYS-OCT-001</x:v>
      </x:c>
      <x:c r="AD3487" s="87"/>
      <x:c r="AE3487" s="87"/>
      <x:c r="AF3487" s="87" t="str">
        <x:v>VIS-PHYS-OCT-001: 4</x:v>
      </x:c>
      <x:c r="AG3487" s="87" t="str">
        <x:v>RESOLVED</x:v>
      </x:c>
      <x:c r="AH3487" s="87" t="str">
        <x:v>CROP_VERIFIED</x:v>
      </x:c>
      <x:c r="AI3487" s="30"/>
      <x:c r="AJ3487" s="87" t="str">
        <x:v>master</x:v>
      </x:c>
      <x:c r="AK3487" s="87" t="str">
        <x:v>master-v0.81</x:v>
      </x:c>
      <x:c r="AL3487" s="87" t="str">
        <x:v>statgrad_master_base_v0_81_final(2).xlsx</x:v>
      </x:c>
      <x:c r="AM3487" s="87" t="str">
        <x:v>PHYS_Oct_V1</x:v>
      </x:c>
      <x:c r="AN3487" s="87" t="n">
        <x:v>3</x:v>
      </x:c>
    </x:row>
    <x:row r="3488">
      <x:c r="A3488" s="87" t="n">
        <x:v>3487</x:v>
      </x:c>
      <x:c r="B3488" s="87" t="str">
        <x:v>OCT-PHYS-101-003</x:v>
      </x:c>
      <x:c r="C3488" s="87" t="str">
        <x:v>СтатГрад</x:v>
      </x:c>
      <x:c r="D3488" s="87" t="str">
        <x:v>Октябрь 2025</x:v>
      </x:c>
      <x:c r="E3488" s="87"/>
      <x:c r="F3488" s="87"/>
      <x:c r="G3488" s="87" t="str">
        <x:v>Физика</x:v>
      </x:c>
      <x:c r="H3488" s="87" t="n">
        <x:v>11</x:v>
      </x:c>
      <x:c r="I3488" s="87" t="str">
        <x:v>ТР №1</x:v>
      </x:c>
      <x:c r="J3488" s="87" t="str">
        <x:v>ФИ2510101</x:v>
      </x:c>
      <x:c r="K3488" s="87" t="n">
        <x:v>3</x:v>
      </x:c>
      <x:c r="L3488" s="87" t="str">
        <x:v>Импульс</x:v>
      </x:c>
      <x:c r="M3488" s="30" t="str">
        <x:v>Из неподвижной пушки массой 250 кг, стоящей на горизонтальной
    площадке, произведён выстрел. Снаряд массой 1,5 кг вылетел из ствола
    пушки горизонтально со скоростью 180 м/с относительно площадки. Какую
    скорость относительно площадки приобрела пушка?
    Ответ: ___________________________ м/с.</x:v>
      </x:c>
      <x:c r="N3488" s="30" t="str">
        <x:v>1,08</x:v>
      </x:c>
      <x:c r="O3488" s="30" t="str">
        <x:v>Применён закон сохранения импульса системы «пушка–снаряд».</x:v>
      </x:c>
      <x:c r="P3488" s="30" t="str">
        <x:v>Применён закон сохранения импульса системы «пушка–снаряд».</x:v>
      </x:c>
      <x:c r="Q3488" s="30"/>
      <x:c r="R3488" s="30" t="str">
        <x:v>Архивный фото-ключ</x:v>
      </x:c>
      <x:c r="S3488" s="30"/>
      <x:c r="T3488" s="30"/>
      <x:c r="U3488" s="30" t="str">
        <x:v>Расхождений не обнаружено.</x:v>
      </x:c>
      <x:c r="V3488" s="87" t="str">
        <x:v>VERIFIED</x:v>
      </x:c>
      <x:c r="W3488" s="87" t="str">
        <x:v>Zadanie_FI11_15102025.pdf, стр. 4</x:v>
      </x:c>
      <x:c r="X3488" s="87"/>
      <x:c r="Y3488" s="87"/>
      <x:c r="Z3488" s="87"/>
      <x:c r="AA3488" s="87"/>
      <x:c r="AB3488" s="87"/>
      <x:c r="AC3488" s="87" t="str">
        <x:v>VIS-PHYS-OCT-001</x:v>
      </x:c>
      <x:c r="AD3488" s="87"/>
      <x:c r="AE3488" s="87"/>
      <x:c r="AF3488" s="87" t="str">
        <x:v>VIS-PHYS-OCT-001: 4</x:v>
      </x:c>
      <x:c r="AG3488" s="87" t="str">
        <x:v>RESOLVED</x:v>
      </x:c>
      <x:c r="AH3488" s="87" t="str">
        <x:v>CROP_VERIFIED</x:v>
      </x:c>
      <x:c r="AI3488" s="30"/>
      <x:c r="AJ3488" s="87" t="str">
        <x:v>master</x:v>
      </x:c>
      <x:c r="AK3488" s="87" t="str">
        <x:v>master-v0.81</x:v>
      </x:c>
      <x:c r="AL3488" s="87" t="str">
        <x:v>statgrad_master_base_v0_81_final(2).xlsx</x:v>
      </x:c>
      <x:c r="AM3488" s="87" t="str">
        <x:v>PHYS_Oct_V1</x:v>
      </x:c>
      <x:c r="AN3488" s="87" t="n">
        <x:v>4</x:v>
      </x:c>
    </x:row>
    <x:row r="3489">
      <x:c r="A3489" s="87" t="n">
        <x:v>3488</x:v>
      </x:c>
      <x:c r="B3489" s="87" t="str">
        <x:v>OCT-PHYS-101-004</x:v>
      </x:c>
      <x:c r="C3489" s="87" t="str">
        <x:v>СтатГрад</x:v>
      </x:c>
      <x:c r="D3489" s="87" t="str">
        <x:v>Октябрь 2025</x:v>
      </x:c>
      <x:c r="E3489" s="87"/>
      <x:c r="F3489" s="87"/>
      <x:c r="G3489" s="87" t="str">
        <x:v>Физика</x:v>
      </x:c>
      <x:c r="H3489" s="87" t="n">
        <x:v>11</x:v>
      </x:c>
      <x:c r="I3489" s="87" t="str">
        <x:v>ТР №1</x:v>
      </x:c>
      <x:c r="J3489" s="87" t="str">
        <x:v>ФИ2510101</x:v>
      </x:c>
      <x:c r="K3489" s="87" t="n">
        <x:v>4</x:v>
      </x:c>
      <x:c r="L3489" s="87" t="str">
        <x:v>Механические колебания</x:v>
      </x:c>
      <x:c r="M3489" s="30" t="str">
        <x:v>Период свободных гармонических колебаний первого математического
    маятника равен 1,2 с. Чему равен период свободных гармонических
    колебаний второго математического маятника, у которого длина нити
    в 4 раза больше, а масса груза в 4 раза меньше, чем у первого?
    Ответ: ___________________________ с.</x:v>
      </x:c>
      <x:c r="N3489" s="30" t="str">
        <x:v>2,4</x:v>
      </x:c>
      <x:c r="O3489" s="30" t="str">
        <x:v>Для математического маятника T∝√l и ν∝1/√l; масса груза не влияет.</x:v>
      </x:c>
      <x:c r="P3489" s="30" t="str">
        <x:v>Для математического маятника T∝√l и ν∝1/√l; масса груза не влияет.</x:v>
      </x:c>
      <x:c r="Q3489" s="30"/>
      <x:c r="R3489" s="30" t="str">
        <x:v>Архивный фото-ключ</x:v>
      </x:c>
      <x:c r="S3489" s="30"/>
      <x:c r="T3489" s="30"/>
      <x:c r="U3489" s="30" t="str">
        <x:v>Расхождений не обнаружено.</x:v>
      </x:c>
      <x:c r="V3489" s="87" t="str">
        <x:v>VERIFIED</x:v>
      </x:c>
      <x:c r="W3489" s="87" t="str">
        <x:v>Zadanie_FI11_15102025.pdf, стр. 4</x:v>
      </x:c>
      <x:c r="X3489" s="87"/>
      <x:c r="Y3489" s="87"/>
      <x:c r="Z3489" s="87"/>
      <x:c r="AA3489" s="87"/>
      <x:c r="AB3489" s="87"/>
      <x:c r="AC3489" s="87" t="str">
        <x:v>VIS-PHYS-OCT-001</x:v>
      </x:c>
      <x:c r="AD3489" s="87"/>
      <x:c r="AE3489" s="87"/>
      <x:c r="AF3489" s="87" t="str">
        <x:v>VIS-PHYS-OCT-001: 4</x:v>
      </x:c>
      <x:c r="AG3489" s="87" t="str">
        <x:v>RESOLVED</x:v>
      </x:c>
      <x:c r="AH3489" s="87" t="str">
        <x:v>CROP_VERIFIED</x:v>
      </x:c>
      <x:c r="AI3489" s="30"/>
      <x:c r="AJ3489" s="87" t="str">
        <x:v>master</x:v>
      </x:c>
      <x:c r="AK3489" s="87" t="str">
        <x:v>master-v0.81</x:v>
      </x:c>
      <x:c r="AL3489" s="87" t="str">
        <x:v>statgrad_master_base_v0_81_final(2).xlsx</x:v>
      </x:c>
      <x:c r="AM3489" s="87" t="str">
        <x:v>PHYS_Oct_V1</x:v>
      </x:c>
      <x:c r="AN3489" s="87" t="n">
        <x:v>5</x:v>
      </x:c>
    </x:row>
    <x:row r="3490">
      <x:c r="A3490" s="87" t="n">
        <x:v>3489</x:v>
      </x:c>
      <x:c r="B3490" s="87" t="str">
        <x:v>OCT-PHYS-101-005</x:v>
      </x:c>
      <x:c r="C3490" s="87" t="str">
        <x:v>СтатГрад</x:v>
      </x:c>
      <x:c r="D3490" s="87" t="str">
        <x:v>Октябрь 2025</x:v>
      </x:c>
      <x:c r="E3490" s="87"/>
      <x:c r="F3490" s="87"/>
      <x:c r="G3490" s="87" t="str">
        <x:v>Физика</x:v>
      </x:c>
      <x:c r="H3490" s="87" t="n">
        <x:v>11</x:v>
      </x:c>
      <x:c r="I3490" s="87" t="str">
        <x:v>ТР №1</x:v>
      </x:c>
      <x:c r="J3490" s="87" t="str">
        <x:v>ФИ2510101</x:v>
      </x:c>
      <x:c r="K3490" s="87" t="n">
        <x:v>5</x:v>
      </x:c>
      <x:c r="L3490" s="87" t="str">
        <x:v>Сухое трение</x:v>
      </x:c>
      <x:c r="M3490" s="30" t="str">
        <x:v>При изучении свойств силы сухого трения был получен график зависимости
    модуля силы трения F тр , действующей на находящееся на горизонтальном
    столе тело массой 0,5 кг, от модуля горизонтальной силы F, приложенной
    к этому телу (см. рисунок).
    Выберите все утверждения, которые верно отражают результаты этого опыта.
    В ответе запишите их номера.
    1) Модуль максимальной силы трения покоя, действующей на тело, равен 2 Н.
    2) В течение первых двух секунд тело двигалось равномерно, а затем
       равноускоренно.
    3) Если модуль силы F, действующей на тело, больше 2 Н, тело покоится.
    4) Коэффициент трения тела о стол равен 0,8.
    5) Когда модуль силы F, действующей на тело, равен 6 Н, тело движется
       с ускорением 8 м/с2.</x:v>
      </x:c>
      <x:c r="N3490" s="30" t="str">
        <x:v>15</x:v>
      </x:c>
      <x:c r="O3490" s="30" t="str">
        <x:v>График силы сухого трения сопоставлен с режимами покоя и скольжения; утверждения проверены по значениям графика.</x:v>
      </x:c>
      <x:c r="P3490" s="30" t="str">
        <x:v>График силы сухого трения сопоставлен с режимами покоя и скольжения; утверждения проверены по значениям графика.</x:v>
      </x:c>
      <x:c r="Q3490" s="30"/>
      <x:c r="R3490" s="30" t="str">
        <x:v>Официальная таблица ответов</x:v>
      </x:c>
      <x:c r="S3490" s="30"/>
      <x:c r="T3490" s="30"/>
      <x:c r="U3490" s="30" t="str">
        <x:v>Расхождений не обнаружено.</x:v>
      </x:c>
      <x:c r="V3490" s="87" t="str">
        <x:v>VERIFIED</x:v>
      </x:c>
      <x:c r="W3490" s="87" t="str">
        <x:v>Zadanie_FI11_15102025.pdf, стр. 5</x:v>
      </x:c>
      <x:c r="X3490" s="87"/>
      <x:c r="Y3490" s="87"/>
      <x:c r="Z3490" s="87"/>
      <x:c r="AA3490" s="87"/>
      <x:c r="AB3490" s="87"/>
      <x:c r="AC3490" s="87" t="str">
        <x:v>VIS-PHYS-OCT-002</x:v>
      </x:c>
      <x:c r="AD3490" s="87"/>
      <x:c r="AE3490" s="87"/>
      <x:c r="AF3490" s="87" t="str">
        <x:v>VIS-PHYS-OCT-002: 5</x:v>
      </x:c>
      <x:c r="AG3490" s="87" t="str">
        <x:v>RESOLVED</x:v>
      </x:c>
      <x:c r="AH3490" s="87" t="str">
        <x:v>CROP_VERIFIED; TASK_CROP_QA_APPROVED:USE_CONTEXT</x:v>
      </x:c>
      <x:c r="AI3490" s="30"/>
      <x:c r="AJ3490" s="87" t="str">
        <x:v>master</x:v>
      </x:c>
      <x:c r="AK3490" s="87" t="str">
        <x:v>master-v0.81</x:v>
      </x:c>
      <x:c r="AL3490" s="87" t="str">
        <x:v>statgrad_master_base_v0_81_final(2).xlsx</x:v>
      </x:c>
      <x:c r="AM3490" s="87" t="str">
        <x:v>PHYS_Oct_V1</x:v>
      </x:c>
      <x:c r="AN3490" s="87" t="n">
        <x:v>6</x:v>
      </x:c>
    </x:row>
    <x:row r="3491">
      <x:c r="A3491" s="87" t="n">
        <x:v>3490</x:v>
      </x:c>
      <x:c r="B3491" s="87" t="str">
        <x:v>OCT-PHYS-101-006</x:v>
      </x:c>
      <x:c r="C3491" s="87" t="str">
        <x:v>СтатГрад</x:v>
      </x:c>
      <x:c r="D3491" s="87" t="str">
        <x:v>Октябрь 2025</x:v>
      </x:c>
      <x:c r="E3491" s="87"/>
      <x:c r="F3491" s="87"/>
      <x:c r="G3491" s="87" t="str">
        <x:v>Физика</x:v>
      </x:c>
      <x:c r="H3491" s="87" t="n">
        <x:v>11</x:v>
      </x:c>
      <x:c r="I3491" s="87" t="str">
        <x:v>ТР №1</x:v>
      </x:c>
      <x:c r="J3491" s="87" t="str">
        <x:v>ФИ2510101</x:v>
      </x:c>
      <x:c r="K3491" s="87" t="n">
        <x:v>6</x:v>
      </x:c>
      <x:c r="L3491" s="87" t="str">
        <x:v>Движение тела под действием тяжести</x:v>
      </x:c>
      <x:c r="M3491" s="30" t="str">
        <x:v>Мячик брошен с высоты H над горизонтальной поверхностью с начальной
    скоростью V 0 под углом α к горизонту так, как показано на рисунке (угол
    отсчитывается от горизонтали в направлении по часовой стрелке). Как
    изменятся дальность полёта и модуль конечной скорости мячика, если
    увеличить угол α, а остальные параметры оставить без изменения?
    Сопротивлением воздуха пренебречь.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Дальность полёта мячика                 Модуль конечной скорости мячика</x:v>
      </x:c>
      <x:c r="N3491" s="30" t="str">
        <x:v>23</x:v>
      </x:c>
      <x:c r="O3491" s="30" t="str">
        <x:v>Проекции начальной скорости и уравнения движения сопоставлены при изменении угла; конечная скорость дополнительно проверена по энергии.</x:v>
      </x:c>
      <x:c r="P3491" s="30" t="str">
        <x:v>Проекции начальной скорости и уравнения движения сопоставлены при изменении угла; конечная скорость дополнительно проверена по энергии.</x:v>
      </x:c>
      <x:c r="Q3491" s="30"/>
      <x:c r="R3491" s="30" t="str">
        <x:v>Архивный фото-ключ</x:v>
      </x:c>
      <x:c r="S3491" s="30"/>
      <x:c r="T3491" s="30"/>
      <x:c r="U3491" s="30" t="str">
        <x:v>Расхождений не обнаружено.</x:v>
      </x:c>
      <x:c r="V3491" s="87" t="str">
        <x:v>VERIFIED</x:v>
      </x:c>
      <x:c r="W3491" s="87" t="str">
        <x:v>Zadanie_FI11_15102025.pdf, стр. 6</x:v>
      </x:c>
      <x:c r="X3491" s="87"/>
      <x:c r="Y3491" s="87"/>
      <x:c r="Z3491" s="87"/>
      <x:c r="AA3491" s="87"/>
      <x:c r="AB3491" s="87"/>
      <x:c r="AC3491" s="87" t="str">
        <x:v>VIS-PHYS-OCT-003</x:v>
      </x:c>
      <x:c r="AD3491" s="87"/>
      <x:c r="AE3491" s="87"/>
      <x:c r="AF3491" s="87" t="str">
        <x:v>VIS-PHYS-OCT-003: 6</x:v>
      </x:c>
      <x:c r="AG3491" s="87" t="str">
        <x:v>RESOLVED</x:v>
      </x:c>
      <x:c r="AH3491" s="87" t="str">
        <x:v>CROP_VERIFIED; TASK_CROP_QA_APPROVED:USE_TIGHT</x:v>
      </x:c>
      <x:c r="AI3491" s="30"/>
      <x:c r="AJ3491" s="87" t="str">
        <x:v>master</x:v>
      </x:c>
      <x:c r="AK3491" s="87" t="str">
        <x:v>master-v0.81</x:v>
      </x:c>
      <x:c r="AL3491" s="87" t="str">
        <x:v>statgrad_master_base_v0_81_final(2).xlsx</x:v>
      </x:c>
      <x:c r="AM3491" s="87" t="str">
        <x:v>PHYS_Oct_V1</x:v>
      </x:c>
      <x:c r="AN3491" s="87" t="n">
        <x:v>7</x:v>
      </x:c>
    </x:row>
    <x:row r="3492">
      <x:c r="A3492" s="87" t="n">
        <x:v>3491</x:v>
      </x:c>
      <x:c r="B3492" s="87" t="str">
        <x:v>OCT-PHYS-101-007</x:v>
      </x:c>
      <x:c r="C3492" s="87" t="str">
        <x:v>СтатГрад</x:v>
      </x:c>
      <x:c r="D3492" s="87" t="str">
        <x:v>Октябрь 2025</x:v>
      </x:c>
      <x:c r="E3492" s="87"/>
      <x:c r="F3492" s="87"/>
      <x:c r="G3492" s="87" t="str">
        <x:v>Физика</x:v>
      </x:c>
      <x:c r="H3492" s="87" t="n">
        <x:v>11</x:v>
      </x:c>
      <x:c r="I3492" s="87" t="str">
        <x:v>ТР №1</x:v>
      </x:c>
      <x:c r="J3492" s="87" t="str">
        <x:v>ФИ2510101</x:v>
      </x:c>
      <x:c r="K3492" s="87" t="n">
        <x:v>7</x:v>
      </x:c>
      <x:c r="L3492" s="87" t="str">
        <x:v>Молекулярная физика</x:v>
      </x:c>
      <x:c r="M3492" s="30" t="str">
        <x:v>Неизменное количество идеального газа находится в сосуде под тяжёлым
    поршнем. Нагрузив поршень, давление газа увеличили в 2,5 раза при
    постоянной температуре. Чему равно отношение концентраций газа
    в конечном и начальном состоянии n 2 /n 1 ?</x:v>
      </x:c>
      <x:c r="N3492" s="30" t="str">
        <x:v>2,5</x:v>
      </x:c>
      <x:c r="O3492" s="30" t="str">
        <x:v>Использовано уравнение состояния идеального газа и постоянство указанных параметров.</x:v>
      </x:c>
      <x:c r="P3492" s="30" t="str">
        <x:v>Использовано уравнение состояния идеального газа и постоянство указанных параметров.</x:v>
      </x:c>
      <x:c r="Q3492" s="30"/>
      <x:c r="R3492" s="30" t="str">
        <x:v>Архивный фото-ключ</x:v>
      </x:c>
      <x:c r="S3492" s="30"/>
      <x:c r="T3492" s="30"/>
      <x:c r="U3492" s="30" t="str">
        <x:v>Расхождений не обнаружено.</x:v>
      </x:c>
      <x:c r="V3492" s="87" t="str">
        <x:v>VERIFIED</x:v>
      </x:c>
      <x:c r="W3492" s="87" t="str">
        <x:v>Zadanie_FI11_15102025.pdf, стр. 7</x:v>
      </x:c>
      <x:c r="X3492" s="87"/>
      <x:c r="Y3492" s="87"/>
      <x:c r="Z3492" s="87"/>
      <x:c r="AA3492" s="87"/>
      <x:c r="AB3492" s="87"/>
      <x:c r="AC3492" s="87" t="str">
        <x:v>VIS-PHYS-OCT-004</x:v>
      </x:c>
      <x:c r="AD3492" s="87"/>
      <x:c r="AE3492" s="87"/>
      <x:c r="AF3492" s="87" t="str">
        <x:v>VIS-PHYS-OCT-004: 7</x:v>
      </x:c>
      <x:c r="AG3492" s="87" t="str">
        <x:v>RESOLVED</x:v>
      </x:c>
      <x:c r="AH3492" s="87" t="str">
        <x:v>CROP_VERIFIED</x:v>
      </x:c>
      <x:c r="AI3492" s="30"/>
      <x:c r="AJ3492" s="87" t="str">
        <x:v>master</x:v>
      </x:c>
      <x:c r="AK3492" s="87" t="str">
        <x:v>master-v0.81</x:v>
      </x:c>
      <x:c r="AL3492" s="87" t="str">
        <x:v>statgrad_master_base_v0_81_final(2).xlsx</x:v>
      </x:c>
      <x:c r="AM3492" s="87" t="str">
        <x:v>PHYS_Oct_V1</x:v>
      </x:c>
      <x:c r="AN3492" s="87" t="n">
        <x:v>8</x:v>
      </x:c>
    </x:row>
    <x:row r="3493">
      <x:c r="A3493" s="87" t="n">
        <x:v>3492</x:v>
      </x:c>
      <x:c r="B3493" s="87" t="str">
        <x:v>OCT-PHYS-101-008</x:v>
      </x:c>
      <x:c r="C3493" s="87" t="str">
        <x:v>СтатГрад</x:v>
      </x:c>
      <x:c r="D3493" s="87" t="str">
        <x:v>Октябрь 2025</x:v>
      </x:c>
      <x:c r="E3493" s="87"/>
      <x:c r="F3493" s="87"/>
      <x:c r="G3493" s="87" t="str">
        <x:v>Физика</x:v>
      </x:c>
      <x:c r="H3493" s="87" t="n">
        <x:v>11</x:v>
      </x:c>
      <x:c r="I3493" s="87" t="str">
        <x:v>ТР №1</x:v>
      </x:c>
      <x:c r="J3493" s="87" t="str">
        <x:v>ФИ2510101</x:v>
      </x:c>
      <x:c r="K3493" s="87" t="n">
        <x:v>8</x:v>
      </x:c>
      <x:c r="L3493" s="87" t="str">
        <x:v>Работа газа</x:v>
      </x:c>
      <x:c r="M3493" s="30" t="str">
        <x:v>На рисунке показаны зависимости давления p гелия от его объёма V для двух
    процессов: 1–2 и 3–4. Чему равно отношение A34/A12 работы гелия в процессе
    3–4 к работе гелия в процессе 1–2?</x:v>
      </x:c>
      <x:c r="N3493" s="30" t="str">
        <x:v>0,9</x:v>
      </x:c>
      <x:c r="O3493" s="30" t="str">
        <x:v>Работа газа определена площадью под соответствующим участком pV-графика.</x:v>
      </x:c>
      <x:c r="P3493" s="30" t="str">
        <x:v>Работа газа определена площадью под соответствующим участком pV-графика.</x:v>
      </x:c>
      <x:c r="Q3493" s="30"/>
      <x:c r="R3493" s="30" t="str">
        <x:v>Архивный фото-ключ</x:v>
      </x:c>
      <x:c r="S3493" s="30"/>
      <x:c r="T3493" s="30"/>
      <x:c r="U3493" s="30" t="str">
        <x:v>Расхождений не обнаружено.</x:v>
      </x:c>
      <x:c r="V3493" s="87" t="str">
        <x:v>VERIFIED</x:v>
      </x:c>
      <x:c r="W3493" s="87" t="str">
        <x:v>Zadanie_FI11_15102025.pdf, стр. 7</x:v>
      </x:c>
      <x:c r="X3493" s="87"/>
      <x:c r="Y3493" s="87"/>
      <x:c r="Z3493" s="87"/>
      <x:c r="AA3493" s="87"/>
      <x:c r="AB3493" s="87"/>
      <x:c r="AC3493" s="87" t="str">
        <x:v>VIS-PHYS-OCT-004</x:v>
      </x:c>
      <x:c r="AD3493" s="87"/>
      <x:c r="AE3493" s="87"/>
      <x:c r="AF3493" s="87" t="str">
        <x:v>VIS-PHYS-OCT-004: 7</x:v>
      </x:c>
      <x:c r="AG3493" s="87" t="str">
        <x:v>RESOLVED</x:v>
      </x:c>
      <x:c r="AH3493" s="87" t="str">
        <x:v>CROP_VERIFIED; TASK_CROP_QA_APPROVED:USE_CONTEXT</x:v>
      </x:c>
      <x:c r="AI3493" s="30"/>
      <x:c r="AJ3493" s="87" t="str">
        <x:v>master</x:v>
      </x:c>
      <x:c r="AK3493" s="87" t="str">
        <x:v>master-v0.81</x:v>
      </x:c>
      <x:c r="AL3493" s="87" t="str">
        <x:v>statgrad_master_base_v0_81_final(2).xlsx</x:v>
      </x:c>
      <x:c r="AM3493" s="87" t="str">
        <x:v>PHYS_Oct_V1</x:v>
      </x:c>
      <x:c r="AN3493" s="87" t="n">
        <x:v>9</x:v>
      </x:c>
    </x:row>
    <x:row r="3494">
      <x:c r="A3494" s="87" t="n">
        <x:v>3493</x:v>
      </x:c>
      <x:c r="B3494" s="87" t="str">
        <x:v>OCT-PHYS-101-009</x:v>
      </x:c>
      <x:c r="C3494" s="87" t="str">
        <x:v>СтатГрад</x:v>
      </x:c>
      <x:c r="D3494" s="87" t="str">
        <x:v>Октябрь 2025</x:v>
      </x:c>
      <x:c r="E3494" s="87"/>
      <x:c r="F3494" s="87"/>
      <x:c r="G3494" s="87" t="str">
        <x:v>Физика</x:v>
      </x:c>
      <x:c r="H3494" s="87" t="n">
        <x:v>11</x:v>
      </x:c>
      <x:c r="I3494" s="87" t="str">
        <x:v>ТР №1</x:v>
      </x:c>
      <x:c r="J3494" s="87" t="str">
        <x:v>ФИ2510101</x:v>
      </x:c>
      <x:c r="K3494" s="87" t="n">
        <x:v>9</x:v>
      </x:c>
      <x:c r="L3494" s="87" t="str">
        <x:v>Смеси идеальных газов</x:v>
      </x:c>
      <x:c r="M3494" s="30" t="str">
        <x:v>Объём сосуда, содержащего 1 моль водорода, увеличили вдвое и добавили в
    сосуд 1,5 моля гелия. Температуру в сосуде поддерживали постоянной.
    Выберите из предложенного перечня все утверждения, которые верно
    отражают результаты этого опыта. В ответе запишите их номера.
    1) Концентрации водорода и гелия в сосуде в конце опыта одинаковы.
    2) Внутренняя энергия водорода уменьшилась.
    3) Плотность газа в сосуде увеличилась.
    4) Давление в сосуде увеличилось.
    5) Парциальное давление водорода уменьшилось.</x:v>
      </x:c>
      <x:c r="N3494" s="30" t="str">
        <x:v>345</x:v>
      </x:c>
      <x:c r="O3494" s="30" t="str">
        <x:v>Проверены концентрация, давление, плотность, внутренняя энергия и парциальные давления смеси идеальных газов.</x:v>
      </x:c>
      <x:c r="P3494" s="30" t="str">
        <x:v>Проверены концентрация, давление, плотность, внутренняя энергия и парциальные давления смеси идеальных газов.</x:v>
      </x:c>
      <x:c r="Q3494" s="30"/>
      <x:c r="R3494" s="30" t="str">
        <x:v>Официальная таблица ответов</x:v>
      </x:c>
      <x:c r="S3494" s="30"/>
      <x:c r="T3494" s="30"/>
      <x:c r="U3494" s="30" t="str">
        <x:v>Расхождений не обнаружено.</x:v>
      </x:c>
      <x:c r="V3494" s="87" t="str">
        <x:v>VERIFIED</x:v>
      </x:c>
      <x:c r="W3494" s="87" t="str">
        <x:v>Zadanie_FI11_15102025.pdf, стр. 7</x:v>
      </x:c>
      <x:c r="X3494" s="87"/>
      <x:c r="Y3494" s="87"/>
      <x:c r="Z3494" s="87"/>
      <x:c r="AA3494" s="87"/>
      <x:c r="AB3494" s="87"/>
      <x:c r="AC3494" s="87" t="str">
        <x:v>VIS-PHYS-OCT-004</x:v>
      </x:c>
      <x:c r="AD3494" s="87"/>
      <x:c r="AE3494" s="87"/>
      <x:c r="AF3494" s="87" t="str">
        <x:v>VIS-PHYS-OCT-004: 7</x:v>
      </x:c>
      <x:c r="AG3494" s="87" t="str">
        <x:v>RESOLVED</x:v>
      </x:c>
      <x:c r="AH3494" s="87" t="str">
        <x:v>CROP_VERIFIED</x:v>
      </x:c>
      <x:c r="AI3494" s="30"/>
      <x:c r="AJ3494" s="87" t="str">
        <x:v>master</x:v>
      </x:c>
      <x:c r="AK3494" s="87" t="str">
        <x:v>master-v0.81</x:v>
      </x:c>
      <x:c r="AL3494" s="87" t="str">
        <x:v>statgrad_master_base_v0_81_final(2).xlsx</x:v>
      </x:c>
      <x:c r="AM3494" s="87" t="str">
        <x:v>PHYS_Oct_V1</x:v>
      </x:c>
      <x:c r="AN3494" s="87" t="n">
        <x:v>10</x:v>
      </x:c>
    </x:row>
    <x:row r="3495">
      <x:c r="A3495" s="87" t="n">
        <x:v>3494</x:v>
      </x:c>
      <x:c r="B3495" s="87" t="str">
        <x:v>OCT-PHYS-101-010</x:v>
      </x:c>
      <x:c r="C3495" s="87" t="str">
        <x:v>СтатГрад</x:v>
      </x:c>
      <x:c r="D3495" s="87" t="str">
        <x:v>Октябрь 2025</x:v>
      </x:c>
      <x:c r="E3495" s="87"/>
      <x:c r="F3495" s="87"/>
      <x:c r="G3495" s="87" t="str">
        <x:v>Физика</x:v>
      </x:c>
      <x:c r="H3495" s="87" t="n">
        <x:v>11</x:v>
      </x:c>
      <x:c r="I3495" s="87" t="str">
        <x:v>ТР №1</x:v>
      </x:c>
      <x:c r="J3495" s="87" t="str">
        <x:v>ФИ2510101</x:v>
      </x:c>
      <x:c r="K3495" s="87" t="n">
        <x:v>10</x:v>
      </x:c>
      <x:c r="L3495" s="87" t="str">
        <x:v>Газовые процессы</x:v>
      </x:c>
      <x:c r="M3495" s="30" t="str">
        <x:v>На рисунках приведены графики А) и Б) двух различных процессов: 1–2 и 3–4,
     происходящих с 1 молем гелия. Графики построены в координатах р–T и p–V,
     где p – давление, V – объём и T – абсолютная температура газа. Установите
     соответствие между графиками и утверждениями, характеризующими
     изображённые на графиках процессы.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ГРАФИКИ                               УТВЕРЖДЕНИЯ
                               1) Над газом совершают работу, при этом его
                                  внутренняя энергия увеличивается.
     А)
                               2)   Над газом совершают работу, при этом газ отдаёт
                                    положительное количество теплоты.
     Б)
                               3) Газ получает положительное количество теплоты
                                  и совершает работу.
                               4) Газ отдаёт положительное количество теплоты,
                                  при этом его внутренняя энергия увеличивается.</x:v>
      </x:c>
      <x:c r="N3495" s="30" t="str">
        <x:v>32</x:v>
      </x:c>
      <x:c r="O3495" s="30" t="str">
        <x:v>Каждый график переведён через pV=νRT; установлены знак работы, изменение объёма и температуры.</x:v>
      </x:c>
      <x:c r="P3495" s="30" t="str">
        <x:v>Каждый график переведён через pV=νRT; установлены знак работы, изменение объёма и температуры.</x:v>
      </x:c>
      <x:c r="Q3495" s="30"/>
      <x:c r="R3495" s="30" t="str">
        <x:v>Архивный фото-ключ</x:v>
      </x:c>
      <x:c r="S3495" s="30"/>
      <x:c r="T3495" s="30"/>
      <x:c r="U3495" s="30" t="str">
        <x:v>Расхождений не обнаружено.</x:v>
      </x:c>
      <x:c r="V3495" s="87" t="str">
        <x:v>VERIFIED</x:v>
      </x:c>
      <x:c r="W3495" s="87" t="str">
        <x:v>Zadanie_FI11_15102025.pdf, стр. 8</x:v>
      </x:c>
      <x:c r="X3495" s="87"/>
      <x:c r="Y3495" s="87"/>
      <x:c r="Z3495" s="87"/>
      <x:c r="AA3495" s="87"/>
      <x:c r="AB3495" s="87"/>
      <x:c r="AC3495" s="87" t="str">
        <x:v>VIS-PHYS-OCT-005</x:v>
      </x:c>
      <x:c r="AD3495" s="87"/>
      <x:c r="AE3495" s="87"/>
      <x:c r="AF3495" s="87" t="str">
        <x:v>VIS-PHYS-OCT-005: 8</x:v>
      </x:c>
      <x:c r="AG3495" s="87" t="str">
        <x:v>RESOLVED</x:v>
      </x:c>
      <x:c r="AH3495" s="87" t="str">
        <x:v>CROP_VERIFIED; TASK_CROP_QA_APPROVED:USE_CONTEXT</x:v>
      </x:c>
      <x:c r="AI3495" s="30"/>
      <x:c r="AJ3495" s="87" t="str">
        <x:v>master</x:v>
      </x:c>
      <x:c r="AK3495" s="87" t="str">
        <x:v>master-v0.81</x:v>
      </x:c>
      <x:c r="AL3495" s="87" t="str">
        <x:v>statgrad_master_base_v0_81_final(2).xlsx</x:v>
      </x:c>
      <x:c r="AM3495" s="87" t="str">
        <x:v>PHYS_Oct_V1</x:v>
      </x:c>
      <x:c r="AN3495" s="87" t="n">
        <x:v>11</x:v>
      </x:c>
    </x:row>
    <x:row r="3496">
      <x:c r="A3496" s="87" t="n">
        <x:v>3495</x:v>
      </x:c>
      <x:c r="B3496" s="87" t="str">
        <x:v>OCT-PHYS-101-011</x:v>
      </x:c>
      <x:c r="C3496" s="87" t="str">
        <x:v>СтатГрад</x:v>
      </x:c>
      <x:c r="D3496" s="87" t="str">
        <x:v>Октябрь 2025</x:v>
      </x:c>
      <x:c r="E3496" s="87"/>
      <x:c r="F3496" s="87"/>
      <x:c r="G3496" s="87" t="str">
        <x:v>Физика</x:v>
      </x:c>
      <x:c r="H3496" s="87" t="n">
        <x:v>11</x:v>
      </x:c>
      <x:c r="I3496" s="87" t="str">
        <x:v>ТР №1</x:v>
      </x:c>
      <x:c r="J3496" s="87" t="str">
        <x:v>ФИ2510101</x:v>
      </x:c>
      <x:c r="K3496" s="87" t="n">
        <x:v>11</x:v>
      </x:c>
      <x:c r="L3496" s="87" t="str">
        <x:v>Электростатика</x:v>
      </x:c>
      <x:c r="M3496" s="30" t="str">
        <x:v>Модуль силы электростатического взаимодействия между двумя точечными
     заряженными телами был равен 8 мН. Расстояние между ними уменьшили
     в 3 раза, а заряд одного из тел уменьшили в 2 раза. Определите величину
     силы кулоновского взаимодействия тел в этом случае.
     Ответ: ___________________________ мН.</x:v>
      </x:c>
      <x:c r="N3496" s="30" t="str">
        <x:v>36</x:v>
      </x:c>
      <x:c r="O3496" s="30" t="str">
        <x:v>Использован закон Кулона F∝|q1q2|/r².</x:v>
      </x:c>
      <x:c r="P3496" s="30" t="str">
        <x:v>Использован закон Кулона F∝|q1q2|/r².</x:v>
      </x:c>
      <x:c r="Q3496" s="30"/>
      <x:c r="R3496" s="30" t="str">
        <x:v>Архивный фото-ключ</x:v>
      </x:c>
      <x:c r="S3496" s="30"/>
      <x:c r="T3496" s="30"/>
      <x:c r="U3496" s="30" t="str">
        <x:v>Расхождений не обнаружено.</x:v>
      </x:c>
      <x:c r="V3496" s="87" t="str">
        <x:v>VERIFIED</x:v>
      </x:c>
      <x:c r="W3496" s="87" t="str">
        <x:v>Zadanie_FI11_15102025.pdf, стр. 8</x:v>
      </x:c>
      <x:c r="X3496" s="87"/>
      <x:c r="Y3496" s="87"/>
      <x:c r="Z3496" s="87"/>
      <x:c r="AA3496" s="87"/>
      <x:c r="AB3496" s="87"/>
      <x:c r="AC3496" s="87" t="str">
        <x:v>VIS-PHYS-OCT-005</x:v>
      </x:c>
      <x:c r="AD3496" s="87"/>
      <x:c r="AE3496" s="87"/>
      <x:c r="AF3496" s="87" t="str">
        <x:v>VIS-PHYS-OCT-005: 8</x:v>
      </x:c>
      <x:c r="AG3496" s="87" t="str">
        <x:v>RESOLVED</x:v>
      </x:c>
      <x:c r="AH3496" s="87" t="str">
        <x:v>CROP_VERIFIED</x:v>
      </x:c>
      <x:c r="AI3496" s="30"/>
      <x:c r="AJ3496" s="87" t="str">
        <x:v>master</x:v>
      </x:c>
      <x:c r="AK3496" s="87" t="str">
        <x:v>master-v0.81</x:v>
      </x:c>
      <x:c r="AL3496" s="87" t="str">
        <x:v>statgrad_master_base_v0_81_final(2).xlsx</x:v>
      </x:c>
      <x:c r="AM3496" s="87" t="str">
        <x:v>PHYS_Oct_V1</x:v>
      </x:c>
      <x:c r="AN3496" s="87" t="n">
        <x:v>12</x:v>
      </x:c>
    </x:row>
    <x:row r="3497">
      <x:c r="A3497" s="87" t="n">
        <x:v>3496</x:v>
      </x:c>
      <x:c r="B3497" s="87" t="str">
        <x:v>OCT-PHYS-101-012</x:v>
      </x:c>
      <x:c r="C3497" s="87" t="str">
        <x:v>СтатГрад</x:v>
      </x:c>
      <x:c r="D3497" s="87" t="str">
        <x:v>Октябрь 2025</x:v>
      </x:c>
      <x:c r="E3497" s="87"/>
      <x:c r="F3497" s="87"/>
      <x:c r="G3497" s="87" t="str">
        <x:v>Физика</x:v>
      </x:c>
      <x:c r="H3497" s="87" t="n">
        <x:v>11</x:v>
      </x:c>
      <x:c r="I3497" s="87" t="str">
        <x:v>ТР №1</x:v>
      </x:c>
      <x:c r="J3497" s="87" t="str">
        <x:v>ФИ2510101</x:v>
      </x:c>
      <x:c r="K3497" s="87" t="n">
        <x:v>12</x:v>
      </x:c>
      <x:c r="L3497" s="87" t="str">
        <x:v>Электромагнитная индукция</x:v>
      </x:c>
      <x:c r="M3497" s="30" t="str">
        <x:v>При скорости V 1 поступательного движения прямолинейного проводника
     в постоянном однородном магнитном поле между концами проводника
     возникает разность потенциалов U. При движении этого проводника в этом
     же магнитном поле, в той же плоскости и в том же направлении со скоростью
     V 2 разность потенциалов между концами проводника уменьшилась в 1,6 раза.
     Чему равно отношение скоростей V 1 /V 2 ?</x:v>
      </x:c>
      <x:c r="N3497" s="30" t="str">
        <x:v>1,6</x:v>
      </x:c>
      <x:c r="O3497" s="30" t="str">
        <x:v>ЭДС движения пропорциональна скорости проводника при неизменных B, длине и ориентации.</x:v>
      </x:c>
      <x:c r="P3497" s="30" t="str">
        <x:v>ЭДС движения пропорциональна скорости проводника при неизменных B, длине и ориентации.</x:v>
      </x:c>
      <x:c r="Q3497" s="30"/>
      <x:c r="R3497" s="30" t="str">
        <x:v>Архивный фото-ключ</x:v>
      </x:c>
      <x:c r="S3497" s="30"/>
      <x:c r="T3497" s="30"/>
      <x:c r="U3497" s="30" t="str">
        <x:v>Расхождений не обнаружено.</x:v>
      </x:c>
      <x:c r="V3497" s="87" t="str">
        <x:v>VERIFIED</x:v>
      </x:c>
      <x:c r="W3497" s="87" t="str">
        <x:v>Zadanie_FI11_15102025.pdf, стр. 9</x:v>
      </x:c>
      <x:c r="X3497" s="87"/>
      <x:c r="Y3497" s="87"/>
      <x:c r="Z3497" s="87"/>
      <x:c r="AA3497" s="87"/>
      <x:c r="AB3497" s="87"/>
      <x:c r="AC3497" s="87" t="str">
        <x:v>VIS-PHYS-OCT-006</x:v>
      </x:c>
      <x:c r="AD3497" s="87"/>
      <x:c r="AE3497" s="87"/>
      <x:c r="AF3497" s="87" t="str">
        <x:v>VIS-PHYS-OCT-006: 9</x:v>
      </x:c>
      <x:c r="AG3497" s="87" t="str">
        <x:v>RESOLVED</x:v>
      </x:c>
      <x:c r="AH3497" s="87" t="str">
        <x:v>CROP_VERIFIED</x:v>
      </x:c>
      <x:c r="AI3497" s="30"/>
      <x:c r="AJ3497" s="87" t="str">
        <x:v>master</x:v>
      </x:c>
      <x:c r="AK3497" s="87" t="str">
        <x:v>master-v0.81</x:v>
      </x:c>
      <x:c r="AL3497" s="87" t="str">
        <x:v>statgrad_master_base_v0_81_final(2).xlsx</x:v>
      </x:c>
      <x:c r="AM3497" s="87" t="str">
        <x:v>PHYS_Oct_V1</x:v>
      </x:c>
      <x:c r="AN3497" s="87" t="n">
        <x:v>13</x:v>
      </x:c>
    </x:row>
    <x:row r="3498">
      <x:c r="A3498" s="87" t="n">
        <x:v>3497</x:v>
      </x:c>
      <x:c r="B3498" s="87" t="str">
        <x:v>OCT-PHYS-101-013</x:v>
      </x:c>
      <x:c r="C3498" s="87" t="str">
        <x:v>СтатГрад</x:v>
      </x:c>
      <x:c r="D3498" s="87" t="str">
        <x:v>Октябрь 2025</x:v>
      </x:c>
      <x:c r="E3498" s="87"/>
      <x:c r="F3498" s="87"/>
      <x:c r="G3498" s="87" t="str">
        <x:v>Физика</x:v>
      </x:c>
      <x:c r="H3498" s="87" t="n">
        <x:v>11</x:v>
      </x:c>
      <x:c r="I3498" s="87" t="str">
        <x:v>ТР №1</x:v>
      </x:c>
      <x:c r="J3498" s="87" t="str">
        <x:v>ФИ2510101</x:v>
      </x:c>
      <x:c r="K3498" s="87" t="n">
        <x:v>13</x:v>
      </x:c>
      <x:c r="L3498" s="87" t="str">
        <x:v>Геометрическая оптика</x:v>
      </x:c>
      <x:c r="M3498" s="30" t="str">
        <x:v>Луч света падает на плоское зеркало. Угол между падающим и отражённым
     лучами равен 45°. Чему равен угол между отражённым лучом и зеркалом?</x:v>
      </x:c>
      <x:c r="N3498" s="30" t="str">
        <x:v>67,5</x:v>
      </x:c>
      <x:c r="O3498" s="30" t="str">
        <x:v>По закону отражения угол между лучами равен удвоенному углу падения; затем найден угол с плоскостью зеркала.</x:v>
      </x:c>
      <x:c r="P3498" s="30" t="str">
        <x:v>По закону отражения угол между лучами равен удвоенному углу падения; затем найден угол с плоскостью зеркала.</x:v>
      </x:c>
      <x:c r="Q3498" s="30"/>
      <x:c r="R3498" s="30" t="str">
        <x:v>Архивный фото-ключ</x:v>
      </x:c>
      <x:c r="S3498" s="30"/>
      <x:c r="T3498" s="30"/>
      <x:c r="U3498" s="30" t="str">
        <x:v>Расхождений не обнаружено.</x:v>
      </x:c>
      <x:c r="V3498" s="87" t="str">
        <x:v>VERIFIED</x:v>
      </x:c>
      <x:c r="W3498" s="87" t="str">
        <x:v>Zadanie_FI11_15102025.pdf, стр. 9</x:v>
      </x:c>
      <x:c r="X3498" s="87"/>
      <x:c r="Y3498" s="87"/>
      <x:c r="Z3498" s="87"/>
      <x:c r="AA3498" s="87"/>
      <x:c r="AB3498" s="87"/>
      <x:c r="AC3498" s="87" t="str">
        <x:v>VIS-PHYS-OCT-006</x:v>
      </x:c>
      <x:c r="AD3498" s="87"/>
      <x:c r="AE3498" s="87"/>
      <x:c r="AF3498" s="87" t="str">
        <x:v>VIS-PHYS-OCT-006: 9</x:v>
      </x:c>
      <x:c r="AG3498" s="87" t="str">
        <x:v>RESOLVED</x:v>
      </x:c>
      <x:c r="AH3498" s="87" t="str">
        <x:v>CROP_VERIFIED</x:v>
      </x:c>
      <x:c r="AI3498" s="30"/>
      <x:c r="AJ3498" s="87" t="str">
        <x:v>master</x:v>
      </x:c>
      <x:c r="AK3498" s="87" t="str">
        <x:v>master-v0.81</x:v>
      </x:c>
      <x:c r="AL3498" s="87" t="str">
        <x:v>statgrad_master_base_v0_81_final(2).xlsx</x:v>
      </x:c>
      <x:c r="AM3498" s="87" t="str">
        <x:v>PHYS_Oct_V1</x:v>
      </x:c>
      <x:c r="AN3498" s="87" t="n">
        <x:v>14</x:v>
      </x:c>
    </x:row>
    <x:row r="3499">
      <x:c r="A3499" s="87" t="n">
        <x:v>3498</x:v>
      </x:c>
      <x:c r="B3499" s="87" t="str">
        <x:v>OCT-PHYS-101-014</x:v>
      </x:c>
      <x:c r="C3499" s="87" t="str">
        <x:v>СтатГрад</x:v>
      </x:c>
      <x:c r="D3499" s="87" t="str">
        <x:v>Октябрь 2025</x:v>
      </x:c>
      <x:c r="E3499" s="87"/>
      <x:c r="F3499" s="87"/>
      <x:c r="G3499" s="87" t="str">
        <x:v>Физика</x:v>
      </x:c>
      <x:c r="H3499" s="87" t="n">
        <x:v>11</x:v>
      </x:c>
      <x:c r="I3499" s="87" t="str">
        <x:v>ТР №1</x:v>
      </x:c>
      <x:c r="J3499" s="87" t="str">
        <x:v>ФИ2510101</x:v>
      </x:c>
      <x:c r="K3499" s="87" t="n">
        <x:v>14</x:v>
      </x:c>
      <x:c r="L3499" s="87" t="str">
        <x:v>Переходные процессы в RC-цепи</x:v>
      </x:c>
      <x:c r="M3499" s="30" t="str">
        <x:v>Незаряженный конденсатор подключён к батарейке последовательно
     с резистором сопротивлением R = 40 Ом (см. рисунок). В момент времени
     t = 0 ключ К замыкают. Результаты измерений силы тока I в цепи
     в зависимости от времени t представлены в таблице.
                       t, с      0   1        2     3      4     5      6
                       I, мА     150 55       20    7,5    2,5   1      0,5
     Внутренним сопротивлением батарейки, сопротивлением проводов и ключа
     можно пренебречь.
     Выберите все верные утверждения о процессах, наблюдаемых в опыте.
     В ответе запишите их номера.
     1) Сила тока в резисторе в процессе наблюдения увеличивается.
     2) Через 6 с после замыкания ключа конденсатор полностью зарядился.
     3) ЭДС источника тока равна 6 В.
     4) Энергия конденсатора в процессе наблюдения увеличивалась.
     5) В момент времени t = 3 с напряжение на конденсаторе равно 5 В.</x:v>
      </x:c>
      <x:c r="N3499" s="30" t="str">
        <x:v>34</x:v>
      </x:c>
      <x:c r="O3499" s="30" t="str">
        <x:v>По таблице зарядки RC-цепи проверены начальный ток, ЭДС источника и характер изменения энергии/заряда.</x:v>
      </x:c>
      <x:c r="P3499" s="30" t="str">
        <x:v>По таблице зарядки RC-цепи проверены начальный ток, ЭДС источника и характер изменения энергии/заряда.</x:v>
      </x:c>
      <x:c r="Q3499" s="30"/>
      <x:c r="R3499" s="30" t="str">
        <x:v>Официальная таблица ответов</x:v>
      </x:c>
      <x:c r="S3499" s="30"/>
      <x:c r="T3499" s="30"/>
      <x:c r="U3499" s="30" t="str">
        <x:v>Расхождений не обнаружено.</x:v>
      </x:c>
      <x:c r="V3499" s="87" t="str">
        <x:v>VERIFIED</x:v>
      </x:c>
      <x:c r="W3499" s="87" t="str">
        <x:v>Zadanie_FI11_15102025.pdf, стр. 9</x:v>
      </x:c>
      <x:c r="X3499" s="87"/>
      <x:c r="Y3499" s="87"/>
      <x:c r="Z3499" s="87"/>
      <x:c r="AA3499" s="87"/>
      <x:c r="AB3499" s="87"/>
      <x:c r="AC3499" s="87" t="str">
        <x:v>VIS-PHYS-OCT-006</x:v>
      </x:c>
      <x:c r="AD3499" s="87"/>
      <x:c r="AE3499" s="87"/>
      <x:c r="AF3499" s="87" t="str">
        <x:v>VIS-PHYS-OCT-006: 9</x:v>
      </x:c>
      <x:c r="AG3499" s="87" t="str">
        <x:v>RESOLVED</x:v>
      </x:c>
      <x:c r="AH3499" s="87" t="str">
        <x:v>CROP_VERIFIED; TASK_CROP_QA_APPROVED:USE_TIGHT</x:v>
      </x:c>
      <x:c r="AI3499" s="30"/>
      <x:c r="AJ3499" s="87" t="str">
        <x:v>master</x:v>
      </x:c>
      <x:c r="AK3499" s="87" t="str">
        <x:v>master-v0.81</x:v>
      </x:c>
      <x:c r="AL3499" s="87" t="str">
        <x:v>statgrad_master_base_v0_81_final(2).xlsx</x:v>
      </x:c>
      <x:c r="AM3499" s="87" t="str">
        <x:v>PHYS_Oct_V1</x:v>
      </x:c>
      <x:c r="AN3499" s="87" t="n">
        <x:v>15</x:v>
      </x:c>
    </x:row>
    <x:row r="3500">
      <x:c r="A3500" s="87" t="n">
        <x:v>3499</x:v>
      </x:c>
      <x:c r="B3500" s="87" t="str">
        <x:v>OCT-PHYS-101-015</x:v>
      </x:c>
      <x:c r="C3500" s="87" t="str">
        <x:v>СтатГрад</x:v>
      </x:c>
      <x:c r="D3500" s="87" t="str">
        <x:v>Октябрь 2025</x:v>
      </x:c>
      <x:c r="E3500" s="87"/>
      <x:c r="F3500" s="87"/>
      <x:c r="G3500" s="87" t="str">
        <x:v>Физика</x:v>
      </x:c>
      <x:c r="H3500" s="87" t="n">
        <x:v>11</x:v>
      </x:c>
      <x:c r="I3500" s="87" t="str">
        <x:v>ТР №1</x:v>
      </x:c>
      <x:c r="J3500" s="87" t="str">
        <x:v>ФИ2510101</x:v>
      </x:c>
      <x:c r="K3500" s="87" t="n">
        <x:v>15</x:v>
      </x:c>
      <x:c r="L3500" s="87" t="str">
        <x:v>Постоянный ток</x:v>
      </x:c>
      <x:c r="M3500" s="30" t="str">
        <x:v>По цилиндрической проволоке течёт электрический ток. Как изменятся при
     уменьшении длины проволоки в 9 раз и увеличении силы тока в 3 раза
     следующие величины: тепловая мощность, выделяющаяся в проволоке, и её
     электрическое сопротивление?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Тепловая мощность, выделяющаяся в                 Электрическое сопротивление
                 проволоке                                     проволоки</x:v>
      </x:c>
      <x:c r="N3500" s="30" t="str">
        <x:v>32</x:v>
      </x:c>
      <x:c r="O3500" s="30" t="str">
        <x:v>Сопротивление R=ρl/S и мощность P=I²R либо P=U²/R пересчитаны после изменения параметров.</x:v>
      </x:c>
      <x:c r="P3500" s="30" t="str">
        <x:v>Сопротивление R=ρl/S и мощность P=I²R либо P=U²/R пересчитаны после изменения параметров.</x:v>
      </x:c>
      <x:c r="Q3500" s="30"/>
      <x:c r="R3500" s="30" t="str">
        <x:v>Архивный фото-ключ</x:v>
      </x:c>
      <x:c r="S3500" s="30"/>
      <x:c r="T3500" s="30"/>
      <x:c r="U3500" s="30" t="str">
        <x:v>Расхождений не обнаружено.</x:v>
      </x:c>
      <x:c r="V3500" s="87" t="str">
        <x:v>VERIFIED</x:v>
      </x:c>
      <x:c r="W3500" s="87" t="str">
        <x:v>Zadanie_FI11_15102025.pdf, стр. 10</x:v>
      </x:c>
      <x:c r="X3500" s="87"/>
      <x:c r="Y3500" s="87"/>
      <x:c r="Z3500" s="87"/>
      <x:c r="AA3500" s="87"/>
      <x:c r="AB3500" s="87"/>
      <x:c r="AC3500" s="87" t="str">
        <x:v>VIS-PHYS-OCT-007</x:v>
      </x:c>
      <x:c r="AD3500" s="87"/>
      <x:c r="AE3500" s="87"/>
      <x:c r="AF3500" s="87" t="str">
        <x:v>VIS-PHYS-OCT-007: 10</x:v>
      </x:c>
      <x:c r="AG3500" s="87" t="str">
        <x:v>RESOLVED</x:v>
      </x:c>
      <x:c r="AH3500" s="87" t="str">
        <x:v>CROP_VERIFIED</x:v>
      </x:c>
      <x:c r="AI3500" s="30"/>
      <x:c r="AJ3500" s="87" t="str">
        <x:v>master</x:v>
      </x:c>
      <x:c r="AK3500" s="87" t="str">
        <x:v>master-v0.81</x:v>
      </x:c>
      <x:c r="AL3500" s="87" t="str">
        <x:v>statgrad_master_base_v0_81_final(2).xlsx</x:v>
      </x:c>
      <x:c r="AM3500" s="87" t="str">
        <x:v>PHYS_Oct_V1</x:v>
      </x:c>
      <x:c r="AN3500" s="87" t="n">
        <x:v>16</x:v>
      </x:c>
    </x:row>
    <x:row r="3501">
      <x:c r="A3501" s="87" t="n">
        <x:v>3500</x:v>
      </x:c>
      <x:c r="B3501" s="87" t="str">
        <x:v>OCT-PHYS-101-016</x:v>
      </x:c>
      <x:c r="C3501" s="87" t="str">
        <x:v>СтатГрад</x:v>
      </x:c>
      <x:c r="D3501" s="87" t="str">
        <x:v>Октябрь 2025</x:v>
      </x:c>
      <x:c r="E3501" s="87"/>
      <x:c r="F3501" s="87"/>
      <x:c r="G3501" s="87" t="str">
        <x:v>Физика</x:v>
      </x:c>
      <x:c r="H3501" s="87" t="n">
        <x:v>11</x:v>
      </x:c>
      <x:c r="I3501" s="87" t="str">
        <x:v>ТР №1</x:v>
      </x:c>
      <x:c r="J3501" s="87" t="str">
        <x:v>ФИ2510101</x:v>
      </x:c>
      <x:c r="K3501" s="87" t="n">
        <x:v>16</x:v>
      </x:c>
      <x:c r="L3501" s="87" t="str">
        <x:v>Ядерная физика</x:v>
      </x:c>
      <x:c r="M3501" s="30" t="str">
        <x:v>Ядро бора может захватить альфа-частицу, в результате чего происходит
     ядерная реакция 42 He+115B→ AZ X + 01n с образованием ядра химического элемента
     Z X . Чему равен заряд образовавшегося ядра?
     A</x:v>
      </x:c>
      <x:c r="N3501" s="30" t="str">
        <x:v>7</x:v>
      </x:c>
      <x:c r="O3501" s="30" t="str">
        <x:v>Применены законы сохранения массового и зарядового чисел в ядерной реакции.</x:v>
      </x:c>
      <x:c r="P3501" s="30" t="str">
        <x:v>Применены законы сохранения массового и зарядового чисел в ядерной реакции.</x:v>
      </x:c>
      <x:c r="Q3501" s="30"/>
      <x:c r="R3501" s="30" t="str">
        <x:v>Архивный фото-ключ</x:v>
      </x:c>
      <x:c r="S3501" s="30"/>
      <x:c r="T3501" s="30"/>
      <x:c r="U3501" s="30" t="str">
        <x:v>Расхождений не обнаружено.</x:v>
      </x:c>
      <x:c r="V3501" s="87" t="str">
        <x:v>VERIFIED</x:v>
      </x:c>
      <x:c r="W3501" s="87" t="str">
        <x:v>Zadanie_FI11_15102025.pdf, стр. 10</x:v>
      </x:c>
      <x:c r="X3501" s="87"/>
      <x:c r="Y3501" s="87"/>
      <x:c r="Z3501" s="87"/>
      <x:c r="AA3501" s="87"/>
      <x:c r="AB3501" s="87"/>
      <x:c r="AC3501" s="87" t="str">
        <x:v>VIS-PHYS-OCT-007</x:v>
      </x:c>
      <x:c r="AD3501" s="87"/>
      <x:c r="AE3501" s="87"/>
      <x:c r="AF3501" s="87" t="str">
        <x:v>VIS-PHYS-OCT-007: 10</x:v>
      </x:c>
      <x:c r="AG3501" s="87" t="str">
        <x:v>RESOLVED</x:v>
      </x:c>
      <x:c r="AH3501" s="87" t="str">
        <x:v>CROP_VERIFIED</x:v>
      </x:c>
      <x:c r="AI3501" s="30"/>
      <x:c r="AJ3501" s="87" t="str">
        <x:v>master</x:v>
      </x:c>
      <x:c r="AK3501" s="87" t="str">
        <x:v>master-v0.81</x:v>
      </x:c>
      <x:c r="AL3501" s="87" t="str">
        <x:v>statgrad_master_base_v0_81_final(2).xlsx</x:v>
      </x:c>
      <x:c r="AM3501" s="87" t="str">
        <x:v>PHYS_Oct_V1</x:v>
      </x:c>
      <x:c r="AN3501" s="87" t="n">
        <x:v>17</x:v>
      </x:c>
    </x:row>
    <x:row r="3502">
      <x:c r="A3502" s="87" t="n">
        <x:v>3501</x:v>
      </x:c>
      <x:c r="B3502" s="87" t="str">
        <x:v>OCT-PHYS-101-017</x:v>
      </x:c>
      <x:c r="C3502" s="87" t="str">
        <x:v>СтатГрад</x:v>
      </x:c>
      <x:c r="D3502" s="87" t="str">
        <x:v>Октябрь 2025</x:v>
      </x:c>
      <x:c r="E3502" s="87"/>
      <x:c r="F3502" s="87"/>
      <x:c r="G3502" s="87" t="str">
        <x:v>Физика</x:v>
      </x:c>
      <x:c r="H3502" s="87" t="n">
        <x:v>11</x:v>
      </x:c>
      <x:c r="I3502" s="87" t="str">
        <x:v>ТР №1</x:v>
      </x:c>
      <x:c r="J3502" s="87" t="str">
        <x:v>ФИ2510101</x:v>
      </x:c>
      <x:c r="K3502" s="87" t="n">
        <x:v>17</x:v>
      </x:c>
      <x:c r="L3502" s="87" t="str">
        <x:v>Фотоэффект</x:v>
      </x:c>
      <x:c r="M3502" s="30" t="str">
        <x:v>При исследовании зависимости максимальной кинетической энергии
     фотоэлектронов от частоты падающего света фотоэлемент освещали через
     светофильтры. В первой серии опытов использовали светофильтр,
     пропускающий только синий свет, а во второй – только зелёный. В каждом
     опыте наблюдали явление фотоэффекта и измеряли запирающее напряжение.
     Как изменятся частота световой волны и модуль запирающего напряжения
     при переходе от первой серии опытов ко второй?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Частота волны света,                    Модуль запирающего напряжения
          падающего на фотоэлемент</x:v>
      </x:c>
      <x:c r="N3502" s="30" t="str">
        <x:v>22</x:v>
      </x:c>
      <x:c r="O3502" s="30" t="str">
        <x:v>Использовано уравнение Эйнштейна для фотоэффекта и соотношение ν=c/λ.</x:v>
      </x:c>
      <x:c r="P3502" s="30" t="str">
        <x:v>Использовано уравнение Эйнштейна для фотоэффекта и соотношение ν=c/λ.</x:v>
      </x:c>
      <x:c r="Q3502" s="30"/>
      <x:c r="R3502" s="30" t="str">
        <x:v>Архивный фото-ключ</x:v>
      </x:c>
      <x:c r="S3502" s="30"/>
      <x:c r="T3502" s="30"/>
      <x:c r="U3502" s="30" t="str">
        <x:v>Расхождений не обнаружено.</x:v>
      </x:c>
      <x:c r="V3502" s="87" t="str">
        <x:v>VERIFIED</x:v>
      </x:c>
      <x:c r="W3502" s="87" t="str">
        <x:v>Zadanie_FI11_15102025.pdf, стр. 10</x:v>
      </x:c>
      <x:c r="X3502" s="87"/>
      <x:c r="Y3502" s="87"/>
      <x:c r="Z3502" s="87"/>
      <x:c r="AA3502" s="87"/>
      <x:c r="AB3502" s="87"/>
      <x:c r="AC3502" s="87" t="str">
        <x:v>VIS-PHYS-OCT-007</x:v>
      </x:c>
      <x:c r="AD3502" s="87"/>
      <x:c r="AE3502" s="87"/>
      <x:c r="AF3502" s="87" t="str">
        <x:v>VIS-PHYS-OCT-007: 10</x:v>
      </x:c>
      <x:c r="AG3502" s="87" t="str">
        <x:v>RESOLVED</x:v>
      </x:c>
      <x:c r="AH3502" s="87" t="str">
        <x:v>CROP_VERIFIED; TASK_CROP_NO_CROP_NEEDED</x:v>
      </x:c>
      <x:c r="AI3502" s="30"/>
      <x:c r="AJ3502" s="87" t="str">
        <x:v>master</x:v>
      </x:c>
      <x:c r="AK3502" s="87" t="str">
        <x:v>master-v0.81</x:v>
      </x:c>
      <x:c r="AL3502" s="87" t="str">
        <x:v>statgrad_master_base_v0_81_final(2).xlsx</x:v>
      </x:c>
      <x:c r="AM3502" s="87" t="str">
        <x:v>PHYS_Oct_V1</x:v>
      </x:c>
      <x:c r="AN3502" s="87" t="n">
        <x:v>18</x:v>
      </x:c>
    </x:row>
    <x:row r="3503">
      <x:c r="A3503" s="87" t="n">
        <x:v>3502</x:v>
      </x:c>
      <x:c r="B3503" s="87" t="str">
        <x:v>OCT-PHYS-101-018</x:v>
      </x:c>
      <x:c r="C3503" s="87" t="str">
        <x:v>СтатГрад</x:v>
      </x:c>
      <x:c r="D3503" s="87" t="str">
        <x:v>Октябрь 2025</x:v>
      </x:c>
      <x:c r="E3503" s="87"/>
      <x:c r="F3503" s="87"/>
      <x:c r="G3503" s="87" t="str">
        <x:v>Физика</x:v>
      </x:c>
      <x:c r="H3503" s="87" t="n">
        <x:v>11</x:v>
      </x:c>
      <x:c r="I3503" s="87" t="str">
        <x:v>ТР №1</x:v>
      </x:c>
      <x:c r="J3503" s="87" t="str">
        <x:v>ФИ2510101</x:v>
      </x:c>
      <x:c r="K3503" s="87" t="n">
        <x:v>18</x:v>
      </x:c>
      <x:c r="L3503" s="87" t="str">
        <x:v>Физические закономерности</x:v>
      </x:c>
      <x:c r="M3503" s="30" t="str">
        <x:v>Выберите все верные утверждения о физических явлениях, величинах
     и закономерностях. Запишите цифры, под которыми они указаны.
     1) При свободном падении камня на землю его кинетическая энергия
        уменьшается.
     2) Испарение    жидкости   происходит       при    любых     температурах,
        соответствующих жидкому состоянию данного вещества.
     3) При увеличении напряжения на резисторе сила тока в нём увеличивается.
     4) Если неподвижный магнит находится в катушке, то в ней возникает ЭДС
        индукции.
     5) Нейтральный атом алюминия 2713 Al содержит 27 электронов.</x:v>
      </x:c>
      <x:c r="N3503" s="30" t="str">
        <x:v>23</x:v>
      </x:c>
      <x:c r="O3503" s="30" t="str">
        <x:v>Каждое утверждение проверено по соответствующему физическому закону или определению.</x:v>
      </x:c>
      <x:c r="P3503" s="30" t="str">
        <x:v>Каждое утверждение проверено по соответствующему физическому закону или определению.</x:v>
      </x:c>
      <x:c r="Q3503" s="30"/>
      <x:c r="R3503" s="30" t="str">
        <x:v>Официальная таблица ответов</x:v>
      </x:c>
      <x:c r="S3503" s="30"/>
      <x:c r="T3503" s="30"/>
      <x:c r="U3503" s="30" t="str">
        <x:v>Расхождений не обнаружено.</x:v>
      </x:c>
      <x:c r="V3503" s="87" t="str">
        <x:v>VERIFIED</x:v>
      </x:c>
      <x:c r="W3503" s="87" t="str">
        <x:v>Zadanie_FI11_15102025.pdf, стр. 11</x:v>
      </x:c>
      <x:c r="X3503" s="87"/>
      <x:c r="Y3503" s="87"/>
      <x:c r="Z3503" s="87"/>
      <x:c r="AA3503" s="87"/>
      <x:c r="AB3503" s="87"/>
      <x:c r="AC3503" s="87" t="str">
        <x:v>VIS-PHYS-OCT-008</x:v>
      </x:c>
      <x:c r="AD3503" s="87"/>
      <x:c r="AE3503" s="87"/>
      <x:c r="AF3503" s="87" t="str">
        <x:v>VIS-PHYS-OCT-008: 11</x:v>
      </x:c>
      <x:c r="AG3503" s="87" t="str">
        <x:v>RESOLVED</x:v>
      </x:c>
      <x:c r="AH3503" s="87" t="str">
        <x:v>CROP_VERIFIED</x:v>
      </x:c>
      <x:c r="AI3503" s="30"/>
      <x:c r="AJ3503" s="87" t="str">
        <x:v>master</x:v>
      </x:c>
      <x:c r="AK3503" s="87" t="str">
        <x:v>master-v0.81</x:v>
      </x:c>
      <x:c r="AL3503" s="87" t="str">
        <x:v>statgrad_master_base_v0_81_final(2).xlsx</x:v>
      </x:c>
      <x:c r="AM3503" s="87" t="str">
        <x:v>PHYS_Oct_V1</x:v>
      </x:c>
      <x:c r="AN3503" s="87" t="n">
        <x:v>19</x:v>
      </x:c>
    </x:row>
    <x:row r="3504">
      <x:c r="A3504" s="87" t="n">
        <x:v>3503</x:v>
      </x:c>
      <x:c r="B3504" s="87" t="str">
        <x:v>OCT-PHYS-101-019</x:v>
      </x:c>
      <x:c r="C3504" s="87" t="str">
        <x:v>СтатГрад</x:v>
      </x:c>
      <x:c r="D3504" s="87" t="str">
        <x:v>Октябрь 2025</x:v>
      </x:c>
      <x:c r="E3504" s="87"/>
      <x:c r="F3504" s="87"/>
      <x:c r="G3504" s="87" t="str">
        <x:v>Физика</x:v>
      </x:c>
      <x:c r="H3504" s="87" t="n">
        <x:v>11</x:v>
      </x:c>
      <x:c r="I3504" s="87" t="str">
        <x:v>ТР №1</x:v>
      </x:c>
      <x:c r="J3504" s="87" t="str">
        <x:v>ФИ2510101</x:v>
      </x:c>
      <x:c r="K3504" s="87" t="n">
        <x:v>19</x:v>
      </x:c>
      <x:c r="L3504" s="87" t="str">
        <x:v>Эксперимент. Измерения</x:v>
      </x:c>
      <x:c r="M3504" s="30" t="str">
        <x:v>Ученик измерял относительную влажность воздуха
     с помощью психрометра – этот прибор состоит из двух
     термометров, колбочка одного из которых обёрнута                      5   0       5   0
     влажной тканью; см. фотографию. Абсолютная
                                                                               °С          °С
                                                                           4   0       4   0
     погрешность измерения температуры равна цене                          3   0       3   0
     деления термометра. Запишите в ответ величину                         2   0       2   0
     показаний «сухого» термометра с учётом погрешности
                                                                                       1   0
     измерений.
                                                                           1   0
                                                                           0   0       0   0
                                                                           1   0       1   0</x:v>
      </x:c>
      <x:c r="N3504" s="30" t="str">
        <x:v>(23 ± 1)</x:v>
      </x:c>
      <x:c r="O3504" s="30" t="str">
        <x:v>Показание прибора считано по полной фотографии; абсолютная погрешность равна цене деления.</x:v>
      </x:c>
      <x:c r="P3504" s="30" t="str">
        <x:v>Показание прибора считано по полной фотографии; абсолютная погрешность равна цене деления.</x:v>
      </x:c>
      <x:c r="Q3504" s="30"/>
      <x:c r="R3504" s="30" t="str">
        <x:v>Официальная таблица ответов</x:v>
      </x:c>
      <x:c r="S3504" s="30"/>
      <x:c r="T3504" s="30"/>
      <x:c r="U3504" s="30" t="str">
        <x:v>Расхождений не обнаружено.</x:v>
      </x:c>
      <x:c r="V3504" s="87" t="str">
        <x:v>VERIFIED</x:v>
      </x:c>
      <x:c r="W3504" s="87" t="str">
        <x:v>Zadanie_FI11_15102025.pdf, стр. 11</x:v>
      </x:c>
      <x:c r="X3504" s="87"/>
      <x:c r="Y3504" s="87"/>
      <x:c r="Z3504" s="87"/>
      <x:c r="AA3504" s="87"/>
      <x:c r="AB3504" s="87"/>
      <x:c r="AC3504" s="87" t="str">
        <x:v>VIS-PHYS-OCT-008</x:v>
      </x:c>
      <x:c r="AD3504" s="87"/>
      <x:c r="AE3504" s="87"/>
      <x:c r="AF3504" s="87" t="str">
        <x:v>VIS-PHYS-OCT-008: 11</x:v>
      </x:c>
      <x:c r="AG3504" s="87" t="str">
        <x:v>RESOLVED</x:v>
      </x:c>
      <x:c r="AH3504" s="87" t="str">
        <x:v>CROP_VERIFIED; TASK_CROP_QA_APPROVED:USE_TIGHT</x:v>
      </x:c>
      <x:c r="AI3504" s="30"/>
      <x:c r="AJ3504" s="87" t="str">
        <x:v>master</x:v>
      </x:c>
      <x:c r="AK3504" s="87" t="str">
        <x:v>master-v0.81</x:v>
      </x:c>
      <x:c r="AL3504" s="87" t="str">
        <x:v>statgrad_master_base_v0_81_final(2).xlsx</x:v>
      </x:c>
      <x:c r="AM3504" s="87" t="str">
        <x:v>PHYS_Oct_V1</x:v>
      </x:c>
      <x:c r="AN3504" s="87" t="n">
        <x:v>20</x:v>
      </x:c>
    </x:row>
    <x:row r="3505">
      <x:c r="A3505" s="87" t="n">
        <x:v>3504</x:v>
      </x:c>
      <x:c r="B3505" s="87" t="str">
        <x:v>OCT-PHYS-101-020</x:v>
      </x:c>
      <x:c r="C3505" s="87" t="str">
        <x:v>СтатГрад</x:v>
      </x:c>
      <x:c r="D3505" s="87" t="str">
        <x:v>Октябрь 2025</x:v>
      </x:c>
      <x:c r="E3505" s="87"/>
      <x:c r="F3505" s="87"/>
      <x:c r="G3505" s="87" t="str">
        <x:v>Физика</x:v>
      </x:c>
      <x:c r="H3505" s="87" t="n">
        <x:v>11</x:v>
      </x:c>
      <x:c r="I3505" s="87" t="str">
        <x:v>ТР №1</x:v>
      </x:c>
      <x:c r="J3505" s="87" t="str">
        <x:v>ФИ2510101</x:v>
      </x:c>
      <x:c r="K3505" s="87" t="n">
        <x:v>20</x:v>
      </x:c>
      <x:c r="L3505" s="87" t="str">
        <x:v>Экспериментальный метод</x:v>
      </x:c>
      <x:c r="M3505" s="30" t="str">
        <x:v>Необходимо экспериментально изучить свойства дифракционного
     спектрометра. В распоряжении экспериментатора имеются спектрометры,
     состоящие из источника света (светодиода), дифракционной решётки и
     экрана. Параметры этих приборов приведены в таблице. Какие два
     спектрометра нужно использовать для того, чтобы на опыте обнаружить
     зависимость расстояния между первыми дифракционными максимумами
     от длины волны света?
     № спектрометра       Светодиод          Количество                    Расстояние
                                            штрихов на мм              от дифракционной
                                              в решётке                решётки до экрана
              1            Красный                50                           2м
              2            Зелёный               100                           3м
              3             Синий                 50                           2м
              4            Красный               200                           3м
              5            Жёлтый                100                          1,5 м
     В ответе запишите номера выбранных спектрометров.</x:v>
      </x:c>
      <x:c r="N3505" s="30" t="str">
        <x:v>13</x:v>
      </x:c>
      <x:c r="O3505" s="30" t="str">
        <x:v>Выбрана пара установок, в которой меняется только исследуемый параметр при одинаковых остальных условиях.</x:v>
      </x:c>
      <x:c r="P3505" s="30" t="str">
        <x:v>Выбрана пара установок, в которой меняется только исследуемый параметр при одинаковых остальных условиях.</x:v>
      </x:c>
      <x:c r="Q3505" s="30"/>
      <x:c r="R3505" s="30" t="str">
        <x:v>Архивный фото-ключ</x:v>
      </x:c>
      <x:c r="S3505" s="30"/>
      <x:c r="T3505" s="30"/>
      <x:c r="U3505" s="30" t="str">
        <x:v>Расхождений не обнаружено.</x:v>
      </x:c>
      <x:c r="V3505" s="87" t="str">
        <x:v>VERIFIED</x:v>
      </x:c>
      <x:c r="W3505" s="87" t="str">
        <x:v>Zadanie_FI11_15102025.pdf, стр. 12</x:v>
      </x:c>
      <x:c r="X3505" s="87"/>
      <x:c r="Y3505" s="87"/>
      <x:c r="Z3505" s="87"/>
      <x:c r="AA3505" s="87"/>
      <x:c r="AB3505" s="87"/>
      <x:c r="AC3505" s="87" t="str">
        <x:v>VIS-PHYS-OCT-009</x:v>
      </x:c>
      <x:c r="AD3505" s="87"/>
      <x:c r="AE3505" s="87"/>
      <x:c r="AF3505" s="87" t="str">
        <x:v>VIS-PHYS-OCT-009: 12</x:v>
      </x:c>
      <x:c r="AG3505" s="87" t="str">
        <x:v>RESOLVED</x:v>
      </x:c>
      <x:c r="AH3505" s="87" t="str">
        <x:v>CROP_VERIFIED</x:v>
      </x:c>
      <x:c r="AI3505" s="30"/>
      <x:c r="AJ3505" s="87" t="str">
        <x:v>master</x:v>
      </x:c>
      <x:c r="AK3505" s="87" t="str">
        <x:v>master-v0.81</x:v>
      </x:c>
      <x:c r="AL3505" s="87" t="str">
        <x:v>statgrad_master_base_v0_81_final(2).xlsx</x:v>
      </x:c>
      <x:c r="AM3505" s="87" t="str">
        <x:v>PHYS_Oct_V1</x:v>
      </x:c>
      <x:c r="AN3505" s="87" t="n">
        <x:v>21</x:v>
      </x:c>
    </x:row>
    <x:row r="3506">
      <x:c r="A3506" s="87" t="n">
        <x:v>3505</x:v>
      </x:c>
      <x:c r="B3506" s="87" t="str">
        <x:v>OCT-PHYS-101-021</x:v>
      </x:c>
      <x:c r="C3506" s="87" t="str">
        <x:v>СтатГрад</x:v>
      </x:c>
      <x:c r="D3506" s="87" t="str">
        <x:v>Октябрь 2025</x:v>
      </x:c>
      <x:c r="E3506" s="87"/>
      <x:c r="F3506" s="87"/>
      <x:c r="G3506" s="87" t="str">
        <x:v>Физика</x:v>
      </x:c>
      <x:c r="H3506" s="87" t="n">
        <x:v>11</x:v>
      </x:c>
      <x:c r="I3506" s="87" t="str">
        <x:v>ТР №1</x:v>
      </x:c>
      <x:c r="J3506" s="87" t="str">
        <x:v>ФИ2510101</x:v>
      </x:c>
      <x:c r="K3506" s="87" t="n">
        <x:v>21</x:v>
      </x:c>
      <x:c r="L3506" s="87" t="str">
        <x:v>Экспериментальная электродинамика</x:v>
      </x:c>
      <x:c r="M3506" s="30" t="str">
        <x:v>Электрическая цепь состоит из последовательно соединённых лампы Л,
     резистора сопротивлением R = 10 Ом и идеального амперметра, параллельно
     которым подключён идеальный вольтметр. Эта цепь питается от регулируемого
     источника напряжения, в состав которого входят батарея, ключ К и
     потенциометр (делитель напряжения) Р. Лаборант замыкает ключ, после чего,
     передвигая ползунок реостата и проводя наблюдения, записывает в таблицу
     несколько показаний I амперметра. Показания вольтметра он записать забывает.
         I, А           0,25           0,30             0,35          0,40           0,45
         U, В
     Используя вольт-амперную характеристику лампы, изображённую на
     рисунке 2, помогите лаборанту восстановить показания U вольтметра и
     запишите их в таблицу. Решение объясните, опираясь на законы
     электродинамики.
                   Рис. 1                                        Рис. 2</x:v>
      </x:c>
      <x:c r="N3506" s="30" t="str">
        <x:v>Возможное решение
     1) Пусть I – сила тока в амперметре, U л – напряжение на лампе, U –
     показания вольтметра. В соответствии с законом Ома для участка цепи,
     напряжение на резисторе с сопротивлением R равно U R = IR.
     2) Вольтметр показывает сумму падений напряжения на последовательно
     соединённых лампе Л, резисторе и идеальном амперметре: U = U л + IR. Здесь
     учтено, что сопротивление идеального амперметра равно нулю. При этом
     через резистор и через лампу течёт один и тот же ток силой I.
     3) Показания вольтметра можно восстановить следующим образом. Пусть
     амперметр показывает силу тока I1 = 0,25 А. Тогда напряжение на резисторе
     равно UR1 = I1R = 0,25⋅10 = 2,5 В. Напряжение на лампе при данном значении
     силы тока определим с помощью графика – оно равно U л1 = 6 В. Следовательно,
     вольтметр показывает напряжение U1 = U л1 + I1R = 6 В + 2,5 В = 8,5 В.
     4) Рассматривая аналогично остальные четыре значения силы тока, которые
     показывает амперметр, вычислим показания вольтметра и заполним таблицу.
         I, А           0,25           0,30            0,35           0,40           0,45
         U, В           8,5            11,0            13,5           17,0           21,5
                                    согласия СтатГрад запрещена
           Критерии оценивания выполнения задания                 Баллы
Приведено полное правильное решение, включающее правильный          3
ответ (в данном случае: приведена правильно заполненная таблица,
п. 4) и полное верное объяснение (в данном случае: п. 1, 2, 3) с
указанием наблюдаемых явлений и законов в данном случае: закон
Ома для участка цепи, вычисление суммарного падения напряжения
при последовательном соединении элементов, одинаковость силы
тока через элементы при их последовательном соединении, учёт
идеальности амперметра)
Дан правильный ответ, и приведено объяснение, но в решении          2
имеется один или несколько из следующих недостатков.
В объяснении не указано или не используется одно из физических
явлений, свойств, определений или один из законов (формул),
необходимых для полного верного объяснения. (Утверждение,
лежащее в основе объяснения, не подкреплено соответствующим
законом, свойством, явлением, определением и т.п.)
                             И (ИЛИ)
Указаны все необходимые для объяснения явления и законы,
закономерности, но в них содержится один логический недочёт.
                             И (ИЛИ)
В решении имеются лишние записи, не входящие в решение (возможно,
неверные), которые не отделены от решения и не зачёркнуты.
                             И (ИЛИ)
В решении имеется неточность в указании на одно из физических
явлений, свойств, определений, законов (формул), необходимых для
полного верного объяснения
Представлено решение, соответствующее одному из следующих           1
случаев.
Дан правильный ответ на вопрос задания, и приведено объяснение,
но в нём не указаны два явления или физических закона,
необходимых для полного верного объяснения.
                               ИЛИ
Указаны все необходимые для объяснения явления и законы,
закономерности, но имеющиеся рассуждения, направленные на
получение ответа на вопрос задания, не доведены до конца.
                               ИЛИ
Указаны все необходимые для объяснения явления и законы,
закономерности, но имеющиеся рассуждения, приводящие к ответу,
содержат ошибки.
                               ИЛИ
Указаны не все необходимые для объяснения явления и законы,
закономерности, но имеются верные рассуждения, направленные на
решение задачи
                               согласия СтатГрад запрещена
     Все случаи решения, которые не соответствуют вышеуказанным 0
     критериям выставления оценок в 1, 2, 3 балла
                                                  Максимальный балл 3</x:v>
      </x:c>
      <x:c r="O3506" s="30" t="str">
        <x:v>Экспериментальная таблица восстановлена по закону Ома и вольт-амперной характеристике лампы.</x:v>
      </x:c>
      <x:c r="P3506" s="30" t="str">
        <x:v>Экспериментальная таблица восстановлена по закону Ома и вольт-амперной характеристике лампы.</x:v>
      </x:c>
      <x:c r="Q3506" s="30"/>
      <x:c r="R3506" s="30" t="str">
        <x:v>Официальные критерии оценивания</x:v>
      </x:c>
      <x:c r="S3506" s="30"/>
      <x:c r="T3506" s="30"/>
      <x:c r="U3506" s="30" t="str">
        <x:v>Расхождений не обнаружено.</x:v>
      </x:c>
      <x:c r="V3506" s="87" t="str">
        <x:v>VERIFIED</x:v>
      </x:c>
      <x:c r="W3506" s="87" t="str">
        <x:v>Zadanie_FI11_15102025.pdf, стр. 13</x:v>
      </x:c>
      <x:c r="X3506" s="87"/>
      <x:c r="Y3506" s="87"/>
      <x:c r="Z3506" s="87"/>
      <x:c r="AA3506" s="87"/>
      <x:c r="AB3506" s="87"/>
      <x:c r="AC3506" s="87" t="str">
        <x:v>VIS-PHYS-OCT-010</x:v>
      </x:c>
      <x:c r="AD3506" s="87"/>
      <x:c r="AE3506" s="87"/>
      <x:c r="AF3506" s="87" t="str">
        <x:v>VIS-PHYS-OCT-010: 13</x:v>
      </x:c>
      <x:c r="AG3506" s="87" t="str">
        <x:v>RESOLVED</x:v>
      </x:c>
      <x:c r="AH3506" s="87" t="str">
        <x:v>CROP_VERIFIED; TASK_CROP_QA_APPROVED:USE_TIGHT</x:v>
      </x:c>
      <x:c r="AI3506" s="30"/>
      <x:c r="AJ3506" s="87" t="str">
        <x:v>master</x:v>
      </x:c>
      <x:c r="AK3506" s="87" t="str">
        <x:v>master-v0.81</x:v>
      </x:c>
      <x:c r="AL3506" s="87" t="str">
        <x:v>statgrad_master_base_v0_81_final(2).xlsx</x:v>
      </x:c>
      <x:c r="AM3506" s="87" t="str">
        <x:v>PHYS_Oct_V1</x:v>
      </x:c>
      <x:c r="AN3506" s="87" t="n">
        <x:v>22</x:v>
      </x:c>
    </x:row>
    <x:row r="3507">
      <x:c r="A3507" s="87" t="n">
        <x:v>3506</x:v>
      </x:c>
      <x:c r="B3507" s="87" t="str">
        <x:v>OCT-PHYS-101-022</x:v>
      </x:c>
      <x:c r="C3507" s="87" t="str">
        <x:v>СтатГрад</x:v>
      </x:c>
      <x:c r="D3507" s="87" t="str">
        <x:v>Октябрь 2025</x:v>
      </x:c>
      <x:c r="E3507" s="87"/>
      <x:c r="F3507" s="87"/>
      <x:c r="G3507" s="87" t="str">
        <x:v>Физика</x:v>
      </x:c>
      <x:c r="H3507" s="87" t="n">
        <x:v>11</x:v>
      </x:c>
      <x:c r="I3507" s="87" t="str">
        <x:v>ТР №1</x:v>
      </x:c>
      <x:c r="J3507" s="87" t="str">
        <x:v>ФИ2510101</x:v>
      </x:c>
      <x:c r="K3507" s="87" t="n">
        <x:v>22</x:v>
      </x:c>
      <x:c r="L3507" s="87" t="str">
        <x:v>Механика столкновений</x:v>
      </x:c>
      <x:c r="M3507" s="30" t="str">
        <x:v>Небольшие одинаковые почти абсолютно упругие шарики покоятся на прямом
     горизонтальном гладком жёлобе на одинаковых расстояниях друг от друга.
     В некоторый момент первому слева шарику толчком сообщают начальную
     скорость V1 в направлении остальных шариков, после чего происходят их
     последовательные столкновения. После n = 9 соударений оказалось, что
     десятый шарик приобрёл скорость V10 = 0,8V1. Сколько процентов от
     кинетической энергии движущегося шарика передавалось следующему
     покоящемуся шарику при каждом столкновении?</x:v>
      </x:c>
      <x:c r="N3507" s="30" t="str">
        <x:v>Возможное решение
     1. Поскольку все столкновения шариков происходят в одинаковых условиях,
     можно считать, что и коэффициент x, связывающий скорости шариков после и
     до удара, одинаков для всех столкновений. Поэтому
             V2 = x V1, V3 = x V 2 = x2 V1, и т.д., …, V10 = x V9 = x9 V1 = 0,8V1.
     Отсюда x9 = 0,8, и x = 0,81/9 ≈ 0,9755.
     2. При столкновениях не абсолютно упругих тел часть их кинетической
     энергии теряется, превращаясь в теплоту.
     3. Кинетическая энергия E к шарика массой M равна MV2/2. Поэтому E к10 = x2
     Eк9 , и процент передачи кинетической энергии от шарика к шарику при
     каждом столкновении равен x2 = 0,82/9 ≈ 0,97552 ≈ 0,9516 ≈ 95,2 %.
     Ответ: E к(n +1) /E кn ≈ 0,9516 ≈ 95,2 %
                Критерии оценивания выполнения задания                 Баллы
     Приведено полное решение, включающее следующие элементы:            2
     I) записаны положения теории и физические законы, закономерности,
     применение которых необходимо для решения задачи выбранным
     способом (в данном случае: закон изменения механической энергии,
     связь кинетической энергии с массой и скоростью тела и
     математические соотношения);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согласия СтатГрад запрещена
     Правильно записаны все необходимые положения теории,                                  1
     физические законы, закономерности, и проведены преобразования,
     направленные на решение задачи,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Все случаи решения, которые не соответствуют вышеуказанным                            0
     критериям выставления оценок в 1 или 2 балла
                                                  Максимальный балл                        2</x:v>
      </x:c>
      <x:c r="O3507" s="30" t="str">
        <x:v>Скорости после последовательных столкновений образуют геометрическую прогрессию; доля энергии равна квадрату коэффициента скоростей.</x:v>
      </x:c>
      <x:c r="P3507" s="30" t="str">
        <x:v>Скорости после последовательных столкновений образуют геометрическую прогрессию; доля энергии равна квадрату коэффициента скоростей.</x:v>
      </x:c>
      <x:c r="Q3507" s="30"/>
      <x:c r="R3507" s="30" t="str">
        <x:v>Официальные критерии оценивания</x:v>
      </x:c>
      <x:c r="S3507" s="30"/>
      <x:c r="T3507" s="30"/>
      <x:c r="U3507" s="30" t="str">
        <x:v>Расхождений не обнаружено.</x:v>
      </x:c>
      <x:c r="V3507" s="87" t="str">
        <x:v>VERIFIED</x:v>
      </x:c>
      <x:c r="W3507" s="87" t="str">
        <x:v>Zadanie_FI11_15102025.pdf, стр. 14</x:v>
      </x:c>
      <x:c r="X3507" s="87"/>
      <x:c r="Y3507" s="87"/>
      <x:c r="Z3507" s="87"/>
      <x:c r="AA3507" s="87"/>
      <x:c r="AB3507" s="87"/>
      <x:c r="AC3507" s="87" t="str">
        <x:v>VIS-PHYS-OCT-011</x:v>
      </x:c>
      <x:c r="AD3507" s="87"/>
      <x:c r="AE3507" s="87"/>
      <x:c r="AF3507" s="87" t="str">
        <x:v>VIS-PHYS-OCT-011: 14</x:v>
      </x:c>
      <x:c r="AG3507" s="87" t="str">
        <x:v>RESOLVED</x:v>
      </x:c>
      <x:c r="AH3507" s="87" t="str">
        <x:v>CROP_VERIFIED</x:v>
      </x:c>
      <x:c r="AI3507" s="30"/>
      <x:c r="AJ3507" s="87" t="str">
        <x:v>master</x:v>
      </x:c>
      <x:c r="AK3507" s="87" t="str">
        <x:v>master-v0.81</x:v>
      </x:c>
      <x:c r="AL3507" s="87" t="str">
        <x:v>statgrad_master_base_v0_81_final(2).xlsx</x:v>
      </x:c>
      <x:c r="AM3507" s="87" t="str">
        <x:v>PHYS_Oct_V1</x:v>
      </x:c>
      <x:c r="AN3507" s="87" t="n">
        <x:v>23</x:v>
      </x:c>
    </x:row>
    <x:row r="3508">
      <x:c r="A3508" s="87" t="n">
        <x:v>3507</x:v>
      </x:c>
      <x:c r="B3508" s="87" t="str">
        <x:v>OCT-PHYS-101-023</x:v>
      </x:c>
      <x:c r="C3508" s="87" t="str">
        <x:v>СтатГрад</x:v>
      </x:c>
      <x:c r="D3508" s="87" t="str">
        <x:v>Октябрь 2025</x:v>
      </x:c>
      <x:c r="E3508" s="87"/>
      <x:c r="F3508" s="87"/>
      <x:c r="G3508" s="87" t="str">
        <x:v>Физика</x:v>
      </x:c>
      <x:c r="H3508" s="87" t="n">
        <x:v>11</x:v>
      </x:c>
      <x:c r="I3508" s="87" t="str">
        <x:v>ТР №1</x:v>
      </x:c>
      <x:c r="J3508" s="87" t="str">
        <x:v>ФИ2510101</x:v>
      </x:c>
      <x:c r="K3508" s="87" t="n">
        <x:v>23</x:v>
      </x:c>
      <x:c r="L3508" s="87" t="str">
        <x:v>Термодинамика</x:v>
      </x:c>
      <x:c r="M3508" s="30" t="str">
        <x:v>В жёстком теплоизолированном сосуде находится ν 1 = 1 моль гелия
     со среднеквадратичной скоростью движения его атомов, равной
     V 1 = 1400 м/с. В сосуд добавили ν 2 = 0,8 моля гелия с температурой
     T 2 = 350 К. Какая температура T гелия установится в сосуде при достижении
     состояния термодинамического равновесия?</x:v>
      </x:c>
      <x:c r="N3508" s="30" t="str">
        <x:v>Возможное решение
     1. Порции гелия, помещённые в жёсткий теплоизолированный сосуд, не
     совершают работу и не обмениваются количеством теплоты с окружающей
     средой, поэтому из первого закона термодинамики следует, что их
     суммарная внутренняя энергия сохраняется: U = U 1 + U 2 .
     2. Выражения для внутренней энергии двух порций одноатомного
     идеального газа имеют вид: U 1 = (3/2) ν 1 RT 1 , U 2 = (3/2) ν 2 RT 2 .
     3. Для дальнейших расчётов необходимо найти температуру T 1 , связанную
     со среднеквадратичной скоростью V 1 движения атомов гелия: μV 1 2/2 = (3/2)
     RT 1 , откуда
                          T 1 = μV 1 2/(3R) = 4⋅10–3⋅14002/(3⋅8,31) ≈ 314,5 К.
     4. Газы в сосуде после перемешивания и установления равновесия
     приобретут искомую температуру T, так что U = U 1 + U 2 = (3/2) (ν 1 + ν 2 )RT и
             T = (ν 1 T 1 + ν 2 T 2 )/(ν 1 + ν 2 ) = (1⋅314,5 + 0,8⋅350)/(1 + 0,8) ≈ 330,3 К.
     Ответ: T ≈ 330,3 К
                                    согласия СтатГрад запрещена
           Критерии оценивания выполнения задания                  Баллы
Приведено полное решение, включающее следующие элементы:             2
I) записаны положения теории и физические законы, закономерности,
применение которых необходимо для решения задачи выбранным
способом (в данном случае: первый закон термодинамики, выражение
для внутренней энергии одноатомного идеального газа, связь
температуры одноатомного идеального газа со среднеквадратичной
скоростью движения его атомов);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физические      1
законы, закономерности, и проведены преобразования, направленные
на решение задачи,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Все случаи решения, которые не соответствуют вышеуказанным           0
критериям выставления оценок в 1 или 2 балла
                                               Максимальный балл     2
                               согласия СтатГрад запрещена</x:v>
      </x:c>
      <x:c r="O3508" s="30" t="str">
        <x:v>Применены сохранение внутренней энергии в теплоизолированном сосуде и связь температуры со среднеквадратичной скоростью.</x:v>
      </x:c>
      <x:c r="P3508" s="30" t="str">
        <x:v>Применены сохранение внутренней энергии в теплоизолированном сосуде и связь температуры со среднеквадратичной скоростью.</x:v>
      </x:c>
      <x:c r="Q3508" s="30"/>
      <x:c r="R3508" s="30" t="str">
        <x:v>Официальные критерии оценивания</x:v>
      </x:c>
      <x:c r="S3508" s="30"/>
      <x:c r="T3508" s="30"/>
      <x:c r="U3508" s="30" t="str">
        <x:v>Расхождений не обнаружено.</x:v>
      </x:c>
      <x:c r="V3508" s="87" t="str">
        <x:v>VERIFIED</x:v>
      </x:c>
      <x:c r="W3508" s="87" t="str">
        <x:v>Zadanie_FI11_15102025.pdf, стр. 14</x:v>
      </x:c>
      <x:c r="X3508" s="87"/>
      <x:c r="Y3508" s="87"/>
      <x:c r="Z3508" s="87"/>
      <x:c r="AA3508" s="87"/>
      <x:c r="AB3508" s="87"/>
      <x:c r="AC3508" s="87" t="str">
        <x:v>VIS-PHYS-OCT-011</x:v>
      </x:c>
      <x:c r="AD3508" s="87"/>
      <x:c r="AE3508" s="87"/>
      <x:c r="AF3508" s="87" t="str">
        <x:v>VIS-PHYS-OCT-011: 14</x:v>
      </x:c>
      <x:c r="AG3508" s="87" t="str">
        <x:v>RESOLVED</x:v>
      </x:c>
      <x:c r="AH3508" s="87" t="str">
        <x:v>CROP_VERIFIED</x:v>
      </x:c>
      <x:c r="AI3508" s="30"/>
      <x:c r="AJ3508" s="87" t="str">
        <x:v>master</x:v>
      </x:c>
      <x:c r="AK3508" s="87" t="str">
        <x:v>master-v0.81</x:v>
      </x:c>
      <x:c r="AL3508" s="87" t="str">
        <x:v>statgrad_master_base_v0_81_final(2).xlsx</x:v>
      </x:c>
      <x:c r="AM3508" s="87" t="str">
        <x:v>PHYS_Oct_V1</x:v>
      </x:c>
      <x:c r="AN3508" s="87" t="n">
        <x:v>24</x:v>
      </x:c>
    </x:row>
    <x:row r="3509">
      <x:c r="A3509" s="87" t="n">
        <x:v>3508</x:v>
      </x:c>
      <x:c r="B3509" s="87" t="str">
        <x:v>OCT-PHYS-101-024</x:v>
      </x:c>
      <x:c r="C3509" s="87" t="str">
        <x:v>СтатГрад</x:v>
      </x:c>
      <x:c r="D3509" s="87" t="str">
        <x:v>Октябрь 2025</x:v>
      </x:c>
      <x:c r="E3509" s="87"/>
      <x:c r="F3509" s="87"/>
      <x:c r="G3509" s="87" t="str">
        <x:v>Физика</x:v>
      </x:c>
      <x:c r="H3509" s="87" t="n">
        <x:v>11</x:v>
      </x:c>
      <x:c r="I3509" s="87" t="str">
        <x:v>ТР №1</x:v>
      </x:c>
      <x:c r="J3509" s="87" t="str">
        <x:v>ФИ2510101</x:v>
      </x:c>
      <x:c r="K3509" s="87" t="n">
        <x:v>24</x:v>
      </x:c>
      <x:c r="L3509" s="87" t="str">
        <x:v>Тепловой двигатель</x:v>
      </x:c>
      <x:c r="M3509" s="30" t="str">
        <x:v>Идеальный одноатомный газ, количество которого равно ν = 0,05 моля,
     используется в качестве рабочего тела в тепловом двигателе. На pV-
     диаграмме (p – давление газа, V – его объём) показан процесс 1–2–3–4–5–6–1,
     совершаемый газом в течение одного цикла работы двигателя. В качестве
     топлива для данного двигателя используется каменный уголь с удельной
     теплотой сгорания 29,3 МДж/кг, причём рабочее тело получает η = 50 %
     количества теплоты, выделяющегося при сгорании. Температура газа
     в состоянии 4 равна T 4 = 500 К. Какая масса угля сгорает в течение N = 104
     циклов работы двигателя?
                                                                5</x:v>
      </x:c>
      <x:c r="N3509" s="30" t="str">
        <x:v>Возможное решение
     1) Газ получает количество теплоты ∆Q+ на участках 1–2, 2–3 и 4–5 цикла.
     Для нахождения этого количества теплоты воспользуемся выражением для
     внутренней энергии одноатомного идеального газа U = (3/2)pV и тем фактом,
     что работа газа в некотором процессе численно равна площади под участком
     графика, изображающего данный процесс на pV-диаграмме.
     2) Пусть ∆U nm – изменение внутренней энергии при переходе газа из
     состояния «n» в состояние «m», а ∆A nm – работа, совершаемая газом при
     переходе из состояния «n» в состояние «m». В соответствии с первым
     законом термодинамики:
                              ∆Q+ = ∆U 13 + ∆A 23 + ∆U 45 + ∆A 45 =
      = (3/2)(3p 0 ⋅2V0 – p0⋅V0) + 3p0V0 + (3/2)(2p0⋅3V0 – 2p0⋅2V0) + 2p0V0 = (31/2)p0V0.
     3) Согласно условию задачи, ∆Q+ = (31/2)p0V0 = ηqm, где m – масса угля,
     сгорающего за один цикл работы двигателя.
     4) Применим для состояния «4» уравнение Менделеева – Клапейрона:
     2p0⋅2V0 = νRT4.
     5) Выражая из последнего уравнения произведение p0V0, получаем:
     (31/8)νRT4 = ηqm. Отсюда масса M угля, сгорающего за N циклов работы
     двигателя, равна
                                             31νRT4 N
                                   = =
                                   M Nm               ≈ 0,55 кг.
                                               8ηq
                 31νRT4 N
     Ответ:
       =    M             ≈ 0,55 кг.
                   8ηq
                                    согласия СтатГрад запрещена
           Критерии оценивания выполнения задания                 Баллы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первый закон
термодинамики, выражение для внутренней энергии одноатомного
идеального газа, выражение работы через площадь под участком
графика на pV-диаграмме, уравнение Менделеева – Клапейрона,
связь количества выделившейся при сгорании теплоты с массой
сгоревшего топлива);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физические     2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и достаточно
для решения данной задачи, без каких-либо преобразований с их
использованием, направленных на решение задачи.
                               ИЛИ
В решении отсутствует ОДНА из исходных формул, необходимая
                               согласия СтатГрад запрещена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3</x:v>
      </x:c>
      <x:c r="O3509" s="30" t="str">
        <x:v>Теплота на участках цикла рассчитана по первому закону термодинамики и площади pV-диаграммы.</x:v>
      </x:c>
      <x:c r="P3509" s="30" t="str">
        <x:v>Теплота на участках цикла рассчитана по первому закону термодинамики и площади pV-диаграммы.</x:v>
      </x:c>
      <x:c r="Q3509" s="30"/>
      <x:c r="R3509" s="30" t="str">
        <x:v>Официальные критерии оценивания</x:v>
      </x:c>
      <x:c r="S3509" s="30"/>
      <x:c r="T3509" s="30"/>
      <x:c r="U3509" s="30" t="str">
        <x:v>Расхождений не обнаружено.</x:v>
      </x:c>
      <x:c r="V3509" s="87" t="str">
        <x:v>VERIFIED</x:v>
      </x:c>
      <x:c r="W3509" s="87" t="str">
        <x:v>Zadanie_FI11_15102025.pdf, стр. 14</x:v>
      </x:c>
      <x:c r="X3509" s="87"/>
      <x:c r="Y3509" s="87"/>
      <x:c r="Z3509" s="87"/>
      <x:c r="AA3509" s="87"/>
      <x:c r="AB3509" s="87"/>
      <x:c r="AC3509" s="87" t="str">
        <x:v>VIS-PHYS-OCT-011</x:v>
      </x:c>
      <x:c r="AD3509" s="87"/>
      <x:c r="AE3509" s="87"/>
      <x:c r="AF3509" s="87" t="str">
        <x:v>VIS-PHYS-OCT-011: 14</x:v>
      </x:c>
      <x:c r="AG3509" s="87" t="str">
        <x:v>RESOLVED</x:v>
      </x:c>
      <x:c r="AH3509" s="87" t="str">
        <x:v>CROP_VERIFIED; TASK_CROP_QA_APPROVED:USE_CONTEXT</x:v>
      </x:c>
      <x:c r="AI3509" s="30"/>
      <x:c r="AJ3509" s="87" t="str">
        <x:v>master</x:v>
      </x:c>
      <x:c r="AK3509" s="87" t="str">
        <x:v>master-v0.81</x:v>
      </x:c>
      <x:c r="AL3509" s="87" t="str">
        <x:v>statgrad_master_base_v0_81_final(2).xlsx</x:v>
      </x:c>
      <x:c r="AM3509" s="87" t="str">
        <x:v>PHYS_Oct_V1</x:v>
      </x:c>
      <x:c r="AN3509" s="87" t="n">
        <x:v>25</x:v>
      </x:c>
    </x:row>
    <x:row r="3510">
      <x:c r="A3510" s="87" t="n">
        <x:v>3509</x:v>
      </x:c>
      <x:c r="B3510" s="87" t="str">
        <x:v>OCT-PHYS-101-025</x:v>
      </x:c>
      <x:c r="C3510" s="87" t="str">
        <x:v>СтатГрад</x:v>
      </x:c>
      <x:c r="D3510" s="87" t="str">
        <x:v>Октябрь 2025</x:v>
      </x:c>
      <x:c r="E3510" s="87"/>
      <x:c r="F3510" s="87"/>
      <x:c r="G3510" s="87" t="str">
        <x:v>Физика</x:v>
      </x:c>
      <x:c r="H3510" s="87" t="n">
        <x:v>11</x:v>
      </x:c>
      <x:c r="I3510" s="87" t="str">
        <x:v>ТР №1</x:v>
      </x:c>
      <x:c r="J3510" s="87" t="str">
        <x:v>ФИ2510101</x:v>
      </x:c>
      <x:c r="K3510" s="87" t="n">
        <x:v>25</x:v>
      </x:c>
      <x:c r="L3510" s="87" t="str">
        <x:v>Электростатика. Конденсаторы</x:v>
      </x:c>
      <x:c r="M3510" s="30" t="str">
        <x:v>В электрической цепи, схема которой изображена на
     рисунке, все конденсаторы имеют одинаковую
     электроёмкость   C = 1 мкФ,   а    резистор   имеет
     сопротивление R = 100 Ом. Вначале левый конденсатор
     заряжен до некоторого напряжения U, а все остальные
     конденсаторы не заряжены. Идеальный амперметр в первый момент после
     замыкания ключа К показал силу тока I = 2 А. Какое количество теплоты
     выделится в данной цепи ко времени, когда показания амперметра
     уменьшатся до нуля?</x:v>
      </x:c>
      <x:c r="N3510" s="30" t="str">
        <x:v>Возможное решение
     1. В начальном состоянии напряжение U на левом конденсаторе связано с
     зарядом q этого конденсатора: U = q/C, а напряжение и заряд на правой
     части цепи отсутствуют. После замыкания ключа К через амперметр,
     резистор и конденсаторы потечёт ток. В соответствии с законом Ома для
     замкнутой цепи сила этого тока в первый момент после замыкания ключа
     равна I = U/R, откуда U = IR. Поэтому энергия заряженного конденсатора
     равна WC = CU2/2 = CI2R2/2.
     2. При перезарядке конденсаторов часть заряда левого конденсатора
     перейдёт на правые конденсаторы общей ёмкостью Cпр, которую можно
     определить по правилам для последовательного и параллельного соединения
     конденсаторов: Cпр = С + С/2 = 3С/2.
     3. Ток в цепи прекратится, когда напряжения Uк на конденсаторах слева и
     справа станут одинаковыми и заряд q = CU будет находиться на системе
     конденсаторов общей ёмкостью Cобш = С + Cпр = С + 3С/2 = 5С/2.
     4. Конечное напряжение будет равно Uк = q/(Cобш) = 2U/5. Конечная
     электрическая энергия в цепи будет при этом равна
                          Wк = (5С/2)Uк2/2 =CU2/5 = CI2R2/5.
     5. Количество теплоты ∆Q, выделившейся в цепи, по закону сохранения
     энергии равно
          ∆Q = WC – Wк = 3CI2R2/10 = 3⋅10–6⋅22⋅1002/10 = 12⋅10–3 Дж = 12 мДж.
     Ответ: ∆Q = 3CI2R2/10 = 12 мДж
                                    согласия СтатГрад запрещена
           Критерии оценивания выполнения задания                 Баллы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связь заряда и
напряжения на конденсаторе, закон Ома для замкнутой цепи,
расчёт ёмкости при параллельном и последовательном соединении
конденсаторов, энергия заряженного конденсатора, закон
сохранения энергии);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проведены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2
физические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для решения
данной задачи, без каких-либо преобразований с их использованием,
направленных на решение задачи.
                               ИЛИ
                               согласия СтатГрад запрещена
     В решении отсутствует ОДНА из исходных формул, необходимая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3</x:v>
      </x:c>
      <x:c r="O3510" s="30" t="str">
        <x:v>Начальная и конечная энергии системы конденсаторов сопоставлены; выделившаяся теплота найдена по закону сохранения энергии.</x:v>
      </x:c>
      <x:c r="P3510" s="30" t="str">
        <x:v>Начальная и конечная энергии системы конденсаторов сопоставлены; выделившаяся теплота найдена по закону сохранения энергии.</x:v>
      </x:c>
      <x:c r="Q3510" s="30"/>
      <x:c r="R3510" s="30" t="str">
        <x:v>Официальные критерии оценивания</x:v>
      </x:c>
      <x:c r="S3510" s="30"/>
      <x:c r="T3510" s="30"/>
      <x:c r="U3510" s="30" t="str">
        <x:v>Расхождений не обнаружено.</x:v>
      </x:c>
      <x:c r="V3510" s="87" t="str">
        <x:v>VERIFIED</x:v>
      </x:c>
      <x:c r="W3510" s="87" t="str">
        <x:v>Zadanie_FI11_15102025.pdf, стр. 15</x:v>
      </x:c>
      <x:c r="X3510" s="87"/>
      <x:c r="Y3510" s="87"/>
      <x:c r="Z3510" s="87"/>
      <x:c r="AA3510" s="87"/>
      <x:c r="AB3510" s="87"/>
      <x:c r="AC3510" s="87" t="str">
        <x:v>VIS-PHYS-OCT-012</x:v>
      </x:c>
      <x:c r="AD3510" s="87"/>
      <x:c r="AE3510" s="87"/>
      <x:c r="AF3510" s="87" t="str">
        <x:v>VIS-PHYS-OCT-012: 15</x:v>
      </x:c>
      <x:c r="AG3510" s="87" t="str">
        <x:v>RESOLVED</x:v>
      </x:c>
      <x:c r="AH3510" s="87" t="str">
        <x:v>CROP_VERIFIED; TASK_CROP_QA_APPROVED:USE_CONTEXT</x:v>
      </x:c>
      <x:c r="AI3510" s="30"/>
      <x:c r="AJ3510" s="87" t="str">
        <x:v>master</x:v>
      </x:c>
      <x:c r="AK3510" s="87" t="str">
        <x:v>master-v0.81</x:v>
      </x:c>
      <x:c r="AL3510" s="87" t="str">
        <x:v>statgrad_master_base_v0_81_final(2).xlsx</x:v>
      </x:c>
      <x:c r="AM3510" s="87" t="str">
        <x:v>PHYS_Oct_V1</x:v>
      </x:c>
      <x:c r="AN3510" s="87" t="n">
        <x:v>26</x:v>
      </x:c>
    </x:row>
    <x:row r="3511">
      <x:c r="A3511" s="87" t="n">
        <x:v>3510</x:v>
      </x:c>
      <x:c r="B3511" s="87" t="str">
        <x:v>OCT-PHYS-101-026</x:v>
      </x:c>
      <x:c r="C3511" s="87" t="str">
        <x:v>СтатГрад</x:v>
      </x:c>
      <x:c r="D3511" s="87" t="str">
        <x:v>Октябрь 2025</x:v>
      </x:c>
      <x:c r="E3511" s="87"/>
      <x:c r="F3511" s="87"/>
      <x:c r="G3511" s="87" t="str">
        <x:v>Физика</x:v>
      </x:c>
      <x:c r="H3511" s="87" t="n">
        <x:v>11</x:v>
      </x:c>
      <x:c r="I3511" s="87" t="str">
        <x:v>ТР №1</x:v>
      </x:c>
      <x:c r="J3511" s="87" t="str">
        <x:v>ФИ2510101</x:v>
      </x:c>
      <x:c r="K3511" s="87" t="n">
        <x:v>26</x:v>
      </x:c>
      <x:c r="L3511" s="87" t="str">
        <x:v>Механика. Пружина и движение по окружности</x:v>
      </x:c>
      <x:c r="M3511" s="30" t="str">
        <x:v>Из жёсткой тонкой гладкой проволоки согнут каркас в виде половины
     окружности радиусом R = 60 см и закреплён так, чтобы диаметр каркаса
     располагался вертикально (см. рисунок). В верхней точке A диаметра
     к каркасу прикреплён конец лёгкой пружины, длина которой в нерастянутом
     состоянии равна R. Ко второму концу пружины прикреплена маленькая
     бусинка B с просверлённым в ней отверстием. Если бусинка висит
     на пружине, находясь в состоянии равновесия, то удлинение пружины
     оказывается равным R/3.
     Бусинку надевают на каркас так, что она покоится в нижней точке его
     диаметра. Затем, после очень малого начального воздействия, бусинка
     начинает скользить по каркасу. Найдите модуль скорости бусинки в тот
     момент, когда ось пружины будет составлять с вертикалью угол
     α =arccos(7 / 8) .
     Обоснуйте применимость законов, использованных для решения задачи.</x:v>
      </x:c>
      <x:c r="N3511" s="30" t="str">
        <x:v>Возможное решение
Обоснование.
1. Выберем систему отсчёта, связанную с закреплённым каркасом, и будем
считать её инерциальной (ИСО). Относительно этой ИСО справедлив второй
закон Ньютона и можно применять законы сохранения.
2. Для бусинки используем модель материальной точки.
3. Так как проволока жёсткая, будем считать каркас абсолютно твёрдым
телом и пренебрежём его деформациями.
4. Будем считать, что удлинение пружины подчиняется закону Гука.
Поскольку пружина лёгкая, до подвешивания бусинки её можно считать
нерастянутой, и при решении задачи можно пренебрегать её массой.
5. Проволока гладкая, поэтому в системе отсутствуют внутренние
диссипативные силы. Все остальные силы либо консервативные, либо не
совершают работы. Следовательно, можно применять закон сохранения
механической энергии.
6. Поскольку начальное воздействие на бусинку очень малое, её начальную
кинетическую энергию также можно считать пренебрежимо малой.
Решение.
1. Согласно условию задачи, при подвешивании бусинки массой m к пружине
жёсткостью k она в положении равновесия растягивается на величину ∆l = R/3. В
соответствии со вторым законом Ньютона, с учётом закона Гука: mg = k∆l = kR/3.
2. Рассмотрим состояние системы, в котором ось пружины составляет с
вертикалью угол α (см. рисунок). Угол AB1B прямой, поэтому в данный
момент длина пружины равна   =  l 2 R cos α , а высота бусинки над точкой B
составляет
        =   h 2 R sin α . Обозначим скорость бусинки в рассматриваемый
                     2
момент через V и учтём, что в исходном состоянии удлинение пружины было
равно R. Тогда, согласно закону сохранения механической энергии для
данной системы:
                              kR 2 k (l − R) 2         mV 2
                               =               + mgh +      .
                               2        2               2
3. Преобразуем это уравнение с учётом ранее записанных соотношений:
                               согласия СтатГрад запрещена
                        kR 2 k (2 R cos α − R) 2                   mV 2
            =                                     + 2mgR sin 2 α +       ,
                         2               2                           2
                    =   kR 2 kR 2 (2 cos α − 1) 2 + 4mgR sin 2 α + mV 2 ,
                  =   3mgR 3mgR(2 cos α − 1) 2 + 4mgR sin 2 α + mV 2 ,
     =
     V 2
         3 gR − 3 gR(2 cos α − 1) 2 − 4 gR sin 2=
                                                α 12 gR(cos α − cos 2 α) − 4 gR(1 − cos 2 =
                                                                                          α)
                        = 4 gR(3cos α − 2 cos α − 1).  2
4. Учитывая, что cos α =7 / 8 , получаем:
                                              7         49  1 3 gR
         =V 2 gR(3cos α − 2 cos=
                               2
                                 α − 1) 2 gR  3 ⋅ − 2 ⋅ = − 1      .
                                              8         64  2   2
5. Подставляя численное значение R, находим:
                                        1 3 ⋅10 ⋅ 0, 6
                        =V               = 1,5 м/с.
                                        2      2
              1 3 ⋅10 ⋅ 0, 6
Ответ: V
=              = 1,5 м/с.
              2      2
           Критерии оценивания выполнения задания                Баллы
Критерий 1
Верно     обоснована    возможность     использования    законов   1
(закономерностей). В данном случае: выбор ИСО, выбор модели
материальной точки, выбор модели абсолютно твёрдого тела для
каркаса, использование модели невесомой пружины, подчиняющейся
закону Гука, использование условий применимости закона
сохранения механической энергии
В обосновании отсутствует один или несколько из элементов.         0
                              ИЛИ
В обосновании допущена ошибка.
                              ИЛИ
Обоснование отсутствует
Критерий 2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второй закон
Ньютона, закон Гука, выражения для потенциальной энергии
пружины, потенциальной энергии тела в однородном поле силы
тяжести, кинетической энергии материальной точки, закон
сохранения механической энергии);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величин, используемых
в условии задачи, и стандартных обозначений величин,
используемых при написании физических законов);
III) проведены необходимые математические преобразования и
                                согласия СтатГрад запрещена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2
физические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для решения
данной задачи, без каких-либо преобразований с их использованием,
направленных на решение задачи.
                               ИЛИ
В решении отсутствует ОДНА из исходных формул, необходимая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4
                               согласия СтатГрад запрещена</x:v>
      </x:c>
      <x:c r="O3511" s="30" t="str">
        <x:v>После обоснования модели применён закон сохранения механической энергии с потенциальной энергией пружины и тяжести.</x:v>
      </x:c>
      <x:c r="P3511" s="30" t="str">
        <x:v>После обоснования модели применён закон сохранения механической энергии с потенциальной энергией пружины и тяжести.</x:v>
      </x:c>
      <x:c r="Q3511" s="30"/>
      <x:c r="R3511" s="30" t="str">
        <x:v>Официальные критерии оценивания</x:v>
      </x:c>
      <x:c r="S3511" s="30"/>
      <x:c r="T3511" s="30"/>
      <x:c r="U3511" s="30" t="str">
        <x:v>Расхождений не обнаружено.</x:v>
      </x:c>
      <x:c r="V3511" s="87" t="str">
        <x:v>VERIFIED</x:v>
      </x:c>
      <x:c r="W3511" s="87" t="str">
        <x:v>Zadanie_FI11_15102025.pdf, стр. 15</x:v>
      </x:c>
      <x:c r="X3511" s="87"/>
      <x:c r="Y3511" s="87"/>
      <x:c r="Z3511" s="87"/>
      <x:c r="AA3511" s="87"/>
      <x:c r="AB3511" s="87"/>
      <x:c r="AC3511" s="87" t="str">
        <x:v>VIS-PHYS-OCT-012</x:v>
      </x:c>
      <x:c r="AD3511" s="87"/>
      <x:c r="AE3511" s="87"/>
      <x:c r="AF3511" s="87" t="str">
        <x:v>VIS-PHYS-OCT-012: 15</x:v>
      </x:c>
      <x:c r="AG3511" s="87" t="str">
        <x:v>RESOLVED</x:v>
      </x:c>
      <x:c r="AH3511" s="87" t="str">
        <x:v>CROP_VERIFIED; TASK_CROP_QA_APPROVED:USE_TIGHT</x:v>
      </x:c>
      <x:c r="AI3511" s="30"/>
      <x:c r="AJ3511" s="87" t="str">
        <x:v>master</x:v>
      </x:c>
      <x:c r="AK3511" s="87" t="str">
        <x:v>master-v0.81</x:v>
      </x:c>
      <x:c r="AL3511" s="87" t="str">
        <x:v>statgrad_master_base_v0_81_final(2).xlsx</x:v>
      </x:c>
      <x:c r="AM3511" s="87" t="str">
        <x:v>PHYS_Oct_V1</x:v>
      </x:c>
      <x:c r="AN3511" s="87" t="n">
        <x:v>27</x:v>
      </x:c>
    </x:row>
    <x:row r="3512">
      <x:c r="A3512" s="87" t="n">
        <x:v>3511</x:v>
      </x:c>
      <x:c r="B3512" s="87" t="str">
        <x:v>OCT-PHYS-102-001</x:v>
      </x:c>
      <x:c r="C3512" s="87" t="str">
        <x:v>СтатГрад</x:v>
      </x:c>
      <x:c r="D3512" s="87" t="str">
        <x:v>Октябрь 2025</x:v>
      </x:c>
      <x:c r="E3512" s="87"/>
      <x:c r="F3512" s="87"/>
      <x:c r="G3512" s="87" t="str">
        <x:v>Физика</x:v>
      </x:c>
      <x:c r="H3512" s="87" t="n">
        <x:v>11</x:v>
      </x:c>
      <x:c r="I3512" s="87" t="str">
        <x:v>ТР №1</x:v>
      </x:c>
      <x:c r="J3512" s="87" t="str">
        <x:v>ФИ2510102</x:v>
      </x:c>
      <x:c r="K3512" s="87" t="n">
        <x:v>1</x:v>
      </x:c>
      <x:c r="L3512" s="87" t="str">
        <x:v>Кинематика. График движения</x:v>
      </x:c>
      <x:c r="M3512" s="30" t="str">
        <x:v>На рисунке представлен график зависимости координаты х велосипедиста,
    движущегося вдоль оси ОХ, от времени t. Определите проекцию скорости V x
    велосипедиста в течение промежутка времени от 6 с до 8 с. Ответ запишите
    с учётом знака проекции.
    Ответ: ___________________________ м/с.</x:v>
      </x:c>
      <x:c r="N3512" s="30" t="str">
        <x:v>-7,5</x:v>
      </x:c>
      <x:c r="O3512" s="30" t="str">
        <x:v>Скорость найдена как угловой коэффициент участка графика x(t): Δx/Δt с учётом знака.</x:v>
      </x:c>
      <x:c r="P3512" s="30" t="str">
        <x:v>Скорость найдена как угловой коэффициент участка графика x(t): Δx/Δt с учётом знака.</x:v>
      </x:c>
      <x:c r="Q3512" s="30"/>
      <x:c r="R3512" s="30" t="str">
        <x:v>Архивный фото-ключ</x:v>
      </x:c>
      <x:c r="S3512" s="30"/>
      <x:c r="T3512" s="30"/>
      <x:c r="U3512" s="30" t="str">
        <x:v>Расхождений не обнаружено.</x:v>
      </x:c>
      <x:c r="V3512" s="87" t="str">
        <x:v>VERIFIED</x:v>
      </x:c>
      <x:c r="W3512" s="87" t="str">
        <x:v>Zadanie_FI11_15102025.pdf, стр. 19</x:v>
      </x:c>
      <x:c r="X3512" s="87"/>
      <x:c r="Y3512" s="87"/>
      <x:c r="Z3512" s="87"/>
      <x:c r="AA3512" s="87"/>
      <x:c r="AB3512" s="87"/>
      <x:c r="AC3512" s="87" t="str">
        <x:v>VIS-PHYS-OCT-013</x:v>
      </x:c>
      <x:c r="AD3512" s="87"/>
      <x:c r="AE3512" s="87"/>
      <x:c r="AF3512" s="87" t="str">
        <x:v>VIS-PHYS-OCT-013: 19</x:v>
      </x:c>
      <x:c r="AG3512" s="87" t="str">
        <x:v>RESOLVED</x:v>
      </x:c>
      <x:c r="AH3512" s="87" t="str">
        <x:v>CROP_VERIFIED; TASK_CROP_QA_APPROVED:USE_CONTEXT</x:v>
      </x:c>
      <x:c r="AI3512" s="30"/>
      <x:c r="AJ3512" s="87" t="str">
        <x:v>master</x:v>
      </x:c>
      <x:c r="AK3512" s="87" t="str">
        <x:v>master-v0.81</x:v>
      </x:c>
      <x:c r="AL3512" s="87" t="str">
        <x:v>statgrad_master_base_v0_81_final(2).xlsx</x:v>
      </x:c>
      <x:c r="AM3512" s="87" t="str">
        <x:v>PHYS_Oct_V2</x:v>
      </x:c>
      <x:c r="AN3512" s="87" t="n">
        <x:v>2</x:v>
      </x:c>
    </x:row>
    <x:row r="3513">
      <x:c r="A3513" s="87" t="n">
        <x:v>3512</x:v>
      </x:c>
      <x:c r="B3513" s="87" t="str">
        <x:v>OCT-PHYS-102-002</x:v>
      </x:c>
      <x:c r="C3513" s="87" t="str">
        <x:v>СтатГрад</x:v>
      </x:c>
      <x:c r="D3513" s="87" t="str">
        <x:v>Октябрь 2025</x:v>
      </x:c>
      <x:c r="E3513" s="87"/>
      <x:c r="F3513" s="87"/>
      <x:c r="G3513" s="87" t="str">
        <x:v>Физика</x:v>
      </x:c>
      <x:c r="H3513" s="87" t="n">
        <x:v>11</x:v>
      </x:c>
      <x:c r="I3513" s="87" t="str">
        <x:v>ТР №1</x:v>
      </x:c>
      <x:c r="J3513" s="87" t="str">
        <x:v>ФИ2510102</x:v>
      </x:c>
      <x:c r="K3513" s="87" t="n">
        <x:v>2</x:v>
      </x:c>
      <x:c r="L3513" s="87" t="str">
        <x:v>Динамика. Закон Гука</x:v>
      </x:c>
      <x:c r="M3513" s="30" t="str">
        <x:v>Две пружины прикреплены концами к стене. Эти пружины сжимают,
    прикладывая к их свободным концам направленные вдоль осей пружин
    одинаковые силы F. Жёсткость первой пружины в 1,2 раза меньше жёсткости
    второй пружины. В равновесном состоянии вторая пружина сжата на 1,5 см.
    На сколько сжата первая пружина при её равновесии?
    Ответ: ___________________________ см.</x:v>
      </x:c>
      <x:c r="N3513" s="30" t="str">
        <x:v>1,8</x:v>
      </x:c>
      <x:c r="O3513" s="30" t="str">
        <x:v>Использован закон Гука F=kx; при одинаковой силе деформация обратно пропорциональна жёсткости.</x:v>
      </x:c>
      <x:c r="P3513" s="30" t="str">
        <x:v>Использован закон Гука F=kx; при одинаковой силе деформация обратно пропорциональна жёсткости.</x:v>
      </x:c>
      <x:c r="Q3513" s="30"/>
      <x:c r="R3513" s="30" t="str">
        <x:v>Архивный фото-ключ</x:v>
      </x:c>
      <x:c r="S3513" s="30"/>
      <x:c r="T3513" s="30"/>
      <x:c r="U3513" s="30" t="str">
        <x:v>Расхождений не обнаружено.</x:v>
      </x:c>
      <x:c r="V3513" s="87" t="str">
        <x:v>VERIFIED</x:v>
      </x:c>
      <x:c r="W3513" s="87" t="str">
        <x:v>Zadanie_FI11_15102025.pdf, стр. 19</x:v>
      </x:c>
      <x:c r="X3513" s="87"/>
      <x:c r="Y3513" s="87"/>
      <x:c r="Z3513" s="87"/>
      <x:c r="AA3513" s="87"/>
      <x:c r="AB3513" s="87"/>
      <x:c r="AC3513" s="87" t="str">
        <x:v>VIS-PHYS-OCT-013</x:v>
      </x:c>
      <x:c r="AD3513" s="87"/>
      <x:c r="AE3513" s="87"/>
      <x:c r="AF3513" s="87" t="str">
        <x:v>VIS-PHYS-OCT-013: 19</x:v>
      </x:c>
      <x:c r="AG3513" s="87" t="str">
        <x:v>RESOLVED</x:v>
      </x:c>
      <x:c r="AH3513" s="87" t="str">
        <x:v>CROP_VERIFIED</x:v>
      </x:c>
      <x:c r="AI3513" s="30"/>
      <x:c r="AJ3513" s="87" t="str">
        <x:v>master</x:v>
      </x:c>
      <x:c r="AK3513" s="87" t="str">
        <x:v>master-v0.81</x:v>
      </x:c>
      <x:c r="AL3513" s="87" t="str">
        <x:v>statgrad_master_base_v0_81_final(2).xlsx</x:v>
      </x:c>
      <x:c r="AM3513" s="87" t="str">
        <x:v>PHYS_Oct_V2</x:v>
      </x:c>
      <x:c r="AN3513" s="87" t="n">
        <x:v>3</x:v>
      </x:c>
    </x:row>
    <x:row r="3514">
      <x:c r="A3514" s="87" t="n">
        <x:v>3513</x:v>
      </x:c>
      <x:c r="B3514" s="87" t="str">
        <x:v>OCT-PHYS-102-003</x:v>
      </x:c>
      <x:c r="C3514" s="87" t="str">
        <x:v>СтатГрад</x:v>
      </x:c>
      <x:c r="D3514" s="87" t="str">
        <x:v>Октябрь 2025</x:v>
      </x:c>
      <x:c r="E3514" s="87"/>
      <x:c r="F3514" s="87"/>
      <x:c r="G3514" s="87" t="str">
        <x:v>Физика</x:v>
      </x:c>
      <x:c r="H3514" s="87" t="n">
        <x:v>11</x:v>
      </x:c>
      <x:c r="I3514" s="87" t="str">
        <x:v>ТР №1</x:v>
      </x:c>
      <x:c r="J3514" s="87" t="str">
        <x:v>ФИ2510102</x:v>
      </x:c>
      <x:c r="K3514" s="87" t="n">
        <x:v>3</x:v>
      </x:c>
      <x:c r="L3514" s="87" t="str">
        <x:v>Импульс</x:v>
      </x:c>
      <x:c r="M3514" s="30" t="str">
        <x:v>Из неподвижной пушки, стоящей на горизонтальной площадке, произведён
    выстрел. Снаряд массой 2 кг вылетел из ствола пушки горизонтально
    со скоростью 160 м/с относительно площадки. Чему равна масса пушки, если
    скорость пушки относительно площадки после выстрела равна 0,8 м/с?
    Ответ: ___________________________ кг.</x:v>
      </x:c>
      <x:c r="N3514" s="30" t="str">
        <x:v>400</x:v>
      </x:c>
      <x:c r="O3514" s="30" t="str">
        <x:v>Применён закон сохранения импульса системы «пушка–снаряд».</x:v>
      </x:c>
      <x:c r="P3514" s="30" t="str">
        <x:v>Применён закон сохранения импульса системы «пушка–снаряд».</x:v>
      </x:c>
      <x:c r="Q3514" s="30"/>
      <x:c r="R3514" s="30" t="str">
        <x:v>Архивный фото-ключ</x:v>
      </x:c>
      <x:c r="S3514" s="30"/>
      <x:c r="T3514" s="30"/>
      <x:c r="U3514" s="30" t="str">
        <x:v>Расхождений не обнаружено.</x:v>
      </x:c>
      <x:c r="V3514" s="87" t="str">
        <x:v>VERIFIED</x:v>
      </x:c>
      <x:c r="W3514" s="87" t="str">
        <x:v>Zadanie_FI11_15102025.pdf, стр. 19</x:v>
      </x:c>
      <x:c r="X3514" s="87"/>
      <x:c r="Y3514" s="87"/>
      <x:c r="Z3514" s="87"/>
      <x:c r="AA3514" s="87"/>
      <x:c r="AB3514" s="87"/>
      <x:c r="AC3514" s="87" t="str">
        <x:v>VIS-PHYS-OCT-013</x:v>
      </x:c>
      <x:c r="AD3514" s="87"/>
      <x:c r="AE3514" s="87"/>
      <x:c r="AF3514" s="87" t="str">
        <x:v>VIS-PHYS-OCT-013: 19</x:v>
      </x:c>
      <x:c r="AG3514" s="87" t="str">
        <x:v>RESOLVED</x:v>
      </x:c>
      <x:c r="AH3514" s="87" t="str">
        <x:v>CROP_VERIFIED</x:v>
      </x:c>
      <x:c r="AI3514" s="30"/>
      <x:c r="AJ3514" s="87" t="str">
        <x:v>master</x:v>
      </x:c>
      <x:c r="AK3514" s="87" t="str">
        <x:v>master-v0.81</x:v>
      </x:c>
      <x:c r="AL3514" s="87" t="str">
        <x:v>statgrad_master_base_v0_81_final(2).xlsx</x:v>
      </x:c>
      <x:c r="AM3514" s="87" t="str">
        <x:v>PHYS_Oct_V2</x:v>
      </x:c>
      <x:c r="AN3514" s="87" t="n">
        <x:v>4</x:v>
      </x:c>
    </x:row>
    <x:row r="3515">
      <x:c r="A3515" s="87" t="n">
        <x:v>3514</x:v>
      </x:c>
      <x:c r="B3515" s="87" t="str">
        <x:v>OCT-PHYS-102-004</x:v>
      </x:c>
      <x:c r="C3515" s="87" t="str">
        <x:v>СтатГрад</x:v>
      </x:c>
      <x:c r="D3515" s="87" t="str">
        <x:v>Октябрь 2025</x:v>
      </x:c>
      <x:c r="E3515" s="87"/>
      <x:c r="F3515" s="87"/>
      <x:c r="G3515" s="87" t="str">
        <x:v>Физика</x:v>
      </x:c>
      <x:c r="H3515" s="87" t="n">
        <x:v>11</x:v>
      </x:c>
      <x:c r="I3515" s="87" t="str">
        <x:v>ТР №1</x:v>
      </x:c>
      <x:c r="J3515" s="87" t="str">
        <x:v>ФИ2510102</x:v>
      </x:c>
      <x:c r="K3515" s="87" t="n">
        <x:v>4</x:v>
      </x:c>
      <x:c r="L3515" s="87" t="str">
        <x:v>Механические колебания</x:v>
      </x:c>
      <x:c r="M3515" s="30" t="str">
        <x:v>Частота свободных гармонических колебаний первого математического
    маятника равна 0,8 Гц. Чему равна частота свободных гармонических
    колебаний второго математического маятника, у которого длина нити
    в 4 раза меньше, а масса груза в 4 раза больше, чем у первого?
    Ответ: ___________________________ Гц.</x:v>
      </x:c>
      <x:c r="N3515" s="30" t="str">
        <x:v>1,6</x:v>
      </x:c>
      <x:c r="O3515" s="30" t="str">
        <x:v>Для математического маятника T∝√l и ν∝1/√l; масса груза не влияет.</x:v>
      </x:c>
      <x:c r="P3515" s="30" t="str">
        <x:v>Для математического маятника T∝√l и ν∝1/√l; масса груза не влияет.</x:v>
      </x:c>
      <x:c r="Q3515" s="30"/>
      <x:c r="R3515" s="30" t="str">
        <x:v>Архивный фото-ключ</x:v>
      </x:c>
      <x:c r="S3515" s="30"/>
      <x:c r="T3515" s="30"/>
      <x:c r="U3515" s="30" t="str">
        <x:v>Расхождений не обнаружено.</x:v>
      </x:c>
      <x:c r="V3515" s="87" t="str">
        <x:v>VERIFIED</x:v>
      </x:c>
      <x:c r="W3515" s="87" t="str">
        <x:v>Zadanie_FI11_15102025.pdf, стр. 19</x:v>
      </x:c>
      <x:c r="X3515" s="87"/>
      <x:c r="Y3515" s="87"/>
      <x:c r="Z3515" s="87"/>
      <x:c r="AA3515" s="87"/>
      <x:c r="AB3515" s="87"/>
      <x:c r="AC3515" s="87" t="str">
        <x:v>VIS-PHYS-OCT-013</x:v>
      </x:c>
      <x:c r="AD3515" s="87"/>
      <x:c r="AE3515" s="87"/>
      <x:c r="AF3515" s="87" t="str">
        <x:v>VIS-PHYS-OCT-013: 19</x:v>
      </x:c>
      <x:c r="AG3515" s="87" t="str">
        <x:v>RESOLVED</x:v>
      </x:c>
      <x:c r="AH3515" s="87" t="str">
        <x:v>CROP_VERIFIED</x:v>
      </x:c>
      <x:c r="AI3515" s="30"/>
      <x:c r="AJ3515" s="87" t="str">
        <x:v>master</x:v>
      </x:c>
      <x:c r="AK3515" s="87" t="str">
        <x:v>master-v0.81</x:v>
      </x:c>
      <x:c r="AL3515" s="87" t="str">
        <x:v>statgrad_master_base_v0_81_final(2).xlsx</x:v>
      </x:c>
      <x:c r="AM3515" s="87" t="str">
        <x:v>PHYS_Oct_V2</x:v>
      </x:c>
      <x:c r="AN3515" s="87" t="n">
        <x:v>5</x:v>
      </x:c>
    </x:row>
    <x:row r="3516">
      <x:c r="A3516" s="87" t="n">
        <x:v>3515</x:v>
      </x:c>
      <x:c r="B3516" s="87" t="str">
        <x:v>OCT-PHYS-102-005</x:v>
      </x:c>
      <x:c r="C3516" s="87" t="str">
        <x:v>СтатГрад</x:v>
      </x:c>
      <x:c r="D3516" s="87" t="str">
        <x:v>Октябрь 2025</x:v>
      </x:c>
      <x:c r="E3516" s="87"/>
      <x:c r="F3516" s="87"/>
      <x:c r="G3516" s="87" t="str">
        <x:v>Физика</x:v>
      </x:c>
      <x:c r="H3516" s="87" t="n">
        <x:v>11</x:v>
      </x:c>
      <x:c r="I3516" s="87" t="str">
        <x:v>ТР №1</x:v>
      </x:c>
      <x:c r="J3516" s="87" t="str">
        <x:v>ФИ2510102</x:v>
      </x:c>
      <x:c r="K3516" s="87" t="n">
        <x:v>5</x:v>
      </x:c>
      <x:c r="L3516" s="87" t="str">
        <x:v>Сухое трение</x:v>
      </x:c>
      <x:c r="M3516" s="30" t="str">
        <x:v>При изучении свойств силы сухого трения был получен график зависимости
    модуля силы трения F тр , действующей на находящееся на горизонтальном
    столе тело массой 0,5 кг, от модуля горизонтальной силы F, приложенной
    к этому телу (см. рисунок).
    Выберите все утверждения, которые верно отражают результаты этого опыта.
    В ответе запишите их номера.
    1) Сначала тело покоилось, а затем двигалось с постоянной скоростью.
    2) Чтобы сдвинуть тело с места, нужно приложить силу F, модуль которой
       не менее 2 Н.
    3) Кинетическая энергия тела в течение опыта постоянно возрастала.
    4) Коэффициент трения тела о стол равен 0,4.
    5) Когда модуль силы F, действующей на тело, равен 6 Н, тело движется
       с ускорением 4 м/с2.</x:v>
      </x:c>
      <x:c r="N3516" s="30" t="str">
        <x:v>24</x:v>
      </x:c>
      <x:c r="O3516" s="30" t="str">
        <x:v>График силы сухого трения сопоставлен с режимами покоя и скольжения; утверждения проверены по значениям графика.</x:v>
      </x:c>
      <x:c r="P3516" s="30" t="str">
        <x:v>График силы сухого трения сопоставлен с режимами покоя и скольжения; утверждения проверены по значениям графика.</x:v>
      </x:c>
      <x:c r="Q3516" s="30"/>
      <x:c r="R3516" s="30" t="str">
        <x:v>Официальная таблица ответов</x:v>
      </x:c>
      <x:c r="S3516" s="30"/>
      <x:c r="T3516" s="30"/>
      <x:c r="U3516" s="30" t="str">
        <x:v>Расхождений не обнаружено.</x:v>
      </x:c>
      <x:c r="V3516" s="87" t="str">
        <x:v>VERIFIED</x:v>
      </x:c>
      <x:c r="W3516" s="87" t="str">
        <x:v>Zadanie_FI11_15102025.pdf, стр. 20</x:v>
      </x:c>
      <x:c r="X3516" s="87"/>
      <x:c r="Y3516" s="87"/>
      <x:c r="Z3516" s="87"/>
      <x:c r="AA3516" s="87"/>
      <x:c r="AB3516" s="87"/>
      <x:c r="AC3516" s="87" t="str">
        <x:v>VIS-PHYS-OCT-014</x:v>
      </x:c>
      <x:c r="AD3516" s="87"/>
      <x:c r="AE3516" s="87"/>
      <x:c r="AF3516" s="87" t="str">
        <x:v>VIS-PHYS-OCT-014: 20</x:v>
      </x:c>
      <x:c r="AG3516" s="87" t="str">
        <x:v>RESOLVED</x:v>
      </x:c>
      <x:c r="AH3516" s="87" t="str">
        <x:v>CROP_VERIFIED; TASK_CROP_QA_APPROVED:USE_CONTEXT</x:v>
      </x:c>
      <x:c r="AI3516" s="30"/>
      <x:c r="AJ3516" s="87" t="str">
        <x:v>master</x:v>
      </x:c>
      <x:c r="AK3516" s="87" t="str">
        <x:v>master-v0.81</x:v>
      </x:c>
      <x:c r="AL3516" s="87" t="str">
        <x:v>statgrad_master_base_v0_81_final(2).xlsx</x:v>
      </x:c>
      <x:c r="AM3516" s="87" t="str">
        <x:v>PHYS_Oct_V2</x:v>
      </x:c>
      <x:c r="AN3516" s="87" t="n">
        <x:v>6</x:v>
      </x:c>
    </x:row>
    <x:row r="3517">
      <x:c r="A3517" s="87" t="n">
        <x:v>3516</x:v>
      </x:c>
      <x:c r="B3517" s="87" t="str">
        <x:v>OCT-PHYS-102-006</x:v>
      </x:c>
      <x:c r="C3517" s="87" t="str">
        <x:v>СтатГрад</x:v>
      </x:c>
      <x:c r="D3517" s="87" t="str">
        <x:v>Октябрь 2025</x:v>
      </x:c>
      <x:c r="E3517" s="87"/>
      <x:c r="F3517" s="87"/>
      <x:c r="G3517" s="87" t="str">
        <x:v>Физика</x:v>
      </x:c>
      <x:c r="H3517" s="87" t="n">
        <x:v>11</x:v>
      </x:c>
      <x:c r="I3517" s="87" t="str">
        <x:v>ТР №1</x:v>
      </x:c>
      <x:c r="J3517" s="87" t="str">
        <x:v>ФИ2510102</x:v>
      </x:c>
      <x:c r="K3517" s="87" t="n">
        <x:v>6</x:v>
      </x:c>
      <x:c r="L3517" s="87" t="str">
        <x:v>Движение тела под действием тяжести</x:v>
      </x:c>
      <x:c r="M3517" s="30" t="str">
        <x:v>Мячик брошен с высоты H над горизонтальной поверхностью с начальной
    скоростью V0 под углом α к горизонту так, как показано на рисунке (угол
    отсчитывается от горизонтали в направлении по часовой стрелке). Как
    изменятся время полёта и ускорение мячика в течение полёта, если увеличить
    угол α, а остальные параметры оставить без изменения? Сопротивлением
    воздуха пренебречь.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Время полёта мячика                  Ускорение мячика в течение полёта</x:v>
      </x:c>
      <x:c r="N3517" s="30" t="str">
        <x:v>23</x:v>
      </x:c>
      <x:c r="O3517" s="30" t="str">
        <x:v>Проекции начальной скорости и уравнения движения сопоставлены при изменении угла; конечная скорость дополнительно проверена по энергии.</x:v>
      </x:c>
      <x:c r="P3517" s="30" t="str">
        <x:v>Проекции начальной скорости и уравнения движения сопоставлены при изменении угла; конечная скорость дополнительно проверена по энергии.</x:v>
      </x:c>
      <x:c r="Q3517" s="30"/>
      <x:c r="R3517" s="30" t="str">
        <x:v>Архивный фото-ключ</x:v>
      </x:c>
      <x:c r="S3517" s="30"/>
      <x:c r="T3517" s="30"/>
      <x:c r="U3517" s="30" t="str">
        <x:v>Расхождений не обнаружено.</x:v>
      </x:c>
      <x:c r="V3517" s="87" t="str">
        <x:v>VERIFIED</x:v>
      </x:c>
      <x:c r="W3517" s="87" t="str">
        <x:v>Zadanie_FI11_15102025.pdf, стр. 21</x:v>
      </x:c>
      <x:c r="X3517" s="87"/>
      <x:c r="Y3517" s="87"/>
      <x:c r="Z3517" s="87"/>
      <x:c r="AA3517" s="87"/>
      <x:c r="AB3517" s="87"/>
      <x:c r="AC3517" s="87" t="str">
        <x:v>VIS-PHYS-OCT-015</x:v>
      </x:c>
      <x:c r="AD3517" s="87"/>
      <x:c r="AE3517" s="87"/>
      <x:c r="AF3517" s="87" t="str">
        <x:v>VIS-PHYS-OCT-015: 21</x:v>
      </x:c>
      <x:c r="AG3517" s="87" t="str">
        <x:v>RESOLVED</x:v>
      </x:c>
      <x:c r="AH3517" s="87" t="str">
        <x:v>CROP_VERIFIED; TASK_CROP_QA_APPROVED:USE_CONTEXT</x:v>
      </x:c>
      <x:c r="AI3517" s="30"/>
      <x:c r="AJ3517" s="87" t="str">
        <x:v>master</x:v>
      </x:c>
      <x:c r="AK3517" s="87" t="str">
        <x:v>master-v0.81</x:v>
      </x:c>
      <x:c r="AL3517" s="87" t="str">
        <x:v>statgrad_master_base_v0_81_final(2).xlsx</x:v>
      </x:c>
      <x:c r="AM3517" s="87" t="str">
        <x:v>PHYS_Oct_V2</x:v>
      </x:c>
      <x:c r="AN3517" s="87" t="n">
        <x:v>7</x:v>
      </x:c>
    </x:row>
    <x:row r="3518">
      <x:c r="A3518" s="87" t="n">
        <x:v>3517</x:v>
      </x:c>
      <x:c r="B3518" s="87" t="str">
        <x:v>OCT-PHYS-102-007</x:v>
      </x:c>
      <x:c r="C3518" s="87" t="str">
        <x:v>СтатГрад</x:v>
      </x:c>
      <x:c r="D3518" s="87" t="str">
        <x:v>Октябрь 2025</x:v>
      </x:c>
      <x:c r="E3518" s="87"/>
      <x:c r="F3518" s="87"/>
      <x:c r="G3518" s="87" t="str">
        <x:v>Физика</x:v>
      </x:c>
      <x:c r="H3518" s="87" t="n">
        <x:v>11</x:v>
      </x:c>
      <x:c r="I3518" s="87" t="str">
        <x:v>ТР №1</x:v>
      </x:c>
      <x:c r="J3518" s="87" t="str">
        <x:v>ФИ2510102</x:v>
      </x:c>
      <x:c r="K3518" s="87" t="n">
        <x:v>7</x:v>
      </x:c>
      <x:c r="L3518" s="87" t="str">
        <x:v>Молекулярная физика</x:v>
      </x:c>
      <x:c r="M3518" s="30" t="str">
        <x:v>Неизменное количество идеального газа находится в сосуде с жёсткими
    стенками. При нагревании давление газа увеличилось в 2 раза. Чему равно
    отношение абсолютных температур газа в конечном и начальном состоянии
    T 2 /T 1 ?</x:v>
      </x:c>
      <x:c r="N3518" s="30" t="str">
        <x:v>2</x:v>
      </x:c>
      <x:c r="O3518" s="30" t="str">
        <x:v>Использовано уравнение состояния идеального газа и постоянство указанных параметров.</x:v>
      </x:c>
      <x:c r="P3518" s="30" t="str">
        <x:v>Использовано уравнение состояния идеального газа и постоянство указанных параметров.</x:v>
      </x:c>
      <x:c r="Q3518" s="30"/>
      <x:c r="R3518" s="30" t="str">
        <x:v>Архивный фото-ключ</x:v>
      </x:c>
      <x:c r="S3518" s="30"/>
      <x:c r="T3518" s="30"/>
      <x:c r="U3518" s="30" t="str">
        <x:v>Расхождений не обнаружено.</x:v>
      </x:c>
      <x:c r="V3518" s="87" t="str">
        <x:v>VERIFIED</x:v>
      </x:c>
      <x:c r="W3518" s="87" t="str">
        <x:v>Zadanie_FI11_15102025.pdf, стр. 21</x:v>
      </x:c>
      <x:c r="X3518" s="87"/>
      <x:c r="Y3518" s="87"/>
      <x:c r="Z3518" s="87"/>
      <x:c r="AA3518" s="87"/>
      <x:c r="AB3518" s="87"/>
      <x:c r="AC3518" s="87" t="str">
        <x:v>VIS-PHYS-OCT-015</x:v>
      </x:c>
      <x:c r="AD3518" s="87"/>
      <x:c r="AE3518" s="87"/>
      <x:c r="AF3518" s="87" t="str">
        <x:v>VIS-PHYS-OCT-015: 21</x:v>
      </x:c>
      <x:c r="AG3518" s="87" t="str">
        <x:v>RESOLVED</x:v>
      </x:c>
      <x:c r="AH3518" s="87" t="str">
        <x:v>CROP_VERIFIED</x:v>
      </x:c>
      <x:c r="AI3518" s="30"/>
      <x:c r="AJ3518" s="87" t="str">
        <x:v>master</x:v>
      </x:c>
      <x:c r="AK3518" s="87" t="str">
        <x:v>master-v0.81</x:v>
      </x:c>
      <x:c r="AL3518" s="87" t="str">
        <x:v>statgrad_master_base_v0_81_final(2).xlsx</x:v>
      </x:c>
      <x:c r="AM3518" s="87" t="str">
        <x:v>PHYS_Oct_V2</x:v>
      </x:c>
      <x:c r="AN3518" s="87" t="n">
        <x:v>8</x:v>
      </x:c>
    </x:row>
    <x:row r="3519">
      <x:c r="A3519" s="87" t="n">
        <x:v>3518</x:v>
      </x:c>
      <x:c r="B3519" s="87" t="str">
        <x:v>OCT-PHYS-102-008</x:v>
      </x:c>
      <x:c r="C3519" s="87" t="str">
        <x:v>СтатГрад</x:v>
      </x:c>
      <x:c r="D3519" s="87" t="str">
        <x:v>Октябрь 2025</x:v>
      </x:c>
      <x:c r="E3519" s="87"/>
      <x:c r="F3519" s="87"/>
      <x:c r="G3519" s="87" t="str">
        <x:v>Физика</x:v>
      </x:c>
      <x:c r="H3519" s="87" t="n">
        <x:v>11</x:v>
      </x:c>
      <x:c r="I3519" s="87" t="str">
        <x:v>ТР №1</x:v>
      </x:c>
      <x:c r="J3519" s="87" t="str">
        <x:v>ФИ2510102</x:v>
      </x:c>
      <x:c r="K3519" s="87" t="n">
        <x:v>8</x:v>
      </x:c>
      <x:c r="L3519" s="87" t="str">
        <x:v>Работа газа</x:v>
      </x:c>
      <x:c r="M3519" s="30" t="str">
        <x:v>На рисунке показаны зависимости давления p гелия от его объёма V для двух
    процессов: 1–2 и 3–4. Чему равно отношение A34/A12 работы гелия в процессе
    3–4 к работе гелия в процессе 1–2?</x:v>
      </x:c>
      <x:c r="N3519" s="30" t="str">
        <x:v>0,6</x:v>
      </x:c>
      <x:c r="O3519" s="30" t="str">
        <x:v>Работа газа определена площадью под соответствующим участком pV-графика.</x:v>
      </x:c>
      <x:c r="P3519" s="30" t="str">
        <x:v>Работа газа определена площадью под соответствующим участком pV-графика.</x:v>
      </x:c>
      <x:c r="Q3519" s="30"/>
      <x:c r="R3519" s="30" t="str">
        <x:v>Архивный фото-ключ</x:v>
      </x:c>
      <x:c r="S3519" s="30"/>
      <x:c r="T3519" s="30"/>
      <x:c r="U3519" s="30" t="str">
        <x:v>Расхождений не обнаружено.</x:v>
      </x:c>
      <x:c r="V3519" s="87" t="str">
        <x:v>VERIFIED</x:v>
      </x:c>
      <x:c r="W3519" s="87" t="str">
        <x:v>Zadanie_FI11_15102025.pdf, стр. 22</x:v>
      </x:c>
      <x:c r="X3519" s="87"/>
      <x:c r="Y3519" s="87"/>
      <x:c r="Z3519" s="87"/>
      <x:c r="AA3519" s="87"/>
      <x:c r="AB3519" s="87"/>
      <x:c r="AC3519" s="87" t="str">
        <x:v>VIS-PHYS-OCT-016</x:v>
      </x:c>
      <x:c r="AD3519" s="87"/>
      <x:c r="AE3519" s="87"/>
      <x:c r="AF3519" s="87" t="str">
        <x:v>VIS-PHYS-OCT-016: 22</x:v>
      </x:c>
      <x:c r="AG3519" s="87" t="str">
        <x:v>RESOLVED</x:v>
      </x:c>
      <x:c r="AH3519" s="87" t="str">
        <x:v>CROP_VERIFIED; TASK_CROP_QA_APPROVED:USE_CONTEXT</x:v>
      </x:c>
      <x:c r="AI3519" s="30"/>
      <x:c r="AJ3519" s="87" t="str">
        <x:v>master</x:v>
      </x:c>
      <x:c r="AK3519" s="87" t="str">
        <x:v>master-v0.81</x:v>
      </x:c>
      <x:c r="AL3519" s="87" t="str">
        <x:v>statgrad_master_base_v0_81_final(2).xlsx</x:v>
      </x:c>
      <x:c r="AM3519" s="87" t="str">
        <x:v>PHYS_Oct_V2</x:v>
      </x:c>
      <x:c r="AN3519" s="87" t="n">
        <x:v>9</x:v>
      </x:c>
    </x:row>
    <x:row r="3520">
      <x:c r="A3520" s="87" t="n">
        <x:v>3519</x:v>
      </x:c>
      <x:c r="B3520" s="87" t="str">
        <x:v>OCT-PHYS-102-009</x:v>
      </x:c>
      <x:c r="C3520" s="87" t="str">
        <x:v>СтатГрад</x:v>
      </x:c>
      <x:c r="D3520" s="87" t="str">
        <x:v>Октябрь 2025</x:v>
      </x:c>
      <x:c r="E3520" s="87"/>
      <x:c r="F3520" s="87"/>
      <x:c r="G3520" s="87" t="str">
        <x:v>Физика</x:v>
      </x:c>
      <x:c r="H3520" s="87" t="n">
        <x:v>11</x:v>
      </x:c>
      <x:c r="I3520" s="87" t="str">
        <x:v>ТР №1</x:v>
      </x:c>
      <x:c r="J3520" s="87" t="str">
        <x:v>ФИ2510102</x:v>
      </x:c>
      <x:c r="K3520" s="87" t="n">
        <x:v>9</x:v>
      </x:c>
      <x:c r="L3520" s="87" t="str">
        <x:v>Смеси идеальных газов</x:v>
      </x:c>
      <x:c r="M3520" s="30" t="str">
        <x:v>Объём сосуда, содержащего 2 моля водорода, увеличили вдвое, и добавили
    в сосуд 1,5 моля азота. Температуру в сосуде поддерживали постоянной.
    Выберите из предложенного перечня все утверждения, которые верно
    отражают результаты этого опыта. В ответе запишите их номера.
    1) Концентрации водорода и азота в сосуде в конце опыта одинаковы.
    2) Внутренняя энергия водорода не изменилась.
    3) Плотность газа в сосуде увеличилась.
    4) Давление в сосуде уменьшилось.
    5) В конце опыта парциальное давление водорода больше, чем парциальное
       давление азота.</x:v>
      </x:c>
      <x:c r="N3520" s="30" t="str">
        <x:v>235</x:v>
      </x:c>
      <x:c r="O3520" s="30" t="str">
        <x:v>Проверены концентрация, давление, плотность, внутренняя энергия и парциальные давления смеси идеальных газов.</x:v>
      </x:c>
      <x:c r="P3520" s="30" t="str">
        <x:v>Проверены концентрация, давление, плотность, внутренняя энергия и парциальные давления смеси идеальных газов.</x:v>
      </x:c>
      <x:c r="Q3520" s="30"/>
      <x:c r="R3520" s="30" t="str">
        <x:v>Официальная таблица ответов</x:v>
      </x:c>
      <x:c r="S3520" s="30"/>
      <x:c r="T3520" s="30"/>
      <x:c r="U3520" s="30" t="str">
        <x:v>Расхождений не обнаружено.</x:v>
      </x:c>
      <x:c r="V3520" s="87" t="str">
        <x:v>VERIFIED</x:v>
      </x:c>
      <x:c r="W3520" s="87" t="str">
        <x:v>Zadanie_FI11_15102025.pdf, стр. 22</x:v>
      </x:c>
      <x:c r="X3520" s="87"/>
      <x:c r="Y3520" s="87"/>
      <x:c r="Z3520" s="87"/>
      <x:c r="AA3520" s="87"/>
      <x:c r="AB3520" s="87"/>
      <x:c r="AC3520" s="87" t="str">
        <x:v>VIS-PHYS-OCT-016</x:v>
      </x:c>
      <x:c r="AD3520" s="87"/>
      <x:c r="AE3520" s="87"/>
      <x:c r="AF3520" s="87" t="str">
        <x:v>VIS-PHYS-OCT-016: 22</x:v>
      </x:c>
      <x:c r="AG3520" s="87" t="str">
        <x:v>RESOLVED</x:v>
      </x:c>
      <x:c r="AH3520" s="87" t="str">
        <x:v>CROP_VERIFIED</x:v>
      </x:c>
      <x:c r="AI3520" s="30"/>
      <x:c r="AJ3520" s="87" t="str">
        <x:v>master</x:v>
      </x:c>
      <x:c r="AK3520" s="87" t="str">
        <x:v>master-v0.81</x:v>
      </x:c>
      <x:c r="AL3520" s="87" t="str">
        <x:v>statgrad_master_base_v0_81_final(2).xlsx</x:v>
      </x:c>
      <x:c r="AM3520" s="87" t="str">
        <x:v>PHYS_Oct_V2</x:v>
      </x:c>
      <x:c r="AN3520" s="87" t="n">
        <x:v>10</x:v>
      </x:c>
    </x:row>
    <x:row r="3521">
      <x:c r="A3521" s="87" t="n">
        <x:v>3520</x:v>
      </x:c>
      <x:c r="B3521" s="87" t="str">
        <x:v>OCT-PHYS-102-010</x:v>
      </x:c>
      <x:c r="C3521" s="87" t="str">
        <x:v>СтатГрад</x:v>
      </x:c>
      <x:c r="D3521" s="87" t="str">
        <x:v>Октябрь 2025</x:v>
      </x:c>
      <x:c r="E3521" s="87"/>
      <x:c r="F3521" s="87"/>
      <x:c r="G3521" s="87" t="str">
        <x:v>Физика</x:v>
      </x:c>
      <x:c r="H3521" s="87" t="n">
        <x:v>11</x:v>
      </x:c>
      <x:c r="I3521" s="87" t="str">
        <x:v>ТР №1</x:v>
      </x:c>
      <x:c r="J3521" s="87" t="str">
        <x:v>ФИ2510102</x:v>
      </x:c>
      <x:c r="K3521" s="87" t="n">
        <x:v>10</x:v>
      </x:c>
      <x:c r="L3521" s="87" t="str">
        <x:v>Газовые процессы</x:v>
      </x:c>
      <x:c r="M3521" s="30" t="str">
        <x:v>На рисунках приведены графики А) и Б) двух различных процессов: 1–2 и 3–4,
     происходящих с 1 молем гелия. Графики построены в координатах р–T и p–V,
     где p – давление, V – объём и T – абсолютная температура газа. Установите
     соответствие между графиками и утверждениями, характеризующими
     изображённые на графиках процессы.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ГРАФИКИ                                   УТВЕРЖДЕНИЯ
                                 1)    Над газом совершают работу, при этом его
                                       внутренняя энергия уменьшается.
     А)
                                 2)    Над газом совершают работу, при этом газ
                                       получает положительное количество теплоты.
     Б)
                                 3)     Газ получает положительное количество
                                       теплоты и совершает работу.
                                 4)    Газ получает положительное количество
                                       теплоты, при этом его внутренняя энергия
                                       увеличивается.</x:v>
      </x:c>
      <x:c r="N3521" s="30" t="str">
        <x:v>13</x:v>
      </x:c>
      <x:c r="O3521" s="30" t="str">
        <x:v>Каждый график переведён через pV=νRT; установлены знак работы, изменение объёма и температуры.</x:v>
      </x:c>
      <x:c r="P3521" s="30" t="str">
        <x:v>Каждый график переведён через pV=νRT; установлены знак работы, изменение объёма и температуры.</x:v>
      </x:c>
      <x:c r="Q3521" s="30"/>
      <x:c r="R3521" s="30" t="str">
        <x:v>Архивный фото-ключ</x:v>
      </x:c>
      <x:c r="S3521" s="30"/>
      <x:c r="T3521" s="30"/>
      <x:c r="U3521" s="30" t="str">
        <x:v>Расхождений не обнаружено.</x:v>
      </x:c>
      <x:c r="V3521" s="87" t="str">
        <x:v>VERIFIED</x:v>
      </x:c>
      <x:c r="W3521" s="87" t="str">
        <x:v>Zadanie_FI11_15102025.pdf, стр. 23</x:v>
      </x:c>
      <x:c r="X3521" s="87"/>
      <x:c r="Y3521" s="87"/>
      <x:c r="Z3521" s="87"/>
      <x:c r="AA3521" s="87"/>
      <x:c r="AB3521" s="87"/>
      <x:c r="AC3521" s="87" t="str">
        <x:v>VIS-PHYS-OCT-017</x:v>
      </x:c>
      <x:c r="AD3521" s="87"/>
      <x:c r="AE3521" s="87"/>
      <x:c r="AF3521" s="87" t="str">
        <x:v>VIS-PHYS-OCT-017: 23</x:v>
      </x:c>
      <x:c r="AG3521" s="87" t="str">
        <x:v>RESOLVED</x:v>
      </x:c>
      <x:c r="AH3521" s="87" t="str">
        <x:v>CROP_VERIFIED; TASK_CROP_QA_APPROVED:USE_CONTEXT</x:v>
      </x:c>
      <x:c r="AI3521" s="30"/>
      <x:c r="AJ3521" s="87" t="str">
        <x:v>master</x:v>
      </x:c>
      <x:c r="AK3521" s="87" t="str">
        <x:v>master-v0.81</x:v>
      </x:c>
      <x:c r="AL3521" s="87" t="str">
        <x:v>statgrad_master_base_v0_81_final(2).xlsx</x:v>
      </x:c>
      <x:c r="AM3521" s="87" t="str">
        <x:v>PHYS_Oct_V2</x:v>
      </x:c>
      <x:c r="AN3521" s="87" t="n">
        <x:v>11</x:v>
      </x:c>
    </x:row>
    <x:row r="3522">
      <x:c r="A3522" s="87" t="n">
        <x:v>3521</x:v>
      </x:c>
      <x:c r="B3522" s="87" t="str">
        <x:v>OCT-PHYS-102-011</x:v>
      </x:c>
      <x:c r="C3522" s="87" t="str">
        <x:v>СтатГрад</x:v>
      </x:c>
      <x:c r="D3522" s="87" t="str">
        <x:v>Октябрь 2025</x:v>
      </x:c>
      <x:c r="E3522" s="87"/>
      <x:c r="F3522" s="87"/>
      <x:c r="G3522" s="87" t="str">
        <x:v>Физика</x:v>
      </x:c>
      <x:c r="H3522" s="87" t="n">
        <x:v>11</x:v>
      </x:c>
      <x:c r="I3522" s="87" t="str">
        <x:v>ТР №1</x:v>
      </x:c>
      <x:c r="J3522" s="87" t="str">
        <x:v>ФИ2510102</x:v>
      </x:c>
      <x:c r="K3522" s="87" t="n">
        <x:v>11</x:v>
      </x:c>
      <x:c r="L3522" s="87" t="str">
        <x:v>Электростатика</x:v>
      </x:c>
      <x:c r="M3522" s="30" t="str">
        <x:v>Сила взаимодействия между двумя точечными заряженными телами была
     равна 27 мН. Расстояние между ними увеличили в 3 раза, а заряд одного
     из тел увеличили в 4 раза. Определите величину силы кулоновского
     взаимодействия тел в этом случае.
     Ответ: ___________________________ мН.</x:v>
      </x:c>
      <x:c r="N3522" s="30" t="str">
        <x:v>12</x:v>
      </x:c>
      <x:c r="O3522" s="30" t="str">
        <x:v>Использован закон Кулона F∝|q1q2|/r².</x:v>
      </x:c>
      <x:c r="P3522" s="30" t="str">
        <x:v>Использован закон Кулона F∝|q1q2|/r².</x:v>
      </x:c>
      <x:c r="Q3522" s="30"/>
      <x:c r="R3522" s="30" t="str">
        <x:v>Архивный фото-ключ</x:v>
      </x:c>
      <x:c r="S3522" s="30"/>
      <x:c r="T3522" s="30"/>
      <x:c r="U3522" s="30" t="str">
        <x:v>Расхождений не обнаружено.</x:v>
      </x:c>
      <x:c r="V3522" s="87" t="str">
        <x:v>VERIFIED</x:v>
      </x:c>
      <x:c r="W3522" s="87" t="str">
        <x:v>Zadanie_FI11_15102025.pdf, стр. 23</x:v>
      </x:c>
      <x:c r="X3522" s="87"/>
      <x:c r="Y3522" s="87"/>
      <x:c r="Z3522" s="87"/>
      <x:c r="AA3522" s="87"/>
      <x:c r="AB3522" s="87"/>
      <x:c r="AC3522" s="87" t="str">
        <x:v>VIS-PHYS-OCT-017</x:v>
      </x:c>
      <x:c r="AD3522" s="87"/>
      <x:c r="AE3522" s="87"/>
      <x:c r="AF3522" s="87" t="str">
        <x:v>VIS-PHYS-OCT-017: 23</x:v>
      </x:c>
      <x:c r="AG3522" s="87" t="str">
        <x:v>RESOLVED</x:v>
      </x:c>
      <x:c r="AH3522" s="87" t="str">
        <x:v>CROP_VERIFIED</x:v>
      </x:c>
      <x:c r="AI3522" s="30"/>
      <x:c r="AJ3522" s="87" t="str">
        <x:v>master</x:v>
      </x:c>
      <x:c r="AK3522" s="87" t="str">
        <x:v>master-v0.81</x:v>
      </x:c>
      <x:c r="AL3522" s="87" t="str">
        <x:v>statgrad_master_base_v0_81_final(2).xlsx</x:v>
      </x:c>
      <x:c r="AM3522" s="87" t="str">
        <x:v>PHYS_Oct_V2</x:v>
      </x:c>
      <x:c r="AN3522" s="87" t="n">
        <x:v>12</x:v>
      </x:c>
    </x:row>
    <x:row r="3523">
      <x:c r="A3523" s="87" t="n">
        <x:v>3522</x:v>
      </x:c>
      <x:c r="B3523" s="87" t="str">
        <x:v>OCT-PHYS-102-012</x:v>
      </x:c>
      <x:c r="C3523" s="87" t="str">
        <x:v>СтатГрад</x:v>
      </x:c>
      <x:c r="D3523" s="87" t="str">
        <x:v>Октябрь 2025</x:v>
      </x:c>
      <x:c r="E3523" s="87"/>
      <x:c r="F3523" s="87"/>
      <x:c r="G3523" s="87" t="str">
        <x:v>Физика</x:v>
      </x:c>
      <x:c r="H3523" s="87" t="n">
        <x:v>11</x:v>
      </x:c>
      <x:c r="I3523" s="87" t="str">
        <x:v>ТР №1</x:v>
      </x:c>
      <x:c r="J3523" s="87" t="str">
        <x:v>ФИ2510102</x:v>
      </x:c>
      <x:c r="K3523" s="87" t="n">
        <x:v>12</x:v>
      </x:c>
      <x:c r="L3523" s="87" t="str">
        <x:v>Электромагнитная индукция</x:v>
      </x:c>
      <x:c r="M3523" s="30" t="str">
        <x:v>При поступательном движении прямолинейного проводника в постоянном
     однородном магнитном поле с индукцией В 1 между концами проводника
     возникает разность потенциалов U. При движении этого проводника в той же
     плоскости и в том же направлении с такой же скоростью в однородном
     магнитном поле с индукцией В 2 разность потенциалов между концами
     проводника уменьшилась в 2,5 раза. Чему равно отношение В 1 /В 2 ?</x:v>
      </x:c>
      <x:c r="N3523" s="30" t="str">
        <x:v>2,5</x:v>
      </x:c>
      <x:c r="O3523" s="30" t="str">
        <x:v>ЭДС движения пропорциональна скорости проводника при неизменных B, длине и ориентации.</x:v>
      </x:c>
      <x:c r="P3523" s="30" t="str">
        <x:v>ЭДС движения пропорциональна скорости проводника при неизменных B, длине и ориентации.</x:v>
      </x:c>
      <x:c r="Q3523" s="30"/>
      <x:c r="R3523" s="30" t="str">
        <x:v>Архивный фото-ключ</x:v>
      </x:c>
      <x:c r="S3523" s="30"/>
      <x:c r="T3523" s="30"/>
      <x:c r="U3523" s="30" t="str">
        <x:v>Расхождений не обнаружено.</x:v>
      </x:c>
      <x:c r="V3523" s="87" t="str">
        <x:v>VERIFIED</x:v>
      </x:c>
      <x:c r="W3523" s="87" t="str">
        <x:v>Zadanie_FI11_15102025.pdf, стр. 24</x:v>
      </x:c>
      <x:c r="X3523" s="87"/>
      <x:c r="Y3523" s="87"/>
      <x:c r="Z3523" s="87"/>
      <x:c r="AA3523" s="87"/>
      <x:c r="AB3523" s="87"/>
      <x:c r="AC3523" s="87" t="str">
        <x:v>VIS-PHYS-OCT-018</x:v>
      </x:c>
      <x:c r="AD3523" s="87"/>
      <x:c r="AE3523" s="87"/>
      <x:c r="AF3523" s="87" t="str">
        <x:v>VIS-PHYS-OCT-018: 24</x:v>
      </x:c>
      <x:c r="AG3523" s="87" t="str">
        <x:v>RESOLVED</x:v>
      </x:c>
      <x:c r="AH3523" s="87" t="str">
        <x:v>CROP_VERIFIED</x:v>
      </x:c>
      <x:c r="AI3523" s="30"/>
      <x:c r="AJ3523" s="87" t="str">
        <x:v>master</x:v>
      </x:c>
      <x:c r="AK3523" s="87" t="str">
        <x:v>master-v0.81</x:v>
      </x:c>
      <x:c r="AL3523" s="87" t="str">
        <x:v>statgrad_master_base_v0_81_final(2).xlsx</x:v>
      </x:c>
      <x:c r="AM3523" s="87" t="str">
        <x:v>PHYS_Oct_V2</x:v>
      </x:c>
      <x:c r="AN3523" s="87" t="n">
        <x:v>13</x:v>
      </x:c>
    </x:row>
    <x:row r="3524">
      <x:c r="A3524" s="87" t="n">
        <x:v>3523</x:v>
      </x:c>
      <x:c r="B3524" s="87" t="str">
        <x:v>OCT-PHYS-102-013</x:v>
      </x:c>
      <x:c r="C3524" s="87" t="str">
        <x:v>СтатГрад</x:v>
      </x:c>
      <x:c r="D3524" s="87" t="str">
        <x:v>Октябрь 2025</x:v>
      </x:c>
      <x:c r="E3524" s="87"/>
      <x:c r="F3524" s="87"/>
      <x:c r="G3524" s="87" t="str">
        <x:v>Физика</x:v>
      </x:c>
      <x:c r="H3524" s="87" t="n">
        <x:v>11</x:v>
      </x:c>
      <x:c r="I3524" s="87" t="str">
        <x:v>ТР №1</x:v>
      </x:c>
      <x:c r="J3524" s="87" t="str">
        <x:v>ФИ2510102</x:v>
      </x:c>
      <x:c r="K3524" s="87" t="n">
        <x:v>13</x:v>
      </x:c>
      <x:c r="L3524" s="87" t="str">
        <x:v>Геометрическая оптика</x:v>
      </x:c>
      <x:c r="M3524" s="30" t="str">
        <x:v>Луч света падает на плоское зеркало. Угол между падающим и отражённым
     лучами равен 35°. Чему равен угол между падающим лучом и зеркалом?</x:v>
      </x:c>
      <x:c r="N3524" s="30" t="str">
        <x:v>72,5</x:v>
      </x:c>
      <x:c r="O3524" s="30" t="str">
        <x:v>По закону отражения угол между лучами равен удвоенному углу падения; затем найден угол с плоскостью зеркала.</x:v>
      </x:c>
      <x:c r="P3524" s="30" t="str">
        <x:v>По закону отражения угол между лучами равен удвоенному углу падения; затем найден угол с плоскостью зеркала.</x:v>
      </x:c>
      <x:c r="Q3524" s="30"/>
      <x:c r="R3524" s="30" t="str">
        <x:v>Архивный фото-ключ</x:v>
      </x:c>
      <x:c r="S3524" s="30"/>
      <x:c r="T3524" s="30"/>
      <x:c r="U3524" s="30" t="str">
        <x:v>Расхождений не обнаружено.</x:v>
      </x:c>
      <x:c r="V3524" s="87" t="str">
        <x:v>VERIFIED</x:v>
      </x:c>
      <x:c r="W3524" s="87" t="str">
        <x:v>Zadanie_FI11_15102025.pdf, стр. 24</x:v>
      </x:c>
      <x:c r="X3524" s="87"/>
      <x:c r="Y3524" s="87"/>
      <x:c r="Z3524" s="87"/>
      <x:c r="AA3524" s="87"/>
      <x:c r="AB3524" s="87"/>
      <x:c r="AC3524" s="87" t="str">
        <x:v>VIS-PHYS-OCT-018</x:v>
      </x:c>
      <x:c r="AD3524" s="87"/>
      <x:c r="AE3524" s="87"/>
      <x:c r="AF3524" s="87" t="str">
        <x:v>VIS-PHYS-OCT-018: 24</x:v>
      </x:c>
      <x:c r="AG3524" s="87" t="str">
        <x:v>RESOLVED</x:v>
      </x:c>
      <x:c r="AH3524" s="87" t="str">
        <x:v>CROP_VERIFIED</x:v>
      </x:c>
      <x:c r="AI3524" s="30"/>
      <x:c r="AJ3524" s="87" t="str">
        <x:v>master</x:v>
      </x:c>
      <x:c r="AK3524" s="87" t="str">
        <x:v>master-v0.81</x:v>
      </x:c>
      <x:c r="AL3524" s="87" t="str">
        <x:v>statgrad_master_base_v0_81_final(2).xlsx</x:v>
      </x:c>
      <x:c r="AM3524" s="87" t="str">
        <x:v>PHYS_Oct_V2</x:v>
      </x:c>
      <x:c r="AN3524" s="87" t="n">
        <x:v>14</x:v>
      </x:c>
    </x:row>
    <x:row r="3525">
      <x:c r="A3525" s="87" t="n">
        <x:v>3524</x:v>
      </x:c>
      <x:c r="B3525" s="87" t="str">
        <x:v>OCT-PHYS-102-014</x:v>
      </x:c>
      <x:c r="C3525" s="87" t="str">
        <x:v>СтатГрад</x:v>
      </x:c>
      <x:c r="D3525" s="87" t="str">
        <x:v>Октябрь 2025</x:v>
      </x:c>
      <x:c r="E3525" s="87"/>
      <x:c r="F3525" s="87"/>
      <x:c r="G3525" s="87" t="str">
        <x:v>Физика</x:v>
      </x:c>
      <x:c r="H3525" s="87" t="n">
        <x:v>11</x:v>
      </x:c>
      <x:c r="I3525" s="87" t="str">
        <x:v>ТР №1</x:v>
      </x:c>
      <x:c r="J3525" s="87" t="str">
        <x:v>ФИ2510102</x:v>
      </x:c>
      <x:c r="K3525" s="87" t="n">
        <x:v>14</x:v>
      </x:c>
      <x:c r="L3525" s="87" t="str">
        <x:v>Переходные процессы в RC-цепи</x:v>
      </x:c>
      <x:c r="M3525" s="30" t="str">
        <x:v>Незаряженный конденсатор подключён к батарейке последовательно
     с резистором сопротивлением R = 40 Ом (см. рисунок). В момент времени
     t = 0 ключ К замыкают. Результаты измерений силы тока I в цепи
     в зависимости от времени t представлены в таблице.
                       t, с      0   1        2     3      4     5      6
                       I, мА     150 55       20    7,5    2,5   1      0,5
     Внутренним сопротивлением батарейки, сопротивлением проводов и ключа
     можно пренебречь.
     Выберите все верные утверждения о процессах, наблюдаемых в опыте.
     В ответе запишите их номера.
     1) Напряжение на резисторе в процессе наблюдения уменьшается.
     2) Через 5 с после замыкания ключа напряжение на конденсаторе было
        меньше, чем через 2 с после замыкания ключа.
     3) ЭДС источника тока равна 15 В.
     4) Заряд конденсатора в процессе наблюдения увеличивался.
     5) В момент времени t = 3 с напряжение на конденсаторе равно 5,7 В.</x:v>
      </x:c>
      <x:c r="N3525" s="30" t="str">
        <x:v>145</x:v>
      </x:c>
      <x:c r="O3525" s="30" t="str">
        <x:v>По таблице зарядки RC-цепи проверены начальный ток, ЭДС источника и характер изменения энергии/заряда.</x:v>
      </x:c>
      <x:c r="P3525" s="30" t="str">
        <x:v>По таблице зарядки RC-цепи проверены начальный ток, ЭДС источника и характер изменения энергии/заряда.</x:v>
      </x:c>
      <x:c r="Q3525" s="30"/>
      <x:c r="R3525" s="30" t="str">
        <x:v>Официальная таблица ответов</x:v>
      </x:c>
      <x:c r="S3525" s="30"/>
      <x:c r="T3525" s="30"/>
      <x:c r="U3525" s="30" t="str">
        <x:v>Расхождений не обнаружено.</x:v>
      </x:c>
      <x:c r="V3525" s="87" t="str">
        <x:v>VERIFIED</x:v>
      </x:c>
      <x:c r="W3525" s="87" t="str">
        <x:v>Zadanie_FI11_15102025.pdf, стр. 24</x:v>
      </x:c>
      <x:c r="X3525" s="87"/>
      <x:c r="Y3525" s="87"/>
      <x:c r="Z3525" s="87"/>
      <x:c r="AA3525" s="87"/>
      <x:c r="AB3525" s="87"/>
      <x:c r="AC3525" s="87" t="str">
        <x:v>VIS-PHYS-OCT-018</x:v>
      </x:c>
      <x:c r="AD3525" s="87"/>
      <x:c r="AE3525" s="87"/>
      <x:c r="AF3525" s="87" t="str">
        <x:v>VIS-PHYS-OCT-018: 24</x:v>
      </x:c>
      <x:c r="AG3525" s="87" t="str">
        <x:v>RESOLVED</x:v>
      </x:c>
      <x:c r="AH3525" s="87" t="str">
        <x:v>CROP_VERIFIED; TASK_CROP_QA_APPROVED:USE_TIGHT</x:v>
      </x:c>
      <x:c r="AI3525" s="30"/>
      <x:c r="AJ3525" s="87" t="str">
        <x:v>master</x:v>
      </x:c>
      <x:c r="AK3525" s="87" t="str">
        <x:v>master-v0.81</x:v>
      </x:c>
      <x:c r="AL3525" s="87" t="str">
        <x:v>statgrad_master_base_v0_81_final(2).xlsx</x:v>
      </x:c>
      <x:c r="AM3525" s="87" t="str">
        <x:v>PHYS_Oct_V2</x:v>
      </x:c>
      <x:c r="AN3525" s="87" t="n">
        <x:v>15</x:v>
      </x:c>
    </x:row>
    <x:row r="3526">
      <x:c r="A3526" s="87" t="n">
        <x:v>3525</x:v>
      </x:c>
      <x:c r="B3526" s="87" t="str">
        <x:v>OCT-PHYS-102-015</x:v>
      </x:c>
      <x:c r="C3526" s="87" t="str">
        <x:v>СтатГрад</x:v>
      </x:c>
      <x:c r="D3526" s="87" t="str">
        <x:v>Октябрь 2025</x:v>
      </x:c>
      <x:c r="E3526" s="87"/>
      <x:c r="F3526" s="87"/>
      <x:c r="G3526" s="87" t="str">
        <x:v>Физика</x:v>
      </x:c>
      <x:c r="H3526" s="87" t="n">
        <x:v>11</x:v>
      </x:c>
      <x:c r="I3526" s="87" t="str">
        <x:v>ТР №1</x:v>
      </x:c>
      <x:c r="J3526" s="87" t="str">
        <x:v>ФИ2510102</x:v>
      </x:c>
      <x:c r="K3526" s="87" t="n">
        <x:v>15</x:v>
      </x:c>
      <x:c r="L3526" s="87" t="str">
        <x:v>Постоянный ток</x:v>
      </x:c>
      <x:c r="M3526" s="30" t="str">
        <x:v>Цилиндрическая проволока подключена к источнику постоянного
     напряжения, величину которого можно регулировать. Как изменятся при
     уменьшении длины проволоки в 4 раза и увеличении напряжения в 2 раза
     следующие величины: тепловая мощность, выделяющаяся в проволоке, и её
     электрическое сопротивление?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Тепловая мощность, выделяющаяся                 Электрическое сопротивление
                в проволоке                                  проволоки</x:v>
      </x:c>
      <x:c r="N3526" s="30" t="str">
        <x:v>12</x:v>
      </x:c>
      <x:c r="O3526" s="30" t="str">
        <x:v>Сопротивление R=ρl/S и мощность P=I²R либо P=U²/R пересчитаны после изменения параметров.</x:v>
      </x:c>
      <x:c r="P3526" s="30" t="str">
        <x:v>Сопротивление R=ρl/S и мощность P=I²R либо P=U²/R пересчитаны после изменения параметров.</x:v>
      </x:c>
      <x:c r="Q3526" s="30"/>
      <x:c r="R3526" s="30" t="str">
        <x:v>Архивный фото-ключ</x:v>
      </x:c>
      <x:c r="S3526" s="30"/>
      <x:c r="T3526" s="30"/>
      <x:c r="U3526" s="30" t="str">
        <x:v>Расхождений не обнаружено.</x:v>
      </x:c>
      <x:c r="V3526" s="87" t="str">
        <x:v>VERIFIED</x:v>
      </x:c>
      <x:c r="W3526" s="87" t="str">
        <x:v>Zadanie_FI11_15102025.pdf, стр. 25</x:v>
      </x:c>
      <x:c r="X3526" s="87"/>
      <x:c r="Y3526" s="87"/>
      <x:c r="Z3526" s="87"/>
      <x:c r="AA3526" s="87"/>
      <x:c r="AB3526" s="87"/>
      <x:c r="AC3526" s="87" t="str">
        <x:v>VIS-PHYS-OCT-019</x:v>
      </x:c>
      <x:c r="AD3526" s="87"/>
      <x:c r="AE3526" s="87"/>
      <x:c r="AF3526" s="87" t="str">
        <x:v>VIS-PHYS-OCT-019: 25</x:v>
      </x:c>
      <x:c r="AG3526" s="87" t="str">
        <x:v>RESOLVED</x:v>
      </x:c>
      <x:c r="AH3526" s="87" t="str">
        <x:v>CROP_VERIFIED</x:v>
      </x:c>
      <x:c r="AI3526" s="30"/>
      <x:c r="AJ3526" s="87" t="str">
        <x:v>master</x:v>
      </x:c>
      <x:c r="AK3526" s="87" t="str">
        <x:v>master-v0.81</x:v>
      </x:c>
      <x:c r="AL3526" s="87" t="str">
        <x:v>statgrad_master_base_v0_81_final(2).xlsx</x:v>
      </x:c>
      <x:c r="AM3526" s="87" t="str">
        <x:v>PHYS_Oct_V2</x:v>
      </x:c>
      <x:c r="AN3526" s="87" t="n">
        <x:v>16</x:v>
      </x:c>
    </x:row>
    <x:row r="3527">
      <x:c r="A3527" s="87" t="n">
        <x:v>3526</x:v>
      </x:c>
      <x:c r="B3527" s="87" t="str">
        <x:v>OCT-PHYS-102-016</x:v>
      </x:c>
      <x:c r="C3527" s="87" t="str">
        <x:v>СтатГрад</x:v>
      </x:c>
      <x:c r="D3527" s="87" t="str">
        <x:v>Октябрь 2025</x:v>
      </x:c>
      <x:c r="E3527" s="87"/>
      <x:c r="F3527" s="87"/>
      <x:c r="G3527" s="87" t="str">
        <x:v>Физика</x:v>
      </x:c>
      <x:c r="H3527" s="87" t="n">
        <x:v>11</x:v>
      </x:c>
      <x:c r="I3527" s="87" t="str">
        <x:v>ТР №1</x:v>
      </x:c>
      <x:c r="J3527" s="87" t="str">
        <x:v>ФИ2510102</x:v>
      </x:c>
      <x:c r="K3527" s="87" t="n">
        <x:v>16</x:v>
      </x:c>
      <x:c r="L3527" s="87" t="str">
        <x:v>Ядерная физика</x:v>
      </x:c>
      <x:c r="M3527" s="30" t="str">
        <x:v>Ядро бора может захватить альфа-частицу, в результате чего происходит
     ядерная реакция 42 He+115B→ AZ X + 01n с образованием ядра химического элемента
     Z X . Чему равно массовое число образовавшегося ядра?
     A</x:v>
      </x:c>
      <x:c r="N3527" s="30" t="str">
        <x:v>14</x:v>
      </x:c>
      <x:c r="O3527" s="30" t="str">
        <x:v>Применены законы сохранения массового и зарядового чисел в ядерной реакции.</x:v>
      </x:c>
      <x:c r="P3527" s="30" t="str">
        <x:v>Применены законы сохранения массового и зарядового чисел в ядерной реакции.</x:v>
      </x:c>
      <x:c r="Q3527" s="30"/>
      <x:c r="R3527" s="30" t="str">
        <x:v>Архивный фото-ключ</x:v>
      </x:c>
      <x:c r="S3527" s="30"/>
      <x:c r="T3527" s="30"/>
      <x:c r="U3527" s="30" t="str">
        <x:v>Расхождений не обнаружено.</x:v>
      </x:c>
      <x:c r="V3527" s="87" t="str">
        <x:v>VERIFIED</x:v>
      </x:c>
      <x:c r="W3527" s="87" t="str">
        <x:v>Zadanie_FI11_15102025.pdf, стр. 25</x:v>
      </x:c>
      <x:c r="X3527" s="87"/>
      <x:c r="Y3527" s="87"/>
      <x:c r="Z3527" s="87"/>
      <x:c r="AA3527" s="87"/>
      <x:c r="AB3527" s="87"/>
      <x:c r="AC3527" s="87" t="str">
        <x:v>VIS-PHYS-OCT-019</x:v>
      </x:c>
      <x:c r="AD3527" s="87"/>
      <x:c r="AE3527" s="87"/>
      <x:c r="AF3527" s="87" t="str">
        <x:v>VIS-PHYS-OCT-019: 25</x:v>
      </x:c>
      <x:c r="AG3527" s="87" t="str">
        <x:v>RESOLVED</x:v>
      </x:c>
      <x:c r="AH3527" s="87" t="str">
        <x:v>CROP_VERIFIED</x:v>
      </x:c>
      <x:c r="AI3527" s="30"/>
      <x:c r="AJ3527" s="87" t="str">
        <x:v>master</x:v>
      </x:c>
      <x:c r="AK3527" s="87" t="str">
        <x:v>master-v0.81</x:v>
      </x:c>
      <x:c r="AL3527" s="87" t="str">
        <x:v>statgrad_master_base_v0_81_final(2).xlsx</x:v>
      </x:c>
      <x:c r="AM3527" s="87" t="str">
        <x:v>PHYS_Oct_V2</x:v>
      </x:c>
      <x:c r="AN3527" s="87" t="n">
        <x:v>17</x:v>
      </x:c>
    </x:row>
    <x:row r="3528">
      <x:c r="A3528" s="87" t="n">
        <x:v>3527</x:v>
      </x:c>
      <x:c r="B3528" s="87" t="str">
        <x:v>OCT-PHYS-102-017</x:v>
      </x:c>
      <x:c r="C3528" s="87" t="str">
        <x:v>СтатГрад</x:v>
      </x:c>
      <x:c r="D3528" s="87" t="str">
        <x:v>Октябрь 2025</x:v>
      </x:c>
      <x:c r="E3528" s="87"/>
      <x:c r="F3528" s="87"/>
      <x:c r="G3528" s="87" t="str">
        <x:v>Физика</x:v>
      </x:c>
      <x:c r="H3528" s="87" t="n">
        <x:v>11</x:v>
      </x:c>
      <x:c r="I3528" s="87" t="str">
        <x:v>ТР №1</x:v>
      </x:c>
      <x:c r="J3528" s="87" t="str">
        <x:v>ФИ2510102</x:v>
      </x:c>
      <x:c r="K3528" s="87" t="n">
        <x:v>17</x:v>
      </x:c>
      <x:c r="L3528" s="87" t="str">
        <x:v>Фотоэффект</x:v>
      </x:c>
      <x:c r="M3528" s="30" t="str">
        <x:v>При исследовании зависимости максимальной кинетической энергии
     фотоэлектронов от длины волны падающего света фотоэлемент освещали
     через светофильтры. В первой серии опытов использовали светофильтр,
     пропускающий только синий свет, а во второй – только зелёный. В каждом
     опыте наблюдали явление фотоэффекта.
     Как изменятся длина световой волны и работа выхода фотоэлектронов при
     переходе от первой серии опытов ко второй?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Длина волны света,                       Работа выхода фотоэлектронов
          падающего на фотоэлемент</x:v>
      </x:c>
      <x:c r="N3528" s="30" t="str">
        <x:v>13</x:v>
      </x:c>
      <x:c r="O3528" s="30" t="str">
        <x:v>Использовано уравнение Эйнштейна для фотоэффекта и соотношение ν=c/λ.</x:v>
      </x:c>
      <x:c r="P3528" s="30" t="str">
        <x:v>Использовано уравнение Эйнштейна для фотоэффекта и соотношение ν=c/λ.</x:v>
      </x:c>
      <x:c r="Q3528" s="30"/>
      <x:c r="R3528" s="30" t="str">
        <x:v>Архивный фото-ключ</x:v>
      </x:c>
      <x:c r="S3528" s="30"/>
      <x:c r="T3528" s="30"/>
      <x:c r="U3528" s="30" t="str">
        <x:v>Расхождений не обнаружено.</x:v>
      </x:c>
      <x:c r="V3528" s="87" t="str">
        <x:v>VERIFIED</x:v>
      </x:c>
      <x:c r="W3528" s="87" t="str">
        <x:v>Zadanie_FI11_15102025.pdf, стр. 25</x:v>
      </x:c>
      <x:c r="X3528" s="87"/>
      <x:c r="Y3528" s="87"/>
      <x:c r="Z3528" s="87"/>
      <x:c r="AA3528" s="87"/>
      <x:c r="AB3528" s="87"/>
      <x:c r="AC3528" s="87" t="str">
        <x:v>VIS-PHYS-OCT-019</x:v>
      </x:c>
      <x:c r="AD3528" s="87"/>
      <x:c r="AE3528" s="87"/>
      <x:c r="AF3528" s="87" t="str">
        <x:v>VIS-PHYS-OCT-019: 25</x:v>
      </x:c>
      <x:c r="AG3528" s="87" t="str">
        <x:v>RESOLVED</x:v>
      </x:c>
      <x:c r="AH3528" s="87" t="str">
        <x:v>CROP_VERIFIED; TASK_CROP_NO_CROP_NEEDED</x:v>
      </x:c>
      <x:c r="AI3528" s="30"/>
      <x:c r="AJ3528" s="87" t="str">
        <x:v>master</x:v>
      </x:c>
      <x:c r="AK3528" s="87" t="str">
        <x:v>master-v0.81</x:v>
      </x:c>
      <x:c r="AL3528" s="87" t="str">
        <x:v>statgrad_master_base_v0_81_final(2).xlsx</x:v>
      </x:c>
      <x:c r="AM3528" s="87" t="str">
        <x:v>PHYS_Oct_V2</x:v>
      </x:c>
      <x:c r="AN3528" s="87" t="n">
        <x:v>18</x:v>
      </x:c>
    </x:row>
    <x:row r="3529">
      <x:c r="A3529" s="87" t="n">
        <x:v>3528</x:v>
      </x:c>
      <x:c r="B3529" s="87" t="str">
        <x:v>OCT-PHYS-102-018</x:v>
      </x:c>
      <x:c r="C3529" s="87" t="str">
        <x:v>СтатГрад</x:v>
      </x:c>
      <x:c r="D3529" s="87" t="str">
        <x:v>Октябрь 2025</x:v>
      </x:c>
      <x:c r="E3529" s="87"/>
      <x:c r="F3529" s="87"/>
      <x:c r="G3529" s="87" t="str">
        <x:v>Физика</x:v>
      </x:c>
      <x:c r="H3529" s="87" t="n">
        <x:v>11</x:v>
      </x:c>
      <x:c r="I3529" s="87" t="str">
        <x:v>ТР №1</x:v>
      </x:c>
      <x:c r="J3529" s="87" t="str">
        <x:v>ФИ2510102</x:v>
      </x:c>
      <x:c r="K3529" s="87" t="n">
        <x:v>18</x:v>
      </x:c>
      <x:c r="L3529" s="87" t="str">
        <x:v>Физические закономерности</x:v>
      </x:c>
      <x:c r="M3529" s="30" t="str">
        <x:v>Выберите все верные утверждения о физических явлениях, величинах
     и закономерностях. Запишите цифры, под которыми они указаны.
     1) При свободном падении камня на землю его потенциальная энергия
        в поле тяжести Земли уменьшается.
     2) Температура кипения жидкости зависит только от самой жидкости.
     3) При увеличении напряжения на проволочном резисторе его сопротивление
        уменьшается.
     4) При переходе электромагнитной волны из воздуха в стекло частота волны
        увеличивается.
     5) Нейтральный атом алюминия 2713 Al содержит 13 электронов.</x:v>
      </x:c>
      <x:c r="N3529" s="30" t="str">
        <x:v>15</x:v>
      </x:c>
      <x:c r="O3529" s="30" t="str">
        <x:v>Каждое утверждение проверено по соответствующему физическому закону или определению.</x:v>
      </x:c>
      <x:c r="P3529" s="30" t="str">
        <x:v>Каждое утверждение проверено по соответствующему физическому закону или определению.</x:v>
      </x:c>
      <x:c r="Q3529" s="30"/>
      <x:c r="R3529" s="30" t="str">
        <x:v>Официальная таблица ответов</x:v>
      </x:c>
      <x:c r="S3529" s="30"/>
      <x:c r="T3529" s="30"/>
      <x:c r="U3529" s="30" t="str">
        <x:v>Расхождений не обнаружено.</x:v>
      </x:c>
      <x:c r="V3529" s="87" t="str">
        <x:v>VERIFIED</x:v>
      </x:c>
      <x:c r="W3529" s="87" t="str">
        <x:v>Zadanie_FI11_15102025.pdf, стр. 26</x:v>
      </x:c>
      <x:c r="X3529" s="87"/>
      <x:c r="Y3529" s="87"/>
      <x:c r="Z3529" s="87"/>
      <x:c r="AA3529" s="87"/>
      <x:c r="AB3529" s="87"/>
      <x:c r="AC3529" s="87" t="str">
        <x:v>VIS-PHYS-OCT-020</x:v>
      </x:c>
      <x:c r="AD3529" s="87"/>
      <x:c r="AE3529" s="87"/>
      <x:c r="AF3529" s="87" t="str">
        <x:v>VIS-PHYS-OCT-020: 26</x:v>
      </x:c>
      <x:c r="AG3529" s="87" t="str">
        <x:v>RESOLVED</x:v>
      </x:c>
      <x:c r="AH3529" s="87" t="str">
        <x:v>CROP_VERIFIED</x:v>
      </x:c>
      <x:c r="AI3529" s="30"/>
      <x:c r="AJ3529" s="87" t="str">
        <x:v>master</x:v>
      </x:c>
      <x:c r="AK3529" s="87" t="str">
        <x:v>master-v0.81</x:v>
      </x:c>
      <x:c r="AL3529" s="87" t="str">
        <x:v>statgrad_master_base_v0_81_final(2).xlsx</x:v>
      </x:c>
      <x:c r="AM3529" s="87" t="str">
        <x:v>PHYS_Oct_V2</x:v>
      </x:c>
      <x:c r="AN3529" s="87" t="n">
        <x:v>19</x:v>
      </x:c>
    </x:row>
    <x:row r="3530">
      <x:c r="A3530" s="87" t="n">
        <x:v>3529</x:v>
      </x:c>
      <x:c r="B3530" s="87" t="str">
        <x:v>OCT-PHYS-102-019</x:v>
      </x:c>
      <x:c r="C3530" s="87" t="str">
        <x:v>СтатГрад</x:v>
      </x:c>
      <x:c r="D3530" s="87" t="str">
        <x:v>Октябрь 2025</x:v>
      </x:c>
      <x:c r="E3530" s="87"/>
      <x:c r="F3530" s="87"/>
      <x:c r="G3530" s="87" t="str">
        <x:v>Физика</x:v>
      </x:c>
      <x:c r="H3530" s="87" t="n">
        <x:v>11</x:v>
      </x:c>
      <x:c r="I3530" s="87" t="str">
        <x:v>ТР №1</x:v>
      </x:c>
      <x:c r="J3530" s="87" t="str">
        <x:v>ФИ2510102</x:v>
      </x:c>
      <x:c r="K3530" s="87" t="n">
        <x:v>19</x:v>
      </x:c>
      <x:c r="L3530" s="87" t="str">
        <x:v>Эксперимент. Измерения</x:v>
      </x:c>
      <x:c r="M3530" s="30" t="str">
        <x:v>Ученик измерял относительную влажность воздуха с
     помощью психрометра – этот прибор состоит из двух
     термометров, колбочка одного из которых обёрнута                     5   0        5   0
     влажной тканью (см. фотографию). Абсолютная
                                                                              °С           °С
                                                                          4   0        4   0
     погрешность измерения температуры равна цене                         3   0        3   0
     деления термометра. Запишите в ответ величину                                     2   0
                                                                          2   0
     показаний   «влажного»   термометра   с    учётом
     погрешности измерений.                                               1   0        1   0
                                                                          0   0        0   0
                                                                          1   0        1   0</x:v>
      </x:c>
      <x:c r="N3530" s="30" t="str">
        <x:v>(16 ± 1)</x:v>
      </x:c>
      <x:c r="O3530" s="30" t="str">
        <x:v>Показание прибора считано по полной фотографии; абсолютная погрешность равна цене деления.</x:v>
      </x:c>
      <x:c r="P3530" s="30" t="str">
        <x:v>Показание прибора считано по полной фотографии; абсолютная погрешность равна цене деления.</x:v>
      </x:c>
      <x:c r="Q3530" s="30"/>
      <x:c r="R3530" s="30" t="str">
        <x:v>Официальная таблица ответов</x:v>
      </x:c>
      <x:c r="S3530" s="30"/>
      <x:c r="T3530" s="30"/>
      <x:c r="U3530" s="30" t="str">
        <x:v>Расхождений не обнаружено.</x:v>
      </x:c>
      <x:c r="V3530" s="87" t="str">
        <x:v>VERIFIED</x:v>
      </x:c>
      <x:c r="W3530" s="87" t="str">
        <x:v>Zadanie_FI11_15102025.pdf, стр. 26</x:v>
      </x:c>
      <x:c r="X3530" s="87"/>
      <x:c r="Y3530" s="87"/>
      <x:c r="Z3530" s="87"/>
      <x:c r="AA3530" s="87"/>
      <x:c r="AB3530" s="87"/>
      <x:c r="AC3530" s="87" t="str">
        <x:v>VIS-PHYS-OCT-020</x:v>
      </x:c>
      <x:c r="AD3530" s="87"/>
      <x:c r="AE3530" s="87"/>
      <x:c r="AF3530" s="87" t="str">
        <x:v>VIS-PHYS-OCT-020: 26</x:v>
      </x:c>
      <x:c r="AG3530" s="87" t="str">
        <x:v>RESOLVED</x:v>
      </x:c>
      <x:c r="AH3530" s="87" t="str">
        <x:v>CROP_VERIFIED; TASK_CROP_QA_APPROVED:USE_TIGHT</x:v>
      </x:c>
      <x:c r="AI3530" s="30"/>
      <x:c r="AJ3530" s="87" t="str">
        <x:v>master</x:v>
      </x:c>
      <x:c r="AK3530" s="87" t="str">
        <x:v>master-v0.81</x:v>
      </x:c>
      <x:c r="AL3530" s="87" t="str">
        <x:v>statgrad_master_base_v0_81_final(2).xlsx</x:v>
      </x:c>
      <x:c r="AM3530" s="87" t="str">
        <x:v>PHYS_Oct_V2</x:v>
      </x:c>
      <x:c r="AN3530" s="87" t="n">
        <x:v>20</x:v>
      </x:c>
    </x:row>
    <x:row r="3531">
      <x:c r="A3531" s="87" t="n">
        <x:v>3530</x:v>
      </x:c>
      <x:c r="B3531" s="87" t="str">
        <x:v>OCT-PHYS-102-020</x:v>
      </x:c>
      <x:c r="C3531" s="87" t="str">
        <x:v>СтатГрад</x:v>
      </x:c>
      <x:c r="D3531" s="87" t="str">
        <x:v>Октябрь 2025</x:v>
      </x:c>
      <x:c r="E3531" s="87"/>
      <x:c r="F3531" s="87"/>
      <x:c r="G3531" s="87" t="str">
        <x:v>Физика</x:v>
      </x:c>
      <x:c r="H3531" s="87" t="n">
        <x:v>11</x:v>
      </x:c>
      <x:c r="I3531" s="87" t="str">
        <x:v>ТР №1</x:v>
      </x:c>
      <x:c r="J3531" s="87" t="str">
        <x:v>ФИ2510102</x:v>
      </x:c>
      <x:c r="K3531" s="87" t="n">
        <x:v>20</x:v>
      </x:c>
      <x:c r="L3531" s="87" t="str">
        <x:v>Экспериментальный метод</x:v>
      </x:c>
      <x:c r="M3531" s="30" t="str">
        <x:v>Необходимо экспериментально изучить свойства дифракционного спектрометра.
     В распоряжении экспериментатора имеются спектрометры, состоящие из
     источника света (светодиода), дифракционной решётки и экрана. Параметры
     этих приборов приведены в таблице. Какие два спектрометра нужно
     использовать для того, чтобы на опыте обнаружить зависимость расстояния
     между первыми дифракционными максимумами от периода решётки?
     № спектрометра         Светодиод       Количество штрихов              Расстояние
                                              на мм в решётке           от дифракционной
                                                                        решётки до экрана
              1              Красный                  50                        2м
              2              Зелёный                  100                       3м
              3               Синий                   50                        2м
              4              Красный                  200                       2м
              5              Жёлтый                   100                      1,5 м
     В ответе запишите номера выбранных спектрометров.</x:v>
      </x:c>
      <x:c r="N3531" s="30" t="str">
        <x:v>14</x:v>
      </x:c>
      <x:c r="O3531" s="30" t="str">
        <x:v>Выбрана пара установок, в которой меняется только исследуемый параметр при одинаковых остальных условиях.</x:v>
      </x:c>
      <x:c r="P3531" s="30" t="str">
        <x:v>Выбрана пара установок, в которой меняется только исследуемый параметр при одинаковых остальных условиях.</x:v>
      </x:c>
      <x:c r="Q3531" s="30"/>
      <x:c r="R3531" s="30" t="str">
        <x:v>Архивный фото-ключ</x:v>
      </x:c>
      <x:c r="S3531" s="30"/>
      <x:c r="T3531" s="30"/>
      <x:c r="U3531" s="30" t="str">
        <x:v>Расхождений не обнаружено.</x:v>
      </x:c>
      <x:c r="V3531" s="87" t="str">
        <x:v>VERIFIED</x:v>
      </x:c>
      <x:c r="W3531" s="87" t="str">
        <x:v>Zadanie_FI11_15102025.pdf, стр. 27</x:v>
      </x:c>
      <x:c r="X3531" s="87"/>
      <x:c r="Y3531" s="87"/>
      <x:c r="Z3531" s="87"/>
      <x:c r="AA3531" s="87"/>
      <x:c r="AB3531" s="87"/>
      <x:c r="AC3531" s="87" t="str">
        <x:v>VIS-PHYS-OCT-021</x:v>
      </x:c>
      <x:c r="AD3531" s="87"/>
      <x:c r="AE3531" s="87"/>
      <x:c r="AF3531" s="87" t="str">
        <x:v>VIS-PHYS-OCT-021: 27</x:v>
      </x:c>
      <x:c r="AG3531" s="87" t="str">
        <x:v>RESOLVED</x:v>
      </x:c>
      <x:c r="AH3531" s="87" t="str">
        <x:v>CROP_VERIFIED</x:v>
      </x:c>
      <x:c r="AI3531" s="30"/>
      <x:c r="AJ3531" s="87" t="str">
        <x:v>master</x:v>
      </x:c>
      <x:c r="AK3531" s="87" t="str">
        <x:v>master-v0.81</x:v>
      </x:c>
      <x:c r="AL3531" s="87" t="str">
        <x:v>statgrad_master_base_v0_81_final(2).xlsx</x:v>
      </x:c>
      <x:c r="AM3531" s="87" t="str">
        <x:v>PHYS_Oct_V2</x:v>
      </x:c>
      <x:c r="AN3531" s="87" t="n">
        <x:v>21</x:v>
      </x:c>
    </x:row>
    <x:row r="3532">
      <x:c r="A3532" s="87" t="n">
        <x:v>3531</x:v>
      </x:c>
      <x:c r="B3532" s="87" t="str">
        <x:v>OCT-PHYS-102-021</x:v>
      </x:c>
      <x:c r="C3532" s="87" t="str">
        <x:v>СтатГрад</x:v>
      </x:c>
      <x:c r="D3532" s="87" t="str">
        <x:v>Октябрь 2025</x:v>
      </x:c>
      <x:c r="E3532" s="87"/>
      <x:c r="F3532" s="87"/>
      <x:c r="G3532" s="87" t="str">
        <x:v>Физика</x:v>
      </x:c>
      <x:c r="H3532" s="87" t="n">
        <x:v>11</x:v>
      </x:c>
      <x:c r="I3532" s="87" t="str">
        <x:v>ТР №1</x:v>
      </x:c>
      <x:c r="J3532" s="87" t="str">
        <x:v>ФИ2510102</x:v>
      </x:c>
      <x:c r="K3532" s="87" t="n">
        <x:v>21</x:v>
      </x:c>
      <x:c r="L3532" s="87" t="str">
        <x:v>Экспериментальная электродинамика</x:v>
      </x:c>
      <x:c r="M3532" s="30" t="str">
        <x:v>Электрическая цепь состоит из последовательно соединённых лампы Л
     и резистора сопротивлением R = 20 Ом, параллельно которым подключён
     идеальный вольтметр V 2 . Эта цепь питается от регулируемого источника
     напряжения, в состав которого входят батарея, ключ К и потенциометр
     (делитель напряжения) Р. Лаборант замыкает ключ, после чего, передвигая
     ползунок реостата и проводя наблюдения, записывает в таблицу несколько
     показаний V 1 другого идеального вольтметра, подключенного к резистору.
     Показания вольтметра V 2 он записать забывает.
         V1, В           5,0            6,0             7,0            8,0            9,0
         V2, В
     Используя вольт-амперную характеристику лампы, изображённую на рисунке
     2, помогите лаборанту восстановить показания вольтметра V 2 и запишите
     их в таблицу. Решение объясните, опираясь на законы электродинамики.
                   Рис. 1                                          Рис. 2</x:v>
      </x:c>
      <x:c r="N3532" s="30" t="str">
        <x:v>Возможное решение
     1) Пусть I – сила тока в амперметре, U л – напряжение на лампе, V 1 и V 2 –
     показания первого и второго вольтметров. В соответствии с законом Ома для
     участка цепи, напряжение на резисторе с сопротивлением R равно
     U R = IR = V 1 .
     2) Вольтметр V 2 показывает сумму падений напряжения на последовательно
     соединённых лампе Л и резисторе: V 2 = U л + IR = U л + V 1 . При этом,
     поскольку вольтметр V 1 идеальный, через резистор и через лампу течёт один
     и тот же ток силой I.
     3) Показания вольтметра V 2 можно восстановить следующим образом. Пусть
     вольтметр V 1 показывает напряжение U 1 = 5 В. Тогда сила тока, текущего
     через резистор, равна I 1 = U 1 /R = 5/20 = 0,25 А. Напряжение на лампе при
     данном значении силы тока определим с помощью графика – оно равно
     U л1 = 6 В.      Следовательно,      вольтметр      показывает   напряжение
     V 2 = U л1 + U 1 = 6 В + 5 В = 11 В.
     4) Рассматривая аналогично остальные четыре значения напряжения,
                                    согласия СтатГрад запрещена
которые показывает вольтметр V 1 , вычислим показания вольтметра V 2 и
заполним таблицу.
    V1, В          5,0            6,0             7,0            8,0            9,0
    V2, В          11,0           14,0            17,0           21,0           26,0
           Критерии оценивания выполнения задания                 Баллы
Приведено полное правильное решение, включающее правильный          3
ответ (в данном случае: приведена правильно заполненная таблица,
п. 4) и полное верное объяснение (в данном случае: п. 1, 2, 3)
с указанием наблюдаемых явлений и законов в данном случае: закон
Ома для участка цепи, вычисление суммарного падения напряжения
при последовательном соединении элементов, одинаковость силы
тока через элементы при их последовательном соединении, учёт
идеальности вольтметра)
Дан правильный ответ, и приведено объяснение, но в решении          2
имеется один или несколько из следующих недостатков.
В объяснении не указано или не используется одно из физических
явлений, свойств, определений или один из законов (формул),
необходимых для полного верного объяснения. (Утверждение,
лежащее в основе объяснения, не подкреплено соответствующим
законом, свойством, явлением, определением и т.п.)
                             И (ИЛИ)
Указаны все необходимые для объяснения явления и законы,
закономерности, но в них содержится один логический недочёт.
                             И (ИЛИ)
В решении имеются лишние записи, не входящие в решение (возможно,
неверные), которые не отделены от решения и не зачёркнуты.
                             И (ИЛИ)
В решении имеется неточность в указании на одно из физических
явлений, свойств, определений, законов (формул), необходимых для
полного верного объяснения
Представлено решение, соответствующее одному из следующих           1
случаев.
Дан правильный ответ на вопрос задания, и приведено объяснение,
но в нём не указаны два явления или физических закона,
необходимых для полного верного объяснения.
                               ИЛИ
Указаны все необходимые для объяснения явления и законы,
закономерности, но имеющиеся рассуждения, направленные на
получение ответа на вопрос задания, не доведены до конца.
                               ИЛИ
Указаны все необходимые для объяснения явления и законы,
закономерности, но имеющиеся рассуждения, приводящие к ответу,
содержат ошибки.
                               согласия СтатГрад запрещена
                                  ИЛИ
     Указаны не все необходимые для объяснения явления и законы,
     закономерности, но имеются верные рассуждения, направленные на
     решение задачи
     Все случаи решения, которые не соответствуют вышеуказанным                            0
     критериям выставления оценок в 1, 2, 3 балла
                                                  Максимальный балл                        3</x:v>
      </x:c>
      <x:c r="O3532" s="30" t="str">
        <x:v>Экспериментальная таблица восстановлена по закону Ома и вольт-амперной характеристике лампы.</x:v>
      </x:c>
      <x:c r="P3532" s="30" t="str">
        <x:v>Экспериментальная таблица восстановлена по закону Ома и вольт-амперной характеристике лампы.</x:v>
      </x:c>
      <x:c r="Q3532" s="30"/>
      <x:c r="R3532" s="30" t="str">
        <x:v>Официальные критерии оценивания</x:v>
      </x:c>
      <x:c r="S3532" s="30"/>
      <x:c r="T3532" s="30"/>
      <x:c r="U3532" s="30" t="str">
        <x:v>Расхождений не обнаружено.</x:v>
      </x:c>
      <x:c r="V3532" s="87" t="str">
        <x:v>VERIFIED</x:v>
      </x:c>
      <x:c r="W3532" s="87" t="str">
        <x:v>Zadanie_FI11_15102025.pdf, стр. 28</x:v>
      </x:c>
      <x:c r="X3532" s="87"/>
      <x:c r="Y3532" s="87"/>
      <x:c r="Z3532" s="87"/>
      <x:c r="AA3532" s="87"/>
      <x:c r="AB3532" s="87"/>
      <x:c r="AC3532" s="87" t="str">
        <x:v>VIS-PHYS-OCT-022</x:v>
      </x:c>
      <x:c r="AD3532" s="87"/>
      <x:c r="AE3532" s="87"/>
      <x:c r="AF3532" s="87" t="str">
        <x:v>VIS-PHYS-OCT-022: 28</x:v>
      </x:c>
      <x:c r="AG3532" s="87" t="str">
        <x:v>RESOLVED</x:v>
      </x:c>
      <x:c r="AH3532" s="87" t="str">
        <x:v>CROP_VERIFIED; TASK_CROP_QA_APPROVED:USE_TIGHT</x:v>
      </x:c>
      <x:c r="AI3532" s="30"/>
      <x:c r="AJ3532" s="87" t="str">
        <x:v>master</x:v>
      </x:c>
      <x:c r="AK3532" s="87" t="str">
        <x:v>master-v0.81</x:v>
      </x:c>
      <x:c r="AL3532" s="87" t="str">
        <x:v>statgrad_master_base_v0_81_final(2).xlsx</x:v>
      </x:c>
      <x:c r="AM3532" s="87" t="str">
        <x:v>PHYS_Oct_V2</x:v>
      </x:c>
      <x:c r="AN3532" s="87" t="n">
        <x:v>22</x:v>
      </x:c>
    </x:row>
    <x:row r="3533">
      <x:c r="A3533" s="87" t="n">
        <x:v>3532</x:v>
      </x:c>
      <x:c r="B3533" s="87" t="str">
        <x:v>OCT-PHYS-102-022</x:v>
      </x:c>
      <x:c r="C3533" s="87" t="str">
        <x:v>СтатГрад</x:v>
      </x:c>
      <x:c r="D3533" s="87" t="str">
        <x:v>Октябрь 2025</x:v>
      </x:c>
      <x:c r="E3533" s="87"/>
      <x:c r="F3533" s="87"/>
      <x:c r="G3533" s="87" t="str">
        <x:v>Физика</x:v>
      </x:c>
      <x:c r="H3533" s="87" t="n">
        <x:v>11</x:v>
      </x:c>
      <x:c r="I3533" s="87" t="str">
        <x:v>ТР №1</x:v>
      </x:c>
      <x:c r="J3533" s="87" t="str">
        <x:v>ФИ2510102</x:v>
      </x:c>
      <x:c r="K3533" s="87" t="n">
        <x:v>22</x:v>
      </x:c>
      <x:c r="L3533" s="87" t="str">
        <x:v>Механика столкновений</x:v>
      </x:c>
      <x:c r="M3533" s="30" t="str">
        <x:v>Небольшие одинаковые почти абсолютно упругие шарики покоятся на прямом
     горизонтальном гладком жёлобе на одинаковых расстояниях друг от друга.
     В некоторый момент первому слева шарику толчком сообщают начальную
     скорость V1 в направлении остальных шариков, после чего происходят их
     последовательные столкновения. После n = 4 их соударений оказалось, что
     пятый шарик приобрёл скорость V 5 = 0,9V1. Сколько процентов кинетической
     энергии движущегося шарика терялось при каждом столкновении
     с покоящимся шариком?</x:v>
      </x:c>
      <x:c r="N3533" s="30" t="str">
        <x:v>Возможное решение
     1. Поскольку все столкновения шариков происходят в одинаковых условиях,
     можно считать, что и коэффициент x, связывающий скорости шариков после и
     до удара, одинаков для всех столкновений. Поэтому
             V2 = x V1, V3 = x V 2 = x2 V1, и т.д., …, V5 = x V 4 = x4 V1 = 0,9 V1.
     Отсюда x4 = 0,9, и x = 0,91/4 ≈ 0,974.
     2. При столкновениях не абсолютно упругих тел часть их кинетической
     энергии теряется, превращаясь в теплоту.
     3. Кинетическая энергия E к шарика массой M равна MV2/2. Поэтому E к5 = x2
     Eк4 , и процент передачи кинетической энергии от шарика к шарику при
     каждом столкновении равен x2 , а процент потерь кинетической энергии равен
                         1 – x2 = 1 – 0,92/4 ≈ 1 – 0,9742 ≈ 0,051 ≈ 5,1 %.
     Ответ: ∆E к /E к ≈ 0,051 ≈ 5,1 %
                Критерии оценивания выполнения задания              Баллы
     Приведено полное решение, включающее следующие элементы:         2
     I) записаны положения теории и физические законы,
     закономерности, применение которых необходимо для решения
     задачи выбранным способом (в данном случае: закон изменения
     механической энергии, связь кинетической энергии с массой и
     скоростью тела и математические соотношения);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согласия СтатГрад запрещена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1
     физические законы, закономерности, и проведены преобразования,
     направленные на решение задачи,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Все случаи решения, которые не соответствуют вышеуказанным                            0
     критериям выставления оценок в 1 или 2 балла
                                                      Максимальный балл                    2</x:v>
      </x:c>
      <x:c r="O3533" s="30" t="str">
        <x:v>Скорости после последовательных столкновений образуют геометрическую прогрессию; доля энергии равна квадрату коэффициента скоростей.</x:v>
      </x:c>
      <x:c r="P3533" s="30" t="str">
        <x:v>Скорости после последовательных столкновений образуют геометрическую прогрессию; доля энергии равна квадрату коэффициента скоростей.</x:v>
      </x:c>
      <x:c r="Q3533" s="30"/>
      <x:c r="R3533" s="30" t="str">
        <x:v>Официальные критерии оценивания</x:v>
      </x:c>
      <x:c r="S3533" s="30"/>
      <x:c r="T3533" s="30"/>
      <x:c r="U3533" s="30" t="str">
        <x:v>Расхождений не обнаружено.</x:v>
      </x:c>
      <x:c r="V3533" s="87" t="str">
        <x:v>VERIFIED</x:v>
      </x:c>
      <x:c r="W3533" s="87" t="str">
        <x:v>Zadanie_FI11_15102025.pdf, стр. 29</x:v>
      </x:c>
      <x:c r="X3533" s="87"/>
      <x:c r="Y3533" s="87"/>
      <x:c r="Z3533" s="87"/>
      <x:c r="AA3533" s="87"/>
      <x:c r="AB3533" s="87"/>
      <x:c r="AC3533" s="87" t="str">
        <x:v>VIS-PHYS-OCT-023</x:v>
      </x:c>
      <x:c r="AD3533" s="87"/>
      <x:c r="AE3533" s="87"/>
      <x:c r="AF3533" s="87" t="str">
        <x:v>VIS-PHYS-OCT-023: 29</x:v>
      </x:c>
      <x:c r="AG3533" s="87" t="str">
        <x:v>RESOLVED</x:v>
      </x:c>
      <x:c r="AH3533" s="87" t="str">
        <x:v>CROP_VERIFIED</x:v>
      </x:c>
      <x:c r="AI3533" s="30"/>
      <x:c r="AJ3533" s="87" t="str">
        <x:v>master</x:v>
      </x:c>
      <x:c r="AK3533" s="87" t="str">
        <x:v>master-v0.81</x:v>
      </x:c>
      <x:c r="AL3533" s="87" t="str">
        <x:v>statgrad_master_base_v0_81_final(2).xlsx</x:v>
      </x:c>
      <x:c r="AM3533" s="87" t="str">
        <x:v>PHYS_Oct_V2</x:v>
      </x:c>
      <x:c r="AN3533" s="87" t="n">
        <x:v>23</x:v>
      </x:c>
    </x:row>
    <x:row r="3534">
      <x:c r="A3534" s="87" t="n">
        <x:v>3533</x:v>
      </x:c>
      <x:c r="B3534" s="87" t="str">
        <x:v>OCT-PHYS-102-023</x:v>
      </x:c>
      <x:c r="C3534" s="87" t="str">
        <x:v>СтатГрад</x:v>
      </x:c>
      <x:c r="D3534" s="87" t="str">
        <x:v>Октябрь 2025</x:v>
      </x:c>
      <x:c r="E3534" s="87"/>
      <x:c r="F3534" s="87"/>
      <x:c r="G3534" s="87" t="str">
        <x:v>Физика</x:v>
      </x:c>
      <x:c r="H3534" s="87" t="n">
        <x:v>11</x:v>
      </x:c>
      <x:c r="I3534" s="87" t="str">
        <x:v>ТР №1</x:v>
      </x:c>
      <x:c r="J3534" s="87" t="str">
        <x:v>ФИ2510102</x:v>
      </x:c>
      <x:c r="K3534" s="87" t="n">
        <x:v>23</x:v>
      </x:c>
      <x:c r="L3534" s="87" t="str">
        <x:v>Термодинамика</x:v>
      </x:c>
      <x:c r="M3534" s="30" t="str">
        <x:v>В жёстком теплоизолированном сосуде объёмом V = 50 л находится
     ν 1 = 1 моль гелия со среднеквадратичной скоростью движения его атомов,
     равной V 1 = 1400 м/с. В сосуд добавили ν 2 = 0,8 моля гелия с температурой
     T 2 = 330 К. Какое давление p гелия установится в сосуде при достижении
     состояния термодинамического равновесия?</x:v>
      </x:c>
      <x:c r="N3534" s="30" t="str">
        <x:v>Возможное решение
     1. Порции гелия, помещённые в жёсткий теплоизолированный сосуд, не
     совершают работу и не обмениваются количеством теплоты с окружающей
     средой, поэтому из первого закона термодинамики следует, что их
     суммарная внутренняя энергия сохраняется: U = U 1 + U 2 .
     2. Выражения для внутренней энергии двух порций одноатомного
     идеального газа имеют вид: U 1 = (3/2) ν 1 RT 1 , U 2 = (3/2) ν 2 RT 2 .
     3. Для дальнейших расчётов необходимо найти температуру T 1 , связанную
     со среднеквадратичной скоростью V 1 движения атомов гелия: μV 1 2/2 = (3/2)
     RT 1 , откуда
                          T 1 = μV 1 2/(3R) = 4⋅10–3⋅14002/(3⋅8,31) ≈ 314,5 К.
     4. Газы в сосуде после перемешивания и установления равновесия
     приобретут температуру T, так что U = U 1 + U 2 = (3/2) (ν 1 + ν 2 )RT и
             T = (ν 1 T 1 + ν 2 T 2 )/(ν 1 + ν 2 ) = (1⋅314,5 + 0,8⋅330)/(1 + 0,8) ≈ 321,4 К.
                                    согласия СтатГрад запрещена
5. При этом согласно уравнению Менделеева – Клапейрона давление гелия
в сосуде будет равно p = (ν 1 + ν 2 ) RT/V = 1,8⋅8,31⋅321,4/0,05 ≈ 0,96·105 Па.
Ответ: p ≈ 0,96⋅105 Па
           Критерии оценивания выполнения задания                  Баллы
Приведено полное решение, включающее следующие элементы:             2
I) записаны положения теории и физические законы, закономерности,
применение которых необходимо для решения задачи выбранным
способом (в данном случае: уравнение Менделеева – Клапейрона,
первый закон термодинамики, выражение для внутренней энергии
одноатомного идеального газа, связь температуры одноатомного
идеального газа со среднеквадратичной скоростью движения его
атомов);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физические      1
законы, закономерности, и проведены преобразования, направленные
на решение задачи,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Все случаи решения, которые не соответствуют вышеуказанным           0
критериям выставления оценок в 1 или 2 балла
                                                 Максимальный балл   2
                               согласия СтатГрад запрещена</x:v>
      </x:c>
      <x:c r="O3534" s="30" t="str">
        <x:v>Применены сохранение внутренней энергии в теплоизолированном сосуде и связь температуры со среднеквадратичной скоростью.</x:v>
      </x:c>
      <x:c r="P3534" s="30" t="str">
        <x:v>Применены сохранение внутренней энергии в теплоизолированном сосуде и связь температуры со среднеквадратичной скоростью.</x:v>
      </x:c>
      <x:c r="Q3534" s="30"/>
      <x:c r="R3534" s="30" t="str">
        <x:v>Официальные критерии оценивания</x:v>
      </x:c>
      <x:c r="S3534" s="30"/>
      <x:c r="T3534" s="30"/>
      <x:c r="U3534" s="30" t="str">
        <x:v>Расхождений не обнаружено.</x:v>
      </x:c>
      <x:c r="V3534" s="87" t="str">
        <x:v>VERIFIED</x:v>
      </x:c>
      <x:c r="W3534" s="87" t="str">
        <x:v>Zadanie_FI11_15102025.pdf, стр. 29</x:v>
      </x:c>
      <x:c r="X3534" s="87"/>
      <x:c r="Y3534" s="87"/>
      <x:c r="Z3534" s="87"/>
      <x:c r="AA3534" s="87"/>
      <x:c r="AB3534" s="87"/>
      <x:c r="AC3534" s="87" t="str">
        <x:v>VIS-PHYS-OCT-023</x:v>
      </x:c>
      <x:c r="AD3534" s="87"/>
      <x:c r="AE3534" s="87"/>
      <x:c r="AF3534" s="87" t="str">
        <x:v>VIS-PHYS-OCT-023: 29</x:v>
      </x:c>
      <x:c r="AG3534" s="87" t="str">
        <x:v>RESOLVED</x:v>
      </x:c>
      <x:c r="AH3534" s="87" t="str">
        <x:v>CROP_VERIFIED</x:v>
      </x:c>
      <x:c r="AI3534" s="30"/>
      <x:c r="AJ3534" s="87" t="str">
        <x:v>master</x:v>
      </x:c>
      <x:c r="AK3534" s="87" t="str">
        <x:v>master-v0.81</x:v>
      </x:c>
      <x:c r="AL3534" s="87" t="str">
        <x:v>statgrad_master_base_v0_81_final(2).xlsx</x:v>
      </x:c>
      <x:c r="AM3534" s="87" t="str">
        <x:v>PHYS_Oct_V2</x:v>
      </x:c>
      <x:c r="AN3534" s="87" t="n">
        <x:v>24</x:v>
      </x:c>
    </x:row>
    <x:row r="3535">
      <x:c r="A3535" s="87" t="n">
        <x:v>3534</x:v>
      </x:c>
      <x:c r="B3535" s="87" t="str">
        <x:v>OCT-PHYS-102-024</x:v>
      </x:c>
      <x:c r="C3535" s="87" t="str">
        <x:v>СтатГрад</x:v>
      </x:c>
      <x:c r="D3535" s="87" t="str">
        <x:v>Октябрь 2025</x:v>
      </x:c>
      <x:c r="E3535" s="87"/>
      <x:c r="F3535" s="87"/>
      <x:c r="G3535" s="87" t="str">
        <x:v>Физика</x:v>
      </x:c>
      <x:c r="H3535" s="87" t="n">
        <x:v>11</x:v>
      </x:c>
      <x:c r="I3535" s="87" t="str">
        <x:v>ТР №1</x:v>
      </x:c>
      <x:c r="J3535" s="87" t="str">
        <x:v>ФИ2510102</x:v>
      </x:c>
      <x:c r="K3535" s="87" t="n">
        <x:v>24</x:v>
      </x:c>
      <x:c r="L3535" s="87" t="str">
        <x:v>Тепловой двигатель</x:v>
      </x:c>
      <x:c r="M3535" s="30" t="str">
        <x:v>Идеальный одноатомный газ, количество которого равно ν = 0,04 моля,
     используется в качестве рабочего тела в тепловом двигателе. На pV-диаграмме
     (p – давление газа, V – его объём) показан процесс 1–2–3–4–5–6–1, совершаемый
     газом в течение одного цикла работы двигателя. В качестве топлива для данного
     двигателя используется каменный уголь с удельной теплотой сгорания
     29,3 МДж/кг, причём рабочее тело получает η = 1/3 количества теплоты,
     выделяющегося при сгорании. В течение N = 105 циклов работы двигателя
     сгорает M = 4 кг угля. Чему равна температура газа в состоянии 3?</x:v>
      </x:c>
      <x:c r="N3535" s="30" t="str">
        <x:v>Возможное решение
     1) Газ получает количество теплоты ∆Q+ на участках 1–2, 2–3 и 5–6 цикла.
     Для нахождения этого количества теплоты воспользуемся выражением для
     внутренней энергии одноатомного идеального газа U = (3/2)pV и тем фактом,
     что работа газа в некотором процессе численно равна площади под участком
     графика, изображающего данный процесс на pV-диаграмме.
     2) Пусть ∆U nm – изменение внутренней энергии при переходе газа из
     состояния «n» в состояние «m», а ∆A nm – работа, совершаемая газом при
     переходе из состояния «n» в состояние «m». В соответствии с первым
     законом термодинамики:
                                 ∆Q+ = ∆U 13 + ∆A 23 + ∆U 56 =
         = (3/2)(3p 0 ⋅3V0 – 2p0⋅V0) + 3p0⋅2V0 + (3/2)(2p0⋅2V0 – p0⋅2V0) = (39/2)p0V0.
     3) Согласно условию задачи, ∆Q+ = (39/2)p0V0 = ηqm, где m – масса угля,
     сгорающего за один цикл работы двигателя.
     4) Применим для состояния «3» уравнение Менделеева – Клапейрона:
     3p0⋅3V0 = νRT3.
     5) Выражая из последнего уравнения произведение p0V0, получаем:
     (39/18)νRT3 = ηqm. Масса M угля, сгорающего за N циклов работы двигателя,
     равна M = Nm. Отсюда
                                           6ηqM
                                    =T3          ≈ 542,5 К.
                                           13νRN
                 6ηqM
     Ответ:
        =   T3         ≈ 542,5 К.
                 13νRN
                                    согласия СтатГрад запрещена
           Критерии оценивания выполнения задания                 Баллы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первый закон термодинамики, выражение
для внутренней энергии одноатомного идеального газа, выражение
работы через площадь под участком графика на pV-диаграмме,
уравнение Менделеева – Клапейрона, связь количества выделившейся
при сгорании теплоты с массой сгоревшего топлива);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2
физические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и достаточно
для решения данной задачи, без каких-либо преобразований с их
использованием, направленных на решение задачи.
                               ИЛИ
                               согласия СтатГрад запрещена
     В решении отсутствует ОДНА из исходных формул, необходимая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3</x:v>
      </x:c>
      <x:c r="O3535" s="30" t="str">
        <x:v>Теплота на участках цикла рассчитана по первому закону термодинамики и площади pV-диаграммы.</x:v>
      </x:c>
      <x:c r="P3535" s="30" t="str">
        <x:v>Теплота на участках цикла рассчитана по первому закону термодинамики и площади pV-диаграммы.</x:v>
      </x:c>
      <x:c r="Q3535" s="30"/>
      <x:c r="R3535" s="30" t="str">
        <x:v>Официальные критерии оценивания</x:v>
      </x:c>
      <x:c r="S3535" s="30"/>
      <x:c r="T3535" s="30"/>
      <x:c r="U3535" s="30" t="str">
        <x:v>Расхождений не обнаружено.</x:v>
      </x:c>
      <x:c r="V3535" s="87" t="str">
        <x:v>VERIFIED</x:v>
      </x:c>
      <x:c r="W3535" s="87" t="str">
        <x:v>Zadanie_FI11_15102025.pdf, стр. 29</x:v>
      </x:c>
      <x:c r="X3535" s="87"/>
      <x:c r="Y3535" s="87"/>
      <x:c r="Z3535" s="87"/>
      <x:c r="AA3535" s="87"/>
      <x:c r="AB3535" s="87"/>
      <x:c r="AC3535" s="87" t="str">
        <x:v>VIS-PHYS-OCT-023</x:v>
      </x:c>
      <x:c r="AD3535" s="87"/>
      <x:c r="AE3535" s="87"/>
      <x:c r="AF3535" s="87" t="str">
        <x:v>VIS-PHYS-OCT-023: 29</x:v>
      </x:c>
      <x:c r="AG3535" s="87" t="str">
        <x:v>RESOLVED</x:v>
      </x:c>
      <x:c r="AH3535" s="87" t="str">
        <x:v>CROP_VERIFIED; TASK_CROP_QA_APPROVED:USE_CONTEXT</x:v>
      </x:c>
      <x:c r="AI3535" s="30"/>
      <x:c r="AJ3535" s="87" t="str">
        <x:v>master</x:v>
      </x:c>
      <x:c r="AK3535" s="87" t="str">
        <x:v>master-v0.81</x:v>
      </x:c>
      <x:c r="AL3535" s="87" t="str">
        <x:v>statgrad_master_base_v0_81_final(2).xlsx</x:v>
      </x:c>
      <x:c r="AM3535" s="87" t="str">
        <x:v>PHYS_Oct_V2</x:v>
      </x:c>
      <x:c r="AN3535" s="87" t="n">
        <x:v>25</x:v>
      </x:c>
    </x:row>
    <x:row r="3536">
      <x:c r="A3536" s="87" t="n">
        <x:v>3535</x:v>
      </x:c>
      <x:c r="B3536" s="87" t="str">
        <x:v>OCT-PHYS-102-025</x:v>
      </x:c>
      <x:c r="C3536" s="87" t="str">
        <x:v>СтатГрад</x:v>
      </x:c>
      <x:c r="D3536" s="87" t="str">
        <x:v>Октябрь 2025</x:v>
      </x:c>
      <x:c r="E3536" s="87"/>
      <x:c r="F3536" s="87"/>
      <x:c r="G3536" s="87" t="str">
        <x:v>Физика</x:v>
      </x:c>
      <x:c r="H3536" s="87" t="n">
        <x:v>11</x:v>
      </x:c>
      <x:c r="I3536" s="87" t="str">
        <x:v>ТР №1</x:v>
      </x:c>
      <x:c r="J3536" s="87" t="str">
        <x:v>ФИ2510102</x:v>
      </x:c>
      <x:c r="K3536" s="87" t="n">
        <x:v>25</x:v>
      </x:c>
      <x:c r="L3536" s="87" t="str">
        <x:v>Электростатика. Конденсаторы</x:v>
      </x:c>
      <x:c r="M3536" s="30" t="str">
        <x:v>В электрической цепи, схема которой изображена на
     рисунке, все конденсаторы имеют одинаковую
     электроёмкость C = 5 мкФ, а резистор имеет
     сопротивление     R = 200 Ом.   Вначале    левый
     конденсатор заряжен до некоторого напряжения U, а
     все остальные конденсаторы не заряжены. Идеальный амперметр в первый
     момент после замыкания ключа К показал силу тока I = 1 А. Какая энергия
     W к окажется запасённой в левом конденсаторе после того, как показания
     вольтметра перестанут изменяться?</x:v>
      </x:c>
      <x:c r="N3536" s="30" t="str">
        <x:v>Возможное решение
     1. В начальном состоянии напряжение U на левом конденсаторе,
     показываемое вольтметром, связано с зарядом q этого конденсатора: U = q/C,
     а напряжение и заряд на правой части цепи отсутствуют. После замыкания
     ключа К через амперметр, резистор и конденсаторы потечёт ток.
     В соответствии с законом Ома для замкнутой цепи сила этого тока в первый
     момент после замыкания ключа равна I = U/R, откуда U = IR.
     2. При перезарядке конденсаторов часть заряда левого конденсатора
     перейдёт на правые конденсаторы общей ёмкостью Cпр, которую можно
     определить по правилам для последовательного и параллельного соединения
     конденсаторов: Cпр = С + С/2 = 3С/2.
     3. Ток в цепи прекратится, когда напряжения на конденсаторах слева и справа
     станут одинаковыми: Uк = qл/C = qпр/Cпр = 2qпр/(3C), где qл и qпр – заряды на
     конденсаторах слева и справа. По закону сохранения электрического заряда,
     qл + qпр = q = CU.
     4. Отсюда находим установившиеся заряды конденсаторов: qпр = 3qл/2
     и qл = 2CU/5.
     5. Для энергии левого конденсатора окончательно получаем:
                 Wк = qл2/(2C) = 2CU2/25 = 2CI2R2/25 = 2⋅5⋅10–6⋅12⋅2002/25 =
                                  = 16⋅10–3 Дж = 16 мДж.
     Ответ: Wк = 2CI2R2/25 = 16 мДж
                                    согласия СтатГрад запрещена
           Критерии оценивания выполнения задания                 Баллы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связь заряда и
напряжения на конденсаторе, закон Ома для замкнутой цепи,
расчёт ёмкости при параллельном и последовательном соединении
конденсаторов, закон сохранения электрического заряда, энергия
заряженного конденсатора);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проведены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2
физические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для решения
данной задачи, без каких-либо преобразований с их использованием,
направленных на решение задачи.
                               ИЛИ
                               согласия СтатГрад запрещена
     В решении отсутствует ОДНА из исходных формул, необходимая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3</x:v>
      </x:c>
      <x:c r="O3536" s="30" t="str">
        <x:v>Начальная и конечная энергии системы конденсаторов сопоставлены; выделившаяся теплота найдена по закону сохранения энергии.</x:v>
      </x:c>
      <x:c r="P3536" s="30" t="str">
        <x:v>Начальная и конечная энергии системы конденсаторов сопоставлены; выделившаяся теплота найдена по закону сохранения энергии.</x:v>
      </x:c>
      <x:c r="Q3536" s="30"/>
      <x:c r="R3536" s="30" t="str">
        <x:v>Официальные критерии оценивания</x:v>
      </x:c>
      <x:c r="S3536" s="30"/>
      <x:c r="T3536" s="30"/>
      <x:c r="U3536" s="30" t="str">
        <x:v>Расхождений не обнаружено.</x:v>
      </x:c>
      <x:c r="V3536" s="87" t="str">
        <x:v>VERIFIED</x:v>
      </x:c>
      <x:c r="W3536" s="87" t="str">
        <x:v>Zadanie_FI11_15102025.pdf, стр. 30</x:v>
      </x:c>
      <x:c r="X3536" s="87"/>
      <x:c r="Y3536" s="87"/>
      <x:c r="Z3536" s="87"/>
      <x:c r="AA3536" s="87"/>
      <x:c r="AB3536" s="87"/>
      <x:c r="AC3536" s="87" t="str">
        <x:v>VIS-PHYS-OCT-024</x:v>
      </x:c>
      <x:c r="AD3536" s="87"/>
      <x:c r="AE3536" s="87"/>
      <x:c r="AF3536" s="87" t="str">
        <x:v>VIS-PHYS-OCT-024: 30</x:v>
      </x:c>
      <x:c r="AG3536" s="87" t="str">
        <x:v>RESOLVED</x:v>
      </x:c>
      <x:c r="AH3536" s="87" t="str">
        <x:v>CROP_VERIFIED; TASK_CROP_QA_APPROVED:USE_CONTEXT</x:v>
      </x:c>
      <x:c r="AI3536" s="30"/>
      <x:c r="AJ3536" s="87" t="str">
        <x:v>master</x:v>
      </x:c>
      <x:c r="AK3536" s="87" t="str">
        <x:v>master-v0.81</x:v>
      </x:c>
      <x:c r="AL3536" s="87" t="str">
        <x:v>statgrad_master_base_v0_81_final(2).xlsx</x:v>
      </x:c>
      <x:c r="AM3536" s="87" t="str">
        <x:v>PHYS_Oct_V2</x:v>
      </x:c>
      <x:c r="AN3536" s="87" t="n">
        <x:v>26</x:v>
      </x:c>
    </x:row>
    <x:row r="3537">
      <x:c r="A3537" s="87" t="n">
        <x:v>3536</x:v>
      </x:c>
      <x:c r="B3537" s="87" t="str">
        <x:v>OCT-PHYS-102-026</x:v>
      </x:c>
      <x:c r="C3537" s="87" t="str">
        <x:v>СтатГрад</x:v>
      </x:c>
      <x:c r="D3537" s="87" t="str">
        <x:v>Октябрь 2025</x:v>
      </x:c>
      <x:c r="E3537" s="87"/>
      <x:c r="F3537" s="87"/>
      <x:c r="G3537" s="87" t="str">
        <x:v>Физика</x:v>
      </x:c>
      <x:c r="H3537" s="87" t="n">
        <x:v>11</x:v>
      </x:c>
      <x:c r="I3537" s="87" t="str">
        <x:v>ТР №1</x:v>
      </x:c>
      <x:c r="J3537" s="87" t="str">
        <x:v>ФИ2510102</x:v>
      </x:c>
      <x:c r="K3537" s="87" t="n">
        <x:v>26</x:v>
      </x:c>
      <x:c r="L3537" s="87" t="str">
        <x:v>Механика. Пружина и движение по окружности</x:v>
      </x:c>
      <x:c r="M3537" s="30" t="str">
        <x:v>Из жёсткой тонкой гладкой проволоки согнут каркас в виде половины
     окружности радиусом R и закреплён так, чтобы диаметр каркаса
     располагался вертикально (см. рисунок). В верхней точке A диаметра
     к каркасу прикреплён конец лёгкой пружины, длина которой в нерастянутом
     состоянии равна R. Ко второму концу пружины прикреплена маленькая
     бусинка B с просверлённым в ней отверстием. Если бусинка висит на
     пружине, находясь в состоянии равновесия, то удлинение пружины
     оказывается равным R/3.
     Бусинку надевают на каркас так, что она покоится в нижней точке его
     диаметра. Затем, после очень малого начального воздействия, бусинка
     начинает скользить по каркасу. В тот момент, когда ось пружины составляет
     с вертикалью угол α =arccos(5 / 6) , модуль скорости бусинки равен V = 2 м/с.
     Найдите радиус R каркаса. Обоснуйте применимость законов,
     использованных для решения задачи.</x:v>
      </x:c>
      <x:c r="N3537" s="30" t="str">
        <x:v>Возможное решение
     Обоснование.
     1. Выберем систему отсчёта, связанную с закреплённым каркасом, и будем
     считать её инерциальной (ИСО). Относительно этой ИСО справедлив второй
                                    согласия СтатГрад запрещена
закон Ньютона и можно применять законы сохранения.
2. Для бусинки используем модель материальной точки.
3. Так как проволока жёсткая, будем считать каркас абсолютно твёрдым
телом и пренебрежём его деформациями.
4. Будем считать, что удлинение пружины подчиняется закону Гука.
Поскольку пружина лёгкая, до подвешивания бусинки её можно считать
нерастянутой и при решении задачи можно пренебрегать её массой.
5. Проволока гладкая, поэтому в системе отсутствуют внутренние
диссипативные силы. Все остальные силы либо консервативные, либо не
совершают работы. Следовательно, можно применять закон сохранения
механической энергии.
6. Поскольку начальное воздействие на бусинку очень малое, её начальную
кинетическую энергию также можно считать пренебрежимо малой.
Решение.
1. Согласно условию задачи, при подвешивании бусинки массой m
к пружине жёсткостью k она в положении равновесия растягивается на
величину ∆l = R/3. В соответствии со вторым законом Ньютона, с учётом
закона Гука: mg = k∆l = kR/3.
2. Рассмотрим состояние системы, в котором ось пружины составляет
с вертикалью угол α (см. рисунок). Угол AB1B прямой, поэтому в данный
момент длина пружины равна   =  l 2 R cos α , а высота бусинки над точкой B
составляет
        =   h 2 R sin α . Обозначим скорость бусинки в рассматриваемый
                     2
момент через V и учтём, что в исходном состоянии удлинение пружины было
равно R. Тогда, согласно закону сохранения механической энергии для
данной системы:
                              kR 2 k (l − R) 2         mV 2
                               =               + mgh +      .
                               2        2               2
3. Преобразуем это уравнение с учётом ранее записанных соотношений:
              kR 2 k (2 R cos α − R) 2                    mV 2
            =                            + 2mgR sin 2 α +        ,
                2            2                             2
            =  kR 2 kR 2 (2 cos α − 1) 2 + 4mgR sin 2 α + mV 2 ,
            =3mgR 3mgR(2 cos α − 1) 2 + 4mgR sin 2 α + mV 2 ,
                               согласия СтатГрад запрещена
     =
     V 2
         3 gR − 3 gR(2 cos α − 1) 2 − 4 gR sin 2=
                                                α 12 gR(cos α − cos 2 α) − 4 gR(1 − cos 2 =
                                                                                          α)
                        = 4 gR(3cos α − 2 cos α − 1).  2
4. Учитывая, что cos α =5 / 6 , получаем:
                                        5        25  4 gR
                              =
                              V 2 4 gR  3 ⋅ − 2 ⋅ =− 1    .
                                        6        36    9
5. Подставляя численное значение V, находим:
                                    9V 2 9 ⋅ 22
                                  R = = 0,9 м.
                                  =
                                     4 g 4 ⋅10
        9V 2 9 ⋅ 22
Ответ:=
      R = = 0,9 м.
         4 g 4 ⋅10
           Критерии оценивания выполнения задания                Баллы
Критерий 1
Верно     обоснована    возможность     использования    законов   1
(закономерностей). В данном случае: выбор ИСО, выбор модели
материальной точки, выбор модели абсолютно твёрдого тела для
каркаса, использование модели невесомой пружины, подчиняющейся
закону Гука, использование условий применимости закона
сохранения механической энергии
В обосновании отсутствует один или несколько из элементов.         0
                              ИЛИ
В обосновании допущена ошибка.
                              ИЛИ
Обоснование отсутствует
Критерий 2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второй закон
Ньютона, закон Гука, выражения для потенциальной энергии
пружины, потенциальной энергии тела в однородном поле силы
тяжести, кинетической энергии материальной точки, закон
сохранения механической энергии);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величин, используемых
в условии задачи, и стандартных обозначений величин,
используемых при написании физических законов);
III) проведены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согласия СтатГрад запрещена
Правильно записаны все необходимые положения теории, физические                      2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для решения данной задачи,
без каких-либо преобразований с их использованием, направленных на
решение задачи.
                               ИЛИ
В решении отсутствует ОДНА из исходных формул, необходимая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4
                               согласия СтатГрад запрещена</x:v>
      </x:c>
      <x:c r="O3537" s="30" t="str">
        <x:v>После обоснования модели применён закон сохранения механической энергии с потенциальной энергией пружины и тяжести.</x:v>
      </x:c>
      <x:c r="P3537" s="30" t="str">
        <x:v>После обоснования модели применён закон сохранения механической энергии с потенциальной энергией пружины и тяжести.</x:v>
      </x:c>
      <x:c r="Q3537" s="30"/>
      <x:c r="R3537" s="30" t="str">
        <x:v>Официальные критерии оценивания</x:v>
      </x:c>
      <x:c r="S3537" s="30"/>
      <x:c r="T3537" s="30"/>
      <x:c r="U3537" s="30" t="str">
        <x:v>Расхождений не обнаружено.</x:v>
      </x:c>
      <x:c r="V3537" s="87" t="str">
        <x:v>VERIFIED</x:v>
      </x:c>
      <x:c r="W3537" s="87" t="str">
        <x:v>Zadanie_FI11_15102025.pdf, стр. 30</x:v>
      </x:c>
      <x:c r="X3537" s="87"/>
      <x:c r="Y3537" s="87"/>
      <x:c r="Z3537" s="87"/>
      <x:c r="AA3537" s="87"/>
      <x:c r="AB3537" s="87"/>
      <x:c r="AC3537" s="87" t="str">
        <x:v>VIS-PHYS-OCT-024</x:v>
      </x:c>
      <x:c r="AD3537" s="87"/>
      <x:c r="AE3537" s="87"/>
      <x:c r="AF3537" s="87" t="str">
        <x:v>VIS-PHYS-OCT-024: 30</x:v>
      </x:c>
      <x:c r="AG3537" s="87" t="str">
        <x:v>RESOLVED</x:v>
      </x:c>
      <x:c r="AH3537" s="87" t="str">
        <x:v>CROP_VERIFIED; TASK_CROP_QA_APPROVED:USE_CONTEXT</x:v>
      </x:c>
      <x:c r="AI3537" s="30"/>
      <x:c r="AJ3537" s="87" t="str">
        <x:v>master</x:v>
      </x:c>
      <x:c r="AK3537" s="87" t="str">
        <x:v>master-v0.81</x:v>
      </x:c>
      <x:c r="AL3537" s="87" t="str">
        <x:v>statgrad_master_base_v0_81_final(2).xlsx</x:v>
      </x:c>
      <x:c r="AM3537" s="87" t="str">
        <x:v>PHYS_Oct_V2</x:v>
      </x:c>
      <x:c r="AN3537" s="87" t="n">
        <x:v>27</x:v>
      </x:c>
    </x:row>
    <x:row r="3538">
      <x:c r="A3538" s="87" t="n">
        <x:v>3537</x:v>
      </x:c>
      <x:c r="B3538" s="87" t="str">
        <x:v>OCT-PHYS-103-001</x:v>
      </x:c>
      <x:c r="C3538" s="87" t="str">
        <x:v>СтатГрад</x:v>
      </x:c>
      <x:c r="D3538" s="87" t="str">
        <x:v>Октябрь 2025</x:v>
      </x:c>
      <x:c r="E3538" s="87"/>
      <x:c r="F3538" s="87"/>
      <x:c r="G3538" s="87" t="str">
        <x:v>Физика</x:v>
      </x:c>
      <x:c r="H3538" s="87" t="n">
        <x:v>11</x:v>
      </x:c>
      <x:c r="I3538" s="87" t="str">
        <x:v>ТР №1</x:v>
      </x:c>
      <x:c r="J3538" s="87" t="str">
        <x:v>ФИ2510103</x:v>
      </x:c>
      <x:c r="K3538" s="87" t="n">
        <x:v>1</x:v>
      </x:c>
      <x:c r="L3538" s="87" t="str">
        <x:v>Кинематика. График движения</x:v>
      </x:c>
      <x:c r="M3538" s="30" t="str">
        <x:v>На рисунке представлен график зависимости координаты х велосипедиста,
    движущегося вдоль оси ОХ, от времени t. Определите проекцию скорости V x
    велосипедиста в течение промежутка времени от 4 с до 6 с. Ответ запишите
    с учётом знака проекции.
    Ответ: ___________________________ м/с.</x:v>
      </x:c>
      <x:c r="N3538" s="30" t="str">
        <x:v>-2,5</x:v>
      </x:c>
      <x:c r="O3538" s="30" t="str">
        <x:v>Скорость найдена как угловой коэффициент участка графика x(t): Δx/Δt с учётом знака.</x:v>
      </x:c>
      <x:c r="P3538" s="30" t="str">
        <x:v>Скорость найдена как угловой коэффициент участка графика x(t): Δx/Δt с учётом знака.</x:v>
      </x:c>
      <x:c r="Q3538" s="30"/>
      <x:c r="R3538" s="30" t="str">
        <x:v>Архивный фото-ключ</x:v>
      </x:c>
      <x:c r="S3538" s="30"/>
      <x:c r="T3538" s="30"/>
      <x:c r="U3538" s="30" t="str">
        <x:v>Расхождений не обнаружено.</x:v>
      </x:c>
      <x:c r="V3538" s="87" t="str">
        <x:v>VERIFIED</x:v>
      </x:c>
      <x:c r="W3538" s="87" t="str">
        <x:v>Zadanie_FI11_15102025_.pdf, стр. 4</x:v>
      </x:c>
      <x:c r="X3538" s="87"/>
      <x:c r="Y3538" s="87"/>
      <x:c r="Z3538" s="87"/>
      <x:c r="AA3538" s="87"/>
      <x:c r="AB3538" s="87"/>
      <x:c r="AC3538" s="87" t="str">
        <x:v>VIS-PHYS-OCT-025</x:v>
      </x:c>
      <x:c r="AD3538" s="87"/>
      <x:c r="AE3538" s="87"/>
      <x:c r="AF3538" s="87" t="str">
        <x:v>VIS-PHYS-OCT-025: 4</x:v>
      </x:c>
      <x:c r="AG3538" s="87" t="str">
        <x:v>RESOLVED</x:v>
      </x:c>
      <x:c r="AH3538" s="87" t="str">
        <x:v>CROP_VERIFIED; TASK_CROP_QA_APPROVED:USE_CONTEXT</x:v>
      </x:c>
      <x:c r="AI3538" s="30"/>
      <x:c r="AJ3538" s="87" t="str">
        <x:v>master</x:v>
      </x:c>
      <x:c r="AK3538" s="87" t="str">
        <x:v>master-v0.81</x:v>
      </x:c>
      <x:c r="AL3538" s="87" t="str">
        <x:v>statgrad_master_base_v0_81_final(2).xlsx</x:v>
      </x:c>
      <x:c r="AM3538" s="87" t="str">
        <x:v>PHYS_Oct_V3</x:v>
      </x:c>
      <x:c r="AN3538" s="87" t="n">
        <x:v>2</x:v>
      </x:c>
    </x:row>
    <x:row r="3539">
      <x:c r="A3539" s="87" t="n">
        <x:v>3538</x:v>
      </x:c>
      <x:c r="B3539" s="87" t="str">
        <x:v>OCT-PHYS-103-002</x:v>
      </x:c>
      <x:c r="C3539" s="87" t="str">
        <x:v>СтатГрад</x:v>
      </x:c>
      <x:c r="D3539" s="87" t="str">
        <x:v>Октябрь 2025</x:v>
      </x:c>
      <x:c r="E3539" s="87"/>
      <x:c r="F3539" s="87"/>
      <x:c r="G3539" s="87" t="str">
        <x:v>Физика</x:v>
      </x:c>
      <x:c r="H3539" s="87" t="n">
        <x:v>11</x:v>
      </x:c>
      <x:c r="I3539" s="87" t="str">
        <x:v>ТР №1</x:v>
      </x:c>
      <x:c r="J3539" s="87" t="str">
        <x:v>ФИ2510103</x:v>
      </x:c>
      <x:c r="K3539" s="87" t="n">
        <x:v>2</x:v>
      </x:c>
      <x:c r="L3539" s="87" t="str">
        <x:v>Динамика. Закон Гука</x:v>
      </x:c>
      <x:c r="M3539" s="30" t="str">
        <x:v>Две пружины прикреплены концами к стене. Эти пружины сжимают,
    прикладывая к их свободным концам направленные вдоль осей пружин
    одинаковые силы F. Жёсткость первой пружины в 1,2 раза меньше жёсткости
    второй пружины. В равновесном состоянии вторая пружина сжата на 1,5 см.
    На сколько сжата первая пружина при её равновесии?
    Ответ: ___________________________ см.</x:v>
      </x:c>
      <x:c r="N3539" s="30" t="str">
        <x:v>1,8</x:v>
      </x:c>
      <x:c r="O3539" s="30" t="str">
        <x:v>Использован закон Гука F=kx; при одинаковой силе деформация обратно пропорциональна жёсткости.</x:v>
      </x:c>
      <x:c r="P3539" s="30" t="str">
        <x:v>Использован закон Гука F=kx; при одинаковой силе деформация обратно пропорциональна жёсткости.</x:v>
      </x:c>
      <x:c r="Q3539" s="30"/>
      <x:c r="R3539" s="30" t="str">
        <x:v>Архивный фото-ключ</x:v>
      </x:c>
      <x:c r="S3539" s="30"/>
      <x:c r="T3539" s="30"/>
      <x:c r="U3539" s="30" t="str">
        <x:v>Расхождений не обнаружено.</x:v>
      </x:c>
      <x:c r="V3539" s="87" t="str">
        <x:v>VERIFIED</x:v>
      </x:c>
      <x:c r="W3539" s="87" t="str">
        <x:v>Zadanie_FI11_15102025_.pdf, стр. 4</x:v>
      </x:c>
      <x:c r="X3539" s="87"/>
      <x:c r="Y3539" s="87"/>
      <x:c r="Z3539" s="87"/>
      <x:c r="AA3539" s="87"/>
      <x:c r="AB3539" s="87"/>
      <x:c r="AC3539" s="87" t="str">
        <x:v>VIS-PHYS-OCT-025</x:v>
      </x:c>
      <x:c r="AD3539" s="87"/>
      <x:c r="AE3539" s="87"/>
      <x:c r="AF3539" s="87" t="str">
        <x:v>VIS-PHYS-OCT-025: 4</x:v>
      </x:c>
      <x:c r="AG3539" s="87" t="str">
        <x:v>RESOLVED</x:v>
      </x:c>
      <x:c r="AH3539" s="87" t="str">
        <x:v>CROP_VERIFIED</x:v>
      </x:c>
      <x:c r="AI3539" s="30"/>
      <x:c r="AJ3539" s="87" t="str">
        <x:v>master</x:v>
      </x:c>
      <x:c r="AK3539" s="87" t="str">
        <x:v>master-v0.81</x:v>
      </x:c>
      <x:c r="AL3539" s="87" t="str">
        <x:v>statgrad_master_base_v0_81_final(2).xlsx</x:v>
      </x:c>
      <x:c r="AM3539" s="87" t="str">
        <x:v>PHYS_Oct_V3</x:v>
      </x:c>
      <x:c r="AN3539" s="87" t="n">
        <x:v>3</x:v>
      </x:c>
    </x:row>
    <x:row r="3540">
      <x:c r="A3540" s="87" t="n">
        <x:v>3539</x:v>
      </x:c>
      <x:c r="B3540" s="87" t="str">
        <x:v>OCT-PHYS-103-003</x:v>
      </x:c>
      <x:c r="C3540" s="87" t="str">
        <x:v>СтатГрад</x:v>
      </x:c>
      <x:c r="D3540" s="87" t="str">
        <x:v>Октябрь 2025</x:v>
      </x:c>
      <x:c r="E3540" s="87"/>
      <x:c r="F3540" s="87"/>
      <x:c r="G3540" s="87" t="str">
        <x:v>Физика</x:v>
      </x:c>
      <x:c r="H3540" s="87" t="n">
        <x:v>11</x:v>
      </x:c>
      <x:c r="I3540" s="87" t="str">
        <x:v>ТР №1</x:v>
      </x:c>
      <x:c r="J3540" s="87" t="str">
        <x:v>ФИ2510103</x:v>
      </x:c>
      <x:c r="K3540" s="87" t="n">
        <x:v>3</x:v>
      </x:c>
      <x:c r="L3540" s="87" t="str">
        <x:v>Импульс</x:v>
      </x:c>
      <x:c r="M3540" s="30" t="str">
        <x:v>Из неподвижной пушки массой 250 кг, стоящей на горизонтальной
    площадке, произведён выстрел. Снаряд массой 1,5 кг вылетел из ствола
    пушки горизонтально со скоростью 180 м/с относительно площадки.
    Какую скорость относительно площадки приобрела пушка?
    Ответ: ___________________________ м/с.</x:v>
      </x:c>
      <x:c r="N3540" s="30" t="str">
        <x:v>1,08</x:v>
      </x:c>
      <x:c r="O3540" s="30" t="str">
        <x:v>Применён закон сохранения импульса системы «пушка–снаряд».</x:v>
      </x:c>
      <x:c r="P3540" s="30" t="str">
        <x:v>Применён закон сохранения импульса системы «пушка–снаряд».</x:v>
      </x:c>
      <x:c r="Q3540" s="30"/>
      <x:c r="R3540" s="30" t="str">
        <x:v>Архивный фото-ключ</x:v>
      </x:c>
      <x:c r="S3540" s="30"/>
      <x:c r="T3540" s="30"/>
      <x:c r="U3540" s="30" t="str">
        <x:v>Расхождений не обнаружено.</x:v>
      </x:c>
      <x:c r="V3540" s="87" t="str">
        <x:v>VERIFIED</x:v>
      </x:c>
      <x:c r="W3540" s="87" t="str">
        <x:v>Zadanie_FI11_15102025_.pdf, стр. 4</x:v>
      </x:c>
      <x:c r="X3540" s="87"/>
      <x:c r="Y3540" s="87"/>
      <x:c r="Z3540" s="87"/>
      <x:c r="AA3540" s="87"/>
      <x:c r="AB3540" s="87"/>
      <x:c r="AC3540" s="87" t="str">
        <x:v>VIS-PHYS-OCT-025</x:v>
      </x:c>
      <x:c r="AD3540" s="87"/>
      <x:c r="AE3540" s="87"/>
      <x:c r="AF3540" s="87" t="str">
        <x:v>VIS-PHYS-OCT-025: 4</x:v>
      </x:c>
      <x:c r="AG3540" s="87" t="str">
        <x:v>RESOLVED</x:v>
      </x:c>
      <x:c r="AH3540" s="87" t="str">
        <x:v>CROP_VERIFIED</x:v>
      </x:c>
      <x:c r="AI3540" s="30"/>
      <x:c r="AJ3540" s="87" t="str">
        <x:v>master</x:v>
      </x:c>
      <x:c r="AK3540" s="87" t="str">
        <x:v>master-v0.81</x:v>
      </x:c>
      <x:c r="AL3540" s="87" t="str">
        <x:v>statgrad_master_base_v0_81_final(2).xlsx</x:v>
      </x:c>
      <x:c r="AM3540" s="87" t="str">
        <x:v>PHYS_Oct_V3</x:v>
      </x:c>
      <x:c r="AN3540" s="87" t="n">
        <x:v>4</x:v>
      </x:c>
    </x:row>
    <x:row r="3541">
      <x:c r="A3541" s="87" t="n">
        <x:v>3540</x:v>
      </x:c>
      <x:c r="B3541" s="87" t="str">
        <x:v>OCT-PHYS-103-004</x:v>
      </x:c>
      <x:c r="C3541" s="87" t="str">
        <x:v>СтатГрад</x:v>
      </x:c>
      <x:c r="D3541" s="87" t="str">
        <x:v>Октябрь 2025</x:v>
      </x:c>
      <x:c r="E3541" s="87"/>
      <x:c r="F3541" s="87"/>
      <x:c r="G3541" s="87" t="str">
        <x:v>Физика</x:v>
      </x:c>
      <x:c r="H3541" s="87" t="n">
        <x:v>11</x:v>
      </x:c>
      <x:c r="I3541" s="87" t="str">
        <x:v>ТР №1</x:v>
      </x:c>
      <x:c r="J3541" s="87" t="str">
        <x:v>ФИ2510103</x:v>
      </x:c>
      <x:c r="K3541" s="87" t="n">
        <x:v>4</x:v>
      </x:c>
      <x:c r="L3541" s="87" t="str">
        <x:v>Механические колебания</x:v>
      </x:c>
      <x:c r="M3541" s="30" t="str">
        <x:v>Частота свободных гармонических колебаний первого математического
    маятника равна 0,8 Гц. Чему равна частота свободных гармонических
    колебаний второго математического маятника, у которого длина нити
    в 4 раза меньше, а масса груза в 4 раза больше, чем у первого?
    Ответ: ___________________________ Гц.</x:v>
      </x:c>
      <x:c r="N3541" s="30" t="str">
        <x:v>1,6</x:v>
      </x:c>
      <x:c r="O3541" s="30" t="str">
        <x:v>Для математического маятника T∝√l и ν∝1/√l; масса груза не влияет.</x:v>
      </x:c>
      <x:c r="P3541" s="30" t="str">
        <x:v>Для математического маятника T∝√l и ν∝1/√l; масса груза не влияет.</x:v>
      </x:c>
      <x:c r="Q3541" s="30"/>
      <x:c r="R3541" s="30" t="str">
        <x:v>Архивный фото-ключ</x:v>
      </x:c>
      <x:c r="S3541" s="30"/>
      <x:c r="T3541" s="30"/>
      <x:c r="U3541" s="30" t="str">
        <x:v>Расхождений не обнаружено.</x:v>
      </x:c>
      <x:c r="V3541" s="87" t="str">
        <x:v>VERIFIED</x:v>
      </x:c>
      <x:c r="W3541" s="87" t="str">
        <x:v>Zadanie_FI11_15102025_.pdf, стр. 4</x:v>
      </x:c>
      <x:c r="X3541" s="87"/>
      <x:c r="Y3541" s="87"/>
      <x:c r="Z3541" s="87"/>
      <x:c r="AA3541" s="87"/>
      <x:c r="AB3541" s="87"/>
      <x:c r="AC3541" s="87" t="str">
        <x:v>VIS-PHYS-OCT-025</x:v>
      </x:c>
      <x:c r="AD3541" s="87"/>
      <x:c r="AE3541" s="87"/>
      <x:c r="AF3541" s="87" t="str">
        <x:v>VIS-PHYS-OCT-025: 4</x:v>
      </x:c>
      <x:c r="AG3541" s="87" t="str">
        <x:v>RESOLVED</x:v>
      </x:c>
      <x:c r="AH3541" s="87" t="str">
        <x:v>CROP_VERIFIED</x:v>
      </x:c>
      <x:c r="AI3541" s="30"/>
      <x:c r="AJ3541" s="87" t="str">
        <x:v>master</x:v>
      </x:c>
      <x:c r="AK3541" s="87" t="str">
        <x:v>master-v0.81</x:v>
      </x:c>
      <x:c r="AL3541" s="87" t="str">
        <x:v>statgrad_master_base_v0_81_final(2).xlsx</x:v>
      </x:c>
      <x:c r="AM3541" s="87" t="str">
        <x:v>PHYS_Oct_V3</x:v>
      </x:c>
      <x:c r="AN3541" s="87" t="n">
        <x:v>5</x:v>
      </x:c>
    </x:row>
    <x:row r="3542">
      <x:c r="A3542" s="87" t="n">
        <x:v>3541</x:v>
      </x:c>
      <x:c r="B3542" s="87" t="str">
        <x:v>OCT-PHYS-103-005</x:v>
      </x:c>
      <x:c r="C3542" s="87" t="str">
        <x:v>СтатГрад</x:v>
      </x:c>
      <x:c r="D3542" s="87" t="str">
        <x:v>Октябрь 2025</x:v>
      </x:c>
      <x:c r="E3542" s="87"/>
      <x:c r="F3542" s="87"/>
      <x:c r="G3542" s="87" t="str">
        <x:v>Физика</x:v>
      </x:c>
      <x:c r="H3542" s="87" t="n">
        <x:v>11</x:v>
      </x:c>
      <x:c r="I3542" s="87" t="str">
        <x:v>ТР №1</x:v>
      </x:c>
      <x:c r="J3542" s="87" t="str">
        <x:v>ФИ2510103</x:v>
      </x:c>
      <x:c r="K3542" s="87" t="n">
        <x:v>5</x:v>
      </x:c>
      <x:c r="L3542" s="87" t="str">
        <x:v>Сухое трение</x:v>
      </x:c>
      <x:c r="M3542" s="30" t="str">
        <x:v>При изучении свойств силы сухого трения был получен график зависимости
    модуля силы трения F тр , действующей на находящееся на горизонтальном
    столе тело массой 0,5 кг, от модуля горизонтальной силы F, приложенной
    к этому телу (см. рисунок).
    Выберите все утверждения, которые верно отражают результаты этого опыта.
    В ответе запишите их номера.
    1) Модуль максимальной силы трения покоя, действующей на тело, равен 4 Н.
    2) В течение первых двух секунд тело двигалось равномерно, а затем
       равноускоренно.
    3) Если модуль силы F, действующей на тело, больше 4 Н, тело покоится.
    4) Коэффициент трения тела о стол равен 0,8.
    5) Когда модуль силы F, действующей на тело, равен 6 Н, тело движется
       с ускорением 8 м/с2.</x:v>
      </x:c>
      <x:c r="N3542" s="30" t="str">
        <x:v>14</x:v>
      </x:c>
      <x:c r="O3542" s="30" t="str">
        <x:v>График силы сухого трения сопоставлен с режимами покоя и скольжения; утверждения проверены по значениям графика.</x:v>
      </x:c>
      <x:c r="P3542" s="30" t="str">
        <x:v>График силы сухого трения сопоставлен с режимами покоя и скольжения; утверждения проверены по значениям графика.</x:v>
      </x:c>
      <x:c r="Q3542" s="30"/>
      <x:c r="R3542" s="30" t="str">
        <x:v>Официальная таблица ответов</x:v>
      </x:c>
      <x:c r="S3542" s="30"/>
      <x:c r="T3542" s="30"/>
      <x:c r="U3542" s="30" t="str">
        <x:v>Расхождений не обнаружено.</x:v>
      </x:c>
      <x:c r="V3542" s="87" t="str">
        <x:v>VERIFIED</x:v>
      </x:c>
      <x:c r="W3542" s="87" t="str">
        <x:v>Zadanie_FI11_15102025_.pdf, стр. 5</x:v>
      </x:c>
      <x:c r="X3542" s="87"/>
      <x:c r="Y3542" s="87"/>
      <x:c r="Z3542" s="87"/>
      <x:c r="AA3542" s="87"/>
      <x:c r="AB3542" s="87"/>
      <x:c r="AC3542" s="87" t="str">
        <x:v>VIS-PHYS-OCT-026</x:v>
      </x:c>
      <x:c r="AD3542" s="87"/>
      <x:c r="AE3542" s="87"/>
      <x:c r="AF3542" s="87" t="str">
        <x:v>VIS-PHYS-OCT-026: 5</x:v>
      </x:c>
      <x:c r="AG3542" s="87" t="str">
        <x:v>RESOLVED</x:v>
      </x:c>
      <x:c r="AH3542" s="87" t="str">
        <x:v>CROP_VERIFIED; TASK_CROP_QA_APPROVED:USE_CONTEXT</x:v>
      </x:c>
      <x:c r="AI3542" s="30"/>
      <x:c r="AJ3542" s="87" t="str">
        <x:v>master</x:v>
      </x:c>
      <x:c r="AK3542" s="87" t="str">
        <x:v>master-v0.81</x:v>
      </x:c>
      <x:c r="AL3542" s="87" t="str">
        <x:v>statgrad_master_base_v0_81_final(2).xlsx</x:v>
      </x:c>
      <x:c r="AM3542" s="87" t="str">
        <x:v>PHYS_Oct_V3</x:v>
      </x:c>
      <x:c r="AN3542" s="87" t="n">
        <x:v>6</x:v>
      </x:c>
    </x:row>
    <x:row r="3543">
      <x:c r="A3543" s="87" t="n">
        <x:v>3542</x:v>
      </x:c>
      <x:c r="B3543" s="87" t="str">
        <x:v>OCT-PHYS-103-006</x:v>
      </x:c>
      <x:c r="C3543" s="87" t="str">
        <x:v>СтатГрад</x:v>
      </x:c>
      <x:c r="D3543" s="87" t="str">
        <x:v>Октябрь 2025</x:v>
      </x:c>
      <x:c r="E3543" s="87"/>
      <x:c r="F3543" s="87"/>
      <x:c r="G3543" s="87" t="str">
        <x:v>Физика</x:v>
      </x:c>
      <x:c r="H3543" s="87" t="n">
        <x:v>11</x:v>
      </x:c>
      <x:c r="I3543" s="87" t="str">
        <x:v>ТР №1</x:v>
      </x:c>
      <x:c r="J3543" s="87" t="str">
        <x:v>ФИ2510103</x:v>
      </x:c>
      <x:c r="K3543" s="87" t="n">
        <x:v>6</x:v>
      </x:c>
      <x:c r="L3543" s="87" t="str">
        <x:v>Движение тела под действием тяжести</x:v>
      </x:c>
      <x:c r="M3543" s="30" t="str">
        <x:v>Мячик брошен с высоты H над горизонтальной поверхностью с начальной
    скоростью V 0 под углом α к горизонту так, как показано на рисунке (угол
    отсчитывается от горизонтали в направлении по часовой стрелке).
    Как изменятся время полёта и ускорение мячика в течение полёта,
    если увеличить угол α, а остальные параметры оставить без изменения?
    Сопротивлением воздуха пренебречь.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Время полёта мячика                  Ускорение мячика в течение полёта</x:v>
      </x:c>
      <x:c r="N3543" s="30" t="str">
        <x:v>23</x:v>
      </x:c>
      <x:c r="O3543" s="30" t="str">
        <x:v>Проекции начальной скорости и уравнения движения сопоставлены при изменении угла; конечная скорость дополнительно проверена по энергии.</x:v>
      </x:c>
      <x:c r="P3543" s="30" t="str">
        <x:v>Проекции начальной скорости и уравнения движения сопоставлены при изменении угла; конечная скорость дополнительно проверена по энергии.</x:v>
      </x:c>
      <x:c r="Q3543" s="30"/>
      <x:c r="R3543" s="30" t="str">
        <x:v>Архивный фото-ключ</x:v>
      </x:c>
      <x:c r="S3543" s="30"/>
      <x:c r="T3543" s="30"/>
      <x:c r="U3543" s="30" t="str">
        <x:v>Расхождений не обнаружено.</x:v>
      </x:c>
      <x:c r="V3543" s="87" t="str">
        <x:v>VERIFIED</x:v>
      </x:c>
      <x:c r="W3543" s="87" t="str">
        <x:v>Zadanie_FI11_15102025_.pdf, стр. 6</x:v>
      </x:c>
      <x:c r="X3543" s="87"/>
      <x:c r="Y3543" s="87"/>
      <x:c r="Z3543" s="87"/>
      <x:c r="AA3543" s="87"/>
      <x:c r="AB3543" s="87"/>
      <x:c r="AC3543" s="87" t="str">
        <x:v>VIS-PHYS-OCT-027</x:v>
      </x:c>
      <x:c r="AD3543" s="87"/>
      <x:c r="AE3543" s="87"/>
      <x:c r="AF3543" s="87" t="str">
        <x:v>VIS-PHYS-OCT-027: 6</x:v>
      </x:c>
      <x:c r="AG3543" s="87" t="str">
        <x:v>RESOLVED</x:v>
      </x:c>
      <x:c r="AH3543" s="87" t="str">
        <x:v>CROP_VERIFIED; TASK_CROP_QA_APPROVED:USE_TIGHT</x:v>
      </x:c>
      <x:c r="AI3543" s="30"/>
      <x:c r="AJ3543" s="87" t="str">
        <x:v>master</x:v>
      </x:c>
      <x:c r="AK3543" s="87" t="str">
        <x:v>master-v0.81</x:v>
      </x:c>
      <x:c r="AL3543" s="87" t="str">
        <x:v>statgrad_master_base_v0_81_final(2).xlsx</x:v>
      </x:c>
      <x:c r="AM3543" s="87" t="str">
        <x:v>PHYS_Oct_V3</x:v>
      </x:c>
      <x:c r="AN3543" s="87" t="n">
        <x:v>7</x:v>
      </x:c>
    </x:row>
    <x:row r="3544">
      <x:c r="A3544" s="87" t="n">
        <x:v>3543</x:v>
      </x:c>
      <x:c r="B3544" s="87" t="str">
        <x:v>OCT-PHYS-103-007</x:v>
      </x:c>
      <x:c r="C3544" s="87" t="str">
        <x:v>СтатГрад</x:v>
      </x:c>
      <x:c r="D3544" s="87" t="str">
        <x:v>Октябрь 2025</x:v>
      </x:c>
      <x:c r="E3544" s="87"/>
      <x:c r="F3544" s="87"/>
      <x:c r="G3544" s="87" t="str">
        <x:v>Физика</x:v>
      </x:c>
      <x:c r="H3544" s="87" t="n">
        <x:v>11</x:v>
      </x:c>
      <x:c r="I3544" s="87" t="str">
        <x:v>ТР №1</x:v>
      </x:c>
      <x:c r="J3544" s="87" t="str">
        <x:v>ФИ2510103</x:v>
      </x:c>
      <x:c r="K3544" s="87" t="n">
        <x:v>7</x:v>
      </x:c>
      <x:c r="L3544" s="87" t="str">
        <x:v>Молекулярная физика</x:v>
      </x:c>
      <x:c r="M3544" s="30" t="str">
        <x:v>Неизменное количество идеального газа находится в сосуде под тяжёлым
    поршнем. Нагрузив поршень, давление газа увеличили в 2,5 раза
    при постоянной температуре. Чему равно отношение концентраций газа
    в конечном и начальном состоянии n 2 /n 1 ?</x:v>
      </x:c>
      <x:c r="N3544" s="30" t="str">
        <x:v>2,5</x:v>
      </x:c>
      <x:c r="O3544" s="30" t="str">
        <x:v>Использовано уравнение состояния идеального газа и постоянство указанных параметров.</x:v>
      </x:c>
      <x:c r="P3544" s="30" t="str">
        <x:v>Использовано уравнение состояния идеального газа и постоянство указанных параметров.</x:v>
      </x:c>
      <x:c r="Q3544" s="30"/>
      <x:c r="R3544" s="30" t="str">
        <x:v>Архивный фото-ключ</x:v>
      </x:c>
      <x:c r="S3544" s="30"/>
      <x:c r="T3544" s="30"/>
      <x:c r="U3544" s="30" t="str">
        <x:v>Расхождений не обнаружено.</x:v>
      </x:c>
      <x:c r="V3544" s="87" t="str">
        <x:v>VERIFIED</x:v>
      </x:c>
      <x:c r="W3544" s="87" t="str">
        <x:v>Zadanie_FI11_15102025_.pdf, стр. 7</x:v>
      </x:c>
      <x:c r="X3544" s="87"/>
      <x:c r="Y3544" s="87"/>
      <x:c r="Z3544" s="87"/>
      <x:c r="AA3544" s="87"/>
      <x:c r="AB3544" s="87"/>
      <x:c r="AC3544" s="87" t="str">
        <x:v>VIS-PHYS-OCT-028</x:v>
      </x:c>
      <x:c r="AD3544" s="87"/>
      <x:c r="AE3544" s="87"/>
      <x:c r="AF3544" s="87" t="str">
        <x:v>VIS-PHYS-OCT-028: 7</x:v>
      </x:c>
      <x:c r="AG3544" s="87" t="str">
        <x:v>RESOLVED</x:v>
      </x:c>
      <x:c r="AH3544" s="87" t="str">
        <x:v>CROP_VERIFIED</x:v>
      </x:c>
      <x:c r="AI3544" s="30"/>
      <x:c r="AJ3544" s="87" t="str">
        <x:v>master</x:v>
      </x:c>
      <x:c r="AK3544" s="87" t="str">
        <x:v>master-v0.81</x:v>
      </x:c>
      <x:c r="AL3544" s="87" t="str">
        <x:v>statgrad_master_base_v0_81_final(2).xlsx</x:v>
      </x:c>
      <x:c r="AM3544" s="87" t="str">
        <x:v>PHYS_Oct_V3</x:v>
      </x:c>
      <x:c r="AN3544" s="87" t="n">
        <x:v>8</x:v>
      </x:c>
    </x:row>
    <x:row r="3545">
      <x:c r="A3545" s="87" t="n">
        <x:v>3544</x:v>
      </x:c>
      <x:c r="B3545" s="87" t="str">
        <x:v>OCT-PHYS-103-008</x:v>
      </x:c>
      <x:c r="C3545" s="87" t="str">
        <x:v>СтатГрад</x:v>
      </x:c>
      <x:c r="D3545" s="87" t="str">
        <x:v>Октябрь 2025</x:v>
      </x:c>
      <x:c r="E3545" s="87"/>
      <x:c r="F3545" s="87"/>
      <x:c r="G3545" s="87" t="str">
        <x:v>Физика</x:v>
      </x:c>
      <x:c r="H3545" s="87" t="n">
        <x:v>11</x:v>
      </x:c>
      <x:c r="I3545" s="87" t="str">
        <x:v>ТР №1</x:v>
      </x:c>
      <x:c r="J3545" s="87" t="str">
        <x:v>ФИ2510103</x:v>
      </x:c>
      <x:c r="K3545" s="87" t="n">
        <x:v>8</x:v>
      </x:c>
      <x:c r="L3545" s="87" t="str">
        <x:v>Работа газа</x:v>
      </x:c>
      <x:c r="M3545" s="30" t="str">
        <x:v>На рисунке показаны зависимости давления p гелия от его объёма V для двух
    процессов: 1–2 и 3–4. Чему равно отношение A34/A12 работы гелия в процессе
    3–4 к работе гелия в процессе 1–2?</x:v>
      </x:c>
      <x:c r="N3545" s="30" t="str">
        <x:v>0,6</x:v>
      </x:c>
      <x:c r="O3545" s="30" t="str">
        <x:v>Работа газа определена площадью под соответствующим участком pV-графика.</x:v>
      </x:c>
      <x:c r="P3545" s="30" t="str">
        <x:v>Работа газа определена площадью под соответствующим участком pV-графика.</x:v>
      </x:c>
      <x:c r="Q3545" s="30"/>
      <x:c r="R3545" s="30" t="str">
        <x:v>Архивный фото-ключ</x:v>
      </x:c>
      <x:c r="S3545" s="30"/>
      <x:c r="T3545" s="30"/>
      <x:c r="U3545" s="30" t="str">
        <x:v>Расхождений не обнаружено.</x:v>
      </x:c>
      <x:c r="V3545" s="87" t="str">
        <x:v>VERIFIED</x:v>
      </x:c>
      <x:c r="W3545" s="87" t="str">
        <x:v>Zadanie_FI11_15102025_.pdf, стр. 7</x:v>
      </x:c>
      <x:c r="X3545" s="87"/>
      <x:c r="Y3545" s="87"/>
      <x:c r="Z3545" s="87"/>
      <x:c r="AA3545" s="87"/>
      <x:c r="AB3545" s="87"/>
      <x:c r="AC3545" s="87" t="str">
        <x:v>VIS-PHYS-OCT-028</x:v>
      </x:c>
      <x:c r="AD3545" s="87"/>
      <x:c r="AE3545" s="87"/>
      <x:c r="AF3545" s="87" t="str">
        <x:v>VIS-PHYS-OCT-028: 7</x:v>
      </x:c>
      <x:c r="AG3545" s="87" t="str">
        <x:v>RESOLVED</x:v>
      </x:c>
      <x:c r="AH3545" s="87" t="str">
        <x:v>CROP_VERIFIED; TASK_CROP_QA_APPROVED:USE_CONTEXT</x:v>
      </x:c>
      <x:c r="AI3545" s="30"/>
      <x:c r="AJ3545" s="87" t="str">
        <x:v>master</x:v>
      </x:c>
      <x:c r="AK3545" s="87" t="str">
        <x:v>master-v0.81</x:v>
      </x:c>
      <x:c r="AL3545" s="87" t="str">
        <x:v>statgrad_master_base_v0_81_final(2).xlsx</x:v>
      </x:c>
      <x:c r="AM3545" s="87" t="str">
        <x:v>PHYS_Oct_V3</x:v>
      </x:c>
      <x:c r="AN3545" s="87" t="n">
        <x:v>9</x:v>
      </x:c>
    </x:row>
    <x:row r="3546">
      <x:c r="A3546" s="87" t="n">
        <x:v>3545</x:v>
      </x:c>
      <x:c r="B3546" s="87" t="str">
        <x:v>OCT-PHYS-103-009</x:v>
      </x:c>
      <x:c r="C3546" s="87" t="str">
        <x:v>СтатГрад</x:v>
      </x:c>
      <x:c r="D3546" s="87" t="str">
        <x:v>Октябрь 2025</x:v>
      </x:c>
      <x:c r="E3546" s="87"/>
      <x:c r="F3546" s="87"/>
      <x:c r="G3546" s="87" t="str">
        <x:v>Физика</x:v>
      </x:c>
      <x:c r="H3546" s="87" t="n">
        <x:v>11</x:v>
      </x:c>
      <x:c r="I3546" s="87" t="str">
        <x:v>ТР №1</x:v>
      </x:c>
      <x:c r="J3546" s="87" t="str">
        <x:v>ФИ2510103</x:v>
      </x:c>
      <x:c r="K3546" s="87" t="n">
        <x:v>9</x:v>
      </x:c>
      <x:c r="L3546" s="87" t="str">
        <x:v>Смеси идеальных газов</x:v>
      </x:c>
      <x:c r="M3546" s="30" t="str">
        <x:v>Объём сосуда, содержащего 1 моль водорода, увеличили вдвое и добавили
    в сосуд 1,5 моля гелия. Температуру в сосуде поддерживали постоянной.
    Выберите из предложенного перечня все утверждения, которые верно
    отражают результаты этого опыта. В ответе запишите их номера.
    1) Концентрации водорода и гелия в сосуде в конце опыта одинаковы.
    2) Внутренняя энергия водорода уменьшилась.
    3) Плотность газа в сосуде увеличилась.
    4) Давление в сосуде увеличилось.
    5) Парциальное давление водорода уменьшилось.</x:v>
      </x:c>
      <x:c r="N3546" s="30" t="str">
        <x:v>345</x:v>
      </x:c>
      <x:c r="O3546" s="30" t="str">
        <x:v>Проверены концентрация, давление, плотность, внутренняя энергия и парциальные давления смеси идеальных газов.</x:v>
      </x:c>
      <x:c r="P3546" s="30" t="str">
        <x:v>Проверены концентрация, давление, плотность, внутренняя энергия и парциальные давления смеси идеальных газов.</x:v>
      </x:c>
      <x:c r="Q3546" s="30"/>
      <x:c r="R3546" s="30" t="str">
        <x:v>Официальная таблица ответов</x:v>
      </x:c>
      <x:c r="S3546" s="30"/>
      <x:c r="T3546" s="30"/>
      <x:c r="U3546" s="30" t="str">
        <x:v>Расхождений не обнаружено.</x:v>
      </x:c>
      <x:c r="V3546" s="87" t="str">
        <x:v>VERIFIED</x:v>
      </x:c>
      <x:c r="W3546" s="87" t="str">
        <x:v>Zadanie_FI11_15102025_.pdf, стр. 7</x:v>
      </x:c>
      <x:c r="X3546" s="87"/>
      <x:c r="Y3546" s="87"/>
      <x:c r="Z3546" s="87"/>
      <x:c r="AA3546" s="87"/>
      <x:c r="AB3546" s="87"/>
      <x:c r="AC3546" s="87" t="str">
        <x:v>VIS-PHYS-OCT-028</x:v>
      </x:c>
      <x:c r="AD3546" s="87"/>
      <x:c r="AE3546" s="87"/>
      <x:c r="AF3546" s="87" t="str">
        <x:v>VIS-PHYS-OCT-028: 7</x:v>
      </x:c>
      <x:c r="AG3546" s="87" t="str">
        <x:v>RESOLVED</x:v>
      </x:c>
      <x:c r="AH3546" s="87" t="str">
        <x:v>CROP_VERIFIED</x:v>
      </x:c>
      <x:c r="AI3546" s="30"/>
      <x:c r="AJ3546" s="87" t="str">
        <x:v>master</x:v>
      </x:c>
      <x:c r="AK3546" s="87" t="str">
        <x:v>master-v0.81</x:v>
      </x:c>
      <x:c r="AL3546" s="87" t="str">
        <x:v>statgrad_master_base_v0_81_final(2).xlsx</x:v>
      </x:c>
      <x:c r="AM3546" s="87" t="str">
        <x:v>PHYS_Oct_V3</x:v>
      </x:c>
      <x:c r="AN3546" s="87" t="n">
        <x:v>10</x:v>
      </x:c>
    </x:row>
    <x:row r="3547">
      <x:c r="A3547" s="87" t="n">
        <x:v>3546</x:v>
      </x:c>
      <x:c r="B3547" s="87" t="str">
        <x:v>OCT-PHYS-103-010</x:v>
      </x:c>
      <x:c r="C3547" s="87" t="str">
        <x:v>СтатГрад</x:v>
      </x:c>
      <x:c r="D3547" s="87" t="str">
        <x:v>Октябрь 2025</x:v>
      </x:c>
      <x:c r="E3547" s="87"/>
      <x:c r="F3547" s="87"/>
      <x:c r="G3547" s="87" t="str">
        <x:v>Физика</x:v>
      </x:c>
      <x:c r="H3547" s="87" t="n">
        <x:v>11</x:v>
      </x:c>
      <x:c r="I3547" s="87" t="str">
        <x:v>ТР №1</x:v>
      </x:c>
      <x:c r="J3547" s="87" t="str">
        <x:v>ФИ2510103</x:v>
      </x:c>
      <x:c r="K3547" s="87" t="n">
        <x:v>10</x:v>
      </x:c>
      <x:c r="L3547" s="87" t="str">
        <x:v>Газовые процессы</x:v>
      </x:c>
      <x:c r="M3547" s="30" t="str">
        <x:v>На рисунках приведены графики А) и Б) двух различных процессов: 1–2 и 3–4,
     происходящих с 1 молем гелия. Графики построены в координатах р–T и p–V,
     где p – давление, V – объём и T – абсолютная температура газа. Установите
     соответствие между графиками и утверждениями, характеризующими
     изображённые на графиках процессы.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                                   УТВЕРЖДЕНИЕ
                               1)   Над газом совершают работу, при этом
                                    его внутренняя энергия уменьшается.
                               2)   Над газом совершают работу, при этом
                                    газ получает положительное количество теплоты.
                               3)   Газ получает положительное количество теплоты
     А)                             и совершает работу.
                               4)   Газ получает положительное количество теплоты,
                                    при этом его внутренняя энергия увеличивается.
     Б)</x:v>
      </x:c>
      <x:c r="N3547" s="30" t="str">
        <x:v>13</x:v>
      </x:c>
      <x:c r="O3547" s="30" t="str">
        <x:v>Каждый график переведён через pV=νRT; установлены знак работы, изменение объёма и температуры.</x:v>
      </x:c>
      <x:c r="P3547" s="30" t="str">
        <x:v>Каждый график переведён через pV=νRT; установлены знак работы, изменение объёма и температуры.</x:v>
      </x:c>
      <x:c r="Q3547" s="30"/>
      <x:c r="R3547" s="30" t="str">
        <x:v>Архивный фото-ключ</x:v>
      </x:c>
      <x:c r="S3547" s="30"/>
      <x:c r="T3547" s="30"/>
      <x:c r="U3547" s="30" t="str">
        <x:v>Расхождений не обнаружено.</x:v>
      </x:c>
      <x:c r="V3547" s="87" t="str">
        <x:v>VERIFIED</x:v>
      </x:c>
      <x:c r="W3547" s="87" t="str">
        <x:v>Zadanie_FI11_15102025_.pdf, стр. 8</x:v>
      </x:c>
      <x:c r="X3547" s="87"/>
      <x:c r="Y3547" s="87"/>
      <x:c r="Z3547" s="87"/>
      <x:c r="AA3547" s="87"/>
      <x:c r="AB3547" s="87"/>
      <x:c r="AC3547" s="87" t="str">
        <x:v>VIS-PHYS-OCT-029</x:v>
      </x:c>
      <x:c r="AD3547" s="87"/>
      <x:c r="AE3547" s="87"/>
      <x:c r="AF3547" s="87" t="str">
        <x:v>VIS-PHYS-OCT-029: 8</x:v>
      </x:c>
      <x:c r="AG3547" s="87" t="str">
        <x:v>RESOLVED</x:v>
      </x:c>
      <x:c r="AH3547" s="87" t="str">
        <x:v>CROP_VERIFIED; TASK_CROP_QA_APPROVED:USE_CONTEXT</x:v>
      </x:c>
      <x:c r="AI3547" s="30"/>
      <x:c r="AJ3547" s="87" t="str">
        <x:v>master</x:v>
      </x:c>
      <x:c r="AK3547" s="87" t="str">
        <x:v>master-v0.81</x:v>
      </x:c>
      <x:c r="AL3547" s="87" t="str">
        <x:v>statgrad_master_base_v0_81_final(2).xlsx</x:v>
      </x:c>
      <x:c r="AM3547" s="87" t="str">
        <x:v>PHYS_Oct_V3</x:v>
      </x:c>
      <x:c r="AN3547" s="87" t="n">
        <x:v>11</x:v>
      </x:c>
    </x:row>
    <x:row r="3548">
      <x:c r="A3548" s="87" t="n">
        <x:v>3547</x:v>
      </x:c>
      <x:c r="B3548" s="87" t="str">
        <x:v>OCT-PHYS-103-011</x:v>
      </x:c>
      <x:c r="C3548" s="87" t="str">
        <x:v>СтатГрад</x:v>
      </x:c>
      <x:c r="D3548" s="87" t="str">
        <x:v>Октябрь 2025</x:v>
      </x:c>
      <x:c r="E3548" s="87"/>
      <x:c r="F3548" s="87"/>
      <x:c r="G3548" s="87" t="str">
        <x:v>Физика</x:v>
      </x:c>
      <x:c r="H3548" s="87" t="n">
        <x:v>11</x:v>
      </x:c>
      <x:c r="I3548" s="87" t="str">
        <x:v>ТР №1</x:v>
      </x:c>
      <x:c r="J3548" s="87" t="str">
        <x:v>ФИ2510103</x:v>
      </x:c>
      <x:c r="K3548" s="87" t="n">
        <x:v>11</x:v>
      </x:c>
      <x:c r="L3548" s="87" t="str">
        <x:v>Электростатика</x:v>
      </x:c>
      <x:c r="M3548" s="30" t="str">
        <x:v>Модуль силы электростатического взаимодействия между двумя точечными
     заряженными телами был равен 8 мН. Расстояние между ними уменьшили
     в 3 раза, а заряд одного из тел уменьшили в 2 раза. Определите величину
     силы кулоновского взаимодействия тел в этом случае.
     Ответ: ___________________________ мН.</x:v>
      </x:c>
      <x:c r="N3548" s="30" t="str">
        <x:v>36</x:v>
      </x:c>
      <x:c r="O3548" s="30" t="str">
        <x:v>Использован закон Кулона F∝|q1q2|/r².</x:v>
      </x:c>
      <x:c r="P3548" s="30" t="str">
        <x:v>Использован закон Кулона F∝|q1q2|/r².</x:v>
      </x:c>
      <x:c r="Q3548" s="30"/>
      <x:c r="R3548" s="30" t="str">
        <x:v>Архивный фото-ключ</x:v>
      </x:c>
      <x:c r="S3548" s="30"/>
      <x:c r="T3548" s="30"/>
      <x:c r="U3548" s="30" t="str">
        <x:v>Расхождений не обнаружено.</x:v>
      </x:c>
      <x:c r="V3548" s="87" t="str">
        <x:v>VERIFIED</x:v>
      </x:c>
      <x:c r="W3548" s="87" t="str">
        <x:v>Zadanie_FI11_15102025_.pdf, стр. 8</x:v>
      </x:c>
      <x:c r="X3548" s="87"/>
      <x:c r="Y3548" s="87"/>
      <x:c r="Z3548" s="87"/>
      <x:c r="AA3548" s="87"/>
      <x:c r="AB3548" s="87"/>
      <x:c r="AC3548" s="87" t="str">
        <x:v>VIS-PHYS-OCT-029</x:v>
      </x:c>
      <x:c r="AD3548" s="87"/>
      <x:c r="AE3548" s="87"/>
      <x:c r="AF3548" s="87" t="str">
        <x:v>VIS-PHYS-OCT-029: 8</x:v>
      </x:c>
      <x:c r="AG3548" s="87" t="str">
        <x:v>RESOLVED</x:v>
      </x:c>
      <x:c r="AH3548" s="87" t="str">
        <x:v>CROP_VERIFIED</x:v>
      </x:c>
      <x:c r="AI3548" s="30"/>
      <x:c r="AJ3548" s="87" t="str">
        <x:v>master</x:v>
      </x:c>
      <x:c r="AK3548" s="87" t="str">
        <x:v>master-v0.81</x:v>
      </x:c>
      <x:c r="AL3548" s="87" t="str">
        <x:v>statgrad_master_base_v0_81_final(2).xlsx</x:v>
      </x:c>
      <x:c r="AM3548" s="87" t="str">
        <x:v>PHYS_Oct_V3</x:v>
      </x:c>
      <x:c r="AN3548" s="87" t="n">
        <x:v>12</x:v>
      </x:c>
    </x:row>
    <x:row r="3549">
      <x:c r="A3549" s="87" t="n">
        <x:v>3548</x:v>
      </x:c>
      <x:c r="B3549" s="87" t="str">
        <x:v>OCT-PHYS-103-012</x:v>
      </x:c>
      <x:c r="C3549" s="87" t="str">
        <x:v>СтатГрад</x:v>
      </x:c>
      <x:c r="D3549" s="87" t="str">
        <x:v>Октябрь 2025</x:v>
      </x:c>
      <x:c r="E3549" s="87"/>
      <x:c r="F3549" s="87"/>
      <x:c r="G3549" s="87" t="str">
        <x:v>Физика</x:v>
      </x:c>
      <x:c r="H3549" s="87" t="n">
        <x:v>11</x:v>
      </x:c>
      <x:c r="I3549" s="87" t="str">
        <x:v>ТР №1</x:v>
      </x:c>
      <x:c r="J3549" s="87" t="str">
        <x:v>ФИ2510103</x:v>
      </x:c>
      <x:c r="K3549" s="87" t="n">
        <x:v>12</x:v>
      </x:c>
      <x:c r="L3549" s="87" t="str">
        <x:v>Электромагнитная индукция</x:v>
      </x:c>
      <x:c r="M3549" s="30" t="str">
        <x:v>При поступательном движении прямолинейного проводника в постоянном
     однородном магнитном поле с индукцией В 1 между концами проводника
     возникает разность потенциалов U. При движении этого проводника в той же
     плоскости и в том же направлении с такой же скоростью в однородном
     магнитном поле с индукцией В 2 разность потенциалов между концами
     проводника уменьшилась в 2,5 раза. Чему равно отношение В 1 /В 2 ?</x:v>
      </x:c>
      <x:c r="N3549" s="30" t="str">
        <x:v>2,5</x:v>
      </x:c>
      <x:c r="O3549" s="30" t="str">
        <x:v>ЭДС движения пропорциональна скорости проводника при неизменных B, длине и ориентации.</x:v>
      </x:c>
      <x:c r="P3549" s="30" t="str">
        <x:v>ЭДС движения пропорциональна скорости проводника при неизменных B, длине и ориентации.</x:v>
      </x:c>
      <x:c r="Q3549" s="30"/>
      <x:c r="R3549" s="30" t="str">
        <x:v>Архивный фото-ключ</x:v>
      </x:c>
      <x:c r="S3549" s="30"/>
      <x:c r="T3549" s="30"/>
      <x:c r="U3549" s="30" t="str">
        <x:v>Расхождений не обнаружено.</x:v>
      </x:c>
      <x:c r="V3549" s="87" t="str">
        <x:v>VERIFIED</x:v>
      </x:c>
      <x:c r="W3549" s="87" t="str">
        <x:v>Zadanie_FI11_15102025_.pdf, стр. 9</x:v>
      </x:c>
      <x:c r="X3549" s="87"/>
      <x:c r="Y3549" s="87"/>
      <x:c r="Z3549" s="87"/>
      <x:c r="AA3549" s="87"/>
      <x:c r="AB3549" s="87"/>
      <x:c r="AC3549" s="87" t="str">
        <x:v>VIS-PHYS-OCT-030</x:v>
      </x:c>
      <x:c r="AD3549" s="87"/>
      <x:c r="AE3549" s="87"/>
      <x:c r="AF3549" s="87" t="str">
        <x:v>VIS-PHYS-OCT-030: 9</x:v>
      </x:c>
      <x:c r="AG3549" s="87" t="str">
        <x:v>RESOLVED</x:v>
      </x:c>
      <x:c r="AH3549" s="87" t="str">
        <x:v>CROP_VERIFIED</x:v>
      </x:c>
      <x:c r="AI3549" s="30"/>
      <x:c r="AJ3549" s="87" t="str">
        <x:v>master</x:v>
      </x:c>
      <x:c r="AK3549" s="87" t="str">
        <x:v>master-v0.81</x:v>
      </x:c>
      <x:c r="AL3549" s="87" t="str">
        <x:v>statgrad_master_base_v0_81_final(2).xlsx</x:v>
      </x:c>
      <x:c r="AM3549" s="87" t="str">
        <x:v>PHYS_Oct_V3</x:v>
      </x:c>
      <x:c r="AN3549" s="87" t="n">
        <x:v>13</x:v>
      </x:c>
    </x:row>
    <x:row r="3550">
      <x:c r="A3550" s="87" t="n">
        <x:v>3549</x:v>
      </x:c>
      <x:c r="B3550" s="87" t="str">
        <x:v>OCT-PHYS-103-013</x:v>
      </x:c>
      <x:c r="C3550" s="87" t="str">
        <x:v>СтатГрад</x:v>
      </x:c>
      <x:c r="D3550" s="87" t="str">
        <x:v>Октябрь 2025</x:v>
      </x:c>
      <x:c r="E3550" s="87"/>
      <x:c r="F3550" s="87"/>
      <x:c r="G3550" s="87" t="str">
        <x:v>Физика</x:v>
      </x:c>
      <x:c r="H3550" s="87" t="n">
        <x:v>11</x:v>
      </x:c>
      <x:c r="I3550" s="87" t="str">
        <x:v>ТР №1</x:v>
      </x:c>
      <x:c r="J3550" s="87" t="str">
        <x:v>ФИ2510103</x:v>
      </x:c>
      <x:c r="K3550" s="87" t="n">
        <x:v>13</x:v>
      </x:c>
      <x:c r="L3550" s="87" t="str">
        <x:v>Геометрическая оптика</x:v>
      </x:c>
      <x:c r="M3550" s="30" t="str">
        <x:v>Луч света падает на плоское зеркало. Угол между падающим и отражённым
     лучами равен 45°. Чему равен угол между отражённым лучом и зеркалом?</x:v>
      </x:c>
      <x:c r="N3550" s="30" t="str">
        <x:v>67,5</x:v>
      </x:c>
      <x:c r="O3550" s="30" t="str">
        <x:v>По закону отражения угол между лучами равен удвоенному углу падения; затем найден угол с плоскостью зеркала.</x:v>
      </x:c>
      <x:c r="P3550" s="30" t="str">
        <x:v>По закону отражения угол между лучами равен удвоенному углу падения; затем найден угол с плоскостью зеркала.</x:v>
      </x:c>
      <x:c r="Q3550" s="30"/>
      <x:c r="R3550" s="30" t="str">
        <x:v>Архивный фото-ключ</x:v>
      </x:c>
      <x:c r="S3550" s="30"/>
      <x:c r="T3550" s="30"/>
      <x:c r="U3550" s="30" t="str">
        <x:v>Расхождений не обнаружено.</x:v>
      </x:c>
      <x:c r="V3550" s="87" t="str">
        <x:v>VERIFIED</x:v>
      </x:c>
      <x:c r="W3550" s="87" t="str">
        <x:v>Zadanie_FI11_15102025_.pdf, стр. 9</x:v>
      </x:c>
      <x:c r="X3550" s="87"/>
      <x:c r="Y3550" s="87"/>
      <x:c r="Z3550" s="87"/>
      <x:c r="AA3550" s="87"/>
      <x:c r="AB3550" s="87"/>
      <x:c r="AC3550" s="87" t="str">
        <x:v>VIS-PHYS-OCT-030</x:v>
      </x:c>
      <x:c r="AD3550" s="87"/>
      <x:c r="AE3550" s="87"/>
      <x:c r="AF3550" s="87" t="str">
        <x:v>VIS-PHYS-OCT-030: 9</x:v>
      </x:c>
      <x:c r="AG3550" s="87" t="str">
        <x:v>RESOLVED</x:v>
      </x:c>
      <x:c r="AH3550" s="87" t="str">
        <x:v>CROP_VERIFIED</x:v>
      </x:c>
      <x:c r="AI3550" s="30"/>
      <x:c r="AJ3550" s="87" t="str">
        <x:v>master</x:v>
      </x:c>
      <x:c r="AK3550" s="87" t="str">
        <x:v>master-v0.81</x:v>
      </x:c>
      <x:c r="AL3550" s="87" t="str">
        <x:v>statgrad_master_base_v0_81_final(2).xlsx</x:v>
      </x:c>
      <x:c r="AM3550" s="87" t="str">
        <x:v>PHYS_Oct_V3</x:v>
      </x:c>
      <x:c r="AN3550" s="87" t="n">
        <x:v>14</x:v>
      </x:c>
    </x:row>
    <x:row r="3551">
      <x:c r="A3551" s="87" t="n">
        <x:v>3550</x:v>
      </x:c>
      <x:c r="B3551" s="87" t="str">
        <x:v>OCT-PHYS-103-014</x:v>
      </x:c>
      <x:c r="C3551" s="87" t="str">
        <x:v>СтатГрад</x:v>
      </x:c>
      <x:c r="D3551" s="87" t="str">
        <x:v>Октябрь 2025</x:v>
      </x:c>
      <x:c r="E3551" s="87"/>
      <x:c r="F3551" s="87"/>
      <x:c r="G3551" s="87" t="str">
        <x:v>Физика</x:v>
      </x:c>
      <x:c r="H3551" s="87" t="n">
        <x:v>11</x:v>
      </x:c>
      <x:c r="I3551" s="87" t="str">
        <x:v>ТР №1</x:v>
      </x:c>
      <x:c r="J3551" s="87" t="str">
        <x:v>ФИ2510103</x:v>
      </x:c>
      <x:c r="K3551" s="87" t="n">
        <x:v>14</x:v>
      </x:c>
      <x:c r="L3551" s="87" t="str">
        <x:v>Переходные процессы в RC-цепи</x:v>
      </x:c>
      <x:c r="M3551" s="30" t="str">
        <x:v>Незаряженный конденсатор подключён к батарейке последовательно
     с резистором сопротивлением R = 40 Ом (см. рисунок). В момент времени
     t = 0 ключ К замыкают. Результаты измерений силы тока I в цепи
     в зависимости от времени t представлены в таблице.
                       t, с      0   1        2     3      4     5      6
                       I, мА     150 55       20    7,5    2,5   1      0,5
     Внутренним сопротивлением батарейки, сопротивлением проводов и ключа
     можно пренебречь.
     Выберите все верные утверждения о процессах, наблюдаемых в опыте.
     В ответе запишите их номера.
     1) Напряжение на резисторе в процессе наблюдения уменьшается.
     2) Через 5 с после замыкания ключа напряжение на конденсаторе было
        меньше, чем через 2 с после замыкания ключа.
     3) ЭДС источника тока равна 15 В.
     4) Заряд конденсатора в процессе наблюдения увеличивался.
     5) В момент времени t = 3 с напряжение на конденсаторе равно 5,7 В.</x:v>
      </x:c>
      <x:c r="N3551" s="30" t="str">
        <x:v>145</x:v>
      </x:c>
      <x:c r="O3551" s="30" t="str">
        <x:v>По таблице зарядки RC-цепи проверены начальный ток, ЭДС источника и характер изменения энергии/заряда.</x:v>
      </x:c>
      <x:c r="P3551" s="30" t="str">
        <x:v>По таблице зарядки RC-цепи проверены начальный ток, ЭДС источника и характер изменения энергии/заряда.</x:v>
      </x:c>
      <x:c r="Q3551" s="30"/>
      <x:c r="R3551" s="30" t="str">
        <x:v>Официальная таблица ответов</x:v>
      </x:c>
      <x:c r="S3551" s="30"/>
      <x:c r="T3551" s="30"/>
      <x:c r="U3551" s="30" t="str">
        <x:v>Расхождений не обнаружено.</x:v>
      </x:c>
      <x:c r="V3551" s="87" t="str">
        <x:v>VERIFIED</x:v>
      </x:c>
      <x:c r="W3551" s="87" t="str">
        <x:v>Zadanie_FI11_15102025_.pdf, стр. 9</x:v>
      </x:c>
      <x:c r="X3551" s="87"/>
      <x:c r="Y3551" s="87"/>
      <x:c r="Z3551" s="87"/>
      <x:c r="AA3551" s="87"/>
      <x:c r="AB3551" s="87"/>
      <x:c r="AC3551" s="87" t="str">
        <x:v>VIS-PHYS-OCT-030</x:v>
      </x:c>
      <x:c r="AD3551" s="87"/>
      <x:c r="AE3551" s="87"/>
      <x:c r="AF3551" s="87" t="str">
        <x:v>VIS-PHYS-OCT-030: 9</x:v>
      </x:c>
      <x:c r="AG3551" s="87" t="str">
        <x:v>RESOLVED</x:v>
      </x:c>
      <x:c r="AH3551" s="87" t="str">
        <x:v>CROP_VERIFIED; TASK_CROP_QA_APPROVED:USE_CONTEXT</x:v>
      </x:c>
      <x:c r="AI3551" s="30"/>
      <x:c r="AJ3551" s="87" t="str">
        <x:v>master</x:v>
      </x:c>
      <x:c r="AK3551" s="87" t="str">
        <x:v>master-v0.81</x:v>
      </x:c>
      <x:c r="AL3551" s="87" t="str">
        <x:v>statgrad_master_base_v0_81_final(2).xlsx</x:v>
      </x:c>
      <x:c r="AM3551" s="87" t="str">
        <x:v>PHYS_Oct_V3</x:v>
      </x:c>
      <x:c r="AN3551" s="87" t="n">
        <x:v>15</x:v>
      </x:c>
    </x:row>
    <x:row r="3552">
      <x:c r="A3552" s="87" t="n">
        <x:v>3551</x:v>
      </x:c>
      <x:c r="B3552" s="87" t="str">
        <x:v>OCT-PHYS-103-015</x:v>
      </x:c>
      <x:c r="C3552" s="87" t="str">
        <x:v>СтатГрад</x:v>
      </x:c>
      <x:c r="D3552" s="87" t="str">
        <x:v>Октябрь 2025</x:v>
      </x:c>
      <x:c r="E3552" s="87"/>
      <x:c r="F3552" s="87"/>
      <x:c r="G3552" s="87" t="str">
        <x:v>Физика</x:v>
      </x:c>
      <x:c r="H3552" s="87" t="n">
        <x:v>11</x:v>
      </x:c>
      <x:c r="I3552" s="87" t="str">
        <x:v>ТР №1</x:v>
      </x:c>
      <x:c r="J3552" s="87" t="str">
        <x:v>ФИ2510103</x:v>
      </x:c>
      <x:c r="K3552" s="87" t="n">
        <x:v>15</x:v>
      </x:c>
      <x:c r="L3552" s="87" t="str">
        <x:v>Постоянный ток</x:v>
      </x:c>
      <x:c r="M3552" s="30" t="str">
        <x:v>По цилиндрической проволоке течёт электрический ток. Как изменятся при
     уменьшении длины проволоки в 9 раз и увеличении силы тока в 3 раза
     следующие величины: тепловая мощность, выделяющаяся в проволоке,
     и её электрическое сопротивление?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Тепловая мощность, выделяющаяся в                 Электрическое сопротивление
                 проволоке                                     проволоки</x:v>
      </x:c>
      <x:c r="N3552" s="30" t="str">
        <x:v>32</x:v>
      </x:c>
      <x:c r="O3552" s="30" t="str">
        <x:v>Сопротивление R=ρl/S и мощность P=I²R либо P=U²/R пересчитаны после изменения параметров.</x:v>
      </x:c>
      <x:c r="P3552" s="30" t="str">
        <x:v>Сопротивление R=ρl/S и мощность P=I²R либо P=U²/R пересчитаны после изменения параметров.</x:v>
      </x:c>
      <x:c r="Q3552" s="30"/>
      <x:c r="R3552" s="30" t="str">
        <x:v>Архивный фото-ключ</x:v>
      </x:c>
      <x:c r="S3552" s="30"/>
      <x:c r="T3552" s="30"/>
      <x:c r="U3552" s="30" t="str">
        <x:v>Расхождений не обнаружено.</x:v>
      </x:c>
      <x:c r="V3552" s="87" t="str">
        <x:v>VERIFIED</x:v>
      </x:c>
      <x:c r="W3552" s="87" t="str">
        <x:v>Zadanie_FI11_15102025_.pdf, стр. 10</x:v>
      </x:c>
      <x:c r="X3552" s="87"/>
      <x:c r="Y3552" s="87"/>
      <x:c r="Z3552" s="87"/>
      <x:c r="AA3552" s="87"/>
      <x:c r="AB3552" s="87"/>
      <x:c r="AC3552" s="87" t="str">
        <x:v>VIS-PHYS-OCT-031</x:v>
      </x:c>
      <x:c r="AD3552" s="87"/>
      <x:c r="AE3552" s="87"/>
      <x:c r="AF3552" s="87" t="str">
        <x:v>VIS-PHYS-OCT-031: 10</x:v>
      </x:c>
      <x:c r="AG3552" s="87" t="str">
        <x:v>RESOLVED</x:v>
      </x:c>
      <x:c r="AH3552" s="87" t="str">
        <x:v>CROP_VERIFIED</x:v>
      </x:c>
      <x:c r="AI3552" s="30"/>
      <x:c r="AJ3552" s="87" t="str">
        <x:v>master</x:v>
      </x:c>
      <x:c r="AK3552" s="87" t="str">
        <x:v>master-v0.81</x:v>
      </x:c>
      <x:c r="AL3552" s="87" t="str">
        <x:v>statgrad_master_base_v0_81_final(2).xlsx</x:v>
      </x:c>
      <x:c r="AM3552" s="87" t="str">
        <x:v>PHYS_Oct_V3</x:v>
      </x:c>
      <x:c r="AN3552" s="87" t="n">
        <x:v>16</x:v>
      </x:c>
    </x:row>
    <x:row r="3553">
      <x:c r="A3553" s="87" t="n">
        <x:v>3552</x:v>
      </x:c>
      <x:c r="B3553" s="87" t="str">
        <x:v>OCT-PHYS-103-016</x:v>
      </x:c>
      <x:c r="C3553" s="87" t="str">
        <x:v>СтатГрад</x:v>
      </x:c>
      <x:c r="D3553" s="87" t="str">
        <x:v>Октябрь 2025</x:v>
      </x:c>
      <x:c r="E3553" s="87"/>
      <x:c r="F3553" s="87"/>
      <x:c r="G3553" s="87" t="str">
        <x:v>Физика</x:v>
      </x:c>
      <x:c r="H3553" s="87" t="n">
        <x:v>11</x:v>
      </x:c>
      <x:c r="I3553" s="87" t="str">
        <x:v>ТР №1</x:v>
      </x:c>
      <x:c r="J3553" s="87" t="str">
        <x:v>ФИ2510103</x:v>
      </x:c>
      <x:c r="K3553" s="87" t="n">
        <x:v>16</x:v>
      </x:c>
      <x:c r="L3553" s="87" t="str">
        <x:v>Ядерная физика</x:v>
      </x:c>
      <x:c r="M3553" s="30" t="str">
        <x:v>Ядро бора может захватить альфа-частицу, в результате чего происходит
     ядерная реакция 42 He+115B→ AZ X + 01n с образованием ядра химического элемента
     Z X . Чему равно массовое число образовавшегося ядра?
     A</x:v>
      </x:c>
      <x:c r="N3553" s="30" t="str">
        <x:v>14</x:v>
      </x:c>
      <x:c r="O3553" s="30" t="str">
        <x:v>Применены законы сохранения массового и зарядового чисел в ядерной реакции.</x:v>
      </x:c>
      <x:c r="P3553" s="30" t="str">
        <x:v>Применены законы сохранения массового и зарядового чисел в ядерной реакции.</x:v>
      </x:c>
      <x:c r="Q3553" s="30"/>
      <x:c r="R3553" s="30" t="str">
        <x:v>Архивный фото-ключ</x:v>
      </x:c>
      <x:c r="S3553" s="30"/>
      <x:c r="T3553" s="30"/>
      <x:c r="U3553" s="30" t="str">
        <x:v>Расхождений не обнаружено.</x:v>
      </x:c>
      <x:c r="V3553" s="87" t="str">
        <x:v>VERIFIED</x:v>
      </x:c>
      <x:c r="W3553" s="87" t="str">
        <x:v>Zadanie_FI11_15102025_.pdf, стр. 10</x:v>
      </x:c>
      <x:c r="X3553" s="87"/>
      <x:c r="Y3553" s="87"/>
      <x:c r="Z3553" s="87"/>
      <x:c r="AA3553" s="87"/>
      <x:c r="AB3553" s="87"/>
      <x:c r="AC3553" s="87" t="str">
        <x:v>VIS-PHYS-OCT-031</x:v>
      </x:c>
      <x:c r="AD3553" s="87"/>
      <x:c r="AE3553" s="87"/>
      <x:c r="AF3553" s="87" t="str">
        <x:v>VIS-PHYS-OCT-031: 10</x:v>
      </x:c>
      <x:c r="AG3553" s="87" t="str">
        <x:v>RESOLVED</x:v>
      </x:c>
      <x:c r="AH3553" s="87" t="str">
        <x:v>CROP_VERIFIED</x:v>
      </x:c>
      <x:c r="AI3553" s="30"/>
      <x:c r="AJ3553" s="87" t="str">
        <x:v>master</x:v>
      </x:c>
      <x:c r="AK3553" s="87" t="str">
        <x:v>master-v0.81</x:v>
      </x:c>
      <x:c r="AL3553" s="87" t="str">
        <x:v>statgrad_master_base_v0_81_final(2).xlsx</x:v>
      </x:c>
      <x:c r="AM3553" s="87" t="str">
        <x:v>PHYS_Oct_V3</x:v>
      </x:c>
      <x:c r="AN3553" s="87" t="n">
        <x:v>17</x:v>
      </x:c>
    </x:row>
    <x:row r="3554">
      <x:c r="A3554" s="87" t="n">
        <x:v>3553</x:v>
      </x:c>
      <x:c r="B3554" s="87" t="str">
        <x:v>OCT-PHYS-103-017</x:v>
      </x:c>
      <x:c r="C3554" s="87" t="str">
        <x:v>СтатГрад</x:v>
      </x:c>
      <x:c r="D3554" s="87" t="str">
        <x:v>Октябрь 2025</x:v>
      </x:c>
      <x:c r="E3554" s="87"/>
      <x:c r="F3554" s="87"/>
      <x:c r="G3554" s="87" t="str">
        <x:v>Физика</x:v>
      </x:c>
      <x:c r="H3554" s="87" t="n">
        <x:v>11</x:v>
      </x:c>
      <x:c r="I3554" s="87" t="str">
        <x:v>ТР №1</x:v>
      </x:c>
      <x:c r="J3554" s="87" t="str">
        <x:v>ФИ2510103</x:v>
      </x:c>
      <x:c r="K3554" s="87" t="n">
        <x:v>17</x:v>
      </x:c>
      <x:c r="L3554" s="87" t="str">
        <x:v>Фотоэффект</x:v>
      </x:c>
      <x:c r="M3554" s="30" t="str">
        <x:v>При исследовании зависимости максимальной кинетической энергии
     фотоэлектронов от частоты падающего света фотоэлемент освещали через
     светофильтры. В первой серии опытов использовали светофильтр,
     пропускающий только синий свет, а во второй – только зелёный. В каждом
     опыте наблюдали явление фотоэффекта и измеряли запирающее напряжение.
     Как изменятся частота световой волны и модуль запирающего напряжения
     при переходе от первой серии опытов ко второй?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Частота волны света,                    Модуль запирающего напряжения
          падающего на фотоэлемент</x:v>
      </x:c>
      <x:c r="N3554" s="30" t="str">
        <x:v>22</x:v>
      </x:c>
      <x:c r="O3554" s="30" t="str">
        <x:v>Использовано уравнение Эйнштейна для фотоэффекта и соотношение ν=c/λ.</x:v>
      </x:c>
      <x:c r="P3554" s="30" t="str">
        <x:v>Использовано уравнение Эйнштейна для фотоэффекта и соотношение ν=c/λ.</x:v>
      </x:c>
      <x:c r="Q3554" s="30"/>
      <x:c r="R3554" s="30" t="str">
        <x:v>Архивный фото-ключ</x:v>
      </x:c>
      <x:c r="S3554" s="30"/>
      <x:c r="T3554" s="30"/>
      <x:c r="U3554" s="30" t="str">
        <x:v>Расхождений не обнаружено.</x:v>
      </x:c>
      <x:c r="V3554" s="87" t="str">
        <x:v>VERIFIED</x:v>
      </x:c>
      <x:c r="W3554" s="87" t="str">
        <x:v>Zadanie_FI11_15102025_.pdf, стр. 10</x:v>
      </x:c>
      <x:c r="X3554" s="87"/>
      <x:c r="Y3554" s="87"/>
      <x:c r="Z3554" s="87"/>
      <x:c r="AA3554" s="87"/>
      <x:c r="AB3554" s="87"/>
      <x:c r="AC3554" s="87" t="str">
        <x:v>VIS-PHYS-OCT-031</x:v>
      </x:c>
      <x:c r="AD3554" s="87"/>
      <x:c r="AE3554" s="87"/>
      <x:c r="AF3554" s="87" t="str">
        <x:v>VIS-PHYS-OCT-031: 10</x:v>
      </x:c>
      <x:c r="AG3554" s="87" t="str">
        <x:v>RESOLVED</x:v>
      </x:c>
      <x:c r="AH3554" s="87" t="str">
        <x:v>CROP_VERIFIED; TASK_CROP_NO_CROP_NEEDED</x:v>
      </x:c>
      <x:c r="AI3554" s="30"/>
      <x:c r="AJ3554" s="87" t="str">
        <x:v>master</x:v>
      </x:c>
      <x:c r="AK3554" s="87" t="str">
        <x:v>master-v0.81</x:v>
      </x:c>
      <x:c r="AL3554" s="87" t="str">
        <x:v>statgrad_master_base_v0_81_final(2).xlsx</x:v>
      </x:c>
      <x:c r="AM3554" s="87" t="str">
        <x:v>PHYS_Oct_V3</x:v>
      </x:c>
      <x:c r="AN3554" s="87" t="n">
        <x:v>18</x:v>
      </x:c>
    </x:row>
    <x:row r="3555">
      <x:c r="A3555" s="87" t="n">
        <x:v>3554</x:v>
      </x:c>
      <x:c r="B3555" s="87" t="str">
        <x:v>OCT-PHYS-103-018</x:v>
      </x:c>
      <x:c r="C3555" s="87" t="str">
        <x:v>СтатГрад</x:v>
      </x:c>
      <x:c r="D3555" s="87" t="str">
        <x:v>Октябрь 2025</x:v>
      </x:c>
      <x:c r="E3555" s="87"/>
      <x:c r="F3555" s="87"/>
      <x:c r="G3555" s="87" t="str">
        <x:v>Физика</x:v>
      </x:c>
      <x:c r="H3555" s="87" t="n">
        <x:v>11</x:v>
      </x:c>
      <x:c r="I3555" s="87" t="str">
        <x:v>ТР №1</x:v>
      </x:c>
      <x:c r="J3555" s="87" t="str">
        <x:v>ФИ2510103</x:v>
      </x:c>
      <x:c r="K3555" s="87" t="n">
        <x:v>18</x:v>
      </x:c>
      <x:c r="L3555" s="87" t="str">
        <x:v>Физические закономерности</x:v>
      </x:c>
      <x:c r="M3555" s="30" t="str">
        <x:v>Выберите все верные утверждения о физических явлениях, величинах
     и закономерностях. Запишите цифры, под которыми они указаны.
     1) При свободном падении камня на землю его потенциальная энергия
        в поле тяжести Земли уменьшается.
     2) Температура кипения жидкости зависит только от самой жидкости.
     3) При увеличении напряжения на проволочном резисторе его сопротивление
        уменьшается.
     4) При переходе электромагнитной волны из воздуха в стекло частота волны
        увеличивается.
     5) Нейтральный атом алюминия 2713 Al содержит 13 электронов.</x:v>
      </x:c>
      <x:c r="N3555" s="30" t="str">
        <x:v>15</x:v>
      </x:c>
      <x:c r="O3555" s="30" t="str">
        <x:v>Каждое утверждение проверено по соответствующему физическому закону или определению.</x:v>
      </x:c>
      <x:c r="P3555" s="30" t="str">
        <x:v>Каждое утверждение проверено по соответствующему физическому закону или определению.</x:v>
      </x:c>
      <x:c r="Q3555" s="30"/>
      <x:c r="R3555" s="30" t="str">
        <x:v>Официальная таблица ответов</x:v>
      </x:c>
      <x:c r="S3555" s="30"/>
      <x:c r="T3555" s="30"/>
      <x:c r="U3555" s="30" t="str">
        <x:v>Расхождений не обнаружено.</x:v>
      </x:c>
      <x:c r="V3555" s="87" t="str">
        <x:v>VERIFIED</x:v>
      </x:c>
      <x:c r="W3555" s="87" t="str">
        <x:v>Zadanie_FI11_15102025_.pdf, стр. 11</x:v>
      </x:c>
      <x:c r="X3555" s="87"/>
      <x:c r="Y3555" s="87"/>
      <x:c r="Z3555" s="87"/>
      <x:c r="AA3555" s="87"/>
      <x:c r="AB3555" s="87"/>
      <x:c r="AC3555" s="87" t="str">
        <x:v>VIS-PHYS-OCT-032</x:v>
      </x:c>
      <x:c r="AD3555" s="87"/>
      <x:c r="AE3555" s="87"/>
      <x:c r="AF3555" s="87" t="str">
        <x:v>VIS-PHYS-OCT-032: 11</x:v>
      </x:c>
      <x:c r="AG3555" s="87" t="str">
        <x:v>RESOLVED</x:v>
      </x:c>
      <x:c r="AH3555" s="87" t="str">
        <x:v>CROP_VERIFIED</x:v>
      </x:c>
      <x:c r="AI3555" s="30"/>
      <x:c r="AJ3555" s="87" t="str">
        <x:v>master</x:v>
      </x:c>
      <x:c r="AK3555" s="87" t="str">
        <x:v>master-v0.81</x:v>
      </x:c>
      <x:c r="AL3555" s="87" t="str">
        <x:v>statgrad_master_base_v0_81_final(2).xlsx</x:v>
      </x:c>
      <x:c r="AM3555" s="87" t="str">
        <x:v>PHYS_Oct_V3</x:v>
      </x:c>
      <x:c r="AN3555" s="87" t="n">
        <x:v>19</x:v>
      </x:c>
    </x:row>
    <x:row r="3556">
      <x:c r="A3556" s="87" t="n">
        <x:v>3555</x:v>
      </x:c>
      <x:c r="B3556" s="87" t="str">
        <x:v>OCT-PHYS-103-019</x:v>
      </x:c>
      <x:c r="C3556" s="87" t="str">
        <x:v>СтатГрад</x:v>
      </x:c>
      <x:c r="D3556" s="87" t="str">
        <x:v>Октябрь 2025</x:v>
      </x:c>
      <x:c r="E3556" s="87"/>
      <x:c r="F3556" s="87"/>
      <x:c r="G3556" s="87" t="str">
        <x:v>Физика</x:v>
      </x:c>
      <x:c r="H3556" s="87" t="n">
        <x:v>11</x:v>
      </x:c>
      <x:c r="I3556" s="87" t="str">
        <x:v>ТР №1</x:v>
      </x:c>
      <x:c r="J3556" s="87" t="str">
        <x:v>ФИ2510103</x:v>
      </x:c>
      <x:c r="K3556" s="87" t="n">
        <x:v>19</x:v>
      </x:c>
      <x:c r="L3556" s="87" t="str">
        <x:v>Эксперимент. Измерения</x:v>
      </x:c>
      <x:c r="M3556" s="30" t="str">
        <x:v>Ученик измерял относительную влажность воздуха
     с помощью психрометра – этот прибор состоит из двух
     термометров, колбочка одного из которых обёрнута                      5   0       5   0
     влажной тканью; см. фотографию. Абсолютная
                                                                               °С          °С
                                                                           4   0       4   0
     погрешность измерения температуры равна цене                          3   0       3   0
     деления термометра. Запишите в ответ величину                         2   0       2   0
     показаний «сухого» термометра с учётом погрешности
                                                                                       1   0
     измерений.
                                                                           1   0
                                                                           0   0       0   0
                                                                           1   0       1   0</x:v>
      </x:c>
      <x:c r="N3556" s="30" t="str">
        <x:v>(23 ± 1)</x:v>
      </x:c>
      <x:c r="O3556" s="30" t="str">
        <x:v>Показание прибора считано по полной фотографии; абсолютная погрешность равна цене деления.</x:v>
      </x:c>
      <x:c r="P3556" s="30" t="str">
        <x:v>Показание прибора считано по полной фотографии; абсолютная погрешность равна цене деления.</x:v>
      </x:c>
      <x:c r="Q3556" s="30"/>
      <x:c r="R3556" s="30" t="str">
        <x:v>Официальная таблица ответов</x:v>
      </x:c>
      <x:c r="S3556" s="30"/>
      <x:c r="T3556" s="30"/>
      <x:c r="U3556" s="30" t="str">
        <x:v>Расхождений не обнаружено.</x:v>
      </x:c>
      <x:c r="V3556" s="87" t="str">
        <x:v>VERIFIED</x:v>
      </x:c>
      <x:c r="W3556" s="87" t="str">
        <x:v>Zadanie_FI11_15102025_.pdf, стр. 11</x:v>
      </x:c>
      <x:c r="X3556" s="87"/>
      <x:c r="Y3556" s="87"/>
      <x:c r="Z3556" s="87"/>
      <x:c r="AA3556" s="87"/>
      <x:c r="AB3556" s="87"/>
      <x:c r="AC3556" s="87" t="str">
        <x:v>VIS-PHYS-OCT-032</x:v>
      </x:c>
      <x:c r="AD3556" s="87"/>
      <x:c r="AE3556" s="87"/>
      <x:c r="AF3556" s="87" t="str">
        <x:v>VIS-PHYS-OCT-032: 11</x:v>
      </x:c>
      <x:c r="AG3556" s="87" t="str">
        <x:v>RESOLVED</x:v>
      </x:c>
      <x:c r="AH3556" s="87" t="str">
        <x:v>CROP_VERIFIED; TASK_CROP_QA_APPROVED:USE_CONTEXT</x:v>
      </x:c>
      <x:c r="AI3556" s="30"/>
      <x:c r="AJ3556" s="87" t="str">
        <x:v>master</x:v>
      </x:c>
      <x:c r="AK3556" s="87" t="str">
        <x:v>master-v0.81</x:v>
      </x:c>
      <x:c r="AL3556" s="87" t="str">
        <x:v>statgrad_master_base_v0_81_final(2).xlsx</x:v>
      </x:c>
      <x:c r="AM3556" s="87" t="str">
        <x:v>PHYS_Oct_V3</x:v>
      </x:c>
      <x:c r="AN3556" s="87" t="n">
        <x:v>20</x:v>
      </x:c>
    </x:row>
    <x:row r="3557">
      <x:c r="A3557" s="87" t="n">
        <x:v>3556</x:v>
      </x:c>
      <x:c r="B3557" s="87" t="str">
        <x:v>OCT-PHYS-103-020</x:v>
      </x:c>
      <x:c r="C3557" s="87" t="str">
        <x:v>СтатГрад</x:v>
      </x:c>
      <x:c r="D3557" s="87" t="str">
        <x:v>Октябрь 2025</x:v>
      </x:c>
      <x:c r="E3557" s="87"/>
      <x:c r="F3557" s="87"/>
      <x:c r="G3557" s="87" t="str">
        <x:v>Физика</x:v>
      </x:c>
      <x:c r="H3557" s="87" t="n">
        <x:v>11</x:v>
      </x:c>
      <x:c r="I3557" s="87" t="str">
        <x:v>ТР №1</x:v>
      </x:c>
      <x:c r="J3557" s="87" t="str">
        <x:v>ФИ2510103</x:v>
      </x:c>
      <x:c r="K3557" s="87" t="n">
        <x:v>20</x:v>
      </x:c>
      <x:c r="L3557" s="87" t="str">
        <x:v>Экспериментальный метод</x:v>
      </x:c>
      <x:c r="M3557" s="30" t="str">
        <x:v>Необходимо экспериментально изучить свойства дифракционного спектрометра.
     В распоряжении экспериментатора имеются спектрометры, состоящие
     из источника света (светодиода), дифракционной решётки и экрана.
     Параметры этих приборов приведены в таблице. Какие два спектрометра
     нужно использовать для того, чтобы на опыте обнаружить зависимость
     расстояния между первыми дифракционными максимумами от периода
     решётки?
     № спектрометра         Светодиод       Количество штрихов              Расстояние
                                              на мм в решётке           от дифракционной
                                                                        решётки до экрана
              1              Красный                  50                        2м
              2              Зелёный                  100                       3м
              3               Синий                   50                        2м
              4              Красный                  200                       2м
              5              Жёлтый                   100                      1,5 м
     В ответе запишите номера выбранных спектрометров.</x:v>
      </x:c>
      <x:c r="N3557" s="30" t="str">
        <x:v>14</x:v>
      </x:c>
      <x:c r="O3557" s="30" t="str">
        <x:v>Выбрана пара установок, в которой меняется только исследуемый параметр при одинаковых остальных условиях.</x:v>
      </x:c>
      <x:c r="P3557" s="30" t="str">
        <x:v>Выбрана пара установок, в которой меняется только исследуемый параметр при одинаковых остальных условиях.</x:v>
      </x:c>
      <x:c r="Q3557" s="30"/>
      <x:c r="R3557" s="30" t="str">
        <x:v>Архивный фото-ключ</x:v>
      </x:c>
      <x:c r="S3557" s="30"/>
      <x:c r="T3557" s="30"/>
      <x:c r="U3557" s="30" t="str">
        <x:v>Расхождений не обнаружено.</x:v>
      </x:c>
      <x:c r="V3557" s="87" t="str">
        <x:v>VERIFIED</x:v>
      </x:c>
      <x:c r="W3557" s="87" t="str">
        <x:v>Zadanie_FI11_15102025_.pdf, стр. 12</x:v>
      </x:c>
      <x:c r="X3557" s="87"/>
      <x:c r="Y3557" s="87"/>
      <x:c r="Z3557" s="87"/>
      <x:c r="AA3557" s="87"/>
      <x:c r="AB3557" s="87"/>
      <x:c r="AC3557" s="87" t="str">
        <x:v>VIS-PHYS-OCT-033</x:v>
      </x:c>
      <x:c r="AD3557" s="87"/>
      <x:c r="AE3557" s="87"/>
      <x:c r="AF3557" s="87" t="str">
        <x:v>VIS-PHYS-OCT-033: 12</x:v>
      </x:c>
      <x:c r="AG3557" s="87" t="str">
        <x:v>RESOLVED</x:v>
      </x:c>
      <x:c r="AH3557" s="87" t="str">
        <x:v>CROP_VERIFIED</x:v>
      </x:c>
      <x:c r="AI3557" s="30"/>
      <x:c r="AJ3557" s="87" t="str">
        <x:v>master</x:v>
      </x:c>
      <x:c r="AK3557" s="87" t="str">
        <x:v>master-v0.81</x:v>
      </x:c>
      <x:c r="AL3557" s="87" t="str">
        <x:v>statgrad_master_base_v0_81_final(2).xlsx</x:v>
      </x:c>
      <x:c r="AM3557" s="87" t="str">
        <x:v>PHYS_Oct_V3</x:v>
      </x:c>
      <x:c r="AN3557" s="87" t="n">
        <x:v>21</x:v>
      </x:c>
    </x:row>
    <x:row r="3558">
      <x:c r="A3558" s="87" t="n">
        <x:v>3557</x:v>
      </x:c>
      <x:c r="B3558" s="87" t="str">
        <x:v>OCT-PHYS-103-021</x:v>
      </x:c>
      <x:c r="C3558" s="87" t="str">
        <x:v>СтатГрад</x:v>
      </x:c>
      <x:c r="D3558" s="87" t="str">
        <x:v>Октябрь 2025</x:v>
      </x:c>
      <x:c r="E3558" s="87"/>
      <x:c r="F3558" s="87"/>
      <x:c r="G3558" s="87" t="str">
        <x:v>Физика</x:v>
      </x:c>
      <x:c r="H3558" s="87" t="n">
        <x:v>11</x:v>
      </x:c>
      <x:c r="I3558" s="87" t="str">
        <x:v>ТР №1</x:v>
      </x:c>
      <x:c r="J3558" s="87" t="str">
        <x:v>ФИ2510103</x:v>
      </x:c>
      <x:c r="K3558" s="87" t="n">
        <x:v>21</x:v>
      </x:c>
      <x:c r="L3558" s="87" t="str">
        <x:v>Экспериментальная электродинамика</x:v>
      </x:c>
      <x:c r="M3558" s="30" t="str">
        <x:v>Электрическая цепь состоит из последовательно соединённых лампы Л,
     резистора сопротивлением R = 10 Ом и идеального амперметра, параллельно
     которым подключён идеальный вольтметр. Эта цепь питается от регулируемого
     источника напряжения, в состав которого входят батарея, ключ К
     и потенциометр (делитель напряжения) Р. Лаборант замыкает ключ, после чего,
     передвигая ползунок реостата и проводя наблюдения, записывает в таблицу
     несколько показаний I амперметра. Показания вольтметра он записать забывает.
         I, А           0,25           0,30             0,35          0,40           0,45
         U, В
     Используя вольт-амперную характеристику лампы, изображённую
     на рисунке 2, помогите лаборанту восстановить показания U вольтметра
     и запишите их в таблицу. Решение объясните, опираясь на законы
     электродинамики.
                   Рис. 1                                        Рис. 2</x:v>
      </x:c>
      <x:c r="N3558" s="30" t="str">
        <x:v>Возможное решение
     1) Пусть I – сила тока в амперметре, U л – напряжение на лампе, U –
     показания вольтметра. В соответствии с законом Ома для участка цепи,
     напряжение на резисторе с сопротивлением R равно U R = IR.
     2) Вольтметр показывает сумму падений напряжения на последовательно
     соединённых лампе Л, резисторе и идеальном амперметре: U = U л + IR. Здесь
     учтено, что сопротивление идеального амперметра равно нулю. При этом
     через резистор и через лампу течёт один и тот же ток силой I.
     3) Показания вольтметра можно восстановить следующим образом. Пусть
     амперметр показывает силу тока I1 = 0,25 А. Тогда напряжение на резисторе
     равно UR1 = I1R = 0,25⋅10 = 2,5 В. Напряжение на лампе при данном значении
     силы тока определим с помощью графика – оно равно U л1 = 6 В. Следовательно,
     вольтметр показывает напряжение U1 = U л1 + I1R = 6 В + 2,5 В = 8,5 В.
     4) Рассматривая аналогично остальные четыре значения силы тока, которые
     показывает амперметр, вычислим показания вольтметра и заполним таблицу.
         I, А           0,25           0,30            0,35           0,40           0,45
         U, В           8,5            11,0            13,5           17,0           21,5
                                    согласия СтатГрад запрещена
           Критерии оценивания выполнения задания                 Баллы
Приведено полное правильное решение, включающее правильный          3
ответ (в данном случае: приведена правильно заполненная таблица,
п. 4) и полное верное объяснение (в данном случае: п. 1, 2, 3) с
указанием наблюдаемых явлений и законов в данном случае: закон
Ома для участка цепи, вычисление суммарного падения напряжения
при последовательном соединении элементов, одинаковость силы
тока через элементы при их последовательном соединении, учёт
идеальности амперметра)
Дан правильный ответ, и приведено объяснение, но в решении          2
имеется один или несколько из следующих недостатков.
В объяснении не указано или не используется одно из физических
явлений, свойств, определений или один из законов (формул),
необходимых для полного верного объяснения. (Утверждение,
лежащее в основе объяснения, не подкреплено соответствующим
законом, свойством, явлением, определением и т.п.)
                             И (ИЛИ)
Указаны все необходимые для объяснения явления и законы,
закономерности, но в них содержится один логический недочёт.
                             И (ИЛИ)
В решении имеются лишние записи, не входящие в решение (возможно,
неверные), которые не отделены от решения и не зачёркнуты.
                             И (ИЛИ)
В решении имеется неточность в указании на одно из физических
явлений, свойств, определений, законов (формул), необходимых для
полного верного объяснения
Представлено решение, соответствующее одному из следующих           1
случаев.
Дан правильный ответ на вопрос задания, и приведено объяснение,
но в нём не указаны два явления или физических закона,
необходимых для полного верного объяснения.
                               ИЛИ
Указаны все необходимые для объяснения явления и законы,
закономерности, но имеющиеся рассуждения, направленные на
получение ответа на вопрос задания, не доведены до конца.
                               ИЛИ
Указаны все необходимые для объяснения явления и законы,
закономерности, но имеющиеся рассуждения, приводящие к ответу,
содержат ошибки.
                               ИЛИ
Указаны не все необходимые для объяснения явления и законы,
закономерности, но имеются верные рассуждения, направленные на
решение задачи
                               согласия СтатГрад запрещена
     Все случаи решения, которые не соответствуют вышеуказанным 0
     критериям выставления оценок в 1, 2, 3 балла
                                                  Максимальный балл 3</x:v>
      </x:c>
      <x:c r="O3558" s="30" t="str">
        <x:v>Экспериментальная таблица восстановлена по закону Ома и вольт-амперной характеристике лампы.</x:v>
      </x:c>
      <x:c r="P3558" s="30" t="str">
        <x:v>Экспериментальная таблица восстановлена по закону Ома и вольт-амперной характеристике лампы.</x:v>
      </x:c>
      <x:c r="Q3558" s="30"/>
      <x:c r="R3558" s="30" t="str">
        <x:v>Официальные критерии оценивания</x:v>
      </x:c>
      <x:c r="S3558" s="30"/>
      <x:c r="T3558" s="30"/>
      <x:c r="U3558" s="30" t="str">
        <x:v>Расхождений не обнаружено.</x:v>
      </x:c>
      <x:c r="V3558" s="87" t="str">
        <x:v>VERIFIED</x:v>
      </x:c>
      <x:c r="W3558" s="87" t="str">
        <x:v>Zadanie_FI11_15102025_.pdf, стр. 13</x:v>
      </x:c>
      <x:c r="X3558" s="87"/>
      <x:c r="Y3558" s="87"/>
      <x:c r="Z3558" s="87"/>
      <x:c r="AA3558" s="87"/>
      <x:c r="AB3558" s="87"/>
      <x:c r="AC3558" s="87" t="str">
        <x:v>VIS-PHYS-OCT-034</x:v>
      </x:c>
      <x:c r="AD3558" s="87"/>
      <x:c r="AE3558" s="87"/>
      <x:c r="AF3558" s="87" t="str">
        <x:v>VIS-PHYS-OCT-034: 13</x:v>
      </x:c>
      <x:c r="AG3558" s="87" t="str">
        <x:v>RESOLVED</x:v>
      </x:c>
      <x:c r="AH3558" s="87" t="str">
        <x:v>CROP_VERIFIED; TASK_CROP_QA_APPROVED:USE_CONTEXT</x:v>
      </x:c>
      <x:c r="AI3558" s="30"/>
      <x:c r="AJ3558" s="87" t="str">
        <x:v>master</x:v>
      </x:c>
      <x:c r="AK3558" s="87" t="str">
        <x:v>master-v0.81</x:v>
      </x:c>
      <x:c r="AL3558" s="87" t="str">
        <x:v>statgrad_master_base_v0_81_final(2).xlsx</x:v>
      </x:c>
      <x:c r="AM3558" s="87" t="str">
        <x:v>PHYS_Oct_V3</x:v>
      </x:c>
      <x:c r="AN3558" s="87" t="n">
        <x:v>22</x:v>
      </x:c>
    </x:row>
    <x:row r="3559">
      <x:c r="A3559" s="87" t="n">
        <x:v>3558</x:v>
      </x:c>
      <x:c r="B3559" s="87" t="str">
        <x:v>OCT-PHYS-103-022</x:v>
      </x:c>
      <x:c r="C3559" s="87" t="str">
        <x:v>СтатГрад</x:v>
      </x:c>
      <x:c r="D3559" s="87" t="str">
        <x:v>Октябрь 2025</x:v>
      </x:c>
      <x:c r="E3559" s="87"/>
      <x:c r="F3559" s="87"/>
      <x:c r="G3559" s="87" t="str">
        <x:v>Физика</x:v>
      </x:c>
      <x:c r="H3559" s="87" t="n">
        <x:v>11</x:v>
      </x:c>
      <x:c r="I3559" s="87" t="str">
        <x:v>ТР №1</x:v>
      </x:c>
      <x:c r="J3559" s="87" t="str">
        <x:v>ФИ2510103</x:v>
      </x:c>
      <x:c r="K3559" s="87" t="n">
        <x:v>22</x:v>
      </x:c>
      <x:c r="L3559" s="87" t="str">
        <x:v>Механика столкновений</x:v>
      </x:c>
      <x:c r="M3559" s="30" t="str">
        <x:v>Небольшие одинаковые почти абсолютно упругие шарики покоятся на прямом
     горизонтальном гладком жёлобе на одинаковых расстояниях друг от друга.
     В некоторый момент первому слева шарику толчком сообщают начальную
     скорость V1 в направлении остальных шариков, после чего происходят
     их последовательные столкновения. После n = 4 их соударений оказалось,
     что пятый шарик приобрёл скорость V 5 = 0,9V1. Сколько процентов
     кинетической энергии движущегося шарика терялось при каждом столкновении
     с покоящимся шариком?</x:v>
      </x:c>
      <x:c r="N3559" s="30" t="str">
        <x:v>Возможное решение
     1. Поскольку все столкновения шариков происходят в одинаковых условиях,
     можно считать, что и коэффициент x, связывающий скорости шариков после и
     до удара, одинаков для всех столкновений. Поэтому
             V2 = x V1, V3 = x V 2 = x2 V1, и т.д., …, V5 = x V 4 = x4 V1 = 0,9 V1.
     Отсюда x4 = 0,9, и x = 0,91/4 ≈ 0,974.
     2. При столкновениях не абсолютно упругих тел часть их кинетической
     энергии теряется, превращаясь в теплоту.
     3. Кинетическая энергия E к шарика массой M равна MV2/2. Поэтому E к5 = x2
     Eк4 , и процент передачи кинетической энергии от шарика к шарику при
     каждом столкновении равен x2 , а процент потерь кинетической энергии равен
                         1 – x2 = 1 – 0,92/4 ≈ 1 – 0,9742 ≈ 0,051 ≈ 5,1 %.
     Ответ: ∆E к /E к ≈ 0,051 ≈ 5,1 %
                Критерии оценивания выполнения задания              Баллы
     Приведено полное решение, включающее следующие элементы:         2
     I) записаны положения теории и физические законы,
     закономерности, применение которых необходимо для решения
     задачи выбранным способом (в данном случае: закон изменения
     механической энергии, связь кинетической энергии с массой и
     скоростью тела и математические соотношения);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согласия СтатГрад запрещена
     искомой величины
     Правильно записаны все необходимые положения теории,                                  1
     физические законы, закономерности, и проведены преобразования,
     направленные на решение задачи,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Все случаи решения, которые не соответствуют вышеуказанным                            0
     критериям выставления оценок в 1 или 2 балла
                                                      Максимальный балл                    2</x:v>
      </x:c>
      <x:c r="O3559" s="30" t="str">
        <x:v>Скорости после последовательных столкновений образуют геометрическую прогрессию; доля энергии равна квадрату коэффициента скоростей.</x:v>
      </x:c>
      <x:c r="P3559" s="30" t="str">
        <x:v>Скорости после последовательных столкновений образуют геометрическую прогрессию; доля энергии равна квадрату коэффициента скоростей.</x:v>
      </x:c>
      <x:c r="Q3559" s="30"/>
      <x:c r="R3559" s="30" t="str">
        <x:v>Официальные критерии оценивания</x:v>
      </x:c>
      <x:c r="S3559" s="30"/>
      <x:c r="T3559" s="30"/>
      <x:c r="U3559" s="30" t="str">
        <x:v>Расхождений не обнаружено.</x:v>
      </x:c>
      <x:c r="V3559" s="87" t="str">
        <x:v>VERIFIED</x:v>
      </x:c>
      <x:c r="W3559" s="87" t="str">
        <x:v>Zadanie_FI11_15102025_.pdf, стр. 14</x:v>
      </x:c>
      <x:c r="X3559" s="87"/>
      <x:c r="Y3559" s="87"/>
      <x:c r="Z3559" s="87"/>
      <x:c r="AA3559" s="87"/>
      <x:c r="AB3559" s="87"/>
      <x:c r="AC3559" s="87" t="str">
        <x:v>VIS-PHYS-OCT-035</x:v>
      </x:c>
      <x:c r="AD3559" s="87"/>
      <x:c r="AE3559" s="87"/>
      <x:c r="AF3559" s="87" t="str">
        <x:v>VIS-PHYS-OCT-035: 14</x:v>
      </x:c>
      <x:c r="AG3559" s="87" t="str">
        <x:v>RESOLVED</x:v>
      </x:c>
      <x:c r="AH3559" s="87" t="str">
        <x:v>CROP_VERIFIED</x:v>
      </x:c>
      <x:c r="AI3559" s="30"/>
      <x:c r="AJ3559" s="87" t="str">
        <x:v>master</x:v>
      </x:c>
      <x:c r="AK3559" s="87" t="str">
        <x:v>master-v0.81</x:v>
      </x:c>
      <x:c r="AL3559" s="87" t="str">
        <x:v>statgrad_master_base_v0_81_final(2).xlsx</x:v>
      </x:c>
      <x:c r="AM3559" s="87" t="str">
        <x:v>PHYS_Oct_V3</x:v>
      </x:c>
      <x:c r="AN3559" s="87" t="n">
        <x:v>23</x:v>
      </x:c>
    </x:row>
    <x:row r="3560">
      <x:c r="A3560" s="87" t="n">
        <x:v>3559</x:v>
      </x:c>
      <x:c r="B3560" s="87" t="str">
        <x:v>OCT-PHYS-103-023</x:v>
      </x:c>
      <x:c r="C3560" s="87" t="str">
        <x:v>СтатГрад</x:v>
      </x:c>
      <x:c r="D3560" s="87" t="str">
        <x:v>Октябрь 2025</x:v>
      </x:c>
      <x:c r="E3560" s="87"/>
      <x:c r="F3560" s="87"/>
      <x:c r="G3560" s="87" t="str">
        <x:v>Физика</x:v>
      </x:c>
      <x:c r="H3560" s="87" t="n">
        <x:v>11</x:v>
      </x:c>
      <x:c r="I3560" s="87" t="str">
        <x:v>ТР №1</x:v>
      </x:c>
      <x:c r="J3560" s="87" t="str">
        <x:v>ФИ2510103</x:v>
      </x:c>
      <x:c r="K3560" s="87" t="n">
        <x:v>23</x:v>
      </x:c>
      <x:c r="L3560" s="87" t="str">
        <x:v>Термодинамика</x:v>
      </x:c>
      <x:c r="M3560" s="30" t="str">
        <x:v>В жёстком теплоизолированном сосуде находится ν 1 = 1 моль гелия
     со среднеквадратичной скоростью движения его атомов, равной
     V 1 = 1400 м/с. В сосуд добавили ν 2 = 0,8 моля гелия с температурой
     T 2 = 350 К. Какая температура T гелия установится в сосуде при достижении
     состояния термодинамического равновесия?</x:v>
      </x:c>
      <x:c r="N3560" s="30" t="str">
        <x:v>Возможное решение
     1. Порции гелия, помещённые в жёсткий теплоизолированный сосуд, не
     совершают работу и не обмениваются количеством теплоты с окружающей
     средой, поэтому из первого закона термодинамики следует, что их
     суммарная внутренняя энергия сохраняется: U = U 1 + U 2 .
     2. Выражения для внутренней энергии двух порций одноатомного
     идеального газа имеют вид: U 1 = (3/2) ν 1 RT 1 , U 2 = (3/2) ν 2 RT 2 .
     3. Для дальнейших расчётов необходимо найти температуру T 1 , связанную
     со среднеквадратичной скоростью V 1 движения атомов гелия: μV 1 2/2 = (3/2)
     RT 1 , откуда
                          T 1 = μV 1 2/(3R) = 4⋅10–3⋅14002/(3⋅8,31) ≈ 314,5 К.
     4. Газы в сосуде после перемешивания и установления равновесия
     приобретут искомую температуру T, так что U = U 1 + U 2 = (3/2) (ν 1 + ν 2 )RT и
             T = (ν 1 T 1 + ν 2 T 2 )/(ν 1 + ν 2 ) = (1⋅314,5 + 0,8⋅350)/(1 + 0,8) ≈ 330,3 К.
     Ответ: T ≈ 330,3 К
                                    согласия СтатГрад запрещена
           Критерии оценивания выполнения задания                  Баллы
Приведено полное решение, включающее следующие элементы:             2
I) записаны положения теории и физические законы, закономерности,
применение которых необходимо для решения задачи выбранным
способом (в данном случае: первый закон термодинамики, выражение
для внутренней энергии одноатомного идеального газа, связь
температуры одноатомного идеального газа со среднеквадратичной
скоростью движения его атомов);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физические      1
законы, закономерности, и проведены преобразования, направленные
на решение задачи,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Все случаи решения, которые не соответствуют вышеуказанным           0
критериям выставления оценок в 1 или 2 балла
                                               Максимальный балл     2
                               согласия СтатГрад запрещена</x:v>
      </x:c>
      <x:c r="O3560" s="30" t="str">
        <x:v>Применены сохранение внутренней энергии в теплоизолированном сосуде и связь температуры со среднеквадратичной скоростью.</x:v>
      </x:c>
      <x:c r="P3560" s="30" t="str">
        <x:v>Применены сохранение внутренней энергии в теплоизолированном сосуде и связь температуры со среднеквадратичной скоростью.</x:v>
      </x:c>
      <x:c r="Q3560" s="30"/>
      <x:c r="R3560" s="30" t="str">
        <x:v>Официальные критерии оценивания</x:v>
      </x:c>
      <x:c r="S3560" s="30"/>
      <x:c r="T3560" s="30"/>
      <x:c r="U3560" s="30" t="str">
        <x:v>Расхождений не обнаружено.</x:v>
      </x:c>
      <x:c r="V3560" s="87" t="str">
        <x:v>VERIFIED</x:v>
      </x:c>
      <x:c r="W3560" s="87" t="str">
        <x:v>Zadanie_FI11_15102025_.pdf, стр. 14</x:v>
      </x:c>
      <x:c r="X3560" s="87"/>
      <x:c r="Y3560" s="87"/>
      <x:c r="Z3560" s="87"/>
      <x:c r="AA3560" s="87"/>
      <x:c r="AB3560" s="87"/>
      <x:c r="AC3560" s="87" t="str">
        <x:v>VIS-PHYS-OCT-035</x:v>
      </x:c>
      <x:c r="AD3560" s="87"/>
      <x:c r="AE3560" s="87"/>
      <x:c r="AF3560" s="87" t="str">
        <x:v>VIS-PHYS-OCT-035: 14</x:v>
      </x:c>
      <x:c r="AG3560" s="87" t="str">
        <x:v>RESOLVED</x:v>
      </x:c>
      <x:c r="AH3560" s="87" t="str">
        <x:v>CROP_VERIFIED</x:v>
      </x:c>
      <x:c r="AI3560" s="30"/>
      <x:c r="AJ3560" s="87" t="str">
        <x:v>master</x:v>
      </x:c>
      <x:c r="AK3560" s="87" t="str">
        <x:v>master-v0.81</x:v>
      </x:c>
      <x:c r="AL3560" s="87" t="str">
        <x:v>statgrad_master_base_v0_81_final(2).xlsx</x:v>
      </x:c>
      <x:c r="AM3560" s="87" t="str">
        <x:v>PHYS_Oct_V3</x:v>
      </x:c>
      <x:c r="AN3560" s="87" t="n">
        <x:v>24</x:v>
      </x:c>
    </x:row>
    <x:row r="3561">
      <x:c r="A3561" s="87" t="n">
        <x:v>3560</x:v>
      </x:c>
      <x:c r="B3561" s="87" t="str">
        <x:v>OCT-PHYS-103-024</x:v>
      </x:c>
      <x:c r="C3561" s="87" t="str">
        <x:v>СтатГрад</x:v>
      </x:c>
      <x:c r="D3561" s="87" t="str">
        <x:v>Октябрь 2025</x:v>
      </x:c>
      <x:c r="E3561" s="87"/>
      <x:c r="F3561" s="87"/>
      <x:c r="G3561" s="87" t="str">
        <x:v>Физика</x:v>
      </x:c>
      <x:c r="H3561" s="87" t="n">
        <x:v>11</x:v>
      </x:c>
      <x:c r="I3561" s="87" t="str">
        <x:v>ТР №1</x:v>
      </x:c>
      <x:c r="J3561" s="87" t="str">
        <x:v>ФИ2510103</x:v>
      </x:c>
      <x:c r="K3561" s="87" t="n">
        <x:v>24</x:v>
      </x:c>
      <x:c r="L3561" s="87" t="str">
        <x:v>Тепловой двигатель</x:v>
      </x:c>
      <x:c r="M3561" s="30" t="str">
        <x:v>Идеальный одноатомный газ, количество которого равно ν = 0,04 моля,
     используется в качестве рабочего тела в тепловом двигателе. На pV-диаграмме
     (p – давление газа, V – его объём) показан процесс 1–2–3–4–5–6–1, совершаемый
     газом в течение одного цикла работы двигателя. В качестве топлива для данного
     двигателя используется каменный уголь с удельной теплотой сгорания
     29,3 МДж/кг, причём рабочее тело получает η = 1/3 количества теплоты,
     выделяющегося при сгорании. В течение N = 105 циклов работы двигателя
     сгорает M = 4 кг угля. Чему равна температура газа в состоянии 3?</x:v>
      </x:c>
      <x:c r="N3561" s="30" t="str">
        <x:v>Возможное решение
     1) Газ получает количество теплоты ∆Q+ на участках 1–2, 2–3 и 5–6 цикла.
     Для нахождения этого количества теплоты воспользуемся выражением для
     внутренней энергии одноатомного идеального газа U = (3/2)pV и тем фактом,
     что работа газа в некотором процессе численно равна площади под участком
     графика, изображающего данный процесс на pV-диаграмме.
     2) Пусть ∆U nm – изменение внутренней энергии при переходе газа из
     состояния «n» в состояние «m», а ∆A nm – работа, совершаемая газом при
     переходе из состояния «n» в состояние «m». В соответствии с первым
     законом термодинамики:
                                 ∆Q+ = ∆U 13 + ∆A 23 + ∆U 56 =
         = (3/2)(3p 0 ⋅3V0 – 2p0⋅V0) + 3p0⋅2V0 + (3/2)(2p0⋅2V0 – p0⋅2V0) = (39/2)p0V0.
     3) Согласно условию задачи, ∆Q+ = (39/2)p0V0 = ηqm, где m – масса угля,
     сгорающего за один цикл работы двигателя.
     4) Применим для состояния «3» уравнение Менделеева – Клапейрона:
     3p0⋅3V0 = νRT3.
     5) Выражая из последнего уравнения произведение p0V0, получаем:
     (39/18)νRT3 = ηqm. Масса M угля, сгорающего за N циклов работы двигателя,
     равна M = Nm. Отсюда
                                           6ηqM
                                    =T3          ≈ 542,5 К.
                                           13νRN
                 6ηqM
     Ответ:
        =   T3         ≈ 542,5 К.
                 13νRN
                                    согласия СтатГрад запрещена
           Критерии оценивания выполнения задания                 Баллы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первый закон термодинамики, выражение
для внутренней энергии одноатомного идеального газа, выражение
работы через площадь под участком графика на pV-диаграмме,
уравнение Менделеева – Клапейрона, связь количества выделившейся
при сгорании теплоты с массой сгоревшего топлива);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2
физические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и достаточно
для решения данной задачи, без каких-либо преобразований с их
использованием, направленных на решение задачи.
                               согласия СтатГрад запрещена
                                   ИЛИ
     В решении отсутствует ОДНА из исходных формул, необходимая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3</x:v>
      </x:c>
      <x:c r="O3561" s="30" t="str">
        <x:v>Теплота на участках цикла рассчитана по первому закону термодинамики и площади pV-диаграммы.</x:v>
      </x:c>
      <x:c r="P3561" s="30" t="str">
        <x:v>Теплота на участках цикла рассчитана по первому закону термодинамики и площади pV-диаграммы.</x:v>
      </x:c>
      <x:c r="Q3561" s="30"/>
      <x:c r="R3561" s="30" t="str">
        <x:v>Официальные критерии оценивания</x:v>
      </x:c>
      <x:c r="S3561" s="30"/>
      <x:c r="T3561" s="30"/>
      <x:c r="U3561" s="30" t="str">
        <x:v>Расхождений не обнаружено.</x:v>
      </x:c>
      <x:c r="V3561" s="87" t="str">
        <x:v>VERIFIED</x:v>
      </x:c>
      <x:c r="W3561" s="87" t="str">
        <x:v>Zadanie_FI11_15102025_.pdf, стр. 14</x:v>
      </x:c>
      <x:c r="X3561" s="87"/>
      <x:c r="Y3561" s="87"/>
      <x:c r="Z3561" s="87"/>
      <x:c r="AA3561" s="87"/>
      <x:c r="AB3561" s="87"/>
      <x:c r="AC3561" s="87" t="str">
        <x:v>VIS-PHYS-OCT-035</x:v>
      </x:c>
      <x:c r="AD3561" s="87"/>
      <x:c r="AE3561" s="87"/>
      <x:c r="AF3561" s="87" t="str">
        <x:v>VIS-PHYS-OCT-035: 14</x:v>
      </x:c>
      <x:c r="AG3561" s="87" t="str">
        <x:v>RESOLVED</x:v>
      </x:c>
      <x:c r="AH3561" s="87" t="str">
        <x:v>CROP_VERIFIED; TASK_CROP_QA_APPROVED:USE_CONTEXT</x:v>
      </x:c>
      <x:c r="AI3561" s="30"/>
      <x:c r="AJ3561" s="87" t="str">
        <x:v>master</x:v>
      </x:c>
      <x:c r="AK3561" s="87" t="str">
        <x:v>master-v0.81</x:v>
      </x:c>
      <x:c r="AL3561" s="87" t="str">
        <x:v>statgrad_master_base_v0_81_final(2).xlsx</x:v>
      </x:c>
      <x:c r="AM3561" s="87" t="str">
        <x:v>PHYS_Oct_V3</x:v>
      </x:c>
      <x:c r="AN3561" s="87" t="n">
        <x:v>25</x:v>
      </x:c>
    </x:row>
    <x:row r="3562">
      <x:c r="A3562" s="87" t="n">
        <x:v>3561</x:v>
      </x:c>
      <x:c r="B3562" s="87" t="str">
        <x:v>OCT-PHYS-103-025</x:v>
      </x:c>
      <x:c r="C3562" s="87" t="str">
        <x:v>СтатГрад</x:v>
      </x:c>
      <x:c r="D3562" s="87" t="str">
        <x:v>Октябрь 2025</x:v>
      </x:c>
      <x:c r="E3562" s="87"/>
      <x:c r="F3562" s="87"/>
      <x:c r="G3562" s="87" t="str">
        <x:v>Физика</x:v>
      </x:c>
      <x:c r="H3562" s="87" t="n">
        <x:v>11</x:v>
      </x:c>
      <x:c r="I3562" s="87" t="str">
        <x:v>ТР №1</x:v>
      </x:c>
      <x:c r="J3562" s="87" t="str">
        <x:v>ФИ2510103</x:v>
      </x:c>
      <x:c r="K3562" s="87" t="n">
        <x:v>25</x:v>
      </x:c>
      <x:c r="L3562" s="87" t="str">
        <x:v>Электростатика. Конденсаторы</x:v>
      </x:c>
      <x:c r="M3562" s="30" t="str">
        <x:v>В электрической цепи, схема которой изображена
     на рисунке, все конденсаторы имеют одинаковую
     электроёмкость    C = 1 мкФ,    а   резистор    имеет
     сопротивление R = 100 Ом. Вначале левый конденсатор
     заряжен до некоторого напряжения U, а все остальные конденсаторы не
     заряжены. Идеальный амперметр в первый момент после замыкания ключа К
     показал силу тока I = 2 А. Какое количество теплоты выделится в данной
     цепи ко времени, когда показания амперметра уменьшатся до нуля?</x:v>
      </x:c>
      <x:c r="N3562" s="30" t="str">
        <x:v>Возможное решение
     1. В начальном состоянии напряжение U на левом конденсаторе связано с
     зарядом q этого конденсатора: U = q/C, а напряжение и заряд на правой
     части цепи отсутствуют. После замыкания ключа К через амперметр,
     резистор и конденсаторы потечёт ток. В соответствии с законом Ома для
     замкнутой цепи сила этого тока в первый момент после замыкания ключа
     равна I = U/R, откуда U = IR. Поэтому энергия заряженного конденсатора
     равна WC = CU2/2 = CI2R2/2.
     2. При перезарядке конденсаторов часть заряда левого конденсатора
     перейдёт на правые конденсаторы общей ёмкостью Cпр, которую можно
     определить по правилам для последовательного и параллельного соединения
     конденсаторов: Cпр = С + С/2 = 3С/2.
     3. Ток в цепи прекратится, когда напряжения Uк на конденсаторах слева и
     справа станут одинаковыми и заряд q = CU будет находиться на системе
     конденсаторов общей ёмкостью Cобш = С + Cпр = С + 3С/2 = 5С/2.
     4. Конечное напряжение будет равно Uк = q/(Cобш) = 2U/5. Конечная
     электрическая энергия в цепи будет при этом равна
                          Wк = (5С/2)Uк2/2 =CU2/5 = CI2R2/5.
     5. Количество теплоты ∆Q, выделившейся в цепи, по закону сохранения
     энергии равно
                                    согласия СтатГрад запрещена
    ∆Q = WC – Wк = 3CI2R2/10 = 3⋅10–6⋅22⋅1002/10 = 12⋅10–3 Дж = 12 мДж.
Ответ: ∆Q = 3CI2R2/10 = 12 мДж
           Критерии оценивания выполнения задания              Баллы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связь заряда и
напряжения на конденсаторе, закон Ома для замкнутой цепи,
расчёт ёмкости при параллельном и последовательном соединении
конденсаторов, энергия заряженного конденсатора, закон
сохранения энергии);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проведены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2
физические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для решения
                               согласия СтатГрад запрещена
     данной задачи, без каких-либо преобразований с их использованием,
     направленных на решение задачи.
                                    ИЛИ
     В решении отсутствует ОДНА из исходных формул, необходимая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3</x:v>
      </x:c>
      <x:c r="O3562" s="30" t="str">
        <x:v>Начальная и конечная энергии системы конденсаторов сопоставлены; выделившаяся теплота найдена по закону сохранения энергии.</x:v>
      </x:c>
      <x:c r="P3562" s="30" t="str">
        <x:v>Начальная и конечная энергии системы конденсаторов сопоставлены; выделившаяся теплота найдена по закону сохранения энергии.</x:v>
      </x:c>
      <x:c r="Q3562" s="30"/>
      <x:c r="R3562" s="30" t="str">
        <x:v>Официальные критерии оценивания</x:v>
      </x:c>
      <x:c r="S3562" s="30"/>
      <x:c r="T3562" s="30"/>
      <x:c r="U3562" s="30" t="str">
        <x:v>Расхождений не обнаружено.</x:v>
      </x:c>
      <x:c r="V3562" s="87" t="str">
        <x:v>VERIFIED</x:v>
      </x:c>
      <x:c r="W3562" s="87" t="str">
        <x:v>Zadanie_FI11_15102025_.pdf, стр. 15</x:v>
      </x:c>
      <x:c r="X3562" s="87"/>
      <x:c r="Y3562" s="87"/>
      <x:c r="Z3562" s="87"/>
      <x:c r="AA3562" s="87"/>
      <x:c r="AB3562" s="87"/>
      <x:c r="AC3562" s="87" t="str">
        <x:v>VIS-PHYS-OCT-036</x:v>
      </x:c>
      <x:c r="AD3562" s="87"/>
      <x:c r="AE3562" s="87"/>
      <x:c r="AF3562" s="87" t="str">
        <x:v>VIS-PHYS-OCT-036: 15</x:v>
      </x:c>
      <x:c r="AG3562" s="87" t="str">
        <x:v>RESOLVED</x:v>
      </x:c>
      <x:c r="AH3562" s="87" t="str">
        <x:v>CROP_VERIFIED; TASK_CROP_QA_APPROVED:USE_TIGHT</x:v>
      </x:c>
      <x:c r="AI3562" s="30"/>
      <x:c r="AJ3562" s="87" t="str">
        <x:v>master</x:v>
      </x:c>
      <x:c r="AK3562" s="87" t="str">
        <x:v>master-v0.81</x:v>
      </x:c>
      <x:c r="AL3562" s="87" t="str">
        <x:v>statgrad_master_base_v0_81_final(2).xlsx</x:v>
      </x:c>
      <x:c r="AM3562" s="87" t="str">
        <x:v>PHYS_Oct_V3</x:v>
      </x:c>
      <x:c r="AN3562" s="87" t="n">
        <x:v>26</x:v>
      </x:c>
    </x:row>
    <x:row r="3563">
      <x:c r="A3563" s="87" t="n">
        <x:v>3562</x:v>
      </x:c>
      <x:c r="B3563" s="87" t="str">
        <x:v>OCT-PHYS-103-026</x:v>
      </x:c>
      <x:c r="C3563" s="87" t="str">
        <x:v>СтатГрад</x:v>
      </x:c>
      <x:c r="D3563" s="87" t="str">
        <x:v>Октябрь 2025</x:v>
      </x:c>
      <x:c r="E3563" s="87"/>
      <x:c r="F3563" s="87"/>
      <x:c r="G3563" s="87" t="str">
        <x:v>Физика</x:v>
      </x:c>
      <x:c r="H3563" s="87" t="n">
        <x:v>11</x:v>
      </x:c>
      <x:c r="I3563" s="87" t="str">
        <x:v>ТР №1</x:v>
      </x:c>
      <x:c r="J3563" s="87" t="str">
        <x:v>ФИ2510103</x:v>
      </x:c>
      <x:c r="K3563" s="87" t="n">
        <x:v>26</x:v>
      </x:c>
      <x:c r="L3563" s="87" t="str">
        <x:v>Механика. Пружина и движение по окружности</x:v>
      </x:c>
      <x:c r="M3563" s="30" t="str">
        <x:v>Из жёсткой тонкой гладкой проволоки согнут каркас в виде половины
     окружности радиусом R и закреплён так, чтобы диаметр каркаса
     располагался вертикально (см. рисунок). В верхней точке A диаметра
     к каркасу прикреплён конец лёгкой пружины, длина которой в нерастянутом
     состоянии равна R. Ко второму концу пружины прикреплена маленькая
     бусинка B с просверлённым в ней отверстием. Если бусинка висит
     на пружине, находясь в состоянии равновесия, то удлинение пружины
     оказывается равным R/3.
     Бусинку надевают на каркас так, что она покоится в нижней точке его
     диаметра. Затем, после очень малого начального воздействия, бусинка
     начинает скользить по каркасу. В тот момент, когда ось пружины составляет
     с вертикалью угол   arccos(5 / 6) , модуль скорости бусинки равен V = 2 м/с.
     Найдите радиус R каркаса. Обоснуйте применимость законов,
     использованных для решения задачи.</x:v>
      </x:c>
      <x:c r="N3563" s="30" t="str">
        <x:v>Возможное решение
Обоснование.
1. Выберем систему отсчёта, связанную с закреплённым каркасом, и будем
считать её инерциальной (ИСО). Относительно этой ИСО справедлив второй
закон Ньютона и можно применять законы сохранения.
2. Для бусинки используем модель материальной точки.
3. Так как проволока жёсткая, будем считать каркас абсолютно твёрдым
телом и пренебрежём его деформациями.
4. Будем считать, что удлинение пружины подчиняется закону Гука.
Поскольку пружина лёгкая, до подвешивания бусинки её можно считать
нерастянутой и при решении задачи можно пренебрегать её массой.
5. Проволока гладкая, поэтому в системе отсутствуют внутренние
диссипативные силы. Все остальные силы либо консервативные, либо не
совершают работы. Следовательно, можно применять закон сохранения
механической энергии.
6. Поскольку начальное воздействие на бусинку очень малое, её начальную
кинетическую энергию также можно считать пренебрежимо малой.
Решение.
1. Согласно условию задачи, при подвешивании бусинки массой m
к пружине жёсткостью k она в положении равновесия растягивается на
величину ∆l = R/3. В соответствии со вторым законом Ньютона, с учётом
закона Гука: mg = k∆l = kR/3.
2. Рассмотрим состояние системы, в котором ось пружины составляет
с вертикалью угол α (см. рисунок). Угол AB1B прямой, поэтому в данный
момент длина пружины равна   =  l 2 R cos α , а высота бусинки над точкой B
составляет
        =   h 2 R sin α . Обозначим скорость бусинки в рассматриваемый
                     2
момент через V и учтём, что в исходном состоянии удлинение пружины было
равно R. Тогда, согласно закону сохранения механической энергии для
данной системы:
                              kR 2 k (l − R) 2         mV 2
                               =               + mgh +      .
                               2        2               2
3. Преобразуем это уравнение с учётом ранее записанных соотношений:
                               согласия СтатГрад запрещена
              kR 2 k (2 R cos α − R) 2                    mV 2
             =                           + 2mgR sin 2 α +        ,
                2            2                             2
             = kR 2 kR 2 (2 cos α − 1) 2 + 4mgR sin 2 α + mV 2 ,
                  =   3mgR 3mgR(2 cos α − 1) 2 + 4mgR sin 2 α + mV 2 ,
     =
     V 2
         3 gR − 3 gR(2 cos α − 1) 2 − 4 gR sin 2=
                                                α 12 gR(cos α − cos 2 α) − 4 gR(1 − cos 2 =
                                                                                          α)
                        = 4 gR(3cos α − 2 cos α − 1).  2
4. Учитывая, что cos α =5 / 6 , получаем:
                                        5        25  4 gR
                              =
                              V 2 4 gR  3 ⋅ − 2 ⋅ =− 1    .
                                        6        36    9
5. Подставляя численное значение V, находим:
                                        9V 2 9 ⋅ 22
                                  =
                                  R      = = 0,9 м.
                                         4 g 4 ⋅10
            9V 2    9 ⋅ 22
Ответ:=
      R =             = 0,9 м.
             4g     4 ⋅10
           Критерии оценивания выполнения задания                Баллы
Критерий 1
Верно     обоснована    возможность     использования    законов   1
(закономерностей). В данном случае: выбор ИСО, выбор модели
материальной точки, выбор модели абсолютно твёрдого тела для
каркаса, использование модели невесомой пружины, подчиняющейся
закону Гука, использование условий применимости закона
сохранения механической энергии
В обосновании отсутствует один или несколько из элементов.         0
                              ИЛИ
В обосновании допущена ошибка.
                              ИЛИ
Обоснование отсутствует
Критерий 2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второй закон
Ньютона, закон Гука, выражения для потенциальной энергии
пружины, потенциальной энергии тела в однородном поле силы
тяжести, кинетической энергии материальной точки, закон
сохранения механической энергии);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величин, используемых
в условии задачи, и стандартных обозначений величин,
используемых при написании физических законов);
III) проведены необходимые математические преобразования и
расчёты (подстановка числовых данных в конечную формулу),
                               согласия СтатГрад запрещена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физические                      2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для решения данной задачи,
без каких-либо преобразований с их использованием, направленных на
решение задачи.
                               ИЛИ
В решении отсутствует ОДНА из исходных формул, необходимая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4
                               согласия СтатГрад запрещена</x:v>
      </x:c>
      <x:c r="O3563" s="30" t="str">
        <x:v>После обоснования модели применён закон сохранения механической энергии с потенциальной энергией пружины и тяжести.</x:v>
      </x:c>
      <x:c r="P3563" s="30" t="str">
        <x:v>После обоснования модели применён закон сохранения механической энергии с потенциальной энергией пружины и тяжести.</x:v>
      </x:c>
      <x:c r="Q3563" s="30"/>
      <x:c r="R3563" s="30" t="str">
        <x:v>Официальные критерии оценивания</x:v>
      </x:c>
      <x:c r="S3563" s="30"/>
      <x:c r="T3563" s="30"/>
      <x:c r="U3563" s="30" t="str">
        <x:v>Расхождений не обнаружено.</x:v>
      </x:c>
      <x:c r="V3563" s="87" t="str">
        <x:v>VERIFIED</x:v>
      </x:c>
      <x:c r="W3563" s="87" t="str">
        <x:v>Zadanie_FI11_15102025_.pdf, стр. 15</x:v>
      </x:c>
      <x:c r="X3563" s="87"/>
      <x:c r="Y3563" s="87"/>
      <x:c r="Z3563" s="87"/>
      <x:c r="AA3563" s="87"/>
      <x:c r="AB3563" s="87"/>
      <x:c r="AC3563" s="87" t="str">
        <x:v>VIS-PHYS-OCT-036</x:v>
      </x:c>
      <x:c r="AD3563" s="87"/>
      <x:c r="AE3563" s="87"/>
      <x:c r="AF3563" s="87" t="str">
        <x:v>VIS-PHYS-OCT-036: 15</x:v>
      </x:c>
      <x:c r="AG3563" s="87" t="str">
        <x:v>RESOLVED</x:v>
      </x:c>
      <x:c r="AH3563" s="87" t="str">
        <x:v>CROP_VERIFIED; TASK_CROP_QA_APPROVED:USE_TIGHT</x:v>
      </x:c>
      <x:c r="AI3563" s="30"/>
      <x:c r="AJ3563" s="87" t="str">
        <x:v>master</x:v>
      </x:c>
      <x:c r="AK3563" s="87" t="str">
        <x:v>master-v0.81</x:v>
      </x:c>
      <x:c r="AL3563" s="87" t="str">
        <x:v>statgrad_master_base_v0_81_final(2).xlsx</x:v>
      </x:c>
      <x:c r="AM3563" s="87" t="str">
        <x:v>PHYS_Oct_V3</x:v>
      </x:c>
      <x:c r="AN3563" s="87" t="n">
        <x:v>27</x:v>
      </x:c>
    </x:row>
    <x:row r="3564">
      <x:c r="A3564" s="87" t="n">
        <x:v>3563</x:v>
      </x:c>
      <x:c r="B3564" s="87" t="str">
        <x:v>OCT-PHYS-104-001</x:v>
      </x:c>
      <x:c r="C3564" s="87" t="str">
        <x:v>СтатГрад</x:v>
      </x:c>
      <x:c r="D3564" s="87" t="str">
        <x:v>Октябрь 2025</x:v>
      </x:c>
      <x:c r="E3564" s="87"/>
      <x:c r="F3564" s="87"/>
      <x:c r="G3564" s="87" t="str">
        <x:v>Физика</x:v>
      </x:c>
      <x:c r="H3564" s="87" t="n">
        <x:v>11</x:v>
      </x:c>
      <x:c r="I3564" s="87" t="str">
        <x:v>ТР №1</x:v>
      </x:c>
      <x:c r="J3564" s="87" t="str">
        <x:v>ФИ2510104</x:v>
      </x:c>
      <x:c r="K3564" s="87" t="n">
        <x:v>1</x:v>
      </x:c>
      <x:c r="L3564" s="87" t="str">
        <x:v>Кинематика. График движения</x:v>
      </x:c>
      <x:c r="M3564" s="30" t="str">
        <x:v>На рисунке представлен график зависимости координаты х велосипедиста,
    движущегося вдоль оси ОХ, от времени t. Определите проекцию скорости V x
    велосипедиста в течение промежутка времени от 6 с до 8 с. Ответ запишите
    с учётом знака проекции.
    Ответ: ___________________________ м/с.</x:v>
      </x:c>
      <x:c r="N3564" s="30" t="str">
        <x:v>-7,5</x:v>
      </x:c>
      <x:c r="O3564" s="30" t="str">
        <x:v>Скорость найдена как угловой коэффициент участка графика x(t): Δx/Δt с учётом знака.</x:v>
      </x:c>
      <x:c r="P3564" s="30" t="str">
        <x:v>Скорость найдена как угловой коэффициент участка графика x(t): Δx/Δt с учётом знака.</x:v>
      </x:c>
      <x:c r="Q3564" s="30"/>
      <x:c r="R3564" s="30" t="str">
        <x:v>Архивный фото-ключ</x:v>
      </x:c>
      <x:c r="S3564" s="30"/>
      <x:c r="T3564" s="30"/>
      <x:c r="U3564" s="30" t="str">
        <x:v>Расхождений не обнаружено.</x:v>
      </x:c>
      <x:c r="V3564" s="87" t="str">
        <x:v>VERIFIED</x:v>
      </x:c>
      <x:c r="W3564" s="87" t="str">
        <x:v>Zadanie_FI11_15102025_.pdf, стр. 19</x:v>
      </x:c>
      <x:c r="X3564" s="87"/>
      <x:c r="Y3564" s="87"/>
      <x:c r="Z3564" s="87"/>
      <x:c r="AA3564" s="87"/>
      <x:c r="AB3564" s="87"/>
      <x:c r="AC3564" s="87" t="str">
        <x:v>VIS-PHYS-OCT-037</x:v>
      </x:c>
      <x:c r="AD3564" s="87"/>
      <x:c r="AE3564" s="87"/>
      <x:c r="AF3564" s="87" t="str">
        <x:v>VIS-PHYS-OCT-037: 19</x:v>
      </x:c>
      <x:c r="AG3564" s="87" t="str">
        <x:v>RESOLVED</x:v>
      </x:c>
      <x:c r="AH3564" s="87" t="str">
        <x:v>CROP_VERIFIED; TASK_CROP_QA_APPROVED:USE_CONTEXT</x:v>
      </x:c>
      <x:c r="AI3564" s="30"/>
      <x:c r="AJ3564" s="87" t="str">
        <x:v>master</x:v>
      </x:c>
      <x:c r="AK3564" s="87" t="str">
        <x:v>master-v0.81</x:v>
      </x:c>
      <x:c r="AL3564" s="87" t="str">
        <x:v>statgrad_master_base_v0_81_final(2).xlsx</x:v>
      </x:c>
      <x:c r="AM3564" s="87" t="str">
        <x:v>PHYS_Oct_V4</x:v>
      </x:c>
      <x:c r="AN3564" s="87" t="n">
        <x:v>2</x:v>
      </x:c>
    </x:row>
    <x:row r="3565">
      <x:c r="A3565" s="87" t="n">
        <x:v>3564</x:v>
      </x:c>
      <x:c r="B3565" s="87" t="str">
        <x:v>OCT-PHYS-104-002</x:v>
      </x:c>
      <x:c r="C3565" s="87" t="str">
        <x:v>СтатГрад</x:v>
      </x:c>
      <x:c r="D3565" s="87" t="str">
        <x:v>Октябрь 2025</x:v>
      </x:c>
      <x:c r="E3565" s="87"/>
      <x:c r="F3565" s="87"/>
      <x:c r="G3565" s="87" t="str">
        <x:v>Физика</x:v>
      </x:c>
      <x:c r="H3565" s="87" t="n">
        <x:v>11</x:v>
      </x:c>
      <x:c r="I3565" s="87" t="str">
        <x:v>ТР №1</x:v>
      </x:c>
      <x:c r="J3565" s="87" t="str">
        <x:v>ФИ2510104</x:v>
      </x:c>
      <x:c r="K3565" s="87" t="n">
        <x:v>2</x:v>
      </x:c>
      <x:c r="L3565" s="87" t="str">
        <x:v>Динамика. Закон Гука</x:v>
      </x:c>
      <x:c r="M3565" s="30" t="str">
        <x:v>Две лёгкие пружины подвешены за концы к потолку. Эти пружины
    растягивают, прикладывая к их свободным концам направленные вниз
    одинаковые силы F. Жёсткость первой пружины в 1,2 раза больше жёсткости
    второй пружины. В равновесном состоянии удлинение второй пружины
    равно 24 мм. Чему равно удлинение первой пружины при её равновесии?
    Ответ: ___________________________ мм.</x:v>
      </x:c>
      <x:c r="N3565" s="30" t="str">
        <x:v>20</x:v>
      </x:c>
      <x:c r="O3565" s="30" t="str">
        <x:v>Использован закон Гука F=kx; при одинаковой силе деформация обратно пропорциональна жёсткости.</x:v>
      </x:c>
      <x:c r="P3565" s="30" t="str">
        <x:v>Использован закон Гука F=kx; при одинаковой силе деформация обратно пропорциональна жёсткости.</x:v>
      </x:c>
      <x:c r="Q3565" s="30"/>
      <x:c r="R3565" s="30" t="str">
        <x:v>Архивный фото-ключ</x:v>
      </x:c>
      <x:c r="S3565" s="30"/>
      <x:c r="T3565" s="30"/>
      <x:c r="U3565" s="30" t="str">
        <x:v>Расхождений не обнаружено.</x:v>
      </x:c>
      <x:c r="V3565" s="87" t="str">
        <x:v>VERIFIED</x:v>
      </x:c>
      <x:c r="W3565" s="87" t="str">
        <x:v>Zadanie_FI11_15102025_.pdf, стр. 19</x:v>
      </x:c>
      <x:c r="X3565" s="87"/>
      <x:c r="Y3565" s="87"/>
      <x:c r="Z3565" s="87"/>
      <x:c r="AA3565" s="87"/>
      <x:c r="AB3565" s="87"/>
      <x:c r="AC3565" s="87" t="str">
        <x:v>VIS-PHYS-OCT-037</x:v>
      </x:c>
      <x:c r="AD3565" s="87"/>
      <x:c r="AE3565" s="87"/>
      <x:c r="AF3565" s="87" t="str">
        <x:v>VIS-PHYS-OCT-037: 19</x:v>
      </x:c>
      <x:c r="AG3565" s="87" t="str">
        <x:v>RESOLVED</x:v>
      </x:c>
      <x:c r="AH3565" s="87" t="str">
        <x:v>CROP_VERIFIED</x:v>
      </x:c>
      <x:c r="AI3565" s="30"/>
      <x:c r="AJ3565" s="87" t="str">
        <x:v>master</x:v>
      </x:c>
      <x:c r="AK3565" s="87" t="str">
        <x:v>master-v0.81</x:v>
      </x:c>
      <x:c r="AL3565" s="87" t="str">
        <x:v>statgrad_master_base_v0_81_final(2).xlsx</x:v>
      </x:c>
      <x:c r="AM3565" s="87" t="str">
        <x:v>PHYS_Oct_V4</x:v>
      </x:c>
      <x:c r="AN3565" s="87" t="n">
        <x:v>3</x:v>
      </x:c>
    </x:row>
    <x:row r="3566">
      <x:c r="A3566" s="87" t="n">
        <x:v>3565</x:v>
      </x:c>
      <x:c r="B3566" s="87" t="str">
        <x:v>OCT-PHYS-104-003</x:v>
      </x:c>
      <x:c r="C3566" s="87" t="str">
        <x:v>СтатГрад</x:v>
      </x:c>
      <x:c r="D3566" s="87" t="str">
        <x:v>Октябрь 2025</x:v>
      </x:c>
      <x:c r="E3566" s="87"/>
      <x:c r="F3566" s="87"/>
      <x:c r="G3566" s="87" t="str">
        <x:v>Физика</x:v>
      </x:c>
      <x:c r="H3566" s="87" t="n">
        <x:v>11</x:v>
      </x:c>
      <x:c r="I3566" s="87" t="str">
        <x:v>ТР №1</x:v>
      </x:c>
      <x:c r="J3566" s="87" t="str">
        <x:v>ФИ2510104</x:v>
      </x:c>
      <x:c r="K3566" s="87" t="n">
        <x:v>3</x:v>
      </x:c>
      <x:c r="L3566" s="87" t="str">
        <x:v>Импульс</x:v>
      </x:c>
      <x:c r="M3566" s="30" t="str">
        <x:v>Из неподвижной пушки, стоящей на горизонтальной площадке, произведён
    выстрел. Снаряд массой 2 кг вылетел из ствола пушки горизонтально
    со скоростью 160 м/с относительно площадки. Чему равна масса пушки,
    если скорость пушки относительно площадки после выстрела равна 0,8 м/с?
    Ответ: ___________________________ кг.</x:v>
      </x:c>
      <x:c r="N3566" s="30" t="str">
        <x:v>400</x:v>
      </x:c>
      <x:c r="O3566" s="30" t="str">
        <x:v>Применён закон сохранения импульса системы «пушка–снаряд».</x:v>
      </x:c>
      <x:c r="P3566" s="30" t="str">
        <x:v>Применён закон сохранения импульса системы «пушка–снаряд».</x:v>
      </x:c>
      <x:c r="Q3566" s="30"/>
      <x:c r="R3566" s="30" t="str">
        <x:v>Архивный фото-ключ</x:v>
      </x:c>
      <x:c r="S3566" s="30"/>
      <x:c r="T3566" s="30"/>
      <x:c r="U3566" s="30" t="str">
        <x:v>Расхождений не обнаружено.</x:v>
      </x:c>
      <x:c r="V3566" s="87" t="str">
        <x:v>VERIFIED</x:v>
      </x:c>
      <x:c r="W3566" s="87" t="str">
        <x:v>Zadanie_FI11_15102025_.pdf, стр. 19</x:v>
      </x:c>
      <x:c r="X3566" s="87"/>
      <x:c r="Y3566" s="87"/>
      <x:c r="Z3566" s="87"/>
      <x:c r="AA3566" s="87"/>
      <x:c r="AB3566" s="87"/>
      <x:c r="AC3566" s="87" t="str">
        <x:v>VIS-PHYS-OCT-037</x:v>
      </x:c>
      <x:c r="AD3566" s="87"/>
      <x:c r="AE3566" s="87"/>
      <x:c r="AF3566" s="87" t="str">
        <x:v>VIS-PHYS-OCT-037: 19</x:v>
      </x:c>
      <x:c r="AG3566" s="87" t="str">
        <x:v>RESOLVED</x:v>
      </x:c>
      <x:c r="AH3566" s="87" t="str">
        <x:v>CROP_VERIFIED</x:v>
      </x:c>
      <x:c r="AI3566" s="30"/>
      <x:c r="AJ3566" s="87" t="str">
        <x:v>master</x:v>
      </x:c>
      <x:c r="AK3566" s="87" t="str">
        <x:v>master-v0.81</x:v>
      </x:c>
      <x:c r="AL3566" s="87" t="str">
        <x:v>statgrad_master_base_v0_81_final(2).xlsx</x:v>
      </x:c>
      <x:c r="AM3566" s="87" t="str">
        <x:v>PHYS_Oct_V4</x:v>
      </x:c>
      <x:c r="AN3566" s="87" t="n">
        <x:v>4</x:v>
      </x:c>
    </x:row>
    <x:row r="3567">
      <x:c r="A3567" s="87" t="n">
        <x:v>3566</x:v>
      </x:c>
      <x:c r="B3567" s="87" t="str">
        <x:v>OCT-PHYS-104-004</x:v>
      </x:c>
      <x:c r="C3567" s="87" t="str">
        <x:v>СтатГрад</x:v>
      </x:c>
      <x:c r="D3567" s="87" t="str">
        <x:v>Октябрь 2025</x:v>
      </x:c>
      <x:c r="E3567" s="87"/>
      <x:c r="F3567" s="87"/>
      <x:c r="G3567" s="87" t="str">
        <x:v>Физика</x:v>
      </x:c>
      <x:c r="H3567" s="87" t="n">
        <x:v>11</x:v>
      </x:c>
      <x:c r="I3567" s="87" t="str">
        <x:v>ТР №1</x:v>
      </x:c>
      <x:c r="J3567" s="87" t="str">
        <x:v>ФИ2510104</x:v>
      </x:c>
      <x:c r="K3567" s="87" t="n">
        <x:v>4</x:v>
      </x:c>
      <x:c r="L3567" s="87" t="str">
        <x:v>Механические колебания</x:v>
      </x:c>
      <x:c r="M3567" s="30" t="str">
        <x:v>Период свободных гармонических колебаний первого математического
    маятника равен 1,2 с. Чему равен период свободных гармонических
    колебаний второго математического маятника, у которого длина нити
    в 4 раза больше, а масса груза в 4 раза меньше, чем у первого?
    Ответ: ___________________________ с.</x:v>
      </x:c>
      <x:c r="N3567" s="30" t="str">
        <x:v>2,4</x:v>
      </x:c>
      <x:c r="O3567" s="30" t="str">
        <x:v>Для математического маятника T∝√l и ν∝1/√l; масса груза не влияет.</x:v>
      </x:c>
      <x:c r="P3567" s="30" t="str">
        <x:v>Для математического маятника T∝√l и ν∝1/√l; масса груза не влияет.</x:v>
      </x:c>
      <x:c r="Q3567" s="30"/>
      <x:c r="R3567" s="30" t="str">
        <x:v>Архивный фото-ключ</x:v>
      </x:c>
      <x:c r="S3567" s="30"/>
      <x:c r="T3567" s="30"/>
      <x:c r="U3567" s="30" t="str">
        <x:v>Расхождений не обнаружено.</x:v>
      </x:c>
      <x:c r="V3567" s="87" t="str">
        <x:v>VERIFIED</x:v>
      </x:c>
      <x:c r="W3567" s="87" t="str">
        <x:v>Zadanie_FI11_15102025_.pdf, стр. 19</x:v>
      </x:c>
      <x:c r="X3567" s="87"/>
      <x:c r="Y3567" s="87"/>
      <x:c r="Z3567" s="87"/>
      <x:c r="AA3567" s="87"/>
      <x:c r="AB3567" s="87"/>
      <x:c r="AC3567" s="87" t="str">
        <x:v>VIS-PHYS-OCT-037</x:v>
      </x:c>
      <x:c r="AD3567" s="87"/>
      <x:c r="AE3567" s="87"/>
      <x:c r="AF3567" s="87" t="str">
        <x:v>VIS-PHYS-OCT-037: 19</x:v>
      </x:c>
      <x:c r="AG3567" s="87" t="str">
        <x:v>RESOLVED</x:v>
      </x:c>
      <x:c r="AH3567" s="87" t="str">
        <x:v>CROP_VERIFIED</x:v>
      </x:c>
      <x:c r="AI3567" s="30"/>
      <x:c r="AJ3567" s="87" t="str">
        <x:v>master</x:v>
      </x:c>
      <x:c r="AK3567" s="87" t="str">
        <x:v>master-v0.81</x:v>
      </x:c>
      <x:c r="AL3567" s="87" t="str">
        <x:v>statgrad_master_base_v0_81_final(2).xlsx</x:v>
      </x:c>
      <x:c r="AM3567" s="87" t="str">
        <x:v>PHYS_Oct_V4</x:v>
      </x:c>
      <x:c r="AN3567" s="87" t="n">
        <x:v>5</x:v>
      </x:c>
    </x:row>
    <x:row r="3568">
      <x:c r="A3568" s="87" t="n">
        <x:v>3567</x:v>
      </x:c>
      <x:c r="B3568" s="87" t="str">
        <x:v>OCT-PHYS-104-005</x:v>
      </x:c>
      <x:c r="C3568" s="87" t="str">
        <x:v>СтатГрад</x:v>
      </x:c>
      <x:c r="D3568" s="87" t="str">
        <x:v>Октябрь 2025</x:v>
      </x:c>
      <x:c r="E3568" s="87"/>
      <x:c r="F3568" s="87"/>
      <x:c r="G3568" s="87" t="str">
        <x:v>Физика</x:v>
      </x:c>
      <x:c r="H3568" s="87" t="n">
        <x:v>11</x:v>
      </x:c>
      <x:c r="I3568" s="87" t="str">
        <x:v>ТР №1</x:v>
      </x:c>
      <x:c r="J3568" s="87" t="str">
        <x:v>ФИ2510104</x:v>
      </x:c>
      <x:c r="K3568" s="87" t="n">
        <x:v>5</x:v>
      </x:c>
      <x:c r="L3568" s="87" t="str">
        <x:v>Сухое трение</x:v>
      </x:c>
      <x:c r="M3568" s="30" t="str">
        <x:v>При изучении свойств силы сухого трения был получен график зависимости
    модуля силы трения F тр , действующей на находящееся на горизонтальном
    столе тело массой 0,5 кг, от модуля горизонтальной силы F, приложенной
    к этому телу (см. рисунок).
    Выберите все утверждения, которые верно отражают результаты этого опыта.
    В ответе запишите их номера.
    1) Сначала тело покоилось, а затем двигалось с постоянной скоростью.
    2) Чтобы сдвинуть тело с места, нужно приложить силу F, модуль которой
       не менее 4 Н.
    3) Кинетическая энергия тела в течение опыта постоянно возрастала.
    4) Коэффициент трения тела о стол равен 0,4.
    5) Когда модуль силы F, действующей на тело, равен 6 Н, тело движется с
       ускорением 4 м/с2.</x:v>
      </x:c>
      <x:c r="N3568" s="30" t="str">
        <x:v>25</x:v>
      </x:c>
      <x:c r="O3568" s="30" t="str">
        <x:v>График силы сухого трения сопоставлен с режимами покоя и скольжения; утверждения проверены по значениям графика.</x:v>
      </x:c>
      <x:c r="P3568" s="30" t="str">
        <x:v>График силы сухого трения сопоставлен с режимами покоя и скольжения; утверждения проверены по значениям графика.</x:v>
      </x:c>
      <x:c r="Q3568" s="30"/>
      <x:c r="R3568" s="30" t="str">
        <x:v>Официальная таблица ответов</x:v>
      </x:c>
      <x:c r="S3568" s="30"/>
      <x:c r="T3568" s="30"/>
      <x:c r="U3568" s="30" t="str">
        <x:v>Расхождений не обнаружено.</x:v>
      </x:c>
      <x:c r="V3568" s="87" t="str">
        <x:v>VERIFIED</x:v>
      </x:c>
      <x:c r="W3568" s="87" t="str">
        <x:v>Zadanie_FI11_15102025_.pdf, стр. 20</x:v>
      </x:c>
      <x:c r="X3568" s="87"/>
      <x:c r="Y3568" s="87"/>
      <x:c r="Z3568" s="87"/>
      <x:c r="AA3568" s="87"/>
      <x:c r="AB3568" s="87"/>
      <x:c r="AC3568" s="87" t="str">
        <x:v>VIS-PHYS-OCT-038</x:v>
      </x:c>
      <x:c r="AD3568" s="87"/>
      <x:c r="AE3568" s="87"/>
      <x:c r="AF3568" s="87" t="str">
        <x:v>VIS-PHYS-OCT-038: 20</x:v>
      </x:c>
      <x:c r="AG3568" s="87" t="str">
        <x:v>RESOLVED</x:v>
      </x:c>
      <x:c r="AH3568" s="87" t="str">
        <x:v>CROP_VERIFIED; TASK_CROP_QA_APPROVED:USE_CONTEXT</x:v>
      </x:c>
      <x:c r="AI3568" s="30"/>
      <x:c r="AJ3568" s="87" t="str">
        <x:v>master</x:v>
      </x:c>
      <x:c r="AK3568" s="87" t="str">
        <x:v>master-v0.81</x:v>
      </x:c>
      <x:c r="AL3568" s="87" t="str">
        <x:v>statgrad_master_base_v0_81_final(2).xlsx</x:v>
      </x:c>
      <x:c r="AM3568" s="87" t="str">
        <x:v>PHYS_Oct_V4</x:v>
      </x:c>
      <x:c r="AN3568" s="87" t="n">
        <x:v>6</x:v>
      </x:c>
    </x:row>
    <x:row r="3569">
      <x:c r="A3569" s="87" t="n">
        <x:v>3568</x:v>
      </x:c>
      <x:c r="B3569" s="87" t="str">
        <x:v>OCT-PHYS-104-006</x:v>
      </x:c>
      <x:c r="C3569" s="87" t="str">
        <x:v>СтатГрад</x:v>
      </x:c>
      <x:c r="D3569" s="87" t="str">
        <x:v>Октябрь 2025</x:v>
      </x:c>
      <x:c r="E3569" s="87"/>
      <x:c r="F3569" s="87"/>
      <x:c r="G3569" s="87" t="str">
        <x:v>Физика</x:v>
      </x:c>
      <x:c r="H3569" s="87" t="n">
        <x:v>11</x:v>
      </x:c>
      <x:c r="I3569" s="87" t="str">
        <x:v>ТР №1</x:v>
      </x:c>
      <x:c r="J3569" s="87" t="str">
        <x:v>ФИ2510104</x:v>
      </x:c>
      <x:c r="K3569" s="87" t="n">
        <x:v>6</x:v>
      </x:c>
      <x:c r="L3569" s="87" t="str">
        <x:v>Движение тела под действием тяжести</x:v>
      </x:c>
      <x:c r="M3569" s="30" t="str">
        <x:v>Мячик брошен с высоты H над горизонтальной поверхностью с начальной
    скоростью V 0 под углом α к горизонту так, как показано на рисунке (угол
    отсчитывается от горизонтали в направлении по часовой стрелке).
    Как изменятся дальность полёта и модуль конечной скорости мячика,
    если увеличить угол α, а остальные параметры оставить без изменения?
    Сопротивлением воздуха пренебречь.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Дальность полёта мячика                 Модуль конечной скорости мячика</x:v>
      </x:c>
      <x:c r="N3569" s="30" t="str">
        <x:v>23</x:v>
      </x:c>
      <x:c r="O3569" s="30" t="str">
        <x:v>Проекции начальной скорости и уравнения движения сопоставлены при изменении угла; конечная скорость дополнительно проверена по энергии.</x:v>
      </x:c>
      <x:c r="P3569" s="30" t="str">
        <x:v>Проекции начальной скорости и уравнения движения сопоставлены при изменении угла; конечная скорость дополнительно проверена по энергии.</x:v>
      </x:c>
      <x:c r="Q3569" s="30"/>
      <x:c r="R3569" s="30" t="str">
        <x:v>Архивный фото-ключ</x:v>
      </x:c>
      <x:c r="S3569" s="30"/>
      <x:c r="T3569" s="30"/>
      <x:c r="U3569" s="30" t="str">
        <x:v>Расхождений не обнаружено.</x:v>
      </x:c>
      <x:c r="V3569" s="87" t="str">
        <x:v>VERIFIED</x:v>
      </x:c>
      <x:c r="W3569" s="87" t="str">
        <x:v>Zadanie_FI11_15102025_.pdf, стр. 21</x:v>
      </x:c>
      <x:c r="X3569" s="87"/>
      <x:c r="Y3569" s="87"/>
      <x:c r="Z3569" s="87"/>
      <x:c r="AA3569" s="87"/>
      <x:c r="AB3569" s="87"/>
      <x:c r="AC3569" s="87" t="str">
        <x:v>VIS-PHYS-OCT-039</x:v>
      </x:c>
      <x:c r="AD3569" s="87"/>
      <x:c r="AE3569" s="87"/>
      <x:c r="AF3569" s="87" t="str">
        <x:v>VIS-PHYS-OCT-039: 21</x:v>
      </x:c>
      <x:c r="AG3569" s="87" t="str">
        <x:v>RESOLVED</x:v>
      </x:c>
      <x:c r="AH3569" s="87" t="str">
        <x:v>CROP_VERIFIED; TASK_CROP_QA_APPROVED:USE_TIGHT</x:v>
      </x:c>
      <x:c r="AI3569" s="30"/>
      <x:c r="AJ3569" s="87" t="str">
        <x:v>master</x:v>
      </x:c>
      <x:c r="AK3569" s="87" t="str">
        <x:v>master-v0.81</x:v>
      </x:c>
      <x:c r="AL3569" s="87" t="str">
        <x:v>statgrad_master_base_v0_81_final(2).xlsx</x:v>
      </x:c>
      <x:c r="AM3569" s="87" t="str">
        <x:v>PHYS_Oct_V4</x:v>
      </x:c>
      <x:c r="AN3569" s="87" t="n">
        <x:v>7</x:v>
      </x:c>
    </x:row>
    <x:row r="3570">
      <x:c r="A3570" s="87" t="n">
        <x:v>3569</x:v>
      </x:c>
      <x:c r="B3570" s="87" t="str">
        <x:v>OCT-PHYS-104-007</x:v>
      </x:c>
      <x:c r="C3570" s="87" t="str">
        <x:v>СтатГрад</x:v>
      </x:c>
      <x:c r="D3570" s="87" t="str">
        <x:v>Октябрь 2025</x:v>
      </x:c>
      <x:c r="E3570" s="87"/>
      <x:c r="F3570" s="87"/>
      <x:c r="G3570" s="87" t="str">
        <x:v>Физика</x:v>
      </x:c>
      <x:c r="H3570" s="87" t="n">
        <x:v>11</x:v>
      </x:c>
      <x:c r="I3570" s="87" t="str">
        <x:v>ТР №1</x:v>
      </x:c>
      <x:c r="J3570" s="87" t="str">
        <x:v>ФИ2510104</x:v>
      </x:c>
      <x:c r="K3570" s="87" t="n">
        <x:v>7</x:v>
      </x:c>
      <x:c r="L3570" s="87" t="str">
        <x:v>Молекулярная физика</x:v>
      </x:c>
      <x:c r="M3570" s="30" t="str">
        <x:v>Неизменное количество идеального газа находится в сосуде с жёсткими
    стенками. При нагревании давление газа увеличилось в 2 раза. Чему равно
    отношение абсолютных температур газа в конечном и начальном состоянии
    T 2 /T 1 ?</x:v>
      </x:c>
      <x:c r="N3570" s="30" t="str">
        <x:v>2</x:v>
      </x:c>
      <x:c r="O3570" s="30" t="str">
        <x:v>Использовано уравнение состояния идеального газа и постоянство указанных параметров.</x:v>
      </x:c>
      <x:c r="P3570" s="30" t="str">
        <x:v>Использовано уравнение состояния идеального газа и постоянство указанных параметров.</x:v>
      </x:c>
      <x:c r="Q3570" s="30"/>
      <x:c r="R3570" s="30" t="str">
        <x:v>Архивный фото-ключ</x:v>
      </x:c>
      <x:c r="S3570" s="30"/>
      <x:c r="T3570" s="30"/>
      <x:c r="U3570" s="30" t="str">
        <x:v>Расхождений не обнаружено.</x:v>
      </x:c>
      <x:c r="V3570" s="87" t="str">
        <x:v>VERIFIED</x:v>
      </x:c>
      <x:c r="W3570" s="87" t="str">
        <x:v>Zadanie_FI11_15102025_.pdf, стр. 21</x:v>
      </x:c>
      <x:c r="X3570" s="87"/>
      <x:c r="Y3570" s="87"/>
      <x:c r="Z3570" s="87"/>
      <x:c r="AA3570" s="87"/>
      <x:c r="AB3570" s="87"/>
      <x:c r="AC3570" s="87" t="str">
        <x:v>VIS-PHYS-OCT-039</x:v>
      </x:c>
      <x:c r="AD3570" s="87"/>
      <x:c r="AE3570" s="87"/>
      <x:c r="AF3570" s="87" t="str">
        <x:v>VIS-PHYS-OCT-039: 21</x:v>
      </x:c>
      <x:c r="AG3570" s="87" t="str">
        <x:v>RESOLVED</x:v>
      </x:c>
      <x:c r="AH3570" s="87" t="str">
        <x:v>CROP_VERIFIED</x:v>
      </x:c>
      <x:c r="AI3570" s="30"/>
      <x:c r="AJ3570" s="87" t="str">
        <x:v>master</x:v>
      </x:c>
      <x:c r="AK3570" s="87" t="str">
        <x:v>master-v0.81</x:v>
      </x:c>
      <x:c r="AL3570" s="87" t="str">
        <x:v>statgrad_master_base_v0_81_final(2).xlsx</x:v>
      </x:c>
      <x:c r="AM3570" s="87" t="str">
        <x:v>PHYS_Oct_V4</x:v>
      </x:c>
      <x:c r="AN3570" s="87" t="n">
        <x:v>8</x:v>
      </x:c>
    </x:row>
    <x:row r="3571">
      <x:c r="A3571" s="87" t="n">
        <x:v>3570</x:v>
      </x:c>
      <x:c r="B3571" s="87" t="str">
        <x:v>OCT-PHYS-104-008</x:v>
      </x:c>
      <x:c r="C3571" s="87" t="str">
        <x:v>СтатГрад</x:v>
      </x:c>
      <x:c r="D3571" s="87" t="str">
        <x:v>Октябрь 2025</x:v>
      </x:c>
      <x:c r="E3571" s="87"/>
      <x:c r="F3571" s="87"/>
      <x:c r="G3571" s="87" t="str">
        <x:v>Физика</x:v>
      </x:c>
      <x:c r="H3571" s="87" t="n">
        <x:v>11</x:v>
      </x:c>
      <x:c r="I3571" s="87" t="str">
        <x:v>ТР №1</x:v>
      </x:c>
      <x:c r="J3571" s="87" t="str">
        <x:v>ФИ2510104</x:v>
      </x:c>
      <x:c r="K3571" s="87" t="n">
        <x:v>8</x:v>
      </x:c>
      <x:c r="L3571" s="87" t="str">
        <x:v>Работа газа</x:v>
      </x:c>
      <x:c r="M3571" s="30" t="str">
        <x:v>На рисунке показаны зависимости давления p гелия от его объёма V для двух
    процессов: 1–2 и 3–4. Чему равно отношение A34/A12 работы гелия в процессе
    3–4 к работе гелия в процессе 1–2?</x:v>
      </x:c>
      <x:c r="N3571" s="30" t="str">
        <x:v>0,9</x:v>
      </x:c>
      <x:c r="O3571" s="30" t="str">
        <x:v>Работа газа определена площадью под соответствующим участком pV-графика.</x:v>
      </x:c>
      <x:c r="P3571" s="30" t="str">
        <x:v>Работа газа определена площадью под соответствующим участком pV-графика.</x:v>
      </x:c>
      <x:c r="Q3571" s="30"/>
      <x:c r="R3571" s="30" t="str">
        <x:v>Архивный фото-ключ</x:v>
      </x:c>
      <x:c r="S3571" s="30"/>
      <x:c r="T3571" s="30"/>
      <x:c r="U3571" s="30" t="str">
        <x:v>Расхождений не обнаружено.</x:v>
      </x:c>
      <x:c r="V3571" s="87" t="str">
        <x:v>VERIFIED</x:v>
      </x:c>
      <x:c r="W3571" s="87" t="str">
        <x:v>Zadanie_FI11_15102025_.pdf, стр. 22</x:v>
      </x:c>
      <x:c r="X3571" s="87"/>
      <x:c r="Y3571" s="87"/>
      <x:c r="Z3571" s="87"/>
      <x:c r="AA3571" s="87"/>
      <x:c r="AB3571" s="87"/>
      <x:c r="AC3571" s="87" t="str">
        <x:v>VIS-PHYS-OCT-040</x:v>
      </x:c>
      <x:c r="AD3571" s="87"/>
      <x:c r="AE3571" s="87"/>
      <x:c r="AF3571" s="87" t="str">
        <x:v>VIS-PHYS-OCT-040: 22</x:v>
      </x:c>
      <x:c r="AG3571" s="87" t="str">
        <x:v>RESOLVED</x:v>
      </x:c>
      <x:c r="AH3571" s="87" t="str">
        <x:v>CROP_VERIFIED; TASK_CROP_QA_APPROVED:USE_CONTEXT</x:v>
      </x:c>
      <x:c r="AI3571" s="30"/>
      <x:c r="AJ3571" s="87" t="str">
        <x:v>master</x:v>
      </x:c>
      <x:c r="AK3571" s="87" t="str">
        <x:v>master-v0.81</x:v>
      </x:c>
      <x:c r="AL3571" s="87" t="str">
        <x:v>statgrad_master_base_v0_81_final(2).xlsx</x:v>
      </x:c>
      <x:c r="AM3571" s="87" t="str">
        <x:v>PHYS_Oct_V4</x:v>
      </x:c>
      <x:c r="AN3571" s="87" t="n">
        <x:v>9</x:v>
      </x:c>
    </x:row>
    <x:row r="3572">
      <x:c r="A3572" s="87" t="n">
        <x:v>3571</x:v>
      </x:c>
      <x:c r="B3572" s="87" t="str">
        <x:v>OCT-PHYS-104-009</x:v>
      </x:c>
      <x:c r="C3572" s="87" t="str">
        <x:v>СтатГрад</x:v>
      </x:c>
      <x:c r="D3572" s="87" t="str">
        <x:v>Октябрь 2025</x:v>
      </x:c>
      <x:c r="E3572" s="87"/>
      <x:c r="F3572" s="87"/>
      <x:c r="G3572" s="87" t="str">
        <x:v>Физика</x:v>
      </x:c>
      <x:c r="H3572" s="87" t="n">
        <x:v>11</x:v>
      </x:c>
      <x:c r="I3572" s="87" t="str">
        <x:v>ТР №1</x:v>
      </x:c>
      <x:c r="J3572" s="87" t="str">
        <x:v>ФИ2510104</x:v>
      </x:c>
      <x:c r="K3572" s="87" t="n">
        <x:v>9</x:v>
      </x:c>
      <x:c r="L3572" s="87" t="str">
        <x:v>Смеси идеальных газов</x:v>
      </x:c>
      <x:c r="M3572" s="30" t="str">
        <x:v>Объём сосуда, содержащего 2 моля водорода, увеличили вдвое, и добавили
    в сосуд 1,5 моля азота. Температуру в сосуде поддерживали постоянной.
    Выберите из предложенного перечня все утверждения, которые верно
    отражают результаты этого опыта. В ответе запишите их номера.
    1) Концентрации водорода и азота в сосуде в конце опыта одинаковы.
    2) Внутренняя энергия водорода не изменилась.
    3) Плотность газа в сосуде увеличилась.
    4) Давление в сосуде уменьшилось.
    5) В конце опыта парциальное давление водорода больше, чем парциальное
       давление азота.</x:v>
      </x:c>
      <x:c r="N3572" s="30" t="str">
        <x:v>235</x:v>
      </x:c>
      <x:c r="O3572" s="30" t="str">
        <x:v>Проверены концентрация, давление, плотность, внутренняя энергия и парциальные давления смеси идеальных газов.</x:v>
      </x:c>
      <x:c r="P3572" s="30" t="str">
        <x:v>Проверены концентрация, давление, плотность, внутренняя энергия и парциальные давления смеси идеальных газов.</x:v>
      </x:c>
      <x:c r="Q3572" s="30"/>
      <x:c r="R3572" s="30" t="str">
        <x:v>Официальная таблица ответов</x:v>
      </x:c>
      <x:c r="S3572" s="30"/>
      <x:c r="T3572" s="30"/>
      <x:c r="U3572" s="30" t="str">
        <x:v>Расхождений не обнаружено.</x:v>
      </x:c>
      <x:c r="V3572" s="87" t="str">
        <x:v>VERIFIED</x:v>
      </x:c>
      <x:c r="W3572" s="87" t="str">
        <x:v>Zadanie_FI11_15102025_.pdf, стр. 22</x:v>
      </x:c>
      <x:c r="X3572" s="87"/>
      <x:c r="Y3572" s="87"/>
      <x:c r="Z3572" s="87"/>
      <x:c r="AA3572" s="87"/>
      <x:c r="AB3572" s="87"/>
      <x:c r="AC3572" s="87" t="str">
        <x:v>VIS-PHYS-OCT-040</x:v>
      </x:c>
      <x:c r="AD3572" s="87"/>
      <x:c r="AE3572" s="87"/>
      <x:c r="AF3572" s="87" t="str">
        <x:v>VIS-PHYS-OCT-040: 22</x:v>
      </x:c>
      <x:c r="AG3572" s="87" t="str">
        <x:v>RESOLVED</x:v>
      </x:c>
      <x:c r="AH3572" s="87" t="str">
        <x:v>CROP_VERIFIED</x:v>
      </x:c>
      <x:c r="AI3572" s="30"/>
      <x:c r="AJ3572" s="87" t="str">
        <x:v>master</x:v>
      </x:c>
      <x:c r="AK3572" s="87" t="str">
        <x:v>master-v0.81</x:v>
      </x:c>
      <x:c r="AL3572" s="87" t="str">
        <x:v>statgrad_master_base_v0_81_final(2).xlsx</x:v>
      </x:c>
      <x:c r="AM3572" s="87" t="str">
        <x:v>PHYS_Oct_V4</x:v>
      </x:c>
      <x:c r="AN3572" s="87" t="n">
        <x:v>10</x:v>
      </x:c>
    </x:row>
    <x:row r="3573">
      <x:c r="A3573" s="87" t="n">
        <x:v>3572</x:v>
      </x:c>
      <x:c r="B3573" s="87" t="str">
        <x:v>OCT-PHYS-104-010</x:v>
      </x:c>
      <x:c r="C3573" s="87" t="str">
        <x:v>СтатГрад</x:v>
      </x:c>
      <x:c r="D3573" s="87" t="str">
        <x:v>Октябрь 2025</x:v>
      </x:c>
      <x:c r="E3573" s="87"/>
      <x:c r="F3573" s="87"/>
      <x:c r="G3573" s="87" t="str">
        <x:v>Физика</x:v>
      </x:c>
      <x:c r="H3573" s="87" t="n">
        <x:v>11</x:v>
      </x:c>
      <x:c r="I3573" s="87" t="str">
        <x:v>ТР №1</x:v>
      </x:c>
      <x:c r="J3573" s="87" t="str">
        <x:v>ФИ2510104</x:v>
      </x:c>
      <x:c r="K3573" s="87" t="n">
        <x:v>10</x:v>
      </x:c>
      <x:c r="L3573" s="87" t="str">
        <x:v>Газовые процессы</x:v>
      </x:c>
      <x:c r="M3573" s="30" t="str">
        <x:v>На рисунках приведены графики А) и Б) двух различных процессов: 1–2 и 3–4,
     происходящих с 1 молем гелия. Графики построены в координатах р–T и p–V,
     где p – давление, V – объём и T – абсолютная температура газа. Установите
     соответствие между графиками и утверждениями, характеризующими
     изображённые на графиках процессы.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                                  УТВЕРЖДЕНИЕ
                               1)    Над газом совершают работу, при этом
                                    его внутренняя энергия увеличивается.
                               2)    Над газом совершают работу, при этом газ отдаёт
                                    положительное количество теплоты.
                               3)    Газ получает положительное количество теплоты
     А)                             и совершает работу.
                               4)    Газ отдаёт положительное количество теплоты,
                                    при этом его внутренняя энергия увеличивается.
     Б)</x:v>
      </x:c>
      <x:c r="N3573" s="30" t="str">
        <x:v>32</x:v>
      </x:c>
      <x:c r="O3573" s="30" t="str">
        <x:v>Каждый график переведён через pV=νRT; установлены знак работы, изменение объёма и температуры.</x:v>
      </x:c>
      <x:c r="P3573" s="30" t="str">
        <x:v>Каждый график переведён через pV=νRT; установлены знак работы, изменение объёма и температуры.</x:v>
      </x:c>
      <x:c r="Q3573" s="30"/>
      <x:c r="R3573" s="30" t="str">
        <x:v>Архивный фото-ключ</x:v>
      </x:c>
      <x:c r="S3573" s="30"/>
      <x:c r="T3573" s="30"/>
      <x:c r="U3573" s="30" t="str">
        <x:v>Расхождений не обнаружено.</x:v>
      </x:c>
      <x:c r="V3573" s="87" t="str">
        <x:v>VERIFIED</x:v>
      </x:c>
      <x:c r="W3573" s="87" t="str">
        <x:v>Zadanie_FI11_15102025_.pdf, стр. 23</x:v>
      </x:c>
      <x:c r="X3573" s="87"/>
      <x:c r="Y3573" s="87"/>
      <x:c r="Z3573" s="87"/>
      <x:c r="AA3573" s="87"/>
      <x:c r="AB3573" s="87"/>
      <x:c r="AC3573" s="87" t="str">
        <x:v>VIS-PHYS-OCT-041</x:v>
      </x:c>
      <x:c r="AD3573" s="87"/>
      <x:c r="AE3573" s="87"/>
      <x:c r="AF3573" s="87" t="str">
        <x:v>VIS-PHYS-OCT-041: 23</x:v>
      </x:c>
      <x:c r="AG3573" s="87" t="str">
        <x:v>RESOLVED</x:v>
      </x:c>
      <x:c r="AH3573" s="87" t="str">
        <x:v>CROP_VERIFIED; TASK_CROP_QA_APPROVED:USE_CONTEXT</x:v>
      </x:c>
      <x:c r="AI3573" s="30"/>
      <x:c r="AJ3573" s="87" t="str">
        <x:v>master</x:v>
      </x:c>
      <x:c r="AK3573" s="87" t="str">
        <x:v>master-v0.81</x:v>
      </x:c>
      <x:c r="AL3573" s="87" t="str">
        <x:v>statgrad_master_base_v0_81_final(2).xlsx</x:v>
      </x:c>
      <x:c r="AM3573" s="87" t="str">
        <x:v>PHYS_Oct_V4</x:v>
      </x:c>
      <x:c r="AN3573" s="87" t="n">
        <x:v>11</x:v>
      </x:c>
    </x:row>
    <x:row r="3574">
      <x:c r="A3574" s="87" t="n">
        <x:v>3573</x:v>
      </x:c>
      <x:c r="B3574" s="87" t="str">
        <x:v>OCT-PHYS-104-011</x:v>
      </x:c>
      <x:c r="C3574" s="87" t="str">
        <x:v>СтатГрад</x:v>
      </x:c>
      <x:c r="D3574" s="87" t="str">
        <x:v>Октябрь 2025</x:v>
      </x:c>
      <x:c r="E3574" s="87"/>
      <x:c r="F3574" s="87"/>
      <x:c r="G3574" s="87" t="str">
        <x:v>Физика</x:v>
      </x:c>
      <x:c r="H3574" s="87" t="n">
        <x:v>11</x:v>
      </x:c>
      <x:c r="I3574" s="87" t="str">
        <x:v>ТР №1</x:v>
      </x:c>
      <x:c r="J3574" s="87" t="str">
        <x:v>ФИ2510104</x:v>
      </x:c>
      <x:c r="K3574" s="87" t="n">
        <x:v>11</x:v>
      </x:c>
      <x:c r="L3574" s="87" t="str">
        <x:v>Электростатика</x:v>
      </x:c>
      <x:c r="M3574" s="30" t="str">
        <x:v>Сила взаимодействия между двумя точечными заряженными телами была
     равна 27 мН. Расстояние между ними увеличили в 3 раза, а заряд одного
     из тел увеличили в 4 раза. Определите величину силы кулоновского
     взаимодействия тел в этом случае.
     Ответ: ___________________________ мН.</x:v>
      </x:c>
      <x:c r="N3574" s="30" t="str">
        <x:v>12</x:v>
      </x:c>
      <x:c r="O3574" s="30" t="str">
        <x:v>Использован закон Кулона F∝|q1q2|/r².</x:v>
      </x:c>
      <x:c r="P3574" s="30" t="str">
        <x:v>Использован закон Кулона F∝|q1q2|/r².</x:v>
      </x:c>
      <x:c r="Q3574" s="30"/>
      <x:c r="R3574" s="30" t="str">
        <x:v>Архивный фото-ключ</x:v>
      </x:c>
      <x:c r="S3574" s="30"/>
      <x:c r="T3574" s="30"/>
      <x:c r="U3574" s="30" t="str">
        <x:v>Расхождений не обнаружено.</x:v>
      </x:c>
      <x:c r="V3574" s="87" t="str">
        <x:v>VERIFIED</x:v>
      </x:c>
      <x:c r="W3574" s="87" t="str">
        <x:v>Zadanie_FI11_15102025_.pdf, стр. 23</x:v>
      </x:c>
      <x:c r="X3574" s="87"/>
      <x:c r="Y3574" s="87"/>
      <x:c r="Z3574" s="87"/>
      <x:c r="AA3574" s="87"/>
      <x:c r="AB3574" s="87"/>
      <x:c r="AC3574" s="87" t="str">
        <x:v>VIS-PHYS-OCT-041</x:v>
      </x:c>
      <x:c r="AD3574" s="87"/>
      <x:c r="AE3574" s="87"/>
      <x:c r="AF3574" s="87" t="str">
        <x:v>VIS-PHYS-OCT-041: 23</x:v>
      </x:c>
      <x:c r="AG3574" s="87" t="str">
        <x:v>RESOLVED</x:v>
      </x:c>
      <x:c r="AH3574" s="87" t="str">
        <x:v>CROP_VERIFIED</x:v>
      </x:c>
      <x:c r="AI3574" s="30"/>
      <x:c r="AJ3574" s="87" t="str">
        <x:v>master</x:v>
      </x:c>
      <x:c r="AK3574" s="87" t="str">
        <x:v>master-v0.81</x:v>
      </x:c>
      <x:c r="AL3574" s="87" t="str">
        <x:v>statgrad_master_base_v0_81_final(2).xlsx</x:v>
      </x:c>
      <x:c r="AM3574" s="87" t="str">
        <x:v>PHYS_Oct_V4</x:v>
      </x:c>
      <x:c r="AN3574" s="87" t="n">
        <x:v>12</x:v>
      </x:c>
    </x:row>
    <x:row r="3575">
      <x:c r="A3575" s="87" t="n">
        <x:v>3574</x:v>
      </x:c>
      <x:c r="B3575" s="87" t="str">
        <x:v>OCT-PHYS-104-012</x:v>
      </x:c>
      <x:c r="C3575" s="87" t="str">
        <x:v>СтатГрад</x:v>
      </x:c>
      <x:c r="D3575" s="87" t="str">
        <x:v>Октябрь 2025</x:v>
      </x:c>
      <x:c r="E3575" s="87"/>
      <x:c r="F3575" s="87"/>
      <x:c r="G3575" s="87" t="str">
        <x:v>Физика</x:v>
      </x:c>
      <x:c r="H3575" s="87" t="n">
        <x:v>11</x:v>
      </x:c>
      <x:c r="I3575" s="87" t="str">
        <x:v>ТР №1</x:v>
      </x:c>
      <x:c r="J3575" s="87" t="str">
        <x:v>ФИ2510104</x:v>
      </x:c>
      <x:c r="K3575" s="87" t="n">
        <x:v>12</x:v>
      </x:c>
      <x:c r="L3575" s="87" t="str">
        <x:v>Электромагнитная индукция</x:v>
      </x:c>
      <x:c r="M3575" s="30" t="str">
        <x:v>При скорости V 1 поступательного движения прямолинейного проводника
     в постоянном однородном магнитном поле между концами проводника
     возникает разность потенциалов U. При движении этого проводника в этом
     же магнитном поле, в той же плоскости и в том же направлении со скоростью
     V 2 разность потенциалов между концами проводника уменьшилась в 1,6 раза.
     Чему равно отношение скоростей V 1 /V 2 ?</x:v>
      </x:c>
      <x:c r="N3575" s="30" t="str">
        <x:v>1,6</x:v>
      </x:c>
      <x:c r="O3575" s="30" t="str">
        <x:v>ЭДС движения пропорциональна скорости проводника при неизменных B, длине и ориентации.</x:v>
      </x:c>
      <x:c r="P3575" s="30" t="str">
        <x:v>ЭДС движения пропорциональна скорости проводника при неизменных B, длине и ориентации.</x:v>
      </x:c>
      <x:c r="Q3575" s="30"/>
      <x:c r="R3575" s="30" t="str">
        <x:v>Архивный фото-ключ</x:v>
      </x:c>
      <x:c r="S3575" s="30"/>
      <x:c r="T3575" s="30"/>
      <x:c r="U3575" s="30" t="str">
        <x:v>Расхождений не обнаружено.</x:v>
      </x:c>
      <x:c r="V3575" s="87" t="str">
        <x:v>VERIFIED</x:v>
      </x:c>
      <x:c r="W3575" s="87" t="str">
        <x:v>Zadanie_FI11_15102025_.pdf, стр. 24</x:v>
      </x:c>
      <x:c r="X3575" s="87"/>
      <x:c r="Y3575" s="87"/>
      <x:c r="Z3575" s="87"/>
      <x:c r="AA3575" s="87"/>
      <x:c r="AB3575" s="87"/>
      <x:c r="AC3575" s="87" t="str">
        <x:v>VIS-PHYS-OCT-042</x:v>
      </x:c>
      <x:c r="AD3575" s="87"/>
      <x:c r="AE3575" s="87"/>
      <x:c r="AF3575" s="87" t="str">
        <x:v>VIS-PHYS-OCT-042: 24</x:v>
      </x:c>
      <x:c r="AG3575" s="87" t="str">
        <x:v>RESOLVED</x:v>
      </x:c>
      <x:c r="AH3575" s="87" t="str">
        <x:v>CROP_VERIFIED</x:v>
      </x:c>
      <x:c r="AI3575" s="30"/>
      <x:c r="AJ3575" s="87" t="str">
        <x:v>master</x:v>
      </x:c>
      <x:c r="AK3575" s="87" t="str">
        <x:v>master-v0.81</x:v>
      </x:c>
      <x:c r="AL3575" s="87" t="str">
        <x:v>statgrad_master_base_v0_81_final(2).xlsx</x:v>
      </x:c>
      <x:c r="AM3575" s="87" t="str">
        <x:v>PHYS_Oct_V4</x:v>
      </x:c>
      <x:c r="AN3575" s="87" t="n">
        <x:v>13</x:v>
      </x:c>
    </x:row>
    <x:row r="3576">
      <x:c r="A3576" s="87" t="n">
        <x:v>3575</x:v>
      </x:c>
      <x:c r="B3576" s="87" t="str">
        <x:v>OCT-PHYS-104-013</x:v>
      </x:c>
      <x:c r="C3576" s="87" t="str">
        <x:v>СтатГрад</x:v>
      </x:c>
      <x:c r="D3576" s="87" t="str">
        <x:v>Октябрь 2025</x:v>
      </x:c>
      <x:c r="E3576" s="87"/>
      <x:c r="F3576" s="87"/>
      <x:c r="G3576" s="87" t="str">
        <x:v>Физика</x:v>
      </x:c>
      <x:c r="H3576" s="87" t="n">
        <x:v>11</x:v>
      </x:c>
      <x:c r="I3576" s="87" t="str">
        <x:v>ТР №1</x:v>
      </x:c>
      <x:c r="J3576" s="87" t="str">
        <x:v>ФИ2510104</x:v>
      </x:c>
      <x:c r="K3576" s="87" t="n">
        <x:v>13</x:v>
      </x:c>
      <x:c r="L3576" s="87" t="str">
        <x:v>Геометрическая оптика</x:v>
      </x:c>
      <x:c r="M3576" s="30" t="str">
        <x:v>Луч света падает на плоское зеркало. Угол между падающим и отражённым
     лучами равен 35°. Чему равен угол между падающим лучом и зеркалом?</x:v>
      </x:c>
      <x:c r="N3576" s="30" t="str">
        <x:v>72,5</x:v>
      </x:c>
      <x:c r="O3576" s="30" t="str">
        <x:v>По закону отражения угол между лучами равен удвоенному углу падения; затем найден угол с плоскостью зеркала.</x:v>
      </x:c>
      <x:c r="P3576" s="30" t="str">
        <x:v>По закону отражения угол между лучами равен удвоенному углу падения; затем найден угол с плоскостью зеркала.</x:v>
      </x:c>
      <x:c r="Q3576" s="30"/>
      <x:c r="R3576" s="30" t="str">
        <x:v>Архивный фото-ключ</x:v>
      </x:c>
      <x:c r="S3576" s="30"/>
      <x:c r="T3576" s="30"/>
      <x:c r="U3576" s="30" t="str">
        <x:v>Расхождений не обнаружено.</x:v>
      </x:c>
      <x:c r="V3576" s="87" t="str">
        <x:v>VERIFIED</x:v>
      </x:c>
      <x:c r="W3576" s="87" t="str">
        <x:v>Zadanie_FI11_15102025_.pdf, стр. 24</x:v>
      </x:c>
      <x:c r="X3576" s="87"/>
      <x:c r="Y3576" s="87"/>
      <x:c r="Z3576" s="87"/>
      <x:c r="AA3576" s="87"/>
      <x:c r="AB3576" s="87"/>
      <x:c r="AC3576" s="87" t="str">
        <x:v>VIS-PHYS-OCT-042</x:v>
      </x:c>
      <x:c r="AD3576" s="87"/>
      <x:c r="AE3576" s="87"/>
      <x:c r="AF3576" s="87" t="str">
        <x:v>VIS-PHYS-OCT-042: 24</x:v>
      </x:c>
      <x:c r="AG3576" s="87" t="str">
        <x:v>RESOLVED</x:v>
      </x:c>
      <x:c r="AH3576" s="87" t="str">
        <x:v>CROP_VERIFIED</x:v>
      </x:c>
      <x:c r="AI3576" s="30"/>
      <x:c r="AJ3576" s="87" t="str">
        <x:v>master</x:v>
      </x:c>
      <x:c r="AK3576" s="87" t="str">
        <x:v>master-v0.81</x:v>
      </x:c>
      <x:c r="AL3576" s="87" t="str">
        <x:v>statgrad_master_base_v0_81_final(2).xlsx</x:v>
      </x:c>
      <x:c r="AM3576" s="87" t="str">
        <x:v>PHYS_Oct_V4</x:v>
      </x:c>
      <x:c r="AN3576" s="87" t="n">
        <x:v>14</x:v>
      </x:c>
    </x:row>
    <x:row r="3577">
      <x:c r="A3577" s="87" t="n">
        <x:v>3576</x:v>
      </x:c>
      <x:c r="B3577" s="87" t="str">
        <x:v>OCT-PHYS-104-014</x:v>
      </x:c>
      <x:c r="C3577" s="87" t="str">
        <x:v>СтатГрад</x:v>
      </x:c>
      <x:c r="D3577" s="87" t="str">
        <x:v>Октябрь 2025</x:v>
      </x:c>
      <x:c r="E3577" s="87"/>
      <x:c r="F3577" s="87"/>
      <x:c r="G3577" s="87" t="str">
        <x:v>Физика</x:v>
      </x:c>
      <x:c r="H3577" s="87" t="n">
        <x:v>11</x:v>
      </x:c>
      <x:c r="I3577" s="87" t="str">
        <x:v>ТР №1</x:v>
      </x:c>
      <x:c r="J3577" s="87" t="str">
        <x:v>ФИ2510104</x:v>
      </x:c>
      <x:c r="K3577" s="87" t="n">
        <x:v>14</x:v>
      </x:c>
      <x:c r="L3577" s="87" t="str">
        <x:v>Переходные процессы в RC-цепи</x:v>
      </x:c>
      <x:c r="M3577" s="30" t="str">
        <x:v>Незаряженный конденсатор подключён к батарейке последовательно
     с резистором сопротивлением R = 40 Ом (см. рисунок). В момент времени
     t = 0 ключ К замыкают. Результаты измерений силы тока I в цепи
     в зависимости от времени t представлены в таблице.
                       t, с      0   1        2     3      4     5      6
                       I, мА     150 55       20    7,5    2,5   1      0,5
     Внутренним сопротивлением батарейки, сопротивлением проводов и ключа
     можно пренебречь.
     Выберите все верные утверждения о процессах, наблюдаемых в опыте.
     В ответе запишите их номера.
     1) Сила тока в резисторе в процессе наблюдения увеличивается.
     2) Через 6 с после замыкания ключа конденсатор полностью зарядился.
     3) ЭДС источника тока равна 6 В.
     4) Энергия конденсатора в процессе наблюдения увеличивалась.
     5) В момент времени t = 3 с напряжение на конденсаторе равно 5 В.</x:v>
      </x:c>
      <x:c r="N3577" s="30" t="str">
        <x:v>34</x:v>
      </x:c>
      <x:c r="O3577" s="30" t="str">
        <x:v>По таблице зарядки RC-цепи проверены начальный ток, ЭДС источника и характер изменения энергии/заряда.</x:v>
      </x:c>
      <x:c r="P3577" s="30" t="str">
        <x:v>По таблице зарядки RC-цепи проверены начальный ток, ЭДС источника и характер изменения энергии/заряда.</x:v>
      </x:c>
      <x:c r="Q3577" s="30"/>
      <x:c r="R3577" s="30" t="str">
        <x:v>Официальная таблица ответов</x:v>
      </x:c>
      <x:c r="S3577" s="30"/>
      <x:c r="T3577" s="30"/>
      <x:c r="U3577" s="30" t="str">
        <x:v>Расхождений не обнаружено.</x:v>
      </x:c>
      <x:c r="V3577" s="87" t="str">
        <x:v>VERIFIED</x:v>
      </x:c>
      <x:c r="W3577" s="87" t="str">
        <x:v>Zadanie_FI11_15102025_.pdf, стр. 24</x:v>
      </x:c>
      <x:c r="X3577" s="87"/>
      <x:c r="Y3577" s="87"/>
      <x:c r="Z3577" s="87"/>
      <x:c r="AA3577" s="87"/>
      <x:c r="AB3577" s="87"/>
      <x:c r="AC3577" s="87" t="str">
        <x:v>VIS-PHYS-OCT-042</x:v>
      </x:c>
      <x:c r="AD3577" s="87"/>
      <x:c r="AE3577" s="87"/>
      <x:c r="AF3577" s="87" t="str">
        <x:v>VIS-PHYS-OCT-042: 24</x:v>
      </x:c>
      <x:c r="AG3577" s="87" t="str">
        <x:v>RESOLVED</x:v>
      </x:c>
      <x:c r="AH3577" s="87" t="str">
        <x:v>CROP_VERIFIED; TASK_CROP_QA_APPROVED:USE_CONTEXT</x:v>
      </x:c>
      <x:c r="AI3577" s="30"/>
      <x:c r="AJ3577" s="87" t="str">
        <x:v>master</x:v>
      </x:c>
      <x:c r="AK3577" s="87" t="str">
        <x:v>master-v0.81</x:v>
      </x:c>
      <x:c r="AL3577" s="87" t="str">
        <x:v>statgrad_master_base_v0_81_final(2).xlsx</x:v>
      </x:c>
      <x:c r="AM3577" s="87" t="str">
        <x:v>PHYS_Oct_V4</x:v>
      </x:c>
      <x:c r="AN3577" s="87" t="n">
        <x:v>15</x:v>
      </x:c>
    </x:row>
    <x:row r="3578">
      <x:c r="A3578" s="87" t="n">
        <x:v>3577</x:v>
      </x:c>
      <x:c r="B3578" s="87" t="str">
        <x:v>OCT-PHYS-104-015</x:v>
      </x:c>
      <x:c r="C3578" s="87" t="str">
        <x:v>СтатГрад</x:v>
      </x:c>
      <x:c r="D3578" s="87" t="str">
        <x:v>Октябрь 2025</x:v>
      </x:c>
      <x:c r="E3578" s="87"/>
      <x:c r="F3578" s="87"/>
      <x:c r="G3578" s="87" t="str">
        <x:v>Физика</x:v>
      </x:c>
      <x:c r="H3578" s="87" t="n">
        <x:v>11</x:v>
      </x:c>
      <x:c r="I3578" s="87" t="str">
        <x:v>ТР №1</x:v>
      </x:c>
      <x:c r="J3578" s="87" t="str">
        <x:v>ФИ2510104</x:v>
      </x:c>
      <x:c r="K3578" s="87" t="n">
        <x:v>15</x:v>
      </x:c>
      <x:c r="L3578" s="87" t="str">
        <x:v>Постоянный ток</x:v>
      </x:c>
      <x:c r="M3578" s="30" t="str">
        <x:v>Цилиндрическая проволока подключена к источнику постоянного
     напряжения, величину которого можно регулировать. Как изменятся при
     уменьшении длины проволоки в 4 раза и увеличении напряжения в 2 раза
     следующие величины: тепловая мощность, выделяющаяся в проволоке,
     и её электрическое сопротивление?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Тепловая мощность, выделяющаяся                 Электрическое сопротивление
                в проволоке                                  проволоки</x:v>
      </x:c>
      <x:c r="N3578" s="30" t="str">
        <x:v>12</x:v>
      </x:c>
      <x:c r="O3578" s="30" t="str">
        <x:v>Сопротивление R=ρl/S и мощность P=I²R либо P=U²/R пересчитаны после изменения параметров.</x:v>
      </x:c>
      <x:c r="P3578" s="30" t="str">
        <x:v>Сопротивление R=ρl/S и мощность P=I²R либо P=U²/R пересчитаны после изменения параметров.</x:v>
      </x:c>
      <x:c r="Q3578" s="30"/>
      <x:c r="R3578" s="30" t="str">
        <x:v>Архивный фото-ключ</x:v>
      </x:c>
      <x:c r="S3578" s="30"/>
      <x:c r="T3578" s="30"/>
      <x:c r="U3578" s="30" t="str">
        <x:v>Расхождений не обнаружено.</x:v>
      </x:c>
      <x:c r="V3578" s="87" t="str">
        <x:v>VERIFIED</x:v>
      </x:c>
      <x:c r="W3578" s="87" t="str">
        <x:v>Zadanie_FI11_15102025_.pdf, стр. 25</x:v>
      </x:c>
      <x:c r="X3578" s="87"/>
      <x:c r="Y3578" s="87"/>
      <x:c r="Z3578" s="87"/>
      <x:c r="AA3578" s="87"/>
      <x:c r="AB3578" s="87"/>
      <x:c r="AC3578" s="87" t="str">
        <x:v>VIS-PHYS-OCT-043</x:v>
      </x:c>
      <x:c r="AD3578" s="87"/>
      <x:c r="AE3578" s="87"/>
      <x:c r="AF3578" s="87" t="str">
        <x:v>VIS-PHYS-OCT-043: 25</x:v>
      </x:c>
      <x:c r="AG3578" s="87" t="str">
        <x:v>RESOLVED</x:v>
      </x:c>
      <x:c r="AH3578" s="87" t="str">
        <x:v>CROP_VERIFIED</x:v>
      </x:c>
      <x:c r="AI3578" s="30"/>
      <x:c r="AJ3578" s="87" t="str">
        <x:v>master</x:v>
      </x:c>
      <x:c r="AK3578" s="87" t="str">
        <x:v>master-v0.81</x:v>
      </x:c>
      <x:c r="AL3578" s="87" t="str">
        <x:v>statgrad_master_base_v0_81_final(2).xlsx</x:v>
      </x:c>
      <x:c r="AM3578" s="87" t="str">
        <x:v>PHYS_Oct_V4</x:v>
      </x:c>
      <x:c r="AN3578" s="87" t="n">
        <x:v>16</x:v>
      </x:c>
    </x:row>
    <x:row r="3579">
      <x:c r="A3579" s="87" t="n">
        <x:v>3578</x:v>
      </x:c>
      <x:c r="B3579" s="87" t="str">
        <x:v>OCT-PHYS-104-016</x:v>
      </x:c>
      <x:c r="C3579" s="87" t="str">
        <x:v>СтатГрад</x:v>
      </x:c>
      <x:c r="D3579" s="87" t="str">
        <x:v>Октябрь 2025</x:v>
      </x:c>
      <x:c r="E3579" s="87"/>
      <x:c r="F3579" s="87"/>
      <x:c r="G3579" s="87" t="str">
        <x:v>Физика</x:v>
      </x:c>
      <x:c r="H3579" s="87" t="n">
        <x:v>11</x:v>
      </x:c>
      <x:c r="I3579" s="87" t="str">
        <x:v>ТР №1</x:v>
      </x:c>
      <x:c r="J3579" s="87" t="str">
        <x:v>ФИ2510104</x:v>
      </x:c>
      <x:c r="K3579" s="87" t="n">
        <x:v>16</x:v>
      </x:c>
      <x:c r="L3579" s="87" t="str">
        <x:v>Ядерная физика</x:v>
      </x:c>
      <x:c r="M3579" s="30" t="str">
        <x:v>Ядро бора может захватить альфа-частицу, в результате чего происходит
     ядерная реакция 42 He+115B→ AZ X + 01n с образованием ядра химического элемента
     Z X . Чему равен заряд образовавшегося ядра?
     A</x:v>
      </x:c>
      <x:c r="N3579" s="30" t="str">
        <x:v>7</x:v>
      </x:c>
      <x:c r="O3579" s="30" t="str">
        <x:v>Применены законы сохранения массового и зарядового чисел в ядерной реакции.</x:v>
      </x:c>
      <x:c r="P3579" s="30" t="str">
        <x:v>Применены законы сохранения массового и зарядового чисел в ядерной реакции.</x:v>
      </x:c>
      <x:c r="Q3579" s="30"/>
      <x:c r="R3579" s="30" t="str">
        <x:v>Архивный фото-ключ</x:v>
      </x:c>
      <x:c r="S3579" s="30"/>
      <x:c r="T3579" s="30"/>
      <x:c r="U3579" s="30" t="str">
        <x:v>Расхождений не обнаружено.</x:v>
      </x:c>
      <x:c r="V3579" s="87" t="str">
        <x:v>VERIFIED</x:v>
      </x:c>
      <x:c r="W3579" s="87" t="str">
        <x:v>Zadanie_FI11_15102025_.pdf, стр. 25</x:v>
      </x:c>
      <x:c r="X3579" s="87"/>
      <x:c r="Y3579" s="87"/>
      <x:c r="Z3579" s="87"/>
      <x:c r="AA3579" s="87"/>
      <x:c r="AB3579" s="87"/>
      <x:c r="AC3579" s="87" t="str">
        <x:v>VIS-PHYS-OCT-043</x:v>
      </x:c>
      <x:c r="AD3579" s="87"/>
      <x:c r="AE3579" s="87"/>
      <x:c r="AF3579" s="87" t="str">
        <x:v>VIS-PHYS-OCT-043: 25</x:v>
      </x:c>
      <x:c r="AG3579" s="87" t="str">
        <x:v>RESOLVED</x:v>
      </x:c>
      <x:c r="AH3579" s="87" t="str">
        <x:v>CROP_VERIFIED</x:v>
      </x:c>
      <x:c r="AI3579" s="30"/>
      <x:c r="AJ3579" s="87" t="str">
        <x:v>master</x:v>
      </x:c>
      <x:c r="AK3579" s="87" t="str">
        <x:v>master-v0.81</x:v>
      </x:c>
      <x:c r="AL3579" s="87" t="str">
        <x:v>statgrad_master_base_v0_81_final(2).xlsx</x:v>
      </x:c>
      <x:c r="AM3579" s="87" t="str">
        <x:v>PHYS_Oct_V4</x:v>
      </x:c>
      <x:c r="AN3579" s="87" t="n">
        <x:v>17</x:v>
      </x:c>
    </x:row>
    <x:row r="3580">
      <x:c r="A3580" s="87" t="n">
        <x:v>3579</x:v>
      </x:c>
      <x:c r="B3580" s="87" t="str">
        <x:v>OCT-PHYS-104-017</x:v>
      </x:c>
      <x:c r="C3580" s="87" t="str">
        <x:v>СтатГрад</x:v>
      </x:c>
      <x:c r="D3580" s="87" t="str">
        <x:v>Октябрь 2025</x:v>
      </x:c>
      <x:c r="E3580" s="87"/>
      <x:c r="F3580" s="87"/>
      <x:c r="G3580" s="87" t="str">
        <x:v>Физика</x:v>
      </x:c>
      <x:c r="H3580" s="87" t="n">
        <x:v>11</x:v>
      </x:c>
      <x:c r="I3580" s="87" t="str">
        <x:v>ТР №1</x:v>
      </x:c>
      <x:c r="J3580" s="87" t="str">
        <x:v>ФИ2510104</x:v>
      </x:c>
      <x:c r="K3580" s="87" t="n">
        <x:v>17</x:v>
      </x:c>
      <x:c r="L3580" s="87" t="str">
        <x:v>Фотоэффект</x:v>
      </x:c>
      <x:c r="M3580" s="30" t="str">
        <x:v>При исследовании зависимости максимальной кинетической энергии
     фотоэлектронов от длины волны падающего света фотоэлемент освещали
     через светофильтры. В первой серии опытов использовали светофильтр,
     пропускающий только синий свет, а во второй – только зелёный. В каждом
     опыте наблюдали явление фотоэффекта.
     Как изменятся длина световой волны и работа выхода фотоэлектронов
     при переходе от первой серии опытов ко второй?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Длина волны света,                       Работа выхода фотоэлектронов
          падающего на фотоэлемент</x:v>
      </x:c>
      <x:c r="N3580" s="30" t="str">
        <x:v>13</x:v>
      </x:c>
      <x:c r="O3580" s="30" t="str">
        <x:v>Использовано уравнение Эйнштейна для фотоэффекта и соотношение ν=c/λ.</x:v>
      </x:c>
      <x:c r="P3580" s="30" t="str">
        <x:v>Использовано уравнение Эйнштейна для фотоэффекта и соотношение ν=c/λ.</x:v>
      </x:c>
      <x:c r="Q3580" s="30"/>
      <x:c r="R3580" s="30" t="str">
        <x:v>Архивный фото-ключ</x:v>
      </x:c>
      <x:c r="S3580" s="30"/>
      <x:c r="T3580" s="30"/>
      <x:c r="U3580" s="30" t="str">
        <x:v>Расхождений не обнаружено.</x:v>
      </x:c>
      <x:c r="V3580" s="87" t="str">
        <x:v>VERIFIED</x:v>
      </x:c>
      <x:c r="W3580" s="87" t="str">
        <x:v>Zadanie_FI11_15102025_.pdf, стр. 25</x:v>
      </x:c>
      <x:c r="X3580" s="87"/>
      <x:c r="Y3580" s="87"/>
      <x:c r="Z3580" s="87"/>
      <x:c r="AA3580" s="87"/>
      <x:c r="AB3580" s="87"/>
      <x:c r="AC3580" s="87" t="str">
        <x:v>VIS-PHYS-OCT-043</x:v>
      </x:c>
      <x:c r="AD3580" s="87"/>
      <x:c r="AE3580" s="87"/>
      <x:c r="AF3580" s="87" t="str">
        <x:v>VIS-PHYS-OCT-043: 25</x:v>
      </x:c>
      <x:c r="AG3580" s="87" t="str">
        <x:v>RESOLVED</x:v>
      </x:c>
      <x:c r="AH3580" s="87" t="str">
        <x:v>CROP_VERIFIED; TASK_CROP_NO_CROP_NEEDED</x:v>
      </x:c>
      <x:c r="AI3580" s="30"/>
      <x:c r="AJ3580" s="87" t="str">
        <x:v>master</x:v>
      </x:c>
      <x:c r="AK3580" s="87" t="str">
        <x:v>master-v0.81</x:v>
      </x:c>
      <x:c r="AL3580" s="87" t="str">
        <x:v>statgrad_master_base_v0_81_final(2).xlsx</x:v>
      </x:c>
      <x:c r="AM3580" s="87" t="str">
        <x:v>PHYS_Oct_V4</x:v>
      </x:c>
      <x:c r="AN3580" s="87" t="n">
        <x:v>18</x:v>
      </x:c>
    </x:row>
    <x:row r="3581">
      <x:c r="A3581" s="87" t="n">
        <x:v>3580</x:v>
      </x:c>
      <x:c r="B3581" s="87" t="str">
        <x:v>OCT-PHYS-104-018</x:v>
      </x:c>
      <x:c r="C3581" s="87" t="str">
        <x:v>СтатГрад</x:v>
      </x:c>
      <x:c r="D3581" s="87" t="str">
        <x:v>Октябрь 2025</x:v>
      </x:c>
      <x:c r="E3581" s="87"/>
      <x:c r="F3581" s="87"/>
      <x:c r="G3581" s="87" t="str">
        <x:v>Физика</x:v>
      </x:c>
      <x:c r="H3581" s="87" t="n">
        <x:v>11</x:v>
      </x:c>
      <x:c r="I3581" s="87" t="str">
        <x:v>ТР №1</x:v>
      </x:c>
      <x:c r="J3581" s="87" t="str">
        <x:v>ФИ2510104</x:v>
      </x:c>
      <x:c r="K3581" s="87" t="n">
        <x:v>18</x:v>
      </x:c>
      <x:c r="L3581" s="87" t="str">
        <x:v>Физические закономерности</x:v>
      </x:c>
      <x:c r="M3581" s="30" t="str">
        <x:v>Выберите все верные утверждения о физических явлениях, величинах
     и закономерностях. Запишите цифры, под которыми они указаны.
     1) При свободном падении камня на землю его кинетическая энергия
        уменьшается.
     2) Испарение    жидкости   происходит       при    любых     температурах,
        соответствующих жидкому состоянию данного вещества.
     3) При увеличении напряжения на резисторе сила тока в нём увеличивается.
     4) Если неподвижный магнит находится в катушке, то в ней возникает ЭДС
        индукции.
     5) Нейтральный атом алюминия 2713 Al содержит 27 электронов.</x:v>
      </x:c>
      <x:c r="N3581" s="30" t="str">
        <x:v>23</x:v>
      </x:c>
      <x:c r="O3581" s="30" t="str">
        <x:v>Каждое утверждение проверено по соответствующему физическому закону или определению.</x:v>
      </x:c>
      <x:c r="P3581" s="30" t="str">
        <x:v>Каждое утверждение проверено по соответствующему физическому закону или определению.</x:v>
      </x:c>
      <x:c r="Q3581" s="30"/>
      <x:c r="R3581" s="30" t="str">
        <x:v>Официальная таблица ответов</x:v>
      </x:c>
      <x:c r="S3581" s="30"/>
      <x:c r="T3581" s="30"/>
      <x:c r="U3581" s="30" t="str">
        <x:v>Расхождений не обнаружено.</x:v>
      </x:c>
      <x:c r="V3581" s="87" t="str">
        <x:v>VERIFIED</x:v>
      </x:c>
      <x:c r="W3581" s="87" t="str">
        <x:v>Zadanie_FI11_15102025_.pdf, стр. 26</x:v>
      </x:c>
      <x:c r="X3581" s="87"/>
      <x:c r="Y3581" s="87"/>
      <x:c r="Z3581" s="87"/>
      <x:c r="AA3581" s="87"/>
      <x:c r="AB3581" s="87"/>
      <x:c r="AC3581" s="87" t="str">
        <x:v>VIS-PHYS-OCT-044</x:v>
      </x:c>
      <x:c r="AD3581" s="87"/>
      <x:c r="AE3581" s="87"/>
      <x:c r="AF3581" s="87" t="str">
        <x:v>VIS-PHYS-OCT-044: 26</x:v>
      </x:c>
      <x:c r="AG3581" s="87" t="str">
        <x:v>RESOLVED</x:v>
      </x:c>
      <x:c r="AH3581" s="87" t="str">
        <x:v>CROP_VERIFIED</x:v>
      </x:c>
      <x:c r="AI3581" s="30"/>
      <x:c r="AJ3581" s="87" t="str">
        <x:v>master</x:v>
      </x:c>
      <x:c r="AK3581" s="87" t="str">
        <x:v>master-v0.81</x:v>
      </x:c>
      <x:c r="AL3581" s="87" t="str">
        <x:v>statgrad_master_base_v0_81_final(2).xlsx</x:v>
      </x:c>
      <x:c r="AM3581" s="87" t="str">
        <x:v>PHYS_Oct_V4</x:v>
      </x:c>
      <x:c r="AN3581" s="87" t="n">
        <x:v>19</x:v>
      </x:c>
    </x:row>
    <x:row r="3582">
      <x:c r="A3582" s="87" t="n">
        <x:v>3581</x:v>
      </x:c>
      <x:c r="B3582" s="87" t="str">
        <x:v>OCT-PHYS-104-019</x:v>
      </x:c>
      <x:c r="C3582" s="87" t="str">
        <x:v>СтатГрад</x:v>
      </x:c>
      <x:c r="D3582" s="87" t="str">
        <x:v>Октябрь 2025</x:v>
      </x:c>
      <x:c r="E3582" s="87"/>
      <x:c r="F3582" s="87"/>
      <x:c r="G3582" s="87" t="str">
        <x:v>Физика</x:v>
      </x:c>
      <x:c r="H3582" s="87" t="n">
        <x:v>11</x:v>
      </x:c>
      <x:c r="I3582" s="87" t="str">
        <x:v>ТР №1</x:v>
      </x:c>
      <x:c r="J3582" s="87" t="str">
        <x:v>ФИ2510104</x:v>
      </x:c>
      <x:c r="K3582" s="87" t="n">
        <x:v>19</x:v>
      </x:c>
      <x:c r="L3582" s="87" t="str">
        <x:v>Эксперимент. Измерения</x:v>
      </x:c>
      <x:c r="M3582" s="30" t="str">
        <x:v>Ученик измерял относительную влажность воздуха с
     помощью психрометра – этот прибор состоит из двух
     термометров, колбочка одного из которых обёрнута                     5   0        5   0
     влажной тканью (см. фотографию). Абсолютная
                                                                              °С           °С
                                                                          4   0        4   0
     погрешность измерения температуры равна цене                         3   0        3   0
     деления термометра. Запишите в ответ величину                                     2   0
                                                                          2   0
     показаний   «влажного»   термометра   с    учётом
     погрешности измерений.                                               1   0        1   0
                                                                          0   0        0   0
                                                                          1   0        1   0</x:v>
      </x:c>
      <x:c r="N3582" s="30" t="str">
        <x:v>(16 ± 1)</x:v>
      </x:c>
      <x:c r="O3582" s="30" t="str">
        <x:v>Показание прибора считано по полной фотографии; абсолютная погрешность равна цене деления.</x:v>
      </x:c>
      <x:c r="P3582" s="30" t="str">
        <x:v>Показание прибора считано по полной фотографии; абсолютная погрешность равна цене деления.</x:v>
      </x:c>
      <x:c r="Q3582" s="30"/>
      <x:c r="R3582" s="30" t="str">
        <x:v>Официальная таблица ответов</x:v>
      </x:c>
      <x:c r="S3582" s="30"/>
      <x:c r="T3582" s="30"/>
      <x:c r="U3582" s="30" t="str">
        <x:v>Расхождений не обнаружено.</x:v>
      </x:c>
      <x:c r="V3582" s="87" t="str">
        <x:v>VERIFIED</x:v>
      </x:c>
      <x:c r="W3582" s="87" t="str">
        <x:v>Zadanie_FI11_15102025_.pdf, стр. 26</x:v>
      </x:c>
      <x:c r="X3582" s="87"/>
      <x:c r="Y3582" s="87"/>
      <x:c r="Z3582" s="87"/>
      <x:c r="AA3582" s="87"/>
      <x:c r="AB3582" s="87"/>
      <x:c r="AC3582" s="87" t="str">
        <x:v>VIS-PHYS-OCT-044</x:v>
      </x:c>
      <x:c r="AD3582" s="87"/>
      <x:c r="AE3582" s="87"/>
      <x:c r="AF3582" s="87" t="str">
        <x:v>VIS-PHYS-OCT-044: 26</x:v>
      </x:c>
      <x:c r="AG3582" s="87" t="str">
        <x:v>RESOLVED</x:v>
      </x:c>
      <x:c r="AH3582" s="87" t="str">
        <x:v>CROP_VERIFIED; TASK_CROP_QA_APPROVED:USE_CONTEXT</x:v>
      </x:c>
      <x:c r="AI3582" s="30"/>
      <x:c r="AJ3582" s="87" t="str">
        <x:v>master</x:v>
      </x:c>
      <x:c r="AK3582" s="87" t="str">
        <x:v>master-v0.81</x:v>
      </x:c>
      <x:c r="AL3582" s="87" t="str">
        <x:v>statgrad_master_base_v0_81_final(2).xlsx</x:v>
      </x:c>
      <x:c r="AM3582" s="87" t="str">
        <x:v>PHYS_Oct_V4</x:v>
      </x:c>
      <x:c r="AN3582" s="87" t="n">
        <x:v>20</x:v>
      </x:c>
    </x:row>
    <x:row r="3583">
      <x:c r="A3583" s="87" t="n">
        <x:v>3582</x:v>
      </x:c>
      <x:c r="B3583" s="87" t="str">
        <x:v>OCT-PHYS-104-020</x:v>
      </x:c>
      <x:c r="C3583" s="87" t="str">
        <x:v>СтатГрад</x:v>
      </x:c>
      <x:c r="D3583" s="87" t="str">
        <x:v>Октябрь 2025</x:v>
      </x:c>
      <x:c r="E3583" s="87"/>
      <x:c r="F3583" s="87"/>
      <x:c r="G3583" s="87" t="str">
        <x:v>Физика</x:v>
      </x:c>
      <x:c r="H3583" s="87" t="n">
        <x:v>11</x:v>
      </x:c>
      <x:c r="I3583" s="87" t="str">
        <x:v>ТР №1</x:v>
      </x:c>
      <x:c r="J3583" s="87" t="str">
        <x:v>ФИ2510104</x:v>
      </x:c>
      <x:c r="K3583" s="87" t="n">
        <x:v>20</x:v>
      </x:c>
      <x:c r="L3583" s="87" t="str">
        <x:v>Экспериментальный метод</x:v>
      </x:c>
      <x:c r="M3583" s="30" t="str">
        <x:v>Необходимо экспериментально изучить свойства дифракционного
     спектрометра. В распоряжении экспериментатора имеются спектрометры,
     состоящие из источника света (светодиода), дифракционной решётки
     и экрана. Параметры этих приборов приведены в таблице. Какие два
     спектрометра нужно использовать для того, чтобы на опыте обнаружить
     зависимость расстояния между первыми дифракционными максимумами
     от длины волны света?
     № спектрометра       Светодиод          Количество                    Расстояние
                                            штрихов на мм              от дифракционной
                                              в решётке                решётки до экрана
              1            Красный                50                           2м
              2            Зелёный               100                           3м
              3             Синий                 50                           2м
              4            Красный               200                           3м
              5            Жёлтый                100                          1,5 м
     В ответе запишите номера выбранных спектрометров.</x:v>
      </x:c>
      <x:c r="N3583" s="30" t="str">
        <x:v>13</x:v>
      </x:c>
      <x:c r="O3583" s="30" t="str">
        <x:v>Выбрана пара установок, в которой меняется только исследуемый параметр при одинаковых остальных условиях.</x:v>
      </x:c>
      <x:c r="P3583" s="30" t="str">
        <x:v>Выбрана пара установок, в которой меняется только исследуемый параметр при одинаковых остальных условиях.</x:v>
      </x:c>
      <x:c r="Q3583" s="30"/>
      <x:c r="R3583" s="30" t="str">
        <x:v>Архивный фото-ключ</x:v>
      </x:c>
      <x:c r="S3583" s="30"/>
      <x:c r="T3583" s="30"/>
      <x:c r="U3583" s="30" t="str">
        <x:v>Расхождений не обнаружено.</x:v>
      </x:c>
      <x:c r="V3583" s="87" t="str">
        <x:v>VERIFIED</x:v>
      </x:c>
      <x:c r="W3583" s="87" t="str">
        <x:v>Zadanie_FI11_15102025_.pdf, стр. 27</x:v>
      </x:c>
      <x:c r="X3583" s="87"/>
      <x:c r="Y3583" s="87"/>
      <x:c r="Z3583" s="87"/>
      <x:c r="AA3583" s="87"/>
      <x:c r="AB3583" s="87"/>
      <x:c r="AC3583" s="87" t="str">
        <x:v>VIS-PHYS-OCT-045</x:v>
      </x:c>
      <x:c r="AD3583" s="87"/>
      <x:c r="AE3583" s="87"/>
      <x:c r="AF3583" s="87" t="str">
        <x:v>VIS-PHYS-OCT-045: 27</x:v>
      </x:c>
      <x:c r="AG3583" s="87" t="str">
        <x:v>RESOLVED</x:v>
      </x:c>
      <x:c r="AH3583" s="87" t="str">
        <x:v>CROP_VERIFIED</x:v>
      </x:c>
      <x:c r="AI3583" s="30"/>
      <x:c r="AJ3583" s="87" t="str">
        <x:v>master</x:v>
      </x:c>
      <x:c r="AK3583" s="87" t="str">
        <x:v>master-v0.81</x:v>
      </x:c>
      <x:c r="AL3583" s="87" t="str">
        <x:v>statgrad_master_base_v0_81_final(2).xlsx</x:v>
      </x:c>
      <x:c r="AM3583" s="87" t="str">
        <x:v>PHYS_Oct_V4</x:v>
      </x:c>
      <x:c r="AN3583" s="87" t="n">
        <x:v>21</x:v>
      </x:c>
    </x:row>
    <x:row r="3584">
      <x:c r="A3584" s="87" t="n">
        <x:v>3583</x:v>
      </x:c>
      <x:c r="B3584" s="87" t="str">
        <x:v>OCT-PHYS-104-021</x:v>
      </x:c>
      <x:c r="C3584" s="87" t="str">
        <x:v>СтатГрад</x:v>
      </x:c>
      <x:c r="D3584" s="87" t="str">
        <x:v>Октябрь 2025</x:v>
      </x:c>
      <x:c r="E3584" s="87"/>
      <x:c r="F3584" s="87"/>
      <x:c r="G3584" s="87" t="str">
        <x:v>Физика</x:v>
      </x:c>
      <x:c r="H3584" s="87" t="n">
        <x:v>11</x:v>
      </x:c>
      <x:c r="I3584" s="87" t="str">
        <x:v>ТР №1</x:v>
      </x:c>
      <x:c r="J3584" s="87" t="str">
        <x:v>ФИ2510104</x:v>
      </x:c>
      <x:c r="K3584" s="87" t="n">
        <x:v>21</x:v>
      </x:c>
      <x:c r="L3584" s="87" t="str">
        <x:v>Экспериментальная электродинамика</x:v>
      </x:c>
      <x:c r="M3584" s="30" t="str">
        <x:v>Электрическая цепь состоит из последовательно соединённых лампы Л
     и резистора сопротивлением R = 20 Ом, параллельно которым подключён
     идеальный вольтметр V 2 . Эта цепь питается от регулируемого источника
     напряжения, в состав которого входят батарея, ключ К и потенциометр
     (делитель напряжения) Р. Лаборант замыкает ключ, после чего, передвигая
     ползунок реостата и проводя наблюдения, записывает в таблицу несколько
     показаний V 1 другого идеального вольтметра, подключенного к резистору.
     Показания вольтметра V 2 он записать забывает.
         V1, В           5,0            6,0             7,0            8,0            9,0
         V2, В
     Используя вольт-амперную характеристику лампы, изображённую на рисунке
     2, помогите лаборанту восстановить показания вольтметра V 2 и запишите
     их в таблицу. Решение объясните, опираясь на законы электродинамики.
                   Рис. 1                                          Рис. 2</x:v>
      </x:c>
      <x:c r="N3584" s="30" t="str">
        <x:v>Возможное решение
     1) Пусть I – сила тока в амперметре, Uл – напряжение на лампе, V1 и V2 –
     показания первого и второго вольтметров. В соответствии с законом Ома для
     участка цепи, напряжение на резисторе с сопротивлением R равно
     UR = IR = V1.
     2) Вольтметр V2 показывает сумму падений напряжения на последовательно
     соединённых лампе Л и резисторе: V2 = Uл + IR = Uл + V1. При этом,
     поскольку вольтметр V1 идеальный, через резистор и через лампу течёт один
     и тот же ток силой I.
     3) Показания вольтметра V2 можно восстановить следующим образом. Пусть
     вольтметр V1 показывает напряжение U1 = 5 В. Тогда сила тока, текущего
     через резистор, равна I1 = U1/R = 5/20 = 0,25 А. Напряжение на лампе при
     данном значении силы тока определим с помощью графика – оно равно
     Uл1 = 6 В.     Следовательно,     вольтметр      показывает    напряжение
     V2 = Uл1 + U1 = 6 В + 5 В = 11 В.
     4) Рассматривая аналогично остальные четыре значения напряжения,
                                    согласия СтатГрад запрещена
которые показывает вольтметр V1, вычислим показания вольтметра V2 и
заполним таблицу.
    V1, В          5,0            6,0             7,0            8,0            9,0
    V2, В          11,0           14,0            17,0           21,0           26,0
           Критерии оценивания выполнения задания                 Баллы
Приведено полное правильное решение, включающее правильный          3
ответ (в данном случае: приведена правильно заполненная таблица,
п. 4) и полное верное объяснение (в данном случае: п. 1, 2, 3)
с указанием наблюдаемых явлений и законов в данном случае: закон
Ома для участка цепи, вычисление суммарного падения напряжения
при последовательном соединении элементов, одинаковость силы
тока через элементы при их последовательном соединении, учёт
идеальности вольтметра)
Дан правильный ответ, и приведено объяснение, но в решении          2
имеется один или несколько из следующих недостатков.
В объяснении не указано или не используется одно из физических
явлений, свойств, определений или один из законов (формул),
необходимых для полного верного объяснения. (Утверждение,
лежащее в основе объяснения, не подкреплено соответствующим
законом, свойством, явлением, определением и т.п.)
                             И (ИЛИ)
Указаны все необходимые для объяснения явления и законы,
закономерности, но в них содержится один логический недочёт.
                             И (ИЛИ)
В решении имеются лишние записи, не входящие в решение (возможно,
неверные), которые не отделены от решения и не зачёркнуты.
                             И (ИЛИ)
В решении имеется неточность в указании на одно из физических
явлений, свойств, определений, законов (формул), необходимых для
полного верного объяснения
Представлено решение, соответствующее одному из следующих           1
случаев.
Дан правильный ответ на вопрос задания, и приведено объяснение,
но в нём не указаны два явления или физических закона,
необходимых для полного верного объяснения.
                               ИЛИ
Указаны все необходимые для объяснения явления и законы,
закономерности, но имеющиеся рассуждения, направленные на
получение ответа на вопрос задания, не доведены до конца.
                               ИЛИ
Указаны все необходимые для объяснения явления и законы,
закономерности, но имеющиеся рассуждения, приводящие к ответу,
содержат ошибки.
                               согласия СтатГрад запрещена
                                  ИЛИ
     Указаны не все необходимые для объяснения явления и законы,
     закономерности, но имеются верные рассуждения, направленные на
     решение задачи
     Все случаи решения, которые не соответствуют вышеуказанным                            0
     критериям выставления оценок в 1, 2, 3 балла
                                                  Максимальный балл                        3</x:v>
      </x:c>
      <x:c r="O3584" s="30" t="str">
        <x:v>Экспериментальная таблица восстановлена по закону Ома и вольт-амперной характеристике лампы.</x:v>
      </x:c>
      <x:c r="P3584" s="30" t="str">
        <x:v>Экспериментальная таблица восстановлена по закону Ома и вольт-амперной характеристике лампы.</x:v>
      </x:c>
      <x:c r="Q3584" s="30"/>
      <x:c r="R3584" s="30" t="str">
        <x:v>Официальные критерии оценивания</x:v>
      </x:c>
      <x:c r="S3584" s="30"/>
      <x:c r="T3584" s="30"/>
      <x:c r="U3584" s="30" t="str">
        <x:v>Расхождений не обнаружено.</x:v>
      </x:c>
      <x:c r="V3584" s="87" t="str">
        <x:v>VERIFIED</x:v>
      </x:c>
      <x:c r="W3584" s="87" t="str">
        <x:v>Zadanie_FI11_15102025_.pdf, стр. 28</x:v>
      </x:c>
      <x:c r="X3584" s="87"/>
      <x:c r="Y3584" s="87"/>
      <x:c r="Z3584" s="87"/>
      <x:c r="AA3584" s="87"/>
      <x:c r="AB3584" s="87"/>
      <x:c r="AC3584" s="87" t="str">
        <x:v>VIS-PHYS-OCT-046</x:v>
      </x:c>
      <x:c r="AD3584" s="87"/>
      <x:c r="AE3584" s="87"/>
      <x:c r="AF3584" s="87" t="str">
        <x:v>VIS-PHYS-OCT-046: 28</x:v>
      </x:c>
      <x:c r="AG3584" s="87" t="str">
        <x:v>RESOLVED</x:v>
      </x:c>
      <x:c r="AH3584" s="87" t="str">
        <x:v>CROP_VERIFIED; TASK_CROP_QA_APPROVED:USE_CONTEXT</x:v>
      </x:c>
      <x:c r="AI3584" s="30"/>
      <x:c r="AJ3584" s="87" t="str">
        <x:v>master</x:v>
      </x:c>
      <x:c r="AK3584" s="87" t="str">
        <x:v>master-v0.81</x:v>
      </x:c>
      <x:c r="AL3584" s="87" t="str">
        <x:v>statgrad_master_base_v0_81_final(2).xlsx</x:v>
      </x:c>
      <x:c r="AM3584" s="87" t="str">
        <x:v>PHYS_Oct_V4</x:v>
      </x:c>
      <x:c r="AN3584" s="87" t="n">
        <x:v>22</x:v>
      </x:c>
    </x:row>
    <x:row r="3585">
      <x:c r="A3585" s="87" t="n">
        <x:v>3584</x:v>
      </x:c>
      <x:c r="B3585" s="87" t="str">
        <x:v>OCT-PHYS-104-022</x:v>
      </x:c>
      <x:c r="C3585" s="87" t="str">
        <x:v>СтатГрад</x:v>
      </x:c>
      <x:c r="D3585" s="87" t="str">
        <x:v>Октябрь 2025</x:v>
      </x:c>
      <x:c r="E3585" s="87"/>
      <x:c r="F3585" s="87"/>
      <x:c r="G3585" s="87" t="str">
        <x:v>Физика</x:v>
      </x:c>
      <x:c r="H3585" s="87" t="n">
        <x:v>11</x:v>
      </x:c>
      <x:c r="I3585" s="87" t="str">
        <x:v>ТР №1</x:v>
      </x:c>
      <x:c r="J3585" s="87" t="str">
        <x:v>ФИ2510104</x:v>
      </x:c>
      <x:c r="K3585" s="87" t="n">
        <x:v>22</x:v>
      </x:c>
      <x:c r="L3585" s="87" t="str">
        <x:v>Механика столкновений</x:v>
      </x:c>
      <x:c r="M3585" s="30" t="str">
        <x:v>Небольшие одинаковые почти абсолютно упругие шарики покоятся на прямом
     горизонтальном гладком жёлобе на одинаковых расстояниях друг от друга.
     В некоторый момент первому слева шарику толчком сообщают начальную
     скорость V1 в направлении остальных шариков, после чего происходят
     их последовательные столкновения. После n = 9 соударений оказалось,
     что десятый шарик приобрёл скорость V 10 = 0,8V1. Сколько процентов
     от кинетической энергии движущегося шарика передавалось следующему
     покоящемуся шарику при каждом столкновении?</x:v>
      </x:c>
      <x:c r="N3585" s="30" t="str">
        <x:v>Возможное решение
     1. Поскольку все столкновения шариков происходят в одинаковых условиях,
     можно считать, что и коэффициент x, связывающий скорости шариков после и
     до удара, одинаков для всех столкновений. Поэтому
               V2 = x V1, V3 = x V2 = x2 V1, и т.д., …, V10 = x V9 = x9 V1 = 0,8V1.
     Отсюда x9 = 0,8, и x = 0,81/9 ≈ 0,9755.
     2. При столкновениях не абсолютно упругих тел часть их кинетической
     энергии теряется, превращаясь в теплоту.
     3. Кинетическая энергия Eк шарика массой M равна MV2/2. Поэтому Eк10 = x2
     Eк9 , и процент передачи кинетической энергии от шарика к шарику при каждом
     столкновении равен x2 = 0,82/9 ≈ 0,97552 ≈ 0,9516 ≈ 95,2 %.
     Ответ: Eк(n +1)/Eкn ≈ 0,9516 ≈ 95,2 %
                Критерии оценивания выполнения задания                 Баллы
     Приведено полное решение, включающее следующие элементы:            2
     I) записаны положения теории и физические законы, закономерности,
     применение которых необходимо для решения задачи выбранным
     способом (в данном случае: закон изменения механической энергии,
     связь кинетической энергии с массой и скоростью тела и
     математические соотношения);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согласия СтатГрад запрещена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1
     физические законы, закономерности, и проведены преобразования,
     направленные на решение задачи,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Все случаи решения, которые не соответствуют вышеуказанным                            0
     критериям выставления оценок в 1 или 2 балла
                                                  Максимальный балл                        2</x:v>
      </x:c>
      <x:c r="O3585" s="30" t="str">
        <x:v>Скорости после последовательных столкновений образуют геометрическую прогрессию; доля энергии равна квадрату коэффициента скоростей.</x:v>
      </x:c>
      <x:c r="P3585" s="30" t="str">
        <x:v>Скорости после последовательных столкновений образуют геометрическую прогрессию; доля энергии равна квадрату коэффициента скоростей.</x:v>
      </x:c>
      <x:c r="Q3585" s="30"/>
      <x:c r="R3585" s="30" t="str">
        <x:v>Официальные критерии оценивания</x:v>
      </x:c>
      <x:c r="S3585" s="30"/>
      <x:c r="T3585" s="30"/>
      <x:c r="U3585" s="30" t="str">
        <x:v>Расхождений не обнаружено.</x:v>
      </x:c>
      <x:c r="V3585" s="87" t="str">
        <x:v>VERIFIED</x:v>
      </x:c>
      <x:c r="W3585" s="87" t="str">
        <x:v>Zadanie_FI11_15102025_.pdf, стр. 29</x:v>
      </x:c>
      <x:c r="X3585" s="87"/>
      <x:c r="Y3585" s="87"/>
      <x:c r="Z3585" s="87"/>
      <x:c r="AA3585" s="87"/>
      <x:c r="AB3585" s="87"/>
      <x:c r="AC3585" s="87" t="str">
        <x:v>VIS-PHYS-OCT-047</x:v>
      </x:c>
      <x:c r="AD3585" s="87"/>
      <x:c r="AE3585" s="87"/>
      <x:c r="AF3585" s="87" t="str">
        <x:v>VIS-PHYS-OCT-047: 29</x:v>
      </x:c>
      <x:c r="AG3585" s="87" t="str">
        <x:v>RESOLVED</x:v>
      </x:c>
      <x:c r="AH3585" s="87" t="str">
        <x:v>CROP_VERIFIED</x:v>
      </x:c>
      <x:c r="AI3585" s="30"/>
      <x:c r="AJ3585" s="87" t="str">
        <x:v>master</x:v>
      </x:c>
      <x:c r="AK3585" s="87" t="str">
        <x:v>master-v0.81</x:v>
      </x:c>
      <x:c r="AL3585" s="87" t="str">
        <x:v>statgrad_master_base_v0_81_final(2).xlsx</x:v>
      </x:c>
      <x:c r="AM3585" s="87" t="str">
        <x:v>PHYS_Oct_V4</x:v>
      </x:c>
      <x:c r="AN3585" s="87" t="n">
        <x:v>23</x:v>
      </x:c>
    </x:row>
    <x:row r="3586">
      <x:c r="A3586" s="87" t="n">
        <x:v>3585</x:v>
      </x:c>
      <x:c r="B3586" s="87" t="str">
        <x:v>OCT-PHYS-104-023</x:v>
      </x:c>
      <x:c r="C3586" s="87" t="str">
        <x:v>СтатГрад</x:v>
      </x:c>
      <x:c r="D3586" s="87" t="str">
        <x:v>Октябрь 2025</x:v>
      </x:c>
      <x:c r="E3586" s="87"/>
      <x:c r="F3586" s="87"/>
      <x:c r="G3586" s="87" t="str">
        <x:v>Физика</x:v>
      </x:c>
      <x:c r="H3586" s="87" t="n">
        <x:v>11</x:v>
      </x:c>
      <x:c r="I3586" s="87" t="str">
        <x:v>ТР №1</x:v>
      </x:c>
      <x:c r="J3586" s="87" t="str">
        <x:v>ФИ2510104</x:v>
      </x:c>
      <x:c r="K3586" s="87" t="n">
        <x:v>23</x:v>
      </x:c>
      <x:c r="L3586" s="87" t="str">
        <x:v>Термодинамика</x:v>
      </x:c>
      <x:c r="M3586" s="30" t="str">
        <x:v>В жёстком теплоизолированном сосуде объёмом V = 50 л находится
     ν 1 = 1 моль гелия со среднеквадратичной скоростью движения его атомов,
     равной V 1 = 1400 м/с. В сосуд добавили ν 2 = 0,8 моля гелия с температурой
     T 2 = 330 К. Какое давление p гелия установится в сосуде при достижении
     состояния термодинамического равновесия?</x:v>
      </x:c>
      <x:c r="N3586" s="30" t="str">
        <x:v>Возможное решение
     1. Порции гелия, помещённые в жёсткий теплоизолированный сосуд, не
     совершают работу и не обмениваются количеством теплоты с окружающей
     средой, поэтому из первого закона термодинамики следует, что их
     суммарная внутренняя энергия сохраняется: U = U1 + U2.
     2. Выражения для внутренней энергии двух порций одноатомного
     идеального газа имеют вид: U1 = (3/2) ν1RT1, U2 = (3/2) ν2RT2.
     3. Для дальнейших расчётов необходимо найти температуру T1, связанную со
     среднеквадратичной скоростью V1 движения атомов гелия: μV12/2 = (3/2) RT1,
     откуда
                      T1 = μV12/(3R) = 4⋅10–3⋅14002/(3⋅8,31) ≈ 314,5 К.
     4. Газы в сосуде после перемешивания и установления равновесия
     приобретут температуру T, так что U = U1 + U2 = (3/2) (ν1 + ν2)RT и
            T = (ν1T1 + ν2T2)/(ν1 + ν2) = (1⋅314,5 + 0,8⋅330)/(1 + 0,8) ≈ 321,4 К.
                                    согласия СтатГрад запрещена
5. При этом согласно уравнению Менделеева – Клапейрона давление гелия
в сосуде будет равно p = (ν1 + ν2) RT/V = 1,8⋅8,31⋅321,4/0,05 ≈ 0,96·105 Па.
Ответ: p ≈ 0,96⋅105 Па
           Критерии оценивания выполнения задания                  Баллы
Приведено полное решение, включающее следующие элементы:             2
I) записаны положения теории и физические законы, закономерности,
применение которых необходимо для решения задачи выбранным
способом (в данном случае: уравнение Менделеева – Клапейрона,
первый закон термодинамики, выражение для внутренней энергии
одноатомного идеального газа, связь температуры одноатомного
идеального газа со среднеквадратичной скоростью движения его
атомов);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физические      1
законы, закономерности, и проведены преобразования, направленные
на решение задачи,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Все случаи решения, которые не соответствуют вышеуказанным           0
критериям выставления оценок в 1 или 2 балла
                                                 Максимальный балл   2
                               согласия СтатГрад запрещена</x:v>
      </x:c>
      <x:c r="O3586" s="30" t="str">
        <x:v>Применены сохранение внутренней энергии в теплоизолированном сосуде и связь температуры со среднеквадратичной скоростью.</x:v>
      </x:c>
      <x:c r="P3586" s="30" t="str">
        <x:v>Применены сохранение внутренней энергии в теплоизолированном сосуде и связь температуры со среднеквадратичной скоростью.</x:v>
      </x:c>
      <x:c r="Q3586" s="30"/>
      <x:c r="R3586" s="30" t="str">
        <x:v>Официальные критерии оценивания</x:v>
      </x:c>
      <x:c r="S3586" s="30"/>
      <x:c r="T3586" s="30"/>
      <x:c r="U3586" s="30" t="str">
        <x:v>Расхождений не обнаружено.</x:v>
      </x:c>
      <x:c r="V3586" s="87" t="str">
        <x:v>VERIFIED</x:v>
      </x:c>
      <x:c r="W3586" s="87" t="str">
        <x:v>Zadanie_FI11_15102025_.pdf, стр. 29</x:v>
      </x:c>
      <x:c r="X3586" s="87"/>
      <x:c r="Y3586" s="87"/>
      <x:c r="Z3586" s="87"/>
      <x:c r="AA3586" s="87"/>
      <x:c r="AB3586" s="87"/>
      <x:c r="AC3586" s="87" t="str">
        <x:v>VIS-PHYS-OCT-047</x:v>
      </x:c>
      <x:c r="AD3586" s="87"/>
      <x:c r="AE3586" s="87"/>
      <x:c r="AF3586" s="87" t="str">
        <x:v>VIS-PHYS-OCT-047: 29</x:v>
      </x:c>
      <x:c r="AG3586" s="87" t="str">
        <x:v>RESOLVED</x:v>
      </x:c>
      <x:c r="AH3586" s="87" t="str">
        <x:v>CROP_VERIFIED</x:v>
      </x:c>
      <x:c r="AI3586" s="30"/>
      <x:c r="AJ3586" s="87" t="str">
        <x:v>master</x:v>
      </x:c>
      <x:c r="AK3586" s="87" t="str">
        <x:v>master-v0.81</x:v>
      </x:c>
      <x:c r="AL3586" s="87" t="str">
        <x:v>statgrad_master_base_v0_81_final(2).xlsx</x:v>
      </x:c>
      <x:c r="AM3586" s="87" t="str">
        <x:v>PHYS_Oct_V4</x:v>
      </x:c>
      <x:c r="AN3586" s="87" t="n">
        <x:v>24</x:v>
      </x:c>
    </x:row>
    <x:row r="3587">
      <x:c r="A3587" s="87" t="n">
        <x:v>3586</x:v>
      </x:c>
      <x:c r="B3587" s="87" t="str">
        <x:v>OCT-PHYS-104-024</x:v>
      </x:c>
      <x:c r="C3587" s="87" t="str">
        <x:v>СтатГрад</x:v>
      </x:c>
      <x:c r="D3587" s="87" t="str">
        <x:v>Октябрь 2025</x:v>
      </x:c>
      <x:c r="E3587" s="87"/>
      <x:c r="F3587" s="87"/>
      <x:c r="G3587" s="87" t="str">
        <x:v>Физика</x:v>
      </x:c>
      <x:c r="H3587" s="87" t="n">
        <x:v>11</x:v>
      </x:c>
      <x:c r="I3587" s="87" t="str">
        <x:v>ТР №1</x:v>
      </x:c>
      <x:c r="J3587" s="87" t="str">
        <x:v>ФИ2510104</x:v>
      </x:c>
      <x:c r="K3587" s="87" t="n">
        <x:v>24</x:v>
      </x:c>
      <x:c r="L3587" s="87" t="str">
        <x:v>Тепловой двигатель</x:v>
      </x:c>
      <x:c r="M3587" s="30" t="str">
        <x:v>Идеальный одноатомный газ, количество которого равно ν = 0,05 моля,
     используется в качестве рабочего тела в тепловом двигателе. На pV-
     диаграмме (p – давление газа, V – его объём) показан процесс 1–2–3–4–5–6–1,
     совершаемый газом в течение одного цикла работы двигателя. В качестве
     топлива для данного двигателя используется каменный уголь с удельной
     теплотой сгорания 29,3 МДж/кг, причём рабочее тело получает η = 50 %
     количества теплоты, выделяющегося при сгорании. Температура газа
     в состоянии 4 равна T 4 = 500 К. Какая масса угля сгорает в течение N = 104
     циклов работы двигателя?
                                                                5</x:v>
      </x:c>
      <x:c r="N3587" s="30" t="str">
        <x:v>Возможное решение
     1) Газ получает количество теплоты ∆Q+ на участках 1–2, 2–3 и 4–5 цикла.
     Для нахождения этого количества теплоты воспользуемся выражением для
     внутренней энергии одноатомного идеального газа U = (3/2)pV и тем фактом,
     что работа газа в некотором процессе численно равна площади под участком
     графика, изображающего данный процесс на pV-диаграмме.
     2) Пусть ∆Unm – изменение внутренней энергии при переходе газа из
     состояния «n» в состояние «m», а ∆Anm – работа, совершаемая газом при
     переходе из состояния «n» в состояние «m». В соответствии с первым
     законом термодинамики:
                            ∆Q+ = ∆U13 + ∆A23 + ∆U45 + ∆A45 =
      = (3/2)(3p0⋅2V0 – p0⋅V0) + 3p0V0 + (3/2)(2p0⋅3V0 – 2p0⋅2V0) + 2p0V0 = (31/2)p0V0.
     3) Согласно условию задачи, ∆Q+ = (31/2)p0V0 = ηqm, где m – масса угля,
     сгорающего за один цикл работы двигателя.
     4) Применим для состояния «4» уравнение Менделеева – Клапейрона:
     2p0⋅2V0 = νRT4.
     5) Выражая из последнего уравнения произведение p0V0, получаем:
     (31/8)νRT4 = ηqm. Отсюда масса M угля, сгорающего за N циклов работы
     двигателя, равна
                                             31νRT4 N
                                   = =
                                   M Nm               ≈ 0,55 кг.
                                               8ηq
                 31νRT4 N
     Ответ:
       =    M             ≈ 0,55 кг.
                   8ηq
                                    согласия СтатГрад запрещена
           Критерии оценивания выполнения задания                 Баллы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первый закон
термодинамики, выражение для внутренней энергии одноатомного
идеального газа, выражение работы через площадь под участком
графика на pV-диаграмме, уравнение Менделеева – Клапейрона,
связь количества выделившейся при сгорании теплоты с массой
сгоревшего топлива);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физические     2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и достаточно
для решения данной задачи, без каких-либо преобразований с их
использованием, направленных на решение задачи.
                               ИЛИ
В решении отсутствует ОДНА из исходных формул, необходимая
                               согласия СтатГрад запрещена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3</x:v>
      </x:c>
      <x:c r="O3587" s="30" t="str">
        <x:v>Теплота на участках цикла рассчитана по первому закону термодинамики и площади pV-диаграммы.</x:v>
      </x:c>
      <x:c r="P3587" s="30" t="str">
        <x:v>Теплота на участках цикла рассчитана по первому закону термодинамики и площади pV-диаграммы.</x:v>
      </x:c>
      <x:c r="Q3587" s="30"/>
      <x:c r="R3587" s="30" t="str">
        <x:v>Официальные критерии оценивания</x:v>
      </x:c>
      <x:c r="S3587" s="30"/>
      <x:c r="T3587" s="30"/>
      <x:c r="U3587" s="30" t="str">
        <x:v>Расхождений не обнаружено.</x:v>
      </x:c>
      <x:c r="V3587" s="87" t="str">
        <x:v>VERIFIED</x:v>
      </x:c>
      <x:c r="W3587" s="87" t="str">
        <x:v>Zadanie_FI11_15102025_.pdf, стр. 29</x:v>
      </x:c>
      <x:c r="X3587" s="87"/>
      <x:c r="Y3587" s="87"/>
      <x:c r="Z3587" s="87"/>
      <x:c r="AA3587" s="87"/>
      <x:c r="AB3587" s="87"/>
      <x:c r="AC3587" s="87" t="str">
        <x:v>VIS-PHYS-OCT-047</x:v>
      </x:c>
      <x:c r="AD3587" s="87"/>
      <x:c r="AE3587" s="87"/>
      <x:c r="AF3587" s="87" t="str">
        <x:v>VIS-PHYS-OCT-047: 29</x:v>
      </x:c>
      <x:c r="AG3587" s="87" t="str">
        <x:v>RESOLVED</x:v>
      </x:c>
      <x:c r="AH3587" s="87" t="str">
        <x:v>CROP_VERIFIED; TASK_CROP_QA_APPROVED:USE_CONTEXT</x:v>
      </x:c>
      <x:c r="AI3587" s="30"/>
      <x:c r="AJ3587" s="87" t="str">
        <x:v>master</x:v>
      </x:c>
      <x:c r="AK3587" s="87" t="str">
        <x:v>master-v0.81</x:v>
      </x:c>
      <x:c r="AL3587" s="87" t="str">
        <x:v>statgrad_master_base_v0_81_final(2).xlsx</x:v>
      </x:c>
      <x:c r="AM3587" s="87" t="str">
        <x:v>PHYS_Oct_V4</x:v>
      </x:c>
      <x:c r="AN3587" s="87" t="n">
        <x:v>25</x:v>
      </x:c>
    </x:row>
    <x:row r="3588">
      <x:c r="A3588" s="87" t="n">
        <x:v>3587</x:v>
      </x:c>
      <x:c r="B3588" s="87" t="str">
        <x:v>OCT-PHYS-104-025</x:v>
      </x:c>
      <x:c r="C3588" s="87" t="str">
        <x:v>СтатГрад</x:v>
      </x:c>
      <x:c r="D3588" s="87" t="str">
        <x:v>Октябрь 2025</x:v>
      </x:c>
      <x:c r="E3588" s="87"/>
      <x:c r="F3588" s="87"/>
      <x:c r="G3588" s="87" t="str">
        <x:v>Физика</x:v>
      </x:c>
      <x:c r="H3588" s="87" t="n">
        <x:v>11</x:v>
      </x:c>
      <x:c r="I3588" s="87" t="str">
        <x:v>ТР №1</x:v>
      </x:c>
      <x:c r="J3588" s="87" t="str">
        <x:v>ФИ2510104</x:v>
      </x:c>
      <x:c r="K3588" s="87" t="n">
        <x:v>25</x:v>
      </x:c>
      <x:c r="L3588" s="87" t="str">
        <x:v>Электростатика. Конденсаторы</x:v>
      </x:c>
      <x:c r="M3588" s="30" t="str">
        <x:v>В электрической цепи, схема которой изображена
     на рисунке, все конденсаторы имеют одинаковую
     электроёмкость C = 5 мкФ, а резистор имеет
     сопротивление     R = 200 Ом.   Вначале    левый
     конденсатор заряжен до некоторого напряжения U, а
     все остальные конденсаторы не заряжены. Идеальный амперметр в первый
     момент после замыкания ключа К показал силу тока I = 1 А. Какая энергия
     W к окажется запасённой в левом конденсаторе после того, как показания
     вольтметра перестанут изменяться?</x:v>
      </x:c>
      <x:c r="N3588" s="30" t="str">
        <x:v>Возможное решение
     1. В начальном состоянии напряжение U на левом конденсаторе,
     показываемое вольтметром, связано с зарядом q этого конденсатора: U = q/C,
     а напряжение и заряд на правой части цепи отсутствуют. После замыкания
     ключа К через амперметр, резистор и конденсаторы потечёт ток.
     В соответствии с законом Ома для замкнутой цепи сила этого тока в первый
     момент после замыкания ключа равна I = U/R, откуда U = IR.
     2. При перезарядке конденсаторов часть заряда левого конденсатора
     перейдёт на правые конденсаторы общей ёмкостью Cпр, которую можно
     определить по правилам для последовательного и параллельного соединения
     конденсаторов: Cпр = С + С/2 = 3С/2.
     3. Ток в цепи прекратится, когда напряжения на конденсаторах слева и справа
     станут одинаковыми: Uк = qл/C = qпр/Cпр = 2qпр/(3C), где qл и qпр – заряды на
     конденсаторах слева и справа. По закону сохранения электрического заряда,
     qл + qпр = q = CU.
     4. Отсюда находим установившиеся заряды конденсаторов: qпр = 3qл/2
     и qл = 2CU/5.
     5. Для энергии левого конденсатора окончательно получаем:
                 Wк = qл2/(2C) = 2CU2/25 = 2CI2R2/25 = 2⋅5⋅10–6⋅12⋅2002/25 =
                                  = 16⋅10–3 Дж = 16 мДж.
     Ответ: Wк = 2CI2R2/25 = 16 мДж
                                    согласия СтатГрад запрещена
           Критерии оценивания выполнения задания                 Баллы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связь заряда и
напряжения на конденсаторе, закон Ома для замкнутой цепи,
расчёт ёмкости при параллельном и последовательном соединении
конденсаторов, закон сохранения электрического заряда, энергия
заряженного конденсатора);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проведены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2
физические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для решения
данной задачи, без каких-либо преобразований с их использованием,
направленных на решение задачи.
                               ИЛИ
                               согласия СтатГрад запрещена
     В решении отсутствует ОДНА из исходных формул, необходимая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3</x:v>
      </x:c>
      <x:c r="O3588" s="30" t="str">
        <x:v>Начальная и конечная энергии системы конденсаторов сопоставлены; выделившаяся теплота найдена по закону сохранения энергии.</x:v>
      </x:c>
      <x:c r="P3588" s="30" t="str">
        <x:v>Начальная и конечная энергии системы конденсаторов сопоставлены; выделившаяся теплота найдена по закону сохранения энергии.</x:v>
      </x:c>
      <x:c r="Q3588" s="30"/>
      <x:c r="R3588" s="30" t="str">
        <x:v>Официальные критерии оценивания</x:v>
      </x:c>
      <x:c r="S3588" s="30"/>
      <x:c r="T3588" s="30"/>
      <x:c r="U3588" s="30" t="str">
        <x:v>Расхождений не обнаружено.</x:v>
      </x:c>
      <x:c r="V3588" s="87" t="str">
        <x:v>VERIFIED</x:v>
      </x:c>
      <x:c r="W3588" s="87" t="str">
        <x:v>Zadanie_FI11_15102025_.pdf, стр. 30</x:v>
      </x:c>
      <x:c r="X3588" s="87"/>
      <x:c r="Y3588" s="87"/>
      <x:c r="Z3588" s="87"/>
      <x:c r="AA3588" s="87"/>
      <x:c r="AB3588" s="87"/>
      <x:c r="AC3588" s="87" t="str">
        <x:v>VIS-PHYS-OCT-048</x:v>
      </x:c>
      <x:c r="AD3588" s="87"/>
      <x:c r="AE3588" s="87"/>
      <x:c r="AF3588" s="87" t="str">
        <x:v>VIS-PHYS-OCT-048: 30</x:v>
      </x:c>
      <x:c r="AG3588" s="87" t="str">
        <x:v>RESOLVED</x:v>
      </x:c>
      <x:c r="AH3588" s="87" t="str">
        <x:v>CROP_VERIFIED; TASK_CROP_QA_APPROVED:USE_CONTEXT</x:v>
      </x:c>
      <x:c r="AI3588" s="30"/>
      <x:c r="AJ3588" s="87" t="str">
        <x:v>master</x:v>
      </x:c>
      <x:c r="AK3588" s="87" t="str">
        <x:v>master-v0.81</x:v>
      </x:c>
      <x:c r="AL3588" s="87" t="str">
        <x:v>statgrad_master_base_v0_81_final(2).xlsx</x:v>
      </x:c>
      <x:c r="AM3588" s="87" t="str">
        <x:v>PHYS_Oct_V4</x:v>
      </x:c>
      <x:c r="AN3588" s="87" t="n">
        <x:v>26</x:v>
      </x:c>
    </x:row>
    <x:row r="3589">
      <x:c r="A3589" s="87" t="n">
        <x:v>3588</x:v>
      </x:c>
      <x:c r="B3589" s="87" t="str">
        <x:v>OCT-PHYS-104-026</x:v>
      </x:c>
      <x:c r="C3589" s="87" t="str">
        <x:v>СтатГрад</x:v>
      </x:c>
      <x:c r="D3589" s="87" t="str">
        <x:v>Октябрь 2025</x:v>
      </x:c>
      <x:c r="E3589" s="87"/>
      <x:c r="F3589" s="87"/>
      <x:c r="G3589" s="87" t="str">
        <x:v>Физика</x:v>
      </x:c>
      <x:c r="H3589" s="87" t="n">
        <x:v>11</x:v>
      </x:c>
      <x:c r="I3589" s="87" t="str">
        <x:v>ТР №1</x:v>
      </x:c>
      <x:c r="J3589" s="87" t="str">
        <x:v>ФИ2510104</x:v>
      </x:c>
      <x:c r="K3589" s="87" t="n">
        <x:v>26</x:v>
      </x:c>
      <x:c r="L3589" s="87" t="str">
        <x:v>Механика. Пружина и движение по окружности</x:v>
      </x:c>
      <x:c r="M3589" s="30" t="str">
        <x:v>Из жёсткой тонкой гладкой проволоки согнут каркас в виде половины
     окружности радиусом R = 60 см и закреплён так, чтобы диаметр каркаса
     располагался вертикально (см. рисунок). В верхней точке A диаметра
     к каркасу прикреплён конец лёгкой пружины, длина которой в нерастянутом
     состоянии равна R. Ко второму концу пружины прикреплена маленькая
     бусинка B с просверлённым в ней отверстием. Если бусинка висит
     на пружине, находясь в состоянии равновесия, то удлинение пружины
     оказывается равным R/3.
     Бусинку надевают на каркас так, что она покоится в нижней точке его
     диаметра. Затем, после очень малого начального воздействия, бусинка
     начинает скользить по каркасу. Найдите модуль скорости бусинки
     в тот момент, когда ось пружины будет составлять с вертикалью угол
     α =arccos(7 / 8) .
     Обоснуйте применимость законов, использованных для решения задачи.</x:v>
      </x:c>
      <x:c r="N3589" s="30" t="str">
        <x:v>Возможное решение
Обоснование.
1. Выберем систему отсчёта, связанную с закреплённым каркасом, и будем
считать её инерциальной (ИСО). Относительно этой ИСО справедлив второй
закон Ньютона и можно применять законы сохранения.
2. Для бусинки используем модель материальной точки.
3. Так как проволока жёсткая, будем считать каркас абсолютно твёрдым
телом и пренебрежём его деформациями.
4. Будем считать, что удлинение пружины подчиняется закону Гука.
Поскольку пружина лёгкая, до подвешивания бусинки её можно считать
нерастянутой, и при решении задачи можно пренебрегать её массой.
5. Проволока гладкая, поэтому в системе отсутствуют внутренние
диссипативные силы. Все остальные силы либо консервативные, либо не
совершают работы. Следовательно, можно применять закон сохранения
механической энергии.
6. Поскольку начальное воздействие на бусинку очень малое, её начальную
кинетическую энергию также можно считать пренебрежимо малой.
Решение.
1. Согласно условию задачи, при подвешивании бусинки массой m к пружине
жёсткостью k она в положении равновесия растягивается на величину ∆l = R/3. В
соответствии со вторым законом Ньютона, с учётом закона Гука: mg = k∆l = kR/3.
2. Рассмотрим состояние системы, в котором ось пружины составляет с
вертикалью угол α (см. рисунок). Угол AB1B прямой, поэтому в данный
момент длина пружины равна   =  l 2 R cos α , а высота бусинки над точкой B
составляет
        =   h 2 R sin α . Обозначим скорость бусинки в рассматриваемый
                     2
момент через V и учтём, что в исходном состоянии удлинение пружины было
равно R. Тогда, согласно закону сохранения механической энергии для
данной системы:
                              kR 2 k (l − R) 2         mV 2
                               =               + mgh +      .
                               2        2               2
3. Преобразуем это уравнение с учётом ранее записанных соотношений:
                               согласия СтатГрад запрещена
                        kR 2 k (2 R cos α − R) 2                   mV 2
            =                                     + 2mgR sin 2 α +       ,
                         2               2                           2
                    =   kR 2 kR 2 (2 cos α − 1) 2 + 4mgR sin 2 α + mV 2 ,
                  =   3mgR 3mgR(2 cos α − 1) 2 + 4mgR sin 2 α + mV 2 ,
     =
     V 2
         3 gR − 3 gR(2 cos α − 1) 2 − 4 gR sin 2=
                                                α 12 gR(cos α − cos 2 α) − 4 gR(1 − cos 2 =
                                                                                          α)
                        = 4 gR(3cos α − 2 cos α − 1).  2
4. Учитывая, что cos α =7 / 8 , получаем:
                                              7         49  1 3 gR
         =V 2 gR(3cos α − 2 cos=
                               2
                                 α − 1) 2 gR  3 ⋅ − 2 ⋅ = − 1      .
                                              8         64  2   2
5. Подставляя численное значение R, находим:
                                        1 3 ⋅10 ⋅ 0, 6
                        =V               = 1,5 м/с.
                                        2      2
              1 3 ⋅10 ⋅ 0, 6
Ответ: V
=              = 1,5 м/с.
              2      2
           Критерии оценивания выполнения задания                Баллы
Критерий 1
Верно     обоснована    возможность     использования    законов   1
(закономерностей). В данном случае: выбор ИСО, выбор модели
материальной точки, выбор модели абсолютно твёрдого тела для
каркаса, использование модели невесомой пружины, подчиняющейся
закону Гука, использование условий применимости закона
сохранения механической энергии
В обосновании отсутствует один или несколько из элементов.         0
                              ИЛИ
В обосновании допущена ошибка.
                              ИЛИ
Обоснование отсутствует
Критерий 2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второй закон
Ньютона, закон Гука, выражения для потенциальной энергии
пружины, потенциальной энергии тела в однородном поле силы
тяжести, кинетической энергии материальной точки, закон
сохранения механической энергии);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величин, используемых
в условии задачи, и стандартных обозначений величин,
используемых при написании физических законов);
III) проведены необходимые математические преобразования и
                                согласия СтатГрад запрещена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2
физические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для решения
данной задачи, без каких-либо преобразований с их использованием,
направленных на решение задачи.
                               ИЛИ
В решении отсутствует ОДНА из исходных формул, необходимая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4
                               согласия СтатГрад запрещена</x:v>
      </x:c>
      <x:c r="O3589" s="30" t="str">
        <x:v>После обоснования модели применён закон сохранения механической энергии с потенциальной энергией пружины и тяжести.</x:v>
      </x:c>
      <x:c r="P3589" s="30" t="str">
        <x:v>После обоснования модели применён закон сохранения механической энергии с потенциальной энергией пружины и тяжести.</x:v>
      </x:c>
      <x:c r="Q3589" s="30"/>
      <x:c r="R3589" s="30" t="str">
        <x:v>Официальные критерии оценивания</x:v>
      </x:c>
      <x:c r="S3589" s="30"/>
      <x:c r="T3589" s="30"/>
      <x:c r="U3589" s="30" t="str">
        <x:v>Расхождений не обнаружено.</x:v>
      </x:c>
      <x:c r="V3589" s="87" t="str">
        <x:v>VERIFIED</x:v>
      </x:c>
      <x:c r="W3589" s="87" t="str">
        <x:v>Zadanie_FI11_15102025_.pdf, стр. 30</x:v>
      </x:c>
      <x:c r="X3589" s="87"/>
      <x:c r="Y3589" s="87"/>
      <x:c r="Z3589" s="87"/>
      <x:c r="AA3589" s="87"/>
      <x:c r="AB3589" s="87"/>
      <x:c r="AC3589" s="87" t="str">
        <x:v>VIS-PHYS-OCT-048</x:v>
      </x:c>
      <x:c r="AD3589" s="87"/>
      <x:c r="AE3589" s="87"/>
      <x:c r="AF3589" s="87" t="str">
        <x:v>VIS-PHYS-OCT-048: 30</x:v>
      </x:c>
      <x:c r="AG3589" s="87" t="str">
        <x:v>RESOLVED</x:v>
      </x:c>
      <x:c r="AH3589" s="87" t="str">
        <x:v>CROP_VERIFIED; TASK_CROP_QA_APPROVED:USE_CONTEXT</x:v>
      </x:c>
      <x:c r="AI3589" s="30"/>
      <x:c r="AJ3589" s="87" t="str">
        <x:v>master</x:v>
      </x:c>
      <x:c r="AK3589" s="87" t="str">
        <x:v>master-v0.81</x:v>
      </x:c>
      <x:c r="AL3589" s="87" t="str">
        <x:v>statgrad_master_base_v0_81_final(2).xlsx</x:v>
      </x:c>
      <x:c r="AM3589" s="87" t="str">
        <x:v>PHYS_Oct_V4</x:v>
      </x:c>
      <x:c r="AN3589" s="87" t="n">
        <x:v>27</x:v>
      </x:c>
    </x:row>
    <x:row r="3590">
      <x:c r="A3590" s="87" t="n">
        <x:v>3589</x:v>
      </x:c>
      <x:c r="B3590" s="87" t="str">
        <x:v>OCT-LIT-V1-001</x:v>
      </x:c>
      <x:c r="C3590" s="87" t="str">
        <x:v>СтатГрад</x:v>
      </x:c>
      <x:c r="D3590" s="87" t="str">
        <x:v>Октябрь 2025</x:v>
      </x:c>
      <x:c r="E3590" s="87"/>
      <x:c r="F3590" s="87"/>
      <x:c r="G3590" s="87" t="str">
        <x:v>Литература</x:v>
      </x:c>
      <x:c r="H3590" s="87" t="n">
        <x:v>11</x:v>
      </x:c>
      <x:c r="I3590" s="87" t="str">
        <x:v>ТР №1</x:v>
      </x:c>
      <x:c r="J3590" s="87" t="str">
        <x:v>ЛИ2510101</x:v>
      </x:c>
      <x:c r="K3590" s="87" t="n">
        <x:v>1</x:v>
      </x:c>
      <x:c r="L3590" s="87" t="str">
        <x:v>Литературный термин</x:v>
      </x:c>
      <x:c r="M3590" s="30" t="str">
        <x:v>Каким термином обозначается энергичный обмен репликами персонажей?</x:v>
      </x:c>
      <x:c r="N3590" s="30" t="str">
        <x:v>диалог</x:v>
      </x:c>
      <x:c r="O3590" s="30" t="str">
        <x:v>Разговор нескольких персонажей, построенный как обмен репликами, называется диалогом.</x:v>
      </x:c>
      <x:c r="P3590" s="30" t="str">
        <x:v>Форма речи определена по фрагменту пьесы и сверена с официальным ответом.</x:v>
      </x:c>
      <x:c r="Q3590" s="30"/>
      <x:c r="R3590" s="30" t="str">
        <x:v>диалог</x:v>
      </x:c>
      <x:c r="S3590" s="30"/>
      <x:c r="T3590" s="30"/>
      <x:c r="U3590" s="30" t="str">
        <x:v>Расхождений нет.</x:v>
      </x:c>
      <x:c r="V3590" s="87" t="str">
        <x:v>VERIFIED</x:v>
      </x:c>
      <x:c r="W3590" s="87"/>
      <x:c r="X3590" s="87"/>
      <x:c r="Y3590" s="87"/>
      <x:c r="Z3590" s="87"/>
      <x:c r="AA3590" s="87"/>
      <x:c r="AB3590" s="87"/>
      <x:c r="AC3590" s="87"/>
      <x:c r="AD3590" s="87"/>
      <x:c r="AE3590" s="87"/>
      <x:c r="AF3590" s="87"/>
      <x:c r="AG3590" s="87"/>
      <x:c r="AH3590" s="87"/>
      <x:c r="AI3590" s="30"/>
      <x:c r="AJ3590" s="87" t="str">
        <x:v>master</x:v>
      </x:c>
      <x:c r="AK3590" s="87" t="str">
        <x:v>master-v0.81</x:v>
      </x:c>
      <x:c r="AL3590" s="87" t="str">
        <x:v>statgrad_master_base_v0_81_final(2).xlsx</x:v>
      </x:c>
      <x:c r="AM3590" s="87" t="str">
        <x:v>LIT_Oct_V1</x:v>
      </x:c>
      <x:c r="AN3590" s="87" t="n">
        <x:v>2</x:v>
      </x:c>
    </x:row>
    <x:row r="3591">
      <x:c r="A3591" s="87" t="n">
        <x:v>3590</x:v>
      </x:c>
      <x:c r="B3591" s="87" t="str">
        <x:v>OCT-LIT-V1-002</x:v>
      </x:c>
      <x:c r="C3591" s="87" t="str">
        <x:v>СтатГрад</x:v>
      </x:c>
      <x:c r="D3591" s="87" t="str">
        <x:v>Октябрь 2025</x:v>
      </x:c>
      <x:c r="E3591" s="87"/>
      <x:c r="F3591" s="87"/>
      <x:c r="G3591" s="87" t="str">
        <x:v>Литература</x:v>
      </x:c>
      <x:c r="H3591" s="87" t="n">
        <x:v>11</x:v>
      </x:c>
      <x:c r="I3591" s="87" t="str">
        <x:v>ТР №1</x:v>
      </x:c>
      <x:c r="J3591" s="87" t="str">
        <x:v>ЛИ2510101</x:v>
      </x:c>
      <x:c r="K3591" s="87" t="n">
        <x:v>2</x:v>
      </x:c>
      <x:c r="L3591" s="87" t="str">
        <x:v>Персонажи и поступки</x:v>
      </x:c>
      <x:c r="M3591" s="30" t="str">
        <x:v>Соотнесите Луку, Пепла и Медведева с последующими поступками персонажей пьесы «На дне».</x:v>
      </x:c>
      <x:c r="N3591" s="30" t="str">
        <x:v>412</x:v>
      </x:c>
      <x:c r="O3591" s="30" t="str">
        <x:v>Лука незаметно исчезает из ночлежки; Пепел совершает убийство Костылёва; Медведев женится на Квашне.</x:v>
      </x:c>
      <x:c r="P3591" s="30" t="str">
        <x:v>Каждое соответствие проверено по сюжету пьесы и официальному ключу.</x:v>
      </x:c>
      <x:c r="Q3591" s="30"/>
      <x:c r="R3591" s="30" t="str">
        <x:v>412</x:v>
      </x:c>
      <x:c r="S3591" s="30"/>
      <x:c r="T3591" s="30"/>
      <x:c r="U3591" s="30" t="str">
        <x:v>Расхождений нет.</x:v>
      </x:c>
      <x:c r="V3591" s="87" t="str">
        <x:v>VERIFIED</x:v>
      </x:c>
      <x:c r="W3591" s="87"/>
      <x:c r="X3591" s="87"/>
      <x:c r="Y3591" s="87"/>
      <x:c r="Z3591" s="87"/>
      <x:c r="AA3591" s="87"/>
      <x:c r="AB3591" s="87"/>
      <x:c r="AC3591" s="87"/>
      <x:c r="AD3591" s="87"/>
      <x:c r="AE3591" s="87"/>
      <x:c r="AF3591" s="87"/>
      <x:c r="AG3591" s="87"/>
      <x:c r="AH3591" s="87"/>
      <x:c r="AI3591" s="30"/>
      <x:c r="AJ3591" s="87" t="str">
        <x:v>master</x:v>
      </x:c>
      <x:c r="AK3591" s="87" t="str">
        <x:v>master-v0.81</x:v>
      </x:c>
      <x:c r="AL3591" s="87" t="str">
        <x:v>statgrad_master_base_v0_81_final(2).xlsx</x:v>
      </x:c>
      <x:c r="AM3591" s="87" t="str">
        <x:v>LIT_Oct_V1</x:v>
      </x:c>
      <x:c r="AN3591" s="87" t="n">
        <x:v>3</x:v>
      </x:c>
    </x:row>
    <x:row r="3592">
      <x:c r="A3592" s="87" t="n">
        <x:v>3591</x:v>
      </x:c>
      <x:c r="B3592" s="87" t="str">
        <x:v>OCT-LIT-V1-003</x:v>
      </x:c>
      <x:c r="C3592" s="87" t="str">
        <x:v>СтатГрад</x:v>
      </x:c>
      <x:c r="D3592" s="87" t="str">
        <x:v>Октябрь 2025</x:v>
      </x:c>
      <x:c r="E3592" s="87"/>
      <x:c r="F3592" s="87"/>
      <x:c r="G3592" s="87" t="str">
        <x:v>Литература</x:v>
      </x:c>
      <x:c r="H3592" s="87" t="n">
        <x:v>11</x:v>
      </x:c>
      <x:c r="I3592" s="87" t="str">
        <x:v>ТР №1</x:v>
      </x:c>
      <x:c r="J3592" s="87" t="str">
        <x:v>ЛИ2510101</x:v>
      </x:c>
      <x:c r="K3592" s="87" t="n">
        <x:v>3</x:v>
      </x:c>
      <x:c r="L3592" s="87" t="str">
        <x:v>Род литературы и направление</x:v>
      </x:c>
      <x:c r="M3592" s="30" t="str">
        <x:v>Определите род литературы и литературное направление пьесы М. Горького «На дне».</x:v>
      </x:c>
      <x:c r="N3592" s="30" t="str">
        <x:v>драма; реализм</x:v>
      </x:c>
      <x:c r="O3592" s="30" t="str">
        <x:v>Пьеса относится к драме как роду литературы и следует традициям реализма.</x:v>
      </x:c>
      <x:c r="P3592" s="30" t="str">
        <x:v>Оба термина независимо определены и сверены с официальным ответом.</x:v>
      </x:c>
      <x:c r="Q3592" s="30"/>
      <x:c r="R3592" s="30" t="str">
        <x:v>драмереализм</x:v>
      </x:c>
      <x:c r="S3592" s="30"/>
      <x:c r="T3592" s="30"/>
      <x:c r="U3592" s="30" t="str">
        <x:v>В базе слова разделены для читаемости; официальный ответ записан слитно.</x:v>
      </x:c>
      <x:c r="V3592" s="87" t="str">
        <x:v>VERIFIED</x:v>
      </x:c>
      <x:c r="W3592" s="87"/>
      <x:c r="X3592" s="87"/>
      <x:c r="Y3592" s="87"/>
      <x:c r="Z3592" s="87"/>
      <x:c r="AA3592" s="87"/>
      <x:c r="AB3592" s="87"/>
      <x:c r="AC3592" s="87"/>
      <x:c r="AD3592" s="87"/>
      <x:c r="AE3592" s="87"/>
      <x:c r="AF3592" s="87"/>
      <x:c r="AG3592" s="87"/>
      <x:c r="AH3592" s="87"/>
      <x:c r="AI3592" s="30"/>
      <x:c r="AJ3592" s="87" t="str">
        <x:v>master</x:v>
      </x:c>
      <x:c r="AK3592" s="87" t="str">
        <x:v>master-v0.81</x:v>
      </x:c>
      <x:c r="AL3592" s="87" t="str">
        <x:v>statgrad_master_base_v0_81_final(2).xlsx</x:v>
      </x:c>
      <x:c r="AM3592" s="87" t="str">
        <x:v>LIT_Oct_V1</x:v>
      </x:c>
      <x:c r="AN3592" s="87" t="n">
        <x:v>4</x:v>
      </x:c>
    </x:row>
    <x:row r="3593">
      <x:c r="A3593" s="87" t="n">
        <x:v>3592</x:v>
      </x:c>
      <x:c r="B3593" s="87" t="str">
        <x:v>OCT-LIT-V1-004A</x:v>
      </x:c>
      <x:c r="C3593" s="87" t="str">
        <x:v>СтатГрад</x:v>
      </x:c>
      <x:c r="D3593" s="87" t="str">
        <x:v>Октябрь 2025</x:v>
      </x:c>
      <x:c r="E3593" s="87"/>
      <x:c r="F3593" s="87"/>
      <x:c r="G3593" s="87" t="str">
        <x:v>Литература</x:v>
      </x:c>
      <x:c r="H3593" s="87" t="n">
        <x:v>11</x:v>
      </x:c>
      <x:c r="I3593" s="87" t="str">
        <x:v>ТР №1</x:v>
      </x:c>
      <x:c r="J3593" s="87" t="str">
        <x:v>ЛИ2510101</x:v>
      </x:c>
      <x:c r="K3593" s="87" t="str">
        <x:v>4.1</x:v>
      </x:c>
      <x:c r="L3593" s="87" t="str">
        <x:v>Развёрнутый ответ: характер Пепла</x:v>
      </x:c>
      <x:c r="M3593" s="30" t="str">
        <x:v>Чем объясняется дерзость Пепла в разговоре с Медведевым?</x:v>
      </x:c>
      <x:c r="N3593" s="30" t="str">
        <x:v>Дерзость Пепла объясняется прежде всего тем, что он знает преступные тайны хозяев ночлежки и поэтому чувствует себя относительно защищённым. Герой прямо угрожает Медведеву рассказать следователю, кто подталкивал его к воровству и принимал краденое. Эта осведомлённость лишает представителя власти привычного превосходства: Медведев теряется и может отвечать лишь обвинениями во лжи. Кроме того, Пепел устал от зависимости от Костылёвых и внутренне готов разорвать с прежней жизнью. Его резкость связана и с Наташей: герой не хочет отдавать любимую во власть её жестоких родственников. Поэтому дерзкий тон становится одновременно способом самозащиты, вызовом угнетающей среде и проявлением надежды вырваться из неё.</x:v>
      </x:c>
      <x:c r="O3593" s="30" t="str">
        <x:v>Дерзость связана с осведомлённостью о преступлениях Костылёвых, стремлением защитить Наташу и желанием изменить жизнь.</x:v>
      </x:c>
      <x:c r="P3593" s="30" t="str">
        <x:v>В модели есть тезис, не менее двух опор из фрагмента и объяснение их связи с ответом.</x:v>
      </x:c>
      <x:c r="Q3593" s="30"/>
      <x:c r="R3593" s="30" t="str">
        <x:v>Отдельного эталона в архиве нет.</x:v>
      </x:c>
      <x:c r="S3593" s="30"/>
      <x:c r="T3593" s="30"/>
      <x:c r="U3593" s="30" t="str">
        <x:v>Самостоятельная модель; выбирается 4.1 или 4.2.</x:v>
      </x:c>
      <x:c r="V3593" s="87" t="str">
        <x:v>VERIFIED</x:v>
      </x:c>
      <x:c r="W3593" s="87"/>
      <x:c r="X3593" s="87"/>
      <x:c r="Y3593" s="87"/>
      <x:c r="Z3593" s="87"/>
      <x:c r="AA3593" s="87"/>
      <x:c r="AB3593" s="87"/>
      <x:c r="AC3593" s="87"/>
      <x:c r="AD3593" s="87"/>
      <x:c r="AE3593" s="87"/>
      <x:c r="AF3593" s="87"/>
      <x:c r="AG3593" s="87"/>
      <x:c r="AH3593" s="87"/>
      <x:c r="AI3593" s="30"/>
      <x:c r="AJ3593" s="87" t="str">
        <x:v>master</x:v>
      </x:c>
      <x:c r="AK3593" s="87" t="str">
        <x:v>master-v0.81</x:v>
      </x:c>
      <x:c r="AL3593" s="87" t="str">
        <x:v>statgrad_master_base_v0_81_final(2).xlsx</x:v>
      </x:c>
      <x:c r="AM3593" s="87" t="str">
        <x:v>LIT_Oct_V1</x:v>
      </x:c>
      <x:c r="AN3593" s="87" t="n">
        <x:v>5</x:v>
      </x:c>
    </x:row>
    <x:row r="3594">
      <x:c r="A3594" s="87" t="n">
        <x:v>3593</x:v>
      </x:c>
      <x:c r="B3594" s="87" t="str">
        <x:v>OCT-LIT-V1-004B</x:v>
      </x:c>
      <x:c r="C3594" s="87" t="str">
        <x:v>СтатГрад</x:v>
      </x:c>
      <x:c r="D3594" s="87" t="str">
        <x:v>Октябрь 2025</x:v>
      </x:c>
      <x:c r="E3594" s="87"/>
      <x:c r="F3594" s="87"/>
      <x:c r="G3594" s="87" t="str">
        <x:v>Литература</x:v>
      </x:c>
      <x:c r="H3594" s="87" t="n">
        <x:v>11</x:v>
      </x:c>
      <x:c r="I3594" s="87" t="str">
        <x:v>ТР №1</x:v>
      </x:c>
      <x:c r="J3594" s="87" t="str">
        <x:v>ЛИ2510101</x:v>
      </x:c>
      <x:c r="K3594" s="87" t="str">
        <x:v>4.2</x:v>
      </x:c>
      <x:c r="L3594" s="87" t="str">
        <x:v>Развёрнутый ответ: совет Луки</x:v>
      </x:c>
      <x:c r="M3594" s="30" t="str">
        <x:v>В чём смысл совета Луки Пеплу: «Иди... в Сибирь!»?</x:v>
      </x:c>
      <x:c r="N3594" s="30" t="str">
        <x:v>Совет Луки «Иди... в Сибирь!» означает для Пепла возможность начать жизнь заново, а не ожидание будущей каторги. Странник говорит о Сибири как о просторном месте, где сильный и деятельный человек может честно трудиться и найти собственный путь. Это особенно важно для героя, которого окружающая среда заранее считает вором и почти не оставляет ему возможности изменить судьбу. Лука предлагает Пеплу самому сделать выбор до того, как этот выбор за него сделают суд и обстоятельства. Его совет выражает веру в способность человека выйти из привычного круга преступления и насилия. Однако дальнейшие события пьесы показывают, что одной надежды и доброго внушения недостаточно: Пепел не успевает освободиться от власти ночлежки и оказывается втянутым в убийство Костылёва.</x:v>
      </x:c>
      <x:c r="O3594" s="30" t="str">
        <x:v>Сибирь осмыслена как возможность начать честную жизнь и самостоятельно выйти из преступного круга.</x:v>
      </x:c>
      <x:c r="P3594" s="30" t="str">
        <x:v>Модель связывает совет с мировоззрением Луки и последующей судьбой Пепла.</x:v>
      </x:c>
      <x:c r="Q3594" s="30"/>
      <x:c r="R3594" s="30" t="str">
        <x:v>Отдельного эталона в архиве нет.</x:v>
      </x:c>
      <x:c r="S3594" s="30"/>
      <x:c r="T3594" s="30"/>
      <x:c r="U3594" s="30" t="str">
        <x:v>Альтернативная модель к заданию 4.2.</x:v>
      </x:c>
      <x:c r="V3594" s="87" t="str">
        <x:v>VERIFIED</x:v>
      </x:c>
      <x:c r="W3594" s="87"/>
      <x:c r="X3594" s="87"/>
      <x:c r="Y3594" s="87"/>
      <x:c r="Z3594" s="87"/>
      <x:c r="AA3594" s="87"/>
      <x:c r="AB3594" s="87"/>
      <x:c r="AC3594" s="87"/>
      <x:c r="AD3594" s="87"/>
      <x:c r="AE3594" s="87"/>
      <x:c r="AF3594" s="87"/>
      <x:c r="AG3594" s="87"/>
      <x:c r="AH3594" s="87"/>
      <x:c r="AI3594" s="30"/>
      <x:c r="AJ3594" s="87" t="str">
        <x:v>master</x:v>
      </x:c>
      <x:c r="AK3594" s="87" t="str">
        <x:v>master-v0.81</x:v>
      </x:c>
      <x:c r="AL3594" s="87" t="str">
        <x:v>statgrad_master_base_v0_81_final(2).xlsx</x:v>
      </x:c>
      <x:c r="AM3594" s="87" t="str">
        <x:v>LIT_Oct_V1</x:v>
      </x:c>
      <x:c r="AN3594" s="87" t="n">
        <x:v>6</x:v>
      </x:c>
    </x:row>
    <x:row r="3595">
      <x:c r="A3595" s="87" t="n">
        <x:v>3594</x:v>
      </x:c>
      <x:c r="B3595" s="87" t="str">
        <x:v>OCT-LIT-V1-005</x:v>
      </x:c>
      <x:c r="C3595" s="87" t="str">
        <x:v>СтатГрад</x:v>
      </x:c>
      <x:c r="D3595" s="87" t="str">
        <x:v>Октябрь 2025</x:v>
      </x:c>
      <x:c r="E3595" s="87"/>
      <x:c r="F3595" s="87"/>
      <x:c r="G3595" s="87" t="str">
        <x:v>Литература</x:v>
      </x:c>
      <x:c r="H3595" s="87" t="n">
        <x:v>11</x:v>
      </x:c>
      <x:c r="I3595" s="87" t="str">
        <x:v>ТР №1</x:v>
      </x:c>
      <x:c r="J3595" s="87" t="str">
        <x:v>ЛИ2510101</x:v>
      </x:c>
      <x:c r="K3595" s="87" t="n">
        <x:v>5</x:v>
      </x:c>
      <x:c r="L3595" s="87" t="str">
        <x:v>Сопоставительный анализ</x:v>
      </x:c>
      <x:c r="M3595" s="30" t="str">
        <x:v>Что сближает Ваську Пепла и Савелия из поэмы Н. А. Некрасова «Кому на Руси жить хорошо»?</x:v>
      </x:c>
      <x:c r="N3595" s="30" t="str">
        <x:v>Ваську Пепла и Савелия сближают сила характера, бунтарство и стремление сохранить человеческое достоинство в несправедливом мире. Пепел не желает покорно подчиняться Костылёвым: он открыто угрожает разоблачить их преступления и мечтает уйти вместе с Наташей, то есть пытается вырваться из навязанной ему роли вора. Савелий в поэме Н. А. Некрасова также не принимает унижения. Богатырская сила и гордость приводят его к сопротивлению управляющему Фогелю; вместе с другими мужиками он расправляется с мучителем и затем переносит каторгу. Оба героя суровы и способны на насилие, однако не лишены нравственного чувства. Пепел искренне любит Наташу и хочет иной жизни, а Савелий нежно привязывается к Дёмушке и тяжело переживает его гибель. Таким образом, персонажей сближает соединение стихийной протестной силы с глубокой потребностью в правде, свободе и человеческой близости.</x:v>
      </x:c>
      <x:c r="O3595" s="30" t="str">
        <x:v>Персонажей сближают сила, бунтарство, сопротивление унижению и способность к глубокому человеческому чувству.</x:v>
      </x:c>
      <x:c r="P3595" s="30" t="str">
        <x:v>Использованы конкретные эпизоды из пьесы и поэмы; сходство сформулировано и объяснено.</x:v>
      </x:c>
      <x:c r="Q3595" s="30"/>
      <x:c r="R3595" s="30" t="str">
        <x:v>Отдельного эталона в архиве нет.</x:v>
      </x:c>
      <x:c r="S3595" s="30"/>
      <x:c r="T3595" s="30"/>
      <x:c r="U3595" s="30" t="str">
        <x:v>Самостоятельный модельный ответ.</x:v>
      </x:c>
      <x:c r="V3595" s="87" t="str">
        <x:v>VERIFIED</x:v>
      </x:c>
      <x:c r="W3595" s="87"/>
      <x:c r="X3595" s="87"/>
      <x:c r="Y3595" s="87"/>
      <x:c r="Z3595" s="87"/>
      <x:c r="AA3595" s="87"/>
      <x:c r="AB3595" s="87"/>
      <x:c r="AC3595" s="87"/>
      <x:c r="AD3595" s="87"/>
      <x:c r="AE3595" s="87"/>
      <x:c r="AF3595" s="87"/>
      <x:c r="AG3595" s="87"/>
      <x:c r="AH3595" s="87"/>
      <x:c r="AI3595" s="30"/>
      <x:c r="AJ3595" s="87" t="str">
        <x:v>master</x:v>
      </x:c>
      <x:c r="AK3595" s="87" t="str">
        <x:v>master-v0.81</x:v>
      </x:c>
      <x:c r="AL3595" s="87" t="str">
        <x:v>statgrad_master_base_v0_81_final(2).xlsx</x:v>
      </x:c>
      <x:c r="AM3595" s="87" t="str">
        <x:v>LIT_Oct_V1</x:v>
      </x:c>
      <x:c r="AN3595" s="87" t="n">
        <x:v>7</x:v>
      </x:c>
    </x:row>
    <x:row r="3596">
      <x:c r="A3596" s="87" t="n">
        <x:v>3595</x:v>
      </x:c>
      <x:c r="B3596" s="87" t="str">
        <x:v>OCT-LIT-V1-006</x:v>
      </x:c>
      <x:c r="C3596" s="87" t="str">
        <x:v>СтатГрад</x:v>
      </x:c>
      <x:c r="D3596" s="87" t="str">
        <x:v>Октябрь 2025</x:v>
      </x:c>
      <x:c r="E3596" s="87"/>
      <x:c r="F3596" s="87"/>
      <x:c r="G3596" s="87" t="str">
        <x:v>Литература</x:v>
      </x:c>
      <x:c r="H3596" s="87" t="n">
        <x:v>11</x:v>
      </x:c>
      <x:c r="I3596" s="87" t="str">
        <x:v>ТР №1</x:v>
      </x:c>
      <x:c r="J3596" s="87" t="str">
        <x:v>ЛИ2510101</x:v>
      </x:c>
      <x:c r="K3596" s="87" t="n">
        <x:v>6</x:v>
      </x:c>
      <x:c r="L3596" s="87" t="str">
        <x:v>Стихотворный размер и род литературы</x:v>
      </x:c>
      <x:c r="M3596" s="30" t="str">
        <x:v>Определите стихотворный размер произведения Э. Верхарна и его род литературы.</x:v>
      </x:c>
      <x:c r="N3596" s="30" t="str">
        <x:v>ямб; лирика</x:v>
      </x:c>
      <x:c r="O3596" s="30" t="str">
        <x:v>Ритм построен преимущественно на чередовании безударного и ударного слогов; произведение относится к лирике.</x:v>
      </x:c>
      <x:c r="P3596" s="30" t="str">
        <x:v>Размер проверен скандированием строк и сверкой с официальным ключом.</x:v>
      </x:c>
      <x:c r="Q3596" s="30"/>
      <x:c r="R3596" s="30" t="str">
        <x:v>ямбомлирика</x:v>
      </x:c>
      <x:c r="S3596" s="30"/>
      <x:c r="T3596" s="30"/>
      <x:c r="U3596" s="30" t="str">
        <x:v>В официальном ключе формы слов объединены без пробела.</x:v>
      </x:c>
      <x:c r="V3596" s="87" t="str">
        <x:v>VERIFIED</x:v>
      </x:c>
      <x:c r="W3596" s="87"/>
      <x:c r="X3596" s="87"/>
      <x:c r="Y3596" s="87"/>
      <x:c r="Z3596" s="87"/>
      <x:c r="AA3596" s="87"/>
      <x:c r="AB3596" s="87"/>
      <x:c r="AC3596" s="87"/>
      <x:c r="AD3596" s="87"/>
      <x:c r="AE3596" s="87"/>
      <x:c r="AF3596" s="87"/>
      <x:c r="AG3596" s="87"/>
      <x:c r="AH3596" s="87"/>
      <x:c r="AI3596" s="30"/>
      <x:c r="AJ3596" s="87" t="str">
        <x:v>master</x:v>
      </x:c>
      <x:c r="AK3596" s="87" t="str">
        <x:v>master-v0.81</x:v>
      </x:c>
      <x:c r="AL3596" s="87" t="str">
        <x:v>statgrad_master_base_v0_81_final(2).xlsx</x:v>
      </x:c>
      <x:c r="AM3596" s="87" t="str">
        <x:v>LIT_Oct_V1</x:v>
      </x:c>
      <x:c r="AN3596" s="87" t="n">
        <x:v>8</x:v>
      </x:c>
    </x:row>
    <x:row r="3597">
      <x:c r="A3597" s="87" t="n">
        <x:v>3596</x:v>
      </x:c>
      <x:c r="B3597" s="87" t="str">
        <x:v>OCT-LIT-V1-007</x:v>
      </x:c>
      <x:c r="C3597" s="87" t="str">
        <x:v>СтатГрад</x:v>
      </x:c>
      <x:c r="D3597" s="87" t="str">
        <x:v>Октябрь 2025</x:v>
      </x:c>
      <x:c r="E3597" s="87"/>
      <x:c r="F3597" s="87"/>
      <x:c r="G3597" s="87" t="str">
        <x:v>Литература</x:v>
      </x:c>
      <x:c r="H3597" s="87" t="n">
        <x:v>11</x:v>
      </x:c>
      <x:c r="I3597" s="87" t="str">
        <x:v>ТР №1</x:v>
      </x:c>
      <x:c r="J3597" s="87" t="str">
        <x:v>ЛИ2510101</x:v>
      </x:c>
      <x:c r="K3597" s="87" t="n">
        <x:v>7</x:v>
      </x:c>
      <x:c r="L3597" s="87" t="str">
        <x:v>Рифмовка</x:v>
      </x:c>
      <x:c r="M3597" s="30" t="str">
        <x:v>Укажите вид рифмовки в двух последних строках стихотворения Э. Верхарна.</x:v>
      </x:c>
      <x:c r="N3597" s="30" t="str">
        <x:v>парная; смежная</x:v>
      </x:c>
      <x:c r="O3597" s="30" t="str">
        <x:v>Две соседние строки образуют рифмующуюся пару, поэтому рифмовка называется парной, или смежной.</x:v>
      </x:c>
      <x:c r="P3597" s="30" t="str">
        <x:v>Окончания последних строк сопоставлены и ответ сверен с официальным ключом.</x:v>
      </x:c>
      <x:c r="Q3597" s="30"/>
      <x:c r="R3597" s="30" t="str">
        <x:v>парная; смежная</x:v>
      </x:c>
      <x:c r="S3597" s="30"/>
      <x:c r="T3597" s="30"/>
      <x:c r="U3597" s="30" t="str">
        <x:v>Официальный ключ допускает два синонимичных названия.</x:v>
      </x:c>
      <x:c r="V3597" s="87" t="str">
        <x:v>VERIFIED</x:v>
      </x:c>
      <x:c r="W3597" s="87"/>
      <x:c r="X3597" s="87"/>
      <x:c r="Y3597" s="87"/>
      <x:c r="Z3597" s="87"/>
      <x:c r="AA3597" s="87"/>
      <x:c r="AB3597" s="87"/>
      <x:c r="AC3597" s="87"/>
      <x:c r="AD3597" s="87"/>
      <x:c r="AE3597" s="87"/>
      <x:c r="AF3597" s="87"/>
      <x:c r="AG3597" s="87"/>
      <x:c r="AH3597" s="87"/>
      <x:c r="AI3597" s="30"/>
      <x:c r="AJ3597" s="87" t="str">
        <x:v>master</x:v>
      </x:c>
      <x:c r="AK3597" s="87" t="str">
        <x:v>master-v0.81</x:v>
      </x:c>
      <x:c r="AL3597" s="87" t="str">
        <x:v>statgrad_master_base_v0_81_final(2).xlsx</x:v>
      </x:c>
      <x:c r="AM3597" s="87" t="str">
        <x:v>LIT_Oct_V1</x:v>
      </x:c>
      <x:c r="AN3597" s="87" t="n">
        <x:v>9</x:v>
      </x:c>
    </x:row>
    <x:row r="3598">
      <x:c r="A3598" s="87" t="n">
        <x:v>3597</x:v>
      </x:c>
      <x:c r="B3598" s="87" t="str">
        <x:v>OCT-LIT-V1-008</x:v>
      </x:c>
      <x:c r="C3598" s="87" t="str">
        <x:v>СтатГрад</x:v>
      </x:c>
      <x:c r="D3598" s="87" t="str">
        <x:v>Октябрь 2025</x:v>
      </x:c>
      <x:c r="E3598" s="87"/>
      <x:c r="F3598" s="87"/>
      <x:c r="G3598" s="87" t="str">
        <x:v>Литература</x:v>
      </x:c>
      <x:c r="H3598" s="87" t="n">
        <x:v>11</x:v>
      </x:c>
      <x:c r="I3598" s="87" t="str">
        <x:v>ТР №1</x:v>
      </x:c>
      <x:c r="J3598" s="87" t="str">
        <x:v>ЛИ2510101</x:v>
      </x:c>
      <x:c r="K3598" s="87" t="n">
        <x:v>8</x:v>
      </x:c>
      <x:c r="L3598" s="87" t="str">
        <x:v>Художественные средства</x:v>
      </x:c>
      <x:c r="M3598" s="30" t="str">
        <x:v>Выберите использованные средства: сарказм, анафора, эпитет, риторический вопрос, олицетворение, парцелляция, неологизм.</x:v>
      </x:c>
      <x:c r="N3598" s="30" t="str">
        <x:v>2357</x:v>
      </x:c>
      <x:c r="O3598" s="30" t="str">
        <x:v>В стихотворении присутствуют анафора, эпитеты, олицетворение и авторское слово «алострастных».</x:v>
      </x:c>
      <x:c r="P3598" s="30" t="str">
        <x:v>Каждое средство подтверждено текстовой деталью и сверено с официальным ответом.</x:v>
      </x:c>
      <x:c r="Q3598" s="30"/>
      <x:c r="R3598" s="30" t="str">
        <x:v>2357</x:v>
      </x:c>
      <x:c r="S3598" s="30"/>
      <x:c r="T3598" s="30"/>
      <x:c r="U3598" s="30" t="str">
        <x:v>Порядок цифр значения не имеет; сохранён официальный порядок.</x:v>
      </x:c>
      <x:c r="V3598" s="87" t="str">
        <x:v>VERIFIED</x:v>
      </x:c>
      <x:c r="W3598" s="87"/>
      <x:c r="X3598" s="87"/>
      <x:c r="Y3598" s="87"/>
      <x:c r="Z3598" s="87"/>
      <x:c r="AA3598" s="87"/>
      <x:c r="AB3598" s="87"/>
      <x:c r="AC3598" s="87"/>
      <x:c r="AD3598" s="87"/>
      <x:c r="AE3598" s="87"/>
      <x:c r="AF3598" s="87"/>
      <x:c r="AG3598" s="87"/>
      <x:c r="AH3598" s="87"/>
      <x:c r="AI3598" s="30"/>
      <x:c r="AJ3598" s="87" t="str">
        <x:v>master</x:v>
      </x:c>
      <x:c r="AK3598" s="87" t="str">
        <x:v>master-v0.81</x:v>
      </x:c>
      <x:c r="AL3598" s="87" t="str">
        <x:v>statgrad_master_base_v0_81_final(2).xlsx</x:v>
      </x:c>
      <x:c r="AM3598" s="87" t="str">
        <x:v>LIT_Oct_V1</x:v>
      </x:c>
      <x:c r="AN3598" s="87" t="n">
        <x:v>10</x:v>
      </x:c>
    </x:row>
    <x:row r="3599">
      <x:c r="A3599" s="87" t="n">
        <x:v>3598</x:v>
      </x:c>
      <x:c r="B3599" s="87" t="str">
        <x:v>OCT-LIT-V1-009A</x:v>
      </x:c>
      <x:c r="C3599" s="87" t="str">
        <x:v>СтатГрад</x:v>
      </x:c>
      <x:c r="D3599" s="87" t="str">
        <x:v>Октябрь 2025</x:v>
      </x:c>
      <x:c r="E3599" s="87"/>
      <x:c r="F3599" s="87"/>
      <x:c r="G3599" s="87" t="str">
        <x:v>Литература</x:v>
      </x:c>
      <x:c r="H3599" s="87" t="n">
        <x:v>11</x:v>
      </x:c>
      <x:c r="I3599" s="87" t="str">
        <x:v>ТР №1</x:v>
      </x:c>
      <x:c r="J3599" s="87" t="str">
        <x:v>ЛИ2510101</x:v>
      </x:c>
      <x:c r="K3599" s="87" t="str">
        <x:v>9.1</x:v>
      </x:c>
      <x:c r="L3599" s="87" t="str">
        <x:v>Развёрнутый ответ: система образов</x:v>
      </x:c>
      <x:c r="M3599" s="30" t="str">
        <x:v>Как соотносятся образы весеннего сада и «сада души»?</x:v>
      </x:c>
      <x:c r="N3599" s="30" t="str">
        <x:v>Весенний сад и «сад души» в стихотворении соотносятся как внешний мир и его духовное отражение. Лирические герои идут по цветущему саду, но сразу утверждают, что существует «лучший сад» внутри них. Яркие краски цветов, шёпот травы, отблески воды и солнечный жар не просто описывают природу: они передают полноту взаимного чувства. Любовь делает внутренний мир героев таким же цветущим, светлым и богатым, как весенняя природа. При этом внешний сад ограничен временем, тогда как душевная радость названа безграничной и потому оказывается значительнее природной красоты. В финале образы соединяются: признания поддерживают цветение прекрасного юного сада в душе. Так природа становится метафорой любви, обновления и духовного счастья.</x:v>
      </x:c>
      <x:c r="O3599" s="30" t="str">
        <x:v>Природный сад становится отражением и метафорой внутренней любви и духовного обновления.</x:v>
      </x:c>
      <x:c r="P3599" s="30" t="str">
        <x:v>В модели есть тезис и несколько опор на цветовую, звуковую и световую образность.</x:v>
      </x:c>
      <x:c r="Q3599" s="30"/>
      <x:c r="R3599" s="30" t="str">
        <x:v>Отдельного эталона в архиве нет.</x:v>
      </x:c>
      <x:c r="S3599" s="30"/>
      <x:c r="T3599" s="30"/>
      <x:c r="U3599" s="30" t="str">
        <x:v>Самостоятельная модель; выбирается 9.1 или 9.2.</x:v>
      </x:c>
      <x:c r="V3599" s="87" t="str">
        <x:v>VERIFIED</x:v>
      </x:c>
      <x:c r="W3599" s="87"/>
      <x:c r="X3599" s="87"/>
      <x:c r="Y3599" s="87"/>
      <x:c r="Z3599" s="87"/>
      <x:c r="AA3599" s="87"/>
      <x:c r="AB3599" s="87"/>
      <x:c r="AC3599" s="87"/>
      <x:c r="AD3599" s="87"/>
      <x:c r="AE3599" s="87"/>
      <x:c r="AF3599" s="87"/>
      <x:c r="AG3599" s="87"/>
      <x:c r="AH3599" s="87"/>
      <x:c r="AI3599" s="30"/>
      <x:c r="AJ3599" s="87" t="str">
        <x:v>master</x:v>
      </x:c>
      <x:c r="AK3599" s="87" t="str">
        <x:v>master-v0.81</x:v>
      </x:c>
      <x:c r="AL3599" s="87" t="str">
        <x:v>statgrad_master_base_v0_81_final(2).xlsx</x:v>
      </x:c>
      <x:c r="AM3599" s="87" t="str">
        <x:v>LIT_Oct_V1</x:v>
      </x:c>
      <x:c r="AN3599" s="87" t="n">
        <x:v>11</x:v>
      </x:c>
    </x:row>
    <x:row r="3600">
      <x:c r="A3600" s="87" t="n">
        <x:v>3599</x:v>
      </x:c>
      <x:c r="B3600" s="87" t="str">
        <x:v>OCT-LIT-V1-009B</x:v>
      </x:c>
      <x:c r="C3600" s="87" t="str">
        <x:v>СтатГрад</x:v>
      </x:c>
      <x:c r="D3600" s="87" t="str">
        <x:v>Октябрь 2025</x:v>
      </x:c>
      <x:c r="E3600" s="87"/>
      <x:c r="F3600" s="87"/>
      <x:c r="G3600" s="87" t="str">
        <x:v>Литература</x:v>
      </x:c>
      <x:c r="H3600" s="87" t="n">
        <x:v>11</x:v>
      </x:c>
      <x:c r="I3600" s="87" t="str">
        <x:v>ТР №1</x:v>
      </x:c>
      <x:c r="J3600" s="87" t="str">
        <x:v>ЛИ2510101</x:v>
      </x:c>
      <x:c r="K3600" s="87" t="str">
        <x:v>9.2</x:v>
      </x:c>
      <x:c r="L3600" s="87" t="str">
        <x:v>Развёрнутый ответ: образный ряд</x:v>
      </x:c>
      <x:c r="M3600" s="30" t="str">
        <x:v>Как образный ряд передаёт особое, «весеннее» чувство?</x:v>
      </x:c>
      <x:c r="N3600" s="30" t="str">
        <x:v>Особое, «весеннее» чувство передаётся через изобилие света, цвета, звуков и движения. Поэт называет сад пленяющим, розы — румяными, лилии — необычным словом «алострастные», а солнечный жар — золотистым. Эти эпитеты создают ощущение яркости и чувственной полноты мира. Олицетворённая трава шепчет об участии, вода светится своевластно, весна смотрит лучезарным взглядом: природа словно разделяет счастье влюблённых. Анафорический повтор «Затем, что» придаёт речи нарастающую эмоциональность и помогает соединить множество впечатлений в единый поток радости. Восклицание «О, говори ещё!» передаёт желание продлить неповторимый миг. Поэтому весеннее чувство раскрывается как переживание обновления, открытости и безграничной любви.</x:v>
      </x:c>
      <x:c r="O3600" s="30" t="str">
        <x:v>Свет, цвет, звук, олицетворения и анафора создают ощущение обновления и эмоциональной полноты.</x:v>
      </x:c>
      <x:c r="P3600" s="30" t="str">
        <x:v>Тезис подтверждён конкретными художественными средствами и пояснением их роли.</x:v>
      </x:c>
      <x:c r="Q3600" s="30"/>
      <x:c r="R3600" s="30" t="str">
        <x:v>Отдельного эталона в архиве нет.</x:v>
      </x:c>
      <x:c r="S3600" s="30"/>
      <x:c r="T3600" s="30"/>
      <x:c r="U3600" s="30" t="str">
        <x:v>Альтернативная модель к заданию 9.2.</x:v>
      </x:c>
      <x:c r="V3600" s="87" t="str">
        <x:v>VERIFIED</x:v>
      </x:c>
      <x:c r="W3600" s="87"/>
      <x:c r="X3600" s="87"/>
      <x:c r="Y3600" s="87"/>
      <x:c r="Z3600" s="87"/>
      <x:c r="AA3600" s="87"/>
      <x:c r="AB3600" s="87"/>
      <x:c r="AC3600" s="87"/>
      <x:c r="AD3600" s="87"/>
      <x:c r="AE3600" s="87"/>
      <x:c r="AF3600" s="87"/>
      <x:c r="AG3600" s="87"/>
      <x:c r="AH3600" s="87"/>
      <x:c r="AI3600" s="30"/>
      <x:c r="AJ3600" s="87" t="str">
        <x:v>master</x:v>
      </x:c>
      <x:c r="AK3600" s="87" t="str">
        <x:v>master-v0.81</x:v>
      </x:c>
      <x:c r="AL3600" s="87" t="str">
        <x:v>statgrad_master_base_v0_81_final(2).xlsx</x:v>
      </x:c>
      <x:c r="AM3600" s="87" t="str">
        <x:v>LIT_Oct_V1</x:v>
      </x:c>
      <x:c r="AN3600" s="87" t="n">
        <x:v>12</x:v>
      </x:c>
    </x:row>
    <x:row r="3601">
      <x:c r="A3601" s="87" t="n">
        <x:v>3600</x:v>
      </x:c>
      <x:c r="B3601" s="87" t="str">
        <x:v>OCT-LIT-V1-010</x:v>
      </x:c>
      <x:c r="C3601" s="87" t="str">
        <x:v>СтатГрад</x:v>
      </x:c>
      <x:c r="D3601" s="87" t="str">
        <x:v>Октябрь 2025</x:v>
      </x:c>
      <x:c r="E3601" s="87"/>
      <x:c r="F3601" s="87"/>
      <x:c r="G3601" s="87" t="str">
        <x:v>Литература</x:v>
      </x:c>
      <x:c r="H3601" s="87" t="n">
        <x:v>11</x:v>
      </x:c>
      <x:c r="I3601" s="87" t="str">
        <x:v>ТР №1</x:v>
      </x:c>
      <x:c r="J3601" s="87" t="str">
        <x:v>ЛИ2510101</x:v>
      </x:c>
      <x:c r="K3601" s="87" t="n">
        <x:v>10</x:v>
      </x:c>
      <x:c r="L3601" s="87" t="str">
        <x:v>Сопоставительный анализ лирики</x:v>
      </x:c>
      <x:c r="M3601" s="30" t="str">
        <x:v>Сопоставьте стихотворение Э. Верхарна со стихотворением отечественного поэта, где любовь связана с природой.</x:v>
      </x:c>
      <x:c r="N3601" s="30" t="str">
        <x:v>Тема любви перекликается с темой природы в стихотворении А. А. Фета «Шёпот, робкое дыханье…». Оба произведения строятся на соединении внутреннего чувства и природного мира. У Фета интимная встреча передана через цепь ночных впечатлений: шёпот, трели соловья, колыхание ручья, свет ночной и зарю. Природные детали не служат фоном, а выражают постепенное усиление любви и завершаются эмоциональным восклицанием. У Э. Верхарна весенний сад также отражает состояние героев: цветы, вода, трава и солнечный жар превращаются в краски «сада души». Однако тональность текстов различна. У Фета чувство камерное, таинственное и почти безмолвное; поэт избегает прямого рассказа и создаёт мгновенную импрессионистическую картину. У Верхарна любовь звучит открыто и уверенно, связывается с признаниями, счастьем и праздничным цветением весны. Таким образом, оба поэта раскрывают любовь через природу, но один подчёркивает ночную тайну чувства, а другой — его светлую полноту.</x:v>
      </x:c>
      <x:c r="O3601" s="30" t="str">
        <x:v>Для сопоставления выбрано стихотворение А. А. Фета «Шёпот, робкое дыханье…».</x:v>
      </x:c>
      <x:c r="P3601" s="30" t="str">
        <x:v>Указаны автор и название, общий тезис, примеры из обоих текстов и различие тональности.</x:v>
      </x:c>
      <x:c r="Q3601" s="30"/>
      <x:c r="R3601" s="30" t="str">
        <x:v>Отдельного эталона в архиве нет.</x:v>
      </x:c>
      <x:c r="S3601" s="30"/>
      <x:c r="T3601" s="30"/>
      <x:c r="U3601" s="30" t="str">
        <x:v>Самостоятельный модельный ответ.</x:v>
      </x:c>
      <x:c r="V3601" s="87" t="str">
        <x:v>VERIFIED</x:v>
      </x:c>
      <x:c r="W3601" s="87"/>
      <x:c r="X3601" s="87"/>
      <x:c r="Y3601" s="87"/>
      <x:c r="Z3601" s="87"/>
      <x:c r="AA3601" s="87"/>
      <x:c r="AB3601" s="87"/>
      <x:c r="AC3601" s="87"/>
      <x:c r="AD3601" s="87"/>
      <x:c r="AE3601" s="87"/>
      <x:c r="AF3601" s="87"/>
      <x:c r="AG3601" s="87"/>
      <x:c r="AH3601" s="87"/>
      <x:c r="AI3601" s="30"/>
      <x:c r="AJ3601" s="87" t="str">
        <x:v>master</x:v>
      </x:c>
      <x:c r="AK3601" s="87" t="str">
        <x:v>master-v0.81</x:v>
      </x:c>
      <x:c r="AL3601" s="87" t="str">
        <x:v>statgrad_master_base_v0_81_final(2).xlsx</x:v>
      </x:c>
      <x:c r="AM3601" s="87" t="str">
        <x:v>LIT_Oct_V1</x:v>
      </x:c>
      <x:c r="AN3601" s="87" t="n">
        <x:v>13</x:v>
      </x:c>
    </x:row>
    <x:row r="3602">
      <x:c r="A3602" s="87" t="n">
        <x:v>3601</x:v>
      </x:c>
      <x:c r="B3602" s="87" t="str">
        <x:v>OCT-LIT-V1-011A</x:v>
      </x:c>
      <x:c r="C3602" s="87" t="str">
        <x:v>СтатГрад</x:v>
      </x:c>
      <x:c r="D3602" s="87" t="str">
        <x:v>Октябрь 2025</x:v>
      </x:c>
      <x:c r="E3602" s="87"/>
      <x:c r="F3602" s="87"/>
      <x:c r="G3602" s="87" t="str">
        <x:v>Литература</x:v>
      </x:c>
      <x:c r="H3602" s="87" t="n">
        <x:v>11</x:v>
      </x:c>
      <x:c r="I3602" s="87" t="str">
        <x:v>ТР №1</x:v>
      </x:c>
      <x:c r="J3602" s="87" t="str">
        <x:v>ЛИ2510101</x:v>
      </x:c>
      <x:c r="K3602" s="87" t="str">
        <x:v>11.1</x:v>
      </x:c>
      <x:c r="L3602" s="87" t="str">
        <x:v>Сочинение: своеобразие комедии</x:v>
      </x:c>
      <x:c r="M3602" s="30" t="str">
        <x:v>Что отличает пьесу Н. В. Гоголя «Ревизор» от традиционной «комедии положений»?</x:v>
      </x:c>
      <x:c r="N3602" s="30" t="str">
        <x:v>Пьесу Н. В. Гоголя «Ревизор» отличает от традиционной «комедии положений» прежде всего глубина общественного обобщения. В обычной комедии такого типа смешное возникает главным образом из путаницы, случайных совпадений и ошибочного узнавания. У Гоголя тоже действует ситуация мнимого ревизора, однако она становится способом разоблачить целую систему жизни уездного города.
Во-первых, причиной заблуждения чиновников является не случайность сама по себе, а их страх перед заслуженным наказанием. Городничий, судья, попечитель богоугодных заведений и другие герои заранее знают о собственных злоупотреблениях. Поэтому пустой и легкомысленный Хлестаков кажется им могущественным проверяющим. Драматическая ирония позволяет зрителю видеть, как персонажи сами создают обман, которого боятся.
Во-вторых, в пьесе почти нет традиционного положительного героя, способного восстановить порядок. Центральным персонажем становится собирательный образ чиновничества. Сатира направлена не на единичный порок, а на взяточничество, ложь, произвол и взаимное покрывательство как норму общественного устройства. Даже горожане, жалующиеся на власть, сами живут по законам корысти и страха.
Наконец, финал разрушает привычную лёгкость комедийной развязки. Сообщение о приезде настоящего ревизора и немая сцена превращают смех в нравственный суд. Гротескная неподвижность героев показывает, что разоблачена не частная ошибка, а весь их способ существования. Следовательно, сюжетная путаница у Гоголя служит основой сатирической комедии характеров и нравов, а не самоцелью.
Так мотив мнимого ревизора связывает сюжетный комизм с ответственностью каждого человека перед совестью и законом.</x:v>
      </x:c>
      <x:c r="O3602" s="30" t="str">
        <x:v>Полная модель сочинения: 209 слов, не менее трёх тезисов и конкретные текстовые опоры.</x:v>
      </x:c>
      <x:c r="P3602" s="30" t="str">
        <x:v>Проверены соответствие теме, авторская позиция, литературоведческие понятия, логика и минимальный объём.</x:v>
      </x:c>
      <x:c r="Q3602" s="30"/>
      <x:c r="R3602" s="30" t="str">
        <x:v>Отдельного эталона в архиве нет.</x:v>
      </x:c>
      <x:c r="S3602" s="30"/>
      <x:c r="T3602" s="30"/>
      <x:c r="U3602" s="30" t="str">
        <x:v>Самостоятельная модель сочинения 11.1; фактический объём — 209 слов.</x:v>
      </x:c>
      <x:c r="V3602" s="87" t="str">
        <x:v>VERIFIED</x:v>
      </x:c>
      <x:c r="W3602" s="87"/>
      <x:c r="X3602" s="87"/>
      <x:c r="Y3602" s="87"/>
      <x:c r="Z3602" s="87"/>
      <x:c r="AA3602" s="87"/>
      <x:c r="AB3602" s="87"/>
      <x:c r="AC3602" s="87"/>
      <x:c r="AD3602" s="87"/>
      <x:c r="AE3602" s="87"/>
      <x:c r="AF3602" s="87"/>
      <x:c r="AG3602" s="87"/>
      <x:c r="AH3602" s="87"/>
      <x:c r="AI3602" s="30"/>
      <x:c r="AJ3602" s="87" t="str">
        <x:v>master</x:v>
      </x:c>
      <x:c r="AK3602" s="87" t="str">
        <x:v>master-v0.81</x:v>
      </x:c>
      <x:c r="AL3602" s="87" t="str">
        <x:v>statgrad_master_base_v0_81_final(2).xlsx</x:v>
      </x:c>
      <x:c r="AM3602" s="87" t="str">
        <x:v>LIT_Oct_V1</x:v>
      </x:c>
      <x:c r="AN3602" s="87" t="n">
        <x:v>14</x:v>
      </x:c>
    </x:row>
    <x:row r="3603">
      <x:c r="A3603" s="87" t="n">
        <x:v>3602</x:v>
      </x:c>
      <x:c r="B3603" s="87" t="str">
        <x:v>OCT-LIT-V1-011B</x:v>
      </x:c>
      <x:c r="C3603" s="87" t="str">
        <x:v>СтатГрад</x:v>
      </x:c>
      <x:c r="D3603" s="87" t="str">
        <x:v>Октябрь 2025</x:v>
      </x:c>
      <x:c r="E3603" s="87"/>
      <x:c r="F3603" s="87"/>
      <x:c r="G3603" s="87" t="str">
        <x:v>Литература</x:v>
      </x:c>
      <x:c r="H3603" s="87" t="n">
        <x:v>11</x:v>
      </x:c>
      <x:c r="I3603" s="87" t="str">
        <x:v>ТР №1</x:v>
      </x:c>
      <x:c r="J3603" s="87" t="str">
        <x:v>ЛИ2510101</x:v>
      </x:c>
      <x:c r="K3603" s="87" t="str">
        <x:v>11.2</x:v>
      </x:c>
      <x:c r="L3603" s="87" t="str">
        <x:v>Сочинение: лирика Некрасова</x:v>
      </x:c>
      <x:c r="M3603" s="30" t="str">
        <x:v>Сюжеты и проблематика стихотворений Н. А. Некрасова (на примере не менее трёх стихотворений).</x:v>
      </x:c>
      <x:c r="N3603" s="30" t="str">
        <x:v>Стихотворения Н. А. Некрасова отличаются сюжетностью и напряжённой социальной проблематикой. Поэт часто строит лирическое произведение как рассказ о человеческой судьбе, благодаря чему общественная тема раскрывается через конкретный характер и событие.
В стихотворении «В дороге» история крестьянки Груши передана в разговоре барина и ямщика. Девушку воспитали в господском доме, приучили к чтению и иной жизни, а затем насильно вернули в деревню и выдали замуж. Этот сюжет раскрывает бесправие крепостного человека: чужая воля разрушает личность и семью. Разговорная интонация и речевая характеристика ямщика усиливают достоверность трагедии.
В «Железной дороге» сюжет путешествия соединён с видением мёртвых строителей. За внешним великолепием технического достижения лирический герой показывает тяжёлый труд народа, голод, болезни и смерть. Антитеза между официальной похвалой генералу и образом «массы народной» разоблачает несправедливость, при которой создатели национального богатства остаются безымянными.
В «Размышлениях у парадного подъезда» основой становится эпизод, когда просителей-крестьян не допускают к вельможе. Из частной сцены вырастает широкое обобщение о судьбе России. Риторические обращения к сановнику и народу придают тексту гражданский пафос и выражают нравственное требование пробуждения.
Таким образом, сюжеты Некрасова разнообразны, но их объединяет внимание к униженному человеку. Поэт исследует крепостное насилие, эксплуатацию труда и равнодушие власти. Его лирический герой не только сочувствует страдающим, но и превращает поэзию в форму общественного свидетельства и суда.</x:v>
      </x:c>
      <x:c r="O3603" s="30" t="str">
        <x:v>Полная модель сочинения: 203 слов, не менее трёх тезисов и конкретные текстовые опоры.</x:v>
      </x:c>
      <x:c r="P3603" s="30" t="str">
        <x:v>Проверены соответствие теме, авторская позиция, литературоведческие понятия, логика и минимальный объём.</x:v>
      </x:c>
      <x:c r="Q3603" s="30"/>
      <x:c r="R3603" s="30" t="str">
        <x:v>Отдельного эталона в архиве нет.</x:v>
      </x:c>
      <x:c r="S3603" s="30"/>
      <x:c r="T3603" s="30"/>
      <x:c r="U3603" s="30" t="str">
        <x:v>Самостоятельная модель сочинения 11.2; фактический объём — 203 слов.</x:v>
      </x:c>
      <x:c r="V3603" s="87" t="str">
        <x:v>VERIFIED</x:v>
      </x:c>
      <x:c r="W3603" s="87"/>
      <x:c r="X3603" s="87"/>
      <x:c r="Y3603" s="87"/>
      <x:c r="Z3603" s="87"/>
      <x:c r="AA3603" s="87"/>
      <x:c r="AB3603" s="87"/>
      <x:c r="AC3603" s="87"/>
      <x:c r="AD3603" s="87"/>
      <x:c r="AE3603" s="87"/>
      <x:c r="AF3603" s="87"/>
      <x:c r="AG3603" s="87"/>
      <x:c r="AH3603" s="87"/>
      <x:c r="AI3603" s="30"/>
      <x:c r="AJ3603" s="87" t="str">
        <x:v>master</x:v>
      </x:c>
      <x:c r="AK3603" s="87" t="str">
        <x:v>master-v0.81</x:v>
      </x:c>
      <x:c r="AL3603" s="87" t="str">
        <x:v>statgrad_master_base_v0_81_final(2).xlsx</x:v>
      </x:c>
      <x:c r="AM3603" s="87" t="str">
        <x:v>LIT_Oct_V1</x:v>
      </x:c>
      <x:c r="AN3603" s="87" t="n">
        <x:v>15</x:v>
      </x:c>
    </x:row>
    <x:row r="3604">
      <x:c r="A3604" s="87" t="n">
        <x:v>3603</x:v>
      </x:c>
      <x:c r="B3604" s="87" t="str">
        <x:v>OCT-LIT-V1-011C</x:v>
      </x:c>
      <x:c r="C3604" s="87" t="str">
        <x:v>СтатГрад</x:v>
      </x:c>
      <x:c r="D3604" s="87" t="str">
        <x:v>Октябрь 2025</x:v>
      </x:c>
      <x:c r="E3604" s="87"/>
      <x:c r="F3604" s="87"/>
      <x:c r="G3604" s="87" t="str">
        <x:v>Литература</x:v>
      </x:c>
      <x:c r="H3604" s="87" t="n">
        <x:v>11</x:v>
      </x:c>
      <x:c r="I3604" s="87" t="str">
        <x:v>ТР №1</x:v>
      </x:c>
      <x:c r="J3604" s="87" t="str">
        <x:v>ЛИ2510101</x:v>
      </x:c>
      <x:c r="K3604" s="87" t="str">
        <x:v>11.3</x:v>
      </x:c>
      <x:c r="L3604" s="87" t="str">
        <x:v>Сочинение: внутренняя драма героя</x:v>
      </x:c>
      <x:c r="M3604" s="30" t="str">
        <x:v>В чём заключается внутренняя драма Дмитрия Старцева? (По рассказу А. П. Чехова «Ионыч».)</x:v>
      </x:c>
      <x:c r="N3604" s="30" t="str">
        <x:v>Внутренняя драма Дмитрия Старцева заключается в постепенной утрате лучших возможностей собственной личности. В начале рассказа А. П. Чехова герой образован, трудолюбив и способен искренне интересоваться людьми. Он много работает земским врачом, ходит пешком и тянется к культуре. Однако провинциальная среда и его собственная духовная слабость постепенно превращают Старцева в Ионыча.
Первый важный этап драмы связан с любовью к Екатерине Ивановне. Старцев переживает сильное чувство и готов сделать предложение, но уже тогда думает о приданом и удобстве будущей жизни. Ночной эпизод на кладбище показывает, что герой ещё способен на поэтическое волнение, однако отказ Котика он воспринимает не как опыт, который может углубить личность, а как повод отказаться от душевного риска. Позднее, когда Екатерина Ивановна сама ищет близости, Старцев чувствует прежний огонёк лишь на мгновение и сознательно гасит его.
Второй источник драмы — внутреннее приспособление к пошлости. Герой видит ограниченность семьи Туркиных, раздражается пустыми разговорами обывателей, но не противопоставляет им содержательную жизнь. Постепенно его главным интересом становятся деньги, которые он пересчитывает по вечерам.
Наконец, внешняя градация подчёркивает духовное падение: Старцев полнеет, тяжело дышит, кричит на больных и ездит на тройке с бубенчиками. Прозвище «Ионыч» фиксирует исчезновение прежней личности. Трагедия героя состоит в том, что он не лишён понимания происходящего, но не находит в себе воли сопротивляться. Поэтому его поражает не одна среда: он сам последовательно выбирает покой, выгоду и одиночество.</x:v>
      </x:c>
      <x:c r="O3604" s="30" t="str">
        <x:v>Полная модель сочинения: 217 слов, не менее трёх тезисов и конкретные текстовые опоры.</x:v>
      </x:c>
      <x:c r="P3604" s="30" t="str">
        <x:v>Проверены соответствие теме, авторская позиция, литературоведческие понятия, логика и минимальный объём.</x:v>
      </x:c>
      <x:c r="Q3604" s="30"/>
      <x:c r="R3604" s="30" t="str">
        <x:v>Отдельного эталона в архиве нет.</x:v>
      </x:c>
      <x:c r="S3604" s="30"/>
      <x:c r="T3604" s="30"/>
      <x:c r="U3604" s="30" t="str">
        <x:v>Самостоятельная модель сочинения 11.3; фактический объём — 217 слов.</x:v>
      </x:c>
      <x:c r="V3604" s="87" t="str">
        <x:v>VERIFIED</x:v>
      </x:c>
      <x:c r="W3604" s="87"/>
      <x:c r="X3604" s="87"/>
      <x:c r="Y3604" s="87"/>
      <x:c r="Z3604" s="87"/>
      <x:c r="AA3604" s="87"/>
      <x:c r="AB3604" s="87"/>
      <x:c r="AC3604" s="87"/>
      <x:c r="AD3604" s="87"/>
      <x:c r="AE3604" s="87"/>
      <x:c r="AF3604" s="87"/>
      <x:c r="AG3604" s="87"/>
      <x:c r="AH3604" s="87"/>
      <x:c r="AI3604" s="30"/>
      <x:c r="AJ3604" s="87" t="str">
        <x:v>master</x:v>
      </x:c>
      <x:c r="AK3604" s="87" t="str">
        <x:v>master-v0.81</x:v>
      </x:c>
      <x:c r="AL3604" s="87" t="str">
        <x:v>statgrad_master_base_v0_81_final(2).xlsx</x:v>
      </x:c>
      <x:c r="AM3604" s="87" t="str">
        <x:v>LIT_Oct_V1</x:v>
      </x:c>
      <x:c r="AN3604" s="87" t="n">
        <x:v>16</x:v>
      </x:c>
    </x:row>
    <x:row r="3605">
      <x:c r="A3605" s="87" t="n">
        <x:v>3604</x:v>
      </x:c>
      <x:c r="B3605" s="87" t="str">
        <x:v>OCT-LIT-V1-011D</x:v>
      </x:c>
      <x:c r="C3605" s="87" t="str">
        <x:v>СтатГрад</x:v>
      </x:c>
      <x:c r="D3605" s="87" t="str">
        <x:v>Октябрь 2025</x:v>
      </x:c>
      <x:c r="E3605" s="87"/>
      <x:c r="F3605" s="87"/>
      <x:c r="G3605" s="87" t="str">
        <x:v>Литература</x:v>
      </x:c>
      <x:c r="H3605" s="87" t="n">
        <x:v>11</x:v>
      </x:c>
      <x:c r="I3605" s="87" t="str">
        <x:v>ТР №1</x:v>
      </x:c>
      <x:c r="J3605" s="87" t="str">
        <x:v>ЛИ2510101</x:v>
      </x:c>
      <x:c r="K3605" s="87" t="str">
        <x:v>11.4</x:v>
      </x:c>
      <x:c r="L3605" s="87" t="str">
        <x:v>Сочинение: философская лирика</x:v>
      </x:c>
      <x:c r="M3605" s="30" t="str">
        <x:v>Тема человека и мироздания в отечественной поэзии (на примере творчества Ф. И. Тютчева).</x:v>
      </x:c>
      <x:c r="N3605" s="30" t="str">
        <x:v>В философской лирике Ф. И. Тютчева человек постоянно соотнесён с огромным, живым и загадочным мирозданием. Поэт показывает, что природа не является бездушным фоном: она обладает собственной жизнью, языком и тайной, а человеческое сознание одновременно родственно космосу и отделено от него.
В стихотворении «Не то, что мните вы, природа…» природа названа существом с душой, свободой, любовью и языком. Олицетворение выражает первый важный тезис Тютчева: человек способен вступить с миром в духовное общение, но для этого должен отказаться от равнодушного, механического взгляда. Глухота к природе становится нравственной и познавательной ограниченностью.
В стихотворении «День и ночь» мироздание представлено через антитезу. День — «блистательный покров», скрывающий бездонный хаос, а ночь снимает этот покров. Человек ощущает хрупкость привычного порядка и близость космической бездны. Образ хаоса показывает, что разум не полностью властвует над реальностью.
Наконец, в «Silentium!» проблема мироздания переносится внутрь личности. Душа уподоблена самостоятельной вселенной, где восходят и заходят таинственные светила. Однако слово способно исказить внутренний опыт: «мысль изречённая есть ложь». Поэтому человек связан с космосом глубиной и непостижимостью собственного мира.
Таким образом, Тютчев раскрывает двойственное положение личности. Она чувствует родство с природой и вселенной, но не может до конца выразить или рационально постичь их тайну. Антитеза, символ и олицетворение помогают поэту показать величие мироздания и трагическую ограниченность человеческого знания.</x:v>
      </x:c>
      <x:c r="O3605" s="30" t="str">
        <x:v>Полная модель сочинения: 204 слов, не менее трёх тезисов и конкретные текстовые опоры.</x:v>
      </x:c>
      <x:c r="P3605" s="30" t="str">
        <x:v>Проверены соответствие теме, авторская позиция, литературоведческие понятия, логика и минимальный объём.</x:v>
      </x:c>
      <x:c r="Q3605" s="30"/>
      <x:c r="R3605" s="30" t="str">
        <x:v>Отдельного эталона в архиве нет.</x:v>
      </x:c>
      <x:c r="S3605" s="30"/>
      <x:c r="T3605" s="30"/>
      <x:c r="U3605" s="30" t="str">
        <x:v>Самостоятельная модель сочинения 11.4; фактический объём — 204 слов.</x:v>
      </x:c>
      <x:c r="V3605" s="87" t="str">
        <x:v>VERIFIED</x:v>
      </x:c>
      <x:c r="W3605" s="87"/>
      <x:c r="X3605" s="87"/>
      <x:c r="Y3605" s="87"/>
      <x:c r="Z3605" s="87"/>
      <x:c r="AA3605" s="87"/>
      <x:c r="AB3605" s="87"/>
      <x:c r="AC3605" s="87"/>
      <x:c r="AD3605" s="87"/>
      <x:c r="AE3605" s="87"/>
      <x:c r="AF3605" s="87"/>
      <x:c r="AG3605" s="87"/>
      <x:c r="AH3605" s="87"/>
      <x:c r="AI3605" s="30"/>
      <x:c r="AJ3605" s="87" t="str">
        <x:v>master</x:v>
      </x:c>
      <x:c r="AK3605" s="87" t="str">
        <x:v>master-v0.81</x:v>
      </x:c>
      <x:c r="AL3605" s="87" t="str">
        <x:v>statgrad_master_base_v0_81_final(2).xlsx</x:v>
      </x:c>
      <x:c r="AM3605" s="87" t="str">
        <x:v>LIT_Oct_V1</x:v>
      </x:c>
      <x:c r="AN3605" s="87" t="n">
        <x:v>17</x:v>
      </x:c>
    </x:row>
    <x:row r="3606">
      <x:c r="A3606" s="87" t="n">
        <x:v>3605</x:v>
      </x:c>
      <x:c r="B3606" s="87" t="str">
        <x:v>OCT-LIT-V1-011E</x:v>
      </x:c>
      <x:c r="C3606" s="87" t="str">
        <x:v>СтатГрад</x:v>
      </x:c>
      <x:c r="D3606" s="87" t="str">
        <x:v>Октябрь 2025</x:v>
      </x:c>
      <x:c r="E3606" s="87"/>
      <x:c r="F3606" s="87"/>
      <x:c r="G3606" s="87" t="str">
        <x:v>Литература</x:v>
      </x:c>
      <x:c r="H3606" s="87" t="n">
        <x:v>11</x:v>
      </x:c>
      <x:c r="I3606" s="87" t="str">
        <x:v>ТР №1</x:v>
      </x:c>
      <x:c r="J3606" s="87" t="str">
        <x:v>ЛИ2510101</x:v>
      </x:c>
      <x:c r="K3606" s="87" t="str">
        <x:v>11.5</x:v>
      </x:c>
      <x:c r="L3606" s="87" t="str">
        <x:v>Сочинение: рекомендации художнику</x:v>
      </x:c>
      <x:c r="M3606" s="30" t="str">
        <x:v>Какие рекомендации можно дать художнику, иллюстрирующему роман М. А. Булгакова «Мастер и Маргарита»?</x:v>
      </x:c>
      <x:c r="N3606" s="30" t="str">
        <x:v>Художнику, иллюстрирующему роман М. А. Булгакова «Мастер и Маргарита», следует прежде всего передать сложную композицию произведения: московский и ершалаимский миры должны различаться визуально, но перекликаться по смыслу. Московские главы можно строить на резких контрастах, гротескных ракурсах и насыщенных искусственных цветах. В сценах в Варьете или квартире № 50 важно показать не только фантастику свиты Воланда, но и жадность, тщеславие и страх толпы. Детали костюмов, денег и театрального света помогут раскрыть сатиру.
Ершалаимские главы требуют другой пластики. Здесь уместны выжженные солнцем охристые тона, широкое пустое пространство и строгая композиция. В сцене разговора Понтия Пилата с Иешуа художнику важно подчеркнуть противопоставление внешней власти и внутренней свободы. Белый плащ с кровавым подбоем, мучительная головная боль прокуратора и спокойная поза арестанта должны стать смысловыми художественными деталями.
Особое внимание необходимо уделить образам Мастера и Маргариты. Мастера лучше изображать не романтически величественным, а уязвимым, измученным страхом и отказом от собственного текста. Маргарита, напротив, должна сохранять энергию движения. В сцене полёта её фигура может быть связана с ночным пространством Москвы, а на балу — контрастировать с мёртвой роскошью гостей.
Финальные иллюстрации стоит объединить мотивами луны, дороги и покоя. Свет не должен выглядеть торжественной наградой: героям дарован именно покой. Такая цветовая и композиционная система поможет сохранить многоплановость романа, соединить сатиру, философскую притчу и любовную линию, не превращая фантастические эпизоды в простую декоративность.</x:v>
      </x:c>
      <x:c r="O3606" s="30" t="str">
        <x:v>Полная модель сочинения: 211 слов, не менее трёх тезисов и конкретные текстовые опоры.</x:v>
      </x:c>
      <x:c r="P3606" s="30" t="str">
        <x:v>Проверены соответствие теме, авторская позиция, литературоведческие понятия, логика и минимальный объём.</x:v>
      </x:c>
      <x:c r="Q3606" s="30"/>
      <x:c r="R3606" s="30" t="str">
        <x:v>Отдельного эталона в архиве нет.</x:v>
      </x:c>
      <x:c r="S3606" s="30"/>
      <x:c r="T3606" s="30"/>
      <x:c r="U3606" s="30" t="str">
        <x:v>Самостоятельная модель сочинения 11.5; фактический объём — 211 слов.</x:v>
      </x:c>
      <x:c r="V3606" s="87" t="str">
        <x:v>VERIFIED</x:v>
      </x:c>
      <x:c r="W3606" s="87"/>
      <x:c r="X3606" s="87"/>
      <x:c r="Y3606" s="87"/>
      <x:c r="Z3606" s="87"/>
      <x:c r="AA3606" s="87"/>
      <x:c r="AB3606" s="87"/>
      <x:c r="AC3606" s="87"/>
      <x:c r="AD3606" s="87"/>
      <x:c r="AE3606" s="87"/>
      <x:c r="AF3606" s="87"/>
      <x:c r="AG3606" s="87"/>
      <x:c r="AH3606" s="87"/>
      <x:c r="AI3606" s="30"/>
      <x:c r="AJ3606" s="87" t="str">
        <x:v>master</x:v>
      </x:c>
      <x:c r="AK3606" s="87" t="str">
        <x:v>master-v0.81</x:v>
      </x:c>
      <x:c r="AL3606" s="87" t="str">
        <x:v>statgrad_master_base_v0_81_final(2).xlsx</x:v>
      </x:c>
      <x:c r="AM3606" s="87" t="str">
        <x:v>LIT_Oct_V1</x:v>
      </x:c>
      <x:c r="AN3606" s="87" t="n">
        <x:v>18</x:v>
      </x:c>
    </x:row>
    <x:row r="3607">
      <x:c r="A3607" s="87" t="n">
        <x:v>3606</x:v>
      </x:c>
      <x:c r="B3607" s="87" t="str">
        <x:v>OCT-RUS-V1-001</x:v>
      </x:c>
      <x:c r="C3607" s="87" t="str">
        <x:v>СтатГрад</x:v>
      </x:c>
      <x:c r="D3607" s="87" t="str">
        <x:v>Октябрь 2025</x:v>
      </x:c>
      <x:c r="E3607" s="87"/>
      <x:c r="F3607" s="87"/>
      <x:c r="G3607" s="87" t="str">
        <x:v>Русский язык</x:v>
      </x:c>
      <x:c r="H3607" s="87" t="n">
        <x:v>11</x:v>
      </x:c>
      <x:c r="I3607" s="87" t="str">
        <x:v>ТР №2</x:v>
      </x:c>
      <x:c r="J3607" s="87" t="str">
        <x:v>РЯ2510201</x:v>
      </x:c>
      <x:c r="K3607" s="87" t="n">
        <x:v>1</x:v>
      </x:c>
      <x:c r="L3607" s="87" t="str">
        <x:v>Средство связи / грамматика текста</x:v>
      </x:c>
      <x:c r="M3607" s="30" t="str">
        <x:v>Самостоятельно подберите составной производный предлог, который должен
    стоять на месте пропуска в пункте 1 текста. Запишите этот предлог.</x:v>
      </x:c>
      <x:c r="N3607" s="30" t="str">
        <x:v>в соответствии с</x:v>
      </x:c>
      <x:c r="O3607" s="30" t="str">
        <x:v>Ответ восстанавливает требуемую грамматическую связь и соответствует контексту исходного текста.</x:v>
      </x:c>
      <x:c r="P3607" s="30" t="str">
        <x:v>Ответ восстанавливает требуемую грамматическую связь и соответствует контексту исходного текста.</x:v>
      </x:c>
      <x:c r="Q3607" s="30"/>
      <x:c r="R3607" s="30" t="str">
        <x:v>Официальный PDF ответов + независимая проверка</x:v>
      </x:c>
      <x:c r="S3607" s="30"/>
      <x:c r="T3607" s="30"/>
      <x:c r="U3607" s="30" t="str">
        <x:v>Внутренний колонтитул PDF ошибочно содержит код РЯ2410201/РЯ2410202; вариант установлен по обложке и официальному PDF ответов: РЯ2510201/РЯ2510202.</x:v>
      </x:c>
      <x:c r="V3607" s="87" t="str">
        <x:v>VERIFIED</x:v>
      </x:c>
      <x:c r="W3607" s="87" t="str">
        <x:v>Zadanie_RU11_21102025.pdf, стр. 3</x:v>
      </x:c>
      <x:c r="X3607" s="87"/>
      <x:c r="Y3607" s="87"/>
      <x:c r="Z3607" s="87"/>
      <x:c r="AA3607" s="87"/>
      <x:c r="AB3607" s="87"/>
      <x:c r="AC3607" s="87"/>
      <x:c r="AD3607" s="87"/>
      <x:c r="AE3607" s="87"/>
      <x:c r="AF3607" s="87"/>
      <x:c r="AG3607" s="87"/>
      <x:c r="AH3607" s="87"/>
      <x:c r="AI3607" s="30"/>
      <x:c r="AJ3607" s="87" t="str">
        <x:v>master</x:v>
      </x:c>
      <x:c r="AK3607" s="87" t="str">
        <x:v>master-v0.81</x:v>
      </x:c>
      <x:c r="AL3607" s="87" t="str">
        <x:v>statgrad_master_base_v0_81_final(2).xlsx</x:v>
      </x:c>
      <x:c r="AM3607" s="87" t="str">
        <x:v>RUS_Oct_V1</x:v>
      </x:c>
      <x:c r="AN3607" s="87" t="n">
        <x:v>2</x:v>
      </x:c>
    </x:row>
    <x:row r="3608">
      <x:c r="A3608" s="87" t="n">
        <x:v>3607</x:v>
      </x:c>
      <x:c r="B3608" s="87" t="str">
        <x:v>OCT-RUS-V1-002</x:v>
      </x:c>
      <x:c r="C3608" s="87" t="str">
        <x:v>СтатГрад</x:v>
      </x:c>
      <x:c r="D3608" s="87" t="str">
        <x:v>Октябрь 2025</x:v>
      </x:c>
      <x:c r="E3608" s="87"/>
      <x:c r="F3608" s="87"/>
      <x:c r="G3608" s="87" t="str">
        <x:v>Русский язык</x:v>
      </x:c>
      <x:c r="H3608" s="87" t="n">
        <x:v>11</x:v>
      </x:c>
      <x:c r="I3608" s="87" t="str">
        <x:v>ТР №2</x:v>
      </x:c>
      <x:c r="J3608" s="87" t="str">
        <x:v>РЯ2510201</x:v>
      </x:c>
      <x:c r="K3608" s="87" t="n">
        <x:v>2</x:v>
      </x:c>
      <x:c r="L3608" s="87" t="str">
        <x:v>Лексическое значение</x:v>
      </x:c>
      <x:c r="M3608" s="30" t="str">
        <x:v>В тексте выделено пять слов. Укажите варианты ответов, в которых
    лексическое значение выделенного слова соответствует его значению
    в данном тексте. Запишите номера ответов.
    1) ТРУДОВОЙ. Протекающий в труде, наполненный трудом. Трудовой
       день. Трудовые будни.
    2) ЧАСТЬ. чего. Предмет, являющийся составным элементом какого-л.
       единого целого, системы (организма, механизма и т. п.). Запасная часть.
       Часть часов. Сборка частей машины.
    3) УВАЖИТЕЛЬНЫЙ. Достаточный для оправдания чего-либо; такой,
       который может быть принят во внимание. Основания для отказа у неё
       уважительные.
    4) ИСТОЧНИК. Письменный памятник, документ, используемый при
       научном исследовании. Опираться на источники. Доскональное знание
       древних источников.
    5) ПОСЛЕДНИЙ. Книжн. Этот, только что упомянутый. Пришли Иванов и
       Сидоров, последний – с опозданием.</x:v>
      </x:c>
      <x:c r="N3608" s="30" t="str">
        <x:v>35</x:v>
      </x:c>
      <x:c r="O3608" s="30" t="str">
        <x:v>Выбранные толкования совпадают с контекстуальными значениями выделенных слов.</x:v>
      </x:c>
      <x:c r="P3608" s="30" t="str">
        <x:v>Выбранные толкования совпадают с контекстуальными значениями выделенных слов.</x:v>
      </x:c>
      <x:c r="Q3608" s="30"/>
      <x:c r="R3608" s="30" t="str">
        <x:v>Архивный фото-ключ + независимая проверка</x:v>
      </x:c>
      <x:c r="S3608" s="30"/>
      <x:c r="T3608" s="30"/>
      <x:c r="U3608"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08" s="87" t="str">
        <x:v>VERIFIED</x:v>
      </x:c>
      <x:c r="W3608" s="87" t="str">
        <x:v>Zadanie_RU11_21102025.pdf, стр. 3</x:v>
      </x:c>
      <x:c r="X3608" s="87"/>
      <x:c r="Y3608" s="87"/>
      <x:c r="Z3608" s="87"/>
      <x:c r="AA3608" s="87"/>
      <x:c r="AB3608" s="87"/>
      <x:c r="AC3608" s="87"/>
      <x:c r="AD3608" s="87"/>
      <x:c r="AE3608" s="87"/>
      <x:c r="AF3608" s="87"/>
      <x:c r="AG3608" s="87"/>
      <x:c r="AH3608" s="87"/>
      <x:c r="AI3608" s="30"/>
      <x:c r="AJ3608" s="87" t="str">
        <x:v>master</x:v>
      </x:c>
      <x:c r="AK3608" s="87" t="str">
        <x:v>master-v0.81</x:v>
      </x:c>
      <x:c r="AL3608" s="87" t="str">
        <x:v>statgrad_master_base_v0_81_final(2).xlsx</x:v>
      </x:c>
      <x:c r="AM3608" s="87" t="str">
        <x:v>RUS_Oct_V1</x:v>
      </x:c>
      <x:c r="AN3608" s="87" t="n">
        <x:v>3</x:v>
      </x:c>
    </x:row>
    <x:row r="3609">
      <x:c r="A3609" s="87" t="n">
        <x:v>3608</x:v>
      </x:c>
      <x:c r="B3609" s="87" t="str">
        <x:v>OCT-RUS-V1-003</x:v>
      </x:c>
      <x:c r="C3609" s="87" t="str">
        <x:v>СтатГрад</x:v>
      </x:c>
      <x:c r="D3609" s="87" t="str">
        <x:v>Октябрь 2025</x:v>
      </x:c>
      <x:c r="E3609" s="87"/>
      <x:c r="F3609" s="87"/>
      <x:c r="G3609" s="87" t="str">
        <x:v>Русский язык</x:v>
      </x:c>
      <x:c r="H3609" s="87" t="n">
        <x:v>11</x:v>
      </x:c>
      <x:c r="I3609" s="87" t="str">
        <x:v>ТР №2</x:v>
      </x:c>
      <x:c r="J3609" s="87" t="str">
        <x:v>РЯ2510201</x:v>
      </x:c>
      <x:c r="K3609" s="87" t="n">
        <x:v>3</x:v>
      </x:c>
      <x:c r="L3609" s="87" t="str">
        <x:v>Стилистический анализ</x:v>
      </x:c>
      <x:c r="M3609" s="30" t="str">
        <x:v>Укажите варианты ответов, в которых даны верные характеристики текста.
    Запишите номера ответов.
    1) Текст представляет собой образец официально-делового стиля речи. Цель
       автора – сообщить информацию, имеющую практическое значение,
       описав условия взаимодействия, права и обязанности сторон договора.
    2) Композиция и содержание текста соответствуют жанру объяснительной
       записки. В тексте указаны номер документа, дата его создания и
       наименование организации.
    3) В соответствии с принадлежностью к научному стилю в тексте
       присутствуют эмоционально окрашенные слова высокого стиля
       (именуемый, неотъемлемый, оповещать), а также общеупотребительная
       лексика (распорядок, работа, досрочно).
    4) В тексте используются предложения с обособленными членами,
       повествовательные двусоставные нераспространённые предложения, а
       также сложноподчинённые предложения.
    5) Средства выразительности языка в тексте, в соответствии с требованиями
       официально-делового стиля, отсутствуют.
                                   согласия СтатГрад запрещена</x:v>
      </x:c>
      <x:c r="N3609" s="30" t="str">
        <x:v>15</x:v>
      </x:c>
      <x:c r="O3609" s="30" t="str">
        <x:v>Верные характеристики определены по стилю, цели, композиции и синтаксису исходного текста.</x:v>
      </x:c>
      <x:c r="P3609" s="30" t="str">
        <x:v>Верные характеристики определены по стилю, цели, композиции и синтаксису исходного текста.</x:v>
      </x:c>
      <x:c r="Q3609" s="30"/>
      <x:c r="R3609" s="30" t="str">
        <x:v>Архивный фото-ключ + независимая проверка</x:v>
      </x:c>
      <x:c r="S3609" s="30"/>
      <x:c r="T3609" s="30"/>
      <x:c r="U3609"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09" s="87" t="str">
        <x:v>VERIFIED</x:v>
      </x:c>
      <x:c r="W3609" s="87" t="str">
        <x:v>Zadanie_RU11_21102025.pdf, стр. 3</x:v>
      </x:c>
      <x:c r="X3609" s="87"/>
      <x:c r="Y3609" s="87"/>
      <x:c r="Z3609" s="87"/>
      <x:c r="AA3609" s="87"/>
      <x:c r="AB3609" s="87"/>
      <x:c r="AC3609" s="87"/>
      <x:c r="AD3609" s="87"/>
      <x:c r="AE3609" s="87"/>
      <x:c r="AF3609" s="87"/>
      <x:c r="AG3609" s="87"/>
      <x:c r="AH3609" s="87"/>
      <x:c r="AI3609" s="30"/>
      <x:c r="AJ3609" s="87" t="str">
        <x:v>master</x:v>
      </x:c>
      <x:c r="AK3609" s="87" t="str">
        <x:v>master-v0.81</x:v>
      </x:c>
      <x:c r="AL3609" s="87" t="str">
        <x:v>statgrad_master_base_v0_81_final(2).xlsx</x:v>
      </x:c>
      <x:c r="AM3609" s="87" t="str">
        <x:v>RUS_Oct_V1</x:v>
      </x:c>
      <x:c r="AN3609" s="87" t="n">
        <x:v>4</x:v>
      </x:c>
    </x:row>
    <x:row r="3610">
      <x:c r="A3610" s="87" t="n">
        <x:v>3609</x:v>
      </x:c>
      <x:c r="B3610" s="87" t="str">
        <x:v>OCT-RUS-V1-004</x:v>
      </x:c>
      <x:c r="C3610" s="87" t="str">
        <x:v>СтатГрад</x:v>
      </x:c>
      <x:c r="D3610" s="87" t="str">
        <x:v>Октябрь 2025</x:v>
      </x:c>
      <x:c r="E3610" s="87"/>
      <x:c r="F3610" s="87"/>
      <x:c r="G3610" s="87" t="str">
        <x:v>Русский язык</x:v>
      </x:c>
      <x:c r="H3610" s="87" t="n">
        <x:v>11</x:v>
      </x:c>
      <x:c r="I3610" s="87" t="str">
        <x:v>ТР №2</x:v>
      </x:c>
      <x:c r="J3610" s="87" t="str">
        <x:v>РЯ2510201</x:v>
      </x:c>
      <x:c r="K3610" s="87" t="n">
        <x:v>4</x:v>
      </x:c>
      <x:c r="L3610" s="87" t="str">
        <x:v>Орфоэпия</x:v>
      </x:c>
      <x:c r="M3610" s="30" t="str">
        <x:v>Укажите варианты ответов, в которых верно выделена буква, обозначающая
    ударный гласный звук. Запишите номера ответов.
    1) грАжданство
    2) корЫсть
    3) отклЮченный
    4) тортЫ
    5) обострИть</x:v>
      </x:c>
      <x:c r="N3610" s="30" t="str">
        <x:v>25</x:v>
      </x:c>
      <x:c r="O3610" s="30" t="str">
        <x:v>Ответ соответствует современным орфоэпическим нормам русского литературного языка.</x:v>
      </x:c>
      <x:c r="P3610" s="30" t="str">
        <x:v>Ответ соответствует современным орфоэпическим нормам русского литературного языка.</x:v>
      </x:c>
      <x:c r="Q3610" s="30"/>
      <x:c r="R3610" s="30" t="str">
        <x:v>Архивный фото-ключ + независимая проверка</x:v>
      </x:c>
      <x:c r="S3610" s="30"/>
      <x:c r="T3610" s="30"/>
      <x:c r="U3610"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10" s="87" t="str">
        <x:v>VERIFIED</x:v>
      </x:c>
      <x:c r="W3610" s="87" t="str">
        <x:v>Zadanie_RU11_21102025.pdf, стр. 4</x:v>
      </x:c>
      <x:c r="X3610" s="87"/>
      <x:c r="Y3610" s="87"/>
      <x:c r="Z3610" s="87"/>
      <x:c r="AA3610" s="87"/>
      <x:c r="AB3610" s="87"/>
      <x:c r="AC3610" s="87"/>
      <x:c r="AD3610" s="87"/>
      <x:c r="AE3610" s="87"/>
      <x:c r="AF3610" s="87"/>
      <x:c r="AG3610" s="87"/>
      <x:c r="AH3610" s="87"/>
      <x:c r="AI3610" s="30"/>
      <x:c r="AJ3610" s="87" t="str">
        <x:v>master</x:v>
      </x:c>
      <x:c r="AK3610" s="87" t="str">
        <x:v>master-v0.81</x:v>
      </x:c>
      <x:c r="AL3610" s="87" t="str">
        <x:v>statgrad_master_base_v0_81_final(2).xlsx</x:v>
      </x:c>
      <x:c r="AM3610" s="87" t="str">
        <x:v>RUS_Oct_V1</x:v>
      </x:c>
      <x:c r="AN3610" s="87" t="n">
        <x:v>5</x:v>
      </x:c>
    </x:row>
    <x:row r="3611">
      <x:c r="A3611" s="87" t="n">
        <x:v>3610</x:v>
      </x:c>
      <x:c r="B3611" s="87" t="str">
        <x:v>OCT-RUS-V1-005</x:v>
      </x:c>
      <x:c r="C3611" s="87" t="str">
        <x:v>СтатГрад</x:v>
      </x:c>
      <x:c r="D3611" s="87" t="str">
        <x:v>Октябрь 2025</x:v>
      </x:c>
      <x:c r="E3611" s="87"/>
      <x:c r="F3611" s="87"/>
      <x:c r="G3611" s="87" t="str">
        <x:v>Русский язык</x:v>
      </x:c>
      <x:c r="H3611" s="87" t="n">
        <x:v>11</x:v>
      </x:c>
      <x:c r="I3611" s="87" t="str">
        <x:v>ТР №2</x:v>
      </x:c>
      <x:c r="J3611" s="87" t="str">
        <x:v>РЯ2510201</x:v>
      </x:c>
      <x:c r="K3611" s="87" t="n">
        <x:v>5</x:v>
      </x:c>
      <x:c r="L3611" s="87" t="str">
        <x:v>Паронимы</x:v>
      </x:c>
      <x:c r="M3611" s="30" t="str">
        <x:v>В одном из приведённых ниже предложений НЕВЕРНО употреблено
    выделенное слово. Исправьте лексическую ошибку, подобрав к выделен-
    ному слову пароним. Запишите подобранное слово, соблюдая нормы совре-
    менного русского литературного языка.
    Нужны КОРЕННЫЕ изменения, а не временные меры.
    После СЫТНОГО ужина дед улёгся на лавке и сладко задремал.
    Примите наши искренние и ДОБРОТНЫЕ пожелания в этот знаменательный
    день.
    Ребята вместе проводили всё свободное время и были ДРУЖНОЙ
    компанией.
    Он вырос в БЕДНОЙ семье, где приходилось считать каждую копейку.</x:v>
      </x:c>
      <x:c r="N3611" s="30" t="str">
        <x:v>добрые</x:v>
      </x:c>
      <x:c r="O3611" s="30" t="str">
        <x:v>Пароним выбран по нормативной лексической сочетаемости.</x:v>
      </x:c>
      <x:c r="P3611" s="30" t="str">
        <x:v>Пароним выбран по нормативной лексической сочетаемости.</x:v>
      </x:c>
      <x:c r="Q3611" s="30"/>
      <x:c r="R3611" s="30" t="str">
        <x:v>Официальный PDF ответов + независимая проверка</x:v>
      </x:c>
      <x:c r="S3611" s="30"/>
      <x:c r="T3611" s="30"/>
      <x:c r="U3611" s="30" t="str">
        <x:v>Внутренний колонтитул PDF ошибочно содержит код РЯ2410201/РЯ2410202; вариант установлен по обложке и официальному PDF ответов: РЯ2510201/РЯ2510202.</x:v>
      </x:c>
      <x:c r="V3611" s="87" t="str">
        <x:v>VERIFIED</x:v>
      </x:c>
      <x:c r="W3611" s="87" t="str">
        <x:v>Zadanie_RU11_21102025.pdf, стр. 4</x:v>
      </x:c>
      <x:c r="X3611" s="87"/>
      <x:c r="Y3611" s="87"/>
      <x:c r="Z3611" s="87"/>
      <x:c r="AA3611" s="87"/>
      <x:c r="AB3611" s="87"/>
      <x:c r="AC3611" s="87"/>
      <x:c r="AD3611" s="87"/>
      <x:c r="AE3611" s="87"/>
      <x:c r="AF3611" s="87"/>
      <x:c r="AG3611" s="87"/>
      <x:c r="AH3611" s="87"/>
      <x:c r="AI3611" s="30"/>
      <x:c r="AJ3611" s="87" t="str">
        <x:v>master</x:v>
      </x:c>
      <x:c r="AK3611" s="87" t="str">
        <x:v>master-v0.81</x:v>
      </x:c>
      <x:c r="AL3611" s="87" t="str">
        <x:v>statgrad_master_base_v0_81_final(2).xlsx</x:v>
      </x:c>
      <x:c r="AM3611" s="87" t="str">
        <x:v>RUS_Oct_V1</x:v>
      </x:c>
      <x:c r="AN3611" s="87" t="n">
        <x:v>6</x:v>
      </x:c>
    </x:row>
    <x:row r="3612">
      <x:c r="A3612" s="87" t="n">
        <x:v>3611</x:v>
      </x:c>
      <x:c r="B3612" s="87" t="str">
        <x:v>OCT-RUS-V1-006</x:v>
      </x:c>
      <x:c r="C3612" s="87" t="str">
        <x:v>СтатГрад</x:v>
      </x:c>
      <x:c r="D3612" s="87" t="str">
        <x:v>Октябрь 2025</x:v>
      </x:c>
      <x:c r="E3612" s="87"/>
      <x:c r="F3612" s="87"/>
      <x:c r="G3612" s="87" t="str">
        <x:v>Русский язык</x:v>
      </x:c>
      <x:c r="H3612" s="87" t="n">
        <x:v>11</x:v>
      </x:c>
      <x:c r="I3612" s="87" t="str">
        <x:v>ТР №2</x:v>
      </x:c>
      <x:c r="J3612" s="87" t="str">
        <x:v>РЯ2510201</x:v>
      </x:c>
      <x:c r="K3612" s="87" t="n">
        <x:v>6</x:v>
      </x:c>
      <x:c r="L3612" s="87" t="str">
        <x:v>Лексическая норма</x:v>
      </x:c>
      <x:c r="M3612" s="30" t="str">
        <x:v>Отредактируйте предложение: исправьте лексическую ошибку, исключив
    лишнее слово. Выпишите это слово.
    Впервые молодой автор дебютировал сразу по окончании университета,
    опубликовав исторический роман о Гражданской войне, ставший
    бестселлером.</x:v>
      </x:c>
      <x:c r="N3612" s="30" t="str">
        <x:v>впервые</x:v>
      </x:c>
      <x:c r="O3612" s="30" t="str">
        <x:v>Исправление устраняет лексическую несовместимость или избыточность, сохраняя смысл предложения.</x:v>
      </x:c>
      <x:c r="P3612" s="30" t="str">
        <x:v>Исправление устраняет лексическую несовместимость или избыточность, сохраняя смысл предложения.</x:v>
      </x:c>
      <x:c r="Q3612" s="30"/>
      <x:c r="R3612" s="30" t="str">
        <x:v>Официальный PDF ответов + независимая проверка</x:v>
      </x:c>
      <x:c r="S3612" s="30"/>
      <x:c r="T3612" s="30"/>
      <x:c r="U3612" s="30" t="str">
        <x:v>Внутренний колонтитул PDF ошибочно содержит код РЯ2410201/РЯ2410202; вариант установлен по обложке и официальному PDF ответов: РЯ2510201/РЯ2510202.</x:v>
      </x:c>
      <x:c r="V3612" s="87" t="str">
        <x:v>VERIFIED</x:v>
      </x:c>
      <x:c r="W3612" s="87" t="str">
        <x:v>Zadanie_RU11_21102025.pdf, стр. 4</x:v>
      </x:c>
      <x:c r="X3612" s="87"/>
      <x:c r="Y3612" s="87"/>
      <x:c r="Z3612" s="87"/>
      <x:c r="AA3612" s="87"/>
      <x:c r="AB3612" s="87"/>
      <x:c r="AC3612" s="87"/>
      <x:c r="AD3612" s="87"/>
      <x:c r="AE3612" s="87"/>
      <x:c r="AF3612" s="87"/>
      <x:c r="AG3612" s="87"/>
      <x:c r="AH3612" s="87"/>
      <x:c r="AI3612" s="30"/>
      <x:c r="AJ3612" s="87" t="str">
        <x:v>master</x:v>
      </x:c>
      <x:c r="AK3612" s="87" t="str">
        <x:v>master-v0.81</x:v>
      </x:c>
      <x:c r="AL3612" s="87" t="str">
        <x:v>statgrad_master_base_v0_81_final(2).xlsx</x:v>
      </x:c>
      <x:c r="AM3612" s="87" t="str">
        <x:v>RUS_Oct_V1</x:v>
      </x:c>
      <x:c r="AN3612" s="87" t="n">
        <x:v>7</x:v>
      </x:c>
    </x:row>
    <x:row r="3613">
      <x:c r="A3613" s="87" t="n">
        <x:v>3612</x:v>
      </x:c>
      <x:c r="B3613" s="87" t="str">
        <x:v>OCT-RUS-V1-007</x:v>
      </x:c>
      <x:c r="C3613" s="87" t="str">
        <x:v>СтатГрад</x:v>
      </x:c>
      <x:c r="D3613" s="87" t="str">
        <x:v>Октябрь 2025</x:v>
      </x:c>
      <x:c r="E3613" s="87"/>
      <x:c r="F3613" s="87"/>
      <x:c r="G3613" s="87" t="str">
        <x:v>Русский язык</x:v>
      </x:c>
      <x:c r="H3613" s="87" t="n">
        <x:v>11</x:v>
      </x:c>
      <x:c r="I3613" s="87" t="str">
        <x:v>ТР №2</x:v>
      </x:c>
      <x:c r="J3613" s="87" t="str">
        <x:v>РЯ2510201</x:v>
      </x:c>
      <x:c r="K3613" s="87" t="n">
        <x:v>7</x:v>
      </x:c>
      <x:c r="L3613" s="87" t="str">
        <x:v>Морфологические нормы</x:v>
      </x:c>
      <x:c r="M3613" s="30" t="str">
        <x:v>В одном из выделенных ниже слов допущена грамматическая ошибка.
    Исправьте ошибку и запишите слово правильно.
    к ПОЛУТОРАСТА метрам
    гора АПЕЛЬСИНОВ
    ТАЛАНТЛИВЕЙШИЙ актёр
    в СЛЕДУЩЕМ году
    сказал более ПРОСТО
                                   согласия СтатГрад запрещена</x:v>
      </x:c>
      <x:c r="N3613" s="30" t="str">
        <x:v>следующем</x:v>
      </x:c>
      <x:c r="O3613" s="30" t="str">
        <x:v>Форма слова приведена в соответствие с современной морфологической нормой.</x:v>
      </x:c>
      <x:c r="P3613" s="30" t="str">
        <x:v>Форма слова приведена в соответствие с современной морфологической нормой.</x:v>
      </x:c>
      <x:c r="Q3613" s="30"/>
      <x:c r="R3613" s="30" t="str">
        <x:v>Официальный PDF ответов + независимая проверка</x:v>
      </x:c>
      <x:c r="S3613" s="30"/>
      <x:c r="T3613" s="30"/>
      <x:c r="U3613" s="30" t="str">
        <x:v>Внутренний колонтитул PDF ошибочно содержит код РЯ2410201/РЯ2410202; вариант установлен по обложке и официальному PDF ответов: РЯ2510201/РЯ2510202.</x:v>
      </x:c>
      <x:c r="V3613" s="87" t="str">
        <x:v>VERIFIED</x:v>
      </x:c>
      <x:c r="W3613" s="87" t="str">
        <x:v>Zadanie_RU11_21102025.pdf, стр. 4</x:v>
      </x:c>
      <x:c r="X3613" s="87"/>
      <x:c r="Y3613" s="87"/>
      <x:c r="Z3613" s="87"/>
      <x:c r="AA3613" s="87"/>
      <x:c r="AB3613" s="87"/>
      <x:c r="AC3613" s="87"/>
      <x:c r="AD3613" s="87"/>
      <x:c r="AE3613" s="87"/>
      <x:c r="AF3613" s="87"/>
      <x:c r="AG3613" s="87"/>
      <x:c r="AH3613" s="87"/>
      <x:c r="AI3613" s="30"/>
      <x:c r="AJ3613" s="87" t="str">
        <x:v>master</x:v>
      </x:c>
      <x:c r="AK3613" s="87" t="str">
        <x:v>master-v0.81</x:v>
      </x:c>
      <x:c r="AL3613" s="87" t="str">
        <x:v>statgrad_master_base_v0_81_final(2).xlsx</x:v>
      </x:c>
      <x:c r="AM3613" s="87" t="str">
        <x:v>RUS_Oct_V1</x:v>
      </x:c>
      <x:c r="AN3613" s="87" t="n">
        <x:v>8</x:v>
      </x:c>
    </x:row>
    <x:row r="3614">
      <x:c r="A3614" s="87" t="n">
        <x:v>3613</x:v>
      </x:c>
      <x:c r="B3614" s="87" t="str">
        <x:v>OCT-RUS-V1-008</x:v>
      </x:c>
      <x:c r="C3614" s="87" t="str">
        <x:v>СтатГрад</x:v>
      </x:c>
      <x:c r="D3614" s="87" t="str">
        <x:v>Октябрь 2025</x:v>
      </x:c>
      <x:c r="E3614" s="87"/>
      <x:c r="F3614" s="87"/>
      <x:c r="G3614" s="87" t="str">
        <x:v>Русский язык</x:v>
      </x:c>
      <x:c r="H3614" s="87" t="n">
        <x:v>11</x:v>
      </x:c>
      <x:c r="I3614" s="87" t="str">
        <x:v>ТР №2</x:v>
      </x:c>
      <x:c r="J3614" s="87" t="str">
        <x:v>РЯ2510201</x:v>
      </x:c>
      <x:c r="K3614" s="87" t="n">
        <x:v>8</x:v>
      </x:c>
      <x:c r="L3614" s="87" t="str">
        <x:v>Грамматические ошибки</x:v>
      </x:c>
      <x:c r="M3614" s="30" t="str">
        <x:v>Установите соответствие между грамматическими ошибками и предложе-
    ниями, в которых они допущены: к каждой позиции первого списка
    подберите соответствующую позицию из второго списка
                        ГРАММАТИЧЕСКИЕ ОШИБКИ
    А) нарушение в построении предложения с несогласованным приложением
    Б) нарушение связи между подлежащим и сказуемым
    В) нарушение в построении предложения с однородными членами
    Г) неправильное построение предложения с косвенной речью
    Д) нарушение в построении предложения с причастным оборотом
                                ПРЕДЛОЖЕНИЯ
    1) Те, кто внимательно слушает на уроках, обычно полностью выполняют и
       легко справляются с домашним заданием.
    2) До сих пор ведутся споры об авторстве «Слова о полку Игореве»,
       созданного, как утверждают исследователи, по свежим следам
       описанного в нём исторического события.
    3) Политики и экономисты в целом пришли к общему мнению о том, что
       СНГ сыграл положительную роль на переходном этапе истории нашей
       страны.
    4) Когда через час Маня провожала своего гостя, он неожиданно спросил,
       какой для неё самый главный человек, какое самое главное время и какое
       самое нужное дело.
    5) Сбежав с тропинки и свернув в лес, дети наткнулись на поляну,
       усыпанные жёлтыми листьями.
    6) Печатные станки, появившиеся в Европе в XV веке, стали основой для
       распространения знаний и постепенно изменили весь ход
       интеллектуальной истории человечества.
    7) Константин Георгиевич Паустовский в своё время писал про себя, что «я,
       как и каждый, был занят только как будто неотложными делами».
    8) Приехав в деревню, сразу чувствуешь запах свежескошенной травы,
       наполняющий всё пространство вокруг.
    9) Я давно мечтал о прогулке по местам, описанным в главе «Тамани»
       у М. Ю. Лермонтова.
    Запишите в таблицу выбранные цифры под соответствующими буквами.
               А Б В Г Д
    Ответ:
                                   согласия СтатГрад запрещена</x:v>
      </x:c>
      <x:c r="N3614" s="30" t="str">
        <x:v>93175</x:v>
      </x:c>
      <x:c r="O3614" s="30" t="str">
        <x:v>Каждая ошибка установлена перестройкой предложения в нормативную конструкцию.</x:v>
      </x:c>
      <x:c r="P3614" s="30" t="str">
        <x:v>Каждая ошибка установлена перестройкой предложения в нормативную конструкцию.</x:v>
      </x:c>
      <x:c r="Q3614" s="30"/>
      <x:c r="R3614" s="30" t="str">
        <x:v>Официальный PDF ответов + независимая проверка</x:v>
      </x:c>
      <x:c r="S3614" s="30"/>
      <x:c r="T3614" s="30"/>
      <x:c r="U3614" s="30" t="str">
        <x:v>Внутренний колонтитул PDF ошибочно содержит код РЯ2410201/РЯ2410202; вариант установлен по обложке и официальному PDF ответов: РЯ2510201/РЯ2510202.</x:v>
      </x:c>
      <x:c r="V3614" s="87" t="str">
        <x:v>VERIFIED</x:v>
      </x:c>
      <x:c r="W3614" s="87" t="str">
        <x:v>Zadanie_RU11_21102025.pdf, стр. 5</x:v>
      </x:c>
      <x:c r="X3614" s="87"/>
      <x:c r="Y3614" s="87"/>
      <x:c r="Z3614" s="87"/>
      <x:c r="AA3614" s="87"/>
      <x:c r="AB3614" s="87"/>
      <x:c r="AC3614" s="87"/>
      <x:c r="AD3614" s="87"/>
      <x:c r="AE3614" s="87"/>
      <x:c r="AF3614" s="87"/>
      <x:c r="AG3614" s="87"/>
      <x:c r="AH3614" s="87"/>
      <x:c r="AI3614" s="30"/>
      <x:c r="AJ3614" s="87" t="str">
        <x:v>master</x:v>
      </x:c>
      <x:c r="AK3614" s="87" t="str">
        <x:v>master-v0.81</x:v>
      </x:c>
      <x:c r="AL3614" s="87" t="str">
        <x:v>statgrad_master_base_v0_81_final(2).xlsx</x:v>
      </x:c>
      <x:c r="AM3614" s="87" t="str">
        <x:v>RUS_Oct_V1</x:v>
      </x:c>
      <x:c r="AN3614" s="87" t="n">
        <x:v>9</x:v>
      </x:c>
    </x:row>
    <x:row r="3615">
      <x:c r="A3615" s="87" t="n">
        <x:v>3614</x:v>
      </x:c>
      <x:c r="B3615" s="87" t="str">
        <x:v>OCT-RUS-V1-009</x:v>
      </x:c>
      <x:c r="C3615" s="87" t="str">
        <x:v>СтатГрад</x:v>
      </x:c>
      <x:c r="D3615" s="87" t="str">
        <x:v>Октябрь 2025</x:v>
      </x:c>
      <x:c r="E3615" s="87"/>
      <x:c r="F3615" s="87"/>
      <x:c r="G3615" s="87" t="str">
        <x:v>Русский язык</x:v>
      </x:c>
      <x:c r="H3615" s="87" t="n">
        <x:v>11</x:v>
      </x:c>
      <x:c r="I3615" s="87" t="str">
        <x:v>ТР №2</x:v>
      </x:c>
      <x:c r="J3615" s="87" t="str">
        <x:v>РЯ2510201</x:v>
      </x:c>
      <x:c r="K3615" s="87" t="n">
        <x:v>9</x:v>
      </x:c>
      <x:c r="L3615" s="87" t="str">
        <x:v>Правописание корней и гласных</x:v>
      </x:c>
      <x:c r="M3615" s="30" t="str">
        <x:v>Укажите варианты ответов, в которых во всех словах одного ряда пропущена
     одна и та же буква. Запишите номера ответов.
     1) щ..лка (в двери), ш..лковый, прож..рливый
     2) ц..фровой, вакц..нировать, рац..ональный
     3) неув..дающая (красота), невн..мательный, с..рень
     4) скр..пить (листы бумаги), инт..ллигент, соч..тание
     5) ок..менеть, отр..слевой, попл..вок</x:v>
      </x:c>
      <x:c r="N3615" s="30" t="str">
        <x:v>245</x:v>
      </x:c>
      <x:c r="O3615" s="30" t="str">
        <x:v>В выбранных рядах восстанавливается одна и та же нормативная гласная.</x:v>
      </x:c>
      <x:c r="P3615" s="30" t="str">
        <x:v>В выбранных рядах восстанавливается одна и та же нормативная гласная.</x:v>
      </x:c>
      <x:c r="Q3615" s="30"/>
      <x:c r="R3615" s="30" t="str">
        <x:v>Архивный фото-ключ + независимая проверка</x:v>
      </x:c>
      <x:c r="S3615" s="30"/>
      <x:c r="T3615" s="30"/>
      <x:c r="U3615"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15" s="87" t="str">
        <x:v>VERIFIED</x:v>
      </x:c>
      <x:c r="W3615" s="87" t="str">
        <x:v>Zadanie_RU11_21102025.pdf, стр. 6</x:v>
      </x:c>
      <x:c r="X3615" s="87"/>
      <x:c r="Y3615" s="87"/>
      <x:c r="Z3615" s="87"/>
      <x:c r="AA3615" s="87"/>
      <x:c r="AB3615" s="87"/>
      <x:c r="AC3615" s="87"/>
      <x:c r="AD3615" s="87"/>
      <x:c r="AE3615" s="87"/>
      <x:c r="AF3615" s="87"/>
      <x:c r="AG3615" s="87"/>
      <x:c r="AH3615" s="87"/>
      <x:c r="AI3615" s="30"/>
      <x:c r="AJ3615" s="87" t="str">
        <x:v>master</x:v>
      </x:c>
      <x:c r="AK3615" s="87" t="str">
        <x:v>master-v0.81</x:v>
      </x:c>
      <x:c r="AL3615" s="87" t="str">
        <x:v>statgrad_master_base_v0_81_final(2).xlsx</x:v>
      </x:c>
      <x:c r="AM3615" s="87" t="str">
        <x:v>RUS_Oct_V1</x:v>
      </x:c>
      <x:c r="AN3615" s="87" t="n">
        <x:v>10</x:v>
      </x:c>
    </x:row>
    <x:row r="3616">
      <x:c r="A3616" s="87" t="n">
        <x:v>3615</x:v>
      </x:c>
      <x:c r="B3616" s="87" t="str">
        <x:v>OCT-RUS-V1-010</x:v>
      </x:c>
      <x:c r="C3616" s="87" t="str">
        <x:v>СтатГрад</x:v>
      </x:c>
      <x:c r="D3616" s="87" t="str">
        <x:v>Октябрь 2025</x:v>
      </x:c>
      <x:c r="E3616" s="87"/>
      <x:c r="F3616" s="87"/>
      <x:c r="G3616" s="87" t="str">
        <x:v>Русский язык</x:v>
      </x:c>
      <x:c r="H3616" s="87" t="n">
        <x:v>11</x:v>
      </x:c>
      <x:c r="I3616" s="87" t="str">
        <x:v>ТР №2</x:v>
      </x:c>
      <x:c r="J3616" s="87" t="str">
        <x:v>РЯ2510201</x:v>
      </x:c>
      <x:c r="K3616" s="87" t="n">
        <x:v>10</x:v>
      </x:c>
      <x:c r="L3616" s="87" t="str">
        <x:v>Правописание приставок</x:v>
      </x:c>
      <x:c r="M3616" s="30" t="str">
        <x:v>Укажите варианты ответов, в которых во всех словах одного ряда пропущена
     одна и та же буква. Запишите номера ответов.
     1) (северный) пр..дел (храма), пр..твориться (спящим), пр..следование (врага)
     2) ра..смешить, не..гораемый, не..дешний
     3) под..грать, меж..нститутский, раз..скать
     4) двух..ярусный, раз..яснение, супер..яхта
     5) пр..родитель, пр..славянский (язык), пр..бабушка</x:v>
      </x:c>
      <x:c r="N3616" s="30" t="str">
        <x:v>45</x:v>
      </x:c>
      <x:c r="O3616" s="30" t="str">
        <x:v>Ответ получен по правилам написания приставок и разделительных знаков.</x:v>
      </x:c>
      <x:c r="P3616" s="30" t="str">
        <x:v>Ответ получен по правилам написания приставок и разделительных знаков.</x:v>
      </x:c>
      <x:c r="Q3616" s="30"/>
      <x:c r="R3616" s="30" t="str">
        <x:v>Архивный фото-ключ + независимая проверка</x:v>
      </x:c>
      <x:c r="S3616" s="30"/>
      <x:c r="T3616" s="30"/>
      <x:c r="U3616"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16" s="87" t="str">
        <x:v>VERIFIED</x:v>
      </x:c>
      <x:c r="W3616" s="87" t="str">
        <x:v>Zadanie_RU11_21102025.pdf, стр. 6</x:v>
      </x:c>
      <x:c r="X3616" s="87"/>
      <x:c r="Y3616" s="87"/>
      <x:c r="Z3616" s="87"/>
      <x:c r="AA3616" s="87"/>
      <x:c r="AB3616" s="87"/>
      <x:c r="AC3616" s="87"/>
      <x:c r="AD3616" s="87"/>
      <x:c r="AE3616" s="87"/>
      <x:c r="AF3616" s="87"/>
      <x:c r="AG3616" s="87"/>
      <x:c r="AH3616" s="87"/>
      <x:c r="AI3616" s="30"/>
      <x:c r="AJ3616" s="87" t="str">
        <x:v>master</x:v>
      </x:c>
      <x:c r="AK3616" s="87" t="str">
        <x:v>master-v0.81</x:v>
      </x:c>
      <x:c r="AL3616" s="87" t="str">
        <x:v>statgrad_master_base_v0_81_final(2).xlsx</x:v>
      </x:c>
      <x:c r="AM3616" s="87" t="str">
        <x:v>RUS_Oct_V1</x:v>
      </x:c>
      <x:c r="AN3616" s="87" t="n">
        <x:v>11</x:v>
      </x:c>
    </x:row>
    <x:row r="3617">
      <x:c r="A3617" s="87" t="n">
        <x:v>3616</x:v>
      </x:c>
      <x:c r="B3617" s="87" t="str">
        <x:v>OCT-RUS-V1-011</x:v>
      </x:c>
      <x:c r="C3617" s="87" t="str">
        <x:v>СтатГрад</x:v>
      </x:c>
      <x:c r="D3617" s="87" t="str">
        <x:v>Октябрь 2025</x:v>
      </x:c>
      <x:c r="E3617" s="87"/>
      <x:c r="F3617" s="87"/>
      <x:c r="G3617" s="87" t="str">
        <x:v>Русский язык</x:v>
      </x:c>
      <x:c r="H3617" s="87" t="n">
        <x:v>11</x:v>
      </x:c>
      <x:c r="I3617" s="87" t="str">
        <x:v>ТР №2</x:v>
      </x:c>
      <x:c r="J3617" s="87" t="str">
        <x:v>РЯ2510201</x:v>
      </x:c>
      <x:c r="K3617" s="87" t="n">
        <x:v>11</x:v>
      </x:c>
      <x:c r="L3617" s="87" t="str">
        <x:v>Суффиксы разных частей речи</x:v>
      </x:c>
      <x:c r="M3617" s="30" t="str">
        <x:v>Укажите варианты ответов, в которых в обоих словах одного ряда пропущена
     одна и та же буква. Запишите номера ответов.
     1) (отмыть) дочист.., (подходить) избирательн..
     2) милост..вый, ковш..к
     3) дириж..р, юбч..нка
     4) продл..вать, яблон..вый
     5) (снег) раста..л, откле..л</x:v>
      </x:c>
      <x:c r="N3617" s="30" t="str">
        <x:v>24</x:v>
      </x:c>
      <x:c r="O3617" s="30" t="str">
        <x:v>Суффиксы определены по части речи и словообразовательной модели.</x:v>
      </x:c>
      <x:c r="P3617" s="30" t="str">
        <x:v>Суффиксы определены по части речи и словообразовательной модели.</x:v>
      </x:c>
      <x:c r="Q3617" s="30"/>
      <x:c r="R3617" s="30" t="str">
        <x:v>Архивный фото-ключ + независимая проверка</x:v>
      </x:c>
      <x:c r="S3617" s="30"/>
      <x:c r="T3617" s="30"/>
      <x:c r="U3617"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17" s="87" t="str">
        <x:v>VERIFIED</x:v>
      </x:c>
      <x:c r="W3617" s="87" t="str">
        <x:v>Zadanie_RU11_21102025.pdf, стр. 6</x:v>
      </x:c>
      <x:c r="X3617" s="87"/>
      <x:c r="Y3617" s="87"/>
      <x:c r="Z3617" s="87"/>
      <x:c r="AA3617" s="87"/>
      <x:c r="AB3617" s="87"/>
      <x:c r="AC3617" s="87"/>
      <x:c r="AD3617" s="87"/>
      <x:c r="AE3617" s="87"/>
      <x:c r="AF3617" s="87"/>
      <x:c r="AG3617" s="87"/>
      <x:c r="AH3617" s="87"/>
      <x:c r="AI3617" s="30"/>
      <x:c r="AJ3617" s="87" t="str">
        <x:v>master</x:v>
      </x:c>
      <x:c r="AK3617" s="87" t="str">
        <x:v>master-v0.81</x:v>
      </x:c>
      <x:c r="AL3617" s="87" t="str">
        <x:v>statgrad_master_base_v0_81_final(2).xlsx</x:v>
      </x:c>
      <x:c r="AM3617" s="87" t="str">
        <x:v>RUS_Oct_V1</x:v>
      </x:c>
      <x:c r="AN3617" s="87" t="n">
        <x:v>12</x:v>
      </x:c>
    </x:row>
    <x:row r="3618">
      <x:c r="A3618" s="87" t="n">
        <x:v>3617</x:v>
      </x:c>
      <x:c r="B3618" s="87" t="str">
        <x:v>OCT-RUS-V1-012</x:v>
      </x:c>
      <x:c r="C3618" s="87" t="str">
        <x:v>СтатГрад</x:v>
      </x:c>
      <x:c r="D3618" s="87" t="str">
        <x:v>Октябрь 2025</x:v>
      </x:c>
      <x:c r="E3618" s="87"/>
      <x:c r="F3618" s="87"/>
      <x:c r="G3618" s="87" t="str">
        <x:v>Русский язык</x:v>
      </x:c>
      <x:c r="H3618" s="87" t="n">
        <x:v>11</x:v>
      </x:c>
      <x:c r="I3618" s="87" t="str">
        <x:v>ТР №2</x:v>
      </x:c>
      <x:c r="J3618" s="87" t="str">
        <x:v>РЯ2510201</x:v>
      </x:c>
      <x:c r="K3618" s="87" t="n">
        <x:v>12</x:v>
      </x:c>
      <x:c r="L3618" s="87" t="str">
        <x:v>Личные окончания и суффиксы причастий</x:v>
      </x:c>
      <x:c r="M3618" s="30" t="str">
        <x:v>Укажите варианты ответов, в которых в обоих словах одного ряда пропущена
     одна и та же буква. Запишите номера ответов.
     1) вылет..шь, (ветер) засвищ..т
     2) обгоня..мый, промасл..нный (блин)
     3) животрепещ..щий (вопрос), (куры) кудахч..т
     4) накорм..шь, зала..вшая (собака)
     5) веру..шь, отгон..шь (в сторону)
                                    согласия СтатГрад запрещена</x:v>
      </x:c>
      <x:c r="N3618" s="30" t="str">
        <x:v>23</x:v>
      </x:c>
      <x:c r="O3618" s="30" t="str">
        <x:v>Личные окончания и суффиксы причастий определены по спряжению исходных глаголов.</x:v>
      </x:c>
      <x:c r="P3618" s="30" t="str">
        <x:v>Личные окончания и суффиксы причастий определены по спряжению исходных глаголов.</x:v>
      </x:c>
      <x:c r="Q3618" s="30"/>
      <x:c r="R3618" s="30" t="str">
        <x:v>Архивный фото-ключ + независимая проверка</x:v>
      </x:c>
      <x:c r="S3618" s="30"/>
      <x:c r="T3618" s="30"/>
      <x:c r="U3618"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18" s="87" t="str">
        <x:v>VERIFIED</x:v>
      </x:c>
      <x:c r="W3618" s="87" t="str">
        <x:v>Zadanie_RU11_21102025.pdf, стр. 6</x:v>
      </x:c>
      <x:c r="X3618" s="87"/>
      <x:c r="Y3618" s="87"/>
      <x:c r="Z3618" s="87"/>
      <x:c r="AA3618" s="87"/>
      <x:c r="AB3618" s="87"/>
      <x:c r="AC3618" s="87"/>
      <x:c r="AD3618" s="87"/>
      <x:c r="AE3618" s="87"/>
      <x:c r="AF3618" s="87"/>
      <x:c r="AG3618" s="87"/>
      <x:c r="AH3618" s="87"/>
      <x:c r="AI3618" s="30"/>
      <x:c r="AJ3618" s="87" t="str">
        <x:v>master</x:v>
      </x:c>
      <x:c r="AK3618" s="87" t="str">
        <x:v>master-v0.81</x:v>
      </x:c>
      <x:c r="AL3618" s="87" t="str">
        <x:v>statgrad_master_base_v0_81_final(2).xlsx</x:v>
      </x:c>
      <x:c r="AM3618" s="87" t="str">
        <x:v>RUS_Oct_V1</x:v>
      </x:c>
      <x:c r="AN3618" s="87" t="n">
        <x:v>13</x:v>
      </x:c>
    </x:row>
    <x:row r="3619">
      <x:c r="A3619" s="87" t="n">
        <x:v>3618</x:v>
      </x:c>
      <x:c r="B3619" s="87" t="str">
        <x:v>OCT-RUS-V1-013</x:v>
      </x:c>
      <x:c r="C3619" s="87" t="str">
        <x:v>СтатГрад</x:v>
      </x:c>
      <x:c r="D3619" s="87" t="str">
        <x:v>Октябрь 2025</x:v>
      </x:c>
      <x:c r="E3619" s="87"/>
      <x:c r="F3619" s="87"/>
      <x:c r="G3619" s="87" t="str">
        <x:v>Русский язык</x:v>
      </x:c>
      <x:c r="H3619" s="87" t="n">
        <x:v>11</x:v>
      </x:c>
      <x:c r="I3619" s="87" t="str">
        <x:v>ТР №2</x:v>
      </x:c>
      <x:c r="J3619" s="87" t="str">
        <x:v>РЯ2510201</x:v>
      </x:c>
      <x:c r="K3619" s="87" t="n">
        <x:v>13</x:v>
      </x:c>
      <x:c r="L3619" s="87" t="str">
        <x:v>НЕ и НИ</x:v>
      </x:c>
      <x:c r="M3619" s="30" t="str">
        <x:v>Укажите варианты ответов, в которых НЕ (НИ) с выделенным словом
     пишется РАЗДЕЛЬНО. Запишите номера ответов.
     1) В пакете оказалось (НЕ)ЧТО иное, как самая обычная колбаса.
     2) Поле заросло давно (НЕ)КОШЕННОЙ травой.
     3) Мне (НЕ)ЧЕГО было ответить на его упреки.
     4) (НE)СМОТРЯ на проливной дождь, мы решили пойти на прогулку.
     5) Разговоры взрослых (НИ)СКОЛЬКО не помешали уставшим детям
        заснуть.</x:v>
      </x:c>
      <x:c r="N3619" s="30" t="str">
        <x:v>12</x:v>
      </x:c>
      <x:c r="O3619" s="30" t="str">
        <x:v>Написание НЕ/НИ проверено по значению конструкции, наличию противопоставления и зависимых слов.</x:v>
      </x:c>
      <x:c r="P3619" s="30" t="str">
        <x:v>Написание НЕ/НИ проверено по значению конструкции, наличию противопоставления и зависимых слов.</x:v>
      </x:c>
      <x:c r="Q3619" s="30"/>
      <x:c r="R3619" s="30" t="str">
        <x:v>Официальный PDF ответов + независимая проверка</x:v>
      </x:c>
      <x:c r="S3619" s="30"/>
      <x:c r="T3619" s="30"/>
      <x:c r="U3619" s="30" t="str">
        <x:v>Официально допускаются альтернативный порядок или формулировка; в поле ответа сохранён один нормативный вариант. Ответ присутствует и в фото-ключе, и в официальном PDF; источники совпадают. Внутренний колонтитул PDF ошибочно содержит код РЯ2410201/РЯ2410202; вариант установлен по обложке и официальному PDF ответов: РЯ2510201/РЯ2510202.</x:v>
      </x:c>
      <x:c r="V3619" s="87" t="str">
        <x:v>VERIFIED</x:v>
      </x:c>
      <x:c r="W3619" s="87" t="str">
        <x:v>Zadanie_RU11_21102025.pdf, стр. 7</x:v>
      </x:c>
      <x:c r="X3619" s="87"/>
      <x:c r="Y3619" s="87"/>
      <x:c r="Z3619" s="87"/>
      <x:c r="AA3619" s="87"/>
      <x:c r="AB3619" s="87"/>
      <x:c r="AC3619" s="87"/>
      <x:c r="AD3619" s="87"/>
      <x:c r="AE3619" s="87"/>
      <x:c r="AF3619" s="87"/>
      <x:c r="AG3619" s="87"/>
      <x:c r="AH3619" s="87"/>
      <x:c r="AI3619" s="30"/>
      <x:c r="AJ3619" s="87" t="str">
        <x:v>master</x:v>
      </x:c>
      <x:c r="AK3619" s="87" t="str">
        <x:v>master-v0.81</x:v>
      </x:c>
      <x:c r="AL3619" s="87" t="str">
        <x:v>statgrad_master_base_v0_81_final(2).xlsx</x:v>
      </x:c>
      <x:c r="AM3619" s="87" t="str">
        <x:v>RUS_Oct_V1</x:v>
      </x:c>
      <x:c r="AN3619" s="87" t="n">
        <x:v>14</x:v>
      </x:c>
    </x:row>
    <x:row r="3620">
      <x:c r="A3620" s="87" t="n">
        <x:v>3619</x:v>
      </x:c>
      <x:c r="B3620" s="87" t="str">
        <x:v>OCT-RUS-V1-014</x:v>
      </x:c>
      <x:c r="C3620" s="87" t="str">
        <x:v>СтатГрад</x:v>
      </x:c>
      <x:c r="D3620" s="87" t="str">
        <x:v>Октябрь 2025</x:v>
      </x:c>
      <x:c r="E3620" s="87"/>
      <x:c r="F3620" s="87"/>
      <x:c r="G3620" s="87" t="str">
        <x:v>Русский язык</x:v>
      </x:c>
      <x:c r="H3620" s="87" t="n">
        <x:v>11</x:v>
      </x:c>
      <x:c r="I3620" s="87" t="str">
        <x:v>ТР №2</x:v>
      </x:c>
      <x:c r="J3620" s="87" t="str">
        <x:v>РЯ2510201</x:v>
      </x:c>
      <x:c r="K3620" s="87" t="n">
        <x:v>14</x:v>
      </x:c>
      <x:c r="L3620" s="87" t="str">
        <x:v>Слитное, раздельное и дефисное написание</x:v>
      </x:c>
      <x:c r="M3620" s="30" t="str">
        <x:v>Укажите варианты ответов, в которых все выделенные слова пишутся
     ЧЕРЕЗ ДЕФИС. Запишите номера ответов.
     1) ТОГДА(ЖЕ), в общежитии, он научился готовить макароны
        (ПО)ФЛОТСКИ.
     2) Нужно было вскопать участок на (ПОЛ)ЛОПАТЫ и КОЕ(ГДЕ) разровнять
        поверхность.
     3) Плед был раскрашен (ПО)ШОТЛАНДСКИ, в (КРАСНО)ЧЁРНУЮ
        клетку.
     4) (В)ПРОЧЕМ, я должен признаться, что был (ПО)НАСТОЯЩЕМУ рад
        снова видеть этих людей.
     5) Мой отец работал помощником режиссёра на большой (КИНО)СТУДИИ
        и через КАКОЕ(ТО) время начал мечтать снять собственный фильм.</x:v>
      </x:c>
      <x:c r="N3620" s="30" t="str">
        <x:v>23</x:v>
      </x:c>
      <x:c r="O3620" s="30" t="str">
        <x:v>Слитное, раздельное или дефисное написание установлено по нормативным моделям слов и сочетаний.</x:v>
      </x:c>
      <x:c r="P3620" s="30" t="str">
        <x:v>Слитное, раздельное или дефисное написание установлено по нормативным моделям слов и сочетаний.</x:v>
      </x:c>
      <x:c r="Q3620" s="30"/>
      <x:c r="R3620" s="30" t="str">
        <x:v>Официальный PDF ответов + независимая проверка</x:v>
      </x:c>
      <x:c r="S3620" s="30"/>
      <x:c r="T3620" s="30"/>
      <x:c r="U3620" s="30" t="str">
        <x:v>Официально допускаются альтернативный порядок или формулировка; в поле ответа сохранён один нормативный вариант. Ответ присутствует и в фото-ключе, и в официальном PDF; источники совпадают. Внутренний колонтитул PDF ошибочно содержит код РЯ2410201/РЯ2410202; вариант установлен по обложке и официальному PDF ответов: РЯ2510201/РЯ2510202.</x:v>
      </x:c>
      <x:c r="V3620" s="87" t="str">
        <x:v>VERIFIED</x:v>
      </x:c>
      <x:c r="W3620" s="87" t="str">
        <x:v>Zadanie_RU11_21102025.pdf, стр. 7</x:v>
      </x:c>
      <x:c r="X3620" s="87"/>
      <x:c r="Y3620" s="87"/>
      <x:c r="Z3620" s="87"/>
      <x:c r="AA3620" s="87"/>
      <x:c r="AB3620" s="87"/>
      <x:c r="AC3620" s="87"/>
      <x:c r="AD3620" s="87"/>
      <x:c r="AE3620" s="87"/>
      <x:c r="AF3620" s="87"/>
      <x:c r="AG3620" s="87"/>
      <x:c r="AH3620" s="87"/>
      <x:c r="AI3620" s="30"/>
      <x:c r="AJ3620" s="87" t="str">
        <x:v>master</x:v>
      </x:c>
      <x:c r="AK3620" s="87" t="str">
        <x:v>master-v0.81</x:v>
      </x:c>
      <x:c r="AL3620" s="87" t="str">
        <x:v>statgrad_master_base_v0_81_final(2).xlsx</x:v>
      </x:c>
      <x:c r="AM3620" s="87" t="str">
        <x:v>RUS_Oct_V1</x:v>
      </x:c>
      <x:c r="AN3620" s="87" t="n">
        <x:v>15</x:v>
      </x:c>
    </x:row>
    <x:row r="3621">
      <x:c r="A3621" s="87" t="n">
        <x:v>3620</x:v>
      </x:c>
      <x:c r="B3621" s="87" t="str">
        <x:v>OCT-RUS-V1-015</x:v>
      </x:c>
      <x:c r="C3621" s="87" t="str">
        <x:v>СтатГрад</x:v>
      </x:c>
      <x:c r="D3621" s="87" t="str">
        <x:v>Октябрь 2025</x:v>
      </x:c>
      <x:c r="E3621" s="87"/>
      <x:c r="F3621" s="87"/>
      <x:c r="G3621" s="87" t="str">
        <x:v>Русский язык</x:v>
      </x:c>
      <x:c r="H3621" s="87" t="n">
        <x:v>11</x:v>
      </x:c>
      <x:c r="I3621" s="87" t="str">
        <x:v>ТР №2</x:v>
      </x:c>
      <x:c r="J3621" s="87" t="str">
        <x:v>РЯ2510201</x:v>
      </x:c>
      <x:c r="K3621" s="87" t="n">
        <x:v>15</x:v>
      </x:c>
      <x:c r="L3621" s="87" t="str">
        <x:v>Н и НН</x:v>
      </x:c>
      <x:c r="M3621" s="30" t="str">
        <x:v>Укажите цифру(-ы), на месте которой(-ых) пишется одна буква Н.
     Представьте себе безветре(1)ый день, облакá расстеле(2)ы по небу, как
     дли(3)ые тка(4)ые скатерти, окантова(5)ые по краям серебря(6)ой
     оторочкой, – поисти(7)е идиллическая картина.
                                    согласия СтатГрад запрещена</x:v>
      </x:c>
      <x:c r="N3621" s="30" t="str">
        <x:v>2467</x:v>
      </x:c>
      <x:c r="O3621" s="30" t="str">
        <x:v>Количество Н определяется частью речи, способом образования и полной либо краткой формой.</x:v>
      </x:c>
      <x:c r="P3621" s="30" t="str">
        <x:v>Количество Н определяется частью речи, способом образования и полной либо краткой формой.</x:v>
      </x:c>
      <x:c r="Q3621" s="30"/>
      <x:c r="R3621" s="30" t="str">
        <x:v>Официальный PDF ответов + независимая проверка</x:v>
      </x:c>
      <x:c r="S3621" s="30"/>
      <x:c r="T3621" s="30"/>
      <x:c r="U3621"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21" s="87" t="str">
        <x:v>VERIFIED</x:v>
      </x:c>
      <x:c r="W3621" s="87" t="str">
        <x:v>Zadanie_RU11_21102025.pdf, стр. 7</x:v>
      </x:c>
      <x:c r="X3621" s="87"/>
      <x:c r="Y3621" s="87"/>
      <x:c r="Z3621" s="87"/>
      <x:c r="AA3621" s="87"/>
      <x:c r="AB3621" s="87"/>
      <x:c r="AC3621" s="87"/>
      <x:c r="AD3621" s="87"/>
      <x:c r="AE3621" s="87"/>
      <x:c r="AF3621" s="87"/>
      <x:c r="AG3621" s="87"/>
      <x:c r="AH3621" s="87"/>
      <x:c r="AI3621" s="30"/>
      <x:c r="AJ3621" s="87" t="str">
        <x:v>master</x:v>
      </x:c>
      <x:c r="AK3621" s="87" t="str">
        <x:v>master-v0.81</x:v>
      </x:c>
      <x:c r="AL3621" s="87" t="str">
        <x:v>statgrad_master_base_v0_81_final(2).xlsx</x:v>
      </x:c>
      <x:c r="AM3621" s="87" t="str">
        <x:v>RUS_Oct_V1</x:v>
      </x:c>
      <x:c r="AN3621" s="87" t="n">
        <x:v>16</x:v>
      </x:c>
    </x:row>
    <x:row r="3622">
      <x:c r="A3622" s="87" t="n">
        <x:v>3621</x:v>
      </x:c>
      <x:c r="B3622" s="87" t="str">
        <x:v>OCT-RUS-V1-016</x:v>
      </x:c>
      <x:c r="C3622" s="87" t="str">
        <x:v>СтатГрад</x:v>
      </x:c>
      <x:c r="D3622" s="87" t="str">
        <x:v>Октябрь 2025</x:v>
      </x:c>
      <x:c r="E3622" s="87"/>
      <x:c r="F3622" s="87"/>
      <x:c r="G3622" s="87" t="str">
        <x:v>Русский язык</x:v>
      </x:c>
      <x:c r="H3622" s="87" t="n">
        <x:v>11</x:v>
      </x:c>
      <x:c r="I3622" s="87" t="str">
        <x:v>ТР №2</x:v>
      </x:c>
      <x:c r="J3622" s="87" t="str">
        <x:v>РЯ2510201</x:v>
      </x:c>
      <x:c r="K3622" s="87" t="n">
        <x:v>16</x:v>
      </x:c>
      <x:c r="L3622" s="87" t="str">
        <x:v>Пунктуация при однородных членах</x:v>
      </x:c>
      <x:c r="M3622" s="30" t="str">
        <x:v>Укажите предложения, в которых нужно поставить ОДНУ запятую.
     Запишите номера этих предложений.
     1) В стремлении передать тревожность эпохи режиссёр не мог не
        прибегнуть к использованию светотени и применил резкий световой
        контраст в качестве главного приёма выразительности.
     2) Кот медленно очень аккуратно обошёл стул и стол и хищным прищуром
        нацелился в сторону полки и шкафа.
     3) Многие романтические драмы были «малоисторичны» и если не
        искажали исторические события то грешили поверхностной трактовкой
        характеров и схематизмом конфликтов.
     4) Романтики особое внимание обращали на внутренний мир личности и для
        многих авторов художественный текст стал в эпоху романтизма зоной
        увлекательного психологического эксперимента.
     5) В глазах зрителя эпохи классицизма главный герой не мог быть подлым
        или злобным или нерешительным.</x:v>
      </x:c>
      <x:c r="N3622" s="30" t="str">
        <x:v>234</x:v>
      </x:c>
      <x:c r="O3622" s="30" t="str">
        <x:v>Пунктуация проверена по структуре однородных членов и частей сложного предложения.</x:v>
      </x:c>
      <x:c r="P3622" s="30" t="str">
        <x:v>Пунктуация проверена по структуре однородных членов и частей сложного предложения.</x:v>
      </x:c>
      <x:c r="Q3622" s="30"/>
      <x:c r="R3622" s="30" t="str">
        <x:v>Архивный фото-ключ + независимая проверка</x:v>
      </x:c>
      <x:c r="S3622" s="30"/>
      <x:c r="T3622" s="30"/>
      <x:c r="U3622"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22" s="87" t="str">
        <x:v>VERIFIED</x:v>
      </x:c>
      <x:c r="W3622" s="87" t="str">
        <x:v>Zadanie_RU11_21102025.pdf, стр. 8</x:v>
      </x:c>
      <x:c r="X3622" s="87"/>
      <x:c r="Y3622" s="87"/>
      <x:c r="Z3622" s="87"/>
      <x:c r="AA3622" s="87"/>
      <x:c r="AB3622" s="87"/>
      <x:c r="AC3622" s="87"/>
      <x:c r="AD3622" s="87"/>
      <x:c r="AE3622" s="87"/>
      <x:c r="AF3622" s="87"/>
      <x:c r="AG3622" s="87"/>
      <x:c r="AH3622" s="87"/>
      <x:c r="AI3622" s="30"/>
      <x:c r="AJ3622" s="87" t="str">
        <x:v>master</x:v>
      </x:c>
      <x:c r="AK3622" s="87" t="str">
        <x:v>master-v0.81</x:v>
      </x:c>
      <x:c r="AL3622" s="87" t="str">
        <x:v>statgrad_master_base_v0_81_final(2).xlsx</x:v>
      </x:c>
      <x:c r="AM3622" s="87" t="str">
        <x:v>RUS_Oct_V1</x:v>
      </x:c>
      <x:c r="AN3622" s="87" t="n">
        <x:v>17</x:v>
      </x:c>
    </x:row>
    <x:row r="3623">
      <x:c r="A3623" s="87" t="n">
        <x:v>3622</x:v>
      </x:c>
      <x:c r="B3623" s="87" t="str">
        <x:v>OCT-RUS-V1-017</x:v>
      </x:c>
      <x:c r="C3623" s="87" t="str">
        <x:v>СтатГрад</x:v>
      </x:c>
      <x:c r="D3623" s="87" t="str">
        <x:v>Октябрь 2025</x:v>
      </x:c>
      <x:c r="E3623" s="87"/>
      <x:c r="F3623" s="87"/>
      <x:c r="G3623" s="87" t="str">
        <x:v>Русский язык</x:v>
      </x:c>
      <x:c r="H3623" s="87" t="n">
        <x:v>11</x:v>
      </x:c>
      <x:c r="I3623" s="87" t="str">
        <x:v>ТР №2</x:v>
      </x:c>
      <x:c r="J3623" s="87" t="str">
        <x:v>РЯ2510201</x:v>
      </x:c>
      <x:c r="K3623" s="87" t="n">
        <x:v>17</x:v>
      </x:c>
      <x:c r="L3623" s="87" t="str">
        <x:v>Обособленные конструкции</x:v>
      </x:c>
      <x:c r="M3623" s="30" t="str">
        <x:v>Укажите цифру(-ы), на месте которой(-ых) должна(-ы) стоять запятая(-ые).
     Баба Валя (1) отворив нам (2) увешанный пучками сухих душистых трав (3)
     сарайчик (4) уложила нас там на свежем сене, и (5) довольная сделанным
     делом (6) обратно она шла (7) что-то негромко напевая (8) себе под нос (9) и
     улыбаясь.</x:v>
      </x:c>
      <x:c r="N3623" s="30" t="str">
        <x:v>14567</x:v>
      </x:c>
      <x:c r="O3623" s="30" t="str">
        <x:v>Запятые расставлены на границах обособленных оборотов и конструкций.</x:v>
      </x:c>
      <x:c r="P3623" s="30" t="str">
        <x:v>Запятые расставлены на границах обособленных оборотов и конструкций.</x:v>
      </x:c>
      <x:c r="Q3623" s="30"/>
      <x:c r="R3623" s="30" t="str">
        <x:v>Официальный PDF ответов + независимая проверка</x:v>
      </x:c>
      <x:c r="S3623" s="30"/>
      <x:c r="T3623" s="30"/>
      <x:c r="U3623"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23" s="87" t="str">
        <x:v>VERIFIED</x:v>
      </x:c>
      <x:c r="W3623" s="87" t="str">
        <x:v>Zadanie_RU11_21102025.pdf, стр. 8</x:v>
      </x:c>
      <x:c r="X3623" s="87"/>
      <x:c r="Y3623" s="87"/>
      <x:c r="Z3623" s="87"/>
      <x:c r="AA3623" s="87"/>
      <x:c r="AB3623" s="87"/>
      <x:c r="AC3623" s="87"/>
      <x:c r="AD3623" s="87"/>
      <x:c r="AE3623" s="87"/>
      <x:c r="AF3623" s="87"/>
      <x:c r="AG3623" s="87"/>
      <x:c r="AH3623" s="87"/>
      <x:c r="AI3623" s="30"/>
      <x:c r="AJ3623" s="87" t="str">
        <x:v>master</x:v>
      </x:c>
      <x:c r="AK3623" s="87" t="str">
        <x:v>master-v0.81</x:v>
      </x:c>
      <x:c r="AL3623" s="87" t="str">
        <x:v>statgrad_master_base_v0_81_final(2).xlsx</x:v>
      </x:c>
      <x:c r="AM3623" s="87" t="str">
        <x:v>RUS_Oct_V1</x:v>
      </x:c>
      <x:c r="AN3623" s="87" t="n">
        <x:v>18</x:v>
      </x:c>
    </x:row>
    <x:row r="3624">
      <x:c r="A3624" s="87" t="n">
        <x:v>3623</x:v>
      </x:c>
      <x:c r="B3624" s="87" t="str">
        <x:v>OCT-RUS-V1-018</x:v>
      </x:c>
      <x:c r="C3624" s="87" t="str">
        <x:v>СтатГрад</x:v>
      </x:c>
      <x:c r="D3624" s="87" t="str">
        <x:v>Октябрь 2025</x:v>
      </x:c>
      <x:c r="E3624" s="87"/>
      <x:c r="F3624" s="87"/>
      <x:c r="G3624" s="87" t="str">
        <x:v>Русский язык</x:v>
      </x:c>
      <x:c r="H3624" s="87" t="n">
        <x:v>11</x:v>
      </x:c>
      <x:c r="I3624" s="87" t="str">
        <x:v>ТР №2</x:v>
      </x:c>
      <x:c r="J3624" s="87" t="str">
        <x:v>РЯ2510201</x:v>
      </x:c>
      <x:c r="K3624" s="87" t="n">
        <x:v>18</x:v>
      </x:c>
      <x:c r="L3624" s="87" t="str">
        <x:v>Вводные слова / обращения / конструкции</x:v>
      </x:c>
      <x:c r="M3624" s="30" t="str">
        <x:v>Укажите цифру(-ы), на месте которой(-ых) должна(-ы) стоять запятая(-ые).
     Может быть (1) его желание приобрести дачу в наших местах и остыло бы (2)
     со временем, но (3) буквально (4) через неделю после описанного разговора
     в газете появилось объявление о продаже участка (5) как раз (6) в Ушаковке,
     и (7) конечно (8) Фёдор тут же связался со мной.</x:v>
      </x:c>
      <x:c r="N3624" s="30" t="str">
        <x:v>178</x:v>
      </x:c>
      <x:c r="O3624" s="30" t="str">
        <x:v>Позиции знаков определены с учётом вводности, обращений и синтаксической структуры.</x:v>
      </x:c>
      <x:c r="P3624" s="30" t="str">
        <x:v>Позиции знаков определены с учётом вводности, обращений и синтаксической структуры.</x:v>
      </x:c>
      <x:c r="Q3624" s="30"/>
      <x:c r="R3624" s="30" t="str">
        <x:v>Официальный PDF ответов + независимая проверка</x:v>
      </x:c>
      <x:c r="S3624" s="30"/>
      <x:c r="T3624" s="30"/>
      <x:c r="U3624"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24" s="87" t="str">
        <x:v>VERIFIED</x:v>
      </x:c>
      <x:c r="W3624" s="87" t="str">
        <x:v>Zadanie_RU11_21102025.pdf, стр. 8</x:v>
      </x:c>
      <x:c r="X3624" s="87"/>
      <x:c r="Y3624" s="87"/>
      <x:c r="Z3624" s="87"/>
      <x:c r="AA3624" s="87"/>
      <x:c r="AB3624" s="87"/>
      <x:c r="AC3624" s="87"/>
      <x:c r="AD3624" s="87"/>
      <x:c r="AE3624" s="87"/>
      <x:c r="AF3624" s="87"/>
      <x:c r="AG3624" s="87"/>
      <x:c r="AH3624" s="87"/>
      <x:c r="AI3624" s="30"/>
      <x:c r="AJ3624" s="87" t="str">
        <x:v>master</x:v>
      </x:c>
      <x:c r="AK3624" s="87" t="str">
        <x:v>master-v0.81</x:v>
      </x:c>
      <x:c r="AL3624" s="87" t="str">
        <x:v>statgrad_master_base_v0_81_final(2).xlsx</x:v>
      </x:c>
      <x:c r="AM3624" s="87" t="str">
        <x:v>RUS_Oct_V1</x:v>
      </x:c>
      <x:c r="AN3624" s="87" t="n">
        <x:v>19</x:v>
      </x:c>
    </x:row>
    <x:row r="3625">
      <x:c r="A3625" s="87" t="n">
        <x:v>3624</x:v>
      </x:c>
      <x:c r="B3625" s="87" t="str">
        <x:v>OCT-RUS-V1-019</x:v>
      </x:c>
      <x:c r="C3625" s="87" t="str">
        <x:v>СтатГрад</x:v>
      </x:c>
      <x:c r="D3625" s="87" t="str">
        <x:v>Октябрь 2025</x:v>
      </x:c>
      <x:c r="E3625" s="87"/>
      <x:c r="F3625" s="87"/>
      <x:c r="G3625" s="87" t="str">
        <x:v>Русский язык</x:v>
      </x:c>
      <x:c r="H3625" s="87" t="n">
        <x:v>11</x:v>
      </x:c>
      <x:c r="I3625" s="87" t="str">
        <x:v>ТР №2</x:v>
      </x:c>
      <x:c r="J3625" s="87" t="str">
        <x:v>РЯ2510201</x:v>
      </x:c>
      <x:c r="K3625" s="87" t="n">
        <x:v>19</x:v>
      </x:c>
      <x:c r="L3625" s="87" t="str">
        <x:v>Сложноподчинённое предложение</x:v>
      </x:c>
      <x:c r="M3625" s="30" t="str">
        <x:v>Укажите цифру(-ы), на месте которой(-ых) должна(-ы) стоять запятая(-ые).
     В отчаянных попытках выбраться прошло ещё пять минут (1) в течение
     которых (2) Иван начал понимать (3) что (4) чем больше он упирается (5)
     в стремлении вытащить ноги из трясины (6) тем глубже туда погружается.
                                    согласия СтатГрад запрещена</x:v>
      </x:c>
      <x:c r="N3625" s="30" t="str">
        <x:v>136</x:v>
      </x:c>
      <x:c r="O3625" s="30" t="str">
        <x:v>Запятые отделяют придаточные части и учитывают вложенность конструкции.</x:v>
      </x:c>
      <x:c r="P3625" s="30" t="str">
        <x:v>Запятые отделяют придаточные части и учитывают вложенность конструкции.</x:v>
      </x:c>
      <x:c r="Q3625" s="30"/>
      <x:c r="R3625" s="30" t="str">
        <x:v>Официальный PDF ответов + независимая проверка</x:v>
      </x:c>
      <x:c r="S3625" s="30"/>
      <x:c r="T3625" s="30"/>
      <x:c r="U3625"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25" s="87" t="str">
        <x:v>VERIFIED</x:v>
      </x:c>
      <x:c r="W3625" s="87" t="str">
        <x:v>Zadanie_RU11_21102025.pdf, стр. 8</x:v>
      </x:c>
      <x:c r="X3625" s="87"/>
      <x:c r="Y3625" s="87"/>
      <x:c r="Z3625" s="87"/>
      <x:c r="AA3625" s="87"/>
      <x:c r="AB3625" s="87"/>
      <x:c r="AC3625" s="87"/>
      <x:c r="AD3625" s="87"/>
      <x:c r="AE3625" s="87"/>
      <x:c r="AF3625" s="87"/>
      <x:c r="AG3625" s="87"/>
      <x:c r="AH3625" s="87"/>
      <x:c r="AI3625" s="30"/>
      <x:c r="AJ3625" s="87" t="str">
        <x:v>master</x:v>
      </x:c>
      <x:c r="AK3625" s="87" t="str">
        <x:v>master-v0.81</x:v>
      </x:c>
      <x:c r="AL3625" s="87" t="str">
        <x:v>statgrad_master_base_v0_81_final(2).xlsx</x:v>
      </x:c>
      <x:c r="AM3625" s="87" t="str">
        <x:v>RUS_Oct_V1</x:v>
      </x:c>
      <x:c r="AN3625" s="87" t="n">
        <x:v>20</x:v>
      </x:c>
    </x:row>
    <x:row r="3626">
      <x:c r="A3626" s="87" t="n">
        <x:v>3625</x:v>
      </x:c>
      <x:c r="B3626" s="87" t="str">
        <x:v>OCT-RUS-V1-020</x:v>
      </x:c>
      <x:c r="C3626" s="87" t="str">
        <x:v>СтатГрад</x:v>
      </x:c>
      <x:c r="D3626" s="87" t="str">
        <x:v>Октябрь 2025</x:v>
      </x:c>
      <x:c r="E3626" s="87"/>
      <x:c r="F3626" s="87"/>
      <x:c r="G3626" s="87" t="str">
        <x:v>Русский язык</x:v>
      </x:c>
      <x:c r="H3626" s="87" t="n">
        <x:v>11</x:v>
      </x:c>
      <x:c r="I3626" s="87" t="str">
        <x:v>ТР №2</x:v>
      </x:c>
      <x:c r="J3626" s="87" t="str">
        <x:v>РЯ2510201</x:v>
      </x:c>
      <x:c r="K3626" s="87" t="n">
        <x:v>20</x:v>
      </x:c>
      <x:c r="L3626" s="87" t="str">
        <x:v>Сложное предложение с разными видами связи</x:v>
      </x:c>
      <x:c r="M3626" s="30" t="str">
        <x:v>Укажите цифру(-ы), на месте которой(-ых) должна(-ы) стоять запятая(-ые).
     Штатский всё говорил и говорил (1) и (2) пока он говорил (3) лейтенант
     молча смотрел на него (4) как смотрят на человека (5) который и хотел бы
     объяснить что-то важное (6) да у него не хватает слов (7) чтобы объяснить
     другому.</x:v>
      </x:c>
      <x:c r="N3626" s="30" t="str">
        <x:v>1234567</x:v>
      </x:c>
      <x:c r="O3626" s="30" t="str">
        <x:v>Знаки поставлены на границах частей сложного предложения с разными видами связи.</x:v>
      </x:c>
      <x:c r="P3626" s="30" t="str">
        <x:v>Знаки поставлены на границах частей сложного предложения с разными видами связи.</x:v>
      </x:c>
      <x:c r="Q3626" s="30"/>
      <x:c r="R3626" s="30" t="str">
        <x:v>Официальный PDF ответов + независимая проверка</x:v>
      </x:c>
      <x:c r="S3626" s="30"/>
      <x:c r="T3626" s="30"/>
      <x:c r="U3626"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26" s="87" t="str">
        <x:v>VERIFIED</x:v>
      </x:c>
      <x:c r="W3626" s="87" t="str">
        <x:v>Zadanie_RU11_21102025.pdf, стр. 9</x:v>
      </x:c>
      <x:c r="X3626" s="87"/>
      <x:c r="Y3626" s="87"/>
      <x:c r="Z3626" s="87"/>
      <x:c r="AA3626" s="87"/>
      <x:c r="AB3626" s="87"/>
      <x:c r="AC3626" s="87"/>
      <x:c r="AD3626" s="87"/>
      <x:c r="AE3626" s="87"/>
      <x:c r="AF3626" s="87"/>
      <x:c r="AG3626" s="87"/>
      <x:c r="AH3626" s="87"/>
      <x:c r="AI3626" s="30"/>
      <x:c r="AJ3626" s="87" t="str">
        <x:v>master</x:v>
      </x:c>
      <x:c r="AK3626" s="87" t="str">
        <x:v>master-v0.81</x:v>
      </x:c>
      <x:c r="AL3626" s="87" t="str">
        <x:v>statgrad_master_base_v0_81_final(2).xlsx</x:v>
      </x:c>
      <x:c r="AM3626" s="87" t="str">
        <x:v>RUS_Oct_V1</x:v>
      </x:c>
      <x:c r="AN3626" s="87" t="n">
        <x:v>21</x:v>
      </x:c>
    </x:row>
    <x:row r="3627">
      <x:c r="A3627" s="87" t="n">
        <x:v>3626</x:v>
      </x:c>
      <x:c r="B3627" s="87" t="str">
        <x:v>OCT-RUS-V1-021</x:v>
      </x:c>
      <x:c r="C3627" s="87" t="str">
        <x:v>СтатГрад</x:v>
      </x:c>
      <x:c r="D3627" s="87" t="str">
        <x:v>Октябрь 2025</x:v>
      </x:c>
      <x:c r="E3627" s="87"/>
      <x:c r="F3627" s="87"/>
      <x:c r="G3627" s="87" t="str">
        <x:v>Русский язык</x:v>
      </x:c>
      <x:c r="H3627" s="87" t="n">
        <x:v>11</x:v>
      </x:c>
      <x:c r="I3627" s="87" t="str">
        <x:v>ТР №2</x:v>
      </x:c>
      <x:c r="J3627" s="87" t="str">
        <x:v>РЯ2510201</x:v>
      </x:c>
      <x:c r="K3627" s="87" t="n">
        <x:v>21</x:v>
      </x:c>
      <x:c r="L3627" s="87" t="str">
        <x:v>Пунктуационный анализ</x:v>
      </x:c>
      <x:c r="M3627" s="30" t="str">
        <x:v>Найдите предложения, в которых тире ставится(-ятся) в соответствии
     с одним и тем же правилом пунктуации. Запишите номера этих предложений.
          (1)Кашалот – морское млекопитающее, которое удивляет своими
     размерами и особенностями. (2)Длина самцов может достигать 20 метров,
     самок – десяти-тринадцати. (3)В стаде кашалотов царит строгая иерархия:
     самки с детёнышами держатся отдельно от взрослых самцов – защитников
     стаи. (4)В океане эти гиганты чувствуют себя как дома: они свободно
     плавают на тех глубинах, где попадаются головоногие моллюски – их
     любимое лакомство. (5)Когда кашалот ныряет, это настоящее зрелище, за
     которым можно наблюдать часами. (6)Охота на кальмаров – любимое
     занятие кашалотов, способных погружаться на большую глубину, – требует
     от этих животных не только выносливости и силы, но и ловкости. (7)Кроме
     того, учёные выяснили, что голова этого кита содержит природный
     механизм, позволяющий животному во время охоты издавать особые звуки
     для эхолокации. (8)Кашалоты, как оказалось, обладают сложной системой
     коммуникации под водой, напоминающей язык, активно используя её при
     охоте, – это настоящее чудо природы.
          (9)Кашалоты – флагманы океана, способствующие поддержанию
     природного баланса, – играют важную роль в экосистеме планеты.
                                    согласия СтатГрад запрещена</x:v>
      </x:c>
      <x:c r="N3627" s="30" t="str">
        <x:v>3469</x:v>
      </x:c>
      <x:c r="O3627" s="30" t="str">
        <x:v>Предложения объединены одним и тем же пунктуационным правилом.</x:v>
      </x:c>
      <x:c r="P3627" s="30" t="str">
        <x:v>Предложения объединены одним и тем же пунктуационным правилом.</x:v>
      </x:c>
      <x:c r="Q3627" s="30"/>
      <x:c r="R3627" s="30" t="str">
        <x:v>Официальный PDF ответов + независимая проверка</x:v>
      </x:c>
      <x:c r="S3627" s="30"/>
      <x:c r="T3627" s="30"/>
      <x:c r="U3627"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27" s="87" t="str">
        <x:v>VERIFIED</x:v>
      </x:c>
      <x:c r="W3627" s="87" t="str">
        <x:v>Zadanie_RU11_21102025.pdf, стр. 9</x:v>
      </x:c>
      <x:c r="X3627" s="87"/>
      <x:c r="Y3627" s="87"/>
      <x:c r="Z3627" s="87"/>
      <x:c r="AA3627" s="87"/>
      <x:c r="AB3627" s="87"/>
      <x:c r="AC3627" s="87"/>
      <x:c r="AD3627" s="87"/>
      <x:c r="AE3627" s="87"/>
      <x:c r="AF3627" s="87"/>
      <x:c r="AG3627" s="87"/>
      <x:c r="AH3627" s="87"/>
      <x:c r="AI3627" s="30"/>
      <x:c r="AJ3627" s="87" t="str">
        <x:v>master</x:v>
      </x:c>
      <x:c r="AK3627" s="87" t="str">
        <x:v>master-v0.81</x:v>
      </x:c>
      <x:c r="AL3627" s="87" t="str">
        <x:v>statgrad_master_base_v0_81_final(2).xlsx</x:v>
      </x:c>
      <x:c r="AM3627" s="87" t="str">
        <x:v>RUS_Oct_V1</x:v>
      </x:c>
      <x:c r="AN3627" s="87" t="n">
        <x:v>22</x:v>
      </x:c>
    </x:row>
    <x:row r="3628">
      <x:c r="A3628" s="87" t="n">
        <x:v>3627</x:v>
      </x:c>
      <x:c r="B3628" s="87" t="str">
        <x:v>OCT-RUS-V1-022</x:v>
      </x:c>
      <x:c r="C3628" s="87" t="str">
        <x:v>СтатГрад</x:v>
      </x:c>
      <x:c r="D3628" s="87" t="str">
        <x:v>Октябрь 2025</x:v>
      </x:c>
      <x:c r="E3628" s="87"/>
      <x:c r="F3628" s="87"/>
      <x:c r="G3628" s="87" t="str">
        <x:v>Русский язык</x:v>
      </x:c>
      <x:c r="H3628" s="87" t="n">
        <x:v>11</x:v>
      </x:c>
      <x:c r="I3628" s="87" t="str">
        <x:v>ТР №2</x:v>
      </x:c>
      <x:c r="J3628" s="87" t="str">
        <x:v>РЯ2510201</x:v>
      </x:c>
      <x:c r="K3628" s="87" t="n">
        <x:v>22</x:v>
      </x:c>
      <x:c r="L3628" s="87" t="str">
        <x:v>Средства выразительности</x:v>
      </x:c>
      <x:c r="M3628" s="30" t="str">
        <x:v>Установите    соответствие   между    предложениями    и    названиями
     изобразительно-выразительных средств языка, которые употреблены в них:
     к каждой позиции первого столбца подберите соответствующую позицию из
     второго столбца.
                                                               ИЗОБРАЗИТЕЛЬНО-
                    ПРЕДЛОЖЕНИЯ                                ВЫРАЗИТЕЛЬНЫЕ
                                                               СРЕДСТВА ЯЗЫКА
     А) С чрезвычайною точностью гость                     1) эпифора
        расспросил, кто в городе губернатор, кто           2) риторическое обращение
        председатель палаты, кто прокурор.                 3) синтаксический
                                (Н. В. Гоголь)                параллелизм
     Б) «Какое странное сооружение!» –                     4) парцелляция
        невольно воскликнул проезжий, глядя на             5) риторическое восклицание
        причудливый дом помещицы.
                                (Н. В. Гоголь)             6) вопросно-ответная
                                                              форма изложения
     В) – Может быть, здесь... В этом, вами
                                                           7) сравнение
        сейчас выраженном изъяснении скрыто
        другое?                                            8) риторический вопрос
        – Нет, – подхватил Чичиков…                        9) литота
                           (По Н. В. Гоголю)
     Г) Толстые умеют лучше тонких на этом
        свете обделывать дела свои…
                           (По Н. В. Гоголю)
     Д) Сын роскоши, прохлад и нег,
        Куда, Мещерский, ты сокрылся?
        Оставил ты сей жизни брег,
        К брегам ты мёртвых удалился.
                             (Г. Р. Державин)
                А Б В Г Д
     Ответ:
                                    согласия СтатГрад запрещена</x:v>
      </x:c>
      <x:c r="N3628" s="30" t="str">
        <x:v>35476</x:v>
      </x:c>
      <x:c r="O3628" s="30" t="str">
        <x:v>Средства выразительности распознаны по их функции и синтаксико-лексическим признакам.</x:v>
      </x:c>
      <x:c r="P3628" s="30" t="str">
        <x:v>Средства выразительности распознаны по их функции и синтаксико-лексическим признакам.</x:v>
      </x:c>
      <x:c r="Q3628" s="30"/>
      <x:c r="R3628" s="30" t="str">
        <x:v>Официальный PDF ответов + независимая проверка</x:v>
      </x:c>
      <x:c r="S3628" s="30"/>
      <x:c r="T3628" s="30"/>
      <x:c r="U3628" s="30" t="str">
        <x:v>Внутренний колонтитул PDF ошибочно содержит код РЯ2410201/РЯ2410202; вариант установлен по обложке и официальному PDF ответов: РЯ2510201/РЯ2510202.</x:v>
      </x:c>
      <x:c r="V3628" s="87" t="str">
        <x:v>VERIFIED</x:v>
      </x:c>
      <x:c r="W3628" s="87" t="str">
        <x:v>Zadanie_RU11_21102025.pdf, стр. 10</x:v>
      </x:c>
      <x:c r="X3628" s="87"/>
      <x:c r="Y3628" s="87"/>
      <x:c r="Z3628" s="87"/>
      <x:c r="AA3628" s="87"/>
      <x:c r="AB3628" s="87"/>
      <x:c r="AC3628" s="87"/>
      <x:c r="AD3628" s="87"/>
      <x:c r="AE3628" s="87"/>
      <x:c r="AF3628" s="87"/>
      <x:c r="AG3628" s="87"/>
      <x:c r="AH3628" s="87"/>
      <x:c r="AI3628" s="30"/>
      <x:c r="AJ3628" s="87" t="str">
        <x:v>master</x:v>
      </x:c>
      <x:c r="AK3628" s="87" t="str">
        <x:v>master-v0.81</x:v>
      </x:c>
      <x:c r="AL3628" s="87" t="str">
        <x:v>statgrad_master_base_v0_81_final(2).xlsx</x:v>
      </x:c>
      <x:c r="AM3628" s="87" t="str">
        <x:v>RUS_Oct_V1</x:v>
      </x:c>
      <x:c r="AN3628" s="87" t="n">
        <x:v>23</x:v>
      </x:c>
    </x:row>
    <x:row r="3629">
      <x:c r="A3629" s="87" t="n">
        <x:v>3628</x:v>
      </x:c>
      <x:c r="B3629" s="87" t="str">
        <x:v>OCT-RUS-V1-023</x:v>
      </x:c>
      <x:c r="C3629" s="87" t="str">
        <x:v>СтатГрад</x:v>
      </x:c>
      <x:c r="D3629" s="87" t="str">
        <x:v>Октябрь 2025</x:v>
      </x:c>
      <x:c r="E3629" s="87"/>
      <x:c r="F3629" s="87"/>
      <x:c r="G3629" s="87" t="str">
        <x:v>Русский язык</x:v>
      </x:c>
      <x:c r="H3629" s="87" t="n">
        <x:v>11</x:v>
      </x:c>
      <x:c r="I3629" s="87" t="str">
        <x:v>ТР №2</x:v>
      </x:c>
      <x:c r="J3629" s="87" t="str">
        <x:v>РЯ2510201</x:v>
      </x:c>
      <x:c r="K3629" s="87" t="n">
        <x:v>23</x:v>
      </x:c>
      <x:c r="L3629" s="87" t="str">
        <x:v>Содержание текста</x:v>
      </x:c>
      <x:c r="M3629" s="30" t="str">
        <x:v>Какие из высказываний соответствуют содержанию текста? Укажите номера
     ответов.
     1) Евгений Иванович приехал навестить Лёшкину сестру – Елену Ивановну.
     2) Евгений Иванович – хирург, а работа Елены Ивановны связана со
        школой.
     3) Перед выходом на пенсию Елена Ивановна планировала продать старый
        дом за городом и купить квартиру в городе.
     4) Кроме дома, планировалось снести и сад возле него.
     5) Евгений Иванович планирует взять Лёшку к себе жить, предварительно
        усыновив его.</x:v>
      </x:c>
      <x:c r="N3629" s="30" t="str">
        <x:v>24</x:v>
      </x:c>
      <x:c r="O3629" s="30" t="str">
        <x:v>Ответ проверен прямым сопоставлением каждого утверждения с исходным текстом.</x:v>
      </x:c>
      <x:c r="P3629" s="30" t="str">
        <x:v>Ответ проверен прямым сопоставлением каждого утверждения с исходным текстом.</x:v>
      </x:c>
      <x:c r="Q3629" s="30"/>
      <x:c r="R3629" s="30" t="str">
        <x:v>Архивный фото-ключ + независимая проверка</x:v>
      </x:c>
      <x:c r="S3629" s="30"/>
      <x:c r="T3629" s="30"/>
      <x:c r="U3629"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29" s="87" t="str">
        <x:v>VERIFIED</x:v>
      </x:c>
      <x:c r="W3629" s="87" t="str">
        <x:v>Zadanie_RU11_21102025.pdf, стр. 13</x:v>
      </x:c>
      <x:c r="X3629" s="87"/>
      <x:c r="Y3629" s="87"/>
      <x:c r="Z3629" s="87"/>
      <x:c r="AA3629" s="87"/>
      <x:c r="AB3629" s="87"/>
      <x:c r="AC3629" s="87"/>
      <x:c r="AD3629" s="87"/>
      <x:c r="AE3629" s="87"/>
      <x:c r="AF3629" s="87"/>
      <x:c r="AG3629" s="87"/>
      <x:c r="AH3629" s="87"/>
      <x:c r="AI3629" s="30"/>
      <x:c r="AJ3629" s="87" t="str">
        <x:v>master</x:v>
      </x:c>
      <x:c r="AK3629" s="87" t="str">
        <x:v>master-v0.81</x:v>
      </x:c>
      <x:c r="AL3629" s="87" t="str">
        <x:v>statgrad_master_base_v0_81_final(2).xlsx</x:v>
      </x:c>
      <x:c r="AM3629" s="87" t="str">
        <x:v>RUS_Oct_V1</x:v>
      </x:c>
      <x:c r="AN3629" s="87" t="n">
        <x:v>24</x:v>
      </x:c>
    </x:row>
    <x:row r="3630">
      <x:c r="A3630" s="87" t="n">
        <x:v>3629</x:v>
      </x:c>
      <x:c r="B3630" s="87" t="str">
        <x:v>OCT-RUS-V1-024</x:v>
      </x:c>
      <x:c r="C3630" s="87" t="str">
        <x:v>СтатГрад</x:v>
      </x:c>
      <x:c r="D3630" s="87" t="str">
        <x:v>Октябрь 2025</x:v>
      </x:c>
      <x:c r="E3630" s="87"/>
      <x:c r="F3630" s="87"/>
      <x:c r="G3630" s="87" t="str">
        <x:v>Русский язык</x:v>
      </x:c>
      <x:c r="H3630" s="87" t="n">
        <x:v>11</x:v>
      </x:c>
      <x:c r="I3630" s="87" t="str">
        <x:v>ТР №2</x:v>
      </x:c>
      <x:c r="J3630" s="87" t="str">
        <x:v>РЯ2510201</x:v>
      </x:c>
      <x:c r="K3630" s="87" t="n">
        <x:v>24</x:v>
      </x:c>
      <x:c r="L3630" s="87" t="str">
        <x:v>Функционально-смысловые типы речи</x:v>
      </x:c>
      <x:c r="M3630" s="30" t="str">
        <x:v>Какие из перечисленных утверждений являются верными? Укажите номера
     ответов.
     1) В предложении 2 представлено описание.
     2) В предложениях 5, 6 содержится описание.
     3) Предложения 11 и 12 противопоставлены по содержанию.
     4) В предложениях 37–40 представлено повествование.
     5) В предложениях 59–62 представлено рассуждение.</x:v>
      </x:c>
      <x:c r="N3630" s="30" t="str">
        <x:v>135</x:v>
      </x:c>
      <x:c r="O3630" s="30" t="str">
        <x:v>Типы речи и смысловые отношения определены по способу развития информации в предложениях.</x:v>
      </x:c>
      <x:c r="P3630" s="30" t="str">
        <x:v>Типы речи и смысловые отношения определены по способу развития информации в предложениях.</x:v>
      </x:c>
      <x:c r="Q3630" s="30"/>
      <x:c r="R3630" s="30" t="str">
        <x:v>Официальный PDF ответов + независимая проверка</x:v>
      </x:c>
      <x:c r="S3630" s="30"/>
      <x:c r="T3630" s="30"/>
      <x:c r="U3630" s="30" t="str">
        <x:v>Официально допускаются альтернативный порядок или формулировка; в поле ответа сохранён один нормативный вариант. Ответ присутствует и в фото-ключе, и в официальном PDF; источники совпадают. Внутренний колонтитул PDF ошибочно содержит код РЯ2410201/РЯ2410202; вариант установлен по обложке и официальному PDF ответов: РЯ2510201/РЯ2510202.</x:v>
      </x:c>
      <x:c r="V3630" s="87" t="str">
        <x:v>VERIFIED</x:v>
      </x:c>
      <x:c r="W3630" s="87" t="str">
        <x:v>Zadanie_RU11_21102025.pdf, стр. 13</x:v>
      </x:c>
      <x:c r="X3630" s="87"/>
      <x:c r="Y3630" s="87"/>
      <x:c r="Z3630" s="87"/>
      <x:c r="AA3630" s="87"/>
      <x:c r="AB3630" s="87"/>
      <x:c r="AC3630" s="87"/>
      <x:c r="AD3630" s="87"/>
      <x:c r="AE3630" s="87"/>
      <x:c r="AF3630" s="87"/>
      <x:c r="AG3630" s="87"/>
      <x:c r="AH3630" s="87"/>
      <x:c r="AI3630" s="30"/>
      <x:c r="AJ3630" s="87" t="str">
        <x:v>master</x:v>
      </x:c>
      <x:c r="AK3630" s="87" t="str">
        <x:v>master-v0.81</x:v>
      </x:c>
      <x:c r="AL3630" s="87" t="str">
        <x:v>statgrad_master_base_v0_81_final(2).xlsx</x:v>
      </x:c>
      <x:c r="AM3630" s="87" t="str">
        <x:v>RUS_Oct_V1</x:v>
      </x:c>
      <x:c r="AN3630" s="87" t="n">
        <x:v>25</x:v>
      </x:c>
    </x:row>
    <x:row r="3631">
      <x:c r="A3631" s="87" t="n">
        <x:v>3630</x:v>
      </x:c>
      <x:c r="B3631" s="87" t="str">
        <x:v>OCT-RUS-V1-025</x:v>
      </x:c>
      <x:c r="C3631" s="87" t="str">
        <x:v>СтатГрад</x:v>
      </x:c>
      <x:c r="D3631" s="87" t="str">
        <x:v>Октябрь 2025</x:v>
      </x:c>
      <x:c r="E3631" s="87"/>
      <x:c r="F3631" s="87"/>
      <x:c r="G3631" s="87" t="str">
        <x:v>Русский язык</x:v>
      </x:c>
      <x:c r="H3631" s="87" t="n">
        <x:v>11</x:v>
      </x:c>
      <x:c r="I3631" s="87" t="str">
        <x:v>ТР №2</x:v>
      </x:c>
      <x:c r="J3631" s="87" t="str">
        <x:v>РЯ2510201</x:v>
      </x:c>
      <x:c r="K3631" s="87" t="n">
        <x:v>25</x:v>
      </x:c>
      <x:c r="L3631" s="87" t="str">
        <x:v>Лексические отношения / фразеология</x:v>
      </x:c>
      <x:c r="M3631" s="30" t="str">
        <x:v>Из предложений 13–17 выпишите антонимы (антонимическую пару).</x:v>
      </x:c>
      <x:c r="N3631" s="30" t="str">
        <x:v>сразу постепенно</x:v>
      </x:c>
      <x:c r="O3631" s="30" t="str">
        <x:v>Искомая пара или фразеологизм выписаны из указанного диапазона предложений без изменения формы.</x:v>
      </x:c>
      <x:c r="P3631" s="30" t="str">
        <x:v>Искомая пара или фразеологизм выписаны из указанного диапазона предложений без изменения формы.</x:v>
      </x:c>
      <x:c r="Q3631" s="30"/>
      <x:c r="R3631" s="30" t="str">
        <x:v>Официальный PDF ответов + независимая проверка</x:v>
      </x:c>
      <x:c r="S3631" s="30"/>
      <x:c r="T3631" s="30"/>
      <x:c r="U3631"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31" s="87" t="str">
        <x:v>VERIFIED</x:v>
      </x:c>
      <x:c r="W3631" s="87" t="str">
        <x:v>Zadanie_RU11_21102025.pdf, стр. 13</x:v>
      </x:c>
      <x:c r="X3631" s="87"/>
      <x:c r="Y3631" s="87"/>
      <x:c r="Z3631" s="87"/>
      <x:c r="AA3631" s="87"/>
      <x:c r="AB3631" s="87"/>
      <x:c r="AC3631" s="87"/>
      <x:c r="AD3631" s="87"/>
      <x:c r="AE3631" s="87"/>
      <x:c r="AF3631" s="87"/>
      <x:c r="AG3631" s="87"/>
      <x:c r="AH3631" s="87"/>
      <x:c r="AI3631" s="30"/>
      <x:c r="AJ3631" s="87" t="str">
        <x:v>master</x:v>
      </x:c>
      <x:c r="AK3631" s="87" t="str">
        <x:v>master-v0.81</x:v>
      </x:c>
      <x:c r="AL3631" s="87" t="str">
        <x:v>statgrad_master_base_v0_81_final(2).xlsx</x:v>
      </x:c>
      <x:c r="AM3631" s="87" t="str">
        <x:v>RUS_Oct_V1</x:v>
      </x:c>
      <x:c r="AN3631" s="87" t="n">
        <x:v>26</x:v>
      </x:c>
    </x:row>
    <x:row r="3632">
      <x:c r="A3632" s="87" t="n">
        <x:v>3631</x:v>
      </x:c>
      <x:c r="B3632" s="87" t="str">
        <x:v>OCT-RUS-V1-026</x:v>
      </x:c>
      <x:c r="C3632" s="87" t="str">
        <x:v>СтатГрад</x:v>
      </x:c>
      <x:c r="D3632" s="87" t="str">
        <x:v>Октябрь 2025</x:v>
      </x:c>
      <x:c r="E3632" s="87"/>
      <x:c r="F3632" s="87"/>
      <x:c r="G3632" s="87" t="str">
        <x:v>Русский язык</x:v>
      </x:c>
      <x:c r="H3632" s="87" t="n">
        <x:v>11</x:v>
      </x:c>
      <x:c r="I3632" s="87" t="str">
        <x:v>ТР №2</x:v>
      </x:c>
      <x:c r="J3632" s="87" t="str">
        <x:v>РЯ2510201</x:v>
      </x:c>
      <x:c r="K3632" s="87" t="n">
        <x:v>26</x:v>
      </x:c>
      <x:c r="L3632" s="87" t="str">
        <x:v>Средства связи предложений</x:v>
      </x:c>
      <x:c r="M3632" s="30" t="str">
        <x:v>Среди предложений 55–59 найдите такое(-ие), которое(-ые) связано(-ы)
     с предыдущим при помощи лексического повтора и контекстных синонимов.
     Запишите номер(-а) этого(-их) предложения(-ий).
                                    согласия СтатГрад запрещена</x:v>
      </x:c>
      <x:c r="N3632" s="30" t="str">
        <x:v>58</x:v>
      </x:c>
      <x:c r="O3632" s="30" t="str">
        <x:v>Связь с предыдущим предложением установлена по названному в условии языковому средству.</x:v>
      </x:c>
      <x:c r="P3632" s="30" t="str">
        <x:v>Связь с предыдущим предложением установлена по названному в условии языковому средству.</x:v>
      </x:c>
      <x:c r="Q3632" s="30"/>
      <x:c r="R3632" s="30" t="str">
        <x:v>Официальный PDF ответов + независимая проверка</x:v>
      </x:c>
      <x:c r="S3632" s="30"/>
      <x:c r="T3632" s="30"/>
      <x:c r="U3632" s="30" t="str">
        <x:v>Внутренний колонтитул PDF ошибочно содержит код РЯ2410201/РЯ2410202; вариант установлен по обложке и официальному PDF ответов: РЯ2510201/РЯ2510202.</x:v>
      </x:c>
      <x:c r="V3632" s="87" t="str">
        <x:v>VERIFIED</x:v>
      </x:c>
      <x:c r="W3632" s="87" t="str">
        <x:v>Zadanie_RU11_21102025.pdf, стр. 13</x:v>
      </x:c>
      <x:c r="X3632" s="87"/>
      <x:c r="Y3632" s="87"/>
      <x:c r="Z3632" s="87"/>
      <x:c r="AA3632" s="87"/>
      <x:c r="AB3632" s="87"/>
      <x:c r="AC3632" s="87"/>
      <x:c r="AD3632" s="87"/>
      <x:c r="AE3632" s="87"/>
      <x:c r="AF3632" s="87"/>
      <x:c r="AG3632" s="87"/>
      <x:c r="AH3632" s="87"/>
      <x:c r="AI3632" s="30"/>
      <x:c r="AJ3632" s="87" t="str">
        <x:v>master</x:v>
      </x:c>
      <x:c r="AK3632" s="87" t="str">
        <x:v>master-v0.81</x:v>
      </x:c>
      <x:c r="AL3632" s="87" t="str">
        <x:v>statgrad_master_base_v0_81_final(2).xlsx</x:v>
      </x:c>
      <x:c r="AM3632" s="87" t="str">
        <x:v>RUS_Oct_V1</x:v>
      </x:c>
      <x:c r="AN3632" s="87" t="n">
        <x:v>27</x:v>
      </x:c>
    </x:row>
    <x:row r="3633">
      <x:c r="A3633" s="87" t="n">
        <x:v>3632</x:v>
      </x:c>
      <x:c r="B3633" s="87" t="str">
        <x:v>OCT-RUS-V1-027</x:v>
      </x:c>
      <x:c r="C3633" s="87" t="str">
        <x:v>СтатГрад</x:v>
      </x:c>
      <x:c r="D3633" s="87" t="str">
        <x:v>Октябрь 2025</x:v>
      </x:c>
      <x:c r="E3633" s="87"/>
      <x:c r="F3633" s="87"/>
      <x:c r="G3633" s="87" t="str">
        <x:v>Русский язык</x:v>
      </x:c>
      <x:c r="H3633" s="87" t="n">
        <x:v>11</x:v>
      </x:c>
      <x:c r="I3633" s="87" t="str">
        <x:v>ТР №2</x:v>
      </x:c>
      <x:c r="J3633" s="87" t="str">
        <x:v>РЯ2510201</x:v>
      </x:c>
      <x:c r="K3633" s="87" t="n">
        <x:v>27</x:v>
      </x:c>
      <x:c r="L3633" s="87" t="str">
        <x:v>Сочинение-рассуждение</x:v>
      </x:c>
      <x:c r="M3633" s="30" t="str">
        <x:v>Напишите сочинение-рассуждение по проблеме, поставленной в исходном
     тексте «Что можно противопоставить неумолимости времени?».
          Сформулируйте позицию автора (рассказчика) по указанной проблеме.
          Прокомментируйте, как в тексте раскрывается эта позиция. Включите
     в комментарий два примера-иллюстрации из прочитанного текста, важные
     для понимания позиции автора (рассказчика), и поясните их. Укажите и
     поясните смысловую связь между приведёнными примерами-иллюстра-
     циями.
          Сформулируйте и обоснуйте своё отношение к позиции автора
     (рассказчика) по проблеме исходного текста. Включите в обоснование
     пример-аргумент, опираясь на читательский, историко-культурный или
     жизненный опыт. (Не учитываются примеры-аргументы, источниками
     которых являются комикс, аниме, манга, фанфик, графический роман,
     компьютерная игра и другие подобные виды представления информации.)
          Объём сочинения – не менее 150 слов.
          Работа, написанная без опоры на прочитанный текст (не по данному
     тексту), не оценивается. Если сочинение представляет собой полностью
     переписанный или пересказанный исходный текст без каких бы то ни было
     комментариев, такая работа оценивается 0 баллов.
          Сочинение пишите аккуратно и разборчиво, соблюдая нормы
     современного русского литературного языка.
                                    согласия СтатГрад запрещена</x:v>
      </x:c>
      <x:c r="N3633" s="30" t="str">
        <x:v>В тексте Ю. И. Чичёва поставлена проблема противостояния неумолимости времени. Автор убеждён: человеку помогает память, которая сохраняет прошлое и передаёт его следующим поколениям.
Сначала Евгений Иванович возвращается в дом детства перед его сносом. Старый сад пробуждает воспоминания, поэтому герой хочет «поздороваться» с ним и одновременно попрощаться. Этот пример показывает, что дорогие места удерживают личную историю человека, даже когда сами обречены исчезнуть. Затем герой рассказывает Лёшке о бомбоубежище и осколке, застрявшем в берёзе. Он превращает дерево в образ живой памяти: старые ветви словно сообщают молодым о войне. Второй пример дополняет первый и переводит личные воспоминания в общую историческую память, которую взрослые обязаны передать детям.
Я согласен с автором. Время уничтожает здания и меняет людей, но осмысленная память не позволяет прошлому исчезнуть бесследно. Так, стихотворение А. Т. Твардовского «Я убит подо Ржевом» возвращает голос безымянному солдату и напоминает потомкам о цене Победы. Значит, неумолимости времени можно противопоставить бережное сохранение памяти, честный рассказ о прошлом и ответственность перед будущими поколениями.</x:v>
      </x:c>
      <x:c r="O3633" s="30" t="str">
        <x:v>Модель содержит позицию автора, два пояснённых примера, смысловую связь, собственное отношение и аргумент; объём превышает 150 слов.</x:v>
      </x:c>
      <x:c r="P3633" s="30" t="str">
        <x:v>Структура сочинения сверена с формулировкой задания и официальной информацией о тексте.</x:v>
      </x:c>
      <x:c r="Q3633" s="30"/>
      <x:c r="R3633" s="30" t="str">
        <x:v>Официальная авторская позиция + самостоятельная проверенная модель</x:v>
      </x:c>
      <x:c r="S3633" s="30"/>
      <x:c r="T3633" s="30"/>
      <x:c r="U3633" s="30" t="str">
        <x:v>Самостоятельная модель сочинения: 157 слов; официальный материал содержит авторскую позицию, но не полный эталон сочинения.</x:v>
      </x:c>
      <x:c r="V3633" s="87" t="str">
        <x:v>VERIFIED</x:v>
      </x:c>
      <x:c r="W3633" s="87" t="str">
        <x:v>Zadanie_RU11_21102025.pdf, стр. 14</x:v>
      </x:c>
      <x:c r="X3633" s="87"/>
      <x:c r="Y3633" s="87"/>
      <x:c r="Z3633" s="87"/>
      <x:c r="AA3633" s="87"/>
      <x:c r="AB3633" s="87"/>
      <x:c r="AC3633" s="87"/>
      <x:c r="AD3633" s="87"/>
      <x:c r="AE3633" s="87"/>
      <x:c r="AF3633" s="87"/>
      <x:c r="AG3633" s="87"/>
      <x:c r="AH3633" s="87"/>
      <x:c r="AI3633" s="30"/>
      <x:c r="AJ3633" s="87" t="str">
        <x:v>master</x:v>
      </x:c>
      <x:c r="AK3633" s="87" t="str">
        <x:v>master-v0.81</x:v>
      </x:c>
      <x:c r="AL3633" s="87" t="str">
        <x:v>statgrad_master_base_v0_81_final(2).xlsx</x:v>
      </x:c>
      <x:c r="AM3633" s="87" t="str">
        <x:v>RUS_Oct_V1</x:v>
      </x:c>
      <x:c r="AN3633" s="87" t="n">
        <x:v>28</x:v>
      </x:c>
    </x:row>
    <x:row r="3634">
      <x:c r="A3634" s="87" t="n">
        <x:v>3633</x:v>
      </x:c>
      <x:c r="B3634" s="87" t="str">
        <x:v>OCT-RUS-V2-001</x:v>
      </x:c>
      <x:c r="C3634" s="87" t="str">
        <x:v>СтатГрад</x:v>
      </x:c>
      <x:c r="D3634" s="87" t="str">
        <x:v>Октябрь 2025</x:v>
      </x:c>
      <x:c r="E3634" s="87"/>
      <x:c r="F3634" s="87"/>
      <x:c r="G3634" s="87" t="str">
        <x:v>Русский язык</x:v>
      </x:c>
      <x:c r="H3634" s="87" t="n">
        <x:v>11</x:v>
      </x:c>
      <x:c r="I3634" s="87" t="str">
        <x:v>ТР №2</x:v>
      </x:c>
      <x:c r="J3634" s="87" t="str">
        <x:v>РЯ2510202</x:v>
      </x:c>
      <x:c r="K3634" s="87" t="n">
        <x:v>1</x:v>
      </x:c>
      <x:c r="L3634" s="87" t="str">
        <x:v>Средство связи / грамматика текста</x:v>
      </x:c>
      <x:c r="M3634" s="30" t="str">
        <x:v>Самостоятельно подберите относительное местоимение, которое должно
    стоять на месте пропуска в последнем абзаце текста. Запишите это
    местоимение.
                                   согласия СтатГрад запрещена</x:v>
      </x:c>
      <x:c r="N3634" s="30" t="str">
        <x:v>каким</x:v>
      </x:c>
      <x:c r="O3634" s="30" t="str">
        <x:v>Ответ восстанавливает требуемую грамматическую связь и соответствует контексту исходного текста.</x:v>
      </x:c>
      <x:c r="P3634" s="30" t="str">
        <x:v>Ответ восстанавливает требуемую грамматическую связь и соответствует контексту исходного текста.</x:v>
      </x:c>
      <x:c r="Q3634" s="30"/>
      <x:c r="R3634" s="30" t="str">
        <x:v>Официальный PDF ответов + независимая проверка</x:v>
      </x:c>
      <x:c r="S3634" s="30"/>
      <x:c r="T3634" s="30"/>
      <x:c r="U3634" s="30" t="str">
        <x:v>Внутренний колонтитул PDF ошибочно содержит код РЯ2410201/РЯ2410202; вариант установлен по обложке и официальному PDF ответов: РЯ2510201/РЯ2510202.</x:v>
      </x:c>
      <x:c r="V3634" s="87" t="str">
        <x:v>VERIFIED</x:v>
      </x:c>
      <x:c r="W3634" s="87" t="str">
        <x:v>Zadanie_RU11_21102025.pdf, стр. 16</x:v>
      </x:c>
      <x:c r="X3634" s="87"/>
      <x:c r="Y3634" s="87"/>
      <x:c r="Z3634" s="87"/>
      <x:c r="AA3634" s="87"/>
      <x:c r="AB3634" s="87"/>
      <x:c r="AC3634" s="87"/>
      <x:c r="AD3634" s="87"/>
      <x:c r="AE3634" s="87"/>
      <x:c r="AF3634" s="87"/>
      <x:c r="AG3634" s="87"/>
      <x:c r="AH3634" s="87"/>
      <x:c r="AI3634" s="30"/>
      <x:c r="AJ3634" s="87" t="str">
        <x:v>master</x:v>
      </x:c>
      <x:c r="AK3634" s="87" t="str">
        <x:v>master-v0.81</x:v>
      </x:c>
      <x:c r="AL3634" s="87" t="str">
        <x:v>statgrad_master_base_v0_81_final(2).xlsx</x:v>
      </x:c>
      <x:c r="AM3634" s="87" t="str">
        <x:v>RUS_Oct_V2</x:v>
      </x:c>
      <x:c r="AN3634" s="87" t="n">
        <x:v>2</x:v>
      </x:c>
    </x:row>
    <x:row r="3635">
      <x:c r="A3635" s="87" t="n">
        <x:v>3634</x:v>
      </x:c>
      <x:c r="B3635" s="87" t="str">
        <x:v>OCT-RUS-V2-002</x:v>
      </x:c>
      <x:c r="C3635" s="87" t="str">
        <x:v>СтатГрад</x:v>
      </x:c>
      <x:c r="D3635" s="87" t="str">
        <x:v>Октябрь 2025</x:v>
      </x:c>
      <x:c r="E3635" s="87"/>
      <x:c r="F3635" s="87"/>
      <x:c r="G3635" s="87" t="str">
        <x:v>Русский язык</x:v>
      </x:c>
      <x:c r="H3635" s="87" t="n">
        <x:v>11</x:v>
      </x:c>
      <x:c r="I3635" s="87" t="str">
        <x:v>ТР №2</x:v>
      </x:c>
      <x:c r="J3635" s="87" t="str">
        <x:v>РЯ2510202</x:v>
      </x:c>
      <x:c r="K3635" s="87" t="n">
        <x:v>2</x:v>
      </x:c>
      <x:c r="L3635" s="87" t="str">
        <x:v>Лексическое значение</x:v>
      </x:c>
      <x:c r="M3635" s="30" t="str">
        <x:v>В тексте выделено пять слов. Укажите варианты ответов, в которых
    лексическое значение выделенного слова соответствует его значению
    в данном тексте. Запишите номера ответов.
    1) ФУНДАМЕНТАЛЬНЫЙ. Лежащий в основе чего-либо; основопола-
       гающий. Фундаментальные законы физики. Фундаментальные представ-
       ления о пространстве и времени.
    2) ОАЗИС. чего или какой. О том, что доставляет удовольствие,
       положительно отличаясь от окружающего. Оазис добра и веселья. Оазис
       русских традиций.
    3) ЗОНА. чего или какая. Геогр. Пояс или полоса земного шара с общими
       для них природными условиями, флорой, фауной и т. п. Арктическая
       зона. Зона пустынь и полупустынь.
    4) ПОДЕЛИТЬСЯ. чем с кем. Передать, сообщить кому-либо что-либо;
       взаимно обменяться чем-либо. Поделиться знаниями. Поделиться
       опытом работы.
    5) НАЙТИ. каким и с придат. Прийти к какому-либо выводу, заключению;
       счесть, признать что-либо каким-либо. Я нашла всё это очень странным.
       Он нашёл доводы убедительными. Доктор нашёл, что больного нужно
       отправить в больницу.</x:v>
      </x:c>
      <x:c r="N3635" s="30" t="str">
        <x:v>24</x:v>
      </x:c>
      <x:c r="O3635" s="30" t="str">
        <x:v>Выбранные толкования совпадают с контекстуальными значениями выделенных слов.</x:v>
      </x:c>
      <x:c r="P3635" s="30" t="str">
        <x:v>Выбранные толкования совпадают с контекстуальными значениями выделенных слов.</x:v>
      </x:c>
      <x:c r="Q3635" s="30"/>
      <x:c r="R3635" s="30" t="str">
        <x:v>Архивный фото-ключ + независимая проверка</x:v>
      </x:c>
      <x:c r="S3635" s="30"/>
      <x:c r="T3635" s="30"/>
      <x:c r="U3635"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35" s="87" t="str">
        <x:v>VERIFIED</x:v>
      </x:c>
      <x:c r="W3635" s="87" t="str">
        <x:v>Zadanie_RU11_21102025.pdf, стр. 17</x:v>
      </x:c>
      <x:c r="X3635" s="87"/>
      <x:c r="Y3635" s="87"/>
      <x:c r="Z3635" s="87"/>
      <x:c r="AA3635" s="87"/>
      <x:c r="AB3635" s="87"/>
      <x:c r="AC3635" s="87"/>
      <x:c r="AD3635" s="87"/>
      <x:c r="AE3635" s="87"/>
      <x:c r="AF3635" s="87"/>
      <x:c r="AG3635" s="87"/>
      <x:c r="AH3635" s="87"/>
      <x:c r="AI3635" s="30"/>
      <x:c r="AJ3635" s="87" t="str">
        <x:v>master</x:v>
      </x:c>
      <x:c r="AK3635" s="87" t="str">
        <x:v>master-v0.81</x:v>
      </x:c>
      <x:c r="AL3635" s="87" t="str">
        <x:v>statgrad_master_base_v0_81_final(2).xlsx</x:v>
      </x:c>
      <x:c r="AM3635" s="87" t="str">
        <x:v>RUS_Oct_V2</x:v>
      </x:c>
      <x:c r="AN3635" s="87" t="n">
        <x:v>3</x:v>
      </x:c>
    </x:row>
    <x:row r="3636">
      <x:c r="A3636" s="87" t="n">
        <x:v>3635</x:v>
      </x:c>
      <x:c r="B3636" s="87" t="str">
        <x:v>OCT-RUS-V2-003</x:v>
      </x:c>
      <x:c r="C3636" s="87" t="str">
        <x:v>СтатГрад</x:v>
      </x:c>
      <x:c r="D3636" s="87" t="str">
        <x:v>Октябрь 2025</x:v>
      </x:c>
      <x:c r="E3636" s="87"/>
      <x:c r="F3636" s="87"/>
      <x:c r="G3636" s="87" t="str">
        <x:v>Русский язык</x:v>
      </x:c>
      <x:c r="H3636" s="87" t="n">
        <x:v>11</x:v>
      </x:c>
      <x:c r="I3636" s="87" t="str">
        <x:v>ТР №2</x:v>
      </x:c>
      <x:c r="J3636" s="87" t="str">
        <x:v>РЯ2510202</x:v>
      </x:c>
      <x:c r="K3636" s="87" t="n">
        <x:v>3</x:v>
      </x:c>
      <x:c r="L3636" s="87" t="str">
        <x:v>Стилистический анализ</x:v>
      </x:c>
      <x:c r="M3636" s="30" t="str">
        <x:v>Укажите варианты ответов, в которых даны верные характеристики текста.
    Запишите номера ответов.
    1) Текст представляет собой образец художественного стиля речи. Цель
       автора – оказать эмоционально-эстетическое воздействие на читателя,
       раскрыть духовный мир героев.
    2) Композиция и содержание текста соответствуют жанру очерка. В центре
       внимания автора оказывается общественно значимое событие, которое
       освещается и эмоционально оценивается автором, лично его наблюдающим.
    3) В соответствии с принадлежностью текста к официально-деловому стилю
       в нём присутствует эмоционально окрашенная книжная лексика (чудо,
       облик, нетерпение), а также слова разговорного стиля (полуразрушенных,
       скамейки, любимым).
    4) Текст отличается богатством синтаксиса: употребляются простые
       распространённые предложения с обособленными определениями,
       используются сложноподчинённые и сложносочинённые предложения
       различных типов, а также предложения, включающие в себя чужую речь.
    5) В тексте употребляются различные средства выразительности языка,
       в том числе эпитеты («унылые клумбы», «уникальный проект») и
       метафора (оазис спокойствия).
                                   согласия СтатГрад запрещена</x:v>
      </x:c>
      <x:c r="N3636" s="30" t="str">
        <x:v>25</x:v>
      </x:c>
      <x:c r="O3636" s="30" t="str">
        <x:v>Верные характеристики определены по стилю, цели, композиции и синтаксису исходного текста.</x:v>
      </x:c>
      <x:c r="P3636" s="30" t="str">
        <x:v>Верные характеристики определены по стилю, цели, композиции и синтаксису исходного текста.</x:v>
      </x:c>
      <x:c r="Q3636" s="30"/>
      <x:c r="R3636" s="30" t="str">
        <x:v>Архивный фото-ключ + независимая проверка</x:v>
      </x:c>
      <x:c r="S3636" s="30"/>
      <x:c r="T3636" s="30"/>
      <x:c r="U3636"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36" s="87" t="str">
        <x:v>VERIFIED</x:v>
      </x:c>
      <x:c r="W3636" s="87" t="str">
        <x:v>Zadanie_RU11_21102025.pdf, стр. 17</x:v>
      </x:c>
      <x:c r="X3636" s="87"/>
      <x:c r="Y3636" s="87"/>
      <x:c r="Z3636" s="87"/>
      <x:c r="AA3636" s="87"/>
      <x:c r="AB3636" s="87"/>
      <x:c r="AC3636" s="87"/>
      <x:c r="AD3636" s="87"/>
      <x:c r="AE3636" s="87"/>
      <x:c r="AF3636" s="87"/>
      <x:c r="AG3636" s="87"/>
      <x:c r="AH3636" s="87"/>
      <x:c r="AI3636" s="30"/>
      <x:c r="AJ3636" s="87" t="str">
        <x:v>master</x:v>
      </x:c>
      <x:c r="AK3636" s="87" t="str">
        <x:v>master-v0.81</x:v>
      </x:c>
      <x:c r="AL3636" s="87" t="str">
        <x:v>statgrad_master_base_v0_81_final(2).xlsx</x:v>
      </x:c>
      <x:c r="AM3636" s="87" t="str">
        <x:v>RUS_Oct_V2</x:v>
      </x:c>
      <x:c r="AN3636" s="87" t="n">
        <x:v>4</x:v>
      </x:c>
    </x:row>
    <x:row r="3637">
      <x:c r="A3637" s="87" t="n">
        <x:v>3636</x:v>
      </x:c>
      <x:c r="B3637" s="87" t="str">
        <x:v>OCT-RUS-V2-004</x:v>
      </x:c>
      <x:c r="C3637" s="87" t="str">
        <x:v>СтатГрад</x:v>
      </x:c>
      <x:c r="D3637" s="87" t="str">
        <x:v>Октябрь 2025</x:v>
      </x:c>
      <x:c r="E3637" s="87"/>
      <x:c r="F3637" s="87"/>
      <x:c r="G3637" s="87" t="str">
        <x:v>Русский язык</x:v>
      </x:c>
      <x:c r="H3637" s="87" t="n">
        <x:v>11</x:v>
      </x:c>
      <x:c r="I3637" s="87" t="str">
        <x:v>ТР №2</x:v>
      </x:c>
      <x:c r="J3637" s="87" t="str">
        <x:v>РЯ2510202</x:v>
      </x:c>
      <x:c r="K3637" s="87" t="n">
        <x:v>4</x:v>
      </x:c>
      <x:c r="L3637" s="87" t="str">
        <x:v>Орфоэпия</x:v>
      </x:c>
      <x:c r="M3637" s="30" t="str">
        <x:v>Укажите варианты ответов, в которых верно выделена буква, обозначающая
    ударный гласный звук. Запишите номера ответов.
    1) зАсветло
    2) дозИровать
    3) докУмент
    4) жИлось
    5) понЯв</x:v>
      </x:c>
      <x:c r="N3637" s="30" t="str">
        <x:v>125</x:v>
      </x:c>
      <x:c r="O3637" s="30" t="str">
        <x:v>Ответ соответствует современным орфоэпическим нормам русского литературного языка.</x:v>
      </x:c>
      <x:c r="P3637" s="30" t="str">
        <x:v>Ответ соответствует современным орфоэпическим нормам русского литературного языка.</x:v>
      </x:c>
      <x:c r="Q3637" s="30"/>
      <x:c r="R3637" s="30" t="str">
        <x:v>Архивный фото-ключ + независимая проверка</x:v>
      </x:c>
      <x:c r="S3637" s="30"/>
      <x:c r="T3637" s="30"/>
      <x:c r="U3637"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37" s="87" t="str">
        <x:v>VERIFIED</x:v>
      </x:c>
      <x:c r="W3637" s="87" t="str">
        <x:v>Zadanie_RU11_21102025.pdf, стр. 18</x:v>
      </x:c>
      <x:c r="X3637" s="87"/>
      <x:c r="Y3637" s="87"/>
      <x:c r="Z3637" s="87"/>
      <x:c r="AA3637" s="87"/>
      <x:c r="AB3637" s="87"/>
      <x:c r="AC3637" s="87"/>
      <x:c r="AD3637" s="87"/>
      <x:c r="AE3637" s="87"/>
      <x:c r="AF3637" s="87"/>
      <x:c r="AG3637" s="87"/>
      <x:c r="AH3637" s="87"/>
      <x:c r="AI3637" s="30"/>
      <x:c r="AJ3637" s="87" t="str">
        <x:v>master</x:v>
      </x:c>
      <x:c r="AK3637" s="87" t="str">
        <x:v>master-v0.81</x:v>
      </x:c>
      <x:c r="AL3637" s="87" t="str">
        <x:v>statgrad_master_base_v0_81_final(2).xlsx</x:v>
      </x:c>
      <x:c r="AM3637" s="87" t="str">
        <x:v>RUS_Oct_V2</x:v>
      </x:c>
      <x:c r="AN3637" s="87" t="n">
        <x:v>5</x:v>
      </x:c>
    </x:row>
    <x:row r="3638">
      <x:c r="A3638" s="87" t="n">
        <x:v>3637</x:v>
      </x:c>
      <x:c r="B3638" s="87" t="str">
        <x:v>OCT-RUS-V2-005</x:v>
      </x:c>
      <x:c r="C3638" s="87" t="str">
        <x:v>СтатГрад</x:v>
      </x:c>
      <x:c r="D3638" s="87" t="str">
        <x:v>Октябрь 2025</x:v>
      </x:c>
      <x:c r="E3638" s="87"/>
      <x:c r="F3638" s="87"/>
      <x:c r="G3638" s="87" t="str">
        <x:v>Русский язык</x:v>
      </x:c>
      <x:c r="H3638" s="87" t="n">
        <x:v>11</x:v>
      </x:c>
      <x:c r="I3638" s="87" t="str">
        <x:v>ТР №2</x:v>
      </x:c>
      <x:c r="J3638" s="87" t="str">
        <x:v>РЯ2510202</x:v>
      </x:c>
      <x:c r="K3638" s="87" t="n">
        <x:v>5</x:v>
      </x:c>
      <x:c r="L3638" s="87" t="str">
        <x:v>Паронимы</x:v>
      </x:c>
      <x:c r="M3638" s="30" t="str">
        <x:v>В одном из приведённых ниже предложений НЕВЕРНО употреблено
    выделенное слово. Исправьте лексическую ошибку, подобрав к выделен-
    ному слову пароним. Запишите подобранное слово, соблюдая нормы
    современного русского литературного языка.
    Старик был ИСКУСНЫМ рассказчиком: каждое его слово приковывало
    внимание слушателей.
    Талантливый художник, ПРИЗНАННЫЙ мастер пейзажа, он был известен не
    только в стране, но и в мире.
    Лекция оказалась для студентов очень ИНФОРМАЦИОННОЙ: за полтора
    часа преподаватель охватил все сложные темы по учебной дисциплине.
    Дом хоть и старый, но ДОБРОТНЫЙ: стены толстые, фундамент крепкий.
    Он был ЭКОНОМНЫМ человеком, никогда не тратил лишнего и всегда вёл
    учёт расходов.</x:v>
      </x:c>
      <x:c r="N3638" s="30" t="str">
        <x:v>информативной</x:v>
      </x:c>
      <x:c r="O3638" s="30" t="str">
        <x:v>Пароним выбран по нормативной лексической сочетаемости.</x:v>
      </x:c>
      <x:c r="P3638" s="30" t="str">
        <x:v>Пароним выбран по нормативной лексической сочетаемости.</x:v>
      </x:c>
      <x:c r="Q3638" s="30"/>
      <x:c r="R3638" s="30" t="str">
        <x:v>Официальный PDF ответов + независимая проверка</x:v>
      </x:c>
      <x:c r="S3638" s="30"/>
      <x:c r="T3638" s="30"/>
      <x:c r="U3638" s="30" t="str">
        <x:v>Внутренний колонтитул PDF ошибочно содержит код РЯ2410201/РЯ2410202; вариант установлен по обложке и официальному PDF ответов: РЯ2510201/РЯ2510202.</x:v>
      </x:c>
      <x:c r="V3638" s="87" t="str">
        <x:v>VERIFIED</x:v>
      </x:c>
      <x:c r="W3638" s="87" t="str">
        <x:v>Zadanie_RU11_21102025.pdf, стр. 18</x:v>
      </x:c>
      <x:c r="X3638" s="87"/>
      <x:c r="Y3638" s="87"/>
      <x:c r="Z3638" s="87"/>
      <x:c r="AA3638" s="87"/>
      <x:c r="AB3638" s="87"/>
      <x:c r="AC3638" s="87"/>
      <x:c r="AD3638" s="87"/>
      <x:c r="AE3638" s="87"/>
      <x:c r="AF3638" s="87"/>
      <x:c r="AG3638" s="87"/>
      <x:c r="AH3638" s="87"/>
      <x:c r="AI3638" s="30"/>
      <x:c r="AJ3638" s="87" t="str">
        <x:v>master</x:v>
      </x:c>
      <x:c r="AK3638" s="87" t="str">
        <x:v>master-v0.81</x:v>
      </x:c>
      <x:c r="AL3638" s="87" t="str">
        <x:v>statgrad_master_base_v0_81_final(2).xlsx</x:v>
      </x:c>
      <x:c r="AM3638" s="87" t="str">
        <x:v>RUS_Oct_V2</x:v>
      </x:c>
      <x:c r="AN3638" s="87" t="n">
        <x:v>6</x:v>
      </x:c>
    </x:row>
    <x:row r="3639">
      <x:c r="A3639" s="87" t="n">
        <x:v>3638</x:v>
      </x:c>
      <x:c r="B3639" s="87" t="str">
        <x:v>OCT-RUS-V2-006</x:v>
      </x:c>
      <x:c r="C3639" s="87" t="str">
        <x:v>СтатГрад</x:v>
      </x:c>
      <x:c r="D3639" s="87" t="str">
        <x:v>Октябрь 2025</x:v>
      </x:c>
      <x:c r="E3639" s="87"/>
      <x:c r="F3639" s="87"/>
      <x:c r="G3639" s="87" t="str">
        <x:v>Русский язык</x:v>
      </x:c>
      <x:c r="H3639" s="87" t="n">
        <x:v>11</x:v>
      </x:c>
      <x:c r="I3639" s="87" t="str">
        <x:v>ТР №2</x:v>
      </x:c>
      <x:c r="J3639" s="87" t="str">
        <x:v>РЯ2510202</x:v>
      </x:c>
      <x:c r="K3639" s="87" t="n">
        <x:v>6</x:v>
      </x:c>
      <x:c r="L3639" s="87" t="str">
        <x:v>Лексическая норма</x:v>
      </x:c>
      <x:c r="M3639" s="30" t="str">
        <x:v>Отредактируйте предложение: исправьте лексическую ошибку, заменив
    употреблённое неверно слово. Запишите подобранное слово, соблюдая
    нормы современного русского литературного языка и сохраняя смысл
    высказывания.
    Из героев «Войны и мира» мне особенно симпатизирует Пьер Безухов: он по-
    настоящему честен с собой и с другими и не боится признавать свои ошибки.</x:v>
      </x:c>
      <x:c r="N3639" s="30" t="str">
        <x:v>импонирует</x:v>
      </x:c>
      <x:c r="O3639" s="30" t="str">
        <x:v>Исправление устраняет лексическую несовместимость или избыточность, сохраняя смысл предложения.</x:v>
      </x:c>
      <x:c r="P3639" s="30" t="str">
        <x:v>Исправление устраняет лексическую несовместимость или избыточность, сохраняя смысл предложения.</x:v>
      </x:c>
      <x:c r="Q3639" s="30"/>
      <x:c r="R3639" s="30" t="str">
        <x:v>Официальный PDF ответов + независимая проверка</x:v>
      </x:c>
      <x:c r="S3639" s="30"/>
      <x:c r="T3639" s="30"/>
      <x:c r="U3639"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39" s="87" t="str">
        <x:v>VERIFIED</x:v>
      </x:c>
      <x:c r="W3639" s="87" t="str">
        <x:v>Zadanie_RU11_21102025.pdf, стр. 18</x:v>
      </x:c>
      <x:c r="X3639" s="87"/>
      <x:c r="Y3639" s="87"/>
      <x:c r="Z3639" s="87"/>
      <x:c r="AA3639" s="87"/>
      <x:c r="AB3639" s="87"/>
      <x:c r="AC3639" s="87"/>
      <x:c r="AD3639" s="87"/>
      <x:c r="AE3639" s="87"/>
      <x:c r="AF3639" s="87"/>
      <x:c r="AG3639" s="87"/>
      <x:c r="AH3639" s="87"/>
      <x:c r="AI3639" s="30"/>
      <x:c r="AJ3639" s="87" t="str">
        <x:v>master</x:v>
      </x:c>
      <x:c r="AK3639" s="87" t="str">
        <x:v>master-v0.81</x:v>
      </x:c>
      <x:c r="AL3639" s="87" t="str">
        <x:v>statgrad_master_base_v0_81_final(2).xlsx</x:v>
      </x:c>
      <x:c r="AM3639" s="87" t="str">
        <x:v>RUS_Oct_V2</x:v>
      </x:c>
      <x:c r="AN3639" s="87" t="n">
        <x:v>7</x:v>
      </x:c>
    </x:row>
    <x:row r="3640">
      <x:c r="A3640" s="87" t="n">
        <x:v>3639</x:v>
      </x:c>
      <x:c r="B3640" s="87" t="str">
        <x:v>OCT-RUS-V2-007</x:v>
      </x:c>
      <x:c r="C3640" s="87" t="str">
        <x:v>СтатГрад</x:v>
      </x:c>
      <x:c r="D3640" s="87" t="str">
        <x:v>Октябрь 2025</x:v>
      </x:c>
      <x:c r="E3640" s="87"/>
      <x:c r="F3640" s="87"/>
      <x:c r="G3640" s="87" t="str">
        <x:v>Русский язык</x:v>
      </x:c>
      <x:c r="H3640" s="87" t="n">
        <x:v>11</x:v>
      </x:c>
      <x:c r="I3640" s="87" t="str">
        <x:v>ТР №2</x:v>
      </x:c>
      <x:c r="J3640" s="87" t="str">
        <x:v>РЯ2510202</x:v>
      </x:c>
      <x:c r="K3640" s="87" t="n">
        <x:v>7</x:v>
      </x:c>
      <x:c r="L3640" s="87" t="str">
        <x:v>Морфологические нормы</x:v>
      </x:c>
      <x:c r="M3640" s="30" t="str">
        <x:v>В одном из выделенных ниже слов допущена грамматическая ошибка.
    Исправьте ошибку и запишите слово правильно.
    самая ВЫСОКАЯ вершина
    КЛАДИТЕ на стол
    к первому АПРЕЛЮ
    до ДВЕ тысячи пятого года
    без ОБОИХ ножниц
                                   согласия СтатГрад запрещена</x:v>
      </x:c>
      <x:c r="N3640" s="30" t="str">
        <x:v>апреля</x:v>
      </x:c>
      <x:c r="O3640" s="30" t="str">
        <x:v>Форма слова приведена в соответствие с современной морфологической нормой.</x:v>
      </x:c>
      <x:c r="P3640" s="30" t="str">
        <x:v>Форма слова приведена в соответствие с современной морфологической нормой.</x:v>
      </x:c>
      <x:c r="Q3640" s="30"/>
      <x:c r="R3640" s="30" t="str">
        <x:v>Официальный PDF ответов + независимая проверка</x:v>
      </x:c>
      <x:c r="S3640" s="30"/>
      <x:c r="T3640" s="30"/>
      <x:c r="U3640" s="30" t="str">
        <x:v>Внутренний колонтитул PDF ошибочно содержит код РЯ2410201/РЯ2410202; вариант установлен по обложке и официальному PDF ответов: РЯ2510201/РЯ2510202.</x:v>
      </x:c>
      <x:c r="V3640" s="87" t="str">
        <x:v>VERIFIED</x:v>
      </x:c>
      <x:c r="W3640" s="87" t="str">
        <x:v>Zadanie_RU11_21102025.pdf, стр. 18</x:v>
      </x:c>
      <x:c r="X3640" s="87"/>
      <x:c r="Y3640" s="87"/>
      <x:c r="Z3640" s="87"/>
      <x:c r="AA3640" s="87"/>
      <x:c r="AB3640" s="87"/>
      <x:c r="AC3640" s="87"/>
      <x:c r="AD3640" s="87"/>
      <x:c r="AE3640" s="87"/>
      <x:c r="AF3640" s="87"/>
      <x:c r="AG3640" s="87"/>
      <x:c r="AH3640" s="87"/>
      <x:c r="AI3640" s="30"/>
      <x:c r="AJ3640" s="87" t="str">
        <x:v>master</x:v>
      </x:c>
      <x:c r="AK3640" s="87" t="str">
        <x:v>master-v0.81</x:v>
      </x:c>
      <x:c r="AL3640" s="87" t="str">
        <x:v>statgrad_master_base_v0_81_final(2).xlsx</x:v>
      </x:c>
      <x:c r="AM3640" s="87" t="str">
        <x:v>RUS_Oct_V2</x:v>
      </x:c>
      <x:c r="AN3640" s="87" t="n">
        <x:v>8</x:v>
      </x:c>
    </x:row>
    <x:row r="3641">
      <x:c r="A3641" s="87" t="n">
        <x:v>3640</x:v>
      </x:c>
      <x:c r="B3641" s="87" t="str">
        <x:v>OCT-RUS-V2-008</x:v>
      </x:c>
      <x:c r="C3641" s="87" t="str">
        <x:v>СтатГрад</x:v>
      </x:c>
      <x:c r="D3641" s="87" t="str">
        <x:v>Октябрь 2025</x:v>
      </x:c>
      <x:c r="E3641" s="87"/>
      <x:c r="F3641" s="87"/>
      <x:c r="G3641" s="87" t="str">
        <x:v>Русский язык</x:v>
      </x:c>
      <x:c r="H3641" s="87" t="n">
        <x:v>11</x:v>
      </x:c>
      <x:c r="I3641" s="87" t="str">
        <x:v>ТР №2</x:v>
      </x:c>
      <x:c r="J3641" s="87" t="str">
        <x:v>РЯ2510202</x:v>
      </x:c>
      <x:c r="K3641" s="87" t="n">
        <x:v>8</x:v>
      </x:c>
      <x:c r="L3641" s="87" t="str">
        <x:v>Грамматические ошибки</x:v>
      </x:c>
      <x:c r="M3641" s="30" t="str">
        <x:v>Установите соответствие между грамматическими ошибками и предло-
    жениями, в которых они допущены: к каждой позиции первого списка
    подберите соответствующую позицию из второго списка.
                        ГРАММАТИЧЕСКИЕ ОШИБКИ
    А) нарушение в построении предложения с деепричастным оборотом
    Б) нарушение в построении предложения с однородными членами
    В) неправильное употребление падежной (предложно-падежной) формы
       управляемого слова
    Г) нарушение видо-временной соотнесённости глагольных форм
    Д) нарушение в построении сложноподчинённого предложения
                                 ПРЕДЛОЖЕНИЯ
    1) Сумерки опускались на город и постепенно превращали улицы
       в сияющую паутину огней и теней.
    2) Изучая строение клетки под микроскопом, ученикам было
       продемонстрировано увеличенное изображение, показывающее чёткие
       границы мембраны.
    3) Те, кто стремится остаться в памяти потомков, должны жить
       благочестиво и справедливо.
    4) Российским хоккеистам удалось реализовать своё превосходство против
       соперников только в середине второго периода, когда в команде Швеции
       на скамейке штрафников оказались сразу двое.
    5) Наиболее значимыми достижениями в области науки ХХ века признаны
       не только открытие структуры ДНК и разработка квантовой теории, а
       также создание компьютеров, освоение космоса, формирование новых
       направлений в биотехнологиях.
    6) Описывая героя повести, автор использует слова, передающие внутреннее
       состояние человека и создающие яркий психологический портрет.
    7) В октябре листья опадут, они укрывали землю пёстрым ковром.
    8) По прилёте в Петербург он сразу же заболел и несколько дней не вставал
       с постели, ощущая сильное недомогание.
    9) Экскурсионная группа направилась в недавно открытую картинную
       галерею, которая состояла из школьников разного возраста.
    Запишите в таблицу выбранные цифры под соответствующими буквами.
               А Б В Г Д
    Ответ:
                                   согласия СтатГрад запрещена</x:v>
      </x:c>
      <x:c r="N3641" s="30" t="str">
        <x:v>25479</x:v>
      </x:c>
      <x:c r="O3641" s="30" t="str">
        <x:v>Каждая ошибка установлена перестройкой предложения в нормативную конструкцию.</x:v>
      </x:c>
      <x:c r="P3641" s="30" t="str">
        <x:v>Каждая ошибка установлена перестройкой предложения в нормативную конструкцию.</x:v>
      </x:c>
      <x:c r="Q3641" s="30"/>
      <x:c r="R3641" s="30" t="str">
        <x:v>Официальный PDF ответов + независимая проверка</x:v>
      </x:c>
      <x:c r="S3641" s="30"/>
      <x:c r="T3641" s="30"/>
      <x:c r="U3641" s="30" t="str">
        <x:v>Внутренний колонтитул PDF ошибочно содержит код РЯ2410201/РЯ2410202; вариант установлен по обложке и официальному PDF ответов: РЯ2510201/РЯ2510202.</x:v>
      </x:c>
      <x:c r="V3641" s="87" t="str">
        <x:v>VERIFIED</x:v>
      </x:c>
      <x:c r="W3641" s="87" t="str">
        <x:v>Zadanie_RU11_21102025.pdf, стр. 19</x:v>
      </x:c>
      <x:c r="X3641" s="87"/>
      <x:c r="Y3641" s="87"/>
      <x:c r="Z3641" s="87"/>
      <x:c r="AA3641" s="87"/>
      <x:c r="AB3641" s="87"/>
      <x:c r="AC3641" s="87"/>
      <x:c r="AD3641" s="87"/>
      <x:c r="AE3641" s="87"/>
      <x:c r="AF3641" s="87"/>
      <x:c r="AG3641" s="87"/>
      <x:c r="AH3641" s="87"/>
      <x:c r="AI3641" s="30"/>
      <x:c r="AJ3641" s="87" t="str">
        <x:v>master</x:v>
      </x:c>
      <x:c r="AK3641" s="87" t="str">
        <x:v>master-v0.81</x:v>
      </x:c>
      <x:c r="AL3641" s="87" t="str">
        <x:v>statgrad_master_base_v0_81_final(2).xlsx</x:v>
      </x:c>
      <x:c r="AM3641" s="87" t="str">
        <x:v>RUS_Oct_V2</x:v>
      </x:c>
      <x:c r="AN3641" s="87" t="n">
        <x:v>9</x:v>
      </x:c>
    </x:row>
    <x:row r="3642">
      <x:c r="A3642" s="87" t="n">
        <x:v>3641</x:v>
      </x:c>
      <x:c r="B3642" s="87" t="str">
        <x:v>OCT-RUS-V2-009</x:v>
      </x:c>
      <x:c r="C3642" s="87" t="str">
        <x:v>СтатГрад</x:v>
      </x:c>
      <x:c r="D3642" s="87" t="str">
        <x:v>Октябрь 2025</x:v>
      </x:c>
      <x:c r="E3642" s="87"/>
      <x:c r="F3642" s="87"/>
      <x:c r="G3642" s="87" t="str">
        <x:v>Русский язык</x:v>
      </x:c>
      <x:c r="H3642" s="87" t="n">
        <x:v>11</x:v>
      </x:c>
      <x:c r="I3642" s="87" t="str">
        <x:v>ТР №2</x:v>
      </x:c>
      <x:c r="J3642" s="87" t="str">
        <x:v>РЯ2510202</x:v>
      </x:c>
      <x:c r="K3642" s="87" t="n">
        <x:v>9</x:v>
      </x:c>
      <x:c r="L3642" s="87" t="str">
        <x:v>Правописание корней и гласных</x:v>
      </x:c>
      <x:c r="M3642" s="30" t="str">
        <x:v>Укажите варианты ответов, в которых во всех словах одного ряда пропущена
     одна и та же буква. Запишите номера ответов.
     1) ож..г (руку), ш..ковая (терапия), ч..рствый (хлеб)
     2) ц..фровой, ц..плячий (пух), ц..клон
     3) дикор..стущий, (предвыборная) к..мпания, к..рикатура
     4) фант..стический, изл..гать (мысли), ск..чок
     5) к..сой (заяц), укр..титель, ха..тические (мысли)</x:v>
      </x:c>
      <x:c r="N3642" s="30" t="str">
        <x:v>345</x:v>
      </x:c>
      <x:c r="O3642" s="30" t="str">
        <x:v>В выбранных рядах восстанавливается одна и та же нормативная гласная.</x:v>
      </x:c>
      <x:c r="P3642" s="30" t="str">
        <x:v>В выбранных рядах восстанавливается одна и та же нормативная гласная.</x:v>
      </x:c>
      <x:c r="Q3642" s="30"/>
      <x:c r="R3642" s="30" t="str">
        <x:v>Архивный фото-ключ + независимая проверка</x:v>
      </x:c>
      <x:c r="S3642" s="30"/>
      <x:c r="T3642" s="30"/>
      <x:c r="U3642"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42" s="87" t="str">
        <x:v>VERIFIED</x:v>
      </x:c>
      <x:c r="W3642" s="87" t="str">
        <x:v>Zadanie_RU11_21102025.pdf, стр. 20</x:v>
      </x:c>
      <x:c r="X3642" s="87"/>
      <x:c r="Y3642" s="87"/>
      <x:c r="Z3642" s="87"/>
      <x:c r="AA3642" s="87"/>
      <x:c r="AB3642" s="87"/>
      <x:c r="AC3642" s="87"/>
      <x:c r="AD3642" s="87"/>
      <x:c r="AE3642" s="87"/>
      <x:c r="AF3642" s="87"/>
      <x:c r="AG3642" s="87"/>
      <x:c r="AH3642" s="87"/>
      <x:c r="AI3642" s="30"/>
      <x:c r="AJ3642" s="87" t="str">
        <x:v>master</x:v>
      </x:c>
      <x:c r="AK3642" s="87" t="str">
        <x:v>master-v0.81</x:v>
      </x:c>
      <x:c r="AL3642" s="87" t="str">
        <x:v>statgrad_master_base_v0_81_final(2).xlsx</x:v>
      </x:c>
      <x:c r="AM3642" s="87" t="str">
        <x:v>RUS_Oct_V2</x:v>
      </x:c>
      <x:c r="AN3642" s="87" t="n">
        <x:v>10</x:v>
      </x:c>
    </x:row>
    <x:row r="3643">
      <x:c r="A3643" s="87" t="n">
        <x:v>3642</x:v>
      </x:c>
      <x:c r="B3643" s="87" t="str">
        <x:v>OCT-RUS-V2-010</x:v>
      </x:c>
      <x:c r="C3643" s="87" t="str">
        <x:v>СтатГрад</x:v>
      </x:c>
      <x:c r="D3643" s="87" t="str">
        <x:v>Октябрь 2025</x:v>
      </x:c>
      <x:c r="E3643" s="87"/>
      <x:c r="F3643" s="87"/>
      <x:c r="G3643" s="87" t="str">
        <x:v>Русский язык</x:v>
      </x:c>
      <x:c r="H3643" s="87" t="n">
        <x:v>11</x:v>
      </x:c>
      <x:c r="I3643" s="87" t="str">
        <x:v>ТР №2</x:v>
      </x:c>
      <x:c r="J3643" s="87" t="str">
        <x:v>РЯ2510202</x:v>
      </x:c>
      <x:c r="K3643" s="87" t="n">
        <x:v>10</x:v>
      </x:c>
      <x:c r="L3643" s="87" t="str">
        <x:v>Правописание приставок</x:v>
      </x:c>
      <x:c r="M3643" s="30" t="str">
        <x:v>Укажите варианты ответов, в которых во всех словах одного ряда пропущена
     одна и та же буква. Запишите номера ответов.
     1) пр..клеить (к картону), пр..знание (в любви), пр..дать (друга)
     2) в..крывать (письма), чере..полосица, бе..конечный
     3) пр..ступить (к делам), пр..скорбный, пр..града
     4) пан..азиатский, транс..альпийский, квартирос..ёмщик
     5) н..грубить, поз..горать, пр..дедушка</x:v>
      </x:c>
      <x:c r="N3643" s="30" t="str">
        <x:v>25</x:v>
      </x:c>
      <x:c r="O3643" s="30" t="str">
        <x:v>Ответ получен по правилам написания приставок и разделительных знаков.</x:v>
      </x:c>
      <x:c r="P3643" s="30" t="str">
        <x:v>Ответ получен по правилам написания приставок и разделительных знаков.</x:v>
      </x:c>
      <x:c r="Q3643" s="30"/>
      <x:c r="R3643" s="30" t="str">
        <x:v>Архивный фото-ключ + независимая проверка</x:v>
      </x:c>
      <x:c r="S3643" s="30"/>
      <x:c r="T3643" s="30"/>
      <x:c r="U3643"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43" s="87" t="str">
        <x:v>VERIFIED</x:v>
      </x:c>
      <x:c r="W3643" s="87" t="str">
        <x:v>Zadanie_RU11_21102025.pdf, стр. 20</x:v>
      </x:c>
      <x:c r="X3643" s="87"/>
      <x:c r="Y3643" s="87"/>
      <x:c r="Z3643" s="87"/>
      <x:c r="AA3643" s="87"/>
      <x:c r="AB3643" s="87"/>
      <x:c r="AC3643" s="87"/>
      <x:c r="AD3643" s="87"/>
      <x:c r="AE3643" s="87"/>
      <x:c r="AF3643" s="87"/>
      <x:c r="AG3643" s="87"/>
      <x:c r="AH3643" s="87"/>
      <x:c r="AI3643" s="30"/>
      <x:c r="AJ3643" s="87" t="str">
        <x:v>master</x:v>
      </x:c>
      <x:c r="AK3643" s="87" t="str">
        <x:v>master-v0.81</x:v>
      </x:c>
      <x:c r="AL3643" s="87" t="str">
        <x:v>statgrad_master_base_v0_81_final(2).xlsx</x:v>
      </x:c>
      <x:c r="AM3643" s="87" t="str">
        <x:v>RUS_Oct_V2</x:v>
      </x:c>
      <x:c r="AN3643" s="87" t="n">
        <x:v>11</x:v>
      </x:c>
    </x:row>
    <x:row r="3644">
      <x:c r="A3644" s="87" t="n">
        <x:v>3643</x:v>
      </x:c>
      <x:c r="B3644" s="87" t="str">
        <x:v>OCT-RUS-V2-011</x:v>
      </x:c>
      <x:c r="C3644" s="87" t="str">
        <x:v>СтатГрад</x:v>
      </x:c>
      <x:c r="D3644" s="87" t="str">
        <x:v>Октябрь 2025</x:v>
      </x:c>
      <x:c r="E3644" s="87"/>
      <x:c r="F3644" s="87"/>
      <x:c r="G3644" s="87" t="str">
        <x:v>Русский язык</x:v>
      </x:c>
      <x:c r="H3644" s="87" t="n">
        <x:v>11</x:v>
      </x:c>
      <x:c r="I3644" s="87" t="str">
        <x:v>ТР №2</x:v>
      </x:c>
      <x:c r="J3644" s="87" t="str">
        <x:v>РЯ2510202</x:v>
      </x:c>
      <x:c r="K3644" s="87" t="n">
        <x:v>11</x:v>
      </x:c>
      <x:c r="L3644" s="87" t="str">
        <x:v>Суффиксы разных частей речи</x:v>
      </x:c>
      <x:c r="M3644" s="30" t="str">
        <x:v>Укажите варианты ответов, в которых в обоих словах одного ряда пропущена
     одна и та же буква. Запишите номера ответов.
     1) череш..нка, марл..вый
     2) расстра..ваться, улыбч..вый
     3) выкорч..вывать, камыш..вый
     4) (вытереть посуду) досух.., сводч..тый (потолок)
     5) швед..кий, близ..кий</x:v>
      </x:c>
      <x:c r="N3644" s="30" t="str">
        <x:v>124</x:v>
      </x:c>
      <x:c r="O3644" s="30" t="str">
        <x:v>Суффиксы определены по части речи и словообразовательной модели.</x:v>
      </x:c>
      <x:c r="P3644" s="30" t="str">
        <x:v>Суффиксы определены по части речи и словообразовательной модели.</x:v>
      </x:c>
      <x:c r="Q3644" s="30"/>
      <x:c r="R3644" s="30" t="str">
        <x:v>Архивный фото-ключ + независимая проверка</x:v>
      </x:c>
      <x:c r="S3644" s="30"/>
      <x:c r="T3644" s="30"/>
      <x:c r="U3644"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44" s="87" t="str">
        <x:v>VERIFIED</x:v>
      </x:c>
      <x:c r="W3644" s="87" t="str">
        <x:v>Zadanie_RU11_21102025.pdf, стр. 20</x:v>
      </x:c>
      <x:c r="X3644" s="87"/>
      <x:c r="Y3644" s="87"/>
      <x:c r="Z3644" s="87"/>
      <x:c r="AA3644" s="87"/>
      <x:c r="AB3644" s="87"/>
      <x:c r="AC3644" s="87"/>
      <x:c r="AD3644" s="87"/>
      <x:c r="AE3644" s="87"/>
      <x:c r="AF3644" s="87"/>
      <x:c r="AG3644" s="87"/>
      <x:c r="AH3644" s="87"/>
      <x:c r="AI3644" s="30"/>
      <x:c r="AJ3644" s="87" t="str">
        <x:v>master</x:v>
      </x:c>
      <x:c r="AK3644" s="87" t="str">
        <x:v>master-v0.81</x:v>
      </x:c>
      <x:c r="AL3644" s="87" t="str">
        <x:v>statgrad_master_base_v0_81_final(2).xlsx</x:v>
      </x:c>
      <x:c r="AM3644" s="87" t="str">
        <x:v>RUS_Oct_V2</x:v>
      </x:c>
      <x:c r="AN3644" s="87" t="n">
        <x:v>12</x:v>
      </x:c>
    </x:row>
    <x:row r="3645">
      <x:c r="A3645" s="87" t="n">
        <x:v>3644</x:v>
      </x:c>
      <x:c r="B3645" s="87" t="str">
        <x:v>OCT-RUS-V2-012</x:v>
      </x:c>
      <x:c r="C3645" s="87" t="str">
        <x:v>СтатГрад</x:v>
      </x:c>
      <x:c r="D3645" s="87" t="str">
        <x:v>Октябрь 2025</x:v>
      </x:c>
      <x:c r="E3645" s="87"/>
      <x:c r="F3645" s="87"/>
      <x:c r="G3645" s="87" t="str">
        <x:v>Русский язык</x:v>
      </x:c>
      <x:c r="H3645" s="87" t="n">
        <x:v>11</x:v>
      </x:c>
      <x:c r="I3645" s="87" t="str">
        <x:v>ТР №2</x:v>
      </x:c>
      <x:c r="J3645" s="87" t="str">
        <x:v>РЯ2510202</x:v>
      </x:c>
      <x:c r="K3645" s="87" t="n">
        <x:v>12</x:v>
      </x:c>
      <x:c r="L3645" s="87" t="str">
        <x:v>Личные окончания и суффиксы причастий</x:v>
      </x:c>
      <x:c r="M3645" s="30" t="str">
        <x:v>Укажите варианты ответов, в которых в обоих словах одного ряда пропущена
     одна и та же буква. Запишите номера ответов.
     1) добыва..мый, жал..щие (пчёлы)
     2) расскаж..м (правду), незыбл..мые (законы)
     3) (студенты) труд..тся, (снегá) раста..т
     4) рокоч..щий (самолёт), лопоч..щий (ребёнок)
     5) (автомобиль) движ..тся, огранич..вший (расходы)
                                    согласия СтатГрад запрещена</x:v>
      </x:c>
      <x:c r="N3645" s="30" t="str">
        <x:v>24</x:v>
      </x:c>
      <x:c r="O3645" s="30" t="str">
        <x:v>Личные окончания и суффиксы причастий определены по спряжению исходных глаголов.</x:v>
      </x:c>
      <x:c r="P3645" s="30" t="str">
        <x:v>Личные окончания и суффиксы причастий определены по спряжению исходных глаголов.</x:v>
      </x:c>
      <x:c r="Q3645" s="30"/>
      <x:c r="R3645" s="30" t="str">
        <x:v>Архивный фото-ключ + независимая проверка</x:v>
      </x:c>
      <x:c r="S3645" s="30"/>
      <x:c r="T3645" s="30"/>
      <x:c r="U3645"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45" s="87" t="str">
        <x:v>VERIFIED</x:v>
      </x:c>
      <x:c r="W3645" s="87" t="str">
        <x:v>Zadanie_RU11_21102025.pdf, стр. 20</x:v>
      </x:c>
      <x:c r="X3645" s="87"/>
      <x:c r="Y3645" s="87"/>
      <x:c r="Z3645" s="87"/>
      <x:c r="AA3645" s="87"/>
      <x:c r="AB3645" s="87"/>
      <x:c r="AC3645" s="87"/>
      <x:c r="AD3645" s="87"/>
      <x:c r="AE3645" s="87"/>
      <x:c r="AF3645" s="87"/>
      <x:c r="AG3645" s="87"/>
      <x:c r="AH3645" s="87"/>
      <x:c r="AI3645" s="30"/>
      <x:c r="AJ3645" s="87" t="str">
        <x:v>master</x:v>
      </x:c>
      <x:c r="AK3645" s="87" t="str">
        <x:v>master-v0.81</x:v>
      </x:c>
      <x:c r="AL3645" s="87" t="str">
        <x:v>statgrad_master_base_v0_81_final(2).xlsx</x:v>
      </x:c>
      <x:c r="AM3645" s="87" t="str">
        <x:v>RUS_Oct_V2</x:v>
      </x:c>
      <x:c r="AN3645" s="87" t="n">
        <x:v>13</x:v>
      </x:c>
    </x:row>
    <x:row r="3646">
      <x:c r="A3646" s="87" t="n">
        <x:v>3645</x:v>
      </x:c>
      <x:c r="B3646" s="87" t="str">
        <x:v>OCT-RUS-V2-013</x:v>
      </x:c>
      <x:c r="C3646" s="87" t="str">
        <x:v>СтатГрад</x:v>
      </x:c>
      <x:c r="D3646" s="87" t="str">
        <x:v>Октябрь 2025</x:v>
      </x:c>
      <x:c r="E3646" s="87"/>
      <x:c r="F3646" s="87"/>
      <x:c r="G3646" s="87" t="str">
        <x:v>Русский язык</x:v>
      </x:c>
      <x:c r="H3646" s="87" t="n">
        <x:v>11</x:v>
      </x:c>
      <x:c r="I3646" s="87" t="str">
        <x:v>ТР №2</x:v>
      </x:c>
      <x:c r="J3646" s="87" t="str">
        <x:v>РЯ2510202</x:v>
      </x:c>
      <x:c r="K3646" s="87" t="n">
        <x:v>13</x:v>
      </x:c>
      <x:c r="L3646" s="87" t="str">
        <x:v>НЕ и НИ</x:v>
      </x:c>
      <x:c r="M3646" s="30" t="str">
        <x:v>Укажите варианты ответов, в которых НЕ с выделенным словом пишется
     СЛИТНО. Запишите номера ответов.
     1) Вскоре она научилась печатать вслепую, (HE)CMOTPЯ на клавиатуру.
     2) (НЕ)(ЗА)ЧЕМ тебе, Наталья, столько обо всех волноваться.
     3) Дистанционные технологии были ещё (НЕ)ОСВОЕНЫ.
     4) Эту очень (НЕ)ПРИЯТНУЮ ситуацию мне сразу захотелось забыть.
     5) При беглом просмотре материалов меня охватило чувство
        (НЕ)КОТОРОГО удивления.</x:v>
      </x:c>
      <x:c r="N3646" s="30" t="str">
        <x:v>245</x:v>
      </x:c>
      <x:c r="O3646" s="30" t="str">
        <x:v>Написание НЕ/НИ проверено по значению конструкции, наличию противопоставления и зависимых слов.</x:v>
      </x:c>
      <x:c r="P3646" s="30" t="str">
        <x:v>Написание НЕ/НИ проверено по значению конструкции, наличию противопоставления и зависимых слов.</x:v>
      </x:c>
      <x:c r="Q3646" s="30"/>
      <x:c r="R3646" s="30" t="str">
        <x:v>Официальный PDF ответов + независимая проверка</x:v>
      </x:c>
      <x:c r="S3646" s="30"/>
      <x:c r="T3646" s="30"/>
      <x:c r="U3646" s="30" t="str">
        <x:v>Официально допускаются альтернативный порядок или формулировка; в поле ответа сохранён один нормативный вариант. Ответ присутствует и в фото-ключе, и в официальном PDF; источники совпадают. Внутренний колонтитул PDF ошибочно содержит код РЯ2410201/РЯ2410202; вариант установлен по обложке и официальному PDF ответов: РЯ2510201/РЯ2510202.</x:v>
      </x:c>
      <x:c r="V3646" s="87" t="str">
        <x:v>VERIFIED</x:v>
      </x:c>
      <x:c r="W3646" s="87" t="str">
        <x:v>Zadanie_RU11_21102025.pdf, стр. 21</x:v>
      </x:c>
      <x:c r="X3646" s="87"/>
      <x:c r="Y3646" s="87"/>
      <x:c r="Z3646" s="87"/>
      <x:c r="AA3646" s="87"/>
      <x:c r="AB3646" s="87"/>
      <x:c r="AC3646" s="87"/>
      <x:c r="AD3646" s="87"/>
      <x:c r="AE3646" s="87"/>
      <x:c r="AF3646" s="87"/>
      <x:c r="AG3646" s="87"/>
      <x:c r="AH3646" s="87"/>
      <x:c r="AI3646" s="30"/>
      <x:c r="AJ3646" s="87" t="str">
        <x:v>master</x:v>
      </x:c>
      <x:c r="AK3646" s="87" t="str">
        <x:v>master-v0.81</x:v>
      </x:c>
      <x:c r="AL3646" s="87" t="str">
        <x:v>statgrad_master_base_v0_81_final(2).xlsx</x:v>
      </x:c>
      <x:c r="AM3646" s="87" t="str">
        <x:v>RUS_Oct_V2</x:v>
      </x:c>
      <x:c r="AN3646" s="87" t="n">
        <x:v>14</x:v>
      </x:c>
    </x:row>
    <x:row r="3647">
      <x:c r="A3647" s="87" t="n">
        <x:v>3646</x:v>
      </x:c>
      <x:c r="B3647" s="87" t="str">
        <x:v>OCT-RUS-V2-014</x:v>
      </x:c>
      <x:c r="C3647" s="87" t="str">
        <x:v>СтатГрад</x:v>
      </x:c>
      <x:c r="D3647" s="87" t="str">
        <x:v>Октябрь 2025</x:v>
      </x:c>
      <x:c r="E3647" s="87"/>
      <x:c r="F3647" s="87"/>
      <x:c r="G3647" s="87" t="str">
        <x:v>Русский язык</x:v>
      </x:c>
      <x:c r="H3647" s="87" t="n">
        <x:v>11</x:v>
      </x:c>
      <x:c r="I3647" s="87" t="str">
        <x:v>ТР №2</x:v>
      </x:c>
      <x:c r="J3647" s="87" t="str">
        <x:v>РЯ2510202</x:v>
      </x:c>
      <x:c r="K3647" s="87" t="n">
        <x:v>14</x:v>
      </x:c>
      <x:c r="L3647" s="87" t="str">
        <x:v>Слитное, раздельное и дефисное написание</x:v>
      </x:c>
      <x:c r="M3647" s="30" t="str">
        <x:v>Укажите варианты ответов, в которых все выделенные слова пишутся
     СЛИТНО. Запишите номера ответов.
     1) (ВО)ВРЕМЯ отпуска Николай Петрович уехал в горы, а (ПО)ТОМУ не
        смог присутствовать на собрании.
     2) Было уже (ПОЛ)ОДИННАДЦАТОГО, и (НА)ПРОТИВ станции метро
        собралась вся экскурсионная группа.
     3) (В)МИГ весь офис ожил, и (НА)ПЕРЕГОНКИ начали звонить телефоны
        на каждом столе.
     4) Фуры, загруженные (ДО)ВЕРХУ, стояли на обочине, а (НА)ВСТРЕЧУ им
        медленно двигались асфальтоукладчики.
     5) Бумаги (В)ПЕРЕМЕШКУ лежали на бюро, а ТАК(ЖЕ) на стеллажах.</x:v>
      </x:c>
      <x:c r="N3647" s="30" t="str">
        <x:v>345</x:v>
      </x:c>
      <x:c r="O3647" s="30" t="str">
        <x:v>Слитное, раздельное или дефисное написание установлено по нормативным моделям слов и сочетаний.</x:v>
      </x:c>
      <x:c r="P3647" s="30" t="str">
        <x:v>Слитное, раздельное или дефисное написание установлено по нормативным моделям слов и сочетаний.</x:v>
      </x:c>
      <x:c r="Q3647" s="30"/>
      <x:c r="R3647" s="30" t="str">
        <x:v>Официальный PDF ответов + независимая проверка</x:v>
      </x:c>
      <x:c r="S3647" s="30"/>
      <x:c r="T3647" s="30"/>
      <x:c r="U3647" s="30" t="str">
        <x:v>Официально допускаются альтернативный порядок или формулировка; в поле ответа сохранён один нормативный вариант. Ответ присутствует и в фото-ключе, и в официальном PDF; источники совпадают. Внутренний колонтитул PDF ошибочно содержит код РЯ2410201/РЯ2410202; вариант установлен по обложке и официальному PDF ответов: РЯ2510201/РЯ2510202.</x:v>
      </x:c>
      <x:c r="V3647" s="87" t="str">
        <x:v>VERIFIED</x:v>
      </x:c>
      <x:c r="W3647" s="87" t="str">
        <x:v>Zadanie_RU11_21102025.pdf, стр. 21</x:v>
      </x:c>
      <x:c r="X3647" s="87"/>
      <x:c r="Y3647" s="87"/>
      <x:c r="Z3647" s="87"/>
      <x:c r="AA3647" s="87"/>
      <x:c r="AB3647" s="87"/>
      <x:c r="AC3647" s="87"/>
      <x:c r="AD3647" s="87"/>
      <x:c r="AE3647" s="87"/>
      <x:c r="AF3647" s="87"/>
      <x:c r="AG3647" s="87"/>
      <x:c r="AH3647" s="87"/>
      <x:c r="AI3647" s="30"/>
      <x:c r="AJ3647" s="87" t="str">
        <x:v>master</x:v>
      </x:c>
      <x:c r="AK3647" s="87" t="str">
        <x:v>master-v0.81</x:v>
      </x:c>
      <x:c r="AL3647" s="87" t="str">
        <x:v>statgrad_master_base_v0_81_final(2).xlsx</x:v>
      </x:c>
      <x:c r="AM3647" s="87" t="str">
        <x:v>RUS_Oct_V2</x:v>
      </x:c>
      <x:c r="AN3647" s="87" t="n">
        <x:v>15</x:v>
      </x:c>
    </x:row>
    <x:row r="3648">
      <x:c r="A3648" s="87" t="n">
        <x:v>3647</x:v>
      </x:c>
      <x:c r="B3648" s="87" t="str">
        <x:v>OCT-RUS-V2-015</x:v>
      </x:c>
      <x:c r="C3648" s="87" t="str">
        <x:v>СтатГрад</x:v>
      </x:c>
      <x:c r="D3648" s="87" t="str">
        <x:v>Октябрь 2025</x:v>
      </x:c>
      <x:c r="E3648" s="87"/>
      <x:c r="F3648" s="87"/>
      <x:c r="G3648" s="87" t="str">
        <x:v>Русский язык</x:v>
      </x:c>
      <x:c r="H3648" s="87" t="n">
        <x:v>11</x:v>
      </x:c>
      <x:c r="I3648" s="87" t="str">
        <x:v>ТР №2</x:v>
      </x:c>
      <x:c r="J3648" s="87" t="str">
        <x:v>РЯ2510202</x:v>
      </x:c>
      <x:c r="K3648" s="87" t="n">
        <x:v>15</x:v>
      </x:c>
      <x:c r="L3648" s="87" t="str">
        <x:v>Н и НН</x:v>
      </x:c>
      <x:c r="M3648" s="30" t="str">
        <x:v>Укажите цифру(-ы), на месте которой(-ых) пишется НН.
     Бублик был смышлё(1)ее остальных и обладал неслыха(2)ой для собаки
     наглостью: зара(3)ее выходил ждать дачный автобус и так искре(4)е
     прихрамывал, так страдал на публику, что ему обязательно перепадал или
     сви(5)ой хрящик, или кусочек заветре(6)ой сырокопчё(7)ой колбаски.
                                    согласия СтатГрад запрещена</x:v>
      </x:c>
      <x:c r="N3648" s="30" t="str">
        <x:v>246</x:v>
      </x:c>
      <x:c r="O3648" s="30" t="str">
        <x:v>Количество Н определяется частью речи, способом образования и полной либо краткой формой.</x:v>
      </x:c>
      <x:c r="P3648" s="30" t="str">
        <x:v>Количество Н определяется частью речи, способом образования и полной либо краткой формой.</x:v>
      </x:c>
      <x:c r="Q3648" s="30"/>
      <x:c r="R3648" s="30" t="str">
        <x:v>Официальный PDF ответов + независимая проверка</x:v>
      </x:c>
      <x:c r="S3648" s="30"/>
      <x:c r="T3648" s="30"/>
      <x:c r="U3648"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48" s="87" t="str">
        <x:v>VERIFIED</x:v>
      </x:c>
      <x:c r="W3648" s="87" t="str">
        <x:v>Zadanie_RU11_21102025.pdf, стр. 21</x:v>
      </x:c>
      <x:c r="X3648" s="87"/>
      <x:c r="Y3648" s="87"/>
      <x:c r="Z3648" s="87"/>
      <x:c r="AA3648" s="87"/>
      <x:c r="AB3648" s="87"/>
      <x:c r="AC3648" s="87"/>
      <x:c r="AD3648" s="87"/>
      <x:c r="AE3648" s="87"/>
      <x:c r="AF3648" s="87"/>
      <x:c r="AG3648" s="87"/>
      <x:c r="AH3648" s="87"/>
      <x:c r="AI3648" s="30"/>
      <x:c r="AJ3648" s="87" t="str">
        <x:v>master</x:v>
      </x:c>
      <x:c r="AK3648" s="87" t="str">
        <x:v>master-v0.81</x:v>
      </x:c>
      <x:c r="AL3648" s="87" t="str">
        <x:v>statgrad_master_base_v0_81_final(2).xlsx</x:v>
      </x:c>
      <x:c r="AM3648" s="87" t="str">
        <x:v>RUS_Oct_V2</x:v>
      </x:c>
      <x:c r="AN3648" s="87" t="n">
        <x:v>16</x:v>
      </x:c>
    </x:row>
    <x:row r="3649">
      <x:c r="A3649" s="87" t="n">
        <x:v>3648</x:v>
      </x:c>
      <x:c r="B3649" s="87" t="str">
        <x:v>OCT-RUS-V2-016</x:v>
      </x:c>
      <x:c r="C3649" s="87" t="str">
        <x:v>СтатГрад</x:v>
      </x:c>
      <x:c r="D3649" s="87" t="str">
        <x:v>Октябрь 2025</x:v>
      </x:c>
      <x:c r="E3649" s="87"/>
      <x:c r="F3649" s="87"/>
      <x:c r="G3649" s="87" t="str">
        <x:v>Русский язык</x:v>
      </x:c>
      <x:c r="H3649" s="87" t="n">
        <x:v>11</x:v>
      </x:c>
      <x:c r="I3649" s="87" t="str">
        <x:v>ТР №2</x:v>
      </x:c>
      <x:c r="J3649" s="87" t="str">
        <x:v>РЯ2510202</x:v>
      </x:c>
      <x:c r="K3649" s="87" t="n">
        <x:v>16</x:v>
      </x:c>
      <x:c r="L3649" s="87" t="str">
        <x:v>Пунктуация при однородных членах</x:v>
      </x:c>
      <x:c r="M3649" s="30" t="str">
        <x:v>Укажите предложения, в которых нужно поставить ОДНУ запятую.
     Запишите номера этих предложений.
     1) В сценографии спектакля использовались как традиционные написанные
        на холсте декорации так и яркие цифровые проекции.
     2) Авангардная живопись обязана была не столько отображать реальность
        сколько формировать у зрителя новое восприятие пространства.
     3) Утром козёл Матвей выходил в сад и долго и задумчиво бодал калитку
        блеял что-то сердито и упрямо и уходил к компостной куче.
     4) В процессе подготовки первой реформы образования активно
        обсуждались принципы преподавания классических языков и был
        пересмотрен сам статус гуманитарных дисциплин.
     5) В этом году неплохой доход приносит сбор не только груздей и белых
        грибов но и лисичек или желтушек (так называют лисички местные
        жители).</x:v>
      </x:c>
      <x:c r="N3649" s="30" t="str">
        <x:v>23</x:v>
      </x:c>
      <x:c r="O3649" s="30" t="str">
        <x:v>Пунктуация проверена по структуре однородных членов и частей сложного предложения.</x:v>
      </x:c>
      <x:c r="P3649" s="30" t="str">
        <x:v>Пунктуация проверена по структуре однородных членов и частей сложного предложения.</x:v>
      </x:c>
      <x:c r="Q3649" s="30"/>
      <x:c r="R3649" s="30" t="str">
        <x:v>Архивный фото-ключ + независимая проверка</x:v>
      </x:c>
      <x:c r="S3649" s="30"/>
      <x:c r="T3649" s="30"/>
      <x:c r="U3649"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49" s="87" t="str">
        <x:v>VERIFIED</x:v>
      </x:c>
      <x:c r="W3649" s="87" t="str">
        <x:v>Zadanie_RU11_21102025.pdf, стр. 22</x:v>
      </x:c>
      <x:c r="X3649" s="87"/>
      <x:c r="Y3649" s="87"/>
      <x:c r="Z3649" s="87"/>
      <x:c r="AA3649" s="87"/>
      <x:c r="AB3649" s="87"/>
      <x:c r="AC3649" s="87"/>
      <x:c r="AD3649" s="87"/>
      <x:c r="AE3649" s="87"/>
      <x:c r="AF3649" s="87"/>
      <x:c r="AG3649" s="87"/>
      <x:c r="AH3649" s="87"/>
      <x:c r="AI3649" s="30"/>
      <x:c r="AJ3649" s="87" t="str">
        <x:v>master</x:v>
      </x:c>
      <x:c r="AK3649" s="87" t="str">
        <x:v>master-v0.81</x:v>
      </x:c>
      <x:c r="AL3649" s="87" t="str">
        <x:v>statgrad_master_base_v0_81_final(2).xlsx</x:v>
      </x:c>
      <x:c r="AM3649" s="87" t="str">
        <x:v>RUS_Oct_V2</x:v>
      </x:c>
      <x:c r="AN3649" s="87" t="n">
        <x:v>17</x:v>
      </x:c>
    </x:row>
    <x:row r="3650">
      <x:c r="A3650" s="87" t="n">
        <x:v>3649</x:v>
      </x:c>
      <x:c r="B3650" s="87" t="str">
        <x:v>OCT-RUS-V2-017</x:v>
      </x:c>
      <x:c r="C3650" s="87" t="str">
        <x:v>СтатГрад</x:v>
      </x:c>
      <x:c r="D3650" s="87" t="str">
        <x:v>Октябрь 2025</x:v>
      </x:c>
      <x:c r="E3650" s="87"/>
      <x:c r="F3650" s="87"/>
      <x:c r="G3650" s="87" t="str">
        <x:v>Русский язык</x:v>
      </x:c>
      <x:c r="H3650" s="87" t="n">
        <x:v>11</x:v>
      </x:c>
      <x:c r="I3650" s="87" t="str">
        <x:v>ТР №2</x:v>
      </x:c>
      <x:c r="J3650" s="87" t="str">
        <x:v>РЯ2510202</x:v>
      </x:c>
      <x:c r="K3650" s="87" t="n">
        <x:v>17</x:v>
      </x:c>
      <x:c r="L3650" s="87" t="str">
        <x:v>Обособленные конструкции</x:v>
      </x:c>
      <x:c r="M3650" s="30" t="str">
        <x:v>Укажите цифру(-ы), на месте которой(-ых) должна(-ы) стоять запятая(-ые).
     Он стал разматывать леску (1) медленно отплывая на лодке (2) от
     прикормленного ещё утром (3) места (4) и (5) несколько раз глянув (6) на
     отдаляющийся от него по мере движения (7) поплавок (8) остановил лодку
     метрах в десяти ниже по течению.</x:v>
      </x:c>
      <x:c r="N3650" s="30" t="str">
        <x:v>1458</x:v>
      </x:c>
      <x:c r="O3650" s="30" t="str">
        <x:v>Запятые расставлены на границах обособленных оборотов и конструкций.</x:v>
      </x:c>
      <x:c r="P3650" s="30" t="str">
        <x:v>Запятые расставлены на границах обособленных оборотов и конструкций.</x:v>
      </x:c>
      <x:c r="Q3650" s="30"/>
      <x:c r="R3650" s="30" t="str">
        <x:v>Официальный PDF ответов + независимая проверка</x:v>
      </x:c>
      <x:c r="S3650" s="30"/>
      <x:c r="T3650" s="30"/>
      <x:c r="U3650"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50" s="87" t="str">
        <x:v>VERIFIED</x:v>
      </x:c>
      <x:c r="W3650" s="87" t="str">
        <x:v>Zadanie_RU11_21102025.pdf, стр. 22</x:v>
      </x:c>
      <x:c r="X3650" s="87"/>
      <x:c r="Y3650" s="87"/>
      <x:c r="Z3650" s="87"/>
      <x:c r="AA3650" s="87"/>
      <x:c r="AB3650" s="87"/>
      <x:c r="AC3650" s="87"/>
      <x:c r="AD3650" s="87"/>
      <x:c r="AE3650" s="87"/>
      <x:c r="AF3650" s="87"/>
      <x:c r="AG3650" s="87"/>
      <x:c r="AH3650" s="87"/>
      <x:c r="AI3650" s="30"/>
      <x:c r="AJ3650" s="87" t="str">
        <x:v>master</x:v>
      </x:c>
      <x:c r="AK3650" s="87" t="str">
        <x:v>master-v0.81</x:v>
      </x:c>
      <x:c r="AL3650" s="87" t="str">
        <x:v>statgrad_master_base_v0_81_final(2).xlsx</x:v>
      </x:c>
      <x:c r="AM3650" s="87" t="str">
        <x:v>RUS_Oct_V2</x:v>
      </x:c>
      <x:c r="AN3650" s="87" t="n">
        <x:v>18</x:v>
      </x:c>
    </x:row>
    <x:row r="3651">
      <x:c r="A3651" s="87" t="n">
        <x:v>3650</x:v>
      </x:c>
      <x:c r="B3651" s="87" t="str">
        <x:v>OCT-RUS-V2-018</x:v>
      </x:c>
      <x:c r="C3651" s="87" t="str">
        <x:v>СтатГрад</x:v>
      </x:c>
      <x:c r="D3651" s="87" t="str">
        <x:v>Октябрь 2025</x:v>
      </x:c>
      <x:c r="E3651" s="87"/>
      <x:c r="F3651" s="87"/>
      <x:c r="G3651" s="87" t="str">
        <x:v>Русский язык</x:v>
      </x:c>
      <x:c r="H3651" s="87" t="n">
        <x:v>11</x:v>
      </x:c>
      <x:c r="I3651" s="87" t="str">
        <x:v>ТР №2</x:v>
      </x:c>
      <x:c r="J3651" s="87" t="str">
        <x:v>РЯ2510202</x:v>
      </x:c>
      <x:c r="K3651" s="87" t="n">
        <x:v>18</x:v>
      </x:c>
      <x:c r="L3651" s="87" t="str">
        <x:v>Вводные слова / обращения / конструкции</x:v>
      </x:c>
      <x:c r="M3651" s="30" t="str">
        <x:v>Укажите цифру(-ы), на месте которой(-ых) должна(-ы) стоять запятая(-ые).
     С годами Валентина Вячеславовна (1) почти (2) не менялась: время (3) как
     будто (4) не властно было над ней, старость остановилась (5) где-то (6) на
     пороге её дома; другие жители деревеньки (7) однако (8) старели ощутимо…</x:v>
      </x:c>
      <x:c r="N3651" s="30" t="str">
        <x:v>78</x:v>
      </x:c>
      <x:c r="O3651" s="30" t="str">
        <x:v>Позиции знаков определены с учётом вводности, обращений и синтаксической структуры.</x:v>
      </x:c>
      <x:c r="P3651" s="30" t="str">
        <x:v>Позиции знаков определены с учётом вводности, обращений и синтаксической структуры.</x:v>
      </x:c>
      <x:c r="Q3651" s="30"/>
      <x:c r="R3651" s="30" t="str">
        <x:v>Официальный PDF ответов + независимая проверка</x:v>
      </x:c>
      <x:c r="S3651" s="30"/>
      <x:c r="T3651" s="30"/>
      <x:c r="U3651"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51" s="87" t="str">
        <x:v>VERIFIED</x:v>
      </x:c>
      <x:c r="W3651" s="87" t="str">
        <x:v>Zadanie_RU11_21102025.pdf, стр. 22</x:v>
      </x:c>
      <x:c r="X3651" s="87"/>
      <x:c r="Y3651" s="87"/>
      <x:c r="Z3651" s="87"/>
      <x:c r="AA3651" s="87"/>
      <x:c r="AB3651" s="87"/>
      <x:c r="AC3651" s="87"/>
      <x:c r="AD3651" s="87"/>
      <x:c r="AE3651" s="87"/>
      <x:c r="AF3651" s="87"/>
      <x:c r="AG3651" s="87"/>
      <x:c r="AH3651" s="87"/>
      <x:c r="AI3651" s="30"/>
      <x:c r="AJ3651" s="87" t="str">
        <x:v>master</x:v>
      </x:c>
      <x:c r="AK3651" s="87" t="str">
        <x:v>master-v0.81</x:v>
      </x:c>
      <x:c r="AL3651" s="87" t="str">
        <x:v>statgrad_master_base_v0_81_final(2).xlsx</x:v>
      </x:c>
      <x:c r="AM3651" s="87" t="str">
        <x:v>RUS_Oct_V2</x:v>
      </x:c>
      <x:c r="AN3651" s="87" t="n">
        <x:v>19</x:v>
      </x:c>
    </x:row>
    <x:row r="3652">
      <x:c r="A3652" s="87" t="n">
        <x:v>3651</x:v>
      </x:c>
      <x:c r="B3652" s="87" t="str">
        <x:v>OCT-RUS-V2-019</x:v>
      </x:c>
      <x:c r="C3652" s="87" t="str">
        <x:v>СтатГрад</x:v>
      </x:c>
      <x:c r="D3652" s="87" t="str">
        <x:v>Октябрь 2025</x:v>
      </x:c>
      <x:c r="E3652" s="87"/>
      <x:c r="F3652" s="87"/>
      <x:c r="G3652" s="87" t="str">
        <x:v>Русский язык</x:v>
      </x:c>
      <x:c r="H3652" s="87" t="n">
        <x:v>11</x:v>
      </x:c>
      <x:c r="I3652" s="87" t="str">
        <x:v>ТР №2</x:v>
      </x:c>
      <x:c r="J3652" s="87" t="str">
        <x:v>РЯ2510202</x:v>
      </x:c>
      <x:c r="K3652" s="87" t="n">
        <x:v>19</x:v>
      </x:c>
      <x:c r="L3652" s="87" t="str">
        <x:v>Сложноподчинённое предложение</x:v>
      </x:c>
      <x:c r="M3652" s="30" t="str">
        <x:v>Укажите цифру(-ы), на месте которой(-ых) должна(-ы) стоять запятая(-ые).
     Попов растянул между кустами прозрачную леску (1) на всём протяжении (2)
     которой (3) он предварительно развесил пустые консервные банки так (4)
     чтобы (5) если кто-нибудь попробовал бы подобраться к лагерю с этой
     стороны (6) мы узнали бы об этом заранее по звуку.
                                    согласия СтатГрад запрещена</x:v>
      </x:c>
      <x:c r="N3652" s="30" t="str">
        <x:v>1456</x:v>
      </x:c>
      <x:c r="O3652" s="30" t="str">
        <x:v>Запятые отделяют придаточные части и учитывают вложенность конструкции.</x:v>
      </x:c>
      <x:c r="P3652" s="30" t="str">
        <x:v>Запятые отделяют придаточные части и учитывают вложенность конструкции.</x:v>
      </x:c>
      <x:c r="Q3652" s="30"/>
      <x:c r="R3652" s="30" t="str">
        <x:v>Официальный PDF ответов + независимая проверка</x:v>
      </x:c>
      <x:c r="S3652" s="30"/>
      <x:c r="T3652" s="30"/>
      <x:c r="U3652"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52" s="87" t="str">
        <x:v>VERIFIED</x:v>
      </x:c>
      <x:c r="W3652" s="87" t="str">
        <x:v>Zadanie_RU11_21102025.pdf, стр. 22</x:v>
      </x:c>
      <x:c r="X3652" s="87"/>
      <x:c r="Y3652" s="87"/>
      <x:c r="Z3652" s="87"/>
      <x:c r="AA3652" s="87"/>
      <x:c r="AB3652" s="87"/>
      <x:c r="AC3652" s="87"/>
      <x:c r="AD3652" s="87"/>
      <x:c r="AE3652" s="87"/>
      <x:c r="AF3652" s="87"/>
      <x:c r="AG3652" s="87"/>
      <x:c r="AH3652" s="87"/>
      <x:c r="AI3652" s="30"/>
      <x:c r="AJ3652" s="87" t="str">
        <x:v>master</x:v>
      </x:c>
      <x:c r="AK3652" s="87" t="str">
        <x:v>master-v0.81</x:v>
      </x:c>
      <x:c r="AL3652" s="87" t="str">
        <x:v>statgrad_master_base_v0_81_final(2).xlsx</x:v>
      </x:c>
      <x:c r="AM3652" s="87" t="str">
        <x:v>RUS_Oct_V2</x:v>
      </x:c>
      <x:c r="AN3652" s="87" t="n">
        <x:v>20</x:v>
      </x:c>
    </x:row>
    <x:row r="3653">
      <x:c r="A3653" s="87" t="n">
        <x:v>3652</x:v>
      </x:c>
      <x:c r="B3653" s="87" t="str">
        <x:v>OCT-RUS-V2-020</x:v>
      </x:c>
      <x:c r="C3653" s="87" t="str">
        <x:v>СтатГрад</x:v>
      </x:c>
      <x:c r="D3653" s="87" t="str">
        <x:v>Октябрь 2025</x:v>
      </x:c>
      <x:c r="E3653" s="87"/>
      <x:c r="F3653" s="87"/>
      <x:c r="G3653" s="87" t="str">
        <x:v>Русский язык</x:v>
      </x:c>
      <x:c r="H3653" s="87" t="n">
        <x:v>11</x:v>
      </x:c>
      <x:c r="I3653" s="87" t="str">
        <x:v>ТР №2</x:v>
      </x:c>
      <x:c r="J3653" s="87" t="str">
        <x:v>РЯ2510202</x:v>
      </x:c>
      <x:c r="K3653" s="87" t="n">
        <x:v>20</x:v>
      </x:c>
      <x:c r="L3653" s="87" t="str">
        <x:v>Сложное предложение с разными видами связи</x:v>
      </x:c>
      <x:c r="M3653" s="30" t="str">
        <x:v>Укажите цифру(-ы), на месте которой(-ых) должна(-ы) стоять запятая(-ые).
     С туристами Данила проявлял сугубую осторожность (1) и (2) едва начинался
     лёгкий ветерок (3) или появлялись на небе тучки (4) отменял без раздумий
     морские прогулки (5) как бы ни протестовали сами гости (6) и как бы они ни
     возмущались.</x:v>
      </x:c>
      <x:c r="N3653" s="30" t="str">
        <x:v>245</x:v>
      </x:c>
      <x:c r="O3653" s="30" t="str">
        <x:v>Знаки поставлены на границах частей сложного предложения с разными видами связи.</x:v>
      </x:c>
      <x:c r="P3653" s="30" t="str">
        <x:v>Знаки поставлены на границах частей сложного предложения с разными видами связи.</x:v>
      </x:c>
      <x:c r="Q3653" s="30"/>
      <x:c r="R3653" s="30" t="str">
        <x:v>Официальный PDF ответов + независимая проверка</x:v>
      </x:c>
      <x:c r="S3653" s="30"/>
      <x:c r="T3653" s="30"/>
      <x:c r="U3653"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53" s="87" t="str">
        <x:v>VERIFIED</x:v>
      </x:c>
      <x:c r="W3653" s="87" t="str">
        <x:v>Zadanie_RU11_21102025.pdf, стр. 23</x:v>
      </x:c>
      <x:c r="X3653" s="87"/>
      <x:c r="Y3653" s="87"/>
      <x:c r="Z3653" s="87"/>
      <x:c r="AA3653" s="87"/>
      <x:c r="AB3653" s="87"/>
      <x:c r="AC3653" s="87"/>
      <x:c r="AD3653" s="87"/>
      <x:c r="AE3653" s="87"/>
      <x:c r="AF3653" s="87"/>
      <x:c r="AG3653" s="87"/>
      <x:c r="AH3653" s="87"/>
      <x:c r="AI3653" s="30"/>
      <x:c r="AJ3653" s="87" t="str">
        <x:v>master</x:v>
      </x:c>
      <x:c r="AK3653" s="87" t="str">
        <x:v>master-v0.81</x:v>
      </x:c>
      <x:c r="AL3653" s="87" t="str">
        <x:v>statgrad_master_base_v0_81_final(2).xlsx</x:v>
      </x:c>
      <x:c r="AM3653" s="87" t="str">
        <x:v>RUS_Oct_V2</x:v>
      </x:c>
      <x:c r="AN3653" s="87" t="n">
        <x:v>21</x:v>
      </x:c>
    </x:row>
    <x:row r="3654">
      <x:c r="A3654" s="87" t="n">
        <x:v>3653</x:v>
      </x:c>
      <x:c r="B3654" s="87" t="str">
        <x:v>OCT-RUS-V2-021</x:v>
      </x:c>
      <x:c r="C3654" s="87" t="str">
        <x:v>СтатГрад</x:v>
      </x:c>
      <x:c r="D3654" s="87" t="str">
        <x:v>Октябрь 2025</x:v>
      </x:c>
      <x:c r="E3654" s="87"/>
      <x:c r="F3654" s="87"/>
      <x:c r="G3654" s="87" t="str">
        <x:v>Русский язык</x:v>
      </x:c>
      <x:c r="H3654" s="87" t="n">
        <x:v>11</x:v>
      </x:c>
      <x:c r="I3654" s="87" t="str">
        <x:v>ТР №2</x:v>
      </x:c>
      <x:c r="J3654" s="87" t="str">
        <x:v>РЯ2510202</x:v>
      </x:c>
      <x:c r="K3654" s="87" t="n">
        <x:v>21</x:v>
      </x:c>
      <x:c r="L3654" s="87" t="str">
        <x:v>Пунктуационный анализ</x:v>
      </x:c>
      <x:c r="M3654" s="30" t="str">
        <x:v>Найдите предложения, в которых запятая(-ые) ставится(-ятся) в соответствии
     с одним и тем же правилом пунктуации. Запишите номера этих предложений.
     (1)Уважаемые посетители, здесь, между улицами Красная Пресня, Большая
     Грузинская и Зоологическая, находится главный вход в Московский зоопарк.
     (2)Этот зоопарк, будучи основанным в 1864 году, является, как и зоопарки
     в Вене и Париже, одним из старейших в Европе. (3)В его коллекции
     представлено более тысячи видов животных, численность которых
     составляет более 5 000 особей. (4)Посетители, гуляя по территории, могут
     увидеть животных со всего мира. (5)Несмотря на большое количество
     обитателей, зоопарк сохраняет для них естественные условия содержания.
     (6)Зоопарк, как головной в России, активно участвует в международных
     проектах. (7)Его посещают более 3 миллионов человек в год, и каждый
     находит что-то интересное для себя. (8)Приглашаем вас познакомиться
     с удивительными обитателями зоопарка!
                                    согласия СтатГрад запрещена</x:v>
      </x:c>
      <x:c r="N3654" s="30" t="str">
        <x:v>245</x:v>
      </x:c>
      <x:c r="O3654" s="30" t="str">
        <x:v>Предложения объединены одним и тем же пунктуационным правилом.</x:v>
      </x:c>
      <x:c r="P3654" s="30" t="str">
        <x:v>Предложения объединены одним и тем же пунктуационным правилом.</x:v>
      </x:c>
      <x:c r="Q3654" s="30"/>
      <x:c r="R3654" s="30" t="str">
        <x:v>Официальный PDF ответов + независимая проверка</x:v>
      </x:c>
      <x:c r="S3654" s="30"/>
      <x:c r="T3654" s="30"/>
      <x:c r="U3654"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54" s="87" t="str">
        <x:v>VERIFIED</x:v>
      </x:c>
      <x:c r="W3654" s="87" t="str">
        <x:v>Zadanie_RU11_21102025.pdf, стр. 23</x:v>
      </x:c>
      <x:c r="X3654" s="87"/>
      <x:c r="Y3654" s="87"/>
      <x:c r="Z3654" s="87"/>
      <x:c r="AA3654" s="87"/>
      <x:c r="AB3654" s="87"/>
      <x:c r="AC3654" s="87"/>
      <x:c r="AD3654" s="87"/>
      <x:c r="AE3654" s="87"/>
      <x:c r="AF3654" s="87"/>
      <x:c r="AG3654" s="87"/>
      <x:c r="AH3654" s="87"/>
      <x:c r="AI3654" s="30"/>
      <x:c r="AJ3654" s="87" t="str">
        <x:v>master</x:v>
      </x:c>
      <x:c r="AK3654" s="87" t="str">
        <x:v>master-v0.81</x:v>
      </x:c>
      <x:c r="AL3654" s="87" t="str">
        <x:v>statgrad_master_base_v0_81_final(2).xlsx</x:v>
      </x:c>
      <x:c r="AM3654" s="87" t="str">
        <x:v>RUS_Oct_V2</x:v>
      </x:c>
      <x:c r="AN3654" s="87" t="n">
        <x:v>22</x:v>
      </x:c>
    </x:row>
    <x:row r="3655">
      <x:c r="A3655" s="87" t="n">
        <x:v>3654</x:v>
      </x:c>
      <x:c r="B3655" s="87" t="str">
        <x:v>OCT-RUS-V2-022</x:v>
      </x:c>
      <x:c r="C3655" s="87" t="str">
        <x:v>СтатГрад</x:v>
      </x:c>
      <x:c r="D3655" s="87" t="str">
        <x:v>Октябрь 2025</x:v>
      </x:c>
      <x:c r="E3655" s="87"/>
      <x:c r="F3655" s="87"/>
      <x:c r="G3655" s="87" t="str">
        <x:v>Русский язык</x:v>
      </x:c>
      <x:c r="H3655" s="87" t="n">
        <x:v>11</x:v>
      </x:c>
      <x:c r="I3655" s="87" t="str">
        <x:v>ТР №2</x:v>
      </x:c>
      <x:c r="J3655" s="87" t="str">
        <x:v>РЯ2510202</x:v>
      </x:c>
      <x:c r="K3655" s="87" t="n">
        <x:v>22</x:v>
      </x:c>
      <x:c r="L3655" s="87" t="str">
        <x:v>Средства выразительности</x:v>
      </x:c>
      <x:c r="M3655" s="30" t="str">
        <x:v>Установите    соответствие   между    предложениями    и    названиями
     изобразительно-выразительных средств языка, которые употреблены в них:
     к каждой позиции первого столбца подберите соответствующую позицию из
     второго столбца.
                                                                             ИЗОБРАЗИТЕЛЬНО-
                          ПРЕДЛОЖЕНИЯ                                         ВЫРАЗИТЕЛЬНЫЕ
                                                                             СРЕДСТВА ЯЗЫКА
     А) После обеда господин сел на диван,                                1) эпифора
        подложивши себе за спину подушку,                                 2) анафора
        которую в русских трактирах набивают                              3) синтаксический
        чем-то чрезвычайно похожим на кирпич и                               параллелизм
        булыжник.                                                         4) метонимия
                            (По Н. В. Гоголю)
                                                                          5) риторическое обращение
     Б) Манилов долго стоял на крыльце,
        провожая глазами удалявшуюся бричку,                              6) вопросно-ответная
        и когда она уже совершенно стала не                                  форма изложения
        видна, он всё ещё стоял, куря трубку.                             7) сравнение
                                (Н. В. Гоголь)                            8) парцелляция
     В) – Как-с? Извините… я несколько туг на                             9) антитеза
        ухо, мне послышалось престранное слово...
        – Я полагаю приобрести мёртвых, которые,
        впрочем, значились бы по ревизии как
        живые, – сказал Чичиков.
                                 (Н. В. Гоголь)
     Г) Пан Данило стал поглядывать на тёмную
        сторону, где из-за леса чернел земляной
        вал, из-за вала подымался старый зáмок.
                            (По Н. В. Гоголю)
     Д) Пелеринка из фестончиков, на рукавах
                    1
        фестончики2, одни фестончики.
                            (По Н. В. Гоголю)
                     А Б В Г Д
     Ответ:
     1
         Воротник на платье в виде особой накидки.
     2
         Зубчатая кайма по краям штор, по подолу женского платья и т.п.
                                       согласия СтатГрад запрещена</x:v>
      </x:c>
      <x:c r="N3655" s="30" t="str">
        <x:v>74931</x:v>
      </x:c>
      <x:c r="O3655" s="30" t="str">
        <x:v>Средства выразительности распознаны по их функции и синтаксико-лексическим признакам.</x:v>
      </x:c>
      <x:c r="P3655" s="30" t="str">
        <x:v>Средства выразительности распознаны по их функции и синтаксико-лексическим признакам.</x:v>
      </x:c>
      <x:c r="Q3655" s="30"/>
      <x:c r="R3655" s="30" t="str">
        <x:v>Официальный PDF ответов + независимая проверка</x:v>
      </x:c>
      <x:c r="S3655" s="30"/>
      <x:c r="T3655" s="30"/>
      <x:c r="U3655" s="30" t="str">
        <x:v>Внутренний колонтитул PDF ошибочно содержит код РЯ2410201/РЯ2410202; вариант установлен по обложке и официальному PDF ответов: РЯ2510201/РЯ2510202.</x:v>
      </x:c>
      <x:c r="V3655" s="87" t="str">
        <x:v>VERIFIED</x:v>
      </x:c>
      <x:c r="W3655" s="87" t="str">
        <x:v>Zadanie_RU11_21102025.pdf, стр. 24</x:v>
      </x:c>
      <x:c r="X3655" s="87"/>
      <x:c r="Y3655" s="87"/>
      <x:c r="Z3655" s="87"/>
      <x:c r="AA3655" s="87"/>
      <x:c r="AB3655" s="87"/>
      <x:c r="AC3655" s="87"/>
      <x:c r="AD3655" s="87"/>
      <x:c r="AE3655" s="87"/>
      <x:c r="AF3655" s="87"/>
      <x:c r="AG3655" s="87"/>
      <x:c r="AH3655" s="87"/>
      <x:c r="AI3655" s="30"/>
      <x:c r="AJ3655" s="87" t="str">
        <x:v>master</x:v>
      </x:c>
      <x:c r="AK3655" s="87" t="str">
        <x:v>master-v0.81</x:v>
      </x:c>
      <x:c r="AL3655" s="87" t="str">
        <x:v>statgrad_master_base_v0_81_final(2).xlsx</x:v>
      </x:c>
      <x:c r="AM3655" s="87" t="str">
        <x:v>RUS_Oct_V2</x:v>
      </x:c>
      <x:c r="AN3655" s="87" t="n">
        <x:v>23</x:v>
      </x:c>
    </x:row>
    <x:row r="3656">
      <x:c r="A3656" s="87" t="n">
        <x:v>3655</x:v>
      </x:c>
      <x:c r="B3656" s="87" t="str">
        <x:v>OCT-RUS-V2-023</x:v>
      </x:c>
      <x:c r="C3656" s="87" t="str">
        <x:v>СтатГрад</x:v>
      </x:c>
      <x:c r="D3656" s="87" t="str">
        <x:v>Октябрь 2025</x:v>
      </x:c>
      <x:c r="E3656" s="87"/>
      <x:c r="F3656" s="87"/>
      <x:c r="G3656" s="87" t="str">
        <x:v>Русский язык</x:v>
      </x:c>
      <x:c r="H3656" s="87" t="n">
        <x:v>11</x:v>
      </x:c>
      <x:c r="I3656" s="87" t="str">
        <x:v>ТР №2</x:v>
      </x:c>
      <x:c r="J3656" s="87" t="str">
        <x:v>РЯ2510202</x:v>
      </x:c>
      <x:c r="K3656" s="87" t="n">
        <x:v>23</x:v>
      </x:c>
      <x:c r="L3656" s="87" t="str">
        <x:v>Содержание текста</x:v>
      </x:c>
      <x:c r="M3656" s="30" t="str">
        <x:v>Какие из высказываний не соответствуют содержанию текста? Укажите
     номера ответов.
     1) Евгений Иванович проживает в городе, а Елена Ивановна – за городом,
        в доме, где оба они провели детство.
     2) С годами сестра Евгения Ивановича всё более становилась похожа на мать.
     3) Выучившись на хирурга, Евгений Николаевич подрабатывает
        публикацией стихов в журнале.
     4) Во время войны осколок бомбы застрял в стволе берёзы и остался там.
     5) Евгений Иванович позабыл многое из того, что случилось с ним в детстве, и
        сожалеет о том, что не сможет рассказать о прошедшем Лёшке.</x:v>
      </x:c>
      <x:c r="N3656" s="30" t="str">
        <x:v>235</x:v>
      </x:c>
      <x:c r="O3656" s="30" t="str">
        <x:v>Ответ проверен прямым сопоставлением каждого утверждения с исходным текстом.</x:v>
      </x:c>
      <x:c r="P3656" s="30" t="str">
        <x:v>Ответ проверен прямым сопоставлением каждого утверждения с исходным текстом.</x:v>
      </x:c>
      <x:c r="Q3656" s="30"/>
      <x:c r="R3656" s="30" t="str">
        <x:v>Архивный фото-ключ + независимая проверка</x:v>
      </x:c>
      <x:c r="S3656" s="30"/>
      <x:c r="T3656" s="30"/>
      <x:c r="U3656"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56" s="87" t="str">
        <x:v>VERIFIED</x:v>
      </x:c>
      <x:c r="W3656" s="87" t="str">
        <x:v>Zadanie_RU11_21102025.pdf, стр. 27</x:v>
      </x:c>
      <x:c r="X3656" s="87"/>
      <x:c r="Y3656" s="87"/>
      <x:c r="Z3656" s="87"/>
      <x:c r="AA3656" s="87"/>
      <x:c r="AB3656" s="87"/>
      <x:c r="AC3656" s="87"/>
      <x:c r="AD3656" s="87"/>
      <x:c r="AE3656" s="87"/>
      <x:c r="AF3656" s="87"/>
      <x:c r="AG3656" s="87"/>
      <x:c r="AH3656" s="87"/>
      <x:c r="AI3656" s="30"/>
      <x:c r="AJ3656" s="87" t="str">
        <x:v>master</x:v>
      </x:c>
      <x:c r="AK3656" s="87" t="str">
        <x:v>master-v0.81</x:v>
      </x:c>
      <x:c r="AL3656" s="87" t="str">
        <x:v>statgrad_master_base_v0_81_final(2).xlsx</x:v>
      </x:c>
      <x:c r="AM3656" s="87" t="str">
        <x:v>RUS_Oct_V2</x:v>
      </x:c>
      <x:c r="AN3656" s="87" t="n">
        <x:v>24</x:v>
      </x:c>
    </x:row>
    <x:row r="3657">
      <x:c r="A3657" s="87" t="n">
        <x:v>3656</x:v>
      </x:c>
      <x:c r="B3657" s="87" t="str">
        <x:v>OCT-RUS-V2-024</x:v>
      </x:c>
      <x:c r="C3657" s="87" t="str">
        <x:v>СтатГрад</x:v>
      </x:c>
      <x:c r="D3657" s="87" t="str">
        <x:v>Октябрь 2025</x:v>
      </x:c>
      <x:c r="E3657" s="87"/>
      <x:c r="F3657" s="87"/>
      <x:c r="G3657" s="87" t="str">
        <x:v>Русский язык</x:v>
      </x:c>
      <x:c r="H3657" s="87" t="n">
        <x:v>11</x:v>
      </x:c>
      <x:c r="I3657" s="87" t="str">
        <x:v>ТР №2</x:v>
      </x:c>
      <x:c r="J3657" s="87" t="str">
        <x:v>РЯ2510202</x:v>
      </x:c>
      <x:c r="K3657" s="87" t="n">
        <x:v>24</x:v>
      </x:c>
      <x:c r="L3657" s="87" t="str">
        <x:v>Функционально-смысловые типы речи</x:v>
      </x:c>
      <x:c r="M3657" s="30" t="str">
        <x:v>Какие из перечисленных утверждений являются ошибочными? Укажите
     номера ответов.
     1) Предложение 47 указывает на причину того, о чём говорится в предло-
        жении 46.
     2) В предложениях 48–50 представлено повествование.
     3) В предложениях 55, 56 содержится описание.
     4) В предложениях 68–71 представлено повествование.
     5) Предложение 77 поясняет содержание предложения 76.</x:v>
      </x:c>
      <x:c r="N3657" s="30" t="str">
        <x:v>35</x:v>
      </x:c>
      <x:c r="O3657" s="30" t="str">
        <x:v>Типы речи и смысловые отношения определены по способу развития информации в предложениях.</x:v>
      </x:c>
      <x:c r="P3657" s="30" t="str">
        <x:v>Типы речи и смысловые отношения определены по способу развития информации в предложениях.</x:v>
      </x:c>
      <x:c r="Q3657" s="30"/>
      <x:c r="R3657" s="30" t="str">
        <x:v>Официальный PDF ответов + независимая проверка</x:v>
      </x:c>
      <x:c r="S3657" s="30"/>
      <x:c r="T3657" s="30"/>
      <x:c r="U3657" s="30" t="str">
        <x:v>Официально допускаются альтернативный порядок или формулировка; в поле ответа сохранён один нормативный вариант. Ответ присутствует и в фото-ключе, и в официальном PDF; источники совпадают. Внутренний колонтитул PDF ошибочно содержит код РЯ2410201/РЯ2410202; вариант установлен по обложке и официальному PDF ответов: РЯ2510201/РЯ2510202.</x:v>
      </x:c>
      <x:c r="V3657" s="87" t="str">
        <x:v>VERIFIED</x:v>
      </x:c>
      <x:c r="W3657" s="87" t="str">
        <x:v>Zadanie_RU11_21102025.pdf, стр. 27</x:v>
      </x:c>
      <x:c r="X3657" s="87"/>
      <x:c r="Y3657" s="87"/>
      <x:c r="Z3657" s="87"/>
      <x:c r="AA3657" s="87"/>
      <x:c r="AB3657" s="87"/>
      <x:c r="AC3657" s="87"/>
      <x:c r="AD3657" s="87"/>
      <x:c r="AE3657" s="87"/>
      <x:c r="AF3657" s="87"/>
      <x:c r="AG3657" s="87"/>
      <x:c r="AH3657" s="87"/>
      <x:c r="AI3657" s="30"/>
      <x:c r="AJ3657" s="87" t="str">
        <x:v>master</x:v>
      </x:c>
      <x:c r="AK3657" s="87" t="str">
        <x:v>master-v0.81</x:v>
      </x:c>
      <x:c r="AL3657" s="87" t="str">
        <x:v>statgrad_master_base_v0_81_final(2).xlsx</x:v>
      </x:c>
      <x:c r="AM3657" s="87" t="str">
        <x:v>RUS_Oct_V2</x:v>
      </x:c>
      <x:c r="AN3657" s="87" t="n">
        <x:v>25</x:v>
      </x:c>
    </x:row>
    <x:row r="3658">
      <x:c r="A3658" s="87" t="n">
        <x:v>3657</x:v>
      </x:c>
      <x:c r="B3658" s="87" t="str">
        <x:v>OCT-RUS-V2-025</x:v>
      </x:c>
      <x:c r="C3658" s="87" t="str">
        <x:v>СтатГрад</x:v>
      </x:c>
      <x:c r="D3658" s="87" t="str">
        <x:v>Октябрь 2025</x:v>
      </x:c>
      <x:c r="E3658" s="87"/>
      <x:c r="F3658" s="87"/>
      <x:c r="G3658" s="87" t="str">
        <x:v>Русский язык</x:v>
      </x:c>
      <x:c r="H3658" s="87" t="n">
        <x:v>11</x:v>
      </x:c>
      <x:c r="I3658" s="87" t="str">
        <x:v>ТР №2</x:v>
      </x:c>
      <x:c r="J3658" s="87" t="str">
        <x:v>РЯ2510202</x:v>
      </x:c>
      <x:c r="K3658" s="87" t="n">
        <x:v>25</x:v>
      </x:c>
      <x:c r="L3658" s="87" t="str">
        <x:v>Лексические отношения / фразеология</x:v>
      </x:c>
      <x:c r="M3658" s="30" t="str">
        <x:v>Из предложений 82–89 выпишите один фразеологизм.</x:v>
      </x:c>
      <x:c r="N3658" s="30" t="str">
        <x:v>как следует</x:v>
      </x:c>
      <x:c r="O3658" s="30" t="str">
        <x:v>Искомая пара или фразеологизм выписаны из указанного диапазона предложений без изменения формы.</x:v>
      </x:c>
      <x:c r="P3658" s="30" t="str">
        <x:v>Искомая пара или фразеологизм выписаны из указанного диапазона предложений без изменения формы.</x:v>
      </x:c>
      <x:c r="Q3658" s="30"/>
      <x:c r="R3658" s="30" t="str">
        <x:v>Официальный PDF ответов + независимая проверка</x:v>
      </x:c>
      <x:c r="S3658" s="30"/>
      <x:c r="T3658" s="30"/>
      <x:c r="U3658" s="30" t="str">
        <x:v>Внутренний колонтитул PDF ошибочно содержит код РЯ2410201/РЯ2410202; вариант установлен по обложке и официальному PDF ответов: РЯ2510201/РЯ2510202.</x:v>
      </x:c>
      <x:c r="V3658" s="87" t="str">
        <x:v>VERIFIED</x:v>
      </x:c>
      <x:c r="W3658" s="87" t="str">
        <x:v>Zadanie_RU11_21102025.pdf, стр. 27</x:v>
      </x:c>
      <x:c r="X3658" s="87"/>
      <x:c r="Y3658" s="87"/>
      <x:c r="Z3658" s="87"/>
      <x:c r="AA3658" s="87"/>
      <x:c r="AB3658" s="87"/>
      <x:c r="AC3658" s="87"/>
      <x:c r="AD3658" s="87"/>
      <x:c r="AE3658" s="87"/>
      <x:c r="AF3658" s="87"/>
      <x:c r="AG3658" s="87"/>
      <x:c r="AH3658" s="87"/>
      <x:c r="AI3658" s="30"/>
      <x:c r="AJ3658" s="87" t="str">
        <x:v>master</x:v>
      </x:c>
      <x:c r="AK3658" s="87" t="str">
        <x:v>master-v0.81</x:v>
      </x:c>
      <x:c r="AL3658" s="87" t="str">
        <x:v>statgrad_master_base_v0_81_final(2).xlsx</x:v>
      </x:c>
      <x:c r="AM3658" s="87" t="str">
        <x:v>RUS_Oct_V2</x:v>
      </x:c>
      <x:c r="AN3658" s="87" t="n">
        <x:v>26</x:v>
      </x:c>
    </x:row>
    <x:row r="3659">
      <x:c r="A3659" s="87" t="n">
        <x:v>3658</x:v>
      </x:c>
      <x:c r="B3659" s="87" t="str">
        <x:v>OCT-RUS-V2-026</x:v>
      </x:c>
      <x:c r="C3659" s="87" t="str">
        <x:v>СтатГрад</x:v>
      </x:c>
      <x:c r="D3659" s="87" t="str">
        <x:v>Октябрь 2025</x:v>
      </x:c>
      <x:c r="E3659" s="87"/>
      <x:c r="F3659" s="87"/>
      <x:c r="G3659" s="87" t="str">
        <x:v>Русский язык</x:v>
      </x:c>
      <x:c r="H3659" s="87" t="n">
        <x:v>11</x:v>
      </x:c>
      <x:c r="I3659" s="87" t="str">
        <x:v>ТР №2</x:v>
      </x:c>
      <x:c r="J3659" s="87" t="str">
        <x:v>РЯ2510202</x:v>
      </x:c>
      <x:c r="K3659" s="87" t="n">
        <x:v>26</x:v>
      </x:c>
      <x:c r="L3659" s="87" t="str">
        <x:v>Средства связи предложений</x:v>
      </x:c>
      <x:c r="M3659" s="30" t="str">
        <x:v>Среди предложений 68–77 найдите такое(-ие), которое(-ые) связано(-ы)
     с предыдущим при помощи личного местоимения. Запишите номер(-а)
     этого(-их) предложения(-ий).
                                    согласия СтатГрад запрещена</x:v>
      </x:c>
      <x:c r="N3659" s="30" t="str">
        <x:v>77</x:v>
      </x:c>
      <x:c r="O3659" s="30" t="str">
        <x:v>Связь с предыдущим предложением установлена по названному в условии языковому средству.</x:v>
      </x:c>
      <x:c r="P3659" s="30" t="str">
        <x:v>Связь с предыдущим предложением установлена по названному в условии языковому средству.</x:v>
      </x:c>
      <x:c r="Q3659" s="30"/>
      <x:c r="R3659" s="30" t="str">
        <x:v>Официальный PDF ответов + независимая проверка</x:v>
      </x:c>
      <x:c r="S3659" s="30"/>
      <x:c r="T3659" s="30"/>
      <x:c r="U3659" s="30" t="str">
        <x:v>Внутренний колонтитул PDF ошибочно содержит код РЯ2410201/РЯ2410202; вариант установлен по обложке и официальному PDF ответов: РЯ2510201/РЯ2510202.</x:v>
      </x:c>
      <x:c r="V3659" s="87" t="str">
        <x:v>VERIFIED</x:v>
      </x:c>
      <x:c r="W3659" s="87" t="str">
        <x:v>Zadanie_RU11_21102025.pdf, стр. 27</x:v>
      </x:c>
      <x:c r="X3659" s="87"/>
      <x:c r="Y3659" s="87"/>
      <x:c r="Z3659" s="87"/>
      <x:c r="AA3659" s="87"/>
      <x:c r="AB3659" s="87"/>
      <x:c r="AC3659" s="87"/>
      <x:c r="AD3659" s="87"/>
      <x:c r="AE3659" s="87"/>
      <x:c r="AF3659" s="87"/>
      <x:c r="AG3659" s="87"/>
      <x:c r="AH3659" s="87"/>
      <x:c r="AI3659" s="30"/>
      <x:c r="AJ3659" s="87" t="str">
        <x:v>master</x:v>
      </x:c>
      <x:c r="AK3659" s="87" t="str">
        <x:v>master-v0.81</x:v>
      </x:c>
      <x:c r="AL3659" s="87" t="str">
        <x:v>statgrad_master_base_v0_81_final(2).xlsx</x:v>
      </x:c>
      <x:c r="AM3659" s="87" t="str">
        <x:v>RUS_Oct_V2</x:v>
      </x:c>
      <x:c r="AN3659" s="87" t="n">
        <x:v>27</x:v>
      </x:c>
    </x:row>
    <x:row r="3660">
      <x:c r="A3660" s="87" t="n">
        <x:v>3659</x:v>
      </x:c>
      <x:c r="B3660" s="87" t="str">
        <x:v>OCT-RUS-V2-027</x:v>
      </x:c>
      <x:c r="C3660" s="87" t="str">
        <x:v>СтатГрад</x:v>
      </x:c>
      <x:c r="D3660" s="87" t="str">
        <x:v>Октябрь 2025</x:v>
      </x:c>
      <x:c r="E3660" s="87"/>
      <x:c r="F3660" s="87"/>
      <x:c r="G3660" s="87" t="str">
        <x:v>Русский язык</x:v>
      </x:c>
      <x:c r="H3660" s="87" t="n">
        <x:v>11</x:v>
      </x:c>
      <x:c r="I3660" s="87" t="str">
        <x:v>ТР №2</x:v>
      </x:c>
      <x:c r="J3660" s="87" t="str">
        <x:v>РЯ2510202</x:v>
      </x:c>
      <x:c r="K3660" s="87" t="n">
        <x:v>27</x:v>
      </x:c>
      <x:c r="L3660" s="87" t="str">
        <x:v>Сочинение-рассуждение</x:v>
      </x:c>
      <x:c r="M3660" s="30" t="str">
        <x:v>Напишите сочинение-рассуждение по проблеме, поставленной в исходном
     тексте «В чём проявляется связь времён?».
          Сформулируйте позицию автора (рассказчика) по указанной проблеме.
          Прокомментируйте, как в тексте раскрывается эта позиция. Включите
     в комментарий два примера-иллюстрации из прочитанного текста, важные
     для понимания позиции автора (рассказчика), и поясните их. Укажите и пояс-
     ните смысловую связь между приведёнными примерами-иллюстрациями.
          Сформулируйте и обоснуйте своё отношение к позиции автора
     (рассказчика) по проблеме исходного текста. Включите в обоснование
     пример-аргумент, опираясь на читательский, историко-культурный или
     жизненный опыт. (Не учитываются примеры-аргументы, источниками
     которых являются комикс, аниме, манга, фанфик, графический роман,
     компьютерная игра и другие подобные виды представления информации.)
          Объём сочинения – не менее 150 слов.
          Работа, написанная без опоры на прочитанный текст (не по данному
     тексту), не оценивается. Если сочинение представляет собой полностью
     переписанный или пересказанный исходный текст без каких бы то ни было
     комментариев, такая работа оценивается 0 баллов.
          Сочинение пишите аккуратно и разборчиво, соблюдая нормы
     современного русского литературного языка.
                                    согласия СтатГрад запрещена</x:v>
      </x:c>
      <x:c r="N3660" s="30" t="str">
        <x:v>Ю. И. Чичёв размышляет о том, в чём проявляется связь времён. Позиция автора такова: старшее поколение хранит память о прошлом, знакомит с ней детей и тем самым готовит их принять ответственность за будущее.
Сначала Евгений Иванович и его сестра возвращаются мыслями к дому и саду, где прошло их детство. Герой вспоминает бомбоубежище и замечает след военного осколка в стволе берёзы. Этот пример показывает, что прошлое продолжает жить в памяти людей и в окружающем их мире. Затем взрослые объясняют Лёшке, почему война страшна, и обещают позже рассказать ему всё подробнее. Евгений Иванович говорит, что мальчик вырастет и станет защитником. Второй пример является следствием первого: сохранённая память должна быть не только воспоминанием, но и нравственным опытом, передаваемым новому поколению.
Я согласен с автором. Связь времён возникает тогда, когда потомки воспринимают опыт предшественников и продолжают начатое ими ответственное отношение к миру. Именно поэтому семейные письма, фотографии и рассказы фронтовиков имеют общественное значение: они помогают молодым людям увидеть за историческими датами судьбы конкретных людей. Следовательно, связь времён проявляется в преемственности памяти, ценностей и ответственности за будущее.</x:v>
      </x:c>
      <x:c r="O3660" s="30" t="str">
        <x:v>Модель содержит позицию автора, два пояснённых примера, смысловую связь, собственное отношение и аргумент; объём превышает 150 слов.</x:v>
      </x:c>
      <x:c r="P3660" s="30" t="str">
        <x:v>Структура сочинения сверена с формулировкой задания и официальной информацией о тексте.</x:v>
      </x:c>
      <x:c r="Q3660" s="30"/>
      <x:c r="R3660" s="30" t="str">
        <x:v>Официальная авторская позиция + самостоятельная проверенная модель</x:v>
      </x:c>
      <x:c r="S3660" s="30"/>
      <x:c r="T3660" s="30"/>
      <x:c r="U3660" s="30" t="str">
        <x:v>Самостоятельная модель сочинения: 172 слов; официальный материал содержит авторскую позицию, но не полный эталон сочинения.</x:v>
      </x:c>
      <x:c r="V3660" s="87" t="str">
        <x:v>VERIFIED</x:v>
      </x:c>
      <x:c r="W3660" s="87" t="str">
        <x:v>Zadanie_RU11_21102025.pdf, стр. 28</x:v>
      </x:c>
      <x:c r="X3660" s="87"/>
      <x:c r="Y3660" s="87"/>
      <x:c r="Z3660" s="87"/>
      <x:c r="AA3660" s="87"/>
      <x:c r="AB3660" s="87"/>
      <x:c r="AC3660" s="87"/>
      <x:c r="AD3660" s="87"/>
      <x:c r="AE3660" s="87"/>
      <x:c r="AF3660" s="87"/>
      <x:c r="AG3660" s="87"/>
      <x:c r="AH3660" s="87"/>
      <x:c r="AI3660" s="30"/>
      <x:c r="AJ3660" s="87" t="str">
        <x:v>master</x:v>
      </x:c>
      <x:c r="AK3660" s="87" t="str">
        <x:v>master-v0.81</x:v>
      </x:c>
      <x:c r="AL3660" s="87" t="str">
        <x:v>statgrad_master_base_v0_81_final(2).xlsx</x:v>
      </x:c>
      <x:c r="AM3660" s="87" t="str">
        <x:v>RUS_Oct_V2</x:v>
      </x:c>
      <x:c r="AN3660" s="87" t="n">
        <x:v>28</x:v>
      </x:c>
    </x:row>
    <x:row r="3661">
      <x:c r="A3661" s="87" t="n">
        <x:v>3660</x:v>
      </x:c>
      <x:c r="B3661" s="87" t="str">
        <x:v>OCT-INF-V1-001</x:v>
      </x:c>
      <x:c r="C3661" s="87" t="str">
        <x:v>СтатГрад</x:v>
      </x:c>
      <x:c r="D3661" s="87" t="str">
        <x:v>Октябрь 2025</x:v>
      </x:c>
      <x:c r="E3661" s="87"/>
      <x:c r="F3661" s="87"/>
      <x:c r="G3661" s="87" t="str">
        <x:v>Информатика</x:v>
      </x:c>
      <x:c r="H3661" s="87" t="n">
        <x:v>11</x:v>
      </x:c>
      <x:c r="I3661" s="87" t="str">
        <x:v>ТР №1</x:v>
      </x:c>
      <x:c r="J3661" s="87" t="str">
        <x:v>ИН2510101</x:v>
      </x:c>
      <x:c r="K3661" s="87" t="n">
        <x:v>1</x:v>
      </x:c>
      <x:c r="L3661" s="87" t="str">
        <x:v>Графы и таблицы расстояний</x:v>
      </x:c>
      <x:c r="M3661" s="30" t="str">
        <x:v>На рисунке схема дорог N-ского района изображена в виде графа, в таблице
    содержатся сведения о протяжённости каждой из этих дорог (в километрах).
                             Номер пункта
                        1 2 3 4 5 6 7
                    1                    17 23
     Номер пункта
                    2          7     20 3
                    3      7     88         1
                    4         88     13
                    5      20    13      11
                    6   17 3         11
                    7   23     1
    Так как таблицу и схему рисовали независимо друг от друга, нумерация
    населённых пунктов в таблице никак не связана с буквенными
    обозначениями на графе. Определите, какова сумма протяжённостей дорог
    из пункта B в пункт G и из пункта E в пункт A.
    В ответе запишите целое число.
                                     согласия СтатГрад запрещена</x:v>
      </x:c>
      <x:c r="N3661" s="30" t="str">
        <x:v>105</x:v>
      </x:c>
      <x:c r="O3661" s="30" t="str">
        <x:v>Восстановлено соответствие вершин графа строкам таблицы и сложены требуемые длины.</x:v>
      </x:c>
      <x:c r="P3661" s="30" t="str">
        <x:v>Ответ сопоставлен с условием и архивным PNG-ключом; алгоритм решения проверен по типовой реализации.</x:v>
      </x:c>
      <x:c r="Q3661" s="30"/>
      <x:c r="R3661" s="30" t="str">
        <x:v>Архивный PNG-ключ</x:v>
      </x:c>
      <x:c r="S3661" s="30"/>
      <x:c r="T3661" s="30"/>
      <x:c r="U3661" s="30" t="str">
        <x:v>Расхождений не обнаружено.</x:v>
      </x:c>
      <x:c r="V3661" s="87" t="str">
        <x:v>VERIFIED</x:v>
      </x:c>
      <x:c r="W3661" s="87" t="str">
        <x:v>Zadanie_IN11_23102025_.pdf, стр. 3</x:v>
      </x:c>
      <x:c r="X3661" s="87"/>
      <x:c r="Y3661" s="87"/>
      <x:c r="Z3661" s="87"/>
      <x:c r="AA3661" s="87"/>
      <x:c r="AB3661" s="87"/>
      <x:c r="AC3661" s="87" t="str">
        <x:v>VIS-INF-OCT-001</x:v>
      </x:c>
      <x:c r="AD3661" s="87"/>
      <x:c r="AE3661" s="87"/>
      <x:c r="AF3661" s="87" t="str">
        <x:v>VIS-INF-OCT-001: 3</x:v>
      </x:c>
      <x:c r="AG3661" s="87" t="str">
        <x:v>RESOLVED</x:v>
      </x:c>
      <x:c r="AH3661" s="87" t="str">
        <x:v>CROP_VERIFIED; TASK_CROP_QA_APPROVED:USE_TIGHT</x:v>
      </x:c>
      <x:c r="AI3661" s="30"/>
      <x:c r="AJ3661" s="87" t="str">
        <x:v>master</x:v>
      </x:c>
      <x:c r="AK3661" s="87" t="str">
        <x:v>master-v0.81</x:v>
      </x:c>
      <x:c r="AL3661" s="87" t="str">
        <x:v>statgrad_master_base_v0_81_final(2).xlsx</x:v>
      </x:c>
      <x:c r="AM3661" s="87" t="str">
        <x:v>INF_Oct_V1</x:v>
      </x:c>
      <x:c r="AN3661" s="87" t="n">
        <x:v>2</x:v>
      </x:c>
    </x:row>
    <x:row r="3662">
      <x:c r="A3662" s="87" t="n">
        <x:v>3661</x:v>
      </x:c>
      <x:c r="B3662" s="87" t="str">
        <x:v>OCT-INF-V1-002</x:v>
      </x:c>
      <x:c r="C3662" s="87" t="str">
        <x:v>СтатГрад</x:v>
      </x:c>
      <x:c r="D3662" s="87" t="str">
        <x:v>Октябрь 2025</x:v>
      </x:c>
      <x:c r="E3662" s="87"/>
      <x:c r="F3662" s="87"/>
      <x:c r="G3662" s="87" t="str">
        <x:v>Информатика</x:v>
      </x:c>
      <x:c r="H3662" s="87" t="n">
        <x:v>11</x:v>
      </x:c>
      <x:c r="I3662" s="87" t="str">
        <x:v>ТР №1</x:v>
      </x:c>
      <x:c r="J3662" s="87" t="str">
        <x:v>ИН2510101</x:v>
      </x:c>
      <x:c r="K3662" s="87" t="n">
        <x:v>2</x:v>
      </x:c>
      <x:c r="L3662" s="87" t="str">
        <x:v>Логика и таблица истинности</x:v>
      </x:c>
      <x:c r="M3662" s="30" t="str">
        <x:v>Миша заполнял таблицу истинности логической функции F
                (¬x /\ z /\ ¬y /\ ¬w) \/ (¬x /\ z /\ y /\ ¬w) \/ (¬x /\ z /\ y /\ w),
    но успел заполнить лишь фрагмент из трёх различных её строк, даже не указав,
    какому столбцу таблицы соответствует каждая из переменных w, x, y, z.
                                                              F
                                            1       0         1
                                        0   0                 1
                                                    1         1
    Определите, какому столбцу таблицы соответствует каждая из переменных
    w, x, y, z.
    В ответе напишите буквы w, x, y, z в том порядке, в котором идут
    соответствующие им столбцы (сначала буква, соответствующая первому
    столбцу; затем буква, соответствующая второму столбцу, и т.д.). Буквы в ответе
    пишите подряд, никаких разделителей между буквами ставить не нужно.
    Пример. Функция F задана выражением ¬x \/ y, зависящим от двух
    переменных, а фрагмент таблицы имеет следующий вид.
                                                          F
                                    0           1         0
    В этом случае первому столбцу соответствует переменная y, а второму
    столбцу – переменная x. В ответе следует написать: yx.
                                   согласия СтатГрад запрещена</x:v>
      </x:c>
      <x:c r="N3662" s="30" t="str">
        <x:v>xywz</x:v>
      </x:c>
      <x:c r="O3662" s="30" t="str">
        <x:v>Перебраны допустимые перестановки переменных во фрагменте таблицы истинности.</x:v>
      </x:c>
      <x:c r="P3662" s="30" t="str">
        <x:v>Ответ сопоставлен с условием и архивным PNG-ключом; алгоритм решения проверен по типовой реализации.</x:v>
      </x:c>
      <x:c r="Q3662" s="30"/>
      <x:c r="R3662" s="30" t="str">
        <x:v>Архивный PNG-ключ</x:v>
      </x:c>
      <x:c r="S3662" s="30"/>
      <x:c r="T3662" s="30"/>
      <x:c r="U3662" s="30" t="str">
        <x:v>Расхождений не обнаружено.</x:v>
      </x:c>
      <x:c r="V3662" s="87" t="str">
        <x:v>VERIFIED</x:v>
      </x:c>
      <x:c r="W3662" s="87" t="str">
        <x:v>Zadanie_IN11_23102025_.pdf, стр. 4</x:v>
      </x:c>
      <x:c r="X3662" s="87"/>
      <x:c r="Y3662" s="87"/>
      <x:c r="Z3662" s="87"/>
      <x:c r="AA3662" s="87"/>
      <x:c r="AB3662" s="87"/>
      <x:c r="AC3662" s="87" t="str">
        <x:v>VIS-INF-OCT-002</x:v>
      </x:c>
      <x:c r="AD3662" s="87"/>
      <x:c r="AE3662" s="87"/>
      <x:c r="AF3662" s="87" t="str">
        <x:v>VIS-INF-OCT-002: 4</x:v>
      </x:c>
      <x:c r="AG3662" s="87" t="str">
        <x:v>RESOLVED</x:v>
      </x:c>
      <x:c r="AH3662" s="87" t="str">
        <x:v>CROP_VERIFIED; TASK_CROP_QA_APPROVED:USE_TIGHT</x:v>
      </x:c>
      <x:c r="AI3662" s="30"/>
      <x:c r="AJ3662" s="87" t="str">
        <x:v>master</x:v>
      </x:c>
      <x:c r="AK3662" s="87" t="str">
        <x:v>master-v0.81</x:v>
      </x:c>
      <x:c r="AL3662" s="87" t="str">
        <x:v>statgrad_master_base_v0_81_final(2).xlsx</x:v>
      </x:c>
      <x:c r="AM3662" s="87" t="str">
        <x:v>INF_Oct_V1</x:v>
      </x:c>
      <x:c r="AN3662" s="87" t="n">
        <x:v>3</x:v>
      </x:c>
    </x:row>
    <x:row r="3663">
      <x:c r="A3663" s="87" t="n">
        <x:v>3662</x:v>
      </x:c>
      <x:c r="B3663" s="87" t="str">
        <x:v>OCT-INF-V1-003</x:v>
      </x:c>
      <x:c r="C3663" s="87" t="str">
        <x:v>СтатГрад</x:v>
      </x:c>
      <x:c r="D3663" s="87" t="str">
        <x:v>Октябрь 2025</x:v>
      </x:c>
      <x:c r="E3663" s="87"/>
      <x:c r="F3663" s="87"/>
      <x:c r="G3663" s="87" t="str">
        <x:v>Информатика</x:v>
      </x:c>
      <x:c r="H3663" s="87" t="n">
        <x:v>11</x:v>
      </x:c>
      <x:c r="I3663" s="87" t="str">
        <x:v>ТР №1</x:v>
      </x:c>
      <x:c r="J3663" s="87" t="str">
        <x:v>ИН2510101</x:v>
      </x:c>
      <x:c r="K3663" s="87" t="n">
        <x:v>3</x:v>
      </x:c>
      <x:c r="L3663" s="87" t="str">
        <x:v>База данных / электронная таблица</x:v>
      </x:c>
      <x:c r="M3663" s="30" t="str">
        <x:v>В файле приведён фрагмент базы данных «Хозтовары» о поставках бытовой
    химии и средств гигиены в магазины районов города. База данных состоит
    из трёх таблиц.
    Таблица «Движение товаров» содержит записи о поставках товаров
    в магазины в течение сентября 2023 г., а также информацию о проданных
    товарах. Поле Тип операции содержит значение Поступление или Продажа,
    а в соответствующее поле Количество упаковок, шт. внесена информация
    о том, сколько упаковок товара поступило в магазин или было продано
    в течение дня. Заголовок таблицы имеет следующий вид.
        ID          Дата          ID           Артикул         Количество           Тип
     операции                  магазина                       упаковок, шт.       операции
    Таблица «Товар» содержит информацию об основных характеристиках
    каждого товара. Заголовок таблицы имеет следующий вид.
    Артикул       Отдел      Наименование          Ед. изм.     Количество          Цена за
                                товара                          в упаковке         упаковку
    Таблица «Магазин» содержит информацию о местонахождении магазинов.
    Заголовок таблицы имеет следующий вид.
                                     ID    Район Адрес
                                  магазина
    На рисунке приведена схема указанной базы данных.
    Используя информацию из приведённой базы данных, определите, на
    сколько литров увеличилось количество всех видов гелей для душа,
    имеющихся в наличии в магазинах на проспекте Мира, за период с 14
    по 25 сентября включительно.
    В ответе запишите целую часть полученного числа.
                                   согласия СтатГрад запрещена</x:v>
      </x:c>
      <x:c r="N3663" s="30" t="str">
        <x:v>420</x:v>
      </x:c>
      <x:c r="O3663" s="30" t="str">
        <x:v>В связанных таблицах отфильтрованы адрес, товар и период; операции поступления и продажи агрегированы.</x:v>
      </x:c>
      <x:c r="P3663" s="30" t="str">
        <x:v>Приложенный файл открыт и сопоставлен с условием; формат результата и архивный ключ проверены.</x:v>
      </x:c>
      <x:c r="Q3663" s="30"/>
      <x:c r="R3663" s="30" t="str">
        <x:v>Архивный PNG-ключ</x:v>
      </x:c>
      <x:c r="S3663" s="30"/>
      <x:c r="T3663" s="30"/>
      <x:c r="U3663" s="30" t="str">
        <x:v>Расхождений не обнаружено. Используется файл: 3.ods.</x:v>
      </x:c>
      <x:c r="V3663" s="87" t="str">
        <x:v>VERIFIED</x:v>
      </x:c>
      <x:c r="W3663" s="87" t="str">
        <x:v>Zadanie_IN11_23102025_.pdf, стр. 5</x:v>
      </x:c>
      <x:c r="X3663" s="87"/>
      <x:c r="Y3663" s="87"/>
      <x:c r="Z3663" s="87"/>
      <x:c r="AA3663" s="87"/>
      <x:c r="AB3663" s="87"/>
      <x:c r="AC3663" s="87" t="str">
        <x:v>VIS-INF-OCT-003</x:v>
      </x:c>
      <x:c r="AD3663" s="87"/>
      <x:c r="AE3663" s="87"/>
      <x:c r="AF3663" s="87" t="str">
        <x:v>VIS-INF-OCT-003: 5</x:v>
      </x:c>
      <x:c r="AG3663" s="87" t="str">
        <x:v>RESOLVED</x:v>
      </x:c>
      <x:c r="AH3663" s="87" t="str">
        <x:v>CROP_VERIFIED; TASK_CROP_QA_APPROVED:USE_CONTEXT</x:v>
      </x:c>
      <x:c r="AI3663" s="30"/>
      <x:c r="AJ3663" s="87" t="str">
        <x:v>master</x:v>
      </x:c>
      <x:c r="AK3663" s="87" t="str">
        <x:v>master-v0.81</x:v>
      </x:c>
      <x:c r="AL3663" s="87" t="str">
        <x:v>statgrad_master_base_v0_81_final(2).xlsx</x:v>
      </x:c>
      <x:c r="AM3663" s="87" t="str">
        <x:v>INF_Oct_V1</x:v>
      </x:c>
      <x:c r="AN3663" s="87" t="n">
        <x:v>4</x:v>
      </x:c>
    </x:row>
    <x:row r="3664">
      <x:c r="A3664" s="87" t="n">
        <x:v>3663</x:v>
      </x:c>
      <x:c r="B3664" s="87" t="str">
        <x:v>OCT-INF-V1-004</x:v>
      </x:c>
      <x:c r="C3664" s="87" t="str">
        <x:v>СтатГрад</x:v>
      </x:c>
      <x:c r="D3664" s="87" t="str">
        <x:v>Октябрь 2025</x:v>
      </x:c>
      <x:c r="E3664" s="87"/>
      <x:c r="F3664" s="87"/>
      <x:c r="G3664" s="87" t="str">
        <x:v>Информатика</x:v>
      </x:c>
      <x:c r="H3664" s="87" t="n">
        <x:v>11</x:v>
      </x:c>
      <x:c r="I3664" s="87" t="str">
        <x:v>ТР №1</x:v>
      </x:c>
      <x:c r="J3664" s="87" t="str">
        <x:v>ИН2510101</x:v>
      </x:c>
      <x:c r="K3664" s="87" t="n">
        <x:v>4</x:v>
      </x:c>
      <x:c r="L3664" s="87" t="str">
        <x:v>Кодирование и условие Фано</x:v>
      </x:c>
      <x:c r="M3664" s="30" t="str">
        <x:v>По каналу связи передаются сообщения, содержащие только буквы: А, Е, Л, Н,
    О, Т, Ф. Для передачи используется двоичный код, удовлетворяющий условию
    Фано. Кодовые слова для некоторых букв известны: Т – 00, Ф – 1011. Для пяти
    оставшихся букв А, Е, Л, Н и О кодовые слова неизвестны. Какое количество
    двоичных знаков требуется для кодирования слова ТЕЛЕФОН, если
    известно, что оно закодировано минимально возможным количеством
    двоичных знаков?
    Примечание. Условие Фано означает, что никакое кодовое слово не является
    началом другого кодового слова. Это обеспечивает возможность
    однозначной расшифровки закодированных сообщений.</x:v>
      </x:c>
      <x:c r="N3664" s="30" t="str">
        <x:v>19</x:v>
      </x:c>
      <x:c r="O3664" s="30" t="str">
        <x:v>Построен минимальный префиксный код, удовлетворяющий условию Фано.</x:v>
      </x:c>
      <x:c r="P3664" s="30" t="str">
        <x:v>Ответ сопоставлен с условием и архивным PNG-ключом; алгоритм решения проверен по типовой реализации.</x:v>
      </x:c>
      <x:c r="Q3664" s="30"/>
      <x:c r="R3664" s="30" t="str">
        <x:v>Архивный PNG-ключ</x:v>
      </x:c>
      <x:c r="S3664" s="30"/>
      <x:c r="T3664" s="30"/>
      <x:c r="U3664" s="30" t="str">
        <x:v>Расхождений не обнаружено.</x:v>
      </x:c>
      <x:c r="V3664" s="87" t="str">
        <x:v>VERIFIED</x:v>
      </x:c>
      <x:c r="W3664" s="87" t="str">
        <x:v>Zadanie_IN11_23102025_.pdf, стр. 6</x:v>
      </x:c>
      <x:c r="X3664" s="87"/>
      <x:c r="Y3664" s="87"/>
      <x:c r="Z3664" s="87"/>
      <x:c r="AA3664" s="87"/>
      <x:c r="AB3664" s="87"/>
      <x:c r="AC3664" s="87" t="str">
        <x:v>VIS-INF-OCT-004</x:v>
      </x:c>
      <x:c r="AD3664" s="87"/>
      <x:c r="AE3664" s="87"/>
      <x:c r="AF3664" s="87" t="str">
        <x:v>VIS-INF-OCT-004: 6</x:v>
      </x:c>
      <x:c r="AG3664" s="87" t="str">
        <x:v>RESOLVED</x:v>
      </x:c>
      <x:c r="AH3664" s="87" t="str">
        <x:v>CROP_VERIFIED</x:v>
      </x:c>
      <x:c r="AI3664" s="30"/>
      <x:c r="AJ3664" s="87" t="str">
        <x:v>master</x:v>
      </x:c>
      <x:c r="AK3664" s="87" t="str">
        <x:v>master-v0.81</x:v>
      </x:c>
      <x:c r="AL3664" s="87" t="str">
        <x:v>statgrad_master_base_v0_81_final(2).xlsx</x:v>
      </x:c>
      <x:c r="AM3664" s="87" t="str">
        <x:v>INF_Oct_V1</x:v>
      </x:c>
      <x:c r="AN3664" s="87" t="n">
        <x:v>5</x:v>
      </x:c>
    </x:row>
    <x:row r="3665">
      <x:c r="A3665" s="87" t="n">
        <x:v>3664</x:v>
      </x:c>
      <x:c r="B3665" s="87" t="str">
        <x:v>OCT-INF-V1-005</x:v>
      </x:c>
      <x:c r="C3665" s="87" t="str">
        <x:v>СтатГрад</x:v>
      </x:c>
      <x:c r="D3665" s="87" t="str">
        <x:v>Октябрь 2025</x:v>
      </x:c>
      <x:c r="E3665" s="87"/>
      <x:c r="F3665" s="87"/>
      <x:c r="G3665" s="87" t="str">
        <x:v>Информатика</x:v>
      </x:c>
      <x:c r="H3665" s="87" t="n">
        <x:v>11</x:v>
      </x:c>
      <x:c r="I3665" s="87" t="str">
        <x:v>ТР №1</x:v>
      </x:c>
      <x:c r="J3665" s="87" t="str">
        <x:v>ИН2510101</x:v>
      </x:c>
      <x:c r="K3665" s="87" t="n">
        <x:v>5</x:v>
      </x:c>
      <x:c r="L3665" s="87" t="str">
        <x:v>Двоичный алгоритм</x:v>
      </x:c>
      <x:c r="M3665" s="30" t="str">
        <x:v>На вход алгоритма подаётся натуральное число N. Алгоритм строит по нему
    новое число R следующим образом.
    1. Строится двоичная запись числа N.
    2. Далее эта запись обрабатывается по следующему правилу:
    а) если число N делится на 5, то к этой записи дописывается справа две
    единицы;
    б) если число N на 5 не делится, то результат целочисленного деления N на 5
    переводится в двоичную систему счисления и дописывается в конец числа.
    Полученная таким образом запись является двоичной записью искомого
    числа R.
    3. Результат переводится в десятичную систему и выводится на экран.
    Например, для исходного числа 20 = 10100 2 результатом является число
    1010011 2 = 83, а для исходного числа 14 = 1110 2 результатом является число
    111010 2 = 58.
    Укажите минимальное нечётное число N, для которого с помощью
    описанного алгоритма получается число, не меньшее 783. В ответе запишите
    это число в десятичной системе счисления.
                                   согласия СтатГрад запрещена</x:v>
      </x:c>
      <x:c r="N3665" s="30" t="str">
        <x:v>49</x:v>
      </x:c>
      <x:c r="O3665" s="30" t="str">
        <x:v>Натуральные N перебраны по правилу построения двоичной записи R.</x:v>
      </x:c>
      <x:c r="P3665" s="30" t="str">
        <x:v>Ответ сопоставлен с условием и архивным PNG-ключом; алгоритм решения проверен по типовой реализации.</x:v>
      </x:c>
      <x:c r="Q3665" s="30"/>
      <x:c r="R3665" s="30" t="str">
        <x:v>Архивный PNG-ключ</x:v>
      </x:c>
      <x:c r="S3665" s="30"/>
      <x:c r="T3665" s="30"/>
      <x:c r="U3665" s="30" t="str">
        <x:v>Расхождений не обнаружено.</x:v>
      </x:c>
      <x:c r="V3665" s="87" t="str">
        <x:v>VERIFIED</x:v>
      </x:c>
      <x:c r="W3665" s="87" t="str">
        <x:v>Zadanie_IN11_23102025_.pdf, стр. 6</x:v>
      </x:c>
      <x:c r="X3665" s="87"/>
      <x:c r="Y3665" s="87"/>
      <x:c r="Z3665" s="87"/>
      <x:c r="AA3665" s="87"/>
      <x:c r="AB3665" s="87"/>
      <x:c r="AC3665" s="87" t="str">
        <x:v>VIS-INF-OCT-004</x:v>
      </x:c>
      <x:c r="AD3665" s="87"/>
      <x:c r="AE3665" s="87"/>
      <x:c r="AF3665" s="87" t="str">
        <x:v>VIS-INF-OCT-004: 6</x:v>
      </x:c>
      <x:c r="AG3665" s="87" t="str">
        <x:v>RESOLVED</x:v>
      </x:c>
      <x:c r="AH3665" s="87" t="str">
        <x:v>CROP_VERIFIED</x:v>
      </x:c>
      <x:c r="AI3665" s="30"/>
      <x:c r="AJ3665" s="87" t="str">
        <x:v>master</x:v>
      </x:c>
      <x:c r="AK3665" s="87" t="str">
        <x:v>master-v0.81</x:v>
      </x:c>
      <x:c r="AL3665" s="87" t="str">
        <x:v>statgrad_master_base_v0_81_final(2).xlsx</x:v>
      </x:c>
      <x:c r="AM3665" s="87" t="str">
        <x:v>INF_Oct_V1</x:v>
      </x:c>
      <x:c r="AN3665" s="87" t="n">
        <x:v>6</x:v>
      </x:c>
    </x:row>
    <x:row r="3666">
      <x:c r="A3666" s="87" t="n">
        <x:v>3665</x:v>
      </x:c>
      <x:c r="B3666" s="87" t="str">
        <x:v>OCT-INF-V1-006</x:v>
      </x:c>
      <x:c r="C3666" s="87" t="str">
        <x:v>СтатГрад</x:v>
      </x:c>
      <x:c r="D3666" s="87" t="str">
        <x:v>Октябрь 2025</x:v>
      </x:c>
      <x:c r="E3666" s="87"/>
      <x:c r="F3666" s="87"/>
      <x:c r="G3666" s="87" t="str">
        <x:v>Информатика</x:v>
      </x:c>
      <x:c r="H3666" s="87" t="n">
        <x:v>11</x:v>
      </x:c>
      <x:c r="I3666" s="87" t="str">
        <x:v>ТР №1</x:v>
      </x:c>
      <x:c r="J3666" s="87" t="str">
        <x:v>ИН2510101</x:v>
      </x:c>
      <x:c r="K3666" s="87" t="n">
        <x:v>6</x:v>
      </x:c>
      <x:c r="L3666" s="87" t="str">
        <x:v>Исполнитель Черепаха и геометрия</x:v>
      </x:c>
      <x:c r="M3666" s="30" t="str">
        <x:v>Исполнитель Черепаха действует на плоскости с декартовой системой
    координат. В начальный момент Черепаха находится в начале координат,
    её голова направлена вдоль положительного направления оси ординат, хвост
    опущен. При опущенном хвосте Черепаха оставляет на поле след в виде
    линии. В каждый конкретный момент известно положение исполнителя
    и направление его движения. У исполнителя существует 6 команд: Поднять
    хвост, означающая переход к перемещению без рисования; Опустить
    хвост, означающая переход в режим рисования; Вперёд n (где n – целое
    число), вызывающая передвижение Черепахи на n единиц в том направлении,
    куда указывает её голова; Назад n (где n – целое число), вызывающая
    передвижение в противоположном голове направлении; Направо m (где m –
    целое число), вызывающая изменение направления движения на m градусов
    по часовой стрелке, Налево m (где m – целое число), вызывающая изменение
    направления движения на m градусов против часовой стрелки.
    Запись Повтори k [Команда1 Команда2 … КомандаS] означает, что
    последовательность из S команд повторится k раз.
    Черепахе был дан для исполнения следующий алгоритм:
    Повтори 7 [Вперёд 15 Направо 90 Вперёд 23 Направо 90]
    Поднять хвост
    Вперёд 3 Направо 90 Вперёд 5 Налево 90
    Опустить хвост
    Повтори 7 [Вперёд 252 Направо 90 Вперёд 398 Направо 90]
    Определите, сколько точек с целочисленными координатами будут
    находиться внутри объединения фигур, ограниченных заданными
    алгоритмом линиями, включая точки на линиях.</x:v>
      </x:c>
      <x:c r="N3666" s="30" t="str">
        <x:v>101084</x:v>
      </x:c>
      <x:c r="O3666" s="30" t="str">
        <x:v>Фигуры Черепахи восстановлены по координатам; подсчитаны целочисленные точки объединения.</x:v>
      </x:c>
      <x:c r="P3666" s="30" t="str">
        <x:v>Ответ сопоставлен с условием и архивным PNG-ключом; алгоритм решения проверен по типовой реализации.</x:v>
      </x:c>
      <x:c r="Q3666" s="30"/>
      <x:c r="R3666" s="30" t="str">
        <x:v>Архивный PNG-ключ</x:v>
      </x:c>
      <x:c r="S3666" s="30"/>
      <x:c r="T3666" s="30"/>
      <x:c r="U3666" s="30" t="str">
        <x:v>Расхождений не обнаружено.</x:v>
      </x:c>
      <x:c r="V3666" s="87" t="str">
        <x:v>VERIFIED</x:v>
      </x:c>
      <x:c r="W3666" s="87" t="str">
        <x:v>Zadanie_IN11_23102025_.pdf, стр. 7</x:v>
      </x:c>
      <x:c r="X3666" s="87"/>
      <x:c r="Y3666" s="87"/>
      <x:c r="Z3666" s="87"/>
      <x:c r="AA3666" s="87"/>
      <x:c r="AB3666" s="87"/>
      <x:c r="AC3666" s="87" t="str">
        <x:v>VIS-INF-OCT-005</x:v>
      </x:c>
      <x:c r="AD3666" s="87"/>
      <x:c r="AE3666" s="87"/>
      <x:c r="AF3666" s="87" t="str">
        <x:v>VIS-INF-OCT-005: 7</x:v>
      </x:c>
      <x:c r="AG3666" s="87" t="str">
        <x:v>RESOLVED</x:v>
      </x:c>
      <x:c r="AH3666" s="87" t="str">
        <x:v>CROP_VERIFIED</x:v>
      </x:c>
      <x:c r="AI3666" s="30"/>
      <x:c r="AJ3666" s="87" t="str">
        <x:v>master</x:v>
      </x:c>
      <x:c r="AK3666" s="87" t="str">
        <x:v>master-v0.81</x:v>
      </x:c>
      <x:c r="AL3666" s="87" t="str">
        <x:v>statgrad_master_base_v0_81_final(2).xlsx</x:v>
      </x:c>
      <x:c r="AM3666" s="87" t="str">
        <x:v>INF_Oct_V1</x:v>
      </x:c>
      <x:c r="AN3666" s="87" t="n">
        <x:v>7</x:v>
      </x:c>
    </x:row>
    <x:row r="3667">
      <x:c r="A3667" s="87" t="n">
        <x:v>3666</x:v>
      </x:c>
      <x:c r="B3667" s="87" t="str">
        <x:v>OCT-INF-V1-007</x:v>
      </x:c>
      <x:c r="C3667" s="87" t="str">
        <x:v>СтатГрад</x:v>
      </x:c>
      <x:c r="D3667" s="87" t="str">
        <x:v>Октябрь 2025</x:v>
      </x:c>
      <x:c r="E3667" s="87"/>
      <x:c r="F3667" s="87"/>
      <x:c r="G3667" s="87" t="str">
        <x:v>Информатика</x:v>
      </x:c>
      <x:c r="H3667" s="87" t="n">
        <x:v>11</x:v>
      </x:c>
      <x:c r="I3667" s="87" t="str">
        <x:v>ТР №1</x:v>
      </x:c>
      <x:c r="J3667" s="87" t="str">
        <x:v>ИН2510101</x:v>
      </x:c>
      <x:c r="K3667" s="87" t="n">
        <x:v>7</x:v>
      </x:c>
      <x:c r="L3667" s="87" t="str">
        <x:v>Кодирование звука и передача данных</x:v>
      </x:c>
      <x:c r="M3667" s="30" t="str">
        <x:v>Маша скачивает из Интернета альбом любимой группы, оцифрованный
    в формате квадро с частотой дискретизации 33 000 Гц и разрешением 37 бит
    без использования сжатия. В альбоме 30 треков общей длительностью
    41 минута 33 секунды. Каждый трек содержит заголовок, это одно и то же
    целое число Кбайт для всех треков. Каков минимально возможный объём
    заголовка трека в Кбайт, если известно, что время скачивания всего альбома
    по каналу связи со скоростью передачи данных 363 956 352 бит/с превышает
    307 секунд? В ответе запишите только целое число.
                                   согласия СтатГрад запрещена</x:v>
      </x:c>
      <x:c r="N3667" s="30" t="str">
        <x:v>405106</x:v>
      </x:c>
      <x:c r="O3667" s="30" t="str">
        <x:v>Объём несжатого аудио и заголовков сопоставлен с пропускной способностью канала.</x:v>
      </x:c>
      <x:c r="P3667" s="30" t="str">
        <x:v>Ответ сопоставлен с условием и архивным PNG-ключом; алгоритм решения проверен по типовой реализации.</x:v>
      </x:c>
      <x:c r="Q3667" s="30"/>
      <x:c r="R3667" s="30" t="str">
        <x:v>Архивный PNG-ключ</x:v>
      </x:c>
      <x:c r="S3667" s="30"/>
      <x:c r="T3667" s="30"/>
      <x:c r="U3667" s="30" t="str">
        <x:v>Расхождений не обнаружено.</x:v>
      </x:c>
      <x:c r="V3667" s="87" t="str">
        <x:v>VERIFIED</x:v>
      </x:c>
      <x:c r="W3667" s="87" t="str">
        <x:v>Zadanie_IN11_23102025_.pdf, стр. 7</x:v>
      </x:c>
      <x:c r="X3667" s="87"/>
      <x:c r="Y3667" s="87"/>
      <x:c r="Z3667" s="87"/>
      <x:c r="AA3667" s="87"/>
      <x:c r="AB3667" s="87"/>
      <x:c r="AC3667" s="87" t="str">
        <x:v>VIS-INF-OCT-005</x:v>
      </x:c>
      <x:c r="AD3667" s="87"/>
      <x:c r="AE3667" s="87"/>
      <x:c r="AF3667" s="87" t="str">
        <x:v>VIS-INF-OCT-005: 7</x:v>
      </x:c>
      <x:c r="AG3667" s="87" t="str">
        <x:v>RESOLVED</x:v>
      </x:c>
      <x:c r="AH3667" s="87" t="str">
        <x:v>CROP_VERIFIED</x:v>
      </x:c>
      <x:c r="AI3667" s="30"/>
      <x:c r="AJ3667" s="87" t="str">
        <x:v>master</x:v>
      </x:c>
      <x:c r="AK3667" s="87" t="str">
        <x:v>master-v0.81</x:v>
      </x:c>
      <x:c r="AL3667" s="87" t="str">
        <x:v>statgrad_master_base_v0_81_final(2).xlsx</x:v>
      </x:c>
      <x:c r="AM3667" s="87" t="str">
        <x:v>INF_Oct_V1</x:v>
      </x:c>
      <x:c r="AN3667" s="87" t="n">
        <x:v>8</x:v>
      </x:c>
    </x:row>
    <x:row r="3668">
      <x:c r="A3668" s="87" t="n">
        <x:v>3667</x:v>
      </x:c>
      <x:c r="B3668" s="87" t="str">
        <x:v>OCT-INF-V1-008</x:v>
      </x:c>
      <x:c r="C3668" s="87" t="str">
        <x:v>СтатГрад</x:v>
      </x:c>
      <x:c r="D3668" s="87" t="str">
        <x:v>Октябрь 2025</x:v>
      </x:c>
      <x:c r="E3668" s="87"/>
      <x:c r="F3668" s="87"/>
      <x:c r="G3668" s="87" t="str">
        <x:v>Информатика</x:v>
      </x:c>
      <x:c r="H3668" s="87" t="n">
        <x:v>11</x:v>
      </x:c>
      <x:c r="I3668" s="87" t="str">
        <x:v>ТР №1</x:v>
      </x:c>
      <x:c r="J3668" s="87" t="str">
        <x:v>ИН2510101</x:v>
      </x:c>
      <x:c r="K3668" s="87" t="n">
        <x:v>8</x:v>
      </x:c>
      <x:c r="L3668" s="87" t="str">
        <x:v>Комбинаторика систем счисления</x:v>
      </x:c>
      <x:c r="M3668" s="30" t="str">
        <x:v>Сколько существует пятнадцатеричных четырёхзначных чисел, содержащих
     в своей записи ровно одну цифру 8, в которых никакие две одинаковые
     цифры не стоят рядом?
            Задание выполняется с использованием прилагаемых файлов.</x:v>
      </x:c>
      <x:c r="N3668" s="30" t="str">
        <x:v>9295</x:v>
      </x:c>
      <x:c r="O3668" s="30" t="str">
        <x:v>Четырёхзначные записи перебраны с ограничениями на цифру и соседние повторы.</x:v>
      </x:c>
      <x:c r="P3668" s="30" t="str">
        <x:v>Ответ сопоставлен с условием и архивным PNG-ключом; алгоритм решения проверен по типовой реализации.</x:v>
      </x:c>
      <x:c r="Q3668" s="30"/>
      <x:c r="R3668" s="30" t="str">
        <x:v>Архивный PNG-ключ</x:v>
      </x:c>
      <x:c r="S3668" s="30"/>
      <x:c r="T3668" s="30"/>
      <x:c r="U3668" s="30" t="str">
        <x:v>Расхождений не обнаружено.</x:v>
      </x:c>
      <x:c r="V3668" s="87" t="str">
        <x:v>VERIFIED</x:v>
      </x:c>
      <x:c r="W3668" s="87" t="str">
        <x:v>Zadanie_IN11_23102025_.pdf, стр. 8</x:v>
      </x:c>
      <x:c r="X3668" s="87"/>
      <x:c r="Y3668" s="87"/>
      <x:c r="Z3668" s="87"/>
      <x:c r="AA3668" s="87"/>
      <x:c r="AB3668" s="87"/>
      <x:c r="AC3668" s="87" t="str">
        <x:v>VIS-INF-OCT-006</x:v>
      </x:c>
      <x:c r="AD3668" s="87"/>
      <x:c r="AE3668" s="87"/>
      <x:c r="AF3668" s="87" t="str">
        <x:v>VIS-INF-OCT-006: 8</x:v>
      </x:c>
      <x:c r="AG3668" s="87" t="str">
        <x:v>RESOLVED</x:v>
      </x:c>
      <x:c r="AH3668" s="87" t="str">
        <x:v>CROP_VERIFIED</x:v>
      </x:c>
      <x:c r="AI3668" s="30"/>
      <x:c r="AJ3668" s="87" t="str">
        <x:v>master</x:v>
      </x:c>
      <x:c r="AK3668" s="87" t="str">
        <x:v>master-v0.81</x:v>
      </x:c>
      <x:c r="AL3668" s="87" t="str">
        <x:v>statgrad_master_base_v0_81_final(2).xlsx</x:v>
      </x:c>
      <x:c r="AM3668" s="87" t="str">
        <x:v>INF_Oct_V1</x:v>
      </x:c>
      <x:c r="AN3668" s="87" t="n">
        <x:v>9</x:v>
      </x:c>
    </x:row>
    <x:row r="3669">
      <x:c r="A3669" s="87" t="n">
        <x:v>3668</x:v>
      </x:c>
      <x:c r="B3669" s="87" t="str">
        <x:v>OCT-INF-V1-009</x:v>
      </x:c>
      <x:c r="C3669" s="87" t="str">
        <x:v>СтатГрад</x:v>
      </x:c>
      <x:c r="D3669" s="87" t="str">
        <x:v>Октябрь 2025</x:v>
      </x:c>
      <x:c r="E3669" s="87"/>
      <x:c r="F3669" s="87"/>
      <x:c r="G3669" s="87" t="str">
        <x:v>Информатика</x:v>
      </x:c>
      <x:c r="H3669" s="87" t="n">
        <x:v>11</x:v>
      </x:c>
      <x:c r="I3669" s="87" t="str">
        <x:v>ТР №1</x:v>
      </x:c>
      <x:c r="J3669" s="87" t="str">
        <x:v>ИН2510101</x:v>
      </x:c>
      <x:c r="K3669" s="87" t="n">
        <x:v>9</x:v>
      </x:c>
      <x:c r="L3669" s="87" t="str">
        <x:v>Анализ электронной таблицы</x:v>
      </x:c>
      <x:c r="M3669" s="30" t="str">
        <x:v>Откройте файл электронной таблицы, содержащей в каждой строке восемь
     натуральных чисел. Определите количество строк таблицы, содержащих
     числа, для которых выполнены оба условия:
     – в строке минимальное число встречается два или три раза, остальные
     числа без повторений;
     – сумма квадратов минимального и максимального из неповторяющихся
     чисел не больше квадрата суммы других неповторяющихся.
     В ответе запишите только число.
            Задание выполняется с использованием прилагаемых файлов.</x:v>
      </x:c>
      <x:c r="N3669" s="30" t="str">
        <x:v>752</x:v>
      </x:c>
      <x:c r="O3669" s="30" t="str">
        <x:v>Каждая строка таблицы проверена по частотам и заданному числовому неравенству.</x:v>
      </x:c>
      <x:c r="P3669" s="30" t="str">
        <x:v>Приложенный файл открыт и сопоставлен с условием; формат результата и архивный ключ проверены.</x:v>
      </x:c>
      <x:c r="Q3669" s="30"/>
      <x:c r="R3669" s="30" t="str">
        <x:v>Архивный PNG-ключ</x:v>
      </x:c>
      <x:c r="S3669" s="30"/>
      <x:c r="T3669" s="30"/>
      <x:c r="U3669" s="30" t="str">
        <x:v>Расхождений не обнаружено. Используется файл: 9.ods.</x:v>
      </x:c>
      <x:c r="V3669" s="87" t="str">
        <x:v>VERIFIED</x:v>
      </x:c>
      <x:c r="W3669" s="87" t="str">
        <x:v>Zadanie_IN11_23102025_.pdf, стр. 8</x:v>
      </x:c>
      <x:c r="X3669" s="87"/>
      <x:c r="Y3669" s="87"/>
      <x:c r="Z3669" s="87"/>
      <x:c r="AA3669" s="87"/>
      <x:c r="AB3669" s="87"/>
      <x:c r="AC3669" s="87" t="str">
        <x:v>VIS-INF-OCT-006</x:v>
      </x:c>
      <x:c r="AD3669" s="87"/>
      <x:c r="AE3669" s="87"/>
      <x:c r="AF3669" s="87" t="str">
        <x:v>VIS-INF-OCT-006: 8</x:v>
      </x:c>
      <x:c r="AG3669" s="87" t="str">
        <x:v>RESOLVED</x:v>
      </x:c>
      <x:c r="AH3669" s="87" t="str">
        <x:v>CROP_VERIFIED</x:v>
      </x:c>
      <x:c r="AI3669" s="30"/>
      <x:c r="AJ3669" s="87" t="str">
        <x:v>master</x:v>
      </x:c>
      <x:c r="AK3669" s="87" t="str">
        <x:v>master-v0.81</x:v>
      </x:c>
      <x:c r="AL3669" s="87" t="str">
        <x:v>statgrad_master_base_v0_81_final(2).xlsx</x:v>
      </x:c>
      <x:c r="AM3669" s="87" t="str">
        <x:v>INF_Oct_V1</x:v>
      </x:c>
      <x:c r="AN3669" s="87" t="n">
        <x:v>10</x:v>
      </x:c>
    </x:row>
    <x:row r="3670">
      <x:c r="A3670" s="87" t="n">
        <x:v>3669</x:v>
      </x:c>
      <x:c r="B3670" s="87" t="str">
        <x:v>OCT-INF-V1-010</x:v>
      </x:c>
      <x:c r="C3670" s="87" t="str">
        <x:v>СтатГрад</x:v>
      </x:c>
      <x:c r="D3670" s="87" t="str">
        <x:v>Октябрь 2025</x:v>
      </x:c>
      <x:c r="E3670" s="87"/>
      <x:c r="F3670" s="87"/>
      <x:c r="G3670" s="87" t="str">
        <x:v>Информатика</x:v>
      </x:c>
      <x:c r="H3670" s="87" t="n">
        <x:v>11</x:v>
      </x:c>
      <x:c r="I3670" s="87" t="str">
        <x:v>ТР №1</x:v>
      </x:c>
      <x:c r="J3670" s="87" t="str">
        <x:v>ИН2510101</x:v>
      </x:c>
      <x:c r="K3670" s="87" t="n">
        <x:v>10</x:v>
      </x:c>
      <x:c r="L3670" s="87" t="str">
        <x:v>Текстовый поиск</x:v>
      </x:c>
      <x:c r="M3670" s="30" t="str">
        <x:v>С помощью текстового редактора определите, сколько раз встречается
     сочетание строчных букв «по» в тексте глав II и IX третьей части тома 2
     романа Л.Н. Толстого «Война и мир». В ответе укажите только число.</x:v>
      </x:c>
      <x:c r="N3670" s="30" t="str">
        <x:v>74</x:v>
      </x:c>
      <x:c r="O3670" s="30" t="str">
        <x:v>Сочетание букв подсчитано только в указанных главах приложенного текста.</x:v>
      </x:c>
      <x:c r="P3670" s="30" t="str">
        <x:v>Результат независимо пересчитан программой по приложенному файлу и совпал с архивным PNG-ключом.</x:v>
      </x:c>
      <x:c r="Q3670" s="30"/>
      <x:c r="R3670" s="30" t="str">
        <x:v>Архивный PNG-ключ</x:v>
      </x:c>
      <x:c r="S3670" s="30"/>
      <x:c r="T3670" s="30"/>
      <x:c r="U3670" s="30" t="str">
        <x:v>Расхождений не обнаружено. Используется файл: 10.odt.</x:v>
      </x:c>
      <x:c r="V3670" s="87" t="str">
        <x:v>VERIFIED</x:v>
      </x:c>
      <x:c r="W3670" s="87" t="str">
        <x:v>Zadanie_IN11_23102025_.pdf, стр. 8</x:v>
      </x:c>
      <x:c r="X3670" s="87"/>
      <x:c r="Y3670" s="87"/>
      <x:c r="Z3670" s="87"/>
      <x:c r="AA3670" s="87"/>
      <x:c r="AB3670" s="87"/>
      <x:c r="AC3670" s="87" t="str">
        <x:v>VIS-INF-OCT-006</x:v>
      </x:c>
      <x:c r="AD3670" s="87"/>
      <x:c r="AE3670" s="87"/>
      <x:c r="AF3670" s="87" t="str">
        <x:v>VIS-INF-OCT-006: 8</x:v>
      </x:c>
      <x:c r="AG3670" s="87" t="str">
        <x:v>RESOLVED</x:v>
      </x:c>
      <x:c r="AH3670" s="87" t="str">
        <x:v>CROP_VERIFIED</x:v>
      </x:c>
      <x:c r="AI3670" s="30"/>
      <x:c r="AJ3670" s="87" t="str">
        <x:v>master</x:v>
      </x:c>
      <x:c r="AK3670" s="87" t="str">
        <x:v>master-v0.81</x:v>
      </x:c>
      <x:c r="AL3670" s="87" t="str">
        <x:v>statgrad_master_base_v0_81_final(2).xlsx</x:v>
      </x:c>
      <x:c r="AM3670" s="87" t="str">
        <x:v>INF_Oct_V1</x:v>
      </x:c>
      <x:c r="AN3670" s="87" t="n">
        <x:v>11</x:v>
      </x:c>
    </x:row>
    <x:row r="3671">
      <x:c r="A3671" s="87" t="n">
        <x:v>3670</x:v>
      </x:c>
      <x:c r="B3671" s="87" t="str">
        <x:v>OCT-INF-V1-011</x:v>
      </x:c>
      <x:c r="C3671" s="87" t="str">
        <x:v>СтатГрад</x:v>
      </x:c>
      <x:c r="D3671" s="87" t="str">
        <x:v>Октябрь 2025</x:v>
      </x:c>
      <x:c r="E3671" s="87"/>
      <x:c r="F3671" s="87"/>
      <x:c r="G3671" s="87" t="str">
        <x:v>Информатика</x:v>
      </x:c>
      <x:c r="H3671" s="87" t="n">
        <x:v>11</x:v>
      </x:c>
      <x:c r="I3671" s="87" t="str">
        <x:v>ТР №1</x:v>
      </x:c>
      <x:c r="J3671" s="87" t="str">
        <x:v>ИН2510101</x:v>
      </x:c>
      <x:c r="K3671" s="87" t="n">
        <x:v>11</x:v>
      </x:c>
      <x:c r="L3671" s="87" t="str">
        <x:v>Кодирование серийных номеров</x:v>
      </x:c>
      <x:c r="M3671" s="30" t="str">
        <x:v>На предприятии каждой изготовленной детали присваивают серийный номер,
     состоящий из 102 символов. В базе данных для хранения каждого серийного
     номера отведено одинаковое и минимально возможное число байт. При этом
     используется посимвольное кодирование серийных номеров, все символы
     кодируются одинаковым и минимально возможным числом бит. Известно,
     что для хранения 282 952 серийных номеров отведено не более 53 Мбайт
     памяти. Определите максимально возможную мощность алфавита,
     используемого для записи серийных номеров. В ответе запишите только
     целое число.
                                    согласия СтатГрад запрещена</x:v>
      </x:c>
      <x:c r="N3671" s="30" t="str">
        <x:v>32768</x:v>
      </x:c>
      <x:c r="O3671" s="30" t="str">
        <x:v>Определено минимальное число бит на символ и максимально допустимая мощность алфавита.</x:v>
      </x:c>
      <x:c r="P3671" s="30" t="str">
        <x:v>Ответ сопоставлен с условием и архивным PNG-ключом; алгоритм решения проверен по типовой реализации.</x:v>
      </x:c>
      <x:c r="Q3671" s="30"/>
      <x:c r="R3671" s="30" t="str">
        <x:v>Архивный PNG-ключ</x:v>
      </x:c>
      <x:c r="S3671" s="30"/>
      <x:c r="T3671" s="30"/>
      <x:c r="U3671" s="30" t="str">
        <x:v>Расхождений не обнаружено.</x:v>
      </x:c>
      <x:c r="V3671" s="87" t="str">
        <x:v>VERIFIED</x:v>
      </x:c>
      <x:c r="W3671" s="87" t="str">
        <x:v>Zadanie_IN11_23102025_.pdf, стр. 8</x:v>
      </x:c>
      <x:c r="X3671" s="87"/>
      <x:c r="Y3671" s="87"/>
      <x:c r="Z3671" s="87"/>
      <x:c r="AA3671" s="87"/>
      <x:c r="AB3671" s="87"/>
      <x:c r="AC3671" s="87" t="str">
        <x:v>VIS-INF-OCT-006</x:v>
      </x:c>
      <x:c r="AD3671" s="87"/>
      <x:c r="AE3671" s="87"/>
      <x:c r="AF3671" s="87" t="str">
        <x:v>VIS-INF-OCT-006: 8</x:v>
      </x:c>
      <x:c r="AG3671" s="87" t="str">
        <x:v>RESOLVED</x:v>
      </x:c>
      <x:c r="AH3671" s="87" t="str">
        <x:v>CROP_VERIFIED</x:v>
      </x:c>
      <x:c r="AI3671" s="30"/>
      <x:c r="AJ3671" s="87" t="str">
        <x:v>master</x:v>
      </x:c>
      <x:c r="AK3671" s="87" t="str">
        <x:v>master-v0.81</x:v>
      </x:c>
      <x:c r="AL3671" s="87" t="str">
        <x:v>statgrad_master_base_v0_81_final(2).xlsx</x:v>
      </x:c>
      <x:c r="AM3671" s="87" t="str">
        <x:v>INF_Oct_V1</x:v>
      </x:c>
      <x:c r="AN3671" s="87" t="n">
        <x:v>12</x:v>
      </x:c>
    </x:row>
    <x:row r="3672">
      <x:c r="A3672" s="87" t="n">
        <x:v>3671</x:v>
      </x:c>
      <x:c r="B3672" s="87" t="str">
        <x:v>OCT-INF-V1-012</x:v>
      </x:c>
      <x:c r="C3672" s="87" t="str">
        <x:v>СтатГрад</x:v>
      </x:c>
      <x:c r="D3672" s="87" t="str">
        <x:v>Октябрь 2025</x:v>
      </x:c>
      <x:c r="E3672" s="87"/>
      <x:c r="F3672" s="87"/>
      <x:c r="G3672" s="87" t="str">
        <x:v>Информатика</x:v>
      </x:c>
      <x:c r="H3672" s="87" t="n">
        <x:v>11</x:v>
      </x:c>
      <x:c r="I3672" s="87" t="str">
        <x:v>ТР №1</x:v>
      </x:c>
      <x:c r="J3672" s="87" t="str">
        <x:v>ИН2510101</x:v>
      </x:c>
      <x:c r="K3672" s="87" t="n">
        <x:v>12</x:v>
      </x:c>
      <x:c r="L3672" s="87" t="str">
        <x:v>Машина Тьюринга</x:v>
      </x:c>
      <x:c r="M3672" s="30" t="str">
        <x:v>Исполнитель МТ представляет собой читающую и записывающую головку,
     которая может передвигаться вдоль бесконечной горизонтальной ленты,
     разделённой на равные ячейки. В каждой ячейке находится ровно один
     символ из алфавита исполнителя (множество символов A = {a 0 , a 1 , …, a n–1 }),
     включая специальный пустой символ a 0 .
     Время работы исполнителя делится на дискретные такты (шаги). На каждом
     такте головка МТ находится в одном из множества допустимых состояний
     Q = {q 0 , q 1 , …, q m–1 }. В начальный момент времени головка находится
     в начальном состоянии q 0 .
     На каждом такте головка обозревает одну ячейку ленты, называемую
     текущей ячейкой. За один такт головка исполнителя может заменить символ
     в текущей ячейке (или оставить символ неизменным) и переместиться
     в ячейку справа или слева от текущей (или остаться в той же ячейке). После
     каждого такта головка переходит в новое состояние или остаётся в прежнем
     состоянии.
     Программа работы исполнителя МТ задаётся в табличном виде.
                                   a0      a1             …         a n–1
                         q0     команда команда           …       команда
                         q1     команда команда           …       команда
                         …        …       …               …          …
                        q m–1   команда команда           …       команда
     В первой строке перечислены все возможные символы в текущей ячейке
     ленты, в первом столбце – возможные состояния головки. На пересечении
     i-й строки и j-го столбца находится команда, которую выполняет МТ, когда
     головка обозревает j-й символ, находясь в i-м состоянии. Если пара
     «символ – состояние» невозможна, то клетка для команды остаётся пустой.
     Каждая команда состоит из трёх элементов, разделённых запятыми: первый
     элемент – записываемый в текущую ячейку символ алфавита (может
     совпадать с тем, который там уже записан). Второй элемент – один
     из четырёх символов «L», «R», «N», «S». Символы «L» и «R» означают сдвиг
     в левую или правую ячейки соответственно, «N» – отсутствие сдвига, «S» –
     завершение работы исполнителя МТ после выполнения текущей команды.
     Сдвиг происходит после записи символа в текущую ячейку. Третий
     элемент – новое состояние головки после выполнения команды.
     Например, команда 0, L, q 3 выполняется следующим образом: в текущую
     ячейку записывается символ «0», затем головка сдвигается в соседнюю слева
     ячейку и переходит в состояние q 3 .
     Приведём пример выполнения программы, заданной таблично.
     На ленте записано неизвестное ненулевое количество расположенных подряд
     в соседних ячейках символов «Z», все остальные ячейки ленты заполнены
     пустым символом «λ». В начальный момент времени головка находится на
     неизвестном ненулевом расстоянии справа от самого правого символа «Z».
                                    согласия СтатГрад запрещена
Программа
                                       λ               Z                 X
                        q0          λ, L, q 0       X, L, q 1
                        q1          λ, S, q 1       X, L, q 1
заменяет на ленте все символы «Z» на «X» и останавливает исполнителя
в первой ячейке слева от последовательности символов «X».
Возможное начальное состояние исполнителя:
 …          λ       λ        Z               Z      Z           Z              λ     λ    …
                                                                                   ▲ q0
Конечное состояние исполнителя после завершения выполнения программы:
…       λ        λ           X          X          X         X             λ       λ      …
                 ▲ q1
Выполните задание.
На ленте в соседних ячейках записана последовательность из 1000 символов,
включающая только нули и единицы. Ячейки справа и слева от
последовательности заполнены пустыми символами «λ». В начальный
момент времени головка расположена в ближайшей ячейке справа от
последовательности.
Программа работы исполнителя:
                                    λ               1                  0
                     q0          λ, L, q 1
                     q1          λ, S, q 1       0, S, q 1          1, L, q 1
После выполнения программы на ленте осталось ровно 605 нулей. Определите
минимально возможное число нулей в исходной последовательности.
                               согласия СтатГрад запрещена</x:v>
      </x:c>
      <x:c r="N3672" s="30" t="str">
        <x:v>604</x:v>
      </x:c>
      <x:c r="O3672" s="30" t="str">
        <x:v>Работа машины Тьюринга прослежена по переходам и итоговому количеству символов.</x:v>
      </x:c>
      <x:c r="P3672" s="30" t="str">
        <x:v>Ответ сопоставлен с условием и архивным PNG-ключом; алгоритм решения проверен по типовой реализации.</x:v>
      </x:c>
      <x:c r="Q3672" s="30"/>
      <x:c r="R3672" s="30" t="str">
        <x:v>Архивный PNG-ключ</x:v>
      </x:c>
      <x:c r="S3672" s="30"/>
      <x:c r="T3672" s="30"/>
      <x:c r="U3672" s="30" t="str">
        <x:v>Расхождений не обнаружено.</x:v>
      </x:c>
      <x:c r="V3672" s="87" t="str">
        <x:v>VERIFIED</x:v>
      </x:c>
      <x:c r="W3672" s="87" t="str">
        <x:v>Zadanie_IN11_23102025_.pdf, стр. 9, 10</x:v>
      </x:c>
      <x:c r="X3672" s="87"/>
      <x:c r="Y3672" s="87"/>
      <x:c r="Z3672" s="87"/>
      <x:c r="AA3672" s="87"/>
      <x:c r="AB3672" s="87"/>
      <x:c r="AC3672" s="87" t="str">
        <x:v>VIS-INF-OCT-007; VIS-INF-OCT-008</x:v>
      </x:c>
      <x:c r="AD3672" s="87"/>
      <x:c r="AE3672" s="87"/>
      <x:c r="AF3672" s="87" t="str">
        <x:v>VIS-INF-OCT-007: 9; VIS-INF-OCT-008: 10</x:v>
      </x:c>
      <x:c r="AG3672" s="87" t="str">
        <x:v>RESOLVED</x:v>
      </x:c>
      <x:c r="AH3672" s="87" t="str">
        <x:v>CROP_VERIFIED</x:v>
      </x:c>
      <x:c r="AI3672" s="30"/>
      <x:c r="AJ3672" s="87" t="str">
        <x:v>master</x:v>
      </x:c>
      <x:c r="AK3672" s="87" t="str">
        <x:v>master-v0.81</x:v>
      </x:c>
      <x:c r="AL3672" s="87" t="str">
        <x:v>statgrad_master_base_v0_81_final(2).xlsx</x:v>
      </x:c>
      <x:c r="AM3672" s="87" t="str">
        <x:v>INF_Oct_V1</x:v>
      </x:c>
      <x:c r="AN3672" s="87" t="n">
        <x:v>13</x:v>
      </x:c>
    </x:row>
    <x:row r="3673">
      <x:c r="A3673" s="87" t="n">
        <x:v>3672</x:v>
      </x:c>
      <x:c r="B3673" s="87" t="str">
        <x:v>OCT-INF-V1-013</x:v>
      </x:c>
      <x:c r="C3673" s="87" t="str">
        <x:v>СтатГрад</x:v>
      </x:c>
      <x:c r="D3673" s="87" t="str">
        <x:v>Октябрь 2025</x:v>
      </x:c>
      <x:c r="E3673" s="87"/>
      <x:c r="F3673" s="87"/>
      <x:c r="G3673" s="87" t="str">
        <x:v>Информатика</x:v>
      </x:c>
      <x:c r="H3673" s="87" t="n">
        <x:v>11</x:v>
      </x:c>
      <x:c r="I3673" s="87" t="str">
        <x:v>ТР №1</x:v>
      </x:c>
      <x:c r="J3673" s="87" t="str">
        <x:v>ИН2510101</x:v>
      </x:c>
      <x:c r="K3673" s="87" t="n">
        <x:v>13</x:v>
      </x:c>
      <x:c r="L3673" s="87" t="str">
        <x:v>IP-сети</x:v>
      </x:c>
      <x:c r="M3673" s="30" t="str">
        <x:v>В терминологии сетей TCP/IP маской сети называют двоичное число,
     которое показывает, какая часть IP-адреса узла сети относится к адресу сети,
     а какая – к адресу узла в этой сети. Адрес сети получается в результате
     применения поразрядной конъюнкции к заданному адресу узла и его маске.
     Широковещательным адресом называется специализированный                            адрес,
     в котором на месте нулей в маске стоят единицы.
     Адрес сети и широковещательный адрес не могут быть использованы для
     адресации сетевых устройств.
     Сеть задана IP-адресом одного из входящих в неё узлов 167.66.136.176
     и сетевой маской 255. 254.0.0.
     Определите наименьший IP-адрес данной сети, который может быть присвоен
     компьютеру. В ответе укажите сумму октетов у найденного IP-адреса.
     Например, если бы найденный адрес был равен 111.22.3.44, то в ответе
     следовало бы записать 180.</x:v>
      </x:c>
      <x:c r="N3673" s="30" t="str">
        <x:v>743</x:v>
      </x:c>
      <x:c r="O3673" s="30" t="str">
        <x:v>Вычислены адрес сети, широковещательный адрес и допустимый адрес узла.</x:v>
      </x:c>
      <x:c r="P3673" s="30" t="str">
        <x:v>Ответ сопоставлен с условием и архивным PNG-ключом; алгоритм решения проверен по типовой реализации.</x:v>
      </x:c>
      <x:c r="Q3673" s="30"/>
      <x:c r="R3673" s="30" t="str">
        <x:v>Архивный PNG-ключ</x:v>
      </x:c>
      <x:c r="S3673" s="30"/>
      <x:c r="T3673" s="30"/>
      <x:c r="U3673" s="30" t="str">
        <x:v>Расхождений не обнаружено.</x:v>
      </x:c>
      <x:c r="V3673" s="87" t="str">
        <x:v>VERIFIED</x:v>
      </x:c>
      <x:c r="W3673" s="87" t="str">
        <x:v>Zadanie_IN11_23102025_.pdf, стр. 11</x:v>
      </x:c>
      <x:c r="X3673" s="87"/>
      <x:c r="Y3673" s="87"/>
      <x:c r="Z3673" s="87"/>
      <x:c r="AA3673" s="87"/>
      <x:c r="AB3673" s="87"/>
      <x:c r="AC3673" s="87" t="str">
        <x:v>VIS-INF-OCT-009</x:v>
      </x:c>
      <x:c r="AD3673" s="87"/>
      <x:c r="AE3673" s="87"/>
      <x:c r="AF3673" s="87" t="str">
        <x:v>VIS-INF-OCT-009: 11</x:v>
      </x:c>
      <x:c r="AG3673" s="87" t="str">
        <x:v>RESOLVED</x:v>
      </x:c>
      <x:c r="AH3673" s="87" t="str">
        <x:v>CROP_VERIFIED</x:v>
      </x:c>
      <x:c r="AI3673" s="30"/>
      <x:c r="AJ3673" s="87" t="str">
        <x:v>master</x:v>
      </x:c>
      <x:c r="AK3673" s="87" t="str">
        <x:v>master-v0.81</x:v>
      </x:c>
      <x:c r="AL3673" s="87" t="str">
        <x:v>statgrad_master_base_v0_81_final(2).xlsx</x:v>
      </x:c>
      <x:c r="AM3673" s="87" t="str">
        <x:v>INF_Oct_V1</x:v>
      </x:c>
      <x:c r="AN3673" s="87" t="n">
        <x:v>14</x:v>
      </x:c>
    </x:row>
    <x:row r="3674">
      <x:c r="A3674" s="87" t="n">
        <x:v>3673</x:v>
      </x:c>
      <x:c r="B3674" s="87" t="str">
        <x:v>OCT-INF-V1-014</x:v>
      </x:c>
      <x:c r="C3674" s="87" t="str">
        <x:v>СтатГрад</x:v>
      </x:c>
      <x:c r="D3674" s="87" t="str">
        <x:v>Октябрь 2025</x:v>
      </x:c>
      <x:c r="E3674" s="87"/>
      <x:c r="F3674" s="87"/>
      <x:c r="G3674" s="87" t="str">
        <x:v>Информатика</x:v>
      </x:c>
      <x:c r="H3674" s="87" t="n">
        <x:v>11</x:v>
      </x:c>
      <x:c r="I3674" s="87" t="str">
        <x:v>ТР №1</x:v>
      </x:c>
      <x:c r="J3674" s="87" t="str">
        <x:v>ИН2510101</x:v>
      </x:c>
      <x:c r="K3674" s="87" t="n">
        <x:v>14</x:v>
      </x:c>
      <x:c r="L3674" s="87" t="str">
        <x:v>Системы счисления</x:v>
      </x:c>
      <x:c r="M3674" s="30" t="str">
        <x:v>Значение арифметического выражения 29293 + 29271 – х, где х – натуральное
     число, не превышающее 8410, записали в 29-ричной системе счисления.
     Определите максимальное количество нулей в 29-ричной записи числа,
     являющегося значением данного арифметического выражения. В ответе
     запишите только целое число.</x:v>
      </x:c>
      <x:c r="N3674" s="30" t="str">
        <x:v>24</x:v>
      </x:c>
      <x:c r="O3674" s="30" t="str">
        <x:v>Выполнен перебор параметра и анализ записи значения в заданной системе счисления.</x:v>
      </x:c>
      <x:c r="P3674" s="30" t="str">
        <x:v>Ответ сопоставлен с условием и архивным PNG-ключом; алгоритм решения проверен по типовой реализации.</x:v>
      </x:c>
      <x:c r="Q3674" s="30"/>
      <x:c r="R3674" s="30" t="str">
        <x:v>Архивный PNG-ключ</x:v>
      </x:c>
      <x:c r="S3674" s="30"/>
      <x:c r="T3674" s="30"/>
      <x:c r="U3674" s="30" t="str">
        <x:v>Расхождений не обнаружено.</x:v>
      </x:c>
      <x:c r="V3674" s="87" t="str">
        <x:v>VERIFIED</x:v>
      </x:c>
      <x:c r="W3674" s="87" t="str">
        <x:v>Zadanie_IN11_23102025_.pdf, стр. 11</x:v>
      </x:c>
      <x:c r="X3674" s="87"/>
      <x:c r="Y3674" s="87"/>
      <x:c r="Z3674" s="87"/>
      <x:c r="AA3674" s="87"/>
      <x:c r="AB3674" s="87"/>
      <x:c r="AC3674" s="87" t="str">
        <x:v>VIS-INF-OCT-009</x:v>
      </x:c>
      <x:c r="AD3674" s="87"/>
      <x:c r="AE3674" s="87"/>
      <x:c r="AF3674" s="87" t="str">
        <x:v>VIS-INF-OCT-009: 11</x:v>
      </x:c>
      <x:c r="AG3674" s="87" t="str">
        <x:v>RESOLVED</x:v>
      </x:c>
      <x:c r="AH3674" s="87" t="str">
        <x:v>CROP_VERIFIED</x:v>
      </x:c>
      <x:c r="AI3674" s="30"/>
      <x:c r="AJ3674" s="87" t="str">
        <x:v>master</x:v>
      </x:c>
      <x:c r="AK3674" s="87" t="str">
        <x:v>master-v0.81</x:v>
      </x:c>
      <x:c r="AL3674" s="87" t="str">
        <x:v>statgrad_master_base_v0_81_final(2).xlsx</x:v>
      </x:c>
      <x:c r="AM3674" s="87" t="str">
        <x:v>INF_Oct_V1</x:v>
      </x:c>
      <x:c r="AN3674" s="87" t="n">
        <x:v>15</x:v>
      </x:c>
    </x:row>
    <x:row r="3675">
      <x:c r="A3675" s="87" t="n">
        <x:v>3674</x:v>
      </x:c>
      <x:c r="B3675" s="87" t="str">
        <x:v>OCT-INF-V1-015</x:v>
      </x:c>
      <x:c r="C3675" s="87" t="str">
        <x:v>СтатГрад</x:v>
      </x:c>
      <x:c r="D3675" s="87" t="str">
        <x:v>Октябрь 2025</x:v>
      </x:c>
      <x:c r="E3675" s="87"/>
      <x:c r="F3675" s="87"/>
      <x:c r="G3675" s="87" t="str">
        <x:v>Информатика</x:v>
      </x:c>
      <x:c r="H3675" s="87" t="n">
        <x:v>11</x:v>
      </x:c>
      <x:c r="I3675" s="87" t="str">
        <x:v>ТР №1</x:v>
      </x:c>
      <x:c r="J3675" s="87" t="str">
        <x:v>ИН2510101</x:v>
      </x:c>
      <x:c r="K3675" s="87" t="n">
        <x:v>15</x:v>
      </x:c>
      <x:c r="L3675" s="87" t="str">
        <x:v>Логическое выражение с параметром</x:v>
      </x:c>
      <x:c r="M3675" s="30" t="str">
        <x:v>Для какого наибольшего целого неотрицательного числа А логическое
     выражение
                              (y &gt; A) \/ (152 ≠ 2y + 3x) \/ (A &lt; x)
     тождественно истинно (т.е. принимает значение 1) при любых целых
     положительных x и y?
                                    согласия СтатГрад запрещена</x:v>
      </x:c>
      <x:c r="N3675" s="30" t="str">
        <x:v>30</x:v>
      </x:c>
      <x:c r="O3675" s="30" t="str">
        <x:v>Параметр найден перебором целых положительных x и y / анализом ложности дизъюнкции.</x:v>
      </x:c>
      <x:c r="P3675" s="30" t="str">
        <x:v>Ответ сопоставлен с условием и архивным PNG-ключом; алгоритм решения проверен по типовой реализации.</x:v>
      </x:c>
      <x:c r="Q3675" s="30"/>
      <x:c r="R3675" s="30" t="str">
        <x:v>Архивный PNG-ключ</x:v>
      </x:c>
      <x:c r="S3675" s="30"/>
      <x:c r="T3675" s="30"/>
      <x:c r="U3675" s="30" t="str">
        <x:v>Расхождений не обнаружено.</x:v>
      </x:c>
      <x:c r="V3675" s="87" t="str">
        <x:v>VERIFIED</x:v>
      </x:c>
      <x:c r="W3675" s="87" t="str">
        <x:v>Zadanie_IN11_23102025_.pdf, стр. 11</x:v>
      </x:c>
      <x:c r="X3675" s="87"/>
      <x:c r="Y3675" s="87"/>
      <x:c r="Z3675" s="87"/>
      <x:c r="AA3675" s="87"/>
      <x:c r="AB3675" s="87"/>
      <x:c r="AC3675" s="87" t="str">
        <x:v>VIS-INF-OCT-009</x:v>
      </x:c>
      <x:c r="AD3675" s="87"/>
      <x:c r="AE3675" s="87"/>
      <x:c r="AF3675" s="87" t="str">
        <x:v>VIS-INF-OCT-009: 11</x:v>
      </x:c>
      <x:c r="AG3675" s="87" t="str">
        <x:v>RESOLVED</x:v>
      </x:c>
      <x:c r="AH3675" s="87" t="str">
        <x:v>CROP_VERIFIED</x:v>
      </x:c>
      <x:c r="AI3675" s="30"/>
      <x:c r="AJ3675" s="87" t="str">
        <x:v>master</x:v>
      </x:c>
      <x:c r="AK3675" s="87" t="str">
        <x:v>master-v0.81</x:v>
      </x:c>
      <x:c r="AL3675" s="87" t="str">
        <x:v>statgrad_master_base_v0_81_final(2).xlsx</x:v>
      </x:c>
      <x:c r="AM3675" s="87" t="str">
        <x:v>INF_Oct_V1</x:v>
      </x:c>
      <x:c r="AN3675" s="87" t="n">
        <x:v>16</x:v>
      </x:c>
    </x:row>
    <x:row r="3676">
      <x:c r="A3676" s="87" t="n">
        <x:v>3675</x:v>
      </x:c>
      <x:c r="B3676" s="87" t="str">
        <x:v>OCT-INF-V1-016</x:v>
      </x:c>
      <x:c r="C3676" s="87" t="str">
        <x:v>СтатГрад</x:v>
      </x:c>
      <x:c r="D3676" s="87" t="str">
        <x:v>Октябрь 2025</x:v>
      </x:c>
      <x:c r="E3676" s="87"/>
      <x:c r="F3676" s="87"/>
      <x:c r="G3676" s="87" t="str">
        <x:v>Информатика</x:v>
      </x:c>
      <x:c r="H3676" s="87" t="n">
        <x:v>11</x:v>
      </x:c>
      <x:c r="I3676" s="87" t="str">
        <x:v>ТР №1</x:v>
      </x:c>
      <x:c r="J3676" s="87" t="str">
        <x:v>ИН2510101</x:v>
      </x:c>
      <x:c r="K3676" s="87" t="n">
        <x:v>16</x:v>
      </x:c>
      <x:c r="L3676" s="87" t="str">
        <x:v>Рекурсивная функция</x:v>
      </x:c>
      <x:c r="M3676" s="30" t="str">
        <x:v>Алгоритм вычисления значения функции F(n), где n –– целое число, задан
     следующими соотношениями:
     F(n) = n при n ≤ 10;
     F(n) = n – 12 + F(n – 21), если n &gt; 10.
     Чему равно значение выражения (F(224356) – F(224272)) / F(59)?
              Задание выполняется с использованием прилагаемых файлов.</x:v>
      </x:c>
      <x:c r="N3676" s="30" t="str">
        <x:v>12125</x:v>
      </x:c>
      <x:c r="O3676" s="30" t="str">
        <x:v>Рекурсивное определение вычислено с учётом периодического уменьшения аргумента.</x:v>
      </x:c>
      <x:c r="P3676" s="30" t="str">
        <x:v>Ответ сопоставлен с условием и архивным PNG-ключом; алгоритм решения проверен по типовой реализации.</x:v>
      </x:c>
      <x:c r="Q3676" s="30"/>
      <x:c r="R3676" s="30" t="str">
        <x:v>Архивный PNG-ключ</x:v>
      </x:c>
      <x:c r="S3676" s="30"/>
      <x:c r="T3676" s="30"/>
      <x:c r="U3676" s="30" t="str">
        <x:v>Расхождений не обнаружено.</x:v>
      </x:c>
      <x:c r="V3676" s="87" t="str">
        <x:v>VERIFIED</x:v>
      </x:c>
      <x:c r="W3676" s="87" t="str">
        <x:v>Zadanie_IN11_23102025_.pdf, стр. 12</x:v>
      </x:c>
      <x:c r="X3676" s="87"/>
      <x:c r="Y3676" s="87"/>
      <x:c r="Z3676" s="87"/>
      <x:c r="AA3676" s="87"/>
      <x:c r="AB3676" s="87"/>
      <x:c r="AC3676" s="87" t="str">
        <x:v>VIS-INF-OCT-010</x:v>
      </x:c>
      <x:c r="AD3676" s="87"/>
      <x:c r="AE3676" s="87"/>
      <x:c r="AF3676" s="87" t="str">
        <x:v>VIS-INF-OCT-010: 12</x:v>
      </x:c>
      <x:c r="AG3676" s="87" t="str">
        <x:v>RESOLVED</x:v>
      </x:c>
      <x:c r="AH3676" s="87" t="str">
        <x:v>CROP_VERIFIED</x:v>
      </x:c>
      <x:c r="AI3676" s="30"/>
      <x:c r="AJ3676" s="87" t="str">
        <x:v>master</x:v>
      </x:c>
      <x:c r="AK3676" s="87" t="str">
        <x:v>master-v0.81</x:v>
      </x:c>
      <x:c r="AL3676" s="87" t="str">
        <x:v>statgrad_master_base_v0_81_final(2).xlsx</x:v>
      </x:c>
      <x:c r="AM3676" s="87" t="str">
        <x:v>INF_Oct_V1</x:v>
      </x:c>
      <x:c r="AN3676" s="87" t="n">
        <x:v>17</x:v>
      </x:c>
    </x:row>
    <x:row r="3677">
      <x:c r="A3677" s="87" t="n">
        <x:v>3676</x:v>
      </x:c>
      <x:c r="B3677" s="87" t="str">
        <x:v>OCT-INF-V1-017</x:v>
      </x:c>
      <x:c r="C3677" s="87" t="str">
        <x:v>СтатГрад</x:v>
      </x:c>
      <x:c r="D3677" s="87" t="str">
        <x:v>Октябрь 2025</x:v>
      </x:c>
      <x:c r="E3677" s="87"/>
      <x:c r="F3677" s="87"/>
      <x:c r="G3677" s="87" t="str">
        <x:v>Информатика</x:v>
      </x:c>
      <x:c r="H3677" s="87" t="n">
        <x:v>11</x:v>
      </x:c>
      <x:c r="I3677" s="87" t="str">
        <x:v>ТР №1</x:v>
      </x:c>
      <x:c r="J3677" s="87" t="str">
        <x:v>ИН2510101</x:v>
      </x:c>
      <x:c r="K3677" s="87" t="n">
        <x:v>17</x:v>
      </x:c>
      <x:c r="L3677" s="87" t="str">
        <x:v>Обработка последовательности</x:v>
      </x:c>
      <x:c r="M3677" s="30" t="str">
        <x:v>В файле содержится последовательность целых чисел. Её элементы могут
     принимать целые значения от –100 000 до 100 000 включительно.
     Определите количество пар элементов последовательности, в которых есть
     только одно отрицательное число, а сумма пары больше максимального
     отрицательного трёхзначного элемента последовательности, кратного 6.
     В ответе запишите количество найденных пар, затем максимальную из сумм
     квадратов элементов таких пар. В данной задаче под парой подразумеваются
     два идущих подряд элемента последовательности.
     Ответ:
                                    согласия СтатГрад запрещена</x:v>
      </x:c>
      <x:c r="N3677" s="30" t="str">
        <x:v>2553; 19701728317</x:v>
      </x:c>
      <x:c r="O3677" s="30" t="str">
        <x:v>Файл обработан по соседним парам; порог и экстремальная сумма квадратов пересчитаны программно.</x:v>
      </x:c>
      <x:c r="P3677" s="30" t="str">
        <x:v>Результат независимо пересчитан программой по приложенному файлу и совпал с архивным PNG-ключом.</x:v>
      </x:c>
      <x:c r="Q3677" s="30"/>
      <x:c r="R3677" s="30" t="str">
        <x:v>Архивный PNG-ключ</x:v>
      </x:c>
      <x:c r="S3677" s="30"/>
      <x:c r="T3677" s="30"/>
      <x:c r="U3677" s="30" t="str">
        <x:v>Расхождений не обнаружено. Используется файл: 17.txt.</x:v>
      </x:c>
      <x:c r="V3677" s="87" t="str">
        <x:v>VERIFIED</x:v>
      </x:c>
      <x:c r="W3677" s="87" t="str">
        <x:v>Zadanie_IN11_23102025_.pdf, стр. 12</x:v>
      </x:c>
      <x:c r="X3677" s="87"/>
      <x:c r="Y3677" s="87"/>
      <x:c r="Z3677" s="87"/>
      <x:c r="AA3677" s="87"/>
      <x:c r="AB3677" s="87"/>
      <x:c r="AC3677" s="87" t="str">
        <x:v>VIS-INF-OCT-010</x:v>
      </x:c>
      <x:c r="AD3677" s="87"/>
      <x:c r="AE3677" s="87"/>
      <x:c r="AF3677" s="87" t="str">
        <x:v>VIS-INF-OCT-010: 12</x:v>
      </x:c>
      <x:c r="AG3677" s="87" t="str">
        <x:v>RESOLVED</x:v>
      </x:c>
      <x:c r="AH3677" s="87" t="str">
        <x:v>CROP_VERIFIED</x:v>
      </x:c>
      <x:c r="AI3677" s="30"/>
      <x:c r="AJ3677" s="87" t="str">
        <x:v>master</x:v>
      </x:c>
      <x:c r="AK3677" s="87" t="str">
        <x:v>master-v0.81</x:v>
      </x:c>
      <x:c r="AL3677" s="87" t="str">
        <x:v>statgrad_master_base_v0_81_final(2).xlsx</x:v>
      </x:c>
      <x:c r="AM3677" s="87" t="str">
        <x:v>INF_Oct_V1</x:v>
      </x:c>
      <x:c r="AN3677" s="87" t="n">
        <x:v>18</x:v>
      </x:c>
    </x:row>
    <x:row r="3678">
      <x:c r="A3678" s="87" t="n">
        <x:v>3677</x:v>
      </x:c>
      <x:c r="B3678" s="87" t="str">
        <x:v>OCT-INF-V1-018</x:v>
      </x:c>
      <x:c r="C3678" s="87" t="str">
        <x:v>СтатГрад</x:v>
      </x:c>
      <x:c r="D3678" s="87" t="str">
        <x:v>Октябрь 2025</x:v>
      </x:c>
      <x:c r="E3678" s="87"/>
      <x:c r="F3678" s="87"/>
      <x:c r="G3678" s="87" t="str">
        <x:v>Информатика</x:v>
      </x:c>
      <x:c r="H3678" s="87" t="n">
        <x:v>11</x:v>
      </x:c>
      <x:c r="I3678" s="87" t="str">
        <x:v>ТР №1</x:v>
      </x:c>
      <x:c r="J3678" s="87" t="str">
        <x:v>ИН2510101</x:v>
      </x:c>
      <x:c r="K3678" s="87" t="n">
        <x:v>18</x:v>
      </x:c>
      <x:c r="L3678" s="87" t="str">
        <x:v>Динамическое программирование на поле</x:v>
      </x:c>
      <x:c r="M3678" s="30" t="str">
        <x:v>Квадрат разлинован на N × N клеток (1 &lt; N &lt; 30). Исполнитель Робот может
     перемещаться по клеткам, выполняя за одно перемещение одну из двух
     команд: вправо или вниз. По команде вправо Робот перемещается
     в соседнюю правую клетку, по команде вниз – в соседнюю нижнюю.
     Квадрат ограничен внешними стенами. Между соседними клетками квадрата
     также могут быть внутренние стены. Сквозь стену Робот пройти не может.
     Перед каждым запуском Робота в каждой клетке квадрата лежит монета
     достоинством от 1 до 100. Посетив клетку, Робот забирает монету с собой;
     это также относится к начальной и конечной клеткам маршрута Робота.
     Робот может начать своё движение в одной из «угловых» клеток поля – тех,
     которые слева и сверху ограничены стенами. Таких начальных клеток на
     поле может быть несколько, включая левую верхнюю клетку поля. При
     разных запусках итоговые накопленные суммы могут различаться. При
     повторных запусках Робота начальная клетка должна отличаться от
     начальных клеток предыдущих запусков.
     Определите максимальную и минимальную денежные суммы, среди всех
     возможных итоговых сумм, которые может собрать Робот суммарно за три
     запуска из начальной клетки в правую нижнюю.
     В ответе укажите два числа – сначала максимальную сумму, затем
     минимальную.
     Исходные данные представляют собой электронную таблицу размером N × N,
     каждая ячейка которой соответствует клетке квадрата. Внутренние и
     внешние стены обозначены утолщёнными линиями.
     Пример входных данных
     Ответ:
                                    согласия СтатГрад запрещена</x:v>
      </x:c>
      <x:c r="N3678" s="30" t="str">
        <x:v>6653; 2522</x:v>
      </x:c>
      <x:c r="O3678" s="30" t="str">
        <x:v>Для допустимых стартовых клеток рассчитаны минимальные и максимальные суммы путей, затем выбраны требуемые запуски.</x:v>
      </x:c>
      <x:c r="P3678" s="30" t="str">
        <x:v>Приложенный файл открыт и сопоставлен с условием; формат результата и архивный ключ проверены.</x:v>
      </x:c>
      <x:c r="Q3678" s="30"/>
      <x:c r="R3678" s="30" t="str">
        <x:v>Архивный PNG-ключ</x:v>
      </x:c>
      <x:c r="S3678" s="30"/>
      <x:c r="T3678" s="30"/>
      <x:c r="U3678" s="30" t="str">
        <x:v>Расхождений не обнаружено. Используется файл: 18.ods.</x:v>
      </x:c>
      <x:c r="V3678" s="87" t="str">
        <x:v>VERIFIED</x:v>
      </x:c>
      <x:c r="W3678" s="87" t="str">
        <x:v>Zadanie_IN11_23102025_.pdf, стр. 13</x:v>
      </x:c>
      <x:c r="X3678" s="87"/>
      <x:c r="Y3678" s="87"/>
      <x:c r="Z3678" s="87"/>
      <x:c r="AA3678" s="87"/>
      <x:c r="AB3678" s="87"/>
      <x:c r="AC3678" s="87" t="str">
        <x:v>VIS-INF-OCT-011</x:v>
      </x:c>
      <x:c r="AD3678" s="87"/>
      <x:c r="AE3678" s="87"/>
      <x:c r="AF3678" s="87" t="str">
        <x:v>VIS-INF-OCT-011: 13</x:v>
      </x:c>
      <x:c r="AG3678" s="87" t="str">
        <x:v>RESOLVED</x:v>
      </x:c>
      <x:c r="AH3678" s="87" t="str">
        <x:v>CROP_VERIFIED</x:v>
      </x:c>
      <x:c r="AI3678" s="30"/>
      <x:c r="AJ3678" s="87" t="str">
        <x:v>master</x:v>
      </x:c>
      <x:c r="AK3678" s="87" t="str">
        <x:v>master-v0.81</x:v>
      </x:c>
      <x:c r="AL3678" s="87" t="str">
        <x:v>statgrad_master_base_v0_81_final(2).xlsx</x:v>
      </x:c>
      <x:c r="AM3678" s="87" t="str">
        <x:v>INF_Oct_V1</x:v>
      </x:c>
      <x:c r="AN3678" s="87" t="n">
        <x:v>19</x:v>
      </x:c>
    </x:row>
    <x:row r="3679">
      <x:c r="A3679" s="87" t="n">
        <x:v>3678</x:v>
      </x:c>
      <x:c r="B3679" s="87" t="str">
        <x:v>OCT-INF-V1-019</x:v>
      </x:c>
      <x:c r="C3679" s="87" t="str">
        <x:v>СтатГрад</x:v>
      </x:c>
      <x:c r="D3679" s="87" t="str">
        <x:v>Октябрь 2025</x:v>
      </x:c>
      <x:c r="E3679" s="87"/>
      <x:c r="F3679" s="87"/>
      <x:c r="G3679" s="87" t="str">
        <x:v>Информатика</x:v>
      </x:c>
      <x:c r="H3679" s="87" t="n">
        <x:v>11</x:v>
      </x:c>
      <x:c r="I3679" s="87" t="str">
        <x:v>ТР №1</x:v>
      </x:c>
      <x:c r="J3679" s="87" t="str">
        <x:v>ИН2510101</x:v>
      </x:c>
      <x:c r="K3679" s="87" t="n">
        <x:v>19</x:v>
      </x:c>
      <x:c r="L3679" s="87" t="str">
        <x:v>Теория игр: первая позиция</x:v>
      </x:c>
      <x:c r="M3679" s="30" t="str">
        <x:v>Два игрока, Петя и Ваня, играют в следующую игру. Перед игроками лежит
     куча камней. Игроки ходят по очереди, первый ход делает Петя. За один ход
     игрок может:
     − убрать из кучи 3 камня,
     − уменьшить количество камней в куче в 5 раз (количество камней,
     полученное при делении, округляется до меньшего).
     Игра завершается в тот момент, когда количество камней в куче становится
     не более 505.
     Победителем считается игрок, сделавший последний ход, т.е. первым
     получивший в куче 505 камней или меньше.
     В начальный момент в куче было S камней; S &gt; 505.
     Будем говорить, что игрок имеет выигрышную стратегию, если он может
     выиграть при любых ходах противника.
     Укажите максимальное значение S, при котором Ваня может выиграть за
     один ход при неудачном ходе Пети.</x:v>
      </x:c>
      <x:c r="N3679" s="30" t="str">
        <x:v>12649</x:v>
      </x:c>
      <x:c r="O3679" s="30" t="str">
        <x:v>Позиции игры классифицированы обратным динамическим анализом.</x:v>
      </x:c>
      <x:c r="P3679" s="30" t="str">
        <x:v>Ответ сопоставлен с условием и архивным PNG-ключом; алгоритм решения проверен по типовой реализации.</x:v>
      </x:c>
      <x:c r="Q3679" s="30"/>
      <x:c r="R3679" s="30" t="str">
        <x:v>Архивный PNG-ключ</x:v>
      </x:c>
      <x:c r="S3679" s="30"/>
      <x:c r="T3679" s="30"/>
      <x:c r="U3679" s="30" t="str">
        <x:v>Расхождений не обнаружено.</x:v>
      </x:c>
      <x:c r="V3679" s="87" t="str">
        <x:v>VERIFIED</x:v>
      </x:c>
      <x:c r="W3679" s="87" t="str">
        <x:v>Zadanie_IN11_23102025_.pdf, стр. 14</x:v>
      </x:c>
      <x:c r="X3679" s="87"/>
      <x:c r="Y3679" s="87"/>
      <x:c r="Z3679" s="87"/>
      <x:c r="AA3679" s="87"/>
      <x:c r="AB3679" s="87"/>
      <x:c r="AC3679" s="87" t="str">
        <x:v>VIS-INF-OCT-012</x:v>
      </x:c>
      <x:c r="AD3679" s="87"/>
      <x:c r="AE3679" s="87"/>
      <x:c r="AF3679" s="87" t="str">
        <x:v>VIS-INF-OCT-012: 14</x:v>
      </x:c>
      <x:c r="AG3679" s="87" t="str">
        <x:v>RESOLVED</x:v>
      </x:c>
      <x:c r="AH3679" s="87" t="str">
        <x:v>CROP_VERIFIED</x:v>
      </x:c>
      <x:c r="AI3679" s="30"/>
      <x:c r="AJ3679" s="87" t="str">
        <x:v>master</x:v>
      </x:c>
      <x:c r="AK3679" s="87" t="str">
        <x:v>master-v0.81</x:v>
      </x:c>
      <x:c r="AL3679" s="87" t="str">
        <x:v>statgrad_master_base_v0_81_final(2).xlsx</x:v>
      </x:c>
      <x:c r="AM3679" s="87" t="str">
        <x:v>INF_Oct_V1</x:v>
      </x:c>
      <x:c r="AN3679" s="87" t="n">
        <x:v>20</x:v>
      </x:c>
    </x:row>
    <x:row r="3680">
      <x:c r="A3680" s="87" t="n">
        <x:v>3679</x:v>
      </x:c>
      <x:c r="B3680" s="87" t="str">
        <x:v>OCT-INF-V1-020</x:v>
      </x:c>
      <x:c r="C3680" s="87" t="str">
        <x:v>СтатГрад</x:v>
      </x:c>
      <x:c r="D3680" s="87" t="str">
        <x:v>Октябрь 2025</x:v>
      </x:c>
      <x:c r="E3680" s="87"/>
      <x:c r="F3680" s="87"/>
      <x:c r="G3680" s="87" t="str">
        <x:v>Информатика</x:v>
      </x:c>
      <x:c r="H3680" s="87" t="n">
        <x:v>11</x:v>
      </x:c>
      <x:c r="I3680" s="87" t="str">
        <x:v>ТР №1</x:v>
      </x:c>
      <x:c r="J3680" s="87" t="str">
        <x:v>ИН2510101</x:v>
      </x:c>
      <x:c r="K3680" s="87" t="n">
        <x:v>20</x:v>
      </x:c>
      <x:c r="L3680" s="87" t="str">
        <x:v>Теория игр: выигрыш вторым ходом</x:v>
      </x:c>
      <x:c r="M3680" s="30" t="str">
        <x:v>Для игры, описанной в задании 19, найдите два наименьших значения S,
     при которых у Пети есть выигрышная стратегия, причём одновременно
     выполняются два условия:
     − Петя не может выиграть за один ход;
     − Петя может выиграть своим вторым ходом независимо от того, как будет
     ходить Ваня.
     Найденные значения запишите в ответе в порядке возрастания.
     Ответ:</x:v>
      </x:c>
      <x:c r="N3680" s="30" t="str">
        <x:v>2533; 2534</x:v>
      </x:c>
      <x:c r="O3680" s="30" t="str">
        <x:v>Найдены минимальные позиции, где первый игрок гарантирует победу вторым ходом, но не первым.</x:v>
      </x:c>
      <x:c r="P3680" s="30" t="str">
        <x:v>Ответ сопоставлен с условием и архивным PNG-ключом; алгоритм решения проверен по типовой реализации.</x:v>
      </x:c>
      <x:c r="Q3680" s="30"/>
      <x:c r="R3680" s="30" t="str">
        <x:v>Архивный PNG-ключ</x:v>
      </x:c>
      <x:c r="S3680" s="30"/>
      <x:c r="T3680" s="30"/>
      <x:c r="U3680" s="30" t="str">
        <x:v>Расхождений не обнаружено.</x:v>
      </x:c>
      <x:c r="V3680" s="87" t="str">
        <x:v>VERIFIED</x:v>
      </x:c>
      <x:c r="W3680" s="87" t="str">
        <x:v>Zadanie_IN11_23102025_.pdf, стр. 14</x:v>
      </x:c>
      <x:c r="X3680" s="87"/>
      <x:c r="Y3680" s="87"/>
      <x:c r="Z3680" s="87"/>
      <x:c r="AA3680" s="87"/>
      <x:c r="AB3680" s="87"/>
      <x:c r="AC3680" s="87" t="str">
        <x:v>VIS-INF-OCT-012</x:v>
      </x:c>
      <x:c r="AD3680" s="87"/>
      <x:c r="AE3680" s="87"/>
      <x:c r="AF3680" s="87" t="str">
        <x:v>VIS-INF-OCT-012: 14</x:v>
      </x:c>
      <x:c r="AG3680" s="87" t="str">
        <x:v>RESOLVED</x:v>
      </x:c>
      <x:c r="AH3680" s="87" t="str">
        <x:v>CROP_VERIFIED</x:v>
      </x:c>
      <x:c r="AI3680" s="30"/>
      <x:c r="AJ3680" s="87" t="str">
        <x:v>master</x:v>
      </x:c>
      <x:c r="AK3680" s="87" t="str">
        <x:v>master-v0.81</x:v>
      </x:c>
      <x:c r="AL3680" s="87" t="str">
        <x:v>statgrad_master_base_v0_81_final(2).xlsx</x:v>
      </x:c>
      <x:c r="AM3680" s="87" t="str">
        <x:v>INF_Oct_V1</x:v>
      </x:c>
      <x:c r="AN3680" s="87" t="n">
        <x:v>21</x:v>
      </x:c>
    </x:row>
    <x:row r="3681">
      <x:c r="A3681" s="87" t="n">
        <x:v>3680</x:v>
      </x:c>
      <x:c r="B3681" s="87" t="str">
        <x:v>OCT-INF-V1-021</x:v>
      </x:c>
      <x:c r="C3681" s="87" t="str">
        <x:v>СтатГрад</x:v>
      </x:c>
      <x:c r="D3681" s="87" t="str">
        <x:v>Октябрь 2025</x:v>
      </x:c>
      <x:c r="E3681" s="87"/>
      <x:c r="F3681" s="87"/>
      <x:c r="G3681" s="87" t="str">
        <x:v>Информатика</x:v>
      </x:c>
      <x:c r="H3681" s="87" t="n">
        <x:v>11</x:v>
      </x:c>
      <x:c r="I3681" s="87" t="str">
        <x:v>ТР №1</x:v>
      </x:c>
      <x:c r="J3681" s="87" t="str">
        <x:v>ИН2510101</x:v>
      </x:c>
      <x:c r="K3681" s="87" t="n">
        <x:v>21</x:v>
      </x:c>
      <x:c r="L3681" s="87" t="str">
        <x:v>Теория игр: стратегия Вани</x:v>
      </x:c>
      <x:c r="M3681" s="30" t="str">
        <x:v>Для игры, описанной в задании 19, найдите минимальное значение S,
     при котором одновременно выполняются два условия:
     – у Вани есть выигрышная стратегия, позволяющая ему выиграть первым
     или вторым ходом при любой игре Пети;
     – у Вани нет стратегии, которая позволит ему гарантированно выиграть
     первым ходом.
                                    согласия СтатГрад запрещена</x:v>
      </x:c>
      <x:c r="N3681" s="30" t="str">
        <x:v>2536</x:v>
      </x:c>
      <x:c r="O3681" s="30" t="str">
        <x:v>Найдена минимальная позиция для стратегии второго игрока в пределах двух ходов.</x:v>
      </x:c>
      <x:c r="P3681" s="30" t="str">
        <x:v>Ответ сопоставлен с условием и архивным PNG-ключом; алгоритм решения проверен по типовой реализации.</x:v>
      </x:c>
      <x:c r="Q3681" s="30"/>
      <x:c r="R3681" s="30" t="str">
        <x:v>Архивный PNG-ключ</x:v>
      </x:c>
      <x:c r="S3681" s="30"/>
      <x:c r="T3681" s="30"/>
      <x:c r="U3681" s="30" t="str">
        <x:v>Расхождений не обнаружено.</x:v>
      </x:c>
      <x:c r="V3681" s="87" t="str">
        <x:v>VERIFIED</x:v>
      </x:c>
      <x:c r="W3681" s="87" t="str">
        <x:v>Zadanie_IN11_23102025_.pdf, стр. 14</x:v>
      </x:c>
      <x:c r="X3681" s="87"/>
      <x:c r="Y3681" s="87"/>
      <x:c r="Z3681" s="87"/>
      <x:c r="AA3681" s="87"/>
      <x:c r="AB3681" s="87"/>
      <x:c r="AC3681" s="87" t="str">
        <x:v>VIS-INF-OCT-012</x:v>
      </x:c>
      <x:c r="AD3681" s="87"/>
      <x:c r="AE3681" s="87"/>
      <x:c r="AF3681" s="87" t="str">
        <x:v>VIS-INF-OCT-012: 14</x:v>
      </x:c>
      <x:c r="AG3681" s="87" t="str">
        <x:v>RESOLVED</x:v>
      </x:c>
      <x:c r="AH3681" s="87" t="str">
        <x:v>CROP_VERIFIED</x:v>
      </x:c>
      <x:c r="AI3681" s="30"/>
      <x:c r="AJ3681" s="87" t="str">
        <x:v>master</x:v>
      </x:c>
      <x:c r="AK3681" s="87" t="str">
        <x:v>master-v0.81</x:v>
      </x:c>
      <x:c r="AL3681" s="87" t="str">
        <x:v>statgrad_master_base_v0_81_final(2).xlsx</x:v>
      </x:c>
      <x:c r="AM3681" s="87" t="str">
        <x:v>INF_Oct_V1</x:v>
      </x:c>
      <x:c r="AN3681" s="87" t="n">
        <x:v>22</x:v>
      </x:c>
    </x:row>
    <x:row r="3682">
      <x:c r="A3682" s="87" t="n">
        <x:v>3681</x:v>
      </x:c>
      <x:c r="B3682" s="87" t="str">
        <x:v>OCT-INF-V1-022</x:v>
      </x:c>
      <x:c r="C3682" s="87" t="str">
        <x:v>СтатГрад</x:v>
      </x:c>
      <x:c r="D3682" s="87" t="str">
        <x:v>Октябрь 2025</x:v>
      </x:c>
      <x:c r="E3682" s="87"/>
      <x:c r="F3682" s="87"/>
      <x:c r="G3682" s="87" t="str">
        <x:v>Информатика</x:v>
      </x:c>
      <x:c r="H3682" s="87" t="n">
        <x:v>11</x:v>
      </x:c>
      <x:c r="I3682" s="87" t="str">
        <x:v>ТР №1</x:v>
      </x:c>
      <x:c r="J3682" s="87" t="str">
        <x:v>ИН2510101</x:v>
      </x:c>
      <x:c r="K3682" s="87" t="n">
        <x:v>22</x:v>
      </x:c>
      <x:c r="L3682" s="87" t="str">
        <x:v>Процессы и зависимости</x:v>
      </x:c>
      <x:c r="M3682" s="30" t="str">
        <x:v>В файле содержится информация о совокупности N вычислительных
     процессов, которые могут выполняться параллельно или последовательно.
     Приостановка выполнения процесса не допускается. Будем говорить, что
     процесс B зависит от процесса A, если для выполнения процесса
     B необходимы результаты выполнения процесса A. В этом случае процессы
     могут выполняться только последовательно.
     Информация о процессах представлена в файле в виде таблицы. В первом
     столбце таблицы указан идентификатор процесса (ID), во втором столбце
     таблицы – время его выполнения в миллисекундах, в третьем столбце
     перечислены с разделителем «;» ID процессов, от которых зависит данный
     процесс. Если процесс является независимым, то в таблице указано значение 0.
     Определите ID процесса, который может начать своё выполнение последним,
     при условии, что все независимые друг от друга процессы могут выполняться
     параллельно, а время завершения всех процессов минимально.
     Если таких процессов может быть несколько, укажите минимально
     возможный ID такого процесса.
                                    согласия СтатГрад запрещена</x:v>
      </x:c>
      <x:c r="N3682" s="30" t="str">
        <x:v>103</x:v>
      </x:c>
      <x:c r="O3682" s="30" t="str">
        <x:v>По графу зависимостей рассчитаны ранние времена старта процессов и выбран предельный ID.</x:v>
      </x:c>
      <x:c r="P3682" s="30" t="str">
        <x:v>Приложенный файл открыт и сопоставлен с условием; формат результата и архивный ключ проверены.</x:v>
      </x:c>
      <x:c r="Q3682" s="30"/>
      <x:c r="R3682" s="30" t="str">
        <x:v>Архивный PNG-ключ</x:v>
      </x:c>
      <x:c r="S3682" s="30"/>
      <x:c r="T3682" s="30"/>
      <x:c r="U3682" s="30" t="str">
        <x:v>Расхождений не обнаружено. Используется файл: 22.ods.</x:v>
      </x:c>
      <x:c r="V3682" s="87" t="str">
        <x:v>VERIFIED</x:v>
      </x:c>
      <x:c r="W3682" s="87" t="str">
        <x:v>Zadanie_IN11_23102025_.pdf, стр. 15</x:v>
      </x:c>
      <x:c r="X3682" s="87"/>
      <x:c r="Y3682" s="87"/>
      <x:c r="Z3682" s="87"/>
      <x:c r="AA3682" s="87"/>
      <x:c r="AB3682" s="87"/>
      <x:c r="AC3682" s="87" t="str">
        <x:v>VIS-INF-OCT-013</x:v>
      </x:c>
      <x:c r="AD3682" s="87"/>
      <x:c r="AE3682" s="87"/>
      <x:c r="AF3682" s="87" t="str">
        <x:v>VIS-INF-OCT-013: 15</x:v>
      </x:c>
      <x:c r="AG3682" s="87" t="str">
        <x:v>RESOLVED</x:v>
      </x:c>
      <x:c r="AH3682" s="87" t="str">
        <x:v>CROP_VERIFIED; TASK_CROP_NO_CROP_NEEDED</x:v>
      </x:c>
      <x:c r="AI3682" s="30"/>
      <x:c r="AJ3682" s="87" t="str">
        <x:v>master</x:v>
      </x:c>
      <x:c r="AK3682" s="87" t="str">
        <x:v>master-v0.81</x:v>
      </x:c>
      <x:c r="AL3682" s="87" t="str">
        <x:v>statgrad_master_base_v0_81_final(2).xlsx</x:v>
      </x:c>
      <x:c r="AM3682" s="87" t="str">
        <x:v>INF_Oct_V1</x:v>
      </x:c>
      <x:c r="AN3682" s="87" t="n">
        <x:v>23</x:v>
      </x:c>
    </x:row>
    <x:row r="3683">
      <x:c r="A3683" s="87" t="n">
        <x:v>3682</x:v>
      </x:c>
      <x:c r="B3683" s="87" t="str">
        <x:v>OCT-INF-V1-023</x:v>
      </x:c>
      <x:c r="C3683" s="87" t="str">
        <x:v>СтатГрад</x:v>
      </x:c>
      <x:c r="D3683" s="87" t="str">
        <x:v>Октябрь 2025</x:v>
      </x:c>
      <x:c r="E3683" s="87"/>
      <x:c r="F3683" s="87"/>
      <x:c r="G3683" s="87" t="str">
        <x:v>Информатика</x:v>
      </x:c>
      <x:c r="H3683" s="87" t="n">
        <x:v>11</x:v>
      </x:c>
      <x:c r="I3683" s="87" t="str">
        <x:v>ТР №1</x:v>
      </x:c>
      <x:c r="J3683" s="87" t="str">
        <x:v>ИН2510101</x:v>
      </x:c>
      <x:c r="K3683" s="87" t="n">
        <x:v>23</x:v>
      </x:c>
      <x:c r="L3683" s="87" t="str">
        <x:v>Динамическое программирование программ</x:v>
      </x:c>
      <x:c r="M3683" s="30" t="str">
        <x:v>Исполнитель преобразует число на экране.
     У исполнителя есть три команды, которые обозначены латинскими буквами.
     A. Прибавь 1
     B. Умножь на 2
     C. Умножь на 3
     Программа для исполнителя – это последовательность команд.
     Сколько существует программ, которые преобразуют число 6 в число 48,
     и при этом траектория вычислений содержит 14 или 18? Траектория должна
     содержать хотя бы одно из указанных чисел.
     Траектория вычислений программы – это последовательность результатов
     выполнения всех команд программы. Например, для программы ACB при
     исходном числе 3 траектория состоит из чисел 4, 12, 24.
              Задание выполняется с использованием прилагаемых файлов.</x:v>
      </x:c>
      <x:c r="N3683" s="30" t="str">
        <x:v>69</x:v>
      </x:c>
      <x:c r="O3683" s="30" t="str">
        <x:v>Количество программ подсчитано динамическим программированием с обязательным прохождением через заданные значения.</x:v>
      </x:c>
      <x:c r="P3683" s="30" t="str">
        <x:v>Ответ сопоставлен с условием и архивным PNG-ключом; алгоритм решения проверен по типовой реализации.</x:v>
      </x:c>
      <x:c r="Q3683" s="30"/>
      <x:c r="R3683" s="30" t="str">
        <x:v>Архивный PNG-ключ</x:v>
      </x:c>
      <x:c r="S3683" s="30"/>
      <x:c r="T3683" s="30"/>
      <x:c r="U3683" s="30" t="str">
        <x:v>Расхождений не обнаружено.</x:v>
      </x:c>
      <x:c r="V3683" s="87" t="str">
        <x:v>VERIFIED</x:v>
      </x:c>
      <x:c r="W3683" s="87" t="str">
        <x:v>Zadanie_IN11_23102025_.pdf, стр. 16</x:v>
      </x:c>
      <x:c r="X3683" s="87"/>
      <x:c r="Y3683" s="87"/>
      <x:c r="Z3683" s="87"/>
      <x:c r="AA3683" s="87"/>
      <x:c r="AB3683" s="87"/>
      <x:c r="AC3683" s="87" t="str">
        <x:v>VIS-INF-OCT-014</x:v>
      </x:c>
      <x:c r="AD3683" s="87"/>
      <x:c r="AE3683" s="87"/>
      <x:c r="AF3683" s="87" t="str">
        <x:v>VIS-INF-OCT-014: 16</x:v>
      </x:c>
      <x:c r="AG3683" s="87" t="str">
        <x:v>RESOLVED</x:v>
      </x:c>
      <x:c r="AH3683" s="87" t="str">
        <x:v>CROP_VERIFIED</x:v>
      </x:c>
      <x:c r="AI3683" s="30"/>
      <x:c r="AJ3683" s="87" t="str">
        <x:v>master</x:v>
      </x:c>
      <x:c r="AK3683" s="87" t="str">
        <x:v>master-v0.81</x:v>
      </x:c>
      <x:c r="AL3683" s="87" t="str">
        <x:v>statgrad_master_base_v0_81_final(2).xlsx</x:v>
      </x:c>
      <x:c r="AM3683" s="87" t="str">
        <x:v>INF_Oct_V1</x:v>
      </x:c>
      <x:c r="AN3683" s="87" t="n">
        <x:v>24</x:v>
      </x:c>
    </x:row>
    <x:row r="3684">
      <x:c r="A3684" s="87" t="n">
        <x:v>3683</x:v>
      </x:c>
      <x:c r="B3684" s="87" t="str">
        <x:v>OCT-INF-V1-024</x:v>
      </x:c>
      <x:c r="C3684" s="87" t="str">
        <x:v>СтатГрад</x:v>
      </x:c>
      <x:c r="D3684" s="87" t="str">
        <x:v>Октябрь 2025</x:v>
      </x:c>
      <x:c r="E3684" s="87"/>
      <x:c r="F3684" s="87"/>
      <x:c r="G3684" s="87" t="str">
        <x:v>Информатика</x:v>
      </x:c>
      <x:c r="H3684" s="87" t="n">
        <x:v>11</x:v>
      </x:c>
      <x:c r="I3684" s="87" t="str">
        <x:v>ТР №1</x:v>
      </x:c>
      <x:c r="J3684" s="87" t="str">
        <x:v>ИН2510101</x:v>
      </x:c>
      <x:c r="K3684" s="87" t="n">
        <x:v>24</x:v>
      </x:c>
      <x:c r="L3684" s="87" t="str">
        <x:v>Обработка текстового файла</x:v>
      </x:c>
      <x:c r="M3684" s="30" t="str">
        <x:v>Текстовый файл состоит из десятичных цифр от 1 до 9, знаков «+» и «*»
     (сложения и умножения).
     Определите в прилагаемом файле максимальное количество символов
     в непрерывной последовательности, являющейся корректной записью
     арифметического выражения, состоящей из не более чем 50 натуральных
     чисел и знаков арифметических операций между ними.
     В ответе укажите количество символов.</x:v>
      </x:c>
      <x:c r="N3684" s="30" t="str">
        <x:v>428</x:v>
      </x:c>
      <x:c r="O3684" s="30" t="str">
        <x:v>Файл просканирован на максимальную корректную запись выражения с ограничением числа операндов.</x:v>
      </x:c>
      <x:c r="P3684" s="30" t="str">
        <x:v>Результат независимо пересчитан программой по приложенному файлу и совпал с архивным PNG-ключом.</x:v>
      </x:c>
      <x:c r="Q3684" s="30"/>
      <x:c r="R3684" s="30" t="str">
        <x:v>Архивный PNG-ключ</x:v>
      </x:c>
      <x:c r="S3684" s="30"/>
      <x:c r="T3684" s="30"/>
      <x:c r="U3684" s="30" t="str">
        <x:v>Расхождений не обнаружено. Используется файл: 24.txt.</x:v>
      </x:c>
      <x:c r="V3684" s="87" t="str">
        <x:v>VERIFIED</x:v>
      </x:c>
      <x:c r="W3684" s="87" t="str">
        <x:v>Zadanie_IN11_23102025_.pdf, стр. 16</x:v>
      </x:c>
      <x:c r="X3684" s="87"/>
      <x:c r="Y3684" s="87"/>
      <x:c r="Z3684" s="87"/>
      <x:c r="AA3684" s="87"/>
      <x:c r="AB3684" s="87"/>
      <x:c r="AC3684" s="87" t="str">
        <x:v>VIS-INF-OCT-014</x:v>
      </x:c>
      <x:c r="AD3684" s="87"/>
      <x:c r="AE3684" s="87"/>
      <x:c r="AF3684" s="87" t="str">
        <x:v>VIS-INF-OCT-014: 16</x:v>
      </x:c>
      <x:c r="AG3684" s="87" t="str">
        <x:v>RESOLVED</x:v>
      </x:c>
      <x:c r="AH3684" s="87" t="str">
        <x:v>CROP_VERIFIED</x:v>
      </x:c>
      <x:c r="AI3684" s="30"/>
      <x:c r="AJ3684" s="87" t="str">
        <x:v>master</x:v>
      </x:c>
      <x:c r="AK3684" s="87" t="str">
        <x:v>master-v0.81</x:v>
      </x:c>
      <x:c r="AL3684" s="87" t="str">
        <x:v>statgrad_master_base_v0_81_final(2).xlsx</x:v>
      </x:c>
      <x:c r="AM3684" s="87" t="str">
        <x:v>INF_Oct_V1</x:v>
      </x:c>
      <x:c r="AN3684" s="87" t="n">
        <x:v>25</x:v>
      </x:c>
    </x:row>
    <x:row r="3685">
      <x:c r="A3685" s="87" t="n">
        <x:v>3684</x:v>
      </x:c>
      <x:c r="B3685" s="87" t="str">
        <x:v>OCT-INF-V1-025</x:v>
      </x:c>
      <x:c r="C3685" s="87" t="str">
        <x:v>СтатГрад</x:v>
      </x:c>
      <x:c r="D3685" s="87" t="str">
        <x:v>Октябрь 2025</x:v>
      </x:c>
      <x:c r="E3685" s="87"/>
      <x:c r="F3685" s="87"/>
      <x:c r="G3685" s="87" t="str">
        <x:v>Информатика</x:v>
      </x:c>
      <x:c r="H3685" s="87" t="n">
        <x:v>11</x:v>
      </x:c>
      <x:c r="I3685" s="87" t="str">
        <x:v>ТР №1</x:v>
      </x:c>
      <x:c r="J3685" s="87" t="str">
        <x:v>ИН2510101</x:v>
      </x:c>
      <x:c r="K3685" s="87" t="n">
        <x:v>25</x:v>
      </x:c>
      <x:c r="L3685" s="87" t="str">
        <x:v>Поиск чисел и простые делители</x:v>
      </x:c>
      <x:c r="M3685" s="30" t="str">
        <x:v>Пусть S – сумма всех простых натуральных делителей целого числа,
     не считая самого числа. Если таких делителей у числа нет, то считаем
     значение S равным нулю.
     Напишите программу, которая перебирает целые числа, меньшие 1 325 000,
     в порядке убывания и ищет среди них такие, для которых значение S не равно
     нулю, не больше 30 000 и кратно 5. В ответе запишите первые пять
     найденных чисел в порядке убывания.
     Например, для числа 10 S = 2 + 5 = 7.
     Ответ:
                                    согласия СтатГрад запрещена</x:v>
      </x:c>
      <x:c r="N3685" s="30" t="str">
        <x:v>1324994; 1324992; 1324991; 1324986; 1324980</x:v>
      </x:c>
      <x:c r="O3685" s="30" t="str">
        <x:v>Числа перебраны по убыванию; для каждого найдена сумма различных простых делителей.</x:v>
      </x:c>
      <x:c r="P3685" s="30" t="str">
        <x:v>Ответ сопоставлен с условием и архивным PNG-ключом; алгоритм решения проверен по типовой реализации.</x:v>
      </x:c>
      <x:c r="Q3685" s="30"/>
      <x:c r="R3685" s="30" t="str">
        <x:v>Архивный PNG-ключ</x:v>
      </x:c>
      <x:c r="S3685" s="30"/>
      <x:c r="T3685" s="30"/>
      <x:c r="U3685" s="30" t="str">
        <x:v>Расхождений не обнаружено.</x:v>
      </x:c>
      <x:c r="V3685" s="87" t="str">
        <x:v>VERIFIED</x:v>
      </x:c>
      <x:c r="W3685" s="87" t="str">
        <x:v>Zadanie_IN11_23102025_.pdf, стр. 16</x:v>
      </x:c>
      <x:c r="X3685" s="87"/>
      <x:c r="Y3685" s="87"/>
      <x:c r="Z3685" s="87"/>
      <x:c r="AA3685" s="87"/>
      <x:c r="AB3685" s="87"/>
      <x:c r="AC3685" s="87" t="str">
        <x:v>VIS-INF-OCT-014</x:v>
      </x:c>
      <x:c r="AD3685" s="87"/>
      <x:c r="AE3685" s="87"/>
      <x:c r="AF3685" s="87" t="str">
        <x:v>VIS-INF-OCT-014: 16</x:v>
      </x:c>
      <x:c r="AG3685" s="87" t="str">
        <x:v>RESOLVED</x:v>
      </x:c>
      <x:c r="AH3685" s="87" t="str">
        <x:v>CROP_VERIFIED</x:v>
      </x:c>
      <x:c r="AI3685" s="30"/>
      <x:c r="AJ3685" s="87" t="str">
        <x:v>master</x:v>
      </x:c>
      <x:c r="AK3685" s="87" t="str">
        <x:v>master-v0.81</x:v>
      </x:c>
      <x:c r="AL3685" s="87" t="str">
        <x:v>statgrad_master_base_v0_81_final(2).xlsx</x:v>
      </x:c>
      <x:c r="AM3685" s="87" t="str">
        <x:v>INF_Oct_V1</x:v>
      </x:c>
      <x:c r="AN3685" s="87" t="n">
        <x:v>26</x:v>
      </x:c>
    </x:row>
    <x:row r="3686">
      <x:c r="A3686" s="87" t="n">
        <x:v>3685</x:v>
      </x:c>
      <x:c r="B3686" s="87" t="str">
        <x:v>OCT-INF-V1-026</x:v>
      </x:c>
      <x:c r="C3686" s="87" t="str">
        <x:v>СтатГрад</x:v>
      </x:c>
      <x:c r="D3686" s="87" t="str">
        <x:v>Октябрь 2025</x:v>
      </x:c>
      <x:c r="E3686" s="87"/>
      <x:c r="F3686" s="87"/>
      <x:c r="G3686" s="87" t="str">
        <x:v>Информатика</x:v>
      </x:c>
      <x:c r="H3686" s="87" t="n">
        <x:v>11</x:v>
      </x:c>
      <x:c r="I3686" s="87" t="str">
        <x:v>ТР №1</x:v>
      </x:c>
      <x:c r="J3686" s="87" t="str">
        <x:v>ИН2510101</x:v>
      </x:c>
      <x:c r="K3686" s="87" t="n">
        <x:v>26</x:v>
      </x:c>
      <x:c r="L3686" s="87" t="str">
        <x:v>Обработка большого набора заявок</x:v>
      </x:c>
      <x:c r="M3686" s="30" t="str">
        <x:v>В одном городе есть более 100 жилых домов. Все дома пронумерованы,
     начиная с единицы. Управляющая компания получила заявки на
     капитальный ремонт от жителей домов. В заявке указан номер дома и номер
     подъезда, где требуется ремонт, при этом каждой заявке присваивается
     уникальный идентификатор – натуральное число, не превышающее
     1 000 000. На один и тот же подъезд могут быть заявки сразу от нескольких
     жителей.
     Определите номер дома, который имеет наибольшее количество подряд
     идущих подъездов с заявками на капитальный ремонт. Если есть несколько
     домов с одинаковым максимальным количеством подъездов, необходимо
     выбрать тот дом, у которого наименьший искомый подъезд имеет
     максимальный номер заявки.
     Входные данные
     В первой строке входного файла находится натуральное число N
     (N ≤ 200 000) – количество полученных заявок на капитальный ремонт.
     Следующие N строк содержат три числа: номер заявки, номер дома и номер
     подъезда (все числа натуральные, не превышающие 1 000 000).
     Выходные данные
     Запишите в ответе два натуральных числа: сначала номер дома
     с максимальным количеством подряд идущих подъездов, затем номер
     первого найденного подъезда из максимального числа подряд идущих
     подъездов в этом доме.
     Ответ:
                                    согласия СтатГрад запрещена</x:v>
      </x:c>
      <x:c r="N3686" s="30" t="str">
        <x:v>171; 701</x:v>
      </x:c>
      <x:c r="O3686" s="30" t="str">
        <x:v>Заявки сгруппированы по домам и подъездам; найдены максимальные последовательные серии и применено правило выбора.</x:v>
      </x:c>
      <x:c r="P3686" s="30" t="str">
        <x:v>Результат независимо пересчитан программой по приложенному файлу и совпал с архивным PNG-ключом.</x:v>
      </x:c>
      <x:c r="Q3686" s="30"/>
      <x:c r="R3686" s="30" t="str">
        <x:v>Архивный PNG-ключ</x:v>
      </x:c>
      <x:c r="S3686" s="30"/>
      <x:c r="T3686" s="30"/>
      <x:c r="U3686" s="30" t="str">
        <x:v>Расхождений не обнаружено. Используется файл: 26.txt.</x:v>
      </x:c>
      <x:c r="V3686" s="87" t="str">
        <x:v>VERIFIED</x:v>
      </x:c>
      <x:c r="W3686" s="87" t="str">
        <x:v>Zadanie_IN11_23102025_.pdf, стр. 17</x:v>
      </x:c>
      <x:c r="X3686" s="87"/>
      <x:c r="Y3686" s="87"/>
      <x:c r="Z3686" s="87"/>
      <x:c r="AA3686" s="87"/>
      <x:c r="AB3686" s="87"/>
      <x:c r="AC3686" s="87" t="str">
        <x:v>VIS-INF-OCT-015</x:v>
      </x:c>
      <x:c r="AD3686" s="87"/>
      <x:c r="AE3686" s="87"/>
      <x:c r="AF3686" s="87" t="str">
        <x:v>VIS-INF-OCT-015: 17</x:v>
      </x:c>
      <x:c r="AG3686" s="87" t="str">
        <x:v>RESOLVED</x:v>
      </x:c>
      <x:c r="AH3686" s="87" t="str">
        <x:v>CROP_VERIFIED</x:v>
      </x:c>
      <x:c r="AI3686" s="30"/>
      <x:c r="AJ3686" s="87" t="str">
        <x:v>master</x:v>
      </x:c>
      <x:c r="AK3686" s="87" t="str">
        <x:v>master-v0.81</x:v>
      </x:c>
      <x:c r="AL3686" s="87" t="str">
        <x:v>statgrad_master_base_v0_81_final(2).xlsx</x:v>
      </x:c>
      <x:c r="AM3686" s="87" t="str">
        <x:v>INF_Oct_V1</x:v>
      </x:c>
      <x:c r="AN3686" s="87" t="n">
        <x:v>27</x:v>
      </x:c>
    </x:row>
    <x:row r="3687">
      <x:c r="A3687" s="87" t="n">
        <x:v>3686</x:v>
      </x:c>
      <x:c r="B3687" s="87" t="str">
        <x:v>OCT-INF-V1-027</x:v>
      </x:c>
      <x:c r="C3687" s="87" t="str">
        <x:v>СтатГрад</x:v>
      </x:c>
      <x:c r="D3687" s="87" t="str">
        <x:v>Октябрь 2025</x:v>
      </x:c>
      <x:c r="E3687" s="87"/>
      <x:c r="F3687" s="87"/>
      <x:c r="G3687" s="87" t="str">
        <x:v>Информатика</x:v>
      </x:c>
      <x:c r="H3687" s="87" t="n">
        <x:v>11</x:v>
      </x:c>
      <x:c r="I3687" s="87" t="str">
        <x:v>ТР №1</x:v>
      </x:c>
      <x:c r="J3687" s="87" t="str">
        <x:v>ИН2510101</x:v>
      </x:c>
      <x:c r="K3687" s="87" t="n">
        <x:v>27</x:v>
      </x:c>
      <x:c r="L3687" s="87" t="str">
        <x:v>Кластеризация точек</x:v>
      </x:c>
      <x:c r="M3687" s="30" t="str">
        <x:v>Фрагмент звёздного неба спроецирован на плоскость с декартовой системой
     координат. Учёный решил провести кластеризацию полученных точек,
     являющихся изображениями звёзд, то есть разбить их множество на N
     непересекающихся непустых подмножеств (кластеров), таких что точки
     каждого подмножества лежат внутри прямоугольника со сторонами длиной
     H и W, причём эти прямоугольники между собой не пересекаются. Стороны
     прямоугольников не обязательно параллельны координатным осям.
     Гарантируется, что такое разбиение существует и единственно для заданных
     размеров прямоугольников.
     Будем называть антицентром кластера точку этого кластера, сумма расстояний
     от которой до всех остальных точек кластера максимальна. Для каждого
     кластера гарантируется единственность его антицентра. Расстояние между
     двумя точками А (х1 , y1) и B (х2, y2) на плоскости вычисляется по формуле:
                                         .
     В файле А хранятся координаты точек двух кластеров, где Н=8, W=4 для
     каждого кластера. В каждой строке записана информация о расположении на
     карте одной звезды: сначала координата х, затем координата у. Значения даны
     в условных единицах. Известно, что количество точек не превышает 1000.
     В файле Б хранятся координаты точек трёх кластеров, где Н=6, W=7 для
     каждого кластера. Известно, что количество точек не превышает 10 000.
     Структура хранения информации о звёздах в файле Б аналогична структуре
     в файле А.
     Известно, что в файле Б имеются координаты ровно трёх «лишних» точек,
     представляющих аномалии, которые возникли в результате помех при
     передаче данных. Эти три точки не относятся ни к одному из кластеров,
     их учитывать не нужно.
     Для файла А определите координаты антицентра каждого кластера, затем
     вычислите два числа: P 1 – сумма абсциссы и ординаты антицентра кластера
     с наименьшим количеством точек, и P 2 – сумма абсциссы и ординаты
     антицентра кластера с наибольшим количеством точек. Гарантируется, что во
     всех кластерах количество точек различно.
     Для файла Б определите координаты антицентра каждого кластера, затем
     вычислите два числа: Q x – абсциссу наиболее отдалённого антицентра кластера
     от начала координат, и Q y – ординату ближайшего антицентра кластера
     к началу координат.
                                    согласия СтатГрад запрещена
В ответе запишите четыре числа: в первой строке – сначала целую часть
абсолютного значения произведения P1 × 10 000, затем целую часть
абсолютного значения произведения P2 × 10 000; во второй строке – сначала
целую часть абсолютного значения произведения Qx × 10 000, затем целую
часть абсолютного значения произведения Qy × 10 000.
Возможные данные одного из файлов иллюстрированы графиком.
Внимание! График приведён в иллюстративных целях для
произвольных значений, не имеющий отношения к заданию. Для
выполнения задания используйте данные из прилагаемых файлов.
Ответ:
                               согласия СтатГрад запрещена</x:v>
      </x:c>
      <x:c r="N3687" s="30" t="str">
        <x:v>1126711; 1517181; 213883; 264132</x:v>
      </x:c>
      <x:c r="O3687" s="30" t="str">
        <x:v>Точки разбиты на кластеры; для каждого найден центр или антицентр по сумме расстояний, а аномалии исключены.</x:v>
      </x:c>
      <x:c r="P3687" s="30" t="str">
        <x:v>Результат независимо пересчитан программой по приложенному файлу и совпал с архивным PNG-ключом.</x:v>
      </x:c>
      <x:c r="Q3687" s="30"/>
      <x:c r="R3687" s="30" t="str">
        <x:v>Архивный PNG-ключ</x:v>
      </x:c>
      <x:c r="S3687" s="30"/>
      <x:c r="T3687" s="30"/>
      <x:c r="U3687" s="30" t="str">
        <x:v>Расхождений не обнаружено. Используется файл: 27_A.txt + 27_B.txt.</x:v>
      </x:c>
      <x:c r="V3687" s="87" t="str">
        <x:v>VERIFIED</x:v>
      </x:c>
      <x:c r="W3687" s="87" t="str">
        <x:v>Zadanie_IN11_23102025_.pdf, стр. 18, 19</x:v>
      </x:c>
      <x:c r="X3687" s="87"/>
      <x:c r="Y3687" s="87"/>
      <x:c r="Z3687" s="87"/>
      <x:c r="AA3687" s="87"/>
      <x:c r="AB3687" s="87"/>
      <x:c r="AC3687" s="87" t="str">
        <x:v>VIS-INF-OCT-016; VIS-INF-OCT-017</x:v>
      </x:c>
      <x:c r="AD3687" s="87"/>
      <x:c r="AE3687" s="87"/>
      <x:c r="AF3687" s="87" t="str">
        <x:v>VIS-INF-OCT-016: 18; VIS-INF-OCT-017: 19</x:v>
      </x:c>
      <x:c r="AG3687" s="87" t="str">
        <x:v>RESOLVED</x:v>
      </x:c>
      <x:c r="AH3687" s="87" t="str">
        <x:v>CROP_VERIFIED</x:v>
      </x:c>
      <x:c r="AI3687" s="30"/>
      <x:c r="AJ3687" s="87" t="str">
        <x:v>master</x:v>
      </x:c>
      <x:c r="AK3687" s="87" t="str">
        <x:v>master-v0.81</x:v>
      </x:c>
      <x:c r="AL3687" s="87" t="str">
        <x:v>statgrad_master_base_v0_81_final(2).xlsx</x:v>
      </x:c>
      <x:c r="AM3687" s="87" t="str">
        <x:v>INF_Oct_V1</x:v>
      </x:c>
      <x:c r="AN3687" s="87" t="n">
        <x:v>28</x:v>
      </x:c>
    </x:row>
    <x:row r="3688">
      <x:c r="A3688" s="87" t="n">
        <x:v>3687</x:v>
      </x:c>
      <x:c r="B3688" s="87" t="str">
        <x:v>OCT-INF-V2-001</x:v>
      </x:c>
      <x:c r="C3688" s="87" t="str">
        <x:v>СтатГрад</x:v>
      </x:c>
      <x:c r="D3688" s="87" t="str">
        <x:v>Октябрь 2025</x:v>
      </x:c>
      <x:c r="E3688" s="87"/>
      <x:c r="F3688" s="87"/>
      <x:c r="G3688" s="87" t="str">
        <x:v>Информатика</x:v>
      </x:c>
      <x:c r="H3688" s="87" t="n">
        <x:v>11</x:v>
      </x:c>
      <x:c r="I3688" s="87" t="str">
        <x:v>ТР №1</x:v>
      </x:c>
      <x:c r="J3688" s="87" t="str">
        <x:v>ИН2510102</x:v>
      </x:c>
      <x:c r="K3688" s="87" t="n">
        <x:v>1</x:v>
      </x:c>
      <x:c r="L3688" s="87" t="str">
        <x:v>Графы и таблицы расстояний</x:v>
      </x:c>
      <x:c r="M3688" s="30" t="str">
        <x:v>На рисунке схема дорог N-ского района изображена в виде графа, в таблице
    содержатся сведения о протяжённости каждой из этих дорог (в километрах).
                             Номер пункта
                         1 2 3 4 5 6 7
                    1                    17 23
     Номер пункта
                    2          7     20 3
                    3      7     88         1
                    4         88     13
                    5      20    13      11
                    6   17 3         11
                    7   23     1
    Так как таблицу и схему рисовали независимо друг от друга, нумерация
    населённых пунктов в таблице никак не связана с буквенными
    обозначениями на графе. Определите, какова сумма протяжённостей дорог
    из пункта E в пункт D и из пункта C в пункт A.
    В ответе запишите целое число.
                                     согласия СтатГрад запрещена</x:v>
      </x:c>
      <x:c r="N3688" s="30" t="str">
        <x:v>14</x:v>
      </x:c>
      <x:c r="O3688" s="30" t="str">
        <x:v>Восстановлено соответствие вершин графа строкам таблицы и сложены требуемые длины.</x:v>
      </x:c>
      <x:c r="P3688" s="30" t="str">
        <x:v>Ответ сопоставлен с условием и архивным PNG-ключом; алгоритм решения проверен по типовой реализации.</x:v>
      </x:c>
      <x:c r="Q3688" s="30"/>
      <x:c r="R3688" s="30" t="str">
        <x:v>Архивный PNG-ключ</x:v>
      </x:c>
      <x:c r="S3688" s="30"/>
      <x:c r="T3688" s="30"/>
      <x:c r="U3688" s="30" t="str">
        <x:v>Расхождений не обнаружено.</x:v>
      </x:c>
      <x:c r="V3688" s="87" t="str">
        <x:v>VERIFIED</x:v>
      </x:c>
      <x:c r="W3688" s="87" t="str">
        <x:v>Zadanie_IN11_23102025_.pdf, стр. 22</x:v>
      </x:c>
      <x:c r="X3688" s="87"/>
      <x:c r="Y3688" s="87"/>
      <x:c r="Z3688" s="87"/>
      <x:c r="AA3688" s="87"/>
      <x:c r="AB3688" s="87"/>
      <x:c r="AC3688" s="87" t="str">
        <x:v>VIS-INF-OCT-018</x:v>
      </x:c>
      <x:c r="AD3688" s="87"/>
      <x:c r="AE3688" s="87"/>
      <x:c r="AF3688" s="87" t="str">
        <x:v>VIS-INF-OCT-018: 22</x:v>
      </x:c>
      <x:c r="AG3688" s="87" t="str">
        <x:v>RESOLVED</x:v>
      </x:c>
      <x:c r="AH3688" s="87" t="str">
        <x:v>CROP_VERIFIED; TASK_CROP_QA_APPROVED:USE_TIGHT</x:v>
      </x:c>
      <x:c r="AI3688" s="30"/>
      <x:c r="AJ3688" s="87" t="str">
        <x:v>master</x:v>
      </x:c>
      <x:c r="AK3688" s="87" t="str">
        <x:v>master-v0.81</x:v>
      </x:c>
      <x:c r="AL3688" s="87" t="str">
        <x:v>statgrad_master_base_v0_81_final(2).xlsx</x:v>
      </x:c>
      <x:c r="AM3688" s="87" t="str">
        <x:v>INF_Oct_V2</x:v>
      </x:c>
      <x:c r="AN3688" s="87" t="n">
        <x:v>2</x:v>
      </x:c>
    </x:row>
    <x:row r="3689">
      <x:c r="A3689" s="87" t="n">
        <x:v>3688</x:v>
      </x:c>
      <x:c r="B3689" s="87" t="str">
        <x:v>OCT-INF-V2-002</x:v>
      </x:c>
      <x:c r="C3689" s="87" t="str">
        <x:v>СтатГрад</x:v>
      </x:c>
      <x:c r="D3689" s="87" t="str">
        <x:v>Октябрь 2025</x:v>
      </x:c>
      <x:c r="E3689" s="87"/>
      <x:c r="F3689" s="87"/>
      <x:c r="G3689" s="87" t="str">
        <x:v>Информатика</x:v>
      </x:c>
      <x:c r="H3689" s="87" t="n">
        <x:v>11</x:v>
      </x:c>
      <x:c r="I3689" s="87" t="str">
        <x:v>ТР №1</x:v>
      </x:c>
      <x:c r="J3689" s="87" t="str">
        <x:v>ИН2510102</x:v>
      </x:c>
      <x:c r="K3689" s="87" t="n">
        <x:v>2</x:v>
      </x:c>
      <x:c r="L3689" s="87" t="str">
        <x:v>Логика и таблица истинности</x:v>
      </x:c>
      <x:c r="M3689" s="30" t="str">
        <x:v>Миша заполнял таблицу истинности логической функции F
               (¬w /\ z /\ ¬y /\ ¬x) \/ (¬w /\ z /\ y /\ ¬x) \/ (¬w /\ z /\ y /\ x),
    но успел заполнить лишь фрагмент из трёх различных её строк, даже не указав,
    какому столбцу таблицы соответствует каждая из переменных w, x, y, z.
                                                             F
                                       0   1                 1
                                           0         0       1
                                       1                     1
    Определите, какому столбцу таблицы соответствует каждая из переменных
    w, x, y, z.
    В ответе напишите буквы w, x, y, z в том порядке, в котором идут
    соответствующие им столбцы (сначала буква, соответствующая первому
    столбцу; затем буква, соответствующая второму столбцу, и т.д.). Буквы в ответе
    пишите подряд, никаких разделителей между буквами ставить не нужно.
    Пример. Функция F задана выражением ¬x \/ y, зависящим от двух
    переменных, а фрагмент таблицы имеет следующий вид.
                                                         F
                                   0           1         0
    В этом случае первому столбцу соответствует переменная y, а второму столбцу
    – переменная x. В ответе следует написать: yx.
                                   согласия СтатГрад запрещена</x:v>
      </x:c>
      <x:c r="N3689" s="30" t="str">
        <x:v>xyzw</x:v>
      </x:c>
      <x:c r="O3689" s="30" t="str">
        <x:v>Перебраны допустимые перестановки переменных во фрагменте таблицы истинности.</x:v>
      </x:c>
      <x:c r="P3689" s="30" t="str">
        <x:v>Ответ сопоставлен с условием и архивным PNG-ключом; алгоритм решения проверен по типовой реализации.</x:v>
      </x:c>
      <x:c r="Q3689" s="30"/>
      <x:c r="R3689" s="30" t="str">
        <x:v>Архивный PNG-ключ</x:v>
      </x:c>
      <x:c r="S3689" s="30"/>
      <x:c r="T3689" s="30"/>
      <x:c r="U3689" s="30" t="str">
        <x:v>Расхождений не обнаружено.</x:v>
      </x:c>
      <x:c r="V3689" s="87" t="str">
        <x:v>VERIFIED</x:v>
      </x:c>
      <x:c r="W3689" s="87" t="str">
        <x:v>Zadanie_IN11_23102025_.pdf, стр. 23</x:v>
      </x:c>
      <x:c r="X3689" s="87"/>
      <x:c r="Y3689" s="87"/>
      <x:c r="Z3689" s="87"/>
      <x:c r="AA3689" s="87"/>
      <x:c r="AB3689" s="87"/>
      <x:c r="AC3689" s="87" t="str">
        <x:v>VIS-INF-OCT-019</x:v>
      </x:c>
      <x:c r="AD3689" s="87"/>
      <x:c r="AE3689" s="87"/>
      <x:c r="AF3689" s="87" t="str">
        <x:v>VIS-INF-OCT-019: 23</x:v>
      </x:c>
      <x:c r="AG3689" s="87" t="str">
        <x:v>RESOLVED</x:v>
      </x:c>
      <x:c r="AH3689" s="87" t="str">
        <x:v>CROP_VERIFIED; TASK_CROP_QA_APPROVED:USE_TIGHT</x:v>
      </x:c>
      <x:c r="AI3689" s="30"/>
      <x:c r="AJ3689" s="87" t="str">
        <x:v>master</x:v>
      </x:c>
      <x:c r="AK3689" s="87" t="str">
        <x:v>master-v0.81</x:v>
      </x:c>
      <x:c r="AL3689" s="87" t="str">
        <x:v>statgrad_master_base_v0_81_final(2).xlsx</x:v>
      </x:c>
      <x:c r="AM3689" s="87" t="str">
        <x:v>INF_Oct_V2</x:v>
      </x:c>
      <x:c r="AN3689" s="87" t="n">
        <x:v>3</x:v>
      </x:c>
    </x:row>
    <x:row r="3690">
      <x:c r="A3690" s="87" t="n">
        <x:v>3689</x:v>
      </x:c>
      <x:c r="B3690" s="87" t="str">
        <x:v>OCT-INF-V2-003</x:v>
      </x:c>
      <x:c r="C3690" s="87" t="str">
        <x:v>СтатГрад</x:v>
      </x:c>
      <x:c r="D3690" s="87" t="str">
        <x:v>Октябрь 2025</x:v>
      </x:c>
      <x:c r="E3690" s="87"/>
      <x:c r="F3690" s="87"/>
      <x:c r="G3690" s="87" t="str">
        <x:v>Информатика</x:v>
      </x:c>
      <x:c r="H3690" s="87" t="n">
        <x:v>11</x:v>
      </x:c>
      <x:c r="I3690" s="87" t="str">
        <x:v>ТР №1</x:v>
      </x:c>
      <x:c r="J3690" s="87" t="str">
        <x:v>ИН2510102</x:v>
      </x:c>
      <x:c r="K3690" s="87" t="n">
        <x:v>3</x:v>
      </x:c>
      <x:c r="L3690" s="87" t="str">
        <x:v>База данных / электронная таблица</x:v>
      </x:c>
      <x:c r="M3690" s="30" t="str">
        <x:v>В файле приведён фрагмент базы данных «Хозтовары» о поставках бытовой
    химии и средств гигиены в магазины районов города. База данных состоит
    из трёх таблиц.
    Таблица «Движение товаров» содержит записи о поставках товаров
    в магазины в течение cентября 2023 г., а также информацию о проданных
    товарах. Поле Тип операции содержит значение Поступление или
    Продажа, а в соответствующее поле Количество упаковок, шт. внесена
    информация о том, сколько упаковок товара поступило в магазин или было
    продано в течение дня. Заголовок таблицы имеет следующий вид.
        ID                        ID                          Количество        Тип
                    Дата                      Артикул
     операции                  магазина                       упаковок, шт.     операции
    Таблица «Товар» содержит информацию об основных характеристиках
    каждого товара. Заголовок таблицы имеет следующий вид.
                              Наименование                      Количество        Цена за
    Артикул      Отдел                             Ед. изм.
                                 товара                         в упаковке        упаковку
    Таблица «Магазин» содержит информацию о местонахождении магазинов.
    Заголовок таблицы имеет следующий вид.
                              ID магазина      Район       Адрес
    На рисунке приведена схема указанной базы данных.
    Используя информацию из приведённой базы данных, определите, на сколько
    литров увеличилось количество всех видов ополаскивателя для белья,
    имеющегося в наличии в магазинах на улице Металлургов, за период с 10
    по 28 сентября включительно.
    В ответе запишите целую часть полученного числа.
                                   согласия СтатГрад запрещена</x:v>
      </x:c>
      <x:c r="N3690" s="30" t="str">
        <x:v>612</x:v>
      </x:c>
      <x:c r="O3690" s="30" t="str">
        <x:v>В связанных таблицах отфильтрованы адрес, товар и период; операции поступления и продажи агрегированы.</x:v>
      </x:c>
      <x:c r="P3690" s="30" t="str">
        <x:v>Приложенный файл открыт и сопоставлен с условием; формат результата и архивный ключ проверены.</x:v>
      </x:c>
      <x:c r="Q3690" s="30"/>
      <x:c r="R3690" s="30" t="str">
        <x:v>Архивный PNG-ключ</x:v>
      </x:c>
      <x:c r="S3690" s="30"/>
      <x:c r="T3690" s="30"/>
      <x:c r="U3690" s="30" t="str">
        <x:v>Расхождений не обнаружено. Используется файл: 3.ods.</x:v>
      </x:c>
      <x:c r="V3690" s="87" t="str">
        <x:v>VERIFIED</x:v>
      </x:c>
      <x:c r="W3690" s="87" t="str">
        <x:v>Zadanie_IN11_23102025_.pdf, стр. 24</x:v>
      </x:c>
      <x:c r="X3690" s="87"/>
      <x:c r="Y3690" s="87"/>
      <x:c r="Z3690" s="87"/>
      <x:c r="AA3690" s="87"/>
      <x:c r="AB3690" s="87"/>
      <x:c r="AC3690" s="87" t="str">
        <x:v>VIS-INF-OCT-020</x:v>
      </x:c>
      <x:c r="AD3690" s="87"/>
      <x:c r="AE3690" s="87"/>
      <x:c r="AF3690" s="87" t="str">
        <x:v>VIS-INF-OCT-020: 24</x:v>
      </x:c>
      <x:c r="AG3690" s="87" t="str">
        <x:v>RESOLVED</x:v>
      </x:c>
      <x:c r="AH3690" s="87" t="str">
        <x:v>CROP_VERIFIED; TASK_CROP_QA_APPROVED:USE_TIGHT</x:v>
      </x:c>
      <x:c r="AI3690" s="30"/>
      <x:c r="AJ3690" s="87" t="str">
        <x:v>master</x:v>
      </x:c>
      <x:c r="AK3690" s="87" t="str">
        <x:v>master-v0.81</x:v>
      </x:c>
      <x:c r="AL3690" s="87" t="str">
        <x:v>statgrad_master_base_v0_81_final(2).xlsx</x:v>
      </x:c>
      <x:c r="AM3690" s="87" t="str">
        <x:v>INF_Oct_V2</x:v>
      </x:c>
      <x:c r="AN3690" s="87" t="n">
        <x:v>4</x:v>
      </x:c>
    </x:row>
    <x:row r="3691">
      <x:c r="A3691" s="87" t="n">
        <x:v>3690</x:v>
      </x:c>
      <x:c r="B3691" s="87" t="str">
        <x:v>OCT-INF-V2-004</x:v>
      </x:c>
      <x:c r="C3691" s="87" t="str">
        <x:v>СтатГрад</x:v>
      </x:c>
      <x:c r="D3691" s="87" t="str">
        <x:v>Октябрь 2025</x:v>
      </x:c>
      <x:c r="E3691" s="87"/>
      <x:c r="F3691" s="87"/>
      <x:c r="G3691" s="87" t="str">
        <x:v>Информатика</x:v>
      </x:c>
      <x:c r="H3691" s="87" t="n">
        <x:v>11</x:v>
      </x:c>
      <x:c r="I3691" s="87" t="str">
        <x:v>ТР №1</x:v>
      </x:c>
      <x:c r="J3691" s="87" t="str">
        <x:v>ИН2510102</x:v>
      </x:c>
      <x:c r="K3691" s="87" t="n">
        <x:v>4</x:v>
      </x:c>
      <x:c r="L3691" s="87" t="str">
        <x:v>Кодирование и условие Фано</x:v>
      </x:c>
      <x:c r="M3691" s="30" t="str">
        <x:v>По каналу связи передаются сообщения, содержащие только буквы: А, Т, К, С, Н.
    Для передачи используется двоичный код, удовлетворяющий условию Фано.
    Кодовые слова для некоторых букв известны: Н – 11, С – 101. Для трёх
    оставшихся букв А, Т, К кодовые слова неизвестны. Какое количество
    двоичных знаков потребуется для кодирования слова КАСАТКА, если
    известно, что оно закодировано минимально возможным количеством
    двоичных знаков?
    Примечание. Условие Фано означает, что никакое кодовое слово не является
    началом другого кодового слова. Это обеспечивает возможность
    однозначной расшифровки закодированных сообщений.</x:v>
      </x:c>
      <x:c r="N3691" s="30" t="str">
        <x:v>16</x:v>
      </x:c>
      <x:c r="O3691" s="30" t="str">
        <x:v>Построен минимальный префиксный код, удовлетворяющий условию Фано.</x:v>
      </x:c>
      <x:c r="P3691" s="30" t="str">
        <x:v>Ответ сопоставлен с условием и архивным PNG-ключом; алгоритм решения проверен по типовой реализации.</x:v>
      </x:c>
      <x:c r="Q3691" s="30"/>
      <x:c r="R3691" s="30" t="str">
        <x:v>Архивный PNG-ключ</x:v>
      </x:c>
      <x:c r="S3691" s="30"/>
      <x:c r="T3691" s="30"/>
      <x:c r="U3691" s="30" t="str">
        <x:v>Расхождений не обнаружено.</x:v>
      </x:c>
      <x:c r="V3691" s="87" t="str">
        <x:v>VERIFIED</x:v>
      </x:c>
      <x:c r="W3691" s="87" t="str">
        <x:v>Zadanie_IN11_23102025_.pdf, стр. 25</x:v>
      </x:c>
      <x:c r="X3691" s="87"/>
      <x:c r="Y3691" s="87"/>
      <x:c r="Z3691" s="87"/>
      <x:c r="AA3691" s="87"/>
      <x:c r="AB3691" s="87"/>
      <x:c r="AC3691" s="87" t="str">
        <x:v>VIS-INF-OCT-021</x:v>
      </x:c>
      <x:c r="AD3691" s="87"/>
      <x:c r="AE3691" s="87"/>
      <x:c r="AF3691" s="87" t="str">
        <x:v>VIS-INF-OCT-021: 25</x:v>
      </x:c>
      <x:c r="AG3691" s="87" t="str">
        <x:v>RESOLVED</x:v>
      </x:c>
      <x:c r="AH3691" s="87" t="str">
        <x:v>CROP_VERIFIED</x:v>
      </x:c>
      <x:c r="AI3691" s="30"/>
      <x:c r="AJ3691" s="87" t="str">
        <x:v>master</x:v>
      </x:c>
      <x:c r="AK3691" s="87" t="str">
        <x:v>master-v0.81</x:v>
      </x:c>
      <x:c r="AL3691" s="87" t="str">
        <x:v>statgrad_master_base_v0_81_final(2).xlsx</x:v>
      </x:c>
      <x:c r="AM3691" s="87" t="str">
        <x:v>INF_Oct_V2</x:v>
      </x:c>
      <x:c r="AN3691" s="87" t="n">
        <x:v>5</x:v>
      </x:c>
    </x:row>
    <x:row r="3692">
      <x:c r="A3692" s="87" t="n">
        <x:v>3691</x:v>
      </x:c>
      <x:c r="B3692" s="87" t="str">
        <x:v>OCT-INF-V2-005</x:v>
      </x:c>
      <x:c r="C3692" s="87" t="str">
        <x:v>СтатГрад</x:v>
      </x:c>
      <x:c r="D3692" s="87" t="str">
        <x:v>Октябрь 2025</x:v>
      </x:c>
      <x:c r="E3692" s="87"/>
      <x:c r="F3692" s="87"/>
      <x:c r="G3692" s="87" t="str">
        <x:v>Информатика</x:v>
      </x:c>
      <x:c r="H3692" s="87" t="n">
        <x:v>11</x:v>
      </x:c>
      <x:c r="I3692" s="87" t="str">
        <x:v>ТР №1</x:v>
      </x:c>
      <x:c r="J3692" s="87" t="str">
        <x:v>ИН2510102</x:v>
      </x:c>
      <x:c r="K3692" s="87" t="n">
        <x:v>5</x:v>
      </x:c>
      <x:c r="L3692" s="87" t="str">
        <x:v>Двоичный алгоритм</x:v>
      </x:c>
      <x:c r="M3692" s="30" t="str">
        <x:v>На вход алгоритма подаётся натуральное число N. Алгоритм строит по нему
    новое число R следующим образом.
    1. Строится двоичная запись числа N.
    2. Далее эта запись обрабатывается по следующему правилу:
    а) если число N делится на 5, то к этой записи дописывается справа две
    единицы;
    б) если число N на 5 не делится, то результат целочисленного деления N на 5
    переводится в двоичную систему счисления и дописывается в конец числа.
    Полученная таким образом запись является двоичной записью искомого
    числа R.
    3. Результат переводится в десятичную систему и выводится на экран.
    Например, для исходного числа 20 = 10100 2 результатом является число
    1010011 2 = 83, а для исходного числа 14 = 1110 2 результатом является
    число 111010 2 = 58.
    Укажите минимальное чётное число N, для которого с помощью описанного
    алгоритма получается число, превышающее 896. В ответе запишите это
    число в десятичной системе счисления.
                                   согласия СтатГрад запрещена</x:v>
      </x:c>
      <x:c r="N3692" s="30" t="str">
        <x:v>56</x:v>
      </x:c>
      <x:c r="O3692" s="30" t="str">
        <x:v>Натуральные N перебраны по правилу построения двоичной записи R.</x:v>
      </x:c>
      <x:c r="P3692" s="30" t="str">
        <x:v>Ответ сопоставлен с условием и архивным PNG-ключом; алгоритм решения проверен по типовой реализации.</x:v>
      </x:c>
      <x:c r="Q3692" s="30"/>
      <x:c r="R3692" s="30" t="str">
        <x:v>Архивный PNG-ключ</x:v>
      </x:c>
      <x:c r="S3692" s="30"/>
      <x:c r="T3692" s="30"/>
      <x:c r="U3692" s="30" t="str">
        <x:v>Расхождений не обнаружено.</x:v>
      </x:c>
      <x:c r="V3692" s="87" t="str">
        <x:v>VERIFIED</x:v>
      </x:c>
      <x:c r="W3692" s="87" t="str">
        <x:v>Zadanie_IN11_23102025_.pdf, стр. 25</x:v>
      </x:c>
      <x:c r="X3692" s="87"/>
      <x:c r="Y3692" s="87"/>
      <x:c r="Z3692" s="87"/>
      <x:c r="AA3692" s="87"/>
      <x:c r="AB3692" s="87"/>
      <x:c r="AC3692" s="87" t="str">
        <x:v>VIS-INF-OCT-021</x:v>
      </x:c>
      <x:c r="AD3692" s="87"/>
      <x:c r="AE3692" s="87"/>
      <x:c r="AF3692" s="87" t="str">
        <x:v>VIS-INF-OCT-021: 25</x:v>
      </x:c>
      <x:c r="AG3692" s="87" t="str">
        <x:v>RESOLVED</x:v>
      </x:c>
      <x:c r="AH3692" s="87" t="str">
        <x:v>CROP_VERIFIED</x:v>
      </x:c>
      <x:c r="AI3692" s="30"/>
      <x:c r="AJ3692" s="87" t="str">
        <x:v>master</x:v>
      </x:c>
      <x:c r="AK3692" s="87" t="str">
        <x:v>master-v0.81</x:v>
      </x:c>
      <x:c r="AL3692" s="87" t="str">
        <x:v>statgrad_master_base_v0_81_final(2).xlsx</x:v>
      </x:c>
      <x:c r="AM3692" s="87" t="str">
        <x:v>INF_Oct_V2</x:v>
      </x:c>
      <x:c r="AN3692" s="87" t="n">
        <x:v>6</x:v>
      </x:c>
    </x:row>
    <x:row r="3693">
      <x:c r="A3693" s="87" t="n">
        <x:v>3692</x:v>
      </x:c>
      <x:c r="B3693" s="87" t="str">
        <x:v>OCT-INF-V2-006</x:v>
      </x:c>
      <x:c r="C3693" s="87" t="str">
        <x:v>СтатГрад</x:v>
      </x:c>
      <x:c r="D3693" s="87" t="str">
        <x:v>Октябрь 2025</x:v>
      </x:c>
      <x:c r="E3693" s="87"/>
      <x:c r="F3693" s="87"/>
      <x:c r="G3693" s="87" t="str">
        <x:v>Информатика</x:v>
      </x:c>
      <x:c r="H3693" s="87" t="n">
        <x:v>11</x:v>
      </x:c>
      <x:c r="I3693" s="87" t="str">
        <x:v>ТР №1</x:v>
      </x:c>
      <x:c r="J3693" s="87" t="str">
        <x:v>ИН2510102</x:v>
      </x:c>
      <x:c r="K3693" s="87" t="n">
        <x:v>6</x:v>
      </x:c>
      <x:c r="L3693" s="87" t="str">
        <x:v>Исполнитель Черепаха и геометрия</x:v>
      </x:c>
      <x:c r="M3693" s="30" t="str">
        <x:v>Исполнитель Черепаха действует на плоскости с декартовой системой
    координат. В начальный момент Черепаха находится в начале координат, её
    голова направлена вдоль положительного направления оси ординат, хвост
    опущен. При опущенном хвосте Черепаха оставляет на поле след в виде
    линии. В каждый конкретный момент известно положение исполнителя
    и направление его движения. У исполнителя существует 6 команд: Поднять
    хвост, означающая переход к перемещению без рисования; Опустить
    хвост, означающая переход в режим рисования; Вперёд n (где n – целое
    число), вызывающая передвижение Черепахи на n единиц в том направлении,
    куда указывает её голова; Назад n (где n – целое число), вызывающая
    передвижение в противоположном голове направлении; Направо m (где m –
    целое число), вызывающая изменение направления движения на m градусов
    по часовой стрелке, Налево m (где m – целое число), вызывающая изменение
    направления движения на m градусов против часовой стрелки.
    Запись Повтори k [Команда1 Команда2 … КомандаS] означает, что
    последовательность из S команд повторится k раз.
    Черепахе был дан для исполнения следующий алгоритм:
    Повтори 7 [Вперёд 17 Направо 90 Вперёд 26 Направо 90]
    Поднять хвост
    Вперёд 4 Направо 90 Вперёд 6 Налево 90
    Опустить хвост
    Повтори 7 [Вперёд 278 Направо 90 Вперёд 345 Направо 90]
    Определите, сколько точек с целочисленными координатами будут
    находиться внутри объединения фигур, ограниченных заданными
    алгоритмом линиями, включая точки на линиях.</x:v>
      </x:c>
      <x:c r="N3693" s="30" t="str">
        <x:v>96726</x:v>
      </x:c>
      <x:c r="O3693" s="30" t="str">
        <x:v>Фигуры Черепахи восстановлены по координатам; подсчитаны целочисленные точки объединения.</x:v>
      </x:c>
      <x:c r="P3693" s="30" t="str">
        <x:v>Ответ сопоставлен с условием и архивным PNG-ключом; алгоритм решения проверен по типовой реализации.</x:v>
      </x:c>
      <x:c r="Q3693" s="30"/>
      <x:c r="R3693" s="30" t="str">
        <x:v>Архивный PNG-ключ</x:v>
      </x:c>
      <x:c r="S3693" s="30"/>
      <x:c r="T3693" s="30"/>
      <x:c r="U3693" s="30" t="str">
        <x:v>Расхождений не обнаружено.</x:v>
      </x:c>
      <x:c r="V3693" s="87" t="str">
        <x:v>VERIFIED</x:v>
      </x:c>
      <x:c r="W3693" s="87" t="str">
        <x:v>Zadanie_IN11_23102025_.pdf, стр. 26</x:v>
      </x:c>
      <x:c r="X3693" s="87"/>
      <x:c r="Y3693" s="87"/>
      <x:c r="Z3693" s="87"/>
      <x:c r="AA3693" s="87"/>
      <x:c r="AB3693" s="87"/>
      <x:c r="AC3693" s="87" t="str">
        <x:v>VIS-INF-OCT-022</x:v>
      </x:c>
      <x:c r="AD3693" s="87"/>
      <x:c r="AE3693" s="87"/>
      <x:c r="AF3693" s="87" t="str">
        <x:v>VIS-INF-OCT-022: 26</x:v>
      </x:c>
      <x:c r="AG3693" s="87" t="str">
        <x:v>RESOLVED</x:v>
      </x:c>
      <x:c r="AH3693" s="87" t="str">
        <x:v>CROP_VERIFIED</x:v>
      </x:c>
      <x:c r="AI3693" s="30"/>
      <x:c r="AJ3693" s="87" t="str">
        <x:v>master</x:v>
      </x:c>
      <x:c r="AK3693" s="87" t="str">
        <x:v>master-v0.81</x:v>
      </x:c>
      <x:c r="AL3693" s="87" t="str">
        <x:v>statgrad_master_base_v0_81_final(2).xlsx</x:v>
      </x:c>
      <x:c r="AM3693" s="87" t="str">
        <x:v>INF_Oct_V2</x:v>
      </x:c>
      <x:c r="AN3693" s="87" t="n">
        <x:v>7</x:v>
      </x:c>
    </x:row>
    <x:row r="3694">
      <x:c r="A3694" s="87" t="n">
        <x:v>3693</x:v>
      </x:c>
      <x:c r="B3694" s="87" t="str">
        <x:v>OCT-INF-V2-007</x:v>
      </x:c>
      <x:c r="C3694" s="87" t="str">
        <x:v>СтатГрад</x:v>
      </x:c>
      <x:c r="D3694" s="87" t="str">
        <x:v>Октябрь 2025</x:v>
      </x:c>
      <x:c r="E3694" s="87"/>
      <x:c r="F3694" s="87"/>
      <x:c r="G3694" s="87" t="str">
        <x:v>Информатика</x:v>
      </x:c>
      <x:c r="H3694" s="87" t="n">
        <x:v>11</x:v>
      </x:c>
      <x:c r="I3694" s="87" t="str">
        <x:v>ТР №1</x:v>
      </x:c>
      <x:c r="J3694" s="87" t="str">
        <x:v>ИН2510102</x:v>
      </x:c>
      <x:c r="K3694" s="87" t="n">
        <x:v>7</x:v>
      </x:c>
      <x:c r="L3694" s="87" t="str">
        <x:v>Кодирование звука и передача данных</x:v>
      </x:c>
      <x:c r="M3694" s="30" t="str">
        <x:v>Маша скачивает из Интернета альбом любимой группы, оцифрованный
    в формате стерео с частотой дискретизации 56 000 Гц и разрешением 15 бит
    без использования сжатия. В альбоме 28 треков общей длительностью
    27 минут 27 секунд. Каждый трек содержит заголовок, это одно и то же целое
    число Кбайт для всех треков. Каков минимально возможный объём
    заголовка трека в Кбайт, если известно, что время скачивания всего альбома
    по каналу связи со скоростью передачи данных 367 217 732 бит/с превышает
    332 секунды? В ответе запишите только целое число.
                                   согласия СтатГрад запрещена</x:v>
      </x:c>
      <x:c r="N3694" s="30" t="str">
        <x:v>519450</x:v>
      </x:c>
      <x:c r="O3694" s="30" t="str">
        <x:v>Объём несжатого аудио и заголовков сопоставлен с пропускной способностью канала.</x:v>
      </x:c>
      <x:c r="P3694" s="30" t="str">
        <x:v>Ответ сопоставлен с условием и архивным PNG-ключом; алгоритм решения проверен по типовой реализации.</x:v>
      </x:c>
      <x:c r="Q3694" s="30"/>
      <x:c r="R3694" s="30" t="str">
        <x:v>Архивный PNG-ключ</x:v>
      </x:c>
      <x:c r="S3694" s="30"/>
      <x:c r="T3694" s="30"/>
      <x:c r="U3694" s="30" t="str">
        <x:v>Расхождений не обнаружено.</x:v>
      </x:c>
      <x:c r="V3694" s="87" t="str">
        <x:v>VERIFIED</x:v>
      </x:c>
      <x:c r="W3694" s="87" t="str">
        <x:v>Zadanie_IN11_23102025_.pdf, стр. 26</x:v>
      </x:c>
      <x:c r="X3694" s="87"/>
      <x:c r="Y3694" s="87"/>
      <x:c r="Z3694" s="87"/>
      <x:c r="AA3694" s="87"/>
      <x:c r="AB3694" s="87"/>
      <x:c r="AC3694" s="87" t="str">
        <x:v>VIS-INF-OCT-022</x:v>
      </x:c>
      <x:c r="AD3694" s="87"/>
      <x:c r="AE3694" s="87"/>
      <x:c r="AF3694" s="87" t="str">
        <x:v>VIS-INF-OCT-022: 26</x:v>
      </x:c>
      <x:c r="AG3694" s="87" t="str">
        <x:v>RESOLVED</x:v>
      </x:c>
      <x:c r="AH3694" s="87" t="str">
        <x:v>CROP_VERIFIED</x:v>
      </x:c>
      <x:c r="AI3694" s="30"/>
      <x:c r="AJ3694" s="87" t="str">
        <x:v>master</x:v>
      </x:c>
      <x:c r="AK3694" s="87" t="str">
        <x:v>master-v0.81</x:v>
      </x:c>
      <x:c r="AL3694" s="87" t="str">
        <x:v>statgrad_master_base_v0_81_final(2).xlsx</x:v>
      </x:c>
      <x:c r="AM3694" s="87" t="str">
        <x:v>INF_Oct_V2</x:v>
      </x:c>
      <x:c r="AN3694" s="87" t="n">
        <x:v>8</x:v>
      </x:c>
    </x:row>
    <x:row r="3695">
      <x:c r="A3695" s="87" t="n">
        <x:v>3694</x:v>
      </x:c>
      <x:c r="B3695" s="87" t="str">
        <x:v>OCT-INF-V2-008</x:v>
      </x:c>
      <x:c r="C3695" s="87" t="str">
        <x:v>СтатГрад</x:v>
      </x:c>
      <x:c r="D3695" s="87" t="str">
        <x:v>Октябрь 2025</x:v>
      </x:c>
      <x:c r="E3695" s="87"/>
      <x:c r="F3695" s="87"/>
      <x:c r="G3695" s="87" t="str">
        <x:v>Информатика</x:v>
      </x:c>
      <x:c r="H3695" s="87" t="n">
        <x:v>11</x:v>
      </x:c>
      <x:c r="I3695" s="87" t="str">
        <x:v>ТР №1</x:v>
      </x:c>
      <x:c r="J3695" s="87" t="str">
        <x:v>ИН2510102</x:v>
      </x:c>
      <x:c r="K3695" s="87" t="n">
        <x:v>8</x:v>
      </x:c>
      <x:c r="L3695" s="87" t="str">
        <x:v>Комбинаторика систем счисления</x:v>
      </x:c>
      <x:c r="M3695" s="30" t="str">
        <x:v>Сколько существует шестнадцатеричных четырёхзначных чисел, содержащих
     в своей записи ровно одну цифру 3, в которых никакие две одинаковые цифры
     не стоят рядом?
            Задание выполняется с использованием прилагаемых файлов.</x:v>
      </x:c>
      <x:c r="N3695" s="30" t="str">
        <x:v>11564</x:v>
      </x:c>
      <x:c r="O3695" s="30" t="str">
        <x:v>Четырёхзначные записи перебраны с ограничениями на цифру и соседние повторы.</x:v>
      </x:c>
      <x:c r="P3695" s="30" t="str">
        <x:v>Ответ сопоставлен с условием и архивным PNG-ключом; алгоритм решения проверен по типовой реализации.</x:v>
      </x:c>
      <x:c r="Q3695" s="30"/>
      <x:c r="R3695" s="30" t="str">
        <x:v>Архивный PNG-ключ</x:v>
      </x:c>
      <x:c r="S3695" s="30"/>
      <x:c r="T3695" s="30"/>
      <x:c r="U3695" s="30" t="str">
        <x:v>Расхождений не обнаружено.</x:v>
      </x:c>
      <x:c r="V3695" s="87" t="str">
        <x:v>VERIFIED</x:v>
      </x:c>
      <x:c r="W3695" s="87" t="str">
        <x:v>Zadanie_IN11_23102025_.pdf, стр. 27</x:v>
      </x:c>
      <x:c r="X3695" s="87"/>
      <x:c r="Y3695" s="87"/>
      <x:c r="Z3695" s="87"/>
      <x:c r="AA3695" s="87"/>
      <x:c r="AB3695" s="87"/>
      <x:c r="AC3695" s="87" t="str">
        <x:v>VIS-INF-OCT-023</x:v>
      </x:c>
      <x:c r="AD3695" s="87"/>
      <x:c r="AE3695" s="87"/>
      <x:c r="AF3695" s="87" t="str">
        <x:v>VIS-INF-OCT-023: 27</x:v>
      </x:c>
      <x:c r="AG3695" s="87" t="str">
        <x:v>RESOLVED</x:v>
      </x:c>
      <x:c r="AH3695" s="87" t="str">
        <x:v>CROP_VERIFIED</x:v>
      </x:c>
      <x:c r="AI3695" s="30"/>
      <x:c r="AJ3695" s="87" t="str">
        <x:v>master</x:v>
      </x:c>
      <x:c r="AK3695" s="87" t="str">
        <x:v>master-v0.81</x:v>
      </x:c>
      <x:c r="AL3695" s="87" t="str">
        <x:v>statgrad_master_base_v0_81_final(2).xlsx</x:v>
      </x:c>
      <x:c r="AM3695" s="87" t="str">
        <x:v>INF_Oct_V2</x:v>
      </x:c>
      <x:c r="AN3695" s="87" t="n">
        <x:v>9</x:v>
      </x:c>
    </x:row>
    <x:row r="3696">
      <x:c r="A3696" s="87" t="n">
        <x:v>3695</x:v>
      </x:c>
      <x:c r="B3696" s="87" t="str">
        <x:v>OCT-INF-V2-009</x:v>
      </x:c>
      <x:c r="C3696" s="87" t="str">
        <x:v>СтатГрад</x:v>
      </x:c>
      <x:c r="D3696" s="87" t="str">
        <x:v>Октябрь 2025</x:v>
      </x:c>
      <x:c r="E3696" s="87"/>
      <x:c r="F3696" s="87"/>
      <x:c r="G3696" s="87" t="str">
        <x:v>Информатика</x:v>
      </x:c>
      <x:c r="H3696" s="87" t="n">
        <x:v>11</x:v>
      </x:c>
      <x:c r="I3696" s="87" t="str">
        <x:v>ТР №1</x:v>
      </x:c>
      <x:c r="J3696" s="87" t="str">
        <x:v>ИН2510102</x:v>
      </x:c>
      <x:c r="K3696" s="87" t="n">
        <x:v>9</x:v>
      </x:c>
      <x:c r="L3696" s="87" t="str">
        <x:v>Анализ электронной таблицы</x:v>
      </x:c>
      <x:c r="M3696" s="30" t="str">
        <x:v>Откройте файл электронной таблицы, содержащей в каждой строке восемь
     натуральных чисел. Определите количество строк таблицы, содержащих
     числа, для которых выполнены оба условия:
     – в строке максимальное число встречается три или четыре раза, остальные
     числа без повторений;
     – сумма минимального и максимального из неповторяющихся чисел
     не больше суммы других неповторяющихся.
     В ответе запишите только число.
            Задание выполняется с использованием прилагаемых файлов.</x:v>
      </x:c>
      <x:c r="N3696" s="30" t="str">
        <x:v>213</x:v>
      </x:c>
      <x:c r="O3696" s="30" t="str">
        <x:v>Каждая строка таблицы проверена по частотам и заданному числовому неравенству.</x:v>
      </x:c>
      <x:c r="P3696" s="30" t="str">
        <x:v>Приложенный файл открыт и сопоставлен с условием; формат результата и архивный ключ проверены.</x:v>
      </x:c>
      <x:c r="Q3696" s="30"/>
      <x:c r="R3696" s="30" t="str">
        <x:v>Архивный PNG-ключ</x:v>
      </x:c>
      <x:c r="S3696" s="30"/>
      <x:c r="T3696" s="30"/>
      <x:c r="U3696" s="30" t="str">
        <x:v>Расхождений не обнаружено. Используется файл: 9.ods.</x:v>
      </x:c>
      <x:c r="V3696" s="87" t="str">
        <x:v>VERIFIED</x:v>
      </x:c>
      <x:c r="W3696" s="87" t="str">
        <x:v>Zadanie_IN11_23102025_.pdf, стр. 27</x:v>
      </x:c>
      <x:c r="X3696" s="87"/>
      <x:c r="Y3696" s="87"/>
      <x:c r="Z3696" s="87"/>
      <x:c r="AA3696" s="87"/>
      <x:c r="AB3696" s="87"/>
      <x:c r="AC3696" s="87" t="str">
        <x:v>VIS-INF-OCT-023</x:v>
      </x:c>
      <x:c r="AD3696" s="87"/>
      <x:c r="AE3696" s="87"/>
      <x:c r="AF3696" s="87" t="str">
        <x:v>VIS-INF-OCT-023: 27</x:v>
      </x:c>
      <x:c r="AG3696" s="87" t="str">
        <x:v>RESOLVED</x:v>
      </x:c>
      <x:c r="AH3696" s="87" t="str">
        <x:v>CROP_VERIFIED</x:v>
      </x:c>
      <x:c r="AI3696" s="30"/>
      <x:c r="AJ3696" s="87" t="str">
        <x:v>master</x:v>
      </x:c>
      <x:c r="AK3696" s="87" t="str">
        <x:v>master-v0.81</x:v>
      </x:c>
      <x:c r="AL3696" s="87" t="str">
        <x:v>statgrad_master_base_v0_81_final(2).xlsx</x:v>
      </x:c>
      <x:c r="AM3696" s="87" t="str">
        <x:v>INF_Oct_V2</x:v>
      </x:c>
      <x:c r="AN3696" s="87" t="n">
        <x:v>10</x:v>
      </x:c>
    </x:row>
    <x:row r="3697">
      <x:c r="A3697" s="87" t="n">
        <x:v>3696</x:v>
      </x:c>
      <x:c r="B3697" s="87" t="str">
        <x:v>OCT-INF-V2-010</x:v>
      </x:c>
      <x:c r="C3697" s="87" t="str">
        <x:v>СтатГрад</x:v>
      </x:c>
      <x:c r="D3697" s="87" t="str">
        <x:v>Октябрь 2025</x:v>
      </x:c>
      <x:c r="E3697" s="87"/>
      <x:c r="F3697" s="87"/>
      <x:c r="G3697" s="87" t="str">
        <x:v>Информатика</x:v>
      </x:c>
      <x:c r="H3697" s="87" t="n">
        <x:v>11</x:v>
      </x:c>
      <x:c r="I3697" s="87" t="str">
        <x:v>ТР №1</x:v>
      </x:c>
      <x:c r="J3697" s="87" t="str">
        <x:v>ИН2510102</x:v>
      </x:c>
      <x:c r="K3697" s="87" t="n">
        <x:v>10</x:v>
      </x:c>
      <x:c r="L3697" s="87" t="str">
        <x:v>Текстовый поиск</x:v>
      </x:c>
      <x:c r="M3697" s="30" t="str">
        <x:v>С помощью текстового редактора определите, сколько раз встречается
     сочетание строчных букв «ро» в тексте глав VI и XII пятой части тома 2
     романа Л.Н. Толстого «Война и мир». В ответе укажите только число.</x:v>
      </x:c>
      <x:c r="N3697" s="30" t="str">
        <x:v>71</x:v>
      </x:c>
      <x:c r="O3697" s="30" t="str">
        <x:v>Сочетание букв подсчитано только в указанных главах приложенного текста.</x:v>
      </x:c>
      <x:c r="P3697" s="30" t="str">
        <x:v>Результат независимо пересчитан программой по приложенному файлу и совпал с архивным PNG-ключом.</x:v>
      </x:c>
      <x:c r="Q3697" s="30"/>
      <x:c r="R3697" s="30" t="str">
        <x:v>Архивный PNG-ключ</x:v>
      </x:c>
      <x:c r="S3697" s="30"/>
      <x:c r="T3697" s="30"/>
      <x:c r="U3697" s="30" t="str">
        <x:v>Расхождений не обнаружено. Используется файл: 10.odt.</x:v>
      </x:c>
      <x:c r="V3697" s="87" t="str">
        <x:v>VERIFIED</x:v>
      </x:c>
      <x:c r="W3697" s="87" t="str">
        <x:v>Zadanie_IN11_23102025_.pdf, стр. 27</x:v>
      </x:c>
      <x:c r="X3697" s="87"/>
      <x:c r="Y3697" s="87"/>
      <x:c r="Z3697" s="87"/>
      <x:c r="AA3697" s="87"/>
      <x:c r="AB3697" s="87"/>
      <x:c r="AC3697" s="87" t="str">
        <x:v>VIS-INF-OCT-023</x:v>
      </x:c>
      <x:c r="AD3697" s="87"/>
      <x:c r="AE3697" s="87"/>
      <x:c r="AF3697" s="87" t="str">
        <x:v>VIS-INF-OCT-023: 27</x:v>
      </x:c>
      <x:c r="AG3697" s="87" t="str">
        <x:v>RESOLVED</x:v>
      </x:c>
      <x:c r="AH3697" s="87" t="str">
        <x:v>CROP_VERIFIED</x:v>
      </x:c>
      <x:c r="AI3697" s="30"/>
      <x:c r="AJ3697" s="87" t="str">
        <x:v>master</x:v>
      </x:c>
      <x:c r="AK3697" s="87" t="str">
        <x:v>master-v0.81</x:v>
      </x:c>
      <x:c r="AL3697" s="87" t="str">
        <x:v>statgrad_master_base_v0_81_final(2).xlsx</x:v>
      </x:c>
      <x:c r="AM3697" s="87" t="str">
        <x:v>INF_Oct_V2</x:v>
      </x:c>
      <x:c r="AN3697" s="87" t="n">
        <x:v>11</x:v>
      </x:c>
    </x:row>
    <x:row r="3698">
      <x:c r="A3698" s="87" t="n">
        <x:v>3697</x:v>
      </x:c>
      <x:c r="B3698" s="87" t="str">
        <x:v>OCT-INF-V2-011</x:v>
      </x:c>
      <x:c r="C3698" s="87" t="str">
        <x:v>СтатГрад</x:v>
      </x:c>
      <x:c r="D3698" s="87" t="str">
        <x:v>Октябрь 2025</x:v>
      </x:c>
      <x:c r="E3698" s="87"/>
      <x:c r="F3698" s="87"/>
      <x:c r="G3698" s="87" t="str">
        <x:v>Информатика</x:v>
      </x:c>
      <x:c r="H3698" s="87" t="n">
        <x:v>11</x:v>
      </x:c>
      <x:c r="I3698" s="87" t="str">
        <x:v>ТР №1</x:v>
      </x:c>
      <x:c r="J3698" s="87" t="str">
        <x:v>ИН2510102</x:v>
      </x:c>
      <x:c r="K3698" s="87" t="n">
        <x:v>11</x:v>
      </x:c>
      <x:c r="L3698" s="87" t="str">
        <x:v>Кодирование серийных номеров</x:v>
      </x:c>
      <x:c r="M3698" s="30" t="str">
        <x:v>На предприятии каждой изготовленной детали присваивают серийный номер,
     состоящий из 128 символов. В базе данных для хранения каждого серийного
     номера отведено одинаковое и минимально возможное число байт. При этом
     используется посимвольное кодирование серийных номеров, все символы
     кодируются одинаковым и минимально возможным числом бит. Известно,
     что для хранения 335 793 серийных номеров отведено не более 29 Мбайт
     памяти. Определите максимально возможную мощность алфавита,
     используемого для записи серийных номеров.
     В ответе запишите только целое число.
                                    согласия СтатГрад запрещена</x:v>
      </x:c>
      <x:c r="N3698" s="30" t="str">
        <x:v>32</x:v>
      </x:c>
      <x:c r="O3698" s="30" t="str">
        <x:v>Определено минимальное число бит на символ и максимально допустимая мощность алфавита.</x:v>
      </x:c>
      <x:c r="P3698" s="30" t="str">
        <x:v>Ответ сопоставлен с условием и архивным PNG-ключом; алгоритм решения проверен по типовой реализации.</x:v>
      </x:c>
      <x:c r="Q3698" s="30"/>
      <x:c r="R3698" s="30" t="str">
        <x:v>Архивный PNG-ключ</x:v>
      </x:c>
      <x:c r="S3698" s="30"/>
      <x:c r="T3698" s="30"/>
      <x:c r="U3698" s="30" t="str">
        <x:v>Расхождений не обнаружено.</x:v>
      </x:c>
      <x:c r="V3698" s="87" t="str">
        <x:v>VERIFIED</x:v>
      </x:c>
      <x:c r="W3698" s="87" t="str">
        <x:v>Zadanie_IN11_23102025_.pdf, стр. 27</x:v>
      </x:c>
      <x:c r="X3698" s="87"/>
      <x:c r="Y3698" s="87"/>
      <x:c r="Z3698" s="87"/>
      <x:c r="AA3698" s="87"/>
      <x:c r="AB3698" s="87"/>
      <x:c r="AC3698" s="87" t="str">
        <x:v>VIS-INF-OCT-023</x:v>
      </x:c>
      <x:c r="AD3698" s="87"/>
      <x:c r="AE3698" s="87"/>
      <x:c r="AF3698" s="87" t="str">
        <x:v>VIS-INF-OCT-023: 27</x:v>
      </x:c>
      <x:c r="AG3698" s="87" t="str">
        <x:v>RESOLVED</x:v>
      </x:c>
      <x:c r="AH3698" s="87" t="str">
        <x:v>CROP_VERIFIED</x:v>
      </x:c>
      <x:c r="AI3698" s="30"/>
      <x:c r="AJ3698" s="87" t="str">
        <x:v>master</x:v>
      </x:c>
      <x:c r="AK3698" s="87" t="str">
        <x:v>master-v0.81</x:v>
      </x:c>
      <x:c r="AL3698" s="87" t="str">
        <x:v>statgrad_master_base_v0_81_final(2).xlsx</x:v>
      </x:c>
      <x:c r="AM3698" s="87" t="str">
        <x:v>INF_Oct_V2</x:v>
      </x:c>
      <x:c r="AN3698" s="87" t="n">
        <x:v>12</x:v>
      </x:c>
    </x:row>
    <x:row r="3699">
      <x:c r="A3699" s="87" t="n">
        <x:v>3698</x:v>
      </x:c>
      <x:c r="B3699" s="87" t="str">
        <x:v>OCT-INF-V2-012</x:v>
      </x:c>
      <x:c r="C3699" s="87" t="str">
        <x:v>СтатГрад</x:v>
      </x:c>
      <x:c r="D3699" s="87" t="str">
        <x:v>Октябрь 2025</x:v>
      </x:c>
      <x:c r="E3699" s="87"/>
      <x:c r="F3699" s="87"/>
      <x:c r="G3699" s="87" t="str">
        <x:v>Информатика</x:v>
      </x:c>
      <x:c r="H3699" s="87" t="n">
        <x:v>11</x:v>
      </x:c>
      <x:c r="I3699" s="87" t="str">
        <x:v>ТР №1</x:v>
      </x:c>
      <x:c r="J3699" s="87" t="str">
        <x:v>ИН2510102</x:v>
      </x:c>
      <x:c r="K3699" s="87" t="n">
        <x:v>12</x:v>
      </x:c>
      <x:c r="L3699" s="87" t="str">
        <x:v>Машина Тьюринга</x:v>
      </x:c>
      <x:c r="M3699" s="30" t="str">
        <x:v>Исполнитель МТ представляет собой читающую и записывающую головку,
     которая может передвигаться вдоль бесконечной горизонтальной ленты,
     разделённой на равные ячейки. В каждой ячейке находится ровно один
     символ из алфавита исполнителя (множество символов A = {a 0 , a 1 , …, a n–1 }),
     включая специальный пустой символ a 0 .
     Время работы исполнителя делится на дискретные такты (шаги). На каждом
     такте головка МТ находится в одном из множества допустимых состояний
     Q = {q 0 , q 1 , …, q m–1 }. В начальный момент времени головка находится
     в начальном состоянии q 0 .
     На каждом такте головка обозревает одну ячейку ленты, называемую
     текущей ячейкой. За один такт головка исполнителя может заменить символ
     в текущей ячейке (или оставить символ неизменным) и переместиться
     в ячейку справа или слева от текущей (или остаться в той же ячейке). После
     каждого такта головка переходит в новое состояние или остаётся в прежнем
     состоянии.
     Программа работы исполнителя МТ задаётся в табличном виде.
                                   a0      a1             …         a n–1
                         q0     команда команда           …       команда
                         q1     команда команда           …       команда
                         …        …       …               …          …
                        q m–1   команда команда           …       команда
     В первой строке перечислены все возможные символы в текущей ячейке
     ленты, в первом столбце – возможные состояния головки. На пересечении i-й
     строки и j-го столбца находится команда, которую выполняет МТ, когда
     головка обозревает j-й символ, находясь в i-м состоянии. Если пара
     «символ – состояние» невозможна, то клетка для команды остаётся пустой.
     Каждая команда состоит из трёх элементов, разделённых запятыми: первый
     элемент – записываемый в текущую ячейку символ алфавита (может совпадать
     с тем, который там уже записан). Второй элемент – один из четырёх символов
     «L», «R», «N», «S». Символы «L» и «R» означают сдвиг в левую или правую
     ячейки соответственно, «N» – отсутствие сдвига, «S» – завершение работы
     исполнителя МТ после выполнения текущей команды.
     Сдвиг происходит после записи символа в текущую ячейку. Третий
     элемент – новое состояние головки после выполнения команды.
     Например, команда 0, L, q 3 выполняется следующим образом: в текущую
     ячейку записывается символ «0», затем головка сдвигается в соседнюю слева
     ячейку и переходит в состояние q 3 .
     Приведём пример выполнения программы, заданной таблично.
     На ленте записано неизвестное ненулевое количество расположенных подряд
     в соседних ячейках символов «Z», все остальные ячейки ленты заполнены
     пустым символом «λ». В начальный момент времени головка находится на
     неизвестном ненулевом расстоянии справа от самого правого символа «Z».
                                    согласия СтатГрад запрещена
Программа
                                    λ             Z                X
                        q0       λ, L, q 0     X, L, q 1
                        q1       λ, S, q 1     X, L, q 1
заменяет на ленте все символы «Z» на «X» и останавливает исполнителя
в первой ячейке слева от последовательности символов «X».
Возможное начальное состояние исполнителя:
  …        λ        λ        Z           Z       Z         Z           λ        λ     …
                                                                               ▲ q0
Конечное состояние исполнителя после завершения выполнения программы:
 …         λ       λ         X           X        X        X               λ    λ     …
                  ▲ q1
Выполните задание.
На ленте в соседних ячейках записана последовательность из 1000 символов,
включающая только нули и единицы. Ячейки справа и слева
от последовательности заполнены пустыми символами «λ». В начальный
момент времени головка расположена в ближайшей ячейке справа
от последовательности.
Программа работы исполнителя:
                                λ               1                 0
                     q0      λ, L, q 1
                     q1      λ, S, q 1       0, S, q 1         1, L, q 1
После выполнения программы на ленте осталось ровно 506 нулей. Определите
минимально возможное число нулей в исходной последовательности.
                               согласия СтатГрад запрещена</x:v>
      </x:c>
      <x:c r="N3699" s="30" t="str">
        <x:v>505</x:v>
      </x:c>
      <x:c r="O3699" s="30" t="str">
        <x:v>Работа машины Тьюринга прослежена по переходам и итоговому количеству символов.</x:v>
      </x:c>
      <x:c r="P3699" s="30" t="str">
        <x:v>Ответ сопоставлен с условием и архивным PNG-ключом; алгоритм решения проверен по типовой реализации.</x:v>
      </x:c>
      <x:c r="Q3699" s="30"/>
      <x:c r="R3699" s="30" t="str">
        <x:v>Архивный PNG-ключ</x:v>
      </x:c>
      <x:c r="S3699" s="30"/>
      <x:c r="T3699" s="30"/>
      <x:c r="U3699" s="30" t="str">
        <x:v>Расхождений не обнаружено.</x:v>
      </x:c>
      <x:c r="V3699" s="87" t="str">
        <x:v>VERIFIED</x:v>
      </x:c>
      <x:c r="W3699" s="87" t="str">
        <x:v>Zadanie_IN11_23102025_.pdf, стр. 28, 29</x:v>
      </x:c>
      <x:c r="X3699" s="87"/>
      <x:c r="Y3699" s="87"/>
      <x:c r="Z3699" s="87"/>
      <x:c r="AA3699" s="87"/>
      <x:c r="AB3699" s="87"/>
      <x:c r="AC3699" s="87" t="str">
        <x:v>VIS-INF-OCT-024; VIS-INF-OCT-025</x:v>
      </x:c>
      <x:c r="AD3699" s="87"/>
      <x:c r="AE3699" s="87"/>
      <x:c r="AF3699" s="87" t="str">
        <x:v>VIS-INF-OCT-024: 28; VIS-INF-OCT-025: 29</x:v>
      </x:c>
      <x:c r="AG3699" s="87" t="str">
        <x:v>RESOLVED</x:v>
      </x:c>
      <x:c r="AH3699" s="87" t="str">
        <x:v>CROP_VERIFIED</x:v>
      </x:c>
      <x:c r="AI3699" s="30"/>
      <x:c r="AJ3699" s="87" t="str">
        <x:v>master</x:v>
      </x:c>
      <x:c r="AK3699" s="87" t="str">
        <x:v>master-v0.81</x:v>
      </x:c>
      <x:c r="AL3699" s="87" t="str">
        <x:v>statgrad_master_base_v0_81_final(2).xlsx</x:v>
      </x:c>
      <x:c r="AM3699" s="87" t="str">
        <x:v>INF_Oct_V2</x:v>
      </x:c>
      <x:c r="AN3699" s="87" t="n">
        <x:v>13</x:v>
      </x:c>
    </x:row>
    <x:row r="3700">
      <x:c r="A3700" s="87" t="n">
        <x:v>3699</x:v>
      </x:c>
      <x:c r="B3700" s="87" t="str">
        <x:v>OCT-INF-V2-013</x:v>
      </x:c>
      <x:c r="C3700" s="87" t="str">
        <x:v>СтатГрад</x:v>
      </x:c>
      <x:c r="D3700" s="87" t="str">
        <x:v>Октябрь 2025</x:v>
      </x:c>
      <x:c r="E3700" s="87"/>
      <x:c r="F3700" s="87"/>
      <x:c r="G3700" s="87" t="str">
        <x:v>Информатика</x:v>
      </x:c>
      <x:c r="H3700" s="87" t="n">
        <x:v>11</x:v>
      </x:c>
      <x:c r="I3700" s="87" t="str">
        <x:v>ТР №1</x:v>
      </x:c>
      <x:c r="J3700" s="87" t="str">
        <x:v>ИН2510102</x:v>
      </x:c>
      <x:c r="K3700" s="87" t="n">
        <x:v>13</x:v>
      </x:c>
      <x:c r="L3700" s="87" t="str">
        <x:v>IP-сети</x:v>
      </x:c>
      <x:c r="M3700" s="30" t="str">
        <x:v>В терминологии сетей TCP/IP маской сети называют двоичное число,
     которое показывает, какая часть IP-адреса узла сети относится к адресу сети,
     а какая – к адресу узла в этой сети. Адрес сети получается в результате
     применения поразрядной конъюнкции к заданному адресу узла и его маске.
     Широковещательным адресом называется специализированный адрес,
     в котором на месте нулей в маске стоят единицы.
     Адрес сети и широковещательный адрес не могут быть использованы для
     адресации сетевых устройств.
     Сеть задана IP-адресом одного из входящих в неё узлов 127.204.113.250
     и сетевой маской 255.255.254.0.
     Определите наименьший IP-адрес данной сети, который может быть присвоен
     компьютеру. В ответе укажите сумму октетов у найденного IP-адреса.
     Например, если бы найденный адрес был равен 111.22.3.44, то в ответе
     следовало бы записать 180.</x:v>
      </x:c>
      <x:c r="N3700" s="30" t="str">
        <x:v>444</x:v>
      </x:c>
      <x:c r="O3700" s="30" t="str">
        <x:v>Вычислены адрес сети, широковещательный адрес и допустимый адрес узла.</x:v>
      </x:c>
      <x:c r="P3700" s="30" t="str">
        <x:v>Ответ сопоставлен с условием и архивным PNG-ключом; алгоритм решения проверен по типовой реализации.</x:v>
      </x:c>
      <x:c r="Q3700" s="30"/>
      <x:c r="R3700" s="30" t="str">
        <x:v>Архивный PNG-ключ</x:v>
      </x:c>
      <x:c r="S3700" s="30"/>
      <x:c r="T3700" s="30"/>
      <x:c r="U3700" s="30" t="str">
        <x:v>Расхождений не обнаружено.</x:v>
      </x:c>
      <x:c r="V3700" s="87" t="str">
        <x:v>VERIFIED</x:v>
      </x:c>
      <x:c r="W3700" s="87" t="str">
        <x:v>Zadanie_IN11_23102025_.pdf, стр. 30</x:v>
      </x:c>
      <x:c r="X3700" s="87"/>
      <x:c r="Y3700" s="87"/>
      <x:c r="Z3700" s="87"/>
      <x:c r="AA3700" s="87"/>
      <x:c r="AB3700" s="87"/>
      <x:c r="AC3700" s="87" t="str">
        <x:v>VIS-INF-OCT-026</x:v>
      </x:c>
      <x:c r="AD3700" s="87"/>
      <x:c r="AE3700" s="87"/>
      <x:c r="AF3700" s="87" t="str">
        <x:v>VIS-INF-OCT-026: 30</x:v>
      </x:c>
      <x:c r="AG3700" s="87" t="str">
        <x:v>RESOLVED</x:v>
      </x:c>
      <x:c r="AH3700" s="87" t="str">
        <x:v>CROP_VERIFIED</x:v>
      </x:c>
      <x:c r="AI3700" s="30"/>
      <x:c r="AJ3700" s="87" t="str">
        <x:v>master</x:v>
      </x:c>
      <x:c r="AK3700" s="87" t="str">
        <x:v>master-v0.81</x:v>
      </x:c>
      <x:c r="AL3700" s="87" t="str">
        <x:v>statgrad_master_base_v0_81_final(2).xlsx</x:v>
      </x:c>
      <x:c r="AM3700" s="87" t="str">
        <x:v>INF_Oct_V2</x:v>
      </x:c>
      <x:c r="AN3700" s="87" t="n">
        <x:v>14</x:v>
      </x:c>
    </x:row>
    <x:row r="3701">
      <x:c r="A3701" s="87" t="n">
        <x:v>3700</x:v>
      </x:c>
      <x:c r="B3701" s="87" t="str">
        <x:v>OCT-INF-V2-014</x:v>
      </x:c>
      <x:c r="C3701" s="87" t="str">
        <x:v>СтатГрад</x:v>
      </x:c>
      <x:c r="D3701" s="87" t="str">
        <x:v>Октябрь 2025</x:v>
      </x:c>
      <x:c r="E3701" s="87"/>
      <x:c r="F3701" s="87"/>
      <x:c r="G3701" s="87" t="str">
        <x:v>Информатика</x:v>
      </x:c>
      <x:c r="H3701" s="87" t="n">
        <x:v>11</x:v>
      </x:c>
      <x:c r="I3701" s="87" t="str">
        <x:v>ТР №1</x:v>
      </x:c>
      <x:c r="J3701" s="87" t="str">
        <x:v>ИН2510102</x:v>
      </x:c>
      <x:c r="K3701" s="87" t="n">
        <x:v>14</x:v>
      </x:c>
      <x:c r="L3701" s="87" t="str">
        <x:v>Системы счисления</x:v>
      </x:c>
      <x:c r="M3701" s="30" t="str">
        <x:v>Значение арифметического выражения 27298+ 27269– х, где х – натуральное
     число, не превышающее 7290, записали в 27-ричной системе счисления.
     Определите максимальное количество нулей в 27-ричной записи числа,
     являющегося значением данного арифметического выражения. В ответе
     запишите только целое число.</x:v>
      </x:c>
      <x:c r="N3701" s="30" t="str">
        <x:v>31</x:v>
      </x:c>
      <x:c r="O3701" s="30" t="str">
        <x:v>Выполнен перебор параметра и анализ записи значения в заданной системе счисления.</x:v>
      </x:c>
      <x:c r="P3701" s="30" t="str">
        <x:v>Ответ сопоставлен с условием и архивным PNG-ключом; алгоритм решения проверен по типовой реализации.</x:v>
      </x:c>
      <x:c r="Q3701" s="30"/>
      <x:c r="R3701" s="30" t="str">
        <x:v>Архивный PNG-ключ</x:v>
      </x:c>
      <x:c r="S3701" s="30"/>
      <x:c r="T3701" s="30"/>
      <x:c r="U3701" s="30" t="str">
        <x:v>Расхождений не обнаружено.</x:v>
      </x:c>
      <x:c r="V3701" s="87" t="str">
        <x:v>VERIFIED</x:v>
      </x:c>
      <x:c r="W3701" s="87" t="str">
        <x:v>Zadanie_IN11_23102025_.pdf, стр. 30</x:v>
      </x:c>
      <x:c r="X3701" s="87"/>
      <x:c r="Y3701" s="87"/>
      <x:c r="Z3701" s="87"/>
      <x:c r="AA3701" s="87"/>
      <x:c r="AB3701" s="87"/>
      <x:c r="AC3701" s="87" t="str">
        <x:v>VIS-INF-OCT-026</x:v>
      </x:c>
      <x:c r="AD3701" s="87"/>
      <x:c r="AE3701" s="87"/>
      <x:c r="AF3701" s="87" t="str">
        <x:v>VIS-INF-OCT-026: 30</x:v>
      </x:c>
      <x:c r="AG3701" s="87" t="str">
        <x:v>RESOLVED</x:v>
      </x:c>
      <x:c r="AH3701" s="87" t="str">
        <x:v>CROP_VERIFIED</x:v>
      </x:c>
      <x:c r="AI3701" s="30"/>
      <x:c r="AJ3701" s="87" t="str">
        <x:v>master</x:v>
      </x:c>
      <x:c r="AK3701" s="87" t="str">
        <x:v>master-v0.81</x:v>
      </x:c>
      <x:c r="AL3701" s="87" t="str">
        <x:v>statgrad_master_base_v0_81_final(2).xlsx</x:v>
      </x:c>
      <x:c r="AM3701" s="87" t="str">
        <x:v>INF_Oct_V2</x:v>
      </x:c>
      <x:c r="AN3701" s="87" t="n">
        <x:v>15</x:v>
      </x:c>
    </x:row>
    <x:row r="3702">
      <x:c r="A3702" s="87" t="n">
        <x:v>3701</x:v>
      </x:c>
      <x:c r="B3702" s="87" t="str">
        <x:v>OCT-INF-V2-015</x:v>
      </x:c>
      <x:c r="C3702" s="87" t="str">
        <x:v>СтатГрад</x:v>
      </x:c>
      <x:c r="D3702" s="87" t="str">
        <x:v>Октябрь 2025</x:v>
      </x:c>
      <x:c r="E3702" s="87"/>
      <x:c r="F3702" s="87"/>
      <x:c r="G3702" s="87" t="str">
        <x:v>Информатика</x:v>
      </x:c>
      <x:c r="H3702" s="87" t="n">
        <x:v>11</x:v>
      </x:c>
      <x:c r="I3702" s="87" t="str">
        <x:v>ТР №1</x:v>
      </x:c>
      <x:c r="J3702" s="87" t="str">
        <x:v>ИН2510102</x:v>
      </x:c>
      <x:c r="K3702" s="87" t="n">
        <x:v>15</x:v>
      </x:c>
      <x:c r="L3702" s="87" t="str">
        <x:v>Логическое выражение с параметром</x:v>
      </x:c>
      <x:c r="M3702" s="30" t="str">
        <x:v>Для какого наибольшего целого неотрицательного числа А логическое
     выражение
                          (y &gt; A) \/ (179 ≠ 3y + x) \/ (A &lt; x)
     тождественно истинно (т.е. принимает значение 1) при любых целых
     положительных x и y?
                                    согласия СтатГрад запрещена</x:v>
      </x:c>
      <x:c r="N3702" s="30" t="str">
        <x:v>44</x:v>
      </x:c>
      <x:c r="O3702" s="30" t="str">
        <x:v>Параметр найден перебором целых положительных x и y / анализом ложности дизъюнкции.</x:v>
      </x:c>
      <x:c r="P3702" s="30" t="str">
        <x:v>Ответ сопоставлен с условием и архивным PNG-ключом; алгоритм решения проверен по типовой реализации.</x:v>
      </x:c>
      <x:c r="Q3702" s="30"/>
      <x:c r="R3702" s="30" t="str">
        <x:v>Архивный PNG-ключ</x:v>
      </x:c>
      <x:c r="S3702" s="30"/>
      <x:c r="T3702" s="30"/>
      <x:c r="U3702" s="30" t="str">
        <x:v>Расхождений не обнаружено.</x:v>
      </x:c>
      <x:c r="V3702" s="87" t="str">
        <x:v>VERIFIED</x:v>
      </x:c>
      <x:c r="W3702" s="87" t="str">
        <x:v>Zadanie_IN11_23102025_.pdf, стр. 30</x:v>
      </x:c>
      <x:c r="X3702" s="87"/>
      <x:c r="Y3702" s="87"/>
      <x:c r="Z3702" s="87"/>
      <x:c r="AA3702" s="87"/>
      <x:c r="AB3702" s="87"/>
      <x:c r="AC3702" s="87" t="str">
        <x:v>VIS-INF-OCT-026</x:v>
      </x:c>
      <x:c r="AD3702" s="87"/>
      <x:c r="AE3702" s="87"/>
      <x:c r="AF3702" s="87" t="str">
        <x:v>VIS-INF-OCT-026: 30</x:v>
      </x:c>
      <x:c r="AG3702" s="87" t="str">
        <x:v>RESOLVED</x:v>
      </x:c>
      <x:c r="AH3702" s="87" t="str">
        <x:v>CROP_VERIFIED</x:v>
      </x:c>
      <x:c r="AI3702" s="30"/>
      <x:c r="AJ3702" s="87" t="str">
        <x:v>master</x:v>
      </x:c>
      <x:c r="AK3702" s="87" t="str">
        <x:v>master-v0.81</x:v>
      </x:c>
      <x:c r="AL3702" s="87" t="str">
        <x:v>statgrad_master_base_v0_81_final(2).xlsx</x:v>
      </x:c>
      <x:c r="AM3702" s="87" t="str">
        <x:v>INF_Oct_V2</x:v>
      </x:c>
      <x:c r="AN3702" s="87" t="n">
        <x:v>16</x:v>
      </x:c>
    </x:row>
    <x:row r="3703">
      <x:c r="A3703" s="87" t="n">
        <x:v>3702</x:v>
      </x:c>
      <x:c r="B3703" s="87" t="str">
        <x:v>OCT-INF-V2-016</x:v>
      </x:c>
      <x:c r="C3703" s="87" t="str">
        <x:v>СтатГрад</x:v>
      </x:c>
      <x:c r="D3703" s="87" t="str">
        <x:v>Октябрь 2025</x:v>
      </x:c>
      <x:c r="E3703" s="87"/>
      <x:c r="F3703" s="87"/>
      <x:c r="G3703" s="87" t="str">
        <x:v>Информатика</x:v>
      </x:c>
      <x:c r="H3703" s="87" t="n">
        <x:v>11</x:v>
      </x:c>
      <x:c r="I3703" s="87" t="str">
        <x:v>ТР №1</x:v>
      </x:c>
      <x:c r="J3703" s="87" t="str">
        <x:v>ИН2510102</x:v>
      </x:c>
      <x:c r="K3703" s="87" t="n">
        <x:v>16</x:v>
      </x:c>
      <x:c r="L3703" s="87" t="str">
        <x:v>Рекурсивная функция</x:v>
      </x:c>
      <x:c r="M3703" s="30" t="str">
        <x:v>Алгоритм вычисления значения функции F(n), где n –– целое число, задан
     следующими соотношениями:
     F(n) = n при n ≤ 10;
     F(n) = n – 7 + F(n – 21), если n &gt; 10.
     Чему равно значение выражения (F(185734) – F(185650)) / F(40)?
              Задание выполняется с использованием прилагаемых файлов.</x:v>
      </x:c>
      <x:c r="N3703" s="30" t="str">
        <x:v>17274</x:v>
      </x:c>
      <x:c r="O3703" s="30" t="str">
        <x:v>Рекурсивное определение вычислено с учётом периодического уменьшения аргумента.</x:v>
      </x:c>
      <x:c r="P3703" s="30" t="str">
        <x:v>Ответ сопоставлен с условием и архивным PNG-ключом; алгоритм решения проверен по типовой реализации.</x:v>
      </x:c>
      <x:c r="Q3703" s="30"/>
      <x:c r="R3703" s="30" t="str">
        <x:v>Архивный PNG-ключ</x:v>
      </x:c>
      <x:c r="S3703" s="30"/>
      <x:c r="T3703" s="30"/>
      <x:c r="U3703" s="30" t="str">
        <x:v>Расхождений не обнаружено.</x:v>
      </x:c>
      <x:c r="V3703" s="87" t="str">
        <x:v>VERIFIED</x:v>
      </x:c>
      <x:c r="W3703" s="87" t="str">
        <x:v>Zadanie_IN11_23102025_.pdf, стр. 31</x:v>
      </x:c>
      <x:c r="X3703" s="87"/>
      <x:c r="Y3703" s="87"/>
      <x:c r="Z3703" s="87"/>
      <x:c r="AA3703" s="87"/>
      <x:c r="AB3703" s="87"/>
      <x:c r="AC3703" s="87" t="str">
        <x:v>VIS-INF-OCT-027</x:v>
      </x:c>
      <x:c r="AD3703" s="87"/>
      <x:c r="AE3703" s="87"/>
      <x:c r="AF3703" s="87" t="str">
        <x:v>VIS-INF-OCT-027: 31</x:v>
      </x:c>
      <x:c r="AG3703" s="87" t="str">
        <x:v>RESOLVED</x:v>
      </x:c>
      <x:c r="AH3703" s="87" t="str">
        <x:v>CROP_VERIFIED</x:v>
      </x:c>
      <x:c r="AI3703" s="30"/>
      <x:c r="AJ3703" s="87" t="str">
        <x:v>master</x:v>
      </x:c>
      <x:c r="AK3703" s="87" t="str">
        <x:v>master-v0.81</x:v>
      </x:c>
      <x:c r="AL3703" s="87" t="str">
        <x:v>statgrad_master_base_v0_81_final(2).xlsx</x:v>
      </x:c>
      <x:c r="AM3703" s="87" t="str">
        <x:v>INF_Oct_V2</x:v>
      </x:c>
      <x:c r="AN3703" s="87" t="n">
        <x:v>17</x:v>
      </x:c>
    </x:row>
    <x:row r="3704">
      <x:c r="A3704" s="87" t="n">
        <x:v>3703</x:v>
      </x:c>
      <x:c r="B3704" s="87" t="str">
        <x:v>OCT-INF-V2-017</x:v>
      </x:c>
      <x:c r="C3704" s="87" t="str">
        <x:v>СтатГрад</x:v>
      </x:c>
      <x:c r="D3704" s="87" t="str">
        <x:v>Октябрь 2025</x:v>
      </x:c>
      <x:c r="E3704" s="87"/>
      <x:c r="F3704" s="87"/>
      <x:c r="G3704" s="87" t="str">
        <x:v>Информатика</x:v>
      </x:c>
      <x:c r="H3704" s="87" t="n">
        <x:v>11</x:v>
      </x:c>
      <x:c r="I3704" s="87" t="str">
        <x:v>ТР №1</x:v>
      </x:c>
      <x:c r="J3704" s="87" t="str">
        <x:v>ИН2510102</x:v>
      </x:c>
      <x:c r="K3704" s="87" t="n">
        <x:v>17</x:v>
      </x:c>
      <x:c r="L3704" s="87" t="str">
        <x:v>Обработка последовательности</x:v>
      </x:c>
      <x:c r="M3704" s="30" t="str">
        <x:v>В файле содержится последовательность целых чисел. Её элементы могут
     принимать целые значения от –100 000 до 100 000 включительно.
     Определите количество пар элементов последовательности, в которых есть
     только одно отрицательное число, а сумма пары больше максимального
     отрицательного четырёхзначного элемента последовательности, кратного 9.
     В ответе запишите количество найденных пар, затем минимальную из сумм
     квадратов элементов таких пар. В данной задаче под парой подразумеваются
     два идущих подряд элемента последовательности.
     Ответ:
                                    согласия СтатГрад запрещена</x:v>
      </x:c>
      <x:c r="N3704" s="30" t="str">
        <x:v>2627; 504410</x:v>
      </x:c>
      <x:c r="O3704" s="30" t="str">
        <x:v>Файл обработан по соседним парам; порог и экстремальная сумма квадратов пересчитаны программно.</x:v>
      </x:c>
      <x:c r="P3704" s="30" t="str">
        <x:v>Результат независимо пересчитан программой по приложенному файлу и совпал с архивным PNG-ключом.</x:v>
      </x:c>
      <x:c r="Q3704" s="30"/>
      <x:c r="R3704" s="30" t="str">
        <x:v>Архивный PNG-ключ</x:v>
      </x:c>
      <x:c r="S3704" s="30"/>
      <x:c r="T3704" s="30"/>
      <x:c r="U3704" s="30" t="str">
        <x:v>Расхождений не обнаружено. Используется файл: 17.txt.</x:v>
      </x:c>
      <x:c r="V3704" s="87" t="str">
        <x:v>VERIFIED</x:v>
      </x:c>
      <x:c r="W3704" s="87" t="str">
        <x:v>Zadanie_IN11_23102025_.pdf, стр. 31</x:v>
      </x:c>
      <x:c r="X3704" s="87"/>
      <x:c r="Y3704" s="87"/>
      <x:c r="Z3704" s="87"/>
      <x:c r="AA3704" s="87"/>
      <x:c r="AB3704" s="87"/>
      <x:c r="AC3704" s="87" t="str">
        <x:v>VIS-INF-OCT-027</x:v>
      </x:c>
      <x:c r="AD3704" s="87"/>
      <x:c r="AE3704" s="87"/>
      <x:c r="AF3704" s="87" t="str">
        <x:v>VIS-INF-OCT-027: 31</x:v>
      </x:c>
      <x:c r="AG3704" s="87" t="str">
        <x:v>RESOLVED</x:v>
      </x:c>
      <x:c r="AH3704" s="87" t="str">
        <x:v>CROP_VERIFIED</x:v>
      </x:c>
      <x:c r="AI3704" s="30"/>
      <x:c r="AJ3704" s="87" t="str">
        <x:v>master</x:v>
      </x:c>
      <x:c r="AK3704" s="87" t="str">
        <x:v>master-v0.81</x:v>
      </x:c>
      <x:c r="AL3704" s="87" t="str">
        <x:v>statgrad_master_base_v0_81_final(2).xlsx</x:v>
      </x:c>
      <x:c r="AM3704" s="87" t="str">
        <x:v>INF_Oct_V2</x:v>
      </x:c>
      <x:c r="AN3704" s="87" t="n">
        <x:v>18</x:v>
      </x:c>
    </x:row>
    <x:row r="3705">
      <x:c r="A3705" s="87" t="n">
        <x:v>3704</x:v>
      </x:c>
      <x:c r="B3705" s="87" t="str">
        <x:v>OCT-INF-V2-018</x:v>
      </x:c>
      <x:c r="C3705" s="87" t="str">
        <x:v>СтатГрад</x:v>
      </x:c>
      <x:c r="D3705" s="87" t="str">
        <x:v>Октябрь 2025</x:v>
      </x:c>
      <x:c r="E3705" s="87"/>
      <x:c r="F3705" s="87"/>
      <x:c r="G3705" s="87" t="str">
        <x:v>Информатика</x:v>
      </x:c>
      <x:c r="H3705" s="87" t="n">
        <x:v>11</x:v>
      </x:c>
      <x:c r="I3705" s="87" t="str">
        <x:v>ТР №1</x:v>
      </x:c>
      <x:c r="J3705" s="87" t="str">
        <x:v>ИН2510102</x:v>
      </x:c>
      <x:c r="K3705" s="87" t="n">
        <x:v>18</x:v>
      </x:c>
      <x:c r="L3705" s="87" t="str">
        <x:v>Динамическое программирование на поле</x:v>
      </x:c>
      <x:c r="M3705" s="30" t="str">
        <x:v>Квадрат разлинован на N × N клеток (1 &lt; N &lt; 30). Исполнитель Робот может
     перемещаться по клеткам, выполняя за одно перемещение одну из двух
     команд: вправо или вниз. По команде вправо Робот перемещается
     в соседнюю правую клетку, по команде вниз – в соседнюю нижнюю.
     Квадрат ограничен внешними стенами. Между соседними клетками квадрата
     также могут быть внутренние стены. Сквозь стену Робот пройти не может.
     Перед каждым запуском Робота в каждой клетке квадрата лежит монета
     достоинством от 1 до 100. Посетив клетку, Робот забирает монету с собой;
     это также относится к начальной и конечной клеткам маршрута Робота.
     Робот может начать своё движение в одной из «угловых» клеток поля – тех,
     которые слева и сверху ограничены стенами. Таких начальных клеток на
     поле может быть несколько, включая левую верхнюю клетку поля. При
     разных запусках итоговые накопленные суммы могут различаться. При
     повторных запусках Робота начальная клетка должна отличаться от
     начальных клеток предыдущих запусков.
     Определите максимальную и минимальную денежные суммы, среди всех
     возможных итоговых сумм, которые может собрать Робот суммарно за два
     запуска из начальной клетки в правую нижнюю.
     В ответе укажите два числа – сначала максимальную сумму, затем
     минимальную.
     Исходные данные представляют собой электронную таблицу размером N × N,
     каждая ячейка которой соответствует клетке квадрата. Внутренние
     и внешние стены обозначены утолщёнными линиями.
     Пример входных данных
     Ответ:
                                    согласия СтатГрад запрещена</x:v>
      </x:c>
      <x:c r="N3705" s="30" t="str">
        <x:v>4948; 1520</x:v>
      </x:c>
      <x:c r="O3705" s="30" t="str">
        <x:v>Для допустимых стартовых клеток рассчитаны минимальные и максимальные суммы путей, затем выбраны требуемые запуски.</x:v>
      </x:c>
      <x:c r="P3705" s="30" t="str">
        <x:v>Приложенный файл открыт и сопоставлен с условием; формат результата и архивный ключ проверены.</x:v>
      </x:c>
      <x:c r="Q3705" s="30"/>
      <x:c r="R3705" s="30" t="str">
        <x:v>Архивный PNG-ключ</x:v>
      </x:c>
      <x:c r="S3705" s="30"/>
      <x:c r="T3705" s="30"/>
      <x:c r="U3705" s="30" t="str">
        <x:v>Расхождений не обнаружено. Используется файл: 18.ods.</x:v>
      </x:c>
      <x:c r="V3705" s="87" t="str">
        <x:v>VERIFIED</x:v>
      </x:c>
      <x:c r="W3705" s="87" t="str">
        <x:v>Zadanie_IN11_23102025_.pdf, стр. 32</x:v>
      </x:c>
      <x:c r="X3705" s="87"/>
      <x:c r="Y3705" s="87"/>
      <x:c r="Z3705" s="87"/>
      <x:c r="AA3705" s="87"/>
      <x:c r="AB3705" s="87"/>
      <x:c r="AC3705" s="87" t="str">
        <x:v>VIS-INF-OCT-028</x:v>
      </x:c>
      <x:c r="AD3705" s="87"/>
      <x:c r="AE3705" s="87"/>
      <x:c r="AF3705" s="87" t="str">
        <x:v>VIS-INF-OCT-028: 32</x:v>
      </x:c>
      <x:c r="AG3705" s="87" t="str">
        <x:v>RESOLVED</x:v>
      </x:c>
      <x:c r="AH3705" s="87" t="str">
        <x:v>CROP_VERIFIED</x:v>
      </x:c>
      <x:c r="AI3705" s="30"/>
      <x:c r="AJ3705" s="87" t="str">
        <x:v>master</x:v>
      </x:c>
      <x:c r="AK3705" s="87" t="str">
        <x:v>master-v0.81</x:v>
      </x:c>
      <x:c r="AL3705" s="87" t="str">
        <x:v>statgrad_master_base_v0_81_final(2).xlsx</x:v>
      </x:c>
      <x:c r="AM3705" s="87" t="str">
        <x:v>INF_Oct_V2</x:v>
      </x:c>
      <x:c r="AN3705" s="87" t="n">
        <x:v>19</x:v>
      </x:c>
    </x:row>
    <x:row r="3706">
      <x:c r="A3706" s="87" t="n">
        <x:v>3705</x:v>
      </x:c>
      <x:c r="B3706" s="87" t="str">
        <x:v>OCT-INF-V2-019</x:v>
      </x:c>
      <x:c r="C3706" s="87" t="str">
        <x:v>СтатГрад</x:v>
      </x:c>
      <x:c r="D3706" s="87" t="str">
        <x:v>Октябрь 2025</x:v>
      </x:c>
      <x:c r="E3706" s="87"/>
      <x:c r="F3706" s="87"/>
      <x:c r="G3706" s="87" t="str">
        <x:v>Информатика</x:v>
      </x:c>
      <x:c r="H3706" s="87" t="n">
        <x:v>11</x:v>
      </x:c>
      <x:c r="I3706" s="87" t="str">
        <x:v>ТР №1</x:v>
      </x:c>
      <x:c r="J3706" s="87" t="str">
        <x:v>ИН2510102</x:v>
      </x:c>
      <x:c r="K3706" s="87" t="n">
        <x:v>19</x:v>
      </x:c>
      <x:c r="L3706" s="87" t="str">
        <x:v>Теория игр: первая позиция</x:v>
      </x:c>
      <x:c r="M3706" s="30" t="str">
        <x:v>Два игрока, Петя и Ваня, играют в следующую игру. Перед игроками лежит
     куча камней. Игроки ходят по очереди, первый ход делает Петя. За один ход
     игрок может:
     − убрать из кучи 4 камня,
     − уменьшить количество камней в куче в 5 раз (количество камней,
     полученное при делении, округляется до меньшего).
     Игра завершается в тот момент, когда количество камней в куче становится
     не более 537.
     Победителем считается игрок, сделавший последний ход, т.е. первым
     получивший в куче 537 камней или меньше.
     В начальный момент в куче было S камней; S &gt; 537.
     Будем говорить, что игрок имеет выигрышную стратегию, если он может
     выиграть при любых ходах противника.
     Укажите максимальное значение S, при котором Ваня может выиграть
     за один ход при неудачном ходе Пети.</x:v>
      </x:c>
      <x:c r="N3706" s="30" t="str">
        <x:v>13449</x:v>
      </x:c>
      <x:c r="O3706" s="30" t="str">
        <x:v>Позиции игры классифицированы обратным динамическим анализом.</x:v>
      </x:c>
      <x:c r="P3706" s="30" t="str">
        <x:v>Ответ сопоставлен с условием и архивным PNG-ключом; алгоритм решения проверен по типовой реализации.</x:v>
      </x:c>
      <x:c r="Q3706" s="30"/>
      <x:c r="R3706" s="30" t="str">
        <x:v>Архивный PNG-ключ</x:v>
      </x:c>
      <x:c r="S3706" s="30"/>
      <x:c r="T3706" s="30"/>
      <x:c r="U3706" s="30" t="str">
        <x:v>Расхождений не обнаружено.</x:v>
      </x:c>
      <x:c r="V3706" s="87" t="str">
        <x:v>VERIFIED</x:v>
      </x:c>
      <x:c r="W3706" s="87" t="str">
        <x:v>Zadanie_IN11_23102025_.pdf, стр. 33</x:v>
      </x:c>
      <x:c r="X3706" s="87"/>
      <x:c r="Y3706" s="87"/>
      <x:c r="Z3706" s="87"/>
      <x:c r="AA3706" s="87"/>
      <x:c r="AB3706" s="87"/>
      <x:c r="AC3706" s="87" t="str">
        <x:v>VIS-INF-OCT-029</x:v>
      </x:c>
      <x:c r="AD3706" s="87"/>
      <x:c r="AE3706" s="87"/>
      <x:c r="AF3706" s="87" t="str">
        <x:v>VIS-INF-OCT-029: 33</x:v>
      </x:c>
      <x:c r="AG3706" s="87" t="str">
        <x:v>RESOLVED</x:v>
      </x:c>
      <x:c r="AH3706" s="87" t="str">
        <x:v>CROP_VERIFIED</x:v>
      </x:c>
      <x:c r="AI3706" s="30"/>
      <x:c r="AJ3706" s="87" t="str">
        <x:v>master</x:v>
      </x:c>
      <x:c r="AK3706" s="87" t="str">
        <x:v>master-v0.81</x:v>
      </x:c>
      <x:c r="AL3706" s="87" t="str">
        <x:v>statgrad_master_base_v0_81_final(2).xlsx</x:v>
      </x:c>
      <x:c r="AM3706" s="87" t="str">
        <x:v>INF_Oct_V2</x:v>
      </x:c>
      <x:c r="AN3706" s="87" t="n">
        <x:v>20</x:v>
      </x:c>
    </x:row>
    <x:row r="3707">
      <x:c r="A3707" s="87" t="n">
        <x:v>3706</x:v>
      </x:c>
      <x:c r="B3707" s="87" t="str">
        <x:v>OCT-INF-V2-020</x:v>
      </x:c>
      <x:c r="C3707" s="87" t="str">
        <x:v>СтатГрад</x:v>
      </x:c>
      <x:c r="D3707" s="87" t="str">
        <x:v>Октябрь 2025</x:v>
      </x:c>
      <x:c r="E3707" s="87"/>
      <x:c r="F3707" s="87"/>
      <x:c r="G3707" s="87" t="str">
        <x:v>Информатика</x:v>
      </x:c>
      <x:c r="H3707" s="87" t="n">
        <x:v>11</x:v>
      </x:c>
      <x:c r="I3707" s="87" t="str">
        <x:v>ТР №1</x:v>
      </x:c>
      <x:c r="J3707" s="87" t="str">
        <x:v>ИН2510102</x:v>
      </x:c>
      <x:c r="K3707" s="87" t="n">
        <x:v>20</x:v>
      </x:c>
      <x:c r="L3707" s="87" t="str">
        <x:v>Теория игр: выигрыш вторым ходом</x:v>
      </x:c>
      <x:c r="M3707" s="30" t="str">
        <x:v>Для игры, описанной в задании 19, найдите два наименьших значения S, при
     которых у Пети есть выигрышная стратегия, причём одновременно
     выполняются два условия:
     − Петя не может выиграть за один ход;
     − Петя может выиграть своим вторым ходом независимо от того, как будет
     ходить Ваня.
     Найденные значения запишите в ответе в порядке возрастания.
     Ответ:</x:v>
      </x:c>
      <x:c r="N3707" s="30" t="str">
        <x:v>2694; 2695</x:v>
      </x:c>
      <x:c r="O3707" s="30" t="str">
        <x:v>Найдены минимальные позиции, где первый игрок гарантирует победу вторым ходом, но не первым.</x:v>
      </x:c>
      <x:c r="P3707" s="30" t="str">
        <x:v>Ответ сопоставлен с условием и архивным PNG-ключом; алгоритм решения проверен по типовой реализации.</x:v>
      </x:c>
      <x:c r="Q3707" s="30"/>
      <x:c r="R3707" s="30" t="str">
        <x:v>Архивный PNG-ключ</x:v>
      </x:c>
      <x:c r="S3707" s="30"/>
      <x:c r="T3707" s="30"/>
      <x:c r="U3707" s="30" t="str">
        <x:v>Расхождений не обнаружено.</x:v>
      </x:c>
      <x:c r="V3707" s="87" t="str">
        <x:v>VERIFIED</x:v>
      </x:c>
      <x:c r="W3707" s="87" t="str">
        <x:v>Zadanie_IN11_23102025_.pdf, стр. 33</x:v>
      </x:c>
      <x:c r="X3707" s="87"/>
      <x:c r="Y3707" s="87"/>
      <x:c r="Z3707" s="87"/>
      <x:c r="AA3707" s="87"/>
      <x:c r="AB3707" s="87"/>
      <x:c r="AC3707" s="87" t="str">
        <x:v>VIS-INF-OCT-029</x:v>
      </x:c>
      <x:c r="AD3707" s="87"/>
      <x:c r="AE3707" s="87"/>
      <x:c r="AF3707" s="87" t="str">
        <x:v>VIS-INF-OCT-029: 33</x:v>
      </x:c>
      <x:c r="AG3707" s="87" t="str">
        <x:v>RESOLVED</x:v>
      </x:c>
      <x:c r="AH3707" s="87" t="str">
        <x:v>CROP_VERIFIED</x:v>
      </x:c>
      <x:c r="AI3707" s="30"/>
      <x:c r="AJ3707" s="87" t="str">
        <x:v>master</x:v>
      </x:c>
      <x:c r="AK3707" s="87" t="str">
        <x:v>master-v0.81</x:v>
      </x:c>
      <x:c r="AL3707" s="87" t="str">
        <x:v>statgrad_master_base_v0_81_final(2).xlsx</x:v>
      </x:c>
      <x:c r="AM3707" s="87" t="str">
        <x:v>INF_Oct_V2</x:v>
      </x:c>
      <x:c r="AN3707" s="87" t="n">
        <x:v>21</x:v>
      </x:c>
    </x:row>
    <x:row r="3708">
      <x:c r="A3708" s="87" t="n">
        <x:v>3707</x:v>
      </x:c>
      <x:c r="B3708" s="87" t="str">
        <x:v>OCT-INF-V2-021</x:v>
      </x:c>
      <x:c r="C3708" s="87" t="str">
        <x:v>СтатГрад</x:v>
      </x:c>
      <x:c r="D3708" s="87" t="str">
        <x:v>Октябрь 2025</x:v>
      </x:c>
      <x:c r="E3708" s="87"/>
      <x:c r="F3708" s="87"/>
      <x:c r="G3708" s="87" t="str">
        <x:v>Информатика</x:v>
      </x:c>
      <x:c r="H3708" s="87" t="n">
        <x:v>11</x:v>
      </x:c>
      <x:c r="I3708" s="87" t="str">
        <x:v>ТР №1</x:v>
      </x:c>
      <x:c r="J3708" s="87" t="str">
        <x:v>ИН2510102</x:v>
      </x:c>
      <x:c r="K3708" s="87" t="n">
        <x:v>21</x:v>
      </x:c>
      <x:c r="L3708" s="87" t="str">
        <x:v>Теория игр: стратегия Вани</x:v>
      </x:c>
      <x:c r="M3708" s="30" t="str">
        <x:v>Для игры, описанной в задании 19, найдите минимальное значение S, при
     котором одновременно выполняются два условия:
     – у Вани есть выигрышная стратегия, позволяющая ему выиграть первым
     или вторым ходом при любой игре Пети;
     – у Вани нет стратегии, которая позволит ему гарантированно выиграть
     первым ходом.
                                    согласия СтатГрад запрещена</x:v>
      </x:c>
      <x:c r="N3708" s="30" t="str">
        <x:v>2698</x:v>
      </x:c>
      <x:c r="O3708" s="30" t="str">
        <x:v>Найдена минимальная позиция для стратегии второго игрока в пределах двух ходов.</x:v>
      </x:c>
      <x:c r="P3708" s="30" t="str">
        <x:v>Ответ сопоставлен с условием и архивным PNG-ключом; алгоритм решения проверен по типовой реализации.</x:v>
      </x:c>
      <x:c r="Q3708" s="30"/>
      <x:c r="R3708" s="30" t="str">
        <x:v>Архивный PNG-ключ</x:v>
      </x:c>
      <x:c r="S3708" s="30"/>
      <x:c r="T3708" s="30"/>
      <x:c r="U3708" s="30" t="str">
        <x:v>Расхождений не обнаружено.</x:v>
      </x:c>
      <x:c r="V3708" s="87" t="str">
        <x:v>VERIFIED</x:v>
      </x:c>
      <x:c r="W3708" s="87" t="str">
        <x:v>Zadanie_IN11_23102025_.pdf, стр. 33</x:v>
      </x:c>
      <x:c r="X3708" s="87"/>
      <x:c r="Y3708" s="87"/>
      <x:c r="Z3708" s="87"/>
      <x:c r="AA3708" s="87"/>
      <x:c r="AB3708" s="87"/>
      <x:c r="AC3708" s="87" t="str">
        <x:v>VIS-INF-OCT-029</x:v>
      </x:c>
      <x:c r="AD3708" s="87"/>
      <x:c r="AE3708" s="87"/>
      <x:c r="AF3708" s="87" t="str">
        <x:v>VIS-INF-OCT-029: 33</x:v>
      </x:c>
      <x:c r="AG3708" s="87" t="str">
        <x:v>RESOLVED</x:v>
      </x:c>
      <x:c r="AH3708" s="87" t="str">
        <x:v>CROP_VERIFIED</x:v>
      </x:c>
      <x:c r="AI3708" s="30"/>
      <x:c r="AJ3708" s="87" t="str">
        <x:v>master</x:v>
      </x:c>
      <x:c r="AK3708" s="87" t="str">
        <x:v>master-v0.81</x:v>
      </x:c>
      <x:c r="AL3708" s="87" t="str">
        <x:v>statgrad_master_base_v0_81_final(2).xlsx</x:v>
      </x:c>
      <x:c r="AM3708" s="87" t="str">
        <x:v>INF_Oct_V2</x:v>
      </x:c>
      <x:c r="AN3708" s="87" t="n">
        <x:v>22</x:v>
      </x:c>
    </x:row>
    <x:row r="3709">
      <x:c r="A3709" s="87" t="n">
        <x:v>3708</x:v>
      </x:c>
      <x:c r="B3709" s="87" t="str">
        <x:v>OCT-INF-V2-022</x:v>
      </x:c>
      <x:c r="C3709" s="87" t="str">
        <x:v>СтатГрад</x:v>
      </x:c>
      <x:c r="D3709" s="87" t="str">
        <x:v>Октябрь 2025</x:v>
      </x:c>
      <x:c r="E3709" s="87"/>
      <x:c r="F3709" s="87"/>
      <x:c r="G3709" s="87" t="str">
        <x:v>Информатика</x:v>
      </x:c>
      <x:c r="H3709" s="87" t="n">
        <x:v>11</x:v>
      </x:c>
      <x:c r="I3709" s="87" t="str">
        <x:v>ТР №1</x:v>
      </x:c>
      <x:c r="J3709" s="87" t="str">
        <x:v>ИН2510102</x:v>
      </x:c>
      <x:c r="K3709" s="87" t="n">
        <x:v>22</x:v>
      </x:c>
      <x:c r="L3709" s="87" t="str">
        <x:v>Процессы и зависимости</x:v>
      </x:c>
      <x:c r="M3709" s="30" t="str">
        <x:v>В файле содержится информация о совокупности N вычислительных
     процессов, которые могут выполняться параллельно или последовательно.
     Приостановка выполнения процесса не допускается. Будем говорить, что
     процесс B зависит от процесса A, если для выполнения процесса B
     необходимы результаты выполнения процесса A. В этом случае процессы
     могут выполняться только последовательно.
     Информация о процессах представлена в файле в виде таблицы. В первом
     столбце таблицы указан идентификатор процесса (ID), во втором столбце
     таблицы – время его выполнения в миллисекундах, в третьем столбце
     перечислены с разделителем «;» ID процессов, от которых зависит данный
     процесс. Если процесс является независимым, то в таблице указано значение 0.
     Определите ID процесса, который может начать своё выполнение последним,
     при условии, что все независимые друг от друга процессы могут выполняться
     параллельно, а время завершения всех процессов минимально.
     Если таких процессов может быть несколько, укажите максимально
     возможный ID такого процесса.
                                    согласия СтатГрад запрещена</x:v>
      </x:c>
      <x:c r="N3709" s="30" t="str">
        <x:v>116</x:v>
      </x:c>
      <x:c r="O3709" s="30" t="str">
        <x:v>По графу зависимостей рассчитаны ранние времена старта процессов и выбран предельный ID.</x:v>
      </x:c>
      <x:c r="P3709" s="30" t="str">
        <x:v>Приложенный файл открыт и сопоставлен с условием; формат результата и архивный ключ проверены.</x:v>
      </x:c>
      <x:c r="Q3709" s="30"/>
      <x:c r="R3709" s="30" t="str">
        <x:v>Архивный PNG-ключ</x:v>
      </x:c>
      <x:c r="S3709" s="30"/>
      <x:c r="T3709" s="30"/>
      <x:c r="U3709" s="30" t="str">
        <x:v>Расхождений не обнаружено. Используется файл: 22.ods.</x:v>
      </x:c>
      <x:c r="V3709" s="87" t="str">
        <x:v>VERIFIED</x:v>
      </x:c>
      <x:c r="W3709" s="87" t="str">
        <x:v>Zadanie_IN11_23102025_.pdf, стр. 34</x:v>
      </x:c>
      <x:c r="X3709" s="87"/>
      <x:c r="Y3709" s="87"/>
      <x:c r="Z3709" s="87"/>
      <x:c r="AA3709" s="87"/>
      <x:c r="AB3709" s="87"/>
      <x:c r="AC3709" s="87" t="str">
        <x:v>VIS-INF-OCT-030</x:v>
      </x:c>
      <x:c r="AD3709" s="87"/>
      <x:c r="AE3709" s="87"/>
      <x:c r="AF3709" s="87" t="str">
        <x:v>VIS-INF-OCT-030: 34</x:v>
      </x:c>
      <x:c r="AG3709" s="87" t="str">
        <x:v>RESOLVED</x:v>
      </x:c>
      <x:c r="AH3709" s="87" t="str">
        <x:v>CROP_VERIFIED; TASK_CROP_NO_CROP_NEEDED</x:v>
      </x:c>
      <x:c r="AI3709" s="30"/>
      <x:c r="AJ3709" s="87" t="str">
        <x:v>master</x:v>
      </x:c>
      <x:c r="AK3709" s="87" t="str">
        <x:v>master-v0.81</x:v>
      </x:c>
      <x:c r="AL3709" s="87" t="str">
        <x:v>statgrad_master_base_v0_81_final(2).xlsx</x:v>
      </x:c>
      <x:c r="AM3709" s="87" t="str">
        <x:v>INF_Oct_V2</x:v>
      </x:c>
      <x:c r="AN3709" s="87" t="n">
        <x:v>23</x:v>
      </x:c>
    </x:row>
    <x:row r="3710">
      <x:c r="A3710" s="87" t="n">
        <x:v>3709</x:v>
      </x:c>
      <x:c r="B3710" s="87" t="str">
        <x:v>OCT-INF-V2-023</x:v>
      </x:c>
      <x:c r="C3710" s="87" t="str">
        <x:v>СтатГрад</x:v>
      </x:c>
      <x:c r="D3710" s="87" t="str">
        <x:v>Октябрь 2025</x:v>
      </x:c>
      <x:c r="E3710" s="87"/>
      <x:c r="F3710" s="87"/>
      <x:c r="G3710" s="87" t="str">
        <x:v>Информатика</x:v>
      </x:c>
      <x:c r="H3710" s="87" t="n">
        <x:v>11</x:v>
      </x:c>
      <x:c r="I3710" s="87" t="str">
        <x:v>ТР №1</x:v>
      </x:c>
      <x:c r="J3710" s="87" t="str">
        <x:v>ИН2510102</x:v>
      </x:c>
      <x:c r="K3710" s="87" t="n">
        <x:v>23</x:v>
      </x:c>
      <x:c r="L3710" s="87" t="str">
        <x:v>Динамическое программирование программ</x:v>
      </x:c>
      <x:c r="M3710" s="30" t="str">
        <x:v>Исполнитель преобразует число на экране.
     У исполнителя есть три команды, которые обозначены латинскими буквами.
     A. Прибавь 1
     B. Умножь на 2
     C. Умножь на 3
     Программа для исполнителя – это последовательность команд.
     Сколько существует программ, которые преобразуют число 9 в число 81,
     и при этом траектория вычислений содержит 24 или 27? Траектория должна
     содержать хотя бы одно из указанных чисел.
     Траектория вычислений программы – это последовательность результатов
     выполнения всех команд программы. Например, для программы ACB при
     исходном числе 3 траектория состоит из чисел 4, 12, 24.
              Задание выполняется с использованием прилагаемых файлов.</x:v>
      </x:c>
      <x:c r="N3710" s="30" t="str">
        <x:v>142</x:v>
      </x:c>
      <x:c r="O3710" s="30" t="str">
        <x:v>Количество программ подсчитано динамическим программированием с обязательным прохождением через заданные значения.</x:v>
      </x:c>
      <x:c r="P3710" s="30" t="str">
        <x:v>Ответ сопоставлен с условием и архивным PNG-ключом; алгоритм решения проверен по типовой реализации.</x:v>
      </x:c>
      <x:c r="Q3710" s="30"/>
      <x:c r="R3710" s="30" t="str">
        <x:v>Архивный PNG-ключ</x:v>
      </x:c>
      <x:c r="S3710" s="30"/>
      <x:c r="T3710" s="30"/>
      <x:c r="U3710" s="30" t="str">
        <x:v>Расхождений не обнаружено.</x:v>
      </x:c>
      <x:c r="V3710" s="87" t="str">
        <x:v>VERIFIED</x:v>
      </x:c>
      <x:c r="W3710" s="87" t="str">
        <x:v>Zadanie_IN11_23102025_.pdf, стр. 35</x:v>
      </x:c>
      <x:c r="X3710" s="87"/>
      <x:c r="Y3710" s="87"/>
      <x:c r="Z3710" s="87"/>
      <x:c r="AA3710" s="87"/>
      <x:c r="AB3710" s="87"/>
      <x:c r="AC3710" s="87" t="str">
        <x:v>VIS-INF-OCT-031</x:v>
      </x:c>
      <x:c r="AD3710" s="87"/>
      <x:c r="AE3710" s="87"/>
      <x:c r="AF3710" s="87" t="str">
        <x:v>VIS-INF-OCT-031: 35</x:v>
      </x:c>
      <x:c r="AG3710" s="87" t="str">
        <x:v>RESOLVED</x:v>
      </x:c>
      <x:c r="AH3710" s="87" t="str">
        <x:v>CROP_VERIFIED</x:v>
      </x:c>
      <x:c r="AI3710" s="30"/>
      <x:c r="AJ3710" s="87" t="str">
        <x:v>master</x:v>
      </x:c>
      <x:c r="AK3710" s="87" t="str">
        <x:v>master-v0.81</x:v>
      </x:c>
      <x:c r="AL3710" s="87" t="str">
        <x:v>statgrad_master_base_v0_81_final(2).xlsx</x:v>
      </x:c>
      <x:c r="AM3710" s="87" t="str">
        <x:v>INF_Oct_V2</x:v>
      </x:c>
      <x:c r="AN3710" s="87" t="n">
        <x:v>24</x:v>
      </x:c>
    </x:row>
    <x:row r="3711">
      <x:c r="A3711" s="87" t="n">
        <x:v>3710</x:v>
      </x:c>
      <x:c r="B3711" s="87" t="str">
        <x:v>OCT-INF-V2-024</x:v>
      </x:c>
      <x:c r="C3711" s="87" t="str">
        <x:v>СтатГрад</x:v>
      </x:c>
      <x:c r="D3711" s="87" t="str">
        <x:v>Октябрь 2025</x:v>
      </x:c>
      <x:c r="E3711" s="87"/>
      <x:c r="F3711" s="87"/>
      <x:c r="G3711" s="87" t="str">
        <x:v>Информатика</x:v>
      </x:c>
      <x:c r="H3711" s="87" t="n">
        <x:v>11</x:v>
      </x:c>
      <x:c r="I3711" s="87" t="str">
        <x:v>ТР №1</x:v>
      </x:c>
      <x:c r="J3711" s="87" t="str">
        <x:v>ИН2510102</x:v>
      </x:c>
      <x:c r="K3711" s="87" t="n">
        <x:v>24</x:v>
      </x:c>
      <x:c r="L3711" s="87" t="str">
        <x:v>Обработка текстового файла</x:v>
      </x:c>
      <x:c r="M3711" s="30" t="str">
        <x:v>Текстовый файл состоит из десятичных цифр от 1 до 9, знаков «+» и «*»
     (сложения и умножения).
     Определите в прилагаемом файле максимальное количество символов
     в непрерывной последовательности, являющейся корректной записью
     арифметического выражения, состоящей из не более чем 40 натуральных
     чисел и знаков арифметических операций между ними.
     В ответе укажите количество символов.</x:v>
      </x:c>
      <x:c r="N3711" s="30" t="str">
        <x:v>368</x:v>
      </x:c>
      <x:c r="O3711" s="30" t="str">
        <x:v>Файл просканирован на максимальную корректную запись выражения с ограничением числа операндов.</x:v>
      </x:c>
      <x:c r="P3711" s="30" t="str">
        <x:v>Результат независимо пересчитан программой по приложенному файлу и совпал с архивным PNG-ключом.</x:v>
      </x:c>
      <x:c r="Q3711" s="30"/>
      <x:c r="R3711" s="30" t="str">
        <x:v>Архивный PNG-ключ</x:v>
      </x:c>
      <x:c r="S3711" s="30"/>
      <x:c r="T3711" s="30"/>
      <x:c r="U3711" s="30" t="str">
        <x:v>Расхождений не обнаружено. Используется файл: 24.txt.</x:v>
      </x:c>
      <x:c r="V3711" s="87" t="str">
        <x:v>VERIFIED</x:v>
      </x:c>
      <x:c r="W3711" s="87" t="str">
        <x:v>Zadanie_IN11_23102025_.pdf, стр. 35</x:v>
      </x:c>
      <x:c r="X3711" s="87"/>
      <x:c r="Y3711" s="87"/>
      <x:c r="Z3711" s="87"/>
      <x:c r="AA3711" s="87"/>
      <x:c r="AB3711" s="87"/>
      <x:c r="AC3711" s="87" t="str">
        <x:v>VIS-INF-OCT-031</x:v>
      </x:c>
      <x:c r="AD3711" s="87"/>
      <x:c r="AE3711" s="87"/>
      <x:c r="AF3711" s="87" t="str">
        <x:v>VIS-INF-OCT-031: 35</x:v>
      </x:c>
      <x:c r="AG3711" s="87" t="str">
        <x:v>RESOLVED</x:v>
      </x:c>
      <x:c r="AH3711" s="87" t="str">
        <x:v>CROP_VERIFIED</x:v>
      </x:c>
      <x:c r="AI3711" s="30"/>
      <x:c r="AJ3711" s="87" t="str">
        <x:v>master</x:v>
      </x:c>
      <x:c r="AK3711" s="87" t="str">
        <x:v>master-v0.81</x:v>
      </x:c>
      <x:c r="AL3711" s="87" t="str">
        <x:v>statgrad_master_base_v0_81_final(2).xlsx</x:v>
      </x:c>
      <x:c r="AM3711" s="87" t="str">
        <x:v>INF_Oct_V2</x:v>
      </x:c>
      <x:c r="AN3711" s="87" t="n">
        <x:v>25</x:v>
      </x:c>
    </x:row>
    <x:row r="3712">
      <x:c r="A3712" s="87" t="n">
        <x:v>3711</x:v>
      </x:c>
      <x:c r="B3712" s="87" t="str">
        <x:v>OCT-INF-V2-025</x:v>
      </x:c>
      <x:c r="C3712" s="87" t="str">
        <x:v>СтатГрад</x:v>
      </x:c>
      <x:c r="D3712" s="87" t="str">
        <x:v>Октябрь 2025</x:v>
      </x:c>
      <x:c r="E3712" s="87"/>
      <x:c r="F3712" s="87"/>
      <x:c r="G3712" s="87" t="str">
        <x:v>Информатика</x:v>
      </x:c>
      <x:c r="H3712" s="87" t="n">
        <x:v>11</x:v>
      </x:c>
      <x:c r="I3712" s="87" t="str">
        <x:v>ТР №1</x:v>
      </x:c>
      <x:c r="J3712" s="87" t="str">
        <x:v>ИН2510102</x:v>
      </x:c>
      <x:c r="K3712" s="87" t="n">
        <x:v>25</x:v>
      </x:c>
      <x:c r="L3712" s="87" t="str">
        <x:v>Поиск чисел и простые делители</x:v>
      </x:c>
      <x:c r="M3712" s="30" t="str">
        <x:v>Пусть S – сумма всех простых натуральных делителей целого числа, не
     считая самого числа. Если таких делителей у числа нет, то считаем значение
     S равным нулю.
     Напишите программу, которая перебирает целые числа, меньшие 1 475 000,
     в порядке убывания и ищет среди них такие, для которых значение S не равно
     нулю, не больше 42 000 и кратно 6. В ответе запишите первые пять найденных
     чисел в порядке убывания.
     Например, для числа 10 S = 2 + 5 = 7.
     Ответ:
                                    согласия СтатГрад запрещена</x:v>
      </x:c>
      <x:c r="N3712" s="30" t="str">
        <x:v>1474997; 1474992; 1474973; 1474968; 1474954</x:v>
      </x:c>
      <x:c r="O3712" s="30" t="str">
        <x:v>Числа перебраны по убыванию; для каждого найдена сумма различных простых делителей.</x:v>
      </x:c>
      <x:c r="P3712" s="30" t="str">
        <x:v>Ответ сопоставлен с условием и архивным PNG-ключом; алгоритм решения проверен по типовой реализации.</x:v>
      </x:c>
      <x:c r="Q3712" s="30"/>
      <x:c r="R3712" s="30" t="str">
        <x:v>Архивный PNG-ключ</x:v>
      </x:c>
      <x:c r="S3712" s="30"/>
      <x:c r="T3712" s="30"/>
      <x:c r="U3712" s="30" t="str">
        <x:v>Расхождений не обнаружено.</x:v>
      </x:c>
      <x:c r="V3712" s="87" t="str">
        <x:v>VERIFIED</x:v>
      </x:c>
      <x:c r="W3712" s="87" t="str">
        <x:v>Zadanie_IN11_23102025_.pdf, стр. 35</x:v>
      </x:c>
      <x:c r="X3712" s="87"/>
      <x:c r="Y3712" s="87"/>
      <x:c r="Z3712" s="87"/>
      <x:c r="AA3712" s="87"/>
      <x:c r="AB3712" s="87"/>
      <x:c r="AC3712" s="87" t="str">
        <x:v>VIS-INF-OCT-031</x:v>
      </x:c>
      <x:c r="AD3712" s="87"/>
      <x:c r="AE3712" s="87"/>
      <x:c r="AF3712" s="87" t="str">
        <x:v>VIS-INF-OCT-031: 35</x:v>
      </x:c>
      <x:c r="AG3712" s="87" t="str">
        <x:v>RESOLVED</x:v>
      </x:c>
      <x:c r="AH3712" s="87" t="str">
        <x:v>CROP_VERIFIED</x:v>
      </x:c>
      <x:c r="AI3712" s="30"/>
      <x:c r="AJ3712" s="87" t="str">
        <x:v>master</x:v>
      </x:c>
      <x:c r="AK3712" s="87" t="str">
        <x:v>master-v0.81</x:v>
      </x:c>
      <x:c r="AL3712" s="87" t="str">
        <x:v>statgrad_master_base_v0_81_final(2).xlsx</x:v>
      </x:c>
      <x:c r="AM3712" s="87" t="str">
        <x:v>INF_Oct_V2</x:v>
      </x:c>
      <x:c r="AN3712" s="87" t="n">
        <x:v>26</x:v>
      </x:c>
    </x:row>
    <x:row r="3713">
      <x:c r="A3713" s="87" t="n">
        <x:v>3712</x:v>
      </x:c>
      <x:c r="B3713" s="87" t="str">
        <x:v>OCT-INF-V2-026</x:v>
      </x:c>
      <x:c r="C3713" s="87" t="str">
        <x:v>СтатГрад</x:v>
      </x:c>
      <x:c r="D3713" s="87" t="str">
        <x:v>Октябрь 2025</x:v>
      </x:c>
      <x:c r="E3713" s="87"/>
      <x:c r="F3713" s="87"/>
      <x:c r="G3713" s="87" t="str">
        <x:v>Информатика</x:v>
      </x:c>
      <x:c r="H3713" s="87" t="n">
        <x:v>11</x:v>
      </x:c>
      <x:c r="I3713" s="87" t="str">
        <x:v>ТР №1</x:v>
      </x:c>
      <x:c r="J3713" s="87" t="str">
        <x:v>ИН2510102</x:v>
      </x:c>
      <x:c r="K3713" s="87" t="n">
        <x:v>26</x:v>
      </x:c>
      <x:c r="L3713" s="87" t="str">
        <x:v>Обработка большого набора заявок</x:v>
      </x:c>
      <x:c r="M3713" s="30" t="str">
        <x:v>В одном городе есть более 100 жилых домов. Все дома пронумерованы,
     начиная с единицы. Управляющая компания получила заявки на
     капитальный ремонт от жителей домов. В заявке указан номер дома и номер
     подъезда, где требуется ремонт, при этом каждой заявке присваивается
     уникальный идентификатор – натуральное число, не превышающее
     1 000 000. На один и тот же подъезд могут быть заявки сразу от нескольких
     жителей.
     Определите номер дома, который имеет наибольшее количество подряд
     идущих подъездов с заявками на капитальный ремонт. Если есть несколько
     домов с одинаковым максимальным количеством подъездов, необходимо
     выбрать тот дом, у которого наименьший искомый подъезд имеет
     минимальный номер заявки.
     Входные данные
     В первой строке входного файла находится натуральное число N
     (N ≤ 200 000) – количество полученных заявок на капитальный ремонт.
     Следующие N строк содержат три числа: номер заявки, номер дома и номер
     подъезда (все числа натуральные, не превышающие 1 000 000).
     Выходные данные
     Запишите в ответе два натуральных числа: сначала номер дома
     с максимальным количеством подряд идущих подъездов, затем номер
     первого найденного подъезда из максимального числа подряд идущих
     подъездов в этом доме.
     Ответ:
                                    согласия СтатГрад запрещена</x:v>
      </x:c>
      <x:c r="N3713" s="30" t="str">
        <x:v>503; 805</x:v>
      </x:c>
      <x:c r="O3713" s="30" t="str">
        <x:v>Заявки сгруппированы по домам и подъездам; найдены максимальные последовательные серии и применено правило выбора.</x:v>
      </x:c>
      <x:c r="P3713" s="30" t="str">
        <x:v>Результат независимо пересчитан программой по приложенному файлу и совпал с архивным PNG-ключом.</x:v>
      </x:c>
      <x:c r="Q3713" s="30"/>
      <x:c r="R3713" s="30" t="str">
        <x:v>Архивный PNG-ключ</x:v>
      </x:c>
      <x:c r="S3713" s="30"/>
      <x:c r="T3713" s="30"/>
      <x:c r="U3713" s="30" t="str">
        <x:v>Расхождений не обнаружено. Используется файл: 26.txt.</x:v>
      </x:c>
      <x:c r="V3713" s="87" t="str">
        <x:v>VERIFIED</x:v>
      </x:c>
      <x:c r="W3713" s="87" t="str">
        <x:v>Zadanie_IN11_23102025_.pdf, стр. 36</x:v>
      </x:c>
      <x:c r="X3713" s="87"/>
      <x:c r="Y3713" s="87"/>
      <x:c r="Z3713" s="87"/>
      <x:c r="AA3713" s="87"/>
      <x:c r="AB3713" s="87"/>
      <x:c r="AC3713" s="87" t="str">
        <x:v>VIS-INF-OCT-032</x:v>
      </x:c>
      <x:c r="AD3713" s="87"/>
      <x:c r="AE3713" s="87"/>
      <x:c r="AF3713" s="87" t="str">
        <x:v>VIS-INF-OCT-032: 36</x:v>
      </x:c>
      <x:c r="AG3713" s="87" t="str">
        <x:v>RESOLVED</x:v>
      </x:c>
      <x:c r="AH3713" s="87" t="str">
        <x:v>CROP_VERIFIED</x:v>
      </x:c>
      <x:c r="AI3713" s="30"/>
      <x:c r="AJ3713" s="87" t="str">
        <x:v>master</x:v>
      </x:c>
      <x:c r="AK3713" s="87" t="str">
        <x:v>master-v0.81</x:v>
      </x:c>
      <x:c r="AL3713" s="87" t="str">
        <x:v>statgrad_master_base_v0_81_final(2).xlsx</x:v>
      </x:c>
      <x:c r="AM3713" s="87" t="str">
        <x:v>INF_Oct_V2</x:v>
      </x:c>
      <x:c r="AN3713" s="87" t="n">
        <x:v>27</x:v>
      </x:c>
    </x:row>
    <x:row r="3714">
      <x:c r="A3714" s="87" t="n">
        <x:v>3713</x:v>
      </x:c>
      <x:c r="B3714" s="87" t="str">
        <x:v>OCT-INF-V2-027</x:v>
      </x:c>
      <x:c r="C3714" s="87" t="str">
        <x:v>СтатГрад</x:v>
      </x:c>
      <x:c r="D3714" s="87" t="str">
        <x:v>Октябрь 2025</x:v>
      </x:c>
      <x:c r="E3714" s="87"/>
      <x:c r="F3714" s="87"/>
      <x:c r="G3714" s="87" t="str">
        <x:v>Информатика</x:v>
      </x:c>
      <x:c r="H3714" s="87" t="n">
        <x:v>11</x:v>
      </x:c>
      <x:c r="I3714" s="87" t="str">
        <x:v>ТР №1</x:v>
      </x:c>
      <x:c r="J3714" s="87" t="str">
        <x:v>ИН2510102</x:v>
      </x:c>
      <x:c r="K3714" s="87" t="n">
        <x:v>27</x:v>
      </x:c>
      <x:c r="L3714" s="87" t="str">
        <x:v>Кластеризация точек</x:v>
      </x:c>
      <x:c r="M3714" s="30" t="str">
        <x:v>Фрагмент звёздного неба спроецирован на плоскость с декартовой системой
     координат. Учёный решил провести кластеризацию полученных точек,
     являющихся изображениями звёзд, то есть разбить их множество на N
     непересекающихся непустых подмножеств (кластеров), таких что точки
     каждого подмножества лежат внутри прямоугольника со сторонами длиной
     H и W, причём эти прямоугольники между собой не пересекаются. Стороны
     прямоугольников не обязательно параллельны координатным осям.
     Гарантируется, что такое разбиение существует и единственно для заданных
     размеров прямоугольников.
     Будем называть центром кластера точку этого кластера, сумма расстояний от
     которой до всех остальных точек кластера минимальна. Для каждого
     кластера гарантируется единственность его центра. Расстояние между двумя
     точками А (х 1 , y 1 ) и B (х 2 , y 2 ) на плоскости вычисляется по формуле:
                                        .
     В файле А хранятся координаты точек двух кластеров, где Н=8, W=4 для
     каждого кластера. В каждой строке записана информация о расположении на
     карте одной звезды: сначала координата х, затем координата у. Значения даны в
     условных единицах. Известно, что количество точек не превышает 1000.
     В файле Б хранятся координаты точек трёх кластеров, где Н=6, W=7 для
     каждого кластера. Известно, что количество точек не превышает 10 000.
     Структура хранения информации о звёздах в файле Б аналогична структуре
     в файле А.
     Известно, что в файле Б имеются координаты ровно трёх «лишних» точек,
     представляющих аномалии, которые возникли в результате помех при
     передаче данных. Эти три точки не относятся ни к одному из кластеров, их
     учитывать не нужно.
     Для файла А определите координаты центра каждого кластера, затем
     вычислите два числа: P 1 – сумма абсциссы и ординаты центра кластера
     с наименьшим количеством точек, и P 2 – сумма абсциссы и ординаты центра
     кластера с наибольшим количеством точек. Гарантируется, что во всех
     кластерах количество точек различно.
     Для файла Б определите координаты центра каждого кластера, затем
     вычислите два числа: Q x – абсциссу наиболее отдалённого центра кластера
     от начала координат, и Q y – ординату ближайшего центра кластера к началу
     координат.
                                    согласия СтатГрад запрещена
В ответе запишите четыре числа: в первой строке – сначала целую часть
абсолютного значения произведения P 1 × 10 000, затем целую часть
абсолютного значения произведения P 2 × 10 000; во второй строке – сначала
целую часть абсолютного значения произведения Q x × 10 000, затем целую
часть абсолютного значения произведения Q y × 10 000.
Возможные данные одного из файлов иллюстрированы графиком.
Внимание! График приведён в иллюстративных целях для
произвольных значений, не имеющий отношения к заданию. Для
выполнения задания используйте данные из прилагаемых файлов.
Ответ:
                               согласия СтатГрад запрещена</x:v>
      </x:c>
      <x:c r="N3714" s="30" t="str">
        <x:v>1171117; 1532167; 222238; 280837</x:v>
      </x:c>
      <x:c r="O3714" s="30" t="str">
        <x:v>Точки разбиты на кластеры; для каждого найден центр или антицентр по сумме расстояний, а аномалии исключены.</x:v>
      </x:c>
      <x:c r="P3714" s="30" t="str">
        <x:v>Результат независимо пересчитан программой по приложенному файлу и совпал с архивным PNG-ключом.</x:v>
      </x:c>
      <x:c r="Q3714" s="30"/>
      <x:c r="R3714" s="30" t="str">
        <x:v>Архивный PNG-ключ</x:v>
      </x:c>
      <x:c r="S3714" s="30"/>
      <x:c r="T3714" s="30"/>
      <x:c r="U3714" s="30" t="str">
        <x:v>Расхождений не обнаружено. Используется файл: 27_A.txt + 27_B.txt.</x:v>
      </x:c>
      <x:c r="V3714" s="87" t="str">
        <x:v>VERIFIED</x:v>
      </x:c>
      <x:c r="W3714" s="87" t="str">
        <x:v>Zadanie_IN11_23102025_.pdf, стр. 37, 38</x:v>
      </x:c>
      <x:c r="X3714" s="87"/>
      <x:c r="Y3714" s="87"/>
      <x:c r="Z3714" s="87"/>
      <x:c r="AA3714" s="87"/>
      <x:c r="AB3714" s="87"/>
      <x:c r="AC3714" s="87" t="str">
        <x:v>VIS-INF-OCT-033; VIS-INF-OCT-034</x:v>
      </x:c>
      <x:c r="AD3714" s="87"/>
      <x:c r="AE3714" s="87"/>
      <x:c r="AF3714" s="87" t="str">
        <x:v>VIS-INF-OCT-033: 37; VIS-INF-OCT-034: 38</x:v>
      </x:c>
      <x:c r="AG3714" s="87" t="str">
        <x:v>RESOLVED</x:v>
      </x:c>
      <x:c r="AH3714" s="87" t="str">
        <x:v>CROP_VERIFIED</x:v>
      </x:c>
      <x:c r="AI3714" s="30"/>
      <x:c r="AJ3714" s="87" t="str">
        <x:v>master</x:v>
      </x:c>
      <x:c r="AK3714" s="87" t="str">
        <x:v>master-v0.81</x:v>
      </x:c>
      <x:c r="AL3714" s="87" t="str">
        <x:v>statgrad_master_base_v0_81_final(2).xlsx</x:v>
      </x:c>
      <x:c r="AM3714" s="87" t="str">
        <x:v>INF_Oct_V2</x:v>
      </x:c>
      <x:c r="AN3714" s="87" t="n">
        <x:v>28</x:v>
      </x:c>
    </x:row>
    <x:row r="3715">
      <x:c r="A3715" s="87" t="n">
        <x:v>3714</x:v>
      </x:c>
      <x:c r="B3715" s="87" t="str">
        <x:v>NOV-CHEM-V1-001</x:v>
      </x:c>
      <x:c r="C3715" s="87" t="str">
        <x:v>СтатГрад</x:v>
      </x:c>
      <x:c r="D3715" s="87" t="str">
        <x:v>Ноябрь 2025</x:v>
      </x:c>
      <x:c r="E3715" s="87"/>
      <x:c r="F3715" s="87"/>
      <x:c r="G3715" s="87" t="str">
        <x:v>Химия</x:v>
      </x:c>
      <x:c r="H3715" s="87" t="n">
        <x:v>11</x:v>
      </x:c>
      <x:c r="I3715" s="87" t="str">
        <x:v>ТР №2</x:v>
      </x:c>
      <x:c r="J3715" s="87" t="str">
        <x:v>ХИ2510201</x:v>
      </x:c>
      <x:c r="K3715" s="87" t="n">
        <x:v>1</x:v>
      </x:c>
      <x:c r="L3715" s="87" t="str">
        <x:v>Электронная конфигурация</x:v>
      </x:c>
      <x:c r="M3715" s="30" t="str">
        <x:v>Для выполнения заданий 1–3 дан ряд элементов: 1) Ca; 2) N; 3) P; 4) Al; 5) Cl.
1   Определите два элемента, которые образуют устойчивый катион с электронной
    конфигурацией благородного газа.
    Запишите номера выбранных элементов.
    Ответ:</x:v>
      </x:c>
      <x:c r="N3715" s="30" t="str">
        <x:v>14</x:v>
      </x:c>
      <x:c r="O3715" s="30" t="str">
        <x:v>Выбраны позиции 14; выбор подтверждён разбором каждого предложенного вещества или элемента.</x:v>
      </x:c>
      <x:c r="P3715" s="30" t="str">
        <x:v>Проверены электронные конфигурации и образование устойчивых ионов.</x:v>
      </x:c>
      <x:c r="Q3715" s="30"/>
      <x:c r="R3715" s="30" t="str">
        <x:v>Фото-сводка ответов + независимое решение</x:v>
      </x:c>
      <x:c r="S3715" s="30"/>
      <x:c r="T3715" s="30"/>
      <x:c r="U3715" s="30" t="str">
        <x:v>Расхождений не обнаружено.</x:v>
      </x:c>
      <x:c r="V3715" s="87" t="str">
        <x:v>VERIFIED</x:v>
      </x:c>
      <x:c r="W3715" s="87" t="str">
        <x:v>Zadanie_KhI11_06112025.pdf, вариантная стр. 2</x:v>
      </x:c>
      <x:c r="X3715" s="87"/>
      <x:c r="Y3715" s="87"/>
      <x:c r="Z3715" s="87"/>
      <x:c r="AA3715" s="87"/>
      <x:c r="AB3715" s="87"/>
      <x:c r="AC3715" s="87" t="str">
        <x:v>VIS-CHEM-NOV-001</x:v>
      </x:c>
      <x:c r="AD3715" s="87"/>
      <x:c r="AE3715" s="87"/>
      <x:c r="AF3715" s="87" t="str">
        <x:v>VIS-CHEM-NOV-001: 2</x:v>
      </x:c>
      <x:c r="AG3715" s="87" t="str">
        <x:v>RESOLVED</x:v>
      </x:c>
      <x:c r="AH3715" s="87" t="str">
        <x:v>CROP_VERIFIED</x:v>
      </x:c>
      <x:c r="AI3715" s="30"/>
      <x:c r="AJ3715" s="87" t="str">
        <x:v>master</x:v>
      </x:c>
      <x:c r="AK3715" s="87" t="str">
        <x:v>master-v0.81</x:v>
      </x:c>
      <x:c r="AL3715" s="87" t="str">
        <x:v>statgrad_master_base_v0_81_final(2).xlsx</x:v>
      </x:c>
      <x:c r="AM3715" s="87" t="str">
        <x:v>CHEM_Nov_V1</x:v>
      </x:c>
      <x:c r="AN3715" s="87" t="n">
        <x:v>2</x:v>
      </x:c>
    </x:row>
    <x:row r="3716">
      <x:c r="A3716" s="87" t="n">
        <x:v>3715</x:v>
      </x:c>
      <x:c r="B3716" s="87" t="str">
        <x:v>NOV-CHEM-V1-002</x:v>
      </x:c>
      <x:c r="C3716" s="87" t="str">
        <x:v>СтатГрад</x:v>
      </x:c>
      <x:c r="D3716" s="87" t="str">
        <x:v>Ноябрь 2025</x:v>
      </x:c>
      <x:c r="E3716" s="87"/>
      <x:c r="F3716" s="87"/>
      <x:c r="G3716" s="87" t="str">
        <x:v>Химия</x:v>
      </x:c>
      <x:c r="H3716" s="87" t="n">
        <x:v>11</x:v>
      </x:c>
      <x:c r="I3716" s="87" t="str">
        <x:v>ТР №2</x:v>
      </x:c>
      <x:c r="J3716" s="87" t="str">
        <x:v>ХИ2510201</x:v>
      </x:c>
      <x:c r="K3716" s="87" t="n">
        <x:v>2</x:v>
      </x:c>
      <x:c r="L3716" s="87" t="str">
        <x:v>Периодический закон</x:v>
      </x:c>
      <x:c r="M3716" s="30" t="str">
        <x:v>Для выполнения заданий 1–3 дан ряд элементов: 1) Ca; 2) N; 3) P; 4) Al; 5) Cl.
2   Из указанных в ряду химических элементов выберите три элемента, которые
    в Периодической системе находятся в одном периоде. Расположите
    выбранные элементы в порядке увеличения окислительной способности
    простых веществ.
    Запишите номера выбранных элементов в нужной последовательности.
    Ответ:</x:v>
      </x:c>
      <x:c r="N3716" s="30" t="str">
        <x:v>435</x:v>
      </x:c>
      <x:c r="O3716" s="30" t="str">
        <x:v>Последовательность 435 задаёт соответствия позициям задания; каждое соответствие проверено отдельно.</x:v>
      </x:c>
      <x:c r="P3716" s="30" t="str">
        <x:v>Сопоставлены положения элементов в Периодической системе и требуемая тенденция свойства.</x:v>
      </x:c>
      <x:c r="Q3716" s="30"/>
      <x:c r="R3716" s="30" t="str">
        <x:v>Фото-сводка ответов + независимое решение</x:v>
      </x:c>
      <x:c r="S3716" s="30"/>
      <x:c r="T3716" s="30"/>
      <x:c r="U3716" s="30" t="str">
        <x:v>Расхождений не обнаружено.</x:v>
      </x:c>
      <x:c r="V3716" s="87" t="str">
        <x:v>VERIFIED</x:v>
      </x:c>
      <x:c r="W3716" s="87" t="str">
        <x:v>Zadanie_KhI11_06112025.pdf, вариантная стр. 2</x:v>
      </x:c>
      <x:c r="X3716" s="87"/>
      <x:c r="Y3716" s="87"/>
      <x:c r="Z3716" s="87"/>
      <x:c r="AA3716" s="87"/>
      <x:c r="AB3716" s="87"/>
      <x:c r="AC3716" s="87" t="str">
        <x:v>VIS-CHEM-NOV-001</x:v>
      </x:c>
      <x:c r="AD3716" s="87"/>
      <x:c r="AE3716" s="87"/>
      <x:c r="AF3716" s="87" t="str">
        <x:v>VIS-CHEM-NOV-001: 2</x:v>
      </x:c>
      <x:c r="AG3716" s="87" t="str">
        <x:v>RESOLVED</x:v>
      </x:c>
      <x:c r="AH3716" s="87" t="str">
        <x:v>CROP_VERIFIED</x:v>
      </x:c>
      <x:c r="AI3716" s="30"/>
      <x:c r="AJ3716" s="87" t="str">
        <x:v>master</x:v>
      </x:c>
      <x:c r="AK3716" s="87" t="str">
        <x:v>master-v0.81</x:v>
      </x:c>
      <x:c r="AL3716" s="87" t="str">
        <x:v>statgrad_master_base_v0_81_final(2).xlsx</x:v>
      </x:c>
      <x:c r="AM3716" s="87" t="str">
        <x:v>CHEM_Nov_V1</x:v>
      </x:c>
      <x:c r="AN3716" s="87" t="n">
        <x:v>3</x:v>
      </x:c>
    </x:row>
    <x:row r="3717">
      <x:c r="A3717" s="87" t="n">
        <x:v>3716</x:v>
      </x:c>
      <x:c r="B3717" s="87" t="str">
        <x:v>NOV-CHEM-V1-003</x:v>
      </x:c>
      <x:c r="C3717" s="87" t="str">
        <x:v>СтатГрад</x:v>
      </x:c>
      <x:c r="D3717" s="87" t="str">
        <x:v>Ноябрь 2025</x:v>
      </x:c>
      <x:c r="E3717" s="87"/>
      <x:c r="F3717" s="87"/>
      <x:c r="G3717" s="87" t="str">
        <x:v>Химия</x:v>
      </x:c>
      <x:c r="H3717" s="87" t="n">
        <x:v>11</x:v>
      </x:c>
      <x:c r="I3717" s="87" t="str">
        <x:v>ТР №2</x:v>
      </x:c>
      <x:c r="J3717" s="87" t="str">
        <x:v>ХИ2510201</x:v>
      </x:c>
      <x:c r="K3717" s="87" t="n">
        <x:v>3</x:v>
      </x:c>
      <x:c r="L3717" s="87" t="str">
        <x:v>Степени окисления</x:v>
      </x:c>
      <x:c r="M3717" s="30" t="str">
        <x:v>Для выполнения заданий 1–3 дан ряд элементов: 1) Ca; 2) N; 3) P; 4) Al; 5) Cl.
3   Из числа указанных в ряду элементов выберите два элемента, которые
    в соединениях проявляют степень окисления +2.
    Запишите номера выбранных элементов.
    Ответ:</x:v>
      </x:c>
      <x:c r="N3717" s="30" t="str">
        <x:v>12</x:v>
      </x:c>
      <x:c r="O3717" s="30" t="str">
        <x:v>Выбраны позиции 12; выбор подтверждён разбором каждого предложенного вещества или элемента.</x:v>
      </x:c>
      <x:c r="P3717" s="30" t="str">
        <x:v>Проверены характерные степени окисления выбранных элементов.</x:v>
      </x:c>
      <x:c r="Q3717" s="30"/>
      <x:c r="R3717" s="30" t="str">
        <x:v>Фото-сводка ответов + независимое решение</x:v>
      </x:c>
      <x:c r="S3717" s="30"/>
      <x:c r="T3717" s="30"/>
      <x:c r="U3717" s="30" t="str">
        <x:v>Расхождений не обнаружено.</x:v>
      </x:c>
      <x:c r="V3717" s="87" t="str">
        <x:v>VERIFIED</x:v>
      </x:c>
      <x:c r="W3717" s="87" t="str">
        <x:v>Zadanie_KhI11_06112025.pdf, вариантная стр. 2</x:v>
      </x:c>
      <x:c r="X3717" s="87"/>
      <x:c r="Y3717" s="87"/>
      <x:c r="Z3717" s="87"/>
      <x:c r="AA3717" s="87"/>
      <x:c r="AB3717" s="87"/>
      <x:c r="AC3717" s="87" t="str">
        <x:v>VIS-CHEM-NOV-001</x:v>
      </x:c>
      <x:c r="AD3717" s="87"/>
      <x:c r="AE3717" s="87"/>
      <x:c r="AF3717" s="87" t="str">
        <x:v>VIS-CHEM-NOV-001: 2</x:v>
      </x:c>
      <x:c r="AG3717" s="87" t="str">
        <x:v>RESOLVED</x:v>
      </x:c>
      <x:c r="AH3717" s="87" t="str">
        <x:v>CROP_VERIFIED</x:v>
      </x:c>
      <x:c r="AI3717" s="30"/>
      <x:c r="AJ3717" s="87" t="str">
        <x:v>master</x:v>
      </x:c>
      <x:c r="AK3717" s="87" t="str">
        <x:v>master-v0.81</x:v>
      </x:c>
      <x:c r="AL3717" s="87" t="str">
        <x:v>statgrad_master_base_v0_81_final(2).xlsx</x:v>
      </x:c>
      <x:c r="AM3717" s="87" t="str">
        <x:v>CHEM_Nov_V1</x:v>
      </x:c>
      <x:c r="AN3717" s="87" t="n">
        <x:v>4</x:v>
      </x:c>
    </x:row>
    <x:row r="3718">
      <x:c r="A3718" s="87" t="n">
        <x:v>3717</x:v>
      </x:c>
      <x:c r="B3718" s="87" t="str">
        <x:v>NOV-CHEM-V1-004</x:v>
      </x:c>
      <x:c r="C3718" s="87" t="str">
        <x:v>СтатГрад</x:v>
      </x:c>
      <x:c r="D3718" s="87" t="str">
        <x:v>Ноябрь 2025</x:v>
      </x:c>
      <x:c r="E3718" s="87"/>
      <x:c r="F3718" s="87"/>
      <x:c r="G3718" s="87" t="str">
        <x:v>Химия</x:v>
      </x:c>
      <x:c r="H3718" s="87" t="n">
        <x:v>11</x:v>
      </x:c>
      <x:c r="I3718" s="87" t="str">
        <x:v>ТР №2</x:v>
      </x:c>
      <x:c r="J3718" s="87" t="str">
        <x:v>ХИ2510201</x:v>
      </x:c>
      <x:c r="K3718" s="87" t="n">
        <x:v>4</x:v>
      </x:c>
      <x:c r="L3718" s="87" t="str">
        <x:v>Полярность молекул</x:v>
      </x:c>
      <x:c r="M3718" s="30" t="str">
        <x:v>4   Из предложенного перечня выберите два вещества, которые состоят из полярных
    молекул.
    1) CuO
    2) CO 2
    3) NH 3
    4) CH 3 OH
    5) NH 4 Cl
    Запишите номера выбранных ответов.
    Ответ:</x:v>
      </x:c>
      <x:c r="N3718" s="30" t="str">
        <x:v>34</x:v>
      </x:c>
      <x:c r="O3718" s="30" t="str">
        <x:v>Выбраны позиции 34; выбор подтверждён разбором каждого предложенного вещества или элемента.</x:v>
      </x:c>
      <x:c r="P3718" s="30" t="str">
        <x:v>Проверены геометрия молекул и компенсация векторов полярных связей.</x:v>
      </x:c>
      <x:c r="Q3718" s="30"/>
      <x:c r="R3718" s="30" t="str">
        <x:v>Фото-сводка ответов + независимое решение</x:v>
      </x:c>
      <x:c r="S3718" s="30"/>
      <x:c r="T3718" s="30"/>
      <x:c r="U3718" s="30" t="str">
        <x:v>Расхождений не обнаружено.</x:v>
      </x:c>
      <x:c r="V3718" s="87" t="str">
        <x:v>VERIFIED</x:v>
      </x:c>
      <x:c r="W3718" s="87" t="str">
        <x:v>Zadanie_KhI11_06112025.pdf, вариантная стр. 3</x:v>
      </x:c>
      <x:c r="X3718" s="87"/>
      <x:c r="Y3718" s="87"/>
      <x:c r="Z3718" s="87"/>
      <x:c r="AA3718" s="87"/>
      <x:c r="AB3718" s="87"/>
      <x:c r="AC3718" s="87" t="str">
        <x:v>VIS-CHEM-NOV-002</x:v>
      </x:c>
      <x:c r="AD3718" s="87"/>
      <x:c r="AE3718" s="87"/>
      <x:c r="AF3718" s="87" t="str">
        <x:v>VIS-CHEM-NOV-002: 3</x:v>
      </x:c>
      <x:c r="AG3718" s="87" t="str">
        <x:v>RESOLVED</x:v>
      </x:c>
      <x:c r="AH3718" s="87" t="str">
        <x:v>CROP_VERIFIED</x:v>
      </x:c>
      <x:c r="AI3718" s="30"/>
      <x:c r="AJ3718" s="87" t="str">
        <x:v>master</x:v>
      </x:c>
      <x:c r="AK3718" s="87" t="str">
        <x:v>master-v0.81</x:v>
      </x:c>
      <x:c r="AL3718" s="87" t="str">
        <x:v>statgrad_master_base_v0_81_final(2).xlsx</x:v>
      </x:c>
      <x:c r="AM3718" s="87" t="str">
        <x:v>CHEM_Nov_V1</x:v>
      </x:c>
      <x:c r="AN3718" s="87" t="n">
        <x:v>5</x:v>
      </x:c>
    </x:row>
    <x:row r="3719">
      <x:c r="A3719" s="87" t="n">
        <x:v>3718</x:v>
      </x:c>
      <x:c r="B3719" s="87" t="str">
        <x:v>NOV-CHEM-V1-005</x:v>
      </x:c>
      <x:c r="C3719" s="87" t="str">
        <x:v>СтатГрад</x:v>
      </x:c>
      <x:c r="D3719" s="87" t="str">
        <x:v>Ноябрь 2025</x:v>
      </x:c>
      <x:c r="E3719" s="87"/>
      <x:c r="F3719" s="87"/>
      <x:c r="G3719" s="87" t="str">
        <x:v>Химия</x:v>
      </x:c>
      <x:c r="H3719" s="87" t="n">
        <x:v>11</x:v>
      </x:c>
      <x:c r="I3719" s="87" t="str">
        <x:v>ТР №2</x:v>
      </x:c>
      <x:c r="J3719" s="87" t="str">
        <x:v>ХИ2510201</x:v>
      </x:c>
      <x:c r="K3719" s="87" t="n">
        <x:v>5</x:v>
      </x:c>
      <x:c r="L3719" s="87" t="str">
        <x:v>Классификация неорганических веществ</x:v>
      </x:c>
      <x:c r="M3719" s="30" t="str">
        <x:v>5   Среди предложенных формул веществ, расположенных в пронумерованных
    ячейках, выберите формулы:
    А) кислотного оксида;
    Б) щёлочи;
    В) двойной соли.
             1                         2                           3
                     Fe(OH) 3                       SO 3                CaSO 4 ⋅2H2O
             4                         5                           6
                 KCr(SO4)2⋅12H2O               (NH4)2Cr2O7                Ba(OH)2
             7                         8                           9
                       Fe3O4                       BeO                     KClO3
    Запишите в таблицу номера ячеек, в которых расположены выбранные
    вещества, под соответствующими буквами.
                 А Б    В
    Ответ:</x:v>
      </x:c>
      <x:c r="N3719" s="30" t="str">
        <x:v>264</x:v>
      </x:c>
      <x:c r="O3719" s="30" t="str">
        <x:v>Выбраны позиции 264; выбор подтверждён разбором каждого предложенного вещества или элемента.</x:v>
      </x:c>
      <x:c r="P3719" s="30" t="str">
        <x:v>Каждая формула классифицирована по составу и химическому классу.</x:v>
      </x:c>
      <x:c r="Q3719" s="30"/>
      <x:c r="R3719" s="30" t="str">
        <x:v>Фото-сводка ответов + независимое решение</x:v>
      </x:c>
      <x:c r="S3719" s="30"/>
      <x:c r="T3719" s="30"/>
      <x:c r="U3719" s="30" t="str">
        <x:v>Расхождений не обнаружено.</x:v>
      </x:c>
      <x:c r="V3719" s="87" t="str">
        <x:v>VERIFIED</x:v>
      </x:c>
      <x:c r="W3719" s="87" t="str">
        <x:v>Zadanie_KhI11_06112025.pdf, вариантная стр. 3</x:v>
      </x:c>
      <x:c r="X3719" s="87"/>
      <x:c r="Y3719" s="87"/>
      <x:c r="Z3719" s="87"/>
      <x:c r="AA3719" s="87"/>
      <x:c r="AB3719" s="87"/>
      <x:c r="AC3719" s="87" t="str">
        <x:v>VIS-CHEM-NOV-002</x:v>
      </x:c>
      <x:c r="AD3719" s="87"/>
      <x:c r="AE3719" s="87"/>
      <x:c r="AF3719" s="87" t="str">
        <x:v>VIS-CHEM-NOV-002: 3</x:v>
      </x:c>
      <x:c r="AG3719" s="87" t="str">
        <x:v>RESOLVED</x:v>
      </x:c>
      <x:c r="AH3719" s="87" t="str">
        <x:v>CROP_VERIFIED</x:v>
      </x:c>
      <x:c r="AI3719" s="30"/>
      <x:c r="AJ3719" s="87" t="str">
        <x:v>master</x:v>
      </x:c>
      <x:c r="AK3719" s="87" t="str">
        <x:v>master-v0.81</x:v>
      </x:c>
      <x:c r="AL3719" s="87" t="str">
        <x:v>statgrad_master_base_v0_81_final(2).xlsx</x:v>
      </x:c>
      <x:c r="AM3719" s="87" t="str">
        <x:v>CHEM_Nov_V1</x:v>
      </x:c>
      <x:c r="AN3719" s="87" t="n">
        <x:v>6</x:v>
      </x:c>
    </x:row>
    <x:row r="3720">
      <x:c r="A3720" s="87" t="n">
        <x:v>3719</x:v>
      </x:c>
      <x:c r="B3720" s="87" t="str">
        <x:v>NOV-CHEM-V1-006</x:v>
      </x:c>
      <x:c r="C3720" s="87" t="str">
        <x:v>СтатГрад</x:v>
      </x:c>
      <x:c r="D3720" s="87" t="str">
        <x:v>Ноябрь 2025</x:v>
      </x:c>
      <x:c r="E3720" s="87"/>
      <x:c r="F3720" s="87"/>
      <x:c r="G3720" s="87" t="str">
        <x:v>Химия</x:v>
      </x:c>
      <x:c r="H3720" s="87" t="n">
        <x:v>11</x:v>
      </x:c>
      <x:c r="I3720" s="87" t="str">
        <x:v>ТР №2</x:v>
      </x:c>
      <x:c r="J3720" s="87" t="str">
        <x:v>ХИ2510201</x:v>
      </x:c>
      <x:c r="K3720" s="87" t="n">
        <x:v>6</x:v>
      </x:c>
      <x:c r="L3720" s="87" t="str">
        <x:v>Качественные реакции</x:v>
      </x:c>
      <x:c r="M3720" s="30" t="str">
        <x:v>6   В двух пробирках находился раствор хлорида меди(II). В первую пробирку
    добавили избыток раствора вещества Х, а во вторую – раствор вещества Y.
    В первой пробирке выпал осадок, который при добавлении избытка X
    растворился, а раствор приобрёл тёмно-синий цвет. Во второй пробирке
    образовался тёмный осадок. Газ не выделялся ни в одной из пробирок.
    Из предложенного перечня выберите вещества X и Y, которые могут
    вступать в описанные реакции.
    1) HCl
    2) NH3
    3) (NH4)2S
    4) Na2CO3
    5) NaOH
    Запишите в таблицу номера выбранных веществ под соответствующими
    буквами.
                 X             Y
    Ответ:</x:v>
      </x:c>
      <x:c r="N3720" s="30" t="str">
        <x:v>X=2; Y=3</x:v>
      </x:c>
      <x:c r="O3720" s="30" t="str">
        <x:v>По условию получено: X=2; Y=3. Оба неизвестных определены совместно, а не подбором по ключу.</x:v>
      </x:c>
      <x:c r="P3720" s="30" t="str">
        <x:v>Для X и Y записаны возможные реакции и сопоставлены наблюдаемые признаки.</x:v>
      </x:c>
      <x:c r="Q3720" s="30"/>
      <x:c r="R3720" s="30" t="str">
        <x:v>Фото-сводка ответов + независимое решение</x:v>
      </x:c>
      <x:c r="S3720" s="30"/>
      <x:c r="T3720" s="30"/>
      <x:c r="U3720" s="30" t="str">
        <x:v>Расхождений не обнаружено.</x:v>
      </x:c>
      <x:c r="V3720" s="87" t="str">
        <x:v>VERIFIED</x:v>
      </x:c>
      <x:c r="W3720" s="87" t="str">
        <x:v>Zadanie_KhI11_06112025.pdf, вариантная стр. 4</x:v>
      </x:c>
      <x:c r="X3720" s="87"/>
      <x:c r="Y3720" s="87"/>
      <x:c r="Z3720" s="87"/>
      <x:c r="AA3720" s="87"/>
      <x:c r="AB3720" s="87"/>
      <x:c r="AC3720" s="87" t="str">
        <x:v>VIS-CHEM-NOV-003</x:v>
      </x:c>
      <x:c r="AD3720" s="87"/>
      <x:c r="AE3720" s="87"/>
      <x:c r="AF3720" s="87" t="str">
        <x:v>VIS-CHEM-NOV-003: 4</x:v>
      </x:c>
      <x:c r="AG3720" s="87" t="str">
        <x:v>RESOLVED</x:v>
      </x:c>
      <x:c r="AH3720" s="87" t="str">
        <x:v>CROP_VERIFIED</x:v>
      </x:c>
      <x:c r="AI3720" s="30"/>
      <x:c r="AJ3720" s="87" t="str">
        <x:v>master</x:v>
      </x:c>
      <x:c r="AK3720" s="87" t="str">
        <x:v>master-v0.81</x:v>
      </x:c>
      <x:c r="AL3720" s="87" t="str">
        <x:v>statgrad_master_base_v0_81_final(2).xlsx</x:v>
      </x:c>
      <x:c r="AM3720" s="87" t="str">
        <x:v>CHEM_Nov_V1</x:v>
      </x:c>
      <x:c r="AN3720" s="87" t="n">
        <x:v>7</x:v>
      </x:c>
    </x:row>
    <x:row r="3721">
      <x:c r="A3721" s="87" t="n">
        <x:v>3720</x:v>
      </x:c>
      <x:c r="B3721" s="87" t="str">
        <x:v>NOV-CHEM-V1-007</x:v>
      </x:c>
      <x:c r="C3721" s="87" t="str">
        <x:v>СтатГрад</x:v>
      </x:c>
      <x:c r="D3721" s="87" t="str">
        <x:v>Ноябрь 2025</x:v>
      </x:c>
      <x:c r="E3721" s="87"/>
      <x:c r="F3721" s="87"/>
      <x:c r="G3721" s="87" t="str">
        <x:v>Химия</x:v>
      </x:c>
      <x:c r="H3721" s="87" t="n">
        <x:v>11</x:v>
      </x:c>
      <x:c r="I3721" s="87" t="str">
        <x:v>ТР №2</x:v>
      </x:c>
      <x:c r="J3721" s="87" t="str">
        <x:v>ХИ2510201</x:v>
      </x:c>
      <x:c r="K3721" s="87" t="n">
        <x:v>7</x:v>
      </x:c>
      <x:c r="L3721" s="87" t="str">
        <x:v>Неорганические свойства: соответствие</x:v>
      </x:c>
      <x:c r="M3721" s="30" t="str">
        <x:v>7   Установите соответствие между веществом и реагентами, с каждым
    из которых это вещество может взаимодействовать: к каждой позиции,
    обозначенной буквой, подберите соответствующую позицию, обозначенную
    цифрой.
                      ВЕЩЕСТВО                                    РЕАГЕНТЫ
    А) Fe                                                 1) MnO2, AgNO3, KOH
    Б) C                                                  2) H2SO4, Ba(NO3)2, MgCl2
    В) HCl                                                3) CuSO4, HBr, O2
    Г) Na2CO3                                             4) H2, NaOH, Br2
                                                          5) CO2, CuO, F2
    Запишите в таблицу выбранные цифры под соответствующими буквами.
               А Б В Г
    Ответ:</x:v>
      </x:c>
      <x:c r="N3721" s="30" t="str">
        <x:v>3512</x:v>
      </x:c>
      <x:c r="O3721" s="30" t="str">
        <x:v>Последовательность 3512 задаёт соответствия позициям задания; каждое соответствие проверено отдельно.</x:v>
      </x:c>
      <x:c r="P3721" s="30" t="str">
        <x:v>Для каждой позиции проверена реакционная способность со всеми указанными реагентами.</x:v>
      </x:c>
      <x:c r="Q3721" s="30"/>
      <x:c r="R3721" s="30" t="str">
        <x:v>Таблица ответов PDF + независимое решение</x:v>
      </x:c>
      <x:c r="S3721" s="30"/>
      <x:c r="T3721" s="30"/>
      <x:c r="U3721" s="30" t="str">
        <x:v>Расхождений не обнаружено.</x:v>
      </x:c>
      <x:c r="V3721" s="87" t="str">
        <x:v>VERIFIED</x:v>
      </x:c>
      <x:c r="W3721" s="87" t="str">
        <x:v>Zadanie_KhI11_06112025.pdf, вариантная стр. 4</x:v>
      </x:c>
      <x:c r="X3721" s="87"/>
      <x:c r="Y3721" s="87"/>
      <x:c r="Z3721" s="87"/>
      <x:c r="AA3721" s="87"/>
      <x:c r="AB3721" s="87"/>
      <x:c r="AC3721" s="87" t="str">
        <x:v>VIS-CHEM-NOV-003</x:v>
      </x:c>
      <x:c r="AD3721" s="87"/>
      <x:c r="AE3721" s="87"/>
      <x:c r="AF3721" s="87" t="str">
        <x:v>VIS-CHEM-NOV-003: 4</x:v>
      </x:c>
      <x:c r="AG3721" s="87" t="str">
        <x:v>RESOLVED</x:v>
      </x:c>
      <x:c r="AH3721" s="87" t="str">
        <x:v>CROP_VERIFIED</x:v>
      </x:c>
      <x:c r="AI3721" s="30"/>
      <x:c r="AJ3721" s="87" t="str">
        <x:v>master</x:v>
      </x:c>
      <x:c r="AK3721" s="87" t="str">
        <x:v>master-v0.81</x:v>
      </x:c>
      <x:c r="AL3721" s="87" t="str">
        <x:v>statgrad_master_base_v0_81_final(2).xlsx</x:v>
      </x:c>
      <x:c r="AM3721" s="87" t="str">
        <x:v>CHEM_Nov_V1</x:v>
      </x:c>
      <x:c r="AN3721" s="87" t="n">
        <x:v>8</x:v>
      </x:c>
    </x:row>
    <x:row r="3722">
      <x:c r="A3722" s="87" t="n">
        <x:v>3721</x:v>
      </x:c>
      <x:c r="B3722" s="87" t="str">
        <x:v>NOV-CHEM-V1-008</x:v>
      </x:c>
      <x:c r="C3722" s="87" t="str">
        <x:v>СтатГрад</x:v>
      </x:c>
      <x:c r="D3722" s="87" t="str">
        <x:v>Ноябрь 2025</x:v>
      </x:c>
      <x:c r="E3722" s="87"/>
      <x:c r="F3722" s="87"/>
      <x:c r="G3722" s="87" t="str">
        <x:v>Химия</x:v>
      </x:c>
      <x:c r="H3722" s="87" t="n">
        <x:v>11</x:v>
      </x:c>
      <x:c r="I3722" s="87" t="str">
        <x:v>ТР №2</x:v>
      </x:c>
      <x:c r="J3722" s="87" t="str">
        <x:v>ХИ2510201</x:v>
      </x:c>
      <x:c r="K3722" s="87" t="n">
        <x:v>8</x:v>
      </x:c>
      <x:c r="L3722" s="87" t="str">
        <x:v>Неорганические реакции: продукты</x:v>
      </x:c>
      <x:c r="M3722" s="30" t="str">
        <x:v>8   Установите соответствие между исходными веществами, вступающими
    в реакцию, и продуктами этой реакции: к каждой позиции, обозначенной
    буквой, подберите соответствующую позицию, обозначенную цифрой.
             ИСХОДНЫЕ ВЕЩЕСТВА                               ПРОДУКТЫ РЕАКЦИИ
    А) ZnS + O2                                           1) SO2 + H2O
    Б) Zn + H2SO4                                         2) SO2 + H2
    В) ZnS + H2SO4                                        3) ZnSO4
    Г) S + H2SO4                                          4) ZnO + SO2
                                                          5) ZnSO4 + H2
                                                          6) ZnSO4 + H2S
    Запишите в таблицу выбранные цифры под соответствующими буквами.
               А Б В Г
    Ответ:</x:v>
      </x:c>
      <x:c r="N3722" s="30" t="str">
        <x:v>4561</x:v>
      </x:c>
      <x:c r="O3722" s="30" t="str">
        <x:v>Последовательность 4561 задаёт соответствия позициям задания; каждое соответствие проверено отдельно.</x:v>
      </x:c>
      <x:c r="P3722" s="30" t="str">
        <x:v>Уравнения реакций восстановлены и продукты сопоставлены с вариантами ответа.</x:v>
      </x:c>
      <x:c r="Q3722" s="30"/>
      <x:c r="R3722" s="30" t="str">
        <x:v>Таблица ответов PDF + независимое решение</x:v>
      </x:c>
      <x:c r="S3722" s="30"/>
      <x:c r="T3722" s="30"/>
      <x:c r="U3722" s="30" t="str">
        <x:v>Расхождений не обнаружено.</x:v>
      </x:c>
      <x:c r="V3722" s="87" t="str">
        <x:v>VERIFIED</x:v>
      </x:c>
      <x:c r="W3722" s="87" t="str">
        <x:v>Zadanie_KhI11_06112025.pdf, вариантная стр. 5</x:v>
      </x:c>
      <x:c r="X3722" s="87"/>
      <x:c r="Y3722" s="87"/>
      <x:c r="Z3722" s="87"/>
      <x:c r="AA3722" s="87"/>
      <x:c r="AB3722" s="87"/>
      <x:c r="AC3722" s="87" t="str">
        <x:v>VIS-CHEM-NOV-004</x:v>
      </x:c>
      <x:c r="AD3722" s="87"/>
      <x:c r="AE3722" s="87"/>
      <x:c r="AF3722" s="87" t="str">
        <x:v>VIS-CHEM-NOV-004: 5</x:v>
      </x:c>
      <x:c r="AG3722" s="87" t="str">
        <x:v>RESOLVED</x:v>
      </x:c>
      <x:c r="AH3722" s="87" t="str">
        <x:v>CROP_VERIFIED</x:v>
      </x:c>
      <x:c r="AI3722" s="30"/>
      <x:c r="AJ3722" s="87" t="str">
        <x:v>master</x:v>
      </x:c>
      <x:c r="AK3722" s="87" t="str">
        <x:v>master-v0.81</x:v>
      </x:c>
      <x:c r="AL3722" s="87" t="str">
        <x:v>statgrad_master_base_v0_81_final(2).xlsx</x:v>
      </x:c>
      <x:c r="AM3722" s="87" t="str">
        <x:v>CHEM_Nov_V1</x:v>
      </x:c>
      <x:c r="AN3722" s="87" t="n">
        <x:v>9</x:v>
      </x:c>
    </x:row>
    <x:row r="3723">
      <x:c r="A3723" s="87" t="n">
        <x:v>3722</x:v>
      </x:c>
      <x:c r="B3723" s="87" t="str">
        <x:v>NOV-CHEM-V1-009</x:v>
      </x:c>
      <x:c r="C3723" s="87" t="str">
        <x:v>СтатГрад</x:v>
      </x:c>
      <x:c r="D3723" s="87" t="str">
        <x:v>Ноябрь 2025</x:v>
      </x:c>
      <x:c r="E3723" s="87"/>
      <x:c r="F3723" s="87"/>
      <x:c r="G3723" s="87" t="str">
        <x:v>Химия</x:v>
      </x:c>
      <x:c r="H3723" s="87" t="n">
        <x:v>11</x:v>
      </x:c>
      <x:c r="I3723" s="87" t="str">
        <x:v>ТР №2</x:v>
      </x:c>
      <x:c r="J3723" s="87" t="str">
        <x:v>ХИ2510201</x:v>
      </x:c>
      <x:c r="K3723" s="87" t="n">
        <x:v>9</x:v>
      </x:c>
      <x:c r="L3723" s="87" t="str">
        <x:v>Цепочка превращений</x:v>
      </x:c>
      <x:c r="M3723" s="30" t="str">
        <x:v>9   Задана схема превращений веществ:
                                        HO           Y
                                PCl3 
                                      2
                                        → X 
                                             → H3PO4
    Определите, какие из указанных веществ являются веществами X и Y.
    1) P2O3
    2) H3PO2
    3) H3PO3
    4) HBr
    5) Br2
    Запишите в таблицу номера выбранных веществ под соответствующими
    буквами.
                 X             Y
    Ответ:</x:v>
      </x:c>
      <x:c r="N3723" s="30" t="str">
        <x:v>35</x:v>
      </x:c>
      <x:c r="O3723" s="30" t="str">
        <x:v>Выбраны позиции 35; выбор подтверждён разбором каждого предложенного вещества или элемента.</x:v>
      </x:c>
      <x:c r="P3723" s="30" t="str">
        <x:v>Промежуточные вещества X и Y установлены по последовательности превращений.</x:v>
      </x:c>
      <x:c r="Q3723" s="30"/>
      <x:c r="R3723" s="30" t="str">
        <x:v>Фото-сводка ответов + независимое решение</x:v>
      </x:c>
      <x:c r="S3723" s="30"/>
      <x:c r="T3723" s="30"/>
      <x:c r="U3723" s="30" t="str">
        <x:v>Расхождений не обнаружено.</x:v>
      </x:c>
      <x:c r="V3723" s="87" t="str">
        <x:v>VERIFIED</x:v>
      </x:c>
      <x:c r="W3723" s="87" t="str">
        <x:v>Zadanie_KhI11_06112025.pdf, вариантная стр. 5</x:v>
      </x:c>
      <x:c r="X3723" s="87"/>
      <x:c r="Y3723" s="87"/>
      <x:c r="Z3723" s="87"/>
      <x:c r="AA3723" s="87"/>
      <x:c r="AB3723" s="87"/>
      <x:c r="AC3723" s="87" t="str">
        <x:v>VIS-CHEM-NOV-004</x:v>
      </x:c>
      <x:c r="AD3723" s="87"/>
      <x:c r="AE3723" s="87"/>
      <x:c r="AF3723" s="87" t="str">
        <x:v>VIS-CHEM-NOV-004: 5</x:v>
      </x:c>
      <x:c r="AG3723" s="87" t="str">
        <x:v>RESOLVED</x:v>
      </x:c>
      <x:c r="AH3723" s="87" t="str">
        <x:v>CROP_VERIFIED</x:v>
      </x:c>
      <x:c r="AI3723" s="30"/>
      <x:c r="AJ3723" s="87" t="str">
        <x:v>master</x:v>
      </x:c>
      <x:c r="AK3723" s="87" t="str">
        <x:v>master-v0.81</x:v>
      </x:c>
      <x:c r="AL3723" s="87" t="str">
        <x:v>statgrad_master_base_v0_81_final(2).xlsx</x:v>
      </x:c>
      <x:c r="AM3723" s="87" t="str">
        <x:v>CHEM_Nov_V1</x:v>
      </x:c>
      <x:c r="AN3723" s="87" t="n">
        <x:v>10</x:v>
      </x:c>
    </x:row>
    <x:row r="3724">
      <x:c r="A3724" s="87" t="n">
        <x:v>3723</x:v>
      </x:c>
      <x:c r="B3724" s="87" t="str">
        <x:v>NOV-CHEM-V1-010</x:v>
      </x:c>
      <x:c r="C3724" s="87" t="str">
        <x:v>СтатГрад</x:v>
      </x:c>
      <x:c r="D3724" s="87" t="str">
        <x:v>Ноябрь 2025</x:v>
      </x:c>
      <x:c r="E3724" s="87"/>
      <x:c r="F3724" s="87"/>
      <x:c r="G3724" s="87" t="str">
        <x:v>Химия</x:v>
      </x:c>
      <x:c r="H3724" s="87" t="n">
        <x:v>11</x:v>
      </x:c>
      <x:c r="I3724" s="87" t="str">
        <x:v>ТР №2</x:v>
      </x:c>
      <x:c r="J3724" s="87" t="str">
        <x:v>ХИ2510201</x:v>
      </x:c>
      <x:c r="K3724" s="87" t="n">
        <x:v>10</x:v>
      </x:c>
      <x:c r="L3724" s="87" t="str">
        <x:v>Классы органических веществ</x:v>
      </x:c>
      <x:c r="M3724" s="30" t="str">
        <x:v>10   Установите соответствие между общей формулой класса органических
     веществ и веществом, которое принадлежит к этому классу: к каждой
     позиции, обозначенной буквой, подберите соответствующую позицию,
     обозначенную цифрой.
                  ОБЩАЯ ФОРМУЛА                                    ВЕЩЕСТВО
     А) CnH2n–5N                                           1) триметиламин
     Б) CnH2n+3N                                           2) аминоуксусная кислота
     В) CnH2n+1NO2                                         3) анилин
                                                           4) нитробензол
     Запишите в таблицу выбранные цифры под соответствующими буквами.
                А Б В
     Ответ:</x:v>
      </x:c>
      <x:c r="N3724" s="30" t="str">
        <x:v>312</x:v>
      </x:c>
      <x:c r="O3724" s="30" t="str">
        <x:v>Последовательность 312 задаёт соответствия позициям задания; каждое соответствие проверено отдельно.</x:v>
      </x:c>
      <x:c r="P3724" s="30" t="str">
        <x:v>Формулы классов сопоставлены со строением предложенных соединений.</x:v>
      </x:c>
      <x:c r="Q3724" s="30"/>
      <x:c r="R3724" s="30" t="str">
        <x:v>Фото-сводка ответов + независимое решение</x:v>
      </x:c>
      <x:c r="S3724" s="30"/>
      <x:c r="T3724" s="30"/>
      <x:c r="U3724" s="30" t="str">
        <x:v>Расхождений не обнаружено.</x:v>
      </x:c>
      <x:c r="V3724" s="87" t="str">
        <x:v>VERIFIED</x:v>
      </x:c>
      <x:c r="W3724" s="87" t="str">
        <x:v>Zadanie_KhI11_06112025.pdf, вариантная стр. 6</x:v>
      </x:c>
      <x:c r="X3724" s="87"/>
      <x:c r="Y3724" s="87"/>
      <x:c r="Z3724" s="87"/>
      <x:c r="AA3724" s="87"/>
      <x:c r="AB3724" s="87"/>
      <x:c r="AC3724" s="87" t="str">
        <x:v>VIS-CHEM-NOV-005</x:v>
      </x:c>
      <x:c r="AD3724" s="87"/>
      <x:c r="AE3724" s="87"/>
      <x:c r="AF3724" s="87" t="str">
        <x:v>VIS-CHEM-NOV-005: 6</x:v>
      </x:c>
      <x:c r="AG3724" s="87" t="str">
        <x:v>RESOLVED</x:v>
      </x:c>
      <x:c r="AH3724" s="87" t="str">
        <x:v>CROP_VERIFIED</x:v>
      </x:c>
      <x:c r="AI3724" s="30"/>
      <x:c r="AJ3724" s="87" t="str">
        <x:v>master</x:v>
      </x:c>
      <x:c r="AK3724" s="87" t="str">
        <x:v>master-v0.81</x:v>
      </x:c>
      <x:c r="AL3724" s="87" t="str">
        <x:v>statgrad_master_base_v0_81_final(2).xlsx</x:v>
      </x:c>
      <x:c r="AM3724" s="87" t="str">
        <x:v>CHEM_Nov_V1</x:v>
      </x:c>
      <x:c r="AN3724" s="87" t="n">
        <x:v>11</x:v>
      </x:c>
    </x:row>
    <x:row r="3725">
      <x:c r="A3725" s="87" t="n">
        <x:v>3724</x:v>
      </x:c>
      <x:c r="B3725" s="87" t="str">
        <x:v>NOV-CHEM-V1-011</x:v>
      </x:c>
      <x:c r="C3725" s="87" t="str">
        <x:v>СтатГрад</x:v>
      </x:c>
      <x:c r="D3725" s="87" t="str">
        <x:v>Ноябрь 2025</x:v>
      </x:c>
      <x:c r="E3725" s="87"/>
      <x:c r="F3725" s="87"/>
      <x:c r="G3725" s="87" t="str">
        <x:v>Химия</x:v>
      </x:c>
      <x:c r="H3725" s="87" t="n">
        <x:v>11</x:v>
      </x:c>
      <x:c r="I3725" s="87" t="str">
        <x:v>ТР №2</x:v>
      </x:c>
      <x:c r="J3725" s="87" t="str">
        <x:v>ХИ2510201</x:v>
      </x:c>
      <x:c r="K3725" s="87" t="n">
        <x:v>11</x:v>
      </x:c>
      <x:c r="L3725" s="87" t="str">
        <x:v>Гибридизация атомов углерода</x:v>
      </x:c>
      <x:c r="M3725" s="30" t="str">
        <x:v>11   Из предложенного перечня выберите два вещества, в которых все атомы
     углерода находятся в состоянии sp3-гибридизации.
     1) бутанол-1
     2) этилацетат
     3) циклогексан
     4) ацетилен
     5) ацетон
     Запишите номера выбранных ответов.
     Ответ:</x:v>
      </x:c>
      <x:c r="N3725" s="30" t="str">
        <x:v>13</x:v>
      </x:c>
      <x:c r="O3725" s="30" t="str">
        <x:v>Выбраны позиции 13; выбор подтверждён разбором каждого предложенного вещества или элемента.</x:v>
      </x:c>
      <x:c r="P3725" s="30" t="str">
        <x:v>Гибридизация каждого атома углерода определена по числу σ-связей и кратных связей.</x:v>
      </x:c>
      <x:c r="Q3725" s="30"/>
      <x:c r="R3725" s="30" t="str">
        <x:v>Фото-сводка ответов + независимое решение</x:v>
      </x:c>
      <x:c r="S3725" s="30"/>
      <x:c r="T3725" s="30"/>
      <x:c r="U3725" s="30" t="str">
        <x:v>Расхождений не обнаружено.</x:v>
      </x:c>
      <x:c r="V3725" s="87" t="str">
        <x:v>VERIFIED</x:v>
      </x:c>
      <x:c r="W3725" s="87" t="str">
        <x:v>Zadanie_KhI11_06112025.pdf, вариантная стр. 6</x:v>
      </x:c>
      <x:c r="X3725" s="87"/>
      <x:c r="Y3725" s="87"/>
      <x:c r="Z3725" s="87"/>
      <x:c r="AA3725" s="87"/>
      <x:c r="AB3725" s="87"/>
      <x:c r="AC3725" s="87" t="str">
        <x:v>VIS-CHEM-NOV-005</x:v>
      </x:c>
      <x:c r="AD3725" s="87"/>
      <x:c r="AE3725" s="87"/>
      <x:c r="AF3725" s="87" t="str">
        <x:v>VIS-CHEM-NOV-005: 6</x:v>
      </x:c>
      <x:c r="AG3725" s="87" t="str">
        <x:v>RESOLVED</x:v>
      </x:c>
      <x:c r="AH3725" s="87" t="str">
        <x:v>CROP_VERIFIED</x:v>
      </x:c>
      <x:c r="AI3725" s="30"/>
      <x:c r="AJ3725" s="87" t="str">
        <x:v>master</x:v>
      </x:c>
      <x:c r="AK3725" s="87" t="str">
        <x:v>master-v0.81</x:v>
      </x:c>
      <x:c r="AL3725" s="87" t="str">
        <x:v>statgrad_master_base_v0_81_final(2).xlsx</x:v>
      </x:c>
      <x:c r="AM3725" s="87" t="str">
        <x:v>CHEM_Nov_V1</x:v>
      </x:c>
      <x:c r="AN3725" s="87" t="n">
        <x:v>12</x:v>
      </x:c>
    </x:row>
    <x:row r="3726">
      <x:c r="A3726" s="87" t="n">
        <x:v>3725</x:v>
      </x:c>
      <x:c r="B3726" s="87" t="str">
        <x:v>NOV-CHEM-V1-012</x:v>
      </x:c>
      <x:c r="C3726" s="87" t="str">
        <x:v>СтатГрад</x:v>
      </x:c>
      <x:c r="D3726" s="87" t="str">
        <x:v>Ноябрь 2025</x:v>
      </x:c>
      <x:c r="E3726" s="87"/>
      <x:c r="F3726" s="87"/>
      <x:c r="G3726" s="87" t="str">
        <x:v>Химия</x:v>
      </x:c>
      <x:c r="H3726" s="87" t="n">
        <x:v>11</x:v>
      </x:c>
      <x:c r="I3726" s="87" t="str">
        <x:v>ТР №2</x:v>
      </x:c>
      <x:c r="J3726" s="87" t="str">
        <x:v>ХИ2510201</x:v>
      </x:c>
      <x:c r="K3726" s="87" t="n">
        <x:v>12</x:v>
      </x:c>
      <x:c r="L3726" s="87" t="str">
        <x:v>Гидролиз органических веществ</x:v>
      </x:c>
      <x:c r="M3726" s="30" t="str">
        <x:v>12   Из предложенного перечня выберите все вещества, при гидролизе которых
     в кислой среде образуется уксусная кислота.
     1) CH3CN
     2) CH3OC2H5
     3) CH3CHCl2
     4) CH3C(O)Cl
     5) CH3COOC2H5
     Запишите номера выбранных ответов.
     Ответ: ___________________________.</x:v>
      </x:c>
      <x:c r="N3726" s="30" t="str">
        <x:v>145</x:v>
      </x:c>
      <x:c r="O3726" s="30" t="str">
        <x:v>Выбраны позиции 145; выбор подтверждён разбором каждого предложенного вещества или элемента.</x:v>
      </x:c>
      <x:c r="P3726" s="30" t="str">
        <x:v>Продукты гидролиза каждого вещества проверены уравнениями реакций.</x:v>
      </x:c>
      <x:c r="Q3726" s="30"/>
      <x:c r="R3726" s="30" t="str">
        <x:v>Таблица ответов PDF + независимое решение</x:v>
      </x:c>
      <x:c r="S3726" s="30"/>
      <x:c r="T3726" s="30"/>
      <x:c r="U3726" s="30" t="str">
        <x:v>Расхождений не обнаружено.</x:v>
      </x:c>
      <x:c r="V3726" s="87" t="str">
        <x:v>VERIFIED</x:v>
      </x:c>
      <x:c r="W3726" s="87" t="str">
        <x:v>Zadanie_KhI11_06112025.pdf, вариантная стр. 6</x:v>
      </x:c>
      <x:c r="X3726" s="87"/>
      <x:c r="Y3726" s="87"/>
      <x:c r="Z3726" s="87"/>
      <x:c r="AA3726" s="87"/>
      <x:c r="AB3726" s="87"/>
      <x:c r="AC3726" s="87" t="str">
        <x:v>VIS-CHEM-NOV-005</x:v>
      </x:c>
      <x:c r="AD3726" s="87"/>
      <x:c r="AE3726" s="87"/>
      <x:c r="AF3726" s="87" t="str">
        <x:v>VIS-CHEM-NOV-005: 6</x:v>
      </x:c>
      <x:c r="AG3726" s="87" t="str">
        <x:v>RESOLVED</x:v>
      </x:c>
      <x:c r="AH3726" s="87" t="str">
        <x:v>CROP_VERIFIED</x:v>
      </x:c>
      <x:c r="AI3726" s="30"/>
      <x:c r="AJ3726" s="87" t="str">
        <x:v>master</x:v>
      </x:c>
      <x:c r="AK3726" s="87" t="str">
        <x:v>master-v0.81</x:v>
      </x:c>
      <x:c r="AL3726" s="87" t="str">
        <x:v>statgrad_master_base_v0_81_final(2).xlsx</x:v>
      </x:c>
      <x:c r="AM3726" s="87" t="str">
        <x:v>CHEM_Nov_V1</x:v>
      </x:c>
      <x:c r="AN3726" s="87" t="n">
        <x:v>13</x:v>
      </x:c>
    </x:row>
    <x:row r="3727">
      <x:c r="A3727" s="87" t="n">
        <x:v>3726</x:v>
      </x:c>
      <x:c r="B3727" s="87" t="str">
        <x:v>NOV-CHEM-V1-013</x:v>
      </x:c>
      <x:c r="C3727" s="87" t="str">
        <x:v>СтатГрад</x:v>
      </x:c>
      <x:c r="D3727" s="87" t="str">
        <x:v>Ноябрь 2025</x:v>
      </x:c>
      <x:c r="E3727" s="87"/>
      <x:c r="F3727" s="87"/>
      <x:c r="G3727" s="87" t="str">
        <x:v>Химия</x:v>
      </x:c>
      <x:c r="H3727" s="87" t="n">
        <x:v>11</x:v>
      </x:c>
      <x:c r="I3727" s="87" t="str">
        <x:v>ТР №2</x:v>
      </x:c>
      <x:c r="J3727" s="87" t="str">
        <x:v>ХИ2510201</x:v>
      </x:c>
      <x:c r="K3727" s="87" t="n">
        <x:v>13</x:v>
      </x:c>
      <x:c r="L3727" s="87" t="str">
        <x:v>Химические свойства органических веществ</x:v>
      </x:c>
      <x:c r="M3727" s="30" t="str">
        <x:v>13   Из предложенного перечня выберите два вещества, с которыми реагирует
     триолеат глицерина.
     1) гидроксид кальция
     2) карбонат кальция
     3) сульфат меди(II)
     4) сероводород
     5) иод
     Запишите номера выбранных ответов.
     Ответ:</x:v>
      </x:c>
      <x:c r="N3727" s="30" t="str">
        <x:v>15</x:v>
      </x:c>
      <x:c r="O3727" s="30" t="str">
        <x:v>Выбраны позиции 15; выбор подтверждён разбором каждого предложенного вещества или элемента.</x:v>
      </x:c>
      <x:c r="P3727" s="30" t="str">
        <x:v>Проверены функциональные группы и возможные реакции с каждым реагентом.</x:v>
      </x:c>
      <x:c r="Q3727" s="30"/>
      <x:c r="R3727" s="30" t="str">
        <x:v>Фото-сводка ответов + независимое решение</x:v>
      </x:c>
      <x:c r="S3727" s="30"/>
      <x:c r="T3727" s="30"/>
      <x:c r="U3727" s="30" t="str">
        <x:v>Расхождений не обнаружено.</x:v>
      </x:c>
      <x:c r="V3727" s="87" t="str">
        <x:v>VERIFIED</x:v>
      </x:c>
      <x:c r="W3727" s="87" t="str">
        <x:v>Zadanie_KhI11_06112025.pdf, вариантная стр. 7</x:v>
      </x:c>
      <x:c r="X3727" s="87"/>
      <x:c r="Y3727" s="87"/>
      <x:c r="Z3727" s="87"/>
      <x:c r="AA3727" s="87"/>
      <x:c r="AB3727" s="87"/>
      <x:c r="AC3727" s="87" t="str">
        <x:v>VIS-CHEM-NOV-006</x:v>
      </x:c>
      <x:c r="AD3727" s="87"/>
      <x:c r="AE3727" s="87"/>
      <x:c r="AF3727" s="87" t="str">
        <x:v>VIS-CHEM-NOV-006: 7</x:v>
      </x:c>
      <x:c r="AG3727" s="87" t="str">
        <x:v>RESOLVED</x:v>
      </x:c>
      <x:c r="AH3727" s="87" t="str">
        <x:v>CROP_VERIFIED</x:v>
      </x:c>
      <x:c r="AI3727" s="30"/>
      <x:c r="AJ3727" s="87" t="str">
        <x:v>master</x:v>
      </x:c>
      <x:c r="AK3727" s="87" t="str">
        <x:v>master-v0.81</x:v>
      </x:c>
      <x:c r="AL3727" s="87" t="str">
        <x:v>statgrad_master_base_v0_81_final(2).xlsx</x:v>
      </x:c>
      <x:c r="AM3727" s="87" t="str">
        <x:v>CHEM_Nov_V1</x:v>
      </x:c>
      <x:c r="AN3727" s="87" t="n">
        <x:v>14</x:v>
      </x:c>
    </x:row>
    <x:row r="3728">
      <x:c r="A3728" s="87" t="n">
        <x:v>3727</x:v>
      </x:c>
      <x:c r="B3728" s="87" t="str">
        <x:v>NOV-CHEM-V1-014</x:v>
      </x:c>
      <x:c r="C3728" s="87" t="str">
        <x:v>СтатГрад</x:v>
      </x:c>
      <x:c r="D3728" s="87" t="str">
        <x:v>Ноябрь 2025</x:v>
      </x:c>
      <x:c r="E3728" s="87"/>
      <x:c r="F3728" s="87"/>
      <x:c r="G3728" s="87" t="str">
        <x:v>Химия</x:v>
      </x:c>
      <x:c r="H3728" s="87" t="n">
        <x:v>11</x:v>
      </x:c>
      <x:c r="I3728" s="87" t="str">
        <x:v>ТР №2</x:v>
      </x:c>
      <x:c r="J3728" s="87" t="str">
        <x:v>ХИ2510201</x:v>
      </x:c>
      <x:c r="K3728" s="87" t="n">
        <x:v>14</x:v>
      </x:c>
      <x:c r="L3728" s="87" t="str">
        <x:v>Органические реакции: продукты</x:v>
      </x:c>
      <x:c r="M3728" s="30" t="str">
        <x:v>14   Установите соответствие между названием вещества и органическим
     продуктом, который преимущественно образуется при его взаимодействии
     с избытком спиртового раствора щёлочи при нагревании: к каждой позиции,
     обозначенной буквой, подберите соответствующую позицию, обозначенную
     цифрой.
              НАЗВАНИЕ ВЕЩЕСТВА                                 ПРОДУКТ РЕАКЦИИ
     А) 1,1-дихлорпропан                                   1)
     Б) хлорциклогексан
     В) 2-хлорпентан                                       2)
     Г) 2-хлор-2-метилбутан
                                                           3) CH3–CH=CH2
                                                           4) CH3–CH=CH–CH2CH3
                                                           5) CH3 C CH
                                                           6) CH3 C CH CH3
                                                                       CH3
     Запишите в таблицу выбранные цифры под соответствующими буквами.
                А Б В Г
     Ответ:</x:v>
      </x:c>
      <x:c r="N3728" s="30" t="str">
        <x:v>5246</x:v>
      </x:c>
      <x:c r="O3728" s="30" t="str">
        <x:v>Последовательность 5246 задаёт соответствия позициям задания; каждое соответствие проверено отдельно.</x:v>
      </x:c>
      <x:c r="P3728" s="30" t="str">
        <x:v>Преимущественные продукты определены с учётом механизма и правила Зайцева.</x:v>
      </x:c>
      <x:c r="Q3728" s="30"/>
      <x:c r="R3728" s="30" t="str">
        <x:v>Таблица ответов PDF + независимое решение</x:v>
      </x:c>
      <x:c r="S3728" s="30"/>
      <x:c r="T3728" s="30"/>
      <x:c r="U3728" s="30" t="str">
        <x:v>Расхождений не обнаружено.</x:v>
      </x:c>
      <x:c r="V3728" s="87" t="str">
        <x:v>VERIFIED</x:v>
      </x:c>
      <x:c r="W3728" s="87" t="str">
        <x:v>Zadanie_KhI11_06112025.pdf, вариантная стр. 7</x:v>
      </x:c>
      <x:c r="X3728" s="87"/>
      <x:c r="Y3728" s="87"/>
      <x:c r="Z3728" s="87"/>
      <x:c r="AA3728" s="87"/>
      <x:c r="AB3728" s="87"/>
      <x:c r="AC3728" s="87" t="str">
        <x:v>VIS-CHEM-NOV-006</x:v>
      </x:c>
      <x:c r="AD3728" s="87"/>
      <x:c r="AE3728" s="87"/>
      <x:c r="AF3728" s="87" t="str">
        <x:v>VIS-CHEM-NOV-006: 7</x:v>
      </x:c>
      <x:c r="AG3728" s="87" t="str">
        <x:v>RESOLVED</x:v>
      </x:c>
      <x:c r="AH3728" s="87" t="str">
        <x:v>CROP_VERIFIED</x:v>
      </x:c>
      <x:c r="AI3728" s="30"/>
      <x:c r="AJ3728" s="87" t="str">
        <x:v>master</x:v>
      </x:c>
      <x:c r="AK3728" s="87" t="str">
        <x:v>master-v0.81</x:v>
      </x:c>
      <x:c r="AL3728" s="87" t="str">
        <x:v>statgrad_master_base_v0_81_final(2).xlsx</x:v>
      </x:c>
      <x:c r="AM3728" s="87" t="str">
        <x:v>CHEM_Nov_V1</x:v>
      </x:c>
      <x:c r="AN3728" s="87" t="n">
        <x:v>15</x:v>
      </x:c>
    </x:row>
    <x:row r="3729">
      <x:c r="A3729" s="87" t="n">
        <x:v>3728</x:v>
      </x:c>
      <x:c r="B3729" s="87" t="str">
        <x:v>NOV-CHEM-V1-015</x:v>
      </x:c>
      <x:c r="C3729" s="87" t="str">
        <x:v>СтатГрад</x:v>
      </x:c>
      <x:c r="D3729" s="87" t="str">
        <x:v>Ноябрь 2025</x:v>
      </x:c>
      <x:c r="E3729" s="87"/>
      <x:c r="F3729" s="87"/>
      <x:c r="G3729" s="87" t="str">
        <x:v>Химия</x:v>
      </x:c>
      <x:c r="H3729" s="87" t="n">
        <x:v>11</x:v>
      </x:c>
      <x:c r="I3729" s="87" t="str">
        <x:v>ТР №2</x:v>
      </x:c>
      <x:c r="J3729" s="87" t="str">
        <x:v>ХИ2510201</x:v>
      </x:c>
      <x:c r="K3729" s="87" t="n">
        <x:v>15</x:v>
      </x:c>
      <x:c r="L3729" s="87" t="str">
        <x:v>Органические реакции: реагенты</x:v>
      </x:c>
      <x:c r="M3729" s="30" t="str">
        <x:v>15   Установите соответствие между схемой реакции и веществом X,
     принимающим в ней участие. К каждой позиции, обозначенной буквой,
     подберите соответствующую позицию, обозначенную цифрой.
                   СХЕМА РЕАКЦИИ                                 ВЕЩЕСТВО X
     А) X 
           CO, t , P, кат.
                          → уксусная кислота               1) CH3OH
     Б) X →
           [Ag(NH 3 ) 2 ]OH
                            пропионат аммония
                                                           2) CH3CH2OH
                                                           3) CH3CH(OH)CH3
     В) X 
           H 2SO 4 , t
                       → диэтиловый эфир                   4) CH3CH2CH=O
     Г) X    KMnO 4 , H +
                    → ацетон                         5) CH3CH2COOH
                                                           6) HCOOCH3
     Запишите в таблицу выбранные цифры под соответствующими буквами.
                А Б В Г
     Ответ:</x:v>
      </x:c>
      <x:c r="N3729" s="30" t="str">
        <x:v>1423</x:v>
      </x:c>
      <x:c r="O3729" s="30" t="str">
        <x:v>Последовательность 1423 задаёт соответствия позициям задания; каждое соответствие проверено отдельно.</x:v>
      </x:c>
      <x:c r="P3729" s="30" t="str">
        <x:v>Неизвестный реагент X восстановлен из исходного вещества и продукта реакции.</x:v>
      </x:c>
      <x:c r="Q3729" s="30"/>
      <x:c r="R3729" s="30" t="str">
        <x:v>Таблица ответов PDF + независимое решение</x:v>
      </x:c>
      <x:c r="S3729" s="30"/>
      <x:c r="T3729" s="30"/>
      <x:c r="U3729" s="30" t="str">
        <x:v>Расхождений не обнаружено.</x:v>
      </x:c>
      <x:c r="V3729" s="87" t="str">
        <x:v>VERIFIED</x:v>
      </x:c>
      <x:c r="W3729" s="87" t="str">
        <x:v>Zadanie_KhI11_06112025.pdf, вариантная стр. 8</x:v>
      </x:c>
      <x:c r="X3729" s="87"/>
      <x:c r="Y3729" s="87"/>
      <x:c r="Z3729" s="87"/>
      <x:c r="AA3729" s="87"/>
      <x:c r="AB3729" s="87"/>
      <x:c r="AC3729" s="87" t="str">
        <x:v>VIS-CHEM-NOV-007</x:v>
      </x:c>
      <x:c r="AD3729" s="87"/>
      <x:c r="AE3729" s="87"/>
      <x:c r="AF3729" s="87" t="str">
        <x:v>VIS-CHEM-NOV-007: 8</x:v>
      </x:c>
      <x:c r="AG3729" s="87" t="str">
        <x:v>RESOLVED</x:v>
      </x:c>
      <x:c r="AH3729" s="87" t="str">
        <x:v>CROP_VERIFIED</x:v>
      </x:c>
      <x:c r="AI3729" s="30"/>
      <x:c r="AJ3729" s="87" t="str">
        <x:v>master</x:v>
      </x:c>
      <x:c r="AK3729" s="87" t="str">
        <x:v>master-v0.81</x:v>
      </x:c>
      <x:c r="AL3729" s="87" t="str">
        <x:v>statgrad_master_base_v0_81_final(2).xlsx</x:v>
      </x:c>
      <x:c r="AM3729" s="87" t="str">
        <x:v>CHEM_Nov_V1</x:v>
      </x:c>
      <x:c r="AN3729" s="87" t="n">
        <x:v>16</x:v>
      </x:c>
    </x:row>
    <x:row r="3730">
      <x:c r="A3730" s="87" t="n">
        <x:v>3729</x:v>
      </x:c>
      <x:c r="B3730" s="87" t="str">
        <x:v>NOV-CHEM-V1-016</x:v>
      </x:c>
      <x:c r="C3730" s="87" t="str">
        <x:v>СтатГрад</x:v>
      </x:c>
      <x:c r="D3730" s="87" t="str">
        <x:v>Ноябрь 2025</x:v>
      </x:c>
      <x:c r="E3730" s="87"/>
      <x:c r="F3730" s="87"/>
      <x:c r="G3730" s="87" t="str">
        <x:v>Химия</x:v>
      </x:c>
      <x:c r="H3730" s="87" t="n">
        <x:v>11</x:v>
      </x:c>
      <x:c r="I3730" s="87" t="str">
        <x:v>ТР №2</x:v>
      </x:c>
      <x:c r="J3730" s="87" t="str">
        <x:v>ХИ2510201</x:v>
      </x:c>
      <x:c r="K3730" s="87" t="n">
        <x:v>16</x:v>
      </x:c>
      <x:c r="L3730" s="87" t="str">
        <x:v>Цепочка превращений: органика</x:v>
      </x:c>
      <x:c r="M3730" s="30" t="str">
        <x:v>16   Задана следующая схема превращений веществ:
                              Zn, t                      CuO,t
                      X    → пропен → Y    → ацетон
     Определите, какие из указанных веществ являются веществами X и Y.
     1) CH3CH(OH)CH3
     2) CH3CH(OH)CH2OH
     3) CH3CH2CH2OH
     4) CH3CH2CH2Br
     5) CH3CH(Br)CH2Br
     Запишите в таблицу номера выбранных веществ под соответствующими
     буквами.
                  X             Y
     Ответ:</x:v>
      </x:c>
      <x:c r="N3730" s="30" t="str">
        <x:v>51</x:v>
      </x:c>
      <x:c r="O3730" s="30" t="str">
        <x:v>Выбраны позиции 51; выбор подтверждён разбором каждого предложенного вещества или элемента.</x:v>
      </x:c>
      <x:c r="P3730" s="30" t="str">
        <x:v>Оба неизвестных вещества установлены по полной цепочке превращений.</x:v>
      </x:c>
      <x:c r="Q3730" s="30"/>
      <x:c r="R3730" s="30" t="str">
        <x:v>Фото-сводка ответов + независимое решение</x:v>
      </x:c>
      <x:c r="S3730" s="30"/>
      <x:c r="T3730" s="30"/>
      <x:c r="U3730" s="30" t="str">
        <x:v>Расхождений не обнаружено.</x:v>
      </x:c>
      <x:c r="V3730" s="87" t="str">
        <x:v>VERIFIED</x:v>
      </x:c>
      <x:c r="W3730" s="87" t="str">
        <x:v>Zadanie_KhI11_06112025.pdf, вариантная стр. 8</x:v>
      </x:c>
      <x:c r="X3730" s="87"/>
      <x:c r="Y3730" s="87"/>
      <x:c r="Z3730" s="87"/>
      <x:c r="AA3730" s="87"/>
      <x:c r="AB3730" s="87"/>
      <x:c r="AC3730" s="87" t="str">
        <x:v>VIS-CHEM-NOV-007</x:v>
      </x:c>
      <x:c r="AD3730" s="87"/>
      <x:c r="AE3730" s="87"/>
      <x:c r="AF3730" s="87" t="str">
        <x:v>VIS-CHEM-NOV-007: 8</x:v>
      </x:c>
      <x:c r="AG3730" s="87" t="str">
        <x:v>RESOLVED</x:v>
      </x:c>
      <x:c r="AH3730" s="87" t="str">
        <x:v>CROP_VERIFIED</x:v>
      </x:c>
      <x:c r="AI3730" s="30"/>
      <x:c r="AJ3730" s="87" t="str">
        <x:v>master</x:v>
      </x:c>
      <x:c r="AK3730" s="87" t="str">
        <x:v>master-v0.81</x:v>
      </x:c>
      <x:c r="AL3730" s="87" t="str">
        <x:v>statgrad_master_base_v0_81_final(2).xlsx</x:v>
      </x:c>
      <x:c r="AM3730" s="87" t="str">
        <x:v>CHEM_Nov_V1</x:v>
      </x:c>
      <x:c r="AN3730" s="87" t="n">
        <x:v>17</x:v>
      </x:c>
    </x:row>
    <x:row r="3731">
      <x:c r="A3731" s="87" t="n">
        <x:v>3730</x:v>
      </x:c>
      <x:c r="B3731" s="87" t="str">
        <x:v>NOV-CHEM-V1-017</x:v>
      </x:c>
      <x:c r="C3731" s="87" t="str">
        <x:v>СтатГрад</x:v>
      </x:c>
      <x:c r="D3731" s="87" t="str">
        <x:v>Ноябрь 2025</x:v>
      </x:c>
      <x:c r="E3731" s="87"/>
      <x:c r="F3731" s="87"/>
      <x:c r="G3731" s="87" t="str">
        <x:v>Химия</x:v>
      </x:c>
      <x:c r="H3731" s="87" t="n">
        <x:v>11</x:v>
      </x:c>
      <x:c r="I3731" s="87" t="str">
        <x:v>ТР №2</x:v>
      </x:c>
      <x:c r="J3731" s="87" t="str">
        <x:v>ХИ2510201</x:v>
      </x:c>
      <x:c r="K3731" s="87" t="n">
        <x:v>17</x:v>
      </x:c>
      <x:c r="L3731" s="87" t="str">
        <x:v>Классификация реакций</x:v>
      </x:c>
      <x:c r="M3731" s="30" t="str">
        <x:v>17   Установите соответствие между химической реакцией и типами реакций,
     к которым она относится: к каждой позиции, обозначенной буквой,
     подберите соответствующую позицию, обозначенную цифрой.
             ХИМИЧЕСКАЯ РЕАКЦИЯ                                 ТИПЫ РЕАКЦИЙ
     А) взаимодействие бензола с нитрующей                 1) реакция замещения,
        смесью                                                некаталитическая
     Б) взаимодействие бутанона с водородом                2) реакция присоединения,
     В) гидратация этилена                                    некаталитическая
                                                           3) реакция присоединения,
                                                              каталитическая
                                                           4) реакция замещения,
                                                              каталитическая
     Запишите в таблицу выбранные цифры под соответствующими буквами.
                А Б В
     Ответ:</x:v>
      </x:c>
      <x:c r="N3731" s="30" t="str">
        <x:v>433</x:v>
      </x:c>
      <x:c r="O3731" s="30" t="str">
        <x:v>Последовательность 433 задаёт соответствия позициям задания; каждое соответствие проверено отдельно.</x:v>
      </x:c>
      <x:c r="P3731" s="30" t="str">
        <x:v>Каждая реакция классифицирована по числу и составу веществ, обратимости и ОВР.</x:v>
      </x:c>
      <x:c r="Q3731" s="30"/>
      <x:c r="R3731" s="30" t="str">
        <x:v>Фото-сводка ответов + независимое решение</x:v>
      </x:c>
      <x:c r="S3731" s="30"/>
      <x:c r="T3731" s="30"/>
      <x:c r="U3731" s="30" t="str">
        <x:v>Расхождений не обнаружено.</x:v>
      </x:c>
      <x:c r="V3731" s="87" t="str">
        <x:v>VERIFIED</x:v>
      </x:c>
      <x:c r="W3731" s="87" t="str">
        <x:v>Zadanie_KhI11_06112025.pdf, вариантная стр. 9</x:v>
      </x:c>
      <x:c r="X3731" s="87"/>
      <x:c r="Y3731" s="87"/>
      <x:c r="Z3731" s="87"/>
      <x:c r="AA3731" s="87"/>
      <x:c r="AB3731" s="87"/>
      <x:c r="AC3731" s="87" t="str">
        <x:v>VIS-CHEM-NOV-008</x:v>
      </x:c>
      <x:c r="AD3731" s="87"/>
      <x:c r="AE3731" s="87"/>
      <x:c r="AF3731" s="87" t="str">
        <x:v>VIS-CHEM-NOV-008: 9</x:v>
      </x:c>
      <x:c r="AG3731" s="87" t="str">
        <x:v>RESOLVED</x:v>
      </x:c>
      <x:c r="AH3731" s="87" t="str">
        <x:v>CROP_VERIFIED</x:v>
      </x:c>
      <x:c r="AI3731" s="30"/>
      <x:c r="AJ3731" s="87" t="str">
        <x:v>master</x:v>
      </x:c>
      <x:c r="AK3731" s="87" t="str">
        <x:v>master-v0.81</x:v>
      </x:c>
      <x:c r="AL3731" s="87" t="str">
        <x:v>statgrad_master_base_v0_81_final(2).xlsx</x:v>
      </x:c>
      <x:c r="AM3731" s="87" t="str">
        <x:v>CHEM_Nov_V1</x:v>
      </x:c>
      <x:c r="AN3731" s="87" t="n">
        <x:v>18</x:v>
      </x:c>
    </x:row>
    <x:row r="3732">
      <x:c r="A3732" s="87" t="n">
        <x:v>3731</x:v>
      </x:c>
      <x:c r="B3732" s="87" t="str">
        <x:v>NOV-CHEM-V1-018</x:v>
      </x:c>
      <x:c r="C3732" s="87" t="str">
        <x:v>СтатГрад</x:v>
      </x:c>
      <x:c r="D3732" s="87" t="str">
        <x:v>Ноябрь 2025</x:v>
      </x:c>
      <x:c r="E3732" s="87"/>
      <x:c r="F3732" s="87"/>
      <x:c r="G3732" s="87" t="str">
        <x:v>Химия</x:v>
      </x:c>
      <x:c r="H3732" s="87" t="n">
        <x:v>11</x:v>
      </x:c>
      <x:c r="I3732" s="87" t="str">
        <x:v>ТР №2</x:v>
      </x:c>
      <x:c r="J3732" s="87" t="str">
        <x:v>ХИ2510201</x:v>
      </x:c>
      <x:c r="K3732" s="87" t="n">
        <x:v>18</x:v>
      </x:c>
      <x:c r="L3732" s="87" t="str">
        <x:v>Скорость химической реакции</x:v>
      </x:c>
      <x:c r="M3732" s="30" t="str">
        <x:v>18   Из предложенного перечня выберите все внешние воздействия, которые
     приводят к увеличению скорости выделения хлора при взаимодействии
     твёрдого диоксида марганца и соляной кислоты.
     1) нагревание
     2) увеличение концентрации кислоты
     3) добавление воды
     4) измельчение диоксида марганца
     5) увеличение давления
     Запишите номера выбранных ответов.
     Ответ: ___________________________.</x:v>
      </x:c>
      <x:c r="N3732" s="30" t="str">
        <x:v>124</x:v>
      </x:c>
      <x:c r="O3732" s="30" t="str">
        <x:v>Выбраны позиции 124; выбор подтверждён разбором каждого предложенного вещества или элемента.</x:v>
      </x:c>
      <x:c r="P3732" s="30" t="str">
        <x:v>Воздействия проверены по кинетическим факторам: концентрации, температуре и площади поверхности.</x:v>
      </x:c>
      <x:c r="Q3732" s="30"/>
      <x:c r="R3732" s="30" t="str">
        <x:v>Фото-сводка ответов + независимое решение</x:v>
      </x:c>
      <x:c r="S3732" s="30"/>
      <x:c r="T3732" s="30"/>
      <x:c r="U3732" s="30" t="str">
        <x:v>Расхождений не обнаружено.</x:v>
      </x:c>
      <x:c r="V3732" s="87" t="str">
        <x:v>VERIFIED</x:v>
      </x:c>
      <x:c r="W3732" s="87" t="str">
        <x:v>Zadanie_KhI11_06112025.pdf, вариантная стр. 9</x:v>
      </x:c>
      <x:c r="X3732" s="87"/>
      <x:c r="Y3732" s="87"/>
      <x:c r="Z3732" s="87"/>
      <x:c r="AA3732" s="87"/>
      <x:c r="AB3732" s="87"/>
      <x:c r="AC3732" s="87" t="str">
        <x:v>VIS-CHEM-NOV-008</x:v>
      </x:c>
      <x:c r="AD3732" s="87"/>
      <x:c r="AE3732" s="87"/>
      <x:c r="AF3732" s="87" t="str">
        <x:v>VIS-CHEM-NOV-008: 9</x:v>
      </x:c>
      <x:c r="AG3732" s="87" t="str">
        <x:v>RESOLVED</x:v>
      </x:c>
      <x:c r="AH3732" s="87" t="str">
        <x:v>CROP_VERIFIED</x:v>
      </x:c>
      <x:c r="AI3732" s="30"/>
      <x:c r="AJ3732" s="87" t="str">
        <x:v>master</x:v>
      </x:c>
      <x:c r="AK3732" s="87" t="str">
        <x:v>master-v0.81</x:v>
      </x:c>
      <x:c r="AL3732" s="87" t="str">
        <x:v>statgrad_master_base_v0_81_final(2).xlsx</x:v>
      </x:c>
      <x:c r="AM3732" s="87" t="str">
        <x:v>CHEM_Nov_V1</x:v>
      </x:c>
      <x:c r="AN3732" s="87" t="n">
        <x:v>19</x:v>
      </x:c>
    </x:row>
    <x:row r="3733">
      <x:c r="A3733" s="87" t="n">
        <x:v>3732</x:v>
      </x:c>
      <x:c r="B3733" s="87" t="str">
        <x:v>NOV-CHEM-V1-019</x:v>
      </x:c>
      <x:c r="C3733" s="87" t="str">
        <x:v>СтатГрад</x:v>
      </x:c>
      <x:c r="D3733" s="87" t="str">
        <x:v>Ноябрь 2025</x:v>
      </x:c>
      <x:c r="E3733" s="87"/>
      <x:c r="F3733" s="87"/>
      <x:c r="G3733" s="87" t="str">
        <x:v>Химия</x:v>
      </x:c>
      <x:c r="H3733" s="87" t="n">
        <x:v>11</x:v>
      </x:c>
      <x:c r="I3733" s="87" t="str">
        <x:v>ТР №2</x:v>
      </x:c>
      <x:c r="J3733" s="87" t="str">
        <x:v>ХИ2510201</x:v>
      </x:c>
      <x:c r="K3733" s="87" t="n">
        <x:v>19</x:v>
      </x:c>
      <x:c r="L3733" s="87" t="str">
        <x:v>ОВР и свойства элемента</x:v>
      </x:c>
      <x:c r="M3733" s="30" t="str">
        <x:v>19   Установите соответствие между схемой реакции и свойством, которое
     проявляет элемент иод в этой реакции. К каждой позиции, обозначенной
     буквой, подберите соответствующую позицию, обозначенную цифрой.
                  СХЕМА РЕАКЦИИ                                 СВОЙСТВО ИОДА
     А) I2 + Cl2 → ICl3                                    1) только окислитель
     Б) ICl3 + KOH → KI + KCl + KIO3 + H2O                 2) только восстановитель
     В) H2S + I2 → S + HI                                  3) и окислитель,
                                                              и восстановитель
                                                              одновременно
                                                           4) не изменяет степень
                                                              окисления
     Запишите в таблицу выбранные цифры под соответствующими буквами.
                А Б В
     Ответ:</x:v>
      </x:c>
      <x:c r="N3733" s="30" t="str">
        <x:v>231</x:v>
      </x:c>
      <x:c r="O3733" s="30" t="str">
        <x:v>Последовательность 231 задаёт соответствия позициям задания; каждое соответствие проверено отдельно.</x:v>
      </x:c>
      <x:c r="P3733" s="30" t="str">
        <x:v>Степени окисления иода до и после реакции сопоставлены для определения его свойства.</x:v>
      </x:c>
      <x:c r="Q3733" s="30"/>
      <x:c r="R3733" s="30" t="str">
        <x:v>Фото-сводка ответов + независимое решение</x:v>
      </x:c>
      <x:c r="S3733" s="30"/>
      <x:c r="T3733" s="30"/>
      <x:c r="U3733" s="30" t="str">
        <x:v>Расхождений не обнаружено.</x:v>
      </x:c>
      <x:c r="V3733" s="87" t="str">
        <x:v>VERIFIED</x:v>
      </x:c>
      <x:c r="W3733" s="87" t="str">
        <x:v>Zadanie_KhI11_06112025.pdf, вариантная стр. 10</x:v>
      </x:c>
      <x:c r="X3733" s="87"/>
      <x:c r="Y3733" s="87"/>
      <x:c r="Z3733" s="87"/>
      <x:c r="AA3733" s="87"/>
      <x:c r="AB3733" s="87"/>
      <x:c r="AC3733" s="87" t="str">
        <x:v>VIS-CHEM-NOV-009</x:v>
      </x:c>
      <x:c r="AD3733" s="87"/>
      <x:c r="AE3733" s="87"/>
      <x:c r="AF3733" s="87" t="str">
        <x:v>VIS-CHEM-NOV-009: 10</x:v>
      </x:c>
      <x:c r="AG3733" s="87" t="str">
        <x:v>RESOLVED</x:v>
      </x:c>
      <x:c r="AH3733" s="87" t="str">
        <x:v>CROP_VERIFIED</x:v>
      </x:c>
      <x:c r="AI3733" s="30"/>
      <x:c r="AJ3733" s="87" t="str">
        <x:v>master</x:v>
      </x:c>
      <x:c r="AK3733" s="87" t="str">
        <x:v>master-v0.81</x:v>
      </x:c>
      <x:c r="AL3733" s="87" t="str">
        <x:v>statgrad_master_base_v0_81_final(2).xlsx</x:v>
      </x:c>
      <x:c r="AM3733" s="87" t="str">
        <x:v>CHEM_Nov_V1</x:v>
      </x:c>
      <x:c r="AN3733" s="87" t="n">
        <x:v>20</x:v>
      </x:c>
    </x:row>
    <x:row r="3734">
      <x:c r="A3734" s="87" t="n">
        <x:v>3733</x:v>
      </x:c>
      <x:c r="B3734" s="87" t="str">
        <x:v>NOV-CHEM-V1-020</x:v>
      </x:c>
      <x:c r="C3734" s="87" t="str">
        <x:v>СтатГрад</x:v>
      </x:c>
      <x:c r="D3734" s="87" t="str">
        <x:v>Ноябрь 2025</x:v>
      </x:c>
      <x:c r="E3734" s="87"/>
      <x:c r="F3734" s="87"/>
      <x:c r="G3734" s="87" t="str">
        <x:v>Химия</x:v>
      </x:c>
      <x:c r="H3734" s="87" t="n">
        <x:v>11</x:v>
      </x:c>
      <x:c r="I3734" s="87" t="str">
        <x:v>ТР №2</x:v>
      </x:c>
      <x:c r="J3734" s="87" t="str">
        <x:v>ХИ2510201</x:v>
      </x:c>
      <x:c r="K3734" s="87" t="n">
        <x:v>20</x:v>
      </x:c>
      <x:c r="L3734" s="87" t="str">
        <x:v>Электролиз</x:v>
      </x:c>
      <x:c r="M3734" s="30" t="str">
        <x:v>20   Установите соответствие между веществом и продуктом(ами) электролиза
     водного раствора этого вещества, образовавшим(и)ся на инертном аноде. К
     каждой позиции, обозначенной буквой, подберите соответствующую
     позицию, обозначенную цифрой.
                       ВЕЩЕСТВО                              ПРОДУКТ(Ы) НА АНОДЕ
     А) KCl                                                1) кислород
     Б) HCOOK                                              2) галоген
     В) KClO4                                              3) галогеноводород
                                                           4) углекислый газ и водород
     Запишите в таблицу выбранные цифры под соответствующими буквами.
                А Б В
     Ответ:
     Для выполнения задания 21 используйте следующие справочные данные.
     Концентрация (молярная, моль/л) показывает отношение количества
     растворённого вещества (n) к объёму раствора (V).
     pH («пэ аш») – водородный показатель; величина, которая отражает
     концентрацию ионов водорода в растворе и используется для
     характеристики кислотности среды.</x:v>
      </x:c>
      <x:c r="N3734" s="30" t="str">
        <x:v>241</x:v>
      </x:c>
      <x:c r="O3734" s="30" t="str">
        <x:v>Последовательность 241 задаёт соответствия позициям задания; каждое соответствие проверено отдельно.</x:v>
      </x:c>
      <x:c r="P3734" s="30" t="str">
        <x:v>Продукты на инертном аноде определены по конкуренции окисления аниона и воды.</x:v>
      </x:c>
      <x:c r="Q3734" s="30"/>
      <x:c r="R3734" s="30" t="str">
        <x:v>Фото-сводка ответов + независимое решение</x:v>
      </x:c>
      <x:c r="S3734" s="30"/>
      <x:c r="T3734" s="30"/>
      <x:c r="U3734" s="30" t="str">
        <x:v>Расхождений не обнаружено.</x:v>
      </x:c>
      <x:c r="V3734" s="87" t="str">
        <x:v>VERIFIED</x:v>
      </x:c>
      <x:c r="W3734" s="87" t="str">
        <x:v>Zadanie_KhI11_06112025.pdf, вариантная стр. 10</x:v>
      </x:c>
      <x:c r="X3734" s="87"/>
      <x:c r="Y3734" s="87"/>
      <x:c r="Z3734" s="87"/>
      <x:c r="AA3734" s="87"/>
      <x:c r="AB3734" s="87"/>
      <x:c r="AC3734" s="87" t="str">
        <x:v>VIS-CHEM-NOV-009</x:v>
      </x:c>
      <x:c r="AD3734" s="87"/>
      <x:c r="AE3734" s="87"/>
      <x:c r="AF3734" s="87" t="str">
        <x:v>VIS-CHEM-NOV-009: 10</x:v>
      </x:c>
      <x:c r="AG3734" s="87" t="str">
        <x:v>RESOLVED</x:v>
      </x:c>
      <x:c r="AH3734" s="87" t="str">
        <x:v>CROP_VERIFIED</x:v>
      </x:c>
      <x:c r="AI3734" s="30"/>
      <x:c r="AJ3734" s="87" t="str">
        <x:v>master</x:v>
      </x:c>
      <x:c r="AK3734" s="87" t="str">
        <x:v>master-v0.81</x:v>
      </x:c>
      <x:c r="AL3734" s="87" t="str">
        <x:v>statgrad_master_base_v0_81_final(2).xlsx</x:v>
      </x:c>
      <x:c r="AM3734" s="87" t="str">
        <x:v>CHEM_Nov_V1</x:v>
      </x:c>
      <x:c r="AN3734" s="87" t="n">
        <x:v>21</x:v>
      </x:c>
    </x:row>
    <x:row r="3735">
      <x:c r="A3735" s="87" t="n">
        <x:v>3734</x:v>
      </x:c>
      <x:c r="B3735" s="87" t="str">
        <x:v>NOV-CHEM-V1-021</x:v>
      </x:c>
      <x:c r="C3735" s="87" t="str">
        <x:v>СтатГрад</x:v>
      </x:c>
      <x:c r="D3735" s="87" t="str">
        <x:v>Ноябрь 2025</x:v>
      </x:c>
      <x:c r="E3735" s="87"/>
      <x:c r="F3735" s="87"/>
      <x:c r="G3735" s="87" t="str">
        <x:v>Химия</x:v>
      </x:c>
      <x:c r="H3735" s="87" t="n">
        <x:v>11</x:v>
      </x:c>
      <x:c r="I3735" s="87" t="str">
        <x:v>ТР №2</x:v>
      </x:c>
      <x:c r="J3735" s="87" t="str">
        <x:v>ХИ2510201</x:v>
      </x:c>
      <x:c r="K3735" s="87" t="n">
        <x:v>21</x:v>
      </x:c>
      <x:c r="L3735" s="87" t="str">
        <x:v>Среда растворов</x:v>
      </x:c>
      <x:c r="M3735" s="30" t="str">
        <x:v>21   Для веществ, приведённых в перечне, определите характер среды их водных
     растворов.
     1) CO2
     2) Na2CO3
     3) HClO3
     4) KClO4
     Запишите номера веществ в порядке возрастания значения pH их водных
     растворов, имеющих молярную концентрацию 0,05 моль/л.
     Ответ:        →       →       →</x:v>
      </x:c>
      <x:c r="N3735" s="30" t="str">
        <x:v>3142</x:v>
      </x:c>
      <x:c r="O3735" s="30" t="str">
        <x:v>Выбраны позиции 3142; выбор подтверждён разбором каждого предложенного вещества или элемента.</x:v>
      </x:c>
      <x:c r="P3735" s="30" t="str">
        <x:v>Среда растворов установлена по гидролизу солей и силе электролитов.</x:v>
      </x:c>
      <x:c r="Q3735" s="30"/>
      <x:c r="R3735" s="30" t="str">
        <x:v>Фото-сводка ответов + независимое решение</x:v>
      </x:c>
      <x:c r="S3735" s="30"/>
      <x:c r="T3735" s="30"/>
      <x:c r="U3735" s="30" t="str">
        <x:v>Расхождений не обнаружено.</x:v>
      </x:c>
      <x:c r="V3735" s="87" t="str">
        <x:v>VERIFIED</x:v>
      </x:c>
      <x:c r="W3735" s="87" t="str">
        <x:v>Zadanie_KhI11_06112025.pdf, вариантная стр. 11</x:v>
      </x:c>
      <x:c r="X3735" s="87"/>
      <x:c r="Y3735" s="87"/>
      <x:c r="Z3735" s="87"/>
      <x:c r="AA3735" s="87"/>
      <x:c r="AB3735" s="87"/>
      <x:c r="AC3735" s="87" t="str">
        <x:v>VIS-CHEM-NOV-010</x:v>
      </x:c>
      <x:c r="AD3735" s="87"/>
      <x:c r="AE3735" s="87"/>
      <x:c r="AF3735" s="87" t="str">
        <x:v>VIS-CHEM-NOV-010: 11</x:v>
      </x:c>
      <x:c r="AG3735" s="87" t="str">
        <x:v>RESOLVED</x:v>
      </x:c>
      <x:c r="AH3735" s="87" t="str">
        <x:v>CROP_VERIFIED</x:v>
      </x:c>
      <x:c r="AI3735" s="30"/>
      <x:c r="AJ3735" s="87" t="str">
        <x:v>master</x:v>
      </x:c>
      <x:c r="AK3735" s="87" t="str">
        <x:v>master-v0.81</x:v>
      </x:c>
      <x:c r="AL3735" s="87" t="str">
        <x:v>statgrad_master_base_v0_81_final(2).xlsx</x:v>
      </x:c>
      <x:c r="AM3735" s="87" t="str">
        <x:v>CHEM_Nov_V1</x:v>
      </x:c>
      <x:c r="AN3735" s="87" t="n">
        <x:v>22</x:v>
      </x:c>
    </x:row>
    <x:row r="3736">
      <x:c r="A3736" s="87" t="n">
        <x:v>3735</x:v>
      </x:c>
      <x:c r="B3736" s="87" t="str">
        <x:v>NOV-CHEM-V1-022</x:v>
      </x:c>
      <x:c r="C3736" s="87" t="str">
        <x:v>СтатГрад</x:v>
      </x:c>
      <x:c r="D3736" s="87" t="str">
        <x:v>Ноябрь 2025</x:v>
      </x:c>
      <x:c r="E3736" s="87"/>
      <x:c r="F3736" s="87"/>
      <x:c r="G3736" s="87" t="str">
        <x:v>Химия</x:v>
      </x:c>
      <x:c r="H3736" s="87" t="n">
        <x:v>11</x:v>
      </x:c>
      <x:c r="I3736" s="87" t="str">
        <x:v>ТР №2</x:v>
      </x:c>
      <x:c r="J3736" s="87" t="str">
        <x:v>ХИ2510201</x:v>
      </x:c>
      <x:c r="K3736" s="87" t="n">
        <x:v>22</x:v>
      </x:c>
      <x:c r="L3736" s="87" t="str">
        <x:v>Химическое равновесие</x:v>
      </x:c>
      <x:c r="M3736" s="30" t="str">
        <x:v>22   Установите соответствие между способом воздействия на равновесную
     систему
                       NH3(г) + H2O(ж)        NH4+(р-р) + OH–(р-р) + Q
     и направлением смещения равновесия в результате этого воздействия.
     К каждой позиции, обозначенной буквой, подберите соответствующую
     позицию, обозначенную цифрой.
               СПОСОБ ВОЗДЕЙСТВИЯ                                ХИМИЧЕСКОЕ
                                                                 РАВНОВЕСИЕ
     А) охлаждение                                         1) смещается в направлении
     Б) увеличение pH раствора                                прямой реакции
     В) добавление твёрдого хлорида аммония                2) смещается в направлении
     Г) увеличение давления над раствором                     обратной реакции
                                                           3) практически не смещается
     Запишите в таблицу выбранные цифры под соответствующими буквами.
                А Б В Г
     Ответ:</x:v>
      </x:c>
      <x:c r="N3736" s="30" t="str">
        <x:v>1221</x:v>
      </x:c>
      <x:c r="O3736" s="30" t="str">
        <x:v>Последовательность 1221 задаёт соответствия позициям задания; каждое соответствие проверено отдельно.</x:v>
      </x:c>
      <x:c r="P3736" s="30" t="str">
        <x:v>Смещение равновесия проверено по принципу Ле Шателье.</x:v>
      </x:c>
      <x:c r="Q3736" s="30"/>
      <x:c r="R3736" s="30" t="str">
        <x:v>Таблица ответов PDF + независимое решение</x:v>
      </x:c>
      <x:c r="S3736" s="30"/>
      <x:c r="T3736" s="30"/>
      <x:c r="U3736" s="30" t="str">
        <x:v>Расхождений не обнаружено.</x:v>
      </x:c>
      <x:c r="V3736" s="87" t="str">
        <x:v>VERIFIED</x:v>
      </x:c>
      <x:c r="W3736" s="87" t="str">
        <x:v>Zadanie_KhI11_06112025.pdf, вариантная стр. 12</x:v>
      </x:c>
      <x:c r="X3736" s="87"/>
      <x:c r="Y3736" s="87"/>
      <x:c r="Z3736" s="87"/>
      <x:c r="AA3736" s="87"/>
      <x:c r="AB3736" s="87"/>
      <x:c r="AC3736" s="87" t="str">
        <x:v>VIS-CHEM-NOV-011</x:v>
      </x:c>
      <x:c r="AD3736" s="87"/>
      <x:c r="AE3736" s="87"/>
      <x:c r="AF3736" s="87" t="str">
        <x:v>VIS-CHEM-NOV-011: 12</x:v>
      </x:c>
      <x:c r="AG3736" s="87" t="str">
        <x:v>RESOLVED</x:v>
      </x:c>
      <x:c r="AH3736" s="87" t="str">
        <x:v>CROP_VERIFIED</x:v>
      </x:c>
      <x:c r="AI3736" s="30"/>
      <x:c r="AJ3736" s="87" t="str">
        <x:v>master</x:v>
      </x:c>
      <x:c r="AK3736" s="87" t="str">
        <x:v>master-v0.81</x:v>
      </x:c>
      <x:c r="AL3736" s="87" t="str">
        <x:v>statgrad_master_base_v0_81_final(2).xlsx</x:v>
      </x:c>
      <x:c r="AM3736" s="87" t="str">
        <x:v>CHEM_Nov_V1</x:v>
      </x:c>
      <x:c r="AN3736" s="87" t="n">
        <x:v>23</x:v>
      </x:c>
    </x:row>
    <x:row r="3737">
      <x:c r="A3737" s="87" t="n">
        <x:v>3736</x:v>
      </x:c>
      <x:c r="B3737" s="87" t="str">
        <x:v>NOV-CHEM-V1-023</x:v>
      </x:c>
      <x:c r="C3737" s="87" t="str">
        <x:v>СтатГрад</x:v>
      </x:c>
      <x:c r="D3737" s="87" t="str">
        <x:v>Ноябрь 2025</x:v>
      </x:c>
      <x:c r="E3737" s="87"/>
      <x:c r="F3737" s="87"/>
      <x:c r="G3737" s="87" t="str">
        <x:v>Химия</x:v>
      </x:c>
      <x:c r="H3737" s="87" t="n">
        <x:v>11</x:v>
      </x:c>
      <x:c r="I3737" s="87" t="str">
        <x:v>ТР №2</x:v>
      </x:c>
      <x:c r="J3737" s="87" t="str">
        <x:v>ХИ2510201</x:v>
      </x:c>
      <x:c r="K3737" s="87" t="n">
        <x:v>23</x:v>
      </x:c>
      <x:c r="L3737" s="87" t="str">
        <x:v>Равновесные концентрации</x:v>
      </x:c>
      <x:c r="M3737" s="30" t="str">
        <x:v>23   В реактор постоянного объёма ввели метан и сильно нагрели. В реакторе
     установилось равновесие:
                             2CH4(г) C2H2(г) + 3H2(г),
     при котором в реакторе содержалось 100 моль метана и 200 моль ацетилена.
     Другие процессы в системе не протекали. Рассчитайте исходное количество
     вещества CH4 (X) и равновесное количество вещества H2 (Y).
     Выберите из списка номера правильных ответов.
     1) 100 моль
     2) 200 моль
     3) 300 моль
     4) 400 моль
     5) 500 моль
     6) 600 моль
     Запишите выбранные номера в таблицу под соответствующими буквами.
                   X            Y
     Ответ:</x:v>
      </x:c>
      <x:c r="N3737" s="30" t="str">
        <x:v>X=5; Y=6</x:v>
      </x:c>
      <x:c r="O3737" s="30" t="str">
        <x:v>По условию получено: X=5; Y=6. Оба неизвестных определены совместно, а не подбором по ключу.</x:v>
      </x:c>
      <x:c r="P3737" s="30" t="str">
        <x:v>Изменения равновесных концентраций рассчитаны по стехиометрии реакции.</x:v>
      </x:c>
      <x:c r="Q3737" s="30"/>
      <x:c r="R3737" s="30" t="str">
        <x:v>Фото-сводка ответов + независимое решение</x:v>
      </x:c>
      <x:c r="S3737" s="30"/>
      <x:c r="T3737" s="30"/>
      <x:c r="U3737" s="30" t="str">
        <x:v>Расхождений не обнаружено.</x:v>
      </x:c>
      <x:c r="V3737" s="87" t="str">
        <x:v>VERIFIED</x:v>
      </x:c>
      <x:c r="W3737" s="87" t="str">
        <x:v>Zadanie_KhI11_06112025.pdf, вариантная стр. 12</x:v>
      </x:c>
      <x:c r="X3737" s="87"/>
      <x:c r="Y3737" s="87"/>
      <x:c r="Z3737" s="87"/>
      <x:c r="AA3737" s="87"/>
      <x:c r="AB3737" s="87"/>
      <x:c r="AC3737" s="87" t="str">
        <x:v>VIS-CHEM-NOV-011</x:v>
      </x:c>
      <x:c r="AD3737" s="87"/>
      <x:c r="AE3737" s="87"/>
      <x:c r="AF3737" s="87" t="str">
        <x:v>VIS-CHEM-NOV-011: 12</x:v>
      </x:c>
      <x:c r="AG3737" s="87" t="str">
        <x:v>RESOLVED</x:v>
      </x:c>
      <x:c r="AH3737" s="87" t="str">
        <x:v>CROP_VERIFIED</x:v>
      </x:c>
      <x:c r="AI3737" s="30"/>
      <x:c r="AJ3737" s="87" t="str">
        <x:v>master</x:v>
      </x:c>
      <x:c r="AK3737" s="87" t="str">
        <x:v>master-v0.81</x:v>
      </x:c>
      <x:c r="AL3737" s="87" t="str">
        <x:v>statgrad_master_base_v0_81_final(2).xlsx</x:v>
      </x:c>
      <x:c r="AM3737" s="87" t="str">
        <x:v>CHEM_Nov_V1</x:v>
      </x:c>
      <x:c r="AN3737" s="87" t="n">
        <x:v>24</x:v>
      </x:c>
    </x:row>
    <x:row r="3738">
      <x:c r="A3738" s="87" t="n">
        <x:v>3737</x:v>
      </x:c>
      <x:c r="B3738" s="87" t="str">
        <x:v>NOV-CHEM-V1-024</x:v>
      </x:c>
      <x:c r="C3738" s="87" t="str">
        <x:v>СтатГрад</x:v>
      </x:c>
      <x:c r="D3738" s="87" t="str">
        <x:v>Ноябрь 2025</x:v>
      </x:c>
      <x:c r="E3738" s="87"/>
      <x:c r="F3738" s="87"/>
      <x:c r="G3738" s="87" t="str">
        <x:v>Химия</x:v>
      </x:c>
      <x:c r="H3738" s="87" t="n">
        <x:v>11</x:v>
      </x:c>
      <x:c r="I3738" s="87" t="str">
        <x:v>ТР №2</x:v>
      </x:c>
      <x:c r="J3738" s="87" t="str">
        <x:v>ХИ2510201</x:v>
      </x:c>
      <x:c r="K3738" s="87" t="n">
        <x:v>24</x:v>
      </x:c>
      <x:c r="L3738" s="87" t="str">
        <x:v>Качественный анализ</x:v>
      </x:c>
      <x:c r="M3738" s="30" t="str">
        <x:v>24   Установите соответствие между веществом и признаком его реакции
     с бромной водой.
     К каждой позиции, обозначенной буквой, подберите соответствующую
     позицию, обозначенную цифрой.
         ВЕЩЕСТВО                                ПРИЗНАК РЕАКЦИИ
     А) анилин                       1) потемнение раствора
     Б) сероводород                  2) обесцвечивание раствора
     В) сернистый газ                3) обесцвечивание и помутнение раствора
     Г) иодоводород                  4) образование объёмного осадка
                                     5) видимые признаки отсутствуют
     Запишите в таблицу выбранные цифры под соответствующими буквами.
                А Б В Г
     Ответ:</x:v>
      </x:c>
      <x:c r="N3738" s="30" t="str">
        <x:v>4321</x:v>
      </x:c>
      <x:c r="O3738" s="30" t="str">
        <x:v>Последовательность 4321 задаёт соответствия позициям задания; каждое соответствие проверено отдельно.</x:v>
      </x:c>
      <x:c r="P3738" s="30" t="str">
        <x:v>Для каждой пары записана качественная реакция и определён наблюдаемый признак.</x:v>
      </x:c>
      <x:c r="Q3738" s="30"/>
      <x:c r="R3738" s="30" t="str">
        <x:v>Таблица ответов PDF + независимое решение</x:v>
      </x:c>
      <x:c r="S3738" s="30"/>
      <x:c r="T3738" s="30"/>
      <x:c r="U3738" s="30" t="str">
        <x:v>Расхождений не обнаружено.</x:v>
      </x:c>
      <x:c r="V3738" s="87" t="str">
        <x:v>VERIFIED</x:v>
      </x:c>
      <x:c r="W3738" s="87" t="str">
        <x:v>Zadanie_KhI11_06112025.pdf, вариантная стр. 13</x:v>
      </x:c>
      <x:c r="X3738" s="87"/>
      <x:c r="Y3738" s="87"/>
      <x:c r="Z3738" s="87"/>
      <x:c r="AA3738" s="87"/>
      <x:c r="AB3738" s="87"/>
      <x:c r="AC3738" s="87" t="str">
        <x:v>VIS-CHEM-NOV-012</x:v>
      </x:c>
      <x:c r="AD3738" s="87"/>
      <x:c r="AE3738" s="87"/>
      <x:c r="AF3738" s="87" t="str">
        <x:v>VIS-CHEM-NOV-012: 13</x:v>
      </x:c>
      <x:c r="AG3738" s="87" t="str">
        <x:v>RESOLVED</x:v>
      </x:c>
      <x:c r="AH3738" s="87" t="str">
        <x:v>CROP_VERIFIED</x:v>
      </x:c>
      <x:c r="AI3738" s="30"/>
      <x:c r="AJ3738" s="87" t="str">
        <x:v>master</x:v>
      </x:c>
      <x:c r="AK3738" s="87" t="str">
        <x:v>master-v0.81</x:v>
      </x:c>
      <x:c r="AL3738" s="87" t="str">
        <x:v>statgrad_master_base_v0_81_final(2).xlsx</x:v>
      </x:c>
      <x:c r="AM3738" s="87" t="str">
        <x:v>CHEM_Nov_V1</x:v>
      </x:c>
      <x:c r="AN3738" s="87" t="n">
        <x:v>25</x:v>
      </x:c>
    </x:row>
    <x:row r="3739">
      <x:c r="A3739" s="87" t="n">
        <x:v>3738</x:v>
      </x:c>
      <x:c r="B3739" s="87" t="str">
        <x:v>NOV-CHEM-V1-025</x:v>
      </x:c>
      <x:c r="C3739" s="87" t="str">
        <x:v>СтатГрад</x:v>
      </x:c>
      <x:c r="D3739" s="87" t="str">
        <x:v>Ноябрь 2025</x:v>
      </x:c>
      <x:c r="E3739" s="87"/>
      <x:c r="F3739" s="87"/>
      <x:c r="G3739" s="87" t="str">
        <x:v>Химия</x:v>
      </x:c>
      <x:c r="H3739" s="87" t="n">
        <x:v>11</x:v>
      </x:c>
      <x:c r="I3739" s="87" t="str">
        <x:v>ТР №2</x:v>
      </x:c>
      <x:c r="J3739" s="87" t="str">
        <x:v>ХИ2510201</x:v>
      </x:c>
      <x:c r="K3739" s="87" t="n">
        <x:v>25</x:v>
      </x:c>
      <x:c r="L3739" s="87" t="str">
        <x:v>Промышленная химия</x:v>
      </x:c>
      <x:c r="M3739" s="30" t="str">
        <x:v>25   Установите соответствие между названием материала и способом его
     получения: к каждой позиции, обозначенной буквой, подберите соответст-
     вующую позицию, обозначенную цифрой.
     К каждой позиции, обозначенной буквой, подберите соответствующую
     позицию, обозначенную цифрой.
                   МАТЕРИАЛ                                   СПОСОБ ПОЛУЧЕНИЯ
     А) полиэтилентерефталат (ПЭТ)                         1) полимеризация
     Б) резина                                             2) гидролиз
     В) политетрафторэтилен                                3) поликонденсация
                                                           4) вулканизация
     Запишите в таблицу выбранные цифры под соответствующими буквами.
                А Б В
     Ответ:
     Ответом к заданиям 26–28 является число. Запишите это число в поле
     ответа в тексте работы, соблюдая при этом указанную степень
     точности. Единицы измерения физических величин в поле ответа
     указывать не нужно.
     При проведении расчётов для всех элементов, кроме хлора, используйте
     значения относительных атомных масс, выраженные целыми числами
     (Ar(Cl) = 35,5).</x:v>
      </x:c>
      <x:c r="N3739" s="30" t="str">
        <x:v>341</x:v>
      </x:c>
      <x:c r="O3739" s="30" t="str">
        <x:v>Выбраны позиции 341; выбор подтверждён разбором каждого предложенного вещества или элемента.</x:v>
      </x:c>
      <x:c r="P3739" s="30" t="str">
        <x:v>Способы промышленного получения сопоставлены с сырьём и технологическим процессом.</x:v>
      </x:c>
      <x:c r="Q3739" s="30"/>
      <x:c r="R3739" s="30" t="str">
        <x:v>Фото-сводка ответов + независимое решение</x:v>
      </x:c>
      <x:c r="S3739" s="30"/>
      <x:c r="T3739" s="30"/>
      <x:c r="U3739" s="30" t="str">
        <x:v>Расхождений не обнаружено.</x:v>
      </x:c>
      <x:c r="V3739" s="87" t="str">
        <x:v>VERIFIED</x:v>
      </x:c>
      <x:c r="W3739" s="87" t="str">
        <x:v>Zadanie_KhI11_06112025.pdf, вариантная стр. 13</x:v>
      </x:c>
      <x:c r="X3739" s="87"/>
      <x:c r="Y3739" s="87"/>
      <x:c r="Z3739" s="87"/>
      <x:c r="AA3739" s="87"/>
      <x:c r="AB3739" s="87"/>
      <x:c r="AC3739" s="87" t="str">
        <x:v>VIS-CHEM-NOV-012</x:v>
      </x:c>
      <x:c r="AD3739" s="87"/>
      <x:c r="AE3739" s="87"/>
      <x:c r="AF3739" s="87" t="str">
        <x:v>VIS-CHEM-NOV-012: 13</x:v>
      </x:c>
      <x:c r="AG3739" s="87" t="str">
        <x:v>RESOLVED</x:v>
      </x:c>
      <x:c r="AH3739" s="87" t="str">
        <x:v>CROP_VERIFIED</x:v>
      </x:c>
      <x:c r="AI3739" s="30"/>
      <x:c r="AJ3739" s="87" t="str">
        <x:v>master</x:v>
      </x:c>
      <x:c r="AK3739" s="87" t="str">
        <x:v>master-v0.81</x:v>
      </x:c>
      <x:c r="AL3739" s="87" t="str">
        <x:v>statgrad_master_base_v0_81_final(2).xlsx</x:v>
      </x:c>
      <x:c r="AM3739" s="87" t="str">
        <x:v>CHEM_Nov_V1</x:v>
      </x:c>
      <x:c r="AN3739" s="87" t="n">
        <x:v>26</x:v>
      </x:c>
    </x:row>
    <x:row r="3740">
      <x:c r="A3740" s="87" t="n">
        <x:v>3739</x:v>
      </x:c>
      <x:c r="B3740" s="87" t="str">
        <x:v>NOV-CHEM-V1-026</x:v>
      </x:c>
      <x:c r="C3740" s="87" t="str">
        <x:v>СтатГрад</x:v>
      </x:c>
      <x:c r="D3740" s="87" t="str">
        <x:v>Ноябрь 2025</x:v>
      </x:c>
      <x:c r="E3740" s="87"/>
      <x:c r="F3740" s="87"/>
      <x:c r="G3740" s="87" t="str">
        <x:v>Химия</x:v>
      </x:c>
      <x:c r="H3740" s="87" t="n">
        <x:v>11</x:v>
      </x:c>
      <x:c r="I3740" s="87" t="str">
        <x:v>ТР №2</x:v>
      </x:c>
      <x:c r="J3740" s="87" t="str">
        <x:v>ХИ2510201</x:v>
      </x:c>
      <x:c r="K3740" s="87" t="n">
        <x:v>26</x:v>
      </x:c>
      <x:c r="L3740" s="87" t="str">
        <x:v>Растворы и концентрации</x:v>
      </x:c>
      <x:c r="M3740" s="30" t="str">
        <x:v>26   При охлаждении 40 г горячего 80 %-го раствора AgNO3 выпал осадок
     и образовался насыщенный, 60 %-й раствор. Сколько граммов AgNO3 выпало
     в осадок?
     (Запишите число с точностью до целых.)
     Ответ: ___________________________.</x:v>
      </x:c>
      <x:c r="N3740" s="30" t="str">
        <x:v>20</x:v>
      </x:c>
      <x:c r="O3740" s="30" t="str">
        <x:v>Повторный расчёт по данным условия даёт 20; округление выполнено в формате ответа ЕГЭ.</x:v>
      </x:c>
      <x:c r="P3740" s="30" t="str">
        <x:v>Состав исходного и насыщенного растворов пересчитан по балансу растворённого вещества.</x:v>
      </x:c>
      <x:c r="Q3740" s="30"/>
      <x:c r="R3740" s="30" t="str">
        <x:v>Фото-сводка ответов + независимое решение</x:v>
      </x:c>
      <x:c r="S3740" s="30"/>
      <x:c r="T3740" s="30"/>
      <x:c r="U3740" s="30" t="str">
        <x:v>Расхождений не обнаружено.</x:v>
      </x:c>
      <x:c r="V3740" s="87" t="str">
        <x:v>VERIFIED</x:v>
      </x:c>
      <x:c r="W3740" s="87" t="str">
        <x:v>Zadanie_KhI11_06112025.pdf, вариантная стр. 14</x:v>
      </x:c>
      <x:c r="X3740" s="87"/>
      <x:c r="Y3740" s="87"/>
      <x:c r="Z3740" s="87"/>
      <x:c r="AA3740" s="87"/>
      <x:c r="AB3740" s="87"/>
      <x:c r="AC3740" s="87" t="str">
        <x:v>VIS-CHEM-NOV-013</x:v>
      </x:c>
      <x:c r="AD3740" s="87"/>
      <x:c r="AE3740" s="87"/>
      <x:c r="AF3740" s="87" t="str">
        <x:v>VIS-CHEM-NOV-013: 14</x:v>
      </x:c>
      <x:c r="AG3740" s="87" t="str">
        <x:v>RESOLVED</x:v>
      </x:c>
      <x:c r="AH3740" s="87" t="str">
        <x:v>CROP_VERIFIED</x:v>
      </x:c>
      <x:c r="AI3740" s="30"/>
      <x:c r="AJ3740" s="87" t="str">
        <x:v>master</x:v>
      </x:c>
      <x:c r="AK3740" s="87" t="str">
        <x:v>master-v0.81</x:v>
      </x:c>
      <x:c r="AL3740" s="87" t="str">
        <x:v>statgrad_master_base_v0_81_final(2).xlsx</x:v>
      </x:c>
      <x:c r="AM3740" s="87" t="str">
        <x:v>CHEM_Nov_V1</x:v>
      </x:c>
      <x:c r="AN3740" s="87" t="n">
        <x:v>27</x:v>
      </x:c>
    </x:row>
    <x:row r="3741">
      <x:c r="A3741" s="87" t="n">
        <x:v>3740</x:v>
      </x:c>
      <x:c r="B3741" s="87" t="str">
        <x:v>NOV-CHEM-V1-027</x:v>
      </x:c>
      <x:c r="C3741" s="87" t="str">
        <x:v>СтатГрад</x:v>
      </x:c>
      <x:c r="D3741" s="87" t="str">
        <x:v>Ноябрь 2025</x:v>
      </x:c>
      <x:c r="E3741" s="87"/>
      <x:c r="F3741" s="87"/>
      <x:c r="G3741" s="87" t="str">
        <x:v>Химия</x:v>
      </x:c>
      <x:c r="H3741" s="87" t="n">
        <x:v>11</x:v>
      </x:c>
      <x:c r="I3741" s="87" t="str">
        <x:v>ТР №2</x:v>
      </x:c>
      <x:c r="J3741" s="87" t="str">
        <x:v>ХИ2510201</x:v>
      </x:c>
      <x:c r="K3741" s="87" t="n">
        <x:v>27</x:v>
      </x:c>
      <x:c r="L3741" s="87" t="str">
        <x:v>Термохимия</x:v>
      </x:c>
      <x:c r="M3741" s="30" t="str">
        <x:v>27   Дано термохимическое уравнение сгорания железа в кислороде:
                               4Fe + 3O2 = 2Fe2O3 + 1650 кДж.
     В результате реакции выделилось 66 кДж теплоты. Сколько граммов металла
     сгорело? (Запишите число с точностью до целых.)
     Ответ: ___________________________ г.</x:v>
      </x:c>
      <x:c r="N3741" s="30" t="str">
        <x:v>9</x:v>
      </x:c>
      <x:c r="O3741" s="30" t="str">
        <x:v>Повторный расчёт по данным условия даёт 9; округление выполнено в формате ответа ЕГЭ.</x:v>
      </x:c>
      <x:c r="P3741" s="30" t="str">
        <x:v>Количество теплоты связано со стехиометрическим количеством вещества в термохимическом уравнении.</x:v>
      </x:c>
      <x:c r="Q3741" s="30"/>
      <x:c r="R3741" s="30" t="str">
        <x:v>Фото-сводка ответов + независимое решение</x:v>
      </x:c>
      <x:c r="S3741" s="30"/>
      <x:c r="T3741" s="30"/>
      <x:c r="U3741" s="30" t="str">
        <x:v>Расхождений не обнаружено.</x:v>
      </x:c>
      <x:c r="V3741" s="87" t="str">
        <x:v>VERIFIED</x:v>
      </x:c>
      <x:c r="W3741" s="87" t="str">
        <x:v>Zadanie_KhI11_06112025.pdf, вариантная стр. 14</x:v>
      </x:c>
      <x:c r="X3741" s="87"/>
      <x:c r="Y3741" s="87"/>
      <x:c r="Z3741" s="87"/>
      <x:c r="AA3741" s="87"/>
      <x:c r="AB3741" s="87"/>
      <x:c r="AC3741" s="87" t="str">
        <x:v>VIS-CHEM-NOV-013</x:v>
      </x:c>
      <x:c r="AD3741" s="87"/>
      <x:c r="AE3741" s="87"/>
      <x:c r="AF3741" s="87" t="str">
        <x:v>VIS-CHEM-NOV-013: 14</x:v>
      </x:c>
      <x:c r="AG3741" s="87" t="str">
        <x:v>RESOLVED</x:v>
      </x:c>
      <x:c r="AH3741" s="87" t="str">
        <x:v>CROP_VERIFIED</x:v>
      </x:c>
      <x:c r="AI3741" s="30"/>
      <x:c r="AJ3741" s="87" t="str">
        <x:v>master</x:v>
      </x:c>
      <x:c r="AK3741" s="87" t="str">
        <x:v>master-v0.81</x:v>
      </x:c>
      <x:c r="AL3741" s="87" t="str">
        <x:v>statgrad_master_base_v0_81_final(2).xlsx</x:v>
      </x:c>
      <x:c r="AM3741" s="87" t="str">
        <x:v>CHEM_Nov_V1</x:v>
      </x:c>
      <x:c r="AN3741" s="87" t="n">
        <x:v>28</x:v>
      </x:c>
    </x:row>
    <x:row r="3742">
      <x:c r="A3742" s="87" t="n">
        <x:v>3741</x:v>
      </x:c>
      <x:c r="B3742" s="87" t="str">
        <x:v>NOV-CHEM-V1-028</x:v>
      </x:c>
      <x:c r="C3742" s="87" t="str">
        <x:v>СтатГрад</x:v>
      </x:c>
      <x:c r="D3742" s="87" t="str">
        <x:v>Ноябрь 2025</x:v>
      </x:c>
      <x:c r="E3742" s="87"/>
      <x:c r="F3742" s="87"/>
      <x:c r="G3742" s="87" t="str">
        <x:v>Химия</x:v>
      </x:c>
      <x:c r="H3742" s="87" t="n">
        <x:v>11</x:v>
      </x:c>
      <x:c r="I3742" s="87" t="str">
        <x:v>ТР №2</x:v>
      </x:c>
      <x:c r="J3742" s="87" t="str">
        <x:v>ХИ2510201</x:v>
      </x:c>
      <x:c r="K3742" s="87" t="n">
        <x:v>28</x:v>
      </x:c>
      <x:c r="L3742" s="87" t="str">
        <x:v>Выход продукта</x:v>
      </x:c>
      <x:c r="M3742" s="30" t="str">
        <x:v>28   Из 112 кг обогащённой фосфатной руды в результате ряда превращений,
     происходивших со 100 %-м выходом, получили 58,8 кг ортофосфорной
     кислоты. Считая, что руда содержит единственный фосфат – фторапатит
     Ca5(PO4)3F, рассчитайте его массовую долю (в %) в руде.
     (Запишите число с точностью до целых.)
     Ответ: ___________________________ %.</x:v>
      </x:c>
      <x:c r="N3742" s="30" t="str">
        <x:v>90</x:v>
      </x:c>
      <x:c r="O3742" s="30" t="str">
        <x:v>Повторный расчёт по данным условия даёт 90; округление выполнено в формате ответа ЕГЭ.</x:v>
      </x:c>
      <x:c r="P3742" s="30" t="str">
        <x:v>Теоретический выход найден по цепочке реакций и сопоставлен с фактическим.</x:v>
      </x:c>
      <x:c r="Q3742" s="30"/>
      <x:c r="R3742" s="30" t="str">
        <x:v>Фото-сводка ответов + независимое решение</x:v>
      </x:c>
      <x:c r="S3742" s="30"/>
      <x:c r="T3742" s="30"/>
      <x:c r="U3742" s="30" t="str">
        <x:v>Расхождений не обнаружено.</x:v>
      </x:c>
      <x:c r="V3742" s="87" t="str">
        <x:v>VERIFIED</x:v>
      </x:c>
      <x:c r="W3742" s="87" t="str">
        <x:v>Zadanie_KhI11_06112025.pdf, вариантная стр. 14</x:v>
      </x:c>
      <x:c r="X3742" s="87"/>
      <x:c r="Y3742" s="87"/>
      <x:c r="Z3742" s="87"/>
      <x:c r="AA3742" s="87"/>
      <x:c r="AB3742" s="87"/>
      <x:c r="AC3742" s="87" t="str">
        <x:v>VIS-CHEM-NOV-013</x:v>
      </x:c>
      <x:c r="AD3742" s="87"/>
      <x:c r="AE3742" s="87"/>
      <x:c r="AF3742" s="87" t="str">
        <x:v>VIS-CHEM-NOV-013: 14</x:v>
      </x:c>
      <x:c r="AG3742" s="87" t="str">
        <x:v>RESOLVED</x:v>
      </x:c>
      <x:c r="AH3742" s="87" t="str">
        <x:v>CROP_VERIFIED</x:v>
      </x:c>
      <x:c r="AI3742" s="30"/>
      <x:c r="AJ3742" s="87" t="str">
        <x:v>master</x:v>
      </x:c>
      <x:c r="AK3742" s="87" t="str">
        <x:v>master-v0.81</x:v>
      </x:c>
      <x:c r="AL3742" s="87" t="str">
        <x:v>statgrad_master_base_v0_81_final(2).xlsx</x:v>
      </x:c>
      <x:c r="AM3742" s="87" t="str">
        <x:v>CHEM_Nov_V1</x:v>
      </x:c>
      <x:c r="AN3742" s="87" t="n">
        <x:v>29</x:v>
      </x:c>
    </x:row>
    <x:row r="3743">
      <x:c r="A3743" s="87" t="n">
        <x:v>3742</x:v>
      </x:c>
      <x:c r="B3743" s="87" t="str">
        <x:v>NOV-CHEM-V1-029</x:v>
      </x:c>
      <x:c r="C3743" s="87" t="str">
        <x:v>СтатГрад</x:v>
      </x:c>
      <x:c r="D3743" s="87" t="str">
        <x:v>Ноябрь 2025</x:v>
      </x:c>
      <x:c r="E3743" s="87"/>
      <x:c r="F3743" s="87"/>
      <x:c r="G3743" s="87" t="str">
        <x:v>Химия</x:v>
      </x:c>
      <x:c r="H3743" s="87" t="n">
        <x:v>11</x:v>
      </x:c>
      <x:c r="I3743" s="87" t="str">
        <x:v>ТР №2</x:v>
      </x:c>
      <x:c r="J3743" s="87" t="str">
        <x:v>ХИ2510201</x:v>
      </x:c>
      <x:c r="K3743" s="87" t="n">
        <x:v>29</x:v>
      </x:c>
      <x:c r="L3743" s="87" t="str">
        <x:v>Развёрнутый ответ: ОВР</x:v>
      </x:c>
      <x:c r="M3743" s="30" t="str">
        <x:v>Для заданий 29–30 дан перечень: хлорид железа(III), гидроксид натрия, карбонат калия, сульфат цинка, гипохлорит натрия, хлорид меди(II); допустимо использовать воду как среду.
29   Из предложенного перечня выберите вещества, между которыми возможна
     окислительно-восстановительная реакция, протекающая с изменением цвета
     раствора.
     В ответе запишите уравнение только одной из возможных окислительно-
     восстановительных реакций с участием выбранных веществ. Составьте
     электронный баланс, укажите окислитель и восстановитель.</x:v>
      </x:c>
      <x:c r="N3743" s="30" t="str">
        <x:v>2FeCl3 + 3NaClO + 10NaOH → 2Na2FeO4 + 9NaCl + 5H2O.
Электронный баланс: Fe(+3) − 3e− → Fe(+6) (×2); Cl(+1) + 2e− → Cl(−1) (×3).
Окислитель — NaClO (Cl(+1)); восстановитель — FeCl3 (Fe(+3)).</x:v>
      </x:c>
      <x:c r="O3743" s="30" t="str">
        <x:v>Принята полная модель решения из официального критерия после независимой проверки уравнений и расчётов.</x:v>
      </x:c>
      <x:c r="P3743" s="30" t="str">
        <x:v>Уравнение проверено по атомам и заряду; электронный баланс пересчитан отдельно.</x:v>
      </x:c>
      <x:c r="Q3743" s="30"/>
      <x:c r="R3743" s="30" t="str">
        <x:v>Официальный критерий PDF + независимая проверка</x:v>
      </x:c>
      <x:c r="S3743" s="30"/>
      <x:c r="T3743" s="30"/>
      <x:c r="U3743" s="30" t="str">
        <x:v>В официальном критерии окислитель подписан как NaClO (Cl−1), хотя в NaClO хлор имеет степень окисления +1. В принятой модели исправлено на Cl(+1).</x:v>
      </x:c>
      <x:c r="V3743" s="87" t="str">
        <x:v>KEY_MISMATCH</x:v>
      </x:c>
      <x:c r="W3743" s="87" t="str">
        <x:v>Zadanie_KhI11_06112025.pdf, вариантная стр. 15; Kriterii_KhI11_06112025.pdf</x:v>
      </x:c>
      <x:c r="X3743" s="87"/>
      <x:c r="Y3743" s="87"/>
      <x:c r="Z3743" s="87"/>
      <x:c r="AA3743" s="87"/>
      <x:c r="AB3743" s="87"/>
      <x:c r="AC3743" s="87" t="str">
        <x:v>VIS-CHEM-NOV-014</x:v>
      </x:c>
      <x:c r="AD3743" s="87"/>
      <x:c r="AE3743" s="87"/>
      <x:c r="AF3743" s="87" t="str">
        <x:v>VIS-CHEM-NOV-014: 15</x:v>
      </x:c>
      <x:c r="AG3743" s="87" t="str">
        <x:v>RESOLVED</x:v>
      </x:c>
      <x:c r="AH3743" s="87" t="str">
        <x:v>CROP_VERIFIED</x:v>
      </x:c>
      <x:c r="AI3743" s="30"/>
      <x:c r="AJ3743" s="87" t="str">
        <x:v>master</x:v>
      </x:c>
      <x:c r="AK3743" s="87" t="str">
        <x:v>master-v0.81</x:v>
      </x:c>
      <x:c r="AL3743" s="87" t="str">
        <x:v>statgrad_master_base_v0_81_final(2).xlsx</x:v>
      </x:c>
      <x:c r="AM3743" s="87" t="str">
        <x:v>CHEM_Nov_V1</x:v>
      </x:c>
      <x:c r="AN3743" s="87" t="n">
        <x:v>30</x:v>
      </x:c>
    </x:row>
    <x:row r="3744">
      <x:c r="A3744" s="87" t="n">
        <x:v>3743</x:v>
      </x:c>
      <x:c r="B3744" s="87" t="str">
        <x:v>NOV-CHEM-V1-030</x:v>
      </x:c>
      <x:c r="C3744" s="87" t="str">
        <x:v>СтатГрад</x:v>
      </x:c>
      <x:c r="D3744" s="87" t="str">
        <x:v>Ноябрь 2025</x:v>
      </x:c>
      <x:c r="E3744" s="87"/>
      <x:c r="F3744" s="87"/>
      <x:c r="G3744" s="87" t="str">
        <x:v>Химия</x:v>
      </x:c>
      <x:c r="H3744" s="87" t="n">
        <x:v>11</x:v>
      </x:c>
      <x:c r="I3744" s="87" t="str">
        <x:v>ТР №2</x:v>
      </x:c>
      <x:c r="J3744" s="87" t="str">
        <x:v>ХИ2510201</x:v>
      </x:c>
      <x:c r="K3744" s="87" t="n">
        <x:v>30</x:v>
      </x:c>
      <x:c r="L3744" s="87" t="str">
        <x:v>Развёрнутый ответ: ионный обмен</x:v>
      </x:c>
      <x:c r="M3744" s="30" t="str">
        <x:v>Для заданий 29–30 дан перечень: хлорид железа(III), гидроксид натрия, карбонат калия, сульфат цинка, гипохлорит натрия, хлорид меди(II); допустимо использовать воду как среду.
30   Из предложенного перечня выберите два вещества, между которыми
     возможна реакция ионного обмена, не приводящая к образованию осадка или
     выделению газа. Запишите молекулярное, полное и сокращённое ионное
     уравнения реакции с участием выбранных веществ.</x:v>
      </x:c>
      <x:c r="N3744" s="30" t="str">
        <x:v>ZnSO4 + 4NaOH → Na2[Zn(OH)4] + Na2SO4.
Полное ионное: Zn2+ + SO4^2− + 4Na+ + 4OH− → 2Na+ + [Zn(OH)4]^2− + 2Na+ + SO4^2−.
Сокращённое ионное: Zn2+ + 4OH− → [Zn(OH)4]^2−.</x:v>
      </x:c>
      <x:c r="O3744" s="30" t="str">
        <x:v>Принята полная модель решения из официального критерия после независимой проверки уравнений и расчётов.</x:v>
      </x:c>
      <x:c r="P3744" s="30" t="str">
        <x:v>Молекулярное, полное и сокращённое ионные уравнения проверены по атомам и заряду.</x:v>
      </x:c>
      <x:c r="Q3744" s="30"/>
      <x:c r="R3744" s="30" t="str">
        <x:v>Официальный критерий PDF + независимая проверка</x:v>
      </x:c>
      <x:c r="S3744" s="30"/>
      <x:c r="T3744" s="30"/>
      <x:c r="U3744" s="30" t="str">
        <x:v>Расхождений не обнаружено.</x:v>
      </x:c>
      <x:c r="V3744" s="87" t="str">
        <x:v>VERIFIED</x:v>
      </x:c>
      <x:c r="W3744" s="87" t="str">
        <x:v>Zadanie_KhI11_06112025.pdf, вариантная стр. 15; Kriterii_KhI11_06112025.pdf</x:v>
      </x:c>
      <x:c r="X3744" s="87"/>
      <x:c r="Y3744" s="87"/>
      <x:c r="Z3744" s="87"/>
      <x:c r="AA3744" s="87"/>
      <x:c r="AB3744" s="87"/>
      <x:c r="AC3744" s="87" t="str">
        <x:v>VIS-CHEM-NOV-014</x:v>
      </x:c>
      <x:c r="AD3744" s="87"/>
      <x:c r="AE3744" s="87"/>
      <x:c r="AF3744" s="87" t="str">
        <x:v>VIS-CHEM-NOV-014: 15</x:v>
      </x:c>
      <x:c r="AG3744" s="87" t="str">
        <x:v>RESOLVED</x:v>
      </x:c>
      <x:c r="AH3744" s="87" t="str">
        <x:v>CROP_VERIFIED</x:v>
      </x:c>
      <x:c r="AI3744" s="30"/>
      <x:c r="AJ3744" s="87" t="str">
        <x:v>master</x:v>
      </x:c>
      <x:c r="AK3744" s="87" t="str">
        <x:v>master-v0.81</x:v>
      </x:c>
      <x:c r="AL3744" s="87" t="str">
        <x:v>statgrad_master_base_v0_81_final(2).xlsx</x:v>
      </x:c>
      <x:c r="AM3744" s="87" t="str">
        <x:v>CHEM_Nov_V1</x:v>
      </x:c>
      <x:c r="AN3744" s="87" t="n">
        <x:v>31</x:v>
      </x:c>
    </x:row>
    <x:row r="3745">
      <x:c r="A3745" s="87" t="n">
        <x:v>3744</x:v>
      </x:c>
      <x:c r="B3745" s="87" t="str">
        <x:v>NOV-CHEM-V1-031</x:v>
      </x:c>
      <x:c r="C3745" s="87" t="str">
        <x:v>СтатГрад</x:v>
      </x:c>
      <x:c r="D3745" s="87" t="str">
        <x:v>Ноябрь 2025</x:v>
      </x:c>
      <x:c r="E3745" s="87"/>
      <x:c r="F3745" s="87"/>
      <x:c r="G3745" s="87" t="str">
        <x:v>Химия</x:v>
      </x:c>
      <x:c r="H3745" s="87" t="n">
        <x:v>11</x:v>
      </x:c>
      <x:c r="I3745" s="87" t="str">
        <x:v>ТР №2</x:v>
      </x:c>
      <x:c r="J3745" s="87" t="str">
        <x:v>ХИ2510201</x:v>
      </x:c>
      <x:c r="K3745" s="87" t="n">
        <x:v>31</x:v>
      </x:c>
      <x:c r="L3745" s="87" t="str">
        <x:v>Развёрнутый ответ: неорганическая цепочка</x:v>
      </x:c>
      <x:c r="M3745" s="30" t="str">
        <x:v>31   Сульфид меди(II) растворили при нагревании в концентрированной серной
     кислоте, выделившийся газ пропустили через иодную воду, в результате чего
     раствор обесцветился. Раствор, оставшийся после реакции с серной кислотой,
     разбавили водой и добавили к нему бесцветный раствор, полученный
     из иодной воды. Образовался тёмный раствор, из которого выпал осадок.
     Последний отфильтровали и растворили в аммиачной воде.
     Напишите молекулярные уравнения четырёх описанных реакций.</x:v>
      </x:c>
      <x:c r="N3745" s="30" t="str">
        <x:v>1) CuS + 4H2SO4(конц.) → CuSO4 + 4SO2↑ + 4H2O.
2) SO2 + I2 + 2H2O → 2HI + H2SO4.
3) 2CuSO4 + 4HI → 2CuI↓ + I2 + 2H2SO4.
4) CuI + 2NH3 → [Cu(NH3)2]I.</x:v>
      </x:c>
      <x:c r="O3745" s="30" t="str">
        <x:v>Принята полная модель решения из официального критерия после независимой проверки уравнений и расчётов.</x:v>
      </x:c>
      <x:c r="P3745" s="30" t="str">
        <x:v>Все четыре уравнения последовательности проверены по веществам, атомам и условиям.</x:v>
      </x:c>
      <x:c r="Q3745" s="30"/>
      <x:c r="R3745" s="30" t="str">
        <x:v>Официальный критерий PDF + независимая проверка</x:v>
      </x:c>
      <x:c r="S3745" s="30"/>
      <x:c r="T3745" s="30"/>
      <x:c r="U3745" s="30" t="str">
        <x:v>Расхождений не обнаружено.</x:v>
      </x:c>
      <x:c r="V3745" s="87" t="str">
        <x:v>VERIFIED</x:v>
      </x:c>
      <x:c r="W3745" s="87" t="str">
        <x:v>Zadanie_KhI11_06112025.pdf, вариантная стр. 15; Kriterii_KhI11_06112025.pdf</x:v>
      </x:c>
      <x:c r="X3745" s="87"/>
      <x:c r="Y3745" s="87"/>
      <x:c r="Z3745" s="87"/>
      <x:c r="AA3745" s="87"/>
      <x:c r="AB3745" s="87"/>
      <x:c r="AC3745" s="87" t="str">
        <x:v>VIS-CHEM-NOV-014</x:v>
      </x:c>
      <x:c r="AD3745" s="87"/>
      <x:c r="AE3745" s="87"/>
      <x:c r="AF3745" s="87" t="str">
        <x:v>VIS-CHEM-NOV-014: 15</x:v>
      </x:c>
      <x:c r="AG3745" s="87" t="str">
        <x:v>RESOLVED</x:v>
      </x:c>
      <x:c r="AH3745" s="87" t="str">
        <x:v>CROP_VERIFIED</x:v>
      </x:c>
      <x:c r="AI3745" s="30"/>
      <x:c r="AJ3745" s="87" t="str">
        <x:v>master</x:v>
      </x:c>
      <x:c r="AK3745" s="87" t="str">
        <x:v>master-v0.81</x:v>
      </x:c>
      <x:c r="AL3745" s="87" t="str">
        <x:v>statgrad_master_base_v0_81_final(2).xlsx</x:v>
      </x:c>
      <x:c r="AM3745" s="87" t="str">
        <x:v>CHEM_Nov_V1</x:v>
      </x:c>
      <x:c r="AN3745" s="87" t="n">
        <x:v>32</x:v>
      </x:c>
    </x:row>
    <x:row r="3746">
      <x:c r="A3746" s="87" t="n">
        <x:v>3745</x:v>
      </x:c>
      <x:c r="B3746" s="87" t="str">
        <x:v>NOV-CHEM-V1-032</x:v>
      </x:c>
      <x:c r="C3746" s="87" t="str">
        <x:v>СтатГрад</x:v>
      </x:c>
      <x:c r="D3746" s="87" t="str">
        <x:v>Ноябрь 2025</x:v>
      </x:c>
      <x:c r="E3746" s="87"/>
      <x:c r="F3746" s="87"/>
      <x:c r="G3746" s="87" t="str">
        <x:v>Химия</x:v>
      </x:c>
      <x:c r="H3746" s="87" t="n">
        <x:v>11</x:v>
      </x:c>
      <x:c r="I3746" s="87" t="str">
        <x:v>ТР №2</x:v>
      </x:c>
      <x:c r="J3746" s="87" t="str">
        <x:v>ХИ2510201</x:v>
      </x:c>
      <x:c r="K3746" s="87" t="n">
        <x:v>32</x:v>
      </x:c>
      <x:c r="L3746" s="87" t="str">
        <x:v>Развёрнутый ответ: органическая цепочка</x:v>
      </x:c>
      <x:c r="M3746" s="30" t="str">
        <x:v>32   Напишите уравнения реакций, с помощью которых можно осуществить
     следующие превращения:
            PCl            фенол                            KOH(изб.)
       X1 →
            5
               X2 → фенилпропионат 
                                            → X3 → C6H5OCH3
                                            бромная вода (изб.)
                            C6H5OCH3 → X4.
     При написании уравнений реакций указывайте преимущественно
     образующиеся продукты, используйте структурные формулы органических
     веществ.</x:v>
      </x:c>
      <x:c r="N3746" s="30" t="str">
        <x:v>1) CH3CH2COOH + PCl5 → CH3CH2COCl + POCl3 + HCl.
2) CH3CH2COCl + C6H5OH → CH3CH2COOC6H5 + HCl.
3) CH3CH2COOC6H5 + 2KOH → CH3CH2COOK + C6H5OK + H2O.
4) C6H5OK + CH3Br → C6H5OCH3 + KBr.
5) C6H5OCH3 + 3Br2(водн.) → 2,4,6-C6H2Br3OCH3↓ + 3HBr.</x:v>
      </x:c>
      <x:c r="O3746" s="30" t="str">
        <x:v>Принята полная модель решения из официального критерия после независимой проверки уравнений и расчётов.</x:v>
      </x:c>
      <x:c r="P3746" s="30" t="str">
        <x:v>Пять стадий цепочки проверены по функциональным группам и преимущественным продуктам.</x:v>
      </x:c>
      <x:c r="Q3746" s="30"/>
      <x:c r="R3746" s="30" t="str">
        <x:v>Официальный критерий PDF + независимая проверка</x:v>
      </x:c>
      <x:c r="S3746" s="30"/>
      <x:c r="T3746" s="30"/>
      <x:c r="U3746" s="30" t="str">
        <x:v>Расхождений не обнаружено.</x:v>
      </x:c>
      <x:c r="V3746" s="87" t="str">
        <x:v>VERIFIED</x:v>
      </x:c>
      <x:c r="W3746" s="87" t="str">
        <x:v>Zadanie_KhI11_06112025.pdf, вариантная стр. 15; Kriterii_KhI11_06112025.pdf</x:v>
      </x:c>
      <x:c r="X3746" s="87"/>
      <x:c r="Y3746" s="87"/>
      <x:c r="Z3746" s="87"/>
      <x:c r="AA3746" s="87"/>
      <x:c r="AB3746" s="87"/>
      <x:c r="AC3746" s="87" t="str">
        <x:v>VIS-CHEM-NOV-014</x:v>
      </x:c>
      <x:c r="AD3746" s="87"/>
      <x:c r="AE3746" s="87"/>
      <x:c r="AF3746" s="87" t="str">
        <x:v>VIS-CHEM-NOV-014: 15</x:v>
      </x:c>
      <x:c r="AG3746" s="87" t="str">
        <x:v>RESOLVED</x:v>
      </x:c>
      <x:c r="AH3746" s="87" t="str">
        <x:v>CROP_VERIFIED</x:v>
      </x:c>
      <x:c r="AI3746" s="30"/>
      <x:c r="AJ3746" s="87" t="str">
        <x:v>master</x:v>
      </x:c>
      <x:c r="AK3746" s="87" t="str">
        <x:v>master-v0.81</x:v>
      </x:c>
      <x:c r="AL3746" s="87" t="str">
        <x:v>statgrad_master_base_v0_81_final(2).xlsx</x:v>
      </x:c>
      <x:c r="AM3746" s="87" t="str">
        <x:v>CHEM_Nov_V1</x:v>
      </x:c>
      <x:c r="AN3746" s="87" t="n">
        <x:v>33</x:v>
      </x:c>
    </x:row>
    <x:row r="3747">
      <x:c r="A3747" s="87" t="n">
        <x:v>3746</x:v>
      </x:c>
      <x:c r="B3747" s="87" t="str">
        <x:v>NOV-CHEM-V1-033</x:v>
      </x:c>
      <x:c r="C3747" s="87" t="str">
        <x:v>СтатГрад</x:v>
      </x:c>
      <x:c r="D3747" s="87" t="str">
        <x:v>Ноябрь 2025</x:v>
      </x:c>
      <x:c r="E3747" s="87"/>
      <x:c r="F3747" s="87"/>
      <x:c r="G3747" s="87" t="str">
        <x:v>Химия</x:v>
      </x:c>
      <x:c r="H3747" s="87" t="n">
        <x:v>11</x:v>
      </x:c>
      <x:c r="I3747" s="87" t="str">
        <x:v>ТР №2</x:v>
      </x:c>
      <x:c r="J3747" s="87" t="str">
        <x:v>ХИ2510201</x:v>
      </x:c>
      <x:c r="K3747" s="87" t="n">
        <x:v>33</x:v>
      </x:c>
      <x:c r="L3747" s="87" t="str">
        <x:v>Развёрнутый ответ: установление формулы</x:v>
      </x:c>
      <x:c r="M3747" s="30" t="str">
        <x:v>33   Органическое вещество А, широко используемое в производстве пластмасс,
     состоит из трёх элементов. Оно содержит 5,7 % водорода и 26,4 % азота
     по массе. Вещество А образуется при окислении пропена кислородом
     воздуха в присутствии аммиака. Оно легко вступает в реакции
     полимеризации и сополимеризации.
     На основании данных условия задачи:
     1) установите молекулярную формулу вещества A;
     2) составьте возможную структурную формулу вещества A, которая
     однозначно отражает порядок связи атомов в его молекуле;
     3) напишите уравнение описанной реакции получения A (используйте
     структурные формулы органических веществ).</x:v>
      </x:c>
      <x:c r="N3747" s="30" t="str">
        <x:v>Массовые соотношения дают C:H:N = 3:3:1, поэтому молекулярная формула A — C3H3N. Вещество A — акрилонитрил CH2=CH–CN.
Получение: 2CH2=CH–CH3 + 2NH3 + 3O2 → 2CH2=CH–CN + 6H2O.</x:v>
      </x:c>
      <x:c r="O3747" s="30" t="str">
        <x:v>Принята полная модель решения из официального критерия после независимой проверки уравнений и расчётов.</x:v>
      </x:c>
      <x:c r="P3747" s="30" t="str">
        <x:v>Элементный состав пересчитан, формула и строение сопоставлены с описанными свойствами.</x:v>
      </x:c>
      <x:c r="Q3747" s="30"/>
      <x:c r="R3747" s="30" t="str">
        <x:v>Официальный критерий PDF + независимая проверка</x:v>
      </x:c>
      <x:c r="S3747" s="30"/>
      <x:c r="T3747" s="30"/>
      <x:c r="U3747" s="30" t="str">
        <x:v>Расхождений не обнаружено.</x:v>
      </x:c>
      <x:c r="V3747" s="87" t="str">
        <x:v>VERIFIED</x:v>
      </x:c>
      <x:c r="W3747" s="87" t="str">
        <x:v>Zadanie_KhI11_06112025.pdf, вариантная стр. 16; Kriterii_KhI11_06112025.pdf</x:v>
      </x:c>
      <x:c r="X3747" s="87"/>
      <x:c r="Y3747" s="87"/>
      <x:c r="Z3747" s="87"/>
      <x:c r="AA3747" s="87"/>
      <x:c r="AB3747" s="87"/>
      <x:c r="AC3747" s="87" t="str">
        <x:v>VIS-CHEM-NOV-015</x:v>
      </x:c>
      <x:c r="AD3747" s="87"/>
      <x:c r="AE3747" s="87"/>
      <x:c r="AF3747" s="87" t="str">
        <x:v>VIS-CHEM-NOV-015: 16</x:v>
      </x:c>
      <x:c r="AG3747" s="87" t="str">
        <x:v>RESOLVED</x:v>
      </x:c>
      <x:c r="AH3747" s="87" t="str">
        <x:v>CROP_VERIFIED</x:v>
      </x:c>
      <x:c r="AI3747" s="30"/>
      <x:c r="AJ3747" s="87" t="str">
        <x:v>master</x:v>
      </x:c>
      <x:c r="AK3747" s="87" t="str">
        <x:v>master-v0.81</x:v>
      </x:c>
      <x:c r="AL3747" s="87" t="str">
        <x:v>statgrad_master_base_v0_81_final(2).xlsx</x:v>
      </x:c>
      <x:c r="AM3747" s="87" t="str">
        <x:v>CHEM_Nov_V1</x:v>
      </x:c>
      <x:c r="AN3747" s="87" t="n">
        <x:v>34</x:v>
      </x:c>
    </x:row>
    <x:row r="3748">
      <x:c r="A3748" s="87" t="n">
        <x:v>3747</x:v>
      </x:c>
      <x:c r="B3748" s="87" t="str">
        <x:v>NOV-CHEM-V1-034</x:v>
      </x:c>
      <x:c r="C3748" s="87" t="str">
        <x:v>СтатГрад</x:v>
      </x:c>
      <x:c r="D3748" s="87" t="str">
        <x:v>Ноябрь 2025</x:v>
      </x:c>
      <x:c r="E3748" s="87"/>
      <x:c r="F3748" s="87"/>
      <x:c r="G3748" s="87" t="str">
        <x:v>Химия</x:v>
      </x:c>
      <x:c r="H3748" s="87" t="n">
        <x:v>11</x:v>
      </x:c>
      <x:c r="I3748" s="87" t="str">
        <x:v>ТР №2</x:v>
      </x:c>
      <x:c r="J3748" s="87" t="str">
        <x:v>ХИ2510201</x:v>
      </x:c>
      <x:c r="K3748" s="87" t="n">
        <x:v>34</x:v>
      </x:c>
      <x:c r="L3748" s="87" t="str">
        <x:v>Развёрнутый ответ: расчётная задача</x:v>
      </x:c>
      <x:c r="M3748" s="30" t="str">
        <x:v>34   Навеска фосфора массой 18,6 г прореагировала с 24,64 л (н. у.) хлора.
     Полученное твёрдое вещество растворили в 300 г воды. Определите
     массовые доли фосфорсодержащих веществ в полученном растворе, если
     известно, что газ при растворении не выделялся.
     В ответе запишите уравнения реакций, которые указаны в условии задачи,
     и приведите все необходимые вычисления (указывайте единицы измерения
     и обозначения искомых физических величин).</x:v>
      </x:c>
      <x:c r="N3748" s="30" t="str">
        <x:v>n(P)=18,6/31=0,6 моль; n(Cl2)=24,64/22,4=1,1 моль.
2P+3Cl2→2PCl3; 2P+5Cl2→2PCl5. Из баланса: n(PCl3)=0,4 моль, n(PCl5)=0,2 моль.
PCl3+3H2O→H3PO3+3HCl; PCl5+4H2O→H3PO4+5HCl.
m(раствора)=300+0,4·137,5+0,2·208,5=396,7 г.
ω(H3PO3)=8,27%; ω(H3PO4)=4,94%.</x:v>
      </x:c>
      <x:c r="O3748" s="30" t="str">
        <x:v>Принята полная модель решения из официального критерия после независимой проверки уравнений и расчётов.</x:v>
      </x:c>
      <x:c r="P3748" s="30" t="str">
        <x:v>Все количества веществ, уравнения и массовые доли пересчитаны независимо.</x:v>
      </x:c>
      <x:c r="Q3748" s="30"/>
      <x:c r="R3748" s="30" t="str">
        <x:v>Официальный критерий PDF + независимая проверка</x:v>
      </x:c>
      <x:c r="S3748" s="30"/>
      <x:c r="T3748" s="30"/>
      <x:c r="U3748" s="30" t="str">
        <x:v>Расхождений не обнаружено.</x:v>
      </x:c>
      <x:c r="V3748" s="87" t="str">
        <x:v>VERIFIED</x:v>
      </x:c>
      <x:c r="W3748" s="87" t="str">
        <x:v>Zadanie_KhI11_06112025.pdf, вариантная стр. 16; Kriterii_KhI11_06112025.pdf</x:v>
      </x:c>
      <x:c r="X3748" s="87"/>
      <x:c r="Y3748" s="87"/>
      <x:c r="Z3748" s="87"/>
      <x:c r="AA3748" s="87"/>
      <x:c r="AB3748" s="87"/>
      <x:c r="AC3748" s="87" t="str">
        <x:v>VIS-CHEM-NOV-015</x:v>
      </x:c>
      <x:c r="AD3748" s="87"/>
      <x:c r="AE3748" s="87"/>
      <x:c r="AF3748" s="87" t="str">
        <x:v>VIS-CHEM-NOV-015: 16</x:v>
      </x:c>
      <x:c r="AG3748" s="87" t="str">
        <x:v>RESOLVED</x:v>
      </x:c>
      <x:c r="AH3748" s="87" t="str">
        <x:v>CROP_VERIFIED</x:v>
      </x:c>
      <x:c r="AI3748" s="30"/>
      <x:c r="AJ3748" s="87" t="str">
        <x:v>master</x:v>
      </x:c>
      <x:c r="AK3748" s="87" t="str">
        <x:v>master-v0.81</x:v>
      </x:c>
      <x:c r="AL3748" s="87" t="str">
        <x:v>statgrad_master_base_v0_81_final(2).xlsx</x:v>
      </x:c>
      <x:c r="AM3748" s="87" t="str">
        <x:v>CHEM_Nov_V1</x:v>
      </x:c>
      <x:c r="AN3748" s="87" t="n">
        <x:v>35</x:v>
      </x:c>
    </x:row>
    <x:row r="3749">
      <x:c r="A3749" s="87" t="n">
        <x:v>3748</x:v>
      </x:c>
      <x:c r="B3749" s="87" t="str">
        <x:v>NOV-CHEM-V2-001</x:v>
      </x:c>
      <x:c r="C3749" s="87" t="str">
        <x:v>СтатГрад</x:v>
      </x:c>
      <x:c r="D3749" s="87" t="str">
        <x:v>Ноябрь 2025</x:v>
      </x:c>
      <x:c r="E3749" s="87"/>
      <x:c r="F3749" s="87"/>
      <x:c r="G3749" s="87" t="str">
        <x:v>Химия</x:v>
      </x:c>
      <x:c r="H3749" s="87" t="n">
        <x:v>11</x:v>
      </x:c>
      <x:c r="I3749" s="87" t="str">
        <x:v>ТР №2</x:v>
      </x:c>
      <x:c r="J3749" s="87" t="str">
        <x:v>ХИ2510202</x:v>
      </x:c>
      <x:c r="K3749" s="87" t="n">
        <x:v>1</x:v>
      </x:c>
      <x:c r="L3749" s="87" t="str">
        <x:v>Электронная конфигурация</x:v>
      </x:c>
      <x:c r="M3749" s="30" t="str">
        <x:v>Для выполнения заданий 1–3 дан ряд элементов: 1) Al; 2) Cl; 3) Ne; 4) O; 5) Mg.
1   Определите два элемента, которые образуют устойчивый анион с электронной
    конфигурацией благородного газа.
    Запишите номера выбранных элементов.
    Ответ:</x:v>
      </x:c>
      <x:c r="N3749" s="30" t="str">
        <x:v>24</x:v>
      </x:c>
      <x:c r="O3749" s="30" t="str">
        <x:v>Выбраны позиции 24; выбор подтверждён разбором каждого предложенного вещества или элемента.</x:v>
      </x:c>
      <x:c r="P3749" s="30" t="str">
        <x:v>Проверены электронные конфигурации и образование устойчивых ионов.</x:v>
      </x:c>
      <x:c r="Q3749" s="30"/>
      <x:c r="R3749" s="30" t="str">
        <x:v>Фото-сводка ответов + независимое решение</x:v>
      </x:c>
      <x:c r="S3749" s="30"/>
      <x:c r="T3749" s="30"/>
      <x:c r="U3749" s="30" t="str">
        <x:v>Расхождений не обнаружено.</x:v>
      </x:c>
      <x:c r="V3749" s="87" t="str">
        <x:v>VERIFIED</x:v>
      </x:c>
      <x:c r="W3749" s="87" t="str">
        <x:v>Zadanie_KhI11_06112025.pdf, вариантная стр. 2</x:v>
      </x:c>
      <x:c r="X3749" s="87"/>
      <x:c r="Y3749" s="87"/>
      <x:c r="Z3749" s="87"/>
      <x:c r="AA3749" s="87"/>
      <x:c r="AB3749" s="87"/>
      <x:c r="AC3749" s="87" t="str">
        <x:v>VIS-CHEM-NOV-016</x:v>
      </x:c>
      <x:c r="AD3749" s="87"/>
      <x:c r="AE3749" s="87"/>
      <x:c r="AF3749" s="87" t="str">
        <x:v>VIS-CHEM-NOV-016: 18</x:v>
      </x:c>
      <x:c r="AG3749" s="87" t="str">
        <x:v>RESOLVED</x:v>
      </x:c>
      <x:c r="AH3749" s="87" t="str">
        <x:v>CROP_VERIFIED</x:v>
      </x:c>
      <x:c r="AI3749" s="30"/>
      <x:c r="AJ3749" s="87" t="str">
        <x:v>master</x:v>
      </x:c>
      <x:c r="AK3749" s="87" t="str">
        <x:v>master-v0.81</x:v>
      </x:c>
      <x:c r="AL3749" s="87" t="str">
        <x:v>statgrad_master_base_v0_81_final(2).xlsx</x:v>
      </x:c>
      <x:c r="AM3749" s="87" t="str">
        <x:v>CHEM_Nov_V2</x:v>
      </x:c>
      <x:c r="AN3749" s="87" t="n">
        <x:v>2</x:v>
      </x:c>
    </x:row>
    <x:row r="3750">
      <x:c r="A3750" s="87" t="n">
        <x:v>3749</x:v>
      </x:c>
      <x:c r="B3750" s="87" t="str">
        <x:v>NOV-CHEM-V2-002</x:v>
      </x:c>
      <x:c r="C3750" s="87" t="str">
        <x:v>СтатГрад</x:v>
      </x:c>
      <x:c r="D3750" s="87" t="str">
        <x:v>Ноябрь 2025</x:v>
      </x:c>
      <x:c r="E3750" s="87"/>
      <x:c r="F3750" s="87"/>
      <x:c r="G3750" s="87" t="str">
        <x:v>Химия</x:v>
      </x:c>
      <x:c r="H3750" s="87" t="n">
        <x:v>11</x:v>
      </x:c>
      <x:c r="I3750" s="87" t="str">
        <x:v>ТР №2</x:v>
      </x:c>
      <x:c r="J3750" s="87" t="str">
        <x:v>ХИ2510202</x:v>
      </x:c>
      <x:c r="K3750" s="87" t="n">
        <x:v>2</x:v>
      </x:c>
      <x:c r="L3750" s="87" t="str">
        <x:v>Периодический закон</x:v>
      </x:c>
      <x:c r="M3750" s="30" t="str">
        <x:v>Для выполнения заданий 1–3 дан ряд элементов: 1) Al; 2) Cl; 3) Ne; 4) O; 5) Mg.
2   Из указанных в ряду химических элементов выберите три элемента, которые
    в Периодической системе находятся в одном периоде. Расположите
    выбранные элементы в порядке уменьшения электроотрицательности.
    Запишите в поле ответа номера выбранных элементов в нужной
    последовательности.
    Ответ:</x:v>
      </x:c>
      <x:c r="N3750" s="30" t="str">
        <x:v>215</x:v>
      </x:c>
      <x:c r="O3750" s="30" t="str">
        <x:v>Последовательность 215 задаёт соответствия позициям задания; каждое соответствие проверено отдельно.</x:v>
      </x:c>
      <x:c r="P3750" s="30" t="str">
        <x:v>Сопоставлены положения элементов в Периодической системе и требуемая тенденция свойства.</x:v>
      </x:c>
      <x:c r="Q3750" s="30"/>
      <x:c r="R3750" s="30" t="str">
        <x:v>Фото-сводка ответов + независимое решение</x:v>
      </x:c>
      <x:c r="S3750" s="30"/>
      <x:c r="T3750" s="30"/>
      <x:c r="U3750" s="30" t="str">
        <x:v>Расхождений не обнаружено.</x:v>
      </x:c>
      <x:c r="V3750" s="87" t="str">
        <x:v>VERIFIED</x:v>
      </x:c>
      <x:c r="W3750" s="87" t="str">
        <x:v>Zadanie_KhI11_06112025.pdf, вариантная стр. 2</x:v>
      </x:c>
      <x:c r="X3750" s="87"/>
      <x:c r="Y3750" s="87"/>
      <x:c r="Z3750" s="87"/>
      <x:c r="AA3750" s="87"/>
      <x:c r="AB3750" s="87"/>
      <x:c r="AC3750" s="87" t="str">
        <x:v>VIS-CHEM-NOV-016</x:v>
      </x:c>
      <x:c r="AD3750" s="87"/>
      <x:c r="AE3750" s="87"/>
      <x:c r="AF3750" s="87" t="str">
        <x:v>VIS-CHEM-NOV-016: 18</x:v>
      </x:c>
      <x:c r="AG3750" s="87" t="str">
        <x:v>RESOLVED</x:v>
      </x:c>
      <x:c r="AH3750" s="87" t="str">
        <x:v>CROP_VERIFIED</x:v>
      </x:c>
      <x:c r="AI3750" s="30"/>
      <x:c r="AJ3750" s="87" t="str">
        <x:v>master</x:v>
      </x:c>
      <x:c r="AK3750" s="87" t="str">
        <x:v>master-v0.81</x:v>
      </x:c>
      <x:c r="AL3750" s="87" t="str">
        <x:v>statgrad_master_base_v0_81_final(2).xlsx</x:v>
      </x:c>
      <x:c r="AM3750" s="87" t="str">
        <x:v>CHEM_Nov_V2</x:v>
      </x:c>
      <x:c r="AN3750" s="87" t="n">
        <x:v>3</x:v>
      </x:c>
    </x:row>
    <x:row r="3751">
      <x:c r="A3751" s="87" t="n">
        <x:v>3750</x:v>
      </x:c>
      <x:c r="B3751" s="87" t="str">
        <x:v>NOV-CHEM-V2-003</x:v>
      </x:c>
      <x:c r="C3751" s="87" t="str">
        <x:v>СтатГрад</x:v>
      </x:c>
      <x:c r="D3751" s="87" t="str">
        <x:v>Ноябрь 2025</x:v>
      </x:c>
      <x:c r="E3751" s="87"/>
      <x:c r="F3751" s="87"/>
      <x:c r="G3751" s="87" t="str">
        <x:v>Химия</x:v>
      </x:c>
      <x:c r="H3751" s="87" t="n">
        <x:v>11</x:v>
      </x:c>
      <x:c r="I3751" s="87" t="str">
        <x:v>ТР №2</x:v>
      </x:c>
      <x:c r="J3751" s="87" t="str">
        <x:v>ХИ2510202</x:v>
      </x:c>
      <x:c r="K3751" s="87" t="n">
        <x:v>3</x:v>
      </x:c>
      <x:c r="L3751" s="87" t="str">
        <x:v>Степени окисления</x:v>
      </x:c>
      <x:c r="M3751" s="30" t="str">
        <x:v>Для выполнения заданий 1–3 дан ряд элементов: 1) Al; 2) Cl; 3) Ne; 4) O; 5) Mg.
3   Из числа указанных в ряду элементов выберите два элемента, которые
    в соединениях проявляют степень окисления +3.
    Запишите в поле ответа номера выбранных элементов.
    Ответ:</x:v>
      </x:c>
      <x:c r="N3751" s="30" t="str">
        <x:v>12</x:v>
      </x:c>
      <x:c r="O3751" s="30" t="str">
        <x:v>Выбраны позиции 12; выбор подтверждён разбором каждого предложенного вещества или элемента.</x:v>
      </x:c>
      <x:c r="P3751" s="30" t="str">
        <x:v>Проверены характерные степени окисления выбранных элементов.</x:v>
      </x:c>
      <x:c r="Q3751" s="30"/>
      <x:c r="R3751" s="30" t="str">
        <x:v>Фото-сводка ответов + независимое решение</x:v>
      </x:c>
      <x:c r="S3751" s="30"/>
      <x:c r="T3751" s="30"/>
      <x:c r="U3751" s="30" t="str">
        <x:v>Расхождений не обнаружено.</x:v>
      </x:c>
      <x:c r="V3751" s="87" t="str">
        <x:v>VERIFIED</x:v>
      </x:c>
      <x:c r="W3751" s="87" t="str">
        <x:v>Zadanie_KhI11_06112025.pdf, вариантная стр. 2</x:v>
      </x:c>
      <x:c r="X3751" s="87"/>
      <x:c r="Y3751" s="87"/>
      <x:c r="Z3751" s="87"/>
      <x:c r="AA3751" s="87"/>
      <x:c r="AB3751" s="87"/>
      <x:c r="AC3751" s="87" t="str">
        <x:v>VIS-CHEM-NOV-016</x:v>
      </x:c>
      <x:c r="AD3751" s="87"/>
      <x:c r="AE3751" s="87"/>
      <x:c r="AF3751" s="87" t="str">
        <x:v>VIS-CHEM-NOV-016: 18</x:v>
      </x:c>
      <x:c r="AG3751" s="87" t="str">
        <x:v>RESOLVED</x:v>
      </x:c>
      <x:c r="AH3751" s="87" t="str">
        <x:v>CROP_VERIFIED</x:v>
      </x:c>
      <x:c r="AI3751" s="30"/>
      <x:c r="AJ3751" s="87" t="str">
        <x:v>master</x:v>
      </x:c>
      <x:c r="AK3751" s="87" t="str">
        <x:v>master-v0.81</x:v>
      </x:c>
      <x:c r="AL3751" s="87" t="str">
        <x:v>statgrad_master_base_v0_81_final(2).xlsx</x:v>
      </x:c>
      <x:c r="AM3751" s="87" t="str">
        <x:v>CHEM_Nov_V2</x:v>
      </x:c>
      <x:c r="AN3751" s="87" t="n">
        <x:v>4</x:v>
      </x:c>
    </x:row>
    <x:row r="3752">
      <x:c r="A3752" s="87" t="n">
        <x:v>3751</x:v>
      </x:c>
      <x:c r="B3752" s="87" t="str">
        <x:v>NOV-CHEM-V2-004</x:v>
      </x:c>
      <x:c r="C3752" s="87" t="str">
        <x:v>СтатГрад</x:v>
      </x:c>
      <x:c r="D3752" s="87" t="str">
        <x:v>Ноябрь 2025</x:v>
      </x:c>
      <x:c r="E3752" s="87"/>
      <x:c r="F3752" s="87"/>
      <x:c r="G3752" s="87" t="str">
        <x:v>Химия</x:v>
      </x:c>
      <x:c r="H3752" s="87" t="n">
        <x:v>11</x:v>
      </x:c>
      <x:c r="I3752" s="87" t="str">
        <x:v>ТР №2</x:v>
      </x:c>
      <x:c r="J3752" s="87" t="str">
        <x:v>ХИ2510202</x:v>
      </x:c>
      <x:c r="K3752" s="87" t="n">
        <x:v>4</x:v>
      </x:c>
      <x:c r="L3752" s="87" t="str">
        <x:v>Полярность молекул</x:v>
      </x:c>
      <x:c r="M3752" s="30" t="str">
        <x:v>4   Из предложенного перечня выберите два вещества, которые состоят
    из неполярных молекул.
    1) P 4
    2) Si
    3) H 2 O
    4) CH 4
    5) HNO 3
    Запишите номера выбранных ответов.
    Ответ:</x:v>
      </x:c>
      <x:c r="N3752" s="30" t="str">
        <x:v>14</x:v>
      </x:c>
      <x:c r="O3752" s="30" t="str">
        <x:v>Выбраны позиции 14; выбор подтверждён разбором каждого предложенного вещества или элемента.</x:v>
      </x:c>
      <x:c r="P3752" s="30" t="str">
        <x:v>Проверены геометрия молекул и компенсация векторов полярных связей.</x:v>
      </x:c>
      <x:c r="Q3752" s="30"/>
      <x:c r="R3752" s="30" t="str">
        <x:v>Фото-сводка ответов + независимое решение</x:v>
      </x:c>
      <x:c r="S3752" s="30"/>
      <x:c r="T3752" s="30"/>
      <x:c r="U3752" s="30" t="str">
        <x:v>Расхождений не обнаружено.</x:v>
      </x:c>
      <x:c r="V3752" s="87" t="str">
        <x:v>VERIFIED</x:v>
      </x:c>
      <x:c r="W3752" s="87" t="str">
        <x:v>Zadanie_KhI11_06112025.pdf, вариантная стр. 3</x:v>
      </x:c>
      <x:c r="X3752" s="87"/>
      <x:c r="Y3752" s="87"/>
      <x:c r="Z3752" s="87"/>
      <x:c r="AA3752" s="87"/>
      <x:c r="AB3752" s="87"/>
      <x:c r="AC3752" s="87" t="str">
        <x:v>VIS-CHEM-NOV-017</x:v>
      </x:c>
      <x:c r="AD3752" s="87"/>
      <x:c r="AE3752" s="87"/>
      <x:c r="AF3752" s="87" t="str">
        <x:v>VIS-CHEM-NOV-017: 19</x:v>
      </x:c>
      <x:c r="AG3752" s="87" t="str">
        <x:v>RESOLVED</x:v>
      </x:c>
      <x:c r="AH3752" s="87" t="str">
        <x:v>CROP_VERIFIED</x:v>
      </x:c>
      <x:c r="AI3752" s="30"/>
      <x:c r="AJ3752" s="87" t="str">
        <x:v>master</x:v>
      </x:c>
      <x:c r="AK3752" s="87" t="str">
        <x:v>master-v0.81</x:v>
      </x:c>
      <x:c r="AL3752" s="87" t="str">
        <x:v>statgrad_master_base_v0_81_final(2).xlsx</x:v>
      </x:c>
      <x:c r="AM3752" s="87" t="str">
        <x:v>CHEM_Nov_V2</x:v>
      </x:c>
      <x:c r="AN3752" s="87" t="n">
        <x:v>5</x:v>
      </x:c>
    </x:row>
    <x:row r="3753">
      <x:c r="A3753" s="87" t="n">
        <x:v>3752</x:v>
      </x:c>
      <x:c r="B3753" s="87" t="str">
        <x:v>NOV-CHEM-V2-005</x:v>
      </x:c>
      <x:c r="C3753" s="87" t="str">
        <x:v>СтатГрад</x:v>
      </x:c>
      <x:c r="D3753" s="87" t="str">
        <x:v>Ноябрь 2025</x:v>
      </x:c>
      <x:c r="E3753" s="87"/>
      <x:c r="F3753" s="87"/>
      <x:c r="G3753" s="87" t="str">
        <x:v>Химия</x:v>
      </x:c>
      <x:c r="H3753" s="87" t="n">
        <x:v>11</x:v>
      </x:c>
      <x:c r="I3753" s="87" t="str">
        <x:v>ТР №2</x:v>
      </x:c>
      <x:c r="J3753" s="87" t="str">
        <x:v>ХИ2510202</x:v>
      </x:c>
      <x:c r="K3753" s="87" t="n">
        <x:v>5</x:v>
      </x:c>
      <x:c r="L3753" s="87" t="str">
        <x:v>Классификация неорганических веществ</x:v>
      </x:c>
      <x:c r="M3753" s="30" t="str">
        <x:v>5   Среди предложенных формул веществ, расположенных в пронумерованных
    ячейках, выберите формулы:
    А) основного оксида;
    Б) одноосновной кислоты;
    В) смешанной соли.
             1                  2                        3
                  H 4 P2O 7                NaH                         HClO 4
             4                  5                        6
                  NH 4 NO 3               H 3 PO 3                     MnO 2
             7                  8                        9
                   MgO                  Al(ClO 4 ) 3                Ca 5 (PO 4 ) 3 F
    Запишите в таблицу номера ячеек, в которых расположены выбранные
    вещества, под соответствующими буквами.
                 А Б    В
    Ответ:</x:v>
      </x:c>
      <x:c r="N3753" s="30" t="str">
        <x:v>739</x:v>
      </x:c>
      <x:c r="O3753" s="30" t="str">
        <x:v>Выбраны позиции 739; выбор подтверждён разбором каждого предложенного вещества или элемента.</x:v>
      </x:c>
      <x:c r="P3753" s="30" t="str">
        <x:v>Каждая формула классифицирована по составу и химическому классу.</x:v>
      </x:c>
      <x:c r="Q3753" s="30"/>
      <x:c r="R3753" s="30" t="str">
        <x:v>Фото-сводка ответов + независимое решение</x:v>
      </x:c>
      <x:c r="S3753" s="30"/>
      <x:c r="T3753" s="30"/>
      <x:c r="U3753" s="30" t="str">
        <x:v>Расхождений не обнаружено.</x:v>
      </x:c>
      <x:c r="V3753" s="87" t="str">
        <x:v>VERIFIED</x:v>
      </x:c>
      <x:c r="W3753" s="87" t="str">
        <x:v>Zadanie_KhI11_06112025.pdf, вариантная стр. 3</x:v>
      </x:c>
      <x:c r="X3753" s="87"/>
      <x:c r="Y3753" s="87"/>
      <x:c r="Z3753" s="87"/>
      <x:c r="AA3753" s="87"/>
      <x:c r="AB3753" s="87"/>
      <x:c r="AC3753" s="87" t="str">
        <x:v>VIS-CHEM-NOV-017</x:v>
      </x:c>
      <x:c r="AD3753" s="87"/>
      <x:c r="AE3753" s="87"/>
      <x:c r="AF3753" s="87" t="str">
        <x:v>VIS-CHEM-NOV-017: 19</x:v>
      </x:c>
      <x:c r="AG3753" s="87" t="str">
        <x:v>RESOLVED</x:v>
      </x:c>
      <x:c r="AH3753" s="87" t="str">
        <x:v>CROP_VERIFIED</x:v>
      </x:c>
      <x:c r="AI3753" s="30"/>
      <x:c r="AJ3753" s="87" t="str">
        <x:v>master</x:v>
      </x:c>
      <x:c r="AK3753" s="87" t="str">
        <x:v>master-v0.81</x:v>
      </x:c>
      <x:c r="AL3753" s="87" t="str">
        <x:v>statgrad_master_base_v0_81_final(2).xlsx</x:v>
      </x:c>
      <x:c r="AM3753" s="87" t="str">
        <x:v>CHEM_Nov_V2</x:v>
      </x:c>
      <x:c r="AN3753" s="87" t="n">
        <x:v>6</x:v>
      </x:c>
    </x:row>
    <x:row r="3754">
      <x:c r="A3754" s="87" t="n">
        <x:v>3753</x:v>
      </x:c>
      <x:c r="B3754" s="87" t="str">
        <x:v>NOV-CHEM-V2-006</x:v>
      </x:c>
      <x:c r="C3754" s="87" t="str">
        <x:v>СтатГрад</x:v>
      </x:c>
      <x:c r="D3754" s="87" t="str">
        <x:v>Ноябрь 2025</x:v>
      </x:c>
      <x:c r="E3754" s="87"/>
      <x:c r="F3754" s="87"/>
      <x:c r="G3754" s="87" t="str">
        <x:v>Химия</x:v>
      </x:c>
      <x:c r="H3754" s="87" t="n">
        <x:v>11</x:v>
      </x:c>
      <x:c r="I3754" s="87" t="str">
        <x:v>ТР №2</x:v>
      </x:c>
      <x:c r="J3754" s="87" t="str">
        <x:v>ХИ2510202</x:v>
      </x:c>
      <x:c r="K3754" s="87" t="n">
        <x:v>6</x:v>
      </x:c>
      <x:c r="L3754" s="87" t="str">
        <x:v>Качественные реакции</x:v>
      </x:c>
      <x:c r="M3754" s="30" t="str">
        <x:v>6   В двух пробирках находился свежеприготовленный раствор хлорида
    железа(II). В первую пробирку добавили раствор вещества Х, а во вторую –
    раствор вещества Y. В первой пробирке выпал осадок серо-зелёного цвета,
    во второй пробирке образовался синий осадок. Газ не выделялся ни в одной
    из пробирок.
    Из предложенного перечня выберите вещества X и Y, которые могут
    вступать в описанные реакции.
    1) NH 3
    2) (NH 4 ) 2 S
    3) H 2 SO 4
    4) K 4 [Fe(CN) 6 ]
    5) K 3 [Fe(CN) 6 ]
    Запишите в таблицу номера выбранных веществ под соответствующими
    буквами.
                   X           Y
    Ответ:</x:v>
      </x:c>
      <x:c r="N3754" s="30" t="str">
        <x:v>X=1; Y=5</x:v>
      </x:c>
      <x:c r="O3754" s="30" t="str">
        <x:v>По условию получено: X=1; Y=5. Оба неизвестных определены совместно, а не подбором по ключу.</x:v>
      </x:c>
      <x:c r="P3754" s="30" t="str">
        <x:v>Для X и Y записаны возможные реакции и сопоставлены наблюдаемые признаки.</x:v>
      </x:c>
      <x:c r="Q3754" s="30"/>
      <x:c r="R3754" s="30" t="str">
        <x:v>Фото-сводка ответов + независимое решение</x:v>
      </x:c>
      <x:c r="S3754" s="30"/>
      <x:c r="T3754" s="30"/>
      <x:c r="U3754" s="30" t="str">
        <x:v>Расхождений не обнаружено.</x:v>
      </x:c>
      <x:c r="V3754" s="87" t="str">
        <x:v>VERIFIED</x:v>
      </x:c>
      <x:c r="W3754" s="87" t="str">
        <x:v>Zadanie_KhI11_06112025.pdf, вариантная стр. 4</x:v>
      </x:c>
      <x:c r="X3754" s="87"/>
      <x:c r="Y3754" s="87"/>
      <x:c r="Z3754" s="87"/>
      <x:c r="AA3754" s="87"/>
      <x:c r="AB3754" s="87"/>
      <x:c r="AC3754" s="87" t="str">
        <x:v>VIS-CHEM-NOV-018</x:v>
      </x:c>
      <x:c r="AD3754" s="87"/>
      <x:c r="AE3754" s="87"/>
      <x:c r="AF3754" s="87" t="str">
        <x:v>VIS-CHEM-NOV-018: 20</x:v>
      </x:c>
      <x:c r="AG3754" s="87" t="str">
        <x:v>RESOLVED</x:v>
      </x:c>
      <x:c r="AH3754" s="87" t="str">
        <x:v>CROP_VERIFIED</x:v>
      </x:c>
      <x:c r="AI3754" s="30"/>
      <x:c r="AJ3754" s="87" t="str">
        <x:v>master</x:v>
      </x:c>
      <x:c r="AK3754" s="87" t="str">
        <x:v>master-v0.81</x:v>
      </x:c>
      <x:c r="AL3754" s="87" t="str">
        <x:v>statgrad_master_base_v0_81_final(2).xlsx</x:v>
      </x:c>
      <x:c r="AM3754" s="87" t="str">
        <x:v>CHEM_Nov_V2</x:v>
      </x:c>
      <x:c r="AN3754" s="87" t="n">
        <x:v>7</x:v>
      </x:c>
    </x:row>
    <x:row r="3755">
      <x:c r="A3755" s="87" t="n">
        <x:v>3754</x:v>
      </x:c>
      <x:c r="B3755" s="87" t="str">
        <x:v>NOV-CHEM-V2-007</x:v>
      </x:c>
      <x:c r="C3755" s="87" t="str">
        <x:v>СтатГрад</x:v>
      </x:c>
      <x:c r="D3755" s="87" t="str">
        <x:v>Ноябрь 2025</x:v>
      </x:c>
      <x:c r="E3755" s="87"/>
      <x:c r="F3755" s="87"/>
      <x:c r="G3755" s="87" t="str">
        <x:v>Химия</x:v>
      </x:c>
      <x:c r="H3755" s="87" t="n">
        <x:v>11</x:v>
      </x:c>
      <x:c r="I3755" s="87" t="str">
        <x:v>ТР №2</x:v>
      </x:c>
      <x:c r="J3755" s="87" t="str">
        <x:v>ХИ2510202</x:v>
      </x:c>
      <x:c r="K3755" s="87" t="n">
        <x:v>7</x:v>
      </x:c>
      <x:c r="L3755" s="87" t="str">
        <x:v>Неорганические свойства: соответствие</x:v>
      </x:c>
      <x:c r="M3755" s="30" t="str">
        <x:v>7   Установите соответствие между веществом и реагентами, с каждым из
    которых это вещество может взаимодействовать: к каждой позиции,
    обозначенной буквой, подберите соответствующую позицию, обозначенную
    цифрой.
                         ВЕЩЕСТВО                                   РЕАГЕНТЫ
    А) Zn                                                 1) KOH, Cu, NH 3
    Б) CuO                                                2) HCl, ZnSO 4 , Br 2
    В) H 2 SO 4                                           3) H 2 , CO, HNO 3
    Г) Na 2 S                                             4) HCl, NaOH, S
                                                          5) CO 2 , KBr, AgNO 3
    Запишите в таблицу выбранные цифры под соответствующими буквами.
                  А Б В Г
    Ответ:</x:v>
      </x:c>
      <x:c r="N3755" s="30" t="str">
        <x:v>4312</x:v>
      </x:c>
      <x:c r="O3755" s="30" t="str">
        <x:v>Последовательность 4312 задаёт соответствия позициям задания; каждое соответствие проверено отдельно.</x:v>
      </x:c>
      <x:c r="P3755" s="30" t="str">
        <x:v>Для каждой позиции проверена реакционная способность со всеми указанными реагентами.</x:v>
      </x:c>
      <x:c r="Q3755" s="30"/>
      <x:c r="R3755" s="30" t="str">
        <x:v>Таблица ответов PDF + независимое решение</x:v>
      </x:c>
      <x:c r="S3755" s="30"/>
      <x:c r="T3755" s="30"/>
      <x:c r="U3755" s="30" t="str">
        <x:v>Расхождений не обнаружено.</x:v>
      </x:c>
      <x:c r="V3755" s="87" t="str">
        <x:v>VERIFIED</x:v>
      </x:c>
      <x:c r="W3755" s="87" t="str">
        <x:v>Zadanie_KhI11_06112025.pdf, вариантная стр. 4</x:v>
      </x:c>
      <x:c r="X3755" s="87"/>
      <x:c r="Y3755" s="87"/>
      <x:c r="Z3755" s="87"/>
      <x:c r="AA3755" s="87"/>
      <x:c r="AB3755" s="87"/>
      <x:c r="AC3755" s="87" t="str">
        <x:v>VIS-CHEM-NOV-018</x:v>
      </x:c>
      <x:c r="AD3755" s="87"/>
      <x:c r="AE3755" s="87"/>
      <x:c r="AF3755" s="87" t="str">
        <x:v>VIS-CHEM-NOV-018: 20</x:v>
      </x:c>
      <x:c r="AG3755" s="87" t="str">
        <x:v>RESOLVED</x:v>
      </x:c>
      <x:c r="AH3755" s="87" t="str">
        <x:v>CROP_VERIFIED</x:v>
      </x:c>
      <x:c r="AI3755" s="30"/>
      <x:c r="AJ3755" s="87" t="str">
        <x:v>master</x:v>
      </x:c>
      <x:c r="AK3755" s="87" t="str">
        <x:v>master-v0.81</x:v>
      </x:c>
      <x:c r="AL3755" s="87" t="str">
        <x:v>statgrad_master_base_v0_81_final(2).xlsx</x:v>
      </x:c>
      <x:c r="AM3755" s="87" t="str">
        <x:v>CHEM_Nov_V2</x:v>
      </x:c>
      <x:c r="AN3755" s="87" t="n">
        <x:v>8</x:v>
      </x:c>
    </x:row>
    <x:row r="3756">
      <x:c r="A3756" s="87" t="n">
        <x:v>3755</x:v>
      </x:c>
      <x:c r="B3756" s="87" t="str">
        <x:v>NOV-CHEM-V2-008</x:v>
      </x:c>
      <x:c r="C3756" s="87" t="str">
        <x:v>СтатГрад</x:v>
      </x:c>
      <x:c r="D3756" s="87" t="str">
        <x:v>Ноябрь 2025</x:v>
      </x:c>
      <x:c r="E3756" s="87"/>
      <x:c r="F3756" s="87"/>
      <x:c r="G3756" s="87" t="str">
        <x:v>Химия</x:v>
      </x:c>
      <x:c r="H3756" s="87" t="n">
        <x:v>11</x:v>
      </x:c>
      <x:c r="I3756" s="87" t="str">
        <x:v>ТР №2</x:v>
      </x:c>
      <x:c r="J3756" s="87" t="str">
        <x:v>ХИ2510202</x:v>
      </x:c>
      <x:c r="K3756" s="87" t="n">
        <x:v>8</x:v>
      </x:c>
      <x:c r="L3756" s="87" t="str">
        <x:v>Неорганические реакции: продукты</x:v>
      </x:c>
      <x:c r="M3756" s="30" t="str">
        <x:v>8   Установите соответствие между исходными веществами, вступающими
    в реакцию, и продуктами этой реакции: к каждой позиции, обозначенной
    буквой, подберите соответствующую позицию, обозначенную цифрой.
            ИСХОДНЫЕ ВЕЩЕСТВА                                ПРОДУКТЫ РЕАКЦИИ
    А) MnO 2 + HCl                                        1) KCl + MnCl 2 + H 2 O
    Б) Mn + HCl                                           2) KCl + MnO + H 2 O
    В) Mn(OH) 2 + HCl                                     3) KCl + MnCl 2 + Cl 2 + H 2 O
    Г) KMnO 4 + HCl                                       4) MnCl 2 + H 2 O
                                                          5) MnCl 2 + Cl 2 + H 2 O
                                                          6) MnCl 2 + H 2
    Запишите в таблицу выбранные цифры под соответствующими буквами.
               А Б В Г
    Ответ:</x:v>
      </x:c>
      <x:c r="N3756" s="30" t="str">
        <x:v>5643</x:v>
      </x:c>
      <x:c r="O3756" s="30" t="str">
        <x:v>Последовательность 5643 задаёт соответствия позициям задания; каждое соответствие проверено отдельно.</x:v>
      </x:c>
      <x:c r="P3756" s="30" t="str">
        <x:v>Уравнения реакций восстановлены и продукты сопоставлены с вариантами ответа.</x:v>
      </x:c>
      <x:c r="Q3756" s="30"/>
      <x:c r="R3756" s="30" t="str">
        <x:v>Таблица ответов PDF + независимое решение</x:v>
      </x:c>
      <x:c r="S3756" s="30"/>
      <x:c r="T3756" s="30"/>
      <x:c r="U3756" s="30" t="str">
        <x:v>Расхождений не обнаружено.</x:v>
      </x:c>
      <x:c r="V3756" s="87" t="str">
        <x:v>VERIFIED</x:v>
      </x:c>
      <x:c r="W3756" s="87" t="str">
        <x:v>Zadanie_KhI11_06112025.pdf, вариантная стр. 5</x:v>
      </x:c>
      <x:c r="X3756" s="87"/>
      <x:c r="Y3756" s="87"/>
      <x:c r="Z3756" s="87"/>
      <x:c r="AA3756" s="87"/>
      <x:c r="AB3756" s="87"/>
      <x:c r="AC3756" s="87" t="str">
        <x:v>VIS-CHEM-NOV-019</x:v>
      </x:c>
      <x:c r="AD3756" s="87"/>
      <x:c r="AE3756" s="87"/>
      <x:c r="AF3756" s="87" t="str">
        <x:v>VIS-CHEM-NOV-019: 21</x:v>
      </x:c>
      <x:c r="AG3756" s="87" t="str">
        <x:v>RESOLVED</x:v>
      </x:c>
      <x:c r="AH3756" s="87" t="str">
        <x:v>CROP_VERIFIED</x:v>
      </x:c>
      <x:c r="AI3756" s="30"/>
      <x:c r="AJ3756" s="87" t="str">
        <x:v>master</x:v>
      </x:c>
      <x:c r="AK3756" s="87" t="str">
        <x:v>master-v0.81</x:v>
      </x:c>
      <x:c r="AL3756" s="87" t="str">
        <x:v>statgrad_master_base_v0_81_final(2).xlsx</x:v>
      </x:c>
      <x:c r="AM3756" s="87" t="str">
        <x:v>CHEM_Nov_V2</x:v>
      </x:c>
      <x:c r="AN3756" s="87" t="n">
        <x:v>9</x:v>
      </x:c>
    </x:row>
    <x:row r="3757">
      <x:c r="A3757" s="87" t="n">
        <x:v>3756</x:v>
      </x:c>
      <x:c r="B3757" s="87" t="str">
        <x:v>NOV-CHEM-V2-009</x:v>
      </x:c>
      <x:c r="C3757" s="87" t="str">
        <x:v>СтатГрад</x:v>
      </x:c>
      <x:c r="D3757" s="87" t="str">
        <x:v>Ноябрь 2025</x:v>
      </x:c>
      <x:c r="E3757" s="87"/>
      <x:c r="F3757" s="87"/>
      <x:c r="G3757" s="87" t="str">
        <x:v>Химия</x:v>
      </x:c>
      <x:c r="H3757" s="87" t="n">
        <x:v>11</x:v>
      </x:c>
      <x:c r="I3757" s="87" t="str">
        <x:v>ТР №2</x:v>
      </x:c>
      <x:c r="J3757" s="87" t="str">
        <x:v>ХИ2510202</x:v>
      </x:c>
      <x:c r="K3757" s="87" t="n">
        <x:v>9</x:v>
      </x:c>
      <x:c r="L3757" s="87" t="str">
        <x:v>Цепочка превращений</x:v>
      </x:c>
      <x:c r="M3757" s="30" t="str">
        <x:v>9   Задана схема превращений веществ:
                                X, t       NaOH, H 2 O
                       P 2 O 5   → P 4       → PH 3 + Y
    Определите, какие из указанных веществ являются веществами X и Y.
    1) C
    2) CO 2
    3) Na 3 P
    4) NaH 2 PO 2
    5) Na 3 PO 4
    Запишите в таблицу номера выбранных веществ под соответствующими
    буквами.
                 X             Y
    Ответ:</x:v>
      </x:c>
      <x:c r="N3757" s="30" t="str">
        <x:v>14</x:v>
      </x:c>
      <x:c r="O3757" s="30" t="str">
        <x:v>Выбраны позиции 14; выбор подтверждён разбором каждого предложенного вещества или элемента.</x:v>
      </x:c>
      <x:c r="P3757" s="30" t="str">
        <x:v>Промежуточные вещества X и Y установлены по последовательности превращений.</x:v>
      </x:c>
      <x:c r="Q3757" s="30"/>
      <x:c r="R3757" s="30" t="str">
        <x:v>Фото-сводка ответов + независимое решение</x:v>
      </x:c>
      <x:c r="S3757" s="30"/>
      <x:c r="T3757" s="30"/>
      <x:c r="U3757" s="30" t="str">
        <x:v>Расхождений не обнаружено.</x:v>
      </x:c>
      <x:c r="V3757" s="87" t="str">
        <x:v>VERIFIED</x:v>
      </x:c>
      <x:c r="W3757" s="87" t="str">
        <x:v>Zadanie_KhI11_06112025.pdf, вариантная стр. 5</x:v>
      </x:c>
      <x:c r="X3757" s="87"/>
      <x:c r="Y3757" s="87"/>
      <x:c r="Z3757" s="87"/>
      <x:c r="AA3757" s="87"/>
      <x:c r="AB3757" s="87"/>
      <x:c r="AC3757" s="87" t="str">
        <x:v>VIS-CHEM-NOV-019</x:v>
      </x:c>
      <x:c r="AD3757" s="87"/>
      <x:c r="AE3757" s="87"/>
      <x:c r="AF3757" s="87" t="str">
        <x:v>VIS-CHEM-NOV-019: 21</x:v>
      </x:c>
      <x:c r="AG3757" s="87" t="str">
        <x:v>RESOLVED</x:v>
      </x:c>
      <x:c r="AH3757" s="87" t="str">
        <x:v>CROP_VERIFIED</x:v>
      </x:c>
      <x:c r="AI3757" s="30"/>
      <x:c r="AJ3757" s="87" t="str">
        <x:v>master</x:v>
      </x:c>
      <x:c r="AK3757" s="87" t="str">
        <x:v>master-v0.81</x:v>
      </x:c>
      <x:c r="AL3757" s="87" t="str">
        <x:v>statgrad_master_base_v0_81_final(2).xlsx</x:v>
      </x:c>
      <x:c r="AM3757" s="87" t="str">
        <x:v>CHEM_Nov_V2</x:v>
      </x:c>
      <x:c r="AN3757" s="87" t="n">
        <x:v>10</x:v>
      </x:c>
    </x:row>
    <x:row r="3758">
      <x:c r="A3758" s="87" t="n">
        <x:v>3757</x:v>
      </x:c>
      <x:c r="B3758" s="87" t="str">
        <x:v>NOV-CHEM-V2-010</x:v>
      </x:c>
      <x:c r="C3758" s="87" t="str">
        <x:v>СтатГрад</x:v>
      </x:c>
      <x:c r="D3758" s="87" t="str">
        <x:v>Ноябрь 2025</x:v>
      </x:c>
      <x:c r="E3758" s="87"/>
      <x:c r="F3758" s="87"/>
      <x:c r="G3758" s="87" t="str">
        <x:v>Химия</x:v>
      </x:c>
      <x:c r="H3758" s="87" t="n">
        <x:v>11</x:v>
      </x:c>
      <x:c r="I3758" s="87" t="str">
        <x:v>ТР №2</x:v>
      </x:c>
      <x:c r="J3758" s="87" t="str">
        <x:v>ХИ2510202</x:v>
      </x:c>
      <x:c r="K3758" s="87" t="n">
        <x:v>10</x:v>
      </x:c>
      <x:c r="L3758" s="87" t="str">
        <x:v>Классы органических веществ</x:v>
      </x:c>
      <x:c r="M3758" s="30" t="str">
        <x:v>10   Установите соответствие между общей формулой класса органических
     веществ и веществом, которое принадлежит к этому классу: к каждой
     позиции, обозначенной буквой, подберите соответствующую позицию,
     обозначенную цифрой.
        ОБЩАЯ ФОРМУЛА                                     ВЕЩЕСТВО
     А) C n H 2n O                          1) метилпропиловый эфир
     Б) C n H 2n+2 O                        2) метилпропионат
     В) C n H 2n O 2                        3) пентанон-3
                                            4) акриловая (пропеновая) кислота
     Запишите в таблицу выбранные цифры под соответствующими буквами.
                А Б В
     Ответ:</x:v>
      </x:c>
      <x:c r="N3758" s="30" t="str">
        <x:v>312</x:v>
      </x:c>
      <x:c r="O3758" s="30" t="str">
        <x:v>Последовательность 312 задаёт соответствия позициям задания; каждое соответствие проверено отдельно.</x:v>
      </x:c>
      <x:c r="P3758" s="30" t="str">
        <x:v>Формулы классов сопоставлены со строением предложенных соединений.</x:v>
      </x:c>
      <x:c r="Q3758" s="30"/>
      <x:c r="R3758" s="30" t="str">
        <x:v>Фото-сводка ответов + независимое решение</x:v>
      </x:c>
      <x:c r="S3758" s="30"/>
      <x:c r="T3758" s="30"/>
      <x:c r="U3758" s="30" t="str">
        <x:v>Расхождений не обнаружено.</x:v>
      </x:c>
      <x:c r="V3758" s="87" t="str">
        <x:v>VERIFIED</x:v>
      </x:c>
      <x:c r="W3758" s="87" t="str">
        <x:v>Zadanie_KhI11_06112025.pdf, вариантная стр. 6</x:v>
      </x:c>
      <x:c r="X3758" s="87"/>
      <x:c r="Y3758" s="87"/>
      <x:c r="Z3758" s="87"/>
      <x:c r="AA3758" s="87"/>
      <x:c r="AB3758" s="87"/>
      <x:c r="AC3758" s="87" t="str">
        <x:v>VIS-CHEM-NOV-020</x:v>
      </x:c>
      <x:c r="AD3758" s="87"/>
      <x:c r="AE3758" s="87"/>
      <x:c r="AF3758" s="87" t="str">
        <x:v>VIS-CHEM-NOV-020: 22</x:v>
      </x:c>
      <x:c r="AG3758" s="87" t="str">
        <x:v>RESOLVED</x:v>
      </x:c>
      <x:c r="AH3758" s="87" t="str">
        <x:v>CROP_VERIFIED</x:v>
      </x:c>
      <x:c r="AI3758" s="30"/>
      <x:c r="AJ3758" s="87" t="str">
        <x:v>master</x:v>
      </x:c>
      <x:c r="AK3758" s="87" t="str">
        <x:v>master-v0.81</x:v>
      </x:c>
      <x:c r="AL3758" s="87" t="str">
        <x:v>statgrad_master_base_v0_81_final(2).xlsx</x:v>
      </x:c>
      <x:c r="AM3758" s="87" t="str">
        <x:v>CHEM_Nov_V2</x:v>
      </x:c>
      <x:c r="AN3758" s="87" t="n">
        <x:v>11</x:v>
      </x:c>
    </x:row>
    <x:row r="3759">
      <x:c r="A3759" s="87" t="n">
        <x:v>3758</x:v>
      </x:c>
      <x:c r="B3759" s="87" t="str">
        <x:v>NOV-CHEM-V2-011</x:v>
      </x:c>
      <x:c r="C3759" s="87" t="str">
        <x:v>СтатГрад</x:v>
      </x:c>
      <x:c r="D3759" s="87" t="str">
        <x:v>Ноябрь 2025</x:v>
      </x:c>
      <x:c r="E3759" s="87"/>
      <x:c r="F3759" s="87"/>
      <x:c r="G3759" s="87" t="str">
        <x:v>Химия</x:v>
      </x:c>
      <x:c r="H3759" s="87" t="n">
        <x:v>11</x:v>
      </x:c>
      <x:c r="I3759" s="87" t="str">
        <x:v>ТР №2</x:v>
      </x:c>
      <x:c r="J3759" s="87" t="str">
        <x:v>ХИ2510202</x:v>
      </x:c>
      <x:c r="K3759" s="87" t="n">
        <x:v>11</x:v>
      </x:c>
      <x:c r="L3759" s="87" t="str">
        <x:v>Гибридизация атомов углерода</x:v>
      </x:c>
      <x:c r="M3759" s="30" t="str">
        <x:v>11   Из предложенного перечня выберите два вещества, в которых все атомы
     углерода находятся в состоянии sp2-гибридизации.
     1) бутадиен-1,3
     2) циклогексен
     3) пропен
     4) пропин
     5) винилбензол (стирол)
     Запишите номера выбранных ответов.
     Ответ:</x:v>
      </x:c>
      <x:c r="N3759" s="30" t="str">
        <x:v>15</x:v>
      </x:c>
      <x:c r="O3759" s="30" t="str">
        <x:v>Выбраны позиции 15; выбор подтверждён разбором каждого предложенного вещества или элемента.</x:v>
      </x:c>
      <x:c r="P3759" s="30" t="str">
        <x:v>Гибридизация каждого атома углерода определена по числу σ-связей и кратных связей.</x:v>
      </x:c>
      <x:c r="Q3759" s="30"/>
      <x:c r="R3759" s="30" t="str">
        <x:v>Фото-сводка ответов + независимое решение</x:v>
      </x:c>
      <x:c r="S3759" s="30"/>
      <x:c r="T3759" s="30"/>
      <x:c r="U3759" s="30" t="str">
        <x:v>Расхождений не обнаружено.</x:v>
      </x:c>
      <x:c r="V3759" s="87" t="str">
        <x:v>VERIFIED</x:v>
      </x:c>
      <x:c r="W3759" s="87" t="str">
        <x:v>Zadanie_KhI11_06112025.pdf, вариантная стр. 6</x:v>
      </x:c>
      <x:c r="X3759" s="87"/>
      <x:c r="Y3759" s="87"/>
      <x:c r="Z3759" s="87"/>
      <x:c r="AA3759" s="87"/>
      <x:c r="AB3759" s="87"/>
      <x:c r="AC3759" s="87" t="str">
        <x:v>VIS-CHEM-NOV-020</x:v>
      </x:c>
      <x:c r="AD3759" s="87"/>
      <x:c r="AE3759" s="87"/>
      <x:c r="AF3759" s="87" t="str">
        <x:v>VIS-CHEM-NOV-020: 22</x:v>
      </x:c>
      <x:c r="AG3759" s="87" t="str">
        <x:v>RESOLVED</x:v>
      </x:c>
      <x:c r="AH3759" s="87" t="str">
        <x:v>CROP_VERIFIED</x:v>
      </x:c>
      <x:c r="AI3759" s="30"/>
      <x:c r="AJ3759" s="87" t="str">
        <x:v>master</x:v>
      </x:c>
      <x:c r="AK3759" s="87" t="str">
        <x:v>master-v0.81</x:v>
      </x:c>
      <x:c r="AL3759" s="87" t="str">
        <x:v>statgrad_master_base_v0_81_final(2).xlsx</x:v>
      </x:c>
      <x:c r="AM3759" s="87" t="str">
        <x:v>CHEM_Nov_V2</x:v>
      </x:c>
      <x:c r="AN3759" s="87" t="n">
        <x:v>12</x:v>
      </x:c>
    </x:row>
    <x:row r="3760">
      <x:c r="A3760" s="87" t="n">
        <x:v>3759</x:v>
      </x:c>
      <x:c r="B3760" s="87" t="str">
        <x:v>NOV-CHEM-V2-012</x:v>
      </x:c>
      <x:c r="C3760" s="87" t="str">
        <x:v>СтатГрад</x:v>
      </x:c>
      <x:c r="D3760" s="87" t="str">
        <x:v>Ноябрь 2025</x:v>
      </x:c>
      <x:c r="E3760" s="87"/>
      <x:c r="F3760" s="87"/>
      <x:c r="G3760" s="87" t="str">
        <x:v>Химия</x:v>
      </x:c>
      <x:c r="H3760" s="87" t="n">
        <x:v>11</x:v>
      </x:c>
      <x:c r="I3760" s="87" t="str">
        <x:v>ТР №2</x:v>
      </x:c>
      <x:c r="J3760" s="87" t="str">
        <x:v>ХИ2510202</x:v>
      </x:c>
      <x:c r="K3760" s="87" t="n">
        <x:v>12</x:v>
      </x:c>
      <x:c r="L3760" s="87" t="str">
        <x:v>Гидролиз органических веществ</x:v>
      </x:c>
      <x:c r="M3760" s="30" t="str">
        <x:v>12   Из предложенного перечня выберите все вещества, при взаимодействии
     которых с водой в соответствующих условиях образуется уксусный альдегид.
     1) C 2 H 2
     2) CH 3 CN
     3) CH 3 CHCl 2
     4) CH 3 CCl 3
     5) CH 3 C(O)OCH=CH 2
     Запишите номера выбранных ответов.
     Ответ: ___________________________.</x:v>
      </x:c>
      <x:c r="N3760" s="30" t="str">
        <x:v>135</x:v>
      </x:c>
      <x:c r="O3760" s="30" t="str">
        <x:v>Выбраны позиции 135; выбор подтверждён разбором каждого предложенного вещества или элемента.</x:v>
      </x:c>
      <x:c r="P3760" s="30" t="str">
        <x:v>Продукты гидролиза каждого вещества проверены уравнениями реакций.</x:v>
      </x:c>
      <x:c r="Q3760" s="30"/>
      <x:c r="R3760" s="30" t="str">
        <x:v>Таблица ответов PDF + независимое решение</x:v>
      </x:c>
      <x:c r="S3760" s="30"/>
      <x:c r="T3760" s="30"/>
      <x:c r="U3760" s="30" t="str">
        <x:v>Расхождений не обнаружено.</x:v>
      </x:c>
      <x:c r="V3760" s="87" t="str">
        <x:v>VERIFIED</x:v>
      </x:c>
      <x:c r="W3760" s="87" t="str">
        <x:v>Zadanie_KhI11_06112025.pdf, вариантная стр. 6</x:v>
      </x:c>
      <x:c r="X3760" s="87"/>
      <x:c r="Y3760" s="87"/>
      <x:c r="Z3760" s="87"/>
      <x:c r="AA3760" s="87"/>
      <x:c r="AB3760" s="87"/>
      <x:c r="AC3760" s="87" t="str">
        <x:v>VIS-CHEM-NOV-020</x:v>
      </x:c>
      <x:c r="AD3760" s="87"/>
      <x:c r="AE3760" s="87"/>
      <x:c r="AF3760" s="87" t="str">
        <x:v>VIS-CHEM-NOV-020: 22</x:v>
      </x:c>
      <x:c r="AG3760" s="87" t="str">
        <x:v>RESOLVED</x:v>
      </x:c>
      <x:c r="AH3760" s="87" t="str">
        <x:v>CROP_VERIFIED</x:v>
      </x:c>
      <x:c r="AI3760" s="30"/>
      <x:c r="AJ3760" s="87" t="str">
        <x:v>master</x:v>
      </x:c>
      <x:c r="AK3760" s="87" t="str">
        <x:v>master-v0.81</x:v>
      </x:c>
      <x:c r="AL3760" s="87" t="str">
        <x:v>statgrad_master_base_v0_81_final(2).xlsx</x:v>
      </x:c>
      <x:c r="AM3760" s="87" t="str">
        <x:v>CHEM_Nov_V2</x:v>
      </x:c>
      <x:c r="AN3760" s="87" t="n">
        <x:v>13</x:v>
      </x:c>
    </x:row>
    <x:row r="3761">
      <x:c r="A3761" s="87" t="n">
        <x:v>3760</x:v>
      </x:c>
      <x:c r="B3761" s="87" t="str">
        <x:v>NOV-CHEM-V2-013</x:v>
      </x:c>
      <x:c r="C3761" s="87" t="str">
        <x:v>СтатГрад</x:v>
      </x:c>
      <x:c r="D3761" s="87" t="str">
        <x:v>Ноябрь 2025</x:v>
      </x:c>
      <x:c r="E3761" s="87"/>
      <x:c r="F3761" s="87"/>
      <x:c r="G3761" s="87" t="str">
        <x:v>Химия</x:v>
      </x:c>
      <x:c r="H3761" s="87" t="n">
        <x:v>11</x:v>
      </x:c>
      <x:c r="I3761" s="87" t="str">
        <x:v>ТР №2</x:v>
      </x:c>
      <x:c r="J3761" s="87" t="str">
        <x:v>ХИ2510202</x:v>
      </x:c>
      <x:c r="K3761" s="87" t="n">
        <x:v>13</x:v>
      </x:c>
      <x:c r="L3761" s="87" t="str">
        <x:v>Химические свойства органических веществ</x:v>
      </x:c>
      <x:c r="M3761" s="30" t="str">
        <x:v>13   Из предложенного перечня выберите два вещества, с которыми не реагирует
     трилинолеат глицерина.
     1) гидроксид калия
     2) водород
     3) перманганат калия
     4) углекислый газ
     5) нитрат серебра
     Запишите номера выбранных ответов.
     Ответ:</x:v>
      </x:c>
      <x:c r="N3761" s="30" t="str">
        <x:v>45</x:v>
      </x:c>
      <x:c r="O3761" s="30" t="str">
        <x:v>Выбраны позиции 45; выбор подтверждён разбором каждого предложенного вещества или элемента.</x:v>
      </x:c>
      <x:c r="P3761" s="30" t="str">
        <x:v>Проверены функциональные группы и возможные реакции с каждым реагентом.</x:v>
      </x:c>
      <x:c r="Q3761" s="30"/>
      <x:c r="R3761" s="30" t="str">
        <x:v>Фото-сводка ответов + независимое решение</x:v>
      </x:c>
      <x:c r="S3761" s="30"/>
      <x:c r="T3761" s="30"/>
      <x:c r="U3761" s="30" t="str">
        <x:v>Расхождений не обнаружено.</x:v>
      </x:c>
      <x:c r="V3761" s="87" t="str">
        <x:v>VERIFIED</x:v>
      </x:c>
      <x:c r="W3761" s="87" t="str">
        <x:v>Zadanie_KhI11_06112025.pdf, вариантная стр. 7</x:v>
      </x:c>
      <x:c r="X3761" s="87"/>
      <x:c r="Y3761" s="87"/>
      <x:c r="Z3761" s="87"/>
      <x:c r="AA3761" s="87"/>
      <x:c r="AB3761" s="87"/>
      <x:c r="AC3761" s="87" t="str">
        <x:v>VIS-CHEM-NOV-021</x:v>
      </x:c>
      <x:c r="AD3761" s="87"/>
      <x:c r="AE3761" s="87"/>
      <x:c r="AF3761" s="87" t="str">
        <x:v>VIS-CHEM-NOV-021: 23</x:v>
      </x:c>
      <x:c r="AG3761" s="87" t="str">
        <x:v>RESOLVED</x:v>
      </x:c>
      <x:c r="AH3761" s="87" t="str">
        <x:v>CROP_VERIFIED</x:v>
      </x:c>
      <x:c r="AI3761" s="30"/>
      <x:c r="AJ3761" s="87" t="str">
        <x:v>master</x:v>
      </x:c>
      <x:c r="AK3761" s="87" t="str">
        <x:v>master-v0.81</x:v>
      </x:c>
      <x:c r="AL3761" s="87" t="str">
        <x:v>statgrad_master_base_v0_81_final(2).xlsx</x:v>
      </x:c>
      <x:c r="AM3761" s="87" t="str">
        <x:v>CHEM_Nov_V2</x:v>
      </x:c>
      <x:c r="AN3761" s="87" t="n">
        <x:v>14</x:v>
      </x:c>
    </x:row>
    <x:row r="3762">
      <x:c r="A3762" s="87" t="n">
        <x:v>3761</x:v>
      </x:c>
      <x:c r="B3762" s="87" t="str">
        <x:v>NOV-CHEM-V2-014</x:v>
      </x:c>
      <x:c r="C3762" s="87" t="str">
        <x:v>СтатГрад</x:v>
      </x:c>
      <x:c r="D3762" s="87" t="str">
        <x:v>Ноябрь 2025</x:v>
      </x:c>
      <x:c r="E3762" s="87"/>
      <x:c r="F3762" s="87"/>
      <x:c r="G3762" s="87" t="str">
        <x:v>Химия</x:v>
      </x:c>
      <x:c r="H3762" s="87" t="n">
        <x:v>11</x:v>
      </x:c>
      <x:c r="I3762" s="87" t="str">
        <x:v>ТР №2</x:v>
      </x:c>
      <x:c r="J3762" s="87" t="str">
        <x:v>ХИ2510202</x:v>
      </x:c>
      <x:c r="K3762" s="87" t="n">
        <x:v>14</x:v>
      </x:c>
      <x:c r="L3762" s="87" t="str">
        <x:v>Органические реакции: продукты</x:v>
      </x:c>
      <x:c r="M3762" s="30" t="str">
        <x:v>14   Установите соответствие между названием вещества и органическим
     продуктом, который преимущественно образуется при его взаимодействии
     с избытком хлороводорода: к каждой позиции, обозначенной буквой,
     подберите соответствующую позицию, обозначенную цифрой.
              НАЗВАНИЕ ВЕЩЕСТВА                                 ПРОДУКТ РЕАКЦИИ
     А) бутин-1                                            1)          Cl
     Б) циклогексен                                             CH3    C    CH3
     В) стирол (винилбензол)                                           CH3
     Г) 2-метилпропен                                      2)          Cl
                                                           3) CH3 CH CH2Cl
                                                                       CH3
                                                           4)          Cl
                                                                       CH CH3
                                                           5) ClCH 2 –CHCl–CH 2 –CH 3
                                                           6) CH 3 –CCl 2 –CH 2 –CH3
     Запишите в таблицу выбранные цифры под соответствующими буквами.
                А Б В Г
     Ответ:</x:v>
      </x:c>
      <x:c r="N3762" s="30" t="str">
        <x:v>6241</x:v>
      </x:c>
      <x:c r="O3762" s="30" t="str">
        <x:v>Последовательность 6241 задаёт соответствия позициям задания; каждое соответствие проверено отдельно.</x:v>
      </x:c>
      <x:c r="P3762" s="30" t="str">
        <x:v>Преимущественные продукты определены с учётом механизма и правила Зайцева.</x:v>
      </x:c>
      <x:c r="Q3762" s="30"/>
      <x:c r="R3762" s="30" t="str">
        <x:v>Таблица ответов PDF + независимое решение</x:v>
      </x:c>
      <x:c r="S3762" s="30"/>
      <x:c r="T3762" s="30"/>
      <x:c r="U3762" s="30" t="str">
        <x:v>Расхождений не обнаружено.</x:v>
      </x:c>
      <x:c r="V3762" s="87" t="str">
        <x:v>VERIFIED</x:v>
      </x:c>
      <x:c r="W3762" s="87" t="str">
        <x:v>Zadanie_KhI11_06112025.pdf, вариантная стр. 7</x:v>
      </x:c>
      <x:c r="X3762" s="87"/>
      <x:c r="Y3762" s="87"/>
      <x:c r="Z3762" s="87"/>
      <x:c r="AA3762" s="87"/>
      <x:c r="AB3762" s="87"/>
      <x:c r="AC3762" s="87" t="str">
        <x:v>VIS-CHEM-NOV-021</x:v>
      </x:c>
      <x:c r="AD3762" s="87"/>
      <x:c r="AE3762" s="87"/>
      <x:c r="AF3762" s="87" t="str">
        <x:v>VIS-CHEM-NOV-021: 23</x:v>
      </x:c>
      <x:c r="AG3762" s="87" t="str">
        <x:v>RESOLVED</x:v>
      </x:c>
      <x:c r="AH3762" s="87" t="str">
        <x:v>CROP_VERIFIED</x:v>
      </x:c>
      <x:c r="AI3762" s="30"/>
      <x:c r="AJ3762" s="87" t="str">
        <x:v>master</x:v>
      </x:c>
      <x:c r="AK3762" s="87" t="str">
        <x:v>master-v0.81</x:v>
      </x:c>
      <x:c r="AL3762" s="87" t="str">
        <x:v>statgrad_master_base_v0_81_final(2).xlsx</x:v>
      </x:c>
      <x:c r="AM3762" s="87" t="str">
        <x:v>CHEM_Nov_V2</x:v>
      </x:c>
      <x:c r="AN3762" s="87" t="n">
        <x:v>15</x:v>
      </x:c>
    </x:row>
    <x:row r="3763">
      <x:c r="A3763" s="87" t="n">
        <x:v>3762</x:v>
      </x:c>
      <x:c r="B3763" s="87" t="str">
        <x:v>NOV-CHEM-V2-015</x:v>
      </x:c>
      <x:c r="C3763" s="87" t="str">
        <x:v>СтатГрад</x:v>
      </x:c>
      <x:c r="D3763" s="87" t="str">
        <x:v>Ноябрь 2025</x:v>
      </x:c>
      <x:c r="E3763" s="87"/>
      <x:c r="F3763" s="87"/>
      <x:c r="G3763" s="87" t="str">
        <x:v>Химия</x:v>
      </x:c>
      <x:c r="H3763" s="87" t="n">
        <x:v>11</x:v>
      </x:c>
      <x:c r="I3763" s="87" t="str">
        <x:v>ТР №2</x:v>
      </x:c>
      <x:c r="J3763" s="87" t="str">
        <x:v>ХИ2510202</x:v>
      </x:c>
      <x:c r="K3763" s="87" t="n">
        <x:v>15</x:v>
      </x:c>
      <x:c r="L3763" s="87" t="str">
        <x:v>Органические реакции: реагенты</x:v>
      </x:c>
      <x:c r="M3763" s="30" t="str">
        <x:v>15   Установите соответствие между схемой реакции и веществом X,
     принимающим в ней участие. К каждой позиции, обозначенной буквой,
     подберите соответствующую позицию, обозначенную цифрой.
                       СХЕМА РЕАКЦИИ                              ВЕЩЕСТВО X
     А) X 
           CuO, t
                  → ацетон
                                                           1) CH 3 OH
     Б) X →
           [Ag(NH 3 ) 2 ]OH                                2) CH 3 CH 2 OH
                            ацетат аммония                 3) СH 3 CH=O
     В) X 
           H 2SO 4 , t
                       → диметиловый эфир                  4) CH 3 CH 2 CH 2 OH
     Г)       KMnO , H +                                   5) CH 3 CH(OH)CH 3
          X 
                4
                  → пропионовая кислота
                                                           6) HCOOCH 3
     Запишите в таблицу выбранные цифры под соответствующими буквами.
                 А Б В Г
     Ответ:</x:v>
      </x:c>
      <x:c r="N3763" s="30" t="str">
        <x:v>5314</x:v>
      </x:c>
      <x:c r="O3763" s="30" t="str">
        <x:v>Последовательность 5314 задаёт соответствия позициям задания; каждое соответствие проверено отдельно.</x:v>
      </x:c>
      <x:c r="P3763" s="30" t="str">
        <x:v>Неизвестный реагент X восстановлен из исходного вещества и продукта реакции.</x:v>
      </x:c>
      <x:c r="Q3763" s="30"/>
      <x:c r="R3763" s="30" t="str">
        <x:v>Таблица ответов PDF + независимое решение</x:v>
      </x:c>
      <x:c r="S3763" s="30"/>
      <x:c r="T3763" s="30"/>
      <x:c r="U3763" s="30" t="str">
        <x:v>Расхождений не обнаружено.</x:v>
      </x:c>
      <x:c r="V3763" s="87" t="str">
        <x:v>VERIFIED</x:v>
      </x:c>
      <x:c r="W3763" s="87" t="str">
        <x:v>Zadanie_KhI11_06112025.pdf, вариантная стр. 8</x:v>
      </x:c>
      <x:c r="X3763" s="87"/>
      <x:c r="Y3763" s="87"/>
      <x:c r="Z3763" s="87"/>
      <x:c r="AA3763" s="87"/>
      <x:c r="AB3763" s="87"/>
      <x:c r="AC3763" s="87" t="str">
        <x:v>VIS-CHEM-NOV-022</x:v>
      </x:c>
      <x:c r="AD3763" s="87"/>
      <x:c r="AE3763" s="87"/>
      <x:c r="AF3763" s="87" t="str">
        <x:v>VIS-CHEM-NOV-022: 24</x:v>
      </x:c>
      <x:c r="AG3763" s="87" t="str">
        <x:v>RESOLVED</x:v>
      </x:c>
      <x:c r="AH3763" s="87" t="str">
        <x:v>CROP_VERIFIED</x:v>
      </x:c>
      <x:c r="AI3763" s="30"/>
      <x:c r="AJ3763" s="87" t="str">
        <x:v>master</x:v>
      </x:c>
      <x:c r="AK3763" s="87" t="str">
        <x:v>master-v0.81</x:v>
      </x:c>
      <x:c r="AL3763" s="87" t="str">
        <x:v>statgrad_master_base_v0_81_final(2).xlsx</x:v>
      </x:c>
      <x:c r="AM3763" s="87" t="str">
        <x:v>CHEM_Nov_V2</x:v>
      </x:c>
      <x:c r="AN3763" s="87" t="n">
        <x:v>16</x:v>
      </x:c>
    </x:row>
    <x:row r="3764">
      <x:c r="A3764" s="87" t="n">
        <x:v>3763</x:v>
      </x:c>
      <x:c r="B3764" s="87" t="str">
        <x:v>NOV-CHEM-V2-016</x:v>
      </x:c>
      <x:c r="C3764" s="87" t="str">
        <x:v>СтатГрад</x:v>
      </x:c>
      <x:c r="D3764" s="87" t="str">
        <x:v>Ноябрь 2025</x:v>
      </x:c>
      <x:c r="E3764" s="87"/>
      <x:c r="F3764" s="87"/>
      <x:c r="G3764" s="87" t="str">
        <x:v>Химия</x:v>
      </x:c>
      <x:c r="H3764" s="87" t="n">
        <x:v>11</x:v>
      </x:c>
      <x:c r="I3764" s="87" t="str">
        <x:v>ТР №2</x:v>
      </x:c>
      <x:c r="J3764" s="87" t="str">
        <x:v>ХИ2510202</x:v>
      </x:c>
      <x:c r="K3764" s="87" t="n">
        <x:v>16</x:v>
      </x:c>
      <x:c r="L3764" s="87" t="str">
        <x:v>Цепочка превращений: органика</x:v>
      </x:c>
      <x:c r="M3764" s="30" t="str">
        <x:v>16   Задана следующая схема превращений веществ:
                           t , кат              Fe, HCl
                        X →     C 6 H 6 → Y →    C 6 H 5 NH 3 +Cl–
     Определите, какие из указанных веществ являются веществами X и Y.
     1) CH 4
     2) C 2 H 2
     3) C 6 H 5 OH
     4) C 6 H 5 CN
     5) C 6 H 5 NO 2
     Запишите в таблицу номера выбранных веществ под соответствующими
     буквами.
                   X             Y
     Ответ:</x:v>
      </x:c>
      <x:c r="N3764" s="30" t="str">
        <x:v>25</x:v>
      </x:c>
      <x:c r="O3764" s="30" t="str">
        <x:v>Выбраны позиции 25; выбор подтверждён разбором каждого предложенного вещества или элемента.</x:v>
      </x:c>
      <x:c r="P3764" s="30" t="str">
        <x:v>Оба неизвестных вещества установлены по полной цепочке превращений.</x:v>
      </x:c>
      <x:c r="Q3764" s="30"/>
      <x:c r="R3764" s="30" t="str">
        <x:v>Фото-сводка ответов + независимое решение</x:v>
      </x:c>
      <x:c r="S3764" s="30"/>
      <x:c r="T3764" s="30"/>
      <x:c r="U3764" s="30" t="str">
        <x:v>Расхождений не обнаружено.</x:v>
      </x:c>
      <x:c r="V3764" s="87" t="str">
        <x:v>VERIFIED</x:v>
      </x:c>
      <x:c r="W3764" s="87" t="str">
        <x:v>Zadanie_KhI11_06112025.pdf, вариантная стр. 8</x:v>
      </x:c>
      <x:c r="X3764" s="87"/>
      <x:c r="Y3764" s="87"/>
      <x:c r="Z3764" s="87"/>
      <x:c r="AA3764" s="87"/>
      <x:c r="AB3764" s="87"/>
      <x:c r="AC3764" s="87" t="str">
        <x:v>VIS-CHEM-NOV-022</x:v>
      </x:c>
      <x:c r="AD3764" s="87"/>
      <x:c r="AE3764" s="87"/>
      <x:c r="AF3764" s="87" t="str">
        <x:v>VIS-CHEM-NOV-022: 24</x:v>
      </x:c>
      <x:c r="AG3764" s="87" t="str">
        <x:v>RESOLVED</x:v>
      </x:c>
      <x:c r="AH3764" s="87" t="str">
        <x:v>CROP_VERIFIED</x:v>
      </x:c>
      <x:c r="AI3764" s="30"/>
      <x:c r="AJ3764" s="87" t="str">
        <x:v>master</x:v>
      </x:c>
      <x:c r="AK3764" s="87" t="str">
        <x:v>master-v0.81</x:v>
      </x:c>
      <x:c r="AL3764" s="87" t="str">
        <x:v>statgrad_master_base_v0_81_final(2).xlsx</x:v>
      </x:c>
      <x:c r="AM3764" s="87" t="str">
        <x:v>CHEM_Nov_V2</x:v>
      </x:c>
      <x:c r="AN3764" s="87" t="n">
        <x:v>17</x:v>
      </x:c>
    </x:row>
    <x:row r="3765">
      <x:c r="A3765" s="87" t="n">
        <x:v>3764</x:v>
      </x:c>
      <x:c r="B3765" s="87" t="str">
        <x:v>NOV-CHEM-V2-017</x:v>
      </x:c>
      <x:c r="C3765" s="87" t="str">
        <x:v>СтатГрад</x:v>
      </x:c>
      <x:c r="D3765" s="87" t="str">
        <x:v>Ноябрь 2025</x:v>
      </x:c>
      <x:c r="E3765" s="87"/>
      <x:c r="F3765" s="87"/>
      <x:c r="G3765" s="87" t="str">
        <x:v>Химия</x:v>
      </x:c>
      <x:c r="H3765" s="87" t="n">
        <x:v>11</x:v>
      </x:c>
      <x:c r="I3765" s="87" t="str">
        <x:v>ТР №2</x:v>
      </x:c>
      <x:c r="J3765" s="87" t="str">
        <x:v>ХИ2510202</x:v>
      </x:c>
      <x:c r="K3765" s="87" t="n">
        <x:v>17</x:v>
      </x:c>
      <x:c r="L3765" s="87" t="str">
        <x:v>Классификация реакций</x:v>
      </x:c>
      <x:c r="M3765" s="30" t="str">
        <x:v>17   Установите соответствие между химической реакцией и типами реакций,
     к которым она относится: к каждой позиции, обозначенной буквой,
     подберите соответствующую позицию, обозначенную цифрой.
              ХИМИЧЕСКАЯ РЕАКЦИЯ                                ТИПЫ РЕАКЦИЙ
     А) взаимодействие пропена с хлором при                1) реакция присоединения,
        сильном нагревании                                    каталитическая
     Б) взаимодействие бензола с хлором на                 2) реакция замещения,
        свету                                                 каталитическая
     В) взаимодействие этанола с уксусной                  3) реакция замещения,
        кислотой                                              некаталитическая
                                                           4) реакция присоединения,
                                                              некаталитическая
     Запишите в таблицу выбранные цифры под соответствующими буквами.
                А Б В
     Ответ:</x:v>
      </x:c>
      <x:c r="N3765" s="30" t="str">
        <x:v>342</x:v>
      </x:c>
      <x:c r="O3765" s="30" t="str">
        <x:v>Последовательность 342 задаёт соответствия позициям задания; каждое соответствие проверено отдельно.</x:v>
      </x:c>
      <x:c r="P3765" s="30" t="str">
        <x:v>Каждая реакция классифицирована по числу и составу веществ, обратимости и ОВР.</x:v>
      </x:c>
      <x:c r="Q3765" s="30"/>
      <x:c r="R3765" s="30" t="str">
        <x:v>Фото-сводка ответов + независимое решение</x:v>
      </x:c>
      <x:c r="S3765" s="30"/>
      <x:c r="T3765" s="30"/>
      <x:c r="U3765" s="30" t="str">
        <x:v>Расхождений не обнаружено.</x:v>
      </x:c>
      <x:c r="V3765" s="87" t="str">
        <x:v>VERIFIED</x:v>
      </x:c>
      <x:c r="W3765" s="87" t="str">
        <x:v>Zadanie_KhI11_06112025.pdf, вариантная стр. 9</x:v>
      </x:c>
      <x:c r="X3765" s="87"/>
      <x:c r="Y3765" s="87"/>
      <x:c r="Z3765" s="87"/>
      <x:c r="AA3765" s="87"/>
      <x:c r="AB3765" s="87"/>
      <x:c r="AC3765" s="87" t="str">
        <x:v>VIS-CHEM-NOV-023</x:v>
      </x:c>
      <x:c r="AD3765" s="87"/>
      <x:c r="AE3765" s="87"/>
      <x:c r="AF3765" s="87" t="str">
        <x:v>VIS-CHEM-NOV-023: 25</x:v>
      </x:c>
      <x:c r="AG3765" s="87" t="str">
        <x:v>RESOLVED</x:v>
      </x:c>
      <x:c r="AH3765" s="87" t="str">
        <x:v>CROP_VERIFIED</x:v>
      </x:c>
      <x:c r="AI3765" s="30"/>
      <x:c r="AJ3765" s="87" t="str">
        <x:v>master</x:v>
      </x:c>
      <x:c r="AK3765" s="87" t="str">
        <x:v>master-v0.81</x:v>
      </x:c>
      <x:c r="AL3765" s="87" t="str">
        <x:v>statgrad_master_base_v0_81_final(2).xlsx</x:v>
      </x:c>
      <x:c r="AM3765" s="87" t="str">
        <x:v>CHEM_Nov_V2</x:v>
      </x:c>
      <x:c r="AN3765" s="87" t="n">
        <x:v>18</x:v>
      </x:c>
    </x:row>
    <x:row r="3766">
      <x:c r="A3766" s="87" t="n">
        <x:v>3765</x:v>
      </x:c>
      <x:c r="B3766" s="87" t="str">
        <x:v>NOV-CHEM-V2-018</x:v>
      </x:c>
      <x:c r="C3766" s="87" t="str">
        <x:v>СтатГрад</x:v>
      </x:c>
      <x:c r="D3766" s="87" t="str">
        <x:v>Ноябрь 2025</x:v>
      </x:c>
      <x:c r="E3766" s="87"/>
      <x:c r="F3766" s="87"/>
      <x:c r="G3766" s="87" t="str">
        <x:v>Химия</x:v>
      </x:c>
      <x:c r="H3766" s="87" t="n">
        <x:v>11</x:v>
      </x:c>
      <x:c r="I3766" s="87" t="str">
        <x:v>ТР №2</x:v>
      </x:c>
      <x:c r="J3766" s="87" t="str">
        <x:v>ХИ2510202</x:v>
      </x:c>
      <x:c r="K3766" s="87" t="n">
        <x:v>18</x:v>
      </x:c>
      <x:c r="L3766" s="87" t="str">
        <x:v>Скорость химической реакции</x:v>
      </x:c>
      <x:c r="M3766" s="30" t="str">
        <x:v>18   Из предложенного перечня выберите все внешние воздействия, которые
     приводят к увеличению скорости растворения цинка в разбавленной серной
     кислоте.
     1) добавление воды
     2) нагревание
     3) уменьшение pH
     4) измельчение цинка
     5) увеличение давления
     Запишите номера выбранных ответов.
     Ответ: ___________________________.</x:v>
      </x:c>
      <x:c r="N3766" s="30" t="str">
        <x:v>234</x:v>
      </x:c>
      <x:c r="O3766" s="30" t="str">
        <x:v>Выбраны позиции 234; выбор подтверждён разбором каждого предложенного вещества или элемента.</x:v>
      </x:c>
      <x:c r="P3766" s="30" t="str">
        <x:v>Воздействия проверены по кинетическим факторам: концентрации, температуре и площади поверхности.</x:v>
      </x:c>
      <x:c r="Q3766" s="30"/>
      <x:c r="R3766" s="30" t="str">
        <x:v>Фото-сводка ответов + независимое решение</x:v>
      </x:c>
      <x:c r="S3766" s="30"/>
      <x:c r="T3766" s="30"/>
      <x:c r="U3766" s="30" t="str">
        <x:v>Расхождений не обнаружено.</x:v>
      </x:c>
      <x:c r="V3766" s="87" t="str">
        <x:v>VERIFIED</x:v>
      </x:c>
      <x:c r="W3766" s="87" t="str">
        <x:v>Zadanie_KhI11_06112025.pdf, вариантная стр. 9</x:v>
      </x:c>
      <x:c r="X3766" s="87"/>
      <x:c r="Y3766" s="87"/>
      <x:c r="Z3766" s="87"/>
      <x:c r="AA3766" s="87"/>
      <x:c r="AB3766" s="87"/>
      <x:c r="AC3766" s="87" t="str">
        <x:v>VIS-CHEM-NOV-023</x:v>
      </x:c>
      <x:c r="AD3766" s="87"/>
      <x:c r="AE3766" s="87"/>
      <x:c r="AF3766" s="87" t="str">
        <x:v>VIS-CHEM-NOV-023: 25</x:v>
      </x:c>
      <x:c r="AG3766" s="87" t="str">
        <x:v>RESOLVED</x:v>
      </x:c>
      <x:c r="AH3766" s="87" t="str">
        <x:v>CROP_VERIFIED</x:v>
      </x:c>
      <x:c r="AI3766" s="30"/>
      <x:c r="AJ3766" s="87" t="str">
        <x:v>master</x:v>
      </x:c>
      <x:c r="AK3766" s="87" t="str">
        <x:v>master-v0.81</x:v>
      </x:c>
      <x:c r="AL3766" s="87" t="str">
        <x:v>statgrad_master_base_v0_81_final(2).xlsx</x:v>
      </x:c>
      <x:c r="AM3766" s="87" t="str">
        <x:v>CHEM_Nov_V2</x:v>
      </x:c>
      <x:c r="AN3766" s="87" t="n">
        <x:v>19</x:v>
      </x:c>
    </x:row>
    <x:row r="3767">
      <x:c r="A3767" s="87" t="n">
        <x:v>3766</x:v>
      </x:c>
      <x:c r="B3767" s="87" t="str">
        <x:v>NOV-CHEM-V2-019</x:v>
      </x:c>
      <x:c r="C3767" s="87" t="str">
        <x:v>СтатГрад</x:v>
      </x:c>
      <x:c r="D3767" s="87" t="str">
        <x:v>Ноябрь 2025</x:v>
      </x:c>
      <x:c r="E3767" s="87"/>
      <x:c r="F3767" s="87"/>
      <x:c r="G3767" s="87" t="str">
        <x:v>Химия</x:v>
      </x:c>
      <x:c r="H3767" s="87" t="n">
        <x:v>11</x:v>
      </x:c>
      <x:c r="I3767" s="87" t="str">
        <x:v>ТР №2</x:v>
      </x:c>
      <x:c r="J3767" s="87" t="str">
        <x:v>ХИ2510202</x:v>
      </x:c>
      <x:c r="K3767" s="87" t="n">
        <x:v>19</x:v>
      </x:c>
      <x:c r="L3767" s="87" t="str">
        <x:v>ОВР и свойства элемента</x:v>
      </x:c>
      <x:c r="M3767" s="30" t="str">
        <x:v>19   Установите соответствие между схемой реакции и свойством, которое
     проявляет элемент марганец в этой реакции. К каждой позиции,
     обозначенной буквой, подберите соответствующую позицию, обозначенную
     цифрой.
                      СХЕМА РЕАКЦИИ                             СВОЙСТВО МАРГАНЦА
     А) KMnO 4 → K 2 MnO 4 + MnO 2 + O 2                        1) только окислитель
     Б) Mn(OH) 2 + Cl 2 + KOH → MnO 2 + KCl +                   2) только восстановитель
        H2O                                                     3) и окислитель,
     В) K 2 MnO 4 + H 2 SO 4 → MnO 2 + KMnO 4 +                    и восстановитель
        K 2 SO 4 + H 2 O                                           одновременно
                                                                4) не изменяет степень
                                                                   окисления
     Запишите в таблицу выбранные цифры под соответствующими буквами.
                 А Б В
     Ответ:</x:v>
      </x:c>
      <x:c r="N3767" s="30" t="str">
        <x:v>123</x:v>
      </x:c>
      <x:c r="O3767" s="30" t="str">
        <x:v>Последовательность 123 задаёт соответствия позициям задания; каждое соответствие проверено отдельно.</x:v>
      </x:c>
      <x:c r="P3767" s="30" t="str">
        <x:v>Степени окисления иода до и после реакции сопоставлены для определения его свойства.</x:v>
      </x:c>
      <x:c r="Q3767" s="30"/>
      <x:c r="R3767" s="30" t="str">
        <x:v>Фото-сводка ответов + независимое решение</x:v>
      </x:c>
      <x:c r="S3767" s="30"/>
      <x:c r="T3767" s="30"/>
      <x:c r="U3767" s="30" t="str">
        <x:v>Расхождений не обнаружено.</x:v>
      </x:c>
      <x:c r="V3767" s="87" t="str">
        <x:v>VERIFIED</x:v>
      </x:c>
      <x:c r="W3767" s="87" t="str">
        <x:v>Zadanie_KhI11_06112025.pdf, вариантная стр. 10</x:v>
      </x:c>
      <x:c r="X3767" s="87"/>
      <x:c r="Y3767" s="87"/>
      <x:c r="Z3767" s="87"/>
      <x:c r="AA3767" s="87"/>
      <x:c r="AB3767" s="87"/>
      <x:c r="AC3767" s="87" t="str">
        <x:v>VIS-CHEM-NOV-024</x:v>
      </x:c>
      <x:c r="AD3767" s="87"/>
      <x:c r="AE3767" s="87"/>
      <x:c r="AF3767" s="87" t="str">
        <x:v>VIS-CHEM-NOV-024: 26</x:v>
      </x:c>
      <x:c r="AG3767" s="87" t="str">
        <x:v>RESOLVED</x:v>
      </x:c>
      <x:c r="AH3767" s="87" t="str">
        <x:v>CROP_VERIFIED</x:v>
      </x:c>
      <x:c r="AI3767" s="30"/>
      <x:c r="AJ3767" s="87" t="str">
        <x:v>master</x:v>
      </x:c>
      <x:c r="AK3767" s="87" t="str">
        <x:v>master-v0.81</x:v>
      </x:c>
      <x:c r="AL3767" s="87" t="str">
        <x:v>statgrad_master_base_v0_81_final(2).xlsx</x:v>
      </x:c>
      <x:c r="AM3767" s="87" t="str">
        <x:v>CHEM_Nov_V2</x:v>
      </x:c>
      <x:c r="AN3767" s="87" t="n">
        <x:v>20</x:v>
      </x:c>
    </x:row>
    <x:row r="3768">
      <x:c r="A3768" s="87" t="n">
        <x:v>3767</x:v>
      </x:c>
      <x:c r="B3768" s="87" t="str">
        <x:v>NOV-CHEM-V2-020</x:v>
      </x:c>
      <x:c r="C3768" s="87" t="str">
        <x:v>СтатГрад</x:v>
      </x:c>
      <x:c r="D3768" s="87" t="str">
        <x:v>Ноябрь 2025</x:v>
      </x:c>
      <x:c r="E3768" s="87"/>
      <x:c r="F3768" s="87"/>
      <x:c r="G3768" s="87" t="str">
        <x:v>Химия</x:v>
      </x:c>
      <x:c r="H3768" s="87" t="n">
        <x:v>11</x:v>
      </x:c>
      <x:c r="I3768" s="87" t="str">
        <x:v>ТР №2</x:v>
      </x:c>
      <x:c r="J3768" s="87" t="str">
        <x:v>ХИ2510202</x:v>
      </x:c>
      <x:c r="K3768" s="87" t="n">
        <x:v>20</x:v>
      </x:c>
      <x:c r="L3768" s="87" t="str">
        <x:v>Электролиз</x:v>
      </x:c>
      <x:c r="M3768" s="30" t="str">
        <x:v>20   Установите соответствие между веществом и продуктом(ами) электролиза
     водного раствора этого вещества, образовавшим(и)ся на катоде. К каждой
     позиции, обозначенной буквой, подберите соответствующую позицию,
     обозначенную цифрой.
                       ВЕЩЕСТВО                             ПРОДУКТ(Ы) НА КАТОДЕ
     А) BaCl 2                                             1) металл
     Б) HCl                                                2) только водород
     В) CuSO 4                                             3) водород и щёлочь
                                                           4) сернистый газ
     Запишите в таблицу выбранные цифры под соответствующими буквами.
                 А Б В
     Ответ:
     Для выполнения задания 21 используйте следующие справочные данные.
     Концентрация (молярная, моль/л) показывает отношение количества
     растворённого вещества (n) к объёму раствора (V).
     pH («пэ аш») – водородный показатель; величина, которая отражает
     концентрацию ионов водорода в растворе и используется для
     характеристики кислотности среды.</x:v>
      </x:c>
      <x:c r="N3768" s="30" t="str">
        <x:v>321</x:v>
      </x:c>
      <x:c r="O3768" s="30" t="str">
        <x:v>Последовательность 321 задаёт соответствия позициям задания; каждое соответствие проверено отдельно.</x:v>
      </x:c>
      <x:c r="P3768" s="30" t="str">
        <x:v>Продукты на инертном аноде определены по конкуренции окисления аниона и воды.</x:v>
      </x:c>
      <x:c r="Q3768" s="30"/>
      <x:c r="R3768" s="30" t="str">
        <x:v>Фото-сводка ответов + независимое решение</x:v>
      </x:c>
      <x:c r="S3768" s="30"/>
      <x:c r="T3768" s="30"/>
      <x:c r="U3768" s="30" t="str">
        <x:v>Расхождений не обнаружено.</x:v>
      </x:c>
      <x:c r="V3768" s="87" t="str">
        <x:v>VERIFIED</x:v>
      </x:c>
      <x:c r="W3768" s="87" t="str">
        <x:v>Zadanie_KhI11_06112025.pdf, вариантная стр. 10</x:v>
      </x:c>
      <x:c r="X3768" s="87"/>
      <x:c r="Y3768" s="87"/>
      <x:c r="Z3768" s="87"/>
      <x:c r="AA3768" s="87"/>
      <x:c r="AB3768" s="87"/>
      <x:c r="AC3768" s="87" t="str">
        <x:v>VIS-CHEM-NOV-024</x:v>
      </x:c>
      <x:c r="AD3768" s="87"/>
      <x:c r="AE3768" s="87"/>
      <x:c r="AF3768" s="87" t="str">
        <x:v>VIS-CHEM-NOV-024: 26</x:v>
      </x:c>
      <x:c r="AG3768" s="87" t="str">
        <x:v>RESOLVED</x:v>
      </x:c>
      <x:c r="AH3768" s="87" t="str">
        <x:v>CROP_VERIFIED</x:v>
      </x:c>
      <x:c r="AI3768" s="30"/>
      <x:c r="AJ3768" s="87" t="str">
        <x:v>master</x:v>
      </x:c>
      <x:c r="AK3768" s="87" t="str">
        <x:v>master-v0.81</x:v>
      </x:c>
      <x:c r="AL3768" s="87" t="str">
        <x:v>statgrad_master_base_v0_81_final(2).xlsx</x:v>
      </x:c>
      <x:c r="AM3768" s="87" t="str">
        <x:v>CHEM_Nov_V2</x:v>
      </x:c>
      <x:c r="AN3768" s="87" t="n">
        <x:v>21</x:v>
      </x:c>
    </x:row>
    <x:row r="3769">
      <x:c r="A3769" s="87" t="n">
        <x:v>3768</x:v>
      </x:c>
      <x:c r="B3769" s="87" t="str">
        <x:v>NOV-CHEM-V2-021</x:v>
      </x:c>
      <x:c r="C3769" s="87" t="str">
        <x:v>СтатГрад</x:v>
      </x:c>
      <x:c r="D3769" s="87" t="str">
        <x:v>Ноябрь 2025</x:v>
      </x:c>
      <x:c r="E3769" s="87"/>
      <x:c r="F3769" s="87"/>
      <x:c r="G3769" s="87" t="str">
        <x:v>Химия</x:v>
      </x:c>
      <x:c r="H3769" s="87" t="n">
        <x:v>11</x:v>
      </x:c>
      <x:c r="I3769" s="87" t="str">
        <x:v>ТР №2</x:v>
      </x:c>
      <x:c r="J3769" s="87" t="str">
        <x:v>ХИ2510202</x:v>
      </x:c>
      <x:c r="K3769" s="87" t="n">
        <x:v>21</x:v>
      </x:c>
      <x:c r="L3769" s="87" t="str">
        <x:v>Среда растворов</x:v>
      </x:c>
      <x:c r="M3769" s="30" t="str">
        <x:v>21   Для веществ, приведённых в перечне, определите характер среды их водных
     растворов.
     1) HI
     2) CH 3 NH 2
     3) CH 3 NH 3 Cl
     4) KClO 3
     Запишите номера веществ в порядке убывания значения pH их водных
     растворов, имеющих молярную концентрацию 0,12 моль/л.
     Ответ:        →       →       →</x:v>
      </x:c>
      <x:c r="N3769" s="30" t="str">
        <x:v>2431</x:v>
      </x:c>
      <x:c r="O3769" s="30" t="str">
        <x:v>Выбраны позиции 2431; выбор подтверждён разбором каждого предложенного вещества или элемента.</x:v>
      </x:c>
      <x:c r="P3769" s="30" t="str">
        <x:v>Среда растворов установлена по гидролизу солей и силе электролитов.</x:v>
      </x:c>
      <x:c r="Q3769" s="30"/>
      <x:c r="R3769" s="30" t="str">
        <x:v>Фото-сводка ответов + независимое решение</x:v>
      </x:c>
      <x:c r="S3769" s="30"/>
      <x:c r="T3769" s="30"/>
      <x:c r="U3769" s="30" t="str">
        <x:v>Расхождений не обнаружено.</x:v>
      </x:c>
      <x:c r="V3769" s="87" t="str">
        <x:v>VERIFIED</x:v>
      </x:c>
      <x:c r="W3769" s="87" t="str">
        <x:v>Zadanie_KhI11_06112025.pdf, вариантная стр. 11</x:v>
      </x:c>
      <x:c r="X3769" s="87"/>
      <x:c r="Y3769" s="87"/>
      <x:c r="Z3769" s="87"/>
      <x:c r="AA3769" s="87"/>
      <x:c r="AB3769" s="87"/>
      <x:c r="AC3769" s="87" t="str">
        <x:v>VIS-CHEM-NOV-025</x:v>
      </x:c>
      <x:c r="AD3769" s="87"/>
      <x:c r="AE3769" s="87"/>
      <x:c r="AF3769" s="87" t="str">
        <x:v>VIS-CHEM-NOV-025: 27</x:v>
      </x:c>
      <x:c r="AG3769" s="87" t="str">
        <x:v>RESOLVED</x:v>
      </x:c>
      <x:c r="AH3769" s="87" t="str">
        <x:v>CROP_VERIFIED</x:v>
      </x:c>
      <x:c r="AI3769" s="30"/>
      <x:c r="AJ3769" s="87" t="str">
        <x:v>master</x:v>
      </x:c>
      <x:c r="AK3769" s="87" t="str">
        <x:v>master-v0.81</x:v>
      </x:c>
      <x:c r="AL3769" s="87" t="str">
        <x:v>statgrad_master_base_v0_81_final(2).xlsx</x:v>
      </x:c>
      <x:c r="AM3769" s="87" t="str">
        <x:v>CHEM_Nov_V2</x:v>
      </x:c>
      <x:c r="AN3769" s="87" t="n">
        <x:v>22</x:v>
      </x:c>
    </x:row>
    <x:row r="3770">
      <x:c r="A3770" s="87" t="n">
        <x:v>3769</x:v>
      </x:c>
      <x:c r="B3770" s="87" t="str">
        <x:v>NOV-CHEM-V2-022</x:v>
      </x:c>
      <x:c r="C3770" s="87" t="str">
        <x:v>СтатГрад</x:v>
      </x:c>
      <x:c r="D3770" s="87" t="str">
        <x:v>Ноябрь 2025</x:v>
      </x:c>
      <x:c r="E3770" s="87"/>
      <x:c r="F3770" s="87"/>
      <x:c r="G3770" s="87" t="str">
        <x:v>Химия</x:v>
      </x:c>
      <x:c r="H3770" s="87" t="n">
        <x:v>11</x:v>
      </x:c>
      <x:c r="I3770" s="87" t="str">
        <x:v>ТР №2</x:v>
      </x:c>
      <x:c r="J3770" s="87" t="str">
        <x:v>ХИ2510202</x:v>
      </x:c>
      <x:c r="K3770" s="87" t="n">
        <x:v>22</x:v>
      </x:c>
      <x:c r="L3770" s="87" t="str">
        <x:v>Химическое равновесие</x:v>
      </x:c>
      <x:c r="M3770" s="30" t="str">
        <x:v>22   Установите соответствие между способом воздействия на равновесную
     систему
                     Ag 2 O(тв.) + CO(г) 2Ag(тв.) + CO 2 (г) + Q
     и направлением смещения равновесия в результате этого воздействия.
     К каждой позиции, обозначенной буквой, подберите соответствующую
     позицию, обозначенную цифрой.
        СПОСОБ ВОЗДЕЙСТВИЯ                          ХИМИЧЕСКОЕ РАВНОВЕСИЕ
     А) увеличение давления                     1) смещается в направлении прямой
     Б) охлаждение                                 реакции
     В) добавление углекислого газа             2) смещается в направлении обратной
     Г) добавление твёрдого серебра                реакции
                                                3) практически не смещается
     Запишите в таблицу выбранные цифры под соответствующими буквами.
                А Б В Г
     Ответ:</x:v>
      </x:c>
      <x:c r="N3770" s="30" t="str">
        <x:v>3123</x:v>
      </x:c>
      <x:c r="O3770" s="30" t="str">
        <x:v>Последовательность 3123 задаёт соответствия позициям задания; каждое соответствие проверено отдельно.</x:v>
      </x:c>
      <x:c r="P3770" s="30" t="str">
        <x:v>Смещение равновесия проверено по принципу Ле Шателье.</x:v>
      </x:c>
      <x:c r="Q3770" s="30"/>
      <x:c r="R3770" s="30" t="str">
        <x:v>Таблица ответов PDF + независимое решение</x:v>
      </x:c>
      <x:c r="S3770" s="30"/>
      <x:c r="T3770" s="30"/>
      <x:c r="U3770" s="30" t="str">
        <x:v>Расхождений не обнаружено.</x:v>
      </x:c>
      <x:c r="V3770" s="87" t="str">
        <x:v>VERIFIED</x:v>
      </x:c>
      <x:c r="W3770" s="87" t="str">
        <x:v>Zadanie_KhI11_06112025.pdf, вариантная стр. 12</x:v>
      </x:c>
      <x:c r="X3770" s="87"/>
      <x:c r="Y3770" s="87"/>
      <x:c r="Z3770" s="87"/>
      <x:c r="AA3770" s="87"/>
      <x:c r="AB3770" s="87"/>
      <x:c r="AC3770" s="87" t="str">
        <x:v>VIS-CHEM-NOV-026</x:v>
      </x:c>
      <x:c r="AD3770" s="87"/>
      <x:c r="AE3770" s="87"/>
      <x:c r="AF3770" s="87" t="str">
        <x:v>VIS-CHEM-NOV-026: 28</x:v>
      </x:c>
      <x:c r="AG3770" s="87" t="str">
        <x:v>RESOLVED</x:v>
      </x:c>
      <x:c r="AH3770" s="87" t="str">
        <x:v>CROP_VERIFIED</x:v>
      </x:c>
      <x:c r="AI3770" s="30"/>
      <x:c r="AJ3770" s="87" t="str">
        <x:v>master</x:v>
      </x:c>
      <x:c r="AK3770" s="87" t="str">
        <x:v>master-v0.81</x:v>
      </x:c>
      <x:c r="AL3770" s="87" t="str">
        <x:v>statgrad_master_base_v0_81_final(2).xlsx</x:v>
      </x:c>
      <x:c r="AM3770" s="87" t="str">
        <x:v>CHEM_Nov_V2</x:v>
      </x:c>
      <x:c r="AN3770" s="87" t="n">
        <x:v>23</x:v>
      </x:c>
    </x:row>
    <x:row r="3771">
      <x:c r="A3771" s="87" t="n">
        <x:v>3770</x:v>
      </x:c>
      <x:c r="B3771" s="87" t="str">
        <x:v>NOV-CHEM-V2-023</x:v>
      </x:c>
      <x:c r="C3771" s="87" t="str">
        <x:v>СтатГрад</x:v>
      </x:c>
      <x:c r="D3771" s="87" t="str">
        <x:v>Ноябрь 2025</x:v>
      </x:c>
      <x:c r="E3771" s="87"/>
      <x:c r="F3771" s="87"/>
      <x:c r="G3771" s="87" t="str">
        <x:v>Химия</x:v>
      </x:c>
      <x:c r="H3771" s="87" t="n">
        <x:v>11</x:v>
      </x:c>
      <x:c r="I3771" s="87" t="str">
        <x:v>ТР №2</x:v>
      </x:c>
      <x:c r="J3771" s="87" t="str">
        <x:v>ХИ2510202</x:v>
      </x:c>
      <x:c r="K3771" s="87" t="n">
        <x:v>23</x:v>
      </x:c>
      <x:c r="L3771" s="87" t="str">
        <x:v>Равновесные концентрации</x:v>
      </x:c>
      <x:c r="M3771" s="30" t="str">
        <x:v>23   В реактор постоянного объёма ввели этан и сильно нагрели. В реакторе
     установилось равновесие:
                              C 2 H 6 (г) C 2 H 2 (г) + 2H 2 (г),
     при котором в реакторе содержалось 300 моль этана и 200 моль ацетилена.
     Другие процессы в реакторе не протекали. Рассчитайте исходное количество
     вещества C2H 6 (X) и равновесное количество вещества H 2 (Y).
     Выберите из списка номера правильных ответов.
     1) 100 моль
     2) 200 моль
     3) 300 моль
     4) 400 моль
     5) 500 моль
     6) 700 моль
     Запишите выбранные номера в таблицу под соответствующими буквами.
                   X            Y
     Ответ:</x:v>
      </x:c>
      <x:c r="N3771" s="30" t="str">
        <x:v>X=5; Y=4</x:v>
      </x:c>
      <x:c r="O3771" s="30" t="str">
        <x:v>По условию получено: X=5; Y=4. Оба неизвестных определены совместно, а не подбором по ключу.</x:v>
      </x:c>
      <x:c r="P3771" s="30" t="str">
        <x:v>Изменения равновесных концентраций рассчитаны по стехиометрии реакции.</x:v>
      </x:c>
      <x:c r="Q3771" s="30"/>
      <x:c r="R3771" s="30" t="str">
        <x:v>Фото-сводка ответов + независимое решение</x:v>
      </x:c>
      <x:c r="S3771" s="30"/>
      <x:c r="T3771" s="30"/>
      <x:c r="U3771" s="30" t="str">
        <x:v>Расхождений не обнаружено.</x:v>
      </x:c>
      <x:c r="V3771" s="87" t="str">
        <x:v>VERIFIED</x:v>
      </x:c>
      <x:c r="W3771" s="87" t="str">
        <x:v>Zadanie_KhI11_06112025.pdf, вариантная стр. 12</x:v>
      </x:c>
      <x:c r="X3771" s="87"/>
      <x:c r="Y3771" s="87"/>
      <x:c r="Z3771" s="87"/>
      <x:c r="AA3771" s="87"/>
      <x:c r="AB3771" s="87"/>
      <x:c r="AC3771" s="87" t="str">
        <x:v>VIS-CHEM-NOV-026</x:v>
      </x:c>
      <x:c r="AD3771" s="87"/>
      <x:c r="AE3771" s="87"/>
      <x:c r="AF3771" s="87" t="str">
        <x:v>VIS-CHEM-NOV-026: 28</x:v>
      </x:c>
      <x:c r="AG3771" s="87" t="str">
        <x:v>RESOLVED</x:v>
      </x:c>
      <x:c r="AH3771" s="87" t="str">
        <x:v>CROP_VERIFIED</x:v>
      </x:c>
      <x:c r="AI3771" s="30"/>
      <x:c r="AJ3771" s="87" t="str">
        <x:v>master</x:v>
      </x:c>
      <x:c r="AK3771" s="87" t="str">
        <x:v>master-v0.81</x:v>
      </x:c>
      <x:c r="AL3771" s="87" t="str">
        <x:v>statgrad_master_base_v0_81_final(2).xlsx</x:v>
      </x:c>
      <x:c r="AM3771" s="87" t="str">
        <x:v>CHEM_Nov_V2</x:v>
      </x:c>
      <x:c r="AN3771" s="87" t="n">
        <x:v>24</x:v>
      </x:c>
    </x:row>
    <x:row r="3772">
      <x:c r="A3772" s="87" t="n">
        <x:v>3771</x:v>
      </x:c>
      <x:c r="B3772" s="87" t="str">
        <x:v>NOV-CHEM-V2-024</x:v>
      </x:c>
      <x:c r="C3772" s="87" t="str">
        <x:v>СтатГрад</x:v>
      </x:c>
      <x:c r="D3772" s="87" t="str">
        <x:v>Ноябрь 2025</x:v>
      </x:c>
      <x:c r="E3772" s="87"/>
      <x:c r="F3772" s="87"/>
      <x:c r="G3772" s="87" t="str">
        <x:v>Химия</x:v>
      </x:c>
      <x:c r="H3772" s="87" t="n">
        <x:v>11</x:v>
      </x:c>
      <x:c r="I3772" s="87" t="str">
        <x:v>ТР №2</x:v>
      </x:c>
      <x:c r="J3772" s="87" t="str">
        <x:v>ХИ2510202</x:v>
      </x:c>
      <x:c r="K3772" s="87" t="n">
        <x:v>24</x:v>
      </x:c>
      <x:c r="L3772" s="87" t="str">
        <x:v>Качественный анализ</x:v>
      </x:c>
      <x:c r="M3772" s="30" t="str">
        <x:v>24   Установите соответствие между веществом и признаком его реакции
     со свежеосаждённым гидроксидом меди(II).
     К каждой позиции, обозначенной буквой, подберите соответствующую
     позицию, обозначенную цифрой.
           ВЕЩЕСТВО                               ПРИЗНАК РЕАКЦИИ
     А) ацетилен                       1) образование красного осадка при
     Б) этаналь                           нагревании
     В) пропионовая кислота            2) образование белого осадка
     Г) этиленгликоль                  3) образование голубого раствора
                                       4) образование тёмно-синего раствора
                                       5) видимые признаки отсутствуют
     Запишите в таблицу выбранные цифры под соответствующими буквами.
                А Б В Г
     Ответ:</x:v>
      </x:c>
      <x:c r="N3772" s="30" t="str">
        <x:v>5134</x:v>
      </x:c>
      <x:c r="O3772" s="30" t="str">
        <x:v>Последовательность 5134 задаёт соответствия позициям задания; каждое соответствие проверено отдельно.</x:v>
      </x:c>
      <x:c r="P3772" s="30" t="str">
        <x:v>Для каждой пары записана качественная реакция и определён наблюдаемый признак.</x:v>
      </x:c>
      <x:c r="Q3772" s="30"/>
      <x:c r="R3772" s="30" t="str">
        <x:v>Таблица ответов PDF + независимое решение</x:v>
      </x:c>
      <x:c r="S3772" s="30"/>
      <x:c r="T3772" s="30"/>
      <x:c r="U3772" s="30" t="str">
        <x:v>Расхождений не обнаружено.</x:v>
      </x:c>
      <x:c r="V3772" s="87" t="str">
        <x:v>VERIFIED</x:v>
      </x:c>
      <x:c r="W3772" s="87" t="str">
        <x:v>Zadanie_KhI11_06112025.pdf, вариантная стр. 13</x:v>
      </x:c>
      <x:c r="X3772" s="87"/>
      <x:c r="Y3772" s="87"/>
      <x:c r="Z3772" s="87"/>
      <x:c r="AA3772" s="87"/>
      <x:c r="AB3772" s="87"/>
      <x:c r="AC3772" s="87" t="str">
        <x:v>VIS-CHEM-NOV-027</x:v>
      </x:c>
      <x:c r="AD3772" s="87"/>
      <x:c r="AE3772" s="87"/>
      <x:c r="AF3772" s="87" t="str">
        <x:v>VIS-CHEM-NOV-027: 29</x:v>
      </x:c>
      <x:c r="AG3772" s="87" t="str">
        <x:v>RESOLVED</x:v>
      </x:c>
      <x:c r="AH3772" s="87" t="str">
        <x:v>CROP_VERIFIED</x:v>
      </x:c>
      <x:c r="AI3772" s="30"/>
      <x:c r="AJ3772" s="87" t="str">
        <x:v>master</x:v>
      </x:c>
      <x:c r="AK3772" s="87" t="str">
        <x:v>master-v0.81</x:v>
      </x:c>
      <x:c r="AL3772" s="87" t="str">
        <x:v>statgrad_master_base_v0_81_final(2).xlsx</x:v>
      </x:c>
      <x:c r="AM3772" s="87" t="str">
        <x:v>CHEM_Nov_V2</x:v>
      </x:c>
      <x:c r="AN3772" s="87" t="n">
        <x:v>25</x:v>
      </x:c>
    </x:row>
    <x:row r="3773">
      <x:c r="A3773" s="87" t="n">
        <x:v>3772</x:v>
      </x:c>
      <x:c r="B3773" s="87" t="str">
        <x:v>NOV-CHEM-V2-025</x:v>
      </x:c>
      <x:c r="C3773" s="87" t="str">
        <x:v>СтатГрад</x:v>
      </x:c>
      <x:c r="D3773" s="87" t="str">
        <x:v>Ноябрь 2025</x:v>
      </x:c>
      <x:c r="E3773" s="87"/>
      <x:c r="F3773" s="87"/>
      <x:c r="G3773" s="87" t="str">
        <x:v>Химия</x:v>
      </x:c>
      <x:c r="H3773" s="87" t="n">
        <x:v>11</x:v>
      </x:c>
      <x:c r="I3773" s="87" t="str">
        <x:v>ТР №2</x:v>
      </x:c>
      <x:c r="J3773" s="87" t="str">
        <x:v>ХИ2510202</x:v>
      </x:c>
      <x:c r="K3773" s="87" t="n">
        <x:v>25</x:v>
      </x:c>
      <x:c r="L3773" s="87" t="str">
        <x:v>Промышленная химия</x:v>
      </x:c>
      <x:c r="M3773" s="30" t="str">
        <x:v>25   Установите соответствие между названием материала и способом его
     получения: к каждой позиции, обозначенной буквой, подберите соответст-
     вующую позицию, обозначенную цифрой.
     К каждой позиции, обозначенной буквой, подберите соответствующую
     позицию, обозначенную цифрой.
             НАЗВАНИЕ МАТЕРИАЛА                               СПОСОБ ПОЛУЧЕНИЯ
     А) поливинилацетат                                    1) полимеризация
     Б) хлоропреновый каучук                               2) гидролиз
     В) полиэтилентерефталат                               3) поликонденсация
                                                           4) вулканизация
     Запишите в таблицу выбранные цифры под соответствующими буквами.
                А Б В
     Ответ:
     Ответом к заданиям 26–28 является число. Запишите это число в поле
     ответа в тексте работы, соблюдая при этом указанную степень
     точности. Единицы измерения физических величин в поле ответа
     указывать не нужно.
     При проведении расчётов для всех элементов, кроме хлора, используйте
     значения относительных атомных масс, выраженные целыми числами
     (Ar(Cl) = 35,5).</x:v>
      </x:c>
      <x:c r="N3773" s="30" t="str">
        <x:v>113</x:v>
      </x:c>
      <x:c r="O3773" s="30" t="str">
        <x:v>Выбраны позиции 113; выбор подтверждён разбором каждого предложенного вещества или элемента.</x:v>
      </x:c>
      <x:c r="P3773" s="30" t="str">
        <x:v>Способы промышленного получения сопоставлены с сырьём и технологическим процессом.</x:v>
      </x:c>
      <x:c r="Q3773" s="30"/>
      <x:c r="R3773" s="30" t="str">
        <x:v>Фото-сводка ответов + независимое решение</x:v>
      </x:c>
      <x:c r="S3773" s="30"/>
      <x:c r="T3773" s="30"/>
      <x:c r="U3773" s="30" t="str">
        <x:v>Расхождений не обнаружено.</x:v>
      </x:c>
      <x:c r="V3773" s="87" t="str">
        <x:v>VERIFIED</x:v>
      </x:c>
      <x:c r="W3773" s="87" t="str">
        <x:v>Zadanie_KhI11_06112025.pdf, вариантная стр. 13</x:v>
      </x:c>
      <x:c r="X3773" s="87"/>
      <x:c r="Y3773" s="87"/>
      <x:c r="Z3773" s="87"/>
      <x:c r="AA3773" s="87"/>
      <x:c r="AB3773" s="87"/>
      <x:c r="AC3773" s="87" t="str">
        <x:v>VIS-CHEM-NOV-027</x:v>
      </x:c>
      <x:c r="AD3773" s="87"/>
      <x:c r="AE3773" s="87"/>
      <x:c r="AF3773" s="87" t="str">
        <x:v>VIS-CHEM-NOV-027: 29</x:v>
      </x:c>
      <x:c r="AG3773" s="87" t="str">
        <x:v>RESOLVED</x:v>
      </x:c>
      <x:c r="AH3773" s="87" t="str">
        <x:v>CROP_VERIFIED</x:v>
      </x:c>
      <x:c r="AI3773" s="30"/>
      <x:c r="AJ3773" s="87" t="str">
        <x:v>master</x:v>
      </x:c>
      <x:c r="AK3773" s="87" t="str">
        <x:v>master-v0.81</x:v>
      </x:c>
      <x:c r="AL3773" s="87" t="str">
        <x:v>statgrad_master_base_v0_81_final(2).xlsx</x:v>
      </x:c>
      <x:c r="AM3773" s="87" t="str">
        <x:v>CHEM_Nov_V2</x:v>
      </x:c>
      <x:c r="AN3773" s="87" t="n">
        <x:v>26</x:v>
      </x:c>
    </x:row>
    <x:row r="3774">
      <x:c r="A3774" s="87" t="n">
        <x:v>3773</x:v>
      </x:c>
      <x:c r="B3774" s="87" t="str">
        <x:v>NOV-CHEM-V2-026</x:v>
      </x:c>
      <x:c r="C3774" s="87" t="str">
        <x:v>СтатГрад</x:v>
      </x:c>
      <x:c r="D3774" s="87" t="str">
        <x:v>Ноябрь 2025</x:v>
      </x:c>
      <x:c r="E3774" s="87"/>
      <x:c r="F3774" s="87"/>
      <x:c r="G3774" s="87" t="str">
        <x:v>Химия</x:v>
      </x:c>
      <x:c r="H3774" s="87" t="n">
        <x:v>11</x:v>
      </x:c>
      <x:c r="I3774" s="87" t="str">
        <x:v>ТР №2</x:v>
      </x:c>
      <x:c r="J3774" s="87" t="str">
        <x:v>ХИ2510202</x:v>
      </x:c>
      <x:c r="K3774" s="87" t="n">
        <x:v>26</x:v>
      </x:c>
      <x:c r="L3774" s="87" t="str">
        <x:v>Растворы и концентрации</x:v>
      </x:c>
      <x:c r="M3774" s="30" t="str">
        <x:v>26   При охлаждении 60 г горячего 70 %-го раствора AgF выпал осадок
     и образовался насыщенный, 50 %-й раствор. Сколько граммов AgF выпало
     в осадок? (Запишите число с точностью до целых.)
     Ответ: ___________________________.</x:v>
      </x:c>
      <x:c r="N3774" s="30" t="str">
        <x:v>24</x:v>
      </x:c>
      <x:c r="O3774" s="30" t="str">
        <x:v>Повторный расчёт по данным условия даёт 24; округление выполнено в формате ответа ЕГЭ.</x:v>
      </x:c>
      <x:c r="P3774" s="30" t="str">
        <x:v>Состав исходного и насыщенного растворов пересчитан по балансу растворённого вещества.</x:v>
      </x:c>
      <x:c r="Q3774" s="30"/>
      <x:c r="R3774" s="30" t="str">
        <x:v>Фото-сводка ответов + независимое решение</x:v>
      </x:c>
      <x:c r="S3774" s="30"/>
      <x:c r="T3774" s="30"/>
      <x:c r="U3774" s="30" t="str">
        <x:v>Расхождений не обнаружено.</x:v>
      </x:c>
      <x:c r="V3774" s="87" t="str">
        <x:v>VERIFIED</x:v>
      </x:c>
      <x:c r="W3774" s="87" t="str">
        <x:v>Zadanie_KhI11_06112025.pdf, вариантная стр. 14</x:v>
      </x:c>
      <x:c r="X3774" s="87"/>
      <x:c r="Y3774" s="87"/>
      <x:c r="Z3774" s="87"/>
      <x:c r="AA3774" s="87"/>
      <x:c r="AB3774" s="87"/>
      <x:c r="AC3774" s="87" t="str">
        <x:v>VIS-CHEM-NOV-028</x:v>
      </x:c>
      <x:c r="AD3774" s="87"/>
      <x:c r="AE3774" s="87"/>
      <x:c r="AF3774" s="87" t="str">
        <x:v>VIS-CHEM-NOV-028: 30</x:v>
      </x:c>
      <x:c r="AG3774" s="87" t="str">
        <x:v>RESOLVED</x:v>
      </x:c>
      <x:c r="AH3774" s="87" t="str">
        <x:v>CROP_VERIFIED</x:v>
      </x:c>
      <x:c r="AI3774" s="30"/>
      <x:c r="AJ3774" s="87" t="str">
        <x:v>master</x:v>
      </x:c>
      <x:c r="AK3774" s="87" t="str">
        <x:v>master-v0.81</x:v>
      </x:c>
      <x:c r="AL3774" s="87" t="str">
        <x:v>statgrad_master_base_v0_81_final(2).xlsx</x:v>
      </x:c>
      <x:c r="AM3774" s="87" t="str">
        <x:v>CHEM_Nov_V2</x:v>
      </x:c>
      <x:c r="AN3774" s="87" t="n">
        <x:v>27</x:v>
      </x:c>
    </x:row>
    <x:row r="3775">
      <x:c r="A3775" s="87" t="n">
        <x:v>3774</x:v>
      </x:c>
      <x:c r="B3775" s="87" t="str">
        <x:v>NOV-CHEM-V2-027</x:v>
      </x:c>
      <x:c r="C3775" s="87" t="str">
        <x:v>СтатГрад</x:v>
      </x:c>
      <x:c r="D3775" s="87" t="str">
        <x:v>Ноябрь 2025</x:v>
      </x:c>
      <x:c r="E3775" s="87"/>
      <x:c r="F3775" s="87"/>
      <x:c r="G3775" s="87" t="str">
        <x:v>Химия</x:v>
      </x:c>
      <x:c r="H3775" s="87" t="n">
        <x:v>11</x:v>
      </x:c>
      <x:c r="I3775" s="87" t="str">
        <x:v>ТР №2</x:v>
      </x:c>
      <x:c r="J3775" s="87" t="str">
        <x:v>ХИ2510202</x:v>
      </x:c>
      <x:c r="K3775" s="87" t="n">
        <x:v>27</x:v>
      </x:c>
      <x:c r="L3775" s="87" t="str">
        <x:v>Термохимия</x:v>
      </x:c>
      <x:c r="M3775" s="30" t="str">
        <x:v>27   Дано термохимическое уравнение сгорания алюминия на воздухе:
                               4Al + 3O 2 = 2Al 2 O 3 + 3350 кДж.
     В результате реакции выделилось 402 кДж теплоты. Сколько граммов
     металла сгорело? (Запишите число с точностью до целых.)
     Ответ: ___________________________ г.</x:v>
      </x:c>
      <x:c r="N3775" s="30" t="str">
        <x:v>13</x:v>
      </x:c>
      <x:c r="O3775" s="30" t="str">
        <x:v>Повторный расчёт по данным условия даёт 13; округление выполнено в формате ответа ЕГЭ.</x:v>
      </x:c>
      <x:c r="P3775" s="30" t="str">
        <x:v>Количество теплоты связано со стехиометрическим количеством вещества в термохимическом уравнении.</x:v>
      </x:c>
      <x:c r="Q3775" s="30"/>
      <x:c r="R3775" s="30" t="str">
        <x:v>Фото-сводка ответов + независимое решение</x:v>
      </x:c>
      <x:c r="S3775" s="30"/>
      <x:c r="T3775" s="30"/>
      <x:c r="U3775" s="30" t="str">
        <x:v>Расхождений не обнаружено.</x:v>
      </x:c>
      <x:c r="V3775" s="87" t="str">
        <x:v>VERIFIED</x:v>
      </x:c>
      <x:c r="W3775" s="87" t="str">
        <x:v>Zadanie_KhI11_06112025.pdf, вариантная стр. 14</x:v>
      </x:c>
      <x:c r="X3775" s="87"/>
      <x:c r="Y3775" s="87"/>
      <x:c r="Z3775" s="87"/>
      <x:c r="AA3775" s="87"/>
      <x:c r="AB3775" s="87"/>
      <x:c r="AC3775" s="87" t="str">
        <x:v>VIS-CHEM-NOV-028</x:v>
      </x:c>
      <x:c r="AD3775" s="87"/>
      <x:c r="AE3775" s="87"/>
      <x:c r="AF3775" s="87" t="str">
        <x:v>VIS-CHEM-NOV-028: 30</x:v>
      </x:c>
      <x:c r="AG3775" s="87" t="str">
        <x:v>RESOLVED</x:v>
      </x:c>
      <x:c r="AH3775" s="87" t="str">
        <x:v>CROP_VERIFIED</x:v>
      </x:c>
      <x:c r="AI3775" s="30"/>
      <x:c r="AJ3775" s="87" t="str">
        <x:v>master</x:v>
      </x:c>
      <x:c r="AK3775" s="87" t="str">
        <x:v>master-v0.81</x:v>
      </x:c>
      <x:c r="AL3775" s="87" t="str">
        <x:v>statgrad_master_base_v0_81_final(2).xlsx</x:v>
      </x:c>
      <x:c r="AM3775" s="87" t="str">
        <x:v>CHEM_Nov_V2</x:v>
      </x:c>
      <x:c r="AN3775" s="87" t="n">
        <x:v>28</x:v>
      </x:c>
    </x:row>
    <x:row r="3776">
      <x:c r="A3776" s="87" t="n">
        <x:v>3775</x:v>
      </x:c>
      <x:c r="B3776" s="87" t="str">
        <x:v>NOV-CHEM-V2-028</x:v>
      </x:c>
      <x:c r="C3776" s="87" t="str">
        <x:v>СтатГрад</x:v>
      </x:c>
      <x:c r="D3776" s="87" t="str">
        <x:v>Ноябрь 2025</x:v>
      </x:c>
      <x:c r="E3776" s="87"/>
      <x:c r="F3776" s="87"/>
      <x:c r="G3776" s="87" t="str">
        <x:v>Химия</x:v>
      </x:c>
      <x:c r="H3776" s="87" t="n">
        <x:v>11</x:v>
      </x:c>
      <x:c r="I3776" s="87" t="str">
        <x:v>ТР №2</x:v>
      </x:c>
      <x:c r="J3776" s="87" t="str">
        <x:v>ХИ2510202</x:v>
      </x:c>
      <x:c r="K3776" s="87" t="n">
        <x:v>28</x:v>
      </x:c>
      <x:c r="L3776" s="87" t="str">
        <x:v>Выход продукта</x:v>
      </x:c>
      <x:c r="M3776" s="30" t="str">
        <x:v>28   Образец малахита массой 12 г растворили в избытке серной кислоты
     и собрали 896 мл углекислого газа (н. у.). Считая, что малахит не содержит
     карбонатных примесей, определите массовую долю (в %) основного
     карбоната меди в нём. В расчётах примите A r (Cu) = 64.
     (Запишите число с точностью до целых.)
     Ответ: ___________________________ %.</x:v>
      </x:c>
      <x:c r="N3776" s="30" t="str">
        <x:v>74</x:v>
      </x:c>
      <x:c r="O3776" s="30" t="str">
        <x:v>Повторный расчёт по данным условия даёт 74; округление выполнено в формате ответа ЕГЭ.</x:v>
      </x:c>
      <x:c r="P3776" s="30" t="str">
        <x:v>Теоретический выход найден по цепочке реакций и сопоставлен с фактическим.</x:v>
      </x:c>
      <x:c r="Q3776" s="30"/>
      <x:c r="R3776" s="30" t="str">
        <x:v>Фото-сводка ответов + независимое решение</x:v>
      </x:c>
      <x:c r="S3776" s="30"/>
      <x:c r="T3776" s="30"/>
      <x:c r="U3776" s="30" t="str">
        <x:v>Расхождений не обнаружено.</x:v>
      </x:c>
      <x:c r="V3776" s="87" t="str">
        <x:v>VERIFIED</x:v>
      </x:c>
      <x:c r="W3776" s="87" t="str">
        <x:v>Zadanie_KhI11_06112025.pdf, вариантная стр. 14</x:v>
      </x:c>
      <x:c r="X3776" s="87"/>
      <x:c r="Y3776" s="87"/>
      <x:c r="Z3776" s="87"/>
      <x:c r="AA3776" s="87"/>
      <x:c r="AB3776" s="87"/>
      <x:c r="AC3776" s="87" t="str">
        <x:v>VIS-CHEM-NOV-028</x:v>
      </x:c>
      <x:c r="AD3776" s="87"/>
      <x:c r="AE3776" s="87"/>
      <x:c r="AF3776" s="87" t="str">
        <x:v>VIS-CHEM-NOV-028: 30</x:v>
      </x:c>
      <x:c r="AG3776" s="87" t="str">
        <x:v>RESOLVED</x:v>
      </x:c>
      <x:c r="AH3776" s="87" t="str">
        <x:v>CROP_VERIFIED</x:v>
      </x:c>
      <x:c r="AI3776" s="30"/>
      <x:c r="AJ3776" s="87" t="str">
        <x:v>master</x:v>
      </x:c>
      <x:c r="AK3776" s="87" t="str">
        <x:v>master-v0.81</x:v>
      </x:c>
      <x:c r="AL3776" s="87" t="str">
        <x:v>statgrad_master_base_v0_81_final(2).xlsx</x:v>
      </x:c>
      <x:c r="AM3776" s="87" t="str">
        <x:v>CHEM_Nov_V2</x:v>
      </x:c>
      <x:c r="AN3776" s="87" t="n">
        <x:v>29</x:v>
      </x:c>
    </x:row>
    <x:row r="3777">
      <x:c r="A3777" s="87" t="n">
        <x:v>3776</x:v>
      </x:c>
      <x:c r="B3777" s="87" t="str">
        <x:v>NOV-CHEM-V2-029</x:v>
      </x:c>
      <x:c r="C3777" s="87" t="str">
        <x:v>СтатГрад</x:v>
      </x:c>
      <x:c r="D3777" s="87" t="str">
        <x:v>Ноябрь 2025</x:v>
      </x:c>
      <x:c r="E3777" s="87"/>
      <x:c r="F3777" s="87"/>
      <x:c r="G3777" s="87" t="str">
        <x:v>Химия</x:v>
      </x:c>
      <x:c r="H3777" s="87" t="n">
        <x:v>11</x:v>
      </x:c>
      <x:c r="I3777" s="87" t="str">
        <x:v>ТР №2</x:v>
      </x:c>
      <x:c r="J3777" s="87" t="str">
        <x:v>ХИ2510202</x:v>
      </x:c>
      <x:c r="K3777" s="87" t="n">
        <x:v>29</x:v>
      </x:c>
      <x:c r="L3777" s="87" t="str">
        <x:v>Развёрнутый ответ: ОВР</x:v>
      </x:c>
      <x:c r="M3777" s="30" t="str">
        <x:v>Для заданий 29–30 дан перечень: хлорид марганца(II), гидроксид калия, сульфат магния, нитрат алюминия, пероксид водорода, хлорид меди(II); допустимо использовать воду как среду.
29   Из предложенного перечня выберите вещества, между которыми
     окислительно-восстановительная реакция протекает с образованием осадка.
     В ответе запишите уравнение только одной из возможных окислительно-
     восстановительных реакций с участием выбранных веществ. Составьте
     электронный баланс, укажите окислитель и восстановитель.</x:v>
      </x:c>
      <x:c r="N3777" s="30" t="str">
        <x:v>MnCl2 + H2O2 + 2KOH → MnO2↓ + 2KCl + 2H2O.
Электронный баланс: Mn(+2) − 2e− → Mn(+4); 2O(−1) + 2e− → 2O(−2).
Окислитель — H2O2; восстановитель — MnCl2.</x:v>
      </x:c>
      <x:c r="O3777" s="30" t="str">
        <x:v>Принята полная модель решения из официального критерия после независимой проверки уравнений и расчётов.</x:v>
      </x:c>
      <x:c r="P3777" s="30" t="str">
        <x:v>Уравнение проверено по атомам и заряду; электронный баланс пересчитан отдельно.</x:v>
      </x:c>
      <x:c r="Q3777" s="30"/>
      <x:c r="R3777" s="30" t="str">
        <x:v>Официальный критерий PDF + независимая проверка</x:v>
      </x:c>
      <x:c r="S3777" s="30"/>
      <x:c r="T3777" s="30"/>
      <x:c r="U3777" s="30" t="str">
        <x:v>Расхождений не обнаружено.</x:v>
      </x:c>
      <x:c r="V3777" s="87" t="str">
        <x:v>VERIFIED</x:v>
      </x:c>
      <x:c r="W3777" s="87" t="str">
        <x:v>Zadanie_KhI11_06112025.pdf, вариантная стр. 15; Kriterii_KhI11_06112025.pdf</x:v>
      </x:c>
      <x:c r="X3777" s="87"/>
      <x:c r="Y3777" s="87"/>
      <x:c r="Z3777" s="87"/>
      <x:c r="AA3777" s="87"/>
      <x:c r="AB3777" s="87"/>
      <x:c r="AC3777" s="87" t="str">
        <x:v>VIS-CHEM-NOV-029</x:v>
      </x:c>
      <x:c r="AD3777" s="87"/>
      <x:c r="AE3777" s="87"/>
      <x:c r="AF3777" s="87" t="str">
        <x:v>VIS-CHEM-NOV-029: 31</x:v>
      </x:c>
      <x:c r="AG3777" s="87" t="str">
        <x:v>RESOLVED</x:v>
      </x:c>
      <x:c r="AH3777" s="87" t="str">
        <x:v>CROP_VERIFIED</x:v>
      </x:c>
      <x:c r="AI3777" s="30"/>
      <x:c r="AJ3777" s="87" t="str">
        <x:v>master</x:v>
      </x:c>
      <x:c r="AK3777" s="87" t="str">
        <x:v>master-v0.81</x:v>
      </x:c>
      <x:c r="AL3777" s="87" t="str">
        <x:v>statgrad_master_base_v0_81_final(2).xlsx</x:v>
      </x:c>
      <x:c r="AM3777" s="87" t="str">
        <x:v>CHEM_Nov_V2</x:v>
      </x:c>
      <x:c r="AN3777" s="87" t="n">
        <x:v>30</x:v>
      </x:c>
    </x:row>
    <x:row r="3778">
      <x:c r="A3778" s="87" t="n">
        <x:v>3777</x:v>
      </x:c>
      <x:c r="B3778" s="87" t="str">
        <x:v>NOV-CHEM-V2-030</x:v>
      </x:c>
      <x:c r="C3778" s="87" t="str">
        <x:v>СтатГрад</x:v>
      </x:c>
      <x:c r="D3778" s="87" t="str">
        <x:v>Ноябрь 2025</x:v>
      </x:c>
      <x:c r="E3778" s="87"/>
      <x:c r="F3778" s="87"/>
      <x:c r="G3778" s="87" t="str">
        <x:v>Химия</x:v>
      </x:c>
      <x:c r="H3778" s="87" t="n">
        <x:v>11</x:v>
      </x:c>
      <x:c r="I3778" s="87" t="str">
        <x:v>ТР №2</x:v>
      </x:c>
      <x:c r="J3778" s="87" t="str">
        <x:v>ХИ2510202</x:v>
      </x:c>
      <x:c r="K3778" s="87" t="n">
        <x:v>30</x:v>
      </x:c>
      <x:c r="L3778" s="87" t="str">
        <x:v>Развёрнутый ответ: ионный обмен</x:v>
      </x:c>
      <x:c r="M3778" s="30" t="str">
        <x:v>Для заданий 29–30 дан перечень: хлорид марганца(II), гидроксид калия, сульфат магния, нитрат алюминия, пероксид водорода, хлорид меди(II); допустимо использовать воду как среду.
30   Из предложенного перечня веществ выберите два вещества, между которыми
     возможна реакция ионного обмена, не приводящая к образованию осадка или
     выделению газа. Запишите молекулярное, полное и сокращённое ионное
     уравнения реакции с участием выбранных веществ.</x:v>
      </x:c>
      <x:c r="N3778" s="30" t="str">
        <x:v>Al(NO3)3 + 4KOH → K[Al(OH)4] + 3KNO3.
Полное ионное: Al3+ + 3NO3− + 4K+ + 4OH− → K+ + [Al(OH)4]− + 3K+ + 3NO3−.
Сокращённое ионное: Al3+ + 4OH− → [Al(OH)4]−.</x:v>
      </x:c>
      <x:c r="O3778" s="30" t="str">
        <x:v>Принята полная модель решения из официального критерия после независимой проверки уравнений и расчётов.</x:v>
      </x:c>
      <x:c r="P3778" s="30" t="str">
        <x:v>Молекулярное, полное и сокращённое ионные уравнения проверены по атомам и заряду.</x:v>
      </x:c>
      <x:c r="Q3778" s="30"/>
      <x:c r="R3778" s="30" t="str">
        <x:v>Официальный критерий PDF + независимая проверка</x:v>
      </x:c>
      <x:c r="S3778" s="30"/>
      <x:c r="T3778" s="30"/>
      <x:c r="U3778" s="30" t="str">
        <x:v>Расхождений не обнаружено.</x:v>
      </x:c>
      <x:c r="V3778" s="87" t="str">
        <x:v>VERIFIED</x:v>
      </x:c>
      <x:c r="W3778" s="87" t="str">
        <x:v>Zadanie_KhI11_06112025.pdf, вариантная стр. 15; Kriterii_KhI11_06112025.pdf</x:v>
      </x:c>
      <x:c r="X3778" s="87"/>
      <x:c r="Y3778" s="87"/>
      <x:c r="Z3778" s="87"/>
      <x:c r="AA3778" s="87"/>
      <x:c r="AB3778" s="87"/>
      <x:c r="AC3778" s="87" t="str">
        <x:v>VIS-CHEM-NOV-029</x:v>
      </x:c>
      <x:c r="AD3778" s="87"/>
      <x:c r="AE3778" s="87"/>
      <x:c r="AF3778" s="87" t="str">
        <x:v>VIS-CHEM-NOV-029: 31</x:v>
      </x:c>
      <x:c r="AG3778" s="87" t="str">
        <x:v>RESOLVED</x:v>
      </x:c>
      <x:c r="AH3778" s="87" t="str">
        <x:v>CROP_VERIFIED</x:v>
      </x:c>
      <x:c r="AI3778" s="30"/>
      <x:c r="AJ3778" s="87" t="str">
        <x:v>master</x:v>
      </x:c>
      <x:c r="AK3778" s="87" t="str">
        <x:v>master-v0.81</x:v>
      </x:c>
      <x:c r="AL3778" s="87" t="str">
        <x:v>statgrad_master_base_v0_81_final(2).xlsx</x:v>
      </x:c>
      <x:c r="AM3778" s="87" t="str">
        <x:v>CHEM_Nov_V2</x:v>
      </x:c>
      <x:c r="AN3778" s="87" t="n">
        <x:v>31</x:v>
      </x:c>
    </x:row>
    <x:row r="3779">
      <x:c r="A3779" s="87" t="n">
        <x:v>3778</x:v>
      </x:c>
      <x:c r="B3779" s="87" t="str">
        <x:v>NOV-CHEM-V2-031</x:v>
      </x:c>
      <x:c r="C3779" s="87" t="str">
        <x:v>СтатГрад</x:v>
      </x:c>
      <x:c r="D3779" s="87" t="str">
        <x:v>Ноябрь 2025</x:v>
      </x:c>
      <x:c r="E3779" s="87"/>
      <x:c r="F3779" s="87"/>
      <x:c r="G3779" s="87" t="str">
        <x:v>Химия</x:v>
      </x:c>
      <x:c r="H3779" s="87" t="n">
        <x:v>11</x:v>
      </x:c>
      <x:c r="I3779" s="87" t="str">
        <x:v>ТР №2</x:v>
      </x:c>
      <x:c r="J3779" s="87" t="str">
        <x:v>ХИ2510202</x:v>
      </x:c>
      <x:c r="K3779" s="87" t="n">
        <x:v>31</x:v>
      </x:c>
      <x:c r="L3779" s="87" t="str">
        <x:v>Развёрнутый ответ: неорганическая цепочка</x:v>
      </x:c>
      <x:c r="M3779" s="30" t="str">
        <x:v>31   Сульфид железа(II) растворили в избытке соляной кислоты. Выделившийся
     газ пропустили через иодную воду, в результате чего раствор обесцветился
     и помутнел. Через раствор, оставшийся после реакции с соляной кислотой,
     пропускали воздух до тех пор, пока раствор не приобрёл тёмно-коричневый
     цвет. После этого к нему добавили бесцветный раствор, полученный
     из иодной воды.
     Напишите молекулярные уравнения четырёх описанных реакций.</x:v>
      </x:c>
      <x:c r="N3779" s="30" t="str">
        <x:v>1) FeS + 2HCl → FeCl2 + H2S↑.
2) H2S + I2 → S↓ + 2HI.
3) 4FeCl2 + O2 + 4HCl → 4FeCl3 + 2H2O.
4) 2FeCl3 + 2HI → I2 + 2FeCl2 + 2HCl.</x:v>
      </x:c>
      <x:c r="O3779" s="30" t="str">
        <x:v>Принята полная модель решения из официального критерия после независимой проверки уравнений и расчётов.</x:v>
      </x:c>
      <x:c r="P3779" s="30" t="str">
        <x:v>Все четыре уравнения последовательности проверены по веществам, атомам и условиям.</x:v>
      </x:c>
      <x:c r="Q3779" s="30"/>
      <x:c r="R3779" s="30" t="str">
        <x:v>Официальный критерий PDF + независимая проверка</x:v>
      </x:c>
      <x:c r="S3779" s="30"/>
      <x:c r="T3779" s="30"/>
      <x:c r="U3779" s="30" t="str">
        <x:v>Расхождений не обнаружено.</x:v>
      </x:c>
      <x:c r="V3779" s="87" t="str">
        <x:v>VERIFIED</x:v>
      </x:c>
      <x:c r="W3779" s="87" t="str">
        <x:v>Zadanie_KhI11_06112025.pdf, вариантная стр. 15; Kriterii_KhI11_06112025.pdf</x:v>
      </x:c>
      <x:c r="X3779" s="87"/>
      <x:c r="Y3779" s="87"/>
      <x:c r="Z3779" s="87"/>
      <x:c r="AA3779" s="87"/>
      <x:c r="AB3779" s="87"/>
      <x:c r="AC3779" s="87" t="str">
        <x:v>VIS-CHEM-NOV-029</x:v>
      </x:c>
      <x:c r="AD3779" s="87"/>
      <x:c r="AE3779" s="87"/>
      <x:c r="AF3779" s="87" t="str">
        <x:v>VIS-CHEM-NOV-029: 31</x:v>
      </x:c>
      <x:c r="AG3779" s="87" t="str">
        <x:v>RESOLVED</x:v>
      </x:c>
      <x:c r="AH3779" s="87" t="str">
        <x:v>CROP_VERIFIED</x:v>
      </x:c>
      <x:c r="AI3779" s="30"/>
      <x:c r="AJ3779" s="87" t="str">
        <x:v>master</x:v>
      </x:c>
      <x:c r="AK3779" s="87" t="str">
        <x:v>master-v0.81</x:v>
      </x:c>
      <x:c r="AL3779" s="87" t="str">
        <x:v>statgrad_master_base_v0_81_final(2).xlsx</x:v>
      </x:c>
      <x:c r="AM3779" s="87" t="str">
        <x:v>CHEM_Nov_V2</x:v>
      </x:c>
      <x:c r="AN3779" s="87" t="n">
        <x:v>32</x:v>
      </x:c>
    </x:row>
    <x:row r="3780">
      <x:c r="A3780" s="87" t="n">
        <x:v>3779</x:v>
      </x:c>
      <x:c r="B3780" s="87" t="str">
        <x:v>NOV-CHEM-V2-032</x:v>
      </x:c>
      <x:c r="C3780" s="87" t="str">
        <x:v>СтатГрад</x:v>
      </x:c>
      <x:c r="D3780" s="87" t="str">
        <x:v>Ноябрь 2025</x:v>
      </x:c>
      <x:c r="E3780" s="87"/>
      <x:c r="F3780" s="87"/>
      <x:c r="G3780" s="87" t="str">
        <x:v>Химия</x:v>
      </x:c>
      <x:c r="H3780" s="87" t="n">
        <x:v>11</x:v>
      </x:c>
      <x:c r="I3780" s="87" t="str">
        <x:v>ТР №2</x:v>
      </x:c>
      <x:c r="J3780" s="87" t="str">
        <x:v>ХИ2510202</x:v>
      </x:c>
      <x:c r="K3780" s="87" t="n">
        <x:v>32</x:v>
      </x:c>
      <x:c r="L3780" s="87" t="str">
        <x:v>Развёрнутый ответ: органическая цепочка</x:v>
      </x:c>
      <x:c r="M3780" s="30" t="str">
        <x:v>32   Напишите уравнения реакций, с помощью которых можно осуществить
     следующие превращения:
                                                  CuO, t          Br (изб.), H O
         H 2 N(CH 2 ) 6 NH 2 → HO(CH 2 ) 6 OH → X 1 
                                                          2   2
                                                                → X2 →
                                   → X 3 → циклопентанон.
     При написании уравнений реакций указывайте преимущественно
     образующиеся продукты, используйте структурные формулы органических
     веществ.</x:v>
      </x:c>
      <x:c r="N3780" s="30" t="str">
        <x:v>1) H2N(CH2)6NH2 + 2HNO2 → HO(CH2)6OH + 2N2↑ + 2H2O.
2) HO(CH2)6OH + 2CuO → OHC(CH2)4CHO + 2Cu + 2H2O.
3) OHC(CH2)4CHO + 2Br2 + 2H2O → HOOC(CH2)4COOH + 4HBr.
4) HOOC(CH2)4COOH + Ca(OH)2 → (CH2)4(COO)2Ca + 2H2O.
5) (CH2)4(COO)2Ca → циклопентанон + CaCO3.</x:v>
      </x:c>
      <x:c r="O3780" s="30" t="str">
        <x:v>Принята полная модель решения из официального критерия после независимой проверки уравнений и расчётов.</x:v>
      </x:c>
      <x:c r="P3780" s="30" t="str">
        <x:v>Пять стадий цепочки проверены по функциональным группам и преимущественным продуктам.</x:v>
      </x:c>
      <x:c r="Q3780" s="30"/>
      <x:c r="R3780" s="30" t="str">
        <x:v>Официальный критерий PDF + независимая проверка</x:v>
      </x:c>
      <x:c r="S3780" s="30"/>
      <x:c r="T3780" s="30"/>
      <x:c r="U3780" s="30" t="str">
        <x:v>Расхождений не обнаружено.</x:v>
      </x:c>
      <x:c r="V3780" s="87" t="str">
        <x:v>VERIFIED</x:v>
      </x:c>
      <x:c r="W3780" s="87" t="str">
        <x:v>Zadanie_KhI11_06112025.pdf, вариантная стр. 15; Kriterii_KhI11_06112025.pdf</x:v>
      </x:c>
      <x:c r="X3780" s="87"/>
      <x:c r="Y3780" s="87"/>
      <x:c r="Z3780" s="87"/>
      <x:c r="AA3780" s="87"/>
      <x:c r="AB3780" s="87"/>
      <x:c r="AC3780" s="87" t="str">
        <x:v>VIS-CHEM-NOV-029</x:v>
      </x:c>
      <x:c r="AD3780" s="87"/>
      <x:c r="AE3780" s="87"/>
      <x:c r="AF3780" s="87" t="str">
        <x:v>VIS-CHEM-NOV-029: 31</x:v>
      </x:c>
      <x:c r="AG3780" s="87" t="str">
        <x:v>RESOLVED</x:v>
      </x:c>
      <x:c r="AH3780" s="87" t="str">
        <x:v>CROP_VERIFIED</x:v>
      </x:c>
      <x:c r="AI3780" s="30"/>
      <x:c r="AJ3780" s="87" t="str">
        <x:v>master</x:v>
      </x:c>
      <x:c r="AK3780" s="87" t="str">
        <x:v>master-v0.81</x:v>
      </x:c>
      <x:c r="AL3780" s="87" t="str">
        <x:v>statgrad_master_base_v0_81_final(2).xlsx</x:v>
      </x:c>
      <x:c r="AM3780" s="87" t="str">
        <x:v>CHEM_Nov_V2</x:v>
      </x:c>
      <x:c r="AN3780" s="87" t="n">
        <x:v>33</x:v>
      </x:c>
    </x:row>
    <x:row r="3781">
      <x:c r="A3781" s="87" t="n">
        <x:v>3780</x:v>
      </x:c>
      <x:c r="B3781" s="87" t="str">
        <x:v>NOV-CHEM-V2-033</x:v>
      </x:c>
      <x:c r="C3781" s="87" t="str">
        <x:v>СтатГрад</x:v>
      </x:c>
      <x:c r="D3781" s="87" t="str">
        <x:v>Ноябрь 2025</x:v>
      </x:c>
      <x:c r="E3781" s="87"/>
      <x:c r="F3781" s="87"/>
      <x:c r="G3781" s="87" t="str">
        <x:v>Химия</x:v>
      </x:c>
      <x:c r="H3781" s="87" t="n">
        <x:v>11</x:v>
      </x:c>
      <x:c r="I3781" s="87" t="str">
        <x:v>ТР №2</x:v>
      </x:c>
      <x:c r="J3781" s="87" t="str">
        <x:v>ХИ2510202</x:v>
      </x:c>
      <x:c r="K3781" s="87" t="n">
        <x:v>33</x:v>
      </x:c>
      <x:c r="L3781" s="87" t="str">
        <x:v>Развёрнутый ответ: установление формулы</x:v>
      </x:c>
      <x:c r="M3781" s="30" t="str">
        <x:v>33   Сложный эфир А применяется для производства оргстекла. Он содержит
     8,0 % водорода и 32,0 % кислорода по массе. Вещество А имеет
     разветвлённый углеродный скелет, а при его гидролизе образуются
     простейший спирт и одноосновная кислота.
     На основании данных условия задачи:
     1) установите молекулярную формулу вещества A;
     2) составьте структурную формулу вещества A, которая однозначно отражает
     порядок связи атомов в его молекуле;
     3) напишите уравнение полимеризации вещества A (используйте
     структурные формулы органических веществ).</x:v>
      </x:c>
      <x:c r="N3781" s="30" t="str">
        <x:v>Массовые доли дают C:H:O = 5:8:2, поэтому формула A — C5H8O2. Это метилметакрилат CH2=C(CH3)COOCH3.
Полимеризация: nCH2=C(CH3)COOCH3 → [–CH2–C(CH3)(COOCH3)–]n.</x:v>
      </x:c>
      <x:c r="O3781" s="30" t="str">
        <x:v>Принята полная модель решения из официального критерия после независимой проверки уравнений и расчётов.</x:v>
      </x:c>
      <x:c r="P3781" s="30" t="str">
        <x:v>Элементный состав пересчитан, формула и строение сопоставлены с описанными свойствами.</x:v>
      </x:c>
      <x:c r="Q3781" s="30"/>
      <x:c r="R3781" s="30" t="str">
        <x:v>Официальный критерий PDF + независимая проверка</x:v>
      </x:c>
      <x:c r="S3781" s="30"/>
      <x:c r="T3781" s="30"/>
      <x:c r="U3781" s="30" t="str">
        <x:v>Расхождений не обнаружено.</x:v>
      </x:c>
      <x:c r="V3781" s="87" t="str">
        <x:v>VERIFIED</x:v>
      </x:c>
      <x:c r="W3781" s="87" t="str">
        <x:v>Zadanie_KhI11_06112025.pdf, вариантная стр. 16; Kriterii_KhI11_06112025.pdf</x:v>
      </x:c>
      <x:c r="X3781" s="87"/>
      <x:c r="Y3781" s="87"/>
      <x:c r="Z3781" s="87"/>
      <x:c r="AA3781" s="87"/>
      <x:c r="AB3781" s="87"/>
      <x:c r="AC3781" s="87" t="str">
        <x:v>VIS-CHEM-NOV-030</x:v>
      </x:c>
      <x:c r="AD3781" s="87"/>
      <x:c r="AE3781" s="87"/>
      <x:c r="AF3781" s="87" t="str">
        <x:v>VIS-CHEM-NOV-030: 32</x:v>
      </x:c>
      <x:c r="AG3781" s="87" t="str">
        <x:v>RESOLVED</x:v>
      </x:c>
      <x:c r="AH3781" s="87" t="str">
        <x:v>CROP_VERIFIED</x:v>
      </x:c>
      <x:c r="AI3781" s="30"/>
      <x:c r="AJ3781" s="87" t="str">
        <x:v>master</x:v>
      </x:c>
      <x:c r="AK3781" s="87" t="str">
        <x:v>master-v0.81</x:v>
      </x:c>
      <x:c r="AL3781" s="87" t="str">
        <x:v>statgrad_master_base_v0_81_final(2).xlsx</x:v>
      </x:c>
      <x:c r="AM3781" s="87" t="str">
        <x:v>CHEM_Nov_V2</x:v>
      </x:c>
      <x:c r="AN3781" s="87" t="n">
        <x:v>34</x:v>
      </x:c>
    </x:row>
    <x:row r="3782">
      <x:c r="A3782" s="87" t="n">
        <x:v>3781</x:v>
      </x:c>
      <x:c r="B3782" s="87" t="str">
        <x:v>NOV-CHEM-V2-034</x:v>
      </x:c>
      <x:c r="C3782" s="87" t="str">
        <x:v>СтатГрад</x:v>
      </x:c>
      <x:c r="D3782" s="87" t="str">
        <x:v>Ноябрь 2025</x:v>
      </x:c>
      <x:c r="E3782" s="87"/>
      <x:c r="F3782" s="87"/>
      <x:c r="G3782" s="87" t="str">
        <x:v>Химия</x:v>
      </x:c>
      <x:c r="H3782" s="87" t="n">
        <x:v>11</x:v>
      </x:c>
      <x:c r="I3782" s="87" t="str">
        <x:v>ТР №2</x:v>
      </x:c>
      <x:c r="J3782" s="87" t="str">
        <x:v>ХИ2510202</x:v>
      </x:c>
      <x:c r="K3782" s="87" t="n">
        <x:v>34</x:v>
      </x:c>
      <x:c r="L3782" s="87" t="str">
        <x:v>Развёрнутый ответ: расчётная задача</x:v>
      </x:c>
      <x:c r="M3782" s="30" t="str">
        <x:v>34   Навеска фосфора массой 24,8 г прореагировала с 20,16 л (н. у.) кислорода.
     Полученное твёрдое вещество растворили в 300 г воды. Определите
     массовые доли фосфорсодержащих веществ в полученном растворе.
     В ответе запишите уравнения реакций, которые указаны в условии задачи,
     и приведите все необходимые вычисления (указывайте единицы измерения
     и обозначения искомых физических величин).</x:v>
      </x:c>
      <x:c r="N3782" s="30" t="str">
        <x:v>n(P)=24,8/31=0,8 моль; n(O2)=20,16/22,4=0,9 моль.
4P+3O2→2P2O3; 4P+5O2→2P2O5. Из баланса: n(P2O3)=0,1 моль, n(P2O5)=0,3 моль.
P2O3+3H2O→2H3PO3; P2O5+3H2O→2H3PO4.
m(раствора)=300+0,1·110+0,3·142=353,6 г.
ω(H3PO3)=4,64%; ω(H3PO4)=16,63%.</x:v>
      </x:c>
      <x:c r="O3782" s="30" t="str">
        <x:v>Принята полная модель решения из официального критерия после независимой проверки уравнений и расчётов.</x:v>
      </x:c>
      <x:c r="P3782" s="30" t="str">
        <x:v>Все количества веществ, уравнения и массовые доли пересчитаны независимо.</x:v>
      </x:c>
      <x:c r="Q3782" s="30"/>
      <x:c r="R3782" s="30" t="str">
        <x:v>Официальный критерий PDF + независимая проверка</x:v>
      </x:c>
      <x:c r="S3782" s="30"/>
      <x:c r="T3782" s="30"/>
      <x:c r="U3782" s="30" t="str">
        <x:v>В официальном критерии напечатано P2O5 + 4H2O → 2H3PO4; уравнение не сбалансировано. Исправлено на P2O5 + 3H2O → 2H3PO4. Числовой итог критерия остаётся верным.</x:v>
      </x:c>
      <x:c r="V3782" s="87" t="str">
        <x:v>KEY_MISMATCH</x:v>
      </x:c>
      <x:c r="W3782" s="87" t="str">
        <x:v>Zadanie_KhI11_06112025.pdf, вариантная стр. 16; Kriterii_KhI11_06112025.pdf</x:v>
      </x:c>
      <x:c r="X3782" s="87"/>
      <x:c r="Y3782" s="87"/>
      <x:c r="Z3782" s="87"/>
      <x:c r="AA3782" s="87"/>
      <x:c r="AB3782" s="87"/>
      <x:c r="AC3782" s="87" t="str">
        <x:v>VIS-CHEM-NOV-030</x:v>
      </x:c>
      <x:c r="AD3782" s="87"/>
      <x:c r="AE3782" s="87"/>
      <x:c r="AF3782" s="87" t="str">
        <x:v>VIS-CHEM-NOV-030: 32</x:v>
      </x:c>
      <x:c r="AG3782" s="87" t="str">
        <x:v>RESOLVED</x:v>
      </x:c>
      <x:c r="AH3782" s="87" t="str">
        <x:v>CROP_VERIFIED</x:v>
      </x:c>
      <x:c r="AI3782" s="30"/>
      <x:c r="AJ3782" s="87" t="str">
        <x:v>master</x:v>
      </x:c>
      <x:c r="AK3782" s="87" t="str">
        <x:v>master-v0.81</x:v>
      </x:c>
      <x:c r="AL3782" s="87" t="str">
        <x:v>statgrad_master_base_v0_81_final(2).xlsx</x:v>
      </x:c>
      <x:c r="AM3782" s="87" t="str">
        <x:v>CHEM_Nov_V2</x:v>
      </x:c>
      <x:c r="AN3782" s="87" t="n">
        <x:v>35</x:v>
      </x:c>
    </x:row>
    <x:row r="3783">
      <x:c r="A3783" s="87" t="n">
        <x:v>3782</x:v>
      </x:c>
      <x:c r="B3783" s="87" t="str">
        <x:v>NOV-CHEM-V3-001</x:v>
      </x:c>
      <x:c r="C3783" s="87" t="str">
        <x:v>СтатГрад</x:v>
      </x:c>
      <x:c r="D3783" s="87" t="str">
        <x:v>Ноябрь 2025</x:v>
      </x:c>
      <x:c r="E3783" s="87"/>
      <x:c r="F3783" s="87"/>
      <x:c r="G3783" s="87" t="str">
        <x:v>Химия</x:v>
      </x:c>
      <x:c r="H3783" s="87" t="n">
        <x:v>11</x:v>
      </x:c>
      <x:c r="I3783" s="87" t="str">
        <x:v>ТР №2</x:v>
      </x:c>
      <x:c r="J3783" s="87" t="str">
        <x:v>ХИ2510203</x:v>
      </x:c>
      <x:c r="K3783" s="87" t="n">
        <x:v>1</x:v>
      </x:c>
      <x:c r="L3783" s="87" t="str">
        <x:v>Электронная конфигурация</x:v>
      </x:c>
      <x:c r="M3783" s="30" t="str">
        <x:v>Для выполнения заданий 1–3 дан ряд элементов: 1) Ca; 2) N; 3) P; 4) Al; 5) Cl.
1   Определите два элемента, которые образуют устойчивый катион с электронной
    конфигурацией благородного газа.
    Запишите номера выбранных элементов.
    Ответ:</x:v>
      </x:c>
      <x:c r="N3783" s="30" t="str">
        <x:v>14</x:v>
      </x:c>
      <x:c r="O3783" s="30" t="str">
        <x:v>Выбраны позиции 14; выбор подтверждён разбором каждого предложенного вещества или элемента.</x:v>
      </x:c>
      <x:c r="P3783" s="30" t="str">
        <x:v>Проверены электронные конфигурации и образование устойчивых ионов.</x:v>
      </x:c>
      <x:c r="Q3783" s="30"/>
      <x:c r="R3783" s="30" t="str">
        <x:v>Фото-сводка ответов + независимое решение</x:v>
      </x:c>
      <x:c r="S3783" s="30"/>
      <x:c r="T3783" s="30"/>
      <x:c r="U3783" s="30" t="str">
        <x:v>Расхождений не обнаружено.</x:v>
      </x:c>
      <x:c r="V3783" s="87" t="str">
        <x:v>VERIFIED</x:v>
      </x:c>
      <x:c r="W3783" s="87" t="str">
        <x:v>Zadanie_KhI11_06112025_.pdf, вариантная стр. 2</x:v>
      </x:c>
      <x:c r="X3783" s="87"/>
      <x:c r="Y3783" s="87"/>
      <x:c r="Z3783" s="87"/>
      <x:c r="AA3783" s="87"/>
      <x:c r="AB3783" s="87"/>
      <x:c r="AC3783" s="87" t="str">
        <x:v>VIS-CHEM-NOV-031</x:v>
      </x:c>
      <x:c r="AD3783" s="87"/>
      <x:c r="AE3783" s="87"/>
      <x:c r="AF3783" s="87" t="str">
        <x:v>VIS-CHEM-NOV-031: 2</x:v>
      </x:c>
      <x:c r="AG3783" s="87" t="str">
        <x:v>RESOLVED</x:v>
      </x:c>
      <x:c r="AH3783" s="87" t="str">
        <x:v>CROP_VERIFIED</x:v>
      </x:c>
      <x:c r="AI3783" s="30"/>
      <x:c r="AJ3783" s="87" t="str">
        <x:v>master</x:v>
      </x:c>
      <x:c r="AK3783" s="87" t="str">
        <x:v>master-v0.81</x:v>
      </x:c>
      <x:c r="AL3783" s="87" t="str">
        <x:v>statgrad_master_base_v0_81_final(2).xlsx</x:v>
      </x:c>
      <x:c r="AM3783" s="87" t="str">
        <x:v>CHEM_Nov_V3</x:v>
      </x:c>
      <x:c r="AN3783" s="87" t="n">
        <x:v>2</x:v>
      </x:c>
    </x:row>
    <x:row r="3784">
      <x:c r="A3784" s="87" t="n">
        <x:v>3783</x:v>
      </x:c>
      <x:c r="B3784" s="87" t="str">
        <x:v>NOV-CHEM-V3-002</x:v>
      </x:c>
      <x:c r="C3784" s="87" t="str">
        <x:v>СтатГрад</x:v>
      </x:c>
      <x:c r="D3784" s="87" t="str">
        <x:v>Ноябрь 2025</x:v>
      </x:c>
      <x:c r="E3784" s="87"/>
      <x:c r="F3784" s="87"/>
      <x:c r="G3784" s="87" t="str">
        <x:v>Химия</x:v>
      </x:c>
      <x:c r="H3784" s="87" t="n">
        <x:v>11</x:v>
      </x:c>
      <x:c r="I3784" s="87" t="str">
        <x:v>ТР №2</x:v>
      </x:c>
      <x:c r="J3784" s="87" t="str">
        <x:v>ХИ2510203</x:v>
      </x:c>
      <x:c r="K3784" s="87" t="n">
        <x:v>2</x:v>
      </x:c>
      <x:c r="L3784" s="87" t="str">
        <x:v>Периодический закон</x:v>
      </x:c>
      <x:c r="M3784" s="30" t="str">
        <x:v>Для выполнения заданий 1–3 дан ряд элементов: 1) Ca; 2) N; 3) P; 4) Al; 5) Cl.
2   Из указанных в ряду химических элементов выберите три элемента, которые
    в Периодической системе находятся в одном периоде. Расположите
    выбранные элементы в порядке увеличения окислительной способности
    простых веществ.
    Запишите номера выбранных элементов в нужной последовательности.
    Ответ:</x:v>
      </x:c>
      <x:c r="N3784" s="30" t="str">
        <x:v>435</x:v>
      </x:c>
      <x:c r="O3784" s="30" t="str">
        <x:v>Последовательность 435 задаёт соответствия позициям задания; каждое соответствие проверено отдельно.</x:v>
      </x:c>
      <x:c r="P3784" s="30" t="str">
        <x:v>Сопоставлены положения элементов в Периодической системе и требуемая тенденция свойства.</x:v>
      </x:c>
      <x:c r="Q3784" s="30"/>
      <x:c r="R3784" s="30" t="str">
        <x:v>Фото-сводка ответов + независимое решение</x:v>
      </x:c>
      <x:c r="S3784" s="30"/>
      <x:c r="T3784" s="30"/>
      <x:c r="U3784" s="30" t="str">
        <x:v>Расхождений не обнаружено.</x:v>
      </x:c>
      <x:c r="V3784" s="87" t="str">
        <x:v>VERIFIED</x:v>
      </x:c>
      <x:c r="W3784" s="87" t="str">
        <x:v>Zadanie_KhI11_06112025_.pdf, вариантная стр. 2</x:v>
      </x:c>
      <x:c r="X3784" s="87"/>
      <x:c r="Y3784" s="87"/>
      <x:c r="Z3784" s="87"/>
      <x:c r="AA3784" s="87"/>
      <x:c r="AB3784" s="87"/>
      <x:c r="AC3784" s="87" t="str">
        <x:v>VIS-CHEM-NOV-031</x:v>
      </x:c>
      <x:c r="AD3784" s="87"/>
      <x:c r="AE3784" s="87"/>
      <x:c r="AF3784" s="87" t="str">
        <x:v>VIS-CHEM-NOV-031: 2</x:v>
      </x:c>
      <x:c r="AG3784" s="87" t="str">
        <x:v>RESOLVED</x:v>
      </x:c>
      <x:c r="AH3784" s="87" t="str">
        <x:v>CROP_VERIFIED</x:v>
      </x:c>
      <x:c r="AI3784" s="30"/>
      <x:c r="AJ3784" s="87" t="str">
        <x:v>master</x:v>
      </x:c>
      <x:c r="AK3784" s="87" t="str">
        <x:v>master-v0.81</x:v>
      </x:c>
      <x:c r="AL3784" s="87" t="str">
        <x:v>statgrad_master_base_v0_81_final(2).xlsx</x:v>
      </x:c>
      <x:c r="AM3784" s="87" t="str">
        <x:v>CHEM_Nov_V3</x:v>
      </x:c>
      <x:c r="AN3784" s="87" t="n">
        <x:v>3</x:v>
      </x:c>
    </x:row>
    <x:row r="3785">
      <x:c r="A3785" s="87" t="n">
        <x:v>3784</x:v>
      </x:c>
      <x:c r="B3785" s="87" t="str">
        <x:v>NOV-CHEM-V3-003</x:v>
      </x:c>
      <x:c r="C3785" s="87" t="str">
        <x:v>СтатГрад</x:v>
      </x:c>
      <x:c r="D3785" s="87" t="str">
        <x:v>Ноябрь 2025</x:v>
      </x:c>
      <x:c r="E3785" s="87"/>
      <x:c r="F3785" s="87"/>
      <x:c r="G3785" s="87" t="str">
        <x:v>Химия</x:v>
      </x:c>
      <x:c r="H3785" s="87" t="n">
        <x:v>11</x:v>
      </x:c>
      <x:c r="I3785" s="87" t="str">
        <x:v>ТР №2</x:v>
      </x:c>
      <x:c r="J3785" s="87" t="str">
        <x:v>ХИ2510203</x:v>
      </x:c>
      <x:c r="K3785" s="87" t="n">
        <x:v>3</x:v>
      </x:c>
      <x:c r="L3785" s="87" t="str">
        <x:v>Степени окисления</x:v>
      </x:c>
      <x:c r="M3785" s="30" t="str">
        <x:v>Для выполнения заданий 1–3 дан ряд элементов: 1) Ca; 2) N; 3) P; 4) Al; 5) Cl.
3   Из числа указанных в ряду элементов выберите два элемента, которые
    в соединениях проявляют степень окисления +2.
    Запишите номера выбранных элементов.
    Ответ:</x:v>
      </x:c>
      <x:c r="N3785" s="30" t="str">
        <x:v>12</x:v>
      </x:c>
      <x:c r="O3785" s="30" t="str">
        <x:v>Выбраны позиции 12; выбор подтверждён разбором каждого предложенного вещества или элемента.</x:v>
      </x:c>
      <x:c r="P3785" s="30" t="str">
        <x:v>Проверены характерные степени окисления выбранных элементов.</x:v>
      </x:c>
      <x:c r="Q3785" s="30"/>
      <x:c r="R3785" s="30" t="str">
        <x:v>Фото-сводка ответов + независимое решение</x:v>
      </x:c>
      <x:c r="S3785" s="30"/>
      <x:c r="T3785" s="30"/>
      <x:c r="U3785" s="30" t="str">
        <x:v>Расхождений не обнаружено.</x:v>
      </x:c>
      <x:c r="V3785" s="87" t="str">
        <x:v>VERIFIED</x:v>
      </x:c>
      <x:c r="W3785" s="87" t="str">
        <x:v>Zadanie_KhI11_06112025_.pdf, вариантная стр. 2</x:v>
      </x:c>
      <x:c r="X3785" s="87"/>
      <x:c r="Y3785" s="87"/>
      <x:c r="Z3785" s="87"/>
      <x:c r="AA3785" s="87"/>
      <x:c r="AB3785" s="87"/>
      <x:c r="AC3785" s="87" t="str">
        <x:v>VIS-CHEM-NOV-031</x:v>
      </x:c>
      <x:c r="AD3785" s="87"/>
      <x:c r="AE3785" s="87"/>
      <x:c r="AF3785" s="87" t="str">
        <x:v>VIS-CHEM-NOV-031: 2</x:v>
      </x:c>
      <x:c r="AG3785" s="87" t="str">
        <x:v>RESOLVED</x:v>
      </x:c>
      <x:c r="AH3785" s="87" t="str">
        <x:v>CROP_VERIFIED</x:v>
      </x:c>
      <x:c r="AI3785" s="30"/>
      <x:c r="AJ3785" s="87" t="str">
        <x:v>master</x:v>
      </x:c>
      <x:c r="AK3785" s="87" t="str">
        <x:v>master-v0.81</x:v>
      </x:c>
      <x:c r="AL3785" s="87" t="str">
        <x:v>statgrad_master_base_v0_81_final(2).xlsx</x:v>
      </x:c>
      <x:c r="AM3785" s="87" t="str">
        <x:v>CHEM_Nov_V3</x:v>
      </x:c>
      <x:c r="AN3785" s="87" t="n">
        <x:v>4</x:v>
      </x:c>
    </x:row>
    <x:row r="3786">
      <x:c r="A3786" s="87" t="n">
        <x:v>3785</x:v>
      </x:c>
      <x:c r="B3786" s="87" t="str">
        <x:v>NOV-CHEM-V3-004</x:v>
      </x:c>
      <x:c r="C3786" s="87" t="str">
        <x:v>СтатГрад</x:v>
      </x:c>
      <x:c r="D3786" s="87" t="str">
        <x:v>Ноябрь 2025</x:v>
      </x:c>
      <x:c r="E3786" s="87"/>
      <x:c r="F3786" s="87"/>
      <x:c r="G3786" s="87" t="str">
        <x:v>Химия</x:v>
      </x:c>
      <x:c r="H3786" s="87" t="n">
        <x:v>11</x:v>
      </x:c>
      <x:c r="I3786" s="87" t="str">
        <x:v>ТР №2</x:v>
      </x:c>
      <x:c r="J3786" s="87" t="str">
        <x:v>ХИ2510203</x:v>
      </x:c>
      <x:c r="K3786" s="87" t="n">
        <x:v>4</x:v>
      </x:c>
      <x:c r="L3786" s="87" t="str">
        <x:v>Полярность молекул</x:v>
      </x:c>
      <x:c r="M3786" s="30" t="str">
        <x:v>4   Из предложенного перечня выберите два вещества, которые состоят
    из неполярных молекул.
    1) P4
    2) Si
    3) H2O
    4) CH4
    5) HNO3
    Запишите номера выбранных ответов.
    Ответ:</x:v>
      </x:c>
      <x:c r="N3786" s="30" t="str">
        <x:v>14</x:v>
      </x:c>
      <x:c r="O3786" s="30" t="str">
        <x:v>Выбраны позиции 14; выбор подтверждён разбором каждого предложенного вещества или элемента.</x:v>
      </x:c>
      <x:c r="P3786" s="30" t="str">
        <x:v>Проверены геометрия молекул и компенсация векторов полярных связей.</x:v>
      </x:c>
      <x:c r="Q3786" s="30"/>
      <x:c r="R3786" s="30" t="str">
        <x:v>Фото-сводка ответов + независимое решение</x:v>
      </x:c>
      <x:c r="S3786" s="30"/>
      <x:c r="T3786" s="30"/>
      <x:c r="U3786" s="30" t="str">
        <x:v>Расхождений не обнаружено.</x:v>
      </x:c>
      <x:c r="V3786" s="87" t="str">
        <x:v>VERIFIED</x:v>
      </x:c>
      <x:c r="W3786" s="87" t="str">
        <x:v>Zadanie_KhI11_06112025_.pdf, вариантная стр. 3</x:v>
      </x:c>
      <x:c r="X3786" s="87"/>
      <x:c r="Y3786" s="87"/>
      <x:c r="Z3786" s="87"/>
      <x:c r="AA3786" s="87"/>
      <x:c r="AB3786" s="87"/>
      <x:c r="AC3786" s="87" t="str">
        <x:v>VIS-CHEM-NOV-032</x:v>
      </x:c>
      <x:c r="AD3786" s="87"/>
      <x:c r="AE3786" s="87"/>
      <x:c r="AF3786" s="87" t="str">
        <x:v>VIS-CHEM-NOV-032: 3</x:v>
      </x:c>
      <x:c r="AG3786" s="87" t="str">
        <x:v>RESOLVED</x:v>
      </x:c>
      <x:c r="AH3786" s="87" t="str">
        <x:v>CROP_VERIFIED</x:v>
      </x:c>
      <x:c r="AI3786" s="30"/>
      <x:c r="AJ3786" s="87" t="str">
        <x:v>master</x:v>
      </x:c>
      <x:c r="AK3786" s="87" t="str">
        <x:v>master-v0.81</x:v>
      </x:c>
      <x:c r="AL3786" s="87" t="str">
        <x:v>statgrad_master_base_v0_81_final(2).xlsx</x:v>
      </x:c>
      <x:c r="AM3786" s="87" t="str">
        <x:v>CHEM_Nov_V3</x:v>
      </x:c>
      <x:c r="AN3786" s="87" t="n">
        <x:v>5</x:v>
      </x:c>
    </x:row>
    <x:row r="3787">
      <x:c r="A3787" s="87" t="n">
        <x:v>3786</x:v>
      </x:c>
      <x:c r="B3787" s="87" t="str">
        <x:v>NOV-CHEM-V3-005</x:v>
      </x:c>
      <x:c r="C3787" s="87" t="str">
        <x:v>СтатГрад</x:v>
      </x:c>
      <x:c r="D3787" s="87" t="str">
        <x:v>Ноябрь 2025</x:v>
      </x:c>
      <x:c r="E3787" s="87"/>
      <x:c r="F3787" s="87"/>
      <x:c r="G3787" s="87" t="str">
        <x:v>Химия</x:v>
      </x:c>
      <x:c r="H3787" s="87" t="n">
        <x:v>11</x:v>
      </x:c>
      <x:c r="I3787" s="87" t="str">
        <x:v>ТР №2</x:v>
      </x:c>
      <x:c r="J3787" s="87" t="str">
        <x:v>ХИ2510203</x:v>
      </x:c>
      <x:c r="K3787" s="87" t="n">
        <x:v>5</x:v>
      </x:c>
      <x:c r="L3787" s="87" t="str">
        <x:v>Классификация неорганических веществ</x:v>
      </x:c>
      <x:c r="M3787" s="30" t="str">
        <x:v>5   Среди предложенных формул веществ, расположенных в пронумерованных
    ячейках, выберите формулы:
    А) кислотного оксида;
    Б) щёлочи;
    В) двойной соли.
             1                         2                           3
                       Fe(OH)3                      SO3                 CaSO4⋅2H2O
             4                         5                           6
                 KCr(SO4)2⋅12H2O               (NH4)2Cr2O7                Ba(OH)2
             7                         8                           9
                        Fe3O4                      BeO                     KClO3
    Запишите в таблицу номера ячеек, в которых расположены выбранные
    вещества, под соответствующими буквами.
                 А Б     В
    Ответ:</x:v>
      </x:c>
      <x:c r="N3787" s="30" t="str">
        <x:v>264</x:v>
      </x:c>
      <x:c r="O3787" s="30" t="str">
        <x:v>Выбраны позиции 264; выбор подтверждён разбором каждого предложенного вещества или элемента.</x:v>
      </x:c>
      <x:c r="P3787" s="30" t="str">
        <x:v>Каждая формула классифицирована по составу и химическому классу.</x:v>
      </x:c>
      <x:c r="Q3787" s="30"/>
      <x:c r="R3787" s="30" t="str">
        <x:v>Фото-сводка ответов + независимое решение</x:v>
      </x:c>
      <x:c r="S3787" s="30"/>
      <x:c r="T3787" s="30"/>
      <x:c r="U3787" s="30" t="str">
        <x:v>Расхождений не обнаружено.</x:v>
      </x:c>
      <x:c r="V3787" s="87" t="str">
        <x:v>VERIFIED</x:v>
      </x:c>
      <x:c r="W3787" s="87" t="str">
        <x:v>Zadanie_KhI11_06112025_.pdf, вариантная стр. 3</x:v>
      </x:c>
      <x:c r="X3787" s="87"/>
      <x:c r="Y3787" s="87"/>
      <x:c r="Z3787" s="87"/>
      <x:c r="AA3787" s="87"/>
      <x:c r="AB3787" s="87"/>
      <x:c r="AC3787" s="87" t="str">
        <x:v>VIS-CHEM-NOV-032</x:v>
      </x:c>
      <x:c r="AD3787" s="87"/>
      <x:c r="AE3787" s="87"/>
      <x:c r="AF3787" s="87" t="str">
        <x:v>VIS-CHEM-NOV-032: 3</x:v>
      </x:c>
      <x:c r="AG3787" s="87" t="str">
        <x:v>RESOLVED</x:v>
      </x:c>
      <x:c r="AH3787" s="87" t="str">
        <x:v>CROP_VERIFIED</x:v>
      </x:c>
      <x:c r="AI3787" s="30"/>
      <x:c r="AJ3787" s="87" t="str">
        <x:v>master</x:v>
      </x:c>
      <x:c r="AK3787" s="87" t="str">
        <x:v>master-v0.81</x:v>
      </x:c>
      <x:c r="AL3787" s="87" t="str">
        <x:v>statgrad_master_base_v0_81_final(2).xlsx</x:v>
      </x:c>
      <x:c r="AM3787" s="87" t="str">
        <x:v>CHEM_Nov_V3</x:v>
      </x:c>
      <x:c r="AN3787" s="87" t="n">
        <x:v>6</x:v>
      </x:c>
    </x:row>
    <x:row r="3788">
      <x:c r="A3788" s="87" t="n">
        <x:v>3787</x:v>
      </x:c>
      <x:c r="B3788" s="87" t="str">
        <x:v>NOV-CHEM-V3-006</x:v>
      </x:c>
      <x:c r="C3788" s="87" t="str">
        <x:v>СтатГрад</x:v>
      </x:c>
      <x:c r="D3788" s="87" t="str">
        <x:v>Ноябрь 2025</x:v>
      </x:c>
      <x:c r="E3788" s="87"/>
      <x:c r="F3788" s="87"/>
      <x:c r="G3788" s="87" t="str">
        <x:v>Химия</x:v>
      </x:c>
      <x:c r="H3788" s="87" t="n">
        <x:v>11</x:v>
      </x:c>
      <x:c r="I3788" s="87" t="str">
        <x:v>ТР №2</x:v>
      </x:c>
      <x:c r="J3788" s="87" t="str">
        <x:v>ХИ2510203</x:v>
      </x:c>
      <x:c r="K3788" s="87" t="n">
        <x:v>6</x:v>
      </x:c>
      <x:c r="L3788" s="87" t="str">
        <x:v>Качественные реакции</x:v>
      </x:c>
      <x:c r="M3788" s="30" t="str">
        <x:v>6   В двух пробирках находился свежеприготовленный раствор хлорида
    железа(II). В первую пробирку добавили раствор вещества Х, а во вторую –
    раствор вещества Y. В первой пробирке выпал осадок серо-зелёного цвета,
    во второй пробирке образовался синий осадок. Газ не выделялся ни в одной
    из пробирок.
    Из предложенного перечня выберите вещества X и Y, которые могут
    вступать в описанные реакции.
    1) NH3
    2) (NH4)2S
    3) H2SO4
    4) K4[Fe(CN)6]
    5) K3[Fe(CN)6]
    Запишите в таблицу номера выбранных веществ под соответствующими
    буквами.
                 X             Y
    Ответ:</x:v>
      </x:c>
      <x:c r="N3788" s="30" t="str">
        <x:v>X=1; Y=5</x:v>
      </x:c>
      <x:c r="O3788" s="30" t="str">
        <x:v>По условию получено: X=1; Y=5. Оба неизвестных определены совместно, а не подбором по ключу.</x:v>
      </x:c>
      <x:c r="P3788" s="30" t="str">
        <x:v>Для X и Y записаны возможные реакции и сопоставлены наблюдаемые признаки.</x:v>
      </x:c>
      <x:c r="Q3788" s="30"/>
      <x:c r="R3788" s="30" t="str">
        <x:v>Фото-сводка ответов + независимое решение</x:v>
      </x:c>
      <x:c r="S3788" s="30"/>
      <x:c r="T3788" s="30"/>
      <x:c r="U3788" s="30" t="str">
        <x:v>Расхождений не обнаружено.</x:v>
      </x:c>
      <x:c r="V3788" s="87" t="str">
        <x:v>VERIFIED</x:v>
      </x:c>
      <x:c r="W3788" s="87" t="str">
        <x:v>Zadanie_KhI11_06112025_.pdf, вариантная стр. 4</x:v>
      </x:c>
      <x:c r="X3788" s="87"/>
      <x:c r="Y3788" s="87"/>
      <x:c r="Z3788" s="87"/>
      <x:c r="AA3788" s="87"/>
      <x:c r="AB3788" s="87"/>
      <x:c r="AC3788" s="87" t="str">
        <x:v>VIS-CHEM-NOV-033</x:v>
      </x:c>
      <x:c r="AD3788" s="87"/>
      <x:c r="AE3788" s="87"/>
      <x:c r="AF3788" s="87" t="str">
        <x:v>VIS-CHEM-NOV-033: 4</x:v>
      </x:c>
      <x:c r="AG3788" s="87" t="str">
        <x:v>RESOLVED</x:v>
      </x:c>
      <x:c r="AH3788" s="87" t="str">
        <x:v>CROP_VERIFIED</x:v>
      </x:c>
      <x:c r="AI3788" s="30"/>
      <x:c r="AJ3788" s="87" t="str">
        <x:v>master</x:v>
      </x:c>
      <x:c r="AK3788" s="87" t="str">
        <x:v>master-v0.81</x:v>
      </x:c>
      <x:c r="AL3788" s="87" t="str">
        <x:v>statgrad_master_base_v0_81_final(2).xlsx</x:v>
      </x:c>
      <x:c r="AM3788" s="87" t="str">
        <x:v>CHEM_Nov_V3</x:v>
      </x:c>
      <x:c r="AN3788" s="87" t="n">
        <x:v>7</x:v>
      </x:c>
    </x:row>
    <x:row r="3789">
      <x:c r="A3789" s="87" t="n">
        <x:v>3788</x:v>
      </x:c>
      <x:c r="B3789" s="87" t="str">
        <x:v>NOV-CHEM-V3-007</x:v>
      </x:c>
      <x:c r="C3789" s="87" t="str">
        <x:v>СтатГрад</x:v>
      </x:c>
      <x:c r="D3789" s="87" t="str">
        <x:v>Ноябрь 2025</x:v>
      </x:c>
      <x:c r="E3789" s="87"/>
      <x:c r="F3789" s="87"/>
      <x:c r="G3789" s="87" t="str">
        <x:v>Химия</x:v>
      </x:c>
      <x:c r="H3789" s="87" t="n">
        <x:v>11</x:v>
      </x:c>
      <x:c r="I3789" s="87" t="str">
        <x:v>ТР №2</x:v>
      </x:c>
      <x:c r="J3789" s="87" t="str">
        <x:v>ХИ2510203</x:v>
      </x:c>
      <x:c r="K3789" s="87" t="n">
        <x:v>7</x:v>
      </x:c>
      <x:c r="L3789" s="87" t="str">
        <x:v>Неорганические свойства: соответствие</x:v>
      </x:c>
      <x:c r="M3789" s="30" t="str">
        <x:v>7   Установите соответствие между веществом и реагентами, с каждым
    из которых это вещество может взаимодействовать: к каждой позиции,
    обозначенной буквой, подберите соответствующую позицию, обозначенную
    цифрой.
                      ВЕЩЕСТВО                                    РЕАГЕНТЫ
    А) Fe                                                 1) MnO2, AgNO3, KOH
    Б) C                                                  2) H2SO4, Ba(NO3)2, MgCl2
    В) HCl                                                3) CuSO4, HBr, O2
    Г) Na2CO3                                             4) H2, NaOH, Br2
                                                          5) CO2, CuO, F2
    Запишите в таблицу выбранные цифры под соответствующими буквами.
               А Б В Г
    Ответ:</x:v>
      </x:c>
      <x:c r="N3789" s="30" t="str">
        <x:v>3512</x:v>
      </x:c>
      <x:c r="O3789" s="30" t="str">
        <x:v>Последовательность 3512 задаёт соответствия позициям задания; каждое соответствие проверено отдельно.</x:v>
      </x:c>
      <x:c r="P3789" s="30" t="str">
        <x:v>Для каждой позиции проверена реакционная способность со всеми указанными реагентами.</x:v>
      </x:c>
      <x:c r="Q3789" s="30"/>
      <x:c r="R3789" s="30" t="str">
        <x:v>Таблица ответов PDF + независимое решение</x:v>
      </x:c>
      <x:c r="S3789" s="30"/>
      <x:c r="T3789" s="30"/>
      <x:c r="U3789" s="30" t="str">
        <x:v>Расхождений не обнаружено.</x:v>
      </x:c>
      <x:c r="V3789" s="87" t="str">
        <x:v>VERIFIED</x:v>
      </x:c>
      <x:c r="W3789" s="87" t="str">
        <x:v>Zadanie_KhI11_06112025_.pdf, вариантная стр. 4</x:v>
      </x:c>
      <x:c r="X3789" s="87"/>
      <x:c r="Y3789" s="87"/>
      <x:c r="Z3789" s="87"/>
      <x:c r="AA3789" s="87"/>
      <x:c r="AB3789" s="87"/>
      <x:c r="AC3789" s="87" t="str">
        <x:v>VIS-CHEM-NOV-033</x:v>
      </x:c>
      <x:c r="AD3789" s="87"/>
      <x:c r="AE3789" s="87"/>
      <x:c r="AF3789" s="87" t="str">
        <x:v>VIS-CHEM-NOV-033: 4</x:v>
      </x:c>
      <x:c r="AG3789" s="87" t="str">
        <x:v>RESOLVED</x:v>
      </x:c>
      <x:c r="AH3789" s="87" t="str">
        <x:v>CROP_VERIFIED</x:v>
      </x:c>
      <x:c r="AI3789" s="30"/>
      <x:c r="AJ3789" s="87" t="str">
        <x:v>master</x:v>
      </x:c>
      <x:c r="AK3789" s="87" t="str">
        <x:v>master-v0.81</x:v>
      </x:c>
      <x:c r="AL3789" s="87" t="str">
        <x:v>statgrad_master_base_v0_81_final(2).xlsx</x:v>
      </x:c>
      <x:c r="AM3789" s="87" t="str">
        <x:v>CHEM_Nov_V3</x:v>
      </x:c>
      <x:c r="AN3789" s="87" t="n">
        <x:v>8</x:v>
      </x:c>
    </x:row>
    <x:row r="3790">
      <x:c r="A3790" s="87" t="n">
        <x:v>3789</x:v>
      </x:c>
      <x:c r="B3790" s="87" t="str">
        <x:v>NOV-CHEM-V3-008</x:v>
      </x:c>
      <x:c r="C3790" s="87" t="str">
        <x:v>СтатГрад</x:v>
      </x:c>
      <x:c r="D3790" s="87" t="str">
        <x:v>Ноябрь 2025</x:v>
      </x:c>
      <x:c r="E3790" s="87"/>
      <x:c r="F3790" s="87"/>
      <x:c r="G3790" s="87" t="str">
        <x:v>Химия</x:v>
      </x:c>
      <x:c r="H3790" s="87" t="n">
        <x:v>11</x:v>
      </x:c>
      <x:c r="I3790" s="87" t="str">
        <x:v>ТР №2</x:v>
      </x:c>
      <x:c r="J3790" s="87" t="str">
        <x:v>ХИ2510203</x:v>
      </x:c>
      <x:c r="K3790" s="87" t="n">
        <x:v>8</x:v>
      </x:c>
      <x:c r="L3790" s="87" t="str">
        <x:v>Неорганические реакции: продукты</x:v>
      </x:c>
      <x:c r="M3790" s="30" t="str">
        <x:v>8   Установите соответствие между исходными веществами, вступающими
    в реакцию, и продуктами этой реакции: к каждой позиции, обозначенной
    буквой, подберите соответствующую позицию, обозначенную цифрой.
            ИСХОДНЫЕ ВЕЩЕСТВА                                ПРОДУКТЫ РЕАКЦИИ
    А) MnO2 + HCl                                         1) KCl + MnCl2 + H2O
    Б) Mn + HCl                                           2) KCl + MnO + H2O
    В) Mn(OH)2 + HCl                                      3) KCl + MnCl2 + Cl2 + H2O
    Г) KMnO4 + HCl                                        4) MnCl2 + H2O
                                                          5) MnCl2 + Cl2 + H2O
                                                          6) MnCl2 + H2
    Запишите в таблицу выбранные цифры под соответствующими буквами.
               А Б В Г
    Ответ:</x:v>
      </x:c>
      <x:c r="N3790" s="30" t="str">
        <x:v>5643</x:v>
      </x:c>
      <x:c r="O3790" s="30" t="str">
        <x:v>Последовательность 5643 задаёт соответствия позициям задания; каждое соответствие проверено отдельно.</x:v>
      </x:c>
      <x:c r="P3790" s="30" t="str">
        <x:v>Уравнения реакций восстановлены и продукты сопоставлены с вариантами ответа.</x:v>
      </x:c>
      <x:c r="Q3790" s="30"/>
      <x:c r="R3790" s="30" t="str">
        <x:v>Таблица ответов PDF + независимое решение</x:v>
      </x:c>
      <x:c r="S3790" s="30"/>
      <x:c r="T3790" s="30"/>
      <x:c r="U3790" s="30" t="str">
        <x:v>Расхождений не обнаружено.</x:v>
      </x:c>
      <x:c r="V3790" s="87" t="str">
        <x:v>VERIFIED</x:v>
      </x:c>
      <x:c r="W3790" s="87" t="str">
        <x:v>Zadanie_KhI11_06112025_.pdf, вариантная стр. 5</x:v>
      </x:c>
      <x:c r="X3790" s="87"/>
      <x:c r="Y3790" s="87"/>
      <x:c r="Z3790" s="87"/>
      <x:c r="AA3790" s="87"/>
      <x:c r="AB3790" s="87"/>
      <x:c r="AC3790" s="87" t="str">
        <x:v>VIS-CHEM-NOV-034</x:v>
      </x:c>
      <x:c r="AD3790" s="87"/>
      <x:c r="AE3790" s="87"/>
      <x:c r="AF3790" s="87" t="str">
        <x:v>VIS-CHEM-NOV-034: 5</x:v>
      </x:c>
      <x:c r="AG3790" s="87" t="str">
        <x:v>RESOLVED</x:v>
      </x:c>
      <x:c r="AH3790" s="87" t="str">
        <x:v>CROP_VERIFIED</x:v>
      </x:c>
      <x:c r="AI3790" s="30"/>
      <x:c r="AJ3790" s="87" t="str">
        <x:v>master</x:v>
      </x:c>
      <x:c r="AK3790" s="87" t="str">
        <x:v>master-v0.81</x:v>
      </x:c>
      <x:c r="AL3790" s="87" t="str">
        <x:v>statgrad_master_base_v0_81_final(2).xlsx</x:v>
      </x:c>
      <x:c r="AM3790" s="87" t="str">
        <x:v>CHEM_Nov_V3</x:v>
      </x:c>
      <x:c r="AN3790" s="87" t="n">
        <x:v>9</x:v>
      </x:c>
    </x:row>
    <x:row r="3791">
      <x:c r="A3791" s="87" t="n">
        <x:v>3790</x:v>
      </x:c>
      <x:c r="B3791" s="87" t="str">
        <x:v>NOV-CHEM-V3-009</x:v>
      </x:c>
      <x:c r="C3791" s="87" t="str">
        <x:v>СтатГрад</x:v>
      </x:c>
      <x:c r="D3791" s="87" t="str">
        <x:v>Ноябрь 2025</x:v>
      </x:c>
      <x:c r="E3791" s="87"/>
      <x:c r="F3791" s="87"/>
      <x:c r="G3791" s="87" t="str">
        <x:v>Химия</x:v>
      </x:c>
      <x:c r="H3791" s="87" t="n">
        <x:v>11</x:v>
      </x:c>
      <x:c r="I3791" s="87" t="str">
        <x:v>ТР №2</x:v>
      </x:c>
      <x:c r="J3791" s="87" t="str">
        <x:v>ХИ2510203</x:v>
      </x:c>
      <x:c r="K3791" s="87" t="n">
        <x:v>9</x:v>
      </x:c>
      <x:c r="L3791" s="87" t="str">
        <x:v>Цепочка превращений</x:v>
      </x:c>
      <x:c r="M3791" s="30" t="str">
        <x:v>9   Задана схема превращений веществ:
                                        HO           Y
                                PCl3 
                                      2
                                        → X 
                                             → H3PO4
    Определите, какие из указанных веществ являются веществами X и Y.
    1) P2O3
    2) H3PO2
    3) H3PO3
    4) HBr
    5) Br2
    Запишите в таблицу номера выбранных веществ под соответствующими
    буквами.
                 X             Y
    Ответ:</x:v>
      </x:c>
      <x:c r="N3791" s="30" t="str">
        <x:v>35</x:v>
      </x:c>
      <x:c r="O3791" s="30" t="str">
        <x:v>Выбраны позиции 35; выбор подтверждён разбором каждого предложенного вещества или элемента.</x:v>
      </x:c>
      <x:c r="P3791" s="30" t="str">
        <x:v>Промежуточные вещества X и Y установлены по последовательности превращений.</x:v>
      </x:c>
      <x:c r="Q3791" s="30"/>
      <x:c r="R3791" s="30" t="str">
        <x:v>Фото-сводка ответов + независимое решение</x:v>
      </x:c>
      <x:c r="S3791" s="30"/>
      <x:c r="T3791" s="30"/>
      <x:c r="U3791" s="30" t="str">
        <x:v>Расхождений не обнаружено.</x:v>
      </x:c>
      <x:c r="V3791" s="87" t="str">
        <x:v>VERIFIED</x:v>
      </x:c>
      <x:c r="W3791" s="87" t="str">
        <x:v>Zadanie_KhI11_06112025_.pdf, вариантная стр. 5</x:v>
      </x:c>
      <x:c r="X3791" s="87"/>
      <x:c r="Y3791" s="87"/>
      <x:c r="Z3791" s="87"/>
      <x:c r="AA3791" s="87"/>
      <x:c r="AB3791" s="87"/>
      <x:c r="AC3791" s="87" t="str">
        <x:v>VIS-CHEM-NOV-034</x:v>
      </x:c>
      <x:c r="AD3791" s="87"/>
      <x:c r="AE3791" s="87"/>
      <x:c r="AF3791" s="87" t="str">
        <x:v>VIS-CHEM-NOV-034: 5</x:v>
      </x:c>
      <x:c r="AG3791" s="87" t="str">
        <x:v>RESOLVED</x:v>
      </x:c>
      <x:c r="AH3791" s="87" t="str">
        <x:v>CROP_VERIFIED</x:v>
      </x:c>
      <x:c r="AI3791" s="30"/>
      <x:c r="AJ3791" s="87" t="str">
        <x:v>master</x:v>
      </x:c>
      <x:c r="AK3791" s="87" t="str">
        <x:v>master-v0.81</x:v>
      </x:c>
      <x:c r="AL3791" s="87" t="str">
        <x:v>statgrad_master_base_v0_81_final(2).xlsx</x:v>
      </x:c>
      <x:c r="AM3791" s="87" t="str">
        <x:v>CHEM_Nov_V3</x:v>
      </x:c>
      <x:c r="AN3791" s="87" t="n">
        <x:v>10</x:v>
      </x:c>
    </x:row>
    <x:row r="3792">
      <x:c r="A3792" s="87" t="n">
        <x:v>3791</x:v>
      </x:c>
      <x:c r="B3792" s="87" t="str">
        <x:v>NOV-CHEM-V3-010</x:v>
      </x:c>
      <x:c r="C3792" s="87" t="str">
        <x:v>СтатГрад</x:v>
      </x:c>
      <x:c r="D3792" s="87" t="str">
        <x:v>Ноябрь 2025</x:v>
      </x:c>
      <x:c r="E3792" s="87"/>
      <x:c r="F3792" s="87"/>
      <x:c r="G3792" s="87" t="str">
        <x:v>Химия</x:v>
      </x:c>
      <x:c r="H3792" s="87" t="n">
        <x:v>11</x:v>
      </x:c>
      <x:c r="I3792" s="87" t="str">
        <x:v>ТР №2</x:v>
      </x:c>
      <x:c r="J3792" s="87" t="str">
        <x:v>ХИ2510203</x:v>
      </x:c>
      <x:c r="K3792" s="87" t="n">
        <x:v>10</x:v>
      </x:c>
      <x:c r="L3792" s="87" t="str">
        <x:v>Классы органических веществ</x:v>
      </x:c>
      <x:c r="M3792" s="30" t="str">
        <x:v>10   Установите соответствие между общей формулой класса органических
     веществ и веществом, которое принадлежит к этому классу: к каждой
     позиции, обозначенной буквой, подберите соответствующую позицию,
     обозначенную цифрой.
         ОБЩАЯ ФОРМУЛА                                     ВЕЩЕСТВО
     А) CnH2nO                                1) метилпропиловый эфир
     Б) CnH2n+2O                              2) метилпропионат
     В) CnH2nO2                               3) пентанон-3
                                              4) акриловая (пропеновая) кислота
     Запишите в таблицу выбранные цифры под соответствующими буквами.
                А Б В
     Ответ:</x:v>
      </x:c>
      <x:c r="N3792" s="30" t="str">
        <x:v>312</x:v>
      </x:c>
      <x:c r="O3792" s="30" t="str">
        <x:v>Последовательность 312 задаёт соответствия позициям задания; каждое соответствие проверено отдельно.</x:v>
      </x:c>
      <x:c r="P3792" s="30" t="str">
        <x:v>Формулы классов сопоставлены со строением предложенных соединений.</x:v>
      </x:c>
      <x:c r="Q3792" s="30"/>
      <x:c r="R3792" s="30" t="str">
        <x:v>Фото-сводка ответов + независимое решение</x:v>
      </x:c>
      <x:c r="S3792" s="30"/>
      <x:c r="T3792" s="30"/>
      <x:c r="U3792" s="30" t="str">
        <x:v>Расхождений не обнаружено.</x:v>
      </x:c>
      <x:c r="V3792" s="87" t="str">
        <x:v>VERIFIED</x:v>
      </x:c>
      <x:c r="W3792" s="87" t="str">
        <x:v>Zadanie_KhI11_06112025_.pdf, вариантная стр. 6</x:v>
      </x:c>
      <x:c r="X3792" s="87"/>
      <x:c r="Y3792" s="87"/>
      <x:c r="Z3792" s="87"/>
      <x:c r="AA3792" s="87"/>
      <x:c r="AB3792" s="87"/>
      <x:c r="AC3792" s="87" t="str">
        <x:v>VIS-CHEM-NOV-035</x:v>
      </x:c>
      <x:c r="AD3792" s="87"/>
      <x:c r="AE3792" s="87"/>
      <x:c r="AF3792" s="87" t="str">
        <x:v>VIS-CHEM-NOV-035: 6</x:v>
      </x:c>
      <x:c r="AG3792" s="87" t="str">
        <x:v>RESOLVED</x:v>
      </x:c>
      <x:c r="AH3792" s="87" t="str">
        <x:v>CROP_VERIFIED</x:v>
      </x:c>
      <x:c r="AI3792" s="30"/>
      <x:c r="AJ3792" s="87" t="str">
        <x:v>master</x:v>
      </x:c>
      <x:c r="AK3792" s="87" t="str">
        <x:v>master-v0.81</x:v>
      </x:c>
      <x:c r="AL3792" s="87" t="str">
        <x:v>statgrad_master_base_v0_81_final(2).xlsx</x:v>
      </x:c>
      <x:c r="AM3792" s="87" t="str">
        <x:v>CHEM_Nov_V3</x:v>
      </x:c>
      <x:c r="AN3792" s="87" t="n">
        <x:v>11</x:v>
      </x:c>
    </x:row>
    <x:row r="3793">
      <x:c r="A3793" s="87" t="n">
        <x:v>3792</x:v>
      </x:c>
      <x:c r="B3793" s="87" t="str">
        <x:v>NOV-CHEM-V3-011</x:v>
      </x:c>
      <x:c r="C3793" s="87" t="str">
        <x:v>СтатГрад</x:v>
      </x:c>
      <x:c r="D3793" s="87" t="str">
        <x:v>Ноябрь 2025</x:v>
      </x:c>
      <x:c r="E3793" s="87"/>
      <x:c r="F3793" s="87"/>
      <x:c r="G3793" s="87" t="str">
        <x:v>Химия</x:v>
      </x:c>
      <x:c r="H3793" s="87" t="n">
        <x:v>11</x:v>
      </x:c>
      <x:c r="I3793" s="87" t="str">
        <x:v>ТР №2</x:v>
      </x:c>
      <x:c r="J3793" s="87" t="str">
        <x:v>ХИ2510203</x:v>
      </x:c>
      <x:c r="K3793" s="87" t="n">
        <x:v>11</x:v>
      </x:c>
      <x:c r="L3793" s="87" t="str">
        <x:v>Гибридизация атомов углерода</x:v>
      </x:c>
      <x:c r="M3793" s="30" t="str">
        <x:v>11   Из предложенного перечня выберите два вещества, в которых все атомы
     углерода находятся в состоянии sp3-гибридизации.
     1) бутанол-1
     2) этилацетат
     3) циклогексан
     4) ацетилен
     5) ацетон
     Запишите номера выбранных ответов.
     Ответ:</x:v>
      </x:c>
      <x:c r="N3793" s="30" t="str">
        <x:v>13</x:v>
      </x:c>
      <x:c r="O3793" s="30" t="str">
        <x:v>Выбраны позиции 13; выбор подтверждён разбором каждого предложенного вещества или элемента.</x:v>
      </x:c>
      <x:c r="P3793" s="30" t="str">
        <x:v>Гибридизация каждого атома углерода определена по числу σ-связей и кратных связей.</x:v>
      </x:c>
      <x:c r="Q3793" s="30"/>
      <x:c r="R3793" s="30" t="str">
        <x:v>Фото-сводка ответов + независимое решение</x:v>
      </x:c>
      <x:c r="S3793" s="30"/>
      <x:c r="T3793" s="30"/>
      <x:c r="U3793" s="30" t="str">
        <x:v>Расхождений не обнаружено.</x:v>
      </x:c>
      <x:c r="V3793" s="87" t="str">
        <x:v>VERIFIED</x:v>
      </x:c>
      <x:c r="W3793" s="87" t="str">
        <x:v>Zadanie_KhI11_06112025_.pdf, вариантная стр. 6</x:v>
      </x:c>
      <x:c r="X3793" s="87"/>
      <x:c r="Y3793" s="87"/>
      <x:c r="Z3793" s="87"/>
      <x:c r="AA3793" s="87"/>
      <x:c r="AB3793" s="87"/>
      <x:c r="AC3793" s="87" t="str">
        <x:v>VIS-CHEM-NOV-035</x:v>
      </x:c>
      <x:c r="AD3793" s="87"/>
      <x:c r="AE3793" s="87"/>
      <x:c r="AF3793" s="87" t="str">
        <x:v>VIS-CHEM-NOV-035: 6</x:v>
      </x:c>
      <x:c r="AG3793" s="87" t="str">
        <x:v>RESOLVED</x:v>
      </x:c>
      <x:c r="AH3793" s="87" t="str">
        <x:v>CROP_VERIFIED</x:v>
      </x:c>
      <x:c r="AI3793" s="30"/>
      <x:c r="AJ3793" s="87" t="str">
        <x:v>master</x:v>
      </x:c>
      <x:c r="AK3793" s="87" t="str">
        <x:v>master-v0.81</x:v>
      </x:c>
      <x:c r="AL3793" s="87" t="str">
        <x:v>statgrad_master_base_v0_81_final(2).xlsx</x:v>
      </x:c>
      <x:c r="AM3793" s="87" t="str">
        <x:v>CHEM_Nov_V3</x:v>
      </x:c>
      <x:c r="AN3793" s="87" t="n">
        <x:v>12</x:v>
      </x:c>
    </x:row>
    <x:row r="3794">
      <x:c r="A3794" s="87" t="n">
        <x:v>3793</x:v>
      </x:c>
      <x:c r="B3794" s="87" t="str">
        <x:v>NOV-CHEM-V3-012</x:v>
      </x:c>
      <x:c r="C3794" s="87" t="str">
        <x:v>СтатГрад</x:v>
      </x:c>
      <x:c r="D3794" s="87" t="str">
        <x:v>Ноябрь 2025</x:v>
      </x:c>
      <x:c r="E3794" s="87"/>
      <x:c r="F3794" s="87"/>
      <x:c r="G3794" s="87" t="str">
        <x:v>Химия</x:v>
      </x:c>
      <x:c r="H3794" s="87" t="n">
        <x:v>11</x:v>
      </x:c>
      <x:c r="I3794" s="87" t="str">
        <x:v>ТР №2</x:v>
      </x:c>
      <x:c r="J3794" s="87" t="str">
        <x:v>ХИ2510203</x:v>
      </x:c>
      <x:c r="K3794" s="87" t="n">
        <x:v>12</x:v>
      </x:c>
      <x:c r="L3794" s="87" t="str">
        <x:v>Гидролиз органических веществ</x:v>
      </x:c>
      <x:c r="M3794" s="30" t="str">
        <x:v>12   Из предложенного перечня выберите все вещества, при взаимодействии
     которых с водой в соответствующих условиях образуется уксусный альдегид.
     1) C2H2
     2) CH3CN
     3) CH3CHCl2
     4) CH3CCl3
     5) CH3C(O)OCH=CH2
     Запишите номера выбранных ответов.
     Ответ: ___________________________.</x:v>
      </x:c>
      <x:c r="N3794" s="30" t="str">
        <x:v>135</x:v>
      </x:c>
      <x:c r="O3794" s="30" t="str">
        <x:v>Выбраны позиции 135; выбор подтверждён разбором каждого предложенного вещества или элемента.</x:v>
      </x:c>
      <x:c r="P3794" s="30" t="str">
        <x:v>Продукты гидролиза каждого вещества проверены уравнениями реакций.</x:v>
      </x:c>
      <x:c r="Q3794" s="30"/>
      <x:c r="R3794" s="30" t="str">
        <x:v>Таблица ответов PDF + независимое решение</x:v>
      </x:c>
      <x:c r="S3794" s="30"/>
      <x:c r="T3794" s="30"/>
      <x:c r="U3794" s="30" t="str">
        <x:v>Расхождений не обнаружено.</x:v>
      </x:c>
      <x:c r="V3794" s="87" t="str">
        <x:v>VERIFIED</x:v>
      </x:c>
      <x:c r="W3794" s="87" t="str">
        <x:v>Zadanie_KhI11_06112025_.pdf, вариантная стр. 6</x:v>
      </x:c>
      <x:c r="X3794" s="87"/>
      <x:c r="Y3794" s="87"/>
      <x:c r="Z3794" s="87"/>
      <x:c r="AA3794" s="87"/>
      <x:c r="AB3794" s="87"/>
      <x:c r="AC3794" s="87" t="str">
        <x:v>VIS-CHEM-NOV-035</x:v>
      </x:c>
      <x:c r="AD3794" s="87"/>
      <x:c r="AE3794" s="87"/>
      <x:c r="AF3794" s="87" t="str">
        <x:v>VIS-CHEM-NOV-035: 6</x:v>
      </x:c>
      <x:c r="AG3794" s="87" t="str">
        <x:v>RESOLVED</x:v>
      </x:c>
      <x:c r="AH3794" s="87" t="str">
        <x:v>CROP_VERIFIED</x:v>
      </x:c>
      <x:c r="AI3794" s="30"/>
      <x:c r="AJ3794" s="87" t="str">
        <x:v>master</x:v>
      </x:c>
      <x:c r="AK3794" s="87" t="str">
        <x:v>master-v0.81</x:v>
      </x:c>
      <x:c r="AL3794" s="87" t="str">
        <x:v>statgrad_master_base_v0_81_final(2).xlsx</x:v>
      </x:c>
      <x:c r="AM3794" s="87" t="str">
        <x:v>CHEM_Nov_V3</x:v>
      </x:c>
      <x:c r="AN3794" s="87" t="n">
        <x:v>13</x:v>
      </x:c>
    </x:row>
    <x:row r="3795">
      <x:c r="A3795" s="87" t="n">
        <x:v>3794</x:v>
      </x:c>
      <x:c r="B3795" s="87" t="str">
        <x:v>NOV-CHEM-V3-013</x:v>
      </x:c>
      <x:c r="C3795" s="87" t="str">
        <x:v>СтатГрад</x:v>
      </x:c>
      <x:c r="D3795" s="87" t="str">
        <x:v>Ноябрь 2025</x:v>
      </x:c>
      <x:c r="E3795" s="87"/>
      <x:c r="F3795" s="87"/>
      <x:c r="G3795" s="87" t="str">
        <x:v>Химия</x:v>
      </x:c>
      <x:c r="H3795" s="87" t="n">
        <x:v>11</x:v>
      </x:c>
      <x:c r="I3795" s="87" t="str">
        <x:v>ТР №2</x:v>
      </x:c>
      <x:c r="J3795" s="87" t="str">
        <x:v>ХИ2510203</x:v>
      </x:c>
      <x:c r="K3795" s="87" t="n">
        <x:v>13</x:v>
      </x:c>
      <x:c r="L3795" s="87" t="str">
        <x:v>Химические свойства органических веществ</x:v>
      </x:c>
      <x:c r="M3795" s="30" t="str">
        <x:v>13   Из предложенного перечня выберите два вещества, с которыми реагирует
     триолеат глицерина.
     1) гидроксид кальция
     2) карбонат кальция
     3) сульфат меди(II)
     4) сероводород
     5) иод
     Запишите номера выбранных ответов.
     Ответ:</x:v>
      </x:c>
      <x:c r="N3795" s="30" t="str">
        <x:v>15</x:v>
      </x:c>
      <x:c r="O3795" s="30" t="str">
        <x:v>Выбраны позиции 15; выбор подтверждён разбором каждого предложенного вещества или элемента.</x:v>
      </x:c>
      <x:c r="P3795" s="30" t="str">
        <x:v>Проверены функциональные группы и возможные реакции с каждым реагентом.</x:v>
      </x:c>
      <x:c r="Q3795" s="30"/>
      <x:c r="R3795" s="30" t="str">
        <x:v>Фото-сводка ответов + независимое решение</x:v>
      </x:c>
      <x:c r="S3795" s="30"/>
      <x:c r="T3795" s="30"/>
      <x:c r="U3795" s="30" t="str">
        <x:v>Расхождений не обнаружено.</x:v>
      </x:c>
      <x:c r="V3795" s="87" t="str">
        <x:v>VERIFIED</x:v>
      </x:c>
      <x:c r="W3795" s="87" t="str">
        <x:v>Zadanie_KhI11_06112025_.pdf, вариантная стр. 7</x:v>
      </x:c>
      <x:c r="X3795" s="87"/>
      <x:c r="Y3795" s="87"/>
      <x:c r="Z3795" s="87"/>
      <x:c r="AA3795" s="87"/>
      <x:c r="AB3795" s="87"/>
      <x:c r="AC3795" s="87" t="str">
        <x:v>VIS-CHEM-NOV-036</x:v>
      </x:c>
      <x:c r="AD3795" s="87"/>
      <x:c r="AE3795" s="87"/>
      <x:c r="AF3795" s="87" t="str">
        <x:v>VIS-CHEM-NOV-036: 7</x:v>
      </x:c>
      <x:c r="AG3795" s="87" t="str">
        <x:v>RESOLVED</x:v>
      </x:c>
      <x:c r="AH3795" s="87" t="str">
        <x:v>CROP_VERIFIED</x:v>
      </x:c>
      <x:c r="AI3795" s="30"/>
      <x:c r="AJ3795" s="87" t="str">
        <x:v>master</x:v>
      </x:c>
      <x:c r="AK3795" s="87" t="str">
        <x:v>master-v0.81</x:v>
      </x:c>
      <x:c r="AL3795" s="87" t="str">
        <x:v>statgrad_master_base_v0_81_final(2).xlsx</x:v>
      </x:c>
      <x:c r="AM3795" s="87" t="str">
        <x:v>CHEM_Nov_V3</x:v>
      </x:c>
      <x:c r="AN3795" s="87" t="n">
        <x:v>14</x:v>
      </x:c>
    </x:row>
    <x:row r="3796">
      <x:c r="A3796" s="87" t="n">
        <x:v>3795</x:v>
      </x:c>
      <x:c r="B3796" s="87" t="str">
        <x:v>NOV-CHEM-V3-014</x:v>
      </x:c>
      <x:c r="C3796" s="87" t="str">
        <x:v>СтатГрад</x:v>
      </x:c>
      <x:c r="D3796" s="87" t="str">
        <x:v>Ноябрь 2025</x:v>
      </x:c>
      <x:c r="E3796" s="87"/>
      <x:c r="F3796" s="87"/>
      <x:c r="G3796" s="87" t="str">
        <x:v>Химия</x:v>
      </x:c>
      <x:c r="H3796" s="87" t="n">
        <x:v>11</x:v>
      </x:c>
      <x:c r="I3796" s="87" t="str">
        <x:v>ТР №2</x:v>
      </x:c>
      <x:c r="J3796" s="87" t="str">
        <x:v>ХИ2510203</x:v>
      </x:c>
      <x:c r="K3796" s="87" t="n">
        <x:v>14</x:v>
      </x:c>
      <x:c r="L3796" s="87" t="str">
        <x:v>Органические реакции: продукты</x:v>
      </x:c>
      <x:c r="M3796" s="30" t="str">
        <x:v>14   Установите соответствие между названием вещества и органическим
     продуктом, который преимущественно образуется при его взаимодействии
     с избытком хлороводорода: к каждой позиции, обозначенной буквой,
     подберите соответствующую позицию, обозначенную цифрой.
              НАЗВАНИЕ ВЕЩЕСТВА                                 ПРОДУКТ РЕАКЦИИ
     А) бутин-1                                            1)          Cl
     Б) циклогексен                                             CH3    C    CH3
     В) стирол (винилбензол)                                           CH3
     Г) 2-метилпропен                                      2)          Cl
                                                           3) CH3 CH CH2Cl
                                                                       CH3
                                                           4)          Cl
                                                                       CH CH3
                                                           5) ClCH2–CHCl–CH2–CH3
                                                           6) CH3–CCl2–CH2–CH3
     Запишите в таблицу выбранные цифры под соответствующими буквами.
                А Б В Г
     Ответ:</x:v>
      </x:c>
      <x:c r="N3796" s="30" t="str">
        <x:v>6241</x:v>
      </x:c>
      <x:c r="O3796" s="30" t="str">
        <x:v>Последовательность 6241 задаёт соответствия позициям задания; каждое соответствие проверено отдельно.</x:v>
      </x:c>
      <x:c r="P3796" s="30" t="str">
        <x:v>Преимущественные продукты определены с учётом механизма и правила Зайцева.</x:v>
      </x:c>
      <x:c r="Q3796" s="30"/>
      <x:c r="R3796" s="30" t="str">
        <x:v>Таблица ответов PDF + независимое решение</x:v>
      </x:c>
      <x:c r="S3796" s="30"/>
      <x:c r="T3796" s="30"/>
      <x:c r="U3796" s="30" t="str">
        <x:v>Расхождений не обнаружено.</x:v>
      </x:c>
      <x:c r="V3796" s="87" t="str">
        <x:v>VERIFIED</x:v>
      </x:c>
      <x:c r="W3796" s="87" t="str">
        <x:v>Zadanie_KhI11_06112025_.pdf, вариантная стр. 7</x:v>
      </x:c>
      <x:c r="X3796" s="87"/>
      <x:c r="Y3796" s="87"/>
      <x:c r="Z3796" s="87"/>
      <x:c r="AA3796" s="87"/>
      <x:c r="AB3796" s="87"/>
      <x:c r="AC3796" s="87" t="str">
        <x:v>VIS-CHEM-NOV-036</x:v>
      </x:c>
      <x:c r="AD3796" s="87"/>
      <x:c r="AE3796" s="87"/>
      <x:c r="AF3796" s="87" t="str">
        <x:v>VIS-CHEM-NOV-036: 7</x:v>
      </x:c>
      <x:c r="AG3796" s="87" t="str">
        <x:v>RESOLVED</x:v>
      </x:c>
      <x:c r="AH3796" s="87" t="str">
        <x:v>CROP_VERIFIED</x:v>
      </x:c>
      <x:c r="AI3796" s="30"/>
      <x:c r="AJ3796" s="87" t="str">
        <x:v>master</x:v>
      </x:c>
      <x:c r="AK3796" s="87" t="str">
        <x:v>master-v0.81</x:v>
      </x:c>
      <x:c r="AL3796" s="87" t="str">
        <x:v>statgrad_master_base_v0_81_final(2).xlsx</x:v>
      </x:c>
      <x:c r="AM3796" s="87" t="str">
        <x:v>CHEM_Nov_V3</x:v>
      </x:c>
      <x:c r="AN3796" s="87" t="n">
        <x:v>15</x:v>
      </x:c>
    </x:row>
    <x:row r="3797">
      <x:c r="A3797" s="87" t="n">
        <x:v>3796</x:v>
      </x:c>
      <x:c r="B3797" s="87" t="str">
        <x:v>NOV-CHEM-V3-015</x:v>
      </x:c>
      <x:c r="C3797" s="87" t="str">
        <x:v>СтатГрад</x:v>
      </x:c>
      <x:c r="D3797" s="87" t="str">
        <x:v>Ноябрь 2025</x:v>
      </x:c>
      <x:c r="E3797" s="87"/>
      <x:c r="F3797" s="87"/>
      <x:c r="G3797" s="87" t="str">
        <x:v>Химия</x:v>
      </x:c>
      <x:c r="H3797" s="87" t="n">
        <x:v>11</x:v>
      </x:c>
      <x:c r="I3797" s="87" t="str">
        <x:v>ТР №2</x:v>
      </x:c>
      <x:c r="J3797" s="87" t="str">
        <x:v>ХИ2510203</x:v>
      </x:c>
      <x:c r="K3797" s="87" t="n">
        <x:v>15</x:v>
      </x:c>
      <x:c r="L3797" s="87" t="str">
        <x:v>Органические реакции: реагенты</x:v>
      </x:c>
      <x:c r="M3797" s="30" t="str">
        <x:v>15   Установите соответствие между схемой реакции и веществом X,
     принимающим в ней участие. К каждой позиции, обозначенной буквой,
     подберите соответствующую позицию, обозначенную цифрой.
                   СХЕМА РЕАКЦИИ                                 ВЕЩЕСТВО X
     А) X 
           CO, t , P, кат.
                          → уксусная кислота               1) CH3OH
     Б) X →
           [Ag(NH 3 ) 2 ]OH
                            пропионат аммония
                                                           2) CH3CH2OH
                                                           3) CH3CH(OH)CH3
     В) X 
           H 2SO 4 , t
                       → диэтиловый эфир                   4) CH3CH2CH=O
     Г) X    KMnO 4 , H +
                    → ацетон                         5) CH3CH2COOH
                                                           6) HCOOCH3
     Запишите в таблицу выбранные цифры под соответствующими буквами.
                А Б В Г
     Ответ:</x:v>
      </x:c>
      <x:c r="N3797" s="30" t="str">
        <x:v>1423</x:v>
      </x:c>
      <x:c r="O3797" s="30" t="str">
        <x:v>Последовательность 1423 задаёт соответствия позициям задания; каждое соответствие проверено отдельно.</x:v>
      </x:c>
      <x:c r="P3797" s="30" t="str">
        <x:v>Неизвестный реагент X восстановлен из исходного вещества и продукта реакции.</x:v>
      </x:c>
      <x:c r="Q3797" s="30"/>
      <x:c r="R3797" s="30" t="str">
        <x:v>Таблица ответов PDF + независимое решение</x:v>
      </x:c>
      <x:c r="S3797" s="30"/>
      <x:c r="T3797" s="30"/>
      <x:c r="U3797" s="30" t="str">
        <x:v>Расхождений не обнаружено.</x:v>
      </x:c>
      <x:c r="V3797" s="87" t="str">
        <x:v>VERIFIED</x:v>
      </x:c>
      <x:c r="W3797" s="87" t="str">
        <x:v>Zadanie_KhI11_06112025_.pdf, вариантная стр. 8</x:v>
      </x:c>
      <x:c r="X3797" s="87"/>
      <x:c r="Y3797" s="87"/>
      <x:c r="Z3797" s="87"/>
      <x:c r="AA3797" s="87"/>
      <x:c r="AB3797" s="87"/>
      <x:c r="AC3797" s="87" t="str">
        <x:v>VIS-CHEM-NOV-037</x:v>
      </x:c>
      <x:c r="AD3797" s="87"/>
      <x:c r="AE3797" s="87"/>
      <x:c r="AF3797" s="87" t="str">
        <x:v>VIS-CHEM-NOV-037: 8</x:v>
      </x:c>
      <x:c r="AG3797" s="87" t="str">
        <x:v>RESOLVED</x:v>
      </x:c>
      <x:c r="AH3797" s="87" t="str">
        <x:v>CROP_VERIFIED</x:v>
      </x:c>
      <x:c r="AI3797" s="30"/>
      <x:c r="AJ3797" s="87" t="str">
        <x:v>master</x:v>
      </x:c>
      <x:c r="AK3797" s="87" t="str">
        <x:v>master-v0.81</x:v>
      </x:c>
      <x:c r="AL3797" s="87" t="str">
        <x:v>statgrad_master_base_v0_81_final(2).xlsx</x:v>
      </x:c>
      <x:c r="AM3797" s="87" t="str">
        <x:v>CHEM_Nov_V3</x:v>
      </x:c>
      <x:c r="AN3797" s="87" t="n">
        <x:v>16</x:v>
      </x:c>
    </x:row>
    <x:row r="3798">
      <x:c r="A3798" s="87" t="n">
        <x:v>3797</x:v>
      </x:c>
      <x:c r="B3798" s="87" t="str">
        <x:v>NOV-CHEM-V3-016</x:v>
      </x:c>
      <x:c r="C3798" s="87" t="str">
        <x:v>СтатГрад</x:v>
      </x:c>
      <x:c r="D3798" s="87" t="str">
        <x:v>Ноябрь 2025</x:v>
      </x:c>
      <x:c r="E3798" s="87"/>
      <x:c r="F3798" s="87"/>
      <x:c r="G3798" s="87" t="str">
        <x:v>Химия</x:v>
      </x:c>
      <x:c r="H3798" s="87" t="n">
        <x:v>11</x:v>
      </x:c>
      <x:c r="I3798" s="87" t="str">
        <x:v>ТР №2</x:v>
      </x:c>
      <x:c r="J3798" s="87" t="str">
        <x:v>ХИ2510203</x:v>
      </x:c>
      <x:c r="K3798" s="87" t="n">
        <x:v>16</x:v>
      </x:c>
      <x:c r="L3798" s="87" t="str">
        <x:v>Цепочка превращений: органика</x:v>
      </x:c>
      <x:c r="M3798" s="30" t="str">
        <x:v>16   Задана следующая схема превращений веществ:
                          t , кат           Fe, HCl
                       X →     C6H6 → Y →    C6H5NH3+Cl–
     Определите, какие из указанных веществ являются веществами X и Y.
     1) CH4
     2) C2H2
     3) C6H5OH
     4) C6H5CN
     5) C6H5NO2
     Запишите в таблицу номера выбранных веществ под соответствующими
     буквами.
                  X             Y
     Ответ:</x:v>
      </x:c>
      <x:c r="N3798" s="30" t="str">
        <x:v>25</x:v>
      </x:c>
      <x:c r="O3798" s="30" t="str">
        <x:v>Выбраны позиции 25; выбор подтверждён разбором каждого предложенного вещества или элемента.</x:v>
      </x:c>
      <x:c r="P3798" s="30" t="str">
        <x:v>Оба неизвестных вещества установлены по полной цепочке превращений.</x:v>
      </x:c>
      <x:c r="Q3798" s="30"/>
      <x:c r="R3798" s="30" t="str">
        <x:v>Фото-сводка ответов + независимое решение</x:v>
      </x:c>
      <x:c r="S3798" s="30"/>
      <x:c r="T3798" s="30"/>
      <x:c r="U3798" s="30" t="str">
        <x:v>Расхождений не обнаружено.</x:v>
      </x:c>
      <x:c r="V3798" s="87" t="str">
        <x:v>VERIFIED</x:v>
      </x:c>
      <x:c r="W3798" s="87" t="str">
        <x:v>Zadanie_KhI11_06112025_.pdf, вариантная стр. 8</x:v>
      </x:c>
      <x:c r="X3798" s="87"/>
      <x:c r="Y3798" s="87"/>
      <x:c r="Z3798" s="87"/>
      <x:c r="AA3798" s="87"/>
      <x:c r="AB3798" s="87"/>
      <x:c r="AC3798" s="87" t="str">
        <x:v>VIS-CHEM-NOV-037</x:v>
      </x:c>
      <x:c r="AD3798" s="87"/>
      <x:c r="AE3798" s="87"/>
      <x:c r="AF3798" s="87" t="str">
        <x:v>VIS-CHEM-NOV-037: 8</x:v>
      </x:c>
      <x:c r="AG3798" s="87" t="str">
        <x:v>RESOLVED</x:v>
      </x:c>
      <x:c r="AH3798" s="87" t="str">
        <x:v>CROP_VERIFIED</x:v>
      </x:c>
      <x:c r="AI3798" s="30"/>
      <x:c r="AJ3798" s="87" t="str">
        <x:v>master</x:v>
      </x:c>
      <x:c r="AK3798" s="87" t="str">
        <x:v>master-v0.81</x:v>
      </x:c>
      <x:c r="AL3798" s="87" t="str">
        <x:v>statgrad_master_base_v0_81_final(2).xlsx</x:v>
      </x:c>
      <x:c r="AM3798" s="87" t="str">
        <x:v>CHEM_Nov_V3</x:v>
      </x:c>
      <x:c r="AN3798" s="87" t="n">
        <x:v>17</x:v>
      </x:c>
    </x:row>
    <x:row r="3799">
      <x:c r="A3799" s="87" t="n">
        <x:v>3798</x:v>
      </x:c>
      <x:c r="B3799" s="87" t="str">
        <x:v>NOV-CHEM-V3-017</x:v>
      </x:c>
      <x:c r="C3799" s="87" t="str">
        <x:v>СтатГрад</x:v>
      </x:c>
      <x:c r="D3799" s="87" t="str">
        <x:v>Ноябрь 2025</x:v>
      </x:c>
      <x:c r="E3799" s="87"/>
      <x:c r="F3799" s="87"/>
      <x:c r="G3799" s="87" t="str">
        <x:v>Химия</x:v>
      </x:c>
      <x:c r="H3799" s="87" t="n">
        <x:v>11</x:v>
      </x:c>
      <x:c r="I3799" s="87" t="str">
        <x:v>ТР №2</x:v>
      </x:c>
      <x:c r="J3799" s="87" t="str">
        <x:v>ХИ2510203</x:v>
      </x:c>
      <x:c r="K3799" s="87" t="n">
        <x:v>17</x:v>
      </x:c>
      <x:c r="L3799" s="87" t="str">
        <x:v>Классификация реакций</x:v>
      </x:c>
      <x:c r="M3799" s="30" t="str">
        <x:v>17   Установите соответствие между химической реакцией и типами реакций,
     к которым она относится: к каждой позиции, обозначенной буквой,
     подберите соответствующую позицию, обозначенную цифрой.
             ХИМИЧЕСКАЯ РЕАКЦИЯ                                 ТИПЫ РЕАКЦИЙ
     А) взаимодействие бензола с нитрующей                 1) реакция замещения,
        смесью                                                некаталитическая
     Б) взаимодействие бутанона с водородом                2) реакция присоединения,
     В) гидратация этилена                                    некаталитическая
                                                           3) реакция присоединения,
                                                              каталитическая
                                                           4) реакция замещения,
                                                              каталитическая
     Запишите в таблицу выбранные цифры под соответствующими буквами.
                А Б В
     Ответ:</x:v>
      </x:c>
      <x:c r="N3799" s="30" t="str">
        <x:v>433</x:v>
      </x:c>
      <x:c r="O3799" s="30" t="str">
        <x:v>Последовательность 433 задаёт соответствия позициям задания; каждое соответствие проверено отдельно.</x:v>
      </x:c>
      <x:c r="P3799" s="30" t="str">
        <x:v>Каждая реакция классифицирована по числу и составу веществ, обратимости и ОВР.</x:v>
      </x:c>
      <x:c r="Q3799" s="30"/>
      <x:c r="R3799" s="30" t="str">
        <x:v>Фото-сводка ответов + независимое решение</x:v>
      </x:c>
      <x:c r="S3799" s="30"/>
      <x:c r="T3799" s="30"/>
      <x:c r="U3799" s="30" t="str">
        <x:v>Расхождений не обнаружено.</x:v>
      </x:c>
      <x:c r="V3799" s="87" t="str">
        <x:v>VERIFIED</x:v>
      </x:c>
      <x:c r="W3799" s="87" t="str">
        <x:v>Zadanie_KhI11_06112025_.pdf, вариантная стр. 9</x:v>
      </x:c>
      <x:c r="X3799" s="87"/>
      <x:c r="Y3799" s="87"/>
      <x:c r="Z3799" s="87"/>
      <x:c r="AA3799" s="87"/>
      <x:c r="AB3799" s="87"/>
      <x:c r="AC3799" s="87" t="str">
        <x:v>VIS-CHEM-NOV-038</x:v>
      </x:c>
      <x:c r="AD3799" s="87"/>
      <x:c r="AE3799" s="87"/>
      <x:c r="AF3799" s="87" t="str">
        <x:v>VIS-CHEM-NOV-038: 9</x:v>
      </x:c>
      <x:c r="AG3799" s="87" t="str">
        <x:v>RESOLVED</x:v>
      </x:c>
      <x:c r="AH3799" s="87" t="str">
        <x:v>CROP_VERIFIED</x:v>
      </x:c>
      <x:c r="AI3799" s="30"/>
      <x:c r="AJ3799" s="87" t="str">
        <x:v>master</x:v>
      </x:c>
      <x:c r="AK3799" s="87" t="str">
        <x:v>master-v0.81</x:v>
      </x:c>
      <x:c r="AL3799" s="87" t="str">
        <x:v>statgrad_master_base_v0_81_final(2).xlsx</x:v>
      </x:c>
      <x:c r="AM3799" s="87" t="str">
        <x:v>CHEM_Nov_V3</x:v>
      </x:c>
      <x:c r="AN3799" s="87" t="n">
        <x:v>18</x:v>
      </x:c>
    </x:row>
    <x:row r="3800">
      <x:c r="A3800" s="87" t="n">
        <x:v>3799</x:v>
      </x:c>
      <x:c r="B3800" s="87" t="str">
        <x:v>NOV-CHEM-V3-018</x:v>
      </x:c>
      <x:c r="C3800" s="87" t="str">
        <x:v>СтатГрад</x:v>
      </x:c>
      <x:c r="D3800" s="87" t="str">
        <x:v>Ноябрь 2025</x:v>
      </x:c>
      <x:c r="E3800" s="87"/>
      <x:c r="F3800" s="87"/>
      <x:c r="G3800" s="87" t="str">
        <x:v>Химия</x:v>
      </x:c>
      <x:c r="H3800" s="87" t="n">
        <x:v>11</x:v>
      </x:c>
      <x:c r="I3800" s="87" t="str">
        <x:v>ТР №2</x:v>
      </x:c>
      <x:c r="J3800" s="87" t="str">
        <x:v>ХИ2510203</x:v>
      </x:c>
      <x:c r="K3800" s="87" t="n">
        <x:v>18</x:v>
      </x:c>
      <x:c r="L3800" s="87" t="str">
        <x:v>Скорость химической реакции</x:v>
      </x:c>
      <x:c r="M3800" s="30" t="str">
        <x:v>18   Из предложенного перечня выберите все внешние воздействия, которые
     приводят к увеличению скорости растворения цинка в разбавленной серной
     кислоте.
     1) добавление воды
     2) нагревание
     3) уменьшение pH
     4) измельчение цинка
     5) увеличение давления
     Запишите номера выбранных ответов.
     Ответ: ___________________________.</x:v>
      </x:c>
      <x:c r="N3800" s="30" t="str">
        <x:v>234</x:v>
      </x:c>
      <x:c r="O3800" s="30" t="str">
        <x:v>Выбраны позиции 234; выбор подтверждён разбором каждого предложенного вещества или элемента.</x:v>
      </x:c>
      <x:c r="P3800" s="30" t="str">
        <x:v>Воздействия проверены по кинетическим факторам: концентрации, температуре и площади поверхности.</x:v>
      </x:c>
      <x:c r="Q3800" s="30"/>
      <x:c r="R3800" s="30" t="str">
        <x:v>Фото-сводка ответов + независимое решение</x:v>
      </x:c>
      <x:c r="S3800" s="30"/>
      <x:c r="T3800" s="30"/>
      <x:c r="U3800" s="30" t="str">
        <x:v>Расхождений не обнаружено.</x:v>
      </x:c>
      <x:c r="V3800" s="87" t="str">
        <x:v>VERIFIED</x:v>
      </x:c>
      <x:c r="W3800" s="87" t="str">
        <x:v>Zadanie_KhI11_06112025_.pdf, вариантная стр. 9</x:v>
      </x:c>
      <x:c r="X3800" s="87"/>
      <x:c r="Y3800" s="87"/>
      <x:c r="Z3800" s="87"/>
      <x:c r="AA3800" s="87"/>
      <x:c r="AB3800" s="87"/>
      <x:c r="AC3800" s="87" t="str">
        <x:v>VIS-CHEM-NOV-038</x:v>
      </x:c>
      <x:c r="AD3800" s="87"/>
      <x:c r="AE3800" s="87"/>
      <x:c r="AF3800" s="87" t="str">
        <x:v>VIS-CHEM-NOV-038: 9</x:v>
      </x:c>
      <x:c r="AG3800" s="87" t="str">
        <x:v>RESOLVED</x:v>
      </x:c>
      <x:c r="AH3800" s="87" t="str">
        <x:v>CROP_VERIFIED</x:v>
      </x:c>
      <x:c r="AI3800" s="30"/>
      <x:c r="AJ3800" s="87" t="str">
        <x:v>master</x:v>
      </x:c>
      <x:c r="AK3800" s="87" t="str">
        <x:v>master-v0.81</x:v>
      </x:c>
      <x:c r="AL3800" s="87" t="str">
        <x:v>statgrad_master_base_v0_81_final(2).xlsx</x:v>
      </x:c>
      <x:c r="AM3800" s="87" t="str">
        <x:v>CHEM_Nov_V3</x:v>
      </x:c>
      <x:c r="AN3800" s="87" t="n">
        <x:v>19</x:v>
      </x:c>
    </x:row>
    <x:row r="3801">
      <x:c r="A3801" s="87" t="n">
        <x:v>3800</x:v>
      </x:c>
      <x:c r="B3801" s="87" t="str">
        <x:v>NOV-CHEM-V3-019</x:v>
      </x:c>
      <x:c r="C3801" s="87" t="str">
        <x:v>СтатГрад</x:v>
      </x:c>
      <x:c r="D3801" s="87" t="str">
        <x:v>Ноябрь 2025</x:v>
      </x:c>
      <x:c r="E3801" s="87"/>
      <x:c r="F3801" s="87"/>
      <x:c r="G3801" s="87" t="str">
        <x:v>Химия</x:v>
      </x:c>
      <x:c r="H3801" s="87" t="n">
        <x:v>11</x:v>
      </x:c>
      <x:c r="I3801" s="87" t="str">
        <x:v>ТР №2</x:v>
      </x:c>
      <x:c r="J3801" s="87" t="str">
        <x:v>ХИ2510203</x:v>
      </x:c>
      <x:c r="K3801" s="87" t="n">
        <x:v>19</x:v>
      </x:c>
      <x:c r="L3801" s="87" t="str">
        <x:v>ОВР и свойства элемента</x:v>
      </x:c>
      <x:c r="M3801" s="30" t="str">
        <x:v>19   Установите соответствие между схемой реакции и свойством, которое
     проявляет элемент иод в этой реакции. К каждой позиции, обозначенной
     буквой, подберите соответствующую позицию, обозначенную цифрой.
                  СХЕМА РЕАКЦИИ                                 СВОЙСТВО ИОДА
     А) I2 + Cl2 → ICl3                                    1) только окислитель
     Б) ICl3 + KOH → KI + KCl + KIO3 + H2O                 2) только восстановитель
     В) H2S + I2 → S + HI                                  3) и окислитель,
                                                              и восстановитель
                                                              одновременно
                                                           4) не изменяет степень
                                                              окисления
     Запишите в таблицу выбранные цифры под соответствующими буквами.
                А Б В
     Ответ:</x:v>
      </x:c>
      <x:c r="N3801" s="30" t="str">
        <x:v>231</x:v>
      </x:c>
      <x:c r="O3801" s="30" t="str">
        <x:v>Последовательность 231 задаёт соответствия позициям задания; каждое соответствие проверено отдельно.</x:v>
      </x:c>
      <x:c r="P3801" s="30" t="str">
        <x:v>Степени окисления иода до и после реакции сопоставлены для определения его свойства.</x:v>
      </x:c>
      <x:c r="Q3801" s="30"/>
      <x:c r="R3801" s="30" t="str">
        <x:v>Фото-сводка ответов + независимое решение</x:v>
      </x:c>
      <x:c r="S3801" s="30"/>
      <x:c r="T3801" s="30"/>
      <x:c r="U3801" s="30" t="str">
        <x:v>Расхождений не обнаружено.</x:v>
      </x:c>
      <x:c r="V3801" s="87" t="str">
        <x:v>VERIFIED</x:v>
      </x:c>
      <x:c r="W3801" s="87" t="str">
        <x:v>Zadanie_KhI11_06112025_.pdf, вариантная стр. 10</x:v>
      </x:c>
      <x:c r="X3801" s="87"/>
      <x:c r="Y3801" s="87"/>
      <x:c r="Z3801" s="87"/>
      <x:c r="AA3801" s="87"/>
      <x:c r="AB3801" s="87"/>
      <x:c r="AC3801" s="87" t="str">
        <x:v>VIS-CHEM-NOV-039</x:v>
      </x:c>
      <x:c r="AD3801" s="87"/>
      <x:c r="AE3801" s="87"/>
      <x:c r="AF3801" s="87" t="str">
        <x:v>VIS-CHEM-NOV-039: 10</x:v>
      </x:c>
      <x:c r="AG3801" s="87" t="str">
        <x:v>RESOLVED</x:v>
      </x:c>
      <x:c r="AH3801" s="87" t="str">
        <x:v>CROP_VERIFIED</x:v>
      </x:c>
      <x:c r="AI3801" s="30"/>
      <x:c r="AJ3801" s="87" t="str">
        <x:v>master</x:v>
      </x:c>
      <x:c r="AK3801" s="87" t="str">
        <x:v>master-v0.81</x:v>
      </x:c>
      <x:c r="AL3801" s="87" t="str">
        <x:v>statgrad_master_base_v0_81_final(2).xlsx</x:v>
      </x:c>
      <x:c r="AM3801" s="87" t="str">
        <x:v>CHEM_Nov_V3</x:v>
      </x:c>
      <x:c r="AN3801" s="87" t="n">
        <x:v>20</x:v>
      </x:c>
    </x:row>
    <x:row r="3802">
      <x:c r="A3802" s="87" t="n">
        <x:v>3801</x:v>
      </x:c>
      <x:c r="B3802" s="87" t="str">
        <x:v>NOV-CHEM-V3-020</x:v>
      </x:c>
      <x:c r="C3802" s="87" t="str">
        <x:v>СтатГрад</x:v>
      </x:c>
      <x:c r="D3802" s="87" t="str">
        <x:v>Ноябрь 2025</x:v>
      </x:c>
      <x:c r="E3802" s="87"/>
      <x:c r="F3802" s="87"/>
      <x:c r="G3802" s="87" t="str">
        <x:v>Химия</x:v>
      </x:c>
      <x:c r="H3802" s="87" t="n">
        <x:v>11</x:v>
      </x:c>
      <x:c r="I3802" s="87" t="str">
        <x:v>ТР №2</x:v>
      </x:c>
      <x:c r="J3802" s="87" t="str">
        <x:v>ХИ2510203</x:v>
      </x:c>
      <x:c r="K3802" s="87" t="n">
        <x:v>20</x:v>
      </x:c>
      <x:c r="L3802" s="87" t="str">
        <x:v>Электролиз</x:v>
      </x:c>
      <x:c r="M3802" s="30" t="str">
        <x:v>20   Установите соответствие между веществом и продуктом(ами) электролиза
     водного раствора этого вещества, образовавшим(и)ся на катоде. К каждой
     позиции, обозначенной буквой, подберите соответствующую позицию,
     обозначенную цифрой.
                       ВЕЩЕСТВО                             ПРОДУКТ(Ы) НА КАТОДЕ
     А) BaCl2                                              1) металл
     Б) HCl                                                2) только водород
     В) CuSO4                                              3) водород и щёлочь
                                                           4) сернистый газ
     Запишите в таблицу выбранные цифры под соответствующими буквами.
                А Б В
     Ответ:
     Для выполнения задания 21 используйте следующие справочные данные.
     Концентрация (молярная, моль/л) показывает отношение количества
     растворённого вещества (n) к объёму раствора (V).
     pH («пэ аш») – водородный показатель; величина, которая отражает
     концентрацию ионов водорода в растворе и используется для
     характеристики кислотности среды.</x:v>
      </x:c>
      <x:c r="N3802" s="30" t="str">
        <x:v>321</x:v>
      </x:c>
      <x:c r="O3802" s="30" t="str">
        <x:v>Последовательность 321 задаёт соответствия позициям задания; каждое соответствие проверено отдельно.</x:v>
      </x:c>
      <x:c r="P3802" s="30" t="str">
        <x:v>Продукты на инертном аноде определены по конкуренции окисления аниона и воды.</x:v>
      </x:c>
      <x:c r="Q3802" s="30"/>
      <x:c r="R3802" s="30" t="str">
        <x:v>Фото-сводка ответов + независимое решение</x:v>
      </x:c>
      <x:c r="S3802" s="30"/>
      <x:c r="T3802" s="30"/>
      <x:c r="U3802" s="30" t="str">
        <x:v>Расхождений не обнаружено.</x:v>
      </x:c>
      <x:c r="V3802" s="87" t="str">
        <x:v>VERIFIED</x:v>
      </x:c>
      <x:c r="W3802" s="87" t="str">
        <x:v>Zadanie_KhI11_06112025_.pdf, вариантная стр. 10</x:v>
      </x:c>
      <x:c r="X3802" s="87"/>
      <x:c r="Y3802" s="87"/>
      <x:c r="Z3802" s="87"/>
      <x:c r="AA3802" s="87"/>
      <x:c r="AB3802" s="87"/>
      <x:c r="AC3802" s="87" t="str">
        <x:v>VIS-CHEM-NOV-039</x:v>
      </x:c>
      <x:c r="AD3802" s="87"/>
      <x:c r="AE3802" s="87"/>
      <x:c r="AF3802" s="87" t="str">
        <x:v>VIS-CHEM-NOV-039: 10</x:v>
      </x:c>
      <x:c r="AG3802" s="87" t="str">
        <x:v>RESOLVED</x:v>
      </x:c>
      <x:c r="AH3802" s="87" t="str">
        <x:v>CROP_VERIFIED</x:v>
      </x:c>
      <x:c r="AI3802" s="30"/>
      <x:c r="AJ3802" s="87" t="str">
        <x:v>master</x:v>
      </x:c>
      <x:c r="AK3802" s="87" t="str">
        <x:v>master-v0.81</x:v>
      </x:c>
      <x:c r="AL3802" s="87" t="str">
        <x:v>statgrad_master_base_v0_81_final(2).xlsx</x:v>
      </x:c>
      <x:c r="AM3802" s="87" t="str">
        <x:v>CHEM_Nov_V3</x:v>
      </x:c>
      <x:c r="AN3802" s="87" t="n">
        <x:v>21</x:v>
      </x:c>
    </x:row>
    <x:row r="3803">
      <x:c r="A3803" s="87" t="n">
        <x:v>3802</x:v>
      </x:c>
      <x:c r="B3803" s="87" t="str">
        <x:v>NOV-CHEM-V3-021</x:v>
      </x:c>
      <x:c r="C3803" s="87" t="str">
        <x:v>СтатГрад</x:v>
      </x:c>
      <x:c r="D3803" s="87" t="str">
        <x:v>Ноябрь 2025</x:v>
      </x:c>
      <x:c r="E3803" s="87"/>
      <x:c r="F3803" s="87"/>
      <x:c r="G3803" s="87" t="str">
        <x:v>Химия</x:v>
      </x:c>
      <x:c r="H3803" s="87" t="n">
        <x:v>11</x:v>
      </x:c>
      <x:c r="I3803" s="87" t="str">
        <x:v>ТР №2</x:v>
      </x:c>
      <x:c r="J3803" s="87" t="str">
        <x:v>ХИ2510203</x:v>
      </x:c>
      <x:c r="K3803" s="87" t="n">
        <x:v>21</x:v>
      </x:c>
      <x:c r="L3803" s="87" t="str">
        <x:v>Среда растворов</x:v>
      </x:c>
      <x:c r="M3803" s="30" t="str">
        <x:v>21   Для веществ, приведённых в перечне, определите характер среды их водных
     растворов.
     1) CO2
     2) Na2CO3
     3) HClO3
     4) KClO4
     Запишите номера веществ в порядке возрастания значения pH их водных
     растворов, имеющих молярную концентрацию 0,05 моль/л.
     Ответ:        →       →       →</x:v>
      </x:c>
      <x:c r="N3803" s="30" t="str">
        <x:v>3142</x:v>
      </x:c>
      <x:c r="O3803" s="30" t="str">
        <x:v>Выбраны позиции 3142; выбор подтверждён разбором каждого предложенного вещества или элемента.</x:v>
      </x:c>
      <x:c r="P3803" s="30" t="str">
        <x:v>Среда растворов установлена по гидролизу солей и силе электролитов.</x:v>
      </x:c>
      <x:c r="Q3803" s="30"/>
      <x:c r="R3803" s="30" t="str">
        <x:v>Фото-сводка ответов + независимое решение</x:v>
      </x:c>
      <x:c r="S3803" s="30"/>
      <x:c r="T3803" s="30"/>
      <x:c r="U3803" s="30" t="str">
        <x:v>Расхождений не обнаружено.</x:v>
      </x:c>
      <x:c r="V3803" s="87" t="str">
        <x:v>VERIFIED</x:v>
      </x:c>
      <x:c r="W3803" s="87" t="str">
        <x:v>Zadanie_KhI11_06112025_.pdf, вариантная стр. 11</x:v>
      </x:c>
      <x:c r="X3803" s="87"/>
      <x:c r="Y3803" s="87"/>
      <x:c r="Z3803" s="87"/>
      <x:c r="AA3803" s="87"/>
      <x:c r="AB3803" s="87"/>
      <x:c r="AC3803" s="87" t="str">
        <x:v>VIS-CHEM-NOV-040</x:v>
      </x:c>
      <x:c r="AD3803" s="87"/>
      <x:c r="AE3803" s="87"/>
      <x:c r="AF3803" s="87" t="str">
        <x:v>VIS-CHEM-NOV-040: 11</x:v>
      </x:c>
      <x:c r="AG3803" s="87" t="str">
        <x:v>RESOLVED</x:v>
      </x:c>
      <x:c r="AH3803" s="87" t="str">
        <x:v>CROP_VERIFIED</x:v>
      </x:c>
      <x:c r="AI3803" s="30"/>
      <x:c r="AJ3803" s="87" t="str">
        <x:v>master</x:v>
      </x:c>
      <x:c r="AK3803" s="87" t="str">
        <x:v>master-v0.81</x:v>
      </x:c>
      <x:c r="AL3803" s="87" t="str">
        <x:v>statgrad_master_base_v0_81_final(2).xlsx</x:v>
      </x:c>
      <x:c r="AM3803" s="87" t="str">
        <x:v>CHEM_Nov_V3</x:v>
      </x:c>
      <x:c r="AN3803" s="87" t="n">
        <x:v>22</x:v>
      </x:c>
    </x:row>
    <x:row r="3804">
      <x:c r="A3804" s="87" t="n">
        <x:v>3803</x:v>
      </x:c>
      <x:c r="B3804" s="87" t="str">
        <x:v>NOV-CHEM-V3-022</x:v>
      </x:c>
      <x:c r="C3804" s="87" t="str">
        <x:v>СтатГрад</x:v>
      </x:c>
      <x:c r="D3804" s="87" t="str">
        <x:v>Ноябрь 2025</x:v>
      </x:c>
      <x:c r="E3804" s="87"/>
      <x:c r="F3804" s="87"/>
      <x:c r="G3804" s="87" t="str">
        <x:v>Химия</x:v>
      </x:c>
      <x:c r="H3804" s="87" t="n">
        <x:v>11</x:v>
      </x:c>
      <x:c r="I3804" s="87" t="str">
        <x:v>ТР №2</x:v>
      </x:c>
      <x:c r="J3804" s="87" t="str">
        <x:v>ХИ2510203</x:v>
      </x:c>
      <x:c r="K3804" s="87" t="n">
        <x:v>22</x:v>
      </x:c>
      <x:c r="L3804" s="87" t="str">
        <x:v>Химическое равновесие</x:v>
      </x:c>
      <x:c r="M3804" s="30" t="str">
        <x:v>22   Установите соответствие между способом воздействия на равновесную
     систему
                     Ag2O(тв.) + CO(г) 2Ag(тв.) + CO2(г) + Q
     и направлением смещения равновесия в результате этого воздействия.
     К каждой позиции, обозначенной буквой, подберите соответствующую
     позицию, обозначенную цифрой.
               СПОСОБ ВОЗДЕЙСТВИЯ                                ХИМИЧЕСКОЕ
                                                                 РАВНОВЕСИЕ
     А) увеличение давления                                1) смещается в направлении
     Б) охлаждение                                            прямой реакции
     В) добавление углекислого газа                        2) смещается в направлении
     Г) добавление твёрдого серебра                           обратной реакции
                                                           3) практически не смещается
     Запишите в таблицу выбранные цифры под соответствующими буквами.
                А Б В Г
     Ответ:</x:v>
      </x:c>
      <x:c r="N3804" s="30" t="str">
        <x:v>3123</x:v>
      </x:c>
      <x:c r="O3804" s="30" t="str">
        <x:v>Последовательность 3123 задаёт соответствия позициям задания; каждое соответствие проверено отдельно.</x:v>
      </x:c>
      <x:c r="P3804" s="30" t="str">
        <x:v>Смещение равновесия проверено по принципу Ле Шателье.</x:v>
      </x:c>
      <x:c r="Q3804" s="30"/>
      <x:c r="R3804" s="30" t="str">
        <x:v>Таблица ответов PDF + независимое решение</x:v>
      </x:c>
      <x:c r="S3804" s="30"/>
      <x:c r="T3804" s="30"/>
      <x:c r="U3804" s="30" t="str">
        <x:v>Расхождений не обнаружено.</x:v>
      </x:c>
      <x:c r="V3804" s="87" t="str">
        <x:v>VERIFIED</x:v>
      </x:c>
      <x:c r="W3804" s="87" t="str">
        <x:v>Zadanie_KhI11_06112025_.pdf, вариантная стр. 12</x:v>
      </x:c>
      <x:c r="X3804" s="87"/>
      <x:c r="Y3804" s="87"/>
      <x:c r="Z3804" s="87"/>
      <x:c r="AA3804" s="87"/>
      <x:c r="AB3804" s="87"/>
      <x:c r="AC3804" s="87" t="str">
        <x:v>VIS-CHEM-NOV-041</x:v>
      </x:c>
      <x:c r="AD3804" s="87"/>
      <x:c r="AE3804" s="87"/>
      <x:c r="AF3804" s="87" t="str">
        <x:v>VIS-CHEM-NOV-041: 12</x:v>
      </x:c>
      <x:c r="AG3804" s="87" t="str">
        <x:v>RESOLVED</x:v>
      </x:c>
      <x:c r="AH3804" s="87" t="str">
        <x:v>CROP_VERIFIED</x:v>
      </x:c>
      <x:c r="AI3804" s="30"/>
      <x:c r="AJ3804" s="87" t="str">
        <x:v>master</x:v>
      </x:c>
      <x:c r="AK3804" s="87" t="str">
        <x:v>master-v0.81</x:v>
      </x:c>
      <x:c r="AL3804" s="87" t="str">
        <x:v>statgrad_master_base_v0_81_final(2).xlsx</x:v>
      </x:c>
      <x:c r="AM3804" s="87" t="str">
        <x:v>CHEM_Nov_V3</x:v>
      </x:c>
      <x:c r="AN3804" s="87" t="n">
        <x:v>23</x:v>
      </x:c>
    </x:row>
    <x:row r="3805">
      <x:c r="A3805" s="87" t="n">
        <x:v>3804</x:v>
      </x:c>
      <x:c r="B3805" s="87" t="str">
        <x:v>NOV-CHEM-V3-023</x:v>
      </x:c>
      <x:c r="C3805" s="87" t="str">
        <x:v>СтатГрад</x:v>
      </x:c>
      <x:c r="D3805" s="87" t="str">
        <x:v>Ноябрь 2025</x:v>
      </x:c>
      <x:c r="E3805" s="87"/>
      <x:c r="F3805" s="87"/>
      <x:c r="G3805" s="87" t="str">
        <x:v>Химия</x:v>
      </x:c>
      <x:c r="H3805" s="87" t="n">
        <x:v>11</x:v>
      </x:c>
      <x:c r="I3805" s="87" t="str">
        <x:v>ТР №2</x:v>
      </x:c>
      <x:c r="J3805" s="87" t="str">
        <x:v>ХИ2510203</x:v>
      </x:c>
      <x:c r="K3805" s="87" t="n">
        <x:v>23</x:v>
      </x:c>
      <x:c r="L3805" s="87" t="str">
        <x:v>Равновесные концентрации</x:v>
      </x:c>
      <x:c r="M3805" s="30" t="str">
        <x:v>23   В реактор постоянного объёма ввели метан и сильно нагрели. В реакторе
     установилось равновесие:
                             2CH4(г) C2H2(г) + 3H2(г),
     при котором в реакторе содержалось 100 моль метана и 200 моль ацетилена.
     Другие процессы в системе не протекали. Рассчитайте исходное количество
     вещества CH4 (X) и равновесное количество вещества H2 (Y).
     Выберите из списка номера правильных ответов.
     1) 100 моль
     2) 200 моль
     3) 300 моль
     4) 400 моль
     5) 500 моль
     6) 600 моль
     Запишите выбранные номера в таблицу под соответствующими буквами.
                   X            Y
     Ответ:
24
     Установите соответствие между веществом и признаком его реакции
     со свежеосаждённым гидроксидом меди(II).
     К каждой позиции, обозначенной буквой, подберите соответствующую
     позицию, обозначенную цифрой.
           ВЕЩЕСТВО                              ПРИЗНАК РЕАКЦИИ
     А) ацетилен                     1) образование красного осадка при нагревании
     Б) этаналь                      2) образование белого осадка
     В) пропионовая кислота          3) образование голубого раствора
     Г) этиленгликоль                4) образование тёмно-синего раствора
                                     5) видимые признаки отсутствуют
     Запишите в таблицу выбранные цифры под соответствующими буквами.
                А Б В Г
     Ответ:</x:v>
      </x:c>
      <x:c r="N3805" s="30" t="str">
        <x:v>X=5; Y=6</x:v>
      </x:c>
      <x:c r="O3805" s="30" t="str">
        <x:v>По условию получено: X=5; Y=6. Оба неизвестных определены совместно, а не подбором по ключу.</x:v>
      </x:c>
      <x:c r="P3805" s="30" t="str">
        <x:v>Изменения равновесных концентраций рассчитаны по стехиометрии реакции.</x:v>
      </x:c>
      <x:c r="Q3805" s="30"/>
      <x:c r="R3805" s="30" t="str">
        <x:v>Фото-сводка ответов + независимое решение</x:v>
      </x:c>
      <x:c r="S3805" s="30"/>
      <x:c r="T3805" s="30"/>
      <x:c r="U3805" s="30" t="str">
        <x:v>Расхождений не обнаружено.</x:v>
      </x:c>
      <x:c r="V3805" s="87" t="str">
        <x:v>VERIFIED</x:v>
      </x:c>
      <x:c r="W3805" s="87" t="str">
        <x:v>Zadanie_KhI11_06112025_.pdf, вариантная стр. 12</x:v>
      </x:c>
      <x:c r="X3805" s="87"/>
      <x:c r="Y3805" s="87"/>
      <x:c r="Z3805" s="87"/>
      <x:c r="AA3805" s="87"/>
      <x:c r="AB3805" s="87"/>
      <x:c r="AC3805" s="87" t="str">
        <x:v>VIS-CHEM-NOV-041</x:v>
      </x:c>
      <x:c r="AD3805" s="87"/>
      <x:c r="AE3805" s="87"/>
      <x:c r="AF3805" s="87" t="str">
        <x:v>VIS-CHEM-NOV-041: 12</x:v>
      </x:c>
      <x:c r="AG3805" s="87" t="str">
        <x:v>RESOLVED</x:v>
      </x:c>
      <x:c r="AH3805" s="87" t="str">
        <x:v>CROP_VERIFIED</x:v>
      </x:c>
      <x:c r="AI3805" s="30"/>
      <x:c r="AJ3805" s="87" t="str">
        <x:v>master</x:v>
      </x:c>
      <x:c r="AK3805" s="87" t="str">
        <x:v>master-v0.81</x:v>
      </x:c>
      <x:c r="AL3805" s="87" t="str">
        <x:v>statgrad_master_base_v0_81_final(2).xlsx</x:v>
      </x:c>
      <x:c r="AM3805" s="87" t="str">
        <x:v>CHEM_Nov_V3</x:v>
      </x:c>
      <x:c r="AN3805" s="87" t="n">
        <x:v>24</x:v>
      </x:c>
    </x:row>
    <x:row r="3806">
      <x:c r="A3806" s="87" t="n">
        <x:v>3805</x:v>
      </x:c>
      <x:c r="B3806" s="87" t="str">
        <x:v>NOV-CHEM-V3-024</x:v>
      </x:c>
      <x:c r="C3806" s="87" t="str">
        <x:v>СтатГрад</x:v>
      </x:c>
      <x:c r="D3806" s="87" t="str">
        <x:v>Ноябрь 2025</x:v>
      </x:c>
      <x:c r="E3806" s="87"/>
      <x:c r="F3806" s="87"/>
      <x:c r="G3806" s="87" t="str">
        <x:v>Химия</x:v>
      </x:c>
      <x:c r="H3806" s="87" t="n">
        <x:v>11</x:v>
      </x:c>
      <x:c r="I3806" s="87" t="str">
        <x:v>ТР №2</x:v>
      </x:c>
      <x:c r="J3806" s="87" t="str">
        <x:v>ХИ2510203</x:v>
      </x:c>
      <x:c r="K3806" s="87" t="n">
        <x:v>24</x:v>
      </x:c>
      <x:c r="L3806" s="87" t="str">
        <x:v>Качественный анализ</x:v>
      </x:c>
      <x:c r="M3806" s="30" t="str">
        <x:v>24
     Установите соответствие между веществом и признаком его реакции
     со свежеосаждённым гидроксидом меди(II).
     К каждой позиции, обозначенной буквой, подберите соответствующую
     позицию, обозначенную цифрой.
           ВЕЩЕСТВО                              ПРИЗНАК РЕАКЦИИ
     А) ацетилен                     1) образование красного осадка при нагревании
     Б) этаналь                      2) образование белого осадка
     В) пропионовая кислота          3) образование голубого раствора
     Г) этиленгликоль                4) образование тёмно-синего раствора
                                     5) видимые признаки отсутствуют
     Запишите в таблицу выбранные цифры под соответствующими буквами.
                А Б В Г
     Ответ:</x:v>
      </x:c>
      <x:c r="N3806" s="30" t="str">
        <x:v>5134</x:v>
      </x:c>
      <x:c r="O3806" s="30" t="str">
        <x:v>Последовательность 5134 задаёт соответствия позициям задания; каждое соответствие проверено отдельно.</x:v>
      </x:c>
      <x:c r="P3806" s="30" t="str">
        <x:v>Для каждой пары записана качественная реакция и определён наблюдаемый признак.</x:v>
      </x:c>
      <x:c r="Q3806" s="30"/>
      <x:c r="R3806" s="30" t="str">
        <x:v>Таблица ответов PDF + независимое решение</x:v>
      </x:c>
      <x:c r="S3806" s="30"/>
      <x:c r="T3806" s="30"/>
      <x:c r="U3806" s="30" t="str">
        <x:v>Расхождений не обнаружено.</x:v>
      </x:c>
      <x:c r="V3806" s="87" t="str">
        <x:v>VERIFIED</x:v>
      </x:c>
      <x:c r="W3806" s="87" t="str">
        <x:v>Zadanie_KhI11_06112025_.pdf, вариантная стр. 13</x:v>
      </x:c>
      <x:c r="X3806" s="87"/>
      <x:c r="Y3806" s="87"/>
      <x:c r="Z3806" s="87"/>
      <x:c r="AA3806" s="87"/>
      <x:c r="AB3806" s="87"/>
      <x:c r="AC3806" s="87" t="str">
        <x:v>VIS-CHEM-NOV-042</x:v>
      </x:c>
      <x:c r="AD3806" s="87"/>
      <x:c r="AE3806" s="87"/>
      <x:c r="AF3806" s="87" t="str">
        <x:v>VIS-CHEM-NOV-042: 13</x:v>
      </x:c>
      <x:c r="AG3806" s="87" t="str">
        <x:v>RESOLVED</x:v>
      </x:c>
      <x:c r="AH3806" s="87" t="str">
        <x:v>CROP_VERIFIED</x:v>
      </x:c>
      <x:c r="AI3806" s="30"/>
      <x:c r="AJ3806" s="87" t="str">
        <x:v>master</x:v>
      </x:c>
      <x:c r="AK3806" s="87" t="str">
        <x:v>master-v0.81</x:v>
      </x:c>
      <x:c r="AL3806" s="87" t="str">
        <x:v>statgrad_master_base_v0_81_final(2).xlsx</x:v>
      </x:c>
      <x:c r="AM3806" s="87" t="str">
        <x:v>CHEM_Nov_V3</x:v>
      </x:c>
      <x:c r="AN3806" s="87" t="n">
        <x:v>25</x:v>
      </x:c>
    </x:row>
    <x:row r="3807">
      <x:c r="A3807" s="87" t="n">
        <x:v>3806</x:v>
      </x:c>
      <x:c r="B3807" s="87" t="str">
        <x:v>NOV-CHEM-V3-025</x:v>
      </x:c>
      <x:c r="C3807" s="87" t="str">
        <x:v>СтатГрад</x:v>
      </x:c>
      <x:c r="D3807" s="87" t="str">
        <x:v>Ноябрь 2025</x:v>
      </x:c>
      <x:c r="E3807" s="87"/>
      <x:c r="F3807" s="87"/>
      <x:c r="G3807" s="87" t="str">
        <x:v>Химия</x:v>
      </x:c>
      <x:c r="H3807" s="87" t="n">
        <x:v>11</x:v>
      </x:c>
      <x:c r="I3807" s="87" t="str">
        <x:v>ТР №2</x:v>
      </x:c>
      <x:c r="J3807" s="87" t="str">
        <x:v>ХИ2510203</x:v>
      </x:c>
      <x:c r="K3807" s="87" t="n">
        <x:v>25</x:v>
      </x:c>
      <x:c r="L3807" s="87" t="str">
        <x:v>Промышленная химия</x:v>
      </x:c>
      <x:c r="M3807" s="30" t="str">
        <x:v>25   Установите соответствие между названием материала и способом его
     получения: к каждой позиции, обозначенной буквой, подберите соответст-
     вующую позицию, обозначенную цифрой.
     К каждой позиции, обозначенной буквой, подберите соответствующую
     позицию, обозначенную цифрой.
             НАЗВАНИЕ МАТЕРИАЛА                               СПОСОБ ПОЛУЧЕНИЯ
     А) полиэтилентерефталат (ПЭТ)                         1) полимеризация
     Б) резина                                             2) гидролиз
     В) политетрафторэтилен                                3) поликонденсация
                                                           4) вулканизация
     Запишите в таблицу выбранные цифры под соответствующими буквами.
                А Б В
     Ответ:
     Ответом к заданиям 26–28 является число. Запишите это число в поле
     ответа в тексте работы, соблюдая при этом указанную степень
     точности. Единицы измерения физических величин в поле ответа
     указывать не нужно.
     При проведении расчётов для всех элементов, кроме хлора, используйте
     значения относительных атомных масс, выраженные целыми числами
     (Ar(Cl) = 35,5).</x:v>
      </x:c>
      <x:c r="N3807" s="30" t="str">
        <x:v>341</x:v>
      </x:c>
      <x:c r="O3807" s="30" t="str">
        <x:v>Выбраны позиции 341; выбор подтверждён разбором каждого предложенного вещества или элемента.</x:v>
      </x:c>
      <x:c r="P3807" s="30" t="str">
        <x:v>Способы промышленного получения сопоставлены с сырьём и технологическим процессом.</x:v>
      </x:c>
      <x:c r="Q3807" s="30"/>
      <x:c r="R3807" s="30" t="str">
        <x:v>Фото-сводка ответов + независимое решение</x:v>
      </x:c>
      <x:c r="S3807" s="30"/>
      <x:c r="T3807" s="30"/>
      <x:c r="U3807" s="30" t="str">
        <x:v>Расхождений не обнаружено.</x:v>
      </x:c>
      <x:c r="V3807" s="87" t="str">
        <x:v>VERIFIED</x:v>
      </x:c>
      <x:c r="W3807" s="87" t="str">
        <x:v>Zadanie_KhI11_06112025_.pdf, вариантная стр. 13</x:v>
      </x:c>
      <x:c r="X3807" s="87"/>
      <x:c r="Y3807" s="87"/>
      <x:c r="Z3807" s="87"/>
      <x:c r="AA3807" s="87"/>
      <x:c r="AB3807" s="87"/>
      <x:c r="AC3807" s="87" t="str">
        <x:v>VIS-CHEM-NOV-042</x:v>
      </x:c>
      <x:c r="AD3807" s="87"/>
      <x:c r="AE3807" s="87"/>
      <x:c r="AF3807" s="87" t="str">
        <x:v>VIS-CHEM-NOV-042: 13</x:v>
      </x:c>
      <x:c r="AG3807" s="87" t="str">
        <x:v>RESOLVED</x:v>
      </x:c>
      <x:c r="AH3807" s="87" t="str">
        <x:v>CROP_VERIFIED</x:v>
      </x:c>
      <x:c r="AI3807" s="30"/>
      <x:c r="AJ3807" s="87" t="str">
        <x:v>master</x:v>
      </x:c>
      <x:c r="AK3807" s="87" t="str">
        <x:v>master-v0.81</x:v>
      </x:c>
      <x:c r="AL3807" s="87" t="str">
        <x:v>statgrad_master_base_v0_81_final(2).xlsx</x:v>
      </x:c>
      <x:c r="AM3807" s="87" t="str">
        <x:v>CHEM_Nov_V3</x:v>
      </x:c>
      <x:c r="AN3807" s="87" t="n">
        <x:v>26</x:v>
      </x:c>
    </x:row>
    <x:row r="3808">
      <x:c r="A3808" s="87" t="n">
        <x:v>3807</x:v>
      </x:c>
      <x:c r="B3808" s="87" t="str">
        <x:v>NOV-CHEM-V3-026</x:v>
      </x:c>
      <x:c r="C3808" s="87" t="str">
        <x:v>СтатГрад</x:v>
      </x:c>
      <x:c r="D3808" s="87" t="str">
        <x:v>Ноябрь 2025</x:v>
      </x:c>
      <x:c r="E3808" s="87"/>
      <x:c r="F3808" s="87"/>
      <x:c r="G3808" s="87" t="str">
        <x:v>Химия</x:v>
      </x:c>
      <x:c r="H3808" s="87" t="n">
        <x:v>11</x:v>
      </x:c>
      <x:c r="I3808" s="87" t="str">
        <x:v>ТР №2</x:v>
      </x:c>
      <x:c r="J3808" s="87" t="str">
        <x:v>ХИ2510203</x:v>
      </x:c>
      <x:c r="K3808" s="87" t="n">
        <x:v>26</x:v>
      </x:c>
      <x:c r="L3808" s="87" t="str">
        <x:v>Растворы и концентрации</x:v>
      </x:c>
      <x:c r="M3808" s="30" t="str">
        <x:v>26   При охлаждении 60 г горячего 70 %-го раствора AgF выпал осадок
     и образовался насыщенный, 50 %-й раствор. Сколько граммов AgF выпало
     в осадок? (Запишите число с точностью до целых.)
     Ответ: ___________________________.</x:v>
      </x:c>
      <x:c r="N3808" s="30" t="str">
        <x:v>24</x:v>
      </x:c>
      <x:c r="O3808" s="30" t="str">
        <x:v>Повторный расчёт по данным условия даёт 24; округление выполнено в формате ответа ЕГЭ.</x:v>
      </x:c>
      <x:c r="P3808" s="30" t="str">
        <x:v>Состав исходного и насыщенного растворов пересчитан по балансу растворённого вещества.</x:v>
      </x:c>
      <x:c r="Q3808" s="30"/>
      <x:c r="R3808" s="30" t="str">
        <x:v>Фото-сводка ответов + независимое решение</x:v>
      </x:c>
      <x:c r="S3808" s="30"/>
      <x:c r="T3808" s="30"/>
      <x:c r="U3808" s="30" t="str">
        <x:v>Расхождений не обнаружено.</x:v>
      </x:c>
      <x:c r="V3808" s="87" t="str">
        <x:v>VERIFIED</x:v>
      </x:c>
      <x:c r="W3808" s="87" t="str">
        <x:v>Zadanie_KhI11_06112025_.pdf, вариантная стр. 14</x:v>
      </x:c>
      <x:c r="X3808" s="87"/>
      <x:c r="Y3808" s="87"/>
      <x:c r="Z3808" s="87"/>
      <x:c r="AA3808" s="87"/>
      <x:c r="AB3808" s="87"/>
      <x:c r="AC3808" s="87" t="str">
        <x:v>VIS-CHEM-NOV-043</x:v>
      </x:c>
      <x:c r="AD3808" s="87"/>
      <x:c r="AE3808" s="87"/>
      <x:c r="AF3808" s="87" t="str">
        <x:v>VIS-CHEM-NOV-043: 14</x:v>
      </x:c>
      <x:c r="AG3808" s="87" t="str">
        <x:v>RESOLVED</x:v>
      </x:c>
      <x:c r="AH3808" s="87" t="str">
        <x:v>CROP_VERIFIED</x:v>
      </x:c>
      <x:c r="AI3808" s="30"/>
      <x:c r="AJ3808" s="87" t="str">
        <x:v>master</x:v>
      </x:c>
      <x:c r="AK3808" s="87" t="str">
        <x:v>master-v0.81</x:v>
      </x:c>
      <x:c r="AL3808" s="87" t="str">
        <x:v>statgrad_master_base_v0_81_final(2).xlsx</x:v>
      </x:c>
      <x:c r="AM3808" s="87" t="str">
        <x:v>CHEM_Nov_V3</x:v>
      </x:c>
      <x:c r="AN3808" s="87" t="n">
        <x:v>27</x:v>
      </x:c>
    </x:row>
    <x:row r="3809">
      <x:c r="A3809" s="87" t="n">
        <x:v>3808</x:v>
      </x:c>
      <x:c r="B3809" s="87" t="str">
        <x:v>NOV-CHEM-V3-027</x:v>
      </x:c>
      <x:c r="C3809" s="87" t="str">
        <x:v>СтатГрад</x:v>
      </x:c>
      <x:c r="D3809" s="87" t="str">
        <x:v>Ноябрь 2025</x:v>
      </x:c>
      <x:c r="E3809" s="87"/>
      <x:c r="F3809" s="87"/>
      <x:c r="G3809" s="87" t="str">
        <x:v>Химия</x:v>
      </x:c>
      <x:c r="H3809" s="87" t="n">
        <x:v>11</x:v>
      </x:c>
      <x:c r="I3809" s="87" t="str">
        <x:v>ТР №2</x:v>
      </x:c>
      <x:c r="J3809" s="87" t="str">
        <x:v>ХИ2510203</x:v>
      </x:c>
      <x:c r="K3809" s="87" t="n">
        <x:v>27</x:v>
      </x:c>
      <x:c r="L3809" s="87" t="str">
        <x:v>Термохимия</x:v>
      </x:c>
      <x:c r="M3809" s="30" t="str">
        <x:v>27   Дано термохимическое уравнение сгорания железа в кислороде:
                               4Fe + 3O2 = 2Fe2O3 + 1650 кДж.
     В результате реакции выделилось 66 кДж теплоты. Сколько граммов металла
     сгорело? (Запишите число с точностью до целых.)
     Ответ: ___________________________ г.</x:v>
      </x:c>
      <x:c r="N3809" s="30" t="str">
        <x:v>9</x:v>
      </x:c>
      <x:c r="O3809" s="30" t="str">
        <x:v>Повторный расчёт по данным условия даёт 9; округление выполнено в формате ответа ЕГЭ.</x:v>
      </x:c>
      <x:c r="P3809" s="30" t="str">
        <x:v>Количество теплоты связано со стехиометрическим количеством вещества в термохимическом уравнении.</x:v>
      </x:c>
      <x:c r="Q3809" s="30"/>
      <x:c r="R3809" s="30" t="str">
        <x:v>Фото-сводка ответов + независимое решение</x:v>
      </x:c>
      <x:c r="S3809" s="30"/>
      <x:c r="T3809" s="30"/>
      <x:c r="U3809" s="30" t="str">
        <x:v>Расхождений не обнаружено.</x:v>
      </x:c>
      <x:c r="V3809" s="87" t="str">
        <x:v>VERIFIED</x:v>
      </x:c>
      <x:c r="W3809" s="87" t="str">
        <x:v>Zadanie_KhI11_06112025_.pdf, вариантная стр. 14</x:v>
      </x:c>
      <x:c r="X3809" s="87"/>
      <x:c r="Y3809" s="87"/>
      <x:c r="Z3809" s="87"/>
      <x:c r="AA3809" s="87"/>
      <x:c r="AB3809" s="87"/>
      <x:c r="AC3809" s="87" t="str">
        <x:v>VIS-CHEM-NOV-043</x:v>
      </x:c>
      <x:c r="AD3809" s="87"/>
      <x:c r="AE3809" s="87"/>
      <x:c r="AF3809" s="87" t="str">
        <x:v>VIS-CHEM-NOV-043: 14</x:v>
      </x:c>
      <x:c r="AG3809" s="87" t="str">
        <x:v>RESOLVED</x:v>
      </x:c>
      <x:c r="AH3809" s="87" t="str">
        <x:v>CROP_VERIFIED</x:v>
      </x:c>
      <x:c r="AI3809" s="30"/>
      <x:c r="AJ3809" s="87" t="str">
        <x:v>master</x:v>
      </x:c>
      <x:c r="AK3809" s="87" t="str">
        <x:v>master-v0.81</x:v>
      </x:c>
      <x:c r="AL3809" s="87" t="str">
        <x:v>statgrad_master_base_v0_81_final(2).xlsx</x:v>
      </x:c>
      <x:c r="AM3809" s="87" t="str">
        <x:v>CHEM_Nov_V3</x:v>
      </x:c>
      <x:c r="AN3809" s="87" t="n">
        <x:v>28</x:v>
      </x:c>
    </x:row>
    <x:row r="3810">
      <x:c r="A3810" s="87" t="n">
        <x:v>3809</x:v>
      </x:c>
      <x:c r="B3810" s="87" t="str">
        <x:v>NOV-CHEM-V3-028</x:v>
      </x:c>
      <x:c r="C3810" s="87" t="str">
        <x:v>СтатГрад</x:v>
      </x:c>
      <x:c r="D3810" s="87" t="str">
        <x:v>Ноябрь 2025</x:v>
      </x:c>
      <x:c r="E3810" s="87"/>
      <x:c r="F3810" s="87"/>
      <x:c r="G3810" s="87" t="str">
        <x:v>Химия</x:v>
      </x:c>
      <x:c r="H3810" s="87" t="n">
        <x:v>11</x:v>
      </x:c>
      <x:c r="I3810" s="87" t="str">
        <x:v>ТР №2</x:v>
      </x:c>
      <x:c r="J3810" s="87" t="str">
        <x:v>ХИ2510203</x:v>
      </x:c>
      <x:c r="K3810" s="87" t="n">
        <x:v>28</x:v>
      </x:c>
      <x:c r="L3810" s="87" t="str">
        <x:v>Выход продукта</x:v>
      </x:c>
      <x:c r="M3810" s="30" t="str">
        <x:v>28   Образец малахита массой 12 г растворили в избытке серной кислоты
     и собрали 896 мл углекислого газа (н. у.). Считая, что малахит не содержит
     карбонатных примесей, определите массовую долю (в %) основного
     карбоната меди в нём. В расчётах примите Ar(Cu) = 64.
     (Запишите число с точностью до целых.)
     Ответ: ___________________________ %.</x:v>
      </x:c>
      <x:c r="N3810" s="30" t="str">
        <x:v>74</x:v>
      </x:c>
      <x:c r="O3810" s="30" t="str">
        <x:v>Повторный расчёт по данным условия даёт 74; округление выполнено в формате ответа ЕГЭ.</x:v>
      </x:c>
      <x:c r="P3810" s="30" t="str">
        <x:v>Теоретический выход найден по цепочке реакций и сопоставлен с фактическим.</x:v>
      </x:c>
      <x:c r="Q3810" s="30"/>
      <x:c r="R3810" s="30" t="str">
        <x:v>Фото-сводка ответов + независимое решение</x:v>
      </x:c>
      <x:c r="S3810" s="30"/>
      <x:c r="T3810" s="30"/>
      <x:c r="U3810" s="30" t="str">
        <x:v>Расхождений не обнаружено.</x:v>
      </x:c>
      <x:c r="V3810" s="87" t="str">
        <x:v>VERIFIED</x:v>
      </x:c>
      <x:c r="W3810" s="87" t="str">
        <x:v>Zadanie_KhI11_06112025_.pdf, вариантная стр. 14</x:v>
      </x:c>
      <x:c r="X3810" s="87"/>
      <x:c r="Y3810" s="87"/>
      <x:c r="Z3810" s="87"/>
      <x:c r="AA3810" s="87"/>
      <x:c r="AB3810" s="87"/>
      <x:c r="AC3810" s="87" t="str">
        <x:v>VIS-CHEM-NOV-043</x:v>
      </x:c>
      <x:c r="AD3810" s="87"/>
      <x:c r="AE3810" s="87"/>
      <x:c r="AF3810" s="87" t="str">
        <x:v>VIS-CHEM-NOV-043: 14</x:v>
      </x:c>
      <x:c r="AG3810" s="87" t="str">
        <x:v>RESOLVED</x:v>
      </x:c>
      <x:c r="AH3810" s="87" t="str">
        <x:v>CROP_VERIFIED</x:v>
      </x:c>
      <x:c r="AI3810" s="30"/>
      <x:c r="AJ3810" s="87" t="str">
        <x:v>master</x:v>
      </x:c>
      <x:c r="AK3810" s="87" t="str">
        <x:v>master-v0.81</x:v>
      </x:c>
      <x:c r="AL3810" s="87" t="str">
        <x:v>statgrad_master_base_v0_81_final(2).xlsx</x:v>
      </x:c>
      <x:c r="AM3810" s="87" t="str">
        <x:v>CHEM_Nov_V3</x:v>
      </x:c>
      <x:c r="AN3810" s="87" t="n">
        <x:v>29</x:v>
      </x:c>
    </x:row>
    <x:row r="3811">
      <x:c r="A3811" s="87" t="n">
        <x:v>3810</x:v>
      </x:c>
      <x:c r="B3811" s="87" t="str">
        <x:v>NOV-CHEM-V3-029</x:v>
      </x:c>
      <x:c r="C3811" s="87" t="str">
        <x:v>СтатГрад</x:v>
      </x:c>
      <x:c r="D3811" s="87" t="str">
        <x:v>Ноябрь 2025</x:v>
      </x:c>
      <x:c r="E3811" s="87"/>
      <x:c r="F3811" s="87"/>
      <x:c r="G3811" s="87" t="str">
        <x:v>Химия</x:v>
      </x:c>
      <x:c r="H3811" s="87" t="n">
        <x:v>11</x:v>
      </x:c>
      <x:c r="I3811" s="87" t="str">
        <x:v>ТР №2</x:v>
      </x:c>
      <x:c r="J3811" s="87" t="str">
        <x:v>ХИ2510203</x:v>
      </x:c>
      <x:c r="K3811" s="87" t="n">
        <x:v>29</x:v>
      </x:c>
      <x:c r="L3811" s="87" t="str">
        <x:v>Развёрнутый ответ: ОВР</x:v>
      </x:c>
      <x:c r="M3811" s="30" t="str">
        <x:v>Для заданий 29–30 дан перечень: хлорид железа(III), гидроксид натрия, карбонат калия, сульфат цинка, гипохлорит натрия, хлорид меди(II); допустимо использовать воду как среду.
29   Из предложенного перечня выберите вещества, между которыми возможна
     окислительно-восстановительная реакция, протекающая с изменением цвета
     раствора.
     В ответе запишите уравнение только одной из возможных окислительно-
     восстановительных реакций с участием выбранных веществ. Составьте
     электронный баланс, укажите окислитель и восстановитель.</x:v>
      </x:c>
      <x:c r="N3811" s="30" t="str">
        <x:v>2FeCl3 + 3NaClO + 10NaOH → 2Na2FeO4 + 9NaCl + 5H2O.
Электронный баланс: Fe(+3) − 3e− → Fe(+6) (×2); Cl(+1) + 2e− → Cl(−1) (×3).
Окислитель — NaClO (Cl(+1)); восстановитель — FeCl3 (Fe(+3)).</x:v>
      </x:c>
      <x:c r="O3811" s="30" t="str">
        <x:v>Принята полная модель решения из официального критерия после независимой проверки уравнений и расчётов.</x:v>
      </x:c>
      <x:c r="P3811" s="30" t="str">
        <x:v>Уравнение проверено по атомам и заряду; электронный баланс пересчитан отдельно.</x:v>
      </x:c>
      <x:c r="Q3811" s="30"/>
      <x:c r="R3811" s="30" t="str">
        <x:v>Официальный критерий PDF + независимая проверка</x:v>
      </x:c>
      <x:c r="S3811" s="30"/>
      <x:c r="T3811" s="30"/>
      <x:c r="U3811" s="30" t="str">
        <x:v>В официальном критерии окислитель подписан как NaClO (Cl−1), хотя в NaClO хлор имеет степень окисления +1. В принятой модели исправлено на Cl(+1).</x:v>
      </x:c>
      <x:c r="V3811" s="87" t="str">
        <x:v>KEY_MISMATCH</x:v>
      </x:c>
      <x:c r="W3811" s="87" t="str">
        <x:v>Zadanie_KhI11_06112025_.pdf, вариантная стр. 15; Kriterii_KhI11_06112025_.pdf</x:v>
      </x:c>
      <x:c r="X3811" s="87"/>
      <x:c r="Y3811" s="87"/>
      <x:c r="Z3811" s="87"/>
      <x:c r="AA3811" s="87"/>
      <x:c r="AB3811" s="87"/>
      <x:c r="AC3811" s="87" t="str">
        <x:v>VIS-CHEM-NOV-044</x:v>
      </x:c>
      <x:c r="AD3811" s="87"/>
      <x:c r="AE3811" s="87"/>
      <x:c r="AF3811" s="87" t="str">
        <x:v>VIS-CHEM-NOV-044: 15</x:v>
      </x:c>
      <x:c r="AG3811" s="87" t="str">
        <x:v>RESOLVED</x:v>
      </x:c>
      <x:c r="AH3811" s="87" t="str">
        <x:v>CROP_VERIFIED</x:v>
      </x:c>
      <x:c r="AI3811" s="30"/>
      <x:c r="AJ3811" s="87" t="str">
        <x:v>master</x:v>
      </x:c>
      <x:c r="AK3811" s="87" t="str">
        <x:v>master-v0.81</x:v>
      </x:c>
      <x:c r="AL3811" s="87" t="str">
        <x:v>statgrad_master_base_v0_81_final(2).xlsx</x:v>
      </x:c>
      <x:c r="AM3811" s="87" t="str">
        <x:v>CHEM_Nov_V3</x:v>
      </x:c>
      <x:c r="AN3811" s="87" t="n">
        <x:v>30</x:v>
      </x:c>
    </x:row>
    <x:row r="3812">
      <x:c r="A3812" s="87" t="n">
        <x:v>3811</x:v>
      </x:c>
      <x:c r="B3812" s="87" t="str">
        <x:v>NOV-CHEM-V3-030</x:v>
      </x:c>
      <x:c r="C3812" s="87" t="str">
        <x:v>СтатГрад</x:v>
      </x:c>
      <x:c r="D3812" s="87" t="str">
        <x:v>Ноябрь 2025</x:v>
      </x:c>
      <x:c r="E3812" s="87"/>
      <x:c r="F3812" s="87"/>
      <x:c r="G3812" s="87" t="str">
        <x:v>Химия</x:v>
      </x:c>
      <x:c r="H3812" s="87" t="n">
        <x:v>11</x:v>
      </x:c>
      <x:c r="I3812" s="87" t="str">
        <x:v>ТР №2</x:v>
      </x:c>
      <x:c r="J3812" s="87" t="str">
        <x:v>ХИ2510203</x:v>
      </x:c>
      <x:c r="K3812" s="87" t="n">
        <x:v>30</x:v>
      </x:c>
      <x:c r="L3812" s="87" t="str">
        <x:v>Развёрнутый ответ: ионный обмен</x:v>
      </x:c>
      <x:c r="M3812" s="30" t="str">
        <x:v>Для заданий 29–30 дан перечень: хлорид железа(III), гидроксид натрия, карбонат калия, сульфат цинка, гипохлорит натрия, хлорид меди(II); допустимо использовать воду как среду.
30   Из предложенного перечня выберите два вещества, между которыми
     возможна реакция ионного обмена, не приводящая к образованию осадка или
     выделению газа. Запишите молекулярное, полное и сокращённое ионное
     уравнения реакции с участием выбранных веществ.</x:v>
      </x:c>
      <x:c r="N3812" s="30" t="str">
        <x:v>ZnSO4 + 4NaOH → Na2[Zn(OH)4] + Na2SO4.
Полное ионное: Zn2+ + SO4^2− + 4Na+ + 4OH− → 2Na+ + [Zn(OH)4]^2− + 2Na+ + SO4^2−.
Сокращённое ионное: Zn2+ + 4OH− → [Zn(OH)4]^2−.</x:v>
      </x:c>
      <x:c r="O3812" s="30" t="str">
        <x:v>Принята полная модель решения из официального критерия после независимой проверки уравнений и расчётов.</x:v>
      </x:c>
      <x:c r="P3812" s="30" t="str">
        <x:v>Молекулярное, полное и сокращённое ионные уравнения проверены по атомам и заряду.</x:v>
      </x:c>
      <x:c r="Q3812" s="30"/>
      <x:c r="R3812" s="30" t="str">
        <x:v>Официальный критерий PDF + независимая проверка</x:v>
      </x:c>
      <x:c r="S3812" s="30"/>
      <x:c r="T3812" s="30"/>
      <x:c r="U3812" s="30" t="str">
        <x:v>Расхождений не обнаружено.</x:v>
      </x:c>
      <x:c r="V3812" s="87" t="str">
        <x:v>VERIFIED</x:v>
      </x:c>
      <x:c r="W3812" s="87" t="str">
        <x:v>Zadanie_KhI11_06112025_.pdf, вариантная стр. 15; Kriterii_KhI11_06112025_.pdf</x:v>
      </x:c>
      <x:c r="X3812" s="87"/>
      <x:c r="Y3812" s="87"/>
      <x:c r="Z3812" s="87"/>
      <x:c r="AA3812" s="87"/>
      <x:c r="AB3812" s="87"/>
      <x:c r="AC3812" s="87" t="str">
        <x:v>VIS-CHEM-NOV-044</x:v>
      </x:c>
      <x:c r="AD3812" s="87"/>
      <x:c r="AE3812" s="87"/>
      <x:c r="AF3812" s="87" t="str">
        <x:v>VIS-CHEM-NOV-044: 15</x:v>
      </x:c>
      <x:c r="AG3812" s="87" t="str">
        <x:v>RESOLVED</x:v>
      </x:c>
      <x:c r="AH3812" s="87" t="str">
        <x:v>CROP_VERIFIED</x:v>
      </x:c>
      <x:c r="AI3812" s="30"/>
      <x:c r="AJ3812" s="87" t="str">
        <x:v>master</x:v>
      </x:c>
      <x:c r="AK3812" s="87" t="str">
        <x:v>master-v0.81</x:v>
      </x:c>
      <x:c r="AL3812" s="87" t="str">
        <x:v>statgrad_master_base_v0_81_final(2).xlsx</x:v>
      </x:c>
      <x:c r="AM3812" s="87" t="str">
        <x:v>CHEM_Nov_V3</x:v>
      </x:c>
      <x:c r="AN3812" s="87" t="n">
        <x:v>31</x:v>
      </x:c>
    </x:row>
    <x:row r="3813">
      <x:c r="A3813" s="87" t="n">
        <x:v>3812</x:v>
      </x:c>
      <x:c r="B3813" s="87" t="str">
        <x:v>NOV-CHEM-V3-031</x:v>
      </x:c>
      <x:c r="C3813" s="87" t="str">
        <x:v>СтатГрад</x:v>
      </x:c>
      <x:c r="D3813" s="87" t="str">
        <x:v>Ноябрь 2025</x:v>
      </x:c>
      <x:c r="E3813" s="87"/>
      <x:c r="F3813" s="87"/>
      <x:c r="G3813" s="87" t="str">
        <x:v>Химия</x:v>
      </x:c>
      <x:c r="H3813" s="87" t="n">
        <x:v>11</x:v>
      </x:c>
      <x:c r="I3813" s="87" t="str">
        <x:v>ТР №2</x:v>
      </x:c>
      <x:c r="J3813" s="87" t="str">
        <x:v>ХИ2510203</x:v>
      </x:c>
      <x:c r="K3813" s="87" t="n">
        <x:v>31</x:v>
      </x:c>
      <x:c r="L3813" s="87" t="str">
        <x:v>Развёрнутый ответ: неорганическая цепочка</x:v>
      </x:c>
      <x:c r="M3813" s="30" t="str">
        <x:v>31   Сульфид железа(II) растворили в избытке соляной кислоты. Выделившийся
     газ пропустили через иодную воду, в результате чего раствор обесцветился
     и помутнел. Через раствор, оставшийся после реакции с соляной кислотой,
     пропускали воздух до тех пор, пока раствор не приобрёл тёмно-коричневый
     цвет. После этого к нему добавили бесцветный раствор, полученный
     из иодной воды.
     Напишите молекулярные уравнения четырёх описанных реакций.</x:v>
      </x:c>
      <x:c r="N3813" s="30" t="str">
        <x:v>1) FeS + 2HCl → FeCl2 + H2S↑.
2) H2S + I2 → S↓ + 2HI.
3) 4FeCl2 + O2 + 4HCl → 4FeCl3 + 2H2O.
4) 2FeCl3 + 2HI → I2 + 2FeCl2 + 2HCl.</x:v>
      </x:c>
      <x:c r="O3813" s="30" t="str">
        <x:v>Принята полная модель решения из официального критерия после независимой проверки уравнений и расчётов.</x:v>
      </x:c>
      <x:c r="P3813" s="30" t="str">
        <x:v>Все четыре уравнения последовательности проверены по веществам, атомам и условиям.</x:v>
      </x:c>
      <x:c r="Q3813" s="30"/>
      <x:c r="R3813" s="30" t="str">
        <x:v>Официальный критерий PDF + независимая проверка</x:v>
      </x:c>
      <x:c r="S3813" s="30"/>
      <x:c r="T3813" s="30"/>
      <x:c r="U3813" s="30" t="str">
        <x:v>Расхождений не обнаружено.</x:v>
      </x:c>
      <x:c r="V3813" s="87" t="str">
        <x:v>VERIFIED</x:v>
      </x:c>
      <x:c r="W3813" s="87" t="str">
        <x:v>Zadanie_KhI11_06112025_.pdf, вариантная стр. 15; Kriterii_KhI11_06112025_.pdf</x:v>
      </x:c>
      <x:c r="X3813" s="87"/>
      <x:c r="Y3813" s="87"/>
      <x:c r="Z3813" s="87"/>
      <x:c r="AA3813" s="87"/>
      <x:c r="AB3813" s="87"/>
      <x:c r="AC3813" s="87" t="str">
        <x:v>VIS-CHEM-NOV-044</x:v>
      </x:c>
      <x:c r="AD3813" s="87"/>
      <x:c r="AE3813" s="87"/>
      <x:c r="AF3813" s="87" t="str">
        <x:v>VIS-CHEM-NOV-044: 15</x:v>
      </x:c>
      <x:c r="AG3813" s="87" t="str">
        <x:v>RESOLVED</x:v>
      </x:c>
      <x:c r="AH3813" s="87" t="str">
        <x:v>CROP_VERIFIED</x:v>
      </x:c>
      <x:c r="AI3813" s="30"/>
      <x:c r="AJ3813" s="87" t="str">
        <x:v>master</x:v>
      </x:c>
      <x:c r="AK3813" s="87" t="str">
        <x:v>master-v0.81</x:v>
      </x:c>
      <x:c r="AL3813" s="87" t="str">
        <x:v>statgrad_master_base_v0_81_final(2).xlsx</x:v>
      </x:c>
      <x:c r="AM3813" s="87" t="str">
        <x:v>CHEM_Nov_V3</x:v>
      </x:c>
      <x:c r="AN3813" s="87" t="n">
        <x:v>32</x:v>
      </x:c>
    </x:row>
    <x:row r="3814">
      <x:c r="A3814" s="87" t="n">
        <x:v>3813</x:v>
      </x:c>
      <x:c r="B3814" s="87" t="str">
        <x:v>NOV-CHEM-V3-032</x:v>
      </x:c>
      <x:c r="C3814" s="87" t="str">
        <x:v>СтатГрад</x:v>
      </x:c>
      <x:c r="D3814" s="87" t="str">
        <x:v>Ноябрь 2025</x:v>
      </x:c>
      <x:c r="E3814" s="87"/>
      <x:c r="F3814" s="87"/>
      <x:c r="G3814" s="87" t="str">
        <x:v>Химия</x:v>
      </x:c>
      <x:c r="H3814" s="87" t="n">
        <x:v>11</x:v>
      </x:c>
      <x:c r="I3814" s="87" t="str">
        <x:v>ТР №2</x:v>
      </x:c>
      <x:c r="J3814" s="87" t="str">
        <x:v>ХИ2510203</x:v>
      </x:c>
      <x:c r="K3814" s="87" t="n">
        <x:v>32</x:v>
      </x:c>
      <x:c r="L3814" s="87" t="str">
        <x:v>Развёрнутый ответ: органическая цепочка</x:v>
      </x:c>
      <x:c r="M3814" s="30" t="str">
        <x:v>32   Напишите уравнения реакций, с помощью которых можно осуществить
     следующие превращения:
            PCl            фенол                            KOH(изб.)
       X1 →
            5
               X2 → фенилпропионат 
                                            → X3 → C6H5OCH3
                                            бромная вода (изб.)
                            C6H5OCH3 → X4.
     При написании уравнений реакций указывайте преимущественно
     образующиеся продукты, используйте структурные формулы органических
     веществ.</x:v>
      </x:c>
      <x:c r="N3814" s="30" t="str">
        <x:v>1) CH3CH2COOH + PCl5 → CH3CH2COCl + POCl3 + HCl.
2) CH3CH2COCl + C6H5OH → CH3CH2COOC6H5 + HCl.
3) CH3CH2COOC6H5 + 2KOH → CH3CH2COOK + C6H5OK + H2O.
4) C6H5OK + CH3Br → C6H5OCH3 + KBr.
5) C6H5OCH3 + 3Br2(водн.) → 2,4,6-C6H2Br3OCH3↓ + 3HBr.</x:v>
      </x:c>
      <x:c r="O3814" s="30" t="str">
        <x:v>Принята полная модель решения из официального критерия после независимой проверки уравнений и расчётов.</x:v>
      </x:c>
      <x:c r="P3814" s="30" t="str">
        <x:v>Пять стадий цепочки проверены по функциональным группам и преимущественным продуктам.</x:v>
      </x:c>
      <x:c r="Q3814" s="30"/>
      <x:c r="R3814" s="30" t="str">
        <x:v>Официальный критерий PDF + независимая проверка</x:v>
      </x:c>
      <x:c r="S3814" s="30"/>
      <x:c r="T3814" s="30"/>
      <x:c r="U3814" s="30" t="str">
        <x:v>Расхождений не обнаружено.</x:v>
      </x:c>
      <x:c r="V3814" s="87" t="str">
        <x:v>VERIFIED</x:v>
      </x:c>
      <x:c r="W3814" s="87" t="str">
        <x:v>Zadanie_KhI11_06112025_.pdf, вариантная стр. 15; Kriterii_KhI11_06112025_.pdf</x:v>
      </x:c>
      <x:c r="X3814" s="87"/>
      <x:c r="Y3814" s="87"/>
      <x:c r="Z3814" s="87"/>
      <x:c r="AA3814" s="87"/>
      <x:c r="AB3814" s="87"/>
      <x:c r="AC3814" s="87" t="str">
        <x:v>VIS-CHEM-NOV-044</x:v>
      </x:c>
      <x:c r="AD3814" s="87"/>
      <x:c r="AE3814" s="87"/>
      <x:c r="AF3814" s="87" t="str">
        <x:v>VIS-CHEM-NOV-044: 15</x:v>
      </x:c>
      <x:c r="AG3814" s="87" t="str">
        <x:v>RESOLVED</x:v>
      </x:c>
      <x:c r="AH3814" s="87" t="str">
        <x:v>CROP_VERIFIED</x:v>
      </x:c>
      <x:c r="AI3814" s="30"/>
      <x:c r="AJ3814" s="87" t="str">
        <x:v>master</x:v>
      </x:c>
      <x:c r="AK3814" s="87" t="str">
        <x:v>master-v0.81</x:v>
      </x:c>
      <x:c r="AL3814" s="87" t="str">
        <x:v>statgrad_master_base_v0_81_final(2).xlsx</x:v>
      </x:c>
      <x:c r="AM3814" s="87" t="str">
        <x:v>CHEM_Nov_V3</x:v>
      </x:c>
      <x:c r="AN3814" s="87" t="n">
        <x:v>33</x:v>
      </x:c>
    </x:row>
    <x:row r="3815">
      <x:c r="A3815" s="87" t="n">
        <x:v>3814</x:v>
      </x:c>
      <x:c r="B3815" s="87" t="str">
        <x:v>NOV-CHEM-V3-033</x:v>
      </x:c>
      <x:c r="C3815" s="87" t="str">
        <x:v>СтатГрад</x:v>
      </x:c>
      <x:c r="D3815" s="87" t="str">
        <x:v>Ноябрь 2025</x:v>
      </x:c>
      <x:c r="E3815" s="87"/>
      <x:c r="F3815" s="87"/>
      <x:c r="G3815" s="87" t="str">
        <x:v>Химия</x:v>
      </x:c>
      <x:c r="H3815" s="87" t="n">
        <x:v>11</x:v>
      </x:c>
      <x:c r="I3815" s="87" t="str">
        <x:v>ТР №2</x:v>
      </x:c>
      <x:c r="J3815" s="87" t="str">
        <x:v>ХИ2510203</x:v>
      </x:c>
      <x:c r="K3815" s="87" t="n">
        <x:v>33</x:v>
      </x:c>
      <x:c r="L3815" s="87" t="str">
        <x:v>Развёрнутый ответ: установление формулы</x:v>
      </x:c>
      <x:c r="M3815" s="30" t="str">
        <x:v>33   Сложный эфир А применяется для производства оргстекла. Он содержит
     8,0 % водорода и 32,0 % кислорода по массе. Вещество А имеет
     разветвлённый углеродный скелет, а при его гидролизе образуются
     простейший спирт и одноосновная кислота.
     На основании данных условия задачи:
     1) установите молекулярную формулу вещества A;
     2) составьте структурную формулу вещества A, которая однозначно отражает
     порядок связи атомов в его молекуле;
     3) напишите уравнение полимеризации вещества A (используйте
     структурные формулы органических веществ).</x:v>
      </x:c>
      <x:c r="N3815" s="30" t="str">
        <x:v>Массовые доли дают C:H:O = 5:8:2, поэтому формула A — C5H8O2. Это метилметакрилат CH2=C(CH3)COOCH3.
Полимеризация: nCH2=C(CH3)COOCH3 → [–CH2–C(CH3)(COOCH3)–]n.</x:v>
      </x:c>
      <x:c r="O3815" s="30" t="str">
        <x:v>Принята полная модель решения из официального критерия после независимой проверки уравнений и расчётов.</x:v>
      </x:c>
      <x:c r="P3815" s="30" t="str">
        <x:v>Элементный состав пересчитан, формула и строение сопоставлены с описанными свойствами.</x:v>
      </x:c>
      <x:c r="Q3815" s="30"/>
      <x:c r="R3815" s="30" t="str">
        <x:v>Официальный критерий PDF + независимая проверка</x:v>
      </x:c>
      <x:c r="S3815" s="30"/>
      <x:c r="T3815" s="30"/>
      <x:c r="U3815" s="30" t="str">
        <x:v>Расхождений не обнаружено.</x:v>
      </x:c>
      <x:c r="V3815" s="87" t="str">
        <x:v>VERIFIED</x:v>
      </x:c>
      <x:c r="W3815" s="87" t="str">
        <x:v>Zadanie_KhI11_06112025_.pdf, вариантная стр. 16; Kriterii_KhI11_06112025_.pdf</x:v>
      </x:c>
      <x:c r="X3815" s="87"/>
      <x:c r="Y3815" s="87"/>
      <x:c r="Z3815" s="87"/>
      <x:c r="AA3815" s="87"/>
      <x:c r="AB3815" s="87"/>
      <x:c r="AC3815" s="87" t="str">
        <x:v>VIS-CHEM-NOV-045</x:v>
      </x:c>
      <x:c r="AD3815" s="87"/>
      <x:c r="AE3815" s="87"/>
      <x:c r="AF3815" s="87" t="str">
        <x:v>VIS-CHEM-NOV-045: 16</x:v>
      </x:c>
      <x:c r="AG3815" s="87" t="str">
        <x:v>RESOLVED</x:v>
      </x:c>
      <x:c r="AH3815" s="87" t="str">
        <x:v>CROP_VERIFIED</x:v>
      </x:c>
      <x:c r="AI3815" s="30"/>
      <x:c r="AJ3815" s="87" t="str">
        <x:v>master</x:v>
      </x:c>
      <x:c r="AK3815" s="87" t="str">
        <x:v>master-v0.81</x:v>
      </x:c>
      <x:c r="AL3815" s="87" t="str">
        <x:v>statgrad_master_base_v0_81_final(2).xlsx</x:v>
      </x:c>
      <x:c r="AM3815" s="87" t="str">
        <x:v>CHEM_Nov_V3</x:v>
      </x:c>
      <x:c r="AN3815" s="87" t="n">
        <x:v>34</x:v>
      </x:c>
    </x:row>
    <x:row r="3816">
      <x:c r="A3816" s="87" t="n">
        <x:v>3815</x:v>
      </x:c>
      <x:c r="B3816" s="87" t="str">
        <x:v>NOV-CHEM-V3-034</x:v>
      </x:c>
      <x:c r="C3816" s="87" t="str">
        <x:v>СтатГрад</x:v>
      </x:c>
      <x:c r="D3816" s="87" t="str">
        <x:v>Ноябрь 2025</x:v>
      </x:c>
      <x:c r="E3816" s="87"/>
      <x:c r="F3816" s="87"/>
      <x:c r="G3816" s="87" t="str">
        <x:v>Химия</x:v>
      </x:c>
      <x:c r="H3816" s="87" t="n">
        <x:v>11</x:v>
      </x:c>
      <x:c r="I3816" s="87" t="str">
        <x:v>ТР №2</x:v>
      </x:c>
      <x:c r="J3816" s="87" t="str">
        <x:v>ХИ2510203</x:v>
      </x:c>
      <x:c r="K3816" s="87" t="n">
        <x:v>34</x:v>
      </x:c>
      <x:c r="L3816" s="87" t="str">
        <x:v>Развёрнутый ответ: расчётная задача</x:v>
      </x:c>
      <x:c r="M3816" s="30" t="str">
        <x:v>34   Навеска фосфора массой 18,6 г прореагировала с 24,64 л (н. у.) хлора.
     Полученное твёрдое вещество растворили в 300 г воды. Определите
     массовые доли фосфорсодержащих веществ в полученном растворе, если
     известно, что газ при растворении не выделялся.
     В ответе запишите уравнения реакций, которые указаны в условии задачи,
     и приведите все необходимые вычисления (указывайте единицы измерения
     и обозначения искомых физических величин).</x:v>
      </x:c>
      <x:c r="N3816" s="30" t="str">
        <x:v>n(P)=18,6/31=0,6 моль; n(Cl2)=24,64/22,4=1,1 моль.
2P+3Cl2→2PCl3; 2P+5Cl2→2PCl5. Из баланса: n(PCl3)=0,4 моль, n(PCl5)=0,2 моль.
PCl3+3H2O→H3PO3+3HCl; PCl5+4H2O→H3PO4+5HCl.
m(раствора)=300+0,4·137,5+0,2·208,5=396,7 г.
ω(H3PO3)=8,27%; ω(H3PO4)=4,94%.</x:v>
      </x:c>
      <x:c r="O3816" s="30" t="str">
        <x:v>Принята полная модель решения из официального критерия после независимой проверки уравнений и расчётов.</x:v>
      </x:c>
      <x:c r="P3816" s="30" t="str">
        <x:v>Все количества веществ, уравнения и массовые доли пересчитаны независимо.</x:v>
      </x:c>
      <x:c r="Q3816" s="30"/>
      <x:c r="R3816" s="30" t="str">
        <x:v>Официальный критерий PDF + независимая проверка</x:v>
      </x:c>
      <x:c r="S3816" s="30"/>
      <x:c r="T3816" s="30"/>
      <x:c r="U3816" s="30" t="str">
        <x:v>Расхождений не обнаружено.</x:v>
      </x:c>
      <x:c r="V3816" s="87" t="str">
        <x:v>VERIFIED</x:v>
      </x:c>
      <x:c r="W3816" s="87" t="str">
        <x:v>Zadanie_KhI11_06112025_.pdf, вариантная стр. 16; Kriterii_KhI11_06112025_.pdf</x:v>
      </x:c>
      <x:c r="X3816" s="87"/>
      <x:c r="Y3816" s="87"/>
      <x:c r="Z3816" s="87"/>
      <x:c r="AA3816" s="87"/>
      <x:c r="AB3816" s="87"/>
      <x:c r="AC3816" s="87" t="str">
        <x:v>VIS-CHEM-NOV-045</x:v>
      </x:c>
      <x:c r="AD3816" s="87"/>
      <x:c r="AE3816" s="87"/>
      <x:c r="AF3816" s="87" t="str">
        <x:v>VIS-CHEM-NOV-045: 16</x:v>
      </x:c>
      <x:c r="AG3816" s="87" t="str">
        <x:v>RESOLVED</x:v>
      </x:c>
      <x:c r="AH3816" s="87" t="str">
        <x:v>CROP_VERIFIED</x:v>
      </x:c>
      <x:c r="AI3816" s="30"/>
      <x:c r="AJ3816" s="87" t="str">
        <x:v>master</x:v>
      </x:c>
      <x:c r="AK3816" s="87" t="str">
        <x:v>master-v0.81</x:v>
      </x:c>
      <x:c r="AL3816" s="87" t="str">
        <x:v>statgrad_master_base_v0_81_final(2).xlsx</x:v>
      </x:c>
      <x:c r="AM3816" s="87" t="str">
        <x:v>CHEM_Nov_V3</x:v>
      </x:c>
      <x:c r="AN3816" s="87" t="n">
        <x:v>35</x:v>
      </x:c>
    </x:row>
    <x:row r="3817">
      <x:c r="A3817" s="87" t="n">
        <x:v>3816</x:v>
      </x:c>
      <x:c r="B3817" s="87" t="str">
        <x:v>NOV-CHEM-V4-001</x:v>
      </x:c>
      <x:c r="C3817" s="87" t="str">
        <x:v>СтатГрад</x:v>
      </x:c>
      <x:c r="D3817" s="87" t="str">
        <x:v>Ноябрь 2025</x:v>
      </x:c>
      <x:c r="E3817" s="87"/>
      <x:c r="F3817" s="87"/>
      <x:c r="G3817" s="87" t="str">
        <x:v>Химия</x:v>
      </x:c>
      <x:c r="H3817" s="87" t="n">
        <x:v>11</x:v>
      </x:c>
      <x:c r="I3817" s="87" t="str">
        <x:v>ТР №2</x:v>
      </x:c>
      <x:c r="J3817" s="87" t="str">
        <x:v>ХИ2510204</x:v>
      </x:c>
      <x:c r="K3817" s="87" t="n">
        <x:v>1</x:v>
      </x:c>
      <x:c r="L3817" s="87" t="str">
        <x:v>Электронная конфигурация</x:v>
      </x:c>
      <x:c r="M3817" s="30" t="str">
        <x:v>Для выполнения заданий 1–3 дан ряд элементов: 1) Al; 2) Cl; 3) Ne; 4) O; 5) Mg.
1   Определите два элемента, которые образуют устойчивый анион с электронной
    конфигурацией благородного газа.
    Запишите номера выбранных элементов.
    Ответ:</x:v>
      </x:c>
      <x:c r="N3817" s="30" t="str">
        <x:v>24</x:v>
      </x:c>
      <x:c r="O3817" s="30" t="str">
        <x:v>Выбраны позиции 24; выбор подтверждён разбором каждого предложенного вещества или элемента.</x:v>
      </x:c>
      <x:c r="P3817" s="30" t="str">
        <x:v>Проверены электронные конфигурации и образование устойчивых ионов.</x:v>
      </x:c>
      <x:c r="Q3817" s="30"/>
      <x:c r="R3817" s="30" t="str">
        <x:v>Фото-сводка ответов + независимое решение</x:v>
      </x:c>
      <x:c r="S3817" s="30"/>
      <x:c r="T3817" s="30"/>
      <x:c r="U3817" s="30" t="str">
        <x:v>Расхождений не обнаружено.</x:v>
      </x:c>
      <x:c r="V3817" s="87" t="str">
        <x:v>VERIFIED</x:v>
      </x:c>
      <x:c r="W3817" s="87" t="str">
        <x:v>Zadanie_KhI11_06112025_.pdf, вариантная стр. 2</x:v>
      </x:c>
      <x:c r="X3817" s="87"/>
      <x:c r="Y3817" s="87"/>
      <x:c r="Z3817" s="87"/>
      <x:c r="AA3817" s="87"/>
      <x:c r="AB3817" s="87"/>
      <x:c r="AC3817" s="87" t="str">
        <x:v>VIS-CHEM-NOV-046</x:v>
      </x:c>
      <x:c r="AD3817" s="87"/>
      <x:c r="AE3817" s="87"/>
      <x:c r="AF3817" s="87" t="str">
        <x:v>VIS-CHEM-NOV-046: 18</x:v>
      </x:c>
      <x:c r="AG3817" s="87" t="str">
        <x:v>RESOLVED</x:v>
      </x:c>
      <x:c r="AH3817" s="87" t="str">
        <x:v>CROP_VERIFIED</x:v>
      </x:c>
      <x:c r="AI3817" s="30"/>
      <x:c r="AJ3817" s="87" t="str">
        <x:v>master</x:v>
      </x:c>
      <x:c r="AK3817" s="87" t="str">
        <x:v>master-v0.81</x:v>
      </x:c>
      <x:c r="AL3817" s="87" t="str">
        <x:v>statgrad_master_base_v0_81_final(2).xlsx</x:v>
      </x:c>
      <x:c r="AM3817" s="87" t="str">
        <x:v>CHEM_Nov_V4</x:v>
      </x:c>
      <x:c r="AN3817" s="87" t="n">
        <x:v>2</x:v>
      </x:c>
    </x:row>
    <x:row r="3818">
      <x:c r="A3818" s="87" t="n">
        <x:v>3817</x:v>
      </x:c>
      <x:c r="B3818" s="87" t="str">
        <x:v>NOV-CHEM-V4-002</x:v>
      </x:c>
      <x:c r="C3818" s="87" t="str">
        <x:v>СтатГрад</x:v>
      </x:c>
      <x:c r="D3818" s="87" t="str">
        <x:v>Ноябрь 2025</x:v>
      </x:c>
      <x:c r="E3818" s="87"/>
      <x:c r="F3818" s="87"/>
      <x:c r="G3818" s="87" t="str">
        <x:v>Химия</x:v>
      </x:c>
      <x:c r="H3818" s="87" t="n">
        <x:v>11</x:v>
      </x:c>
      <x:c r="I3818" s="87" t="str">
        <x:v>ТР №2</x:v>
      </x:c>
      <x:c r="J3818" s="87" t="str">
        <x:v>ХИ2510204</x:v>
      </x:c>
      <x:c r="K3818" s="87" t="n">
        <x:v>2</x:v>
      </x:c>
      <x:c r="L3818" s="87" t="str">
        <x:v>Периодический закон</x:v>
      </x:c>
      <x:c r="M3818" s="30" t="str">
        <x:v>Для выполнения заданий 1–3 дан ряд элементов: 1) Al; 2) Cl; 3) Ne; 4) O; 5) Mg.
2   Из указанных в ряду химических элементов выберите три элемента, которые
    в Периодической системе находятся в одном периоде. Расположите
    выбранные элементы в порядке уменьшения электроотрицательности.
    Запишите в поле ответа номера выбранных элементов в нужной
    последовательности.
    Ответ:</x:v>
      </x:c>
      <x:c r="N3818" s="30" t="str">
        <x:v>215</x:v>
      </x:c>
      <x:c r="O3818" s="30" t="str">
        <x:v>Последовательность 215 задаёт соответствия позициям задания; каждое соответствие проверено отдельно.</x:v>
      </x:c>
      <x:c r="P3818" s="30" t="str">
        <x:v>Сопоставлены положения элементов в Периодической системе и требуемая тенденция свойства.</x:v>
      </x:c>
      <x:c r="Q3818" s="30"/>
      <x:c r="R3818" s="30" t="str">
        <x:v>Фото-сводка ответов + независимое решение</x:v>
      </x:c>
      <x:c r="S3818" s="30"/>
      <x:c r="T3818" s="30"/>
      <x:c r="U3818" s="30" t="str">
        <x:v>Расхождений не обнаружено.</x:v>
      </x:c>
      <x:c r="V3818" s="87" t="str">
        <x:v>VERIFIED</x:v>
      </x:c>
      <x:c r="W3818" s="87" t="str">
        <x:v>Zadanie_KhI11_06112025_.pdf, вариантная стр. 2</x:v>
      </x:c>
      <x:c r="X3818" s="87"/>
      <x:c r="Y3818" s="87"/>
      <x:c r="Z3818" s="87"/>
      <x:c r="AA3818" s="87"/>
      <x:c r="AB3818" s="87"/>
      <x:c r="AC3818" s="87" t="str">
        <x:v>VIS-CHEM-NOV-046</x:v>
      </x:c>
      <x:c r="AD3818" s="87"/>
      <x:c r="AE3818" s="87"/>
      <x:c r="AF3818" s="87" t="str">
        <x:v>VIS-CHEM-NOV-046: 18</x:v>
      </x:c>
      <x:c r="AG3818" s="87" t="str">
        <x:v>RESOLVED</x:v>
      </x:c>
      <x:c r="AH3818" s="87" t="str">
        <x:v>CROP_VERIFIED</x:v>
      </x:c>
      <x:c r="AI3818" s="30"/>
      <x:c r="AJ3818" s="87" t="str">
        <x:v>master</x:v>
      </x:c>
      <x:c r="AK3818" s="87" t="str">
        <x:v>master-v0.81</x:v>
      </x:c>
      <x:c r="AL3818" s="87" t="str">
        <x:v>statgrad_master_base_v0_81_final(2).xlsx</x:v>
      </x:c>
      <x:c r="AM3818" s="87" t="str">
        <x:v>CHEM_Nov_V4</x:v>
      </x:c>
      <x:c r="AN3818" s="87" t="n">
        <x:v>3</x:v>
      </x:c>
    </x:row>
    <x:row r="3819">
      <x:c r="A3819" s="87" t="n">
        <x:v>3818</x:v>
      </x:c>
      <x:c r="B3819" s="87" t="str">
        <x:v>NOV-CHEM-V4-003</x:v>
      </x:c>
      <x:c r="C3819" s="87" t="str">
        <x:v>СтатГрад</x:v>
      </x:c>
      <x:c r="D3819" s="87" t="str">
        <x:v>Ноябрь 2025</x:v>
      </x:c>
      <x:c r="E3819" s="87"/>
      <x:c r="F3819" s="87"/>
      <x:c r="G3819" s="87" t="str">
        <x:v>Химия</x:v>
      </x:c>
      <x:c r="H3819" s="87" t="n">
        <x:v>11</x:v>
      </x:c>
      <x:c r="I3819" s="87" t="str">
        <x:v>ТР №2</x:v>
      </x:c>
      <x:c r="J3819" s="87" t="str">
        <x:v>ХИ2510204</x:v>
      </x:c>
      <x:c r="K3819" s="87" t="n">
        <x:v>3</x:v>
      </x:c>
      <x:c r="L3819" s="87" t="str">
        <x:v>Степени окисления</x:v>
      </x:c>
      <x:c r="M3819" s="30" t="str">
        <x:v>Для выполнения заданий 1–3 дан ряд элементов: 1) Al; 2) Cl; 3) Ne; 4) O; 5) Mg.
3   Из числа указанных в ряду элементов выберите два элемента, которые
    в соединениях проявляют степень окисления +3.
    Запишите в поле ответа номера выбранных элементов.
    Ответ:</x:v>
      </x:c>
      <x:c r="N3819" s="30" t="str">
        <x:v>12</x:v>
      </x:c>
      <x:c r="O3819" s="30" t="str">
        <x:v>Выбраны позиции 12; выбор подтверждён разбором каждого предложенного вещества или элемента.</x:v>
      </x:c>
      <x:c r="P3819" s="30" t="str">
        <x:v>Проверены характерные степени окисления выбранных элементов.</x:v>
      </x:c>
      <x:c r="Q3819" s="30"/>
      <x:c r="R3819" s="30" t="str">
        <x:v>Фото-сводка ответов + независимое решение</x:v>
      </x:c>
      <x:c r="S3819" s="30"/>
      <x:c r="T3819" s="30"/>
      <x:c r="U3819" s="30" t="str">
        <x:v>Расхождений не обнаружено.</x:v>
      </x:c>
      <x:c r="V3819" s="87" t="str">
        <x:v>VERIFIED</x:v>
      </x:c>
      <x:c r="W3819" s="87" t="str">
        <x:v>Zadanie_KhI11_06112025_.pdf, вариантная стр. 2</x:v>
      </x:c>
      <x:c r="X3819" s="87"/>
      <x:c r="Y3819" s="87"/>
      <x:c r="Z3819" s="87"/>
      <x:c r="AA3819" s="87"/>
      <x:c r="AB3819" s="87"/>
      <x:c r="AC3819" s="87" t="str">
        <x:v>VIS-CHEM-NOV-046</x:v>
      </x:c>
      <x:c r="AD3819" s="87"/>
      <x:c r="AE3819" s="87"/>
      <x:c r="AF3819" s="87" t="str">
        <x:v>VIS-CHEM-NOV-046: 18</x:v>
      </x:c>
      <x:c r="AG3819" s="87" t="str">
        <x:v>RESOLVED</x:v>
      </x:c>
      <x:c r="AH3819" s="87" t="str">
        <x:v>CROP_VERIFIED</x:v>
      </x:c>
      <x:c r="AI3819" s="30"/>
      <x:c r="AJ3819" s="87" t="str">
        <x:v>master</x:v>
      </x:c>
      <x:c r="AK3819" s="87" t="str">
        <x:v>master-v0.81</x:v>
      </x:c>
      <x:c r="AL3819" s="87" t="str">
        <x:v>statgrad_master_base_v0_81_final(2).xlsx</x:v>
      </x:c>
      <x:c r="AM3819" s="87" t="str">
        <x:v>CHEM_Nov_V4</x:v>
      </x:c>
      <x:c r="AN3819" s="87" t="n">
        <x:v>4</x:v>
      </x:c>
    </x:row>
    <x:row r="3820">
      <x:c r="A3820" s="87" t="n">
        <x:v>3819</x:v>
      </x:c>
      <x:c r="B3820" s="87" t="str">
        <x:v>NOV-CHEM-V4-004</x:v>
      </x:c>
      <x:c r="C3820" s="87" t="str">
        <x:v>СтатГрад</x:v>
      </x:c>
      <x:c r="D3820" s="87" t="str">
        <x:v>Ноябрь 2025</x:v>
      </x:c>
      <x:c r="E3820" s="87"/>
      <x:c r="F3820" s="87"/>
      <x:c r="G3820" s="87" t="str">
        <x:v>Химия</x:v>
      </x:c>
      <x:c r="H3820" s="87" t="n">
        <x:v>11</x:v>
      </x:c>
      <x:c r="I3820" s="87" t="str">
        <x:v>ТР №2</x:v>
      </x:c>
      <x:c r="J3820" s="87" t="str">
        <x:v>ХИ2510204</x:v>
      </x:c>
      <x:c r="K3820" s="87" t="n">
        <x:v>4</x:v>
      </x:c>
      <x:c r="L3820" s="87" t="str">
        <x:v>Полярность молекул</x:v>
      </x:c>
      <x:c r="M3820" s="30" t="str">
        <x:v>4   Из предложенного перечня выберите два вещества, которые состоят из полярных
    молекул.
    1) CuO
    2) CO 2
    3) NH 3
    4) CH 3 OH
    5) NH 4 Cl
    Запишите номера выбранных ответов.
    Ответ:</x:v>
      </x:c>
      <x:c r="N3820" s="30" t="str">
        <x:v>34</x:v>
      </x:c>
      <x:c r="O3820" s="30" t="str">
        <x:v>Выбраны позиции 34; выбор подтверждён разбором каждого предложенного вещества или элемента.</x:v>
      </x:c>
      <x:c r="P3820" s="30" t="str">
        <x:v>Проверены геометрия молекул и компенсация векторов полярных связей.</x:v>
      </x:c>
      <x:c r="Q3820" s="30"/>
      <x:c r="R3820" s="30" t="str">
        <x:v>Фото-сводка ответов + независимое решение</x:v>
      </x:c>
      <x:c r="S3820" s="30"/>
      <x:c r="T3820" s="30"/>
      <x:c r="U3820" s="30" t="str">
        <x:v>Расхождений не обнаружено.</x:v>
      </x:c>
      <x:c r="V3820" s="87" t="str">
        <x:v>VERIFIED</x:v>
      </x:c>
      <x:c r="W3820" s="87" t="str">
        <x:v>Zadanie_KhI11_06112025_.pdf, вариантная стр. 3</x:v>
      </x:c>
      <x:c r="X3820" s="87"/>
      <x:c r="Y3820" s="87"/>
      <x:c r="Z3820" s="87"/>
      <x:c r="AA3820" s="87"/>
      <x:c r="AB3820" s="87"/>
      <x:c r="AC3820" s="87" t="str">
        <x:v>VIS-CHEM-NOV-047</x:v>
      </x:c>
      <x:c r="AD3820" s="87"/>
      <x:c r="AE3820" s="87"/>
      <x:c r="AF3820" s="87" t="str">
        <x:v>VIS-CHEM-NOV-047: 19</x:v>
      </x:c>
      <x:c r="AG3820" s="87" t="str">
        <x:v>RESOLVED</x:v>
      </x:c>
      <x:c r="AH3820" s="87" t="str">
        <x:v>CROP_VERIFIED</x:v>
      </x:c>
      <x:c r="AI3820" s="30"/>
      <x:c r="AJ3820" s="87" t="str">
        <x:v>master</x:v>
      </x:c>
      <x:c r="AK3820" s="87" t="str">
        <x:v>master-v0.81</x:v>
      </x:c>
      <x:c r="AL3820" s="87" t="str">
        <x:v>statgrad_master_base_v0_81_final(2).xlsx</x:v>
      </x:c>
      <x:c r="AM3820" s="87" t="str">
        <x:v>CHEM_Nov_V4</x:v>
      </x:c>
      <x:c r="AN3820" s="87" t="n">
        <x:v>5</x:v>
      </x:c>
    </x:row>
    <x:row r="3821">
      <x:c r="A3821" s="87" t="n">
        <x:v>3820</x:v>
      </x:c>
      <x:c r="B3821" s="87" t="str">
        <x:v>NOV-CHEM-V4-005</x:v>
      </x:c>
      <x:c r="C3821" s="87" t="str">
        <x:v>СтатГрад</x:v>
      </x:c>
      <x:c r="D3821" s="87" t="str">
        <x:v>Ноябрь 2025</x:v>
      </x:c>
      <x:c r="E3821" s="87"/>
      <x:c r="F3821" s="87"/>
      <x:c r="G3821" s="87" t="str">
        <x:v>Химия</x:v>
      </x:c>
      <x:c r="H3821" s="87" t="n">
        <x:v>11</x:v>
      </x:c>
      <x:c r="I3821" s="87" t="str">
        <x:v>ТР №2</x:v>
      </x:c>
      <x:c r="J3821" s="87" t="str">
        <x:v>ХИ2510204</x:v>
      </x:c>
      <x:c r="K3821" s="87" t="n">
        <x:v>5</x:v>
      </x:c>
      <x:c r="L3821" s="87" t="str">
        <x:v>Классификация неорганических веществ</x:v>
      </x:c>
      <x:c r="M3821" s="30" t="str">
        <x:v>5   Среди предложенных формул веществ, расположенных в пронумерованных
    ячейках, выберите формулы:
    А) основного оксида;
    Б) одноосновной кислоты;
    В) смешанной соли.
             1                  2                        3
                  H 4 P2O 7                NaH                         HClO 4
             4                  5                        6
                  NH 4 NO 3               H 3 PO 3                     MnO 2
             7                  8                        9
                   MgO                  Al(ClO 4 ) 3                Ca 5 (PO 4 ) 3 F
    Запишите в таблицу номера ячеек, в которых расположены выбранные
    вещества, под соответствующими буквами.
                 А Б    В
    Ответ:</x:v>
      </x:c>
      <x:c r="N3821" s="30" t="str">
        <x:v>739</x:v>
      </x:c>
      <x:c r="O3821" s="30" t="str">
        <x:v>Выбраны позиции 739; выбор подтверждён разбором каждого предложенного вещества или элемента.</x:v>
      </x:c>
      <x:c r="P3821" s="30" t="str">
        <x:v>Каждая формула классифицирована по составу и химическому классу.</x:v>
      </x:c>
      <x:c r="Q3821" s="30"/>
      <x:c r="R3821" s="30" t="str">
        <x:v>Фото-сводка ответов + независимое решение</x:v>
      </x:c>
      <x:c r="S3821" s="30"/>
      <x:c r="T3821" s="30"/>
      <x:c r="U3821" s="30" t="str">
        <x:v>Расхождений не обнаружено.</x:v>
      </x:c>
      <x:c r="V3821" s="87" t="str">
        <x:v>VERIFIED</x:v>
      </x:c>
      <x:c r="W3821" s="87" t="str">
        <x:v>Zadanie_KhI11_06112025_.pdf, вариантная стр. 3</x:v>
      </x:c>
      <x:c r="X3821" s="87"/>
      <x:c r="Y3821" s="87"/>
      <x:c r="Z3821" s="87"/>
      <x:c r="AA3821" s="87"/>
      <x:c r="AB3821" s="87"/>
      <x:c r="AC3821" s="87" t="str">
        <x:v>VIS-CHEM-NOV-047</x:v>
      </x:c>
      <x:c r="AD3821" s="87"/>
      <x:c r="AE3821" s="87"/>
      <x:c r="AF3821" s="87" t="str">
        <x:v>VIS-CHEM-NOV-047: 19</x:v>
      </x:c>
      <x:c r="AG3821" s="87" t="str">
        <x:v>RESOLVED</x:v>
      </x:c>
      <x:c r="AH3821" s="87" t="str">
        <x:v>CROP_VERIFIED</x:v>
      </x:c>
      <x:c r="AI3821" s="30"/>
      <x:c r="AJ3821" s="87" t="str">
        <x:v>master</x:v>
      </x:c>
      <x:c r="AK3821" s="87" t="str">
        <x:v>master-v0.81</x:v>
      </x:c>
      <x:c r="AL3821" s="87" t="str">
        <x:v>statgrad_master_base_v0_81_final(2).xlsx</x:v>
      </x:c>
      <x:c r="AM3821" s="87" t="str">
        <x:v>CHEM_Nov_V4</x:v>
      </x:c>
      <x:c r="AN3821" s="87" t="n">
        <x:v>6</x:v>
      </x:c>
    </x:row>
    <x:row r="3822">
      <x:c r="A3822" s="87" t="n">
        <x:v>3821</x:v>
      </x:c>
      <x:c r="B3822" s="87" t="str">
        <x:v>NOV-CHEM-V4-006</x:v>
      </x:c>
      <x:c r="C3822" s="87" t="str">
        <x:v>СтатГрад</x:v>
      </x:c>
      <x:c r="D3822" s="87" t="str">
        <x:v>Ноябрь 2025</x:v>
      </x:c>
      <x:c r="E3822" s="87"/>
      <x:c r="F3822" s="87"/>
      <x:c r="G3822" s="87" t="str">
        <x:v>Химия</x:v>
      </x:c>
      <x:c r="H3822" s="87" t="n">
        <x:v>11</x:v>
      </x:c>
      <x:c r="I3822" s="87" t="str">
        <x:v>ТР №2</x:v>
      </x:c>
      <x:c r="J3822" s="87" t="str">
        <x:v>ХИ2510204</x:v>
      </x:c>
      <x:c r="K3822" s="87" t="n">
        <x:v>6</x:v>
      </x:c>
      <x:c r="L3822" s="87" t="str">
        <x:v>Качественные реакции</x:v>
      </x:c>
      <x:c r="M3822" s="30" t="str">
        <x:v>6   В двух пробирках находился раствор хлорида меди(II). В первую пробирку
    добавили избыток раствора вещества Х, а во вторую – раствор вещества Y.
    В первой пробирке выпал осадок, который при добавлении избытка X
    растворился, а раствор приобрёл тёмно-синий цвет. Во второй пробирке
    образовался тёмный осадок. Газ не выделялся ни в одной из пробирок.
    Из предложенного перечня выберите вещества X и Y, которые могут
    вступать в описанные реакции.
    1) HCl
    2) NH 3
    3) (NH 4 ) 2 S
    4) Na 2 CO 3
    5) NaOH
    Запишите в таблицу номера выбранных веществ под соответствующими
    буквами.
                     X         Y
    Ответ:</x:v>
      </x:c>
      <x:c r="N3822" s="30" t="str">
        <x:v>X=2; Y=3</x:v>
      </x:c>
      <x:c r="O3822" s="30" t="str">
        <x:v>По условию получено: X=2; Y=3. Оба неизвестных определены совместно, а не подбором по ключу.</x:v>
      </x:c>
      <x:c r="P3822" s="30" t="str">
        <x:v>Для X и Y записаны возможные реакции и сопоставлены наблюдаемые признаки.</x:v>
      </x:c>
      <x:c r="Q3822" s="30"/>
      <x:c r="R3822" s="30" t="str">
        <x:v>Фото-сводка ответов + независимое решение</x:v>
      </x:c>
      <x:c r="S3822" s="30"/>
      <x:c r="T3822" s="30"/>
      <x:c r="U3822" s="30" t="str">
        <x:v>Расхождений не обнаружено.</x:v>
      </x:c>
      <x:c r="V3822" s="87" t="str">
        <x:v>VERIFIED</x:v>
      </x:c>
      <x:c r="W3822" s="87" t="str">
        <x:v>Zadanie_KhI11_06112025_.pdf, вариантная стр. 4</x:v>
      </x:c>
      <x:c r="X3822" s="87"/>
      <x:c r="Y3822" s="87"/>
      <x:c r="Z3822" s="87"/>
      <x:c r="AA3822" s="87"/>
      <x:c r="AB3822" s="87"/>
      <x:c r="AC3822" s="87" t="str">
        <x:v>VIS-CHEM-NOV-048</x:v>
      </x:c>
      <x:c r="AD3822" s="87"/>
      <x:c r="AE3822" s="87"/>
      <x:c r="AF3822" s="87" t="str">
        <x:v>VIS-CHEM-NOV-048: 20</x:v>
      </x:c>
      <x:c r="AG3822" s="87" t="str">
        <x:v>RESOLVED</x:v>
      </x:c>
      <x:c r="AH3822" s="87" t="str">
        <x:v>CROP_VERIFIED</x:v>
      </x:c>
      <x:c r="AI3822" s="30"/>
      <x:c r="AJ3822" s="87" t="str">
        <x:v>master</x:v>
      </x:c>
      <x:c r="AK3822" s="87" t="str">
        <x:v>master-v0.81</x:v>
      </x:c>
      <x:c r="AL3822" s="87" t="str">
        <x:v>statgrad_master_base_v0_81_final(2).xlsx</x:v>
      </x:c>
      <x:c r="AM3822" s="87" t="str">
        <x:v>CHEM_Nov_V4</x:v>
      </x:c>
      <x:c r="AN3822" s="87" t="n">
        <x:v>7</x:v>
      </x:c>
    </x:row>
    <x:row r="3823">
      <x:c r="A3823" s="87" t="n">
        <x:v>3822</x:v>
      </x:c>
      <x:c r="B3823" s="87" t="str">
        <x:v>NOV-CHEM-V4-007</x:v>
      </x:c>
      <x:c r="C3823" s="87" t="str">
        <x:v>СтатГрад</x:v>
      </x:c>
      <x:c r="D3823" s="87" t="str">
        <x:v>Ноябрь 2025</x:v>
      </x:c>
      <x:c r="E3823" s="87"/>
      <x:c r="F3823" s="87"/>
      <x:c r="G3823" s="87" t="str">
        <x:v>Химия</x:v>
      </x:c>
      <x:c r="H3823" s="87" t="n">
        <x:v>11</x:v>
      </x:c>
      <x:c r="I3823" s="87" t="str">
        <x:v>ТР №2</x:v>
      </x:c>
      <x:c r="J3823" s="87" t="str">
        <x:v>ХИ2510204</x:v>
      </x:c>
      <x:c r="K3823" s="87" t="n">
        <x:v>7</x:v>
      </x:c>
      <x:c r="L3823" s="87" t="str">
        <x:v>Неорганические свойства: соответствие</x:v>
      </x:c>
      <x:c r="M3823" s="30" t="str">
        <x:v>7   Установите соответствие между веществом и реагентами, с каждым из
    которых это вещество может взаимодействовать: к каждой позиции,
    обозначенной буквой, подберите соответствующую позицию, обозначенную
    цифрой.
                         ВЕЩЕСТВО                                   РЕАГЕНТЫ
    А) Zn                                                 1) KOH, Cu, NH 3
    Б) CuO                                                2) HCl, ZnSO 4 , Br 2
    В) H 2 SO 4                                           3) H 2 , CO, HNO 3
    Г) Na 2 S                                             4) HCl, NaOH, S
                                                          5) CO 2 , KBr, AgNO 3
    Запишите в таблицу выбранные цифры под соответствующими буквами.
                  А Б В Г
    Ответ:</x:v>
      </x:c>
      <x:c r="N3823" s="30" t="str">
        <x:v>4312</x:v>
      </x:c>
      <x:c r="O3823" s="30" t="str">
        <x:v>Последовательность 4312 задаёт соответствия позициям задания; каждое соответствие проверено отдельно.</x:v>
      </x:c>
      <x:c r="P3823" s="30" t="str">
        <x:v>Для каждой позиции проверена реакционная способность со всеми указанными реагентами.</x:v>
      </x:c>
      <x:c r="Q3823" s="30"/>
      <x:c r="R3823" s="30" t="str">
        <x:v>Таблица ответов PDF + независимое решение</x:v>
      </x:c>
      <x:c r="S3823" s="30"/>
      <x:c r="T3823" s="30"/>
      <x:c r="U3823" s="30" t="str">
        <x:v>Расхождений не обнаружено.</x:v>
      </x:c>
      <x:c r="V3823" s="87" t="str">
        <x:v>VERIFIED</x:v>
      </x:c>
      <x:c r="W3823" s="87" t="str">
        <x:v>Zadanie_KhI11_06112025_.pdf, вариантная стр. 4</x:v>
      </x:c>
      <x:c r="X3823" s="87"/>
      <x:c r="Y3823" s="87"/>
      <x:c r="Z3823" s="87"/>
      <x:c r="AA3823" s="87"/>
      <x:c r="AB3823" s="87"/>
      <x:c r="AC3823" s="87" t="str">
        <x:v>VIS-CHEM-NOV-048</x:v>
      </x:c>
      <x:c r="AD3823" s="87"/>
      <x:c r="AE3823" s="87"/>
      <x:c r="AF3823" s="87" t="str">
        <x:v>VIS-CHEM-NOV-048: 20</x:v>
      </x:c>
      <x:c r="AG3823" s="87" t="str">
        <x:v>RESOLVED</x:v>
      </x:c>
      <x:c r="AH3823" s="87" t="str">
        <x:v>CROP_VERIFIED</x:v>
      </x:c>
      <x:c r="AI3823" s="30"/>
      <x:c r="AJ3823" s="87" t="str">
        <x:v>master</x:v>
      </x:c>
      <x:c r="AK3823" s="87" t="str">
        <x:v>master-v0.81</x:v>
      </x:c>
      <x:c r="AL3823" s="87" t="str">
        <x:v>statgrad_master_base_v0_81_final(2).xlsx</x:v>
      </x:c>
      <x:c r="AM3823" s="87" t="str">
        <x:v>CHEM_Nov_V4</x:v>
      </x:c>
      <x:c r="AN3823" s="87" t="n">
        <x:v>8</x:v>
      </x:c>
    </x:row>
    <x:row r="3824">
      <x:c r="A3824" s="87" t="n">
        <x:v>3823</x:v>
      </x:c>
      <x:c r="B3824" s="87" t="str">
        <x:v>NOV-CHEM-V4-008</x:v>
      </x:c>
      <x:c r="C3824" s="87" t="str">
        <x:v>СтатГрад</x:v>
      </x:c>
      <x:c r="D3824" s="87" t="str">
        <x:v>Ноябрь 2025</x:v>
      </x:c>
      <x:c r="E3824" s="87"/>
      <x:c r="F3824" s="87"/>
      <x:c r="G3824" s="87" t="str">
        <x:v>Химия</x:v>
      </x:c>
      <x:c r="H3824" s="87" t="n">
        <x:v>11</x:v>
      </x:c>
      <x:c r="I3824" s="87" t="str">
        <x:v>ТР №2</x:v>
      </x:c>
      <x:c r="J3824" s="87" t="str">
        <x:v>ХИ2510204</x:v>
      </x:c>
      <x:c r="K3824" s="87" t="n">
        <x:v>8</x:v>
      </x:c>
      <x:c r="L3824" s="87" t="str">
        <x:v>Неорганические реакции: продукты</x:v>
      </x:c>
      <x:c r="M3824" s="30" t="str">
        <x:v>8   Установите соответствие между исходными веществами, вступающими
    в реакцию, и продуктами этой реакции: к каждой позиции, обозначенной
    буквой, подберите соответствующую позицию, обозначенную цифрой.
             ИСХОДНЫЕ ВЕЩЕСТВА                               ПРОДУКТЫ РЕАКЦИИ
    А) ZnS + O 2                                          1) SO 2 + H 2 O
    Б) Zn + H 2 SO 4                                      2) SO 2 + H 2
    В) ZnS + H 2 SO 4                                     3) ZnSO 4
    Г) S + H 2 SO 4                                       4) ZnO + SO 2
                                                          5) ZnSO 4 + H 2
                                                          6) ZnSO 4 + H 2 S
    Запишите в таблицу выбранные цифры под соответствующими буквами.
               А Б В Г
    Ответ:</x:v>
      </x:c>
      <x:c r="N3824" s="30" t="str">
        <x:v>4561</x:v>
      </x:c>
      <x:c r="O3824" s="30" t="str">
        <x:v>Последовательность 4561 задаёт соответствия позициям задания; каждое соответствие проверено отдельно.</x:v>
      </x:c>
      <x:c r="P3824" s="30" t="str">
        <x:v>Уравнения реакций восстановлены и продукты сопоставлены с вариантами ответа.</x:v>
      </x:c>
      <x:c r="Q3824" s="30"/>
      <x:c r="R3824" s="30" t="str">
        <x:v>Таблица ответов PDF + независимое решение</x:v>
      </x:c>
      <x:c r="S3824" s="30"/>
      <x:c r="T3824" s="30"/>
      <x:c r="U3824" s="30" t="str">
        <x:v>Расхождений не обнаружено.</x:v>
      </x:c>
      <x:c r="V3824" s="87" t="str">
        <x:v>VERIFIED</x:v>
      </x:c>
      <x:c r="W3824" s="87" t="str">
        <x:v>Zadanie_KhI11_06112025_.pdf, вариантная стр. 5</x:v>
      </x:c>
      <x:c r="X3824" s="87"/>
      <x:c r="Y3824" s="87"/>
      <x:c r="Z3824" s="87"/>
      <x:c r="AA3824" s="87"/>
      <x:c r="AB3824" s="87"/>
      <x:c r="AC3824" s="87" t="str">
        <x:v>VIS-CHEM-NOV-049</x:v>
      </x:c>
      <x:c r="AD3824" s="87"/>
      <x:c r="AE3824" s="87"/>
      <x:c r="AF3824" s="87" t="str">
        <x:v>VIS-CHEM-NOV-049: 21</x:v>
      </x:c>
      <x:c r="AG3824" s="87" t="str">
        <x:v>RESOLVED</x:v>
      </x:c>
      <x:c r="AH3824" s="87" t="str">
        <x:v>CROP_VERIFIED</x:v>
      </x:c>
      <x:c r="AI3824" s="30"/>
      <x:c r="AJ3824" s="87" t="str">
        <x:v>master</x:v>
      </x:c>
      <x:c r="AK3824" s="87" t="str">
        <x:v>master-v0.81</x:v>
      </x:c>
      <x:c r="AL3824" s="87" t="str">
        <x:v>statgrad_master_base_v0_81_final(2).xlsx</x:v>
      </x:c>
      <x:c r="AM3824" s="87" t="str">
        <x:v>CHEM_Nov_V4</x:v>
      </x:c>
      <x:c r="AN3824" s="87" t="n">
        <x:v>9</x:v>
      </x:c>
    </x:row>
    <x:row r="3825">
      <x:c r="A3825" s="87" t="n">
        <x:v>3824</x:v>
      </x:c>
      <x:c r="B3825" s="87" t="str">
        <x:v>NOV-CHEM-V4-009</x:v>
      </x:c>
      <x:c r="C3825" s="87" t="str">
        <x:v>СтатГрад</x:v>
      </x:c>
      <x:c r="D3825" s="87" t="str">
        <x:v>Ноябрь 2025</x:v>
      </x:c>
      <x:c r="E3825" s="87"/>
      <x:c r="F3825" s="87"/>
      <x:c r="G3825" s="87" t="str">
        <x:v>Химия</x:v>
      </x:c>
      <x:c r="H3825" s="87" t="n">
        <x:v>11</x:v>
      </x:c>
      <x:c r="I3825" s="87" t="str">
        <x:v>ТР №2</x:v>
      </x:c>
      <x:c r="J3825" s="87" t="str">
        <x:v>ХИ2510204</x:v>
      </x:c>
      <x:c r="K3825" s="87" t="n">
        <x:v>9</x:v>
      </x:c>
      <x:c r="L3825" s="87" t="str">
        <x:v>Цепочка превращений</x:v>
      </x:c>
      <x:c r="M3825" s="30" t="str">
        <x:v>9   Задана схема превращений веществ:
                                X, t       NaOH, H 2 O
                       P 2 O 5   → P 4       → PH 3 + Y
    Определите, какие из указанных веществ являются веществами X и Y.
    1) C
    2) CO 2
    3) Na 3 P
    4) NaH 2 PO 2
    5) Na 3 PO 4
    Запишите в таблицу номера выбранных веществ под соответствующими
    буквами.
                 X             Y
    Ответ:</x:v>
      </x:c>
      <x:c r="N3825" s="30" t="str">
        <x:v>14</x:v>
      </x:c>
      <x:c r="O3825" s="30" t="str">
        <x:v>Выбраны позиции 14; выбор подтверждён разбором каждого предложенного вещества или элемента.</x:v>
      </x:c>
      <x:c r="P3825" s="30" t="str">
        <x:v>Промежуточные вещества X и Y установлены по последовательности превращений.</x:v>
      </x:c>
      <x:c r="Q3825" s="30"/>
      <x:c r="R3825" s="30" t="str">
        <x:v>Фото-сводка ответов + независимое решение</x:v>
      </x:c>
      <x:c r="S3825" s="30"/>
      <x:c r="T3825" s="30"/>
      <x:c r="U3825" s="30" t="str">
        <x:v>Расхождений не обнаружено.</x:v>
      </x:c>
      <x:c r="V3825" s="87" t="str">
        <x:v>VERIFIED</x:v>
      </x:c>
      <x:c r="W3825" s="87" t="str">
        <x:v>Zadanie_KhI11_06112025_.pdf, вариантная стр. 5</x:v>
      </x:c>
      <x:c r="X3825" s="87"/>
      <x:c r="Y3825" s="87"/>
      <x:c r="Z3825" s="87"/>
      <x:c r="AA3825" s="87"/>
      <x:c r="AB3825" s="87"/>
      <x:c r="AC3825" s="87" t="str">
        <x:v>VIS-CHEM-NOV-049</x:v>
      </x:c>
      <x:c r="AD3825" s="87"/>
      <x:c r="AE3825" s="87"/>
      <x:c r="AF3825" s="87" t="str">
        <x:v>VIS-CHEM-NOV-049: 21</x:v>
      </x:c>
      <x:c r="AG3825" s="87" t="str">
        <x:v>RESOLVED</x:v>
      </x:c>
      <x:c r="AH3825" s="87" t="str">
        <x:v>CROP_VERIFIED</x:v>
      </x:c>
      <x:c r="AI3825" s="30"/>
      <x:c r="AJ3825" s="87" t="str">
        <x:v>master</x:v>
      </x:c>
      <x:c r="AK3825" s="87" t="str">
        <x:v>master-v0.81</x:v>
      </x:c>
      <x:c r="AL3825" s="87" t="str">
        <x:v>statgrad_master_base_v0_81_final(2).xlsx</x:v>
      </x:c>
      <x:c r="AM3825" s="87" t="str">
        <x:v>CHEM_Nov_V4</x:v>
      </x:c>
      <x:c r="AN3825" s="87" t="n">
        <x:v>10</x:v>
      </x:c>
    </x:row>
    <x:row r="3826">
      <x:c r="A3826" s="87" t="n">
        <x:v>3825</x:v>
      </x:c>
      <x:c r="B3826" s="87" t="str">
        <x:v>NOV-CHEM-V4-010</x:v>
      </x:c>
      <x:c r="C3826" s="87" t="str">
        <x:v>СтатГрад</x:v>
      </x:c>
      <x:c r="D3826" s="87" t="str">
        <x:v>Ноябрь 2025</x:v>
      </x:c>
      <x:c r="E3826" s="87"/>
      <x:c r="F3826" s="87"/>
      <x:c r="G3826" s="87" t="str">
        <x:v>Химия</x:v>
      </x:c>
      <x:c r="H3826" s="87" t="n">
        <x:v>11</x:v>
      </x:c>
      <x:c r="I3826" s="87" t="str">
        <x:v>ТР №2</x:v>
      </x:c>
      <x:c r="J3826" s="87" t="str">
        <x:v>ХИ2510204</x:v>
      </x:c>
      <x:c r="K3826" s="87" t="n">
        <x:v>10</x:v>
      </x:c>
      <x:c r="L3826" s="87" t="str">
        <x:v>Классы органических веществ</x:v>
      </x:c>
      <x:c r="M3826" s="30" t="str">
        <x:v>10   Установите соответствие между общей формулой класса органических
     веществ и веществом, которое принадлежит к этому классу: к каждой
     позиции, обозначенной буквой, подберите соответствующую позицию,
     обозначенную цифрой.
                    ОБЩАЯ ФОРМУЛА                                  ВЕЩЕСТВО
     А) C n H 2n–5 N                                       1) триметиламин
     Б) C n H 2n+3 N                                       2) аминоуксусная кислота
     В) C n H 2n+1 NO 2                                    3) анилин
                                                           4) нитробензол
     Запишите в таблицу выбранные цифры под соответствующими буквами.
                А Б В
     Ответ:</x:v>
      </x:c>
      <x:c r="N3826" s="30" t="str">
        <x:v>312</x:v>
      </x:c>
      <x:c r="O3826" s="30" t="str">
        <x:v>Последовательность 312 задаёт соответствия позициям задания; каждое соответствие проверено отдельно.</x:v>
      </x:c>
      <x:c r="P3826" s="30" t="str">
        <x:v>Формулы классов сопоставлены со строением предложенных соединений.</x:v>
      </x:c>
      <x:c r="Q3826" s="30"/>
      <x:c r="R3826" s="30" t="str">
        <x:v>Фото-сводка ответов + независимое решение</x:v>
      </x:c>
      <x:c r="S3826" s="30"/>
      <x:c r="T3826" s="30"/>
      <x:c r="U3826" s="30" t="str">
        <x:v>Расхождений не обнаружено.</x:v>
      </x:c>
      <x:c r="V3826" s="87" t="str">
        <x:v>VERIFIED</x:v>
      </x:c>
      <x:c r="W3826" s="87" t="str">
        <x:v>Zadanie_KhI11_06112025_.pdf, вариантная стр. 6</x:v>
      </x:c>
      <x:c r="X3826" s="87"/>
      <x:c r="Y3826" s="87"/>
      <x:c r="Z3826" s="87"/>
      <x:c r="AA3826" s="87"/>
      <x:c r="AB3826" s="87"/>
      <x:c r="AC3826" s="87" t="str">
        <x:v>VIS-CHEM-NOV-050</x:v>
      </x:c>
      <x:c r="AD3826" s="87"/>
      <x:c r="AE3826" s="87"/>
      <x:c r="AF3826" s="87" t="str">
        <x:v>VIS-CHEM-NOV-050: 22</x:v>
      </x:c>
      <x:c r="AG3826" s="87" t="str">
        <x:v>RESOLVED</x:v>
      </x:c>
      <x:c r="AH3826" s="87" t="str">
        <x:v>CROP_VERIFIED</x:v>
      </x:c>
      <x:c r="AI3826" s="30"/>
      <x:c r="AJ3826" s="87" t="str">
        <x:v>master</x:v>
      </x:c>
      <x:c r="AK3826" s="87" t="str">
        <x:v>master-v0.81</x:v>
      </x:c>
      <x:c r="AL3826" s="87" t="str">
        <x:v>statgrad_master_base_v0_81_final(2).xlsx</x:v>
      </x:c>
      <x:c r="AM3826" s="87" t="str">
        <x:v>CHEM_Nov_V4</x:v>
      </x:c>
      <x:c r="AN3826" s="87" t="n">
        <x:v>11</x:v>
      </x:c>
    </x:row>
    <x:row r="3827">
      <x:c r="A3827" s="87" t="n">
        <x:v>3826</x:v>
      </x:c>
      <x:c r="B3827" s="87" t="str">
        <x:v>NOV-CHEM-V4-011</x:v>
      </x:c>
      <x:c r="C3827" s="87" t="str">
        <x:v>СтатГрад</x:v>
      </x:c>
      <x:c r="D3827" s="87" t="str">
        <x:v>Ноябрь 2025</x:v>
      </x:c>
      <x:c r="E3827" s="87"/>
      <x:c r="F3827" s="87"/>
      <x:c r="G3827" s="87" t="str">
        <x:v>Химия</x:v>
      </x:c>
      <x:c r="H3827" s="87" t="n">
        <x:v>11</x:v>
      </x:c>
      <x:c r="I3827" s="87" t="str">
        <x:v>ТР №2</x:v>
      </x:c>
      <x:c r="J3827" s="87" t="str">
        <x:v>ХИ2510204</x:v>
      </x:c>
      <x:c r="K3827" s="87" t="n">
        <x:v>11</x:v>
      </x:c>
      <x:c r="L3827" s="87" t="str">
        <x:v>Гибридизация атомов углерода</x:v>
      </x:c>
      <x:c r="M3827" s="30" t="str">
        <x:v>11   Из предложенного перечня выберите два вещества, в которых все атомы
     углерода находятся в состоянии sp2-гибридизации.
     1) бутадиен-1,3
     2) циклогексен
     3) пропен
     4) пропин
     5) винилбензол (стирол)
     Запишите номера выбранных ответов.
     Ответ:</x:v>
      </x:c>
      <x:c r="N3827" s="30" t="str">
        <x:v>15</x:v>
      </x:c>
      <x:c r="O3827" s="30" t="str">
        <x:v>Выбраны позиции 15; выбор подтверждён разбором каждого предложенного вещества или элемента.</x:v>
      </x:c>
      <x:c r="P3827" s="30" t="str">
        <x:v>Гибридизация каждого атома углерода определена по числу σ-связей и кратных связей.</x:v>
      </x:c>
      <x:c r="Q3827" s="30"/>
      <x:c r="R3827" s="30" t="str">
        <x:v>Фото-сводка ответов + независимое решение</x:v>
      </x:c>
      <x:c r="S3827" s="30"/>
      <x:c r="T3827" s="30"/>
      <x:c r="U3827" s="30" t="str">
        <x:v>Расхождений не обнаружено.</x:v>
      </x:c>
      <x:c r="V3827" s="87" t="str">
        <x:v>VERIFIED</x:v>
      </x:c>
      <x:c r="W3827" s="87" t="str">
        <x:v>Zadanie_KhI11_06112025_.pdf, вариантная стр. 6</x:v>
      </x:c>
      <x:c r="X3827" s="87"/>
      <x:c r="Y3827" s="87"/>
      <x:c r="Z3827" s="87"/>
      <x:c r="AA3827" s="87"/>
      <x:c r="AB3827" s="87"/>
      <x:c r="AC3827" s="87" t="str">
        <x:v>VIS-CHEM-NOV-050</x:v>
      </x:c>
      <x:c r="AD3827" s="87"/>
      <x:c r="AE3827" s="87"/>
      <x:c r="AF3827" s="87" t="str">
        <x:v>VIS-CHEM-NOV-050: 22</x:v>
      </x:c>
      <x:c r="AG3827" s="87" t="str">
        <x:v>RESOLVED</x:v>
      </x:c>
      <x:c r="AH3827" s="87" t="str">
        <x:v>CROP_VERIFIED</x:v>
      </x:c>
      <x:c r="AI3827" s="30"/>
      <x:c r="AJ3827" s="87" t="str">
        <x:v>master</x:v>
      </x:c>
      <x:c r="AK3827" s="87" t="str">
        <x:v>master-v0.81</x:v>
      </x:c>
      <x:c r="AL3827" s="87" t="str">
        <x:v>statgrad_master_base_v0_81_final(2).xlsx</x:v>
      </x:c>
      <x:c r="AM3827" s="87" t="str">
        <x:v>CHEM_Nov_V4</x:v>
      </x:c>
      <x:c r="AN3827" s="87" t="n">
        <x:v>12</x:v>
      </x:c>
    </x:row>
    <x:row r="3828">
      <x:c r="A3828" s="87" t="n">
        <x:v>3827</x:v>
      </x:c>
      <x:c r="B3828" s="87" t="str">
        <x:v>NOV-CHEM-V4-012</x:v>
      </x:c>
      <x:c r="C3828" s="87" t="str">
        <x:v>СтатГрад</x:v>
      </x:c>
      <x:c r="D3828" s="87" t="str">
        <x:v>Ноябрь 2025</x:v>
      </x:c>
      <x:c r="E3828" s="87"/>
      <x:c r="F3828" s="87"/>
      <x:c r="G3828" s="87" t="str">
        <x:v>Химия</x:v>
      </x:c>
      <x:c r="H3828" s="87" t="n">
        <x:v>11</x:v>
      </x:c>
      <x:c r="I3828" s="87" t="str">
        <x:v>ТР №2</x:v>
      </x:c>
      <x:c r="J3828" s="87" t="str">
        <x:v>ХИ2510204</x:v>
      </x:c>
      <x:c r="K3828" s="87" t="n">
        <x:v>12</x:v>
      </x:c>
      <x:c r="L3828" s="87" t="str">
        <x:v>Гидролиз органических веществ</x:v>
      </x:c>
      <x:c r="M3828" s="30" t="str">
        <x:v>12   Из предложенного перечня выберите все вещества, при гидролизе которых
     в кислой среде образуется уксусная кислота.
     1) CH 3 CN
     2) CH 3 OC 2 H 5
     3) CH 3 CHCl 2
     4) CH 3 C(O)Cl
     5) CH 3 COOC 2 H 5
     Запишите номера выбранных ответов.
     Ответ: ___________________________.</x:v>
      </x:c>
      <x:c r="N3828" s="30" t="str">
        <x:v>145</x:v>
      </x:c>
      <x:c r="O3828" s="30" t="str">
        <x:v>Выбраны позиции 145; выбор подтверждён разбором каждого предложенного вещества или элемента.</x:v>
      </x:c>
      <x:c r="P3828" s="30" t="str">
        <x:v>Продукты гидролиза каждого вещества проверены уравнениями реакций.</x:v>
      </x:c>
      <x:c r="Q3828" s="30"/>
      <x:c r="R3828" s="30" t="str">
        <x:v>Таблица ответов PDF + независимое решение</x:v>
      </x:c>
      <x:c r="S3828" s="30"/>
      <x:c r="T3828" s="30"/>
      <x:c r="U3828" s="30" t="str">
        <x:v>Расхождений не обнаружено.</x:v>
      </x:c>
      <x:c r="V3828" s="87" t="str">
        <x:v>VERIFIED</x:v>
      </x:c>
      <x:c r="W3828" s="87" t="str">
        <x:v>Zadanie_KhI11_06112025_.pdf, вариантная стр. 6</x:v>
      </x:c>
      <x:c r="X3828" s="87"/>
      <x:c r="Y3828" s="87"/>
      <x:c r="Z3828" s="87"/>
      <x:c r="AA3828" s="87"/>
      <x:c r="AB3828" s="87"/>
      <x:c r="AC3828" s="87" t="str">
        <x:v>VIS-CHEM-NOV-050</x:v>
      </x:c>
      <x:c r="AD3828" s="87"/>
      <x:c r="AE3828" s="87"/>
      <x:c r="AF3828" s="87" t="str">
        <x:v>VIS-CHEM-NOV-050: 22</x:v>
      </x:c>
      <x:c r="AG3828" s="87" t="str">
        <x:v>RESOLVED</x:v>
      </x:c>
      <x:c r="AH3828" s="87" t="str">
        <x:v>CROP_VERIFIED</x:v>
      </x:c>
      <x:c r="AI3828" s="30"/>
      <x:c r="AJ3828" s="87" t="str">
        <x:v>master</x:v>
      </x:c>
      <x:c r="AK3828" s="87" t="str">
        <x:v>master-v0.81</x:v>
      </x:c>
      <x:c r="AL3828" s="87" t="str">
        <x:v>statgrad_master_base_v0_81_final(2).xlsx</x:v>
      </x:c>
      <x:c r="AM3828" s="87" t="str">
        <x:v>CHEM_Nov_V4</x:v>
      </x:c>
      <x:c r="AN3828" s="87" t="n">
        <x:v>13</x:v>
      </x:c>
    </x:row>
    <x:row r="3829">
      <x:c r="A3829" s="87" t="n">
        <x:v>3828</x:v>
      </x:c>
      <x:c r="B3829" s="87" t="str">
        <x:v>NOV-CHEM-V4-013</x:v>
      </x:c>
      <x:c r="C3829" s="87" t="str">
        <x:v>СтатГрад</x:v>
      </x:c>
      <x:c r="D3829" s="87" t="str">
        <x:v>Ноябрь 2025</x:v>
      </x:c>
      <x:c r="E3829" s="87"/>
      <x:c r="F3829" s="87"/>
      <x:c r="G3829" s="87" t="str">
        <x:v>Химия</x:v>
      </x:c>
      <x:c r="H3829" s="87" t="n">
        <x:v>11</x:v>
      </x:c>
      <x:c r="I3829" s="87" t="str">
        <x:v>ТР №2</x:v>
      </x:c>
      <x:c r="J3829" s="87" t="str">
        <x:v>ХИ2510204</x:v>
      </x:c>
      <x:c r="K3829" s="87" t="n">
        <x:v>13</x:v>
      </x:c>
      <x:c r="L3829" s="87" t="str">
        <x:v>Химические свойства органических веществ</x:v>
      </x:c>
      <x:c r="M3829" s="30" t="str">
        <x:v>13   Из предложенного перечня выберите два вещества, с которыми не реагирует
     трилинолеат глицерина.
     1) гидроксид калия
     2) водород
     3) перманганат калия
     4) углекислый газ
     5) нитрат серебра
     Запишите номера выбранных ответов.
     Ответ:</x:v>
      </x:c>
      <x:c r="N3829" s="30" t="str">
        <x:v>45</x:v>
      </x:c>
      <x:c r="O3829" s="30" t="str">
        <x:v>Выбраны позиции 45; выбор подтверждён разбором каждого предложенного вещества или элемента.</x:v>
      </x:c>
      <x:c r="P3829" s="30" t="str">
        <x:v>Проверены функциональные группы и возможные реакции с каждым реагентом.</x:v>
      </x:c>
      <x:c r="Q3829" s="30"/>
      <x:c r="R3829" s="30" t="str">
        <x:v>Фото-сводка ответов + независимое решение</x:v>
      </x:c>
      <x:c r="S3829" s="30"/>
      <x:c r="T3829" s="30"/>
      <x:c r="U3829" s="30" t="str">
        <x:v>Расхождений не обнаружено.</x:v>
      </x:c>
      <x:c r="V3829" s="87" t="str">
        <x:v>VERIFIED</x:v>
      </x:c>
      <x:c r="W3829" s="87" t="str">
        <x:v>Zadanie_KhI11_06112025_.pdf, вариантная стр. 7</x:v>
      </x:c>
      <x:c r="X3829" s="87"/>
      <x:c r="Y3829" s="87"/>
      <x:c r="Z3829" s="87"/>
      <x:c r="AA3829" s="87"/>
      <x:c r="AB3829" s="87"/>
      <x:c r="AC3829" s="87" t="str">
        <x:v>VIS-CHEM-NOV-051</x:v>
      </x:c>
      <x:c r="AD3829" s="87"/>
      <x:c r="AE3829" s="87"/>
      <x:c r="AF3829" s="87" t="str">
        <x:v>VIS-CHEM-NOV-051: 23</x:v>
      </x:c>
      <x:c r="AG3829" s="87" t="str">
        <x:v>RESOLVED</x:v>
      </x:c>
      <x:c r="AH3829" s="87" t="str">
        <x:v>CROP_VERIFIED</x:v>
      </x:c>
      <x:c r="AI3829" s="30"/>
      <x:c r="AJ3829" s="87" t="str">
        <x:v>master</x:v>
      </x:c>
      <x:c r="AK3829" s="87" t="str">
        <x:v>master-v0.81</x:v>
      </x:c>
      <x:c r="AL3829" s="87" t="str">
        <x:v>statgrad_master_base_v0_81_final(2).xlsx</x:v>
      </x:c>
      <x:c r="AM3829" s="87" t="str">
        <x:v>CHEM_Nov_V4</x:v>
      </x:c>
      <x:c r="AN3829" s="87" t="n">
        <x:v>14</x:v>
      </x:c>
    </x:row>
    <x:row r="3830">
      <x:c r="A3830" s="87" t="n">
        <x:v>3829</x:v>
      </x:c>
      <x:c r="B3830" s="87" t="str">
        <x:v>NOV-CHEM-V4-014</x:v>
      </x:c>
      <x:c r="C3830" s="87" t="str">
        <x:v>СтатГрад</x:v>
      </x:c>
      <x:c r="D3830" s="87" t="str">
        <x:v>Ноябрь 2025</x:v>
      </x:c>
      <x:c r="E3830" s="87"/>
      <x:c r="F3830" s="87"/>
      <x:c r="G3830" s="87" t="str">
        <x:v>Химия</x:v>
      </x:c>
      <x:c r="H3830" s="87" t="n">
        <x:v>11</x:v>
      </x:c>
      <x:c r="I3830" s="87" t="str">
        <x:v>ТР №2</x:v>
      </x:c>
      <x:c r="J3830" s="87" t="str">
        <x:v>ХИ2510204</x:v>
      </x:c>
      <x:c r="K3830" s="87" t="n">
        <x:v>14</x:v>
      </x:c>
      <x:c r="L3830" s="87" t="str">
        <x:v>Органические реакции: продукты</x:v>
      </x:c>
      <x:c r="M3830" s="30" t="str">
        <x:v>14   Установите соответствие между названием вещества и органическим
     продуктом, который преимущественно образуется при его взаимодействии
     с избытком спиртового раствора щёлочи при нагревании: к каждой позиции,
     обозначенной буквой, подберите соответствующую позицию, обозначенную
     цифрой.
              НАЗВАНИЕ ВЕЩЕСТВА                                 ПРОДУКТ РЕАКЦИИ
     А) 1,1-дихлорпропан                                   1)
     Б) хлорциклогексан
     В) 2-хлорпентан                                       2)
     Г) 2-хлор-2-метилбутан
                                                           3) CH 3 –CH=CH 2
                                                           4) CH 3 –CH=CH–CH 2 CH 3
                                                           5) CH3 C CH
                                                           6) CH3 C CH CH3
                                                                       CH3
     Запишите в таблицу выбранные цифры под соответствующими буквами.
                А Б В Г
     Ответ:</x:v>
      </x:c>
      <x:c r="N3830" s="30" t="str">
        <x:v>5246</x:v>
      </x:c>
      <x:c r="O3830" s="30" t="str">
        <x:v>Последовательность 5246 задаёт соответствия позициям задания; каждое соответствие проверено отдельно.</x:v>
      </x:c>
      <x:c r="P3830" s="30" t="str">
        <x:v>Преимущественные продукты определены с учётом механизма и правила Зайцева.</x:v>
      </x:c>
      <x:c r="Q3830" s="30"/>
      <x:c r="R3830" s="30" t="str">
        <x:v>Таблица ответов PDF + независимое решение</x:v>
      </x:c>
      <x:c r="S3830" s="30"/>
      <x:c r="T3830" s="30"/>
      <x:c r="U3830" s="30" t="str">
        <x:v>Расхождений не обнаружено.</x:v>
      </x:c>
      <x:c r="V3830" s="87" t="str">
        <x:v>VERIFIED</x:v>
      </x:c>
      <x:c r="W3830" s="87" t="str">
        <x:v>Zadanie_KhI11_06112025_.pdf, вариантная стр. 7</x:v>
      </x:c>
      <x:c r="X3830" s="87"/>
      <x:c r="Y3830" s="87"/>
      <x:c r="Z3830" s="87"/>
      <x:c r="AA3830" s="87"/>
      <x:c r="AB3830" s="87"/>
      <x:c r="AC3830" s="87" t="str">
        <x:v>VIS-CHEM-NOV-051</x:v>
      </x:c>
      <x:c r="AD3830" s="87"/>
      <x:c r="AE3830" s="87"/>
      <x:c r="AF3830" s="87" t="str">
        <x:v>VIS-CHEM-NOV-051: 23</x:v>
      </x:c>
      <x:c r="AG3830" s="87" t="str">
        <x:v>RESOLVED</x:v>
      </x:c>
      <x:c r="AH3830" s="87" t="str">
        <x:v>CROP_VERIFIED</x:v>
      </x:c>
      <x:c r="AI3830" s="30"/>
      <x:c r="AJ3830" s="87" t="str">
        <x:v>master</x:v>
      </x:c>
      <x:c r="AK3830" s="87" t="str">
        <x:v>master-v0.81</x:v>
      </x:c>
      <x:c r="AL3830" s="87" t="str">
        <x:v>statgrad_master_base_v0_81_final(2).xlsx</x:v>
      </x:c>
      <x:c r="AM3830" s="87" t="str">
        <x:v>CHEM_Nov_V4</x:v>
      </x:c>
      <x:c r="AN3830" s="87" t="n">
        <x:v>15</x:v>
      </x:c>
    </x:row>
    <x:row r="3831">
      <x:c r="A3831" s="87" t="n">
        <x:v>3830</x:v>
      </x:c>
      <x:c r="B3831" s="87" t="str">
        <x:v>NOV-CHEM-V4-015</x:v>
      </x:c>
      <x:c r="C3831" s="87" t="str">
        <x:v>СтатГрад</x:v>
      </x:c>
      <x:c r="D3831" s="87" t="str">
        <x:v>Ноябрь 2025</x:v>
      </x:c>
      <x:c r="E3831" s="87"/>
      <x:c r="F3831" s="87"/>
      <x:c r="G3831" s="87" t="str">
        <x:v>Химия</x:v>
      </x:c>
      <x:c r="H3831" s="87" t="n">
        <x:v>11</x:v>
      </x:c>
      <x:c r="I3831" s="87" t="str">
        <x:v>ТР №2</x:v>
      </x:c>
      <x:c r="J3831" s="87" t="str">
        <x:v>ХИ2510204</x:v>
      </x:c>
      <x:c r="K3831" s="87" t="n">
        <x:v>15</x:v>
      </x:c>
      <x:c r="L3831" s="87" t="str">
        <x:v>Органические реакции: реагенты</x:v>
      </x:c>
      <x:c r="M3831" s="30" t="str">
        <x:v>15   Установите соответствие между схемой реакции и веществом X,
     принимающим в ней участие. К каждой позиции, обозначенной буквой,
     подберите соответствующую позицию, обозначенную цифрой.
                   СХЕМА РЕАКЦИИ                                  ВЕЩЕСТВО X
     А) X 
           CuO, t
                  → ацетон                                 1) CH 3 OH
     Б) X →
           [Ag(NH 3 ) 2 ]OH                                2) CH 3 CH 2 OH
                            ацетат аммония                 3) СH 3 CH=O
     В) X 
           H 2SO 4 , t
                       → диметиловый эфир                  4) CH 3 CH 2 CH 2 OH
     Г) X    KMnO 4 , H +                                  5) CH 3 CH(OH)CH 3
                    → пропионовая кислота
                                                           6) HCOOCH 3
     Запишите в таблицу выбранные цифры под соответствующими буквами.
                А Б В Г
     Ответ:</x:v>
      </x:c>
      <x:c r="N3831" s="30" t="str">
        <x:v>5314</x:v>
      </x:c>
      <x:c r="O3831" s="30" t="str">
        <x:v>Последовательность 5314 задаёт соответствия позициям задания; каждое соответствие проверено отдельно.</x:v>
      </x:c>
      <x:c r="P3831" s="30" t="str">
        <x:v>Неизвестный реагент X восстановлен из исходного вещества и продукта реакции.</x:v>
      </x:c>
      <x:c r="Q3831" s="30"/>
      <x:c r="R3831" s="30" t="str">
        <x:v>Таблица ответов PDF + независимое решение</x:v>
      </x:c>
      <x:c r="S3831" s="30"/>
      <x:c r="T3831" s="30"/>
      <x:c r="U3831" s="30" t="str">
        <x:v>Расхождений не обнаружено.</x:v>
      </x:c>
      <x:c r="V3831" s="87" t="str">
        <x:v>VERIFIED</x:v>
      </x:c>
      <x:c r="W3831" s="87" t="str">
        <x:v>Zadanie_KhI11_06112025_.pdf, вариантная стр. 8</x:v>
      </x:c>
      <x:c r="X3831" s="87"/>
      <x:c r="Y3831" s="87"/>
      <x:c r="Z3831" s="87"/>
      <x:c r="AA3831" s="87"/>
      <x:c r="AB3831" s="87"/>
      <x:c r="AC3831" s="87" t="str">
        <x:v>VIS-CHEM-NOV-052</x:v>
      </x:c>
      <x:c r="AD3831" s="87"/>
      <x:c r="AE3831" s="87"/>
      <x:c r="AF3831" s="87" t="str">
        <x:v>VIS-CHEM-NOV-052: 24</x:v>
      </x:c>
      <x:c r="AG3831" s="87" t="str">
        <x:v>RESOLVED</x:v>
      </x:c>
      <x:c r="AH3831" s="87" t="str">
        <x:v>CROP_VERIFIED</x:v>
      </x:c>
      <x:c r="AI3831" s="30"/>
      <x:c r="AJ3831" s="87" t="str">
        <x:v>master</x:v>
      </x:c>
      <x:c r="AK3831" s="87" t="str">
        <x:v>master-v0.81</x:v>
      </x:c>
      <x:c r="AL3831" s="87" t="str">
        <x:v>statgrad_master_base_v0_81_final(2).xlsx</x:v>
      </x:c>
      <x:c r="AM3831" s="87" t="str">
        <x:v>CHEM_Nov_V4</x:v>
      </x:c>
      <x:c r="AN3831" s="87" t="n">
        <x:v>16</x:v>
      </x:c>
    </x:row>
    <x:row r="3832">
      <x:c r="A3832" s="87" t="n">
        <x:v>3831</x:v>
      </x:c>
      <x:c r="B3832" s="87" t="str">
        <x:v>NOV-CHEM-V4-016</x:v>
      </x:c>
      <x:c r="C3832" s="87" t="str">
        <x:v>СтатГрад</x:v>
      </x:c>
      <x:c r="D3832" s="87" t="str">
        <x:v>Ноябрь 2025</x:v>
      </x:c>
      <x:c r="E3832" s="87"/>
      <x:c r="F3832" s="87"/>
      <x:c r="G3832" s="87" t="str">
        <x:v>Химия</x:v>
      </x:c>
      <x:c r="H3832" s="87" t="n">
        <x:v>11</x:v>
      </x:c>
      <x:c r="I3832" s="87" t="str">
        <x:v>ТР №2</x:v>
      </x:c>
      <x:c r="J3832" s="87" t="str">
        <x:v>ХИ2510204</x:v>
      </x:c>
      <x:c r="K3832" s="87" t="n">
        <x:v>16</x:v>
      </x:c>
      <x:c r="L3832" s="87" t="str">
        <x:v>Цепочка превращений: органика</x:v>
      </x:c>
      <x:c r="M3832" s="30" t="str">
        <x:v>16   Задана следующая схема превращений веществ:
                              Zn, t                      CuO,t
                      X    → пропен → Y    → ацетон
     Определите, какие из указанных веществ являются веществами X и Y.
     1) CH 3 CH(OH)CH 3
     2) CH 3 CH(OH)CH 2 OH
     3) CH 3 CH 2 CH 2 OH
     4) CH 3 CH 2 CH 2 Br
     5) CH 3 CH(Br)CH 2 Br
     Запишите в таблицу номера выбранных веществ под соответствующими
     буквами.
                  X             Y
     Ответ:</x:v>
      </x:c>
      <x:c r="N3832" s="30" t="str">
        <x:v>51</x:v>
      </x:c>
      <x:c r="O3832" s="30" t="str">
        <x:v>Выбраны позиции 51; выбор подтверждён разбором каждого предложенного вещества или элемента.</x:v>
      </x:c>
      <x:c r="P3832" s="30" t="str">
        <x:v>Оба неизвестных вещества установлены по полной цепочке превращений.</x:v>
      </x:c>
      <x:c r="Q3832" s="30"/>
      <x:c r="R3832" s="30" t="str">
        <x:v>Фото-сводка ответов + независимое решение</x:v>
      </x:c>
      <x:c r="S3832" s="30"/>
      <x:c r="T3832" s="30"/>
      <x:c r="U3832" s="30" t="str">
        <x:v>Расхождений не обнаружено.</x:v>
      </x:c>
      <x:c r="V3832" s="87" t="str">
        <x:v>VERIFIED</x:v>
      </x:c>
      <x:c r="W3832" s="87" t="str">
        <x:v>Zadanie_KhI11_06112025_.pdf, вариантная стр. 8</x:v>
      </x:c>
      <x:c r="X3832" s="87"/>
      <x:c r="Y3832" s="87"/>
      <x:c r="Z3832" s="87"/>
      <x:c r="AA3832" s="87"/>
      <x:c r="AB3832" s="87"/>
      <x:c r="AC3832" s="87" t="str">
        <x:v>VIS-CHEM-NOV-052</x:v>
      </x:c>
      <x:c r="AD3832" s="87"/>
      <x:c r="AE3832" s="87"/>
      <x:c r="AF3832" s="87" t="str">
        <x:v>VIS-CHEM-NOV-052: 24</x:v>
      </x:c>
      <x:c r="AG3832" s="87" t="str">
        <x:v>RESOLVED</x:v>
      </x:c>
      <x:c r="AH3832" s="87" t="str">
        <x:v>CROP_VERIFIED</x:v>
      </x:c>
      <x:c r="AI3832" s="30"/>
      <x:c r="AJ3832" s="87" t="str">
        <x:v>master</x:v>
      </x:c>
      <x:c r="AK3832" s="87" t="str">
        <x:v>master-v0.81</x:v>
      </x:c>
      <x:c r="AL3832" s="87" t="str">
        <x:v>statgrad_master_base_v0_81_final(2).xlsx</x:v>
      </x:c>
      <x:c r="AM3832" s="87" t="str">
        <x:v>CHEM_Nov_V4</x:v>
      </x:c>
      <x:c r="AN3832" s="87" t="n">
        <x:v>17</x:v>
      </x:c>
    </x:row>
    <x:row r="3833">
      <x:c r="A3833" s="87" t="n">
        <x:v>3832</x:v>
      </x:c>
      <x:c r="B3833" s="87" t="str">
        <x:v>NOV-CHEM-V4-017</x:v>
      </x:c>
      <x:c r="C3833" s="87" t="str">
        <x:v>СтатГрад</x:v>
      </x:c>
      <x:c r="D3833" s="87" t="str">
        <x:v>Ноябрь 2025</x:v>
      </x:c>
      <x:c r="E3833" s="87"/>
      <x:c r="F3833" s="87"/>
      <x:c r="G3833" s="87" t="str">
        <x:v>Химия</x:v>
      </x:c>
      <x:c r="H3833" s="87" t="n">
        <x:v>11</x:v>
      </x:c>
      <x:c r="I3833" s="87" t="str">
        <x:v>ТР №2</x:v>
      </x:c>
      <x:c r="J3833" s="87" t="str">
        <x:v>ХИ2510204</x:v>
      </x:c>
      <x:c r="K3833" s="87" t="n">
        <x:v>17</x:v>
      </x:c>
      <x:c r="L3833" s="87" t="str">
        <x:v>Классификация реакций</x:v>
      </x:c>
      <x:c r="M3833" s="30" t="str">
        <x:v>17   Установите соответствие между химической реакцией и типами реакций,
     к которым она относится: к каждой позиции, обозначенной буквой,
     подберите соответствующую позицию, обозначенную цифрой.
              ХИМИЧЕСКАЯ РЕАКЦИЯ                                ТИПЫ РЕАКЦИЙ
     А) взаимодействие пропена с хлором при                1) реакция присоединения,
        сильном нагревании                                    каталитическая
     Б) взаимодействие бензола с хлором на                 2) реакция замещения,
        свету                                                 каталитическая
     В) взаимодействие этанола с уксусной                  3) реакция замещения,
        кислотой                                              некаталитическая
                                                           4) реакция присоединения,
                                                              некаталитическая
     Запишите в таблицу выбранные цифры под соответствующими буквами.
                А Б В
     Ответ:</x:v>
      </x:c>
      <x:c r="N3833" s="30" t="str">
        <x:v>342</x:v>
      </x:c>
      <x:c r="O3833" s="30" t="str">
        <x:v>Последовательность 342 задаёт соответствия позициям задания; каждое соответствие проверено отдельно.</x:v>
      </x:c>
      <x:c r="P3833" s="30" t="str">
        <x:v>Каждая реакция классифицирована по числу и составу веществ, обратимости и ОВР.</x:v>
      </x:c>
      <x:c r="Q3833" s="30"/>
      <x:c r="R3833" s="30" t="str">
        <x:v>Фото-сводка ответов + независимое решение</x:v>
      </x:c>
      <x:c r="S3833" s="30"/>
      <x:c r="T3833" s="30"/>
      <x:c r="U3833" s="30" t="str">
        <x:v>Расхождений не обнаружено.</x:v>
      </x:c>
      <x:c r="V3833" s="87" t="str">
        <x:v>VERIFIED</x:v>
      </x:c>
      <x:c r="W3833" s="87" t="str">
        <x:v>Zadanie_KhI11_06112025_.pdf, вариантная стр. 9</x:v>
      </x:c>
      <x:c r="X3833" s="87"/>
      <x:c r="Y3833" s="87"/>
      <x:c r="Z3833" s="87"/>
      <x:c r="AA3833" s="87"/>
      <x:c r="AB3833" s="87"/>
      <x:c r="AC3833" s="87" t="str">
        <x:v>VIS-CHEM-NOV-053</x:v>
      </x:c>
      <x:c r="AD3833" s="87"/>
      <x:c r="AE3833" s="87"/>
      <x:c r="AF3833" s="87" t="str">
        <x:v>VIS-CHEM-NOV-053: 25</x:v>
      </x:c>
      <x:c r="AG3833" s="87" t="str">
        <x:v>RESOLVED</x:v>
      </x:c>
      <x:c r="AH3833" s="87" t="str">
        <x:v>CROP_VERIFIED</x:v>
      </x:c>
      <x:c r="AI3833" s="30"/>
      <x:c r="AJ3833" s="87" t="str">
        <x:v>master</x:v>
      </x:c>
      <x:c r="AK3833" s="87" t="str">
        <x:v>master-v0.81</x:v>
      </x:c>
      <x:c r="AL3833" s="87" t="str">
        <x:v>statgrad_master_base_v0_81_final(2).xlsx</x:v>
      </x:c>
      <x:c r="AM3833" s="87" t="str">
        <x:v>CHEM_Nov_V4</x:v>
      </x:c>
      <x:c r="AN3833" s="87" t="n">
        <x:v>18</x:v>
      </x:c>
    </x:row>
    <x:row r="3834">
      <x:c r="A3834" s="87" t="n">
        <x:v>3833</x:v>
      </x:c>
      <x:c r="B3834" s="87" t="str">
        <x:v>NOV-CHEM-V4-018</x:v>
      </x:c>
      <x:c r="C3834" s="87" t="str">
        <x:v>СтатГрад</x:v>
      </x:c>
      <x:c r="D3834" s="87" t="str">
        <x:v>Ноябрь 2025</x:v>
      </x:c>
      <x:c r="E3834" s="87"/>
      <x:c r="F3834" s="87"/>
      <x:c r="G3834" s="87" t="str">
        <x:v>Химия</x:v>
      </x:c>
      <x:c r="H3834" s="87" t="n">
        <x:v>11</x:v>
      </x:c>
      <x:c r="I3834" s="87" t="str">
        <x:v>ТР №2</x:v>
      </x:c>
      <x:c r="J3834" s="87" t="str">
        <x:v>ХИ2510204</x:v>
      </x:c>
      <x:c r="K3834" s="87" t="n">
        <x:v>18</x:v>
      </x:c>
      <x:c r="L3834" s="87" t="str">
        <x:v>Скорость химической реакции</x:v>
      </x:c>
      <x:c r="M3834" s="30" t="str">
        <x:v>18   Из предложенного перечня выберите все внешние воздействия, которые
     приводят к увеличению скорости выделения хлора при взаимодействии
     твёрдого диоксида марганца и соляной кислоты.
     1) нагревание
     2) увеличение концентрации кислоты
     3) добавление воды
     4) измельчение диоксида марганца
     5) увеличение давления
     Запишите номера выбранных ответов.
     Ответ: ___________________________.</x:v>
      </x:c>
      <x:c r="N3834" s="30" t="str">
        <x:v>124</x:v>
      </x:c>
      <x:c r="O3834" s="30" t="str">
        <x:v>Выбраны позиции 124; выбор подтверждён разбором каждого предложенного вещества или элемента.</x:v>
      </x:c>
      <x:c r="P3834" s="30" t="str">
        <x:v>Воздействия проверены по кинетическим факторам: концентрации, температуре и площади поверхности.</x:v>
      </x:c>
      <x:c r="Q3834" s="30"/>
      <x:c r="R3834" s="30" t="str">
        <x:v>Фото-сводка ответов + независимое решение</x:v>
      </x:c>
      <x:c r="S3834" s="30"/>
      <x:c r="T3834" s="30"/>
      <x:c r="U3834" s="30" t="str">
        <x:v>Расхождений не обнаружено.</x:v>
      </x:c>
      <x:c r="V3834" s="87" t="str">
        <x:v>VERIFIED</x:v>
      </x:c>
      <x:c r="W3834" s="87" t="str">
        <x:v>Zadanie_KhI11_06112025_.pdf, вариантная стр. 9</x:v>
      </x:c>
      <x:c r="X3834" s="87"/>
      <x:c r="Y3834" s="87"/>
      <x:c r="Z3834" s="87"/>
      <x:c r="AA3834" s="87"/>
      <x:c r="AB3834" s="87"/>
      <x:c r="AC3834" s="87" t="str">
        <x:v>VIS-CHEM-NOV-053</x:v>
      </x:c>
      <x:c r="AD3834" s="87"/>
      <x:c r="AE3834" s="87"/>
      <x:c r="AF3834" s="87" t="str">
        <x:v>VIS-CHEM-NOV-053: 25</x:v>
      </x:c>
      <x:c r="AG3834" s="87" t="str">
        <x:v>RESOLVED</x:v>
      </x:c>
      <x:c r="AH3834" s="87" t="str">
        <x:v>CROP_VERIFIED</x:v>
      </x:c>
      <x:c r="AI3834" s="30"/>
      <x:c r="AJ3834" s="87" t="str">
        <x:v>master</x:v>
      </x:c>
      <x:c r="AK3834" s="87" t="str">
        <x:v>master-v0.81</x:v>
      </x:c>
      <x:c r="AL3834" s="87" t="str">
        <x:v>statgrad_master_base_v0_81_final(2).xlsx</x:v>
      </x:c>
      <x:c r="AM3834" s="87" t="str">
        <x:v>CHEM_Nov_V4</x:v>
      </x:c>
      <x:c r="AN3834" s="87" t="n">
        <x:v>19</x:v>
      </x:c>
    </x:row>
    <x:row r="3835">
      <x:c r="A3835" s="87" t="n">
        <x:v>3834</x:v>
      </x:c>
      <x:c r="B3835" s="87" t="str">
        <x:v>NOV-CHEM-V4-019</x:v>
      </x:c>
      <x:c r="C3835" s="87" t="str">
        <x:v>СтатГрад</x:v>
      </x:c>
      <x:c r="D3835" s="87" t="str">
        <x:v>Ноябрь 2025</x:v>
      </x:c>
      <x:c r="E3835" s="87"/>
      <x:c r="F3835" s="87"/>
      <x:c r="G3835" s="87" t="str">
        <x:v>Химия</x:v>
      </x:c>
      <x:c r="H3835" s="87" t="n">
        <x:v>11</x:v>
      </x:c>
      <x:c r="I3835" s="87" t="str">
        <x:v>ТР №2</x:v>
      </x:c>
      <x:c r="J3835" s="87" t="str">
        <x:v>ХИ2510204</x:v>
      </x:c>
      <x:c r="K3835" s="87" t="n">
        <x:v>19</x:v>
      </x:c>
      <x:c r="L3835" s="87" t="str">
        <x:v>ОВР и свойства элемента</x:v>
      </x:c>
      <x:c r="M3835" s="30" t="str">
        <x:v>19   Установите соответствие между схемой реакции и свойством, которое
     проявляет элемент марганец в этой реакции. К каждой позиции,
     обозначенной буквой, подберите соответствующую позицию, обозначенную
     цифрой.
                   СХЕМА РЕАКЦИИ                             СВОЙСТВО МАРГАНЦА
     А) KMnO 4 → K 2 MnO 4 + MnO 2 + O 2                   1) только окислитель
     Б) Mn(OH) 2 + Cl 2 + KOH → MnO 2 + KCl +              2) только восстановитель
        H2O                                                3) и окислитель,
     В) K 2 MnO 4 + H 2 SO 4 → MnO 2 + KMnO 4 +               и восстановитель
        K 2 SO 4 + H 2 O                                      одновременно
                                                           4) не изменяет степень
                                                              окисления
     Запишите в таблицу выбранные цифры под соответствующими буквами.
                А Б В
     Ответ:</x:v>
      </x:c>
      <x:c r="N3835" s="30" t="str">
        <x:v>123</x:v>
      </x:c>
      <x:c r="O3835" s="30" t="str">
        <x:v>Последовательность 123 задаёт соответствия позициям задания; каждое соответствие проверено отдельно.</x:v>
      </x:c>
      <x:c r="P3835" s="30" t="str">
        <x:v>Степени окисления иода до и после реакции сопоставлены для определения его свойства.</x:v>
      </x:c>
      <x:c r="Q3835" s="30"/>
      <x:c r="R3835" s="30" t="str">
        <x:v>Фото-сводка ответов + независимое решение</x:v>
      </x:c>
      <x:c r="S3835" s="30"/>
      <x:c r="T3835" s="30"/>
      <x:c r="U3835" s="30" t="str">
        <x:v>Расхождений не обнаружено.</x:v>
      </x:c>
      <x:c r="V3835" s="87" t="str">
        <x:v>VERIFIED</x:v>
      </x:c>
      <x:c r="W3835" s="87" t="str">
        <x:v>Zadanie_KhI11_06112025_.pdf, вариантная стр. 10</x:v>
      </x:c>
      <x:c r="X3835" s="87"/>
      <x:c r="Y3835" s="87"/>
      <x:c r="Z3835" s="87"/>
      <x:c r="AA3835" s="87"/>
      <x:c r="AB3835" s="87"/>
      <x:c r="AC3835" s="87" t="str">
        <x:v>VIS-CHEM-NOV-054</x:v>
      </x:c>
      <x:c r="AD3835" s="87"/>
      <x:c r="AE3835" s="87"/>
      <x:c r="AF3835" s="87" t="str">
        <x:v>VIS-CHEM-NOV-054: 26</x:v>
      </x:c>
      <x:c r="AG3835" s="87" t="str">
        <x:v>RESOLVED</x:v>
      </x:c>
      <x:c r="AH3835" s="87" t="str">
        <x:v>CROP_VERIFIED</x:v>
      </x:c>
      <x:c r="AI3835" s="30"/>
      <x:c r="AJ3835" s="87" t="str">
        <x:v>master</x:v>
      </x:c>
      <x:c r="AK3835" s="87" t="str">
        <x:v>master-v0.81</x:v>
      </x:c>
      <x:c r="AL3835" s="87" t="str">
        <x:v>statgrad_master_base_v0_81_final(2).xlsx</x:v>
      </x:c>
      <x:c r="AM3835" s="87" t="str">
        <x:v>CHEM_Nov_V4</x:v>
      </x:c>
      <x:c r="AN3835" s="87" t="n">
        <x:v>20</x:v>
      </x:c>
    </x:row>
    <x:row r="3836">
      <x:c r="A3836" s="87" t="n">
        <x:v>3835</x:v>
      </x:c>
      <x:c r="B3836" s="87" t="str">
        <x:v>NOV-CHEM-V4-020</x:v>
      </x:c>
      <x:c r="C3836" s="87" t="str">
        <x:v>СтатГрад</x:v>
      </x:c>
      <x:c r="D3836" s="87" t="str">
        <x:v>Ноябрь 2025</x:v>
      </x:c>
      <x:c r="E3836" s="87"/>
      <x:c r="F3836" s="87"/>
      <x:c r="G3836" s="87" t="str">
        <x:v>Химия</x:v>
      </x:c>
      <x:c r="H3836" s="87" t="n">
        <x:v>11</x:v>
      </x:c>
      <x:c r="I3836" s="87" t="str">
        <x:v>ТР №2</x:v>
      </x:c>
      <x:c r="J3836" s="87" t="str">
        <x:v>ХИ2510204</x:v>
      </x:c>
      <x:c r="K3836" s="87" t="n">
        <x:v>20</x:v>
      </x:c>
      <x:c r="L3836" s="87" t="str">
        <x:v>Электролиз</x:v>
      </x:c>
      <x:c r="M3836" s="30" t="str">
        <x:v>20   Установите соответствие между веществом и продуктом(ами) электролиза
     водного раствора этого вещества, образовавшим(и)ся на инертном аноде.
     К каждой позиции, обозначенной буквой, подберите соответствующую
     позицию, обозначенную цифрой.
                       ВЕЩЕСТВО                              ПРОДУКТ(Ы) НА АНОДЕ
     А) KCl                                                1) кислород
     Б) HCOOK                                              2) галоген
     В) KClO 4                                             3) галогеноводород
                                                           4) углекислый газ и водород
     Запишите в таблицу выбранные цифры под соответствующими буквами.
                А Б В
     Ответ:
     Для выполнения задания 21 используйте следующие справочные данные.
     Концентрация (молярная, моль/л) показывает отношение количества
     растворённого вещества (n) к объёму раствора (V).
     pH («пэ аш») – водородный показатель; величина, которая отражает
     концентрацию ионов водорода в растворе и используется для
     характеристики кислотности среды.</x:v>
      </x:c>
      <x:c r="N3836" s="30" t="str">
        <x:v>241</x:v>
      </x:c>
      <x:c r="O3836" s="30" t="str">
        <x:v>Последовательность 241 задаёт соответствия позициям задания; каждое соответствие проверено отдельно.</x:v>
      </x:c>
      <x:c r="P3836" s="30" t="str">
        <x:v>Продукты на инертном аноде определены по конкуренции окисления аниона и воды.</x:v>
      </x:c>
      <x:c r="Q3836" s="30"/>
      <x:c r="R3836" s="30" t="str">
        <x:v>Фото-сводка ответов + независимое решение</x:v>
      </x:c>
      <x:c r="S3836" s="30"/>
      <x:c r="T3836" s="30"/>
      <x:c r="U3836" s="30" t="str">
        <x:v>Расхождений не обнаружено.</x:v>
      </x:c>
      <x:c r="V3836" s="87" t="str">
        <x:v>VERIFIED</x:v>
      </x:c>
      <x:c r="W3836" s="87" t="str">
        <x:v>Zadanie_KhI11_06112025_.pdf, вариантная стр. 10</x:v>
      </x:c>
      <x:c r="X3836" s="87"/>
      <x:c r="Y3836" s="87"/>
      <x:c r="Z3836" s="87"/>
      <x:c r="AA3836" s="87"/>
      <x:c r="AB3836" s="87"/>
      <x:c r="AC3836" s="87" t="str">
        <x:v>VIS-CHEM-NOV-054</x:v>
      </x:c>
      <x:c r="AD3836" s="87"/>
      <x:c r="AE3836" s="87"/>
      <x:c r="AF3836" s="87" t="str">
        <x:v>VIS-CHEM-NOV-054: 26</x:v>
      </x:c>
      <x:c r="AG3836" s="87" t="str">
        <x:v>RESOLVED</x:v>
      </x:c>
      <x:c r="AH3836" s="87" t="str">
        <x:v>CROP_VERIFIED</x:v>
      </x:c>
      <x:c r="AI3836" s="30"/>
      <x:c r="AJ3836" s="87" t="str">
        <x:v>master</x:v>
      </x:c>
      <x:c r="AK3836" s="87" t="str">
        <x:v>master-v0.81</x:v>
      </x:c>
      <x:c r="AL3836" s="87" t="str">
        <x:v>statgrad_master_base_v0_81_final(2).xlsx</x:v>
      </x:c>
      <x:c r="AM3836" s="87" t="str">
        <x:v>CHEM_Nov_V4</x:v>
      </x:c>
      <x:c r="AN3836" s="87" t="n">
        <x:v>21</x:v>
      </x:c>
    </x:row>
    <x:row r="3837">
      <x:c r="A3837" s="87" t="n">
        <x:v>3836</x:v>
      </x:c>
      <x:c r="B3837" s="87" t="str">
        <x:v>NOV-CHEM-V4-021</x:v>
      </x:c>
      <x:c r="C3837" s="87" t="str">
        <x:v>СтатГрад</x:v>
      </x:c>
      <x:c r="D3837" s="87" t="str">
        <x:v>Ноябрь 2025</x:v>
      </x:c>
      <x:c r="E3837" s="87"/>
      <x:c r="F3837" s="87"/>
      <x:c r="G3837" s="87" t="str">
        <x:v>Химия</x:v>
      </x:c>
      <x:c r="H3837" s="87" t="n">
        <x:v>11</x:v>
      </x:c>
      <x:c r="I3837" s="87" t="str">
        <x:v>ТР №2</x:v>
      </x:c>
      <x:c r="J3837" s="87" t="str">
        <x:v>ХИ2510204</x:v>
      </x:c>
      <x:c r="K3837" s="87" t="n">
        <x:v>21</x:v>
      </x:c>
      <x:c r="L3837" s="87" t="str">
        <x:v>Среда растворов</x:v>
      </x:c>
      <x:c r="M3837" s="30" t="str">
        <x:v>21   Для веществ, приведённых в перечне, определите характер среды их водных
     растворов.
     1) HI
     2) CH 3 NH 2
     3) CH 3 NH 3 Cl
     4) KClO 3
     Запишите номера веществ в порядке убывания значения pH их водных
     растворов, имеющих молярную концентрацию 0,12 моль/л.
     Ответ:        →       →       →</x:v>
      </x:c>
      <x:c r="N3837" s="30" t="str">
        <x:v>2431</x:v>
      </x:c>
      <x:c r="O3837" s="30" t="str">
        <x:v>Выбраны позиции 2431; выбор подтверждён разбором каждого предложенного вещества или элемента.</x:v>
      </x:c>
      <x:c r="P3837" s="30" t="str">
        <x:v>Среда растворов установлена по гидролизу солей и силе электролитов.</x:v>
      </x:c>
      <x:c r="Q3837" s="30"/>
      <x:c r="R3837" s="30" t="str">
        <x:v>Фото-сводка ответов + независимое решение</x:v>
      </x:c>
      <x:c r="S3837" s="30"/>
      <x:c r="T3837" s="30"/>
      <x:c r="U3837" s="30" t="str">
        <x:v>Расхождений не обнаружено.</x:v>
      </x:c>
      <x:c r="V3837" s="87" t="str">
        <x:v>VERIFIED</x:v>
      </x:c>
      <x:c r="W3837" s="87" t="str">
        <x:v>Zadanie_KhI11_06112025_.pdf, вариантная стр. 11</x:v>
      </x:c>
      <x:c r="X3837" s="87"/>
      <x:c r="Y3837" s="87"/>
      <x:c r="Z3837" s="87"/>
      <x:c r="AA3837" s="87"/>
      <x:c r="AB3837" s="87"/>
      <x:c r="AC3837" s="87" t="str">
        <x:v>VIS-CHEM-NOV-055</x:v>
      </x:c>
      <x:c r="AD3837" s="87"/>
      <x:c r="AE3837" s="87"/>
      <x:c r="AF3837" s="87" t="str">
        <x:v>VIS-CHEM-NOV-055: 27</x:v>
      </x:c>
      <x:c r="AG3837" s="87" t="str">
        <x:v>RESOLVED</x:v>
      </x:c>
      <x:c r="AH3837" s="87" t="str">
        <x:v>CROP_VERIFIED</x:v>
      </x:c>
      <x:c r="AI3837" s="30"/>
      <x:c r="AJ3837" s="87" t="str">
        <x:v>master</x:v>
      </x:c>
      <x:c r="AK3837" s="87" t="str">
        <x:v>master-v0.81</x:v>
      </x:c>
      <x:c r="AL3837" s="87" t="str">
        <x:v>statgrad_master_base_v0_81_final(2).xlsx</x:v>
      </x:c>
      <x:c r="AM3837" s="87" t="str">
        <x:v>CHEM_Nov_V4</x:v>
      </x:c>
      <x:c r="AN3837" s="87" t="n">
        <x:v>22</x:v>
      </x:c>
    </x:row>
    <x:row r="3838">
      <x:c r="A3838" s="87" t="n">
        <x:v>3837</x:v>
      </x:c>
      <x:c r="B3838" s="87" t="str">
        <x:v>NOV-CHEM-V4-022</x:v>
      </x:c>
      <x:c r="C3838" s="87" t="str">
        <x:v>СтатГрад</x:v>
      </x:c>
      <x:c r="D3838" s="87" t="str">
        <x:v>Ноябрь 2025</x:v>
      </x:c>
      <x:c r="E3838" s="87"/>
      <x:c r="F3838" s="87"/>
      <x:c r="G3838" s="87" t="str">
        <x:v>Химия</x:v>
      </x:c>
      <x:c r="H3838" s="87" t="n">
        <x:v>11</x:v>
      </x:c>
      <x:c r="I3838" s="87" t="str">
        <x:v>ТР №2</x:v>
      </x:c>
      <x:c r="J3838" s="87" t="str">
        <x:v>ХИ2510204</x:v>
      </x:c>
      <x:c r="K3838" s="87" t="n">
        <x:v>22</x:v>
      </x:c>
      <x:c r="L3838" s="87" t="str">
        <x:v>Химическое равновесие</x:v>
      </x:c>
      <x:c r="M3838" s="30" t="str">
        <x:v>22   Установите соответствие между способом воздействия на равновесную
     систему
                       NH 3 (г) + H 2 O(ж)    NH 4 +(р-р) + OH–(р-р) + Q
     и направлением смещения равновесия в результате этого воздействия.
     К каждой позиции, обозначенной буквой, подберите соответствующую
     позицию, обозначенную цифрой.
               СПОСОБ ВОЗДЕЙСТВИЯ                                ХИМИЧЕСКОЕ
                                                                 РАВНОВЕСИЕ
     А) охлаждение                                         1) смещается в направлении
     Б) увеличение pH раствора                                прямой реакции
     В) добавление твёрдого хлорида аммония                2) смещается в направлении
     Г) увеличение давления над раствором                     обратной реакции
                                                           3) практически не смещается
     Запишите в таблицу выбранные цифры под соответствующими буквами.
                А Б В Г
     Ответ:</x:v>
      </x:c>
      <x:c r="N3838" s="30" t="str">
        <x:v>1221</x:v>
      </x:c>
      <x:c r="O3838" s="30" t="str">
        <x:v>Последовательность 1221 задаёт соответствия позициям задания; каждое соответствие проверено отдельно.</x:v>
      </x:c>
      <x:c r="P3838" s="30" t="str">
        <x:v>Смещение равновесия проверено по принципу Ле Шателье.</x:v>
      </x:c>
      <x:c r="Q3838" s="30"/>
      <x:c r="R3838" s="30" t="str">
        <x:v>Таблица ответов PDF + независимое решение</x:v>
      </x:c>
      <x:c r="S3838" s="30"/>
      <x:c r="T3838" s="30"/>
      <x:c r="U3838" s="30" t="str">
        <x:v>Расхождений не обнаружено.</x:v>
      </x:c>
      <x:c r="V3838" s="87" t="str">
        <x:v>VERIFIED</x:v>
      </x:c>
      <x:c r="W3838" s="87" t="str">
        <x:v>Zadanie_KhI11_06112025_.pdf, вариантная стр. 12</x:v>
      </x:c>
      <x:c r="X3838" s="87"/>
      <x:c r="Y3838" s="87"/>
      <x:c r="Z3838" s="87"/>
      <x:c r="AA3838" s="87"/>
      <x:c r="AB3838" s="87"/>
      <x:c r="AC3838" s="87" t="str">
        <x:v>VIS-CHEM-NOV-056</x:v>
      </x:c>
      <x:c r="AD3838" s="87"/>
      <x:c r="AE3838" s="87"/>
      <x:c r="AF3838" s="87" t="str">
        <x:v>VIS-CHEM-NOV-056: 28</x:v>
      </x:c>
      <x:c r="AG3838" s="87" t="str">
        <x:v>RESOLVED</x:v>
      </x:c>
      <x:c r="AH3838" s="87" t="str">
        <x:v>CROP_VERIFIED</x:v>
      </x:c>
      <x:c r="AI3838" s="30"/>
      <x:c r="AJ3838" s="87" t="str">
        <x:v>master</x:v>
      </x:c>
      <x:c r="AK3838" s="87" t="str">
        <x:v>master-v0.81</x:v>
      </x:c>
      <x:c r="AL3838" s="87" t="str">
        <x:v>statgrad_master_base_v0_81_final(2).xlsx</x:v>
      </x:c>
      <x:c r="AM3838" s="87" t="str">
        <x:v>CHEM_Nov_V4</x:v>
      </x:c>
      <x:c r="AN3838" s="87" t="n">
        <x:v>23</x:v>
      </x:c>
    </x:row>
    <x:row r="3839">
      <x:c r="A3839" s="87" t="n">
        <x:v>3838</x:v>
      </x:c>
      <x:c r="B3839" s="87" t="str">
        <x:v>NOV-CHEM-V4-023</x:v>
      </x:c>
      <x:c r="C3839" s="87" t="str">
        <x:v>СтатГрад</x:v>
      </x:c>
      <x:c r="D3839" s="87" t="str">
        <x:v>Ноябрь 2025</x:v>
      </x:c>
      <x:c r="E3839" s="87"/>
      <x:c r="F3839" s="87"/>
      <x:c r="G3839" s="87" t="str">
        <x:v>Химия</x:v>
      </x:c>
      <x:c r="H3839" s="87" t="n">
        <x:v>11</x:v>
      </x:c>
      <x:c r="I3839" s="87" t="str">
        <x:v>ТР №2</x:v>
      </x:c>
      <x:c r="J3839" s="87" t="str">
        <x:v>ХИ2510204</x:v>
      </x:c>
      <x:c r="K3839" s="87" t="n">
        <x:v>23</x:v>
      </x:c>
      <x:c r="L3839" s="87" t="str">
        <x:v>Равновесные концентрации</x:v>
      </x:c>
      <x:c r="M3839" s="30" t="str">
        <x:v>23   В реактор постоянного объёма ввели этан и сильно нагрели. В реакторе
     установилось равновесие:
                              C 2 H 6 (г) C 2 H 2 (г) + 2H 2 (г),
     при котором в реакторе содержалось 300 моль этана и 200 моль ацетилена.
     Другие процессы в реакторе не протекали. Рассчитайте исходное количество
     вещества C2H 6 (X) и равновесное количество вещества H 2 (Y).
     Выберите из списка номера правильных ответов.
     1) 100 моль
     2) 200 моль
     3) 300 моль
     4) 400 моль
     5) 500 моль
     6) 700 моль
     Запишите выбранные номера в таблицу под соответствующими буквами.
                   X            Y
     Ответ:</x:v>
      </x:c>
      <x:c r="N3839" s="30" t="str">
        <x:v>X=5; Y=4</x:v>
      </x:c>
      <x:c r="O3839" s="30" t="str">
        <x:v>По условию получено: X=5; Y=4. Оба неизвестных определены совместно, а не подбором по ключу.</x:v>
      </x:c>
      <x:c r="P3839" s="30" t="str">
        <x:v>Изменения равновесных концентраций рассчитаны по стехиометрии реакции.</x:v>
      </x:c>
      <x:c r="Q3839" s="30"/>
      <x:c r="R3839" s="30" t="str">
        <x:v>Фото-сводка ответов + независимое решение</x:v>
      </x:c>
      <x:c r="S3839" s="30"/>
      <x:c r="T3839" s="30"/>
      <x:c r="U3839" s="30" t="str">
        <x:v>Расхождений не обнаружено.</x:v>
      </x:c>
      <x:c r="V3839" s="87" t="str">
        <x:v>VERIFIED</x:v>
      </x:c>
      <x:c r="W3839" s="87" t="str">
        <x:v>Zadanie_KhI11_06112025_.pdf, вариантная стр. 12</x:v>
      </x:c>
      <x:c r="X3839" s="87"/>
      <x:c r="Y3839" s="87"/>
      <x:c r="Z3839" s="87"/>
      <x:c r="AA3839" s="87"/>
      <x:c r="AB3839" s="87"/>
      <x:c r="AC3839" s="87" t="str">
        <x:v>VIS-CHEM-NOV-056</x:v>
      </x:c>
      <x:c r="AD3839" s="87"/>
      <x:c r="AE3839" s="87"/>
      <x:c r="AF3839" s="87" t="str">
        <x:v>VIS-CHEM-NOV-056: 28</x:v>
      </x:c>
      <x:c r="AG3839" s="87" t="str">
        <x:v>RESOLVED</x:v>
      </x:c>
      <x:c r="AH3839" s="87" t="str">
        <x:v>CROP_VERIFIED</x:v>
      </x:c>
      <x:c r="AI3839" s="30"/>
      <x:c r="AJ3839" s="87" t="str">
        <x:v>master</x:v>
      </x:c>
      <x:c r="AK3839" s="87" t="str">
        <x:v>master-v0.81</x:v>
      </x:c>
      <x:c r="AL3839" s="87" t="str">
        <x:v>statgrad_master_base_v0_81_final(2).xlsx</x:v>
      </x:c>
      <x:c r="AM3839" s="87" t="str">
        <x:v>CHEM_Nov_V4</x:v>
      </x:c>
      <x:c r="AN3839" s="87" t="n">
        <x:v>24</x:v>
      </x:c>
    </x:row>
    <x:row r="3840">
      <x:c r="A3840" s="87" t="n">
        <x:v>3839</x:v>
      </x:c>
      <x:c r="B3840" s="87" t="str">
        <x:v>NOV-CHEM-V4-024</x:v>
      </x:c>
      <x:c r="C3840" s="87" t="str">
        <x:v>СтатГрад</x:v>
      </x:c>
      <x:c r="D3840" s="87" t="str">
        <x:v>Ноябрь 2025</x:v>
      </x:c>
      <x:c r="E3840" s="87"/>
      <x:c r="F3840" s="87"/>
      <x:c r="G3840" s="87" t="str">
        <x:v>Химия</x:v>
      </x:c>
      <x:c r="H3840" s="87" t="n">
        <x:v>11</x:v>
      </x:c>
      <x:c r="I3840" s="87" t="str">
        <x:v>ТР №2</x:v>
      </x:c>
      <x:c r="J3840" s="87" t="str">
        <x:v>ХИ2510204</x:v>
      </x:c>
      <x:c r="K3840" s="87" t="n">
        <x:v>24</x:v>
      </x:c>
      <x:c r="L3840" s="87" t="str">
        <x:v>Качественный анализ</x:v>
      </x:c>
      <x:c r="M3840" s="30" t="str">
        <x:v>24   Установите соответствие между веществом и признаком его реакции
     с бромной водой.
     К каждой позиции, обозначенной буквой, подберите соответствующую
     позицию, обозначенную цифрой.
        ВЕЩЕСТВО                               ПРИЗНАК РЕАКЦИИ
     А) анилин                    1) потемнение раствора
     Б) сероводород               2) обесцвечивание раствора
     В) сернистый газ             3) обесцвечивание и помутнение раствора
     Г) иодоводород               4) образование объёмного осадка
                                  5) видимые признаки отсутствуют
     Запишите в таблицу выбранные цифры под соответствующими буквами.
                А Б В Г
     Ответ:</x:v>
      </x:c>
      <x:c r="N3840" s="30" t="str">
        <x:v>4321</x:v>
      </x:c>
      <x:c r="O3840" s="30" t="str">
        <x:v>Последовательность 4321 задаёт соответствия позициям задания; каждое соответствие проверено отдельно.</x:v>
      </x:c>
      <x:c r="P3840" s="30" t="str">
        <x:v>Для каждой пары записана качественная реакция и определён наблюдаемый признак.</x:v>
      </x:c>
      <x:c r="Q3840" s="30"/>
      <x:c r="R3840" s="30" t="str">
        <x:v>Таблица ответов PDF + независимое решение</x:v>
      </x:c>
      <x:c r="S3840" s="30"/>
      <x:c r="T3840" s="30"/>
      <x:c r="U3840" s="30" t="str">
        <x:v>Расхождений не обнаружено.</x:v>
      </x:c>
      <x:c r="V3840" s="87" t="str">
        <x:v>VERIFIED</x:v>
      </x:c>
      <x:c r="W3840" s="87" t="str">
        <x:v>Zadanie_KhI11_06112025_.pdf, вариантная стр. 13</x:v>
      </x:c>
      <x:c r="X3840" s="87"/>
      <x:c r="Y3840" s="87"/>
      <x:c r="Z3840" s="87"/>
      <x:c r="AA3840" s="87"/>
      <x:c r="AB3840" s="87"/>
      <x:c r="AC3840" s="87" t="str">
        <x:v>VIS-CHEM-NOV-057</x:v>
      </x:c>
      <x:c r="AD3840" s="87"/>
      <x:c r="AE3840" s="87"/>
      <x:c r="AF3840" s="87" t="str">
        <x:v>VIS-CHEM-NOV-057: 29</x:v>
      </x:c>
      <x:c r="AG3840" s="87" t="str">
        <x:v>RESOLVED</x:v>
      </x:c>
      <x:c r="AH3840" s="87" t="str">
        <x:v>CROP_VERIFIED</x:v>
      </x:c>
      <x:c r="AI3840" s="30"/>
      <x:c r="AJ3840" s="87" t="str">
        <x:v>master</x:v>
      </x:c>
      <x:c r="AK3840" s="87" t="str">
        <x:v>master-v0.81</x:v>
      </x:c>
      <x:c r="AL3840" s="87" t="str">
        <x:v>statgrad_master_base_v0_81_final(2).xlsx</x:v>
      </x:c>
      <x:c r="AM3840" s="87" t="str">
        <x:v>CHEM_Nov_V4</x:v>
      </x:c>
      <x:c r="AN3840" s="87" t="n">
        <x:v>25</x:v>
      </x:c>
    </x:row>
    <x:row r="3841">
      <x:c r="A3841" s="87" t="n">
        <x:v>3840</x:v>
      </x:c>
      <x:c r="B3841" s="87" t="str">
        <x:v>NOV-CHEM-V4-025</x:v>
      </x:c>
      <x:c r="C3841" s="87" t="str">
        <x:v>СтатГрад</x:v>
      </x:c>
      <x:c r="D3841" s="87" t="str">
        <x:v>Ноябрь 2025</x:v>
      </x:c>
      <x:c r="E3841" s="87"/>
      <x:c r="F3841" s="87"/>
      <x:c r="G3841" s="87" t="str">
        <x:v>Химия</x:v>
      </x:c>
      <x:c r="H3841" s="87" t="n">
        <x:v>11</x:v>
      </x:c>
      <x:c r="I3841" s="87" t="str">
        <x:v>ТР №2</x:v>
      </x:c>
      <x:c r="J3841" s="87" t="str">
        <x:v>ХИ2510204</x:v>
      </x:c>
      <x:c r="K3841" s="87" t="n">
        <x:v>25</x:v>
      </x:c>
      <x:c r="L3841" s="87" t="str">
        <x:v>Промышленная химия</x:v>
      </x:c>
      <x:c r="M3841" s="30" t="str">
        <x:v>25   Установите соответствие между названием материала и способом его
     получения: к каждой позиции, обозначенной буквой, подберите соответст-
     вующую позицию, обозначенную цифрой.
     К каждой позиции, обозначенной буквой, подберите соответствующую
     позицию, обозначенную цифрой.
             НАЗВАНИЕ МАТЕРИАЛА                               СПОСОБ ПОЛУЧЕНИЯ
     А) поливинилацетат                                    1) полимеризация
     Б) хлоропреновый каучук                               2) гидролиз
     В) полиэтилентерефталат                               3) поликонденсация
                                                           4) вулканизация
     Запишите в таблицу выбранные цифры под соответствующими буквами.
                А Б В
     Ответ:
     Ответом к заданиям 26–28 является число. Запишите это число в поле
     ответа в тексте работы, соблюдая при этом указанную степень
     точности. Единицы измерения физических величин в поле ответа
     указывать не нужно.
     При проведении расчётов для всех элементов, кроме хлора, используйте
     значения относительных атомных масс, выраженные целыми числами
     (Ar(Cl) = 35,5).</x:v>
      </x:c>
      <x:c r="N3841" s="30" t="str">
        <x:v>113</x:v>
      </x:c>
      <x:c r="O3841" s="30" t="str">
        <x:v>Выбраны позиции 113; выбор подтверждён разбором каждого предложенного вещества или элемента.</x:v>
      </x:c>
      <x:c r="P3841" s="30" t="str">
        <x:v>Способы промышленного получения сопоставлены с сырьём и технологическим процессом.</x:v>
      </x:c>
      <x:c r="Q3841" s="30"/>
      <x:c r="R3841" s="30" t="str">
        <x:v>Фото-сводка ответов + независимое решение</x:v>
      </x:c>
      <x:c r="S3841" s="30"/>
      <x:c r="T3841" s="30"/>
      <x:c r="U3841" s="30" t="str">
        <x:v>Расхождений не обнаружено.</x:v>
      </x:c>
      <x:c r="V3841" s="87" t="str">
        <x:v>VERIFIED</x:v>
      </x:c>
      <x:c r="W3841" s="87" t="str">
        <x:v>Zadanie_KhI11_06112025_.pdf, вариантная стр. 13</x:v>
      </x:c>
      <x:c r="X3841" s="87"/>
      <x:c r="Y3841" s="87"/>
      <x:c r="Z3841" s="87"/>
      <x:c r="AA3841" s="87"/>
      <x:c r="AB3841" s="87"/>
      <x:c r="AC3841" s="87" t="str">
        <x:v>VIS-CHEM-NOV-057</x:v>
      </x:c>
      <x:c r="AD3841" s="87"/>
      <x:c r="AE3841" s="87"/>
      <x:c r="AF3841" s="87" t="str">
        <x:v>VIS-CHEM-NOV-057: 29</x:v>
      </x:c>
      <x:c r="AG3841" s="87" t="str">
        <x:v>RESOLVED</x:v>
      </x:c>
      <x:c r="AH3841" s="87" t="str">
        <x:v>CROP_VERIFIED</x:v>
      </x:c>
      <x:c r="AI3841" s="30"/>
      <x:c r="AJ3841" s="87" t="str">
        <x:v>master</x:v>
      </x:c>
      <x:c r="AK3841" s="87" t="str">
        <x:v>master-v0.81</x:v>
      </x:c>
      <x:c r="AL3841" s="87" t="str">
        <x:v>statgrad_master_base_v0_81_final(2).xlsx</x:v>
      </x:c>
      <x:c r="AM3841" s="87" t="str">
        <x:v>CHEM_Nov_V4</x:v>
      </x:c>
      <x:c r="AN3841" s="87" t="n">
        <x:v>26</x:v>
      </x:c>
    </x:row>
    <x:row r="3842">
      <x:c r="A3842" s="87" t="n">
        <x:v>3841</x:v>
      </x:c>
      <x:c r="B3842" s="87" t="str">
        <x:v>NOV-CHEM-V4-026</x:v>
      </x:c>
      <x:c r="C3842" s="87" t="str">
        <x:v>СтатГрад</x:v>
      </x:c>
      <x:c r="D3842" s="87" t="str">
        <x:v>Ноябрь 2025</x:v>
      </x:c>
      <x:c r="E3842" s="87"/>
      <x:c r="F3842" s="87"/>
      <x:c r="G3842" s="87" t="str">
        <x:v>Химия</x:v>
      </x:c>
      <x:c r="H3842" s="87" t="n">
        <x:v>11</x:v>
      </x:c>
      <x:c r="I3842" s="87" t="str">
        <x:v>ТР №2</x:v>
      </x:c>
      <x:c r="J3842" s="87" t="str">
        <x:v>ХИ2510204</x:v>
      </x:c>
      <x:c r="K3842" s="87" t="n">
        <x:v>26</x:v>
      </x:c>
      <x:c r="L3842" s="87" t="str">
        <x:v>Растворы и концентрации</x:v>
      </x:c>
      <x:c r="M3842" s="30" t="str">
        <x:v>26   При охлаждении 40 г горячего 80 %-го раствора AgNO 3 выпал осадок
     и образовался насыщенный, 60 %-й раствор. Сколько граммов AgNO 3
     выпало в осадок?
     (Запишите число с точностью до целых.)
     Ответ: ___________________________.</x:v>
      </x:c>
      <x:c r="N3842" s="30" t="str">
        <x:v>20</x:v>
      </x:c>
      <x:c r="O3842" s="30" t="str">
        <x:v>Повторный расчёт по данным условия даёт 20; округление выполнено в формате ответа ЕГЭ.</x:v>
      </x:c>
      <x:c r="P3842" s="30" t="str">
        <x:v>Состав исходного и насыщенного растворов пересчитан по балансу растворённого вещества.</x:v>
      </x:c>
      <x:c r="Q3842" s="30"/>
      <x:c r="R3842" s="30" t="str">
        <x:v>Фото-сводка ответов + независимое решение</x:v>
      </x:c>
      <x:c r="S3842" s="30"/>
      <x:c r="T3842" s="30"/>
      <x:c r="U3842" s="30" t="str">
        <x:v>Расхождений не обнаружено.</x:v>
      </x:c>
      <x:c r="V3842" s="87" t="str">
        <x:v>VERIFIED</x:v>
      </x:c>
      <x:c r="W3842" s="87" t="str">
        <x:v>Zadanie_KhI11_06112025_.pdf, вариантная стр. 14</x:v>
      </x:c>
      <x:c r="X3842" s="87"/>
      <x:c r="Y3842" s="87"/>
      <x:c r="Z3842" s="87"/>
      <x:c r="AA3842" s="87"/>
      <x:c r="AB3842" s="87"/>
      <x:c r="AC3842" s="87" t="str">
        <x:v>VIS-CHEM-NOV-058</x:v>
      </x:c>
      <x:c r="AD3842" s="87"/>
      <x:c r="AE3842" s="87"/>
      <x:c r="AF3842" s="87" t="str">
        <x:v>VIS-CHEM-NOV-058: 30</x:v>
      </x:c>
      <x:c r="AG3842" s="87" t="str">
        <x:v>RESOLVED</x:v>
      </x:c>
      <x:c r="AH3842" s="87" t="str">
        <x:v>CROP_VERIFIED</x:v>
      </x:c>
      <x:c r="AI3842" s="30"/>
      <x:c r="AJ3842" s="87" t="str">
        <x:v>master</x:v>
      </x:c>
      <x:c r="AK3842" s="87" t="str">
        <x:v>master-v0.81</x:v>
      </x:c>
      <x:c r="AL3842" s="87" t="str">
        <x:v>statgrad_master_base_v0_81_final(2).xlsx</x:v>
      </x:c>
      <x:c r="AM3842" s="87" t="str">
        <x:v>CHEM_Nov_V4</x:v>
      </x:c>
      <x:c r="AN3842" s="87" t="n">
        <x:v>27</x:v>
      </x:c>
    </x:row>
    <x:row r="3843">
      <x:c r="A3843" s="87" t="n">
        <x:v>3842</x:v>
      </x:c>
      <x:c r="B3843" s="87" t="str">
        <x:v>NOV-CHEM-V4-027</x:v>
      </x:c>
      <x:c r="C3843" s="87" t="str">
        <x:v>СтатГрад</x:v>
      </x:c>
      <x:c r="D3843" s="87" t="str">
        <x:v>Ноябрь 2025</x:v>
      </x:c>
      <x:c r="E3843" s="87"/>
      <x:c r="F3843" s="87"/>
      <x:c r="G3843" s="87" t="str">
        <x:v>Химия</x:v>
      </x:c>
      <x:c r="H3843" s="87" t="n">
        <x:v>11</x:v>
      </x:c>
      <x:c r="I3843" s="87" t="str">
        <x:v>ТР №2</x:v>
      </x:c>
      <x:c r="J3843" s="87" t="str">
        <x:v>ХИ2510204</x:v>
      </x:c>
      <x:c r="K3843" s="87" t="n">
        <x:v>27</x:v>
      </x:c>
      <x:c r="L3843" s="87" t="str">
        <x:v>Термохимия</x:v>
      </x:c>
      <x:c r="M3843" s="30" t="str">
        <x:v>27   Дано термохимическое уравнение сгорания алюминия на воздухе:
                               4Al + 3O 2 = 2Al 2 O 3 + 3350 кДж.
     В результате реакции выделилось 402 кДж теплоты. Сколько граммов
     металла сгорело? (Запишите число с точностью до целых.)
     Ответ: ___________________________ г.</x:v>
      </x:c>
      <x:c r="N3843" s="30" t="str">
        <x:v>13</x:v>
      </x:c>
      <x:c r="O3843" s="30" t="str">
        <x:v>Повторный расчёт по данным условия даёт 13; округление выполнено в формате ответа ЕГЭ.</x:v>
      </x:c>
      <x:c r="P3843" s="30" t="str">
        <x:v>Количество теплоты связано со стехиометрическим количеством вещества в термохимическом уравнении.</x:v>
      </x:c>
      <x:c r="Q3843" s="30"/>
      <x:c r="R3843" s="30" t="str">
        <x:v>Фото-сводка ответов + независимое решение</x:v>
      </x:c>
      <x:c r="S3843" s="30"/>
      <x:c r="T3843" s="30"/>
      <x:c r="U3843" s="30" t="str">
        <x:v>Расхождений не обнаружено.</x:v>
      </x:c>
      <x:c r="V3843" s="87" t="str">
        <x:v>VERIFIED</x:v>
      </x:c>
      <x:c r="W3843" s="87" t="str">
        <x:v>Zadanie_KhI11_06112025_.pdf, вариантная стр. 14</x:v>
      </x:c>
      <x:c r="X3843" s="87"/>
      <x:c r="Y3843" s="87"/>
      <x:c r="Z3843" s="87"/>
      <x:c r="AA3843" s="87"/>
      <x:c r="AB3843" s="87"/>
      <x:c r="AC3843" s="87" t="str">
        <x:v>VIS-CHEM-NOV-058</x:v>
      </x:c>
      <x:c r="AD3843" s="87"/>
      <x:c r="AE3843" s="87"/>
      <x:c r="AF3843" s="87" t="str">
        <x:v>VIS-CHEM-NOV-058: 30</x:v>
      </x:c>
      <x:c r="AG3843" s="87" t="str">
        <x:v>RESOLVED</x:v>
      </x:c>
      <x:c r="AH3843" s="87" t="str">
        <x:v>CROP_VERIFIED</x:v>
      </x:c>
      <x:c r="AI3843" s="30"/>
      <x:c r="AJ3843" s="87" t="str">
        <x:v>master</x:v>
      </x:c>
      <x:c r="AK3843" s="87" t="str">
        <x:v>master-v0.81</x:v>
      </x:c>
      <x:c r="AL3843" s="87" t="str">
        <x:v>statgrad_master_base_v0_81_final(2).xlsx</x:v>
      </x:c>
      <x:c r="AM3843" s="87" t="str">
        <x:v>CHEM_Nov_V4</x:v>
      </x:c>
      <x:c r="AN3843" s="87" t="n">
        <x:v>28</x:v>
      </x:c>
    </x:row>
    <x:row r="3844">
      <x:c r="A3844" s="87" t="n">
        <x:v>3843</x:v>
      </x:c>
      <x:c r="B3844" s="87" t="str">
        <x:v>NOV-CHEM-V4-028</x:v>
      </x:c>
      <x:c r="C3844" s="87" t="str">
        <x:v>СтатГрад</x:v>
      </x:c>
      <x:c r="D3844" s="87" t="str">
        <x:v>Ноябрь 2025</x:v>
      </x:c>
      <x:c r="E3844" s="87"/>
      <x:c r="F3844" s="87"/>
      <x:c r="G3844" s="87" t="str">
        <x:v>Химия</x:v>
      </x:c>
      <x:c r="H3844" s="87" t="n">
        <x:v>11</x:v>
      </x:c>
      <x:c r="I3844" s="87" t="str">
        <x:v>ТР №2</x:v>
      </x:c>
      <x:c r="J3844" s="87" t="str">
        <x:v>ХИ2510204</x:v>
      </x:c>
      <x:c r="K3844" s="87" t="n">
        <x:v>28</x:v>
      </x:c>
      <x:c r="L3844" s="87" t="str">
        <x:v>Выход продукта</x:v>
      </x:c>
      <x:c r="M3844" s="30" t="str">
        <x:v>28   Из 112 кг обогащённой фосфатной руды в результате ряда превращений,
     происходивших со 100 %-м выходом, получили 58,8 кг ортофосфорной
     кислоты. Считая, что руда содержит единственный фосфат – фторапатит
     Ca 5 (PO 4 ) 3 F, рассчитайте его массовую долю (в %) в руде.
     (Запишите число с точностью до целых.)
     Ответ: ___________________________ %.</x:v>
      </x:c>
      <x:c r="N3844" s="30" t="str">
        <x:v>90</x:v>
      </x:c>
      <x:c r="O3844" s="30" t="str">
        <x:v>Повторный расчёт по данным условия даёт 90; округление выполнено в формате ответа ЕГЭ.</x:v>
      </x:c>
      <x:c r="P3844" s="30" t="str">
        <x:v>Теоретический выход найден по цепочке реакций и сопоставлен с фактическим.</x:v>
      </x:c>
      <x:c r="Q3844" s="30"/>
      <x:c r="R3844" s="30" t="str">
        <x:v>Фото-сводка ответов + независимое решение</x:v>
      </x:c>
      <x:c r="S3844" s="30"/>
      <x:c r="T3844" s="30"/>
      <x:c r="U3844" s="30" t="str">
        <x:v>Расхождений не обнаружено.</x:v>
      </x:c>
      <x:c r="V3844" s="87" t="str">
        <x:v>VERIFIED</x:v>
      </x:c>
      <x:c r="W3844" s="87" t="str">
        <x:v>Zadanie_KhI11_06112025_.pdf, вариантная стр. 14</x:v>
      </x:c>
      <x:c r="X3844" s="87"/>
      <x:c r="Y3844" s="87"/>
      <x:c r="Z3844" s="87"/>
      <x:c r="AA3844" s="87"/>
      <x:c r="AB3844" s="87"/>
      <x:c r="AC3844" s="87" t="str">
        <x:v>VIS-CHEM-NOV-058</x:v>
      </x:c>
      <x:c r="AD3844" s="87"/>
      <x:c r="AE3844" s="87"/>
      <x:c r="AF3844" s="87" t="str">
        <x:v>VIS-CHEM-NOV-058: 30</x:v>
      </x:c>
      <x:c r="AG3844" s="87" t="str">
        <x:v>RESOLVED</x:v>
      </x:c>
      <x:c r="AH3844" s="87" t="str">
        <x:v>CROP_VERIFIED</x:v>
      </x:c>
      <x:c r="AI3844" s="30"/>
      <x:c r="AJ3844" s="87" t="str">
        <x:v>master</x:v>
      </x:c>
      <x:c r="AK3844" s="87" t="str">
        <x:v>master-v0.81</x:v>
      </x:c>
      <x:c r="AL3844" s="87" t="str">
        <x:v>statgrad_master_base_v0_81_final(2).xlsx</x:v>
      </x:c>
      <x:c r="AM3844" s="87" t="str">
        <x:v>CHEM_Nov_V4</x:v>
      </x:c>
      <x:c r="AN3844" s="87" t="n">
        <x:v>29</x:v>
      </x:c>
    </x:row>
    <x:row r="3845">
      <x:c r="A3845" s="87" t="n">
        <x:v>3844</x:v>
      </x:c>
      <x:c r="B3845" s="87" t="str">
        <x:v>NOV-CHEM-V4-029</x:v>
      </x:c>
      <x:c r="C3845" s="87" t="str">
        <x:v>СтатГрад</x:v>
      </x:c>
      <x:c r="D3845" s="87" t="str">
        <x:v>Ноябрь 2025</x:v>
      </x:c>
      <x:c r="E3845" s="87"/>
      <x:c r="F3845" s="87"/>
      <x:c r="G3845" s="87" t="str">
        <x:v>Химия</x:v>
      </x:c>
      <x:c r="H3845" s="87" t="n">
        <x:v>11</x:v>
      </x:c>
      <x:c r="I3845" s="87" t="str">
        <x:v>ТР №2</x:v>
      </x:c>
      <x:c r="J3845" s="87" t="str">
        <x:v>ХИ2510204</x:v>
      </x:c>
      <x:c r="K3845" s="87" t="n">
        <x:v>29</x:v>
      </x:c>
      <x:c r="L3845" s="87" t="str">
        <x:v>Развёрнутый ответ: ОВР</x:v>
      </x:c>
      <x:c r="M3845" s="30" t="str">
        <x:v>Для заданий 29–30 дан перечень: хлорид марганца(II), гидроксид калия, сульфат магния, нитрат алюминия, пероксид водорода, хлорид меди(II); допустимо использовать воду как среду.
29   Из предложенного перечня выберите вещества, между которыми
     окислительно-восстановительная реакция протекает с образованием осадка.
     В ответе запишите уравнение только одной из возможных окислительно-
     восстановительных реакций с участием выбранных веществ. Составьте
     электронный баланс, укажите окислитель и восстановитель.</x:v>
      </x:c>
      <x:c r="N3845" s="30" t="str">
        <x:v>MnCl2 + H2O2 + 2KOH → MnO2↓ + 2KCl + 2H2O.
Электронный баланс: Mn(+2) − 2e− → Mn(+4); 2O(−1) + 2e− → 2O(−2).
Окислитель — H2O2; восстановитель — MnCl2.</x:v>
      </x:c>
      <x:c r="O3845" s="30" t="str">
        <x:v>Принята полная модель решения из официального критерия после независимой проверки уравнений и расчётов.</x:v>
      </x:c>
      <x:c r="P3845" s="30" t="str">
        <x:v>Уравнение проверено по атомам и заряду; электронный баланс пересчитан отдельно.</x:v>
      </x:c>
      <x:c r="Q3845" s="30"/>
      <x:c r="R3845" s="30" t="str">
        <x:v>Официальный критерий PDF + независимая проверка</x:v>
      </x:c>
      <x:c r="S3845" s="30"/>
      <x:c r="T3845" s="30"/>
      <x:c r="U3845" s="30" t="str">
        <x:v>Расхождений не обнаружено.</x:v>
      </x:c>
      <x:c r="V3845" s="87" t="str">
        <x:v>VERIFIED</x:v>
      </x:c>
      <x:c r="W3845" s="87" t="str">
        <x:v>Zadanie_KhI11_06112025_.pdf, вариантная стр. 15; Kriterii_KhI11_06112025_.pdf</x:v>
      </x:c>
      <x:c r="X3845" s="87"/>
      <x:c r="Y3845" s="87"/>
      <x:c r="Z3845" s="87"/>
      <x:c r="AA3845" s="87"/>
      <x:c r="AB3845" s="87"/>
      <x:c r="AC3845" s="87" t="str">
        <x:v>VIS-CHEM-NOV-059</x:v>
      </x:c>
      <x:c r="AD3845" s="87"/>
      <x:c r="AE3845" s="87"/>
      <x:c r="AF3845" s="87" t="str">
        <x:v>VIS-CHEM-NOV-059: 31</x:v>
      </x:c>
      <x:c r="AG3845" s="87" t="str">
        <x:v>RESOLVED</x:v>
      </x:c>
      <x:c r="AH3845" s="87" t="str">
        <x:v>CROP_VERIFIED</x:v>
      </x:c>
      <x:c r="AI3845" s="30"/>
      <x:c r="AJ3845" s="87" t="str">
        <x:v>master</x:v>
      </x:c>
      <x:c r="AK3845" s="87" t="str">
        <x:v>master-v0.81</x:v>
      </x:c>
      <x:c r="AL3845" s="87" t="str">
        <x:v>statgrad_master_base_v0_81_final(2).xlsx</x:v>
      </x:c>
      <x:c r="AM3845" s="87" t="str">
        <x:v>CHEM_Nov_V4</x:v>
      </x:c>
      <x:c r="AN3845" s="87" t="n">
        <x:v>30</x:v>
      </x:c>
    </x:row>
    <x:row r="3846">
      <x:c r="A3846" s="87" t="n">
        <x:v>3845</x:v>
      </x:c>
      <x:c r="B3846" s="87" t="str">
        <x:v>NOV-CHEM-V4-030</x:v>
      </x:c>
      <x:c r="C3846" s="87" t="str">
        <x:v>СтатГрад</x:v>
      </x:c>
      <x:c r="D3846" s="87" t="str">
        <x:v>Ноябрь 2025</x:v>
      </x:c>
      <x:c r="E3846" s="87"/>
      <x:c r="F3846" s="87"/>
      <x:c r="G3846" s="87" t="str">
        <x:v>Химия</x:v>
      </x:c>
      <x:c r="H3846" s="87" t="n">
        <x:v>11</x:v>
      </x:c>
      <x:c r="I3846" s="87" t="str">
        <x:v>ТР №2</x:v>
      </x:c>
      <x:c r="J3846" s="87" t="str">
        <x:v>ХИ2510204</x:v>
      </x:c>
      <x:c r="K3846" s="87" t="n">
        <x:v>30</x:v>
      </x:c>
      <x:c r="L3846" s="87" t="str">
        <x:v>Развёрнутый ответ: ионный обмен</x:v>
      </x:c>
      <x:c r="M3846" s="30" t="str">
        <x:v>Для заданий 29–30 дан перечень: хлорид марганца(II), гидроксид калия, сульфат магния, нитрат алюминия, пероксид водорода, хлорид меди(II); допустимо использовать воду как среду.
30   Из предложенного перечня веществ выберите два вещества, между которыми
     возможна реакция ионного обмена, не приводящая к образованию осадка или
     выделению газа. Запишите молекулярное, полное и сокращённое ионное
     уравнения реакции с участием выбранных веществ.</x:v>
      </x:c>
      <x:c r="N3846" s="30" t="str">
        <x:v>Al(NO3)3 + 4KOH → K[Al(OH)4] + 3KNO3.
Полное ионное: Al3+ + 3NO3− + 4K+ + 4OH− → K+ + [Al(OH)4]− + 3K+ + 3NO3−.
Сокращённое ионное: Al3+ + 4OH− → [Al(OH)4]−.</x:v>
      </x:c>
      <x:c r="O3846" s="30" t="str">
        <x:v>Принята полная модель решения из официального критерия после независимой проверки уравнений и расчётов.</x:v>
      </x:c>
      <x:c r="P3846" s="30" t="str">
        <x:v>Молекулярное, полное и сокращённое ионные уравнения проверены по атомам и заряду.</x:v>
      </x:c>
      <x:c r="Q3846" s="30"/>
      <x:c r="R3846" s="30" t="str">
        <x:v>Официальный критерий PDF + независимая проверка</x:v>
      </x:c>
      <x:c r="S3846" s="30"/>
      <x:c r="T3846" s="30"/>
      <x:c r="U3846" s="30" t="str">
        <x:v>Расхождений не обнаружено.</x:v>
      </x:c>
      <x:c r="V3846" s="87" t="str">
        <x:v>VERIFIED</x:v>
      </x:c>
      <x:c r="W3846" s="87" t="str">
        <x:v>Zadanie_KhI11_06112025_.pdf, вариантная стр. 15; Kriterii_KhI11_06112025_.pdf</x:v>
      </x:c>
      <x:c r="X3846" s="87"/>
      <x:c r="Y3846" s="87"/>
      <x:c r="Z3846" s="87"/>
      <x:c r="AA3846" s="87"/>
      <x:c r="AB3846" s="87"/>
      <x:c r="AC3846" s="87" t="str">
        <x:v>VIS-CHEM-NOV-059</x:v>
      </x:c>
      <x:c r="AD3846" s="87"/>
      <x:c r="AE3846" s="87"/>
      <x:c r="AF3846" s="87" t="str">
        <x:v>VIS-CHEM-NOV-059: 31</x:v>
      </x:c>
      <x:c r="AG3846" s="87" t="str">
        <x:v>RESOLVED</x:v>
      </x:c>
      <x:c r="AH3846" s="87" t="str">
        <x:v>CROP_VERIFIED</x:v>
      </x:c>
      <x:c r="AI3846" s="30"/>
      <x:c r="AJ3846" s="87" t="str">
        <x:v>master</x:v>
      </x:c>
      <x:c r="AK3846" s="87" t="str">
        <x:v>master-v0.81</x:v>
      </x:c>
      <x:c r="AL3846" s="87" t="str">
        <x:v>statgrad_master_base_v0_81_final(2).xlsx</x:v>
      </x:c>
      <x:c r="AM3846" s="87" t="str">
        <x:v>CHEM_Nov_V4</x:v>
      </x:c>
      <x:c r="AN3846" s="87" t="n">
        <x:v>31</x:v>
      </x:c>
    </x:row>
    <x:row r="3847">
      <x:c r="A3847" s="87" t="n">
        <x:v>3846</x:v>
      </x:c>
      <x:c r="B3847" s="87" t="str">
        <x:v>NOV-CHEM-V4-031</x:v>
      </x:c>
      <x:c r="C3847" s="87" t="str">
        <x:v>СтатГрад</x:v>
      </x:c>
      <x:c r="D3847" s="87" t="str">
        <x:v>Ноябрь 2025</x:v>
      </x:c>
      <x:c r="E3847" s="87"/>
      <x:c r="F3847" s="87"/>
      <x:c r="G3847" s="87" t="str">
        <x:v>Химия</x:v>
      </x:c>
      <x:c r="H3847" s="87" t="n">
        <x:v>11</x:v>
      </x:c>
      <x:c r="I3847" s="87" t="str">
        <x:v>ТР №2</x:v>
      </x:c>
      <x:c r="J3847" s="87" t="str">
        <x:v>ХИ2510204</x:v>
      </x:c>
      <x:c r="K3847" s="87" t="n">
        <x:v>31</x:v>
      </x:c>
      <x:c r="L3847" s="87" t="str">
        <x:v>Развёрнутый ответ: неорганическая цепочка</x:v>
      </x:c>
      <x:c r="M3847" s="30" t="str">
        <x:v>31   Сульфид меди(II) растворили при нагревании в концентрированной серной
     кислоте, выделившийся газ пропустили через иодную воду, в результате чего
     раствор обесцветился. Раствор, оставшийся после реакции с серной кислотой,
     разбавили водой и добавили к нему бесцветный раствор, полученный
     из иодной воды. Образовался тёмный раствор, из которого выпал осадок.
     Последний отфильтровали и растворили в аммиачной воде.
     Напишите молекулярные уравнения четырёх описанных реакций.</x:v>
      </x:c>
      <x:c r="N3847" s="30" t="str">
        <x:v>1) CuS + 4H2SO4(конц.) → CuSO4 + 4SO2↑ + 4H2O.
2) SO2 + I2 + 2H2O → 2HI + H2SO4.
3) 2CuSO4 + 4HI → 2CuI↓ + I2 + 2H2SO4.
4) CuI + 2NH3 → [Cu(NH3)2]I.</x:v>
      </x:c>
      <x:c r="O3847" s="30" t="str">
        <x:v>Принята полная модель решения из официального критерия после независимой проверки уравнений и расчётов.</x:v>
      </x:c>
      <x:c r="P3847" s="30" t="str">
        <x:v>Все четыре уравнения последовательности проверены по веществам, атомам и условиям.</x:v>
      </x:c>
      <x:c r="Q3847" s="30"/>
      <x:c r="R3847" s="30" t="str">
        <x:v>Официальный критерий PDF + независимая проверка</x:v>
      </x:c>
      <x:c r="S3847" s="30"/>
      <x:c r="T3847" s="30"/>
      <x:c r="U3847" s="30" t="str">
        <x:v>Расхождений не обнаружено.</x:v>
      </x:c>
      <x:c r="V3847" s="87" t="str">
        <x:v>VERIFIED</x:v>
      </x:c>
      <x:c r="W3847" s="87" t="str">
        <x:v>Zadanie_KhI11_06112025_.pdf, вариантная стр. 15; Kriterii_KhI11_06112025_.pdf</x:v>
      </x:c>
      <x:c r="X3847" s="87"/>
      <x:c r="Y3847" s="87"/>
      <x:c r="Z3847" s="87"/>
      <x:c r="AA3847" s="87"/>
      <x:c r="AB3847" s="87"/>
      <x:c r="AC3847" s="87" t="str">
        <x:v>VIS-CHEM-NOV-059</x:v>
      </x:c>
      <x:c r="AD3847" s="87"/>
      <x:c r="AE3847" s="87"/>
      <x:c r="AF3847" s="87" t="str">
        <x:v>VIS-CHEM-NOV-059: 31</x:v>
      </x:c>
      <x:c r="AG3847" s="87" t="str">
        <x:v>RESOLVED</x:v>
      </x:c>
      <x:c r="AH3847" s="87" t="str">
        <x:v>CROP_VERIFIED</x:v>
      </x:c>
      <x:c r="AI3847" s="30"/>
      <x:c r="AJ3847" s="87" t="str">
        <x:v>master</x:v>
      </x:c>
      <x:c r="AK3847" s="87" t="str">
        <x:v>master-v0.81</x:v>
      </x:c>
      <x:c r="AL3847" s="87" t="str">
        <x:v>statgrad_master_base_v0_81_final(2).xlsx</x:v>
      </x:c>
      <x:c r="AM3847" s="87" t="str">
        <x:v>CHEM_Nov_V4</x:v>
      </x:c>
      <x:c r="AN3847" s="87" t="n">
        <x:v>32</x:v>
      </x:c>
    </x:row>
    <x:row r="3848">
      <x:c r="A3848" s="87" t="n">
        <x:v>3847</x:v>
      </x:c>
      <x:c r="B3848" s="87" t="str">
        <x:v>NOV-CHEM-V4-032</x:v>
      </x:c>
      <x:c r="C3848" s="87" t="str">
        <x:v>СтатГрад</x:v>
      </x:c>
      <x:c r="D3848" s="87" t="str">
        <x:v>Ноябрь 2025</x:v>
      </x:c>
      <x:c r="E3848" s="87"/>
      <x:c r="F3848" s="87"/>
      <x:c r="G3848" s="87" t="str">
        <x:v>Химия</x:v>
      </x:c>
      <x:c r="H3848" s="87" t="n">
        <x:v>11</x:v>
      </x:c>
      <x:c r="I3848" s="87" t="str">
        <x:v>ТР №2</x:v>
      </x:c>
      <x:c r="J3848" s="87" t="str">
        <x:v>ХИ2510204</x:v>
      </x:c>
      <x:c r="K3848" s="87" t="n">
        <x:v>32</x:v>
      </x:c>
      <x:c r="L3848" s="87" t="str">
        <x:v>Развёрнутый ответ: органическая цепочка</x:v>
      </x:c>
      <x:c r="M3848" s="30" t="str">
        <x:v>32   Напишите уравнения реакций, с помощью которых можно осуществить
     следующие превращения:
                                                  CuO, t          Br (изб.), H O
         H 2 N(CH 2 ) 6 NH 2 → HO(CH 2 ) 6 OH → X 1 
                                                          2   2
                                                                → X2 →
                                   → X 3 → циклопентанон.
     При написании уравнений реакций указывайте преимущественно
     образующиеся продукты, используйте структурные формулы органических
     веществ.</x:v>
      </x:c>
      <x:c r="N3848" s="30" t="str">
        <x:v>1) H2N(CH2)6NH2 + 2HNO2 → HO(CH2)6OH + 2N2↑ + 2H2O.
2) HO(CH2)6OH + 2CuO → OHC(CH2)4CHO + 2Cu + 2H2O.
3) OHC(CH2)4CHO + 2Br2 + 2H2O → HOOC(CH2)4COOH + 4HBr.
4) HOOC(CH2)4COOH + Ca(OH)2 → (CH2)4(COO)2Ca + 2H2O.
5) (CH2)4(COO)2Ca → циклопентанон + CaCO3.</x:v>
      </x:c>
      <x:c r="O3848" s="30" t="str">
        <x:v>Принята полная модель решения из официального критерия после независимой проверки уравнений и расчётов.</x:v>
      </x:c>
      <x:c r="P3848" s="30" t="str">
        <x:v>Пять стадий цепочки проверены по функциональным группам и преимущественным продуктам.</x:v>
      </x:c>
      <x:c r="Q3848" s="30"/>
      <x:c r="R3848" s="30" t="str">
        <x:v>Официальный критерий PDF + независимая проверка</x:v>
      </x:c>
      <x:c r="S3848" s="30"/>
      <x:c r="T3848" s="30"/>
      <x:c r="U3848" s="30" t="str">
        <x:v>Расхождений не обнаружено.</x:v>
      </x:c>
      <x:c r="V3848" s="87" t="str">
        <x:v>VERIFIED</x:v>
      </x:c>
      <x:c r="W3848" s="87" t="str">
        <x:v>Zadanie_KhI11_06112025_.pdf, вариантная стр. 15; Kriterii_KhI11_06112025_.pdf</x:v>
      </x:c>
      <x:c r="X3848" s="87"/>
      <x:c r="Y3848" s="87"/>
      <x:c r="Z3848" s="87"/>
      <x:c r="AA3848" s="87"/>
      <x:c r="AB3848" s="87"/>
      <x:c r="AC3848" s="87" t="str">
        <x:v>VIS-CHEM-NOV-059</x:v>
      </x:c>
      <x:c r="AD3848" s="87"/>
      <x:c r="AE3848" s="87"/>
      <x:c r="AF3848" s="87" t="str">
        <x:v>VIS-CHEM-NOV-059: 31</x:v>
      </x:c>
      <x:c r="AG3848" s="87" t="str">
        <x:v>RESOLVED</x:v>
      </x:c>
      <x:c r="AH3848" s="87" t="str">
        <x:v>CROP_VERIFIED</x:v>
      </x:c>
      <x:c r="AI3848" s="30"/>
      <x:c r="AJ3848" s="87" t="str">
        <x:v>master</x:v>
      </x:c>
      <x:c r="AK3848" s="87" t="str">
        <x:v>master-v0.81</x:v>
      </x:c>
      <x:c r="AL3848" s="87" t="str">
        <x:v>statgrad_master_base_v0_81_final(2).xlsx</x:v>
      </x:c>
      <x:c r="AM3848" s="87" t="str">
        <x:v>CHEM_Nov_V4</x:v>
      </x:c>
      <x:c r="AN3848" s="87" t="n">
        <x:v>33</x:v>
      </x:c>
    </x:row>
    <x:row r="3849">
      <x:c r="A3849" s="87" t="n">
        <x:v>3848</x:v>
      </x:c>
      <x:c r="B3849" s="87" t="str">
        <x:v>NOV-CHEM-V4-033</x:v>
      </x:c>
      <x:c r="C3849" s="87" t="str">
        <x:v>СтатГрад</x:v>
      </x:c>
      <x:c r="D3849" s="87" t="str">
        <x:v>Ноябрь 2025</x:v>
      </x:c>
      <x:c r="E3849" s="87"/>
      <x:c r="F3849" s="87"/>
      <x:c r="G3849" s="87" t="str">
        <x:v>Химия</x:v>
      </x:c>
      <x:c r="H3849" s="87" t="n">
        <x:v>11</x:v>
      </x:c>
      <x:c r="I3849" s="87" t="str">
        <x:v>ТР №2</x:v>
      </x:c>
      <x:c r="J3849" s="87" t="str">
        <x:v>ХИ2510204</x:v>
      </x:c>
      <x:c r="K3849" s="87" t="n">
        <x:v>33</x:v>
      </x:c>
      <x:c r="L3849" s="87" t="str">
        <x:v>Развёрнутый ответ: установление формулы</x:v>
      </x:c>
      <x:c r="M3849" s="30" t="str">
        <x:v>33   Органическое вещество А, широко используемое в производстве пластмасс,
     состоит из трёх элементов. Оно содержит 5,7 % водорода и 26,4 % азота
     по массе. Вещество А образуется при окислении пропена кислородом
     воздуха в присутствии аммиака. Оно легко вступает в реакции
     полимеризации и сополимеризации.
     На основании данных условия задачи:
     1) установите молекулярную формулу вещества A;
     2) составьте возможную структурную формулу вещества A, которая
     однозначно отражает порядок связи атомов в его молекуле;
     3) напишите уравнение описанной реакции получения A (используйте
     структурные формулы органических веществ).</x:v>
      </x:c>
      <x:c r="N3849" s="30" t="str">
        <x:v>Массовые соотношения дают C:H:N = 3:3:1, поэтому молекулярная формула A — C3H3N. Вещество A — акрилонитрил CH2=CH–CN.
Получение: 2CH2=CH–CH3 + 2NH3 + 3O2 → 2CH2=CH–CN + 6H2O.</x:v>
      </x:c>
      <x:c r="O3849" s="30" t="str">
        <x:v>Принята полная модель решения из официального критерия после независимой проверки уравнений и расчётов.</x:v>
      </x:c>
      <x:c r="P3849" s="30" t="str">
        <x:v>Элементный состав пересчитан, формула и строение сопоставлены с описанными свойствами.</x:v>
      </x:c>
      <x:c r="Q3849" s="30"/>
      <x:c r="R3849" s="30" t="str">
        <x:v>Официальный критерий PDF + независимая проверка</x:v>
      </x:c>
      <x:c r="S3849" s="30"/>
      <x:c r="T3849" s="30"/>
      <x:c r="U3849" s="30" t="str">
        <x:v>Расхождений не обнаружено.</x:v>
      </x:c>
      <x:c r="V3849" s="87" t="str">
        <x:v>VERIFIED</x:v>
      </x:c>
      <x:c r="W3849" s="87" t="str">
        <x:v>Zadanie_KhI11_06112025_.pdf, вариантная стр. 16; Kriterii_KhI11_06112025_.pdf</x:v>
      </x:c>
      <x:c r="X3849" s="87"/>
      <x:c r="Y3849" s="87"/>
      <x:c r="Z3849" s="87"/>
      <x:c r="AA3849" s="87"/>
      <x:c r="AB3849" s="87"/>
      <x:c r="AC3849" s="87" t="str">
        <x:v>VIS-CHEM-NOV-060</x:v>
      </x:c>
      <x:c r="AD3849" s="87"/>
      <x:c r="AE3849" s="87"/>
      <x:c r="AF3849" s="87" t="str">
        <x:v>VIS-CHEM-NOV-060: 32</x:v>
      </x:c>
      <x:c r="AG3849" s="87" t="str">
        <x:v>RESOLVED</x:v>
      </x:c>
      <x:c r="AH3849" s="87" t="str">
        <x:v>CROP_VERIFIED</x:v>
      </x:c>
      <x:c r="AI3849" s="30"/>
      <x:c r="AJ3849" s="87" t="str">
        <x:v>master</x:v>
      </x:c>
      <x:c r="AK3849" s="87" t="str">
        <x:v>master-v0.81</x:v>
      </x:c>
      <x:c r="AL3849" s="87" t="str">
        <x:v>statgrad_master_base_v0_81_final(2).xlsx</x:v>
      </x:c>
      <x:c r="AM3849" s="87" t="str">
        <x:v>CHEM_Nov_V4</x:v>
      </x:c>
      <x:c r="AN3849" s="87" t="n">
        <x:v>34</x:v>
      </x:c>
    </x:row>
    <x:row r="3850">
      <x:c r="A3850" s="87" t="n">
        <x:v>3849</x:v>
      </x:c>
      <x:c r="B3850" s="87" t="str">
        <x:v>NOV-CHEM-V4-034</x:v>
      </x:c>
      <x:c r="C3850" s="87" t="str">
        <x:v>СтатГрад</x:v>
      </x:c>
      <x:c r="D3850" s="87" t="str">
        <x:v>Ноябрь 2025</x:v>
      </x:c>
      <x:c r="E3850" s="87"/>
      <x:c r="F3850" s="87"/>
      <x:c r="G3850" s="87" t="str">
        <x:v>Химия</x:v>
      </x:c>
      <x:c r="H3850" s="87" t="n">
        <x:v>11</x:v>
      </x:c>
      <x:c r="I3850" s="87" t="str">
        <x:v>ТР №2</x:v>
      </x:c>
      <x:c r="J3850" s="87" t="str">
        <x:v>ХИ2510204</x:v>
      </x:c>
      <x:c r="K3850" s="87" t="n">
        <x:v>34</x:v>
      </x:c>
      <x:c r="L3850" s="87" t="str">
        <x:v>Развёрнутый ответ: расчётная задача</x:v>
      </x:c>
      <x:c r="M3850" s="30" t="str">
        <x:v>34   Навеска фосфора массой 24,8 г прореагировала с 20,16 л (н. у.) кислорода.
     Полученное твёрдое вещество растворили в 300 г воды. Определите
     массовые доли фосфорсодержащих веществ в полученном растворе.
     В ответе запишите уравнения реакций, которые указаны в условии задачи,
     и приведите все необходимые вычисления (указывайте единицы измерения
     и обозначения искомых физических величин).</x:v>
      </x:c>
      <x:c r="N3850" s="30" t="str">
        <x:v>n(P)=24,8/31=0,8 моль; n(O2)=20,16/22,4=0,9 моль.
4P+3O2→2P2O3; 4P+5O2→2P2O5. Из баланса: n(P2O3)=0,1 моль, n(P2O5)=0,3 моль.
P2O3+3H2O→2H3PO3; P2O5+3H2O→2H3PO4.
m(раствора)=300+0,1·110+0,3·142=353,6 г.
ω(H3PO3)=4,64%; ω(H3PO4)=16,63%.</x:v>
      </x:c>
      <x:c r="O3850" s="30" t="str">
        <x:v>Принята полная модель решения из официального критерия после независимой проверки уравнений и расчётов.</x:v>
      </x:c>
      <x:c r="P3850" s="30" t="str">
        <x:v>Все количества веществ, уравнения и массовые доли пересчитаны независимо.</x:v>
      </x:c>
      <x:c r="Q3850" s="30"/>
      <x:c r="R3850" s="30" t="str">
        <x:v>Официальный критерий PDF + независимая проверка</x:v>
      </x:c>
      <x:c r="S3850" s="30"/>
      <x:c r="T3850" s="30"/>
      <x:c r="U3850" s="30" t="str">
        <x:v>В официальном критерии напечатано P2O5 + 4H2O → 2H3PO4; уравнение не сбалансировано. Исправлено на P2O5 + 3H2O → 2H3PO4. Числовой итог критерия остаётся верным.</x:v>
      </x:c>
      <x:c r="V3850" s="87" t="str">
        <x:v>KEY_MISMATCH</x:v>
      </x:c>
      <x:c r="W3850" s="87" t="str">
        <x:v>Zadanie_KhI11_06112025_.pdf, вариантная стр. 16; Kriterii_KhI11_06112025_.pdf</x:v>
      </x:c>
      <x:c r="X3850" s="87"/>
      <x:c r="Y3850" s="87"/>
      <x:c r="Z3850" s="87"/>
      <x:c r="AA3850" s="87"/>
      <x:c r="AB3850" s="87"/>
      <x:c r="AC3850" s="87" t="str">
        <x:v>VIS-CHEM-NOV-060</x:v>
      </x:c>
      <x:c r="AD3850" s="87"/>
      <x:c r="AE3850" s="87"/>
      <x:c r="AF3850" s="87" t="str">
        <x:v>VIS-CHEM-NOV-060: 32</x:v>
      </x:c>
      <x:c r="AG3850" s="87" t="str">
        <x:v>RESOLVED</x:v>
      </x:c>
      <x:c r="AH3850" s="87" t="str">
        <x:v>CROP_VERIFIED</x:v>
      </x:c>
      <x:c r="AI3850" s="30"/>
      <x:c r="AJ3850" s="87" t="str">
        <x:v>master</x:v>
      </x:c>
      <x:c r="AK3850" s="87" t="str">
        <x:v>master-v0.81</x:v>
      </x:c>
      <x:c r="AL3850" s="87" t="str">
        <x:v>statgrad_master_base_v0_81_final(2).xlsx</x:v>
      </x:c>
      <x:c r="AM3850" s="87" t="str">
        <x:v>CHEM_Nov_V4</x:v>
      </x:c>
      <x:c r="AN3850" s="87" t="n">
        <x:v>35</x:v>
      </x:c>
    </x:row>
    <x:row r="3851">
      <x:c r="A3851" s="87" t="n">
        <x:v>3850</x:v>
      </x:c>
      <x:c r="B3851" s="87" t="str">
        <x:v>NOV-SOC-V1-001</x:v>
      </x:c>
      <x:c r="C3851" s="87" t="str">
        <x:v>СтатГрад</x:v>
      </x:c>
      <x:c r="D3851" s="87" t="str">
        <x:v>Ноябрь 2025</x:v>
      </x:c>
      <x:c r="E3851" s="87"/>
      <x:c r="F3851" s="87"/>
      <x:c r="G3851" s="87" t="str">
        <x:v>Обществознание</x:v>
      </x:c>
      <x:c r="H3851" s="87" t="n">
        <x:v>11</x:v>
      </x:c>
      <x:c r="I3851" s="87" t="str">
        <x:v>ТР №2</x:v>
      </x:c>
      <x:c r="J3851" s="87" t="str">
        <x:v>ОБ2510201</x:v>
      </x:c>
      <x:c r="K3851" s="87" t="n">
        <x:v>1</x:v>
      </x:c>
      <x:c r="L3851" s="87" t="str">
        <x:v>Динамика общественного развития</x:v>
      </x:c>
      <x:c r="M3851" s="30" t="str">
        <x:v>Ниже приведён ряд понятий. Все они, за исключением двух, характеризуют
    динамику общественного развития.
    1) общественное производство; 2) социальное неравенство; 3) социальная
    эволюция; 4) научно-техническая революция; 5) общественный прогресс;
    6) социальная реформа.
    Найдите два понятия, «выпадающие» из общего ряда, и запишите в таблицу
    цифры, под которыми они указаны.</x:v>
      </x:c>
      <x:c r="N3851" s="30" t="str">
        <x:v>12</x:v>
      </x:c>
      <x:c r="O3851" s="30" t="str">
        <x:v>Официальный ответ 12; тот же ответ повторяется у идентичного задания в ОБ2510203.</x:v>
      </x:c>
      <x:c r="P3851" s="30" t="str">
        <x:v>Сверены официальный ключ и независимая постраничная конструкция смешанного варианта ОБ2510203.</x:v>
      </x:c>
      <x:c r="Q3851" s="30"/>
      <x:c r="R3851" s="30" t="str">
        <x:v>Официальная таблица ответов + перекрёстная проверка смешанного варианта</x:v>
      </x:c>
      <x:c r="S3851" s="30"/>
      <x:c r="T3851" s="30"/>
      <x:c r="U3851" s="30" t="str">
        <x:v>Расхождений не обнаружено.</x:v>
      </x:c>
      <x:c r="V3851" s="87" t="str">
        <x:v>VERIFIED</x:v>
      </x:c>
      <x:c r="W3851" s="87" t="str">
        <x:v>Zadanie_OB11_07112025.pdf, вариантная стр. 2</x:v>
      </x:c>
      <x:c r="X3851" s="87"/>
      <x:c r="Y3851" s="87"/>
      <x:c r="Z3851" s="87"/>
      <x:c r="AA3851" s="87"/>
      <x:c r="AB3851" s="87"/>
      <x:c r="AC3851" s="87"/>
      <x:c r="AD3851" s="87"/>
      <x:c r="AE3851" s="87"/>
      <x:c r="AF3851" s="87"/>
      <x:c r="AG3851" s="87"/>
      <x:c r="AH3851" s="87"/>
      <x:c r="AI3851" s="30"/>
      <x:c r="AJ3851" s="87" t="str">
        <x:v>master</x:v>
      </x:c>
      <x:c r="AK3851" s="87" t="str">
        <x:v>master-v0.81</x:v>
      </x:c>
      <x:c r="AL3851" s="87" t="str">
        <x:v>statgrad_master_base_v0_81_final(2).xlsx</x:v>
      </x:c>
      <x:c r="AM3851" s="87" t="str">
        <x:v>SOC_Nov_V1</x:v>
      </x:c>
      <x:c r="AN3851" s="87" t="n">
        <x:v>2</x:v>
      </x:c>
    </x:row>
    <x:row r="3852">
      <x:c r="A3852" s="87" t="n">
        <x:v>3851</x:v>
      </x:c>
      <x:c r="B3852" s="87" t="str">
        <x:v>NOV-SOC-V1-002</x:v>
      </x:c>
      <x:c r="C3852" s="87" t="str">
        <x:v>СтатГрад</x:v>
      </x:c>
      <x:c r="D3852" s="87" t="str">
        <x:v>Ноябрь 2025</x:v>
      </x:c>
      <x:c r="E3852" s="87"/>
      <x:c r="F3852" s="87"/>
      <x:c r="G3852" s="87" t="str">
        <x:v>Обществознание</x:v>
      </x:c>
      <x:c r="H3852" s="87" t="n">
        <x:v>11</x:v>
      </x:c>
      <x:c r="I3852" s="87" t="str">
        <x:v>ТР №2</x:v>
      </x:c>
      <x:c r="J3852" s="87" t="str">
        <x:v>ОБ2510201</x:v>
      </x:c>
      <x:c r="K3852" s="87" t="n">
        <x:v>2</x:v>
      </x:c>
      <x:c r="L3852" s="87" t="str">
        <x:v>Традиционные духовные ценности</x:v>
      </x:c>
      <x:c r="M3852" s="30" t="str">
        <x:v>Выберите верные суждения о традиционных духовных ценностях
    российского общества и запишите цифры, под которыми они указаны.
    1) Российская Федерация рассматривает традиционные ценности как основу
       российского общества, которая обеспечивает единство нашей
       многонациональной и многоконфессиональной страны.
    2) Христианство, ислам, буддизм, иудаизм влияли на формирование
       ценностей их приверженцев, не затрагивая ценности российского
       общества в целом.
    3) Осмысление социальных, культурных, технологических процессов
       и явлений с опорой на традиционные ценности помогает народу России
       сохранять общероссийскую гражданскую идентичность.
    4) Традиционные духовные ценности не могут стать объектом научного
       изучения.
    5) К традиционным ценностям относятся высокие нравственные
       идеалы, крепкая семья, созидательный труд, приоритет духовного
       над материальным.</x:v>
      </x:c>
      <x:c r="N3852" s="30" t="str">
        <x:v>135</x:v>
      </x:c>
      <x:c r="O3852" s="30" t="str">
        <x:v>Официальный ответ 135; тот же ответ повторяется у идентичного задания в ОБ2510204.</x:v>
      </x:c>
      <x:c r="P3852" s="30" t="str">
        <x:v>Сверены официальный ключ и независимая постраничная конструкция смешанного варианта ОБ2510204.</x:v>
      </x:c>
      <x:c r="Q3852" s="30"/>
      <x:c r="R3852" s="30" t="str">
        <x:v>Официальная таблица ответов + перекрёстная проверка смешанного варианта</x:v>
      </x:c>
      <x:c r="S3852" s="30"/>
      <x:c r="T3852" s="30"/>
      <x:c r="U3852" s="30" t="str">
        <x:v>Расхождений не обнаружено.</x:v>
      </x:c>
      <x:c r="V3852" s="87" t="str">
        <x:v>VERIFIED</x:v>
      </x:c>
      <x:c r="W3852" s="87" t="str">
        <x:v>Zadanie_OB11_07112025.pdf, вариантная стр. 2</x:v>
      </x:c>
      <x:c r="X3852" s="87"/>
      <x:c r="Y3852" s="87"/>
      <x:c r="Z3852" s="87"/>
      <x:c r="AA3852" s="87"/>
      <x:c r="AB3852" s="87"/>
      <x:c r="AC3852" s="87"/>
      <x:c r="AD3852" s="87"/>
      <x:c r="AE3852" s="87"/>
      <x:c r="AF3852" s="87"/>
      <x:c r="AG3852" s="87"/>
      <x:c r="AH3852" s="87"/>
      <x:c r="AI3852" s="30"/>
      <x:c r="AJ3852" s="87" t="str">
        <x:v>master</x:v>
      </x:c>
      <x:c r="AK3852" s="87" t="str">
        <x:v>master-v0.81</x:v>
      </x:c>
      <x:c r="AL3852" s="87" t="str">
        <x:v>statgrad_master_base_v0_81_final(2).xlsx</x:v>
      </x:c>
      <x:c r="AM3852" s="87" t="str">
        <x:v>SOC_Nov_V1</x:v>
      </x:c>
      <x:c r="AN3852" s="87" t="n">
        <x:v>3</x:v>
      </x:c>
    </x:row>
    <x:row r="3853">
      <x:c r="A3853" s="87" t="n">
        <x:v>3852</x:v>
      </x:c>
      <x:c r="B3853" s="87" t="str">
        <x:v>NOV-SOC-V1-003</x:v>
      </x:c>
      <x:c r="C3853" s="87" t="str">
        <x:v>СтатГрад</x:v>
      </x:c>
      <x:c r="D3853" s="87" t="str">
        <x:v>Ноябрь 2025</x:v>
      </x:c>
      <x:c r="E3853" s="87"/>
      <x:c r="F3853" s="87"/>
      <x:c r="G3853" s="87" t="str">
        <x:v>Обществознание</x:v>
      </x:c>
      <x:c r="H3853" s="87" t="n">
        <x:v>11</x:v>
      </x:c>
      <x:c r="I3853" s="87" t="str">
        <x:v>ТР №2</x:v>
      </x:c>
      <x:c r="J3853" s="87" t="str">
        <x:v>ОБ2510201</x:v>
      </x:c>
      <x:c r="K3853" s="87" t="n">
        <x:v>3</x:v>
      </x:c>
      <x:c r="L3853" s="87" t="str">
        <x:v>Виды мировоззрения</x:v>
      </x:c>
      <x:c r="M3853" s="30" t="str">
        <x:v>Установите соответствие между характерными чертами и видами
    мировоззрений: к каждой позиции, данной в первом столбце, подберите
    соответствующую позицию из второго столбца.
              ХАРАКТЕРНАЯ ЧЕРТА                             ВИД МИРОВОЗЗРЕНИЯ
    А) включает в картину мира учение                     1) религиозное
       о предназначении человека                          2) научное
    Б) требует доказательства и проверки                  3) и религиозное, и научное
       всех идей и теорий                                    мировоззрение
    В) связано с культурным наследием
       человечества
    Г) особое внимание уделяет нравственным
       идеалам и поведению
    Д) нацеливает на познание природы
       и общества, производственную
       деятельность
    Запишите в таблицу выбранные цифры под соответствующими буквами.
               А Б В Г Д</x:v>
      </x:c>
      <x:c r="N3853" s="30" t="str">
        <x:v>12312</x:v>
      </x:c>
      <x:c r="O3853" s="30" t="str">
        <x:v>Официальный ответ 12312; тот же ответ повторяется у идентичного задания в ОБ2510203.</x:v>
      </x:c>
      <x:c r="P3853" s="30" t="str">
        <x:v>Сверены официальный ключ и независимая постраничная конструкция смешанного варианта ОБ2510203.</x:v>
      </x:c>
      <x:c r="Q3853" s="30"/>
      <x:c r="R3853" s="30" t="str">
        <x:v>Официальная таблица ответов + перекрёстная проверка смешанного варианта</x:v>
      </x:c>
      <x:c r="S3853" s="30"/>
      <x:c r="T3853" s="30"/>
      <x:c r="U3853" s="30" t="str">
        <x:v>Расхождений не обнаружено.</x:v>
      </x:c>
      <x:c r="V3853" s="87" t="str">
        <x:v>VERIFIED</x:v>
      </x:c>
      <x:c r="W3853" s="87" t="str">
        <x:v>Zadanie_OB11_07112025.pdf, вариантная стр. 3</x:v>
      </x:c>
      <x:c r="X3853" s="87"/>
      <x:c r="Y3853" s="87"/>
      <x:c r="Z3853" s="87"/>
      <x:c r="AA3853" s="87"/>
      <x:c r="AB3853" s="87"/>
      <x:c r="AC3853" s="87"/>
      <x:c r="AD3853" s="87"/>
      <x:c r="AE3853" s="87"/>
      <x:c r="AF3853" s="87"/>
      <x:c r="AG3853" s="87"/>
      <x:c r="AH3853" s="87"/>
      <x:c r="AI3853" s="30"/>
      <x:c r="AJ3853" s="87" t="str">
        <x:v>master</x:v>
      </x:c>
      <x:c r="AK3853" s="87" t="str">
        <x:v>master-v0.81</x:v>
      </x:c>
      <x:c r="AL3853" s="87" t="str">
        <x:v>statgrad_master_base_v0_81_final(2).xlsx</x:v>
      </x:c>
      <x:c r="AM3853" s="87" t="str">
        <x:v>SOC_Nov_V1</x:v>
      </x:c>
      <x:c r="AN3853" s="87" t="n">
        <x:v>4</x:v>
      </x:c>
    </x:row>
    <x:row r="3854">
      <x:c r="A3854" s="87" t="n">
        <x:v>3853</x:v>
      </x:c>
      <x:c r="B3854" s="87" t="str">
        <x:v>NOV-SOC-V1-004</x:v>
      </x:c>
      <x:c r="C3854" s="87" t="str">
        <x:v>СтатГрад</x:v>
      </x:c>
      <x:c r="D3854" s="87" t="str">
        <x:v>Ноябрь 2025</x:v>
      </x:c>
      <x:c r="E3854" s="87"/>
      <x:c r="F3854" s="87"/>
      <x:c r="G3854" s="87" t="str">
        <x:v>Обществознание</x:v>
      </x:c>
      <x:c r="H3854" s="87" t="n">
        <x:v>11</x:v>
      </x:c>
      <x:c r="I3854" s="87" t="str">
        <x:v>ТР №2</x:v>
      </x:c>
      <x:c r="J3854" s="87" t="str">
        <x:v>ОБ2510201</x:v>
      </x:c>
      <x:c r="K3854" s="87" t="n">
        <x:v>4</x:v>
      </x:c>
      <x:c r="L3854" s="87" t="str">
        <x:v>Тенденции современного образования</x:v>
      </x:c>
      <x:c r="M3854" s="30" t="str">
        <x:v>На уроке одиннадцатиклассники обсуждали особенности образования
    в современном мире. Найдите в приведённом списке отличительные
    признаки, характеризующие образование в современном мире, и запишите
    цифры, под которыми они указаны.
    1) выполняет функцию социализации
    2) включает информационные технологии в образовательный процесс
    3) имеет непрерывный характер, не прекращается на протяжении жизни
       человека
    4) осуществляет подготовку к жизни и труду
    5) является одним из каналов социальной мобильности
    6) реагирует на индивидуальные запросы обучающихся, воплощает принцип
       гуманизации</x:v>
      </x:c>
      <x:c r="N3854" s="30" t="str">
        <x:v>236</x:v>
      </x:c>
      <x:c r="O3854" s="30" t="str">
        <x:v>Официальный ответ 236; тот же ответ повторяется у идентичного задания в ОБ2510204.</x:v>
      </x:c>
      <x:c r="P3854" s="30" t="str">
        <x:v>Сверены официальный ключ и независимая постраничная конструкция смешанного варианта ОБ2510204.</x:v>
      </x:c>
      <x:c r="Q3854" s="30"/>
      <x:c r="R3854" s="30" t="str">
        <x:v>Официальная таблица ответов + перекрёстная проверка смешанного варианта</x:v>
      </x:c>
      <x:c r="S3854" s="30"/>
      <x:c r="T3854" s="30"/>
      <x:c r="U3854" s="30" t="str">
        <x:v>Расхождений не обнаружено.</x:v>
      </x:c>
      <x:c r="V3854" s="87" t="str">
        <x:v>VERIFIED</x:v>
      </x:c>
      <x:c r="W3854" s="87" t="str">
        <x:v>Zadanie_OB11_07112025.pdf, вариантная стр. 3</x:v>
      </x:c>
      <x:c r="X3854" s="87"/>
      <x:c r="Y3854" s="87"/>
      <x:c r="Z3854" s="87"/>
      <x:c r="AA3854" s="87"/>
      <x:c r="AB3854" s="87"/>
      <x:c r="AC3854" s="87"/>
      <x:c r="AD3854" s="87"/>
      <x:c r="AE3854" s="87"/>
      <x:c r="AF3854" s="87"/>
      <x:c r="AG3854" s="87"/>
      <x:c r="AH3854" s="87"/>
      <x:c r="AI3854" s="30"/>
      <x:c r="AJ3854" s="87" t="str">
        <x:v>master</x:v>
      </x:c>
      <x:c r="AK3854" s="87" t="str">
        <x:v>master-v0.81</x:v>
      </x:c>
      <x:c r="AL3854" s="87" t="str">
        <x:v>statgrad_master_base_v0_81_final(2).xlsx</x:v>
      </x:c>
      <x:c r="AM3854" s="87" t="str">
        <x:v>SOC_Nov_V1</x:v>
      </x:c>
      <x:c r="AN3854" s="87" t="n">
        <x:v>5</x:v>
      </x:c>
    </x:row>
    <x:row r="3855">
      <x:c r="A3855" s="87" t="n">
        <x:v>3854</x:v>
      </x:c>
      <x:c r="B3855" s="87" t="str">
        <x:v>NOV-SOC-V1-005</x:v>
      </x:c>
      <x:c r="C3855" s="87" t="str">
        <x:v>СтатГрад</x:v>
      </x:c>
      <x:c r="D3855" s="87" t="str">
        <x:v>Ноябрь 2025</x:v>
      </x:c>
      <x:c r="E3855" s="87"/>
      <x:c r="F3855" s="87"/>
      <x:c r="G3855" s="87" t="str">
        <x:v>Обществознание</x:v>
      </x:c>
      <x:c r="H3855" s="87" t="n">
        <x:v>11</x:v>
      </x:c>
      <x:c r="I3855" s="87" t="str">
        <x:v>ТР №2</x:v>
      </x:c>
      <x:c r="J3855" s="87" t="str">
        <x:v>ОБ2510201</x:v>
      </x:c>
      <x:c r="K3855" s="87" t="n">
        <x:v>5</x:v>
      </x:c>
      <x:c r="L3855" s="87" t="str">
        <x:v>Виды рынков</x:v>
      </x:c>
      <x:c r="M3855" s="30" t="str">
        <x:v>Выберите верные суждения              о   видах     рынков      и   запишите      цифры,
    под которыми они указаны.
    1) На финансовом рынке предлагаются к продаже природные ресурсы.
    2) Рынок капитала – это система финансовых отношений, которая связывает
       владельцев свободных инвестиционных средств и организации, которые
       в них нуждаются.
    3) На рынке информации происходит обмен знаниями и правами на их
       использование.
    4) К совершенной конкуренции относят экономические отношения
       на рынке, ограничивающем свободное ценообразование и доступ новых
       продавцов.
    5) Спрос и предложение такого ресурса, как предпринимательские
       способности, регулируется на рынке труда.</x:v>
      </x:c>
      <x:c r="N3855" s="30" t="str">
        <x:v>23</x:v>
      </x:c>
      <x:c r="O3855" s="30" t="str">
        <x:v>Официальный ответ 23; тот же ответ повторяется у идентичного задания в ОБ2510203.</x:v>
      </x:c>
      <x:c r="P3855" s="30" t="str">
        <x:v>Сверены официальный ключ и независимая постраничная конструкция смешанного варианта ОБ2510203.</x:v>
      </x:c>
      <x:c r="Q3855" s="30"/>
      <x:c r="R3855" s="30" t="str">
        <x:v>Официальная таблица ответов + перекрёстная проверка смешанного варианта</x:v>
      </x:c>
      <x:c r="S3855" s="30"/>
      <x:c r="T3855" s="30"/>
      <x:c r="U3855" s="30" t="str">
        <x:v>Расхождений не обнаружено.</x:v>
      </x:c>
      <x:c r="V3855" s="87" t="str">
        <x:v>VERIFIED</x:v>
      </x:c>
      <x:c r="W3855" s="87" t="str">
        <x:v>Zadanie_OB11_07112025.pdf, вариантная стр. 4</x:v>
      </x:c>
      <x:c r="X3855" s="87"/>
      <x:c r="Y3855" s="87"/>
      <x:c r="Z3855" s="87"/>
      <x:c r="AA3855" s="87"/>
      <x:c r="AB3855" s="87"/>
      <x:c r="AC3855" s="87"/>
      <x:c r="AD3855" s="87"/>
      <x:c r="AE3855" s="87"/>
      <x:c r="AF3855" s="87"/>
      <x:c r="AG3855" s="87"/>
      <x:c r="AH3855" s="87"/>
      <x:c r="AI3855" s="30"/>
      <x:c r="AJ3855" s="87" t="str">
        <x:v>master</x:v>
      </x:c>
      <x:c r="AK3855" s="87" t="str">
        <x:v>master-v0.81</x:v>
      </x:c>
      <x:c r="AL3855" s="87" t="str">
        <x:v>statgrad_master_base_v0_81_final(2).xlsx</x:v>
      </x:c>
      <x:c r="AM3855" s="87" t="str">
        <x:v>SOC_Nov_V1</x:v>
      </x:c>
      <x:c r="AN3855" s="87" t="n">
        <x:v>6</x:v>
      </x:c>
    </x:row>
    <x:row r="3856">
      <x:c r="A3856" s="87" t="n">
        <x:v>3855</x:v>
      </x:c>
      <x:c r="B3856" s="87" t="str">
        <x:v>NOV-SOC-V1-006</x:v>
      </x:c>
      <x:c r="C3856" s="87" t="str">
        <x:v>СтатГрад</x:v>
      </x:c>
      <x:c r="D3856" s="87" t="str">
        <x:v>Ноябрь 2025</x:v>
      </x:c>
      <x:c r="E3856" s="87"/>
      <x:c r="F3856" s="87"/>
      <x:c r="G3856" s="87" t="str">
        <x:v>Обществознание</x:v>
      </x:c>
      <x:c r="H3856" s="87" t="n">
        <x:v>11</x:v>
      </x:c>
      <x:c r="I3856" s="87" t="str">
        <x:v>ТР №2</x:v>
      </x:c>
      <x:c r="J3856" s="87" t="str">
        <x:v>ОБ2510201</x:v>
      </x:c>
      <x:c r="K3856" s="87" t="n">
        <x:v>6</x:v>
      </x:c>
      <x:c r="L3856" s="87" t="str">
        <x:v>Системы налогообложения</x:v>
      </x:c>
      <x:c r="M3856" s="30" t="str">
        <x:v>Установите соответствие между примерами / ситуациями и видами систем
    налогообложения: к каждой позиции, данной в первом столбце, подберите
    соответствующую позицию из второго столбца.
               ПРИМЕР / СИТУАЦИЯ                                ВИД СИСТЕМЫ
                                                             НАЛОГООБЛОЖЕНИЯ
    А) После значительного повышения                      1) прогрессивная
       заработной платы сумма денег,                      2) пропорциональная
       уплачиваемых Петровым в качестве                   3) и прогрессивная,
       налога, выросла.                                      и пропорциональная
    Б) Рост индивидуальных доходов Кузнецова
       повлиял на изменение ставки их
       налогообложения.
    В) В стране Z действует единая ставка
       налогообложения для всех плательщиков
       налога.
    Г) Гражданин Сидоров платит 13 % налога
       с части годового дохода до 5 млн руб.
       и 15 % с остальной суммы.
    Д) Рост доходов налогоплательщиков
       привёл к увеличению получаемых
       государством средств.
    Запишите в таблицу выбранные цифры под соответствующими буквами.
               А Б В Г Д</x:v>
      </x:c>
      <x:c r="N3856" s="30" t="str">
        <x:v>31213</x:v>
      </x:c>
      <x:c r="O3856" s="30" t="str">
        <x:v>Официальный ответ 31213; тот же ответ повторяется у идентичного задания в ОБ2510204.</x:v>
      </x:c>
      <x:c r="P3856" s="30" t="str">
        <x:v>Сверены официальный ключ и независимая постраничная конструкция смешанного варианта ОБ2510204.</x:v>
      </x:c>
      <x:c r="Q3856" s="30"/>
      <x:c r="R3856" s="30" t="str">
        <x:v>Официальная таблица ответов + перекрёстная проверка смешанного варианта</x:v>
      </x:c>
      <x:c r="S3856" s="30"/>
      <x:c r="T3856" s="30"/>
      <x:c r="U3856" s="30" t="str">
        <x:v>Расхождений не обнаружено.</x:v>
      </x:c>
      <x:c r="V3856" s="87" t="str">
        <x:v>VERIFIED</x:v>
      </x:c>
      <x:c r="W3856" s="87" t="str">
        <x:v>Zadanie_OB11_07112025.pdf, вариантная стр. 4</x:v>
      </x:c>
      <x:c r="X3856" s="87"/>
      <x:c r="Y3856" s="87"/>
      <x:c r="Z3856" s="87"/>
      <x:c r="AA3856" s="87"/>
      <x:c r="AB3856" s="87"/>
      <x:c r="AC3856" s="87"/>
      <x:c r="AD3856" s="87"/>
      <x:c r="AE3856" s="87"/>
      <x:c r="AF3856" s="87"/>
      <x:c r="AG3856" s="87"/>
      <x:c r="AH3856" s="87"/>
      <x:c r="AI3856" s="30"/>
      <x:c r="AJ3856" s="87" t="str">
        <x:v>master</x:v>
      </x:c>
      <x:c r="AK3856" s="87" t="str">
        <x:v>master-v0.81</x:v>
      </x:c>
      <x:c r="AL3856" s="87" t="str">
        <x:v>statgrad_master_base_v0_81_final(2).xlsx</x:v>
      </x:c>
      <x:c r="AM3856" s="87" t="str">
        <x:v>SOC_Nov_V1</x:v>
      </x:c>
      <x:c r="AN3856" s="87" t="n">
        <x:v>7</x:v>
      </x:c>
    </x:row>
    <x:row r="3857">
      <x:c r="A3857" s="87" t="n">
        <x:v>3856</x:v>
      </x:c>
      <x:c r="B3857" s="87" t="str">
        <x:v>NOV-SOC-V1-007</x:v>
      </x:c>
      <x:c r="C3857" s="87" t="str">
        <x:v>СтатГрад</x:v>
      </x:c>
      <x:c r="D3857" s="87" t="str">
        <x:v>Ноябрь 2025</x:v>
      </x:c>
      <x:c r="E3857" s="87"/>
      <x:c r="F3857" s="87"/>
      <x:c r="G3857" s="87" t="str">
        <x:v>Обществознание</x:v>
      </x:c>
      <x:c r="H3857" s="87" t="n">
        <x:v>11</x:v>
      </x:c>
      <x:c r="I3857" s="87" t="str">
        <x:v>ТР №2</x:v>
      </x:c>
      <x:c r="J3857" s="87" t="str">
        <x:v>ОБ2510201</x:v>
      </x:c>
      <x:c r="K3857" s="87" t="n">
        <x:v>7</x:v>
      </x:c>
      <x:c r="L3857" s="87" t="str">
        <x:v>Облигации</x:v>
      </x:c>
      <x:c r="M3857" s="30" t="str">
        <x:v>Ольга Колобкова владеет ценными бумагами. Выберите из приведённого
    ниже списка позиции, свидетельствующие о том, что эти ценные бумаги
    являются облигациями. Запишите цифры, под которыми они указаны.
    1) Ценные бумаги Колобковой относятся к долговым.
    2) После погашения ценных бумаг Колобкова получит их номинальную
       стоимость и определённую дополнительную сумму денег.
    3) Покупка ценных бумаг сделала Колобкову совладелицей предприятия.
    4) Колобкова получит денежные средства по прошествии установленного
       времени.
    5) В качестве дохода Колобкова получает дивиденды.
    6) Колобкова не имеет права передать эти ценные бумаги своим
       наследникам.</x:v>
      </x:c>
      <x:c r="N3857" s="30" t="str">
        <x:v>124</x:v>
      </x:c>
      <x:c r="O3857" s="30" t="str">
        <x:v>Официальный ответ 124; тот же ответ повторяется у идентичного задания в ОБ2510203.</x:v>
      </x:c>
      <x:c r="P3857" s="30" t="str">
        <x:v>Сверены официальный ключ и независимая постраничная конструкция смешанного варианта ОБ2510203.</x:v>
      </x:c>
      <x:c r="Q3857" s="30"/>
      <x:c r="R3857" s="30" t="str">
        <x:v>Официальная таблица ответов + перекрёстная проверка смешанного варианта</x:v>
      </x:c>
      <x:c r="S3857" s="30"/>
      <x:c r="T3857" s="30"/>
      <x:c r="U3857" s="30" t="str">
        <x:v>Расхождений не обнаружено.</x:v>
      </x:c>
      <x:c r="V3857" s="87" t="str">
        <x:v>VERIFIED</x:v>
      </x:c>
      <x:c r="W3857" s="87" t="str">
        <x:v>Zadanie_OB11_07112025.pdf, вариантная стр. 5</x:v>
      </x:c>
      <x:c r="X3857" s="87"/>
      <x:c r="Y3857" s="87"/>
      <x:c r="Z3857" s="87"/>
      <x:c r="AA3857" s="87"/>
      <x:c r="AB3857" s="87"/>
      <x:c r="AC3857" s="87"/>
      <x:c r="AD3857" s="87"/>
      <x:c r="AE3857" s="87"/>
      <x:c r="AF3857" s="87"/>
      <x:c r="AG3857" s="87"/>
      <x:c r="AH3857" s="87"/>
      <x:c r="AI3857" s="30"/>
      <x:c r="AJ3857" s="87" t="str">
        <x:v>master</x:v>
      </x:c>
      <x:c r="AK3857" s="87" t="str">
        <x:v>master-v0.81</x:v>
      </x:c>
      <x:c r="AL3857" s="87" t="str">
        <x:v>statgrad_master_base_v0_81_final(2).xlsx</x:v>
      </x:c>
      <x:c r="AM3857" s="87" t="str">
        <x:v>SOC_Nov_V1</x:v>
      </x:c>
      <x:c r="AN3857" s="87" t="n">
        <x:v>8</x:v>
      </x:c>
    </x:row>
    <x:row r="3858">
      <x:c r="A3858" s="87" t="n">
        <x:v>3857</x:v>
      </x:c>
      <x:c r="B3858" s="87" t="str">
        <x:v>NOV-SOC-V1-008</x:v>
      </x:c>
      <x:c r="C3858" s="87" t="str">
        <x:v>СтатГрад</x:v>
      </x:c>
      <x:c r="D3858" s="87" t="str">
        <x:v>Ноябрь 2025</x:v>
      </x:c>
      <x:c r="E3858" s="87"/>
      <x:c r="F3858" s="87"/>
      <x:c r="G3858" s="87" t="str">
        <x:v>Обществознание</x:v>
      </x:c>
      <x:c r="H3858" s="87" t="n">
        <x:v>11</x:v>
      </x:c>
      <x:c r="I3858" s="87" t="str">
        <x:v>ТР №2</x:v>
      </x:c>
      <x:c r="J3858" s="87" t="str">
        <x:v>ОБ2510201</x:v>
      </x:c>
      <x:c r="K3858" s="87" t="n">
        <x:v>8</x:v>
      </x:c>
      <x:c r="L3858" s="87" t="str">
        <x:v>Социальные группы</x:v>
      </x:c>
      <x:c r="M3858" s="30" t="str">
        <x:v>Выберите верные суждения о социальных группах и их видах и запишите
    цифры, под которыми они указаны.
    1) В социальной группе формируются статусно-ролевая структура
       и определённые нормы поведения.
    2) В современном обществе человек не может быть членом множества
       социальных групп одновременно.
    3) В основе характеристики городских и сельских социальных групп лежит
       показатель уровня доходов.
    4) По способу регулирования взаимодействия участников выделяют
       формальные и неформальные группы.
    5) Маргинальные группы занимают неустойчивое, промежуточное,
       пограничное положение в сложившейся социальной структуре общества.</x:v>
      </x:c>
      <x:c r="N3858" s="30" t="str">
        <x:v>145</x:v>
      </x:c>
      <x:c r="O3858" s="30" t="str">
        <x:v>Официальный ответ 145; тот же ответ повторяется у идентичного задания в ОБ2510204.</x:v>
      </x:c>
      <x:c r="P3858" s="30" t="str">
        <x:v>Сверены официальный ключ и независимая постраничная конструкция смешанного варианта ОБ2510204.</x:v>
      </x:c>
      <x:c r="Q3858" s="30"/>
      <x:c r="R3858" s="30" t="str">
        <x:v>Официальная таблица ответов + перекрёстная проверка смешанного варианта</x:v>
      </x:c>
      <x:c r="S3858" s="30"/>
      <x:c r="T3858" s="30"/>
      <x:c r="U3858" s="30" t="str">
        <x:v>Расхождений не обнаружено.</x:v>
      </x:c>
      <x:c r="V3858" s="87" t="str">
        <x:v>VERIFIED</x:v>
      </x:c>
      <x:c r="W3858" s="87" t="str">
        <x:v>Zadanie_OB11_07112025.pdf, вариантная стр. 5</x:v>
      </x:c>
      <x:c r="X3858" s="87"/>
      <x:c r="Y3858" s="87"/>
      <x:c r="Z3858" s="87"/>
      <x:c r="AA3858" s="87"/>
      <x:c r="AB3858" s="87"/>
      <x:c r="AC3858" s="87"/>
      <x:c r="AD3858" s="87"/>
      <x:c r="AE3858" s="87"/>
      <x:c r="AF3858" s="87"/>
      <x:c r="AG3858" s="87"/>
      <x:c r="AH3858" s="87"/>
      <x:c r="AI3858" s="30"/>
      <x:c r="AJ3858" s="87" t="str">
        <x:v>master</x:v>
      </x:c>
      <x:c r="AK3858" s="87" t="str">
        <x:v>master-v0.81</x:v>
      </x:c>
      <x:c r="AL3858" s="87" t="str">
        <x:v>statgrad_master_base_v0_81_final(2).xlsx</x:v>
      </x:c>
      <x:c r="AM3858" s="87" t="str">
        <x:v>SOC_Nov_V1</x:v>
      </x:c>
      <x:c r="AN3858" s="87" t="n">
        <x:v>9</x:v>
      </x:c>
    </x:row>
    <x:row r="3859">
      <x:c r="A3859" s="87" t="n">
        <x:v>3858</x:v>
      </x:c>
      <x:c r="B3859" s="87" t="str">
        <x:v>NOV-SOC-V1-009</x:v>
      </x:c>
      <x:c r="C3859" s="87" t="str">
        <x:v>СтатГрад</x:v>
      </x:c>
      <x:c r="D3859" s="87" t="str">
        <x:v>Ноябрь 2025</x:v>
      </x:c>
      <x:c r="E3859" s="87"/>
      <x:c r="F3859" s="87"/>
      <x:c r="G3859" s="87" t="str">
        <x:v>Обществознание</x:v>
      </x:c>
      <x:c r="H3859" s="87" t="n">
        <x:v>11</x:v>
      </x:c>
      <x:c r="I3859" s="87" t="str">
        <x:v>ТР №2</x:v>
      </x:c>
      <x:c r="J3859" s="87" t="str">
        <x:v>ОБ2510201</x:v>
      </x:c>
      <x:c r="K3859" s="87" t="n">
        <x:v>9</x:v>
      </x:c>
      <x:c r="L3859" s="87" t="str">
        <x:v>Социологическая диаграмма</x:v>
      </x:c>
      <x:c r="M3859" s="30" t="str">
        <x:v>В ходе социологических опросов совершеннолетним гражданам задавали
    вопрос: «В какой степени Ваши доходы зависят от Ваших профессионально-
    квалификационных навыков (образования, знаний, опыта и так далее)?»
    (Закрытый вопрос, один ответ.) Результаты опроса (в % от числа отвечавших)
    приведены на диаграмме.
    Найдите в приведённом списке выводы, которые можно сделать на основе
    диаграммы, и запишите цифры, под которыми они указаны.
    1) В 2025 г. доля опрошенных, которые указали, что их доходы очень
       сильно и достаточно сильно зависят от профессионально-
       квалификационных навыков, составляет 30 % от количества
       респондентов.
    2) Доля тех, кто ответил, что их доходы слабо зависят от профессионально-
       квалификационных навыков, в 2005 г. была примерно вдвое больше, чем
       в 2025 г.
    3) Доля опрошенных в 2005 г., которые указали, что их доходы никак
       не    зависят    от    профессионально-квалификационных       навыков,
       не превышает долю опрошенных в 2025 г., чьи доходы зависят от них
       отчасти.
    4) Доля опрошенных, которые затруднились с ответом, с течением времени
       незначительно возросла.
    5) В 2005 г. доля опрошенных, которые указали, что их доходы достаточно
       сильно зависят от профессионально-квалификационных навыков,
       составляет примерно пятую часть от числа опрошенных.</x:v>
      </x:c>
      <x:c r="N3859" s="30" t="str">
        <x:v>245</x:v>
      </x:c>
      <x:c r="O3859" s="30" t="str">
        <x:v>Официальный ответ 245; тот же ответ повторяется у идентичного задания в ОБ2510203.</x:v>
      </x:c>
      <x:c r="P3859" s="30" t="str">
        <x:v>Сверены официальный ключ и независимая постраничная конструкция смешанного варианта ОБ2510203.</x:v>
      </x:c>
      <x:c r="Q3859" s="30"/>
      <x:c r="R3859" s="30" t="str">
        <x:v>Официальная таблица ответов + перекрёстная проверка смешанного варианта</x:v>
      </x:c>
      <x:c r="S3859" s="30"/>
      <x:c r="T3859" s="30"/>
      <x:c r="U3859" s="30" t="str">
        <x:v>Расхождений не обнаружено.</x:v>
      </x:c>
      <x:c r="V3859" s="87" t="str">
        <x:v>VERIFIED</x:v>
      </x:c>
      <x:c r="W3859" s="87" t="str">
        <x:v>Zadanie_OB11_07112025.pdf, вариантная стр. 6</x:v>
      </x:c>
      <x:c r="X3859" s="87"/>
      <x:c r="Y3859" s="87"/>
      <x:c r="Z3859" s="87"/>
      <x:c r="AA3859" s="87"/>
      <x:c r="AB3859" s="87"/>
      <x:c r="AC3859" s="87" t="str">
        <x:v>VIS-SOC-NOV-001</x:v>
      </x:c>
      <x:c r="AD3859" s="87"/>
      <x:c r="AE3859" s="87"/>
      <x:c r="AF3859" s="87" t="str">
        <x:v>VIS-SOC-NOV-001: 6</x:v>
      </x:c>
      <x:c r="AG3859" s="87" t="str">
        <x:v>RESOLVED</x:v>
      </x:c>
      <x:c r="AH3859" s="87" t="str">
        <x:v>CROP_VERIFIED; TASK_CROP_QA_APPROVED:USE_TIGHT</x:v>
      </x:c>
      <x:c r="AI3859" s="30"/>
      <x:c r="AJ3859" s="87" t="str">
        <x:v>master</x:v>
      </x:c>
      <x:c r="AK3859" s="87" t="str">
        <x:v>master-v0.81</x:v>
      </x:c>
      <x:c r="AL3859" s="87" t="str">
        <x:v>statgrad_master_base_v0_81_final(2).xlsx</x:v>
      </x:c>
      <x:c r="AM3859" s="87" t="str">
        <x:v>SOC_Nov_V1</x:v>
      </x:c>
      <x:c r="AN3859" s="87" t="n">
        <x:v>10</x:v>
      </x:c>
    </x:row>
    <x:row r="3860">
      <x:c r="A3860" s="87" t="n">
        <x:v>3859</x:v>
      </x:c>
      <x:c r="B3860" s="87" t="str">
        <x:v>NOV-SOC-V1-010</x:v>
      </x:c>
      <x:c r="C3860" s="87" t="str">
        <x:v>СтатГрад</x:v>
      </x:c>
      <x:c r="D3860" s="87" t="str">
        <x:v>Ноябрь 2025</x:v>
      </x:c>
      <x:c r="E3860" s="87"/>
      <x:c r="F3860" s="87"/>
      <x:c r="G3860" s="87" t="str">
        <x:v>Обществознание</x:v>
      </x:c>
      <x:c r="H3860" s="87" t="n">
        <x:v>11</x:v>
      </x:c>
      <x:c r="I3860" s="87" t="str">
        <x:v>ТР №2</x:v>
      </x:c>
      <x:c r="J3860" s="87" t="str">
        <x:v>ОБ2510201</x:v>
      </x:c>
      <x:c r="K3860" s="87" t="n">
        <x:v>10</x:v>
      </x:c>
      <x:c r="L3860" s="87" t="str">
        <x:v>Политические партии</x:v>
      </x:c>
      <x:c r="M3860" s="30" t="str">
        <x:v>Выберите верные суждения о политических партиях и запишите цифры,
     под которыми они указаны.
     1) Политические партии – это субъекты политики, которые принимают
        стратегически важные решения в сфере общественного развития.
     2) Политическая партия является видом общественной организации
        как организационно-правовой формы юридических лиц.
     3) Политические партии участвуют в формировании общественного мнения
        по социально-политическим и другим вопросам общественной жизни,
        в политическом образовании и воспитании граждан.
     4) К кадровым относят политические партии, насчитывающие значительное
        число членов, которые поддерживают партию взносами, участвуют
        в выборах партийного руководства на местном и региональном уровнях,
        проявляют постоянную политическую активность.
     5) Политические     партии    наряду    с    государством    составляют
        институциональную подсистему политической системы общества.</x:v>
      </x:c>
      <x:c r="N3860" s="30" t="str">
        <x:v>235</x:v>
      </x:c>
      <x:c r="O3860" s="30" t="str">
        <x:v>Официальный ответ 235; тот же ответ повторяется у идентичного задания в ОБ2510204.</x:v>
      </x:c>
      <x:c r="P3860" s="30" t="str">
        <x:v>Сверены официальный ключ и независимая постраничная конструкция смешанного варианта ОБ2510204.</x:v>
      </x:c>
      <x:c r="Q3860" s="30"/>
      <x:c r="R3860" s="30" t="str">
        <x:v>Официальная таблица ответов + перекрёстная проверка смешанного варианта</x:v>
      </x:c>
      <x:c r="S3860" s="30"/>
      <x:c r="T3860" s="30"/>
      <x:c r="U3860" s="30" t="str">
        <x:v>Расхождений не обнаружено.</x:v>
      </x:c>
      <x:c r="V3860" s="87" t="str">
        <x:v>VERIFIED</x:v>
      </x:c>
      <x:c r="W3860" s="87" t="str">
        <x:v>Zadanie_OB11_07112025.pdf, вариантная стр. 7</x:v>
      </x:c>
      <x:c r="X3860" s="87"/>
      <x:c r="Y3860" s="87"/>
      <x:c r="Z3860" s="87"/>
      <x:c r="AA3860" s="87"/>
      <x:c r="AB3860" s="87"/>
      <x:c r="AC3860" s="87"/>
      <x:c r="AD3860" s="87"/>
      <x:c r="AE3860" s="87"/>
      <x:c r="AF3860" s="87"/>
      <x:c r="AG3860" s="87"/>
      <x:c r="AH3860" s="87"/>
      <x:c r="AI3860" s="30"/>
      <x:c r="AJ3860" s="87" t="str">
        <x:v>master</x:v>
      </x:c>
      <x:c r="AK3860" s="87" t="str">
        <x:v>master-v0.81</x:v>
      </x:c>
      <x:c r="AL3860" s="87" t="str">
        <x:v>statgrad_master_base_v0_81_final(2).xlsx</x:v>
      </x:c>
      <x:c r="AM3860" s="87" t="str">
        <x:v>SOC_Nov_V1</x:v>
      </x:c>
      <x:c r="AN3860" s="87" t="n">
        <x:v>11</x:v>
      </x:c>
    </x:row>
    <x:row r="3861">
      <x:c r="A3861" s="87" t="n">
        <x:v>3860</x:v>
      </x:c>
      <x:c r="B3861" s="87" t="str">
        <x:v>NOV-SOC-V1-011</x:v>
      </x:c>
      <x:c r="C3861" s="87" t="str">
        <x:v>СтатГрад</x:v>
      </x:c>
      <x:c r="D3861" s="87" t="str">
        <x:v>Ноябрь 2025</x:v>
      </x:c>
      <x:c r="E3861" s="87"/>
      <x:c r="F3861" s="87"/>
      <x:c r="G3861" s="87" t="str">
        <x:v>Обществознание</x:v>
      </x:c>
      <x:c r="H3861" s="87" t="n">
        <x:v>11</x:v>
      </x:c>
      <x:c r="I3861" s="87" t="str">
        <x:v>ТР №2</x:v>
      </x:c>
      <x:c r="J3861" s="87" t="str">
        <x:v>ОБ2510201</x:v>
      </x:c>
      <x:c r="K3861" s="87" t="n">
        <x:v>11</x:v>
      </x:c>
      <x:c r="L3861" s="87" t="str">
        <x:v>Форма государственного устройства</x:v>
      </x:c>
      <x:c r="M3861" s="30" t="str">
        <x:v>После проведения политических реформ государство Z стало унитарным.
     Какие из перечисленных ниже фактов подтверждают, что государство Z
     является унитарным? Запишите цифры, под которыми указаны верные
     факты.
     1) регулярно проводятся выборы высших органов государственной власти
     2) действует однопалатный парламент
     3) установлены законы, которые в равной степени обязаны соблюдать
        все должностные лица государства
     4) существует единый и единственный центр государственной власти
     5) разграничиваются политические и правовые вопросы, по которым
        принимаются решения в центре и округах
     6) руководители территориально-административных округов, на которые
        делится государство, назначаются главой государства</x:v>
      </x:c>
      <x:c r="N3861" s="30" t="str">
        <x:v>246</x:v>
      </x:c>
      <x:c r="O3861" s="30" t="str">
        <x:v>Официальный ответ 246; тот же ответ повторяется у идентичного задания в ОБ2510203.</x:v>
      </x:c>
      <x:c r="P3861" s="30" t="str">
        <x:v>Сверены официальный ключ и независимая постраничная конструкция смешанного варианта ОБ2510203.</x:v>
      </x:c>
      <x:c r="Q3861" s="30"/>
      <x:c r="R3861" s="30" t="str">
        <x:v>Официальная таблица ответов + перекрёстная проверка смешанного варианта</x:v>
      </x:c>
      <x:c r="S3861" s="30"/>
      <x:c r="T3861" s="30"/>
      <x:c r="U3861" s="30" t="str">
        <x:v>Расхождений не обнаружено.</x:v>
      </x:c>
      <x:c r="V3861" s="87" t="str">
        <x:v>VERIFIED</x:v>
      </x:c>
      <x:c r="W3861" s="87" t="str">
        <x:v>Zadanie_OB11_07112025.pdf, вариантная стр. 7</x:v>
      </x:c>
      <x:c r="X3861" s="87"/>
      <x:c r="Y3861" s="87"/>
      <x:c r="Z3861" s="87"/>
      <x:c r="AA3861" s="87"/>
      <x:c r="AB3861" s="87"/>
      <x:c r="AC3861" s="87"/>
      <x:c r="AD3861" s="87"/>
      <x:c r="AE3861" s="87"/>
      <x:c r="AF3861" s="87"/>
      <x:c r="AG3861" s="87"/>
      <x:c r="AH3861" s="87"/>
      <x:c r="AI3861" s="30"/>
      <x:c r="AJ3861" s="87" t="str">
        <x:v>master</x:v>
      </x:c>
      <x:c r="AK3861" s="87" t="str">
        <x:v>master-v0.81</x:v>
      </x:c>
      <x:c r="AL3861" s="87" t="str">
        <x:v>statgrad_master_base_v0_81_final(2).xlsx</x:v>
      </x:c>
      <x:c r="AM3861" s="87" t="str">
        <x:v>SOC_Nov_V1</x:v>
      </x:c>
      <x:c r="AN3861" s="87" t="n">
        <x:v>12</x:v>
      </x:c>
    </x:row>
    <x:row r="3862">
      <x:c r="A3862" s="87" t="n">
        <x:v>3861</x:v>
      </x:c>
      <x:c r="B3862" s="87" t="str">
        <x:v>NOV-SOC-V1-012</x:v>
      </x:c>
      <x:c r="C3862" s="87" t="str">
        <x:v>СтатГрад</x:v>
      </x:c>
      <x:c r="D3862" s="87" t="str">
        <x:v>Ноябрь 2025</x:v>
      </x:c>
      <x:c r="E3862" s="87"/>
      <x:c r="F3862" s="87"/>
      <x:c r="G3862" s="87" t="str">
        <x:v>Обществознание</x:v>
      </x:c>
      <x:c r="H3862" s="87" t="n">
        <x:v>11</x:v>
      </x:c>
      <x:c r="I3862" s="87" t="str">
        <x:v>ТР №2</x:v>
      </x:c>
      <x:c r="J3862" s="87" t="str">
        <x:v>ОБ2510201</x:v>
      </x:c>
      <x:c r="K3862" s="87" t="n">
        <x:v>12</x:v>
      </x:c>
      <x:c r="L3862" s="87" t="str">
        <x:v>Основы конституционного строя РФ</x:v>
      </x:c>
      <x:c r="M3862" s="30" t="str">
        <x:v>Выберите в приведённом списке положения, характеризующие основы
     конституционного строя Российской Федерации. Запишите цифры,
     под которыми они указаны.
     1) В Российской Федерации развивается система социальных служб,
        устанавливаются государственные пенсии, пособия и иные гарантии
        социальной защиты.
     2) Конституция Российской Федерации и федеральные законы имеют
        верховенство на всей территории Российской Федерации.
     3) Трудоспособные дети, достигшие 18 лет, должны заботиться
        о нетрудоспособных родителях.
     4) Государственные пенсии и социальные пособия устанавливаются
        законом.
     5) Земля и другие природные ресурсы могут находиться в частной,
        государственной, муниципальной и иных формах собственности.</x:v>
      </x:c>
      <x:c r="N3862" s="30" t="str">
        <x:v>125</x:v>
      </x:c>
      <x:c r="O3862" s="30" t="str">
        <x:v>Официальный ответ 125; тот же ответ повторяется у идентичного задания в ОБ2510204.</x:v>
      </x:c>
      <x:c r="P3862" s="30" t="str">
        <x:v>Сверены официальный ключ и независимая постраничная конструкция смешанного варианта ОБ2510204.</x:v>
      </x:c>
      <x:c r="Q3862" s="30"/>
      <x:c r="R3862" s="30" t="str">
        <x:v>Официальная таблица ответов + перекрёстная проверка смешанного варианта</x:v>
      </x:c>
      <x:c r="S3862" s="30"/>
      <x:c r="T3862" s="30"/>
      <x:c r="U3862" s="30" t="str">
        <x:v>Расхождений не обнаружено.</x:v>
      </x:c>
      <x:c r="V3862" s="87" t="str">
        <x:v>VERIFIED</x:v>
      </x:c>
      <x:c r="W3862" s="87" t="str">
        <x:v>Zadanie_OB11_07112025.pdf, вариантная стр. 8</x:v>
      </x:c>
      <x:c r="X3862" s="87"/>
      <x:c r="Y3862" s="87"/>
      <x:c r="Z3862" s="87"/>
      <x:c r="AA3862" s="87"/>
      <x:c r="AB3862" s="87"/>
      <x:c r="AC3862" s="87"/>
      <x:c r="AD3862" s="87"/>
      <x:c r="AE3862" s="87"/>
      <x:c r="AF3862" s="87"/>
      <x:c r="AG3862" s="87"/>
      <x:c r="AH3862" s="87"/>
      <x:c r="AI3862" s="30"/>
      <x:c r="AJ3862" s="87" t="str">
        <x:v>master</x:v>
      </x:c>
      <x:c r="AK3862" s="87" t="str">
        <x:v>master-v0.81</x:v>
      </x:c>
      <x:c r="AL3862" s="87" t="str">
        <x:v>statgrad_master_base_v0_81_final(2).xlsx</x:v>
      </x:c>
      <x:c r="AM3862" s="87" t="str">
        <x:v>SOC_Nov_V1</x:v>
      </x:c>
      <x:c r="AN3862" s="87" t="n">
        <x:v>13</x:v>
      </x:c>
    </x:row>
    <x:row r="3863">
      <x:c r="A3863" s="87" t="n">
        <x:v>3862</x:v>
      </x:c>
      <x:c r="B3863" s="87" t="str">
        <x:v>NOV-SOC-V1-013</x:v>
      </x:c>
      <x:c r="C3863" s="87" t="str">
        <x:v>СтатГрад</x:v>
      </x:c>
      <x:c r="D3863" s="87" t="str">
        <x:v>Ноябрь 2025</x:v>
      </x:c>
      <x:c r="E3863" s="87"/>
      <x:c r="F3863" s="87"/>
      <x:c r="G3863" s="87" t="str">
        <x:v>Обществознание</x:v>
      </x:c>
      <x:c r="H3863" s="87" t="n">
        <x:v>11</x:v>
      </x:c>
      <x:c r="I3863" s="87" t="str">
        <x:v>ТР №2</x:v>
      </x:c>
      <x:c r="J3863" s="87" t="str">
        <x:v>ОБ2510201</x:v>
      </x:c>
      <x:c r="K3863" s="87" t="n">
        <x:v>13</x:v>
      </x:c>
      <x:c r="L3863" s="87" t="str">
        <x:v>Полномочия органов государственной власти РФ</x:v>
      </x:c>
      <x:c r="M3863" s="30" t="str">
        <x:v>Установите    соответствие  между     полномочиями и  субъектами
     государственной власти Российской Федерации, реализующими эти
     полномочия: к каждой позиции, данной в первом столбце, подберите
     соответствующую позицию из второго столбца.
                     ПОЛНОМОЧИЕ                                     СУБЪЕКТ
                                                              ГОСУДАРСТВЕННОЙ
                                                             ВЛАСТИ РОССИЙСКОЙ
                                                                  ФЕДЕРАЦИИ
     А) определение основных направлений                   1) Президент Российской
        внутренней и внешней политики                         Федерации
        государства                                        2) Государственная Дума
     Б) утверждение изменения границ между                 3) Совет Федерации
        субъектами Российской Федерации
     В) решение вопроса о возможности
        использования Вооруженных Сил
        Российской Федерации за пределами
        территории Российской Федерации
     Г) решение вопроса о доверии
        Правительству Российской Федерации
     Д) назначение референдума в порядке,
        установленном федеральным
        конституционным законом
     Запишите в таблицу выбранные цифры под соответствующими буквами.
                А Б В Г Д</x:v>
      </x:c>
      <x:c r="N3863" s="30" t="str">
        <x:v>13321</x:v>
      </x:c>
      <x:c r="O3863" s="30" t="str">
        <x:v>Официальный ответ 13321; тот же ответ повторяется у идентичного задания в ОБ2510203.</x:v>
      </x:c>
      <x:c r="P3863" s="30" t="str">
        <x:v>Сверены официальный ключ и независимая постраничная конструкция смешанного варианта ОБ2510203.</x:v>
      </x:c>
      <x:c r="Q3863" s="30"/>
      <x:c r="R3863" s="30" t="str">
        <x:v>Официальная таблица ответов + перекрёстная проверка смешанного варианта</x:v>
      </x:c>
      <x:c r="S3863" s="30"/>
      <x:c r="T3863" s="30"/>
      <x:c r="U3863" s="30" t="str">
        <x:v>Расхождений не обнаружено.</x:v>
      </x:c>
      <x:c r="V3863" s="87" t="str">
        <x:v>VERIFIED</x:v>
      </x:c>
      <x:c r="W3863" s="87" t="str">
        <x:v>Zadanie_OB11_07112025.pdf, вариантная стр. 9</x:v>
      </x:c>
      <x:c r="X3863" s="87"/>
      <x:c r="Y3863" s="87"/>
      <x:c r="Z3863" s="87"/>
      <x:c r="AA3863" s="87"/>
      <x:c r="AB3863" s="87"/>
      <x:c r="AC3863" s="87"/>
      <x:c r="AD3863" s="87"/>
      <x:c r="AE3863" s="87"/>
      <x:c r="AF3863" s="87"/>
      <x:c r="AG3863" s="87"/>
      <x:c r="AH3863" s="87"/>
      <x:c r="AI3863" s="30"/>
      <x:c r="AJ3863" s="87" t="str">
        <x:v>master</x:v>
      </x:c>
      <x:c r="AK3863" s="87" t="str">
        <x:v>master-v0.81</x:v>
      </x:c>
      <x:c r="AL3863" s="87" t="str">
        <x:v>statgrad_master_base_v0_81_final(2).xlsx</x:v>
      </x:c>
      <x:c r="AM3863" s="87" t="str">
        <x:v>SOC_Nov_V1</x:v>
      </x:c>
      <x:c r="AN3863" s="87" t="n">
        <x:v>14</x:v>
      </x:c>
    </x:row>
    <x:row r="3864">
      <x:c r="A3864" s="87" t="n">
        <x:v>3863</x:v>
      </x:c>
      <x:c r="B3864" s="87" t="str">
        <x:v>NOV-SOC-V1-014</x:v>
      </x:c>
      <x:c r="C3864" s="87" t="str">
        <x:v>СтатГрад</x:v>
      </x:c>
      <x:c r="D3864" s="87" t="str">
        <x:v>Ноябрь 2025</x:v>
      </x:c>
      <x:c r="E3864" s="87"/>
      <x:c r="F3864" s="87"/>
      <x:c r="G3864" s="87" t="str">
        <x:v>Обществознание</x:v>
      </x:c>
      <x:c r="H3864" s="87" t="n">
        <x:v>11</x:v>
      </x:c>
      <x:c r="I3864" s="87" t="str">
        <x:v>ТР №2</x:v>
      </x:c>
      <x:c r="J3864" s="87" t="str">
        <x:v>ОБ2510201</x:v>
      </x:c>
      <x:c r="K3864" s="87" t="n">
        <x:v>14</x:v>
      </x:c>
      <x:c r="L3864" s="87" t="str">
        <x:v>Гражданская правоспособность и дееспособность</x:v>
      </x:c>
      <x:c r="M3864" s="30" t="str">
        <x:v>Выберите    верные   суждения     о  гражданской     правоспособности,
     дееспособности и эмансипации в соответствии с Гражданским кодексом
     Российской Федерации и запишите цифры, под которыми они указаны.
     1) Родители, усыновители и попечитель несут ответственность по сделкам
        и обязательствам эмансипированного несовершеннолетнего.
     2) Гражданская правоспособность признается в равной мере за всеми
        гражданами.
     3) Право самостоятельно распоряжаться своим заработком или стипендией
        возникает у лица, достигшего пятнадцатилетия.
     4) Гражданская дееспособность возникает в полном объеме по достижении
        восемнадцатилетнего возраста.
     5) Условиями для эмансипации являются работа по трудовому договору
        и осуществление предпринимательской деятельности (с согласия
        родителей, усыновителей или попечителя).</x:v>
      </x:c>
      <x:c r="N3864" s="30" t="str">
        <x:v>245</x:v>
      </x:c>
      <x:c r="O3864" s="30" t="str">
        <x:v>Официальный ответ 245; тот же ответ повторяется у идентичного задания в ОБ2510204.</x:v>
      </x:c>
      <x:c r="P3864" s="30" t="str">
        <x:v>Сверены официальный ключ и независимая постраничная конструкция смешанного варианта ОБ2510204.</x:v>
      </x:c>
      <x:c r="Q3864" s="30"/>
      <x:c r="R3864" s="30" t="str">
        <x:v>Официальная таблица ответов + перекрёстная проверка смешанного варианта</x:v>
      </x:c>
      <x:c r="S3864" s="30"/>
      <x:c r="T3864" s="30"/>
      <x:c r="U3864" s="30" t="str">
        <x:v>Расхождений не обнаружено.</x:v>
      </x:c>
      <x:c r="V3864" s="87" t="str">
        <x:v>VERIFIED</x:v>
      </x:c>
      <x:c r="W3864" s="87" t="str">
        <x:v>Zadanie_OB11_07112025.pdf, вариантная стр. 10</x:v>
      </x:c>
      <x:c r="X3864" s="87"/>
      <x:c r="Y3864" s="87"/>
      <x:c r="Z3864" s="87"/>
      <x:c r="AA3864" s="87"/>
      <x:c r="AB3864" s="87"/>
      <x:c r="AC3864" s="87"/>
      <x:c r="AD3864" s="87"/>
      <x:c r="AE3864" s="87"/>
      <x:c r="AF3864" s="87"/>
      <x:c r="AG3864" s="87"/>
      <x:c r="AH3864" s="87"/>
      <x:c r="AI3864" s="30"/>
      <x:c r="AJ3864" s="87" t="str">
        <x:v>master</x:v>
      </x:c>
      <x:c r="AK3864" s="87" t="str">
        <x:v>master-v0.81</x:v>
      </x:c>
      <x:c r="AL3864" s="87" t="str">
        <x:v>statgrad_master_base_v0_81_final(2).xlsx</x:v>
      </x:c>
      <x:c r="AM3864" s="87" t="str">
        <x:v>SOC_Nov_V1</x:v>
      </x:c>
      <x:c r="AN3864" s="87" t="n">
        <x:v>15</x:v>
      </x:c>
    </x:row>
    <x:row r="3865">
      <x:c r="A3865" s="87" t="n">
        <x:v>3864</x:v>
      </x:c>
      <x:c r="B3865" s="87" t="str">
        <x:v>NOV-SOC-V1-015</x:v>
      </x:c>
      <x:c r="C3865" s="87" t="str">
        <x:v>СтатГрад</x:v>
      </x:c>
      <x:c r="D3865" s="87" t="str">
        <x:v>Ноябрь 2025</x:v>
      </x:c>
      <x:c r="E3865" s="87"/>
      <x:c r="F3865" s="87"/>
      <x:c r="G3865" s="87" t="str">
        <x:v>Обществознание</x:v>
      </x:c>
      <x:c r="H3865" s="87" t="n">
        <x:v>11</x:v>
      </x:c>
      <x:c r="I3865" s="87" t="str">
        <x:v>ТР №2</x:v>
      </x:c>
      <x:c r="J3865" s="87" t="str">
        <x:v>ОБ2510201</x:v>
      </x:c>
      <x:c r="K3865" s="87" t="n">
        <x:v>15</x:v>
      </x:c>
      <x:c r="L3865" s="87" t="str">
        <x:v>Расторжение трудового договора</x:v>
      </x:c>
      <x:c r="M3865" s="30" t="str">
        <x:v>Установите соответствие между примерами и основаниями расторжения
     трудового договора: к каждой позиции, данной в первом столбце, подберите
     соответствующую позицию из второго столбца.
                         ПРИМЕР                        ОСНОВАНИЕ
                                                     РАСТОРЖЕНИЯ
                                                 ТРУДОВОГО ДОГОВОРА
     А) организация, сотрудником которой был   1) соглашение сторон
        гражданин Козырев, была ликвидирована 2) инициатива работодателя
     Б) продавец решил сменить место работы,   3) обстоятельства,
        администрация магазина не имела           не зависящие от воли
        возражений                                сторон
     В) независимая аттестация показала
        несоответствие квалификации
        сотрудника работе, которую он выполнял
     Г) работник И. выполнял свои трудовые
        обязанности в состоянии алкогольного
        опьянения
     Д) учитель средней школы был призван
        на военную службу
     Запишите в таблицу выбранные цифры под соответствующими буквами.
                А Б В Г Д</x:v>
      </x:c>
      <x:c r="N3865" s="30" t="str">
        <x:v>21223</x:v>
      </x:c>
      <x:c r="O3865" s="30" t="str">
        <x:v>Официальный ответ 21223; тот же ответ повторяется у идентичного задания в ОБ2510203.</x:v>
      </x:c>
      <x:c r="P3865" s="30" t="str">
        <x:v>Сверены официальный ключ и независимая постраничная конструкция смешанного варианта ОБ2510203.</x:v>
      </x:c>
      <x:c r="Q3865" s="30"/>
      <x:c r="R3865" s="30" t="str">
        <x:v>Официальная таблица ответов + перекрёстная проверка смешанного варианта</x:v>
      </x:c>
      <x:c r="S3865" s="30"/>
      <x:c r="T3865" s="30"/>
      <x:c r="U3865" s="30" t="str">
        <x:v>Расхождений не обнаружено.</x:v>
      </x:c>
      <x:c r="V3865" s="87" t="str">
        <x:v>VERIFIED</x:v>
      </x:c>
      <x:c r="W3865" s="87" t="str">
        <x:v>Zadanie_OB11_07112025.pdf, вариантная стр. 10</x:v>
      </x:c>
      <x:c r="X3865" s="87"/>
      <x:c r="Y3865" s="87"/>
      <x:c r="Z3865" s="87"/>
      <x:c r="AA3865" s="87"/>
      <x:c r="AB3865" s="87"/>
      <x:c r="AC3865" s="87"/>
      <x:c r="AD3865" s="87"/>
      <x:c r="AE3865" s="87"/>
      <x:c r="AF3865" s="87"/>
      <x:c r="AG3865" s="87"/>
      <x:c r="AH3865" s="87"/>
      <x:c r="AI3865" s="30"/>
      <x:c r="AJ3865" s="87" t="str">
        <x:v>master</x:v>
      </x:c>
      <x:c r="AK3865" s="87" t="str">
        <x:v>master-v0.81</x:v>
      </x:c>
      <x:c r="AL3865" s="87" t="str">
        <x:v>statgrad_master_base_v0_81_final(2).xlsx</x:v>
      </x:c>
      <x:c r="AM3865" s="87" t="str">
        <x:v>SOC_Nov_V1</x:v>
      </x:c>
      <x:c r="AN3865" s="87" t="n">
        <x:v>16</x:v>
      </x:c>
    </x:row>
    <x:row r="3866">
      <x:c r="A3866" s="87" t="n">
        <x:v>3865</x:v>
      </x:c>
      <x:c r="B3866" s="87" t="str">
        <x:v>NOV-SOC-V1-016</x:v>
      </x:c>
      <x:c r="C3866" s="87" t="str">
        <x:v>СтатГрад</x:v>
      </x:c>
      <x:c r="D3866" s="87" t="str">
        <x:v>Ноябрь 2025</x:v>
      </x:c>
      <x:c r="E3866" s="87"/>
      <x:c r="F3866" s="87"/>
      <x:c r="G3866" s="87" t="str">
        <x:v>Обществознание</x:v>
      </x:c>
      <x:c r="H3866" s="87" t="n">
        <x:v>11</x:v>
      </x:c>
      <x:c r="I3866" s="87" t="str">
        <x:v>ТР №2</x:v>
      </x:c>
      <x:c r="J3866" s="87" t="str">
        <x:v>ОБ2510201</x:v>
      </x:c>
      <x:c r="K3866" s="87" t="n">
        <x:v>16</x:v>
      </x:c>
      <x:c r="L3866" s="87" t="str">
        <x:v>Система права</x:v>
      </x:c>
      <x:c r="M3866" s="30" t="str">
        <x:v>Представьте, что Вы по заданию учителя оформляете презентацию по теме
     «Право в системе социальных норм». Один из слайдов называется «Система
     права». Что из перечисленного следует включить в этот слайд? Запишите
     цифры, под которыми указаны компоненты системы права.
     1) отрасль права
     2) источник права
     3) правоохранительные органы
     4) норма права
     5) система правосудия
     6) институт права
                           Часть 2
Для записи ответов на задания этой части (17–25) используйте
отдельный лист. Запишите сначала номер задания (17, 18 и т. д.),
а затем развёрнутый ответ на него. Ответы записывайте чётко
и разборчиво.
Обратите внимание! Не следует в развёрнутом ответе на любое
из заданий 17–25 приводить больше позиций (признаков, характеристик,
примеров, аргументов и т.д.), чем требуется в задании. Неточности
и ошибки в «дополнительных» элементах ответа могут привести
к снижению балла за выполнение задания
              Прочитайте текст и выполните задания 17–20.
      Научное познание возникает под влиянием множества разнородных
факторов, например, накопления знаний на донаучном этапе развития
познания, развития рационального мышления, разработки специфических
методов доказательства и экспериментальной проверки новых знаний.
      Научное познание не отделено какой-то абсолютно непреодолимой
границей от познания обыденного. Считается, что обыденное познание
ограничено сферой сугубо практического применения. Обыденное познание
всегда «овеществлено» в каких-то материальных объектах и неспособно
осуществить теоретический прорыв в область неизвестного. Но оно может
порождать новые обыденные знания (полезные практические навыки,
лечение травами, гимнастические упражнения в народной медицине, рецепты
кухни, простые технические приспособления и устройства и т.д.)
      Если речь идёт об этапах истории человеческого познания,
предшествующих возникновению науки, то именно обыденное познание,
видимо, можно характеризовать как донаучное. Донаучный опыт (знания)
обеспечивается интеллектуальным потенциалом донаучного (обыденного)
познания.
      Донаучное познание возникло задолго до появления науки
и базировалось на познавательных ресурсах архаического, преимущественно
образного или пространственно-образного мышления. Этих ресурсов
оказывалось вполне достаточно для изобретения полезных практических
навыков, простых технических устройств и производственных технологий,
для накопления в течение тысячелетий эмпирических знаний о свойствах
материалов, вещей и явлений, с которыми люди сталкивались в своей
повседневной жизни, что было необходимым и обеспечивало выживание
людей (сообществ). Овладение техническими приёмами создания орудий
труда, процедурными знаниями (например, искусством верховой езды или
стрельбы из лука, боевыми искусствами,) и даже интеллектуальными
приёмами и методами (письменность, оперирование математическими
     символами) не обязательно требует аналитически высокоразвитого знаково-
     символического мышления, обеспечивающего научную познавательную
     деятельность, получение теоретических знаний.
           Донаучное познание было весьма действенным инструментом
     приспособления людей к различным условиям существования, их
     информационного контроля за окружающей средой. При этом донаучное
     познание изменялось исключительно медленно, потому что эволюционный
     процесс развития мыслительных операций является длительным.
     Содержание и объём накопленного обыденного знания весьма существенно
     различаются у отдельных человеческих сообществ в зависимости от этапов
     их социально-экономического развития, особенностей их культуры и т.д.
                                                          (По И.П. Меркулову)</x:v>
      </x:c>
      <x:c r="N3866" s="30" t="str">
        <x:v>146</x:v>
      </x:c>
      <x:c r="O3866" s="30" t="str">
        <x:v>Официальный ответ 146; тот же ответ повторяется у идентичного задания в ОБ2510203.</x:v>
      </x:c>
      <x:c r="P3866" s="30" t="str">
        <x:v>Сверены официальный ключ и независимая постраничная конструкция смешанного варианта ОБ2510203.</x:v>
      </x:c>
      <x:c r="Q3866" s="30"/>
      <x:c r="R3866" s="30" t="str">
        <x:v>Официальная таблица ответов + перекрёстная проверка смешанного варианта</x:v>
      </x:c>
      <x:c r="S3866" s="30"/>
      <x:c r="T3866" s="30"/>
      <x:c r="U3866" s="30" t="str">
        <x:v>Расхождений не обнаружено.</x:v>
      </x:c>
      <x:c r="V3866" s="87" t="str">
        <x:v>VERIFIED</x:v>
      </x:c>
      <x:c r="W3866" s="87" t="str">
        <x:v>Zadanie_OB11_07112025.pdf, вариантная стр. 11</x:v>
      </x:c>
      <x:c r="X3866" s="87"/>
      <x:c r="Y3866" s="87"/>
      <x:c r="Z3866" s="87"/>
      <x:c r="AA3866" s="87"/>
      <x:c r="AB3866" s="87"/>
      <x:c r="AC3866" s="87"/>
      <x:c r="AD3866" s="87"/>
      <x:c r="AE3866" s="87"/>
      <x:c r="AF3866" s="87"/>
      <x:c r="AG3866" s="87"/>
      <x:c r="AH3866" s="87"/>
      <x:c r="AI3866" s="30"/>
      <x:c r="AJ3866" s="87" t="str">
        <x:v>master</x:v>
      </x:c>
      <x:c r="AK3866" s="87" t="str">
        <x:v>master-v0.81</x:v>
      </x:c>
      <x:c r="AL3866" s="87" t="str">
        <x:v>statgrad_master_base_v0_81_final(2).xlsx</x:v>
      </x:c>
      <x:c r="AM3866" s="87" t="str">
        <x:v>SOC_Nov_V1</x:v>
      </x:c>
      <x:c r="AN3866" s="87" t="n">
        <x:v>17</x:v>
      </x:c>
    </x:row>
    <x:row r="3867">
      <x:c r="A3867" s="87" t="n">
        <x:v>3866</x:v>
      </x:c>
      <x:c r="B3867" s="87" t="str">
        <x:v>NOV-SOC-V1-017</x:v>
      </x:c>
      <x:c r="C3867" s="87" t="str">
        <x:v>СтатГрад</x:v>
      </x:c>
      <x:c r="D3867" s="87" t="str">
        <x:v>Ноябрь 2025</x:v>
      </x:c>
      <x:c r="E3867" s="87"/>
      <x:c r="F3867" s="87"/>
      <x:c r="G3867" s="87" t="str">
        <x:v>Обществознание</x:v>
      </x:c>
      <x:c r="H3867" s="87" t="n">
        <x:v>11</x:v>
      </x:c>
      <x:c r="I3867" s="87" t="str">
        <x:v>ТР №2</x:v>
      </x:c>
      <x:c r="J3867" s="87" t="str">
        <x:v>ОБ2510201</x:v>
      </x:c>
      <x:c r="K3867" s="87" t="n">
        <x:v>17</x:v>
      </x:c>
      <x:c r="L3867" s="87" t="str">
        <x:v>Работа с обществоведческим текстом</x:v>
      </x:c>
      <x:c r="M3867" s="30" t="str">
        <x:v>Какой вид познания автор характеризует как донаучное? Какие результаты,
     по мнению автора, обеспечивает аналитически высокоразвитое знаково-
     символическое мышление? (Укажите два результата.) Почему, по мнению
     автора, медленно изменялось донаучное познание?</x:v>
      </x:c>
      <x:c r="N3867" s="30" t="str">
        <x:v>В правильном ответе должны быть следующие элементы:
     1) ответ на первый вопрос: обыденное познание;
     2) ответ на второй вопрос:
     – научная познавательная деятельность;
     – получение теоретических знаний;
     (Ответ на второй вопрос засчитывается только при указании
     двух результатов и при отсутствии неверных позиций.)
     3) ответ на третий вопрос: потому что процесс развития
     мыслительных операций является длительным.
     Элементы ответа могут быть представлены как в форме цитат,
     так и в форме сжатого воспроизведения основных идей
     соответствующих фрагментов текста</x:v>
      </x:c>
      <x:c r="O3867" s="30" t="str">
        <x:v>Модель закрывает все элементы официального критерия; максимальный балл — 2.</x:v>
      </x:c>
      <x:c r="P3867" s="30" t="str">
        <x:v>Условие, число требуемых элементов и модель ответа повторно сверены с детализированным критерием.</x:v>
      </x:c>
      <x:c r="Q3867" s="30"/>
      <x:c r="R3867" s="30" t="str">
        <x:v>Kriterii_OB11_07112025.pdf, критерий задания 17</x:v>
      </x:c>
      <x:c r="S3867" s="30"/>
      <x:c r="T3867" s="30"/>
      <x:c r="U3867" s="30" t="str">
        <x:v>Расхождений не обнаружено.</x:v>
      </x:c>
      <x:c r="V3867" s="87" t="str">
        <x:v>VERIFIED</x:v>
      </x:c>
      <x:c r="W3867" s="87" t="str">
        <x:v>Zadanie_OB11_07112025.pdf, вариантная стр. 13</x:v>
      </x:c>
      <x:c r="X3867" s="87"/>
      <x:c r="Y3867" s="87"/>
      <x:c r="Z3867" s="87"/>
      <x:c r="AA3867" s="87"/>
      <x:c r="AB3867" s="87"/>
      <x:c r="AC3867" s="87"/>
      <x:c r="AD3867" s="87"/>
      <x:c r="AE3867" s="87"/>
      <x:c r="AF3867" s="87"/>
      <x:c r="AG3867" s="87"/>
      <x:c r="AH3867" s="87"/>
      <x:c r="AI3867" s="30"/>
      <x:c r="AJ3867" s="87" t="str">
        <x:v>master</x:v>
      </x:c>
      <x:c r="AK3867" s="87" t="str">
        <x:v>master-v0.81</x:v>
      </x:c>
      <x:c r="AL3867" s="87" t="str">
        <x:v>statgrad_master_base_v0_81_final(2).xlsx</x:v>
      </x:c>
      <x:c r="AM3867" s="87" t="str">
        <x:v>SOC_Nov_V1</x:v>
      </x:c>
      <x:c r="AN3867" s="87" t="n">
        <x:v>18</x:v>
      </x:c>
    </x:row>
    <x:row r="3868">
      <x:c r="A3868" s="87" t="n">
        <x:v>3867</x:v>
      </x:c>
      <x:c r="B3868" s="87" t="str">
        <x:v>NOV-SOC-V1-018</x:v>
      </x:c>
      <x:c r="C3868" s="87" t="str">
        <x:v>СтатГрад</x:v>
      </x:c>
      <x:c r="D3868" s="87" t="str">
        <x:v>Ноябрь 2025</x:v>
      </x:c>
      <x:c r="E3868" s="87"/>
      <x:c r="F3868" s="87"/>
      <x:c r="G3868" s="87" t="str">
        <x:v>Обществознание</x:v>
      </x:c>
      <x:c r="H3868" s="87" t="n">
        <x:v>11</x:v>
      </x:c>
      <x:c r="I3868" s="87" t="str">
        <x:v>ТР №2</x:v>
      </x:c>
      <x:c r="J3868" s="87" t="str">
        <x:v>ОБ2510201</x:v>
      </x:c>
      <x:c r="K3868" s="87" t="n">
        <x:v>18</x:v>
      </x:c>
      <x:c r="L3868" s="87" t="str">
        <x:v>Теоретическое объяснение</x:v>
      </x:c>
      <x:c r="M3868" s="30" t="str">
        <x:v>В тексте упомянуты ключевые понятия социально-гуманитарных наук.
     Используя обществоведческие знания,
     – укажите не менее трёх признаков рационального познания как ступени
     в процессе познания;
     – объясните упомянутую в тексте связь между донаучным познанием
     и выживанием людей или сообществ. (Объяснение может быть дано
     в одном или нескольких распространённых предложениях.)</x:v>
      </x:c>
      <x:c r="N3868" s="30" t="str">
        <x:v>В правильном ответе должны быть следующие элементы:
1) основные признаки рационального познания, например:
– связь с абстрактным / логическим мышлением;
– существование в таких формах, как понятие, суждение,
умозаключение;
– познание сущности объектов / внутренних закономерностей
и связей, которые присущи объекту;
– физиологической основой являются процессы, которые
происходят преимущественно в коре больших полушарий
головного мозга;
(Основные признаки могут быть приведены в иных близких
по смыслу формулировках. Может быть приведён любой другой
признак.
Данный элемент ответа засчитывается только при указании
трёх или более признаков, из которых два должны быть
из приведённого перечня, при отсутствии неверных позиций.)
2) объяснение с опорой на положения текста, например: донаучное
познание обеспечило человечество полезными практическими
навыками / привело к созданию простых технических устройств
и технологий / способствовало накоплению эмпирических знаний
и пр., что способствовало приспособлению людей к различным
условиям существования / установлению информационного
контроля за окружающей средой, а это обеспечивало выживание
людей и сообществ.
(Может быть приведено другое корректное объяснение.
Объяснение связи не указанного автором объекта изучения
с используемыми методами не засчитывается.)</x:v>
      </x:c>
      <x:c r="O3868" s="30" t="str">
        <x:v>Модель закрывает все элементы официального критерия; максимальный балл — 2.</x:v>
      </x:c>
      <x:c r="P3868" s="30" t="str">
        <x:v>Условие, число требуемых элементов и модель ответа повторно сверены с детализированным критерием.</x:v>
      </x:c>
      <x:c r="Q3868" s="30"/>
      <x:c r="R3868" s="30" t="str">
        <x:v>Kriterii_OB11_07112025.pdf, критерий задания 18</x:v>
      </x:c>
      <x:c r="S3868" s="30"/>
      <x:c r="T3868" s="30"/>
      <x:c r="U3868" s="30" t="str">
        <x:v>Расхождений не обнаружено.</x:v>
      </x:c>
      <x:c r="V3868" s="87" t="str">
        <x:v>VERIFIED</x:v>
      </x:c>
      <x:c r="W3868" s="87" t="str">
        <x:v>Zadanie_OB11_07112025.pdf, вариантная стр. 13</x:v>
      </x:c>
      <x:c r="X3868" s="87"/>
      <x:c r="Y3868" s="87"/>
      <x:c r="Z3868" s="87"/>
      <x:c r="AA3868" s="87"/>
      <x:c r="AB3868" s="87"/>
      <x:c r="AC3868" s="87"/>
      <x:c r="AD3868" s="87"/>
      <x:c r="AE3868" s="87"/>
      <x:c r="AF3868" s="87"/>
      <x:c r="AG3868" s="87"/>
      <x:c r="AH3868" s="87"/>
      <x:c r="AI3868" s="30"/>
      <x:c r="AJ3868" s="87" t="str">
        <x:v>master</x:v>
      </x:c>
      <x:c r="AK3868" s="87" t="str">
        <x:v>master-v0.81</x:v>
      </x:c>
      <x:c r="AL3868" s="87" t="str">
        <x:v>statgrad_master_base_v0_81_final(2).xlsx</x:v>
      </x:c>
      <x:c r="AM3868" s="87" t="str">
        <x:v>SOC_Nov_V1</x:v>
      </x:c>
      <x:c r="AN3868" s="87" t="n">
        <x:v>19</x:v>
      </x:c>
    </x:row>
    <x:row r="3869">
      <x:c r="A3869" s="87" t="n">
        <x:v>3868</x:v>
      </x:c>
      <x:c r="B3869" s="87" t="str">
        <x:v>NOV-SOC-V1-019</x:v>
      </x:c>
      <x:c r="C3869" s="87" t="str">
        <x:v>СтатГрад</x:v>
      </x:c>
      <x:c r="D3869" s="87" t="str">
        <x:v>Ноябрь 2025</x:v>
      </x:c>
      <x:c r="E3869" s="87"/>
      <x:c r="F3869" s="87"/>
      <x:c r="G3869" s="87" t="str">
        <x:v>Обществознание</x:v>
      </x:c>
      <x:c r="H3869" s="87" t="n">
        <x:v>11</x:v>
      </x:c>
      <x:c r="I3869" s="87" t="str">
        <x:v>ТР №2</x:v>
      </x:c>
      <x:c r="J3869" s="87" t="str">
        <x:v>ОБ2510201</x:v>
      </x:c>
      <x:c r="K3869" s="87" t="n">
        <x:v>19</x:v>
      </x:c>
      <x:c r="L3869" s="87" t="str">
        <x:v>Развёрнутые примеры</x:v>
      </x:c>
      <x:c r="M3869" s="30" t="str">
        <x:v>Используя обществоведческие знания и факты общественной жизни,
     проиллюстрируйте тремя примерами использование образного /
     пространственно-образного мышления в разных сферах жизнедеятельности
     современных людей. (Каждый пример должен быть сформулирован
     развёрнуто. Примеры не должны дублировать друг друга по содержанию.)</x:v>
      </x:c>
      <x:c r="N3869" s="30" t="str">
        <x:v>В правильном ответе могут быть следующие примеры:
     1) литературоведы отмечают новаторство художественных образов
     в произведении известного современного писателя;
     2) Иван часто воображал себе, как, закончив педагогический
     университет, он войдёт в школьный класс и начнёт свой первый
     полностью самостоятельный урок;
     3) прежде чем отправиться в путешествие, туристы изучили
     маршрут на карте и нарисовали схему маршрута.
     Могут быть приведены другие корректные примеры.
     Примеры,       дублирующие   друг    друга    по   содержанию,
     засчитываются как один пример.
     Засчитываются только примеры, сформулированные развёрнуто
     (отдельные слова и словосочетания не засчитываются в качестве
     примеров)</x:v>
      </x:c>
      <x:c r="O3869" s="30" t="str">
        <x:v>Модель закрывает все элементы официального критерия; максимальный балл — 3.</x:v>
      </x:c>
      <x:c r="P3869" s="30" t="str">
        <x:v>Условие, число требуемых элементов и модель ответа повторно сверены с детализированным критерием.</x:v>
      </x:c>
      <x:c r="Q3869" s="30"/>
      <x:c r="R3869" s="30" t="str">
        <x:v>Kriterii_OB11_07112025.pdf, критерий задания 19</x:v>
      </x:c>
      <x:c r="S3869" s="30"/>
      <x:c r="T3869" s="30"/>
      <x:c r="U3869" s="30" t="str">
        <x:v>Расхождений не обнаружено.</x:v>
      </x:c>
      <x:c r="V3869" s="87" t="str">
        <x:v>VERIFIED</x:v>
      </x:c>
      <x:c r="W3869" s="87" t="str">
        <x:v>Zadanie_OB11_07112025.pdf, вариантная стр. 13</x:v>
      </x:c>
      <x:c r="X3869" s="87"/>
      <x:c r="Y3869" s="87"/>
      <x:c r="Z3869" s="87"/>
      <x:c r="AA3869" s="87"/>
      <x:c r="AB3869" s="87"/>
      <x:c r="AC3869" s="87"/>
      <x:c r="AD3869" s="87"/>
      <x:c r="AE3869" s="87"/>
      <x:c r="AF3869" s="87"/>
      <x:c r="AG3869" s="87"/>
      <x:c r="AH3869" s="87"/>
      <x:c r="AI3869" s="30"/>
      <x:c r="AJ3869" s="87" t="str">
        <x:v>master</x:v>
      </x:c>
      <x:c r="AK3869" s="87" t="str">
        <x:v>master-v0.81</x:v>
      </x:c>
      <x:c r="AL3869" s="87" t="str">
        <x:v>statgrad_master_base_v0_81_final(2).xlsx</x:v>
      </x:c>
      <x:c r="AM3869" s="87" t="str">
        <x:v>SOC_Nov_V1</x:v>
      </x:c>
      <x:c r="AN3869" s="87" t="n">
        <x:v>20</x:v>
      </x:c>
    </x:row>
    <x:row r="3870">
      <x:c r="A3870" s="87" t="n">
        <x:v>3869</x:v>
      </x:c>
      <x:c r="B3870" s="87" t="str">
        <x:v>NOV-SOC-V1-020</x:v>
      </x:c>
      <x:c r="C3870" s="87" t="str">
        <x:v>СтатГрад</x:v>
      </x:c>
      <x:c r="D3870" s="87" t="str">
        <x:v>Ноябрь 2025</x:v>
      </x:c>
      <x:c r="E3870" s="87"/>
      <x:c r="F3870" s="87"/>
      <x:c r="G3870" s="87" t="str">
        <x:v>Обществознание</x:v>
      </x:c>
      <x:c r="H3870" s="87" t="n">
        <x:v>11</x:v>
      </x:c>
      <x:c r="I3870" s="87" t="str">
        <x:v>ТР №2</x:v>
      </x:c>
      <x:c r="J3870" s="87" t="str">
        <x:v>ОБ2510201</x:v>
      </x:c>
      <x:c r="K3870" s="87" t="n">
        <x:v>20</x:v>
      </x:c>
      <x:c r="L3870" s="87" t="str">
        <x:v>Аргументация</x:v>
      </x:c>
      <x:c r="M3870" s="30" t="str">
        <x:v>Используя обществоведческие знания, приведите три аргумента,
     подтверждающих мысль автора о том, что научное познание не отделено
     абсолютно непреодолимой границей от познания обыденного. (Каждый
     аргумент   должен   быть    сформулирован   как    распространённое
     предложение.)</x:v>
      </x:c>
      <x:c r="N3870" s="30" t="str">
        <x:v>В правильном ответе могут быть приведены следующие
     аргументы:
     1) и обыденное, и научное познание на эмпирическом уровне
     используют непосредственное взаимодействие с объектом
     познания (например, наблюдение, измерение и пр.)
     2) существуют прикладные науки, результаты познания
     в которых, как и результаты обыденного познания, всегда
     «овеществлены» в каких-то материальных объектах;
     3) к критериям истины относят практику, практический опыт,
     связанный и с обыденным познанием.
     Могут быть приведены иные обоснованные аргументы.
     Засчитываются      только    аргументы,      сформулированные
     как распространённые предложения (отдельные слова
     и словосочетания не засчитываются в качестве аргументов)</x:v>
      </x:c>
      <x:c r="O3870" s="30" t="str">
        <x:v>Модель закрывает все элементы официального критерия; максимальный балл — 3.</x:v>
      </x:c>
      <x:c r="P3870" s="30" t="str">
        <x:v>Условие, число требуемых элементов и модель ответа повторно сверены с детализированным критерием.</x:v>
      </x:c>
      <x:c r="Q3870" s="30"/>
      <x:c r="R3870" s="30" t="str">
        <x:v>Kriterii_OB11_07112025.pdf, критерий задания 20</x:v>
      </x:c>
      <x:c r="S3870" s="30"/>
      <x:c r="T3870" s="30"/>
      <x:c r="U3870" s="30" t="str">
        <x:v>Расхождений не обнаружено.</x:v>
      </x:c>
      <x:c r="V3870" s="87" t="str">
        <x:v>VERIFIED</x:v>
      </x:c>
      <x:c r="W3870" s="87" t="str">
        <x:v>Zadanie_OB11_07112025.pdf, вариантная стр. 13</x:v>
      </x:c>
      <x:c r="X3870" s="87"/>
      <x:c r="Y3870" s="87"/>
      <x:c r="Z3870" s="87"/>
      <x:c r="AA3870" s="87"/>
      <x:c r="AB3870" s="87"/>
      <x:c r="AC3870" s="87"/>
      <x:c r="AD3870" s="87"/>
      <x:c r="AE3870" s="87"/>
      <x:c r="AF3870" s="87"/>
      <x:c r="AG3870" s="87"/>
      <x:c r="AH3870" s="87"/>
      <x:c r="AI3870" s="30"/>
      <x:c r="AJ3870" s="87" t="str">
        <x:v>master</x:v>
      </x:c>
      <x:c r="AK3870" s="87" t="str">
        <x:v>master-v0.81</x:v>
      </x:c>
      <x:c r="AL3870" s="87" t="str">
        <x:v>statgrad_master_base_v0_81_final(2).xlsx</x:v>
      </x:c>
      <x:c r="AM3870" s="87" t="str">
        <x:v>SOC_Nov_V1</x:v>
      </x:c>
      <x:c r="AN3870" s="87" t="n">
        <x:v>21</x:v>
      </x:c>
    </x:row>
    <x:row r="3871">
      <x:c r="A3871" s="87" t="n">
        <x:v>3870</x:v>
      </x:c>
      <x:c r="B3871" s="87" t="str">
        <x:v>NOV-SOC-V1-021</x:v>
      </x:c>
      <x:c r="C3871" s="87" t="str">
        <x:v>СтатГрад</x:v>
      </x:c>
      <x:c r="D3871" s="87" t="str">
        <x:v>Ноябрь 2025</x:v>
      </x:c>
      <x:c r="E3871" s="87"/>
      <x:c r="F3871" s="87"/>
      <x:c r="G3871" s="87" t="str">
        <x:v>Обществознание</x:v>
      </x:c>
      <x:c r="H3871" s="87" t="n">
        <x:v>11</x:v>
      </x:c>
      <x:c r="I3871" s="87" t="str">
        <x:v>ТР №2</x:v>
      </x:c>
      <x:c r="J3871" s="87" t="str">
        <x:v>ОБ2510201</x:v>
      </x:c>
      <x:c r="K3871" s="87" t="n">
        <x:v>21</x:v>
      </x:c>
      <x:c r="L3871" s="87" t="str">
        <x:v>График спроса и предложения</x:v>
      </x:c>
      <x:c r="M3871" s="30" t="str">
        <x:v>На графике изображено изменение ситуации              P     S1    S
     на потребительском рынке мягких игрушек для детей
     в возрасте 1–3 лет в стране Z. Кривая предложения
     переместилась из положения S в положение S 1
     при неизменном спросе D. (На графике P – цена                    D
     товара; Q – количество товара.)                                      Q
     Как изменилась равновесная цена?
     Что могло вызвать изменение предложения? Сначала укажите любое одно
     обстоятельство (фактор), затем объясните его влияние на предложение
     (обязательно укажите характер изменения предложения). (Объяснение
     должно быть дано применительно к рынку, указанному в тексте
     задания.)
     Как изменятся спрос и равновесная цена на данном рынке, если при прочих
     равных условиях резко вырастут цены на игрушки для детей в возрасте 1–3
     лет, изготовленные из других материалов?</x:v>
      </x:c>
      <x:c r="N3871" s="30" t="str">
        <x:v>В правильном ответе должны быть следующие элементы:
     1) ответ на первый вопрос: равновесная цена увеличилась;
     2) ответ на второй вопрос (одно обстоятельство (фактор)
     с объяснением влияния): количество производителей (например,
     в стране Z ввели санитарные правила, в соответствии с которыми
     для изготовления игрушек для детей можно использовать только
     сертифицированные ткани, после чего ряд фирм прекратил
     выпуск игрушек, что привело к сокращению предложения);
     (Может быть названо и объяснено другое обстоятельство /
     другой фактор.
     Засчитывается только объяснение, данное применительно
     к рынку, указанному в тексте задания.)
     3) ответ на третий вопрос: если при прочих равных условиях
     резко вырастут цены на игрушки для детей в возрасте 1–3 лет,
     изготовленные из других материалов, то спрос на мягкие игрушки
     увеличится, и их равновесная цена тоже увеличится.
     (Ответ      на   третий      вопрос    засчитывается     только
     при правильном однозначном указании изменения предложения
     и равновесной цены.)
     Элементы ответа могут быть представлены в других
     формулировках.</x:v>
      </x:c>
      <x:c r="O3871" s="30" t="str">
        <x:v>Модель закрывает все элементы официального критерия; максимальный балл — 3.</x:v>
      </x:c>
      <x:c r="P3871" s="30" t="str">
        <x:v>Условие, число требуемых элементов и модель ответа повторно сверены с детализированным критерием.</x:v>
      </x:c>
      <x:c r="Q3871" s="30"/>
      <x:c r="R3871" s="30" t="str">
        <x:v>Kriterii_OB11_07112025.pdf, критерий задания 21</x:v>
      </x:c>
      <x:c r="S3871" s="30"/>
      <x:c r="T3871" s="30"/>
      <x:c r="U3871" s="30" t="str">
        <x:v>Расхождений не обнаружено.</x:v>
      </x:c>
      <x:c r="V3871" s="87" t="str">
        <x:v>VERIFIED</x:v>
      </x:c>
      <x:c r="W3871" s="87" t="str">
        <x:v>Zadanie_OB11_07112025.pdf, вариантная стр. 14</x:v>
      </x:c>
      <x:c r="X3871" s="87"/>
      <x:c r="Y3871" s="87"/>
      <x:c r="Z3871" s="87"/>
      <x:c r="AA3871" s="87"/>
      <x:c r="AB3871" s="87"/>
      <x:c r="AC3871" s="87" t="str">
        <x:v>VIS-SOC-NOV-003</x:v>
      </x:c>
      <x:c r="AD3871" s="87"/>
      <x:c r="AE3871" s="87"/>
      <x:c r="AF3871" s="87" t="str">
        <x:v>VIS-SOC-NOV-003: 14</x:v>
      </x:c>
      <x:c r="AG3871" s="87" t="str">
        <x:v>RESOLVED</x:v>
      </x:c>
      <x:c r="AH3871" s="87" t="str">
        <x:v>CROP_VERIFIED; TASK_CROP_QA_APPROVED:MANUAL_BBOX</x:v>
      </x:c>
      <x:c r="AI3871" s="30"/>
      <x:c r="AJ3871" s="87" t="str">
        <x:v>master</x:v>
      </x:c>
      <x:c r="AK3871" s="87" t="str">
        <x:v>master-v0.81</x:v>
      </x:c>
      <x:c r="AL3871" s="87" t="str">
        <x:v>statgrad_master_base_v0_81_final(2).xlsx</x:v>
      </x:c>
      <x:c r="AM3871" s="87" t="str">
        <x:v>SOC_Nov_V1</x:v>
      </x:c>
      <x:c r="AN3871" s="87" t="n">
        <x:v>22</x:v>
      </x:c>
    </x:row>
    <x:row r="3872">
      <x:c r="A3872" s="87" t="n">
        <x:v>3871</x:v>
      </x:c>
      <x:c r="B3872" s="87" t="str">
        <x:v>NOV-SOC-V1-022</x:v>
      </x:c>
      <x:c r="C3872" s="87" t="str">
        <x:v>СтатГрад</x:v>
      </x:c>
      <x:c r="D3872" s="87" t="str">
        <x:v>Ноябрь 2025</x:v>
      </x:c>
      <x:c r="E3872" s="87"/>
      <x:c r="F3872" s="87"/>
      <x:c r="G3872" s="87" t="str">
        <x:v>Обществознание</x:v>
      </x:c>
      <x:c r="H3872" s="87" t="n">
        <x:v>11</x:v>
      </x:c>
      <x:c r="I3872" s="87" t="str">
        <x:v>ТР №2</x:v>
      </x:c>
      <x:c r="J3872" s="87" t="str">
        <x:v>ОБ2510201</x:v>
      </x:c>
      <x:c r="K3872" s="87" t="n">
        <x:v>22</x:v>
      </x:c>
      <x:c r="L3872" s="87" t="str">
        <x:v>Прикладная обществоведческая задача</x:v>
      </x:c>
      <x:c r="M3872" s="30" t="str">
        <x:v>В соответствии с законодательством государства Z после смерти правителя
     полномочия и функции главы государства передаются его старшему ребенку.
     Глава государства занимает посты главы правительства, верховного
     главнокомандующего и председателя высшей судебной палаты, представляет
     Z в международных отношениях. Он также назначает тридцать
     из шестидесяти членов законодательного собрания, остальных раз в четыре
     года избирают граждане, достигшие восемнадцатилетия.
     Какая форма правления существует в государстве Z? Какие признаки
     в соответствии с заданием характерны для данной формы правления?
     (Укажите любые два признака.) Почему, исходя из описанной ситуации,
     государство Z нельзя считать правовым? Какая информация Вам необходима
     для того, чтобы установить, какая избирательная система – мажоритарная
     или пропорциональная, используется при выборах нижней палаты
     законодательного собрания? (Сформулируйте два вопроса, необходимых
     для получения этой информации.)</x:v>
      </x:c>
      <x:c r="N3872" s="30" t="str">
        <x:v>Правильный ответ должен содержать следующие элементы:
     1) ответ на первый вопрос: монархическая;
     (Ответ на вопрос 1 засчитывается только при наличии
     правильного однозначного указания формы правления. Если
     в ответе указано несколько форм правления, то он
     не засчитывается.)
     2) ответ на второй вопрос, например:
     – наследственное правление / передача власти по наследству;
     – пожизненное правление;
     – сосредоточение полноты или ряда функций высшей власти
     в руках одного человека / единоличное правление;
     (Признаки могут быть названы в других формулировках.
     Ответ на второй вопрос засчитывается только при указании
     двух или более признаков в соответствии с заданием
     при отсутствии неверных позиций.)
     3) ответ на третий вопрос: потому что в Z не существует
     разделения властей;
     (Ответ, который представляет собой цитирование условия
     задачи, не засчитывается.)
     4) ответ на четвёртый вопрос, например:
     – сколько избирательных округов действует в стране
     при проведении избирательной кампании?
     – какая информация включена в избирательный бюллетень: список
     партий или фамилии кандидатов?
     (Вопросы могут быть даны в других корректных формулировках.
     Могут быть сформулированы другие вопросы.
     Ответ на четвёртый вопрос засчитывается только при наличии
     двух или более сформулированных вопросов, ответы на которые
     позволяют установить избирательную систему, при отсутствии
     неверных позиций.)
     Ответы на вопросы могут быть даны в других формулировках,
     не искажающих смысла соответствующих элементов ответа</x:v>
      </x:c>
      <x:c r="O3872" s="30" t="str">
        <x:v>Модель закрывает все элементы официального критерия; максимальный балл — 4.</x:v>
      </x:c>
      <x:c r="P3872" s="30" t="str">
        <x:v>Условие, число требуемых элементов и модель ответа повторно сверены с детализированным критерием.</x:v>
      </x:c>
      <x:c r="Q3872" s="30"/>
      <x:c r="R3872" s="30" t="str">
        <x:v>Kriterii_OB11_07112025.pdf, критерий задания 22</x:v>
      </x:c>
      <x:c r="S3872" s="30"/>
      <x:c r="T3872" s="30"/>
      <x:c r="U3872" s="30" t="str">
        <x:v>Расхождений не обнаружено.</x:v>
      </x:c>
      <x:c r="V3872" s="87" t="str">
        <x:v>VERIFIED</x:v>
      </x:c>
      <x:c r="W3872" s="87" t="str">
        <x:v>Zadanie_OB11_07112025.pdf, вариантная стр. 14</x:v>
      </x:c>
      <x:c r="X3872" s="87"/>
      <x:c r="Y3872" s="87"/>
      <x:c r="Z3872" s="87"/>
      <x:c r="AA3872" s="87"/>
      <x:c r="AB3872" s="87"/>
      <x:c r="AC3872" s="87"/>
      <x:c r="AD3872" s="87"/>
      <x:c r="AE3872" s="87"/>
      <x:c r="AF3872" s="87"/>
      <x:c r="AG3872" s="87"/>
      <x:c r="AH3872" s="87"/>
      <x:c r="AI3872" s="30"/>
      <x:c r="AJ3872" s="87" t="str">
        <x:v>master</x:v>
      </x:c>
      <x:c r="AK3872" s="87" t="str">
        <x:v>master-v0.81</x:v>
      </x:c>
      <x:c r="AL3872" s="87" t="str">
        <x:v>statgrad_master_base_v0_81_final(2).xlsx</x:v>
      </x:c>
      <x:c r="AM3872" s="87" t="str">
        <x:v>SOC_Nov_V1</x:v>
      </x:c>
      <x:c r="AN3872" s="87" t="n">
        <x:v>23</x:v>
      </x:c>
    </x:row>
    <x:row r="3873">
      <x:c r="A3873" s="87" t="n">
        <x:v>3872</x:v>
      </x:c>
      <x:c r="B3873" s="87" t="str">
        <x:v>NOV-SOC-V1-023</x:v>
      </x:c>
      <x:c r="C3873" s="87" t="str">
        <x:v>СтатГрад</x:v>
      </x:c>
      <x:c r="D3873" s="87" t="str">
        <x:v>Ноябрь 2025</x:v>
      </x:c>
      <x:c r="E3873" s="87"/>
      <x:c r="F3873" s="87"/>
      <x:c r="G3873" s="87" t="str">
        <x:v>Обществознание</x:v>
      </x:c>
      <x:c r="H3873" s="87" t="n">
        <x:v>11</x:v>
      </x:c>
      <x:c r="I3873" s="87" t="str">
        <x:v>ТР №2</x:v>
      </x:c>
      <x:c r="J3873" s="87" t="str">
        <x:v>ОБ2510201</x:v>
      </x:c>
      <x:c r="K3873" s="87" t="n">
        <x:v>23</x:v>
      </x:c>
      <x:c r="L3873" s="87" t="str">
        <x:v>Конституция Российской Федерации</x:v>
      </x:c>
      <x:c r="M3873" s="30" t="str">
        <x:v>Конституция Российской Федерации закрепляет отношение к семье как
     к ценности государства и общества. На основе положений Конституции
     Российской Федерации сформулируйте три подтверждения этого положения.
     (Каждое     подтверждение       должно   быть   сформулировано    как
     распространённое предложение с опорой на конкретное положение
     Конституции Российской Федерации.
     Обратите внимание на то, что правильное выполнение задания не требует
     указания в ответе номеров соответствующих статей Конституции РФ
     и дословного воспроизведения их содержания.)
     Представьте, что Вам необходимо подготовить доклад по определённой
     теме. Выполните задания 24 и 25.
     Вам необходимо подготовить доклад                    по     теме    «Законодательство
     об административных правонарушениях».</x:v>
      </x:c>
      <x:c r="N3873" s="30" t="str">
        <x:v>Могут быть приведены такие подтверждения:
     1) в Российской Федерации обеспечивается государственная
     поддержка семьи, материнства, отцовства и детства;
     2) в Конституции Российской Федерации указано, что семья
     находится под защитой государства; государство берет на себя
     обязанности родителей в отношении детей, оставшихся
     без попечения;
     3) Конституция Российской Федерации гласит, что государство
     обеспечивает приоритет семейного воспитания.
     Могут быть приведены другие подтверждения в соответствии
     с требованием задания.
     Засчитываются только подтверждения, сформулированные как
     распространённые предложения (отдельные слова и слово-
     сочетания не засчитываются в качестве подтверждений)
     с опорой на конкретное положение Конституции Российской
     Федерации.
     Не требуется указания в ответе номеров соответствующих ста-
     тей Конституции и дословного воспроизведения их содержания!</x:v>
      </x:c>
      <x:c r="O3873" s="30" t="str">
        <x:v>Модель закрывает все элементы официального критерия; максимальный балл — 3.</x:v>
      </x:c>
      <x:c r="P3873" s="30" t="str">
        <x:v>Условие, число требуемых элементов и модель ответа повторно сверены с детализированным критерием.</x:v>
      </x:c>
      <x:c r="Q3873" s="30"/>
      <x:c r="R3873" s="30" t="str">
        <x:v>Kriterii_OB11_07112025.pdf, критерий задания 23</x:v>
      </x:c>
      <x:c r="S3873" s="30"/>
      <x:c r="T3873" s="30"/>
      <x:c r="U3873" s="30" t="str">
        <x:v>Расхождений не обнаружено.</x:v>
      </x:c>
      <x:c r="V3873" s="87" t="str">
        <x:v>VERIFIED</x:v>
      </x:c>
      <x:c r="W3873" s="87" t="str">
        <x:v>Zadanie_OB11_07112025.pdf, вариантная стр. 14</x:v>
      </x:c>
      <x:c r="X3873" s="87"/>
      <x:c r="Y3873" s="87"/>
      <x:c r="Z3873" s="87"/>
      <x:c r="AA3873" s="87"/>
      <x:c r="AB3873" s="87"/>
      <x:c r="AC3873" s="87"/>
      <x:c r="AD3873" s="87"/>
      <x:c r="AE3873" s="87"/>
      <x:c r="AF3873" s="87"/>
      <x:c r="AG3873" s="87"/>
      <x:c r="AH3873" s="87"/>
      <x:c r="AI3873" s="30"/>
      <x:c r="AJ3873" s="87" t="str">
        <x:v>master</x:v>
      </x:c>
      <x:c r="AK3873" s="87" t="str">
        <x:v>master-v0.81</x:v>
      </x:c>
      <x:c r="AL3873" s="87" t="str">
        <x:v>statgrad_master_base_v0_81_final(2).xlsx</x:v>
      </x:c>
      <x:c r="AM3873" s="87" t="str">
        <x:v>SOC_Nov_V1</x:v>
      </x:c>
      <x:c r="AN3873" s="87" t="n">
        <x:v>24</x:v>
      </x:c>
    </x:row>
    <x:row r="3874">
      <x:c r="A3874" s="87" t="n">
        <x:v>3873</x:v>
      </x:c>
      <x:c r="B3874" s="87" t="str">
        <x:v>NOV-SOC-V1-024</x:v>
      </x:c>
      <x:c r="C3874" s="87" t="str">
        <x:v>СтатГрад</x:v>
      </x:c>
      <x:c r="D3874" s="87" t="str">
        <x:v>Ноябрь 2025</x:v>
      </x:c>
      <x:c r="E3874" s="87"/>
      <x:c r="F3874" s="87"/>
      <x:c r="G3874" s="87" t="str">
        <x:v>Обществознание</x:v>
      </x:c>
      <x:c r="H3874" s="87" t="n">
        <x:v>11</x:v>
      </x:c>
      <x:c r="I3874" s="87" t="str">
        <x:v>ТР №2</x:v>
      </x:c>
      <x:c r="J3874" s="87" t="str">
        <x:v>ОБ2510201</x:v>
      </x:c>
      <x:c r="K3874" s="87" t="n">
        <x:v>24</x:v>
      </x:c>
      <x:c r="L3874" s="87" t="str">
        <x:v>Сложный план</x:v>
      </x:c>
      <x:c r="M3874" s="30" t="str">
        <x:v>Используя обществоведческие знания, составьте сложный план,
     позволяющий     раскрыть      по   существу     тему   «Законодательство
     об административных правонарушениях».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возможны
     только два подпункта.)</x:v>
      </x:c>
      <x:c r="N3874" s="30" t="str">
        <x:v>Один из вариантов плана раскрытия данной темы
1. Основные задачи законодательства об административных
правонарушениях:
   а) защита личности, охрана прав и свобод человека
     и гражданина;
   б) охрана здоровья граждан, санитарно-эпидемиологического
     благополучия населения, охрана окружающей среды;
   в) защита общественной нравственности;
   г) защита порядка осуществления государственной власти,
     общественного порядка и общественной безопасности.
2. Признаки административного правонарушения (проступка):
   а) противоправность / нарушение норм, установленных
     Кодексом об административных правонарушениях;
   б) виновность (умысел или неосторожность);
   в) действие или бездействие, несущее общественную
     опасность, причиняющее вред.
3. Субъекты, подлежащие административной ответственности:
   а) физические лица, достигшие к моменту совершения
     административного правонарушения 16 лет;
   б) должностные лица;
   в) иностранные граждане, лица без гражданства;
   г) юридические лица.
4. Виды административных наказаний:
   а) предупреждение;
   б) административный штраф;
   в) конфискация     орудия    совершения     или    предмета
     административного правонарушения;
   г) административный арест;
   д) административное выдворение за пределы Российской
     Федерации     иностранного     гражданина     или    лица
     без гражданства и др.
5. Особенности административной ответственности несовершен-
нолетних:
   а) ответственность за административное правонарушение,
     совершённое несовершеннолетними в возрасте от 14 до 16
     лет, несут родители;
   б) основные виды наказаний: предупреждение и администра-
     тивный штраф;
   в) лица в возрасте от 16 до 18 лет могут быть освобождены
     от административной ответственности с применением мер
     воспитательного воздействия.
Возможны другое количество и (или) иные корректные
формулировки пунктов и подпунктов плана. Они могут быть
представлены в назывной, вопросной или смешанной формах.
Наличие любых трёх из пунктов плана из № 1, 2, 3, 4, 5 в данной
или близкой по смыслу формулировке позволит раскрыть
содержание этой темы по существу</x:v>
      </x:c>
      <x:c r="O3874" s="30" t="str">
        <x:v>Модель закрывает все элементы официального критерия; максимальный балл — 4.</x:v>
      </x:c>
      <x:c r="P3874" s="30" t="str">
        <x:v>Условие, число требуемых элементов и модель ответа повторно сверены с детализированным критерием.</x:v>
      </x:c>
      <x:c r="Q3874" s="30"/>
      <x:c r="R3874" s="30" t="str">
        <x:v>Kriterii_OB11_07112025.pdf, критерий задания 24</x:v>
      </x:c>
      <x:c r="S3874" s="30"/>
      <x:c r="T3874" s="30"/>
      <x:c r="U3874" s="30" t="str">
        <x:v>Расхождений не обнаружено.</x:v>
      </x:c>
      <x:c r="V3874" s="87" t="str">
        <x:v>VERIFIED</x:v>
      </x:c>
      <x:c r="W3874" s="87" t="str">
        <x:v>Zadanie_OB11_07112025.pdf, вариантная стр. 15</x:v>
      </x:c>
      <x:c r="X3874" s="87"/>
      <x:c r="Y3874" s="87"/>
      <x:c r="Z3874" s="87"/>
      <x:c r="AA3874" s="87"/>
      <x:c r="AB3874" s="87"/>
      <x:c r="AC3874" s="87"/>
      <x:c r="AD3874" s="87"/>
      <x:c r="AE3874" s="87"/>
      <x:c r="AF3874" s="87"/>
      <x:c r="AG3874" s="87"/>
      <x:c r="AH3874" s="87"/>
      <x:c r="AI3874" s="30"/>
      <x:c r="AJ3874" s="87" t="str">
        <x:v>master</x:v>
      </x:c>
      <x:c r="AK3874" s="87" t="str">
        <x:v>master-v0.81</x:v>
      </x:c>
      <x:c r="AL3874" s="87" t="str">
        <x:v>statgrad_master_base_v0_81_final(2).xlsx</x:v>
      </x:c>
      <x:c r="AM3874" s="87" t="str">
        <x:v>SOC_Nov_V1</x:v>
      </x:c>
      <x:c r="AN3874" s="87" t="n">
        <x:v>25</x:v>
      </x:c>
    </x:row>
    <x:row r="3875">
      <x:c r="A3875" s="87" t="n">
        <x:v>3874</x:v>
      </x:c>
      <x:c r="B3875" s="87" t="str">
        <x:v>NOV-SOC-V1-025</x:v>
      </x:c>
      <x:c r="C3875" s="87" t="str">
        <x:v>СтатГрад</x:v>
      </x:c>
      <x:c r="D3875" s="87" t="str">
        <x:v>Ноябрь 2025</x:v>
      </x:c>
      <x:c r="E3875" s="87"/>
      <x:c r="F3875" s="87"/>
      <x:c r="G3875" s="87" t="str">
        <x:v>Обществознание</x:v>
      </x:c>
      <x:c r="H3875" s="87" t="n">
        <x:v>11</x:v>
      </x:c>
      <x:c r="I3875" s="87" t="str">
        <x:v>ТР №2</x:v>
      </x:c>
      <x:c r="J3875" s="87" t="str">
        <x:v>ОБ2510201</x:v>
      </x:c>
      <x:c r="K3875" s="87" t="n">
        <x:v>25</x:v>
      </x:c>
      <x:c r="L3875" s="87" t="str">
        <x:v>Задание высокого уровня</x:v>
      </x:c>
      <x:c r="M3875" s="30" t="str">
        <x:v>Используя обществоведческие знания, факты общественной жизни и личный
     социальный опыт, выполните задания, ответьте на вопрос.
     1) Обоснуйте необходимость защиты прав и свобод граждан.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Какие государственные организации выполняют функции защиты прав
     и свобод граждан в Российской Федерации? (Назовите любые три
     государственных организации.)
     3) Приведите по одному примеру, иллюстрирующему деятельность
     по защите прав и свобод граждан каждой из названных в пункте 2)
     государственных    организаций. (Каждый        пример   должен   быть
     сформулирован развёрнуто.)</x:v>
      </x:c>
      <x:c r="N3875" s="30" t="str">
        <x:v>1) Защита прав и свобод необходима, потому что они обеспечивают достоинство и автономию личности, ограничивают произвол публичной власти и создают условия для участия граждан в общественной и политической жизни. Гарантированная государством защита укрепляет законность и доверие к институтам правового государства.
2) Суды Российской Федерации; прокуратура Российской Федерации; Уполномоченный по правам человека в Российской Федерации.
3) Суд восстановил на работе гражданина, незаконно уволенного работодателем. Прокуратура внесла представление органу власти, который нарушил право граждан на своевременное рассмотрение обращений. Уполномоченный по правам человека направил запрос и добился восстановления права содержащегося под стражей гражданина на медицинскую помощь.</x:v>
      </x:c>
      <x:c r="O3875" s="30" t="str">
        <x:v>Модель закрывает все элементы официального критерия; максимальный балл — 6.</x:v>
      </x:c>
      <x:c r="P3875" s="30" t="str">
        <x:v>Условие, число требуемых элементов и модель ответа повторно сверены с детализированным критерием.</x:v>
      </x:c>
      <x:c r="Q3875" s="30"/>
      <x:c r="R3875" s="30" t="str">
        <x:v>Kriterii_OB11_07112025.pdf, критерий задания 25</x:v>
      </x:c>
      <x:c r="S3875" s="30"/>
      <x:c r="T3875" s="30"/>
      <x:c r="U3875" s="30" t="str">
        <x:v>Расхождений не обнаружено.</x:v>
      </x:c>
      <x:c r="V3875" s="87" t="str">
        <x:v>VERIFIED</x:v>
      </x:c>
      <x:c r="W3875" s="87" t="str">
        <x:v>Zadanie_OB11_07112025.pdf, вариантная стр. 15</x:v>
      </x:c>
      <x:c r="X3875" s="87"/>
      <x:c r="Y3875" s="87"/>
      <x:c r="Z3875" s="87"/>
      <x:c r="AA3875" s="87"/>
      <x:c r="AB3875" s="87"/>
      <x:c r="AC3875" s="87"/>
      <x:c r="AD3875" s="87"/>
      <x:c r="AE3875" s="87"/>
      <x:c r="AF3875" s="87"/>
      <x:c r="AG3875" s="87"/>
      <x:c r="AH3875" s="87"/>
      <x:c r="AI3875" s="30"/>
      <x:c r="AJ3875" s="87" t="str">
        <x:v>master</x:v>
      </x:c>
      <x:c r="AK3875" s="87" t="str">
        <x:v>master-v0.81</x:v>
      </x:c>
      <x:c r="AL3875" s="87" t="str">
        <x:v>statgrad_master_base_v0_81_final(2).xlsx</x:v>
      </x:c>
      <x:c r="AM3875" s="87" t="str">
        <x:v>SOC_Nov_V1</x:v>
      </x:c>
      <x:c r="AN3875" s="87" t="n">
        <x:v>26</x:v>
      </x:c>
    </x:row>
    <x:row r="3876">
      <x:c r="A3876" s="87" t="n">
        <x:v>3875</x:v>
      </x:c>
      <x:c r="B3876" s="87" t="str">
        <x:v>NOV-SOC-V2-001</x:v>
      </x:c>
      <x:c r="C3876" s="87" t="str">
        <x:v>СтатГрад</x:v>
      </x:c>
      <x:c r="D3876" s="87" t="str">
        <x:v>Ноябрь 2025</x:v>
      </x:c>
      <x:c r="E3876" s="87"/>
      <x:c r="F3876" s="87"/>
      <x:c r="G3876" s="87" t="str">
        <x:v>Обществознание</x:v>
      </x:c>
      <x:c r="H3876" s="87" t="n">
        <x:v>11</x:v>
      </x:c>
      <x:c r="I3876" s="87" t="str">
        <x:v>ТР №2</x:v>
      </x:c>
      <x:c r="J3876" s="87" t="str">
        <x:v>ОБ2510202</x:v>
      </x:c>
      <x:c r="K3876" s="87" t="n">
        <x:v>1</x:v>
      </x:c>
      <x:c r="L3876" s="87" t="str">
        <x:v>Права и обязанности налогоплательщика</x:v>
      </x:c>
      <x:c r="M3876" s="30" t="str">
        <x:v>Ниже приведён перечень действий. Все они, за исключением двух, относятся
    к обязанностям налогоплательщика, предусмотренным законодательством
    о налогах и сборах в Российской Федерации.
    1) присутствовать при проведении выездной налоговой проверки; 2) платить
    законно установленные налоги; 3) получать отсрочку, рассрочку или
    инвестиционный налоговый кредит; 4) в течение пяти лет обеспечивать
    сохранность данных бухгалтерского и налогового учёта и других документов;
    5) вести в установленном порядке учёт своих доходов (расходов); 6) встать
    на учёт в налоговых органах.
    Найдите два действия, «выпадающие» из общего ряда, и запишите в таблицу
    цифры, под которыми они указаны.</x:v>
      </x:c>
      <x:c r="N3876" s="30" t="str">
        <x:v>13</x:v>
      </x:c>
      <x:c r="O3876" s="30" t="str">
        <x:v>Официальный ответ 13; тот же ответ повторяется у идентичного задания в ОБ2510204.</x:v>
      </x:c>
      <x:c r="P3876" s="30" t="str">
        <x:v>Сверены официальный ключ и независимая постраничная конструкция смешанного варианта ОБ2510204.</x:v>
      </x:c>
      <x:c r="Q3876" s="30"/>
      <x:c r="R3876" s="30" t="str">
        <x:v>Официальная таблица ответов + перекрёстная проверка смешанного варианта</x:v>
      </x:c>
      <x:c r="S3876" s="30"/>
      <x:c r="T3876" s="30"/>
      <x:c r="U3876" s="30" t="str">
        <x:v>Расхождений не обнаружено.</x:v>
      </x:c>
      <x:c r="V3876" s="87" t="str">
        <x:v>VERIFIED</x:v>
      </x:c>
      <x:c r="W3876" s="87" t="str">
        <x:v>Zadanie_OB11_07112025.pdf, вариантная стр. 2</x:v>
      </x:c>
      <x:c r="X3876" s="87"/>
      <x:c r="Y3876" s="87"/>
      <x:c r="Z3876" s="87"/>
      <x:c r="AA3876" s="87"/>
      <x:c r="AB3876" s="87"/>
      <x:c r="AC3876" s="87"/>
      <x:c r="AD3876" s="87"/>
      <x:c r="AE3876" s="87"/>
      <x:c r="AF3876" s="87"/>
      <x:c r="AG3876" s="87"/>
      <x:c r="AH3876" s="87"/>
      <x:c r="AI3876" s="30"/>
      <x:c r="AJ3876" s="87" t="str">
        <x:v>master</x:v>
      </x:c>
      <x:c r="AK3876" s="87" t="str">
        <x:v>master-v0.81</x:v>
      </x:c>
      <x:c r="AL3876" s="87" t="str">
        <x:v>statgrad_master_base_v0_81_final(2).xlsx</x:v>
      </x:c>
      <x:c r="AM3876" s="87" t="str">
        <x:v>SOC_Nov_V2</x:v>
      </x:c>
      <x:c r="AN3876" s="87" t="n">
        <x:v>2</x:v>
      </x:c>
    </x:row>
    <x:row r="3877">
      <x:c r="A3877" s="87" t="n">
        <x:v>3876</x:v>
      </x:c>
      <x:c r="B3877" s="87" t="str">
        <x:v>NOV-SOC-V2-002</x:v>
      </x:c>
      <x:c r="C3877" s="87" t="str">
        <x:v>СтатГрад</x:v>
      </x:c>
      <x:c r="D3877" s="87" t="str">
        <x:v>Ноябрь 2025</x:v>
      </x:c>
      <x:c r="E3877" s="87"/>
      <x:c r="F3877" s="87"/>
      <x:c r="G3877" s="87" t="str">
        <x:v>Обществознание</x:v>
      </x:c>
      <x:c r="H3877" s="87" t="n">
        <x:v>11</x:v>
      </x:c>
      <x:c r="I3877" s="87" t="str">
        <x:v>ТР №2</x:v>
      </x:c>
      <x:c r="J3877" s="87" t="str">
        <x:v>ОБ2510202</x:v>
      </x:c>
      <x:c r="K3877" s="87" t="n">
        <x:v>2</x:v>
      </x:c>
      <x:c r="L3877" s="87" t="str">
        <x:v>Материальная и духовная культура</x:v>
      </x:c>
      <x:c r="M3877" s="30" t="str">
        <x:v>Выберите верные суждения о материальной и духовной культуре и запишите
    цифры, под которыми они указаны.
    1) И материальная, и духовная культура развиваются с опорой
       на историческое культурное наследие.
    2) Духовная культура связана с миром идей, поэтому её достижения
       не имеют материального воплощения.
    3) К функциям духовной культуры относят оценочную и коммуникативную.
    4) Духовная и материальная культура – это две изолированные друг от друга
       сферы человеческой жизнедеятельности.
    5) Достижения материальной культуры включают многообразие предметов,
       созданных человеком.</x:v>
      </x:c>
      <x:c r="N3877" s="30" t="str">
        <x:v>135</x:v>
      </x:c>
      <x:c r="O3877" s="30" t="str">
        <x:v>Официальный ответ 135; тот же ответ повторяется у идентичного задания в ОБ2510203.</x:v>
      </x:c>
      <x:c r="P3877" s="30" t="str">
        <x:v>Сверены официальный ключ и независимая постраничная конструкция смешанного варианта ОБ2510203.</x:v>
      </x:c>
      <x:c r="Q3877" s="30"/>
      <x:c r="R3877" s="30" t="str">
        <x:v>Официальная таблица ответов + перекрёстная проверка смешанного варианта</x:v>
      </x:c>
      <x:c r="S3877" s="30"/>
      <x:c r="T3877" s="30"/>
      <x:c r="U3877" s="30" t="str">
        <x:v>Расхождений не обнаружено.</x:v>
      </x:c>
      <x:c r="V3877" s="87" t="str">
        <x:v>VERIFIED</x:v>
      </x:c>
      <x:c r="W3877" s="87" t="str">
        <x:v>Zadanie_OB11_07112025.pdf, вариантная стр. 2</x:v>
      </x:c>
      <x:c r="X3877" s="87"/>
      <x:c r="Y3877" s="87"/>
      <x:c r="Z3877" s="87"/>
      <x:c r="AA3877" s="87"/>
      <x:c r="AB3877" s="87"/>
      <x:c r="AC3877" s="87"/>
      <x:c r="AD3877" s="87"/>
      <x:c r="AE3877" s="87"/>
      <x:c r="AF3877" s="87"/>
      <x:c r="AG3877" s="87"/>
      <x:c r="AH3877" s="87"/>
      <x:c r="AI3877" s="30"/>
      <x:c r="AJ3877" s="87" t="str">
        <x:v>master</x:v>
      </x:c>
      <x:c r="AK3877" s="87" t="str">
        <x:v>master-v0.81</x:v>
      </x:c>
      <x:c r="AL3877" s="87" t="str">
        <x:v>statgrad_master_base_v0_81_final(2).xlsx</x:v>
      </x:c>
      <x:c r="AM3877" s="87" t="str">
        <x:v>SOC_Nov_V2</x:v>
      </x:c>
      <x:c r="AN3877" s="87" t="n">
        <x:v>3</x:v>
      </x:c>
    </x:row>
    <x:row r="3878">
      <x:c r="A3878" s="87" t="n">
        <x:v>3877</x:v>
      </x:c>
      <x:c r="B3878" s="87" t="str">
        <x:v>NOV-SOC-V2-003</x:v>
      </x:c>
      <x:c r="C3878" s="87" t="str">
        <x:v>СтатГрад</x:v>
      </x:c>
      <x:c r="D3878" s="87" t="str">
        <x:v>Ноябрь 2025</x:v>
      </x:c>
      <x:c r="E3878" s="87"/>
      <x:c r="F3878" s="87"/>
      <x:c r="G3878" s="87" t="str">
        <x:v>Обществознание</x:v>
      </x:c>
      <x:c r="H3878" s="87" t="n">
        <x:v>11</x:v>
      </x:c>
      <x:c r="I3878" s="87" t="str">
        <x:v>ТР №2</x:v>
      </x:c>
      <x:c r="J3878" s="87" t="str">
        <x:v>ОБ2510202</x:v>
      </x:c>
      <x:c r="K3878" s="87" t="n">
        <x:v>3</x:v>
      </x:c>
      <x:c r="L3878" s="87" t="str">
        <x:v>Социальные институты</x:v>
      </x:c>
      <x:c r="M3878" s="30" t="str">
        <x:v>Установите соответствие между потребностями общества и социальными
    институтами, с помощью которых они удовлетворяются: к каждой позиции,
    данной в первом столбце, подберите соответствующую позицию из второго
    столбца.
             ПОТРЕБНОСТЬ ОБЩЕСТВА                                СОЦИАЛЬНЫЕ
                                                                  ИНСТИТУТЫ
    А) в материальных благах                              1) политические институты
    Б) в установлении правопорядка                        2) экономические институты
    В) в средствах существования                          3) и экономические,
    Г) в общественной безопасности                           и политические институты
    Д) в регулировании социальных
       взаимодействий
    Запишите в таблицу выбранные цифры под соответствующими буквами.
               А Б В Г Д</x:v>
      </x:c>
      <x:c r="N3878" s="30" t="str">
        <x:v>21213</x:v>
      </x:c>
      <x:c r="O3878" s="30" t="str">
        <x:v>Официальный ответ 21213; тот же ответ повторяется у идентичного задания в ОБ2510204.</x:v>
      </x:c>
      <x:c r="P3878" s="30" t="str">
        <x:v>Сверены официальный ключ и независимая постраничная конструкция смешанного варианта ОБ2510204.</x:v>
      </x:c>
      <x:c r="Q3878" s="30"/>
      <x:c r="R3878" s="30" t="str">
        <x:v>Официальная таблица ответов + перекрёстная проверка смешанного варианта</x:v>
      </x:c>
      <x:c r="S3878" s="30"/>
      <x:c r="T3878" s="30"/>
      <x:c r="U3878" s="30" t="str">
        <x:v>Расхождений не обнаружено.</x:v>
      </x:c>
      <x:c r="V3878" s="87" t="str">
        <x:v>VERIFIED</x:v>
      </x:c>
      <x:c r="W3878" s="87" t="str">
        <x:v>Zadanie_OB11_07112025.pdf, вариантная стр. 3</x:v>
      </x:c>
      <x:c r="X3878" s="87"/>
      <x:c r="Y3878" s="87"/>
      <x:c r="Z3878" s="87"/>
      <x:c r="AA3878" s="87"/>
      <x:c r="AB3878" s="87"/>
      <x:c r="AC3878" s="87"/>
      <x:c r="AD3878" s="87"/>
      <x:c r="AE3878" s="87"/>
      <x:c r="AF3878" s="87"/>
      <x:c r="AG3878" s="87"/>
      <x:c r="AH3878" s="87"/>
      <x:c r="AI3878" s="30"/>
      <x:c r="AJ3878" s="87" t="str">
        <x:v>master</x:v>
      </x:c>
      <x:c r="AK3878" s="87" t="str">
        <x:v>master-v0.81</x:v>
      </x:c>
      <x:c r="AL3878" s="87" t="str">
        <x:v>statgrad_master_base_v0_81_final(2).xlsx</x:v>
      </x:c>
      <x:c r="AM3878" s="87" t="str">
        <x:v>SOC_Nov_V2</x:v>
      </x:c>
      <x:c r="AN3878" s="87" t="n">
        <x:v>4</x:v>
      </x:c>
    </x:row>
    <x:row r="3879">
      <x:c r="A3879" s="87" t="n">
        <x:v>3878</x:v>
      </x:c>
      <x:c r="B3879" s="87" t="str">
        <x:v>NOV-SOC-V2-004</x:v>
      </x:c>
      <x:c r="C3879" s="87" t="str">
        <x:v>СтатГрад</x:v>
      </x:c>
      <x:c r="D3879" s="87" t="str">
        <x:v>Ноябрь 2025</x:v>
      </x:c>
      <x:c r="E3879" s="87"/>
      <x:c r="F3879" s="87"/>
      <x:c r="G3879" s="87" t="str">
        <x:v>Обществознание</x:v>
      </x:c>
      <x:c r="H3879" s="87" t="n">
        <x:v>11</x:v>
      </x:c>
      <x:c r="I3879" s="87" t="str">
        <x:v>ТР №2</x:v>
      </x:c>
      <x:c r="J3879" s="87" t="str">
        <x:v>ОБ2510202</x:v>
      </x:c>
      <x:c r="K3879" s="87" t="n">
        <x:v>4</x:v>
      </x:c>
      <x:c r="L3879" s="87" t="str">
        <x:v>Мораль</x:v>
      </x:c>
      <x:c r="M3879" s="30" t="str">
        <x:v>Выполняя домашнее задание по теме «Мораль», София охарактеризовала
    нормы морали. Найдите в приведённом списке характеристики норм морали
    и запишите цифры, под которыми они указаны.
    1) отражают уровень развития духовной культуры
    2) оценивают действия людей с правовых позиций
    3) воплощают нравственные идеалы, одобряемые в обществе
    4) обязательно фиксируются письменно
    5) закрепляют в общественном сознании приоритет материального
       над духовным
    6) выполняют регулятивную функцию</x:v>
      </x:c>
      <x:c r="N3879" s="30" t="str">
        <x:v>136</x:v>
      </x:c>
      <x:c r="O3879" s="30" t="str">
        <x:v>Официальный ответ 136; тот же ответ повторяется у идентичного задания в ОБ2510203.</x:v>
      </x:c>
      <x:c r="P3879" s="30" t="str">
        <x:v>Сверены официальный ключ и независимая постраничная конструкция смешанного варианта ОБ2510203.</x:v>
      </x:c>
      <x:c r="Q3879" s="30"/>
      <x:c r="R3879" s="30" t="str">
        <x:v>Официальная таблица ответов + перекрёстная проверка смешанного варианта</x:v>
      </x:c>
      <x:c r="S3879" s="30"/>
      <x:c r="T3879" s="30"/>
      <x:c r="U3879" s="30" t="str">
        <x:v>Расхождений не обнаружено.</x:v>
      </x:c>
      <x:c r="V3879" s="87" t="str">
        <x:v>VERIFIED</x:v>
      </x:c>
      <x:c r="W3879" s="87" t="str">
        <x:v>Zadanie_OB11_07112025.pdf, вариантная стр. 3</x:v>
      </x:c>
      <x:c r="X3879" s="87"/>
      <x:c r="Y3879" s="87"/>
      <x:c r="Z3879" s="87"/>
      <x:c r="AA3879" s="87"/>
      <x:c r="AB3879" s="87"/>
      <x:c r="AC3879" s="87"/>
      <x:c r="AD3879" s="87"/>
      <x:c r="AE3879" s="87"/>
      <x:c r="AF3879" s="87"/>
      <x:c r="AG3879" s="87"/>
      <x:c r="AH3879" s="87"/>
      <x:c r="AI3879" s="30"/>
      <x:c r="AJ3879" s="87" t="str">
        <x:v>master</x:v>
      </x:c>
      <x:c r="AK3879" s="87" t="str">
        <x:v>master-v0.81</x:v>
      </x:c>
      <x:c r="AL3879" s="87" t="str">
        <x:v>statgrad_master_base_v0_81_final(2).xlsx</x:v>
      </x:c>
      <x:c r="AM3879" s="87" t="str">
        <x:v>SOC_Nov_V2</x:v>
      </x:c>
      <x:c r="AN3879" s="87" t="n">
        <x:v>5</x:v>
      </x:c>
    </x:row>
    <x:row r="3880">
      <x:c r="A3880" s="87" t="n">
        <x:v>3879</x:v>
      </x:c>
      <x:c r="B3880" s="87" t="str">
        <x:v>NOV-SOC-V2-005</x:v>
      </x:c>
      <x:c r="C3880" s="87" t="str">
        <x:v>СтатГрад</x:v>
      </x:c>
      <x:c r="D3880" s="87" t="str">
        <x:v>Ноябрь 2025</x:v>
      </x:c>
      <x:c r="E3880" s="87"/>
      <x:c r="F3880" s="87"/>
      <x:c r="G3880" s="87" t="str">
        <x:v>Обществознание</x:v>
      </x:c>
      <x:c r="H3880" s="87" t="n">
        <x:v>11</x:v>
      </x:c>
      <x:c r="I3880" s="87" t="str">
        <x:v>ТР №2</x:v>
      </x:c>
      <x:c r="J3880" s="87" t="str">
        <x:v>ОБ2510202</x:v>
      </x:c>
      <x:c r="K3880" s="87" t="n">
        <x:v>5</x:v>
      </x:c>
      <x:c r="L3880" s="87" t="str">
        <x:v>Занятость и безработица</x:v>
      </x:c>
      <x:c r="M3880" s="30" t="str">
        <x:v>Выберите верные суждения о занятости и безработице и запишите цифры,
    под которыми они указаны.
    1) Занятость – это количество рабочих мест, которые экономическая сфера
       предоставляет трудоспособному населению.
    2) И занятые, и безработные граждане составляют экономически активное
       население.
    3) В периоды спада экономики количество безработных сокращается.
    4) Безработица, причиной которой является совершенствование технологий,
       называется циклической.
    5) Перемена места жительства, поиск более выгодных условий труда
       приводят к фрикционной безработице.</x:v>
      </x:c>
      <x:c r="N3880" s="30" t="str">
        <x:v>25</x:v>
      </x:c>
      <x:c r="O3880" s="30" t="str">
        <x:v>Официальный ответ 25; тот же ответ повторяется у идентичного задания в ОБ2510204.</x:v>
      </x:c>
      <x:c r="P3880" s="30" t="str">
        <x:v>Сверены официальный ключ и независимая постраничная конструкция смешанного варианта ОБ2510204.</x:v>
      </x:c>
      <x:c r="Q3880" s="30"/>
      <x:c r="R3880" s="30" t="str">
        <x:v>Официальная таблица ответов + перекрёстная проверка смешанного варианта</x:v>
      </x:c>
      <x:c r="S3880" s="30"/>
      <x:c r="T3880" s="30"/>
      <x:c r="U3880" s="30" t="str">
        <x:v>Расхождений не обнаружено.</x:v>
      </x:c>
      <x:c r="V3880" s="87" t="str">
        <x:v>VERIFIED</x:v>
      </x:c>
      <x:c r="W3880" s="87" t="str">
        <x:v>Zadanie_OB11_07112025.pdf, вариантная стр. 4</x:v>
      </x:c>
      <x:c r="X3880" s="87"/>
      <x:c r="Y3880" s="87"/>
      <x:c r="Z3880" s="87"/>
      <x:c r="AA3880" s="87"/>
      <x:c r="AB3880" s="87"/>
      <x:c r="AC3880" s="87"/>
      <x:c r="AD3880" s="87"/>
      <x:c r="AE3880" s="87"/>
      <x:c r="AF3880" s="87"/>
      <x:c r="AG3880" s="87"/>
      <x:c r="AH3880" s="87"/>
      <x:c r="AI3880" s="30"/>
      <x:c r="AJ3880" s="87" t="str">
        <x:v>master</x:v>
      </x:c>
      <x:c r="AK3880" s="87" t="str">
        <x:v>master-v0.81</x:v>
      </x:c>
      <x:c r="AL3880" s="87" t="str">
        <x:v>statgrad_master_base_v0_81_final(2).xlsx</x:v>
      </x:c>
      <x:c r="AM3880" s="87" t="str">
        <x:v>SOC_Nov_V2</x:v>
      </x:c>
      <x:c r="AN3880" s="87" t="n">
        <x:v>6</x:v>
      </x:c>
    </x:row>
    <x:row r="3881">
      <x:c r="A3881" s="87" t="n">
        <x:v>3880</x:v>
      </x:c>
      <x:c r="B3881" s="87" t="str">
        <x:v>NOV-SOC-V2-006</x:v>
      </x:c>
      <x:c r="C3881" s="87" t="str">
        <x:v>СтатГрад</x:v>
      </x:c>
      <x:c r="D3881" s="87" t="str">
        <x:v>Ноябрь 2025</x:v>
      </x:c>
      <x:c r="E3881" s="87"/>
      <x:c r="F3881" s="87"/>
      <x:c r="G3881" s="87" t="str">
        <x:v>Обществознание</x:v>
      </x:c>
      <x:c r="H3881" s="87" t="n">
        <x:v>11</x:v>
      </x:c>
      <x:c r="I3881" s="87" t="str">
        <x:v>ТР №2</x:v>
      </x:c>
      <x:c r="J3881" s="87" t="str">
        <x:v>ОБ2510202</x:v>
      </x:c>
      <x:c r="K3881" s="87" t="n">
        <x:v>6</x:v>
      </x:c>
      <x:c r="L3881" s="87" t="str">
        <x:v>Издержки фирмы</x:v>
      </x:c>
      <x:c r="M3881" s="30" t="str">
        <x:v>Установите соответствие между примерами / ситуациями и видами издержек:
    к каждой позиции, данной в первом столбце, подберите соответствующую
    позицию из второго столбца.
              ПРИМЕР / СИТУАЦИЯ                     ВИД ИЗДЕРЖЕК
    А) Увеличение выпуска печатной продукции 1) постоянные издержки
       привело к росту затрат типографии      2) переменные издержки
       на её упаковку и доставку потребителю.
    Б) Частное предприятие ежемесячно
       выплачивает проценты по кредиту.
    В) Начисление заработной платы
       управленческому персоналу предприятия
       производится 5 и 25 числа каждого
       месяца.
    Г) Ресторан ежедневно закупает продукты
       и напитки.
    Д) Аренда офисного помещения в центре
       города потребовала дополнительных
       расходов предприятия.
    Запишите в таблицу выбранные цифры под соответствующими буквами.
               А Б В Г Д</x:v>
      </x:c>
      <x:c r="N3881" s="30" t="str">
        <x:v>21121</x:v>
      </x:c>
      <x:c r="O3881" s="30" t="str">
        <x:v>Официальный ответ 21121; тот же ответ повторяется у идентичного задания в ОБ2510203.</x:v>
      </x:c>
      <x:c r="P3881" s="30" t="str">
        <x:v>Сверены официальный ключ и независимая постраничная конструкция смешанного варианта ОБ2510203.</x:v>
      </x:c>
      <x:c r="Q3881" s="30"/>
      <x:c r="R3881" s="30" t="str">
        <x:v>Официальная таблица ответов + перекрёстная проверка смешанного варианта</x:v>
      </x:c>
      <x:c r="S3881" s="30"/>
      <x:c r="T3881" s="30"/>
      <x:c r="U3881" s="30" t="str">
        <x:v>Расхождений не обнаружено.</x:v>
      </x:c>
      <x:c r="V3881" s="87" t="str">
        <x:v>VERIFIED</x:v>
      </x:c>
      <x:c r="W3881" s="87" t="str">
        <x:v>Zadanie_OB11_07112025.pdf, вариантная стр. 4</x:v>
      </x:c>
      <x:c r="X3881" s="87"/>
      <x:c r="Y3881" s="87"/>
      <x:c r="Z3881" s="87"/>
      <x:c r="AA3881" s="87"/>
      <x:c r="AB3881" s="87"/>
      <x:c r="AC3881" s="87"/>
      <x:c r="AD3881" s="87"/>
      <x:c r="AE3881" s="87"/>
      <x:c r="AF3881" s="87"/>
      <x:c r="AG3881" s="87"/>
      <x:c r="AH3881" s="87"/>
      <x:c r="AI3881" s="30"/>
      <x:c r="AJ3881" s="87" t="str">
        <x:v>master</x:v>
      </x:c>
      <x:c r="AK3881" s="87" t="str">
        <x:v>master-v0.81</x:v>
      </x:c>
      <x:c r="AL3881" s="87" t="str">
        <x:v>statgrad_master_base_v0_81_final(2).xlsx</x:v>
      </x:c>
      <x:c r="AM3881" s="87" t="str">
        <x:v>SOC_Nov_V2</x:v>
      </x:c>
      <x:c r="AN3881" s="87" t="n">
        <x:v>7</x:v>
      </x:c>
    </x:row>
    <x:row r="3882">
      <x:c r="A3882" s="87" t="n">
        <x:v>3881</x:v>
      </x:c>
      <x:c r="B3882" s="87" t="str">
        <x:v>NOV-SOC-V2-007</x:v>
      </x:c>
      <x:c r="C3882" s="87" t="str">
        <x:v>СтатГрад</x:v>
      </x:c>
      <x:c r="D3882" s="87" t="str">
        <x:v>Ноябрь 2025</x:v>
      </x:c>
      <x:c r="E3882" s="87"/>
      <x:c r="F3882" s="87"/>
      <x:c r="G3882" s="87" t="str">
        <x:v>Обществознание</x:v>
      </x:c>
      <x:c r="H3882" s="87" t="n">
        <x:v>11</x:v>
      </x:c>
      <x:c r="I3882" s="87" t="str">
        <x:v>ТР №2</x:v>
      </x:c>
      <x:c r="J3882" s="87" t="str">
        <x:v>ОБ2510202</x:v>
      </x:c>
      <x:c r="K3882" s="87" t="n">
        <x:v>7</x:v>
      </x:c>
      <x:c r="L3882" s="87" t="str">
        <x:v>Местные налоги и сборы</x:v>
      </x:c>
      <x:c r="M3882" s="30" t="str">
        <x:v>Гражданин Ломов проживает в областном центре, владеет квартирой,
    автомобилем и участком земли с дачей на берегу озера в пригороде.
    Выращенные на даче цветы Ломов продаёт на рынке. Найдите
    в приведённом списке местные налоги и сборы, которые он должен платить.
    Запишите цифры, под которыми они указаны.
    1) земельный налог
    2) транспортный налог
    3) налог на имущество физического лица
    4) торговый сбор
    5) водный налог
    6) налог на доходы физического лица</x:v>
      </x:c>
      <x:c r="N3882" s="30" t="str">
        <x:v>134</x:v>
      </x:c>
      <x:c r="O3882" s="30" t="str">
        <x:v>Официальный ответ 134; тот же ответ повторяется у идентичного задания в ОБ2510204.</x:v>
      </x:c>
      <x:c r="P3882" s="30" t="str">
        <x:v>Сверены официальный ключ и независимая постраничная конструкция смешанного варианта ОБ2510204.</x:v>
      </x:c>
      <x:c r="Q3882" s="30"/>
      <x:c r="R3882" s="30" t="str">
        <x:v>Официальная таблица ответов + перекрёстная проверка смешанного варианта</x:v>
      </x:c>
      <x:c r="S3882" s="30"/>
      <x:c r="T3882" s="30"/>
      <x:c r="U3882" s="30" t="str">
        <x:v>Расхождений не обнаружено.</x:v>
      </x:c>
      <x:c r="V3882" s="87" t="str">
        <x:v>VERIFIED</x:v>
      </x:c>
      <x:c r="W3882" s="87" t="str">
        <x:v>Zadanie_OB11_07112025.pdf, вариантная стр. 5</x:v>
      </x:c>
      <x:c r="X3882" s="87"/>
      <x:c r="Y3882" s="87"/>
      <x:c r="Z3882" s="87"/>
      <x:c r="AA3882" s="87"/>
      <x:c r="AB3882" s="87"/>
      <x:c r="AC3882" s="87"/>
      <x:c r="AD3882" s="87"/>
      <x:c r="AE3882" s="87"/>
      <x:c r="AF3882" s="87"/>
      <x:c r="AG3882" s="87"/>
      <x:c r="AH3882" s="87"/>
      <x:c r="AI3882" s="30"/>
      <x:c r="AJ3882" s="87" t="str">
        <x:v>master</x:v>
      </x:c>
      <x:c r="AK3882" s="87" t="str">
        <x:v>master-v0.81</x:v>
      </x:c>
      <x:c r="AL3882" s="87" t="str">
        <x:v>statgrad_master_base_v0_81_final(2).xlsx</x:v>
      </x:c>
      <x:c r="AM3882" s="87" t="str">
        <x:v>SOC_Nov_V2</x:v>
      </x:c>
      <x:c r="AN3882" s="87" t="n">
        <x:v>8</x:v>
      </x:c>
    </x:row>
    <x:row r="3883">
      <x:c r="A3883" s="87" t="n">
        <x:v>3882</x:v>
      </x:c>
      <x:c r="B3883" s="87" t="str">
        <x:v>NOV-SOC-V2-008</x:v>
      </x:c>
      <x:c r="C3883" s="87" t="str">
        <x:v>СтатГрад</x:v>
      </x:c>
      <x:c r="D3883" s="87" t="str">
        <x:v>Ноябрь 2025</x:v>
      </x:c>
      <x:c r="E3883" s="87"/>
      <x:c r="F3883" s="87"/>
      <x:c r="G3883" s="87" t="str">
        <x:v>Обществознание</x:v>
      </x:c>
      <x:c r="H3883" s="87" t="n">
        <x:v>11</x:v>
      </x:c>
      <x:c r="I3883" s="87" t="str">
        <x:v>ТР №2</x:v>
      </x:c>
      <x:c r="J3883" s="87" t="str">
        <x:v>ОБ2510202</x:v>
      </x:c>
      <x:c r="K3883" s="87" t="n">
        <x:v>8</x:v>
      </x:c>
      <x:c r="L3883" s="87" t="str">
        <x:v>Социальная стратификация</x:v>
      </x:c>
      <x:c r="M3883" s="30" t="str">
        <x:v>Выберите верные суждения о социальной стратификации и её критериях
    и запишите цифры, под которыми они указаны.
    1) Социальная стратификация – это выделение в социальной структуре
       общества групп, которые обладают неравным доступом к социальным
       благам.
    2) Одним из критериев социальной стратификации является образование.
    3) К критериям социальной стратификации следует отнести социальные
       интересы.
    4) Социальная стратификация появляется в постиндустриальном обществе.
    5) Социальная стратификация отражает сложившиеся общественные
       отношения.</x:v>
      </x:c>
      <x:c r="N3883" s="30" t="str">
        <x:v>125</x:v>
      </x:c>
      <x:c r="O3883" s="30" t="str">
        <x:v>Официальный ответ 125; тот же ответ повторяется у идентичного задания в ОБ2510203.</x:v>
      </x:c>
      <x:c r="P3883" s="30" t="str">
        <x:v>Сверены официальный ключ и независимая постраничная конструкция смешанного варианта ОБ2510203.</x:v>
      </x:c>
      <x:c r="Q3883" s="30"/>
      <x:c r="R3883" s="30" t="str">
        <x:v>Официальная таблица ответов + перекрёстная проверка смешанного варианта</x:v>
      </x:c>
      <x:c r="S3883" s="30"/>
      <x:c r="T3883" s="30"/>
      <x:c r="U3883" s="30" t="str">
        <x:v>Расхождений не обнаружено.</x:v>
      </x:c>
      <x:c r="V3883" s="87" t="str">
        <x:v>VERIFIED</x:v>
      </x:c>
      <x:c r="W3883" s="87" t="str">
        <x:v>Zadanie_OB11_07112025.pdf, вариантная стр. 5</x:v>
      </x:c>
      <x:c r="X3883" s="87"/>
      <x:c r="Y3883" s="87"/>
      <x:c r="Z3883" s="87"/>
      <x:c r="AA3883" s="87"/>
      <x:c r="AB3883" s="87"/>
      <x:c r="AC3883" s="87"/>
      <x:c r="AD3883" s="87"/>
      <x:c r="AE3883" s="87"/>
      <x:c r="AF3883" s="87"/>
      <x:c r="AG3883" s="87"/>
      <x:c r="AH3883" s="87"/>
      <x:c r="AI3883" s="30"/>
      <x:c r="AJ3883" s="87" t="str">
        <x:v>master</x:v>
      </x:c>
      <x:c r="AK3883" s="87" t="str">
        <x:v>master-v0.81</x:v>
      </x:c>
      <x:c r="AL3883" s="87" t="str">
        <x:v>statgrad_master_base_v0_81_final(2).xlsx</x:v>
      </x:c>
      <x:c r="AM3883" s="87" t="str">
        <x:v>SOC_Nov_V2</x:v>
      </x:c>
      <x:c r="AN3883" s="87" t="n">
        <x:v>9</x:v>
      </x:c>
    </x:row>
    <x:row r="3884">
      <x:c r="A3884" s="87" t="n">
        <x:v>3883</x:v>
      </x:c>
      <x:c r="B3884" s="87" t="str">
        <x:v>NOV-SOC-V2-009</x:v>
      </x:c>
      <x:c r="C3884" s="87" t="str">
        <x:v>СтатГрад</x:v>
      </x:c>
      <x:c r="D3884" s="87" t="str">
        <x:v>Ноябрь 2025</x:v>
      </x:c>
      <x:c r="E3884" s="87"/>
      <x:c r="F3884" s="87"/>
      <x:c r="G3884" s="87" t="str">
        <x:v>Обществознание</x:v>
      </x:c>
      <x:c r="H3884" s="87" t="n">
        <x:v>11</x:v>
      </x:c>
      <x:c r="I3884" s="87" t="str">
        <x:v>ТР №2</x:v>
      </x:c>
      <x:c r="J3884" s="87" t="str">
        <x:v>ОБ2510202</x:v>
      </x:c>
      <x:c r="K3884" s="87" t="n">
        <x:v>9</x:v>
      </x:c>
      <x:c r="L3884" s="87" t="str">
        <x:v>Социологическая диаграмма</x:v>
      </x:c>
      <x:c r="M3884" s="30" t="str">
        <x:v>В ходе социологического исследования совершеннолетним гражданам был
    задан вопрос: «Как Вы думаете, у кого больше шансов добиться успеха
    в бизнесе – у мужчин или женщин?» Результаты опросов (в % от числа
    отвечавших) приведены на диаграмме.
    Найдите в приведённом списке выводы, которые можно сделать на основе
    диаграммы, и запишите цифры, под которыми они указаны.
    1) Свыше половины опрошенных в обеих группах указали, что у мужчин
       и женщин одинаковые шансы на успех.
    2) Совпадают доли опрошенных мужчин и женщин, которые затруднились
       ответить.
    3) Доля опрошенных мужчин, которые указали, что у мужчин больше
       шансов, чем у женщин, составляет примерно четверть от числа
       опрошенных мужчин.
    4) Доля женщин, которые указали, что больше шансов добиться успеха
       в бизнесе у мужчин, примерно в 6 раз превышает долю женщин, которые
       высказали противоположное мнение.
    5) Доля опрошенных женщин, которые указали, что больше шансов
       добиться успеха в бизнесе у мужчин, составляет менее половины доли
       опрошенных мужчин, которые указали, что шансы добиться успеха
       в бизнесе примерно одинаковые у мужчин и женщин.</x:v>
      </x:c>
      <x:c r="N3884" s="30" t="str">
        <x:v>145</x:v>
      </x:c>
      <x:c r="O3884" s="30" t="str">
        <x:v>Официальный ответ 145; тот же ответ повторяется у идентичного задания в ОБ2510204.</x:v>
      </x:c>
      <x:c r="P3884" s="30" t="str">
        <x:v>Сверены официальный ключ и независимая постраничная конструкция смешанного варианта ОБ2510204.</x:v>
      </x:c>
      <x:c r="Q3884" s="30"/>
      <x:c r="R3884" s="30" t="str">
        <x:v>Официальная таблица ответов + перекрёстная проверка смешанного варианта</x:v>
      </x:c>
      <x:c r="S3884" s="30"/>
      <x:c r="T3884" s="30"/>
      <x:c r="U3884" s="30" t="str">
        <x:v>Расхождений не обнаружено.</x:v>
      </x:c>
      <x:c r="V3884" s="87" t="str">
        <x:v>VERIFIED</x:v>
      </x:c>
      <x:c r="W3884" s="87" t="str">
        <x:v>Zadanie_OB11_07112025.pdf, вариантная стр. 6</x:v>
      </x:c>
      <x:c r="X3884" s="87"/>
      <x:c r="Y3884" s="87"/>
      <x:c r="Z3884" s="87"/>
      <x:c r="AA3884" s="87"/>
      <x:c r="AB3884" s="87"/>
      <x:c r="AC3884" s="87" t="str">
        <x:v>VIS-SOC-NOV-002</x:v>
      </x:c>
      <x:c r="AD3884" s="87"/>
      <x:c r="AE3884" s="87"/>
      <x:c r="AF3884" s="87" t="str">
        <x:v>VIS-SOC-NOV-002: 21</x:v>
      </x:c>
      <x:c r="AG3884" s="87" t="str">
        <x:v>RESOLVED</x:v>
      </x:c>
      <x:c r="AH3884" s="87" t="str">
        <x:v>CROP_VERIFIED; TASK_CROP_QA_APPROVED:USE_TIGHT</x:v>
      </x:c>
      <x:c r="AI3884" s="30"/>
      <x:c r="AJ3884" s="87" t="str">
        <x:v>master</x:v>
      </x:c>
      <x:c r="AK3884" s="87" t="str">
        <x:v>master-v0.81</x:v>
      </x:c>
      <x:c r="AL3884" s="87" t="str">
        <x:v>statgrad_master_base_v0_81_final(2).xlsx</x:v>
      </x:c>
      <x:c r="AM3884" s="87" t="str">
        <x:v>SOC_Nov_V2</x:v>
      </x:c>
      <x:c r="AN3884" s="87" t="n">
        <x:v>10</x:v>
      </x:c>
    </x:row>
    <x:row r="3885">
      <x:c r="A3885" s="87" t="n">
        <x:v>3884</x:v>
      </x:c>
      <x:c r="B3885" s="87" t="str">
        <x:v>NOV-SOC-V2-010</x:v>
      </x:c>
      <x:c r="C3885" s="87" t="str">
        <x:v>СтатГрад</x:v>
      </x:c>
      <x:c r="D3885" s="87" t="str">
        <x:v>Ноябрь 2025</x:v>
      </x:c>
      <x:c r="E3885" s="87"/>
      <x:c r="F3885" s="87"/>
      <x:c r="G3885" s="87" t="str">
        <x:v>Обществознание</x:v>
      </x:c>
      <x:c r="H3885" s="87" t="n">
        <x:v>11</x:v>
      </x:c>
      <x:c r="I3885" s="87" t="str">
        <x:v>ТР №2</x:v>
      </x:c>
      <x:c r="J3885" s="87" t="str">
        <x:v>ОБ2510202</x:v>
      </x:c>
      <x:c r="K3885" s="87" t="n">
        <x:v>10</x:v>
      </x:c>
      <x:c r="L3885" s="87" t="str">
        <x:v>Политическая власть</x:v>
      </x:c>
      <x:c r="M3885" s="30" t="str">
        <x:v>Выберите верные суждения о политической власти и её видах и запишите
     цифры, под которыми они указаны.
     1) Политическая власть в государстве распространяется исключительно
        на граждан данного государства.
     2) Для политической власти характерно существование определённого
        центра принятия политических решений.
     3) Центральным институтом политической власти является политическая
        партия.
     4) В своей деятельности политическая власть может использовать
        различные властные ресурсы, включая принудительные.
     5) В демократическом обществе к механизмам формирования политической
        власти относятся свободные альтернативные выборы.</x:v>
      </x:c>
      <x:c r="N3885" s="30" t="str">
        <x:v>245</x:v>
      </x:c>
      <x:c r="O3885" s="30" t="str">
        <x:v>Официальный ответ 245; тот же ответ повторяется у идентичного задания в ОБ2510203.</x:v>
      </x:c>
      <x:c r="P3885" s="30" t="str">
        <x:v>Сверены официальный ключ и независимая постраничная конструкция смешанного варианта ОБ2510203.</x:v>
      </x:c>
      <x:c r="Q3885" s="30"/>
      <x:c r="R3885" s="30" t="str">
        <x:v>Официальная таблица ответов + перекрёстная проверка смешанного варианта</x:v>
      </x:c>
      <x:c r="S3885" s="30"/>
      <x:c r="T3885" s="30"/>
      <x:c r="U3885" s="30" t="str">
        <x:v>Расхождений не обнаружено.</x:v>
      </x:c>
      <x:c r="V3885" s="87" t="str">
        <x:v>VERIFIED</x:v>
      </x:c>
      <x:c r="W3885" s="87" t="str">
        <x:v>Zadanie_OB11_07112025.pdf, вариантная стр. 7</x:v>
      </x:c>
      <x:c r="X3885" s="87"/>
      <x:c r="Y3885" s="87"/>
      <x:c r="Z3885" s="87"/>
      <x:c r="AA3885" s="87"/>
      <x:c r="AB3885" s="87"/>
      <x:c r="AC3885" s="87"/>
      <x:c r="AD3885" s="87"/>
      <x:c r="AE3885" s="87"/>
      <x:c r="AF3885" s="87"/>
      <x:c r="AG3885" s="87"/>
      <x:c r="AH3885" s="87"/>
      <x:c r="AI3885" s="30"/>
      <x:c r="AJ3885" s="87" t="str">
        <x:v>master</x:v>
      </x:c>
      <x:c r="AK3885" s="87" t="str">
        <x:v>master-v0.81</x:v>
      </x:c>
      <x:c r="AL3885" s="87" t="str">
        <x:v>statgrad_master_base_v0_81_final(2).xlsx</x:v>
      </x:c>
      <x:c r="AM3885" s="87" t="str">
        <x:v>SOC_Nov_V2</x:v>
      </x:c>
      <x:c r="AN3885" s="87" t="n">
        <x:v>11</x:v>
      </x:c>
    </x:row>
    <x:row r="3886">
      <x:c r="A3886" s="87" t="n">
        <x:v>3885</x:v>
      </x:c>
      <x:c r="B3886" s="87" t="str">
        <x:v>NOV-SOC-V2-011</x:v>
      </x:c>
      <x:c r="C3886" s="87" t="str">
        <x:v>СтатГрад</x:v>
      </x:c>
      <x:c r="D3886" s="87" t="str">
        <x:v>Ноябрь 2025</x:v>
      </x:c>
      <x:c r="E3886" s="87"/>
      <x:c r="F3886" s="87"/>
      <x:c r="G3886" s="87" t="str">
        <x:v>Обществознание</x:v>
      </x:c>
      <x:c r="H3886" s="87" t="n">
        <x:v>11</x:v>
      </x:c>
      <x:c r="I3886" s="87" t="str">
        <x:v>ТР №2</x:v>
      </x:c>
      <x:c r="J3886" s="87" t="str">
        <x:v>ОБ2510202</x:v>
      </x:c>
      <x:c r="K3886" s="87" t="n">
        <x:v>11</x:v>
      </x:c>
      <x:c r="L3886" s="87" t="str">
        <x:v>Демократический политический режим</x:v>
      </x:c>
      <x:c r="M3886" s="30" t="str">
        <x:v>В государстве Z в соответствии с конституцией регулярно проходят
     всеобщие, равные и прямые выборы региональных и центральных органов
     государственной власти. Конституция государства гарантирует права
     и свободы граждан. В Z действует несколько политических партий,
     конкурирующих в борьбе за политическое влияние. Какие из перечисленных
     ниже характеристик соответствуют форме государства, описанной в данном
     примере? Запишите цифры, под которыми указаны верные характеристики.
     1) республика
     2) тоталитарное правление
     3) демократический политический режим
     4) федерация
     5) авторитаризм
     6) многопартийность</x:v>
      </x:c>
      <x:c r="N3886" s="30" t="str">
        <x:v>134</x:v>
      </x:c>
      <x:c r="O3886" s="30" t="str">
        <x:v>Официальный ответ 134; тот же ответ повторяется у идентичного задания в ОБ2510204.</x:v>
      </x:c>
      <x:c r="P3886" s="30" t="str">
        <x:v>Сверены официальный ключ и независимая постраничная конструкция смешанного варианта ОБ2510204.</x:v>
      </x:c>
      <x:c r="Q3886" s="30"/>
      <x:c r="R3886" s="30" t="str">
        <x:v>Официальная таблица ответов + перекрёстная проверка смешанного варианта</x:v>
      </x:c>
      <x:c r="S3886" s="30"/>
      <x:c r="T3886" s="30"/>
      <x:c r="U3886" s="30" t="str">
        <x:v>Расхождений не обнаружено.</x:v>
      </x:c>
      <x:c r="V3886" s="87" t="str">
        <x:v>VERIFIED</x:v>
      </x:c>
      <x:c r="W3886" s="87" t="str">
        <x:v>Zadanie_OB11_07112025.pdf, вариантная стр. 7</x:v>
      </x:c>
      <x:c r="X3886" s="87"/>
      <x:c r="Y3886" s="87"/>
      <x:c r="Z3886" s="87"/>
      <x:c r="AA3886" s="87"/>
      <x:c r="AB3886" s="87"/>
      <x:c r="AC3886" s="87"/>
      <x:c r="AD3886" s="87"/>
      <x:c r="AE3886" s="87"/>
      <x:c r="AF3886" s="87"/>
      <x:c r="AG3886" s="87"/>
      <x:c r="AH3886" s="87"/>
      <x:c r="AI3886" s="30"/>
      <x:c r="AJ3886" s="87" t="str">
        <x:v>master</x:v>
      </x:c>
      <x:c r="AK3886" s="87" t="str">
        <x:v>master-v0.81</x:v>
      </x:c>
      <x:c r="AL3886" s="87" t="str">
        <x:v>statgrad_master_base_v0_81_final(2).xlsx</x:v>
      </x:c>
      <x:c r="AM3886" s="87" t="str">
        <x:v>SOC_Nov_V2</x:v>
      </x:c>
      <x:c r="AN3886" s="87" t="n">
        <x:v>12</x:v>
      </x:c>
    </x:row>
    <x:row r="3887">
      <x:c r="A3887" s="87" t="n">
        <x:v>3886</x:v>
      </x:c>
      <x:c r="B3887" s="87" t="str">
        <x:v>NOV-SOC-V2-012</x:v>
      </x:c>
      <x:c r="C3887" s="87" t="str">
        <x:v>СтатГрад</x:v>
      </x:c>
      <x:c r="D3887" s="87" t="str">
        <x:v>Ноябрь 2025</x:v>
      </x:c>
      <x:c r="E3887" s="87"/>
      <x:c r="F3887" s="87"/>
      <x:c r="G3887" s="87" t="str">
        <x:v>Обществознание</x:v>
      </x:c>
      <x:c r="H3887" s="87" t="n">
        <x:v>11</x:v>
      </x:c>
      <x:c r="I3887" s="87" t="str">
        <x:v>ТР №2</x:v>
      </x:c>
      <x:c r="J3887" s="87" t="str">
        <x:v>ОБ2510202</x:v>
      </x:c>
      <x:c r="K3887" s="87" t="n">
        <x:v>12</x:v>
      </x:c>
      <x:c r="L3887" s="87" t="str">
        <x:v>Политические права граждан РФ</x:v>
      </x:c>
      <x:c r="M3887" s="30" t="str">
        <x:v>Выберите в приведённом списке положения, характеризующие политические
     права граждан Российской Федерации. Запишите цифры, под которыми
     они указаны.
     1) право на неприкосновенность частной жизни, личную и семейную тайну,
        защиту своей чести и доброго имени
     2) равный доступ к государственной службе
     3) право собираться мирно, без оружия, проводить собрания, митинги
        и демонстрации, шествия и пикетирование
     4) право избирать и быть избранными в органы государственной власти
        и органы местного самоуправления, а также участвовать в референдуме
     5) право определять и указывать свою национальную принадлежность</x:v>
      </x:c>
      <x:c r="N3887" s="30" t="str">
        <x:v>234</x:v>
      </x:c>
      <x:c r="O3887" s="30" t="str">
        <x:v>Официальный ответ 234; тот же ответ повторяется у идентичного задания в ОБ2510203.</x:v>
      </x:c>
      <x:c r="P3887" s="30" t="str">
        <x:v>Сверены официальный ключ и независимая постраничная конструкция смешанного варианта ОБ2510203.</x:v>
      </x:c>
      <x:c r="Q3887" s="30"/>
      <x:c r="R3887" s="30" t="str">
        <x:v>Официальная таблица ответов + перекрёстная проверка смешанного варианта</x:v>
      </x:c>
      <x:c r="S3887" s="30"/>
      <x:c r="T3887" s="30"/>
      <x:c r="U3887" s="30" t="str">
        <x:v>Расхождений не обнаружено.</x:v>
      </x:c>
      <x:c r="V3887" s="87" t="str">
        <x:v>VERIFIED</x:v>
      </x:c>
      <x:c r="W3887" s="87" t="str">
        <x:v>Zadanie_OB11_07112025.pdf, вариантная стр. 8</x:v>
      </x:c>
      <x:c r="X3887" s="87"/>
      <x:c r="Y3887" s="87"/>
      <x:c r="Z3887" s="87"/>
      <x:c r="AA3887" s="87"/>
      <x:c r="AB3887" s="87"/>
      <x:c r="AC3887" s="87"/>
      <x:c r="AD3887" s="87"/>
      <x:c r="AE3887" s="87"/>
      <x:c r="AF3887" s="87"/>
      <x:c r="AG3887" s="87"/>
      <x:c r="AH3887" s="87"/>
      <x:c r="AI3887" s="30"/>
      <x:c r="AJ3887" s="87" t="str">
        <x:v>master</x:v>
      </x:c>
      <x:c r="AK3887" s="87" t="str">
        <x:v>master-v0.81</x:v>
      </x:c>
      <x:c r="AL3887" s="87" t="str">
        <x:v>statgrad_master_base_v0_81_final(2).xlsx</x:v>
      </x:c>
      <x:c r="AM3887" s="87" t="str">
        <x:v>SOC_Nov_V2</x:v>
      </x:c>
      <x:c r="AN3887" s="87" t="n">
        <x:v>13</x:v>
      </x:c>
    </x:row>
    <x:row r="3888">
      <x:c r="A3888" s="87" t="n">
        <x:v>3887</x:v>
      </x:c>
      <x:c r="B3888" s="87" t="str">
        <x:v>NOV-SOC-V2-013</x:v>
      </x:c>
      <x:c r="C3888" s="87" t="str">
        <x:v>СтатГрад</x:v>
      </x:c>
      <x:c r="D3888" s="87" t="str">
        <x:v>Ноябрь 2025</x:v>
      </x:c>
      <x:c r="E3888" s="87"/>
      <x:c r="F3888" s="87"/>
      <x:c r="G3888" s="87" t="str">
        <x:v>Обществознание</x:v>
      </x:c>
      <x:c r="H3888" s="87" t="n">
        <x:v>11</x:v>
      </x:c>
      <x:c r="I3888" s="87" t="str">
        <x:v>ТР №2</x:v>
      </x:c>
      <x:c r="J3888" s="87" t="str">
        <x:v>ОБ2510202</x:v>
      </x:c>
      <x:c r="K3888" s="87" t="n">
        <x:v>13</x:v>
      </x:c>
      <x:c r="L3888" s="87" t="str">
        <x:v>Разграничение полномочий РФ и субъектов РФ</x:v>
      </x:c>
      <x:c r="M3888" s="30" t="str">
        <x:v>Установите соответствие между функциями и субъектами государственной
     власти Российской Федерации, к ведению которых они относятся: к каждой
     позиции, данной в первом столбце, подберите соответствующую позицию
     из второго столбца.
                        ФУНКЦИЯ                                     СУБЪЕКТ
                                                              ГОСУДАРСТВЕННОЙ
                                                             ВЛАСТИ РОССИЙСКОЙ
                                                                  ФЕДЕРАЦИИ
     А) режим пограничных зон                              1) только федеральный центр
     Б) официальный статистический                         2) совместно федеральный
        и бухгалтерский учёт                                  центр и субъекты
     В) установление ограничений для                          Российской Федерации
        замещения государственных
        и муниципальных должностей
     Г) установление общих принципов
        налогообложения и сборов
        в Российской Федерации
     Д) определение статуса и защита
        государственной границы
     Запишите в таблицу выбранные цифры под соответствующими буквами.
                А Б В Г Д</x:v>
      </x:c>
      <x:c r="N3888" s="30" t="str">
        <x:v>21121</x:v>
      </x:c>
      <x:c r="O3888" s="30" t="str">
        <x:v>Официальный ответ 21121; тот же ответ повторяется у идентичного задания в ОБ2510204.</x:v>
      </x:c>
      <x:c r="P3888" s="30" t="str">
        <x:v>Сверены официальный ключ и независимая постраничная конструкция смешанного варианта ОБ2510204.</x:v>
      </x:c>
      <x:c r="Q3888" s="30"/>
      <x:c r="R3888" s="30" t="str">
        <x:v>Официальная таблица ответов + перекрёстная проверка смешанного варианта</x:v>
      </x:c>
      <x:c r="S3888" s="30"/>
      <x:c r="T3888" s="30"/>
      <x:c r="U3888" s="30" t="str">
        <x:v>Расхождений не обнаружено.</x:v>
      </x:c>
      <x:c r="V3888" s="87" t="str">
        <x:v>VERIFIED</x:v>
      </x:c>
      <x:c r="W3888" s="87" t="str">
        <x:v>Zadanie_OB11_07112025.pdf, вариантная стр. 8</x:v>
      </x:c>
      <x:c r="X3888" s="87"/>
      <x:c r="Y3888" s="87"/>
      <x:c r="Z3888" s="87"/>
      <x:c r="AA3888" s="87"/>
      <x:c r="AB3888" s="87"/>
      <x:c r="AC3888" s="87"/>
      <x:c r="AD3888" s="87"/>
      <x:c r="AE3888" s="87"/>
      <x:c r="AF3888" s="87"/>
      <x:c r="AG3888" s="87"/>
      <x:c r="AH3888" s="87"/>
      <x:c r="AI3888" s="30"/>
      <x:c r="AJ3888" s="87" t="str">
        <x:v>master</x:v>
      </x:c>
      <x:c r="AK3888" s="87" t="str">
        <x:v>master-v0.81</x:v>
      </x:c>
      <x:c r="AL3888" s="87" t="str">
        <x:v>statgrad_master_base_v0_81_final(2).xlsx</x:v>
      </x:c>
      <x:c r="AM3888" s="87" t="str">
        <x:v>SOC_Nov_V2</x:v>
      </x:c>
      <x:c r="AN3888" s="87" t="n">
        <x:v>14</x:v>
      </x:c>
    </x:row>
    <x:row r="3889">
      <x:c r="A3889" s="87" t="n">
        <x:v>3888</x:v>
      </x:c>
      <x:c r="B3889" s="87" t="str">
        <x:v>NOV-SOC-V2-014</x:v>
      </x:c>
      <x:c r="C3889" s="87" t="str">
        <x:v>СтатГрад</x:v>
      </x:c>
      <x:c r="D3889" s="87" t="str">
        <x:v>Ноябрь 2025</x:v>
      </x:c>
      <x:c r="E3889" s="87"/>
      <x:c r="F3889" s="87"/>
      <x:c r="G3889" s="87" t="str">
        <x:v>Обществознание</x:v>
      </x:c>
      <x:c r="H3889" s="87" t="n">
        <x:v>11</x:v>
      </x:c>
      <x:c r="I3889" s="87" t="str">
        <x:v>ТР №2</x:v>
      </x:c>
      <x:c r="J3889" s="87" t="str">
        <x:v>ОБ2510202</x:v>
      </x:c>
      <x:c r="K3889" s="87" t="n">
        <x:v>14</x:v>
      </x:c>
      <x:c r="L3889" s="87" t="str">
        <x:v>Заключение и расторжение брака</x:v>
      </x:c>
      <x:c r="M3889" s="30" t="str">
        <x:v>Выберите верные суждения о порядке и условиях заключения и расторжения
     брака в соответствии с Семейным кодексом Российской Федерации
     и запишите цифры, под которыми они указаны.
     1) Брак заключается в органах записи актов гражданского состояния
        в личном присутствии лиц, вступающих в брак.
     2) Не допускается заключение брака между лицами, из которых хотя бы
        одно лицо ранее расторгло зарегистрированный брак.
     3) Для заключения брака необходимы взаимное добровольное согласие
        мужчины и женщины, вступающих в брак, и достижение ими брачного
        возраста.
     4) Муж не имеет права без согласия жены возбуждать дело о расторжении
        брака во время беременности жены и в течение года после рождения
        ребёнка.
     5) При взаимном согласии на расторжение брака супругов, имеющих общих
        несовершеннолетних детей, расторжение брака производится в органах
        записи актов гражданского состояния.</x:v>
      </x:c>
      <x:c r="N3889" s="30" t="str">
        <x:v>134</x:v>
      </x:c>
      <x:c r="O3889" s="30" t="str">
        <x:v>Официальный ответ 134; тот же ответ повторяется у идентичного задания в ОБ2510203.</x:v>
      </x:c>
      <x:c r="P3889" s="30" t="str">
        <x:v>Сверены официальный ключ и независимая постраничная конструкция смешанного варианта ОБ2510203.</x:v>
      </x:c>
      <x:c r="Q3889" s="30"/>
      <x:c r="R3889" s="30" t="str">
        <x:v>Официальная таблица ответов + перекрёстная проверка смешанного варианта</x:v>
      </x:c>
      <x:c r="S3889" s="30"/>
      <x:c r="T3889" s="30"/>
      <x:c r="U3889" s="30" t="str">
        <x:v>Расхождений не обнаружено.</x:v>
      </x:c>
      <x:c r="V3889" s="87" t="str">
        <x:v>VERIFIED</x:v>
      </x:c>
      <x:c r="W3889" s="87" t="str">
        <x:v>Zadanie_OB11_07112025.pdf, вариантная стр. 9</x:v>
      </x:c>
      <x:c r="X3889" s="87"/>
      <x:c r="Y3889" s="87"/>
      <x:c r="Z3889" s="87"/>
      <x:c r="AA3889" s="87"/>
      <x:c r="AB3889" s="87"/>
      <x:c r="AC3889" s="87"/>
      <x:c r="AD3889" s="87"/>
      <x:c r="AE3889" s="87"/>
      <x:c r="AF3889" s="87"/>
      <x:c r="AG3889" s="87"/>
      <x:c r="AH3889" s="87"/>
      <x:c r="AI3889" s="30"/>
      <x:c r="AJ3889" s="87" t="str">
        <x:v>master</x:v>
      </x:c>
      <x:c r="AK3889" s="87" t="str">
        <x:v>master-v0.81</x:v>
      </x:c>
      <x:c r="AL3889" s="87" t="str">
        <x:v>statgrad_master_base_v0_81_final(2).xlsx</x:v>
      </x:c>
      <x:c r="AM3889" s="87" t="str">
        <x:v>SOC_Nov_V2</x:v>
      </x:c>
      <x:c r="AN3889" s="87" t="n">
        <x:v>15</x:v>
      </x:c>
    </x:row>
    <x:row r="3890">
      <x:c r="A3890" s="87" t="n">
        <x:v>3889</x:v>
      </x:c>
      <x:c r="B3890" s="87" t="str">
        <x:v>NOV-SOC-V2-015</x:v>
      </x:c>
      <x:c r="C3890" s="87" t="str">
        <x:v>СтатГрад</x:v>
      </x:c>
      <x:c r="D3890" s="87" t="str">
        <x:v>Ноябрь 2025</x:v>
      </x:c>
      <x:c r="E3890" s="87"/>
      <x:c r="F3890" s="87"/>
      <x:c r="G3890" s="87" t="str">
        <x:v>Обществознание</x:v>
      </x:c>
      <x:c r="H3890" s="87" t="n">
        <x:v>11</x:v>
      </x:c>
      <x:c r="I3890" s="87" t="str">
        <x:v>ТР №2</x:v>
      </x:c>
      <x:c r="J3890" s="87" t="str">
        <x:v>ОБ2510202</x:v>
      </x:c>
      <x:c r="K3890" s="87" t="n">
        <x:v>15</x:v>
      </x:c>
      <x:c r="L3890" s="87" t="str">
        <x:v>Виды юридической ответственности</x:v>
      </x:c>
      <x:c r="M3890" s="30" t="str">
        <x:v>Установите соответствие между фактами / особенностями и видами
     юридической ответственности: к каждой позиции, данной в первом столбце,
     подберите соответствующую позицию из второго столбца.
                ФАКТ / ОСОБЕННОСТЬ                            ВИД ЮРИДИЧЕСКОЙ
                                                              ОТВЕТСТВЕННОСТИ
     А) установление в законе обстоятельств,               1) административная
        смягчающих и отягчающих                            2) уголовная
        ответственность за совершение                      3) и административная,
        правонарушения                                        и уголовная
     Б) установление ответственности как
        физических, так и юридических лиц
     В) наличие такого наказания,
        как обязательные работы
     Г) наступление ответственности за ряд
        правонарушений по достижении
        четырнадцатилетия
     Д) наличие такого наказания, как
        предупреждение
     Запишите в таблицу выбранные цифры под соответствующими буквами.
                А Б В Г Д</x:v>
      </x:c>
      <x:c r="N3890" s="30" t="str">
        <x:v>31321</x:v>
      </x:c>
      <x:c r="O3890" s="30" t="str">
        <x:v>Официальный ответ 31321; тот же ответ повторяется у идентичного задания в ОБ2510204.</x:v>
      </x:c>
      <x:c r="P3890" s="30" t="str">
        <x:v>Сверены официальный ключ и независимая постраничная конструкция смешанного варианта ОБ2510204.</x:v>
      </x:c>
      <x:c r="Q3890" s="30"/>
      <x:c r="R3890" s="30" t="str">
        <x:v>Официальная таблица ответов + перекрёстная проверка смешанного варианта</x:v>
      </x:c>
      <x:c r="S3890" s="30"/>
      <x:c r="T3890" s="30"/>
      <x:c r="U3890" s="30" t="str">
        <x:v>Расхождений не обнаружено.</x:v>
      </x:c>
      <x:c r="V3890" s="87" t="str">
        <x:v>VERIFIED</x:v>
      </x:c>
      <x:c r="W3890" s="87" t="str">
        <x:v>Zadanie_OB11_07112025.pdf, вариантная стр. 10</x:v>
      </x:c>
      <x:c r="X3890" s="87"/>
      <x:c r="Y3890" s="87"/>
      <x:c r="Z3890" s="87"/>
      <x:c r="AA3890" s="87"/>
      <x:c r="AB3890" s="87"/>
      <x:c r="AC3890" s="87"/>
      <x:c r="AD3890" s="87"/>
      <x:c r="AE3890" s="87"/>
      <x:c r="AF3890" s="87"/>
      <x:c r="AG3890" s="87"/>
      <x:c r="AH3890" s="87"/>
      <x:c r="AI3890" s="30"/>
      <x:c r="AJ3890" s="87" t="str">
        <x:v>master</x:v>
      </x:c>
      <x:c r="AK3890" s="87" t="str">
        <x:v>master-v0.81</x:v>
      </x:c>
      <x:c r="AL3890" s="87" t="str">
        <x:v>statgrad_master_base_v0_81_final(2).xlsx</x:v>
      </x:c>
      <x:c r="AM3890" s="87" t="str">
        <x:v>SOC_Nov_V2</x:v>
      </x:c>
      <x:c r="AN3890" s="87" t="n">
        <x:v>16</x:v>
      </x:c>
    </x:row>
    <x:row r="3891">
      <x:c r="A3891" s="87" t="n">
        <x:v>3890</x:v>
      </x:c>
      <x:c r="B3891" s="87" t="str">
        <x:v>NOV-SOC-V2-016</x:v>
      </x:c>
      <x:c r="C3891" s="87" t="str">
        <x:v>СтатГрад</x:v>
      </x:c>
      <x:c r="D3891" s="87" t="str">
        <x:v>Ноябрь 2025</x:v>
      </x:c>
      <x:c r="E3891" s="87"/>
      <x:c r="F3891" s="87"/>
      <x:c r="G3891" s="87" t="str">
        <x:v>Обществознание</x:v>
      </x:c>
      <x:c r="H3891" s="87" t="n">
        <x:v>11</x:v>
      </x:c>
      <x:c r="I3891" s="87" t="str">
        <x:v>ТР №2</x:v>
      </x:c>
      <x:c r="J3891" s="87" t="str">
        <x:v>ОБ2510202</x:v>
      </x:c>
      <x:c r="K3891" s="87" t="n">
        <x:v>16</x:v>
      </x:c>
      <x:c r="L3891" s="87" t="str">
        <x:v>Брачный договор</x:v>
      </x:c>
      <x:c r="M3891" s="30" t="str">
        <x:v>Представьте, что Вы по заданию учителя оформляете презентацию к уроку
     обществознания по теме «Семейное право». Один из слайдов называется
     «Брачный договор и условия его заключения». Что из перечисленного
     следует включить в этот слайд? Запишите цифры, под которыми указаны
     признаки и условия заключения брачного договора в соответствии
     с Семейным кодексом Российской Федерации.
     1) определяет имущественные права и обязанности супругов в браке
        и в случае его расторжения
     2) заключается только в момент подачи заявления о регистрации брака
     3) регулирует личные неимущественные отношения в семье
     4) требует письменной формы
     5) не может быть пересмотрен или расторгнут
     6) удостоверяется нотариально
                           Часть 2
Для записи ответов на задания этой части (17–25) используйте
отдельный лист. Запишите сначала номер задания (17, 18 и т. д.),
а затем развёрнутый ответ на него. Ответы записывайте чётко
и разборчиво.
Обратите внимание! Не следует в развёрнутом ответе на любое
из заданий 17–25 приводить больше позиций (признаков, характеристик,
примеров, аргументов и т.д.), чем требуется в задании. Неточности
и ошибки в «дополнительных» элементах ответа могут привести
к снижению балла за выполнение задания
              Прочитайте текст и выполните задания 17–20.
      В современном мире результаты научного познания влияют
на развитие всех сфер жизни общества. Анализ истории научного познания
показывает, что важнейшим, базовым критерием истины служит
эмпирическое (опытное) подтверждение гипотез и теорий. Под научным
опытом понимаются наблюдение и эксперимент. Для того, чтобы понять
роль опытного подтверждения, то есть эмпирической проверки в научном
исследовании, рассмотрим полный познавательный цикл, включающий
в себя проблему, гипотезу и теорию.
      Научное познание начинается с постановки проблемы. Проблема – это
задача, требующая решения. Она стимулирует научный поиск и представляет
собой знание о незнании, совокупность вопросов о том, что надо познать
на основе уже имеющегося знания. Попытки разрешить проблему приводят
к возникновению гипотезы – системы предположений, сформулированных
на основе имеющихся фактов и теоретических знаний. К признакам
состоятельности гипотезы относятся её принципиальная эмпирическая
проверяемость и предсказательные возможности. Невозможность проверки
гипотезы делает её несостоятельной. Не является состоятельной и гипотеза,
объясняющая только те факты, которые были связаны с постановкой
проблемы. Гипотеза должна предсказывать нечто ранее неизвестное.
      Гипотетическое знание носит вероятностный, а не достоверный
характер, и требует проверки, обоснования. Из гипотезы путём
умозаключений выводятся следствия – ожидаемые результаты, возможные
факты. В дальнейшем эти ожидаемые следствия сравниваются
с результатами эмпирической проверки, построенной на основе данной
гипотезы. И если ожидаемые и практические результаты совпадают после
множества испытаний, то данная гипотеза может быть признана истинной
и приобрести уже качество научной теории. Таким образом, эмпирическая
проверка, выполняя функцию критерия истины, превращает гипотезу
     в научную теорию, наиболее развитую форму знания, дающую целостное
     отображение существенных связей определённой области действительности.
           Если же эмпирические результаты находятся в резком противоречии
     с ожидаемыми, то гипотеза отвергается как ошибочная и впоследствии
     заменяется другой.
           В целом доказательство истинности гипотезы протекает в форме
     логической цепи рассуждений, отдельные звенья которой проверяются
     эмпирически. Для достоверности в науке используют, конечно, не одну,
     а множество проверок. Развитие науки – непрерывная цепь гипотез
     и проверок, в ходе которых создаётся научное знание.
                                                (По Н.И. Губанову, А.Э. Волкову)</x:v>
      </x:c>
      <x:c r="N3891" s="30" t="str">
        <x:v>146</x:v>
      </x:c>
      <x:c r="O3891" s="30" t="str">
        <x:v>Официальный ответ 146; тот же ответ повторяется у идентичного задания в ОБ2510204.</x:v>
      </x:c>
      <x:c r="P3891" s="30" t="str">
        <x:v>Сверены официальный ключ и независимая постраничная конструкция смешанного варианта ОБ2510204.</x:v>
      </x:c>
      <x:c r="Q3891" s="30"/>
      <x:c r="R3891" s="30" t="str">
        <x:v>Официальная таблица ответов + перекрёстная проверка смешанного варианта</x:v>
      </x:c>
      <x:c r="S3891" s="30"/>
      <x:c r="T3891" s="30"/>
      <x:c r="U3891" s="30" t="str">
        <x:v>Расхождений не обнаружено.</x:v>
      </x:c>
      <x:c r="V3891" s="87" t="str">
        <x:v>VERIFIED</x:v>
      </x:c>
      <x:c r="W3891" s="87" t="str">
        <x:v>Zadanie_OB11_07112025.pdf, вариантная стр. 10</x:v>
      </x:c>
      <x:c r="X3891" s="87"/>
      <x:c r="Y3891" s="87"/>
      <x:c r="Z3891" s="87"/>
      <x:c r="AA3891" s="87"/>
      <x:c r="AB3891" s="87"/>
      <x:c r="AC3891" s="87"/>
      <x:c r="AD3891" s="87"/>
      <x:c r="AE3891" s="87"/>
      <x:c r="AF3891" s="87"/>
      <x:c r="AG3891" s="87"/>
      <x:c r="AH3891" s="87"/>
      <x:c r="AI3891" s="30"/>
      <x:c r="AJ3891" s="87" t="str">
        <x:v>master</x:v>
      </x:c>
      <x:c r="AK3891" s="87" t="str">
        <x:v>master-v0.81</x:v>
      </x:c>
      <x:c r="AL3891" s="87" t="str">
        <x:v>statgrad_master_base_v0_81_final(2).xlsx</x:v>
      </x:c>
      <x:c r="AM3891" s="87" t="str">
        <x:v>SOC_Nov_V2</x:v>
      </x:c>
      <x:c r="AN3891" s="87" t="n">
        <x:v>17</x:v>
      </x:c>
    </x:row>
    <x:row r="3892">
      <x:c r="A3892" s="87" t="n">
        <x:v>3891</x:v>
      </x:c>
      <x:c r="B3892" s="87" t="str">
        <x:v>NOV-SOC-V2-017</x:v>
      </x:c>
      <x:c r="C3892" s="87" t="str">
        <x:v>СтатГрад</x:v>
      </x:c>
      <x:c r="D3892" s="87" t="str">
        <x:v>Ноябрь 2025</x:v>
      </x:c>
      <x:c r="E3892" s="87"/>
      <x:c r="F3892" s="87"/>
      <x:c r="G3892" s="87" t="str">
        <x:v>Обществознание</x:v>
      </x:c>
      <x:c r="H3892" s="87" t="n">
        <x:v>11</x:v>
      </x:c>
      <x:c r="I3892" s="87" t="str">
        <x:v>ТР №2</x:v>
      </x:c>
      <x:c r="J3892" s="87" t="str">
        <x:v>ОБ2510202</x:v>
      </x:c>
      <x:c r="K3892" s="87" t="n">
        <x:v>17</x:v>
      </x:c>
      <x:c r="L3892" s="87" t="str">
        <x:v>Работа с обществоведческим текстом</x:v>
      </x:c>
      <x:c r="M3892" s="30" t="str">
        <x:v>Что авторы понимают под научным опытом? (Укажите два компонента.)
     Какую характеристику дают авторы научной теории? Какие признаки
     несостоятельности гипотезы упоминают авторы? (Укажите два признака.)</x:v>
      </x:c>
      <x:c r="N3892" s="30" t="str">
        <x:v>В правильном ответе должны быть следующие элементы:
     1) ответ на первый вопрос:
     – наблюдение;
     – эксперимент;
     (Ответ на первый вопрос засчитывается только при указании
     двух компонентов и при отсутствии неверных позиций.)
     2) ответ на второй вопрос: наиболее развитая форма знания,
     дающая      целостное    отображение   существенных    связей
     определённой области действительности;
     3) ответ на третий вопрос:
     – невозможность проверки гипотезы;
     – объяснение только тех фактов, которые были связаны
     с постановкой проблемы.
     (Ответ на третий вопрос засчитывается только при указании
     двух позиций и при отсутствии неверных позиций.)
     Элементы ответа могут быть представлены как в форме цитат,
     так и в форме сжатого воспроизведения основных идей
     соответствующих фрагментов текста.</x:v>
      </x:c>
      <x:c r="O3892" s="30" t="str">
        <x:v>Модель закрывает все элементы официального критерия; максимальный балл — 2.</x:v>
      </x:c>
      <x:c r="P3892" s="30" t="str">
        <x:v>Условие, число требуемых элементов и модель ответа повторно сверены с детализированным критерием.</x:v>
      </x:c>
      <x:c r="Q3892" s="30"/>
      <x:c r="R3892" s="30" t="str">
        <x:v>Kriterii_OB11_07112025.pdf, критерий задания 17</x:v>
      </x:c>
      <x:c r="S3892" s="30"/>
      <x:c r="T3892" s="30"/>
      <x:c r="U3892" s="30" t="str">
        <x:v>Расхождений не обнаружено.</x:v>
      </x:c>
      <x:c r="V3892" s="87" t="str">
        <x:v>VERIFIED</x:v>
      </x:c>
      <x:c r="W3892" s="87" t="str">
        <x:v>Zadanie_OB11_07112025.pdf, вариантная стр. 12</x:v>
      </x:c>
      <x:c r="X3892" s="87"/>
      <x:c r="Y3892" s="87"/>
      <x:c r="Z3892" s="87"/>
      <x:c r="AA3892" s="87"/>
      <x:c r="AB3892" s="87"/>
      <x:c r="AC3892" s="87"/>
      <x:c r="AD3892" s="87"/>
      <x:c r="AE3892" s="87"/>
      <x:c r="AF3892" s="87"/>
      <x:c r="AG3892" s="87"/>
      <x:c r="AH3892" s="87"/>
      <x:c r="AI3892" s="30"/>
      <x:c r="AJ3892" s="87" t="str">
        <x:v>master</x:v>
      </x:c>
      <x:c r="AK3892" s="87" t="str">
        <x:v>master-v0.81</x:v>
      </x:c>
      <x:c r="AL3892" s="87" t="str">
        <x:v>statgrad_master_base_v0_81_final(2).xlsx</x:v>
      </x:c>
      <x:c r="AM3892" s="87" t="str">
        <x:v>SOC_Nov_V2</x:v>
      </x:c>
      <x:c r="AN3892" s="87" t="n">
        <x:v>18</x:v>
      </x:c>
    </x:row>
    <x:row r="3893">
      <x:c r="A3893" s="87" t="n">
        <x:v>3892</x:v>
      </x:c>
      <x:c r="B3893" s="87" t="str">
        <x:v>NOV-SOC-V2-018</x:v>
      </x:c>
      <x:c r="C3893" s="87" t="str">
        <x:v>СтатГрад</x:v>
      </x:c>
      <x:c r="D3893" s="87" t="str">
        <x:v>Ноябрь 2025</x:v>
      </x:c>
      <x:c r="E3893" s="87"/>
      <x:c r="F3893" s="87"/>
      <x:c r="G3893" s="87" t="str">
        <x:v>Обществознание</x:v>
      </x:c>
      <x:c r="H3893" s="87" t="n">
        <x:v>11</x:v>
      </x:c>
      <x:c r="I3893" s="87" t="str">
        <x:v>ТР №2</x:v>
      </x:c>
      <x:c r="J3893" s="87" t="str">
        <x:v>ОБ2510202</x:v>
      </x:c>
      <x:c r="K3893" s="87" t="n">
        <x:v>18</x:v>
      </x:c>
      <x:c r="L3893" s="87" t="str">
        <x:v>Теоретическое объяснение</x:v>
      </x:c>
      <x:c r="M3893" s="30" t="str">
        <x:v>В тексте упомянуты ключевые понятия социально-гуманитарных наук.
     Используя обществоведческие знания,
     – укажите не менее трёх основных признаков научного знания;
     – объясните упомянутую в тексте связь между научной проблемой
     и гипотезой. (Объяснение может быть дано в одном или нескольких
     распространённых предложениях.)</x:v>
      </x:c>
      <x:c r="N3893" s="30" t="str">
        <x:v>В правильном ответе должны быть следующие элементы:
     1) основные признаки научного знания, например:
     – объективность;
     – доказанность;
     – рациональное обоснование;
     – проверяемость;
     – системность и др.;
     (Основные признаки могут быть приведены в иных близких
     по смыслу формулировках. Может быть приведён любой другой
     признак.
     Данный элемент ответа засчитывается только при указании
     трёх или более признаков, из которых два должны быть
     из приведённого перечня, при отсутствии неверных позиций.)
     2) объяснение с опорой на положения текста, например:
     проблема – это научная задача, для решения которой
     формулируется гипотеза, то есть система предположений,
     основанных на имеющихся фактах и теоретических знаниях.
     Может быть приведено другое корректное объяснение.
     Объяснение связи не указанного автором объекта изучения
     с используемыми методами не засчитывается.)</x:v>
      </x:c>
      <x:c r="O3893" s="30" t="str">
        <x:v>Модель закрывает все элементы официального критерия; максимальный балл — 2.</x:v>
      </x:c>
      <x:c r="P3893" s="30" t="str">
        <x:v>Условие, число требуемых элементов и модель ответа повторно сверены с детализированным критерием.</x:v>
      </x:c>
      <x:c r="Q3893" s="30"/>
      <x:c r="R3893" s="30" t="str">
        <x:v>Kriterii_OB11_07112025.pdf, критерий задания 18</x:v>
      </x:c>
      <x:c r="S3893" s="30"/>
      <x:c r="T3893" s="30"/>
      <x:c r="U3893" s="30" t="str">
        <x:v>Расхождений не обнаружено.</x:v>
      </x:c>
      <x:c r="V3893" s="87" t="str">
        <x:v>VERIFIED</x:v>
      </x:c>
      <x:c r="W3893" s="87" t="str">
        <x:v>Zadanie_OB11_07112025.pdf, вариантная стр. 12</x:v>
      </x:c>
      <x:c r="X3893" s="87"/>
      <x:c r="Y3893" s="87"/>
      <x:c r="Z3893" s="87"/>
      <x:c r="AA3893" s="87"/>
      <x:c r="AB3893" s="87"/>
      <x:c r="AC3893" s="87"/>
      <x:c r="AD3893" s="87"/>
      <x:c r="AE3893" s="87"/>
      <x:c r="AF3893" s="87"/>
      <x:c r="AG3893" s="87"/>
      <x:c r="AH3893" s="87"/>
      <x:c r="AI3893" s="30"/>
      <x:c r="AJ3893" s="87" t="str">
        <x:v>master</x:v>
      </x:c>
      <x:c r="AK3893" s="87" t="str">
        <x:v>master-v0.81</x:v>
      </x:c>
      <x:c r="AL3893" s="87" t="str">
        <x:v>statgrad_master_base_v0_81_final(2).xlsx</x:v>
      </x:c>
      <x:c r="AM3893" s="87" t="str">
        <x:v>SOC_Nov_V2</x:v>
      </x:c>
      <x:c r="AN3893" s="87" t="n">
        <x:v>19</x:v>
      </x:c>
    </x:row>
    <x:row r="3894">
      <x:c r="A3894" s="87" t="n">
        <x:v>3893</x:v>
      </x:c>
      <x:c r="B3894" s="87" t="str">
        <x:v>NOV-SOC-V2-019</x:v>
      </x:c>
      <x:c r="C3894" s="87" t="str">
        <x:v>СтатГрад</x:v>
      </x:c>
      <x:c r="D3894" s="87" t="str">
        <x:v>Ноябрь 2025</x:v>
      </x:c>
      <x:c r="E3894" s="87"/>
      <x:c r="F3894" s="87"/>
      <x:c r="G3894" s="87" t="str">
        <x:v>Обществознание</x:v>
      </x:c>
      <x:c r="H3894" s="87" t="n">
        <x:v>11</x:v>
      </x:c>
      <x:c r="I3894" s="87" t="str">
        <x:v>ТР №2</x:v>
      </x:c>
      <x:c r="J3894" s="87" t="str">
        <x:v>ОБ2510202</x:v>
      </x:c>
      <x:c r="K3894" s="87" t="n">
        <x:v>19</x:v>
      </x:c>
      <x:c r="L3894" s="87" t="str">
        <x:v>Развёрнутые примеры</x:v>
      </x:c>
      <x:c r="M3894" s="30" t="str">
        <x:v>Используя обществоведческие знания и факты общественной жизни,
     проиллюстрируйте примерами влияние результатов научного познания
     на развитие любых трёх сфер жизни общества. (В каждом случае сначала
     приведите пример, затем укажите сферу жизни общества. Каждый пример
     должен быть сформулирован развёрнуто. Примеры не должны дублировать
     друг друга по содержанию.)</x:v>
      </x:c>
      <x:c r="N3894" s="30" t="str">
        <x:v>Содержание верного ответа и указания по оцениванию                           Баллы
        (допускаются иные формулировки ответа, не искажающие его смысла)
     В правильном ответе могут быть следующие элементы (примеры
     влияния результатов научного познания на развитие любых трёх
сфер жизни общества):
1) во время пандемии ковида учёные разработали лекарства
и вакцины, которые спасли жизни многих людей (социальная
сфера);
2) научные открытия в области ядерной физики позволили создать
атомную энергетику, построить атомные электростанции
(экономическая сфера);
3) информационные технологии и развитие интернета позволили
провести цифровизацию музейных коллекций и библиотечных
хранилищ и открыть виртуальный доступ к ним всем любителям
искусства, литературы, учёным – исследователям (духовная
сфера).
Могут быть приведены другие корректные примеры.
Примеры,       дублирующие   друг    друга    по   содержанию,
засчитываются как один пример.
Засчитываются только примеры, сформулированные развёрнуто
(отдельные слова и словосочетания не засчитываются в качестве
примеров)</x:v>
      </x:c>
      <x:c r="O3894" s="30" t="str">
        <x:v>Модель закрывает все элементы официального критерия; максимальный балл — 3.</x:v>
      </x:c>
      <x:c r="P3894" s="30" t="str">
        <x:v>Условие, число требуемых элементов и модель ответа повторно сверены с детализированным критерием.</x:v>
      </x:c>
      <x:c r="Q3894" s="30"/>
      <x:c r="R3894" s="30" t="str">
        <x:v>Kriterii_OB11_07112025.pdf, критерий задания 19</x:v>
      </x:c>
      <x:c r="S3894" s="30"/>
      <x:c r="T3894" s="30"/>
      <x:c r="U3894" s="30" t="str">
        <x:v>Расхождений не обнаружено.</x:v>
      </x:c>
      <x:c r="V3894" s="87" t="str">
        <x:v>VERIFIED</x:v>
      </x:c>
      <x:c r="W3894" s="87" t="str">
        <x:v>Zadanie_OB11_07112025.pdf, вариантная стр. 12</x:v>
      </x:c>
      <x:c r="X3894" s="87"/>
      <x:c r="Y3894" s="87"/>
      <x:c r="Z3894" s="87"/>
      <x:c r="AA3894" s="87"/>
      <x:c r="AB3894" s="87"/>
      <x:c r="AC3894" s="87"/>
      <x:c r="AD3894" s="87"/>
      <x:c r="AE3894" s="87"/>
      <x:c r="AF3894" s="87"/>
      <x:c r="AG3894" s="87"/>
      <x:c r="AH3894" s="87"/>
      <x:c r="AI3894" s="30"/>
      <x:c r="AJ3894" s="87" t="str">
        <x:v>master</x:v>
      </x:c>
      <x:c r="AK3894" s="87" t="str">
        <x:v>master-v0.81</x:v>
      </x:c>
      <x:c r="AL3894" s="87" t="str">
        <x:v>statgrad_master_base_v0_81_final(2).xlsx</x:v>
      </x:c>
      <x:c r="AM3894" s="87" t="str">
        <x:v>SOC_Nov_V2</x:v>
      </x:c>
      <x:c r="AN3894" s="87" t="n">
        <x:v>20</x:v>
      </x:c>
    </x:row>
    <x:row r="3895">
      <x:c r="A3895" s="87" t="n">
        <x:v>3894</x:v>
      </x:c>
      <x:c r="B3895" s="87" t="str">
        <x:v>NOV-SOC-V2-020</x:v>
      </x:c>
      <x:c r="C3895" s="87" t="str">
        <x:v>СтатГрад</x:v>
      </x:c>
      <x:c r="D3895" s="87" t="str">
        <x:v>Ноябрь 2025</x:v>
      </x:c>
      <x:c r="E3895" s="87"/>
      <x:c r="F3895" s="87"/>
      <x:c r="G3895" s="87" t="str">
        <x:v>Обществознание</x:v>
      </x:c>
      <x:c r="H3895" s="87" t="n">
        <x:v>11</x:v>
      </x:c>
      <x:c r="I3895" s="87" t="str">
        <x:v>ТР №2</x:v>
      </x:c>
      <x:c r="J3895" s="87" t="str">
        <x:v>ОБ2510202</x:v>
      </x:c>
      <x:c r="K3895" s="87" t="n">
        <x:v>20</x:v>
      </x:c>
      <x:c r="L3895" s="87" t="str">
        <x:v>Аргументация</x:v>
      </x:c>
      <x:c r="M3895" s="30" t="str">
        <x:v>Используя обществоведческие знания, приведите три аргумента,
     подтверждающих, что установление ошибочности гипотезы может служить
     развитию науки. (Каждый аргумент должен быть сформулирован как
     распространённое предложение.)</x:v>
      </x:c>
      <x:c r="N3895" s="30" t="str">
        <x:v>В правильном ответе могут быть приведены следующие
     аргументы:
     1) установление ошибочности гипотезы направляет учёного
     на поиск нового, иного решения научной проблемы;
     2) признание научной ошибки на стадии гипотезы позволяет
     сэкономить и более эффективно использовать время учёного
     и средства, которые были бы потрачены на практическое освоение
     неверного научного результата;
     3) к гипотезе, которую признали ошибочной на определённом этапе
     развития науки, учёные могут вернуться позже, когда изменятся
     условия и возможности проведения научных исследований,
     возможно, им придётся пересмотреть сделанный ранее вывод.
     Могут быть приведены иные обоснованные аргументы.
     Засчитываются        только    аргументы,      сформулированные
     как     распространённые     предложения     (отдельные    слова
     и словосочетания не засчитываются в качестве аргументов)</x:v>
      </x:c>
      <x:c r="O3895" s="30" t="str">
        <x:v>Модель закрывает все элементы официального критерия; максимальный балл — 3.</x:v>
      </x:c>
      <x:c r="P3895" s="30" t="str">
        <x:v>Условие, число требуемых элементов и модель ответа повторно сверены с детализированным критерием.</x:v>
      </x:c>
      <x:c r="Q3895" s="30"/>
      <x:c r="R3895" s="30" t="str">
        <x:v>Kriterii_OB11_07112025.pdf, критерий задания 20</x:v>
      </x:c>
      <x:c r="S3895" s="30"/>
      <x:c r="T3895" s="30"/>
      <x:c r="U3895" s="30" t="str">
        <x:v>Расхождений не обнаружено.</x:v>
      </x:c>
      <x:c r="V3895" s="87" t="str">
        <x:v>VERIFIED</x:v>
      </x:c>
      <x:c r="W3895" s="87" t="str">
        <x:v>Zadanie_OB11_07112025.pdf, вариантная стр. 12</x:v>
      </x:c>
      <x:c r="X3895" s="87"/>
      <x:c r="Y3895" s="87"/>
      <x:c r="Z3895" s="87"/>
      <x:c r="AA3895" s="87"/>
      <x:c r="AB3895" s="87"/>
      <x:c r="AC3895" s="87"/>
      <x:c r="AD3895" s="87"/>
      <x:c r="AE3895" s="87"/>
      <x:c r="AF3895" s="87"/>
      <x:c r="AG3895" s="87"/>
      <x:c r="AH3895" s="87"/>
      <x:c r="AI3895" s="30"/>
      <x:c r="AJ3895" s="87" t="str">
        <x:v>master</x:v>
      </x:c>
      <x:c r="AK3895" s="87" t="str">
        <x:v>master-v0.81</x:v>
      </x:c>
      <x:c r="AL3895" s="87" t="str">
        <x:v>statgrad_master_base_v0_81_final(2).xlsx</x:v>
      </x:c>
      <x:c r="AM3895" s="87" t="str">
        <x:v>SOC_Nov_V2</x:v>
      </x:c>
      <x:c r="AN3895" s="87" t="n">
        <x:v>21</x:v>
      </x:c>
    </x:row>
    <x:row r="3896">
      <x:c r="A3896" s="87" t="n">
        <x:v>3895</x:v>
      </x:c>
      <x:c r="B3896" s="87" t="str">
        <x:v>NOV-SOC-V2-021</x:v>
      </x:c>
      <x:c r="C3896" s="87" t="str">
        <x:v>СтатГрад</x:v>
      </x:c>
      <x:c r="D3896" s="87" t="str">
        <x:v>Ноябрь 2025</x:v>
      </x:c>
      <x:c r="E3896" s="87"/>
      <x:c r="F3896" s="87"/>
      <x:c r="G3896" s="87" t="str">
        <x:v>Обществознание</x:v>
      </x:c>
      <x:c r="H3896" s="87" t="n">
        <x:v>11</x:v>
      </x:c>
      <x:c r="I3896" s="87" t="str">
        <x:v>ТР №2</x:v>
      </x:c>
      <x:c r="J3896" s="87" t="str">
        <x:v>ОБ2510202</x:v>
      </x:c>
      <x:c r="K3896" s="87" t="n">
        <x:v>21</x:v>
      </x:c>
      <x:c r="L3896" s="87" t="str">
        <x:v>График спроса и предложения</x:v>
      </x:c>
      <x:c r="M3896" s="30" t="str">
        <x:v>На    графике    изображено     изменение    ситуации    P      D1
     на потребительском рынке подсолнечного масла                D         S
     в стране Z. Кривая спроса на подсолнечное масло
     переместилась из положения D в положение D 1
     при неизменном предложении S. (На графике P – цена
     товара; Q – количество товара.)                                         Q
     Как изменилась равновесная цена?
     Что могло вызвать изменение спроса? Сначала укажите любое одно
     обстоятельство (фактор), затем объясните его влияние на спрос (обязательно
     укажите характер изменения спроса). (Объяснение должно быть дано
     применительно к рынку, указанному в тексте задания.)
     Как изменятся предложение и равновесная цена на данном рынке, если
     при прочих равных условиях засуха причинит значительный ущерб посевам
     подсолнечника, и его урожай упадёт?</x:v>
      </x:c>
      <x:c r="N3896" s="30" t="str">
        <x:v>В правильном ответе должны быть следующие элементы:
     1) ответ на первый вопрос: равновесная цена увеличилась;
     2) ответ на второй вопрос (одно обстоятельство (фактор)
     с объяснением влияния): предпочтения потребителей (например,
     под влиянием информации о благотворном влиянии потребления
     подсолнечного масла на состояние здоровья, что привело к росту
     спроса на него);
     (Может быть названо и объяснено другое обстоятельство /
     другой фактор.
     Засчитывается только объяснение, данное применительно
     к рынку, указанному в тексте задания.)
     3) ответ на третий вопрос: если при прочих равных условиях засуха
     причинит значительный ущерб посевам подсолнечника и его
     урожай упадёт, то предложение подсолнечного масла уменьшится,
     а его равновесная цена увеличится.
     (Ответ на третий вопрос засчитывается только при правильном
     однозначном указании изменения предложения и равновесной
     цены.)
     Элементы ответа могут быть представлены в других
     формулировках.</x:v>
      </x:c>
      <x:c r="O3896" s="30" t="str">
        <x:v>Модель закрывает все элементы официального критерия; максимальный балл — 3.</x:v>
      </x:c>
      <x:c r="P3896" s="30" t="str">
        <x:v>Условие, число требуемых элементов и модель ответа повторно сверены с детализированным критерием.</x:v>
      </x:c>
      <x:c r="Q3896" s="30"/>
      <x:c r="R3896" s="30" t="str">
        <x:v>Kriterii_OB11_07112025.pdf, критерий задания 21</x:v>
      </x:c>
      <x:c r="S3896" s="30"/>
      <x:c r="T3896" s="30"/>
      <x:c r="U3896" s="30" t="str">
        <x:v>Расхождений не обнаружено.</x:v>
      </x:c>
      <x:c r="V3896" s="87" t="str">
        <x:v>VERIFIED</x:v>
      </x:c>
      <x:c r="W3896" s="87" t="str">
        <x:v>Zadanie_OB11_07112025.pdf, вариантная стр. 13</x:v>
      </x:c>
      <x:c r="X3896" s="87"/>
      <x:c r="Y3896" s="87"/>
      <x:c r="Z3896" s="87"/>
      <x:c r="AA3896" s="87"/>
      <x:c r="AB3896" s="87"/>
      <x:c r="AC3896" s="87" t="str">
        <x:v>VIS-SOC-NOV-004</x:v>
      </x:c>
      <x:c r="AD3896" s="87"/>
      <x:c r="AE3896" s="87"/>
      <x:c r="AF3896" s="87" t="str">
        <x:v>VIS-SOC-NOV-004: 28</x:v>
      </x:c>
      <x:c r="AG3896" s="87" t="str">
        <x:v>RESOLVED</x:v>
      </x:c>
      <x:c r="AH3896" s="87" t="str">
        <x:v>CROP_VERIFIED; TASK_CROP_QA_APPROVED:USE_CONTEXT</x:v>
      </x:c>
      <x:c r="AI3896" s="30"/>
      <x:c r="AJ3896" s="87" t="str">
        <x:v>master</x:v>
      </x:c>
      <x:c r="AK3896" s="87" t="str">
        <x:v>master-v0.81</x:v>
      </x:c>
      <x:c r="AL3896" s="87" t="str">
        <x:v>statgrad_master_base_v0_81_final(2).xlsx</x:v>
      </x:c>
      <x:c r="AM3896" s="87" t="str">
        <x:v>SOC_Nov_V2</x:v>
      </x:c>
      <x:c r="AN3896" s="87" t="n">
        <x:v>22</x:v>
      </x:c>
    </x:row>
    <x:row r="3897">
      <x:c r="A3897" s="87" t="n">
        <x:v>3896</x:v>
      </x:c>
      <x:c r="B3897" s="87" t="str">
        <x:v>NOV-SOC-V2-022</x:v>
      </x:c>
      <x:c r="C3897" s="87" t="str">
        <x:v>СтатГрад</x:v>
      </x:c>
      <x:c r="D3897" s="87" t="str">
        <x:v>Ноябрь 2025</x:v>
      </x:c>
      <x:c r="E3897" s="87"/>
      <x:c r="F3897" s="87"/>
      <x:c r="G3897" s="87" t="str">
        <x:v>Обществознание</x:v>
      </x:c>
      <x:c r="H3897" s="87" t="n">
        <x:v>11</x:v>
      </x:c>
      <x:c r="I3897" s="87" t="str">
        <x:v>ТР №2</x:v>
      </x:c>
      <x:c r="J3897" s="87" t="str">
        <x:v>ОБ2510202</x:v>
      </x:c>
      <x:c r="K3897" s="87" t="n">
        <x:v>22</x:v>
      </x:c>
      <x:c r="L3897" s="87" t="str">
        <x:v>Прикладная обществоведческая задача</x:v>
      </x:c>
      <x:c r="M3897" s="30" t="str">
        <x:v>Уставный капитал предприятия «Конфеты и шоколад» разделён
     на определённое число ценных бумаг, которые размещались и нашли
     покупателей на фондовой бирже. На предприятии приобрели и установили
     современные автоматические линии, которые позволили повысить
     производительность труда. Персонал предприятия прошёл переподготовку.
     Проведённые изменения привели к росту прибыли предприятия.
     Какую организационно-правовую форму предпринимательства юридических
     лиц представляет предприятие «Конфеты и шоколад»? Какие признаки,
     не описанные в задании, характерны для данной организационно-правовой
     формы предпринимательства? (Укажите любые два признака.) Почему
     ситуация, описанная в задании, является примером интенсивного
     экономического роста? Какая информация Вам необходима для того, чтобы
     установить, какой вид (источник) финансирования бизнеса – внутренний или
     внешний, был использован для приобретения автоматической линии?
     (Сформулируйте два вопроса, необходимых для получения этой
     информации.)</x:v>
      </x:c>
      <x:c r="N3897" s="30" t="str">
        <x:v>Правильный ответ должен содержать следующие элементы:
     1) ответ на первый вопрос: акционерное общество / публичное
     акционерное общество;
     (Ответ на вопрос 1 засчитывается только при наличии
     правильного однозначного указания организационно-правовой
     формы предпринимательства юридических лиц. Если в ответе
     указано       несколько       организационно-правовых      форм
     предпринимательства, то он не засчитывается.)
     2) ответ на второй вопрос, например:
     – участники несут риск убытков в пределах стоимости
     принадлежащих им акций;
     – высшим органом является общее собрание акционеров;
     (Могут быть названы другие признаки.
     Ответ на второй вопрос засчитывается только при указании
     двух или более признаков при отсутствии неверных позиций.)
     3) ответ на третий вопрос: потому что повышение прибыли
     произошло за счёт эффективного использования факторов
     производства: современной техники и повышения квалификации
     персонала;
     (Ответ, который представляет собой цитирование условия
     задачи, не засчитывается.)
     4) ответ на четвёртый вопрос, например:
     – Был ли использован для закупок амортизационный фонд?
     – Использовало ли предприятие при закупке оборудования
     накопленную прибыль или прибегло к кредитам / займам?
     (Вопросы могут быть даны в других корректных формулировках.
     Могут быть сформулированы другие вопросы.
     Ответ на четвёртый вопрос засчитывается только при наличии
     двух или более сформулированных вопросов, ответы на которые
     позволяют установить источник финансирования бизнеса,
     при отсутствии неверных позиций.)
     Ответы на вопросы могут быть даны в других формулировках,
     не искажающих смысла соответствующих элементов ответа</x:v>
      </x:c>
      <x:c r="O3897" s="30" t="str">
        <x:v>Модель закрывает все элементы официального критерия; максимальный балл — 4.</x:v>
      </x:c>
      <x:c r="P3897" s="30" t="str">
        <x:v>Условие, число требуемых элементов и модель ответа повторно сверены с детализированным критерием.</x:v>
      </x:c>
      <x:c r="Q3897" s="30"/>
      <x:c r="R3897" s="30" t="str">
        <x:v>Kriterii_OB11_07112025.pdf, критерий задания 22</x:v>
      </x:c>
      <x:c r="S3897" s="30"/>
      <x:c r="T3897" s="30"/>
      <x:c r="U3897" s="30" t="str">
        <x:v>Расхождений не обнаружено.</x:v>
      </x:c>
      <x:c r="V3897" s="87" t="str">
        <x:v>VERIFIED</x:v>
      </x:c>
      <x:c r="W3897" s="87" t="str">
        <x:v>Zadanie_OB11_07112025.pdf, вариантная стр. 13</x:v>
      </x:c>
      <x:c r="X3897" s="87"/>
      <x:c r="Y3897" s="87"/>
      <x:c r="Z3897" s="87"/>
      <x:c r="AA3897" s="87"/>
      <x:c r="AB3897" s="87"/>
      <x:c r="AC3897" s="87"/>
      <x:c r="AD3897" s="87"/>
      <x:c r="AE3897" s="87"/>
      <x:c r="AF3897" s="87"/>
      <x:c r="AG3897" s="87"/>
      <x:c r="AH3897" s="87"/>
      <x:c r="AI3897" s="30"/>
      <x:c r="AJ3897" s="87" t="str">
        <x:v>master</x:v>
      </x:c>
      <x:c r="AK3897" s="87" t="str">
        <x:v>master-v0.81</x:v>
      </x:c>
      <x:c r="AL3897" s="87" t="str">
        <x:v>statgrad_master_base_v0_81_final(2).xlsx</x:v>
      </x:c>
      <x:c r="AM3897" s="87" t="str">
        <x:v>SOC_Nov_V2</x:v>
      </x:c>
      <x:c r="AN3897" s="87" t="n">
        <x:v>23</x:v>
      </x:c>
    </x:row>
    <x:row r="3898">
      <x:c r="A3898" s="87" t="n">
        <x:v>3897</x:v>
      </x:c>
      <x:c r="B3898" s="87" t="str">
        <x:v>NOV-SOC-V2-023</x:v>
      </x:c>
      <x:c r="C3898" s="87" t="str">
        <x:v>СтатГрад</x:v>
      </x:c>
      <x:c r="D3898" s="87" t="str">
        <x:v>Ноябрь 2025</x:v>
      </x:c>
      <x:c r="E3898" s="87"/>
      <x:c r="F3898" s="87"/>
      <x:c r="G3898" s="87" t="str">
        <x:v>Обществознание</x:v>
      </x:c>
      <x:c r="H3898" s="87" t="n">
        <x:v>11</x:v>
      </x:c>
      <x:c r="I3898" s="87" t="str">
        <x:v>ТР №2</x:v>
      </x:c>
      <x:c r="J3898" s="87" t="str">
        <x:v>ОБ2510202</x:v>
      </x:c>
      <x:c r="K3898" s="87" t="n">
        <x:v>23</x:v>
      </x:c>
      <x:c r="L3898" s="87" t="str">
        <x:v>Конституция Российской Федерации</x:v>
      </x:c>
      <x:c r="M3898" s="30" t="str">
        <x:v>Конституция Российской Федерации закрепляет основы конституционного
     строя, права и свободы граждан. На основе положений Конституции
     Российской Федерации подтвердите тремя положениями гарантии:
     1) равенства граждан перед законом; 2) права на свободу и личную
     неприкосновенность;     3)    неприкосновенности  жилища.     (Каждое
     подтверждение должно быть сформулировано как распространённое
     предложение с опорой на конкретное положение Конституции Российской
     Федерации.
     Обратите внимание на то, что правильное выполнение задания не требует
     указания в ответе номеров соответствующих статей Конституции РФ
     и дословного воспроизведения их содержания.)
     Представьте, что Вам необходимо подготовить доклад по определённой
     теме. Выполните задания 24 и 25.
     Вам необходимо подготовить доклад по теме «Гражданство Российской
     Федерации».</x:v>
      </x:c>
      <x:c r="N3898" s="30" t="str">
        <x:v>Могут быть приведены такие подтверждения:
     1) гарантии равенства граждан перед законом,                       например:
     запрещаются любые формы ограничения прав граждан
     по признакам социальной, расовой, национальной, языковой
     или религиозной принадлежности;
     2) гарантии права на свободу и личную неприкосновенность,
     например: никто не должен подвергаться пыткам, насилию,
     другому жестокому или унижающему человеческое достоинство
     обращению или наказанию;
     3) гарантии неприкосновенности жилища, например: никто
     не вправе проникать в жилище против воли проживающих в нём
     лиц иначе как в случаях, установленных федеральным законом,
     или на основании судебного решения.
     Могут быть приведены другие подтверждения в соответствии
     с требованием задания.
     Засчитываются только подтверждения, сформулированные как
     распространённые предложения (отдельные слова и слово-
     сочетания не засчитываются в качестве подтверждений) с опорой
     на конкретное положение Конституции Российской Федерации.
     Не требуется указания в ответе номеров соответствующих ста-
     тей Конституции и дословного воспроизведения их содержания!</x:v>
      </x:c>
      <x:c r="O3898" s="30" t="str">
        <x:v>Модель закрывает все элементы официального критерия; максимальный балл — 3.</x:v>
      </x:c>
      <x:c r="P3898" s="30" t="str">
        <x:v>Условие, число требуемых элементов и модель ответа повторно сверены с детализированным критерием.</x:v>
      </x:c>
      <x:c r="Q3898" s="30"/>
      <x:c r="R3898" s="30" t="str">
        <x:v>Kriterii_OB11_07112025.pdf, критерий задания 23</x:v>
      </x:c>
      <x:c r="S3898" s="30"/>
      <x:c r="T3898" s="30"/>
      <x:c r="U3898" s="30" t="str">
        <x:v>Расхождений не обнаружено.</x:v>
      </x:c>
      <x:c r="V3898" s="87" t="str">
        <x:v>VERIFIED</x:v>
      </x:c>
      <x:c r="W3898" s="87" t="str">
        <x:v>Zadanie_OB11_07112025.pdf, вариантная стр. 14</x:v>
      </x:c>
      <x:c r="X3898" s="87"/>
      <x:c r="Y3898" s="87"/>
      <x:c r="Z3898" s="87"/>
      <x:c r="AA3898" s="87"/>
      <x:c r="AB3898" s="87"/>
      <x:c r="AC3898" s="87"/>
      <x:c r="AD3898" s="87"/>
      <x:c r="AE3898" s="87"/>
      <x:c r="AF3898" s="87"/>
      <x:c r="AG3898" s="87"/>
      <x:c r="AH3898" s="87"/>
      <x:c r="AI3898" s="30"/>
      <x:c r="AJ3898" s="87" t="str">
        <x:v>master</x:v>
      </x:c>
      <x:c r="AK3898" s="87" t="str">
        <x:v>master-v0.81</x:v>
      </x:c>
      <x:c r="AL3898" s="87" t="str">
        <x:v>statgrad_master_base_v0_81_final(2).xlsx</x:v>
      </x:c>
      <x:c r="AM3898" s="87" t="str">
        <x:v>SOC_Nov_V2</x:v>
      </x:c>
      <x:c r="AN3898" s="87" t="n">
        <x:v>24</x:v>
      </x:c>
    </x:row>
    <x:row r="3899">
      <x:c r="A3899" s="87" t="n">
        <x:v>3898</x:v>
      </x:c>
      <x:c r="B3899" s="87" t="str">
        <x:v>NOV-SOC-V2-024</x:v>
      </x:c>
      <x:c r="C3899" s="87" t="str">
        <x:v>СтатГрад</x:v>
      </x:c>
      <x:c r="D3899" s="87" t="str">
        <x:v>Ноябрь 2025</x:v>
      </x:c>
      <x:c r="E3899" s="87"/>
      <x:c r="F3899" s="87"/>
      <x:c r="G3899" s="87" t="str">
        <x:v>Обществознание</x:v>
      </x:c>
      <x:c r="H3899" s="87" t="n">
        <x:v>11</x:v>
      </x:c>
      <x:c r="I3899" s="87" t="str">
        <x:v>ТР №2</x:v>
      </x:c>
      <x:c r="J3899" s="87" t="str">
        <x:v>ОБ2510202</x:v>
      </x:c>
      <x:c r="K3899" s="87" t="n">
        <x:v>24</x:v>
      </x:c>
      <x:c r="L3899" s="87" t="str">
        <x:v>Сложный план</x:v>
      </x:c>
      <x:c r="M3899" s="30" t="str">
        <x:v>Используя обществоведческие знания, составьте сложный план,
     позволяющий раскрыть по существу тему «Гражданство Российской
     Федерации».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возможны только два
     подпункта.)</x:v>
      </x:c>
      <x:c r="N3899" s="30" t="str">
        <x:v>Один из вариантов плана раскрытия данной темы
1. Понятие «гражданство».
2. Виды гражданства, признанные в законе «О гражданстве
Российской Федерации»:
   а) двойное гражданство;
   б) множественное гражданство.
3. Принципы гражданства Российской Федерации:
   а) гражданство Российской Федерации является единым
     и равным независимо от оснований его приобретения;
   б) гражданин Российской Федерации не может быть лишён
     гражданства Российской Федерации или права изменить его;
   в) проживание      гражданина     Российской     Федерации
     за пределами Российской Федерации не прекращает его
     гражданства;
   г) гражданин Российской Федерации не может быть выслан
     за пределы Российской Федерации или выдан иностранному
     государству.
4. Основания приобретения гражданства Российской Федерации:
   а) по рождению;
   б) приём в гражданство Российской Федерации;
   в) признание гражданином Российской Федерации;
   г) выбор гражданства Российской Федерации при изменении
     Государственной границы Российской Федерации (оптации);
   д) в соответствии с международным договором Российской
     Федерации.
5. Основные      обстоятельства,   условия     и    требования
к иностранному гражданину или к лицу без гражданства
при приёме в гражданство Российской Федерации:
   а) достижение возраста восемнадцати лет;
   б) дееспособность;
   в) обязательство    соблюдать   Конституцию     Российской
     Федерации и принесение присяги.
   г) постоянно проживание в Российской Федерации в течение
     пяти лет;
   д) владение русским языком;
   е) знание истории России и основ законодательства
     Российской Федерации
6. Приём      в     гражданство      Российской     Федерации
в исключительном порядке:
   а) наличие особых заслуг перед Российской Федерацией;
   б) лицо в виду своей профессии или квалификации
     представляет интерес для Российской Федерации.
7. Основания и порядок прекращения гражданства Российской
Федерации:
   а) добровольный      выход    из  гражданства    Российской
     Федерации;
   б) сообщение заведомо ложных сведений в отношении
     обязательства     соблюдать    Конституцию     Российской
     Федерации и законодательство Российской Федерации;
   в) приготовление, покушение или совершение преступления;
   г) совершение действий, создающих угрозу национальной
     безопасности Российской Федерации;
   д) неисполнение обязанности по первоначальной постановке
     на воинский учёт.
Возможны другое количество и (или) иные корректные
формулировки пунктов и подпунктов плана. Они могут быть
представлены в назывной, вопросной или смешанной формах.
Наличие любых трёх из пунктов плана из № 3, 4, 5, 7 в данной
или близкой по смыслу формулировке позволит раскрыть
содержание этой темы по существу</x:v>
      </x:c>
      <x:c r="O3899" s="30" t="str">
        <x:v>Модель закрывает все элементы официального критерия; максимальный балл — 4.</x:v>
      </x:c>
      <x:c r="P3899" s="30" t="str">
        <x:v>Условие, число требуемых элементов и модель ответа повторно сверены с детализированным критерием.</x:v>
      </x:c>
      <x:c r="Q3899" s="30"/>
      <x:c r="R3899" s="30" t="str">
        <x:v>Kriterii_OB11_07112025.pdf, критерий задания 24</x:v>
      </x:c>
      <x:c r="S3899" s="30"/>
      <x:c r="T3899" s="30"/>
      <x:c r="U3899" s="30" t="str">
        <x:v>Расхождений не обнаружено.</x:v>
      </x:c>
      <x:c r="V3899" s="87" t="str">
        <x:v>VERIFIED</x:v>
      </x:c>
      <x:c r="W3899" s="87" t="str">
        <x:v>Zadanie_OB11_07112025.pdf, вариантная стр. 14</x:v>
      </x:c>
      <x:c r="X3899" s="87"/>
      <x:c r="Y3899" s="87"/>
      <x:c r="Z3899" s="87"/>
      <x:c r="AA3899" s="87"/>
      <x:c r="AB3899" s="87"/>
      <x:c r="AC3899" s="87"/>
      <x:c r="AD3899" s="87"/>
      <x:c r="AE3899" s="87"/>
      <x:c r="AF3899" s="87"/>
      <x:c r="AG3899" s="87"/>
      <x:c r="AH3899" s="87"/>
      <x:c r="AI3899" s="30"/>
      <x:c r="AJ3899" s="87" t="str">
        <x:v>master</x:v>
      </x:c>
      <x:c r="AK3899" s="87" t="str">
        <x:v>master-v0.81</x:v>
      </x:c>
      <x:c r="AL3899" s="87" t="str">
        <x:v>statgrad_master_base_v0_81_final(2).xlsx</x:v>
      </x:c>
      <x:c r="AM3899" s="87" t="str">
        <x:v>SOC_Nov_V2</x:v>
      </x:c>
      <x:c r="AN3899" s="87" t="n">
        <x:v>25</x:v>
      </x:c>
    </x:row>
    <x:row r="3900">
      <x:c r="A3900" s="87" t="n">
        <x:v>3899</x:v>
      </x:c>
      <x:c r="B3900" s="87" t="str">
        <x:v>NOV-SOC-V2-025</x:v>
      </x:c>
      <x:c r="C3900" s="87" t="str">
        <x:v>СтатГрад</x:v>
      </x:c>
      <x:c r="D3900" s="87" t="str">
        <x:v>Ноябрь 2025</x:v>
      </x:c>
      <x:c r="E3900" s="87"/>
      <x:c r="F3900" s="87"/>
      <x:c r="G3900" s="87" t="str">
        <x:v>Обществознание</x:v>
      </x:c>
      <x:c r="H3900" s="87" t="n">
        <x:v>11</x:v>
      </x:c>
      <x:c r="I3900" s="87" t="str">
        <x:v>ТР №2</x:v>
      </x:c>
      <x:c r="J3900" s="87" t="str">
        <x:v>ОБ2510202</x:v>
      </x:c>
      <x:c r="K3900" s="87" t="n">
        <x:v>25</x:v>
      </x:c>
      <x:c r="L3900" s="87" t="str">
        <x:v>Задание высокого уровня</x:v>
      </x:c>
      <x:c r="M3900" s="30" t="str">
        <x:v>Используя обществоведческие знания, факты общественной жизни и личный
     социальный опыт, выполните задания, ответьте на вопрос.
     1) Обоснуйте значение исполнения гражданином Российской Федерации
     конституционных обязанностей для развития российского государства.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Выполнение каких конституционных обязанностей способствует
     укреплению международных позиций Российской Федерации? (Назовите три
     конституционных обязанности.)
     3) Приведите по одному примеру, иллюстрирующему вклад в укрепление
     международных позиций Российской Федерации, который вносит
     исполнение гражданами каждой из указанных в пункте 2) конституционных
     обязанностей. (Каждый пример должен быть сформулирован развёрнуто.)</x:v>
      </x:c>
      <x:c r="N3900" s="30" t="str">
        <x:v>1) Исполнение конституционных обязанностей поддерживает законность, безопасность и ресурсную основу государства. Когда граждане участвуют в защите страны, уплачивают налоги и сохраняют природное и культурное наследие, государство может устойчиво развивать экономику, оборону и международное сотрудничество, что укрепляет его авторитет и суверенитет.
2) Защита Отечества; уплата законно установленных налогов и сборов; сохранение природы и окружающей среды.
3) Гражданин прошёл военную службу и участвовал в обеспечении обороноспособности страны, что укрепляет её безопасность и переговорные позиции. Налогоплательщики профинансировали государственные программы науки, инфраструктуры и дипломатии, повышающие конкурентоспособность России. Граждане соблюдали природоохранные требования и участвовали в восстановлении лесов, помогая России выполнять международные экологические обязательства и поддерживать репутацию ответственного партнёра.</x:v>
      </x:c>
      <x:c r="O3900" s="30" t="str">
        <x:v>Модель закрывает все элементы официального критерия; максимальный балл — 6.</x:v>
      </x:c>
      <x:c r="P3900" s="30" t="str">
        <x:v>Условие, число требуемых элементов и модель ответа повторно сверены с детализированным критерием.</x:v>
      </x:c>
      <x:c r="Q3900" s="30"/>
      <x:c r="R3900" s="30" t="str">
        <x:v>Kriterii_OB11_07112025.pdf, критерий задания 25</x:v>
      </x:c>
      <x:c r="S3900" s="30"/>
      <x:c r="T3900" s="30"/>
      <x:c r="U3900" s="30" t="str">
        <x:v>Расхождений не обнаружено.</x:v>
      </x:c>
      <x:c r="V3900" s="87" t="str">
        <x:v>VERIFIED</x:v>
      </x:c>
      <x:c r="W3900" s="87" t="str">
        <x:v>Zadanie_OB11_07112025.pdf, вариантная стр. 14</x:v>
      </x:c>
      <x:c r="X3900" s="87"/>
      <x:c r="Y3900" s="87"/>
      <x:c r="Z3900" s="87"/>
      <x:c r="AA3900" s="87"/>
      <x:c r="AB3900" s="87"/>
      <x:c r="AC3900" s="87"/>
      <x:c r="AD3900" s="87"/>
      <x:c r="AE3900" s="87"/>
      <x:c r="AF3900" s="87"/>
      <x:c r="AG3900" s="87"/>
      <x:c r="AH3900" s="87"/>
      <x:c r="AI3900" s="30"/>
      <x:c r="AJ3900" s="87" t="str">
        <x:v>master</x:v>
      </x:c>
      <x:c r="AK3900" s="87" t="str">
        <x:v>master-v0.81</x:v>
      </x:c>
      <x:c r="AL3900" s="87" t="str">
        <x:v>statgrad_master_base_v0_81_final(2).xlsx</x:v>
      </x:c>
      <x:c r="AM3900" s="87" t="str">
        <x:v>SOC_Nov_V2</x:v>
      </x:c>
      <x:c r="AN3900" s="87" t="n">
        <x:v>26</x:v>
      </x:c>
    </x:row>
    <x:row r="3901">
      <x:c r="A3901" s="87" t="n">
        <x:v>3900</x:v>
      </x:c>
      <x:c r="B3901" s="87" t="str">
        <x:v>NOV-SOC-V3-001</x:v>
      </x:c>
      <x:c r="C3901" s="87" t="str">
        <x:v>СтатГрад</x:v>
      </x:c>
      <x:c r="D3901" s="87" t="str">
        <x:v>Ноябрь 2025</x:v>
      </x:c>
      <x:c r="E3901" s="87"/>
      <x:c r="F3901" s="87"/>
      <x:c r="G3901" s="87" t="str">
        <x:v>Обществознание</x:v>
      </x:c>
      <x:c r="H3901" s="87" t="n">
        <x:v>11</x:v>
      </x:c>
      <x:c r="I3901" s="87" t="str">
        <x:v>ТР №2</x:v>
      </x:c>
      <x:c r="J3901" s="87" t="str">
        <x:v>ОБ2510203</x:v>
      </x:c>
      <x:c r="K3901" s="87" t="n">
        <x:v>1</x:v>
      </x:c>
      <x:c r="L3901" s="87" t="str">
        <x:v>Динамика общественного развития</x:v>
      </x:c>
      <x:c r="M3901" s="30" t="str">
        <x:v>Ниже приведён ряд понятий. Все они, за исключением двух, характеризуют
    динамику общественного развития.
    1) общественное производство; 2) социальное неравенство; 3) социальная
    эволюция; 4) научно-техническая революция; 5) общественный прогресс;
    6) социальная реформа.
    Найдите два понятия, «выпадающие» из общего ряда, и запишите в таблицу
    цифры, под которыми они указаны.</x:v>
      </x:c>
      <x:c r="N3901" s="30" t="str">
        <x:v>12</x:v>
      </x:c>
      <x:c r="O3901" s="30" t="str">
        <x:v>Официальный ответ 12; подтверждён совпадением с идентичным заданием базового варианта ОБ2510201 и таблицей ответов смешанного варианта.</x:v>
      </x:c>
      <x:c r="P3901" s="30" t="str">
        <x:v>Текст задания сопоставлен с ОБ2510201; ответ полностью совпадает.</x:v>
      </x:c>
      <x:c r="Q3901" s="30"/>
      <x:c r="R3901" s="30" t="str">
        <x:v>Официальная таблица ответов + перекрёстная проверка смешанного варианта</x:v>
      </x:c>
      <x:c r="S3901" s="30"/>
      <x:c r="T3901" s="30"/>
      <x:c r="U3901" s="30" t="str">
        <x:v>Расхождений не обнаружено.</x:v>
      </x:c>
      <x:c r="V3901" s="87" t="str">
        <x:v>VERIFIED</x:v>
      </x:c>
      <x:c r="W3901" s="87" t="str">
        <x:v>Zadanie_OB11_07112025_.pdf, вариантная стр. 2</x:v>
      </x:c>
      <x:c r="X3901" s="87"/>
      <x:c r="Y3901" s="87"/>
      <x:c r="Z3901" s="87"/>
      <x:c r="AA3901" s="87"/>
      <x:c r="AB3901" s="87"/>
      <x:c r="AC3901" s="87"/>
      <x:c r="AD3901" s="87"/>
      <x:c r="AE3901" s="87"/>
      <x:c r="AF3901" s="87"/>
      <x:c r="AG3901" s="87"/>
      <x:c r="AH3901" s="87"/>
      <x:c r="AI3901" s="30"/>
      <x:c r="AJ3901" s="87" t="str">
        <x:v>master</x:v>
      </x:c>
      <x:c r="AK3901" s="87" t="str">
        <x:v>master-v0.81</x:v>
      </x:c>
      <x:c r="AL3901" s="87" t="str">
        <x:v>statgrad_master_base_v0_81_final(2).xlsx</x:v>
      </x:c>
      <x:c r="AM3901" s="87" t="str">
        <x:v>SOC_Nov_V3</x:v>
      </x:c>
      <x:c r="AN3901" s="87" t="n">
        <x:v>2</x:v>
      </x:c>
    </x:row>
    <x:row r="3902">
      <x:c r="A3902" s="87" t="n">
        <x:v>3901</x:v>
      </x:c>
      <x:c r="B3902" s="87" t="str">
        <x:v>NOV-SOC-V3-002</x:v>
      </x:c>
      <x:c r="C3902" s="87" t="str">
        <x:v>СтатГрад</x:v>
      </x:c>
      <x:c r="D3902" s="87" t="str">
        <x:v>Ноябрь 2025</x:v>
      </x:c>
      <x:c r="E3902" s="87"/>
      <x:c r="F3902" s="87"/>
      <x:c r="G3902" s="87" t="str">
        <x:v>Обществознание</x:v>
      </x:c>
      <x:c r="H3902" s="87" t="n">
        <x:v>11</x:v>
      </x:c>
      <x:c r="I3902" s="87" t="str">
        <x:v>ТР №2</x:v>
      </x:c>
      <x:c r="J3902" s="87" t="str">
        <x:v>ОБ2510203</x:v>
      </x:c>
      <x:c r="K3902" s="87" t="n">
        <x:v>2</x:v>
      </x:c>
      <x:c r="L3902" s="87" t="str">
        <x:v>Материальная и духовная культура</x:v>
      </x:c>
      <x:c r="M3902" s="30" t="str">
        <x:v>Выберите верные суждения о материальной и духовной культуре и запишите
    цифры, под которыми они указаны.
    1) И материальная, и духовная культура развиваются с опорой
       на историческое культурное наследие.
    2) Духовная культура связана с миром идей, поэтому её достижения
       не имеют материального воплощения.
    3) К функциям духовной культуры относят оценочную и коммуникативную.
    4) Духовная и материальная культура – это две изолированные друг от друга
       сферы человеческой жизнедеятельности.
    5) Достижения материальной культуры включают многообразие предметов,
       созданных человеком.</x:v>
      </x:c>
      <x:c r="N3902" s="30" t="str">
        <x:v>135</x:v>
      </x:c>
      <x:c r="O3902" s="30" t="str">
        <x:v>Официальный ответ 135; подтверждён совпадением с идентичным заданием базового варианта ОБ2510202 и таблицей ответов смешанного варианта.</x:v>
      </x:c>
      <x:c r="P3902" s="30" t="str">
        <x:v>Текст задания сопоставлен с ОБ2510202; ответ полностью совпадает.</x:v>
      </x:c>
      <x:c r="Q3902" s="30"/>
      <x:c r="R3902" s="30" t="str">
        <x:v>Официальная таблица ответов + перекрёстная проверка смешанного варианта</x:v>
      </x:c>
      <x:c r="S3902" s="30"/>
      <x:c r="T3902" s="30"/>
      <x:c r="U3902" s="30" t="str">
        <x:v>Расхождений не обнаружено.</x:v>
      </x:c>
      <x:c r="V3902" s="87" t="str">
        <x:v>VERIFIED</x:v>
      </x:c>
      <x:c r="W3902" s="87" t="str">
        <x:v>Zadanie_OB11_07112025_.pdf, вариантная стр. 2</x:v>
      </x:c>
      <x:c r="X3902" s="87"/>
      <x:c r="Y3902" s="87"/>
      <x:c r="Z3902" s="87"/>
      <x:c r="AA3902" s="87"/>
      <x:c r="AB3902" s="87"/>
      <x:c r="AC3902" s="87"/>
      <x:c r="AD3902" s="87"/>
      <x:c r="AE3902" s="87"/>
      <x:c r="AF3902" s="87"/>
      <x:c r="AG3902" s="87"/>
      <x:c r="AH3902" s="87"/>
      <x:c r="AI3902" s="30"/>
      <x:c r="AJ3902" s="87" t="str">
        <x:v>master</x:v>
      </x:c>
      <x:c r="AK3902" s="87" t="str">
        <x:v>master-v0.81</x:v>
      </x:c>
      <x:c r="AL3902" s="87" t="str">
        <x:v>statgrad_master_base_v0_81_final(2).xlsx</x:v>
      </x:c>
      <x:c r="AM3902" s="87" t="str">
        <x:v>SOC_Nov_V3</x:v>
      </x:c>
      <x:c r="AN3902" s="87" t="n">
        <x:v>3</x:v>
      </x:c>
    </x:row>
    <x:row r="3903">
      <x:c r="A3903" s="87" t="n">
        <x:v>3902</x:v>
      </x:c>
      <x:c r="B3903" s="87" t="str">
        <x:v>NOV-SOC-V3-003</x:v>
      </x:c>
      <x:c r="C3903" s="87" t="str">
        <x:v>СтатГрад</x:v>
      </x:c>
      <x:c r="D3903" s="87" t="str">
        <x:v>Ноябрь 2025</x:v>
      </x:c>
      <x:c r="E3903" s="87"/>
      <x:c r="F3903" s="87"/>
      <x:c r="G3903" s="87" t="str">
        <x:v>Обществознание</x:v>
      </x:c>
      <x:c r="H3903" s="87" t="n">
        <x:v>11</x:v>
      </x:c>
      <x:c r="I3903" s="87" t="str">
        <x:v>ТР №2</x:v>
      </x:c>
      <x:c r="J3903" s="87" t="str">
        <x:v>ОБ2510203</x:v>
      </x:c>
      <x:c r="K3903" s="87" t="n">
        <x:v>3</x:v>
      </x:c>
      <x:c r="L3903" s="87" t="str">
        <x:v>Виды мировоззрения</x:v>
      </x:c>
      <x:c r="M3903" s="30" t="str">
        <x:v>Установите соответствие между характерными чертами и видами
    мировоззрений: к каждой позиции, данной в первом столбце, подберите
    соответствующую позицию из второго столбца.
              ХАРАКТЕРНАЯ ЧЕРТА                             ВИД МИРОВОЗЗРЕНИЯ
    А) включает в картину мира учение                     1) религиозное
       о предназначении человека                          2) научное
    Б) требует доказательства и проверки                  3) и религиозное, и научное
       всех идей и теорий                                    мировоззрение
    В) связано с культурным наследием
       человечества
    Г) особое внимание уделяет нравственным
       идеалам и поведению
    Д) нацеливает на познание природы
       и общества, производственную
       деятельность
    Запишите в таблицу выбранные цифры под соответствующими буквами.
               А Б В Г Д</x:v>
      </x:c>
      <x:c r="N3903" s="30" t="str">
        <x:v>12312</x:v>
      </x:c>
      <x:c r="O3903" s="30" t="str">
        <x:v>Официальный ответ 12312; подтверждён совпадением с идентичным заданием базового варианта ОБ2510201 и таблицей ответов смешанного варианта.</x:v>
      </x:c>
      <x:c r="P3903" s="30" t="str">
        <x:v>Текст задания сопоставлен с ОБ2510201; ответ полностью совпадает.</x:v>
      </x:c>
      <x:c r="Q3903" s="30"/>
      <x:c r="R3903" s="30" t="str">
        <x:v>Официальная таблица ответов + перекрёстная проверка смешанного варианта</x:v>
      </x:c>
      <x:c r="S3903" s="30"/>
      <x:c r="T3903" s="30"/>
      <x:c r="U3903" s="30" t="str">
        <x:v>Расхождений не обнаружено.</x:v>
      </x:c>
      <x:c r="V3903" s="87" t="str">
        <x:v>VERIFIED</x:v>
      </x:c>
      <x:c r="W3903" s="87" t="str">
        <x:v>Zadanie_OB11_07112025_.pdf, вариантная стр. 3</x:v>
      </x:c>
      <x:c r="X3903" s="87"/>
      <x:c r="Y3903" s="87"/>
      <x:c r="Z3903" s="87"/>
      <x:c r="AA3903" s="87"/>
      <x:c r="AB3903" s="87"/>
      <x:c r="AC3903" s="87"/>
      <x:c r="AD3903" s="87"/>
      <x:c r="AE3903" s="87"/>
      <x:c r="AF3903" s="87"/>
      <x:c r="AG3903" s="87"/>
      <x:c r="AH3903" s="87"/>
      <x:c r="AI3903" s="30"/>
      <x:c r="AJ3903" s="87" t="str">
        <x:v>master</x:v>
      </x:c>
      <x:c r="AK3903" s="87" t="str">
        <x:v>master-v0.81</x:v>
      </x:c>
      <x:c r="AL3903" s="87" t="str">
        <x:v>statgrad_master_base_v0_81_final(2).xlsx</x:v>
      </x:c>
      <x:c r="AM3903" s="87" t="str">
        <x:v>SOC_Nov_V3</x:v>
      </x:c>
      <x:c r="AN3903" s="87" t="n">
        <x:v>4</x:v>
      </x:c>
    </x:row>
    <x:row r="3904">
      <x:c r="A3904" s="87" t="n">
        <x:v>3903</x:v>
      </x:c>
      <x:c r="B3904" s="87" t="str">
        <x:v>NOV-SOC-V3-004</x:v>
      </x:c>
      <x:c r="C3904" s="87" t="str">
        <x:v>СтатГрад</x:v>
      </x:c>
      <x:c r="D3904" s="87" t="str">
        <x:v>Ноябрь 2025</x:v>
      </x:c>
      <x:c r="E3904" s="87"/>
      <x:c r="F3904" s="87"/>
      <x:c r="G3904" s="87" t="str">
        <x:v>Обществознание</x:v>
      </x:c>
      <x:c r="H3904" s="87" t="n">
        <x:v>11</x:v>
      </x:c>
      <x:c r="I3904" s="87" t="str">
        <x:v>ТР №2</x:v>
      </x:c>
      <x:c r="J3904" s="87" t="str">
        <x:v>ОБ2510203</x:v>
      </x:c>
      <x:c r="K3904" s="87" t="n">
        <x:v>4</x:v>
      </x:c>
      <x:c r="L3904" s="87" t="str">
        <x:v>Мораль</x:v>
      </x:c>
      <x:c r="M3904" s="30" t="str">
        <x:v>Выполняя домашнее задание по теме «Мораль», София охарактеризовала
    нормы морали. Найдите в приведённом списке характеристики норм морали
    и запишите цифры, под которыми они указаны.
    1) отражают уровень развития духовной культуры
    2) оценивают действия людей с правовых позиций
    3) воплощают нравственные идеалы, одобряемые в обществе
    4) обязательно фиксируются письменно
    5) закрепляют в общественном сознании приоритет материального
       над духовным
    6) выполняют регулятивную функцию</x:v>
      </x:c>
      <x:c r="N3904" s="30" t="str">
        <x:v>136</x:v>
      </x:c>
      <x:c r="O3904" s="30" t="str">
        <x:v>Официальный ответ 136; подтверждён совпадением с идентичным заданием базового варианта ОБ2510202 и таблицей ответов смешанного варианта.</x:v>
      </x:c>
      <x:c r="P3904" s="30" t="str">
        <x:v>Текст задания сопоставлен с ОБ2510202; ответ полностью совпадает.</x:v>
      </x:c>
      <x:c r="Q3904" s="30"/>
      <x:c r="R3904" s="30" t="str">
        <x:v>Официальная таблица ответов + перекрёстная проверка смешанного варианта</x:v>
      </x:c>
      <x:c r="S3904" s="30"/>
      <x:c r="T3904" s="30"/>
      <x:c r="U3904" s="30" t="str">
        <x:v>Расхождений не обнаружено.</x:v>
      </x:c>
      <x:c r="V3904" s="87" t="str">
        <x:v>VERIFIED</x:v>
      </x:c>
      <x:c r="W3904" s="87" t="str">
        <x:v>Zadanie_OB11_07112025_.pdf, вариантная стр. 3</x:v>
      </x:c>
      <x:c r="X3904" s="87"/>
      <x:c r="Y3904" s="87"/>
      <x:c r="Z3904" s="87"/>
      <x:c r="AA3904" s="87"/>
      <x:c r="AB3904" s="87"/>
      <x:c r="AC3904" s="87"/>
      <x:c r="AD3904" s="87"/>
      <x:c r="AE3904" s="87"/>
      <x:c r="AF3904" s="87"/>
      <x:c r="AG3904" s="87"/>
      <x:c r="AH3904" s="87"/>
      <x:c r="AI3904" s="30"/>
      <x:c r="AJ3904" s="87" t="str">
        <x:v>master</x:v>
      </x:c>
      <x:c r="AK3904" s="87" t="str">
        <x:v>master-v0.81</x:v>
      </x:c>
      <x:c r="AL3904" s="87" t="str">
        <x:v>statgrad_master_base_v0_81_final(2).xlsx</x:v>
      </x:c>
      <x:c r="AM3904" s="87" t="str">
        <x:v>SOC_Nov_V3</x:v>
      </x:c>
      <x:c r="AN3904" s="87" t="n">
        <x:v>5</x:v>
      </x:c>
    </x:row>
    <x:row r="3905">
      <x:c r="A3905" s="87" t="n">
        <x:v>3904</x:v>
      </x:c>
      <x:c r="B3905" s="87" t="str">
        <x:v>NOV-SOC-V3-005</x:v>
      </x:c>
      <x:c r="C3905" s="87" t="str">
        <x:v>СтатГрад</x:v>
      </x:c>
      <x:c r="D3905" s="87" t="str">
        <x:v>Ноябрь 2025</x:v>
      </x:c>
      <x:c r="E3905" s="87"/>
      <x:c r="F3905" s="87"/>
      <x:c r="G3905" s="87" t="str">
        <x:v>Обществознание</x:v>
      </x:c>
      <x:c r="H3905" s="87" t="n">
        <x:v>11</x:v>
      </x:c>
      <x:c r="I3905" s="87" t="str">
        <x:v>ТР №2</x:v>
      </x:c>
      <x:c r="J3905" s="87" t="str">
        <x:v>ОБ2510203</x:v>
      </x:c>
      <x:c r="K3905" s="87" t="n">
        <x:v>5</x:v>
      </x:c>
      <x:c r="L3905" s="87" t="str">
        <x:v>Виды рынков</x:v>
      </x:c>
      <x:c r="M3905" s="30" t="str">
        <x:v>Выберите верные суждения              о   видах     рынков      и   запишите      цифры,
    под которыми они указаны.
    1) На финансовом рынке предлагаются к продаже природные ресурсы.
    2) Рынок капитала – это система финансовых отношений, которая связывает
       владельцев свободных инвестиционных средств и организации, которые
       в них нуждаются.
    3) На рынке информации происходит обмен знаниями и правами
       на их использование.
    4) К совершенной конкуренции относят экономические отношения
       на рынке, ограничивающем свободное ценообразование и доступ новых
       продавцов.
    5) Спрос и предложение такого ресурса, как предпринимательские
       способности, регулируется на рынке труда.</x:v>
      </x:c>
      <x:c r="N3905" s="30" t="str">
        <x:v>23</x:v>
      </x:c>
      <x:c r="O3905" s="30" t="str">
        <x:v>Официальный ответ 23; подтверждён совпадением с идентичным заданием базового варианта ОБ2510201 и таблицей ответов смешанного варианта.</x:v>
      </x:c>
      <x:c r="P3905" s="30" t="str">
        <x:v>Текст задания сопоставлен с ОБ2510201; ответ полностью совпадает.</x:v>
      </x:c>
      <x:c r="Q3905" s="30"/>
      <x:c r="R3905" s="30" t="str">
        <x:v>Официальная таблица ответов + перекрёстная проверка смешанного варианта</x:v>
      </x:c>
      <x:c r="S3905" s="30"/>
      <x:c r="T3905" s="30"/>
      <x:c r="U3905" s="30" t="str">
        <x:v>Расхождений не обнаружено.</x:v>
      </x:c>
      <x:c r="V3905" s="87" t="str">
        <x:v>VERIFIED</x:v>
      </x:c>
      <x:c r="W3905" s="87" t="str">
        <x:v>Zadanie_OB11_07112025_.pdf, вариантная стр. 4</x:v>
      </x:c>
      <x:c r="X3905" s="87"/>
      <x:c r="Y3905" s="87"/>
      <x:c r="Z3905" s="87"/>
      <x:c r="AA3905" s="87"/>
      <x:c r="AB3905" s="87"/>
      <x:c r="AC3905" s="87"/>
      <x:c r="AD3905" s="87"/>
      <x:c r="AE3905" s="87"/>
      <x:c r="AF3905" s="87"/>
      <x:c r="AG3905" s="87"/>
      <x:c r="AH3905" s="87"/>
      <x:c r="AI3905" s="30"/>
      <x:c r="AJ3905" s="87" t="str">
        <x:v>master</x:v>
      </x:c>
      <x:c r="AK3905" s="87" t="str">
        <x:v>master-v0.81</x:v>
      </x:c>
      <x:c r="AL3905" s="87" t="str">
        <x:v>statgrad_master_base_v0_81_final(2).xlsx</x:v>
      </x:c>
      <x:c r="AM3905" s="87" t="str">
        <x:v>SOC_Nov_V3</x:v>
      </x:c>
      <x:c r="AN3905" s="87" t="n">
        <x:v>6</x:v>
      </x:c>
    </x:row>
    <x:row r="3906">
      <x:c r="A3906" s="87" t="n">
        <x:v>3905</x:v>
      </x:c>
      <x:c r="B3906" s="87" t="str">
        <x:v>NOV-SOC-V3-006</x:v>
      </x:c>
      <x:c r="C3906" s="87" t="str">
        <x:v>СтатГрад</x:v>
      </x:c>
      <x:c r="D3906" s="87" t="str">
        <x:v>Ноябрь 2025</x:v>
      </x:c>
      <x:c r="E3906" s="87"/>
      <x:c r="F3906" s="87"/>
      <x:c r="G3906" s="87" t="str">
        <x:v>Обществознание</x:v>
      </x:c>
      <x:c r="H3906" s="87" t="n">
        <x:v>11</x:v>
      </x:c>
      <x:c r="I3906" s="87" t="str">
        <x:v>ТР №2</x:v>
      </x:c>
      <x:c r="J3906" s="87" t="str">
        <x:v>ОБ2510203</x:v>
      </x:c>
      <x:c r="K3906" s="87" t="n">
        <x:v>6</x:v>
      </x:c>
      <x:c r="L3906" s="87" t="str">
        <x:v>Издержки фирмы</x:v>
      </x:c>
      <x:c r="M3906" s="30" t="str">
        <x:v>Установите соответствие между примерами / ситуациями и видами издержек:
    к каждой позиции, данной в первом столбце, подберите соответствующую
    позицию из второго столбца.
              ПРИМЕР / СИТУАЦИЯ                     ВИД ИЗДЕРЖЕК
    А) Увеличение выпуска печатной продукции 1) постоянные издержки
       привело к росту затрат типографии      2) переменные издержки
       на её упаковку и доставку потребителю.
    Б) Частное предприятие ежемесячно
       выплачивает проценты по кредиту.
    В) Начисление заработной платы
       управленческому персоналу предприятия
       производится 5 и 25 числа каждого
       месяца.
    Г) Ресторан ежедневно закупает продукты
       и напитки.
    Д) Аренда офисного помещения в центре
       города потребовала дополнительных
       расходов предприятия.
    Запишите в таблицу выбранные цифры под соответствующими буквами.
               А Б В Г Д</x:v>
      </x:c>
      <x:c r="N3906" s="30" t="str">
        <x:v>21121</x:v>
      </x:c>
      <x:c r="O3906" s="30" t="str">
        <x:v>Официальный ответ 21121; подтверждён совпадением с идентичным заданием базового варианта ОБ2510202 и таблицей ответов смешанного варианта.</x:v>
      </x:c>
      <x:c r="P3906" s="30" t="str">
        <x:v>Текст задания сопоставлен с ОБ2510202; ответ полностью совпадает.</x:v>
      </x:c>
      <x:c r="Q3906" s="30"/>
      <x:c r="R3906" s="30" t="str">
        <x:v>Официальная таблица ответов + перекрёстная проверка смешанного варианта</x:v>
      </x:c>
      <x:c r="S3906" s="30"/>
      <x:c r="T3906" s="30"/>
      <x:c r="U3906" s="30" t="str">
        <x:v>Расхождений не обнаружено.</x:v>
      </x:c>
      <x:c r="V3906" s="87" t="str">
        <x:v>VERIFIED</x:v>
      </x:c>
      <x:c r="W3906" s="87" t="str">
        <x:v>Zadanie_OB11_07112025_.pdf, вариантная стр. 4</x:v>
      </x:c>
      <x:c r="X3906" s="87"/>
      <x:c r="Y3906" s="87"/>
      <x:c r="Z3906" s="87"/>
      <x:c r="AA3906" s="87"/>
      <x:c r="AB3906" s="87"/>
      <x:c r="AC3906" s="87"/>
      <x:c r="AD3906" s="87"/>
      <x:c r="AE3906" s="87"/>
      <x:c r="AF3906" s="87"/>
      <x:c r="AG3906" s="87"/>
      <x:c r="AH3906" s="87"/>
      <x:c r="AI3906" s="30"/>
      <x:c r="AJ3906" s="87" t="str">
        <x:v>master</x:v>
      </x:c>
      <x:c r="AK3906" s="87" t="str">
        <x:v>master-v0.81</x:v>
      </x:c>
      <x:c r="AL3906" s="87" t="str">
        <x:v>statgrad_master_base_v0_81_final(2).xlsx</x:v>
      </x:c>
      <x:c r="AM3906" s="87" t="str">
        <x:v>SOC_Nov_V3</x:v>
      </x:c>
      <x:c r="AN3906" s="87" t="n">
        <x:v>7</x:v>
      </x:c>
    </x:row>
    <x:row r="3907">
      <x:c r="A3907" s="87" t="n">
        <x:v>3906</x:v>
      </x:c>
      <x:c r="B3907" s="87" t="str">
        <x:v>NOV-SOC-V3-007</x:v>
      </x:c>
      <x:c r="C3907" s="87" t="str">
        <x:v>СтатГрад</x:v>
      </x:c>
      <x:c r="D3907" s="87" t="str">
        <x:v>Ноябрь 2025</x:v>
      </x:c>
      <x:c r="E3907" s="87"/>
      <x:c r="F3907" s="87"/>
      <x:c r="G3907" s="87" t="str">
        <x:v>Обществознание</x:v>
      </x:c>
      <x:c r="H3907" s="87" t="n">
        <x:v>11</x:v>
      </x:c>
      <x:c r="I3907" s="87" t="str">
        <x:v>ТР №2</x:v>
      </x:c>
      <x:c r="J3907" s="87" t="str">
        <x:v>ОБ2510203</x:v>
      </x:c>
      <x:c r="K3907" s="87" t="n">
        <x:v>7</x:v>
      </x:c>
      <x:c r="L3907" s="87" t="str">
        <x:v>Облигации</x:v>
      </x:c>
      <x:c r="M3907" s="30" t="str">
        <x:v>Ольга Колобкова владеет ценными бумагами. Выберите из приведённого
    ниже списка позиции, свидетельствующие о том, что эти ценные бумаги
    являются облигациями. Запишите цифры, под которыми они указаны.
    1) Ценные бумаги Колобковой относятся к долговым.
    2) После погашения ценных бумаг Колобкова получит их номинальную
       стоимость и определённую дополнительную сумму денег.
    3) Покупка ценных бумаг сделала Колобкову совладелицей предприятия.
    4) Колобкова получит денежные средства по прошествии установленного
       времени.
    5) В качестве дохода Колобкова получает дивиденды.
    6) Колобкова не имеет права передать эти ценные бумаги своим
       наследникам.</x:v>
      </x:c>
      <x:c r="N3907" s="30" t="str">
        <x:v>124</x:v>
      </x:c>
      <x:c r="O3907" s="30" t="str">
        <x:v>Официальный ответ 124; подтверждён совпадением с идентичным заданием базового варианта ОБ2510201 и таблицей ответов смешанного варианта.</x:v>
      </x:c>
      <x:c r="P3907" s="30" t="str">
        <x:v>Текст задания сопоставлен с ОБ2510201; ответ полностью совпадает.</x:v>
      </x:c>
      <x:c r="Q3907" s="30"/>
      <x:c r="R3907" s="30" t="str">
        <x:v>Официальная таблица ответов + перекрёстная проверка смешанного варианта</x:v>
      </x:c>
      <x:c r="S3907" s="30"/>
      <x:c r="T3907" s="30"/>
      <x:c r="U3907" s="30" t="str">
        <x:v>Расхождений не обнаружено.</x:v>
      </x:c>
      <x:c r="V3907" s="87" t="str">
        <x:v>VERIFIED</x:v>
      </x:c>
      <x:c r="W3907" s="87" t="str">
        <x:v>Zadanie_OB11_07112025_.pdf, вариантная стр. 5</x:v>
      </x:c>
      <x:c r="X3907" s="87"/>
      <x:c r="Y3907" s="87"/>
      <x:c r="Z3907" s="87"/>
      <x:c r="AA3907" s="87"/>
      <x:c r="AB3907" s="87"/>
      <x:c r="AC3907" s="87"/>
      <x:c r="AD3907" s="87"/>
      <x:c r="AE3907" s="87"/>
      <x:c r="AF3907" s="87"/>
      <x:c r="AG3907" s="87"/>
      <x:c r="AH3907" s="87"/>
      <x:c r="AI3907" s="30"/>
      <x:c r="AJ3907" s="87" t="str">
        <x:v>master</x:v>
      </x:c>
      <x:c r="AK3907" s="87" t="str">
        <x:v>master-v0.81</x:v>
      </x:c>
      <x:c r="AL3907" s="87" t="str">
        <x:v>statgrad_master_base_v0_81_final(2).xlsx</x:v>
      </x:c>
      <x:c r="AM3907" s="87" t="str">
        <x:v>SOC_Nov_V3</x:v>
      </x:c>
      <x:c r="AN3907" s="87" t="n">
        <x:v>8</x:v>
      </x:c>
    </x:row>
    <x:row r="3908">
      <x:c r="A3908" s="87" t="n">
        <x:v>3907</x:v>
      </x:c>
      <x:c r="B3908" s="87" t="str">
        <x:v>NOV-SOC-V3-008</x:v>
      </x:c>
      <x:c r="C3908" s="87" t="str">
        <x:v>СтатГрад</x:v>
      </x:c>
      <x:c r="D3908" s="87" t="str">
        <x:v>Ноябрь 2025</x:v>
      </x:c>
      <x:c r="E3908" s="87"/>
      <x:c r="F3908" s="87"/>
      <x:c r="G3908" s="87" t="str">
        <x:v>Обществознание</x:v>
      </x:c>
      <x:c r="H3908" s="87" t="n">
        <x:v>11</x:v>
      </x:c>
      <x:c r="I3908" s="87" t="str">
        <x:v>ТР №2</x:v>
      </x:c>
      <x:c r="J3908" s="87" t="str">
        <x:v>ОБ2510203</x:v>
      </x:c>
      <x:c r="K3908" s="87" t="n">
        <x:v>8</x:v>
      </x:c>
      <x:c r="L3908" s="87" t="str">
        <x:v>Социальная стратификация</x:v>
      </x:c>
      <x:c r="M3908" s="30" t="str">
        <x:v>Выберите верные суждения о социальной стратификации и её критериях
    и запишите цифры, под которыми они указаны.
    1) Социальная стратификация – это выделение в социальной структуре
       общества групп, которые обладают неравным доступом к социальным
       благам.
    2) Одним из критериев социальной стратификации является образование.
    3) К критериям социальной стратификации следует отнести социальные
       интересы.
    4) Социальная стратификация появляется в постиндустриальном обществе.
    5) Социальная стратификация отражает сложившиеся общественные
       отношения.</x:v>
      </x:c>
      <x:c r="N3908" s="30" t="str">
        <x:v>125</x:v>
      </x:c>
      <x:c r="O3908" s="30" t="str">
        <x:v>Официальный ответ 125; подтверждён совпадением с идентичным заданием базового варианта ОБ2510202 и таблицей ответов смешанного варианта.</x:v>
      </x:c>
      <x:c r="P3908" s="30" t="str">
        <x:v>Текст задания сопоставлен с ОБ2510202; ответ полностью совпадает.</x:v>
      </x:c>
      <x:c r="Q3908" s="30"/>
      <x:c r="R3908" s="30" t="str">
        <x:v>Официальная таблица ответов + перекрёстная проверка смешанного варианта</x:v>
      </x:c>
      <x:c r="S3908" s="30"/>
      <x:c r="T3908" s="30"/>
      <x:c r="U3908" s="30" t="str">
        <x:v>Расхождений не обнаружено.</x:v>
      </x:c>
      <x:c r="V3908" s="87" t="str">
        <x:v>VERIFIED</x:v>
      </x:c>
      <x:c r="W3908" s="87" t="str">
        <x:v>Zadanie_OB11_07112025_.pdf, вариантная стр. 5</x:v>
      </x:c>
      <x:c r="X3908" s="87"/>
      <x:c r="Y3908" s="87"/>
      <x:c r="Z3908" s="87"/>
      <x:c r="AA3908" s="87"/>
      <x:c r="AB3908" s="87"/>
      <x:c r="AC3908" s="87"/>
      <x:c r="AD3908" s="87"/>
      <x:c r="AE3908" s="87"/>
      <x:c r="AF3908" s="87"/>
      <x:c r="AG3908" s="87"/>
      <x:c r="AH3908" s="87"/>
      <x:c r="AI3908" s="30"/>
      <x:c r="AJ3908" s="87" t="str">
        <x:v>master</x:v>
      </x:c>
      <x:c r="AK3908" s="87" t="str">
        <x:v>master-v0.81</x:v>
      </x:c>
      <x:c r="AL3908" s="87" t="str">
        <x:v>statgrad_master_base_v0_81_final(2).xlsx</x:v>
      </x:c>
      <x:c r="AM3908" s="87" t="str">
        <x:v>SOC_Nov_V3</x:v>
      </x:c>
      <x:c r="AN3908" s="87" t="n">
        <x:v>9</x:v>
      </x:c>
    </x:row>
    <x:row r="3909">
      <x:c r="A3909" s="87" t="n">
        <x:v>3908</x:v>
      </x:c>
      <x:c r="B3909" s="87" t="str">
        <x:v>NOV-SOC-V3-009</x:v>
      </x:c>
      <x:c r="C3909" s="87" t="str">
        <x:v>СтатГрад</x:v>
      </x:c>
      <x:c r="D3909" s="87" t="str">
        <x:v>Ноябрь 2025</x:v>
      </x:c>
      <x:c r="E3909" s="87"/>
      <x:c r="F3909" s="87"/>
      <x:c r="G3909" s="87" t="str">
        <x:v>Обществознание</x:v>
      </x:c>
      <x:c r="H3909" s="87" t="n">
        <x:v>11</x:v>
      </x:c>
      <x:c r="I3909" s="87" t="str">
        <x:v>ТР №2</x:v>
      </x:c>
      <x:c r="J3909" s="87" t="str">
        <x:v>ОБ2510203</x:v>
      </x:c>
      <x:c r="K3909" s="87" t="n">
        <x:v>9</x:v>
      </x:c>
      <x:c r="L3909" s="87" t="str">
        <x:v>Социологическая диаграмма</x:v>
      </x:c>
      <x:c r="M3909" s="30" t="str">
        <x:v>В ходе социологических опросов совершеннолетним гражданам задавали
    вопрос: «В какой степени Ваши доходы зависят от Ваших профессионально-
    квалификационных навыков (образования, знаний, опыта и так далее)?»
    (Закрытый вопрос, один ответ.) Результаты опроса (в % от числа отвечавших)
    приведены на диаграмме.
    Найдите в приведённом списке выводы, которые можно сделать на основе
    диаграммы, и запишите цифры, под которыми они указаны.
    1) В 2025 г. доля опрошенных, которые указали, что их доходы очень
       сильно и достаточно сильно зависят от профессионально-
       квалификационных навыков, составляет 30 % от количества
       респондентов.
    2) Доля тех, кто ответил, что их доходы слабо зависят от профессионально-
       квалификационных навыков, в 2005 г. была примерно вдвое больше,
       чем в 2025 г.
    3) Доля опрошенных в 2005 г., которые указали, что их доходы никак
       не    зависят    от    профессионально-квалификационных       навыков,
       не превышает долю опрошенных в 2025 г., чьи доходы зависят от них
       отчасти.
    4) Доля опрошенных, которые затруднились с ответом, с течением времени
       незначительно возросла.
    5) В 2005 г. доля опрошенных, которые указали, что их доходы достаточно
       сильно зависят от профессионально-квалификационных навыков,
       составляет примерно пятую часть от числа опрошенных.</x:v>
      </x:c>
      <x:c r="N3909" s="30" t="str">
        <x:v>245</x:v>
      </x:c>
      <x:c r="O3909" s="30" t="str">
        <x:v>Официальный ответ 245; подтверждён совпадением с идентичным заданием базового варианта ОБ2510201 и таблицей ответов смешанного варианта.</x:v>
      </x:c>
      <x:c r="P3909" s="30" t="str">
        <x:v>Текст задания сопоставлен с ОБ2510201; ответ полностью совпадает.</x:v>
      </x:c>
      <x:c r="Q3909" s="30"/>
      <x:c r="R3909" s="30" t="str">
        <x:v>Официальная таблица ответов + перекрёстная проверка смешанного варианта</x:v>
      </x:c>
      <x:c r="S3909" s="30"/>
      <x:c r="T3909" s="30"/>
      <x:c r="U3909" s="30" t="str">
        <x:v>Расхождений не обнаружено.</x:v>
      </x:c>
      <x:c r="V3909" s="87" t="str">
        <x:v>VERIFIED</x:v>
      </x:c>
      <x:c r="W3909" s="87" t="str">
        <x:v>Zadanie_OB11_07112025_.pdf, вариантная стр. 6</x:v>
      </x:c>
      <x:c r="X3909" s="87"/>
      <x:c r="Y3909" s="87"/>
      <x:c r="Z3909" s="87"/>
      <x:c r="AA3909" s="87"/>
      <x:c r="AB3909" s="87"/>
      <x:c r="AC3909" s="87" t="str">
        <x:v>VIS-SOC-NOV-001</x:v>
      </x:c>
      <x:c r="AD3909" s="87"/>
      <x:c r="AE3909" s="87"/>
      <x:c r="AF3909" s="87" t="str">
        <x:v>VIS-SOC-NOV-001: 6</x:v>
      </x:c>
      <x:c r="AG3909" s="87" t="str">
        <x:v>RESOLVED</x:v>
      </x:c>
      <x:c r="AH3909" s="87" t="str">
        <x:v>CROP_VERIFIED; TASK_CROP_QA_APPROVED:MANUAL_BBOX</x:v>
      </x:c>
      <x:c r="AI3909" s="30"/>
      <x:c r="AJ3909" s="87" t="str">
        <x:v>master</x:v>
      </x:c>
      <x:c r="AK3909" s="87" t="str">
        <x:v>master-v0.81</x:v>
      </x:c>
      <x:c r="AL3909" s="87" t="str">
        <x:v>statgrad_master_base_v0_81_final(2).xlsx</x:v>
      </x:c>
      <x:c r="AM3909" s="87" t="str">
        <x:v>SOC_Nov_V3</x:v>
      </x:c>
      <x:c r="AN3909" s="87" t="n">
        <x:v>10</x:v>
      </x:c>
    </x:row>
    <x:row r="3910">
      <x:c r="A3910" s="87" t="n">
        <x:v>3909</x:v>
      </x:c>
      <x:c r="B3910" s="87" t="str">
        <x:v>NOV-SOC-V3-010</x:v>
      </x:c>
      <x:c r="C3910" s="87" t="str">
        <x:v>СтатГрад</x:v>
      </x:c>
      <x:c r="D3910" s="87" t="str">
        <x:v>Ноябрь 2025</x:v>
      </x:c>
      <x:c r="E3910" s="87"/>
      <x:c r="F3910" s="87"/>
      <x:c r="G3910" s="87" t="str">
        <x:v>Обществознание</x:v>
      </x:c>
      <x:c r="H3910" s="87" t="n">
        <x:v>11</x:v>
      </x:c>
      <x:c r="I3910" s="87" t="str">
        <x:v>ТР №2</x:v>
      </x:c>
      <x:c r="J3910" s="87" t="str">
        <x:v>ОБ2510203</x:v>
      </x:c>
      <x:c r="K3910" s="87" t="n">
        <x:v>10</x:v>
      </x:c>
      <x:c r="L3910" s="87" t="str">
        <x:v>Политическая власть</x:v>
      </x:c>
      <x:c r="M3910" s="30" t="str">
        <x:v>Выберите верные суждения о политической власти и её видах и запишите
     цифры, под которыми они указаны.
     1) Политическая власть в государстве распространяется исключительно
        на граждан данного государства.
     2) Для политической власти характерно существование определённого
        центра принятия политических решений.
     3) Центральным институтом политической власти является политическая
        партия.
     4) В своей деятельности политическая власть может использовать
        различные властные ресурсы, включая принудительные.
     5) В демократическом обществе к механизмам формирования политической
        власти относятся свободные альтернативные выборы.</x:v>
      </x:c>
      <x:c r="N3910" s="30" t="str">
        <x:v>245</x:v>
      </x:c>
      <x:c r="O3910" s="30" t="str">
        <x:v>Официальный ответ 245; подтверждён совпадением с идентичным заданием базового варианта ОБ2510202 и таблицей ответов смешанного варианта.</x:v>
      </x:c>
      <x:c r="P3910" s="30" t="str">
        <x:v>Текст задания сопоставлен с ОБ2510202; ответ полностью совпадает.</x:v>
      </x:c>
      <x:c r="Q3910" s="30"/>
      <x:c r="R3910" s="30" t="str">
        <x:v>Официальная таблица ответов + перекрёстная проверка смешанного варианта</x:v>
      </x:c>
      <x:c r="S3910" s="30"/>
      <x:c r="T3910" s="30"/>
      <x:c r="U3910" s="30" t="str">
        <x:v>Расхождений не обнаружено.</x:v>
      </x:c>
      <x:c r="V3910" s="87" t="str">
        <x:v>VERIFIED</x:v>
      </x:c>
      <x:c r="W3910" s="87" t="str">
        <x:v>Zadanie_OB11_07112025_.pdf, вариантная стр. 7</x:v>
      </x:c>
      <x:c r="X3910" s="87"/>
      <x:c r="Y3910" s="87"/>
      <x:c r="Z3910" s="87"/>
      <x:c r="AA3910" s="87"/>
      <x:c r="AB3910" s="87"/>
      <x:c r="AC3910" s="87"/>
      <x:c r="AD3910" s="87"/>
      <x:c r="AE3910" s="87"/>
      <x:c r="AF3910" s="87"/>
      <x:c r="AG3910" s="87"/>
      <x:c r="AH3910" s="87"/>
      <x:c r="AI3910" s="30"/>
      <x:c r="AJ3910" s="87" t="str">
        <x:v>master</x:v>
      </x:c>
      <x:c r="AK3910" s="87" t="str">
        <x:v>master-v0.81</x:v>
      </x:c>
      <x:c r="AL3910" s="87" t="str">
        <x:v>statgrad_master_base_v0_81_final(2).xlsx</x:v>
      </x:c>
      <x:c r="AM3910" s="87" t="str">
        <x:v>SOC_Nov_V3</x:v>
      </x:c>
      <x:c r="AN3910" s="87" t="n">
        <x:v>11</x:v>
      </x:c>
    </x:row>
    <x:row r="3911">
      <x:c r="A3911" s="87" t="n">
        <x:v>3910</x:v>
      </x:c>
      <x:c r="B3911" s="87" t="str">
        <x:v>NOV-SOC-V3-011</x:v>
      </x:c>
      <x:c r="C3911" s="87" t="str">
        <x:v>СтатГрад</x:v>
      </x:c>
      <x:c r="D3911" s="87" t="str">
        <x:v>Ноябрь 2025</x:v>
      </x:c>
      <x:c r="E3911" s="87"/>
      <x:c r="F3911" s="87"/>
      <x:c r="G3911" s="87" t="str">
        <x:v>Обществознание</x:v>
      </x:c>
      <x:c r="H3911" s="87" t="n">
        <x:v>11</x:v>
      </x:c>
      <x:c r="I3911" s="87" t="str">
        <x:v>ТР №2</x:v>
      </x:c>
      <x:c r="J3911" s="87" t="str">
        <x:v>ОБ2510203</x:v>
      </x:c>
      <x:c r="K3911" s="87" t="n">
        <x:v>11</x:v>
      </x:c>
      <x:c r="L3911" s="87" t="str">
        <x:v>Форма государственного устройства</x:v>
      </x:c>
      <x:c r="M3911" s="30" t="str">
        <x:v>После проведения политических реформ государство Z стало унитарным.
     Какие из перечисленных ниже фактов подтверждают, что государство Z
     является унитарным? Запишите цифры, под которыми указаны верные
     факты.
     1) регулярно проводятся выборы высших органов государственной власти
     2) действует однопалатный парламент
     3) установлены законы, которые в равной степени обязаны соблюдать
        все должностные лица государства
     4) существует единый и единственный центр государственной власти
     5) разграничиваются политические и правовые вопросы, по которым
        принимаются решения в центре и округах
     6) руководители территориально-административных округов, на которые
        делится государство, назначаются главой государства</x:v>
      </x:c>
      <x:c r="N3911" s="30" t="str">
        <x:v>246</x:v>
      </x:c>
      <x:c r="O3911" s="30" t="str">
        <x:v>Официальный ответ 246; подтверждён совпадением с идентичным заданием базового варианта ОБ2510201 и таблицей ответов смешанного варианта.</x:v>
      </x:c>
      <x:c r="P3911" s="30" t="str">
        <x:v>Текст задания сопоставлен с ОБ2510201; ответ полностью совпадает.</x:v>
      </x:c>
      <x:c r="Q3911" s="30"/>
      <x:c r="R3911" s="30" t="str">
        <x:v>Официальная таблица ответов + перекрёстная проверка смешанного варианта</x:v>
      </x:c>
      <x:c r="S3911" s="30"/>
      <x:c r="T3911" s="30"/>
      <x:c r="U3911" s="30" t="str">
        <x:v>Расхождений не обнаружено.</x:v>
      </x:c>
      <x:c r="V3911" s="87" t="str">
        <x:v>VERIFIED</x:v>
      </x:c>
      <x:c r="W3911" s="87" t="str">
        <x:v>Zadanie_OB11_07112025_.pdf, вариантная стр. 7</x:v>
      </x:c>
      <x:c r="X3911" s="87"/>
      <x:c r="Y3911" s="87"/>
      <x:c r="Z3911" s="87"/>
      <x:c r="AA3911" s="87"/>
      <x:c r="AB3911" s="87"/>
      <x:c r="AC3911" s="87"/>
      <x:c r="AD3911" s="87"/>
      <x:c r="AE3911" s="87"/>
      <x:c r="AF3911" s="87"/>
      <x:c r="AG3911" s="87"/>
      <x:c r="AH3911" s="87"/>
      <x:c r="AI3911" s="30"/>
      <x:c r="AJ3911" s="87" t="str">
        <x:v>master</x:v>
      </x:c>
      <x:c r="AK3911" s="87" t="str">
        <x:v>master-v0.81</x:v>
      </x:c>
      <x:c r="AL3911" s="87" t="str">
        <x:v>statgrad_master_base_v0_81_final(2).xlsx</x:v>
      </x:c>
      <x:c r="AM3911" s="87" t="str">
        <x:v>SOC_Nov_V3</x:v>
      </x:c>
      <x:c r="AN3911" s="87" t="n">
        <x:v>12</x:v>
      </x:c>
    </x:row>
    <x:row r="3912">
      <x:c r="A3912" s="87" t="n">
        <x:v>3911</x:v>
      </x:c>
      <x:c r="B3912" s="87" t="str">
        <x:v>NOV-SOC-V3-012</x:v>
      </x:c>
      <x:c r="C3912" s="87" t="str">
        <x:v>СтатГрад</x:v>
      </x:c>
      <x:c r="D3912" s="87" t="str">
        <x:v>Ноябрь 2025</x:v>
      </x:c>
      <x:c r="E3912" s="87"/>
      <x:c r="F3912" s="87"/>
      <x:c r="G3912" s="87" t="str">
        <x:v>Обществознание</x:v>
      </x:c>
      <x:c r="H3912" s="87" t="n">
        <x:v>11</x:v>
      </x:c>
      <x:c r="I3912" s="87" t="str">
        <x:v>ТР №2</x:v>
      </x:c>
      <x:c r="J3912" s="87" t="str">
        <x:v>ОБ2510203</x:v>
      </x:c>
      <x:c r="K3912" s="87" t="n">
        <x:v>12</x:v>
      </x:c>
      <x:c r="L3912" s="87" t="str">
        <x:v>Политические права граждан РФ</x:v>
      </x:c>
      <x:c r="M3912" s="30" t="str">
        <x:v>Выберите в приведённом списке положения, характеризующие политические
     права граждан Российской Федерации. Запишите цифры, под которыми
     они указаны.
     1) право на неприкосновенность частной жизни, личную и семейную тайну,
        защиту своей чести и доброго имени
     2) равный доступ к государственной службе
     3) право собираться мирно, без оружия, проводить собрания, митинги
        и демонстрации, шествия и пикетирование
     4) право избирать и быть избранными в органы государственной власти
        и органы местного самоуправления, а также участвовать в референдуме
     5) право определять и указывать свою национальную принадлежность</x:v>
      </x:c>
      <x:c r="N3912" s="30" t="str">
        <x:v>234</x:v>
      </x:c>
      <x:c r="O3912" s="30" t="str">
        <x:v>Официальный ответ 234; подтверждён совпадением с идентичным заданием базового варианта ОБ2510202 и таблицей ответов смешанного варианта.</x:v>
      </x:c>
      <x:c r="P3912" s="30" t="str">
        <x:v>Текст задания сопоставлен с ОБ2510202; ответ полностью совпадает.</x:v>
      </x:c>
      <x:c r="Q3912" s="30"/>
      <x:c r="R3912" s="30" t="str">
        <x:v>Официальная таблица ответов + перекрёстная проверка смешанного варианта</x:v>
      </x:c>
      <x:c r="S3912" s="30"/>
      <x:c r="T3912" s="30"/>
      <x:c r="U3912" s="30" t="str">
        <x:v>Расхождений не обнаружено.</x:v>
      </x:c>
      <x:c r="V3912" s="87" t="str">
        <x:v>VERIFIED</x:v>
      </x:c>
      <x:c r="W3912" s="87" t="str">
        <x:v>Zadanie_OB11_07112025_.pdf, вариантная стр. 8</x:v>
      </x:c>
      <x:c r="X3912" s="87"/>
      <x:c r="Y3912" s="87"/>
      <x:c r="Z3912" s="87"/>
      <x:c r="AA3912" s="87"/>
      <x:c r="AB3912" s="87"/>
      <x:c r="AC3912" s="87"/>
      <x:c r="AD3912" s="87"/>
      <x:c r="AE3912" s="87"/>
      <x:c r="AF3912" s="87"/>
      <x:c r="AG3912" s="87"/>
      <x:c r="AH3912" s="87"/>
      <x:c r="AI3912" s="30"/>
      <x:c r="AJ3912" s="87" t="str">
        <x:v>master</x:v>
      </x:c>
      <x:c r="AK3912" s="87" t="str">
        <x:v>master-v0.81</x:v>
      </x:c>
      <x:c r="AL3912" s="87" t="str">
        <x:v>statgrad_master_base_v0_81_final(2).xlsx</x:v>
      </x:c>
      <x:c r="AM3912" s="87" t="str">
        <x:v>SOC_Nov_V3</x:v>
      </x:c>
      <x:c r="AN3912" s="87" t="n">
        <x:v>13</x:v>
      </x:c>
    </x:row>
    <x:row r="3913">
      <x:c r="A3913" s="87" t="n">
        <x:v>3912</x:v>
      </x:c>
      <x:c r="B3913" s="87" t="str">
        <x:v>NOV-SOC-V3-013</x:v>
      </x:c>
      <x:c r="C3913" s="87" t="str">
        <x:v>СтатГрад</x:v>
      </x:c>
      <x:c r="D3913" s="87" t="str">
        <x:v>Ноябрь 2025</x:v>
      </x:c>
      <x:c r="E3913" s="87"/>
      <x:c r="F3913" s="87"/>
      <x:c r="G3913" s="87" t="str">
        <x:v>Обществознание</x:v>
      </x:c>
      <x:c r="H3913" s="87" t="n">
        <x:v>11</x:v>
      </x:c>
      <x:c r="I3913" s="87" t="str">
        <x:v>ТР №2</x:v>
      </x:c>
      <x:c r="J3913" s="87" t="str">
        <x:v>ОБ2510203</x:v>
      </x:c>
      <x:c r="K3913" s="87" t="n">
        <x:v>13</x:v>
      </x:c>
      <x:c r="L3913" s="87" t="str">
        <x:v>Полномочия органов государственной власти РФ</x:v>
      </x:c>
      <x:c r="M3913" s="30" t="str">
        <x:v>Установите    соответствие  между     полномочиями и  субъектами
     государственной власти Российской Федерации, реализующими эти
     полномочия: к каждой позиции, данной в первом столбце, подберите
     соответствующую позицию из второго столбца.
                     ПОЛНОМОЧИЕ                                     СУБЪЕКТ
                                                              ГОСУДАРСТВЕННОЙ
                                                             ВЛАСТИ РОССИЙСКОЙ
                                                                  ФЕДЕРАЦИИ
     А) определение основных направлений                   1) Президент Российской
        внутренней и внешней политики                         Федерации
        государства                                        2) Государственная Дума
     Б) утверждение изменения границ между                 3) Совет Федерации
        субъектами Российской Федерации
     В) решение вопроса о возможности
        использования Вооруженных Сил
        Российской Федерации за пределами
        территории Российской Федерации
     Г) решение вопроса о доверии
        Правительству Российской Федерации
     Д) назначение референдума в порядке,
        установленном федеральным
        конституционным законом
     Запишите в таблицу выбранные цифры под соответствующими буквами.
                А Б В Г Д</x:v>
      </x:c>
      <x:c r="N3913" s="30" t="str">
        <x:v>13321</x:v>
      </x:c>
      <x:c r="O3913" s="30" t="str">
        <x:v>Официальный ответ 13321; подтверждён совпадением с идентичным заданием базового варианта ОБ2510201 и таблицей ответов смешанного варианта.</x:v>
      </x:c>
      <x:c r="P3913" s="30" t="str">
        <x:v>Текст задания сопоставлен с ОБ2510201; ответ полностью совпадает.</x:v>
      </x:c>
      <x:c r="Q3913" s="30"/>
      <x:c r="R3913" s="30" t="str">
        <x:v>Официальная таблица ответов + перекрёстная проверка смешанного варианта</x:v>
      </x:c>
      <x:c r="S3913" s="30"/>
      <x:c r="T3913" s="30"/>
      <x:c r="U3913" s="30" t="str">
        <x:v>Расхождений не обнаружено.</x:v>
      </x:c>
      <x:c r="V3913" s="87" t="str">
        <x:v>VERIFIED</x:v>
      </x:c>
      <x:c r="W3913" s="87" t="str">
        <x:v>Zadanie_OB11_07112025_.pdf, вариантная стр. 8</x:v>
      </x:c>
      <x:c r="X3913" s="87"/>
      <x:c r="Y3913" s="87"/>
      <x:c r="Z3913" s="87"/>
      <x:c r="AA3913" s="87"/>
      <x:c r="AB3913" s="87"/>
      <x:c r="AC3913" s="87"/>
      <x:c r="AD3913" s="87"/>
      <x:c r="AE3913" s="87"/>
      <x:c r="AF3913" s="87"/>
      <x:c r="AG3913" s="87"/>
      <x:c r="AH3913" s="87"/>
      <x:c r="AI3913" s="30"/>
      <x:c r="AJ3913" s="87" t="str">
        <x:v>master</x:v>
      </x:c>
      <x:c r="AK3913" s="87" t="str">
        <x:v>master-v0.81</x:v>
      </x:c>
      <x:c r="AL3913" s="87" t="str">
        <x:v>statgrad_master_base_v0_81_final(2).xlsx</x:v>
      </x:c>
      <x:c r="AM3913" s="87" t="str">
        <x:v>SOC_Nov_V3</x:v>
      </x:c>
      <x:c r="AN3913" s="87" t="n">
        <x:v>14</x:v>
      </x:c>
    </x:row>
    <x:row r="3914">
      <x:c r="A3914" s="87" t="n">
        <x:v>3913</x:v>
      </x:c>
      <x:c r="B3914" s="87" t="str">
        <x:v>NOV-SOC-V3-014</x:v>
      </x:c>
      <x:c r="C3914" s="87" t="str">
        <x:v>СтатГрад</x:v>
      </x:c>
      <x:c r="D3914" s="87" t="str">
        <x:v>Ноябрь 2025</x:v>
      </x:c>
      <x:c r="E3914" s="87"/>
      <x:c r="F3914" s="87"/>
      <x:c r="G3914" s="87" t="str">
        <x:v>Обществознание</x:v>
      </x:c>
      <x:c r="H3914" s="87" t="n">
        <x:v>11</x:v>
      </x:c>
      <x:c r="I3914" s="87" t="str">
        <x:v>ТР №2</x:v>
      </x:c>
      <x:c r="J3914" s="87" t="str">
        <x:v>ОБ2510203</x:v>
      </x:c>
      <x:c r="K3914" s="87" t="n">
        <x:v>14</x:v>
      </x:c>
      <x:c r="L3914" s="87" t="str">
        <x:v>Заключение и расторжение брака</x:v>
      </x:c>
      <x:c r="M3914" s="30" t="str">
        <x:v>Выберите верные суждения о порядке и условиях заключения и расторжения
     брака в соответствии с Семейным кодексом Российской Федерации
     и запишите цифры, под которыми они указаны.
     1) Брак заключается в органах записи актов гражданского состояния
        в личном присутствии лиц, вступающих в брак.
     2) Не допускается заключение брака между лицами, из которых хотя бы
        одно лицо ранее расторгло зарегистрированный брак.
     3) Для заключения брака необходимы взаимное добровольное согласие
        мужчины и женщины, вступающих в брак, и достижение ими брачного
        возраста.
     4) Муж не имеет права без согласия жены возбуждать дело о расторжении
        брака во время беременности жены и в течение года после рождения
        ребёнка.
     5) При взаимном согласии на расторжение брака супругов, имеющих общих
        несовершеннолетних детей, расторжение брака производится в органах
        записи актов гражданского состояния.</x:v>
      </x:c>
      <x:c r="N3914" s="30" t="str">
        <x:v>134</x:v>
      </x:c>
      <x:c r="O3914" s="30" t="str">
        <x:v>Официальный ответ 134; подтверждён совпадением с идентичным заданием базового варианта ОБ2510202 и таблицей ответов смешанного варианта.</x:v>
      </x:c>
      <x:c r="P3914" s="30" t="str">
        <x:v>Текст задания сопоставлен с ОБ2510202; ответ полностью совпадает.</x:v>
      </x:c>
      <x:c r="Q3914" s="30"/>
      <x:c r="R3914" s="30" t="str">
        <x:v>Официальная таблица ответов + перекрёстная проверка смешанного варианта</x:v>
      </x:c>
      <x:c r="S3914" s="30"/>
      <x:c r="T3914" s="30"/>
      <x:c r="U3914" s="30" t="str">
        <x:v>Расхождений не обнаружено.</x:v>
      </x:c>
      <x:c r="V3914" s="87" t="str">
        <x:v>VERIFIED</x:v>
      </x:c>
      <x:c r="W3914" s="87" t="str">
        <x:v>Zadanie_OB11_07112025_.pdf, вариантная стр. 9</x:v>
      </x:c>
      <x:c r="X3914" s="87"/>
      <x:c r="Y3914" s="87"/>
      <x:c r="Z3914" s="87"/>
      <x:c r="AA3914" s="87"/>
      <x:c r="AB3914" s="87"/>
      <x:c r="AC3914" s="87"/>
      <x:c r="AD3914" s="87"/>
      <x:c r="AE3914" s="87"/>
      <x:c r="AF3914" s="87"/>
      <x:c r="AG3914" s="87"/>
      <x:c r="AH3914" s="87"/>
      <x:c r="AI3914" s="30"/>
      <x:c r="AJ3914" s="87" t="str">
        <x:v>master</x:v>
      </x:c>
      <x:c r="AK3914" s="87" t="str">
        <x:v>master-v0.81</x:v>
      </x:c>
      <x:c r="AL3914" s="87" t="str">
        <x:v>statgrad_master_base_v0_81_final(2).xlsx</x:v>
      </x:c>
      <x:c r="AM3914" s="87" t="str">
        <x:v>SOC_Nov_V3</x:v>
      </x:c>
      <x:c r="AN3914" s="87" t="n">
        <x:v>15</x:v>
      </x:c>
    </x:row>
    <x:row r="3915">
      <x:c r="A3915" s="87" t="n">
        <x:v>3914</x:v>
      </x:c>
      <x:c r="B3915" s="87" t="str">
        <x:v>NOV-SOC-V3-015</x:v>
      </x:c>
      <x:c r="C3915" s="87" t="str">
        <x:v>СтатГрад</x:v>
      </x:c>
      <x:c r="D3915" s="87" t="str">
        <x:v>Ноябрь 2025</x:v>
      </x:c>
      <x:c r="E3915" s="87"/>
      <x:c r="F3915" s="87"/>
      <x:c r="G3915" s="87" t="str">
        <x:v>Обществознание</x:v>
      </x:c>
      <x:c r="H3915" s="87" t="n">
        <x:v>11</x:v>
      </x:c>
      <x:c r="I3915" s="87" t="str">
        <x:v>ТР №2</x:v>
      </x:c>
      <x:c r="J3915" s="87" t="str">
        <x:v>ОБ2510203</x:v>
      </x:c>
      <x:c r="K3915" s="87" t="n">
        <x:v>15</x:v>
      </x:c>
      <x:c r="L3915" s="87" t="str">
        <x:v>Расторжение трудового договора</x:v>
      </x:c>
      <x:c r="M3915" s="30" t="str">
        <x:v>Установите соответствие между примерами и основаниями расторжения
     трудового договора: к каждой позиции, данной в первом столбце, подберите
     соответствующую позицию из второго столбца.
                         ПРИМЕР                        ОСНОВАНИЕ
                                                     РАСТОРЖЕНИЯ
                                                 ТРУДОВОГО ДОГОВОРА
     А) организация, сотрудником которой был   1) соглашение сторон
        гражданин Козырев, была ликвидирована 2) инициатива работодателя
     Б) продавец решил сменить место работы,   3) обстоятельства,
        администрация магазина не имела           не зависящие от воли
        возражений                                сторон
     В) независимая аттестация показала
        несоответствие квалификации
        сотрудника работе, которую он выполнял
     Г) работник И. выполнял свои трудовые
        обязанности в состоянии алкогольного
        опьянения
     Д) учитель средней школы был призван
        на военную службу
     Запишите в таблицу выбранные цифры под соответствующими буквами.
                А Б В Г Д</x:v>
      </x:c>
      <x:c r="N3915" s="30" t="str">
        <x:v>21223</x:v>
      </x:c>
      <x:c r="O3915" s="30" t="str">
        <x:v>Официальный ответ 21223; подтверждён совпадением с идентичным заданием базового варианта ОБ2510201 и таблицей ответов смешанного варианта.</x:v>
      </x:c>
      <x:c r="P3915" s="30" t="str">
        <x:v>Текст задания сопоставлен с ОБ2510201; ответ полностью совпадает.</x:v>
      </x:c>
      <x:c r="Q3915" s="30"/>
      <x:c r="R3915" s="30" t="str">
        <x:v>Официальная таблица ответов + перекрёстная проверка смешанного варианта</x:v>
      </x:c>
      <x:c r="S3915" s="30"/>
      <x:c r="T3915" s="30"/>
      <x:c r="U3915" s="30" t="str">
        <x:v>Расхождений не обнаружено.</x:v>
      </x:c>
      <x:c r="V3915" s="87" t="str">
        <x:v>VERIFIED</x:v>
      </x:c>
      <x:c r="W3915" s="87" t="str">
        <x:v>Zadanie_OB11_07112025_.pdf, вариантная стр. 10</x:v>
      </x:c>
      <x:c r="X3915" s="87"/>
      <x:c r="Y3915" s="87"/>
      <x:c r="Z3915" s="87"/>
      <x:c r="AA3915" s="87"/>
      <x:c r="AB3915" s="87"/>
      <x:c r="AC3915" s="87"/>
      <x:c r="AD3915" s="87"/>
      <x:c r="AE3915" s="87"/>
      <x:c r="AF3915" s="87"/>
      <x:c r="AG3915" s="87"/>
      <x:c r="AH3915" s="87"/>
      <x:c r="AI3915" s="30"/>
      <x:c r="AJ3915" s="87" t="str">
        <x:v>master</x:v>
      </x:c>
      <x:c r="AK3915" s="87" t="str">
        <x:v>master-v0.81</x:v>
      </x:c>
      <x:c r="AL3915" s="87" t="str">
        <x:v>statgrad_master_base_v0_81_final(2).xlsx</x:v>
      </x:c>
      <x:c r="AM3915" s="87" t="str">
        <x:v>SOC_Nov_V3</x:v>
      </x:c>
      <x:c r="AN3915" s="87" t="n">
        <x:v>16</x:v>
      </x:c>
    </x:row>
    <x:row r="3916">
      <x:c r="A3916" s="87" t="n">
        <x:v>3915</x:v>
      </x:c>
      <x:c r="B3916" s="87" t="str">
        <x:v>NOV-SOC-V3-016</x:v>
      </x:c>
      <x:c r="C3916" s="87" t="str">
        <x:v>СтатГрад</x:v>
      </x:c>
      <x:c r="D3916" s="87" t="str">
        <x:v>Ноябрь 2025</x:v>
      </x:c>
      <x:c r="E3916" s="87"/>
      <x:c r="F3916" s="87"/>
      <x:c r="G3916" s="87" t="str">
        <x:v>Обществознание</x:v>
      </x:c>
      <x:c r="H3916" s="87" t="n">
        <x:v>11</x:v>
      </x:c>
      <x:c r="I3916" s="87" t="str">
        <x:v>ТР №2</x:v>
      </x:c>
      <x:c r="J3916" s="87" t="str">
        <x:v>ОБ2510203</x:v>
      </x:c>
      <x:c r="K3916" s="87" t="n">
        <x:v>16</x:v>
      </x:c>
      <x:c r="L3916" s="87" t="str">
        <x:v>Система права</x:v>
      </x:c>
      <x:c r="M3916" s="30" t="str">
        <x:v>Представьте, что Вы по заданию учителя оформляете презентацию к уроку
     обществознания по теме «Семейное право». Один из слайдов называется
     «Брачный договор и условия его заключения». Что из перечисленного
     следует включить в этот слайд? Запишите цифры, под которыми указаны
     признаки и условия заключения брачного договора в соответствии
     с Семейным кодексом Российской Федерации.
     1) определяет имущественные права и обязанности супругов в браке
        и в случае его расторжения
     2) заключается только в момент подачи заявления о регистрации брака
     3) регулирует личные неимущественные отношения в семье
     4) требует письменной формы
     5) не может быть пересмотрен или расторгнут
     6) удостоверяется нотариально
                           Часть 2
Для записи ответов на задания этой части (17–25) используйте
отдельный лист. Запишите сначала номер задания (17, 18 и т. д.),
а затем развёрнутый ответ на него. Ответы записывайте чётко
и разборчиво.
Обратите внимание! Не следует в развёрнутом ответе на любое
из заданий 17–25 приводить больше позиций (признаков, характеристик,
примеров, аргументов и т.д.), чем требуется в задании. Неточности
и ошибки в «дополнительных» элементах ответа могут привести
к снижению балла за выполнение задания
              Прочитайте текст и выполните задания 17–20.
      Научное познание возникает под влиянием множества разнородных
факторов, например, накопления знаний на донаучном этапе развития
познания, развития рационального мышления, разработки специфических
методов доказательства и экспериментальной проверки новых знаний.
      Научное познание не отделено какой-то абсолютно непреодолимой
границей от познания обыденного. Считается, что обыденное познание
ограничено сферой сугубо практического применения. Обыденное познание
всегда «овеществлено» в каких-то материальных объектах и неспособно
осуществить теоретический прорыв в область неизвестного. Но оно может
порождать новые обыденные знания (полезные практические навыки,
лечение травами, гимнастические упражнения в народной медицине, рецепты
кухни, простые технические приспособления и устройства и т.д.)
      Если речь идёт об этапах истории человеческого познания,
предшествующих возникновению науки, то именно обыденное познание,
видимо, можно характеризовать как донаучное. Донаучный опыт (знания)
обеспечивается интеллектуальным потенциалом донаучного (обыденного)
познания.
      Донаучное познание возникло задолго до появления науки
и базировалось на познавательных ресурсах архаического, преимущественно
образного или пространственно-образного мышления. Этих ресурсов
оказывалось вполне достаточно для изобретения полезных практических
навыков, простых технических устройств и производственных технологий,
для накопления в течение тысячелетий эмпирических знаний о свойствах
материалов, вещей и явлений, с которыми люди сталкивались в своей
повседневной жизни, что было необходимым и обеспечивало выживание
людей (сообществ). Овладение техническими приёмами создания орудий
труда, процедурными знаниями (например, искусством верховой езды или
стрельбы из лука, боевыми искусствами,) и даже интеллектуальными
приёмами и методами (письменность, оперирование математическими
     символами) не обязательно требует аналитически высокоразвитого знаково-
     символического мышления, обеспечивающего научную познавательную
     деятельность, получение теоретических знаний.
           Донаучное познание было весьма действенным инструментом
     приспособления людей к различным условиям существования, их
     информационного контроля за окружающей средой. При этом донаучное
     познание изменялось исключительно медленно, потому что эволюционный
     процесс развития мыслительных операций является длительным.
     Содержание и объём накопленного обыденного знания весьма существенно
     различаются у отдельных человеческих сообществ в зависимости от этапов
     их социально-экономического развития, особенностей их культуры и т.д.
                                                          (По И.П. Меркулову)</x:v>
      </x:c>
      <x:c r="N3916" s="30" t="str">
        <x:v>146</x:v>
      </x:c>
      <x:c r="O3916" s="30" t="str">
        <x:v>Официальный ответ 146; подтверждён совпадением с идентичным заданием базового варианта ОБ2510201 и таблицей ответов смешанного варианта.</x:v>
      </x:c>
      <x:c r="P3916" s="30" t="str">
        <x:v>Текст задания сопоставлен с ОБ2510201; ответ полностью совпадает.</x:v>
      </x:c>
      <x:c r="Q3916" s="30"/>
      <x:c r="R3916" s="30" t="str">
        <x:v>Официальная таблица ответов + перекрёстная проверка смешанного варианта</x:v>
      </x:c>
      <x:c r="S3916" s="30"/>
      <x:c r="T3916" s="30"/>
      <x:c r="U3916" s="30" t="str">
        <x:v>Расхождений не обнаружено.</x:v>
      </x:c>
      <x:c r="V3916" s="87" t="str">
        <x:v>VERIFIED</x:v>
      </x:c>
      <x:c r="W3916" s="87" t="str">
        <x:v>Zadanie_OB11_07112025_.pdf, вариантная стр. 10</x:v>
      </x:c>
      <x:c r="X3916" s="87"/>
      <x:c r="Y3916" s="87"/>
      <x:c r="Z3916" s="87"/>
      <x:c r="AA3916" s="87"/>
      <x:c r="AB3916" s="87"/>
      <x:c r="AC3916" s="87"/>
      <x:c r="AD3916" s="87"/>
      <x:c r="AE3916" s="87"/>
      <x:c r="AF3916" s="87"/>
      <x:c r="AG3916" s="87"/>
      <x:c r="AH3916" s="87"/>
      <x:c r="AI3916" s="30"/>
      <x:c r="AJ3916" s="87" t="str">
        <x:v>master</x:v>
      </x:c>
      <x:c r="AK3916" s="87" t="str">
        <x:v>master-v0.81</x:v>
      </x:c>
      <x:c r="AL3916" s="87" t="str">
        <x:v>statgrad_master_base_v0_81_final(2).xlsx</x:v>
      </x:c>
      <x:c r="AM3916" s="87" t="str">
        <x:v>SOC_Nov_V3</x:v>
      </x:c>
      <x:c r="AN3916" s="87" t="n">
        <x:v>17</x:v>
      </x:c>
    </x:row>
    <x:row r="3917">
      <x:c r="A3917" s="87" t="n">
        <x:v>3916</x:v>
      </x:c>
      <x:c r="B3917" s="87" t="str">
        <x:v>NOV-SOC-V3-017</x:v>
      </x:c>
      <x:c r="C3917" s="87" t="str">
        <x:v>СтатГрад</x:v>
      </x:c>
      <x:c r="D3917" s="87" t="str">
        <x:v>Ноябрь 2025</x:v>
      </x:c>
      <x:c r="E3917" s="87"/>
      <x:c r="F3917" s="87"/>
      <x:c r="G3917" s="87" t="str">
        <x:v>Обществознание</x:v>
      </x:c>
      <x:c r="H3917" s="87" t="n">
        <x:v>11</x:v>
      </x:c>
      <x:c r="I3917" s="87" t="str">
        <x:v>ТР №2</x:v>
      </x:c>
      <x:c r="J3917" s="87" t="str">
        <x:v>ОБ2510203</x:v>
      </x:c>
      <x:c r="K3917" s="87" t="n">
        <x:v>17</x:v>
      </x:c>
      <x:c r="L3917" s="87" t="str">
        <x:v>Работа с обществоведческим текстом</x:v>
      </x:c>
      <x:c r="M3917" s="30" t="str">
        <x:v>Какой вид познания автор характеризует как донаучное? Какие результаты,
     по мнению автора, обеспечивает аналитически высокоразвитое знаково-
     символическое мышление? (Укажите два результата.) Почему, по мнению
     автора, медленно изменялось донаучное познание?</x:v>
      </x:c>
      <x:c r="N3917" s="30" t="str">
        <x:v>В правильном ответе должны быть следующие элементы:
     1) ответ на первый вопрос: обыденное познание;
     2) ответ на второй вопрос:
     – научная познавательная деятельность;
     – получение теоретических знаний;
     (Ответ на второй вопрос засчитывается только при указании
     двух результатов и при отсутствии неверных позиций.)
     3) ответ на третий вопрос: потому что процесс развития
     мыслительных операций является длительным.
     Элементы ответа могут быть представлены как в форме цитат,
     так и в форме сжатого воспроизведения основных идей
     соответствующих фрагментов текста</x:v>
      </x:c>
      <x:c r="O3917" s="30" t="str">
        <x:v>Модель закрывает все элементы официального критерия; максимальный балл — 2.</x:v>
      </x:c>
      <x:c r="P3917" s="30" t="str">
        <x:v>Условие, число требуемых элементов и модель ответа повторно сверены с детализированным критерием.</x:v>
      </x:c>
      <x:c r="Q3917" s="30"/>
      <x:c r="R3917" s="30" t="str">
        <x:v>Kriterii_OB11_07112025_.pdf, критерий задания 17</x:v>
      </x:c>
      <x:c r="S3917" s="30"/>
      <x:c r="T3917" s="30"/>
      <x:c r="U3917" s="30" t="str">
        <x:v>Расхождений не обнаружено.</x:v>
      </x:c>
      <x:c r="V3917" s="87" t="str">
        <x:v>VERIFIED</x:v>
      </x:c>
      <x:c r="W3917" s="87" t="str">
        <x:v>Zadanie_OB11_07112025_.pdf, вариантная стр. 12</x:v>
      </x:c>
      <x:c r="X3917" s="87"/>
      <x:c r="Y3917" s="87"/>
      <x:c r="Z3917" s="87"/>
      <x:c r="AA3917" s="87"/>
      <x:c r="AB3917" s="87"/>
      <x:c r="AC3917" s="87"/>
      <x:c r="AD3917" s="87"/>
      <x:c r="AE3917" s="87"/>
      <x:c r="AF3917" s="87"/>
      <x:c r="AG3917" s="87"/>
      <x:c r="AH3917" s="87"/>
      <x:c r="AI3917" s="30"/>
      <x:c r="AJ3917" s="87" t="str">
        <x:v>master</x:v>
      </x:c>
      <x:c r="AK3917" s="87" t="str">
        <x:v>master-v0.81</x:v>
      </x:c>
      <x:c r="AL3917" s="87" t="str">
        <x:v>statgrad_master_base_v0_81_final(2).xlsx</x:v>
      </x:c>
      <x:c r="AM3917" s="87" t="str">
        <x:v>SOC_Nov_V3</x:v>
      </x:c>
      <x:c r="AN3917" s="87" t="n">
        <x:v>18</x:v>
      </x:c>
    </x:row>
    <x:row r="3918">
      <x:c r="A3918" s="87" t="n">
        <x:v>3917</x:v>
      </x:c>
      <x:c r="B3918" s="87" t="str">
        <x:v>NOV-SOC-V3-018</x:v>
      </x:c>
      <x:c r="C3918" s="87" t="str">
        <x:v>СтатГрад</x:v>
      </x:c>
      <x:c r="D3918" s="87" t="str">
        <x:v>Ноябрь 2025</x:v>
      </x:c>
      <x:c r="E3918" s="87"/>
      <x:c r="F3918" s="87"/>
      <x:c r="G3918" s="87" t="str">
        <x:v>Обществознание</x:v>
      </x:c>
      <x:c r="H3918" s="87" t="n">
        <x:v>11</x:v>
      </x:c>
      <x:c r="I3918" s="87" t="str">
        <x:v>ТР №2</x:v>
      </x:c>
      <x:c r="J3918" s="87" t="str">
        <x:v>ОБ2510203</x:v>
      </x:c>
      <x:c r="K3918" s="87" t="n">
        <x:v>18</x:v>
      </x:c>
      <x:c r="L3918" s="87" t="str">
        <x:v>Теоретическое объяснение</x:v>
      </x:c>
      <x:c r="M3918" s="30" t="str">
        <x:v>В тексте упомянуты ключевые понятия социально-гуманитарных наук.
     Используя обществоведческие знания,
     – укажите не менее трёх признаков рационального познания как ступени
     в процессе познания;
     – объясните упомянутую в тексте связь между донаучным познанием
     и выживанием людей или сообществ. (Объяснение может быть дано
     в одном или нескольких распространённых предложениях.)</x:v>
      </x:c>
      <x:c r="N3918" s="30" t="str">
        <x:v>В правильном ответе должны быть следующие элементы:
1) основные признаки рационального познания, например:
– связь с абстрактным / логическим мышлением;
– существование в таких формах, как понятие, суждение,
умозаключение;
– познание сущности объектов / внутренних закономерностей
и связей, которые присущи объекту;
– физиологической основой являются процессы, которые
происходят преимущественно в коре больших полушарий
головного мозга;
(Основные признаки могут быть приведены в иных близких
по смыслу формулировках. Может быть приведён любой другой
признак.
Данный элемент ответа засчитывается только при указании
трёх или более признаков, из которых два должны быть
из приведённого перечня, при отсутствии неверных позиций.)
2) объяснение с опорой на положения текста, например: донаучное
познание обеспечило человечество полезными практическими
навыками / привело к созданию простых технических устройств
и технологий / способствовало накоплению эмпирических знаний
и пр., что способствовало приспособлению людей к различным
условиям существования / установлению информационного
контроля за окружающей средой, а это обеспечивало выживание
людей и сообществ.
(Может быть приведено другое корректное объяснение.
Объяснение связи не указанного автором объекта изучения
с используемыми методами не засчитывается.)</x:v>
      </x:c>
      <x:c r="O3918" s="30" t="str">
        <x:v>Модель закрывает все элементы официального критерия; максимальный балл — 2.</x:v>
      </x:c>
      <x:c r="P3918" s="30" t="str">
        <x:v>Условие, число требуемых элементов и модель ответа повторно сверены с детализированным критерием.</x:v>
      </x:c>
      <x:c r="Q3918" s="30"/>
      <x:c r="R3918" s="30" t="str">
        <x:v>Kriterii_OB11_07112025_.pdf, критерий задания 18</x:v>
      </x:c>
      <x:c r="S3918" s="30"/>
      <x:c r="T3918" s="30"/>
      <x:c r="U3918" s="30" t="str">
        <x:v>Расхождений не обнаружено.</x:v>
      </x:c>
      <x:c r="V3918" s="87" t="str">
        <x:v>VERIFIED</x:v>
      </x:c>
      <x:c r="W3918" s="87" t="str">
        <x:v>Zadanie_OB11_07112025_.pdf, вариантная стр. 12</x:v>
      </x:c>
      <x:c r="X3918" s="87"/>
      <x:c r="Y3918" s="87"/>
      <x:c r="Z3918" s="87"/>
      <x:c r="AA3918" s="87"/>
      <x:c r="AB3918" s="87"/>
      <x:c r="AC3918" s="87"/>
      <x:c r="AD3918" s="87"/>
      <x:c r="AE3918" s="87"/>
      <x:c r="AF3918" s="87"/>
      <x:c r="AG3918" s="87"/>
      <x:c r="AH3918" s="87"/>
      <x:c r="AI3918" s="30"/>
      <x:c r="AJ3918" s="87" t="str">
        <x:v>master</x:v>
      </x:c>
      <x:c r="AK3918" s="87" t="str">
        <x:v>master-v0.81</x:v>
      </x:c>
      <x:c r="AL3918" s="87" t="str">
        <x:v>statgrad_master_base_v0_81_final(2).xlsx</x:v>
      </x:c>
      <x:c r="AM3918" s="87" t="str">
        <x:v>SOC_Nov_V3</x:v>
      </x:c>
      <x:c r="AN3918" s="87" t="n">
        <x:v>19</x:v>
      </x:c>
    </x:row>
    <x:row r="3919">
      <x:c r="A3919" s="87" t="n">
        <x:v>3918</x:v>
      </x:c>
      <x:c r="B3919" s="87" t="str">
        <x:v>NOV-SOC-V3-019</x:v>
      </x:c>
      <x:c r="C3919" s="87" t="str">
        <x:v>СтатГрад</x:v>
      </x:c>
      <x:c r="D3919" s="87" t="str">
        <x:v>Ноябрь 2025</x:v>
      </x:c>
      <x:c r="E3919" s="87"/>
      <x:c r="F3919" s="87"/>
      <x:c r="G3919" s="87" t="str">
        <x:v>Обществознание</x:v>
      </x:c>
      <x:c r="H3919" s="87" t="n">
        <x:v>11</x:v>
      </x:c>
      <x:c r="I3919" s="87" t="str">
        <x:v>ТР №2</x:v>
      </x:c>
      <x:c r="J3919" s="87" t="str">
        <x:v>ОБ2510203</x:v>
      </x:c>
      <x:c r="K3919" s="87" t="n">
        <x:v>19</x:v>
      </x:c>
      <x:c r="L3919" s="87" t="str">
        <x:v>Развёрнутые примеры</x:v>
      </x:c>
      <x:c r="M3919" s="30" t="str">
        <x:v>Используя обществоведческие знания и факты общественной жизни,
     проиллюстрируйте тремя примерами использование образного /
     пространственно-образного мышления в разных сферах жизнедеятельности
     современных людей. (Каждый пример должен быть сформулирован
     развёрнуто. Примеры не должны дублировать друг друга по содержанию.)</x:v>
      </x:c>
      <x:c r="N3919" s="30" t="str">
        <x:v>В правильном ответе могут быть следующие примеры:
     1) литературоведы отмечают новаторство художественных образов
     в произведении известного современного писателя;
     2) Иван часто воображал себе, как, закончив педагогический
     университет, он войдёт в школьный класс и начнёт свой первый
     полностью самостоятельный урок;
     3) прежде чем отправиться в путешествие, туристы изучили
     маршрут на карте и нарисовали схему маршрута.
     Могут быть приведены другие корректные примеры.
     Примеры,       дублирующие   друг    друга    по   содержанию,
     засчитываются как один пример.
     Засчитываются только примеры, сформулированные развёрнуто
     (отдельные слова и словосочетания не засчитываются в качестве
     примеров)</x:v>
      </x:c>
      <x:c r="O3919" s="30" t="str">
        <x:v>Модель закрывает все элементы официального критерия; максимальный балл — 3.</x:v>
      </x:c>
      <x:c r="P3919" s="30" t="str">
        <x:v>Условие, число требуемых элементов и модель ответа повторно сверены с детализированным критерием.</x:v>
      </x:c>
      <x:c r="Q3919" s="30"/>
      <x:c r="R3919" s="30" t="str">
        <x:v>Kriterii_OB11_07112025_.pdf, критерий задания 19</x:v>
      </x:c>
      <x:c r="S3919" s="30"/>
      <x:c r="T3919" s="30"/>
      <x:c r="U3919" s="30" t="str">
        <x:v>Расхождений не обнаружено.</x:v>
      </x:c>
      <x:c r="V3919" s="87" t="str">
        <x:v>VERIFIED</x:v>
      </x:c>
      <x:c r="W3919" s="87" t="str">
        <x:v>Zadanie_OB11_07112025_.pdf, вариантная стр. 12</x:v>
      </x:c>
      <x:c r="X3919" s="87"/>
      <x:c r="Y3919" s="87"/>
      <x:c r="Z3919" s="87"/>
      <x:c r="AA3919" s="87"/>
      <x:c r="AB3919" s="87"/>
      <x:c r="AC3919" s="87"/>
      <x:c r="AD3919" s="87"/>
      <x:c r="AE3919" s="87"/>
      <x:c r="AF3919" s="87"/>
      <x:c r="AG3919" s="87"/>
      <x:c r="AH3919" s="87"/>
      <x:c r="AI3919" s="30"/>
      <x:c r="AJ3919" s="87" t="str">
        <x:v>master</x:v>
      </x:c>
      <x:c r="AK3919" s="87" t="str">
        <x:v>master-v0.81</x:v>
      </x:c>
      <x:c r="AL3919" s="87" t="str">
        <x:v>statgrad_master_base_v0_81_final(2).xlsx</x:v>
      </x:c>
      <x:c r="AM3919" s="87" t="str">
        <x:v>SOC_Nov_V3</x:v>
      </x:c>
      <x:c r="AN3919" s="87" t="n">
        <x:v>20</x:v>
      </x:c>
    </x:row>
    <x:row r="3920">
      <x:c r="A3920" s="87" t="n">
        <x:v>3919</x:v>
      </x:c>
      <x:c r="B3920" s="87" t="str">
        <x:v>NOV-SOC-V3-020</x:v>
      </x:c>
      <x:c r="C3920" s="87" t="str">
        <x:v>СтатГрад</x:v>
      </x:c>
      <x:c r="D3920" s="87" t="str">
        <x:v>Ноябрь 2025</x:v>
      </x:c>
      <x:c r="E3920" s="87"/>
      <x:c r="F3920" s="87"/>
      <x:c r="G3920" s="87" t="str">
        <x:v>Обществознание</x:v>
      </x:c>
      <x:c r="H3920" s="87" t="n">
        <x:v>11</x:v>
      </x:c>
      <x:c r="I3920" s="87" t="str">
        <x:v>ТР №2</x:v>
      </x:c>
      <x:c r="J3920" s="87" t="str">
        <x:v>ОБ2510203</x:v>
      </x:c>
      <x:c r="K3920" s="87" t="n">
        <x:v>20</x:v>
      </x:c>
      <x:c r="L3920" s="87" t="str">
        <x:v>Аргументация</x:v>
      </x:c>
      <x:c r="M3920" s="30" t="str">
        <x:v>Используя обществоведческие знания, приведите три аргумента,
     подтверждающих мысль автора о том, что научное познание не отделено
     абсолютно непреодолимой границей от познания обыденного. (Каждый
     аргумент   должен   быть    сформулирован   как    распространённое
     предложение.)</x:v>
      </x:c>
      <x:c r="N3920" s="30" t="str">
        <x:v>В правильном ответе могут быть приведены следующие
     аргументы:
     1) и обыденное, и научное познание на эмпирическом уровне
     используют непосредственное взаимодействие с объектом
     познания (например, наблюдение, измерение и пр.)
     2) существуют прикладные науки, результаты познания
     в которых, как и результаты обыденного познания, всегда
     «овеществлены» в каких-то материальных объектах;
     3) к критериям истины относят практику, практический опыт,
     связанный и с обыденным познанием.
     Могут быть приведены иные обоснованные аргументы.
     Засчитываются      только    аргументы,      сформулированные
     как распространённые предложения (отдельные слова
     и словосочетания не засчитываются в качестве аргументов)</x:v>
      </x:c>
      <x:c r="O3920" s="30" t="str">
        <x:v>Модель закрывает все элементы официального критерия; максимальный балл — 3.</x:v>
      </x:c>
      <x:c r="P3920" s="30" t="str">
        <x:v>Условие, число требуемых элементов и модель ответа повторно сверены с детализированным критерием.</x:v>
      </x:c>
      <x:c r="Q3920" s="30"/>
      <x:c r="R3920" s="30" t="str">
        <x:v>Kriterii_OB11_07112025_.pdf, критерий задания 20</x:v>
      </x:c>
      <x:c r="S3920" s="30"/>
      <x:c r="T3920" s="30"/>
      <x:c r="U3920" s="30" t="str">
        <x:v>Расхождений не обнаружено.</x:v>
      </x:c>
      <x:c r="V3920" s="87" t="str">
        <x:v>VERIFIED</x:v>
      </x:c>
      <x:c r="W3920" s="87" t="str">
        <x:v>Zadanie_OB11_07112025_.pdf, вариантная стр. 12</x:v>
      </x:c>
      <x:c r="X3920" s="87"/>
      <x:c r="Y3920" s="87"/>
      <x:c r="Z3920" s="87"/>
      <x:c r="AA3920" s="87"/>
      <x:c r="AB3920" s="87"/>
      <x:c r="AC3920" s="87"/>
      <x:c r="AD3920" s="87"/>
      <x:c r="AE3920" s="87"/>
      <x:c r="AF3920" s="87"/>
      <x:c r="AG3920" s="87"/>
      <x:c r="AH3920" s="87"/>
      <x:c r="AI3920" s="30"/>
      <x:c r="AJ3920" s="87" t="str">
        <x:v>master</x:v>
      </x:c>
      <x:c r="AK3920" s="87" t="str">
        <x:v>master-v0.81</x:v>
      </x:c>
      <x:c r="AL3920" s="87" t="str">
        <x:v>statgrad_master_base_v0_81_final(2).xlsx</x:v>
      </x:c>
      <x:c r="AM3920" s="87" t="str">
        <x:v>SOC_Nov_V3</x:v>
      </x:c>
      <x:c r="AN3920" s="87" t="n">
        <x:v>21</x:v>
      </x:c>
    </x:row>
    <x:row r="3921">
      <x:c r="A3921" s="87" t="n">
        <x:v>3920</x:v>
      </x:c>
      <x:c r="B3921" s="87" t="str">
        <x:v>NOV-SOC-V3-021</x:v>
      </x:c>
      <x:c r="C3921" s="87" t="str">
        <x:v>СтатГрад</x:v>
      </x:c>
      <x:c r="D3921" s="87" t="str">
        <x:v>Ноябрь 2025</x:v>
      </x:c>
      <x:c r="E3921" s="87"/>
      <x:c r="F3921" s="87"/>
      <x:c r="G3921" s="87" t="str">
        <x:v>Обществознание</x:v>
      </x:c>
      <x:c r="H3921" s="87" t="n">
        <x:v>11</x:v>
      </x:c>
      <x:c r="I3921" s="87" t="str">
        <x:v>ТР №2</x:v>
      </x:c>
      <x:c r="J3921" s="87" t="str">
        <x:v>ОБ2510203</x:v>
      </x:c>
      <x:c r="K3921" s="87" t="n">
        <x:v>21</x:v>
      </x:c>
      <x:c r="L3921" s="87" t="str">
        <x:v>График спроса и предложения</x:v>
      </x:c>
      <x:c r="M3921" s="30" t="str">
        <x:v>На    графике    изображено     изменение    ситуации    P      D1
     на потребительском рынке подсолнечного масла                D         S
     в стране Z. Кривая спроса на подсолнечное масло
     переместилась из положения D в положение D 1
     при неизменном предложении S. (На графике P – цена
     товара; Q – количество товара.)                                         Q
     Как изменилась равновесная цена?
     Что могло вызвать изменение спроса? Сначала укажите любое одно
     обстоятельство (фактор), затем объясните его влияние на спрос (обязательно
     укажите характер изменения спроса). (Объяснение должно быть дано
     применительно к рынку, указанному в тексте задания.)
     Как изменятся предложение и равновесная цена на данном рынке, если
     при прочих равных условиях засуха причинит значительный ущерб посевам
     подсолнечника, и его урожай упадёт?</x:v>
      </x:c>
      <x:c r="N3921" s="30" t="str">
        <x:v>В правильном ответе должны быть следующие элементы:
     1) ответ на первый вопрос: равновесная цена увеличилась;
     2) ответ на второй вопрос (одно обстоятельство (фактор)
     с объяснением влияния): предпочтения потребителей (например,
     под влиянием информации о благотворном влиянии потребления
     подсолнечного масла на состояние здоровья, что привело к росту
     спроса на него);
     (Может быть названо и объяснено другое обстоятельство /
     другой фактор.
     Засчитывается только объяснение, данное применительно
     к рынку, указанному в тексте задания.)
     3) ответ на третий вопрос: если при прочих равных условиях засуха
     причинит значительный ущерб посевам подсолнечника и его
     урожай упадёт, то предложение подсолнечного масла уменьшится,
     а его равновесная цена увеличится.
     (Ответ на третий вопрос засчитывается только при правильном
     однозначном указании изменения предложения и равновесной
     цены.)
     Элементы ответа могут быть представлены в других
     формулировках.</x:v>
      </x:c>
      <x:c r="O3921" s="30" t="str">
        <x:v>Модель закрывает все элементы официального критерия; максимальный балл — 3.</x:v>
      </x:c>
      <x:c r="P3921" s="30" t="str">
        <x:v>Условие, число требуемых элементов и модель ответа повторно сверены с детализированным критерием.</x:v>
      </x:c>
      <x:c r="Q3921" s="30"/>
      <x:c r="R3921" s="30" t="str">
        <x:v>Kriterii_OB11_07112025_.pdf, критерий задания 21</x:v>
      </x:c>
      <x:c r="S3921" s="30"/>
      <x:c r="T3921" s="30"/>
      <x:c r="U3921" s="30" t="str">
        <x:v>Расхождений не обнаружено.</x:v>
      </x:c>
      <x:c r="V3921" s="87" t="str">
        <x:v>VERIFIED</x:v>
      </x:c>
      <x:c r="W3921" s="87" t="str">
        <x:v>Zadanie_OB11_07112025_.pdf, вариантная стр. 13</x:v>
      </x:c>
      <x:c r="X3921" s="87"/>
      <x:c r="Y3921" s="87"/>
      <x:c r="Z3921" s="87"/>
      <x:c r="AA3921" s="87"/>
      <x:c r="AB3921" s="87"/>
      <x:c r="AC3921" s="87" t="str">
        <x:v>VIS-SOC-NOV-004</x:v>
      </x:c>
      <x:c r="AD3921" s="87"/>
      <x:c r="AE3921" s="87"/>
      <x:c r="AF3921" s="87" t="str">
        <x:v>VIS-SOC-NOV-004: 28</x:v>
      </x:c>
      <x:c r="AG3921" s="87" t="str">
        <x:v>RESOLVED</x:v>
      </x:c>
      <x:c r="AH3921" s="87" t="str">
        <x:v>CROP_VERIFIED; TASK_CROP_QA_APPROVED:MANUAL_BBOX</x:v>
      </x:c>
      <x:c r="AI3921" s="30"/>
      <x:c r="AJ3921" s="87" t="str">
        <x:v>master</x:v>
      </x:c>
      <x:c r="AK3921" s="87" t="str">
        <x:v>master-v0.81</x:v>
      </x:c>
      <x:c r="AL3921" s="87" t="str">
        <x:v>statgrad_master_base_v0_81_final(2).xlsx</x:v>
      </x:c>
      <x:c r="AM3921" s="87" t="str">
        <x:v>SOC_Nov_V3</x:v>
      </x:c>
      <x:c r="AN3921" s="87" t="n">
        <x:v>22</x:v>
      </x:c>
    </x:row>
    <x:row r="3922">
      <x:c r="A3922" s="87" t="n">
        <x:v>3921</x:v>
      </x:c>
      <x:c r="B3922" s="87" t="str">
        <x:v>NOV-SOC-V3-022</x:v>
      </x:c>
      <x:c r="C3922" s="87" t="str">
        <x:v>СтатГрад</x:v>
      </x:c>
      <x:c r="D3922" s="87" t="str">
        <x:v>Ноябрь 2025</x:v>
      </x:c>
      <x:c r="E3922" s="87"/>
      <x:c r="F3922" s="87"/>
      <x:c r="G3922" s="87" t="str">
        <x:v>Обществознание</x:v>
      </x:c>
      <x:c r="H3922" s="87" t="n">
        <x:v>11</x:v>
      </x:c>
      <x:c r="I3922" s="87" t="str">
        <x:v>ТР №2</x:v>
      </x:c>
      <x:c r="J3922" s="87" t="str">
        <x:v>ОБ2510203</x:v>
      </x:c>
      <x:c r="K3922" s="87" t="n">
        <x:v>22</x:v>
      </x:c>
      <x:c r="L3922" s="87" t="str">
        <x:v>Прикладная обществоведческая задача</x:v>
      </x:c>
      <x:c r="M3922" s="30" t="str">
        <x:v>В соответствии с законодательством государства Z после смерти правителя
     полномочия и функции главы государства передаются его старшему ребенку.
     Глава государства занимает посты главы правительства, верховного
     главнокомандующего и председателя высшей судебной палаты, представляет
     Z в международных отношениях. Он также назначает тридцать
     из шестидесяти членов законодательного собрания, остальных раз в четыре
     года избирают граждане, достигшие восемнадцатилетия.
     Какая форма правления существует в государстве Z? Какие признаки
     в соответствии с заданием характерны для данной формы правления?
     (Укажите любые два признака.) Почему, исходя из описанной ситуации,
     государство Z нельзя считать правовым? Какая информация Вам необходима
     для того, чтобы установить, какая избирательная система – мажоритарная
     или пропорциональная, используется при выборах нижней палаты
     законодательного собрания? (Сформулируйте два вопроса, необходимых
     для получения этой информации.)</x:v>
      </x:c>
      <x:c r="N3922" s="30" t="str">
        <x:v>Правильный ответ должен содержать следующие элементы:
     1) ответ на первый вопрос: монархическая;
     (Ответ на вопрос 1 засчитывается только при наличии
     правильного однозначного указания формы правления. Если
     в ответе указано несколько форм правления, то он
     не засчитывается.)
     2) ответ на второй вопрос, например:
     – наследственное правление / передача власти по наследству;
     – пожизненное правление;
     – сосредоточение полноты или ряда функций высшей власти
     в руках одного человека / единоличное правление;
     (Признаки могут быть названы в других формулировках.
     Ответ на второй вопрос засчитывается только при указании
     двух или более признаков в соответствии с заданием
     при отсутствии неверных позиций.)
     3) ответ на третий вопрос: потому что в Z не существует
     разделения властей;
     (Ответ, который представляет собой цитирование условия
     задачи, не засчитывается.)
     4) ответ на четвёртый вопрос, например:
     – сколько избирательных округов действует в стране
     при проведении избирательной кампании?
     – какая информация включена в избирательный бюллетень: список
     партий или фамилии кандидатов?
     (Вопросы могут быть даны в других корректных формулировках.
     Могут быть сформулированы другие вопросы.
     Ответ на четвёртый вопрос засчитывается только при наличии
     двух или более сформулированных вопросов, ответы на которые
     позволяют установить избирательную систему, при отсутствии
     неверных позиций.)
     Ответы на вопросы могут быть даны в других формулировках,
     не искажающих смысла соответствующих элементов ответа</x:v>
      </x:c>
      <x:c r="O3922" s="30" t="str">
        <x:v>Модель закрывает все элементы официального критерия; максимальный балл — 4.</x:v>
      </x:c>
      <x:c r="P3922" s="30" t="str">
        <x:v>Условие, число требуемых элементов и модель ответа повторно сверены с детализированным критерием.</x:v>
      </x:c>
      <x:c r="Q3922" s="30"/>
      <x:c r="R3922" s="30" t="str">
        <x:v>Kriterii_OB11_07112025_.pdf, критерий задания 22</x:v>
      </x:c>
      <x:c r="S3922" s="30"/>
      <x:c r="T3922" s="30"/>
      <x:c r="U3922" s="30" t="str">
        <x:v>Расхождений не обнаружено.</x:v>
      </x:c>
      <x:c r="V3922" s="87" t="str">
        <x:v>VERIFIED</x:v>
      </x:c>
      <x:c r="W3922" s="87" t="str">
        <x:v>Zadanie_OB11_07112025_.pdf, вариантная стр. 13</x:v>
      </x:c>
      <x:c r="X3922" s="87"/>
      <x:c r="Y3922" s="87"/>
      <x:c r="Z3922" s="87"/>
      <x:c r="AA3922" s="87"/>
      <x:c r="AB3922" s="87"/>
      <x:c r="AC3922" s="87"/>
      <x:c r="AD3922" s="87"/>
      <x:c r="AE3922" s="87"/>
      <x:c r="AF3922" s="87"/>
      <x:c r="AG3922" s="87"/>
      <x:c r="AH3922" s="87"/>
      <x:c r="AI3922" s="30"/>
      <x:c r="AJ3922" s="87" t="str">
        <x:v>master</x:v>
      </x:c>
      <x:c r="AK3922" s="87" t="str">
        <x:v>master-v0.81</x:v>
      </x:c>
      <x:c r="AL3922" s="87" t="str">
        <x:v>statgrad_master_base_v0_81_final(2).xlsx</x:v>
      </x:c>
      <x:c r="AM3922" s="87" t="str">
        <x:v>SOC_Nov_V3</x:v>
      </x:c>
      <x:c r="AN3922" s="87" t="n">
        <x:v>23</x:v>
      </x:c>
    </x:row>
    <x:row r="3923">
      <x:c r="A3923" s="87" t="n">
        <x:v>3922</x:v>
      </x:c>
      <x:c r="B3923" s="87" t="str">
        <x:v>NOV-SOC-V3-023</x:v>
      </x:c>
      <x:c r="C3923" s="87" t="str">
        <x:v>СтатГрад</x:v>
      </x:c>
      <x:c r="D3923" s="87" t="str">
        <x:v>Ноябрь 2025</x:v>
      </x:c>
      <x:c r="E3923" s="87"/>
      <x:c r="F3923" s="87"/>
      <x:c r="G3923" s="87" t="str">
        <x:v>Обществознание</x:v>
      </x:c>
      <x:c r="H3923" s="87" t="n">
        <x:v>11</x:v>
      </x:c>
      <x:c r="I3923" s="87" t="str">
        <x:v>ТР №2</x:v>
      </x:c>
      <x:c r="J3923" s="87" t="str">
        <x:v>ОБ2510203</x:v>
      </x:c>
      <x:c r="K3923" s="87" t="n">
        <x:v>23</x:v>
      </x:c>
      <x:c r="L3923" s="87" t="str">
        <x:v>Конституция Российской Федерации</x:v>
      </x:c>
      <x:c r="M3923" s="30" t="str">
        <x:v>Конституция Российской Федерации закрепляет основы конституционного
     строя, права и свободы граждан. На основе положений Конституции
     Российской Федерации подтвердите тремя положениями гарантии:
     1) равенства граждан перед законом; 2) права на свободу и личную
     неприкосновенность;     3)    неприкосновенности  жилища.     (Каждое
     подтверждение должно быть сформулировано как распространённое
     предложение с опорой на конкретное положение Конституции Российской
     Федерации.
     Обратите внимание на то, что правильное выполнение задания не требует
     указания в ответе номеров соответствующих статей Конституции РФ
     и дословного воспроизведения их содержания.)
     Представьте, что Вам необходимо подготовить доклад по определённой
     теме. Выполните задания 24 и 25.
     Вам необходимо подготовить доклад                    по     теме    «Законодательство
     об административных правонарушениях».</x:v>
      </x:c>
      <x:c r="N3923" s="30" t="str">
        <x:v>Могут быть приведены такие подтверждения:
     1) гарантии равенства граждан перед законом, например:
     запрещаются любые формы ограничения прав граждан
     по признакам социальной, расовой, национальной, языковой
     или религиозной принадлежности;
     2) гарантии права на свободу и личную неприкосновенность,
     например: никто не должен подвергаться пыткам, насилию,
     другому жестокому или унижающему человеческое достоинство
     обращению или наказанию;
     3) гарантии неприкосновенности жилища, например: никто
     не вправе проникать в жилище против воли проживающих в нём
     лиц иначе как в случаях, установленных федеральным законом,
     или на основании судебного решения.
     Могут быть приведены другие подтверждения в соответствии
     с требованием задания.
     Засчитываются только подтверждения, сформулированные как
     распространённые предложения (отдельные слова и слово-
     сочетания не засчитываются в качестве подтверждений) с опорой
     на конкретное положение Конституции Российской Федерации.
     Не требуется указания в ответе номеров соответствующих ста-
     тей Конституции и дословного воспроизведения их содержания!</x:v>
      </x:c>
      <x:c r="O3923" s="30" t="str">
        <x:v>Модель закрывает все элементы официального критерия; максимальный балл — 3.</x:v>
      </x:c>
      <x:c r="P3923" s="30" t="str">
        <x:v>Условие, число требуемых элементов и модель ответа повторно сверены с детализированным критерием.</x:v>
      </x:c>
      <x:c r="Q3923" s="30"/>
      <x:c r="R3923" s="30" t="str">
        <x:v>Kriterii_OB11_07112025_.pdf, критерий задания 23</x:v>
      </x:c>
      <x:c r="S3923" s="30"/>
      <x:c r="T3923" s="30"/>
      <x:c r="U3923" s="30" t="str">
        <x:v>Расхождений не обнаружено.</x:v>
      </x:c>
      <x:c r="V3923" s="87" t="str">
        <x:v>VERIFIED</x:v>
      </x:c>
      <x:c r="W3923" s="87" t="str">
        <x:v>Zadanie_OB11_07112025_.pdf, вариантная стр. 13</x:v>
      </x:c>
      <x:c r="X3923" s="87"/>
      <x:c r="Y3923" s="87"/>
      <x:c r="Z3923" s="87"/>
      <x:c r="AA3923" s="87"/>
      <x:c r="AB3923" s="87"/>
      <x:c r="AC3923" s="87"/>
      <x:c r="AD3923" s="87"/>
      <x:c r="AE3923" s="87"/>
      <x:c r="AF3923" s="87"/>
      <x:c r="AG3923" s="87"/>
      <x:c r="AH3923" s="87"/>
      <x:c r="AI3923" s="30"/>
      <x:c r="AJ3923" s="87" t="str">
        <x:v>master</x:v>
      </x:c>
      <x:c r="AK3923" s="87" t="str">
        <x:v>master-v0.81</x:v>
      </x:c>
      <x:c r="AL3923" s="87" t="str">
        <x:v>statgrad_master_base_v0_81_final(2).xlsx</x:v>
      </x:c>
      <x:c r="AM3923" s="87" t="str">
        <x:v>SOC_Nov_V3</x:v>
      </x:c>
      <x:c r="AN3923" s="87" t="n">
        <x:v>24</x:v>
      </x:c>
    </x:row>
    <x:row r="3924">
      <x:c r="A3924" s="87" t="n">
        <x:v>3923</x:v>
      </x:c>
      <x:c r="B3924" s="87" t="str">
        <x:v>NOV-SOC-V3-024</x:v>
      </x:c>
      <x:c r="C3924" s="87" t="str">
        <x:v>СтатГрад</x:v>
      </x:c>
      <x:c r="D3924" s="87" t="str">
        <x:v>Ноябрь 2025</x:v>
      </x:c>
      <x:c r="E3924" s="87"/>
      <x:c r="F3924" s="87"/>
      <x:c r="G3924" s="87" t="str">
        <x:v>Обществознание</x:v>
      </x:c>
      <x:c r="H3924" s="87" t="n">
        <x:v>11</x:v>
      </x:c>
      <x:c r="I3924" s="87" t="str">
        <x:v>ТР №2</x:v>
      </x:c>
      <x:c r="J3924" s="87" t="str">
        <x:v>ОБ2510203</x:v>
      </x:c>
      <x:c r="K3924" s="87" t="n">
        <x:v>24</x:v>
      </x:c>
      <x:c r="L3924" s="87" t="str">
        <x:v>Сложный план</x:v>
      </x:c>
      <x:c r="M3924" s="30" t="str">
        <x:v>Используя обществоведческие знания, составьте сложный план,
     позволяющий     раскрыть      по   существу     тему   «Законодательство
     об административных правонарушениях».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возможны
     только два подпункта.)</x:v>
      </x:c>
      <x:c r="N3924" s="30" t="str">
        <x:v>Один из вариантов плана раскрытия данной темы
1. Основные задачи законодательства об административных
правонарушениях:
   а) защита личности, охрана прав и свобод человека
     и гражданина;
   б) охрана здоровья граждан, санитарно-эпидемиологического
     благополучия населения, охрана окружающей среды;
   в) защита общественной нравственности;
   г) защита порядка осуществления государственной власти,
     общественного порядка и общественной безопасности.
2. Признаки административного правонарушения (проступка):
   а) противоправность / нарушение норм, установленных
     Кодексом об административных правонарушениях;
   б) виновность (умысел или неосторожность);
   в) действие или бездействие, несущее общественную
     опасность, причиняющее вред.
3. Субъекты, подлежащие административной ответственности:
   а) физические лица, достигшие к моменту совершения
     административного правонарушения 16 лет;
   б) должностные лица;
   в) иностранные граждане, лица без гражданства;
   г) юридические лица.
4. Виды административных наказаний:
   а) предупреждение;
   б) административный штраф;
   в) конфискация     орудия    совершения     или    предмета
     административного правонарушения;
   г) административный арест;
   д) административное выдворение за пределы Российской
     Федерации     иностранного     гражданина     или    лица
     без гражданства и др.
5. Особенности административной ответственности несовершен-
нолетних:
   а) ответственность за административное правонарушение,
     совершённое несовершеннолетними в возрасте от 14 до 16
     лет, несут родители;
   б) основные виды наказаний: предупреждение и администра-
     тивный штраф;
   в) лица в возрасте от 16 до 18 лет могут быть освобождены
     от административной ответственности с применением мер
     воспитательного воздействия.
Возможны другое количество и (или) иные корректные
формулировки пунктов и подпунктов плана. Они могут быть
представлены в назывной, вопросной или смешанной формах.
Наличие любых трёх из пунктов плана из № 1, 2, 3, 4, 5 в данной
или близкой по смыслу формулировке позволит раскрыть
содержание этой темы по существу</x:v>
      </x:c>
      <x:c r="O3924" s="30" t="str">
        <x:v>Модель закрывает все элементы официального критерия; максимальный балл — 4.</x:v>
      </x:c>
      <x:c r="P3924" s="30" t="str">
        <x:v>Условие, число требуемых элементов и модель ответа повторно сверены с детализированным критерием.</x:v>
      </x:c>
      <x:c r="Q3924" s="30"/>
      <x:c r="R3924" s="30" t="str">
        <x:v>Kriterii_OB11_07112025_.pdf, критерий задания 24</x:v>
      </x:c>
      <x:c r="S3924" s="30"/>
      <x:c r="T3924" s="30"/>
      <x:c r="U3924" s="30" t="str">
        <x:v>Расхождений не обнаружено.</x:v>
      </x:c>
      <x:c r="V3924" s="87" t="str">
        <x:v>VERIFIED</x:v>
      </x:c>
      <x:c r="W3924" s="87" t="str">
        <x:v>Zadanie_OB11_07112025_.pdf, вариантная стр. 14</x:v>
      </x:c>
      <x:c r="X3924" s="87"/>
      <x:c r="Y3924" s="87"/>
      <x:c r="Z3924" s="87"/>
      <x:c r="AA3924" s="87"/>
      <x:c r="AB3924" s="87"/>
      <x:c r="AC3924" s="87"/>
      <x:c r="AD3924" s="87"/>
      <x:c r="AE3924" s="87"/>
      <x:c r="AF3924" s="87"/>
      <x:c r="AG3924" s="87"/>
      <x:c r="AH3924" s="87"/>
      <x:c r="AI3924" s="30"/>
      <x:c r="AJ3924" s="87" t="str">
        <x:v>master</x:v>
      </x:c>
      <x:c r="AK3924" s="87" t="str">
        <x:v>master-v0.81</x:v>
      </x:c>
      <x:c r="AL3924" s="87" t="str">
        <x:v>statgrad_master_base_v0_81_final(2).xlsx</x:v>
      </x:c>
      <x:c r="AM3924" s="87" t="str">
        <x:v>SOC_Nov_V3</x:v>
      </x:c>
      <x:c r="AN3924" s="87" t="n">
        <x:v>25</x:v>
      </x:c>
    </x:row>
    <x:row r="3925">
      <x:c r="A3925" s="87" t="n">
        <x:v>3924</x:v>
      </x:c>
      <x:c r="B3925" s="87" t="str">
        <x:v>NOV-SOC-V3-025</x:v>
      </x:c>
      <x:c r="C3925" s="87" t="str">
        <x:v>СтатГрад</x:v>
      </x:c>
      <x:c r="D3925" s="87" t="str">
        <x:v>Ноябрь 2025</x:v>
      </x:c>
      <x:c r="E3925" s="87"/>
      <x:c r="F3925" s="87"/>
      <x:c r="G3925" s="87" t="str">
        <x:v>Обществознание</x:v>
      </x:c>
      <x:c r="H3925" s="87" t="n">
        <x:v>11</x:v>
      </x:c>
      <x:c r="I3925" s="87" t="str">
        <x:v>ТР №2</x:v>
      </x:c>
      <x:c r="J3925" s="87" t="str">
        <x:v>ОБ2510203</x:v>
      </x:c>
      <x:c r="K3925" s="87" t="n">
        <x:v>25</x:v>
      </x:c>
      <x:c r="L3925" s="87" t="str">
        <x:v>Задание высокого уровня</x:v>
      </x:c>
      <x:c r="M3925" s="30" t="str">
        <x:v>Используя обществоведческие знания, факты общественной жизни и личный
     социальный опыт, выполните задания, ответьте на вопрос.
     1) Обоснуйте необходимость защиты прав и свобод граждан.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Какие государственные организации выполняют функции защиты прав
     и свобод граждан в Российской Федерации? (Назовите любые три
     государственных организации.)
     3) Приведите по одному примеру, иллюстрирующему деятельность
     по защите прав и свобод граждан каждой из названных в пункте 2)
     государственных    организаций. (Каждый        пример   должен   быть
     сформулирован развёрнуто.)</x:v>
      </x:c>
      <x:c r="N3925" s="30" t="str">
        <x:v>1) Защита прав и свобод необходима, потому что они обеспечивают достоинство и автономию личности, ограничивают произвол публичной власти и создают условия для участия граждан в общественной и политической жизни. Гарантированная государством защита укрепляет законность и доверие к институтам правового государства.
2) Суды Российской Федерации; прокуратура Российской Федерации; Уполномоченный по правам человека в Российской Федерации.
3) Суд восстановил на работе гражданина, незаконно уволенного работодателем. Прокуратура внесла представление органу власти, который нарушил право граждан на своевременное рассмотрение обращений. Уполномоченный по правам человека направил запрос и добился восстановления права содержащегося под стражей гражданина на медицинскую помощь.</x:v>
      </x:c>
      <x:c r="O3925" s="30" t="str">
        <x:v>Модель закрывает все элементы официального критерия; максимальный балл — 6.</x:v>
      </x:c>
      <x:c r="P3925" s="30" t="str">
        <x:v>Условие, число требуемых элементов и модель ответа повторно сверены с детализированным критерием.</x:v>
      </x:c>
      <x:c r="Q3925" s="30"/>
      <x:c r="R3925" s="30" t="str">
        <x:v>Kriterii_OB11_07112025_.pdf, критерий задания 25</x:v>
      </x:c>
      <x:c r="S3925" s="30"/>
      <x:c r="T3925" s="30"/>
      <x:c r="U3925" s="30" t="str">
        <x:v>Расхождений не обнаружено.</x:v>
      </x:c>
      <x:c r="V3925" s="87" t="str">
        <x:v>VERIFIED</x:v>
      </x:c>
      <x:c r="W3925" s="87" t="str">
        <x:v>Zadanie_OB11_07112025_.pdf, вариантная стр. 14</x:v>
      </x:c>
      <x:c r="X3925" s="87"/>
      <x:c r="Y3925" s="87"/>
      <x:c r="Z3925" s="87"/>
      <x:c r="AA3925" s="87"/>
      <x:c r="AB3925" s="87"/>
      <x:c r="AC3925" s="87"/>
      <x:c r="AD3925" s="87"/>
      <x:c r="AE3925" s="87"/>
      <x:c r="AF3925" s="87"/>
      <x:c r="AG3925" s="87"/>
      <x:c r="AH3925" s="87"/>
      <x:c r="AI3925" s="30"/>
      <x:c r="AJ3925" s="87" t="str">
        <x:v>master</x:v>
      </x:c>
      <x:c r="AK3925" s="87" t="str">
        <x:v>master-v0.81</x:v>
      </x:c>
      <x:c r="AL3925" s="87" t="str">
        <x:v>statgrad_master_base_v0_81_final(2).xlsx</x:v>
      </x:c>
      <x:c r="AM3925" s="87" t="str">
        <x:v>SOC_Nov_V3</x:v>
      </x:c>
      <x:c r="AN3925" s="87" t="n">
        <x:v>26</x:v>
      </x:c>
    </x:row>
    <x:row r="3926">
      <x:c r="A3926" s="87" t="n">
        <x:v>3925</x:v>
      </x:c>
      <x:c r="B3926" s="87" t="str">
        <x:v>NOV-SOC-V4-001</x:v>
      </x:c>
      <x:c r="C3926" s="87" t="str">
        <x:v>СтатГрад</x:v>
      </x:c>
      <x:c r="D3926" s="87" t="str">
        <x:v>Ноябрь 2025</x:v>
      </x:c>
      <x:c r="E3926" s="87"/>
      <x:c r="F3926" s="87"/>
      <x:c r="G3926" s="87" t="str">
        <x:v>Обществознание</x:v>
      </x:c>
      <x:c r="H3926" s="87" t="n">
        <x:v>11</x:v>
      </x:c>
      <x:c r="I3926" s="87" t="str">
        <x:v>ТР №2</x:v>
      </x:c>
      <x:c r="J3926" s="87" t="str">
        <x:v>ОБ2510204</x:v>
      </x:c>
      <x:c r="K3926" s="87" t="n">
        <x:v>1</x:v>
      </x:c>
      <x:c r="L3926" s="87" t="str">
        <x:v>Права и обязанности налогоплательщика</x:v>
      </x:c>
      <x:c r="M3926" s="30" t="str">
        <x:v>Ниже приведён перечень действий. Все они, за исключением двух, относятся
    к обязанностям налогоплательщика, предусмотренным законодательством
    о налогах и сборах в Российской Федерации.
    1) присутствовать при проведении выездной налоговой проверки; 2) платить
    законно установленные налоги; 3) получать отсрочку, рассрочку или
    инвестиционный налоговый кредит; 4) в течение пяти лет обеспечивать
    сохранность данных бухгалтерского и налогового учёта и других документов;
    5) вести в установленном порядке учёт своих доходов (расходов); 6) встать
    на учёт в налоговых органах.
    Найдите два действия, «выпадающие» из общего ряда, и запишите в таблицу
    цифры, под которыми они указаны.</x:v>
      </x:c>
      <x:c r="N3926" s="30" t="str">
        <x:v>13</x:v>
      </x:c>
      <x:c r="O3926" s="30" t="str">
        <x:v>Официальный ответ 13; подтверждён совпадением с идентичным заданием базового варианта ОБ2510202 и таблицей ответов смешанного варианта.</x:v>
      </x:c>
      <x:c r="P3926" s="30" t="str">
        <x:v>Текст задания сопоставлен с ОБ2510202; ответ полностью совпадает.</x:v>
      </x:c>
      <x:c r="Q3926" s="30"/>
      <x:c r="R3926" s="30" t="str">
        <x:v>Официальная таблица ответов + перекрёстная проверка смешанного варианта</x:v>
      </x:c>
      <x:c r="S3926" s="30"/>
      <x:c r="T3926" s="30"/>
      <x:c r="U3926" s="30" t="str">
        <x:v>Расхождений не обнаружено.</x:v>
      </x:c>
      <x:c r="V3926" s="87" t="str">
        <x:v>VERIFIED</x:v>
      </x:c>
      <x:c r="W3926" s="87" t="str">
        <x:v>Zadanie_OB11_07112025_.pdf, вариантная стр. 2</x:v>
      </x:c>
      <x:c r="X3926" s="87"/>
      <x:c r="Y3926" s="87"/>
      <x:c r="Z3926" s="87"/>
      <x:c r="AA3926" s="87"/>
      <x:c r="AB3926" s="87"/>
      <x:c r="AC3926" s="87"/>
      <x:c r="AD3926" s="87"/>
      <x:c r="AE3926" s="87"/>
      <x:c r="AF3926" s="87"/>
      <x:c r="AG3926" s="87"/>
      <x:c r="AH3926" s="87"/>
      <x:c r="AI3926" s="30"/>
      <x:c r="AJ3926" s="87" t="str">
        <x:v>master</x:v>
      </x:c>
      <x:c r="AK3926" s="87" t="str">
        <x:v>master-v0.81</x:v>
      </x:c>
      <x:c r="AL3926" s="87" t="str">
        <x:v>statgrad_master_base_v0_81_final(2).xlsx</x:v>
      </x:c>
      <x:c r="AM3926" s="87" t="str">
        <x:v>SOC_Nov_V4</x:v>
      </x:c>
      <x:c r="AN3926" s="87" t="n">
        <x:v>2</x:v>
      </x:c>
    </x:row>
    <x:row r="3927">
      <x:c r="A3927" s="87" t="n">
        <x:v>3926</x:v>
      </x:c>
      <x:c r="B3927" s="87" t="str">
        <x:v>NOV-SOC-V4-002</x:v>
      </x:c>
      <x:c r="C3927" s="87" t="str">
        <x:v>СтатГрад</x:v>
      </x:c>
      <x:c r="D3927" s="87" t="str">
        <x:v>Ноябрь 2025</x:v>
      </x:c>
      <x:c r="E3927" s="87"/>
      <x:c r="F3927" s="87"/>
      <x:c r="G3927" s="87" t="str">
        <x:v>Обществознание</x:v>
      </x:c>
      <x:c r="H3927" s="87" t="n">
        <x:v>11</x:v>
      </x:c>
      <x:c r="I3927" s="87" t="str">
        <x:v>ТР №2</x:v>
      </x:c>
      <x:c r="J3927" s="87" t="str">
        <x:v>ОБ2510204</x:v>
      </x:c>
      <x:c r="K3927" s="87" t="n">
        <x:v>2</x:v>
      </x:c>
      <x:c r="L3927" s="87" t="str">
        <x:v>Традиционные духовные ценности</x:v>
      </x:c>
      <x:c r="M3927" s="30" t="str">
        <x:v>Выберите верные суждения о традиционных духовных ценностях
    российского общества и запишите цифры, под которыми они указаны.
    1) Российская Федерация рассматривает традиционные ценности как основу
       российского общества, которая обеспечивает единство нашей
       многонациональной и многоконфессиональной страны.
    2) Христианство, ислам, буддизм, иудаизм влияли на формирование
       ценностей их приверженцев, не затрагивая ценности российского
       общества в целом.
    3) Осмысление социальных, культурных, технологических процессов
       и явлений с опорой на традиционные ценности помогает народу России
       сохранять общероссийскую гражданскую идентичность.
    4) Традиционные духовные ценности не могут стать объектом научного
       изучения.
    5) К традиционным ценностям относятся высокие нравственные
       идеалы, крепкая семья, созидательный труд, приоритет духовного
       над материальным.</x:v>
      </x:c>
      <x:c r="N3927" s="30" t="str">
        <x:v>135</x:v>
      </x:c>
      <x:c r="O3927" s="30" t="str">
        <x:v>Официальный ответ 135; подтверждён совпадением с идентичным заданием базового варианта ОБ2510201 и таблицей ответов смешанного варианта.</x:v>
      </x:c>
      <x:c r="P3927" s="30" t="str">
        <x:v>Текст задания сопоставлен с ОБ2510201; ответ полностью совпадает.</x:v>
      </x:c>
      <x:c r="Q3927" s="30"/>
      <x:c r="R3927" s="30" t="str">
        <x:v>Официальная таблица ответов + перекрёстная проверка смешанного варианта</x:v>
      </x:c>
      <x:c r="S3927" s="30"/>
      <x:c r="T3927" s="30"/>
      <x:c r="U3927" s="30" t="str">
        <x:v>Расхождений не обнаружено.</x:v>
      </x:c>
      <x:c r="V3927" s="87" t="str">
        <x:v>VERIFIED</x:v>
      </x:c>
      <x:c r="W3927" s="87" t="str">
        <x:v>Zadanie_OB11_07112025_.pdf, вариантная стр. 2</x:v>
      </x:c>
      <x:c r="X3927" s="87"/>
      <x:c r="Y3927" s="87"/>
      <x:c r="Z3927" s="87"/>
      <x:c r="AA3927" s="87"/>
      <x:c r="AB3927" s="87"/>
      <x:c r="AC3927" s="87"/>
      <x:c r="AD3927" s="87"/>
      <x:c r="AE3927" s="87"/>
      <x:c r="AF3927" s="87"/>
      <x:c r="AG3927" s="87"/>
      <x:c r="AH3927" s="87"/>
      <x:c r="AI3927" s="30"/>
      <x:c r="AJ3927" s="87" t="str">
        <x:v>master</x:v>
      </x:c>
      <x:c r="AK3927" s="87" t="str">
        <x:v>master-v0.81</x:v>
      </x:c>
      <x:c r="AL3927" s="87" t="str">
        <x:v>statgrad_master_base_v0_81_final(2).xlsx</x:v>
      </x:c>
      <x:c r="AM3927" s="87" t="str">
        <x:v>SOC_Nov_V4</x:v>
      </x:c>
      <x:c r="AN3927" s="87" t="n">
        <x:v>3</x:v>
      </x:c>
    </x:row>
    <x:row r="3928">
      <x:c r="A3928" s="87" t="n">
        <x:v>3927</x:v>
      </x:c>
      <x:c r="B3928" s="87" t="str">
        <x:v>NOV-SOC-V4-003</x:v>
      </x:c>
      <x:c r="C3928" s="87" t="str">
        <x:v>СтатГрад</x:v>
      </x:c>
      <x:c r="D3928" s="87" t="str">
        <x:v>Ноябрь 2025</x:v>
      </x:c>
      <x:c r="E3928" s="87"/>
      <x:c r="F3928" s="87"/>
      <x:c r="G3928" s="87" t="str">
        <x:v>Обществознание</x:v>
      </x:c>
      <x:c r="H3928" s="87" t="n">
        <x:v>11</x:v>
      </x:c>
      <x:c r="I3928" s="87" t="str">
        <x:v>ТР №2</x:v>
      </x:c>
      <x:c r="J3928" s="87" t="str">
        <x:v>ОБ2510204</x:v>
      </x:c>
      <x:c r="K3928" s="87" t="n">
        <x:v>3</x:v>
      </x:c>
      <x:c r="L3928" s="87" t="str">
        <x:v>Социальные институты</x:v>
      </x:c>
      <x:c r="M3928" s="30" t="str">
        <x:v>Установите соответствие между потребностями общества и социальными
    институтами, с помощью которых они удовлетворяются: к каждой позиции,
    данной в первом столбце, подберите соответствующую позицию из второго
    столбца.
             ПОТРЕБНОСТЬ ОБЩЕСТВА                                СОЦИАЛЬНЫЕ
                                                                  ИНСТИТУТЫ
    А) в материальных благах                              1) политические институты
    Б) в установлении правопорядка                        2) экономические институты
    В) в средствах существования                          3) и экономические,
    Г) в общественной безопасности                           и политические институты
    Д) в регулировании социальных
       взаимодействий
    Запишите в таблицу выбранные цифры под соответствующими буквами.
               А Б В Г Д</x:v>
      </x:c>
      <x:c r="N3928" s="30" t="str">
        <x:v>21213</x:v>
      </x:c>
      <x:c r="O3928" s="30" t="str">
        <x:v>Официальный ответ 21213; подтверждён совпадением с идентичным заданием базового варианта ОБ2510202 и таблицей ответов смешанного варианта.</x:v>
      </x:c>
      <x:c r="P3928" s="30" t="str">
        <x:v>Текст задания сопоставлен с ОБ2510202; ответ полностью совпадает.</x:v>
      </x:c>
      <x:c r="Q3928" s="30"/>
      <x:c r="R3928" s="30" t="str">
        <x:v>Официальная таблица ответов + перекрёстная проверка смешанного варианта</x:v>
      </x:c>
      <x:c r="S3928" s="30"/>
      <x:c r="T3928" s="30"/>
      <x:c r="U3928" s="30" t="str">
        <x:v>Расхождений не обнаружено.</x:v>
      </x:c>
      <x:c r="V3928" s="87" t="str">
        <x:v>VERIFIED</x:v>
      </x:c>
      <x:c r="W3928" s="87" t="str">
        <x:v>Zadanie_OB11_07112025_.pdf, вариантная стр. 3</x:v>
      </x:c>
      <x:c r="X3928" s="87"/>
      <x:c r="Y3928" s="87"/>
      <x:c r="Z3928" s="87"/>
      <x:c r="AA3928" s="87"/>
      <x:c r="AB3928" s="87"/>
      <x:c r="AC3928" s="87"/>
      <x:c r="AD3928" s="87"/>
      <x:c r="AE3928" s="87"/>
      <x:c r="AF3928" s="87"/>
      <x:c r="AG3928" s="87"/>
      <x:c r="AH3928" s="87"/>
      <x:c r="AI3928" s="30"/>
      <x:c r="AJ3928" s="87" t="str">
        <x:v>master</x:v>
      </x:c>
      <x:c r="AK3928" s="87" t="str">
        <x:v>master-v0.81</x:v>
      </x:c>
      <x:c r="AL3928" s="87" t="str">
        <x:v>statgrad_master_base_v0_81_final(2).xlsx</x:v>
      </x:c>
      <x:c r="AM3928" s="87" t="str">
        <x:v>SOC_Nov_V4</x:v>
      </x:c>
      <x:c r="AN3928" s="87" t="n">
        <x:v>4</x:v>
      </x:c>
    </x:row>
    <x:row r="3929">
      <x:c r="A3929" s="87" t="n">
        <x:v>3928</x:v>
      </x:c>
      <x:c r="B3929" s="87" t="str">
        <x:v>NOV-SOC-V4-004</x:v>
      </x:c>
      <x:c r="C3929" s="87" t="str">
        <x:v>СтатГрад</x:v>
      </x:c>
      <x:c r="D3929" s="87" t="str">
        <x:v>Ноябрь 2025</x:v>
      </x:c>
      <x:c r="E3929" s="87"/>
      <x:c r="F3929" s="87"/>
      <x:c r="G3929" s="87" t="str">
        <x:v>Обществознание</x:v>
      </x:c>
      <x:c r="H3929" s="87" t="n">
        <x:v>11</x:v>
      </x:c>
      <x:c r="I3929" s="87" t="str">
        <x:v>ТР №2</x:v>
      </x:c>
      <x:c r="J3929" s="87" t="str">
        <x:v>ОБ2510204</x:v>
      </x:c>
      <x:c r="K3929" s="87" t="n">
        <x:v>4</x:v>
      </x:c>
      <x:c r="L3929" s="87" t="str">
        <x:v>Тенденции современного образования</x:v>
      </x:c>
      <x:c r="M3929" s="30" t="str">
        <x:v>На уроке одиннадцатиклассники обсуждали особенности образования
    в современном мире. Найдите в приведённом списке отличительные
    признаки, характеризующие образование в современном мире, и запишите
    цифры, под которыми они указаны.
    1) выполняет функцию социализации
    2) включает информационные технологии в образовательный процесс
    3) имеет непрерывный характер, не прекращается на протяжении жизни
       человека
    4) осуществляет подготовку к жизни и труду
    5) является одним из каналов социальной мобильности
    6) реагирует на индивидуальные запросы обучающихся, воплощает принцип
       гуманизации</x:v>
      </x:c>
      <x:c r="N3929" s="30" t="str">
        <x:v>236</x:v>
      </x:c>
      <x:c r="O3929" s="30" t="str">
        <x:v>Официальный ответ 236; подтверждён совпадением с идентичным заданием базового варианта ОБ2510201 и таблицей ответов смешанного варианта.</x:v>
      </x:c>
      <x:c r="P3929" s="30" t="str">
        <x:v>Текст задания сопоставлен с ОБ2510201; ответ полностью совпадает.</x:v>
      </x:c>
      <x:c r="Q3929" s="30"/>
      <x:c r="R3929" s="30" t="str">
        <x:v>Официальная таблица ответов + перекрёстная проверка смешанного варианта</x:v>
      </x:c>
      <x:c r="S3929" s="30"/>
      <x:c r="T3929" s="30"/>
      <x:c r="U3929" s="30" t="str">
        <x:v>Расхождений не обнаружено.</x:v>
      </x:c>
      <x:c r="V3929" s="87" t="str">
        <x:v>VERIFIED</x:v>
      </x:c>
      <x:c r="W3929" s="87" t="str">
        <x:v>Zadanie_OB11_07112025_.pdf, вариантная стр. 3</x:v>
      </x:c>
      <x:c r="X3929" s="87"/>
      <x:c r="Y3929" s="87"/>
      <x:c r="Z3929" s="87"/>
      <x:c r="AA3929" s="87"/>
      <x:c r="AB3929" s="87"/>
      <x:c r="AC3929" s="87"/>
      <x:c r="AD3929" s="87"/>
      <x:c r="AE3929" s="87"/>
      <x:c r="AF3929" s="87"/>
      <x:c r="AG3929" s="87"/>
      <x:c r="AH3929" s="87"/>
      <x:c r="AI3929" s="30"/>
      <x:c r="AJ3929" s="87" t="str">
        <x:v>master</x:v>
      </x:c>
      <x:c r="AK3929" s="87" t="str">
        <x:v>master-v0.81</x:v>
      </x:c>
      <x:c r="AL3929" s="87" t="str">
        <x:v>statgrad_master_base_v0_81_final(2).xlsx</x:v>
      </x:c>
      <x:c r="AM3929" s="87" t="str">
        <x:v>SOC_Nov_V4</x:v>
      </x:c>
      <x:c r="AN3929" s="87" t="n">
        <x:v>5</x:v>
      </x:c>
    </x:row>
    <x:row r="3930">
      <x:c r="A3930" s="87" t="n">
        <x:v>3929</x:v>
      </x:c>
      <x:c r="B3930" s="87" t="str">
        <x:v>NOV-SOC-V4-005</x:v>
      </x:c>
      <x:c r="C3930" s="87" t="str">
        <x:v>СтатГрад</x:v>
      </x:c>
      <x:c r="D3930" s="87" t="str">
        <x:v>Ноябрь 2025</x:v>
      </x:c>
      <x:c r="E3930" s="87"/>
      <x:c r="F3930" s="87"/>
      <x:c r="G3930" s="87" t="str">
        <x:v>Обществознание</x:v>
      </x:c>
      <x:c r="H3930" s="87" t="n">
        <x:v>11</x:v>
      </x:c>
      <x:c r="I3930" s="87" t="str">
        <x:v>ТР №2</x:v>
      </x:c>
      <x:c r="J3930" s="87" t="str">
        <x:v>ОБ2510204</x:v>
      </x:c>
      <x:c r="K3930" s="87" t="n">
        <x:v>5</x:v>
      </x:c>
      <x:c r="L3930" s="87" t="str">
        <x:v>Занятость и безработица</x:v>
      </x:c>
      <x:c r="M3930" s="30" t="str">
        <x:v>Выберите верные суждения о занятости и безработице и запишите цифры,
    под которыми они указаны.
    1) Занятость – это количество рабочих мест, которые экономическая сфера
       предоставляет трудоспособному населению.
    2) И занятые, и безработные граждане составляют экономически активное
       население.
    3) В периоды спада экономики количество безработных сокращается.
    4) Безработица, причиной которой является совершенствование технологий,
       называется циклической.
    5) Перемена места жительства, поиск более выгодных условий труда
       приводят к фрикционной безработице.</x:v>
      </x:c>
      <x:c r="N3930" s="30" t="str">
        <x:v>25</x:v>
      </x:c>
      <x:c r="O3930" s="30" t="str">
        <x:v>Официальный ответ 25; подтверждён совпадением с идентичным заданием базового варианта ОБ2510202 и таблицей ответов смешанного варианта.</x:v>
      </x:c>
      <x:c r="P3930" s="30" t="str">
        <x:v>Текст задания сопоставлен с ОБ2510202; ответ полностью совпадает.</x:v>
      </x:c>
      <x:c r="Q3930" s="30"/>
      <x:c r="R3930" s="30" t="str">
        <x:v>Официальная таблица ответов + перекрёстная проверка смешанного варианта</x:v>
      </x:c>
      <x:c r="S3930" s="30"/>
      <x:c r="T3930" s="30"/>
      <x:c r="U3930" s="30" t="str">
        <x:v>Расхождений не обнаружено.</x:v>
      </x:c>
      <x:c r="V3930" s="87" t="str">
        <x:v>VERIFIED</x:v>
      </x:c>
      <x:c r="W3930" s="87" t="str">
        <x:v>Zadanie_OB11_07112025_.pdf, вариантная стр. 4</x:v>
      </x:c>
      <x:c r="X3930" s="87"/>
      <x:c r="Y3930" s="87"/>
      <x:c r="Z3930" s="87"/>
      <x:c r="AA3930" s="87"/>
      <x:c r="AB3930" s="87"/>
      <x:c r="AC3930" s="87"/>
      <x:c r="AD3930" s="87"/>
      <x:c r="AE3930" s="87"/>
      <x:c r="AF3930" s="87"/>
      <x:c r="AG3930" s="87"/>
      <x:c r="AH3930" s="87"/>
      <x:c r="AI3930" s="30"/>
      <x:c r="AJ3930" s="87" t="str">
        <x:v>master</x:v>
      </x:c>
      <x:c r="AK3930" s="87" t="str">
        <x:v>master-v0.81</x:v>
      </x:c>
      <x:c r="AL3930" s="87" t="str">
        <x:v>statgrad_master_base_v0_81_final(2).xlsx</x:v>
      </x:c>
      <x:c r="AM3930" s="87" t="str">
        <x:v>SOC_Nov_V4</x:v>
      </x:c>
      <x:c r="AN3930" s="87" t="n">
        <x:v>6</x:v>
      </x:c>
    </x:row>
    <x:row r="3931">
      <x:c r="A3931" s="87" t="n">
        <x:v>3930</x:v>
      </x:c>
      <x:c r="B3931" s="87" t="str">
        <x:v>NOV-SOC-V4-006</x:v>
      </x:c>
      <x:c r="C3931" s="87" t="str">
        <x:v>СтатГрад</x:v>
      </x:c>
      <x:c r="D3931" s="87" t="str">
        <x:v>Ноябрь 2025</x:v>
      </x:c>
      <x:c r="E3931" s="87"/>
      <x:c r="F3931" s="87"/>
      <x:c r="G3931" s="87" t="str">
        <x:v>Обществознание</x:v>
      </x:c>
      <x:c r="H3931" s="87" t="n">
        <x:v>11</x:v>
      </x:c>
      <x:c r="I3931" s="87" t="str">
        <x:v>ТР №2</x:v>
      </x:c>
      <x:c r="J3931" s="87" t="str">
        <x:v>ОБ2510204</x:v>
      </x:c>
      <x:c r="K3931" s="87" t="n">
        <x:v>6</x:v>
      </x:c>
      <x:c r="L3931" s="87" t="str">
        <x:v>Системы налогообложения</x:v>
      </x:c>
      <x:c r="M3931" s="30" t="str">
        <x:v>Установите соответствие между примерами / ситуациями и видами систем
    налогообложения: к каждой позиции, данной в первом столбце, подберите
    соответствующую позицию из второго столбца.
               ПРИМЕР / СИТУАЦИЯ                                ВИД СИСТЕМЫ
                                                             НАЛОГООБЛОЖЕНИЯ
    А) После значительного повышения                      1) прогрессивная
       заработной платы сумма денег,                      2) пропорциональная
       уплачиваемых Петровым в качестве                   3) и прогрессивная,
       налога, выросла.                                      и пропорциональная
    Б) Рост индивидуальных доходов Кузнецова
       повлиял на изменение ставки их
       налогообложения.
    В) В стране Z действует единая ставка
       налогообложения для всех плательщиков
       налога.
    Г) Гражданин Сидоров платит 13 % налога
       с части годового дохода до 5 млн руб.
       и 15 % с остальной суммы.
    Д) Рост доходов налогоплательщиков
       привёл к увеличению получаемых
       государством средств.
    Запишите в таблицу выбранные цифры под соответствующими буквами.
               А Б В Г Д</x:v>
      </x:c>
      <x:c r="N3931" s="30" t="str">
        <x:v>31213</x:v>
      </x:c>
      <x:c r="O3931" s="30" t="str">
        <x:v>Официальный ответ 31213; подтверждён совпадением с идентичным заданием базового варианта ОБ2510201 и таблицей ответов смешанного варианта.</x:v>
      </x:c>
      <x:c r="P3931" s="30" t="str">
        <x:v>Текст задания сопоставлен с ОБ2510201; ответ полностью совпадает.</x:v>
      </x:c>
      <x:c r="Q3931" s="30"/>
      <x:c r="R3931" s="30" t="str">
        <x:v>Официальная таблица ответов + перекрёстная проверка смешанного варианта</x:v>
      </x:c>
      <x:c r="S3931" s="30"/>
      <x:c r="T3931" s="30"/>
      <x:c r="U3931" s="30" t="str">
        <x:v>Расхождений не обнаружено.</x:v>
      </x:c>
      <x:c r="V3931" s="87" t="str">
        <x:v>VERIFIED</x:v>
      </x:c>
      <x:c r="W3931" s="87" t="str">
        <x:v>Zadanie_OB11_07112025_.pdf, вариантная стр. 4</x:v>
      </x:c>
      <x:c r="X3931" s="87"/>
      <x:c r="Y3931" s="87"/>
      <x:c r="Z3931" s="87"/>
      <x:c r="AA3931" s="87"/>
      <x:c r="AB3931" s="87"/>
      <x:c r="AC3931" s="87"/>
      <x:c r="AD3931" s="87"/>
      <x:c r="AE3931" s="87"/>
      <x:c r="AF3931" s="87"/>
      <x:c r="AG3931" s="87"/>
      <x:c r="AH3931" s="87"/>
      <x:c r="AI3931" s="30"/>
      <x:c r="AJ3931" s="87" t="str">
        <x:v>master</x:v>
      </x:c>
      <x:c r="AK3931" s="87" t="str">
        <x:v>master-v0.81</x:v>
      </x:c>
      <x:c r="AL3931" s="87" t="str">
        <x:v>statgrad_master_base_v0_81_final(2).xlsx</x:v>
      </x:c>
      <x:c r="AM3931" s="87" t="str">
        <x:v>SOC_Nov_V4</x:v>
      </x:c>
      <x:c r="AN3931" s="87" t="n">
        <x:v>7</x:v>
      </x:c>
    </x:row>
    <x:row r="3932">
      <x:c r="A3932" s="87" t="n">
        <x:v>3931</x:v>
      </x:c>
      <x:c r="B3932" s="87" t="str">
        <x:v>NOV-SOC-V4-007</x:v>
      </x:c>
      <x:c r="C3932" s="87" t="str">
        <x:v>СтатГрад</x:v>
      </x:c>
      <x:c r="D3932" s="87" t="str">
        <x:v>Ноябрь 2025</x:v>
      </x:c>
      <x:c r="E3932" s="87"/>
      <x:c r="F3932" s="87"/>
      <x:c r="G3932" s="87" t="str">
        <x:v>Обществознание</x:v>
      </x:c>
      <x:c r="H3932" s="87" t="n">
        <x:v>11</x:v>
      </x:c>
      <x:c r="I3932" s="87" t="str">
        <x:v>ТР №2</x:v>
      </x:c>
      <x:c r="J3932" s="87" t="str">
        <x:v>ОБ2510204</x:v>
      </x:c>
      <x:c r="K3932" s="87" t="n">
        <x:v>7</x:v>
      </x:c>
      <x:c r="L3932" s="87" t="str">
        <x:v>Местные налоги и сборы</x:v>
      </x:c>
      <x:c r="M3932" s="30" t="str">
        <x:v>Гражданин Ломов проживает в областном центре, владеет квартирой,
    автомобилем и участком земли с дачей на берегу озера в пригороде.
    Выращенные на даче цветы Ломов продаёт на рынке. Найдите
    в приведённом списке местные налоги и сборы, которые он должен платить.
    Запишите цифры, под которыми они указаны.
    1) земельный налог
    2) транспортный налог
    3) налог на имущество физического лица
    4) торговый сбор
    5) водный налог
    6) налог на доходы физического лица</x:v>
      </x:c>
      <x:c r="N3932" s="30" t="str">
        <x:v>134</x:v>
      </x:c>
      <x:c r="O3932" s="30" t="str">
        <x:v>Официальный ответ 134; подтверждён совпадением с идентичным заданием базового варианта ОБ2510202 и таблицей ответов смешанного варианта.</x:v>
      </x:c>
      <x:c r="P3932" s="30" t="str">
        <x:v>Текст задания сопоставлен с ОБ2510202; ответ полностью совпадает.</x:v>
      </x:c>
      <x:c r="Q3932" s="30"/>
      <x:c r="R3932" s="30" t="str">
        <x:v>Официальная таблица ответов + перекрёстная проверка смешанного варианта</x:v>
      </x:c>
      <x:c r="S3932" s="30"/>
      <x:c r="T3932" s="30"/>
      <x:c r="U3932" s="30" t="str">
        <x:v>Расхождений не обнаружено.</x:v>
      </x:c>
      <x:c r="V3932" s="87" t="str">
        <x:v>VERIFIED</x:v>
      </x:c>
      <x:c r="W3932" s="87" t="str">
        <x:v>Zadanie_OB11_07112025_.pdf, вариантная стр. 5</x:v>
      </x:c>
      <x:c r="X3932" s="87"/>
      <x:c r="Y3932" s="87"/>
      <x:c r="Z3932" s="87"/>
      <x:c r="AA3932" s="87"/>
      <x:c r="AB3932" s="87"/>
      <x:c r="AC3932" s="87"/>
      <x:c r="AD3932" s="87"/>
      <x:c r="AE3932" s="87"/>
      <x:c r="AF3932" s="87"/>
      <x:c r="AG3932" s="87"/>
      <x:c r="AH3932" s="87"/>
      <x:c r="AI3932" s="30"/>
      <x:c r="AJ3932" s="87" t="str">
        <x:v>master</x:v>
      </x:c>
      <x:c r="AK3932" s="87" t="str">
        <x:v>master-v0.81</x:v>
      </x:c>
      <x:c r="AL3932" s="87" t="str">
        <x:v>statgrad_master_base_v0_81_final(2).xlsx</x:v>
      </x:c>
      <x:c r="AM3932" s="87" t="str">
        <x:v>SOC_Nov_V4</x:v>
      </x:c>
      <x:c r="AN3932" s="87" t="n">
        <x:v>8</x:v>
      </x:c>
    </x:row>
    <x:row r="3933">
      <x:c r="A3933" s="87" t="n">
        <x:v>3932</x:v>
      </x:c>
      <x:c r="B3933" s="87" t="str">
        <x:v>NOV-SOC-V4-008</x:v>
      </x:c>
      <x:c r="C3933" s="87" t="str">
        <x:v>СтатГрад</x:v>
      </x:c>
      <x:c r="D3933" s="87" t="str">
        <x:v>Ноябрь 2025</x:v>
      </x:c>
      <x:c r="E3933" s="87"/>
      <x:c r="F3933" s="87"/>
      <x:c r="G3933" s="87" t="str">
        <x:v>Обществознание</x:v>
      </x:c>
      <x:c r="H3933" s="87" t="n">
        <x:v>11</x:v>
      </x:c>
      <x:c r="I3933" s="87" t="str">
        <x:v>ТР №2</x:v>
      </x:c>
      <x:c r="J3933" s="87" t="str">
        <x:v>ОБ2510204</x:v>
      </x:c>
      <x:c r="K3933" s="87" t="n">
        <x:v>8</x:v>
      </x:c>
      <x:c r="L3933" s="87" t="str">
        <x:v>Социальные группы</x:v>
      </x:c>
      <x:c r="M3933" s="30" t="str">
        <x:v>Выберите верные суждения о социальных группах и их видах и запишите
    цифры, под которыми они указаны.
    1) В социальной группе формируются статусно-ролевая структура
       и определённые нормы поведения.
    2) В современном обществе человек не может быть членом множества
       социальных групп одновременно.
    3) В основе характеристики городских и сельских социальных групп лежит
       показатель уровня доходов.
    4) По способу регулирования взаимодействия участников выделяют
       формальные и неформальные группы.
    5) Маргинальные группы занимают неустойчивое, промежуточное,
       пограничное положение в сложившейся социальной структуре общества.</x:v>
      </x:c>
      <x:c r="N3933" s="30" t="str">
        <x:v>145</x:v>
      </x:c>
      <x:c r="O3933" s="30" t="str">
        <x:v>Официальный ответ 145; подтверждён совпадением с идентичным заданием базового варианта ОБ2510201 и таблицей ответов смешанного варианта.</x:v>
      </x:c>
      <x:c r="P3933" s="30" t="str">
        <x:v>Текст задания сопоставлен с ОБ2510201; ответ полностью совпадает.</x:v>
      </x:c>
      <x:c r="Q3933" s="30"/>
      <x:c r="R3933" s="30" t="str">
        <x:v>Официальная таблица ответов + перекрёстная проверка смешанного варианта</x:v>
      </x:c>
      <x:c r="S3933" s="30"/>
      <x:c r="T3933" s="30"/>
      <x:c r="U3933" s="30" t="str">
        <x:v>Расхождений не обнаружено.</x:v>
      </x:c>
      <x:c r="V3933" s="87" t="str">
        <x:v>VERIFIED</x:v>
      </x:c>
      <x:c r="W3933" s="87" t="str">
        <x:v>Zadanie_OB11_07112025_.pdf, вариантная стр. 5</x:v>
      </x:c>
      <x:c r="X3933" s="87"/>
      <x:c r="Y3933" s="87"/>
      <x:c r="Z3933" s="87"/>
      <x:c r="AA3933" s="87"/>
      <x:c r="AB3933" s="87"/>
      <x:c r="AC3933" s="87"/>
      <x:c r="AD3933" s="87"/>
      <x:c r="AE3933" s="87"/>
      <x:c r="AF3933" s="87"/>
      <x:c r="AG3933" s="87"/>
      <x:c r="AH3933" s="87"/>
      <x:c r="AI3933" s="30"/>
      <x:c r="AJ3933" s="87" t="str">
        <x:v>master</x:v>
      </x:c>
      <x:c r="AK3933" s="87" t="str">
        <x:v>master-v0.81</x:v>
      </x:c>
      <x:c r="AL3933" s="87" t="str">
        <x:v>statgrad_master_base_v0_81_final(2).xlsx</x:v>
      </x:c>
      <x:c r="AM3933" s="87" t="str">
        <x:v>SOC_Nov_V4</x:v>
      </x:c>
      <x:c r="AN3933" s="87" t="n">
        <x:v>9</x:v>
      </x:c>
    </x:row>
    <x:row r="3934">
      <x:c r="A3934" s="87" t="n">
        <x:v>3933</x:v>
      </x:c>
      <x:c r="B3934" s="87" t="str">
        <x:v>NOV-SOC-V4-009</x:v>
      </x:c>
      <x:c r="C3934" s="87" t="str">
        <x:v>СтатГрад</x:v>
      </x:c>
      <x:c r="D3934" s="87" t="str">
        <x:v>Ноябрь 2025</x:v>
      </x:c>
      <x:c r="E3934" s="87"/>
      <x:c r="F3934" s="87"/>
      <x:c r="G3934" s="87" t="str">
        <x:v>Обществознание</x:v>
      </x:c>
      <x:c r="H3934" s="87" t="n">
        <x:v>11</x:v>
      </x:c>
      <x:c r="I3934" s="87" t="str">
        <x:v>ТР №2</x:v>
      </x:c>
      <x:c r="J3934" s="87" t="str">
        <x:v>ОБ2510204</x:v>
      </x:c>
      <x:c r="K3934" s="87" t="n">
        <x:v>9</x:v>
      </x:c>
      <x:c r="L3934" s="87" t="str">
        <x:v>Социологическая диаграмма</x:v>
      </x:c>
      <x:c r="M3934" s="30" t="str">
        <x:v>В ходе социологического исследования совершеннолетним гражданам был
    задан вопрос: «Как Вы думаете, у кого больше шансов добиться успеха
    в бизнесе – у мужчин или женщин?» Результаты опросов (в % от числа
    отвечавших) приведены на диаграмме.
    Найдите в приведённом списке выводы, которые можно сделать на основе
    диаграммы, и запишите цифры, под которыми они указаны.
    1) Свыше половины опрошенных в обеих группах указали, что у мужчин
       и женщин одинаковые шансы на успех.
    2) Совпадают доли опрошенных мужчин и женщин, которые затруднились
       ответить.
    3) Доля опрошенных мужчин, которые указали, что у мужчин больше
       шансов, чем у женщин, составляет примерно четверть от числа
       опрошенных мужчин.
    4) Доля женщин, которые указали, что больше шансов добиться успеха
       в бизнесе у мужчин, примерно в 6 раз превышает долю женщин, которые
       высказали противоположное мнение.
    5) Доля опрошенных женщин, которые указали, что больше шансов
       добиться успеха в бизнесе у мужчин, составляет менее половины доли
       опрошенных мужчин, которые указали, что шансы добиться успеха
       в бизнесе примерно одинаковые у мужчин и женщин.</x:v>
      </x:c>
      <x:c r="N3934" s="30" t="str">
        <x:v>145</x:v>
      </x:c>
      <x:c r="O3934" s="30" t="str">
        <x:v>Официальный ответ 145; подтверждён совпадением с идентичным заданием базового варианта ОБ2510202 и таблицей ответов смешанного варианта.</x:v>
      </x:c>
      <x:c r="P3934" s="30" t="str">
        <x:v>Текст задания сопоставлен с ОБ2510202; ответ полностью совпадает.</x:v>
      </x:c>
      <x:c r="Q3934" s="30"/>
      <x:c r="R3934" s="30" t="str">
        <x:v>Официальная таблица ответов + перекрёстная проверка смешанного варианта</x:v>
      </x:c>
      <x:c r="S3934" s="30"/>
      <x:c r="T3934" s="30"/>
      <x:c r="U3934" s="30" t="str">
        <x:v>Расхождений не обнаружено.</x:v>
      </x:c>
      <x:c r="V3934" s="87" t="str">
        <x:v>VERIFIED</x:v>
      </x:c>
      <x:c r="W3934" s="87" t="str">
        <x:v>Zadanie_OB11_07112025_.pdf, вариантная стр. 6</x:v>
      </x:c>
      <x:c r="X3934" s="87"/>
      <x:c r="Y3934" s="87"/>
      <x:c r="Z3934" s="87"/>
      <x:c r="AA3934" s="87"/>
      <x:c r="AB3934" s="87"/>
      <x:c r="AC3934" s="87" t="str">
        <x:v>VIS-SOC-NOV-002</x:v>
      </x:c>
      <x:c r="AD3934" s="87"/>
      <x:c r="AE3934" s="87"/>
      <x:c r="AF3934" s="87" t="str">
        <x:v>VIS-SOC-NOV-002: 21</x:v>
      </x:c>
      <x:c r="AG3934" s="87" t="str">
        <x:v>RESOLVED</x:v>
      </x:c>
      <x:c r="AH3934" s="87" t="str">
        <x:v>CROP_VERIFIED; TASK_CROP_QA_APPROVED:MANUAL_BBOX</x:v>
      </x:c>
      <x:c r="AI3934" s="30"/>
      <x:c r="AJ3934" s="87" t="str">
        <x:v>master</x:v>
      </x:c>
      <x:c r="AK3934" s="87" t="str">
        <x:v>master-v0.81</x:v>
      </x:c>
      <x:c r="AL3934" s="87" t="str">
        <x:v>statgrad_master_base_v0_81_final(2).xlsx</x:v>
      </x:c>
      <x:c r="AM3934" s="87" t="str">
        <x:v>SOC_Nov_V4</x:v>
      </x:c>
      <x:c r="AN3934" s="87" t="n">
        <x:v>10</x:v>
      </x:c>
    </x:row>
    <x:row r="3935">
      <x:c r="A3935" s="87" t="n">
        <x:v>3934</x:v>
      </x:c>
      <x:c r="B3935" s="87" t="str">
        <x:v>NOV-SOC-V4-010</x:v>
      </x:c>
      <x:c r="C3935" s="87" t="str">
        <x:v>СтатГрад</x:v>
      </x:c>
      <x:c r="D3935" s="87" t="str">
        <x:v>Ноябрь 2025</x:v>
      </x:c>
      <x:c r="E3935" s="87"/>
      <x:c r="F3935" s="87"/>
      <x:c r="G3935" s="87" t="str">
        <x:v>Обществознание</x:v>
      </x:c>
      <x:c r="H3935" s="87" t="n">
        <x:v>11</x:v>
      </x:c>
      <x:c r="I3935" s="87" t="str">
        <x:v>ТР №2</x:v>
      </x:c>
      <x:c r="J3935" s="87" t="str">
        <x:v>ОБ2510204</x:v>
      </x:c>
      <x:c r="K3935" s="87" t="n">
        <x:v>10</x:v>
      </x:c>
      <x:c r="L3935" s="87" t="str">
        <x:v>Политические партии</x:v>
      </x:c>
      <x:c r="M3935" s="30" t="str">
        <x:v>Выберите верные суждения о политических партиях и запишите цифры,
     под которыми они указаны.
     1) Политические партии – это субъекты политики, которые принимают
        стратегически важные решения в сфере общественного развития.
     2) Политическая партия является видом общественной организации
        как организационно-правовой формы юридических лиц.
     3) Политические партии участвуют в формировании общественного мнения
        по социально-политическим и другим вопросам общественной жизни,
        в политическом образовании и воспитании граждан.
     4) К кадровым относят политические партии, насчитывающие значительное
        число членов, которые поддерживают партию взносами, участвуют
        в выборах партийного руководства на местном и региональном уровнях,
        проявляют постоянную политическую активность.
     5) Политические     партии    наряду    с    государством    составляют
        институциональную подсистему политической системы общества.</x:v>
      </x:c>
      <x:c r="N3935" s="30" t="str">
        <x:v>235</x:v>
      </x:c>
      <x:c r="O3935" s="30" t="str">
        <x:v>Официальный ответ 235; подтверждён совпадением с идентичным заданием базового варианта ОБ2510201 и таблицей ответов смешанного варианта.</x:v>
      </x:c>
      <x:c r="P3935" s="30" t="str">
        <x:v>Текст задания сопоставлен с ОБ2510201; ответ полностью совпадает.</x:v>
      </x:c>
      <x:c r="Q3935" s="30"/>
      <x:c r="R3935" s="30" t="str">
        <x:v>Официальная таблица ответов + перекрёстная проверка смешанного варианта</x:v>
      </x:c>
      <x:c r="S3935" s="30"/>
      <x:c r="T3935" s="30"/>
      <x:c r="U3935" s="30" t="str">
        <x:v>Расхождений не обнаружено.</x:v>
      </x:c>
      <x:c r="V3935" s="87" t="str">
        <x:v>VERIFIED</x:v>
      </x:c>
      <x:c r="W3935" s="87" t="str">
        <x:v>Zadanie_OB11_07112025_.pdf, вариантная стр. 7</x:v>
      </x:c>
      <x:c r="X3935" s="87"/>
      <x:c r="Y3935" s="87"/>
      <x:c r="Z3935" s="87"/>
      <x:c r="AA3935" s="87"/>
      <x:c r="AB3935" s="87"/>
      <x:c r="AC3935" s="87"/>
      <x:c r="AD3935" s="87"/>
      <x:c r="AE3935" s="87"/>
      <x:c r="AF3935" s="87"/>
      <x:c r="AG3935" s="87"/>
      <x:c r="AH3935" s="87"/>
      <x:c r="AI3935" s="30"/>
      <x:c r="AJ3935" s="87" t="str">
        <x:v>master</x:v>
      </x:c>
      <x:c r="AK3935" s="87" t="str">
        <x:v>master-v0.81</x:v>
      </x:c>
      <x:c r="AL3935" s="87" t="str">
        <x:v>statgrad_master_base_v0_81_final(2).xlsx</x:v>
      </x:c>
      <x:c r="AM3935" s="87" t="str">
        <x:v>SOC_Nov_V4</x:v>
      </x:c>
      <x:c r="AN3935" s="87" t="n">
        <x:v>11</x:v>
      </x:c>
    </x:row>
    <x:row r="3936">
      <x:c r="A3936" s="87" t="n">
        <x:v>3935</x:v>
      </x:c>
      <x:c r="B3936" s="87" t="str">
        <x:v>NOV-SOC-V4-011</x:v>
      </x:c>
      <x:c r="C3936" s="87" t="str">
        <x:v>СтатГрад</x:v>
      </x:c>
      <x:c r="D3936" s="87" t="str">
        <x:v>Ноябрь 2025</x:v>
      </x:c>
      <x:c r="E3936" s="87"/>
      <x:c r="F3936" s="87"/>
      <x:c r="G3936" s="87" t="str">
        <x:v>Обществознание</x:v>
      </x:c>
      <x:c r="H3936" s="87" t="n">
        <x:v>11</x:v>
      </x:c>
      <x:c r="I3936" s="87" t="str">
        <x:v>ТР №2</x:v>
      </x:c>
      <x:c r="J3936" s="87" t="str">
        <x:v>ОБ2510204</x:v>
      </x:c>
      <x:c r="K3936" s="87" t="n">
        <x:v>11</x:v>
      </x:c>
      <x:c r="L3936" s="87" t="str">
        <x:v>Демократический политический режим</x:v>
      </x:c>
      <x:c r="M3936" s="30" t="str">
        <x:v>В государстве Z в соответствии с конституцией регулярно проходят
     всеобщие, равные и прямые выборы региональных и центральных органов
     государственной власти. Конституция государства гарантирует права
     и свободы граждан. В Z действует несколько политических партий,
     конкурирующих в борьбе за политическое влияние. Какие из перечисленных
     ниже характеристик соответствуют форме государства, описанной в данном
     примере? Запишите цифры, под которыми указаны верные характеристики.
     1) республика
     2) тоталитарное правление
     3) демократический политический режим
     4) федерация
     5) авторитаризм
     6) многопартийность</x:v>
      </x:c>
      <x:c r="N3936" s="30" t="str">
        <x:v>134</x:v>
      </x:c>
      <x:c r="O3936" s="30" t="str">
        <x:v>Официальный ответ 134; подтверждён совпадением с идентичным заданием базового варианта ОБ2510202 и таблицей ответов смешанного варианта.</x:v>
      </x:c>
      <x:c r="P3936" s="30" t="str">
        <x:v>Текст задания сопоставлен с ОБ2510202; ответ полностью совпадает.</x:v>
      </x:c>
      <x:c r="Q3936" s="30"/>
      <x:c r="R3936" s="30" t="str">
        <x:v>Официальная таблица ответов + перекрёстная проверка смешанного варианта</x:v>
      </x:c>
      <x:c r="S3936" s="30"/>
      <x:c r="T3936" s="30"/>
      <x:c r="U3936" s="30" t="str">
        <x:v>Расхождений не обнаружено.</x:v>
      </x:c>
      <x:c r="V3936" s="87" t="str">
        <x:v>VERIFIED</x:v>
      </x:c>
      <x:c r="W3936" s="87" t="str">
        <x:v>Zadanie_OB11_07112025_.pdf, вариантная стр. 7</x:v>
      </x:c>
      <x:c r="X3936" s="87"/>
      <x:c r="Y3936" s="87"/>
      <x:c r="Z3936" s="87"/>
      <x:c r="AA3936" s="87"/>
      <x:c r="AB3936" s="87"/>
      <x:c r="AC3936" s="87"/>
      <x:c r="AD3936" s="87"/>
      <x:c r="AE3936" s="87"/>
      <x:c r="AF3936" s="87"/>
      <x:c r="AG3936" s="87"/>
      <x:c r="AH3936" s="87"/>
      <x:c r="AI3936" s="30"/>
      <x:c r="AJ3936" s="87" t="str">
        <x:v>master</x:v>
      </x:c>
      <x:c r="AK3936" s="87" t="str">
        <x:v>master-v0.81</x:v>
      </x:c>
      <x:c r="AL3936" s="87" t="str">
        <x:v>statgrad_master_base_v0_81_final(2).xlsx</x:v>
      </x:c>
      <x:c r="AM3936" s="87" t="str">
        <x:v>SOC_Nov_V4</x:v>
      </x:c>
      <x:c r="AN3936" s="87" t="n">
        <x:v>12</x:v>
      </x:c>
    </x:row>
    <x:row r="3937">
      <x:c r="A3937" s="87" t="n">
        <x:v>3936</x:v>
      </x:c>
      <x:c r="B3937" s="87" t="str">
        <x:v>NOV-SOC-V4-012</x:v>
      </x:c>
      <x:c r="C3937" s="87" t="str">
        <x:v>СтатГрад</x:v>
      </x:c>
      <x:c r="D3937" s="87" t="str">
        <x:v>Ноябрь 2025</x:v>
      </x:c>
      <x:c r="E3937" s="87"/>
      <x:c r="F3937" s="87"/>
      <x:c r="G3937" s="87" t="str">
        <x:v>Обществознание</x:v>
      </x:c>
      <x:c r="H3937" s="87" t="n">
        <x:v>11</x:v>
      </x:c>
      <x:c r="I3937" s="87" t="str">
        <x:v>ТР №2</x:v>
      </x:c>
      <x:c r="J3937" s="87" t="str">
        <x:v>ОБ2510204</x:v>
      </x:c>
      <x:c r="K3937" s="87" t="n">
        <x:v>12</x:v>
      </x:c>
      <x:c r="L3937" s="87" t="str">
        <x:v>Основы конституционного строя РФ</x:v>
      </x:c>
      <x:c r="M3937" s="30" t="str">
        <x:v>Выберите в приведённом списке положения, характеризующие основы
     конституционного строя Российской Федерации. Запишите цифры,
     под которыми они указаны.
     1) В Российской Федерации развивается система социальных служб,
        устанавливаются государственные пенсии, пособия и иные гарантии
        социальной защиты.
     2) Конституция Российской Федерации и федеральные законы имеют
        верховенство на всей территории Российской Федерации.
     3) Трудоспособные дети, достигшие 18 лет, должны заботиться
        о нетрудоспособных родителях.
     4) Государственные пенсии и социальные пособия устанавливаются
        законом.
     5) Земля и другие природные ресурсы могут находиться в частной,
        государственной, муниципальной и иных формах собственности.</x:v>
      </x:c>
      <x:c r="N3937" s="30" t="str">
        <x:v>125</x:v>
      </x:c>
      <x:c r="O3937" s="30" t="str">
        <x:v>Официальный ответ 125; подтверждён совпадением с идентичным заданием базового варианта ОБ2510201 и таблицей ответов смешанного варианта.</x:v>
      </x:c>
      <x:c r="P3937" s="30" t="str">
        <x:v>Текст задания сопоставлен с ОБ2510201; ответ полностью совпадает.</x:v>
      </x:c>
      <x:c r="Q3937" s="30"/>
      <x:c r="R3937" s="30" t="str">
        <x:v>Официальная таблица ответов + перекрёстная проверка смешанного варианта</x:v>
      </x:c>
      <x:c r="S3937" s="30"/>
      <x:c r="T3937" s="30"/>
      <x:c r="U3937" s="30" t="str">
        <x:v>Расхождений не обнаружено.</x:v>
      </x:c>
      <x:c r="V3937" s="87" t="str">
        <x:v>VERIFIED</x:v>
      </x:c>
      <x:c r="W3937" s="87" t="str">
        <x:v>Zadanie_OB11_07112025_.pdf, вариантная стр. 8</x:v>
      </x:c>
      <x:c r="X3937" s="87"/>
      <x:c r="Y3937" s="87"/>
      <x:c r="Z3937" s="87"/>
      <x:c r="AA3937" s="87"/>
      <x:c r="AB3937" s="87"/>
      <x:c r="AC3937" s="87"/>
      <x:c r="AD3937" s="87"/>
      <x:c r="AE3937" s="87"/>
      <x:c r="AF3937" s="87"/>
      <x:c r="AG3937" s="87"/>
      <x:c r="AH3937" s="87"/>
      <x:c r="AI3937" s="30"/>
      <x:c r="AJ3937" s="87" t="str">
        <x:v>master</x:v>
      </x:c>
      <x:c r="AK3937" s="87" t="str">
        <x:v>master-v0.81</x:v>
      </x:c>
      <x:c r="AL3937" s="87" t="str">
        <x:v>statgrad_master_base_v0_81_final(2).xlsx</x:v>
      </x:c>
      <x:c r="AM3937" s="87" t="str">
        <x:v>SOC_Nov_V4</x:v>
      </x:c>
      <x:c r="AN3937" s="87" t="n">
        <x:v>13</x:v>
      </x:c>
    </x:row>
    <x:row r="3938">
      <x:c r="A3938" s="87" t="n">
        <x:v>3937</x:v>
      </x:c>
      <x:c r="B3938" s="87" t="str">
        <x:v>NOV-SOC-V4-013</x:v>
      </x:c>
      <x:c r="C3938" s="87" t="str">
        <x:v>СтатГрад</x:v>
      </x:c>
      <x:c r="D3938" s="87" t="str">
        <x:v>Ноябрь 2025</x:v>
      </x:c>
      <x:c r="E3938" s="87"/>
      <x:c r="F3938" s="87"/>
      <x:c r="G3938" s="87" t="str">
        <x:v>Обществознание</x:v>
      </x:c>
      <x:c r="H3938" s="87" t="n">
        <x:v>11</x:v>
      </x:c>
      <x:c r="I3938" s="87" t="str">
        <x:v>ТР №2</x:v>
      </x:c>
      <x:c r="J3938" s="87" t="str">
        <x:v>ОБ2510204</x:v>
      </x:c>
      <x:c r="K3938" s="87" t="n">
        <x:v>13</x:v>
      </x:c>
      <x:c r="L3938" s="87" t="str">
        <x:v>Разграничение полномочий РФ и субъектов РФ</x:v>
      </x:c>
      <x:c r="M3938" s="30" t="str">
        <x:v>Установите соответствие между функциями и субъектами государственной
     власти Российской Федерации, к ведению которых они относятся: к каждой
     позиции, данной в первом столбце, подберите соответствующую позицию
     из второго столбца.
                        ФУНКЦИЯ                                     СУБЪЕКТ
                                                              ГОСУДАРСТВЕННОЙ
                                                             ВЛАСТИ РОССИЙСКОЙ
                                                                  ФЕДЕРАЦИИ
     А) режим пограничных зон                              1) только федеральный центр
     Б) официальный статистический                         2) совместно федеральный
        и бухгалтерский учёт                                  центр и субъекты
     В) установление ограничений для                          Российской Федерации
        замещения государственных
        и муниципальных должностей
     Г) установление общих принципов
        налогообложения и сборов
        в Российской Федерации
     Д) определение статуса и защита
        государственной границы
     Запишите в таблицу выбранные цифры под соответствующими буквами.
                А Б В Г Д</x:v>
      </x:c>
      <x:c r="N3938" s="30" t="str">
        <x:v>21121</x:v>
      </x:c>
      <x:c r="O3938" s="30" t="str">
        <x:v>Официальный ответ 21121; подтверждён совпадением с идентичным заданием базового варианта ОБ2510202 и таблицей ответов смешанного варианта.</x:v>
      </x:c>
      <x:c r="P3938" s="30" t="str">
        <x:v>Текст задания сопоставлен с ОБ2510202; ответ полностью совпадает.</x:v>
      </x:c>
      <x:c r="Q3938" s="30"/>
      <x:c r="R3938" s="30" t="str">
        <x:v>Официальная таблица ответов + перекрёстная проверка смешанного варианта</x:v>
      </x:c>
      <x:c r="S3938" s="30"/>
      <x:c r="T3938" s="30"/>
      <x:c r="U3938" s="30" t="str">
        <x:v>Расхождений не обнаружено.</x:v>
      </x:c>
      <x:c r="V3938" s="87" t="str">
        <x:v>VERIFIED</x:v>
      </x:c>
      <x:c r="W3938" s="87" t="str">
        <x:v>Zadanie_OB11_07112025_.pdf, вариантная стр. 8</x:v>
      </x:c>
      <x:c r="X3938" s="87"/>
      <x:c r="Y3938" s="87"/>
      <x:c r="Z3938" s="87"/>
      <x:c r="AA3938" s="87"/>
      <x:c r="AB3938" s="87"/>
      <x:c r="AC3938" s="87"/>
      <x:c r="AD3938" s="87"/>
      <x:c r="AE3938" s="87"/>
      <x:c r="AF3938" s="87"/>
      <x:c r="AG3938" s="87"/>
      <x:c r="AH3938" s="87"/>
      <x:c r="AI3938" s="30"/>
      <x:c r="AJ3938" s="87" t="str">
        <x:v>master</x:v>
      </x:c>
      <x:c r="AK3938" s="87" t="str">
        <x:v>master-v0.81</x:v>
      </x:c>
      <x:c r="AL3938" s="87" t="str">
        <x:v>statgrad_master_base_v0_81_final(2).xlsx</x:v>
      </x:c>
      <x:c r="AM3938" s="87" t="str">
        <x:v>SOC_Nov_V4</x:v>
      </x:c>
      <x:c r="AN3938" s="87" t="n">
        <x:v>14</x:v>
      </x:c>
    </x:row>
    <x:row r="3939">
      <x:c r="A3939" s="87" t="n">
        <x:v>3938</x:v>
      </x:c>
      <x:c r="B3939" s="87" t="str">
        <x:v>NOV-SOC-V4-014</x:v>
      </x:c>
      <x:c r="C3939" s="87" t="str">
        <x:v>СтатГрад</x:v>
      </x:c>
      <x:c r="D3939" s="87" t="str">
        <x:v>Ноябрь 2025</x:v>
      </x:c>
      <x:c r="E3939" s="87"/>
      <x:c r="F3939" s="87"/>
      <x:c r="G3939" s="87" t="str">
        <x:v>Обществознание</x:v>
      </x:c>
      <x:c r="H3939" s="87" t="n">
        <x:v>11</x:v>
      </x:c>
      <x:c r="I3939" s="87" t="str">
        <x:v>ТР №2</x:v>
      </x:c>
      <x:c r="J3939" s="87" t="str">
        <x:v>ОБ2510204</x:v>
      </x:c>
      <x:c r="K3939" s="87" t="n">
        <x:v>14</x:v>
      </x:c>
      <x:c r="L3939" s="87" t="str">
        <x:v>Гражданская правоспособность и дееспособность</x:v>
      </x:c>
      <x:c r="M3939" s="30" t="str">
        <x:v>Выберите    верные   суждения     о  гражданской     правоспособности,
     дееспособности и эмансипации в соответствии с Гражданским кодексом
     Российской Федерации и запишите цифры, под которыми они указаны.
     1) Родители, усыновители и попечитель несут ответственность по сделкам
        и обязательствам эмансипированного несовершеннолетнего.
     2) Гражданская правоспособность признается в равной мере за всеми
        гражданами.
     3) Право самостоятельно распоряжаться своим заработком или стипендией
        возникает у лица, достигшего пятнадцатилетия.
     4) Гражданская дееспособность возникает в полном объеме по достижении
        восемнадцатилетнего возраста.
     5) Условиями для эмансипации являются работа по трудовому договору
        и осуществление предпринимательской деятельности (с согласия
        родителей, усыновителей или попечителя).</x:v>
      </x:c>
      <x:c r="N3939" s="30" t="str">
        <x:v>245</x:v>
      </x:c>
      <x:c r="O3939" s="30" t="str">
        <x:v>Официальный ответ 245; подтверждён совпадением с идентичным заданием базового варианта ОБ2510201 и таблицей ответов смешанного варианта.</x:v>
      </x:c>
      <x:c r="P3939" s="30" t="str">
        <x:v>Текст задания сопоставлен с ОБ2510201; ответ полностью совпадает.</x:v>
      </x:c>
      <x:c r="Q3939" s="30"/>
      <x:c r="R3939" s="30" t="str">
        <x:v>Официальная таблица ответов + перекрёстная проверка смешанного варианта</x:v>
      </x:c>
      <x:c r="S3939" s="30"/>
      <x:c r="T3939" s="30"/>
      <x:c r="U3939" s="30" t="str">
        <x:v>Расхождений не обнаружено.</x:v>
      </x:c>
      <x:c r="V3939" s="87" t="str">
        <x:v>VERIFIED</x:v>
      </x:c>
      <x:c r="W3939" s="87" t="str">
        <x:v>Zadanie_OB11_07112025_.pdf, вариантная стр. 9</x:v>
      </x:c>
      <x:c r="X3939" s="87"/>
      <x:c r="Y3939" s="87"/>
      <x:c r="Z3939" s="87"/>
      <x:c r="AA3939" s="87"/>
      <x:c r="AB3939" s="87"/>
      <x:c r="AC3939" s="87"/>
      <x:c r="AD3939" s="87"/>
      <x:c r="AE3939" s="87"/>
      <x:c r="AF3939" s="87"/>
      <x:c r="AG3939" s="87"/>
      <x:c r="AH3939" s="87"/>
      <x:c r="AI3939" s="30"/>
      <x:c r="AJ3939" s="87" t="str">
        <x:v>master</x:v>
      </x:c>
      <x:c r="AK3939" s="87" t="str">
        <x:v>master-v0.81</x:v>
      </x:c>
      <x:c r="AL3939" s="87" t="str">
        <x:v>statgrad_master_base_v0_81_final(2).xlsx</x:v>
      </x:c>
      <x:c r="AM3939" s="87" t="str">
        <x:v>SOC_Nov_V4</x:v>
      </x:c>
      <x:c r="AN3939" s="87" t="n">
        <x:v>15</x:v>
      </x:c>
    </x:row>
    <x:row r="3940">
      <x:c r="A3940" s="87" t="n">
        <x:v>3939</x:v>
      </x:c>
      <x:c r="B3940" s="87" t="str">
        <x:v>NOV-SOC-V4-015</x:v>
      </x:c>
      <x:c r="C3940" s="87" t="str">
        <x:v>СтатГрад</x:v>
      </x:c>
      <x:c r="D3940" s="87" t="str">
        <x:v>Ноябрь 2025</x:v>
      </x:c>
      <x:c r="E3940" s="87"/>
      <x:c r="F3940" s="87"/>
      <x:c r="G3940" s="87" t="str">
        <x:v>Обществознание</x:v>
      </x:c>
      <x:c r="H3940" s="87" t="n">
        <x:v>11</x:v>
      </x:c>
      <x:c r="I3940" s="87" t="str">
        <x:v>ТР №2</x:v>
      </x:c>
      <x:c r="J3940" s="87" t="str">
        <x:v>ОБ2510204</x:v>
      </x:c>
      <x:c r="K3940" s="87" t="n">
        <x:v>15</x:v>
      </x:c>
      <x:c r="L3940" s="87" t="str">
        <x:v>Виды юридической ответственности</x:v>
      </x:c>
      <x:c r="M3940" s="30" t="str">
        <x:v>Установите соответствие между фактами / особенностями и видами
     юридической ответственности: к каждой позиции, данной в первом столбце,
     подберите соответствующую позицию из второго столбца.
                ФАКТ / ОСОБЕННОСТЬ                            ВИД ЮРИДИЧЕСКОЙ
                                                              ОТВЕТСТВЕННОСТИ
     А) установление в законе обстоятельств,               1) административная
        смягчающих и отягчающих                            2) уголовная
        ответственность за совершение                      3) и административная,
        правонарушения                                        и уголовная
     Б) установление ответственности как
        физических, так и юридических лиц
     В) наличие такого наказания,
        как обязательные работы
     Г) наступление ответственности за ряд
        правонарушений по достижении
        четырнадцатилетия
     Д) наличие такого наказания,
        как предупреждение
     Запишите в таблицу выбранные цифры под соответствующими буквами.
                А Б В Г Д</x:v>
      </x:c>
      <x:c r="N3940" s="30" t="str">
        <x:v>31321</x:v>
      </x:c>
      <x:c r="O3940" s="30" t="str">
        <x:v>Официальный ответ 31321; подтверждён совпадением с идентичным заданием базового варианта ОБ2510202 и таблицей ответов смешанного варианта.</x:v>
      </x:c>
      <x:c r="P3940" s="30" t="str">
        <x:v>Текст задания сопоставлен с ОБ2510202; ответ полностью совпадает.</x:v>
      </x:c>
      <x:c r="Q3940" s="30"/>
      <x:c r="R3940" s="30" t="str">
        <x:v>Официальная таблица ответов + перекрёстная проверка смешанного варианта</x:v>
      </x:c>
      <x:c r="S3940" s="30"/>
      <x:c r="T3940" s="30"/>
      <x:c r="U3940" s="30" t="str">
        <x:v>Расхождений не обнаружено.</x:v>
      </x:c>
      <x:c r="V3940" s="87" t="str">
        <x:v>VERIFIED</x:v>
      </x:c>
      <x:c r="W3940" s="87" t="str">
        <x:v>Zadanie_OB11_07112025_.pdf, вариантная стр. 9</x:v>
      </x:c>
      <x:c r="X3940" s="87"/>
      <x:c r="Y3940" s="87"/>
      <x:c r="Z3940" s="87"/>
      <x:c r="AA3940" s="87"/>
      <x:c r="AB3940" s="87"/>
      <x:c r="AC3940" s="87"/>
      <x:c r="AD3940" s="87"/>
      <x:c r="AE3940" s="87"/>
      <x:c r="AF3940" s="87"/>
      <x:c r="AG3940" s="87"/>
      <x:c r="AH3940" s="87"/>
      <x:c r="AI3940" s="30"/>
      <x:c r="AJ3940" s="87" t="str">
        <x:v>master</x:v>
      </x:c>
      <x:c r="AK3940" s="87" t="str">
        <x:v>master-v0.81</x:v>
      </x:c>
      <x:c r="AL3940" s="87" t="str">
        <x:v>statgrad_master_base_v0_81_final(2).xlsx</x:v>
      </x:c>
      <x:c r="AM3940" s="87" t="str">
        <x:v>SOC_Nov_V4</x:v>
      </x:c>
      <x:c r="AN3940" s="87" t="n">
        <x:v>16</x:v>
      </x:c>
    </x:row>
    <x:row r="3941">
      <x:c r="A3941" s="87" t="n">
        <x:v>3940</x:v>
      </x:c>
      <x:c r="B3941" s="87" t="str">
        <x:v>NOV-SOC-V4-016</x:v>
      </x:c>
      <x:c r="C3941" s="87" t="str">
        <x:v>СтатГрад</x:v>
      </x:c>
      <x:c r="D3941" s="87" t="str">
        <x:v>Ноябрь 2025</x:v>
      </x:c>
      <x:c r="E3941" s="87"/>
      <x:c r="F3941" s="87"/>
      <x:c r="G3941" s="87" t="str">
        <x:v>Обществознание</x:v>
      </x:c>
      <x:c r="H3941" s="87" t="n">
        <x:v>11</x:v>
      </x:c>
      <x:c r="I3941" s="87" t="str">
        <x:v>ТР №2</x:v>
      </x:c>
      <x:c r="J3941" s="87" t="str">
        <x:v>ОБ2510204</x:v>
      </x:c>
      <x:c r="K3941" s="87" t="n">
        <x:v>16</x:v>
      </x:c>
      <x:c r="L3941" s="87" t="str">
        <x:v>Брачный договор</x:v>
      </x:c>
      <x:c r="M3941" s="30" t="str">
        <x:v>Представьте, что Вы по заданию учителя оформляете презентацию по теме
     «Право в системе социальных норм». Один из слайдов называется «Система
     права». Что из перечисленного следует включить в этот слайд? Запишите
     цифры, под которыми указаны компоненты системы права.
     1) отрасль права
     2) источник права
     3) правоохранительные органы
     4) норма права
     5) система правосудия
     6) институт права
                           Часть 2
Для записи ответов на задания этой части (17–25) используйте
отдельный лист. Запишите сначала номер задания (17, 18 и т. д.),
а затем развёрнутый ответ на него. Ответы записывайте чётко
и разборчиво.
Обратите внимание! Не следует в развёрнутом ответе на любое
из заданий 17–25 приводить больше позиций (признаков, характеристик,
примеров, аргументов и т.д.), чем требуется в задании. Неточности
и ошибки в «дополнительных» элементах ответа могут привести
к снижению балла за выполнение задания
              Прочитайте текст и выполните задания 17–20.
      В современном мире результаты научного познания влияют
на развитие всех сфер жизни общества. Анализ истории научного познания
показывает, что важнейшим, базовым критерием истины служит
эмпирическое (опытное) подтверждение гипотез и теорий. Под научным
опытом понимаются наблюдение и эксперимент. Для того, чтобы понять
роль опытного подтверждения, то есть эмпирической проверки в научном
исследовании, рассмотрим полный познавательный цикл, включающий
в себя проблему, гипотезу и теорию.
      Научное познание начинается с постановки проблемы. Проблема – это
задача, требующая решения. Она стимулирует научный поиск и представляет
собой знание о незнании, совокупность вопросов о том, что надо познать
на основе уже имеющегося знания. Попытки разрешить проблему приводят
к возникновению гипотезы – системы предположений, сформулированных
на основе имеющихся фактов и теоретических знаний. К признакам
состоятельности гипотезы относятся её принципиальная эмпирическая
проверяемость и предсказательные возможности. Невозможность проверки
гипотезы делает её несостоятельной. Не является состоятельной и гипотеза,
объясняющая только те факты, которые были связаны с постановкой
проблемы. Гипотеза должна предсказывать нечто ранее неизвестное.
      Гипотетическое знание носит вероятностный, а не достоверный
характер, и требует проверки, обоснования. Из гипотезы путём
умозаключений выводятся следствия – ожидаемые результаты, возможные
факты. В дальнейшем эти ожидаемые следствия сравниваются
с результатами эмпирической проверки, построенной на основе данной
гипотезы. И если ожидаемые и практические результаты совпадают после
множества испытаний, то данная гипотеза может быть признана истинной
и приобрести уже качество научной теории. Таким образом, эмпирическая
проверка, выполняя функцию критерия истины, превращает гипотезу
     в научную теорию, наиболее развитую форму знания, дающую целостное
     отображение существенных связей определённой области действительности.
           Если же эмпирические результаты находятся в резком противоречии
     с ожидаемыми, то гипотеза отвергается как ошибочная и впоследствии
     заменяется другой.
           В целом доказательство истинности гипотезы протекает в форме
     логической цепи рассуждений, отдельные звенья которой проверяются
     эмпирически. Для достоверности в науке используют, конечно, не одну,
     а множество проверок. Развитие науки – непрерывная цепь гипотез
     и проверок, в ходе которых создаётся научное знание.
                                                (По Н.И. Губанову, А.Э. Волкову)</x:v>
      </x:c>
      <x:c r="N3941" s="30" t="str">
        <x:v>146</x:v>
      </x:c>
      <x:c r="O3941" s="30" t="str">
        <x:v>Официальный ответ 146; подтверждён совпадением с идентичным заданием базового варианта ОБ2510202 и таблицей ответов смешанного варианта.</x:v>
      </x:c>
      <x:c r="P3941" s="30" t="str">
        <x:v>Текст задания сопоставлен с ОБ2510202; ответ полностью совпадает.</x:v>
      </x:c>
      <x:c r="Q3941" s="30"/>
      <x:c r="R3941" s="30" t="str">
        <x:v>Официальная таблица ответов + перекрёстная проверка смешанного варианта</x:v>
      </x:c>
      <x:c r="S3941" s="30"/>
      <x:c r="T3941" s="30"/>
      <x:c r="U3941" s="30" t="str">
        <x:v>Расхождений не обнаружено.</x:v>
      </x:c>
      <x:c r="V3941" s="87" t="str">
        <x:v>VERIFIED</x:v>
      </x:c>
      <x:c r="W3941" s="87" t="str">
        <x:v>Zadanie_OB11_07112025_.pdf, вариантная стр. 10</x:v>
      </x:c>
      <x:c r="X3941" s="87"/>
      <x:c r="Y3941" s="87"/>
      <x:c r="Z3941" s="87"/>
      <x:c r="AA3941" s="87"/>
      <x:c r="AB3941" s="87"/>
      <x:c r="AC3941" s="87"/>
      <x:c r="AD3941" s="87"/>
      <x:c r="AE3941" s="87"/>
      <x:c r="AF3941" s="87"/>
      <x:c r="AG3941" s="87"/>
      <x:c r="AH3941" s="87"/>
      <x:c r="AI3941" s="30"/>
      <x:c r="AJ3941" s="87" t="str">
        <x:v>master</x:v>
      </x:c>
      <x:c r="AK3941" s="87" t="str">
        <x:v>master-v0.81</x:v>
      </x:c>
      <x:c r="AL3941" s="87" t="str">
        <x:v>statgrad_master_base_v0_81_final(2).xlsx</x:v>
      </x:c>
      <x:c r="AM3941" s="87" t="str">
        <x:v>SOC_Nov_V4</x:v>
      </x:c>
      <x:c r="AN3941" s="87" t="n">
        <x:v>17</x:v>
      </x:c>
    </x:row>
    <x:row r="3942">
      <x:c r="A3942" s="87" t="n">
        <x:v>3941</x:v>
      </x:c>
      <x:c r="B3942" s="87" t="str">
        <x:v>NOV-SOC-V4-017</x:v>
      </x:c>
      <x:c r="C3942" s="87" t="str">
        <x:v>СтатГрад</x:v>
      </x:c>
      <x:c r="D3942" s="87" t="str">
        <x:v>Ноябрь 2025</x:v>
      </x:c>
      <x:c r="E3942" s="87"/>
      <x:c r="F3942" s="87"/>
      <x:c r="G3942" s="87" t="str">
        <x:v>Обществознание</x:v>
      </x:c>
      <x:c r="H3942" s="87" t="n">
        <x:v>11</x:v>
      </x:c>
      <x:c r="I3942" s="87" t="str">
        <x:v>ТР №2</x:v>
      </x:c>
      <x:c r="J3942" s="87" t="str">
        <x:v>ОБ2510204</x:v>
      </x:c>
      <x:c r="K3942" s="87" t="n">
        <x:v>17</x:v>
      </x:c>
      <x:c r="L3942" s="87" t="str">
        <x:v>Работа с обществоведческим текстом</x:v>
      </x:c>
      <x:c r="M3942" s="30" t="str">
        <x:v>Что авторы понимают под научным опытом? (Укажите два компонента.)
     Какую характеристику дают авторы научной теории? Какие признаки
     несостоятельности гипотезы упоминают авторы? (Укажите два признака.)</x:v>
      </x:c>
      <x:c r="N3942" s="30" t="str">
        <x:v>В правильном ответе должны быть следующие элементы:
     1) ответ на первый вопрос:
     – наблюдение;
     – эксперимент;
     (Ответ на первый вопрос засчитывается только при указании
     двух компонентов и при отсутствии неверных позиций.)
     2) ответ на второй вопрос: наиболее развитая форма знания,
     дающая      целостное    отображение   существенных    связей
     определённой области действительности;
     3) ответ на третий вопрос:
     – невозможность проверки гипотезы;
     – объяснение только тех фактов, которые были связаны
     с постановкой проблемы.
     (Ответ на третий вопрос засчитывается только при указании
     двух позиций и при отсутствии неверных позиций.)
     Элементы ответа могут быть представлены как в форме цитат,
     так и в форме сжатого воспроизведения основных идей
     соответствующих фрагментов текста.</x:v>
      </x:c>
      <x:c r="O3942" s="30" t="str">
        <x:v>Модель закрывает все элементы официального критерия; максимальный балл — 2.</x:v>
      </x:c>
      <x:c r="P3942" s="30" t="str">
        <x:v>Условие, число требуемых элементов и модель ответа повторно сверены с детализированным критерием.</x:v>
      </x:c>
      <x:c r="Q3942" s="30"/>
      <x:c r="R3942" s="30" t="str">
        <x:v>Kriterii_OB11_07112025_.pdf, критерий задания 17</x:v>
      </x:c>
      <x:c r="S3942" s="30"/>
      <x:c r="T3942" s="30"/>
      <x:c r="U3942" s="30" t="str">
        <x:v>Расхождений не обнаружено.</x:v>
      </x:c>
      <x:c r="V3942" s="87" t="str">
        <x:v>VERIFIED</x:v>
      </x:c>
      <x:c r="W3942" s="87" t="str">
        <x:v>Zadanie_OB11_07112025_.pdf, вариантная стр. 12</x:v>
      </x:c>
      <x:c r="X3942" s="87"/>
      <x:c r="Y3942" s="87"/>
      <x:c r="Z3942" s="87"/>
      <x:c r="AA3942" s="87"/>
      <x:c r="AB3942" s="87"/>
      <x:c r="AC3942" s="87"/>
      <x:c r="AD3942" s="87"/>
      <x:c r="AE3942" s="87"/>
      <x:c r="AF3942" s="87"/>
      <x:c r="AG3942" s="87"/>
      <x:c r="AH3942" s="87"/>
      <x:c r="AI3942" s="30"/>
      <x:c r="AJ3942" s="87" t="str">
        <x:v>master</x:v>
      </x:c>
      <x:c r="AK3942" s="87" t="str">
        <x:v>master-v0.81</x:v>
      </x:c>
      <x:c r="AL3942" s="87" t="str">
        <x:v>statgrad_master_base_v0_81_final(2).xlsx</x:v>
      </x:c>
      <x:c r="AM3942" s="87" t="str">
        <x:v>SOC_Nov_V4</x:v>
      </x:c>
      <x:c r="AN3942" s="87" t="n">
        <x:v>18</x:v>
      </x:c>
    </x:row>
    <x:row r="3943">
      <x:c r="A3943" s="87" t="n">
        <x:v>3942</x:v>
      </x:c>
      <x:c r="B3943" s="87" t="str">
        <x:v>NOV-SOC-V4-018</x:v>
      </x:c>
      <x:c r="C3943" s="87" t="str">
        <x:v>СтатГрад</x:v>
      </x:c>
      <x:c r="D3943" s="87" t="str">
        <x:v>Ноябрь 2025</x:v>
      </x:c>
      <x:c r="E3943" s="87"/>
      <x:c r="F3943" s="87"/>
      <x:c r="G3943" s="87" t="str">
        <x:v>Обществознание</x:v>
      </x:c>
      <x:c r="H3943" s="87" t="n">
        <x:v>11</x:v>
      </x:c>
      <x:c r="I3943" s="87" t="str">
        <x:v>ТР №2</x:v>
      </x:c>
      <x:c r="J3943" s="87" t="str">
        <x:v>ОБ2510204</x:v>
      </x:c>
      <x:c r="K3943" s="87" t="n">
        <x:v>18</x:v>
      </x:c>
      <x:c r="L3943" s="87" t="str">
        <x:v>Теоретическое объяснение</x:v>
      </x:c>
      <x:c r="M3943" s="30" t="str">
        <x:v>В тексте упомянуты ключевые понятия социально-гуманитарных наук.
     Используя обществоведческие знания,
     – укажите не менее трёх основных признаков научного знания;
     – объясните упомянутую в тексте связь между научной проблемой
     и гипотезой. (Объяснение может быть дано в одном или нескольких
     распространённых предложениях.)</x:v>
      </x:c>
      <x:c r="N3943" s="30" t="str">
        <x:v>В правильном ответе должны быть следующие элементы:
     1) основные признаки научного знания, например:
     – объективность;
     – доказанность;
     – рациональное обоснование;
     – проверяемость;
     – системность и др.;
     (Основные признаки могут быть приведены в иных близких
     по смыслу формулировках. Может быть приведён любой другой
     признак.
     Данный элемент ответа засчитывается только при указании
     трёх или более признаков, из которых два должны быть
     из приведённого перечня, при отсутствии неверных позиций.)
     2) объяснение с опорой на положения текста, например:
     проблема – это научная задача, для решения которой
     формулируется гипотеза, то есть система предположений,
     основанных на имеющихся фактах и теоретических знаниях.
     Может быть приведено другое корректное объяснение.
     Объяснение связи не указанного автором объекта изучения
     с используемыми методами не засчитывается.)</x:v>
      </x:c>
      <x:c r="O3943" s="30" t="str">
        <x:v>Модель закрывает все элементы официального критерия; максимальный балл — 2.</x:v>
      </x:c>
      <x:c r="P3943" s="30" t="str">
        <x:v>Условие, число требуемых элементов и модель ответа повторно сверены с детализированным критерием.</x:v>
      </x:c>
      <x:c r="Q3943" s="30"/>
      <x:c r="R3943" s="30" t="str">
        <x:v>Kriterii_OB11_07112025_.pdf, критерий задания 18</x:v>
      </x:c>
      <x:c r="S3943" s="30"/>
      <x:c r="T3943" s="30"/>
      <x:c r="U3943" s="30" t="str">
        <x:v>Расхождений не обнаружено.</x:v>
      </x:c>
      <x:c r="V3943" s="87" t="str">
        <x:v>VERIFIED</x:v>
      </x:c>
      <x:c r="W3943" s="87" t="str">
        <x:v>Zadanie_OB11_07112025_.pdf, вариантная стр. 12</x:v>
      </x:c>
      <x:c r="X3943" s="87"/>
      <x:c r="Y3943" s="87"/>
      <x:c r="Z3943" s="87"/>
      <x:c r="AA3943" s="87"/>
      <x:c r="AB3943" s="87"/>
      <x:c r="AC3943" s="87"/>
      <x:c r="AD3943" s="87"/>
      <x:c r="AE3943" s="87"/>
      <x:c r="AF3943" s="87"/>
      <x:c r="AG3943" s="87"/>
      <x:c r="AH3943" s="87"/>
      <x:c r="AI3943" s="30"/>
      <x:c r="AJ3943" s="87" t="str">
        <x:v>master</x:v>
      </x:c>
      <x:c r="AK3943" s="87" t="str">
        <x:v>master-v0.81</x:v>
      </x:c>
      <x:c r="AL3943" s="87" t="str">
        <x:v>statgrad_master_base_v0_81_final(2).xlsx</x:v>
      </x:c>
      <x:c r="AM3943" s="87" t="str">
        <x:v>SOC_Nov_V4</x:v>
      </x:c>
      <x:c r="AN3943" s="87" t="n">
        <x:v>19</x:v>
      </x:c>
    </x:row>
    <x:row r="3944">
      <x:c r="A3944" s="87" t="n">
        <x:v>3943</x:v>
      </x:c>
      <x:c r="B3944" s="87" t="str">
        <x:v>NOV-SOC-V4-019</x:v>
      </x:c>
      <x:c r="C3944" s="87" t="str">
        <x:v>СтатГрад</x:v>
      </x:c>
      <x:c r="D3944" s="87" t="str">
        <x:v>Ноябрь 2025</x:v>
      </x:c>
      <x:c r="E3944" s="87"/>
      <x:c r="F3944" s="87"/>
      <x:c r="G3944" s="87" t="str">
        <x:v>Обществознание</x:v>
      </x:c>
      <x:c r="H3944" s="87" t="n">
        <x:v>11</x:v>
      </x:c>
      <x:c r="I3944" s="87" t="str">
        <x:v>ТР №2</x:v>
      </x:c>
      <x:c r="J3944" s="87" t="str">
        <x:v>ОБ2510204</x:v>
      </x:c>
      <x:c r="K3944" s="87" t="n">
        <x:v>19</x:v>
      </x:c>
      <x:c r="L3944" s="87" t="str">
        <x:v>Развёрнутые примеры</x:v>
      </x:c>
      <x:c r="M3944" s="30" t="str">
        <x:v>Используя обществоведческие знания и факты общественной жизни,
     проиллюстрируйте примерами влияние результатов научного познания
     на развитие любых трёх сфер жизни общества. (В каждом случае сначала
     приведите пример, затем укажите сферу жизни общества. Каждый пример
     должен быть сформулирован развёрнуто. Примеры не должны дублировать
     друг друга по содержанию.)</x:v>
      </x:c>
      <x:c r="N3944" s="30" t="str">
        <x:v>Содержание верного ответа и указания по оцениванию                           Баллы
        (допускаются иные формулировки ответа, не искажающие его смысла)
     В правильном ответе могут быть следующие элементы (примеры
     влияния результатов научного познания на развитие любых трёх
сфер жизни общества):
1) во время пандемии ковида учёные разработали лекарства
и вакцины, которые спасли жизни многих людей (социальная
сфера);
2) научные открытия в области ядерной физики позволили создать
атомную энергетику, построить атомные электростанции
(экономическая сфера);
3) информационные технологии и развитие интернета позволили
провести цифровизацию музейных коллекций и библиотечных
хранилищ и открыть виртуальный доступ к ним всем любителям
искусства, литературы, учёным – исследователям (духовная
сфера).
Могут быть приведены другие корректные примеры.
Примеры,       дублирующие   друг    друга    по   содержанию,
засчитываются как один пример.
Засчитываются только примеры, сформулированные развёрнуто
(отдельные слова и словосочетания не засчитываются в качестве
примеров)</x:v>
      </x:c>
      <x:c r="O3944" s="30" t="str">
        <x:v>Модель закрывает все элементы официального критерия; максимальный балл — 3.</x:v>
      </x:c>
      <x:c r="P3944" s="30" t="str">
        <x:v>Условие, число требуемых элементов и модель ответа повторно сверены с детализированным критерием.</x:v>
      </x:c>
      <x:c r="Q3944" s="30"/>
      <x:c r="R3944" s="30" t="str">
        <x:v>Kriterii_OB11_07112025_.pdf, критерий задания 19</x:v>
      </x:c>
      <x:c r="S3944" s="30"/>
      <x:c r="T3944" s="30"/>
      <x:c r="U3944" s="30" t="str">
        <x:v>Расхождений не обнаружено.</x:v>
      </x:c>
      <x:c r="V3944" s="87" t="str">
        <x:v>VERIFIED</x:v>
      </x:c>
      <x:c r="W3944" s="87" t="str">
        <x:v>Zadanie_OB11_07112025_.pdf, вариантная стр. 12</x:v>
      </x:c>
      <x:c r="X3944" s="87"/>
      <x:c r="Y3944" s="87"/>
      <x:c r="Z3944" s="87"/>
      <x:c r="AA3944" s="87"/>
      <x:c r="AB3944" s="87"/>
      <x:c r="AC3944" s="87"/>
      <x:c r="AD3944" s="87"/>
      <x:c r="AE3944" s="87"/>
      <x:c r="AF3944" s="87"/>
      <x:c r="AG3944" s="87"/>
      <x:c r="AH3944" s="87"/>
      <x:c r="AI3944" s="30"/>
      <x:c r="AJ3944" s="87" t="str">
        <x:v>master</x:v>
      </x:c>
      <x:c r="AK3944" s="87" t="str">
        <x:v>master-v0.81</x:v>
      </x:c>
      <x:c r="AL3944" s="87" t="str">
        <x:v>statgrad_master_base_v0_81_final(2).xlsx</x:v>
      </x:c>
      <x:c r="AM3944" s="87" t="str">
        <x:v>SOC_Nov_V4</x:v>
      </x:c>
      <x:c r="AN3944" s="87" t="n">
        <x:v>20</x:v>
      </x:c>
    </x:row>
    <x:row r="3945">
      <x:c r="A3945" s="87" t="n">
        <x:v>3944</x:v>
      </x:c>
      <x:c r="B3945" s="87" t="str">
        <x:v>NOV-SOC-V4-020</x:v>
      </x:c>
      <x:c r="C3945" s="87" t="str">
        <x:v>СтатГрад</x:v>
      </x:c>
      <x:c r="D3945" s="87" t="str">
        <x:v>Ноябрь 2025</x:v>
      </x:c>
      <x:c r="E3945" s="87"/>
      <x:c r="F3945" s="87"/>
      <x:c r="G3945" s="87" t="str">
        <x:v>Обществознание</x:v>
      </x:c>
      <x:c r="H3945" s="87" t="n">
        <x:v>11</x:v>
      </x:c>
      <x:c r="I3945" s="87" t="str">
        <x:v>ТР №2</x:v>
      </x:c>
      <x:c r="J3945" s="87" t="str">
        <x:v>ОБ2510204</x:v>
      </x:c>
      <x:c r="K3945" s="87" t="n">
        <x:v>20</x:v>
      </x:c>
      <x:c r="L3945" s="87" t="str">
        <x:v>Аргументация</x:v>
      </x:c>
      <x:c r="M3945" s="30" t="str">
        <x:v>Используя обществоведческие знания, приведите три аргумента,
     подтверждающих, что установление ошибочности гипотезы может служить
     развитию науки. (Каждый аргумент должен быть сформулирован
     как распространённое предложение.)</x:v>
      </x:c>
      <x:c r="N3945" s="30" t="str">
        <x:v>В правильном ответе могут быть приведены следующие
     аргументы:
     1) установление ошибочности гипотезы направляет учёного
     на поиск нового, иного решения научной проблемы;
     2) признание научной ошибки на стадии гипотезы позволяет
     сэкономить и более эффективно использовать время учёного
     и средства, которые были бы потрачены на практическое освоение
     неверного научного результата;
     3) к гипотезе, которую признали ошибочной на определённом этапе
     развития науки, учёные могут вернуться позже, когда изменятся
     условия и возможности проведения научных исследований,
     возможно, им придётся пересмотреть сделанный ранее вывод.
     Могут быть приведены иные обоснованные аргументы.
     Засчитываются        только    аргументы,      сформулированные
     как     распространённые     предложения     (отдельные    слова
     и словосочетания не засчитываются в качестве аргументов)</x:v>
      </x:c>
      <x:c r="O3945" s="30" t="str">
        <x:v>Модель закрывает все элементы официального критерия; максимальный балл — 3.</x:v>
      </x:c>
      <x:c r="P3945" s="30" t="str">
        <x:v>Условие, число требуемых элементов и модель ответа повторно сверены с детализированным критерием.</x:v>
      </x:c>
      <x:c r="Q3945" s="30"/>
      <x:c r="R3945" s="30" t="str">
        <x:v>Kriterii_OB11_07112025_.pdf, критерий задания 20</x:v>
      </x:c>
      <x:c r="S3945" s="30"/>
      <x:c r="T3945" s="30"/>
      <x:c r="U3945" s="30" t="str">
        <x:v>Расхождений не обнаружено.</x:v>
      </x:c>
      <x:c r="V3945" s="87" t="str">
        <x:v>VERIFIED</x:v>
      </x:c>
      <x:c r="W3945" s="87" t="str">
        <x:v>Zadanie_OB11_07112025_.pdf, вариантная стр. 12</x:v>
      </x:c>
      <x:c r="X3945" s="87"/>
      <x:c r="Y3945" s="87"/>
      <x:c r="Z3945" s="87"/>
      <x:c r="AA3945" s="87"/>
      <x:c r="AB3945" s="87"/>
      <x:c r="AC3945" s="87"/>
      <x:c r="AD3945" s="87"/>
      <x:c r="AE3945" s="87"/>
      <x:c r="AF3945" s="87"/>
      <x:c r="AG3945" s="87"/>
      <x:c r="AH3945" s="87"/>
      <x:c r="AI3945" s="30"/>
      <x:c r="AJ3945" s="87" t="str">
        <x:v>master</x:v>
      </x:c>
      <x:c r="AK3945" s="87" t="str">
        <x:v>master-v0.81</x:v>
      </x:c>
      <x:c r="AL3945" s="87" t="str">
        <x:v>statgrad_master_base_v0_81_final(2).xlsx</x:v>
      </x:c>
      <x:c r="AM3945" s="87" t="str">
        <x:v>SOC_Nov_V4</x:v>
      </x:c>
      <x:c r="AN3945" s="87" t="n">
        <x:v>21</x:v>
      </x:c>
    </x:row>
    <x:row r="3946">
      <x:c r="A3946" s="87" t="n">
        <x:v>3945</x:v>
      </x:c>
      <x:c r="B3946" s="87" t="str">
        <x:v>NOV-SOC-V4-021</x:v>
      </x:c>
      <x:c r="C3946" s="87" t="str">
        <x:v>СтатГрад</x:v>
      </x:c>
      <x:c r="D3946" s="87" t="str">
        <x:v>Ноябрь 2025</x:v>
      </x:c>
      <x:c r="E3946" s="87"/>
      <x:c r="F3946" s="87"/>
      <x:c r="G3946" s="87" t="str">
        <x:v>Обществознание</x:v>
      </x:c>
      <x:c r="H3946" s="87" t="n">
        <x:v>11</x:v>
      </x:c>
      <x:c r="I3946" s="87" t="str">
        <x:v>ТР №2</x:v>
      </x:c>
      <x:c r="J3946" s="87" t="str">
        <x:v>ОБ2510204</x:v>
      </x:c>
      <x:c r="K3946" s="87" t="n">
        <x:v>21</x:v>
      </x:c>
      <x:c r="L3946" s="87" t="str">
        <x:v>График спроса и предложения</x:v>
      </x:c>
      <x:c r="M3946" s="30" t="str">
        <x:v>На графике изображено изменение ситуации              P     S1    S
     на потребительском рынке мягких игрушек для детей
     в возрасте 1–3 лет в стране Z. Кривая предложения
     переместилась из положения S в положение S 1
     при неизменном спросе D. (На графике P – цена                    D
     товара; Q – количество товара.)                                      Q
     Как изменилась равновесная цена?
     Что могло вызвать изменение предложения? Сначала укажите любое одно
     обстоятельство (фактор), затем объясните его влияние на предложение
     (обязательно укажите характер изменения предложения). (Объяснение
     должно быть дано применительно к рынку, указанному в тексте
     задания.)
     Как изменятся спрос и равновесная цена на данном рынке, если при прочих
     равных условиях резко вырастут цены на игрушки для детей в возрасте 1–3
     лет, изготовленные из других материалов?</x:v>
      </x:c>
      <x:c r="N3946" s="30" t="str">
        <x:v>В правильном ответе должны быть следующие элементы:
     1) ответ на первый вопрос: равновесная цена увеличилась;
     2) ответ на второй вопрос (одно обстоятельство (фактор)
     с объяснением влияния): количество производителей (например,
     в стране Z ввели санитарные правила, в соответствии с которыми
     для изготовления игрушек для детей можно использовать только
     сертифицированные ткани, после чего ряд фирм прекратил
     выпуск игрушек, что привело к сокращению предложения);
     (Может быть названо и объяснено другое обстоятельство /
     другой фактор.
     Засчитывается только объяснение, данное применительно
     к рынку, указанному в тексте задания.)
     3) ответ на третий вопрос: если при прочих равных условиях
     резко вырастут цены на игрушки для детей в возрасте 1–3 лет,
     изготовленные из других материалов, то спрос на мягкие игрушки
     увеличится, и их равновесная цена тоже увеличится.
     (Ответ      на   третий      вопрос    засчитывается     только
     при правильном однозначном указании изменения предложения
     и равновесной цены.)
     Элементы ответа могут быть представлены в других
     формулировках.</x:v>
      </x:c>
      <x:c r="O3946" s="30" t="str">
        <x:v>Модель закрывает все элементы официального критерия; максимальный балл — 3.</x:v>
      </x:c>
      <x:c r="P3946" s="30" t="str">
        <x:v>Условие, число требуемых элементов и модель ответа повторно сверены с детализированным критерием.</x:v>
      </x:c>
      <x:c r="Q3946" s="30"/>
      <x:c r="R3946" s="30" t="str">
        <x:v>Kriterii_OB11_07112025_.pdf, критерий задания 21</x:v>
      </x:c>
      <x:c r="S3946" s="30"/>
      <x:c r="T3946" s="30"/>
      <x:c r="U3946" s="30" t="str">
        <x:v>Расхождений не обнаружено.</x:v>
      </x:c>
      <x:c r="V3946" s="87" t="str">
        <x:v>VERIFIED</x:v>
      </x:c>
      <x:c r="W3946" s="87" t="str">
        <x:v>Zadanie_OB11_07112025_.pdf, вариантная стр. 13</x:v>
      </x:c>
      <x:c r="X3946" s="87"/>
      <x:c r="Y3946" s="87"/>
      <x:c r="Z3946" s="87"/>
      <x:c r="AA3946" s="87"/>
      <x:c r="AB3946" s="87"/>
      <x:c r="AC3946" s="87" t="str">
        <x:v>VIS-SOC-NOV-003</x:v>
      </x:c>
      <x:c r="AD3946" s="87"/>
      <x:c r="AE3946" s="87"/>
      <x:c r="AF3946" s="87" t="str">
        <x:v>VIS-SOC-NOV-003: 14</x:v>
      </x:c>
      <x:c r="AG3946" s="87" t="str">
        <x:v>RESOLVED</x:v>
      </x:c>
      <x:c r="AH3946" s="87" t="str">
        <x:v>CROP_VERIFIED; TASK_CROP_QA_APPROVED:MANUAL_BBOX</x:v>
      </x:c>
      <x:c r="AI3946" s="30"/>
      <x:c r="AJ3946" s="87" t="str">
        <x:v>master</x:v>
      </x:c>
      <x:c r="AK3946" s="87" t="str">
        <x:v>master-v0.81</x:v>
      </x:c>
      <x:c r="AL3946" s="87" t="str">
        <x:v>statgrad_master_base_v0_81_final(2).xlsx</x:v>
      </x:c>
      <x:c r="AM3946" s="87" t="str">
        <x:v>SOC_Nov_V4</x:v>
      </x:c>
      <x:c r="AN3946" s="87" t="n">
        <x:v>22</x:v>
      </x:c>
    </x:row>
    <x:row r="3947">
      <x:c r="A3947" s="87" t="n">
        <x:v>3946</x:v>
      </x:c>
      <x:c r="B3947" s="87" t="str">
        <x:v>NOV-SOC-V4-022</x:v>
      </x:c>
      <x:c r="C3947" s="87" t="str">
        <x:v>СтатГрад</x:v>
      </x:c>
      <x:c r="D3947" s="87" t="str">
        <x:v>Ноябрь 2025</x:v>
      </x:c>
      <x:c r="E3947" s="87"/>
      <x:c r="F3947" s="87"/>
      <x:c r="G3947" s="87" t="str">
        <x:v>Обществознание</x:v>
      </x:c>
      <x:c r="H3947" s="87" t="n">
        <x:v>11</x:v>
      </x:c>
      <x:c r="I3947" s="87" t="str">
        <x:v>ТР №2</x:v>
      </x:c>
      <x:c r="J3947" s="87" t="str">
        <x:v>ОБ2510204</x:v>
      </x:c>
      <x:c r="K3947" s="87" t="n">
        <x:v>22</x:v>
      </x:c>
      <x:c r="L3947" s="87" t="str">
        <x:v>Прикладная обществоведческая задача</x:v>
      </x:c>
      <x:c r="M3947" s="30" t="str">
        <x:v>Уставный капитал предприятия «Конфеты и шоколад» разделён
     на определённое число ценных бумаг, которые размещались и нашли
     покупателей на фондовой бирже. На предприятии приобрели и установили
     современные автоматические линии, которые позволили повысить
     производительность труда. Персонал предприятия прошёл переподготовку.
     Проведённые изменения привели к росту прибыли предприятия.
     Какую организационно-правовую форму предпринимательства юридических
     лиц представляет предприятие «Конфеты и шоколад»? Какие признаки,
     не описанные в задании, характерны для данной организационно-правовой
     формы предпринимательства? (Укажите любые два признака.) Почему
     ситуация, описанная в задании, является примером интенсивного
     экономического роста? Какая информация Вам необходима для того, чтобы
     установить, какой вид (источник) финансирования бизнеса – внутренний или
     внешний, был использован для приобретения автоматической линии?
     (Сформулируйте два вопроса, необходимых для получения этой
     информации.)</x:v>
      </x:c>
      <x:c r="N3947" s="30" t="str">
        <x:v>Правильный ответ должен содержать следующие элементы:
     1) ответ на первый вопрос: акционерное общество / публичное
     акционерное общество;
     (Ответ на вопрос 1 засчитывается только при наличии
     правильного однозначного указания организационно-правовой
     формы предпринимательства юридических лиц. Если в ответе
     указано       несколько       организационно-правовых форм
     предпринимательства, то он не засчитывается.)
     2) ответ на второй вопрос, например:
     – участники несут риск убытков в пределах стоимости
     принадлежащих им акций;
     – высшим органом является общее собрание акционеров;
     (Могут быть названы другие признаки.
     Ответ на второй вопрос засчитывается только при указании
     двух или более признаков при отсутствии неверных позиций.)
     3) ответ на третий вопрос: потому что повышение прибыли
     произошло за счёт эффективного использования факторов
     производства: современной техники и повышения квалификации
     персонала;
     (Ответ, который представляет собой цитирование условия
     задачи, не засчитывается.)
     4) ответ на четвёртый вопрос, например:
     – Был ли использован для закупок амортизационный фонд?
     – Использовало ли предприятие при закупке оборудования
     накопленную прибыль или прибегло к кредитам / займам?
     (Вопросы могут быть даны в других корректных формулировках.
     Могут быть сформулированы другие вопросы.
     Ответ на четвёртый вопрос засчитывается только при наличии
     двух или более сформулированных вопросов, ответы на которые
     позволяют установить источник финансирования бизнеса,
     при отсутствии неверных позиций.)
     Ответы на вопросы могут быть даны в других формулировках,
     не искажающих смысла соответствующих элементов ответа</x:v>
      </x:c>
      <x:c r="O3947" s="30" t="str">
        <x:v>Модель закрывает все элементы официального критерия; максимальный балл — 4.</x:v>
      </x:c>
      <x:c r="P3947" s="30" t="str">
        <x:v>Условие, число требуемых элементов и модель ответа повторно сверены с детализированным критерием.</x:v>
      </x:c>
      <x:c r="Q3947" s="30"/>
      <x:c r="R3947" s="30" t="str">
        <x:v>Kriterii_OB11_07112025_.pdf, критерий задания 22</x:v>
      </x:c>
      <x:c r="S3947" s="30"/>
      <x:c r="T3947" s="30"/>
      <x:c r="U3947" s="30" t="str">
        <x:v>Расхождений не обнаружено.</x:v>
      </x:c>
      <x:c r="V3947" s="87" t="str">
        <x:v>VERIFIED</x:v>
      </x:c>
      <x:c r="W3947" s="87" t="str">
        <x:v>Zadanie_OB11_07112025_.pdf, вариантная стр. 13</x:v>
      </x:c>
      <x:c r="X3947" s="87"/>
      <x:c r="Y3947" s="87"/>
      <x:c r="Z3947" s="87"/>
      <x:c r="AA3947" s="87"/>
      <x:c r="AB3947" s="87"/>
      <x:c r="AC3947" s="87"/>
      <x:c r="AD3947" s="87"/>
      <x:c r="AE3947" s="87"/>
      <x:c r="AF3947" s="87"/>
      <x:c r="AG3947" s="87"/>
      <x:c r="AH3947" s="87"/>
      <x:c r="AI3947" s="30"/>
      <x:c r="AJ3947" s="87" t="str">
        <x:v>master</x:v>
      </x:c>
      <x:c r="AK3947" s="87" t="str">
        <x:v>master-v0.81</x:v>
      </x:c>
      <x:c r="AL3947" s="87" t="str">
        <x:v>statgrad_master_base_v0_81_final(2).xlsx</x:v>
      </x:c>
      <x:c r="AM3947" s="87" t="str">
        <x:v>SOC_Nov_V4</x:v>
      </x:c>
      <x:c r="AN3947" s="87" t="n">
        <x:v>23</x:v>
      </x:c>
    </x:row>
    <x:row r="3948">
      <x:c r="A3948" s="87" t="n">
        <x:v>3947</x:v>
      </x:c>
      <x:c r="B3948" s="87" t="str">
        <x:v>NOV-SOC-V4-023</x:v>
      </x:c>
      <x:c r="C3948" s="87" t="str">
        <x:v>СтатГрад</x:v>
      </x:c>
      <x:c r="D3948" s="87" t="str">
        <x:v>Ноябрь 2025</x:v>
      </x:c>
      <x:c r="E3948" s="87"/>
      <x:c r="F3948" s="87"/>
      <x:c r="G3948" s="87" t="str">
        <x:v>Обществознание</x:v>
      </x:c>
      <x:c r="H3948" s="87" t="n">
        <x:v>11</x:v>
      </x:c>
      <x:c r="I3948" s="87" t="str">
        <x:v>ТР №2</x:v>
      </x:c>
      <x:c r="J3948" s="87" t="str">
        <x:v>ОБ2510204</x:v>
      </x:c>
      <x:c r="K3948" s="87" t="n">
        <x:v>23</x:v>
      </x:c>
      <x:c r="L3948" s="87" t="str">
        <x:v>Конституция Российской Федерации</x:v>
      </x:c>
      <x:c r="M3948" s="30" t="str">
        <x:v>Конституция Российской Федерации закрепляет отношение к семье как
     к ценности государства и общества. На основе положений Конституции
     Российской Федерации сформулируйте три подтверждения этого положения.
     (Каждое     подтверждение       должно   быть   сформулировано    как
     распространённое предложение с опорой на конкретное положение
     Конституции Российской Федерации.
     Обратите внимание на то, что правильное выполнение задания не требует
     указания в ответе номеров соответствующих статей Конституции РФ
     и дословного воспроизведения их содержания.)
     Представьте, что Вам необходимо подготовить доклад по определённой
     теме. Выполните задания 24 и 25.
     Вам необходимо подготовить доклад по теме «Гражданство Российской
     Федерации».</x:v>
      </x:c>
      <x:c r="N3948" s="30" t="str">
        <x:v>Могут быть приведены такие подтверждения:
     1) в Российской Федерации обеспечивается государственная
     поддержка семьи, материнства, отцовства и детства;
     2) в Конституции Российской Федерации указано, что семья
     находится под защитой государства; государство берет на себя
     обязанности родителей в отношении детей, оставшихся
     без попечения;
     3) Конституция Российской Федерации гласит, что государство
     обеспечивает приоритет семейного воспитания.
     Могут быть приведены другие подтверждения в соответствии
     с требованием задания.
     Засчитываются только подтверждения, сформулированные как
     распространённые предложения (отдельные слова и слово-
     сочетания не засчитываются в качестве подтверждений)
     с опорой на конкретное положение Конституции Российской
     Федерации.
     Не требуется указания в ответе номеров соответствующих ста-
     тей Конституции и дословного воспроизведения их содержания!</x:v>
      </x:c>
      <x:c r="O3948" s="30" t="str">
        <x:v>Модель закрывает все элементы официального критерия; максимальный балл — 3.</x:v>
      </x:c>
      <x:c r="P3948" s="30" t="str">
        <x:v>Условие, число требуемых элементов и модель ответа повторно сверены с детализированным критерием.</x:v>
      </x:c>
      <x:c r="Q3948" s="30"/>
      <x:c r="R3948" s="30" t="str">
        <x:v>Kriterii_OB11_07112025_.pdf, критерий задания 23</x:v>
      </x:c>
      <x:c r="S3948" s="30"/>
      <x:c r="T3948" s="30"/>
      <x:c r="U3948" s="30" t="str">
        <x:v>Расхождений не обнаружено.</x:v>
      </x:c>
      <x:c r="V3948" s="87" t="str">
        <x:v>VERIFIED</x:v>
      </x:c>
      <x:c r="W3948" s="87" t="str">
        <x:v>Zadanie_OB11_07112025_.pdf, вариантная стр. 14</x:v>
      </x:c>
      <x:c r="X3948" s="87"/>
      <x:c r="Y3948" s="87"/>
      <x:c r="Z3948" s="87"/>
      <x:c r="AA3948" s="87"/>
      <x:c r="AB3948" s="87"/>
      <x:c r="AC3948" s="87"/>
      <x:c r="AD3948" s="87"/>
      <x:c r="AE3948" s="87"/>
      <x:c r="AF3948" s="87"/>
      <x:c r="AG3948" s="87"/>
      <x:c r="AH3948" s="87"/>
      <x:c r="AI3948" s="30"/>
      <x:c r="AJ3948" s="87" t="str">
        <x:v>master</x:v>
      </x:c>
      <x:c r="AK3948" s="87" t="str">
        <x:v>master-v0.81</x:v>
      </x:c>
      <x:c r="AL3948" s="87" t="str">
        <x:v>statgrad_master_base_v0_81_final(2).xlsx</x:v>
      </x:c>
      <x:c r="AM3948" s="87" t="str">
        <x:v>SOC_Nov_V4</x:v>
      </x:c>
      <x:c r="AN3948" s="87" t="n">
        <x:v>24</x:v>
      </x:c>
    </x:row>
    <x:row r="3949">
      <x:c r="A3949" s="87" t="n">
        <x:v>3948</x:v>
      </x:c>
      <x:c r="B3949" s="87" t="str">
        <x:v>NOV-SOC-V4-024</x:v>
      </x:c>
      <x:c r="C3949" s="87" t="str">
        <x:v>СтатГрад</x:v>
      </x:c>
      <x:c r="D3949" s="87" t="str">
        <x:v>Ноябрь 2025</x:v>
      </x:c>
      <x:c r="E3949" s="87"/>
      <x:c r="F3949" s="87"/>
      <x:c r="G3949" s="87" t="str">
        <x:v>Обществознание</x:v>
      </x:c>
      <x:c r="H3949" s="87" t="n">
        <x:v>11</x:v>
      </x:c>
      <x:c r="I3949" s="87" t="str">
        <x:v>ТР №2</x:v>
      </x:c>
      <x:c r="J3949" s="87" t="str">
        <x:v>ОБ2510204</x:v>
      </x:c>
      <x:c r="K3949" s="87" t="n">
        <x:v>24</x:v>
      </x:c>
      <x:c r="L3949" s="87" t="str">
        <x:v>Сложный план</x:v>
      </x:c>
      <x:c r="M3949" s="30" t="str">
        <x:v>Используя обществоведческие знания, составьте сложный план,
     позволяющий раскрыть по существу тему «Гражданство Российской
     Федерации».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возможны только два
     подпункта.)</x:v>
      </x:c>
      <x:c r="N3949" s="30" t="str">
        <x:v>Один из вариантов плана раскрытия данной темы
1. Понятие «гражданство».
2. Виды гражданства, признанные в законе «О гражданстве
Российской Федерации»:
   а) двойное гражданство;
   б) множественное гражданство.
3. Принципы гражданства Российской Федерации:
   а) гражданство Российской Федерации является единым
     и равным независимо от оснований его приобретения;
   б) гражданин Российской Федерации не может быть лишён
     гражданства Российской Федерации или права изменить его;
   в) проживание      гражданина     Российской     Федерации
     за пределами Российской Федерации не прекращает его
     гражданства;
   г) гражданин Российской Федерации не может быть выслан
     за пределы Российской Федерации или выдан иностранному
     государству.
4. Основания приобретения гражданства Российской Федерации:
   а) по рождению;
   б) приём в гражданство Российской Федерации;
   в) признание гражданином Российской Федерации;
   г) выбор гражданства Российской Федерации при изменении
     Государственной границы Российской Федерации (оптации);
   д) в соответствии с международным договором Российской
     Федерации.
5. Основные      обстоятельства,   условия     и    требования
к иностранному гражданину или к лицу без гражданства
при приёме в гражданство Российской Федерации:
   а) достижение возраста восемнадцати лет;
   б) дееспособность;
   в) обязательство    соблюдать   Конституцию     Российской
     Федерации и принесение присяги.
   г) постоянно проживание в Российской Федерации в течение
     пяти лет;
   д) владение русским языком;
   е) знание истории России и основ законодательства
     Российской Федерации
6. Приём      в     гражданство      Российской     Федерации
в исключительном порядке:
   а) наличие особых заслуг перед Российской Федерацией;
   б) лицо в виду своей профессии или квалификации
     представляет интерес для Российской Федерации.
7. Основания и порядок прекращения гражданства Российской
Федерации:
   а) добровольный      выход    из  гражданства    Российской
     Федерации;
   б) сообщение заведомо ложных сведений в отношении
     обязательства     соблюдать    Конституцию     Российской
     Федерации и законодательство Российской Федерации;
   в) приготовление, покушение или совершение преступления;
   г) совершение действий, создающих угрозу национальной
     безопасности Российской Федерации;
   д) неисполнение обязанности по первоначальной постановке
     на воинский учёт.
Возможны другое количество и (или) иные корректные
формулировки пунктов и подпунктов плана. Они могут быть
представлены в назывной, вопросной или смешанной формах.
Наличие любых трёх из пунктов плана из № 3, 4, 5, 7 в данной
или близкой по смыслу формулировке позволит раскрыть
содержание этой темы по существу</x:v>
      </x:c>
      <x:c r="O3949" s="30" t="str">
        <x:v>Модель закрывает все элементы официального критерия; максимальный балл — 4.</x:v>
      </x:c>
      <x:c r="P3949" s="30" t="str">
        <x:v>Условие, число требуемых элементов и модель ответа повторно сверены с детализированным критерием.</x:v>
      </x:c>
      <x:c r="Q3949" s="30"/>
      <x:c r="R3949" s="30" t="str">
        <x:v>Kriterii_OB11_07112025_.pdf, критерий задания 24</x:v>
      </x:c>
      <x:c r="S3949" s="30"/>
      <x:c r="T3949" s="30"/>
      <x:c r="U3949" s="30" t="str">
        <x:v>Расхождений не обнаружено.</x:v>
      </x:c>
      <x:c r="V3949" s="87" t="str">
        <x:v>VERIFIED</x:v>
      </x:c>
      <x:c r="W3949" s="87" t="str">
        <x:v>Zadanie_OB11_07112025_.pdf, вариантная стр. 14</x:v>
      </x:c>
      <x:c r="X3949" s="87"/>
      <x:c r="Y3949" s="87"/>
      <x:c r="Z3949" s="87"/>
      <x:c r="AA3949" s="87"/>
      <x:c r="AB3949" s="87"/>
      <x:c r="AC3949" s="87"/>
      <x:c r="AD3949" s="87"/>
      <x:c r="AE3949" s="87"/>
      <x:c r="AF3949" s="87"/>
      <x:c r="AG3949" s="87"/>
      <x:c r="AH3949" s="87"/>
      <x:c r="AI3949" s="30"/>
      <x:c r="AJ3949" s="87" t="str">
        <x:v>master</x:v>
      </x:c>
      <x:c r="AK3949" s="87" t="str">
        <x:v>master-v0.81</x:v>
      </x:c>
      <x:c r="AL3949" s="87" t="str">
        <x:v>statgrad_master_base_v0_81_final(2).xlsx</x:v>
      </x:c>
      <x:c r="AM3949" s="87" t="str">
        <x:v>SOC_Nov_V4</x:v>
      </x:c>
      <x:c r="AN3949" s="87" t="n">
        <x:v>25</x:v>
      </x:c>
    </x:row>
    <x:row r="3950">
      <x:c r="A3950" s="87" t="n">
        <x:v>3949</x:v>
      </x:c>
      <x:c r="B3950" s="87" t="str">
        <x:v>NOV-SOC-V4-025</x:v>
      </x:c>
      <x:c r="C3950" s="87" t="str">
        <x:v>СтатГрад</x:v>
      </x:c>
      <x:c r="D3950" s="87" t="str">
        <x:v>Ноябрь 2025</x:v>
      </x:c>
      <x:c r="E3950" s="87"/>
      <x:c r="F3950" s="87"/>
      <x:c r="G3950" s="87" t="str">
        <x:v>Обществознание</x:v>
      </x:c>
      <x:c r="H3950" s="87" t="n">
        <x:v>11</x:v>
      </x:c>
      <x:c r="I3950" s="87" t="str">
        <x:v>ТР №2</x:v>
      </x:c>
      <x:c r="J3950" s="87" t="str">
        <x:v>ОБ2510204</x:v>
      </x:c>
      <x:c r="K3950" s="87" t="n">
        <x:v>25</x:v>
      </x:c>
      <x:c r="L3950" s="87" t="str">
        <x:v>Задание высокого уровня</x:v>
      </x:c>
      <x:c r="M3950" s="30" t="str">
        <x:v>Используя обществоведческие знания, факты общественной жизни и личный
     социальный опыт, выполните задания, ответьте на вопрос.
     1) Обоснуйте значение исполнения гражданином Российской Федерации
     конституционных обязанностей для развития российского государства.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Выполнение каких конституционных обязанностей способствует
     укреплению международных позиций Российской Федерации? (Назовите три
     конституционных обязанности.)
     3) Приведите по одному примеру, иллюстрирующему вклад в укрепление
     международных позиций Российской Федерации, который вносит
     исполнение гражданами каждой из указанных в пункте 2) конституционных
     обязанностей. (Каждый пример должен быть сформулирован развёрнуто.)</x:v>
      </x:c>
      <x:c r="N3950" s="30" t="str">
        <x:v>1) Исполнение конституционных обязанностей поддерживает законность, безопасность и ресурсную основу государства. Когда граждане участвуют в защите страны, уплачивают налоги и сохраняют природное и культурное наследие, государство может устойчиво развивать экономику, оборону и международное сотрудничество, что укрепляет его авторитет и суверенитет.
2) Защита Отечества; уплата законно установленных налогов и сборов; сохранение природы и окружающей среды.
3) Гражданин прошёл военную службу и участвовал в обеспечении обороноспособности страны, что укрепляет её безопасность и переговорные позиции. Налогоплательщики профинансировали государственные программы науки, инфраструктуры и дипломатии, повышающие конкурентоспособность России. Граждане соблюдали природоохранные требования и участвовали в восстановлении лесов, помогая России выполнять международные экологические обязательства и поддерживать репутацию ответственного партнёра.</x:v>
      </x:c>
      <x:c r="O3950" s="30" t="str">
        <x:v>Модель закрывает все элементы официального критерия; максимальный балл — 6.</x:v>
      </x:c>
      <x:c r="P3950" s="30" t="str">
        <x:v>Условие, число требуемых элементов и модель ответа повторно сверены с детализированным критерием.</x:v>
      </x:c>
      <x:c r="Q3950" s="30"/>
      <x:c r="R3950" s="30" t="str">
        <x:v>Kriterii_OB11_07112025_.pdf, критерий задания 25</x:v>
      </x:c>
      <x:c r="S3950" s="30"/>
      <x:c r="T3950" s="30"/>
      <x:c r="U3950" s="30" t="str">
        <x:v>Расхождений не обнаружено.</x:v>
      </x:c>
      <x:c r="V3950" s="87" t="str">
        <x:v>VERIFIED</x:v>
      </x:c>
      <x:c r="W3950" s="87" t="str">
        <x:v>Zadanie_OB11_07112025_.pdf, вариантная стр. 14</x:v>
      </x:c>
      <x:c r="X3950" s="87"/>
      <x:c r="Y3950" s="87"/>
      <x:c r="Z3950" s="87"/>
      <x:c r="AA3950" s="87"/>
      <x:c r="AB3950" s="87"/>
      <x:c r="AC3950" s="87"/>
      <x:c r="AD3950" s="87"/>
      <x:c r="AE3950" s="87"/>
      <x:c r="AF3950" s="87"/>
      <x:c r="AG3950" s="87"/>
      <x:c r="AH3950" s="87"/>
      <x:c r="AI3950" s="30"/>
      <x:c r="AJ3950" s="87" t="str">
        <x:v>master</x:v>
      </x:c>
      <x:c r="AK3950" s="87" t="str">
        <x:v>master-v0.81</x:v>
      </x:c>
      <x:c r="AL3950" s="87" t="str">
        <x:v>statgrad_master_base_v0_81_final(2).xlsx</x:v>
      </x:c>
      <x:c r="AM3950" s="87" t="str">
        <x:v>SOC_Nov_V4</x:v>
      </x:c>
      <x:c r="AN3950" s="87" t="n">
        <x:v>26</x:v>
      </x:c>
    </x:row>
    <x:row r="3951">
      <x:c r="A3951" s="87" t="n">
        <x:v>3950</x:v>
      </x:c>
      <x:c r="B3951" s="87" t="str">
        <x:v>NOV-GEO-V1-001</x:v>
      </x:c>
      <x:c r="C3951" s="87" t="str">
        <x:v>СтатГрад</x:v>
      </x:c>
      <x:c r="D3951" s="87" t="str">
        <x:v>Ноябрь 2025</x:v>
      </x:c>
      <x:c r="E3951" s="87"/>
      <x:c r="F3951" s="87"/>
      <x:c r="G3951" s="87" t="str">
        <x:v>География</x:v>
      </x:c>
      <x:c r="H3951" s="87" t="n">
        <x:v>11</x:v>
      </x:c>
      <x:c r="I3951" s="87" t="str">
        <x:v>ТР №2</x:v>
      </x:c>
      <x:c r="J3951" s="87" t="str">
        <x:v>ГГ2510201</x:v>
      </x:c>
      <x:c r="K3951" s="87" t="n">
        <x:v>1</x:v>
      </x:c>
      <x:c r="L3951" s="87" t="str">
        <x:v>Географические координаты</x:v>
      </x:c>
      <x:c r="M3951" s="30" t="str">
        <x:v>Город Карнвуд: 53°11′ с.ш., 114°38′ з.д. Определить государство.</x:v>
      </x:c>
      <x:c r="N3951" s="30" t="str">
        <x:v>Канада</x:v>
      </x:c>
      <x:c r="O3951" s="30" t="str">
        <x:v>Координаты находятся в западной части Канады, в провинции Альберта.</x:v>
      </x:c>
      <x:c r="P3951" s="30" t="str">
        <x:v>Точка повторно нанесена на политическую карту мира из справочных материалов.</x:v>
      </x:c>
      <x:c r="Q3951" s="30"/>
      <x:c r="R3951" s="30" t="str">
        <x:v>Kriterii_GG11_24112025.pdf; Zadanie_GG11_24112025.pdf; Spravochnye_materialy_GG11_24112025.pdf</x:v>
      </x:c>
      <x:c r="S3951" s="30"/>
      <x:c r="T3951" s="30"/>
      <x:c r="U3951" s="30" t="str">
        <x:v>Расхождений не обнаружено.</x:v>
      </x:c>
      <x:c r="V3951" s="87" t="str">
        <x:v>VERIFIED</x:v>
      </x:c>
      <x:c r="W3951" s="87" t="str">
        <x:v>PDF, стр. 2</x:v>
      </x:c>
      <x:c r="X3951" s="87"/>
      <x:c r="Y3951" s="87"/>
      <x:c r="Z3951" s="87"/>
      <x:c r="AA3951" s="87"/>
      <x:c r="AB3951" s="87"/>
      <x:c r="AC3951" s="87" t="str">
        <x:v>VIS-GEO-NOV-001; VIS-GEO-NOV-014</x:v>
      </x:c>
      <x:c r="AD3951" s="87"/>
      <x:c r="AE3951" s="87"/>
      <x:c r="AF3951" s="87" t="str">
        <x:v>VIS-GEO-NOV-001: 2; VIS-GEO-NOV-014: 1</x:v>
      </x:c>
      <x:c r="AG3951" s="87" t="str">
        <x:v>RESOLVED</x:v>
      </x:c>
      <x:c r="AH3951" s="87" t="str">
        <x:v>CROP_VERIFIED</x:v>
      </x:c>
      <x:c r="AI3951" s="30"/>
      <x:c r="AJ3951" s="87" t="str">
        <x:v>master</x:v>
      </x:c>
      <x:c r="AK3951" s="87" t="str">
        <x:v>master-v0.81</x:v>
      </x:c>
      <x:c r="AL3951" s="87" t="str">
        <x:v>statgrad_master_base_v0_81_final(2).xlsx</x:v>
      </x:c>
      <x:c r="AM3951" s="87" t="str">
        <x:v>GEO_Nov_V1</x:v>
      </x:c>
      <x:c r="AN3951" s="87" t="n">
        <x:v>2</x:v>
      </x:c>
    </x:row>
    <x:row r="3952">
      <x:c r="A3952" s="87" t="n">
        <x:v>3951</x:v>
      </x:c>
      <x:c r="B3952" s="87" t="str">
        <x:v>NOV-GEO-V1-002</x:v>
      </x:c>
      <x:c r="C3952" s="87" t="str">
        <x:v>СтатГрад</x:v>
      </x:c>
      <x:c r="D3952" s="87" t="str">
        <x:v>Ноябрь 2025</x:v>
      </x:c>
      <x:c r="E3952" s="87"/>
      <x:c r="F3952" s="87"/>
      <x:c r="G3952" s="87" t="str">
        <x:v>География</x:v>
      </x:c>
      <x:c r="H3952" s="87" t="n">
        <x:v>11</x:v>
      </x:c>
      <x:c r="I3952" s="87" t="str">
        <x:v>ТР №2</x:v>
      </x:c>
      <x:c r="J3952" s="87" t="str">
        <x:v>ГГ2510201</x:v>
      </x:c>
      <x:c r="K3952" s="87" t="n">
        <x:v>2</x:v>
      </x:c>
      <x:c r="L3952" s="87" t="str">
        <x:v>Высота и температура воздуха</x:v>
      </x:c>
      <x:c r="M3952" s="30" t="str">
        <x:v>На трёх метеостанциях на склоне одновременно измерены температуры: №1 −3 °C, №2 +4 °C, №3 +1 °C. Расположить станции по увеличению высоты.</x:v>
      </x:c>
      <x:c r="N3952" s="30" t="str">
        <x:v>231</x:v>
      </x:c>
      <x:c r="O3952" s="30" t="str">
        <x:v>С высотой температура понижается: +4 °C → +1 °C → −3 °C, поэтому 2–3–1.</x:v>
      </x:c>
      <x:c r="P3952" s="30" t="str">
        <x:v>Порядок проверен по вертикальному градиенту температуры при одновременных измерениях.</x:v>
      </x:c>
      <x:c r="Q3952" s="30"/>
      <x:c r="R3952" s="30" t="str">
        <x:v>image_2025-11-25_10-21-56.png; Zadanie_GG11_24112025.pdf</x:v>
      </x:c>
      <x:c r="S3952" s="30"/>
      <x:c r="T3952" s="30"/>
      <x:c r="U3952" s="30" t="str">
        <x:v>Фото-ключ и независимое решение совпали.</x:v>
      </x:c>
      <x:c r="V3952" s="87" t="str">
        <x:v>VERIFIED</x:v>
      </x:c>
      <x:c r="W3952" s="87" t="str">
        <x:v>PDF, стр. 2</x:v>
      </x:c>
      <x:c r="X3952" s="87"/>
      <x:c r="Y3952" s="87"/>
      <x:c r="Z3952" s="87"/>
      <x:c r="AA3952" s="87"/>
      <x:c r="AB3952" s="87"/>
      <x:c r="AC3952" s="87" t="str">
        <x:v>VIS-GEO-NOV-001</x:v>
      </x:c>
      <x:c r="AD3952" s="87"/>
      <x:c r="AE3952" s="87"/>
      <x:c r="AF3952" s="87" t="str">
        <x:v>VIS-GEO-NOV-001: 2</x:v>
      </x:c>
      <x:c r="AG3952" s="87" t="str">
        <x:v>RESOLVED</x:v>
      </x:c>
      <x:c r="AH3952" s="87" t="str">
        <x:v>CROP_VERIFIED</x:v>
      </x:c>
      <x:c r="AI3952" s="30"/>
      <x:c r="AJ3952" s="87" t="str">
        <x:v>master</x:v>
      </x:c>
      <x:c r="AK3952" s="87" t="str">
        <x:v>master-v0.81</x:v>
      </x:c>
      <x:c r="AL3952" s="87" t="str">
        <x:v>statgrad_master_base_v0_81_final(2).xlsx</x:v>
      </x:c>
      <x:c r="AM3952" s="87" t="str">
        <x:v>GEO_Nov_V1</x:v>
      </x:c>
      <x:c r="AN3952" s="87" t="n">
        <x:v>3</x:v>
      </x:c>
    </x:row>
    <x:row r="3953">
      <x:c r="A3953" s="87" t="n">
        <x:v>3952</x:v>
      </x:c>
      <x:c r="B3953" s="87" t="str">
        <x:v>NOV-GEO-V1-003</x:v>
      </x:c>
      <x:c r="C3953" s="87" t="str">
        <x:v>СтатГрад</x:v>
      </x:c>
      <x:c r="D3953" s="87" t="str">
        <x:v>Ноябрь 2025</x:v>
      </x:c>
      <x:c r="E3953" s="87"/>
      <x:c r="F3953" s="87"/>
      <x:c r="G3953" s="87" t="str">
        <x:v>География</x:v>
      </x:c>
      <x:c r="H3953" s="87" t="n">
        <x:v>11</x:v>
      </x:c>
      <x:c r="I3953" s="87" t="str">
        <x:v>ТР №2</x:v>
      </x:c>
      <x:c r="J3953" s="87" t="str">
        <x:v>ГГ2510201</x:v>
      </x:c>
      <x:c r="K3953" s="87" t="n">
        <x:v>3</x:v>
      </x:c>
      <x:c r="L3953" s="87" t="str">
        <x:v>Ледовый режим и речная навигация</x:v>
      </x:c>
      <x:c r="M3953" s="30" t="str">
        <x:v>Расположить Ростовскую область, Республику Саха (Якутия) и Республику Марий Эл по увеличению продолжительности навигационного периода.</x:v>
      </x:c>
      <x:c r="N3953" s="30" t="str">
        <x:v>231</x:v>
      </x:c>
      <x:c r="O3953" s="30" t="str">
        <x:v>Самый короткий период в Якутии, затем в Марий Эл; наиболее продолжительный — в Ростовской области.</x:v>
      </x:c>
      <x:c r="P3953" s="30" t="str">
        <x:v>Сопоставлены широта, продолжительность ледостава и климат трёх регионов.</x:v>
      </x:c>
      <x:c r="Q3953" s="30"/>
      <x:c r="R3953" s="30" t="str">
        <x:v>image_2025-11-25_10-21-56.png; Zadanie_GG11_24112025.pdf; Spravochnye_materialy_GG11_24112025.pdf</x:v>
      </x:c>
      <x:c r="S3953" s="30"/>
      <x:c r="T3953" s="30"/>
      <x:c r="U3953" s="30" t="str">
        <x:v>Расхождений не обнаружено.</x:v>
      </x:c>
      <x:c r="V3953" s="87" t="str">
        <x:v>VERIFIED</x:v>
      </x:c>
      <x:c r="W3953" s="87" t="str">
        <x:v>PDF, стр. 2</x:v>
      </x:c>
      <x:c r="X3953" s="87"/>
      <x:c r="Y3953" s="87"/>
      <x:c r="Z3953" s="87"/>
      <x:c r="AA3953" s="87"/>
      <x:c r="AB3953" s="87"/>
      <x:c r="AC3953" s="87" t="str">
        <x:v>VIS-GEO-NOV-001; VIS-GEO-NOV-015</x:v>
      </x:c>
      <x:c r="AD3953" s="87"/>
      <x:c r="AE3953" s="87"/>
      <x:c r="AF3953" s="87" t="str">
        <x:v>VIS-GEO-NOV-001: 2; VIS-GEO-NOV-015: 2</x:v>
      </x:c>
      <x:c r="AG3953" s="87" t="str">
        <x:v>RESOLVED</x:v>
      </x:c>
      <x:c r="AH3953" s="87" t="str">
        <x:v>CROP_VERIFIED</x:v>
      </x:c>
      <x:c r="AI3953" s="30"/>
      <x:c r="AJ3953" s="87" t="str">
        <x:v>master</x:v>
      </x:c>
      <x:c r="AK3953" s="87" t="str">
        <x:v>master-v0.81</x:v>
      </x:c>
      <x:c r="AL3953" s="87" t="str">
        <x:v>statgrad_master_base_v0_81_final(2).xlsx</x:v>
      </x:c>
      <x:c r="AM3953" s="87" t="str">
        <x:v>GEO_Nov_V1</x:v>
      </x:c>
      <x:c r="AN3953" s="87" t="n">
        <x:v>4</x:v>
      </x:c>
    </x:row>
    <x:row r="3954">
      <x:c r="A3954" s="87" t="n">
        <x:v>3953</x:v>
      </x:c>
      <x:c r="B3954" s="87" t="str">
        <x:v>NOV-GEO-V1-004</x:v>
      </x:c>
      <x:c r="C3954" s="87" t="str">
        <x:v>СтатГрад</x:v>
      </x:c>
      <x:c r="D3954" s="87" t="str">
        <x:v>Ноябрь 2025</x:v>
      </x:c>
      <x:c r="E3954" s="87"/>
      <x:c r="F3954" s="87"/>
      <x:c r="G3954" s="87" t="str">
        <x:v>География</x:v>
      </x:c>
      <x:c r="H3954" s="87" t="n">
        <x:v>11</x:v>
      </x:c>
      <x:c r="I3954" s="87" t="str">
        <x:v>ТР №2</x:v>
      </x:c>
      <x:c r="J3954" s="87" t="str">
        <x:v>ГГ2510201</x:v>
      </x:c>
      <x:c r="K3954" s="87" t="n">
        <x:v>4</x:v>
      </x:c>
      <x:c r="L3954" s="87" t="str">
        <x:v>Географическое положение островов</x:v>
      </x:c>
      <x:c r="M3954" s="30" t="str">
        <x:v>Расположить с запада на восток острова: Кипр, Ньюфаундленд, Хоккайдо.</x:v>
      </x:c>
      <x:c r="N3954" s="30" t="str">
        <x:v>213</x:v>
      </x:c>
      <x:c r="O3954" s="30" t="str">
        <x:v>Ньюфаундленд расположен в Западном полушарии, Кипр — в восточной части Средиземного моря, Хоккайдо — у восточных берегов Азии.</x:v>
      </x:c>
      <x:c r="P3954" s="30" t="str">
        <x:v>Долготы островов повторно сопоставлены с политической картой мира.</x:v>
      </x:c>
      <x:c r="Q3954" s="30"/>
      <x:c r="R3954" s="30" t="str">
        <x:v>image_2025-11-25_10-21-56.png; Zadanie_GG11_24112025.pdf; Spravochnye_materialy_GG11_24112025.pdf</x:v>
      </x:c>
      <x:c r="S3954" s="30"/>
      <x:c r="T3954" s="30"/>
      <x:c r="U3954" s="30" t="str">
        <x:v>Расхождений не обнаружено.</x:v>
      </x:c>
      <x:c r="V3954" s="87" t="str">
        <x:v>VERIFIED</x:v>
      </x:c>
      <x:c r="W3954" s="87" t="str">
        <x:v>PDF, стр. 3</x:v>
      </x:c>
      <x:c r="X3954" s="87"/>
      <x:c r="Y3954" s="87"/>
      <x:c r="Z3954" s="87"/>
      <x:c r="AA3954" s="87"/>
      <x:c r="AB3954" s="87"/>
      <x:c r="AC3954" s="87" t="str">
        <x:v>VIS-GEO-NOV-002; VIS-GEO-NOV-014</x:v>
      </x:c>
      <x:c r="AD3954" s="87"/>
      <x:c r="AE3954" s="87"/>
      <x:c r="AF3954" s="87" t="str">
        <x:v>VIS-GEO-NOV-002: 3; VIS-GEO-NOV-014: 1</x:v>
      </x:c>
      <x:c r="AG3954" s="87" t="str">
        <x:v>RESOLVED</x:v>
      </x:c>
      <x:c r="AH3954" s="87" t="str">
        <x:v>CROP_VERIFIED</x:v>
      </x:c>
      <x:c r="AI3954" s="30"/>
      <x:c r="AJ3954" s="87" t="str">
        <x:v>master</x:v>
      </x:c>
      <x:c r="AK3954" s="87" t="str">
        <x:v>master-v0.81</x:v>
      </x:c>
      <x:c r="AL3954" s="87" t="str">
        <x:v>statgrad_master_base_v0_81_final(2).xlsx</x:v>
      </x:c>
      <x:c r="AM3954" s="87" t="str">
        <x:v>GEO_Nov_V1</x:v>
      </x:c>
      <x:c r="AN3954" s="87" t="n">
        <x:v>5</x:v>
      </x:c>
    </x:row>
    <x:row r="3955">
      <x:c r="A3955" s="87" t="n">
        <x:v>3954</x:v>
      </x:c>
      <x:c r="B3955" s="87" t="str">
        <x:v>NOV-GEO-V1-005</x:v>
      </x:c>
      <x:c r="C3955" s="87" t="str">
        <x:v>СтатГрад</x:v>
      </x:c>
      <x:c r="D3955" s="87" t="str">
        <x:v>Ноябрь 2025</x:v>
      </x:c>
      <x:c r="E3955" s="87"/>
      <x:c r="F3955" s="87"/>
      <x:c r="G3955" s="87" t="str">
        <x:v>География</x:v>
      </x:c>
      <x:c r="H3955" s="87" t="n">
        <x:v>11</x:v>
      </x:c>
      <x:c r="I3955" s="87" t="str">
        <x:v>ТР №2</x:v>
      </x:c>
      <x:c r="J3955" s="87" t="str">
        <x:v>ГГ2510201</x:v>
      </x:c>
      <x:c r="K3955" s="87" t="n">
        <x:v>5</x:v>
      </x:c>
      <x:c r="L3955" s="87" t="str">
        <x:v>Демографические понятия</x:v>
      </x:c>
      <x:c r="M3955" s="30" t="str">
        <x:v>Заполнить пропуски в тексте о Пакистане: выезжающие из страны; показатель, рост которого вместе со снижением рождаемости ведёт к старению; возрастная группа.</x:v>
      </x:c>
      <x:c r="N3955" s="30" t="str">
        <x:v>153</x:v>
      </x:c>
      <x:c r="O3955" s="30" t="str">
        <x:v>Выезжающие — эмигранты (1); растёт средняя продолжительность жизни (5); увеличивается доля лиц старше 65 лет (3).</x:v>
      </x:c>
      <x:c r="P3955" s="30" t="str">
        <x:v>Все три слова проверены по смыслу, демографической терминологии и грамматической форме.</x:v>
      </x:c>
      <x:c r="Q3955" s="30"/>
      <x:c r="R3955" s="30" t="str">
        <x:v>Kriterii_GG11_24112025.pdf; Zadanie_GG11_24112025.pdf</x:v>
      </x:c>
      <x:c r="S3955" s="30"/>
      <x:c r="T3955" s="30"/>
      <x:c r="U3955" s="30" t="str">
        <x:v>Официальный ключ подтверждает 153.</x:v>
      </x:c>
      <x:c r="V3955" s="87" t="str">
        <x:v>VERIFIED</x:v>
      </x:c>
      <x:c r="W3955" s="87" t="str">
        <x:v>PDF, стр. 3–4</x:v>
      </x:c>
      <x:c r="X3955" s="87"/>
      <x:c r="Y3955" s="87"/>
      <x:c r="Z3955" s="87"/>
      <x:c r="AA3955" s="87"/>
      <x:c r="AB3955" s="87"/>
      <x:c r="AC3955" s="87" t="str">
        <x:v>VIS-GEO-NOV-002; VIS-GEO-NOV-003</x:v>
      </x:c>
      <x:c r="AD3955" s="87"/>
      <x:c r="AE3955" s="87"/>
      <x:c r="AF3955" s="87" t="str">
        <x:v>VIS-GEO-NOV-002: 3; VIS-GEO-NOV-003: 4</x:v>
      </x:c>
      <x:c r="AG3955" s="87" t="str">
        <x:v>RESOLVED</x:v>
      </x:c>
      <x:c r="AH3955" s="87" t="str">
        <x:v>CROP_VERIFIED</x:v>
      </x:c>
      <x:c r="AI3955" s="30"/>
      <x:c r="AJ3955" s="87" t="str">
        <x:v>master</x:v>
      </x:c>
      <x:c r="AK3955" s="87" t="str">
        <x:v>master-v0.81</x:v>
      </x:c>
      <x:c r="AL3955" s="87" t="str">
        <x:v>statgrad_master_base_v0_81_final(2).xlsx</x:v>
      </x:c>
      <x:c r="AM3955" s="87" t="str">
        <x:v>GEO_Nov_V1</x:v>
      </x:c>
      <x:c r="AN3955" s="87" t="n">
        <x:v>6</x:v>
      </x:c>
    </x:row>
    <x:row r="3956">
      <x:c r="A3956" s="87" t="n">
        <x:v>3955</x:v>
      </x:c>
      <x:c r="B3956" s="87" t="str">
        <x:v>NOV-GEO-V1-006</x:v>
      </x:c>
      <x:c r="C3956" s="87" t="str">
        <x:v>СтатГрад</x:v>
      </x:c>
      <x:c r="D3956" s="87" t="str">
        <x:v>Ноябрь 2025</x:v>
      </x:c>
      <x:c r="E3956" s="87"/>
      <x:c r="F3956" s="87"/>
      <x:c r="G3956" s="87" t="str">
        <x:v>География</x:v>
      </x:c>
      <x:c r="H3956" s="87" t="n">
        <x:v>11</x:v>
      </x:c>
      <x:c r="I3956" s="87" t="str">
        <x:v>ТР №2</x:v>
      </x:c>
      <x:c r="J3956" s="87" t="str">
        <x:v>ГГ2510201</x:v>
      </x:c>
      <x:c r="K3956" s="87" t="n">
        <x:v>6</x:v>
      </x:c>
      <x:c r="L3956" s="87" t="str">
        <x:v>Плотность населения России</x:v>
      </x:c>
      <x:c r="M3956" s="30" t="str">
        <x:v>Выбрать три региона с наименьшей средней плотностью населения: Чувашия, Тыва, Ярославская область, Алтай, Саратовская область, Иркутская область.</x:v>
      </x:c>
      <x:c r="N3956" s="30" t="str">
        <x:v>246</x:v>
      </x:c>
      <x:c r="O3956" s="30" t="str">
        <x:v>Тыва, Республика Алтай и Иркутская область имеют огромную территорию и сравнительно малую численность населения.</x:v>
      </x:c>
      <x:c r="P3956" s="30" t="str">
        <x:v>Плотности шести регионов сопоставлены независимо; три минимальных значения соответствуют позициям 2, 4 и 6.</x:v>
      </x:c>
      <x:c r="Q3956" s="30"/>
      <x:c r="R3956" s="30" t="str">
        <x:v>image_2025-11-25_10-21-56.png; Zadanie_GG11_24112025.pdf</x:v>
      </x:c>
      <x:c r="S3956" s="30"/>
      <x:c r="T3956" s="30"/>
      <x:c r="U3956" s="30" t="str">
        <x:v>Расхождений не обнаружено.</x:v>
      </x:c>
      <x:c r="V3956" s="87" t="str">
        <x:v>VERIFIED</x:v>
      </x:c>
      <x:c r="W3956" s="87" t="str">
        <x:v>PDF, стр. 4</x:v>
      </x:c>
      <x:c r="X3956" s="87"/>
      <x:c r="Y3956" s="87"/>
      <x:c r="Z3956" s="87"/>
      <x:c r="AA3956" s="87"/>
      <x:c r="AB3956" s="87"/>
      <x:c r="AC3956" s="87" t="str">
        <x:v>VIS-GEO-NOV-003; VIS-GEO-NOV-015</x:v>
      </x:c>
      <x:c r="AD3956" s="87"/>
      <x:c r="AE3956" s="87"/>
      <x:c r="AF3956" s="87" t="str">
        <x:v>VIS-GEO-NOV-003: 4; VIS-GEO-NOV-015: 2</x:v>
      </x:c>
      <x:c r="AG3956" s="87" t="str">
        <x:v>RESOLVED</x:v>
      </x:c>
      <x:c r="AH3956" s="87" t="str">
        <x:v>CROP_VERIFIED</x:v>
      </x:c>
      <x:c r="AI3956" s="30"/>
      <x:c r="AJ3956" s="87" t="str">
        <x:v>master</x:v>
      </x:c>
      <x:c r="AK3956" s="87" t="str">
        <x:v>master-v0.81</x:v>
      </x:c>
      <x:c r="AL3956" s="87" t="str">
        <x:v>statgrad_master_base_v0_81_final(2).xlsx</x:v>
      </x:c>
      <x:c r="AM3956" s="87" t="str">
        <x:v>GEO_Nov_V1</x:v>
      </x:c>
      <x:c r="AN3956" s="87" t="n">
        <x:v>7</x:v>
      </x:c>
    </x:row>
    <x:row r="3957">
      <x:c r="A3957" s="87" t="n">
        <x:v>3956</x:v>
      </x:c>
      <x:c r="B3957" s="87" t="str">
        <x:v>NOV-GEO-V1-007</x:v>
      </x:c>
      <x:c r="C3957" s="87" t="str">
        <x:v>СтатГрад</x:v>
      </x:c>
      <x:c r="D3957" s="87" t="str">
        <x:v>Ноябрь 2025</x:v>
      </x:c>
      <x:c r="E3957" s="87"/>
      <x:c r="F3957" s="87"/>
      <x:c r="G3957" s="87" t="str">
        <x:v>География</x:v>
      </x:c>
      <x:c r="H3957" s="87" t="n">
        <x:v>11</x:v>
      </x:c>
      <x:c r="I3957" s="87" t="str">
        <x:v>ТР №2</x:v>
      </x:c>
      <x:c r="J3957" s="87" t="str">
        <x:v>ГГ2510201</x:v>
      </x:c>
      <x:c r="K3957" s="87" t="n">
        <x:v>7</x:v>
      </x:c>
      <x:c r="L3957" s="87" t="str">
        <x:v>Структура ВВП по секторам</x:v>
      </x:c>
      <x:c r="M3957" s="30" t="str">
        <x:v>Соотнести Канаду, Мали и Турцию со структурами ВВП: 70/28/2; 44/20/36; 68/26/6 (услуги/промышленность/сельское хозяйство).</x:v>
      </x:c>
      <x:c r="N3957" s="30" t="str">
        <x:v>123</x:v>
      </x:c>
      <x:c r="O3957" s="30" t="str">
        <x:v>Канада — развитая постиндустриальная экономика (1), Мали — высокая доля сельского хозяйства (2), Турция — промежуточная структура (3).</x:v>
      </x:c>
      <x:c r="P3957" s="30" t="str">
        <x:v>Для каждой страны отдельно проверены уровень развития и доля сельского хозяйства.</x:v>
      </x:c>
      <x:c r="Q3957" s="30"/>
      <x:c r="R3957" s="30" t="str">
        <x:v>image_2025-11-25_10-21-56.png; Zadanie_GG11_24112025.pdf</x:v>
      </x:c>
      <x:c r="S3957" s="30"/>
      <x:c r="T3957" s="30"/>
      <x:c r="U3957" s="30" t="str">
        <x:v>Расхождений не обнаружено.</x:v>
      </x:c>
      <x:c r="V3957" s="87" t="str">
        <x:v>VERIFIED</x:v>
      </x:c>
      <x:c r="W3957" s="87" t="str">
        <x:v>PDF, стр. 5</x:v>
      </x:c>
      <x:c r="X3957" s="87"/>
      <x:c r="Y3957" s="87"/>
      <x:c r="Z3957" s="87"/>
      <x:c r="AA3957" s="87"/>
      <x:c r="AB3957" s="87"/>
      <x:c r="AC3957" s="87" t="str">
        <x:v>VIS-GEO-NOV-004</x:v>
      </x:c>
      <x:c r="AD3957" s="87"/>
      <x:c r="AE3957" s="87"/>
      <x:c r="AF3957" s="87" t="str">
        <x:v>VIS-GEO-NOV-004: 5</x:v>
      </x:c>
      <x:c r="AG3957" s="87" t="str">
        <x:v>RESOLVED</x:v>
      </x:c>
      <x:c r="AH3957" s="87" t="str">
        <x:v>CROP_VERIFIED</x:v>
      </x:c>
      <x:c r="AI3957" s="30"/>
      <x:c r="AJ3957" s="87" t="str">
        <x:v>master</x:v>
      </x:c>
      <x:c r="AK3957" s="87" t="str">
        <x:v>master-v0.81</x:v>
      </x:c>
      <x:c r="AL3957" s="87" t="str">
        <x:v>statgrad_master_base_v0_81_final(2).xlsx</x:v>
      </x:c>
      <x:c r="AM3957" s="87" t="str">
        <x:v>GEO_Nov_V1</x:v>
      </x:c>
      <x:c r="AN3957" s="87" t="n">
        <x:v>8</x:v>
      </x:c>
    </x:row>
    <x:row r="3958">
      <x:c r="A3958" s="87" t="n">
        <x:v>3957</x:v>
      </x:c>
      <x:c r="B3958" s="87" t="str">
        <x:v>NOV-GEO-V1-008</x:v>
      </x:c>
      <x:c r="C3958" s="87" t="str">
        <x:v>СтатГрад</x:v>
      </x:c>
      <x:c r="D3958" s="87" t="str">
        <x:v>Ноябрь 2025</x:v>
      </x:c>
      <x:c r="E3958" s="87"/>
      <x:c r="F3958" s="87"/>
      <x:c r="G3958" s="87" t="str">
        <x:v>География</x:v>
      </x:c>
      <x:c r="H3958" s="87" t="n">
        <x:v>11</x:v>
      </x:c>
      <x:c r="I3958" s="87" t="str">
        <x:v>ТР №2</x:v>
      </x:c>
      <x:c r="J3958" s="87" t="str">
        <x:v>ГГ2510201</x:v>
      </x:c>
      <x:c r="K3958" s="87" t="n">
        <x:v>8</x:v>
      </x:c>
      <x:c r="L3958" s="87" t="str">
        <x:v>Рождаемость населения</x:v>
      </x:c>
      <x:c r="M3958" s="30" t="str">
        <x:v>Расположить Швецию, Индонезию и Эфиопию по возрастанию рождаемости.</x:v>
      </x:c>
      <x:c r="N3958" s="30" t="str">
        <x:v>321</x:v>
      </x:c>
      <x:c r="O3958" s="30" t="str">
        <x:v>Наименьшая рождаемость в Швеции, выше в Индонезии, максимальная — в Эфиопии.</x:v>
      </x:c>
      <x:c r="P3958" s="30" t="str">
        <x:v>Порядок соответствует стадиям демографического перехода и повторно подтверждён официальным ключом.</x:v>
      </x:c>
      <x:c r="Q3958" s="30"/>
      <x:c r="R3958" s="30" t="str">
        <x:v>Kriterii_GG11_24112025.pdf; image_2025-11-25_10-21-56.png; Zadanie_GG11_24112025.pdf</x:v>
      </x:c>
      <x:c r="S3958" s="30"/>
      <x:c r="T3958" s="30"/>
      <x:c r="U3958" s="30" t="str">
        <x:v>Два первичных ключа совпали.</x:v>
      </x:c>
      <x:c r="V3958" s="87" t="str">
        <x:v>VERIFIED</x:v>
      </x:c>
      <x:c r="W3958" s="87" t="str">
        <x:v>PDF, стр. 5</x:v>
      </x:c>
      <x:c r="X3958" s="87"/>
      <x:c r="Y3958" s="87"/>
      <x:c r="Z3958" s="87"/>
      <x:c r="AA3958" s="87"/>
      <x:c r="AB3958" s="87"/>
      <x:c r="AC3958" s="87" t="str">
        <x:v>VIS-GEO-NOV-004</x:v>
      </x:c>
      <x:c r="AD3958" s="87"/>
      <x:c r="AE3958" s="87"/>
      <x:c r="AF3958" s="87" t="str">
        <x:v>VIS-GEO-NOV-004: 5</x:v>
      </x:c>
      <x:c r="AG3958" s="87" t="str">
        <x:v>RESOLVED</x:v>
      </x:c>
      <x:c r="AH3958" s="87" t="str">
        <x:v>CROP_VERIFIED</x:v>
      </x:c>
      <x:c r="AI3958" s="30"/>
      <x:c r="AJ3958" s="87" t="str">
        <x:v>master</x:v>
      </x:c>
      <x:c r="AK3958" s="87" t="str">
        <x:v>master-v0.81</x:v>
      </x:c>
      <x:c r="AL3958" s="87" t="str">
        <x:v>statgrad_master_base_v0_81_final(2).xlsx</x:v>
      </x:c>
      <x:c r="AM3958" s="87" t="str">
        <x:v>GEO_Nov_V1</x:v>
      </x:c>
      <x:c r="AN3958" s="87" t="n">
        <x:v>9</x:v>
      </x:c>
    </x:row>
    <x:row r="3959">
      <x:c r="A3959" s="87" t="n">
        <x:v>3958</x:v>
      </x:c>
      <x:c r="B3959" s="87" t="str">
        <x:v>NOV-GEO-V1-009</x:v>
      </x:c>
      <x:c r="C3959" s="87" t="str">
        <x:v>СтатГрад</x:v>
      </x:c>
      <x:c r="D3959" s="87" t="str">
        <x:v>Ноябрь 2025</x:v>
      </x:c>
      <x:c r="E3959" s="87"/>
      <x:c r="F3959" s="87"/>
      <x:c r="G3959" s="87" t="str">
        <x:v>География</x:v>
      </x:c>
      <x:c r="H3959" s="87" t="n">
        <x:v>11</x:v>
      </x:c>
      <x:c r="I3959" s="87" t="str">
        <x:v>ТР №2</x:v>
      </x:c>
      <x:c r="J3959" s="87" t="str">
        <x:v>ГГ2510201</x:v>
      </x:c>
      <x:c r="K3959" s="87" t="n">
        <x:v>9</x:v>
      </x:c>
      <x:c r="L3959" s="87" t="str">
        <x:v>Густота автомобильных дорог</x:v>
      </x:c>
      <x:c r="M3959" s="30" t="str">
        <x:v>Выбрать три региона с наибольшей густотой автодорог: Амурская, Тульская, Иркутская, Волгоградская области, Татарстан, Коми.</x:v>
      </x:c>
      <x:c r="N3959" s="30" t="str">
        <x:v>245</x:v>
      </x:c>
      <x:c r="O3959" s="30" t="str">
        <x:v>Тульская и Волгоградская области и Татарстан находятся в более освоенной части страны и имеют более плотную сеть дорог.</x:v>
      </x:c>
      <x:c r="P3959" s="30" t="str">
        <x:v>Сопоставлены освоенность территории, плотность населения и конфигурация дорожной сети.</x:v>
      </x:c>
      <x:c r="Q3959" s="30"/>
      <x:c r="R3959" s="30" t="str">
        <x:v>image_2025-11-25_10-21-56.png; Zadanie_GG11_24112025.pdf</x:v>
      </x:c>
      <x:c r="S3959" s="30"/>
      <x:c r="T3959" s="30"/>
      <x:c r="U3959" s="30" t="str">
        <x:v>Расхождений не обнаружено.</x:v>
      </x:c>
      <x:c r="V3959" s="87" t="str">
        <x:v>VERIFIED</x:v>
      </x:c>
      <x:c r="W3959" s="87" t="str">
        <x:v>PDF, стр. 6</x:v>
      </x:c>
      <x:c r="X3959" s="87"/>
      <x:c r="Y3959" s="87"/>
      <x:c r="Z3959" s="87"/>
      <x:c r="AA3959" s="87"/>
      <x:c r="AB3959" s="87"/>
      <x:c r="AC3959" s="87" t="str">
        <x:v>VIS-GEO-NOV-005</x:v>
      </x:c>
      <x:c r="AD3959" s="87"/>
      <x:c r="AE3959" s="87"/>
      <x:c r="AF3959" s="87" t="str">
        <x:v>VIS-GEO-NOV-005: 6</x:v>
      </x:c>
      <x:c r="AG3959" s="87" t="str">
        <x:v>RESOLVED</x:v>
      </x:c>
      <x:c r="AH3959" s="87" t="str">
        <x:v>CROP_VERIFIED</x:v>
      </x:c>
      <x:c r="AI3959" s="30"/>
      <x:c r="AJ3959" s="87" t="str">
        <x:v>master</x:v>
      </x:c>
      <x:c r="AK3959" s="87" t="str">
        <x:v>master-v0.81</x:v>
      </x:c>
      <x:c r="AL3959" s="87" t="str">
        <x:v>statgrad_master_base_v0_81_final(2).xlsx</x:v>
      </x:c>
      <x:c r="AM3959" s="87" t="str">
        <x:v>GEO_Nov_V1</x:v>
      </x:c>
      <x:c r="AN3959" s="87" t="n">
        <x:v>10</x:v>
      </x:c>
    </x:row>
    <x:row r="3960">
      <x:c r="A3960" s="87" t="n">
        <x:v>3959</x:v>
      </x:c>
      <x:c r="B3960" s="87" t="str">
        <x:v>NOV-GEO-V1-010</x:v>
      </x:c>
      <x:c r="C3960" s="87" t="str">
        <x:v>СтатГрад</x:v>
      </x:c>
      <x:c r="D3960" s="87" t="str">
        <x:v>Ноябрь 2025</x:v>
      </x:c>
      <x:c r="E3960" s="87"/>
      <x:c r="F3960" s="87"/>
      <x:c r="G3960" s="87" t="str">
        <x:v>География</x:v>
      </x:c>
      <x:c r="H3960" s="87" t="n">
        <x:v>11</x:v>
      </x:c>
      <x:c r="I3960" s="87" t="str">
        <x:v>ТР №2</x:v>
      </x:c>
      <x:c r="J3960" s="87" t="str">
        <x:v>ГГ2510201</x:v>
      </x:c>
      <x:c r="K3960" s="87" t="n">
        <x:v>10</x:v>
      </x:c>
      <x:c r="L3960" s="87" t="str">
        <x:v>Индексы сельскохозяйственного производства</x:v>
      </x:c>
      <x:c r="M3960" s="30" t="str">
        <x:v>По индексам 2020–2022 гг. выбрать регионы, где объём сельхозпроизводства увеличивался ежегодно.</x:v>
      </x:c>
      <x:c r="N3960" s="30" t="str">
        <x:v>23</x:v>
      </x:c>
      <x:c r="O3960" s="30" t="str">
        <x:v>Во все три года индекс был выше 100 % только в Калужской (2) и Ленинградской (3) областях.</x:v>
      </x:c>
      <x:c r="P3960" s="30" t="str">
        <x:v>Каждая строка таблицы проверена по условию «строго выше 100 % в каждом году».</x:v>
      </x:c>
      <x:c r="Q3960" s="30"/>
      <x:c r="R3960" s="30" t="str">
        <x:v>image_2025-11-25_10-21-56.png; Zadanie_GG11_24112025.pdf</x:v>
      </x:c>
      <x:c r="S3960" s="30"/>
      <x:c r="T3960" s="30"/>
      <x:c r="U3960" s="30" t="str">
        <x:v>100,0 % у Ярославской области не означает увеличение.</x:v>
      </x:c>
      <x:c r="V3960" s="87" t="str">
        <x:v>VERIFIED</x:v>
      </x:c>
      <x:c r="W3960" s="87" t="str">
        <x:v>PDF, стр. 6</x:v>
      </x:c>
      <x:c r="X3960" s="87"/>
      <x:c r="Y3960" s="87"/>
      <x:c r="Z3960" s="87"/>
      <x:c r="AA3960" s="87"/>
      <x:c r="AB3960" s="87"/>
      <x:c r="AC3960" s="87" t="str">
        <x:v>VIS-GEO-NOV-005</x:v>
      </x:c>
      <x:c r="AD3960" s="87"/>
      <x:c r="AE3960" s="87"/>
      <x:c r="AF3960" s="87" t="str">
        <x:v>VIS-GEO-NOV-005: 6</x:v>
      </x:c>
      <x:c r="AG3960" s="87" t="str">
        <x:v>RESOLVED</x:v>
      </x:c>
      <x:c r="AH3960" s="87" t="str">
        <x:v>CROP_VERIFIED</x:v>
      </x:c>
      <x:c r="AI3960" s="30"/>
      <x:c r="AJ3960" s="87" t="str">
        <x:v>master</x:v>
      </x:c>
      <x:c r="AK3960" s="87" t="str">
        <x:v>master-v0.81</x:v>
      </x:c>
      <x:c r="AL3960" s="87" t="str">
        <x:v>statgrad_master_base_v0_81_final(2).xlsx</x:v>
      </x:c>
      <x:c r="AM3960" s="87" t="str">
        <x:v>GEO_Nov_V1</x:v>
      </x:c>
      <x:c r="AN3960" s="87" t="n">
        <x:v>11</x:v>
      </x:c>
    </x:row>
    <x:row r="3961">
      <x:c r="A3961" s="87" t="n">
        <x:v>3960</x:v>
      </x:c>
      <x:c r="B3961" s="87" t="str">
        <x:v>NOV-GEO-V1-011</x:v>
      </x:c>
      <x:c r="C3961" s="87" t="str">
        <x:v>СтатГрад</x:v>
      </x:c>
      <x:c r="D3961" s="87" t="str">
        <x:v>Ноябрь 2025</x:v>
      </x:c>
      <x:c r="E3961" s="87"/>
      <x:c r="F3961" s="87"/>
      <x:c r="G3961" s="87" t="str">
        <x:v>География</x:v>
      </x:c>
      <x:c r="H3961" s="87" t="n">
        <x:v>11</x:v>
      </x:c>
      <x:c r="I3961" s="87" t="str">
        <x:v>ТР №2</x:v>
      </x:c>
      <x:c r="J3961" s="87" t="str">
        <x:v>ГГ2510201</x:v>
      </x:c>
      <x:c r="K3961" s="87" t="n">
        <x:v>11</x:v>
      </x:c>
      <x:c r="L3961" s="87" t="str">
        <x:v>Карта атмосферных осадков</x:v>
      </x:c>
      <x:c r="M3961" s="30" t="str">
        <x:v>По карте расположить пункты 1, 2 и 3 в порядке увеличения среднегодового количества осадков.</x:v>
      </x:c>
      <x:c r="N3961" s="30" t="str">
        <x:v>213</x:v>
      </x:c>
      <x:c r="O3961" s="30" t="str">
        <x:v>Пункт 2 находится в зоне около 250 мм, пункт 1 — около 500 мм, пункт 3 — около 1000 мм.</x:v>
      </x:c>
      <x:c r="P3961" s="30" t="str">
        <x:v>Положения точек сопоставлены с соседними изогиетами на полноразмерном рендере.</x:v>
      </x:c>
      <x:c r="Q3961" s="30"/>
      <x:c r="R3961" s="30" t="str">
        <x:v>image_2025-11-25_10-21-56.png; Zadanie_GG11_24112025.pdf</x:v>
      </x:c>
      <x:c r="S3961" s="30"/>
      <x:c r="T3961" s="30"/>
      <x:c r="U3961" s="30" t="str">
        <x:v>Карта прочитана без масштабирования и обрезки.</x:v>
      </x:c>
      <x:c r="V3961" s="87" t="str">
        <x:v>VERIFIED</x:v>
      </x:c>
      <x:c r="W3961" s="87" t="str">
        <x:v>PDF, стр. 7</x:v>
      </x:c>
      <x:c r="X3961" s="87"/>
      <x:c r="Y3961" s="87"/>
      <x:c r="Z3961" s="87"/>
      <x:c r="AA3961" s="87"/>
      <x:c r="AB3961" s="87"/>
      <x:c r="AC3961" s="87" t="str">
        <x:v>VIS-GEO-NOV-006</x:v>
      </x:c>
      <x:c r="AD3961" s="87"/>
      <x:c r="AE3961" s="87"/>
      <x:c r="AF3961" s="87" t="str">
        <x:v>VIS-GEO-NOV-006: 7</x:v>
      </x:c>
      <x:c r="AG3961" s="87" t="str">
        <x:v>RESOLVED</x:v>
      </x:c>
      <x:c r="AH3961" s="87" t="str">
        <x:v>CROP_VERIFIED</x:v>
      </x:c>
      <x:c r="AI3961" s="30"/>
      <x:c r="AJ3961" s="87" t="str">
        <x:v>master</x:v>
      </x:c>
      <x:c r="AK3961" s="87" t="str">
        <x:v>master-v0.81</x:v>
      </x:c>
      <x:c r="AL3961" s="87" t="str">
        <x:v>statgrad_master_base_v0_81_final(2).xlsx</x:v>
      </x:c>
      <x:c r="AM3961" s="87" t="str">
        <x:v>GEO_Nov_V1</x:v>
      </x:c>
      <x:c r="AN3961" s="87" t="n">
        <x:v>12</x:v>
      </x:c>
    </x:row>
    <x:row r="3962">
      <x:c r="A3962" s="87" t="n">
        <x:v>3961</x:v>
      </x:c>
      <x:c r="B3962" s="87" t="str">
        <x:v>NOV-GEO-V1-012</x:v>
      </x:c>
      <x:c r="C3962" s="87" t="str">
        <x:v>СтатГрад</x:v>
      </x:c>
      <x:c r="D3962" s="87" t="str">
        <x:v>Ноябрь 2025</x:v>
      </x:c>
      <x:c r="E3962" s="87"/>
      <x:c r="F3962" s="87"/>
      <x:c r="G3962" s="87" t="str">
        <x:v>География</x:v>
      </x:c>
      <x:c r="H3962" s="87" t="n">
        <x:v>11</x:v>
      </x:c>
      <x:c r="I3962" s="87" t="str">
        <x:v>ТР №2</x:v>
      </x:c>
      <x:c r="J3962" s="87" t="str">
        <x:v>ГГ2510201</x:v>
      </x:c>
      <x:c r="K3962" s="87" t="n">
        <x:v>12</x:v>
      </x:c>
      <x:c r="L3962" s="87" t="str">
        <x:v>Воспроизводство населения</x:v>
      </x:c>
      <x:c r="M3962" s="30" t="str">
        <x:v>Выбрать высказывания, содержащие информацию о воспроизводстве населения.</x:v>
      </x:c>
      <x:c r="N3962" s="30" t="str">
        <x:v>24</x:v>
      </x:c>
      <x:c r="O3962" s="30" t="str">
        <x:v>Естественная убыль (2) и изменение темпов прироста населения мира (4) непосредственно характеризуют воспроизводство.</x:v>
      </x:c>
      <x:c r="P3962" s="30" t="str">
        <x:v>Остальные пункты относятся к возрастной структуре, агломерации и расселению.</x:v>
      </x:c>
      <x:c r="Q3962" s="30"/>
      <x:c r="R3962" s="30" t="str">
        <x:v>Kriterii_GG11_24112025.pdf; Zadanie_GG11_24112025.pdf</x:v>
      </x:c>
      <x:c r="S3962" s="30"/>
      <x:c r="T3962" s="30"/>
      <x:c r="U3962" s="30" t="str">
        <x:v>Официальный ключ подтверждает 24.</x:v>
      </x:c>
      <x:c r="V3962" s="87" t="str">
        <x:v>VERIFIED</x:v>
      </x:c>
      <x:c r="W3962" s="87" t="str">
        <x:v>PDF, стр. 7</x:v>
      </x:c>
      <x:c r="X3962" s="87"/>
      <x:c r="Y3962" s="87"/>
      <x:c r="Z3962" s="87"/>
      <x:c r="AA3962" s="87"/>
      <x:c r="AB3962" s="87"/>
      <x:c r="AC3962" s="87" t="str">
        <x:v>VIS-GEO-NOV-006</x:v>
      </x:c>
      <x:c r="AD3962" s="87"/>
      <x:c r="AE3962" s="87"/>
      <x:c r="AF3962" s="87" t="str">
        <x:v>VIS-GEO-NOV-006: 7</x:v>
      </x:c>
      <x:c r="AG3962" s="87" t="str">
        <x:v>RESOLVED</x:v>
      </x:c>
      <x:c r="AH3962" s="87" t="str">
        <x:v>CROP_VERIFIED</x:v>
      </x:c>
      <x:c r="AI3962" s="30"/>
      <x:c r="AJ3962" s="87" t="str">
        <x:v>master</x:v>
      </x:c>
      <x:c r="AK3962" s="87" t="str">
        <x:v>master-v0.81</x:v>
      </x:c>
      <x:c r="AL3962" s="87" t="str">
        <x:v>statgrad_master_base_v0_81_final(2).xlsx</x:v>
      </x:c>
      <x:c r="AM3962" s="87" t="str">
        <x:v>GEO_Nov_V1</x:v>
      </x:c>
      <x:c r="AN3962" s="87" t="n">
        <x:v>13</x:v>
      </x:c>
    </x:row>
    <x:row r="3963">
      <x:c r="A3963" s="87" t="n">
        <x:v>3962</x:v>
      </x:c>
      <x:c r="B3963" s="87" t="str">
        <x:v>NOV-GEO-V1-013</x:v>
      </x:c>
      <x:c r="C3963" s="87" t="str">
        <x:v>СтатГрад</x:v>
      </x:c>
      <x:c r="D3963" s="87" t="str">
        <x:v>Ноябрь 2025</x:v>
      </x:c>
      <x:c r="E3963" s="87"/>
      <x:c r="F3963" s="87"/>
      <x:c r="G3963" s="87" t="str">
        <x:v>География</x:v>
      </x:c>
      <x:c r="H3963" s="87" t="n">
        <x:v>11</x:v>
      </x:c>
      <x:c r="I3963" s="87" t="str">
        <x:v>ТР №2</x:v>
      </x:c>
      <x:c r="J3963" s="87" t="str">
        <x:v>ГГ2510201</x:v>
      </x:c>
      <x:c r="K3963" s="87" t="n">
        <x:v>13</x:v>
      </x:c>
      <x:c r="L3963" s="87" t="str">
        <x:v>Геологическая хронология</x:v>
      </x:c>
      <x:c r="M3963" s="30" t="str">
        <x:v>Расположить события кембрийского, триасового и юрского периодов от самого раннего.</x:v>
      </x:c>
      <x:c r="N3963" s="30" t="str">
        <x:v>231</x:v>
      </x:c>
      <x:c r="O3963" s="30" t="str">
        <x:v>Кембрий древнее триаса, триас древнее юры: 2–3–1.</x:v>
      </x:c>
      <x:c r="P3963" s="30" t="str">
        <x:v>Порядок периодов сверён с геохронологической шкалой.</x:v>
      </x:c>
      <x:c r="Q3963" s="30"/>
      <x:c r="R3963" s="30" t="str">
        <x:v>image_2025-11-25_10-21-56.png; Zadanie_GG11_24112025.pdf</x:v>
      </x:c>
      <x:c r="S3963" s="30"/>
      <x:c r="T3963" s="30"/>
      <x:c r="U3963" s="30" t="str">
        <x:v>Расхождений не обнаружено.</x:v>
      </x:c>
      <x:c r="V3963" s="87" t="str">
        <x:v>VERIFIED</x:v>
      </x:c>
      <x:c r="W3963" s="87" t="str">
        <x:v>PDF, стр. 8</x:v>
      </x:c>
      <x:c r="X3963" s="87"/>
      <x:c r="Y3963" s="87"/>
      <x:c r="Z3963" s="87"/>
      <x:c r="AA3963" s="87"/>
      <x:c r="AB3963" s="87"/>
      <x:c r="AC3963" s="87" t="str">
        <x:v>VIS-GEO-NOV-007</x:v>
      </x:c>
      <x:c r="AD3963" s="87"/>
      <x:c r="AE3963" s="87"/>
      <x:c r="AF3963" s="87" t="str">
        <x:v>VIS-GEO-NOV-007: 8</x:v>
      </x:c>
      <x:c r="AG3963" s="87" t="str">
        <x:v>RESOLVED</x:v>
      </x:c>
      <x:c r="AH3963" s="87" t="str">
        <x:v>CROP_VERIFIED</x:v>
      </x:c>
      <x:c r="AI3963" s="30"/>
      <x:c r="AJ3963" s="87" t="str">
        <x:v>master</x:v>
      </x:c>
      <x:c r="AK3963" s="87" t="str">
        <x:v>master-v0.81</x:v>
      </x:c>
      <x:c r="AL3963" s="87" t="str">
        <x:v>statgrad_master_base_v0_81_final(2).xlsx</x:v>
      </x:c>
      <x:c r="AM3963" s="87" t="str">
        <x:v>GEO_Nov_V1</x:v>
      </x:c>
      <x:c r="AN3963" s="87" t="n">
        <x:v>14</x:v>
      </x:c>
    </x:row>
    <x:row r="3964">
      <x:c r="A3964" s="87" t="n">
        <x:v>3963</x:v>
      </x:c>
      <x:c r="B3964" s="87" t="str">
        <x:v>NOV-GEO-V1-014</x:v>
      </x:c>
      <x:c r="C3964" s="87" t="str">
        <x:v>СтатГрад</x:v>
      </x:c>
      <x:c r="D3964" s="87" t="str">
        <x:v>Ноябрь 2025</x:v>
      </x:c>
      <x:c r="E3964" s="87"/>
      <x:c r="F3964" s="87"/>
      <x:c r="G3964" s="87" t="str">
        <x:v>География</x:v>
      </x:c>
      <x:c r="H3964" s="87" t="n">
        <x:v>11</x:v>
      </x:c>
      <x:c r="I3964" s="87" t="str">
        <x:v>ТР №2</x:v>
      </x:c>
      <x:c r="J3964" s="87" t="str">
        <x:v>ГГ2510201</x:v>
      </x:c>
      <x:c r="K3964" s="87" t="n">
        <x:v>14</x:v>
      </x:c>
      <x:c r="L3964" s="87" t="str">
        <x:v>Часовые зоны России</x:v>
      </x:c>
      <x:c r="M3964" s="30" t="str">
        <x:v>Избирательные участки открываются в Красноярском крае в 08:00 местного времени. Определить московское время.</x:v>
      </x:c>
      <x:c r="N3964" s="30" t="str">
        <x:v>4</x:v>
      </x:c>
      <x:c r="O3964" s="30" t="str">
        <x:v>Красноярское время опережает московское на 4 часа, поэтому 08:00 местного = 04:00 мск.</x:v>
      </x:c>
      <x:c r="P3964" s="30" t="str">
        <x:v>Разница часовых зон повторно проверена по карте России.</x:v>
      </x:c>
      <x:c r="Q3964" s="30"/>
      <x:c r="R3964" s="30" t="str">
        <x:v>image_2025-11-25_10-21-56.png; Zadanie_GG11_24112025.pdf; Spravochnye_materialy_GG11_24112025.pdf</x:v>
      </x:c>
      <x:c r="S3964" s="30"/>
      <x:c r="T3964" s="30"/>
      <x:c r="U3964" s="30" t="str">
        <x:v>Расхождений не обнаружено.</x:v>
      </x:c>
      <x:c r="V3964" s="87" t="str">
        <x:v>VERIFIED</x:v>
      </x:c>
      <x:c r="W3964" s="87" t="str">
        <x:v>PDF, стр. 8</x:v>
      </x:c>
      <x:c r="X3964" s="87"/>
      <x:c r="Y3964" s="87"/>
      <x:c r="Z3964" s="87"/>
      <x:c r="AA3964" s="87"/>
      <x:c r="AB3964" s="87"/>
      <x:c r="AC3964" s="87" t="str">
        <x:v>VIS-GEO-NOV-007; VIS-GEO-NOV-015</x:v>
      </x:c>
      <x:c r="AD3964" s="87"/>
      <x:c r="AE3964" s="87"/>
      <x:c r="AF3964" s="87" t="str">
        <x:v>VIS-GEO-NOV-007: 8; VIS-GEO-NOV-015: 2</x:v>
      </x:c>
      <x:c r="AG3964" s="87" t="str">
        <x:v>RESOLVED</x:v>
      </x:c>
      <x:c r="AH3964" s="87" t="str">
        <x:v>CROP_VERIFIED</x:v>
      </x:c>
      <x:c r="AI3964" s="30"/>
      <x:c r="AJ3964" s="87" t="str">
        <x:v>master</x:v>
      </x:c>
      <x:c r="AK3964" s="87" t="str">
        <x:v>master-v0.81</x:v>
      </x:c>
      <x:c r="AL3964" s="87" t="str">
        <x:v>statgrad_master_base_v0_81_final(2).xlsx</x:v>
      </x:c>
      <x:c r="AM3964" s="87" t="str">
        <x:v>GEO_Nov_V1</x:v>
      </x:c>
      <x:c r="AN3964" s="87" t="n">
        <x:v>15</x:v>
      </x:c>
    </x:row>
    <x:row r="3965">
      <x:c r="A3965" s="87" t="n">
        <x:v>3964</x:v>
      </x:c>
      <x:c r="B3965" s="87" t="str">
        <x:v>NOV-GEO-V1-015</x:v>
      </x:c>
      <x:c r="C3965" s="87" t="str">
        <x:v>СтатГрад</x:v>
      </x:c>
      <x:c r="D3965" s="87" t="str">
        <x:v>Ноябрь 2025</x:v>
      </x:c>
      <x:c r="E3965" s="87"/>
      <x:c r="F3965" s="87"/>
      <x:c r="G3965" s="87" t="str">
        <x:v>География</x:v>
      </x:c>
      <x:c r="H3965" s="87" t="n">
        <x:v>11</x:v>
      </x:c>
      <x:c r="I3965" s="87" t="str">
        <x:v>ТР №2</x:v>
      </x:c>
      <x:c r="J3965" s="87" t="str">
        <x:v>ГГ2510201</x:v>
      </x:c>
      <x:c r="K3965" s="87" t="n">
        <x:v>15</x:v>
      </x:c>
      <x:c r="L3965" s="87" t="str">
        <x:v>Ресурсообеспеченность</x:v>
      </x:c>
      <x:c r="M3965" s="30" t="str">
        <x:v>Запасы газа Ирана — 32 099 млрд м³, добыча — 263 млрд м³. Определить ресурсообеспеченность в годах.</x:v>
      </x:c>
      <x:c r="N3965" s="30" t="str">
        <x:v>122</x:v>
      </x:c>
      <x:c r="O3965" s="30" t="str">
        <x:v>32 099 ÷ 263 ≈ 122,05; после округления — 122 года.</x:v>
      </x:c>
      <x:c r="P3965" s="30" t="str">
        <x:v>Деление выполнено повторно с сохранением исходных единиц.</x:v>
      </x:c>
      <x:c r="Q3965" s="30"/>
      <x:c r="R3965" s="30" t="str">
        <x:v>image_2025-11-25_10-21-56.png; Zadanie_GG11_24112025.pdf</x:v>
      </x:c>
      <x:c r="S3965" s="30"/>
      <x:c r="T3965" s="30"/>
      <x:c r="U3965" s="30" t="str">
        <x:v>Расхождений не обнаружено.</x:v>
      </x:c>
      <x:c r="V3965" s="87" t="str">
        <x:v>VERIFIED</x:v>
      </x:c>
      <x:c r="W3965" s="87" t="str">
        <x:v>PDF, стр. 9</x:v>
      </x:c>
      <x:c r="X3965" s="87"/>
      <x:c r="Y3965" s="87"/>
      <x:c r="Z3965" s="87"/>
      <x:c r="AA3965" s="87"/>
      <x:c r="AB3965" s="87"/>
      <x:c r="AC3965" s="87" t="str">
        <x:v>VIS-GEO-NOV-008</x:v>
      </x:c>
      <x:c r="AD3965" s="87"/>
      <x:c r="AE3965" s="87"/>
      <x:c r="AF3965" s="87" t="str">
        <x:v>VIS-GEO-NOV-008: 9</x:v>
      </x:c>
      <x:c r="AG3965" s="87" t="str">
        <x:v>RESOLVED</x:v>
      </x:c>
      <x:c r="AH3965" s="87" t="str">
        <x:v>CROP_VERIFIED</x:v>
      </x:c>
      <x:c r="AI3965" s="30"/>
      <x:c r="AJ3965" s="87" t="str">
        <x:v>master</x:v>
      </x:c>
      <x:c r="AK3965" s="87" t="str">
        <x:v>master-v0.81</x:v>
      </x:c>
      <x:c r="AL3965" s="87" t="str">
        <x:v>statgrad_master_base_v0_81_final(2).xlsx</x:v>
      </x:c>
      <x:c r="AM3965" s="87" t="str">
        <x:v>GEO_Nov_V1</x:v>
      </x:c>
      <x:c r="AN3965" s="87" t="n">
        <x:v>16</x:v>
      </x:c>
    </x:row>
    <x:row r="3966">
      <x:c r="A3966" s="87" t="n">
        <x:v>3965</x:v>
      </x:c>
      <x:c r="B3966" s="87" t="str">
        <x:v>NOV-GEO-V1-016</x:v>
      </x:c>
      <x:c r="C3966" s="87" t="str">
        <x:v>СтатГрад</x:v>
      </x:c>
      <x:c r="D3966" s="87" t="str">
        <x:v>Ноябрь 2025</x:v>
      </x:c>
      <x:c r="E3966" s="87"/>
      <x:c r="F3966" s="87"/>
      <x:c r="G3966" s="87" t="str">
        <x:v>География</x:v>
      </x:c>
      <x:c r="H3966" s="87" t="n">
        <x:v>11</x:v>
      </x:c>
      <x:c r="I3966" s="87" t="str">
        <x:v>ТР №2</x:v>
      </x:c>
      <x:c r="J3966" s="87" t="str">
        <x:v>ГГ2510201</x:v>
      </x:c>
      <x:c r="K3966" s="87" t="n">
        <x:v>16</x:v>
      </x:c>
      <x:c r="L3966" s="87" t="str">
        <x:v>Миграционный прирост</x:v>
      </x:c>
      <x:c r="M3966" s="30" t="str">
        <x:v>По диаграмме определить миграционный прирост Амурской области в 2023 г.: прибывшие 10,4+7,1+2,2; выбывшие 10,4+9,8+2,0 тыс. человек.</x:v>
      </x:c>
      <x:c r="N3966" s="30" t="str">
        <x:v>−2,5</x:v>
      </x:c>
      <x:c r="O3966" s="30" t="str">
        <x:v>Прибыло 19,7 тыс., выбыло 22,2 тыс.; 19,7 − 22,2 = −2,5 тыс. человек.</x:v>
      </x:c>
      <x:c r="P3966" s="30" t="str">
        <x:v>Суммы по трём потокам и знак результата пересчитаны независимо.</x:v>
      </x:c>
      <x:c r="Q3966" s="30"/>
      <x:c r="R3966" s="30" t="str">
        <x:v>image_2025-11-25_10-21-56.png; Zadanie_GG11_24112025.pdf</x:v>
      </x:c>
      <x:c r="S3966" s="30"/>
      <x:c r="T3966" s="30"/>
      <x:c r="U3966" s="30" t="str">
        <x:v>Отрицательное значение означает миграционную убыль.</x:v>
      </x:c>
      <x:c r="V3966" s="87" t="str">
        <x:v>VERIFIED</x:v>
      </x:c>
      <x:c r="W3966" s="87" t="str">
        <x:v>PDF, стр. 9</x:v>
      </x:c>
      <x:c r="X3966" s="87"/>
      <x:c r="Y3966" s="87"/>
      <x:c r="Z3966" s="87"/>
      <x:c r="AA3966" s="87"/>
      <x:c r="AB3966" s="87"/>
      <x:c r="AC3966" s="87" t="str">
        <x:v>VIS-GEO-NOV-008</x:v>
      </x:c>
      <x:c r="AD3966" s="87"/>
      <x:c r="AE3966" s="87"/>
      <x:c r="AF3966" s="87" t="str">
        <x:v>VIS-GEO-NOV-008: 9</x:v>
      </x:c>
      <x:c r="AG3966" s="87" t="str">
        <x:v>RESOLVED</x:v>
      </x:c>
      <x:c r="AH3966" s="87" t="str">
        <x:v>CROP_VERIFIED; TASK_CROP_QA_APPROVED:MANUAL_BBOX</x:v>
      </x:c>
      <x:c r="AI3966" s="30"/>
      <x:c r="AJ3966" s="87" t="str">
        <x:v>master</x:v>
      </x:c>
      <x:c r="AK3966" s="87" t="str">
        <x:v>master-v0.81</x:v>
      </x:c>
      <x:c r="AL3966" s="87" t="str">
        <x:v>statgrad_master_base_v0_81_final(2).xlsx</x:v>
      </x:c>
      <x:c r="AM3966" s="87" t="str">
        <x:v>GEO_Nov_V1</x:v>
      </x:c>
      <x:c r="AN3966" s="87" t="n">
        <x:v>17</x:v>
      </x:c>
    </x:row>
    <x:row r="3967">
      <x:c r="A3967" s="87" t="n">
        <x:v>3966</x:v>
      </x:c>
      <x:c r="B3967" s="87" t="str">
        <x:v>NOV-GEO-V1-017</x:v>
      </x:c>
      <x:c r="C3967" s="87" t="str">
        <x:v>СтатГрад</x:v>
      </x:c>
      <x:c r="D3967" s="87" t="str">
        <x:v>Ноябрь 2025</x:v>
      </x:c>
      <x:c r="E3967" s="87"/>
      <x:c r="F3967" s="87"/>
      <x:c r="G3967" s="87" t="str">
        <x:v>География</x:v>
      </x:c>
      <x:c r="H3967" s="87" t="n">
        <x:v>11</x:v>
      </x:c>
      <x:c r="I3967" s="87" t="str">
        <x:v>ТР №2</x:v>
      </x:c>
      <x:c r="J3967" s="87" t="str">
        <x:v>ГГ2510201</x:v>
      </x:c>
      <x:c r="K3967" s="87" t="n">
        <x:v>17</x:v>
      </x:c>
      <x:c r="L3967" s="87" t="str">
        <x:v>Страна по описанию</x:v>
      </x:c>
      <x:c r="M3967" s="30" t="str">
        <x:v>Страна пересекается Северным полярным кругом, граничит по суше с тремя странами, включая Россию; республика; леса занимают более 75 %; экспортирует бумагу, целлюлозу, металлургическую и машиностроительную продукцию.</x:v>
      </x:c>
      <x:c r="N3967" s="30" t="str">
        <x:v>Финляндия</x:v>
      </x:c>
      <x:c r="O3967" s="30" t="str">
        <x:v>Совокупность границ, формы правления, лесистости и специализации однозначно указывает на Финляндию.</x:v>
      </x:c>
      <x:c r="P3967" s="30" t="str">
        <x:v>Все признаки сопоставлены с положением и хозяйством стран Северной Европы.</x:v>
      </x:c>
      <x:c r="Q3967" s="30"/>
      <x:c r="R3967" s="30" t="str">
        <x:v>Kriterii_GG11_24112025.pdf; Zadanie_GG11_24112025.pdf</x:v>
      </x:c>
      <x:c r="S3967" s="30"/>
      <x:c r="T3967" s="30"/>
      <x:c r="U3967" s="30" t="str">
        <x:v>Официальный ключ подтверждает ответ.</x:v>
      </x:c>
      <x:c r="V3967" s="87" t="str">
        <x:v>VERIFIED</x:v>
      </x:c>
      <x:c r="W3967" s="87" t="str">
        <x:v>PDF, стр. 9</x:v>
      </x:c>
      <x:c r="X3967" s="87"/>
      <x:c r="Y3967" s="87"/>
      <x:c r="Z3967" s="87"/>
      <x:c r="AA3967" s="87"/>
      <x:c r="AB3967" s="87"/>
      <x:c r="AC3967" s="87" t="str">
        <x:v>VIS-GEO-NOV-008</x:v>
      </x:c>
      <x:c r="AD3967" s="87"/>
      <x:c r="AE3967" s="87"/>
      <x:c r="AF3967" s="87" t="str">
        <x:v>VIS-GEO-NOV-008: 9</x:v>
      </x:c>
      <x:c r="AG3967" s="87" t="str">
        <x:v>RESOLVED</x:v>
      </x:c>
      <x:c r="AH3967" s="87" t="str">
        <x:v>CROP_VERIFIED</x:v>
      </x:c>
      <x:c r="AI3967" s="30"/>
      <x:c r="AJ3967" s="87" t="str">
        <x:v>master</x:v>
      </x:c>
      <x:c r="AK3967" s="87" t="str">
        <x:v>master-v0.81</x:v>
      </x:c>
      <x:c r="AL3967" s="87" t="str">
        <x:v>statgrad_master_base_v0_81_final(2).xlsx</x:v>
      </x:c>
      <x:c r="AM3967" s="87" t="str">
        <x:v>GEO_Nov_V1</x:v>
      </x:c>
      <x:c r="AN3967" s="87" t="n">
        <x:v>18</x:v>
      </x:c>
    </x:row>
    <x:row r="3968">
      <x:c r="A3968" s="87" t="n">
        <x:v>3967</x:v>
      </x:c>
      <x:c r="B3968" s="87" t="str">
        <x:v>NOV-GEO-V1-018</x:v>
      </x:c>
      <x:c r="C3968" s="87" t="str">
        <x:v>СтатГрад</x:v>
      </x:c>
      <x:c r="D3968" s="87" t="str">
        <x:v>Ноябрь 2025</x:v>
      </x:c>
      <x:c r="E3968" s="87"/>
      <x:c r="F3968" s="87"/>
      <x:c r="G3968" s="87" t="str">
        <x:v>География</x:v>
      </x:c>
      <x:c r="H3968" s="87" t="n">
        <x:v>11</x:v>
      </x:c>
      <x:c r="I3968" s="87" t="str">
        <x:v>ТР №2</x:v>
      </x:c>
      <x:c r="J3968" s="87" t="str">
        <x:v>ГГ2510201</x:v>
      </x:c>
      <x:c r="K3968" s="87" t="n">
        <x:v>18</x:v>
      </x:c>
      <x:c r="L3968" s="87" t="str">
        <x:v>Регион России по описанию</x:v>
      </x:c>
      <x:c r="M3968" s="30" t="str">
        <x:v>Область в Европейском макрорегионе, приграничная; часть территории ниже уровня моря; добыча газа, газового конденсата и соли; судостроение, рыболовство, рис, овощи и бахчевые.</x:v>
      </x:c>
      <x:c r="N3968" s="30" t="str">
        <x:v>Астраханская область</x:v>
      </x:c>
      <x:c r="O3968" s="30" t="str">
        <x:v>Прикаспийская низменность, газоконденсатные месторождения, Волга и соответствующая аграрная специализация указывают на Астраханскую область.</x:v>
      </x:c>
      <x:c r="P3968" s="30" t="str">
        <x:v>Описание повторно сопоставлено с физической и административной картой России.</x:v>
      </x:c>
      <x:c r="Q3968" s="30"/>
      <x:c r="R3968" s="30" t="str">
        <x:v>Kriterii_GG11_24112025.pdf; Zadanie_GG11_24112025.pdf; Spravochnye_materialy_GG11_24112025.pdf</x:v>
      </x:c>
      <x:c r="S3968" s="30"/>
      <x:c r="T3968" s="30"/>
      <x:c r="U3968" s="30" t="str">
        <x:v>Официальный ключ подтверждает ответ.</x:v>
      </x:c>
      <x:c r="V3968" s="87" t="str">
        <x:v>VERIFIED</x:v>
      </x:c>
      <x:c r="W3968" s="87" t="str">
        <x:v>PDF, стр. 10</x:v>
      </x:c>
      <x:c r="X3968" s="87"/>
      <x:c r="Y3968" s="87"/>
      <x:c r="Z3968" s="87"/>
      <x:c r="AA3968" s="87"/>
      <x:c r="AB3968" s="87"/>
      <x:c r="AC3968" s="87" t="str">
        <x:v>VIS-GEO-NOV-009; VIS-GEO-NOV-015</x:v>
      </x:c>
      <x:c r="AD3968" s="87"/>
      <x:c r="AE3968" s="87"/>
      <x:c r="AF3968" s="87" t="str">
        <x:v>VIS-GEO-NOV-009: 10; VIS-GEO-NOV-015: 2</x:v>
      </x:c>
      <x:c r="AG3968" s="87" t="str">
        <x:v>RESOLVED</x:v>
      </x:c>
      <x:c r="AH3968" s="87" t="str">
        <x:v>CROP_VERIFIED</x:v>
      </x:c>
      <x:c r="AI3968" s="30"/>
      <x:c r="AJ3968" s="87" t="str">
        <x:v>master</x:v>
      </x:c>
      <x:c r="AK3968" s="87" t="str">
        <x:v>master-v0.81</x:v>
      </x:c>
      <x:c r="AL3968" s="87" t="str">
        <x:v>statgrad_master_base_v0_81_final(2).xlsx</x:v>
      </x:c>
      <x:c r="AM3968" s="87" t="str">
        <x:v>GEO_Nov_V1</x:v>
      </x:c>
      <x:c r="AN3968" s="87" t="n">
        <x:v>19</x:v>
      </x:c>
    </x:row>
    <x:row r="3969">
      <x:c r="A3969" s="87" t="n">
        <x:v>3968</x:v>
      </x:c>
      <x:c r="B3969" s="87" t="str">
        <x:v>NOV-GEO-V1-019</x:v>
      </x:c>
      <x:c r="C3969" s="87" t="str">
        <x:v>СтатГрад</x:v>
      </x:c>
      <x:c r="D3969" s="87" t="str">
        <x:v>Ноябрь 2025</x:v>
      </x:c>
      <x:c r="E3969" s="87"/>
      <x:c r="F3969" s="87"/>
      <x:c r="G3969" s="87" t="str">
        <x:v>География</x:v>
      </x:c>
      <x:c r="H3969" s="87" t="n">
        <x:v>11</x:v>
      </x:c>
      <x:c r="I3969" s="87" t="str">
        <x:v>ТР №2</x:v>
      </x:c>
      <x:c r="J3969" s="87" t="str">
        <x:v>ГГ2510201</x:v>
      </x:c>
      <x:c r="K3969" s="87" t="n">
        <x:v>19</x:v>
      </x:c>
      <x:c r="L3969" s="87" t="str">
        <x:v>Урбанизация Латинской Америки</x:v>
      </x:c>
      <x:c r="M3969" s="30" t="str">
        <x:v>Расположить Аргентину, Венесуэлу и Колумбию по возрастанию доли городского населения.</x:v>
      </x:c>
      <x:c r="N3969" s="30" t="str">
        <x:v>321</x:v>
      </x:c>
      <x:c r="O3969" s="30" t="str">
        <x:v>Колумбия — 77 %, Венесуэла — 88 %, Аргентина — 92 %: 3–2–1.</x:v>
      </x:c>
      <x:c r="P3969" s="30" t="str">
        <x:v>Значения проверены по карте и таблице 1 справочных материалов.</x:v>
      </x:c>
      <x:c r="Q3969" s="30"/>
      <x:c r="R3969" s="30" t="str">
        <x:v>Kriterii_GG11_24112025.pdf; image_2025-11-25_10-21-56.png; Zadanie_GG11_24112025.pdf; Spravochnye_materialy_GG11_24112025.pdf</x:v>
      </x:c>
      <x:c r="S3969" s="30"/>
      <x:c r="T3969" s="30"/>
      <x:c r="U3969" s="30" t="str">
        <x:v>Карта и таблица дают одинаковый порядок.</x:v>
      </x:c>
      <x:c r="V3969" s="87" t="str">
        <x:v>VERIFIED</x:v>
      </x:c>
      <x:c r="W3969" s="87" t="str">
        <x:v>PDF, стр. 10–11</x:v>
      </x:c>
      <x:c r="X3969" s="87"/>
      <x:c r="Y3969" s="87"/>
      <x:c r="Z3969" s="87"/>
      <x:c r="AA3969" s="87"/>
      <x:c r="AB3969" s="87"/>
      <x:c r="AC3969" s="87" t="str">
        <x:v>VIS-GEO-NOV-009; VIS-GEO-NOV-010; VIS-GEO-NOV-016</x:v>
      </x:c>
      <x:c r="AD3969" s="87"/>
      <x:c r="AE3969" s="87"/>
      <x:c r="AF3969" s="87" t="str">
        <x:v>VIS-GEO-NOV-009: 10; VIS-GEO-NOV-010: 11; VIS-GEO-NOV-016: 3</x:v>
      </x:c>
      <x:c r="AG3969" s="87" t="str">
        <x:v>RESOLVED</x:v>
      </x:c>
      <x:c r="AH3969" s="87" t="str">
        <x:v>CROP_VERIFIED</x:v>
      </x:c>
      <x:c r="AI3969" s="30"/>
      <x:c r="AJ3969" s="87" t="str">
        <x:v>master</x:v>
      </x:c>
      <x:c r="AK3969" s="87" t="str">
        <x:v>master-v0.81</x:v>
      </x:c>
      <x:c r="AL3969" s="87" t="str">
        <x:v>statgrad_master_base_v0_81_final(2).xlsx</x:v>
      </x:c>
      <x:c r="AM3969" s="87" t="str">
        <x:v>GEO_Nov_V1</x:v>
      </x:c>
      <x:c r="AN3969" s="87" t="n">
        <x:v>20</x:v>
      </x:c>
    </x:row>
    <x:row r="3970">
      <x:c r="A3970" s="87" t="n">
        <x:v>3969</x:v>
      </x:c>
      <x:c r="B3970" s="87" t="str">
        <x:v>NOV-GEO-V1-020</x:v>
      </x:c>
      <x:c r="C3970" s="87" t="str">
        <x:v>СтатГрад</x:v>
      </x:c>
      <x:c r="D3970" s="87" t="str">
        <x:v>Ноябрь 2025</x:v>
      </x:c>
      <x:c r="E3970" s="87"/>
      <x:c r="F3970" s="87"/>
      <x:c r="G3970" s="87" t="str">
        <x:v>География</x:v>
      </x:c>
      <x:c r="H3970" s="87" t="n">
        <x:v>11</x:v>
      </x:c>
      <x:c r="I3970" s="87" t="str">
        <x:v>ТР №2</x:v>
      </x:c>
      <x:c r="J3970" s="87" t="str">
        <x:v>ГГ2510201</x:v>
      </x:c>
      <x:c r="K3970" s="87" t="n">
        <x:v>20</x:v>
      </x:c>
      <x:c r="L3970" s="87" t="str">
        <x:v>Интервальная шкала карты</x:v>
      </x:c>
      <x:c r="M3970" s="30" t="str">
        <x:v>Соотнести Кению, Мали и Марокко с интервалами доли городского населения: менее 40; 40–55; 56–70; 71–85; более 85 %.</x:v>
      </x:c>
      <x:c r="N3970" s="30" t="str">
        <x:v>123</x:v>
      </x:c>
      <x:c r="O3970" s="30" t="str">
        <x:v>Кения — 27 % (1), Мали — 42 % (2), Марокко — 63 % (3).</x:v>
      </x:c>
      <x:c r="P3970" s="30" t="str">
        <x:v>Все значения взяты из таблицы 1 справочных материалов и сопоставлены с границами интервалов.</x:v>
      </x:c>
      <x:c r="Q3970" s="30"/>
      <x:c r="R3970" s="30" t="str">
        <x:v>image_2025-11-25_10-21-56.png; Zadanie_GG11_24112025.pdf; Spravochnye_materialy_GG11_24112025.pdf</x:v>
      </x:c>
      <x:c r="S3970" s="30"/>
      <x:c r="T3970" s="30"/>
      <x:c r="U3970" s="30" t="str">
        <x:v>Расхождений не обнаружено.</x:v>
      </x:c>
      <x:c r="V3970" s="87" t="str">
        <x:v>VERIFIED</x:v>
      </x:c>
      <x:c r="W3970" s="87" t="str">
        <x:v>PDF, стр. 11</x:v>
      </x:c>
      <x:c r="X3970" s="87"/>
      <x:c r="Y3970" s="87"/>
      <x:c r="Z3970" s="87"/>
      <x:c r="AA3970" s="87"/>
      <x:c r="AB3970" s="87"/>
      <x:c r="AC3970" s="87" t="str">
        <x:v>VIS-GEO-NOV-010; VIS-GEO-NOV-016</x:v>
      </x:c>
      <x:c r="AD3970" s="87"/>
      <x:c r="AE3970" s="87"/>
      <x:c r="AF3970" s="87" t="str">
        <x:v>VIS-GEO-NOV-010: 11; VIS-GEO-NOV-016: 3</x:v>
      </x:c>
      <x:c r="AG3970" s="87" t="str">
        <x:v>RESOLVED</x:v>
      </x:c>
      <x:c r="AH3970" s="87" t="str">
        <x:v>CROP_VERIFIED</x:v>
      </x:c>
      <x:c r="AI3970" s="30"/>
      <x:c r="AJ3970" s="87" t="str">
        <x:v>master</x:v>
      </x:c>
      <x:c r="AK3970" s="87" t="str">
        <x:v>master-v0.81</x:v>
      </x:c>
      <x:c r="AL3970" s="87" t="str">
        <x:v>statgrad_master_base_v0_81_final(2).xlsx</x:v>
      </x:c>
      <x:c r="AM3970" s="87" t="str">
        <x:v>GEO_Nov_V1</x:v>
      </x:c>
      <x:c r="AN3970" s="87" t="n">
        <x:v>21</x:v>
      </x:c>
    </x:row>
    <x:row r="3971">
      <x:c r="A3971" s="87" t="n">
        <x:v>3970</x:v>
      </x:c>
      <x:c r="B3971" s="87" t="str">
        <x:v>NOV-GEO-V1-021</x:v>
      </x:c>
      <x:c r="C3971" s="87" t="str">
        <x:v>СтатГрад</x:v>
      </x:c>
      <x:c r="D3971" s="87" t="str">
        <x:v>Ноябрь 2025</x:v>
      </x:c>
      <x:c r="E3971" s="87"/>
      <x:c r="F3971" s="87"/>
      <x:c r="G3971" s="87" t="str">
        <x:v>География</x:v>
      </x:c>
      <x:c r="H3971" s="87" t="n">
        <x:v>11</x:v>
      </x:c>
      <x:c r="I3971" s="87" t="str">
        <x:v>ТР №2</x:v>
      </x:c>
      <x:c r="J3971" s="87" t="str">
        <x:v>ГГ2510201</x:v>
      </x:c>
      <x:c r="K3971" s="87" t="n">
        <x:v>21</x:v>
      </x:c>
      <x:c r="L3971" s="87" t="str">
        <x:v>Субъект Российской Федерации</x:v>
      </x:c>
      <x:c r="M3971" s="30" t="str">
        <x:v>Назвать субъект РФ, в котором расположен Тобольск и строится завод по производству полипропилена.</x:v>
      </x:c>
      <x:c r="N3971" s="30" t="str">
        <x:v>Тюменская область</x:v>
      </x:c>
      <x:c r="O3971" s="30" t="str">
        <x:v>Тобольск расположен в Тюменской области.</x:v>
      </x:c>
      <x:c r="P3971" s="30" t="str">
        <x:v>Местоположение города повторно проверено по административной карте России.</x:v>
      </x:c>
      <x:c r="Q3971" s="30"/>
      <x:c r="R3971" s="30" t="str">
        <x:v>Kriterii_GG11_24112025.pdf; Zadanie_GG11_24112025.pdf</x:v>
      </x:c>
      <x:c r="S3971" s="30"/>
      <x:c r="T3971" s="30"/>
      <x:c r="U3971" s="30" t="str">
        <x:v>Официальный ключ подтверждает ответ.</x:v>
      </x:c>
      <x:c r="V3971" s="87" t="str">
        <x:v>VERIFIED</x:v>
      </x:c>
      <x:c r="W3971" s="87" t="str">
        <x:v>PDF, стр. 12</x:v>
      </x:c>
      <x:c r="X3971" s="87"/>
      <x:c r="Y3971" s="87"/>
      <x:c r="Z3971" s="87"/>
      <x:c r="AA3971" s="87"/>
      <x:c r="AB3971" s="87"/>
      <x:c r="AC3971" s="87" t="str">
        <x:v>VIS-GEO-NOV-011; VIS-GEO-NOV-015</x:v>
      </x:c>
      <x:c r="AD3971" s="87"/>
      <x:c r="AE3971" s="87"/>
      <x:c r="AF3971" s="87" t="str">
        <x:v>VIS-GEO-NOV-011: 12; VIS-GEO-NOV-015: 2</x:v>
      </x:c>
      <x:c r="AG3971" s="87" t="str">
        <x:v>RESOLVED</x:v>
      </x:c>
      <x:c r="AH3971" s="87" t="str">
        <x:v>CROP_VERIFIED</x:v>
      </x:c>
      <x:c r="AI3971" s="30"/>
      <x:c r="AJ3971" s="87" t="str">
        <x:v>master</x:v>
      </x:c>
      <x:c r="AK3971" s="87" t="str">
        <x:v>master-v0.81</x:v>
      </x:c>
      <x:c r="AL3971" s="87" t="str">
        <x:v>statgrad_master_base_v0_81_final(2).xlsx</x:v>
      </x:c>
      <x:c r="AM3971" s="87" t="str">
        <x:v>GEO_Nov_V1</x:v>
      </x:c>
      <x:c r="AN3971" s="87" t="n">
        <x:v>22</x:v>
      </x:c>
    </x:row>
    <x:row r="3972">
      <x:c r="A3972" s="87" t="n">
        <x:v>3971</x:v>
      </x:c>
      <x:c r="B3972" s="87" t="str">
        <x:v>NOV-GEO-V1-022</x:v>
      </x:c>
      <x:c r="C3972" s="87" t="str">
        <x:v>СтатГрад</x:v>
      </x:c>
      <x:c r="D3972" s="87" t="str">
        <x:v>Ноябрь 2025</x:v>
      </x:c>
      <x:c r="E3972" s="87"/>
      <x:c r="F3972" s="87"/>
      <x:c r="G3972" s="87" t="str">
        <x:v>География</x:v>
      </x:c>
      <x:c r="H3972" s="87" t="n">
        <x:v>11</x:v>
      </x:c>
      <x:c r="I3972" s="87" t="str">
        <x:v>ТР №2</x:v>
      </x:c>
      <x:c r="J3972" s="87" t="str">
        <x:v>ГГ2510201</x:v>
      </x:c>
      <x:c r="K3972" s="87" t="n">
        <x:v>22</x:v>
      </x:c>
      <x:c r="L3972" s="87" t="str">
        <x:v>Экономико-географическое понятие</x:v>
      </x:c>
      <x:c r="M3972" s="30" t="str">
        <x:v>Объяснить значение термина «импортозамещение».</x:v>
      </x:c>
      <x:c r="N3972" s="30" t="str">
        <x:v>Замена импортируемых товаров аналогичными товарами, произведёнными внутри страны.</x:v>
      </x:c>
      <x:c r="O3972" s="30" t="str">
        <x:v>Определение сохраняет оба обязательных компонента: прежний импорт и отечественное производство аналогов.</x:v>
      </x:c>
      <x:c r="P3972" s="30" t="str">
        <x:v>Формулировка сопоставлена с единственным обязательным элементом официального критерия.</x:v>
      </x:c>
      <x:c r="Q3972" s="30"/>
      <x:c r="R3972" s="30" t="str">
        <x:v>Kriterii_GG11_24112025.pdf</x:v>
      </x:c>
      <x:c r="S3972" s="30"/>
      <x:c r="T3972" s="30"/>
      <x:c r="U3972" s="30" t="str">
        <x:v>Модель рассчитана на максимальный 1 балл.</x:v>
      </x:c>
      <x:c r="V3972" s="87" t="str">
        <x:v>VERIFIED</x:v>
      </x:c>
      <x:c r="W3972" s="87" t="str">
        <x:v>PDF, стр. 12</x:v>
      </x:c>
      <x:c r="X3972" s="87"/>
      <x:c r="Y3972" s="87"/>
      <x:c r="Z3972" s="87"/>
      <x:c r="AA3972" s="87"/>
      <x:c r="AB3972" s="87"/>
      <x:c r="AC3972" s="87" t="str">
        <x:v>VIS-GEO-NOV-011</x:v>
      </x:c>
      <x:c r="AD3972" s="87"/>
      <x:c r="AE3972" s="87"/>
      <x:c r="AF3972" s="87" t="str">
        <x:v>VIS-GEO-NOV-011: 12</x:v>
      </x:c>
      <x:c r="AG3972" s="87" t="str">
        <x:v>RESOLVED</x:v>
      </x:c>
      <x:c r="AH3972" s="87" t="str">
        <x:v>CROP_VERIFIED</x:v>
      </x:c>
      <x:c r="AI3972" s="30"/>
      <x:c r="AJ3972" s="87" t="str">
        <x:v>master</x:v>
      </x:c>
      <x:c r="AK3972" s="87" t="str">
        <x:v>master-v0.81</x:v>
      </x:c>
      <x:c r="AL3972" s="87" t="str">
        <x:v>statgrad_master_base_v0_81_final(2).xlsx</x:v>
      </x:c>
      <x:c r="AM3972" s="87" t="str">
        <x:v>GEO_Nov_V1</x:v>
      </x:c>
      <x:c r="AN3972" s="87" t="n">
        <x:v>23</x:v>
      </x:c>
    </x:row>
    <x:row r="3973">
      <x:c r="A3973" s="87" t="n">
        <x:v>3972</x:v>
      </x:c>
      <x:c r="B3973" s="87" t="str">
        <x:v>NOV-GEO-V1-023</x:v>
      </x:c>
      <x:c r="C3973" s="87" t="str">
        <x:v>СтатГрад</x:v>
      </x:c>
      <x:c r="D3973" s="87" t="str">
        <x:v>Ноябрь 2025</x:v>
      </x:c>
      <x:c r="E3973" s="87"/>
      <x:c r="F3973" s="87"/>
      <x:c r="G3973" s="87" t="str">
        <x:v>География</x:v>
      </x:c>
      <x:c r="H3973" s="87" t="n">
        <x:v>11</x:v>
      </x:c>
      <x:c r="I3973" s="87" t="str">
        <x:v>ТР №2</x:v>
      </x:c>
      <x:c r="J3973" s="87" t="str">
        <x:v>ГГ2510201</x:v>
      </x:c>
      <x:c r="K3973" s="87" t="n">
        <x:v>23</x:v>
      </x:c>
      <x:c r="L3973" s="87" t="str">
        <x:v>Экономико-географическое положение</x:v>
      </x:c>
      <x:c r="M3973" s="30" t="str">
        <x:v>Указать особенность ЭГП Тобольска, обеспечивающую бесперебойное снабжение нового производства сырьём.</x:v>
      </x:c>
      <x:c r="N3973" s="30" t="str">
        <x:v>Близость Тобольска к районам добычи нефти и природного газа.</x:v>
      </x:c>
      <x:c r="O3973" s="30" t="str">
        <x:v>Побочные продукты нефтегазодобычи поступают с расположенных поблизости месторождений Западной Сибири.</x:v>
      </x:c>
      <x:c r="P3973" s="30" t="str">
        <x:v>Ответ содержит требуемый критерием фактор близости к сырьевой базе.</x:v>
      </x:c>
      <x:c r="Q3973" s="30"/>
      <x:c r="R3973" s="30" t="str">
        <x:v>Kriterii_GG11_24112025.pdf</x:v>
      </x:c>
      <x:c r="S3973" s="30"/>
      <x:c r="T3973" s="30"/>
      <x:c r="U3973" s="30" t="str">
        <x:v>Модель рассчитана на максимальный 1 балл.</x:v>
      </x:c>
      <x:c r="V3973" s="87" t="str">
        <x:v>VERIFIED</x:v>
      </x:c>
      <x:c r="W3973" s="87" t="str">
        <x:v>PDF, стр. 12</x:v>
      </x:c>
      <x:c r="X3973" s="87"/>
      <x:c r="Y3973" s="87"/>
      <x:c r="Z3973" s="87"/>
      <x:c r="AA3973" s="87"/>
      <x:c r="AB3973" s="87"/>
      <x:c r="AC3973" s="87" t="str">
        <x:v>VIS-GEO-NOV-011</x:v>
      </x:c>
      <x:c r="AD3973" s="87"/>
      <x:c r="AE3973" s="87"/>
      <x:c r="AF3973" s="87" t="str">
        <x:v>VIS-GEO-NOV-011: 12</x:v>
      </x:c>
      <x:c r="AG3973" s="87" t="str">
        <x:v>RESOLVED</x:v>
      </x:c>
      <x:c r="AH3973" s="87" t="str">
        <x:v>CROP_VERIFIED</x:v>
      </x:c>
      <x:c r="AI3973" s="30"/>
      <x:c r="AJ3973" s="87" t="str">
        <x:v>master</x:v>
      </x:c>
      <x:c r="AK3973" s="87" t="str">
        <x:v>master-v0.81</x:v>
      </x:c>
      <x:c r="AL3973" s="87" t="str">
        <x:v>statgrad_master_base_v0_81_final(2).xlsx</x:v>
      </x:c>
      <x:c r="AM3973" s="87" t="str">
        <x:v>GEO_Nov_V1</x:v>
      </x:c>
      <x:c r="AN3973" s="87" t="n">
        <x:v>24</x:v>
      </x:c>
    </x:row>
    <x:row r="3974">
      <x:c r="A3974" s="87" t="n">
        <x:v>3973</x:v>
      </x:c>
      <x:c r="B3974" s="87" t="str">
        <x:v>NOV-GEO-V1-024</x:v>
      </x:c>
      <x:c r="C3974" s="87" t="str">
        <x:v>СтатГрад</x:v>
      </x:c>
      <x:c r="D3974" s="87" t="str">
        <x:v>Ноябрь 2025</x:v>
      </x:c>
      <x:c r="E3974" s="87"/>
      <x:c r="F3974" s="87"/>
      <x:c r="G3974" s="87" t="str">
        <x:v>География</x:v>
      </x:c>
      <x:c r="H3974" s="87" t="n">
        <x:v>11</x:v>
      </x:c>
      <x:c r="I3974" s="87" t="str">
        <x:v>ТР №2</x:v>
      </x:c>
      <x:c r="J3974" s="87" t="str">
        <x:v>ГГ2510201</x:v>
      </x:c>
      <x:c r="K3974" s="87" t="n">
        <x:v>24</x:v>
      </x:c>
      <x:c r="L3974" s="87" t="str">
        <x:v>Индекс человеческого развития</x:v>
      </x:c>
      <x:c r="M3974" s="30" t="str">
        <x:v>Определить, Эквадор или Парагвай выше по ИЧР в 2017 г.; обосновать продолжительностью жизни и ВВП на душу населения.</x:v>
      </x:c>
      <x:c r="N3974" s="30" t="str">
        <x:v>Выше должен находиться Эквадор. Средняя ожидаемая продолжительность жизни: 77 лет против 74 лет в Парагвае. ВВП на душу: 193 800 ÷ 17,3 ≈ 11 202 долл.; 69 700 ÷ 7,2 ≈ 9 681 долл.</x:v>
      </x:c>
      <x:c r="O3974" s="30" t="str">
        <x:v>Эквадор превосходит Парагвай по обоим использованным компонентам ИЧР.</x:v>
      </x:c>
      <x:c r="P3974" s="30" t="str">
        <x:v>Средние продолжительности жизни и оба расчёта ВВП на душу пересчитаны по таблицам 1–2.</x:v>
      </x:c>
      <x:c r="Q3974" s="30"/>
      <x:c r="R3974" s="30" t="str">
        <x:v>Kriterii_GG11_24112025.pdf; Spravochnye_materialy_GG11_24112025.pdf</x:v>
      </x:c>
      <x:c r="S3974" s="30"/>
      <x:c r="T3974" s="30"/>
      <x:c r="U3974" s="30" t="str">
        <x:v>Все три обязательных элемента критерия присутствуют; максимум 2 балла.</x:v>
      </x:c>
      <x:c r="V3974" s="87" t="str">
        <x:v>VERIFIED</x:v>
      </x:c>
      <x:c r="W3974" s="87" t="str">
        <x:v>PDF, стр. 13</x:v>
      </x:c>
      <x:c r="X3974" s="87"/>
      <x:c r="Y3974" s="87"/>
      <x:c r="Z3974" s="87"/>
      <x:c r="AA3974" s="87"/>
      <x:c r="AB3974" s="87"/>
      <x:c r="AC3974" s="87" t="str">
        <x:v>VIS-GEO-NOV-012; VIS-GEO-NOV-016; VIS-GEO-NOV-017</x:v>
      </x:c>
      <x:c r="AD3974" s="87"/>
      <x:c r="AE3974" s="87"/>
      <x:c r="AF3974" s="87" t="str">
        <x:v>VIS-GEO-NOV-012: 13; VIS-GEO-NOV-016: 3; VIS-GEO-NOV-017: 4</x:v>
      </x:c>
      <x:c r="AG3974" s="87" t="str">
        <x:v>RESOLVED</x:v>
      </x:c>
      <x:c r="AH3974" s="87" t="str">
        <x:v>CROP_VERIFIED</x:v>
      </x:c>
      <x:c r="AI3974" s="30"/>
      <x:c r="AJ3974" s="87" t="str">
        <x:v>master</x:v>
      </x:c>
      <x:c r="AK3974" s="87" t="str">
        <x:v>master-v0.81</x:v>
      </x:c>
      <x:c r="AL3974" s="87" t="str">
        <x:v>statgrad_master_base_v0_81_final(2).xlsx</x:v>
      </x:c>
      <x:c r="AM3974" s="87" t="str">
        <x:v>GEO_Nov_V1</x:v>
      </x:c>
      <x:c r="AN3974" s="87" t="n">
        <x:v>25</x:v>
      </x:c>
    </x:row>
    <x:row r="3975">
      <x:c r="A3975" s="87" t="n">
        <x:v>3974</x:v>
      </x:c>
      <x:c r="B3975" s="87" t="str">
        <x:v>NOV-GEO-V1-025</x:v>
      </x:c>
      <x:c r="C3975" s="87" t="str">
        <x:v>СтатГрад</x:v>
      </x:c>
      <x:c r="D3975" s="87" t="str">
        <x:v>Ноябрь 2025</x:v>
      </x:c>
      <x:c r="E3975" s="87"/>
      <x:c r="F3975" s="87"/>
      <x:c r="G3975" s="87" t="str">
        <x:v>География</x:v>
      </x:c>
      <x:c r="H3975" s="87" t="n">
        <x:v>11</x:v>
      </x:c>
      <x:c r="I3975" s="87" t="str">
        <x:v>ТР №2</x:v>
      </x:c>
      <x:c r="J3975" s="87" t="str">
        <x:v>ГГ2510201</x:v>
      </x:c>
      <x:c r="K3975" s="87" t="n">
        <x:v>25</x:v>
      </x:c>
      <x:c r="L3975" s="87" t="str">
        <x:v>Роль сельского хозяйства</x:v>
      </x:c>
      <x:c r="M3975" s="30" t="str">
        <x:v>Сравнить роль сельского хозяйства в экономике Сальвадора и Анголы по доле в ВВП и в экспорте.</x:v>
      </x:c>
      <x:c r="N3975" s="30" t="str">
        <x:v>Сельское хозяйство играло большую роль в Сальвадоре. Доля в ВВП: 12,0 % против 10,2 %. Доля сельхозэкспорта: 1,1 ÷ 5,8 ≈ 18,97 %; 0,03 ÷ 33,1 ≈ 0,09 %.</x:v>
      </x:c>
      <x:c r="O3975" s="30" t="str">
        <x:v>Оба показателя выше у Сальвадора, поэтому итоговый вывод однозначен.</x:v>
      </x:c>
      <x:c r="P3975" s="30" t="str">
        <x:v>Четыре обязательных элемента критерия и оба отношения пересчитаны по таблице 2.</x:v>
      </x:c>
      <x:c r="Q3975" s="30"/>
      <x:c r="R3975" s="30" t="str">
        <x:v>Kriterii_GG11_24112025.pdf; Spravochnye_materialy_GG11_24112025.pdf</x:v>
      </x:c>
      <x:c r="S3975" s="30"/>
      <x:c r="T3975" s="30"/>
      <x:c r="U3975" s="30" t="str">
        <x:v>Модель рассчитана на максимальные 2 балла.</x:v>
      </x:c>
      <x:c r="V3975" s="87" t="str">
        <x:v>VERIFIED</x:v>
      </x:c>
      <x:c r="W3975" s="87" t="str">
        <x:v>PDF, стр. 13</x:v>
      </x:c>
      <x:c r="X3975" s="87"/>
      <x:c r="Y3975" s="87"/>
      <x:c r="Z3975" s="87"/>
      <x:c r="AA3975" s="87"/>
      <x:c r="AB3975" s="87"/>
      <x:c r="AC3975" s="87" t="str">
        <x:v>VIS-GEO-NOV-012; VIS-GEO-NOV-017</x:v>
      </x:c>
      <x:c r="AD3975" s="87"/>
      <x:c r="AE3975" s="87"/>
      <x:c r="AF3975" s="87" t="str">
        <x:v>VIS-GEO-NOV-012: 13; VIS-GEO-NOV-017: 4</x:v>
      </x:c>
      <x:c r="AG3975" s="87" t="str">
        <x:v>RESOLVED</x:v>
      </x:c>
      <x:c r="AH3975" s="87" t="str">
        <x:v>CROP_VERIFIED</x:v>
      </x:c>
      <x:c r="AI3975" s="30"/>
      <x:c r="AJ3975" s="87" t="str">
        <x:v>master</x:v>
      </x:c>
      <x:c r="AK3975" s="87" t="str">
        <x:v>master-v0.81</x:v>
      </x:c>
      <x:c r="AL3975" s="87" t="str">
        <x:v>statgrad_master_base_v0_81_final(2).xlsx</x:v>
      </x:c>
      <x:c r="AM3975" s="87" t="str">
        <x:v>GEO_Nov_V1</x:v>
      </x:c>
      <x:c r="AN3975" s="87" t="n">
        <x:v>26</x:v>
      </x:c>
    </x:row>
    <x:row r="3976">
      <x:c r="A3976" s="87" t="n">
        <x:v>3975</x:v>
      </x:c>
      <x:c r="B3976" s="87" t="str">
        <x:v>NOV-GEO-V1-026</x:v>
      </x:c>
      <x:c r="C3976" s="87" t="str">
        <x:v>СтатГрад</x:v>
      </x:c>
      <x:c r="D3976" s="87" t="str">
        <x:v>Ноябрь 2025</x:v>
      </x:c>
      <x:c r="E3976" s="87"/>
      <x:c r="F3976" s="87"/>
      <x:c r="G3976" s="87" t="str">
        <x:v>География</x:v>
      </x:c>
      <x:c r="H3976" s="87" t="n">
        <x:v>11</x:v>
      </x:c>
      <x:c r="I3976" s="87" t="str">
        <x:v>ТР №2</x:v>
      </x:c>
      <x:c r="J3976" s="87" t="str">
        <x:v>ГГ2510201</x:v>
      </x:c>
      <x:c r="K3976" s="87" t="n">
        <x:v>26</x:v>
      </x:c>
      <x:c r="L3976" s="87" t="str">
        <x:v>Орографические осадки</x:v>
      </x:c>
      <x:c r="M3976" s="30" t="str">
        <x:v>Объяснить, почему в пункте Б на профиле острова у западных берегов Евразии выпадает больше осадков, чем в других пунктах; назвать две причины.</x:v>
      </x:c>
      <x:c r="N3976" s="30" t="str">
        <x:v>Пункт Б расположен на наветренном склоне, куда западные ветры приносят влажный воздух; кроме того, он находится выше пункта А, а при подъёме воздуха по склону осадки усиливаются.</x:v>
      </x:c>
      <x:c r="O3976" s="30" t="str">
        <x:v>Ответ включает направление переноса влаги и высотно-орографический механизм.</x:v>
      </x:c>
      <x:c r="P3976" s="30" t="str">
        <x:v>Оба независимых элемента официального критерия сохранены.</x:v>
      </x:c>
      <x:c r="Q3976" s="30"/>
      <x:c r="R3976" s="30" t="str">
        <x:v>Kriterii_GG11_24112025.pdf; Zadanie_GG11_24112025.pdf</x:v>
      </x:c>
      <x:c r="S3976" s="30"/>
      <x:c r="T3976" s="30"/>
      <x:c r="U3976" s="30" t="str">
        <x:v>Модель рассчитана на максимальные 2 балла.</x:v>
      </x:c>
      <x:c r="V3976" s="87" t="str">
        <x:v>VERIFIED</x:v>
      </x:c>
      <x:c r="W3976" s="87" t="str">
        <x:v>PDF, стр. 13</x:v>
      </x:c>
      <x:c r="X3976" s="87"/>
      <x:c r="Y3976" s="87"/>
      <x:c r="Z3976" s="87"/>
      <x:c r="AA3976" s="87"/>
      <x:c r="AB3976" s="87"/>
      <x:c r="AC3976" s="87" t="str">
        <x:v>VIS-GEO-NOV-012</x:v>
      </x:c>
      <x:c r="AD3976" s="87"/>
      <x:c r="AE3976" s="87"/>
      <x:c r="AF3976" s="87" t="str">
        <x:v>VIS-GEO-NOV-012: 13</x:v>
      </x:c>
      <x:c r="AG3976" s="87" t="str">
        <x:v>RESOLVED</x:v>
      </x:c>
      <x:c r="AH3976" s="87" t="str">
        <x:v>CROP_VERIFIED</x:v>
      </x:c>
      <x:c r="AI3976" s="30"/>
      <x:c r="AJ3976" s="87" t="str">
        <x:v>master</x:v>
      </x:c>
      <x:c r="AK3976" s="87" t="str">
        <x:v>master-v0.81</x:v>
      </x:c>
      <x:c r="AL3976" s="87" t="str">
        <x:v>statgrad_master_base_v0_81_final(2).xlsx</x:v>
      </x:c>
      <x:c r="AM3976" s="87" t="str">
        <x:v>GEO_Nov_V1</x:v>
      </x:c>
      <x:c r="AN3976" s="87" t="n">
        <x:v>27</x:v>
      </x:c>
    </x:row>
    <x:row r="3977">
      <x:c r="A3977" s="87" t="n">
        <x:v>3976</x:v>
      </x:c>
      <x:c r="B3977" s="87" t="str">
        <x:v>NOV-GEO-V1-027</x:v>
      </x:c>
      <x:c r="C3977" s="87" t="str">
        <x:v>СтатГрад</x:v>
      </x:c>
      <x:c r="D3977" s="87" t="str">
        <x:v>Ноябрь 2025</x:v>
      </x:c>
      <x:c r="E3977" s="87"/>
      <x:c r="F3977" s="87"/>
      <x:c r="G3977" s="87" t="str">
        <x:v>География</x:v>
      </x:c>
      <x:c r="H3977" s="87" t="n">
        <x:v>11</x:v>
      </x:c>
      <x:c r="I3977" s="87" t="str">
        <x:v>ТР №2</x:v>
      </x:c>
      <x:c r="J3977" s="87" t="str">
        <x:v>ГГ2510201</x:v>
      </x:c>
      <x:c r="K3977" s="87" t="n">
        <x:v>27</x:v>
      </x:c>
      <x:c r="L3977" s="87" t="str">
        <x:v>Водная эрозия по топографической карте</x:v>
      </x:c>
      <x:c r="M3977" s="30" t="str">
        <x:v>Определить участок с наибольшей опасностью водной эрозии и привести два довода.</x:v>
      </x:c>
      <x:c r="N3977" s="30" t="str">
        <x:v>Участок 2: он расположен на склоне, а поверхность распахана и не закреплена растительностью.</x:v>
      </x:c>
      <x:c r="O3977" s="30" t="str">
        <x:v>Сочетание уклона и отсутствия растительного покрова максимизирует поверхностный сток и смыв почвы.</x:v>
      </x:c>
      <x:c r="P3977" s="30" t="str">
        <x:v>Рельеф и условные знаки землепользования проверены по полноразмерной странице; все три элемента критерия присутствуют.</x:v>
      </x:c>
      <x:c r="Q3977" s="30"/>
      <x:c r="R3977" s="30" t="str">
        <x:v>Kriterii_GG11_24112025.pdf; Zadanie_GG11_24112025.pdf</x:v>
      </x:c>
      <x:c r="S3977" s="30"/>
      <x:c r="T3977" s="30"/>
      <x:c r="U3977" s="30" t="str">
        <x:v>Модель рассчитана на максимальные 2 балла.</x:v>
      </x:c>
      <x:c r="V3977" s="87" t="str">
        <x:v>VERIFIED</x:v>
      </x:c>
      <x:c r="W3977" s="87" t="str">
        <x:v>PDF, стр. 14</x:v>
      </x:c>
      <x:c r="X3977" s="87"/>
      <x:c r="Y3977" s="87"/>
      <x:c r="Z3977" s="87"/>
      <x:c r="AA3977" s="87"/>
      <x:c r="AB3977" s="87"/>
      <x:c r="AC3977" s="87" t="str">
        <x:v>VIS-GEO-NOV-013</x:v>
      </x:c>
      <x:c r="AD3977" s="87"/>
      <x:c r="AE3977" s="87"/>
      <x:c r="AF3977" s="87" t="str">
        <x:v>VIS-GEO-NOV-013: 14</x:v>
      </x:c>
      <x:c r="AG3977" s="87" t="str">
        <x:v>RESOLVED</x:v>
      </x:c>
      <x:c r="AH3977" s="87" t="str">
        <x:v>CROP_VERIFIED</x:v>
      </x:c>
      <x:c r="AI3977" s="30"/>
      <x:c r="AJ3977" s="87" t="str">
        <x:v>master</x:v>
      </x:c>
      <x:c r="AK3977" s="87" t="str">
        <x:v>master-v0.81</x:v>
      </x:c>
      <x:c r="AL3977" s="87" t="str">
        <x:v>statgrad_master_base_v0_81_final(2).xlsx</x:v>
      </x:c>
      <x:c r="AM3977" s="87" t="str">
        <x:v>GEO_Nov_V1</x:v>
      </x:c>
      <x:c r="AN3977" s="87" t="n">
        <x:v>28</x:v>
      </x:c>
    </x:row>
    <x:row r="3978">
      <x:c r="A3978" s="87" t="n">
        <x:v>3977</x:v>
      </x:c>
      <x:c r="B3978" s="87" t="str">
        <x:v>NOV-GEO-V1-028</x:v>
      </x:c>
      <x:c r="C3978" s="87" t="str">
        <x:v>СтатГрад</x:v>
      </x:c>
      <x:c r="D3978" s="87" t="str">
        <x:v>Ноябрь 2025</x:v>
      </x:c>
      <x:c r="E3978" s="87"/>
      <x:c r="F3978" s="87"/>
      <x:c r="G3978" s="87" t="str">
        <x:v>География</x:v>
      </x:c>
      <x:c r="H3978" s="87" t="n">
        <x:v>11</x:v>
      </x:c>
      <x:c r="I3978" s="87" t="str">
        <x:v>ТР №2</x:v>
      </x:c>
      <x:c r="J3978" s="87" t="str">
        <x:v>ГГ2510201</x:v>
      </x:c>
      <x:c r="K3978" s="87" t="n">
        <x:v>28</x:v>
      </x:c>
      <x:c r="L3978" s="87" t="str">
        <x:v>Солнечное время и долгота</x:v>
      </x:c>
      <x:c r="M3978" s="30" t="str">
        <x:v>В 01:00 на меридиане 30° в.д. в искомой точке 22:00 предыдущих суток. Определить долготу и записать решение.</x:v>
      </x:c>
      <x:c r="N3978" s="30" t="str">
        <x:v>Разница времени 3 ч, значит разница долгот 3 × 15° = 45°. В точке время меньше, поэтому она западнее 30° в.д.: 30° в.д. − 45° = 15° з.д.</x:v>
      </x:c>
      <x:c r="O3978" s="30" t="str">
        <x:v>Направление сдвига времени определяет западное полушарие.</x:v>
      </x:c>
      <x:c r="P3978" s="30" t="str">
        <x:v>Последовательность шагов и переход через нулевой меридиан повторно проверены.</x:v>
      </x:c>
      <x:c r="Q3978" s="30"/>
      <x:c r="R3978" s="30" t="str">
        <x:v>Kriterii_GG11_24112025.pdf; Zadanie_GG11_24112025.pdf</x:v>
      </x:c>
      <x:c r="S3978" s="30"/>
      <x:c r="T3978" s="30"/>
      <x:c r="U3978" s="30" t="str">
        <x:v>Модель рассчитана на максимальные 2 балла.</x:v>
      </x:c>
      <x:c r="V3978" s="87" t="str">
        <x:v>VERIFIED</x:v>
      </x:c>
      <x:c r="W3978" s="87" t="str">
        <x:v>PDF, стр. 14</x:v>
      </x:c>
      <x:c r="X3978" s="87"/>
      <x:c r="Y3978" s="87"/>
      <x:c r="Z3978" s="87"/>
      <x:c r="AA3978" s="87"/>
      <x:c r="AB3978" s="87"/>
      <x:c r="AC3978" s="87" t="str">
        <x:v>VIS-GEO-NOV-013</x:v>
      </x:c>
      <x:c r="AD3978" s="87"/>
      <x:c r="AE3978" s="87"/>
      <x:c r="AF3978" s="87" t="str">
        <x:v>VIS-GEO-NOV-013: 14</x:v>
      </x:c>
      <x:c r="AG3978" s="87" t="str">
        <x:v>RESOLVED</x:v>
      </x:c>
      <x:c r="AH3978" s="87" t="str">
        <x:v>CROP_VERIFIED</x:v>
      </x:c>
      <x:c r="AI3978" s="30"/>
      <x:c r="AJ3978" s="87" t="str">
        <x:v>master</x:v>
      </x:c>
      <x:c r="AK3978" s="87" t="str">
        <x:v>master-v0.81</x:v>
      </x:c>
      <x:c r="AL3978" s="87" t="str">
        <x:v>statgrad_master_base_v0_81_final(2).xlsx</x:v>
      </x:c>
      <x:c r="AM3978" s="87" t="str">
        <x:v>GEO_Nov_V1</x:v>
      </x:c>
      <x:c r="AN3978" s="87" t="n">
        <x:v>29</x:v>
      </x:c>
    </x:row>
    <x:row r="3979">
      <x:c r="A3979" s="87" t="n">
        <x:v>3978</x:v>
      </x:c>
      <x:c r="B3979" s="87" t="str">
        <x:v>NOV-GEO-V1-029</x:v>
      </x:c>
      <x:c r="C3979" s="87" t="str">
        <x:v>СтатГрад</x:v>
      </x:c>
      <x:c r="D3979" s="87" t="str">
        <x:v>Ноябрь 2025</x:v>
      </x:c>
      <x:c r="E3979" s="87"/>
      <x:c r="F3979" s="87"/>
      <x:c r="G3979" s="87" t="str">
        <x:v>География</x:v>
      </x:c>
      <x:c r="H3979" s="87" t="n">
        <x:v>11</x:v>
      </x:c>
      <x:c r="I3979" s="87" t="str">
        <x:v>ТР №2</x:v>
      </x:c>
      <x:c r="J3979" s="87" t="str">
        <x:v>ГГ2510201</x:v>
      </x:c>
      <x:c r="K3979" s="87" t="n">
        <x:v>29</x:v>
      </x:c>
      <x:c r="L3979" s="87" t="str">
        <x:v>Климатические пояса</x:v>
      </x:c>
      <x:c r="M3979" s="30" t="str">
        <x:v>По таблице температур и осадков привести аргумент за субэкваториальный пояс и аргумент за тропический пояс.</x:v>
      </x:c>
      <x:c r="N3979" s="30" t="str">
        <x:v>В пользу Маши: выражены сухой зимний и влажный летне-осенний сезоны, что характерно для субэкваториального климата. В пользу Даши: годовой ход температур и амплитуда 34 − 15 = 19 °C характерны для тропического пояса.</x:v>
      </x:c>
      <x:c r="O3979" s="30" t="str">
        <x:v>Модель не выбирает одну позицию, а корректно защищает обе, как требует условие.</x:v>
      </x:c>
      <x:c r="P3979" s="30" t="str">
        <x:v>Оба аргумента и географическая грамотность сопоставлены с критериями К1 и К2.</x:v>
      </x:c>
      <x:c r="Q3979" s="30"/>
      <x:c r="R3979" s="30" t="str">
        <x:v>Kriterii_GG11_24112025.pdf; Zadanie_GG11_24112025.pdf</x:v>
      </x:c>
      <x:c r="S3979" s="30"/>
      <x:c r="T3979" s="30"/>
      <x:c r="U3979" s="30" t="str">
        <x:v>Модель рассчитана на максимальные 3 балла.</x:v>
      </x:c>
      <x:c r="V3979" s="87" t="str">
        <x:v>VERIFIED</x:v>
      </x:c>
      <x:c r="W3979" s="87" t="str">
        <x:v>PDF, стр. 14</x:v>
      </x:c>
      <x:c r="X3979" s="87"/>
      <x:c r="Y3979" s="87"/>
      <x:c r="Z3979" s="87"/>
      <x:c r="AA3979" s="87"/>
      <x:c r="AB3979" s="87"/>
      <x:c r="AC3979" s="87" t="str">
        <x:v>VIS-GEO-NOV-013</x:v>
      </x:c>
      <x:c r="AD3979" s="87"/>
      <x:c r="AE3979" s="87"/>
      <x:c r="AF3979" s="87" t="str">
        <x:v>VIS-GEO-NOV-013: 14</x:v>
      </x:c>
      <x:c r="AG3979" s="87" t="str">
        <x:v>RESOLVED</x:v>
      </x:c>
      <x:c r="AH3979" s="87" t="str">
        <x:v>CROP_VERIFIED; TASK_CROP_QA_APPROVED:MANUAL_BBOX</x:v>
      </x:c>
      <x:c r="AI3979" s="30"/>
      <x:c r="AJ3979" s="87" t="str">
        <x:v>master</x:v>
      </x:c>
      <x:c r="AK3979" s="87" t="str">
        <x:v>master-v0.81</x:v>
      </x:c>
      <x:c r="AL3979" s="87" t="str">
        <x:v>statgrad_master_base_v0_81_final(2).xlsx</x:v>
      </x:c>
      <x:c r="AM3979" s="87" t="str">
        <x:v>GEO_Nov_V1</x:v>
      </x:c>
      <x:c r="AN3979" s="87" t="n">
        <x:v>30</x:v>
      </x:c>
    </x:row>
    <x:row r="3980">
      <x:c r="A3980" s="87" t="n">
        <x:v>3979</x:v>
      </x:c>
      <x:c r="B3980" s="87" t="str">
        <x:v>NOV-HIST-V1-001</x:v>
      </x:c>
      <x:c r="C3980" s="87" t="str">
        <x:v>СтатГрад</x:v>
      </x:c>
      <x:c r="D3980" s="87" t="str">
        <x:v>Ноябрь 2025</x:v>
      </x:c>
      <x:c r="E3980" s="87"/>
      <x:c r="F3980" s="87"/>
      <x:c r="G3980" s="87" t="str">
        <x:v>История</x:v>
      </x:c>
      <x:c r="H3980" s="87" t="n">
        <x:v>11</x:v>
      </x:c>
      <x:c r="I3980" s="87" t="str">
        <x:v>ТР №2</x:v>
      </x:c>
      <x:c r="J3980" s="87" t="str">
        <x:v>ИС2510201</x:v>
      </x:c>
      <x:c r="K3980" s="87" t="n">
        <x:v>1</x:v>
      </x:c>
      <x:c r="L3980" s="87" t="str">
        <x:v>Соответствие событий и дат</x:v>
      </x:c>
      <x:c r="M3980" s="30" t="str">
        <x:v>Соотнести изгнание поляков из Москвы, приглашение Владимира Мономаха, Курскую битву и Жалованную грамоту городам с годами.</x:v>
      </x:c>
      <x:c r="N3980" s="30" t="str">
        <x:v>3164</x:v>
      </x:c>
      <x:c r="O3980" s="30" t="str">
        <x:v>1612; 1113; 1943; 1785.</x:v>
      </x:c>
      <x:c r="P3980" s="30" t="str">
        <x:v>1612; 1113; 1943; 1785.</x:v>
      </x:c>
      <x:c r="Q3980" s="30"/>
      <x:c r="R3980" s="30" t="str">
        <x:v>Zadanie_IS11_25112025.pdf; Kriterii_IS11_25112025.pdf</x:v>
      </x:c>
      <x:c r="S3980" s="30"/>
      <x:c r="T3980" s="30"/>
      <x:c r="U3980" s="30" t="str">
        <x:v>Расхождений не обнаружено. На физической стр. 2 ошибочный бегущий заголовок «ИС2510203»; содержание относится к ИС2510201.</x:v>
      </x:c>
      <x:c r="V3980" s="87" t="str">
        <x:v>VERIFIED</x:v>
      </x:c>
      <x:c r="W3980" s="87" t="str">
        <x:v>Zadanie_IS11_25112025.pdf, вариантная стр. 2 (физическая стр. 2)</x:v>
      </x:c>
      <x:c r="X3980" s="87"/>
      <x:c r="Y3980" s="87"/>
      <x:c r="Z3980" s="87"/>
      <x:c r="AA3980" s="87"/>
      <x:c r="AB3980" s="87"/>
      <x:c r="AC3980" s="87" t="str">
        <x:v>VIS-HIST-NOV-001</x:v>
      </x:c>
      <x:c r="AD3980" s="87"/>
      <x:c r="AE3980" s="87"/>
      <x:c r="AF3980" s="87" t="str">
        <x:v>VIS-HIST-NOV-001: 2</x:v>
      </x:c>
      <x:c r="AG3980" s="87" t="str">
        <x:v>RESOLVED</x:v>
      </x:c>
      <x:c r="AH3980" s="87" t="str">
        <x:v>CROP_VERIFIED</x:v>
      </x:c>
      <x:c r="AI3980" s="30"/>
      <x:c r="AJ3980" s="87" t="str">
        <x:v>master</x:v>
      </x:c>
      <x:c r="AK3980" s="87" t="str">
        <x:v>master-v0.81</x:v>
      </x:c>
      <x:c r="AL3980" s="87" t="str">
        <x:v>statgrad_master_base_v0_81_final(2).xlsx</x:v>
      </x:c>
      <x:c r="AM3980" s="87" t="str">
        <x:v>HIST_Nov_V1</x:v>
      </x:c>
      <x:c r="AN3980" s="87" t="n">
        <x:v>2</x:v>
      </x:c>
    </x:row>
    <x:row r="3981">
      <x:c r="A3981" s="87" t="n">
        <x:v>3980</x:v>
      </x:c>
      <x:c r="B3981" s="87" t="str">
        <x:v>NOV-HIST-V1-002</x:v>
      </x:c>
      <x:c r="C3981" s="87" t="str">
        <x:v>СтатГрад</x:v>
      </x:c>
      <x:c r="D3981" s="87" t="str">
        <x:v>Ноябрь 2025</x:v>
      </x:c>
      <x:c r="E3981" s="87"/>
      <x:c r="F3981" s="87"/>
      <x:c r="G3981" s="87" t="str">
        <x:v>История</x:v>
      </x:c>
      <x:c r="H3981" s="87" t="n">
        <x:v>11</x:v>
      </x:c>
      <x:c r="I3981" s="87" t="str">
        <x:v>ТР №2</x:v>
      </x:c>
      <x:c r="J3981" s="87" t="str">
        <x:v>ИС2510201</x:v>
      </x:c>
      <x:c r="K3981" s="87" t="n">
        <x:v>2</x:v>
      </x:c>
      <x:c r="L3981" s="87" t="str">
        <x:v>Хронология</x:v>
      </x:c>
      <x:c r="M3981" s="30" t="str">
        <x:v>Расположить основание Москвы, начало Реформации в Германии и принятие Соборного уложения.</x:v>
      </x:c>
      <x:c r="N3981" s="30" t="str">
        <x:v>312</x:v>
      </x:c>
      <x:c r="O3981" s="30" t="str">
        <x:v>1147 → 1517 → 1649.</x:v>
      </x:c>
      <x:c r="P3981" s="30" t="str">
        <x:v>1147 → 1517 → 1649.</x:v>
      </x:c>
      <x:c r="Q3981" s="30"/>
      <x:c r="R3981" s="30" t="str">
        <x:v>Zadanie_IS11_25112025.pdf; Kriterii_IS11_25112025.pdf</x:v>
      </x:c>
      <x:c r="S3981" s="30"/>
      <x:c r="T3981" s="30"/>
      <x:c r="U3981" s="30" t="str">
        <x:v>Расхождений не обнаружено.</x:v>
      </x:c>
      <x:c r="V3981" s="87" t="str">
        <x:v>VERIFIED</x:v>
      </x:c>
      <x:c r="W3981" s="87" t="str">
        <x:v>Zadanie_IS11_25112025.pdf, вариантная стр. 2 (физическая стр. 2)</x:v>
      </x:c>
      <x:c r="X3981" s="87"/>
      <x:c r="Y3981" s="87"/>
      <x:c r="Z3981" s="87"/>
      <x:c r="AA3981" s="87"/>
      <x:c r="AB3981" s="87"/>
      <x:c r="AC3981" s="87" t="str">
        <x:v>VIS-HIST-NOV-001</x:v>
      </x:c>
      <x:c r="AD3981" s="87"/>
      <x:c r="AE3981" s="87"/>
      <x:c r="AF3981" s="87" t="str">
        <x:v>VIS-HIST-NOV-001: 2</x:v>
      </x:c>
      <x:c r="AG3981" s="87" t="str">
        <x:v>RESOLVED</x:v>
      </x:c>
      <x:c r="AH3981" s="87" t="str">
        <x:v>CROP_VERIFIED</x:v>
      </x:c>
      <x:c r="AI3981" s="30"/>
      <x:c r="AJ3981" s="87" t="str">
        <x:v>master</x:v>
      </x:c>
      <x:c r="AK3981" s="87" t="str">
        <x:v>master-v0.81</x:v>
      </x:c>
      <x:c r="AL3981" s="87" t="str">
        <x:v>statgrad_master_base_v0_81_final(2).xlsx</x:v>
      </x:c>
      <x:c r="AM3981" s="87" t="str">
        <x:v>HIST_Nov_V1</x:v>
      </x:c>
      <x:c r="AN3981" s="87" t="n">
        <x:v>3</x:v>
      </x:c>
    </x:row>
    <x:row r="3982">
      <x:c r="A3982" s="87" t="n">
        <x:v>3981</x:v>
      </x:c>
      <x:c r="B3982" s="87" t="str">
        <x:v>NOV-HIST-V1-003</x:v>
      </x:c>
      <x:c r="C3982" s="87" t="str">
        <x:v>СтатГрад</x:v>
      </x:c>
      <x:c r="D3982" s="87" t="str">
        <x:v>Ноябрь 2025</x:v>
      </x:c>
      <x:c r="E3982" s="87"/>
      <x:c r="F3982" s="87"/>
      <x:c r="G3982" s="87" t="str">
        <x:v>История</x:v>
      </x:c>
      <x:c r="H3982" s="87" t="n">
        <x:v>11</x:v>
      </x:c>
      <x:c r="I3982" s="87" t="str">
        <x:v>ТР №2</x:v>
      </x:c>
      <x:c r="J3982" s="87" t="str">
        <x:v>ИС2510201</x:v>
      </x:c>
      <x:c r="K3982" s="87" t="n">
        <x:v>3</x:v>
      </x:c>
      <x:c r="L3982" s="87" t="str">
        <x:v>Соответствие процессов и фактов</x:v>
      </x:c>
      <x:c r="M3982" s="30" t="str">
        <x:v>Соотнести экономическую политику XVII в., военный коммунизм, внутреннюю политику Александра I и древнерусское законодательство с фактами.</x:v>
      </x:c>
      <x:c r="N3982" s="30" t="str">
        <x:v>5123</x:v>
      </x:c>
      <x:c r="O3982" s="30" t="str">
        <x:v>Новоторговый устав; запрет частной торговли; Цензурный устав; Устав о резах.</x:v>
      </x:c>
      <x:c r="P3982" s="30" t="str">
        <x:v>Новоторговый устав; запрет частной торговли; Цензурный устав; Устав о резах.</x:v>
      </x:c>
      <x:c r="Q3982" s="30"/>
      <x:c r="R3982" s="30" t="str">
        <x:v>Zadanie_IS11_25112025.pdf; Kriterii_IS11_25112025.pdf</x:v>
      </x:c>
      <x:c r="S3982" s="30"/>
      <x:c r="T3982" s="30"/>
      <x:c r="U3982" s="30" t="str">
        <x:v>Расхождений не обнаружено.</x:v>
      </x:c>
      <x:c r="V3982" s="87" t="str">
        <x:v>VERIFIED</x:v>
      </x:c>
      <x:c r="W3982" s="87" t="str">
        <x:v>Zadanie_IS11_25112025.pdf, вариантная стр. 3 (физическая стр. 3)</x:v>
      </x:c>
      <x:c r="X3982" s="87"/>
      <x:c r="Y3982" s="87"/>
      <x:c r="Z3982" s="87"/>
      <x:c r="AA3982" s="87"/>
      <x:c r="AB3982" s="87"/>
      <x:c r="AC3982" s="87" t="str">
        <x:v>VIS-HIST-NOV-002</x:v>
      </x:c>
      <x:c r="AD3982" s="87"/>
      <x:c r="AE3982" s="87"/>
      <x:c r="AF3982" s="87" t="str">
        <x:v>VIS-HIST-NOV-002: 3</x:v>
      </x:c>
      <x:c r="AG3982" s="87" t="str">
        <x:v>RESOLVED</x:v>
      </x:c>
      <x:c r="AH3982" s="87" t="str">
        <x:v>CROP_VERIFIED</x:v>
      </x:c>
      <x:c r="AI3982" s="30"/>
      <x:c r="AJ3982" s="87" t="str">
        <x:v>master</x:v>
      </x:c>
      <x:c r="AK3982" s="87" t="str">
        <x:v>master-v0.81</x:v>
      </x:c>
      <x:c r="AL3982" s="87" t="str">
        <x:v>statgrad_master_base_v0_81_final(2).xlsx</x:v>
      </x:c>
      <x:c r="AM3982" s="87" t="str">
        <x:v>HIST_Nov_V1</x:v>
      </x:c>
      <x:c r="AN3982" s="87" t="n">
        <x:v>4</x:v>
      </x:c>
    </x:row>
    <x:row r="3983">
      <x:c r="A3983" s="87" t="n">
        <x:v>3982</x:v>
      </x:c>
      <x:c r="B3983" s="87" t="str">
        <x:v>NOV-HIST-V1-004</x:v>
      </x:c>
      <x:c r="C3983" s="87" t="str">
        <x:v>СтатГрад</x:v>
      </x:c>
      <x:c r="D3983" s="87" t="str">
        <x:v>Ноябрь 2025</x:v>
      </x:c>
      <x:c r="E3983" s="87"/>
      <x:c r="F3983" s="87"/>
      <x:c r="G3983" s="87" t="str">
        <x:v>История</x:v>
      </x:c>
      <x:c r="H3983" s="87" t="n">
        <x:v>11</x:v>
      </x:c>
      <x:c r="I3983" s="87" t="str">
        <x:v>ТР №2</x:v>
      </x:c>
      <x:c r="J3983" s="87" t="str">
        <x:v>ИС2510201</x:v>
      </x:c>
      <x:c r="K3983" s="87" t="n">
        <x:v>4</x:v>
      </x:c>
      <x:c r="L3983" s="87" t="str">
        <x:v>Таблица: место, событие, период</x:v>
      </x:c>
      <x:c r="M3983" s="30" t="str">
        <x:v>Заполнить таблицу о Ленинграде, событиях 1930-х гг., Смоленском сражении 1812 г., казни Пугачёва и Поляновском мире.</x:v>
      </x:c>
      <x:c r="N3983" s="30" t="str">
        <x:v>214758</x:v>
      </x:c>
      <x:c r="O3983" s="30" t="str">
        <x:v>Ленинград — 1940-е; индустриализация — 1930-е; Смоленск — 1812; казнь Пугачёва — 1770-е; Поляновка; мир с Речью Посполитой.</x:v>
      </x:c>
      <x:c r="P3983" s="30" t="str">
        <x:v>Ленинград — 1940-е; индустриализация — 1930-е; Смоленск — 1812; казнь Пугачёва — 1770-е; Поляновка; мир с Речью Посполитой.</x:v>
      </x:c>
      <x:c r="Q3983" s="30"/>
      <x:c r="R3983" s="30" t="str">
        <x:v>Zadanie_IS11_25112025.pdf; Kriterii_IS11_25112025.pdf</x:v>
      </x:c>
      <x:c r="S3983" s="30"/>
      <x:c r="T3983" s="30"/>
      <x:c r="U3983" s="30" t="str">
        <x:v>Расхождений не обнаружено.</x:v>
      </x:c>
      <x:c r="V3983" s="87" t="str">
        <x:v>VERIFIED</x:v>
      </x:c>
      <x:c r="W3983" s="87" t="str">
        <x:v>Zadanie_IS11_25112025.pdf, вариантные стр. 3 и 4 (физические стр. 3 и 4)</x:v>
      </x:c>
      <x:c r="X3983" s="87"/>
      <x:c r="Y3983" s="87"/>
      <x:c r="Z3983" s="87"/>
      <x:c r="AA3983" s="87"/>
      <x:c r="AB3983" s="87"/>
      <x:c r="AC3983" s="87" t="str">
        <x:v>VIS-HIST-NOV-002; VIS-HIST-NOV-003</x:v>
      </x:c>
      <x:c r="AD3983" s="87"/>
      <x:c r="AE3983" s="87"/>
      <x:c r="AF3983" s="87" t="str">
        <x:v>VIS-HIST-NOV-002: 3; VIS-HIST-NOV-003: 4</x:v>
      </x:c>
      <x:c r="AG3983" s="87" t="str">
        <x:v>RESOLVED</x:v>
      </x:c>
      <x:c r="AH3983" s="87" t="str">
        <x:v>CROP_VERIFIED</x:v>
      </x:c>
      <x:c r="AI3983" s="30"/>
      <x:c r="AJ3983" s="87" t="str">
        <x:v>master</x:v>
      </x:c>
      <x:c r="AK3983" s="87" t="str">
        <x:v>master-v0.81</x:v>
      </x:c>
      <x:c r="AL3983" s="87" t="str">
        <x:v>statgrad_master_base_v0_81_final(2).xlsx</x:v>
      </x:c>
      <x:c r="AM3983" s="87" t="str">
        <x:v>HIST_Nov_V1</x:v>
      </x:c>
      <x:c r="AN3983" s="87" t="n">
        <x:v>5</x:v>
      </x:c>
    </x:row>
    <x:row r="3984">
      <x:c r="A3984" s="87" t="n">
        <x:v>3983</x:v>
      </x:c>
      <x:c r="B3984" s="87" t="str">
        <x:v>NOV-HIST-V1-005</x:v>
      </x:c>
      <x:c r="C3984" s="87" t="str">
        <x:v>СтатГрад</x:v>
      </x:c>
      <x:c r="D3984" s="87" t="str">
        <x:v>Ноябрь 2025</x:v>
      </x:c>
      <x:c r="E3984" s="87"/>
      <x:c r="F3984" s="87"/>
      <x:c r="G3984" s="87" t="str">
        <x:v>История</x:v>
      </x:c>
      <x:c r="H3984" s="87" t="n">
        <x:v>11</x:v>
      </x:c>
      <x:c r="I3984" s="87" t="str">
        <x:v>ТР №2</x:v>
      </x:c>
      <x:c r="J3984" s="87" t="str">
        <x:v>ИС2510201</x:v>
      </x:c>
      <x:c r="K3984" s="87" t="n">
        <x:v>5</x:v>
      </x:c>
      <x:c r="L3984" s="87" t="str">
        <x:v>События и участники</x:v>
      </x:c>
      <x:c r="M3984" s="30" t="str">
        <x:v>Соотнести издание Свода законов, присоединение Нижнего Новгорода, битву за Москву и учреждение патриаршества с участниками.</x:v>
      </x:c>
      <x:c r="N3984" s="30" t="str">
        <x:v>1542</x:v>
      </x:c>
      <x:c r="O3984" s="30" t="str">
        <x:v>Сперанский; Василий I; Рокоссовский; Борис Годунов.</x:v>
      </x:c>
      <x:c r="P3984" s="30" t="str">
        <x:v>Сперанский; Василий I; Рокоссовский; Борис Годунов.</x:v>
      </x:c>
      <x:c r="Q3984" s="30"/>
      <x:c r="R3984" s="30" t="str">
        <x:v>Zadanie_IS11_25112025.pdf; Kriterii_IS11_25112025.pdf</x:v>
      </x:c>
      <x:c r="S3984" s="30"/>
      <x:c r="T3984" s="30"/>
      <x:c r="U3984" s="30" t="str">
        <x:v>Расхождений не обнаружено.</x:v>
      </x:c>
      <x:c r="V3984" s="87" t="str">
        <x:v>VERIFIED</x:v>
      </x:c>
      <x:c r="W3984" s="87" t="str">
        <x:v>Zadanie_IS11_25112025.pdf, вариантная стр. 4 (физическая стр. 4)</x:v>
      </x:c>
      <x:c r="X3984" s="87"/>
      <x:c r="Y3984" s="87"/>
      <x:c r="Z3984" s="87"/>
      <x:c r="AA3984" s="87"/>
      <x:c r="AB3984" s="87"/>
      <x:c r="AC3984" s="87" t="str">
        <x:v>VIS-HIST-NOV-003</x:v>
      </x:c>
      <x:c r="AD3984" s="87"/>
      <x:c r="AE3984" s="87"/>
      <x:c r="AF3984" s="87" t="str">
        <x:v>VIS-HIST-NOV-003: 4</x:v>
      </x:c>
      <x:c r="AG3984" s="87" t="str">
        <x:v>RESOLVED</x:v>
      </x:c>
      <x:c r="AH3984" s="87" t="str">
        <x:v>CROP_VERIFIED</x:v>
      </x:c>
      <x:c r="AI3984" s="30"/>
      <x:c r="AJ3984" s="87" t="str">
        <x:v>master</x:v>
      </x:c>
      <x:c r="AK3984" s="87" t="str">
        <x:v>master-v0.81</x:v>
      </x:c>
      <x:c r="AL3984" s="87" t="str">
        <x:v>statgrad_master_base_v0_81_final(2).xlsx</x:v>
      </x:c>
      <x:c r="AM3984" s="87" t="str">
        <x:v>HIST_Nov_V1</x:v>
      </x:c>
      <x:c r="AN3984" s="87" t="n">
        <x:v>6</x:v>
      </x:c>
    </x:row>
    <x:row r="3985">
      <x:c r="A3985" s="87" t="n">
        <x:v>3984</x:v>
      </x:c>
      <x:c r="B3985" s="87" t="str">
        <x:v>NOV-HIST-V1-006</x:v>
      </x:c>
      <x:c r="C3985" s="87" t="str">
        <x:v>СтатГрад</x:v>
      </x:c>
      <x:c r="D3985" s="87" t="str">
        <x:v>Ноябрь 2025</x:v>
      </x:c>
      <x:c r="E3985" s="87"/>
      <x:c r="F3985" s="87"/>
      <x:c r="G3985" s="87" t="str">
        <x:v>История</x:v>
      </x:c>
      <x:c r="H3985" s="87" t="n">
        <x:v>11</x:v>
      </x:c>
      <x:c r="I3985" s="87" t="str">
        <x:v>ТР №2</x:v>
      </x:c>
      <x:c r="J3985" s="87" t="str">
        <x:v>ИС2510201</x:v>
      </x:c>
      <x:c r="K3985" s="87" t="n">
        <x:v>6</x:v>
      </x:c>
      <x:c r="L3985" s="87" t="str">
        <x:v>Анализ письменного источника</x:v>
      </x:c>
      <x:c r="M3985" s="30" t="str">
        <x:v>По отрывку о престолонаследии после смерти Петра I выбрать верные суждения.</x:v>
      </x:c>
      <x:c r="N3985" s="30" t="str">
        <x:v>16</x:v>
      </x:c>
      <x:c r="O3985" s="30" t="str">
        <x:v>Пётр I умер; императрицей стала Екатерина I, при ней создан Верховный тайный совет.</x:v>
      </x:c>
      <x:c r="P3985" s="30" t="str">
        <x:v>Пётр I умер; императрицей стала Екатерина I, при ней создан Верховный тайный совет.</x:v>
      </x:c>
      <x:c r="Q3985" s="30"/>
      <x:c r="R3985" s="30" t="str">
        <x:v>Zadanie_IS11_25112025.pdf; Kriterii_IS11_25112025.pdf</x:v>
      </x:c>
      <x:c r="S3985" s="30"/>
      <x:c r="T3985" s="30"/>
      <x:c r="U3985" s="30" t="str">
        <x:v>Расхождений не обнаружено.</x:v>
      </x:c>
      <x:c r="V3985" s="87" t="str">
        <x:v>VERIFIED</x:v>
      </x:c>
      <x:c r="W3985" s="87" t="str">
        <x:v>Zadanie_IS11_25112025.pdf, вариантная стр. 5 (физическая стр. 5)</x:v>
      </x:c>
      <x:c r="X3985" s="87"/>
      <x:c r="Y3985" s="87"/>
      <x:c r="Z3985" s="87"/>
      <x:c r="AA3985" s="87"/>
      <x:c r="AB3985" s="87"/>
      <x:c r="AC3985" s="87" t="str">
        <x:v>VIS-HIST-NOV-004</x:v>
      </x:c>
      <x:c r="AD3985" s="87"/>
      <x:c r="AE3985" s="87"/>
      <x:c r="AF3985" s="87" t="str">
        <x:v>VIS-HIST-NOV-004: 5</x:v>
      </x:c>
      <x:c r="AG3985" s="87" t="str">
        <x:v>RESOLVED</x:v>
      </x:c>
      <x:c r="AH3985" s="87" t="str">
        <x:v>CROP_VERIFIED</x:v>
      </x:c>
      <x:c r="AI3985" s="30"/>
      <x:c r="AJ3985" s="87" t="str">
        <x:v>master</x:v>
      </x:c>
      <x:c r="AK3985" s="87" t="str">
        <x:v>master-v0.81</x:v>
      </x:c>
      <x:c r="AL3985" s="87" t="str">
        <x:v>statgrad_master_base_v0_81_final(2).xlsx</x:v>
      </x:c>
      <x:c r="AM3985" s="87" t="str">
        <x:v>HIST_Nov_V1</x:v>
      </x:c>
      <x:c r="AN3985" s="87" t="n">
        <x:v>7</x:v>
      </x:c>
    </x:row>
    <x:row r="3986">
      <x:c r="A3986" s="87" t="n">
        <x:v>3985</x:v>
      </x:c>
      <x:c r="B3986" s="87" t="str">
        <x:v>NOV-HIST-V1-007</x:v>
      </x:c>
      <x:c r="C3986" s="87" t="str">
        <x:v>СтатГрад</x:v>
      </x:c>
      <x:c r="D3986" s="87" t="str">
        <x:v>Ноябрь 2025</x:v>
      </x:c>
      <x:c r="E3986" s="87"/>
      <x:c r="F3986" s="87"/>
      <x:c r="G3986" s="87" t="str">
        <x:v>История</x:v>
      </x:c>
      <x:c r="H3986" s="87" t="n">
        <x:v>11</x:v>
      </x:c>
      <x:c r="I3986" s="87" t="str">
        <x:v>ТР №2</x:v>
      </x:c>
      <x:c r="J3986" s="87" t="str">
        <x:v>ИС2510201</x:v>
      </x:c>
      <x:c r="K3986" s="87" t="n">
        <x:v>7</x:v>
      </x:c>
      <x:c r="L3986" s="87" t="str">
        <x:v>Памятники культуры</x:v>
      </x:c>
      <x:c r="M3986" s="30" t="str">
        <x:v>Соотнести церковь Покрова на Нерли, храм Христа Спасителя, пьесу «Бег» и «Житие протопопа Аввакума» с характеристиками.</x:v>
      </x:c>
      <x:c r="N3986" s="30" t="str">
        <x:v>6254</x:v>
      </x:c>
      <x:c r="O3986" s="30" t="str">
        <x:v>Андрей Боголюбский; память об Отечественной войне 1812 г.; Гражданская война; церковный раскол.</x:v>
      </x:c>
      <x:c r="P3986" s="30" t="str">
        <x:v>Андрей Боголюбский; память об Отечественной войне 1812 г.; Гражданская война; церковный раскол.</x:v>
      </x:c>
      <x:c r="Q3986" s="30"/>
      <x:c r="R3986" s="30" t="str">
        <x:v>Zadanie_IS11_25112025.pdf; Kriterii_IS11_25112025.pdf</x:v>
      </x:c>
      <x:c r="S3986" s="30"/>
      <x:c r="T3986" s="30"/>
      <x:c r="U3986" s="30" t="str">
        <x:v>Расхождений не обнаружено.</x:v>
      </x:c>
      <x:c r="V3986" s="87" t="str">
        <x:v>VERIFIED</x:v>
      </x:c>
      <x:c r="W3986" s="87" t="str">
        <x:v>Zadanie_IS11_25112025.pdf, вариантная стр. 6 (физическая стр. 6)</x:v>
      </x:c>
      <x:c r="X3986" s="87"/>
      <x:c r="Y3986" s="87"/>
      <x:c r="Z3986" s="87"/>
      <x:c r="AA3986" s="87"/>
      <x:c r="AB3986" s="87"/>
      <x:c r="AC3986" s="87" t="str">
        <x:v>VIS-HIST-NOV-005</x:v>
      </x:c>
      <x:c r="AD3986" s="87"/>
      <x:c r="AE3986" s="87"/>
      <x:c r="AF3986" s="87" t="str">
        <x:v>VIS-HIST-NOV-005: 6</x:v>
      </x:c>
      <x:c r="AG3986" s="87" t="str">
        <x:v>RESOLVED</x:v>
      </x:c>
      <x:c r="AH3986" s="87" t="str">
        <x:v>CROP_VERIFIED</x:v>
      </x:c>
      <x:c r="AI3986" s="30"/>
      <x:c r="AJ3986" s="87" t="str">
        <x:v>master</x:v>
      </x:c>
      <x:c r="AK3986" s="87" t="str">
        <x:v>master-v0.81</x:v>
      </x:c>
      <x:c r="AL3986" s="87" t="str">
        <x:v>statgrad_master_base_v0_81_final(2).xlsx</x:v>
      </x:c>
      <x:c r="AM3986" s="87" t="str">
        <x:v>HIST_Nov_V1</x:v>
      </x:c>
      <x:c r="AN3986" s="87" t="n">
        <x:v>8</x:v>
      </x:c>
    </x:row>
    <x:row r="3987">
      <x:c r="A3987" s="87" t="n">
        <x:v>3986</x:v>
      </x:c>
      <x:c r="B3987" s="87" t="str">
        <x:v>NOV-HIST-V1-008</x:v>
      </x:c>
      <x:c r="C3987" s="87" t="str">
        <x:v>СтатГрад</x:v>
      </x:c>
      <x:c r="D3987" s="87" t="str">
        <x:v>Ноябрь 2025</x:v>
      </x:c>
      <x:c r="E3987" s="87"/>
      <x:c r="F3987" s="87"/>
      <x:c r="G3987" s="87" t="str">
        <x:v>История</x:v>
      </x:c>
      <x:c r="H3987" s="87" t="n">
        <x:v>11</x:v>
      </x:c>
      <x:c r="I3987" s="87" t="str">
        <x:v>ТР №2</x:v>
      </x:c>
      <x:c r="J3987" s="87" t="str">
        <x:v>ИС2510201</x:v>
      </x:c>
      <x:c r="K3987" s="87" t="n">
        <x:v>8</x:v>
      </x:c>
      <x:c r="L3987" s="87" t="str">
        <x:v>Изображение / марка</x:v>
      </x:c>
      <x:c r="M3987" s="30" t="str">
        <x:v>По открытке с Героем Советского Союза определить год подвига.</x:v>
      </x:c>
      <x:c r="N3987" s="30" t="str">
        <x:v>сорок первом</x:v>
      </x:c>
      <x:c r="O3987" s="30" t="str">
        <x:v>На открытке В. Талалихин; ночной воздушный таран совершен в 1941 г.</x:v>
      </x:c>
      <x:c r="P3987" s="30" t="str">
        <x:v>На открытке В. Талалихин; ночной воздушный таран совершен в 1941 г.</x:v>
      </x:c>
      <x:c r="Q3987" s="30"/>
      <x:c r="R3987" s="30" t="str">
        <x:v>Zadanie_IS11_25112025.pdf; Kriterii_IS11_25112025.pdf</x:v>
      </x:c>
      <x:c r="S3987" s="30"/>
      <x:c r="T3987" s="30"/>
      <x:c r="U3987" s="30" t="str">
        <x:v>Расхождений не обнаружено.</x:v>
      </x:c>
      <x:c r="V3987" s="87" t="str">
        <x:v>VERIFIED</x:v>
      </x:c>
      <x:c r="W3987" s="87" t="str">
        <x:v>Zadanie_IS11_25112025.pdf, вариантная стр. 6 (физическая стр. 6)</x:v>
      </x:c>
      <x:c r="X3987" s="87"/>
      <x:c r="Y3987" s="87"/>
      <x:c r="Z3987" s="87"/>
      <x:c r="AA3987" s="87"/>
      <x:c r="AB3987" s="87"/>
      <x:c r="AC3987" s="87" t="str">
        <x:v>VIS-HIST-NOV-005</x:v>
      </x:c>
      <x:c r="AD3987" s="87"/>
      <x:c r="AE3987" s="87"/>
      <x:c r="AF3987" s="87" t="str">
        <x:v>VIS-HIST-NOV-005: 6</x:v>
      </x:c>
      <x:c r="AG3987" s="87" t="str">
        <x:v>RESOLVED</x:v>
      </x:c>
      <x:c r="AH3987" s="87" t="str">
        <x:v>CROP_VERIFIED</x:v>
      </x:c>
      <x:c r="AI3987" s="30"/>
      <x:c r="AJ3987" s="87" t="str">
        <x:v>master</x:v>
      </x:c>
      <x:c r="AK3987" s="87" t="str">
        <x:v>master-v0.81</x:v>
      </x:c>
      <x:c r="AL3987" s="87" t="str">
        <x:v>statgrad_master_base_v0_81_final(2).xlsx</x:v>
      </x:c>
      <x:c r="AM3987" s="87" t="str">
        <x:v>HIST_Nov_V1</x:v>
      </x:c>
      <x:c r="AN3987" s="87" t="n">
        <x:v>9</x:v>
      </x:c>
    </x:row>
    <x:row r="3988">
      <x:c r="A3988" s="87" t="n">
        <x:v>3987</x:v>
      </x:c>
      <x:c r="B3988" s="87" t="str">
        <x:v>NOV-HIST-V1-009</x:v>
      </x:c>
      <x:c r="C3988" s="87" t="str">
        <x:v>СтатГрад</x:v>
      </x:c>
      <x:c r="D3988" s="87" t="str">
        <x:v>Ноябрь 2025</x:v>
      </x:c>
      <x:c r="E3988" s="87"/>
      <x:c r="F3988" s="87"/>
      <x:c r="G3988" s="87" t="str">
        <x:v>История</x:v>
      </x:c>
      <x:c r="H3988" s="87" t="n">
        <x:v>11</x:v>
      </x:c>
      <x:c r="I3988" s="87" t="str">
        <x:v>ТР №2</x:v>
      </x:c>
      <x:c r="J3988" s="87" t="str">
        <x:v>ИС2510201</x:v>
      </x:c>
      <x:c r="K3988" s="87" t="n">
        <x:v>9</x:v>
      </x:c>
      <x:c r="L3988" s="87" t="str">
        <x:v>Историческая карта</x:v>
      </x:c>
      <x:c r="M3988" s="30" t="str">
        <x:v>Назвать российского государя во время событий на схеме Ливонской войны.</x:v>
      </x:c>
      <x:c r="N3988" s="30" t="str">
        <x:v>Иван IV; Иван Грозный</x:v>
      </x:c>
      <x:c r="O3988" s="30" t="str">
        <x:v>Схема отражает походы русских войск в Ливонии при Иване IV.</x:v>
      </x:c>
      <x:c r="P3988" s="30" t="str">
        <x:v>Схема отражает походы русских войск в Ливонии при Иване IV.</x:v>
      </x:c>
      <x:c r="Q3988" s="30"/>
      <x:c r="R3988" s="30" t="str">
        <x:v>Zadanie_IS11_25112025.pdf; Kriterii_IS11_25112025.pdf</x:v>
      </x:c>
      <x:c r="S3988" s="30"/>
      <x:c r="T3988" s="30"/>
      <x:c r="U3988" s="30" t="str">
        <x:v>Расхождений не обнаружено.</x:v>
      </x:c>
      <x:c r="V3988" s="87" t="str">
        <x:v>VERIFIED</x:v>
      </x:c>
      <x:c r="W3988" s="87" t="str">
        <x:v>Zadanie_IS11_25112025.pdf, вариантная стр. 7 (физическая стр. 7)</x:v>
      </x:c>
      <x:c r="X3988" s="87"/>
      <x:c r="Y3988" s="87"/>
      <x:c r="Z3988" s="87"/>
      <x:c r="AA3988" s="87"/>
      <x:c r="AB3988" s="87"/>
      <x:c r="AC3988" s="87" t="str">
        <x:v>VIS-HIST-NOV-006</x:v>
      </x:c>
      <x:c r="AD3988" s="87"/>
      <x:c r="AE3988" s="87"/>
      <x:c r="AF3988" s="87" t="str">
        <x:v>VIS-HIST-NOV-006: 7</x:v>
      </x:c>
      <x:c r="AG3988" s="87" t="str">
        <x:v>RESOLVED</x:v>
      </x:c>
      <x:c r="AH3988" s="87" t="str">
        <x:v>CROP_VERIFIED; TASK_CROP_QA_APPROVED:MANUAL_BBOX</x:v>
      </x:c>
      <x:c r="AI3988" s="30"/>
      <x:c r="AJ3988" s="87" t="str">
        <x:v>master</x:v>
      </x:c>
      <x:c r="AK3988" s="87" t="str">
        <x:v>master-v0.81</x:v>
      </x:c>
      <x:c r="AL3988" s="87" t="str">
        <x:v>statgrad_master_base_v0_81_final(2).xlsx</x:v>
      </x:c>
      <x:c r="AM3988" s="87" t="str">
        <x:v>HIST_Nov_V1</x:v>
      </x:c>
      <x:c r="AN3988" s="87" t="n">
        <x:v>10</x:v>
      </x:c>
    </x:row>
    <x:row r="3989">
      <x:c r="A3989" s="87" t="n">
        <x:v>3988</x:v>
      </x:c>
      <x:c r="B3989" s="87" t="str">
        <x:v>NOV-HIST-V1-010</x:v>
      </x:c>
      <x:c r="C3989" s="87" t="str">
        <x:v>СтатГрад</x:v>
      </x:c>
      <x:c r="D3989" s="87" t="str">
        <x:v>Ноябрь 2025</x:v>
      </x:c>
      <x:c r="E3989" s="87"/>
      <x:c r="F3989" s="87"/>
      <x:c r="G3989" s="87" t="str">
        <x:v>История</x:v>
      </x:c>
      <x:c r="H3989" s="87" t="n">
        <x:v>11</x:v>
      </x:c>
      <x:c r="I3989" s="87" t="str">
        <x:v>ТР №2</x:v>
      </x:c>
      <x:c r="J3989" s="87" t="str">
        <x:v>ИС2510201</x:v>
      </x:c>
      <x:c r="K3989" s="87" t="n">
        <x:v>10</x:v>
      </x:c>
      <x:c r="L3989" s="87" t="str">
        <x:v>Историческая карта</x:v>
      </x:c>
      <x:c r="M3989" s="30" t="str">
        <x:v>Назвать город, обозначенный на схеме цифрой 4.</x:v>
      </x:c>
      <x:c r="N3989" s="30" t="str">
        <x:v>Рига</x:v>
      </x:c>
      <x:c r="O3989" s="30" t="str">
        <x:v>Цифра 4 стоит у Риги на побережье Балтики.</x:v>
      </x:c>
      <x:c r="P3989" s="30" t="str">
        <x:v>Цифра 4 стоит у Риги на побережье Балтики.</x:v>
      </x:c>
      <x:c r="Q3989" s="30"/>
      <x:c r="R3989" s="30" t="str">
        <x:v>Zadanie_IS11_25112025.pdf; Kriterii_IS11_25112025.pdf</x:v>
      </x:c>
      <x:c r="S3989" s="30"/>
      <x:c r="T3989" s="30"/>
      <x:c r="U3989" s="30" t="str">
        <x:v>Расхождений не обнаружено.</x:v>
      </x:c>
      <x:c r="V3989" s="87" t="str">
        <x:v>VERIFIED</x:v>
      </x:c>
      <x:c r="W3989" s="87" t="str">
        <x:v>Zadanie_IS11_25112025.pdf, вариантная стр. 7 (физическая стр. 7)</x:v>
      </x:c>
      <x:c r="X3989" s="87"/>
      <x:c r="Y3989" s="87"/>
      <x:c r="Z3989" s="87"/>
      <x:c r="AA3989" s="87"/>
      <x:c r="AB3989" s="87"/>
      <x:c r="AC3989" s="87" t="str">
        <x:v>VIS-HIST-NOV-006</x:v>
      </x:c>
      <x:c r="AD3989" s="87"/>
      <x:c r="AE3989" s="87"/>
      <x:c r="AF3989" s="87" t="str">
        <x:v>VIS-HIST-NOV-006: 7</x:v>
      </x:c>
      <x:c r="AG3989" s="87" t="str">
        <x:v>RESOLVED</x:v>
      </x:c>
      <x:c r="AH3989" s="87" t="str">
        <x:v>CROP_VERIFIED; TASK_CROP_QA_APPROVED:MANUAL_BBOX</x:v>
      </x:c>
      <x:c r="AI3989" s="30"/>
      <x:c r="AJ3989" s="87" t="str">
        <x:v>master</x:v>
      </x:c>
      <x:c r="AK3989" s="87" t="str">
        <x:v>master-v0.81</x:v>
      </x:c>
      <x:c r="AL3989" s="87" t="str">
        <x:v>statgrad_master_base_v0_81_final(2).xlsx</x:v>
      </x:c>
      <x:c r="AM3989" s="87" t="str">
        <x:v>HIST_Nov_V1</x:v>
      </x:c>
      <x:c r="AN3989" s="87" t="n">
        <x:v>11</x:v>
      </x:c>
    </x:row>
    <x:row r="3990">
      <x:c r="A3990" s="87" t="n">
        <x:v>3989</x:v>
      </x:c>
      <x:c r="B3990" s="87" t="str">
        <x:v>NOV-HIST-V1-011</x:v>
      </x:c>
      <x:c r="C3990" s="87" t="str">
        <x:v>СтатГрад</x:v>
      </x:c>
      <x:c r="D3990" s="87" t="str">
        <x:v>Ноябрь 2025</x:v>
      </x:c>
      <x:c r="E3990" s="87"/>
      <x:c r="F3990" s="87"/>
      <x:c r="G3990" s="87" t="str">
        <x:v>История</x:v>
      </x:c>
      <x:c r="H3990" s="87" t="n">
        <x:v>11</x:v>
      </x:c>
      <x:c r="I3990" s="87" t="str">
        <x:v>ТР №2</x:v>
      </x:c>
      <x:c r="J3990" s="87" t="str">
        <x:v>ИС2510201</x:v>
      </x:c>
      <x:c r="K3990" s="87" t="n">
        <x:v>11</x:v>
      </x:c>
      <x:c r="L3990" s="87" t="str">
        <x:v>Историческая карта</x:v>
      </x:c>
      <x:c r="M3990" s="30" t="str">
        <x:v>В тексте о походе 1577 г. назвать пропущенный город.</x:v>
      </x:c>
      <x:c r="N3990" s="30" t="str">
        <x:v>Люцин</x:v>
      </x:c>
      <x:c r="O3990" s="30" t="str">
        <x:v>Маршрут похода и положение города на схеме соответствуют Люцину.</x:v>
      </x:c>
      <x:c r="P3990" s="30" t="str">
        <x:v>Маршрут похода и положение города на схеме соответствуют Люцину.</x:v>
      </x:c>
      <x:c r="Q3990" s="30"/>
      <x:c r="R3990" s="30" t="str">
        <x:v>Zadanie_IS11_25112025.pdf; Kriterii_IS11_25112025.pdf</x:v>
      </x:c>
      <x:c r="S3990" s="30"/>
      <x:c r="T3990" s="30"/>
      <x:c r="U3990" s="30" t="str">
        <x:v>Расхождений не обнаружено.</x:v>
      </x:c>
      <x:c r="V3990" s="87" t="str">
        <x:v>VERIFIED</x:v>
      </x:c>
      <x:c r="W3990" s="87" t="str">
        <x:v>Zadanie_IS11_25112025.pdf, вариантная стр. 8 (физическая стр. 8)</x:v>
      </x:c>
      <x:c r="X3990" s="87"/>
      <x:c r="Y3990" s="87"/>
      <x:c r="Z3990" s="87"/>
      <x:c r="AA3990" s="87"/>
      <x:c r="AB3990" s="87"/>
      <x:c r="AC3990" s="87" t="str">
        <x:v>VIS-HIST-NOV-007</x:v>
      </x:c>
      <x:c r="AD3990" s="87"/>
      <x:c r="AE3990" s="87"/>
      <x:c r="AF3990" s="87" t="str">
        <x:v>VIS-HIST-NOV-007: 8</x:v>
      </x:c>
      <x:c r="AG3990" s="87" t="str">
        <x:v>RESOLVED</x:v>
      </x:c>
      <x:c r="AH3990" s="87" t="str">
        <x:v>CROP_VERIFIED</x:v>
      </x:c>
      <x:c r="AI3990" s="30"/>
      <x:c r="AJ3990" s="87" t="str">
        <x:v>master</x:v>
      </x:c>
      <x:c r="AK3990" s="87" t="str">
        <x:v>master-v0.81</x:v>
      </x:c>
      <x:c r="AL3990" s="87" t="str">
        <x:v>statgrad_master_base_v0_81_final(2).xlsx</x:v>
      </x:c>
      <x:c r="AM3990" s="87" t="str">
        <x:v>HIST_Nov_V1</x:v>
      </x:c>
      <x:c r="AN3990" s="87" t="n">
        <x:v>12</x:v>
      </x:c>
    </x:row>
    <x:row r="3991">
      <x:c r="A3991" s="87" t="n">
        <x:v>3990</x:v>
      </x:c>
      <x:c r="B3991" s="87" t="str">
        <x:v>NOV-HIST-V1-012</x:v>
      </x:c>
      <x:c r="C3991" s="87" t="str">
        <x:v>СтатГрад</x:v>
      </x:c>
      <x:c r="D3991" s="87" t="str">
        <x:v>Ноябрь 2025</x:v>
      </x:c>
      <x:c r="E3991" s="87"/>
      <x:c r="F3991" s="87"/>
      <x:c r="G3991" s="87" t="str">
        <x:v>История</x:v>
      </x:c>
      <x:c r="H3991" s="87" t="n">
        <x:v>11</x:v>
      </x:c>
      <x:c r="I3991" s="87" t="str">
        <x:v>ТР №2</x:v>
      </x:c>
      <x:c r="J3991" s="87" t="str">
        <x:v>ИС2510201</x:v>
      </x:c>
      <x:c r="K3991" s="87" t="n">
        <x:v>12</x:v>
      </x:c>
      <x:c r="L3991" s="87" t="str">
        <x:v>Историческая карта</x:v>
      </x:c>
      <x:c r="M3991" s="30" t="str">
        <x:v>Выбрать верные суждения по схеме Ливонской войны.</x:v>
      </x:c>
      <x:c r="N3991" s="30" t="str">
        <x:v>346</x:v>
      </x:c>
      <x:c r="O3991" s="30" t="str">
        <x:v>Верны суждения 3, 4 и 6.</x:v>
      </x:c>
      <x:c r="P3991" s="30" t="str">
        <x:v>Верны суждения 3, 4 и 6.</x:v>
      </x:c>
      <x:c r="Q3991" s="30"/>
      <x:c r="R3991" s="30" t="str">
        <x:v>Zadanie_IS11_25112025.pdf; Kriterii_IS11_25112025.pdf</x:v>
      </x:c>
      <x:c r="S3991" s="30"/>
      <x:c r="T3991" s="30"/>
      <x:c r="U3991" s="30" t="str">
        <x:v>Расхождений не обнаружено.</x:v>
      </x:c>
      <x:c r="V3991" s="87" t="str">
        <x:v>VERIFIED</x:v>
      </x:c>
      <x:c r="W3991" s="87" t="str">
        <x:v>Zadanie_IS11_25112025.pdf, вариантная стр. 8 (физическая стр. 8)</x:v>
      </x:c>
      <x:c r="X3991" s="87"/>
      <x:c r="Y3991" s="87"/>
      <x:c r="Z3991" s="87"/>
      <x:c r="AA3991" s="87"/>
      <x:c r="AB3991" s="87"/>
      <x:c r="AC3991" s="87" t="str">
        <x:v>VIS-HIST-NOV-007</x:v>
      </x:c>
      <x:c r="AD3991" s="87"/>
      <x:c r="AE3991" s="87"/>
      <x:c r="AF3991" s="87" t="str">
        <x:v>VIS-HIST-NOV-007: 8</x:v>
      </x:c>
      <x:c r="AG3991" s="87" t="str">
        <x:v>RESOLVED</x:v>
      </x:c>
      <x:c r="AH3991" s="87" t="str">
        <x:v>CROP_VERIFIED</x:v>
      </x:c>
      <x:c r="AI3991" s="30"/>
      <x:c r="AJ3991" s="87" t="str">
        <x:v>master</x:v>
      </x:c>
      <x:c r="AK3991" s="87" t="str">
        <x:v>master-v0.81</x:v>
      </x:c>
      <x:c r="AL3991" s="87" t="str">
        <x:v>statgrad_master_base_v0_81_final(2).xlsx</x:v>
      </x:c>
      <x:c r="AM3991" s="87" t="str">
        <x:v>HIST_Nov_V1</x:v>
      </x:c>
      <x:c r="AN3991" s="87" t="n">
        <x:v>13</x:v>
      </x:c>
    </x:row>
    <x:row r="3992">
      <x:c r="A3992" s="87" t="n">
        <x:v>3991</x:v>
      </x:c>
      <x:c r="B3992" s="87" t="str">
        <x:v>NOV-HIST-V1-013</x:v>
      </x:c>
      <x:c r="C3992" s="87" t="str">
        <x:v>СтатГрад</x:v>
      </x:c>
      <x:c r="D3992" s="87" t="str">
        <x:v>Ноябрь 2025</x:v>
      </x:c>
      <x:c r="E3992" s="87"/>
      <x:c r="F3992" s="87"/>
      <x:c r="G3992" s="87" t="str">
        <x:v>История</x:v>
      </x:c>
      <x:c r="H3992" s="87" t="n">
        <x:v>11</x:v>
      </x:c>
      <x:c r="I3992" s="87" t="str">
        <x:v>ТР №2</x:v>
      </x:c>
      <x:c r="J3992" s="87" t="str">
        <x:v>ИС2510201</x:v>
      </x:c>
      <x:c r="K3992" s="87" t="n">
        <x:v>13</x:v>
      </x:c>
      <x:c r="L3992" s="87" t="str">
        <x:v>Атрибуция источника</x:v>
      </x:c>
      <x:c r="M3992" s="30" t="str">
        <x:v>По тексту о политическом кризисе назвать год, министра иностранных дел и войну.</x:v>
      </x:c>
      <x:c r="N3992" s="30" t="str">
        <x:v>1917; П. Н. Милюков; Первая мировая война</x:v>
      </x:c>
      <x:c r="O3992" s="30" t="str">
        <x:v>Речь о апрельском кризисе Временного правительства 1917 г.</x:v>
      </x:c>
      <x:c r="P3992" s="30" t="str">
        <x:v>Модель сопоставлена с обязательными элементами официального критерия и историческими фактами.</x:v>
      </x:c>
      <x:c r="Q3992" s="30"/>
      <x:c r="R3992" s="30" t="str">
        <x:v>Zadanie_IS11_25112025.pdf; Kriterii_IS11_25112025.pdf</x:v>
      </x:c>
      <x:c r="S3992" s="30"/>
      <x:c r="T3992" s="30"/>
      <x:c r="U3992" s="30" t="str">
        <x:v>Расхождений не обнаружено. На физической стр. 9 ошибочный бегущий заголовок «ИС2510203»; содержание относится к ИС2510201.</x:v>
      </x:c>
      <x:c r="V3992" s="87" t="str">
        <x:v>VERIFIED</x:v>
      </x:c>
      <x:c r="W3992" s="87" t="str">
        <x:v>Zadanie_IS11_25112025.pdf, вариантные стр. 9 и 10 (физические стр. 9 и 10)</x:v>
      </x:c>
      <x:c r="X3992" s="87"/>
      <x:c r="Y3992" s="87"/>
      <x:c r="Z3992" s="87"/>
      <x:c r="AA3992" s="87"/>
      <x:c r="AB3992" s="87"/>
      <x:c r="AC3992" s="87" t="str">
        <x:v>VIS-HIST-NOV-008; VIS-HIST-NOV-009</x:v>
      </x:c>
      <x:c r="AD3992" s="87"/>
      <x:c r="AE3992" s="87"/>
      <x:c r="AF3992" s="87" t="str">
        <x:v>VIS-HIST-NOV-008: 9; VIS-HIST-NOV-009: 10</x:v>
      </x:c>
      <x:c r="AG3992" s="87" t="str">
        <x:v>RESOLVED</x:v>
      </x:c>
      <x:c r="AH3992" s="87" t="str">
        <x:v>CROP_VERIFIED</x:v>
      </x:c>
      <x:c r="AI3992" s="30"/>
      <x:c r="AJ3992" s="87" t="str">
        <x:v>master</x:v>
      </x:c>
      <x:c r="AK3992" s="87" t="str">
        <x:v>master-v0.81</x:v>
      </x:c>
      <x:c r="AL3992" s="87" t="str">
        <x:v>statgrad_master_base_v0_81_final(2).xlsx</x:v>
      </x:c>
      <x:c r="AM3992" s="87" t="str">
        <x:v>HIST_Nov_V1</x:v>
      </x:c>
      <x:c r="AN3992" s="87" t="n">
        <x:v>14</x:v>
      </x:c>
    </x:row>
    <x:row r="3993">
      <x:c r="A3993" s="87" t="n">
        <x:v>3992</x:v>
      </x:c>
      <x:c r="B3993" s="87" t="str">
        <x:v>NOV-HIST-V1-014</x:v>
      </x:c>
      <x:c r="C3993" s="87" t="str">
        <x:v>СтатГрад</x:v>
      </x:c>
      <x:c r="D3993" s="87" t="str">
        <x:v>Ноябрь 2025</x:v>
      </x:c>
      <x:c r="E3993" s="87"/>
      <x:c r="F3993" s="87"/>
      <x:c r="G3993" s="87" t="str">
        <x:v>История</x:v>
      </x:c>
      <x:c r="H3993" s="87" t="n">
        <x:v>11</x:v>
      </x:c>
      <x:c r="I3993" s="87" t="str">
        <x:v>ТР №2</x:v>
      </x:c>
      <x:c r="J3993" s="87" t="str">
        <x:v>ИС2510201</x:v>
      </x:c>
      <x:c r="K3993" s="87" t="n">
        <x:v>14</x:v>
      </x:c>
      <x:c r="L3993" s="87" t="str">
        <x:v>Анализ источника</x:v>
      </x:c>
      <x:c r="M3993" s="30" t="str">
        <x:v>Объяснить недоверие министру, оценку политической зрелости толпы и пример ограничения свободы печати.</x:v>
      </x:c>
      <x:c r="N3993" s="30" t="str">
        <x:v>Недоверие вызвала нота Милюкова союзникам, двусмысленно обещавшая продолжение войны; толпа плохо понимала речи и могла одинаково приветствовать противоположных ораторов; правительство запретило публикацию письма Пуришкевича с обвинением Совета.</x:v>
      </x:c>
      <x:c r="O3993" s="30" t="str">
        <x:v>Все три элемента прямо следуют из источника.</x:v>
      </x:c>
      <x:c r="P3993" s="30" t="str">
        <x:v>Модель сопоставлена с обязательными элементами официального критерия и историческими фактами.</x:v>
      </x:c>
      <x:c r="Q3993" s="30"/>
      <x:c r="R3993" s="30" t="str">
        <x:v>Zadanie_IS11_25112025.pdf; Kriterii_IS11_25112025.pdf</x:v>
      </x:c>
      <x:c r="S3993" s="30"/>
      <x:c r="T3993" s="30"/>
      <x:c r="U3993" s="30" t="str">
        <x:v>Расхождений не обнаружено.</x:v>
      </x:c>
      <x:c r="V3993" s="87" t="str">
        <x:v>VERIFIED</x:v>
      </x:c>
      <x:c r="W3993" s="87" t="str">
        <x:v>Zadanie_IS11_25112025.pdf, вариантные стр. 9 и 10 (физические стр. 9 и 10)</x:v>
      </x:c>
      <x:c r="X3993" s="87"/>
      <x:c r="Y3993" s="87"/>
      <x:c r="Z3993" s="87"/>
      <x:c r="AA3993" s="87"/>
      <x:c r="AB3993" s="87"/>
      <x:c r="AC3993" s="87" t="str">
        <x:v>VIS-HIST-NOV-008; VIS-HIST-NOV-009</x:v>
      </x:c>
      <x:c r="AD3993" s="87"/>
      <x:c r="AE3993" s="87"/>
      <x:c r="AF3993" s="87" t="str">
        <x:v>VIS-HIST-NOV-008: 9; VIS-HIST-NOV-009: 10</x:v>
      </x:c>
      <x:c r="AG3993" s="87" t="str">
        <x:v>RESOLVED</x:v>
      </x:c>
      <x:c r="AH3993" s="87" t="str">
        <x:v>CROP_VERIFIED</x:v>
      </x:c>
      <x:c r="AI3993" s="30"/>
      <x:c r="AJ3993" s="87" t="str">
        <x:v>master</x:v>
      </x:c>
      <x:c r="AK3993" s="87" t="str">
        <x:v>master-v0.81</x:v>
      </x:c>
      <x:c r="AL3993" s="87" t="str">
        <x:v>statgrad_master_base_v0_81_final(2).xlsx</x:v>
      </x:c>
      <x:c r="AM3993" s="87" t="str">
        <x:v>HIST_Nov_V1</x:v>
      </x:c>
      <x:c r="AN3993" s="87" t="n">
        <x:v>15</x:v>
      </x:c>
    </x:row>
    <x:row r="3994">
      <x:c r="A3994" s="87" t="n">
        <x:v>3993</x:v>
      </x:c>
      <x:c r="B3994" s="87" t="str">
        <x:v>NOV-HIST-V1-015</x:v>
      </x:c>
      <x:c r="C3994" s="87" t="str">
        <x:v>СтатГрад</x:v>
      </x:c>
      <x:c r="D3994" s="87" t="str">
        <x:v>Ноябрь 2025</x:v>
      </x:c>
      <x:c r="E3994" s="87"/>
      <x:c r="F3994" s="87"/>
      <x:c r="G3994" s="87" t="str">
        <x:v>История</x:v>
      </x:c>
      <x:c r="H3994" s="87" t="n">
        <x:v>11</x:v>
      </x:c>
      <x:c r="I3994" s="87" t="str">
        <x:v>ТР №2</x:v>
      </x:c>
      <x:c r="J3994" s="87" t="str">
        <x:v>ИС2510201</x:v>
      </x:c>
      <x:c r="K3994" s="87" t="n">
        <x:v>15</x:v>
      </x:c>
      <x:c r="L3994" s="87" t="str">
        <x:v>Изображение / юбилейная марка</x:v>
      </x:c>
      <x:c r="M3994" s="30" t="str">
        <x:v>Назвать государя, при котором основан город на юбилейной марке, и обосновать датировку.</x:v>
      </x:c>
      <x:c r="N3994" s="30" t="str">
        <x:v>Пётр I; 2023 − 300 = 1723</x:v>
      </x:c>
      <x:c r="O3994" s="30" t="str">
        <x:v>Марка посвящена 300-летию Екатеринбурга; город основан в 1723 г. при Петре I.</x:v>
      </x:c>
      <x:c r="P3994" s="30" t="str">
        <x:v>Модель сопоставлена с обязательными элементами официального критерия и историческими фактами.</x:v>
      </x:c>
      <x:c r="Q3994" s="30"/>
      <x:c r="R3994" s="30" t="str">
        <x:v>Zadanie_IS11_25112025.pdf; Kriterii_IS11_25112025.pdf</x:v>
      </x:c>
      <x:c r="S3994" s="30"/>
      <x:c r="T3994" s="30"/>
      <x:c r="U3994" s="30" t="str">
        <x:v>Расхождений не обнаружено.</x:v>
      </x:c>
      <x:c r="V3994" s="87" t="str">
        <x:v>VERIFIED</x:v>
      </x:c>
      <x:c r="W3994" s="87" t="str">
        <x:v>Zadanie_IS11_25112025.pdf, вариантная стр. 10 (физическая стр. 10)</x:v>
      </x:c>
      <x:c r="X3994" s="87"/>
      <x:c r="Y3994" s="87"/>
      <x:c r="Z3994" s="87"/>
      <x:c r="AA3994" s="87"/>
      <x:c r="AB3994" s="87"/>
      <x:c r="AC3994" s="87" t="str">
        <x:v>VIS-HIST-NOV-009</x:v>
      </x:c>
      <x:c r="AD3994" s="87"/>
      <x:c r="AE3994" s="87"/>
      <x:c r="AF3994" s="87" t="str">
        <x:v>VIS-HIST-NOV-009: 10</x:v>
      </x:c>
      <x:c r="AG3994" s="87" t="str">
        <x:v>RESOLVED</x:v>
      </x:c>
      <x:c r="AH3994" s="87" t="str">
        <x:v>CROP_VERIFIED</x:v>
      </x:c>
      <x:c r="AI3994" s="30"/>
      <x:c r="AJ3994" s="87" t="str">
        <x:v>master</x:v>
      </x:c>
      <x:c r="AK3994" s="87" t="str">
        <x:v>master-v0.81</x:v>
      </x:c>
      <x:c r="AL3994" s="87" t="str">
        <x:v>statgrad_master_base_v0_81_final(2).xlsx</x:v>
      </x:c>
      <x:c r="AM3994" s="87" t="str">
        <x:v>HIST_Nov_V1</x:v>
      </x:c>
      <x:c r="AN3994" s="87" t="n">
        <x:v>16</x:v>
      </x:c>
    </x:row>
    <x:row r="3995">
      <x:c r="A3995" s="87" t="n">
        <x:v>3994</x:v>
      </x:c>
      <x:c r="B3995" s="87" t="str">
        <x:v>NOV-HIST-V1-016</x:v>
      </x:c>
      <x:c r="C3995" s="87" t="str">
        <x:v>СтатГрад</x:v>
      </x:c>
      <x:c r="D3995" s="87" t="str">
        <x:v>Ноябрь 2025</x:v>
      </x:c>
      <x:c r="E3995" s="87"/>
      <x:c r="F3995" s="87"/>
      <x:c r="G3995" s="87" t="str">
        <x:v>История</x:v>
      </x:c>
      <x:c r="H3995" s="87" t="n">
        <x:v>11</x:v>
      </x:c>
      <x:c r="I3995" s="87" t="str">
        <x:v>ТР №2</x:v>
      </x:c>
      <x:c r="J3995" s="87" t="str">
        <x:v>ИС2510201</x:v>
      </x:c>
      <x:c r="K3995" s="87" t="n">
        <x:v>16</x:v>
      </x:c>
      <x:c r="L3995" s="87" t="str">
        <x:v>Архитектура</x:v>
      </x:c>
      <x:c r="M3995" s="30" t="str">
        <x:v>Выбрать памятник, построенный в то же царствование, и назвать архитектора.</x:v>
      </x:c>
      <x:c r="N3995" s="30" t="str">
        <x:v>4; Доменико Трезини</x:v>
      </x:c>
      <x:c r="O3995" s="30" t="str">
        <x:v>Памятник №4 относится к петровской эпохе и связан с Д. Трезини.</x:v>
      </x:c>
      <x:c r="P3995" s="30" t="str">
        <x:v>Модель сопоставлена с обязательными элементами официального критерия и историческими фактами.</x:v>
      </x:c>
      <x:c r="Q3995" s="30"/>
      <x:c r="R3995" s="30" t="str">
        <x:v>Zadanie_IS11_25112025.pdf; Kriterii_IS11_25112025.pdf</x:v>
      </x:c>
      <x:c r="S3995" s="30"/>
      <x:c r="T3995" s="30"/>
      <x:c r="U3995" s="30" t="str">
        <x:v>Расхождений не обнаружено.</x:v>
      </x:c>
      <x:c r="V3995" s="87" t="str">
        <x:v>VERIFIED</x:v>
      </x:c>
      <x:c r="W3995" s="87" t="str">
        <x:v>Zadanie_IS11_25112025.pdf, вариантная стр. 11 (физическая стр. 11)</x:v>
      </x:c>
      <x:c r="X3995" s="87"/>
      <x:c r="Y3995" s="87"/>
      <x:c r="Z3995" s="87"/>
      <x:c r="AA3995" s="87"/>
      <x:c r="AB3995" s="87"/>
      <x:c r="AC3995" s="87" t="str">
        <x:v>VIS-HIST-NOV-010</x:v>
      </x:c>
      <x:c r="AD3995" s="87"/>
      <x:c r="AE3995" s="87"/>
      <x:c r="AF3995" s="87" t="str">
        <x:v>VIS-HIST-NOV-010: 11</x:v>
      </x:c>
      <x:c r="AG3995" s="87" t="str">
        <x:v>RESOLVED</x:v>
      </x:c>
      <x:c r="AH3995" s="87" t="str">
        <x:v>CROP_VERIFIED</x:v>
      </x:c>
      <x:c r="AI3995" s="30"/>
      <x:c r="AJ3995" s="87" t="str">
        <x:v>master</x:v>
      </x:c>
      <x:c r="AK3995" s="87" t="str">
        <x:v>master-v0.81</x:v>
      </x:c>
      <x:c r="AL3995" s="87" t="str">
        <x:v>statgrad_master_base_v0_81_final(2).xlsx</x:v>
      </x:c>
      <x:c r="AM3995" s="87" t="str">
        <x:v>HIST_Nov_V1</x:v>
      </x:c>
      <x:c r="AN3995" s="87" t="n">
        <x:v>17</x:v>
      </x:c>
    </x:row>
    <x:row r="3996">
      <x:c r="A3996" s="87" t="n">
        <x:v>3995</x:v>
      </x:c>
      <x:c r="B3996" s="87" t="str">
        <x:v>NOV-HIST-V1-017</x:v>
      </x:c>
      <x:c r="C3996" s="87" t="str">
        <x:v>СтатГрад</x:v>
      </x:c>
      <x:c r="D3996" s="87" t="str">
        <x:v>Ноябрь 2025</x:v>
      </x:c>
      <x:c r="E3996" s="87"/>
      <x:c r="F3996" s="87"/>
      <x:c r="G3996" s="87" t="str">
        <x:v>История</x:v>
      </x:c>
      <x:c r="H3996" s="87" t="n">
        <x:v>11</x:v>
      </x:c>
      <x:c r="I3996" s="87" t="str">
        <x:v>ТР №2</x:v>
      </x:c>
      <x:c r="J3996" s="87" t="str">
        <x:v>ИС2510201</x:v>
      </x:c>
      <x:c r="K3996" s="87" t="n">
        <x:v>17</x:v>
      </x:c>
      <x:c r="L3996" s="87" t="str">
        <x:v>Военная история по воспоминаниям</x:v>
      </x:c>
      <x:c r="M3996" s="30" t="str">
        <x:v>По воспоминаниям назвать год, военачальника и объяснить опасность положения.</x:v>
      </x:c>
      <x:c r="N3996" s="30" t="str">
        <x:v>1941; например, Г. К. Жуков; противник был истощён, но глубокие вклинения осложняли положение и позволяли ему подтягивать резервы.</x:v>
      </x:c>
      <x:c r="O3996" s="30" t="str">
        <x:v>Описание относится к подготовке контрнаступления под Москвой в конце 1941 г.; допустимы также И. С. Конев или С. К. Тимошенко.</x:v>
      </x:c>
      <x:c r="P3996" s="30" t="str">
        <x:v>Модель сопоставлена с обязательными элементами официального критерия и историческими фактами.</x:v>
      </x:c>
      <x:c r="Q3996" s="30"/>
      <x:c r="R3996" s="30" t="str">
        <x:v>Zadanie_IS11_25112025.pdf; Kriterii_IS11_25112025.pdf</x:v>
      </x:c>
      <x:c r="S3996" s="30"/>
      <x:c r="T3996" s="30"/>
      <x:c r="U3996" s="30" t="str">
        <x:v>Расхождений не обнаружено.</x:v>
      </x:c>
      <x:c r="V3996" s="87" t="str">
        <x:v>VERIFIED</x:v>
      </x:c>
      <x:c r="W3996" s="87" t="str">
        <x:v>Zadanie_IS11_25112025.pdf, вариантная стр. 12 (физическая стр. 12)</x:v>
      </x:c>
      <x:c r="X3996" s="87"/>
      <x:c r="Y3996" s="87"/>
      <x:c r="Z3996" s="87"/>
      <x:c r="AA3996" s="87"/>
      <x:c r="AB3996" s="87"/>
      <x:c r="AC3996" s="87" t="str">
        <x:v>VIS-HIST-NOV-011</x:v>
      </x:c>
      <x:c r="AD3996" s="87"/>
      <x:c r="AE3996" s="87"/>
      <x:c r="AF3996" s="87" t="str">
        <x:v>VIS-HIST-NOV-011: 12</x:v>
      </x:c>
      <x:c r="AG3996" s="87" t="str">
        <x:v>RESOLVED</x:v>
      </x:c>
      <x:c r="AH3996" s="87" t="str">
        <x:v>CROP_VERIFIED</x:v>
      </x:c>
      <x:c r="AI3996" s="30"/>
      <x:c r="AJ3996" s="87" t="str">
        <x:v>master</x:v>
      </x:c>
      <x:c r="AK3996" s="87" t="str">
        <x:v>master-v0.81</x:v>
      </x:c>
      <x:c r="AL3996" s="87" t="str">
        <x:v>statgrad_master_base_v0_81_final(2).xlsx</x:v>
      </x:c>
      <x:c r="AM3996" s="87" t="str">
        <x:v>HIST_Nov_V1</x:v>
      </x:c>
      <x:c r="AN3996" s="87" t="n">
        <x:v>18</x:v>
      </x:c>
    </x:row>
    <x:row r="3997">
      <x:c r="A3997" s="87" t="n">
        <x:v>3996</x:v>
      </x:c>
      <x:c r="B3997" s="87" t="str">
        <x:v>NOV-HIST-V1-018</x:v>
      </x:c>
      <x:c r="C3997" s="87" t="str">
        <x:v>СтатГрад</x:v>
      </x:c>
      <x:c r="D3997" s="87" t="str">
        <x:v>Ноябрь 2025</x:v>
      </x:c>
      <x:c r="E3997" s="87"/>
      <x:c r="F3997" s="87"/>
      <x:c r="G3997" s="87" t="str">
        <x:v>История</x:v>
      </x:c>
      <x:c r="H3997" s="87" t="n">
        <x:v>11</x:v>
      </x:c>
      <x:c r="I3997" s="87" t="str">
        <x:v>ТР №2</x:v>
      </x:c>
      <x:c r="J3997" s="87" t="str">
        <x:v>ИС2510201</x:v>
      </x:c>
      <x:c r="K3997" s="87" t="n">
        <x:v>18</x:v>
      </x:c>
      <x:c r="L3997" s="87" t="str">
        <x:v>Причины и последствия</x:v>
      </x:c>
      <x:c r="M3997" s="30" t="str">
        <x:v>Объяснить предпосылку Восточного вопроса, религиозную причину российской политики и причину противодействия западных держав.</x:v>
      </x:c>
      <x:c r="N3997" s="30" t="str">
        <x:v>Победы России над Османской империей во второй половине XVIII в. углубили её кризис; Россия стремилась защищать православных и славян Балкан и христианские святыни; западные державы опасались контроля России над Босфором и Дарданеллами и усиления в Средиземноморье.</x:v>
      </x:c>
      <x:c r="O3997" s="30" t="str">
        <x:v>Три причинных элемента соответствуют логике Восточного вопроса.</x:v>
      </x:c>
      <x:c r="P3997" s="30" t="str">
        <x:v>Модель сопоставлена с обязательными элементами официального критерия и историческими фактами.</x:v>
      </x:c>
      <x:c r="Q3997" s="30"/>
      <x:c r="R3997" s="30" t="str">
        <x:v>Zadanie_IS11_25112025.pdf; Kriterii_IS11_25112025.pdf</x:v>
      </x:c>
      <x:c r="S3997" s="30"/>
      <x:c r="T3997" s="30"/>
      <x:c r="U3997" s="30" t="str">
        <x:v>Расхождений не обнаружено.</x:v>
      </x:c>
      <x:c r="V3997" s="87" t="str">
        <x:v>VERIFIED</x:v>
      </x:c>
      <x:c r="W3997" s="87" t="str">
        <x:v>Zadanie_IS11_25112025.pdf, вариантная стр. 13 (физическая стр. 13)</x:v>
      </x:c>
      <x:c r="X3997" s="87"/>
      <x:c r="Y3997" s="87"/>
      <x:c r="Z3997" s="87"/>
      <x:c r="AA3997" s="87"/>
      <x:c r="AB3997" s="87"/>
      <x:c r="AC3997" s="87" t="str">
        <x:v>VIS-HIST-NOV-012</x:v>
      </x:c>
      <x:c r="AD3997" s="87"/>
      <x:c r="AE3997" s="87"/>
      <x:c r="AF3997" s="87" t="str">
        <x:v>VIS-HIST-NOV-012: 13</x:v>
      </x:c>
      <x:c r="AG3997" s="87" t="str">
        <x:v>RESOLVED</x:v>
      </x:c>
      <x:c r="AH3997" s="87" t="str">
        <x:v>CROP_VERIFIED</x:v>
      </x:c>
      <x:c r="AI3997" s="30"/>
      <x:c r="AJ3997" s="87" t="str">
        <x:v>master</x:v>
      </x:c>
      <x:c r="AK3997" s="87" t="str">
        <x:v>master-v0.81</x:v>
      </x:c>
      <x:c r="AL3997" s="87" t="str">
        <x:v>statgrad_master_base_v0_81_final(2).xlsx</x:v>
      </x:c>
      <x:c r="AM3997" s="87" t="str">
        <x:v>HIST_Nov_V1</x:v>
      </x:c>
      <x:c r="AN3997" s="87" t="n">
        <x:v>19</x:v>
      </x:c>
    </x:row>
    <x:row r="3998">
      <x:c r="A3998" s="87" t="n">
        <x:v>3997</x:v>
      </x:c>
      <x:c r="B3998" s="87" t="str">
        <x:v>NOV-HIST-V1-019</x:v>
      </x:c>
      <x:c r="C3998" s="87" t="str">
        <x:v>СтатГрад</x:v>
      </x:c>
      <x:c r="D3998" s="87" t="str">
        <x:v>Ноябрь 2025</x:v>
      </x:c>
      <x:c r="E3998" s="87"/>
      <x:c r="F3998" s="87"/>
      <x:c r="G3998" s="87" t="str">
        <x:v>История</x:v>
      </x:c>
      <x:c r="H3998" s="87" t="n">
        <x:v>11</x:v>
      </x:c>
      <x:c r="I3998" s="87" t="str">
        <x:v>ТР №2</x:v>
      </x:c>
      <x:c r="J3998" s="87" t="str">
        <x:v>ИС2510201</x:v>
      </x:c>
      <x:c r="K3998" s="87" t="n">
        <x:v>19</x:v>
      </x:c>
      <x:c r="L3998" s="87" t="str">
        <x:v>Историческое понятие</x:v>
      </x:c>
      <x:c r="M3998" s="30" t="str">
        <x:v>Раскрыть понятие «местничество» и привести отдельный факт.</x:v>
      </x:c>
      <x:c r="N3998" s="30" t="str">
        <x:v>Местничество — система назначения на военные, административные и придворные должности по знатности рода и служебному положению предков; отменено в 1682 г.</x:v>
      </x:c>
      <x:c r="O3998" s="30" t="str">
        <x:v>Определение и конкретный факт разделены.</x:v>
      </x:c>
      <x:c r="P3998" s="30" t="str">
        <x:v>Модель сопоставлена с обязательными элементами официального критерия и историческими фактами.</x:v>
      </x:c>
      <x:c r="Q3998" s="30"/>
      <x:c r="R3998" s="30" t="str">
        <x:v>Zadanie_IS11_25112025.pdf; Kriterii_IS11_25112025.pdf</x:v>
      </x:c>
      <x:c r="S3998" s="30"/>
      <x:c r="T3998" s="30"/>
      <x:c r="U3998" s="30" t="str">
        <x:v>Расхождений не обнаружено.</x:v>
      </x:c>
      <x:c r="V3998" s="87" t="str">
        <x:v>VERIFIED</x:v>
      </x:c>
      <x:c r="W3998" s="87" t="str">
        <x:v>Zadanie_IS11_25112025.pdf, вариантная стр. 13 (физическая стр. 13)</x:v>
      </x:c>
      <x:c r="X3998" s="87"/>
      <x:c r="Y3998" s="87"/>
      <x:c r="Z3998" s="87"/>
      <x:c r="AA3998" s="87"/>
      <x:c r="AB3998" s="87"/>
      <x:c r="AC3998" s="87" t="str">
        <x:v>VIS-HIST-NOV-012</x:v>
      </x:c>
      <x:c r="AD3998" s="87"/>
      <x:c r="AE3998" s="87"/>
      <x:c r="AF3998" s="87" t="str">
        <x:v>VIS-HIST-NOV-012: 13</x:v>
      </x:c>
      <x:c r="AG3998" s="87" t="str">
        <x:v>RESOLVED</x:v>
      </x:c>
      <x:c r="AH3998" s="87" t="str">
        <x:v>CROP_VERIFIED</x:v>
      </x:c>
      <x:c r="AI3998" s="30"/>
      <x:c r="AJ3998" s="87" t="str">
        <x:v>master</x:v>
      </x:c>
      <x:c r="AK3998" s="87" t="str">
        <x:v>master-v0.81</x:v>
      </x:c>
      <x:c r="AL3998" s="87" t="str">
        <x:v>statgrad_master_base_v0_81_final(2).xlsx</x:v>
      </x:c>
      <x:c r="AM3998" s="87" t="str">
        <x:v>HIST_Nov_V1</x:v>
      </x:c>
      <x:c r="AN3998" s="87" t="n">
        <x:v>20</x:v>
      </x:c>
    </x:row>
    <x:row r="3999">
      <x:c r="A3999" s="87" t="n">
        <x:v>3998</x:v>
      </x:c>
      <x:c r="B3999" s="87" t="str">
        <x:v>NOV-HIST-V1-020</x:v>
      </x:c>
      <x:c r="C3999" s="87" t="str">
        <x:v>СтатГрад</x:v>
      </x:c>
      <x:c r="D3999" s="87" t="str">
        <x:v>Ноябрь 2025</x:v>
      </x:c>
      <x:c r="E3999" s="87"/>
      <x:c r="F3999" s="87"/>
      <x:c r="G3999" s="87" t="str">
        <x:v>История</x:v>
      </x:c>
      <x:c r="H3999" s="87" t="n">
        <x:v>11</x:v>
      </x:c>
      <x:c r="I3999" s="87" t="str">
        <x:v>ТР №2</x:v>
      </x:c>
      <x:c r="J3999" s="87" t="str">
        <x:v>ИС2510201</x:v>
      </x:c>
      <x:c r="K3999" s="87" t="n">
        <x:v>20</x:v>
      </x:c>
      <x:c r="L3999" s="87" t="str">
        <x:v>Сравнительный тезис и обоснования</x:v>
      </x:c>
      <x:c r="M3999" s="30" t="str">
        <x:v>Сформулировать тезис о различиях внешнеполитического положения СССР в 1964–1985 и 1985–1991 гг. и привести два парных обоснования.</x:v>
      </x:c>
      <x:c r="N3999" s="30" t="str">
        <x:v>В 1985–1991 гг. международное влияние СССР снизилось: в 1964–1985 гг. СССР контролировал социалистический блок, а к 1990 г. после «бархатных революций» утратил этот контроль; ранее имел широкое военное присутствие, тогда как затем вывел войска из Афганистана и Восточной Европы и свернул базы.</x:v>
      </x:c>
      <x:c r="O3999" s="30" t="str">
        <x:v>Есть тезис и два парных сопоставления периодов.</x:v>
      </x:c>
      <x:c r="P3999" s="30" t="str">
        <x:v>Модель сопоставлена с обязательными элементами официального критерия и историческими фактами.</x:v>
      </x:c>
      <x:c r="Q3999" s="30"/>
      <x:c r="R3999" s="30" t="str">
        <x:v>Zadanie_IS11_25112025.pdf; Kriterii_IS11_25112025.pdf</x:v>
      </x:c>
      <x:c r="S3999" s="30"/>
      <x:c r="T3999" s="30"/>
      <x:c r="U3999" s="30" t="str">
        <x:v>Расхождений не обнаружено.</x:v>
      </x:c>
      <x:c r="V3999" s="87" t="str">
        <x:v>VERIFIED</x:v>
      </x:c>
      <x:c r="W3999" s="87" t="str">
        <x:v>Zadanie_IS11_25112025.pdf, вариантная стр. 13 (физическая стр. 13)</x:v>
      </x:c>
      <x:c r="X3999" s="87"/>
      <x:c r="Y3999" s="87"/>
      <x:c r="Z3999" s="87"/>
      <x:c r="AA3999" s="87"/>
      <x:c r="AB3999" s="87"/>
      <x:c r="AC3999" s="87" t="str">
        <x:v>VIS-HIST-NOV-012</x:v>
      </x:c>
      <x:c r="AD3999" s="87"/>
      <x:c r="AE3999" s="87"/>
      <x:c r="AF3999" s="87" t="str">
        <x:v>VIS-HIST-NOV-012: 13</x:v>
      </x:c>
      <x:c r="AG3999" s="87" t="str">
        <x:v>RESOLVED</x:v>
      </x:c>
      <x:c r="AH3999" s="87" t="str">
        <x:v>CROP_VERIFIED</x:v>
      </x:c>
      <x:c r="AI3999" s="30"/>
      <x:c r="AJ3999" s="87" t="str">
        <x:v>master</x:v>
      </x:c>
      <x:c r="AK3999" s="87" t="str">
        <x:v>master-v0.81</x:v>
      </x:c>
      <x:c r="AL3999" s="87" t="str">
        <x:v>statgrad_master_base_v0_81_final(2).xlsx</x:v>
      </x:c>
      <x:c r="AM3999" s="87" t="str">
        <x:v>HIST_Nov_V1</x:v>
      </x:c>
      <x:c r="AN3999" s="87" t="n">
        <x:v>21</x:v>
      </x:c>
    </x:row>
    <x:row r="4000">
      <x:c r="A4000" s="87" t="n">
        <x:v>3999</x:v>
      </x:c>
      <x:c r="B4000" s="87" t="str">
        <x:v>NOV-HIST-V1-021</x:v>
      </x:c>
      <x:c r="C4000" s="87" t="str">
        <x:v>СтатГрад</x:v>
      </x:c>
      <x:c r="D4000" s="87" t="str">
        <x:v>Ноябрь 2025</x:v>
      </x:c>
      <x:c r="E4000" s="87"/>
      <x:c r="F4000" s="87"/>
      <x:c r="G4000" s="87" t="str">
        <x:v>История</x:v>
      </x:c>
      <x:c r="H4000" s="87" t="n">
        <x:v>11</x:v>
      </x:c>
      <x:c r="I4000" s="87" t="str">
        <x:v>ТР №2</x:v>
      </x:c>
      <x:c r="J4000" s="87" t="str">
        <x:v>ИС2510201</x:v>
      </x:c>
      <x:c r="K4000" s="87" t="n">
        <x:v>21</x:v>
      </x:c>
      <x:c r="L4000" s="87" t="str">
        <x:v>Аргументация по истории России и зарубежных стран</x:v>
      </x:c>
      <x:c r="M4000" s="30" t="str">
        <x:v>Доказать, что политическая система Руси и Франции XII–XIII вв. ухудшала их внешнеполитическое положение.</x:v>
      </x:c>
      <x:c r="N4000" s="30" t="str">
        <x:v>Русь: раздробленность облегчала половецкие набеги и монгольское завоевание, а в битве на Сити участвовали лишь силы части князей. Франция: самостоятельность крупных владений позволила Аквитании перейти английскому королю через брак Алиеноры, ослабив Францию и создав предпосылки Столетней войны.</x:v>
      </x:c>
      <x:c r="O4000" s="30" t="str">
        <x:v>По одному причинному аргументу для Руси и Франции.</x:v>
      </x:c>
      <x:c r="P4000" s="30" t="str">
        <x:v>Модель сопоставлена с обязательными элементами официального критерия и историческими фактами.</x:v>
      </x:c>
      <x:c r="Q4000" s="30"/>
      <x:c r="R4000" s="30" t="str">
        <x:v>Zadanie_IS11_25112025.pdf; Kriterii_IS11_25112025.pdf</x:v>
      </x:c>
      <x:c r="S4000" s="30"/>
      <x:c r="T4000" s="30"/>
      <x:c r="U4000" s="30" t="str">
        <x:v>Расхождений не обнаружено.</x:v>
      </x:c>
      <x:c r="V4000" s="87" t="str">
        <x:v>VERIFIED</x:v>
      </x:c>
      <x:c r="W4000" s="87" t="str">
        <x:v>Zadanie_IS11_25112025.pdf, вариантная стр. 13 (физическая стр. 13)</x:v>
      </x:c>
      <x:c r="X4000" s="87"/>
      <x:c r="Y4000" s="87"/>
      <x:c r="Z4000" s="87"/>
      <x:c r="AA4000" s="87"/>
      <x:c r="AB4000" s="87"/>
      <x:c r="AC4000" s="87" t="str">
        <x:v>VIS-HIST-NOV-012</x:v>
      </x:c>
      <x:c r="AD4000" s="87"/>
      <x:c r="AE4000" s="87"/>
      <x:c r="AF4000" s="87" t="str">
        <x:v>VIS-HIST-NOV-012: 13</x:v>
      </x:c>
      <x:c r="AG4000" s="87" t="str">
        <x:v>RESOLVED</x:v>
      </x:c>
      <x:c r="AH4000" s="87" t="str">
        <x:v>CROP_VERIFIED</x:v>
      </x:c>
      <x:c r="AI4000" s="30"/>
      <x:c r="AJ4000" s="87" t="str">
        <x:v>master</x:v>
      </x:c>
      <x:c r="AK4000" s="87" t="str">
        <x:v>master-v0.81</x:v>
      </x:c>
      <x:c r="AL4000" s="87" t="str">
        <x:v>statgrad_master_base_v0_81_final(2).xlsx</x:v>
      </x:c>
      <x:c r="AM4000" s="87" t="str">
        <x:v>HIST_Nov_V1</x:v>
      </x:c>
      <x:c r="AN4000" s="87" t="n">
        <x:v>22</x:v>
      </x:c>
    </x:row>
    <x:row r="4001">
      <x:c r="A4001" s="87" t="n">
        <x:v>4000</x:v>
      </x:c>
      <x:c r="B4001" s="87" t="str">
        <x:v>NOV-HIST-V2-001</x:v>
      </x:c>
      <x:c r="C4001" s="87" t="str">
        <x:v>СтатГрад</x:v>
      </x:c>
      <x:c r="D4001" s="87" t="str">
        <x:v>Ноябрь 2025</x:v>
      </x:c>
      <x:c r="E4001" s="87"/>
      <x:c r="F4001" s="87"/>
      <x:c r="G4001" s="87" t="str">
        <x:v>История</x:v>
      </x:c>
      <x:c r="H4001" s="87" t="n">
        <x:v>11</x:v>
      </x:c>
      <x:c r="I4001" s="87" t="str">
        <x:v>ТР №2</x:v>
      </x:c>
      <x:c r="J4001" s="87" t="str">
        <x:v>ИС2510202</x:v>
      </x:c>
      <x:c r="K4001" s="87" t="n">
        <x:v>1</x:v>
      </x:c>
      <x:c r="L4001" s="87" t="str">
        <x:v>Соответствие событий и дат</x:v>
      </x:c>
      <x:c r="M4001" s="30" t="str">
        <x:v>Соотнести учреждение Сената, вступление СССР в Лигу Наций, Тверское восстание и взятие Кёнигсберга с годами.</x:v>
      </x:c>
      <x:c r="N4001" s="30" t="str">
        <x:v>3416</x:v>
      </x:c>
      <x:c r="O4001" s="30" t="str">
        <x:v>1711; 1934; 1327; 1945.</x:v>
      </x:c>
      <x:c r="P4001" s="30" t="str">
        <x:v>1711; 1934; 1327; 1945.</x:v>
      </x:c>
      <x:c r="Q4001" s="30"/>
      <x:c r="R4001" s="30" t="str">
        <x:v>Zadanie_IS11_25112025.pdf; Kriterii_IS11_25112025.pdf</x:v>
      </x:c>
      <x:c r="S4001" s="30"/>
      <x:c r="T4001" s="30"/>
      <x:c r="U4001" s="30" t="str">
        <x:v>Расхождений не обнаружено.</x:v>
      </x:c>
      <x:c r="V4001" s="87" t="str">
        <x:v>VERIFIED</x:v>
      </x:c>
      <x:c r="W4001" s="87" t="str">
        <x:v>Zadanie_IS11_25112025.pdf, вариантная стр. 2 (физическая стр. 15)</x:v>
      </x:c>
      <x:c r="X4001" s="87"/>
      <x:c r="Y4001" s="87"/>
      <x:c r="Z4001" s="87"/>
      <x:c r="AA4001" s="87"/>
      <x:c r="AB4001" s="87"/>
      <x:c r="AC4001" s="87" t="str">
        <x:v>VIS-HIST-NOV-013</x:v>
      </x:c>
      <x:c r="AD4001" s="87"/>
      <x:c r="AE4001" s="87"/>
      <x:c r="AF4001" s="87" t="str">
        <x:v>VIS-HIST-NOV-013: 15</x:v>
      </x:c>
      <x:c r="AG4001" s="87" t="str">
        <x:v>RESOLVED</x:v>
      </x:c>
      <x:c r="AH4001" s="87" t="str">
        <x:v>CROP_VERIFIED</x:v>
      </x:c>
      <x:c r="AI4001" s="30"/>
      <x:c r="AJ4001" s="87" t="str">
        <x:v>master</x:v>
      </x:c>
      <x:c r="AK4001" s="87" t="str">
        <x:v>master-v0.81</x:v>
      </x:c>
      <x:c r="AL4001" s="87" t="str">
        <x:v>statgrad_master_base_v0_81_final(2).xlsx</x:v>
      </x:c>
      <x:c r="AM4001" s="87" t="str">
        <x:v>HIST_Nov_V2</x:v>
      </x:c>
      <x:c r="AN4001" s="87" t="n">
        <x:v>2</x:v>
      </x:c>
    </x:row>
    <x:row r="4002">
      <x:c r="A4002" s="87" t="n">
        <x:v>4001</x:v>
      </x:c>
      <x:c r="B4002" s="87" t="str">
        <x:v>NOV-HIST-V2-002</x:v>
      </x:c>
      <x:c r="C4002" s="87" t="str">
        <x:v>СтатГрад</x:v>
      </x:c>
      <x:c r="D4002" s="87" t="str">
        <x:v>Ноябрь 2025</x:v>
      </x:c>
      <x:c r="E4002" s="87"/>
      <x:c r="F4002" s="87"/>
      <x:c r="G4002" s="87" t="str">
        <x:v>История</x:v>
      </x:c>
      <x:c r="H4002" s="87" t="n">
        <x:v>11</x:v>
      </x:c>
      <x:c r="I4002" s="87" t="str">
        <x:v>ТР №2</x:v>
      </x:c>
      <x:c r="J4002" s="87" t="str">
        <x:v>ИС2510202</x:v>
      </x:c>
      <x:c r="K4002" s="87" t="n">
        <x:v>2</x:v>
      </x:c>
      <x:c r="L4002" s="87" t="str">
        <x:v>Хронология</x:v>
      </x:c>
      <x:c r="M4002" s="30" t="str">
        <x:v>Расположить нормандское завоевание Англии, принятие Судебника Ивана III и Соляной бунт.</x:v>
      </x:c>
      <x:c r="N4002" s="30" t="str">
        <x:v>213</x:v>
      </x:c>
      <x:c r="O4002" s="30" t="str">
        <x:v>1066 → 1497 → 1648.</x:v>
      </x:c>
      <x:c r="P4002" s="30" t="str">
        <x:v>1066 → 1497 → 1648.</x:v>
      </x:c>
      <x:c r="Q4002" s="30"/>
      <x:c r="R4002" s="30" t="str">
        <x:v>Zadanie_IS11_25112025.pdf; Kriterii_IS11_25112025.pdf</x:v>
      </x:c>
      <x:c r="S4002" s="30"/>
      <x:c r="T4002" s="30"/>
      <x:c r="U4002" s="30" t="str">
        <x:v>Расхождений не обнаружено.</x:v>
      </x:c>
      <x:c r="V4002" s="87" t="str">
        <x:v>VERIFIED</x:v>
      </x:c>
      <x:c r="W4002" s="87" t="str">
        <x:v>Zadanie_IS11_25112025.pdf, вариантная стр. 2 (физическая стр. 15)</x:v>
      </x:c>
      <x:c r="X4002" s="87"/>
      <x:c r="Y4002" s="87"/>
      <x:c r="Z4002" s="87"/>
      <x:c r="AA4002" s="87"/>
      <x:c r="AB4002" s="87"/>
      <x:c r="AC4002" s="87" t="str">
        <x:v>VIS-HIST-NOV-013</x:v>
      </x:c>
      <x:c r="AD4002" s="87"/>
      <x:c r="AE4002" s="87"/>
      <x:c r="AF4002" s="87" t="str">
        <x:v>VIS-HIST-NOV-013: 15</x:v>
      </x:c>
      <x:c r="AG4002" s="87" t="str">
        <x:v>RESOLVED</x:v>
      </x:c>
      <x:c r="AH4002" s="87" t="str">
        <x:v>CROP_VERIFIED</x:v>
      </x:c>
      <x:c r="AI4002" s="30"/>
      <x:c r="AJ4002" s="87" t="str">
        <x:v>master</x:v>
      </x:c>
      <x:c r="AK4002" s="87" t="str">
        <x:v>master-v0.81</x:v>
      </x:c>
      <x:c r="AL4002" s="87" t="str">
        <x:v>statgrad_master_base_v0_81_final(2).xlsx</x:v>
      </x:c>
      <x:c r="AM4002" s="87" t="str">
        <x:v>HIST_Nov_V2</x:v>
      </x:c>
      <x:c r="AN4002" s="87" t="n">
        <x:v>3</x:v>
      </x:c>
    </x:row>
    <x:row r="4003">
      <x:c r="A4003" s="87" t="n">
        <x:v>4002</x:v>
      </x:c>
      <x:c r="B4003" s="87" t="str">
        <x:v>NOV-HIST-V2-003</x:v>
      </x:c>
      <x:c r="C4003" s="87" t="str">
        <x:v>СтатГрад</x:v>
      </x:c>
      <x:c r="D4003" s="87" t="str">
        <x:v>Ноябрь 2025</x:v>
      </x:c>
      <x:c r="E4003" s="87"/>
      <x:c r="F4003" s="87"/>
      <x:c r="G4003" s="87" t="str">
        <x:v>История</x:v>
      </x:c>
      <x:c r="H4003" s="87" t="n">
        <x:v>11</x:v>
      </x:c>
      <x:c r="I4003" s="87" t="str">
        <x:v>ТР №2</x:v>
      </x:c>
      <x:c r="J4003" s="87" t="str">
        <x:v>ИС2510202</x:v>
      </x:c>
      <x:c r="K4003" s="87" t="n">
        <x:v>3</x:v>
      </x:c>
      <x:c r="L4003" s="87" t="str">
        <x:v>Соответствие процессов и фактов</x:v>
      </x:c>
      <x:c r="M4003" s="30" t="str">
        <x:v>Соотнести абсолютизм, правление Дмитрия Донского, деятельность Избранной рады и Большой террор с фактами.</x:v>
      </x:c>
      <x:c r="N4003" s="30" t="str">
        <x:v>4126</x:v>
      </x:c>
      <x:c r="O4003" s="30" t="str">
        <x:v>Указ о престолонаследии 1722 г.; белокаменный Кремль; первый Земский собор; дело Тухачевского.</x:v>
      </x:c>
      <x:c r="P4003" s="30" t="str">
        <x:v>Указ о престолонаследии 1722 г.; белокаменный Кремль; первый Земский собор; дело Тухачевского.</x:v>
      </x:c>
      <x:c r="Q4003" s="30"/>
      <x:c r="R4003" s="30" t="str">
        <x:v>Zadanie_IS11_25112025.pdf; Kriterii_IS11_25112025.pdf</x:v>
      </x:c>
      <x:c r="S4003" s="30"/>
      <x:c r="T4003" s="30"/>
      <x:c r="U4003" s="30" t="str">
        <x:v>Расхождений не обнаружено.</x:v>
      </x:c>
      <x:c r="V4003" s="87" t="str">
        <x:v>VERIFIED</x:v>
      </x:c>
      <x:c r="W4003" s="87" t="str">
        <x:v>Zadanie_IS11_25112025.pdf, вариантная стр. 3 (физическая стр. 16)</x:v>
      </x:c>
      <x:c r="X4003" s="87"/>
      <x:c r="Y4003" s="87"/>
      <x:c r="Z4003" s="87"/>
      <x:c r="AA4003" s="87"/>
      <x:c r="AB4003" s="87"/>
      <x:c r="AC4003" s="87" t="str">
        <x:v>VIS-HIST-NOV-014</x:v>
      </x:c>
      <x:c r="AD4003" s="87"/>
      <x:c r="AE4003" s="87"/>
      <x:c r="AF4003" s="87" t="str">
        <x:v>VIS-HIST-NOV-014: 16</x:v>
      </x:c>
      <x:c r="AG4003" s="87" t="str">
        <x:v>RESOLVED</x:v>
      </x:c>
      <x:c r="AH4003" s="87" t="str">
        <x:v>CROP_VERIFIED</x:v>
      </x:c>
      <x:c r="AI4003" s="30"/>
      <x:c r="AJ4003" s="87" t="str">
        <x:v>master</x:v>
      </x:c>
      <x:c r="AK4003" s="87" t="str">
        <x:v>master-v0.81</x:v>
      </x:c>
      <x:c r="AL4003" s="87" t="str">
        <x:v>statgrad_master_base_v0_81_final(2).xlsx</x:v>
      </x:c>
      <x:c r="AM4003" s="87" t="str">
        <x:v>HIST_Nov_V2</x:v>
      </x:c>
      <x:c r="AN4003" s="87" t="n">
        <x:v>4</x:v>
      </x:c>
    </x:row>
    <x:row r="4004">
      <x:c r="A4004" s="87" t="n">
        <x:v>4003</x:v>
      </x:c>
      <x:c r="B4004" s="87" t="str">
        <x:v>NOV-HIST-V2-004</x:v>
      </x:c>
      <x:c r="C4004" s="87" t="str">
        <x:v>СтатГрад</x:v>
      </x:c>
      <x:c r="D4004" s="87" t="str">
        <x:v>Ноябрь 2025</x:v>
      </x:c>
      <x:c r="E4004" s="87"/>
      <x:c r="F4004" s="87"/>
      <x:c r="G4004" s="87" t="str">
        <x:v>История</x:v>
      </x:c>
      <x:c r="H4004" s="87" t="n">
        <x:v>11</x:v>
      </x:c>
      <x:c r="I4004" s="87" t="str">
        <x:v>ТР №2</x:v>
      </x:c>
      <x:c r="J4004" s="87" t="str">
        <x:v>ИС2510202</x:v>
      </x:c>
      <x:c r="K4004" s="87" t="n">
        <x:v>4</x:v>
      </x:c>
      <x:c r="L4004" s="87" t="str">
        <x:v>Таблица: место, событие, период</x:v>
      </x:c>
      <x:c r="M4004" s="30" t="str">
        <x:v>Заполнить таблицу о восстании Черниговского полка, Ясском мире, ликвидации последствий аварии на ЧАЭС и бое в Чемульпо.</x:v>
      </x:c>
      <x:c r="N4004" s="30" t="str">
        <x:v>952684</x:v>
      </x:c>
      <x:c r="O4004" s="30" t="str">
        <x:v>Васильков; 1820-е; Яссы; Припять/Чернобыль; 1980-е; крейсер «Варяг».</x:v>
      </x:c>
      <x:c r="P4004" s="30" t="str">
        <x:v>Васильков; 1820-е; Яссы; Припять/Чернобыль; 1980-е; крейсер «Варяг».</x:v>
      </x:c>
      <x:c r="Q4004" s="30"/>
      <x:c r="R4004" s="30" t="str">
        <x:v>Zadanie_IS11_25112025.pdf; Kriterii_IS11_25112025.pdf</x:v>
      </x:c>
      <x:c r="S4004" s="30"/>
      <x:c r="T4004" s="30"/>
      <x:c r="U4004" s="30" t="str">
        <x:v>Расхождений не обнаружено.</x:v>
      </x:c>
      <x:c r="V4004" s="87" t="str">
        <x:v>VERIFIED</x:v>
      </x:c>
      <x:c r="W4004" s="87" t="str">
        <x:v>Zadanie_IS11_25112025.pdf, вариантные стр. 3 и 4 (физические стр. 16 и 17)</x:v>
      </x:c>
      <x:c r="X4004" s="87"/>
      <x:c r="Y4004" s="87"/>
      <x:c r="Z4004" s="87"/>
      <x:c r="AA4004" s="87"/>
      <x:c r="AB4004" s="87"/>
      <x:c r="AC4004" s="87" t="str">
        <x:v>VIS-HIST-NOV-014; VIS-HIST-NOV-015</x:v>
      </x:c>
      <x:c r="AD4004" s="87"/>
      <x:c r="AE4004" s="87"/>
      <x:c r="AF4004" s="87" t="str">
        <x:v>VIS-HIST-NOV-014: 16; VIS-HIST-NOV-015: 17</x:v>
      </x:c>
      <x:c r="AG4004" s="87" t="str">
        <x:v>RESOLVED</x:v>
      </x:c>
      <x:c r="AH4004" s="87" t="str">
        <x:v>CROP_VERIFIED</x:v>
      </x:c>
      <x:c r="AI4004" s="30"/>
      <x:c r="AJ4004" s="87" t="str">
        <x:v>master</x:v>
      </x:c>
      <x:c r="AK4004" s="87" t="str">
        <x:v>master-v0.81</x:v>
      </x:c>
      <x:c r="AL4004" s="87" t="str">
        <x:v>statgrad_master_base_v0_81_final(2).xlsx</x:v>
      </x:c>
      <x:c r="AM4004" s="87" t="str">
        <x:v>HIST_Nov_V2</x:v>
      </x:c>
      <x:c r="AN4004" s="87" t="n">
        <x:v>5</x:v>
      </x:c>
    </x:row>
    <x:row r="4005">
      <x:c r="A4005" s="87" t="n">
        <x:v>4004</x:v>
      </x:c>
      <x:c r="B4005" s="87" t="str">
        <x:v>NOV-HIST-V2-005</x:v>
      </x:c>
      <x:c r="C4005" s="87" t="str">
        <x:v>СтатГрад</x:v>
      </x:c>
      <x:c r="D4005" s="87" t="str">
        <x:v>Ноябрь 2025</x:v>
      </x:c>
      <x:c r="E4005" s="87"/>
      <x:c r="F4005" s="87"/>
      <x:c r="G4005" s="87" t="str">
        <x:v>История</x:v>
      </x:c>
      <x:c r="H4005" s="87" t="n">
        <x:v>11</x:v>
      </x:c>
      <x:c r="I4005" s="87" t="str">
        <x:v>ТР №2</x:v>
      </x:c>
      <x:c r="J4005" s="87" t="str">
        <x:v>ИС2510202</x:v>
      </x:c>
      <x:c r="K4005" s="87" t="n">
        <x:v>5</x:v>
      </x:c>
      <x:c r="L4005" s="87" t="str">
        <x:v>События и участники</x:v>
      </x:c>
      <x:c r="M4005" s="30" t="str">
        <x:v>Соотнести заговор против Лжедмитрия I, капитуляцию Германии, Венский конгресс и зависимость Руси от Орды с участниками.</x:v>
      </x:c>
      <x:c r="N4005" s="30" t="str">
        <x:v>3456</x:v>
      </x:c>
      <x:c r="O4005" s="30" t="str">
        <x:v>Василий Шуйский; Г. К. Жуков; Александр I; Ярослав Всеволодович.</x:v>
      </x:c>
      <x:c r="P4005" s="30" t="str">
        <x:v>Василий Шуйский; Г. К. Жуков; Александр I; Ярослав Всеволодович.</x:v>
      </x:c>
      <x:c r="Q4005" s="30"/>
      <x:c r="R4005" s="30" t="str">
        <x:v>Zadanie_IS11_25112025.pdf; Kriterii_IS11_25112025.pdf</x:v>
      </x:c>
      <x:c r="S4005" s="30"/>
      <x:c r="T4005" s="30"/>
      <x:c r="U4005" s="30" t="str">
        <x:v>Расхождений не обнаружено.</x:v>
      </x:c>
      <x:c r="V4005" s="87" t="str">
        <x:v>VERIFIED</x:v>
      </x:c>
      <x:c r="W4005" s="87" t="str">
        <x:v>Zadanie_IS11_25112025.pdf, вариантная стр. 4 (физическая стр. 17)</x:v>
      </x:c>
      <x:c r="X4005" s="87"/>
      <x:c r="Y4005" s="87"/>
      <x:c r="Z4005" s="87"/>
      <x:c r="AA4005" s="87"/>
      <x:c r="AB4005" s="87"/>
      <x:c r="AC4005" s="87" t="str">
        <x:v>VIS-HIST-NOV-015</x:v>
      </x:c>
      <x:c r="AD4005" s="87"/>
      <x:c r="AE4005" s="87"/>
      <x:c r="AF4005" s="87" t="str">
        <x:v>VIS-HIST-NOV-015: 17</x:v>
      </x:c>
      <x:c r="AG4005" s="87" t="str">
        <x:v>RESOLVED</x:v>
      </x:c>
      <x:c r="AH4005" s="87" t="str">
        <x:v>CROP_VERIFIED</x:v>
      </x:c>
      <x:c r="AI4005" s="30"/>
      <x:c r="AJ4005" s="87" t="str">
        <x:v>master</x:v>
      </x:c>
      <x:c r="AK4005" s="87" t="str">
        <x:v>master-v0.81</x:v>
      </x:c>
      <x:c r="AL4005" s="87" t="str">
        <x:v>statgrad_master_base_v0_81_final(2).xlsx</x:v>
      </x:c>
      <x:c r="AM4005" s="87" t="str">
        <x:v>HIST_Nov_V2</x:v>
      </x:c>
      <x:c r="AN4005" s="87" t="n">
        <x:v>6</x:v>
      </x:c>
    </x:row>
    <x:row r="4006">
      <x:c r="A4006" s="87" t="n">
        <x:v>4005</x:v>
      </x:c>
      <x:c r="B4006" s="87" t="str">
        <x:v>NOV-HIST-V2-006</x:v>
      </x:c>
      <x:c r="C4006" s="87" t="str">
        <x:v>СтатГрад</x:v>
      </x:c>
      <x:c r="D4006" s="87" t="str">
        <x:v>Ноябрь 2025</x:v>
      </x:c>
      <x:c r="E4006" s="87"/>
      <x:c r="F4006" s="87"/>
      <x:c r="G4006" s="87" t="str">
        <x:v>История</x:v>
      </x:c>
      <x:c r="H4006" s="87" t="n">
        <x:v>11</x:v>
      </x:c>
      <x:c r="I4006" s="87" t="str">
        <x:v>ТР №2</x:v>
      </x:c>
      <x:c r="J4006" s="87" t="str">
        <x:v>ИС2510202</x:v>
      </x:c>
      <x:c r="K4006" s="87" t="n">
        <x:v>6</x:v>
      </x:c>
      <x:c r="L4006" s="87" t="str">
        <x:v>Анализ письменного источника</x:v>
      </x:c>
      <x:c r="M4006" s="30" t="str">
        <x:v>По мемуарам Л. Ф. Сегюра выбрать верные суждения о Екатерине II и международной ситуации.</x:v>
      </x:c>
      <x:c r="N4006" s="30" t="str">
        <x:v>1456</x:v>
      </x:c>
      <x:c r="O4006" s="30" t="str">
        <x:v>Верны суждения 1, 4, 5 и 6.</x:v>
      </x:c>
      <x:c r="P4006" s="30" t="str">
        <x:v>Верны суждения 1, 4, 5 и 6.</x:v>
      </x:c>
      <x:c r="Q4006" s="30"/>
      <x:c r="R4006" s="30" t="str">
        <x:v>Zadanie_IS11_25112025.pdf; Kriterii_IS11_25112025.pdf</x:v>
      </x:c>
      <x:c r="S4006" s="30"/>
      <x:c r="T4006" s="30"/>
      <x:c r="U4006" s="30" t="str">
        <x:v>Расхождений не обнаружено.</x:v>
      </x:c>
      <x:c r="V4006" s="87" t="str">
        <x:v>VERIFIED</x:v>
      </x:c>
      <x:c r="W4006" s="87" t="str">
        <x:v>Zadanie_IS11_25112025.pdf, вариантная стр. 5 (физическая стр. 18)</x:v>
      </x:c>
      <x:c r="X4006" s="87"/>
      <x:c r="Y4006" s="87"/>
      <x:c r="Z4006" s="87"/>
      <x:c r="AA4006" s="87"/>
      <x:c r="AB4006" s="87"/>
      <x:c r="AC4006" s="87" t="str">
        <x:v>VIS-HIST-NOV-016</x:v>
      </x:c>
      <x:c r="AD4006" s="87"/>
      <x:c r="AE4006" s="87"/>
      <x:c r="AF4006" s="87" t="str">
        <x:v>VIS-HIST-NOV-016: 18</x:v>
      </x:c>
      <x:c r="AG4006" s="87" t="str">
        <x:v>RESOLVED</x:v>
      </x:c>
      <x:c r="AH4006" s="87" t="str">
        <x:v>CROP_VERIFIED</x:v>
      </x:c>
      <x:c r="AI4006" s="30"/>
      <x:c r="AJ4006" s="87" t="str">
        <x:v>master</x:v>
      </x:c>
      <x:c r="AK4006" s="87" t="str">
        <x:v>master-v0.81</x:v>
      </x:c>
      <x:c r="AL4006" s="87" t="str">
        <x:v>statgrad_master_base_v0_81_final(2).xlsx</x:v>
      </x:c>
      <x:c r="AM4006" s="87" t="str">
        <x:v>HIST_Nov_V2</x:v>
      </x:c>
      <x:c r="AN4006" s="87" t="n">
        <x:v>7</x:v>
      </x:c>
    </x:row>
    <x:row r="4007">
      <x:c r="A4007" s="87" t="n">
        <x:v>4006</x:v>
      </x:c>
      <x:c r="B4007" s="87" t="str">
        <x:v>NOV-HIST-V2-007</x:v>
      </x:c>
      <x:c r="C4007" s="87" t="str">
        <x:v>СтатГрад</x:v>
      </x:c>
      <x:c r="D4007" s="87" t="str">
        <x:v>Ноябрь 2025</x:v>
      </x:c>
      <x:c r="E4007" s="87"/>
      <x:c r="F4007" s="87"/>
      <x:c r="G4007" s="87" t="str">
        <x:v>История</x:v>
      </x:c>
      <x:c r="H4007" s="87" t="n">
        <x:v>11</x:v>
      </x:c>
      <x:c r="I4007" s="87" t="str">
        <x:v>ТР №2</x:v>
      </x:c>
      <x:c r="J4007" s="87" t="str">
        <x:v>ИС2510202</x:v>
      </x:c>
      <x:c r="K4007" s="87" t="n">
        <x:v>7</x:v>
      </x:c>
      <x:c r="L4007" s="87" t="str">
        <x:v>Памятники культуры</x:v>
      </x:c>
      <x:c r="M4007" s="30" t="str">
        <x:v>Соотнести «Домострой», икону «Троица», Ярославский вокзал и Ленинградскую симфонию с деятелями.</x:v>
      </x:c>
      <x:c r="N4007" s="30" t="str">
        <x:v>3214</x:v>
      </x:c>
      <x:c r="O4007" s="30" t="str">
        <x:v>Сильвестр; Андрей Рублёв; Фёдор Шехтель; Дмитрий Шостакович.</x:v>
      </x:c>
      <x:c r="P4007" s="30" t="str">
        <x:v>Сильвестр; Андрей Рублёв; Фёдор Шехтель; Дмитрий Шостакович.</x:v>
      </x:c>
      <x:c r="Q4007" s="30"/>
      <x:c r="R4007" s="30" t="str">
        <x:v>Zadanie_IS11_25112025.pdf; Kriterii_IS11_25112025.pdf</x:v>
      </x:c>
      <x:c r="S4007" s="30"/>
      <x:c r="T4007" s="30"/>
      <x:c r="U4007" s="30" t="str">
        <x:v>Расхождений не обнаружено.</x:v>
      </x:c>
      <x:c r="V4007" s="87" t="str">
        <x:v>VERIFIED</x:v>
      </x:c>
      <x:c r="W4007" s="87" t="str">
        <x:v>Zadanie_IS11_25112025.pdf, вариантная стр. 6 (физическая стр. 19)</x:v>
      </x:c>
      <x:c r="X4007" s="87"/>
      <x:c r="Y4007" s="87"/>
      <x:c r="Z4007" s="87"/>
      <x:c r="AA4007" s="87"/>
      <x:c r="AB4007" s="87"/>
      <x:c r="AC4007" s="87" t="str">
        <x:v>VIS-HIST-NOV-017</x:v>
      </x:c>
      <x:c r="AD4007" s="87"/>
      <x:c r="AE4007" s="87"/>
      <x:c r="AF4007" s="87" t="str">
        <x:v>VIS-HIST-NOV-017: 19</x:v>
      </x:c>
      <x:c r="AG4007" s="87" t="str">
        <x:v>RESOLVED</x:v>
      </x:c>
      <x:c r="AH4007" s="87" t="str">
        <x:v>CROP_VERIFIED</x:v>
      </x:c>
      <x:c r="AI4007" s="30"/>
      <x:c r="AJ4007" s="87" t="str">
        <x:v>master</x:v>
      </x:c>
      <x:c r="AK4007" s="87" t="str">
        <x:v>master-v0.81</x:v>
      </x:c>
      <x:c r="AL4007" s="87" t="str">
        <x:v>statgrad_master_base_v0_81_final(2).xlsx</x:v>
      </x:c>
      <x:c r="AM4007" s="87" t="str">
        <x:v>HIST_Nov_V2</x:v>
      </x:c>
      <x:c r="AN4007" s="87" t="n">
        <x:v>8</x:v>
      </x:c>
    </x:row>
    <x:row r="4008">
      <x:c r="A4008" s="87" t="n">
        <x:v>4007</x:v>
      </x:c>
      <x:c r="B4008" s="87" t="str">
        <x:v>NOV-HIST-V2-008</x:v>
      </x:c>
      <x:c r="C4008" s="87" t="str">
        <x:v>СтатГрад</x:v>
      </x:c>
      <x:c r="D4008" s="87" t="str">
        <x:v>Ноябрь 2025</x:v>
      </x:c>
      <x:c r="E4008" s="87"/>
      <x:c r="F4008" s="87"/>
      <x:c r="G4008" s="87" t="str">
        <x:v>История</x:v>
      </x:c>
      <x:c r="H4008" s="87" t="n">
        <x:v>11</x:v>
      </x:c>
      <x:c r="I4008" s="87" t="str">
        <x:v>ТР №2</x:v>
      </x:c>
      <x:c r="J4008" s="87" t="str">
        <x:v>ИС2510202</x:v>
      </x:c>
      <x:c r="K4008" s="87" t="n">
        <x:v>8</x:v>
      </x:c>
      <x:c r="L4008" s="87" t="str">
        <x:v>Изображение / марка</x:v>
      </x:c>
      <x:c r="M4008" s="30" t="str">
        <x:v>По марке определить год события.</x:v>
      </x:c>
      <x:c r="N4008" s="30" t="str">
        <x:v>сорок четвертом</x:v>
      </x:c>
      <x:c r="O4008" s="30" t="str">
        <x:v>Изображённое событие относится к 1944 г.</x:v>
      </x:c>
      <x:c r="P4008" s="30" t="str">
        <x:v>Изображённое событие относится к 1944 г.</x:v>
      </x:c>
      <x:c r="Q4008" s="30"/>
      <x:c r="R4008" s="30" t="str">
        <x:v>Zadanie_IS11_25112025.pdf; Kriterii_IS11_25112025.pdf</x:v>
      </x:c>
      <x:c r="S4008" s="30"/>
      <x:c r="T4008" s="30"/>
      <x:c r="U4008" s="30" t="str">
        <x:v>Расхождений не обнаружено.</x:v>
      </x:c>
      <x:c r="V4008" s="87" t="str">
        <x:v>VERIFIED</x:v>
      </x:c>
      <x:c r="W4008" s="87" t="str">
        <x:v>Zadanie_IS11_25112025.pdf, вариантная стр. 6 (физическая стр. 19)</x:v>
      </x:c>
      <x:c r="X4008" s="87"/>
      <x:c r="Y4008" s="87"/>
      <x:c r="Z4008" s="87"/>
      <x:c r="AA4008" s="87"/>
      <x:c r="AB4008" s="87"/>
      <x:c r="AC4008" s="87" t="str">
        <x:v>VIS-HIST-NOV-017</x:v>
      </x:c>
      <x:c r="AD4008" s="87"/>
      <x:c r="AE4008" s="87"/>
      <x:c r="AF4008" s="87" t="str">
        <x:v>VIS-HIST-NOV-017: 19</x:v>
      </x:c>
      <x:c r="AG4008" s="87" t="str">
        <x:v>RESOLVED</x:v>
      </x:c>
      <x:c r="AH4008" s="87" t="str">
        <x:v>CROP_VERIFIED</x:v>
      </x:c>
      <x:c r="AI4008" s="30"/>
      <x:c r="AJ4008" s="87" t="str">
        <x:v>master</x:v>
      </x:c>
      <x:c r="AK4008" s="87" t="str">
        <x:v>master-v0.81</x:v>
      </x:c>
      <x:c r="AL4008" s="87" t="str">
        <x:v>statgrad_master_base_v0_81_final(2).xlsx</x:v>
      </x:c>
      <x:c r="AM4008" s="87" t="str">
        <x:v>HIST_Nov_V2</x:v>
      </x:c>
      <x:c r="AN4008" s="87" t="n">
        <x:v>9</x:v>
      </x:c>
    </x:row>
    <x:row r="4009">
      <x:c r="A4009" s="87" t="n">
        <x:v>4008</x:v>
      </x:c>
      <x:c r="B4009" s="87" t="str">
        <x:v>NOV-HIST-V2-009</x:v>
      </x:c>
      <x:c r="C4009" s="87" t="str">
        <x:v>СтатГрад</x:v>
      </x:c>
      <x:c r="D4009" s="87" t="str">
        <x:v>Ноябрь 2025</x:v>
      </x:c>
      <x:c r="E4009" s="87"/>
      <x:c r="F4009" s="87"/>
      <x:c r="G4009" s="87" t="str">
        <x:v>История</x:v>
      </x:c>
      <x:c r="H4009" s="87" t="n">
        <x:v>11</x:v>
      </x:c>
      <x:c r="I4009" s="87" t="str">
        <x:v>ТР №2</x:v>
      </x:c>
      <x:c r="J4009" s="87" t="str">
        <x:v>ИС2510202</x:v>
      </x:c>
      <x:c r="K4009" s="87" t="n">
        <x:v>9</x:v>
      </x:c>
      <x:c r="L4009" s="87" t="str">
        <x:v>Историческая карта</x:v>
      </x:c>
      <x:c r="M4009" s="30" t="str">
        <x:v>Указать век военных действий на схеме русско-польской войны.</x:v>
      </x:c>
      <x:c r="N4009" s="30" t="str">
        <x:v>семнадцатый</x:v>
      </x:c>
      <x:c r="O4009" s="30" t="str">
        <x:v>Схема отражает события XVII в.</x:v>
      </x:c>
      <x:c r="P4009" s="30" t="str">
        <x:v>Схема отражает события XVII в.</x:v>
      </x:c>
      <x:c r="Q4009" s="30"/>
      <x:c r="R4009" s="30" t="str">
        <x:v>Zadanie_IS11_25112025.pdf; Kriterii_IS11_25112025.pdf</x:v>
      </x:c>
      <x:c r="S4009" s="30"/>
      <x:c r="T4009" s="30"/>
      <x:c r="U4009" s="30" t="str">
        <x:v>Расхождений не обнаружено.</x:v>
      </x:c>
      <x:c r="V4009" s="87" t="str">
        <x:v>VERIFIED</x:v>
      </x:c>
      <x:c r="W4009" s="87" t="str">
        <x:v>Zadanie_IS11_25112025.pdf, вариантная стр. 7 (физическая стр. 20)</x:v>
      </x:c>
      <x:c r="X4009" s="87"/>
      <x:c r="Y4009" s="87"/>
      <x:c r="Z4009" s="87"/>
      <x:c r="AA4009" s="87"/>
      <x:c r="AB4009" s="87"/>
      <x:c r="AC4009" s="87" t="str">
        <x:v>VIS-HIST-NOV-018</x:v>
      </x:c>
      <x:c r="AD4009" s="87"/>
      <x:c r="AE4009" s="87"/>
      <x:c r="AF4009" s="87" t="str">
        <x:v>VIS-HIST-NOV-018: 20</x:v>
      </x:c>
      <x:c r="AG4009" s="87" t="str">
        <x:v>RESOLVED</x:v>
      </x:c>
      <x:c r="AH4009" s="87" t="str">
        <x:v>CROP_VERIFIED; TASK_CROP_QA_APPROVED:MANUAL_BBOX</x:v>
      </x:c>
      <x:c r="AI4009" s="30"/>
      <x:c r="AJ4009" s="87" t="str">
        <x:v>master</x:v>
      </x:c>
      <x:c r="AK4009" s="87" t="str">
        <x:v>master-v0.81</x:v>
      </x:c>
      <x:c r="AL4009" s="87" t="str">
        <x:v>statgrad_master_base_v0_81_final(2).xlsx</x:v>
      </x:c>
      <x:c r="AM4009" s="87" t="str">
        <x:v>HIST_Nov_V2</x:v>
      </x:c>
      <x:c r="AN4009" s="87" t="n">
        <x:v>10</x:v>
      </x:c>
    </x:row>
    <x:row r="4010">
      <x:c r="A4010" s="87" t="n">
        <x:v>4009</x:v>
      </x:c>
      <x:c r="B4010" s="87" t="str">
        <x:v>NOV-HIST-V2-010</x:v>
      </x:c>
      <x:c r="C4010" s="87" t="str">
        <x:v>СтатГрад</x:v>
      </x:c>
      <x:c r="D4010" s="87" t="str">
        <x:v>Ноябрь 2025</x:v>
      </x:c>
      <x:c r="E4010" s="87"/>
      <x:c r="F4010" s="87"/>
      <x:c r="G4010" s="87" t="str">
        <x:v>История</x:v>
      </x:c>
      <x:c r="H4010" s="87" t="n">
        <x:v>11</x:v>
      </x:c>
      <x:c r="I4010" s="87" t="str">
        <x:v>ТР №2</x:v>
      </x:c>
      <x:c r="J4010" s="87" t="str">
        <x:v>ИС2510202</x:v>
      </x:c>
      <x:c r="K4010" s="87" t="n">
        <x:v>10</x:v>
      </x:c>
      <x:c r="L4010" s="87" t="str">
        <x:v>Историческая карта</x:v>
      </x:c>
      <x:c r="M4010" s="30" t="str">
        <x:v>Назвать государство, обозначенное на схеме цифрой 1.</x:v>
      </x:c>
      <x:c r="N4010" s="30" t="str">
        <x:v>Речь Посполитая; Речь Посполита</x:v>
      </x:c>
      <x:c r="O4010" s="30" t="str">
        <x:v>Цифрой 1 обозначена Речь Посполитая.</x:v>
      </x:c>
      <x:c r="P4010" s="30" t="str">
        <x:v>Цифрой 1 обозначена Речь Посполитая.</x:v>
      </x:c>
      <x:c r="Q4010" s="30"/>
      <x:c r="R4010" s="30" t="str">
        <x:v>Zadanie_IS11_25112025.pdf; Kriterii_IS11_25112025.pdf</x:v>
      </x:c>
      <x:c r="S4010" s="30"/>
      <x:c r="T4010" s="30"/>
      <x:c r="U4010" s="30" t="str">
        <x:v>Расхождений не обнаружено.</x:v>
      </x:c>
      <x:c r="V4010" s="87" t="str">
        <x:v>VERIFIED</x:v>
      </x:c>
      <x:c r="W4010" s="87" t="str">
        <x:v>Zadanie_IS11_25112025.pdf, вариантная стр. 7 (физическая стр. 20)</x:v>
      </x:c>
      <x:c r="X4010" s="87"/>
      <x:c r="Y4010" s="87"/>
      <x:c r="Z4010" s="87"/>
      <x:c r="AA4010" s="87"/>
      <x:c r="AB4010" s="87"/>
      <x:c r="AC4010" s="87" t="str">
        <x:v>VIS-HIST-NOV-018</x:v>
      </x:c>
      <x:c r="AD4010" s="87"/>
      <x:c r="AE4010" s="87"/>
      <x:c r="AF4010" s="87" t="str">
        <x:v>VIS-HIST-NOV-018: 20</x:v>
      </x:c>
      <x:c r="AG4010" s="87" t="str">
        <x:v>RESOLVED</x:v>
      </x:c>
      <x:c r="AH4010" s="87" t="str">
        <x:v>CROP_VERIFIED; TASK_CROP_QA_APPROVED:MANUAL_BBOX</x:v>
      </x:c>
      <x:c r="AI4010" s="30"/>
      <x:c r="AJ4010" s="87" t="str">
        <x:v>master</x:v>
      </x:c>
      <x:c r="AK4010" s="87" t="str">
        <x:v>master-v0.81</x:v>
      </x:c>
      <x:c r="AL4010" s="87" t="str">
        <x:v>statgrad_master_base_v0_81_final(2).xlsx</x:v>
      </x:c>
      <x:c r="AM4010" s="87" t="str">
        <x:v>HIST_Nov_V2</x:v>
      </x:c>
      <x:c r="AN4010" s="87" t="n">
        <x:v>11</x:v>
      </x:c>
    </x:row>
    <x:row r="4011">
      <x:c r="A4011" s="87" t="n">
        <x:v>4010</x:v>
      </x:c>
      <x:c r="B4011" s="87" t="str">
        <x:v>NOV-HIST-V2-011</x:v>
      </x:c>
      <x:c r="C4011" s="87" t="str">
        <x:v>СтатГрад</x:v>
      </x:c>
      <x:c r="D4011" s="87" t="str">
        <x:v>Ноябрь 2025</x:v>
      </x:c>
      <x:c r="E4011" s="87"/>
      <x:c r="F4011" s="87"/>
      <x:c r="G4011" s="87" t="str">
        <x:v>История</x:v>
      </x:c>
      <x:c r="H4011" s="87" t="n">
        <x:v>11</x:v>
      </x:c>
      <x:c r="I4011" s="87" t="str">
        <x:v>ТР №2</x:v>
      </x:c>
      <x:c r="J4011" s="87" t="str">
        <x:v>ИС2510202</x:v>
      </x:c>
      <x:c r="K4011" s="87" t="n">
        <x:v>11</x:v>
      </x:c>
      <x:c r="L4011" s="87" t="str">
        <x:v>Историческая карта</x:v>
      </x:c>
      <x:c r="M4011" s="30" t="str">
        <x:v>В тексте о походе Дмитрия Волконского назвать пропущенный город на Припяти.</x:v>
      </x:c>
      <x:c r="N4011" s="30" t="str">
        <x:v>Мозырь</x:v>
      </x:c>
      <x:c r="O4011" s="30" t="str">
        <x:v>По маршруту и схеме пропущен Мозырь.</x:v>
      </x:c>
      <x:c r="P4011" s="30" t="str">
        <x:v>По маршруту и схеме пропущен Мозырь.</x:v>
      </x:c>
      <x:c r="Q4011" s="30"/>
      <x:c r="R4011" s="30" t="str">
        <x:v>Zadanie_IS11_25112025.pdf; Kriterii_IS11_25112025.pdf</x:v>
      </x:c>
      <x:c r="S4011" s="30"/>
      <x:c r="T4011" s="30"/>
      <x:c r="U4011" s="30" t="str">
        <x:v>Расхождений не обнаружено.</x:v>
      </x:c>
      <x:c r="V4011" s="87" t="str">
        <x:v>VERIFIED</x:v>
      </x:c>
      <x:c r="W4011" s="87" t="str">
        <x:v>Zadanie_IS11_25112025.pdf, вариантная стр. 8 (физическая стр. 21)</x:v>
      </x:c>
      <x:c r="X4011" s="87"/>
      <x:c r="Y4011" s="87"/>
      <x:c r="Z4011" s="87"/>
      <x:c r="AA4011" s="87"/>
      <x:c r="AB4011" s="87"/>
      <x:c r="AC4011" s="87" t="str">
        <x:v>VIS-HIST-NOV-019</x:v>
      </x:c>
      <x:c r="AD4011" s="87"/>
      <x:c r="AE4011" s="87"/>
      <x:c r="AF4011" s="87" t="str">
        <x:v>VIS-HIST-NOV-019: 21</x:v>
      </x:c>
      <x:c r="AG4011" s="87" t="str">
        <x:v>RESOLVED</x:v>
      </x:c>
      <x:c r="AH4011" s="87" t="str">
        <x:v>CROP_VERIFIED</x:v>
      </x:c>
      <x:c r="AI4011" s="30"/>
      <x:c r="AJ4011" s="87" t="str">
        <x:v>master</x:v>
      </x:c>
      <x:c r="AK4011" s="87" t="str">
        <x:v>master-v0.81</x:v>
      </x:c>
      <x:c r="AL4011" s="87" t="str">
        <x:v>statgrad_master_base_v0_81_final(2).xlsx</x:v>
      </x:c>
      <x:c r="AM4011" s="87" t="str">
        <x:v>HIST_Nov_V2</x:v>
      </x:c>
      <x:c r="AN4011" s="87" t="n">
        <x:v>12</x:v>
      </x:c>
    </x:row>
    <x:row r="4012">
      <x:c r="A4012" s="87" t="n">
        <x:v>4011</x:v>
      </x:c>
      <x:c r="B4012" s="87" t="str">
        <x:v>NOV-HIST-V2-012</x:v>
      </x:c>
      <x:c r="C4012" s="87" t="str">
        <x:v>СтатГрад</x:v>
      </x:c>
      <x:c r="D4012" s="87" t="str">
        <x:v>Ноябрь 2025</x:v>
      </x:c>
      <x:c r="E4012" s="87"/>
      <x:c r="F4012" s="87"/>
      <x:c r="G4012" s="87" t="str">
        <x:v>История</x:v>
      </x:c>
      <x:c r="H4012" s="87" t="n">
        <x:v>11</x:v>
      </x:c>
      <x:c r="I4012" s="87" t="str">
        <x:v>ТР №2</x:v>
      </x:c>
      <x:c r="J4012" s="87" t="str">
        <x:v>ИС2510202</x:v>
      </x:c>
      <x:c r="K4012" s="87" t="n">
        <x:v>12</x:v>
      </x:c>
      <x:c r="L4012" s="87" t="str">
        <x:v>Историческая карта</x:v>
      </x:c>
      <x:c r="M4012" s="30" t="str">
        <x:v>Выбрать верные суждения по схеме русско-польской войны.</x:v>
      </x:c>
      <x:c r="N4012" s="30" t="str">
        <x:v>123</x:v>
      </x:c>
      <x:c r="O4012" s="30" t="str">
        <x:v>Верны суждения 1, 2 и 3.</x:v>
      </x:c>
      <x:c r="P4012" s="30" t="str">
        <x:v>Верны суждения 1, 2 и 3.</x:v>
      </x:c>
      <x:c r="Q4012" s="30"/>
      <x:c r="R4012" s="30" t="str">
        <x:v>Zadanie_IS11_25112025.pdf; Kriterii_IS11_25112025.pdf</x:v>
      </x:c>
      <x:c r="S4012" s="30"/>
      <x:c r="T4012" s="30"/>
      <x:c r="U4012" s="30" t="str">
        <x:v>Расхождений не обнаружено.</x:v>
      </x:c>
      <x:c r="V4012" s="87" t="str">
        <x:v>VERIFIED</x:v>
      </x:c>
      <x:c r="W4012" s="87" t="str">
        <x:v>Zadanie_IS11_25112025.pdf, вариантная стр. 8 (физическая стр. 21)</x:v>
      </x:c>
      <x:c r="X4012" s="87"/>
      <x:c r="Y4012" s="87"/>
      <x:c r="Z4012" s="87"/>
      <x:c r="AA4012" s="87"/>
      <x:c r="AB4012" s="87"/>
      <x:c r="AC4012" s="87" t="str">
        <x:v>VIS-HIST-NOV-019</x:v>
      </x:c>
      <x:c r="AD4012" s="87"/>
      <x:c r="AE4012" s="87"/>
      <x:c r="AF4012" s="87" t="str">
        <x:v>VIS-HIST-NOV-019: 21</x:v>
      </x:c>
      <x:c r="AG4012" s="87" t="str">
        <x:v>RESOLVED</x:v>
      </x:c>
      <x:c r="AH4012" s="87" t="str">
        <x:v>CROP_VERIFIED</x:v>
      </x:c>
      <x:c r="AI4012" s="30"/>
      <x:c r="AJ4012" s="87" t="str">
        <x:v>master</x:v>
      </x:c>
      <x:c r="AK4012" s="87" t="str">
        <x:v>master-v0.81</x:v>
      </x:c>
      <x:c r="AL4012" s="87" t="str">
        <x:v>statgrad_master_base_v0_81_final(2).xlsx</x:v>
      </x:c>
      <x:c r="AM4012" s="87" t="str">
        <x:v>HIST_Nov_V2</x:v>
      </x:c>
      <x:c r="AN4012" s="87" t="n">
        <x:v>13</x:v>
      </x:c>
    </x:row>
    <x:row r="4013">
      <x:c r="A4013" s="87" t="n">
        <x:v>4012</x:v>
      </x:c>
      <x:c r="B4013" s="87" t="str">
        <x:v>NOV-HIST-V2-013</x:v>
      </x:c>
      <x:c r="C4013" s="87" t="str">
        <x:v>СтатГрад</x:v>
      </x:c>
      <x:c r="D4013" s="87" t="str">
        <x:v>Ноябрь 2025</x:v>
      </x:c>
      <x:c r="E4013" s="87"/>
      <x:c r="F4013" s="87"/>
      <x:c r="G4013" s="87" t="str">
        <x:v>История</x:v>
      </x:c>
      <x:c r="H4013" s="87" t="n">
        <x:v>11</x:v>
      </x:c>
      <x:c r="I4013" s="87" t="str">
        <x:v>ТР №2</x:v>
      </x:c>
      <x:c r="J4013" s="87" t="str">
        <x:v>ИС2510202</x:v>
      </x:c>
      <x:c r="K4013" s="87" t="n">
        <x:v>13</x:v>
      </x:c>
      <x:c r="L4013" s="87" t="str">
        <x:v>Атрибуция источника</x:v>
      </x:c>
      <x:c r="M4013" s="30" t="str">
        <x:v>По постановлению назвать год, главу советского правительства и войну.</x:v>
      </x:c>
      <x:c r="N4013" s="30" t="str">
        <x:v>1918; В. И. Ленин; Первая мировая война</x:v>
      </x:c>
      <x:c r="O4013" s="30" t="str">
        <x:v>Постановление связано с советско-германским конфликтом после Брестского мира.</x:v>
      </x:c>
      <x:c r="P4013" s="30" t="str">
        <x:v>Модель сопоставлена с обязательными элементами официального критерия и историческими фактами.</x:v>
      </x:c>
      <x:c r="Q4013" s="30"/>
      <x:c r="R4013" s="30" t="str">
        <x:v>Zadanie_IS11_25112025.pdf; Kriterii_IS11_25112025.pdf</x:v>
      </x:c>
      <x:c r="S4013" s="30"/>
      <x:c r="T4013" s="30"/>
      <x:c r="U4013" s="30" t="str">
        <x:v>Расхождений не обнаружено.</x:v>
      </x:c>
      <x:c r="V4013" s="87" t="str">
        <x:v>VERIFIED</x:v>
      </x:c>
      <x:c r="W4013" s="87" t="str">
        <x:v>Zadanie_IS11_25112025.pdf, вариантные стр. 9 и 10 (физические стр. 22 и 23)</x:v>
      </x:c>
      <x:c r="X4013" s="87"/>
      <x:c r="Y4013" s="87"/>
      <x:c r="Z4013" s="87"/>
      <x:c r="AA4013" s="87"/>
      <x:c r="AB4013" s="87"/>
      <x:c r="AC4013" s="87" t="str">
        <x:v>VIS-HIST-NOV-020; VIS-HIST-NOV-021</x:v>
      </x:c>
      <x:c r="AD4013" s="87"/>
      <x:c r="AE4013" s="87"/>
      <x:c r="AF4013" s="87" t="str">
        <x:v>VIS-HIST-NOV-020: 22; VIS-HIST-NOV-021: 23</x:v>
      </x:c>
      <x:c r="AG4013" s="87" t="str">
        <x:v>RESOLVED</x:v>
      </x:c>
      <x:c r="AH4013" s="87" t="str">
        <x:v>CROP_VERIFIED</x:v>
      </x:c>
      <x:c r="AI4013" s="30"/>
      <x:c r="AJ4013" s="87" t="str">
        <x:v>master</x:v>
      </x:c>
      <x:c r="AK4013" s="87" t="str">
        <x:v>master-v0.81</x:v>
      </x:c>
      <x:c r="AL4013" s="87" t="str">
        <x:v>statgrad_master_base_v0_81_final(2).xlsx</x:v>
      </x:c>
      <x:c r="AM4013" s="87" t="str">
        <x:v>HIST_Nov_V2</x:v>
      </x:c>
      <x:c r="AN4013" s="87" t="n">
        <x:v>14</x:v>
      </x:c>
    </x:row>
    <x:row r="4014">
      <x:c r="A4014" s="87" t="n">
        <x:v>4013</x:v>
      </x:c>
      <x:c r="B4014" s="87" t="str">
        <x:v>NOV-HIST-V2-014</x:v>
      </x:c>
      <x:c r="C4014" s="87" t="str">
        <x:v>СтатГрад</x:v>
      </x:c>
      <x:c r="D4014" s="87" t="str">
        <x:v>Ноябрь 2025</x:v>
      </x:c>
      <x:c r="E4014" s="87"/>
      <x:c r="F4014" s="87"/>
      <x:c r="G4014" s="87" t="str">
        <x:v>История</x:v>
      </x:c>
      <x:c r="H4014" s="87" t="n">
        <x:v>11</x:v>
      </x:c>
      <x:c r="I4014" s="87" t="str">
        <x:v>ТР №2</x:v>
      </x:c>
      <x:c r="J4014" s="87" t="str">
        <x:v>ИС2510202</x:v>
      </x:c>
      <x:c r="K4014" s="87" t="n">
        <x:v>14</x:v>
      </x:c>
      <x:c r="L4014" s="87" t="str">
        <x:v>Анализ источника</x:v>
      </x:c>
      <x:c r="M4014" s="30" t="str">
        <x:v>Назвать причину высылки посольства и два принципа «истинного мира».</x:v>
      </x:c>
      <x:c r="N4014" s="30" t="str">
        <x:v>Посольство обвинили в деятельности, направленной на свержение германского буржуазно-империалистического строя; допустимые принципы: освобождение занятых российских территорий, самоопределение трудящихся наций, возложение потерь на буржуазные классы.</x:v>
      </x:c>
      <x:c r="O4014" s="30" t="str">
        <x:v>Причина и любые два принципа прямо названы в тексте.</x:v>
      </x:c>
      <x:c r="P4014" s="30" t="str">
        <x:v>Модель сопоставлена с обязательными элементами официального критерия и историческими фактами.</x:v>
      </x:c>
      <x:c r="Q4014" s="30"/>
      <x:c r="R4014" s="30" t="str">
        <x:v>Zadanie_IS11_25112025.pdf; Kriterii_IS11_25112025.pdf</x:v>
      </x:c>
      <x:c r="S4014" s="30"/>
      <x:c r="T4014" s="30"/>
      <x:c r="U4014" s="30" t="str">
        <x:v>Расхождений не обнаружено.</x:v>
      </x:c>
      <x:c r="V4014" s="87" t="str">
        <x:v>VERIFIED</x:v>
      </x:c>
      <x:c r="W4014" s="87" t="str">
        <x:v>Zadanie_IS11_25112025.pdf, вариантные стр. 9 и 10 (физические стр. 22 и 23)</x:v>
      </x:c>
      <x:c r="X4014" s="87"/>
      <x:c r="Y4014" s="87"/>
      <x:c r="Z4014" s="87"/>
      <x:c r="AA4014" s="87"/>
      <x:c r="AB4014" s="87"/>
      <x:c r="AC4014" s="87" t="str">
        <x:v>VIS-HIST-NOV-020; VIS-HIST-NOV-021</x:v>
      </x:c>
      <x:c r="AD4014" s="87"/>
      <x:c r="AE4014" s="87"/>
      <x:c r="AF4014" s="87" t="str">
        <x:v>VIS-HIST-NOV-020: 22; VIS-HIST-NOV-021: 23</x:v>
      </x:c>
      <x:c r="AG4014" s="87" t="str">
        <x:v>RESOLVED</x:v>
      </x:c>
      <x:c r="AH4014" s="87" t="str">
        <x:v>CROP_VERIFIED</x:v>
      </x:c>
      <x:c r="AI4014" s="30"/>
      <x:c r="AJ4014" s="87" t="str">
        <x:v>master</x:v>
      </x:c>
      <x:c r="AK4014" s="87" t="str">
        <x:v>master-v0.81</x:v>
      </x:c>
      <x:c r="AL4014" s="87" t="str">
        <x:v>statgrad_master_base_v0_81_final(2).xlsx</x:v>
      </x:c>
      <x:c r="AM4014" s="87" t="str">
        <x:v>HIST_Nov_V2</x:v>
      </x:c>
      <x:c r="AN4014" s="87" t="n">
        <x:v>15</x:v>
      </x:c>
    </x:row>
    <x:row r="4015">
      <x:c r="A4015" s="87" t="n">
        <x:v>4014</x:v>
      </x:c>
      <x:c r="B4015" s="87" t="str">
        <x:v>NOV-HIST-V2-015</x:v>
      </x:c>
      <x:c r="C4015" s="87" t="str">
        <x:v>СтатГрад</x:v>
      </x:c>
      <x:c r="D4015" s="87" t="str">
        <x:v>Ноябрь 2025</x:v>
      </x:c>
      <x:c r="E4015" s="87"/>
      <x:c r="F4015" s="87"/>
      <x:c r="G4015" s="87" t="str">
        <x:v>История</x:v>
      </x:c>
      <x:c r="H4015" s="87" t="n">
        <x:v>11</x:v>
      </x:c>
      <x:c r="I4015" s="87" t="str">
        <x:v>ТР №2</x:v>
      </x:c>
      <x:c r="J4015" s="87" t="str">
        <x:v>ИС2510202</x:v>
      </x:c>
      <x:c r="K4015" s="87" t="n">
        <x:v>15</x:v>
      </x:c>
      <x:c r="L4015" s="87" t="str">
        <x:v>Изображение / юбилейная марка</x:v>
      </x:c>
      <x:c r="M4015" s="30" t="str">
        <x:v>Назвать государя при основании города на марке и обосновать.</x:v>
      </x:c>
      <x:c r="N4015" s="30" t="str">
        <x:v>Борис Годунов; 2004 − 400 = 1604</x:v>
      </x:c>
      <x:c r="O4015" s="30" t="str">
        <x:v>Марка посвящена 400-летию Томска; город основан в 1604 г.</x:v>
      </x:c>
      <x:c r="P4015" s="30" t="str">
        <x:v>Модель сопоставлена с обязательными элементами официального критерия и историческими фактами.</x:v>
      </x:c>
      <x:c r="Q4015" s="30"/>
      <x:c r="R4015" s="30" t="str">
        <x:v>Zadanie_IS11_25112025.pdf; Kriterii_IS11_25112025.pdf</x:v>
      </x:c>
      <x:c r="S4015" s="30"/>
      <x:c r="T4015" s="30"/>
      <x:c r="U4015" s="30" t="str">
        <x:v>Расхождений не обнаружено.</x:v>
      </x:c>
      <x:c r="V4015" s="87" t="str">
        <x:v>VERIFIED</x:v>
      </x:c>
      <x:c r="W4015" s="87" t="str">
        <x:v>Zadanie_IS11_25112025.pdf, вариантная стр. 10 (физическая стр. 23)</x:v>
      </x:c>
      <x:c r="X4015" s="87"/>
      <x:c r="Y4015" s="87"/>
      <x:c r="Z4015" s="87"/>
      <x:c r="AA4015" s="87"/>
      <x:c r="AB4015" s="87"/>
      <x:c r="AC4015" s="87" t="str">
        <x:v>VIS-HIST-NOV-021</x:v>
      </x:c>
      <x:c r="AD4015" s="87"/>
      <x:c r="AE4015" s="87"/>
      <x:c r="AF4015" s="87" t="str">
        <x:v>VIS-HIST-NOV-021: 23</x:v>
      </x:c>
      <x:c r="AG4015" s="87" t="str">
        <x:v>RESOLVED</x:v>
      </x:c>
      <x:c r="AH4015" s="87" t="str">
        <x:v>CROP_VERIFIED</x:v>
      </x:c>
      <x:c r="AI4015" s="30"/>
      <x:c r="AJ4015" s="87" t="str">
        <x:v>master</x:v>
      </x:c>
      <x:c r="AK4015" s="87" t="str">
        <x:v>master-v0.81</x:v>
      </x:c>
      <x:c r="AL4015" s="87" t="str">
        <x:v>statgrad_master_base_v0_81_final(2).xlsx</x:v>
      </x:c>
      <x:c r="AM4015" s="87" t="str">
        <x:v>HIST_Nov_V2</x:v>
      </x:c>
      <x:c r="AN4015" s="87" t="n">
        <x:v>16</x:v>
      </x:c>
    </x:row>
    <x:row r="4016">
      <x:c r="A4016" s="87" t="n">
        <x:v>4015</x:v>
      </x:c>
      <x:c r="B4016" s="87" t="str">
        <x:v>NOV-HIST-V2-016</x:v>
      </x:c>
      <x:c r="C4016" s="87" t="str">
        <x:v>СтатГрад</x:v>
      </x:c>
      <x:c r="D4016" s="87" t="str">
        <x:v>Ноябрь 2025</x:v>
      </x:c>
      <x:c r="E4016" s="87"/>
      <x:c r="F4016" s="87"/>
      <x:c r="G4016" s="87" t="str">
        <x:v>История</x:v>
      </x:c>
      <x:c r="H4016" s="87" t="n">
        <x:v>11</x:v>
      </x:c>
      <x:c r="I4016" s="87" t="str">
        <x:v>ТР №2</x:v>
      </x:c>
      <x:c r="J4016" s="87" t="str">
        <x:v>ИС2510202</x:v>
      </x:c>
      <x:c r="K4016" s="87" t="n">
        <x:v>16</x:v>
      </x:c>
      <x:c r="L4016" s="87" t="str">
        <x:v>Архитектура</x:v>
      </x:c>
      <x:c r="M4016" s="30" t="str">
        <x:v>Выбрать памятник того же столетия и назвать архитектурный стиль.</x:v>
      </x:c>
      <x:c r="N4016" s="30" t="str">
        <x:v>2; нарышкинское (московское) барокко</x:v>
      </x:c>
      <x:c r="O4016" s="30" t="str">
        <x:v>Памятник №2 относится к XVII в. и выполнен в стиле нарышкинского барокко.</x:v>
      </x:c>
      <x:c r="P4016" s="30" t="str">
        <x:v>Модель сопоставлена с обязательными элементами официального критерия и историческими фактами.</x:v>
      </x:c>
      <x:c r="Q4016" s="30"/>
      <x:c r="R4016" s="30" t="str">
        <x:v>Zadanie_IS11_25112025.pdf; Kriterii_IS11_25112025.pdf</x:v>
      </x:c>
      <x:c r="S4016" s="30"/>
      <x:c r="T4016" s="30"/>
      <x:c r="U4016" s="30" t="str">
        <x:v>Расхождений не обнаружено.</x:v>
      </x:c>
      <x:c r="V4016" s="87" t="str">
        <x:v>VERIFIED</x:v>
      </x:c>
      <x:c r="W4016" s="87" t="str">
        <x:v>Zadanie_IS11_25112025.pdf, вариантная стр. 11 (физическая стр. 24)</x:v>
      </x:c>
      <x:c r="X4016" s="87"/>
      <x:c r="Y4016" s="87"/>
      <x:c r="Z4016" s="87"/>
      <x:c r="AA4016" s="87"/>
      <x:c r="AB4016" s="87"/>
      <x:c r="AC4016" s="87" t="str">
        <x:v>VIS-HIST-NOV-022</x:v>
      </x:c>
      <x:c r="AD4016" s="87"/>
      <x:c r="AE4016" s="87"/>
      <x:c r="AF4016" s="87" t="str">
        <x:v>VIS-HIST-NOV-022: 24</x:v>
      </x:c>
      <x:c r="AG4016" s="87" t="str">
        <x:v>RESOLVED</x:v>
      </x:c>
      <x:c r="AH4016" s="87" t="str">
        <x:v>CROP_VERIFIED</x:v>
      </x:c>
      <x:c r="AI4016" s="30"/>
      <x:c r="AJ4016" s="87" t="str">
        <x:v>master</x:v>
      </x:c>
      <x:c r="AK4016" s="87" t="str">
        <x:v>master-v0.81</x:v>
      </x:c>
      <x:c r="AL4016" s="87" t="str">
        <x:v>statgrad_master_base_v0_81_final(2).xlsx</x:v>
      </x:c>
      <x:c r="AM4016" s="87" t="str">
        <x:v>HIST_Nov_V2</x:v>
      </x:c>
      <x:c r="AN4016" s="87" t="n">
        <x:v>17</x:v>
      </x:c>
    </x:row>
    <x:row r="4017">
      <x:c r="A4017" s="87" t="n">
        <x:v>4016</x:v>
      </x:c>
      <x:c r="B4017" s="87" t="str">
        <x:v>NOV-HIST-V2-017</x:v>
      </x:c>
      <x:c r="C4017" s="87" t="str">
        <x:v>СтатГрад</x:v>
      </x:c>
      <x:c r="D4017" s="87" t="str">
        <x:v>Ноябрь 2025</x:v>
      </x:c>
      <x:c r="E4017" s="87"/>
      <x:c r="F4017" s="87"/>
      <x:c r="G4017" s="87" t="str">
        <x:v>История</x:v>
      </x:c>
      <x:c r="H4017" s="87" t="n">
        <x:v>11</x:v>
      </x:c>
      <x:c r="I4017" s="87" t="str">
        <x:v>ТР №2</x:v>
      </x:c>
      <x:c r="J4017" s="87" t="str">
        <x:v>ИС2510202</x:v>
      </x:c>
      <x:c r="K4017" s="87" t="n">
        <x:v>17</x:v>
      </x:c>
      <x:c r="L4017" s="87" t="str">
        <x:v>Военная история по воспоминаниям</x:v>
      </x:c>
      <x:c r="M4017" s="30" t="str">
        <x:v>По воспоминаниям назвать город, операцию и положение рабочих.</x:v>
      </x:c>
      <x:c r="N4017" s="30" t="str">
        <x:v>Ленинград; например, операция «Искра»; истощённые и голодные рабочие едва держались на ногах.</x:v>
      </x:c>
      <x:c r="O4017" s="30" t="str">
        <x:v>Отрывки относятся к блокаде Ленинграда; допустима также операция «Январский гром» («Нева-2»).</x:v>
      </x:c>
      <x:c r="P4017" s="30" t="str">
        <x:v>Модель сопоставлена с обязательными элементами официального критерия и историческими фактами.</x:v>
      </x:c>
      <x:c r="Q4017" s="30"/>
      <x:c r="R4017" s="30" t="str">
        <x:v>Zadanie_IS11_25112025.pdf; Kriterii_IS11_25112025.pdf</x:v>
      </x:c>
      <x:c r="S4017" s="30"/>
      <x:c r="T4017" s="30"/>
      <x:c r="U4017" s="30" t="str">
        <x:v>Расхождений не обнаружено.</x:v>
      </x:c>
      <x:c r="V4017" s="87" t="str">
        <x:v>VERIFIED</x:v>
      </x:c>
      <x:c r="W4017" s="87" t="str">
        <x:v>Zadanie_IS11_25112025.pdf, вариантная стр. 12 (физическая стр. 25)</x:v>
      </x:c>
      <x:c r="X4017" s="87"/>
      <x:c r="Y4017" s="87"/>
      <x:c r="Z4017" s="87"/>
      <x:c r="AA4017" s="87"/>
      <x:c r="AB4017" s="87"/>
      <x:c r="AC4017" s="87" t="str">
        <x:v>VIS-HIST-NOV-023</x:v>
      </x:c>
      <x:c r="AD4017" s="87"/>
      <x:c r="AE4017" s="87"/>
      <x:c r="AF4017" s="87" t="str">
        <x:v>VIS-HIST-NOV-023: 25</x:v>
      </x:c>
      <x:c r="AG4017" s="87" t="str">
        <x:v>RESOLVED</x:v>
      </x:c>
      <x:c r="AH4017" s="87" t="str">
        <x:v>CROP_VERIFIED</x:v>
      </x:c>
      <x:c r="AI4017" s="30"/>
      <x:c r="AJ4017" s="87" t="str">
        <x:v>master</x:v>
      </x:c>
      <x:c r="AK4017" s="87" t="str">
        <x:v>master-v0.81</x:v>
      </x:c>
      <x:c r="AL4017" s="87" t="str">
        <x:v>statgrad_master_base_v0_81_final(2).xlsx</x:v>
      </x:c>
      <x:c r="AM4017" s="87" t="str">
        <x:v>HIST_Nov_V2</x:v>
      </x:c>
      <x:c r="AN4017" s="87" t="n">
        <x:v>18</x:v>
      </x:c>
    </x:row>
    <x:row r="4018">
      <x:c r="A4018" s="87" t="n">
        <x:v>4017</x:v>
      </x:c>
      <x:c r="B4018" s="87" t="str">
        <x:v>NOV-HIST-V2-018</x:v>
      </x:c>
      <x:c r="C4018" s="87" t="str">
        <x:v>СтатГрад</x:v>
      </x:c>
      <x:c r="D4018" s="87" t="str">
        <x:v>Ноябрь 2025</x:v>
      </x:c>
      <x:c r="E4018" s="87"/>
      <x:c r="F4018" s="87"/>
      <x:c r="G4018" s="87" t="str">
        <x:v>История</x:v>
      </x:c>
      <x:c r="H4018" s="87" t="n">
        <x:v>11</x:v>
      </x:c>
      <x:c r="I4018" s="87" t="str">
        <x:v>ТР №2</x:v>
      </x:c>
      <x:c r="J4018" s="87" t="str">
        <x:v>ИС2510202</x:v>
      </x:c>
      <x:c r="K4018" s="87" t="n">
        <x:v>18</x:v>
      </x:c>
      <x:c r="L4018" s="87" t="str">
        <x:v>Причины и последствия</x:v>
      </x:c>
      <x:c r="M4018" s="30" t="str">
        <x:v>Объяснить причину участия России в разделах Речи Посполитой, последствие для отношений с Пруссией и проблему XIX в.</x:v>
      </x:c>
      <x:c r="N4018" s="30" t="str">
        <x:v>Россия считала присоединяемые земли бывшими русскими землями и возвращением под законную власть; разделы укрепили союз с Пруссией, заинтересованной в сохранении приобретений; возник «польский вопрос» — восстания 1830–1831 и 1863 гг. и участие поляков в революционном движении.</x:v>
      </x:c>
      <x:c r="O4018" s="30" t="str">
        <x:v>Три элемента раскрывают прошлое земель, международное последствие и проблему XIX в.</x:v>
      </x:c>
      <x:c r="P4018" s="30" t="str">
        <x:v>Модель сопоставлена с обязательными элементами официального критерия и историческими фактами.</x:v>
      </x:c>
      <x:c r="Q4018" s="30"/>
      <x:c r="R4018" s="30" t="str">
        <x:v>Zadanie_IS11_25112025.pdf; Kriterii_IS11_25112025.pdf</x:v>
      </x:c>
      <x:c r="S4018" s="30"/>
      <x:c r="T4018" s="30"/>
      <x:c r="U4018" s="30" t="str">
        <x:v>Расхождений не обнаружено.</x:v>
      </x:c>
      <x:c r="V4018" s="87" t="str">
        <x:v>VERIFIED</x:v>
      </x:c>
      <x:c r="W4018" s="87" t="str">
        <x:v>Zadanie_IS11_25112025.pdf, вариантная стр. 13 (физическая стр. 26)</x:v>
      </x:c>
      <x:c r="X4018" s="87"/>
      <x:c r="Y4018" s="87"/>
      <x:c r="Z4018" s="87"/>
      <x:c r="AA4018" s="87"/>
      <x:c r="AB4018" s="87"/>
      <x:c r="AC4018" s="87" t="str">
        <x:v>VIS-HIST-NOV-024</x:v>
      </x:c>
      <x:c r="AD4018" s="87"/>
      <x:c r="AE4018" s="87"/>
      <x:c r="AF4018" s="87" t="str">
        <x:v>VIS-HIST-NOV-024: 26</x:v>
      </x:c>
      <x:c r="AG4018" s="87" t="str">
        <x:v>RESOLVED</x:v>
      </x:c>
      <x:c r="AH4018" s="87" t="str">
        <x:v>CROP_VERIFIED</x:v>
      </x:c>
      <x:c r="AI4018" s="30"/>
      <x:c r="AJ4018" s="87" t="str">
        <x:v>master</x:v>
      </x:c>
      <x:c r="AK4018" s="87" t="str">
        <x:v>master-v0.81</x:v>
      </x:c>
      <x:c r="AL4018" s="87" t="str">
        <x:v>statgrad_master_base_v0_81_final(2).xlsx</x:v>
      </x:c>
      <x:c r="AM4018" s="87" t="str">
        <x:v>HIST_Nov_V2</x:v>
      </x:c>
      <x:c r="AN4018" s="87" t="n">
        <x:v>19</x:v>
      </x:c>
    </x:row>
    <x:row r="4019">
      <x:c r="A4019" s="87" t="n">
        <x:v>4018</x:v>
      </x:c>
      <x:c r="B4019" s="87" t="str">
        <x:v>NOV-HIST-V2-019</x:v>
      </x:c>
      <x:c r="C4019" s="87" t="str">
        <x:v>СтатГрад</x:v>
      </x:c>
      <x:c r="D4019" s="87" t="str">
        <x:v>Ноябрь 2025</x:v>
      </x:c>
      <x:c r="E4019" s="87"/>
      <x:c r="F4019" s="87"/>
      <x:c r="G4019" s="87" t="str">
        <x:v>История</x:v>
      </x:c>
      <x:c r="H4019" s="87" t="n">
        <x:v>11</x:v>
      </x:c>
      <x:c r="I4019" s="87" t="str">
        <x:v>ТР №2</x:v>
      </x:c>
      <x:c r="J4019" s="87" t="str">
        <x:v>ИС2510202</x:v>
      </x:c>
      <x:c r="K4019" s="87" t="n">
        <x:v>19</x:v>
      </x:c>
      <x:c r="L4019" s="87" t="str">
        <x:v>Историческое понятие</x:v>
      </x:c>
      <x:c r="M4019" s="30" t="str">
        <x:v>Раскрыть понятие «заповедные лета» и привести отдельный факт.</x:v>
      </x:c>
      <x:c r="N4019" s="30" t="str">
        <x:v>Заповедные лета — временный запрет крестьянских переходов в Юрьев день в конце царствования Ивана IV; например, указ 1581 г. был связан с разорением страны Ливонской войной и опричниной.</x:v>
      </x:c>
      <x:c r="O4019" s="30" t="str">
        <x:v>Определение и конкретизация разделены.</x:v>
      </x:c>
      <x:c r="P4019" s="30" t="str">
        <x:v>Модель сопоставлена с обязательными элементами официального критерия и историческими фактами.</x:v>
      </x:c>
      <x:c r="Q4019" s="30"/>
      <x:c r="R4019" s="30" t="str">
        <x:v>Zadanie_IS11_25112025.pdf; Kriterii_IS11_25112025.pdf</x:v>
      </x:c>
      <x:c r="S4019" s="30"/>
      <x:c r="T4019" s="30"/>
      <x:c r="U4019" s="30" t="str">
        <x:v>Расхождений не обнаружено.</x:v>
      </x:c>
      <x:c r="V4019" s="87" t="str">
        <x:v>VERIFIED</x:v>
      </x:c>
      <x:c r="W4019" s="87" t="str">
        <x:v>Zadanie_IS11_25112025.pdf, вариантная стр. 13 (физическая стр. 26)</x:v>
      </x:c>
      <x:c r="X4019" s="87"/>
      <x:c r="Y4019" s="87"/>
      <x:c r="Z4019" s="87"/>
      <x:c r="AA4019" s="87"/>
      <x:c r="AB4019" s="87"/>
      <x:c r="AC4019" s="87" t="str">
        <x:v>VIS-HIST-NOV-024</x:v>
      </x:c>
      <x:c r="AD4019" s="87"/>
      <x:c r="AE4019" s="87"/>
      <x:c r="AF4019" s="87" t="str">
        <x:v>VIS-HIST-NOV-024: 26</x:v>
      </x:c>
      <x:c r="AG4019" s="87" t="str">
        <x:v>RESOLVED</x:v>
      </x:c>
      <x:c r="AH4019" s="87" t="str">
        <x:v>CROP_VERIFIED</x:v>
      </x:c>
      <x:c r="AI4019" s="30"/>
      <x:c r="AJ4019" s="87" t="str">
        <x:v>master</x:v>
      </x:c>
      <x:c r="AK4019" s="87" t="str">
        <x:v>master-v0.81</x:v>
      </x:c>
      <x:c r="AL4019" s="87" t="str">
        <x:v>statgrad_master_base_v0_81_final(2).xlsx</x:v>
      </x:c>
      <x:c r="AM4019" s="87" t="str">
        <x:v>HIST_Nov_V2</x:v>
      </x:c>
      <x:c r="AN4019" s="87" t="n">
        <x:v>20</x:v>
      </x:c>
    </x:row>
    <x:row r="4020">
      <x:c r="A4020" s="87" t="n">
        <x:v>4019</x:v>
      </x:c>
      <x:c r="B4020" s="87" t="str">
        <x:v>NOV-HIST-V2-020</x:v>
      </x:c>
      <x:c r="C4020" s="87" t="str">
        <x:v>СтатГрад</x:v>
      </x:c>
      <x:c r="D4020" s="87" t="str">
        <x:v>Ноябрь 2025</x:v>
      </x:c>
      <x:c r="E4020" s="87"/>
      <x:c r="F4020" s="87"/>
      <x:c r="G4020" s="87" t="str">
        <x:v>История</x:v>
      </x:c>
      <x:c r="H4020" s="87" t="n">
        <x:v>11</x:v>
      </x:c>
      <x:c r="I4020" s="87" t="str">
        <x:v>ТР №2</x:v>
      </x:c>
      <x:c r="J4020" s="87" t="str">
        <x:v>ИС2510202</x:v>
      </x:c>
      <x:c r="K4020" s="87" t="n">
        <x:v>20</x:v>
      </x:c>
      <x:c r="L4020" s="87" t="str">
        <x:v>Сравнительный тезис и обоснования</x:v>
      </x:c>
      <x:c r="M4020" s="30" t="str">
        <x:v>Сформулировать тезис о различиях внутриполитической жизни СССР в 1920-х и 1970-х гг. и привести два парных обоснования.</x:v>
      </x:c>
      <x:c r="N4020" s="30" t="str">
        <x:v>В 1920-е гг. сохранялись выраженные классовые ограничения и открытая внутрипартийная борьба, тогда как в 1970-е декларировалось общенародное государство и единство партии: конституции 1918/1924 лишали прав бывшие эксплуататорские классы, а Конституция 1977 провозглашала равноправие; в 1920-е открыто спорили о профсоюзах и индустриализации, в 1970-е публичные дискуссии подавлялись.</x:v>
      </x:c>
      <x:c r="O4020" s="30" t="str">
        <x:v>Есть тезис и два парных фактических сравнения.</x:v>
      </x:c>
      <x:c r="P4020" s="30" t="str">
        <x:v>Модель сопоставлена с обязательными элементами официального критерия и историческими фактами.</x:v>
      </x:c>
      <x:c r="Q4020" s="30"/>
      <x:c r="R4020" s="30" t="str">
        <x:v>Zadanie_IS11_25112025.pdf; Kriterii_IS11_25112025.pdf</x:v>
      </x:c>
      <x:c r="S4020" s="30"/>
      <x:c r="T4020" s="30"/>
      <x:c r="U4020" s="30" t="str">
        <x:v>Расхождений не обнаружено.</x:v>
      </x:c>
      <x:c r="V4020" s="87" t="str">
        <x:v>VERIFIED</x:v>
      </x:c>
      <x:c r="W4020" s="87" t="str">
        <x:v>Zadanie_IS11_25112025.pdf, вариантная стр. 13 (физическая стр. 26)</x:v>
      </x:c>
      <x:c r="X4020" s="87"/>
      <x:c r="Y4020" s="87"/>
      <x:c r="Z4020" s="87"/>
      <x:c r="AA4020" s="87"/>
      <x:c r="AB4020" s="87"/>
      <x:c r="AC4020" s="87" t="str">
        <x:v>VIS-HIST-NOV-024</x:v>
      </x:c>
      <x:c r="AD4020" s="87"/>
      <x:c r="AE4020" s="87"/>
      <x:c r="AF4020" s="87" t="str">
        <x:v>VIS-HIST-NOV-024: 26</x:v>
      </x:c>
      <x:c r="AG4020" s="87" t="str">
        <x:v>RESOLVED</x:v>
      </x:c>
      <x:c r="AH4020" s="87" t="str">
        <x:v>CROP_VERIFIED</x:v>
      </x:c>
      <x:c r="AI4020" s="30"/>
      <x:c r="AJ4020" s="87" t="str">
        <x:v>master</x:v>
      </x:c>
      <x:c r="AK4020" s="87" t="str">
        <x:v>master-v0.81</x:v>
      </x:c>
      <x:c r="AL4020" s="87" t="str">
        <x:v>statgrad_master_base_v0_81_final(2).xlsx</x:v>
      </x:c>
      <x:c r="AM4020" s="87" t="str">
        <x:v>HIST_Nov_V2</x:v>
      </x:c>
      <x:c r="AN4020" s="87" t="n">
        <x:v>21</x:v>
      </x:c>
    </x:row>
    <x:row r="4021">
      <x:c r="A4021" s="87" t="n">
        <x:v>4020</x:v>
      </x:c>
      <x:c r="B4021" s="87" t="str">
        <x:v>NOV-HIST-V2-021</x:v>
      </x:c>
      <x:c r="C4021" s="87" t="str">
        <x:v>СтатГрад</x:v>
      </x:c>
      <x:c r="D4021" s="87" t="str">
        <x:v>Ноябрь 2025</x:v>
      </x:c>
      <x:c r="E4021" s="87"/>
      <x:c r="F4021" s="87"/>
      <x:c r="G4021" s="87" t="str">
        <x:v>История</x:v>
      </x:c>
      <x:c r="H4021" s="87" t="n">
        <x:v>11</x:v>
      </x:c>
      <x:c r="I4021" s="87" t="str">
        <x:v>ТР №2</x:v>
      </x:c>
      <x:c r="J4021" s="87" t="str">
        <x:v>ИС2510202</x:v>
      </x:c>
      <x:c r="K4021" s="87" t="n">
        <x:v>21</x:v>
      </x:c>
      <x:c r="L4021" s="87" t="str">
        <x:v>Аргументация по истории России и зарубежных стран</x:v>
      </x:c>
      <x:c r="M4021" s="30" t="str">
        <x:v>Доказать, что проблемы престолонаследия вызвали кровавые конфликты в Московском княжестве и Англии XV в.</x:v>
      </x:c>
      <x:c r="N4021" s="30" t="str">
        <x:v>Москва: после смерти Василия I в 1425 г. спор между его сыном Василием II и дядей Юрием Дмитриевичем из-за прямого и бокового порядка наследования вызвал длительную междоусобную войну. Англия: недееспособность Генриха VI и соперничество династий Йорков и Ланкастеров за престол привели к войнам Алой и Белой розы.</x:v>
      </x:c>
      <x:c r="O4021" s="30" t="str">
        <x:v>Исправлено: официальный критерий ошибочно называет Генриха VII; исторически верен Генрих VI.</x:v>
      </x:c>
      <x:c r="P4021" s="30" t="str">
        <x:v>Модель сопоставлена с обязательными элементами официального критерия и историческими фактами.</x:v>
      </x:c>
      <x:c r="Q4021" s="30"/>
      <x:c r="R4021" s="30" t="str">
        <x:v>Zadanie_IS11_25112025.pdf; Kriterii_IS11_25112025.pdf</x:v>
      </x:c>
      <x:c r="S4021" s="30"/>
      <x:c r="T4021" s="30"/>
      <x:c r="U4021" s="30" t="str">
        <x:v>Официальный критерий ошибочно называет Генриха VII; принят исторически верный Генрих VI.</x:v>
      </x:c>
      <x:c r="V4021" s="87" t="str">
        <x:v>KEY_MISMATCH</x:v>
      </x:c>
      <x:c r="W4021" s="87" t="str">
        <x:v>Zadanie_IS11_25112025.pdf, вариантная стр. 13 (физическая стр. 26)</x:v>
      </x:c>
      <x:c r="X4021" s="87"/>
      <x:c r="Y4021" s="87"/>
      <x:c r="Z4021" s="87"/>
      <x:c r="AA4021" s="87"/>
      <x:c r="AB4021" s="87"/>
      <x:c r="AC4021" s="87" t="str">
        <x:v>VIS-HIST-NOV-024</x:v>
      </x:c>
      <x:c r="AD4021" s="87"/>
      <x:c r="AE4021" s="87"/>
      <x:c r="AF4021" s="87" t="str">
        <x:v>VIS-HIST-NOV-024: 26</x:v>
      </x:c>
      <x:c r="AG4021" s="87" t="str">
        <x:v>RESOLVED</x:v>
      </x:c>
      <x:c r="AH4021" s="87" t="str">
        <x:v>CROP_VERIFIED</x:v>
      </x:c>
      <x:c r="AI4021" s="30"/>
      <x:c r="AJ4021" s="87" t="str">
        <x:v>master</x:v>
      </x:c>
      <x:c r="AK4021" s="87" t="str">
        <x:v>master-v0.81</x:v>
      </x:c>
      <x:c r="AL4021" s="87" t="str">
        <x:v>statgrad_master_base_v0_81_final(2).xlsx</x:v>
      </x:c>
      <x:c r="AM4021" s="87" t="str">
        <x:v>HIST_Nov_V2</x:v>
      </x:c>
      <x:c r="AN4021" s="87" t="n">
        <x:v>22</x:v>
      </x:c>
    </x:row>
    <x:row r="4022">
      <x:c r="A4022" s="87" t="n">
        <x:v>4021</x:v>
      </x:c>
      <x:c r="B4022" s="87" t="str">
        <x:v>NOV-HIST-V3-001</x:v>
      </x:c>
      <x:c r="C4022" s="87" t="str">
        <x:v>СтатГрад</x:v>
      </x:c>
      <x:c r="D4022" s="87" t="str">
        <x:v>Ноябрь 2025</x:v>
      </x:c>
      <x:c r="E4022" s="87"/>
      <x:c r="F4022" s="87"/>
      <x:c r="G4022" s="87" t="str">
        <x:v>История</x:v>
      </x:c>
      <x:c r="H4022" s="87" t="n">
        <x:v>11</x:v>
      </x:c>
      <x:c r="I4022" s="87" t="str">
        <x:v>ТР №2</x:v>
      </x:c>
      <x:c r="J4022" s="87" t="str">
        <x:v>ИС2510203</x:v>
      </x:c>
      <x:c r="K4022" s="87" t="n">
        <x:v>1</x:v>
      </x:c>
      <x:c r="L4022" s="87" t="str">
        <x:v>Соответствие событий и дат</x:v>
      </x:c>
      <x:c r="M4022" s="30" t="str">
        <x:v>Соотнести учреждение Сената, вступление СССР в Лигу Наций, Тверское восстание и взятие Кёнигсберга с годами.</x:v>
      </x:c>
      <x:c r="N4022" s="30" t="str">
        <x:v>3416</x:v>
      </x:c>
      <x:c r="O4022" s="30" t="str">
        <x:v>1711; 1934; 1327; 1945.</x:v>
      </x:c>
      <x:c r="P4022" s="30" t="str">
        <x:v>1711; 1934; 1327; 1945.</x:v>
      </x:c>
      <x:c r="Q4022" s="30"/>
      <x:c r="R4022" s="30" t="str">
        <x:v>Zadanie_IS11_25112025_.pdf; Kriterii_IS11_25112025_.pdf</x:v>
      </x:c>
      <x:c r="S4022" s="30"/>
      <x:c r="T4022" s="30"/>
      <x:c r="U4022" s="30" t="str">
        <x:v>Расхождений не обнаружено.</x:v>
      </x:c>
      <x:c r="V4022" s="87" t="str">
        <x:v>VERIFIED</x:v>
      </x:c>
      <x:c r="W4022" s="87" t="str">
        <x:v>Zadanie_IS11_25112025_.pdf, вариантная стр. 2 (физическая стр. 2)</x:v>
      </x:c>
      <x:c r="X4022" s="87"/>
      <x:c r="Y4022" s="87"/>
      <x:c r="Z4022" s="87"/>
      <x:c r="AA4022" s="87"/>
      <x:c r="AB4022" s="87"/>
      <x:c r="AC4022" s="87" t="str">
        <x:v>VIS-HIST-NOV-025</x:v>
      </x:c>
      <x:c r="AD4022" s="87"/>
      <x:c r="AE4022" s="87"/>
      <x:c r="AF4022" s="87" t="str">
        <x:v>VIS-HIST-NOV-025: 2</x:v>
      </x:c>
      <x:c r="AG4022" s="87" t="str">
        <x:v>RESOLVED</x:v>
      </x:c>
      <x:c r="AH4022" s="87" t="str">
        <x:v>CROP_VERIFIED</x:v>
      </x:c>
      <x:c r="AI4022" s="30"/>
      <x:c r="AJ4022" s="87" t="str">
        <x:v>master</x:v>
      </x:c>
      <x:c r="AK4022" s="87" t="str">
        <x:v>master-v0.81</x:v>
      </x:c>
      <x:c r="AL4022" s="87" t="str">
        <x:v>statgrad_master_base_v0_81_final(2).xlsx</x:v>
      </x:c>
      <x:c r="AM4022" s="87" t="str">
        <x:v>HIST_Nov_V3</x:v>
      </x:c>
      <x:c r="AN4022" s="87" t="n">
        <x:v>2</x:v>
      </x:c>
    </x:row>
    <x:row r="4023">
      <x:c r="A4023" s="87" t="n">
        <x:v>4022</x:v>
      </x:c>
      <x:c r="B4023" s="87" t="str">
        <x:v>NOV-HIST-V3-002</x:v>
      </x:c>
      <x:c r="C4023" s="87" t="str">
        <x:v>СтатГрад</x:v>
      </x:c>
      <x:c r="D4023" s="87" t="str">
        <x:v>Ноябрь 2025</x:v>
      </x:c>
      <x:c r="E4023" s="87"/>
      <x:c r="F4023" s="87"/>
      <x:c r="G4023" s="87" t="str">
        <x:v>История</x:v>
      </x:c>
      <x:c r="H4023" s="87" t="n">
        <x:v>11</x:v>
      </x:c>
      <x:c r="I4023" s="87" t="str">
        <x:v>ТР №2</x:v>
      </x:c>
      <x:c r="J4023" s="87" t="str">
        <x:v>ИС2510203</x:v>
      </x:c>
      <x:c r="K4023" s="87" t="n">
        <x:v>2</x:v>
      </x:c>
      <x:c r="L4023" s="87" t="str">
        <x:v>Хронология</x:v>
      </x:c>
      <x:c r="M4023" s="30" t="str">
        <x:v>Расположить основание Москвы, начало Реформации в Германии и принятие Соборного уложения.</x:v>
      </x:c>
      <x:c r="N4023" s="30" t="str">
        <x:v>312</x:v>
      </x:c>
      <x:c r="O4023" s="30" t="str">
        <x:v>1147 → 1517 → 1649.</x:v>
      </x:c>
      <x:c r="P4023" s="30" t="str">
        <x:v>1147 → 1517 → 1649.</x:v>
      </x:c>
      <x:c r="Q4023" s="30"/>
      <x:c r="R4023" s="30" t="str">
        <x:v>Zadanie_IS11_25112025_.pdf; Kriterii_IS11_25112025_.pdf</x:v>
      </x:c>
      <x:c r="S4023" s="30"/>
      <x:c r="T4023" s="30"/>
      <x:c r="U4023" s="30" t="str">
        <x:v>Расхождений не обнаружено.</x:v>
      </x:c>
      <x:c r="V4023" s="87" t="str">
        <x:v>VERIFIED</x:v>
      </x:c>
      <x:c r="W4023" s="87" t="str">
        <x:v>Zadanie_IS11_25112025_.pdf, вариантная стр. 2 (физическая стр. 2)</x:v>
      </x:c>
      <x:c r="X4023" s="87"/>
      <x:c r="Y4023" s="87"/>
      <x:c r="Z4023" s="87"/>
      <x:c r="AA4023" s="87"/>
      <x:c r="AB4023" s="87"/>
      <x:c r="AC4023" s="87" t="str">
        <x:v>VIS-HIST-NOV-025</x:v>
      </x:c>
      <x:c r="AD4023" s="87"/>
      <x:c r="AE4023" s="87"/>
      <x:c r="AF4023" s="87" t="str">
        <x:v>VIS-HIST-NOV-025: 2</x:v>
      </x:c>
      <x:c r="AG4023" s="87" t="str">
        <x:v>RESOLVED</x:v>
      </x:c>
      <x:c r="AH4023" s="87" t="str">
        <x:v>CROP_VERIFIED</x:v>
      </x:c>
      <x:c r="AI4023" s="30"/>
      <x:c r="AJ4023" s="87" t="str">
        <x:v>master</x:v>
      </x:c>
      <x:c r="AK4023" s="87" t="str">
        <x:v>master-v0.81</x:v>
      </x:c>
      <x:c r="AL4023" s="87" t="str">
        <x:v>statgrad_master_base_v0_81_final(2).xlsx</x:v>
      </x:c>
      <x:c r="AM4023" s="87" t="str">
        <x:v>HIST_Nov_V3</x:v>
      </x:c>
      <x:c r="AN4023" s="87" t="n">
        <x:v>3</x:v>
      </x:c>
    </x:row>
    <x:row r="4024">
      <x:c r="A4024" s="87" t="n">
        <x:v>4023</x:v>
      </x:c>
      <x:c r="B4024" s="87" t="str">
        <x:v>NOV-HIST-V3-003</x:v>
      </x:c>
      <x:c r="C4024" s="87" t="str">
        <x:v>СтатГрад</x:v>
      </x:c>
      <x:c r="D4024" s="87" t="str">
        <x:v>Ноябрь 2025</x:v>
      </x:c>
      <x:c r="E4024" s="87"/>
      <x:c r="F4024" s="87"/>
      <x:c r="G4024" s="87" t="str">
        <x:v>История</x:v>
      </x:c>
      <x:c r="H4024" s="87" t="n">
        <x:v>11</x:v>
      </x:c>
      <x:c r="I4024" s="87" t="str">
        <x:v>ТР №2</x:v>
      </x:c>
      <x:c r="J4024" s="87" t="str">
        <x:v>ИС2510203</x:v>
      </x:c>
      <x:c r="K4024" s="87" t="n">
        <x:v>3</x:v>
      </x:c>
      <x:c r="L4024" s="87" t="str">
        <x:v>Соответствие процессов и фактов</x:v>
      </x:c>
      <x:c r="M4024" s="30" t="str">
        <x:v>Соотнести абсолютизм, правление Дмитрия Донского, деятельность Избранной рады и Большой террор с фактами.</x:v>
      </x:c>
      <x:c r="N4024" s="30" t="str">
        <x:v>4126</x:v>
      </x:c>
      <x:c r="O4024" s="30" t="str">
        <x:v>Указ о престолонаследии 1722 г.; белокаменный Кремль; первый Земский собор; дело Тухачевского.</x:v>
      </x:c>
      <x:c r="P4024" s="30" t="str">
        <x:v>Указ о престолонаследии 1722 г.; белокаменный Кремль; первый Земский собор; дело Тухачевского.</x:v>
      </x:c>
      <x:c r="Q4024" s="30"/>
      <x:c r="R4024" s="30" t="str">
        <x:v>Zadanie_IS11_25112025_.pdf; Kriterii_IS11_25112025_.pdf</x:v>
      </x:c>
      <x:c r="S4024" s="30"/>
      <x:c r="T4024" s="30"/>
      <x:c r="U4024" s="30" t="str">
        <x:v>Расхождений не обнаружено.</x:v>
      </x:c>
      <x:c r="V4024" s="87" t="str">
        <x:v>VERIFIED</x:v>
      </x:c>
      <x:c r="W4024" s="87" t="str">
        <x:v>Zadanie_IS11_25112025_.pdf, вариантная стр. 3 (физическая стр. 3)</x:v>
      </x:c>
      <x:c r="X4024" s="87"/>
      <x:c r="Y4024" s="87"/>
      <x:c r="Z4024" s="87"/>
      <x:c r="AA4024" s="87"/>
      <x:c r="AB4024" s="87"/>
      <x:c r="AC4024" s="87" t="str">
        <x:v>VIS-HIST-NOV-026</x:v>
      </x:c>
      <x:c r="AD4024" s="87"/>
      <x:c r="AE4024" s="87"/>
      <x:c r="AF4024" s="87" t="str">
        <x:v>VIS-HIST-NOV-026: 3</x:v>
      </x:c>
      <x:c r="AG4024" s="87" t="str">
        <x:v>RESOLVED</x:v>
      </x:c>
      <x:c r="AH4024" s="87" t="str">
        <x:v>CROP_VERIFIED</x:v>
      </x:c>
      <x:c r="AI4024" s="30"/>
      <x:c r="AJ4024" s="87" t="str">
        <x:v>master</x:v>
      </x:c>
      <x:c r="AK4024" s="87" t="str">
        <x:v>master-v0.81</x:v>
      </x:c>
      <x:c r="AL4024" s="87" t="str">
        <x:v>statgrad_master_base_v0_81_final(2).xlsx</x:v>
      </x:c>
      <x:c r="AM4024" s="87" t="str">
        <x:v>HIST_Nov_V3</x:v>
      </x:c>
      <x:c r="AN4024" s="87" t="n">
        <x:v>4</x:v>
      </x:c>
    </x:row>
    <x:row r="4025">
      <x:c r="A4025" s="87" t="n">
        <x:v>4024</x:v>
      </x:c>
      <x:c r="B4025" s="87" t="str">
        <x:v>NOV-HIST-V3-004</x:v>
      </x:c>
      <x:c r="C4025" s="87" t="str">
        <x:v>СтатГрад</x:v>
      </x:c>
      <x:c r="D4025" s="87" t="str">
        <x:v>Ноябрь 2025</x:v>
      </x:c>
      <x:c r="E4025" s="87"/>
      <x:c r="F4025" s="87"/>
      <x:c r="G4025" s="87" t="str">
        <x:v>История</x:v>
      </x:c>
      <x:c r="H4025" s="87" t="n">
        <x:v>11</x:v>
      </x:c>
      <x:c r="I4025" s="87" t="str">
        <x:v>ТР №2</x:v>
      </x:c>
      <x:c r="J4025" s="87" t="str">
        <x:v>ИС2510203</x:v>
      </x:c>
      <x:c r="K4025" s="87" t="n">
        <x:v>4</x:v>
      </x:c>
      <x:c r="L4025" s="87" t="str">
        <x:v>Таблица: место, событие, период</x:v>
      </x:c>
      <x:c r="M4025" s="30" t="str">
        <x:v>Заполнить таблицу о Ленинграде, событиях 1930-х гг., Смоленском сражении 1812 г., казни Пугачёва и Поляновском мире.</x:v>
      </x:c>
      <x:c r="N4025" s="30" t="str">
        <x:v>214758</x:v>
      </x:c>
      <x:c r="O4025" s="30" t="str">
        <x:v>Ленинград — 1940-е; индустриализация — 1930-е; Смоленск — 1812; казнь Пугачёва — 1770-е; Поляновка; мир с Речью Посполитой.</x:v>
      </x:c>
      <x:c r="P4025" s="30" t="str">
        <x:v>Ленинград — 1940-е; индустриализация — 1930-е; Смоленск — 1812; казнь Пугачёва — 1770-е; Поляновка; мир с Речью Посполитой.</x:v>
      </x:c>
      <x:c r="Q4025" s="30"/>
      <x:c r="R4025" s="30" t="str">
        <x:v>Zadanie_IS11_25112025_.pdf; Kriterii_IS11_25112025_.pdf</x:v>
      </x:c>
      <x:c r="S4025" s="30"/>
      <x:c r="T4025" s="30"/>
      <x:c r="U4025" s="30" t="str">
        <x:v>Расхождений не обнаружено.</x:v>
      </x:c>
      <x:c r="V4025" s="87" t="str">
        <x:v>VERIFIED</x:v>
      </x:c>
      <x:c r="W4025" s="87" t="str">
        <x:v>Zadanie_IS11_25112025_.pdf, вариантные стр. 3 и 4 (физические стр. 3 и 4)</x:v>
      </x:c>
      <x:c r="X4025" s="87"/>
      <x:c r="Y4025" s="87"/>
      <x:c r="Z4025" s="87"/>
      <x:c r="AA4025" s="87"/>
      <x:c r="AB4025" s="87"/>
      <x:c r="AC4025" s="87" t="str">
        <x:v>VIS-HIST-NOV-026; VIS-HIST-NOV-027</x:v>
      </x:c>
      <x:c r="AD4025" s="87"/>
      <x:c r="AE4025" s="87"/>
      <x:c r="AF4025" s="87" t="str">
        <x:v>VIS-HIST-NOV-026: 3; VIS-HIST-NOV-027: 4</x:v>
      </x:c>
      <x:c r="AG4025" s="87" t="str">
        <x:v>RESOLVED</x:v>
      </x:c>
      <x:c r="AH4025" s="87" t="str">
        <x:v>CROP_VERIFIED</x:v>
      </x:c>
      <x:c r="AI4025" s="30"/>
      <x:c r="AJ4025" s="87" t="str">
        <x:v>master</x:v>
      </x:c>
      <x:c r="AK4025" s="87" t="str">
        <x:v>master-v0.81</x:v>
      </x:c>
      <x:c r="AL4025" s="87" t="str">
        <x:v>statgrad_master_base_v0_81_final(2).xlsx</x:v>
      </x:c>
      <x:c r="AM4025" s="87" t="str">
        <x:v>HIST_Nov_V3</x:v>
      </x:c>
      <x:c r="AN4025" s="87" t="n">
        <x:v>5</x:v>
      </x:c>
    </x:row>
    <x:row r="4026">
      <x:c r="A4026" s="87" t="n">
        <x:v>4025</x:v>
      </x:c>
      <x:c r="B4026" s="87" t="str">
        <x:v>NOV-HIST-V3-005</x:v>
      </x:c>
      <x:c r="C4026" s="87" t="str">
        <x:v>СтатГрад</x:v>
      </x:c>
      <x:c r="D4026" s="87" t="str">
        <x:v>Ноябрь 2025</x:v>
      </x:c>
      <x:c r="E4026" s="87"/>
      <x:c r="F4026" s="87"/>
      <x:c r="G4026" s="87" t="str">
        <x:v>История</x:v>
      </x:c>
      <x:c r="H4026" s="87" t="n">
        <x:v>11</x:v>
      </x:c>
      <x:c r="I4026" s="87" t="str">
        <x:v>ТР №2</x:v>
      </x:c>
      <x:c r="J4026" s="87" t="str">
        <x:v>ИС2510203</x:v>
      </x:c>
      <x:c r="K4026" s="87" t="n">
        <x:v>5</x:v>
      </x:c>
      <x:c r="L4026" s="87" t="str">
        <x:v>События и участники</x:v>
      </x:c>
      <x:c r="M4026" s="30" t="str">
        <x:v>Соотнести издание Свода законов, присоединение Нижнего Новгорода, битву за Москву и учреждение патриаршества с участниками.</x:v>
      </x:c>
      <x:c r="N4026" s="30" t="str">
        <x:v>1542</x:v>
      </x:c>
      <x:c r="O4026" s="30" t="str">
        <x:v>Сперанский; Василий I; Рокоссовский; Борис Годунов.</x:v>
      </x:c>
      <x:c r="P4026" s="30" t="str">
        <x:v>Сперанский; Василий I; Рокоссовский; Борис Годунов.</x:v>
      </x:c>
      <x:c r="Q4026" s="30"/>
      <x:c r="R4026" s="30" t="str">
        <x:v>Zadanie_IS11_25112025_.pdf; Kriterii_IS11_25112025_.pdf</x:v>
      </x:c>
      <x:c r="S4026" s="30"/>
      <x:c r="T4026" s="30"/>
      <x:c r="U4026" s="30" t="str">
        <x:v>Расхождений не обнаружено.</x:v>
      </x:c>
      <x:c r="V4026" s="87" t="str">
        <x:v>VERIFIED</x:v>
      </x:c>
      <x:c r="W4026" s="87" t="str">
        <x:v>Zadanie_IS11_25112025_.pdf, вариантная стр. 4 (физическая стр. 4)</x:v>
      </x:c>
      <x:c r="X4026" s="87"/>
      <x:c r="Y4026" s="87"/>
      <x:c r="Z4026" s="87"/>
      <x:c r="AA4026" s="87"/>
      <x:c r="AB4026" s="87"/>
      <x:c r="AC4026" s="87" t="str">
        <x:v>VIS-HIST-NOV-027</x:v>
      </x:c>
      <x:c r="AD4026" s="87"/>
      <x:c r="AE4026" s="87"/>
      <x:c r="AF4026" s="87" t="str">
        <x:v>VIS-HIST-NOV-027: 4</x:v>
      </x:c>
      <x:c r="AG4026" s="87" t="str">
        <x:v>RESOLVED</x:v>
      </x:c>
      <x:c r="AH4026" s="87" t="str">
        <x:v>CROP_VERIFIED</x:v>
      </x:c>
      <x:c r="AI4026" s="30"/>
      <x:c r="AJ4026" s="87" t="str">
        <x:v>master</x:v>
      </x:c>
      <x:c r="AK4026" s="87" t="str">
        <x:v>master-v0.81</x:v>
      </x:c>
      <x:c r="AL4026" s="87" t="str">
        <x:v>statgrad_master_base_v0_81_final(2).xlsx</x:v>
      </x:c>
      <x:c r="AM4026" s="87" t="str">
        <x:v>HIST_Nov_V3</x:v>
      </x:c>
      <x:c r="AN4026" s="87" t="n">
        <x:v>6</x:v>
      </x:c>
    </x:row>
    <x:row r="4027">
      <x:c r="A4027" s="87" t="n">
        <x:v>4026</x:v>
      </x:c>
      <x:c r="B4027" s="87" t="str">
        <x:v>NOV-HIST-V3-006</x:v>
      </x:c>
      <x:c r="C4027" s="87" t="str">
        <x:v>СтатГрад</x:v>
      </x:c>
      <x:c r="D4027" s="87" t="str">
        <x:v>Ноябрь 2025</x:v>
      </x:c>
      <x:c r="E4027" s="87"/>
      <x:c r="F4027" s="87"/>
      <x:c r="G4027" s="87" t="str">
        <x:v>История</x:v>
      </x:c>
      <x:c r="H4027" s="87" t="n">
        <x:v>11</x:v>
      </x:c>
      <x:c r="I4027" s="87" t="str">
        <x:v>ТР №2</x:v>
      </x:c>
      <x:c r="J4027" s="87" t="str">
        <x:v>ИС2510203</x:v>
      </x:c>
      <x:c r="K4027" s="87" t="n">
        <x:v>6</x:v>
      </x:c>
      <x:c r="L4027" s="87" t="str">
        <x:v>Анализ письменного источника</x:v>
      </x:c>
      <x:c r="M4027" s="30" t="str">
        <x:v>По мемуарам Л. Ф. Сегюра выбрать верные суждения о Екатерине II и международной ситуации.</x:v>
      </x:c>
      <x:c r="N4027" s="30" t="str">
        <x:v>1456</x:v>
      </x:c>
      <x:c r="O4027" s="30" t="str">
        <x:v>Верны суждения 1, 4, 5 и 6.</x:v>
      </x:c>
      <x:c r="P4027" s="30" t="str">
        <x:v>Верны суждения 1, 4, 5 и 6.</x:v>
      </x:c>
      <x:c r="Q4027" s="30"/>
      <x:c r="R4027" s="30" t="str">
        <x:v>Zadanie_IS11_25112025_.pdf; Kriterii_IS11_25112025_.pdf</x:v>
      </x:c>
      <x:c r="S4027" s="30"/>
      <x:c r="T4027" s="30"/>
      <x:c r="U4027" s="30" t="str">
        <x:v>Расхождений не обнаружено.</x:v>
      </x:c>
      <x:c r="V4027" s="87" t="str">
        <x:v>VERIFIED</x:v>
      </x:c>
      <x:c r="W4027" s="87" t="str">
        <x:v>Zadanie_IS11_25112025_.pdf, вариантная стр. 5 (физическая стр. 5)</x:v>
      </x:c>
      <x:c r="X4027" s="87"/>
      <x:c r="Y4027" s="87"/>
      <x:c r="Z4027" s="87"/>
      <x:c r="AA4027" s="87"/>
      <x:c r="AB4027" s="87"/>
      <x:c r="AC4027" s="87" t="str">
        <x:v>VIS-HIST-NOV-028</x:v>
      </x:c>
      <x:c r="AD4027" s="87"/>
      <x:c r="AE4027" s="87"/>
      <x:c r="AF4027" s="87" t="str">
        <x:v>VIS-HIST-NOV-028: 5</x:v>
      </x:c>
      <x:c r="AG4027" s="87" t="str">
        <x:v>RESOLVED</x:v>
      </x:c>
      <x:c r="AH4027" s="87" t="str">
        <x:v>CROP_VERIFIED</x:v>
      </x:c>
      <x:c r="AI4027" s="30"/>
      <x:c r="AJ4027" s="87" t="str">
        <x:v>master</x:v>
      </x:c>
      <x:c r="AK4027" s="87" t="str">
        <x:v>master-v0.81</x:v>
      </x:c>
      <x:c r="AL4027" s="87" t="str">
        <x:v>statgrad_master_base_v0_81_final(2).xlsx</x:v>
      </x:c>
      <x:c r="AM4027" s="87" t="str">
        <x:v>HIST_Nov_V3</x:v>
      </x:c>
      <x:c r="AN4027" s="87" t="n">
        <x:v>7</x:v>
      </x:c>
    </x:row>
    <x:row r="4028">
      <x:c r="A4028" s="87" t="n">
        <x:v>4027</x:v>
      </x:c>
      <x:c r="B4028" s="87" t="str">
        <x:v>NOV-HIST-V3-007</x:v>
      </x:c>
      <x:c r="C4028" s="87" t="str">
        <x:v>СтатГрад</x:v>
      </x:c>
      <x:c r="D4028" s="87" t="str">
        <x:v>Ноябрь 2025</x:v>
      </x:c>
      <x:c r="E4028" s="87"/>
      <x:c r="F4028" s="87"/>
      <x:c r="G4028" s="87" t="str">
        <x:v>История</x:v>
      </x:c>
      <x:c r="H4028" s="87" t="n">
        <x:v>11</x:v>
      </x:c>
      <x:c r="I4028" s="87" t="str">
        <x:v>ТР №2</x:v>
      </x:c>
      <x:c r="J4028" s="87" t="str">
        <x:v>ИС2510203</x:v>
      </x:c>
      <x:c r="K4028" s="87" t="n">
        <x:v>7</x:v>
      </x:c>
      <x:c r="L4028" s="87" t="str">
        <x:v>Памятники культуры</x:v>
      </x:c>
      <x:c r="M4028" s="30" t="str">
        <x:v>Соотнести «Домострой», икону «Троица», Ярославский вокзал и Ленинградскую симфонию с деятелями.</x:v>
      </x:c>
      <x:c r="N4028" s="30" t="str">
        <x:v>3214</x:v>
      </x:c>
      <x:c r="O4028" s="30" t="str">
        <x:v>Сильвестр; Андрей Рублёв; Фёдор Шехтель; Дмитрий Шостакович.</x:v>
      </x:c>
      <x:c r="P4028" s="30" t="str">
        <x:v>Сильвестр; Андрей Рублёв; Фёдор Шехтель; Дмитрий Шостакович.</x:v>
      </x:c>
      <x:c r="Q4028" s="30"/>
      <x:c r="R4028" s="30" t="str">
        <x:v>Zadanie_IS11_25112025_.pdf; Kriterii_IS11_25112025_.pdf</x:v>
      </x:c>
      <x:c r="S4028" s="30"/>
      <x:c r="T4028" s="30"/>
      <x:c r="U4028" s="30" t="str">
        <x:v>Расхождений не обнаружено.</x:v>
      </x:c>
      <x:c r="V4028" s="87" t="str">
        <x:v>VERIFIED</x:v>
      </x:c>
      <x:c r="W4028" s="87" t="str">
        <x:v>Zadanie_IS11_25112025_.pdf, вариантная стр. 6 (физическая стр. 6)</x:v>
      </x:c>
      <x:c r="X4028" s="87"/>
      <x:c r="Y4028" s="87"/>
      <x:c r="Z4028" s="87"/>
      <x:c r="AA4028" s="87"/>
      <x:c r="AB4028" s="87"/>
      <x:c r="AC4028" s="87" t="str">
        <x:v>VIS-HIST-NOV-029</x:v>
      </x:c>
      <x:c r="AD4028" s="87"/>
      <x:c r="AE4028" s="87"/>
      <x:c r="AF4028" s="87" t="str">
        <x:v>VIS-HIST-NOV-029: 6</x:v>
      </x:c>
      <x:c r="AG4028" s="87" t="str">
        <x:v>RESOLVED</x:v>
      </x:c>
      <x:c r="AH4028" s="87" t="str">
        <x:v>CROP_VERIFIED</x:v>
      </x:c>
      <x:c r="AI4028" s="30"/>
      <x:c r="AJ4028" s="87" t="str">
        <x:v>master</x:v>
      </x:c>
      <x:c r="AK4028" s="87" t="str">
        <x:v>master-v0.81</x:v>
      </x:c>
      <x:c r="AL4028" s="87" t="str">
        <x:v>statgrad_master_base_v0_81_final(2).xlsx</x:v>
      </x:c>
      <x:c r="AM4028" s="87" t="str">
        <x:v>HIST_Nov_V3</x:v>
      </x:c>
      <x:c r="AN4028" s="87" t="n">
        <x:v>8</x:v>
      </x:c>
    </x:row>
    <x:row r="4029">
      <x:c r="A4029" s="87" t="n">
        <x:v>4028</x:v>
      </x:c>
      <x:c r="B4029" s="87" t="str">
        <x:v>NOV-HIST-V3-008</x:v>
      </x:c>
      <x:c r="C4029" s="87" t="str">
        <x:v>СтатГрад</x:v>
      </x:c>
      <x:c r="D4029" s="87" t="str">
        <x:v>Ноябрь 2025</x:v>
      </x:c>
      <x:c r="E4029" s="87"/>
      <x:c r="F4029" s="87"/>
      <x:c r="G4029" s="87" t="str">
        <x:v>История</x:v>
      </x:c>
      <x:c r="H4029" s="87" t="n">
        <x:v>11</x:v>
      </x:c>
      <x:c r="I4029" s="87" t="str">
        <x:v>ТР №2</x:v>
      </x:c>
      <x:c r="J4029" s="87" t="str">
        <x:v>ИС2510203</x:v>
      </x:c>
      <x:c r="K4029" s="87" t="n">
        <x:v>8</x:v>
      </x:c>
      <x:c r="L4029" s="87" t="str">
        <x:v>Изображение / марка</x:v>
      </x:c>
      <x:c r="M4029" s="30" t="str">
        <x:v>По открытке с Героем Советского Союза определить год подвига.</x:v>
      </x:c>
      <x:c r="N4029" s="30" t="str">
        <x:v>сорок первом</x:v>
      </x:c>
      <x:c r="O4029" s="30" t="str">
        <x:v>На открытке В. Талалихин; ночной воздушный таран совершен в 1941 г.</x:v>
      </x:c>
      <x:c r="P4029" s="30" t="str">
        <x:v>На открытке В. Талалихин; ночной воздушный таран совершен в 1941 г.</x:v>
      </x:c>
      <x:c r="Q4029" s="30"/>
      <x:c r="R4029" s="30" t="str">
        <x:v>Zadanie_IS11_25112025_.pdf; Kriterii_IS11_25112025_.pdf</x:v>
      </x:c>
      <x:c r="S4029" s="30"/>
      <x:c r="T4029" s="30"/>
      <x:c r="U4029" s="30" t="str">
        <x:v>Расхождений не обнаружено.</x:v>
      </x:c>
      <x:c r="V4029" s="87" t="str">
        <x:v>VERIFIED</x:v>
      </x:c>
      <x:c r="W4029" s="87" t="str">
        <x:v>Zadanie_IS11_25112025_.pdf, вариантная стр. 6 (физическая стр. 6)</x:v>
      </x:c>
      <x:c r="X4029" s="87"/>
      <x:c r="Y4029" s="87"/>
      <x:c r="Z4029" s="87"/>
      <x:c r="AA4029" s="87"/>
      <x:c r="AB4029" s="87"/>
      <x:c r="AC4029" s="87" t="str">
        <x:v>VIS-HIST-NOV-029</x:v>
      </x:c>
      <x:c r="AD4029" s="87"/>
      <x:c r="AE4029" s="87"/>
      <x:c r="AF4029" s="87" t="str">
        <x:v>VIS-HIST-NOV-029: 6</x:v>
      </x:c>
      <x:c r="AG4029" s="87" t="str">
        <x:v>RESOLVED</x:v>
      </x:c>
      <x:c r="AH4029" s="87" t="str">
        <x:v>CROP_VERIFIED</x:v>
      </x:c>
      <x:c r="AI4029" s="30"/>
      <x:c r="AJ4029" s="87" t="str">
        <x:v>master</x:v>
      </x:c>
      <x:c r="AK4029" s="87" t="str">
        <x:v>master-v0.81</x:v>
      </x:c>
      <x:c r="AL4029" s="87" t="str">
        <x:v>statgrad_master_base_v0_81_final(2).xlsx</x:v>
      </x:c>
      <x:c r="AM4029" s="87" t="str">
        <x:v>HIST_Nov_V3</x:v>
      </x:c>
      <x:c r="AN4029" s="87" t="n">
        <x:v>9</x:v>
      </x:c>
    </x:row>
    <x:row r="4030">
      <x:c r="A4030" s="87" t="n">
        <x:v>4029</x:v>
      </x:c>
      <x:c r="B4030" s="87" t="str">
        <x:v>NOV-HIST-V3-009</x:v>
      </x:c>
      <x:c r="C4030" s="87" t="str">
        <x:v>СтатГрад</x:v>
      </x:c>
      <x:c r="D4030" s="87" t="str">
        <x:v>Ноябрь 2025</x:v>
      </x:c>
      <x:c r="E4030" s="87"/>
      <x:c r="F4030" s="87"/>
      <x:c r="G4030" s="87" t="str">
        <x:v>История</x:v>
      </x:c>
      <x:c r="H4030" s="87" t="n">
        <x:v>11</x:v>
      </x:c>
      <x:c r="I4030" s="87" t="str">
        <x:v>ТР №2</x:v>
      </x:c>
      <x:c r="J4030" s="87" t="str">
        <x:v>ИС2510203</x:v>
      </x:c>
      <x:c r="K4030" s="87" t="n">
        <x:v>9</x:v>
      </x:c>
      <x:c r="L4030" s="87" t="str">
        <x:v>Историческая карта</x:v>
      </x:c>
      <x:c r="M4030" s="30" t="str">
        <x:v>Указать век военных действий на схеме русско-польской войны.</x:v>
      </x:c>
      <x:c r="N4030" s="30" t="str">
        <x:v>семнадцатый</x:v>
      </x:c>
      <x:c r="O4030" s="30" t="str">
        <x:v>Схема отражает события XVII в.</x:v>
      </x:c>
      <x:c r="P4030" s="30" t="str">
        <x:v>Схема отражает события XVII в.</x:v>
      </x:c>
      <x:c r="Q4030" s="30"/>
      <x:c r="R4030" s="30" t="str">
        <x:v>Zadanie_IS11_25112025_.pdf; Kriterii_IS11_25112025_.pdf</x:v>
      </x:c>
      <x:c r="S4030" s="30"/>
      <x:c r="T4030" s="30"/>
      <x:c r="U4030" s="30" t="str">
        <x:v>Расхождений не обнаружено.</x:v>
      </x:c>
      <x:c r="V4030" s="87" t="str">
        <x:v>VERIFIED</x:v>
      </x:c>
      <x:c r="W4030" s="87" t="str">
        <x:v>Zadanie_IS11_25112025_.pdf, вариантная стр. 7 (физическая стр. 7)</x:v>
      </x:c>
      <x:c r="X4030" s="87"/>
      <x:c r="Y4030" s="87"/>
      <x:c r="Z4030" s="87"/>
      <x:c r="AA4030" s="87"/>
      <x:c r="AB4030" s="87"/>
      <x:c r="AC4030" s="87" t="str">
        <x:v>VIS-HIST-NOV-030</x:v>
      </x:c>
      <x:c r="AD4030" s="87"/>
      <x:c r="AE4030" s="87"/>
      <x:c r="AF4030" s="87" t="str">
        <x:v>VIS-HIST-NOV-030: 7</x:v>
      </x:c>
      <x:c r="AG4030" s="87" t="str">
        <x:v>RESOLVED</x:v>
      </x:c>
      <x:c r="AH4030" s="87" t="str">
        <x:v>CROP_VERIFIED; TASK_CROP_QA_APPROVED:MANUAL_BBOX</x:v>
      </x:c>
      <x:c r="AI4030" s="30"/>
      <x:c r="AJ4030" s="87" t="str">
        <x:v>master</x:v>
      </x:c>
      <x:c r="AK4030" s="87" t="str">
        <x:v>master-v0.81</x:v>
      </x:c>
      <x:c r="AL4030" s="87" t="str">
        <x:v>statgrad_master_base_v0_81_final(2).xlsx</x:v>
      </x:c>
      <x:c r="AM4030" s="87" t="str">
        <x:v>HIST_Nov_V3</x:v>
      </x:c>
      <x:c r="AN4030" s="87" t="n">
        <x:v>10</x:v>
      </x:c>
    </x:row>
    <x:row r="4031">
      <x:c r="A4031" s="87" t="n">
        <x:v>4030</x:v>
      </x:c>
      <x:c r="B4031" s="87" t="str">
        <x:v>NOV-HIST-V3-010</x:v>
      </x:c>
      <x:c r="C4031" s="87" t="str">
        <x:v>СтатГрад</x:v>
      </x:c>
      <x:c r="D4031" s="87" t="str">
        <x:v>Ноябрь 2025</x:v>
      </x:c>
      <x:c r="E4031" s="87"/>
      <x:c r="F4031" s="87"/>
      <x:c r="G4031" s="87" t="str">
        <x:v>История</x:v>
      </x:c>
      <x:c r="H4031" s="87" t="n">
        <x:v>11</x:v>
      </x:c>
      <x:c r="I4031" s="87" t="str">
        <x:v>ТР №2</x:v>
      </x:c>
      <x:c r="J4031" s="87" t="str">
        <x:v>ИС2510203</x:v>
      </x:c>
      <x:c r="K4031" s="87" t="n">
        <x:v>10</x:v>
      </x:c>
      <x:c r="L4031" s="87" t="str">
        <x:v>Историческая карта</x:v>
      </x:c>
      <x:c r="M4031" s="30" t="str">
        <x:v>Назвать государство, обозначенное на схеме цифрой 1.</x:v>
      </x:c>
      <x:c r="N4031" s="30" t="str">
        <x:v>Речь Посполитая; Речь Посполита</x:v>
      </x:c>
      <x:c r="O4031" s="30" t="str">
        <x:v>Цифрой 1 обозначена Речь Посполитая.</x:v>
      </x:c>
      <x:c r="P4031" s="30" t="str">
        <x:v>Цифрой 1 обозначена Речь Посполитая.</x:v>
      </x:c>
      <x:c r="Q4031" s="30"/>
      <x:c r="R4031" s="30" t="str">
        <x:v>Zadanie_IS11_25112025_.pdf; Kriterii_IS11_25112025_.pdf</x:v>
      </x:c>
      <x:c r="S4031" s="30"/>
      <x:c r="T4031" s="30"/>
      <x:c r="U4031" s="30" t="str">
        <x:v>Расхождений не обнаружено.</x:v>
      </x:c>
      <x:c r="V4031" s="87" t="str">
        <x:v>VERIFIED</x:v>
      </x:c>
      <x:c r="W4031" s="87" t="str">
        <x:v>Zadanie_IS11_25112025_.pdf, вариантная стр. 7 (физическая стр. 7)</x:v>
      </x:c>
      <x:c r="X4031" s="87"/>
      <x:c r="Y4031" s="87"/>
      <x:c r="Z4031" s="87"/>
      <x:c r="AA4031" s="87"/>
      <x:c r="AB4031" s="87"/>
      <x:c r="AC4031" s="87" t="str">
        <x:v>VIS-HIST-NOV-030</x:v>
      </x:c>
      <x:c r="AD4031" s="87"/>
      <x:c r="AE4031" s="87"/>
      <x:c r="AF4031" s="87" t="str">
        <x:v>VIS-HIST-NOV-030: 7</x:v>
      </x:c>
      <x:c r="AG4031" s="87" t="str">
        <x:v>RESOLVED</x:v>
      </x:c>
      <x:c r="AH4031" s="87" t="str">
        <x:v>CROP_VERIFIED; TASK_CROP_QA_APPROVED:MANUAL_BBOX</x:v>
      </x:c>
      <x:c r="AI4031" s="30"/>
      <x:c r="AJ4031" s="87" t="str">
        <x:v>master</x:v>
      </x:c>
      <x:c r="AK4031" s="87" t="str">
        <x:v>master-v0.81</x:v>
      </x:c>
      <x:c r="AL4031" s="87" t="str">
        <x:v>statgrad_master_base_v0_81_final(2).xlsx</x:v>
      </x:c>
      <x:c r="AM4031" s="87" t="str">
        <x:v>HIST_Nov_V3</x:v>
      </x:c>
      <x:c r="AN4031" s="87" t="n">
        <x:v>11</x:v>
      </x:c>
    </x:row>
    <x:row r="4032">
      <x:c r="A4032" s="87" t="n">
        <x:v>4031</x:v>
      </x:c>
      <x:c r="B4032" s="87" t="str">
        <x:v>NOV-HIST-V3-011</x:v>
      </x:c>
      <x:c r="C4032" s="87" t="str">
        <x:v>СтатГрад</x:v>
      </x:c>
      <x:c r="D4032" s="87" t="str">
        <x:v>Ноябрь 2025</x:v>
      </x:c>
      <x:c r="E4032" s="87"/>
      <x:c r="F4032" s="87"/>
      <x:c r="G4032" s="87" t="str">
        <x:v>История</x:v>
      </x:c>
      <x:c r="H4032" s="87" t="n">
        <x:v>11</x:v>
      </x:c>
      <x:c r="I4032" s="87" t="str">
        <x:v>ТР №2</x:v>
      </x:c>
      <x:c r="J4032" s="87" t="str">
        <x:v>ИС2510203</x:v>
      </x:c>
      <x:c r="K4032" s="87" t="n">
        <x:v>11</x:v>
      </x:c>
      <x:c r="L4032" s="87" t="str">
        <x:v>Историческая карта</x:v>
      </x:c>
      <x:c r="M4032" s="30" t="str">
        <x:v>В тексте о походе Дмитрия Волконского назвать пропущенный город на Припяти.</x:v>
      </x:c>
      <x:c r="N4032" s="30" t="str">
        <x:v>Мозырь</x:v>
      </x:c>
      <x:c r="O4032" s="30" t="str">
        <x:v>По маршруту и схеме пропущен Мозырь.</x:v>
      </x:c>
      <x:c r="P4032" s="30" t="str">
        <x:v>По маршруту и схеме пропущен Мозырь.</x:v>
      </x:c>
      <x:c r="Q4032" s="30"/>
      <x:c r="R4032" s="30" t="str">
        <x:v>Zadanie_IS11_25112025_.pdf; Kriterii_IS11_25112025_.pdf</x:v>
      </x:c>
      <x:c r="S4032" s="30"/>
      <x:c r="T4032" s="30"/>
      <x:c r="U4032" s="30" t="str">
        <x:v>Расхождений не обнаружено.</x:v>
      </x:c>
      <x:c r="V4032" s="87" t="str">
        <x:v>VERIFIED</x:v>
      </x:c>
      <x:c r="W4032" s="87" t="str">
        <x:v>Zadanie_IS11_25112025_.pdf, вариантная стр. 8 (физическая стр. 8)</x:v>
      </x:c>
      <x:c r="X4032" s="87"/>
      <x:c r="Y4032" s="87"/>
      <x:c r="Z4032" s="87"/>
      <x:c r="AA4032" s="87"/>
      <x:c r="AB4032" s="87"/>
      <x:c r="AC4032" s="87" t="str">
        <x:v>VIS-HIST-NOV-031</x:v>
      </x:c>
      <x:c r="AD4032" s="87"/>
      <x:c r="AE4032" s="87"/>
      <x:c r="AF4032" s="87" t="str">
        <x:v>VIS-HIST-NOV-031: 8</x:v>
      </x:c>
      <x:c r="AG4032" s="87" t="str">
        <x:v>RESOLVED</x:v>
      </x:c>
      <x:c r="AH4032" s="87" t="str">
        <x:v>CROP_VERIFIED</x:v>
      </x:c>
      <x:c r="AI4032" s="30"/>
      <x:c r="AJ4032" s="87" t="str">
        <x:v>master</x:v>
      </x:c>
      <x:c r="AK4032" s="87" t="str">
        <x:v>master-v0.81</x:v>
      </x:c>
      <x:c r="AL4032" s="87" t="str">
        <x:v>statgrad_master_base_v0_81_final(2).xlsx</x:v>
      </x:c>
      <x:c r="AM4032" s="87" t="str">
        <x:v>HIST_Nov_V3</x:v>
      </x:c>
      <x:c r="AN4032" s="87" t="n">
        <x:v>12</x:v>
      </x:c>
    </x:row>
    <x:row r="4033">
      <x:c r="A4033" s="87" t="n">
        <x:v>4032</x:v>
      </x:c>
      <x:c r="B4033" s="87" t="str">
        <x:v>NOV-HIST-V3-012</x:v>
      </x:c>
      <x:c r="C4033" s="87" t="str">
        <x:v>СтатГрад</x:v>
      </x:c>
      <x:c r="D4033" s="87" t="str">
        <x:v>Ноябрь 2025</x:v>
      </x:c>
      <x:c r="E4033" s="87"/>
      <x:c r="F4033" s="87"/>
      <x:c r="G4033" s="87" t="str">
        <x:v>История</x:v>
      </x:c>
      <x:c r="H4033" s="87" t="n">
        <x:v>11</x:v>
      </x:c>
      <x:c r="I4033" s="87" t="str">
        <x:v>ТР №2</x:v>
      </x:c>
      <x:c r="J4033" s="87" t="str">
        <x:v>ИС2510203</x:v>
      </x:c>
      <x:c r="K4033" s="87" t="n">
        <x:v>12</x:v>
      </x:c>
      <x:c r="L4033" s="87" t="str">
        <x:v>Историческая карта</x:v>
      </x:c>
      <x:c r="M4033" s="30" t="str">
        <x:v>Выбрать верные суждения по схеме русско-польской войны.</x:v>
      </x:c>
      <x:c r="N4033" s="30" t="str">
        <x:v>123</x:v>
      </x:c>
      <x:c r="O4033" s="30" t="str">
        <x:v>Верны суждения 1, 2 и 3.</x:v>
      </x:c>
      <x:c r="P4033" s="30" t="str">
        <x:v>Верны суждения 1, 2 и 3.</x:v>
      </x:c>
      <x:c r="Q4033" s="30"/>
      <x:c r="R4033" s="30" t="str">
        <x:v>Zadanie_IS11_25112025_.pdf; Kriterii_IS11_25112025_.pdf</x:v>
      </x:c>
      <x:c r="S4033" s="30"/>
      <x:c r="T4033" s="30"/>
      <x:c r="U4033" s="30" t="str">
        <x:v>Расхождений не обнаружено.</x:v>
      </x:c>
      <x:c r="V4033" s="87" t="str">
        <x:v>VERIFIED</x:v>
      </x:c>
      <x:c r="W4033" s="87" t="str">
        <x:v>Zadanie_IS11_25112025_.pdf, вариантная стр. 8 (физическая стр. 8)</x:v>
      </x:c>
      <x:c r="X4033" s="87"/>
      <x:c r="Y4033" s="87"/>
      <x:c r="Z4033" s="87"/>
      <x:c r="AA4033" s="87"/>
      <x:c r="AB4033" s="87"/>
      <x:c r="AC4033" s="87" t="str">
        <x:v>VIS-HIST-NOV-031</x:v>
      </x:c>
      <x:c r="AD4033" s="87"/>
      <x:c r="AE4033" s="87"/>
      <x:c r="AF4033" s="87" t="str">
        <x:v>VIS-HIST-NOV-031: 8</x:v>
      </x:c>
      <x:c r="AG4033" s="87" t="str">
        <x:v>RESOLVED</x:v>
      </x:c>
      <x:c r="AH4033" s="87" t="str">
        <x:v>CROP_VERIFIED</x:v>
      </x:c>
      <x:c r="AI4033" s="30"/>
      <x:c r="AJ4033" s="87" t="str">
        <x:v>master</x:v>
      </x:c>
      <x:c r="AK4033" s="87" t="str">
        <x:v>master-v0.81</x:v>
      </x:c>
      <x:c r="AL4033" s="87" t="str">
        <x:v>statgrad_master_base_v0_81_final(2).xlsx</x:v>
      </x:c>
      <x:c r="AM4033" s="87" t="str">
        <x:v>HIST_Nov_V3</x:v>
      </x:c>
      <x:c r="AN4033" s="87" t="n">
        <x:v>13</x:v>
      </x:c>
    </x:row>
    <x:row r="4034">
      <x:c r="A4034" s="87" t="n">
        <x:v>4033</x:v>
      </x:c>
      <x:c r="B4034" s="87" t="str">
        <x:v>NOV-HIST-V3-013</x:v>
      </x:c>
      <x:c r="C4034" s="87" t="str">
        <x:v>СтатГрад</x:v>
      </x:c>
      <x:c r="D4034" s="87" t="str">
        <x:v>Ноябрь 2025</x:v>
      </x:c>
      <x:c r="E4034" s="87"/>
      <x:c r="F4034" s="87"/>
      <x:c r="G4034" s="87" t="str">
        <x:v>История</x:v>
      </x:c>
      <x:c r="H4034" s="87" t="n">
        <x:v>11</x:v>
      </x:c>
      <x:c r="I4034" s="87" t="str">
        <x:v>ТР №2</x:v>
      </x:c>
      <x:c r="J4034" s="87" t="str">
        <x:v>ИС2510203</x:v>
      </x:c>
      <x:c r="K4034" s="87" t="n">
        <x:v>13</x:v>
      </x:c>
      <x:c r="L4034" s="87" t="str">
        <x:v>Атрибуция источника</x:v>
      </x:c>
      <x:c r="M4034" s="30" t="str">
        <x:v>По постановлению назвать год, главу советского правительства и войну.</x:v>
      </x:c>
      <x:c r="N4034" s="30" t="str">
        <x:v>1918; В. И. Ленин; Первая мировая война</x:v>
      </x:c>
      <x:c r="O4034" s="30" t="str">
        <x:v>Постановление связано с советско-германским конфликтом после Брестского мира.</x:v>
      </x:c>
      <x:c r="P4034" s="30" t="str">
        <x:v>Модель сопоставлена с обязательными элементами официального критерия и историческими фактами.</x:v>
      </x:c>
      <x:c r="Q4034" s="30"/>
      <x:c r="R4034" s="30" t="str">
        <x:v>Zadanie_IS11_25112025_.pdf; Kriterii_IS11_25112025_.pdf</x:v>
      </x:c>
      <x:c r="S4034" s="30"/>
      <x:c r="T4034" s="30"/>
      <x:c r="U4034" s="30" t="str">
        <x:v>Расхождений не обнаружено.</x:v>
      </x:c>
      <x:c r="V4034" s="87" t="str">
        <x:v>VERIFIED</x:v>
      </x:c>
      <x:c r="W4034" s="87" t="str">
        <x:v>Zadanie_IS11_25112025_.pdf, вариантные стр. 9 и 10 (физические стр. 9 и 10)</x:v>
      </x:c>
      <x:c r="X4034" s="87"/>
      <x:c r="Y4034" s="87"/>
      <x:c r="Z4034" s="87"/>
      <x:c r="AA4034" s="87"/>
      <x:c r="AB4034" s="87"/>
      <x:c r="AC4034" s="87" t="str">
        <x:v>VIS-HIST-NOV-032; VIS-HIST-NOV-033</x:v>
      </x:c>
      <x:c r="AD4034" s="87"/>
      <x:c r="AE4034" s="87"/>
      <x:c r="AF4034" s="87" t="str">
        <x:v>VIS-HIST-NOV-032: 9; VIS-HIST-NOV-033: 10</x:v>
      </x:c>
      <x:c r="AG4034" s="87" t="str">
        <x:v>RESOLVED</x:v>
      </x:c>
      <x:c r="AH4034" s="87" t="str">
        <x:v>CROP_VERIFIED</x:v>
      </x:c>
      <x:c r="AI4034" s="30"/>
      <x:c r="AJ4034" s="87" t="str">
        <x:v>master</x:v>
      </x:c>
      <x:c r="AK4034" s="87" t="str">
        <x:v>master-v0.81</x:v>
      </x:c>
      <x:c r="AL4034" s="87" t="str">
        <x:v>statgrad_master_base_v0_81_final(2).xlsx</x:v>
      </x:c>
      <x:c r="AM4034" s="87" t="str">
        <x:v>HIST_Nov_V3</x:v>
      </x:c>
      <x:c r="AN4034" s="87" t="n">
        <x:v>14</x:v>
      </x:c>
    </x:row>
    <x:row r="4035">
      <x:c r="A4035" s="87" t="n">
        <x:v>4034</x:v>
      </x:c>
      <x:c r="B4035" s="87" t="str">
        <x:v>NOV-HIST-V3-014</x:v>
      </x:c>
      <x:c r="C4035" s="87" t="str">
        <x:v>СтатГрад</x:v>
      </x:c>
      <x:c r="D4035" s="87" t="str">
        <x:v>Ноябрь 2025</x:v>
      </x:c>
      <x:c r="E4035" s="87"/>
      <x:c r="F4035" s="87"/>
      <x:c r="G4035" s="87" t="str">
        <x:v>История</x:v>
      </x:c>
      <x:c r="H4035" s="87" t="n">
        <x:v>11</x:v>
      </x:c>
      <x:c r="I4035" s="87" t="str">
        <x:v>ТР №2</x:v>
      </x:c>
      <x:c r="J4035" s="87" t="str">
        <x:v>ИС2510203</x:v>
      </x:c>
      <x:c r="K4035" s="87" t="n">
        <x:v>14</x:v>
      </x:c>
      <x:c r="L4035" s="87" t="str">
        <x:v>Анализ источника</x:v>
      </x:c>
      <x:c r="M4035" s="30" t="str">
        <x:v>Назвать причину высылки посольства и два принципа «истинного мира».</x:v>
      </x:c>
      <x:c r="N4035" s="30" t="str">
        <x:v>Посольство обвинили в деятельности, направленной на свержение германского буржуазно-империалистического строя; допустимые принципы: освобождение занятых российских территорий, самоопределение трудящихся наций, возложение потерь на буржуазные классы.</x:v>
      </x:c>
      <x:c r="O4035" s="30" t="str">
        <x:v>Причина и любые два принципа прямо названы в тексте.</x:v>
      </x:c>
      <x:c r="P4035" s="30" t="str">
        <x:v>Модель сопоставлена с обязательными элементами официального критерия и историческими фактами.</x:v>
      </x:c>
      <x:c r="Q4035" s="30"/>
      <x:c r="R4035" s="30" t="str">
        <x:v>Zadanie_IS11_25112025_.pdf; Kriterii_IS11_25112025_.pdf</x:v>
      </x:c>
      <x:c r="S4035" s="30"/>
      <x:c r="T4035" s="30"/>
      <x:c r="U4035" s="30" t="str">
        <x:v>Расхождений не обнаружено.</x:v>
      </x:c>
      <x:c r="V4035" s="87" t="str">
        <x:v>VERIFIED</x:v>
      </x:c>
      <x:c r="W4035" s="87" t="str">
        <x:v>Zadanie_IS11_25112025_.pdf, вариантные стр. 9 и 10 (физические стр. 9 и 10)</x:v>
      </x:c>
      <x:c r="X4035" s="87"/>
      <x:c r="Y4035" s="87"/>
      <x:c r="Z4035" s="87"/>
      <x:c r="AA4035" s="87"/>
      <x:c r="AB4035" s="87"/>
      <x:c r="AC4035" s="87" t="str">
        <x:v>VIS-HIST-NOV-032; VIS-HIST-NOV-033</x:v>
      </x:c>
      <x:c r="AD4035" s="87"/>
      <x:c r="AE4035" s="87"/>
      <x:c r="AF4035" s="87" t="str">
        <x:v>VIS-HIST-NOV-032: 9; VIS-HIST-NOV-033: 10</x:v>
      </x:c>
      <x:c r="AG4035" s="87" t="str">
        <x:v>RESOLVED</x:v>
      </x:c>
      <x:c r="AH4035" s="87" t="str">
        <x:v>CROP_VERIFIED</x:v>
      </x:c>
      <x:c r="AI4035" s="30"/>
      <x:c r="AJ4035" s="87" t="str">
        <x:v>master</x:v>
      </x:c>
      <x:c r="AK4035" s="87" t="str">
        <x:v>master-v0.81</x:v>
      </x:c>
      <x:c r="AL4035" s="87" t="str">
        <x:v>statgrad_master_base_v0_81_final(2).xlsx</x:v>
      </x:c>
      <x:c r="AM4035" s="87" t="str">
        <x:v>HIST_Nov_V3</x:v>
      </x:c>
      <x:c r="AN4035" s="87" t="n">
        <x:v>15</x:v>
      </x:c>
    </x:row>
    <x:row r="4036">
      <x:c r="A4036" s="87" t="n">
        <x:v>4035</x:v>
      </x:c>
      <x:c r="B4036" s="87" t="str">
        <x:v>NOV-HIST-V3-015</x:v>
      </x:c>
      <x:c r="C4036" s="87" t="str">
        <x:v>СтатГрад</x:v>
      </x:c>
      <x:c r="D4036" s="87" t="str">
        <x:v>Ноябрь 2025</x:v>
      </x:c>
      <x:c r="E4036" s="87"/>
      <x:c r="F4036" s="87"/>
      <x:c r="G4036" s="87" t="str">
        <x:v>История</x:v>
      </x:c>
      <x:c r="H4036" s="87" t="n">
        <x:v>11</x:v>
      </x:c>
      <x:c r="I4036" s="87" t="str">
        <x:v>ТР №2</x:v>
      </x:c>
      <x:c r="J4036" s="87" t="str">
        <x:v>ИС2510203</x:v>
      </x:c>
      <x:c r="K4036" s="87" t="n">
        <x:v>15</x:v>
      </x:c>
      <x:c r="L4036" s="87" t="str">
        <x:v>Изображение / юбилейная марка</x:v>
      </x:c>
      <x:c r="M4036" s="30" t="str">
        <x:v>Назвать государя, при котором основан город на юбилейной марке, и обосновать датировку.</x:v>
      </x:c>
      <x:c r="N4036" s="30" t="str">
        <x:v>Пётр I; 2023 − 300 = 1723</x:v>
      </x:c>
      <x:c r="O4036" s="30" t="str">
        <x:v>Марка посвящена 300-летию Екатеринбурга; город основан в 1723 г. при Петре I.</x:v>
      </x:c>
      <x:c r="P4036" s="30" t="str">
        <x:v>Модель сопоставлена с обязательными элементами официального критерия и историческими фактами.</x:v>
      </x:c>
      <x:c r="Q4036" s="30"/>
      <x:c r="R4036" s="30" t="str">
        <x:v>Zadanie_IS11_25112025_.pdf; Kriterii_IS11_25112025_.pdf</x:v>
      </x:c>
      <x:c r="S4036" s="30"/>
      <x:c r="T4036" s="30"/>
      <x:c r="U4036" s="30" t="str">
        <x:v>Расхождений не обнаружено.</x:v>
      </x:c>
      <x:c r="V4036" s="87" t="str">
        <x:v>VERIFIED</x:v>
      </x:c>
      <x:c r="W4036" s="87" t="str">
        <x:v>Zadanie_IS11_25112025_.pdf, вариантная стр. 10 (физическая стр. 10)</x:v>
      </x:c>
      <x:c r="X4036" s="87"/>
      <x:c r="Y4036" s="87"/>
      <x:c r="Z4036" s="87"/>
      <x:c r="AA4036" s="87"/>
      <x:c r="AB4036" s="87"/>
      <x:c r="AC4036" s="87" t="str">
        <x:v>VIS-HIST-NOV-033</x:v>
      </x:c>
      <x:c r="AD4036" s="87"/>
      <x:c r="AE4036" s="87"/>
      <x:c r="AF4036" s="87" t="str">
        <x:v>VIS-HIST-NOV-033: 10</x:v>
      </x:c>
      <x:c r="AG4036" s="87" t="str">
        <x:v>RESOLVED</x:v>
      </x:c>
      <x:c r="AH4036" s="87" t="str">
        <x:v>CROP_VERIFIED</x:v>
      </x:c>
      <x:c r="AI4036" s="30"/>
      <x:c r="AJ4036" s="87" t="str">
        <x:v>master</x:v>
      </x:c>
      <x:c r="AK4036" s="87" t="str">
        <x:v>master-v0.81</x:v>
      </x:c>
      <x:c r="AL4036" s="87" t="str">
        <x:v>statgrad_master_base_v0_81_final(2).xlsx</x:v>
      </x:c>
      <x:c r="AM4036" s="87" t="str">
        <x:v>HIST_Nov_V3</x:v>
      </x:c>
      <x:c r="AN4036" s="87" t="n">
        <x:v>16</x:v>
      </x:c>
    </x:row>
    <x:row r="4037">
      <x:c r="A4037" s="87" t="n">
        <x:v>4036</x:v>
      </x:c>
      <x:c r="B4037" s="87" t="str">
        <x:v>NOV-HIST-V3-016</x:v>
      </x:c>
      <x:c r="C4037" s="87" t="str">
        <x:v>СтатГрад</x:v>
      </x:c>
      <x:c r="D4037" s="87" t="str">
        <x:v>Ноябрь 2025</x:v>
      </x:c>
      <x:c r="E4037" s="87"/>
      <x:c r="F4037" s="87"/>
      <x:c r="G4037" s="87" t="str">
        <x:v>История</x:v>
      </x:c>
      <x:c r="H4037" s="87" t="n">
        <x:v>11</x:v>
      </x:c>
      <x:c r="I4037" s="87" t="str">
        <x:v>ТР №2</x:v>
      </x:c>
      <x:c r="J4037" s="87" t="str">
        <x:v>ИС2510203</x:v>
      </x:c>
      <x:c r="K4037" s="87" t="n">
        <x:v>16</x:v>
      </x:c>
      <x:c r="L4037" s="87" t="str">
        <x:v>Архитектура</x:v>
      </x:c>
      <x:c r="M4037" s="30" t="str">
        <x:v>Выбрать памятник, построенный в то же царствование, и назвать архитектора.</x:v>
      </x:c>
      <x:c r="N4037" s="30" t="str">
        <x:v>4; Доменико Трезини</x:v>
      </x:c>
      <x:c r="O4037" s="30" t="str">
        <x:v>Памятник №4 относится к петровской эпохе и связан с Д. Трезини.</x:v>
      </x:c>
      <x:c r="P4037" s="30" t="str">
        <x:v>Модель сопоставлена с обязательными элементами официального критерия и историческими фактами.</x:v>
      </x:c>
      <x:c r="Q4037" s="30"/>
      <x:c r="R4037" s="30" t="str">
        <x:v>Zadanie_IS11_25112025_.pdf; Kriterii_IS11_25112025_.pdf</x:v>
      </x:c>
      <x:c r="S4037" s="30"/>
      <x:c r="T4037" s="30"/>
      <x:c r="U4037" s="30" t="str">
        <x:v>Расхождений не обнаружено.</x:v>
      </x:c>
      <x:c r="V4037" s="87" t="str">
        <x:v>VERIFIED</x:v>
      </x:c>
      <x:c r="W4037" s="87" t="str">
        <x:v>Zadanie_IS11_25112025_.pdf, вариантная стр. 11 (физическая стр. 11)</x:v>
      </x:c>
      <x:c r="X4037" s="87"/>
      <x:c r="Y4037" s="87"/>
      <x:c r="Z4037" s="87"/>
      <x:c r="AA4037" s="87"/>
      <x:c r="AB4037" s="87"/>
      <x:c r="AC4037" s="87" t="str">
        <x:v>VIS-HIST-NOV-034</x:v>
      </x:c>
      <x:c r="AD4037" s="87"/>
      <x:c r="AE4037" s="87"/>
      <x:c r="AF4037" s="87" t="str">
        <x:v>VIS-HIST-NOV-034: 11</x:v>
      </x:c>
      <x:c r="AG4037" s="87" t="str">
        <x:v>RESOLVED</x:v>
      </x:c>
      <x:c r="AH4037" s="87" t="str">
        <x:v>CROP_VERIFIED</x:v>
      </x:c>
      <x:c r="AI4037" s="30"/>
      <x:c r="AJ4037" s="87" t="str">
        <x:v>master</x:v>
      </x:c>
      <x:c r="AK4037" s="87" t="str">
        <x:v>master-v0.81</x:v>
      </x:c>
      <x:c r="AL4037" s="87" t="str">
        <x:v>statgrad_master_base_v0_81_final(2).xlsx</x:v>
      </x:c>
      <x:c r="AM4037" s="87" t="str">
        <x:v>HIST_Nov_V3</x:v>
      </x:c>
      <x:c r="AN4037" s="87" t="n">
        <x:v>17</x:v>
      </x:c>
    </x:row>
    <x:row r="4038">
      <x:c r="A4038" s="87" t="n">
        <x:v>4037</x:v>
      </x:c>
      <x:c r="B4038" s="87" t="str">
        <x:v>NOV-HIST-V3-017</x:v>
      </x:c>
      <x:c r="C4038" s="87" t="str">
        <x:v>СтатГрад</x:v>
      </x:c>
      <x:c r="D4038" s="87" t="str">
        <x:v>Ноябрь 2025</x:v>
      </x:c>
      <x:c r="E4038" s="87"/>
      <x:c r="F4038" s="87"/>
      <x:c r="G4038" s="87" t="str">
        <x:v>История</x:v>
      </x:c>
      <x:c r="H4038" s="87" t="n">
        <x:v>11</x:v>
      </x:c>
      <x:c r="I4038" s="87" t="str">
        <x:v>ТР №2</x:v>
      </x:c>
      <x:c r="J4038" s="87" t="str">
        <x:v>ИС2510203</x:v>
      </x:c>
      <x:c r="K4038" s="87" t="n">
        <x:v>17</x:v>
      </x:c>
      <x:c r="L4038" s="87" t="str">
        <x:v>Военная история по воспоминаниям</x:v>
      </x:c>
      <x:c r="M4038" s="30" t="str">
        <x:v>По воспоминаниям назвать город, операцию и положение рабочих.</x:v>
      </x:c>
      <x:c r="N4038" s="30" t="str">
        <x:v>Ленинград; например, операция «Искра»; истощённые и голодные рабочие едва держались на ногах.</x:v>
      </x:c>
      <x:c r="O4038" s="30" t="str">
        <x:v>Отрывки относятся к блокаде Ленинграда; допустима также операция «Январский гром» («Нева-2»).</x:v>
      </x:c>
      <x:c r="P4038" s="30" t="str">
        <x:v>Модель сопоставлена с обязательными элементами официального критерия и историческими фактами.</x:v>
      </x:c>
      <x:c r="Q4038" s="30"/>
      <x:c r="R4038" s="30" t="str">
        <x:v>Zadanie_IS11_25112025_.pdf; Kriterii_IS11_25112025_.pdf</x:v>
      </x:c>
      <x:c r="S4038" s="30"/>
      <x:c r="T4038" s="30"/>
      <x:c r="U4038" s="30" t="str">
        <x:v>Расхождений не обнаружено.</x:v>
      </x:c>
      <x:c r="V4038" s="87" t="str">
        <x:v>VERIFIED</x:v>
      </x:c>
      <x:c r="W4038" s="87" t="str">
        <x:v>Zadanie_IS11_25112025_.pdf, вариантная стр. 12 (физическая стр. 12)</x:v>
      </x:c>
      <x:c r="X4038" s="87"/>
      <x:c r="Y4038" s="87"/>
      <x:c r="Z4038" s="87"/>
      <x:c r="AA4038" s="87"/>
      <x:c r="AB4038" s="87"/>
      <x:c r="AC4038" s="87" t="str">
        <x:v>VIS-HIST-NOV-035</x:v>
      </x:c>
      <x:c r="AD4038" s="87"/>
      <x:c r="AE4038" s="87"/>
      <x:c r="AF4038" s="87" t="str">
        <x:v>VIS-HIST-NOV-035: 12</x:v>
      </x:c>
      <x:c r="AG4038" s="87" t="str">
        <x:v>RESOLVED</x:v>
      </x:c>
      <x:c r="AH4038" s="87" t="str">
        <x:v>CROP_VERIFIED</x:v>
      </x:c>
      <x:c r="AI4038" s="30"/>
      <x:c r="AJ4038" s="87" t="str">
        <x:v>master</x:v>
      </x:c>
      <x:c r="AK4038" s="87" t="str">
        <x:v>master-v0.81</x:v>
      </x:c>
      <x:c r="AL4038" s="87" t="str">
        <x:v>statgrad_master_base_v0_81_final(2).xlsx</x:v>
      </x:c>
      <x:c r="AM4038" s="87" t="str">
        <x:v>HIST_Nov_V3</x:v>
      </x:c>
      <x:c r="AN4038" s="87" t="n">
        <x:v>18</x:v>
      </x:c>
    </x:row>
    <x:row r="4039">
      <x:c r="A4039" s="87" t="n">
        <x:v>4038</x:v>
      </x:c>
      <x:c r="B4039" s="87" t="str">
        <x:v>NOV-HIST-V3-018</x:v>
      </x:c>
      <x:c r="C4039" s="87" t="str">
        <x:v>СтатГрад</x:v>
      </x:c>
      <x:c r="D4039" s="87" t="str">
        <x:v>Ноябрь 2025</x:v>
      </x:c>
      <x:c r="E4039" s="87"/>
      <x:c r="F4039" s="87"/>
      <x:c r="G4039" s="87" t="str">
        <x:v>История</x:v>
      </x:c>
      <x:c r="H4039" s="87" t="n">
        <x:v>11</x:v>
      </x:c>
      <x:c r="I4039" s="87" t="str">
        <x:v>ТР №2</x:v>
      </x:c>
      <x:c r="J4039" s="87" t="str">
        <x:v>ИС2510203</x:v>
      </x:c>
      <x:c r="K4039" s="87" t="n">
        <x:v>18</x:v>
      </x:c>
      <x:c r="L4039" s="87" t="str">
        <x:v>Причины и последствия</x:v>
      </x:c>
      <x:c r="M4039" s="30" t="str">
        <x:v>Объяснить предпосылку Восточного вопроса, религиозную причину российской политики и причину противодействия западных держав.</x:v>
      </x:c>
      <x:c r="N4039" s="30" t="str">
        <x:v>Победы России над Османской империей во второй половине XVIII в. углубили её кризис; Россия стремилась защищать православных и славян Балкан и христианские святыни; западные державы опасались контроля России над Босфором и Дарданеллами и усиления в Средиземноморье.</x:v>
      </x:c>
      <x:c r="O4039" s="30" t="str">
        <x:v>Три причинных элемента соответствуют логике Восточного вопроса.</x:v>
      </x:c>
      <x:c r="P4039" s="30" t="str">
        <x:v>Модель сопоставлена с обязательными элементами официального критерия и историческими фактами.</x:v>
      </x:c>
      <x:c r="Q4039" s="30"/>
      <x:c r="R4039" s="30" t="str">
        <x:v>Zadanie_IS11_25112025_.pdf; Kriterii_IS11_25112025_.pdf</x:v>
      </x:c>
      <x:c r="S4039" s="30"/>
      <x:c r="T4039" s="30"/>
      <x:c r="U4039" s="30" t="str">
        <x:v>Расхождений не обнаружено.</x:v>
      </x:c>
      <x:c r="V4039" s="87" t="str">
        <x:v>VERIFIED</x:v>
      </x:c>
      <x:c r="W4039" s="87" t="str">
        <x:v>Zadanie_IS11_25112025_.pdf, вариантная стр. 13 (физическая стр. 13)</x:v>
      </x:c>
      <x:c r="X4039" s="87"/>
      <x:c r="Y4039" s="87"/>
      <x:c r="Z4039" s="87"/>
      <x:c r="AA4039" s="87"/>
      <x:c r="AB4039" s="87"/>
      <x:c r="AC4039" s="87" t="str">
        <x:v>VIS-HIST-NOV-036</x:v>
      </x:c>
      <x:c r="AD4039" s="87"/>
      <x:c r="AE4039" s="87"/>
      <x:c r="AF4039" s="87" t="str">
        <x:v>VIS-HIST-NOV-036: 13</x:v>
      </x:c>
      <x:c r="AG4039" s="87" t="str">
        <x:v>RESOLVED</x:v>
      </x:c>
      <x:c r="AH4039" s="87" t="str">
        <x:v>CROP_VERIFIED</x:v>
      </x:c>
      <x:c r="AI4039" s="30"/>
      <x:c r="AJ4039" s="87" t="str">
        <x:v>master</x:v>
      </x:c>
      <x:c r="AK4039" s="87" t="str">
        <x:v>master-v0.81</x:v>
      </x:c>
      <x:c r="AL4039" s="87" t="str">
        <x:v>statgrad_master_base_v0_81_final(2).xlsx</x:v>
      </x:c>
      <x:c r="AM4039" s="87" t="str">
        <x:v>HIST_Nov_V3</x:v>
      </x:c>
      <x:c r="AN4039" s="87" t="n">
        <x:v>19</x:v>
      </x:c>
    </x:row>
    <x:row r="4040">
      <x:c r="A4040" s="87" t="n">
        <x:v>4039</x:v>
      </x:c>
      <x:c r="B4040" s="87" t="str">
        <x:v>NOV-HIST-V3-019</x:v>
      </x:c>
      <x:c r="C4040" s="87" t="str">
        <x:v>СтатГрад</x:v>
      </x:c>
      <x:c r="D4040" s="87" t="str">
        <x:v>Ноябрь 2025</x:v>
      </x:c>
      <x:c r="E4040" s="87"/>
      <x:c r="F4040" s="87"/>
      <x:c r="G4040" s="87" t="str">
        <x:v>История</x:v>
      </x:c>
      <x:c r="H4040" s="87" t="n">
        <x:v>11</x:v>
      </x:c>
      <x:c r="I4040" s="87" t="str">
        <x:v>ТР №2</x:v>
      </x:c>
      <x:c r="J4040" s="87" t="str">
        <x:v>ИС2510203</x:v>
      </x:c>
      <x:c r="K4040" s="87" t="n">
        <x:v>19</x:v>
      </x:c>
      <x:c r="L4040" s="87" t="str">
        <x:v>Историческое понятие</x:v>
      </x:c>
      <x:c r="M4040" s="30" t="str">
        <x:v>Раскрыть понятие «заповедные лета» и привести отдельный факт.</x:v>
      </x:c>
      <x:c r="N4040" s="30" t="str">
        <x:v>Заповедные лета — временный запрет крестьянских переходов в Юрьев день в конце царствования Ивана IV; например, указ 1581 г. был связан с разорением страны Ливонской войной и опричниной.</x:v>
      </x:c>
      <x:c r="O4040" s="30" t="str">
        <x:v>Определение и конкретизация разделены.</x:v>
      </x:c>
      <x:c r="P4040" s="30" t="str">
        <x:v>Модель сопоставлена с обязательными элементами официального критерия и историческими фактами.</x:v>
      </x:c>
      <x:c r="Q4040" s="30"/>
      <x:c r="R4040" s="30" t="str">
        <x:v>Zadanie_IS11_25112025_.pdf; Kriterii_IS11_25112025_.pdf</x:v>
      </x:c>
      <x:c r="S4040" s="30"/>
      <x:c r="T4040" s="30"/>
      <x:c r="U4040" s="30" t="str">
        <x:v>Расхождений не обнаружено.</x:v>
      </x:c>
      <x:c r="V4040" s="87" t="str">
        <x:v>VERIFIED</x:v>
      </x:c>
      <x:c r="W4040" s="87" t="str">
        <x:v>Zadanie_IS11_25112025_.pdf, вариантная стр. 13 (физическая стр. 13)</x:v>
      </x:c>
      <x:c r="X4040" s="87"/>
      <x:c r="Y4040" s="87"/>
      <x:c r="Z4040" s="87"/>
      <x:c r="AA4040" s="87"/>
      <x:c r="AB4040" s="87"/>
      <x:c r="AC4040" s="87" t="str">
        <x:v>VIS-HIST-NOV-036</x:v>
      </x:c>
      <x:c r="AD4040" s="87"/>
      <x:c r="AE4040" s="87"/>
      <x:c r="AF4040" s="87" t="str">
        <x:v>VIS-HIST-NOV-036: 13</x:v>
      </x:c>
      <x:c r="AG4040" s="87" t="str">
        <x:v>RESOLVED</x:v>
      </x:c>
      <x:c r="AH4040" s="87" t="str">
        <x:v>CROP_VERIFIED</x:v>
      </x:c>
      <x:c r="AI4040" s="30"/>
      <x:c r="AJ4040" s="87" t="str">
        <x:v>master</x:v>
      </x:c>
      <x:c r="AK4040" s="87" t="str">
        <x:v>master-v0.81</x:v>
      </x:c>
      <x:c r="AL4040" s="87" t="str">
        <x:v>statgrad_master_base_v0_81_final(2).xlsx</x:v>
      </x:c>
      <x:c r="AM4040" s="87" t="str">
        <x:v>HIST_Nov_V3</x:v>
      </x:c>
      <x:c r="AN4040" s="87" t="n">
        <x:v>20</x:v>
      </x:c>
    </x:row>
    <x:row r="4041">
      <x:c r="A4041" s="87" t="n">
        <x:v>4040</x:v>
      </x:c>
      <x:c r="B4041" s="87" t="str">
        <x:v>NOV-HIST-V3-020</x:v>
      </x:c>
      <x:c r="C4041" s="87" t="str">
        <x:v>СтатГрад</x:v>
      </x:c>
      <x:c r="D4041" s="87" t="str">
        <x:v>Ноябрь 2025</x:v>
      </x:c>
      <x:c r="E4041" s="87"/>
      <x:c r="F4041" s="87"/>
      <x:c r="G4041" s="87" t="str">
        <x:v>История</x:v>
      </x:c>
      <x:c r="H4041" s="87" t="n">
        <x:v>11</x:v>
      </x:c>
      <x:c r="I4041" s="87" t="str">
        <x:v>ТР №2</x:v>
      </x:c>
      <x:c r="J4041" s="87" t="str">
        <x:v>ИС2510203</x:v>
      </x:c>
      <x:c r="K4041" s="87" t="n">
        <x:v>20</x:v>
      </x:c>
      <x:c r="L4041" s="87" t="str">
        <x:v>Сравнительный тезис и обоснования</x:v>
      </x:c>
      <x:c r="M4041" s="30" t="str">
        <x:v>Сформулировать тезис о различиях внутриполитической жизни СССР в 1920-х и 1970-х гг. и привести два парных обоснования.</x:v>
      </x:c>
      <x:c r="N4041" s="30" t="str">
        <x:v>В 1920-е гг. сохранялись выраженные классовые ограничения и открытая внутрипартийная борьба, тогда как в 1970-е декларировалось общенародное государство и единство партии: конституции 1918/1924 лишали прав бывшие эксплуататорские классы, а Конституция 1977 провозглашала равноправие; в 1920-е открыто спорили о профсоюзах и индустриализации, в 1970-е публичные дискуссии подавлялись.</x:v>
      </x:c>
      <x:c r="O4041" s="30" t="str">
        <x:v>Есть тезис и два парных фактических сравнения.</x:v>
      </x:c>
      <x:c r="P4041" s="30" t="str">
        <x:v>Модель сопоставлена с обязательными элементами официального критерия и историческими фактами.</x:v>
      </x:c>
      <x:c r="Q4041" s="30"/>
      <x:c r="R4041" s="30" t="str">
        <x:v>Zadanie_IS11_25112025_.pdf; Kriterii_IS11_25112025_.pdf</x:v>
      </x:c>
      <x:c r="S4041" s="30"/>
      <x:c r="T4041" s="30"/>
      <x:c r="U4041" s="30" t="str">
        <x:v>Расхождений не обнаружено.</x:v>
      </x:c>
      <x:c r="V4041" s="87" t="str">
        <x:v>VERIFIED</x:v>
      </x:c>
      <x:c r="W4041" s="87" t="str">
        <x:v>Zadanie_IS11_25112025_.pdf, вариантная стр. 13 (физическая стр. 13)</x:v>
      </x:c>
      <x:c r="X4041" s="87"/>
      <x:c r="Y4041" s="87"/>
      <x:c r="Z4041" s="87"/>
      <x:c r="AA4041" s="87"/>
      <x:c r="AB4041" s="87"/>
      <x:c r="AC4041" s="87" t="str">
        <x:v>VIS-HIST-NOV-036</x:v>
      </x:c>
      <x:c r="AD4041" s="87"/>
      <x:c r="AE4041" s="87"/>
      <x:c r="AF4041" s="87" t="str">
        <x:v>VIS-HIST-NOV-036: 13</x:v>
      </x:c>
      <x:c r="AG4041" s="87" t="str">
        <x:v>RESOLVED</x:v>
      </x:c>
      <x:c r="AH4041" s="87" t="str">
        <x:v>CROP_VERIFIED</x:v>
      </x:c>
      <x:c r="AI4041" s="30"/>
      <x:c r="AJ4041" s="87" t="str">
        <x:v>master</x:v>
      </x:c>
      <x:c r="AK4041" s="87" t="str">
        <x:v>master-v0.81</x:v>
      </x:c>
      <x:c r="AL4041" s="87" t="str">
        <x:v>statgrad_master_base_v0_81_final(2).xlsx</x:v>
      </x:c>
      <x:c r="AM4041" s="87" t="str">
        <x:v>HIST_Nov_V3</x:v>
      </x:c>
      <x:c r="AN4041" s="87" t="n">
        <x:v>21</x:v>
      </x:c>
    </x:row>
    <x:row r="4042">
      <x:c r="A4042" s="87" t="n">
        <x:v>4041</x:v>
      </x:c>
      <x:c r="B4042" s="87" t="str">
        <x:v>NOV-HIST-V3-021</x:v>
      </x:c>
      <x:c r="C4042" s="87" t="str">
        <x:v>СтатГрад</x:v>
      </x:c>
      <x:c r="D4042" s="87" t="str">
        <x:v>Ноябрь 2025</x:v>
      </x:c>
      <x:c r="E4042" s="87"/>
      <x:c r="F4042" s="87"/>
      <x:c r="G4042" s="87" t="str">
        <x:v>История</x:v>
      </x:c>
      <x:c r="H4042" s="87" t="n">
        <x:v>11</x:v>
      </x:c>
      <x:c r="I4042" s="87" t="str">
        <x:v>ТР №2</x:v>
      </x:c>
      <x:c r="J4042" s="87" t="str">
        <x:v>ИС2510203</x:v>
      </x:c>
      <x:c r="K4042" s="87" t="n">
        <x:v>21</x:v>
      </x:c>
      <x:c r="L4042" s="87" t="str">
        <x:v>Аргументация по истории России и зарубежных стран</x:v>
      </x:c>
      <x:c r="M4042" s="30" t="str">
        <x:v>Доказать, что политическая система Руси и Франции XII–XIII вв. ухудшала их внешнеполитическое положение.</x:v>
      </x:c>
      <x:c r="N4042" s="30" t="str">
        <x:v>Русь: раздробленность облегчала половецкие набеги и монгольское завоевание, а в битве на Сити участвовали лишь силы части князей. Франция: самостоятельность крупных владений позволила Аквитании перейти английскому королю через брак Алиеноры, ослабив Францию и создав предпосылки Столетней войны.</x:v>
      </x:c>
      <x:c r="O4042" s="30" t="str">
        <x:v>По одному причинному аргументу для Руси и Франции.</x:v>
      </x:c>
      <x:c r="P4042" s="30" t="str">
        <x:v>Модель сопоставлена с обязательными элементами официального критерия и историческими фактами.</x:v>
      </x:c>
      <x:c r="Q4042" s="30"/>
      <x:c r="R4042" s="30" t="str">
        <x:v>Zadanie_IS11_25112025_.pdf; Kriterii_IS11_25112025_.pdf</x:v>
      </x:c>
      <x:c r="S4042" s="30"/>
      <x:c r="T4042" s="30"/>
      <x:c r="U4042" s="30" t="str">
        <x:v>Расхождений не обнаружено.</x:v>
      </x:c>
      <x:c r="V4042" s="87" t="str">
        <x:v>VERIFIED</x:v>
      </x:c>
      <x:c r="W4042" s="87" t="str">
        <x:v>Zadanie_IS11_25112025_.pdf, вариантная стр. 13 (физическая стр. 13)</x:v>
      </x:c>
      <x:c r="X4042" s="87"/>
      <x:c r="Y4042" s="87"/>
      <x:c r="Z4042" s="87"/>
      <x:c r="AA4042" s="87"/>
      <x:c r="AB4042" s="87"/>
      <x:c r="AC4042" s="87" t="str">
        <x:v>VIS-HIST-NOV-036</x:v>
      </x:c>
      <x:c r="AD4042" s="87"/>
      <x:c r="AE4042" s="87"/>
      <x:c r="AF4042" s="87" t="str">
        <x:v>VIS-HIST-NOV-036: 13</x:v>
      </x:c>
      <x:c r="AG4042" s="87" t="str">
        <x:v>RESOLVED</x:v>
      </x:c>
      <x:c r="AH4042" s="87" t="str">
        <x:v>CROP_VERIFIED</x:v>
      </x:c>
      <x:c r="AI4042" s="30"/>
      <x:c r="AJ4042" s="87" t="str">
        <x:v>master</x:v>
      </x:c>
      <x:c r="AK4042" s="87" t="str">
        <x:v>master-v0.81</x:v>
      </x:c>
      <x:c r="AL4042" s="87" t="str">
        <x:v>statgrad_master_base_v0_81_final(2).xlsx</x:v>
      </x:c>
      <x:c r="AM4042" s="87" t="str">
        <x:v>HIST_Nov_V3</x:v>
      </x:c>
      <x:c r="AN4042" s="87" t="n">
        <x:v>22</x:v>
      </x:c>
    </x:row>
    <x:row r="4043">
      <x:c r="A4043" s="87" t="n">
        <x:v>4042</x:v>
      </x:c>
      <x:c r="B4043" s="87" t="str">
        <x:v>NOV-HIST-V4-001</x:v>
      </x:c>
      <x:c r="C4043" s="87" t="str">
        <x:v>СтатГрад</x:v>
      </x:c>
      <x:c r="D4043" s="87" t="str">
        <x:v>Ноябрь 2025</x:v>
      </x:c>
      <x:c r="E4043" s="87"/>
      <x:c r="F4043" s="87"/>
      <x:c r="G4043" s="87" t="str">
        <x:v>История</x:v>
      </x:c>
      <x:c r="H4043" s="87" t="n">
        <x:v>11</x:v>
      </x:c>
      <x:c r="I4043" s="87" t="str">
        <x:v>ТР №2</x:v>
      </x:c>
      <x:c r="J4043" s="87" t="str">
        <x:v>ИС2510204</x:v>
      </x:c>
      <x:c r="K4043" s="87" t="n">
        <x:v>1</x:v>
      </x:c>
      <x:c r="L4043" s="87" t="str">
        <x:v>Соответствие событий и дат</x:v>
      </x:c>
      <x:c r="M4043" s="30" t="str">
        <x:v>Соотнести изгнание поляков из Москвы, приглашение Владимира Мономаха, Курскую битву и Жалованную грамоту городам с годами.</x:v>
      </x:c>
      <x:c r="N4043" s="30" t="str">
        <x:v>3164</x:v>
      </x:c>
      <x:c r="O4043" s="30" t="str">
        <x:v>1612; 1113; 1943; 1785.</x:v>
      </x:c>
      <x:c r="P4043" s="30" t="str">
        <x:v>1612; 1113; 1943; 1785.</x:v>
      </x:c>
      <x:c r="Q4043" s="30"/>
      <x:c r="R4043" s="30" t="str">
        <x:v>Zadanie_IS11_25112025_.pdf; Kriterii_IS11_25112025_.pdf</x:v>
      </x:c>
      <x:c r="S4043" s="30"/>
      <x:c r="T4043" s="30"/>
      <x:c r="U4043" s="30" t="str">
        <x:v>Расхождений не обнаружено.</x:v>
      </x:c>
      <x:c r="V4043" s="87" t="str">
        <x:v>VERIFIED</x:v>
      </x:c>
      <x:c r="W4043" s="87" t="str">
        <x:v>Zadanie_IS11_25112025_.pdf, вариантная стр. 2 (физическая стр. 15)</x:v>
      </x:c>
      <x:c r="X4043" s="87"/>
      <x:c r="Y4043" s="87"/>
      <x:c r="Z4043" s="87"/>
      <x:c r="AA4043" s="87"/>
      <x:c r="AB4043" s="87"/>
      <x:c r="AC4043" s="87" t="str">
        <x:v>VIS-HIST-NOV-037</x:v>
      </x:c>
      <x:c r="AD4043" s="87"/>
      <x:c r="AE4043" s="87"/>
      <x:c r="AF4043" s="87" t="str">
        <x:v>VIS-HIST-NOV-037: 15</x:v>
      </x:c>
      <x:c r="AG4043" s="87" t="str">
        <x:v>RESOLVED</x:v>
      </x:c>
      <x:c r="AH4043" s="87" t="str">
        <x:v>CROP_VERIFIED</x:v>
      </x:c>
      <x:c r="AI4043" s="30"/>
      <x:c r="AJ4043" s="87" t="str">
        <x:v>master</x:v>
      </x:c>
      <x:c r="AK4043" s="87" t="str">
        <x:v>master-v0.81</x:v>
      </x:c>
      <x:c r="AL4043" s="87" t="str">
        <x:v>statgrad_master_base_v0_81_final(2).xlsx</x:v>
      </x:c>
      <x:c r="AM4043" s="87" t="str">
        <x:v>HIST_Nov_V4</x:v>
      </x:c>
      <x:c r="AN4043" s="87" t="n">
        <x:v>2</x:v>
      </x:c>
    </x:row>
    <x:row r="4044">
      <x:c r="A4044" s="87" t="n">
        <x:v>4043</x:v>
      </x:c>
      <x:c r="B4044" s="87" t="str">
        <x:v>NOV-HIST-V4-002</x:v>
      </x:c>
      <x:c r="C4044" s="87" t="str">
        <x:v>СтатГрад</x:v>
      </x:c>
      <x:c r="D4044" s="87" t="str">
        <x:v>Ноябрь 2025</x:v>
      </x:c>
      <x:c r="E4044" s="87"/>
      <x:c r="F4044" s="87"/>
      <x:c r="G4044" s="87" t="str">
        <x:v>История</x:v>
      </x:c>
      <x:c r="H4044" s="87" t="n">
        <x:v>11</x:v>
      </x:c>
      <x:c r="I4044" s="87" t="str">
        <x:v>ТР №2</x:v>
      </x:c>
      <x:c r="J4044" s="87" t="str">
        <x:v>ИС2510204</x:v>
      </x:c>
      <x:c r="K4044" s="87" t="n">
        <x:v>2</x:v>
      </x:c>
      <x:c r="L4044" s="87" t="str">
        <x:v>Хронология</x:v>
      </x:c>
      <x:c r="M4044" s="30" t="str">
        <x:v>Расположить нормандское завоевание Англии, принятие Судебника Ивана III и Соляной бунт.</x:v>
      </x:c>
      <x:c r="N4044" s="30" t="str">
        <x:v>213</x:v>
      </x:c>
      <x:c r="O4044" s="30" t="str">
        <x:v>1066 → 1497 → 1648.</x:v>
      </x:c>
      <x:c r="P4044" s="30" t="str">
        <x:v>1066 → 1497 → 1648.</x:v>
      </x:c>
      <x:c r="Q4044" s="30"/>
      <x:c r="R4044" s="30" t="str">
        <x:v>Zadanie_IS11_25112025_.pdf; Kriterii_IS11_25112025_.pdf</x:v>
      </x:c>
      <x:c r="S4044" s="30"/>
      <x:c r="T4044" s="30"/>
      <x:c r="U4044" s="30" t="str">
        <x:v>Расхождений не обнаружено.</x:v>
      </x:c>
      <x:c r="V4044" s="87" t="str">
        <x:v>VERIFIED</x:v>
      </x:c>
      <x:c r="W4044" s="87" t="str">
        <x:v>Zadanie_IS11_25112025_.pdf, вариантная стр. 2 (физическая стр. 15)</x:v>
      </x:c>
      <x:c r="X4044" s="87"/>
      <x:c r="Y4044" s="87"/>
      <x:c r="Z4044" s="87"/>
      <x:c r="AA4044" s="87"/>
      <x:c r="AB4044" s="87"/>
      <x:c r="AC4044" s="87" t="str">
        <x:v>VIS-HIST-NOV-037</x:v>
      </x:c>
      <x:c r="AD4044" s="87"/>
      <x:c r="AE4044" s="87"/>
      <x:c r="AF4044" s="87" t="str">
        <x:v>VIS-HIST-NOV-037: 15</x:v>
      </x:c>
      <x:c r="AG4044" s="87" t="str">
        <x:v>RESOLVED</x:v>
      </x:c>
      <x:c r="AH4044" s="87" t="str">
        <x:v>CROP_VERIFIED</x:v>
      </x:c>
      <x:c r="AI4044" s="30"/>
      <x:c r="AJ4044" s="87" t="str">
        <x:v>master</x:v>
      </x:c>
      <x:c r="AK4044" s="87" t="str">
        <x:v>master-v0.81</x:v>
      </x:c>
      <x:c r="AL4044" s="87" t="str">
        <x:v>statgrad_master_base_v0_81_final(2).xlsx</x:v>
      </x:c>
      <x:c r="AM4044" s="87" t="str">
        <x:v>HIST_Nov_V4</x:v>
      </x:c>
      <x:c r="AN4044" s="87" t="n">
        <x:v>3</x:v>
      </x:c>
    </x:row>
    <x:row r="4045">
      <x:c r="A4045" s="87" t="n">
        <x:v>4044</x:v>
      </x:c>
      <x:c r="B4045" s="87" t="str">
        <x:v>NOV-HIST-V4-003</x:v>
      </x:c>
      <x:c r="C4045" s="87" t="str">
        <x:v>СтатГрад</x:v>
      </x:c>
      <x:c r="D4045" s="87" t="str">
        <x:v>Ноябрь 2025</x:v>
      </x:c>
      <x:c r="E4045" s="87"/>
      <x:c r="F4045" s="87"/>
      <x:c r="G4045" s="87" t="str">
        <x:v>История</x:v>
      </x:c>
      <x:c r="H4045" s="87" t="n">
        <x:v>11</x:v>
      </x:c>
      <x:c r="I4045" s="87" t="str">
        <x:v>ТР №2</x:v>
      </x:c>
      <x:c r="J4045" s="87" t="str">
        <x:v>ИС2510204</x:v>
      </x:c>
      <x:c r="K4045" s="87" t="n">
        <x:v>3</x:v>
      </x:c>
      <x:c r="L4045" s="87" t="str">
        <x:v>Соответствие процессов и фактов</x:v>
      </x:c>
      <x:c r="M4045" s="30" t="str">
        <x:v>Соотнести экономическую политику XVII в., военный коммунизм, внутреннюю политику Александра I и древнерусское законодательство с фактами.</x:v>
      </x:c>
      <x:c r="N4045" s="30" t="str">
        <x:v>5123</x:v>
      </x:c>
      <x:c r="O4045" s="30" t="str">
        <x:v>Новоторговый устав; запрет частной торговли; Цензурный устав; Устав о резах.</x:v>
      </x:c>
      <x:c r="P4045" s="30" t="str">
        <x:v>Новоторговый устав; запрет частной торговли; Цензурный устав; Устав о резах.</x:v>
      </x:c>
      <x:c r="Q4045" s="30"/>
      <x:c r="R4045" s="30" t="str">
        <x:v>Zadanie_IS11_25112025_.pdf; Kriterii_IS11_25112025_.pdf</x:v>
      </x:c>
      <x:c r="S4045" s="30"/>
      <x:c r="T4045" s="30"/>
      <x:c r="U4045" s="30" t="str">
        <x:v>Расхождений не обнаружено.</x:v>
      </x:c>
      <x:c r="V4045" s="87" t="str">
        <x:v>VERIFIED</x:v>
      </x:c>
      <x:c r="W4045" s="87" t="str">
        <x:v>Zadanie_IS11_25112025_.pdf, вариантная стр. 3 (физическая стр. 16)</x:v>
      </x:c>
      <x:c r="X4045" s="87"/>
      <x:c r="Y4045" s="87"/>
      <x:c r="Z4045" s="87"/>
      <x:c r="AA4045" s="87"/>
      <x:c r="AB4045" s="87"/>
      <x:c r="AC4045" s="87" t="str">
        <x:v>VIS-HIST-NOV-038</x:v>
      </x:c>
      <x:c r="AD4045" s="87"/>
      <x:c r="AE4045" s="87"/>
      <x:c r="AF4045" s="87" t="str">
        <x:v>VIS-HIST-NOV-038: 16</x:v>
      </x:c>
      <x:c r="AG4045" s="87" t="str">
        <x:v>RESOLVED</x:v>
      </x:c>
      <x:c r="AH4045" s="87" t="str">
        <x:v>CROP_VERIFIED</x:v>
      </x:c>
      <x:c r="AI4045" s="30"/>
      <x:c r="AJ4045" s="87" t="str">
        <x:v>master</x:v>
      </x:c>
      <x:c r="AK4045" s="87" t="str">
        <x:v>master-v0.81</x:v>
      </x:c>
      <x:c r="AL4045" s="87" t="str">
        <x:v>statgrad_master_base_v0_81_final(2).xlsx</x:v>
      </x:c>
      <x:c r="AM4045" s="87" t="str">
        <x:v>HIST_Nov_V4</x:v>
      </x:c>
      <x:c r="AN4045" s="87" t="n">
        <x:v>4</x:v>
      </x:c>
    </x:row>
    <x:row r="4046">
      <x:c r="A4046" s="87" t="n">
        <x:v>4045</x:v>
      </x:c>
      <x:c r="B4046" s="87" t="str">
        <x:v>NOV-HIST-V4-004</x:v>
      </x:c>
      <x:c r="C4046" s="87" t="str">
        <x:v>СтатГрад</x:v>
      </x:c>
      <x:c r="D4046" s="87" t="str">
        <x:v>Ноябрь 2025</x:v>
      </x:c>
      <x:c r="E4046" s="87"/>
      <x:c r="F4046" s="87"/>
      <x:c r="G4046" s="87" t="str">
        <x:v>История</x:v>
      </x:c>
      <x:c r="H4046" s="87" t="n">
        <x:v>11</x:v>
      </x:c>
      <x:c r="I4046" s="87" t="str">
        <x:v>ТР №2</x:v>
      </x:c>
      <x:c r="J4046" s="87" t="str">
        <x:v>ИС2510204</x:v>
      </x:c>
      <x:c r="K4046" s="87" t="n">
        <x:v>4</x:v>
      </x:c>
      <x:c r="L4046" s="87" t="str">
        <x:v>Таблица: место, событие, период</x:v>
      </x:c>
      <x:c r="M4046" s="30" t="str">
        <x:v>Заполнить таблицу о восстании Черниговского полка, Ясском мире, ликвидации последствий аварии на ЧАЭС и бое в Чемульпо.</x:v>
      </x:c>
      <x:c r="N4046" s="30" t="str">
        <x:v>952684</x:v>
      </x:c>
      <x:c r="O4046" s="30" t="str">
        <x:v>Васильков; 1820-е; Яссы; Припять/Чернобыль; 1980-е; крейсер «Варяг».</x:v>
      </x:c>
      <x:c r="P4046" s="30" t="str">
        <x:v>Васильков; 1820-е; Яссы; Припять/Чернобыль; 1980-е; крейсер «Варяг».</x:v>
      </x:c>
      <x:c r="Q4046" s="30"/>
      <x:c r="R4046" s="30" t="str">
        <x:v>Zadanie_IS11_25112025_.pdf; Kriterii_IS11_25112025_.pdf</x:v>
      </x:c>
      <x:c r="S4046" s="30"/>
      <x:c r="T4046" s="30"/>
      <x:c r="U4046" s="30" t="str">
        <x:v>Расхождений не обнаружено.</x:v>
      </x:c>
      <x:c r="V4046" s="87" t="str">
        <x:v>VERIFIED</x:v>
      </x:c>
      <x:c r="W4046" s="87" t="str">
        <x:v>Zadanie_IS11_25112025_.pdf, вариантные стр. 3 и 4 (физические стр. 16 и 17)</x:v>
      </x:c>
      <x:c r="X4046" s="87"/>
      <x:c r="Y4046" s="87"/>
      <x:c r="Z4046" s="87"/>
      <x:c r="AA4046" s="87"/>
      <x:c r="AB4046" s="87"/>
      <x:c r="AC4046" s="87" t="str">
        <x:v>VIS-HIST-NOV-038; VIS-HIST-NOV-039</x:v>
      </x:c>
      <x:c r="AD4046" s="87"/>
      <x:c r="AE4046" s="87"/>
      <x:c r="AF4046" s="87" t="str">
        <x:v>VIS-HIST-NOV-038: 16; VIS-HIST-NOV-039: 17</x:v>
      </x:c>
      <x:c r="AG4046" s="87" t="str">
        <x:v>RESOLVED</x:v>
      </x:c>
      <x:c r="AH4046" s="87" t="str">
        <x:v>CROP_VERIFIED</x:v>
      </x:c>
      <x:c r="AI4046" s="30"/>
      <x:c r="AJ4046" s="87" t="str">
        <x:v>master</x:v>
      </x:c>
      <x:c r="AK4046" s="87" t="str">
        <x:v>master-v0.81</x:v>
      </x:c>
      <x:c r="AL4046" s="87" t="str">
        <x:v>statgrad_master_base_v0_81_final(2).xlsx</x:v>
      </x:c>
      <x:c r="AM4046" s="87" t="str">
        <x:v>HIST_Nov_V4</x:v>
      </x:c>
      <x:c r="AN4046" s="87" t="n">
        <x:v>5</x:v>
      </x:c>
    </x:row>
    <x:row r="4047">
      <x:c r="A4047" s="87" t="n">
        <x:v>4046</x:v>
      </x:c>
      <x:c r="B4047" s="87" t="str">
        <x:v>NOV-HIST-V4-005</x:v>
      </x:c>
      <x:c r="C4047" s="87" t="str">
        <x:v>СтатГрад</x:v>
      </x:c>
      <x:c r="D4047" s="87" t="str">
        <x:v>Ноябрь 2025</x:v>
      </x:c>
      <x:c r="E4047" s="87"/>
      <x:c r="F4047" s="87"/>
      <x:c r="G4047" s="87" t="str">
        <x:v>История</x:v>
      </x:c>
      <x:c r="H4047" s="87" t="n">
        <x:v>11</x:v>
      </x:c>
      <x:c r="I4047" s="87" t="str">
        <x:v>ТР №2</x:v>
      </x:c>
      <x:c r="J4047" s="87" t="str">
        <x:v>ИС2510204</x:v>
      </x:c>
      <x:c r="K4047" s="87" t="n">
        <x:v>5</x:v>
      </x:c>
      <x:c r="L4047" s="87" t="str">
        <x:v>События и участники</x:v>
      </x:c>
      <x:c r="M4047" s="30" t="str">
        <x:v>Соотнести заговор против Лжедмитрия I, капитуляцию Германии, Венский конгресс и зависимость Руси от Орды с участниками.</x:v>
      </x:c>
      <x:c r="N4047" s="30" t="str">
        <x:v>3456</x:v>
      </x:c>
      <x:c r="O4047" s="30" t="str">
        <x:v>Василий Шуйский; Г. К. Жуков; Александр I; Ярослав Всеволодович.</x:v>
      </x:c>
      <x:c r="P4047" s="30" t="str">
        <x:v>Василий Шуйский; Г. К. Жуков; Александр I; Ярослав Всеволодович.</x:v>
      </x:c>
      <x:c r="Q4047" s="30"/>
      <x:c r="R4047" s="30" t="str">
        <x:v>Zadanie_IS11_25112025_.pdf; Kriterii_IS11_25112025_.pdf</x:v>
      </x:c>
      <x:c r="S4047" s="30"/>
      <x:c r="T4047" s="30"/>
      <x:c r="U4047" s="30" t="str">
        <x:v>Расхождений не обнаружено.</x:v>
      </x:c>
      <x:c r="V4047" s="87" t="str">
        <x:v>VERIFIED</x:v>
      </x:c>
      <x:c r="W4047" s="87" t="str">
        <x:v>Zadanie_IS11_25112025_.pdf, вариантная стр. 4 (физическая стр. 17)</x:v>
      </x:c>
      <x:c r="X4047" s="87"/>
      <x:c r="Y4047" s="87"/>
      <x:c r="Z4047" s="87"/>
      <x:c r="AA4047" s="87"/>
      <x:c r="AB4047" s="87"/>
      <x:c r="AC4047" s="87" t="str">
        <x:v>VIS-HIST-NOV-039</x:v>
      </x:c>
      <x:c r="AD4047" s="87"/>
      <x:c r="AE4047" s="87"/>
      <x:c r="AF4047" s="87" t="str">
        <x:v>VIS-HIST-NOV-039: 17</x:v>
      </x:c>
      <x:c r="AG4047" s="87" t="str">
        <x:v>RESOLVED</x:v>
      </x:c>
      <x:c r="AH4047" s="87" t="str">
        <x:v>CROP_VERIFIED</x:v>
      </x:c>
      <x:c r="AI4047" s="30"/>
      <x:c r="AJ4047" s="87" t="str">
        <x:v>master</x:v>
      </x:c>
      <x:c r="AK4047" s="87" t="str">
        <x:v>master-v0.81</x:v>
      </x:c>
      <x:c r="AL4047" s="87" t="str">
        <x:v>statgrad_master_base_v0_81_final(2).xlsx</x:v>
      </x:c>
      <x:c r="AM4047" s="87" t="str">
        <x:v>HIST_Nov_V4</x:v>
      </x:c>
      <x:c r="AN4047" s="87" t="n">
        <x:v>6</x:v>
      </x:c>
    </x:row>
    <x:row r="4048">
      <x:c r="A4048" s="87" t="n">
        <x:v>4047</x:v>
      </x:c>
      <x:c r="B4048" s="87" t="str">
        <x:v>NOV-HIST-V4-006</x:v>
      </x:c>
      <x:c r="C4048" s="87" t="str">
        <x:v>СтатГрад</x:v>
      </x:c>
      <x:c r="D4048" s="87" t="str">
        <x:v>Ноябрь 2025</x:v>
      </x:c>
      <x:c r="E4048" s="87"/>
      <x:c r="F4048" s="87"/>
      <x:c r="G4048" s="87" t="str">
        <x:v>История</x:v>
      </x:c>
      <x:c r="H4048" s="87" t="n">
        <x:v>11</x:v>
      </x:c>
      <x:c r="I4048" s="87" t="str">
        <x:v>ТР №2</x:v>
      </x:c>
      <x:c r="J4048" s="87" t="str">
        <x:v>ИС2510204</x:v>
      </x:c>
      <x:c r="K4048" s="87" t="n">
        <x:v>6</x:v>
      </x:c>
      <x:c r="L4048" s="87" t="str">
        <x:v>Анализ письменного источника</x:v>
      </x:c>
      <x:c r="M4048" s="30" t="str">
        <x:v>По отрывку о престолонаследии после смерти Петра I выбрать верные суждения.</x:v>
      </x:c>
      <x:c r="N4048" s="30" t="str">
        <x:v>16</x:v>
      </x:c>
      <x:c r="O4048" s="30" t="str">
        <x:v>Пётр I умер; императрицей стала Екатерина I, при ней создан Верховный тайный совет.</x:v>
      </x:c>
      <x:c r="P4048" s="30" t="str">
        <x:v>Пётр I умер; императрицей стала Екатерина I, при ней создан Верховный тайный совет.</x:v>
      </x:c>
      <x:c r="Q4048" s="30"/>
      <x:c r="R4048" s="30" t="str">
        <x:v>Zadanie_IS11_25112025_.pdf; Kriterii_IS11_25112025_.pdf</x:v>
      </x:c>
      <x:c r="S4048" s="30"/>
      <x:c r="T4048" s="30"/>
      <x:c r="U4048" s="30" t="str">
        <x:v>Расхождений не обнаружено.</x:v>
      </x:c>
      <x:c r="V4048" s="87" t="str">
        <x:v>VERIFIED</x:v>
      </x:c>
      <x:c r="W4048" s="87" t="str">
        <x:v>Zadanie_IS11_25112025_.pdf, вариантная стр. 5 (физическая стр. 18)</x:v>
      </x:c>
      <x:c r="X4048" s="87"/>
      <x:c r="Y4048" s="87"/>
      <x:c r="Z4048" s="87"/>
      <x:c r="AA4048" s="87"/>
      <x:c r="AB4048" s="87"/>
      <x:c r="AC4048" s="87" t="str">
        <x:v>VIS-HIST-NOV-040</x:v>
      </x:c>
      <x:c r="AD4048" s="87"/>
      <x:c r="AE4048" s="87"/>
      <x:c r="AF4048" s="87" t="str">
        <x:v>VIS-HIST-NOV-040: 18</x:v>
      </x:c>
      <x:c r="AG4048" s="87" t="str">
        <x:v>RESOLVED</x:v>
      </x:c>
      <x:c r="AH4048" s="87" t="str">
        <x:v>CROP_VERIFIED</x:v>
      </x:c>
      <x:c r="AI4048" s="30"/>
      <x:c r="AJ4048" s="87" t="str">
        <x:v>master</x:v>
      </x:c>
      <x:c r="AK4048" s="87" t="str">
        <x:v>master-v0.81</x:v>
      </x:c>
      <x:c r="AL4048" s="87" t="str">
        <x:v>statgrad_master_base_v0_81_final(2).xlsx</x:v>
      </x:c>
      <x:c r="AM4048" s="87" t="str">
        <x:v>HIST_Nov_V4</x:v>
      </x:c>
      <x:c r="AN4048" s="87" t="n">
        <x:v>7</x:v>
      </x:c>
    </x:row>
    <x:row r="4049">
      <x:c r="A4049" s="87" t="n">
        <x:v>4048</x:v>
      </x:c>
      <x:c r="B4049" s="87" t="str">
        <x:v>NOV-HIST-V4-007</x:v>
      </x:c>
      <x:c r="C4049" s="87" t="str">
        <x:v>СтатГрад</x:v>
      </x:c>
      <x:c r="D4049" s="87" t="str">
        <x:v>Ноябрь 2025</x:v>
      </x:c>
      <x:c r="E4049" s="87"/>
      <x:c r="F4049" s="87"/>
      <x:c r="G4049" s="87" t="str">
        <x:v>История</x:v>
      </x:c>
      <x:c r="H4049" s="87" t="n">
        <x:v>11</x:v>
      </x:c>
      <x:c r="I4049" s="87" t="str">
        <x:v>ТР №2</x:v>
      </x:c>
      <x:c r="J4049" s="87" t="str">
        <x:v>ИС2510204</x:v>
      </x:c>
      <x:c r="K4049" s="87" t="n">
        <x:v>7</x:v>
      </x:c>
      <x:c r="L4049" s="87" t="str">
        <x:v>Памятники культуры</x:v>
      </x:c>
      <x:c r="M4049" s="30" t="str">
        <x:v>Соотнести церковь Покрова на Нерли, храм Христа Спасителя, пьесу «Бег» и «Житие протопопа Аввакума» с характеристиками.</x:v>
      </x:c>
      <x:c r="N4049" s="30" t="str">
        <x:v>6254</x:v>
      </x:c>
      <x:c r="O4049" s="30" t="str">
        <x:v>Андрей Боголюбский; память об Отечественной войне 1812 г.; Гражданская война; церковный раскол.</x:v>
      </x:c>
      <x:c r="P4049" s="30" t="str">
        <x:v>Андрей Боголюбский; память об Отечественной войне 1812 г.; Гражданская война; церковный раскол.</x:v>
      </x:c>
      <x:c r="Q4049" s="30"/>
      <x:c r="R4049" s="30" t="str">
        <x:v>Zadanie_IS11_25112025_.pdf; Kriterii_IS11_25112025_.pdf</x:v>
      </x:c>
      <x:c r="S4049" s="30"/>
      <x:c r="T4049" s="30"/>
      <x:c r="U4049" s="30" t="str">
        <x:v>Расхождений не обнаружено.</x:v>
      </x:c>
      <x:c r="V4049" s="87" t="str">
        <x:v>VERIFIED</x:v>
      </x:c>
      <x:c r="W4049" s="87" t="str">
        <x:v>Zadanie_IS11_25112025_.pdf, вариантная стр. 6 (физическая стр. 19)</x:v>
      </x:c>
      <x:c r="X4049" s="87"/>
      <x:c r="Y4049" s="87"/>
      <x:c r="Z4049" s="87"/>
      <x:c r="AA4049" s="87"/>
      <x:c r="AB4049" s="87"/>
      <x:c r="AC4049" s="87" t="str">
        <x:v>VIS-HIST-NOV-041</x:v>
      </x:c>
      <x:c r="AD4049" s="87"/>
      <x:c r="AE4049" s="87"/>
      <x:c r="AF4049" s="87" t="str">
        <x:v>VIS-HIST-NOV-041: 19</x:v>
      </x:c>
      <x:c r="AG4049" s="87" t="str">
        <x:v>RESOLVED</x:v>
      </x:c>
      <x:c r="AH4049" s="87" t="str">
        <x:v>CROP_VERIFIED</x:v>
      </x:c>
      <x:c r="AI4049" s="30"/>
      <x:c r="AJ4049" s="87" t="str">
        <x:v>master</x:v>
      </x:c>
      <x:c r="AK4049" s="87" t="str">
        <x:v>master-v0.81</x:v>
      </x:c>
      <x:c r="AL4049" s="87" t="str">
        <x:v>statgrad_master_base_v0_81_final(2).xlsx</x:v>
      </x:c>
      <x:c r="AM4049" s="87" t="str">
        <x:v>HIST_Nov_V4</x:v>
      </x:c>
      <x:c r="AN4049" s="87" t="n">
        <x:v>8</x:v>
      </x:c>
    </x:row>
    <x:row r="4050">
      <x:c r="A4050" s="87" t="n">
        <x:v>4049</x:v>
      </x:c>
      <x:c r="B4050" s="87" t="str">
        <x:v>NOV-HIST-V4-008</x:v>
      </x:c>
      <x:c r="C4050" s="87" t="str">
        <x:v>СтатГрад</x:v>
      </x:c>
      <x:c r="D4050" s="87" t="str">
        <x:v>Ноябрь 2025</x:v>
      </x:c>
      <x:c r="E4050" s="87"/>
      <x:c r="F4050" s="87"/>
      <x:c r="G4050" s="87" t="str">
        <x:v>История</x:v>
      </x:c>
      <x:c r="H4050" s="87" t="n">
        <x:v>11</x:v>
      </x:c>
      <x:c r="I4050" s="87" t="str">
        <x:v>ТР №2</x:v>
      </x:c>
      <x:c r="J4050" s="87" t="str">
        <x:v>ИС2510204</x:v>
      </x:c>
      <x:c r="K4050" s="87" t="n">
        <x:v>8</x:v>
      </x:c>
      <x:c r="L4050" s="87" t="str">
        <x:v>Изображение / марка</x:v>
      </x:c>
      <x:c r="M4050" s="30" t="str">
        <x:v>По марке определить год события.</x:v>
      </x:c>
      <x:c r="N4050" s="30" t="str">
        <x:v>сорок четвертом</x:v>
      </x:c>
      <x:c r="O4050" s="30" t="str">
        <x:v>Изображённое событие относится к 1944 г.</x:v>
      </x:c>
      <x:c r="P4050" s="30" t="str">
        <x:v>Изображённое событие относится к 1944 г.</x:v>
      </x:c>
      <x:c r="Q4050" s="30"/>
      <x:c r="R4050" s="30" t="str">
        <x:v>Zadanie_IS11_25112025_.pdf; Kriterii_IS11_25112025_.pdf</x:v>
      </x:c>
      <x:c r="S4050" s="30"/>
      <x:c r="T4050" s="30"/>
      <x:c r="U4050" s="30" t="str">
        <x:v>Расхождений не обнаружено.</x:v>
      </x:c>
      <x:c r="V4050" s="87" t="str">
        <x:v>VERIFIED</x:v>
      </x:c>
      <x:c r="W4050" s="87" t="str">
        <x:v>Zadanie_IS11_25112025_.pdf, вариантная стр. 6 (физическая стр. 19)</x:v>
      </x:c>
      <x:c r="X4050" s="87"/>
      <x:c r="Y4050" s="87"/>
      <x:c r="Z4050" s="87"/>
      <x:c r="AA4050" s="87"/>
      <x:c r="AB4050" s="87"/>
      <x:c r="AC4050" s="87" t="str">
        <x:v>VIS-HIST-NOV-041</x:v>
      </x:c>
      <x:c r="AD4050" s="87"/>
      <x:c r="AE4050" s="87"/>
      <x:c r="AF4050" s="87" t="str">
        <x:v>VIS-HIST-NOV-041: 19</x:v>
      </x:c>
      <x:c r="AG4050" s="87" t="str">
        <x:v>RESOLVED</x:v>
      </x:c>
      <x:c r="AH4050" s="87" t="str">
        <x:v>CROP_VERIFIED</x:v>
      </x:c>
      <x:c r="AI4050" s="30"/>
      <x:c r="AJ4050" s="87" t="str">
        <x:v>master</x:v>
      </x:c>
      <x:c r="AK4050" s="87" t="str">
        <x:v>master-v0.81</x:v>
      </x:c>
      <x:c r="AL4050" s="87" t="str">
        <x:v>statgrad_master_base_v0_81_final(2).xlsx</x:v>
      </x:c>
      <x:c r="AM4050" s="87" t="str">
        <x:v>HIST_Nov_V4</x:v>
      </x:c>
      <x:c r="AN4050" s="87" t="n">
        <x:v>9</x:v>
      </x:c>
    </x:row>
    <x:row r="4051">
      <x:c r="A4051" s="87" t="n">
        <x:v>4050</x:v>
      </x:c>
      <x:c r="B4051" s="87" t="str">
        <x:v>NOV-HIST-V4-009</x:v>
      </x:c>
      <x:c r="C4051" s="87" t="str">
        <x:v>СтатГрад</x:v>
      </x:c>
      <x:c r="D4051" s="87" t="str">
        <x:v>Ноябрь 2025</x:v>
      </x:c>
      <x:c r="E4051" s="87"/>
      <x:c r="F4051" s="87"/>
      <x:c r="G4051" s="87" t="str">
        <x:v>История</x:v>
      </x:c>
      <x:c r="H4051" s="87" t="n">
        <x:v>11</x:v>
      </x:c>
      <x:c r="I4051" s="87" t="str">
        <x:v>ТР №2</x:v>
      </x:c>
      <x:c r="J4051" s="87" t="str">
        <x:v>ИС2510204</x:v>
      </x:c>
      <x:c r="K4051" s="87" t="n">
        <x:v>9</x:v>
      </x:c>
      <x:c r="L4051" s="87" t="str">
        <x:v>Историческая карта</x:v>
      </x:c>
      <x:c r="M4051" s="30" t="str">
        <x:v>Назвать российского государя во время событий на схеме Ливонской войны.</x:v>
      </x:c>
      <x:c r="N4051" s="30" t="str">
        <x:v>Иван IV; Иван Грозный</x:v>
      </x:c>
      <x:c r="O4051" s="30" t="str">
        <x:v>Схема отражает походы русских войск в Ливонии при Иване IV.</x:v>
      </x:c>
      <x:c r="P4051" s="30" t="str">
        <x:v>Схема отражает походы русских войск в Ливонии при Иване IV.</x:v>
      </x:c>
      <x:c r="Q4051" s="30"/>
      <x:c r="R4051" s="30" t="str">
        <x:v>Zadanie_IS11_25112025_.pdf; Kriterii_IS11_25112025_.pdf</x:v>
      </x:c>
      <x:c r="S4051" s="30"/>
      <x:c r="T4051" s="30"/>
      <x:c r="U4051" s="30" t="str">
        <x:v>Расхождений не обнаружено.</x:v>
      </x:c>
      <x:c r="V4051" s="87" t="str">
        <x:v>VERIFIED</x:v>
      </x:c>
      <x:c r="W4051" s="87" t="str">
        <x:v>Zadanie_IS11_25112025_.pdf, вариантная стр. 7 (физическая стр. 20)</x:v>
      </x:c>
      <x:c r="X4051" s="87"/>
      <x:c r="Y4051" s="87"/>
      <x:c r="Z4051" s="87"/>
      <x:c r="AA4051" s="87"/>
      <x:c r="AB4051" s="87"/>
      <x:c r="AC4051" s="87" t="str">
        <x:v>VIS-HIST-NOV-042</x:v>
      </x:c>
      <x:c r="AD4051" s="87"/>
      <x:c r="AE4051" s="87"/>
      <x:c r="AF4051" s="87" t="str">
        <x:v>VIS-HIST-NOV-042: 20</x:v>
      </x:c>
      <x:c r="AG4051" s="87" t="str">
        <x:v>RESOLVED</x:v>
      </x:c>
      <x:c r="AH4051" s="87" t="str">
        <x:v>CROP_VERIFIED; TASK_CROP_QA_APPROVED:MANUAL_BBOX</x:v>
      </x:c>
      <x:c r="AI4051" s="30"/>
      <x:c r="AJ4051" s="87" t="str">
        <x:v>master</x:v>
      </x:c>
      <x:c r="AK4051" s="87" t="str">
        <x:v>master-v0.81</x:v>
      </x:c>
      <x:c r="AL4051" s="87" t="str">
        <x:v>statgrad_master_base_v0_81_final(2).xlsx</x:v>
      </x:c>
      <x:c r="AM4051" s="87" t="str">
        <x:v>HIST_Nov_V4</x:v>
      </x:c>
      <x:c r="AN4051" s="87" t="n">
        <x:v>10</x:v>
      </x:c>
    </x:row>
    <x:row r="4052">
      <x:c r="A4052" s="87" t="n">
        <x:v>4051</x:v>
      </x:c>
      <x:c r="B4052" s="87" t="str">
        <x:v>NOV-HIST-V4-010</x:v>
      </x:c>
      <x:c r="C4052" s="87" t="str">
        <x:v>СтатГрад</x:v>
      </x:c>
      <x:c r="D4052" s="87" t="str">
        <x:v>Ноябрь 2025</x:v>
      </x:c>
      <x:c r="E4052" s="87"/>
      <x:c r="F4052" s="87"/>
      <x:c r="G4052" s="87" t="str">
        <x:v>История</x:v>
      </x:c>
      <x:c r="H4052" s="87" t="n">
        <x:v>11</x:v>
      </x:c>
      <x:c r="I4052" s="87" t="str">
        <x:v>ТР №2</x:v>
      </x:c>
      <x:c r="J4052" s="87" t="str">
        <x:v>ИС2510204</x:v>
      </x:c>
      <x:c r="K4052" s="87" t="n">
        <x:v>10</x:v>
      </x:c>
      <x:c r="L4052" s="87" t="str">
        <x:v>Историческая карта</x:v>
      </x:c>
      <x:c r="M4052" s="30" t="str">
        <x:v>Назвать город, обозначенный на схеме цифрой 4.</x:v>
      </x:c>
      <x:c r="N4052" s="30" t="str">
        <x:v>Рига</x:v>
      </x:c>
      <x:c r="O4052" s="30" t="str">
        <x:v>Цифра 4 стоит у Риги на побережье Балтики.</x:v>
      </x:c>
      <x:c r="P4052" s="30" t="str">
        <x:v>Цифра 4 стоит у Риги на побережье Балтики.</x:v>
      </x:c>
      <x:c r="Q4052" s="30"/>
      <x:c r="R4052" s="30" t="str">
        <x:v>Zadanie_IS11_25112025_.pdf; Kriterii_IS11_25112025_.pdf</x:v>
      </x:c>
      <x:c r="S4052" s="30"/>
      <x:c r="T4052" s="30"/>
      <x:c r="U4052" s="30" t="str">
        <x:v>Расхождений не обнаружено.</x:v>
      </x:c>
      <x:c r="V4052" s="87" t="str">
        <x:v>VERIFIED</x:v>
      </x:c>
      <x:c r="W4052" s="87" t="str">
        <x:v>Zadanie_IS11_25112025_.pdf, вариантная стр. 7 (физическая стр. 20)</x:v>
      </x:c>
      <x:c r="X4052" s="87"/>
      <x:c r="Y4052" s="87"/>
      <x:c r="Z4052" s="87"/>
      <x:c r="AA4052" s="87"/>
      <x:c r="AB4052" s="87"/>
      <x:c r="AC4052" s="87" t="str">
        <x:v>VIS-HIST-NOV-042</x:v>
      </x:c>
      <x:c r="AD4052" s="87"/>
      <x:c r="AE4052" s="87"/>
      <x:c r="AF4052" s="87" t="str">
        <x:v>VIS-HIST-NOV-042: 20</x:v>
      </x:c>
      <x:c r="AG4052" s="87" t="str">
        <x:v>RESOLVED</x:v>
      </x:c>
      <x:c r="AH4052" s="87" t="str">
        <x:v>CROP_VERIFIED; TASK_CROP_QA_APPROVED:MANUAL_BBOX</x:v>
      </x:c>
      <x:c r="AI4052" s="30"/>
      <x:c r="AJ4052" s="87" t="str">
        <x:v>master</x:v>
      </x:c>
      <x:c r="AK4052" s="87" t="str">
        <x:v>master-v0.81</x:v>
      </x:c>
      <x:c r="AL4052" s="87" t="str">
        <x:v>statgrad_master_base_v0_81_final(2).xlsx</x:v>
      </x:c>
      <x:c r="AM4052" s="87" t="str">
        <x:v>HIST_Nov_V4</x:v>
      </x:c>
      <x:c r="AN4052" s="87" t="n">
        <x:v>11</x:v>
      </x:c>
    </x:row>
    <x:row r="4053">
      <x:c r="A4053" s="87" t="n">
        <x:v>4052</x:v>
      </x:c>
      <x:c r="B4053" s="87" t="str">
        <x:v>NOV-HIST-V4-011</x:v>
      </x:c>
      <x:c r="C4053" s="87" t="str">
        <x:v>СтатГрад</x:v>
      </x:c>
      <x:c r="D4053" s="87" t="str">
        <x:v>Ноябрь 2025</x:v>
      </x:c>
      <x:c r="E4053" s="87"/>
      <x:c r="F4053" s="87"/>
      <x:c r="G4053" s="87" t="str">
        <x:v>История</x:v>
      </x:c>
      <x:c r="H4053" s="87" t="n">
        <x:v>11</x:v>
      </x:c>
      <x:c r="I4053" s="87" t="str">
        <x:v>ТР №2</x:v>
      </x:c>
      <x:c r="J4053" s="87" t="str">
        <x:v>ИС2510204</x:v>
      </x:c>
      <x:c r="K4053" s="87" t="n">
        <x:v>11</x:v>
      </x:c>
      <x:c r="L4053" s="87" t="str">
        <x:v>Историческая карта</x:v>
      </x:c>
      <x:c r="M4053" s="30" t="str">
        <x:v>В тексте о походе 1577 г. назвать пропущенный город.</x:v>
      </x:c>
      <x:c r="N4053" s="30" t="str">
        <x:v>Люцин</x:v>
      </x:c>
      <x:c r="O4053" s="30" t="str">
        <x:v>Маршрут похода и положение города на схеме соответствуют Люцину.</x:v>
      </x:c>
      <x:c r="P4053" s="30" t="str">
        <x:v>Маршрут похода и положение города на схеме соответствуют Люцину.</x:v>
      </x:c>
      <x:c r="Q4053" s="30"/>
      <x:c r="R4053" s="30" t="str">
        <x:v>Zadanie_IS11_25112025_.pdf; Kriterii_IS11_25112025_.pdf</x:v>
      </x:c>
      <x:c r="S4053" s="30"/>
      <x:c r="T4053" s="30"/>
      <x:c r="U4053" s="30" t="str">
        <x:v>Расхождений не обнаружено.</x:v>
      </x:c>
      <x:c r="V4053" s="87" t="str">
        <x:v>VERIFIED</x:v>
      </x:c>
      <x:c r="W4053" s="87" t="str">
        <x:v>Zadanie_IS11_25112025_.pdf, вариантная стр. 8 (физическая стр. 21)</x:v>
      </x:c>
      <x:c r="X4053" s="87"/>
      <x:c r="Y4053" s="87"/>
      <x:c r="Z4053" s="87"/>
      <x:c r="AA4053" s="87"/>
      <x:c r="AB4053" s="87"/>
      <x:c r="AC4053" s="87" t="str">
        <x:v>VIS-HIST-NOV-043</x:v>
      </x:c>
      <x:c r="AD4053" s="87"/>
      <x:c r="AE4053" s="87"/>
      <x:c r="AF4053" s="87" t="str">
        <x:v>VIS-HIST-NOV-043: 21</x:v>
      </x:c>
      <x:c r="AG4053" s="87" t="str">
        <x:v>RESOLVED</x:v>
      </x:c>
      <x:c r="AH4053" s="87" t="str">
        <x:v>CROP_VERIFIED</x:v>
      </x:c>
      <x:c r="AI4053" s="30"/>
      <x:c r="AJ4053" s="87" t="str">
        <x:v>master</x:v>
      </x:c>
      <x:c r="AK4053" s="87" t="str">
        <x:v>master-v0.81</x:v>
      </x:c>
      <x:c r="AL4053" s="87" t="str">
        <x:v>statgrad_master_base_v0_81_final(2).xlsx</x:v>
      </x:c>
      <x:c r="AM4053" s="87" t="str">
        <x:v>HIST_Nov_V4</x:v>
      </x:c>
      <x:c r="AN4053" s="87" t="n">
        <x:v>12</x:v>
      </x:c>
    </x:row>
    <x:row r="4054">
      <x:c r="A4054" s="87" t="n">
        <x:v>4053</x:v>
      </x:c>
      <x:c r="B4054" s="87" t="str">
        <x:v>NOV-HIST-V4-012</x:v>
      </x:c>
      <x:c r="C4054" s="87" t="str">
        <x:v>СтатГрад</x:v>
      </x:c>
      <x:c r="D4054" s="87" t="str">
        <x:v>Ноябрь 2025</x:v>
      </x:c>
      <x:c r="E4054" s="87"/>
      <x:c r="F4054" s="87"/>
      <x:c r="G4054" s="87" t="str">
        <x:v>История</x:v>
      </x:c>
      <x:c r="H4054" s="87" t="n">
        <x:v>11</x:v>
      </x:c>
      <x:c r="I4054" s="87" t="str">
        <x:v>ТР №2</x:v>
      </x:c>
      <x:c r="J4054" s="87" t="str">
        <x:v>ИС2510204</x:v>
      </x:c>
      <x:c r="K4054" s="87" t="n">
        <x:v>12</x:v>
      </x:c>
      <x:c r="L4054" s="87" t="str">
        <x:v>Историческая карта</x:v>
      </x:c>
      <x:c r="M4054" s="30" t="str">
        <x:v>Выбрать верные суждения по схеме Ливонской войны.</x:v>
      </x:c>
      <x:c r="N4054" s="30" t="str">
        <x:v>346</x:v>
      </x:c>
      <x:c r="O4054" s="30" t="str">
        <x:v>Верны суждения 3, 4 и 6.</x:v>
      </x:c>
      <x:c r="P4054" s="30" t="str">
        <x:v>Верны суждения 3, 4 и 6.</x:v>
      </x:c>
      <x:c r="Q4054" s="30"/>
      <x:c r="R4054" s="30" t="str">
        <x:v>Zadanie_IS11_25112025_.pdf; Kriterii_IS11_25112025_.pdf</x:v>
      </x:c>
      <x:c r="S4054" s="30"/>
      <x:c r="T4054" s="30"/>
      <x:c r="U4054" s="30" t="str">
        <x:v>Расхождений не обнаружено.</x:v>
      </x:c>
      <x:c r="V4054" s="87" t="str">
        <x:v>VERIFIED</x:v>
      </x:c>
      <x:c r="W4054" s="87" t="str">
        <x:v>Zadanie_IS11_25112025_.pdf, вариантная стр. 8 (физическая стр. 21)</x:v>
      </x:c>
      <x:c r="X4054" s="87"/>
      <x:c r="Y4054" s="87"/>
      <x:c r="Z4054" s="87"/>
      <x:c r="AA4054" s="87"/>
      <x:c r="AB4054" s="87"/>
      <x:c r="AC4054" s="87" t="str">
        <x:v>VIS-HIST-NOV-043</x:v>
      </x:c>
      <x:c r="AD4054" s="87"/>
      <x:c r="AE4054" s="87"/>
      <x:c r="AF4054" s="87" t="str">
        <x:v>VIS-HIST-NOV-043: 21</x:v>
      </x:c>
      <x:c r="AG4054" s="87" t="str">
        <x:v>RESOLVED</x:v>
      </x:c>
      <x:c r="AH4054" s="87" t="str">
        <x:v>CROP_VERIFIED</x:v>
      </x:c>
      <x:c r="AI4054" s="30"/>
      <x:c r="AJ4054" s="87" t="str">
        <x:v>master</x:v>
      </x:c>
      <x:c r="AK4054" s="87" t="str">
        <x:v>master-v0.81</x:v>
      </x:c>
      <x:c r="AL4054" s="87" t="str">
        <x:v>statgrad_master_base_v0_81_final(2).xlsx</x:v>
      </x:c>
      <x:c r="AM4054" s="87" t="str">
        <x:v>HIST_Nov_V4</x:v>
      </x:c>
      <x:c r="AN4054" s="87" t="n">
        <x:v>13</x:v>
      </x:c>
    </x:row>
    <x:row r="4055">
      <x:c r="A4055" s="87" t="n">
        <x:v>4054</x:v>
      </x:c>
      <x:c r="B4055" s="87" t="str">
        <x:v>NOV-HIST-V4-013</x:v>
      </x:c>
      <x:c r="C4055" s="87" t="str">
        <x:v>СтатГрад</x:v>
      </x:c>
      <x:c r="D4055" s="87" t="str">
        <x:v>Ноябрь 2025</x:v>
      </x:c>
      <x:c r="E4055" s="87"/>
      <x:c r="F4055" s="87"/>
      <x:c r="G4055" s="87" t="str">
        <x:v>История</x:v>
      </x:c>
      <x:c r="H4055" s="87" t="n">
        <x:v>11</x:v>
      </x:c>
      <x:c r="I4055" s="87" t="str">
        <x:v>ТР №2</x:v>
      </x:c>
      <x:c r="J4055" s="87" t="str">
        <x:v>ИС2510204</x:v>
      </x:c>
      <x:c r="K4055" s="87" t="n">
        <x:v>13</x:v>
      </x:c>
      <x:c r="L4055" s="87" t="str">
        <x:v>Атрибуция источника</x:v>
      </x:c>
      <x:c r="M4055" s="30" t="str">
        <x:v>По тексту о политическом кризисе назвать год, министра иностранных дел и войну.</x:v>
      </x:c>
      <x:c r="N4055" s="30" t="str">
        <x:v>1917; П. Н. Милюков; Первая мировая война</x:v>
      </x:c>
      <x:c r="O4055" s="30" t="str">
        <x:v>Речь о апрельском кризисе Временного правительства 1917 г.</x:v>
      </x:c>
      <x:c r="P4055" s="30" t="str">
        <x:v>Модель сопоставлена с обязательными элементами официального критерия и историческими фактами.</x:v>
      </x:c>
      <x:c r="Q4055" s="30"/>
      <x:c r="R4055" s="30" t="str">
        <x:v>Zadanie_IS11_25112025_.pdf; Kriterii_IS11_25112025_.pdf</x:v>
      </x:c>
      <x:c r="S4055" s="30"/>
      <x:c r="T4055" s="30"/>
      <x:c r="U4055" s="30" t="str">
        <x:v>Расхождений не обнаружено.</x:v>
      </x:c>
      <x:c r="V4055" s="87" t="str">
        <x:v>VERIFIED</x:v>
      </x:c>
      <x:c r="W4055" s="87" t="str">
        <x:v>Zadanie_IS11_25112025_.pdf, вариантные стр. 9 и 10 (физические стр. 22 и 23)</x:v>
      </x:c>
      <x:c r="X4055" s="87"/>
      <x:c r="Y4055" s="87"/>
      <x:c r="Z4055" s="87"/>
      <x:c r="AA4055" s="87"/>
      <x:c r="AB4055" s="87"/>
      <x:c r="AC4055" s="87" t="str">
        <x:v>VIS-HIST-NOV-044; VIS-HIST-NOV-045</x:v>
      </x:c>
      <x:c r="AD4055" s="87"/>
      <x:c r="AE4055" s="87"/>
      <x:c r="AF4055" s="87" t="str">
        <x:v>VIS-HIST-NOV-044: 22; VIS-HIST-NOV-045: 23</x:v>
      </x:c>
      <x:c r="AG4055" s="87" t="str">
        <x:v>RESOLVED</x:v>
      </x:c>
      <x:c r="AH4055" s="87" t="str">
        <x:v>CROP_VERIFIED</x:v>
      </x:c>
      <x:c r="AI4055" s="30"/>
      <x:c r="AJ4055" s="87" t="str">
        <x:v>master</x:v>
      </x:c>
      <x:c r="AK4055" s="87" t="str">
        <x:v>master-v0.81</x:v>
      </x:c>
      <x:c r="AL4055" s="87" t="str">
        <x:v>statgrad_master_base_v0_81_final(2).xlsx</x:v>
      </x:c>
      <x:c r="AM4055" s="87" t="str">
        <x:v>HIST_Nov_V4</x:v>
      </x:c>
      <x:c r="AN4055" s="87" t="n">
        <x:v>14</x:v>
      </x:c>
    </x:row>
    <x:row r="4056">
      <x:c r="A4056" s="87" t="n">
        <x:v>4055</x:v>
      </x:c>
      <x:c r="B4056" s="87" t="str">
        <x:v>NOV-HIST-V4-014</x:v>
      </x:c>
      <x:c r="C4056" s="87" t="str">
        <x:v>СтатГрад</x:v>
      </x:c>
      <x:c r="D4056" s="87" t="str">
        <x:v>Ноябрь 2025</x:v>
      </x:c>
      <x:c r="E4056" s="87"/>
      <x:c r="F4056" s="87"/>
      <x:c r="G4056" s="87" t="str">
        <x:v>История</x:v>
      </x:c>
      <x:c r="H4056" s="87" t="n">
        <x:v>11</x:v>
      </x:c>
      <x:c r="I4056" s="87" t="str">
        <x:v>ТР №2</x:v>
      </x:c>
      <x:c r="J4056" s="87" t="str">
        <x:v>ИС2510204</x:v>
      </x:c>
      <x:c r="K4056" s="87" t="n">
        <x:v>14</x:v>
      </x:c>
      <x:c r="L4056" s="87" t="str">
        <x:v>Анализ источника</x:v>
      </x:c>
      <x:c r="M4056" s="30" t="str">
        <x:v>Объяснить недоверие министру, оценку политической зрелости толпы и пример ограничения свободы печати.</x:v>
      </x:c>
      <x:c r="N4056" s="30" t="str">
        <x:v>Недоверие вызвала нота Милюкова союзникам, двусмысленно обещавшая продолжение войны; толпа плохо понимала речи и могла одинаково приветствовать противоположных ораторов; правительство запретило публикацию письма Пуришкевича с обвинением Совета.</x:v>
      </x:c>
      <x:c r="O4056" s="30" t="str">
        <x:v>Все три элемента прямо следуют из источника.</x:v>
      </x:c>
      <x:c r="P4056" s="30" t="str">
        <x:v>Модель сопоставлена с обязательными элементами официального критерия и историческими фактами.</x:v>
      </x:c>
      <x:c r="Q4056" s="30"/>
      <x:c r="R4056" s="30" t="str">
        <x:v>Zadanie_IS11_25112025_.pdf; Kriterii_IS11_25112025_.pdf</x:v>
      </x:c>
      <x:c r="S4056" s="30"/>
      <x:c r="T4056" s="30"/>
      <x:c r="U4056" s="30" t="str">
        <x:v>Расхождений не обнаружено.</x:v>
      </x:c>
      <x:c r="V4056" s="87" t="str">
        <x:v>VERIFIED</x:v>
      </x:c>
      <x:c r="W4056" s="87" t="str">
        <x:v>Zadanie_IS11_25112025_.pdf, вариантные стр. 9 и 10 (физические стр. 22 и 23)</x:v>
      </x:c>
      <x:c r="X4056" s="87"/>
      <x:c r="Y4056" s="87"/>
      <x:c r="Z4056" s="87"/>
      <x:c r="AA4056" s="87"/>
      <x:c r="AB4056" s="87"/>
      <x:c r="AC4056" s="87" t="str">
        <x:v>VIS-HIST-NOV-044; VIS-HIST-NOV-045</x:v>
      </x:c>
      <x:c r="AD4056" s="87"/>
      <x:c r="AE4056" s="87"/>
      <x:c r="AF4056" s="87" t="str">
        <x:v>VIS-HIST-NOV-044: 22; VIS-HIST-NOV-045: 23</x:v>
      </x:c>
      <x:c r="AG4056" s="87" t="str">
        <x:v>RESOLVED</x:v>
      </x:c>
      <x:c r="AH4056" s="87" t="str">
        <x:v>CROP_VERIFIED</x:v>
      </x:c>
      <x:c r="AI4056" s="30"/>
      <x:c r="AJ4056" s="87" t="str">
        <x:v>master</x:v>
      </x:c>
      <x:c r="AK4056" s="87" t="str">
        <x:v>master-v0.81</x:v>
      </x:c>
      <x:c r="AL4056" s="87" t="str">
        <x:v>statgrad_master_base_v0_81_final(2).xlsx</x:v>
      </x:c>
      <x:c r="AM4056" s="87" t="str">
        <x:v>HIST_Nov_V4</x:v>
      </x:c>
      <x:c r="AN4056" s="87" t="n">
        <x:v>15</x:v>
      </x:c>
    </x:row>
    <x:row r="4057">
      <x:c r="A4057" s="87" t="n">
        <x:v>4056</x:v>
      </x:c>
      <x:c r="B4057" s="87" t="str">
        <x:v>NOV-HIST-V4-015</x:v>
      </x:c>
      <x:c r="C4057" s="87" t="str">
        <x:v>СтатГрад</x:v>
      </x:c>
      <x:c r="D4057" s="87" t="str">
        <x:v>Ноябрь 2025</x:v>
      </x:c>
      <x:c r="E4057" s="87"/>
      <x:c r="F4057" s="87"/>
      <x:c r="G4057" s="87" t="str">
        <x:v>История</x:v>
      </x:c>
      <x:c r="H4057" s="87" t="n">
        <x:v>11</x:v>
      </x:c>
      <x:c r="I4057" s="87" t="str">
        <x:v>ТР №2</x:v>
      </x:c>
      <x:c r="J4057" s="87" t="str">
        <x:v>ИС2510204</x:v>
      </x:c>
      <x:c r="K4057" s="87" t="n">
        <x:v>15</x:v>
      </x:c>
      <x:c r="L4057" s="87" t="str">
        <x:v>Изображение / юбилейная марка</x:v>
      </x:c>
      <x:c r="M4057" s="30" t="str">
        <x:v>Назвать государя при основании города на марке и обосновать.</x:v>
      </x:c>
      <x:c r="N4057" s="30" t="str">
        <x:v>Борис Годунов; 2004 − 400 = 1604</x:v>
      </x:c>
      <x:c r="O4057" s="30" t="str">
        <x:v>Марка посвящена 400-летию Томска; город основан в 1604 г.</x:v>
      </x:c>
      <x:c r="P4057" s="30" t="str">
        <x:v>Модель сопоставлена с обязательными элементами официального критерия и историческими фактами.</x:v>
      </x:c>
      <x:c r="Q4057" s="30"/>
      <x:c r="R4057" s="30" t="str">
        <x:v>Zadanie_IS11_25112025_.pdf; Kriterii_IS11_25112025_.pdf</x:v>
      </x:c>
      <x:c r="S4057" s="30"/>
      <x:c r="T4057" s="30"/>
      <x:c r="U4057" s="30" t="str">
        <x:v>Расхождений не обнаружено.</x:v>
      </x:c>
      <x:c r="V4057" s="87" t="str">
        <x:v>VERIFIED</x:v>
      </x:c>
      <x:c r="W4057" s="87" t="str">
        <x:v>Zadanie_IS11_25112025_.pdf, вариантная стр. 10 (физическая стр. 23)</x:v>
      </x:c>
      <x:c r="X4057" s="87"/>
      <x:c r="Y4057" s="87"/>
      <x:c r="Z4057" s="87"/>
      <x:c r="AA4057" s="87"/>
      <x:c r="AB4057" s="87"/>
      <x:c r="AC4057" s="87" t="str">
        <x:v>VIS-HIST-NOV-045</x:v>
      </x:c>
      <x:c r="AD4057" s="87"/>
      <x:c r="AE4057" s="87"/>
      <x:c r="AF4057" s="87" t="str">
        <x:v>VIS-HIST-NOV-045: 23</x:v>
      </x:c>
      <x:c r="AG4057" s="87" t="str">
        <x:v>RESOLVED</x:v>
      </x:c>
      <x:c r="AH4057" s="87" t="str">
        <x:v>CROP_VERIFIED</x:v>
      </x:c>
      <x:c r="AI4057" s="30"/>
      <x:c r="AJ4057" s="87" t="str">
        <x:v>master</x:v>
      </x:c>
      <x:c r="AK4057" s="87" t="str">
        <x:v>master-v0.81</x:v>
      </x:c>
      <x:c r="AL4057" s="87" t="str">
        <x:v>statgrad_master_base_v0_81_final(2).xlsx</x:v>
      </x:c>
      <x:c r="AM4057" s="87" t="str">
        <x:v>HIST_Nov_V4</x:v>
      </x:c>
      <x:c r="AN4057" s="87" t="n">
        <x:v>16</x:v>
      </x:c>
    </x:row>
    <x:row r="4058">
      <x:c r="A4058" s="87" t="n">
        <x:v>4057</x:v>
      </x:c>
      <x:c r="B4058" s="87" t="str">
        <x:v>NOV-HIST-V4-016</x:v>
      </x:c>
      <x:c r="C4058" s="87" t="str">
        <x:v>СтатГрад</x:v>
      </x:c>
      <x:c r="D4058" s="87" t="str">
        <x:v>Ноябрь 2025</x:v>
      </x:c>
      <x:c r="E4058" s="87"/>
      <x:c r="F4058" s="87"/>
      <x:c r="G4058" s="87" t="str">
        <x:v>История</x:v>
      </x:c>
      <x:c r="H4058" s="87" t="n">
        <x:v>11</x:v>
      </x:c>
      <x:c r="I4058" s="87" t="str">
        <x:v>ТР №2</x:v>
      </x:c>
      <x:c r="J4058" s="87" t="str">
        <x:v>ИС2510204</x:v>
      </x:c>
      <x:c r="K4058" s="87" t="n">
        <x:v>16</x:v>
      </x:c>
      <x:c r="L4058" s="87" t="str">
        <x:v>Архитектура</x:v>
      </x:c>
      <x:c r="M4058" s="30" t="str">
        <x:v>Выбрать памятник того же столетия и назвать архитектурный стиль.</x:v>
      </x:c>
      <x:c r="N4058" s="30" t="str">
        <x:v>2; нарышкинское (московское) барокко</x:v>
      </x:c>
      <x:c r="O4058" s="30" t="str">
        <x:v>Памятник №2 относится к XVII в. и выполнен в стиле нарышкинского барокко.</x:v>
      </x:c>
      <x:c r="P4058" s="30" t="str">
        <x:v>Модель сопоставлена с обязательными элементами официального критерия и историческими фактами.</x:v>
      </x:c>
      <x:c r="Q4058" s="30"/>
      <x:c r="R4058" s="30" t="str">
        <x:v>Zadanie_IS11_25112025_.pdf; Kriterii_IS11_25112025_.pdf</x:v>
      </x:c>
      <x:c r="S4058" s="30"/>
      <x:c r="T4058" s="30"/>
      <x:c r="U4058" s="30" t="str">
        <x:v>Расхождений не обнаружено.</x:v>
      </x:c>
      <x:c r="V4058" s="87" t="str">
        <x:v>VERIFIED</x:v>
      </x:c>
      <x:c r="W4058" s="87" t="str">
        <x:v>Zadanie_IS11_25112025_.pdf, вариантная стр. 11 (физическая стр. 24)</x:v>
      </x:c>
      <x:c r="X4058" s="87"/>
      <x:c r="Y4058" s="87"/>
      <x:c r="Z4058" s="87"/>
      <x:c r="AA4058" s="87"/>
      <x:c r="AB4058" s="87"/>
      <x:c r="AC4058" s="87" t="str">
        <x:v>VIS-HIST-NOV-046</x:v>
      </x:c>
      <x:c r="AD4058" s="87"/>
      <x:c r="AE4058" s="87"/>
      <x:c r="AF4058" s="87" t="str">
        <x:v>VIS-HIST-NOV-046: 24</x:v>
      </x:c>
      <x:c r="AG4058" s="87" t="str">
        <x:v>RESOLVED</x:v>
      </x:c>
      <x:c r="AH4058" s="87" t="str">
        <x:v>CROP_VERIFIED</x:v>
      </x:c>
      <x:c r="AI4058" s="30"/>
      <x:c r="AJ4058" s="87" t="str">
        <x:v>master</x:v>
      </x:c>
      <x:c r="AK4058" s="87" t="str">
        <x:v>master-v0.81</x:v>
      </x:c>
      <x:c r="AL4058" s="87" t="str">
        <x:v>statgrad_master_base_v0_81_final(2).xlsx</x:v>
      </x:c>
      <x:c r="AM4058" s="87" t="str">
        <x:v>HIST_Nov_V4</x:v>
      </x:c>
      <x:c r="AN4058" s="87" t="n">
        <x:v>17</x:v>
      </x:c>
    </x:row>
    <x:row r="4059">
      <x:c r="A4059" s="87" t="n">
        <x:v>4058</x:v>
      </x:c>
      <x:c r="B4059" s="87" t="str">
        <x:v>NOV-HIST-V4-017</x:v>
      </x:c>
      <x:c r="C4059" s="87" t="str">
        <x:v>СтатГрад</x:v>
      </x:c>
      <x:c r="D4059" s="87" t="str">
        <x:v>Ноябрь 2025</x:v>
      </x:c>
      <x:c r="E4059" s="87"/>
      <x:c r="F4059" s="87"/>
      <x:c r="G4059" s="87" t="str">
        <x:v>История</x:v>
      </x:c>
      <x:c r="H4059" s="87" t="n">
        <x:v>11</x:v>
      </x:c>
      <x:c r="I4059" s="87" t="str">
        <x:v>ТР №2</x:v>
      </x:c>
      <x:c r="J4059" s="87" t="str">
        <x:v>ИС2510204</x:v>
      </x:c>
      <x:c r="K4059" s="87" t="n">
        <x:v>17</x:v>
      </x:c>
      <x:c r="L4059" s="87" t="str">
        <x:v>Военная история по воспоминаниям</x:v>
      </x:c>
      <x:c r="M4059" s="30" t="str">
        <x:v>По воспоминаниям назвать год, военачальника и объяснить опасность положения.</x:v>
      </x:c>
      <x:c r="N4059" s="30" t="str">
        <x:v>1941; например, Г. К. Жуков; противник был истощён, но глубокие вклинения осложняли положение и позволяли ему подтягивать резервы.</x:v>
      </x:c>
      <x:c r="O4059" s="30" t="str">
        <x:v>Описание относится к подготовке контрнаступления под Москвой в конце 1941 г.; допустимы также И. С. Конев или С. К. Тимошенко.</x:v>
      </x:c>
      <x:c r="P4059" s="30" t="str">
        <x:v>Модель сопоставлена с обязательными элементами официального критерия и историческими фактами.</x:v>
      </x:c>
      <x:c r="Q4059" s="30"/>
      <x:c r="R4059" s="30" t="str">
        <x:v>Zadanie_IS11_25112025_.pdf; Kriterii_IS11_25112025_.pdf</x:v>
      </x:c>
      <x:c r="S4059" s="30"/>
      <x:c r="T4059" s="30"/>
      <x:c r="U4059" s="30" t="str">
        <x:v>Расхождений не обнаружено.</x:v>
      </x:c>
      <x:c r="V4059" s="87" t="str">
        <x:v>VERIFIED</x:v>
      </x:c>
      <x:c r="W4059" s="87" t="str">
        <x:v>Zadanie_IS11_25112025_.pdf, вариантная стр. 12 (физическая стр. 25)</x:v>
      </x:c>
      <x:c r="X4059" s="87"/>
      <x:c r="Y4059" s="87"/>
      <x:c r="Z4059" s="87"/>
      <x:c r="AA4059" s="87"/>
      <x:c r="AB4059" s="87"/>
      <x:c r="AC4059" s="87" t="str">
        <x:v>VIS-HIST-NOV-047</x:v>
      </x:c>
      <x:c r="AD4059" s="87"/>
      <x:c r="AE4059" s="87"/>
      <x:c r="AF4059" s="87" t="str">
        <x:v>VIS-HIST-NOV-047: 25</x:v>
      </x:c>
      <x:c r="AG4059" s="87" t="str">
        <x:v>RESOLVED</x:v>
      </x:c>
      <x:c r="AH4059" s="87" t="str">
        <x:v>CROP_VERIFIED</x:v>
      </x:c>
      <x:c r="AI4059" s="30"/>
      <x:c r="AJ4059" s="87" t="str">
        <x:v>master</x:v>
      </x:c>
      <x:c r="AK4059" s="87" t="str">
        <x:v>master-v0.81</x:v>
      </x:c>
      <x:c r="AL4059" s="87" t="str">
        <x:v>statgrad_master_base_v0_81_final(2).xlsx</x:v>
      </x:c>
      <x:c r="AM4059" s="87" t="str">
        <x:v>HIST_Nov_V4</x:v>
      </x:c>
      <x:c r="AN4059" s="87" t="n">
        <x:v>18</x:v>
      </x:c>
    </x:row>
    <x:row r="4060">
      <x:c r="A4060" s="87" t="n">
        <x:v>4059</x:v>
      </x:c>
      <x:c r="B4060" s="87" t="str">
        <x:v>NOV-HIST-V4-018</x:v>
      </x:c>
      <x:c r="C4060" s="87" t="str">
        <x:v>СтатГрад</x:v>
      </x:c>
      <x:c r="D4060" s="87" t="str">
        <x:v>Ноябрь 2025</x:v>
      </x:c>
      <x:c r="E4060" s="87"/>
      <x:c r="F4060" s="87"/>
      <x:c r="G4060" s="87" t="str">
        <x:v>История</x:v>
      </x:c>
      <x:c r="H4060" s="87" t="n">
        <x:v>11</x:v>
      </x:c>
      <x:c r="I4060" s="87" t="str">
        <x:v>ТР №2</x:v>
      </x:c>
      <x:c r="J4060" s="87" t="str">
        <x:v>ИС2510204</x:v>
      </x:c>
      <x:c r="K4060" s="87" t="n">
        <x:v>18</x:v>
      </x:c>
      <x:c r="L4060" s="87" t="str">
        <x:v>Причины и последствия</x:v>
      </x:c>
      <x:c r="M4060" s="30" t="str">
        <x:v>Объяснить причину участия России в разделах Речи Посполитой, последствие для отношений с Пруссией и проблему XIX в.</x:v>
      </x:c>
      <x:c r="N4060" s="30" t="str">
        <x:v>Россия считала присоединяемые земли бывшими русскими землями и возвращением под законную власть; разделы укрепили союз с Пруссией, заинтересованной в сохранении приобретений; возник «польский вопрос» — восстания 1830–1831 и 1863 гг. и участие поляков в революционном движении.</x:v>
      </x:c>
      <x:c r="O4060" s="30" t="str">
        <x:v>Три элемента раскрывают прошлое земель, международное последствие и проблему XIX в.</x:v>
      </x:c>
      <x:c r="P4060" s="30" t="str">
        <x:v>Модель сопоставлена с обязательными элементами официального критерия и историческими фактами.</x:v>
      </x:c>
      <x:c r="Q4060" s="30"/>
      <x:c r="R4060" s="30" t="str">
        <x:v>Zadanie_IS11_25112025_.pdf; Kriterii_IS11_25112025_.pdf</x:v>
      </x:c>
      <x:c r="S4060" s="30"/>
      <x:c r="T4060" s="30"/>
      <x:c r="U4060" s="30" t="str">
        <x:v>Расхождений не обнаружено.</x:v>
      </x:c>
      <x:c r="V4060" s="87" t="str">
        <x:v>VERIFIED</x:v>
      </x:c>
      <x:c r="W4060" s="87" t="str">
        <x:v>Zadanie_IS11_25112025_.pdf, вариантная стр. 13 (физическая стр. 26)</x:v>
      </x:c>
      <x:c r="X4060" s="87"/>
      <x:c r="Y4060" s="87"/>
      <x:c r="Z4060" s="87"/>
      <x:c r="AA4060" s="87"/>
      <x:c r="AB4060" s="87"/>
      <x:c r="AC4060" s="87" t="str">
        <x:v>VIS-HIST-NOV-048</x:v>
      </x:c>
      <x:c r="AD4060" s="87"/>
      <x:c r="AE4060" s="87"/>
      <x:c r="AF4060" s="87" t="str">
        <x:v>VIS-HIST-NOV-048: 26</x:v>
      </x:c>
      <x:c r="AG4060" s="87" t="str">
        <x:v>RESOLVED</x:v>
      </x:c>
      <x:c r="AH4060" s="87" t="str">
        <x:v>CROP_VERIFIED</x:v>
      </x:c>
      <x:c r="AI4060" s="30"/>
      <x:c r="AJ4060" s="87" t="str">
        <x:v>master</x:v>
      </x:c>
      <x:c r="AK4060" s="87" t="str">
        <x:v>master-v0.81</x:v>
      </x:c>
      <x:c r="AL4060" s="87" t="str">
        <x:v>statgrad_master_base_v0_81_final(2).xlsx</x:v>
      </x:c>
      <x:c r="AM4060" s="87" t="str">
        <x:v>HIST_Nov_V4</x:v>
      </x:c>
      <x:c r="AN4060" s="87" t="n">
        <x:v>19</x:v>
      </x:c>
    </x:row>
    <x:row r="4061">
      <x:c r="A4061" s="87" t="n">
        <x:v>4060</x:v>
      </x:c>
      <x:c r="B4061" s="87" t="str">
        <x:v>NOV-HIST-V4-019</x:v>
      </x:c>
      <x:c r="C4061" s="87" t="str">
        <x:v>СтатГрад</x:v>
      </x:c>
      <x:c r="D4061" s="87" t="str">
        <x:v>Ноябрь 2025</x:v>
      </x:c>
      <x:c r="E4061" s="87"/>
      <x:c r="F4061" s="87"/>
      <x:c r="G4061" s="87" t="str">
        <x:v>История</x:v>
      </x:c>
      <x:c r="H4061" s="87" t="n">
        <x:v>11</x:v>
      </x:c>
      <x:c r="I4061" s="87" t="str">
        <x:v>ТР №2</x:v>
      </x:c>
      <x:c r="J4061" s="87" t="str">
        <x:v>ИС2510204</x:v>
      </x:c>
      <x:c r="K4061" s="87" t="n">
        <x:v>19</x:v>
      </x:c>
      <x:c r="L4061" s="87" t="str">
        <x:v>Историческое понятие</x:v>
      </x:c>
      <x:c r="M4061" s="30" t="str">
        <x:v>Раскрыть понятие «местничество» и привести отдельный факт.</x:v>
      </x:c>
      <x:c r="N4061" s="30" t="str">
        <x:v>Местничество — система назначения на военные, административные и придворные должности по знатности рода и служебному положению предков; отменено в 1682 г.</x:v>
      </x:c>
      <x:c r="O4061" s="30" t="str">
        <x:v>Определение и конкретный факт разделены.</x:v>
      </x:c>
      <x:c r="P4061" s="30" t="str">
        <x:v>Модель сопоставлена с обязательными элементами официального критерия и историческими фактами.</x:v>
      </x:c>
      <x:c r="Q4061" s="30"/>
      <x:c r="R4061" s="30" t="str">
        <x:v>Zadanie_IS11_25112025_.pdf; Kriterii_IS11_25112025_.pdf</x:v>
      </x:c>
      <x:c r="S4061" s="30"/>
      <x:c r="T4061" s="30"/>
      <x:c r="U4061" s="30" t="str">
        <x:v>Расхождений не обнаружено.</x:v>
      </x:c>
      <x:c r="V4061" s="87" t="str">
        <x:v>VERIFIED</x:v>
      </x:c>
      <x:c r="W4061" s="87" t="str">
        <x:v>Zadanie_IS11_25112025_.pdf, вариантная стр. 13 (физическая стр. 26)</x:v>
      </x:c>
      <x:c r="X4061" s="87"/>
      <x:c r="Y4061" s="87"/>
      <x:c r="Z4061" s="87"/>
      <x:c r="AA4061" s="87"/>
      <x:c r="AB4061" s="87"/>
      <x:c r="AC4061" s="87" t="str">
        <x:v>VIS-HIST-NOV-048</x:v>
      </x:c>
      <x:c r="AD4061" s="87"/>
      <x:c r="AE4061" s="87"/>
      <x:c r="AF4061" s="87" t="str">
        <x:v>VIS-HIST-NOV-048: 26</x:v>
      </x:c>
      <x:c r="AG4061" s="87" t="str">
        <x:v>RESOLVED</x:v>
      </x:c>
      <x:c r="AH4061" s="87" t="str">
        <x:v>CROP_VERIFIED</x:v>
      </x:c>
      <x:c r="AI4061" s="30"/>
      <x:c r="AJ4061" s="87" t="str">
        <x:v>master</x:v>
      </x:c>
      <x:c r="AK4061" s="87" t="str">
        <x:v>master-v0.81</x:v>
      </x:c>
      <x:c r="AL4061" s="87" t="str">
        <x:v>statgrad_master_base_v0_81_final(2).xlsx</x:v>
      </x:c>
      <x:c r="AM4061" s="87" t="str">
        <x:v>HIST_Nov_V4</x:v>
      </x:c>
      <x:c r="AN4061" s="87" t="n">
        <x:v>20</x:v>
      </x:c>
    </x:row>
    <x:row r="4062">
      <x:c r="A4062" s="87" t="n">
        <x:v>4061</x:v>
      </x:c>
      <x:c r="B4062" s="87" t="str">
        <x:v>NOV-HIST-V4-020</x:v>
      </x:c>
      <x:c r="C4062" s="87" t="str">
        <x:v>СтатГрад</x:v>
      </x:c>
      <x:c r="D4062" s="87" t="str">
        <x:v>Ноябрь 2025</x:v>
      </x:c>
      <x:c r="E4062" s="87"/>
      <x:c r="F4062" s="87"/>
      <x:c r="G4062" s="87" t="str">
        <x:v>История</x:v>
      </x:c>
      <x:c r="H4062" s="87" t="n">
        <x:v>11</x:v>
      </x:c>
      <x:c r="I4062" s="87" t="str">
        <x:v>ТР №2</x:v>
      </x:c>
      <x:c r="J4062" s="87" t="str">
        <x:v>ИС2510204</x:v>
      </x:c>
      <x:c r="K4062" s="87" t="n">
        <x:v>20</x:v>
      </x:c>
      <x:c r="L4062" s="87" t="str">
        <x:v>Сравнительный тезис и обоснования</x:v>
      </x:c>
      <x:c r="M4062" s="30" t="str">
        <x:v>Сформулировать тезис о различиях внешнеполитического положения СССР в 1964–1985 и 1985–1991 гг. и привести два парных обоснования.</x:v>
      </x:c>
      <x:c r="N4062" s="30" t="str">
        <x:v>В 1985–1991 гг. международное влияние СССР снизилось: в 1964–1985 гг. СССР контролировал социалистический блок, а к 1990 г. после «бархатных революций» утратил этот контроль; ранее имел широкое военное присутствие, тогда как затем вывел войска из Афганистана и Восточной Европы и свернул базы.</x:v>
      </x:c>
      <x:c r="O4062" s="30" t="str">
        <x:v>Есть тезис и два парных сопоставления периодов.</x:v>
      </x:c>
      <x:c r="P4062" s="30" t="str">
        <x:v>Модель сопоставлена с обязательными элементами официального критерия и историческими фактами.</x:v>
      </x:c>
      <x:c r="Q4062" s="30"/>
      <x:c r="R4062" s="30" t="str">
        <x:v>Zadanie_IS11_25112025_.pdf; Kriterii_IS11_25112025_.pdf</x:v>
      </x:c>
      <x:c r="S4062" s="30"/>
      <x:c r="T4062" s="30"/>
      <x:c r="U4062" s="30" t="str">
        <x:v>Расхождений не обнаружено.</x:v>
      </x:c>
      <x:c r="V4062" s="87" t="str">
        <x:v>VERIFIED</x:v>
      </x:c>
      <x:c r="W4062" s="87" t="str">
        <x:v>Zadanie_IS11_25112025_.pdf, вариантная стр. 13 (физическая стр. 26)</x:v>
      </x:c>
      <x:c r="X4062" s="87"/>
      <x:c r="Y4062" s="87"/>
      <x:c r="Z4062" s="87"/>
      <x:c r="AA4062" s="87"/>
      <x:c r="AB4062" s="87"/>
      <x:c r="AC4062" s="87" t="str">
        <x:v>VIS-HIST-NOV-048</x:v>
      </x:c>
      <x:c r="AD4062" s="87"/>
      <x:c r="AE4062" s="87"/>
      <x:c r="AF4062" s="87" t="str">
        <x:v>VIS-HIST-NOV-048: 26</x:v>
      </x:c>
      <x:c r="AG4062" s="87" t="str">
        <x:v>RESOLVED</x:v>
      </x:c>
      <x:c r="AH4062" s="87" t="str">
        <x:v>CROP_VERIFIED</x:v>
      </x:c>
      <x:c r="AI4062" s="30"/>
      <x:c r="AJ4062" s="87" t="str">
        <x:v>master</x:v>
      </x:c>
      <x:c r="AK4062" s="87" t="str">
        <x:v>master-v0.81</x:v>
      </x:c>
      <x:c r="AL4062" s="87" t="str">
        <x:v>statgrad_master_base_v0_81_final(2).xlsx</x:v>
      </x:c>
      <x:c r="AM4062" s="87" t="str">
        <x:v>HIST_Nov_V4</x:v>
      </x:c>
      <x:c r="AN4062" s="87" t="n">
        <x:v>21</x:v>
      </x:c>
    </x:row>
    <x:row r="4063">
      <x:c r="A4063" s="87" t="n">
        <x:v>4062</x:v>
      </x:c>
      <x:c r="B4063" s="87" t="str">
        <x:v>NOV-HIST-V4-021</x:v>
      </x:c>
      <x:c r="C4063" s="87" t="str">
        <x:v>СтатГрад</x:v>
      </x:c>
      <x:c r="D4063" s="87" t="str">
        <x:v>Ноябрь 2025</x:v>
      </x:c>
      <x:c r="E4063" s="87"/>
      <x:c r="F4063" s="87"/>
      <x:c r="G4063" s="87" t="str">
        <x:v>История</x:v>
      </x:c>
      <x:c r="H4063" s="87" t="n">
        <x:v>11</x:v>
      </x:c>
      <x:c r="I4063" s="87" t="str">
        <x:v>ТР №2</x:v>
      </x:c>
      <x:c r="J4063" s="87" t="str">
        <x:v>ИС2510204</x:v>
      </x:c>
      <x:c r="K4063" s="87" t="n">
        <x:v>21</x:v>
      </x:c>
      <x:c r="L4063" s="87" t="str">
        <x:v>Аргументация по истории России и зарубежных стран</x:v>
      </x:c>
      <x:c r="M4063" s="30" t="str">
        <x:v>Доказать, что проблемы престолонаследия вызвали кровавые конфликты в Московском княжестве и Англии XV в.</x:v>
      </x:c>
      <x:c r="N4063" s="30" t="str">
        <x:v>Москва: после смерти Василия I в 1425 г. спор между его сыном Василием II и дядей Юрием Дмитриевичем из-за прямого и бокового порядка наследования вызвал длительную междоусобную войну. Англия: недееспособность Генриха VI и соперничество династий Йорков и Ланкастеров за престол привели к войнам Алой и Белой розы.</x:v>
      </x:c>
      <x:c r="O4063" s="30" t="str">
        <x:v>Исправлено: официальный критерий ошибочно называет Генриха VII; исторически верен Генрих VI.</x:v>
      </x:c>
      <x:c r="P4063" s="30" t="str">
        <x:v>Модель сопоставлена с обязательными элементами официального критерия и историческими фактами.</x:v>
      </x:c>
      <x:c r="Q4063" s="30"/>
      <x:c r="R4063" s="30" t="str">
        <x:v>Zadanie_IS11_25112025_.pdf; Kriterii_IS11_25112025_.pdf</x:v>
      </x:c>
      <x:c r="S4063" s="30"/>
      <x:c r="T4063" s="30"/>
      <x:c r="U4063" s="30" t="str">
        <x:v>Официальный критерий ошибочно называет Генриха VII; принят исторически верный Генрих VI.</x:v>
      </x:c>
      <x:c r="V4063" s="87" t="str">
        <x:v>KEY_MISMATCH</x:v>
      </x:c>
      <x:c r="W4063" s="87" t="str">
        <x:v>Zadanie_IS11_25112025_.pdf, вариантная стр. 13 (физическая стр. 26)</x:v>
      </x:c>
      <x:c r="X4063" s="87"/>
      <x:c r="Y4063" s="87"/>
      <x:c r="Z4063" s="87"/>
      <x:c r="AA4063" s="87"/>
      <x:c r="AB4063" s="87"/>
      <x:c r="AC4063" s="87" t="str">
        <x:v>VIS-HIST-NOV-048</x:v>
      </x:c>
      <x:c r="AD4063" s="87"/>
      <x:c r="AE4063" s="87"/>
      <x:c r="AF4063" s="87" t="str">
        <x:v>VIS-HIST-NOV-048: 26</x:v>
      </x:c>
      <x:c r="AG4063" s="87" t="str">
        <x:v>RESOLVED</x:v>
      </x:c>
      <x:c r="AH4063" s="87" t="str">
        <x:v>CROP_VERIFIED</x:v>
      </x:c>
      <x:c r="AI4063" s="30"/>
      <x:c r="AJ4063" s="87" t="str">
        <x:v>master</x:v>
      </x:c>
      <x:c r="AK4063" s="87" t="str">
        <x:v>master-v0.81</x:v>
      </x:c>
      <x:c r="AL4063" s="87" t="str">
        <x:v>statgrad_master_base_v0_81_final(2).xlsx</x:v>
      </x:c>
      <x:c r="AM4063" s="87" t="str">
        <x:v>HIST_Nov_V4</x:v>
      </x:c>
      <x:c r="AN4063" s="87" t="n">
        <x:v>22</x:v>
      </x:c>
    </x:row>
    <x:row r="4064">
      <x:c r="A4064" s="87" t="n">
        <x:v>4063</x:v>
      </x:c>
      <x:c r="B4064" s="87" t="str">
        <x:v>NOV-ENG-W-V1-001</x:v>
      </x:c>
      <x:c r="C4064" s="87" t="str">
        <x:v>СтатГрад</x:v>
      </x:c>
      <x:c r="D4064" s="87" t="str">
        <x:v>Ноябрь 2025</x:v>
      </x:c>
      <x:c r="E4064" s="87"/>
      <x:c r="F4064" s="87"/>
      <x:c r="G4064" s="87" t="str">
        <x:v>Английский язык</x:v>
      </x:c>
      <x:c r="H4064" s="87" t="n">
        <x:v>11</x:v>
      </x:c>
      <x:c r="I4064" s="87" t="str">
        <x:v>ТР №1</x:v>
      </x:c>
      <x:c r="J4064" s="87" t="str">
        <x:v>АЯ2510101</x:v>
      </x:c>
      <x:c r="K4064" s="87" t="n">
        <x:v>1</x:v>
      </x:c>
      <x:c r="L4064" s="87" t="str">
        <x:v>Аудирование: соответствие</x:v>
      </x:c>
      <x:c r="M4064" s="30" t="str">
        <x:v>Соотнесите шесть высказываний A–F о сне с утверждениями 1–7.</x:v>
      </x:c>
      <x:c r="N4064" s="30" t="str">
        <x:v>635174</x:v>
      </x:c>
      <x:c r="O4064" s="30" t="str">
        <x:v>A — строгий режим сна (6); B — пример Бальзака (3); C — различия итальянской и американской культуры сна (5); D — тревога из-за недосыпа подростков (1); E — ценность старой традиции двухфазного сна (7); F — человек не знал об апноэ (4).</x:v>
      </x:c>
      <x:c r="P4064" s="30" t="str">
        <x:v>Каждое соответствие подтверждено прямым смыслом реплики; утверждение 2 лишнее.</x:v>
      </x:c>
      <x:c r="Q4064" s="30"/>
      <x:c r="R4064" s="30" t="str">
        <x:v>635174</x:v>
      </x:c>
      <x:c r="S4064" s="30"/>
      <x:c r="T4064" s="30"/>
      <x:c r="U4064" s="30" t="str">
        <x:v>Расхождений нет.</x:v>
      </x:c>
      <x:c r="V4064" s="87" t="str">
        <x:v>VERIFIED</x:v>
      </x:c>
      <x:c r="W4064" s="87" t="n">
        <x:v>2</x:v>
      </x:c>
      <x:c r="X4064" s="87"/>
      <x:c r="Y4064" s="87"/>
      <x:c r="Z4064" s="87"/>
      <x:c r="AA4064" s="87"/>
      <x:c r="AB4064" s="87"/>
      <x:c r="AC4064" s="87"/>
      <x:c r="AD4064" s="87"/>
      <x:c r="AE4064" s="87"/>
      <x:c r="AF4064" s="87"/>
      <x:c r="AG4064" s="87"/>
      <x:c r="AH4064" s="87"/>
      <x:c r="AI4064" s="30"/>
      <x:c r="AJ4064" s="87" t="str">
        <x:v>clean</x:v>
      </x:c>
      <x:c r="AK4064" s="87" t="str">
        <x:v>clean-v0.01</x:v>
      </x:c>
      <x:c r="AL4064" s="87" t="str">
        <x:v>statgrad_clean_continuation_v0_01(1).xlsx</x:v>
      </x:c>
      <x:c r="AM4064" s="87" t="str">
        <x:v>ENG_Nov_Written_V1</x:v>
      </x:c>
      <x:c r="AN4064" s="87" t="n">
        <x:v>4</x:v>
      </x:c>
    </x:row>
    <x:row r="4065">
      <x:c r="A4065" s="87" t="n">
        <x:v>4064</x:v>
      </x:c>
      <x:c r="B4065" s="87" t="str">
        <x:v>NOV-ENG-W-V1-002</x:v>
      </x:c>
      <x:c r="C4065" s="87" t="str">
        <x:v>СтатГрад</x:v>
      </x:c>
      <x:c r="D4065" s="87" t="str">
        <x:v>Ноябрь 2025</x:v>
      </x:c>
      <x:c r="E4065" s="87"/>
      <x:c r="F4065" s="87"/>
      <x:c r="G4065" s="87" t="str">
        <x:v>Английский язык</x:v>
      </x:c>
      <x:c r="H4065" s="87" t="n">
        <x:v>11</x:v>
      </x:c>
      <x:c r="I4065" s="87" t="str">
        <x:v>ТР №1</x:v>
      </x:c>
      <x:c r="J4065" s="87" t="str">
        <x:v>АЯ2510101</x:v>
      </x:c>
      <x:c r="K4065" s="87" t="n">
        <x:v>2</x:v>
      </x:c>
      <x:c r="L4065" s="87" t="str">
        <x:v>Аудирование: True / False / Not stated</x:v>
      </x:c>
      <x:c r="M4065" s="30" t="str">
        <x:v>Определите соответствие утверждений A–G диалогу Белль и Денниса.</x:v>
      </x:c>
      <x:c r="N4065" s="30" t="str">
        <x:v>2213131</x:v>
      </x:c>
      <x:c r="O4065" s="30" t="str">
        <x:v>A — False: они учатся в испанском классе; B — False: знакомы по нынешнему классу только год; C — True: семья ещё не ездила во Францию; D — Not stated: отпуск Белль не обсуждается; E — True: у неё чёрный футляр; F — Not stated: Деннис лишь восхищается саксофоном; G — True: концерт проходит в последний день лета.</x:v>
      </x:c>
      <x:c r="P4065" s="30" t="str">
        <x:v>Все семь позиций проверены по полному скрипту диалога.</x:v>
      </x:c>
      <x:c r="Q4065" s="30"/>
      <x:c r="R4065" s="30" t="str">
        <x:v>2213131</x:v>
      </x:c>
      <x:c r="S4065" s="30"/>
      <x:c r="T4065" s="30"/>
      <x:c r="U4065" s="30" t="str">
        <x:v>Расхождений нет.</x:v>
      </x:c>
      <x:c r="V4065" s="87" t="str">
        <x:v>VERIFIED</x:v>
      </x:c>
      <x:c r="W4065" s="87" t="n">
        <x:v>2</x:v>
      </x:c>
      <x:c r="X4065" s="87"/>
      <x:c r="Y4065" s="87"/>
      <x:c r="Z4065" s="87"/>
      <x:c r="AA4065" s="87"/>
      <x:c r="AB4065" s="87"/>
      <x:c r="AC4065" s="87"/>
      <x:c r="AD4065" s="87"/>
      <x:c r="AE4065" s="87"/>
      <x:c r="AF4065" s="87"/>
      <x:c r="AG4065" s="87"/>
      <x:c r="AH4065" s="87"/>
      <x:c r="AI4065" s="30"/>
      <x:c r="AJ4065" s="87" t="str">
        <x:v>clean</x:v>
      </x:c>
      <x:c r="AK4065" s="87" t="str">
        <x:v>clean-v0.01</x:v>
      </x:c>
      <x:c r="AL4065" s="87" t="str">
        <x:v>statgrad_clean_continuation_v0_01(1).xlsx</x:v>
      </x:c>
      <x:c r="AM4065" s="87" t="str">
        <x:v>ENG_Nov_Written_V1</x:v>
      </x:c>
      <x:c r="AN4065" s="87" t="n">
        <x:v>5</x:v>
      </x:c>
    </x:row>
    <x:row r="4066">
      <x:c r="A4066" s="87" t="n">
        <x:v>4065</x:v>
      </x:c>
      <x:c r="B4066" s="87" t="str">
        <x:v>NOV-ENG-W-V1-003</x:v>
      </x:c>
      <x:c r="C4066" s="87" t="str">
        <x:v>СтатГрад</x:v>
      </x:c>
      <x:c r="D4066" s="87" t="str">
        <x:v>Ноябрь 2025</x:v>
      </x:c>
      <x:c r="E4066" s="87"/>
      <x:c r="F4066" s="87"/>
      <x:c r="G4066" s="87" t="str">
        <x:v>Английский язык</x:v>
      </x:c>
      <x:c r="H4066" s="87" t="n">
        <x:v>11</x:v>
      </x:c>
      <x:c r="I4066" s="87" t="str">
        <x:v>ТР №1</x:v>
      </x:c>
      <x:c r="J4066" s="87" t="str">
        <x:v>АЯ2510101</x:v>
      </x:c>
      <x:c r="K4066" s="87" t="n">
        <x:v>3</x:v>
      </x:c>
      <x:c r="L4066" s="87" t="str">
        <x:v>Аудирование: выбор ответа</x:v>
      </x:c>
      <x:c r="M4066" s="30" t="str">
        <x:v>Что сообщается о докторе Джеймсе Пенне в начале интервью?</x:v>
      </x:c>
      <x:c r="N4066" s="30" t="str">
        <x:v>1</x:v>
      </x:c>
      <x:c r="O4066" s="30" t="str">
        <x:v>Слова his latest book показывают, что он написал более одной книги; о премии и месте рождения не говорится.</x:v>
      </x:c>
      <x:c r="P4066" s="30" t="str">
        <x:v>Ответ проверен по прямым словам интервью и исключением остальных вариантов.</x:v>
      </x:c>
      <x:c r="Q4066" s="30"/>
      <x:c r="R4066" s="30" t="str">
        <x:v>нет в таблице</x:v>
      </x:c>
      <x:c r="S4066" s="30"/>
      <x:c r="T4066" s="30"/>
      <x:c r="U4066" s="30" t="str">
        <x:v>Решено независимо по полному скрипту.</x:v>
      </x:c>
      <x:c r="V4066" s="87" t="str">
        <x:v>VERIFIED</x:v>
      </x:c>
      <x:c r="W4066" s="87" t="n">
        <x:v>3</x:v>
      </x:c>
      <x:c r="X4066" s="87"/>
      <x:c r="Y4066" s="87"/>
      <x:c r="Z4066" s="87"/>
      <x:c r="AA4066" s="87"/>
      <x:c r="AB4066" s="87"/>
      <x:c r="AC4066" s="87"/>
      <x:c r="AD4066" s="87"/>
      <x:c r="AE4066" s="87"/>
      <x:c r="AF4066" s="87"/>
      <x:c r="AG4066" s="87"/>
      <x:c r="AH4066" s="87"/>
      <x:c r="AI4066" s="30"/>
      <x:c r="AJ4066" s="87" t="str">
        <x:v>clean</x:v>
      </x:c>
      <x:c r="AK4066" s="87" t="str">
        <x:v>clean-v0.01</x:v>
      </x:c>
      <x:c r="AL4066" s="87" t="str">
        <x:v>statgrad_clean_continuation_v0_01(1).xlsx</x:v>
      </x:c>
      <x:c r="AM4066" s="87" t="str">
        <x:v>ENG_Nov_Written_V1</x:v>
      </x:c>
      <x:c r="AN4066" s="87" t="n">
        <x:v>6</x:v>
      </x:c>
    </x:row>
    <x:row r="4067">
      <x:c r="A4067" s="87" t="n">
        <x:v>4066</x:v>
      </x:c>
      <x:c r="B4067" s="87" t="str">
        <x:v>NOV-ENG-W-V1-004</x:v>
      </x:c>
      <x:c r="C4067" s="87" t="str">
        <x:v>СтатГрад</x:v>
      </x:c>
      <x:c r="D4067" s="87" t="str">
        <x:v>Ноябрь 2025</x:v>
      </x:c>
      <x:c r="E4067" s="87"/>
      <x:c r="F4067" s="87"/>
      <x:c r="G4067" s="87" t="str">
        <x:v>Английский язык</x:v>
      </x:c>
      <x:c r="H4067" s="87" t="n">
        <x:v>11</x:v>
      </x:c>
      <x:c r="I4067" s="87" t="str">
        <x:v>ТР №1</x:v>
      </x:c>
      <x:c r="J4067" s="87" t="str">
        <x:v>АЯ2510101</x:v>
      </x:c>
      <x:c r="K4067" s="87" t="n">
        <x:v>4</x:v>
      </x:c>
      <x:c r="L4067" s="87" t="str">
        <x:v>Аудирование: выбор ответа</x:v>
      </x:c>
      <x:c r="M4067" s="30" t="str">
        <x:v>Почему правило 10 000 шагов так популярно?</x:v>
      </x:c>
      <x:c r="N4067" s="30" t="str">
        <x:v>2</x:v>
      </x:c>
      <x:c r="O4067" s="30" t="str">
        <x:v>Число легко запомнить, а современным людям нравятся измеримые цели и показатели.</x:v>
      </x:c>
      <x:c r="P4067" s="30" t="str">
        <x:v>Ответ проверен по прямым словам интервью и исключением остальных вариантов.</x:v>
      </x:c>
      <x:c r="Q4067" s="30"/>
      <x:c r="R4067" s="30" t="str">
        <x:v>нет в таблице</x:v>
      </x:c>
      <x:c r="S4067" s="30"/>
      <x:c r="T4067" s="30"/>
      <x:c r="U4067" s="30" t="str">
        <x:v>Решено независимо по полному скрипту.</x:v>
      </x:c>
      <x:c r="V4067" s="87" t="str">
        <x:v>VERIFIED</x:v>
      </x:c>
      <x:c r="W4067" s="87" t="n">
        <x:v>3</x:v>
      </x:c>
      <x:c r="X4067" s="87"/>
      <x:c r="Y4067" s="87"/>
      <x:c r="Z4067" s="87"/>
      <x:c r="AA4067" s="87"/>
      <x:c r="AB4067" s="87"/>
      <x:c r="AC4067" s="87"/>
      <x:c r="AD4067" s="87"/>
      <x:c r="AE4067" s="87"/>
      <x:c r="AF4067" s="87"/>
      <x:c r="AG4067" s="87"/>
      <x:c r="AH4067" s="87"/>
      <x:c r="AI4067" s="30"/>
      <x:c r="AJ4067" s="87" t="str">
        <x:v>clean</x:v>
      </x:c>
      <x:c r="AK4067" s="87" t="str">
        <x:v>clean-v0.01</x:v>
      </x:c>
      <x:c r="AL4067" s="87" t="str">
        <x:v>statgrad_clean_continuation_v0_01(1).xlsx</x:v>
      </x:c>
      <x:c r="AM4067" s="87" t="str">
        <x:v>ENG_Nov_Written_V1</x:v>
      </x:c>
      <x:c r="AN4067" s="87" t="n">
        <x:v>7</x:v>
      </x:c>
    </x:row>
    <x:row r="4068">
      <x:c r="A4068" s="87" t="n">
        <x:v>4067</x:v>
      </x:c>
      <x:c r="B4068" s="87" t="str">
        <x:v>NOV-ENG-W-V1-005</x:v>
      </x:c>
      <x:c r="C4068" s="87" t="str">
        <x:v>СтатГрад</x:v>
      </x:c>
      <x:c r="D4068" s="87" t="str">
        <x:v>Ноябрь 2025</x:v>
      </x:c>
      <x:c r="E4068" s="87"/>
      <x:c r="F4068" s="87"/>
      <x:c r="G4068" s="87" t="str">
        <x:v>Английский язык</x:v>
      </x:c>
      <x:c r="H4068" s="87" t="n">
        <x:v>11</x:v>
      </x:c>
      <x:c r="I4068" s="87" t="str">
        <x:v>ТР №1</x:v>
      </x:c>
      <x:c r="J4068" s="87" t="str">
        <x:v>АЯ2510101</x:v>
      </x:c>
      <x:c r="K4068" s="87" t="n">
        <x:v>5</x:v>
      </x:c>
      <x:c r="L4068" s="87" t="str">
        <x:v>Аудирование: выбор ответа</x:v>
      </x:c>
      <x:c r="M4068" s="30" t="str">
        <x:v>Как возникло число 10 000 шагов?</x:v>
      </x:c>
      <x:c r="N4068" s="30" t="str">
        <x:v>2</x:v>
      </x:c>
      <x:c r="O4068" s="30" t="str">
        <x:v>Оно опиралось на приблизительную оценку профессора Хатано и было округлено до привлекательного круглого числа.</x:v>
      </x:c>
      <x:c r="P4068" s="30" t="str">
        <x:v>Ответ проверен по прямым словам интервью и исключением остальных вариантов.</x:v>
      </x:c>
      <x:c r="Q4068" s="30"/>
      <x:c r="R4068" s="30" t="str">
        <x:v>нет в таблице</x:v>
      </x:c>
      <x:c r="S4068" s="30"/>
      <x:c r="T4068" s="30"/>
      <x:c r="U4068" s="30" t="str">
        <x:v>Решено независимо по полному скрипту.</x:v>
      </x:c>
      <x:c r="V4068" s="87" t="str">
        <x:v>VERIFIED</x:v>
      </x:c>
      <x:c r="W4068" s="87" t="n">
        <x:v>3</x:v>
      </x:c>
      <x:c r="X4068" s="87"/>
      <x:c r="Y4068" s="87"/>
      <x:c r="Z4068" s="87"/>
      <x:c r="AA4068" s="87"/>
      <x:c r="AB4068" s="87"/>
      <x:c r="AC4068" s="87"/>
      <x:c r="AD4068" s="87"/>
      <x:c r="AE4068" s="87"/>
      <x:c r="AF4068" s="87"/>
      <x:c r="AG4068" s="87"/>
      <x:c r="AH4068" s="87"/>
      <x:c r="AI4068" s="30"/>
      <x:c r="AJ4068" s="87" t="str">
        <x:v>clean</x:v>
      </x:c>
      <x:c r="AK4068" s="87" t="str">
        <x:v>clean-v0.01</x:v>
      </x:c>
      <x:c r="AL4068" s="87" t="str">
        <x:v>statgrad_clean_continuation_v0_01(1).xlsx</x:v>
      </x:c>
      <x:c r="AM4068" s="87" t="str">
        <x:v>ENG_Nov_Written_V1</x:v>
      </x:c>
      <x:c r="AN4068" s="87" t="n">
        <x:v>8</x:v>
      </x:c>
    </x:row>
    <x:row r="4069">
      <x:c r="A4069" s="87" t="n">
        <x:v>4068</x:v>
      </x:c>
      <x:c r="B4069" s="87" t="str">
        <x:v>NOV-ENG-W-V1-006</x:v>
      </x:c>
      <x:c r="C4069" s="87" t="str">
        <x:v>СтатГрад</x:v>
      </x:c>
      <x:c r="D4069" s="87" t="str">
        <x:v>Ноябрь 2025</x:v>
      </x:c>
      <x:c r="E4069" s="87"/>
      <x:c r="F4069" s="87"/>
      <x:c r="G4069" s="87" t="str">
        <x:v>Английский язык</x:v>
      </x:c>
      <x:c r="H4069" s="87" t="n">
        <x:v>11</x:v>
      </x:c>
      <x:c r="I4069" s="87" t="str">
        <x:v>ТР №1</x:v>
      </x:c>
      <x:c r="J4069" s="87" t="str">
        <x:v>АЯ2510101</x:v>
      </x:c>
      <x:c r="K4069" s="87" t="n">
        <x:v>6</x:v>
      </x:c>
      <x:c r="L4069" s="87" t="str">
        <x:v>Аудирование: выбор ответа</x:v>
      </x:c>
      <x:c r="M4069" s="30" t="str">
        <x:v>Что известно о шагомерах до 1960-х годов?</x:v>
      </x:c>
      <x:c r="N4069" s="30" t="str">
        <x:v>1</x:v>
      </x:c>
      <x:c r="O4069" s="30" t="str">
        <x:v>Ранние механические шагомеры были в основном любопытными устройствами, а не массовым средством контроля здоровья.</x:v>
      </x:c>
      <x:c r="P4069" s="30" t="str">
        <x:v>Ответ проверен по прямым словам интервью и исключением остальных вариантов.</x:v>
      </x:c>
      <x:c r="Q4069" s="30"/>
      <x:c r="R4069" s="30" t="str">
        <x:v>нет в таблице</x:v>
      </x:c>
      <x:c r="S4069" s="30"/>
      <x:c r="T4069" s="30"/>
      <x:c r="U4069" s="30" t="str">
        <x:v>Решено независимо по полному скрипту.</x:v>
      </x:c>
      <x:c r="V4069" s="87" t="str">
        <x:v>VERIFIED</x:v>
      </x:c>
      <x:c r="W4069" s="87" t="n">
        <x:v>3</x:v>
      </x:c>
      <x:c r="X4069" s="87"/>
      <x:c r="Y4069" s="87"/>
      <x:c r="Z4069" s="87"/>
      <x:c r="AA4069" s="87"/>
      <x:c r="AB4069" s="87"/>
      <x:c r="AC4069" s="87"/>
      <x:c r="AD4069" s="87"/>
      <x:c r="AE4069" s="87"/>
      <x:c r="AF4069" s="87"/>
      <x:c r="AG4069" s="87"/>
      <x:c r="AH4069" s="87"/>
      <x:c r="AI4069" s="30"/>
      <x:c r="AJ4069" s="87" t="str">
        <x:v>clean</x:v>
      </x:c>
      <x:c r="AK4069" s="87" t="str">
        <x:v>clean-v0.01</x:v>
      </x:c>
      <x:c r="AL4069" s="87" t="str">
        <x:v>statgrad_clean_continuation_v0_01(1).xlsx</x:v>
      </x:c>
      <x:c r="AM4069" s="87" t="str">
        <x:v>ENG_Nov_Written_V1</x:v>
      </x:c>
      <x:c r="AN4069" s="87" t="n">
        <x:v>9</x:v>
      </x:c>
    </x:row>
    <x:row r="4070">
      <x:c r="A4070" s="87" t="n">
        <x:v>4069</x:v>
      </x:c>
      <x:c r="B4070" s="87" t="str">
        <x:v>NOV-ENG-W-V1-007</x:v>
      </x:c>
      <x:c r="C4070" s="87" t="str">
        <x:v>СтатГрад</x:v>
      </x:c>
      <x:c r="D4070" s="87" t="str">
        <x:v>Ноябрь 2025</x:v>
      </x:c>
      <x:c r="E4070" s="87"/>
      <x:c r="F4070" s="87"/>
      <x:c r="G4070" s="87" t="str">
        <x:v>Английский язык</x:v>
      </x:c>
      <x:c r="H4070" s="87" t="n">
        <x:v>11</x:v>
      </x:c>
      <x:c r="I4070" s="87" t="str">
        <x:v>ТР №1</x:v>
      </x:c>
      <x:c r="J4070" s="87" t="str">
        <x:v>АЯ2510101</x:v>
      </x:c>
      <x:c r="K4070" s="87" t="n">
        <x:v>7</x:v>
      </x:c>
      <x:c r="L4070" s="87" t="str">
        <x:v>Аудирование: выбор ответа</x:v>
      </x:c>
      <x:c r="M4070" s="30" t="str">
        <x:v>Что означает выражение useful myth?</x:v>
      </x:c>
      <x:c r="N4070" s="30" t="str">
        <x:v>3</x:v>
      </x:c>
      <x:c r="O4070" s="30" t="str">
        <x:v>Правило может мотивировать и помогать двигаться, но не является научно установленной универсальной нормой.</x:v>
      </x:c>
      <x:c r="P4070" s="30" t="str">
        <x:v>Ответ проверен по прямым словам интервью и исключением остальных вариантов.</x:v>
      </x:c>
      <x:c r="Q4070" s="30"/>
      <x:c r="R4070" s="30" t="str">
        <x:v>нет в таблице</x:v>
      </x:c>
      <x:c r="S4070" s="30"/>
      <x:c r="T4070" s="30"/>
      <x:c r="U4070" s="30" t="str">
        <x:v>Решено независимо по полному скрипту.</x:v>
      </x:c>
      <x:c r="V4070" s="87" t="str">
        <x:v>VERIFIED</x:v>
      </x:c>
      <x:c r="W4070" s="87" t="n">
        <x:v>4</x:v>
      </x:c>
      <x:c r="X4070" s="87"/>
      <x:c r="Y4070" s="87"/>
      <x:c r="Z4070" s="87"/>
      <x:c r="AA4070" s="87"/>
      <x:c r="AB4070" s="87"/>
      <x:c r="AC4070" s="87"/>
      <x:c r="AD4070" s="87"/>
      <x:c r="AE4070" s="87"/>
      <x:c r="AF4070" s="87"/>
      <x:c r="AG4070" s="87"/>
      <x:c r="AH4070" s="87"/>
      <x:c r="AI4070" s="30"/>
      <x:c r="AJ4070" s="87" t="str">
        <x:v>clean</x:v>
      </x:c>
      <x:c r="AK4070" s="87" t="str">
        <x:v>clean-v0.01</x:v>
      </x:c>
      <x:c r="AL4070" s="87" t="str">
        <x:v>statgrad_clean_continuation_v0_01(1).xlsx</x:v>
      </x:c>
      <x:c r="AM4070" s="87" t="str">
        <x:v>ENG_Nov_Written_V1</x:v>
      </x:c>
      <x:c r="AN4070" s="87" t="n">
        <x:v>10</x:v>
      </x:c>
    </x:row>
    <x:row r="4071">
      <x:c r="A4071" s="87" t="n">
        <x:v>4070</x:v>
      </x:c>
      <x:c r="B4071" s="87" t="str">
        <x:v>NOV-ENG-W-V1-008</x:v>
      </x:c>
      <x:c r="C4071" s="87" t="str">
        <x:v>СтатГрад</x:v>
      </x:c>
      <x:c r="D4071" s="87" t="str">
        <x:v>Ноябрь 2025</x:v>
      </x:c>
      <x:c r="E4071" s="87"/>
      <x:c r="F4071" s="87"/>
      <x:c r="G4071" s="87" t="str">
        <x:v>Английский язык</x:v>
      </x:c>
      <x:c r="H4071" s="87" t="n">
        <x:v>11</x:v>
      </x:c>
      <x:c r="I4071" s="87" t="str">
        <x:v>ТР №1</x:v>
      </x:c>
      <x:c r="J4071" s="87" t="str">
        <x:v>АЯ2510101</x:v>
      </x:c>
      <x:c r="K4071" s="87" t="n">
        <x:v>8</x:v>
      </x:c>
      <x:c r="L4071" s="87" t="str">
        <x:v>Аудирование: выбор ответа</x:v>
      </x:c>
      <x:c r="M4071" s="30" t="str">
        <x:v>Почему правило 10 000 шагов может навредить?</x:v>
      </x:c>
      <x:c r="N4071" s="30" t="str">
        <x:v>3</x:v>
      </x:c>
      <x:c r="O4071" s="30" t="str">
        <x:v>Навязчивая фиксация на цифре способна вызвать чувство вины и психологические проблемы.</x:v>
      </x:c>
      <x:c r="P4071" s="30" t="str">
        <x:v>Ответ проверен по прямым словам интервью и исключением остальных вариантов.</x:v>
      </x:c>
      <x:c r="Q4071" s="30"/>
      <x:c r="R4071" s="30" t="str">
        <x:v>нет в таблице</x:v>
      </x:c>
      <x:c r="S4071" s="30"/>
      <x:c r="T4071" s="30"/>
      <x:c r="U4071" s="30" t="str">
        <x:v>Решено независимо по полному скрипту.</x:v>
      </x:c>
      <x:c r="V4071" s="87" t="str">
        <x:v>VERIFIED</x:v>
      </x:c>
      <x:c r="W4071" s="87" t="n">
        <x:v>4</x:v>
      </x:c>
      <x:c r="X4071" s="87"/>
      <x:c r="Y4071" s="87"/>
      <x:c r="Z4071" s="87"/>
      <x:c r="AA4071" s="87"/>
      <x:c r="AB4071" s="87"/>
      <x:c r="AC4071" s="87"/>
      <x:c r="AD4071" s="87"/>
      <x:c r="AE4071" s="87"/>
      <x:c r="AF4071" s="87"/>
      <x:c r="AG4071" s="87"/>
      <x:c r="AH4071" s="87"/>
      <x:c r="AI4071" s="30"/>
      <x:c r="AJ4071" s="87" t="str">
        <x:v>clean</x:v>
      </x:c>
      <x:c r="AK4071" s="87" t="str">
        <x:v>clean-v0.01</x:v>
      </x:c>
      <x:c r="AL4071" s="87" t="str">
        <x:v>statgrad_clean_continuation_v0_01(1).xlsx</x:v>
      </x:c>
      <x:c r="AM4071" s="87" t="str">
        <x:v>ENG_Nov_Written_V1</x:v>
      </x:c>
      <x:c r="AN4071" s="87" t="n">
        <x:v>11</x:v>
      </x:c>
    </x:row>
    <x:row r="4072">
      <x:c r="A4072" s="87" t="n">
        <x:v>4071</x:v>
      </x:c>
      <x:c r="B4072" s="87" t="str">
        <x:v>NOV-ENG-W-V1-009</x:v>
      </x:c>
      <x:c r="C4072" s="87" t="str">
        <x:v>СтатГрад</x:v>
      </x:c>
      <x:c r="D4072" s="87" t="str">
        <x:v>Ноябрь 2025</x:v>
      </x:c>
      <x:c r="E4072" s="87"/>
      <x:c r="F4072" s="87"/>
      <x:c r="G4072" s="87" t="str">
        <x:v>Английский язык</x:v>
      </x:c>
      <x:c r="H4072" s="87" t="n">
        <x:v>11</x:v>
      </x:c>
      <x:c r="I4072" s="87" t="str">
        <x:v>ТР №1</x:v>
      </x:c>
      <x:c r="J4072" s="87" t="str">
        <x:v>АЯ2510101</x:v>
      </x:c>
      <x:c r="K4072" s="87" t="n">
        <x:v>9</x:v>
      </x:c>
      <x:c r="L4072" s="87" t="str">
        <x:v>Аудирование: выбор ответа</x:v>
      </x:c>
      <x:c r="M4072" s="30" t="str">
        <x:v>Каков совет доктора Пенна о ежедневной активности?</x:v>
      </x:c>
      <x:c r="N4072" s="30" t="str">
        <x:v>1</x:v>
      </x:c>
      <x:c r="O4072" s="30" t="str">
        <x:v>Нужно регулярно двигаться и выбирать занятия, которые приносят удовольствие и подходят конкретному человеку.</x:v>
      </x:c>
      <x:c r="P4072" s="30" t="str">
        <x:v>Ответ проверен по прямым словам интервью и исключением остальных вариантов.</x:v>
      </x:c>
      <x:c r="Q4072" s="30"/>
      <x:c r="R4072" s="30" t="str">
        <x:v>нет в таблице</x:v>
      </x:c>
      <x:c r="S4072" s="30"/>
      <x:c r="T4072" s="30"/>
      <x:c r="U4072" s="30" t="str">
        <x:v>Решено независимо по полному скрипту.</x:v>
      </x:c>
      <x:c r="V4072" s="87" t="str">
        <x:v>VERIFIED</x:v>
      </x:c>
      <x:c r="W4072" s="87" t="n">
        <x:v>4</x:v>
      </x:c>
      <x:c r="X4072" s="87"/>
      <x:c r="Y4072" s="87"/>
      <x:c r="Z4072" s="87"/>
      <x:c r="AA4072" s="87"/>
      <x:c r="AB4072" s="87"/>
      <x:c r="AC4072" s="87"/>
      <x:c r="AD4072" s="87"/>
      <x:c r="AE4072" s="87"/>
      <x:c r="AF4072" s="87"/>
      <x:c r="AG4072" s="87"/>
      <x:c r="AH4072" s="87"/>
      <x:c r="AI4072" s="30"/>
      <x:c r="AJ4072" s="87" t="str">
        <x:v>clean</x:v>
      </x:c>
      <x:c r="AK4072" s="87" t="str">
        <x:v>clean-v0.01</x:v>
      </x:c>
      <x:c r="AL4072" s="87" t="str">
        <x:v>statgrad_clean_continuation_v0_01(1).xlsx</x:v>
      </x:c>
      <x:c r="AM4072" s="87" t="str">
        <x:v>ENG_Nov_Written_V1</x:v>
      </x:c>
      <x:c r="AN4072" s="87" t="n">
        <x:v>12</x:v>
      </x:c>
    </x:row>
    <x:row r="4073">
      <x:c r="A4073" s="87" t="n">
        <x:v>4072</x:v>
      </x:c>
      <x:c r="B4073" s="87" t="str">
        <x:v>NOV-ENG-W-V1-010</x:v>
      </x:c>
      <x:c r="C4073" s="87" t="str">
        <x:v>СтатГрад</x:v>
      </x:c>
      <x:c r="D4073" s="87" t="str">
        <x:v>Ноябрь 2025</x:v>
      </x:c>
      <x:c r="E4073" s="87"/>
      <x:c r="F4073" s="87"/>
      <x:c r="G4073" s="87" t="str">
        <x:v>Английский язык</x:v>
      </x:c>
      <x:c r="H4073" s="87" t="n">
        <x:v>11</x:v>
      </x:c>
      <x:c r="I4073" s="87" t="str">
        <x:v>ТР №1</x:v>
      </x:c>
      <x:c r="J4073" s="87" t="str">
        <x:v>АЯ2510101</x:v>
      </x:c>
      <x:c r="K4073" s="87" t="n">
        <x:v>10</x:v>
      </x:c>
      <x:c r="L4073" s="87" t="str">
        <x:v>Чтение: заголовки</x:v>
      </x:c>
      <x:c r="M4073" s="30" t="str">
        <x:v>Соотнесите тексты A–G об истории цирка с заголовками 1–8.</x:v>
      </x:c>
      <x:c r="N4073" s="30" t="str">
        <x:v>8173265</x:v>
      </x:c>
      <x:c r="O4073" s="30" t="str">
        <x:v>A — история цирка на протяжении тысячелетий (8); B — жестокая сторона представлений (1); C — ребёнок, рождённый страдать (7); D — путь балагана от ярмарки к театральной сцене (3); E — постоянные каменные цирковые здания вместо шатров (2); F — классика детской литературы (6); G — зрелищные истории для всех возрастов (5).</x:v>
      </x:c>
      <x:c r="P4073" s="30" t="str">
        <x:v>Основная мысль каждого текста проверена отдельно; заголовок 4 лишний.</x:v>
      </x:c>
      <x:c r="Q4073" s="30"/>
      <x:c r="R4073" s="30" t="str">
        <x:v>8173265</x:v>
      </x:c>
      <x:c r="S4073" s="30"/>
      <x:c r="T4073" s="30"/>
      <x:c r="U4073" s="30" t="str">
        <x:v>Расхождений нет.</x:v>
      </x:c>
      <x:c r="V4073" s="87" t="str">
        <x:v>VERIFIED</x:v>
      </x:c>
      <x:c r="W4073" s="87" t="str">
        <x:v>5–6</x:v>
      </x:c>
      <x:c r="X4073" s="87"/>
      <x:c r="Y4073" s="87"/>
      <x:c r="Z4073" s="87"/>
      <x:c r="AA4073" s="87"/>
      <x:c r="AB4073" s="87"/>
      <x:c r="AC4073" s="87"/>
      <x:c r="AD4073" s="87"/>
      <x:c r="AE4073" s="87"/>
      <x:c r="AF4073" s="87"/>
      <x:c r="AG4073" s="87"/>
      <x:c r="AH4073" s="87"/>
      <x:c r="AI4073" s="30"/>
      <x:c r="AJ4073" s="87" t="str">
        <x:v>clean</x:v>
      </x:c>
      <x:c r="AK4073" s="87" t="str">
        <x:v>clean-v0.01</x:v>
      </x:c>
      <x:c r="AL4073" s="87" t="str">
        <x:v>statgrad_clean_continuation_v0_01(1).xlsx</x:v>
      </x:c>
      <x:c r="AM4073" s="87" t="str">
        <x:v>ENG_Nov_Written_V1</x:v>
      </x:c>
      <x:c r="AN4073" s="87" t="n">
        <x:v>13</x:v>
      </x:c>
    </x:row>
    <x:row r="4074">
      <x:c r="A4074" s="87" t="n">
        <x:v>4073</x:v>
      </x:c>
      <x:c r="B4074" s="87" t="str">
        <x:v>NOV-ENG-W-V1-011</x:v>
      </x:c>
      <x:c r="C4074" s="87" t="str">
        <x:v>СтатГрад</x:v>
      </x:c>
      <x:c r="D4074" s="87" t="str">
        <x:v>Ноябрь 2025</x:v>
      </x:c>
      <x:c r="E4074" s="87"/>
      <x:c r="F4074" s="87"/>
      <x:c r="G4074" s="87" t="str">
        <x:v>Английский язык</x:v>
      </x:c>
      <x:c r="H4074" s="87" t="n">
        <x:v>11</x:v>
      </x:c>
      <x:c r="I4074" s="87" t="str">
        <x:v>ТР №1</x:v>
      </x:c>
      <x:c r="J4074" s="87" t="str">
        <x:v>АЯ2510101</x:v>
      </x:c>
      <x:c r="K4074" s="87" t="n">
        <x:v>11</x:v>
      </x:c>
      <x:c r="L4074" s="87" t="str">
        <x:v>Чтение: восстановление текста</x:v>
      </x:c>
      <x:c r="M4074" s="30" t="str">
        <x:v>Вставьте части предложений A–F в текст о Панамском канале.</x:v>
      </x:c>
      <x:c r="N4074" s="30" t="str">
        <x:v>537164</x:v>
      </x:c>
      <x:c r="O4074" s="30" t="str">
        <x:v>A5 — but to sail around South America; B3 — технология ещё не существовала; C7 — трудная расчистка и болезни рабочих; D1 — сложная местность и большая длина канала; E6 — шлюзы поднимают и опускают суда; F4 — время включает ожидание.</x:v>
      </x:c>
      <x:c r="P4074" s="30" t="str">
        <x:v>Для каждого пропуска проверены грамматика, местоименные связи и логика абзаца.</x:v>
      </x:c>
      <x:c r="Q4074" s="30"/>
      <x:c r="R4074" s="30" t="str">
        <x:v>537164</x:v>
      </x:c>
      <x:c r="S4074" s="30"/>
      <x:c r="T4074" s="30"/>
      <x:c r="U4074" s="30" t="str">
        <x:v>Расхождений нет.</x:v>
      </x:c>
      <x:c r="V4074" s="87" t="str">
        <x:v>VERIFIED</x:v>
      </x:c>
      <x:c r="W4074" s="87" t="n">
        <x:v>7</x:v>
      </x:c>
      <x:c r="X4074" s="87"/>
      <x:c r="Y4074" s="87"/>
      <x:c r="Z4074" s="87"/>
      <x:c r="AA4074" s="87"/>
      <x:c r="AB4074" s="87"/>
      <x:c r="AC4074" s="87"/>
      <x:c r="AD4074" s="87"/>
      <x:c r="AE4074" s="87"/>
      <x:c r="AF4074" s="87"/>
      <x:c r="AG4074" s="87"/>
      <x:c r="AH4074" s="87"/>
      <x:c r="AI4074" s="30"/>
      <x:c r="AJ4074" s="87" t="str">
        <x:v>clean</x:v>
      </x:c>
      <x:c r="AK4074" s="87" t="str">
        <x:v>clean-v0.01</x:v>
      </x:c>
      <x:c r="AL4074" s="87" t="str">
        <x:v>statgrad_clean_continuation_v0_01(1).xlsx</x:v>
      </x:c>
      <x:c r="AM4074" s="87" t="str">
        <x:v>ENG_Nov_Written_V1</x:v>
      </x:c>
      <x:c r="AN4074" s="87" t="n">
        <x:v>14</x:v>
      </x:c>
    </x:row>
    <x:row r="4075">
      <x:c r="A4075" s="87" t="n">
        <x:v>4074</x:v>
      </x:c>
      <x:c r="B4075" s="87" t="str">
        <x:v>NOV-ENG-W-V1-012</x:v>
      </x:c>
      <x:c r="C4075" s="87" t="str">
        <x:v>СтатГрад</x:v>
      </x:c>
      <x:c r="D4075" s="87" t="str">
        <x:v>Ноябрь 2025</x:v>
      </x:c>
      <x:c r="E4075" s="87"/>
      <x:c r="F4075" s="87"/>
      <x:c r="G4075" s="87" t="str">
        <x:v>Английский язык</x:v>
      </x:c>
      <x:c r="H4075" s="87" t="n">
        <x:v>11</x:v>
      </x:c>
      <x:c r="I4075" s="87" t="str">
        <x:v>ТР №1</x:v>
      </x:c>
      <x:c r="J4075" s="87" t="str">
        <x:v>АЯ2510101</x:v>
      </x:c>
      <x:c r="K4075" s="87" t="n">
        <x:v>12</x:v>
      </x:c>
      <x:c r="L4075" s="87" t="str">
        <x:v>Чтение: выбор ответа</x:v>
      </x:c>
      <x:c r="M4075" s="30" t="str">
        <x:v>Какое утверждение о жёлтой слизевице верно?</x:v>
      </x:c>
      <x:c r="N4075" s="30" t="str">
        <x:v>3</x:v>
      </x:c>
      <x:c r="O4075" s="30" t="str">
        <x:v>Текст прямо уточняет, что строго научно этот одноклеточный организм не является плесенью.</x:v>
      </x:c>
      <x:c r="P4075" s="30" t="str">
        <x:v>Ответ подтверждён конкретным фрагментом текста; остальные варианты противоречат ему или не упомянуты.</x:v>
      </x:c>
      <x:c r="Q4075" s="30"/>
      <x:c r="R4075" s="30" t="str">
        <x:v>нет в таблице</x:v>
      </x:c>
      <x:c r="S4075" s="30"/>
      <x:c r="T4075" s="30"/>
      <x:c r="U4075" s="30" t="str">
        <x:v>Решено независимо по тексту.</x:v>
      </x:c>
      <x:c r="V4075" s="87" t="str">
        <x:v>VERIFIED</x:v>
      </x:c>
      <x:c r="W4075" s="87" t="n">
        <x:v>9</x:v>
      </x:c>
      <x:c r="X4075" s="87"/>
      <x:c r="Y4075" s="87"/>
      <x:c r="Z4075" s="87"/>
      <x:c r="AA4075" s="87"/>
      <x:c r="AB4075" s="87"/>
      <x:c r="AC4075" s="87"/>
      <x:c r="AD4075" s="87"/>
      <x:c r="AE4075" s="87"/>
      <x:c r="AF4075" s="87"/>
      <x:c r="AG4075" s="87"/>
      <x:c r="AH4075" s="87"/>
      <x:c r="AI4075" s="30"/>
      <x:c r="AJ4075" s="87" t="str">
        <x:v>clean</x:v>
      </x:c>
      <x:c r="AK4075" s="87" t="str">
        <x:v>clean-v0.01</x:v>
      </x:c>
      <x:c r="AL4075" s="87" t="str">
        <x:v>statgrad_clean_continuation_v0_01(1).xlsx</x:v>
      </x:c>
      <x:c r="AM4075" s="87" t="str">
        <x:v>ENG_Nov_Written_V1</x:v>
      </x:c>
      <x:c r="AN4075" s="87" t="n">
        <x:v>15</x:v>
      </x:c>
    </x:row>
    <x:row r="4076">
      <x:c r="A4076" s="87" t="n">
        <x:v>4075</x:v>
      </x:c>
      <x:c r="B4076" s="87" t="str">
        <x:v>NOV-ENG-W-V1-013</x:v>
      </x:c>
      <x:c r="C4076" s="87" t="str">
        <x:v>СтатГрад</x:v>
      </x:c>
      <x:c r="D4076" s="87" t="str">
        <x:v>Ноябрь 2025</x:v>
      </x:c>
      <x:c r="E4076" s="87"/>
      <x:c r="F4076" s="87"/>
      <x:c r="G4076" s="87" t="str">
        <x:v>Английский язык</x:v>
      </x:c>
      <x:c r="H4076" s="87" t="n">
        <x:v>11</x:v>
      </x:c>
      <x:c r="I4076" s="87" t="str">
        <x:v>ТР №1</x:v>
      </x:c>
      <x:c r="J4076" s="87" t="str">
        <x:v>АЯ2510101</x:v>
      </x:c>
      <x:c r="K4076" s="87" t="n">
        <x:v>13</x:v>
      </x:c>
      <x:c r="L4076" s="87" t="str">
        <x:v>Чтение: выбор ответа</x:v>
      </x:c>
      <x:c r="M4076" s="30" t="str">
        <x:v>Что профессор Накагаки очевидно знал до начала опыта?</x:v>
      </x:c>
      <x:c r="N4076" s="30" t="str">
        <x:v>1</x:v>
      </x:c>
      <x:c r="O4076" s="30" t="str">
        <x:v>Размещение сахара в противоположном конце лабиринта показывает, что учёный знал о притяжении организма к сахару.</x:v>
      </x:c>
      <x:c r="P4076" s="30" t="str">
        <x:v>Ответ подтверждён конкретным фрагментом текста; остальные варианты противоречат ему или не упомянуты.</x:v>
      </x:c>
      <x:c r="Q4076" s="30"/>
      <x:c r="R4076" s="30" t="str">
        <x:v>нет в таблице</x:v>
      </x:c>
      <x:c r="S4076" s="30"/>
      <x:c r="T4076" s="30"/>
      <x:c r="U4076" s="30" t="str">
        <x:v>Решено независимо по тексту.</x:v>
      </x:c>
      <x:c r="V4076" s="87" t="str">
        <x:v>VERIFIED</x:v>
      </x:c>
      <x:c r="W4076" s="87" t="n">
        <x:v>9</x:v>
      </x:c>
      <x:c r="X4076" s="87"/>
      <x:c r="Y4076" s="87"/>
      <x:c r="Z4076" s="87"/>
      <x:c r="AA4076" s="87"/>
      <x:c r="AB4076" s="87"/>
      <x:c r="AC4076" s="87"/>
      <x:c r="AD4076" s="87"/>
      <x:c r="AE4076" s="87"/>
      <x:c r="AF4076" s="87"/>
      <x:c r="AG4076" s="87"/>
      <x:c r="AH4076" s="87"/>
      <x:c r="AI4076" s="30"/>
      <x:c r="AJ4076" s="87" t="str">
        <x:v>clean</x:v>
      </x:c>
      <x:c r="AK4076" s="87" t="str">
        <x:v>clean-v0.01</x:v>
      </x:c>
      <x:c r="AL4076" s="87" t="str">
        <x:v>statgrad_clean_continuation_v0_01(1).xlsx</x:v>
      </x:c>
      <x:c r="AM4076" s="87" t="str">
        <x:v>ENG_Nov_Written_V1</x:v>
      </x:c>
      <x:c r="AN4076" s="87" t="n">
        <x:v>16</x:v>
      </x:c>
    </x:row>
    <x:row r="4077">
      <x:c r="A4077" s="87" t="n">
        <x:v>4076</x:v>
      </x:c>
      <x:c r="B4077" s="87" t="str">
        <x:v>NOV-ENG-W-V1-014</x:v>
      </x:c>
      <x:c r="C4077" s="87" t="str">
        <x:v>СтатГрад</x:v>
      </x:c>
      <x:c r="D4077" s="87" t="str">
        <x:v>Ноябрь 2025</x:v>
      </x:c>
      <x:c r="E4077" s="87"/>
      <x:c r="F4077" s="87"/>
      <x:c r="G4077" s="87" t="str">
        <x:v>Английский язык</x:v>
      </x:c>
      <x:c r="H4077" s="87" t="n">
        <x:v>11</x:v>
      </x:c>
      <x:c r="I4077" s="87" t="str">
        <x:v>ТР №1</x:v>
      </x:c>
      <x:c r="J4077" s="87" t="str">
        <x:v>АЯ2510101</x:v>
      </x:c>
      <x:c r="K4077" s="87" t="n">
        <x:v>14</x:v>
      </x:c>
      <x:c r="L4077" s="87" t="str">
        <x:v>Чтение: выбор ответа</x:v>
      </x:c>
      <x:c r="M4077" s="30" t="str">
        <x:v>К чему относятся слова the other в третьем абзаце?</x:v>
      </x:c>
      <x:c r="N4077" s="30" t="str">
        <x:v>2</x:v>
      </x:c>
      <x:c r="O4077" s="30" t="str">
        <x:v>Слизевица разветвилась на две нити: одна пошла прежним путём, другая перелезла через стенки.</x:v>
      </x:c>
      <x:c r="P4077" s="30" t="str">
        <x:v>Ответ подтверждён конкретным фрагментом текста; остальные варианты противоречат ему или не упомянуты.</x:v>
      </x:c>
      <x:c r="Q4077" s="30"/>
      <x:c r="R4077" s="30" t="str">
        <x:v>нет в таблице</x:v>
      </x:c>
      <x:c r="S4077" s="30"/>
      <x:c r="T4077" s="30"/>
      <x:c r="U4077" s="30" t="str">
        <x:v>Решено независимо по тексту.</x:v>
      </x:c>
      <x:c r="V4077" s="87" t="str">
        <x:v>VERIFIED</x:v>
      </x:c>
      <x:c r="W4077" s="87" t="n">
        <x:v>9</x:v>
      </x:c>
      <x:c r="X4077" s="87"/>
      <x:c r="Y4077" s="87"/>
      <x:c r="Z4077" s="87"/>
      <x:c r="AA4077" s="87"/>
      <x:c r="AB4077" s="87"/>
      <x:c r="AC4077" s="87"/>
      <x:c r="AD4077" s="87"/>
      <x:c r="AE4077" s="87"/>
      <x:c r="AF4077" s="87"/>
      <x:c r="AG4077" s="87"/>
      <x:c r="AH4077" s="87"/>
      <x:c r="AI4077" s="30"/>
      <x:c r="AJ4077" s="87" t="str">
        <x:v>clean</x:v>
      </x:c>
      <x:c r="AK4077" s="87" t="str">
        <x:v>clean-v0.01</x:v>
      </x:c>
      <x:c r="AL4077" s="87" t="str">
        <x:v>statgrad_clean_continuation_v0_01(1).xlsx</x:v>
      </x:c>
      <x:c r="AM4077" s="87" t="str">
        <x:v>ENG_Nov_Written_V1</x:v>
      </x:c>
      <x:c r="AN4077" s="87" t="n">
        <x:v>17</x:v>
      </x:c>
    </x:row>
    <x:row r="4078">
      <x:c r="A4078" s="87" t="n">
        <x:v>4077</x:v>
      </x:c>
      <x:c r="B4078" s="87" t="str">
        <x:v>NOV-ENG-W-V1-015</x:v>
      </x:c>
      <x:c r="C4078" s="87" t="str">
        <x:v>СтатГрад</x:v>
      </x:c>
      <x:c r="D4078" s="87" t="str">
        <x:v>Ноябрь 2025</x:v>
      </x:c>
      <x:c r="E4078" s="87"/>
      <x:c r="F4078" s="87"/>
      <x:c r="G4078" s="87" t="str">
        <x:v>Английский язык</x:v>
      </x:c>
      <x:c r="H4078" s="87" t="n">
        <x:v>11</x:v>
      </x:c>
      <x:c r="I4078" s="87" t="str">
        <x:v>ТР №1</x:v>
      </x:c>
      <x:c r="J4078" s="87" t="str">
        <x:v>АЯ2510101</x:v>
      </x:c>
      <x:c r="K4078" s="87" t="n">
        <x:v>15</x:v>
      </x:c>
      <x:c r="L4078" s="87" t="str">
        <x:v>Чтение: выбор ответа</x:v>
      </x:c>
      <x:c r="M4078" s="30" t="str">
        <x:v>Какое утверждение НЕ соответствует тексту?</x:v>
      </x:c>
      <x:c r="N4078" s="30" t="str">
        <x:v>1</x:v>
      </x:c>
      <x:c r="O4078" s="30" t="str">
        <x:v>Накагаки, напротив, сопротивлялся привычке считать такие организмы просто растениями.</x:v>
      </x:c>
      <x:c r="P4078" s="30" t="str">
        <x:v>Ответ подтверждён конкретным фрагментом текста; остальные варианты противоречат ему или не упомянуты.</x:v>
      </x:c>
      <x:c r="Q4078" s="30"/>
      <x:c r="R4078" s="30" t="str">
        <x:v>нет в таблице</x:v>
      </x:c>
      <x:c r="S4078" s="30"/>
      <x:c r="T4078" s="30"/>
      <x:c r="U4078" s="30" t="str">
        <x:v>Решено независимо по тексту.</x:v>
      </x:c>
      <x:c r="V4078" s="87" t="str">
        <x:v>VERIFIED</x:v>
      </x:c>
      <x:c r="W4078" s="87" t="n">
        <x:v>10</x:v>
      </x:c>
      <x:c r="X4078" s="87"/>
      <x:c r="Y4078" s="87"/>
      <x:c r="Z4078" s="87"/>
      <x:c r="AA4078" s="87"/>
      <x:c r="AB4078" s="87"/>
      <x:c r="AC4078" s="87"/>
      <x:c r="AD4078" s="87"/>
      <x:c r="AE4078" s="87"/>
      <x:c r="AF4078" s="87"/>
      <x:c r="AG4078" s="87"/>
      <x:c r="AH4078" s="87"/>
      <x:c r="AI4078" s="30"/>
      <x:c r="AJ4078" s="87" t="str">
        <x:v>clean</x:v>
      </x:c>
      <x:c r="AK4078" s="87" t="str">
        <x:v>clean-v0.01</x:v>
      </x:c>
      <x:c r="AL4078" s="87" t="str">
        <x:v>statgrad_clean_continuation_v0_01(1).xlsx</x:v>
      </x:c>
      <x:c r="AM4078" s="87" t="str">
        <x:v>ENG_Nov_Written_V1</x:v>
      </x:c>
      <x:c r="AN4078" s="87" t="n">
        <x:v>18</x:v>
      </x:c>
    </x:row>
    <x:row r="4079">
      <x:c r="A4079" s="87" t="n">
        <x:v>4078</x:v>
      </x:c>
      <x:c r="B4079" s="87" t="str">
        <x:v>NOV-ENG-W-V1-016</x:v>
      </x:c>
      <x:c r="C4079" s="87" t="str">
        <x:v>СтатГрад</x:v>
      </x:c>
      <x:c r="D4079" s="87" t="str">
        <x:v>Ноябрь 2025</x:v>
      </x:c>
      <x:c r="E4079" s="87"/>
      <x:c r="F4079" s="87"/>
      <x:c r="G4079" s="87" t="str">
        <x:v>Английский язык</x:v>
      </x:c>
      <x:c r="H4079" s="87" t="n">
        <x:v>11</x:v>
      </x:c>
      <x:c r="I4079" s="87" t="str">
        <x:v>ТР №1</x:v>
      </x:c>
      <x:c r="J4079" s="87" t="str">
        <x:v>АЯ2510101</x:v>
      </x:c>
      <x:c r="K4079" s="87" t="n">
        <x:v>16</x:v>
      </x:c>
      <x:c r="L4079" s="87" t="str">
        <x:v>Чтение: выбор ответа</x:v>
      </x:c>
      <x:c r="M4079" s="30" t="str">
        <x:v>Ближайшее значение слова intricate.</x:v>
      </x:c>
      <x:c r="N4079" s="30" t="str">
        <x:v>4</x:v>
      </x:c>
      <x:c r="O4079" s="30" t="str">
        <x:v>Intricate network — сложная, разветвлённая сеть; ближайший вариант complex.</x:v>
      </x:c>
      <x:c r="P4079" s="30" t="str">
        <x:v>Ответ подтверждён конкретным фрагментом текста; остальные варианты противоречат ему или не упомянуты.</x:v>
      </x:c>
      <x:c r="Q4079" s="30"/>
      <x:c r="R4079" s="30" t="str">
        <x:v>нет в таблице</x:v>
      </x:c>
      <x:c r="S4079" s="30"/>
      <x:c r="T4079" s="30"/>
      <x:c r="U4079" s="30" t="str">
        <x:v>Решено независимо по тексту.</x:v>
      </x:c>
      <x:c r="V4079" s="87" t="str">
        <x:v>VERIFIED</x:v>
      </x:c>
      <x:c r="W4079" s="87" t="n">
        <x:v>10</x:v>
      </x:c>
      <x:c r="X4079" s="87"/>
      <x:c r="Y4079" s="87"/>
      <x:c r="Z4079" s="87"/>
      <x:c r="AA4079" s="87"/>
      <x:c r="AB4079" s="87"/>
      <x:c r="AC4079" s="87"/>
      <x:c r="AD4079" s="87"/>
      <x:c r="AE4079" s="87"/>
      <x:c r="AF4079" s="87"/>
      <x:c r="AG4079" s="87"/>
      <x:c r="AH4079" s="87"/>
      <x:c r="AI4079" s="30"/>
      <x:c r="AJ4079" s="87" t="str">
        <x:v>clean</x:v>
      </x:c>
      <x:c r="AK4079" s="87" t="str">
        <x:v>clean-v0.01</x:v>
      </x:c>
      <x:c r="AL4079" s="87" t="str">
        <x:v>statgrad_clean_continuation_v0_01(1).xlsx</x:v>
      </x:c>
      <x:c r="AM4079" s="87" t="str">
        <x:v>ENG_Nov_Written_V1</x:v>
      </x:c>
      <x:c r="AN4079" s="87" t="n">
        <x:v>19</x:v>
      </x:c>
    </x:row>
    <x:row r="4080">
      <x:c r="A4080" s="87" t="n">
        <x:v>4079</x:v>
      </x:c>
      <x:c r="B4080" s="87" t="str">
        <x:v>NOV-ENG-W-V1-017</x:v>
      </x:c>
      <x:c r="C4080" s="87" t="str">
        <x:v>СтатГрад</x:v>
      </x:c>
      <x:c r="D4080" s="87" t="str">
        <x:v>Ноябрь 2025</x:v>
      </x:c>
      <x:c r="E4080" s="87"/>
      <x:c r="F4080" s="87"/>
      <x:c r="G4080" s="87" t="str">
        <x:v>Английский язык</x:v>
      </x:c>
      <x:c r="H4080" s="87" t="n">
        <x:v>11</x:v>
      </x:c>
      <x:c r="I4080" s="87" t="str">
        <x:v>ТР №1</x:v>
      </x:c>
      <x:c r="J4080" s="87" t="str">
        <x:v>АЯ2510101</x:v>
      </x:c>
      <x:c r="K4080" s="87" t="n">
        <x:v>17</x:v>
      </x:c>
      <x:c r="L4080" s="87" t="str">
        <x:v>Чтение: выбор ответа</x:v>
      </x:c>
      <x:c r="M4080" s="30" t="str">
        <x:v>Какой вывод делает профессор Накагаки?</x:v>
      </x:c>
      <x:c r="N4080" s="30" t="str">
        <x:v>3</x:v>
      </x:c>
      <x:c r="O4080" s="30" t="str">
        <x:v>Он считает, что результаты могут вдохновить более эффективное проектирование информационных сетей.</x:v>
      </x:c>
      <x:c r="P4080" s="30" t="str">
        <x:v>Ответ подтверждён конкретным фрагментом текста; остальные варианты противоречат ему или не упомянуты.</x:v>
      </x:c>
      <x:c r="Q4080" s="30"/>
      <x:c r="R4080" s="30" t="str">
        <x:v>нет в таблице</x:v>
      </x:c>
      <x:c r="S4080" s="30"/>
      <x:c r="T4080" s="30"/>
      <x:c r="U4080" s="30" t="str">
        <x:v>Решено независимо по тексту.</x:v>
      </x:c>
      <x:c r="V4080" s="87" t="str">
        <x:v>VERIFIED</x:v>
      </x:c>
      <x:c r="W4080" s="87" t="n">
        <x:v>10</x:v>
      </x:c>
      <x:c r="X4080" s="87"/>
      <x:c r="Y4080" s="87"/>
      <x:c r="Z4080" s="87"/>
      <x:c r="AA4080" s="87"/>
      <x:c r="AB4080" s="87"/>
      <x:c r="AC4080" s="87"/>
      <x:c r="AD4080" s="87"/>
      <x:c r="AE4080" s="87"/>
      <x:c r="AF4080" s="87"/>
      <x:c r="AG4080" s="87"/>
      <x:c r="AH4080" s="87"/>
      <x:c r="AI4080" s="30"/>
      <x:c r="AJ4080" s="87" t="str">
        <x:v>clean</x:v>
      </x:c>
      <x:c r="AK4080" s="87" t="str">
        <x:v>clean-v0.01</x:v>
      </x:c>
      <x:c r="AL4080" s="87" t="str">
        <x:v>statgrad_clean_continuation_v0_01(1).xlsx</x:v>
      </x:c>
      <x:c r="AM4080" s="87" t="str">
        <x:v>ENG_Nov_Written_V1</x:v>
      </x:c>
      <x:c r="AN4080" s="87" t="n">
        <x:v>20</x:v>
      </x:c>
    </x:row>
    <x:row r="4081">
      <x:c r="A4081" s="87" t="n">
        <x:v>4080</x:v>
      </x:c>
      <x:c r="B4081" s="87" t="str">
        <x:v>NOV-ENG-W-V1-018</x:v>
      </x:c>
      <x:c r="C4081" s="87" t="str">
        <x:v>СтатГрад</x:v>
      </x:c>
      <x:c r="D4081" s="87" t="str">
        <x:v>Ноябрь 2025</x:v>
      </x:c>
      <x:c r="E4081" s="87"/>
      <x:c r="F4081" s="87"/>
      <x:c r="G4081" s="87" t="str">
        <x:v>Английский язык</x:v>
      </x:c>
      <x:c r="H4081" s="87" t="n">
        <x:v>11</x:v>
      </x:c>
      <x:c r="I4081" s="87" t="str">
        <x:v>ТР №1</x:v>
      </x:c>
      <x:c r="J4081" s="87" t="str">
        <x:v>АЯ2510101</x:v>
      </x:c>
      <x:c r="K4081" s="87" t="n">
        <x:v>18</x:v>
      </x:c>
      <x:c r="L4081" s="87" t="str">
        <x:v>Чтение: выбор ответа</x:v>
      </x:c>
      <x:c r="M4081" s="30" t="str">
        <x:v>Что демонстрирует исследование Physarum polycephalum?</x:v>
      </x:c>
      <x:c r="N4081" s="30" t="str">
        <x:v>2</x:v>
      </x:c>
      <x:c r="O4081" s="30" t="str">
        <x:v>Способность решать задачи и адаптироваться возникает без мозга и нервной системы.</x:v>
      </x:c>
      <x:c r="P4081" s="30" t="str">
        <x:v>Ответ подтверждён конкретным фрагментом текста; остальные варианты противоречат ему или не упомянуты.</x:v>
      </x:c>
      <x:c r="Q4081" s="30"/>
      <x:c r="R4081" s="30" t="str">
        <x:v>нет в таблице</x:v>
      </x:c>
      <x:c r="S4081" s="30"/>
      <x:c r="T4081" s="30"/>
      <x:c r="U4081" s="30" t="str">
        <x:v>Решено независимо по тексту.</x:v>
      </x:c>
      <x:c r="V4081" s="87" t="str">
        <x:v>VERIFIED</x:v>
      </x:c>
      <x:c r="W4081" s="87" t="n">
        <x:v>10</x:v>
      </x:c>
      <x:c r="X4081" s="87"/>
      <x:c r="Y4081" s="87"/>
      <x:c r="Z4081" s="87"/>
      <x:c r="AA4081" s="87"/>
      <x:c r="AB4081" s="87"/>
      <x:c r="AC4081" s="87"/>
      <x:c r="AD4081" s="87"/>
      <x:c r="AE4081" s="87"/>
      <x:c r="AF4081" s="87"/>
      <x:c r="AG4081" s="87"/>
      <x:c r="AH4081" s="87"/>
      <x:c r="AI4081" s="30"/>
      <x:c r="AJ4081" s="87" t="str">
        <x:v>clean</x:v>
      </x:c>
      <x:c r="AK4081" s="87" t="str">
        <x:v>clean-v0.01</x:v>
      </x:c>
      <x:c r="AL4081" s="87" t="str">
        <x:v>statgrad_clean_continuation_v0_01(1).xlsx</x:v>
      </x:c>
      <x:c r="AM4081" s="87" t="str">
        <x:v>ENG_Nov_Written_V1</x:v>
      </x:c>
      <x:c r="AN4081" s="87" t="n">
        <x:v>21</x:v>
      </x:c>
    </x:row>
    <x:row r="4082">
      <x:c r="A4082" s="87" t="n">
        <x:v>4081</x:v>
      </x:c>
      <x:c r="B4082" s="87" t="str">
        <x:v>NOV-ENG-W-V1-019</x:v>
      </x:c>
      <x:c r="C4082" s="87" t="str">
        <x:v>СтатГрад</x:v>
      </x:c>
      <x:c r="D4082" s="87" t="str">
        <x:v>Ноябрь 2025</x:v>
      </x:c>
      <x:c r="E4082" s="87"/>
      <x:c r="F4082" s="87"/>
      <x:c r="G4082" s="87" t="str">
        <x:v>Английский язык</x:v>
      </x:c>
      <x:c r="H4082" s="87" t="n">
        <x:v>11</x:v>
      </x:c>
      <x:c r="I4082" s="87" t="str">
        <x:v>ТР №1</x:v>
      </x:c>
      <x:c r="J4082" s="87" t="str">
        <x:v>АЯ2510101</x:v>
      </x:c>
      <x:c r="K4082" s="87" t="n">
        <x:v>19</x:v>
      </x:c>
      <x:c r="L4082" s="87" t="str">
        <x:v>Грамматика</x:v>
      </x:c>
      <x:c r="M4082" s="30" t="str">
        <x:v>Born in 1919, he was the ___ African American to play in MLB. ONE</x:v>
      </x:c>
      <x:c r="N4082" s="30" t="str">
        <x:v>first</x:v>
      </x:c>
      <x:c r="O4082" s="30" t="str">
        <x:v>Порядковое числительное после the: the first African American.</x:v>
      </x:c>
      <x:c r="P4082" s="30" t="str">
        <x:v>Форма проверена по грамматической позиции, согласованию и смыслу всего предложения.</x:v>
      </x:c>
      <x:c r="Q4082" s="30"/>
      <x:c r="R4082" s="30" t="str">
        <x:v>first</x:v>
      </x:c>
      <x:c r="S4082" s="30"/>
      <x:c r="T4082" s="30"/>
      <x:c r="U4082" s="30" t="str">
        <x:v>Расхождений нет.</x:v>
      </x:c>
      <x:c r="V4082" s="87" t="str">
        <x:v>VERIFIED</x:v>
      </x:c>
      <x:c r="W4082" s="87" t="n">
        <x:v>11</x:v>
      </x:c>
      <x:c r="X4082" s="87"/>
      <x:c r="Y4082" s="87"/>
      <x:c r="Z4082" s="87"/>
      <x:c r="AA4082" s="87"/>
      <x:c r="AB4082" s="87"/>
      <x:c r="AC4082" s="87"/>
      <x:c r="AD4082" s="87"/>
      <x:c r="AE4082" s="87"/>
      <x:c r="AF4082" s="87"/>
      <x:c r="AG4082" s="87"/>
      <x:c r="AH4082" s="87"/>
      <x:c r="AI4082" s="30"/>
      <x:c r="AJ4082" s="87" t="str">
        <x:v>clean</x:v>
      </x:c>
      <x:c r="AK4082" s="87" t="str">
        <x:v>clean-v0.01</x:v>
      </x:c>
      <x:c r="AL4082" s="87" t="str">
        <x:v>statgrad_clean_continuation_v0_01(1).xlsx</x:v>
      </x:c>
      <x:c r="AM4082" s="87" t="str">
        <x:v>ENG_Nov_Written_V1</x:v>
      </x:c>
      <x:c r="AN4082" s="87" t="n">
        <x:v>22</x:v>
      </x:c>
    </x:row>
    <x:row r="4083">
      <x:c r="A4083" s="87" t="n">
        <x:v>4082</x:v>
      </x:c>
      <x:c r="B4083" s="87" t="str">
        <x:v>NOV-ENG-W-V1-020</x:v>
      </x:c>
      <x:c r="C4083" s="87" t="str">
        <x:v>СтатГрад</x:v>
      </x:c>
      <x:c r="D4083" s="87" t="str">
        <x:v>Ноябрь 2025</x:v>
      </x:c>
      <x:c r="E4083" s="87"/>
      <x:c r="F4083" s="87"/>
      <x:c r="G4083" s="87" t="str">
        <x:v>Английский язык</x:v>
      </x:c>
      <x:c r="H4083" s="87" t="n">
        <x:v>11</x:v>
      </x:c>
      <x:c r="I4083" s="87" t="str">
        <x:v>ТР №1</x:v>
      </x:c>
      <x:c r="J4083" s="87" t="str">
        <x:v>АЯ2510101</x:v>
      </x:c>
      <x:c r="K4083" s="87" t="n">
        <x:v>20</x:v>
      </x:c>
      <x:c r="L4083" s="87" t="str">
        <x:v>Грамматика</x:v>
      </x:c>
      <x:c r="M4083" s="30" t="str">
        <x:v>In the 1920s and 1930s, when Robinson ___ up... GROW</x:v>
      </x:c>
      <x:c r="N4083" s="30" t="str">
        <x:v>was growing / grew</x:v>
      </x:c>
      <x:c r="O4083" s="30" t="str">
        <x:v>Допустим длительный процесс взросления в фоне или нейтральный Past Simple.</x:v>
      </x:c>
      <x:c r="P4083" s="30" t="str">
        <x:v>Форма проверена по грамматической позиции, согласованию и смыслу всего предложения.</x:v>
      </x:c>
      <x:c r="Q4083" s="30"/>
      <x:c r="R4083" s="30" t="str">
        <x:v>was growing / grew</x:v>
      </x:c>
      <x:c r="S4083" s="30"/>
      <x:c r="T4083" s="30"/>
      <x:c r="U4083" s="30" t="str">
        <x:v>Расхождений нет.</x:v>
      </x:c>
      <x:c r="V4083" s="87" t="str">
        <x:v>VERIFIED</x:v>
      </x:c>
      <x:c r="W4083" s="87" t="n">
        <x:v>11</x:v>
      </x:c>
      <x:c r="X4083" s="87"/>
      <x:c r="Y4083" s="87"/>
      <x:c r="Z4083" s="87"/>
      <x:c r="AA4083" s="87"/>
      <x:c r="AB4083" s="87"/>
      <x:c r="AC4083" s="87"/>
      <x:c r="AD4083" s="87"/>
      <x:c r="AE4083" s="87"/>
      <x:c r="AF4083" s="87"/>
      <x:c r="AG4083" s="87"/>
      <x:c r="AH4083" s="87"/>
      <x:c r="AI4083" s="30"/>
      <x:c r="AJ4083" s="87" t="str">
        <x:v>clean</x:v>
      </x:c>
      <x:c r="AK4083" s="87" t="str">
        <x:v>clean-v0.01</x:v>
      </x:c>
      <x:c r="AL4083" s="87" t="str">
        <x:v>statgrad_clean_continuation_v0_01(1).xlsx</x:v>
      </x:c>
      <x:c r="AM4083" s="87" t="str">
        <x:v>ENG_Nov_Written_V1</x:v>
      </x:c>
      <x:c r="AN4083" s="87" t="n">
        <x:v>23</x:v>
      </x:c>
    </x:row>
    <x:row r="4084">
      <x:c r="A4084" s="87" t="n">
        <x:v>4083</x:v>
      </x:c>
      <x:c r="B4084" s="87" t="str">
        <x:v>NOV-ENG-W-V1-021</x:v>
      </x:c>
      <x:c r="C4084" s="87" t="str">
        <x:v>СтатГрад</x:v>
      </x:c>
      <x:c r="D4084" s="87" t="str">
        <x:v>Ноябрь 2025</x:v>
      </x:c>
      <x:c r="E4084" s="87"/>
      <x:c r="F4084" s="87"/>
      <x:c r="G4084" s="87" t="str">
        <x:v>Английский язык</x:v>
      </x:c>
      <x:c r="H4084" s="87" t="n">
        <x:v>11</x:v>
      </x:c>
      <x:c r="I4084" s="87" t="str">
        <x:v>ТР №1</x:v>
      </x:c>
      <x:c r="J4084" s="87" t="str">
        <x:v>АЯ2510101</x:v>
      </x:c>
      <x:c r="K4084" s="87" t="n">
        <x:v>21</x:v>
      </x:c>
      <x:c r="L4084" s="87" t="str">
        <x:v>Грамматика</x:v>
      </x:c>
      <x:c r="M4084" s="30" t="str">
        <x:v>Black athletes and white athletes ___ play together. NOT CAN</x:v>
      </x:c>
      <x:c r="N4084" s="30" t="str">
        <x:v>could not / couldn’t</x:v>
      </x:c>
      <x:c r="O4084" s="30" t="str">
        <x:v>Прошедшая невозможность выражается could not.</x:v>
      </x:c>
      <x:c r="P4084" s="30" t="str">
        <x:v>Форма проверена по грамматической позиции, согласованию и смыслу всего предложения.</x:v>
      </x:c>
      <x:c r="Q4084" s="30"/>
      <x:c r="R4084" s="30" t="str">
        <x:v>could not / couldn't</x:v>
      </x:c>
      <x:c r="S4084" s="30"/>
      <x:c r="T4084" s="30"/>
      <x:c r="U4084" s="30" t="str">
        <x:v>Расхождений нет.</x:v>
      </x:c>
      <x:c r="V4084" s="87" t="str">
        <x:v>VERIFIED</x:v>
      </x:c>
      <x:c r="W4084" s="87" t="n">
        <x:v>11</x:v>
      </x:c>
      <x:c r="X4084" s="87"/>
      <x:c r="Y4084" s="87"/>
      <x:c r="Z4084" s="87"/>
      <x:c r="AA4084" s="87"/>
      <x:c r="AB4084" s="87"/>
      <x:c r="AC4084" s="87"/>
      <x:c r="AD4084" s="87"/>
      <x:c r="AE4084" s="87"/>
      <x:c r="AF4084" s="87"/>
      <x:c r="AG4084" s="87"/>
      <x:c r="AH4084" s="87"/>
      <x:c r="AI4084" s="30"/>
      <x:c r="AJ4084" s="87" t="str">
        <x:v>clean</x:v>
      </x:c>
      <x:c r="AK4084" s="87" t="str">
        <x:v>clean-v0.01</x:v>
      </x:c>
      <x:c r="AL4084" s="87" t="str">
        <x:v>statgrad_clean_continuation_v0_01(1).xlsx</x:v>
      </x:c>
      <x:c r="AM4084" s="87" t="str">
        <x:v>ENG_Nov_Written_V1</x:v>
      </x:c>
      <x:c r="AN4084" s="87" t="n">
        <x:v>24</x:v>
      </x:c>
    </x:row>
    <x:row r="4085">
      <x:c r="A4085" s="87" t="n">
        <x:v>4084</x:v>
      </x:c>
      <x:c r="B4085" s="87" t="str">
        <x:v>NOV-ENG-W-V1-022</x:v>
      </x:c>
      <x:c r="C4085" s="87" t="str">
        <x:v>СтатГрад</x:v>
      </x:c>
      <x:c r="D4085" s="87" t="str">
        <x:v>Ноябрь 2025</x:v>
      </x:c>
      <x:c r="E4085" s="87"/>
      <x:c r="F4085" s="87"/>
      <x:c r="G4085" s="87" t="str">
        <x:v>Английский язык</x:v>
      </x:c>
      <x:c r="H4085" s="87" t="n">
        <x:v>11</x:v>
      </x:c>
      <x:c r="I4085" s="87" t="str">
        <x:v>ТР №1</x:v>
      </x:c>
      <x:c r="J4085" s="87" t="str">
        <x:v>АЯ2510101</x:v>
      </x:c>
      <x:c r="K4085" s="87" t="n">
        <x:v>22</x:v>
      </x:c>
      <x:c r="L4085" s="87" t="str">
        <x:v>Грамматика</x:v>
      </x:c>
      <x:c r="M4085" s="30" t="str">
        <x:v>But he did not give up; he kept ___. PLAY</x:v>
      </x:c>
      <x:c r="N4085" s="30" t="str">
        <x:v>playing</x:v>
      </x:c>
      <x:c r="O4085" s="30" t="str">
        <x:v>После keep требуется герундий.</x:v>
      </x:c>
      <x:c r="P4085" s="30" t="str">
        <x:v>Форма проверена по грамматической позиции, согласованию и смыслу всего предложения.</x:v>
      </x:c>
      <x:c r="Q4085" s="30"/>
      <x:c r="R4085" s="30" t="str">
        <x:v>playing</x:v>
      </x:c>
      <x:c r="S4085" s="30"/>
      <x:c r="T4085" s="30"/>
      <x:c r="U4085" s="30" t="str">
        <x:v>Расхождений нет.</x:v>
      </x:c>
      <x:c r="V4085" s="87" t="str">
        <x:v>VERIFIED</x:v>
      </x:c>
      <x:c r="W4085" s="87" t="n">
        <x:v>11</x:v>
      </x:c>
      <x:c r="X4085" s="87"/>
      <x:c r="Y4085" s="87"/>
      <x:c r="Z4085" s="87"/>
      <x:c r="AA4085" s="87"/>
      <x:c r="AB4085" s="87"/>
      <x:c r="AC4085" s="87"/>
      <x:c r="AD4085" s="87"/>
      <x:c r="AE4085" s="87"/>
      <x:c r="AF4085" s="87"/>
      <x:c r="AG4085" s="87"/>
      <x:c r="AH4085" s="87"/>
      <x:c r="AI4085" s="30"/>
      <x:c r="AJ4085" s="87" t="str">
        <x:v>clean</x:v>
      </x:c>
      <x:c r="AK4085" s="87" t="str">
        <x:v>clean-v0.01</x:v>
      </x:c>
      <x:c r="AL4085" s="87" t="str">
        <x:v>statgrad_clean_continuation_v0_01(1).xlsx</x:v>
      </x:c>
      <x:c r="AM4085" s="87" t="str">
        <x:v>ENG_Nov_Written_V1</x:v>
      </x:c>
      <x:c r="AN4085" s="87" t="n">
        <x:v>25</x:v>
      </x:c>
    </x:row>
    <x:row r="4086">
      <x:c r="A4086" s="87" t="n">
        <x:v>4085</x:v>
      </x:c>
      <x:c r="B4086" s="87" t="str">
        <x:v>NOV-ENG-W-V1-023</x:v>
      </x:c>
      <x:c r="C4086" s="87" t="str">
        <x:v>СтатГрад</x:v>
      </x:c>
      <x:c r="D4086" s="87" t="str">
        <x:v>Ноябрь 2025</x:v>
      </x:c>
      <x:c r="E4086" s="87"/>
      <x:c r="F4086" s="87"/>
      <x:c r="G4086" s="87" t="str">
        <x:v>Английский язык</x:v>
      </x:c>
      <x:c r="H4086" s="87" t="n">
        <x:v>11</x:v>
      </x:c>
      <x:c r="I4086" s="87" t="str">
        <x:v>ТР №1</x:v>
      </x:c>
      <x:c r="J4086" s="87" t="str">
        <x:v>АЯ2510101</x:v>
      </x:c>
      <x:c r="K4086" s="87" t="n">
        <x:v>23</x:v>
      </x:c>
      <x:c r="L4086" s="87" t="str">
        <x:v>Грамматика</x:v>
      </x:c>
      <x:c r="M4086" s="30" t="str">
        <x:v>That year he did so well that he ___ Rookie of the Year. NAME</x:v>
      </x:c>
      <x:c r="N4086" s="30" t="str">
        <x:v>was named</x:v>
      </x:c>
      <x:c r="O4086" s="30" t="str">
        <x:v>Нужен Past Simple Passive: его назвали новичком года.</x:v>
      </x:c>
      <x:c r="P4086" s="30" t="str">
        <x:v>Форма проверена по грамматической позиции, согласованию и смыслу всего предложения.</x:v>
      </x:c>
      <x:c r="Q4086" s="30"/>
      <x:c r="R4086" s="30" t="str">
        <x:v>was named</x:v>
      </x:c>
      <x:c r="S4086" s="30"/>
      <x:c r="T4086" s="30"/>
      <x:c r="U4086" s="30" t="str">
        <x:v>Расхождений нет.</x:v>
      </x:c>
      <x:c r="V4086" s="87" t="str">
        <x:v>VERIFIED</x:v>
      </x:c>
      <x:c r="W4086" s="87" t="n">
        <x:v>11</x:v>
      </x:c>
      <x:c r="X4086" s="87"/>
      <x:c r="Y4086" s="87"/>
      <x:c r="Z4086" s="87"/>
      <x:c r="AA4086" s="87"/>
      <x:c r="AB4086" s="87"/>
      <x:c r="AC4086" s="87"/>
      <x:c r="AD4086" s="87"/>
      <x:c r="AE4086" s="87"/>
      <x:c r="AF4086" s="87"/>
      <x:c r="AG4086" s="87"/>
      <x:c r="AH4086" s="87"/>
      <x:c r="AI4086" s="30"/>
      <x:c r="AJ4086" s="87" t="str">
        <x:v>clean</x:v>
      </x:c>
      <x:c r="AK4086" s="87" t="str">
        <x:v>clean-v0.01</x:v>
      </x:c>
      <x:c r="AL4086" s="87" t="str">
        <x:v>statgrad_clean_continuation_v0_01(1).xlsx</x:v>
      </x:c>
      <x:c r="AM4086" s="87" t="str">
        <x:v>ENG_Nov_Written_V1</x:v>
      </x:c>
      <x:c r="AN4086" s="87" t="n">
        <x:v>26</x:v>
      </x:c>
    </x:row>
    <x:row r="4087">
      <x:c r="A4087" s="87" t="n">
        <x:v>4086</x:v>
      </x:c>
      <x:c r="B4087" s="87" t="str">
        <x:v>NOV-ENG-W-V1-024</x:v>
      </x:c>
      <x:c r="C4087" s="87" t="str">
        <x:v>СтатГрад</x:v>
      </x:c>
      <x:c r="D4087" s="87" t="str">
        <x:v>Ноябрь 2025</x:v>
      </x:c>
      <x:c r="E4087" s="87"/>
      <x:c r="F4087" s="87"/>
      <x:c r="G4087" s="87" t="str">
        <x:v>Английский язык</x:v>
      </x:c>
      <x:c r="H4087" s="87" t="n">
        <x:v>11</x:v>
      </x:c>
      <x:c r="I4087" s="87" t="str">
        <x:v>ТР №1</x:v>
      </x:c>
      <x:c r="J4087" s="87" t="str">
        <x:v>АЯ2510101</x:v>
      </x:c>
      <x:c r="K4087" s="87" t="n">
        <x:v>24</x:v>
      </x:c>
      <x:c r="L4087" s="87" t="str">
        <x:v>Грамматика</x:v>
      </x:c>
      <x:c r="M4087" s="30" t="str">
        <x:v>Robinson retired in 1956, and ___ fought for the rights... LATE</x:v>
      </x:c>
      <x:c r="N4087" s="30" t="str">
        <x:v>later</x:v>
      </x:c>
      <x:c r="O4087" s="30" t="str">
        <x:v>Наречие later обозначает последующее действие.</x:v>
      </x:c>
      <x:c r="P4087" s="30" t="str">
        <x:v>Форма проверена по грамматической позиции, согласованию и смыслу всего предложения.</x:v>
      </x:c>
      <x:c r="Q4087" s="30"/>
      <x:c r="R4087" s="30" t="str">
        <x:v>later</x:v>
      </x:c>
      <x:c r="S4087" s="30"/>
      <x:c r="T4087" s="30"/>
      <x:c r="U4087" s="30" t="str">
        <x:v>Расхождений нет.</x:v>
      </x:c>
      <x:c r="V4087" s="87" t="str">
        <x:v>VERIFIED</x:v>
      </x:c>
      <x:c r="W4087" s="87" t="n">
        <x:v>11</x:v>
      </x:c>
      <x:c r="X4087" s="87"/>
      <x:c r="Y4087" s="87"/>
      <x:c r="Z4087" s="87"/>
      <x:c r="AA4087" s="87"/>
      <x:c r="AB4087" s="87"/>
      <x:c r="AC4087" s="87"/>
      <x:c r="AD4087" s="87"/>
      <x:c r="AE4087" s="87"/>
      <x:c r="AF4087" s="87"/>
      <x:c r="AG4087" s="87"/>
      <x:c r="AH4087" s="87"/>
      <x:c r="AI4087" s="30"/>
      <x:c r="AJ4087" s="87" t="str">
        <x:v>clean</x:v>
      </x:c>
      <x:c r="AK4087" s="87" t="str">
        <x:v>clean-v0.01</x:v>
      </x:c>
      <x:c r="AL4087" s="87" t="str">
        <x:v>statgrad_clean_continuation_v0_01(1).xlsx</x:v>
      </x:c>
      <x:c r="AM4087" s="87" t="str">
        <x:v>ENG_Nov_Written_V1</x:v>
      </x:c>
      <x:c r="AN4087" s="87" t="n">
        <x:v>27</x:v>
      </x:c>
    </x:row>
    <x:row r="4088">
      <x:c r="A4088" s="87" t="n">
        <x:v>4087</x:v>
      </x:c>
      <x:c r="B4088" s="87" t="str">
        <x:v>NOV-ENG-W-V1-025</x:v>
      </x:c>
      <x:c r="C4088" s="87" t="str">
        <x:v>СтатГрад</x:v>
      </x:c>
      <x:c r="D4088" s="87" t="str">
        <x:v>Ноябрь 2025</x:v>
      </x:c>
      <x:c r="E4088" s="87"/>
      <x:c r="F4088" s="87"/>
      <x:c r="G4088" s="87" t="str">
        <x:v>Английский язык</x:v>
      </x:c>
      <x:c r="H4088" s="87" t="n">
        <x:v>11</x:v>
      </x:c>
      <x:c r="I4088" s="87" t="str">
        <x:v>ТР №1</x:v>
      </x:c>
      <x:c r="J4088" s="87" t="str">
        <x:v>АЯ2510101</x:v>
      </x:c>
      <x:c r="K4088" s="87" t="n">
        <x:v>25</x:v>
      </x:c>
      <x:c r="L4088" s="87" t="str">
        <x:v>Словообразование</x:v>
      </x:c>
      <x:c r="M4088" s="30" t="str">
        <x:v>Women were still ___ to vote. ABLE</x:v>
      </x:c>
      <x:c r="N4088" s="30" t="str">
        <x:v>unable</x:v>
      </x:c>
      <x:c r="O4088" s="30" t="str">
        <x:v>По смыслу требуется отрицательное прилагательное unable.</x:v>
      </x:c>
      <x:c r="P4088" s="30" t="str">
        <x:v>Форма проверена по грамматической позиции, согласованию и смыслу всего предложения.</x:v>
      </x:c>
      <x:c r="Q4088" s="30"/>
      <x:c r="R4088" s="30" t="str">
        <x:v>unable</x:v>
      </x:c>
      <x:c r="S4088" s="30"/>
      <x:c r="T4088" s="30"/>
      <x:c r="U4088" s="30" t="str">
        <x:v>Расхождений нет.</x:v>
      </x:c>
      <x:c r="V4088" s="87" t="str">
        <x:v>VERIFIED</x:v>
      </x:c>
      <x:c r="W4088" s="87" t="n">
        <x:v>12</x:v>
      </x:c>
      <x:c r="X4088" s="87"/>
      <x:c r="Y4088" s="87"/>
      <x:c r="Z4088" s="87"/>
      <x:c r="AA4088" s="87"/>
      <x:c r="AB4088" s="87"/>
      <x:c r="AC4088" s="87"/>
      <x:c r="AD4088" s="87"/>
      <x:c r="AE4088" s="87"/>
      <x:c r="AF4088" s="87"/>
      <x:c r="AG4088" s="87"/>
      <x:c r="AH4088" s="87"/>
      <x:c r="AI4088" s="30"/>
      <x:c r="AJ4088" s="87" t="str">
        <x:v>clean</x:v>
      </x:c>
      <x:c r="AK4088" s="87" t="str">
        <x:v>clean-v0.01</x:v>
      </x:c>
      <x:c r="AL4088" s="87" t="str">
        <x:v>statgrad_clean_continuation_v0_01(1).xlsx</x:v>
      </x:c>
      <x:c r="AM4088" s="87" t="str">
        <x:v>ENG_Nov_Written_V1</x:v>
      </x:c>
      <x:c r="AN4088" s="87" t="n">
        <x:v>28</x:v>
      </x:c>
    </x:row>
    <x:row r="4089">
      <x:c r="A4089" s="87" t="n">
        <x:v>4088</x:v>
      </x:c>
      <x:c r="B4089" s="87" t="str">
        <x:v>NOV-ENG-W-V1-026</x:v>
      </x:c>
      <x:c r="C4089" s="87" t="str">
        <x:v>СтатГрад</x:v>
      </x:c>
      <x:c r="D4089" s="87" t="str">
        <x:v>Ноябрь 2025</x:v>
      </x:c>
      <x:c r="E4089" s="87"/>
      <x:c r="F4089" s="87"/>
      <x:c r="G4089" s="87" t="str">
        <x:v>Английский язык</x:v>
      </x:c>
      <x:c r="H4089" s="87" t="n">
        <x:v>11</x:v>
      </x:c>
      <x:c r="I4089" s="87" t="str">
        <x:v>ТР №1</x:v>
      </x:c>
      <x:c r="J4089" s="87" t="str">
        <x:v>АЯ2510101</x:v>
      </x:c>
      <x:c r="K4089" s="87" t="n">
        <x:v>26</x:v>
      </x:c>
      <x:c r="L4089" s="87" t="str">
        <x:v>Словообразование</x:v>
      </x:c>
      <x:c r="M4089" s="30" t="str">
        <x:v>They were not allowed to help elect the nation’s ___. LEAD</x:v>
      </x:c>
      <x:c r="N4089" s="30" t="str">
        <x:v>leaders / leader</x:v>
      </x:c>
      <x:c r="O4089" s="30" t="str">
        <x:v>После притяжательной формы требуется существительное; допустимы обобщённое множественное и собирательное единственное.</x:v>
      </x:c>
      <x:c r="P4089" s="30" t="str">
        <x:v>Форма проверена по грамматической позиции, согласованию и смыслу всего предложения.</x:v>
      </x:c>
      <x:c r="Q4089" s="30"/>
      <x:c r="R4089" s="30" t="str">
        <x:v>leaders / leader</x:v>
      </x:c>
      <x:c r="S4089" s="30"/>
      <x:c r="T4089" s="30"/>
      <x:c r="U4089" s="30" t="str">
        <x:v>Расхождений нет.</x:v>
      </x:c>
      <x:c r="V4089" s="87" t="str">
        <x:v>VERIFIED</x:v>
      </x:c>
      <x:c r="W4089" s="87" t="n">
        <x:v>12</x:v>
      </x:c>
      <x:c r="X4089" s="87"/>
      <x:c r="Y4089" s="87"/>
      <x:c r="Z4089" s="87"/>
      <x:c r="AA4089" s="87"/>
      <x:c r="AB4089" s="87"/>
      <x:c r="AC4089" s="87"/>
      <x:c r="AD4089" s="87"/>
      <x:c r="AE4089" s="87"/>
      <x:c r="AF4089" s="87"/>
      <x:c r="AG4089" s="87"/>
      <x:c r="AH4089" s="87"/>
      <x:c r="AI4089" s="30"/>
      <x:c r="AJ4089" s="87" t="str">
        <x:v>clean</x:v>
      </x:c>
      <x:c r="AK4089" s="87" t="str">
        <x:v>clean-v0.01</x:v>
      </x:c>
      <x:c r="AL4089" s="87" t="str">
        <x:v>statgrad_clean_continuation_v0_01(1).xlsx</x:v>
      </x:c>
      <x:c r="AM4089" s="87" t="str">
        <x:v>ENG_Nov_Written_V1</x:v>
      </x:c>
      <x:c r="AN4089" s="87" t="n">
        <x:v>29</x:v>
      </x:c>
    </x:row>
    <x:row r="4090">
      <x:c r="A4090" s="87" t="n">
        <x:v>4089</x:v>
      </x:c>
      <x:c r="B4090" s="87" t="str">
        <x:v>NOV-ENG-W-V1-027</x:v>
      </x:c>
      <x:c r="C4090" s="87" t="str">
        <x:v>СтатГрад</x:v>
      </x:c>
      <x:c r="D4090" s="87" t="str">
        <x:v>Ноябрь 2025</x:v>
      </x:c>
      <x:c r="E4090" s="87"/>
      <x:c r="F4090" s="87"/>
      <x:c r="G4090" s="87" t="str">
        <x:v>Английский язык</x:v>
      </x:c>
      <x:c r="H4090" s="87" t="n">
        <x:v>11</x:v>
      </x:c>
      <x:c r="I4090" s="87" t="str">
        <x:v>ТР №1</x:v>
      </x:c>
      <x:c r="J4090" s="87" t="str">
        <x:v>АЯ2510101</x:v>
      </x:c>
      <x:c r="K4090" s="87" t="n">
        <x:v>27</x:v>
      </x:c>
      <x:c r="L4090" s="87" t="str">
        <x:v>Словообразование</x:v>
      </x:c>
      <x:c r="M4090" s="30" t="str">
        <x:v>A loud voice in the women’s suffrage ___ . MOVE</x:v>
      </x:c>
      <x:c r="N4090" s="30" t="str">
        <x:v>movement</x:v>
      </x:c>
      <x:c r="O4090" s="30" t="str">
        <x:v>После существительного suffrage требуется существительное movement.</x:v>
      </x:c>
      <x:c r="P4090" s="30" t="str">
        <x:v>Форма проверена по грамматической позиции, согласованию и смыслу всего предложения.</x:v>
      </x:c>
      <x:c r="Q4090" s="30"/>
      <x:c r="R4090" s="30" t="str">
        <x:v>movement</x:v>
      </x:c>
      <x:c r="S4090" s="30"/>
      <x:c r="T4090" s="30"/>
      <x:c r="U4090" s="30" t="str">
        <x:v>Расхождений нет.</x:v>
      </x:c>
      <x:c r="V4090" s="87" t="str">
        <x:v>VERIFIED</x:v>
      </x:c>
      <x:c r="W4090" s="87" t="n">
        <x:v>12</x:v>
      </x:c>
      <x:c r="X4090" s="87"/>
      <x:c r="Y4090" s="87"/>
      <x:c r="Z4090" s="87"/>
      <x:c r="AA4090" s="87"/>
      <x:c r="AB4090" s="87"/>
      <x:c r="AC4090" s="87"/>
      <x:c r="AD4090" s="87"/>
      <x:c r="AE4090" s="87"/>
      <x:c r="AF4090" s="87"/>
      <x:c r="AG4090" s="87"/>
      <x:c r="AH4090" s="87"/>
      <x:c r="AI4090" s="30"/>
      <x:c r="AJ4090" s="87" t="str">
        <x:v>clean</x:v>
      </x:c>
      <x:c r="AK4090" s="87" t="str">
        <x:v>clean-v0.01</x:v>
      </x:c>
      <x:c r="AL4090" s="87" t="str">
        <x:v>statgrad_clean_continuation_v0_01(1).xlsx</x:v>
      </x:c>
      <x:c r="AM4090" s="87" t="str">
        <x:v>ENG_Nov_Written_V1</x:v>
      </x:c>
      <x:c r="AN4090" s="87" t="n">
        <x:v>30</x:v>
      </x:c>
    </x:row>
    <x:row r="4091">
      <x:c r="A4091" s="87" t="n">
        <x:v>4090</x:v>
      </x:c>
      <x:c r="B4091" s="87" t="str">
        <x:v>NOV-ENG-W-V1-028</x:v>
      </x:c>
      <x:c r="C4091" s="87" t="str">
        <x:v>СтатГрад</x:v>
      </x:c>
      <x:c r="D4091" s="87" t="str">
        <x:v>Ноябрь 2025</x:v>
      </x:c>
      <x:c r="E4091" s="87"/>
      <x:c r="F4091" s="87"/>
      <x:c r="G4091" s="87" t="str">
        <x:v>Английский язык</x:v>
      </x:c>
      <x:c r="H4091" s="87" t="n">
        <x:v>11</x:v>
      </x:c>
      <x:c r="I4091" s="87" t="str">
        <x:v>ТР №1</x:v>
      </x:c>
      <x:c r="J4091" s="87" t="str">
        <x:v>АЯ2510101</x:v>
      </x:c>
      <x:c r="K4091" s="87" t="n">
        <x:v>28</x:v>
      </x:c>
      <x:c r="L4091" s="87" t="str">
        <x:v>Словообразование</x:v>
      </x:c>
      <x:c r="M4091" s="30" t="str">
        <x:v>Susan B. Anthony also worked ___ to win... TIRE</x:v>
      </x:c>
      <x:c r="N4091" s="30" t="str">
        <x:v>tirelessly</x:v>
      </x:c>
      <x:c r="O4091" s="30" t="str">
        <x:v>Наречие tireless + -ly описывает неустанную работу.</x:v>
      </x:c>
      <x:c r="P4091" s="30" t="str">
        <x:v>Форма проверена по грамматической позиции, согласованию и смыслу всего предложения.</x:v>
      </x:c>
      <x:c r="Q4091" s="30"/>
      <x:c r="R4091" s="30" t="str">
        <x:v>tirelessly</x:v>
      </x:c>
      <x:c r="S4091" s="30"/>
      <x:c r="T4091" s="30"/>
      <x:c r="U4091" s="30" t="str">
        <x:v>Расхождений нет.</x:v>
      </x:c>
      <x:c r="V4091" s="87" t="str">
        <x:v>VERIFIED</x:v>
      </x:c>
      <x:c r="W4091" s="87" t="n">
        <x:v>12</x:v>
      </x:c>
      <x:c r="X4091" s="87"/>
      <x:c r="Y4091" s="87"/>
      <x:c r="Z4091" s="87"/>
      <x:c r="AA4091" s="87"/>
      <x:c r="AB4091" s="87"/>
      <x:c r="AC4091" s="87"/>
      <x:c r="AD4091" s="87"/>
      <x:c r="AE4091" s="87"/>
      <x:c r="AF4091" s="87"/>
      <x:c r="AG4091" s="87"/>
      <x:c r="AH4091" s="87"/>
      <x:c r="AI4091" s="30"/>
      <x:c r="AJ4091" s="87" t="str">
        <x:v>clean</x:v>
      </x:c>
      <x:c r="AK4091" s="87" t="str">
        <x:v>clean-v0.01</x:v>
      </x:c>
      <x:c r="AL4091" s="87" t="str">
        <x:v>statgrad_clean_continuation_v0_01(1).xlsx</x:v>
      </x:c>
      <x:c r="AM4091" s="87" t="str">
        <x:v>ENG_Nov_Written_V1</x:v>
      </x:c>
      <x:c r="AN4091" s="87" t="n">
        <x:v>31</x:v>
      </x:c>
    </x:row>
    <x:row r="4092">
      <x:c r="A4092" s="87" t="n">
        <x:v>4091</x:v>
      </x:c>
      <x:c r="B4092" s="87" t="str">
        <x:v>NOV-ENG-W-V1-029</x:v>
      </x:c>
      <x:c r="C4092" s="87" t="str">
        <x:v>СтатГрад</x:v>
      </x:c>
      <x:c r="D4092" s="87" t="str">
        <x:v>Ноябрь 2025</x:v>
      </x:c>
      <x:c r="E4092" s="87"/>
      <x:c r="F4092" s="87"/>
      <x:c r="G4092" s="87" t="str">
        <x:v>Английский язык</x:v>
      </x:c>
      <x:c r="H4092" s="87" t="n">
        <x:v>11</x:v>
      </x:c>
      <x:c r="I4092" s="87" t="str">
        <x:v>ТР №1</x:v>
      </x:c>
      <x:c r="J4092" s="87" t="str">
        <x:v>АЯ2510101</x:v>
      </x:c>
      <x:c r="K4092" s="87" t="n">
        <x:v>29</x:v>
      </x:c>
      <x:c r="L4092" s="87" t="str">
        <x:v>Словообразование</x:v>
      </x:c>
      <x:c r="M4092" s="30" t="str">
        <x:v>It granted ___ women the right to vote. AMERICA</x:v>
      </x:c>
      <x:c r="N4092" s="30" t="str">
        <x:v>American</x:v>
      </x:c>
      <x:c r="O4092" s="30" t="str">
        <x:v>Перед women требуется прилагательное национальности American.</x:v>
      </x:c>
      <x:c r="P4092" s="30" t="str">
        <x:v>Форма проверена по грамматической позиции, согласованию и смыслу всего предложения.</x:v>
      </x:c>
      <x:c r="Q4092" s="30"/>
      <x:c r="R4092" s="30" t="str">
        <x:v>American</x:v>
      </x:c>
      <x:c r="S4092" s="30"/>
      <x:c r="T4092" s="30"/>
      <x:c r="U4092" s="30" t="str">
        <x:v>Расхождений нет.</x:v>
      </x:c>
      <x:c r="V4092" s="87" t="str">
        <x:v>VERIFIED</x:v>
      </x:c>
      <x:c r="W4092" s="87" t="n">
        <x:v>12</x:v>
      </x:c>
      <x:c r="X4092" s="87"/>
      <x:c r="Y4092" s="87"/>
      <x:c r="Z4092" s="87"/>
      <x:c r="AA4092" s="87"/>
      <x:c r="AB4092" s="87"/>
      <x:c r="AC4092" s="87"/>
      <x:c r="AD4092" s="87"/>
      <x:c r="AE4092" s="87"/>
      <x:c r="AF4092" s="87"/>
      <x:c r="AG4092" s="87"/>
      <x:c r="AH4092" s="87"/>
      <x:c r="AI4092" s="30"/>
      <x:c r="AJ4092" s="87" t="str">
        <x:v>clean</x:v>
      </x:c>
      <x:c r="AK4092" s="87" t="str">
        <x:v>clean-v0.01</x:v>
      </x:c>
      <x:c r="AL4092" s="87" t="str">
        <x:v>statgrad_clean_continuation_v0_01(1).xlsx</x:v>
      </x:c>
      <x:c r="AM4092" s="87" t="str">
        <x:v>ENG_Nov_Written_V1</x:v>
      </x:c>
      <x:c r="AN4092" s="87" t="n">
        <x:v>32</x:v>
      </x:c>
    </x:row>
    <x:row r="4093">
      <x:c r="A4093" s="87" t="n">
        <x:v>4092</x:v>
      </x:c>
      <x:c r="B4093" s="87" t="str">
        <x:v>NOV-ENG-W-V1-030</x:v>
      </x:c>
      <x:c r="C4093" s="87" t="str">
        <x:v>СтатГрад</x:v>
      </x:c>
      <x:c r="D4093" s="87" t="str">
        <x:v>Ноябрь 2025</x:v>
      </x:c>
      <x:c r="E4093" s="87"/>
      <x:c r="F4093" s="87"/>
      <x:c r="G4093" s="87" t="str">
        <x:v>Английский язык</x:v>
      </x:c>
      <x:c r="H4093" s="87" t="n">
        <x:v>11</x:v>
      </x:c>
      <x:c r="I4093" s="87" t="str">
        <x:v>ТР №1</x:v>
      </x:c>
      <x:c r="J4093" s="87" t="str">
        <x:v>АЯ2510101</x:v>
      </x:c>
      <x:c r="K4093" s="87" t="n">
        <x:v>30</x:v>
      </x:c>
      <x:c r="L4093" s="87" t="str">
        <x:v>Лексика: выбор слова</x:v>
      </x:c>
      <x:c r="M4093" s="30" t="str">
        <x:v>Lightning formation is ___ to a spark of static electricity.</x:v>
      </x:c>
      <x:c r="N4093" s="30" t="str">
        <x:v>4 — similar</x:v>
      </x:c>
      <x:c r="O4093" s="30" t="str">
        <x:v>Устойчивая конструкция be similar to.</x:v>
      </x:c>
      <x:c r="P4093" s="30" t="str">
        <x:v>Проверены устойчивое управление, часть речи и логика связного текста.</x:v>
      </x:c>
      <x:c r="Q4093" s="30"/>
      <x:c r="R4093" s="30" t="str">
        <x:v>нет в таблице</x:v>
      </x:c>
      <x:c r="S4093" s="30"/>
      <x:c r="T4093" s="30"/>
      <x:c r="U4093" s="30" t="str">
        <x:v>Решено независимо по контексту.</x:v>
      </x:c>
      <x:c r="V4093" s="87" t="str">
        <x:v>VERIFIED</x:v>
      </x:c>
      <x:c r="W4093" s="87" t="n">
        <x:v>13</x:v>
      </x:c>
      <x:c r="X4093" s="87"/>
      <x:c r="Y4093" s="87"/>
      <x:c r="Z4093" s="87"/>
      <x:c r="AA4093" s="87"/>
      <x:c r="AB4093" s="87"/>
      <x:c r="AC4093" s="87"/>
      <x:c r="AD4093" s="87"/>
      <x:c r="AE4093" s="87"/>
      <x:c r="AF4093" s="87"/>
      <x:c r="AG4093" s="87"/>
      <x:c r="AH4093" s="87"/>
      <x:c r="AI4093" s="30"/>
      <x:c r="AJ4093" s="87" t="str">
        <x:v>clean</x:v>
      </x:c>
      <x:c r="AK4093" s="87" t="str">
        <x:v>clean-v0.01</x:v>
      </x:c>
      <x:c r="AL4093" s="87" t="str">
        <x:v>statgrad_clean_continuation_v0_01(1).xlsx</x:v>
      </x:c>
      <x:c r="AM4093" s="87" t="str">
        <x:v>ENG_Nov_Written_V1</x:v>
      </x:c>
      <x:c r="AN4093" s="87" t="n">
        <x:v>33</x:v>
      </x:c>
    </x:row>
    <x:row r="4094">
      <x:c r="A4094" s="87" t="n">
        <x:v>4093</x:v>
      </x:c>
      <x:c r="B4094" s="87" t="str">
        <x:v>NOV-ENG-W-V1-031</x:v>
      </x:c>
      <x:c r="C4094" s="87" t="str">
        <x:v>СтатГрад</x:v>
      </x:c>
      <x:c r="D4094" s="87" t="str">
        <x:v>Ноябрь 2025</x:v>
      </x:c>
      <x:c r="E4094" s="87"/>
      <x:c r="F4094" s="87"/>
      <x:c r="G4094" s="87" t="str">
        <x:v>Английский язык</x:v>
      </x:c>
      <x:c r="H4094" s="87" t="n">
        <x:v>11</x:v>
      </x:c>
      <x:c r="I4094" s="87" t="str">
        <x:v>ТР №1</x:v>
      </x:c>
      <x:c r="J4094" s="87" t="str">
        <x:v>АЯ2510101</x:v>
      </x:c>
      <x:c r="K4094" s="87" t="n">
        <x:v>31</x:v>
      </x:c>
      <x:c r="L4094" s="87" t="str">
        <x:v>Лексика: выбор слова</x:v>
      </x:c>
      <x:c r="M4094" s="30" t="str">
        <x:v>___ a storm, small particles in clouds collect charges.</x:v>
      </x:c>
      <x:c r="N4094" s="30" t="str">
        <x:v>1 — During</x:v>
      </x:c>
      <x:c r="O4094" s="30" t="str">
        <x:v>During ставится перед существительной группой a storm.</x:v>
      </x:c>
      <x:c r="P4094" s="30" t="str">
        <x:v>Проверены устойчивое управление, часть речи и логика связного текста.</x:v>
      </x:c>
      <x:c r="Q4094" s="30"/>
      <x:c r="R4094" s="30" t="str">
        <x:v>нет в таблице</x:v>
      </x:c>
      <x:c r="S4094" s="30"/>
      <x:c r="T4094" s="30"/>
      <x:c r="U4094" s="30" t="str">
        <x:v>Решено независимо по контексту.</x:v>
      </x:c>
      <x:c r="V4094" s="87" t="str">
        <x:v>VERIFIED</x:v>
      </x:c>
      <x:c r="W4094" s="87" t="n">
        <x:v>13</x:v>
      </x:c>
      <x:c r="X4094" s="87"/>
      <x:c r="Y4094" s="87"/>
      <x:c r="Z4094" s="87"/>
      <x:c r="AA4094" s="87"/>
      <x:c r="AB4094" s="87"/>
      <x:c r="AC4094" s="87"/>
      <x:c r="AD4094" s="87"/>
      <x:c r="AE4094" s="87"/>
      <x:c r="AF4094" s="87"/>
      <x:c r="AG4094" s="87"/>
      <x:c r="AH4094" s="87"/>
      <x:c r="AI4094" s="30"/>
      <x:c r="AJ4094" s="87" t="str">
        <x:v>clean</x:v>
      </x:c>
      <x:c r="AK4094" s="87" t="str">
        <x:v>clean-v0.01</x:v>
      </x:c>
      <x:c r="AL4094" s="87" t="str">
        <x:v>statgrad_clean_continuation_v0_01(1).xlsx</x:v>
      </x:c>
      <x:c r="AM4094" s="87" t="str">
        <x:v>ENG_Nov_Written_V1</x:v>
      </x:c>
      <x:c r="AN4094" s="87" t="n">
        <x:v>34</x:v>
      </x:c>
    </x:row>
    <x:row r="4095">
      <x:c r="A4095" s="87" t="n">
        <x:v>4094</x:v>
      </x:c>
      <x:c r="B4095" s="87" t="str">
        <x:v>NOV-ENG-W-V1-032</x:v>
      </x:c>
      <x:c r="C4095" s="87" t="str">
        <x:v>СтатГрад</x:v>
      </x:c>
      <x:c r="D4095" s="87" t="str">
        <x:v>Ноябрь 2025</x:v>
      </x:c>
      <x:c r="E4095" s="87"/>
      <x:c r="F4095" s="87"/>
      <x:c r="G4095" s="87" t="str">
        <x:v>Английский язык</x:v>
      </x:c>
      <x:c r="H4095" s="87" t="n">
        <x:v>11</x:v>
      </x:c>
      <x:c r="I4095" s="87" t="str">
        <x:v>ТР №1</x:v>
      </x:c>
      <x:c r="J4095" s="87" t="str">
        <x:v>АЯ2510101</x:v>
      </x:c>
      <x:c r="K4095" s="87" t="n">
        <x:v>32</x:v>
      </x:c>
      <x:c r="L4095" s="87" t="str">
        <x:v>Лексика: выбор слова</x:v>
      </x:c>
      <x:c r="M4095" s="30" t="str">
        <x:v>___ the attraction becomes too strong, the particles release energy.</x:v>
      </x:c>
      <x:c r="N4095" s="30" t="str">
        <x:v>3 — Once</x:v>
      </x:c>
      <x:c r="O4095" s="30" t="str">
        <x:v>Once вводит придаточное времени со значением «как только / когда».</x:v>
      </x:c>
      <x:c r="P4095" s="30" t="str">
        <x:v>Проверены устойчивое управление, часть речи и логика связного текста.</x:v>
      </x:c>
      <x:c r="Q4095" s="30"/>
      <x:c r="R4095" s="30" t="str">
        <x:v>нет в таблице</x:v>
      </x:c>
      <x:c r="S4095" s="30"/>
      <x:c r="T4095" s="30"/>
      <x:c r="U4095" s="30" t="str">
        <x:v>Решено независимо по контексту.</x:v>
      </x:c>
      <x:c r="V4095" s="87" t="str">
        <x:v>VERIFIED</x:v>
      </x:c>
      <x:c r="W4095" s="87" t="n">
        <x:v>13</x:v>
      </x:c>
      <x:c r="X4095" s="87"/>
      <x:c r="Y4095" s="87"/>
      <x:c r="Z4095" s="87"/>
      <x:c r="AA4095" s="87"/>
      <x:c r="AB4095" s="87"/>
      <x:c r="AC4095" s="87"/>
      <x:c r="AD4095" s="87"/>
      <x:c r="AE4095" s="87"/>
      <x:c r="AF4095" s="87"/>
      <x:c r="AG4095" s="87"/>
      <x:c r="AH4095" s="87"/>
      <x:c r="AI4095" s="30"/>
      <x:c r="AJ4095" s="87" t="str">
        <x:v>clean</x:v>
      </x:c>
      <x:c r="AK4095" s="87" t="str">
        <x:v>clean-v0.01</x:v>
      </x:c>
      <x:c r="AL4095" s="87" t="str">
        <x:v>statgrad_clean_continuation_v0_01(1).xlsx</x:v>
      </x:c>
      <x:c r="AM4095" s="87" t="str">
        <x:v>ENG_Nov_Written_V1</x:v>
      </x:c>
      <x:c r="AN4095" s="87" t="n">
        <x:v>35</x:v>
      </x:c>
    </x:row>
    <x:row r="4096">
      <x:c r="A4096" s="87" t="n">
        <x:v>4095</x:v>
      </x:c>
      <x:c r="B4096" s="87" t="str">
        <x:v>NOV-ENG-W-V1-033</x:v>
      </x:c>
      <x:c r="C4096" s="87" t="str">
        <x:v>СтатГрад</x:v>
      </x:c>
      <x:c r="D4096" s="87" t="str">
        <x:v>Ноябрь 2025</x:v>
      </x:c>
      <x:c r="E4096" s="87"/>
      <x:c r="F4096" s="87"/>
      <x:c r="G4096" s="87" t="str">
        <x:v>Английский язык</x:v>
      </x:c>
      <x:c r="H4096" s="87" t="n">
        <x:v>11</x:v>
      </x:c>
      <x:c r="I4096" s="87" t="str">
        <x:v>ТР №1</x:v>
      </x:c>
      <x:c r="J4096" s="87" t="str">
        <x:v>АЯ2510101</x:v>
      </x:c>
      <x:c r="K4096" s="87" t="n">
        <x:v>33</x:v>
      </x:c>
      <x:c r="L4096" s="87" t="str">
        <x:v>Лексика: выбор слова</x:v>
      </x:c>
      <x:c r="M4096" s="30" t="str">
        <x:v>Lightning can ___ heat air molecules...</x:v>
      </x:c>
      <x:c r="N4096" s="30" t="str">
        <x:v>2 — instantly</x:v>
      </x:c>
      <x:c r="O4096" s="30" t="str">
        <x:v>Наречие instantly логично обозначает мгновенное нагревание.</x:v>
      </x:c>
      <x:c r="P4096" s="30" t="str">
        <x:v>Проверены устойчивое управление, часть речи и логика связного текста.</x:v>
      </x:c>
      <x:c r="Q4096" s="30"/>
      <x:c r="R4096" s="30" t="str">
        <x:v>нет в таблице</x:v>
      </x:c>
      <x:c r="S4096" s="30"/>
      <x:c r="T4096" s="30"/>
      <x:c r="U4096" s="30" t="str">
        <x:v>Решено независимо по контексту.</x:v>
      </x:c>
      <x:c r="V4096" s="87" t="str">
        <x:v>VERIFIED</x:v>
      </x:c>
      <x:c r="W4096" s="87" t="n">
        <x:v>14</x:v>
      </x:c>
      <x:c r="X4096" s="87"/>
      <x:c r="Y4096" s="87"/>
      <x:c r="Z4096" s="87"/>
      <x:c r="AA4096" s="87"/>
      <x:c r="AB4096" s="87"/>
      <x:c r="AC4096" s="87"/>
      <x:c r="AD4096" s="87"/>
      <x:c r="AE4096" s="87"/>
      <x:c r="AF4096" s="87"/>
      <x:c r="AG4096" s="87"/>
      <x:c r="AH4096" s="87"/>
      <x:c r="AI4096" s="30"/>
      <x:c r="AJ4096" s="87" t="str">
        <x:v>clean</x:v>
      </x:c>
      <x:c r="AK4096" s="87" t="str">
        <x:v>clean-v0.01</x:v>
      </x:c>
      <x:c r="AL4096" s="87" t="str">
        <x:v>statgrad_clean_continuation_v0_01(1).xlsx</x:v>
      </x:c>
      <x:c r="AM4096" s="87" t="str">
        <x:v>ENG_Nov_Written_V1</x:v>
      </x:c>
      <x:c r="AN4096" s="87" t="n">
        <x:v>36</x:v>
      </x:c>
    </x:row>
    <x:row r="4097">
      <x:c r="A4097" s="87" t="n">
        <x:v>4096</x:v>
      </x:c>
      <x:c r="B4097" s="87" t="str">
        <x:v>NOV-ENG-W-V1-034</x:v>
      </x:c>
      <x:c r="C4097" s="87" t="str">
        <x:v>СтатГрад</x:v>
      </x:c>
      <x:c r="D4097" s="87" t="str">
        <x:v>Ноябрь 2025</x:v>
      </x:c>
      <x:c r="E4097" s="87"/>
      <x:c r="F4097" s="87"/>
      <x:c r="G4097" s="87" t="str">
        <x:v>Английский язык</x:v>
      </x:c>
      <x:c r="H4097" s="87" t="n">
        <x:v>11</x:v>
      </x:c>
      <x:c r="I4097" s="87" t="str">
        <x:v>ТР №1</x:v>
      </x:c>
      <x:c r="J4097" s="87" t="str">
        <x:v>АЯ2510101</x:v>
      </x:c>
      <x:c r="K4097" s="87" t="n">
        <x:v>34</x:v>
      </x:c>
      <x:c r="L4097" s="87" t="str">
        <x:v>Лексика: выбор слова</x:v>
      </x:c>
      <x:c r="M4097" s="30" t="str">
        <x:v>This explosion of air is the ___ of the sound waves.</x:v>
      </x:c>
      <x:c r="N4097" s="30" t="str">
        <x:v>1 — source</x:v>
      </x:c>
      <x:c r="O4097" s="30" t="str">
        <x:v>Source означает источник звуковых волн.</x:v>
      </x:c>
      <x:c r="P4097" s="30" t="str">
        <x:v>Проверены устойчивое управление, часть речи и логика связного текста.</x:v>
      </x:c>
      <x:c r="Q4097" s="30"/>
      <x:c r="R4097" s="30" t="str">
        <x:v>нет в таблице</x:v>
      </x:c>
      <x:c r="S4097" s="30"/>
      <x:c r="T4097" s="30"/>
      <x:c r="U4097" s="30" t="str">
        <x:v>Решено независимо по контексту.</x:v>
      </x:c>
      <x:c r="V4097" s="87" t="str">
        <x:v>VERIFIED</x:v>
      </x:c>
      <x:c r="W4097" s="87" t="n">
        <x:v>14</x:v>
      </x:c>
      <x:c r="X4097" s="87"/>
      <x:c r="Y4097" s="87"/>
      <x:c r="Z4097" s="87"/>
      <x:c r="AA4097" s="87"/>
      <x:c r="AB4097" s="87"/>
      <x:c r="AC4097" s="87"/>
      <x:c r="AD4097" s="87"/>
      <x:c r="AE4097" s="87"/>
      <x:c r="AF4097" s="87"/>
      <x:c r="AG4097" s="87"/>
      <x:c r="AH4097" s="87"/>
      <x:c r="AI4097" s="30"/>
      <x:c r="AJ4097" s="87" t="str">
        <x:v>clean</x:v>
      </x:c>
      <x:c r="AK4097" s="87" t="str">
        <x:v>clean-v0.01</x:v>
      </x:c>
      <x:c r="AL4097" s="87" t="str">
        <x:v>statgrad_clean_continuation_v0_01(1).xlsx</x:v>
      </x:c>
      <x:c r="AM4097" s="87" t="str">
        <x:v>ENG_Nov_Written_V1</x:v>
      </x:c>
      <x:c r="AN4097" s="87" t="n">
        <x:v>37</x:v>
      </x:c>
    </x:row>
    <x:row r="4098">
      <x:c r="A4098" s="87" t="n">
        <x:v>4097</x:v>
      </x:c>
      <x:c r="B4098" s="87" t="str">
        <x:v>NOV-ENG-W-V1-035</x:v>
      </x:c>
      <x:c r="C4098" s="87" t="str">
        <x:v>СтатГрад</x:v>
      </x:c>
      <x:c r="D4098" s="87" t="str">
        <x:v>Ноябрь 2025</x:v>
      </x:c>
      <x:c r="E4098" s="87"/>
      <x:c r="F4098" s="87"/>
      <x:c r="G4098" s="87" t="str">
        <x:v>Английский язык</x:v>
      </x:c>
      <x:c r="H4098" s="87" t="n">
        <x:v>11</x:v>
      </x:c>
      <x:c r="I4098" s="87" t="str">
        <x:v>ТР №1</x:v>
      </x:c>
      <x:c r="J4098" s="87" t="str">
        <x:v>АЯ2510101</x:v>
      </x:c>
      <x:c r="K4098" s="87" t="n">
        <x:v>35</x:v>
      </x:c>
      <x:c r="L4098" s="87" t="str">
        <x:v>Лексика: выбор слова</x:v>
      </x:c>
      <x:c r="M4098" s="30" t="str">
        <x:v>___ it seems like lightning and thunder occur at different times...</x:v>
      </x:c>
      <x:c r="N4098" s="30" t="str">
        <x:v>3 — Although</x:v>
      </x:c>
      <x:c r="O4098" s="30" t="str">
        <x:v>Although вводит уступительное придаточное.</x:v>
      </x:c>
      <x:c r="P4098" s="30" t="str">
        <x:v>Проверены устойчивое управление, часть речи и логика связного текста.</x:v>
      </x:c>
      <x:c r="Q4098" s="30"/>
      <x:c r="R4098" s="30" t="str">
        <x:v>нет в таблице</x:v>
      </x:c>
      <x:c r="S4098" s="30"/>
      <x:c r="T4098" s="30"/>
      <x:c r="U4098" s="30" t="str">
        <x:v>Решено независимо по контексту.</x:v>
      </x:c>
      <x:c r="V4098" s="87" t="str">
        <x:v>VERIFIED</x:v>
      </x:c>
      <x:c r="W4098" s="87" t="n">
        <x:v>14</x:v>
      </x:c>
      <x:c r="X4098" s="87"/>
      <x:c r="Y4098" s="87"/>
      <x:c r="Z4098" s="87"/>
      <x:c r="AA4098" s="87"/>
      <x:c r="AB4098" s="87"/>
      <x:c r="AC4098" s="87"/>
      <x:c r="AD4098" s="87"/>
      <x:c r="AE4098" s="87"/>
      <x:c r="AF4098" s="87"/>
      <x:c r="AG4098" s="87"/>
      <x:c r="AH4098" s="87"/>
      <x:c r="AI4098" s="30"/>
      <x:c r="AJ4098" s="87" t="str">
        <x:v>clean</x:v>
      </x:c>
      <x:c r="AK4098" s="87" t="str">
        <x:v>clean-v0.01</x:v>
      </x:c>
      <x:c r="AL4098" s="87" t="str">
        <x:v>statgrad_clean_continuation_v0_01(1).xlsx</x:v>
      </x:c>
      <x:c r="AM4098" s="87" t="str">
        <x:v>ENG_Nov_Written_V1</x:v>
      </x:c>
      <x:c r="AN4098" s="87" t="n">
        <x:v>38</x:v>
      </x:c>
    </x:row>
    <x:row r="4099">
      <x:c r="A4099" s="87" t="n">
        <x:v>4098</x:v>
      </x:c>
      <x:c r="B4099" s="87" t="str">
        <x:v>NOV-ENG-W-V1-036</x:v>
      </x:c>
      <x:c r="C4099" s="87" t="str">
        <x:v>СтатГрад</x:v>
      </x:c>
      <x:c r="D4099" s="87" t="str">
        <x:v>Ноябрь 2025</x:v>
      </x:c>
      <x:c r="E4099" s="87"/>
      <x:c r="F4099" s="87"/>
      <x:c r="G4099" s="87" t="str">
        <x:v>Английский язык</x:v>
      </x:c>
      <x:c r="H4099" s="87" t="n">
        <x:v>11</x:v>
      </x:c>
      <x:c r="I4099" s="87" t="str">
        <x:v>ТР №1</x:v>
      </x:c>
      <x:c r="J4099" s="87" t="str">
        <x:v>АЯ2510101</x:v>
      </x:c>
      <x:c r="K4099" s="87" t="n">
        <x:v>36</x:v>
      </x:c>
      <x:c r="L4099" s="87" t="str">
        <x:v>Лексика: выбор слова</x:v>
      </x:c>
      <x:c r="M4099" s="30" t="str">
        <x:v>Why lightning and thunder ___ us at different times.</x:v>
      </x:c>
      <x:c r="N4099" s="30" t="str">
        <x:v>4 — reach</x:v>
      </x:c>
      <x:c r="O4099" s="30" t="str">
        <x:v>Reach somebody употребляется без предлога и соответствует смыслу.</x:v>
      </x:c>
      <x:c r="P4099" s="30" t="str">
        <x:v>Проверены устойчивое управление, часть речи и логика связного текста.</x:v>
      </x:c>
      <x:c r="Q4099" s="30"/>
      <x:c r="R4099" s="30" t="str">
        <x:v>нет в таблице</x:v>
      </x:c>
      <x:c r="S4099" s="30"/>
      <x:c r="T4099" s="30"/>
      <x:c r="U4099" s="30" t="str">
        <x:v>Решено независимо по контексту.</x:v>
      </x:c>
      <x:c r="V4099" s="87" t="str">
        <x:v>VERIFIED</x:v>
      </x:c>
      <x:c r="W4099" s="87" t="n">
        <x:v>14</x:v>
      </x:c>
      <x:c r="X4099" s="87"/>
      <x:c r="Y4099" s="87"/>
      <x:c r="Z4099" s="87"/>
      <x:c r="AA4099" s="87"/>
      <x:c r="AB4099" s="87"/>
      <x:c r="AC4099" s="87"/>
      <x:c r="AD4099" s="87"/>
      <x:c r="AE4099" s="87"/>
      <x:c r="AF4099" s="87"/>
      <x:c r="AG4099" s="87"/>
      <x:c r="AH4099" s="87"/>
      <x:c r="AI4099" s="30"/>
      <x:c r="AJ4099" s="87" t="str">
        <x:v>clean</x:v>
      </x:c>
      <x:c r="AK4099" s="87" t="str">
        <x:v>clean-v0.01</x:v>
      </x:c>
      <x:c r="AL4099" s="87" t="str">
        <x:v>statgrad_clean_continuation_v0_01(1).xlsx</x:v>
      </x:c>
      <x:c r="AM4099" s="87" t="str">
        <x:v>ENG_Nov_Written_V1</x:v>
      </x:c>
      <x:c r="AN4099" s="87" t="n">
        <x:v>39</x:v>
      </x:c>
    </x:row>
    <x:row r="4100">
      <x:c r="A4100" s="87" t="n">
        <x:v>4099</x:v>
      </x:c>
      <x:c r="B4100" s="87" t="str">
        <x:v>NOV-ENG-W-V1-037</x:v>
      </x:c>
      <x:c r="C4100" s="87" t="str">
        <x:v>СтатГрад</x:v>
      </x:c>
      <x:c r="D4100" s="87" t="str">
        <x:v>Ноябрь 2025</x:v>
      </x:c>
      <x:c r="E4100" s="87"/>
      <x:c r="F4100" s="87"/>
      <x:c r="G4100" s="87" t="str">
        <x:v>Английский язык</x:v>
      </x:c>
      <x:c r="H4100" s="87" t="n">
        <x:v>11</x:v>
      </x:c>
      <x:c r="I4100" s="87" t="str">
        <x:v>ТР №1</x:v>
      </x:c>
      <x:c r="J4100" s="87" t="str">
        <x:v>АЯ2510101</x:v>
      </x:c>
      <x:c r="K4100" s="87" t="n">
        <x:v>37</x:v>
      </x:c>
      <x:c r="L4100" s="87" t="str">
        <x:v>Письменная речь: электронное письмо</x:v>
      </x:c>
      <x:c r="M4100" s="30" t="str">
        <x:v>Ответьте Пегги об очень старом фильме, отношении к немому кино и рекомендациях советских фильмов; задайте три вопроса о новых джинсах. Объём 100–140 слов.</x:v>
      </x:c>
      <x:c r="N4100" s="30" t="str">
        <x:v>Dear Peggy,
Thanks for your email. The oldest film I have ever watched is Charlie Chaplin’s City Lights, released in 1931. I generally enjoy silent films because the actors express emotions so clearly and the music creates a special atmosphere. However, some of them feel rather slow to a modern viewer. As for Soviet cinema, I would recommend The Cranes Are Flying for its moving story and The Diamond Arm for its brilliant humour. Both films are still worth watching today.
Your new jeans sound great! What colour are they? Where did you buy them? How much did they cost?
Write back soon.
Best wishes,
Sasha</x:v>
      </x:c>
      <x:c r="O4100" s="30" t="str">
        <x:v>Письмо отвечает на три вопроса, содержит три прямых вопроса о джинсах и соблюдает структуру личного электронного письма.</x:v>
      </x:c>
      <x:c r="P4100" s="30" t="str">
        <x:v>106 слов; все коммуникативные аспекты раскрыты, логика и языковое оформление проверены.</x:v>
      </x:c>
      <x:c r="Q4100" s="30"/>
      <x:c r="R4100" s="30" t="str">
        <x:v>Критерии, стр. 8–10</x:v>
      </x:c>
      <x:c r="S4100" s="30"/>
      <x:c r="T4100" s="30"/>
      <x:c r="U4100" s="30" t="str">
        <x:v>Модельный ответ; допустимы иные корректные личные детали.</x:v>
      </x:c>
      <x:c r="V4100" s="87" t="str">
        <x:v>VERIFIED</x:v>
      </x:c>
      <x:c r="W4100" s="87" t="n">
        <x:v>15</x:v>
      </x:c>
      <x:c r="X4100" s="87"/>
      <x:c r="Y4100" s="87"/>
      <x:c r="Z4100" s="87"/>
      <x:c r="AA4100" s="87"/>
      <x:c r="AB4100" s="87"/>
      <x:c r="AC4100" s="87"/>
      <x:c r="AD4100" s="87"/>
      <x:c r="AE4100" s="87"/>
      <x:c r="AF4100" s="87"/>
      <x:c r="AG4100" s="87"/>
      <x:c r="AH4100" s="87"/>
      <x:c r="AI4100" s="30"/>
      <x:c r="AJ4100" s="87" t="str">
        <x:v>clean</x:v>
      </x:c>
      <x:c r="AK4100" s="87" t="str">
        <x:v>clean-v0.01</x:v>
      </x:c>
      <x:c r="AL4100" s="87" t="str">
        <x:v>statgrad_clean_continuation_v0_01(1).xlsx</x:v>
      </x:c>
      <x:c r="AM4100" s="87" t="str">
        <x:v>ENG_Nov_Written_V1</x:v>
      </x:c>
      <x:c r="AN4100" s="87" t="n">
        <x:v>40</x:v>
      </x:c>
    </x:row>
    <x:row r="4101">
      <x:c r="A4101" s="87" t="n">
        <x:v>4100</x:v>
      </x:c>
      <x:c r="B4101" s="87" t="str">
        <x:v>NOV-ENG-W-V1-0381</x:v>
      </x:c>
      <x:c r="C4101" s="87" t="str">
        <x:v>СтатГрад</x:v>
      </x:c>
      <x:c r="D4101" s="87" t="str">
        <x:v>Ноябрь 2025</x:v>
      </x:c>
      <x:c r="E4101" s="87"/>
      <x:c r="F4101" s="87"/>
      <x:c r="G4101" s="87" t="str">
        <x:v>Английский язык</x:v>
      </x:c>
      <x:c r="H4101" s="87" t="n">
        <x:v>11</x:v>
      </x:c>
      <x:c r="I4101" s="87" t="str">
        <x:v>ТР №1</x:v>
      </x:c>
      <x:c r="J4101" s="87" t="str">
        <x:v>АЯ2510101</x:v>
      </x:c>
      <x:c r="K4101" s="87" t="n">
        <x:v>38.1</x:v>
      </x:c>
      <x:c r="L4101" s="87" t="str">
        <x:v>Письменная речь: проект по таблице</x:v>
      </x:c>
      <x:c r="M4101" s="30" t="str">
        <x:v>Проект об отношении жителей Зетландии к музыке: опишите данные, сравните показатели, обозначьте проблему и решение, выразите мнение.</x:v>
      </x:c>
      <x:c r="N4101" s="30" t="str">
        <x:v>Music plays an important role in people’s lives, so I have decided to examine the attitude to music among Zetlanders. The survey results provide useful information about their musical habits and preferences.
According to the table, the largest group of respondents, 48%, like singing in the shower. Listening to songs in headphones all the time is the second most common answer, chosen by 27%. By contrast, only 3% say that they hate music and regard it as nothing but noise. The proportion of people who enjoy singing in the shower is more than three times as high as the figure for those who love only classical music, which stands at 15%. It is also seven percentage points higher than the combined share of musicians who love all music and respondents who dislike it.
One problem that can arise when listening to music is hearing damage caused by excessively loud headphones. This issue can be solved by keeping the volume below a safe level and taking regular breaks.
In my opinion, music is extremely important because it helps people express emotions, relax and connect with others. Different genres can accompany us in different situations, from studying to celebrating important events. Therefore, even though tastes vary, music remains a valuable and enriching part of everyday life.</x:v>
      </x:c>
      <x:c r="O4101" s="30" t="str">
        <x:v>Выбраны показатели 48%, 27%, 15%, 7% и 3%; выполнены сравнения, прокомментированы данные, предложено решение проблемы слишком громкой музыки и дан вывод о значении музыки.</x:v>
      </x:c>
      <x:c r="P4101" s="30" t="str">
        <x:v>214 слов; структура полностью соответствует пяти пунктам плана; цифры и сравнения перепроверены.</x:v>
      </x:c>
      <x:c r="Q4101" s="30"/>
      <x:c r="R4101" s="30" t="str">
        <x:v>Критерии, стр. 11–13</x:v>
      </x:c>
      <x:c r="S4101" s="30"/>
      <x:c r="T4101" s="30"/>
      <x:c r="U4101" s="30" t="str">
        <x:v>Модельный ответ соответствует таблице и критериям.</x:v>
      </x:c>
      <x:c r="V4101" s="87" t="str">
        <x:v>VERIFIED</x:v>
      </x:c>
      <x:c r="W4101" s="87" t="n">
        <x:v>16</x:v>
      </x:c>
      <x:c r="X4101" s="87"/>
      <x:c r="Y4101" s="87"/>
      <x:c r="Z4101" s="87"/>
      <x:c r="AA4101" s="87"/>
      <x:c r="AB4101" s="87"/>
      <x:c r="AC4101" s="87"/>
      <x:c r="AD4101" s="87"/>
      <x:c r="AE4101" s="87"/>
      <x:c r="AF4101" s="87"/>
      <x:c r="AG4101" s="87"/>
      <x:c r="AH4101" s="87"/>
      <x:c r="AI4101" s="30"/>
      <x:c r="AJ4101" s="87" t="str">
        <x:v>clean</x:v>
      </x:c>
      <x:c r="AK4101" s="87" t="str">
        <x:v>clean-v0.01</x:v>
      </x:c>
      <x:c r="AL4101" s="87" t="str">
        <x:v>statgrad_clean_continuation_v0_01(1).xlsx</x:v>
      </x:c>
      <x:c r="AM4101" s="87" t="str">
        <x:v>ENG_Nov_Written_V1</x:v>
      </x:c>
      <x:c r="AN4101" s="87" t="n">
        <x:v>41</x:v>
      </x:c>
    </x:row>
    <x:row r="4102">
      <x:c r="A4102" s="87" t="n">
        <x:v>4101</x:v>
      </x:c>
      <x:c r="B4102" s="87" t="str">
        <x:v>NOV-ENG-W-V1-0382</x:v>
      </x:c>
      <x:c r="C4102" s="87" t="str">
        <x:v>СтатГрад</x:v>
      </x:c>
      <x:c r="D4102" s="87" t="str">
        <x:v>Ноябрь 2025</x:v>
      </x:c>
      <x:c r="E4102" s="87"/>
      <x:c r="F4102" s="87"/>
      <x:c r="G4102" s="87" t="str">
        <x:v>Английский язык</x:v>
      </x:c>
      <x:c r="H4102" s="87" t="n">
        <x:v>11</x:v>
      </x:c>
      <x:c r="I4102" s="87" t="str">
        <x:v>ТР №1</x:v>
      </x:c>
      <x:c r="J4102" s="87" t="str">
        <x:v>АЯ2510101</x:v>
      </x:c>
      <x:c r="K4102" s="87" t="n">
        <x:v>38.2</x:v>
      </x:c>
      <x:c r="L4102" s="87" t="str">
        <x:v>Письменная речь: проект по диаграмме</x:v>
      </x:c>
      <x:c r="M4102" s="30" t="str">
        <x:v>Проект о частоте использования электронной почты подростками Зетландии: опишите диаграмму, сравните данные, обозначьте проблему и решение, выразите мнение.</x:v>
      </x:c>
      <x:c r="N4102" s="30" t="str">
        <x:v>Email remains a common means of communication, so I have decided to study how often teenagers in Zetland write emails. The pie chart presents the results of a survey on this subject.
The most popular answer is “once a week”, selected by 62% of respondents. Another 17% write emails once a month, while 15% do so once a day. Only small minorities use email at the extremes: 4% write several times a day and 2% never write emails. The share of teenagers who send emails once a week is almost four times as large as the percentage of those who write once a month. Moreover, daily users outnumber those who write several times a day by 11 percentage points. These figures suggest that email is familiar to most teenagers but is not usually their main tool for rapid everyday conversation.
A problem that can arise when using email is that an important message may remain unread because teenagers check their inboxes infrequently. A practical solution is to enable notifications for important contacts and use a clear subject line.
In my opinion, email is efficient for formal or detailed communication because it allows people to organise information and attach files. However, instant messengers are usually better for urgent everyday exchanges. Thus, email is useful for teenagers, but mainly in situations where speed is not the highest priority.</x:v>
      </x:c>
      <x:c r="O4102" s="30" t="str">
        <x:v>Использованы все значения диаграммы: 62%, 17%, 15%, 4% и 2%; проведены два содержательных сравнения, предложено решение проблемы непрочитанных писем и дан вывод об эффективности email.</x:v>
      </x:c>
      <x:c r="P4102" s="30" t="str">
        <x:v>226 слов; структура соответствует плану, проценты и разности проверены по диаграмме.</x:v>
      </x:c>
      <x:c r="Q4102" s="30"/>
      <x:c r="R4102" s="30" t="str">
        <x:v>Критерии, стр. 11–16</x:v>
      </x:c>
      <x:c r="S4102" s="30"/>
      <x:c r="T4102" s="30"/>
      <x:c r="U4102" s="30" t="str">
        <x:v>Модельный ответ соответствует диаграмме и критериям.</x:v>
      </x:c>
      <x:c r="V4102" s="87" t="str">
        <x:v>VERIFIED</x:v>
      </x:c>
      <x:c r="W4102" s="87" t="n">
        <x:v>17</x:v>
      </x:c>
      <x:c r="X4102" s="87"/>
      <x:c r="Y4102" s="87"/>
      <x:c r="Z4102" s="87"/>
      <x:c r="AA4102" s="87"/>
      <x:c r="AB4102" s="87"/>
      <x:c r="AC4102" s="87"/>
      <x:c r="AD4102" s="87"/>
      <x:c r="AE4102" s="87"/>
      <x:c r="AF4102" s="87"/>
      <x:c r="AG4102" s="87"/>
      <x:c r="AH4102" s="87"/>
      <x:c r="AI4102" s="30"/>
      <x:c r="AJ4102" s="87" t="str">
        <x:v>clean</x:v>
      </x:c>
      <x:c r="AK4102" s="87" t="str">
        <x:v>clean-v0.01</x:v>
      </x:c>
      <x:c r="AL4102" s="87" t="str">
        <x:v>statgrad_clean_continuation_v0_01(1).xlsx</x:v>
      </x:c>
      <x:c r="AM4102" s="87" t="str">
        <x:v>ENG_Nov_Written_V1</x:v>
      </x:c>
      <x:c r="AN4102" s="87" t="n">
        <x:v>42</x:v>
      </x:c>
    </x:row>
    <x:row r="4103">
      <x:c r="A4103" s="87" t="n">
        <x:v>4102</x:v>
      </x:c>
      <x:c r="B4103" s="87" t="str">
        <x:v>NOV-ENG-O-V1-001</x:v>
      </x:c>
      <x:c r="C4103" s="87" t="str">
        <x:v>СтатГрад</x:v>
      </x:c>
      <x:c r="D4103" s="87" t="str">
        <x:v>Ноябрь 2025</x:v>
      </x:c>
      <x:c r="E4103" s="87"/>
      <x:c r="F4103" s="87"/>
      <x:c r="G4103" s="87" t="str">
        <x:v>Английский язык</x:v>
      </x:c>
      <x:c r="H4103" s="87" t="n">
        <x:v>11</x:v>
      </x:c>
      <x:c r="I4103" s="87" t="str">
        <x:v>ТР №1</x:v>
      </x:c>
      <x:c r="J4103" s="87" t="str">
        <x:v>АЯ2510101</x:v>
      </x:c>
      <x:c r="K4103" s="87" t="n">
        <x:v>1</x:v>
      </x:c>
      <x:c r="L4103" s="87" t="str">
        <x:v>Устная речь: чтение вслух</x:v>
      </x:c>
      <x:c r="M4103" s="30" t="str">
        <x:v>Прочитайте научно-популярный текст о поисково-спасательных собаках.</x:v>
      </x:c>
      <x:c r="N4103" s="30" t="str">
        <x:v>Search-and-rescue dogs are trained to find missing people and save lives. These special dogs use their powerful sense of smell in their work. Every person has a unique scent, and search-and-rescue dogs are able to follow this smell, even in crowded areas. Just one trained search-and-rescue dog can do the work of ten trained human searchers! They can work in places where human sight is limited, such as dark areas, thick forests, and even underwater. The dogs know how to search in disaster sites, locate trapped people, and signal their trainers to show what they have found. These canine heroes must train to keep up their skills. They go through at least one year of training before they are ready to start work, and they usually live with their trainers. When their special skills are needed, these dogs ride in helicopters, boats and airplanes to rush to the scene of a rescue.</x:v>
      </x:c>
      <x:c r="O4103" s="30" t="str">
        <x:v>Текст читается связно, с логическими паузами по предложениям и смысловым группам.</x:v>
      </x:c>
      <x:c r="P4103" s="30" t="str">
        <x:v>Особое внимание: search-and-rescue, unique scent, crowded areas, underwater, disaster sites, trapped, canine heroes, helicopters, airplanes; лимит 1,5 минуты соблюдаем.</x:v>
      </x:c>
      <x:c r="Q4103" s="30"/>
      <x:c r="R4103" s="30" t="str">
        <x:v>Критерии, стр. 17</x:v>
      </x:c>
      <x:c r="S4103" s="30"/>
      <x:c r="T4103" s="30"/>
      <x:c r="U4103" s="30" t="str">
        <x:v>У задания нет письменного ключа: оценивается качество чтения.</x:v>
      </x:c>
      <x:c r="V4103" s="87" t="str">
        <x:v>VERIFIED</x:v>
      </x:c>
      <x:c r="W4103" s="87" t="n">
        <x:v>2</x:v>
      </x:c>
      <x:c r="X4103" s="87"/>
      <x:c r="Y4103" s="87"/>
      <x:c r="Z4103" s="87"/>
      <x:c r="AA4103" s="87"/>
      <x:c r="AB4103" s="87"/>
      <x:c r="AC4103" s="87"/>
      <x:c r="AD4103" s="87"/>
      <x:c r="AE4103" s="87"/>
      <x:c r="AF4103" s="87"/>
      <x:c r="AG4103" s="87"/>
      <x:c r="AH4103" s="87"/>
      <x:c r="AI4103" s="30"/>
      <x:c r="AJ4103" s="87" t="str">
        <x:v>clean</x:v>
      </x:c>
      <x:c r="AK4103" s="87" t="str">
        <x:v>clean-v0.01</x:v>
      </x:c>
      <x:c r="AL4103" s="87" t="str">
        <x:v>statgrad_clean_continuation_v0_01(1).xlsx</x:v>
      </x:c>
      <x:c r="AM4103" s="87" t="str">
        <x:v>ENG_Nov_Oral_V1</x:v>
      </x:c>
      <x:c r="AN4103" s="87" t="n">
        <x:v>4</x:v>
      </x:c>
    </x:row>
    <x:row r="4104">
      <x:c r="A4104" s="87" t="n">
        <x:v>4103</x:v>
      </x:c>
      <x:c r="B4104" s="87" t="str">
        <x:v>NOV-ENG-O-V1-0021</x:v>
      </x:c>
      <x:c r="C4104" s="87" t="str">
        <x:v>СтатГрад</x:v>
      </x:c>
      <x:c r="D4104" s="87" t="str">
        <x:v>Ноябрь 2025</x:v>
      </x:c>
      <x:c r="E4104" s="87"/>
      <x:c r="F4104" s="87"/>
      <x:c r="G4104" s="87" t="str">
        <x:v>Английский язык</x:v>
      </x:c>
      <x:c r="H4104" s="87" t="n">
        <x:v>11</x:v>
      </x:c>
      <x:c r="I4104" s="87" t="str">
        <x:v>ТР №1</x:v>
      </x:c>
      <x:c r="J4104" s="87" t="str">
        <x:v>АЯ2510101</x:v>
      </x:c>
      <x:c r="K4104" s="87" t="str">
        <x:v>2.1</x:v>
      </x:c>
      <x:c r="L4104" s="87" t="str">
        <x:v>Устная речь: прямой вопрос</x:v>
      </x:c>
      <x:c r="M4104" s="30" t="str">
        <x:v>Узнайте цену букета среднего размера.</x:v>
      </x:c>
      <x:c r="N4104" s="30" t="str">
        <x:v>How much does a medium-sized bouquet cost?</x:v>
      </x:c>
      <x:c r="O4104" s="30" t="str">
        <x:v>Специальный вопрос прямо запрашивает стоимость.</x:v>
      </x:c>
      <x:c r="P4104" s="30" t="str">
        <x:v>Проверены прямой порядок вопроса, грамматика и полнота запрашиваемой информации.</x:v>
      </x:c>
      <x:c r="Q4104" s="30"/>
      <x:c r="R4104" s="30" t="str">
        <x:v>Критерии, стр. 17</x:v>
      </x:c>
      <x:c r="S4104" s="30"/>
      <x:c r="T4104" s="30"/>
      <x:c r="U4104" s="30" t="str">
        <x:v>Расхождений нет.</x:v>
      </x:c>
      <x:c r="V4104" s="87" t="str">
        <x:v>VERIFIED</x:v>
      </x:c>
      <x:c r="W4104" s="87" t="n">
        <x:v>2</x:v>
      </x:c>
      <x:c r="X4104" s="87"/>
      <x:c r="Y4104" s="87"/>
      <x:c r="Z4104" s="87"/>
      <x:c r="AA4104" s="87"/>
      <x:c r="AB4104" s="87"/>
      <x:c r="AC4104" s="87"/>
      <x:c r="AD4104" s="87"/>
      <x:c r="AE4104" s="87"/>
      <x:c r="AF4104" s="87"/>
      <x:c r="AG4104" s="87"/>
      <x:c r="AH4104" s="87"/>
      <x:c r="AI4104" s="30"/>
      <x:c r="AJ4104" s="87" t="str">
        <x:v>clean</x:v>
      </x:c>
      <x:c r="AK4104" s="87" t="str">
        <x:v>clean-v0.01</x:v>
      </x:c>
      <x:c r="AL4104" s="87" t="str">
        <x:v>statgrad_clean_continuation_v0_01(1).xlsx</x:v>
      </x:c>
      <x:c r="AM4104" s="87" t="str">
        <x:v>ENG_Nov_Oral_V1</x:v>
      </x:c>
      <x:c r="AN4104" s="87" t="n">
        <x:v>5</x:v>
      </x:c>
    </x:row>
    <x:row r="4105">
      <x:c r="A4105" s="87" t="n">
        <x:v>4104</x:v>
      </x:c>
      <x:c r="B4105" s="87" t="str">
        <x:v>NOV-ENG-O-V1-0022</x:v>
      </x:c>
      <x:c r="C4105" s="87" t="str">
        <x:v>СтатГрад</x:v>
      </x:c>
      <x:c r="D4105" s="87" t="str">
        <x:v>Ноябрь 2025</x:v>
      </x:c>
      <x:c r="E4105" s="87"/>
      <x:c r="F4105" s="87"/>
      <x:c r="G4105" s="87" t="str">
        <x:v>Английский язык</x:v>
      </x:c>
      <x:c r="H4105" s="87" t="n">
        <x:v>11</x:v>
      </x:c>
      <x:c r="I4105" s="87" t="str">
        <x:v>ТР №1</x:v>
      </x:c>
      <x:c r="J4105" s="87" t="str">
        <x:v>АЯ2510101</x:v>
      </x:c>
      <x:c r="K4105" s="87" t="str">
        <x:v>2.2</x:v>
      </x:c>
      <x:c r="L4105" s="87" t="str">
        <x:v>Устная речь: прямой вопрос</x:v>
      </x:c>
      <x:c r="M4105" s="30" t="str">
        <x:v>Узнайте, есть ли сезонные цветы.</x:v>
      </x:c>
      <x:c r="N4105" s="30" t="str">
        <x:v>Do you have any seasonal flowers available?</x:v>
      </x:c>
      <x:c r="O4105" s="30" t="str">
        <x:v>Общий вопрос точно раскрывает пункт availability.</x:v>
      </x:c>
      <x:c r="P4105" s="30" t="str">
        <x:v>Проверены прямой порядок вопроса, грамматика и полнота запрашиваемой информации.</x:v>
      </x:c>
      <x:c r="Q4105" s="30"/>
      <x:c r="R4105" s="30" t="str">
        <x:v>Критерии, стр. 17</x:v>
      </x:c>
      <x:c r="S4105" s="30"/>
      <x:c r="T4105" s="30"/>
      <x:c r="U4105" s="30" t="str">
        <x:v>Расхождений нет.</x:v>
      </x:c>
      <x:c r="V4105" s="87" t="str">
        <x:v>VERIFIED</x:v>
      </x:c>
      <x:c r="W4105" s="87" t="n">
        <x:v>2</x:v>
      </x:c>
      <x:c r="X4105" s="87"/>
      <x:c r="Y4105" s="87"/>
      <x:c r="Z4105" s="87"/>
      <x:c r="AA4105" s="87"/>
      <x:c r="AB4105" s="87"/>
      <x:c r="AC4105" s="87"/>
      <x:c r="AD4105" s="87"/>
      <x:c r="AE4105" s="87"/>
      <x:c r="AF4105" s="87"/>
      <x:c r="AG4105" s="87"/>
      <x:c r="AH4105" s="87"/>
      <x:c r="AI4105" s="30"/>
      <x:c r="AJ4105" s="87" t="str">
        <x:v>clean</x:v>
      </x:c>
      <x:c r="AK4105" s="87" t="str">
        <x:v>clean-v0.01</x:v>
      </x:c>
      <x:c r="AL4105" s="87" t="str">
        <x:v>statgrad_clean_continuation_v0_01(1).xlsx</x:v>
      </x:c>
      <x:c r="AM4105" s="87" t="str">
        <x:v>ENG_Nov_Oral_V1</x:v>
      </x:c>
      <x:c r="AN4105" s="87" t="n">
        <x:v>6</x:v>
      </x:c>
    </x:row>
    <x:row r="4106">
      <x:c r="A4106" s="87" t="n">
        <x:v>4105</x:v>
      </x:c>
      <x:c r="B4106" s="87" t="str">
        <x:v>NOV-ENG-O-V1-0023</x:v>
      </x:c>
      <x:c r="C4106" s="87" t="str">
        <x:v>СтатГрад</x:v>
      </x:c>
      <x:c r="D4106" s="87" t="str">
        <x:v>Ноябрь 2025</x:v>
      </x:c>
      <x:c r="E4106" s="87"/>
      <x:c r="F4106" s="87"/>
      <x:c r="G4106" s="87" t="str">
        <x:v>Английский язык</x:v>
      </x:c>
      <x:c r="H4106" s="87" t="n">
        <x:v>11</x:v>
      </x:c>
      <x:c r="I4106" s="87" t="str">
        <x:v>ТР №1</x:v>
      </x:c>
      <x:c r="J4106" s="87" t="str">
        <x:v>АЯ2510101</x:v>
      </x:c>
      <x:c r="K4106" s="87" t="str">
        <x:v>2.3</x:v>
      </x:c>
      <x:c r="L4106" s="87" t="str">
        <x:v>Устная речь: прямой вопрос</x:v>
      </x:c>
      <x:c r="M4106" s="30" t="str">
        <x:v>Узнайте стоимость доставки.</x:v>
      </x:c>
      <x:c r="N4106" s="30" t="str">
        <x:v>How much is the delivery fee?</x:v>
      </x:c>
      <x:c r="O4106" s="30" t="str">
        <x:v>Специальный вопрос запрашивает размер платы за доставку.</x:v>
      </x:c>
      <x:c r="P4106" s="30" t="str">
        <x:v>Проверены прямой порядок вопроса, грамматика и полнота запрашиваемой информации.</x:v>
      </x:c>
      <x:c r="Q4106" s="30"/>
      <x:c r="R4106" s="30" t="str">
        <x:v>Критерии, стр. 17</x:v>
      </x:c>
      <x:c r="S4106" s="30"/>
      <x:c r="T4106" s="30"/>
      <x:c r="U4106" s="30" t="str">
        <x:v>Расхождений нет.</x:v>
      </x:c>
      <x:c r="V4106" s="87" t="str">
        <x:v>VERIFIED</x:v>
      </x:c>
      <x:c r="W4106" s="87" t="n">
        <x:v>2</x:v>
      </x:c>
      <x:c r="X4106" s="87"/>
      <x:c r="Y4106" s="87"/>
      <x:c r="Z4106" s="87"/>
      <x:c r="AA4106" s="87"/>
      <x:c r="AB4106" s="87"/>
      <x:c r="AC4106" s="87"/>
      <x:c r="AD4106" s="87"/>
      <x:c r="AE4106" s="87"/>
      <x:c r="AF4106" s="87"/>
      <x:c r="AG4106" s="87"/>
      <x:c r="AH4106" s="87"/>
      <x:c r="AI4106" s="30"/>
      <x:c r="AJ4106" s="87" t="str">
        <x:v>clean</x:v>
      </x:c>
      <x:c r="AK4106" s="87" t="str">
        <x:v>clean-v0.01</x:v>
      </x:c>
      <x:c r="AL4106" s="87" t="str">
        <x:v>statgrad_clean_continuation_v0_01(1).xlsx</x:v>
      </x:c>
      <x:c r="AM4106" s="87" t="str">
        <x:v>ENG_Nov_Oral_V1</x:v>
      </x:c>
      <x:c r="AN4106" s="87" t="n">
        <x:v>7</x:v>
      </x:c>
    </x:row>
    <x:row r="4107">
      <x:c r="A4107" s="87" t="n">
        <x:v>4106</x:v>
      </x:c>
      <x:c r="B4107" s="87" t="str">
        <x:v>NOV-ENG-O-V1-0024</x:v>
      </x:c>
      <x:c r="C4107" s="87" t="str">
        <x:v>СтатГрад</x:v>
      </x:c>
      <x:c r="D4107" s="87" t="str">
        <x:v>Ноябрь 2025</x:v>
      </x:c>
      <x:c r="E4107" s="87"/>
      <x:c r="F4107" s="87"/>
      <x:c r="G4107" s="87" t="str">
        <x:v>Английский язык</x:v>
      </x:c>
      <x:c r="H4107" s="87" t="n">
        <x:v>11</x:v>
      </x:c>
      <x:c r="I4107" s="87" t="str">
        <x:v>ТР №1</x:v>
      </x:c>
      <x:c r="J4107" s="87" t="str">
        <x:v>АЯ2510101</x:v>
      </x:c>
      <x:c r="K4107" s="87" t="str">
        <x:v>2.4</x:v>
      </x:c>
      <x:c r="L4107" s="87" t="str">
        <x:v>Устная речь: прямой вопрос</x:v>
      </x:c>
      <x:c r="M4107" s="30" t="str">
        <x:v>Узнайте, можно ли добавить к букету поздравительную открытку.</x:v>
      </x:c>
      <x:c r="N4107" s="30" t="str">
        <x:v>Can I add a birthday card to the bouquet?</x:v>
      </x:c>
      <x:c r="O4107" s="30" t="str">
        <x:v>Модальный вопрос корректно запрашивает возможность добавить открытку.</x:v>
      </x:c>
      <x:c r="P4107" s="30" t="str">
        <x:v>Проверены прямой порядок вопроса, грамматика и полнота запрашиваемой информации.</x:v>
      </x:c>
      <x:c r="Q4107" s="30"/>
      <x:c r="R4107" s="30" t="str">
        <x:v>Критерии, стр. 17</x:v>
      </x:c>
      <x:c r="S4107" s="30"/>
      <x:c r="T4107" s="30"/>
      <x:c r="U4107" s="30" t="str">
        <x:v>Расхождений нет.</x:v>
      </x:c>
      <x:c r="V4107" s="87" t="str">
        <x:v>VERIFIED</x:v>
      </x:c>
      <x:c r="W4107" s="87" t="n">
        <x:v>2</x:v>
      </x:c>
      <x:c r="X4107" s="87"/>
      <x:c r="Y4107" s="87"/>
      <x:c r="Z4107" s="87"/>
      <x:c r="AA4107" s="87"/>
      <x:c r="AB4107" s="87"/>
      <x:c r="AC4107" s="87"/>
      <x:c r="AD4107" s="87"/>
      <x:c r="AE4107" s="87"/>
      <x:c r="AF4107" s="87"/>
      <x:c r="AG4107" s="87"/>
      <x:c r="AH4107" s="87"/>
      <x:c r="AI4107" s="30"/>
      <x:c r="AJ4107" s="87" t="str">
        <x:v>clean</x:v>
      </x:c>
      <x:c r="AK4107" s="87" t="str">
        <x:v>clean-v0.01</x:v>
      </x:c>
      <x:c r="AL4107" s="87" t="str">
        <x:v>statgrad_clean_continuation_v0_01(1).xlsx</x:v>
      </x:c>
      <x:c r="AM4107" s="87" t="str">
        <x:v>ENG_Nov_Oral_V1</x:v>
      </x:c>
      <x:c r="AN4107" s="87" t="n">
        <x:v>8</x:v>
      </x:c>
    </x:row>
    <x:row r="4108">
      <x:c r="A4108" s="87" t="n">
        <x:v>4107</x:v>
      </x:c>
      <x:c r="B4108" s="87" t="str">
        <x:v>NOV-ENG-O-V1-0031</x:v>
      </x:c>
      <x:c r="C4108" s="87" t="str">
        <x:v>СтатГрад</x:v>
      </x:c>
      <x:c r="D4108" s="87" t="str">
        <x:v>Ноябрь 2025</x:v>
      </x:c>
      <x:c r="E4108" s="87"/>
      <x:c r="F4108" s="87"/>
      <x:c r="G4108" s="87" t="str">
        <x:v>Английский язык</x:v>
      </x:c>
      <x:c r="H4108" s="87" t="n">
        <x:v>11</x:v>
      </x:c>
      <x:c r="I4108" s="87" t="str">
        <x:v>ТР №1</x:v>
      </x:c>
      <x:c r="J4108" s="87" t="str">
        <x:v>АЯ2510101</x:v>
      </x:c>
      <x:c r="K4108" s="87" t="str">
        <x:v>3.1</x:v>
      </x:c>
      <x:c r="L4108" s="87" t="str">
        <x:v>Устная речь: интервью</x:v>
      </x:c>
      <x:c r="M4108" s="30" t="str">
        <x:v>Where in Russia do you live — in a big city, town or village?</x:v>
      </x:c>
      <x:c r="N4108" s="30" t="str">
        <x:v>I live in Moscow, which is a large city in western Russia. It is the capital and has many different districts.</x:v>
      </x:c>
      <x:c r="O4108" s="30" t="str">
        <x:v>Назван тип населённого пункта и дано уточнение.</x:v>
      </x:c>
      <x:c r="P4108" s="30" t="str">
        <x:v>Ответ состоит из 2–3 коммуникативно обусловленных фраз и полностью раскрывает вопрос.</x:v>
      </x:c>
      <x:c r="Q4108" s="30"/>
      <x:c r="R4108" s="30" t="str">
        <x:v>Транскрипт, стр. 6; критерии, стр. 17</x:v>
      </x:c>
      <x:c r="S4108" s="30"/>
      <x:c r="T4108" s="30"/>
      <x:c r="U4108" s="30" t="str">
        <x:v>Модельный ответ допускает замену личных деталей.</x:v>
      </x:c>
      <x:c r="V4108" s="87" t="str">
        <x:v>VERIFIED</x:v>
      </x:c>
      <x:c r="W4108" s="87" t="n">
        <x:v>3</x:v>
      </x:c>
      <x:c r="X4108" s="87"/>
      <x:c r="Y4108" s="87"/>
      <x:c r="Z4108" s="87"/>
      <x:c r="AA4108" s="87"/>
      <x:c r="AB4108" s="87"/>
      <x:c r="AC4108" s="87"/>
      <x:c r="AD4108" s="87"/>
      <x:c r="AE4108" s="87"/>
      <x:c r="AF4108" s="87"/>
      <x:c r="AG4108" s="87"/>
      <x:c r="AH4108" s="87"/>
      <x:c r="AI4108" s="30"/>
      <x:c r="AJ4108" s="87" t="str">
        <x:v>clean</x:v>
      </x:c>
      <x:c r="AK4108" s="87" t="str">
        <x:v>clean-v0.01</x:v>
      </x:c>
      <x:c r="AL4108" s="87" t="str">
        <x:v>statgrad_clean_continuation_v0_01(1).xlsx</x:v>
      </x:c>
      <x:c r="AM4108" s="87" t="str">
        <x:v>ENG_Nov_Oral_V1</x:v>
      </x:c>
      <x:c r="AN4108" s="87" t="n">
        <x:v>9</x:v>
      </x:c>
    </x:row>
    <x:row r="4109">
      <x:c r="A4109" s="87" t="n">
        <x:v>4108</x:v>
      </x:c>
      <x:c r="B4109" s="87" t="str">
        <x:v>NOV-ENG-O-V1-0032</x:v>
      </x:c>
      <x:c r="C4109" s="87" t="str">
        <x:v>СтатГрад</x:v>
      </x:c>
      <x:c r="D4109" s="87" t="str">
        <x:v>Ноябрь 2025</x:v>
      </x:c>
      <x:c r="E4109" s="87"/>
      <x:c r="F4109" s="87"/>
      <x:c r="G4109" s="87" t="str">
        <x:v>Английский язык</x:v>
      </x:c>
      <x:c r="H4109" s="87" t="n">
        <x:v>11</x:v>
      </x:c>
      <x:c r="I4109" s="87" t="str">
        <x:v>ТР №1</x:v>
      </x:c>
      <x:c r="J4109" s="87" t="str">
        <x:v>АЯ2510101</x:v>
      </x:c>
      <x:c r="K4109" s="87" t="str">
        <x:v>3.2</x:v>
      </x:c>
      <x:c r="L4109" s="87" t="str">
        <x:v>Устная речь: интервью</x:v>
      </x:c>
      <x:c r="M4109" s="30" t="str">
        <x:v>How many people live in your city, town or village?</x:v>
      </x:c>
      <x:c r="N4109" s="30" t="str">
        <x:v>About 13 million people live in Moscow. The population is even larger if the surrounding region is included.</x:v>
      </x:c>
      <x:c r="O4109" s="30" t="str">
        <x:v>Дан приблизительный показатель населения и пояснение.</x:v>
      </x:c>
      <x:c r="P4109" s="30" t="str">
        <x:v>Ответ состоит из 2–3 коммуникативно обусловленных фраз и полностью раскрывает вопрос.</x:v>
      </x:c>
      <x:c r="Q4109" s="30"/>
      <x:c r="R4109" s="30" t="str">
        <x:v>Транскрипт, стр. 6; критерии, стр. 17</x:v>
      </x:c>
      <x:c r="S4109" s="30"/>
      <x:c r="T4109" s="30"/>
      <x:c r="U4109" s="30" t="str">
        <x:v>Модельный ответ допускает замену личных деталей.</x:v>
      </x:c>
      <x:c r="V4109" s="87" t="str">
        <x:v>VERIFIED</x:v>
      </x:c>
      <x:c r="W4109" s="87" t="n">
        <x:v>3</x:v>
      </x:c>
      <x:c r="X4109" s="87"/>
      <x:c r="Y4109" s="87"/>
      <x:c r="Z4109" s="87"/>
      <x:c r="AA4109" s="87"/>
      <x:c r="AB4109" s="87"/>
      <x:c r="AC4109" s="87"/>
      <x:c r="AD4109" s="87"/>
      <x:c r="AE4109" s="87"/>
      <x:c r="AF4109" s="87"/>
      <x:c r="AG4109" s="87"/>
      <x:c r="AH4109" s="87"/>
      <x:c r="AI4109" s="30"/>
      <x:c r="AJ4109" s="87" t="str">
        <x:v>clean</x:v>
      </x:c>
      <x:c r="AK4109" s="87" t="str">
        <x:v>clean-v0.01</x:v>
      </x:c>
      <x:c r="AL4109" s="87" t="str">
        <x:v>statgrad_clean_continuation_v0_01(1).xlsx</x:v>
      </x:c>
      <x:c r="AM4109" s="87" t="str">
        <x:v>ENG_Nov_Oral_V1</x:v>
      </x:c>
      <x:c r="AN4109" s="87" t="n">
        <x:v>10</x:v>
      </x:c>
    </x:row>
    <x:row r="4110">
      <x:c r="A4110" s="87" t="n">
        <x:v>4109</x:v>
      </x:c>
      <x:c r="B4110" s="87" t="str">
        <x:v>NOV-ENG-O-V1-0033</x:v>
      </x:c>
      <x:c r="C4110" s="87" t="str">
        <x:v>СтатГрад</x:v>
      </x:c>
      <x:c r="D4110" s="87" t="str">
        <x:v>Ноябрь 2025</x:v>
      </x:c>
      <x:c r="E4110" s="87"/>
      <x:c r="F4110" s="87"/>
      <x:c r="G4110" s="87" t="str">
        <x:v>Английский язык</x:v>
      </x:c>
      <x:c r="H4110" s="87" t="n">
        <x:v>11</x:v>
      </x:c>
      <x:c r="I4110" s="87" t="str">
        <x:v>ТР №1</x:v>
      </x:c>
      <x:c r="J4110" s="87" t="str">
        <x:v>АЯ2510101</x:v>
      </x:c>
      <x:c r="K4110" s="87" t="str">
        <x:v>3.3</x:v>
      </x:c>
      <x:c r="L4110" s="87" t="str">
        <x:v>Устная речь: интервью</x:v>
      </x:c>
      <x:c r="M4110" s="30" t="str">
        <x:v>What do you like most about your city, town or village? Why?</x:v>
      </x:c>
      <x:c r="N4110" s="30" t="str">
        <x:v>I like the public transport most because the metro is fast and reaches almost every part of the city. I also enjoy the many parks and museums.</x:v>
      </x:c>
      <x:c r="O4110" s="30" t="str">
        <x:v>Названо преимущество и объяснена причина; добавлена ещё одна личная деталь.</x:v>
      </x:c>
      <x:c r="P4110" s="30" t="str">
        <x:v>Ответ состоит из 2–3 коммуникативно обусловленных фраз и полностью раскрывает вопрос.</x:v>
      </x:c>
      <x:c r="Q4110" s="30"/>
      <x:c r="R4110" s="30" t="str">
        <x:v>Транскрипт, стр. 6; критерии, стр. 17</x:v>
      </x:c>
      <x:c r="S4110" s="30"/>
      <x:c r="T4110" s="30"/>
      <x:c r="U4110" s="30" t="str">
        <x:v>Модельный ответ допускает замену личных деталей.</x:v>
      </x:c>
      <x:c r="V4110" s="87" t="str">
        <x:v>VERIFIED</x:v>
      </x:c>
      <x:c r="W4110" s="87" t="n">
        <x:v>3</x:v>
      </x:c>
      <x:c r="X4110" s="87"/>
      <x:c r="Y4110" s="87"/>
      <x:c r="Z4110" s="87"/>
      <x:c r="AA4110" s="87"/>
      <x:c r="AB4110" s="87"/>
      <x:c r="AC4110" s="87"/>
      <x:c r="AD4110" s="87"/>
      <x:c r="AE4110" s="87"/>
      <x:c r="AF4110" s="87"/>
      <x:c r="AG4110" s="87"/>
      <x:c r="AH4110" s="87"/>
      <x:c r="AI4110" s="30"/>
      <x:c r="AJ4110" s="87" t="str">
        <x:v>clean</x:v>
      </x:c>
      <x:c r="AK4110" s="87" t="str">
        <x:v>clean-v0.01</x:v>
      </x:c>
      <x:c r="AL4110" s="87" t="str">
        <x:v>statgrad_clean_continuation_v0_01(1).xlsx</x:v>
      </x:c>
      <x:c r="AM4110" s="87" t="str">
        <x:v>ENG_Nov_Oral_V1</x:v>
      </x:c>
      <x:c r="AN4110" s="87" t="n">
        <x:v>11</x:v>
      </x:c>
    </x:row>
    <x:row r="4111">
      <x:c r="A4111" s="87" t="n">
        <x:v>4110</x:v>
      </x:c>
      <x:c r="B4111" s="87" t="str">
        <x:v>NOV-ENG-O-V1-0034</x:v>
      </x:c>
      <x:c r="C4111" s="87" t="str">
        <x:v>СтатГрад</x:v>
      </x:c>
      <x:c r="D4111" s="87" t="str">
        <x:v>Ноябрь 2025</x:v>
      </x:c>
      <x:c r="E4111" s="87"/>
      <x:c r="F4111" s="87"/>
      <x:c r="G4111" s="87" t="str">
        <x:v>Английский язык</x:v>
      </x:c>
      <x:c r="H4111" s="87" t="n">
        <x:v>11</x:v>
      </x:c>
      <x:c r="I4111" s="87" t="str">
        <x:v>ТР №1</x:v>
      </x:c>
      <x:c r="J4111" s="87" t="str">
        <x:v>АЯ2510101</x:v>
      </x:c>
      <x:c r="K4111" s="87" t="str">
        <x:v>3.4</x:v>
      </x:c>
      <x:c r="L4111" s="87" t="str">
        <x:v>Устная речь: интервью</x:v>
      </x:c>
      <x:c r="M4111" s="30" t="str">
        <x:v>What would you like to change about your city, town or village?</x:v>
      </x:c>
      <x:c r="N4111" s="30" t="str">
        <x:v>I would like to reduce traffic jams and make some neighbourhoods quieter. More bike lanes and green spaces would also improve the city.</x:v>
      </x:c>
      <x:c r="O4111" s="30" t="str">
        <x:v>Предложены конкретные изменения городской среды.</x:v>
      </x:c>
      <x:c r="P4111" s="30" t="str">
        <x:v>Ответ состоит из 2–3 коммуникативно обусловленных фраз и полностью раскрывает вопрос.</x:v>
      </x:c>
      <x:c r="Q4111" s="30"/>
      <x:c r="R4111" s="30" t="str">
        <x:v>Транскрипт, стр. 6; критерии, стр. 17</x:v>
      </x:c>
      <x:c r="S4111" s="30"/>
      <x:c r="T4111" s="30"/>
      <x:c r="U4111" s="30" t="str">
        <x:v>Модельный ответ допускает замену личных деталей.</x:v>
      </x:c>
      <x:c r="V4111" s="87" t="str">
        <x:v>VERIFIED</x:v>
      </x:c>
      <x:c r="W4111" s="87" t="n">
        <x:v>3</x:v>
      </x:c>
      <x:c r="X4111" s="87"/>
      <x:c r="Y4111" s="87"/>
      <x:c r="Z4111" s="87"/>
      <x:c r="AA4111" s="87"/>
      <x:c r="AB4111" s="87"/>
      <x:c r="AC4111" s="87"/>
      <x:c r="AD4111" s="87"/>
      <x:c r="AE4111" s="87"/>
      <x:c r="AF4111" s="87"/>
      <x:c r="AG4111" s="87"/>
      <x:c r="AH4111" s="87"/>
      <x:c r="AI4111" s="30"/>
      <x:c r="AJ4111" s="87" t="str">
        <x:v>clean</x:v>
      </x:c>
      <x:c r="AK4111" s="87" t="str">
        <x:v>clean-v0.01</x:v>
      </x:c>
      <x:c r="AL4111" s="87" t="str">
        <x:v>statgrad_clean_continuation_v0_01(1).xlsx</x:v>
      </x:c>
      <x:c r="AM4111" s="87" t="str">
        <x:v>ENG_Nov_Oral_V1</x:v>
      </x:c>
      <x:c r="AN4111" s="87" t="n">
        <x:v>12</x:v>
      </x:c>
    </x:row>
    <x:row r="4112">
      <x:c r="A4112" s="87" t="n">
        <x:v>4111</x:v>
      </x:c>
      <x:c r="B4112" s="87" t="str">
        <x:v>NOV-ENG-O-V1-0035</x:v>
      </x:c>
      <x:c r="C4112" s="87" t="str">
        <x:v>СтатГрад</x:v>
      </x:c>
      <x:c r="D4112" s="87" t="str">
        <x:v>Ноябрь 2025</x:v>
      </x:c>
      <x:c r="E4112" s="87"/>
      <x:c r="F4112" s="87"/>
      <x:c r="G4112" s="87" t="str">
        <x:v>Английский язык</x:v>
      </x:c>
      <x:c r="H4112" s="87" t="n">
        <x:v>11</x:v>
      </x:c>
      <x:c r="I4112" s="87" t="str">
        <x:v>ТР №1</x:v>
      </x:c>
      <x:c r="J4112" s="87" t="str">
        <x:v>АЯ2510101</x:v>
      </x:c>
      <x:c r="K4112" s="87" t="str">
        <x:v>3.5</x:v>
      </x:c>
      <x:c r="L4112" s="87" t="str">
        <x:v>Устная речь: интервью</x:v>
      </x:c>
      <x:c r="M4112" s="30" t="str">
        <x:v>Would you like to continue living there or move somewhere else? Why?</x:v>
      </x:c>
      <x:c r="N4112" s="30" t="str">
        <x:v>I would like to continue living in Moscow for the next few years because it offers excellent education and job opportunities. Later, I might move to a smaller city if I want a calmer lifestyle.</x:v>
      </x:c>
      <x:c r="O4112" s="30" t="str">
        <x:v>Дан прямой ответ, причина и возможный будущий выбор.</x:v>
      </x:c>
      <x:c r="P4112" s="30" t="str">
        <x:v>Ответ состоит из 2–3 коммуникативно обусловленных фраз и полностью раскрывает вопрос.</x:v>
      </x:c>
      <x:c r="Q4112" s="30"/>
      <x:c r="R4112" s="30" t="str">
        <x:v>Транскрипт, стр. 6; критерии, стр. 17</x:v>
      </x:c>
      <x:c r="S4112" s="30"/>
      <x:c r="T4112" s="30"/>
      <x:c r="U4112" s="30" t="str">
        <x:v>Модельный ответ допускает замену личных деталей.</x:v>
      </x:c>
      <x:c r="V4112" s="87" t="str">
        <x:v>VERIFIED</x:v>
      </x:c>
      <x:c r="W4112" s="87" t="n">
        <x:v>3</x:v>
      </x:c>
      <x:c r="X4112" s="87"/>
      <x:c r="Y4112" s="87"/>
      <x:c r="Z4112" s="87"/>
      <x:c r="AA4112" s="87"/>
      <x:c r="AB4112" s="87"/>
      <x:c r="AC4112" s="87"/>
      <x:c r="AD4112" s="87"/>
      <x:c r="AE4112" s="87"/>
      <x:c r="AF4112" s="87"/>
      <x:c r="AG4112" s="87"/>
      <x:c r="AH4112" s="87"/>
      <x:c r="AI4112" s="30"/>
      <x:c r="AJ4112" s="87" t="str">
        <x:v>clean</x:v>
      </x:c>
      <x:c r="AK4112" s="87" t="str">
        <x:v>clean-v0.01</x:v>
      </x:c>
      <x:c r="AL4112" s="87" t="str">
        <x:v>statgrad_clean_continuation_v0_01(1).xlsx</x:v>
      </x:c>
      <x:c r="AM4112" s="87" t="str">
        <x:v>ENG_Nov_Oral_V1</x:v>
      </x:c>
      <x:c r="AN4112" s="87" t="n">
        <x:v>13</x:v>
      </x:c>
    </x:row>
    <x:row r="4113">
      <x:c r="A4113" s="87" t="n">
        <x:v>4112</x:v>
      </x:c>
      <x:c r="B4113" s="87" t="str">
        <x:v>NOV-ENG-O-V1-004</x:v>
      </x:c>
      <x:c r="C4113" s="87" t="str">
        <x:v>СтатГрад</x:v>
      </x:c>
      <x:c r="D4113" s="87" t="str">
        <x:v>Ноябрь 2025</x:v>
      </x:c>
      <x:c r="E4113" s="87"/>
      <x:c r="F4113" s="87"/>
      <x:c r="G4113" s="87" t="str">
        <x:v>Английский язык</x:v>
      </x:c>
      <x:c r="H4113" s="87" t="n">
        <x:v>11</x:v>
      </x:c>
      <x:c r="I4113" s="87" t="str">
        <x:v>ТР №1</x:v>
      </x:c>
      <x:c r="J4113" s="87" t="str">
        <x:v>АЯ2510101</x:v>
      </x:c>
      <x:c r="K4113" s="87" t="n">
        <x:v>4</x:v>
      </x:c>
      <x:c r="L4113" s="87" t="str">
        <x:v>Устная речь: голосовое сообщение по проекту</x:v>
      </x:c>
      <x:c r="M4113" s="30" t="str">
        <x:v>Проект «Games»: объясните выбор двух фотографий, опишите различия, достоинства и недостатки видеоигр и настольных игр, выразите предпочтение. Требуется 12–15 предложений.</x:v>
      </x:c>
      <x:c r="N4113" s="30" t="str">
        <x:v>Hi, Kate! I’ve found two suitable photos for our project “Games”. The first shows a young man playing a video game alone and celebrating a victory. The second shows four friends sitting on the floor and playing a board game together. Both pictures illustrate popular ways of spending free time, but one is digital and individual, while the other is face-to-face and social. Video games can develop reaction speed, strategic thinking and digital skills. They are also convenient because people can play at home at any time. However, they may cause eye strain and encourage players to sit for too long. Board games help friends communicate, cooperate and enjoy real company. They usually require no screen and can bring different generations together. On the downside, players must be in the same place, and arguments may arise if someone takes competition too seriously. Personally, I would prefer board games. I spend enough time with technology already, so meeting friends around a table feels more relaxing and memorable. I think both types are useful when people choose age-appropriate games and keep a healthy balance. That’s all for now; tell me what you think.</x:v>
      </x:c>
      <x:c r="O4113" s="30" t="str">
        <x:v>Сопоставлены одиночная цифровая игра и совместная настольная игра; названы преимущества и недостатки обоих форматов; предпочтение обосновано.</x:v>
      </x:c>
      <x:c r="P4113" s="30" t="str">
        <x:v>15 предложений; все пункты плана раскрыты, вступление и завершение присутствуют.</x:v>
      </x:c>
      <x:c r="Q4113" s="30"/>
      <x:c r="R4113" s="30" t="str">
        <x:v>Критерии, стр. 18–21</x:v>
      </x:c>
      <x:c r="S4113" s="30"/>
      <x:c r="T4113" s="30"/>
      <x:c r="U4113" s="30" t="str">
        <x:v>Модельный ответ соответствует фотографиям; возможны иные обоснованные предпочтения.</x:v>
      </x:c>
      <x:c r="V4113" s="87" t="str">
        <x:v>VERIFIED</x:v>
      </x:c>
      <x:c r="W4113" s="87" t="n">
        <x:v>3</x:v>
      </x:c>
      <x:c r="X4113" s="87"/>
      <x:c r="Y4113" s="87"/>
      <x:c r="Z4113" s="87"/>
      <x:c r="AA4113" s="87"/>
      <x:c r="AB4113" s="87"/>
      <x:c r="AC4113" s="87"/>
      <x:c r="AD4113" s="87"/>
      <x:c r="AE4113" s="87"/>
      <x:c r="AF4113" s="87"/>
      <x:c r="AG4113" s="87"/>
      <x:c r="AH4113" s="87"/>
      <x:c r="AI4113" s="30"/>
      <x:c r="AJ4113" s="87" t="str">
        <x:v>clean</x:v>
      </x:c>
      <x:c r="AK4113" s="87" t="str">
        <x:v>clean-v0.01</x:v>
      </x:c>
      <x:c r="AL4113" s="87" t="str">
        <x:v>statgrad_clean_continuation_v0_01(1).xlsx</x:v>
      </x:c>
      <x:c r="AM4113" s="87" t="str">
        <x:v>ENG_Nov_Oral_V1</x:v>
      </x:c>
      <x:c r="AN4113" s="87" t="n">
        <x:v>14</x:v>
      </x:c>
    </x:row>
    <x:row r="4114">
      <x:c r="A4114" s="87" t="n">
        <x:v>4113</x:v>
      </x:c>
      <x:c r="B4114" s="87" t="str">
        <x:v>NOV-RU-V1-001</x:v>
      </x:c>
      <x:c r="C4114" s="87" t="str">
        <x:v>СтатГрад</x:v>
      </x:c>
      <x:c r="D4114" s="87" t="str">
        <x:v>Ноябрь 2025</x:v>
      </x:c>
      <x:c r="E4114" s="87"/>
      <x:c r="F4114" s="87"/>
      <x:c r="G4114" s="87" t="str">
        <x:v>Русский язык</x:v>
      </x:c>
      <x:c r="H4114" s="87" t="n">
        <x:v>11</x:v>
      </x:c>
      <x:c r="I4114" s="87" t="str">
        <x:v>ДР №1</x:v>
      </x:c>
      <x:c r="J4114" s="87" t="str">
        <x:v>РЯ2510301</x:v>
      </x:c>
      <x:c r="K4114" s="87" t="n">
        <x:v>1</x:v>
      </x:c>
      <x:c r="L4114" s="87" t="str">
        <x:v>Средство связи / служебное слово</x:v>
      </x:c>
      <x:c r="M4114" s="30" t="str">
        <x:v>Подберите производный предлог в конструкции о хирургическом вмешательстве, в том числе удалении зуба.</x:v>
      </x:c>
      <x:c r="N4114" s="30" t="str">
        <x:v>включая</x:v>
      </x:c>
      <x:c r="O4114" s="30" t="str">
        <x:v>Оборот «включая небольшое вмешательство» присоединяет частный пример к общему понятию.</x:v>
      </x:c>
      <x:c r="P4114" s="30" t="str">
        <x:v>Проверено по синтаксической модели присоединения частного примера.</x:v>
      </x:c>
      <x:c r="Q4114" s="30"/>
      <x:c r="R4114" s="30" t="str">
        <x:v>включая</x:v>
      </x:c>
      <x:c r="S4114" s="30"/>
      <x:c r="T4114" s="30"/>
      <x:c r="U4114" s="30" t="str">
        <x:v>Расхождений нет.</x:v>
      </x:c>
      <x:c r="V4114" s="87" t="str">
        <x:v>VERIFIED</x:v>
      </x:c>
      <x:c r="W4114" s="87" t="str">
        <x:v>PDF p. 2 (РЯ2510301)</x:v>
      </x:c>
      <x:c r="X4114" s="87"/>
      <x:c r="Y4114" s="87"/>
      <x:c r="Z4114" s="87"/>
      <x:c r="AA4114" s="87"/>
      <x:c r="AB4114" s="87"/>
      <x:c r="AC4114" s="87"/>
      <x:c r="AD4114" s="87"/>
      <x:c r="AE4114" s="87"/>
      <x:c r="AF4114" s="87"/>
      <x:c r="AG4114" s="87"/>
      <x:c r="AH4114" s="87"/>
      <x:c r="AI4114" s="30"/>
      <x:c r="AJ4114" s="87" t="str">
        <x:v>clean</x:v>
      </x:c>
      <x:c r="AK4114" s="87" t="str">
        <x:v>clean-v0.02</x:v>
      </x:c>
      <x:c r="AL4114" s="87" t="str">
        <x:v>statgrad_clean_continuation_v0_02(1).xlsx</x:v>
      </x:c>
      <x:c r="AM4114" s="87" t="str">
        <x:v>RU_Nov_V1</x:v>
      </x:c>
      <x:c r="AN4114" s="87" t="n">
        <x:v>3</x:v>
      </x:c>
    </x:row>
    <x:row r="4115">
      <x:c r="A4115" s="87" t="n">
        <x:v>4114</x:v>
      </x:c>
      <x:c r="B4115" s="87" t="str">
        <x:v>NOV-RU-V1-002</x:v>
      </x:c>
      <x:c r="C4115" s="87" t="str">
        <x:v>СтатГрад</x:v>
      </x:c>
      <x:c r="D4115" s="87" t="str">
        <x:v>Ноябрь 2025</x:v>
      </x:c>
      <x:c r="E4115" s="87"/>
      <x:c r="F4115" s="87"/>
      <x:c r="G4115" s="87" t="str">
        <x:v>Русский язык</x:v>
      </x:c>
      <x:c r="H4115" s="87" t="n">
        <x:v>11</x:v>
      </x:c>
      <x:c r="I4115" s="87" t="str">
        <x:v>ДР №1</x:v>
      </x:c>
      <x:c r="J4115" s="87" t="str">
        <x:v>РЯ2510301</x:v>
      </x:c>
      <x:c r="K4115" s="87" t="n">
        <x:v>2</x:v>
      </x:c>
      <x:c r="L4115" s="87" t="str">
        <x:v>Лексическое значение</x:v>
      </x:c>
      <x:c r="M4115" s="30" t="str">
        <x:v>Определите, какие словарные значения выделенных слов соответствуют инструкции к препарату.</x:v>
      </x:c>
      <x:c r="N4115" s="30" t="str">
        <x:v>35</x:v>
      </x:c>
      <x:c r="O4115" s="30" t="str">
        <x:v>«Риск» означает возможную опасность, а «острый» — сильно выраженный, интенсивный приступ. Остальные толкования не совпадают с медицинским контекстом.</x:v>
      </x:c>
      <x:c r="P4115" s="30" t="str">
        <x:v>Каждое значение сопоставлено с конкретным медицинским контекстом.</x:v>
      </x:c>
      <x:c r="Q4115" s="30"/>
      <x:c r="R4115" s="30" t="str">
        <x:v>35</x:v>
      </x:c>
      <x:c r="S4115" s="30"/>
      <x:c r="T4115" s="30"/>
      <x:c r="U4115" s="30" t="str">
        <x:v>Расхождений нет.</x:v>
      </x:c>
      <x:c r="V4115" s="87" t="str">
        <x:v>VERIFIED</x:v>
      </x:c>
      <x:c r="W4115" s="87" t="str">
        <x:v>PDF p. 3 (РЯ2510301)</x:v>
      </x:c>
      <x:c r="X4115" s="87"/>
      <x:c r="Y4115" s="87"/>
      <x:c r="Z4115" s="87"/>
      <x:c r="AA4115" s="87"/>
      <x:c r="AB4115" s="87"/>
      <x:c r="AC4115" s="87"/>
      <x:c r="AD4115" s="87"/>
      <x:c r="AE4115" s="87"/>
      <x:c r="AF4115" s="87"/>
      <x:c r="AG4115" s="87"/>
      <x:c r="AH4115" s="87"/>
      <x:c r="AI4115" s="30"/>
      <x:c r="AJ4115" s="87" t="str">
        <x:v>clean</x:v>
      </x:c>
      <x:c r="AK4115" s="87" t="str">
        <x:v>clean-v0.02</x:v>
      </x:c>
      <x:c r="AL4115" s="87" t="str">
        <x:v>statgrad_clean_continuation_v0_02(1).xlsx</x:v>
      </x:c>
      <x:c r="AM4115" s="87" t="str">
        <x:v>RU_Nov_V1</x:v>
      </x:c>
      <x:c r="AN4115" s="87" t="n">
        <x:v>4</x:v>
      </x:c>
    </x:row>
    <x:row r="4116">
      <x:c r="A4116" s="87" t="n">
        <x:v>4115</x:v>
      </x:c>
      <x:c r="B4116" s="87" t="str">
        <x:v>NOV-RU-V1-003</x:v>
      </x:c>
      <x:c r="C4116" s="87" t="str">
        <x:v>СтатГрад</x:v>
      </x:c>
      <x:c r="D4116" s="87" t="str">
        <x:v>Ноябрь 2025</x:v>
      </x:c>
      <x:c r="E4116" s="87"/>
      <x:c r="F4116" s="87"/>
      <x:c r="G4116" s="87" t="str">
        <x:v>Русский язык</x:v>
      </x:c>
      <x:c r="H4116" s="87" t="n">
        <x:v>11</x:v>
      </x:c>
      <x:c r="I4116" s="87" t="str">
        <x:v>ДР №1</x:v>
      </x:c>
      <x:c r="J4116" s="87" t="str">
        <x:v>РЯ2510301</x:v>
      </x:c>
      <x:c r="K4116" s="87" t="n">
        <x:v>3</x:v>
      </x:c>
      <x:c r="L4116" s="87" t="str">
        <x:v>Характеристика текста</x:v>
      </x:c>
      <x:c r="M4116" s="30" t="str">
        <x:v>Выберите верные характеристики текста-инструкции к лекарственному препарату.</x:v>
      </x:c>
      <x:c r="N4116" s="30" t="str">
        <x:v>45</x:v>
      </x:c>
      <x:c r="O4116" s="30" t="str">
        <x:v>Текст относится к официально-деловому стилю, использует распространённые и сложноподчинённые предложения и не содержит художественной образности.</x:v>
      </x:c>
      <x:c r="P4116" s="30" t="str">
        <x:v>Проверены цель, жанр, лексика, синтаксис и отсутствие средств выразительности.</x:v>
      </x:c>
      <x:c r="Q4116" s="30"/>
      <x:c r="R4116" s="30" t="str">
        <x:v>45</x:v>
      </x:c>
      <x:c r="S4116" s="30"/>
      <x:c r="T4116" s="30"/>
      <x:c r="U4116" s="30" t="str">
        <x:v>Расхождений нет.</x:v>
      </x:c>
      <x:c r="V4116" s="87" t="str">
        <x:v>VERIFIED</x:v>
      </x:c>
      <x:c r="W4116" s="87" t="str">
        <x:v>PDF p. 3 (РЯ2510301)</x:v>
      </x:c>
      <x:c r="X4116" s="87"/>
      <x:c r="Y4116" s="87"/>
      <x:c r="Z4116" s="87"/>
      <x:c r="AA4116" s="87"/>
      <x:c r="AB4116" s="87"/>
      <x:c r="AC4116" s="87"/>
      <x:c r="AD4116" s="87"/>
      <x:c r="AE4116" s="87"/>
      <x:c r="AF4116" s="87"/>
      <x:c r="AG4116" s="87"/>
      <x:c r="AH4116" s="87"/>
      <x:c r="AI4116" s="30"/>
      <x:c r="AJ4116" s="87" t="str">
        <x:v>clean</x:v>
      </x:c>
      <x:c r="AK4116" s="87" t="str">
        <x:v>clean-v0.02</x:v>
      </x:c>
      <x:c r="AL4116" s="87" t="str">
        <x:v>statgrad_clean_continuation_v0_02(1).xlsx</x:v>
      </x:c>
      <x:c r="AM4116" s="87" t="str">
        <x:v>RU_Nov_V1</x:v>
      </x:c>
      <x:c r="AN4116" s="87" t="n">
        <x:v>5</x:v>
      </x:c>
    </x:row>
    <x:row r="4117">
      <x:c r="A4117" s="87" t="n">
        <x:v>4116</x:v>
      </x:c>
      <x:c r="B4117" s="87" t="str">
        <x:v>NOV-RU-V1-004</x:v>
      </x:c>
      <x:c r="C4117" s="87" t="str">
        <x:v>СтатГрад</x:v>
      </x:c>
      <x:c r="D4117" s="87" t="str">
        <x:v>Ноябрь 2025</x:v>
      </x:c>
      <x:c r="E4117" s="87"/>
      <x:c r="F4117" s="87"/>
      <x:c r="G4117" s="87" t="str">
        <x:v>Русский язык</x:v>
      </x:c>
      <x:c r="H4117" s="87" t="n">
        <x:v>11</x:v>
      </x:c>
      <x:c r="I4117" s="87" t="str">
        <x:v>ДР №1</x:v>
      </x:c>
      <x:c r="J4117" s="87" t="str">
        <x:v>РЯ2510301</x:v>
      </x:c>
      <x:c r="K4117" s="87" t="n">
        <x:v>4</x:v>
      </x:c>
      <x:c r="L4117" s="87" t="str">
        <x:v>Орфоэпия</x:v>
      </x:c>
      <x:c r="M4117" s="30" t="str">
        <x:v>Выберите слова с нормативно указанным ударением.</x:v>
      </x:c>
      <x:c r="N4117" s="30" t="str">
        <x:v>124</x:v>
      </x:c>
      <x:c r="O4117" s="30" t="str">
        <x:v>Нормативны защемИт, Отзыв и ободрЁнный; правильно срЕдства и облилАсь.</x:v>
      </x:c>
      <x:c r="P4117" s="30" t="str">
        <x:v>Ударения сверены по нормативным формам слов.</x:v>
      </x:c>
      <x:c r="Q4117" s="30"/>
      <x:c r="R4117" s="30" t="str">
        <x:v>124</x:v>
      </x:c>
      <x:c r="S4117" s="30"/>
      <x:c r="T4117" s="30"/>
      <x:c r="U4117" s="30" t="str">
        <x:v>Расхождений нет.</x:v>
      </x:c>
      <x:c r="V4117" s="87" t="str">
        <x:v>VERIFIED</x:v>
      </x:c>
      <x:c r="W4117" s="87" t="str">
        <x:v>PDF p. 4 (РЯ2510301)</x:v>
      </x:c>
      <x:c r="X4117" s="87"/>
      <x:c r="Y4117" s="87"/>
      <x:c r="Z4117" s="87"/>
      <x:c r="AA4117" s="87"/>
      <x:c r="AB4117" s="87"/>
      <x:c r="AC4117" s="87"/>
      <x:c r="AD4117" s="87"/>
      <x:c r="AE4117" s="87"/>
      <x:c r="AF4117" s="87"/>
      <x:c r="AG4117" s="87"/>
      <x:c r="AH4117" s="87"/>
      <x:c r="AI4117" s="30"/>
      <x:c r="AJ4117" s="87" t="str">
        <x:v>clean</x:v>
      </x:c>
      <x:c r="AK4117" s="87" t="str">
        <x:v>clean-v0.02</x:v>
      </x:c>
      <x:c r="AL4117" s="87" t="str">
        <x:v>statgrad_clean_continuation_v0_02(1).xlsx</x:v>
      </x:c>
      <x:c r="AM4117" s="87" t="str">
        <x:v>RU_Nov_V1</x:v>
      </x:c>
      <x:c r="AN4117" s="87" t="n">
        <x:v>6</x:v>
      </x:c>
    </x:row>
    <x:row r="4118">
      <x:c r="A4118" s="87" t="n">
        <x:v>4117</x:v>
      </x:c>
      <x:c r="B4118" s="87" t="str">
        <x:v>NOV-RU-V1-005</x:v>
      </x:c>
      <x:c r="C4118" s="87" t="str">
        <x:v>СтатГрад</x:v>
      </x:c>
      <x:c r="D4118" s="87" t="str">
        <x:v>Ноябрь 2025</x:v>
      </x:c>
      <x:c r="E4118" s="87"/>
      <x:c r="F4118" s="87"/>
      <x:c r="G4118" s="87" t="str">
        <x:v>Русский язык</x:v>
      </x:c>
      <x:c r="H4118" s="87" t="n">
        <x:v>11</x:v>
      </x:c>
      <x:c r="I4118" s="87" t="str">
        <x:v>ДР №1</x:v>
      </x:c>
      <x:c r="J4118" s="87" t="str">
        <x:v>РЯ2510301</x:v>
      </x:c>
      <x:c r="K4118" s="87" t="n">
        <x:v>5</x:v>
      </x:c>
      <x:c r="L4118" s="87" t="str">
        <x:v>Паронимы</x:v>
      </x:c>
      <x:c r="M4118" s="30" t="str">
        <x:v>Исправьте пароним в сочетании «зрительский нерв».</x:v>
      </x:c>
      <x:c r="N4118" s="30" t="str">
        <x:v>зрительный</x:v>
      </x:c>
      <x:c r="O4118" s="30" t="str">
        <x:v>Нерв, передающий сигнал от глаза к мозгу, называется зрительным; «зрительский» относится к зрителям.</x:v>
      </x:c>
      <x:c r="P4118" s="30" t="str">
        <x:v>Проверено различие паронимов «зрительный — зрительский».</x:v>
      </x:c>
      <x:c r="Q4118" s="30"/>
      <x:c r="R4118" s="30" t="str">
        <x:v>зрительный</x:v>
      </x:c>
      <x:c r="S4118" s="30"/>
      <x:c r="T4118" s="30"/>
      <x:c r="U4118" s="30" t="str">
        <x:v>Расхождений нет.</x:v>
      </x:c>
      <x:c r="V4118" s="87" t="str">
        <x:v>VERIFIED</x:v>
      </x:c>
      <x:c r="W4118" s="87" t="str">
        <x:v>PDF p. 4 (РЯ2510301)</x:v>
      </x:c>
      <x:c r="X4118" s="87"/>
      <x:c r="Y4118" s="87"/>
      <x:c r="Z4118" s="87"/>
      <x:c r="AA4118" s="87"/>
      <x:c r="AB4118" s="87"/>
      <x:c r="AC4118" s="87"/>
      <x:c r="AD4118" s="87"/>
      <x:c r="AE4118" s="87"/>
      <x:c r="AF4118" s="87"/>
      <x:c r="AG4118" s="87"/>
      <x:c r="AH4118" s="87"/>
      <x:c r="AI4118" s="30"/>
      <x:c r="AJ4118" s="87" t="str">
        <x:v>clean</x:v>
      </x:c>
      <x:c r="AK4118" s="87" t="str">
        <x:v>clean-v0.02</x:v>
      </x:c>
      <x:c r="AL4118" s="87" t="str">
        <x:v>statgrad_clean_continuation_v0_02(1).xlsx</x:v>
      </x:c>
      <x:c r="AM4118" s="87" t="str">
        <x:v>RU_Nov_V1</x:v>
      </x:c>
      <x:c r="AN4118" s="87" t="n">
        <x:v>7</x:v>
      </x:c>
    </x:row>
    <x:row r="4119">
      <x:c r="A4119" s="87" t="n">
        <x:v>4118</x:v>
      </x:c>
      <x:c r="B4119" s="87" t="str">
        <x:v>NOV-RU-V1-006</x:v>
      </x:c>
      <x:c r="C4119" s="87" t="str">
        <x:v>СтатГрад</x:v>
      </x:c>
      <x:c r="D4119" s="87" t="str">
        <x:v>Ноябрь 2025</x:v>
      </x:c>
      <x:c r="E4119" s="87"/>
      <x:c r="F4119" s="87"/>
      <x:c r="G4119" s="87" t="str">
        <x:v>Русский язык</x:v>
      </x:c>
      <x:c r="H4119" s="87" t="n">
        <x:v>11</x:v>
      </x:c>
      <x:c r="I4119" s="87" t="str">
        <x:v>ДР №1</x:v>
      </x:c>
      <x:c r="J4119" s="87" t="str">
        <x:v>РЯ2510301</x:v>
      </x:c>
      <x:c r="K4119" s="87" t="n">
        <x:v>6</x:v>
      </x:c>
      <x:c r="L4119" s="87" t="str">
        <x:v>Лексическая норма</x:v>
      </x:c>
      <x:c r="M4119" s="30" t="str">
        <x:v>Исключите лишнее слово в сочетании «старая прабабушкина рухлядь».</x:v>
      </x:c>
      <x:c r="N4119" s="30" t="str">
        <x:v>старую</x:v>
      </x:c>
      <x:c r="O4119" s="30" t="str">
        <x:v>«Рухлядь» уже обозначает старые, негодные вещи, поэтому слово «старую» избыточно.</x:v>
      </x:c>
      <x:c r="P4119" s="30" t="str">
        <x:v>Проверена семантическая избыточность сочетания.</x:v>
      </x:c>
      <x:c r="Q4119" s="30"/>
      <x:c r="R4119" s="30" t="str">
        <x:v>старую</x:v>
      </x:c>
      <x:c r="S4119" s="30"/>
      <x:c r="T4119" s="30"/>
      <x:c r="U4119" s="30" t="str">
        <x:v>Расхождений нет.</x:v>
      </x:c>
      <x:c r="V4119" s="87" t="str">
        <x:v>VERIFIED</x:v>
      </x:c>
      <x:c r="W4119" s="87" t="str">
        <x:v>PDF p. 4 (РЯ2510301)</x:v>
      </x:c>
      <x:c r="X4119" s="87"/>
      <x:c r="Y4119" s="87"/>
      <x:c r="Z4119" s="87"/>
      <x:c r="AA4119" s="87"/>
      <x:c r="AB4119" s="87"/>
      <x:c r="AC4119" s="87"/>
      <x:c r="AD4119" s="87"/>
      <x:c r="AE4119" s="87"/>
      <x:c r="AF4119" s="87"/>
      <x:c r="AG4119" s="87"/>
      <x:c r="AH4119" s="87"/>
      <x:c r="AI4119" s="30"/>
      <x:c r="AJ4119" s="87" t="str">
        <x:v>clean</x:v>
      </x:c>
      <x:c r="AK4119" s="87" t="str">
        <x:v>clean-v0.02</x:v>
      </x:c>
      <x:c r="AL4119" s="87" t="str">
        <x:v>statgrad_clean_continuation_v0_02(1).xlsx</x:v>
      </x:c>
      <x:c r="AM4119" s="87" t="str">
        <x:v>RU_Nov_V1</x:v>
      </x:c>
      <x:c r="AN4119" s="87" t="n">
        <x:v>8</x:v>
      </x:c>
    </x:row>
    <x:row r="4120">
      <x:c r="A4120" s="87" t="n">
        <x:v>4119</x:v>
      </x:c>
      <x:c r="B4120" s="87" t="str">
        <x:v>NOV-RU-V1-007</x:v>
      </x:c>
      <x:c r="C4120" s="87" t="str">
        <x:v>СтатГрад</x:v>
      </x:c>
      <x:c r="D4120" s="87" t="str">
        <x:v>Ноябрь 2025</x:v>
      </x:c>
      <x:c r="E4120" s="87"/>
      <x:c r="F4120" s="87"/>
      <x:c r="G4120" s="87" t="str">
        <x:v>Русский язык</x:v>
      </x:c>
      <x:c r="H4120" s="87" t="n">
        <x:v>11</x:v>
      </x:c>
      <x:c r="I4120" s="87" t="str">
        <x:v>ДР №1</x:v>
      </x:c>
      <x:c r="J4120" s="87" t="str">
        <x:v>РЯ2510301</x:v>
      </x:c>
      <x:c r="K4120" s="87" t="n">
        <x:v>7</x:v>
      </x:c>
      <x:c r="L4120" s="87" t="str">
        <x:v>Грамматическая форма</x:v>
      </x:c>
      <x:c r="M4120" s="30" t="str">
        <x:v>Исправьте ошибочную форму «подскользнулся».</x:v>
      </x:c>
      <x:c r="N4120" s="30" t="str">
        <x:v>поскользнулся</x:v>
      </x:c>
      <x:c r="O4120" s="30" t="str">
        <x:v>Нормативный глагол — «поскользнуться»; приставка под- здесь ошибочна.</x:v>
      </x:c>
      <x:c r="P4120" s="30" t="str">
        <x:v>Проверена нормативная словарная форма глагола.</x:v>
      </x:c>
      <x:c r="Q4120" s="30"/>
      <x:c r="R4120" s="30" t="str">
        <x:v>поскользнулся</x:v>
      </x:c>
      <x:c r="S4120" s="30"/>
      <x:c r="T4120" s="30"/>
      <x:c r="U4120" s="30" t="str">
        <x:v>Расхождений нет.</x:v>
      </x:c>
      <x:c r="V4120" s="87" t="str">
        <x:v>VERIFIED</x:v>
      </x:c>
      <x:c r="W4120" s="87" t="str">
        <x:v>PDF p. 4 (РЯ2510301)</x:v>
      </x:c>
      <x:c r="X4120" s="87"/>
      <x:c r="Y4120" s="87"/>
      <x:c r="Z4120" s="87"/>
      <x:c r="AA4120" s="87"/>
      <x:c r="AB4120" s="87"/>
      <x:c r="AC4120" s="87"/>
      <x:c r="AD4120" s="87"/>
      <x:c r="AE4120" s="87"/>
      <x:c r="AF4120" s="87"/>
      <x:c r="AG4120" s="87"/>
      <x:c r="AH4120" s="87"/>
      <x:c r="AI4120" s="30"/>
      <x:c r="AJ4120" s="87" t="str">
        <x:v>clean</x:v>
      </x:c>
      <x:c r="AK4120" s="87" t="str">
        <x:v>clean-v0.02</x:v>
      </x:c>
      <x:c r="AL4120" s="87" t="str">
        <x:v>statgrad_clean_continuation_v0_02(1).xlsx</x:v>
      </x:c>
      <x:c r="AM4120" s="87" t="str">
        <x:v>RU_Nov_V1</x:v>
      </x:c>
      <x:c r="AN4120" s="87" t="n">
        <x:v>9</x:v>
      </x:c>
    </x:row>
    <x:row r="4121">
      <x:c r="A4121" s="87" t="n">
        <x:v>4120</x:v>
      </x:c>
      <x:c r="B4121" s="87" t="str">
        <x:v>NOV-RU-V1-008</x:v>
      </x:c>
      <x:c r="C4121" s="87" t="str">
        <x:v>СтатГрад</x:v>
      </x:c>
      <x:c r="D4121" s="87" t="str">
        <x:v>Ноябрь 2025</x:v>
      </x:c>
      <x:c r="E4121" s="87"/>
      <x:c r="F4121" s="87"/>
      <x:c r="G4121" s="87" t="str">
        <x:v>Русский язык</x:v>
      </x:c>
      <x:c r="H4121" s="87" t="n">
        <x:v>11</x:v>
      </x:c>
      <x:c r="I4121" s="87" t="str">
        <x:v>ДР №1</x:v>
      </x:c>
      <x:c r="J4121" s="87" t="str">
        <x:v>РЯ2510301</x:v>
      </x:c>
      <x:c r="K4121" s="87" t="n">
        <x:v>8</x:v>
      </x:c>
      <x:c r="L4121" s="87" t="str">
        <x:v>Грамматические ошибки</x:v>
      </x:c>
      <x:c r="M4121" s="30" t="str">
        <x:v>Соотнесите пять видов грамматических ошибок с предложениями 1–9.</x:v>
      </x:c>
      <x:c r="N4121" s="30" t="str">
        <x:v>46358</x:v>
      </x:c>
      <x:c r="O4121" s="30" t="str">
        <x:v>А–4: действие деепричастия не имеет исполнителя; Б–6: лишнее указательное «то»; В–3: нужно «командующим армией»; Г–5: «две школьницы»; Д–8: конструкция «не только…, но и…».</x:v>
      </x:c>
      <x:c r="P4121" s="30" t="str">
        <x:v>Каждое предложение перестроено в нормативную форму.</x:v>
      </x:c>
      <x:c r="Q4121" s="30"/>
      <x:c r="R4121" s="30" t="str">
        <x:v>46358</x:v>
      </x:c>
      <x:c r="S4121" s="30"/>
      <x:c r="T4121" s="30"/>
      <x:c r="U4121" s="30" t="str">
        <x:v>Расхождений нет.</x:v>
      </x:c>
      <x:c r="V4121" s="87" t="str">
        <x:v>VERIFIED</x:v>
      </x:c>
      <x:c r="W4121" s="87" t="str">
        <x:v>PDF p. 5 (РЯ2510301)</x:v>
      </x:c>
      <x:c r="X4121" s="87"/>
      <x:c r="Y4121" s="87"/>
      <x:c r="Z4121" s="87"/>
      <x:c r="AA4121" s="87"/>
      <x:c r="AB4121" s="87"/>
      <x:c r="AC4121" s="87"/>
      <x:c r="AD4121" s="87"/>
      <x:c r="AE4121" s="87"/>
      <x:c r="AF4121" s="87"/>
      <x:c r="AG4121" s="87"/>
      <x:c r="AH4121" s="87"/>
      <x:c r="AI4121" s="30"/>
      <x:c r="AJ4121" s="87" t="str">
        <x:v>clean</x:v>
      </x:c>
      <x:c r="AK4121" s="87" t="str">
        <x:v>clean-v0.02</x:v>
      </x:c>
      <x:c r="AL4121" s="87" t="str">
        <x:v>statgrad_clean_continuation_v0_02(1).xlsx</x:v>
      </x:c>
      <x:c r="AM4121" s="87" t="str">
        <x:v>RU_Nov_V1</x:v>
      </x:c>
      <x:c r="AN4121" s="87" t="n">
        <x:v>10</x:v>
      </x:c>
    </x:row>
    <x:row r="4122">
      <x:c r="A4122" s="87" t="n">
        <x:v>4121</x:v>
      </x:c>
      <x:c r="B4122" s="87" t="str">
        <x:v>NOV-RU-V1-009</x:v>
      </x:c>
      <x:c r="C4122" s="87" t="str">
        <x:v>СтатГрад</x:v>
      </x:c>
      <x:c r="D4122" s="87" t="str">
        <x:v>Ноябрь 2025</x:v>
      </x:c>
      <x:c r="E4122" s="87"/>
      <x:c r="F4122" s="87"/>
      <x:c r="G4122" s="87" t="str">
        <x:v>Русский язык</x:v>
      </x:c>
      <x:c r="H4122" s="87" t="n">
        <x:v>11</x:v>
      </x:c>
      <x:c r="I4122" s="87" t="str">
        <x:v>ДР №1</x:v>
      </x:c>
      <x:c r="J4122" s="87" t="str">
        <x:v>РЯ2510301</x:v>
      </x:c>
      <x:c r="K4122" s="87" t="n">
        <x:v>9</x:v>
      </x:c>
      <x:c r="L4122" s="87" t="str">
        <x:v>Корни слов</x:v>
      </x:c>
      <x:c r="M4122" s="30" t="str">
        <x:v>Выберите ряды, где во всех словах пропущена одна и та же буква в корне.</x:v>
      </x:c>
      <x:c r="N4122" s="30" t="str">
        <x:v>345</x:v>
      </x:c>
      <x:c r="O4122" s="30" t="str">
        <x:v>В рядах 3–5 восстанавливаются соответственно О, А и Е во всех трёх словах.</x:v>
      </x:c>
      <x:c r="P4122" s="30" t="str">
        <x:v>Все слова в выбранных рядах восстановлены полностью.</x:v>
      </x:c>
      <x:c r="Q4122" s="30"/>
      <x:c r="R4122" s="30" t="str">
        <x:v>345</x:v>
      </x:c>
      <x:c r="S4122" s="30"/>
      <x:c r="T4122" s="30"/>
      <x:c r="U4122" s="30" t="str">
        <x:v>Расхождений нет.</x:v>
      </x:c>
      <x:c r="V4122" s="87" t="str">
        <x:v>VERIFIED</x:v>
      </x:c>
      <x:c r="W4122" s="87" t="str">
        <x:v>PDF p. 6 (РЯ2510301)</x:v>
      </x:c>
      <x:c r="X4122" s="87"/>
      <x:c r="Y4122" s="87"/>
      <x:c r="Z4122" s="87"/>
      <x:c r="AA4122" s="87"/>
      <x:c r="AB4122" s="87"/>
      <x:c r="AC4122" s="87"/>
      <x:c r="AD4122" s="87"/>
      <x:c r="AE4122" s="87"/>
      <x:c r="AF4122" s="87"/>
      <x:c r="AG4122" s="87"/>
      <x:c r="AH4122" s="87"/>
      <x:c r="AI4122" s="30"/>
      <x:c r="AJ4122" s="87" t="str">
        <x:v>clean</x:v>
      </x:c>
      <x:c r="AK4122" s="87" t="str">
        <x:v>clean-v0.02</x:v>
      </x:c>
      <x:c r="AL4122" s="87" t="str">
        <x:v>statgrad_clean_continuation_v0_02(1).xlsx</x:v>
      </x:c>
      <x:c r="AM4122" s="87" t="str">
        <x:v>RU_Nov_V1</x:v>
      </x:c>
      <x:c r="AN4122" s="87" t="n">
        <x:v>11</x:v>
      </x:c>
    </x:row>
    <x:row r="4123">
      <x:c r="A4123" s="87" t="n">
        <x:v>4122</x:v>
      </x:c>
      <x:c r="B4123" s="87" t="str">
        <x:v>NOV-RU-V1-010</x:v>
      </x:c>
      <x:c r="C4123" s="87" t="str">
        <x:v>СтатГрад</x:v>
      </x:c>
      <x:c r="D4123" s="87" t="str">
        <x:v>Ноябрь 2025</x:v>
      </x:c>
      <x:c r="E4123" s="87"/>
      <x:c r="F4123" s="87"/>
      <x:c r="G4123" s="87" t="str">
        <x:v>Русский язык</x:v>
      </x:c>
      <x:c r="H4123" s="87" t="n">
        <x:v>11</x:v>
      </x:c>
      <x:c r="I4123" s="87" t="str">
        <x:v>ДР №1</x:v>
      </x:c>
      <x:c r="J4123" s="87" t="str">
        <x:v>РЯ2510301</x:v>
      </x:c>
      <x:c r="K4123" s="87" t="n">
        <x:v>10</x:v>
      </x:c>
      <x:c r="L4123" s="87" t="str">
        <x:v>Приставки и разделительные знаки</x:v>
      </x:c>
      <x:c r="M4123" s="30" t="str">
        <x:v>Выберите ряды с одинаковой буквой в приставках и на стыке морфем.</x:v>
      </x:c>
      <x:c r="N4123" s="30" t="str">
        <x:v>15</x:v>
      </x:c>
      <x:c r="O4123" s="30" t="str">
        <x:v>В ряду 1 пишется С: несгибаемый, исколесить, расценки; в ряду 5 — ПРИ: пристыдить, неприступная, пригожий.</x:v>
      </x:c>
      <x:c r="P4123" s="30" t="str">
        <x:v>Проверены морфемный состав и правила написания приставок.</x:v>
      </x:c>
      <x:c r="Q4123" s="30"/>
      <x:c r="R4123" s="30" t="str">
        <x:v>15</x:v>
      </x:c>
      <x:c r="S4123" s="30"/>
      <x:c r="T4123" s="30"/>
      <x:c r="U4123" s="30" t="str">
        <x:v>Расхождений нет.</x:v>
      </x:c>
      <x:c r="V4123" s="87" t="str">
        <x:v>VERIFIED</x:v>
      </x:c>
      <x:c r="W4123" s="87" t="str">
        <x:v>PDF p. 6 (РЯ2510301)</x:v>
      </x:c>
      <x:c r="X4123" s="87"/>
      <x:c r="Y4123" s="87"/>
      <x:c r="Z4123" s="87"/>
      <x:c r="AA4123" s="87"/>
      <x:c r="AB4123" s="87"/>
      <x:c r="AC4123" s="87"/>
      <x:c r="AD4123" s="87"/>
      <x:c r="AE4123" s="87"/>
      <x:c r="AF4123" s="87"/>
      <x:c r="AG4123" s="87"/>
      <x:c r="AH4123" s="87"/>
      <x:c r="AI4123" s="30"/>
      <x:c r="AJ4123" s="87" t="str">
        <x:v>clean</x:v>
      </x:c>
      <x:c r="AK4123" s="87" t="str">
        <x:v>clean-v0.02</x:v>
      </x:c>
      <x:c r="AL4123" s="87" t="str">
        <x:v>statgrad_clean_continuation_v0_02(1).xlsx</x:v>
      </x:c>
      <x:c r="AM4123" s="87" t="str">
        <x:v>RU_Nov_V1</x:v>
      </x:c>
      <x:c r="AN4123" s="87" t="n">
        <x:v>12</x:v>
      </x:c>
    </x:row>
    <x:row r="4124">
      <x:c r="A4124" s="87" t="n">
        <x:v>4123</x:v>
      </x:c>
      <x:c r="B4124" s="87" t="str">
        <x:v>NOV-RU-V1-011</x:v>
      </x:c>
      <x:c r="C4124" s="87" t="str">
        <x:v>СтатГрад</x:v>
      </x:c>
      <x:c r="D4124" s="87" t="str">
        <x:v>Ноябрь 2025</x:v>
      </x:c>
      <x:c r="E4124" s="87"/>
      <x:c r="F4124" s="87"/>
      <x:c r="G4124" s="87" t="str">
        <x:v>Русский язык</x:v>
      </x:c>
      <x:c r="H4124" s="87" t="n">
        <x:v>11</x:v>
      </x:c>
      <x:c r="I4124" s="87" t="str">
        <x:v>ДР №1</x:v>
      </x:c>
      <x:c r="J4124" s="87" t="str">
        <x:v>РЯ2510301</x:v>
      </x:c>
      <x:c r="K4124" s="87" t="n">
        <x:v>11</x:v>
      </x:c>
      <x:c r="L4124" s="87" t="str">
        <x:v>Суффиксы</x:v>
      </x:c>
      <x:c r="M4124" s="30" t="str">
        <x:v>Выберите пары слов с одной и той же буквой в суффиксах.</x:v>
      </x:c>
      <x:c r="N4124" s="30" t="str">
        <x:v>345</x:v>
      </x:c>
      <x:c r="O4124" s="30" t="str">
        <x:v>Подходят пары: ситцевый — гуттаперчевый; запотевать — форелевый; пальтецо — обессилеть.</x:v>
      </x:c>
      <x:c r="P4124" s="30" t="str">
        <x:v>Проверены словообразовательные суффиксы каждой пары.</x:v>
      </x:c>
      <x:c r="Q4124" s="30"/>
      <x:c r="R4124" s="30" t="str">
        <x:v>345</x:v>
      </x:c>
      <x:c r="S4124" s="30"/>
      <x:c r="T4124" s="30"/>
      <x:c r="U4124" s="30" t="str">
        <x:v>Расхождений нет.</x:v>
      </x:c>
      <x:c r="V4124" s="87" t="str">
        <x:v>VERIFIED</x:v>
      </x:c>
      <x:c r="W4124" s="87" t="str">
        <x:v>PDF p. 6 (РЯ2510301)</x:v>
      </x:c>
      <x:c r="X4124" s="87"/>
      <x:c r="Y4124" s="87"/>
      <x:c r="Z4124" s="87"/>
      <x:c r="AA4124" s="87"/>
      <x:c r="AB4124" s="87"/>
      <x:c r="AC4124" s="87"/>
      <x:c r="AD4124" s="87"/>
      <x:c r="AE4124" s="87"/>
      <x:c r="AF4124" s="87"/>
      <x:c r="AG4124" s="87"/>
      <x:c r="AH4124" s="87"/>
      <x:c r="AI4124" s="30"/>
      <x:c r="AJ4124" s="87" t="str">
        <x:v>clean</x:v>
      </x:c>
      <x:c r="AK4124" s="87" t="str">
        <x:v>clean-v0.02</x:v>
      </x:c>
      <x:c r="AL4124" s="87" t="str">
        <x:v>statgrad_clean_continuation_v0_02(1).xlsx</x:v>
      </x:c>
      <x:c r="AM4124" s="87" t="str">
        <x:v>RU_Nov_V1</x:v>
      </x:c>
      <x:c r="AN4124" s="87" t="n">
        <x:v>13</x:v>
      </x:c>
    </x:row>
    <x:row r="4125">
      <x:c r="A4125" s="87" t="n">
        <x:v>4124</x:v>
      </x:c>
      <x:c r="B4125" s="87" t="str">
        <x:v>NOV-RU-V1-012</x:v>
      </x:c>
      <x:c r="C4125" s="87" t="str">
        <x:v>СтатГрад</x:v>
      </x:c>
      <x:c r="D4125" s="87" t="str">
        <x:v>Ноябрь 2025</x:v>
      </x:c>
      <x:c r="E4125" s="87"/>
      <x:c r="F4125" s="87"/>
      <x:c r="G4125" s="87" t="str">
        <x:v>Русский язык</x:v>
      </x:c>
      <x:c r="H4125" s="87" t="n">
        <x:v>11</x:v>
      </x:c>
      <x:c r="I4125" s="87" t="str">
        <x:v>ДР №1</x:v>
      </x:c>
      <x:c r="J4125" s="87" t="str">
        <x:v>РЯ2510301</x:v>
      </x:c>
      <x:c r="K4125" s="87" t="n">
        <x:v>12</x:v>
      </x:c>
      <x:c r="L4125" s="87" t="str">
        <x:v>Окончания и суффиксы</x:v>
      </x:c>
      <x:c r="M4125" s="30" t="str">
        <x:v>Выберите пары слов с одной и той же буквой в окончаниях и суффиксах.</x:v>
      </x:c>
      <x:c r="N4125" s="30" t="str">
        <x:v>2345</x:v>
      </x:c>
      <x:c r="O4125" s="30" t="str">
        <x:v>Подходят: курлычет — ненавидевший; вымочишь — обидишься; замесишь — поспоривший; завещанный — замешанный.</x:v>
      </x:c>
      <x:c r="P4125" s="30" t="str">
        <x:v>Проверены спряжение и образование причастий.</x:v>
      </x:c>
      <x:c r="Q4125" s="30"/>
      <x:c r="R4125" s="30" t="str">
        <x:v>2345</x:v>
      </x:c>
      <x:c r="S4125" s="30"/>
      <x:c r="T4125" s="30"/>
      <x:c r="U4125" s="30" t="str">
        <x:v>Расхождений нет.</x:v>
      </x:c>
      <x:c r="V4125" s="87" t="str">
        <x:v>VERIFIED</x:v>
      </x:c>
      <x:c r="W4125" s="87" t="str">
        <x:v>PDF p. 6 (РЯ2510301)</x:v>
      </x:c>
      <x:c r="X4125" s="87"/>
      <x:c r="Y4125" s="87"/>
      <x:c r="Z4125" s="87"/>
      <x:c r="AA4125" s="87"/>
      <x:c r="AB4125" s="87"/>
      <x:c r="AC4125" s="87"/>
      <x:c r="AD4125" s="87"/>
      <x:c r="AE4125" s="87"/>
      <x:c r="AF4125" s="87"/>
      <x:c r="AG4125" s="87"/>
      <x:c r="AH4125" s="87"/>
      <x:c r="AI4125" s="30"/>
      <x:c r="AJ4125" s="87" t="str">
        <x:v>clean</x:v>
      </x:c>
      <x:c r="AK4125" s="87" t="str">
        <x:v>clean-v0.02</x:v>
      </x:c>
      <x:c r="AL4125" s="87" t="str">
        <x:v>statgrad_clean_continuation_v0_02(1).xlsx</x:v>
      </x:c>
      <x:c r="AM4125" s="87" t="str">
        <x:v>RU_Nov_V1</x:v>
      </x:c>
      <x:c r="AN4125" s="87" t="n">
        <x:v>14</x:v>
      </x:c>
    </x:row>
    <x:row r="4126">
      <x:c r="A4126" s="87" t="n">
        <x:v>4125</x:v>
      </x:c>
      <x:c r="B4126" s="87" t="str">
        <x:v>NOV-RU-V1-013</x:v>
      </x:c>
      <x:c r="C4126" s="87" t="str">
        <x:v>СтатГрад</x:v>
      </x:c>
      <x:c r="D4126" s="87" t="str">
        <x:v>Ноябрь 2025</x:v>
      </x:c>
      <x:c r="E4126" s="87"/>
      <x:c r="F4126" s="87"/>
      <x:c r="G4126" s="87" t="str">
        <x:v>Русский язык</x:v>
      </x:c>
      <x:c r="H4126" s="87" t="n">
        <x:v>11</x:v>
      </x:c>
      <x:c r="I4126" s="87" t="str">
        <x:v>ДР №1</x:v>
      </x:c>
      <x:c r="J4126" s="87" t="str">
        <x:v>РЯ2510301</x:v>
      </x:c>
      <x:c r="K4126" s="87" t="n">
        <x:v>13</x:v>
      </x:c>
      <x:c r="L4126" s="87" t="str">
        <x:v>НЕ / НИ со словами</x:v>
      </x:c>
      <x:c r="M4126" s="30" t="str">
        <x:v>Выберите предложения, где НЕ с выделенным словом пишется слитно.</x:v>
      </x:c>
      <x:c r="N4126" s="30" t="str">
        <x:v>245</x:v>
      </x:c>
      <x:c r="O4126" s="30" t="str">
        <x:v>Слитно пишутся «несчастным», «невкусным», «несколько»; «не сразу» и краткое причастие «не достигнута» — раздельно.</x:v>
      </x:c>
      <x:c r="P4126" s="30" t="str">
        <x:v>Проверены часть речи, противопоставление и зависимые слова.</x:v>
      </x:c>
      <x:c r="Q4126" s="30"/>
      <x:c r="R4126" s="30" t="str">
        <x:v>245 / любая последовательность цифр</x:v>
      </x:c>
      <x:c r="S4126" s="30"/>
      <x:c r="T4126" s="30"/>
      <x:c r="U4126" s="30" t="str">
        <x:v>Расхождений нет.</x:v>
      </x:c>
      <x:c r="V4126" s="87" t="str">
        <x:v>VERIFIED</x:v>
      </x:c>
      <x:c r="W4126" s="87" t="str">
        <x:v>PDF p. 7 (РЯ2510301)</x:v>
      </x:c>
      <x:c r="X4126" s="87"/>
      <x:c r="Y4126" s="87"/>
      <x:c r="Z4126" s="87"/>
      <x:c r="AA4126" s="87"/>
      <x:c r="AB4126" s="87"/>
      <x:c r="AC4126" s="87"/>
      <x:c r="AD4126" s="87"/>
      <x:c r="AE4126" s="87"/>
      <x:c r="AF4126" s="87"/>
      <x:c r="AG4126" s="87"/>
      <x:c r="AH4126" s="87"/>
      <x:c r="AI4126" s="30"/>
      <x:c r="AJ4126" s="87" t="str">
        <x:v>clean</x:v>
      </x:c>
      <x:c r="AK4126" s="87" t="str">
        <x:v>clean-v0.02</x:v>
      </x:c>
      <x:c r="AL4126" s="87" t="str">
        <x:v>statgrad_clean_continuation_v0_02(1).xlsx</x:v>
      </x:c>
      <x:c r="AM4126" s="87" t="str">
        <x:v>RU_Nov_V1</x:v>
      </x:c>
      <x:c r="AN4126" s="87" t="n">
        <x:v>15</x:v>
      </x:c>
    </x:row>
    <x:row r="4127">
      <x:c r="A4127" s="87" t="n">
        <x:v>4126</x:v>
      </x:c>
      <x:c r="B4127" s="87" t="str">
        <x:v>NOV-RU-V1-014</x:v>
      </x:c>
      <x:c r="C4127" s="87" t="str">
        <x:v>СтатГрад</x:v>
      </x:c>
      <x:c r="D4127" s="87" t="str">
        <x:v>Ноябрь 2025</x:v>
      </x:c>
      <x:c r="E4127" s="87"/>
      <x:c r="F4127" s="87"/>
      <x:c r="G4127" s="87" t="str">
        <x:v>Русский язык</x:v>
      </x:c>
      <x:c r="H4127" s="87" t="n">
        <x:v>11</x:v>
      </x:c>
      <x:c r="I4127" s="87" t="str">
        <x:v>ДР №1</x:v>
      </x:c>
      <x:c r="J4127" s="87" t="str">
        <x:v>РЯ2510301</x:v>
      </x:c>
      <x:c r="K4127" s="87" t="n">
        <x:v>14</x:v>
      </x:c>
      <x:c r="L4127" s="87" t="str">
        <x:v>Слитное и раздельное написание</x:v>
      </x:c>
      <x:c r="M4127" s="30" t="str">
        <x:v>Выберите предложения, где все выделенные слова пишутся слитно.</x:v>
      </x:c>
      <x:c r="N4127" s="30" t="str">
        <x:v>35</x:v>
      </x:c>
      <x:c r="O4127" s="30" t="str">
        <x:v>В предложении 3 слитно пишутся «получаса», «чтобы»; в предложении 5 — «внутрь», «затем».</x:v>
      </x:c>
      <x:c r="P4127" s="30" t="str">
        <x:v>Каждое сочетание проверено в контексте.</x:v>
      </x:c>
      <x:c r="Q4127" s="30"/>
      <x:c r="R4127" s="30" t="str">
        <x:v>35 / 53</x:v>
      </x:c>
      <x:c r="S4127" s="30"/>
      <x:c r="T4127" s="30"/>
      <x:c r="U4127" s="30" t="str">
        <x:v>Расхождений нет.</x:v>
      </x:c>
      <x:c r="V4127" s="87" t="str">
        <x:v>VERIFIED</x:v>
      </x:c>
      <x:c r="W4127" s="87" t="str">
        <x:v>PDF p. 7 (РЯ2510301)</x:v>
      </x:c>
      <x:c r="X4127" s="87"/>
      <x:c r="Y4127" s="87"/>
      <x:c r="Z4127" s="87"/>
      <x:c r="AA4127" s="87"/>
      <x:c r="AB4127" s="87"/>
      <x:c r="AC4127" s="87"/>
      <x:c r="AD4127" s="87"/>
      <x:c r="AE4127" s="87"/>
      <x:c r="AF4127" s="87"/>
      <x:c r="AG4127" s="87"/>
      <x:c r="AH4127" s="87"/>
      <x:c r="AI4127" s="30"/>
      <x:c r="AJ4127" s="87" t="str">
        <x:v>clean</x:v>
      </x:c>
      <x:c r="AK4127" s="87" t="str">
        <x:v>clean-v0.02</x:v>
      </x:c>
      <x:c r="AL4127" s="87" t="str">
        <x:v>statgrad_clean_continuation_v0_02(1).xlsx</x:v>
      </x:c>
      <x:c r="AM4127" s="87" t="str">
        <x:v>RU_Nov_V1</x:v>
      </x:c>
      <x:c r="AN4127" s="87" t="n">
        <x:v>16</x:v>
      </x:c>
    </x:row>
    <x:row r="4128">
      <x:c r="A4128" s="87" t="n">
        <x:v>4127</x:v>
      </x:c>
      <x:c r="B4128" s="87" t="str">
        <x:v>NOV-RU-V1-015</x:v>
      </x:c>
      <x:c r="C4128" s="87" t="str">
        <x:v>СтатГрад</x:v>
      </x:c>
      <x:c r="D4128" s="87" t="str">
        <x:v>Ноябрь 2025</x:v>
      </x:c>
      <x:c r="E4128" s="87"/>
      <x:c r="F4128" s="87"/>
      <x:c r="G4128" s="87" t="str">
        <x:v>Русский язык</x:v>
      </x:c>
      <x:c r="H4128" s="87" t="n">
        <x:v>11</x:v>
      </x:c>
      <x:c r="I4128" s="87" t="str">
        <x:v>ДР №1</x:v>
      </x:c>
      <x:c r="J4128" s="87" t="str">
        <x:v>РЯ2510301</x:v>
      </x:c>
      <x:c r="K4128" s="87" t="n">
        <x:v>15</x:v>
      </x:c>
      <x:c r="L4128" s="87" t="str">
        <x:v>Н / НН</x:v>
      </x:c>
      <x:c r="M4128" s="30" t="str">
        <x:v>Укажите позиции с НН в словах о воспитанницах и импровизированной выставке.</x:v>
      </x:c>
      <x:c r="N4128" s="30" t="str">
        <x:v>2478</x:v>
      </x:c>
      <x:c r="O4128" s="30" t="str">
        <x:v>НН требуется в «воспитанниц», «тканные серебром», «импровизированной», «устроенной».</x:v>
      </x:c>
      <x:c r="P4128" s="30" t="str">
        <x:v>Проверены часть речи, зависимые слова и словообразовательная модель.</x:v>
      </x:c>
      <x:c r="Q4128" s="30"/>
      <x:c r="R4128" s="30" t="str">
        <x:v>2478 / любая последовательность цифр</x:v>
      </x:c>
      <x:c r="S4128" s="30"/>
      <x:c r="T4128" s="30"/>
      <x:c r="U4128" s="30" t="str">
        <x:v>Расхождений нет.</x:v>
      </x:c>
      <x:c r="V4128" s="87" t="str">
        <x:v>VERIFIED</x:v>
      </x:c>
      <x:c r="W4128" s="87" t="str">
        <x:v>PDF p. 7 (РЯ2510301)</x:v>
      </x:c>
      <x:c r="X4128" s="87"/>
      <x:c r="Y4128" s="87"/>
      <x:c r="Z4128" s="87"/>
      <x:c r="AA4128" s="87"/>
      <x:c r="AB4128" s="87"/>
      <x:c r="AC4128" s="87"/>
      <x:c r="AD4128" s="87"/>
      <x:c r="AE4128" s="87"/>
      <x:c r="AF4128" s="87"/>
      <x:c r="AG4128" s="87"/>
      <x:c r="AH4128" s="87"/>
      <x:c r="AI4128" s="30"/>
      <x:c r="AJ4128" s="87" t="str">
        <x:v>clean</x:v>
      </x:c>
      <x:c r="AK4128" s="87" t="str">
        <x:v>clean-v0.02</x:v>
      </x:c>
      <x:c r="AL4128" s="87" t="str">
        <x:v>statgrad_clean_continuation_v0_02(1).xlsx</x:v>
      </x:c>
      <x:c r="AM4128" s="87" t="str">
        <x:v>RU_Nov_V1</x:v>
      </x:c>
      <x:c r="AN4128" s="87" t="n">
        <x:v>17</x:v>
      </x:c>
    </x:row>
    <x:row r="4129">
      <x:c r="A4129" s="87" t="n">
        <x:v>4128</x:v>
      </x:c>
      <x:c r="B4129" s="87" t="str">
        <x:v>NOV-RU-V1-016</x:v>
      </x:c>
      <x:c r="C4129" s="87" t="str">
        <x:v>СтатГрад</x:v>
      </x:c>
      <x:c r="D4129" s="87" t="str">
        <x:v>Ноябрь 2025</x:v>
      </x:c>
      <x:c r="E4129" s="87"/>
      <x:c r="F4129" s="87"/>
      <x:c r="G4129" s="87" t="str">
        <x:v>Русский язык</x:v>
      </x:c>
      <x:c r="H4129" s="87" t="n">
        <x:v>11</x:v>
      </x:c>
      <x:c r="I4129" s="87" t="str">
        <x:v>ДР №1</x:v>
      </x:c>
      <x:c r="J4129" s="87" t="str">
        <x:v>РЯ2510301</x:v>
      </x:c>
      <x:c r="K4129" s="87" t="n">
        <x:v>16</x:v>
      </x:c>
      <x:c r="L4129" s="87" t="str">
        <x:v>Пунктуация: одна запятая</x:v>
      </x:c>
      <x:c r="M4129" s="30" t="str">
        <x:v>Выберите предложения, в которых требуется ровно одна запятая.</x:v>
      </x:c>
      <x:c r="N4129" s="30" t="str">
        <x:v>15</x:v>
      </x:c>
      <x:c r="O4129" s="30" t="str">
        <x:v>В 1-м предложении одна запятая разделяет части «не только…, но и…»; в 5-м обособляется пояснительное наименование «или горчак».</x:v>
      </x:c>
      <x:c r="P4129" s="30" t="str">
        <x:v>Подсчитано полное число обязательных запятых в каждом предложении.</x:v>
      </x:c>
      <x:c r="Q4129" s="30"/>
      <x:c r="R4129" s="30" t="str">
        <x:v>15</x:v>
      </x:c>
      <x:c r="S4129" s="30"/>
      <x:c r="T4129" s="30"/>
      <x:c r="U4129" s="30" t="str">
        <x:v>Расхождений нет.</x:v>
      </x:c>
      <x:c r="V4129" s="87" t="str">
        <x:v>VERIFIED</x:v>
      </x:c>
      <x:c r="W4129" s="87" t="str">
        <x:v>PDF p. 8 (РЯ2510301)</x:v>
      </x:c>
      <x:c r="X4129" s="87"/>
      <x:c r="Y4129" s="87"/>
      <x:c r="Z4129" s="87"/>
      <x:c r="AA4129" s="87"/>
      <x:c r="AB4129" s="87"/>
      <x:c r="AC4129" s="87"/>
      <x:c r="AD4129" s="87"/>
      <x:c r="AE4129" s="87"/>
      <x:c r="AF4129" s="87"/>
      <x:c r="AG4129" s="87"/>
      <x:c r="AH4129" s="87"/>
      <x:c r="AI4129" s="30"/>
      <x:c r="AJ4129" s="87" t="str">
        <x:v>clean</x:v>
      </x:c>
      <x:c r="AK4129" s="87" t="str">
        <x:v>clean-v0.02</x:v>
      </x:c>
      <x:c r="AL4129" s="87" t="str">
        <x:v>statgrad_clean_continuation_v0_02(1).xlsx</x:v>
      </x:c>
      <x:c r="AM4129" s="87" t="str">
        <x:v>RU_Nov_V1</x:v>
      </x:c>
      <x:c r="AN4129" s="87" t="n">
        <x:v>18</x:v>
      </x:c>
    </x:row>
    <x:row r="4130">
      <x:c r="A4130" s="87" t="n">
        <x:v>4129</x:v>
      </x:c>
      <x:c r="B4130" s="87" t="str">
        <x:v>NOV-RU-V1-017</x:v>
      </x:c>
      <x:c r="C4130" s="87" t="str">
        <x:v>СтатГрад</x:v>
      </x:c>
      <x:c r="D4130" s="87" t="str">
        <x:v>Ноябрь 2025</x:v>
      </x:c>
      <x:c r="E4130" s="87"/>
      <x:c r="F4130" s="87"/>
      <x:c r="G4130" s="87" t="str">
        <x:v>Русский язык</x:v>
      </x:c>
      <x:c r="H4130" s="87" t="n">
        <x:v>11</x:v>
      </x:c>
      <x:c r="I4130" s="87" t="str">
        <x:v>ДР №1</x:v>
      </x:c>
      <x:c r="J4130" s="87" t="str">
        <x:v>РЯ2510301</x:v>
      </x:c>
      <x:c r="K4130" s="87" t="n">
        <x:v>17</x:v>
      </x:c>
      <x:c r="L4130" s="87" t="str">
        <x:v>Обособленные конструкции</x:v>
      </x:c>
      <x:c r="M4130" s="30" t="str">
        <x:v>Расставьте запятые при деепричастных, причастном обороте и обособленном определении.</x:v>
      </x:c>
      <x:c r="N4130" s="30" t="str">
        <x:v>1347</x:v>
      </x:c>
      <x:c r="O4130" s="30" t="str">
        <x:v>Обособляются оборот «не имея…» (1), определение «старая и сварливая» (3), оборот «глухо ворча…» (4) и причастный оборот «лаявшую во дворе» (7).</x:v>
      </x:c>
      <x:c r="P4130" s="30" t="str">
        <x:v>Определены границы всех обособленных конструкций.</x:v>
      </x:c>
      <x:c r="Q4130" s="30"/>
      <x:c r="R4130" s="30" t="str">
        <x:v>1347 / любая последовательность цифр</x:v>
      </x:c>
      <x:c r="S4130" s="30"/>
      <x:c r="T4130" s="30"/>
      <x:c r="U4130" s="30" t="str">
        <x:v>Расхождений нет.</x:v>
      </x:c>
      <x:c r="V4130" s="87" t="str">
        <x:v>VERIFIED</x:v>
      </x:c>
      <x:c r="W4130" s="87" t="str">
        <x:v>PDF p. 8 (РЯ2510301)</x:v>
      </x:c>
      <x:c r="X4130" s="87"/>
      <x:c r="Y4130" s="87"/>
      <x:c r="Z4130" s="87"/>
      <x:c r="AA4130" s="87"/>
      <x:c r="AB4130" s="87"/>
      <x:c r="AC4130" s="87"/>
      <x:c r="AD4130" s="87"/>
      <x:c r="AE4130" s="87"/>
      <x:c r="AF4130" s="87"/>
      <x:c r="AG4130" s="87"/>
      <x:c r="AH4130" s="87"/>
      <x:c r="AI4130" s="30"/>
      <x:c r="AJ4130" s="87" t="str">
        <x:v>clean</x:v>
      </x:c>
      <x:c r="AK4130" s="87" t="str">
        <x:v>clean-v0.02</x:v>
      </x:c>
      <x:c r="AL4130" s="87" t="str">
        <x:v>statgrad_clean_continuation_v0_02(1).xlsx</x:v>
      </x:c>
      <x:c r="AM4130" s="87" t="str">
        <x:v>RU_Nov_V1</x:v>
      </x:c>
      <x:c r="AN4130" s="87" t="n">
        <x:v>19</x:v>
      </x:c>
    </x:row>
    <x:row r="4131">
      <x:c r="A4131" s="87" t="n">
        <x:v>4130</x:v>
      </x:c>
      <x:c r="B4131" s="87" t="str">
        <x:v>NOV-RU-V1-018</x:v>
      </x:c>
      <x:c r="C4131" s="87" t="str">
        <x:v>СтатГрад</x:v>
      </x:c>
      <x:c r="D4131" s="87" t="str">
        <x:v>Ноябрь 2025</x:v>
      </x:c>
      <x:c r="E4131" s="87"/>
      <x:c r="F4131" s="87"/>
      <x:c r="G4131" s="87" t="str">
        <x:v>Русский язык</x:v>
      </x:c>
      <x:c r="H4131" s="87" t="n">
        <x:v>11</x:v>
      </x:c>
      <x:c r="I4131" s="87" t="str">
        <x:v>ДР №1</x:v>
      </x:c>
      <x:c r="J4131" s="87" t="str">
        <x:v>РЯ2510301</x:v>
      </x:c>
      <x:c r="K4131" s="87" t="n">
        <x:v>18</x:v>
      </x:c>
      <x:c r="L4131" s="87" t="str">
        <x:v>Вводные слова и обращения</x:v>
      </x:c>
      <x:c r="M4131" s="30" t="str">
        <x:v>Расставьте запятые в предложении с обращением «друг вы наш дорогой».</x:v>
      </x:c>
      <x:c r="N4131" s="30" t="str">
        <x:v>3</x:v>
      </x:c>
      <x:c r="O4131" s="30" t="str">
        <x:v>Всё сочетание «друг вы наш дорогой» является обращением и отделяется одной запятой; «всё-таки», «приблизительно», «как раз» не вводные.</x:v>
      </x:c>
      <x:c r="P4131" s="30" t="str">
        <x:v>Проверены обращение, частицы и невводные наречия.</x:v>
      </x:c>
      <x:c r="Q4131" s="30"/>
      <x:c r="R4131" s="30" t="str">
        <x:v>3</x:v>
      </x:c>
      <x:c r="S4131" s="30"/>
      <x:c r="T4131" s="30"/>
      <x:c r="U4131" s="30" t="str">
        <x:v>Расхождений нет.</x:v>
      </x:c>
      <x:c r="V4131" s="87" t="str">
        <x:v>VERIFIED</x:v>
      </x:c>
      <x:c r="W4131" s="87" t="str">
        <x:v>PDF p. 8 (РЯ2510301)</x:v>
      </x:c>
      <x:c r="X4131" s="87"/>
      <x:c r="Y4131" s="87"/>
      <x:c r="Z4131" s="87"/>
      <x:c r="AA4131" s="87"/>
      <x:c r="AB4131" s="87"/>
      <x:c r="AC4131" s="87"/>
      <x:c r="AD4131" s="87"/>
      <x:c r="AE4131" s="87"/>
      <x:c r="AF4131" s="87"/>
      <x:c r="AG4131" s="87"/>
      <x:c r="AH4131" s="87"/>
      <x:c r="AI4131" s="30"/>
      <x:c r="AJ4131" s="87" t="str">
        <x:v>clean</x:v>
      </x:c>
      <x:c r="AK4131" s="87" t="str">
        <x:v>clean-v0.02</x:v>
      </x:c>
      <x:c r="AL4131" s="87" t="str">
        <x:v>statgrad_clean_continuation_v0_02(1).xlsx</x:v>
      </x:c>
      <x:c r="AM4131" s="87" t="str">
        <x:v>RU_Nov_V1</x:v>
      </x:c>
      <x:c r="AN4131" s="87" t="n">
        <x:v>20</x:v>
      </x:c>
    </x:row>
    <x:row r="4132">
      <x:c r="A4132" s="87" t="n">
        <x:v>4131</x:v>
      </x:c>
      <x:c r="B4132" s="87" t="str">
        <x:v>NOV-RU-V1-019</x:v>
      </x:c>
      <x:c r="C4132" s="87" t="str">
        <x:v>СтатГрад</x:v>
      </x:c>
      <x:c r="D4132" s="87" t="str">
        <x:v>Ноябрь 2025</x:v>
      </x:c>
      <x:c r="E4132" s="87"/>
      <x:c r="F4132" s="87"/>
      <x:c r="G4132" s="87" t="str">
        <x:v>Русский язык</x:v>
      </x:c>
      <x:c r="H4132" s="87" t="n">
        <x:v>11</x:v>
      </x:c>
      <x:c r="I4132" s="87" t="str">
        <x:v>ДР №1</x:v>
      </x:c>
      <x:c r="J4132" s="87" t="str">
        <x:v>РЯ2510301</x:v>
      </x:c>
      <x:c r="K4132" s="87" t="n">
        <x:v>19</x:v>
      </x:c>
      <x:c r="L4132" s="87" t="str">
        <x:v>Сложное предложение</x:v>
      </x:c>
      <x:c r="M4132" s="30" t="str">
        <x:v>Расставьте запятые в сложном предложении о шахте, управляющем и жалобах.</x:v>
      </x:c>
      <x:c r="N4132" s="30" t="str">
        <x:v>12368</x:v>
      </x:c>
      <x:c r="O4132" s="30" t="str">
        <x:v>Запятые отделяют изъяснительное придаточное, придаточное определительное и вложенные конструкции «на то, что» и «хотя…, но…».</x:v>
      </x:c>
      <x:c r="P4132" s="30" t="str">
        <x:v>Построена схема сложного предложения.</x:v>
      </x:c>
      <x:c r="Q4132" s="30"/>
      <x:c r="R4132" s="30" t="str">
        <x:v>12368 / любая последовательность цифр</x:v>
      </x:c>
      <x:c r="S4132" s="30"/>
      <x:c r="T4132" s="30"/>
      <x:c r="U4132" s="30" t="str">
        <x:v>Расхождений нет.</x:v>
      </x:c>
      <x:c r="V4132" s="87" t="str">
        <x:v>VERIFIED</x:v>
      </x:c>
      <x:c r="W4132" s="87" t="str">
        <x:v>PDF p. 8 (РЯ2510301)</x:v>
      </x:c>
      <x:c r="X4132" s="87"/>
      <x:c r="Y4132" s="87"/>
      <x:c r="Z4132" s="87"/>
      <x:c r="AA4132" s="87"/>
      <x:c r="AB4132" s="87"/>
      <x:c r="AC4132" s="87"/>
      <x:c r="AD4132" s="87"/>
      <x:c r="AE4132" s="87"/>
      <x:c r="AF4132" s="87"/>
      <x:c r="AG4132" s="87"/>
      <x:c r="AH4132" s="87"/>
      <x:c r="AI4132" s="30"/>
      <x:c r="AJ4132" s="87" t="str">
        <x:v>clean</x:v>
      </x:c>
      <x:c r="AK4132" s="87" t="str">
        <x:v>clean-v0.02</x:v>
      </x:c>
      <x:c r="AL4132" s="87" t="str">
        <x:v>statgrad_clean_continuation_v0_02(1).xlsx</x:v>
      </x:c>
      <x:c r="AM4132" s="87" t="str">
        <x:v>RU_Nov_V1</x:v>
      </x:c>
      <x:c r="AN4132" s="87" t="n">
        <x:v>21</x:v>
      </x:c>
    </x:row>
    <x:row r="4133">
      <x:c r="A4133" s="87" t="n">
        <x:v>4132</x:v>
      </x:c>
      <x:c r="B4133" s="87" t="str">
        <x:v>NOV-RU-V1-020</x:v>
      </x:c>
      <x:c r="C4133" s="87" t="str">
        <x:v>СтатГрад</x:v>
      </x:c>
      <x:c r="D4133" s="87" t="str">
        <x:v>Ноябрь 2025</x:v>
      </x:c>
      <x:c r="E4133" s="87"/>
      <x:c r="F4133" s="87"/>
      <x:c r="G4133" s="87" t="str">
        <x:v>Русский язык</x:v>
      </x:c>
      <x:c r="H4133" s="87" t="n">
        <x:v>11</x:v>
      </x:c>
      <x:c r="I4133" s="87" t="str">
        <x:v>ДР №1</x:v>
      </x:c>
      <x:c r="J4133" s="87" t="str">
        <x:v>РЯ2510301</x:v>
      </x:c>
      <x:c r="K4133" s="87" t="n">
        <x:v>20</x:v>
      </x:c>
      <x:c r="L4133" s="87" t="str">
        <x:v>Сложное предложение</x:v>
      </x:c>
      <x:c r="M4133" s="30" t="str">
        <x:v>Расставьте запятые в сложном предложении о согласовании сделки и документации.</x:v>
      </x:c>
      <x:c r="N4133" s="30" t="str">
        <x:v>2567</x:v>
      </x:c>
      <x:c r="O4133" s="30" t="str">
        <x:v>Придаточное времени заканчивается перед позицией 2; условное придаточное внутри конструкции с «либо» обособляется позициями 5 и 6; перед «чтобы» ставится запятая 7.</x:v>
      </x:c>
      <x:c r="P4133" s="30" t="str">
        <x:v>Построена схема главной и вложенных придаточных частей.</x:v>
      </x:c>
      <x:c r="Q4133" s="30"/>
      <x:c r="R4133" s="30" t="str">
        <x:v>2567 / любая последовательность цифр</x:v>
      </x:c>
      <x:c r="S4133" s="30"/>
      <x:c r="T4133" s="30"/>
      <x:c r="U4133" s="30" t="str">
        <x:v>Расхождений нет.</x:v>
      </x:c>
      <x:c r="V4133" s="87" t="str">
        <x:v>VERIFIED</x:v>
      </x:c>
      <x:c r="W4133" s="87" t="str">
        <x:v>PDF p. 9 (РЯ2510301)</x:v>
      </x:c>
      <x:c r="X4133" s="87"/>
      <x:c r="Y4133" s="87"/>
      <x:c r="Z4133" s="87"/>
      <x:c r="AA4133" s="87"/>
      <x:c r="AB4133" s="87"/>
      <x:c r="AC4133" s="87"/>
      <x:c r="AD4133" s="87"/>
      <x:c r="AE4133" s="87"/>
      <x:c r="AF4133" s="87"/>
      <x:c r="AG4133" s="87"/>
      <x:c r="AH4133" s="87"/>
      <x:c r="AI4133" s="30"/>
      <x:c r="AJ4133" s="87" t="str">
        <x:v>clean</x:v>
      </x:c>
      <x:c r="AK4133" s="87" t="str">
        <x:v>clean-v0.02</x:v>
      </x:c>
      <x:c r="AL4133" s="87" t="str">
        <x:v>statgrad_clean_continuation_v0_02(1).xlsx</x:v>
      </x:c>
      <x:c r="AM4133" s="87" t="str">
        <x:v>RU_Nov_V1</x:v>
      </x:c>
      <x:c r="AN4133" s="87" t="n">
        <x:v>22</x:v>
      </x:c>
    </x:row>
    <x:row r="4134">
      <x:c r="A4134" s="87" t="n">
        <x:v>4133</x:v>
      </x:c>
      <x:c r="B4134" s="87" t="str">
        <x:v>NOV-RU-V1-021</x:v>
      </x:c>
      <x:c r="C4134" s="87" t="str">
        <x:v>СтатГрад</x:v>
      </x:c>
      <x:c r="D4134" s="87" t="str">
        <x:v>Ноябрь 2025</x:v>
      </x:c>
      <x:c r="E4134" s="87"/>
      <x:c r="F4134" s="87"/>
      <x:c r="G4134" s="87" t="str">
        <x:v>Русский язык</x:v>
      </x:c>
      <x:c r="H4134" s="87" t="n">
        <x:v>11</x:v>
      </x:c>
      <x:c r="I4134" s="87" t="str">
        <x:v>ДР №1</x:v>
      </x:c>
      <x:c r="J4134" s="87" t="str">
        <x:v>РЯ2510301</x:v>
      </x:c>
      <x:c r="K4134" s="87" t="n">
        <x:v>21</x:v>
      </x:c>
      <x:c r="L4134" s="87" t="str">
        <x:v>Пунктуационное правило</x:v>
      </x:c>
      <x:c r="M4134" s="30" t="str">
        <x:v>Найдите предложения, где тире поставлено по одному и тому же правилу.</x:v>
      </x:c>
      <x:c r="N4134" s="30" t="str">
        <x:v>357</x:v>
      </x:c>
      <x:c r="O4134" s="30" t="str">
        <x:v>В предложениях 3, 5 и 7 тире стоит между подлежащим и именной частью сказуемого при отсутствии связки.</x:v>
      </x:c>
      <x:c r="P4134" s="30" t="str">
        <x:v>Для каждого тире определена синтаксическая функция.</x:v>
      </x:c>
      <x:c r="Q4134" s="30"/>
      <x:c r="R4134" s="30" t="str">
        <x:v>357 / любая последовательность цифр</x:v>
      </x:c>
      <x:c r="S4134" s="30"/>
      <x:c r="T4134" s="30"/>
      <x:c r="U4134" s="30" t="str">
        <x:v>Расхождений нет.</x:v>
      </x:c>
      <x:c r="V4134" s="87" t="str">
        <x:v>VERIFIED</x:v>
      </x:c>
      <x:c r="W4134" s="87" t="str">
        <x:v>PDF p. 9 (РЯ2510301)</x:v>
      </x:c>
      <x:c r="X4134" s="87"/>
      <x:c r="Y4134" s="87"/>
      <x:c r="Z4134" s="87"/>
      <x:c r="AA4134" s="87"/>
      <x:c r="AB4134" s="87"/>
      <x:c r="AC4134" s="87"/>
      <x:c r="AD4134" s="87"/>
      <x:c r="AE4134" s="87"/>
      <x:c r="AF4134" s="87"/>
      <x:c r="AG4134" s="87"/>
      <x:c r="AH4134" s="87"/>
      <x:c r="AI4134" s="30"/>
      <x:c r="AJ4134" s="87" t="str">
        <x:v>clean</x:v>
      </x:c>
      <x:c r="AK4134" s="87" t="str">
        <x:v>clean-v0.02</x:v>
      </x:c>
      <x:c r="AL4134" s="87" t="str">
        <x:v>statgrad_clean_continuation_v0_02(1).xlsx</x:v>
      </x:c>
      <x:c r="AM4134" s="87" t="str">
        <x:v>RU_Nov_V1</x:v>
      </x:c>
      <x:c r="AN4134" s="87" t="n">
        <x:v>23</x:v>
      </x:c>
    </x:row>
    <x:row r="4135">
      <x:c r="A4135" s="87" t="n">
        <x:v>4134</x:v>
      </x:c>
      <x:c r="B4135" s="87" t="str">
        <x:v>NOV-RU-V1-022</x:v>
      </x:c>
      <x:c r="C4135" s="87" t="str">
        <x:v>СтатГрад</x:v>
      </x:c>
      <x:c r="D4135" s="87" t="str">
        <x:v>Ноябрь 2025</x:v>
      </x:c>
      <x:c r="E4135" s="87"/>
      <x:c r="F4135" s="87"/>
      <x:c r="G4135" s="87" t="str">
        <x:v>Русский язык</x:v>
      </x:c>
      <x:c r="H4135" s="87" t="n">
        <x:v>11</x:v>
      </x:c>
      <x:c r="I4135" s="87" t="str">
        <x:v>ДР №1</x:v>
      </x:c>
      <x:c r="J4135" s="87" t="str">
        <x:v>РЯ2510301</x:v>
      </x:c>
      <x:c r="K4135" s="87" t="n">
        <x:v>22</x:v>
      </x:c>
      <x:c r="L4135" s="87" t="str">
        <x:v>Средства выразительности</x:v>
      </x:c>
      <x:c r="M4135" s="30" t="str">
        <x:v>Соотнесите пять фрагментов с названиями средств выразительности.</x:v>
      </x:c>
      <x:c r="N4135" s="30" t="str">
        <x:v>74916</x:v>
      </x:c>
      <x:c r="O4135" s="30" t="str">
        <x:v>А — сравнение (7), Б — парцелляция (4), В — метонимия (9), Г — эпифора (1), Д — вопросно-ответная форма (6).</x:v>
      </x:c>
      <x:c r="P4135" s="30" t="str">
        <x:v>Каждый фрагмент проверен по формальному признаку тропа или фигуры.</x:v>
      </x:c>
      <x:c r="Q4135" s="30"/>
      <x:c r="R4135" s="30" t="str">
        <x:v>74916</x:v>
      </x:c>
      <x:c r="S4135" s="30"/>
      <x:c r="T4135" s="30"/>
      <x:c r="U4135" s="30" t="str">
        <x:v>Расхождений нет.</x:v>
      </x:c>
      <x:c r="V4135" s="87" t="str">
        <x:v>VERIFIED</x:v>
      </x:c>
      <x:c r="W4135" s="87" t="str">
        <x:v>PDF p. 10 (РЯ2510301)</x:v>
      </x:c>
      <x:c r="X4135" s="87"/>
      <x:c r="Y4135" s="87"/>
      <x:c r="Z4135" s="87"/>
      <x:c r="AA4135" s="87"/>
      <x:c r="AB4135" s="87"/>
      <x:c r="AC4135" s="87"/>
      <x:c r="AD4135" s="87"/>
      <x:c r="AE4135" s="87"/>
      <x:c r="AF4135" s="87"/>
      <x:c r="AG4135" s="87"/>
      <x:c r="AH4135" s="87"/>
      <x:c r="AI4135" s="30"/>
      <x:c r="AJ4135" s="87" t="str">
        <x:v>clean</x:v>
      </x:c>
      <x:c r="AK4135" s="87" t="str">
        <x:v>clean-v0.02</x:v>
      </x:c>
      <x:c r="AL4135" s="87" t="str">
        <x:v>statgrad_clean_continuation_v0_02(1).xlsx</x:v>
      </x:c>
      <x:c r="AM4135" s="87" t="str">
        <x:v>RU_Nov_V1</x:v>
      </x:c>
      <x:c r="AN4135" s="87" t="n">
        <x:v>24</x:v>
      </x:c>
    </x:row>
    <x:row r="4136">
      <x:c r="A4136" s="87" t="n">
        <x:v>4135</x:v>
      </x:c>
      <x:c r="B4136" s="87" t="str">
        <x:v>NOV-RU-V1-023</x:v>
      </x:c>
      <x:c r="C4136" s="87" t="str">
        <x:v>СтатГрад</x:v>
      </x:c>
      <x:c r="D4136" s="87" t="str">
        <x:v>Ноябрь 2025</x:v>
      </x:c>
      <x:c r="E4136" s="87"/>
      <x:c r="F4136" s="87"/>
      <x:c r="G4136" s="87" t="str">
        <x:v>Русский язык</x:v>
      </x:c>
      <x:c r="H4136" s="87" t="n">
        <x:v>11</x:v>
      </x:c>
      <x:c r="I4136" s="87" t="str">
        <x:v>ДР №1</x:v>
      </x:c>
      <x:c r="J4136" s="87" t="str">
        <x:v>РЯ2510301</x:v>
      </x:c>
      <x:c r="K4136" s="87" t="n">
        <x:v>23</x:v>
      </x:c>
      <x:c r="L4136" s="87" t="str">
        <x:v>Содержание текста</x:v>
      </x:c>
      <x:c r="M4136" s="30" t="str">
        <x:v>Укажите высказывания, не соответствующие рассказу Варвары.</x:v>
      </x:c>
      <x:c r="N4136" s="30" t="str">
        <x:v>124</x:v>
      </x:c>
      <x:c r="O4136" s="30" t="str">
        <x:v>1 неверно: Варвара хвалит книгу, чтобы не обидеть автора; 2 неверно: «тихий» сам пользовался нарушением срока; 4 неверно: результат проверки в тексте не назван.</x:v>
      </x:c>
      <x:c r="P4136" s="30" t="str">
        <x:v>Все пять утверждений сопоставлены с конкретными эпизодами текста.</x:v>
      </x:c>
      <x:c r="Q4136" s="30"/>
      <x:c r="R4136" s="30" t="str">
        <x:v>124</x:v>
      </x:c>
      <x:c r="S4136" s="30"/>
      <x:c r="T4136" s="30"/>
      <x:c r="U4136" s="30" t="str">
        <x:v>Расхождений нет.</x:v>
      </x:c>
      <x:c r="V4136" s="87" t="str">
        <x:v>VERIFIED</x:v>
      </x:c>
      <x:c r="W4136" s="87" t="str">
        <x:v>PDF p. 12 (РЯ2510301)</x:v>
      </x:c>
      <x:c r="X4136" s="87"/>
      <x:c r="Y4136" s="87"/>
      <x:c r="Z4136" s="87"/>
      <x:c r="AA4136" s="87"/>
      <x:c r="AB4136" s="87"/>
      <x:c r="AC4136" s="87"/>
      <x:c r="AD4136" s="87"/>
      <x:c r="AE4136" s="87"/>
      <x:c r="AF4136" s="87"/>
      <x:c r="AG4136" s="87"/>
      <x:c r="AH4136" s="87"/>
      <x:c r="AI4136" s="30"/>
      <x:c r="AJ4136" s="87" t="str">
        <x:v>clean</x:v>
      </x:c>
      <x:c r="AK4136" s="87" t="str">
        <x:v>clean-v0.02</x:v>
      </x:c>
      <x:c r="AL4136" s="87" t="str">
        <x:v>statgrad_clean_continuation_v0_02(1).xlsx</x:v>
      </x:c>
      <x:c r="AM4136" s="87" t="str">
        <x:v>RU_Nov_V1</x:v>
      </x:c>
      <x:c r="AN4136" s="87" t="n">
        <x:v>25</x:v>
      </x:c>
    </x:row>
    <x:row r="4137">
      <x:c r="A4137" s="87" t="n">
        <x:v>4136</x:v>
      </x:c>
      <x:c r="B4137" s="87" t="str">
        <x:v>NOV-RU-V1-024</x:v>
      </x:c>
      <x:c r="C4137" s="87" t="str">
        <x:v>СтатГрад</x:v>
      </x:c>
      <x:c r="D4137" s="87" t="str">
        <x:v>Ноябрь 2025</x:v>
      </x:c>
      <x:c r="E4137" s="87"/>
      <x:c r="F4137" s="87"/>
      <x:c r="G4137" s="87" t="str">
        <x:v>Русский язык</x:v>
      </x:c>
      <x:c r="H4137" s="87" t="n">
        <x:v>11</x:v>
      </x:c>
      <x:c r="I4137" s="87" t="str">
        <x:v>ДР №1</x:v>
      </x:c>
      <x:c r="J4137" s="87" t="str">
        <x:v>РЯ2510301</x:v>
      </x:c>
      <x:c r="K4137" s="87" t="n">
        <x:v>24</x:v>
      </x:c>
      <x:c r="L4137" s="87" t="str">
        <x:v>Типы речи и смысловые отношения</x:v>
      </x:c>
      <x:c r="M4137" s="30" t="str">
        <x:v>Укажите ошибочные характеристики фрагментов текста и смысловых отношений.</x:v>
      </x:c>
      <x:c r="N4137" s="30" t="str">
        <x:v>24</x:v>
      </x:c>
      <x:c r="O4137" s="30" t="str">
        <x:v>36 объясняет компетентность Варвары, а не следствие предложения 35; предложения 53–54 связаны реакцией, а не противопоставлением.</x:v>
      </x:c>
      <x:c r="P4137" s="30" t="str">
        <x:v>Проверены тип речи и логическая связь каждой указанной пары.</x:v>
      </x:c>
      <x:c r="Q4137" s="30"/>
      <x:c r="R4137" s="30" t="str">
        <x:v>24 / 42</x:v>
      </x:c>
      <x:c r="S4137" s="30"/>
      <x:c r="T4137" s="30"/>
      <x:c r="U4137" s="30" t="str">
        <x:v>Расхождений нет.</x:v>
      </x:c>
      <x:c r="V4137" s="87" t="str">
        <x:v>VERIFIED</x:v>
      </x:c>
      <x:c r="W4137" s="87" t="str">
        <x:v>PDF p. 12 (РЯ2510301)</x:v>
      </x:c>
      <x:c r="X4137" s="87"/>
      <x:c r="Y4137" s="87"/>
      <x:c r="Z4137" s="87"/>
      <x:c r="AA4137" s="87"/>
      <x:c r="AB4137" s="87"/>
      <x:c r="AC4137" s="87"/>
      <x:c r="AD4137" s="87"/>
      <x:c r="AE4137" s="87"/>
      <x:c r="AF4137" s="87"/>
      <x:c r="AG4137" s="87"/>
      <x:c r="AH4137" s="87"/>
      <x:c r="AI4137" s="30"/>
      <x:c r="AJ4137" s="87" t="str">
        <x:v>clean</x:v>
      </x:c>
      <x:c r="AK4137" s="87" t="str">
        <x:v>clean-v0.02</x:v>
      </x:c>
      <x:c r="AL4137" s="87" t="str">
        <x:v>statgrad_clean_continuation_v0_02(1).xlsx</x:v>
      </x:c>
      <x:c r="AM4137" s="87" t="str">
        <x:v>RU_Nov_V1</x:v>
      </x:c>
      <x:c r="AN4137" s="87" t="n">
        <x:v>26</x:v>
      </x:c>
    </x:row>
    <x:row r="4138">
      <x:c r="A4138" s="87" t="n">
        <x:v>4137</x:v>
      </x:c>
      <x:c r="B4138" s="87" t="str">
        <x:v>NOV-RU-V1-025</x:v>
      </x:c>
      <x:c r="C4138" s="87" t="str">
        <x:v>СтатГрад</x:v>
      </x:c>
      <x:c r="D4138" s="87" t="str">
        <x:v>Ноябрь 2025</x:v>
      </x:c>
      <x:c r="E4138" s="87"/>
      <x:c r="F4138" s="87"/>
      <x:c r="G4138" s="87" t="str">
        <x:v>Русский язык</x:v>
      </x:c>
      <x:c r="H4138" s="87" t="n">
        <x:v>11</x:v>
      </x:c>
      <x:c r="I4138" s="87" t="str">
        <x:v>ДР №1</x:v>
      </x:c>
      <x:c r="J4138" s="87" t="str">
        <x:v>РЯ2510301</x:v>
      </x:c>
      <x:c r="K4138" s="87" t="n">
        <x:v>25</x:v>
      </x:c>
      <x:c r="L4138" s="87" t="str">
        <x:v>Фразеологизм</x:v>
      </x:c>
      <x:c r="M4138" s="30" t="str">
        <x:v>Выпишите фразеологизм из предложений 39–44.</x:v>
      </x:c>
      <x:c r="N4138" s="30" t="str">
        <x:v>пошли навстречу</x:v>
      </x:c>
      <x:c r="O4138" s="30" t="str">
        <x:v>«Пойти навстречу» означает проявить уступчивость и помочь, а не физически двигаться навстречу.</x:v>
      </x:c>
      <x:c r="P4138" s="30" t="str">
        <x:v>Значение оборота проверено в контексте предложения 43.</x:v>
      </x:c>
      <x:c r="Q4138" s="30"/>
      <x:c r="R4138" s="30" t="str">
        <x:v>одним словом / пошли навстречу / навстречу пошли / пойти навстречу / навстречу пойти</x:v>
      </x:c>
      <x:c r="S4138" s="30"/>
      <x:c r="T4138" s="30"/>
      <x:c r="U4138" s="30" t="str">
        <x:v>Использован один из официально допустимых вариантов; расхождений нет.</x:v>
      </x:c>
      <x:c r="V4138" s="87" t="str">
        <x:v>VERIFIED</x:v>
      </x:c>
      <x:c r="W4138" s="87" t="str">
        <x:v>PDF p. 12 (РЯ2510301)</x:v>
      </x:c>
      <x:c r="X4138" s="87"/>
      <x:c r="Y4138" s="87"/>
      <x:c r="Z4138" s="87"/>
      <x:c r="AA4138" s="87"/>
      <x:c r="AB4138" s="87"/>
      <x:c r="AC4138" s="87"/>
      <x:c r="AD4138" s="87"/>
      <x:c r="AE4138" s="87"/>
      <x:c r="AF4138" s="87"/>
      <x:c r="AG4138" s="87"/>
      <x:c r="AH4138" s="87"/>
      <x:c r="AI4138" s="30"/>
      <x:c r="AJ4138" s="87" t="str">
        <x:v>clean</x:v>
      </x:c>
      <x:c r="AK4138" s="87" t="str">
        <x:v>clean-v0.02</x:v>
      </x:c>
      <x:c r="AL4138" s="87" t="str">
        <x:v>statgrad_clean_continuation_v0_02(1).xlsx</x:v>
      </x:c>
      <x:c r="AM4138" s="87" t="str">
        <x:v>RU_Nov_V1</x:v>
      </x:c>
      <x:c r="AN4138" s="87" t="n">
        <x:v>27</x:v>
      </x:c>
    </x:row>
    <x:row r="4139">
      <x:c r="A4139" s="87" t="n">
        <x:v>4138</x:v>
      </x:c>
      <x:c r="B4139" s="87" t="str">
        <x:v>NOV-RU-V1-026</x:v>
      </x:c>
      <x:c r="C4139" s="87" t="str">
        <x:v>СтатГрад</x:v>
      </x:c>
      <x:c r="D4139" s="87" t="str">
        <x:v>Ноябрь 2025</x:v>
      </x:c>
      <x:c r="E4139" s="87"/>
      <x:c r="F4139" s="87"/>
      <x:c r="G4139" s="87" t="str">
        <x:v>Русский язык</x:v>
      </x:c>
      <x:c r="H4139" s="87" t="n">
        <x:v>11</x:v>
      </x:c>
      <x:c r="I4139" s="87" t="str">
        <x:v>ДР №1</x:v>
      </x:c>
      <x:c r="J4139" s="87" t="str">
        <x:v>РЯ2510301</x:v>
      </x:c>
      <x:c r="K4139" s="87" t="n">
        <x:v>26</x:v>
      </x:c>
      <x:c r="L4139" s="87" t="str">
        <x:v>Связь предложений</x:v>
      </x:c>
      <x:c r="M4139" s="30" t="str">
        <x:v>Найдите предложения 49–56, связанные с предыдущими лексическим повтором и формами слова.</x:v>
      </x:c>
      <x:c r="N4139" s="30" t="str">
        <x:v>51, 52</x:v>
      </x:c>
      <x:c r="O4139" s="30" t="str">
        <x:v>В 51-м повторяются формы местоимения «него — ним», в 52-м — формы глагола «пошёл — пошла» и местоимение «я».</x:v>
      </x:c>
      <x:c r="P4139" s="30" t="str">
        <x:v>Проверены лексические цепочки в предложениях 49–56.</x:v>
      </x:c>
      <x:c r="Q4139" s="30"/>
      <x:c r="R4139" s="30" t="str">
        <x:v>51, 52 / 52, 51</x:v>
      </x:c>
      <x:c r="S4139" s="30"/>
      <x:c r="T4139" s="30"/>
      <x:c r="U4139" s="30" t="str">
        <x:v>Использован один из официально допустимых вариантов; расхождений нет.</x:v>
      </x:c>
      <x:c r="V4139" s="87" t="str">
        <x:v>VERIFIED</x:v>
      </x:c>
      <x:c r="W4139" s="87" t="str">
        <x:v>PDF p. 12 (РЯ2510301)</x:v>
      </x:c>
      <x:c r="X4139" s="87"/>
      <x:c r="Y4139" s="87"/>
      <x:c r="Z4139" s="87"/>
      <x:c r="AA4139" s="87"/>
      <x:c r="AB4139" s="87"/>
      <x:c r="AC4139" s="87"/>
      <x:c r="AD4139" s="87"/>
      <x:c r="AE4139" s="87"/>
      <x:c r="AF4139" s="87"/>
      <x:c r="AG4139" s="87"/>
      <x:c r="AH4139" s="87"/>
      <x:c r="AI4139" s="30"/>
      <x:c r="AJ4139" s="87" t="str">
        <x:v>clean</x:v>
      </x:c>
      <x:c r="AK4139" s="87" t="str">
        <x:v>clean-v0.02</x:v>
      </x:c>
      <x:c r="AL4139" s="87" t="str">
        <x:v>statgrad_clean_continuation_v0_02(1).xlsx</x:v>
      </x:c>
      <x:c r="AM4139" s="87" t="str">
        <x:v>RU_Nov_V1</x:v>
      </x:c>
      <x:c r="AN4139" s="87" t="n">
        <x:v>28</x:v>
      </x:c>
    </x:row>
    <x:row r="4140">
      <x:c r="A4140" s="87" t="n">
        <x:v>4139</x:v>
      </x:c>
      <x:c r="B4140" s="87" t="str">
        <x:v>NOV-RU-V1-027</x:v>
      </x:c>
      <x:c r="C4140" s="87" t="str">
        <x:v>СтатГрад</x:v>
      </x:c>
      <x:c r="D4140" s="87" t="str">
        <x:v>Ноябрь 2025</x:v>
      </x:c>
      <x:c r="E4140" s="87"/>
      <x:c r="F4140" s="87"/>
      <x:c r="G4140" s="87" t="str">
        <x:v>Русский язык</x:v>
      </x:c>
      <x:c r="H4140" s="87" t="n">
        <x:v>11</x:v>
      </x:c>
      <x:c r="I4140" s="87" t="str">
        <x:v>ДР №1</x:v>
      </x:c>
      <x:c r="J4140" s="87" t="str">
        <x:v>РЯ2510301</x:v>
      </x:c>
      <x:c r="K4140" s="87" t="n">
        <x:v>27</x:v>
      </x:c>
      <x:c r="L4140" s="87" t="str">
        <x:v>Сочинение</x:v>
      </x:c>
      <x:c r="M4140" s="30" t="str">
        <x:v>Напишите сочинение-рассуждение по проблеме «В чём проявляется великодушие?»; критерии сохраняются без изменений.</x:v>
      </x:c>
      <x:c r="N4140" s="30" t="str">
        <x:v>Авторская позиция: великодушие проявляется в желании бескорыстно творить добро, в стремлении прийти на помощь и в умении быть снисходительным.</x:v>
      </x:c>
      <x:c r="O4140" s="30" t="str">
        <x:v>Варвара, несмотря на усталость, выслушивает начинающего автора и старается его не задеть; работники гостиницы продлевают жильцу срок и помогают ему. Оба эпизода показывают бескорыстную помощь и снисходительность.</x:v>
      </x:c>
      <x:c r="P4140" s="30" t="str">
        <x:v>Авторская позиция сверена с таблицей «Информация о тексте» и эпизодами рассказа.</x:v>
      </x:c>
      <x:c r="Q4140" s="30"/>
      <x:c r="R4140" s="30" t="str">
        <x:v>Критерии + авторская позиция</x:v>
      </x:c>
      <x:c r="S4140" s="30"/>
      <x:c r="T4140" s="30"/>
      <x:c r="U4140" s="30" t="str">
        <x:v>Расхождений нет.</x:v>
      </x:c>
      <x:c r="V4140" s="87" t="str">
        <x:v>VERIFIED</x:v>
      </x:c>
      <x:c r="W4140" s="87" t="str">
        <x:v>PDF p. 13 (РЯ2510301)</x:v>
      </x:c>
      <x:c r="X4140" s="87"/>
      <x:c r="Y4140" s="87"/>
      <x:c r="Z4140" s="87"/>
      <x:c r="AA4140" s="87"/>
      <x:c r="AB4140" s="87"/>
      <x:c r="AC4140" s="87"/>
      <x:c r="AD4140" s="87"/>
      <x:c r="AE4140" s="87"/>
      <x:c r="AF4140" s="87"/>
      <x:c r="AG4140" s="87"/>
      <x:c r="AH4140" s="87"/>
      <x:c r="AI4140" s="30"/>
      <x:c r="AJ4140" s="87" t="str">
        <x:v>clean</x:v>
      </x:c>
      <x:c r="AK4140" s="87" t="str">
        <x:v>clean-v0.02</x:v>
      </x:c>
      <x:c r="AL4140" s="87" t="str">
        <x:v>statgrad_clean_continuation_v0_02(1).xlsx</x:v>
      </x:c>
      <x:c r="AM4140" s="87" t="str">
        <x:v>RU_Nov_V1</x:v>
      </x:c>
      <x:c r="AN4140" s="87" t="n">
        <x:v>29</x:v>
      </x:c>
    </x:row>
    <x:row r="4141">
      <x:c r="A4141" s="87" t="n">
        <x:v>4140</x:v>
      </x:c>
      <x:c r="B4141" s="87" t="str">
        <x:v>NOV-RU-V2-001</x:v>
      </x:c>
      <x:c r="C4141" s="87" t="str">
        <x:v>СтатГрад</x:v>
      </x:c>
      <x:c r="D4141" s="87" t="str">
        <x:v>Ноябрь 2025</x:v>
      </x:c>
      <x:c r="E4141" s="87"/>
      <x:c r="F4141" s="87"/>
      <x:c r="G4141" s="87" t="str">
        <x:v>Русский язык</x:v>
      </x:c>
      <x:c r="H4141" s="87" t="n">
        <x:v>11</x:v>
      </x:c>
      <x:c r="I4141" s="87" t="str">
        <x:v>ДР №1</x:v>
      </x:c>
      <x:c r="J4141" s="87" t="str">
        <x:v>РЯ2510302</x:v>
      </x:c>
      <x:c r="K4141" s="87" t="n">
        <x:v>1</x:v>
      </x:c>
      <x:c r="L4141" s="87" t="str">
        <x:v>Средство связи / служебное слово</x:v>
      </x:c>
      <x:c r="M4141" s="30" t="str">
        <x:v>Подберите частицу сомнения в предложении о возможности измерить глубину Тихого океана.</x:v>
      </x:c>
      <x:c r="N4141" s="30" t="str">
        <x:v>вряд ли</x:v>
      </x:c>
      <x:c r="O4141" s="30" t="str">
        <x:v>Частица «вряд ли» выражает сомнение в том, что короткий лот Магеллана мог достичь океанского дна.</x:v>
      </x:c>
      <x:c r="P4141" s="30" t="str">
        <x:v>Проверено по смыслу последнего предложения и синтаксической позиции частицы.</x:v>
      </x:c>
      <x:c r="Q4141" s="30"/>
      <x:c r="R4141" s="30" t="str">
        <x:v>вряд ли / едва ли</x:v>
      </x:c>
      <x:c r="S4141" s="30"/>
      <x:c r="T4141" s="30"/>
      <x:c r="U4141" s="30" t="str">
        <x:v>Использован один из официально допустимых вариантов; расхождений нет.</x:v>
      </x:c>
      <x:c r="V4141" s="87" t="str">
        <x:v>VERIFIED</x:v>
      </x:c>
      <x:c r="W4141" s="87" t="str">
        <x:v>PDF p. 15 (РЯ2510302)</x:v>
      </x:c>
      <x:c r="X4141" s="87"/>
      <x:c r="Y4141" s="87"/>
      <x:c r="Z4141" s="87"/>
      <x:c r="AA4141" s="87"/>
      <x:c r="AB4141" s="87"/>
      <x:c r="AC4141" s="87"/>
      <x:c r="AD4141" s="87"/>
      <x:c r="AE4141" s="87"/>
      <x:c r="AF4141" s="87"/>
      <x:c r="AG4141" s="87"/>
      <x:c r="AH4141" s="87"/>
      <x:c r="AI4141" s="30"/>
      <x:c r="AJ4141" s="87" t="str">
        <x:v>clean</x:v>
      </x:c>
      <x:c r="AK4141" s="87" t="str">
        <x:v>clean-v0.02</x:v>
      </x:c>
      <x:c r="AL4141" s="87" t="str">
        <x:v>statgrad_clean_continuation_v0_02(1).xlsx</x:v>
      </x:c>
      <x:c r="AM4141" s="87" t="str">
        <x:v>RU_Nov_V2</x:v>
      </x:c>
      <x:c r="AN4141" s="87" t="n">
        <x:v>3</x:v>
      </x:c>
    </x:row>
    <x:row r="4142">
      <x:c r="A4142" s="87" t="n">
        <x:v>4141</x:v>
      </x:c>
      <x:c r="B4142" s="87" t="str">
        <x:v>NOV-RU-V2-002</x:v>
      </x:c>
      <x:c r="C4142" s="87" t="str">
        <x:v>СтатГрад</x:v>
      </x:c>
      <x:c r="D4142" s="87" t="str">
        <x:v>Ноябрь 2025</x:v>
      </x:c>
      <x:c r="E4142" s="87"/>
      <x:c r="F4142" s="87"/>
      <x:c r="G4142" s="87" t="str">
        <x:v>Русский язык</x:v>
      </x:c>
      <x:c r="H4142" s="87" t="n">
        <x:v>11</x:v>
      </x:c>
      <x:c r="I4142" s="87" t="str">
        <x:v>ДР №1</x:v>
      </x:c>
      <x:c r="J4142" s="87" t="str">
        <x:v>РЯ2510302</x:v>
      </x:c>
      <x:c r="K4142" s="87" t="n">
        <x:v>2</x:v>
      </x:c>
      <x:c r="L4142" s="87" t="str">
        <x:v>Лексическое значение</x:v>
      </x:c>
      <x:c r="M4142" s="30" t="str">
        <x:v>Определите, какие словарные значения выделенных слов соответствуют тексту о Тихом океане.</x:v>
      </x:c>
      <x:c r="N4142" s="30" t="str">
        <x:v>13</x:v>
      </x:c>
      <x:c r="O4142" s="30" t="str">
        <x:v>«Занимает полушарие» означает заполняет пространство; «плавучие сады» — образ объектов, расположенных на воде. Остальные толкования не соответствуют контексту.</x:v>
      </x:c>
      <x:c r="P4142" s="30" t="str">
        <x:v>Каждое значение сопоставлено с конкретным словоупотреблением в тексте.</x:v>
      </x:c>
      <x:c r="Q4142" s="30"/>
      <x:c r="R4142" s="30" t="str">
        <x:v>13</x:v>
      </x:c>
      <x:c r="S4142" s="30"/>
      <x:c r="T4142" s="30"/>
      <x:c r="U4142" s="30" t="str">
        <x:v>Расхождений нет.</x:v>
      </x:c>
      <x:c r="V4142" s="87" t="str">
        <x:v>VERIFIED</x:v>
      </x:c>
      <x:c r="W4142" s="87" t="str">
        <x:v>PDF p. 16 (РЯ2510302)</x:v>
      </x:c>
      <x:c r="X4142" s="87"/>
      <x:c r="Y4142" s="87"/>
      <x:c r="Z4142" s="87"/>
      <x:c r="AA4142" s="87"/>
      <x:c r="AB4142" s="87"/>
      <x:c r="AC4142" s="87"/>
      <x:c r="AD4142" s="87"/>
      <x:c r="AE4142" s="87"/>
      <x:c r="AF4142" s="87"/>
      <x:c r="AG4142" s="87"/>
      <x:c r="AH4142" s="87"/>
      <x:c r="AI4142" s="30"/>
      <x:c r="AJ4142" s="87" t="str">
        <x:v>clean</x:v>
      </x:c>
      <x:c r="AK4142" s="87" t="str">
        <x:v>clean-v0.02</x:v>
      </x:c>
      <x:c r="AL4142" s="87" t="str">
        <x:v>statgrad_clean_continuation_v0_02(1).xlsx</x:v>
      </x:c>
      <x:c r="AM4142" s="87" t="str">
        <x:v>RU_Nov_V2</x:v>
      </x:c>
      <x:c r="AN4142" s="87" t="n">
        <x:v>4</x:v>
      </x:c>
    </x:row>
    <x:row r="4143">
      <x:c r="A4143" s="87" t="n">
        <x:v>4142</x:v>
      </x:c>
      <x:c r="B4143" s="87" t="str">
        <x:v>NOV-RU-V2-003</x:v>
      </x:c>
      <x:c r="C4143" s="87" t="str">
        <x:v>СтатГрад</x:v>
      </x:c>
      <x:c r="D4143" s="87" t="str">
        <x:v>Ноябрь 2025</x:v>
      </x:c>
      <x:c r="E4143" s="87"/>
      <x:c r="F4143" s="87"/>
      <x:c r="G4143" s="87" t="str">
        <x:v>Русский язык</x:v>
      </x:c>
      <x:c r="H4143" s="87" t="n">
        <x:v>11</x:v>
      </x:c>
      <x:c r="I4143" s="87" t="str">
        <x:v>ДР №1</x:v>
      </x:c>
      <x:c r="J4143" s="87" t="str">
        <x:v>РЯ2510302</x:v>
      </x:c>
      <x:c r="K4143" s="87" t="n">
        <x:v>3</x:v>
      </x:c>
      <x:c r="L4143" s="87" t="str">
        <x:v>Характеристика текста</x:v>
      </x:c>
      <x:c r="M4143" s="30" t="str">
        <x:v>Выберите верные характеристики научно-популярного текста о Тихом океане.</x:v>
      </x:c>
      <x:c r="N4143" s="30" t="str">
        <x:v>45</x:v>
      </x:c>
      <x:c r="O4143" s="30" t="str">
        <x:v>Текст синтаксически разнообразен и содержит эпитеты, сравнения и олицетворение; он не является репортажем или официальным документом.</x:v>
      </x:c>
      <x:c r="P4143" s="30" t="str">
        <x:v>Проверены стиль, композиция, синтаксис и заявленные средства выразительности.</x:v>
      </x:c>
      <x:c r="Q4143" s="30"/>
      <x:c r="R4143" s="30" t="str">
        <x:v>45</x:v>
      </x:c>
      <x:c r="S4143" s="30"/>
      <x:c r="T4143" s="30"/>
      <x:c r="U4143" s="30" t="str">
        <x:v>Расхождений нет.</x:v>
      </x:c>
      <x:c r="V4143" s="87" t="str">
        <x:v>VERIFIED</x:v>
      </x:c>
      <x:c r="W4143" s="87" t="str">
        <x:v>PDF p. 16 (РЯ2510302)</x:v>
      </x:c>
      <x:c r="X4143" s="87"/>
      <x:c r="Y4143" s="87"/>
      <x:c r="Z4143" s="87"/>
      <x:c r="AA4143" s="87"/>
      <x:c r="AB4143" s="87"/>
      <x:c r="AC4143" s="87"/>
      <x:c r="AD4143" s="87"/>
      <x:c r="AE4143" s="87"/>
      <x:c r="AF4143" s="87"/>
      <x:c r="AG4143" s="87"/>
      <x:c r="AH4143" s="87"/>
      <x:c r="AI4143" s="30"/>
      <x:c r="AJ4143" s="87" t="str">
        <x:v>clean</x:v>
      </x:c>
      <x:c r="AK4143" s="87" t="str">
        <x:v>clean-v0.02</x:v>
      </x:c>
      <x:c r="AL4143" s="87" t="str">
        <x:v>statgrad_clean_continuation_v0_02(1).xlsx</x:v>
      </x:c>
      <x:c r="AM4143" s="87" t="str">
        <x:v>RU_Nov_V2</x:v>
      </x:c>
      <x:c r="AN4143" s="87" t="n">
        <x:v>5</x:v>
      </x:c>
    </x:row>
    <x:row r="4144">
      <x:c r="A4144" s="87" t="n">
        <x:v>4143</x:v>
      </x:c>
      <x:c r="B4144" s="87" t="str">
        <x:v>NOV-RU-V2-004</x:v>
      </x:c>
      <x:c r="C4144" s="87" t="str">
        <x:v>СтатГрад</x:v>
      </x:c>
      <x:c r="D4144" s="87" t="str">
        <x:v>Ноябрь 2025</x:v>
      </x:c>
      <x:c r="E4144" s="87"/>
      <x:c r="F4144" s="87"/>
      <x:c r="G4144" s="87" t="str">
        <x:v>Русский язык</x:v>
      </x:c>
      <x:c r="H4144" s="87" t="n">
        <x:v>11</x:v>
      </x:c>
      <x:c r="I4144" s="87" t="str">
        <x:v>ДР №1</x:v>
      </x:c>
      <x:c r="J4144" s="87" t="str">
        <x:v>РЯ2510302</x:v>
      </x:c>
      <x:c r="K4144" s="87" t="n">
        <x:v>4</x:v>
      </x:c>
      <x:c r="L4144" s="87" t="str">
        <x:v>Орфоэпия</x:v>
      </x:c>
      <x:c r="M4144" s="30" t="str">
        <x:v>Выберите слова с нормативно указанным ударением.</x:v>
      </x:c>
      <x:c r="N4144" s="30" t="str">
        <x:v>13</x:v>
      </x:c>
      <x:c r="O4144" s="30" t="str">
        <x:v>Нормативны взялАсь и мозаИчный; правильно опОшлить, озлОбить, жилОсь.</x:v>
      </x:c>
      <x:c r="P4144" s="30" t="str">
        <x:v>Ударения сверены по нормативным формам слов.</x:v>
      </x:c>
      <x:c r="Q4144" s="30"/>
      <x:c r="R4144" s="30" t="str">
        <x:v>13</x:v>
      </x:c>
      <x:c r="S4144" s="30"/>
      <x:c r="T4144" s="30"/>
      <x:c r="U4144" s="30" t="str">
        <x:v>Расхождений нет.</x:v>
      </x:c>
      <x:c r="V4144" s="87" t="str">
        <x:v>VERIFIED</x:v>
      </x:c>
      <x:c r="W4144" s="87" t="str">
        <x:v>PDF p. 17 (РЯ2510302)</x:v>
      </x:c>
      <x:c r="X4144" s="87"/>
      <x:c r="Y4144" s="87"/>
      <x:c r="Z4144" s="87"/>
      <x:c r="AA4144" s="87"/>
      <x:c r="AB4144" s="87"/>
      <x:c r="AC4144" s="87"/>
      <x:c r="AD4144" s="87"/>
      <x:c r="AE4144" s="87"/>
      <x:c r="AF4144" s="87"/>
      <x:c r="AG4144" s="87"/>
      <x:c r="AH4144" s="87"/>
      <x:c r="AI4144" s="30"/>
      <x:c r="AJ4144" s="87" t="str">
        <x:v>clean</x:v>
      </x:c>
      <x:c r="AK4144" s="87" t="str">
        <x:v>clean-v0.02</x:v>
      </x:c>
      <x:c r="AL4144" s="87" t="str">
        <x:v>statgrad_clean_continuation_v0_02(1).xlsx</x:v>
      </x:c>
      <x:c r="AM4144" s="87" t="str">
        <x:v>RU_Nov_V2</x:v>
      </x:c>
      <x:c r="AN4144" s="87" t="n">
        <x:v>6</x:v>
      </x:c>
    </x:row>
    <x:row r="4145">
      <x:c r="A4145" s="87" t="n">
        <x:v>4144</x:v>
      </x:c>
      <x:c r="B4145" s="87" t="str">
        <x:v>NOV-RU-V2-005</x:v>
      </x:c>
      <x:c r="C4145" s="87" t="str">
        <x:v>СтатГрад</x:v>
      </x:c>
      <x:c r="D4145" s="87" t="str">
        <x:v>Ноябрь 2025</x:v>
      </x:c>
      <x:c r="E4145" s="87"/>
      <x:c r="F4145" s="87"/>
      <x:c r="G4145" s="87" t="str">
        <x:v>Русский язык</x:v>
      </x:c>
      <x:c r="H4145" s="87" t="n">
        <x:v>11</x:v>
      </x:c>
      <x:c r="I4145" s="87" t="str">
        <x:v>ДР №1</x:v>
      </x:c>
      <x:c r="J4145" s="87" t="str">
        <x:v>РЯ2510302</x:v>
      </x:c>
      <x:c r="K4145" s="87" t="n">
        <x:v>5</x:v>
      </x:c>
      <x:c r="L4145" s="87" t="str">
        <x:v>Паронимы</x:v>
      </x:c>
      <x:c r="M4145" s="30" t="str">
        <x:v>Исправьте пароним в сочетании «исполнительное мастерство».</x:v>
      </x:c>
      <x:c r="N4145" s="30" t="str">
        <x:v>исполнительское</x:v>
      </x:c>
      <x:c r="O4145" s="30" t="str">
        <x:v>Мастерство исполнителя — исполнительское; «исполнительное» означает старательное, дисциплинированное.</x:v>
      </x:c>
      <x:c r="P4145" s="30" t="str">
        <x:v>Проверено различие паронимов «исполнительский — исполнительный».</x:v>
      </x:c>
      <x:c r="Q4145" s="30"/>
      <x:c r="R4145" s="30" t="str">
        <x:v>исполнительское</x:v>
      </x:c>
      <x:c r="S4145" s="30"/>
      <x:c r="T4145" s="30"/>
      <x:c r="U4145" s="30" t="str">
        <x:v>Расхождений нет.</x:v>
      </x:c>
      <x:c r="V4145" s="87" t="str">
        <x:v>VERIFIED</x:v>
      </x:c>
      <x:c r="W4145" s="87" t="str">
        <x:v>PDF p. 17 (РЯ2510302)</x:v>
      </x:c>
      <x:c r="X4145" s="87"/>
      <x:c r="Y4145" s="87"/>
      <x:c r="Z4145" s="87"/>
      <x:c r="AA4145" s="87"/>
      <x:c r="AB4145" s="87"/>
      <x:c r="AC4145" s="87"/>
      <x:c r="AD4145" s="87"/>
      <x:c r="AE4145" s="87"/>
      <x:c r="AF4145" s="87"/>
      <x:c r="AG4145" s="87"/>
      <x:c r="AH4145" s="87"/>
      <x:c r="AI4145" s="30"/>
      <x:c r="AJ4145" s="87" t="str">
        <x:v>clean</x:v>
      </x:c>
      <x:c r="AK4145" s="87" t="str">
        <x:v>clean-v0.02</x:v>
      </x:c>
      <x:c r="AL4145" s="87" t="str">
        <x:v>statgrad_clean_continuation_v0_02(1).xlsx</x:v>
      </x:c>
      <x:c r="AM4145" s="87" t="str">
        <x:v>RU_Nov_V2</x:v>
      </x:c>
      <x:c r="AN4145" s="87" t="n">
        <x:v>7</x:v>
      </x:c>
    </x:row>
    <x:row r="4146">
      <x:c r="A4146" s="87" t="n">
        <x:v>4145</x:v>
      </x:c>
      <x:c r="B4146" s="87" t="str">
        <x:v>NOV-RU-V2-006</x:v>
      </x:c>
      <x:c r="C4146" s="87" t="str">
        <x:v>СтатГрад</x:v>
      </x:c>
      <x:c r="D4146" s="87" t="str">
        <x:v>Ноябрь 2025</x:v>
      </x:c>
      <x:c r="E4146" s="87"/>
      <x:c r="F4146" s="87"/>
      <x:c r="G4146" s="87" t="str">
        <x:v>Русский язык</x:v>
      </x:c>
      <x:c r="H4146" s="87" t="n">
        <x:v>11</x:v>
      </x:c>
      <x:c r="I4146" s="87" t="str">
        <x:v>ДР №1</x:v>
      </x:c>
      <x:c r="J4146" s="87" t="str">
        <x:v>РЯ2510302</x:v>
      </x:c>
      <x:c r="K4146" s="87" t="n">
        <x:v>6</x:v>
      </x:c>
      <x:c r="L4146" s="87" t="str">
        <x:v>Лексическая норма</x:v>
      </x:c>
      <x:c r="M4146" s="30" t="str">
        <x:v>Замените неверный глагол в сочетании «сделать характеристику работнику».</x:v>
      </x:c>
      <x:c r="N4146" s="30" t="str">
        <x:v>дать</x:v>
      </x:c>
      <x:c r="O4146" s="30" t="str">
        <x:v>Нормативное сочетание — «дать характеристику».</x:v>
      </x:c>
      <x:c r="P4146" s="30" t="str">
        <x:v>Проверена нормативная лексическая сочетаемость.</x:v>
      </x:c>
      <x:c r="Q4146" s="30"/>
      <x:c r="R4146" s="30" t="str">
        <x:v>дать</x:v>
      </x:c>
      <x:c r="S4146" s="30"/>
      <x:c r="T4146" s="30"/>
      <x:c r="U4146" s="30" t="str">
        <x:v>Расхождений нет.</x:v>
      </x:c>
      <x:c r="V4146" s="87" t="str">
        <x:v>VERIFIED</x:v>
      </x:c>
      <x:c r="W4146" s="87" t="str">
        <x:v>PDF p. 17 (РЯ2510302)</x:v>
      </x:c>
      <x:c r="X4146" s="87"/>
      <x:c r="Y4146" s="87"/>
      <x:c r="Z4146" s="87"/>
      <x:c r="AA4146" s="87"/>
      <x:c r="AB4146" s="87"/>
      <x:c r="AC4146" s="87"/>
      <x:c r="AD4146" s="87"/>
      <x:c r="AE4146" s="87"/>
      <x:c r="AF4146" s="87"/>
      <x:c r="AG4146" s="87"/>
      <x:c r="AH4146" s="87"/>
      <x:c r="AI4146" s="30"/>
      <x:c r="AJ4146" s="87" t="str">
        <x:v>clean</x:v>
      </x:c>
      <x:c r="AK4146" s="87" t="str">
        <x:v>clean-v0.02</x:v>
      </x:c>
      <x:c r="AL4146" s="87" t="str">
        <x:v>statgrad_clean_continuation_v0_02(1).xlsx</x:v>
      </x:c>
      <x:c r="AM4146" s="87" t="str">
        <x:v>RU_Nov_V2</x:v>
      </x:c>
      <x:c r="AN4146" s="87" t="n">
        <x:v>8</x:v>
      </x:c>
    </x:row>
    <x:row r="4147">
      <x:c r="A4147" s="87" t="n">
        <x:v>4146</x:v>
      </x:c>
      <x:c r="B4147" s="87" t="str">
        <x:v>NOV-RU-V2-007</x:v>
      </x:c>
      <x:c r="C4147" s="87" t="str">
        <x:v>СтатГрад</x:v>
      </x:c>
      <x:c r="D4147" s="87" t="str">
        <x:v>Ноябрь 2025</x:v>
      </x:c>
      <x:c r="E4147" s="87"/>
      <x:c r="F4147" s="87"/>
      <x:c r="G4147" s="87" t="str">
        <x:v>Русский язык</x:v>
      </x:c>
      <x:c r="H4147" s="87" t="n">
        <x:v>11</x:v>
      </x:c>
      <x:c r="I4147" s="87" t="str">
        <x:v>ДР №1</x:v>
      </x:c>
      <x:c r="J4147" s="87" t="str">
        <x:v>РЯ2510302</x:v>
      </x:c>
      <x:c r="K4147" s="87" t="n">
        <x:v>7</x:v>
      </x:c>
      <x:c r="L4147" s="87" t="str">
        <x:v>Грамматическая форма</x:v>
      </x:c>
      <x:c r="M4147" s="30" t="str">
        <x:v>Исправьте ошибочную форму «выздоровлю».</x:v>
      </x:c>
      <x:c r="N4147" s="30" t="str">
        <x:v>выздоровею</x:v>
      </x:c>
      <x:c r="O4147" s="30" t="str">
        <x:v>От глагола «выздороветь» образуется форма будущего времени «выздоровею».</x:v>
      </x:c>
      <x:c r="P4147" s="30" t="str">
        <x:v>Проверено спряжение глагола «выздороветь».</x:v>
      </x:c>
      <x:c r="Q4147" s="30"/>
      <x:c r="R4147" s="30" t="str">
        <x:v>выздоровею</x:v>
      </x:c>
      <x:c r="S4147" s="30"/>
      <x:c r="T4147" s="30"/>
      <x:c r="U4147" s="30" t="str">
        <x:v>Расхождений нет.</x:v>
      </x:c>
      <x:c r="V4147" s="87" t="str">
        <x:v>VERIFIED</x:v>
      </x:c>
      <x:c r="W4147" s="87" t="str">
        <x:v>PDF p. 17 (РЯ2510302)</x:v>
      </x:c>
      <x:c r="X4147" s="87"/>
      <x:c r="Y4147" s="87"/>
      <x:c r="Z4147" s="87"/>
      <x:c r="AA4147" s="87"/>
      <x:c r="AB4147" s="87"/>
      <x:c r="AC4147" s="87"/>
      <x:c r="AD4147" s="87"/>
      <x:c r="AE4147" s="87"/>
      <x:c r="AF4147" s="87"/>
      <x:c r="AG4147" s="87"/>
      <x:c r="AH4147" s="87"/>
      <x:c r="AI4147" s="30"/>
      <x:c r="AJ4147" s="87" t="str">
        <x:v>clean</x:v>
      </x:c>
      <x:c r="AK4147" s="87" t="str">
        <x:v>clean-v0.02</x:v>
      </x:c>
      <x:c r="AL4147" s="87" t="str">
        <x:v>statgrad_clean_continuation_v0_02(1).xlsx</x:v>
      </x:c>
      <x:c r="AM4147" s="87" t="str">
        <x:v>RU_Nov_V2</x:v>
      </x:c>
      <x:c r="AN4147" s="87" t="n">
        <x:v>9</x:v>
      </x:c>
    </x:row>
    <x:row r="4148">
      <x:c r="A4148" s="87" t="n">
        <x:v>4147</x:v>
      </x:c>
      <x:c r="B4148" s="87" t="str">
        <x:v>NOV-RU-V2-008</x:v>
      </x:c>
      <x:c r="C4148" s="87" t="str">
        <x:v>СтатГрад</x:v>
      </x:c>
      <x:c r="D4148" s="87" t="str">
        <x:v>Ноябрь 2025</x:v>
      </x:c>
      <x:c r="E4148" s="87"/>
      <x:c r="F4148" s="87"/>
      <x:c r="G4148" s="87" t="str">
        <x:v>Русский язык</x:v>
      </x:c>
      <x:c r="H4148" s="87" t="n">
        <x:v>11</x:v>
      </x:c>
      <x:c r="I4148" s="87" t="str">
        <x:v>ДР №1</x:v>
      </x:c>
      <x:c r="J4148" s="87" t="str">
        <x:v>РЯ2510302</x:v>
      </x:c>
      <x:c r="K4148" s="87" t="n">
        <x:v>8</x:v>
      </x:c>
      <x:c r="L4148" s="87" t="str">
        <x:v>Грамматические ошибки</x:v>
      </x:c>
      <x:c r="M4148" s="30" t="str">
        <x:v>Соотнесите пять видов грамматических ошибок с предложениями 1–9.</x:v>
      </x:c>
      <x:c r="N4148" s="30" t="str">
        <x:v>78532</x:v>
      </x:c>
      <x:c r="O4148" s="30" t="str">
        <x:v>А–7: «поляну, залитую»; Б–8: название повести должно быть в именительном падеже; В–5: «препятствовать развитию»; Г–3: «те… находят»; Д–2: «сообщил, что».</x:v>
      </x:c>
      <x:c r="P4148" s="30" t="str">
        <x:v>Каждое предложение перестроено в нормативную форму.</x:v>
      </x:c>
      <x:c r="Q4148" s="30"/>
      <x:c r="R4148" s="30" t="str">
        <x:v>78532</x:v>
      </x:c>
      <x:c r="S4148" s="30"/>
      <x:c r="T4148" s="30"/>
      <x:c r="U4148" s="30" t="str">
        <x:v>Расхождений нет.</x:v>
      </x:c>
      <x:c r="V4148" s="87" t="str">
        <x:v>VERIFIED</x:v>
      </x:c>
      <x:c r="W4148" s="87" t="str">
        <x:v>PDF p. 18 (РЯ2510302)</x:v>
      </x:c>
      <x:c r="X4148" s="87"/>
      <x:c r="Y4148" s="87"/>
      <x:c r="Z4148" s="87"/>
      <x:c r="AA4148" s="87"/>
      <x:c r="AB4148" s="87"/>
      <x:c r="AC4148" s="87"/>
      <x:c r="AD4148" s="87"/>
      <x:c r="AE4148" s="87"/>
      <x:c r="AF4148" s="87"/>
      <x:c r="AG4148" s="87"/>
      <x:c r="AH4148" s="87"/>
      <x:c r="AI4148" s="30"/>
      <x:c r="AJ4148" s="87" t="str">
        <x:v>clean</x:v>
      </x:c>
      <x:c r="AK4148" s="87" t="str">
        <x:v>clean-v0.02</x:v>
      </x:c>
      <x:c r="AL4148" s="87" t="str">
        <x:v>statgrad_clean_continuation_v0_02(1).xlsx</x:v>
      </x:c>
      <x:c r="AM4148" s="87" t="str">
        <x:v>RU_Nov_V2</x:v>
      </x:c>
      <x:c r="AN4148" s="87" t="n">
        <x:v>10</x:v>
      </x:c>
    </x:row>
    <x:row r="4149">
      <x:c r="A4149" s="87" t="n">
        <x:v>4148</x:v>
      </x:c>
      <x:c r="B4149" s="87" t="str">
        <x:v>NOV-RU-V2-009</x:v>
      </x:c>
      <x:c r="C4149" s="87" t="str">
        <x:v>СтатГрад</x:v>
      </x:c>
      <x:c r="D4149" s="87" t="str">
        <x:v>Ноябрь 2025</x:v>
      </x:c>
      <x:c r="E4149" s="87"/>
      <x:c r="F4149" s="87"/>
      <x:c r="G4149" s="87" t="str">
        <x:v>Русский язык</x:v>
      </x:c>
      <x:c r="H4149" s="87" t="n">
        <x:v>11</x:v>
      </x:c>
      <x:c r="I4149" s="87" t="str">
        <x:v>ДР №1</x:v>
      </x:c>
      <x:c r="J4149" s="87" t="str">
        <x:v>РЯ2510302</x:v>
      </x:c>
      <x:c r="K4149" s="87" t="n">
        <x:v>9</x:v>
      </x:c>
      <x:c r="L4149" s="87" t="str">
        <x:v>Корни слов</x:v>
      </x:c>
      <x:c r="M4149" s="30" t="str">
        <x:v>Выберите ряды, где во всех словах пропущена одна и та же буква в корне.</x:v>
      </x:c>
      <x:c r="N4149" s="30" t="str">
        <x:v>345</x:v>
      </x:c>
      <x:c r="O4149" s="30" t="str">
        <x:v>В рядах 3–5 во всех словах пишутся соответственно О, Е и Е.</x:v>
      </x:c>
      <x:c r="P4149" s="30" t="str">
        <x:v>Все слова в выбранных рядах восстановлены полностью.</x:v>
      </x:c>
      <x:c r="Q4149" s="30"/>
      <x:c r="R4149" s="30" t="str">
        <x:v>345</x:v>
      </x:c>
      <x:c r="S4149" s="30"/>
      <x:c r="T4149" s="30"/>
      <x:c r="U4149" s="30" t="str">
        <x:v>Расхождений нет.</x:v>
      </x:c>
      <x:c r="V4149" s="87" t="str">
        <x:v>VERIFIED</x:v>
      </x:c>
      <x:c r="W4149" s="87" t="str">
        <x:v>PDF p. 19 (РЯ2510302)</x:v>
      </x:c>
      <x:c r="X4149" s="87"/>
      <x:c r="Y4149" s="87"/>
      <x:c r="Z4149" s="87"/>
      <x:c r="AA4149" s="87"/>
      <x:c r="AB4149" s="87"/>
      <x:c r="AC4149" s="87"/>
      <x:c r="AD4149" s="87"/>
      <x:c r="AE4149" s="87"/>
      <x:c r="AF4149" s="87"/>
      <x:c r="AG4149" s="87"/>
      <x:c r="AH4149" s="87"/>
      <x:c r="AI4149" s="30"/>
      <x:c r="AJ4149" s="87" t="str">
        <x:v>clean</x:v>
      </x:c>
      <x:c r="AK4149" s="87" t="str">
        <x:v>clean-v0.02</x:v>
      </x:c>
      <x:c r="AL4149" s="87" t="str">
        <x:v>statgrad_clean_continuation_v0_02(1).xlsx</x:v>
      </x:c>
      <x:c r="AM4149" s="87" t="str">
        <x:v>RU_Nov_V2</x:v>
      </x:c>
      <x:c r="AN4149" s="87" t="n">
        <x:v>11</x:v>
      </x:c>
    </x:row>
    <x:row r="4150">
      <x:c r="A4150" s="87" t="n">
        <x:v>4149</x:v>
      </x:c>
      <x:c r="B4150" s="87" t="str">
        <x:v>NOV-RU-V2-010</x:v>
      </x:c>
      <x:c r="C4150" s="87" t="str">
        <x:v>СтатГрад</x:v>
      </x:c>
      <x:c r="D4150" s="87" t="str">
        <x:v>Ноябрь 2025</x:v>
      </x:c>
      <x:c r="E4150" s="87"/>
      <x:c r="F4150" s="87"/>
      <x:c r="G4150" s="87" t="str">
        <x:v>Русский язык</x:v>
      </x:c>
      <x:c r="H4150" s="87" t="n">
        <x:v>11</x:v>
      </x:c>
      <x:c r="I4150" s="87" t="str">
        <x:v>ДР №1</x:v>
      </x:c>
      <x:c r="J4150" s="87" t="str">
        <x:v>РЯ2510302</x:v>
      </x:c>
      <x:c r="K4150" s="87" t="n">
        <x:v>10</x:v>
      </x:c>
      <x:c r="L4150" s="87" t="str">
        <x:v>Приставки и разделительные знаки</x:v>
      </x:c>
      <x:c r="M4150" s="30" t="str">
        <x:v>Выберите ряды с одинаковой буквой или знаком в приставках и на стыке морфем.</x:v>
      </x:c>
      <x:c r="N4150" s="30" t="str">
        <x:v>135</x:v>
      </x:c>
      <x:c r="O4150" s="30" t="str">
        <x:v>В ряду 1 пишется ПРИ; в ряду 3 — Д; в ряду 5 — разделительный Ъ.</x:v>
      </x:c>
      <x:c r="P4150" s="30" t="str">
        <x:v>Проверены морфемный состав и правила Ъ после приставок.</x:v>
      </x:c>
      <x:c r="Q4150" s="30"/>
      <x:c r="R4150" s="30" t="str">
        <x:v>135</x:v>
      </x:c>
      <x:c r="S4150" s="30"/>
      <x:c r="T4150" s="30"/>
      <x:c r="U4150" s="30" t="str">
        <x:v>Расхождений нет.</x:v>
      </x:c>
      <x:c r="V4150" s="87" t="str">
        <x:v>VERIFIED</x:v>
      </x:c>
      <x:c r="W4150" s="87" t="str">
        <x:v>PDF p. 19 (РЯ2510302)</x:v>
      </x:c>
      <x:c r="X4150" s="87"/>
      <x:c r="Y4150" s="87"/>
      <x:c r="Z4150" s="87"/>
      <x:c r="AA4150" s="87"/>
      <x:c r="AB4150" s="87"/>
      <x:c r="AC4150" s="87"/>
      <x:c r="AD4150" s="87"/>
      <x:c r="AE4150" s="87"/>
      <x:c r="AF4150" s="87"/>
      <x:c r="AG4150" s="87"/>
      <x:c r="AH4150" s="87"/>
      <x:c r="AI4150" s="30"/>
      <x:c r="AJ4150" s="87" t="str">
        <x:v>clean</x:v>
      </x:c>
      <x:c r="AK4150" s="87" t="str">
        <x:v>clean-v0.02</x:v>
      </x:c>
      <x:c r="AL4150" s="87" t="str">
        <x:v>statgrad_clean_continuation_v0_02(1).xlsx</x:v>
      </x:c>
      <x:c r="AM4150" s="87" t="str">
        <x:v>RU_Nov_V2</x:v>
      </x:c>
      <x:c r="AN4150" s="87" t="n">
        <x:v>12</x:v>
      </x:c>
    </x:row>
    <x:row r="4151">
      <x:c r="A4151" s="87" t="n">
        <x:v>4150</x:v>
      </x:c>
      <x:c r="B4151" s="87" t="str">
        <x:v>NOV-RU-V2-011</x:v>
      </x:c>
      <x:c r="C4151" s="87" t="str">
        <x:v>СтатГрад</x:v>
      </x:c>
      <x:c r="D4151" s="87" t="str">
        <x:v>Ноябрь 2025</x:v>
      </x:c>
      <x:c r="E4151" s="87"/>
      <x:c r="F4151" s="87"/>
      <x:c r="G4151" s="87" t="str">
        <x:v>Русский язык</x:v>
      </x:c>
      <x:c r="H4151" s="87" t="n">
        <x:v>11</x:v>
      </x:c>
      <x:c r="I4151" s="87" t="str">
        <x:v>ДР №1</x:v>
      </x:c>
      <x:c r="J4151" s="87" t="str">
        <x:v>РЯ2510302</x:v>
      </x:c>
      <x:c r="K4151" s="87" t="n">
        <x:v>11</x:v>
      </x:c>
      <x:c r="L4151" s="87" t="str">
        <x:v>Суффиксы</x:v>
      </x:c>
      <x:c r="M4151" s="30" t="str">
        <x:v>Выберите пары слов с одной и той же буквой в суффиксах.</x:v>
      </x:c>
      <x:c r="N4151" s="30" t="str">
        <x:v>12</x:v>
      </x:c>
      <x:c r="O4151" s="30" t="str">
        <x:v>В 1-й паре пишется И: изменчивый, белизна; во 2-й — А: досыта, расплывчатый.</x:v>
      </x:c>
      <x:c r="P4151" s="30" t="str">
        <x:v>Проверены словообразовательные суффиксы каждой пары.</x:v>
      </x:c>
      <x:c r="Q4151" s="30"/>
      <x:c r="R4151" s="30" t="str">
        <x:v>12</x:v>
      </x:c>
      <x:c r="S4151" s="30"/>
      <x:c r="T4151" s="30"/>
      <x:c r="U4151" s="30" t="str">
        <x:v>Расхождений нет.</x:v>
      </x:c>
      <x:c r="V4151" s="87" t="str">
        <x:v>VERIFIED</x:v>
      </x:c>
      <x:c r="W4151" s="87" t="str">
        <x:v>PDF p. 19 (РЯ2510302)</x:v>
      </x:c>
      <x:c r="X4151" s="87"/>
      <x:c r="Y4151" s="87"/>
      <x:c r="Z4151" s="87"/>
      <x:c r="AA4151" s="87"/>
      <x:c r="AB4151" s="87"/>
      <x:c r="AC4151" s="87"/>
      <x:c r="AD4151" s="87"/>
      <x:c r="AE4151" s="87"/>
      <x:c r="AF4151" s="87"/>
      <x:c r="AG4151" s="87"/>
      <x:c r="AH4151" s="87"/>
      <x:c r="AI4151" s="30"/>
      <x:c r="AJ4151" s="87" t="str">
        <x:v>clean</x:v>
      </x:c>
      <x:c r="AK4151" s="87" t="str">
        <x:v>clean-v0.02</x:v>
      </x:c>
      <x:c r="AL4151" s="87" t="str">
        <x:v>statgrad_clean_continuation_v0_02(1).xlsx</x:v>
      </x:c>
      <x:c r="AM4151" s="87" t="str">
        <x:v>RU_Nov_V2</x:v>
      </x:c>
      <x:c r="AN4151" s="87" t="n">
        <x:v>13</x:v>
      </x:c>
    </x:row>
    <x:row r="4152">
      <x:c r="A4152" s="87" t="n">
        <x:v>4151</x:v>
      </x:c>
      <x:c r="B4152" s="87" t="str">
        <x:v>NOV-RU-V2-012</x:v>
      </x:c>
      <x:c r="C4152" s="87" t="str">
        <x:v>СтатГрад</x:v>
      </x:c>
      <x:c r="D4152" s="87" t="str">
        <x:v>Ноябрь 2025</x:v>
      </x:c>
      <x:c r="E4152" s="87"/>
      <x:c r="F4152" s="87"/>
      <x:c r="G4152" s="87" t="str">
        <x:v>Русский язык</x:v>
      </x:c>
      <x:c r="H4152" s="87" t="n">
        <x:v>11</x:v>
      </x:c>
      <x:c r="I4152" s="87" t="str">
        <x:v>ДР №1</x:v>
      </x:c>
      <x:c r="J4152" s="87" t="str">
        <x:v>РЯ2510302</x:v>
      </x:c>
      <x:c r="K4152" s="87" t="n">
        <x:v>12</x:v>
      </x:c>
      <x:c r="L4152" s="87" t="str">
        <x:v>Окончания и суффиксы</x:v>
      </x:c>
      <x:c r="M4152" s="30" t="str">
        <x:v>Выберите пары слов с одной и той же буквой в окончаниях и суффиксах.</x:v>
      </x:c>
      <x:c r="N4152" s="30" t="str">
        <x:v>13</x:v>
      </x:c>
      <x:c r="O4152" s="30" t="str">
        <x:v>В 1-й паре пишется Е: засеешь, рокочет; в 3-й — А: тревожатся, слышат.</x:v>
      </x:c>
      <x:c r="P4152" s="30" t="str">
        <x:v>Проверены спряжение и образование причастий.</x:v>
      </x:c>
      <x:c r="Q4152" s="30"/>
      <x:c r="R4152" s="30" t="str">
        <x:v>13</x:v>
      </x:c>
      <x:c r="S4152" s="30"/>
      <x:c r="T4152" s="30"/>
      <x:c r="U4152" s="30" t="str">
        <x:v>Расхождений нет.</x:v>
      </x:c>
      <x:c r="V4152" s="87" t="str">
        <x:v>VERIFIED</x:v>
      </x:c>
      <x:c r="W4152" s="87" t="str">
        <x:v>PDF p. 19 (РЯ2510302)</x:v>
      </x:c>
      <x:c r="X4152" s="87"/>
      <x:c r="Y4152" s="87"/>
      <x:c r="Z4152" s="87"/>
      <x:c r="AA4152" s="87"/>
      <x:c r="AB4152" s="87"/>
      <x:c r="AC4152" s="87"/>
      <x:c r="AD4152" s="87"/>
      <x:c r="AE4152" s="87"/>
      <x:c r="AF4152" s="87"/>
      <x:c r="AG4152" s="87"/>
      <x:c r="AH4152" s="87"/>
      <x:c r="AI4152" s="30"/>
      <x:c r="AJ4152" s="87" t="str">
        <x:v>clean</x:v>
      </x:c>
      <x:c r="AK4152" s="87" t="str">
        <x:v>clean-v0.02</x:v>
      </x:c>
      <x:c r="AL4152" s="87" t="str">
        <x:v>statgrad_clean_continuation_v0_02(1).xlsx</x:v>
      </x:c>
      <x:c r="AM4152" s="87" t="str">
        <x:v>RU_Nov_V2</x:v>
      </x:c>
      <x:c r="AN4152" s="87" t="n">
        <x:v>14</x:v>
      </x:c>
    </x:row>
    <x:row r="4153">
      <x:c r="A4153" s="87" t="n">
        <x:v>4152</x:v>
      </x:c>
      <x:c r="B4153" s="87" t="str">
        <x:v>NOV-RU-V2-013</x:v>
      </x:c>
      <x:c r="C4153" s="87" t="str">
        <x:v>СтатГрад</x:v>
      </x:c>
      <x:c r="D4153" s="87" t="str">
        <x:v>Ноябрь 2025</x:v>
      </x:c>
      <x:c r="E4153" s="87"/>
      <x:c r="F4153" s="87"/>
      <x:c r="G4153" s="87" t="str">
        <x:v>Русский язык</x:v>
      </x:c>
      <x:c r="H4153" s="87" t="n">
        <x:v>11</x:v>
      </x:c>
      <x:c r="I4153" s="87" t="str">
        <x:v>ДР №1</x:v>
      </x:c>
      <x:c r="J4153" s="87" t="str">
        <x:v>РЯ2510302</x:v>
      </x:c>
      <x:c r="K4153" s="87" t="n">
        <x:v>13</x:v>
      </x:c>
      <x:c r="L4153" s="87" t="str">
        <x:v>НЕ / НИ со словами</x:v>
      </x:c>
      <x:c r="M4153" s="30" t="str">
        <x:v>Выберите предложения, где НЕ или НИ с выделенным словом пишется слитно.</x:v>
      </x:c>
      <x:c r="N4153" s="30" t="str">
        <x:v>45</x:v>
      </x:c>
      <x:c r="O4153" s="30" t="str">
        <x:v>Слитно пишутся «невежливо» и существительное «несходство»; остальные сочетания требуют раздельного написания.</x:v>
      </x:c>
      <x:c r="P4153" s="30" t="str">
        <x:v>Проверены зависимые слова, устойчивые сочетания и значение существительного.</x:v>
      </x:c>
      <x:c r="Q4153" s="30"/>
      <x:c r="R4153" s="30" t="str">
        <x:v>45 / 54</x:v>
      </x:c>
      <x:c r="S4153" s="30"/>
      <x:c r="T4153" s="30"/>
      <x:c r="U4153" s="30" t="str">
        <x:v>Расхождений нет.</x:v>
      </x:c>
      <x:c r="V4153" s="87" t="str">
        <x:v>VERIFIED</x:v>
      </x:c>
      <x:c r="W4153" s="87" t="str">
        <x:v>PDF p. 20 (РЯ2510302)</x:v>
      </x:c>
      <x:c r="X4153" s="87"/>
      <x:c r="Y4153" s="87"/>
      <x:c r="Z4153" s="87"/>
      <x:c r="AA4153" s="87"/>
      <x:c r="AB4153" s="87"/>
      <x:c r="AC4153" s="87"/>
      <x:c r="AD4153" s="87"/>
      <x:c r="AE4153" s="87"/>
      <x:c r="AF4153" s="87"/>
      <x:c r="AG4153" s="87"/>
      <x:c r="AH4153" s="87"/>
      <x:c r="AI4153" s="30"/>
      <x:c r="AJ4153" s="87" t="str">
        <x:v>clean</x:v>
      </x:c>
      <x:c r="AK4153" s="87" t="str">
        <x:v>clean-v0.02</x:v>
      </x:c>
      <x:c r="AL4153" s="87" t="str">
        <x:v>statgrad_clean_continuation_v0_02(1).xlsx</x:v>
      </x:c>
      <x:c r="AM4153" s="87" t="str">
        <x:v>RU_Nov_V2</x:v>
      </x:c>
      <x:c r="AN4153" s="87" t="n">
        <x:v>15</x:v>
      </x:c>
    </x:row>
    <x:row r="4154">
      <x:c r="A4154" s="87" t="n">
        <x:v>4153</x:v>
      </x:c>
      <x:c r="B4154" s="87" t="str">
        <x:v>NOV-RU-V2-014</x:v>
      </x:c>
      <x:c r="C4154" s="87" t="str">
        <x:v>СтатГрад</x:v>
      </x:c>
      <x:c r="D4154" s="87" t="str">
        <x:v>Ноябрь 2025</x:v>
      </x:c>
      <x:c r="E4154" s="87"/>
      <x:c r="F4154" s="87"/>
      <x:c r="G4154" s="87" t="str">
        <x:v>Русский язык</x:v>
      </x:c>
      <x:c r="H4154" s="87" t="n">
        <x:v>11</x:v>
      </x:c>
      <x:c r="I4154" s="87" t="str">
        <x:v>ДР №1</x:v>
      </x:c>
      <x:c r="J4154" s="87" t="str">
        <x:v>РЯ2510302</x:v>
      </x:c>
      <x:c r="K4154" s="87" t="n">
        <x:v>14</x:v>
      </x:c>
      <x:c r="L4154" s="87" t="str">
        <x:v>Слитное и раздельное написание</x:v>
      </x:c>
      <x:c r="M4154" s="30" t="str">
        <x:v>Выберите предложения, где все выделенные слова пишутся раздельно.</x:v>
      </x:c>
      <x:c r="N4154" s="30" t="str">
        <x:v>14</x:v>
      </x:c>
      <x:c r="O4154" s="30" t="str">
        <x:v>В 1-м предложении раздельны «как раз», «в одиночку»; в 4-м — «так как», «всё равно».</x:v>
      </x:c>
      <x:c r="P4154" s="30" t="str">
        <x:v>Каждое сочетание проверено по орфографическому правилу.</x:v>
      </x:c>
      <x:c r="Q4154" s="30"/>
      <x:c r="R4154" s="30" t="str">
        <x:v>14 / 41</x:v>
      </x:c>
      <x:c r="S4154" s="30"/>
      <x:c r="T4154" s="30"/>
      <x:c r="U4154" s="30" t="str">
        <x:v>Расхождений нет.</x:v>
      </x:c>
      <x:c r="V4154" s="87" t="str">
        <x:v>VERIFIED</x:v>
      </x:c>
      <x:c r="W4154" s="87" t="str">
        <x:v>PDF p. 20 (РЯ2510302)</x:v>
      </x:c>
      <x:c r="X4154" s="87"/>
      <x:c r="Y4154" s="87"/>
      <x:c r="Z4154" s="87"/>
      <x:c r="AA4154" s="87"/>
      <x:c r="AB4154" s="87"/>
      <x:c r="AC4154" s="87"/>
      <x:c r="AD4154" s="87"/>
      <x:c r="AE4154" s="87"/>
      <x:c r="AF4154" s="87"/>
      <x:c r="AG4154" s="87"/>
      <x:c r="AH4154" s="87"/>
      <x:c r="AI4154" s="30"/>
      <x:c r="AJ4154" s="87" t="str">
        <x:v>clean</x:v>
      </x:c>
      <x:c r="AK4154" s="87" t="str">
        <x:v>clean-v0.02</x:v>
      </x:c>
      <x:c r="AL4154" s="87" t="str">
        <x:v>statgrad_clean_continuation_v0_02(1).xlsx</x:v>
      </x:c>
      <x:c r="AM4154" s="87" t="str">
        <x:v>RU_Nov_V2</x:v>
      </x:c>
      <x:c r="AN4154" s="87" t="n">
        <x:v>16</x:v>
      </x:c>
    </x:row>
    <x:row r="4155">
      <x:c r="A4155" s="87" t="n">
        <x:v>4154</x:v>
      </x:c>
      <x:c r="B4155" s="87" t="str">
        <x:v>NOV-RU-V2-015</x:v>
      </x:c>
      <x:c r="C4155" s="87" t="str">
        <x:v>СтатГрад</x:v>
      </x:c>
      <x:c r="D4155" s="87" t="str">
        <x:v>Ноябрь 2025</x:v>
      </x:c>
      <x:c r="E4155" s="87"/>
      <x:c r="F4155" s="87"/>
      <x:c r="G4155" s="87" t="str">
        <x:v>Русский язык</x:v>
      </x:c>
      <x:c r="H4155" s="87" t="n">
        <x:v>11</x:v>
      </x:c>
      <x:c r="I4155" s="87" t="str">
        <x:v>ДР №1</x:v>
      </x:c>
      <x:c r="J4155" s="87" t="str">
        <x:v>РЯ2510302</x:v>
      </x:c>
      <x:c r="K4155" s="87" t="n">
        <x:v>15</x:v>
      </x:c>
      <x:c r="L4155" s="87" t="str">
        <x:v>Н / НН</x:v>
      </x:c>
      <x:c r="M4155" s="30" t="str">
        <x:v>Укажите позиции, где в словах о картинах пишется одна буква Н.</x:v>
      </x:c>
      <x:c r="N4155" s="30" t="str">
        <x:v>1345</x:v>
      </x:c>
      <x:c r="O4155" s="30" t="str">
        <x:v>Одна Н пишется в кратких причастиях «выставлены», «изображены», в прилагательном «ломаные» и существительном «длины».</x:v>
      </x:c>
      <x:c r="P4155" s="30" t="str">
        <x:v>Проверены краткие причастия, прилагательные и производные существительные.</x:v>
      </x:c>
      <x:c r="Q4155" s="30"/>
      <x:c r="R4155" s="30" t="str">
        <x:v>1345 / любая последовательность цифр</x:v>
      </x:c>
      <x:c r="S4155" s="30"/>
      <x:c r="T4155" s="30"/>
      <x:c r="U4155" s="30" t="str">
        <x:v>Расхождений нет.</x:v>
      </x:c>
      <x:c r="V4155" s="87" t="str">
        <x:v>VERIFIED</x:v>
      </x:c>
      <x:c r="W4155" s="87" t="str">
        <x:v>PDF p. 20 (РЯ2510302)</x:v>
      </x:c>
      <x:c r="X4155" s="87"/>
      <x:c r="Y4155" s="87"/>
      <x:c r="Z4155" s="87"/>
      <x:c r="AA4155" s="87"/>
      <x:c r="AB4155" s="87"/>
      <x:c r="AC4155" s="87"/>
      <x:c r="AD4155" s="87"/>
      <x:c r="AE4155" s="87"/>
      <x:c r="AF4155" s="87"/>
      <x:c r="AG4155" s="87"/>
      <x:c r="AH4155" s="87"/>
      <x:c r="AI4155" s="30"/>
      <x:c r="AJ4155" s="87" t="str">
        <x:v>clean</x:v>
      </x:c>
      <x:c r="AK4155" s="87" t="str">
        <x:v>clean-v0.02</x:v>
      </x:c>
      <x:c r="AL4155" s="87" t="str">
        <x:v>statgrad_clean_continuation_v0_02(1).xlsx</x:v>
      </x:c>
      <x:c r="AM4155" s="87" t="str">
        <x:v>RU_Nov_V2</x:v>
      </x:c>
      <x:c r="AN4155" s="87" t="n">
        <x:v>17</x:v>
      </x:c>
    </x:row>
    <x:row r="4156">
      <x:c r="A4156" s="87" t="n">
        <x:v>4155</x:v>
      </x:c>
      <x:c r="B4156" s="87" t="str">
        <x:v>NOV-RU-V2-016</x:v>
      </x:c>
      <x:c r="C4156" s="87" t="str">
        <x:v>СтатГрад</x:v>
      </x:c>
      <x:c r="D4156" s="87" t="str">
        <x:v>Ноябрь 2025</x:v>
      </x:c>
      <x:c r="E4156" s="87"/>
      <x:c r="F4156" s="87"/>
      <x:c r="G4156" s="87" t="str">
        <x:v>Русский язык</x:v>
      </x:c>
      <x:c r="H4156" s="87" t="n">
        <x:v>11</x:v>
      </x:c>
      <x:c r="I4156" s="87" t="str">
        <x:v>ДР №1</x:v>
      </x:c>
      <x:c r="J4156" s="87" t="str">
        <x:v>РЯ2510302</x:v>
      </x:c>
      <x:c r="K4156" s="87" t="n">
        <x:v>16</x:v>
      </x:c>
      <x:c r="L4156" s="87" t="str">
        <x:v>Пунктуация: одна запятая</x:v>
      </x:c>
      <x:c r="M4156" s="30" t="str">
        <x:v>Выберите предложения, в которых требуется ровно одна запятая.</x:v>
      </x:c>
      <x:c r="N4156" s="30" t="str">
        <x:v>1234</x:v>
      </x:c>
      <x:c r="O4156" s="30" t="str">
        <x:v>В 1-м одна запятая в конструкции «как…, так и…»; во 2-м — между повторяющимися «и»; в 3-м — в конструкции «то…, то…»; в 4-м — перед причастным оборотом.</x:v>
      </x:c>
      <x:c r="P4156" s="30" t="str">
        <x:v>Подсчитано полное число обязательных запятых в каждом предложении.</x:v>
      </x:c>
      <x:c r="Q4156" s="30"/>
      <x:c r="R4156" s="30" t="str">
        <x:v>1234</x:v>
      </x:c>
      <x:c r="S4156" s="30"/>
      <x:c r="T4156" s="30"/>
      <x:c r="U4156" s="30" t="str">
        <x:v>Расхождений нет.</x:v>
      </x:c>
      <x:c r="V4156" s="87" t="str">
        <x:v>VERIFIED</x:v>
      </x:c>
      <x:c r="W4156" s="87" t="str">
        <x:v>PDF p. 21 (РЯ2510302)</x:v>
      </x:c>
      <x:c r="X4156" s="87"/>
      <x:c r="Y4156" s="87"/>
      <x:c r="Z4156" s="87"/>
      <x:c r="AA4156" s="87"/>
      <x:c r="AB4156" s="87"/>
      <x:c r="AC4156" s="87"/>
      <x:c r="AD4156" s="87"/>
      <x:c r="AE4156" s="87"/>
      <x:c r="AF4156" s="87"/>
      <x:c r="AG4156" s="87"/>
      <x:c r="AH4156" s="87"/>
      <x:c r="AI4156" s="30"/>
      <x:c r="AJ4156" s="87" t="str">
        <x:v>clean</x:v>
      </x:c>
      <x:c r="AK4156" s="87" t="str">
        <x:v>clean-v0.02</x:v>
      </x:c>
      <x:c r="AL4156" s="87" t="str">
        <x:v>statgrad_clean_continuation_v0_02(1).xlsx</x:v>
      </x:c>
      <x:c r="AM4156" s="87" t="str">
        <x:v>RU_Nov_V2</x:v>
      </x:c>
      <x:c r="AN4156" s="87" t="n">
        <x:v>18</x:v>
      </x:c>
    </x:row>
    <x:row r="4157">
      <x:c r="A4157" s="87" t="n">
        <x:v>4156</x:v>
      </x:c>
      <x:c r="B4157" s="87" t="str">
        <x:v>NOV-RU-V2-017</x:v>
      </x:c>
      <x:c r="C4157" s="87" t="str">
        <x:v>СтатГрад</x:v>
      </x:c>
      <x:c r="D4157" s="87" t="str">
        <x:v>Ноябрь 2025</x:v>
      </x:c>
      <x:c r="E4157" s="87"/>
      <x:c r="F4157" s="87"/>
      <x:c r="G4157" s="87" t="str">
        <x:v>Русский язык</x:v>
      </x:c>
      <x:c r="H4157" s="87" t="n">
        <x:v>11</x:v>
      </x:c>
      <x:c r="I4157" s="87" t="str">
        <x:v>ДР №1</x:v>
      </x:c>
      <x:c r="J4157" s="87" t="str">
        <x:v>РЯ2510302</x:v>
      </x:c>
      <x:c r="K4157" s="87" t="n">
        <x:v>17</x:v>
      </x:c>
      <x:c r="L4157" s="87" t="str">
        <x:v>Обособленные конструкции</x:v>
      </x:c>
      <x:c r="M4157" s="30" t="str">
        <x:v>Расставьте запятые при обособленных определениях, деепричастном и причастном оборотах.</x:v>
      </x:c>
      <x:c r="N4157" s="30" t="str">
        <x:v>238</x:v>
      </x:c>
      <x:c r="O4157" s="30" t="str">
        <x:v>Запятая 2 обособляет определения перед местоимением, 3 открывает деепричастный оборот, 8 отделяет причастный оборот «устланную листьями».</x:v>
      </x:c>
      <x:c r="P4157" s="30" t="str">
        <x:v>Определены границы всех обособленных конструкций.</x:v>
      </x:c>
      <x:c r="Q4157" s="30"/>
      <x:c r="R4157" s="30" t="str">
        <x:v>238 / любая последовательность цифр</x:v>
      </x:c>
      <x:c r="S4157" s="30"/>
      <x:c r="T4157" s="30"/>
      <x:c r="U4157" s="30" t="str">
        <x:v>Расхождений нет.</x:v>
      </x:c>
      <x:c r="V4157" s="87" t="str">
        <x:v>VERIFIED</x:v>
      </x:c>
      <x:c r="W4157" s="87" t="str">
        <x:v>PDF p. 21 (РЯ2510302)</x:v>
      </x:c>
      <x:c r="X4157" s="87"/>
      <x:c r="Y4157" s="87"/>
      <x:c r="Z4157" s="87"/>
      <x:c r="AA4157" s="87"/>
      <x:c r="AB4157" s="87"/>
      <x:c r="AC4157" s="87"/>
      <x:c r="AD4157" s="87"/>
      <x:c r="AE4157" s="87"/>
      <x:c r="AF4157" s="87"/>
      <x:c r="AG4157" s="87"/>
      <x:c r="AH4157" s="87"/>
      <x:c r="AI4157" s="30"/>
      <x:c r="AJ4157" s="87" t="str">
        <x:v>clean</x:v>
      </x:c>
      <x:c r="AK4157" s="87" t="str">
        <x:v>clean-v0.02</x:v>
      </x:c>
      <x:c r="AL4157" s="87" t="str">
        <x:v>statgrad_clean_continuation_v0_02(1).xlsx</x:v>
      </x:c>
      <x:c r="AM4157" s="87" t="str">
        <x:v>RU_Nov_V2</x:v>
      </x:c>
      <x:c r="AN4157" s="87" t="n">
        <x:v>19</x:v>
      </x:c>
    </x:row>
    <x:row r="4158">
      <x:c r="A4158" s="87" t="n">
        <x:v>4157</x:v>
      </x:c>
      <x:c r="B4158" s="87" t="str">
        <x:v>NOV-RU-V2-018</x:v>
      </x:c>
      <x:c r="C4158" s="87" t="str">
        <x:v>СтатГрад</x:v>
      </x:c>
      <x:c r="D4158" s="87" t="str">
        <x:v>Ноябрь 2025</x:v>
      </x:c>
      <x:c r="E4158" s="87"/>
      <x:c r="F4158" s="87"/>
      <x:c r="G4158" s="87" t="str">
        <x:v>Русский язык</x:v>
      </x:c>
      <x:c r="H4158" s="87" t="n">
        <x:v>11</x:v>
      </x:c>
      <x:c r="I4158" s="87" t="str">
        <x:v>ДР №1</x:v>
      </x:c>
      <x:c r="J4158" s="87" t="str">
        <x:v>РЯ2510302</x:v>
      </x:c>
      <x:c r="K4158" s="87" t="n">
        <x:v>18</x:v>
      </x:c>
      <x:c r="L4158" s="87" t="str">
        <x:v>Вводные слова и обращения</x:v>
      </x:c>
      <x:c r="M4158" s="30" t="str">
        <x:v>Расставьте запятые в диалоге с обращением и вводным словом «кажется».</x:v>
      </x:c>
      <x:c r="N4158" s="30" t="str">
        <x:v>123</x:v>
      </x:c>
      <x:c r="O4158" s="30" t="str">
        <x:v>Обращение «друг мой» отделяется запятой 1, вводное «кажется» — запятыми 2 и 3; остальные слова являются частицами.</x:v>
      </x:c>
      <x:c r="P4158" s="30" t="str">
        <x:v>Проверены обращение, вводное слово и частицы.</x:v>
      </x:c>
      <x:c r="Q4158" s="30"/>
      <x:c r="R4158" s="30" t="str">
        <x:v>123 / любая последовательность цифр</x:v>
      </x:c>
      <x:c r="S4158" s="30"/>
      <x:c r="T4158" s="30"/>
      <x:c r="U4158" s="30" t="str">
        <x:v>Расхождений нет.</x:v>
      </x:c>
      <x:c r="V4158" s="87" t="str">
        <x:v>VERIFIED</x:v>
      </x:c>
      <x:c r="W4158" s="87" t="str">
        <x:v>PDF p. 21 (РЯ2510302)</x:v>
      </x:c>
      <x:c r="X4158" s="87"/>
      <x:c r="Y4158" s="87"/>
      <x:c r="Z4158" s="87"/>
      <x:c r="AA4158" s="87"/>
      <x:c r="AB4158" s="87"/>
      <x:c r="AC4158" s="87"/>
      <x:c r="AD4158" s="87"/>
      <x:c r="AE4158" s="87"/>
      <x:c r="AF4158" s="87"/>
      <x:c r="AG4158" s="87"/>
      <x:c r="AH4158" s="87"/>
      <x:c r="AI4158" s="30"/>
      <x:c r="AJ4158" s="87" t="str">
        <x:v>clean</x:v>
      </x:c>
      <x:c r="AK4158" s="87" t="str">
        <x:v>clean-v0.02</x:v>
      </x:c>
      <x:c r="AL4158" s="87" t="str">
        <x:v>statgrad_clean_continuation_v0_02(1).xlsx</x:v>
      </x:c>
      <x:c r="AM4158" s="87" t="str">
        <x:v>RU_Nov_V2</x:v>
      </x:c>
      <x:c r="AN4158" s="87" t="n">
        <x:v>20</x:v>
      </x:c>
    </x:row>
    <x:row r="4159">
      <x:c r="A4159" s="87" t="n">
        <x:v>4158</x:v>
      </x:c>
      <x:c r="B4159" s="87" t="str">
        <x:v>NOV-RU-V2-019</x:v>
      </x:c>
      <x:c r="C4159" s="87" t="str">
        <x:v>СтатГрад</x:v>
      </x:c>
      <x:c r="D4159" s="87" t="str">
        <x:v>Ноябрь 2025</x:v>
      </x:c>
      <x:c r="E4159" s="87"/>
      <x:c r="F4159" s="87"/>
      <x:c r="G4159" s="87" t="str">
        <x:v>Русский язык</x:v>
      </x:c>
      <x:c r="H4159" s="87" t="n">
        <x:v>11</x:v>
      </x:c>
      <x:c r="I4159" s="87" t="str">
        <x:v>ДР №1</x:v>
      </x:c>
      <x:c r="J4159" s="87" t="str">
        <x:v>РЯ2510302</x:v>
      </x:c>
      <x:c r="K4159" s="87" t="n">
        <x:v>19</x:v>
      </x:c>
      <x:c r="L4159" s="87" t="str">
        <x:v>Сложное предложение</x:v>
      </x:c>
      <x:c r="M4159" s="30" t="str">
        <x:v>Расставьте запятые в сложном предложении о поваренной книге.</x:v>
      </x:c>
      <x:c r="N4159" s="30" t="str">
        <x:v>1467</x:v>
      </x:c>
      <x:c r="O4159" s="30" t="str">
        <x:v>Запятые ставятся перед придаточным определительным (1), изъяснительным (4), между частями «чем…, тем…» (6) и перед придаточным меры (7).</x:v>
      </x:c>
      <x:c r="P4159" s="30" t="str">
        <x:v>Построена схема сложного предложения.</x:v>
      </x:c>
      <x:c r="Q4159" s="30"/>
      <x:c r="R4159" s="30" t="str">
        <x:v>1467 / любая последовательность цифр</x:v>
      </x:c>
      <x:c r="S4159" s="30"/>
      <x:c r="T4159" s="30"/>
      <x:c r="U4159" s="30" t="str">
        <x:v>Расхождений нет.</x:v>
      </x:c>
      <x:c r="V4159" s="87" t="str">
        <x:v>VERIFIED</x:v>
      </x:c>
      <x:c r="W4159" s="87" t="str">
        <x:v>PDF p. 21 (РЯ2510302)</x:v>
      </x:c>
      <x:c r="X4159" s="87"/>
      <x:c r="Y4159" s="87"/>
      <x:c r="Z4159" s="87"/>
      <x:c r="AA4159" s="87"/>
      <x:c r="AB4159" s="87"/>
      <x:c r="AC4159" s="87"/>
      <x:c r="AD4159" s="87"/>
      <x:c r="AE4159" s="87"/>
      <x:c r="AF4159" s="87"/>
      <x:c r="AG4159" s="87"/>
      <x:c r="AH4159" s="87"/>
      <x:c r="AI4159" s="30"/>
      <x:c r="AJ4159" s="87" t="str">
        <x:v>clean</x:v>
      </x:c>
      <x:c r="AK4159" s="87" t="str">
        <x:v>clean-v0.02</x:v>
      </x:c>
      <x:c r="AL4159" s="87" t="str">
        <x:v>statgrad_clean_continuation_v0_02(1).xlsx</x:v>
      </x:c>
      <x:c r="AM4159" s="87" t="str">
        <x:v>RU_Nov_V2</x:v>
      </x:c>
      <x:c r="AN4159" s="87" t="n">
        <x:v>21</x:v>
      </x:c>
    </x:row>
    <x:row r="4160">
      <x:c r="A4160" s="87" t="n">
        <x:v>4159</x:v>
      </x:c>
      <x:c r="B4160" s="87" t="str">
        <x:v>NOV-RU-V2-020</x:v>
      </x:c>
      <x:c r="C4160" s="87" t="str">
        <x:v>СтатГрад</x:v>
      </x:c>
      <x:c r="D4160" s="87" t="str">
        <x:v>Ноябрь 2025</x:v>
      </x:c>
      <x:c r="E4160" s="87"/>
      <x:c r="F4160" s="87"/>
      <x:c r="G4160" s="87" t="str">
        <x:v>Русский язык</x:v>
      </x:c>
      <x:c r="H4160" s="87" t="n">
        <x:v>11</x:v>
      </x:c>
      <x:c r="I4160" s="87" t="str">
        <x:v>ДР №1</x:v>
      </x:c>
      <x:c r="J4160" s="87" t="str">
        <x:v>РЯ2510302</x:v>
      </x:c>
      <x:c r="K4160" s="87" t="n">
        <x:v>20</x:v>
      </x:c>
      <x:c r="L4160" s="87" t="str">
        <x:v>Сложное предложение</x:v>
      </x:c>
      <x:c r="M4160" s="30" t="str">
        <x:v>Расставьте запятые в сложном предложении о парусном корабле.</x:v>
      </x:c>
      <x:c r="N4160" s="30" t="str">
        <x:v>13567</x:v>
      </x:c>
      <x:c r="O4160" s="30" t="str">
        <x:v>Нужны запятая перед «а» (1), обособление придаточного определительного (3, 5), завершение придаточного времени перед «так» (6) и запятая перед «насколько» (7).</x:v>
      </x:c>
      <x:c r="P4160" s="30" t="str">
        <x:v>Построена схема главной и вложенных придаточных частей.</x:v>
      </x:c>
      <x:c r="Q4160" s="30"/>
      <x:c r="R4160" s="30" t="str">
        <x:v>13567 / любая последовательность цифр</x:v>
      </x:c>
      <x:c r="S4160" s="30"/>
      <x:c r="T4160" s="30"/>
      <x:c r="U4160" s="30" t="str">
        <x:v>Расхождений нет.</x:v>
      </x:c>
      <x:c r="V4160" s="87" t="str">
        <x:v>VERIFIED</x:v>
      </x:c>
      <x:c r="W4160" s="87" t="str">
        <x:v>PDF p. 22 (РЯ2510302)</x:v>
      </x:c>
      <x:c r="X4160" s="87"/>
      <x:c r="Y4160" s="87"/>
      <x:c r="Z4160" s="87"/>
      <x:c r="AA4160" s="87"/>
      <x:c r="AB4160" s="87"/>
      <x:c r="AC4160" s="87"/>
      <x:c r="AD4160" s="87"/>
      <x:c r="AE4160" s="87"/>
      <x:c r="AF4160" s="87"/>
      <x:c r="AG4160" s="87"/>
      <x:c r="AH4160" s="87"/>
      <x:c r="AI4160" s="30"/>
      <x:c r="AJ4160" s="87" t="str">
        <x:v>clean</x:v>
      </x:c>
      <x:c r="AK4160" s="87" t="str">
        <x:v>clean-v0.02</x:v>
      </x:c>
      <x:c r="AL4160" s="87" t="str">
        <x:v>statgrad_clean_continuation_v0_02(1).xlsx</x:v>
      </x:c>
      <x:c r="AM4160" s="87" t="str">
        <x:v>RU_Nov_V2</x:v>
      </x:c>
      <x:c r="AN4160" s="87" t="n">
        <x:v>22</x:v>
      </x:c>
    </x:row>
    <x:row r="4161">
      <x:c r="A4161" s="87" t="n">
        <x:v>4160</x:v>
      </x:c>
      <x:c r="B4161" s="87" t="str">
        <x:v>NOV-RU-V2-021</x:v>
      </x:c>
      <x:c r="C4161" s="87" t="str">
        <x:v>СтатГрад</x:v>
      </x:c>
      <x:c r="D4161" s="87" t="str">
        <x:v>Ноябрь 2025</x:v>
      </x:c>
      <x:c r="E4161" s="87"/>
      <x:c r="F4161" s="87"/>
      <x:c r="G4161" s="87" t="str">
        <x:v>Русский язык</x:v>
      </x:c>
      <x:c r="H4161" s="87" t="n">
        <x:v>11</x:v>
      </x:c>
      <x:c r="I4161" s="87" t="str">
        <x:v>ДР №1</x:v>
      </x:c>
      <x:c r="J4161" s="87" t="str">
        <x:v>РЯ2510302</x:v>
      </x:c>
      <x:c r="K4161" s="87" t="n">
        <x:v>21</x:v>
      </x:c>
      <x:c r="L4161" s="87" t="str">
        <x:v>Пунктуационное правило</x:v>
      </x:c>
      <x:c r="M4161" s="30" t="str">
        <x:v>Найдите предложения, где двоеточие поставлено по одному и тому же правилу.</x:v>
      </x:c>
      <x:c r="N4161" s="30" t="str">
        <x:v>3567</x:v>
      </x:c>
      <x:c r="O4161" s="30" t="str">
        <x:v>В предложениях 3, 5, 6 и 7 двоеточие разделяет части бессоюзного сложного предложения, где вторая часть поясняет или раскрывает первую; в 4-м оно стоит после обобщающего слова перед перечислением.</x:v>
      </x:c>
      <x:c r="P4161" s="30" t="str">
        <x:v>Для каждого двоеточия определена синтаксическая функция.</x:v>
      </x:c>
      <x:c r="Q4161" s="30"/>
      <x:c r="R4161" s="30" t="str">
        <x:v>3567 / любая последовательность цифр</x:v>
      </x:c>
      <x:c r="S4161" s="30"/>
      <x:c r="T4161" s="30"/>
      <x:c r="U4161" s="30" t="str">
        <x:v>Расхождений нет.</x:v>
      </x:c>
      <x:c r="V4161" s="87" t="str">
        <x:v>VERIFIED</x:v>
      </x:c>
      <x:c r="W4161" s="87" t="str">
        <x:v>PDF p. 22 (РЯ2510302)</x:v>
      </x:c>
      <x:c r="X4161" s="87"/>
      <x:c r="Y4161" s="87"/>
      <x:c r="Z4161" s="87"/>
      <x:c r="AA4161" s="87"/>
      <x:c r="AB4161" s="87"/>
      <x:c r="AC4161" s="87"/>
      <x:c r="AD4161" s="87"/>
      <x:c r="AE4161" s="87"/>
      <x:c r="AF4161" s="87"/>
      <x:c r="AG4161" s="87"/>
      <x:c r="AH4161" s="87"/>
      <x:c r="AI4161" s="30"/>
      <x:c r="AJ4161" s="87" t="str">
        <x:v>clean</x:v>
      </x:c>
      <x:c r="AK4161" s="87" t="str">
        <x:v>clean-v0.02</x:v>
      </x:c>
      <x:c r="AL4161" s="87" t="str">
        <x:v>statgrad_clean_continuation_v0_02(1).xlsx</x:v>
      </x:c>
      <x:c r="AM4161" s="87" t="str">
        <x:v>RU_Nov_V2</x:v>
      </x:c>
      <x:c r="AN4161" s="87" t="n">
        <x:v>23</x:v>
      </x:c>
    </x:row>
    <x:row r="4162">
      <x:c r="A4162" s="87" t="n">
        <x:v>4161</x:v>
      </x:c>
      <x:c r="B4162" s="87" t="str">
        <x:v>NOV-RU-V2-022</x:v>
      </x:c>
      <x:c r="C4162" s="87" t="str">
        <x:v>СтатГрад</x:v>
      </x:c>
      <x:c r="D4162" s="87" t="str">
        <x:v>Ноябрь 2025</x:v>
      </x:c>
      <x:c r="E4162" s="87"/>
      <x:c r="F4162" s="87"/>
      <x:c r="G4162" s="87" t="str">
        <x:v>Русский язык</x:v>
      </x:c>
      <x:c r="H4162" s="87" t="n">
        <x:v>11</x:v>
      </x:c>
      <x:c r="I4162" s="87" t="str">
        <x:v>ДР №1</x:v>
      </x:c>
      <x:c r="J4162" s="87" t="str">
        <x:v>РЯ2510302</x:v>
      </x:c>
      <x:c r="K4162" s="87" t="n">
        <x:v>22</x:v>
      </x:c>
      <x:c r="L4162" s="87" t="str">
        <x:v>Средства выразительности</x:v>
      </x:c>
      <x:c r="M4162" s="30" t="str">
        <x:v>Соотнесите пять поэтических фрагментов с названиями средств выразительности.</x:v>
      </x:c>
      <x:c r="N4162" s="30" t="str">
        <x:v>94521</x:v>
      </x:c>
      <x:c r="O4162" s="30" t="str">
        <x:v>А — парцелляция (9), Б — метонимия (4), В — аллитерация (5), Г — анафора (2), Д — эпифора (1).</x:v>
      </x:c>
      <x:c r="P4162" s="30" t="str">
        <x:v>Каждый фрагмент проверен по формальному признаку фигуры или тропа.</x:v>
      </x:c>
      <x:c r="Q4162" s="30"/>
      <x:c r="R4162" s="30" t="str">
        <x:v>94521</x:v>
      </x:c>
      <x:c r="S4162" s="30"/>
      <x:c r="T4162" s="30"/>
      <x:c r="U4162" s="30" t="str">
        <x:v>Расхождений нет.</x:v>
      </x:c>
      <x:c r="V4162" s="87" t="str">
        <x:v>VERIFIED</x:v>
      </x:c>
      <x:c r="W4162" s="87" t="str">
        <x:v>PDF p. 23 (РЯ2510302)</x:v>
      </x:c>
      <x:c r="X4162" s="87"/>
      <x:c r="Y4162" s="87"/>
      <x:c r="Z4162" s="87"/>
      <x:c r="AA4162" s="87"/>
      <x:c r="AB4162" s="87"/>
      <x:c r="AC4162" s="87"/>
      <x:c r="AD4162" s="87"/>
      <x:c r="AE4162" s="87"/>
      <x:c r="AF4162" s="87"/>
      <x:c r="AG4162" s="87"/>
      <x:c r="AH4162" s="87"/>
      <x:c r="AI4162" s="30"/>
      <x:c r="AJ4162" s="87" t="str">
        <x:v>clean</x:v>
      </x:c>
      <x:c r="AK4162" s="87" t="str">
        <x:v>clean-v0.02</x:v>
      </x:c>
      <x:c r="AL4162" s="87" t="str">
        <x:v>statgrad_clean_continuation_v0_02(1).xlsx</x:v>
      </x:c>
      <x:c r="AM4162" s="87" t="str">
        <x:v>RU_Nov_V2</x:v>
      </x:c>
      <x:c r="AN4162" s="87" t="n">
        <x:v>24</x:v>
      </x:c>
    </x:row>
    <x:row r="4163">
      <x:c r="A4163" s="87" t="n">
        <x:v>4162</x:v>
      </x:c>
      <x:c r="B4163" s="87" t="str">
        <x:v>NOV-RU-V2-023</x:v>
      </x:c>
      <x:c r="C4163" s="87" t="str">
        <x:v>СтатГрад</x:v>
      </x:c>
      <x:c r="D4163" s="87" t="str">
        <x:v>Ноябрь 2025</x:v>
      </x:c>
      <x:c r="E4163" s="87"/>
      <x:c r="F4163" s="87"/>
      <x:c r="G4163" s="87" t="str">
        <x:v>Русский язык</x:v>
      </x:c>
      <x:c r="H4163" s="87" t="n">
        <x:v>11</x:v>
      </x:c>
      <x:c r="I4163" s="87" t="str">
        <x:v>ДР №1</x:v>
      </x:c>
      <x:c r="J4163" s="87" t="str">
        <x:v>РЯ2510302</x:v>
      </x:c>
      <x:c r="K4163" s="87" t="n">
        <x:v>23</x:v>
      </x:c>
      <x:c r="L4163" s="87" t="str">
        <x:v>Содержание текста</x:v>
      </x:c>
      <x:c r="M4163" s="30" t="str">
        <x:v>Укажите высказывания, соответствующие рассказу Варвары.</x:v>
      </x:c>
      <x:c r="N4163" s="30" t="str">
        <x:v>12</x:v>
      </x:c>
      <x:c r="O4163" s="30" t="str">
        <x:v>1 подтверждается противопоставлением «творческой» и «нормальных» командировок; 2 — прямым признанием, что жильца переписали заново вопреки месячному ограничению.</x:v>
      </x:c>
      <x:c r="P4163" s="30" t="str">
        <x:v>Все пять утверждений сопоставлены с конкретными эпизодами текста.</x:v>
      </x:c>
      <x:c r="Q4163" s="30"/>
      <x:c r="R4163" s="30" t="str">
        <x:v>12</x:v>
      </x:c>
      <x:c r="S4163" s="30"/>
      <x:c r="T4163" s="30"/>
      <x:c r="U4163" s="30" t="str">
        <x:v>Расхождений нет.</x:v>
      </x:c>
      <x:c r="V4163" s="87" t="str">
        <x:v>VERIFIED</x:v>
      </x:c>
      <x:c r="W4163" s="87" t="str">
        <x:v>PDF p. 25 (РЯ2510302)</x:v>
      </x:c>
      <x:c r="X4163" s="87"/>
      <x:c r="Y4163" s="87"/>
      <x:c r="Z4163" s="87"/>
      <x:c r="AA4163" s="87"/>
      <x:c r="AB4163" s="87"/>
      <x:c r="AC4163" s="87"/>
      <x:c r="AD4163" s="87"/>
      <x:c r="AE4163" s="87"/>
      <x:c r="AF4163" s="87"/>
      <x:c r="AG4163" s="87"/>
      <x:c r="AH4163" s="87"/>
      <x:c r="AI4163" s="30"/>
      <x:c r="AJ4163" s="87" t="str">
        <x:v>clean</x:v>
      </x:c>
      <x:c r="AK4163" s="87" t="str">
        <x:v>clean-v0.02</x:v>
      </x:c>
      <x:c r="AL4163" s="87" t="str">
        <x:v>statgrad_clean_continuation_v0_02(1).xlsx</x:v>
      </x:c>
      <x:c r="AM4163" s="87" t="str">
        <x:v>RU_Nov_V2</x:v>
      </x:c>
      <x:c r="AN4163" s="87" t="n">
        <x:v>25</x:v>
      </x:c>
    </x:row>
    <x:row r="4164">
      <x:c r="A4164" s="87" t="n">
        <x:v>4163</x:v>
      </x:c>
      <x:c r="B4164" s="87" t="str">
        <x:v>NOV-RU-V2-024</x:v>
      </x:c>
      <x:c r="C4164" s="87" t="str">
        <x:v>СтатГрад</x:v>
      </x:c>
      <x:c r="D4164" s="87" t="str">
        <x:v>Ноябрь 2025</x:v>
      </x:c>
      <x:c r="E4164" s="87"/>
      <x:c r="F4164" s="87"/>
      <x:c r="G4164" s="87" t="str">
        <x:v>Русский язык</x:v>
      </x:c>
      <x:c r="H4164" s="87" t="n">
        <x:v>11</x:v>
      </x:c>
      <x:c r="I4164" s="87" t="str">
        <x:v>ДР №1</x:v>
      </x:c>
      <x:c r="J4164" s="87" t="str">
        <x:v>РЯ2510302</x:v>
      </x:c>
      <x:c r="K4164" s="87" t="n">
        <x:v>24</x:v>
      </x:c>
      <x:c r="L4164" s="87" t="str">
        <x:v>Типы речи и смысловые отношения</x:v>
      </x:c>
      <x:c r="M4164" s="30" t="str">
        <x:v>Укажите верные характеристики фрагментов текста и смысловых отношений.</x:v>
      </x:c>
      <x:c r="N4164" s="30" t="str">
        <x:v>234</x:v>
      </x:c>
      <x:c r="O4164" s="30" t="str">
        <x:v>В 10–13 разворачивается последовательность действий; 26–27 содержат рассуждение Варвары; предложение 43 поясняет, в чём состояла помощь из предложения 42.</x:v>
      </x:c>
      <x:c r="P4164" s="30" t="str">
        <x:v>Проверены тип речи и логическая связь каждой указанной пары.</x:v>
      </x:c>
      <x:c r="Q4164" s="30"/>
      <x:c r="R4164" s="30" t="str">
        <x:v>234 / любая последовательность цифр</x:v>
      </x:c>
      <x:c r="S4164" s="30"/>
      <x:c r="T4164" s="30"/>
      <x:c r="U4164" s="30" t="str">
        <x:v>Расхождений нет.</x:v>
      </x:c>
      <x:c r="V4164" s="87" t="str">
        <x:v>VERIFIED</x:v>
      </x:c>
      <x:c r="W4164" s="87" t="str">
        <x:v>PDF p. 25 (РЯ2510302)</x:v>
      </x:c>
      <x:c r="X4164" s="87"/>
      <x:c r="Y4164" s="87"/>
      <x:c r="Z4164" s="87"/>
      <x:c r="AA4164" s="87"/>
      <x:c r="AB4164" s="87"/>
      <x:c r="AC4164" s="87"/>
      <x:c r="AD4164" s="87"/>
      <x:c r="AE4164" s="87"/>
      <x:c r="AF4164" s="87"/>
      <x:c r="AG4164" s="87"/>
      <x:c r="AH4164" s="87"/>
      <x:c r="AI4164" s="30"/>
      <x:c r="AJ4164" s="87" t="str">
        <x:v>clean</x:v>
      </x:c>
      <x:c r="AK4164" s="87" t="str">
        <x:v>clean-v0.02</x:v>
      </x:c>
      <x:c r="AL4164" s="87" t="str">
        <x:v>statgrad_clean_continuation_v0_02(1).xlsx</x:v>
      </x:c>
      <x:c r="AM4164" s="87" t="str">
        <x:v>RU_Nov_V2</x:v>
      </x:c>
      <x:c r="AN4164" s="87" t="n">
        <x:v>26</x:v>
      </x:c>
    </x:row>
    <x:row r="4165">
      <x:c r="A4165" s="87" t="n">
        <x:v>4164</x:v>
      </x:c>
      <x:c r="B4165" s="87" t="str">
        <x:v>NOV-RU-V2-025</x:v>
      </x:c>
      <x:c r="C4165" s="87" t="str">
        <x:v>СтатГрад</x:v>
      </x:c>
      <x:c r="D4165" s="87" t="str">
        <x:v>Ноябрь 2025</x:v>
      </x:c>
      <x:c r="E4165" s="87"/>
      <x:c r="F4165" s="87"/>
      <x:c r="G4165" s="87" t="str">
        <x:v>Русский язык</x:v>
      </x:c>
      <x:c r="H4165" s="87" t="n">
        <x:v>11</x:v>
      </x:c>
      <x:c r="I4165" s="87" t="str">
        <x:v>ДР №1</x:v>
      </x:c>
      <x:c r="J4165" s="87" t="str">
        <x:v>РЯ2510302</x:v>
      </x:c>
      <x:c r="K4165" s="87" t="n">
        <x:v>25</x:v>
      </x:c>
      <x:c r="L4165" s="87" t="str">
        <x:v>Фразеологизм</x:v>
      </x:c>
      <x:c r="M4165" s="30" t="str">
        <x:v>Выпишите фразеологизм из предложений 51–55.</x:v>
      </x:c>
      <x:c r="N4165" s="30" t="str">
        <x:v>сделала знак</x:v>
      </x:c>
      <x:c r="O4165" s="30" t="str">
        <x:v>«Сделать знак» означает подать условный сигнал другому человеку.</x:v>
      </x:c>
      <x:c r="P4165" s="30" t="str">
        <x:v>Значение оборота проверено в контексте предложения 51.</x:v>
      </x:c>
      <x:c r="Q4165" s="30"/>
      <x:c r="R4165" s="30" t="str">
        <x:v>сделать знак / знак сделать / знак сделала / сделала знак / себя вести / вести себя</x:v>
      </x:c>
      <x:c r="S4165" s="30"/>
      <x:c r="T4165" s="30"/>
      <x:c r="U4165" s="30" t="str">
        <x:v>Использован один из официально допустимых вариантов; расхождений нет.</x:v>
      </x:c>
      <x:c r="V4165" s="87" t="str">
        <x:v>VERIFIED</x:v>
      </x:c>
      <x:c r="W4165" s="87" t="str">
        <x:v>PDF p. 26 (РЯ2510302)</x:v>
      </x:c>
      <x:c r="X4165" s="87"/>
      <x:c r="Y4165" s="87"/>
      <x:c r="Z4165" s="87"/>
      <x:c r="AA4165" s="87"/>
      <x:c r="AB4165" s="87"/>
      <x:c r="AC4165" s="87"/>
      <x:c r="AD4165" s="87"/>
      <x:c r="AE4165" s="87"/>
      <x:c r="AF4165" s="87"/>
      <x:c r="AG4165" s="87"/>
      <x:c r="AH4165" s="87"/>
      <x:c r="AI4165" s="30"/>
      <x:c r="AJ4165" s="87" t="str">
        <x:v>clean</x:v>
      </x:c>
      <x:c r="AK4165" s="87" t="str">
        <x:v>clean-v0.02</x:v>
      </x:c>
      <x:c r="AL4165" s="87" t="str">
        <x:v>statgrad_clean_continuation_v0_02(1).xlsx</x:v>
      </x:c>
      <x:c r="AM4165" s="87" t="str">
        <x:v>RU_Nov_V2</x:v>
      </x:c>
      <x:c r="AN4165" s="87" t="n">
        <x:v>27</x:v>
      </x:c>
    </x:row>
    <x:row r="4166">
      <x:c r="A4166" s="87" t="n">
        <x:v>4165</x:v>
      </x:c>
      <x:c r="B4166" s="87" t="str">
        <x:v>NOV-RU-V2-026</x:v>
      </x:c>
      <x:c r="C4166" s="87" t="str">
        <x:v>СтатГрад</x:v>
      </x:c>
      <x:c r="D4166" s="87" t="str">
        <x:v>Ноябрь 2025</x:v>
      </x:c>
      <x:c r="E4166" s="87"/>
      <x:c r="F4166" s="87"/>
      <x:c r="G4166" s="87" t="str">
        <x:v>Русский язык</x:v>
      </x:c>
      <x:c r="H4166" s="87" t="n">
        <x:v>11</x:v>
      </x:c>
      <x:c r="I4166" s="87" t="str">
        <x:v>ДР №1</x:v>
      </x:c>
      <x:c r="J4166" s="87" t="str">
        <x:v>РЯ2510302</x:v>
      </x:c>
      <x:c r="K4166" s="87" t="n">
        <x:v>26</x:v>
      </x:c>
      <x:c r="L4166" s="87" t="str">
        <x:v>Связь предложений</x:v>
      </x:c>
      <x:c r="M4166" s="30" t="str">
        <x:v>Найдите предложение 17–29, связанное с предыдущим союзом и лексическим повтором.</x:v>
      </x:c>
      <x:c r="N4166" s="30" t="str">
        <x:v>25</x:v>
      </x:c>
      <x:c r="O4166" s="30" t="str">
        <x:v>Предложение 25 начинается союзом «а» и повторяет слово «читайте» из предложения 24.</x:v>
      </x:c>
      <x:c r="P4166" s="30" t="str">
        <x:v>Проверены союз и точный лексический повтор в предложениях 24–25.</x:v>
      </x:c>
      <x:c r="Q4166" s="30"/>
      <x:c r="R4166" s="30" t="str">
        <x:v>25</x:v>
      </x:c>
      <x:c r="S4166" s="30"/>
      <x:c r="T4166" s="30"/>
      <x:c r="U4166" s="30" t="str">
        <x:v>Расхождений нет.</x:v>
      </x:c>
      <x:c r="V4166" s="87" t="str">
        <x:v>VERIFIED</x:v>
      </x:c>
      <x:c r="W4166" s="87" t="str">
        <x:v>PDF p. 26 (РЯ2510302)</x:v>
      </x:c>
      <x:c r="X4166" s="87"/>
      <x:c r="Y4166" s="87"/>
      <x:c r="Z4166" s="87"/>
      <x:c r="AA4166" s="87"/>
      <x:c r="AB4166" s="87"/>
      <x:c r="AC4166" s="87"/>
      <x:c r="AD4166" s="87"/>
      <x:c r="AE4166" s="87"/>
      <x:c r="AF4166" s="87"/>
      <x:c r="AG4166" s="87"/>
      <x:c r="AH4166" s="87"/>
      <x:c r="AI4166" s="30"/>
      <x:c r="AJ4166" s="87" t="str">
        <x:v>clean</x:v>
      </x:c>
      <x:c r="AK4166" s="87" t="str">
        <x:v>clean-v0.02</x:v>
      </x:c>
      <x:c r="AL4166" s="87" t="str">
        <x:v>statgrad_clean_continuation_v0_02(1).xlsx</x:v>
      </x:c>
      <x:c r="AM4166" s="87" t="str">
        <x:v>RU_Nov_V2</x:v>
      </x:c>
      <x:c r="AN4166" s="87" t="n">
        <x:v>28</x:v>
      </x:c>
    </x:row>
    <x:row r="4167">
      <x:c r="A4167" s="87" t="n">
        <x:v>4166</x:v>
      </x:c>
      <x:c r="B4167" s="87" t="str">
        <x:v>NOV-RU-V2-027</x:v>
      </x:c>
      <x:c r="C4167" s="87" t="str">
        <x:v>СтатГрад</x:v>
      </x:c>
      <x:c r="D4167" s="87" t="str">
        <x:v>Ноябрь 2025</x:v>
      </x:c>
      <x:c r="E4167" s="87"/>
      <x:c r="F4167" s="87"/>
      <x:c r="G4167" s="87" t="str">
        <x:v>Русский язык</x:v>
      </x:c>
      <x:c r="H4167" s="87" t="n">
        <x:v>11</x:v>
      </x:c>
      <x:c r="I4167" s="87" t="str">
        <x:v>ДР №1</x:v>
      </x:c>
      <x:c r="J4167" s="87" t="str">
        <x:v>РЯ2510302</x:v>
      </x:c>
      <x:c r="K4167" s="87" t="n">
        <x:v>27</x:v>
      </x:c>
      <x:c r="L4167" s="87" t="str">
        <x:v>Сочинение</x:v>
      </x:c>
      <x:c r="M4167" s="30" t="str">
        <x:v>Напишите сочинение-рассуждение по проблеме «Что значит относиться к людям по-человечески?»; критерии сохраняются без изменений.</x:v>
      </x:c>
      <x:c r="N4167" s="30" t="str">
        <x:v>Авторская позиция: относиться к людям по-человечески — значит уважать их, откликаться на просьбы, входить в их положение, идти навстречу и стараться не обижать.</x:v>
      </x:c>
      <x:c r="O4167" s="30" t="str">
        <x:v>Варвара ночью выслушивает писателя, стараясь не обидеть его, а работники гостиницы продлевают срок проживания и помогают постояльцу. Эти эпизоды показывают уважение, отзывчивость и готовность войти в положение другого.</x:v>
      </x:c>
      <x:c r="P4167" s="30" t="str">
        <x:v>Авторская позиция сверена с таблицей «Информация о тексте» и эпизодами рассказа.</x:v>
      </x:c>
      <x:c r="Q4167" s="30"/>
      <x:c r="R4167" s="30" t="str">
        <x:v>Критерии + авторская позиция</x:v>
      </x:c>
      <x:c r="S4167" s="30"/>
      <x:c r="T4167" s="30"/>
      <x:c r="U4167" s="30" t="str">
        <x:v>Расхождений нет.</x:v>
      </x:c>
      <x:c r="V4167" s="87" t="str">
        <x:v>VERIFIED</x:v>
      </x:c>
      <x:c r="W4167" s="87" t="str">
        <x:v>PDF p. 26 (РЯ2510302)</x:v>
      </x:c>
      <x:c r="X4167" s="87"/>
      <x:c r="Y4167" s="87"/>
      <x:c r="Z4167" s="87"/>
      <x:c r="AA4167" s="87"/>
      <x:c r="AB4167" s="87"/>
      <x:c r="AC4167" s="87"/>
      <x:c r="AD4167" s="87"/>
      <x:c r="AE4167" s="87"/>
      <x:c r="AF4167" s="87"/>
      <x:c r="AG4167" s="87"/>
      <x:c r="AH4167" s="87"/>
      <x:c r="AI4167" s="30"/>
      <x:c r="AJ4167" s="87" t="str">
        <x:v>clean</x:v>
      </x:c>
      <x:c r="AK4167" s="87" t="str">
        <x:v>clean-v0.02</x:v>
      </x:c>
      <x:c r="AL4167" s="87" t="str">
        <x:v>statgrad_clean_continuation_v0_02(1).xlsx</x:v>
      </x:c>
      <x:c r="AM4167" s="87" t="str">
        <x:v>RU_Nov_V2</x:v>
      </x:c>
      <x:c r="AN4167" s="87" t="n">
        <x:v>29</x:v>
      </x:c>
    </x:row>
    <x:row r="4168">
      <x:c r="A4168" s="87" t="n">
        <x:v>4167</x:v>
      </x:c>
      <x:c r="B4168" s="87" t="str">
        <x:v>DEC-PHY-V1-001</x:v>
      </x:c>
      <x:c r="C4168" s="87" t="str">
        <x:v>СтатГрад</x:v>
      </x:c>
      <x:c r="D4168" s="87" t="str">
        <x:v>Декабрь 2025</x:v>
      </x:c>
      <x:c r="E4168" s="87"/>
      <x:c r="F4168" s="87"/>
      <x:c r="G4168" s="87" t="str">
        <x:v>Физика</x:v>
      </x:c>
      <x:c r="H4168" s="87" t="n">
        <x:v>11</x:v>
      </x:c>
      <x:c r="I4168" s="87" t="str">
        <x:v>ТР №2</x:v>
      </x:c>
      <x:c r="J4168" s="87" t="str">
        <x:v>ФИ2510201</x:v>
      </x:c>
      <x:c r="K4168" s="87" t="n">
        <x:v>1</x:v>
      </x:c>
      <x:c r="L4168" s="87" t="str">
        <x:v>Кинематика: график скорости</x:v>
      </x:c>
      <x:c r="M4168" s="30" t="str">
        <x:v>На рисунке приведён график зависимости проекции υ x скорости тела на ось OX от времени t. Определите проекцию ускорения тела на ось OX в течение промежутка времени от 3 с до 5 с. Ответ запишите с учётом знака проекции. Ответ: ___________________________ м/с2.</x:v>
      </x:c>
      <x:c r="N4168" s="30" t="str">
        <x:v>5</x:v>
      </x:c>
      <x:c r="O4168" s="30" t="str">
        <x:v>Ускорение равно угловому коэффициенту графика vₓ(t): Δvₓ/Δt на указанном интервале.</x:v>
      </x:c>
      <x:c r="P4168" s="30" t="str">
        <x:v>Решено независимо; формулы, единицы и визуальные данные повторно проверены.</x:v>
      </x:c>
      <x:c r="Q4168" s="30"/>
      <x:c r="R4168" s="30" t="str">
        <x:v>5</x:v>
      </x:c>
      <x:c r="S4168" s="30"/>
      <x:c r="T4168" s="30" t="str">
        <x:v>Приложенная фотография дополнительного ключа</x:v>
      </x:c>
      <x:c r="U4168" s="30" t="str">
        <x:v>Расхождений не обнаружено.</x:v>
      </x:c>
      <x:c r="V4168" s="87" t="str">
        <x:v>VERIFIED</x:v>
      </x:c>
      <x:c r="W4168" s="87" t="n">
        <x:v>4</x:v>
      </x:c>
      <x:c r="X4168" s="87"/>
      <x:c r="Y4168" s="87"/>
      <x:c r="Z4168" s="87"/>
      <x:c r="AA4168" s="87"/>
      <x:c r="AB4168" s="87"/>
      <x:c r="AC4168" s="87" t="str">
        <x:v>VIS-PHY-DEC-001</x:v>
      </x:c>
      <x:c r="AD4168" s="87"/>
      <x:c r="AE4168" s="87"/>
      <x:c r="AF4168" s="87" t="str">
        <x:v>VIS-PHY-DEC-001: 4</x:v>
      </x:c>
      <x:c r="AG4168" s="87" t="str">
        <x:v>RESOLVED</x:v>
      </x:c>
      <x:c r="AH4168" s="87" t="str">
        <x:v>CROP_VERIFIED; TASK_CROP_QA_APPROVED:USE_CONTEXT</x:v>
      </x:c>
      <x:c r="AI4168" s="30"/>
      <x:c r="AJ4168" s="87" t="str">
        <x:v>clean</x:v>
      </x:c>
      <x:c r="AK4168" s="87" t="str">
        <x:v>clean-v0.03</x:v>
      </x:c>
      <x:c r="AL4168" s="87" t="str">
        <x:v>statgrad_clean_continuation_v0_03(1).xlsx</x:v>
      </x:c>
      <x:c r="AM4168" s="87" t="str">
        <x:v>PHY_Dec_V1</x:v>
      </x:c>
      <x:c r="AN4168" s="87" t="n">
        <x:v>2</x:v>
      </x:c>
    </x:row>
    <x:row r="4169">
      <x:c r="A4169" s="87" t="n">
        <x:v>4168</x:v>
      </x:c>
      <x:c r="B4169" s="87" t="str">
        <x:v>DEC-PHY-V1-002</x:v>
      </x:c>
      <x:c r="C4169" s="87" t="str">
        <x:v>СтатГрад</x:v>
      </x:c>
      <x:c r="D4169" s="87" t="str">
        <x:v>Декабрь 2025</x:v>
      </x:c>
      <x:c r="E4169" s="87"/>
      <x:c r="F4169" s="87"/>
      <x:c r="G4169" s="87" t="str">
        <x:v>Физика</x:v>
      </x:c>
      <x:c r="H4169" s="87" t="n">
        <x:v>11</x:v>
      </x:c>
      <x:c r="I4169" s="87" t="str">
        <x:v>ТР №2</x:v>
      </x:c>
      <x:c r="J4169" s="87" t="str">
        <x:v>ФИ2510201</x:v>
      </x:c>
      <x:c r="K4169" s="87" t="n">
        <x:v>2</x:v>
      </x:c>
      <x:c r="L4169" s="87" t="str">
        <x:v>Динамика: второй закон Ньютона</x:v>
      </x:c>
      <x:c r="M4169" s="30" t="str">
        <x:v>Тележку массой 2,5 кг, находящуюся на гладком горизонтальном столе, тянут вдоль его поверхности, прикладывая неизменную по направлению силу, равную по модулю 12 Н. Чему равен модуль ускорения тележки в инерциальной системе отсчёта, связанной со столом? Ответ: ___________________________ м/с2.</x:v>
      </x:c>
      <x:c r="N4169" s="30" t="str">
        <x:v>4,8</x:v>
      </x:c>
      <x:c r="O4169" s="30" t="str">
        <x:v>На гладком столе горизонтальная равнодействующая равна приложенной силе; используется F = ma.</x:v>
      </x:c>
      <x:c r="P4169" s="30" t="str">
        <x:v>Решено независимо; формулы, единицы и визуальные данные повторно проверены.</x:v>
      </x:c>
      <x:c r="Q4169" s="30"/>
      <x:c r="R4169" s="30" t="str">
        <x:v>4,8</x:v>
      </x:c>
      <x:c r="S4169" s="30"/>
      <x:c r="T4169" s="30" t="str">
        <x:v>Приложенная фотография дополнительного ключа</x:v>
      </x:c>
      <x:c r="U4169" s="30" t="str">
        <x:v>Расхождений не обнаружено.</x:v>
      </x:c>
      <x:c r="V4169" s="87" t="str">
        <x:v>VERIFIED</x:v>
      </x:c>
      <x:c r="W4169" s="87" t="n">
        <x:v>4</x:v>
      </x:c>
      <x:c r="X4169" s="87"/>
      <x:c r="Y4169" s="87"/>
      <x:c r="Z4169" s="87"/>
      <x:c r="AA4169" s="87"/>
      <x:c r="AB4169" s="87"/>
      <x:c r="AC4169" s="87" t="str">
        <x:v>VIS-PHY-DEC-001</x:v>
      </x:c>
      <x:c r="AD4169" s="87"/>
      <x:c r="AE4169" s="87"/>
      <x:c r="AF4169" s="87" t="str">
        <x:v>VIS-PHY-DEC-001: 4</x:v>
      </x:c>
      <x:c r="AG4169" s="87" t="str">
        <x:v>RESOLVED</x:v>
      </x:c>
      <x:c r="AH4169" s="87" t="str">
        <x:v>CROP_VERIFIED</x:v>
      </x:c>
      <x:c r="AI4169" s="30"/>
      <x:c r="AJ4169" s="87" t="str">
        <x:v>clean</x:v>
      </x:c>
      <x:c r="AK4169" s="87" t="str">
        <x:v>clean-v0.03</x:v>
      </x:c>
      <x:c r="AL4169" s="87" t="str">
        <x:v>statgrad_clean_continuation_v0_03(1).xlsx</x:v>
      </x:c>
      <x:c r="AM4169" s="87" t="str">
        <x:v>PHY_Dec_V1</x:v>
      </x:c>
      <x:c r="AN4169" s="87" t="n">
        <x:v>3</x:v>
      </x:c>
    </x:row>
    <x:row r="4170">
      <x:c r="A4170" s="87" t="n">
        <x:v>4169</x:v>
      </x:c>
      <x:c r="B4170" s="87" t="str">
        <x:v>DEC-PHY-V1-003</x:v>
      </x:c>
      <x:c r="C4170" s="87" t="str">
        <x:v>СтатГрад</x:v>
      </x:c>
      <x:c r="D4170" s="87" t="str">
        <x:v>Декабрь 2025</x:v>
      </x:c>
      <x:c r="E4170" s="87"/>
      <x:c r="F4170" s="87"/>
      <x:c r="G4170" s="87" t="str">
        <x:v>Физика</x:v>
      </x:c>
      <x:c r="H4170" s="87" t="n">
        <x:v>11</x:v>
      </x:c>
      <x:c r="I4170" s="87" t="str">
        <x:v>ТР №2</x:v>
      </x:c>
      <x:c r="J4170" s="87" t="str">
        <x:v>ФИ2510201</x:v>
      </x:c>
      <x:c r="K4170" s="87" t="n">
        <x:v>3</x:v>
      </x:c>
      <x:c r="L4170" s="87" t="str">
        <x:v>Импульс: неупругое столкновение</x:v>
      </x:c>
      <x:c r="M4170" s="30" t="str">
        <x:v>Пластилиновый шарик массой 100 г, движущийся со скоростью 2 м/с, сталкивается с таким же шариком, движущимся навстречу с такой же по модулю скоростью. Чему будет равен модуль скорости этих шариков после их абсолютно неупругого столкновения, если центры шариков двигались вдоль одной прямой? Ответ: ___________________________ м/с.</x:v>
      </x:c>
      <x:c r="N4170" s="30" t="str">
        <x:v>0</x:v>
      </x:c>
      <x:c r="O4170" s="30" t="str">
        <x:v>Для абсолютно неупругого столкновения сохраняется импульс; после удара шарики движутся вместе.</x:v>
      </x:c>
      <x:c r="P4170" s="30" t="str">
        <x:v>Решено независимо; формулы, единицы и визуальные данные повторно проверены.</x:v>
      </x:c>
      <x:c r="Q4170" s="30"/>
      <x:c r="R4170" s="30" t="str">
        <x:v>0</x:v>
      </x:c>
      <x:c r="S4170" s="30"/>
      <x:c r="T4170" s="30" t="str">
        <x:v>Приложенная фотография дополнительного ключа</x:v>
      </x:c>
      <x:c r="U4170" s="30" t="str">
        <x:v>Расхождений не обнаружено.</x:v>
      </x:c>
      <x:c r="V4170" s="87" t="str">
        <x:v>VERIFIED</x:v>
      </x:c>
      <x:c r="W4170" s="87" t="n">
        <x:v>4</x:v>
      </x:c>
      <x:c r="X4170" s="87"/>
      <x:c r="Y4170" s="87"/>
      <x:c r="Z4170" s="87"/>
      <x:c r="AA4170" s="87"/>
      <x:c r="AB4170" s="87"/>
      <x:c r="AC4170" s="87" t="str">
        <x:v>VIS-PHY-DEC-001</x:v>
      </x:c>
      <x:c r="AD4170" s="87"/>
      <x:c r="AE4170" s="87"/>
      <x:c r="AF4170" s="87" t="str">
        <x:v>VIS-PHY-DEC-001: 4</x:v>
      </x:c>
      <x:c r="AG4170" s="87" t="str">
        <x:v>RESOLVED</x:v>
      </x:c>
      <x:c r="AH4170" s="87" t="str">
        <x:v>CROP_VERIFIED</x:v>
      </x:c>
      <x:c r="AI4170" s="30"/>
      <x:c r="AJ4170" s="87" t="str">
        <x:v>clean</x:v>
      </x:c>
      <x:c r="AK4170" s="87" t="str">
        <x:v>clean-v0.03</x:v>
      </x:c>
      <x:c r="AL4170" s="87" t="str">
        <x:v>statgrad_clean_continuation_v0_03(1).xlsx</x:v>
      </x:c>
      <x:c r="AM4170" s="87" t="str">
        <x:v>PHY_Dec_V1</x:v>
      </x:c>
      <x:c r="AN4170" s="87" t="n">
        <x:v>4</x:v>
      </x:c>
    </x:row>
    <x:row r="4171">
      <x:c r="A4171" s="87" t="n">
        <x:v>4170</x:v>
      </x:c>
      <x:c r="B4171" s="87" t="str">
        <x:v>DEC-PHY-V1-004</x:v>
      </x:c>
      <x:c r="C4171" s="87" t="str">
        <x:v>СтатГрад</x:v>
      </x:c>
      <x:c r="D4171" s="87" t="str">
        <x:v>Декабрь 2025</x:v>
      </x:c>
      <x:c r="E4171" s="87"/>
      <x:c r="F4171" s="87"/>
      <x:c r="G4171" s="87" t="str">
        <x:v>Физика</x:v>
      </x:c>
      <x:c r="H4171" s="87" t="n">
        <x:v>11</x:v>
      </x:c>
      <x:c r="I4171" s="87" t="str">
        <x:v>ТР №2</x:v>
      </x:c>
      <x:c r="J4171" s="87" t="str">
        <x:v>ФИ2510201</x:v>
      </x:c>
      <x:c r="K4171" s="87" t="n">
        <x:v>4</x:v>
      </x:c>
      <x:c r="L4171" s="87" t="str">
        <x:v>Гидростатика</x:v>
      </x:c>
      <x:c r="M4171" s="30" t="str">
        <x:v>Гидростатическое давление, создаваемое водой на горизонтальное дно бассейна без учёта давления атмосферы, равно 25 кПа. Чему равна глубина бассейна? Ответ: ___________________________ м.</x:v>
      </x:c>
      <x:c r="N4171" s="30" t="str">
        <x:v>2,5</x:v>
      </x:c>
      <x:c r="O4171" s="30" t="str">
        <x:v>Гидростатическое давление и глубина связаны формулой p = ρgh.</x:v>
      </x:c>
      <x:c r="P4171" s="30" t="str">
        <x:v>Решено независимо; формулы, единицы и визуальные данные повторно проверены.</x:v>
      </x:c>
      <x:c r="Q4171" s="30"/>
      <x:c r="R4171" s="30" t="str">
        <x:v>2,5</x:v>
      </x:c>
      <x:c r="S4171" s="30"/>
      <x:c r="T4171" s="30" t="str">
        <x:v>Приложенная фотография дополнительного ключа</x:v>
      </x:c>
      <x:c r="U4171" s="30" t="str">
        <x:v>Расхождений не обнаружено.</x:v>
      </x:c>
      <x:c r="V4171" s="87" t="str">
        <x:v>VERIFIED</x:v>
      </x:c>
      <x:c r="W4171" s="87" t="n">
        <x:v>4</x:v>
      </x:c>
      <x:c r="X4171" s="87"/>
      <x:c r="Y4171" s="87"/>
      <x:c r="Z4171" s="87"/>
      <x:c r="AA4171" s="87"/>
      <x:c r="AB4171" s="87"/>
      <x:c r="AC4171" s="87" t="str">
        <x:v>VIS-PHY-DEC-001</x:v>
      </x:c>
      <x:c r="AD4171" s="87"/>
      <x:c r="AE4171" s="87"/>
      <x:c r="AF4171" s="87" t="str">
        <x:v>VIS-PHY-DEC-001: 4</x:v>
      </x:c>
      <x:c r="AG4171" s="87" t="str">
        <x:v>RESOLVED</x:v>
      </x:c>
      <x:c r="AH4171" s="87" t="str">
        <x:v>CROP_VERIFIED</x:v>
      </x:c>
      <x:c r="AI4171" s="30"/>
      <x:c r="AJ4171" s="87" t="str">
        <x:v>clean</x:v>
      </x:c>
      <x:c r="AK4171" s="87" t="str">
        <x:v>clean-v0.03</x:v>
      </x:c>
      <x:c r="AL4171" s="87" t="str">
        <x:v>statgrad_clean_continuation_v0_03(1).xlsx</x:v>
      </x:c>
      <x:c r="AM4171" s="87" t="str">
        <x:v>PHY_Dec_V1</x:v>
      </x:c>
      <x:c r="AN4171" s="87" t="n">
        <x:v>5</x:v>
      </x:c>
    </x:row>
    <x:row r="4172">
      <x:c r="A4172" s="87" t="n">
        <x:v>4171</x:v>
      </x:c>
      <x:c r="B4172" s="87" t="str">
        <x:v>DEC-PHY-V1-005</x:v>
      </x:c>
      <x:c r="C4172" s="87" t="str">
        <x:v>СтатГрад</x:v>
      </x:c>
      <x:c r="D4172" s="87" t="str">
        <x:v>Декабрь 2025</x:v>
      </x:c>
      <x:c r="E4172" s="87"/>
      <x:c r="F4172" s="87"/>
      <x:c r="G4172" s="87" t="str">
        <x:v>Физика</x:v>
      </x:c>
      <x:c r="H4172" s="87" t="n">
        <x:v>11</x:v>
      </x:c>
      <x:c r="I4172" s="87" t="str">
        <x:v>ТР №2</x:v>
      </x:c>
      <x:c r="J4172" s="87" t="str">
        <x:v>ФИ2510201</x:v>
      </x:c>
      <x:c r="K4172" s="87" t="n">
        <x:v>5</x:v>
      </x:c>
      <x:c r="L4172" s="87" t="str">
        <x:v>Механика: анализ таблицы движения</x:v>
      </x:c>
      <x:c r="M4172" s="30" t="str">
        <x:v>Четыре одинаковых тела малых размеров двигались вдоль оси OX. Масса каждого тела равна 80 г. В таблице представлены зависимости координат этих тел от времени t. t, c 0 1 2 3 4 5 x1, м 0 2 4 6 8 10 x2, м 0 1 3 3 3 3 x3, м 0 1 4 9 16 25 x4, м 0 2 0 –2 0 2 Выберите из предложенных утверждений все, которые верно отражают результаты этого опыта. В ответе укажите их номера. 1) Первое тело двигалось равноускоренно. 2) Векторная сумма сил, действующих на второе тело в интервале времени от 2 с до 5 с, равна нулю. 3) Ускорение третьего тела равно 1 м/с2. 4) Период колебаний четвертого тела равен 2 с. 5) В момент времени 4 с кинетическая энергия первого тела была равна 0,16 Дж. Ответ: ___________________________.</x:v>
      </x:c>
      <x:c r="N4172" s="30" t="str">
        <x:v>25</x:v>
      </x:c>
      <x:c r="O4172" s="30" t="str">
        <x:v>Из x₁=2t следует равномерное движение и K=0,16 Дж; x₂ постоянно после 2 с; x₃=t² соответствует a=2 м/с²; x₄ повторяется с периодом 4 с. Отбор выполнен по формулировкам варианта.</x:v>
      </x:c>
      <x:c r="P4172" s="30" t="str">
        <x:v>Решено независимо; формулы, единицы и визуальные данные повторно проверены.</x:v>
      </x:c>
      <x:c r="Q4172" s="30"/>
      <x:c r="R4172" s="30" t="str">
        <x:v>25</x:v>
      </x:c>
      <x:c r="S4172" s="30"/>
      <x:c r="T4172" s="30" t="str">
        <x:v>Официальная таблица ответов в PDF критериев</x:v>
      </x:c>
      <x:c r="U4172" s="30" t="str">
        <x:v>Расхождений не обнаружено.</x:v>
      </x:c>
      <x:c r="V4172" s="87" t="str">
        <x:v>VERIFIED</x:v>
      </x:c>
      <x:c r="W4172" s="87" t="n">
        <x:v>5</x:v>
      </x:c>
      <x:c r="X4172" s="87"/>
      <x:c r="Y4172" s="87"/>
      <x:c r="Z4172" s="87"/>
      <x:c r="AA4172" s="87"/>
      <x:c r="AB4172" s="87"/>
      <x:c r="AC4172" s="87" t="str">
        <x:v>VIS-PHY-DEC-002</x:v>
      </x:c>
      <x:c r="AD4172" s="87"/>
      <x:c r="AE4172" s="87"/>
      <x:c r="AF4172" s="87" t="str">
        <x:v>VIS-PHY-DEC-002: 5</x:v>
      </x:c>
      <x:c r="AG4172" s="87" t="str">
        <x:v>RESOLVED</x:v>
      </x:c>
      <x:c r="AH4172" s="87" t="str">
        <x:v>CROP_VERIFIED; TASK_CROP_QA_APPROVED:USE_TIGHT</x:v>
      </x:c>
      <x:c r="AI4172" s="30"/>
      <x:c r="AJ4172" s="87" t="str">
        <x:v>clean</x:v>
      </x:c>
      <x:c r="AK4172" s="87" t="str">
        <x:v>clean-v0.03</x:v>
      </x:c>
      <x:c r="AL4172" s="87" t="str">
        <x:v>statgrad_clean_continuation_v0_03(1).xlsx</x:v>
      </x:c>
      <x:c r="AM4172" s="87" t="str">
        <x:v>PHY_Dec_V1</x:v>
      </x:c>
      <x:c r="AN4172" s="87" t="n">
        <x:v>6</x:v>
      </x:c>
    </x:row>
    <x:row r="4173">
      <x:c r="A4173" s="87" t="n">
        <x:v>4172</x:v>
      </x:c>
      <x:c r="B4173" s="87" t="str">
        <x:v>DEC-PHY-V1-006</x:v>
      </x:c>
      <x:c r="C4173" s="87" t="str">
        <x:v>СтатГрад</x:v>
      </x:c>
      <x:c r="D4173" s="87" t="str">
        <x:v>Декабрь 2025</x:v>
      </x:c>
      <x:c r="E4173" s="87"/>
      <x:c r="F4173" s="87"/>
      <x:c r="G4173" s="87" t="str">
        <x:v>Физика</x:v>
      </x:c>
      <x:c r="H4173" s="87" t="n">
        <x:v>11</x:v>
      </x:c>
      <x:c r="I4173" s="87" t="str">
        <x:v>ТР №2</x:v>
      </x:c>
      <x:c r="J4173" s="87" t="str">
        <x:v>ФИ2510201</x:v>
      </x:c>
      <x:c r="K4173" s="87" t="n">
        <x:v>6</x:v>
      </x:c>
      <x:c r="L4173" s="87" t="str">
        <x:v>Баллистика: соответствие графиков</x:v>
      </x:c>
      <x:c r="M4173" s="30" t="str">
        <x:v>Мячик бросают с начальной скоростью под углом α к горизонту с крыши дома высотой h (см. рисунок). Сопротивление воздуха пренебрежимо мало. Графики А) и Б) представляют собой зависимости физических величин, характеризующих движение мячика в процессе полёта, от времени t.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 ФИЗИЧЕСКАЯ ВЕЛИЧИНА А) 1) координата х мячика 2) проекция импульса мячика на ось X 3) кинетическая энергия мячика 4) координата y мячика Б) А Б Ответ:</x:v>
      </x:c>
      <x:c r="N4173" s="30" t="str">
        <x:v>42</x:v>
      </x:c>
      <x:c r="O4173" s="30" t="str">
        <x:v>Горизонтальная координата/импульс изменяются линейно или остаются постоянными; вертикальная координата и кинетическая энергия имеют квадратичную зависимость. Графики сверены визуально.</x:v>
      </x:c>
      <x:c r="P4173" s="30" t="str">
        <x:v>Решено независимо; формулы, единицы и визуальные данные повторно проверены.</x:v>
      </x:c>
      <x:c r="Q4173" s="30"/>
      <x:c r="R4173" s="30" t="str">
        <x:v>42</x:v>
      </x:c>
      <x:c r="S4173" s="30"/>
      <x:c r="T4173" s="30" t="str">
        <x:v>Приложенная фотография дополнительного ключа</x:v>
      </x:c>
      <x:c r="U4173" s="30" t="str">
        <x:v>Расхождений не обнаружено.</x:v>
      </x:c>
      <x:c r="V4173" s="87" t="str">
        <x:v>VERIFIED</x:v>
      </x:c>
      <x:c r="W4173" s="87" t="n">
        <x:v>6</x:v>
      </x:c>
      <x:c r="X4173" s="87"/>
      <x:c r="Y4173" s="87"/>
      <x:c r="Z4173" s="87"/>
      <x:c r="AA4173" s="87"/>
      <x:c r="AB4173" s="87"/>
      <x:c r="AC4173" s="87" t="str">
        <x:v>VIS-PHY-DEC-003</x:v>
      </x:c>
      <x:c r="AD4173" s="87"/>
      <x:c r="AE4173" s="87"/>
      <x:c r="AF4173" s="87" t="str">
        <x:v>VIS-PHY-DEC-003: 6</x:v>
      </x:c>
      <x:c r="AG4173" s="87" t="str">
        <x:v>RESOLVED</x:v>
      </x:c>
      <x:c r="AH4173" s="87" t="str">
        <x:v>CROP_VERIFIED; TASK_CROP_QA_APPROVED:COMPOSITE_CROP</x:v>
      </x:c>
      <x:c r="AI4173" s="30"/>
      <x:c r="AJ4173" s="87" t="str">
        <x:v>clean</x:v>
      </x:c>
      <x:c r="AK4173" s="87" t="str">
        <x:v>clean-v0.03</x:v>
      </x:c>
      <x:c r="AL4173" s="87" t="str">
        <x:v>statgrad_clean_continuation_v0_03(1).xlsx</x:v>
      </x:c>
      <x:c r="AM4173" s="87" t="str">
        <x:v>PHY_Dec_V1</x:v>
      </x:c>
      <x:c r="AN4173" s="87" t="n">
        <x:v>7</x:v>
      </x:c>
    </x:row>
    <x:row r="4174">
      <x:c r="A4174" s="87" t="n">
        <x:v>4173</x:v>
      </x:c>
      <x:c r="B4174" s="87" t="str">
        <x:v>DEC-PHY-V1-007</x:v>
      </x:c>
      <x:c r="C4174" s="87" t="str">
        <x:v>СтатГрад</x:v>
      </x:c>
      <x:c r="D4174" s="87" t="str">
        <x:v>Декабрь 2025</x:v>
      </x:c>
      <x:c r="E4174" s="87"/>
      <x:c r="F4174" s="87"/>
      <x:c r="G4174" s="87" t="str">
        <x:v>Физика</x:v>
      </x:c>
      <x:c r="H4174" s="87" t="n">
        <x:v>11</x:v>
      </x:c>
      <x:c r="I4174" s="87" t="str">
        <x:v>ТР №2</x:v>
      </x:c>
      <x:c r="J4174" s="87" t="str">
        <x:v>ФИ2510201</x:v>
      </x:c>
      <x:c r="K4174" s="87" t="n">
        <x:v>7</x:v>
      </x:c>
      <x:c r="L4174" s="87" t="str">
        <x:v>МКТ идеального газа</x:v>
      </x:c>
      <x:c r="M4174" s="30" t="str">
        <x:v>При охлаждении одноатомного идеального газа средняя кинетическая энергия теплового движения его молекул уменьшилась в 4 раза. Определите отношение абсолютных температур газа в конечном и начальном состояниях Т 2 /Т 1 . Ответ: ___________________________.</x:v>
      </x:c>
      <x:c r="N4174" s="30" t="str">
        <x:v>0,25</x:v>
      </x:c>
      <x:c r="O4174" s="30" t="str">
        <x:v>Средняя кинетическая энергия поступательного движения молекул прямо пропорциональна абсолютной температуре.</x:v>
      </x:c>
      <x:c r="P4174" s="30" t="str">
        <x:v>Решено независимо; формулы, единицы и визуальные данные повторно проверены.</x:v>
      </x:c>
      <x:c r="Q4174" s="30"/>
      <x:c r="R4174" s="30" t="str">
        <x:v>5</x:v>
      </x:c>
      <x:c r="S4174" s="30"/>
      <x:c r="T4174" s="30" t="str">
        <x:v>Приложенная фотография дополнительного ключа</x:v>
      </x:c>
      <x:c r="U4174" s="30" t="str">
        <x:v>Официальный фото-ключ ошибочно повторяет ответ другого задания; принят независимо полученный физически верный ответ.</x:v>
      </x:c>
      <x:c r="V4174" s="87" t="str">
        <x:v>KEY_MISMATCH</x:v>
      </x:c>
      <x:c r="W4174" s="87" t="n">
        <x:v>6</x:v>
      </x:c>
      <x:c r="X4174" s="87"/>
      <x:c r="Y4174" s="87"/>
      <x:c r="Z4174" s="87"/>
      <x:c r="AA4174" s="87"/>
      <x:c r="AB4174" s="87"/>
      <x:c r="AC4174" s="87" t="str">
        <x:v>VIS-PHY-DEC-003</x:v>
      </x:c>
      <x:c r="AD4174" s="87"/>
      <x:c r="AE4174" s="87"/>
      <x:c r="AF4174" s="87" t="str">
        <x:v>VIS-PHY-DEC-003: 6</x:v>
      </x:c>
      <x:c r="AG4174" s="87" t="str">
        <x:v>RESOLVED</x:v>
      </x:c>
      <x:c r="AH4174" s="87" t="str">
        <x:v>CROP_VERIFIED</x:v>
      </x:c>
      <x:c r="AI4174" s="30"/>
      <x:c r="AJ4174" s="87" t="str">
        <x:v>clean</x:v>
      </x:c>
      <x:c r="AK4174" s="87" t="str">
        <x:v>clean-v0.03</x:v>
      </x:c>
      <x:c r="AL4174" s="87" t="str">
        <x:v>statgrad_clean_continuation_v0_03(1).xlsx</x:v>
      </x:c>
      <x:c r="AM4174" s="87" t="str">
        <x:v>PHY_Dec_V1</x:v>
      </x:c>
      <x:c r="AN4174" s="87" t="n">
        <x:v>8</x:v>
      </x:c>
    </x:row>
    <x:row r="4175">
      <x:c r="A4175" s="87" t="n">
        <x:v>4174</x:v>
      </x:c>
      <x:c r="B4175" s="87" t="str">
        <x:v>DEC-PHY-V1-008</x:v>
      </x:c>
      <x:c r="C4175" s="87" t="str">
        <x:v>СтатГрад</x:v>
      </x:c>
      <x:c r="D4175" s="87" t="str">
        <x:v>Декабрь 2025</x:v>
      </x:c>
      <x:c r="E4175" s="87"/>
      <x:c r="F4175" s="87"/>
      <x:c r="G4175" s="87" t="str">
        <x:v>Физика</x:v>
      </x:c>
      <x:c r="H4175" s="87" t="n">
        <x:v>11</x:v>
      </x:c>
      <x:c r="I4175" s="87" t="str">
        <x:v>ТР №2</x:v>
      </x:c>
      <x:c r="J4175" s="87" t="str">
        <x:v>ФИ2510201</x:v>
      </x:c>
      <x:c r="K4175" s="87" t="n">
        <x:v>8</x:v>
      </x:c>
      <x:c r="L4175" s="87" t="str">
        <x:v>Первый закон термодинамики</x:v>
      </x:c>
      <x:c r="M4175" s="30" t="str">
        <x:v>Газ совершил работу 15 кДж и получил количество теплоты 6,2 кДж. На сколько уменьшилась при этом внутренняя энергия газа? Ответ: ___________________________ кДж.</x:v>
      </x:c>
      <x:c r="N4175" s="30" t="str">
        <x:v>8,8</x:v>
      </x:c>
      <x:c r="O4175" s="30" t="str">
        <x:v>По первому закону термодинамики ΔU = Q − A, где A — работа, совершённая газом.</x:v>
      </x:c>
      <x:c r="P4175" s="30" t="str">
        <x:v>Решено независимо; формулы, единицы и визуальные данные повторно проверены.</x:v>
      </x:c>
      <x:c r="Q4175" s="30"/>
      <x:c r="R4175" s="30" t="str">
        <x:v>4,8</x:v>
      </x:c>
      <x:c r="S4175" s="30"/>
      <x:c r="T4175" s="30" t="str">
        <x:v>Приложенная фотография дополнительного ключа</x:v>
      </x:c>
      <x:c r="U4175" s="30" t="str">
        <x:v>Официальный фото-ключ ошибочно повторяет ответ другого задания; принят независимо полученный физически верный ответ.</x:v>
      </x:c>
      <x:c r="V4175" s="87" t="str">
        <x:v>KEY_MISMATCH</x:v>
      </x:c>
      <x:c r="W4175" s="87" t="n">
        <x:v>6</x:v>
      </x:c>
      <x:c r="X4175" s="87"/>
      <x:c r="Y4175" s="87"/>
      <x:c r="Z4175" s="87"/>
      <x:c r="AA4175" s="87"/>
      <x:c r="AB4175" s="87"/>
      <x:c r="AC4175" s="87" t="str">
        <x:v>VIS-PHY-DEC-003</x:v>
      </x:c>
      <x:c r="AD4175" s="87"/>
      <x:c r="AE4175" s="87"/>
      <x:c r="AF4175" s="87" t="str">
        <x:v>VIS-PHY-DEC-003: 6</x:v>
      </x:c>
      <x:c r="AG4175" s="87" t="str">
        <x:v>RESOLVED</x:v>
      </x:c>
      <x:c r="AH4175" s="87" t="str">
        <x:v>CROP_VERIFIED</x:v>
      </x:c>
      <x:c r="AI4175" s="30"/>
      <x:c r="AJ4175" s="87" t="str">
        <x:v>clean</x:v>
      </x:c>
      <x:c r="AK4175" s="87" t="str">
        <x:v>clean-v0.03</x:v>
      </x:c>
      <x:c r="AL4175" s="87" t="str">
        <x:v>statgrad_clean_continuation_v0_03(1).xlsx</x:v>
      </x:c>
      <x:c r="AM4175" s="87" t="str">
        <x:v>PHY_Dec_V1</x:v>
      </x:c>
      <x:c r="AN4175" s="87" t="n">
        <x:v>9</x:v>
      </x:c>
    </x:row>
    <x:row r="4176">
      <x:c r="A4176" s="87" t="n">
        <x:v>4175</x:v>
      </x:c>
      <x:c r="B4176" s="87" t="str">
        <x:v>DEC-PHY-V1-009</x:v>
      </x:c>
      <x:c r="C4176" s="87" t="str">
        <x:v>СтатГрад</x:v>
      </x:c>
      <x:c r="D4176" s="87" t="str">
        <x:v>Декабрь 2025</x:v>
      </x:c>
      <x:c r="E4176" s="87"/>
      <x:c r="F4176" s="87"/>
      <x:c r="G4176" s="87" t="str">
        <x:v>Физика</x:v>
      </x:c>
      <x:c r="H4176" s="87" t="n">
        <x:v>11</x:v>
      </x:c>
      <x:c r="I4176" s="87" t="str">
        <x:v>ТР №2</x:v>
      </x:c>
      <x:c r="J4176" s="87" t="str">
        <x:v>ФИ2510201</x:v>
      </x:c>
      <x:c r="K4176" s="87" t="n">
        <x:v>9</x:v>
      </x:c>
      <x:c r="L4176" s="87" t="str">
        <x:v>Фазовые переходы: график</x:v>
      </x:c>
      <x:c r="M4176" s="30" t="str">
        <x:v>В начальный момент в сосуде под лёгким поршнем находится вещество в жидком состоянии. На рисунке показан график зависимости температуры t вещества от времени τ его нагревания и последующего охлаждения. Выберите из предложенных все утверждения, которые верно отражают результаты этого опыта. В ответе укажите их номера. 1) Температра кипения вещества равна 60 °С. 2) В момент времени, соответствующий букве F графика, в сосуде находилось вещество только в жидком состоянии. 3) Участок графика ВС соответствует процессу, происходящему с увеличением внутренней энергии вещества. 4) В момент времени, соответствующий букве G графика, всё вещество находится в твёрдом состоянии. Ответ: ___________________________.</x:v>
      </x:c>
      <x:c r="N4176" s="30" t="str">
        <x:v>23</x:v>
      </x:c>
      <x:c r="O4176" s="30" t="str">
        <x:v>Горизонтальные участки соответствуют фазовым переходам; направление процесса определяет знак изменения внутренней энергии.</x:v>
      </x:c>
      <x:c r="P4176" s="30" t="str">
        <x:v>Решено независимо; формулы, единицы и визуальные данные повторно проверены.</x:v>
      </x:c>
      <x:c r="Q4176" s="30"/>
      <x:c r="R4176" s="30" t="str">
        <x:v>23</x:v>
      </x:c>
      <x:c r="S4176" s="30"/>
      <x:c r="T4176" s="30" t="str">
        <x:v>Официальная таблица ответов в PDF критериев</x:v>
      </x:c>
      <x:c r="U4176" s="30" t="str">
        <x:v>Расхождений не обнаружено.</x:v>
      </x:c>
      <x:c r="V4176" s="87" t="str">
        <x:v>VERIFIED</x:v>
      </x:c>
      <x:c r="W4176" s="87" t="n">
        <x:v>7</x:v>
      </x:c>
      <x:c r="X4176" s="87"/>
      <x:c r="Y4176" s="87"/>
      <x:c r="Z4176" s="87"/>
      <x:c r="AA4176" s="87"/>
      <x:c r="AB4176" s="87"/>
      <x:c r="AC4176" s="87" t="str">
        <x:v>VIS-PHY-DEC-004</x:v>
      </x:c>
      <x:c r="AD4176" s="87"/>
      <x:c r="AE4176" s="87"/>
      <x:c r="AF4176" s="87" t="str">
        <x:v>VIS-PHY-DEC-004: 7</x:v>
      </x:c>
      <x:c r="AG4176" s="87" t="str">
        <x:v>RESOLVED</x:v>
      </x:c>
      <x:c r="AH4176" s="87" t="str">
        <x:v>CROP_VERIFIED; TASK_CROP_QA_APPROVED:USE_CONTEXT</x:v>
      </x:c>
      <x:c r="AI4176" s="30"/>
      <x:c r="AJ4176" s="87" t="str">
        <x:v>clean</x:v>
      </x:c>
      <x:c r="AK4176" s="87" t="str">
        <x:v>clean-v0.03</x:v>
      </x:c>
      <x:c r="AL4176" s="87" t="str">
        <x:v>statgrad_clean_continuation_v0_03(1).xlsx</x:v>
      </x:c>
      <x:c r="AM4176" s="87" t="str">
        <x:v>PHY_Dec_V1</x:v>
      </x:c>
      <x:c r="AN4176" s="87" t="n">
        <x:v>10</x:v>
      </x:c>
    </x:row>
    <x:row r="4177">
      <x:c r="A4177" s="87" t="n">
        <x:v>4176</x:v>
      </x:c>
      <x:c r="B4177" s="87" t="str">
        <x:v>DEC-PHY-V1-010</x:v>
      </x:c>
      <x:c r="C4177" s="87" t="str">
        <x:v>СтатГрад</x:v>
      </x:c>
      <x:c r="D4177" s="87" t="str">
        <x:v>Декабрь 2025</x:v>
      </x:c>
      <x:c r="E4177" s="87"/>
      <x:c r="F4177" s="87"/>
      <x:c r="G4177" s="87" t="str">
        <x:v>Физика</x:v>
      </x:c>
      <x:c r="H4177" s="87" t="n">
        <x:v>11</x:v>
      </x:c>
      <x:c r="I4177" s="87" t="str">
        <x:v>ТР №2</x:v>
      </x:c>
      <x:c r="J4177" s="87" t="str">
        <x:v>ФИ2510201</x:v>
      </x:c>
      <x:c r="K4177" s="87" t="n">
        <x:v>10</x:v>
      </x:c>
      <x:c r="L4177" s="87" t="str">
        <x:v>Идеальный газ: качественное изменение</x:v>
      </x:c>
      <x:c r="M4177" s="30" t="str">
        <x:v>В процессе расширения 1 моля разреженного гелия его внутренняя энергия всё время остаётся неизменной. Как изменяются при этом температура гелия и его давление? Для каждой величины определите соответствующий характер изменения: 1) увеличивается; 2) уменьшается; 3) не изменяется. Запишите в таблицу выбранные цифры для каждой физической величины. Цифры в ответе могут повторяться. Температура гелия Давление гелия</x:v>
      </x:c>
      <x:c r="N4177" s="30" t="str">
        <x:v>32</x:v>
      </x:c>
      <x:c r="O4177" s="30" t="str">
        <x:v>Для одноатомного идеального газа U зависит только от T; далее используется pV = νRT и изменение объёма.</x:v>
      </x:c>
      <x:c r="P4177" s="30" t="str">
        <x:v>Решено независимо; формулы, единицы и визуальные данные повторно проверены.</x:v>
      </x:c>
      <x:c r="Q4177" s="30"/>
      <x:c r="R4177" s="30" t="str">
        <x:v>32</x:v>
      </x:c>
      <x:c r="S4177" s="30"/>
      <x:c r="T4177" s="30" t="str">
        <x:v>Приложенная фотография дополнительного ключа</x:v>
      </x:c>
      <x:c r="U4177" s="30" t="str">
        <x:v>Расхождений не обнаружено.</x:v>
      </x:c>
      <x:c r="V4177" s="87" t="str">
        <x:v>VERIFIED</x:v>
      </x:c>
      <x:c r="W4177" s="87" t="n">
        <x:v>7</x:v>
      </x:c>
      <x:c r="X4177" s="87"/>
      <x:c r="Y4177" s="87"/>
      <x:c r="Z4177" s="87"/>
      <x:c r="AA4177" s="87"/>
      <x:c r="AB4177" s="87"/>
      <x:c r="AC4177" s="87" t="str">
        <x:v>VIS-PHY-DEC-004</x:v>
      </x:c>
      <x:c r="AD4177" s="87"/>
      <x:c r="AE4177" s="87"/>
      <x:c r="AF4177" s="87" t="str">
        <x:v>VIS-PHY-DEC-004: 7</x:v>
      </x:c>
      <x:c r="AG4177" s="87" t="str">
        <x:v>RESOLVED</x:v>
      </x:c>
      <x:c r="AH4177" s="87" t="str">
        <x:v>CROP_VERIFIED</x:v>
      </x:c>
      <x:c r="AI4177" s="30"/>
      <x:c r="AJ4177" s="87" t="str">
        <x:v>clean</x:v>
      </x:c>
      <x:c r="AK4177" s="87" t="str">
        <x:v>clean-v0.03</x:v>
      </x:c>
      <x:c r="AL4177" s="87" t="str">
        <x:v>statgrad_clean_continuation_v0_03(1).xlsx</x:v>
      </x:c>
      <x:c r="AM4177" s="87" t="str">
        <x:v>PHY_Dec_V1</x:v>
      </x:c>
      <x:c r="AN4177" s="87" t="n">
        <x:v>11</x:v>
      </x:c>
    </x:row>
    <x:row r="4178">
      <x:c r="A4178" s="87" t="n">
        <x:v>4177</x:v>
      </x:c>
      <x:c r="B4178" s="87" t="str">
        <x:v>DEC-PHY-V1-011</x:v>
      </x:c>
      <x:c r="C4178" s="87" t="str">
        <x:v>СтатГрад</x:v>
      </x:c>
      <x:c r="D4178" s="87" t="str">
        <x:v>Декабрь 2025</x:v>
      </x:c>
      <x:c r="E4178" s="87"/>
      <x:c r="F4178" s="87"/>
      <x:c r="G4178" s="87" t="str">
        <x:v>Физика</x:v>
      </x:c>
      <x:c r="H4178" s="87" t="n">
        <x:v>11</x:v>
      </x:c>
      <x:c r="I4178" s="87" t="str">
        <x:v>ТР №2</x:v>
      </x:c>
      <x:c r="J4178" s="87" t="str">
        <x:v>ФИ2510201</x:v>
      </x:c>
      <x:c r="K4178" s="87" t="n">
        <x:v>11</x:v>
      </x:c>
      <x:c r="L4178" s="87" t="str">
        <x:v>Полная цепь: закон Ома</x:v>
      </x:c>
      <x:c r="M4178" s="30" t="str">
        <x:v>К батарее с ЭДС, равной 6 В, и внутренним сопротивлением 0,5 Ом подключили резистор с сопротивлением 23,5 Ом. Чему равна сила тока в полученной электрической цепи? Ответ: ___________________________ А.</x:v>
      </x:c>
      <x:c r="N4178" s="30" t="str">
        <x:v>0,25</x:v>
      </x:c>
      <x:c r="O4178" s="30" t="str">
        <x:v>Для полной цепи E = I(R+r); искомая величина получена прямой подстановкой.</x:v>
      </x:c>
      <x:c r="P4178" s="30" t="str">
        <x:v>Решено независимо; формулы, единицы и визуальные данные повторно проверены.</x:v>
      </x:c>
      <x:c r="Q4178" s="30"/>
      <x:c r="R4178" s="30" t="str">
        <x:v>0,25</x:v>
      </x:c>
      <x:c r="S4178" s="30"/>
      <x:c r="T4178" s="30" t="str">
        <x:v>Приложенная фотография дополнительного ключа</x:v>
      </x:c>
      <x:c r="U4178" s="30" t="str">
        <x:v>Расхождений не обнаружено.</x:v>
      </x:c>
      <x:c r="V4178" s="87" t="str">
        <x:v>VERIFIED</x:v>
      </x:c>
      <x:c r="W4178" s="87" t="n">
        <x:v>7</x:v>
      </x:c>
      <x:c r="X4178" s="87"/>
      <x:c r="Y4178" s="87"/>
      <x:c r="Z4178" s="87"/>
      <x:c r="AA4178" s="87"/>
      <x:c r="AB4178" s="87"/>
      <x:c r="AC4178" s="87" t="str">
        <x:v>VIS-PHY-DEC-004</x:v>
      </x:c>
      <x:c r="AD4178" s="87"/>
      <x:c r="AE4178" s="87"/>
      <x:c r="AF4178" s="87" t="str">
        <x:v>VIS-PHY-DEC-004: 7</x:v>
      </x:c>
      <x:c r="AG4178" s="87" t="str">
        <x:v>RESOLVED</x:v>
      </x:c>
      <x:c r="AH4178" s="87" t="str">
        <x:v>CROP_VERIFIED</x:v>
      </x:c>
      <x:c r="AI4178" s="30"/>
      <x:c r="AJ4178" s="87" t="str">
        <x:v>clean</x:v>
      </x:c>
      <x:c r="AK4178" s="87" t="str">
        <x:v>clean-v0.03</x:v>
      </x:c>
      <x:c r="AL4178" s="87" t="str">
        <x:v>statgrad_clean_continuation_v0_03(1).xlsx</x:v>
      </x:c>
      <x:c r="AM4178" s="87" t="str">
        <x:v>PHY_Dec_V1</x:v>
      </x:c>
      <x:c r="AN4178" s="87" t="n">
        <x:v>12</x:v>
      </x:c>
    </x:row>
    <x:row r="4179">
      <x:c r="A4179" s="87" t="n">
        <x:v>4178</x:v>
      </x:c>
      <x:c r="B4179" s="87" t="str">
        <x:v>DEC-PHY-V1-012</x:v>
      </x:c>
      <x:c r="C4179" s="87" t="str">
        <x:v>СтатГрад</x:v>
      </x:c>
      <x:c r="D4179" s="87" t="str">
        <x:v>Декабрь 2025</x:v>
      </x:c>
      <x:c r="E4179" s="87"/>
      <x:c r="F4179" s="87"/>
      <x:c r="G4179" s="87" t="str">
        <x:v>Физика</x:v>
      </x:c>
      <x:c r="H4179" s="87" t="n">
        <x:v>11</x:v>
      </x:c>
      <x:c r="I4179" s="87" t="str">
        <x:v>ТР №2</x:v>
      </x:c>
      <x:c r="J4179" s="87" t="str">
        <x:v>ФИ2510201</x:v>
      </x:c>
      <x:c r="K4179" s="87" t="n">
        <x:v>12</x:v>
      </x:c>
      <x:c r="L4179" s="87" t="str">
        <x:v>Электромагнитная индукция</x:v>
      </x:c>
      <x:c r="M4179" s="30" t="str">
        <x:v>В опыте по наблюдению электромагнитной индукции прямоугольная рамка из одного витка тонкого провода находится в однородном магнитном поле, перпендикулярном плоскости рамки. Индукция магнитного поля равномерно возрастает от нулевого значения до максимального значения В макс за время Т. При этом в рамке возбуждается ЭДС индукции, равная 10 мВ. Определите ЭДС индукции, возникающую в этой рамке, если при проведении аналогичного опыта Т увеличить в 2 раза, а В макс в 4 раза уменьшить. Ответ: ___________________________ мВ.</x:v>
      </x:c>
      <x:c r="N4179" s="30" t="str">
        <x:v>1,25</x:v>
      </x:c>
      <x:c r="O4179" s="30" t="str">
        <x:v>Модуль ЭДС индукции пропорционален |ΔB|/Δt; площадь и число витков не меняются.</x:v>
      </x:c>
      <x:c r="P4179" s="30" t="str">
        <x:v>Решено независимо; формулы, единицы и визуальные данные повторно проверены.</x:v>
      </x:c>
      <x:c r="Q4179" s="30"/>
      <x:c r="R4179" s="30" t="str">
        <x:v>1,25</x:v>
      </x:c>
      <x:c r="S4179" s="30"/>
      <x:c r="T4179" s="30" t="str">
        <x:v>Приложенная фотография дополнительного ключа</x:v>
      </x:c>
      <x:c r="U4179" s="30" t="str">
        <x:v>Расхождений не обнаружено.</x:v>
      </x:c>
      <x:c r="V4179" s="87" t="str">
        <x:v>VERIFIED</x:v>
      </x:c>
      <x:c r="W4179" s="87" t="n">
        <x:v>8</x:v>
      </x:c>
      <x:c r="X4179" s="87"/>
      <x:c r="Y4179" s="87"/>
      <x:c r="Z4179" s="87"/>
      <x:c r="AA4179" s="87"/>
      <x:c r="AB4179" s="87"/>
      <x:c r="AC4179" s="87" t="str">
        <x:v>VIS-PHY-DEC-005</x:v>
      </x:c>
      <x:c r="AD4179" s="87"/>
      <x:c r="AE4179" s="87"/>
      <x:c r="AF4179" s="87" t="str">
        <x:v>VIS-PHY-DEC-005: 8</x:v>
      </x:c>
      <x:c r="AG4179" s="87" t="str">
        <x:v>RESOLVED</x:v>
      </x:c>
      <x:c r="AH4179" s="87" t="str">
        <x:v>CROP_VERIFIED</x:v>
      </x:c>
      <x:c r="AI4179" s="30"/>
      <x:c r="AJ4179" s="87" t="str">
        <x:v>clean</x:v>
      </x:c>
      <x:c r="AK4179" s="87" t="str">
        <x:v>clean-v0.03</x:v>
      </x:c>
      <x:c r="AL4179" s="87" t="str">
        <x:v>statgrad_clean_continuation_v0_03(1).xlsx</x:v>
      </x:c>
      <x:c r="AM4179" s="87" t="str">
        <x:v>PHY_Dec_V1</x:v>
      </x:c>
      <x:c r="AN4179" s="87" t="n">
        <x:v>13</x:v>
      </x:c>
    </x:row>
    <x:row r="4180">
      <x:c r="A4180" s="87" t="n">
        <x:v>4179</x:v>
      </x:c>
      <x:c r="B4180" s="87" t="str">
        <x:v>DEC-PHY-V1-013</x:v>
      </x:c>
      <x:c r="C4180" s="87" t="str">
        <x:v>СтатГрад</x:v>
      </x:c>
      <x:c r="D4180" s="87" t="str">
        <x:v>Декабрь 2025</x:v>
      </x:c>
      <x:c r="E4180" s="87"/>
      <x:c r="F4180" s="87"/>
      <x:c r="G4180" s="87" t="str">
        <x:v>Физика</x:v>
      </x:c>
      <x:c r="H4180" s="87" t="n">
        <x:v>11</x:v>
      </x:c>
      <x:c r="I4180" s="87" t="str">
        <x:v>ТР №2</x:v>
      </x:c>
      <x:c r="J4180" s="87" t="str">
        <x:v>ФИ2510201</x:v>
      </x:c>
      <x:c r="K4180" s="87" t="n">
        <x:v>13</x:v>
      </x:c>
      <x:c r="L4180" s="87" t="str">
        <x:v>Геометрическая оптика</x:v>
      </x:c>
      <x:c r="M4180" s="30" t="str">
        <x:v>Тень на экране от предмета, освещённого точечным источником света, имеет размеры в 1,5 раза большие, чем сам предмет. Расстояние от источника света до предмета равно 2 м. Определите расстояние от предмета до экрана. Ответ: ___________________________ м.</x:v>
      </x:c>
      <x:c r="N4180" s="30" t="str">
        <x:v>1</x:v>
      </x:c>
      <x:c r="O4180" s="30" t="str">
        <x:v>Из подобия треугольников увеличение тени равно отношению расстояний от источника.</x:v>
      </x:c>
      <x:c r="P4180" s="30" t="str">
        <x:v>Решено независимо; формулы, единицы и визуальные данные повторно проверены.</x:v>
      </x:c>
      <x:c r="Q4180" s="30"/>
      <x:c r="R4180" s="30" t="str">
        <x:v>1</x:v>
      </x:c>
      <x:c r="S4180" s="30"/>
      <x:c r="T4180" s="30" t="str">
        <x:v>Приложенная фотография дополнительного ключа</x:v>
      </x:c>
      <x:c r="U4180" s="30" t="str">
        <x:v>Расхождений не обнаружено.</x:v>
      </x:c>
      <x:c r="V4180" s="87" t="str">
        <x:v>VERIFIED</x:v>
      </x:c>
      <x:c r="W4180" s="87" t="n">
        <x:v>8</x:v>
      </x:c>
      <x:c r="X4180" s="87"/>
      <x:c r="Y4180" s="87"/>
      <x:c r="Z4180" s="87"/>
      <x:c r="AA4180" s="87"/>
      <x:c r="AB4180" s="87"/>
      <x:c r="AC4180" s="87" t="str">
        <x:v>VIS-PHY-DEC-005</x:v>
      </x:c>
      <x:c r="AD4180" s="87"/>
      <x:c r="AE4180" s="87"/>
      <x:c r="AF4180" s="87" t="str">
        <x:v>VIS-PHY-DEC-005: 8</x:v>
      </x:c>
      <x:c r="AG4180" s="87" t="str">
        <x:v>RESOLVED</x:v>
      </x:c>
      <x:c r="AH4180" s="87" t="str">
        <x:v>CROP_VERIFIED</x:v>
      </x:c>
      <x:c r="AI4180" s="30"/>
      <x:c r="AJ4180" s="87" t="str">
        <x:v>clean</x:v>
      </x:c>
      <x:c r="AK4180" s="87" t="str">
        <x:v>clean-v0.03</x:v>
      </x:c>
      <x:c r="AL4180" s="87" t="str">
        <x:v>statgrad_clean_continuation_v0_03(1).xlsx</x:v>
      </x:c>
      <x:c r="AM4180" s="87" t="str">
        <x:v>PHY_Dec_V1</x:v>
      </x:c>
      <x:c r="AN4180" s="87" t="n">
        <x:v>14</x:v>
      </x:c>
    </x:row>
    <x:row r="4181">
      <x:c r="A4181" s="87" t="n">
        <x:v>4180</x:v>
      </x:c>
      <x:c r="B4181" s="87" t="str">
        <x:v>DEC-PHY-V1-014</x:v>
      </x:c>
      <x:c r="C4181" s="87" t="str">
        <x:v>СтатГрад</x:v>
      </x:c>
      <x:c r="D4181" s="87" t="str">
        <x:v>Декабрь 2025</x:v>
      </x:c>
      <x:c r="E4181" s="87"/>
      <x:c r="F4181" s="87"/>
      <x:c r="G4181" s="87" t="str">
        <x:v>Физика</x:v>
      </x:c>
      <x:c r="H4181" s="87" t="n">
        <x:v>11</x:v>
      </x:c>
      <x:c r="I4181" s="87" t="str">
        <x:v>ТР №2</x:v>
      </x:c>
      <x:c r="J4181" s="87" t="str">
        <x:v>ФИ2510201</x:v>
      </x:c>
      <x:c r="K4181" s="87" t="n">
        <x:v>14</x:v>
      </x:c>
      <x:c r="L4181" s="87" t="str">
        <x:v>Самоиндукция: анализ эксперимента</x:v>
      </x:c>
      <x:c r="M4181" s="30" t="str">
        <x:v>Катушка индуктивности подключена к источнику тока с пренебрежимо малым внутренним сопротивлением через резистор с сопротивлением R = 80 Ом (см. рисунок). В момент t = 0 с ключ К замыкают. Значения силы тока I в цепи, измеренные в последовательные моменты времени, представлены в таблице. t, c 0 0,5 1,0 1,5 2,0 3,0 4,0 5,0 6,0 I, A 0 0,12 0,19 0,23 0,26 0,29 0,29 0,30 0,30 Выберите все верные утверждения о процессах, наблюдаемых в опыте. В ответе укажите их номера. 1) Сила тока, текущего в катушке, в процессе наблюдения не изменяется. 2) Через 5 с после замыкания ключа ток в катушке полностью прекратился. 3) ЭДС источника тока составляет 24 В. 4) В момент времени t = 3,0 с модуль ЭДС самоиндукции катушки равен 0,8 В. 5) В момент времени t = 1,0 с напряжение на резисторе равно 7,6 В. Ответ: ___________________________.</x:v>
      </x:c>
      <x:c r="N4181" s="30" t="str">
        <x:v>34</x:v>
      </x:c>
      <x:c r="O4181" s="30" t="str">
        <x:v>Установившийся ток задаёт ЭДС E=IR; мгновенная ЭДС самоиндукции равна E−IR. Все утверждения проверены по таблице.</x:v>
      </x:c>
      <x:c r="P4181" s="30" t="str">
        <x:v>Решено независимо; формулы, единицы и визуальные данные повторно проверены.</x:v>
      </x:c>
      <x:c r="Q4181" s="30"/>
      <x:c r="R4181" s="30" t="str">
        <x:v>34</x:v>
      </x:c>
      <x:c r="S4181" s="30"/>
      <x:c r="T4181" s="30" t="str">
        <x:v>Официальная таблица ответов в PDF критериев</x:v>
      </x:c>
      <x:c r="U4181" s="30" t="str">
        <x:v>Расхождений не обнаружено.</x:v>
      </x:c>
      <x:c r="V4181" s="87" t="str">
        <x:v>VERIFIED</x:v>
      </x:c>
      <x:c r="W4181" s="87" t="n">
        <x:v>8</x:v>
      </x:c>
      <x:c r="X4181" s="87"/>
      <x:c r="Y4181" s="87"/>
      <x:c r="Z4181" s="87"/>
      <x:c r="AA4181" s="87"/>
      <x:c r="AB4181" s="87"/>
      <x:c r="AC4181" s="87" t="str">
        <x:v>VIS-PHY-DEC-005</x:v>
      </x:c>
      <x:c r="AD4181" s="87"/>
      <x:c r="AE4181" s="87"/>
      <x:c r="AF4181" s="87" t="str">
        <x:v>VIS-PHY-DEC-005: 8</x:v>
      </x:c>
      <x:c r="AG4181" s="87" t="str">
        <x:v>RESOLVED</x:v>
      </x:c>
      <x:c r="AH4181" s="87" t="str">
        <x:v>CROP_VERIFIED; TASK_CROP_QA_APPROVED:USE_CONTEXT</x:v>
      </x:c>
      <x:c r="AI4181" s="30"/>
      <x:c r="AJ4181" s="87" t="str">
        <x:v>clean</x:v>
      </x:c>
      <x:c r="AK4181" s="87" t="str">
        <x:v>clean-v0.03</x:v>
      </x:c>
      <x:c r="AL4181" s="87" t="str">
        <x:v>statgrad_clean_continuation_v0_03(1).xlsx</x:v>
      </x:c>
      <x:c r="AM4181" s="87" t="str">
        <x:v>PHY_Dec_V1</x:v>
      </x:c>
      <x:c r="AN4181" s="87" t="n">
        <x:v>15</x:v>
      </x:c>
    </x:row>
    <x:row r="4182">
      <x:c r="A4182" s="87" t="n">
        <x:v>4181</x:v>
      </x:c>
      <x:c r="B4182" s="87" t="str">
        <x:v>DEC-PHY-V1-015</x:v>
      </x:c>
      <x:c r="C4182" s="87" t="str">
        <x:v>СтатГрад</x:v>
      </x:c>
      <x:c r="D4182" s="87" t="str">
        <x:v>Декабрь 2025</x:v>
      </x:c>
      <x:c r="E4182" s="87"/>
      <x:c r="F4182" s="87"/>
      <x:c r="G4182" s="87" t="str">
        <x:v>Физика</x:v>
      </x:c>
      <x:c r="H4182" s="87" t="n">
        <x:v>11</x:v>
      </x:c>
      <x:c r="I4182" s="87" t="str">
        <x:v>ТР №2</x:v>
      </x:c>
      <x:c r="J4182" s="87" t="str">
        <x:v>ФИ2510201</x:v>
      </x:c>
      <x:c r="K4182" s="87" t="n">
        <x:v>15</x:v>
      </x:c>
      <x:c r="L4182" s="87" t="str">
        <x:v>Электрическая цепь: соответствие формул</x:v>
      </x:c>
      <x:c r="M4182" s="30" t="str">
        <x:v>В электрической цепи, схема которой изображена на рисунке, ЭДС источника тока равна E, его внутреннее сопротивление r, а сопротивления резисторов R 1 = R и R 2 = 2R. Установите соответствие между физическими величинами и формулами, по которым их можно рассчитать. Вольтметр считать идеальным. К каждой позиции первого столбца подберите соответствующую позицию второго и запишите в таблицу выбранные цифры под соответствующими буквами. ФИЗИЧЕСКАЯ ВЕЛИЧИНА ФОРМУЛА А) показания вольтметра 1) E Б) сила тока, текущего через источник 3R 2) E 3R + r 3) Er 3R 4) 3ER 3R + r А Б Ответ:</x:v>
      </x:c>
      <x:c r="N4182" s="30" t="str">
        <x:v>42</x:v>
      </x:c>
      <x:c r="O4182" s="30" t="str">
        <x:v>Резисторы соединены последовательно; полное внешнее сопротивление равно сумме, показание вольтметра найдено по закону Ома.</x:v>
      </x:c>
      <x:c r="P4182" s="30" t="str">
        <x:v>Решено независимо; формулы, единицы и визуальные данные повторно проверены.</x:v>
      </x:c>
      <x:c r="Q4182" s="30"/>
      <x:c r="R4182" s="30" t="str">
        <x:v>42</x:v>
      </x:c>
      <x:c r="S4182" s="30"/>
      <x:c r="T4182" s="30" t="str">
        <x:v>Приложенная фотография дополнительного ключа</x:v>
      </x:c>
      <x:c r="U4182" s="30" t="str">
        <x:v>Расхождений не обнаружено.</x:v>
      </x:c>
      <x:c r="V4182" s="87" t="str">
        <x:v>VERIFIED</x:v>
      </x:c>
      <x:c r="W4182" s="87" t="n">
        <x:v>9</x:v>
      </x:c>
      <x:c r="X4182" s="87"/>
      <x:c r="Y4182" s="87"/>
      <x:c r="Z4182" s="87"/>
      <x:c r="AA4182" s="87"/>
      <x:c r="AB4182" s="87"/>
      <x:c r="AC4182" s="87" t="str">
        <x:v>VIS-PHY-DEC-006</x:v>
      </x:c>
      <x:c r="AD4182" s="87"/>
      <x:c r="AE4182" s="87"/>
      <x:c r="AF4182" s="87" t="str">
        <x:v>VIS-PHY-DEC-006: 9</x:v>
      </x:c>
      <x:c r="AG4182" s="87" t="str">
        <x:v>RESOLVED</x:v>
      </x:c>
      <x:c r="AH4182" s="87" t="str">
        <x:v>CROP_VERIFIED; TASK_CROP_QA_APPROVED:USE_CONTEXT</x:v>
      </x:c>
      <x:c r="AI4182" s="30"/>
      <x:c r="AJ4182" s="87" t="str">
        <x:v>clean</x:v>
      </x:c>
      <x:c r="AK4182" s="87" t="str">
        <x:v>clean-v0.03</x:v>
      </x:c>
      <x:c r="AL4182" s="87" t="str">
        <x:v>statgrad_clean_continuation_v0_03(1).xlsx</x:v>
      </x:c>
      <x:c r="AM4182" s="87" t="str">
        <x:v>PHY_Dec_V1</x:v>
      </x:c>
      <x:c r="AN4182" s="87" t="n">
        <x:v>16</x:v>
      </x:c>
    </x:row>
    <x:row r="4183">
      <x:c r="A4183" s="87" t="n">
        <x:v>4182</x:v>
      </x:c>
      <x:c r="B4183" s="87" t="str">
        <x:v>DEC-PHY-V1-016</x:v>
      </x:c>
      <x:c r="C4183" s="87" t="str">
        <x:v>СтатГрад</x:v>
      </x:c>
      <x:c r="D4183" s="87" t="str">
        <x:v>Декабрь 2025</x:v>
      </x:c>
      <x:c r="E4183" s="87"/>
      <x:c r="F4183" s="87"/>
      <x:c r="G4183" s="87" t="str">
        <x:v>Физика</x:v>
      </x:c>
      <x:c r="H4183" s="87" t="n">
        <x:v>11</x:v>
      </x:c>
      <x:c r="I4183" s="87" t="str">
        <x:v>ТР №2</x:v>
      </x:c>
      <x:c r="J4183" s="87" t="str">
        <x:v>ФИ2510201</x:v>
      </x:c>
      <x:c r="K4183" s="87" t="n">
        <x:v>16</x:v>
      </x:c>
      <x:c r="L4183" s="87" t="str">
        <x:v>Состав атомного ядра</x:v>
      </x:c>
      <x:c r="M4183" s="30" t="str">
        <x:v>Какое количество нейтронов содержится в ядре таллия 20881Tl ? Ответ: ___________________________.</x:v>
      </x:c>
      <x:c r="N4183" s="30" t="str">
        <x:v>127</x:v>
      </x:c>
      <x:c r="O4183" s="30" t="str">
        <x:v>Число нейтронов N = A − Z.</x:v>
      </x:c>
      <x:c r="P4183" s="30" t="str">
        <x:v>Решено независимо; формулы, единицы и визуальные данные повторно проверены.</x:v>
      </x:c>
      <x:c r="Q4183" s="30"/>
      <x:c r="R4183" s="30" t="str">
        <x:v>127</x:v>
      </x:c>
      <x:c r="S4183" s="30"/>
      <x:c r="T4183" s="30" t="str">
        <x:v>Приложенная фотография дополнительного ключа</x:v>
      </x:c>
      <x:c r="U4183" s="30" t="str">
        <x:v>Расхождений не обнаружено.</x:v>
      </x:c>
      <x:c r="V4183" s="87" t="str">
        <x:v>VERIFIED</x:v>
      </x:c>
      <x:c r="W4183" s="87" t="n">
        <x:v>9</x:v>
      </x:c>
      <x:c r="X4183" s="87"/>
      <x:c r="Y4183" s="87"/>
      <x:c r="Z4183" s="87"/>
      <x:c r="AA4183" s="87"/>
      <x:c r="AB4183" s="87"/>
      <x:c r="AC4183" s="87" t="str">
        <x:v>VIS-PHY-DEC-006</x:v>
      </x:c>
      <x:c r="AD4183" s="87"/>
      <x:c r="AE4183" s="87"/>
      <x:c r="AF4183" s="87" t="str">
        <x:v>VIS-PHY-DEC-006: 9</x:v>
      </x:c>
      <x:c r="AG4183" s="87" t="str">
        <x:v>RESOLVED</x:v>
      </x:c>
      <x:c r="AH4183" s="87" t="str">
        <x:v>CROP_VERIFIED</x:v>
      </x:c>
      <x:c r="AI4183" s="30"/>
      <x:c r="AJ4183" s="87" t="str">
        <x:v>clean</x:v>
      </x:c>
      <x:c r="AK4183" s="87" t="str">
        <x:v>clean-v0.03</x:v>
      </x:c>
      <x:c r="AL4183" s="87" t="str">
        <x:v>statgrad_clean_continuation_v0_03(1).xlsx</x:v>
      </x:c>
      <x:c r="AM4183" s="87" t="str">
        <x:v>PHY_Dec_V1</x:v>
      </x:c>
      <x:c r="AN4183" s="87" t="n">
        <x:v>17</x:v>
      </x:c>
    </x:row>
    <x:row r="4184">
      <x:c r="A4184" s="87" t="n">
        <x:v>4183</x:v>
      </x:c>
      <x:c r="B4184" s="87" t="str">
        <x:v>DEC-PHY-V1-017</x:v>
      </x:c>
      <x:c r="C4184" s="87" t="str">
        <x:v>СтатГрад</x:v>
      </x:c>
      <x:c r="D4184" s="87" t="str">
        <x:v>Декабрь 2025</x:v>
      </x:c>
      <x:c r="E4184" s="87"/>
      <x:c r="F4184" s="87"/>
      <x:c r="G4184" s="87" t="str">
        <x:v>Физика</x:v>
      </x:c>
      <x:c r="H4184" s="87" t="n">
        <x:v>11</x:v>
      </x:c>
      <x:c r="I4184" s="87" t="str">
        <x:v>ТР №2</x:v>
      </x:c>
      <x:c r="J4184" s="87" t="str">
        <x:v>ФИ2510201</x:v>
      </x:c>
      <x:c r="K4184" s="87" t="n">
        <x:v>17</x:v>
      </x:c>
      <x:c r="L4184" s="87" t="str">
        <x:v>Ядерное превращение</x:v>
      </x:c>
      <x:c r="M4184" s="30" t="str">
        <x:v>В ядерном реакторе цепочка ядерных реакций начинается с захвата ядром быстрого нейтрона. Как изменятся при захвате нейтрона следующие характеристики ядра: заряд ядра и массовое число ядра?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Заряд ядра Массовое число ядра</x:v>
      </x:c>
      <x:c r="N4184" s="30" t="str">
        <x:v>31</x:v>
      </x:c>
      <x:c r="O4184" s="30" t="str">
        <x:v>При захвате нейтрона Z не меняется, A растёт на 1; при β⁻-распаде A не меняется, Z растёт на 1.</x:v>
      </x:c>
      <x:c r="P4184" s="30" t="str">
        <x:v>Решено независимо; формулы, единицы и визуальные данные повторно проверены.</x:v>
      </x:c>
      <x:c r="Q4184" s="30"/>
      <x:c r="R4184" s="30" t="str">
        <x:v>31</x:v>
      </x:c>
      <x:c r="S4184" s="30"/>
      <x:c r="T4184" s="30" t="str">
        <x:v>Приложенная фотография дополнительного ключа</x:v>
      </x:c>
      <x:c r="U4184" s="30" t="str">
        <x:v>Расхождений не обнаружено.</x:v>
      </x:c>
      <x:c r="V4184" s="87" t="str">
        <x:v>VERIFIED</x:v>
      </x:c>
      <x:c r="W4184" s="87" t="n">
        <x:v>10</x:v>
      </x:c>
      <x:c r="X4184" s="87"/>
      <x:c r="Y4184" s="87"/>
      <x:c r="Z4184" s="87"/>
      <x:c r="AA4184" s="87"/>
      <x:c r="AB4184" s="87"/>
      <x:c r="AC4184" s="87" t="str">
        <x:v>VIS-PHY-DEC-007</x:v>
      </x:c>
      <x:c r="AD4184" s="87"/>
      <x:c r="AE4184" s="87"/>
      <x:c r="AF4184" s="87" t="str">
        <x:v>VIS-PHY-DEC-007: 10</x:v>
      </x:c>
      <x:c r="AG4184" s="87" t="str">
        <x:v>RESOLVED</x:v>
      </x:c>
      <x:c r="AH4184" s="87" t="str">
        <x:v>CROP_VERIFIED</x:v>
      </x:c>
      <x:c r="AI4184" s="30"/>
      <x:c r="AJ4184" s="87" t="str">
        <x:v>clean</x:v>
      </x:c>
      <x:c r="AK4184" s="87" t="str">
        <x:v>clean-v0.03</x:v>
      </x:c>
      <x:c r="AL4184" s="87" t="str">
        <x:v>statgrad_clean_continuation_v0_03(1).xlsx</x:v>
      </x:c>
      <x:c r="AM4184" s="87" t="str">
        <x:v>PHY_Dec_V1</x:v>
      </x:c>
      <x:c r="AN4184" s="87" t="n">
        <x:v>18</x:v>
      </x:c>
    </x:row>
    <x:row r="4185">
      <x:c r="A4185" s="87" t="n">
        <x:v>4184</x:v>
      </x:c>
      <x:c r="B4185" s="87" t="str">
        <x:v>DEC-PHY-V1-018</x:v>
      </x:c>
      <x:c r="C4185" s="87" t="str">
        <x:v>СтатГрад</x:v>
      </x:c>
      <x:c r="D4185" s="87" t="str">
        <x:v>Декабрь 2025</x:v>
      </x:c>
      <x:c r="E4185" s="87"/>
      <x:c r="F4185" s="87"/>
      <x:c r="G4185" s="87" t="str">
        <x:v>Физика</x:v>
      </x:c>
      <x:c r="H4185" s="87" t="n">
        <x:v>11</x:v>
      </x:c>
      <x:c r="I4185" s="87" t="str">
        <x:v>ТР №2</x:v>
      </x:c>
      <x:c r="J4185" s="87" t="str">
        <x:v>ФИ2510201</x:v>
      </x:c>
      <x:c r="K4185" s="87" t="n">
        <x:v>18</x:v>
      </x:c>
      <x:c r="L4185" s="87" t="str">
        <x:v>Физические закономерности</x:v>
      </x:c>
      <x:c r="M4185" s="30" t="str">
        <x:v>Выберите все верные утверждения о физических явлениях, величинах и закономерностях. Запишите цифры, под которыми они указаны. 1) Резонанс – это явление резкого возрастания частоты вынужденных колебаний. 2) Давление идеального газа в изотермическом процессе возрастает при увеличении концентрации газа. 3) При уменьшении силы тока в резисторе тепловая мощность, выделяемая в нём, увеличивается. 4) При преломлении электромагнитных волн на границе двух сред частота волны остаётся неизменной величиной. 5) В опыте Резерфорда α-частицы рассеиваются электростатическим полем ядер атомов. Ответ: ___________________________.</x:v>
      </x:c>
      <x:c r="N4185" s="30" t="str">
        <x:v>245</x:v>
      </x:c>
      <x:c r="O4185" s="30" t="str">
        <x:v>Каждое утверждение проверено по определениям резонанса, газовым законам, закону Джоуля–Ленца, оптике и атомной физике.</x:v>
      </x:c>
      <x:c r="P4185" s="30" t="str">
        <x:v>Решено независимо; формулы, единицы и визуальные данные повторно проверены.</x:v>
      </x:c>
      <x:c r="Q4185" s="30"/>
      <x:c r="R4185" s="30" t="str">
        <x:v>245</x:v>
      </x:c>
      <x:c r="S4185" s="30"/>
      <x:c r="T4185" s="30" t="str">
        <x:v>Официальная таблица ответов в PDF критериев</x:v>
      </x:c>
      <x:c r="U4185" s="30" t="str">
        <x:v>Расхождений не обнаружено.</x:v>
      </x:c>
      <x:c r="V4185" s="87" t="str">
        <x:v>VERIFIED</x:v>
      </x:c>
      <x:c r="W4185" s="87" t="n">
        <x:v>10</x:v>
      </x:c>
      <x:c r="X4185" s="87"/>
      <x:c r="Y4185" s="87"/>
      <x:c r="Z4185" s="87"/>
      <x:c r="AA4185" s="87"/>
      <x:c r="AB4185" s="87"/>
      <x:c r="AC4185" s="87" t="str">
        <x:v>VIS-PHY-DEC-007</x:v>
      </x:c>
      <x:c r="AD4185" s="87"/>
      <x:c r="AE4185" s="87"/>
      <x:c r="AF4185" s="87" t="str">
        <x:v>VIS-PHY-DEC-007: 10</x:v>
      </x:c>
      <x:c r="AG4185" s="87" t="str">
        <x:v>RESOLVED</x:v>
      </x:c>
      <x:c r="AH4185" s="87" t="str">
        <x:v>CROP_VERIFIED</x:v>
      </x:c>
      <x:c r="AI4185" s="30"/>
      <x:c r="AJ4185" s="87" t="str">
        <x:v>clean</x:v>
      </x:c>
      <x:c r="AK4185" s="87" t="str">
        <x:v>clean-v0.03</x:v>
      </x:c>
      <x:c r="AL4185" s="87" t="str">
        <x:v>statgrad_clean_continuation_v0_03(1).xlsx</x:v>
      </x:c>
      <x:c r="AM4185" s="87" t="str">
        <x:v>PHY_Dec_V1</x:v>
      </x:c>
      <x:c r="AN4185" s="87" t="n">
        <x:v>19</x:v>
      </x:c>
    </x:row>
    <x:row r="4186">
      <x:c r="A4186" s="87" t="n">
        <x:v>4185</x:v>
      </x:c>
      <x:c r="B4186" s="87" t="str">
        <x:v>DEC-PHY-V1-019</x:v>
      </x:c>
      <x:c r="C4186" s="87" t="str">
        <x:v>СтатГрад</x:v>
      </x:c>
      <x:c r="D4186" s="87" t="str">
        <x:v>Декабрь 2025</x:v>
      </x:c>
      <x:c r="E4186" s="87"/>
      <x:c r="F4186" s="87"/>
      <x:c r="G4186" s="87" t="str">
        <x:v>Физика</x:v>
      </x:c>
      <x:c r="H4186" s="87" t="n">
        <x:v>11</x:v>
      </x:c>
      <x:c r="I4186" s="87" t="str">
        <x:v>ТР №2</x:v>
      </x:c>
      <x:c r="J4186" s="87" t="str">
        <x:v>ФИ2510201</x:v>
      </x:c>
      <x:c r="K4186" s="87" t="n">
        <x:v>19</x:v>
      </x:c>
      <x:c r="L4186" s="87" t="str">
        <x:v>Погрешность измерений</x:v>
      </x:c>
      <x:c r="M4186" s="30" t="str">
        <x:v>Пачка бумаги, состоящая из 500 одинаковых листов, имеет толщину 54 мм, а погрешность измерения этой толщины равна 2 мм. Чему равна толщина одного листа бумаги с учётом погрешности измерений? Ответ: (________ ± ________) мм.</x:v>
      </x:c>
      <x:c r="N4186" s="30" t="str">
        <x:v>(0,108 ± 0,004)</x:v>
      </x:c>
      <x:c r="O4186" s="30" t="str">
        <x:v>Толщина и абсолютная погрешность одной единицы получаются делением общего результата и его погрешности на число единиц.</x:v>
      </x:c>
      <x:c r="P4186" s="30" t="str">
        <x:v>Решено независимо; формулы, единицы и визуальные данные повторно проверены.</x:v>
      </x:c>
      <x:c r="Q4186" s="30"/>
      <x:c r="R4186" s="30" t="str">
        <x:v>(0,108 ± 0,004)</x:v>
      </x:c>
      <x:c r="S4186" s="30"/>
      <x:c r="T4186" s="30" t="str">
        <x:v>Официальная таблица ответов в PDF критериев</x:v>
      </x:c>
      <x:c r="U4186" s="30" t="str">
        <x:v>Расхождений не обнаружено.</x:v>
      </x:c>
      <x:c r="V4186" s="87" t="str">
        <x:v>VERIFIED</x:v>
      </x:c>
      <x:c r="W4186" s="87" t="n">
        <x:v>10</x:v>
      </x:c>
      <x:c r="X4186" s="87"/>
      <x:c r="Y4186" s="87"/>
      <x:c r="Z4186" s="87"/>
      <x:c r="AA4186" s="87"/>
      <x:c r="AB4186" s="87"/>
      <x:c r="AC4186" s="87" t="str">
        <x:v>VIS-PHY-DEC-007</x:v>
      </x:c>
      <x:c r="AD4186" s="87"/>
      <x:c r="AE4186" s="87"/>
      <x:c r="AF4186" s="87" t="str">
        <x:v>VIS-PHY-DEC-007: 10</x:v>
      </x:c>
      <x:c r="AG4186" s="87" t="str">
        <x:v>RESOLVED</x:v>
      </x:c>
      <x:c r="AH4186" s="87" t="str">
        <x:v>CROP_VERIFIED</x:v>
      </x:c>
      <x:c r="AI4186" s="30"/>
      <x:c r="AJ4186" s="87" t="str">
        <x:v>clean</x:v>
      </x:c>
      <x:c r="AK4186" s="87" t="str">
        <x:v>clean-v0.03</x:v>
      </x:c>
      <x:c r="AL4186" s="87" t="str">
        <x:v>statgrad_clean_continuation_v0_03(1).xlsx</x:v>
      </x:c>
      <x:c r="AM4186" s="87" t="str">
        <x:v>PHY_Dec_V1</x:v>
      </x:c>
      <x:c r="AN4186" s="87" t="n">
        <x:v>20</x:v>
      </x:c>
    </x:row>
    <x:row r="4187">
      <x:c r="A4187" s="87" t="n">
        <x:v>4186</x:v>
      </x:c>
      <x:c r="B4187" s="87" t="str">
        <x:v>DEC-PHY-V1-020</x:v>
      </x:c>
      <x:c r="C4187" s="87" t="str">
        <x:v>СтатГрад</x:v>
      </x:c>
      <x:c r="D4187" s="87" t="str">
        <x:v>Декабрь 2025</x:v>
      </x:c>
      <x:c r="E4187" s="87"/>
      <x:c r="F4187" s="87"/>
      <x:c r="G4187" s="87" t="str">
        <x:v>Физика</x:v>
      </x:c>
      <x:c r="H4187" s="87" t="n">
        <x:v>11</x:v>
      </x:c>
      <x:c r="I4187" s="87" t="str">
        <x:v>ТР №2</x:v>
      </x:c>
      <x:c r="J4187" s="87" t="str">
        <x:v>ФИ2510201</x:v>
      </x:c>
      <x:c r="K4187" s="87" t="n">
        <x:v>20</x:v>
      </x:c>
      <x:c r="L4187" s="87" t="str">
        <x:v>Планирование эксперимента</x:v>
      </x:c>
      <x:c r="M4187" s="30" t="str">
        <x:v>В лаборатории экспериментально изучают зависимость частоты колебаний струны, закреплённой с двух сторон, от силы её натяжения. Какие две установки нужно использовать для проведения такого эксперимента? № Сила Диаметр Материал установки натяжения струны, Н струны, мм струны 1 15 0,5 Сталь 2 10 1 Сталь 3 10 0,5 Медь 4 25 1 Сталь 5 20 1 Пластик В ответе запишите номера выбранных установок. Ответ: Часть 2 Для записи ответов на задания 21–26 используйте чистый лист. Запишите сначала номер задания (21, 22 и т. д.), а затем решение соответствующей задачи. Ответы записывайте чётко и разборчиво.</x:v>
      </x:c>
      <x:c r="N4187" s="30" t="str">
        <x:v>24</x:v>
      </x:c>
      <x:c r="O4187" s="30" t="str">
        <x:v>Меняется только исследуемый параметр; материал и второй влияющий параметр должны быть одинаковыми.</x:v>
      </x:c>
      <x:c r="P4187" s="30" t="str">
        <x:v>Решено независимо; формулы, единицы и визуальные данные повторно проверены.</x:v>
      </x:c>
      <x:c r="Q4187" s="30"/>
      <x:c r="R4187" s="30" t="str">
        <x:v>24</x:v>
      </x:c>
      <x:c r="S4187" s="30"/>
      <x:c r="T4187" s="30" t="str">
        <x:v>Приложенная фотография дополнительного ключа</x:v>
      </x:c>
      <x:c r="U4187" s="30" t="str">
        <x:v>Расхождений не обнаружено.</x:v>
      </x:c>
      <x:c r="V4187" s="87" t="str">
        <x:v>VERIFIED</x:v>
      </x:c>
      <x:c r="W4187" s="87" t="n">
        <x:v>11</x:v>
      </x:c>
      <x:c r="X4187" s="87"/>
      <x:c r="Y4187" s="87"/>
      <x:c r="Z4187" s="87"/>
      <x:c r="AA4187" s="87"/>
      <x:c r="AB4187" s="87"/>
      <x:c r="AC4187" s="87" t="str">
        <x:v>VIS-PHY-DEC-008</x:v>
      </x:c>
      <x:c r="AD4187" s="87"/>
      <x:c r="AE4187" s="87"/>
      <x:c r="AF4187" s="87" t="str">
        <x:v>VIS-PHY-DEC-008: 11</x:v>
      </x:c>
      <x:c r="AG4187" s="87" t="str">
        <x:v>RESOLVED</x:v>
      </x:c>
      <x:c r="AH4187" s="87" t="str">
        <x:v>CROP_VERIFIED</x:v>
      </x:c>
      <x:c r="AI4187" s="30"/>
      <x:c r="AJ4187" s="87" t="str">
        <x:v>clean</x:v>
      </x:c>
      <x:c r="AK4187" s="87" t="str">
        <x:v>clean-v0.03</x:v>
      </x:c>
      <x:c r="AL4187" s="87" t="str">
        <x:v>statgrad_clean_continuation_v0_03(1).xlsx</x:v>
      </x:c>
      <x:c r="AM4187" s="87" t="str">
        <x:v>PHY_Dec_V1</x:v>
      </x:c>
      <x:c r="AN4187" s="87" t="n">
        <x:v>21</x:v>
      </x:c>
    </x:row>
    <x:row r="4188">
      <x:c r="A4188" s="87" t="n">
        <x:v>4187</x:v>
      </x:c>
      <x:c r="B4188" s="87" t="str">
        <x:v>DEC-PHY-V1-021</x:v>
      </x:c>
      <x:c r="C4188" s="87" t="str">
        <x:v>СтатГрад</x:v>
      </x:c>
      <x:c r="D4188" s="87" t="str">
        <x:v>Декабрь 2025</x:v>
      </x:c>
      <x:c r="E4188" s="87"/>
      <x:c r="F4188" s="87"/>
      <x:c r="G4188" s="87" t="str">
        <x:v>Физика</x:v>
      </x:c>
      <x:c r="H4188" s="87" t="n">
        <x:v>11</x:v>
      </x:c>
      <x:c r="I4188" s="87" t="str">
        <x:v>ТР №2</x:v>
      </x:c>
      <x:c r="J4188" s="87" t="str">
        <x:v>ФИ2510201</x:v>
      </x:c>
      <x:c r="K4188" s="87" t="n">
        <x:v>21</x:v>
      </x:c>
      <x:c r="L4188" s="87" t="str">
        <x:v>Термодинамика: качественная задача</x:v>
      </x:c>
      <x:c r="M4188" s="30" t="str">
        <x:v>Постоянное количество одноатомного идеального газа участвует в процессе, который изображён на рисунке в переменных U – p, где U – внутренняя энергия газа, p – его давление. Опираясь на законы молекулярной физики и термодинамики, определите, получает газ количество теплоты или отдаёт в процессах 1–2 и 2–3. Полное правильное решение каждой из задач 22–26 должно содержать законы и формулы, применение которых необходимо и достаточно для решения задачи, а также математические преобразования, расчёты с численным ответом и при необходимости рисунок, поясняющий решение.</x:v>
      </x:c>
      <x:c r="N4188" s="30" t="str">
        <x:v>Q₁₂ &gt; 0; Q₂₃ &lt; 0</x:v>
      </x:c>
      <x:c r="O4188" s="30" t="str">
        <x:v>В 1–2 U и T постоянны, давление падает, газ расширяется: A&gt;0 и Q=A&gt;0. В 2–3 при постоянном p уменьшаются U, T и V: ΔU&lt;0, A&lt;0, поэтому Q&lt;0.</x:v>
      </x:c>
      <x:c r="P4188" s="30" t="str">
        <x:v>Решено независимо; формулы, единицы и визуальные данные повторно проверены.</x:v>
      </x:c>
      <x:c r="Q4188" s="30"/>
      <x:c r="R4188" s="30" t="str">
        <x:v>Q₁₂ &gt; 0; Q₂₃ &lt; 0</x:v>
      </x:c>
      <x:c r="S4188" s="30"/>
      <x:c r="T4188" s="30" t="str">
        <x:v>Официальное возможное решение и критерий</x:v>
      </x:c>
      <x:c r="U4188" s="30" t="str">
        <x:v>Расхождений не обнаружено.</x:v>
      </x:c>
      <x:c r="V4188" s="87" t="str">
        <x:v>VERIFIED</x:v>
      </x:c>
      <x:c r="W4188" s="87" t="n">
        <x:v>12</x:v>
      </x:c>
      <x:c r="X4188" s="87"/>
      <x:c r="Y4188" s="87"/>
      <x:c r="Z4188" s="87"/>
      <x:c r="AA4188" s="87"/>
      <x:c r="AB4188" s="87"/>
      <x:c r="AC4188" s="87" t="str">
        <x:v>VIS-PHY-DEC-009</x:v>
      </x:c>
      <x:c r="AD4188" s="87"/>
      <x:c r="AE4188" s="87"/>
      <x:c r="AF4188" s="87" t="str">
        <x:v>VIS-PHY-DEC-009: 12</x:v>
      </x:c>
      <x:c r="AG4188" s="87" t="str">
        <x:v>RESOLVED</x:v>
      </x:c>
      <x:c r="AH4188" s="87" t="str">
        <x:v>CROP_VERIFIED; TASK_CROP_QA_APPROVED:USE_CONTEXT</x:v>
      </x:c>
      <x:c r="AI4188" s="30"/>
      <x:c r="AJ4188" s="87" t="str">
        <x:v>clean</x:v>
      </x:c>
      <x:c r="AK4188" s="87" t="str">
        <x:v>clean-v0.03</x:v>
      </x:c>
      <x:c r="AL4188" s="87" t="str">
        <x:v>statgrad_clean_continuation_v0_03(1).xlsx</x:v>
      </x:c>
      <x:c r="AM4188" s="87" t="str">
        <x:v>PHY_Dec_V1</x:v>
      </x:c>
      <x:c r="AN4188" s="87" t="n">
        <x:v>22</x:v>
      </x:c>
    </x:row>
    <x:row r="4189">
      <x:c r="A4189" s="87" t="n">
        <x:v>4188</x:v>
      </x:c>
      <x:c r="B4189" s="87" t="str">
        <x:v>DEC-PHY-V1-022</x:v>
      </x:c>
      <x:c r="C4189" s="87" t="str">
        <x:v>СтатГрад</x:v>
      </x:c>
      <x:c r="D4189" s="87" t="str">
        <x:v>Декабрь 2025</x:v>
      </x:c>
      <x:c r="E4189" s="87"/>
      <x:c r="F4189" s="87"/>
      <x:c r="G4189" s="87" t="str">
        <x:v>Физика</x:v>
      </x:c>
      <x:c r="H4189" s="87" t="n">
        <x:v>11</x:v>
      </x:c>
      <x:c r="I4189" s="87" t="str">
        <x:v>ТР №2</x:v>
      </x:c>
      <x:c r="J4189" s="87" t="str">
        <x:v>ФИ2510201</x:v>
      </x:c>
      <x:c r="K4189" s="87" t="n">
        <x:v>22</x:v>
      </x:c>
      <x:c r="L4189" s="87" t="str">
        <x:v>Баллистика: расчётная задача</x:v>
      </x:c>
      <x:c r="M4189" s="30" t="str">
        <x:v>Камень брошен горизонтально с высоты Н = 20 м над поверхностью земли. Определите, под каким углом α к горизонту был направлен вектор скорости камня в момент удара о землю, если дальность его полета равна S = 15 м. Сопротивлением воздуха пренебречь.</x:v>
      </x:c>
      <x:c r="N4189" s="30" t="str">
        <x:v>α ≈ 70°</x:v>
      </x:c>
      <x:c r="O4189" s="30" t="str">
        <x:v>Для горизонтального броска tan α = vᵧ/vₓ = gt/v₀ = 2H/S = 8/3, откуда α ≈ 70°.</x:v>
      </x:c>
      <x:c r="P4189" s="30" t="str">
        <x:v>Решено независимо; формулы, единицы и визуальные данные повторно проверены.</x:v>
      </x:c>
      <x:c r="Q4189" s="30"/>
      <x:c r="R4189" s="30" t="str">
        <x:v>α ≈ 70°</x:v>
      </x:c>
      <x:c r="S4189" s="30"/>
      <x:c r="T4189" s="30" t="str">
        <x:v>Официальное возможное решение и критерий</x:v>
      </x:c>
      <x:c r="U4189" s="30" t="str">
        <x:v>Расхождений не обнаружено.</x:v>
      </x:c>
      <x:c r="V4189" s="87" t="str">
        <x:v>VERIFIED</x:v>
      </x:c>
      <x:c r="W4189" s="87" t="n">
        <x:v>12</x:v>
      </x:c>
      <x:c r="X4189" s="87"/>
      <x:c r="Y4189" s="87"/>
      <x:c r="Z4189" s="87"/>
      <x:c r="AA4189" s="87"/>
      <x:c r="AB4189" s="87"/>
      <x:c r="AC4189" s="87" t="str">
        <x:v>VIS-PHY-DEC-009</x:v>
      </x:c>
      <x:c r="AD4189" s="87"/>
      <x:c r="AE4189" s="87"/>
      <x:c r="AF4189" s="87" t="str">
        <x:v>VIS-PHY-DEC-009: 12</x:v>
      </x:c>
      <x:c r="AG4189" s="87" t="str">
        <x:v>RESOLVED</x:v>
      </x:c>
      <x:c r="AH4189" s="87" t="str">
        <x:v>CROP_VERIFIED</x:v>
      </x:c>
      <x:c r="AI4189" s="30"/>
      <x:c r="AJ4189" s="87" t="str">
        <x:v>clean</x:v>
      </x:c>
      <x:c r="AK4189" s="87" t="str">
        <x:v>clean-v0.03</x:v>
      </x:c>
      <x:c r="AL4189" s="87" t="str">
        <x:v>statgrad_clean_continuation_v0_03(1).xlsx</x:v>
      </x:c>
      <x:c r="AM4189" s="87" t="str">
        <x:v>PHY_Dec_V1</x:v>
      </x:c>
      <x:c r="AN4189" s="87" t="n">
        <x:v>23</x:v>
      </x:c>
    </x:row>
    <x:row r="4190">
      <x:c r="A4190" s="87" t="n">
        <x:v>4189</x:v>
      </x:c>
      <x:c r="B4190" s="87" t="str">
        <x:v>DEC-PHY-V1-023</x:v>
      </x:c>
      <x:c r="C4190" s="87" t="str">
        <x:v>СтатГрад</x:v>
      </x:c>
      <x:c r="D4190" s="87" t="str">
        <x:v>Декабрь 2025</x:v>
      </x:c>
      <x:c r="E4190" s="87"/>
      <x:c r="F4190" s="87"/>
      <x:c r="G4190" s="87" t="str">
        <x:v>Физика</x:v>
      </x:c>
      <x:c r="H4190" s="87" t="n">
        <x:v>11</x:v>
      </x:c>
      <x:c r="I4190" s="87" t="str">
        <x:v>ТР №2</x:v>
      </x:c>
      <x:c r="J4190" s="87" t="str">
        <x:v>ФИ2510201</x:v>
      </x:c>
      <x:c r="K4190" s="87" t="n">
        <x:v>23</x:v>
      </x:c>
      <x:c r="L4190" s="87" t="str">
        <x:v>Электростатика и конденсатор</x:v>
      </x:c>
      <x:c r="M4190" s="30" t="str">
        <x:v>Между горизонтально расположенными обкладками плоского конденсатора в состоянии покоя висит заряженный шарик, масса которого равна m = 0,3 г, а заряд q = 10 мкКл. Определите ёмкость C конденсатора, если модуль заряда на его обкладках равен Q = 0,4 мкКл, а расстояние между ними d = 2 мм.</x:v>
      </x:c>
      <x:c r="N4190" s="30" t="str">
        <x:v>C ≈ 0,67·10⁻⁶ Ф</x:v>
      </x:c>
      <x:c r="O4190" s="30" t="str">
        <x:v>Равновесие qE=mg, E=U/d, C=Q/U; поэтому C=Qq/(mgd)≈0,67 мкФ.</x:v>
      </x:c>
      <x:c r="P4190" s="30" t="str">
        <x:v>Решено независимо; формулы, единицы и визуальные данные повторно проверены.</x:v>
      </x:c>
      <x:c r="Q4190" s="30"/>
      <x:c r="R4190" s="30" t="str">
        <x:v>C ≈ 0,67·10⁻⁶ Ф</x:v>
      </x:c>
      <x:c r="S4190" s="30"/>
      <x:c r="T4190" s="30" t="str">
        <x:v>Официальное возможное решение и критерий</x:v>
      </x:c>
      <x:c r="U4190" s="30" t="str">
        <x:v>Расхождений не обнаружено.</x:v>
      </x:c>
      <x:c r="V4190" s="87" t="str">
        <x:v>VERIFIED</x:v>
      </x:c>
      <x:c r="W4190" s="87" t="n">
        <x:v>12</x:v>
      </x:c>
      <x:c r="X4190" s="87"/>
      <x:c r="Y4190" s="87"/>
      <x:c r="Z4190" s="87"/>
      <x:c r="AA4190" s="87"/>
      <x:c r="AB4190" s="87"/>
      <x:c r="AC4190" s="87" t="str">
        <x:v>VIS-PHY-DEC-009</x:v>
      </x:c>
      <x:c r="AD4190" s="87"/>
      <x:c r="AE4190" s="87"/>
      <x:c r="AF4190" s="87" t="str">
        <x:v>VIS-PHY-DEC-009: 12</x:v>
      </x:c>
      <x:c r="AG4190" s="87" t="str">
        <x:v>RESOLVED</x:v>
      </x:c>
      <x:c r="AH4190" s="87" t="str">
        <x:v>CROP_VERIFIED</x:v>
      </x:c>
      <x:c r="AI4190" s="30"/>
      <x:c r="AJ4190" s="87" t="str">
        <x:v>clean</x:v>
      </x:c>
      <x:c r="AK4190" s="87" t="str">
        <x:v>clean-v0.03</x:v>
      </x:c>
      <x:c r="AL4190" s="87" t="str">
        <x:v>statgrad_clean_continuation_v0_03(1).xlsx</x:v>
      </x:c>
      <x:c r="AM4190" s="87" t="str">
        <x:v>PHY_Dec_V1</x:v>
      </x:c>
      <x:c r="AN4190" s="87" t="n">
        <x:v>24</x:v>
      </x:c>
    </x:row>
    <x:row r="4191">
      <x:c r="A4191" s="87" t="n">
        <x:v>4190</x:v>
      </x:c>
      <x:c r="B4191" s="87" t="str">
        <x:v>DEC-PHY-V1-024</x:v>
      </x:c>
      <x:c r="C4191" s="87" t="str">
        <x:v>СтатГрад</x:v>
      </x:c>
      <x:c r="D4191" s="87" t="str">
        <x:v>Декабрь 2025</x:v>
      </x:c>
      <x:c r="E4191" s="87"/>
      <x:c r="F4191" s="87"/>
      <x:c r="G4191" s="87" t="str">
        <x:v>Физика</x:v>
      </x:c>
      <x:c r="H4191" s="87" t="n">
        <x:v>11</x:v>
      </x:c>
      <x:c r="I4191" s="87" t="str">
        <x:v>ТР №2</x:v>
      </x:c>
      <x:c r="J4191" s="87" t="str">
        <x:v>ФИ2510201</x:v>
      </x:c>
      <x:c r="K4191" s="87" t="n">
        <x:v>24</x:v>
      </x:c>
      <x:c r="L4191" s="87" t="str">
        <x:v>Тепловой баланс</x:v>
      </x:c>
      <x:c r="M4191" s="30" t="str">
        <x:v>Найдите массу льда, которую можно превратить в воду и затем довести до кипения при сжигании сухих дров массой m = 2 кг. Начальная температура льда равна t 0 = –30 °C, а удельная теплота сгорания сухих дров q = 8⋅106 Дж/кг. Учесть, что η = 80 % количества теплоты, выделяющегося при сгорании дров, рассеивается в окружающую среду.</x:v>
      </x:c>
      <x:c r="N4191" s="30" t="str">
        <x:v>mл ≈ 3,94 кг</x:v>
      </x:c>
      <x:c r="O4191" s="30" t="str">
        <x:v>Полезно 20% теплоты сгорания. Тепловой баланс включает нагрев льда, плавление и нагрев воды до 100°C; mл≈3,94 кг.</x:v>
      </x:c>
      <x:c r="P4191" s="30" t="str">
        <x:v>Решено независимо; формулы, единицы и визуальные данные повторно проверены.</x:v>
      </x:c>
      <x:c r="Q4191" s="30"/>
      <x:c r="R4191" s="30" t="str">
        <x:v>mл ≈ 3,94 кг</x:v>
      </x:c>
      <x:c r="S4191" s="30"/>
      <x:c r="T4191" s="30" t="str">
        <x:v>Официальное возможное решение и критерий</x:v>
      </x:c>
      <x:c r="U4191" s="30" t="str">
        <x:v>Расхождений не обнаружено.</x:v>
      </x:c>
      <x:c r="V4191" s="87" t="str">
        <x:v>VERIFIED</x:v>
      </x:c>
      <x:c r="W4191" s="87" t="n">
        <x:v>12</x:v>
      </x:c>
      <x:c r="X4191" s="87"/>
      <x:c r="Y4191" s="87"/>
      <x:c r="Z4191" s="87"/>
      <x:c r="AA4191" s="87"/>
      <x:c r="AB4191" s="87"/>
      <x:c r="AC4191" s="87" t="str">
        <x:v>VIS-PHY-DEC-009</x:v>
      </x:c>
      <x:c r="AD4191" s="87"/>
      <x:c r="AE4191" s="87"/>
      <x:c r="AF4191" s="87" t="str">
        <x:v>VIS-PHY-DEC-009: 12</x:v>
      </x:c>
      <x:c r="AG4191" s="87" t="str">
        <x:v>RESOLVED</x:v>
      </x:c>
      <x:c r="AH4191" s="87" t="str">
        <x:v>CROP_VERIFIED</x:v>
      </x:c>
      <x:c r="AI4191" s="30"/>
      <x:c r="AJ4191" s="87" t="str">
        <x:v>clean</x:v>
      </x:c>
      <x:c r="AK4191" s="87" t="str">
        <x:v>clean-v0.03</x:v>
      </x:c>
      <x:c r="AL4191" s="87" t="str">
        <x:v>statgrad_clean_continuation_v0_03(1).xlsx</x:v>
      </x:c>
      <x:c r="AM4191" s="87" t="str">
        <x:v>PHY_Dec_V1</x:v>
      </x:c>
      <x:c r="AN4191" s="87" t="n">
        <x:v>25</x:v>
      </x:c>
    </x:row>
    <x:row r="4192">
      <x:c r="A4192" s="87" t="n">
        <x:v>4191</x:v>
      </x:c>
      <x:c r="B4192" s="87" t="str">
        <x:v>DEC-PHY-V1-025</x:v>
      </x:c>
      <x:c r="C4192" s="87" t="str">
        <x:v>СтатГрад</x:v>
      </x:c>
      <x:c r="D4192" s="87" t="str">
        <x:v>Декабрь 2025</x:v>
      </x:c>
      <x:c r="E4192" s="87"/>
      <x:c r="F4192" s="87"/>
      <x:c r="G4192" s="87" t="str">
        <x:v>Физика</x:v>
      </x:c>
      <x:c r="H4192" s="87" t="n">
        <x:v>11</x:v>
      </x:c>
      <x:c r="I4192" s="87" t="str">
        <x:v>ТР №2</x:v>
      </x:c>
      <x:c r="J4192" s="87" t="str">
        <x:v>ФИ2510201</x:v>
      </x:c>
      <x:c r="K4192" s="87" t="n">
        <x:v>25</x:v>
      </x:c>
      <x:c r="L4192" s="87" t="str">
        <x:v>Электромагнитная индукция: заряд</x:v>
      </x:c>
      <x:c r="M4192" s="30" t="str">
        <x:v>Квадратная проводящая рамка со стороной a = 10 см закреплена в однородном магнитном поле с индукцией B = 3 мТл. Вектор магнитной индукции этого поля лежит в плоскости рамки и направлен перпендикулярно одной из её сторон (см. рисунок). Какой заряд q протечёт по этой замкнутой рамке, если её повернуть на 180° вокруг оси ОО1? Сопротивление рамки равно R = 0,5 Ом.</x:v>
      </x:c>
      <x:c r="N4192" s="30" t="str">
        <x:v>q = 12·10⁻⁵ Кл</x:v>
      </x:c>
      <x:c r="O4192" s="30" t="str">
        <x:v>За поворот поток по модулю меняется дважды на BS, поэтому q=2BS/R=1,2·10⁻⁴ Кл.</x:v>
      </x:c>
      <x:c r="P4192" s="30" t="str">
        <x:v>Решено независимо; формулы, единицы и визуальные данные повторно проверены.</x:v>
      </x:c>
      <x:c r="Q4192" s="30"/>
      <x:c r="R4192" s="30" t="str">
        <x:v>q = 12·10⁻⁵ Кл</x:v>
      </x:c>
      <x:c r="S4192" s="30"/>
      <x:c r="T4192" s="30" t="str">
        <x:v>Официальное возможное решение и критерий</x:v>
      </x:c>
      <x:c r="U4192" s="30" t="str">
        <x:v>Расхождений не обнаружено.</x:v>
      </x:c>
      <x:c r="V4192" s="87" t="str">
        <x:v>VERIFIED</x:v>
      </x:c>
      <x:c r="W4192" s="87" t="n">
        <x:v>13</x:v>
      </x:c>
      <x:c r="X4192" s="87"/>
      <x:c r="Y4192" s="87"/>
      <x:c r="Z4192" s="87"/>
      <x:c r="AA4192" s="87"/>
      <x:c r="AB4192" s="87"/>
      <x:c r="AC4192" s="87" t="str">
        <x:v>VIS-PHY-DEC-010</x:v>
      </x:c>
      <x:c r="AD4192" s="87"/>
      <x:c r="AE4192" s="87"/>
      <x:c r="AF4192" s="87" t="str">
        <x:v>VIS-PHY-DEC-010: 13</x:v>
      </x:c>
      <x:c r="AG4192" s="87" t="str">
        <x:v>RESOLVED</x:v>
      </x:c>
      <x:c r="AH4192" s="87" t="str">
        <x:v>CROP_VERIFIED; TASK_CROP_QA_APPROVED:USE_CONTEXT</x:v>
      </x:c>
      <x:c r="AI4192" s="30"/>
      <x:c r="AJ4192" s="87" t="str">
        <x:v>clean</x:v>
      </x:c>
      <x:c r="AK4192" s="87" t="str">
        <x:v>clean-v0.03</x:v>
      </x:c>
      <x:c r="AL4192" s="87" t="str">
        <x:v>statgrad_clean_continuation_v0_03(1).xlsx</x:v>
      </x:c>
      <x:c r="AM4192" s="87" t="str">
        <x:v>PHY_Dec_V1</x:v>
      </x:c>
      <x:c r="AN4192" s="87" t="n">
        <x:v>26</x:v>
      </x:c>
    </x:row>
    <x:row r="4193">
      <x:c r="A4193" s="87" t="n">
        <x:v>4192</x:v>
      </x:c>
      <x:c r="B4193" s="87" t="str">
        <x:v>DEC-PHY-V1-026</x:v>
      </x:c>
      <x:c r="C4193" s="87" t="str">
        <x:v>СтатГрад</x:v>
      </x:c>
      <x:c r="D4193" s="87" t="str">
        <x:v>Декабрь 2025</x:v>
      </x:c>
      <x:c r="E4193" s="87"/>
      <x:c r="F4193" s="87"/>
      <x:c r="G4193" s="87" t="str">
        <x:v>Физика</x:v>
      </x:c>
      <x:c r="H4193" s="87" t="n">
        <x:v>11</x:v>
      </x:c>
      <x:c r="I4193" s="87" t="str">
        <x:v>ТР №2</x:v>
      </x:c>
      <x:c r="J4193" s="87" t="str">
        <x:v>ФИ2510201</x:v>
      </x:c>
      <x:c r="K4193" s="87" t="n">
        <x:v>26</x:v>
      </x:c>
      <x:c r="L4193" s="87" t="str">
        <x:v>Динамика связанных тел</x:v>
      </x:c>
      <x:c r="M4193" s="30" t="str">
        <x:v>Два бруска массами m1 = 500 г и m2 = 800 г, связанные горизонтальной невесомой нерастяжимой нитью, скользят по горизонтальному столу под действием постоянной силы F = 6 Н, направленной под углом α = 30о к поверхности стола (см. рисунок). Коэффициент трения между брусками и поверхностью стола равен μ = 0,2. Определите модуль силы натяжения нити. Сделайте рисунок с указанием сил, действующих на каждый брусок. Обоснуйте применимость законов, используемых для решения задачи.  F </x:v>
      </x:c>
      <x:c r="N4193" s="30" t="str">
        <x:v>T ≈ 3,57 Н</x:v>
      </x:c>
      <x:c r="O4193" s="30" t="str">
        <x:v>Для системы a=[F(cosα+μsinα)−μ(m₁+m₂)g]/(m₁+m₂); для второго бруска T=m₂(a+μg)≈3,57 Н.</x:v>
      </x:c>
      <x:c r="P4193" s="30" t="str">
        <x:v>Решено независимо; формулы, единицы и визуальные данные повторно проверены.</x:v>
      </x:c>
      <x:c r="Q4193" s="30"/>
      <x:c r="R4193" s="30" t="str">
        <x:v>T ≈ 3,57 Н</x:v>
      </x:c>
      <x:c r="S4193" s="30"/>
      <x:c r="T4193" s="30" t="str">
        <x:v>Официальное возможное решение и критерий</x:v>
      </x:c>
      <x:c r="U4193" s="30" t="str">
        <x:v>Расхождений не обнаружено.</x:v>
      </x:c>
      <x:c r="V4193" s="87" t="str">
        <x:v>VERIFIED</x:v>
      </x:c>
      <x:c r="W4193" s="87" t="n">
        <x:v>13</x:v>
      </x:c>
      <x:c r="X4193" s="87"/>
      <x:c r="Y4193" s="87"/>
      <x:c r="Z4193" s="87"/>
      <x:c r="AA4193" s="87"/>
      <x:c r="AB4193" s="87"/>
      <x:c r="AC4193" s="87" t="str">
        <x:v>VIS-PHY-DEC-010</x:v>
      </x:c>
      <x:c r="AD4193" s="87"/>
      <x:c r="AE4193" s="87"/>
      <x:c r="AF4193" s="87" t="str">
        <x:v>VIS-PHY-DEC-010: 13</x:v>
      </x:c>
      <x:c r="AG4193" s="87" t="str">
        <x:v>RESOLVED</x:v>
      </x:c>
      <x:c r="AH4193" s="87" t="str">
        <x:v>CROP_VERIFIED; TASK_CROP_QA_APPROVED:USE_CONTEXT</x:v>
      </x:c>
      <x:c r="AI4193" s="30"/>
      <x:c r="AJ4193" s="87" t="str">
        <x:v>clean</x:v>
      </x:c>
      <x:c r="AK4193" s="87" t="str">
        <x:v>clean-v0.03</x:v>
      </x:c>
      <x:c r="AL4193" s="87" t="str">
        <x:v>statgrad_clean_continuation_v0_03(1).xlsx</x:v>
      </x:c>
      <x:c r="AM4193" s="87" t="str">
        <x:v>PHY_Dec_V1</x:v>
      </x:c>
      <x:c r="AN4193" s="87" t="n">
        <x:v>27</x:v>
      </x:c>
    </x:row>
    <x:row r="4194">
      <x:c r="A4194" s="87" t="n">
        <x:v>4193</x:v>
      </x:c>
      <x:c r="B4194" s="87" t="str">
        <x:v>DEC-PHY-V2-001</x:v>
      </x:c>
      <x:c r="C4194" s="87" t="str">
        <x:v>СтатГрад</x:v>
      </x:c>
      <x:c r="D4194" s="87" t="str">
        <x:v>Декабрь 2025</x:v>
      </x:c>
      <x:c r="E4194" s="87"/>
      <x:c r="F4194" s="87"/>
      <x:c r="G4194" s="87" t="str">
        <x:v>Физика</x:v>
      </x:c>
      <x:c r="H4194" s="87" t="n">
        <x:v>11</x:v>
      </x:c>
      <x:c r="I4194" s="87" t="str">
        <x:v>ТР №2</x:v>
      </x:c>
      <x:c r="J4194" s="87" t="str">
        <x:v>ФИ2510202</x:v>
      </x:c>
      <x:c r="K4194" s="87" t="n">
        <x:v>1</x:v>
      </x:c>
      <x:c r="L4194" s="87" t="str">
        <x:v>Кинематика: график скорости</x:v>
      </x:c>
      <x:c r="M4194" s="30" t="str">
        <x:v>На рисунке приведён график зависимости проекции υ x скорости тела на ось OX от времени t. Определите проекцию ускорения тела на ось OX в течение промежутка времени от 5 с до 7 с. Ответ запишите с учётом знака проекции. Ответ: ___________________________ м/с2.</x:v>
      </x:c>
      <x:c r="N4194" s="30" t="str">
        <x:v>−7,5</x:v>
      </x:c>
      <x:c r="O4194" s="30" t="str">
        <x:v>Ускорение равно угловому коэффициенту графика vₓ(t): Δvₓ/Δt на указанном интервале.</x:v>
      </x:c>
      <x:c r="P4194" s="30" t="str">
        <x:v>Решено независимо; формулы, единицы и визуальные данные повторно проверены.</x:v>
      </x:c>
      <x:c r="Q4194" s="30"/>
      <x:c r="R4194" s="30" t="str">
        <x:v>−7,5</x:v>
      </x:c>
      <x:c r="S4194" s="30"/>
      <x:c r="T4194" s="30" t="str">
        <x:v>Приложенная фотография дополнительного ключа</x:v>
      </x:c>
      <x:c r="U4194" s="30" t="str">
        <x:v>Расхождений не обнаружено.</x:v>
      </x:c>
      <x:c r="V4194" s="87" t="str">
        <x:v>VERIFIED</x:v>
      </x:c>
      <x:c r="W4194" s="87" t="n">
        <x:v>17</x:v>
      </x:c>
      <x:c r="X4194" s="87"/>
      <x:c r="Y4194" s="87"/>
      <x:c r="Z4194" s="87"/>
      <x:c r="AA4194" s="87"/>
      <x:c r="AB4194" s="87"/>
      <x:c r="AC4194" s="87" t="str">
        <x:v>VIS-PHY-DEC-011</x:v>
      </x:c>
      <x:c r="AD4194" s="87"/>
      <x:c r="AE4194" s="87"/>
      <x:c r="AF4194" s="87" t="str">
        <x:v>VIS-PHY-DEC-011: 17</x:v>
      </x:c>
      <x:c r="AG4194" s="87" t="str">
        <x:v>RESOLVED</x:v>
      </x:c>
      <x:c r="AH4194" s="87" t="str">
        <x:v>CROP_VERIFIED; TASK_CROP_QA_APPROVED:USE_CONTEXT</x:v>
      </x:c>
      <x:c r="AI4194" s="30"/>
      <x:c r="AJ4194" s="87" t="str">
        <x:v>clean</x:v>
      </x:c>
      <x:c r="AK4194" s="87" t="str">
        <x:v>clean-v0.03</x:v>
      </x:c>
      <x:c r="AL4194" s="87" t="str">
        <x:v>statgrad_clean_continuation_v0_03(1).xlsx</x:v>
      </x:c>
      <x:c r="AM4194" s="87" t="str">
        <x:v>PHY_Dec_V2</x:v>
      </x:c>
      <x:c r="AN4194" s="87" t="n">
        <x:v>2</x:v>
      </x:c>
    </x:row>
    <x:row r="4195">
      <x:c r="A4195" s="87" t="n">
        <x:v>4194</x:v>
      </x:c>
      <x:c r="B4195" s="87" t="str">
        <x:v>DEC-PHY-V2-002</x:v>
      </x:c>
      <x:c r="C4195" s="87" t="str">
        <x:v>СтатГрад</x:v>
      </x:c>
      <x:c r="D4195" s="87" t="str">
        <x:v>Декабрь 2025</x:v>
      </x:c>
      <x:c r="E4195" s="87"/>
      <x:c r="F4195" s="87"/>
      <x:c r="G4195" s="87" t="str">
        <x:v>Физика</x:v>
      </x:c>
      <x:c r="H4195" s="87" t="n">
        <x:v>11</x:v>
      </x:c>
      <x:c r="I4195" s="87" t="str">
        <x:v>ТР №2</x:v>
      </x:c>
      <x:c r="J4195" s="87" t="str">
        <x:v>ФИ2510202</x:v>
      </x:c>
      <x:c r="K4195" s="87" t="n">
        <x:v>2</x:v>
      </x:c>
      <x:c r="L4195" s="87" t="str">
        <x:v>Динамика: второй закон Ньютона</x:v>
      </x:c>
      <x:c r="M4195" s="30" t="str">
        <x:v>Тележка массой 1,5 кг движется по гладкому горизонтальному столу под действием постоянной силы, направленной вдоль поверхности стола. В инерциальной системе отсчёта, связанной со столом, ускорение тележки равно 2,2 м/с2. Чему равен модуль этой силы? Ответ: ___________________________ Н.</x:v>
      </x:c>
      <x:c r="N4195" s="30" t="str">
        <x:v>3,3</x:v>
      </x:c>
      <x:c r="O4195" s="30" t="str">
        <x:v>На гладком столе горизонтальная равнодействующая равна приложенной силе; используется F = ma.</x:v>
      </x:c>
      <x:c r="P4195" s="30" t="str">
        <x:v>Решено независимо; формулы, единицы и визуальные данные повторно проверены.</x:v>
      </x:c>
      <x:c r="Q4195" s="30"/>
      <x:c r="R4195" s="30" t="str">
        <x:v>3,3</x:v>
      </x:c>
      <x:c r="S4195" s="30"/>
      <x:c r="T4195" s="30" t="str">
        <x:v>Приложенная фотография дополнительного ключа</x:v>
      </x:c>
      <x:c r="U4195" s="30" t="str">
        <x:v>Расхождений не обнаружено.</x:v>
      </x:c>
      <x:c r="V4195" s="87" t="str">
        <x:v>VERIFIED</x:v>
      </x:c>
      <x:c r="W4195" s="87" t="n">
        <x:v>17</x:v>
      </x:c>
      <x:c r="X4195" s="87"/>
      <x:c r="Y4195" s="87"/>
      <x:c r="Z4195" s="87"/>
      <x:c r="AA4195" s="87"/>
      <x:c r="AB4195" s="87"/>
      <x:c r="AC4195" s="87" t="str">
        <x:v>VIS-PHY-DEC-011</x:v>
      </x:c>
      <x:c r="AD4195" s="87"/>
      <x:c r="AE4195" s="87"/>
      <x:c r="AF4195" s="87" t="str">
        <x:v>VIS-PHY-DEC-011: 17</x:v>
      </x:c>
      <x:c r="AG4195" s="87" t="str">
        <x:v>RESOLVED</x:v>
      </x:c>
      <x:c r="AH4195" s="87" t="str">
        <x:v>CROP_VERIFIED</x:v>
      </x:c>
      <x:c r="AI4195" s="30"/>
      <x:c r="AJ4195" s="87" t="str">
        <x:v>clean</x:v>
      </x:c>
      <x:c r="AK4195" s="87" t="str">
        <x:v>clean-v0.03</x:v>
      </x:c>
      <x:c r="AL4195" s="87" t="str">
        <x:v>statgrad_clean_continuation_v0_03(1).xlsx</x:v>
      </x:c>
      <x:c r="AM4195" s="87" t="str">
        <x:v>PHY_Dec_V2</x:v>
      </x:c>
      <x:c r="AN4195" s="87" t="n">
        <x:v>3</x:v>
      </x:c>
    </x:row>
    <x:row r="4196">
      <x:c r="A4196" s="87" t="n">
        <x:v>4195</x:v>
      </x:c>
      <x:c r="B4196" s="87" t="str">
        <x:v>DEC-PHY-V2-003</x:v>
      </x:c>
      <x:c r="C4196" s="87" t="str">
        <x:v>СтатГрад</x:v>
      </x:c>
      <x:c r="D4196" s="87" t="str">
        <x:v>Декабрь 2025</x:v>
      </x:c>
      <x:c r="E4196" s="87"/>
      <x:c r="F4196" s="87"/>
      <x:c r="G4196" s="87" t="str">
        <x:v>Физика</x:v>
      </x:c>
      <x:c r="H4196" s="87" t="n">
        <x:v>11</x:v>
      </x:c>
      <x:c r="I4196" s="87" t="str">
        <x:v>ТР №2</x:v>
      </x:c>
      <x:c r="J4196" s="87" t="str">
        <x:v>ФИ2510202</x:v>
      </x:c>
      <x:c r="K4196" s="87" t="n">
        <x:v>3</x:v>
      </x:c>
      <x:c r="L4196" s="87" t="str">
        <x:v>Импульс: неупругое столкновение</x:v>
      </x:c>
      <x:c r="M4196" s="30" t="str">
        <x:v>Пластилиновый шарик массой 100 г, движущийся со скоростью 3 м/с, сталкивается с таким же шариком, движущимся в том же направлении со скоростью 2 м/с. Чему будет равен модуль скорости этих шариков после их абсолютно неупругого столкновения, если центры шариков двигались вдоль одной прямой? Ответ: ___________________________ м/с.</x:v>
      </x:c>
      <x:c r="N4196" s="30" t="str">
        <x:v>2,5</x:v>
      </x:c>
      <x:c r="O4196" s="30" t="str">
        <x:v>Для абсолютно неупругого столкновения сохраняется импульс; после удара шарики движутся вместе.</x:v>
      </x:c>
      <x:c r="P4196" s="30" t="str">
        <x:v>Решено независимо; формулы, единицы и визуальные данные повторно проверены.</x:v>
      </x:c>
      <x:c r="Q4196" s="30"/>
      <x:c r="R4196" s="30" t="str">
        <x:v>2,5</x:v>
      </x:c>
      <x:c r="S4196" s="30"/>
      <x:c r="T4196" s="30" t="str">
        <x:v>Приложенная фотография дополнительного ключа</x:v>
      </x:c>
      <x:c r="U4196" s="30" t="str">
        <x:v>Расхождений не обнаружено.</x:v>
      </x:c>
      <x:c r="V4196" s="87" t="str">
        <x:v>VERIFIED</x:v>
      </x:c>
      <x:c r="W4196" s="87" t="n">
        <x:v>17</x:v>
      </x:c>
      <x:c r="X4196" s="87"/>
      <x:c r="Y4196" s="87"/>
      <x:c r="Z4196" s="87"/>
      <x:c r="AA4196" s="87"/>
      <x:c r="AB4196" s="87"/>
      <x:c r="AC4196" s="87" t="str">
        <x:v>VIS-PHY-DEC-011</x:v>
      </x:c>
      <x:c r="AD4196" s="87"/>
      <x:c r="AE4196" s="87"/>
      <x:c r="AF4196" s="87" t="str">
        <x:v>VIS-PHY-DEC-011: 17</x:v>
      </x:c>
      <x:c r="AG4196" s="87" t="str">
        <x:v>RESOLVED</x:v>
      </x:c>
      <x:c r="AH4196" s="87" t="str">
        <x:v>CROP_VERIFIED</x:v>
      </x:c>
      <x:c r="AI4196" s="30"/>
      <x:c r="AJ4196" s="87" t="str">
        <x:v>clean</x:v>
      </x:c>
      <x:c r="AK4196" s="87" t="str">
        <x:v>clean-v0.03</x:v>
      </x:c>
      <x:c r="AL4196" s="87" t="str">
        <x:v>statgrad_clean_continuation_v0_03(1).xlsx</x:v>
      </x:c>
      <x:c r="AM4196" s="87" t="str">
        <x:v>PHY_Dec_V2</x:v>
      </x:c>
      <x:c r="AN4196" s="87" t="n">
        <x:v>4</x:v>
      </x:c>
    </x:row>
    <x:row r="4197">
      <x:c r="A4197" s="87" t="n">
        <x:v>4196</x:v>
      </x:c>
      <x:c r="B4197" s="87" t="str">
        <x:v>DEC-PHY-V2-004</x:v>
      </x:c>
      <x:c r="C4197" s="87" t="str">
        <x:v>СтатГрад</x:v>
      </x:c>
      <x:c r="D4197" s="87" t="str">
        <x:v>Декабрь 2025</x:v>
      </x:c>
      <x:c r="E4197" s="87"/>
      <x:c r="F4197" s="87"/>
      <x:c r="G4197" s="87" t="str">
        <x:v>Физика</x:v>
      </x:c>
      <x:c r="H4197" s="87" t="n">
        <x:v>11</x:v>
      </x:c>
      <x:c r="I4197" s="87" t="str">
        <x:v>ТР №2</x:v>
      </x:c>
      <x:c r="J4197" s="87" t="str">
        <x:v>ФИ2510202</x:v>
      </x:c>
      <x:c r="K4197" s="87" t="n">
        <x:v>4</x:v>
      </x:c>
      <x:c r="L4197" s="87" t="str">
        <x:v>Гидростатика</x:v>
      </x:c>
      <x:c r="M4197" s="30" t="str">
        <x:v>Чему равно гидростатическое давление, создаваемое водой на горизонтальное дно пруда глубиной 3,7 м? Атмосферное давление не учитывать. Ответ: ___________________________ кПа.</x:v>
      </x:c>
      <x:c r="N4197" s="30" t="str">
        <x:v>37</x:v>
      </x:c>
      <x:c r="O4197" s="30" t="str">
        <x:v>Гидростатическое давление и глубина связаны формулой p = ρgh.</x:v>
      </x:c>
      <x:c r="P4197" s="30" t="str">
        <x:v>Решено независимо; формулы, единицы и визуальные данные повторно проверены.</x:v>
      </x:c>
      <x:c r="Q4197" s="30"/>
      <x:c r="R4197" s="30" t="str">
        <x:v>37</x:v>
      </x:c>
      <x:c r="S4197" s="30"/>
      <x:c r="T4197" s="30" t="str">
        <x:v>Приложенная фотография дополнительного ключа</x:v>
      </x:c>
      <x:c r="U4197" s="30" t="str">
        <x:v>Расхождений не обнаружено.</x:v>
      </x:c>
      <x:c r="V4197" s="87" t="str">
        <x:v>VERIFIED</x:v>
      </x:c>
      <x:c r="W4197" s="87" t="n">
        <x:v>17</x:v>
      </x:c>
      <x:c r="X4197" s="87"/>
      <x:c r="Y4197" s="87"/>
      <x:c r="Z4197" s="87"/>
      <x:c r="AA4197" s="87"/>
      <x:c r="AB4197" s="87"/>
      <x:c r="AC4197" s="87" t="str">
        <x:v>VIS-PHY-DEC-011</x:v>
      </x:c>
      <x:c r="AD4197" s="87"/>
      <x:c r="AE4197" s="87"/>
      <x:c r="AF4197" s="87" t="str">
        <x:v>VIS-PHY-DEC-011: 17</x:v>
      </x:c>
      <x:c r="AG4197" s="87" t="str">
        <x:v>RESOLVED</x:v>
      </x:c>
      <x:c r="AH4197" s="87" t="str">
        <x:v>CROP_VERIFIED</x:v>
      </x:c>
      <x:c r="AI4197" s="30"/>
      <x:c r="AJ4197" s="87" t="str">
        <x:v>clean</x:v>
      </x:c>
      <x:c r="AK4197" s="87" t="str">
        <x:v>clean-v0.03</x:v>
      </x:c>
      <x:c r="AL4197" s="87" t="str">
        <x:v>statgrad_clean_continuation_v0_03(1).xlsx</x:v>
      </x:c>
      <x:c r="AM4197" s="87" t="str">
        <x:v>PHY_Dec_V2</x:v>
      </x:c>
      <x:c r="AN4197" s="87" t="n">
        <x:v>5</x:v>
      </x:c>
    </x:row>
    <x:row r="4198">
      <x:c r="A4198" s="87" t="n">
        <x:v>4197</x:v>
      </x:c>
      <x:c r="B4198" s="87" t="str">
        <x:v>DEC-PHY-V2-005</x:v>
      </x:c>
      <x:c r="C4198" s="87" t="str">
        <x:v>СтатГрад</x:v>
      </x:c>
      <x:c r="D4198" s="87" t="str">
        <x:v>Декабрь 2025</x:v>
      </x:c>
      <x:c r="E4198" s="87"/>
      <x:c r="F4198" s="87"/>
      <x:c r="G4198" s="87" t="str">
        <x:v>Физика</x:v>
      </x:c>
      <x:c r="H4198" s="87" t="n">
        <x:v>11</x:v>
      </x:c>
      <x:c r="I4198" s="87" t="str">
        <x:v>ТР №2</x:v>
      </x:c>
      <x:c r="J4198" s="87" t="str">
        <x:v>ФИ2510202</x:v>
      </x:c>
      <x:c r="K4198" s="87" t="n">
        <x:v>5</x:v>
      </x:c>
      <x:c r="L4198" s="87" t="str">
        <x:v>Механика: анализ таблицы движения</x:v>
      </x:c>
      <x:c r="M4198" s="30" t="str">
        <x:v>Четыре одинаковых тела малых размеров двигались вдоль оси OX. Масса каждого тела равна 80 г. В таблице представлена зависимость координат этих тел от времени t. t, c 0 1 2 3 4 5 x1, м 0 2 4 6 8 10 x2, м 0 1 3 3 3 3 x3, м 0 1 4 9 16 25 x4, м 0 2 0 –2 0 2 Выберите из предложенных утверждений все, которые верно отражают результаты этого опыта. В ответе укажите их номера. 1) Первое тело двигалось равномерно. 2) Векторная сумма сил, действующих на третье тело в интервале времени от 2 с до 5 с, равна нулю. 3) Ускорение третьего тела равно 4 м/с2. 4) Период колебаний четвертого тела равен 4 с. 5) В момент времени 2 с кинетическая энергия первого тела была равна 0,16 Дж. Ответ: ___________________________.</x:v>
      </x:c>
      <x:c r="N4198" s="30" t="str">
        <x:v>145</x:v>
      </x:c>
      <x:c r="O4198" s="30" t="str">
        <x:v>Из x₁=2t следует равномерное движение и K=0,16 Дж; x₂ постоянно после 2 с; x₃=t² соответствует a=2 м/с²; x₄ повторяется с периодом 4 с. Отбор выполнен по формулировкам варианта.</x:v>
      </x:c>
      <x:c r="P4198" s="30" t="str">
        <x:v>Решено независимо; формулы, единицы и визуальные данные повторно проверены.</x:v>
      </x:c>
      <x:c r="Q4198" s="30"/>
      <x:c r="R4198" s="30" t="str">
        <x:v>145</x:v>
      </x:c>
      <x:c r="S4198" s="30"/>
      <x:c r="T4198" s="30" t="str">
        <x:v>Официальная таблица ответов в PDF критериев</x:v>
      </x:c>
      <x:c r="U4198" s="30" t="str">
        <x:v>Расхождений не обнаружено.</x:v>
      </x:c>
      <x:c r="V4198" s="87" t="str">
        <x:v>VERIFIED</x:v>
      </x:c>
      <x:c r="W4198" s="87" t="n">
        <x:v>18</x:v>
      </x:c>
      <x:c r="X4198" s="87"/>
      <x:c r="Y4198" s="87"/>
      <x:c r="Z4198" s="87"/>
      <x:c r="AA4198" s="87"/>
      <x:c r="AB4198" s="87"/>
      <x:c r="AC4198" s="87" t="str">
        <x:v>VIS-PHY-DEC-012</x:v>
      </x:c>
      <x:c r="AD4198" s="87"/>
      <x:c r="AE4198" s="87"/>
      <x:c r="AF4198" s="87" t="str">
        <x:v>VIS-PHY-DEC-012: 18</x:v>
      </x:c>
      <x:c r="AG4198" s="87" t="str">
        <x:v>RESOLVED</x:v>
      </x:c>
      <x:c r="AH4198" s="87" t="str">
        <x:v>CROP_VERIFIED; TASK_CROP_QA_APPROVED:USE_TIGHT</x:v>
      </x:c>
      <x:c r="AI4198" s="30"/>
      <x:c r="AJ4198" s="87" t="str">
        <x:v>clean</x:v>
      </x:c>
      <x:c r="AK4198" s="87" t="str">
        <x:v>clean-v0.03</x:v>
      </x:c>
      <x:c r="AL4198" s="87" t="str">
        <x:v>statgrad_clean_continuation_v0_03(1).xlsx</x:v>
      </x:c>
      <x:c r="AM4198" s="87" t="str">
        <x:v>PHY_Dec_V2</x:v>
      </x:c>
      <x:c r="AN4198" s="87" t="n">
        <x:v>6</x:v>
      </x:c>
    </x:row>
    <x:row r="4199">
      <x:c r="A4199" s="87" t="n">
        <x:v>4198</x:v>
      </x:c>
      <x:c r="B4199" s="87" t="str">
        <x:v>DEC-PHY-V2-006</x:v>
      </x:c>
      <x:c r="C4199" s="87" t="str">
        <x:v>СтатГрад</x:v>
      </x:c>
      <x:c r="D4199" s="87" t="str">
        <x:v>Декабрь 2025</x:v>
      </x:c>
      <x:c r="E4199" s="87"/>
      <x:c r="F4199" s="87"/>
      <x:c r="G4199" s="87" t="str">
        <x:v>Физика</x:v>
      </x:c>
      <x:c r="H4199" s="87" t="n">
        <x:v>11</x:v>
      </x:c>
      <x:c r="I4199" s="87" t="str">
        <x:v>ТР №2</x:v>
      </x:c>
      <x:c r="J4199" s="87" t="str">
        <x:v>ФИ2510202</x:v>
      </x:c>
      <x:c r="K4199" s="87" t="n">
        <x:v>6</x:v>
      </x:c>
      <x:c r="L4199" s="87" t="str">
        <x:v>Баллистика: соответствие графиков</x:v>
      </x:c>
      <x:c r="M4199" s="30" t="str">
        <x:v>Мячик бросают с начальной скоростью под углом α к горизонту с крыши дома высотой h (см. рисунок). Сопротивление воздуха пренебрежимо мало. Графики А) и Б) представляют собой зависимости физических величин, характеризующих движение мячика в процессе полёта, от времени t.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 ФИЗИЧЕСКАЯ ВЕЛИЧИНА А) 1) координата х мячика 2) модуль проекции скорости мячика на ось Y 3) кинетическая энергия мячика Б) 4) координата y мячика А Б Ответ:</x:v>
      </x:c>
      <x:c r="N4199" s="30" t="str">
        <x:v>23</x:v>
      </x:c>
      <x:c r="O4199" s="30" t="str">
        <x:v>Горизонтальная координата/импульс изменяются линейно или остаются постоянными; вертикальная координата и кинетическая энергия имеют квадратичную зависимость. Графики сверены визуально.</x:v>
      </x:c>
      <x:c r="P4199" s="30" t="str">
        <x:v>Решено независимо; формулы, единицы и визуальные данные повторно проверены.</x:v>
      </x:c>
      <x:c r="Q4199" s="30"/>
      <x:c r="R4199" s="30" t="str">
        <x:v>23</x:v>
      </x:c>
      <x:c r="S4199" s="30"/>
      <x:c r="T4199" s="30" t="str">
        <x:v>Приложенная фотография дополнительного ключа</x:v>
      </x:c>
      <x:c r="U4199" s="30" t="str">
        <x:v>Расхождений не обнаружено.</x:v>
      </x:c>
      <x:c r="V4199" s="87" t="str">
        <x:v>VERIFIED</x:v>
      </x:c>
      <x:c r="W4199" s="87" t="n">
        <x:v>19</x:v>
      </x:c>
      <x:c r="X4199" s="87"/>
      <x:c r="Y4199" s="87"/>
      <x:c r="Z4199" s="87"/>
      <x:c r="AA4199" s="87"/>
      <x:c r="AB4199" s="87"/>
      <x:c r="AC4199" s="87" t="str">
        <x:v>VIS-PHY-DEC-013</x:v>
      </x:c>
      <x:c r="AD4199" s="87"/>
      <x:c r="AE4199" s="87"/>
      <x:c r="AF4199" s="87" t="str">
        <x:v>VIS-PHY-DEC-013: 19</x:v>
      </x:c>
      <x:c r="AG4199" s="87" t="str">
        <x:v>RESOLVED</x:v>
      </x:c>
      <x:c r="AH4199" s="87" t="str">
        <x:v>CROP_VERIFIED; TASK_CROP_QA_APPROVED:COMPOSITE_CROP</x:v>
      </x:c>
      <x:c r="AI4199" s="30"/>
      <x:c r="AJ4199" s="87" t="str">
        <x:v>clean</x:v>
      </x:c>
      <x:c r="AK4199" s="87" t="str">
        <x:v>clean-v0.03</x:v>
      </x:c>
      <x:c r="AL4199" s="87" t="str">
        <x:v>statgrad_clean_continuation_v0_03(1).xlsx</x:v>
      </x:c>
      <x:c r="AM4199" s="87" t="str">
        <x:v>PHY_Dec_V2</x:v>
      </x:c>
      <x:c r="AN4199" s="87" t="n">
        <x:v>7</x:v>
      </x:c>
    </x:row>
    <x:row r="4200">
      <x:c r="A4200" s="87" t="n">
        <x:v>4199</x:v>
      </x:c>
      <x:c r="B4200" s="87" t="str">
        <x:v>DEC-PHY-V2-007</x:v>
      </x:c>
      <x:c r="C4200" s="87" t="str">
        <x:v>СтатГрад</x:v>
      </x:c>
      <x:c r="D4200" s="87" t="str">
        <x:v>Декабрь 2025</x:v>
      </x:c>
      <x:c r="E4200" s="87"/>
      <x:c r="F4200" s="87"/>
      <x:c r="G4200" s="87" t="str">
        <x:v>Физика</x:v>
      </x:c>
      <x:c r="H4200" s="87" t="n">
        <x:v>11</x:v>
      </x:c>
      <x:c r="I4200" s="87" t="str">
        <x:v>ТР №2</x:v>
      </x:c>
      <x:c r="J4200" s="87" t="str">
        <x:v>ФИ2510202</x:v>
      </x:c>
      <x:c r="K4200" s="87" t="n">
        <x:v>7</x:v>
      </x:c>
      <x:c r="L4200" s="87" t="str">
        <x:v>МКТ идеального газа</x:v>
      </x:c>
      <x:c r="M4200" s="30" t="str">
        <x:v>При нагревании одноатомного идеального газа его абсолютная температура увеличилась в 2 раза. Определите отношение средних кинетических энергий теплового движения молекул газа в конечном и начальном состояниях Е 2 /Е 1 . Ответ: ___________________________.</x:v>
      </x:c>
      <x:c r="N4200" s="30" t="str">
        <x:v>2</x:v>
      </x:c>
      <x:c r="O4200" s="30" t="str">
        <x:v>Средняя кинетическая энергия поступательного движения молекул прямо пропорциональна абсолютной температуре.</x:v>
      </x:c>
      <x:c r="P4200" s="30" t="str">
        <x:v>Решено независимо; формулы, единицы и визуальные данные повторно проверены.</x:v>
      </x:c>
      <x:c r="Q4200" s="30"/>
      <x:c r="R4200" s="30" t="str">
        <x:v>−7,5</x:v>
      </x:c>
      <x:c r="S4200" s="30"/>
      <x:c r="T4200" s="30" t="str">
        <x:v>Приложенная фотография дополнительного ключа</x:v>
      </x:c>
      <x:c r="U4200" s="30" t="str">
        <x:v>Официальный фото-ключ ошибочно повторяет ответ другого задания; принят независимо полученный физически верный ответ.</x:v>
      </x:c>
      <x:c r="V4200" s="87" t="str">
        <x:v>KEY_MISMATCH</x:v>
      </x:c>
      <x:c r="W4200" s="87" t="n">
        <x:v>19</x:v>
      </x:c>
      <x:c r="X4200" s="87"/>
      <x:c r="Y4200" s="87"/>
      <x:c r="Z4200" s="87"/>
      <x:c r="AA4200" s="87"/>
      <x:c r="AB4200" s="87"/>
      <x:c r="AC4200" s="87" t="str">
        <x:v>VIS-PHY-DEC-013</x:v>
      </x:c>
      <x:c r="AD4200" s="87"/>
      <x:c r="AE4200" s="87"/>
      <x:c r="AF4200" s="87" t="str">
        <x:v>VIS-PHY-DEC-013: 19</x:v>
      </x:c>
      <x:c r="AG4200" s="87" t="str">
        <x:v>RESOLVED</x:v>
      </x:c>
      <x:c r="AH4200" s="87" t="str">
        <x:v>CROP_VERIFIED</x:v>
      </x:c>
      <x:c r="AI4200" s="30"/>
      <x:c r="AJ4200" s="87" t="str">
        <x:v>clean</x:v>
      </x:c>
      <x:c r="AK4200" s="87" t="str">
        <x:v>clean-v0.03</x:v>
      </x:c>
      <x:c r="AL4200" s="87" t="str">
        <x:v>statgrad_clean_continuation_v0_03(1).xlsx</x:v>
      </x:c>
      <x:c r="AM4200" s="87" t="str">
        <x:v>PHY_Dec_V2</x:v>
      </x:c>
      <x:c r="AN4200" s="87" t="n">
        <x:v>8</x:v>
      </x:c>
    </x:row>
    <x:row r="4201">
      <x:c r="A4201" s="87" t="n">
        <x:v>4200</x:v>
      </x:c>
      <x:c r="B4201" s="87" t="str">
        <x:v>DEC-PHY-V2-008</x:v>
      </x:c>
      <x:c r="C4201" s="87" t="str">
        <x:v>СтатГрад</x:v>
      </x:c>
      <x:c r="D4201" s="87" t="str">
        <x:v>Декабрь 2025</x:v>
      </x:c>
      <x:c r="E4201" s="87"/>
      <x:c r="F4201" s="87"/>
      <x:c r="G4201" s="87" t="str">
        <x:v>Физика</x:v>
      </x:c>
      <x:c r="H4201" s="87" t="n">
        <x:v>11</x:v>
      </x:c>
      <x:c r="I4201" s="87" t="str">
        <x:v>ТР №2</x:v>
      </x:c>
      <x:c r="J4201" s="87" t="str">
        <x:v>ФИ2510202</x:v>
      </x:c>
      <x:c r="K4201" s="87" t="n">
        <x:v>8</x:v>
      </x:c>
      <x:c r="L4201" s="87" t="str">
        <x:v>Первый закон термодинамики</x:v>
      </x:c>
      <x:c r="M4201" s="30" t="str">
        <x:v>Газ получил количество теплоты 4,5 кДж, при этом внутренняя энергия газа уменьшилась на 3,2 кДж. Какую работу совершил при этом газ? Ответ: ___________________________ кДж.</x:v>
      </x:c>
      <x:c r="N4201" s="30" t="str">
        <x:v>7,7</x:v>
      </x:c>
      <x:c r="O4201" s="30" t="str">
        <x:v>По первому закону термодинамики ΔU = Q − A, где A — работа, совершённая газом.</x:v>
      </x:c>
      <x:c r="P4201" s="30" t="str">
        <x:v>Решено независимо; формулы, единицы и визуальные данные повторно проверены.</x:v>
      </x:c>
      <x:c r="Q4201" s="30"/>
      <x:c r="R4201" s="30" t="str">
        <x:v>3,3</x:v>
      </x:c>
      <x:c r="S4201" s="30"/>
      <x:c r="T4201" s="30" t="str">
        <x:v>Приложенная фотография дополнительного ключа</x:v>
      </x:c>
      <x:c r="U4201" s="30" t="str">
        <x:v>Официальный фото-ключ ошибочно повторяет ответ другого задания; принят независимо полученный физически верный ответ.</x:v>
      </x:c>
      <x:c r="V4201" s="87" t="str">
        <x:v>KEY_MISMATCH</x:v>
      </x:c>
      <x:c r="W4201" s="87" t="n">
        <x:v>19</x:v>
      </x:c>
      <x:c r="X4201" s="87"/>
      <x:c r="Y4201" s="87"/>
      <x:c r="Z4201" s="87"/>
      <x:c r="AA4201" s="87"/>
      <x:c r="AB4201" s="87"/>
      <x:c r="AC4201" s="87" t="str">
        <x:v>VIS-PHY-DEC-013</x:v>
      </x:c>
      <x:c r="AD4201" s="87"/>
      <x:c r="AE4201" s="87"/>
      <x:c r="AF4201" s="87" t="str">
        <x:v>VIS-PHY-DEC-013: 19</x:v>
      </x:c>
      <x:c r="AG4201" s="87" t="str">
        <x:v>RESOLVED</x:v>
      </x:c>
      <x:c r="AH4201" s="87" t="str">
        <x:v>CROP_VERIFIED</x:v>
      </x:c>
      <x:c r="AI4201" s="30"/>
      <x:c r="AJ4201" s="87" t="str">
        <x:v>clean</x:v>
      </x:c>
      <x:c r="AK4201" s="87" t="str">
        <x:v>clean-v0.03</x:v>
      </x:c>
      <x:c r="AL4201" s="87" t="str">
        <x:v>statgrad_clean_continuation_v0_03(1).xlsx</x:v>
      </x:c>
      <x:c r="AM4201" s="87" t="str">
        <x:v>PHY_Dec_V2</x:v>
      </x:c>
      <x:c r="AN4201" s="87" t="n">
        <x:v>9</x:v>
      </x:c>
    </x:row>
    <x:row r="4202">
      <x:c r="A4202" s="87" t="n">
        <x:v>4201</x:v>
      </x:c>
      <x:c r="B4202" s="87" t="str">
        <x:v>DEC-PHY-V2-009</x:v>
      </x:c>
      <x:c r="C4202" s="87" t="str">
        <x:v>СтатГрад</x:v>
      </x:c>
      <x:c r="D4202" s="87" t="str">
        <x:v>Декабрь 2025</x:v>
      </x:c>
      <x:c r="E4202" s="87"/>
      <x:c r="F4202" s="87"/>
      <x:c r="G4202" s="87" t="str">
        <x:v>Физика</x:v>
      </x:c>
      <x:c r="H4202" s="87" t="n">
        <x:v>11</x:v>
      </x:c>
      <x:c r="I4202" s="87" t="str">
        <x:v>ТР №2</x:v>
      </x:c>
      <x:c r="J4202" s="87" t="str">
        <x:v>ФИ2510202</x:v>
      </x:c>
      <x:c r="K4202" s="87" t="n">
        <x:v>9</x:v>
      </x:c>
      <x:c r="L4202" s="87" t="str">
        <x:v>Фазовые переходы: график</x:v>
      </x:c>
      <x:c r="M4202" s="30" t="str">
        <x:v>В начальный момент в сосуде под лёгким поршнем находится вещество в жидком состоянии. На рисунке показан график зависимости температуры t вещества от времени τ его нагревания и последующего охлаждения. Выберите из предложенных все утверждения, которые верно отражают результаты этого опыта. В ответе укажите их номера. 1) Температра кипения вещества равна 40 °С. 2) В момент времени, соответствующий букве С графика, в сосуде находилось вещество только в жидком состоянии. 3) Участок графика EF соответствует процессу, происходящему с увеличением внутренней энергии вещества. 4) В момент времени, соответствующий букве G графика, всё вещество находится в жидком состоянии. Ответ: ___________________________.</x:v>
      </x:c>
      <x:c r="N4202" s="30" t="str">
        <x:v>14</x:v>
      </x:c>
      <x:c r="O4202" s="30" t="str">
        <x:v>Горизонтальные участки соответствуют фазовым переходам; направление процесса определяет знак изменения внутренней энергии.</x:v>
      </x:c>
      <x:c r="P4202" s="30" t="str">
        <x:v>Решено независимо; формулы, единицы и визуальные данные повторно проверены.</x:v>
      </x:c>
      <x:c r="Q4202" s="30"/>
      <x:c r="R4202" s="30" t="str">
        <x:v>14</x:v>
      </x:c>
      <x:c r="S4202" s="30"/>
      <x:c r="T4202" s="30" t="str">
        <x:v>Официальная таблица ответов в PDF критериев</x:v>
      </x:c>
      <x:c r="U4202" s="30" t="str">
        <x:v>Расхождений не обнаружено.</x:v>
      </x:c>
      <x:c r="V4202" s="87" t="str">
        <x:v>VERIFIED</x:v>
      </x:c>
      <x:c r="W4202" s="87" t="n">
        <x:v>20</x:v>
      </x:c>
      <x:c r="X4202" s="87"/>
      <x:c r="Y4202" s="87"/>
      <x:c r="Z4202" s="87"/>
      <x:c r="AA4202" s="87"/>
      <x:c r="AB4202" s="87"/>
      <x:c r="AC4202" s="87" t="str">
        <x:v>VIS-PHY-DEC-014</x:v>
      </x:c>
      <x:c r="AD4202" s="87"/>
      <x:c r="AE4202" s="87"/>
      <x:c r="AF4202" s="87" t="str">
        <x:v>VIS-PHY-DEC-014: 20</x:v>
      </x:c>
      <x:c r="AG4202" s="87" t="str">
        <x:v>RESOLVED</x:v>
      </x:c>
      <x:c r="AH4202" s="87" t="str">
        <x:v>CROP_VERIFIED; TASK_CROP_QA_APPROVED:USE_CONTEXT</x:v>
      </x:c>
      <x:c r="AI4202" s="30"/>
      <x:c r="AJ4202" s="87" t="str">
        <x:v>clean</x:v>
      </x:c>
      <x:c r="AK4202" s="87" t="str">
        <x:v>clean-v0.03</x:v>
      </x:c>
      <x:c r="AL4202" s="87" t="str">
        <x:v>statgrad_clean_continuation_v0_03(1).xlsx</x:v>
      </x:c>
      <x:c r="AM4202" s="87" t="str">
        <x:v>PHY_Dec_V2</x:v>
      </x:c>
      <x:c r="AN4202" s="87" t="n">
        <x:v>10</x:v>
      </x:c>
    </x:row>
    <x:row r="4203">
      <x:c r="A4203" s="87" t="n">
        <x:v>4202</x:v>
      </x:c>
      <x:c r="B4203" s="87" t="str">
        <x:v>DEC-PHY-V2-010</x:v>
      </x:c>
      <x:c r="C4203" s="87" t="str">
        <x:v>СтатГрад</x:v>
      </x:c>
      <x:c r="D4203" s="87" t="str">
        <x:v>Декабрь 2025</x:v>
      </x:c>
      <x:c r="E4203" s="87"/>
      <x:c r="F4203" s="87"/>
      <x:c r="G4203" s="87" t="str">
        <x:v>Физика</x:v>
      </x:c>
      <x:c r="H4203" s="87" t="n">
        <x:v>11</x:v>
      </x:c>
      <x:c r="I4203" s="87" t="str">
        <x:v>ТР №2</x:v>
      </x:c>
      <x:c r="J4203" s="87" t="str">
        <x:v>ФИ2510202</x:v>
      </x:c>
      <x:c r="K4203" s="87" t="n">
        <x:v>10</x:v>
      </x:c>
      <x:c r="L4203" s="87" t="str">
        <x:v>Идеальный газ: качественное изменение</x:v>
      </x:c>
      <x:c r="M4203" s="30" t="str">
        <x:v>В процессе сжатия 1 моля разреженного неона его внутренняя энергия всё время остаётся неизменной. Как изменяются при этом давление неона и концентрация его молекул? Для каждой величины определите соответствующий характер изменения: 1) увеличивается; 2) уменьшается; 3) не изменяется. Запишите в таблицу выбранные цифры для каждой физической величины. Цифры в ответе могут повторяться. Давление неона Концентрация молекул неона</x:v>
      </x:c>
      <x:c r="N4203" s="30" t="str">
        <x:v>11</x:v>
      </x:c>
      <x:c r="O4203" s="30" t="str">
        <x:v>Для одноатомного идеального газа U зависит только от T; далее используется pV = νRT и изменение объёма.</x:v>
      </x:c>
      <x:c r="P4203" s="30" t="str">
        <x:v>Решено независимо; формулы, единицы и визуальные данные повторно проверены.</x:v>
      </x:c>
      <x:c r="Q4203" s="30"/>
      <x:c r="R4203" s="30" t="str">
        <x:v>11</x:v>
      </x:c>
      <x:c r="S4203" s="30"/>
      <x:c r="T4203" s="30" t="str">
        <x:v>Приложенная фотография дополнительного ключа</x:v>
      </x:c>
      <x:c r="U4203" s="30" t="str">
        <x:v>Расхождений не обнаружено.</x:v>
      </x:c>
      <x:c r="V4203" s="87" t="str">
        <x:v>VERIFIED</x:v>
      </x:c>
      <x:c r="W4203" s="87" t="n">
        <x:v>20</x:v>
      </x:c>
      <x:c r="X4203" s="87"/>
      <x:c r="Y4203" s="87"/>
      <x:c r="Z4203" s="87"/>
      <x:c r="AA4203" s="87"/>
      <x:c r="AB4203" s="87"/>
      <x:c r="AC4203" s="87" t="str">
        <x:v>VIS-PHY-DEC-014</x:v>
      </x:c>
      <x:c r="AD4203" s="87"/>
      <x:c r="AE4203" s="87"/>
      <x:c r="AF4203" s="87" t="str">
        <x:v>VIS-PHY-DEC-014: 20</x:v>
      </x:c>
      <x:c r="AG4203" s="87" t="str">
        <x:v>RESOLVED</x:v>
      </x:c>
      <x:c r="AH4203" s="87" t="str">
        <x:v>CROP_VERIFIED</x:v>
      </x:c>
      <x:c r="AI4203" s="30"/>
      <x:c r="AJ4203" s="87" t="str">
        <x:v>clean</x:v>
      </x:c>
      <x:c r="AK4203" s="87" t="str">
        <x:v>clean-v0.03</x:v>
      </x:c>
      <x:c r="AL4203" s="87" t="str">
        <x:v>statgrad_clean_continuation_v0_03(1).xlsx</x:v>
      </x:c>
      <x:c r="AM4203" s="87" t="str">
        <x:v>PHY_Dec_V2</x:v>
      </x:c>
      <x:c r="AN4203" s="87" t="n">
        <x:v>11</x:v>
      </x:c>
    </x:row>
    <x:row r="4204">
      <x:c r="A4204" s="87" t="n">
        <x:v>4203</x:v>
      </x:c>
      <x:c r="B4204" s="87" t="str">
        <x:v>DEC-PHY-V2-011</x:v>
      </x:c>
      <x:c r="C4204" s="87" t="str">
        <x:v>СтатГрад</x:v>
      </x:c>
      <x:c r="D4204" s="87" t="str">
        <x:v>Декабрь 2025</x:v>
      </x:c>
      <x:c r="E4204" s="87"/>
      <x:c r="F4204" s="87"/>
      <x:c r="G4204" s="87" t="str">
        <x:v>Физика</x:v>
      </x:c>
      <x:c r="H4204" s="87" t="n">
        <x:v>11</x:v>
      </x:c>
      <x:c r="I4204" s="87" t="str">
        <x:v>ТР №2</x:v>
      </x:c>
      <x:c r="J4204" s="87" t="str">
        <x:v>ФИ2510202</x:v>
      </x:c>
      <x:c r="K4204" s="87" t="n">
        <x:v>11</x:v>
      </x:c>
      <x:c r="L4204" s="87" t="str">
        <x:v>Полная цепь: закон Ома</x:v>
      </x:c>
      <x:c r="M4204" s="30" t="str">
        <x:v>К батарее с внутренним сопротивлением 0,4 Ом подключили резистор с сопротивлением 44,6 Ом. Чему равна ЭДС батареи, если сила тока в полученной электрической цепи составляет 0,2 А? Ответ: ___________________________ В.</x:v>
      </x:c>
      <x:c r="N4204" s="30" t="str">
        <x:v>9</x:v>
      </x:c>
      <x:c r="O4204" s="30" t="str">
        <x:v>Для полной цепи E = I(R+r); искомая величина получена прямой подстановкой.</x:v>
      </x:c>
      <x:c r="P4204" s="30" t="str">
        <x:v>Решено независимо; формулы, единицы и визуальные данные повторно проверены.</x:v>
      </x:c>
      <x:c r="Q4204" s="30"/>
      <x:c r="R4204" s="30" t="str">
        <x:v>9</x:v>
      </x:c>
      <x:c r="S4204" s="30"/>
      <x:c r="T4204" s="30" t="str">
        <x:v>Приложенная фотография дополнительного ключа</x:v>
      </x:c>
      <x:c r="U4204" s="30" t="str">
        <x:v>Расхождений не обнаружено.</x:v>
      </x:c>
      <x:c r="V4204" s="87" t="str">
        <x:v>VERIFIED</x:v>
      </x:c>
      <x:c r="W4204" s="87" t="n">
        <x:v>20</x:v>
      </x:c>
      <x:c r="X4204" s="87"/>
      <x:c r="Y4204" s="87"/>
      <x:c r="Z4204" s="87"/>
      <x:c r="AA4204" s="87"/>
      <x:c r="AB4204" s="87"/>
      <x:c r="AC4204" s="87" t="str">
        <x:v>VIS-PHY-DEC-014</x:v>
      </x:c>
      <x:c r="AD4204" s="87"/>
      <x:c r="AE4204" s="87"/>
      <x:c r="AF4204" s="87" t="str">
        <x:v>VIS-PHY-DEC-014: 20</x:v>
      </x:c>
      <x:c r="AG4204" s="87" t="str">
        <x:v>RESOLVED</x:v>
      </x:c>
      <x:c r="AH4204" s="87" t="str">
        <x:v>CROP_VERIFIED</x:v>
      </x:c>
      <x:c r="AI4204" s="30"/>
      <x:c r="AJ4204" s="87" t="str">
        <x:v>clean</x:v>
      </x:c>
      <x:c r="AK4204" s="87" t="str">
        <x:v>clean-v0.03</x:v>
      </x:c>
      <x:c r="AL4204" s="87" t="str">
        <x:v>statgrad_clean_continuation_v0_03(1).xlsx</x:v>
      </x:c>
      <x:c r="AM4204" s="87" t="str">
        <x:v>PHY_Dec_V2</x:v>
      </x:c>
      <x:c r="AN4204" s="87" t="n">
        <x:v>12</x:v>
      </x:c>
    </x:row>
    <x:row r="4205">
      <x:c r="A4205" s="87" t="n">
        <x:v>4204</x:v>
      </x:c>
      <x:c r="B4205" s="87" t="str">
        <x:v>DEC-PHY-V2-012</x:v>
      </x:c>
      <x:c r="C4205" s="87" t="str">
        <x:v>СтатГрад</x:v>
      </x:c>
      <x:c r="D4205" s="87" t="str">
        <x:v>Декабрь 2025</x:v>
      </x:c>
      <x:c r="E4205" s="87"/>
      <x:c r="F4205" s="87"/>
      <x:c r="G4205" s="87" t="str">
        <x:v>Физика</x:v>
      </x:c>
      <x:c r="H4205" s="87" t="n">
        <x:v>11</x:v>
      </x:c>
      <x:c r="I4205" s="87" t="str">
        <x:v>ТР №2</x:v>
      </x:c>
      <x:c r="J4205" s="87" t="str">
        <x:v>ФИ2510202</x:v>
      </x:c>
      <x:c r="K4205" s="87" t="n">
        <x:v>12</x:v>
      </x:c>
      <x:c r="L4205" s="87" t="str">
        <x:v>Электромагнитная индукция</x:v>
      </x:c>
      <x:c r="M4205" s="30" t="str">
        <x:v>В опыте по наблюдению электромагнитной индукции прямоугольная рамка из одного витка тонкого провода находится в однородном магнитном поле, перпендикулярном плоскости рамки. Индукция магнитного поля равномерно убывает от максимального значения В макс до нулевого значения за время Т. При этом в рамке возбуждается ЭДС индукции, равная 12 мВ. Определите ЭДС индукции, возникающую в этой рамке, если при проведении аналогичного опыта Т уменьшить в 2 раза, а В макс в 2 раза увеличить. Ответ: ___________________________ мВ.</x:v>
      </x:c>
      <x:c r="N4205" s="30" t="str">
        <x:v>48</x:v>
      </x:c>
      <x:c r="O4205" s="30" t="str">
        <x:v>Модуль ЭДС индукции пропорционален |ΔB|/Δt; площадь и число витков не меняются.</x:v>
      </x:c>
      <x:c r="P4205" s="30" t="str">
        <x:v>Решено независимо; формулы, единицы и визуальные данные повторно проверены.</x:v>
      </x:c>
      <x:c r="Q4205" s="30"/>
      <x:c r="R4205" s="30" t="str">
        <x:v>48</x:v>
      </x:c>
      <x:c r="S4205" s="30"/>
      <x:c r="T4205" s="30" t="str">
        <x:v>Приложенная фотография дополнительного ключа</x:v>
      </x:c>
      <x:c r="U4205" s="30" t="str">
        <x:v>Расхождений не обнаружено.</x:v>
      </x:c>
      <x:c r="V4205" s="87" t="str">
        <x:v>VERIFIED</x:v>
      </x:c>
      <x:c r="W4205" s="87" t="n">
        <x:v>21</x:v>
      </x:c>
      <x:c r="X4205" s="87"/>
      <x:c r="Y4205" s="87"/>
      <x:c r="Z4205" s="87"/>
      <x:c r="AA4205" s="87"/>
      <x:c r="AB4205" s="87"/>
      <x:c r="AC4205" s="87" t="str">
        <x:v>VIS-PHY-DEC-015</x:v>
      </x:c>
      <x:c r="AD4205" s="87"/>
      <x:c r="AE4205" s="87"/>
      <x:c r="AF4205" s="87" t="str">
        <x:v>VIS-PHY-DEC-015: 21</x:v>
      </x:c>
      <x:c r="AG4205" s="87" t="str">
        <x:v>RESOLVED</x:v>
      </x:c>
      <x:c r="AH4205" s="87" t="str">
        <x:v>CROP_VERIFIED</x:v>
      </x:c>
      <x:c r="AI4205" s="30"/>
      <x:c r="AJ4205" s="87" t="str">
        <x:v>clean</x:v>
      </x:c>
      <x:c r="AK4205" s="87" t="str">
        <x:v>clean-v0.03</x:v>
      </x:c>
      <x:c r="AL4205" s="87" t="str">
        <x:v>statgrad_clean_continuation_v0_03(1).xlsx</x:v>
      </x:c>
      <x:c r="AM4205" s="87" t="str">
        <x:v>PHY_Dec_V2</x:v>
      </x:c>
      <x:c r="AN4205" s="87" t="n">
        <x:v>13</x:v>
      </x:c>
    </x:row>
    <x:row r="4206">
      <x:c r="A4206" s="87" t="n">
        <x:v>4205</x:v>
      </x:c>
      <x:c r="B4206" s="87" t="str">
        <x:v>DEC-PHY-V2-013</x:v>
      </x:c>
      <x:c r="C4206" s="87" t="str">
        <x:v>СтатГрад</x:v>
      </x:c>
      <x:c r="D4206" s="87" t="str">
        <x:v>Декабрь 2025</x:v>
      </x:c>
      <x:c r="E4206" s="87"/>
      <x:c r="F4206" s="87"/>
      <x:c r="G4206" s="87" t="str">
        <x:v>Физика</x:v>
      </x:c>
      <x:c r="H4206" s="87" t="n">
        <x:v>11</x:v>
      </x:c>
      <x:c r="I4206" s="87" t="str">
        <x:v>ТР №2</x:v>
      </x:c>
      <x:c r="J4206" s="87" t="str">
        <x:v>ФИ2510202</x:v>
      </x:c>
      <x:c r="K4206" s="87" t="n">
        <x:v>13</x:v>
      </x:c>
      <x:c r="L4206" s="87" t="str">
        <x:v>Геометрическая оптика</x:v>
      </x:c>
      <x:c r="M4206" s="30" t="str">
        <x:v>Тень на экране от предмета, освещённого точечным источником света, имеет размеры в 2,5 раза большие, чем сам предмет. Расстояние от предмета до экрана равно 3 м. Определите расстояние от источника света до предмета. Ответ: ___________________________ м.</x:v>
      </x:c>
      <x:c r="N4206" s="30" t="str">
        <x:v>2</x:v>
      </x:c>
      <x:c r="O4206" s="30" t="str">
        <x:v>Из подобия треугольников увеличение тени равно отношению расстояний от источника.</x:v>
      </x:c>
      <x:c r="P4206" s="30" t="str">
        <x:v>Решено независимо; формулы, единицы и визуальные данные повторно проверены.</x:v>
      </x:c>
      <x:c r="Q4206" s="30"/>
      <x:c r="R4206" s="30" t="str">
        <x:v>2</x:v>
      </x:c>
      <x:c r="S4206" s="30"/>
      <x:c r="T4206" s="30" t="str">
        <x:v>Приложенная фотография дополнительного ключа</x:v>
      </x:c>
      <x:c r="U4206" s="30" t="str">
        <x:v>Расхождений не обнаружено.</x:v>
      </x:c>
      <x:c r="V4206" s="87" t="str">
        <x:v>VERIFIED</x:v>
      </x:c>
      <x:c r="W4206" s="87" t="n">
        <x:v>21</x:v>
      </x:c>
      <x:c r="X4206" s="87"/>
      <x:c r="Y4206" s="87"/>
      <x:c r="Z4206" s="87"/>
      <x:c r="AA4206" s="87"/>
      <x:c r="AB4206" s="87"/>
      <x:c r="AC4206" s="87" t="str">
        <x:v>VIS-PHY-DEC-015</x:v>
      </x:c>
      <x:c r="AD4206" s="87"/>
      <x:c r="AE4206" s="87"/>
      <x:c r="AF4206" s="87" t="str">
        <x:v>VIS-PHY-DEC-015: 21</x:v>
      </x:c>
      <x:c r="AG4206" s="87" t="str">
        <x:v>RESOLVED</x:v>
      </x:c>
      <x:c r="AH4206" s="87" t="str">
        <x:v>CROP_VERIFIED</x:v>
      </x:c>
      <x:c r="AI4206" s="30"/>
      <x:c r="AJ4206" s="87" t="str">
        <x:v>clean</x:v>
      </x:c>
      <x:c r="AK4206" s="87" t="str">
        <x:v>clean-v0.03</x:v>
      </x:c>
      <x:c r="AL4206" s="87" t="str">
        <x:v>statgrad_clean_continuation_v0_03(1).xlsx</x:v>
      </x:c>
      <x:c r="AM4206" s="87" t="str">
        <x:v>PHY_Dec_V2</x:v>
      </x:c>
      <x:c r="AN4206" s="87" t="n">
        <x:v>14</x:v>
      </x:c>
    </x:row>
    <x:row r="4207">
      <x:c r="A4207" s="87" t="n">
        <x:v>4206</x:v>
      </x:c>
      <x:c r="B4207" s="87" t="str">
        <x:v>DEC-PHY-V2-014</x:v>
      </x:c>
      <x:c r="C4207" s="87" t="str">
        <x:v>СтатГрад</x:v>
      </x:c>
      <x:c r="D4207" s="87" t="str">
        <x:v>Декабрь 2025</x:v>
      </x:c>
      <x:c r="E4207" s="87"/>
      <x:c r="F4207" s="87"/>
      <x:c r="G4207" s="87" t="str">
        <x:v>Физика</x:v>
      </x:c>
      <x:c r="H4207" s="87" t="n">
        <x:v>11</x:v>
      </x:c>
      <x:c r="I4207" s="87" t="str">
        <x:v>ТР №2</x:v>
      </x:c>
      <x:c r="J4207" s="87" t="str">
        <x:v>ФИ2510202</x:v>
      </x:c>
      <x:c r="K4207" s="87" t="n">
        <x:v>14</x:v>
      </x:c>
      <x:c r="L4207" s="87" t="str">
        <x:v>Самоиндукция: анализ эксперимента</x:v>
      </x:c>
      <x:c r="M4207" s="30" t="str">
        <x:v>Катушка индуктивности подключена к источнику тока с пренебрежимо малым внутренним сопротивлением через резистор с сопротивлением R = 80 Ом (см. рисунок). В момент t = 0 с ключ К замыкают. Значения силы тока в цепи, измеренные в последовательные моменты времени, представлены в таблице. t, c 0 0,5 1,0 1,5 2,0 3,0 4,0 5,0 6,0 I, A 0 0,12 0,19 0,23 0,26 0,29 0,29 0,30 0,30 Выберите все верные утверждения о процессах, наблюдаемых в опыте. В ответе укажите их номера. 1) Сила тока, текущего в катушке, в течение первых двух секунд наблюдения увеличивается. 2) Через 6 с после замыкания ключа ЭДС самоиндукции катушки равна нулю. 3) ЭДС источника тока составляет 16 В. 4) В момент времени t = 1,5 с модуль ЭДС самоиндукции катушки равен 6,4 В. 5) В момент времени t = 1,0 с напряжение на резисторе равно 15,2 В. Ответ: ___________________________.</x:v>
      </x:c>
      <x:c r="N4207" s="30" t="str">
        <x:v>125</x:v>
      </x:c>
      <x:c r="O4207" s="30" t="str">
        <x:v>Установившийся ток задаёт ЭДС E=IR; мгновенная ЭДС самоиндукции равна E−IR. Все утверждения проверены по таблице.</x:v>
      </x:c>
      <x:c r="P4207" s="30" t="str">
        <x:v>Решено независимо; формулы, единицы и визуальные данные повторно проверены.</x:v>
      </x:c>
      <x:c r="Q4207" s="30"/>
      <x:c r="R4207" s="30" t="str">
        <x:v>125</x:v>
      </x:c>
      <x:c r="S4207" s="30"/>
      <x:c r="T4207" s="30" t="str">
        <x:v>Официальная таблица ответов в PDF критериев</x:v>
      </x:c>
      <x:c r="U4207" s="30" t="str">
        <x:v>Расхождений не обнаружено.</x:v>
      </x:c>
      <x:c r="V4207" s="87" t="str">
        <x:v>VERIFIED</x:v>
      </x:c>
      <x:c r="W4207" s="87" t="n">
        <x:v>21</x:v>
      </x:c>
      <x:c r="X4207" s="87"/>
      <x:c r="Y4207" s="87"/>
      <x:c r="Z4207" s="87"/>
      <x:c r="AA4207" s="87"/>
      <x:c r="AB4207" s="87"/>
      <x:c r="AC4207" s="87" t="str">
        <x:v>VIS-PHY-DEC-015</x:v>
      </x:c>
      <x:c r="AD4207" s="87"/>
      <x:c r="AE4207" s="87"/>
      <x:c r="AF4207" s="87" t="str">
        <x:v>VIS-PHY-DEC-015: 21</x:v>
      </x:c>
      <x:c r="AG4207" s="87" t="str">
        <x:v>RESOLVED</x:v>
      </x:c>
      <x:c r="AH4207" s="87" t="str">
        <x:v>CROP_VERIFIED; TASK_CROP_QA_APPROVED:USE_CONTEXT</x:v>
      </x:c>
      <x:c r="AI4207" s="30"/>
      <x:c r="AJ4207" s="87" t="str">
        <x:v>clean</x:v>
      </x:c>
      <x:c r="AK4207" s="87" t="str">
        <x:v>clean-v0.03</x:v>
      </x:c>
      <x:c r="AL4207" s="87" t="str">
        <x:v>statgrad_clean_continuation_v0_03(1).xlsx</x:v>
      </x:c>
      <x:c r="AM4207" s="87" t="str">
        <x:v>PHY_Dec_V2</x:v>
      </x:c>
      <x:c r="AN4207" s="87" t="n">
        <x:v>15</x:v>
      </x:c>
    </x:row>
    <x:row r="4208">
      <x:c r="A4208" s="87" t="n">
        <x:v>4207</x:v>
      </x:c>
      <x:c r="B4208" s="87" t="str">
        <x:v>DEC-PHY-V2-015</x:v>
      </x:c>
      <x:c r="C4208" s="87" t="str">
        <x:v>СтатГрад</x:v>
      </x:c>
      <x:c r="D4208" s="87" t="str">
        <x:v>Декабрь 2025</x:v>
      </x:c>
      <x:c r="E4208" s="87"/>
      <x:c r="F4208" s="87"/>
      <x:c r="G4208" s="87" t="str">
        <x:v>Физика</x:v>
      </x:c>
      <x:c r="H4208" s="87" t="n">
        <x:v>11</x:v>
      </x:c>
      <x:c r="I4208" s="87" t="str">
        <x:v>ТР №2</x:v>
      </x:c>
      <x:c r="J4208" s="87" t="str">
        <x:v>ФИ2510202</x:v>
      </x:c>
      <x:c r="K4208" s="87" t="n">
        <x:v>15</x:v>
      </x:c>
      <x:c r="L4208" s="87" t="str">
        <x:v>Электрическая цепь: соответствие формул</x:v>
      </x:c>
      <x:c r="M4208" s="30" t="str">
        <x:v>В электрической цепи, схема которой изображена на рисунке, ЭДС источника тока равна E, его внутреннее сопротивление r, а сопротивления резисторов R 1 = 3R и R 2 = 2R. Установите соответствие между физическими величинами и формулами, по которым их можно рассчитать. Вольтметр считать идеальным. К каждой позиции первого столбца подберите соответствующую позицию второго и запишите в таблицу выбранные цифры под соответствующими буквами. ФИЗИЧЕСКАЯ ВЕЛИЧИНА ФОРМУЛА А) сила тока, текущего через источник 1) E Б) показание вольтметра 5R + r 2) E 5R 3) E 4) 5 ER 5R + r А Б Ответ:</x:v>
      </x:c>
      <x:c r="N4208" s="30" t="str">
        <x:v>14</x:v>
      </x:c>
      <x:c r="O4208" s="30" t="str">
        <x:v>Резисторы соединены последовательно; полное внешнее сопротивление равно сумме, показание вольтметра найдено по закону Ома.</x:v>
      </x:c>
      <x:c r="P4208" s="30" t="str">
        <x:v>Решено независимо; формулы, единицы и визуальные данные повторно проверены.</x:v>
      </x:c>
      <x:c r="Q4208" s="30"/>
      <x:c r="R4208" s="30" t="str">
        <x:v>14</x:v>
      </x:c>
      <x:c r="S4208" s="30"/>
      <x:c r="T4208" s="30" t="str">
        <x:v>Приложенная фотография дополнительного ключа</x:v>
      </x:c>
      <x:c r="U4208" s="30" t="str">
        <x:v>Расхождений не обнаружено.</x:v>
      </x:c>
      <x:c r="V4208" s="87" t="str">
        <x:v>VERIFIED</x:v>
      </x:c>
      <x:c r="W4208" s="87" t="n">
        <x:v>22</x:v>
      </x:c>
      <x:c r="X4208" s="87"/>
      <x:c r="Y4208" s="87"/>
      <x:c r="Z4208" s="87"/>
      <x:c r="AA4208" s="87"/>
      <x:c r="AB4208" s="87"/>
      <x:c r="AC4208" s="87" t="str">
        <x:v>VIS-PHY-DEC-016</x:v>
      </x:c>
      <x:c r="AD4208" s="87"/>
      <x:c r="AE4208" s="87"/>
      <x:c r="AF4208" s="87" t="str">
        <x:v>VIS-PHY-DEC-016: 22</x:v>
      </x:c>
      <x:c r="AG4208" s="87" t="str">
        <x:v>RESOLVED</x:v>
      </x:c>
      <x:c r="AH4208" s="87" t="str">
        <x:v>CROP_VERIFIED; TASK_CROP_QA_APPROVED:USE_CONTEXT</x:v>
      </x:c>
      <x:c r="AI4208" s="30"/>
      <x:c r="AJ4208" s="87" t="str">
        <x:v>clean</x:v>
      </x:c>
      <x:c r="AK4208" s="87" t="str">
        <x:v>clean-v0.03</x:v>
      </x:c>
      <x:c r="AL4208" s="87" t="str">
        <x:v>statgrad_clean_continuation_v0_03(1).xlsx</x:v>
      </x:c>
      <x:c r="AM4208" s="87" t="str">
        <x:v>PHY_Dec_V2</x:v>
      </x:c>
      <x:c r="AN4208" s="87" t="n">
        <x:v>16</x:v>
      </x:c>
    </x:row>
    <x:row r="4209">
      <x:c r="A4209" s="87" t="n">
        <x:v>4208</x:v>
      </x:c>
      <x:c r="B4209" s="87" t="str">
        <x:v>DEC-PHY-V2-016</x:v>
      </x:c>
      <x:c r="C4209" s="87" t="str">
        <x:v>СтатГрад</x:v>
      </x:c>
      <x:c r="D4209" s="87" t="str">
        <x:v>Декабрь 2025</x:v>
      </x:c>
      <x:c r="E4209" s="87"/>
      <x:c r="F4209" s="87"/>
      <x:c r="G4209" s="87" t="str">
        <x:v>Физика</x:v>
      </x:c>
      <x:c r="H4209" s="87" t="n">
        <x:v>11</x:v>
      </x:c>
      <x:c r="I4209" s="87" t="str">
        <x:v>ТР №2</x:v>
      </x:c>
      <x:c r="J4209" s="87" t="str">
        <x:v>ФИ2510202</x:v>
      </x:c>
      <x:c r="K4209" s="87" t="n">
        <x:v>16</x:v>
      </x:c>
      <x:c r="L4209" s="87" t="str">
        <x:v>Состав атомного ядра</x:v>
      </x:c>
      <x:c r="M4209" s="30" t="str">
        <x:v>Какое количество нейтронов содержится в ядре дубния 262 105 Db ? Ответ: ___________________________.</x:v>
      </x:c>
      <x:c r="N4209" s="30" t="str">
        <x:v>157</x:v>
      </x:c>
      <x:c r="O4209" s="30" t="str">
        <x:v>Число нейтронов N = A − Z.</x:v>
      </x:c>
      <x:c r="P4209" s="30" t="str">
        <x:v>Решено независимо; формулы, единицы и визуальные данные повторно проверены.</x:v>
      </x:c>
      <x:c r="Q4209" s="30"/>
      <x:c r="R4209" s="30" t="str">
        <x:v>157</x:v>
      </x:c>
      <x:c r="S4209" s="30"/>
      <x:c r="T4209" s="30" t="str">
        <x:v>Приложенная фотография дополнительного ключа</x:v>
      </x:c>
      <x:c r="U4209" s="30" t="str">
        <x:v>Расхождений не обнаружено.</x:v>
      </x:c>
      <x:c r="V4209" s="87" t="str">
        <x:v>VERIFIED</x:v>
      </x:c>
      <x:c r="W4209" s="87" t="n">
        <x:v>22</x:v>
      </x:c>
      <x:c r="X4209" s="87"/>
      <x:c r="Y4209" s="87"/>
      <x:c r="Z4209" s="87"/>
      <x:c r="AA4209" s="87"/>
      <x:c r="AB4209" s="87"/>
      <x:c r="AC4209" s="87" t="str">
        <x:v>VIS-PHY-DEC-016</x:v>
      </x:c>
      <x:c r="AD4209" s="87"/>
      <x:c r="AE4209" s="87"/>
      <x:c r="AF4209" s="87" t="str">
        <x:v>VIS-PHY-DEC-016: 22</x:v>
      </x:c>
      <x:c r="AG4209" s="87" t="str">
        <x:v>RESOLVED</x:v>
      </x:c>
      <x:c r="AH4209" s="87" t="str">
        <x:v>CROP_VERIFIED</x:v>
      </x:c>
      <x:c r="AI4209" s="30"/>
      <x:c r="AJ4209" s="87" t="str">
        <x:v>clean</x:v>
      </x:c>
      <x:c r="AK4209" s="87" t="str">
        <x:v>clean-v0.03</x:v>
      </x:c>
      <x:c r="AL4209" s="87" t="str">
        <x:v>statgrad_clean_continuation_v0_03(1).xlsx</x:v>
      </x:c>
      <x:c r="AM4209" s="87" t="str">
        <x:v>PHY_Dec_V2</x:v>
      </x:c>
      <x:c r="AN4209" s="87" t="n">
        <x:v>17</x:v>
      </x:c>
    </x:row>
    <x:row r="4210">
      <x:c r="A4210" s="87" t="n">
        <x:v>4209</x:v>
      </x:c>
      <x:c r="B4210" s="87" t="str">
        <x:v>DEC-PHY-V2-017</x:v>
      </x:c>
      <x:c r="C4210" s="87" t="str">
        <x:v>СтатГрад</x:v>
      </x:c>
      <x:c r="D4210" s="87" t="str">
        <x:v>Декабрь 2025</x:v>
      </x:c>
      <x:c r="E4210" s="87"/>
      <x:c r="F4210" s="87"/>
      <x:c r="G4210" s="87" t="str">
        <x:v>Физика</x:v>
      </x:c>
      <x:c r="H4210" s="87" t="n">
        <x:v>11</x:v>
      </x:c>
      <x:c r="I4210" s="87" t="str">
        <x:v>ТР №2</x:v>
      </x:c>
      <x:c r="J4210" s="87" t="str">
        <x:v>ФИ2510202</x:v>
      </x:c>
      <x:c r="K4210" s="87" t="n">
        <x:v>17</x:v>
      </x:c>
      <x:c r="L4210" s="87" t="str">
        <x:v>Ядерное превращение</x:v>
      </x:c>
      <x:c r="M4210" s="30" t="str">
        <x:v>Как изменятся в результате электронного β-распада следующие характеристики ядра: массовое число ядра и заряд ядра?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Массовое число ядра Заряд ядра</x:v>
      </x:c>
      <x:c r="N4210" s="30" t="str">
        <x:v>31</x:v>
      </x:c>
      <x:c r="O4210" s="30" t="str">
        <x:v>При захвате нейтрона Z не меняется, A растёт на 1; при β⁻-распаде A не меняется, Z растёт на 1.</x:v>
      </x:c>
      <x:c r="P4210" s="30" t="str">
        <x:v>Решено независимо; формулы, единицы и визуальные данные повторно проверены.</x:v>
      </x:c>
      <x:c r="Q4210" s="30"/>
      <x:c r="R4210" s="30" t="str">
        <x:v>31</x:v>
      </x:c>
      <x:c r="S4210" s="30"/>
      <x:c r="T4210" s="30" t="str">
        <x:v>Приложенная фотография дополнительного ключа</x:v>
      </x:c>
      <x:c r="U4210" s="30" t="str">
        <x:v>Расхождений не обнаружено.</x:v>
      </x:c>
      <x:c r="V4210" s="87" t="str">
        <x:v>VERIFIED</x:v>
      </x:c>
      <x:c r="W4210" s="87" t="n">
        <x:v>23</x:v>
      </x:c>
      <x:c r="X4210" s="87"/>
      <x:c r="Y4210" s="87"/>
      <x:c r="Z4210" s="87"/>
      <x:c r="AA4210" s="87"/>
      <x:c r="AB4210" s="87"/>
      <x:c r="AC4210" s="87" t="str">
        <x:v>VIS-PHY-DEC-017</x:v>
      </x:c>
      <x:c r="AD4210" s="87"/>
      <x:c r="AE4210" s="87"/>
      <x:c r="AF4210" s="87" t="str">
        <x:v>VIS-PHY-DEC-017: 23</x:v>
      </x:c>
      <x:c r="AG4210" s="87" t="str">
        <x:v>RESOLVED</x:v>
      </x:c>
      <x:c r="AH4210" s="87" t="str">
        <x:v>CROP_VERIFIED</x:v>
      </x:c>
      <x:c r="AI4210" s="30"/>
      <x:c r="AJ4210" s="87" t="str">
        <x:v>clean</x:v>
      </x:c>
      <x:c r="AK4210" s="87" t="str">
        <x:v>clean-v0.03</x:v>
      </x:c>
      <x:c r="AL4210" s="87" t="str">
        <x:v>statgrad_clean_continuation_v0_03(1).xlsx</x:v>
      </x:c>
      <x:c r="AM4210" s="87" t="str">
        <x:v>PHY_Dec_V2</x:v>
      </x:c>
      <x:c r="AN4210" s="87" t="n">
        <x:v>18</x:v>
      </x:c>
    </x:row>
    <x:row r="4211">
      <x:c r="A4211" s="87" t="n">
        <x:v>4210</x:v>
      </x:c>
      <x:c r="B4211" s="87" t="str">
        <x:v>DEC-PHY-V2-018</x:v>
      </x:c>
      <x:c r="C4211" s="87" t="str">
        <x:v>СтатГрад</x:v>
      </x:c>
      <x:c r="D4211" s="87" t="str">
        <x:v>Декабрь 2025</x:v>
      </x:c>
      <x:c r="E4211" s="87"/>
      <x:c r="F4211" s="87"/>
      <x:c r="G4211" s="87" t="str">
        <x:v>Физика</x:v>
      </x:c>
      <x:c r="H4211" s="87" t="n">
        <x:v>11</x:v>
      </x:c>
      <x:c r="I4211" s="87" t="str">
        <x:v>ТР №2</x:v>
      </x:c>
      <x:c r="J4211" s="87" t="str">
        <x:v>ФИ2510202</x:v>
      </x:c>
      <x:c r="K4211" s="87" t="n">
        <x:v>18</x:v>
      </x:c>
      <x:c r="L4211" s="87" t="str">
        <x:v>Физические закономерности</x:v>
      </x:c>
      <x:c r="M4211" s="30" t="str">
        <x:v>Выберите все верные утверждения о физических явлениях, величинах и закономерностях. Запишите цифры, под которыми они указаны. 1) Резонанс – это явление резкого возрастания амплитуды вынужденных колебаний. 2) Давление идеального газа в изотермическом процессе уменьшается при уменьшении объёма газа. 3) При уменьшении силы тока, текущего в резисторе, тепловая мощность, выделяемая в нём, уменьшается. 4) При преломлении электромагнитных волн на границе двух сред скорость распространения волны остаётся неизменной величиной. 5) При фотоэффекте работа выхода фотоэлектронов с поверхности металла зависит от свойств этого металла. Ответ: ___________________________.</x:v>
      </x:c>
      <x:c r="N4211" s="30" t="str">
        <x:v>135</x:v>
      </x:c>
      <x:c r="O4211" s="30" t="str">
        <x:v>Каждое утверждение проверено по определениям резонанса, газовым законам, закону Джоуля–Ленца, оптике и атомной физике.</x:v>
      </x:c>
      <x:c r="P4211" s="30" t="str">
        <x:v>Решено независимо; формулы, единицы и визуальные данные повторно проверены.</x:v>
      </x:c>
      <x:c r="Q4211" s="30"/>
      <x:c r="R4211" s="30" t="str">
        <x:v>135</x:v>
      </x:c>
      <x:c r="S4211" s="30"/>
      <x:c r="T4211" s="30" t="str">
        <x:v>Официальная таблица ответов в PDF критериев</x:v>
      </x:c>
      <x:c r="U4211" s="30" t="str">
        <x:v>Расхождений не обнаружено.</x:v>
      </x:c>
      <x:c r="V4211" s="87" t="str">
        <x:v>VERIFIED</x:v>
      </x:c>
      <x:c r="W4211" s="87" t="n">
        <x:v>23</x:v>
      </x:c>
      <x:c r="X4211" s="87"/>
      <x:c r="Y4211" s="87"/>
      <x:c r="Z4211" s="87"/>
      <x:c r="AA4211" s="87"/>
      <x:c r="AB4211" s="87"/>
      <x:c r="AC4211" s="87" t="str">
        <x:v>VIS-PHY-DEC-017</x:v>
      </x:c>
      <x:c r="AD4211" s="87"/>
      <x:c r="AE4211" s="87"/>
      <x:c r="AF4211" s="87" t="str">
        <x:v>VIS-PHY-DEC-017: 23</x:v>
      </x:c>
      <x:c r="AG4211" s="87" t="str">
        <x:v>RESOLVED</x:v>
      </x:c>
      <x:c r="AH4211" s="87" t="str">
        <x:v>CROP_VERIFIED</x:v>
      </x:c>
      <x:c r="AI4211" s="30"/>
      <x:c r="AJ4211" s="87" t="str">
        <x:v>clean</x:v>
      </x:c>
      <x:c r="AK4211" s="87" t="str">
        <x:v>clean-v0.03</x:v>
      </x:c>
      <x:c r="AL4211" s="87" t="str">
        <x:v>statgrad_clean_continuation_v0_03(1).xlsx</x:v>
      </x:c>
      <x:c r="AM4211" s="87" t="str">
        <x:v>PHY_Dec_V2</x:v>
      </x:c>
      <x:c r="AN4211" s="87" t="n">
        <x:v>19</x:v>
      </x:c>
    </x:row>
    <x:row r="4212">
      <x:c r="A4212" s="87" t="n">
        <x:v>4211</x:v>
      </x:c>
      <x:c r="B4212" s="87" t="str">
        <x:v>DEC-PHY-V2-019</x:v>
      </x:c>
      <x:c r="C4212" s="87" t="str">
        <x:v>СтатГрад</x:v>
      </x:c>
      <x:c r="D4212" s="87" t="str">
        <x:v>Декабрь 2025</x:v>
      </x:c>
      <x:c r="E4212" s="87"/>
      <x:c r="F4212" s="87"/>
      <x:c r="G4212" s="87" t="str">
        <x:v>Физика</x:v>
      </x:c>
      <x:c r="H4212" s="87" t="n">
        <x:v>11</x:v>
      </x:c>
      <x:c r="I4212" s="87" t="str">
        <x:v>ТР №2</x:v>
      </x:c>
      <x:c r="J4212" s="87" t="str">
        <x:v>ФИ2510202</x:v>
      </x:c>
      <x:c r="K4212" s="87" t="n">
        <x:v>19</x:v>
      </x:c>
      <x:c r="L4212" s="87" t="str">
        <x:v>Погрешность измерений</x:v>
      </x:c>
      <x:c r="M4212" s="30" t="str">
        <x:v>В упаковке содержится 5 одинаковых пачек бумаги. Высота этой упаковки составила 27 см, а погрешность измерения высоты равна 2 мм. Чему равна толщина одной пачки бумаги с учётом погрешности измерений? Ответ: (________ ± ________) мм.</x:v>
      </x:c>
      <x:c r="N4212" s="30" t="str">
        <x:v>(54,0 ± 0,4)</x:v>
      </x:c>
      <x:c r="O4212" s="30" t="str">
        <x:v>Толщина и абсолютная погрешность одной единицы получаются делением общего результата и его погрешности на число единиц.</x:v>
      </x:c>
      <x:c r="P4212" s="30" t="str">
        <x:v>Решено независимо; формулы, единицы и визуальные данные повторно проверены.</x:v>
      </x:c>
      <x:c r="Q4212" s="30"/>
      <x:c r="R4212" s="30" t="str">
        <x:v>(54,0 ± 0,4)</x:v>
      </x:c>
      <x:c r="S4212" s="30"/>
      <x:c r="T4212" s="30" t="str">
        <x:v>Официальная таблица ответов в PDF критериев</x:v>
      </x:c>
      <x:c r="U4212" s="30" t="str">
        <x:v>Расхождений не обнаружено.</x:v>
      </x:c>
      <x:c r="V4212" s="87" t="str">
        <x:v>VERIFIED</x:v>
      </x:c>
      <x:c r="W4212" s="87" t="n">
        <x:v>23</x:v>
      </x:c>
      <x:c r="X4212" s="87"/>
      <x:c r="Y4212" s="87"/>
      <x:c r="Z4212" s="87"/>
      <x:c r="AA4212" s="87"/>
      <x:c r="AB4212" s="87"/>
      <x:c r="AC4212" s="87" t="str">
        <x:v>VIS-PHY-DEC-017</x:v>
      </x:c>
      <x:c r="AD4212" s="87"/>
      <x:c r="AE4212" s="87"/>
      <x:c r="AF4212" s="87" t="str">
        <x:v>VIS-PHY-DEC-017: 23</x:v>
      </x:c>
      <x:c r="AG4212" s="87" t="str">
        <x:v>RESOLVED</x:v>
      </x:c>
      <x:c r="AH4212" s="87" t="str">
        <x:v>CROP_VERIFIED</x:v>
      </x:c>
      <x:c r="AI4212" s="30"/>
      <x:c r="AJ4212" s="87" t="str">
        <x:v>clean</x:v>
      </x:c>
      <x:c r="AK4212" s="87" t="str">
        <x:v>clean-v0.03</x:v>
      </x:c>
      <x:c r="AL4212" s="87" t="str">
        <x:v>statgrad_clean_continuation_v0_03(1).xlsx</x:v>
      </x:c>
      <x:c r="AM4212" s="87" t="str">
        <x:v>PHY_Dec_V2</x:v>
      </x:c>
      <x:c r="AN4212" s="87" t="n">
        <x:v>20</x:v>
      </x:c>
    </x:row>
    <x:row r="4213">
      <x:c r="A4213" s="87" t="n">
        <x:v>4212</x:v>
      </x:c>
      <x:c r="B4213" s="87" t="str">
        <x:v>DEC-PHY-V2-020</x:v>
      </x:c>
      <x:c r="C4213" s="87" t="str">
        <x:v>СтатГрад</x:v>
      </x:c>
      <x:c r="D4213" s="87" t="str">
        <x:v>Декабрь 2025</x:v>
      </x:c>
      <x:c r="E4213" s="87"/>
      <x:c r="F4213" s="87"/>
      <x:c r="G4213" s="87" t="str">
        <x:v>Физика</x:v>
      </x:c>
      <x:c r="H4213" s="87" t="n">
        <x:v>11</x:v>
      </x:c>
      <x:c r="I4213" s="87" t="str">
        <x:v>ТР №2</x:v>
      </x:c>
      <x:c r="J4213" s="87" t="str">
        <x:v>ФИ2510202</x:v>
      </x:c>
      <x:c r="K4213" s="87" t="n">
        <x:v>20</x:v>
      </x:c>
      <x:c r="L4213" s="87" t="str">
        <x:v>Планирование эксперимента</x:v>
      </x:c>
      <x:c r="M4213" s="30" t="str">
        <x:v>В лаборатории экспериментально изучают зависимость частоты колебаний натянутой струны, закреплённой с двух сторон, от площади её поперечного сечения. Какие две установки нужно использовать для проведения такого эксперимента? № Сила Диаметр Материал установки натяжения струны, Н струны, мм струны 1 15 0,5 Сталь 2 10 1 Сталь 3 10 0,5 Медь 4 15 1 Сталь 5 20 1 Пластик В ответе запишите номера выбранных установок. Ответ: Часть 2 Для записи ответов на задания 21–26 используйте чистый лист. Запишите сначала номер задания (21, 22 и т. д.), а затем решение соответствующей задачи. Ответы записывайте чётко и разборчиво.</x:v>
      </x:c>
      <x:c r="N4213" s="30" t="str">
        <x:v>14</x:v>
      </x:c>
      <x:c r="O4213" s="30" t="str">
        <x:v>Меняется только исследуемый параметр; материал и второй влияющий параметр должны быть одинаковыми.</x:v>
      </x:c>
      <x:c r="P4213" s="30" t="str">
        <x:v>Решено независимо; формулы, единицы и визуальные данные повторно проверены.</x:v>
      </x:c>
      <x:c r="Q4213" s="30"/>
      <x:c r="R4213" s="30" t="str">
        <x:v>14</x:v>
      </x:c>
      <x:c r="S4213" s="30"/>
      <x:c r="T4213" s="30" t="str">
        <x:v>Приложенная фотография дополнительного ключа</x:v>
      </x:c>
      <x:c r="U4213" s="30" t="str">
        <x:v>Расхождений не обнаружено.</x:v>
      </x:c>
      <x:c r="V4213" s="87" t="str">
        <x:v>VERIFIED</x:v>
      </x:c>
      <x:c r="W4213" s="87" t="n">
        <x:v>24</x:v>
      </x:c>
      <x:c r="X4213" s="87"/>
      <x:c r="Y4213" s="87"/>
      <x:c r="Z4213" s="87"/>
      <x:c r="AA4213" s="87"/>
      <x:c r="AB4213" s="87"/>
      <x:c r="AC4213" s="87" t="str">
        <x:v>VIS-PHY-DEC-018</x:v>
      </x:c>
      <x:c r="AD4213" s="87"/>
      <x:c r="AE4213" s="87"/>
      <x:c r="AF4213" s="87" t="str">
        <x:v>VIS-PHY-DEC-018: 24</x:v>
      </x:c>
      <x:c r="AG4213" s="87" t="str">
        <x:v>RESOLVED</x:v>
      </x:c>
      <x:c r="AH4213" s="87" t="str">
        <x:v>CROP_VERIFIED</x:v>
      </x:c>
      <x:c r="AI4213" s="30"/>
      <x:c r="AJ4213" s="87" t="str">
        <x:v>clean</x:v>
      </x:c>
      <x:c r="AK4213" s="87" t="str">
        <x:v>clean-v0.03</x:v>
      </x:c>
      <x:c r="AL4213" s="87" t="str">
        <x:v>statgrad_clean_continuation_v0_03(1).xlsx</x:v>
      </x:c>
      <x:c r="AM4213" s="87" t="str">
        <x:v>PHY_Dec_V2</x:v>
      </x:c>
      <x:c r="AN4213" s="87" t="n">
        <x:v>21</x:v>
      </x:c>
    </x:row>
    <x:row r="4214">
      <x:c r="A4214" s="87" t="n">
        <x:v>4213</x:v>
      </x:c>
      <x:c r="B4214" s="87" t="str">
        <x:v>DEC-PHY-V2-021</x:v>
      </x:c>
      <x:c r="C4214" s="87" t="str">
        <x:v>СтатГрад</x:v>
      </x:c>
      <x:c r="D4214" s="87" t="str">
        <x:v>Декабрь 2025</x:v>
      </x:c>
      <x:c r="E4214" s="87"/>
      <x:c r="F4214" s="87"/>
      <x:c r="G4214" s="87" t="str">
        <x:v>Физика</x:v>
      </x:c>
      <x:c r="H4214" s="87" t="n">
        <x:v>11</x:v>
      </x:c>
      <x:c r="I4214" s="87" t="str">
        <x:v>ТР №2</x:v>
      </x:c>
      <x:c r="J4214" s="87" t="str">
        <x:v>ФИ2510202</x:v>
      </x:c>
      <x:c r="K4214" s="87" t="n">
        <x:v>21</x:v>
      </x:c>
      <x:c r="L4214" s="87" t="str">
        <x:v>Термодинамика: качественная задача</x:v>
      </x:c>
      <x:c r="M4214" s="30" t="str">
        <x:v>Постоянное количество одноатомного идеального газа участвует в процессе, который изображён на рисунке в переменных U – p, где U – внутренняя энергия газа, p – его давление. Опираясь на законы молекулярной физики и термодинамики, определите, получает газ количество теплоты или отдаёт в процессах 1–2 и 2–3. Полное правильное решение каждой из задач 22–26 должно содержать законы и формулы, применение которых необходимо и достаточно для решения задачи, а также математические преобразования, расчёты с численным ответом и при необходимости рисунок, поясняющий решение.</x:v>
      </x:c>
      <x:c r="N4214" s="30" t="str">
        <x:v>Q₁₂ &lt; 0; Q₂₃ &gt; 0</x:v>
      </x:c>
      <x:c r="O4214" s="30" t="str">
        <x:v>В 1–2 U и T постоянны, давление растёт, газ сжимается: A&lt;0 и Q=A&lt;0. В 2–3 при постоянном p растут U, T и V: ΔU&gt;0, A&gt;0, поэтому Q&gt;0.</x:v>
      </x:c>
      <x:c r="P4214" s="30" t="str">
        <x:v>Решено независимо; формулы, единицы и визуальные данные повторно проверены.</x:v>
      </x:c>
      <x:c r="Q4214" s="30"/>
      <x:c r="R4214" s="30" t="str">
        <x:v>Q₁₂ &lt; 0; Q₂₃ &gt; 0</x:v>
      </x:c>
      <x:c r="S4214" s="30"/>
      <x:c r="T4214" s="30" t="str">
        <x:v>Официальное возможное решение и критерий</x:v>
      </x:c>
      <x:c r="U4214" s="30" t="str">
        <x:v>Расхождений не обнаружено.</x:v>
      </x:c>
      <x:c r="V4214" s="87" t="str">
        <x:v>VERIFIED</x:v>
      </x:c>
      <x:c r="W4214" s="87" t="n">
        <x:v>25</x:v>
      </x:c>
      <x:c r="X4214" s="87"/>
      <x:c r="Y4214" s="87"/>
      <x:c r="Z4214" s="87"/>
      <x:c r="AA4214" s="87"/>
      <x:c r="AB4214" s="87"/>
      <x:c r="AC4214" s="87" t="str">
        <x:v>VIS-PHY-DEC-019</x:v>
      </x:c>
      <x:c r="AD4214" s="87"/>
      <x:c r="AE4214" s="87"/>
      <x:c r="AF4214" s="87" t="str">
        <x:v>VIS-PHY-DEC-019: 25</x:v>
      </x:c>
      <x:c r="AG4214" s="87" t="str">
        <x:v>RESOLVED</x:v>
      </x:c>
      <x:c r="AH4214" s="87" t="str">
        <x:v>CROP_VERIFIED; TASK_CROP_QA_APPROVED:USE_CONTEXT</x:v>
      </x:c>
      <x:c r="AI4214" s="30"/>
      <x:c r="AJ4214" s="87" t="str">
        <x:v>clean</x:v>
      </x:c>
      <x:c r="AK4214" s="87" t="str">
        <x:v>clean-v0.03</x:v>
      </x:c>
      <x:c r="AL4214" s="87" t="str">
        <x:v>statgrad_clean_continuation_v0_03(1).xlsx</x:v>
      </x:c>
      <x:c r="AM4214" s="87" t="str">
        <x:v>PHY_Dec_V2</x:v>
      </x:c>
      <x:c r="AN4214" s="87" t="n">
        <x:v>22</x:v>
      </x:c>
    </x:row>
    <x:row r="4215">
      <x:c r="A4215" s="87" t="n">
        <x:v>4214</x:v>
      </x:c>
      <x:c r="B4215" s="87" t="str">
        <x:v>DEC-PHY-V2-022</x:v>
      </x:c>
      <x:c r="C4215" s="87" t="str">
        <x:v>СтатГрад</x:v>
      </x:c>
      <x:c r="D4215" s="87" t="str">
        <x:v>Декабрь 2025</x:v>
      </x:c>
      <x:c r="E4215" s="87"/>
      <x:c r="F4215" s="87"/>
      <x:c r="G4215" s="87" t="str">
        <x:v>Физика</x:v>
      </x:c>
      <x:c r="H4215" s="87" t="n">
        <x:v>11</x:v>
      </x:c>
      <x:c r="I4215" s="87" t="str">
        <x:v>ТР №2</x:v>
      </x:c>
      <x:c r="J4215" s="87" t="str">
        <x:v>ФИ2510202</x:v>
      </x:c>
      <x:c r="K4215" s="87" t="n">
        <x:v>22</x:v>
      </x:c>
      <x:c r="L4215" s="87" t="str">
        <x:v>Баллистика: расчётная задача</x:v>
      </x:c>
      <x:c r="M4215" s="30" t="str">
        <x:v>Камень, брошенный горизонтально с высоты Н = 15 м над поверхностью земли, при падении на землю имел скорость, направленную под углом α = 30° к вертикали. Определите дальность полёта камня вдоль горизонтальной поверхности. Сопротивлением воздуха пренебречь.</x:v>
      </x:c>
      <x:c r="N4215" s="30" t="str">
        <x:v>S ≈ 17,3 м</x:v>
      </x:c>
      <x:c r="O4215" s="30" t="str">
        <x:v>При угле 30° к вертикали tan α=vₓ/vᵧ; из H=gt²/2 и S=vₓt следует S=2H·tan30°≈17,3 м.</x:v>
      </x:c>
      <x:c r="P4215" s="30" t="str">
        <x:v>Решено независимо; формулы, единицы и визуальные данные повторно проверены.</x:v>
      </x:c>
      <x:c r="Q4215" s="30"/>
      <x:c r="R4215" s="30" t="str">
        <x:v>S ≈ 17,3 м</x:v>
      </x:c>
      <x:c r="S4215" s="30"/>
      <x:c r="T4215" s="30" t="str">
        <x:v>Официальное возможное решение и критерий</x:v>
      </x:c>
      <x:c r="U4215" s="30" t="str">
        <x:v>Расхождений не обнаружено.</x:v>
      </x:c>
      <x:c r="V4215" s="87" t="str">
        <x:v>VERIFIED</x:v>
      </x:c>
      <x:c r="W4215" s="87" t="n">
        <x:v>25</x:v>
      </x:c>
      <x:c r="X4215" s="87"/>
      <x:c r="Y4215" s="87"/>
      <x:c r="Z4215" s="87"/>
      <x:c r="AA4215" s="87"/>
      <x:c r="AB4215" s="87"/>
      <x:c r="AC4215" s="87" t="str">
        <x:v>VIS-PHY-DEC-019</x:v>
      </x:c>
      <x:c r="AD4215" s="87"/>
      <x:c r="AE4215" s="87"/>
      <x:c r="AF4215" s="87" t="str">
        <x:v>VIS-PHY-DEC-019: 25</x:v>
      </x:c>
      <x:c r="AG4215" s="87" t="str">
        <x:v>RESOLVED</x:v>
      </x:c>
      <x:c r="AH4215" s="87" t="str">
        <x:v>CROP_VERIFIED</x:v>
      </x:c>
      <x:c r="AI4215" s="30"/>
      <x:c r="AJ4215" s="87" t="str">
        <x:v>clean</x:v>
      </x:c>
      <x:c r="AK4215" s="87" t="str">
        <x:v>clean-v0.03</x:v>
      </x:c>
      <x:c r="AL4215" s="87" t="str">
        <x:v>statgrad_clean_continuation_v0_03(1).xlsx</x:v>
      </x:c>
      <x:c r="AM4215" s="87" t="str">
        <x:v>PHY_Dec_V2</x:v>
      </x:c>
      <x:c r="AN4215" s="87" t="n">
        <x:v>23</x:v>
      </x:c>
    </x:row>
    <x:row r="4216">
      <x:c r="A4216" s="87" t="n">
        <x:v>4215</x:v>
      </x:c>
      <x:c r="B4216" s="87" t="str">
        <x:v>DEC-PHY-V2-023</x:v>
      </x:c>
      <x:c r="C4216" s="87" t="str">
        <x:v>СтатГрад</x:v>
      </x:c>
      <x:c r="D4216" s="87" t="str">
        <x:v>Декабрь 2025</x:v>
      </x:c>
      <x:c r="E4216" s="87"/>
      <x:c r="F4216" s="87"/>
      <x:c r="G4216" s="87" t="str">
        <x:v>Физика</x:v>
      </x:c>
      <x:c r="H4216" s="87" t="n">
        <x:v>11</x:v>
      </x:c>
      <x:c r="I4216" s="87" t="str">
        <x:v>ТР №2</x:v>
      </x:c>
      <x:c r="J4216" s="87" t="str">
        <x:v>ФИ2510202</x:v>
      </x:c>
      <x:c r="K4216" s="87" t="n">
        <x:v>23</x:v>
      </x:c>
      <x:c r="L4216" s="87" t="str">
        <x:v>Электростатика и конденсатор</x:v>
      </x:c>
      <x:c r="M4216" s="30" t="str">
        <x:v>Между горизонтально расположенными обкладками плоского конденсатора ёмкостью C = 60 нФ в состоянии покоя висит заряженный шарик, заряд которого равен q = 0,4 мкКл. Определите массу шарика, если модуль заряда на обкладках конденсатора равен Q = 10 мкКл, а расстояние между ними d = 3 мм</x:v>
      </x:c>
      <x:c r="N4216" s="30" t="str">
        <x:v>m ≈ 2,2 г</x:v>
      </x:c>
      <x:c r="O4216" s="30" t="str">
        <x:v>Равновесие qE=mg, E=U/d, U=Q/C; поэтому m=Qq/(dCg)≈2,2 г.</x:v>
      </x:c>
      <x:c r="P4216" s="30" t="str">
        <x:v>Решено независимо; формулы, единицы и визуальные данные повторно проверены.</x:v>
      </x:c>
      <x:c r="Q4216" s="30"/>
      <x:c r="R4216" s="30" t="str">
        <x:v>m ≈ 2,2 г</x:v>
      </x:c>
      <x:c r="S4216" s="30"/>
      <x:c r="T4216" s="30" t="str">
        <x:v>Официальное возможное решение и критерий</x:v>
      </x:c>
      <x:c r="U4216" s="30" t="str">
        <x:v>Расхождений не обнаружено.</x:v>
      </x:c>
      <x:c r="V4216" s="87" t="str">
        <x:v>VERIFIED</x:v>
      </x:c>
      <x:c r="W4216" s="87" t="n">
        <x:v>25</x:v>
      </x:c>
      <x:c r="X4216" s="87"/>
      <x:c r="Y4216" s="87"/>
      <x:c r="Z4216" s="87"/>
      <x:c r="AA4216" s="87"/>
      <x:c r="AB4216" s="87"/>
      <x:c r="AC4216" s="87" t="str">
        <x:v>VIS-PHY-DEC-019</x:v>
      </x:c>
      <x:c r="AD4216" s="87"/>
      <x:c r="AE4216" s="87"/>
      <x:c r="AF4216" s="87" t="str">
        <x:v>VIS-PHY-DEC-019: 25</x:v>
      </x:c>
      <x:c r="AG4216" s="87" t="str">
        <x:v>RESOLVED</x:v>
      </x:c>
      <x:c r="AH4216" s="87" t="str">
        <x:v>CROP_VERIFIED</x:v>
      </x:c>
      <x:c r="AI4216" s="30"/>
      <x:c r="AJ4216" s="87" t="str">
        <x:v>clean</x:v>
      </x:c>
      <x:c r="AK4216" s="87" t="str">
        <x:v>clean-v0.03</x:v>
      </x:c>
      <x:c r="AL4216" s="87" t="str">
        <x:v>statgrad_clean_continuation_v0_03(1).xlsx</x:v>
      </x:c>
      <x:c r="AM4216" s="87" t="str">
        <x:v>PHY_Dec_V2</x:v>
      </x:c>
      <x:c r="AN4216" s="87" t="n">
        <x:v>24</x:v>
      </x:c>
    </x:row>
    <x:row r="4217">
      <x:c r="A4217" s="87" t="n">
        <x:v>4216</x:v>
      </x:c>
      <x:c r="B4217" s="87" t="str">
        <x:v>DEC-PHY-V2-024</x:v>
      </x:c>
      <x:c r="C4217" s="87" t="str">
        <x:v>СтатГрад</x:v>
      </x:c>
      <x:c r="D4217" s="87" t="str">
        <x:v>Декабрь 2025</x:v>
      </x:c>
      <x:c r="E4217" s="87"/>
      <x:c r="F4217" s="87"/>
      <x:c r="G4217" s="87" t="str">
        <x:v>Физика</x:v>
      </x:c>
      <x:c r="H4217" s="87" t="n">
        <x:v>11</x:v>
      </x:c>
      <x:c r="I4217" s="87" t="str">
        <x:v>ТР №2</x:v>
      </x:c>
      <x:c r="J4217" s="87" t="str">
        <x:v>ФИ2510202</x:v>
      </x:c>
      <x:c r="K4217" s="87" t="n">
        <x:v>24</x:v>
      </x:c>
      <x:c r="L4217" s="87" t="str">
        <x:v>Тепловой баланс</x:v>
      </x:c>
      <x:c r="M4217" s="30" t="str">
        <x:v>Масса льда, которую можно превратить в воду и затем довести до кипения при сжигании сухих дров массой m = 2 кг, равна m л = 5 кг. Начальная температура льда равна t0 = –25 °C, а удельная теплота сгорания сухих дров q = 8⋅106 Дж/кг. Какая доля количества теплоты, выделяющегося при сгорании дров, рассеивается в окружающую среду? Ответ выразите в процентах.</x:v>
      </x:c>
      <x:c r="N4217" s="30" t="str">
        <x:v>η ≈ 75 %</x:v>
      </x:c>
      <x:c r="O4217" s="30" t="str">
        <x:v>Для 5 кг льда рассчитана требуемая теплота; её доля от 16 МДж равна около 25%, значит рассеивается около 75%.</x:v>
      </x:c>
      <x:c r="P4217" s="30" t="str">
        <x:v>Решено независимо; формулы, единицы и визуальные данные повторно проверены.</x:v>
      </x:c>
      <x:c r="Q4217" s="30"/>
      <x:c r="R4217" s="30" t="str">
        <x:v>η ≈ 75 %</x:v>
      </x:c>
      <x:c r="S4217" s="30"/>
      <x:c r="T4217" s="30" t="str">
        <x:v>Официальное возможное решение и критерий</x:v>
      </x:c>
      <x:c r="U4217" s="30" t="str">
        <x:v>Расхождений не обнаружено.</x:v>
      </x:c>
      <x:c r="V4217" s="87" t="str">
        <x:v>VERIFIED</x:v>
      </x:c>
      <x:c r="W4217" s="87" t="n">
        <x:v>25</x:v>
      </x:c>
      <x:c r="X4217" s="87"/>
      <x:c r="Y4217" s="87"/>
      <x:c r="Z4217" s="87"/>
      <x:c r="AA4217" s="87"/>
      <x:c r="AB4217" s="87"/>
      <x:c r="AC4217" s="87" t="str">
        <x:v>VIS-PHY-DEC-019</x:v>
      </x:c>
      <x:c r="AD4217" s="87"/>
      <x:c r="AE4217" s="87"/>
      <x:c r="AF4217" s="87" t="str">
        <x:v>VIS-PHY-DEC-019: 25</x:v>
      </x:c>
      <x:c r="AG4217" s="87" t="str">
        <x:v>RESOLVED</x:v>
      </x:c>
      <x:c r="AH4217" s="87" t="str">
        <x:v>CROP_VERIFIED</x:v>
      </x:c>
      <x:c r="AI4217" s="30"/>
      <x:c r="AJ4217" s="87" t="str">
        <x:v>clean</x:v>
      </x:c>
      <x:c r="AK4217" s="87" t="str">
        <x:v>clean-v0.03</x:v>
      </x:c>
      <x:c r="AL4217" s="87" t="str">
        <x:v>statgrad_clean_continuation_v0_03(1).xlsx</x:v>
      </x:c>
      <x:c r="AM4217" s="87" t="str">
        <x:v>PHY_Dec_V2</x:v>
      </x:c>
      <x:c r="AN4217" s="87" t="n">
        <x:v>25</x:v>
      </x:c>
    </x:row>
    <x:row r="4218">
      <x:c r="A4218" s="87" t="n">
        <x:v>4217</x:v>
      </x:c>
      <x:c r="B4218" s="87" t="str">
        <x:v>DEC-PHY-V2-025</x:v>
      </x:c>
      <x:c r="C4218" s="87" t="str">
        <x:v>СтатГрад</x:v>
      </x:c>
      <x:c r="D4218" s="87" t="str">
        <x:v>Декабрь 2025</x:v>
      </x:c>
      <x:c r="E4218" s="87"/>
      <x:c r="F4218" s="87"/>
      <x:c r="G4218" s="87" t="str">
        <x:v>Физика</x:v>
      </x:c>
      <x:c r="H4218" s="87" t="n">
        <x:v>11</x:v>
      </x:c>
      <x:c r="I4218" s="87" t="str">
        <x:v>ТР №2</x:v>
      </x:c>
      <x:c r="J4218" s="87" t="str">
        <x:v>ФИ2510202</x:v>
      </x:c>
      <x:c r="K4218" s="87" t="n">
        <x:v>25</x:v>
      </x:c>
      <x:c r="L4218" s="87" t="str">
        <x:v>Электромагнитная индукция: заряд</x:v>
      </x:c>
      <x:c r="M4218" s="30" t="str">
        <x:v>Квадратная проводящая рамка со стороной a = 10 см закреплена в однородном магнитном поле. Вектор магнитной индукции этого поля лежит в плоскости рамки и направлен перпендикулярно одной из её сторон (см. рисунок). При повороте рамки на 180° вокруг оси ОО 1 по ней протекает заряд, равный q = 40 мкКл. Определите модуль вектора магнитной индукции магнитного поля, в котором происходит поворот рамки, если её сопротивление равно R = 0,2 Ом.</x:v>
      </x:c>
      <x:c r="N4218" s="30" t="str">
        <x:v>B = 0,4 мТл</x:v>
      </x:c>
      <x:c r="O4218" s="30" t="str">
        <x:v>Из q=2BS/R и S=a² получаем B=qR/(2a²)=4·10⁻⁴ Т=0,4 мТл.</x:v>
      </x:c>
      <x:c r="P4218" s="30" t="str">
        <x:v>Решено независимо; формулы, единицы и визуальные данные повторно проверены.</x:v>
      </x:c>
      <x:c r="Q4218" s="30"/>
      <x:c r="R4218" s="30" t="str">
        <x:v>B = 0,4 мТл</x:v>
      </x:c>
      <x:c r="S4218" s="30"/>
      <x:c r="T4218" s="30" t="str">
        <x:v>Официальное возможное решение и критерий</x:v>
      </x:c>
      <x:c r="U4218" s="30" t="str">
        <x:v>Расхождений не обнаружено.</x:v>
      </x:c>
      <x:c r="V4218" s="87" t="str">
        <x:v>VERIFIED</x:v>
      </x:c>
      <x:c r="W4218" s="87" t="n">
        <x:v>26</x:v>
      </x:c>
      <x:c r="X4218" s="87"/>
      <x:c r="Y4218" s="87"/>
      <x:c r="Z4218" s="87"/>
      <x:c r="AA4218" s="87"/>
      <x:c r="AB4218" s="87"/>
      <x:c r="AC4218" s="87" t="str">
        <x:v>VIS-PHY-DEC-020</x:v>
      </x:c>
      <x:c r="AD4218" s="87"/>
      <x:c r="AE4218" s="87"/>
      <x:c r="AF4218" s="87" t="str">
        <x:v>VIS-PHY-DEC-020: 26</x:v>
      </x:c>
      <x:c r="AG4218" s="87" t="str">
        <x:v>RESOLVED</x:v>
      </x:c>
      <x:c r="AH4218" s="87" t="str">
        <x:v>CROP_VERIFIED; TASK_CROP_QA_APPROVED:USE_CONTEXT</x:v>
      </x:c>
      <x:c r="AI4218" s="30"/>
      <x:c r="AJ4218" s="87" t="str">
        <x:v>clean</x:v>
      </x:c>
      <x:c r="AK4218" s="87" t="str">
        <x:v>clean-v0.03</x:v>
      </x:c>
      <x:c r="AL4218" s="87" t="str">
        <x:v>statgrad_clean_continuation_v0_03(1).xlsx</x:v>
      </x:c>
      <x:c r="AM4218" s="87" t="str">
        <x:v>PHY_Dec_V2</x:v>
      </x:c>
      <x:c r="AN4218" s="87" t="n">
        <x:v>26</x:v>
      </x:c>
    </x:row>
    <x:row r="4219">
      <x:c r="A4219" s="87" t="n">
        <x:v>4218</x:v>
      </x:c>
      <x:c r="B4219" s="87" t="str">
        <x:v>DEC-PHY-V2-026</x:v>
      </x:c>
      <x:c r="C4219" s="87" t="str">
        <x:v>СтатГрад</x:v>
      </x:c>
      <x:c r="D4219" s="87" t="str">
        <x:v>Декабрь 2025</x:v>
      </x:c>
      <x:c r="E4219" s="87"/>
      <x:c r="F4219" s="87"/>
      <x:c r="G4219" s="87" t="str">
        <x:v>Физика</x:v>
      </x:c>
      <x:c r="H4219" s="87" t="n">
        <x:v>11</x:v>
      </x:c>
      <x:c r="I4219" s="87" t="str">
        <x:v>ТР №2</x:v>
      </x:c>
      <x:c r="J4219" s="87" t="str">
        <x:v>ФИ2510202</x:v>
      </x:c>
      <x:c r="K4219" s="87" t="n">
        <x:v>26</x:v>
      </x:c>
      <x:c r="L4219" s="87" t="str">
        <x:v>Динамика связанных тел</x:v>
      </x:c>
      <x:c r="M4219" s="30" t="str">
        <x:v>Два бруска массами m 1 = 500 г и m 2 = 200 г, связанные горизонтальной невесомой нерастяжимой нитью, скользят по горизонтальному столу под действием постоянной силы F, направленной под углом α = 30о к поверхности стола (см. рисунок). Коэффициент трения между брусками и поверхностью стола равен μ = 0,2. Определите модуль силы F, если модуль силы натяжения нити равен T = 1,8 Н. Сделайте рисунок с указанием сил, действующих на каждый брусок. Обоснуйте применимость законов, используемых для решения задачи.  F α m1 m2</x:v>
      </x:c>
      <x:c r="N4219" s="30" t="str">
        <x:v>F ≈ 6,5 Н</x:v>
      </x:c>
      <x:c r="O4219" s="30" t="str">
        <x:v>Из T=m₂(a+μg) и уравнения системы следует F=T(m₁+m₂)/[m₂(cosα+μsinα)]≈6,5 Н.</x:v>
      </x:c>
      <x:c r="P4219" s="30" t="str">
        <x:v>Решено независимо; формулы, единицы и визуальные данные повторно проверены.</x:v>
      </x:c>
      <x:c r="Q4219" s="30"/>
      <x:c r="R4219" s="30" t="str">
        <x:v>F ≈ 6,5 Н</x:v>
      </x:c>
      <x:c r="S4219" s="30"/>
      <x:c r="T4219" s="30" t="str">
        <x:v>Официальное возможное решение и критерий</x:v>
      </x:c>
      <x:c r="U4219" s="30" t="str">
        <x:v>Расхождений не обнаружено.</x:v>
      </x:c>
      <x:c r="V4219" s="87" t="str">
        <x:v>VERIFIED</x:v>
      </x:c>
      <x:c r="W4219" s="87" t="n">
        <x:v>26</x:v>
      </x:c>
      <x:c r="X4219" s="87"/>
      <x:c r="Y4219" s="87"/>
      <x:c r="Z4219" s="87"/>
      <x:c r="AA4219" s="87"/>
      <x:c r="AB4219" s="87"/>
      <x:c r="AC4219" s="87" t="str">
        <x:v>VIS-PHY-DEC-020</x:v>
      </x:c>
      <x:c r="AD4219" s="87"/>
      <x:c r="AE4219" s="87"/>
      <x:c r="AF4219" s="87" t="str">
        <x:v>VIS-PHY-DEC-020: 26</x:v>
      </x:c>
      <x:c r="AG4219" s="87" t="str">
        <x:v>RESOLVED</x:v>
      </x:c>
      <x:c r="AH4219" s="87" t="str">
        <x:v>CROP_VERIFIED; TASK_CROP_QA_APPROVED:USE_CONTEXT</x:v>
      </x:c>
      <x:c r="AI4219" s="30"/>
      <x:c r="AJ4219" s="87" t="str">
        <x:v>clean</x:v>
      </x:c>
      <x:c r="AK4219" s="87" t="str">
        <x:v>clean-v0.03</x:v>
      </x:c>
      <x:c r="AL4219" s="87" t="str">
        <x:v>statgrad_clean_continuation_v0_03(1).xlsx</x:v>
      </x:c>
      <x:c r="AM4219" s="87" t="str">
        <x:v>PHY_Dec_V2</x:v>
      </x:c>
      <x:c r="AN4219" s="87" t="n">
        <x:v>27</x:v>
      </x:c>
    </x:row>
    <x:row r="4220">
      <x:c r="A4220" s="87" t="n">
        <x:v>4219</x:v>
      </x:c>
      <x:c r="B4220" s="87" t="str">
        <x:v>DEC-PHY-V3-001</x:v>
      </x:c>
      <x:c r="C4220" s="87" t="str">
        <x:v>СтатГрад</x:v>
      </x:c>
      <x:c r="D4220" s="87" t="str">
        <x:v>Декабрь 2025</x:v>
      </x:c>
      <x:c r="E4220" s="87"/>
      <x:c r="F4220" s="87"/>
      <x:c r="G4220" s="87" t="str">
        <x:v>Физика</x:v>
      </x:c>
      <x:c r="H4220" s="87" t="n">
        <x:v>11</x:v>
      </x:c>
      <x:c r="I4220" s="87" t="str">
        <x:v>ТР №2</x:v>
      </x:c>
      <x:c r="J4220" s="87" t="str">
        <x:v>ФИ2510203</x:v>
      </x:c>
      <x:c r="K4220" s="87" t="n">
        <x:v>1</x:v>
      </x:c>
      <x:c r="L4220" s="87" t="str">
        <x:v>Кинематика: график скорости</x:v>
      </x:c>
      <x:c r="M4220" s="30" t="str">
        <x:v>На рисунке приведён график зависимости проекции υ x скорости тела на ось OX от времени t. Определите проекцию ускорения тела на ось OX в течение промежутка времени от 3 с до 5 с. Ответ запишите с учётом знака проекции. Ответ: ___________________________ м/с2.</x:v>
      </x:c>
      <x:c r="N4220" s="30" t="str">
        <x:v>5</x:v>
      </x:c>
      <x:c r="O4220" s="30" t="str">
        <x:v>Ускорение равно угловому коэффициенту графика vₓ(t): Δvₓ/Δt на указанном интервале.</x:v>
      </x:c>
      <x:c r="P4220" s="30" t="str">
        <x:v>Решено независимо; формулы, единицы и визуальные данные повторно проверены.</x:v>
      </x:c>
      <x:c r="Q4220" s="30"/>
      <x:c r="R4220" s="30" t="str">
        <x:v>5</x:v>
      </x:c>
      <x:c r="S4220" s="30"/>
      <x:c r="T4220" s="30" t="str">
        <x:v>Приложенная фотография дополнительного ключа</x:v>
      </x:c>
      <x:c r="U4220" s="30" t="str">
        <x:v>Расхождений не обнаружено.</x:v>
      </x:c>
      <x:c r="V4220" s="87" t="str">
        <x:v>VERIFIED</x:v>
      </x:c>
      <x:c r="W4220" s="87" t="n">
        <x:v>4</x:v>
      </x:c>
      <x:c r="X4220" s="87"/>
      <x:c r="Y4220" s="87"/>
      <x:c r="Z4220" s="87"/>
      <x:c r="AA4220" s="87"/>
      <x:c r="AB4220" s="87"/>
      <x:c r="AC4220" s="87" t="str">
        <x:v>VIS-PHY-DEC-021</x:v>
      </x:c>
      <x:c r="AD4220" s="87"/>
      <x:c r="AE4220" s="87"/>
      <x:c r="AF4220" s="87" t="str">
        <x:v>VIS-PHY-DEC-021: 4</x:v>
      </x:c>
      <x:c r="AG4220" s="87" t="str">
        <x:v>RESOLVED</x:v>
      </x:c>
      <x:c r="AH4220" s="87" t="str">
        <x:v>CROP_VERIFIED; TASK_CROP_QA_APPROVED:USE_CONTEXT</x:v>
      </x:c>
      <x:c r="AI4220" s="30"/>
      <x:c r="AJ4220" s="87" t="str">
        <x:v>clean</x:v>
      </x:c>
      <x:c r="AK4220" s="87" t="str">
        <x:v>clean-v0.03</x:v>
      </x:c>
      <x:c r="AL4220" s="87" t="str">
        <x:v>statgrad_clean_continuation_v0_03(1).xlsx</x:v>
      </x:c>
      <x:c r="AM4220" s="87" t="str">
        <x:v>PHY_Dec_V3</x:v>
      </x:c>
      <x:c r="AN4220" s="87" t="n">
        <x:v>2</x:v>
      </x:c>
    </x:row>
    <x:row r="4221">
      <x:c r="A4221" s="87" t="n">
        <x:v>4220</x:v>
      </x:c>
      <x:c r="B4221" s="87" t="str">
        <x:v>DEC-PHY-V3-002</x:v>
      </x:c>
      <x:c r="C4221" s="87" t="str">
        <x:v>СтатГрад</x:v>
      </x:c>
      <x:c r="D4221" s="87" t="str">
        <x:v>Декабрь 2025</x:v>
      </x:c>
      <x:c r="E4221" s="87"/>
      <x:c r="F4221" s="87"/>
      <x:c r="G4221" s="87" t="str">
        <x:v>Физика</x:v>
      </x:c>
      <x:c r="H4221" s="87" t="n">
        <x:v>11</x:v>
      </x:c>
      <x:c r="I4221" s="87" t="str">
        <x:v>ТР №2</x:v>
      </x:c>
      <x:c r="J4221" s="87" t="str">
        <x:v>ФИ2510203</x:v>
      </x:c>
      <x:c r="K4221" s="87" t="n">
        <x:v>2</x:v>
      </x:c>
      <x:c r="L4221" s="87" t="str">
        <x:v>Динамика: второй закон Ньютона</x:v>
      </x:c>
      <x:c r="M4221" s="30" t="str">
        <x:v>Тележка массой 1,5 кг движется по гладкому горизонтальному столу под действием постоянной силы, направленной вдоль поверхности стола. В инерциальной системе отсчёта, связанной со столом, ускорение тележки равно 2,2 м/с2. Чему равен модуль этой силы? Ответ: ___________________________ Н.</x:v>
      </x:c>
      <x:c r="N4221" s="30" t="str">
        <x:v>3,3</x:v>
      </x:c>
      <x:c r="O4221" s="30" t="str">
        <x:v>На гладком столе горизонтальная равнодействующая равна приложенной силе; используется F = ma.</x:v>
      </x:c>
      <x:c r="P4221" s="30" t="str">
        <x:v>Решено независимо; формулы, единицы и визуальные данные повторно проверены.</x:v>
      </x:c>
      <x:c r="Q4221" s="30"/>
      <x:c r="R4221" s="30" t="str">
        <x:v>3,3</x:v>
      </x:c>
      <x:c r="S4221" s="30"/>
      <x:c r="T4221" s="30" t="str">
        <x:v>Приложенная фотография дополнительного ключа</x:v>
      </x:c>
      <x:c r="U4221" s="30" t="str">
        <x:v>Расхождений не обнаружено.</x:v>
      </x:c>
      <x:c r="V4221" s="87" t="str">
        <x:v>VERIFIED</x:v>
      </x:c>
      <x:c r="W4221" s="87" t="n">
        <x:v>4</x:v>
      </x:c>
      <x:c r="X4221" s="87"/>
      <x:c r="Y4221" s="87"/>
      <x:c r="Z4221" s="87"/>
      <x:c r="AA4221" s="87"/>
      <x:c r="AB4221" s="87"/>
      <x:c r="AC4221" s="87" t="str">
        <x:v>VIS-PHY-DEC-021</x:v>
      </x:c>
      <x:c r="AD4221" s="87"/>
      <x:c r="AE4221" s="87"/>
      <x:c r="AF4221" s="87" t="str">
        <x:v>VIS-PHY-DEC-021: 4</x:v>
      </x:c>
      <x:c r="AG4221" s="87" t="str">
        <x:v>RESOLVED</x:v>
      </x:c>
      <x:c r="AH4221" s="87" t="str">
        <x:v>CROP_VERIFIED</x:v>
      </x:c>
      <x:c r="AI4221" s="30"/>
      <x:c r="AJ4221" s="87" t="str">
        <x:v>clean</x:v>
      </x:c>
      <x:c r="AK4221" s="87" t="str">
        <x:v>clean-v0.03</x:v>
      </x:c>
      <x:c r="AL4221" s="87" t="str">
        <x:v>statgrad_clean_continuation_v0_03(1).xlsx</x:v>
      </x:c>
      <x:c r="AM4221" s="87" t="str">
        <x:v>PHY_Dec_V3</x:v>
      </x:c>
      <x:c r="AN4221" s="87" t="n">
        <x:v>3</x:v>
      </x:c>
    </x:row>
    <x:row r="4222">
      <x:c r="A4222" s="87" t="n">
        <x:v>4221</x:v>
      </x:c>
      <x:c r="B4222" s="87" t="str">
        <x:v>DEC-PHY-V3-003</x:v>
      </x:c>
      <x:c r="C4222" s="87" t="str">
        <x:v>СтатГрад</x:v>
      </x:c>
      <x:c r="D4222" s="87" t="str">
        <x:v>Декабрь 2025</x:v>
      </x:c>
      <x:c r="E4222" s="87"/>
      <x:c r="F4222" s="87"/>
      <x:c r="G4222" s="87" t="str">
        <x:v>Физика</x:v>
      </x:c>
      <x:c r="H4222" s="87" t="n">
        <x:v>11</x:v>
      </x:c>
      <x:c r="I4222" s="87" t="str">
        <x:v>ТР №2</x:v>
      </x:c>
      <x:c r="J4222" s="87" t="str">
        <x:v>ФИ2510203</x:v>
      </x:c>
      <x:c r="K4222" s="87" t="n">
        <x:v>3</x:v>
      </x:c>
      <x:c r="L4222" s="87" t="str">
        <x:v>Импульс: неупругое столкновение</x:v>
      </x:c>
      <x:c r="M4222" s="30" t="str">
        <x:v>Пластилиновый шарик массой 100 г, движущийся со скоростью 2 м/с, сталкивается с таким же шариком, движущимся навстречу с такой же по модулю скоростью. Чему будет равен модуль скорости этих шариков после их абсолютно неупругого столкновения, если центры шариков двигались вдоль одной прямой? Ответ: ___________________________ м/с.</x:v>
      </x:c>
      <x:c r="N4222" s="30" t="str">
        <x:v>0</x:v>
      </x:c>
      <x:c r="O4222" s="30" t="str">
        <x:v>Для абсолютно неупругого столкновения сохраняется импульс; после удара шарики движутся вместе.</x:v>
      </x:c>
      <x:c r="P4222" s="30" t="str">
        <x:v>Решено независимо; формулы, единицы и визуальные данные повторно проверены.</x:v>
      </x:c>
      <x:c r="Q4222" s="30"/>
      <x:c r="R4222" s="30" t="str">
        <x:v>0</x:v>
      </x:c>
      <x:c r="S4222" s="30"/>
      <x:c r="T4222" s="30" t="str">
        <x:v>Приложенная фотография дополнительного ключа</x:v>
      </x:c>
      <x:c r="U4222" s="30" t="str">
        <x:v>Расхождений не обнаружено.</x:v>
      </x:c>
      <x:c r="V4222" s="87" t="str">
        <x:v>VERIFIED</x:v>
      </x:c>
      <x:c r="W4222" s="87" t="n">
        <x:v>4</x:v>
      </x:c>
      <x:c r="X4222" s="87"/>
      <x:c r="Y4222" s="87"/>
      <x:c r="Z4222" s="87"/>
      <x:c r="AA4222" s="87"/>
      <x:c r="AB4222" s="87"/>
      <x:c r="AC4222" s="87" t="str">
        <x:v>VIS-PHY-DEC-021</x:v>
      </x:c>
      <x:c r="AD4222" s="87"/>
      <x:c r="AE4222" s="87"/>
      <x:c r="AF4222" s="87" t="str">
        <x:v>VIS-PHY-DEC-021: 4</x:v>
      </x:c>
      <x:c r="AG4222" s="87" t="str">
        <x:v>RESOLVED</x:v>
      </x:c>
      <x:c r="AH4222" s="87" t="str">
        <x:v>CROP_VERIFIED</x:v>
      </x:c>
      <x:c r="AI4222" s="30"/>
      <x:c r="AJ4222" s="87" t="str">
        <x:v>clean</x:v>
      </x:c>
      <x:c r="AK4222" s="87" t="str">
        <x:v>clean-v0.03</x:v>
      </x:c>
      <x:c r="AL4222" s="87" t="str">
        <x:v>statgrad_clean_continuation_v0_03(1).xlsx</x:v>
      </x:c>
      <x:c r="AM4222" s="87" t="str">
        <x:v>PHY_Dec_V3</x:v>
      </x:c>
      <x:c r="AN4222" s="87" t="n">
        <x:v>4</x:v>
      </x:c>
    </x:row>
    <x:row r="4223">
      <x:c r="A4223" s="87" t="n">
        <x:v>4222</x:v>
      </x:c>
      <x:c r="B4223" s="87" t="str">
        <x:v>DEC-PHY-V3-004</x:v>
      </x:c>
      <x:c r="C4223" s="87" t="str">
        <x:v>СтатГрад</x:v>
      </x:c>
      <x:c r="D4223" s="87" t="str">
        <x:v>Декабрь 2025</x:v>
      </x:c>
      <x:c r="E4223" s="87"/>
      <x:c r="F4223" s="87"/>
      <x:c r="G4223" s="87" t="str">
        <x:v>Физика</x:v>
      </x:c>
      <x:c r="H4223" s="87" t="n">
        <x:v>11</x:v>
      </x:c>
      <x:c r="I4223" s="87" t="str">
        <x:v>ТР №2</x:v>
      </x:c>
      <x:c r="J4223" s="87" t="str">
        <x:v>ФИ2510203</x:v>
      </x:c>
      <x:c r="K4223" s="87" t="n">
        <x:v>4</x:v>
      </x:c>
      <x:c r="L4223" s="87" t="str">
        <x:v>Гидростатика</x:v>
      </x:c>
      <x:c r="M4223" s="30" t="str">
        <x:v>Чему равно гидростатическое давление, создаваемое водой на горизонтальное дно пруда глубиной 3,7 м? Атмосферное давление не учитывать. Ответ: ___________________________ кПа.</x:v>
      </x:c>
      <x:c r="N4223" s="30" t="str">
        <x:v>37</x:v>
      </x:c>
      <x:c r="O4223" s="30" t="str">
        <x:v>Гидростатическое давление и глубина связаны формулой p = ρgh.</x:v>
      </x:c>
      <x:c r="P4223" s="30" t="str">
        <x:v>Решено независимо; формулы, единицы и визуальные данные повторно проверены.</x:v>
      </x:c>
      <x:c r="Q4223" s="30"/>
      <x:c r="R4223" s="30" t="str">
        <x:v>37</x:v>
      </x:c>
      <x:c r="S4223" s="30"/>
      <x:c r="T4223" s="30" t="str">
        <x:v>Приложенная фотография дополнительного ключа</x:v>
      </x:c>
      <x:c r="U4223" s="30" t="str">
        <x:v>Расхождений не обнаружено.</x:v>
      </x:c>
      <x:c r="V4223" s="87" t="str">
        <x:v>VERIFIED</x:v>
      </x:c>
      <x:c r="W4223" s="87" t="n">
        <x:v>4</x:v>
      </x:c>
      <x:c r="X4223" s="87"/>
      <x:c r="Y4223" s="87"/>
      <x:c r="Z4223" s="87"/>
      <x:c r="AA4223" s="87"/>
      <x:c r="AB4223" s="87"/>
      <x:c r="AC4223" s="87" t="str">
        <x:v>VIS-PHY-DEC-021</x:v>
      </x:c>
      <x:c r="AD4223" s="87"/>
      <x:c r="AE4223" s="87"/>
      <x:c r="AF4223" s="87" t="str">
        <x:v>VIS-PHY-DEC-021: 4</x:v>
      </x:c>
      <x:c r="AG4223" s="87" t="str">
        <x:v>RESOLVED</x:v>
      </x:c>
      <x:c r="AH4223" s="87" t="str">
        <x:v>CROP_VERIFIED</x:v>
      </x:c>
      <x:c r="AI4223" s="30"/>
      <x:c r="AJ4223" s="87" t="str">
        <x:v>clean</x:v>
      </x:c>
      <x:c r="AK4223" s="87" t="str">
        <x:v>clean-v0.03</x:v>
      </x:c>
      <x:c r="AL4223" s="87" t="str">
        <x:v>statgrad_clean_continuation_v0_03(1).xlsx</x:v>
      </x:c>
      <x:c r="AM4223" s="87" t="str">
        <x:v>PHY_Dec_V3</x:v>
      </x:c>
      <x:c r="AN4223" s="87" t="n">
        <x:v>5</x:v>
      </x:c>
    </x:row>
    <x:row r="4224">
      <x:c r="A4224" s="87" t="n">
        <x:v>4223</x:v>
      </x:c>
      <x:c r="B4224" s="87" t="str">
        <x:v>DEC-PHY-V3-005</x:v>
      </x:c>
      <x:c r="C4224" s="87" t="str">
        <x:v>СтатГрад</x:v>
      </x:c>
      <x:c r="D4224" s="87" t="str">
        <x:v>Декабрь 2025</x:v>
      </x:c>
      <x:c r="E4224" s="87"/>
      <x:c r="F4224" s="87"/>
      <x:c r="G4224" s="87" t="str">
        <x:v>Физика</x:v>
      </x:c>
      <x:c r="H4224" s="87" t="n">
        <x:v>11</x:v>
      </x:c>
      <x:c r="I4224" s="87" t="str">
        <x:v>ТР №2</x:v>
      </x:c>
      <x:c r="J4224" s="87" t="str">
        <x:v>ФИ2510203</x:v>
      </x:c>
      <x:c r="K4224" s="87" t="n">
        <x:v>5</x:v>
      </x:c>
      <x:c r="L4224" s="87" t="str">
        <x:v>Механика: анализ таблицы движения</x:v>
      </x:c>
      <x:c r="M4224" s="30" t="str">
        <x:v>Четыре одинаковых тела малых размеров двигались вдоль оси OX. Масса каждого тела равна 80 г. В таблице представлены зависимости координат этих тел от времени t. t, c 0 1 2 3 4 5 x1, м 0 2 4 6 8 10 x2, м 0 1 3 3 3 3 x3, м 0 1 4 9 16 25 x4, м 0 2 0 –2 0 2 Выберите из предложенных утверждений все, которые верно отражают результаты этого опыта. В ответе укажите их номера. 1) Первое тело двигалось равноускоренно. 2) Векторная сумма сил, действующих на второе тело в интервале времени от 2 с до 5 с, равна нулю. 3) Ускорение третьего тела равно 1 м/с2. 4) Период колебаний четвертого тела равен 2 с. 5) В момент времени 4 с кинетическая энергия первого тела была равна 0,16 Дж. Ответ: ___________________________.</x:v>
      </x:c>
      <x:c r="N4224" s="30" t="str">
        <x:v>25</x:v>
      </x:c>
      <x:c r="O4224" s="30" t="str">
        <x:v>Из x₁=2t следует равномерное движение и K=0,16 Дж; x₂ постоянно после 2 с; x₃=t² соответствует a=2 м/с²; x₄ повторяется с периодом 4 с. Отбор выполнен по формулировкам варианта.</x:v>
      </x:c>
      <x:c r="P4224" s="30" t="str">
        <x:v>Решено независимо; формулы, единицы и визуальные данные повторно проверены.</x:v>
      </x:c>
      <x:c r="Q4224" s="30"/>
      <x:c r="R4224" s="30" t="str">
        <x:v>25</x:v>
      </x:c>
      <x:c r="S4224" s="30"/>
      <x:c r="T4224" s="30" t="str">
        <x:v>Официальная таблица ответов в PDF критериев</x:v>
      </x:c>
      <x:c r="U4224" s="30" t="str">
        <x:v>Расхождений не обнаружено.</x:v>
      </x:c>
      <x:c r="V4224" s="87" t="str">
        <x:v>VERIFIED</x:v>
      </x:c>
      <x:c r="W4224" s="87" t="n">
        <x:v>5</x:v>
      </x:c>
      <x:c r="X4224" s="87"/>
      <x:c r="Y4224" s="87"/>
      <x:c r="Z4224" s="87"/>
      <x:c r="AA4224" s="87"/>
      <x:c r="AB4224" s="87"/>
      <x:c r="AC4224" s="87" t="str">
        <x:v>VIS-PHY-DEC-022</x:v>
      </x:c>
      <x:c r="AD4224" s="87"/>
      <x:c r="AE4224" s="87"/>
      <x:c r="AF4224" s="87" t="str">
        <x:v>VIS-PHY-DEC-022: 5</x:v>
      </x:c>
      <x:c r="AG4224" s="87" t="str">
        <x:v>RESOLVED</x:v>
      </x:c>
      <x:c r="AH4224" s="87" t="str">
        <x:v>CROP_VERIFIED; TASK_CROP_QA_APPROVED:USE_TIGHT</x:v>
      </x:c>
      <x:c r="AI4224" s="30"/>
      <x:c r="AJ4224" s="87" t="str">
        <x:v>clean</x:v>
      </x:c>
      <x:c r="AK4224" s="87" t="str">
        <x:v>clean-v0.03</x:v>
      </x:c>
      <x:c r="AL4224" s="87" t="str">
        <x:v>statgrad_clean_continuation_v0_03(1).xlsx</x:v>
      </x:c>
      <x:c r="AM4224" s="87" t="str">
        <x:v>PHY_Dec_V3</x:v>
      </x:c>
      <x:c r="AN4224" s="87" t="n">
        <x:v>6</x:v>
      </x:c>
    </x:row>
    <x:row r="4225">
      <x:c r="A4225" s="87" t="n">
        <x:v>4224</x:v>
      </x:c>
      <x:c r="B4225" s="87" t="str">
        <x:v>DEC-PHY-V3-006</x:v>
      </x:c>
      <x:c r="C4225" s="87" t="str">
        <x:v>СтатГрад</x:v>
      </x:c>
      <x:c r="D4225" s="87" t="str">
        <x:v>Декабрь 2025</x:v>
      </x:c>
      <x:c r="E4225" s="87"/>
      <x:c r="F4225" s="87"/>
      <x:c r="G4225" s="87" t="str">
        <x:v>Физика</x:v>
      </x:c>
      <x:c r="H4225" s="87" t="n">
        <x:v>11</x:v>
      </x:c>
      <x:c r="I4225" s="87" t="str">
        <x:v>ТР №2</x:v>
      </x:c>
      <x:c r="J4225" s="87" t="str">
        <x:v>ФИ2510203</x:v>
      </x:c>
      <x:c r="K4225" s="87" t="n">
        <x:v>6</x:v>
      </x:c>
      <x:c r="L4225" s="87" t="str">
        <x:v>Баллистика: соответствие графиков</x:v>
      </x:c>
      <x:c r="M4225" s="30" t="str">
        <x:v>Мячик бросают с начальной скоростью под углом α к горизонту с крыши дома высотой h (см. рисунок). Сопротивление воздуха пренебрежимо мало. Графики А) и Б) представляют собой зависимости физических величин, характеризующих движение мячика в процессе полёта, от времени t.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 ФИЗИЧЕСКАЯ ВЕЛИЧИНА А) 1) координата х мячика 2) модуль проекции скорости мячика на ось Y 3) кинетическая энергия мячика Б) 4) координата y мячика А Б Ответ:</x:v>
      </x:c>
      <x:c r="N4225" s="30" t="str">
        <x:v>23</x:v>
      </x:c>
      <x:c r="O4225" s="30" t="str">
        <x:v>Горизонтальная координата/импульс изменяются линейно или остаются постоянными; вертикальная координата и кинетическая энергия имеют квадратичную зависимость. Графики сверены визуально.</x:v>
      </x:c>
      <x:c r="P4225" s="30" t="str">
        <x:v>Решено независимо; формулы, единицы и визуальные данные повторно проверены.</x:v>
      </x:c>
      <x:c r="Q4225" s="30"/>
      <x:c r="R4225" s="30" t="str">
        <x:v>23</x:v>
      </x:c>
      <x:c r="S4225" s="30"/>
      <x:c r="T4225" s="30" t="str">
        <x:v>Приложенная фотография дополнительного ключа</x:v>
      </x:c>
      <x:c r="U4225" s="30" t="str">
        <x:v>Расхождений не обнаружено.</x:v>
      </x:c>
      <x:c r="V4225" s="87" t="str">
        <x:v>VERIFIED</x:v>
      </x:c>
      <x:c r="W4225" s="87" t="n">
        <x:v>6</x:v>
      </x:c>
      <x:c r="X4225" s="87"/>
      <x:c r="Y4225" s="87"/>
      <x:c r="Z4225" s="87"/>
      <x:c r="AA4225" s="87"/>
      <x:c r="AB4225" s="87"/>
      <x:c r="AC4225" s="87" t="str">
        <x:v>VIS-PHY-DEC-023</x:v>
      </x:c>
      <x:c r="AD4225" s="87"/>
      <x:c r="AE4225" s="87"/>
      <x:c r="AF4225" s="87" t="str">
        <x:v>VIS-PHY-DEC-023: 6</x:v>
      </x:c>
      <x:c r="AG4225" s="87" t="str">
        <x:v>RESOLVED</x:v>
      </x:c>
      <x:c r="AH4225" s="87" t="str">
        <x:v>CROP_VERIFIED; TASK_CROP_QA_APPROVED:COMPOSITE_CROP</x:v>
      </x:c>
      <x:c r="AI4225" s="30"/>
      <x:c r="AJ4225" s="87" t="str">
        <x:v>clean</x:v>
      </x:c>
      <x:c r="AK4225" s="87" t="str">
        <x:v>clean-v0.03</x:v>
      </x:c>
      <x:c r="AL4225" s="87" t="str">
        <x:v>statgrad_clean_continuation_v0_03(1).xlsx</x:v>
      </x:c>
      <x:c r="AM4225" s="87" t="str">
        <x:v>PHY_Dec_V3</x:v>
      </x:c>
      <x:c r="AN4225" s="87" t="n">
        <x:v>7</x:v>
      </x:c>
    </x:row>
    <x:row r="4226">
      <x:c r="A4226" s="87" t="n">
        <x:v>4225</x:v>
      </x:c>
      <x:c r="B4226" s="87" t="str">
        <x:v>DEC-PHY-V3-007</x:v>
      </x:c>
      <x:c r="C4226" s="87" t="str">
        <x:v>СтатГрад</x:v>
      </x:c>
      <x:c r="D4226" s="87" t="str">
        <x:v>Декабрь 2025</x:v>
      </x:c>
      <x:c r="E4226" s="87"/>
      <x:c r="F4226" s="87"/>
      <x:c r="G4226" s="87" t="str">
        <x:v>Физика</x:v>
      </x:c>
      <x:c r="H4226" s="87" t="n">
        <x:v>11</x:v>
      </x:c>
      <x:c r="I4226" s="87" t="str">
        <x:v>ТР №2</x:v>
      </x:c>
      <x:c r="J4226" s="87" t="str">
        <x:v>ФИ2510203</x:v>
      </x:c>
      <x:c r="K4226" s="87" t="n">
        <x:v>7</x:v>
      </x:c>
      <x:c r="L4226" s="87" t="str">
        <x:v>МКТ идеального газа</x:v>
      </x:c>
      <x:c r="M4226" s="30" t="str">
        <x:v>При охлаждении одноатомного идеального газа средняя кинетическая энергия теплового движения его молекул уменьшилась в 4 раза. Определите отношение абсолютных температур газа в конечном и начальном состояниях Т 2 /Т 1 . Ответ: ___________________________.</x:v>
      </x:c>
      <x:c r="N4226" s="30" t="str">
        <x:v>0,25</x:v>
      </x:c>
      <x:c r="O4226" s="30" t="str">
        <x:v>Средняя кинетическая энергия поступательного движения молекул прямо пропорциональна абсолютной температуре.</x:v>
      </x:c>
      <x:c r="P4226" s="30" t="str">
        <x:v>Решено независимо; формулы, единицы и визуальные данные повторно проверены.</x:v>
      </x:c>
      <x:c r="Q4226" s="30"/>
      <x:c r="R4226" s="30" t="str">
        <x:v>−5</x:v>
      </x:c>
      <x:c r="S4226" s="30"/>
      <x:c r="T4226" s="30" t="str">
        <x:v>Приложенная фотография дополнительного ключа</x:v>
      </x:c>
      <x:c r="U4226" s="30" t="str">
        <x:v>Официальный фото-ключ ошибочно повторяет ответ другого задания; принят независимо полученный физически верный ответ.</x:v>
      </x:c>
      <x:c r="V4226" s="87" t="str">
        <x:v>KEY_MISMATCH</x:v>
      </x:c>
      <x:c r="W4226" s="87" t="n">
        <x:v>6</x:v>
      </x:c>
      <x:c r="X4226" s="87"/>
      <x:c r="Y4226" s="87"/>
      <x:c r="Z4226" s="87"/>
      <x:c r="AA4226" s="87"/>
      <x:c r="AB4226" s="87"/>
      <x:c r="AC4226" s="87" t="str">
        <x:v>VIS-PHY-DEC-023</x:v>
      </x:c>
      <x:c r="AD4226" s="87"/>
      <x:c r="AE4226" s="87"/>
      <x:c r="AF4226" s="87" t="str">
        <x:v>VIS-PHY-DEC-023: 6</x:v>
      </x:c>
      <x:c r="AG4226" s="87" t="str">
        <x:v>RESOLVED</x:v>
      </x:c>
      <x:c r="AH4226" s="87" t="str">
        <x:v>CROP_VERIFIED</x:v>
      </x:c>
      <x:c r="AI4226" s="30"/>
      <x:c r="AJ4226" s="87" t="str">
        <x:v>clean</x:v>
      </x:c>
      <x:c r="AK4226" s="87" t="str">
        <x:v>clean-v0.03</x:v>
      </x:c>
      <x:c r="AL4226" s="87" t="str">
        <x:v>statgrad_clean_continuation_v0_03(1).xlsx</x:v>
      </x:c>
      <x:c r="AM4226" s="87" t="str">
        <x:v>PHY_Dec_V3</x:v>
      </x:c>
      <x:c r="AN4226" s="87" t="n">
        <x:v>8</x:v>
      </x:c>
    </x:row>
    <x:row r="4227">
      <x:c r="A4227" s="87" t="n">
        <x:v>4226</x:v>
      </x:c>
      <x:c r="B4227" s="87" t="str">
        <x:v>DEC-PHY-V3-008</x:v>
      </x:c>
      <x:c r="C4227" s="87" t="str">
        <x:v>СтатГрад</x:v>
      </x:c>
      <x:c r="D4227" s="87" t="str">
        <x:v>Декабрь 2025</x:v>
      </x:c>
      <x:c r="E4227" s="87"/>
      <x:c r="F4227" s="87"/>
      <x:c r="G4227" s="87" t="str">
        <x:v>Физика</x:v>
      </x:c>
      <x:c r="H4227" s="87" t="n">
        <x:v>11</x:v>
      </x:c>
      <x:c r="I4227" s="87" t="str">
        <x:v>ТР №2</x:v>
      </x:c>
      <x:c r="J4227" s="87" t="str">
        <x:v>ФИ2510203</x:v>
      </x:c>
      <x:c r="K4227" s="87" t="n">
        <x:v>8</x:v>
      </x:c>
      <x:c r="L4227" s="87" t="str">
        <x:v>Первый закон термодинамики</x:v>
      </x:c>
      <x:c r="M4227" s="30" t="str">
        <x:v>Газ получил количество теплоты 4,5 кДж, при этом внутренняя энергия газа уменьшилась на 3,2 кДж. Какую работу совершил при этом газ? Ответ: ___________________________ кДж.</x:v>
      </x:c>
      <x:c r="N4227" s="30" t="str">
        <x:v>7,7</x:v>
      </x:c>
      <x:c r="O4227" s="30" t="str">
        <x:v>По первому закону термодинамики ΔU = Q − A, где A — работа, совершённая газом.</x:v>
      </x:c>
      <x:c r="P4227" s="30" t="str">
        <x:v>Решено независимо; формулы, единицы и визуальные данные повторно проверены.</x:v>
      </x:c>
      <x:c r="Q4227" s="30"/>
      <x:c r="R4227" s="30" t="str">
        <x:v>3,3</x:v>
      </x:c>
      <x:c r="S4227" s="30"/>
      <x:c r="T4227" s="30" t="str">
        <x:v>Приложенная фотография дополнительного ключа</x:v>
      </x:c>
      <x:c r="U4227" s="30" t="str">
        <x:v>Официальный фото-ключ ошибочно повторяет ответ другого задания; принят независимо полученный физически верный ответ.</x:v>
      </x:c>
      <x:c r="V4227" s="87" t="str">
        <x:v>KEY_MISMATCH</x:v>
      </x:c>
      <x:c r="W4227" s="87" t="n">
        <x:v>6</x:v>
      </x:c>
      <x:c r="X4227" s="87"/>
      <x:c r="Y4227" s="87"/>
      <x:c r="Z4227" s="87"/>
      <x:c r="AA4227" s="87"/>
      <x:c r="AB4227" s="87"/>
      <x:c r="AC4227" s="87" t="str">
        <x:v>VIS-PHY-DEC-023</x:v>
      </x:c>
      <x:c r="AD4227" s="87"/>
      <x:c r="AE4227" s="87"/>
      <x:c r="AF4227" s="87" t="str">
        <x:v>VIS-PHY-DEC-023: 6</x:v>
      </x:c>
      <x:c r="AG4227" s="87" t="str">
        <x:v>RESOLVED</x:v>
      </x:c>
      <x:c r="AH4227" s="87" t="str">
        <x:v>CROP_VERIFIED</x:v>
      </x:c>
      <x:c r="AI4227" s="30"/>
      <x:c r="AJ4227" s="87" t="str">
        <x:v>clean</x:v>
      </x:c>
      <x:c r="AK4227" s="87" t="str">
        <x:v>clean-v0.03</x:v>
      </x:c>
      <x:c r="AL4227" s="87" t="str">
        <x:v>statgrad_clean_continuation_v0_03(1).xlsx</x:v>
      </x:c>
      <x:c r="AM4227" s="87" t="str">
        <x:v>PHY_Dec_V3</x:v>
      </x:c>
      <x:c r="AN4227" s="87" t="n">
        <x:v>9</x:v>
      </x:c>
    </x:row>
    <x:row r="4228">
      <x:c r="A4228" s="87" t="n">
        <x:v>4227</x:v>
      </x:c>
      <x:c r="B4228" s="87" t="str">
        <x:v>DEC-PHY-V3-009</x:v>
      </x:c>
      <x:c r="C4228" s="87" t="str">
        <x:v>СтатГрад</x:v>
      </x:c>
      <x:c r="D4228" s="87" t="str">
        <x:v>Декабрь 2025</x:v>
      </x:c>
      <x:c r="E4228" s="87"/>
      <x:c r="F4228" s="87"/>
      <x:c r="G4228" s="87" t="str">
        <x:v>Физика</x:v>
      </x:c>
      <x:c r="H4228" s="87" t="n">
        <x:v>11</x:v>
      </x:c>
      <x:c r="I4228" s="87" t="str">
        <x:v>ТР №2</x:v>
      </x:c>
      <x:c r="J4228" s="87" t="str">
        <x:v>ФИ2510203</x:v>
      </x:c>
      <x:c r="K4228" s="87" t="n">
        <x:v>9</x:v>
      </x:c>
      <x:c r="L4228" s="87" t="str">
        <x:v>Фазовые переходы: график</x:v>
      </x:c>
      <x:c r="M4228" s="30" t="str">
        <x:v>В начальный момент в сосуде под лёгким поршнем находится вещество в жидком состоянии. На рисунке показан график зависимости температуры t вещества от времени τ его нагревания и последующего охлаждения. Выберите из предложенных все утверждения, которые верно отражают результаты этого опыта. В ответе укажите их номера. 1) Температра кипения вещества равна 60 °С. 2) В момент времени, соответствующий букве F графика, в сосуде находилось вещество только в жидком состоянии. 3) Участок графика ВС соответствует процессу, происходящему с увеличением внутренней энергии вещества. 4) В момент времени, соответствующий букве G графика, всё вещество находится в твёрдом состоянии. Ответ: ___________________________.</x:v>
      </x:c>
      <x:c r="N4228" s="30" t="str">
        <x:v>23</x:v>
      </x:c>
      <x:c r="O4228" s="30" t="str">
        <x:v>Горизонтальные участки соответствуют фазовым переходам; направление процесса определяет знак изменения внутренней энергии.</x:v>
      </x:c>
      <x:c r="P4228" s="30" t="str">
        <x:v>Решено независимо; формулы, единицы и визуальные данные повторно проверены.</x:v>
      </x:c>
      <x:c r="Q4228" s="30"/>
      <x:c r="R4228" s="30" t="str">
        <x:v>23</x:v>
      </x:c>
      <x:c r="S4228" s="30"/>
      <x:c r="T4228" s="30" t="str">
        <x:v>Официальная таблица ответов в PDF критериев</x:v>
      </x:c>
      <x:c r="U4228" s="30" t="str">
        <x:v>Расхождений не обнаружено.</x:v>
      </x:c>
      <x:c r="V4228" s="87" t="str">
        <x:v>VERIFIED</x:v>
      </x:c>
      <x:c r="W4228" s="87" t="n">
        <x:v>7</x:v>
      </x:c>
      <x:c r="X4228" s="87"/>
      <x:c r="Y4228" s="87"/>
      <x:c r="Z4228" s="87"/>
      <x:c r="AA4228" s="87"/>
      <x:c r="AB4228" s="87"/>
      <x:c r="AC4228" s="87" t="str">
        <x:v>VIS-PHY-DEC-024</x:v>
      </x:c>
      <x:c r="AD4228" s="87"/>
      <x:c r="AE4228" s="87"/>
      <x:c r="AF4228" s="87" t="str">
        <x:v>VIS-PHY-DEC-024: 7</x:v>
      </x:c>
      <x:c r="AG4228" s="87" t="str">
        <x:v>RESOLVED</x:v>
      </x:c>
      <x:c r="AH4228" s="87" t="str">
        <x:v>CROP_VERIFIED; TASK_CROP_QA_APPROVED:USE_CONTEXT</x:v>
      </x:c>
      <x:c r="AI4228" s="30"/>
      <x:c r="AJ4228" s="87" t="str">
        <x:v>clean</x:v>
      </x:c>
      <x:c r="AK4228" s="87" t="str">
        <x:v>clean-v0.03</x:v>
      </x:c>
      <x:c r="AL4228" s="87" t="str">
        <x:v>statgrad_clean_continuation_v0_03(1).xlsx</x:v>
      </x:c>
      <x:c r="AM4228" s="87" t="str">
        <x:v>PHY_Dec_V3</x:v>
      </x:c>
      <x:c r="AN4228" s="87" t="n">
        <x:v>10</x:v>
      </x:c>
    </x:row>
    <x:row r="4229">
      <x:c r="A4229" s="87" t="n">
        <x:v>4228</x:v>
      </x:c>
      <x:c r="B4229" s="87" t="str">
        <x:v>DEC-PHY-V3-010</x:v>
      </x:c>
      <x:c r="C4229" s="87" t="str">
        <x:v>СтатГрад</x:v>
      </x:c>
      <x:c r="D4229" s="87" t="str">
        <x:v>Декабрь 2025</x:v>
      </x:c>
      <x:c r="E4229" s="87"/>
      <x:c r="F4229" s="87"/>
      <x:c r="G4229" s="87" t="str">
        <x:v>Физика</x:v>
      </x:c>
      <x:c r="H4229" s="87" t="n">
        <x:v>11</x:v>
      </x:c>
      <x:c r="I4229" s="87" t="str">
        <x:v>ТР №2</x:v>
      </x:c>
      <x:c r="J4229" s="87" t="str">
        <x:v>ФИ2510203</x:v>
      </x:c>
      <x:c r="K4229" s="87" t="n">
        <x:v>10</x:v>
      </x:c>
      <x:c r="L4229" s="87" t="str">
        <x:v>Идеальный газ: качественное изменение</x:v>
      </x:c>
      <x:c r="M4229" s="30" t="str">
        <x:v>В процессе сжатия 1 моля разреженного неона его внутренняя энергия всё время остаётся неизменной. Как изменяются при этом давление неона и концентрация его молекул? Для каждой величины определите соответствующий характер изменения: 1) увеличивается; 2) уменьшается; 3) не изменяется. Запишите в таблицу выбранные цифры для каждой физической величины. Цифры в ответе могут повторяться. Давление неона Концентрация молекул неона</x:v>
      </x:c>
      <x:c r="N4229" s="30" t="str">
        <x:v>11</x:v>
      </x:c>
      <x:c r="O4229" s="30" t="str">
        <x:v>Для одноатомного идеального газа U зависит только от T; далее используется pV = νRT и изменение объёма.</x:v>
      </x:c>
      <x:c r="P4229" s="30" t="str">
        <x:v>Решено независимо; формулы, единицы и визуальные данные повторно проверены.</x:v>
      </x:c>
      <x:c r="Q4229" s="30"/>
      <x:c r="R4229" s="30" t="str">
        <x:v>11</x:v>
      </x:c>
      <x:c r="S4229" s="30"/>
      <x:c r="T4229" s="30" t="str">
        <x:v>Приложенная фотография дополнительного ключа</x:v>
      </x:c>
      <x:c r="U4229" s="30" t="str">
        <x:v>Расхождений не обнаружено.</x:v>
      </x:c>
      <x:c r="V4229" s="87" t="str">
        <x:v>VERIFIED</x:v>
      </x:c>
      <x:c r="W4229" s="87" t="n">
        <x:v>7</x:v>
      </x:c>
      <x:c r="X4229" s="87"/>
      <x:c r="Y4229" s="87"/>
      <x:c r="Z4229" s="87"/>
      <x:c r="AA4229" s="87"/>
      <x:c r="AB4229" s="87"/>
      <x:c r="AC4229" s="87" t="str">
        <x:v>VIS-PHY-DEC-024</x:v>
      </x:c>
      <x:c r="AD4229" s="87"/>
      <x:c r="AE4229" s="87"/>
      <x:c r="AF4229" s="87" t="str">
        <x:v>VIS-PHY-DEC-024: 7</x:v>
      </x:c>
      <x:c r="AG4229" s="87" t="str">
        <x:v>RESOLVED</x:v>
      </x:c>
      <x:c r="AH4229" s="87" t="str">
        <x:v>CROP_VERIFIED</x:v>
      </x:c>
      <x:c r="AI4229" s="30"/>
      <x:c r="AJ4229" s="87" t="str">
        <x:v>clean</x:v>
      </x:c>
      <x:c r="AK4229" s="87" t="str">
        <x:v>clean-v0.03</x:v>
      </x:c>
      <x:c r="AL4229" s="87" t="str">
        <x:v>statgrad_clean_continuation_v0_03(1).xlsx</x:v>
      </x:c>
      <x:c r="AM4229" s="87" t="str">
        <x:v>PHY_Dec_V3</x:v>
      </x:c>
      <x:c r="AN4229" s="87" t="n">
        <x:v>11</x:v>
      </x:c>
    </x:row>
    <x:row r="4230">
      <x:c r="A4230" s="87" t="n">
        <x:v>4229</x:v>
      </x:c>
      <x:c r="B4230" s="87" t="str">
        <x:v>DEC-PHY-V3-011</x:v>
      </x:c>
      <x:c r="C4230" s="87" t="str">
        <x:v>СтатГрад</x:v>
      </x:c>
      <x:c r="D4230" s="87" t="str">
        <x:v>Декабрь 2025</x:v>
      </x:c>
      <x:c r="E4230" s="87"/>
      <x:c r="F4230" s="87"/>
      <x:c r="G4230" s="87" t="str">
        <x:v>Физика</x:v>
      </x:c>
      <x:c r="H4230" s="87" t="n">
        <x:v>11</x:v>
      </x:c>
      <x:c r="I4230" s="87" t="str">
        <x:v>ТР №2</x:v>
      </x:c>
      <x:c r="J4230" s="87" t="str">
        <x:v>ФИ2510203</x:v>
      </x:c>
      <x:c r="K4230" s="87" t="n">
        <x:v>11</x:v>
      </x:c>
      <x:c r="L4230" s="87" t="str">
        <x:v>Полная цепь: закон Ома</x:v>
      </x:c>
      <x:c r="M4230" s="30" t="str">
        <x:v>К батарее с ЭДС, равной 6 В, и внутренним сопротивлением 0,5 Ом подключили резистор с сопротивлением 23,5 Ом. Чему равна сила тока в полученной электрической цепи? Ответ: ___________________________ А.</x:v>
      </x:c>
      <x:c r="N4230" s="30" t="str">
        <x:v>0,25</x:v>
      </x:c>
      <x:c r="O4230" s="30" t="str">
        <x:v>Для полной цепи E = I(R+r); искомая величина получена прямой подстановкой.</x:v>
      </x:c>
      <x:c r="P4230" s="30" t="str">
        <x:v>Решено независимо; формулы, единицы и визуальные данные повторно проверены.</x:v>
      </x:c>
      <x:c r="Q4230" s="30"/>
      <x:c r="R4230" s="30" t="str">
        <x:v>0,25</x:v>
      </x:c>
      <x:c r="S4230" s="30"/>
      <x:c r="T4230" s="30" t="str">
        <x:v>Приложенная фотография дополнительного ключа</x:v>
      </x:c>
      <x:c r="U4230" s="30" t="str">
        <x:v>Расхождений не обнаружено.</x:v>
      </x:c>
      <x:c r="V4230" s="87" t="str">
        <x:v>VERIFIED</x:v>
      </x:c>
      <x:c r="W4230" s="87" t="n">
        <x:v>7</x:v>
      </x:c>
      <x:c r="X4230" s="87"/>
      <x:c r="Y4230" s="87"/>
      <x:c r="Z4230" s="87"/>
      <x:c r="AA4230" s="87"/>
      <x:c r="AB4230" s="87"/>
      <x:c r="AC4230" s="87" t="str">
        <x:v>VIS-PHY-DEC-024</x:v>
      </x:c>
      <x:c r="AD4230" s="87"/>
      <x:c r="AE4230" s="87"/>
      <x:c r="AF4230" s="87" t="str">
        <x:v>VIS-PHY-DEC-024: 7</x:v>
      </x:c>
      <x:c r="AG4230" s="87" t="str">
        <x:v>RESOLVED</x:v>
      </x:c>
      <x:c r="AH4230" s="87" t="str">
        <x:v>CROP_VERIFIED</x:v>
      </x:c>
      <x:c r="AI4230" s="30"/>
      <x:c r="AJ4230" s="87" t="str">
        <x:v>clean</x:v>
      </x:c>
      <x:c r="AK4230" s="87" t="str">
        <x:v>clean-v0.03</x:v>
      </x:c>
      <x:c r="AL4230" s="87" t="str">
        <x:v>statgrad_clean_continuation_v0_03(1).xlsx</x:v>
      </x:c>
      <x:c r="AM4230" s="87" t="str">
        <x:v>PHY_Dec_V3</x:v>
      </x:c>
      <x:c r="AN4230" s="87" t="n">
        <x:v>12</x:v>
      </x:c>
    </x:row>
    <x:row r="4231">
      <x:c r="A4231" s="87" t="n">
        <x:v>4230</x:v>
      </x:c>
      <x:c r="B4231" s="87" t="str">
        <x:v>DEC-PHY-V3-012</x:v>
      </x:c>
      <x:c r="C4231" s="87" t="str">
        <x:v>СтатГрад</x:v>
      </x:c>
      <x:c r="D4231" s="87" t="str">
        <x:v>Декабрь 2025</x:v>
      </x:c>
      <x:c r="E4231" s="87"/>
      <x:c r="F4231" s="87"/>
      <x:c r="G4231" s="87" t="str">
        <x:v>Физика</x:v>
      </x:c>
      <x:c r="H4231" s="87" t="n">
        <x:v>11</x:v>
      </x:c>
      <x:c r="I4231" s="87" t="str">
        <x:v>ТР №2</x:v>
      </x:c>
      <x:c r="J4231" s="87" t="str">
        <x:v>ФИ2510203</x:v>
      </x:c>
      <x:c r="K4231" s="87" t="n">
        <x:v>12</x:v>
      </x:c>
      <x:c r="L4231" s="87" t="str">
        <x:v>Электромагнитная индукция</x:v>
      </x:c>
      <x:c r="M4231" s="30" t="str">
        <x:v>В опыте по наблюдению электромагнитной индукции прямоугольная рамка из одного витка тонкого провода находится в однородном магнитном поле, перпендикулярном плоскости рамки. Индукция магнитного поля равномерно убывает от максимального значения В макс до нулевого значения за время Т. При этом в рамке возбуждается ЭДС индукции, равная 12 мВ. Определите ЭДС индукции, возникающую в этой рамке, если при проведении аналогичного опыта Т уменьшить в 2 раза, а В макс в 2 раза увеличить. Ответ: ___________________________ мВ.</x:v>
      </x:c>
      <x:c r="N4231" s="30" t="str">
        <x:v>48</x:v>
      </x:c>
      <x:c r="O4231" s="30" t="str">
        <x:v>Модуль ЭДС индукции пропорционален |ΔB|/Δt; площадь и число витков не меняются.</x:v>
      </x:c>
      <x:c r="P4231" s="30" t="str">
        <x:v>Решено независимо; формулы, единицы и визуальные данные повторно проверены.</x:v>
      </x:c>
      <x:c r="Q4231" s="30"/>
      <x:c r="R4231" s="30" t="str">
        <x:v>48</x:v>
      </x:c>
      <x:c r="S4231" s="30"/>
      <x:c r="T4231" s="30" t="str">
        <x:v>Приложенная фотография дополнительного ключа</x:v>
      </x:c>
      <x:c r="U4231" s="30" t="str">
        <x:v>Расхождений не обнаружено.</x:v>
      </x:c>
      <x:c r="V4231" s="87" t="str">
        <x:v>VERIFIED</x:v>
      </x:c>
      <x:c r="W4231" s="87" t="n">
        <x:v>8</x:v>
      </x:c>
      <x:c r="X4231" s="87"/>
      <x:c r="Y4231" s="87"/>
      <x:c r="Z4231" s="87"/>
      <x:c r="AA4231" s="87"/>
      <x:c r="AB4231" s="87"/>
      <x:c r="AC4231" s="87" t="str">
        <x:v>VIS-PHY-DEC-025</x:v>
      </x:c>
      <x:c r="AD4231" s="87"/>
      <x:c r="AE4231" s="87"/>
      <x:c r="AF4231" s="87" t="str">
        <x:v>VIS-PHY-DEC-025: 8</x:v>
      </x:c>
      <x:c r="AG4231" s="87" t="str">
        <x:v>RESOLVED</x:v>
      </x:c>
      <x:c r="AH4231" s="87" t="str">
        <x:v>CROP_VERIFIED</x:v>
      </x:c>
      <x:c r="AI4231" s="30"/>
      <x:c r="AJ4231" s="87" t="str">
        <x:v>clean</x:v>
      </x:c>
      <x:c r="AK4231" s="87" t="str">
        <x:v>clean-v0.03</x:v>
      </x:c>
      <x:c r="AL4231" s="87" t="str">
        <x:v>statgrad_clean_continuation_v0_03(1).xlsx</x:v>
      </x:c>
      <x:c r="AM4231" s="87" t="str">
        <x:v>PHY_Dec_V3</x:v>
      </x:c>
      <x:c r="AN4231" s="87" t="n">
        <x:v>13</x:v>
      </x:c>
    </x:row>
    <x:row r="4232">
      <x:c r="A4232" s="87" t="n">
        <x:v>4231</x:v>
      </x:c>
      <x:c r="B4232" s="87" t="str">
        <x:v>DEC-PHY-V3-013</x:v>
      </x:c>
      <x:c r="C4232" s="87" t="str">
        <x:v>СтатГрад</x:v>
      </x:c>
      <x:c r="D4232" s="87" t="str">
        <x:v>Декабрь 2025</x:v>
      </x:c>
      <x:c r="E4232" s="87"/>
      <x:c r="F4232" s="87"/>
      <x:c r="G4232" s="87" t="str">
        <x:v>Физика</x:v>
      </x:c>
      <x:c r="H4232" s="87" t="n">
        <x:v>11</x:v>
      </x:c>
      <x:c r="I4232" s="87" t="str">
        <x:v>ТР №2</x:v>
      </x:c>
      <x:c r="J4232" s="87" t="str">
        <x:v>ФИ2510203</x:v>
      </x:c>
      <x:c r="K4232" s="87" t="n">
        <x:v>13</x:v>
      </x:c>
      <x:c r="L4232" s="87" t="str">
        <x:v>Геометрическая оптика</x:v>
      </x:c>
      <x:c r="M4232" s="30" t="str">
        <x:v>Тень на экране от предмета, освещённого точечным источником света, имеет размеры в 1,5 раза большие, чем сам предмет. Расстояние от источника света до предмета равно 2 м. Определите расстояние от предмета до экрана. Ответ: ___________________________ м.</x:v>
      </x:c>
      <x:c r="N4232" s="30" t="str">
        <x:v>1</x:v>
      </x:c>
      <x:c r="O4232" s="30" t="str">
        <x:v>Из подобия треугольников увеличение тени равно отношению расстояний от источника.</x:v>
      </x:c>
      <x:c r="P4232" s="30" t="str">
        <x:v>Решено независимо; формулы, единицы и визуальные данные повторно проверены.</x:v>
      </x:c>
      <x:c r="Q4232" s="30"/>
      <x:c r="R4232" s="30" t="str">
        <x:v>1</x:v>
      </x:c>
      <x:c r="S4232" s="30"/>
      <x:c r="T4232" s="30" t="str">
        <x:v>Приложенная фотография дополнительного ключа</x:v>
      </x:c>
      <x:c r="U4232" s="30" t="str">
        <x:v>Расхождений не обнаружено.</x:v>
      </x:c>
      <x:c r="V4232" s="87" t="str">
        <x:v>VERIFIED</x:v>
      </x:c>
      <x:c r="W4232" s="87" t="n">
        <x:v>8</x:v>
      </x:c>
      <x:c r="X4232" s="87"/>
      <x:c r="Y4232" s="87"/>
      <x:c r="Z4232" s="87"/>
      <x:c r="AA4232" s="87"/>
      <x:c r="AB4232" s="87"/>
      <x:c r="AC4232" s="87" t="str">
        <x:v>VIS-PHY-DEC-025</x:v>
      </x:c>
      <x:c r="AD4232" s="87"/>
      <x:c r="AE4232" s="87"/>
      <x:c r="AF4232" s="87" t="str">
        <x:v>VIS-PHY-DEC-025: 8</x:v>
      </x:c>
      <x:c r="AG4232" s="87" t="str">
        <x:v>RESOLVED</x:v>
      </x:c>
      <x:c r="AH4232" s="87" t="str">
        <x:v>CROP_VERIFIED</x:v>
      </x:c>
      <x:c r="AI4232" s="30"/>
      <x:c r="AJ4232" s="87" t="str">
        <x:v>clean</x:v>
      </x:c>
      <x:c r="AK4232" s="87" t="str">
        <x:v>clean-v0.03</x:v>
      </x:c>
      <x:c r="AL4232" s="87" t="str">
        <x:v>statgrad_clean_continuation_v0_03(1).xlsx</x:v>
      </x:c>
      <x:c r="AM4232" s="87" t="str">
        <x:v>PHY_Dec_V3</x:v>
      </x:c>
      <x:c r="AN4232" s="87" t="n">
        <x:v>14</x:v>
      </x:c>
    </x:row>
    <x:row r="4233">
      <x:c r="A4233" s="87" t="n">
        <x:v>4232</x:v>
      </x:c>
      <x:c r="B4233" s="87" t="str">
        <x:v>DEC-PHY-V3-014</x:v>
      </x:c>
      <x:c r="C4233" s="87" t="str">
        <x:v>СтатГрад</x:v>
      </x:c>
      <x:c r="D4233" s="87" t="str">
        <x:v>Декабрь 2025</x:v>
      </x:c>
      <x:c r="E4233" s="87"/>
      <x:c r="F4233" s="87"/>
      <x:c r="G4233" s="87" t="str">
        <x:v>Физика</x:v>
      </x:c>
      <x:c r="H4233" s="87" t="n">
        <x:v>11</x:v>
      </x:c>
      <x:c r="I4233" s="87" t="str">
        <x:v>ТР №2</x:v>
      </x:c>
      <x:c r="J4233" s="87" t="str">
        <x:v>ФИ2510203</x:v>
      </x:c>
      <x:c r="K4233" s="87" t="n">
        <x:v>14</x:v>
      </x:c>
      <x:c r="L4233" s="87" t="str">
        <x:v>Самоиндукция: анализ эксперимента</x:v>
      </x:c>
      <x:c r="M4233" s="30" t="str">
        <x:v>Катушка индуктивности подключена к источнику тока с пренебрежимо малым внутренним сопротивлением через резистор с сопротивлением R = 80 Ом (см. рисунок). В момент t = 0 с ключ К замыкают. Значения силы тока в цепи, измеренные в последовательные моменты времени, представлены в таблице. t, c 0 0,5 1,0 1,5 2,0 3,0 4,0 5,0 6,0 I, A 0 0,12 0,19 0,23 0,26 0,29 0,29 0,30 0,30 Выберите все верные утверждения о процессах, наблюдаемых в опыте. В ответе укажите их номера. 1) Сила тока, текущего в катушке, в течение первых двух секунд наблюдения увеличивается. 2) Через 6 с после замыкания ключа ЭДС самоиндукции катушки равна нулю. 3) ЭДС источника тока составляет 16 В. 4) В момент времени t = 1,5 с модуль ЭДС самоиндукции катушки равен 6,4 В. 5) В момент времени t = 1,0 с напряжение на резисторе равно 15,2 В. Ответ: ___________________________.</x:v>
      </x:c>
      <x:c r="N4233" s="30" t="str">
        <x:v>125</x:v>
      </x:c>
      <x:c r="O4233" s="30" t="str">
        <x:v>Установившийся ток задаёт ЭДС E=IR; мгновенная ЭДС самоиндукции равна E−IR. Все утверждения проверены по таблице.</x:v>
      </x:c>
      <x:c r="P4233" s="30" t="str">
        <x:v>Решено независимо; формулы, единицы и визуальные данные повторно проверены.</x:v>
      </x:c>
      <x:c r="Q4233" s="30"/>
      <x:c r="R4233" s="30" t="str">
        <x:v>125</x:v>
      </x:c>
      <x:c r="S4233" s="30"/>
      <x:c r="T4233" s="30" t="str">
        <x:v>Официальная таблица ответов в PDF критериев</x:v>
      </x:c>
      <x:c r="U4233" s="30" t="str">
        <x:v>Расхождений не обнаружено.</x:v>
      </x:c>
      <x:c r="V4233" s="87" t="str">
        <x:v>VERIFIED</x:v>
      </x:c>
      <x:c r="W4233" s="87" t="n">
        <x:v>8</x:v>
      </x:c>
      <x:c r="X4233" s="87"/>
      <x:c r="Y4233" s="87"/>
      <x:c r="Z4233" s="87"/>
      <x:c r="AA4233" s="87"/>
      <x:c r="AB4233" s="87"/>
      <x:c r="AC4233" s="87" t="str">
        <x:v>VIS-PHY-DEC-025</x:v>
      </x:c>
      <x:c r="AD4233" s="87"/>
      <x:c r="AE4233" s="87"/>
      <x:c r="AF4233" s="87" t="str">
        <x:v>VIS-PHY-DEC-025: 8</x:v>
      </x:c>
      <x:c r="AG4233" s="87" t="str">
        <x:v>RESOLVED</x:v>
      </x:c>
      <x:c r="AH4233" s="87" t="str">
        <x:v>CROP_VERIFIED; TASK_CROP_QA_APPROVED:USE_CONTEXT</x:v>
      </x:c>
      <x:c r="AI4233" s="30"/>
      <x:c r="AJ4233" s="87" t="str">
        <x:v>clean</x:v>
      </x:c>
      <x:c r="AK4233" s="87" t="str">
        <x:v>clean-v0.03</x:v>
      </x:c>
      <x:c r="AL4233" s="87" t="str">
        <x:v>statgrad_clean_continuation_v0_03(1).xlsx</x:v>
      </x:c>
      <x:c r="AM4233" s="87" t="str">
        <x:v>PHY_Dec_V3</x:v>
      </x:c>
      <x:c r="AN4233" s="87" t="n">
        <x:v>15</x:v>
      </x:c>
    </x:row>
    <x:row r="4234">
      <x:c r="A4234" s="87" t="n">
        <x:v>4233</x:v>
      </x:c>
      <x:c r="B4234" s="87" t="str">
        <x:v>DEC-PHY-V3-015</x:v>
      </x:c>
      <x:c r="C4234" s="87" t="str">
        <x:v>СтатГрад</x:v>
      </x:c>
      <x:c r="D4234" s="87" t="str">
        <x:v>Декабрь 2025</x:v>
      </x:c>
      <x:c r="E4234" s="87"/>
      <x:c r="F4234" s="87"/>
      <x:c r="G4234" s="87" t="str">
        <x:v>Физика</x:v>
      </x:c>
      <x:c r="H4234" s="87" t="n">
        <x:v>11</x:v>
      </x:c>
      <x:c r="I4234" s="87" t="str">
        <x:v>ТР №2</x:v>
      </x:c>
      <x:c r="J4234" s="87" t="str">
        <x:v>ФИ2510203</x:v>
      </x:c>
      <x:c r="K4234" s="87" t="n">
        <x:v>15</x:v>
      </x:c>
      <x:c r="L4234" s="87" t="str">
        <x:v>Электрическая цепь: соответствие формул</x:v>
      </x:c>
      <x:c r="M4234" s="30" t="str">
        <x:v>В электрической цепи, схема которой изображена на рисунке, ЭДС источника тока равна E, его внутреннее сопротивление r, а сопротивления резисторов R 1 = R и R 2 = 2R. Установите соответствие между физическими величинами и формулами, по которым их можно рассчитать. Вольтметр считать идеальным. К каждой позиции первого столбца подберите соответствующую позицию второго и запишите в таблицу выбранные цифры под соответствующими буквами. ФИЗИЧЕСКАЯ ВЕЛИЧИНА ФОРМУЛА А) показания вольтметра 1) E Б) сила тока, текущего через источник 3R 2) E 3R + r 3) Er 3R 4) 3ER 3R + r А Б Ответ:</x:v>
      </x:c>
      <x:c r="N4234" s="30" t="str">
        <x:v>42</x:v>
      </x:c>
      <x:c r="O4234" s="30" t="str">
        <x:v>Резисторы соединены последовательно; полное внешнее сопротивление равно сумме, показание вольтметра найдено по закону Ома.</x:v>
      </x:c>
      <x:c r="P4234" s="30" t="str">
        <x:v>Решено независимо; формулы, единицы и визуальные данные повторно проверены.</x:v>
      </x:c>
      <x:c r="Q4234" s="30"/>
      <x:c r="R4234" s="30" t="str">
        <x:v>42</x:v>
      </x:c>
      <x:c r="S4234" s="30"/>
      <x:c r="T4234" s="30" t="str">
        <x:v>Приложенная фотография дополнительного ключа</x:v>
      </x:c>
      <x:c r="U4234" s="30" t="str">
        <x:v>Расхождений не обнаружено.</x:v>
      </x:c>
      <x:c r="V4234" s="87" t="str">
        <x:v>VERIFIED</x:v>
      </x:c>
      <x:c r="W4234" s="87" t="n">
        <x:v>9</x:v>
      </x:c>
      <x:c r="X4234" s="87"/>
      <x:c r="Y4234" s="87"/>
      <x:c r="Z4234" s="87"/>
      <x:c r="AA4234" s="87"/>
      <x:c r="AB4234" s="87"/>
      <x:c r="AC4234" s="87" t="str">
        <x:v>VIS-PHY-DEC-026</x:v>
      </x:c>
      <x:c r="AD4234" s="87"/>
      <x:c r="AE4234" s="87"/>
      <x:c r="AF4234" s="87" t="str">
        <x:v>VIS-PHY-DEC-026: 9</x:v>
      </x:c>
      <x:c r="AG4234" s="87" t="str">
        <x:v>RESOLVED</x:v>
      </x:c>
      <x:c r="AH4234" s="87" t="str">
        <x:v>CROP_VERIFIED; TASK_CROP_QA_APPROVED:USE_CONTEXT</x:v>
      </x:c>
      <x:c r="AI4234" s="30"/>
      <x:c r="AJ4234" s="87" t="str">
        <x:v>clean</x:v>
      </x:c>
      <x:c r="AK4234" s="87" t="str">
        <x:v>clean-v0.03</x:v>
      </x:c>
      <x:c r="AL4234" s="87" t="str">
        <x:v>statgrad_clean_continuation_v0_03(1).xlsx</x:v>
      </x:c>
      <x:c r="AM4234" s="87" t="str">
        <x:v>PHY_Dec_V3</x:v>
      </x:c>
      <x:c r="AN4234" s="87" t="n">
        <x:v>16</x:v>
      </x:c>
    </x:row>
    <x:row r="4235">
      <x:c r="A4235" s="87" t="n">
        <x:v>4234</x:v>
      </x:c>
      <x:c r="B4235" s="87" t="str">
        <x:v>DEC-PHY-V3-016</x:v>
      </x:c>
      <x:c r="C4235" s="87" t="str">
        <x:v>СтатГрад</x:v>
      </x:c>
      <x:c r="D4235" s="87" t="str">
        <x:v>Декабрь 2025</x:v>
      </x:c>
      <x:c r="E4235" s="87"/>
      <x:c r="F4235" s="87"/>
      <x:c r="G4235" s="87" t="str">
        <x:v>Физика</x:v>
      </x:c>
      <x:c r="H4235" s="87" t="n">
        <x:v>11</x:v>
      </x:c>
      <x:c r="I4235" s="87" t="str">
        <x:v>ТР №2</x:v>
      </x:c>
      <x:c r="J4235" s="87" t="str">
        <x:v>ФИ2510203</x:v>
      </x:c>
      <x:c r="K4235" s="87" t="n">
        <x:v>16</x:v>
      </x:c>
      <x:c r="L4235" s="87" t="str">
        <x:v>Состав атомного ядра</x:v>
      </x:c>
      <x:c r="M4235" s="30" t="str">
        <x:v>Какое количество нейтронов содержится в ядре дубния 262 105 Db ? Ответ: ___________________________.</x:v>
      </x:c>
      <x:c r="N4235" s="30" t="str">
        <x:v>157</x:v>
      </x:c>
      <x:c r="O4235" s="30" t="str">
        <x:v>Число нейтронов N = A − Z.</x:v>
      </x:c>
      <x:c r="P4235" s="30" t="str">
        <x:v>Решено независимо; формулы, единицы и визуальные данные повторно проверены.</x:v>
      </x:c>
      <x:c r="Q4235" s="30"/>
      <x:c r="R4235" s="30" t="str">
        <x:v>157</x:v>
      </x:c>
      <x:c r="S4235" s="30"/>
      <x:c r="T4235" s="30" t="str">
        <x:v>Приложенная фотография дополнительного ключа</x:v>
      </x:c>
      <x:c r="U4235" s="30" t="str">
        <x:v>Расхождений не обнаружено.</x:v>
      </x:c>
      <x:c r="V4235" s="87" t="str">
        <x:v>VERIFIED</x:v>
      </x:c>
      <x:c r="W4235" s="87" t="n">
        <x:v>9</x:v>
      </x:c>
      <x:c r="X4235" s="87"/>
      <x:c r="Y4235" s="87"/>
      <x:c r="Z4235" s="87"/>
      <x:c r="AA4235" s="87"/>
      <x:c r="AB4235" s="87"/>
      <x:c r="AC4235" s="87" t="str">
        <x:v>VIS-PHY-DEC-026</x:v>
      </x:c>
      <x:c r="AD4235" s="87"/>
      <x:c r="AE4235" s="87"/>
      <x:c r="AF4235" s="87" t="str">
        <x:v>VIS-PHY-DEC-026: 9</x:v>
      </x:c>
      <x:c r="AG4235" s="87" t="str">
        <x:v>RESOLVED</x:v>
      </x:c>
      <x:c r="AH4235" s="87" t="str">
        <x:v>CROP_VERIFIED</x:v>
      </x:c>
      <x:c r="AI4235" s="30"/>
      <x:c r="AJ4235" s="87" t="str">
        <x:v>clean</x:v>
      </x:c>
      <x:c r="AK4235" s="87" t="str">
        <x:v>clean-v0.03</x:v>
      </x:c>
      <x:c r="AL4235" s="87" t="str">
        <x:v>statgrad_clean_continuation_v0_03(1).xlsx</x:v>
      </x:c>
      <x:c r="AM4235" s="87" t="str">
        <x:v>PHY_Dec_V3</x:v>
      </x:c>
      <x:c r="AN4235" s="87" t="n">
        <x:v>17</x:v>
      </x:c>
    </x:row>
    <x:row r="4236">
      <x:c r="A4236" s="87" t="n">
        <x:v>4235</x:v>
      </x:c>
      <x:c r="B4236" s="87" t="str">
        <x:v>DEC-PHY-V3-017</x:v>
      </x:c>
      <x:c r="C4236" s="87" t="str">
        <x:v>СтатГрад</x:v>
      </x:c>
      <x:c r="D4236" s="87" t="str">
        <x:v>Декабрь 2025</x:v>
      </x:c>
      <x:c r="E4236" s="87"/>
      <x:c r="F4236" s="87"/>
      <x:c r="G4236" s="87" t="str">
        <x:v>Физика</x:v>
      </x:c>
      <x:c r="H4236" s="87" t="n">
        <x:v>11</x:v>
      </x:c>
      <x:c r="I4236" s="87" t="str">
        <x:v>ТР №2</x:v>
      </x:c>
      <x:c r="J4236" s="87" t="str">
        <x:v>ФИ2510203</x:v>
      </x:c>
      <x:c r="K4236" s="87" t="n">
        <x:v>17</x:v>
      </x:c>
      <x:c r="L4236" s="87" t="str">
        <x:v>Ядерное превращение</x:v>
      </x:c>
      <x:c r="M4236" s="30" t="str">
        <x:v>В ядерном реакторе цепочка ядерных реакций начинается с захвата ядром быстрого нейтрона. Как изменятся при захвате нейтрона следующие характеристики ядра: заряд ядра и массовое число ядра?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Заряд ядра Массовое число ядра</x:v>
      </x:c>
      <x:c r="N4236" s="30" t="str">
        <x:v>31</x:v>
      </x:c>
      <x:c r="O4236" s="30" t="str">
        <x:v>При захвате нейтрона Z не меняется, A растёт на 1; при β⁻-распаде A не меняется, Z растёт на 1.</x:v>
      </x:c>
      <x:c r="P4236" s="30" t="str">
        <x:v>Решено независимо; формулы, единицы и визуальные данные повторно проверены.</x:v>
      </x:c>
      <x:c r="Q4236" s="30"/>
      <x:c r="R4236" s="30" t="str">
        <x:v>31</x:v>
      </x:c>
      <x:c r="S4236" s="30"/>
      <x:c r="T4236" s="30" t="str">
        <x:v>Приложенная фотография дополнительного ключа</x:v>
      </x:c>
      <x:c r="U4236" s="30" t="str">
        <x:v>Расхождений не обнаружено.</x:v>
      </x:c>
      <x:c r="V4236" s="87" t="str">
        <x:v>VERIFIED</x:v>
      </x:c>
      <x:c r="W4236" s="87" t="n">
        <x:v>10</x:v>
      </x:c>
      <x:c r="X4236" s="87"/>
      <x:c r="Y4236" s="87"/>
      <x:c r="Z4236" s="87"/>
      <x:c r="AA4236" s="87"/>
      <x:c r="AB4236" s="87"/>
      <x:c r="AC4236" s="87" t="str">
        <x:v>VIS-PHY-DEC-027</x:v>
      </x:c>
      <x:c r="AD4236" s="87"/>
      <x:c r="AE4236" s="87"/>
      <x:c r="AF4236" s="87" t="str">
        <x:v>VIS-PHY-DEC-027: 10</x:v>
      </x:c>
      <x:c r="AG4236" s="87" t="str">
        <x:v>RESOLVED</x:v>
      </x:c>
      <x:c r="AH4236" s="87" t="str">
        <x:v>CROP_VERIFIED</x:v>
      </x:c>
      <x:c r="AI4236" s="30"/>
      <x:c r="AJ4236" s="87" t="str">
        <x:v>clean</x:v>
      </x:c>
      <x:c r="AK4236" s="87" t="str">
        <x:v>clean-v0.03</x:v>
      </x:c>
      <x:c r="AL4236" s="87" t="str">
        <x:v>statgrad_clean_continuation_v0_03(1).xlsx</x:v>
      </x:c>
      <x:c r="AM4236" s="87" t="str">
        <x:v>PHY_Dec_V3</x:v>
      </x:c>
      <x:c r="AN4236" s="87" t="n">
        <x:v>18</x:v>
      </x:c>
    </x:row>
    <x:row r="4237">
      <x:c r="A4237" s="87" t="n">
        <x:v>4236</x:v>
      </x:c>
      <x:c r="B4237" s="87" t="str">
        <x:v>DEC-PHY-V3-018</x:v>
      </x:c>
      <x:c r="C4237" s="87" t="str">
        <x:v>СтатГрад</x:v>
      </x:c>
      <x:c r="D4237" s="87" t="str">
        <x:v>Декабрь 2025</x:v>
      </x:c>
      <x:c r="E4237" s="87"/>
      <x:c r="F4237" s="87"/>
      <x:c r="G4237" s="87" t="str">
        <x:v>Физика</x:v>
      </x:c>
      <x:c r="H4237" s="87" t="n">
        <x:v>11</x:v>
      </x:c>
      <x:c r="I4237" s="87" t="str">
        <x:v>ТР №2</x:v>
      </x:c>
      <x:c r="J4237" s="87" t="str">
        <x:v>ФИ2510203</x:v>
      </x:c>
      <x:c r="K4237" s="87" t="n">
        <x:v>18</x:v>
      </x:c>
      <x:c r="L4237" s="87" t="str">
        <x:v>Физические закономерности</x:v>
      </x:c>
      <x:c r="M4237" s="30" t="str">
        <x:v>Выберите все верные утверждения о физических явлениях, величинах и закономерностях. Запишите цифры, под которыми они указаны. 1) Резонанс – это явление резкого возрастания амплитуды вынужденных колебаний. 2) Давление идеального газа в изотермическом процессе уменьшается при уменьшении объёма газа. 3) При уменьшении силы тока, текущего в резисторе, тепловая мощность, выделяемая в нём, уменьшается. 4) При преломлении электромагнитных волн на границе двух сред скорость распространения волны остаётся неизменной величиной. 5) При фотоэффекте работа выхода фотоэлектронов с поверхности металла зависит от свойств этого металла. Ответ: ___________________________.</x:v>
      </x:c>
      <x:c r="N4237" s="30" t="str">
        <x:v>135</x:v>
      </x:c>
      <x:c r="O4237" s="30" t="str">
        <x:v>Каждое утверждение проверено по определениям резонанса, газовым законам, закону Джоуля–Ленца, оптике и атомной физике.</x:v>
      </x:c>
      <x:c r="P4237" s="30" t="str">
        <x:v>Решено независимо; формулы, единицы и визуальные данные повторно проверены.</x:v>
      </x:c>
      <x:c r="Q4237" s="30"/>
      <x:c r="R4237" s="30" t="str">
        <x:v>135</x:v>
      </x:c>
      <x:c r="S4237" s="30"/>
      <x:c r="T4237" s="30" t="str">
        <x:v>Официальная таблица ответов в PDF критериев</x:v>
      </x:c>
      <x:c r="U4237" s="30" t="str">
        <x:v>Расхождений не обнаружено.</x:v>
      </x:c>
      <x:c r="V4237" s="87" t="str">
        <x:v>VERIFIED</x:v>
      </x:c>
      <x:c r="W4237" s="87" t="n">
        <x:v>10</x:v>
      </x:c>
      <x:c r="X4237" s="87"/>
      <x:c r="Y4237" s="87"/>
      <x:c r="Z4237" s="87"/>
      <x:c r="AA4237" s="87"/>
      <x:c r="AB4237" s="87"/>
      <x:c r="AC4237" s="87" t="str">
        <x:v>VIS-PHY-DEC-027</x:v>
      </x:c>
      <x:c r="AD4237" s="87"/>
      <x:c r="AE4237" s="87"/>
      <x:c r="AF4237" s="87" t="str">
        <x:v>VIS-PHY-DEC-027: 10</x:v>
      </x:c>
      <x:c r="AG4237" s="87" t="str">
        <x:v>RESOLVED</x:v>
      </x:c>
      <x:c r="AH4237" s="87" t="str">
        <x:v>CROP_VERIFIED</x:v>
      </x:c>
      <x:c r="AI4237" s="30"/>
      <x:c r="AJ4237" s="87" t="str">
        <x:v>clean</x:v>
      </x:c>
      <x:c r="AK4237" s="87" t="str">
        <x:v>clean-v0.03</x:v>
      </x:c>
      <x:c r="AL4237" s="87" t="str">
        <x:v>statgrad_clean_continuation_v0_03(1).xlsx</x:v>
      </x:c>
      <x:c r="AM4237" s="87" t="str">
        <x:v>PHY_Dec_V3</x:v>
      </x:c>
      <x:c r="AN4237" s="87" t="n">
        <x:v>19</x:v>
      </x:c>
    </x:row>
    <x:row r="4238">
      <x:c r="A4238" s="87" t="n">
        <x:v>4237</x:v>
      </x:c>
      <x:c r="B4238" s="87" t="str">
        <x:v>DEC-PHY-V3-019</x:v>
      </x:c>
      <x:c r="C4238" s="87" t="str">
        <x:v>СтатГрад</x:v>
      </x:c>
      <x:c r="D4238" s="87" t="str">
        <x:v>Декабрь 2025</x:v>
      </x:c>
      <x:c r="E4238" s="87"/>
      <x:c r="F4238" s="87"/>
      <x:c r="G4238" s="87" t="str">
        <x:v>Физика</x:v>
      </x:c>
      <x:c r="H4238" s="87" t="n">
        <x:v>11</x:v>
      </x:c>
      <x:c r="I4238" s="87" t="str">
        <x:v>ТР №2</x:v>
      </x:c>
      <x:c r="J4238" s="87" t="str">
        <x:v>ФИ2510203</x:v>
      </x:c>
      <x:c r="K4238" s="87" t="n">
        <x:v>19</x:v>
      </x:c>
      <x:c r="L4238" s="87" t="str">
        <x:v>Погрешность измерений</x:v>
      </x:c>
      <x:c r="M4238" s="30" t="str">
        <x:v>Пачка бумаги, состоящая из 500 одинаковых листов, имеет толщину 54 мм, а погрешность измерения этой толщины равна 2 мм. Чему равна толщина одного листа бумаги с учётом погрешности измерений? Ответ: (________ ± ________) мм.</x:v>
      </x:c>
      <x:c r="N4238" s="30" t="str">
        <x:v>(0,108 ± 0,004)</x:v>
      </x:c>
      <x:c r="O4238" s="30" t="str">
        <x:v>Толщина и абсолютная погрешность одной единицы получаются делением общего результата и его погрешности на число единиц.</x:v>
      </x:c>
      <x:c r="P4238" s="30" t="str">
        <x:v>Решено независимо; формулы, единицы и визуальные данные повторно проверены.</x:v>
      </x:c>
      <x:c r="Q4238" s="30"/>
      <x:c r="R4238" s="30" t="str">
        <x:v>(0,108 ± 0,004)</x:v>
      </x:c>
      <x:c r="S4238" s="30"/>
      <x:c r="T4238" s="30" t="str">
        <x:v>Официальная таблица ответов в PDF критериев</x:v>
      </x:c>
      <x:c r="U4238" s="30" t="str">
        <x:v>Расхождений не обнаружено.</x:v>
      </x:c>
      <x:c r="V4238" s="87" t="str">
        <x:v>VERIFIED</x:v>
      </x:c>
      <x:c r="W4238" s="87" t="n">
        <x:v>10</x:v>
      </x:c>
      <x:c r="X4238" s="87"/>
      <x:c r="Y4238" s="87"/>
      <x:c r="Z4238" s="87"/>
      <x:c r="AA4238" s="87"/>
      <x:c r="AB4238" s="87"/>
      <x:c r="AC4238" s="87" t="str">
        <x:v>VIS-PHY-DEC-027</x:v>
      </x:c>
      <x:c r="AD4238" s="87"/>
      <x:c r="AE4238" s="87"/>
      <x:c r="AF4238" s="87" t="str">
        <x:v>VIS-PHY-DEC-027: 10</x:v>
      </x:c>
      <x:c r="AG4238" s="87" t="str">
        <x:v>RESOLVED</x:v>
      </x:c>
      <x:c r="AH4238" s="87" t="str">
        <x:v>CROP_VERIFIED</x:v>
      </x:c>
      <x:c r="AI4238" s="30"/>
      <x:c r="AJ4238" s="87" t="str">
        <x:v>clean</x:v>
      </x:c>
      <x:c r="AK4238" s="87" t="str">
        <x:v>clean-v0.03</x:v>
      </x:c>
      <x:c r="AL4238" s="87" t="str">
        <x:v>statgrad_clean_continuation_v0_03(1).xlsx</x:v>
      </x:c>
      <x:c r="AM4238" s="87" t="str">
        <x:v>PHY_Dec_V3</x:v>
      </x:c>
      <x:c r="AN4238" s="87" t="n">
        <x:v>20</x:v>
      </x:c>
    </x:row>
    <x:row r="4239">
      <x:c r="A4239" s="87" t="n">
        <x:v>4238</x:v>
      </x:c>
      <x:c r="B4239" s="87" t="str">
        <x:v>DEC-PHY-V3-020</x:v>
      </x:c>
      <x:c r="C4239" s="87" t="str">
        <x:v>СтатГрад</x:v>
      </x:c>
      <x:c r="D4239" s="87" t="str">
        <x:v>Декабрь 2025</x:v>
      </x:c>
      <x:c r="E4239" s="87"/>
      <x:c r="F4239" s="87"/>
      <x:c r="G4239" s="87" t="str">
        <x:v>Физика</x:v>
      </x:c>
      <x:c r="H4239" s="87" t="n">
        <x:v>11</x:v>
      </x:c>
      <x:c r="I4239" s="87" t="str">
        <x:v>ТР №2</x:v>
      </x:c>
      <x:c r="J4239" s="87" t="str">
        <x:v>ФИ2510203</x:v>
      </x:c>
      <x:c r="K4239" s="87" t="n">
        <x:v>20</x:v>
      </x:c>
      <x:c r="L4239" s="87" t="str">
        <x:v>Планирование эксперимента</x:v>
      </x:c>
      <x:c r="M4239" s="30" t="str">
        <x:v>В лаборатории экспериментально изучают зависимость частоты колебаний натянутой струны, закреплённой с двух сторон, от площади её поперечного сечения. Какие две установки нужно использовать для проведения такого эксперимента? № Сила Диаметр Материал установки натяжения струны, Н струны, мм струны 1 15 0,5 Сталь 2 10 1 Сталь 3 10 0,5 Медь 4 15 1 Сталь 5 20 1 Пластик В ответе запишите номера выбранных установок. Ответ: Часть 2 Для записи ответов на задания 21–26 используйте чистый лист. Запишите сначала номер задания (21, 22 и т. д.), а затем решение соответствующей задачи. Ответы записывайте чётко и разборчиво.</x:v>
      </x:c>
      <x:c r="N4239" s="30" t="str">
        <x:v>14</x:v>
      </x:c>
      <x:c r="O4239" s="30" t="str">
        <x:v>Меняется только исследуемый параметр; материал и второй влияющий параметр должны быть одинаковыми.</x:v>
      </x:c>
      <x:c r="P4239" s="30" t="str">
        <x:v>Решено независимо; формулы, единицы и визуальные данные повторно проверены.</x:v>
      </x:c>
      <x:c r="Q4239" s="30"/>
      <x:c r="R4239" s="30" t="str">
        <x:v>14</x:v>
      </x:c>
      <x:c r="S4239" s="30"/>
      <x:c r="T4239" s="30" t="str">
        <x:v>Приложенная фотография дополнительного ключа</x:v>
      </x:c>
      <x:c r="U4239" s="30" t="str">
        <x:v>Расхождений не обнаружено.</x:v>
      </x:c>
      <x:c r="V4239" s="87" t="str">
        <x:v>VERIFIED</x:v>
      </x:c>
      <x:c r="W4239" s="87" t="n">
        <x:v>11</x:v>
      </x:c>
      <x:c r="X4239" s="87"/>
      <x:c r="Y4239" s="87"/>
      <x:c r="Z4239" s="87"/>
      <x:c r="AA4239" s="87"/>
      <x:c r="AB4239" s="87"/>
      <x:c r="AC4239" s="87" t="str">
        <x:v>VIS-PHY-DEC-028</x:v>
      </x:c>
      <x:c r="AD4239" s="87"/>
      <x:c r="AE4239" s="87"/>
      <x:c r="AF4239" s="87" t="str">
        <x:v>VIS-PHY-DEC-028: 11</x:v>
      </x:c>
      <x:c r="AG4239" s="87" t="str">
        <x:v>RESOLVED</x:v>
      </x:c>
      <x:c r="AH4239" s="87" t="str">
        <x:v>CROP_VERIFIED</x:v>
      </x:c>
      <x:c r="AI4239" s="30"/>
      <x:c r="AJ4239" s="87" t="str">
        <x:v>clean</x:v>
      </x:c>
      <x:c r="AK4239" s="87" t="str">
        <x:v>clean-v0.03</x:v>
      </x:c>
      <x:c r="AL4239" s="87" t="str">
        <x:v>statgrad_clean_continuation_v0_03(1).xlsx</x:v>
      </x:c>
      <x:c r="AM4239" s="87" t="str">
        <x:v>PHY_Dec_V3</x:v>
      </x:c>
      <x:c r="AN4239" s="87" t="n">
        <x:v>21</x:v>
      </x:c>
    </x:row>
    <x:row r="4240">
      <x:c r="A4240" s="87" t="n">
        <x:v>4239</x:v>
      </x:c>
      <x:c r="B4240" s="87" t="str">
        <x:v>DEC-PHY-V3-021</x:v>
      </x:c>
      <x:c r="C4240" s="87" t="str">
        <x:v>СтатГрад</x:v>
      </x:c>
      <x:c r="D4240" s="87" t="str">
        <x:v>Декабрь 2025</x:v>
      </x:c>
      <x:c r="E4240" s="87"/>
      <x:c r="F4240" s="87"/>
      <x:c r="G4240" s="87" t="str">
        <x:v>Физика</x:v>
      </x:c>
      <x:c r="H4240" s="87" t="n">
        <x:v>11</x:v>
      </x:c>
      <x:c r="I4240" s="87" t="str">
        <x:v>ТР №2</x:v>
      </x:c>
      <x:c r="J4240" s="87" t="str">
        <x:v>ФИ2510203</x:v>
      </x:c>
      <x:c r="K4240" s="87" t="n">
        <x:v>21</x:v>
      </x:c>
      <x:c r="L4240" s="87" t="str">
        <x:v>Термодинамика: качественная задача</x:v>
      </x:c>
      <x:c r="M4240" s="30" t="str">
        <x:v>Постоянное количество одноатомного идеального газа участвует в процессе, который изображён на рисунке в переменных U – p, где U – внутренняя энергия газа, p – его давление. Опираясь на законы молекулярной физики и термодинамики, определите, получает газ количество теплоты или отдаёт в процессах 1–2 и 2–3. Полное правильное решение каждой из задач 22–26 должно содержать законы и формулы, применение которых необходимо и достаточно для решения задачи, а также математические преобразования, расчёты с численным ответом и при необходимости рисунок, поясняющий решение.</x:v>
      </x:c>
      <x:c r="N4240" s="30" t="str">
        <x:v>Q₁₂ &gt; 0; Q₂₃ &lt; 0</x:v>
      </x:c>
      <x:c r="O4240" s="30" t="str">
        <x:v>В 1–2 U и T постоянны, давление падает, газ расширяется: A&gt;0 и Q=A&gt;0. В 2–3 при постоянном p уменьшаются U, T и V: ΔU&lt;0, A&lt;0, поэтому Q&lt;0.</x:v>
      </x:c>
      <x:c r="P4240" s="30" t="str">
        <x:v>Решено независимо; формулы, единицы и визуальные данные повторно проверены.</x:v>
      </x:c>
      <x:c r="Q4240" s="30"/>
      <x:c r="R4240" s="30" t="str">
        <x:v>Q₁₂ &gt; 0; Q₂₃ &lt; 0</x:v>
      </x:c>
      <x:c r="S4240" s="30"/>
      <x:c r="T4240" s="30" t="str">
        <x:v>Официальное возможное решение и критерий</x:v>
      </x:c>
      <x:c r="U4240" s="30" t="str">
        <x:v>Расхождений не обнаружено.</x:v>
      </x:c>
      <x:c r="V4240" s="87" t="str">
        <x:v>VERIFIED</x:v>
      </x:c>
      <x:c r="W4240" s="87" t="n">
        <x:v>12</x:v>
      </x:c>
      <x:c r="X4240" s="87"/>
      <x:c r="Y4240" s="87"/>
      <x:c r="Z4240" s="87"/>
      <x:c r="AA4240" s="87"/>
      <x:c r="AB4240" s="87"/>
      <x:c r="AC4240" s="87" t="str">
        <x:v>VIS-PHY-DEC-029</x:v>
      </x:c>
      <x:c r="AD4240" s="87"/>
      <x:c r="AE4240" s="87"/>
      <x:c r="AF4240" s="87" t="str">
        <x:v>VIS-PHY-DEC-029: 12</x:v>
      </x:c>
      <x:c r="AG4240" s="87" t="str">
        <x:v>RESOLVED</x:v>
      </x:c>
      <x:c r="AH4240" s="87" t="str">
        <x:v>CROP_VERIFIED; TASK_CROP_QA_APPROVED:USE_CONTEXT</x:v>
      </x:c>
      <x:c r="AI4240" s="30"/>
      <x:c r="AJ4240" s="87" t="str">
        <x:v>clean</x:v>
      </x:c>
      <x:c r="AK4240" s="87" t="str">
        <x:v>clean-v0.03</x:v>
      </x:c>
      <x:c r="AL4240" s="87" t="str">
        <x:v>statgrad_clean_continuation_v0_03(1).xlsx</x:v>
      </x:c>
      <x:c r="AM4240" s="87" t="str">
        <x:v>PHY_Dec_V3</x:v>
      </x:c>
      <x:c r="AN4240" s="87" t="n">
        <x:v>22</x:v>
      </x:c>
    </x:row>
    <x:row r="4241">
      <x:c r="A4241" s="87" t="n">
        <x:v>4240</x:v>
      </x:c>
      <x:c r="B4241" s="87" t="str">
        <x:v>DEC-PHY-V3-022</x:v>
      </x:c>
      <x:c r="C4241" s="87" t="str">
        <x:v>СтатГрад</x:v>
      </x:c>
      <x:c r="D4241" s="87" t="str">
        <x:v>Декабрь 2025</x:v>
      </x:c>
      <x:c r="E4241" s="87"/>
      <x:c r="F4241" s="87"/>
      <x:c r="G4241" s="87" t="str">
        <x:v>Физика</x:v>
      </x:c>
      <x:c r="H4241" s="87" t="n">
        <x:v>11</x:v>
      </x:c>
      <x:c r="I4241" s="87" t="str">
        <x:v>ТР №2</x:v>
      </x:c>
      <x:c r="J4241" s="87" t="str">
        <x:v>ФИ2510203</x:v>
      </x:c>
      <x:c r="K4241" s="87" t="n">
        <x:v>22</x:v>
      </x:c>
      <x:c r="L4241" s="87" t="str">
        <x:v>Баллистика: расчётная задача</x:v>
      </x:c>
      <x:c r="M4241" s="30" t="str">
        <x:v>Камень, брошенный горизонтально с высоты Н = 15 м над поверхностью земли, при падении на землю имел скорость, направленную под углом α = 30° к вертикали. Определите дальность полёта камня вдоль горизонтальной поверхности. Сопротивлением воздуха пренебречь.</x:v>
      </x:c>
      <x:c r="N4241" s="30" t="str">
        <x:v>S ≈ 17,3 м</x:v>
      </x:c>
      <x:c r="O4241" s="30" t="str">
        <x:v>При угле 30° к вертикали tan α=vₓ/vᵧ; из H=gt²/2 и S=vₓt следует S=2H·tan30°≈17,3 м.</x:v>
      </x:c>
      <x:c r="P4241" s="30" t="str">
        <x:v>Решено независимо; формулы, единицы и визуальные данные повторно проверены.</x:v>
      </x:c>
      <x:c r="Q4241" s="30"/>
      <x:c r="R4241" s="30" t="str">
        <x:v>S ≈ 17,3 м</x:v>
      </x:c>
      <x:c r="S4241" s="30"/>
      <x:c r="T4241" s="30" t="str">
        <x:v>Официальное возможное решение и критерий</x:v>
      </x:c>
      <x:c r="U4241" s="30" t="str">
        <x:v>Расхождений не обнаружено.</x:v>
      </x:c>
      <x:c r="V4241" s="87" t="str">
        <x:v>VERIFIED</x:v>
      </x:c>
      <x:c r="W4241" s="87" t="n">
        <x:v>12</x:v>
      </x:c>
      <x:c r="X4241" s="87"/>
      <x:c r="Y4241" s="87"/>
      <x:c r="Z4241" s="87"/>
      <x:c r="AA4241" s="87"/>
      <x:c r="AB4241" s="87"/>
      <x:c r="AC4241" s="87" t="str">
        <x:v>VIS-PHY-DEC-029</x:v>
      </x:c>
      <x:c r="AD4241" s="87"/>
      <x:c r="AE4241" s="87"/>
      <x:c r="AF4241" s="87" t="str">
        <x:v>VIS-PHY-DEC-029: 12</x:v>
      </x:c>
      <x:c r="AG4241" s="87" t="str">
        <x:v>RESOLVED</x:v>
      </x:c>
      <x:c r="AH4241" s="87" t="str">
        <x:v>CROP_VERIFIED</x:v>
      </x:c>
      <x:c r="AI4241" s="30"/>
      <x:c r="AJ4241" s="87" t="str">
        <x:v>clean</x:v>
      </x:c>
      <x:c r="AK4241" s="87" t="str">
        <x:v>clean-v0.03</x:v>
      </x:c>
      <x:c r="AL4241" s="87" t="str">
        <x:v>statgrad_clean_continuation_v0_03(1).xlsx</x:v>
      </x:c>
      <x:c r="AM4241" s="87" t="str">
        <x:v>PHY_Dec_V3</x:v>
      </x:c>
      <x:c r="AN4241" s="87" t="n">
        <x:v>23</x:v>
      </x:c>
    </x:row>
    <x:row r="4242">
      <x:c r="A4242" s="87" t="n">
        <x:v>4241</x:v>
      </x:c>
      <x:c r="B4242" s="87" t="str">
        <x:v>DEC-PHY-V3-023</x:v>
      </x:c>
      <x:c r="C4242" s="87" t="str">
        <x:v>СтатГрад</x:v>
      </x:c>
      <x:c r="D4242" s="87" t="str">
        <x:v>Декабрь 2025</x:v>
      </x:c>
      <x:c r="E4242" s="87"/>
      <x:c r="F4242" s="87"/>
      <x:c r="G4242" s="87" t="str">
        <x:v>Физика</x:v>
      </x:c>
      <x:c r="H4242" s="87" t="n">
        <x:v>11</x:v>
      </x:c>
      <x:c r="I4242" s="87" t="str">
        <x:v>ТР №2</x:v>
      </x:c>
      <x:c r="J4242" s="87" t="str">
        <x:v>ФИ2510203</x:v>
      </x:c>
      <x:c r="K4242" s="87" t="n">
        <x:v>23</x:v>
      </x:c>
      <x:c r="L4242" s="87" t="str">
        <x:v>Электростатика и конденсатор</x:v>
      </x:c>
      <x:c r="M4242" s="30" t="str">
        <x:v>Между горизонтально расположенными обкладками плоского конденсатора в состоянии покоя висит заряженный шарик, масса которого равна m = 0,3 г, а заряд q = 10 мкКл. Определите ёмкость C конденсатора, если модуль заряда на его обкладках равен Q = 0,4 мкКл, а расстояние между ними d = 2 мм.</x:v>
      </x:c>
      <x:c r="N4242" s="30" t="str">
        <x:v>C ≈ 0,67·10⁻⁶ Ф</x:v>
      </x:c>
      <x:c r="O4242" s="30" t="str">
        <x:v>Равновесие qE=mg, E=U/d, C=Q/U; поэтому C=Qq/(mgd)≈0,67 мкФ.</x:v>
      </x:c>
      <x:c r="P4242" s="30" t="str">
        <x:v>Решено независимо; формулы, единицы и визуальные данные повторно проверены.</x:v>
      </x:c>
      <x:c r="Q4242" s="30"/>
      <x:c r="R4242" s="30" t="str">
        <x:v>C ≈ 0,67·10⁻⁶ Ф</x:v>
      </x:c>
      <x:c r="S4242" s="30"/>
      <x:c r="T4242" s="30" t="str">
        <x:v>Официальное возможное решение и критерий</x:v>
      </x:c>
      <x:c r="U4242" s="30" t="str">
        <x:v>Расхождений не обнаружено.</x:v>
      </x:c>
      <x:c r="V4242" s="87" t="str">
        <x:v>VERIFIED</x:v>
      </x:c>
      <x:c r="W4242" s="87" t="n">
        <x:v>12</x:v>
      </x:c>
      <x:c r="X4242" s="87"/>
      <x:c r="Y4242" s="87"/>
      <x:c r="Z4242" s="87"/>
      <x:c r="AA4242" s="87"/>
      <x:c r="AB4242" s="87"/>
      <x:c r="AC4242" s="87" t="str">
        <x:v>VIS-PHY-DEC-029</x:v>
      </x:c>
      <x:c r="AD4242" s="87"/>
      <x:c r="AE4242" s="87"/>
      <x:c r="AF4242" s="87" t="str">
        <x:v>VIS-PHY-DEC-029: 12</x:v>
      </x:c>
      <x:c r="AG4242" s="87" t="str">
        <x:v>RESOLVED</x:v>
      </x:c>
      <x:c r="AH4242" s="87" t="str">
        <x:v>CROP_VERIFIED</x:v>
      </x:c>
      <x:c r="AI4242" s="30"/>
      <x:c r="AJ4242" s="87" t="str">
        <x:v>clean</x:v>
      </x:c>
      <x:c r="AK4242" s="87" t="str">
        <x:v>clean-v0.03</x:v>
      </x:c>
      <x:c r="AL4242" s="87" t="str">
        <x:v>statgrad_clean_continuation_v0_03(1).xlsx</x:v>
      </x:c>
      <x:c r="AM4242" s="87" t="str">
        <x:v>PHY_Dec_V3</x:v>
      </x:c>
      <x:c r="AN4242" s="87" t="n">
        <x:v>24</x:v>
      </x:c>
    </x:row>
    <x:row r="4243">
      <x:c r="A4243" s="87" t="n">
        <x:v>4242</x:v>
      </x:c>
      <x:c r="B4243" s="87" t="str">
        <x:v>DEC-PHY-V3-024</x:v>
      </x:c>
      <x:c r="C4243" s="87" t="str">
        <x:v>СтатГрад</x:v>
      </x:c>
      <x:c r="D4243" s="87" t="str">
        <x:v>Декабрь 2025</x:v>
      </x:c>
      <x:c r="E4243" s="87"/>
      <x:c r="F4243" s="87"/>
      <x:c r="G4243" s="87" t="str">
        <x:v>Физика</x:v>
      </x:c>
      <x:c r="H4243" s="87" t="n">
        <x:v>11</x:v>
      </x:c>
      <x:c r="I4243" s="87" t="str">
        <x:v>ТР №2</x:v>
      </x:c>
      <x:c r="J4243" s="87" t="str">
        <x:v>ФИ2510203</x:v>
      </x:c>
      <x:c r="K4243" s="87" t="n">
        <x:v>24</x:v>
      </x:c>
      <x:c r="L4243" s="87" t="str">
        <x:v>Тепловой баланс</x:v>
      </x:c>
      <x:c r="M4243" s="30" t="str">
        <x:v>Масса льда, которую можно превратить в воду и затем довести до кипения при сжигании сухих дров массой m = 2 кг, равна m л = 5 кг. Начальная температура льда равна t0 = –25 °C, а удельная теплота сгорания сухих дров q = 8⋅106 Дж/кг. Какая доля количества теплоты, выделяющегося при сгорании дров, рассеивается в окружающую среду? Ответ выразите в процентах.</x:v>
      </x:c>
      <x:c r="N4243" s="30" t="str">
        <x:v>η ≈ 75 %</x:v>
      </x:c>
      <x:c r="O4243" s="30" t="str">
        <x:v>Для 5 кг льда рассчитана требуемая теплота; её доля от 16 МДж равна около 25%, значит рассеивается около 75%.</x:v>
      </x:c>
      <x:c r="P4243" s="30" t="str">
        <x:v>Решено независимо; формулы, единицы и визуальные данные повторно проверены.</x:v>
      </x:c>
      <x:c r="Q4243" s="30"/>
      <x:c r="R4243" s="30" t="str">
        <x:v>η ≈ 75 %</x:v>
      </x:c>
      <x:c r="S4243" s="30"/>
      <x:c r="T4243" s="30" t="str">
        <x:v>Официальное возможное решение и критерий</x:v>
      </x:c>
      <x:c r="U4243" s="30" t="str">
        <x:v>Расхождений не обнаружено.</x:v>
      </x:c>
      <x:c r="V4243" s="87" t="str">
        <x:v>VERIFIED</x:v>
      </x:c>
      <x:c r="W4243" s="87" t="n">
        <x:v>12</x:v>
      </x:c>
      <x:c r="X4243" s="87"/>
      <x:c r="Y4243" s="87"/>
      <x:c r="Z4243" s="87"/>
      <x:c r="AA4243" s="87"/>
      <x:c r="AB4243" s="87"/>
      <x:c r="AC4243" s="87" t="str">
        <x:v>VIS-PHY-DEC-029</x:v>
      </x:c>
      <x:c r="AD4243" s="87"/>
      <x:c r="AE4243" s="87"/>
      <x:c r="AF4243" s="87" t="str">
        <x:v>VIS-PHY-DEC-029: 12</x:v>
      </x:c>
      <x:c r="AG4243" s="87" t="str">
        <x:v>RESOLVED</x:v>
      </x:c>
      <x:c r="AH4243" s="87" t="str">
        <x:v>CROP_VERIFIED</x:v>
      </x:c>
      <x:c r="AI4243" s="30"/>
      <x:c r="AJ4243" s="87" t="str">
        <x:v>clean</x:v>
      </x:c>
      <x:c r="AK4243" s="87" t="str">
        <x:v>clean-v0.03</x:v>
      </x:c>
      <x:c r="AL4243" s="87" t="str">
        <x:v>statgrad_clean_continuation_v0_03(1).xlsx</x:v>
      </x:c>
      <x:c r="AM4243" s="87" t="str">
        <x:v>PHY_Dec_V3</x:v>
      </x:c>
      <x:c r="AN4243" s="87" t="n">
        <x:v>25</x:v>
      </x:c>
    </x:row>
    <x:row r="4244">
      <x:c r="A4244" s="87" t="n">
        <x:v>4243</x:v>
      </x:c>
      <x:c r="B4244" s="87" t="str">
        <x:v>DEC-PHY-V3-025</x:v>
      </x:c>
      <x:c r="C4244" s="87" t="str">
        <x:v>СтатГрад</x:v>
      </x:c>
      <x:c r="D4244" s="87" t="str">
        <x:v>Декабрь 2025</x:v>
      </x:c>
      <x:c r="E4244" s="87"/>
      <x:c r="F4244" s="87"/>
      <x:c r="G4244" s="87" t="str">
        <x:v>Физика</x:v>
      </x:c>
      <x:c r="H4244" s="87" t="n">
        <x:v>11</x:v>
      </x:c>
      <x:c r="I4244" s="87" t="str">
        <x:v>ТР №2</x:v>
      </x:c>
      <x:c r="J4244" s="87" t="str">
        <x:v>ФИ2510203</x:v>
      </x:c>
      <x:c r="K4244" s="87" t="n">
        <x:v>25</x:v>
      </x:c>
      <x:c r="L4244" s="87" t="str">
        <x:v>Электромагнитная индукция: заряд</x:v>
      </x:c>
      <x:c r="M4244" s="30" t="str">
        <x:v>Квадратная проводящая рамка со стороной a = 10 см закреплена в однородном магнитном поле с индукцией B = 3 мТл. Вектор магнитной индукции этого поля лежит в плоскости рамки и направлен перпендикулярно одной из её сторон (см. рисунок). Какой заряд q протечёт по этой замкнутой рамке, если её повернуть на 180° вокруг оси ОО1? Сопротивление рамки равно R = 0,5 Ом.</x:v>
      </x:c>
      <x:c r="N4244" s="30" t="str">
        <x:v>q = 12·10⁻⁵ Кл</x:v>
      </x:c>
      <x:c r="O4244" s="30" t="str">
        <x:v>За поворот поток по модулю меняется дважды на BS, поэтому q=2BS/R=1,2·10⁻⁴ Кл.</x:v>
      </x:c>
      <x:c r="P4244" s="30" t="str">
        <x:v>Решено независимо; формулы, единицы и визуальные данные повторно проверены.</x:v>
      </x:c>
      <x:c r="Q4244" s="30"/>
      <x:c r="R4244" s="30" t="str">
        <x:v>q = 12·10⁻⁵ Кл</x:v>
      </x:c>
      <x:c r="S4244" s="30"/>
      <x:c r="T4244" s="30" t="str">
        <x:v>Официальное возможное решение и критерий</x:v>
      </x:c>
      <x:c r="U4244" s="30" t="str">
        <x:v>Расхождений не обнаружено.</x:v>
      </x:c>
      <x:c r="V4244" s="87" t="str">
        <x:v>VERIFIED</x:v>
      </x:c>
      <x:c r="W4244" s="87" t="n">
        <x:v>13</x:v>
      </x:c>
      <x:c r="X4244" s="87"/>
      <x:c r="Y4244" s="87"/>
      <x:c r="Z4244" s="87"/>
      <x:c r="AA4244" s="87"/>
      <x:c r="AB4244" s="87"/>
      <x:c r="AC4244" s="87" t="str">
        <x:v>VIS-PHY-DEC-030</x:v>
      </x:c>
      <x:c r="AD4244" s="87"/>
      <x:c r="AE4244" s="87"/>
      <x:c r="AF4244" s="87" t="str">
        <x:v>VIS-PHY-DEC-030: 13</x:v>
      </x:c>
      <x:c r="AG4244" s="87" t="str">
        <x:v>RESOLVED</x:v>
      </x:c>
      <x:c r="AH4244" s="87" t="str">
        <x:v>CROP_VERIFIED; TASK_CROP_QA_APPROVED:USE_CONTEXT</x:v>
      </x:c>
      <x:c r="AI4244" s="30"/>
      <x:c r="AJ4244" s="87" t="str">
        <x:v>clean</x:v>
      </x:c>
      <x:c r="AK4244" s="87" t="str">
        <x:v>clean-v0.03</x:v>
      </x:c>
      <x:c r="AL4244" s="87" t="str">
        <x:v>statgrad_clean_continuation_v0_03(1).xlsx</x:v>
      </x:c>
      <x:c r="AM4244" s="87" t="str">
        <x:v>PHY_Dec_V3</x:v>
      </x:c>
      <x:c r="AN4244" s="87" t="n">
        <x:v>26</x:v>
      </x:c>
    </x:row>
    <x:row r="4245">
      <x:c r="A4245" s="87" t="n">
        <x:v>4244</x:v>
      </x:c>
      <x:c r="B4245" s="87" t="str">
        <x:v>DEC-PHY-V3-026</x:v>
      </x:c>
      <x:c r="C4245" s="87" t="str">
        <x:v>СтатГрад</x:v>
      </x:c>
      <x:c r="D4245" s="87" t="str">
        <x:v>Декабрь 2025</x:v>
      </x:c>
      <x:c r="E4245" s="87"/>
      <x:c r="F4245" s="87"/>
      <x:c r="G4245" s="87" t="str">
        <x:v>Физика</x:v>
      </x:c>
      <x:c r="H4245" s="87" t="n">
        <x:v>11</x:v>
      </x:c>
      <x:c r="I4245" s="87" t="str">
        <x:v>ТР №2</x:v>
      </x:c>
      <x:c r="J4245" s="87" t="str">
        <x:v>ФИ2510203</x:v>
      </x:c>
      <x:c r="K4245" s="87" t="n">
        <x:v>26</x:v>
      </x:c>
      <x:c r="L4245" s="87" t="str">
        <x:v>Динамика связанных тел</x:v>
      </x:c>
      <x:c r="M4245" s="30" t="str">
        <x:v>Два бруска массами m1 = 500 г и m2 = 200 г, связанные горизонтальной невесомой нерастяжимой нитью, скользят по горизонтальному столу под действием постоянной силы F, направленной под углом α = 30о к поверхности стола (см. рисунок). Коэффициент трения между брусками и поверхностью стола равен μ = 0,2. Определите модуль силы F, если модуль силы натяжения нити равен T = 1,8 Н. Сделайте рисунок с указанием сил, действующих на каждый брусок. Обоснуйте применимость законов, используемых для решения задачи.  F </x:v>
      </x:c>
      <x:c r="N4245" s="30" t="str">
        <x:v>F ≈ 6,5 Н</x:v>
      </x:c>
      <x:c r="O4245" s="30" t="str">
        <x:v>Из T=m₂(a+μg) и уравнения системы следует F=T(m₁+m₂)/[m₂(cosα+μsinα)]≈6,5 Н.</x:v>
      </x:c>
      <x:c r="P4245" s="30" t="str">
        <x:v>Решено независимо; формулы, единицы и визуальные данные повторно проверены.</x:v>
      </x:c>
      <x:c r="Q4245" s="30"/>
      <x:c r="R4245" s="30" t="str">
        <x:v>F ≈ 6,5 Н</x:v>
      </x:c>
      <x:c r="S4245" s="30"/>
      <x:c r="T4245" s="30" t="str">
        <x:v>Официальное возможное решение и критерий</x:v>
      </x:c>
      <x:c r="U4245" s="30" t="str">
        <x:v>Расхождений не обнаружено.</x:v>
      </x:c>
      <x:c r="V4245" s="87" t="str">
        <x:v>VERIFIED</x:v>
      </x:c>
      <x:c r="W4245" s="87" t="n">
        <x:v>13</x:v>
      </x:c>
      <x:c r="X4245" s="87"/>
      <x:c r="Y4245" s="87"/>
      <x:c r="Z4245" s="87"/>
      <x:c r="AA4245" s="87"/>
      <x:c r="AB4245" s="87"/>
      <x:c r="AC4245" s="87" t="str">
        <x:v>VIS-PHY-DEC-030</x:v>
      </x:c>
      <x:c r="AD4245" s="87"/>
      <x:c r="AE4245" s="87"/>
      <x:c r="AF4245" s="87" t="str">
        <x:v>VIS-PHY-DEC-030: 13</x:v>
      </x:c>
      <x:c r="AG4245" s="87" t="str">
        <x:v>RESOLVED</x:v>
      </x:c>
      <x:c r="AH4245" s="87" t="str">
        <x:v>CROP_VERIFIED; TASK_CROP_QA_APPROVED:USE_CONTEXT</x:v>
      </x:c>
      <x:c r="AI4245" s="30"/>
      <x:c r="AJ4245" s="87" t="str">
        <x:v>clean</x:v>
      </x:c>
      <x:c r="AK4245" s="87" t="str">
        <x:v>clean-v0.03</x:v>
      </x:c>
      <x:c r="AL4245" s="87" t="str">
        <x:v>statgrad_clean_continuation_v0_03(1).xlsx</x:v>
      </x:c>
      <x:c r="AM4245" s="87" t="str">
        <x:v>PHY_Dec_V3</x:v>
      </x:c>
      <x:c r="AN4245" s="87" t="n">
        <x:v>27</x:v>
      </x:c>
    </x:row>
    <x:row r="4246">
      <x:c r="A4246" s="87" t="n">
        <x:v>4245</x:v>
      </x:c>
      <x:c r="B4246" s="87" t="str">
        <x:v>DEC-PHY-V4-001</x:v>
      </x:c>
      <x:c r="C4246" s="87" t="str">
        <x:v>СтатГрад</x:v>
      </x:c>
      <x:c r="D4246" s="87" t="str">
        <x:v>Декабрь 2025</x:v>
      </x:c>
      <x:c r="E4246" s="87"/>
      <x:c r="F4246" s="87"/>
      <x:c r="G4246" s="87" t="str">
        <x:v>Физика</x:v>
      </x:c>
      <x:c r="H4246" s="87" t="n">
        <x:v>11</x:v>
      </x:c>
      <x:c r="I4246" s="87" t="str">
        <x:v>ТР №2</x:v>
      </x:c>
      <x:c r="J4246" s="87" t="str">
        <x:v>ФИ2510204</x:v>
      </x:c>
      <x:c r="K4246" s="87" t="n">
        <x:v>1</x:v>
      </x:c>
      <x:c r="L4246" s="87" t="str">
        <x:v>Кинематика: график скорости</x:v>
      </x:c>
      <x:c r="M4246" s="30" t="str">
        <x:v>На рисунке приведён график зависимости проекции υ x скорости тела на ось OX от времени t. Определите проекцию ускорения тела на ось OX в течение промежутка времени от 5 с до 7 с. Ответ запишите с учётом знака проекции. Ответ: ___________________________ м/с2.</x:v>
      </x:c>
      <x:c r="N4246" s="30" t="str">
        <x:v>−7,5</x:v>
      </x:c>
      <x:c r="O4246" s="30" t="str">
        <x:v>Ускорение равно угловому коэффициенту графика vₓ(t): Δvₓ/Δt на указанном интервале.</x:v>
      </x:c>
      <x:c r="P4246" s="30" t="str">
        <x:v>Решено независимо; формулы, единицы и визуальные данные повторно проверены.</x:v>
      </x:c>
      <x:c r="Q4246" s="30"/>
      <x:c r="R4246" s="30" t="str">
        <x:v>−7,5</x:v>
      </x:c>
      <x:c r="S4246" s="30"/>
      <x:c r="T4246" s="30" t="str">
        <x:v>Приложенная фотография дополнительного ключа</x:v>
      </x:c>
      <x:c r="U4246" s="30" t="str">
        <x:v>Расхождений не обнаружено.</x:v>
      </x:c>
      <x:c r="V4246" s="87" t="str">
        <x:v>VERIFIED</x:v>
      </x:c>
      <x:c r="W4246" s="87" t="n">
        <x:v>17</x:v>
      </x:c>
      <x:c r="X4246" s="87"/>
      <x:c r="Y4246" s="87"/>
      <x:c r="Z4246" s="87"/>
      <x:c r="AA4246" s="87"/>
      <x:c r="AB4246" s="87"/>
      <x:c r="AC4246" s="87" t="str">
        <x:v>VIS-PHY-DEC-031</x:v>
      </x:c>
      <x:c r="AD4246" s="87"/>
      <x:c r="AE4246" s="87"/>
      <x:c r="AF4246" s="87" t="str">
        <x:v>VIS-PHY-DEC-031: 17</x:v>
      </x:c>
      <x:c r="AG4246" s="87" t="str">
        <x:v>RESOLVED</x:v>
      </x:c>
      <x:c r="AH4246" s="87" t="str">
        <x:v>CROP_VERIFIED; TASK_CROP_QA_APPROVED:USE_CONTEXT</x:v>
      </x:c>
      <x:c r="AI4246" s="30"/>
      <x:c r="AJ4246" s="87" t="str">
        <x:v>clean</x:v>
      </x:c>
      <x:c r="AK4246" s="87" t="str">
        <x:v>clean-v0.03</x:v>
      </x:c>
      <x:c r="AL4246" s="87" t="str">
        <x:v>statgrad_clean_continuation_v0_03(1).xlsx</x:v>
      </x:c>
      <x:c r="AM4246" s="87" t="str">
        <x:v>PHY_Dec_V4</x:v>
      </x:c>
      <x:c r="AN4246" s="87" t="n">
        <x:v>2</x:v>
      </x:c>
    </x:row>
    <x:row r="4247">
      <x:c r="A4247" s="87" t="n">
        <x:v>4246</x:v>
      </x:c>
      <x:c r="B4247" s="87" t="str">
        <x:v>DEC-PHY-V4-002</x:v>
      </x:c>
      <x:c r="C4247" s="87" t="str">
        <x:v>СтатГрад</x:v>
      </x:c>
      <x:c r="D4247" s="87" t="str">
        <x:v>Декабрь 2025</x:v>
      </x:c>
      <x:c r="E4247" s="87"/>
      <x:c r="F4247" s="87"/>
      <x:c r="G4247" s="87" t="str">
        <x:v>Физика</x:v>
      </x:c>
      <x:c r="H4247" s="87" t="n">
        <x:v>11</x:v>
      </x:c>
      <x:c r="I4247" s="87" t="str">
        <x:v>ТР №2</x:v>
      </x:c>
      <x:c r="J4247" s="87" t="str">
        <x:v>ФИ2510204</x:v>
      </x:c>
      <x:c r="K4247" s="87" t="n">
        <x:v>2</x:v>
      </x:c>
      <x:c r="L4247" s="87" t="str">
        <x:v>Динамика: второй закон Ньютона</x:v>
      </x:c>
      <x:c r="M4247" s="30" t="str">
        <x:v>Тележку массой 2,5 кг, находящуюся на гладком горизонтальном столе, тянут вдоль его поверхности, прикладывая неизменную по направлению силу, равную по модулю 12 Н. Чему равен модуль ускорения тележки в инерциальной системе отсчёта, связанной со столом? Ответ: ___________________________ м/с2.</x:v>
      </x:c>
      <x:c r="N4247" s="30" t="str">
        <x:v>4,8</x:v>
      </x:c>
      <x:c r="O4247" s="30" t="str">
        <x:v>На гладком столе горизонтальная равнодействующая равна приложенной силе; используется F = ma.</x:v>
      </x:c>
      <x:c r="P4247" s="30" t="str">
        <x:v>Решено независимо; формулы, единицы и визуальные данные повторно проверены.</x:v>
      </x:c>
      <x:c r="Q4247" s="30"/>
      <x:c r="R4247" s="30" t="str">
        <x:v>4,8</x:v>
      </x:c>
      <x:c r="S4247" s="30"/>
      <x:c r="T4247" s="30" t="str">
        <x:v>Приложенная фотография дополнительного ключа</x:v>
      </x:c>
      <x:c r="U4247" s="30" t="str">
        <x:v>Расхождений не обнаружено.</x:v>
      </x:c>
      <x:c r="V4247" s="87" t="str">
        <x:v>VERIFIED</x:v>
      </x:c>
      <x:c r="W4247" s="87" t="n">
        <x:v>17</x:v>
      </x:c>
      <x:c r="X4247" s="87"/>
      <x:c r="Y4247" s="87"/>
      <x:c r="Z4247" s="87"/>
      <x:c r="AA4247" s="87"/>
      <x:c r="AB4247" s="87"/>
      <x:c r="AC4247" s="87" t="str">
        <x:v>VIS-PHY-DEC-031</x:v>
      </x:c>
      <x:c r="AD4247" s="87"/>
      <x:c r="AE4247" s="87"/>
      <x:c r="AF4247" s="87" t="str">
        <x:v>VIS-PHY-DEC-031: 17</x:v>
      </x:c>
      <x:c r="AG4247" s="87" t="str">
        <x:v>RESOLVED</x:v>
      </x:c>
      <x:c r="AH4247" s="87" t="str">
        <x:v>CROP_VERIFIED</x:v>
      </x:c>
      <x:c r="AI4247" s="30"/>
      <x:c r="AJ4247" s="87" t="str">
        <x:v>clean</x:v>
      </x:c>
      <x:c r="AK4247" s="87" t="str">
        <x:v>clean-v0.03</x:v>
      </x:c>
      <x:c r="AL4247" s="87" t="str">
        <x:v>statgrad_clean_continuation_v0_03(1).xlsx</x:v>
      </x:c>
      <x:c r="AM4247" s="87" t="str">
        <x:v>PHY_Dec_V4</x:v>
      </x:c>
      <x:c r="AN4247" s="87" t="n">
        <x:v>3</x:v>
      </x:c>
    </x:row>
    <x:row r="4248">
      <x:c r="A4248" s="87" t="n">
        <x:v>4247</x:v>
      </x:c>
      <x:c r="B4248" s="87" t="str">
        <x:v>DEC-PHY-V4-003</x:v>
      </x:c>
      <x:c r="C4248" s="87" t="str">
        <x:v>СтатГрад</x:v>
      </x:c>
      <x:c r="D4248" s="87" t="str">
        <x:v>Декабрь 2025</x:v>
      </x:c>
      <x:c r="E4248" s="87"/>
      <x:c r="F4248" s="87"/>
      <x:c r="G4248" s="87" t="str">
        <x:v>Физика</x:v>
      </x:c>
      <x:c r="H4248" s="87" t="n">
        <x:v>11</x:v>
      </x:c>
      <x:c r="I4248" s="87" t="str">
        <x:v>ТР №2</x:v>
      </x:c>
      <x:c r="J4248" s="87" t="str">
        <x:v>ФИ2510204</x:v>
      </x:c>
      <x:c r="K4248" s="87" t="n">
        <x:v>3</x:v>
      </x:c>
      <x:c r="L4248" s="87" t="str">
        <x:v>Импульс: неупругое столкновение</x:v>
      </x:c>
      <x:c r="M4248" s="30" t="str">
        <x:v>Пластилиновый шарик массой 100 г, движущийся со скоростью 3 м/с, сталкивается с таким же шариком, движущимся в том же направлении со скоростью 2 м/с. Чему будет равен модуль скорости этих шариков после их абсолютно неупругого столкновения, если центры шариков двигались вдоль одной прямой? Ответ: ___________________________ м/с.</x:v>
      </x:c>
      <x:c r="N4248" s="30" t="str">
        <x:v>2,5</x:v>
      </x:c>
      <x:c r="O4248" s="30" t="str">
        <x:v>Для абсолютно неупругого столкновения сохраняется импульс; после удара шарики движутся вместе.</x:v>
      </x:c>
      <x:c r="P4248" s="30" t="str">
        <x:v>Решено независимо; формулы, единицы и визуальные данные повторно проверены.</x:v>
      </x:c>
      <x:c r="Q4248" s="30"/>
      <x:c r="R4248" s="30" t="str">
        <x:v>2,5</x:v>
      </x:c>
      <x:c r="S4248" s="30"/>
      <x:c r="T4248" s="30" t="str">
        <x:v>Приложенная фотография дополнительного ключа</x:v>
      </x:c>
      <x:c r="U4248" s="30" t="str">
        <x:v>Расхождений не обнаружено.</x:v>
      </x:c>
      <x:c r="V4248" s="87" t="str">
        <x:v>VERIFIED</x:v>
      </x:c>
      <x:c r="W4248" s="87" t="n">
        <x:v>17</x:v>
      </x:c>
      <x:c r="X4248" s="87"/>
      <x:c r="Y4248" s="87"/>
      <x:c r="Z4248" s="87"/>
      <x:c r="AA4248" s="87"/>
      <x:c r="AB4248" s="87"/>
      <x:c r="AC4248" s="87" t="str">
        <x:v>VIS-PHY-DEC-031</x:v>
      </x:c>
      <x:c r="AD4248" s="87"/>
      <x:c r="AE4248" s="87"/>
      <x:c r="AF4248" s="87" t="str">
        <x:v>VIS-PHY-DEC-031: 17</x:v>
      </x:c>
      <x:c r="AG4248" s="87" t="str">
        <x:v>RESOLVED</x:v>
      </x:c>
      <x:c r="AH4248" s="87" t="str">
        <x:v>CROP_VERIFIED</x:v>
      </x:c>
      <x:c r="AI4248" s="30"/>
      <x:c r="AJ4248" s="87" t="str">
        <x:v>clean</x:v>
      </x:c>
      <x:c r="AK4248" s="87" t="str">
        <x:v>clean-v0.03</x:v>
      </x:c>
      <x:c r="AL4248" s="87" t="str">
        <x:v>statgrad_clean_continuation_v0_03(1).xlsx</x:v>
      </x:c>
      <x:c r="AM4248" s="87" t="str">
        <x:v>PHY_Dec_V4</x:v>
      </x:c>
      <x:c r="AN4248" s="87" t="n">
        <x:v>4</x:v>
      </x:c>
    </x:row>
    <x:row r="4249">
      <x:c r="A4249" s="87" t="n">
        <x:v>4248</x:v>
      </x:c>
      <x:c r="B4249" s="87" t="str">
        <x:v>DEC-PHY-V4-004</x:v>
      </x:c>
      <x:c r="C4249" s="87" t="str">
        <x:v>СтатГрад</x:v>
      </x:c>
      <x:c r="D4249" s="87" t="str">
        <x:v>Декабрь 2025</x:v>
      </x:c>
      <x:c r="E4249" s="87"/>
      <x:c r="F4249" s="87"/>
      <x:c r="G4249" s="87" t="str">
        <x:v>Физика</x:v>
      </x:c>
      <x:c r="H4249" s="87" t="n">
        <x:v>11</x:v>
      </x:c>
      <x:c r="I4249" s="87" t="str">
        <x:v>ТР №2</x:v>
      </x:c>
      <x:c r="J4249" s="87" t="str">
        <x:v>ФИ2510204</x:v>
      </x:c>
      <x:c r="K4249" s="87" t="n">
        <x:v>4</x:v>
      </x:c>
      <x:c r="L4249" s="87" t="str">
        <x:v>Гидростатика</x:v>
      </x:c>
      <x:c r="M4249" s="30" t="str">
        <x:v>Гидростатическое давление, создаваемое водой на горизонтальное дно бассейна без учёта давления атмосферы, равно 25 кПа. Чему равна глубина бассейна? Ответ: ___________________________ м.</x:v>
      </x:c>
      <x:c r="N4249" s="30" t="str">
        <x:v>2,5</x:v>
      </x:c>
      <x:c r="O4249" s="30" t="str">
        <x:v>Гидростатическое давление и глубина связаны формулой p = ρgh.</x:v>
      </x:c>
      <x:c r="P4249" s="30" t="str">
        <x:v>Решено независимо; формулы, единицы и визуальные данные повторно проверены.</x:v>
      </x:c>
      <x:c r="Q4249" s="30"/>
      <x:c r="R4249" s="30" t="str">
        <x:v>2,5</x:v>
      </x:c>
      <x:c r="S4249" s="30"/>
      <x:c r="T4249" s="30" t="str">
        <x:v>Приложенная фотография дополнительного ключа</x:v>
      </x:c>
      <x:c r="U4249" s="30" t="str">
        <x:v>Расхождений не обнаружено.</x:v>
      </x:c>
      <x:c r="V4249" s="87" t="str">
        <x:v>VERIFIED</x:v>
      </x:c>
      <x:c r="W4249" s="87" t="n">
        <x:v>17</x:v>
      </x:c>
      <x:c r="X4249" s="87"/>
      <x:c r="Y4249" s="87"/>
      <x:c r="Z4249" s="87"/>
      <x:c r="AA4249" s="87"/>
      <x:c r="AB4249" s="87"/>
      <x:c r="AC4249" s="87" t="str">
        <x:v>VIS-PHY-DEC-031</x:v>
      </x:c>
      <x:c r="AD4249" s="87"/>
      <x:c r="AE4249" s="87"/>
      <x:c r="AF4249" s="87" t="str">
        <x:v>VIS-PHY-DEC-031: 17</x:v>
      </x:c>
      <x:c r="AG4249" s="87" t="str">
        <x:v>RESOLVED</x:v>
      </x:c>
      <x:c r="AH4249" s="87" t="str">
        <x:v>CROP_VERIFIED</x:v>
      </x:c>
      <x:c r="AI4249" s="30"/>
      <x:c r="AJ4249" s="87" t="str">
        <x:v>clean</x:v>
      </x:c>
      <x:c r="AK4249" s="87" t="str">
        <x:v>clean-v0.03</x:v>
      </x:c>
      <x:c r="AL4249" s="87" t="str">
        <x:v>statgrad_clean_continuation_v0_03(1).xlsx</x:v>
      </x:c>
      <x:c r="AM4249" s="87" t="str">
        <x:v>PHY_Dec_V4</x:v>
      </x:c>
      <x:c r="AN4249" s="87" t="n">
        <x:v>5</x:v>
      </x:c>
    </x:row>
    <x:row r="4250">
      <x:c r="A4250" s="87" t="n">
        <x:v>4249</x:v>
      </x:c>
      <x:c r="B4250" s="87" t="str">
        <x:v>DEC-PHY-V4-005</x:v>
      </x:c>
      <x:c r="C4250" s="87" t="str">
        <x:v>СтатГрад</x:v>
      </x:c>
      <x:c r="D4250" s="87" t="str">
        <x:v>Декабрь 2025</x:v>
      </x:c>
      <x:c r="E4250" s="87"/>
      <x:c r="F4250" s="87"/>
      <x:c r="G4250" s="87" t="str">
        <x:v>Физика</x:v>
      </x:c>
      <x:c r="H4250" s="87" t="n">
        <x:v>11</x:v>
      </x:c>
      <x:c r="I4250" s="87" t="str">
        <x:v>ТР №2</x:v>
      </x:c>
      <x:c r="J4250" s="87" t="str">
        <x:v>ФИ2510204</x:v>
      </x:c>
      <x:c r="K4250" s="87" t="n">
        <x:v>5</x:v>
      </x:c>
      <x:c r="L4250" s="87" t="str">
        <x:v>Механика: анализ таблицы движения</x:v>
      </x:c>
      <x:c r="M4250" s="30" t="str">
        <x:v>Четыре одинаковых тела малых размеров двигались вдоль оси OX. Масса каждого тела равна 80 г. В таблице представлена зависимость координат этих тел от времени t. t, c 0 1 2 3 4 5 x1, м 0 2 4 6 8 10 x2, м 0 1 3 3 3 3 x3, м 0 1 4 9 16 25 x4, м 0 2 0 –2 0 2 Выберите из предложенных утверждений все, которые верно отражают результаты этого опыта. В ответе укажите их номера. 1) Первое тело двигалось равномерно. 2) Векторная сумма сил, действующих на третье тело в интервале времени от 2 с до 5 с, равна нулю. 3) Ускорение третьего тела равно 4 м/с2. 4) Период колебаний четвертого тела равен 4 с. 5) В момент времени 2 с кинетическая энергия первого тела была равна 0,16 Дж. Ответ: ___________________________.</x:v>
      </x:c>
      <x:c r="N4250" s="30" t="str">
        <x:v>145</x:v>
      </x:c>
      <x:c r="O4250" s="30" t="str">
        <x:v>Из x₁=2t следует равномерное движение и K=0,16 Дж; x₂ постоянно после 2 с; x₃=t² соответствует a=2 м/с²; x₄ повторяется с периодом 4 с. Отбор выполнен по формулировкам варианта.</x:v>
      </x:c>
      <x:c r="P4250" s="30" t="str">
        <x:v>Решено независимо; формулы, единицы и визуальные данные повторно проверены.</x:v>
      </x:c>
      <x:c r="Q4250" s="30"/>
      <x:c r="R4250" s="30" t="str">
        <x:v>145</x:v>
      </x:c>
      <x:c r="S4250" s="30"/>
      <x:c r="T4250" s="30" t="str">
        <x:v>Официальная таблица ответов в PDF критериев</x:v>
      </x:c>
      <x:c r="U4250" s="30" t="str">
        <x:v>Расхождений не обнаружено.</x:v>
      </x:c>
      <x:c r="V4250" s="87" t="str">
        <x:v>VERIFIED</x:v>
      </x:c>
      <x:c r="W4250" s="87" t="n">
        <x:v>18</x:v>
      </x:c>
      <x:c r="X4250" s="87"/>
      <x:c r="Y4250" s="87"/>
      <x:c r="Z4250" s="87"/>
      <x:c r="AA4250" s="87"/>
      <x:c r="AB4250" s="87"/>
      <x:c r="AC4250" s="87" t="str">
        <x:v>VIS-PHY-DEC-032</x:v>
      </x:c>
      <x:c r="AD4250" s="87"/>
      <x:c r="AE4250" s="87"/>
      <x:c r="AF4250" s="87" t="str">
        <x:v>VIS-PHY-DEC-032: 18</x:v>
      </x:c>
      <x:c r="AG4250" s="87" t="str">
        <x:v>RESOLVED</x:v>
      </x:c>
      <x:c r="AH4250" s="87" t="str">
        <x:v>CROP_VERIFIED; TASK_CROP_QA_APPROVED:USE_TIGHT</x:v>
      </x:c>
      <x:c r="AI4250" s="30"/>
      <x:c r="AJ4250" s="87" t="str">
        <x:v>clean</x:v>
      </x:c>
      <x:c r="AK4250" s="87" t="str">
        <x:v>clean-v0.03</x:v>
      </x:c>
      <x:c r="AL4250" s="87" t="str">
        <x:v>statgrad_clean_continuation_v0_03(1).xlsx</x:v>
      </x:c>
      <x:c r="AM4250" s="87" t="str">
        <x:v>PHY_Dec_V4</x:v>
      </x:c>
      <x:c r="AN4250" s="87" t="n">
        <x:v>6</x:v>
      </x:c>
    </x:row>
    <x:row r="4251">
      <x:c r="A4251" s="87" t="n">
        <x:v>4250</x:v>
      </x:c>
      <x:c r="B4251" s="87" t="str">
        <x:v>DEC-PHY-V4-006</x:v>
      </x:c>
      <x:c r="C4251" s="87" t="str">
        <x:v>СтатГрад</x:v>
      </x:c>
      <x:c r="D4251" s="87" t="str">
        <x:v>Декабрь 2025</x:v>
      </x:c>
      <x:c r="E4251" s="87"/>
      <x:c r="F4251" s="87"/>
      <x:c r="G4251" s="87" t="str">
        <x:v>Физика</x:v>
      </x:c>
      <x:c r="H4251" s="87" t="n">
        <x:v>11</x:v>
      </x:c>
      <x:c r="I4251" s="87" t="str">
        <x:v>ТР №2</x:v>
      </x:c>
      <x:c r="J4251" s="87" t="str">
        <x:v>ФИ2510204</x:v>
      </x:c>
      <x:c r="K4251" s="87" t="n">
        <x:v>6</x:v>
      </x:c>
      <x:c r="L4251" s="87" t="str">
        <x:v>Баллистика: соответствие графиков</x:v>
      </x:c>
      <x:c r="M4251" s="30" t="str">
        <x:v>Мячик бросают с начальной скоростью под углом α к горизонту с крыши дома высотой h (см. рисунок). Сопротивление воздуха пренебрежимо мало. Графики А) и Б) представляют собой зависимости физических величин, характеризующих движение мячика в процессе полёта, от времени t.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 ФИЗИЧЕСКАЯ ВЕЛИЧИНА А) 1) координата х мячика 2) проекция импульса мячика на ось X 3) кинетическая энергия мячика 4) координата y мячика Б) А Б Ответ:</x:v>
      </x:c>
      <x:c r="N4251" s="30" t="str">
        <x:v>42</x:v>
      </x:c>
      <x:c r="O4251" s="30" t="str">
        <x:v>Горизонтальная координата/импульс изменяются линейно или остаются постоянными; вертикальная координата и кинетическая энергия имеют квадратичную зависимость. Графики сверены визуально.</x:v>
      </x:c>
      <x:c r="P4251" s="30" t="str">
        <x:v>Решено независимо; формулы, единицы и визуальные данные повторно проверены.</x:v>
      </x:c>
      <x:c r="Q4251" s="30"/>
      <x:c r="R4251" s="30" t="str">
        <x:v>42</x:v>
      </x:c>
      <x:c r="S4251" s="30"/>
      <x:c r="T4251" s="30" t="str">
        <x:v>Приложенная фотография дополнительного ключа</x:v>
      </x:c>
      <x:c r="U4251" s="30" t="str">
        <x:v>Расхождений не обнаружено.</x:v>
      </x:c>
      <x:c r="V4251" s="87" t="str">
        <x:v>VERIFIED</x:v>
      </x:c>
      <x:c r="W4251" s="87" t="n">
        <x:v>19</x:v>
      </x:c>
      <x:c r="X4251" s="87"/>
      <x:c r="Y4251" s="87"/>
      <x:c r="Z4251" s="87"/>
      <x:c r="AA4251" s="87"/>
      <x:c r="AB4251" s="87"/>
      <x:c r="AC4251" s="87" t="str">
        <x:v>VIS-PHY-DEC-033</x:v>
      </x:c>
      <x:c r="AD4251" s="87"/>
      <x:c r="AE4251" s="87"/>
      <x:c r="AF4251" s="87" t="str">
        <x:v>VIS-PHY-DEC-033: 19</x:v>
      </x:c>
      <x:c r="AG4251" s="87" t="str">
        <x:v>RESOLVED</x:v>
      </x:c>
      <x:c r="AH4251" s="87" t="str">
        <x:v>CROP_VERIFIED; TASK_CROP_QA_APPROVED:COMPOSITE_CROP</x:v>
      </x:c>
      <x:c r="AI4251" s="30"/>
      <x:c r="AJ4251" s="87" t="str">
        <x:v>clean</x:v>
      </x:c>
      <x:c r="AK4251" s="87" t="str">
        <x:v>clean-v0.03</x:v>
      </x:c>
      <x:c r="AL4251" s="87" t="str">
        <x:v>statgrad_clean_continuation_v0_03(1).xlsx</x:v>
      </x:c>
      <x:c r="AM4251" s="87" t="str">
        <x:v>PHY_Dec_V4</x:v>
      </x:c>
      <x:c r="AN4251" s="87" t="n">
        <x:v>7</x:v>
      </x:c>
    </x:row>
    <x:row r="4252">
      <x:c r="A4252" s="87" t="n">
        <x:v>4251</x:v>
      </x:c>
      <x:c r="B4252" s="87" t="str">
        <x:v>DEC-PHY-V4-007</x:v>
      </x:c>
      <x:c r="C4252" s="87" t="str">
        <x:v>СтатГрад</x:v>
      </x:c>
      <x:c r="D4252" s="87" t="str">
        <x:v>Декабрь 2025</x:v>
      </x:c>
      <x:c r="E4252" s="87"/>
      <x:c r="F4252" s="87"/>
      <x:c r="G4252" s="87" t="str">
        <x:v>Физика</x:v>
      </x:c>
      <x:c r="H4252" s="87" t="n">
        <x:v>11</x:v>
      </x:c>
      <x:c r="I4252" s="87" t="str">
        <x:v>ТР №2</x:v>
      </x:c>
      <x:c r="J4252" s="87" t="str">
        <x:v>ФИ2510204</x:v>
      </x:c>
      <x:c r="K4252" s="87" t="n">
        <x:v>7</x:v>
      </x:c>
      <x:c r="L4252" s="87" t="str">
        <x:v>МКТ идеального газа</x:v>
      </x:c>
      <x:c r="M4252" s="30" t="str">
        <x:v>При нагревании одноатомного идеального газа его абсолютная температура увеличилась в 2 раза. Определите отношение средних кинетических энергий теплового движения молекул газа в конечном и начальном состояниях Е 2 /Е 1 . Ответ: ___________________________.</x:v>
      </x:c>
      <x:c r="N4252" s="30" t="str">
        <x:v>2</x:v>
      </x:c>
      <x:c r="O4252" s="30" t="str">
        <x:v>Средняя кинетическая энергия поступательного движения молекул прямо пропорциональна абсолютной температуре.</x:v>
      </x:c>
      <x:c r="P4252" s="30" t="str">
        <x:v>Решено независимо; формулы, единицы и визуальные данные повторно проверены.</x:v>
      </x:c>
      <x:c r="Q4252" s="30"/>
      <x:c r="R4252" s="30" t="str">
        <x:v>−7,5</x:v>
      </x:c>
      <x:c r="S4252" s="30"/>
      <x:c r="T4252" s="30" t="str">
        <x:v>Приложенная фотография дополнительного ключа</x:v>
      </x:c>
      <x:c r="U4252" s="30" t="str">
        <x:v>Официальный фото-ключ ошибочно повторяет ответ другого задания; принят независимо полученный физически верный ответ.</x:v>
      </x:c>
      <x:c r="V4252" s="87" t="str">
        <x:v>KEY_MISMATCH</x:v>
      </x:c>
      <x:c r="W4252" s="87" t="n">
        <x:v>19</x:v>
      </x:c>
      <x:c r="X4252" s="87"/>
      <x:c r="Y4252" s="87"/>
      <x:c r="Z4252" s="87"/>
      <x:c r="AA4252" s="87"/>
      <x:c r="AB4252" s="87"/>
      <x:c r="AC4252" s="87" t="str">
        <x:v>VIS-PHY-DEC-033</x:v>
      </x:c>
      <x:c r="AD4252" s="87"/>
      <x:c r="AE4252" s="87"/>
      <x:c r="AF4252" s="87" t="str">
        <x:v>VIS-PHY-DEC-033: 19</x:v>
      </x:c>
      <x:c r="AG4252" s="87" t="str">
        <x:v>RESOLVED</x:v>
      </x:c>
      <x:c r="AH4252" s="87" t="str">
        <x:v>CROP_VERIFIED</x:v>
      </x:c>
      <x:c r="AI4252" s="30"/>
      <x:c r="AJ4252" s="87" t="str">
        <x:v>clean</x:v>
      </x:c>
      <x:c r="AK4252" s="87" t="str">
        <x:v>clean-v0.03</x:v>
      </x:c>
      <x:c r="AL4252" s="87" t="str">
        <x:v>statgrad_clean_continuation_v0_03(1).xlsx</x:v>
      </x:c>
      <x:c r="AM4252" s="87" t="str">
        <x:v>PHY_Dec_V4</x:v>
      </x:c>
      <x:c r="AN4252" s="87" t="n">
        <x:v>8</x:v>
      </x:c>
    </x:row>
    <x:row r="4253">
      <x:c r="A4253" s="87" t="n">
        <x:v>4252</x:v>
      </x:c>
      <x:c r="B4253" s="87" t="str">
        <x:v>DEC-PHY-V4-008</x:v>
      </x:c>
      <x:c r="C4253" s="87" t="str">
        <x:v>СтатГрад</x:v>
      </x:c>
      <x:c r="D4253" s="87" t="str">
        <x:v>Декабрь 2025</x:v>
      </x:c>
      <x:c r="E4253" s="87"/>
      <x:c r="F4253" s="87"/>
      <x:c r="G4253" s="87" t="str">
        <x:v>Физика</x:v>
      </x:c>
      <x:c r="H4253" s="87" t="n">
        <x:v>11</x:v>
      </x:c>
      <x:c r="I4253" s="87" t="str">
        <x:v>ТР №2</x:v>
      </x:c>
      <x:c r="J4253" s="87" t="str">
        <x:v>ФИ2510204</x:v>
      </x:c>
      <x:c r="K4253" s="87" t="n">
        <x:v>8</x:v>
      </x:c>
      <x:c r="L4253" s="87" t="str">
        <x:v>Первый закон термодинамики</x:v>
      </x:c>
      <x:c r="M4253" s="30" t="str">
        <x:v>Газ совершил работу 15 кДж и получил количество теплоты 6,2 кДж. На сколько уменьшилась при этом внутренняя энергия газа? Ответ: ___________________________ кДж.</x:v>
      </x:c>
      <x:c r="N4253" s="30" t="str">
        <x:v>8,8</x:v>
      </x:c>
      <x:c r="O4253" s="30" t="str">
        <x:v>По первому закону термодинамики ΔU = Q − A, где A — работа, совершённая газом.</x:v>
      </x:c>
      <x:c r="P4253" s="30" t="str">
        <x:v>Решено независимо; формулы, единицы и визуальные данные повторно проверены.</x:v>
      </x:c>
      <x:c r="Q4253" s="30"/>
      <x:c r="R4253" s="30" t="str">
        <x:v>4,8</x:v>
      </x:c>
      <x:c r="S4253" s="30"/>
      <x:c r="T4253" s="30" t="str">
        <x:v>Приложенная фотография дополнительного ключа</x:v>
      </x:c>
      <x:c r="U4253" s="30" t="str">
        <x:v>Официальный фото-ключ ошибочно повторяет ответ другого задания; принят независимо полученный физически верный ответ.</x:v>
      </x:c>
      <x:c r="V4253" s="87" t="str">
        <x:v>KEY_MISMATCH</x:v>
      </x:c>
      <x:c r="W4253" s="87" t="n">
        <x:v>19</x:v>
      </x:c>
      <x:c r="X4253" s="87"/>
      <x:c r="Y4253" s="87"/>
      <x:c r="Z4253" s="87"/>
      <x:c r="AA4253" s="87"/>
      <x:c r="AB4253" s="87"/>
      <x:c r="AC4253" s="87" t="str">
        <x:v>VIS-PHY-DEC-033</x:v>
      </x:c>
      <x:c r="AD4253" s="87"/>
      <x:c r="AE4253" s="87"/>
      <x:c r="AF4253" s="87" t="str">
        <x:v>VIS-PHY-DEC-033: 19</x:v>
      </x:c>
      <x:c r="AG4253" s="87" t="str">
        <x:v>RESOLVED</x:v>
      </x:c>
      <x:c r="AH4253" s="87" t="str">
        <x:v>CROP_VERIFIED</x:v>
      </x:c>
      <x:c r="AI4253" s="30"/>
      <x:c r="AJ4253" s="87" t="str">
        <x:v>clean</x:v>
      </x:c>
      <x:c r="AK4253" s="87" t="str">
        <x:v>clean-v0.03</x:v>
      </x:c>
      <x:c r="AL4253" s="87" t="str">
        <x:v>statgrad_clean_continuation_v0_03(1).xlsx</x:v>
      </x:c>
      <x:c r="AM4253" s="87" t="str">
        <x:v>PHY_Dec_V4</x:v>
      </x:c>
      <x:c r="AN4253" s="87" t="n">
        <x:v>9</x:v>
      </x:c>
    </x:row>
    <x:row r="4254">
      <x:c r="A4254" s="87" t="n">
        <x:v>4253</x:v>
      </x:c>
      <x:c r="B4254" s="87" t="str">
        <x:v>DEC-PHY-V4-009</x:v>
      </x:c>
      <x:c r="C4254" s="87" t="str">
        <x:v>СтатГрад</x:v>
      </x:c>
      <x:c r="D4254" s="87" t="str">
        <x:v>Декабрь 2025</x:v>
      </x:c>
      <x:c r="E4254" s="87"/>
      <x:c r="F4254" s="87"/>
      <x:c r="G4254" s="87" t="str">
        <x:v>Физика</x:v>
      </x:c>
      <x:c r="H4254" s="87" t="n">
        <x:v>11</x:v>
      </x:c>
      <x:c r="I4254" s="87" t="str">
        <x:v>ТР №2</x:v>
      </x:c>
      <x:c r="J4254" s="87" t="str">
        <x:v>ФИ2510204</x:v>
      </x:c>
      <x:c r="K4254" s="87" t="n">
        <x:v>9</x:v>
      </x:c>
      <x:c r="L4254" s="87" t="str">
        <x:v>Фазовые переходы: график</x:v>
      </x:c>
      <x:c r="M4254" s="30" t="str">
        <x:v>В начальный момент в сосуде под лёгким поршнем находится вещество в жидком состоянии. На рисунке показан график зависимости температуры t вещества от времени τ его нагревания и последующего охлаждения. Выберите из предложенных все утверждения, которые верно отражают результаты этого опыта. В ответе укажите их номера. 1) Температра кипения вещества равна 40 °С. 2) В момент времени, соответствующий букве С графика, в сосуде находилось вещество только в жидком состоянии. 3) Участок графика EF соответствует процессу, происходящему с увеличением внутренней энергии вещества. 4) В момент времени, соответствующий букве G графика, всё вещество находится в жидком состоянии. Ответ: ___________________________.</x:v>
      </x:c>
      <x:c r="N4254" s="30" t="str">
        <x:v>14</x:v>
      </x:c>
      <x:c r="O4254" s="30" t="str">
        <x:v>Горизонтальные участки соответствуют фазовым переходам; направление процесса определяет знак изменения внутренней энергии.</x:v>
      </x:c>
      <x:c r="P4254" s="30" t="str">
        <x:v>Решено независимо; формулы, единицы и визуальные данные повторно проверены.</x:v>
      </x:c>
      <x:c r="Q4254" s="30"/>
      <x:c r="R4254" s="30" t="str">
        <x:v>14</x:v>
      </x:c>
      <x:c r="S4254" s="30"/>
      <x:c r="T4254" s="30" t="str">
        <x:v>Официальная таблица ответов в PDF критериев</x:v>
      </x:c>
      <x:c r="U4254" s="30" t="str">
        <x:v>Расхождений не обнаружено.</x:v>
      </x:c>
      <x:c r="V4254" s="87" t="str">
        <x:v>VERIFIED</x:v>
      </x:c>
      <x:c r="W4254" s="87" t="n">
        <x:v>20</x:v>
      </x:c>
      <x:c r="X4254" s="87"/>
      <x:c r="Y4254" s="87"/>
      <x:c r="Z4254" s="87"/>
      <x:c r="AA4254" s="87"/>
      <x:c r="AB4254" s="87"/>
      <x:c r="AC4254" s="87" t="str">
        <x:v>VIS-PHY-DEC-034</x:v>
      </x:c>
      <x:c r="AD4254" s="87"/>
      <x:c r="AE4254" s="87"/>
      <x:c r="AF4254" s="87" t="str">
        <x:v>VIS-PHY-DEC-034: 20</x:v>
      </x:c>
      <x:c r="AG4254" s="87" t="str">
        <x:v>RESOLVED</x:v>
      </x:c>
      <x:c r="AH4254" s="87" t="str">
        <x:v>CROP_VERIFIED; TASK_CROP_QA_APPROVED:USE_CONTEXT</x:v>
      </x:c>
      <x:c r="AI4254" s="30"/>
      <x:c r="AJ4254" s="87" t="str">
        <x:v>clean</x:v>
      </x:c>
      <x:c r="AK4254" s="87" t="str">
        <x:v>clean-v0.03</x:v>
      </x:c>
      <x:c r="AL4254" s="87" t="str">
        <x:v>statgrad_clean_continuation_v0_03(1).xlsx</x:v>
      </x:c>
      <x:c r="AM4254" s="87" t="str">
        <x:v>PHY_Dec_V4</x:v>
      </x:c>
      <x:c r="AN4254" s="87" t="n">
        <x:v>10</x:v>
      </x:c>
    </x:row>
    <x:row r="4255">
      <x:c r="A4255" s="87" t="n">
        <x:v>4254</x:v>
      </x:c>
      <x:c r="B4255" s="87" t="str">
        <x:v>DEC-PHY-V4-010</x:v>
      </x:c>
      <x:c r="C4255" s="87" t="str">
        <x:v>СтатГрад</x:v>
      </x:c>
      <x:c r="D4255" s="87" t="str">
        <x:v>Декабрь 2025</x:v>
      </x:c>
      <x:c r="E4255" s="87"/>
      <x:c r="F4255" s="87"/>
      <x:c r="G4255" s="87" t="str">
        <x:v>Физика</x:v>
      </x:c>
      <x:c r="H4255" s="87" t="n">
        <x:v>11</x:v>
      </x:c>
      <x:c r="I4255" s="87" t="str">
        <x:v>ТР №2</x:v>
      </x:c>
      <x:c r="J4255" s="87" t="str">
        <x:v>ФИ2510204</x:v>
      </x:c>
      <x:c r="K4255" s="87" t="n">
        <x:v>10</x:v>
      </x:c>
      <x:c r="L4255" s="87" t="str">
        <x:v>Идеальный газ: качественное изменение</x:v>
      </x:c>
      <x:c r="M4255" s="30" t="str">
        <x:v>В процессе расширения 1 моля разреженного гелия его внутренняя энергия всё время остаётся неизменной. Как изменяются при этом температура гелия и его давление? Для каждой величины определите соответствующий характер изменения: 1) увеличивается; 2) уменьшается; 3) не изменяется. Запишите в таблицу выбранные цифры для каждой физической величины. Цифры в ответе могут повторяться. Температура гелия Давление гелия</x:v>
      </x:c>
      <x:c r="N4255" s="30" t="str">
        <x:v>32</x:v>
      </x:c>
      <x:c r="O4255" s="30" t="str">
        <x:v>Для одноатомного идеального газа U зависит только от T; далее используется pV = νRT и изменение объёма.</x:v>
      </x:c>
      <x:c r="P4255" s="30" t="str">
        <x:v>Решено независимо; формулы, единицы и визуальные данные повторно проверены.</x:v>
      </x:c>
      <x:c r="Q4255" s="30"/>
      <x:c r="R4255" s="30" t="str">
        <x:v>32</x:v>
      </x:c>
      <x:c r="S4255" s="30"/>
      <x:c r="T4255" s="30" t="str">
        <x:v>Приложенная фотография дополнительного ключа</x:v>
      </x:c>
      <x:c r="U4255" s="30" t="str">
        <x:v>Расхождений не обнаружено.</x:v>
      </x:c>
      <x:c r="V4255" s="87" t="str">
        <x:v>VERIFIED</x:v>
      </x:c>
      <x:c r="W4255" s="87" t="n">
        <x:v>20</x:v>
      </x:c>
      <x:c r="X4255" s="87"/>
      <x:c r="Y4255" s="87"/>
      <x:c r="Z4255" s="87"/>
      <x:c r="AA4255" s="87"/>
      <x:c r="AB4255" s="87"/>
      <x:c r="AC4255" s="87" t="str">
        <x:v>VIS-PHY-DEC-034</x:v>
      </x:c>
      <x:c r="AD4255" s="87"/>
      <x:c r="AE4255" s="87"/>
      <x:c r="AF4255" s="87" t="str">
        <x:v>VIS-PHY-DEC-034: 20</x:v>
      </x:c>
      <x:c r="AG4255" s="87" t="str">
        <x:v>RESOLVED</x:v>
      </x:c>
      <x:c r="AH4255" s="87" t="str">
        <x:v>CROP_VERIFIED</x:v>
      </x:c>
      <x:c r="AI4255" s="30"/>
      <x:c r="AJ4255" s="87" t="str">
        <x:v>clean</x:v>
      </x:c>
      <x:c r="AK4255" s="87" t="str">
        <x:v>clean-v0.03</x:v>
      </x:c>
      <x:c r="AL4255" s="87" t="str">
        <x:v>statgrad_clean_continuation_v0_03(1).xlsx</x:v>
      </x:c>
      <x:c r="AM4255" s="87" t="str">
        <x:v>PHY_Dec_V4</x:v>
      </x:c>
      <x:c r="AN4255" s="87" t="n">
        <x:v>11</x:v>
      </x:c>
    </x:row>
    <x:row r="4256">
      <x:c r="A4256" s="87" t="n">
        <x:v>4255</x:v>
      </x:c>
      <x:c r="B4256" s="87" t="str">
        <x:v>DEC-PHY-V4-011</x:v>
      </x:c>
      <x:c r="C4256" s="87" t="str">
        <x:v>СтатГрад</x:v>
      </x:c>
      <x:c r="D4256" s="87" t="str">
        <x:v>Декабрь 2025</x:v>
      </x:c>
      <x:c r="E4256" s="87"/>
      <x:c r="F4256" s="87"/>
      <x:c r="G4256" s="87" t="str">
        <x:v>Физика</x:v>
      </x:c>
      <x:c r="H4256" s="87" t="n">
        <x:v>11</x:v>
      </x:c>
      <x:c r="I4256" s="87" t="str">
        <x:v>ТР №2</x:v>
      </x:c>
      <x:c r="J4256" s="87" t="str">
        <x:v>ФИ2510204</x:v>
      </x:c>
      <x:c r="K4256" s="87" t="n">
        <x:v>11</x:v>
      </x:c>
      <x:c r="L4256" s="87" t="str">
        <x:v>Полная цепь: закон Ома</x:v>
      </x:c>
      <x:c r="M4256" s="30" t="str">
        <x:v>К батарее с внутренним сопротивлением 0,4 Ом подключили резистор с сопротивлением 44,6 Ом. Чему равна ЭДС батареи, если сила тока в полученной электрической цепи составляет 0,2 А? Ответ: ___________________________ В.</x:v>
      </x:c>
      <x:c r="N4256" s="30" t="str">
        <x:v>9</x:v>
      </x:c>
      <x:c r="O4256" s="30" t="str">
        <x:v>Для полной цепи E = I(R+r); искомая величина получена прямой подстановкой.</x:v>
      </x:c>
      <x:c r="P4256" s="30" t="str">
        <x:v>Решено независимо; формулы, единицы и визуальные данные повторно проверены.</x:v>
      </x:c>
      <x:c r="Q4256" s="30"/>
      <x:c r="R4256" s="30" t="str">
        <x:v>9</x:v>
      </x:c>
      <x:c r="S4256" s="30"/>
      <x:c r="T4256" s="30" t="str">
        <x:v>Приложенная фотография дополнительного ключа</x:v>
      </x:c>
      <x:c r="U4256" s="30" t="str">
        <x:v>Расхождений не обнаружено.</x:v>
      </x:c>
      <x:c r="V4256" s="87" t="str">
        <x:v>VERIFIED</x:v>
      </x:c>
      <x:c r="W4256" s="87" t="n">
        <x:v>20</x:v>
      </x:c>
      <x:c r="X4256" s="87"/>
      <x:c r="Y4256" s="87"/>
      <x:c r="Z4256" s="87"/>
      <x:c r="AA4256" s="87"/>
      <x:c r="AB4256" s="87"/>
      <x:c r="AC4256" s="87" t="str">
        <x:v>VIS-PHY-DEC-034</x:v>
      </x:c>
      <x:c r="AD4256" s="87"/>
      <x:c r="AE4256" s="87"/>
      <x:c r="AF4256" s="87" t="str">
        <x:v>VIS-PHY-DEC-034: 20</x:v>
      </x:c>
      <x:c r="AG4256" s="87" t="str">
        <x:v>RESOLVED</x:v>
      </x:c>
      <x:c r="AH4256" s="87" t="str">
        <x:v>CROP_VERIFIED</x:v>
      </x:c>
      <x:c r="AI4256" s="30"/>
      <x:c r="AJ4256" s="87" t="str">
        <x:v>clean</x:v>
      </x:c>
      <x:c r="AK4256" s="87" t="str">
        <x:v>clean-v0.03</x:v>
      </x:c>
      <x:c r="AL4256" s="87" t="str">
        <x:v>statgrad_clean_continuation_v0_03(1).xlsx</x:v>
      </x:c>
      <x:c r="AM4256" s="87" t="str">
        <x:v>PHY_Dec_V4</x:v>
      </x:c>
      <x:c r="AN4256" s="87" t="n">
        <x:v>12</x:v>
      </x:c>
    </x:row>
    <x:row r="4257">
      <x:c r="A4257" s="87" t="n">
        <x:v>4256</x:v>
      </x:c>
      <x:c r="B4257" s="87" t="str">
        <x:v>DEC-PHY-V4-012</x:v>
      </x:c>
      <x:c r="C4257" s="87" t="str">
        <x:v>СтатГрад</x:v>
      </x:c>
      <x:c r="D4257" s="87" t="str">
        <x:v>Декабрь 2025</x:v>
      </x:c>
      <x:c r="E4257" s="87"/>
      <x:c r="F4257" s="87"/>
      <x:c r="G4257" s="87" t="str">
        <x:v>Физика</x:v>
      </x:c>
      <x:c r="H4257" s="87" t="n">
        <x:v>11</x:v>
      </x:c>
      <x:c r="I4257" s="87" t="str">
        <x:v>ТР №2</x:v>
      </x:c>
      <x:c r="J4257" s="87" t="str">
        <x:v>ФИ2510204</x:v>
      </x:c>
      <x:c r="K4257" s="87" t="n">
        <x:v>12</x:v>
      </x:c>
      <x:c r="L4257" s="87" t="str">
        <x:v>Электромагнитная индукция</x:v>
      </x:c>
      <x:c r="M4257" s="30" t="str">
        <x:v>В опыте по наблюдению электромагнитной индукции прямоугольная рамка из одного витка тонкого провода находится в однородном магнитном поле, перпендикулярном плоскости рамки. Индукция магнитного поля равномерно возрастает от нулевого значения до максимального значения В макс за время Т. При этом в рамке возбуждается ЭДС индукции, равная 10 мВ. Определите ЭДС индукции, возникающую в этой рамке, если при проведении аналогичного опыта Т увеличить в 2 раза, а В макс в 4 раза уменьшить. Ответ: ___________________________ мВ.</x:v>
      </x:c>
      <x:c r="N4257" s="30" t="str">
        <x:v>1,25</x:v>
      </x:c>
      <x:c r="O4257" s="30" t="str">
        <x:v>Модуль ЭДС индукции пропорционален |ΔB|/Δt; площадь и число витков не меняются.</x:v>
      </x:c>
      <x:c r="P4257" s="30" t="str">
        <x:v>Решено независимо; формулы, единицы и визуальные данные повторно проверены.</x:v>
      </x:c>
      <x:c r="Q4257" s="30"/>
      <x:c r="R4257" s="30" t="str">
        <x:v>1,25</x:v>
      </x:c>
      <x:c r="S4257" s="30"/>
      <x:c r="T4257" s="30" t="str">
        <x:v>Приложенная фотография дополнительного ключа</x:v>
      </x:c>
      <x:c r="U4257" s="30" t="str">
        <x:v>Расхождений не обнаружено.</x:v>
      </x:c>
      <x:c r="V4257" s="87" t="str">
        <x:v>VERIFIED</x:v>
      </x:c>
      <x:c r="W4257" s="87" t="n">
        <x:v>21</x:v>
      </x:c>
      <x:c r="X4257" s="87"/>
      <x:c r="Y4257" s="87"/>
      <x:c r="Z4257" s="87"/>
      <x:c r="AA4257" s="87"/>
      <x:c r="AB4257" s="87"/>
      <x:c r="AC4257" s="87" t="str">
        <x:v>VIS-PHY-DEC-035</x:v>
      </x:c>
      <x:c r="AD4257" s="87"/>
      <x:c r="AE4257" s="87"/>
      <x:c r="AF4257" s="87" t="str">
        <x:v>VIS-PHY-DEC-035: 21</x:v>
      </x:c>
      <x:c r="AG4257" s="87" t="str">
        <x:v>RESOLVED</x:v>
      </x:c>
      <x:c r="AH4257" s="87" t="str">
        <x:v>CROP_VERIFIED</x:v>
      </x:c>
      <x:c r="AI4257" s="30"/>
      <x:c r="AJ4257" s="87" t="str">
        <x:v>clean</x:v>
      </x:c>
      <x:c r="AK4257" s="87" t="str">
        <x:v>clean-v0.03</x:v>
      </x:c>
      <x:c r="AL4257" s="87" t="str">
        <x:v>statgrad_clean_continuation_v0_03(1).xlsx</x:v>
      </x:c>
      <x:c r="AM4257" s="87" t="str">
        <x:v>PHY_Dec_V4</x:v>
      </x:c>
      <x:c r="AN4257" s="87" t="n">
        <x:v>13</x:v>
      </x:c>
    </x:row>
    <x:row r="4258">
      <x:c r="A4258" s="87" t="n">
        <x:v>4257</x:v>
      </x:c>
      <x:c r="B4258" s="87" t="str">
        <x:v>DEC-PHY-V4-013</x:v>
      </x:c>
      <x:c r="C4258" s="87" t="str">
        <x:v>СтатГрад</x:v>
      </x:c>
      <x:c r="D4258" s="87" t="str">
        <x:v>Декабрь 2025</x:v>
      </x:c>
      <x:c r="E4258" s="87"/>
      <x:c r="F4258" s="87"/>
      <x:c r="G4258" s="87" t="str">
        <x:v>Физика</x:v>
      </x:c>
      <x:c r="H4258" s="87" t="n">
        <x:v>11</x:v>
      </x:c>
      <x:c r="I4258" s="87" t="str">
        <x:v>ТР №2</x:v>
      </x:c>
      <x:c r="J4258" s="87" t="str">
        <x:v>ФИ2510204</x:v>
      </x:c>
      <x:c r="K4258" s="87" t="n">
        <x:v>13</x:v>
      </x:c>
      <x:c r="L4258" s="87" t="str">
        <x:v>Геометрическая оптика</x:v>
      </x:c>
      <x:c r="M4258" s="30" t="str">
        <x:v>Тень на экране от предмета, освещённого точечным источником света, имеет размеры в 2,5 раза большие, чем сам предмет. Расстояние от предмета до экрана равно 3 м. Определите расстояние от источника света до предмета. Ответ: ___________________________ м.</x:v>
      </x:c>
      <x:c r="N4258" s="30" t="str">
        <x:v>2</x:v>
      </x:c>
      <x:c r="O4258" s="30" t="str">
        <x:v>Из подобия треугольников увеличение тени равно отношению расстояний от источника.</x:v>
      </x:c>
      <x:c r="P4258" s="30" t="str">
        <x:v>Решено независимо; формулы, единицы и визуальные данные повторно проверены.</x:v>
      </x:c>
      <x:c r="Q4258" s="30"/>
      <x:c r="R4258" s="30" t="str">
        <x:v>2</x:v>
      </x:c>
      <x:c r="S4258" s="30"/>
      <x:c r="T4258" s="30" t="str">
        <x:v>Приложенная фотография дополнительного ключа</x:v>
      </x:c>
      <x:c r="U4258" s="30" t="str">
        <x:v>Расхождений не обнаружено.</x:v>
      </x:c>
      <x:c r="V4258" s="87" t="str">
        <x:v>VERIFIED</x:v>
      </x:c>
      <x:c r="W4258" s="87" t="n">
        <x:v>21</x:v>
      </x:c>
      <x:c r="X4258" s="87"/>
      <x:c r="Y4258" s="87"/>
      <x:c r="Z4258" s="87"/>
      <x:c r="AA4258" s="87"/>
      <x:c r="AB4258" s="87"/>
      <x:c r="AC4258" s="87" t="str">
        <x:v>VIS-PHY-DEC-035</x:v>
      </x:c>
      <x:c r="AD4258" s="87"/>
      <x:c r="AE4258" s="87"/>
      <x:c r="AF4258" s="87" t="str">
        <x:v>VIS-PHY-DEC-035: 21</x:v>
      </x:c>
      <x:c r="AG4258" s="87" t="str">
        <x:v>RESOLVED</x:v>
      </x:c>
      <x:c r="AH4258" s="87" t="str">
        <x:v>CROP_VERIFIED</x:v>
      </x:c>
      <x:c r="AI4258" s="30"/>
      <x:c r="AJ4258" s="87" t="str">
        <x:v>clean</x:v>
      </x:c>
      <x:c r="AK4258" s="87" t="str">
        <x:v>clean-v0.03</x:v>
      </x:c>
      <x:c r="AL4258" s="87" t="str">
        <x:v>statgrad_clean_continuation_v0_03(1).xlsx</x:v>
      </x:c>
      <x:c r="AM4258" s="87" t="str">
        <x:v>PHY_Dec_V4</x:v>
      </x:c>
      <x:c r="AN4258" s="87" t="n">
        <x:v>14</x:v>
      </x:c>
    </x:row>
    <x:row r="4259">
      <x:c r="A4259" s="87" t="n">
        <x:v>4258</x:v>
      </x:c>
      <x:c r="B4259" s="87" t="str">
        <x:v>DEC-PHY-V4-014</x:v>
      </x:c>
      <x:c r="C4259" s="87" t="str">
        <x:v>СтатГрад</x:v>
      </x:c>
      <x:c r="D4259" s="87" t="str">
        <x:v>Декабрь 2025</x:v>
      </x:c>
      <x:c r="E4259" s="87"/>
      <x:c r="F4259" s="87"/>
      <x:c r="G4259" s="87" t="str">
        <x:v>Физика</x:v>
      </x:c>
      <x:c r="H4259" s="87" t="n">
        <x:v>11</x:v>
      </x:c>
      <x:c r="I4259" s="87" t="str">
        <x:v>ТР №2</x:v>
      </x:c>
      <x:c r="J4259" s="87" t="str">
        <x:v>ФИ2510204</x:v>
      </x:c>
      <x:c r="K4259" s="87" t="n">
        <x:v>14</x:v>
      </x:c>
      <x:c r="L4259" s="87" t="str">
        <x:v>Самоиндукция: анализ эксперимента</x:v>
      </x:c>
      <x:c r="M4259" s="30" t="str">
        <x:v>Катушка индуктивности подключена к источнику тока с пренебрежимо малым внутренним сопротивлением через резистор с сопротивлением R = 80 Ом (см. рисунок). В момент t = 0 с ключ К замыкают. Значения силы тока I в цепи, измеренные в последовательные моменты времени, представлены в таблице. t, c 0 0,5 1,0 1,5 2,0 3,0 4,0 5,0 6,0 I, A 0 0,12 0,19 0,23 0,26 0,29 0,29 0,30 0,30 Выберите все верные утверждения о процессах, наблюдаемых в опыте. В ответе укажите их номера. 1) Сила тока, текущего в катушке, в процессе наблюдения не изменяется. 2) Через 5 с после замыкания ключа ток в катушке полностью прекратился. 3) ЭДС источника тока составляет 24 В. 4) В момент времени t = 3,0 с модуль ЭДС самоиндукции катушки равен 0,8 В. 5) В момент времени t = 1,0 с напряжение на резисторе равно 7,6 В. Ответ: ___________________________.</x:v>
      </x:c>
      <x:c r="N4259" s="30" t="str">
        <x:v>34</x:v>
      </x:c>
      <x:c r="O4259" s="30" t="str">
        <x:v>Установившийся ток задаёт ЭДС E=IR; мгновенная ЭДС самоиндукции равна E−IR. Все утверждения проверены по таблице.</x:v>
      </x:c>
      <x:c r="P4259" s="30" t="str">
        <x:v>Решено независимо; формулы, единицы и визуальные данные повторно проверены.</x:v>
      </x:c>
      <x:c r="Q4259" s="30"/>
      <x:c r="R4259" s="30" t="str">
        <x:v>34</x:v>
      </x:c>
      <x:c r="S4259" s="30"/>
      <x:c r="T4259" s="30" t="str">
        <x:v>Официальная таблица ответов в PDF критериев</x:v>
      </x:c>
      <x:c r="U4259" s="30" t="str">
        <x:v>Расхождений не обнаружено.</x:v>
      </x:c>
      <x:c r="V4259" s="87" t="str">
        <x:v>VERIFIED</x:v>
      </x:c>
      <x:c r="W4259" s="87" t="n">
        <x:v>21</x:v>
      </x:c>
      <x:c r="X4259" s="87"/>
      <x:c r="Y4259" s="87"/>
      <x:c r="Z4259" s="87"/>
      <x:c r="AA4259" s="87"/>
      <x:c r="AB4259" s="87"/>
      <x:c r="AC4259" s="87" t="str">
        <x:v>VIS-PHY-DEC-035</x:v>
      </x:c>
      <x:c r="AD4259" s="87"/>
      <x:c r="AE4259" s="87"/>
      <x:c r="AF4259" s="87" t="str">
        <x:v>VIS-PHY-DEC-035: 21</x:v>
      </x:c>
      <x:c r="AG4259" s="87" t="str">
        <x:v>RESOLVED</x:v>
      </x:c>
      <x:c r="AH4259" s="87" t="str">
        <x:v>CROP_VERIFIED; TASK_CROP_QA_APPROVED:USE_CONTEXT</x:v>
      </x:c>
      <x:c r="AI4259" s="30"/>
      <x:c r="AJ4259" s="87" t="str">
        <x:v>clean</x:v>
      </x:c>
      <x:c r="AK4259" s="87" t="str">
        <x:v>clean-v0.03</x:v>
      </x:c>
      <x:c r="AL4259" s="87" t="str">
        <x:v>statgrad_clean_continuation_v0_03(1).xlsx</x:v>
      </x:c>
      <x:c r="AM4259" s="87" t="str">
        <x:v>PHY_Dec_V4</x:v>
      </x:c>
      <x:c r="AN4259" s="87" t="n">
        <x:v>15</x:v>
      </x:c>
    </x:row>
    <x:row r="4260">
      <x:c r="A4260" s="87" t="n">
        <x:v>4259</x:v>
      </x:c>
      <x:c r="B4260" s="87" t="str">
        <x:v>DEC-PHY-V4-015</x:v>
      </x:c>
      <x:c r="C4260" s="87" t="str">
        <x:v>СтатГрад</x:v>
      </x:c>
      <x:c r="D4260" s="87" t="str">
        <x:v>Декабрь 2025</x:v>
      </x:c>
      <x:c r="E4260" s="87"/>
      <x:c r="F4260" s="87"/>
      <x:c r="G4260" s="87" t="str">
        <x:v>Физика</x:v>
      </x:c>
      <x:c r="H4260" s="87" t="n">
        <x:v>11</x:v>
      </x:c>
      <x:c r="I4260" s="87" t="str">
        <x:v>ТР №2</x:v>
      </x:c>
      <x:c r="J4260" s="87" t="str">
        <x:v>ФИ2510204</x:v>
      </x:c>
      <x:c r="K4260" s="87" t="n">
        <x:v>15</x:v>
      </x:c>
      <x:c r="L4260" s="87" t="str">
        <x:v>Электрическая цепь: соответствие формул</x:v>
      </x:c>
      <x:c r="M4260" s="30" t="str">
        <x:v>В электрической цепи, схема которой изображена на рисунке, ЭДС источника тока равна E, его внутреннее сопротивление r, а сопротивления резисторов R 1 = 3R и R 2 = 2R. Установите соответствие между физическими величинами и формулами, по которым их можно рассчитать. Вольтметр считать идеальным. К каждой позиции первого столбца подберите соответствующую позицию второго и запишите в таблицу выбранные цифры под соответствующими буквами. ФИЗИЧЕСКАЯ ВЕЛИЧИНА ФОРМУЛА А) сила тока, текущего через источник 1) E Б) показания вольтметра 5R + r 2) E 5R 3) E 4) 5 ER 5R + r А Б Ответ:</x:v>
      </x:c>
      <x:c r="N4260" s="30" t="str">
        <x:v>14</x:v>
      </x:c>
      <x:c r="O4260" s="30" t="str">
        <x:v>Резисторы соединены последовательно; полное внешнее сопротивление равно сумме, показание вольтметра найдено по закону Ома.</x:v>
      </x:c>
      <x:c r="P4260" s="30" t="str">
        <x:v>Решено независимо; формулы, единицы и визуальные данные повторно проверены.</x:v>
      </x:c>
      <x:c r="Q4260" s="30"/>
      <x:c r="R4260" s="30" t="str">
        <x:v>14</x:v>
      </x:c>
      <x:c r="S4260" s="30"/>
      <x:c r="T4260" s="30" t="str">
        <x:v>Приложенная фотография дополнительного ключа</x:v>
      </x:c>
      <x:c r="U4260" s="30" t="str">
        <x:v>Расхождений не обнаружено.</x:v>
      </x:c>
      <x:c r="V4260" s="87" t="str">
        <x:v>VERIFIED</x:v>
      </x:c>
      <x:c r="W4260" s="87" t="n">
        <x:v>22</x:v>
      </x:c>
      <x:c r="X4260" s="87"/>
      <x:c r="Y4260" s="87"/>
      <x:c r="Z4260" s="87"/>
      <x:c r="AA4260" s="87"/>
      <x:c r="AB4260" s="87"/>
      <x:c r="AC4260" s="87" t="str">
        <x:v>VIS-PHY-DEC-036</x:v>
      </x:c>
      <x:c r="AD4260" s="87"/>
      <x:c r="AE4260" s="87"/>
      <x:c r="AF4260" s="87" t="str">
        <x:v>VIS-PHY-DEC-036: 22</x:v>
      </x:c>
      <x:c r="AG4260" s="87" t="str">
        <x:v>RESOLVED</x:v>
      </x:c>
      <x:c r="AH4260" s="87" t="str">
        <x:v>CROP_VERIFIED; TASK_CROP_QA_APPROVED:USE_CONTEXT</x:v>
      </x:c>
      <x:c r="AI4260" s="30"/>
      <x:c r="AJ4260" s="87" t="str">
        <x:v>clean</x:v>
      </x:c>
      <x:c r="AK4260" s="87" t="str">
        <x:v>clean-v0.03</x:v>
      </x:c>
      <x:c r="AL4260" s="87" t="str">
        <x:v>statgrad_clean_continuation_v0_03(1).xlsx</x:v>
      </x:c>
      <x:c r="AM4260" s="87" t="str">
        <x:v>PHY_Dec_V4</x:v>
      </x:c>
      <x:c r="AN4260" s="87" t="n">
        <x:v>16</x:v>
      </x:c>
    </x:row>
    <x:row r="4261">
      <x:c r="A4261" s="87" t="n">
        <x:v>4260</x:v>
      </x:c>
      <x:c r="B4261" s="87" t="str">
        <x:v>DEC-PHY-V4-016</x:v>
      </x:c>
      <x:c r="C4261" s="87" t="str">
        <x:v>СтатГрад</x:v>
      </x:c>
      <x:c r="D4261" s="87" t="str">
        <x:v>Декабрь 2025</x:v>
      </x:c>
      <x:c r="E4261" s="87"/>
      <x:c r="F4261" s="87"/>
      <x:c r="G4261" s="87" t="str">
        <x:v>Физика</x:v>
      </x:c>
      <x:c r="H4261" s="87" t="n">
        <x:v>11</x:v>
      </x:c>
      <x:c r="I4261" s="87" t="str">
        <x:v>ТР №2</x:v>
      </x:c>
      <x:c r="J4261" s="87" t="str">
        <x:v>ФИ2510204</x:v>
      </x:c>
      <x:c r="K4261" s="87" t="n">
        <x:v>16</x:v>
      </x:c>
      <x:c r="L4261" s="87" t="str">
        <x:v>Состав атомного ядра</x:v>
      </x:c>
      <x:c r="M4261" s="30" t="str">
        <x:v>Какое количество нейтронов содержится в ядре таллия 20881Tl ? Ответ: ___________________________.</x:v>
      </x:c>
      <x:c r="N4261" s="30" t="str">
        <x:v>127</x:v>
      </x:c>
      <x:c r="O4261" s="30" t="str">
        <x:v>Число нейтронов N = A − Z.</x:v>
      </x:c>
      <x:c r="P4261" s="30" t="str">
        <x:v>Решено независимо; формулы, единицы и визуальные данные повторно проверены.</x:v>
      </x:c>
      <x:c r="Q4261" s="30"/>
      <x:c r="R4261" s="30" t="str">
        <x:v>127</x:v>
      </x:c>
      <x:c r="S4261" s="30"/>
      <x:c r="T4261" s="30" t="str">
        <x:v>Приложенная фотография дополнительного ключа</x:v>
      </x:c>
      <x:c r="U4261" s="30" t="str">
        <x:v>Расхождений не обнаружено.</x:v>
      </x:c>
      <x:c r="V4261" s="87" t="str">
        <x:v>VERIFIED</x:v>
      </x:c>
      <x:c r="W4261" s="87" t="n">
        <x:v>22</x:v>
      </x:c>
      <x:c r="X4261" s="87"/>
      <x:c r="Y4261" s="87"/>
      <x:c r="Z4261" s="87"/>
      <x:c r="AA4261" s="87"/>
      <x:c r="AB4261" s="87"/>
      <x:c r="AC4261" s="87" t="str">
        <x:v>VIS-PHY-DEC-036</x:v>
      </x:c>
      <x:c r="AD4261" s="87"/>
      <x:c r="AE4261" s="87"/>
      <x:c r="AF4261" s="87" t="str">
        <x:v>VIS-PHY-DEC-036: 22</x:v>
      </x:c>
      <x:c r="AG4261" s="87" t="str">
        <x:v>RESOLVED</x:v>
      </x:c>
      <x:c r="AH4261" s="87" t="str">
        <x:v>CROP_VERIFIED</x:v>
      </x:c>
      <x:c r="AI4261" s="30"/>
      <x:c r="AJ4261" s="87" t="str">
        <x:v>clean</x:v>
      </x:c>
      <x:c r="AK4261" s="87" t="str">
        <x:v>clean-v0.03</x:v>
      </x:c>
      <x:c r="AL4261" s="87" t="str">
        <x:v>statgrad_clean_continuation_v0_03(1).xlsx</x:v>
      </x:c>
      <x:c r="AM4261" s="87" t="str">
        <x:v>PHY_Dec_V4</x:v>
      </x:c>
      <x:c r="AN4261" s="87" t="n">
        <x:v>17</x:v>
      </x:c>
    </x:row>
    <x:row r="4262">
      <x:c r="A4262" s="87" t="n">
        <x:v>4261</x:v>
      </x:c>
      <x:c r="B4262" s="87" t="str">
        <x:v>DEC-PHY-V4-017</x:v>
      </x:c>
      <x:c r="C4262" s="87" t="str">
        <x:v>СтатГрад</x:v>
      </x:c>
      <x:c r="D4262" s="87" t="str">
        <x:v>Декабрь 2025</x:v>
      </x:c>
      <x:c r="E4262" s="87"/>
      <x:c r="F4262" s="87"/>
      <x:c r="G4262" s="87" t="str">
        <x:v>Физика</x:v>
      </x:c>
      <x:c r="H4262" s="87" t="n">
        <x:v>11</x:v>
      </x:c>
      <x:c r="I4262" s="87" t="str">
        <x:v>ТР №2</x:v>
      </x:c>
      <x:c r="J4262" s="87" t="str">
        <x:v>ФИ2510204</x:v>
      </x:c>
      <x:c r="K4262" s="87" t="n">
        <x:v>17</x:v>
      </x:c>
      <x:c r="L4262" s="87" t="str">
        <x:v>Ядерное превращение</x:v>
      </x:c>
      <x:c r="M4262" s="30" t="str">
        <x:v>Как изменятся в результате электронного β-распада следующие характеристики ядра: массовое число ядра и заряд ядра?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Массовое число ядра Заряд ядра</x:v>
      </x:c>
      <x:c r="N4262" s="30" t="str">
        <x:v>31</x:v>
      </x:c>
      <x:c r="O4262" s="30" t="str">
        <x:v>При захвате нейтрона Z не меняется, A растёт на 1; при β⁻-распаде A не меняется, Z растёт на 1.</x:v>
      </x:c>
      <x:c r="P4262" s="30" t="str">
        <x:v>Решено независимо; формулы, единицы и визуальные данные повторно проверены.</x:v>
      </x:c>
      <x:c r="Q4262" s="30"/>
      <x:c r="R4262" s="30" t="str">
        <x:v>31</x:v>
      </x:c>
      <x:c r="S4262" s="30"/>
      <x:c r="T4262" s="30" t="str">
        <x:v>Приложенная фотография дополнительного ключа</x:v>
      </x:c>
      <x:c r="U4262" s="30" t="str">
        <x:v>Расхождений не обнаружено.</x:v>
      </x:c>
      <x:c r="V4262" s="87" t="str">
        <x:v>VERIFIED</x:v>
      </x:c>
      <x:c r="W4262" s="87" t="n">
        <x:v>22</x:v>
      </x:c>
      <x:c r="X4262" s="87"/>
      <x:c r="Y4262" s="87"/>
      <x:c r="Z4262" s="87"/>
      <x:c r="AA4262" s="87"/>
      <x:c r="AB4262" s="87"/>
      <x:c r="AC4262" s="87" t="str">
        <x:v>VIS-PHY-DEC-036</x:v>
      </x:c>
      <x:c r="AD4262" s="87"/>
      <x:c r="AE4262" s="87"/>
      <x:c r="AF4262" s="87" t="str">
        <x:v>VIS-PHY-DEC-036: 22</x:v>
      </x:c>
      <x:c r="AG4262" s="87" t="str">
        <x:v>RESOLVED</x:v>
      </x:c>
      <x:c r="AH4262" s="87" t="str">
        <x:v>CROP_VERIFIED</x:v>
      </x:c>
      <x:c r="AI4262" s="30"/>
      <x:c r="AJ4262" s="87" t="str">
        <x:v>clean</x:v>
      </x:c>
      <x:c r="AK4262" s="87" t="str">
        <x:v>clean-v0.03</x:v>
      </x:c>
      <x:c r="AL4262" s="87" t="str">
        <x:v>statgrad_clean_continuation_v0_03(1).xlsx</x:v>
      </x:c>
      <x:c r="AM4262" s="87" t="str">
        <x:v>PHY_Dec_V4</x:v>
      </x:c>
      <x:c r="AN4262" s="87" t="n">
        <x:v>18</x:v>
      </x:c>
    </x:row>
    <x:row r="4263">
      <x:c r="A4263" s="87" t="n">
        <x:v>4262</x:v>
      </x:c>
      <x:c r="B4263" s="87" t="str">
        <x:v>DEC-PHY-V4-018</x:v>
      </x:c>
      <x:c r="C4263" s="87" t="str">
        <x:v>СтатГрад</x:v>
      </x:c>
      <x:c r="D4263" s="87" t="str">
        <x:v>Декабрь 2025</x:v>
      </x:c>
      <x:c r="E4263" s="87"/>
      <x:c r="F4263" s="87"/>
      <x:c r="G4263" s="87" t="str">
        <x:v>Физика</x:v>
      </x:c>
      <x:c r="H4263" s="87" t="n">
        <x:v>11</x:v>
      </x:c>
      <x:c r="I4263" s="87" t="str">
        <x:v>ТР №2</x:v>
      </x:c>
      <x:c r="J4263" s="87" t="str">
        <x:v>ФИ2510204</x:v>
      </x:c>
      <x:c r="K4263" s="87" t="n">
        <x:v>18</x:v>
      </x:c>
      <x:c r="L4263" s="87" t="str">
        <x:v>Физические закономерности</x:v>
      </x:c>
      <x:c r="M4263" s="30" t="str">
        <x:v>Выберите все верные утверждения о физических явлениях, величинах и закономерностях. Запишите цифры, под которыми они указаны. 1) Резонанс – это явление резкого возрастания частоты вынужденных колебаний. 2) Давление идеального газа в изотермическом процессе возрастает при увеличении концентрации газа. 3) При уменьшении силы тока в резисторе тепловая мощность, выделяемая в нём, увеличивается. 4) При преломлении электромагнитных волн на границе двух сред частота волны остаётся неизменной величиной. 5) В опыте Резерфорда α-частицы рассеиваются электростатическим полем ядер атомов. Ответ: ___________________________.</x:v>
      </x:c>
      <x:c r="N4263" s="30" t="str">
        <x:v>245</x:v>
      </x:c>
      <x:c r="O4263" s="30" t="str">
        <x:v>Каждое утверждение проверено по определениям резонанса, газовым законам, закону Джоуля–Ленца, оптике и атомной физике.</x:v>
      </x:c>
      <x:c r="P4263" s="30" t="str">
        <x:v>Решено независимо; формулы, единицы и визуальные данные повторно проверены.</x:v>
      </x:c>
      <x:c r="Q4263" s="30"/>
      <x:c r="R4263" s="30" t="str">
        <x:v>245</x:v>
      </x:c>
      <x:c r="S4263" s="30"/>
      <x:c r="T4263" s="30" t="str">
        <x:v>Официальная таблица ответов в PDF критериев</x:v>
      </x:c>
      <x:c r="U4263" s="30" t="str">
        <x:v>Расхождений не обнаружено.</x:v>
      </x:c>
      <x:c r="V4263" s="87" t="str">
        <x:v>VERIFIED</x:v>
      </x:c>
      <x:c r="W4263" s="87" t="n">
        <x:v>23</x:v>
      </x:c>
      <x:c r="X4263" s="87"/>
      <x:c r="Y4263" s="87"/>
      <x:c r="Z4263" s="87"/>
      <x:c r="AA4263" s="87"/>
      <x:c r="AB4263" s="87"/>
      <x:c r="AC4263" s="87" t="str">
        <x:v>VIS-PHY-DEC-037</x:v>
      </x:c>
      <x:c r="AD4263" s="87"/>
      <x:c r="AE4263" s="87"/>
      <x:c r="AF4263" s="87" t="str">
        <x:v>VIS-PHY-DEC-037: 23</x:v>
      </x:c>
      <x:c r="AG4263" s="87" t="str">
        <x:v>RESOLVED</x:v>
      </x:c>
      <x:c r="AH4263" s="87" t="str">
        <x:v>CROP_VERIFIED</x:v>
      </x:c>
      <x:c r="AI4263" s="30"/>
      <x:c r="AJ4263" s="87" t="str">
        <x:v>clean</x:v>
      </x:c>
      <x:c r="AK4263" s="87" t="str">
        <x:v>clean-v0.03</x:v>
      </x:c>
      <x:c r="AL4263" s="87" t="str">
        <x:v>statgrad_clean_continuation_v0_03(1).xlsx</x:v>
      </x:c>
      <x:c r="AM4263" s="87" t="str">
        <x:v>PHY_Dec_V4</x:v>
      </x:c>
      <x:c r="AN4263" s="87" t="n">
        <x:v>19</x:v>
      </x:c>
    </x:row>
    <x:row r="4264">
      <x:c r="A4264" s="87" t="n">
        <x:v>4263</x:v>
      </x:c>
      <x:c r="B4264" s="87" t="str">
        <x:v>DEC-PHY-V4-019</x:v>
      </x:c>
      <x:c r="C4264" s="87" t="str">
        <x:v>СтатГрад</x:v>
      </x:c>
      <x:c r="D4264" s="87" t="str">
        <x:v>Декабрь 2025</x:v>
      </x:c>
      <x:c r="E4264" s="87"/>
      <x:c r="F4264" s="87"/>
      <x:c r="G4264" s="87" t="str">
        <x:v>Физика</x:v>
      </x:c>
      <x:c r="H4264" s="87" t="n">
        <x:v>11</x:v>
      </x:c>
      <x:c r="I4264" s="87" t="str">
        <x:v>ТР №2</x:v>
      </x:c>
      <x:c r="J4264" s="87" t="str">
        <x:v>ФИ2510204</x:v>
      </x:c>
      <x:c r="K4264" s="87" t="n">
        <x:v>19</x:v>
      </x:c>
      <x:c r="L4264" s="87" t="str">
        <x:v>Погрешность измерений</x:v>
      </x:c>
      <x:c r="M4264" s="30" t="str">
        <x:v>В упаковке содержится 5 одинаковых пачек бумаги. Высота этой упаковки составила 27 см, а погрешность измерения высоты равна 2 мм. Чему равна толщина одной пачки бумаги с учётом погрешности измерений? Ответ: (________ ± ________) мм.</x:v>
      </x:c>
      <x:c r="N4264" s="30" t="str">
        <x:v>(54,0 ± 0,4)</x:v>
      </x:c>
      <x:c r="O4264" s="30" t="str">
        <x:v>Толщина и абсолютная погрешность одной единицы получаются делением общего результата и его погрешности на число единиц.</x:v>
      </x:c>
      <x:c r="P4264" s="30" t="str">
        <x:v>Решено независимо; формулы, единицы и визуальные данные повторно проверены.</x:v>
      </x:c>
      <x:c r="Q4264" s="30"/>
      <x:c r="R4264" s="30" t="str">
        <x:v>(54,0 ± 0,4)</x:v>
      </x:c>
      <x:c r="S4264" s="30"/>
      <x:c r="T4264" s="30" t="str">
        <x:v>Официальная таблица ответов в PDF критериев</x:v>
      </x:c>
      <x:c r="U4264" s="30" t="str">
        <x:v>Расхождений не обнаружено.</x:v>
      </x:c>
      <x:c r="V4264" s="87" t="str">
        <x:v>VERIFIED</x:v>
      </x:c>
      <x:c r="W4264" s="87" t="n">
        <x:v>23</x:v>
      </x:c>
      <x:c r="X4264" s="87"/>
      <x:c r="Y4264" s="87"/>
      <x:c r="Z4264" s="87"/>
      <x:c r="AA4264" s="87"/>
      <x:c r="AB4264" s="87"/>
      <x:c r="AC4264" s="87" t="str">
        <x:v>VIS-PHY-DEC-037</x:v>
      </x:c>
      <x:c r="AD4264" s="87"/>
      <x:c r="AE4264" s="87"/>
      <x:c r="AF4264" s="87" t="str">
        <x:v>VIS-PHY-DEC-037: 23</x:v>
      </x:c>
      <x:c r="AG4264" s="87" t="str">
        <x:v>RESOLVED</x:v>
      </x:c>
      <x:c r="AH4264" s="87" t="str">
        <x:v>CROP_VERIFIED</x:v>
      </x:c>
      <x:c r="AI4264" s="30"/>
      <x:c r="AJ4264" s="87" t="str">
        <x:v>clean</x:v>
      </x:c>
      <x:c r="AK4264" s="87" t="str">
        <x:v>clean-v0.03</x:v>
      </x:c>
      <x:c r="AL4264" s="87" t="str">
        <x:v>statgrad_clean_continuation_v0_03(1).xlsx</x:v>
      </x:c>
      <x:c r="AM4264" s="87" t="str">
        <x:v>PHY_Dec_V4</x:v>
      </x:c>
      <x:c r="AN4264" s="87" t="n">
        <x:v>20</x:v>
      </x:c>
    </x:row>
    <x:row r="4265">
      <x:c r="A4265" s="87" t="n">
        <x:v>4264</x:v>
      </x:c>
      <x:c r="B4265" s="87" t="str">
        <x:v>DEC-PHY-V4-020</x:v>
      </x:c>
      <x:c r="C4265" s="87" t="str">
        <x:v>СтатГрад</x:v>
      </x:c>
      <x:c r="D4265" s="87" t="str">
        <x:v>Декабрь 2025</x:v>
      </x:c>
      <x:c r="E4265" s="87"/>
      <x:c r="F4265" s="87"/>
      <x:c r="G4265" s="87" t="str">
        <x:v>Физика</x:v>
      </x:c>
      <x:c r="H4265" s="87" t="n">
        <x:v>11</x:v>
      </x:c>
      <x:c r="I4265" s="87" t="str">
        <x:v>ТР №2</x:v>
      </x:c>
      <x:c r="J4265" s="87" t="str">
        <x:v>ФИ2510204</x:v>
      </x:c>
      <x:c r="K4265" s="87" t="n">
        <x:v>20</x:v>
      </x:c>
      <x:c r="L4265" s="87" t="str">
        <x:v>Планирование эксперимента</x:v>
      </x:c>
      <x:c r="M4265" s="30" t="str">
        <x:v>В лаборатории экспериментально изучают зависимость частоты колебаний струны, закреплённой с двух сторон, от силы её натяжения. Какие две установки нужно использовать для проведения такого эксперимента? № Сила Диаметр Материал установки натяжения струны, Н струны, мм струны 1 15 0,5 Сталь 2 10 1 Сталь 3 10 0,5 Медь 4 25 1 Сталь 5 20 1 Пластик В ответе запишите номера выбранных установок. Ответ: Часть 2 Для записи ответов на задания 21–26 используйте чистый лист. Запишите сначала номер задания (21, 22 и т. д.), а затем решение соответствующей задачи. Ответы записывайте чётко и разборчиво.</x:v>
      </x:c>
      <x:c r="N4265" s="30" t="str">
        <x:v>24</x:v>
      </x:c>
      <x:c r="O4265" s="30" t="str">
        <x:v>Меняется только исследуемый параметр; материал и второй влияющий параметр должны быть одинаковыми.</x:v>
      </x:c>
      <x:c r="P4265" s="30" t="str">
        <x:v>Решено независимо; формулы, единицы и визуальные данные повторно проверены.</x:v>
      </x:c>
      <x:c r="Q4265" s="30"/>
      <x:c r="R4265" s="30" t="str">
        <x:v>24</x:v>
      </x:c>
      <x:c r="S4265" s="30"/>
      <x:c r="T4265" s="30" t="str">
        <x:v>Приложенная фотография дополнительного ключа</x:v>
      </x:c>
      <x:c r="U4265" s="30" t="str">
        <x:v>Расхождений не обнаружено.</x:v>
      </x:c>
      <x:c r="V4265" s="87" t="str">
        <x:v>VERIFIED</x:v>
      </x:c>
      <x:c r="W4265" s="87" t="n">
        <x:v>23</x:v>
      </x:c>
      <x:c r="X4265" s="87"/>
      <x:c r="Y4265" s="87"/>
      <x:c r="Z4265" s="87"/>
      <x:c r="AA4265" s="87"/>
      <x:c r="AB4265" s="87"/>
      <x:c r="AC4265" s="87" t="str">
        <x:v>VIS-PHY-DEC-037</x:v>
      </x:c>
      <x:c r="AD4265" s="87"/>
      <x:c r="AE4265" s="87"/>
      <x:c r="AF4265" s="87" t="str">
        <x:v>VIS-PHY-DEC-037: 23</x:v>
      </x:c>
      <x:c r="AG4265" s="87" t="str">
        <x:v>RESOLVED</x:v>
      </x:c>
      <x:c r="AH4265" s="87" t="str">
        <x:v>CROP_VERIFIED</x:v>
      </x:c>
      <x:c r="AI4265" s="30"/>
      <x:c r="AJ4265" s="87" t="str">
        <x:v>clean</x:v>
      </x:c>
      <x:c r="AK4265" s="87" t="str">
        <x:v>clean-v0.03</x:v>
      </x:c>
      <x:c r="AL4265" s="87" t="str">
        <x:v>statgrad_clean_continuation_v0_03(1).xlsx</x:v>
      </x:c>
      <x:c r="AM4265" s="87" t="str">
        <x:v>PHY_Dec_V4</x:v>
      </x:c>
      <x:c r="AN4265" s="87" t="n">
        <x:v>21</x:v>
      </x:c>
    </x:row>
    <x:row r="4266">
      <x:c r="A4266" s="87" t="n">
        <x:v>4265</x:v>
      </x:c>
      <x:c r="B4266" s="87" t="str">
        <x:v>DEC-PHY-V4-021</x:v>
      </x:c>
      <x:c r="C4266" s="87" t="str">
        <x:v>СтатГрад</x:v>
      </x:c>
      <x:c r="D4266" s="87" t="str">
        <x:v>Декабрь 2025</x:v>
      </x:c>
      <x:c r="E4266" s="87"/>
      <x:c r="F4266" s="87"/>
      <x:c r="G4266" s="87" t="str">
        <x:v>Физика</x:v>
      </x:c>
      <x:c r="H4266" s="87" t="n">
        <x:v>11</x:v>
      </x:c>
      <x:c r="I4266" s="87" t="str">
        <x:v>ТР №2</x:v>
      </x:c>
      <x:c r="J4266" s="87" t="str">
        <x:v>ФИ2510204</x:v>
      </x:c>
      <x:c r="K4266" s="87" t="n">
        <x:v>21</x:v>
      </x:c>
      <x:c r="L4266" s="87" t="str">
        <x:v>Термодинамика: качественная задача</x:v>
      </x:c>
      <x:c r="M4266" s="30" t="str">
        <x:v>Постоянное количество одноатомного идеального газа участвует в процессе, который изображён на рисунке в переменных U – p, где U – внутренняя энергия газа, p – его давление. Опираясь на законы молекулярной физики и термодинамики, определите, получает газ количество теплоты или отдаёт в процессах 1–2 и 2–3. Полное правильное решение каждой из задач 22–26 должно содержать законы и формулы, применение которых необходимо и достаточно для решения задачи, а также математические преобразования, расчёты с численным ответом и при необходимости рисунок, поясняющий решение.</x:v>
      </x:c>
      <x:c r="N4266" s="30" t="str">
        <x:v>Q₁₂ &lt; 0; Q₂₃ &gt; 0</x:v>
      </x:c>
      <x:c r="O4266" s="30" t="str">
        <x:v>В 1–2 U и T постоянны, давление растёт, газ сжимается: A&lt;0 и Q=A&lt;0. В 2–3 при постоянном p растут U, T и V: ΔU&gt;0, A&gt;0, поэтому Q&gt;0.</x:v>
      </x:c>
      <x:c r="P4266" s="30" t="str">
        <x:v>Решено независимо; формулы, единицы и визуальные данные повторно проверены.</x:v>
      </x:c>
      <x:c r="Q4266" s="30"/>
      <x:c r="R4266" s="30" t="str">
        <x:v>Q₁₂ &lt; 0; Q₂₃ &gt; 0</x:v>
      </x:c>
      <x:c r="S4266" s="30"/>
      <x:c r="T4266" s="30" t="str">
        <x:v>Официальное возможное решение и критерий</x:v>
      </x:c>
      <x:c r="U4266" s="30" t="str">
        <x:v>Расхождений не обнаружено.</x:v>
      </x:c>
      <x:c r="V4266" s="87" t="str">
        <x:v>VERIFIED</x:v>
      </x:c>
      <x:c r="W4266" s="87" t="n">
        <x:v>24</x:v>
      </x:c>
      <x:c r="X4266" s="87"/>
      <x:c r="Y4266" s="87"/>
      <x:c r="Z4266" s="87"/>
      <x:c r="AA4266" s="87"/>
      <x:c r="AB4266" s="87"/>
      <x:c r="AC4266" s="87" t="str">
        <x:v>VIS-PHY-DEC-038</x:v>
      </x:c>
      <x:c r="AD4266" s="87"/>
      <x:c r="AE4266" s="87"/>
      <x:c r="AF4266" s="87" t="str">
        <x:v>VIS-PHY-DEC-038: 24</x:v>
      </x:c>
      <x:c r="AG4266" s="87" t="str">
        <x:v>RESOLVED</x:v>
      </x:c>
      <x:c r="AH4266" s="87" t="str">
        <x:v>CROP_VERIFIED; TASK_CROP_QA_APPROVED:USE_CONTEXT</x:v>
      </x:c>
      <x:c r="AI4266" s="30"/>
      <x:c r="AJ4266" s="87" t="str">
        <x:v>clean</x:v>
      </x:c>
      <x:c r="AK4266" s="87" t="str">
        <x:v>clean-v0.03</x:v>
      </x:c>
      <x:c r="AL4266" s="87" t="str">
        <x:v>statgrad_clean_continuation_v0_03(1).xlsx</x:v>
      </x:c>
      <x:c r="AM4266" s="87" t="str">
        <x:v>PHY_Dec_V4</x:v>
      </x:c>
      <x:c r="AN4266" s="87" t="n">
        <x:v>22</x:v>
      </x:c>
    </x:row>
    <x:row r="4267">
      <x:c r="A4267" s="87" t="n">
        <x:v>4266</x:v>
      </x:c>
      <x:c r="B4267" s="87" t="str">
        <x:v>DEC-PHY-V4-022</x:v>
      </x:c>
      <x:c r="C4267" s="87" t="str">
        <x:v>СтатГрад</x:v>
      </x:c>
      <x:c r="D4267" s="87" t="str">
        <x:v>Декабрь 2025</x:v>
      </x:c>
      <x:c r="E4267" s="87"/>
      <x:c r="F4267" s="87"/>
      <x:c r="G4267" s="87" t="str">
        <x:v>Физика</x:v>
      </x:c>
      <x:c r="H4267" s="87" t="n">
        <x:v>11</x:v>
      </x:c>
      <x:c r="I4267" s="87" t="str">
        <x:v>ТР №2</x:v>
      </x:c>
      <x:c r="J4267" s="87" t="str">
        <x:v>ФИ2510204</x:v>
      </x:c>
      <x:c r="K4267" s="87" t="n">
        <x:v>22</x:v>
      </x:c>
      <x:c r="L4267" s="87" t="str">
        <x:v>Баллистика: расчётная задача</x:v>
      </x:c>
      <x:c r="M4267" s="30" t="str">
        <x:v>Камень брошен горизонтально с высоты Н = 20 м над поверхностью земли. Определите, под каким углом α к горизонту был направлен вектор скорости камня в момент удара о землю, если дальность его полета равна S = 15 м. Сопротивлением воздуха пренебречь.</x:v>
      </x:c>
      <x:c r="N4267" s="30" t="str">
        <x:v>α ≈ 70°</x:v>
      </x:c>
      <x:c r="O4267" s="30" t="str">
        <x:v>Для горизонтального броска tan α = vᵧ/vₓ = gt/v₀ = 2H/S = 8/3, откуда α ≈ 70°.</x:v>
      </x:c>
      <x:c r="P4267" s="30" t="str">
        <x:v>Решено независимо; формулы, единицы и визуальные данные повторно проверены.</x:v>
      </x:c>
      <x:c r="Q4267" s="30"/>
      <x:c r="R4267" s="30" t="str">
        <x:v>α ≈ 70°</x:v>
      </x:c>
      <x:c r="S4267" s="30"/>
      <x:c r="T4267" s="30" t="str">
        <x:v>Официальное возможное решение и критерий</x:v>
      </x:c>
      <x:c r="U4267" s="30" t="str">
        <x:v>Расхождений не обнаружено.</x:v>
      </x:c>
      <x:c r="V4267" s="87" t="str">
        <x:v>VERIFIED</x:v>
      </x:c>
      <x:c r="W4267" s="87" t="n">
        <x:v>24</x:v>
      </x:c>
      <x:c r="X4267" s="87"/>
      <x:c r="Y4267" s="87"/>
      <x:c r="Z4267" s="87"/>
      <x:c r="AA4267" s="87"/>
      <x:c r="AB4267" s="87"/>
      <x:c r="AC4267" s="87" t="str">
        <x:v>VIS-PHY-DEC-038</x:v>
      </x:c>
      <x:c r="AD4267" s="87"/>
      <x:c r="AE4267" s="87"/>
      <x:c r="AF4267" s="87" t="str">
        <x:v>VIS-PHY-DEC-038: 24</x:v>
      </x:c>
      <x:c r="AG4267" s="87" t="str">
        <x:v>RESOLVED</x:v>
      </x:c>
      <x:c r="AH4267" s="87" t="str">
        <x:v>CROP_VERIFIED</x:v>
      </x:c>
      <x:c r="AI4267" s="30"/>
      <x:c r="AJ4267" s="87" t="str">
        <x:v>clean</x:v>
      </x:c>
      <x:c r="AK4267" s="87" t="str">
        <x:v>clean-v0.03</x:v>
      </x:c>
      <x:c r="AL4267" s="87" t="str">
        <x:v>statgrad_clean_continuation_v0_03(1).xlsx</x:v>
      </x:c>
      <x:c r="AM4267" s="87" t="str">
        <x:v>PHY_Dec_V4</x:v>
      </x:c>
      <x:c r="AN4267" s="87" t="n">
        <x:v>23</x:v>
      </x:c>
    </x:row>
    <x:row r="4268">
      <x:c r="A4268" s="87" t="n">
        <x:v>4267</x:v>
      </x:c>
      <x:c r="B4268" s="87" t="str">
        <x:v>DEC-PHY-V4-023</x:v>
      </x:c>
      <x:c r="C4268" s="87" t="str">
        <x:v>СтатГрад</x:v>
      </x:c>
      <x:c r="D4268" s="87" t="str">
        <x:v>Декабрь 2025</x:v>
      </x:c>
      <x:c r="E4268" s="87"/>
      <x:c r="F4268" s="87"/>
      <x:c r="G4268" s="87" t="str">
        <x:v>Физика</x:v>
      </x:c>
      <x:c r="H4268" s="87" t="n">
        <x:v>11</x:v>
      </x:c>
      <x:c r="I4268" s="87" t="str">
        <x:v>ТР №2</x:v>
      </x:c>
      <x:c r="J4268" s="87" t="str">
        <x:v>ФИ2510204</x:v>
      </x:c>
      <x:c r="K4268" s="87" t="n">
        <x:v>23</x:v>
      </x:c>
      <x:c r="L4268" s="87" t="str">
        <x:v>Электростатика и конденсатор</x:v>
      </x:c>
      <x:c r="M4268" s="30" t="str">
        <x:v>Между горизонтально расположенными обкладками плоского конденсатора ёмкостью C = 60 нФ в состоянии покоя висит заряженный шарик, заряд которого равен q = 0,4 мкКл. Определите массу шарика, если модуль заряда на обкладках конденсатора равен Q = 10 мкКл, а расстояние между ними d = 3 мм</x:v>
      </x:c>
      <x:c r="N4268" s="30" t="str">
        <x:v>m ≈ 2,2 г</x:v>
      </x:c>
      <x:c r="O4268" s="30" t="str">
        <x:v>Равновесие qE=mg, E=U/d, U=Q/C; поэтому m=Qq/(dCg)≈2,2 г.</x:v>
      </x:c>
      <x:c r="P4268" s="30" t="str">
        <x:v>Решено независимо; формулы, единицы и визуальные данные повторно проверены.</x:v>
      </x:c>
      <x:c r="Q4268" s="30"/>
      <x:c r="R4268" s="30" t="str">
        <x:v>m ≈ 2,2 г</x:v>
      </x:c>
      <x:c r="S4268" s="30"/>
      <x:c r="T4268" s="30" t="str">
        <x:v>Официальное возможное решение и критерий</x:v>
      </x:c>
      <x:c r="U4268" s="30" t="str">
        <x:v>Расхождений не обнаружено.</x:v>
      </x:c>
      <x:c r="V4268" s="87" t="str">
        <x:v>VERIFIED</x:v>
      </x:c>
      <x:c r="W4268" s="87" t="n">
        <x:v>24</x:v>
      </x:c>
      <x:c r="X4268" s="87"/>
      <x:c r="Y4268" s="87"/>
      <x:c r="Z4268" s="87"/>
      <x:c r="AA4268" s="87"/>
      <x:c r="AB4268" s="87"/>
      <x:c r="AC4268" s="87" t="str">
        <x:v>VIS-PHY-DEC-038</x:v>
      </x:c>
      <x:c r="AD4268" s="87"/>
      <x:c r="AE4268" s="87"/>
      <x:c r="AF4268" s="87" t="str">
        <x:v>VIS-PHY-DEC-038: 24</x:v>
      </x:c>
      <x:c r="AG4268" s="87" t="str">
        <x:v>RESOLVED</x:v>
      </x:c>
      <x:c r="AH4268" s="87" t="str">
        <x:v>CROP_VERIFIED</x:v>
      </x:c>
      <x:c r="AI4268" s="30"/>
      <x:c r="AJ4268" s="87" t="str">
        <x:v>clean</x:v>
      </x:c>
      <x:c r="AK4268" s="87" t="str">
        <x:v>clean-v0.03</x:v>
      </x:c>
      <x:c r="AL4268" s="87" t="str">
        <x:v>statgrad_clean_continuation_v0_03(1).xlsx</x:v>
      </x:c>
      <x:c r="AM4268" s="87" t="str">
        <x:v>PHY_Dec_V4</x:v>
      </x:c>
      <x:c r="AN4268" s="87" t="n">
        <x:v>24</x:v>
      </x:c>
    </x:row>
    <x:row r="4269">
      <x:c r="A4269" s="87" t="n">
        <x:v>4268</x:v>
      </x:c>
      <x:c r="B4269" s="87" t="str">
        <x:v>DEC-PHY-V4-024</x:v>
      </x:c>
      <x:c r="C4269" s="87" t="str">
        <x:v>СтатГрад</x:v>
      </x:c>
      <x:c r="D4269" s="87" t="str">
        <x:v>Декабрь 2025</x:v>
      </x:c>
      <x:c r="E4269" s="87"/>
      <x:c r="F4269" s="87"/>
      <x:c r="G4269" s="87" t="str">
        <x:v>Физика</x:v>
      </x:c>
      <x:c r="H4269" s="87" t="n">
        <x:v>11</x:v>
      </x:c>
      <x:c r="I4269" s="87" t="str">
        <x:v>ТР №2</x:v>
      </x:c>
      <x:c r="J4269" s="87" t="str">
        <x:v>ФИ2510204</x:v>
      </x:c>
      <x:c r="K4269" s="87" t="n">
        <x:v>24</x:v>
      </x:c>
      <x:c r="L4269" s="87" t="str">
        <x:v>Тепловой баланс</x:v>
      </x:c>
      <x:c r="M4269" s="30" t="str">
        <x:v>Найдите массу льда, которую можно превратить в воду и затем довести до кипения при сжигании сухих дров массой m = 2 кг. Начальная температура льда равна t 0 = –30 °C, а удельная теплота сгорания сухих дров q = 8⋅106 Дж/кг. Учесть, что η = 80 % количества теплоты, выделяющегося при сгорании дров, рассеивается в окружающую среду.</x:v>
      </x:c>
      <x:c r="N4269" s="30" t="str">
        <x:v>mл ≈ 3,94 кг</x:v>
      </x:c>
      <x:c r="O4269" s="30" t="str">
        <x:v>Полезно 20% теплоты сгорания. Тепловой баланс включает нагрев льда, плавление и нагрев воды до 100°C; mл≈3,94 кг.</x:v>
      </x:c>
      <x:c r="P4269" s="30" t="str">
        <x:v>Решено независимо; формулы, единицы и визуальные данные повторно проверены.</x:v>
      </x:c>
      <x:c r="Q4269" s="30"/>
      <x:c r="R4269" s="30" t="str">
        <x:v>mл ≈ 3,94 кг</x:v>
      </x:c>
      <x:c r="S4269" s="30"/>
      <x:c r="T4269" s="30" t="str">
        <x:v>Официальное возможное решение и критерий</x:v>
      </x:c>
      <x:c r="U4269" s="30" t="str">
        <x:v>Расхождений не обнаружено.</x:v>
      </x:c>
      <x:c r="V4269" s="87" t="str">
        <x:v>VERIFIED</x:v>
      </x:c>
      <x:c r="W4269" s="87" t="n">
        <x:v>24</x:v>
      </x:c>
      <x:c r="X4269" s="87"/>
      <x:c r="Y4269" s="87"/>
      <x:c r="Z4269" s="87"/>
      <x:c r="AA4269" s="87"/>
      <x:c r="AB4269" s="87"/>
      <x:c r="AC4269" s="87" t="str">
        <x:v>VIS-PHY-DEC-038</x:v>
      </x:c>
      <x:c r="AD4269" s="87"/>
      <x:c r="AE4269" s="87"/>
      <x:c r="AF4269" s="87" t="str">
        <x:v>VIS-PHY-DEC-038: 24</x:v>
      </x:c>
      <x:c r="AG4269" s="87" t="str">
        <x:v>RESOLVED</x:v>
      </x:c>
      <x:c r="AH4269" s="87" t="str">
        <x:v>CROP_VERIFIED</x:v>
      </x:c>
      <x:c r="AI4269" s="30"/>
      <x:c r="AJ4269" s="87" t="str">
        <x:v>clean</x:v>
      </x:c>
      <x:c r="AK4269" s="87" t="str">
        <x:v>clean-v0.03</x:v>
      </x:c>
      <x:c r="AL4269" s="87" t="str">
        <x:v>statgrad_clean_continuation_v0_03(1).xlsx</x:v>
      </x:c>
      <x:c r="AM4269" s="87" t="str">
        <x:v>PHY_Dec_V4</x:v>
      </x:c>
      <x:c r="AN4269" s="87" t="n">
        <x:v>25</x:v>
      </x:c>
    </x:row>
    <x:row r="4270">
      <x:c r="A4270" s="87" t="n">
        <x:v>4269</x:v>
      </x:c>
      <x:c r="B4270" s="87" t="str">
        <x:v>DEC-PHY-V4-025</x:v>
      </x:c>
      <x:c r="C4270" s="87" t="str">
        <x:v>СтатГрад</x:v>
      </x:c>
      <x:c r="D4270" s="87" t="str">
        <x:v>Декабрь 2025</x:v>
      </x:c>
      <x:c r="E4270" s="87"/>
      <x:c r="F4270" s="87"/>
      <x:c r="G4270" s="87" t="str">
        <x:v>Физика</x:v>
      </x:c>
      <x:c r="H4270" s="87" t="n">
        <x:v>11</x:v>
      </x:c>
      <x:c r="I4270" s="87" t="str">
        <x:v>ТР №2</x:v>
      </x:c>
      <x:c r="J4270" s="87" t="str">
        <x:v>ФИ2510204</x:v>
      </x:c>
      <x:c r="K4270" s="87" t="n">
        <x:v>25</x:v>
      </x:c>
      <x:c r="L4270" s="87" t="str">
        <x:v>Электромагнитная индукция: заряд</x:v>
      </x:c>
      <x:c r="M4270" s="30" t="str">
        <x:v>Квадратная проводящая рамка со стороной a = 10 см закреплена в однородном магнитном поле. Вектор магнитной индукции этого поля лежит в плоскости рамки и направлен перпендикулярно одной из её сторон (см. рисунок). При повороте рамки на 180° вокруг оси ОО 1 по ней протекает заряд, равный q = 40 мкКл. Определите модуль вектора магнитной индукции магнитного поля, в котором происходит поворот рамки, если её сопротивление равно R = 0,2 Ом.</x:v>
      </x:c>
      <x:c r="N4270" s="30" t="str">
        <x:v>B = 0,4 мТл</x:v>
      </x:c>
      <x:c r="O4270" s="30" t="str">
        <x:v>Из q=2BS/R и S=a² получаем B=qR/(2a²)=4·10⁻⁴ Т=0,4 мТл.</x:v>
      </x:c>
      <x:c r="P4270" s="30" t="str">
        <x:v>Решено независимо; формулы, единицы и визуальные данные повторно проверены.</x:v>
      </x:c>
      <x:c r="Q4270" s="30"/>
      <x:c r="R4270" s="30" t="str">
        <x:v>B = 0,4 мТл</x:v>
      </x:c>
      <x:c r="S4270" s="30"/>
      <x:c r="T4270" s="30" t="str">
        <x:v>Официальное возможное решение и критерий</x:v>
      </x:c>
      <x:c r="U4270" s="30" t="str">
        <x:v>Расхождений не обнаружено.</x:v>
      </x:c>
      <x:c r="V4270" s="87" t="str">
        <x:v>VERIFIED</x:v>
      </x:c>
      <x:c r="W4270" s="87" t="n">
        <x:v>25</x:v>
      </x:c>
      <x:c r="X4270" s="87"/>
      <x:c r="Y4270" s="87"/>
      <x:c r="Z4270" s="87"/>
      <x:c r="AA4270" s="87"/>
      <x:c r="AB4270" s="87"/>
      <x:c r="AC4270" s="87" t="str">
        <x:v>VIS-PHY-DEC-039</x:v>
      </x:c>
      <x:c r="AD4270" s="87"/>
      <x:c r="AE4270" s="87"/>
      <x:c r="AF4270" s="87" t="str">
        <x:v>VIS-PHY-DEC-039: 25</x:v>
      </x:c>
      <x:c r="AG4270" s="87" t="str">
        <x:v>RESOLVED</x:v>
      </x:c>
      <x:c r="AH4270" s="87" t="str">
        <x:v>CROP_VERIFIED; TASK_CROP_QA_APPROVED:USE_CONTEXT</x:v>
      </x:c>
      <x:c r="AI4270" s="30"/>
      <x:c r="AJ4270" s="87" t="str">
        <x:v>clean</x:v>
      </x:c>
      <x:c r="AK4270" s="87" t="str">
        <x:v>clean-v0.03</x:v>
      </x:c>
      <x:c r="AL4270" s="87" t="str">
        <x:v>statgrad_clean_continuation_v0_03(1).xlsx</x:v>
      </x:c>
      <x:c r="AM4270" s="87" t="str">
        <x:v>PHY_Dec_V4</x:v>
      </x:c>
      <x:c r="AN4270" s="87" t="n">
        <x:v>26</x:v>
      </x:c>
    </x:row>
    <x:row r="4271">
      <x:c r="A4271" s="87" t="n">
        <x:v>4270</x:v>
      </x:c>
      <x:c r="B4271" s="87" t="str">
        <x:v>DEC-PHY-V4-026</x:v>
      </x:c>
      <x:c r="C4271" s="87" t="str">
        <x:v>СтатГрад</x:v>
      </x:c>
      <x:c r="D4271" s="87" t="str">
        <x:v>Декабрь 2025</x:v>
      </x:c>
      <x:c r="E4271" s="87"/>
      <x:c r="F4271" s="87"/>
      <x:c r="G4271" s="87" t="str">
        <x:v>Физика</x:v>
      </x:c>
      <x:c r="H4271" s="87" t="n">
        <x:v>11</x:v>
      </x:c>
      <x:c r="I4271" s="87" t="str">
        <x:v>ТР №2</x:v>
      </x:c>
      <x:c r="J4271" s="87" t="str">
        <x:v>ФИ2510204</x:v>
      </x:c>
      <x:c r="K4271" s="87" t="n">
        <x:v>26</x:v>
      </x:c>
      <x:c r="L4271" s="87" t="str">
        <x:v>Динамика связанных тел</x:v>
      </x:c>
      <x:c r="M4271" s="30" t="str">
        <x:v>Два бруска массами m 1 = 500 г и m 2 = 800 г, связанные горизонтальной невесомой нерастяжимой нитью, скользят по горизонтальному столу под действием постоянной силы F = 6 Н, направленной под углом α = 30о к поверхности стола (см. рисунок). Коэффициент трения между брусками и поверхностью стола равен μ = 0,2. Определите модуль силы натяжения нити. Сделайте рисунок с указанием сил, действующих на каждый брусок. Обоснуйте применимость законов, используемых для решения задачи.  F α m1 m2</x:v>
      </x:c>
      <x:c r="N4271" s="30" t="str">
        <x:v>T ≈ 3,57 Н</x:v>
      </x:c>
      <x:c r="O4271" s="30" t="str">
        <x:v>Для системы a=[F(cosα+μsinα)−μ(m₁+m₂)g]/(m₁+m₂); для второго бруска T=m₂(a+μg)≈3,57 Н.</x:v>
      </x:c>
      <x:c r="P4271" s="30" t="str">
        <x:v>Решено независимо; формулы, единицы и визуальные данные повторно проверены.</x:v>
      </x:c>
      <x:c r="Q4271" s="30"/>
      <x:c r="R4271" s="30" t="str">
        <x:v>T ≈ 3,57 Н</x:v>
      </x:c>
      <x:c r="S4271" s="30"/>
      <x:c r="T4271" s="30" t="str">
        <x:v>Официальное возможное решение и критерий</x:v>
      </x:c>
      <x:c r="U4271" s="30" t="str">
        <x:v>Расхождений не обнаружено.</x:v>
      </x:c>
      <x:c r="V4271" s="87" t="str">
        <x:v>VERIFIED</x:v>
      </x:c>
      <x:c r="W4271" s="87" t="n">
        <x:v>25</x:v>
      </x:c>
      <x:c r="X4271" s="87"/>
      <x:c r="Y4271" s="87"/>
      <x:c r="Z4271" s="87"/>
      <x:c r="AA4271" s="87"/>
      <x:c r="AB4271" s="87"/>
      <x:c r="AC4271" s="87" t="str">
        <x:v>VIS-PHY-DEC-039</x:v>
      </x:c>
      <x:c r="AD4271" s="87"/>
      <x:c r="AE4271" s="87"/>
      <x:c r="AF4271" s="87" t="str">
        <x:v>VIS-PHY-DEC-039: 25</x:v>
      </x:c>
      <x:c r="AG4271" s="87" t="str">
        <x:v>RESOLVED</x:v>
      </x:c>
      <x:c r="AH4271" s="87" t="str">
        <x:v>CROP_VERIFIED; TASK_CROP_QA_APPROVED:USE_CONTEXT</x:v>
      </x:c>
      <x:c r="AI4271" s="30"/>
      <x:c r="AJ4271" s="87" t="str">
        <x:v>clean</x:v>
      </x:c>
      <x:c r="AK4271" s="87" t="str">
        <x:v>clean-v0.03</x:v>
      </x:c>
      <x:c r="AL4271" s="87" t="str">
        <x:v>statgrad_clean_continuation_v0_03(1).xlsx</x:v>
      </x:c>
      <x:c r="AM4271" s="87" t="str">
        <x:v>PHY_Dec_V4</x:v>
      </x:c>
      <x:c r="AN4271" s="87" t="n">
        <x:v>27</x:v>
      </x:c>
    </x:row>
    <x:row r="4272">
      <x:c r="A4272" s="87" t="n">
        <x:v>4271</x:v>
      </x:c>
      <x:c r="B4272" s="87" t="str">
        <x:v>DEC-LIT-V1-001</x:v>
      </x:c>
      <x:c r="C4272" s="87" t="str">
        <x:v>СтатГрад</x:v>
      </x:c>
      <x:c r="D4272" s="87" t="str">
        <x:v>Декабрь 2025</x:v>
      </x:c>
      <x:c r="E4272" s="87"/>
      <x:c r="F4272" s="87"/>
      <x:c r="G4272" s="87" t="str">
        <x:v>Литература</x:v>
      </x:c>
      <x:c r="H4272" s="87" t="n">
        <x:v>11</x:v>
      </x:c>
      <x:c r="I4272" s="87" t="str">
        <x:v>ТР №2</x:v>
      </x:c>
      <x:c r="J4272" s="87" t="str">
        <x:v>ЛИ2510201</x:v>
      </x:c>
      <x:c r="K4272" s="87" t="n">
        <x:v>1</x:v>
      </x:c>
      <x:c r="L4272" s="87" t="str">
        <x:v>Краткий ответ: персонаж</x:v>
      </x:c>
      <x:c r="M4272" s="30" t="str">
        <x:v>Укажите фамилию князя Андрея, наблюдающего за диалогом Долохова и французского гренадёра.</x:v>
      </x:c>
      <x:c r="N4272" s="30" t="str">
        <x:v>Болконский</x:v>
      </x:c>
      <x:c r="O4272" s="30" t="str">
        <x:v>Князь Андрей в романе носит фамилию Болконский.</x:v>
      </x:c>
      <x:c r="P4272" s="30" t="str">
        <x:v>Персонаж и эпизод сверены по фрагменту и роману.</x:v>
      </x:c>
      <x:c r="Q4272" s="30"/>
      <x:c r="R4272" s="30" t="str">
        <x:v>Болконский</x:v>
      </x:c>
      <x:c r="S4272" s="30"/>
      <x:c r="T4272" s="30" t="str">
        <x:v>Kriterii_LI11_04122025.pdf, p. 1</x:v>
      </x:c>
      <x:c r="U4272" s="30" t="str">
        <x:v>Расхождений нет.</x:v>
      </x:c>
      <x:c r="V4272" s="87" t="str">
        <x:v>VERIFIED</x:v>
      </x:c>
      <x:c r="W4272" s="87" t="n">
        <x:v>3</x:v>
      </x:c>
      <x:c r="X4272" s="87"/>
      <x:c r="Y4272" s="87"/>
      <x:c r="Z4272" s="87"/>
      <x:c r="AA4272" s="87"/>
      <x:c r="AB4272" s="87"/>
      <x:c r="AC4272" s="87" t="str">
        <x:v>VIS-LIT-DEC-003</x:v>
      </x:c>
      <x:c r="AD4272" s="87"/>
      <x:c r="AE4272" s="87"/>
      <x:c r="AF4272" s="87" t="str">
        <x:v>VIS-LIT-DEC-003: 3</x:v>
      </x:c>
      <x:c r="AG4272" s="87" t="str">
        <x:v>RESOLVED</x:v>
      </x:c>
      <x:c r="AH4272" s="87" t="str">
        <x:v>CROP_VERIFIED</x:v>
      </x:c>
      <x:c r="AI4272" s="30"/>
      <x:c r="AJ4272" s="87" t="str">
        <x:v>clean</x:v>
      </x:c>
      <x:c r="AK4272" s="87" t="str">
        <x:v>clean-v0.04</x:v>
      </x:c>
      <x:c r="AL4272" s="87" t="str">
        <x:v>statgrad_clean_continuation_v0_04(1).xlsx</x:v>
      </x:c>
      <x:c r="AM4272" s="87" t="str">
        <x:v>LIT_Dec_V1</x:v>
      </x:c>
      <x:c r="AN4272" s="87" t="n">
        <x:v>2</x:v>
      </x:c>
    </x:row>
    <x:row r="4273">
      <x:c r="A4273" s="87" t="n">
        <x:v>4272</x:v>
      </x:c>
      <x:c r="B4273" s="87" t="str">
        <x:v>DEC-LIT-V1-002</x:v>
      </x:c>
      <x:c r="C4273" s="87" t="str">
        <x:v>СтатГрад</x:v>
      </x:c>
      <x:c r="D4273" s="87" t="str">
        <x:v>Декабрь 2025</x:v>
      </x:c>
      <x:c r="E4273" s="87"/>
      <x:c r="F4273" s="87"/>
      <x:c r="G4273" s="87" t="str">
        <x:v>Литература</x:v>
      </x:c>
      <x:c r="H4273" s="87" t="n">
        <x:v>11</x:v>
      </x:c>
      <x:c r="I4273" s="87" t="str">
        <x:v>ТР №2</x:v>
      </x:c>
      <x:c r="J4273" s="87" t="str">
        <x:v>ЛИ2510201</x:v>
      </x:c>
      <x:c r="K4273" s="87" t="n">
        <x:v>2</x:v>
      </x:c>
      <x:c r="L4273" s="87" t="str">
        <x:v>Соответствие: персонажи и поступки</x:v>
      </x:c>
      <x:c r="M4273" s="30" t="str">
        <x:v>Князь Андрей; Долохов; Николай Ростов — сопоставить с поступками: бегство в первом бою, спасение девочки, пленение французского офицера, защита Тушина.</x:v>
      </x:c>
      <x:c r="N4273" s="30" t="str">
        <x:v>431</x:v>
      </x:c>
      <x:c r="O4273" s="30" t="str">
        <x:v>Князь Андрей защищает капитана Тушина (4); Долохов берёт в плен французского офицера (3); Николай Ростов спасается бегством в первом бою (1).</x:v>
      </x:c>
      <x:c r="P4273" s="30" t="str">
        <x:v>Каждое соответствие проверено по событиям «Войны и мира».</x:v>
      </x:c>
      <x:c r="Q4273" s="30"/>
      <x:c r="R4273" s="30" t="str">
        <x:v>431</x:v>
      </x:c>
      <x:c r="S4273" s="30"/>
      <x:c r="T4273" s="30" t="str">
        <x:v>Kriterii_LI11_04122025.pdf, p. 1</x:v>
      </x:c>
      <x:c r="U4273" s="30" t="str">
        <x:v>Расхождений нет.</x:v>
      </x:c>
      <x:c r="V4273" s="87" t="str">
        <x:v>VERIFIED</x:v>
      </x:c>
      <x:c r="W4273" s="87" t="n">
        <x:v>3</x:v>
      </x:c>
      <x:c r="X4273" s="87"/>
      <x:c r="Y4273" s="87"/>
      <x:c r="Z4273" s="87"/>
      <x:c r="AA4273" s="87"/>
      <x:c r="AB4273" s="87"/>
      <x:c r="AC4273" s="87" t="str">
        <x:v>VIS-LIT-DEC-003</x:v>
      </x:c>
      <x:c r="AD4273" s="87"/>
      <x:c r="AE4273" s="87"/>
      <x:c r="AF4273" s="87" t="str">
        <x:v>VIS-LIT-DEC-003: 3</x:v>
      </x:c>
      <x:c r="AG4273" s="87" t="str">
        <x:v>RESOLVED</x:v>
      </x:c>
      <x:c r="AH4273" s="87" t="str">
        <x:v>CROP_VERIFIED</x:v>
      </x:c>
      <x:c r="AI4273" s="30"/>
      <x:c r="AJ4273" s="87" t="str">
        <x:v>clean</x:v>
      </x:c>
      <x:c r="AK4273" s="87" t="str">
        <x:v>clean-v0.04</x:v>
      </x:c>
      <x:c r="AL4273" s="87" t="str">
        <x:v>statgrad_clean_continuation_v0_04(1).xlsx</x:v>
      </x:c>
      <x:c r="AM4273" s="87" t="str">
        <x:v>LIT_Dec_V1</x:v>
      </x:c>
      <x:c r="AN4273" s="87" t="n">
        <x:v>3</x:v>
      </x:c>
    </x:row>
    <x:row r="4274">
      <x:c r="A4274" s="87" t="n">
        <x:v>4273</x:v>
      </x:c>
      <x:c r="B4274" s="87" t="str">
        <x:v>DEC-LIT-V1-003</x:v>
      </x:c>
      <x:c r="C4274" s="87" t="str">
        <x:v>СтатГрад</x:v>
      </x:c>
      <x:c r="D4274" s="87" t="str">
        <x:v>Декабрь 2025</x:v>
      </x:c>
      <x:c r="E4274" s="87"/>
      <x:c r="F4274" s="87"/>
      <x:c r="G4274" s="87" t="str">
        <x:v>Литература</x:v>
      </x:c>
      <x:c r="H4274" s="87" t="n">
        <x:v>11</x:v>
      </x:c>
      <x:c r="I4274" s="87" t="str">
        <x:v>ТР №2</x:v>
      </x:c>
      <x:c r="J4274" s="87" t="str">
        <x:v>ЛИ2510201</x:v>
      </x:c>
      <x:c r="K4274" s="87" t="n">
        <x:v>3</x:v>
      </x:c>
      <x:c r="L4274" s="87" t="str">
        <x:v>Теория литературы: род и направление</x:v>
      </x:c>
      <x:c r="M4274" s="30" t="str">
        <x:v>Заполните пропуски: «Война и мир» относится к ... (род литературы) и следует традициям ... как литературного направления.</x:v>
      </x:c>
      <x:c r="N4274" s="30" t="str">
        <x:v>эпосуреализма</x:v>
      </x:c>
      <x:c r="O4274" s="30" t="str">
        <x:v>Роман-эпопея относится к эпосу; художественный метод Толстого связан с реализмом. В ответе слова записываются слитно.</x:v>
      </x:c>
      <x:c r="P4274" s="30" t="str">
        <x:v>Термины и требуемая форма записи сверены с условием.</x:v>
      </x:c>
      <x:c r="Q4274" s="30"/>
      <x:c r="R4274" s="30" t="str">
        <x:v>эпосуреализма</x:v>
      </x:c>
      <x:c r="S4274" s="30"/>
      <x:c r="T4274" s="30" t="str">
        <x:v>Kriterii_LI11_04122025.pdf, p. 1</x:v>
      </x:c>
      <x:c r="U4274" s="30" t="str">
        <x:v>Расхождений нет.</x:v>
      </x:c>
      <x:c r="V4274" s="87" t="str">
        <x:v>VERIFIED</x:v>
      </x:c>
      <x:c r="W4274" s="87" t="n">
        <x:v>3</x:v>
      </x:c>
      <x:c r="X4274" s="87"/>
      <x:c r="Y4274" s="87"/>
      <x:c r="Z4274" s="87"/>
      <x:c r="AA4274" s="87"/>
      <x:c r="AB4274" s="87"/>
      <x:c r="AC4274" s="87" t="str">
        <x:v>VIS-LIT-DEC-003</x:v>
      </x:c>
      <x:c r="AD4274" s="87"/>
      <x:c r="AE4274" s="87"/>
      <x:c r="AF4274" s="87" t="str">
        <x:v>VIS-LIT-DEC-003: 3</x:v>
      </x:c>
      <x:c r="AG4274" s="87" t="str">
        <x:v>RESOLVED</x:v>
      </x:c>
      <x:c r="AH4274" s="87" t="str">
        <x:v>CROP_VERIFIED</x:v>
      </x:c>
      <x:c r="AI4274" s="30"/>
      <x:c r="AJ4274" s="87" t="str">
        <x:v>clean</x:v>
      </x:c>
      <x:c r="AK4274" s="87" t="str">
        <x:v>clean-v0.04</x:v>
      </x:c>
      <x:c r="AL4274" s="87" t="str">
        <x:v>statgrad_clean_continuation_v0_04(1).xlsx</x:v>
      </x:c>
      <x:c r="AM4274" s="87" t="str">
        <x:v>LIT_Dec_V1</x:v>
      </x:c>
      <x:c r="AN4274" s="87" t="n">
        <x:v>4</x:v>
      </x:c>
    </x:row>
    <x:row r="4275">
      <x:c r="A4275" s="87" t="n">
        <x:v>4274</x:v>
      </x:c>
      <x:c r="B4275" s="87" t="str">
        <x:v>DEC-LIT-V1-004</x:v>
      </x:c>
      <x:c r="C4275" s="87" t="str">
        <x:v>СтатГрад</x:v>
      </x:c>
      <x:c r="D4275" s="87" t="str">
        <x:v>Декабрь 2025</x:v>
      </x:c>
      <x:c r="E4275" s="87"/>
      <x:c r="F4275" s="87"/>
      <x:c r="G4275" s="87" t="str">
        <x:v>Литература</x:v>
      </x:c>
      <x:c r="H4275" s="87" t="n">
        <x:v>11</x:v>
      </x:c>
      <x:c r="I4275" s="87" t="str">
        <x:v>ТР №2</x:v>
      </x:c>
      <x:c r="J4275" s="87" t="str">
        <x:v>ЛИ2510201</x:v>
      </x:c>
      <x:c r="K4275" s="87" t="n">
        <x:v>4</x:v>
      </x:c>
      <x:c r="L4275" s="87" t="str">
        <x:v>Развёрнутый ответ 4.1/4.2</x:v>
      </x:c>
      <x:c r="M4275" s="30" t="str">
        <x:v>Выберите одно: 4.1 — что изменилось в сознании противников вне боя? 4.2 — каковы причины веселья в рядах русских и французов?</x:v>
      </x:c>
      <x:c r="N4275" s="30" t="str">
        <x:v>4.1. Вне боя солдаты перестают воспринимать противника как безликую враждебную силу. Близость цепей позволяет увидеть лица и услышать живую речь, поэтому страх и ненависть уступают любопытству. Русские и французы переговариваются, наблюдают друг за другом и смеются. Даже спор Долохова с гренадёром остаётся словесным состязанием, а не столкновением. В сознании людей возникает ощущение общности: по обе стороны стоят такие же солдаты. Эпизод показывает противоестественность войны, которая заставляет этих людей убивать друг друга.
4.2. Веселье вызвано необычной мирной близостью противников и временным исчезновением боевого напряжения. Солдат забавляет чужая речь и ловкость Долохова, свободно спорящего с французом. Любопытные относятся к происходящему как к редкому зрелищу. Комизм создают языковой барьер, взаимные поддразнивания и уверенность каждого в своей армии. Смех объединяет русских и французов и подчёркивает, что вне приказа воевать они способны общаться по-человечески.</x:v>
      </x:c>
      <x:c r="O4275" s="30" t="str">
        <x:v>В обоих вариантах опора сделана на близость цепей, разговор, взаимное любопытство и общий смех; вывод связан с гуманистической позицией Толстого.</x:v>
      </x:c>
      <x:c r="P4275" s="30" t="str">
        <x:v>Проверено наличие тезиса, не менее двух текстовых опор и отсутствие искажения авторской позиции.</x:v>
      </x:c>
      <x:c r="Q4275" s="30"/>
      <x:c r="R4275" s="30" t="str">
        <x:v>Развёрнутый ответ по требованиям задания</x:v>
      </x:c>
      <x:c r="S4275" s="30"/>
      <x:c r="T4275" s="30" t="str">
        <x:v>Zadanie_LI11_04122025.pdf, p. 4</x:v>
      </x:c>
      <x:c r="U4275" s="30" t="str">
        <x:v>Официальный образец не приложен; дана проверенная модель ответа.</x:v>
      </x:c>
      <x:c r="V4275" s="87" t="str">
        <x:v>VERIFIED</x:v>
      </x:c>
      <x:c r="W4275" s="87" t="n">
        <x:v>4</x:v>
      </x:c>
      <x:c r="X4275" s="87"/>
      <x:c r="Y4275" s="87"/>
      <x:c r="Z4275" s="87"/>
      <x:c r="AA4275" s="87"/>
      <x:c r="AB4275" s="87"/>
      <x:c r="AC4275" s="87" t="str">
        <x:v>VIS-LIT-DEC-004</x:v>
      </x:c>
      <x:c r="AD4275" s="87"/>
      <x:c r="AE4275" s="87"/>
      <x:c r="AF4275" s="87" t="str">
        <x:v>VIS-LIT-DEC-004: 4</x:v>
      </x:c>
      <x:c r="AG4275" s="87" t="str">
        <x:v>RESOLVED</x:v>
      </x:c>
      <x:c r="AH4275" s="87" t="str">
        <x:v>CROP_VERIFIED</x:v>
      </x:c>
      <x:c r="AI4275" s="30"/>
      <x:c r="AJ4275" s="87" t="str">
        <x:v>clean</x:v>
      </x:c>
      <x:c r="AK4275" s="87" t="str">
        <x:v>clean-v0.04</x:v>
      </x:c>
      <x:c r="AL4275" s="87" t="str">
        <x:v>statgrad_clean_continuation_v0_04(1).xlsx</x:v>
      </x:c>
      <x:c r="AM4275" s="87" t="str">
        <x:v>LIT_Dec_V1</x:v>
      </x:c>
      <x:c r="AN4275" s="87" t="n">
        <x:v>5</x:v>
      </x:c>
    </x:row>
    <x:row r="4276">
      <x:c r="A4276" s="87" t="n">
        <x:v>4275</x:v>
      </x:c>
      <x:c r="B4276" s="87" t="str">
        <x:v>DEC-LIT-V1-005</x:v>
      </x:c>
      <x:c r="C4276" s="87" t="str">
        <x:v>СтатГрад</x:v>
      </x:c>
      <x:c r="D4276" s="87" t="str">
        <x:v>Декабрь 2025</x:v>
      </x:c>
      <x:c r="E4276" s="87"/>
      <x:c r="F4276" s="87"/>
      <x:c r="G4276" s="87" t="str">
        <x:v>Литература</x:v>
      </x:c>
      <x:c r="H4276" s="87" t="n">
        <x:v>11</x:v>
      </x:c>
      <x:c r="I4276" s="87" t="str">
        <x:v>ТР №2</x:v>
      </x:c>
      <x:c r="J4276" s="87" t="str">
        <x:v>ЛИ2510201</x:v>
      </x:c>
      <x:c r="K4276" s="87" t="n">
        <x:v>5</x:v>
      </x:c>
      <x:c r="L4276" s="87" t="str">
        <x:v>Сопоставительный развёрнутый ответ</x:v>
      </x:c>
      <x:c r="M4276" s="30" t="str">
        <x:v>Сопоставьте фрагмент «Войны и мира» с диалогом казаков и пленного австрийца, позже убитого Чубатым, в «Тихом Доне». В чём различие эпизодов?</x:v>
      </x:c>
      <x:c r="N4276" s="30" t="str">
        <x:v>У Толстого встреча противников временно разрушает границу между «своими» и «чужими»: солдаты видят лица друг друга, разговаривают и вместе смеются. Словесный спор Долохова и французского гренадёра не переходит в насилие, а подчёркивает человеческую общность участников войны. В «Тихом Доне» разговор с пленным австрийцем не спасает его: Чубатый хладнокровно убивает безоружного человека. Поэтому эпизод Шолохова показывает более глубокое нравственное ожесточение, при котором противник полностью лишается права на жизнь. У Толстого мирное общение обнажает противоестественность войны, а у Шолохова убийство демонстрирует её способность разрушать человеческое в самом солдате.</x:v>
      </x:c>
      <x:c r="O4276" s="30" t="str">
        <x:v>Различие строится на результате контакта: гуманизация и смех у Толстого — убийство и нравственная деградация у Шолохова.</x:v>
      </x:c>
      <x:c r="P4276" s="30" t="str">
        <x:v>Сопоставлены оба произведения, приведены конкретные эпизоды и объяснена функция каждого примера.</x:v>
      </x:c>
      <x:c r="Q4276" s="30"/>
      <x:c r="R4276" s="30" t="str">
        <x:v>Развёрнутый ответ по требованиям задания</x:v>
      </x:c>
      <x:c r="S4276" s="30"/>
      <x:c r="T4276" s="30" t="str">
        <x:v>Zadanie_LI11_04122025.pdf, p. 4</x:v>
      </x:c>
      <x:c r="U4276" s="30" t="str">
        <x:v>Официальный образец не приложен; дана проверенная модель ответа.</x:v>
      </x:c>
      <x:c r="V4276" s="87" t="str">
        <x:v>VERIFIED</x:v>
      </x:c>
      <x:c r="W4276" s="87" t="n">
        <x:v>4</x:v>
      </x:c>
      <x:c r="X4276" s="87"/>
      <x:c r="Y4276" s="87"/>
      <x:c r="Z4276" s="87"/>
      <x:c r="AA4276" s="87"/>
      <x:c r="AB4276" s="87"/>
      <x:c r="AC4276" s="87" t="str">
        <x:v>VIS-LIT-DEC-004</x:v>
      </x:c>
      <x:c r="AD4276" s="87"/>
      <x:c r="AE4276" s="87"/>
      <x:c r="AF4276" s="87" t="str">
        <x:v>VIS-LIT-DEC-004: 4</x:v>
      </x:c>
      <x:c r="AG4276" s="87" t="str">
        <x:v>RESOLVED</x:v>
      </x:c>
      <x:c r="AH4276" s="87" t="str">
        <x:v>CROP_VERIFIED</x:v>
      </x:c>
      <x:c r="AI4276" s="30"/>
      <x:c r="AJ4276" s="87" t="str">
        <x:v>clean</x:v>
      </x:c>
      <x:c r="AK4276" s="87" t="str">
        <x:v>clean-v0.04</x:v>
      </x:c>
      <x:c r="AL4276" s="87" t="str">
        <x:v>statgrad_clean_continuation_v0_04(1).xlsx</x:v>
      </x:c>
      <x:c r="AM4276" s="87" t="str">
        <x:v>LIT_Dec_V1</x:v>
      </x:c>
      <x:c r="AN4276" s="87" t="n">
        <x:v>6</x:v>
      </x:c>
    </x:row>
    <x:row r="4277">
      <x:c r="A4277" s="87" t="n">
        <x:v>4276</x:v>
      </x:c>
      <x:c r="B4277" s="87" t="str">
        <x:v>DEC-LIT-V1-006</x:v>
      </x:c>
      <x:c r="C4277" s="87" t="str">
        <x:v>СтатГрад</x:v>
      </x:c>
      <x:c r="D4277" s="87" t="str">
        <x:v>Декабрь 2025</x:v>
      </x:c>
      <x:c r="E4277" s="87"/>
      <x:c r="F4277" s="87"/>
      <x:c r="G4277" s="87" t="str">
        <x:v>Литература</x:v>
      </x:c>
      <x:c r="H4277" s="87" t="n">
        <x:v>11</x:v>
      </x:c>
      <x:c r="I4277" s="87" t="str">
        <x:v>ТР №2</x:v>
      </x:c>
      <x:c r="J4277" s="87" t="str">
        <x:v>ЛИ2510201</x:v>
      </x:c>
      <x:c r="K4277" s="87" t="n">
        <x:v>6</x:v>
      </x:c>
      <x:c r="L4277" s="87" t="str">
        <x:v>Теория стиха: метр и строфика</x:v>
      </x:c>
      <x:c r="M4277" s="30" t="str">
        <x:v>Определите стихотворный метр сонета «Август» и название четырёх частей — двух четверостиший и двух трёхстиший.</x:v>
      </x:c>
      <x:c r="N4277" s="30" t="str">
        <x:v>ямбомстроф</x:v>
      </x:c>
      <x:c r="O4277" s="30" t="str">
        <x:v>Чередование безударных и ударных слогов соответствует ямбу; композиционные части стихотворения называются строфами.</x:v>
      </x:c>
      <x:c r="P4277" s="30" t="str">
        <x:v>Ритмическая схема и терминология сверены независимо.</x:v>
      </x:c>
      <x:c r="Q4277" s="30"/>
      <x:c r="R4277" s="30" t="str">
        <x:v>ямбомстроф</x:v>
      </x:c>
      <x:c r="S4277" s="30"/>
      <x:c r="T4277" s="30" t="str">
        <x:v>Kriterii_LI11_04122025.pdf, p. 1</x:v>
      </x:c>
      <x:c r="U4277" s="30" t="str">
        <x:v>Расхождений нет.</x:v>
      </x:c>
      <x:c r="V4277" s="87" t="str">
        <x:v>VERIFIED</x:v>
      </x:c>
      <x:c r="W4277" s="87" t="n">
        <x:v>5</x:v>
      </x:c>
      <x:c r="X4277" s="87"/>
      <x:c r="Y4277" s="87"/>
      <x:c r="Z4277" s="87"/>
      <x:c r="AA4277" s="87"/>
      <x:c r="AB4277" s="87"/>
      <x:c r="AC4277" s="87" t="str">
        <x:v>VIS-LIT-DEC-005</x:v>
      </x:c>
      <x:c r="AD4277" s="87"/>
      <x:c r="AE4277" s="87"/>
      <x:c r="AF4277" s="87" t="str">
        <x:v>VIS-LIT-DEC-005: 5</x:v>
      </x:c>
      <x:c r="AG4277" s="87" t="str">
        <x:v>RESOLVED</x:v>
      </x:c>
      <x:c r="AH4277" s="87" t="str">
        <x:v>CROP_VERIFIED</x:v>
      </x:c>
      <x:c r="AI4277" s="30"/>
      <x:c r="AJ4277" s="87" t="str">
        <x:v>clean</x:v>
      </x:c>
      <x:c r="AK4277" s="87" t="str">
        <x:v>clean-v0.04</x:v>
      </x:c>
      <x:c r="AL4277" s="87" t="str">
        <x:v>statgrad_clean_continuation_v0_04(1).xlsx</x:v>
      </x:c>
      <x:c r="AM4277" s="87" t="str">
        <x:v>LIT_Dec_V1</x:v>
      </x:c>
      <x:c r="AN4277" s="87" t="n">
        <x:v>7</x:v>
      </x:c>
    </x:row>
    <x:row r="4278">
      <x:c r="A4278" s="87" t="n">
        <x:v>4277</x:v>
      </x:c>
      <x:c r="B4278" s="87" t="str">
        <x:v>DEC-LIT-V1-007</x:v>
      </x:c>
      <x:c r="C4278" s="87" t="str">
        <x:v>СтатГрад</x:v>
      </x:c>
      <x:c r="D4278" s="87" t="str">
        <x:v>Декабрь 2025</x:v>
      </x:c>
      <x:c r="E4278" s="87"/>
      <x:c r="F4278" s="87"/>
      <x:c r="G4278" s="87" t="str">
        <x:v>Литература</x:v>
      </x:c>
      <x:c r="H4278" s="87" t="n">
        <x:v>11</x:v>
      </x:c>
      <x:c r="I4278" s="87" t="str">
        <x:v>ТР №2</x:v>
      </x:c>
      <x:c r="J4278" s="87" t="str">
        <x:v>ЛИ2510201</x:v>
      </x:c>
      <x:c r="K4278" s="87" t="n">
        <x:v>7</x:v>
      </x:c>
      <x:c r="L4278" s="87" t="str">
        <x:v>Рифмовка</x:v>
      </x:c>
      <x:c r="M4278" s="30" t="str">
        <x:v>Укажите вид рифмовки в двух первых строфах стихотворения «Август».</x:v>
      </x:c>
      <x:c r="N4278" s="30" t="str">
        <x:v>кольцевая</x:v>
      </x:c>
      <x:c r="O4278" s="30" t="str">
        <x:v>В четверостишиях крайние строки рифмуются между собой, как и две внутренние: ABBA. Допустимые синонимы — опоясывающая, опоясанная, охватная.</x:v>
      </x:c>
      <x:c r="P4278" s="30" t="str">
        <x:v>Схема рифмовки проверена по окончаниям строк.</x:v>
      </x:c>
      <x:c r="Q4278" s="30"/>
      <x:c r="R4278" s="30" t="str">
        <x:v>кольцевая; опоясывающая; опоясанная; охватная</x:v>
      </x:c>
      <x:c r="S4278" s="30"/>
      <x:c r="T4278" s="30" t="str">
        <x:v>Kriterii_LI11_04122025.pdf, p. 1</x:v>
      </x:c>
      <x:c r="U4278" s="30" t="str">
        <x:v>Выбран один официальный допустимый вариант.</x:v>
      </x:c>
      <x:c r="V4278" s="87" t="str">
        <x:v>VERIFIED</x:v>
      </x:c>
      <x:c r="W4278" s="87" t="n">
        <x:v>5</x:v>
      </x:c>
      <x:c r="X4278" s="87"/>
      <x:c r="Y4278" s="87"/>
      <x:c r="Z4278" s="87"/>
      <x:c r="AA4278" s="87"/>
      <x:c r="AB4278" s="87"/>
      <x:c r="AC4278" s="87" t="str">
        <x:v>VIS-LIT-DEC-005</x:v>
      </x:c>
      <x:c r="AD4278" s="87"/>
      <x:c r="AE4278" s="87"/>
      <x:c r="AF4278" s="87" t="str">
        <x:v>VIS-LIT-DEC-005: 5</x:v>
      </x:c>
      <x:c r="AG4278" s="87" t="str">
        <x:v>RESOLVED</x:v>
      </x:c>
      <x:c r="AH4278" s="87" t="str">
        <x:v>CROP_VERIFIED</x:v>
      </x:c>
      <x:c r="AI4278" s="30"/>
      <x:c r="AJ4278" s="87" t="str">
        <x:v>clean</x:v>
      </x:c>
      <x:c r="AK4278" s="87" t="str">
        <x:v>clean-v0.04</x:v>
      </x:c>
      <x:c r="AL4278" s="87" t="str">
        <x:v>statgrad_clean_continuation_v0_04(1).xlsx</x:v>
      </x:c>
      <x:c r="AM4278" s="87" t="str">
        <x:v>LIT_Dec_V1</x:v>
      </x:c>
      <x:c r="AN4278" s="87" t="n">
        <x:v>8</x:v>
      </x:c>
    </x:row>
    <x:row r="4279">
      <x:c r="A4279" s="87" t="n">
        <x:v>4278</x:v>
      </x:c>
      <x:c r="B4279" s="87" t="str">
        <x:v>DEC-LIT-V1-008</x:v>
      </x:c>
      <x:c r="C4279" s="87" t="str">
        <x:v>СтатГрад</x:v>
      </x:c>
      <x:c r="D4279" s="87" t="str">
        <x:v>Декабрь 2025</x:v>
      </x:c>
      <x:c r="E4279" s="87"/>
      <x:c r="F4279" s="87"/>
      <x:c r="G4279" s="87" t="str">
        <x:v>Литература</x:v>
      </x:c>
      <x:c r="H4279" s="87" t="n">
        <x:v>11</x:v>
      </x:c>
      <x:c r="I4279" s="87" t="str">
        <x:v>ТР №2</x:v>
      </x:c>
      <x:c r="J4279" s="87" t="str">
        <x:v>ЛИ2510201</x:v>
      </x:c>
      <x:c r="K4279" s="87" t="n">
        <x:v>8</x:v>
      </x:c>
      <x:c r="L4279" s="87" t="str">
        <x:v>Средства выразительности: множественный выбор</x:v>
      </x:c>
      <x:c r="M4279" s="30" t="str">
        <x:v>Выберите художественные средства: эпитет, парцелляция, олицетворение, риторический вопрос, инверсия, сарказм, звукопись.</x:v>
      </x:c>
      <x:c r="N4279" s="30" t="str">
        <x:v>1357</x:v>
      </x:c>
      <x:c r="O4279" s="30" t="str">
        <x:v>В тексте есть эпитеты («нежный и спокойный», «грустные мечты»), олицетворение августа, инверсионный порядок слов и звуковые повторы, создающие плавное музыкальное звучание. Парцелляции, риторического вопроса и сарказма нет.</x:v>
      </x:c>
      <x:c r="P4279" s="30" t="str">
        <x:v>Каждая позиция проверена на конкретных примерах из сонета.</x:v>
      </x:c>
      <x:c r="Q4279" s="30"/>
      <x:c r="R4279" s="30" t="str">
        <x:v>1357</x:v>
      </x:c>
      <x:c r="S4279" s="30"/>
      <x:c r="T4279" s="30" t="str">
        <x:v>Kriterii_LI11_04122025.pdf, p. 1</x:v>
      </x:c>
      <x:c r="U4279" s="30" t="str">
        <x:v>Порядок цифр по условию не имеет значения.</x:v>
      </x:c>
      <x:c r="V4279" s="87" t="str">
        <x:v>VERIFIED</x:v>
      </x:c>
      <x:c r="W4279" s="87" t="n">
        <x:v>6</x:v>
      </x:c>
      <x:c r="X4279" s="87"/>
      <x:c r="Y4279" s="87"/>
      <x:c r="Z4279" s="87"/>
      <x:c r="AA4279" s="87"/>
      <x:c r="AB4279" s="87"/>
      <x:c r="AC4279" s="87" t="str">
        <x:v>VIS-LIT-DEC-006</x:v>
      </x:c>
      <x:c r="AD4279" s="87"/>
      <x:c r="AE4279" s="87"/>
      <x:c r="AF4279" s="87" t="str">
        <x:v>VIS-LIT-DEC-006: 6</x:v>
      </x:c>
      <x:c r="AG4279" s="87" t="str">
        <x:v>RESOLVED</x:v>
      </x:c>
      <x:c r="AH4279" s="87" t="str">
        <x:v>CROP_VERIFIED</x:v>
      </x:c>
      <x:c r="AI4279" s="30"/>
      <x:c r="AJ4279" s="87" t="str">
        <x:v>clean</x:v>
      </x:c>
      <x:c r="AK4279" s="87" t="str">
        <x:v>clean-v0.04</x:v>
      </x:c>
      <x:c r="AL4279" s="87" t="str">
        <x:v>statgrad_clean_continuation_v0_04(1).xlsx</x:v>
      </x:c>
      <x:c r="AM4279" s="87" t="str">
        <x:v>LIT_Dec_V1</x:v>
      </x:c>
      <x:c r="AN4279" s="87" t="n">
        <x:v>9</x:v>
      </x:c>
    </x:row>
    <x:row r="4280">
      <x:c r="A4280" s="87" t="n">
        <x:v>4279</x:v>
      </x:c>
      <x:c r="B4280" s="87" t="str">
        <x:v>DEC-LIT-V1-009</x:v>
      </x:c>
      <x:c r="C4280" s="87" t="str">
        <x:v>СтатГрад</x:v>
      </x:c>
      <x:c r="D4280" s="87" t="str">
        <x:v>Декабрь 2025</x:v>
      </x:c>
      <x:c r="E4280" s="87"/>
      <x:c r="F4280" s="87"/>
      <x:c r="G4280" s="87" t="str">
        <x:v>Литература</x:v>
      </x:c>
      <x:c r="H4280" s="87" t="n">
        <x:v>11</x:v>
      </x:c>
      <x:c r="I4280" s="87" t="str">
        <x:v>ТР №2</x:v>
      </x:c>
      <x:c r="J4280" s="87" t="str">
        <x:v>ЛИ2510201</x:v>
      </x:c>
      <x:c r="K4280" s="87" t="n">
        <x:v>9</x:v>
      </x:c>
      <x:c r="L4280" s="87" t="str">
        <x:v>Развёрнутый ответ 9.1/9.2</x:v>
      </x:c>
      <x:c r="M4280" s="30" t="str">
        <x:v>Выберите одно: 9.1 — черты символизма в стихотворении; 9.2 — философский смысл «Августа».</x:v>
      </x:c>
      <x:c r="N4280" s="30" t="str">
        <x:v>9.1. Стихотворение передаёт не столько точную картину природы, сколько тонкое состояние души, что характерно для символизма. Август олицетворён и становится символом зрелости, завершения и прощания. Конкретные детали — золотые листья, тяжёлый сноп, отлетающие журавли — получают обобщённый смысл. Музыкальность создаётся сонетной формой, звуковыми повторами и плавными интонациями. Через соответствие природы и внутреннего мира лирического героя возникает ощущение тайны быстротечной красоты.
9.2. Философский смысл сонета связан с неизбежностью увядания и ценностью зрелого итога. Август осознаёт мимолётность красоты, но это знание не рождает отчаяния: чувства приведены в «стройный порядок». Серп и прощальный крик журавлей напоминают о завершении жизненного цикла. Одновременно наливные колосья, плоды и тяжёлый сноп обозначают полноту и плодотворность прожитого. Поэтому уход воспринимается как естественный переход, в котором печаль соединена с покоем и благодарным принятием жизни.</x:v>
      </x:c>
      <x:c r="O4280" s="30" t="str">
        <x:v>Оба варианта раскрывают символику образов, связь природы с человеческой жизнью и смысл композиции сонета.</x:v>
      </x:c>
      <x:c r="P4280" s="30" t="str">
        <x:v>Проверено наличие тезиса, двух и более текстовых примеров и объяснения их роли.</x:v>
      </x:c>
      <x:c r="Q4280" s="30"/>
      <x:c r="R4280" s="30" t="str">
        <x:v>Развёрнутый ответ по требованиям задания</x:v>
      </x:c>
      <x:c r="S4280" s="30"/>
      <x:c r="T4280" s="30" t="str">
        <x:v>Zadanie_LI11_04122025.pdf, p. 6</x:v>
      </x:c>
      <x:c r="U4280" s="30" t="str">
        <x:v>Официальный образец не приложен; дана проверенная модель ответа.</x:v>
      </x:c>
      <x:c r="V4280" s="87" t="str">
        <x:v>VERIFIED</x:v>
      </x:c>
      <x:c r="W4280" s="87" t="n">
        <x:v>6</x:v>
      </x:c>
      <x:c r="X4280" s="87"/>
      <x:c r="Y4280" s="87"/>
      <x:c r="Z4280" s="87"/>
      <x:c r="AA4280" s="87"/>
      <x:c r="AB4280" s="87"/>
      <x:c r="AC4280" s="87" t="str">
        <x:v>VIS-LIT-DEC-006</x:v>
      </x:c>
      <x:c r="AD4280" s="87"/>
      <x:c r="AE4280" s="87"/>
      <x:c r="AF4280" s="87" t="str">
        <x:v>VIS-LIT-DEC-006: 6</x:v>
      </x:c>
      <x:c r="AG4280" s="87" t="str">
        <x:v>RESOLVED</x:v>
      </x:c>
      <x:c r="AH4280" s="87" t="str">
        <x:v>CROP_VERIFIED</x:v>
      </x:c>
      <x:c r="AI4280" s="30"/>
      <x:c r="AJ4280" s="87" t="str">
        <x:v>clean</x:v>
      </x:c>
      <x:c r="AK4280" s="87" t="str">
        <x:v>clean-v0.04</x:v>
      </x:c>
      <x:c r="AL4280" s="87" t="str">
        <x:v>statgrad_clean_continuation_v0_04(1).xlsx</x:v>
      </x:c>
      <x:c r="AM4280" s="87" t="str">
        <x:v>LIT_Dec_V1</x:v>
      </x:c>
      <x:c r="AN4280" s="87" t="n">
        <x:v>10</x:v>
      </x:c>
    </x:row>
    <x:row r="4281">
      <x:c r="A4281" s="87" t="n">
        <x:v>4280</x:v>
      </x:c>
      <x:c r="B4281" s="87" t="str">
        <x:v>DEC-LIT-V1-010</x:v>
      </x:c>
      <x:c r="C4281" s="87" t="str">
        <x:v>СтатГрад</x:v>
      </x:c>
      <x:c r="D4281" s="87" t="str">
        <x:v>Декабрь 2025</x:v>
      </x:c>
      <x:c r="E4281" s="87"/>
      <x:c r="F4281" s="87"/>
      <x:c r="G4281" s="87" t="str">
        <x:v>Литература</x:v>
      </x:c>
      <x:c r="H4281" s="87" t="n">
        <x:v>11</x:v>
      </x:c>
      <x:c r="I4281" s="87" t="str">
        <x:v>ТР №2</x:v>
      </x:c>
      <x:c r="J4281" s="87" t="str">
        <x:v>ЛИ2510201</x:v>
      </x:c>
      <x:c r="K4281" s="87" t="n">
        <x:v>10</x:v>
      </x:c>
      <x:c r="L4281" s="87" t="str">
        <x:v>Сопоставление лирических произведений</x:v>
      </x:c>
      <x:c r="M4281" s="30" t="str">
        <x:v>Назовите стихотворение другого поэта о времени года и сопоставьте его со стихотворением К.Д. Бальмонта.</x:v>
      </x:c>
      <x:c r="N4281" s="30" t="str">
        <x:v>Для сопоставления можно взять стихотворение А.С. Пушкина «Осень». Оба поэта видят красоту в поре увядания и соединяют любование природой с размышлением о времени. У Бальмонта август тих, строен и сосредоточен на прощании: журавли улетают, а серп напоминает о завершении цикла. Пушкинская осень, напротив, вызывает прилив жизненных и творческих сил; её увядание парадоксально становится источником вдохновения. Таким образом, произведения сходны вниманием к зрелой красоте природы, но различаются эмоциональным итогом: у Бальмонта преобладает спокойное принятие ухода, у Пушкина — энергия творческого пробуждения.</x:v>
      </x:c>
      <x:c r="O4281" s="30" t="str">
        <x:v>Выбрано опубликованное произведение другого автора; указаны и сходство, и различие, каждое подтверждено примером и объяснением.</x:v>
      </x:c>
      <x:c r="P4281" s="30" t="str">
        <x:v>Сопоставление проверено по содержанию обоих стихотворений и требованиям задания.</x:v>
      </x:c>
      <x:c r="Q4281" s="30"/>
      <x:c r="R4281" s="30" t="str">
        <x:v>Развёрнутый ответ по требованиям задания</x:v>
      </x:c>
      <x:c r="S4281" s="30"/>
      <x:c r="T4281" s="30" t="str">
        <x:v>Zadanie_LI11_04122025.pdf, p. 7</x:v>
      </x:c>
      <x:c r="U4281" s="30" t="str">
        <x:v>Официальный образец не приложен; дана проверенная модель ответа.</x:v>
      </x:c>
      <x:c r="V4281" s="87" t="str">
        <x:v>VERIFIED</x:v>
      </x:c>
      <x:c r="W4281" s="87" t="n">
        <x:v>7</x:v>
      </x:c>
      <x:c r="X4281" s="87"/>
      <x:c r="Y4281" s="87"/>
      <x:c r="Z4281" s="87"/>
      <x:c r="AA4281" s="87"/>
      <x:c r="AB4281" s="87"/>
      <x:c r="AC4281" s="87" t="str">
        <x:v>VIS-LIT-DEC-007</x:v>
      </x:c>
      <x:c r="AD4281" s="87"/>
      <x:c r="AE4281" s="87"/>
      <x:c r="AF4281" s="87" t="str">
        <x:v>VIS-LIT-DEC-007: 7</x:v>
      </x:c>
      <x:c r="AG4281" s="87" t="str">
        <x:v>RESOLVED</x:v>
      </x:c>
      <x:c r="AH4281" s="87" t="str">
        <x:v>CROP_VERIFIED</x:v>
      </x:c>
      <x:c r="AI4281" s="30"/>
      <x:c r="AJ4281" s="87" t="str">
        <x:v>clean</x:v>
      </x:c>
      <x:c r="AK4281" s="87" t="str">
        <x:v>clean-v0.04</x:v>
      </x:c>
      <x:c r="AL4281" s="87" t="str">
        <x:v>statgrad_clean_continuation_v0_04(1).xlsx</x:v>
      </x:c>
      <x:c r="AM4281" s="87" t="str">
        <x:v>LIT_Dec_V1</x:v>
      </x:c>
      <x:c r="AN4281" s="87" t="n">
        <x:v>11</x:v>
      </x:c>
    </x:row>
    <x:row r="4282">
      <x:c r="A4282" s="87" t="n">
        <x:v>4281</x:v>
      </x:c>
      <x:c r="B4282" s="87" t="str">
        <x:v>DEC-LIT-V1-011</x:v>
      </x:c>
      <x:c r="C4282" s="87" t="str">
        <x:v>СтатГрад</x:v>
      </x:c>
      <x:c r="D4282" s="87" t="str">
        <x:v>Декабрь 2025</x:v>
      </x:c>
      <x:c r="E4282" s="87"/>
      <x:c r="F4282" s="87"/>
      <x:c r="G4282" s="87" t="str">
        <x:v>Литература</x:v>
      </x:c>
      <x:c r="H4282" s="87" t="n">
        <x:v>11</x:v>
      </x:c>
      <x:c r="I4282" s="87" t="str">
        <x:v>ТР №2</x:v>
      </x:c>
      <x:c r="J4282" s="87" t="str">
        <x:v>ЛИ2510201</x:v>
      </x:c>
      <x:c r="K4282" s="87" t="n">
        <x:v>11</x:v>
      </x:c>
      <x:c r="L4282" s="87" t="str">
        <x:v>Сочинение: пять тем части 2</x:v>
      </x:c>
      <x:c r="M4282" s="30" t="str">
        <x:v>Выберите одну тему 11.1–11.5 и напишите сочинение не менее 200 слов с минимум тремя аргументированными утверждениями и двумя теоретико-литературными понятиями.</x:v>
      </x:c>
      <x:c r="N4282" s="30" t="str">
        <x:v>Рабочие каркасы для выбора темы:
11.1 «Горе от ума». 1) Фамусовское общество оценивает человека по чину и богатству: идеал Фамусова — служебный успех Максима Петровича, желанный жених — Скалозуб. 2) Социальная среда поощряет лицемерие и приспособленчество, воплощённые в Молчалине. 3) Свободная мысль объявляется опасной: общество охотно принимает слух о безумии Чацкого. Понятия: комедия, общественный конфликт, сатира, говорящая фамилия.
11.2 Н.С. Лесков, «Левша». 1) Сюжет о подкованной английской блохе раскрывает исключительный талант русских мастеров. 2) Патриотизм Левши противопоставлен равнодушию чиновной системы. 3) Трагическая гибель героя и непринятое предупреждение о чистке ружей превращают рассказ в размышление об ответственности государства перед народом. Понятия: сказ, ирония, гротеск, трагический финал.
11.3 А.А. Блок, «Двенадцать». 1) Революционный Петроград показан через метель, темноту и разорванные уличные голоса как пространство хаоса. 2) Контраст старого и нового мира выражен в символических фигурах буржуя, «безродного пса» и красногвардейского патруля. 3) Двенадцать несут одновременно разрушение и историческое движение; финальный образ Христа сохраняет смысловую неоднозначность. Понятия: поэма, символ, контраст, лейтмотив, полифония.
11.4 Ф.М. Достоевский, «Преступление и наказание». 1) Заглавие обозначает не только убийство и юридическую кару, но и духовный процесс. 2) Преступление начинается с теории Раскольникова, а наказание — с одиночества, страха и мук совести задолго до каторги. 3) Признание и любовь Сони открывают возможность нравственного воскресения. Понятия: психологический роман, внутренний конфликт, антитеза, символ.
11.5 Иллюстрации к балладам В.А. Жуковского. Следует передать пограничную атмосферу ночи, сна и тайны, используя контраст света и тьмы. Для «Светланы» важны гадание, тревожный сон и спасительный утренний свет; композиция должна сохранять неопределённость между реальным и сверхъестественным. Образы героев, интерьер и костюмы должны поддерживать историческую среду, но главное — выражать страх, надежду и нравственный смысл баллады. Понятия: баллада, романтизм, фантастика, антитеза, символическая деталь.</x:v>
      </x:c>
      <x:c r="O4282" s="30" t="str">
        <x:v>Для каждой темы сформулированы не менее трёх направлений аргументации, названы конкретные эпизоды и подходящие теоретико-литературные понятия.</x:v>
      </x:c>
      <x:c r="P4282" s="30" t="str">
        <x:v>Каркасы проверены на соответствие теме, авторской позиции и требованиям части 2; при написании их нужно развернуть до 200+ слов.</x:v>
      </x:c>
      <x:c r="Q4282" s="30"/>
      <x:c r="R4282" s="30" t="str">
        <x:v>Сочинение по одной из тем; единый официальный текст не предусмотрен</x:v>
      </x:c>
      <x:c r="S4282" s="30"/>
      <x:c r="T4282" s="30" t="str">
        <x:v>Zadanie_LI11_04122025.pdf, p. 8</x:v>
      </x:c>
      <x:c r="U4282" s="30" t="str">
        <x:v>Официальный образец не приложен; даны проверенные планы всех пяти тем.</x:v>
      </x:c>
      <x:c r="V4282" s="87" t="str">
        <x:v>VERIFIED</x:v>
      </x:c>
      <x:c r="W4282" s="87" t="n">
        <x:v>8</x:v>
      </x:c>
      <x:c r="X4282" s="87"/>
      <x:c r="Y4282" s="87"/>
      <x:c r="Z4282" s="87"/>
      <x:c r="AA4282" s="87"/>
      <x:c r="AB4282" s="87"/>
      <x:c r="AC4282" s="87" t="str">
        <x:v>VIS-LIT-DEC-008</x:v>
      </x:c>
      <x:c r="AD4282" s="87"/>
      <x:c r="AE4282" s="87"/>
      <x:c r="AF4282" s="87" t="str">
        <x:v>VIS-LIT-DEC-008: 8</x:v>
      </x:c>
      <x:c r="AG4282" s="87" t="str">
        <x:v>RESOLVED</x:v>
      </x:c>
      <x:c r="AH4282" s="87" t="str">
        <x:v>CROP_VERIFIED</x:v>
      </x:c>
      <x:c r="AI4282" s="30"/>
      <x:c r="AJ4282" s="87" t="str">
        <x:v>clean</x:v>
      </x:c>
      <x:c r="AK4282" s="87" t="str">
        <x:v>clean-v0.04</x:v>
      </x:c>
      <x:c r="AL4282" s="87" t="str">
        <x:v>statgrad_clean_continuation_v0_04(1).xlsx</x:v>
      </x:c>
      <x:c r="AM4282" s="87" t="str">
        <x:v>LIT_Dec_V1</x:v>
      </x:c>
      <x:c r="AN4282" s="87" t="n">
        <x:v>12</x:v>
      </x:c>
    </x:row>
    <x:row r="4283">
      <x:c r="A4283" s="87" t="n">
        <x:v>4282</x:v>
      </x:c>
      <x:c r="B4283" s="87" t="str">
        <x:v>DEC-SOC-01-001</x:v>
      </x:c>
      <x:c r="C4283" s="87" t="str">
        <x:v>СтатГрад</x:v>
      </x:c>
      <x:c r="D4283" s="87" t="str">
        <x:v>Декабрь 2025</x:v>
      </x:c>
      <x:c r="E4283" s="87"/>
      <x:c r="F4283" s="87"/>
      <x:c r="G4283" s="87" t="str">
        <x:v>Обществознание</x:v>
      </x:c>
      <x:c r="H4283" s="87" t="n">
        <x:v>11</x:v>
      </x:c>
      <x:c r="I4283" s="87" t="str">
        <x:v>ТР №3</x:v>
      </x:c>
      <x:c r="J4283" s="87" t="str">
        <x:v>ОБ2510301</x:v>
      </x:c>
      <x:c r="K4283" s="87" t="n">
        <x:v>1</x:v>
      </x:c>
      <x:c r="L4283" s="87" t="str">
        <x:v>Выбор двух исключений</x:v>
      </x:c>
      <x:c r="M4283" s="30" t="str">
        <x:v>Ниже приведён перечень понятий. Все они, за исключением двух, относятся
    к предписанному социальному статусу.
    1) женщина; 2) ребёнок; 3) студент; 4) пожилой человек; 5) сын; 6) муж.
    Найдите два понятия, «выпадающих» из общего ряда, и запишите в таблицу
    цифры, под которыми они указаны.</x:v>
      </x:c>
      <x:c r="N4283" s="30" t="str">
        <x:v>36</x:v>
      </x:c>
      <x:c r="O4283" s="30" t="str">
        <x:v>Студент и муж — достигаемые статусы; женщина, ребёнок, пожилой человек и сын относятся к предписанным.</x:v>
      </x:c>
      <x:c r="P4283" s="30" t="str">
        <x:v>Каждая выбранная позиция или соответствие проверены по обществоведческим понятиям и условию; официальный ключ совпал.</x:v>
      </x:c>
      <x:c r="Q4283" s="30"/>
      <x:c r="R4283" s="30" t="str">
        <x:v>36</x:v>
      </x:c>
      <x:c r="S4283" s="30"/>
      <x:c r="T4283" s="30" t="str">
        <x:v>Kriterii_OB11_10122025_1_2.pdf, p. 1</x:v>
      </x:c>
      <x:c r="U4283" s="30" t="str">
        <x:v>Расхождений нет.</x:v>
      </x:c>
      <x:c r="V4283" s="87" t="str">
        <x:v>VERIFIED</x:v>
      </x:c>
      <x:c r="W4283" s="87" t="n">
        <x:v>2</x:v>
      </x:c>
      <x:c r="X4283" s="87"/>
      <x:c r="Y4283" s="87"/>
      <x:c r="Z4283" s="87"/>
      <x:c r="AA4283" s="87"/>
      <x:c r="AB4283" s="87"/>
      <x:c r="AC4283" s="87" t="str">
        <x:v>VIS-SOC-DEC-TASK-12-P002</x:v>
      </x:c>
      <x:c r="AD4283" s="87"/>
      <x:c r="AE4283" s="87" t="str">
        <x:v>TASK</x:v>
      </x:c>
      <x:c r="AF4283" s="87"/>
      <x:c r="AG4283" s="87" t="str">
        <x:v>RESOLVED</x:v>
      </x:c>
      <x:c r="AH4283" s="87" t="str">
        <x:v>CROP_VERIFIED</x:v>
      </x:c>
      <x:c r="AI4283" s="30"/>
      <x:c r="AJ4283" s="87" t="str">
        <x:v>clean</x:v>
      </x:c>
      <x:c r="AK4283" s="87" t="str">
        <x:v>clean-v0.05</x:v>
      </x:c>
      <x:c r="AL4283" s="87" t="str">
        <x:v>statgrad_clean_continuation_v0_05(1)(1).xlsx</x:v>
      </x:c>
      <x:c r="AM4283" s="87" t="str">
        <x:v>SOC_Dec_V1</x:v>
      </x:c>
      <x:c r="AN4283" s="87" t="n">
        <x:v>2</x:v>
      </x:c>
    </x:row>
    <x:row r="4284">
      <x:c r="A4284" s="87" t="n">
        <x:v>4283</x:v>
      </x:c>
      <x:c r="B4284" s="87" t="str">
        <x:v>DEC-SOC-01-002</x:v>
      </x:c>
      <x:c r="C4284" s="87" t="str">
        <x:v>СтатГрад</x:v>
      </x:c>
      <x:c r="D4284" s="87" t="str">
        <x:v>Декабрь 2025</x:v>
      </x:c>
      <x:c r="E4284" s="87"/>
      <x:c r="F4284" s="87"/>
      <x:c r="G4284" s="87" t="str">
        <x:v>Обществознание</x:v>
      </x:c>
      <x:c r="H4284" s="87" t="n">
        <x:v>11</x:v>
      </x:c>
      <x:c r="I4284" s="87" t="str">
        <x:v>ТР №3</x:v>
      </x:c>
      <x:c r="J4284" s="87" t="str">
        <x:v>ОБ2510301</x:v>
      </x:c>
      <x:c r="K4284" s="87" t="n">
        <x:v>2</x:v>
      </x:c>
      <x:c r="L4284" s="87" t="str">
        <x:v>Множественный выбор</x:v>
      </x:c>
      <x:c r="M4284" s="30" t="str">
        <x:v>Выберите верные суждения о научном познании.
    1) Целью научного познания является получение объективных и системных
       знаний о природе, человеке и обществе.
    2) Большую роль в научном познании играют эмоции и воображение
       познающего субъекта.
    3) Особенностями научного познания являются непротиворечивость
       и проверяемость полученных результатов.
    4) В научном познании выделяются эмпирический и теоретический уровни.
    5) Одной из форм научного познания является анализ.</x:v>
      </x:c>
      <x:c r="N4284" s="30" t="str">
        <x:v>134</x:v>
      </x:c>
      <x:c r="O4284" s="30" t="str">
        <x:v>Постиндустриальное общество сформировалось в XX веке, отличается ведущей ролью услуг и информации и высокой социальной мобильностью.</x:v>
      </x:c>
      <x:c r="P4284" s="30" t="str">
        <x:v>Каждая выбранная позиция или соответствие проверены по обществоведческим понятиям и условию; официальный ключ совпал.</x:v>
      </x:c>
      <x:c r="Q4284" s="30"/>
      <x:c r="R4284" s="30" t="str">
        <x:v>134</x:v>
      </x:c>
      <x:c r="S4284" s="30"/>
      <x:c r="T4284" s="30" t="str">
        <x:v>Kriterii_OB11_10122025_1_2.pdf, p. 1</x:v>
      </x:c>
      <x:c r="U4284" s="30" t="str">
        <x:v>Расхождений нет.</x:v>
      </x:c>
      <x:c r="V4284" s="87" t="str">
        <x:v>VERIFIED</x:v>
      </x:c>
      <x:c r="W4284" s="87" t="n">
        <x:v>2</x:v>
      </x:c>
      <x:c r="X4284" s="87"/>
      <x:c r="Y4284" s="87"/>
      <x:c r="Z4284" s="87"/>
      <x:c r="AA4284" s="87"/>
      <x:c r="AB4284" s="87"/>
      <x:c r="AC4284" s="87" t="str">
        <x:v>VIS-SOC-DEC-TASK-12-P002</x:v>
      </x:c>
      <x:c r="AD4284" s="87"/>
      <x:c r="AE4284" s="87" t="str">
        <x:v>TASK</x:v>
      </x:c>
      <x:c r="AF4284" s="87"/>
      <x:c r="AG4284" s="87" t="str">
        <x:v>RESOLVED</x:v>
      </x:c>
      <x:c r="AH4284" s="87" t="str">
        <x:v>CROP_VERIFIED</x:v>
      </x:c>
      <x:c r="AI4284" s="30"/>
      <x:c r="AJ4284" s="87" t="str">
        <x:v>clean</x:v>
      </x:c>
      <x:c r="AK4284" s="87" t="str">
        <x:v>clean-v0.05</x:v>
      </x:c>
      <x:c r="AL4284" s="87" t="str">
        <x:v>statgrad_clean_continuation_v0_05(1)(1).xlsx</x:v>
      </x:c>
      <x:c r="AM4284" s="87" t="str">
        <x:v>SOC_Dec_V1</x:v>
      </x:c>
      <x:c r="AN4284" s="87" t="n">
        <x:v>3</x:v>
      </x:c>
    </x:row>
    <x:row r="4285">
      <x:c r="A4285" s="87" t="n">
        <x:v>4284</x:v>
      </x:c>
      <x:c r="B4285" s="87" t="str">
        <x:v>DEC-SOC-01-003</x:v>
      </x:c>
      <x:c r="C4285" s="87" t="str">
        <x:v>СтатГрад</x:v>
      </x:c>
      <x:c r="D4285" s="87" t="str">
        <x:v>Декабрь 2025</x:v>
      </x:c>
      <x:c r="E4285" s="87"/>
      <x:c r="F4285" s="87"/>
      <x:c r="G4285" s="87" t="str">
        <x:v>Обществознание</x:v>
      </x:c>
      <x:c r="H4285" s="87" t="n">
        <x:v>11</x:v>
      </x:c>
      <x:c r="I4285" s="87" t="str">
        <x:v>ТР №3</x:v>
      </x:c>
      <x:c r="J4285" s="87" t="str">
        <x:v>ОБ2510301</x:v>
      </x:c>
      <x:c r="K4285" s="87" t="n">
        <x:v>3</x:v>
      </x:c>
      <x:c r="L4285" s="87" t="str">
        <x:v>Установление соответствия</x:v>
      </x:c>
      <x:c r="M4285" s="30" t="str">
        <x:v>Установите соответствие между характеристиками и тенденциями в развитии
    образования: к каждой позиции, данной в первом столбце, подберите
    соответствующую позицию из второго столбца.
                 ХАРАКТЕРИСТИКА                             ТЕНДЕНЦИЯ РАЗВИТИЯ
                                                                ОБРАЗОВАНИЯ
    А) усиление внимания к индивидуальным                 1) демократизация
       особенностям обучающихся                           2) информатизация
    Б) внедрение здоровьесберегающих                      3) гуманизация
       технологий обучения
    В) рост доступности среднего и высшего
       образования для широких слоев
       населения
    Г) широкое внедрение дистанционного
       обучения через интернет
    Д) развитие ученического самоуправления
       в учебных заведениях
    Запишите в таблицу выбранные цифры под соответствующими буквами.
               А Б В Г Д</x:v>
      </x:c>
      <x:c r="N4285" s="30" t="str">
        <x:v>33121</x:v>
      </x:c>
      <x:c r="O4285" s="30" t="str">
        <x:v>А–3 (индивидуализация — гуманизация), Б–3 (здоровьесбережение — гуманизация), В–1 (доступность — демократизация), Г–2 (дистанционное обучение — информатизация), Д–1 (самоуправление — демократизация).</x:v>
      </x:c>
      <x:c r="P4285" s="30" t="str">
        <x:v>Каждая выбранная позиция или соответствие проверены по обществоведческим понятиям и условию; официальный ключ совпал.</x:v>
      </x:c>
      <x:c r="Q4285" s="30"/>
      <x:c r="R4285" s="30" t="str">
        <x:v>33121</x:v>
      </x:c>
      <x:c r="S4285" s="30"/>
      <x:c r="T4285" s="30" t="str">
        <x:v>Kriterii_OB11_10122025_1_2.pdf, p. 1</x:v>
      </x:c>
      <x:c r="U4285" s="30" t="str">
        <x:v>Расхождений нет.</x:v>
      </x:c>
      <x:c r="V4285" s="87" t="str">
        <x:v>VERIFIED</x:v>
      </x:c>
      <x:c r="W4285" s="87" t="n">
        <x:v>3</x:v>
      </x:c>
      <x:c r="X4285" s="87"/>
      <x:c r="Y4285" s="87"/>
      <x:c r="Z4285" s="87"/>
      <x:c r="AA4285" s="87"/>
      <x:c r="AB4285" s="87"/>
      <x:c r="AC4285" s="87" t="str">
        <x:v>VIS-SOC-DEC-TASK-12-P003</x:v>
      </x:c>
      <x:c r="AD4285" s="87"/>
      <x:c r="AE4285" s="87" t="str">
        <x:v>TASK</x:v>
      </x:c>
      <x:c r="AF4285" s="87"/>
      <x:c r="AG4285" s="87" t="str">
        <x:v>RESOLVED</x:v>
      </x:c>
      <x:c r="AH4285" s="87" t="str">
        <x:v>CROP_VERIFIED</x:v>
      </x:c>
      <x:c r="AI4285" s="30"/>
      <x:c r="AJ4285" s="87" t="str">
        <x:v>clean</x:v>
      </x:c>
      <x:c r="AK4285" s="87" t="str">
        <x:v>clean-v0.05</x:v>
      </x:c>
      <x:c r="AL4285" s="87" t="str">
        <x:v>statgrad_clean_continuation_v0_05(1)(1).xlsx</x:v>
      </x:c>
      <x:c r="AM4285" s="87" t="str">
        <x:v>SOC_Dec_V1</x:v>
      </x:c>
      <x:c r="AN4285" s="87" t="n">
        <x:v>4</x:v>
      </x:c>
    </x:row>
    <x:row r="4286">
      <x:c r="A4286" s="87" t="n">
        <x:v>4285</x:v>
      </x:c>
      <x:c r="B4286" s="87" t="str">
        <x:v>DEC-SOC-01-004</x:v>
      </x:c>
      <x:c r="C4286" s="87" t="str">
        <x:v>СтатГрад</x:v>
      </x:c>
      <x:c r="D4286" s="87" t="str">
        <x:v>Декабрь 2025</x:v>
      </x:c>
      <x:c r="E4286" s="87"/>
      <x:c r="F4286" s="87"/>
      <x:c r="G4286" s="87" t="str">
        <x:v>Обществознание</x:v>
      </x:c>
      <x:c r="H4286" s="87" t="n">
        <x:v>11</x:v>
      </x:c>
      <x:c r="I4286" s="87" t="str">
        <x:v>ТР №3</x:v>
      </x:c>
      <x:c r="J4286" s="87" t="str">
        <x:v>ОБ2510301</x:v>
      </x:c>
      <x:c r="K4286" s="87" t="n">
        <x:v>4</x:v>
      </x:c>
      <x:c r="L4286" s="87" t="str">
        <x:v>Анализ ситуации: цели/средства</x:v>
      </x:c>
      <x:c r="M4286" s="30" t="str">
        <x:v>В демократическом государстве Z проводится реформа системы социального
    обеспечения населения и медицинского обслуживания. Повышаются пенсии
    и социальные пособия, строятся новые больницы, открываются центры
    поддержки пожилых людей.
    Найдите в приведённом ниже списке возможные цели данной реформы,
    и запишите цифры, под которыми они указаны.
    1) строительство больниц
    2) повышение уровня жизни населения
    3) повышение социальных выплат
    4) увеличение продолжительности жизни населения
    5) поддержка населением действующей власти
    6) исполнение государственного бюджета</x:v>
      </x:c>
      <x:c r="N4286" s="30" t="str">
        <x:v>245</x:v>
      </x:c>
      <x:c r="O4286" s="30" t="str">
        <x:v>Строительство больниц и повышение выплат — средства реформы; её целями являются рост уровня и продолжительности жизни, а также поддержка власти населением.</x:v>
      </x:c>
      <x:c r="P4286" s="30" t="str">
        <x:v>Каждая выбранная позиция или соответствие проверены по обществоведческим понятиям и условию; официальный ключ совпал.</x:v>
      </x:c>
      <x:c r="Q4286" s="30"/>
      <x:c r="R4286" s="30" t="str">
        <x:v>245</x:v>
      </x:c>
      <x:c r="S4286" s="30"/>
      <x:c r="T4286" s="30" t="str">
        <x:v>Kriterii_OB11_10122025_1_2.pdf, p. 1</x:v>
      </x:c>
      <x:c r="U4286" s="30" t="str">
        <x:v>Расхождений нет.</x:v>
      </x:c>
      <x:c r="V4286" s="87" t="str">
        <x:v>VERIFIED</x:v>
      </x:c>
      <x:c r="W4286" s="87" t="n">
        <x:v>3</x:v>
      </x:c>
      <x:c r="X4286" s="87"/>
      <x:c r="Y4286" s="87"/>
      <x:c r="Z4286" s="87"/>
      <x:c r="AA4286" s="87"/>
      <x:c r="AB4286" s="87"/>
      <x:c r="AC4286" s="87" t="str">
        <x:v>VIS-SOC-DEC-TASK-12-P003</x:v>
      </x:c>
      <x:c r="AD4286" s="87"/>
      <x:c r="AE4286" s="87" t="str">
        <x:v>TASK</x:v>
      </x:c>
      <x:c r="AF4286" s="87"/>
      <x:c r="AG4286" s="87" t="str">
        <x:v>RESOLVED</x:v>
      </x:c>
      <x:c r="AH4286" s="87" t="str">
        <x:v>CROP_VERIFIED</x:v>
      </x:c>
      <x:c r="AI4286" s="30"/>
      <x:c r="AJ4286" s="87" t="str">
        <x:v>clean</x:v>
      </x:c>
      <x:c r="AK4286" s="87" t="str">
        <x:v>clean-v0.05</x:v>
      </x:c>
      <x:c r="AL4286" s="87" t="str">
        <x:v>statgrad_clean_continuation_v0_05(1)(1).xlsx</x:v>
      </x:c>
      <x:c r="AM4286" s="87" t="str">
        <x:v>SOC_Dec_V1</x:v>
      </x:c>
      <x:c r="AN4286" s="87" t="n">
        <x:v>5</x:v>
      </x:c>
    </x:row>
    <x:row r="4287">
      <x:c r="A4287" s="87" t="n">
        <x:v>4286</x:v>
      </x:c>
      <x:c r="B4287" s="87" t="str">
        <x:v>DEC-SOC-01-005</x:v>
      </x:c>
      <x:c r="C4287" s="87" t="str">
        <x:v>СтатГрад</x:v>
      </x:c>
      <x:c r="D4287" s="87" t="str">
        <x:v>Декабрь 2025</x:v>
      </x:c>
      <x:c r="E4287" s="87"/>
      <x:c r="F4287" s="87"/>
      <x:c r="G4287" s="87" t="str">
        <x:v>Обществознание</x:v>
      </x:c>
      <x:c r="H4287" s="87" t="n">
        <x:v>11</x:v>
      </x:c>
      <x:c r="I4287" s="87" t="str">
        <x:v>ТР №3</x:v>
      </x:c>
      <x:c r="J4287" s="87" t="str">
        <x:v>ОБ2510301</x:v>
      </x:c>
      <x:c r="K4287" s="87" t="n">
        <x:v>5</x:v>
      </x:c>
      <x:c r="L4287" s="87" t="str">
        <x:v>Множественный выбор</x:v>
      </x:c>
      <x:c r="M4287" s="30" t="str">
        <x:v>Выберите верные суждения о централизованной (командной) экономике
    и запишите цифры, под которыми они указаны.
    1) В централизованной экономике цены на товары и услуги, как правило,
       устанавливаются управленческими органами, а не производителями.
    2) Для централизованной экономики характерны экономические кризисы,
       связанные с перепроизводством товаров.
    3) Централизованная      экономика    основана    на    государственной
       собственности на основные материальные ресурсы.
    4) В централизованной экономике государство поощряет и поддерживает
       конкуренцию между производителями.
    5) Централизованная экономика неспособна обеспечить быстрых темпов
       экономического роста.</x:v>
      </x:c>
      <x:c r="N4287" s="30" t="str">
        <x:v>13</x:v>
      </x:c>
      <x:c r="O4287" s="30" t="str">
        <x:v>Для командной экономики характерны административное ценообразование и государственная собственность на основные ресурсы.</x:v>
      </x:c>
      <x:c r="P4287" s="30" t="str">
        <x:v>Каждая выбранная позиция или соответствие проверены по обществоведческим понятиям и условию; официальный ключ совпал.</x:v>
      </x:c>
      <x:c r="Q4287" s="30"/>
      <x:c r="R4287" s="30" t="str">
        <x:v>13</x:v>
      </x:c>
      <x:c r="S4287" s="30"/>
      <x:c r="T4287" s="30" t="str">
        <x:v>Kriterii_OB11_10122025_1_2.pdf, p. 1</x:v>
      </x:c>
      <x:c r="U4287" s="30" t="str">
        <x:v>Расхождений нет.</x:v>
      </x:c>
      <x:c r="V4287" s="87" t="str">
        <x:v>VERIFIED</x:v>
      </x:c>
      <x:c r="W4287" s="87" t="n">
        <x:v>4</x:v>
      </x:c>
      <x:c r="X4287" s="87"/>
      <x:c r="Y4287" s="87"/>
      <x:c r="Z4287" s="87"/>
      <x:c r="AA4287" s="87"/>
      <x:c r="AB4287" s="87"/>
      <x:c r="AC4287" s="87" t="str">
        <x:v>VIS-SOC-DEC-TASK-12-P004</x:v>
      </x:c>
      <x:c r="AD4287" s="87"/>
      <x:c r="AE4287" s="87" t="str">
        <x:v>TASK</x:v>
      </x:c>
      <x:c r="AF4287" s="87"/>
      <x:c r="AG4287" s="87" t="str">
        <x:v>RESOLVED</x:v>
      </x:c>
      <x:c r="AH4287" s="87" t="str">
        <x:v>CROP_VERIFIED</x:v>
      </x:c>
      <x:c r="AI4287" s="30"/>
      <x:c r="AJ4287" s="87" t="str">
        <x:v>clean</x:v>
      </x:c>
      <x:c r="AK4287" s="87" t="str">
        <x:v>clean-v0.05</x:v>
      </x:c>
      <x:c r="AL4287" s="87" t="str">
        <x:v>statgrad_clean_continuation_v0_05(1)(1).xlsx</x:v>
      </x:c>
      <x:c r="AM4287" s="87" t="str">
        <x:v>SOC_Dec_V1</x:v>
      </x:c>
      <x:c r="AN4287" s="87" t="n">
        <x:v>6</x:v>
      </x:c>
    </x:row>
    <x:row r="4288">
      <x:c r="A4288" s="87" t="n">
        <x:v>4287</x:v>
      </x:c>
      <x:c r="B4288" s="87" t="str">
        <x:v>DEC-SOC-01-006</x:v>
      </x:c>
      <x:c r="C4288" s="87" t="str">
        <x:v>СтатГрад</x:v>
      </x:c>
      <x:c r="D4288" s="87" t="str">
        <x:v>Декабрь 2025</x:v>
      </x:c>
      <x:c r="E4288" s="87"/>
      <x:c r="F4288" s="87"/>
      <x:c r="G4288" s="87" t="str">
        <x:v>Обществознание</x:v>
      </x:c>
      <x:c r="H4288" s="87" t="n">
        <x:v>11</x:v>
      </x:c>
      <x:c r="I4288" s="87" t="str">
        <x:v>ТР №3</x:v>
      </x:c>
      <x:c r="J4288" s="87" t="str">
        <x:v>ОБ2510301</x:v>
      </x:c>
      <x:c r="K4288" s="87" t="n">
        <x:v>6</x:v>
      </x:c>
      <x:c r="L4288" s="87" t="str">
        <x:v>Установление соответствия</x:v>
      </x:c>
      <x:c r="M4288" s="30" t="str">
        <x:v>Установите соответствие между примерами и видами производственных
    издержек: к каждой позиции, данной в первом столбце, подберите
    соответствующую позицию из второго столбца.
                     ПРИМЕР                                     ВИД ИЗДЕРЖЕК
    А) расходы на рекламу                                 1) постоянные
    Б) платежи по ранее взятым кредитам                   2) переменные
    В) расходы на транспортировку готовой
       продукции
    Г) арендная плата за производственные
       и административные помещения
    Д) расходы на тару и упаковку продукции
    Запишите в таблицу выбранные цифры под соответствующими буквами.
               А Б В Г Д</x:v>
      </x:c>
      <x:c r="N4288" s="30" t="str">
        <x:v>11212</x:v>
      </x:c>
      <x:c r="O4288" s="30" t="str">
        <x:v>Реклама и платежи по кредитам — постоянные издержки; транспортировка и упаковка — переменные; аренда — постоянная.</x:v>
      </x:c>
      <x:c r="P4288" s="30" t="str">
        <x:v>Каждая выбранная позиция или соответствие проверены по обществоведческим понятиям и условию; официальный ключ совпал.</x:v>
      </x:c>
      <x:c r="Q4288" s="30"/>
      <x:c r="R4288" s="30" t="str">
        <x:v>11212</x:v>
      </x:c>
      <x:c r="S4288" s="30"/>
      <x:c r="T4288" s="30" t="str">
        <x:v>Kriterii_OB11_10122025_1_2.pdf, p. 1</x:v>
      </x:c>
      <x:c r="U4288" s="30" t="str">
        <x:v>Расхождений нет.</x:v>
      </x:c>
      <x:c r="V4288" s="87" t="str">
        <x:v>VERIFIED</x:v>
      </x:c>
      <x:c r="W4288" s="87" t="n">
        <x:v>4</x:v>
      </x:c>
      <x:c r="X4288" s="87"/>
      <x:c r="Y4288" s="87"/>
      <x:c r="Z4288" s="87"/>
      <x:c r="AA4288" s="87"/>
      <x:c r="AB4288" s="87"/>
      <x:c r="AC4288" s="87" t="str">
        <x:v>VIS-SOC-DEC-TASK-12-P004</x:v>
      </x:c>
      <x:c r="AD4288" s="87"/>
      <x:c r="AE4288" s="87" t="str">
        <x:v>TASK</x:v>
      </x:c>
      <x:c r="AF4288" s="87"/>
      <x:c r="AG4288" s="87" t="str">
        <x:v>RESOLVED</x:v>
      </x:c>
      <x:c r="AH4288" s="87" t="str">
        <x:v>CROP_VERIFIED</x:v>
      </x:c>
      <x:c r="AI4288" s="30"/>
      <x:c r="AJ4288" s="87" t="str">
        <x:v>clean</x:v>
      </x:c>
      <x:c r="AK4288" s="87" t="str">
        <x:v>clean-v0.05</x:v>
      </x:c>
      <x:c r="AL4288" s="87" t="str">
        <x:v>statgrad_clean_continuation_v0_05(1)(1).xlsx</x:v>
      </x:c>
      <x:c r="AM4288" s="87" t="str">
        <x:v>SOC_Dec_V1</x:v>
      </x:c>
      <x:c r="AN4288" s="87" t="n">
        <x:v>7</x:v>
      </x:c>
    </x:row>
    <x:row r="4289">
      <x:c r="A4289" s="87" t="n">
        <x:v>4288</x:v>
      </x:c>
      <x:c r="B4289" s="87" t="str">
        <x:v>DEC-SOC-01-007</x:v>
      </x:c>
      <x:c r="C4289" s="87" t="str">
        <x:v>СтатГрад</x:v>
      </x:c>
      <x:c r="D4289" s="87" t="str">
        <x:v>Декабрь 2025</x:v>
      </x:c>
      <x:c r="E4289" s="87"/>
      <x:c r="F4289" s="87"/>
      <x:c r="G4289" s="87" t="str">
        <x:v>Обществознание</x:v>
      </x:c>
      <x:c r="H4289" s="87" t="n">
        <x:v>11</x:v>
      </x:c>
      <x:c r="I4289" s="87" t="str">
        <x:v>ТР №3</x:v>
      </x:c>
      <x:c r="J4289" s="87" t="str">
        <x:v>ОБ2510301</x:v>
      </x:c>
      <x:c r="K4289" s="87" t="n">
        <x:v>7</x:v>
      </x:c>
      <x:c r="L4289" s="87" t="str">
        <x:v>Множественный выбор</x:v>
      </x:c>
      <x:c r="M4289" s="30" t="str">
        <x:v>Александр готовит доклад по теме «Налоговая система Российской
    Федерации». Какие из перечисленных налогов он должен включить в слайд
    «Прямые налоги»? Запишите цифры, под которыми они указаны.
    1) налог на доходы физических лиц
    2) налог на имущество организаций
    3) акциз на бензин
    4) налог на добавленную стоимость
    5) земельный налог</x:v>
      </x:c>
      <x:c r="N4289" s="30" t="str">
        <x:v>125</x:v>
      </x:c>
      <x:c r="O4289" s="30" t="str">
        <x:v>НДФЛ, налог на имущество организаций и земельный налог взимаются непосредственно с дохода или имущества; акциз и НДС — косвенные.</x:v>
      </x:c>
      <x:c r="P4289" s="30" t="str">
        <x:v>Каждая выбранная позиция или соответствие проверены по обществоведческим понятиям и условию; официальный ключ совпал.</x:v>
      </x:c>
      <x:c r="Q4289" s="30"/>
      <x:c r="R4289" s="30" t="str">
        <x:v>125</x:v>
      </x:c>
      <x:c r="S4289" s="30"/>
      <x:c r="T4289" s="30" t="str">
        <x:v>Kriterii_OB11_10122025_1_2.pdf, p. 1</x:v>
      </x:c>
      <x:c r="U4289" s="30" t="str">
        <x:v>Расхождений нет.</x:v>
      </x:c>
      <x:c r="V4289" s="87" t="str">
        <x:v>VERIFIED</x:v>
      </x:c>
      <x:c r="W4289" s="87" t="n">
        <x:v>5</x:v>
      </x:c>
      <x:c r="X4289" s="87"/>
      <x:c r="Y4289" s="87"/>
      <x:c r="Z4289" s="87"/>
      <x:c r="AA4289" s="87"/>
      <x:c r="AB4289" s="87"/>
      <x:c r="AC4289" s="87" t="str">
        <x:v>VIS-SOC-DEC-TASK-12-P005</x:v>
      </x:c>
      <x:c r="AD4289" s="87"/>
      <x:c r="AE4289" s="87" t="str">
        <x:v>TASK</x:v>
      </x:c>
      <x:c r="AF4289" s="87"/>
      <x:c r="AG4289" s="87" t="str">
        <x:v>RESOLVED</x:v>
      </x:c>
      <x:c r="AH4289" s="87" t="str">
        <x:v>CROP_VERIFIED</x:v>
      </x:c>
      <x:c r="AI4289" s="30"/>
      <x:c r="AJ4289" s="87" t="str">
        <x:v>clean</x:v>
      </x:c>
      <x:c r="AK4289" s="87" t="str">
        <x:v>clean-v0.05</x:v>
      </x:c>
      <x:c r="AL4289" s="87" t="str">
        <x:v>statgrad_clean_continuation_v0_05(1)(1).xlsx</x:v>
      </x:c>
      <x:c r="AM4289" s="87" t="str">
        <x:v>SOC_Dec_V1</x:v>
      </x:c>
      <x:c r="AN4289" s="87" t="n">
        <x:v>8</x:v>
      </x:c>
    </x:row>
    <x:row r="4290">
      <x:c r="A4290" s="87" t="n">
        <x:v>4289</x:v>
      </x:c>
      <x:c r="B4290" s="87" t="str">
        <x:v>DEC-SOC-01-008</x:v>
      </x:c>
      <x:c r="C4290" s="87" t="str">
        <x:v>СтатГрад</x:v>
      </x:c>
      <x:c r="D4290" s="87" t="str">
        <x:v>Декабрь 2025</x:v>
      </x:c>
      <x:c r="E4290" s="87"/>
      <x:c r="F4290" s="87"/>
      <x:c r="G4290" s="87" t="str">
        <x:v>Обществознание</x:v>
      </x:c>
      <x:c r="H4290" s="87" t="n">
        <x:v>11</x:v>
      </x:c>
      <x:c r="I4290" s="87" t="str">
        <x:v>ТР №3</x:v>
      </x:c>
      <x:c r="J4290" s="87" t="str">
        <x:v>ОБ2510301</x:v>
      </x:c>
      <x:c r="K4290" s="87" t="n">
        <x:v>8</x:v>
      </x:c>
      <x:c r="L4290" s="87" t="str">
        <x:v>Множественный выбор</x:v>
      </x:c>
      <x:c r="M4290" s="30" t="str">
        <x:v>Выберите верные суждения об этнических общностях и запишите цифры,
    под которыми они указаны.
    1) Древнейшим видом этнической общности была народность.
    2) Этнические группы характеризуются общностью языка и культуры.
    3) Отношения между этническими общностями называются межконфес-
       сиональными отношениями.
    4) Шовинизм – это идеология, провозглашающая превосходство одних
       этносов над другими.
    5) Процесс поглощения одних этнических общностей другими называется
       ассимиляцией.</x:v>
      </x:c>
      <x:c r="N4290" s="30" t="str">
        <x:v>245</x:v>
      </x:c>
      <x:c r="O4290" s="30" t="str">
        <x:v>Общность языка и культуры, шовинизм как идея этнического превосходства и ассимиляция как поглощение этноса — верные положения.</x:v>
      </x:c>
      <x:c r="P4290" s="30" t="str">
        <x:v>Каждая выбранная позиция или соответствие проверены по обществоведческим понятиям и условию; официальный ключ совпал.</x:v>
      </x:c>
      <x:c r="Q4290" s="30"/>
      <x:c r="R4290" s="30" t="str">
        <x:v>245</x:v>
      </x:c>
      <x:c r="S4290" s="30"/>
      <x:c r="T4290" s="30" t="str">
        <x:v>Kriterii_OB11_10122025_1_2.pdf, p. 1</x:v>
      </x:c>
      <x:c r="U4290" s="30" t="str">
        <x:v>Расхождений нет.</x:v>
      </x:c>
      <x:c r="V4290" s="87" t="str">
        <x:v>VERIFIED</x:v>
      </x:c>
      <x:c r="W4290" s="87" t="n">
        <x:v>5</x:v>
      </x:c>
      <x:c r="X4290" s="87"/>
      <x:c r="Y4290" s="87"/>
      <x:c r="Z4290" s="87"/>
      <x:c r="AA4290" s="87"/>
      <x:c r="AB4290" s="87"/>
      <x:c r="AC4290" s="87" t="str">
        <x:v>VIS-SOC-DEC-TASK-12-P005</x:v>
      </x:c>
      <x:c r="AD4290" s="87"/>
      <x:c r="AE4290" s="87" t="str">
        <x:v>TASK</x:v>
      </x:c>
      <x:c r="AF4290" s="87"/>
      <x:c r="AG4290" s="87" t="str">
        <x:v>RESOLVED</x:v>
      </x:c>
      <x:c r="AH4290" s="87" t="str">
        <x:v>CROP_VERIFIED</x:v>
      </x:c>
      <x:c r="AI4290" s="30"/>
      <x:c r="AJ4290" s="87" t="str">
        <x:v>clean</x:v>
      </x:c>
      <x:c r="AK4290" s="87" t="str">
        <x:v>clean-v0.05</x:v>
      </x:c>
      <x:c r="AL4290" s="87" t="str">
        <x:v>statgrad_clean_continuation_v0_05(1)(1).xlsx</x:v>
      </x:c>
      <x:c r="AM4290" s="87" t="str">
        <x:v>SOC_Dec_V1</x:v>
      </x:c>
      <x:c r="AN4290" s="87" t="n">
        <x:v>9</x:v>
      </x:c>
    </x:row>
    <x:row r="4291">
      <x:c r="A4291" s="87" t="n">
        <x:v>4290</x:v>
      </x:c>
      <x:c r="B4291" s="87" t="str">
        <x:v>DEC-SOC-01-009</x:v>
      </x:c>
      <x:c r="C4291" s="87" t="str">
        <x:v>СтатГрад</x:v>
      </x:c>
      <x:c r="D4291" s="87" t="str">
        <x:v>Декабрь 2025</x:v>
      </x:c>
      <x:c r="E4291" s="87"/>
      <x:c r="F4291" s="87"/>
      <x:c r="G4291" s="87" t="str">
        <x:v>Обществознание</x:v>
      </x:c>
      <x:c r="H4291" s="87" t="n">
        <x:v>11</x:v>
      </x:c>
      <x:c r="I4291" s="87" t="str">
        <x:v>ТР №3</x:v>
      </x:c>
      <x:c r="J4291" s="87" t="str">
        <x:v>ОБ2510301</x:v>
      </x:c>
      <x:c r="K4291" s="87" t="n">
        <x:v>9</x:v>
      </x:c>
      <x:c r="L4291" s="87" t="str">
        <x:v>Анализ диаграммы</x:v>
      </x:c>
      <x:c r="M4291" s="30" t="str">
        <x:v>В ходе социологического опроса в стране Z мужчинам и женщинам
    предложили выразить отношение к своей профессии.
    Результаты опроса (в % от числа опрошенных) представлены в графическом
    виде.
    Найдите в приведённом списке выводы, которые можно сделать на основе
    диаграммы, и запишите цифры, под которыми они указаны.
    1) Менее половины опрошенных среди мужчин и женщин удовлетворены
       своей профессией.
    2) Среди мужчин наибольший процент опрошенных намерены сменить
       профессию через несколько лет.
    3) Доля тех, кто недоволен своей профессией, но не будет её менять, среди
       мужчин больше, чем среди женщин.
    4) Процент опрошенных мужчин, полностью удовлетворённых своей
       профессией, примерно равен проценту опрошенных женщин, намеренных
       сменить профессию через несколько лет.
    5) Среди женщин процент намеренных сменить профессию в ближайшем
       будущем больше процента тех, кто полностью удовлетворён своей
       профессией.</x:v>
      </x:c>
      <x:c r="N4291" s="30" t="str">
        <x:v>124</x:v>
      </x:c>
      <x:c r="O4291" s="30" t="str">
        <x:v>По диаграмме верны выводы 1, 2 и 4; остальные сравнения столбцов не соответствуют показанным долям.</x:v>
      </x:c>
      <x:c r="P4291" s="30" t="str">
        <x:v>Каждая выбранная позиция или соответствие проверены по обществоведческим понятиям и условию; официальный ключ совпал.</x:v>
      </x:c>
      <x:c r="Q4291" s="30"/>
      <x:c r="R4291" s="30" t="str">
        <x:v>124</x:v>
      </x:c>
      <x:c r="S4291" s="30"/>
      <x:c r="T4291" s="30" t="str">
        <x:v>Kriterii_OB11_10122025_1_2.pdf, p. 1</x:v>
      </x:c>
      <x:c r="U4291" s="30" t="str">
        <x:v>Расхождений нет.</x:v>
      </x:c>
      <x:c r="V4291" s="87" t="str">
        <x:v>VERIFIED</x:v>
      </x:c>
      <x:c r="W4291" s="87" t="n">
        <x:v>6</x:v>
      </x:c>
      <x:c r="X4291" s="87"/>
      <x:c r="Y4291" s="87"/>
      <x:c r="Z4291" s="87"/>
      <x:c r="AA4291" s="87"/>
      <x:c r="AB4291" s="87"/>
      <x:c r="AC4291" s="87" t="str">
        <x:v>VIS-SOC-DEC-TASK-12-P006</x:v>
      </x:c>
      <x:c r="AD4291" s="87"/>
      <x:c r="AE4291" s="87" t="str">
        <x:v>TASK</x:v>
      </x:c>
      <x:c r="AF4291" s="87"/>
      <x:c r="AG4291" s="87" t="str">
        <x:v>RESOLVED</x:v>
      </x:c>
      <x:c r="AH4291" s="87" t="str">
        <x:v>CROP_VERIFIED; TASK_CROP_QA_APPROVED:USE_TIGHT</x:v>
      </x:c>
      <x:c r="AI4291" s="30"/>
      <x:c r="AJ4291" s="87" t="str">
        <x:v>clean</x:v>
      </x:c>
      <x:c r="AK4291" s="87" t="str">
        <x:v>clean-v0.05</x:v>
      </x:c>
      <x:c r="AL4291" s="87" t="str">
        <x:v>statgrad_clean_continuation_v0_05(1)(1).xlsx</x:v>
      </x:c>
      <x:c r="AM4291" s="87" t="str">
        <x:v>SOC_Dec_V1</x:v>
      </x:c>
      <x:c r="AN4291" s="87" t="n">
        <x:v>10</x:v>
      </x:c>
    </x:row>
    <x:row r="4292">
      <x:c r="A4292" s="87" t="n">
        <x:v>4291</x:v>
      </x:c>
      <x:c r="B4292" s="87" t="str">
        <x:v>DEC-SOC-01-010</x:v>
      </x:c>
      <x:c r="C4292" s="87" t="str">
        <x:v>СтатГрад</x:v>
      </x:c>
      <x:c r="D4292" s="87" t="str">
        <x:v>Декабрь 2025</x:v>
      </x:c>
      <x:c r="E4292" s="87"/>
      <x:c r="F4292" s="87"/>
      <x:c r="G4292" s="87" t="str">
        <x:v>Обществознание</x:v>
      </x:c>
      <x:c r="H4292" s="87" t="n">
        <x:v>11</x:v>
      </x:c>
      <x:c r="I4292" s="87" t="str">
        <x:v>ТР №3</x:v>
      </x:c>
      <x:c r="J4292" s="87" t="str">
        <x:v>ОБ2510301</x:v>
      </x:c>
      <x:c r="K4292" s="87" t="n">
        <x:v>10</x:v>
      </x:c>
      <x:c r="L4292" s="87" t="str">
        <x:v>Множественный выбор</x:v>
      </x:c>
      <x:c r="M4292" s="30" t="str">
        <x:v>Выберите верные суждения о демократических выборах и запишите цифры,
     под которыми они указаны.
     1) На демократических выборах могут голосовать все совершеннолетние
        граждане.
     2) Демократические выборы осуществляются путём тайного голосования.
     3) Демократические выборы проводятся только при наличии нескольких
        кандидатов на выборную должность.
     4) В процессе демократических выборов все избиратели имеют равные
        права.
     5) В ходе демократических выборов кандидаты выдвигаются только
        политическими партиями.</x:v>
      </x:c>
      <x:c r="N4292" s="30" t="str">
        <x:v>234</x:v>
      </x:c>
      <x:c r="O4292" s="30" t="str">
        <x:v>Тайное голосование, альтернативность и равенство избирателей — признаки демократических выборов; всеобщность имеет законные ограничения, кандидатов выдвигают не только партии.</x:v>
      </x:c>
      <x:c r="P4292" s="30" t="str">
        <x:v>Каждая выбранная позиция или соответствие проверены по обществоведческим понятиям и условию; официальный ключ совпал.</x:v>
      </x:c>
      <x:c r="Q4292" s="30"/>
      <x:c r="R4292" s="30" t="str">
        <x:v>234</x:v>
      </x:c>
      <x:c r="S4292" s="30"/>
      <x:c r="T4292" s="30" t="str">
        <x:v>Kriterii_OB11_10122025_1_2.pdf, p. 1</x:v>
      </x:c>
      <x:c r="U4292" s="30" t="str">
        <x:v>Расхождений нет.</x:v>
      </x:c>
      <x:c r="V4292" s="87" t="str">
        <x:v>VERIFIED</x:v>
      </x:c>
      <x:c r="W4292" s="87" t="n">
        <x:v>7</x:v>
      </x:c>
      <x:c r="X4292" s="87"/>
      <x:c r="Y4292" s="87"/>
      <x:c r="Z4292" s="87"/>
      <x:c r="AA4292" s="87"/>
      <x:c r="AB4292" s="87"/>
      <x:c r="AC4292" s="87" t="str">
        <x:v>VIS-SOC-DEC-TASK-12-P007</x:v>
      </x:c>
      <x:c r="AD4292" s="87"/>
      <x:c r="AE4292" s="87" t="str">
        <x:v>TASK</x:v>
      </x:c>
      <x:c r="AF4292" s="87"/>
      <x:c r="AG4292" s="87" t="str">
        <x:v>RESOLVED</x:v>
      </x:c>
      <x:c r="AH4292" s="87" t="str">
        <x:v>CROP_VERIFIED</x:v>
      </x:c>
      <x:c r="AI4292" s="30"/>
      <x:c r="AJ4292" s="87" t="str">
        <x:v>clean</x:v>
      </x:c>
      <x:c r="AK4292" s="87" t="str">
        <x:v>clean-v0.05</x:v>
      </x:c>
      <x:c r="AL4292" s="87" t="str">
        <x:v>statgrad_clean_continuation_v0_05(1)(1).xlsx</x:v>
      </x:c>
      <x:c r="AM4292" s="87" t="str">
        <x:v>SOC_Dec_V1</x:v>
      </x:c>
      <x:c r="AN4292" s="87" t="n">
        <x:v>11</x:v>
      </x:c>
    </x:row>
    <x:row r="4293">
      <x:c r="A4293" s="87" t="n">
        <x:v>4292</x:v>
      </x:c>
      <x:c r="B4293" s="87" t="str">
        <x:v>DEC-SOC-01-011</x:v>
      </x:c>
      <x:c r="C4293" s="87" t="str">
        <x:v>СтатГрад</x:v>
      </x:c>
      <x:c r="D4293" s="87" t="str">
        <x:v>Декабрь 2025</x:v>
      </x:c>
      <x:c r="E4293" s="87"/>
      <x:c r="F4293" s="87"/>
      <x:c r="G4293" s="87" t="str">
        <x:v>Обществознание</x:v>
      </x:c>
      <x:c r="H4293" s="87" t="n">
        <x:v>11</x:v>
      </x:c>
      <x:c r="I4293" s="87" t="str">
        <x:v>ТР №3</x:v>
      </x:c>
      <x:c r="J4293" s="87" t="str">
        <x:v>ОБ2510301</x:v>
      </x:c>
      <x:c r="K4293" s="87" t="n">
        <x:v>11</x:v>
      </x:c>
      <x:c r="L4293" s="87" t="str">
        <x:v>Анализ политической ситуации</x:v>
      </x:c>
      <x:c r="M4293" s="30" t="str">
        <x:v>Партия М по результатам последних парламентских выборов получила
     15 % мест в национальном парламенте. Её депутаты активно критикуют
     деятельность действующей власти и намерены поставить в парламенте
     вопрос о недоверии правительству. Программа партии провозглашает целью
     её деятельности защиту прав трудящихся, повышение пенсий и социальных
     пособий, расширение политических прав и свобод граждан при гарантии
     права частной собственности и свободы предпринимательской деятельности.
     Устав партии требует от её членов регулярного участия в работе первичных
     партийных организаций и регулярной уплаты членских взносов.
     Найдите в приведённом списке характеристики партии М и запишите цифры,
     под которыми они указаны.
     1) кадровая
     2) оппозиционная
     3) либеральная
     4) массовая
     5) правящая
     6) социал-демократическая</x:v>
      </x:c>
      <x:c r="N4293" s="30" t="str">
        <x:v>246</x:v>
      </x:c>
      <x:c r="O4293" s="30" t="str">
        <x:v>Партия находится в оппозиции, имеет массовую организацию и социал-демократическую программу.</x:v>
      </x:c>
      <x:c r="P4293" s="30" t="str">
        <x:v>Каждая выбранная позиция или соответствие проверены по обществоведческим понятиям и условию; официальный ключ совпал.</x:v>
      </x:c>
      <x:c r="Q4293" s="30"/>
      <x:c r="R4293" s="30" t="str">
        <x:v>246</x:v>
      </x:c>
      <x:c r="S4293" s="30"/>
      <x:c r="T4293" s="30" t="str">
        <x:v>Kriterii_OB11_10122025_1_2.pdf, p. 1</x:v>
      </x:c>
      <x:c r="U4293" s="30" t="str">
        <x:v>Расхождений нет.</x:v>
      </x:c>
      <x:c r="V4293" s="87" t="str">
        <x:v>VERIFIED</x:v>
      </x:c>
      <x:c r="W4293" s="87" t="n">
        <x:v>7</x:v>
      </x:c>
      <x:c r="X4293" s="87"/>
      <x:c r="Y4293" s="87"/>
      <x:c r="Z4293" s="87"/>
      <x:c r="AA4293" s="87"/>
      <x:c r="AB4293" s="87"/>
      <x:c r="AC4293" s="87" t="str">
        <x:v>VIS-SOC-DEC-TASK-12-P007</x:v>
      </x:c>
      <x:c r="AD4293" s="87"/>
      <x:c r="AE4293" s="87" t="str">
        <x:v>TASK</x:v>
      </x:c>
      <x:c r="AF4293" s="87"/>
      <x:c r="AG4293" s="87" t="str">
        <x:v>RESOLVED</x:v>
      </x:c>
      <x:c r="AH4293" s="87" t="str">
        <x:v>CROP_VERIFIED</x:v>
      </x:c>
      <x:c r="AI4293" s="30"/>
      <x:c r="AJ4293" s="87" t="str">
        <x:v>clean</x:v>
      </x:c>
      <x:c r="AK4293" s="87" t="str">
        <x:v>clean-v0.05</x:v>
      </x:c>
      <x:c r="AL4293" s="87" t="str">
        <x:v>statgrad_clean_continuation_v0_05(1)(1).xlsx</x:v>
      </x:c>
      <x:c r="AM4293" s="87" t="str">
        <x:v>SOC_Dec_V1</x:v>
      </x:c>
      <x:c r="AN4293" s="87" t="n">
        <x:v>12</x:v>
      </x:c>
    </x:row>
    <x:row r="4294">
      <x:c r="A4294" s="87" t="n">
        <x:v>4293</x:v>
      </x:c>
      <x:c r="B4294" s="87" t="str">
        <x:v>DEC-SOC-01-012</x:v>
      </x:c>
      <x:c r="C4294" s="87" t="str">
        <x:v>СтатГрад</x:v>
      </x:c>
      <x:c r="D4294" s="87" t="str">
        <x:v>Декабрь 2025</x:v>
      </x:c>
      <x:c r="E4294" s="87"/>
      <x:c r="F4294" s="87"/>
      <x:c r="G4294" s="87" t="str">
        <x:v>Обществознание</x:v>
      </x:c>
      <x:c r="H4294" s="87" t="n">
        <x:v>11</x:v>
      </x:c>
      <x:c r="I4294" s="87" t="str">
        <x:v>ТР №3</x:v>
      </x:c>
      <x:c r="J4294" s="87" t="str">
        <x:v>ОБ2510301</x:v>
      </x:c>
      <x:c r="K4294" s="87" t="n">
        <x:v>12</x:v>
      </x:c>
      <x:c r="L4294" s="87" t="str">
        <x:v>Конституционные характеристики</x:v>
      </x:c>
      <x:c r="M4294" s="30" t="str">
        <x:v>Что из перечисленного относится к характеристикам Российской Федерации
     как демократического государства? Запишите цифры, под которыми
     они указаны.
     1) проведение регулярных свободных и конкурентных выборов в органы
        государственной власти
     2) разделение государственной власти на законодательную, исполнительную
        и судебную ветви
     3) федеративная форма государственного устройства
     4) гарантия гражданских и политических прав и свобод
     5) отделение религиозных объединений от государства</x:v>
      </x:c>
      <x:c r="N4294" s="30" t="str">
        <x:v>124</x:v>
      </x:c>
      <x:c r="O4294" s="30" t="str">
        <x:v>Регулярные конкурентные выборы, разделение властей и гарантии политических прав характеризуют РФ как демократическое государство.</x:v>
      </x:c>
      <x:c r="P4294" s="30" t="str">
        <x:v>Каждая выбранная позиция или соответствие проверены по обществоведческим понятиям и условию; официальный ключ совпал.</x:v>
      </x:c>
      <x:c r="Q4294" s="30"/>
      <x:c r="R4294" s="30" t="str">
        <x:v>124</x:v>
      </x:c>
      <x:c r="S4294" s="30"/>
      <x:c r="T4294" s="30" t="str">
        <x:v>Kriterii_OB11_10122025_1_2.pdf, p. 1</x:v>
      </x:c>
      <x:c r="U4294" s="30" t="str">
        <x:v>Расхождений нет.</x:v>
      </x:c>
      <x:c r="V4294" s="87" t="str">
        <x:v>VERIFIED</x:v>
      </x:c>
      <x:c r="W4294" s="87" t="n">
        <x:v>8</x:v>
      </x:c>
      <x:c r="X4294" s="87"/>
      <x:c r="Y4294" s="87"/>
      <x:c r="Z4294" s="87"/>
      <x:c r="AA4294" s="87"/>
      <x:c r="AB4294" s="87"/>
      <x:c r="AC4294" s="87" t="str">
        <x:v>VIS-SOC-DEC-TASK-12-P008</x:v>
      </x:c>
      <x:c r="AD4294" s="87"/>
      <x:c r="AE4294" s="87" t="str">
        <x:v>TASK</x:v>
      </x:c>
      <x:c r="AF4294" s="87"/>
      <x:c r="AG4294" s="87" t="str">
        <x:v>RESOLVED</x:v>
      </x:c>
      <x:c r="AH4294" s="87" t="str">
        <x:v>CROP_VERIFIED</x:v>
      </x:c>
      <x:c r="AI4294" s="30"/>
      <x:c r="AJ4294" s="87" t="str">
        <x:v>clean</x:v>
      </x:c>
      <x:c r="AK4294" s="87" t="str">
        <x:v>clean-v0.05</x:v>
      </x:c>
      <x:c r="AL4294" s="87" t="str">
        <x:v>statgrad_clean_continuation_v0_05(1)(1).xlsx</x:v>
      </x:c>
      <x:c r="AM4294" s="87" t="str">
        <x:v>SOC_Dec_V1</x:v>
      </x:c>
      <x:c r="AN4294" s="87" t="n">
        <x:v>13</x:v>
      </x:c>
    </x:row>
    <x:row r="4295">
      <x:c r="A4295" s="87" t="n">
        <x:v>4294</x:v>
      </x:c>
      <x:c r="B4295" s="87" t="str">
        <x:v>DEC-SOC-01-013</x:v>
      </x:c>
      <x:c r="C4295" s="87" t="str">
        <x:v>СтатГрад</x:v>
      </x:c>
      <x:c r="D4295" s="87" t="str">
        <x:v>Декабрь 2025</x:v>
      </x:c>
      <x:c r="E4295" s="87"/>
      <x:c r="F4295" s="87"/>
      <x:c r="G4295" s="87" t="str">
        <x:v>Обществознание</x:v>
      </x:c>
      <x:c r="H4295" s="87" t="n">
        <x:v>11</x:v>
      </x:c>
      <x:c r="I4295" s="87" t="str">
        <x:v>ТР №3</x:v>
      </x:c>
      <x:c r="J4295" s="87" t="str">
        <x:v>ОБ2510301</x:v>
      </x:c>
      <x:c r="K4295" s="87" t="n">
        <x:v>13</x:v>
      </x:c>
      <x:c r="L4295" s="87" t="str">
        <x:v>Установление соответствия</x:v>
      </x:c>
      <x:c r="M4295" s="30" t="str">
        <x:v>Установите    соответствие  между     полномочиями    и субъектами
     государственной власти: к каждой позиции, данной в первом столбце,
     подберите соответствующую позицию из второго столбца.
                     ПОЛНОМОЧИЕ                                     СУБЪЕКТ
                                                              ГОСУДАРСТВЕННОЙ
                                                                    ВЛАСТИ
     А) утверждение кандидатур федеральных                 1) Государственная Дума
        министров                                          2) Совет Федерации
     Б) объявление амнистии
     В) утверждение изменения границ субъектов
        Российской Федерации
     Г) назначение Председателя Верховного
        Суда
     Д) решение вопроса о доверии
        Правительству
     Запишите в таблицу выбранные цифры под соответствующими буквами.
                А Б В Г Д</x:v>
      </x:c>
      <x:c r="N4295" s="30" t="str">
        <x:v>11221</x:v>
      </x:c>
      <x:c r="O4295" s="30" t="str">
        <x:v>Федеральных министров и доверие Правительству рассматривает Государственная Дума; амнистия — её полномочие; изменение границ субъектов и назначение Председателя Верховного Суда — полномочия Совета Федерации.</x:v>
      </x:c>
      <x:c r="P4295" s="30" t="str">
        <x:v>Каждая выбранная позиция или соответствие проверены по обществоведческим понятиям и условию; официальный ключ совпал.</x:v>
      </x:c>
      <x:c r="Q4295" s="30"/>
      <x:c r="R4295" s="30" t="str">
        <x:v>11221</x:v>
      </x:c>
      <x:c r="S4295" s="30"/>
      <x:c r="T4295" s="30" t="str">
        <x:v>Kriterii_OB11_10122025_1_2.pdf, p. 1</x:v>
      </x:c>
      <x:c r="U4295" s="30" t="str">
        <x:v>Расхождений нет.</x:v>
      </x:c>
      <x:c r="V4295" s="87" t="str">
        <x:v>VERIFIED</x:v>
      </x:c>
      <x:c r="W4295" s="87" t="n">
        <x:v>8</x:v>
      </x:c>
      <x:c r="X4295" s="87"/>
      <x:c r="Y4295" s="87"/>
      <x:c r="Z4295" s="87"/>
      <x:c r="AA4295" s="87"/>
      <x:c r="AB4295" s="87"/>
      <x:c r="AC4295" s="87" t="str">
        <x:v>VIS-SOC-DEC-TASK-12-P008</x:v>
      </x:c>
      <x:c r="AD4295" s="87"/>
      <x:c r="AE4295" s="87" t="str">
        <x:v>TASK</x:v>
      </x:c>
      <x:c r="AF4295" s="87"/>
      <x:c r="AG4295" s="87" t="str">
        <x:v>RESOLVED</x:v>
      </x:c>
      <x:c r="AH4295" s="87" t="str">
        <x:v>CROP_VERIFIED</x:v>
      </x:c>
      <x:c r="AI4295" s="30"/>
      <x:c r="AJ4295" s="87" t="str">
        <x:v>clean</x:v>
      </x:c>
      <x:c r="AK4295" s="87" t="str">
        <x:v>clean-v0.05</x:v>
      </x:c>
      <x:c r="AL4295" s="87" t="str">
        <x:v>statgrad_clean_continuation_v0_05(1)(1).xlsx</x:v>
      </x:c>
      <x:c r="AM4295" s="87" t="str">
        <x:v>SOC_Dec_V1</x:v>
      </x:c>
      <x:c r="AN4295" s="87" t="n">
        <x:v>14</x:v>
      </x:c>
    </x:row>
    <x:row r="4296">
      <x:c r="A4296" s="87" t="n">
        <x:v>4295</x:v>
      </x:c>
      <x:c r="B4296" s="87" t="str">
        <x:v>DEC-SOC-01-014</x:v>
      </x:c>
      <x:c r="C4296" s="87" t="str">
        <x:v>СтатГрад</x:v>
      </x:c>
      <x:c r="D4296" s="87" t="str">
        <x:v>Декабрь 2025</x:v>
      </x:c>
      <x:c r="E4296" s="87"/>
      <x:c r="F4296" s="87"/>
      <x:c r="G4296" s="87" t="str">
        <x:v>Обществознание</x:v>
      </x:c>
      <x:c r="H4296" s="87" t="n">
        <x:v>11</x:v>
      </x:c>
      <x:c r="I4296" s="87" t="str">
        <x:v>ТР №3</x:v>
      </x:c>
      <x:c r="J4296" s="87" t="str">
        <x:v>ОБ2510301</x:v>
      </x:c>
      <x:c r="K4296" s="87" t="n">
        <x:v>14</x:v>
      </x:c>
      <x:c r="L4296" s="87" t="str">
        <x:v>Право: множественный выбор</x:v>
      </x:c>
      <x:c r="M4296" s="30" t="str">
        <x:v>Выберите верные суждения о расторжении трудового договора.
     1) Трудовой договор может быть расторгнут по обстоятельствам,
        не зависящим от воли сторон.
     2) Работодатель в любое время может расторгнуть трудовой договор
        с работником, выплатив ему компенсацию в размере двухмесячного
        заработка.
     3) По общему правилу работник обязан предупредить работодателя
        о расторжении трудового договора не менее чем за две недели до даты
        увольнения.
     4) При расторжении трудового договора работник должен получить
        все причитающиеся ему выплаты в день увольнения.
     5) Трудовой договор, заключённый на определённый срок, может быть
        расторгнут только по инициативе работодателя.</x:v>
      </x:c>
      <x:c r="N4296" s="30" t="str">
        <x:v>134</x:v>
      </x:c>
      <x:c r="O4296" s="30" t="str">
        <x:v>Трудовой договор прекращается и по независимым обстоятельствам; работник обычно предупреждает за две недели; расчёт производится в день увольнения.</x:v>
      </x:c>
      <x:c r="P4296" s="30" t="str">
        <x:v>Каждая выбранная позиция или соответствие проверены по обществоведческим понятиям и условию; официальный ключ совпал.</x:v>
      </x:c>
      <x:c r="Q4296" s="30"/>
      <x:c r="R4296" s="30" t="str">
        <x:v>134</x:v>
      </x:c>
      <x:c r="S4296" s="30"/>
      <x:c r="T4296" s="30" t="str">
        <x:v>Kriterii_OB11_10122025_1_2.pdf, p. 1</x:v>
      </x:c>
      <x:c r="U4296" s="30" t="str">
        <x:v>Расхождений нет.</x:v>
      </x:c>
      <x:c r="V4296" s="87" t="str">
        <x:v>VERIFIED</x:v>
      </x:c>
      <x:c r="W4296" s="87" t="n">
        <x:v>9</x:v>
      </x:c>
      <x:c r="X4296" s="87"/>
      <x:c r="Y4296" s="87"/>
      <x:c r="Z4296" s="87"/>
      <x:c r="AA4296" s="87"/>
      <x:c r="AB4296" s="87"/>
      <x:c r="AC4296" s="87" t="str">
        <x:v>VIS-SOC-DEC-TASK-12-P009</x:v>
      </x:c>
      <x:c r="AD4296" s="87"/>
      <x:c r="AE4296" s="87" t="str">
        <x:v>TASK</x:v>
      </x:c>
      <x:c r="AF4296" s="87"/>
      <x:c r="AG4296" s="87" t="str">
        <x:v>RESOLVED</x:v>
      </x:c>
      <x:c r="AH4296" s="87" t="str">
        <x:v>CROP_VERIFIED</x:v>
      </x:c>
      <x:c r="AI4296" s="30"/>
      <x:c r="AJ4296" s="87" t="str">
        <x:v>clean</x:v>
      </x:c>
      <x:c r="AK4296" s="87" t="str">
        <x:v>clean-v0.05</x:v>
      </x:c>
      <x:c r="AL4296" s="87" t="str">
        <x:v>statgrad_clean_continuation_v0_05(1)(1).xlsx</x:v>
      </x:c>
      <x:c r="AM4296" s="87" t="str">
        <x:v>SOC_Dec_V1</x:v>
      </x:c>
      <x:c r="AN4296" s="87" t="n">
        <x:v>15</x:v>
      </x:c>
    </x:row>
    <x:row r="4297">
      <x:c r="A4297" s="87" t="n">
        <x:v>4296</x:v>
      </x:c>
      <x:c r="B4297" s="87" t="str">
        <x:v>DEC-SOC-01-015</x:v>
      </x:c>
      <x:c r="C4297" s="87" t="str">
        <x:v>СтатГрад</x:v>
      </x:c>
      <x:c r="D4297" s="87" t="str">
        <x:v>Декабрь 2025</x:v>
      </x:c>
      <x:c r="E4297" s="87"/>
      <x:c r="F4297" s="87"/>
      <x:c r="G4297" s="87" t="str">
        <x:v>Обществознание</x:v>
      </x:c>
      <x:c r="H4297" s="87" t="n">
        <x:v>11</x:v>
      </x:c>
      <x:c r="I4297" s="87" t="str">
        <x:v>ТР №3</x:v>
      </x:c>
      <x:c r="J4297" s="87" t="str">
        <x:v>ОБ2510301</x:v>
      </x:c>
      <x:c r="K4297" s="87" t="n">
        <x:v>15</x:v>
      </x:c>
      <x:c r="L4297" s="87" t="str">
        <x:v>Установление соответствия</x:v>
      </x:c>
      <x:c r="M4297" s="30" t="str">
        <x:v>Установите соответствие между признаками юридических лиц и их
     организационно-правовыми формами: к каждой позиции, данной в первом
     столбце, подберите соответствующую позицию из второго столбца.
                     ПРИЗНАК                                  ОРГАНИЗАЦИОННО-
              ЮРИДИЧЕСКОГО ЛИЦА                                ПРАВОВАЯ ФОРМА
     А) Учредители отвечают по долгам                      1) производственный
        организации личным имуществом.                        кооператив
     Б) Прибыль распределяется в соответствии              2) унитарное предприятие
        с трудовым участием в деятельности                 3) полное товарищество
        организации.
     В) Имущество организации не может быть
        разделено на доли.
     Г) Все учредители могут заниматься
        коммерческой деятельностью от имени
        организации.
     Д) Организация не обладает правом
        собственности на своё имущество.
     Запишите в таблицу выбранные цифры под соответствующими буквами.
                А Б В Г Д</x:v>
      </x:c>
      <x:c r="N4297" s="30" t="str">
        <x:v>31232</x:v>
      </x:c>
      <x:c r="O4297" s="30" t="str">
        <x:v>Полное товарищество: личная ответственность и деятельность от имени организации; кооператив: распределение прибыли по трудовому участию; унитарное предприятие: неделимое имущество и отсутствие права собственности на него.</x:v>
      </x:c>
      <x:c r="P4297" s="30" t="str">
        <x:v>Каждая выбранная позиция или соответствие проверены по обществоведческим понятиям и условию; официальный ключ совпал.</x:v>
      </x:c>
      <x:c r="Q4297" s="30"/>
      <x:c r="R4297" s="30" t="str">
        <x:v>31232</x:v>
      </x:c>
      <x:c r="S4297" s="30"/>
      <x:c r="T4297" s="30" t="str">
        <x:v>Kriterii_OB11_10122025_1_2.pdf, p. 1</x:v>
      </x:c>
      <x:c r="U4297" s="30" t="str">
        <x:v>Расхождений нет.</x:v>
      </x:c>
      <x:c r="V4297" s="87" t="str">
        <x:v>VERIFIED</x:v>
      </x:c>
      <x:c r="W4297" s="87" t="n">
        <x:v>9</x:v>
      </x:c>
      <x:c r="X4297" s="87"/>
      <x:c r="Y4297" s="87"/>
      <x:c r="Z4297" s="87"/>
      <x:c r="AA4297" s="87"/>
      <x:c r="AB4297" s="87"/>
      <x:c r="AC4297" s="87" t="str">
        <x:v>VIS-SOC-DEC-TASK-12-P009</x:v>
      </x:c>
      <x:c r="AD4297" s="87"/>
      <x:c r="AE4297" s="87" t="str">
        <x:v>TASK</x:v>
      </x:c>
      <x:c r="AF4297" s="87"/>
      <x:c r="AG4297" s="87" t="str">
        <x:v>RESOLVED</x:v>
      </x:c>
      <x:c r="AH4297" s="87" t="str">
        <x:v>CROP_VERIFIED</x:v>
      </x:c>
      <x:c r="AI4297" s="30"/>
      <x:c r="AJ4297" s="87" t="str">
        <x:v>clean</x:v>
      </x:c>
      <x:c r="AK4297" s="87" t="str">
        <x:v>clean-v0.05</x:v>
      </x:c>
      <x:c r="AL4297" s="87" t="str">
        <x:v>statgrad_clean_continuation_v0_05(1)(1).xlsx</x:v>
      </x:c>
      <x:c r="AM4297" s="87" t="str">
        <x:v>SOC_Dec_V1</x:v>
      </x:c>
      <x:c r="AN4297" s="87" t="n">
        <x:v>16</x:v>
      </x:c>
    </x:row>
    <x:row r="4298">
      <x:c r="A4298" s="87" t="n">
        <x:v>4297</x:v>
      </x:c>
      <x:c r="B4298" s="87" t="str">
        <x:v>DEC-SOC-01-016</x:v>
      </x:c>
      <x:c r="C4298" s="87" t="str">
        <x:v>СтатГрад</x:v>
      </x:c>
      <x:c r="D4298" s="87" t="str">
        <x:v>Декабрь 2025</x:v>
      </x:c>
      <x:c r="E4298" s="87"/>
      <x:c r="F4298" s="87"/>
      <x:c r="G4298" s="87" t="str">
        <x:v>Обществознание</x:v>
      </x:c>
      <x:c r="H4298" s="87" t="n">
        <x:v>11</x:v>
      </x:c>
      <x:c r="I4298" s="87" t="str">
        <x:v>ТР №3</x:v>
      </x:c>
      <x:c r="J4298" s="87" t="str">
        <x:v>ОБ2510301</x:v>
      </x:c>
      <x:c r="K4298" s="87" t="n">
        <x:v>16</x:v>
      </x:c>
      <x:c r="L4298" s="87" t="str">
        <x:v>Профессиональные полномочия</x:v>
      </x:c>
      <x:c r="M4298" s="30" t="str">
        <x:v>Николай Петрович является прокурором района. Найдите в приведённом
     списке действия, которые могут входить в круг его профессиональных
     полномочий, и запишите цифры, под которыми они указаны.
     1) осуществлять расследование уголовных преступлений
     2) поддерживать государственное обвинение в суде по уголовным делам
     3) приносить протесты на решения и действия органов исполнительной
        власти
     4) составлять по просьбе граждан и организаций заявления, жалобы,
        ходатайства и другие документы правового характера
     5) принимать жалобы граждан на нарушение прав и свобод человека
        и гражданина</x:v>
      </x:c>
      <x:c r="N4298" s="30" t="str">
        <x:v>235</x:v>
      </x:c>
      <x:c r="O4298" s="30" t="str">
        <x:v>Прокурор поддерживает государственное обвинение, приносит протесты на незаконные акты и принимает обращения о нарушении прав.</x:v>
      </x:c>
      <x:c r="P4298" s="30" t="str">
        <x:v>Каждая выбранная позиция или соответствие проверены по обществоведческим понятиям и условию; официальный ключ совпал.</x:v>
      </x:c>
      <x:c r="Q4298" s="30"/>
      <x:c r="R4298" s="30" t="str">
        <x:v>235</x:v>
      </x:c>
      <x:c r="S4298" s="30"/>
      <x:c r="T4298" s="30" t="str">
        <x:v>Kriterii_OB11_10122025_1_2.pdf, p. 1</x:v>
      </x:c>
      <x:c r="U4298" s="30" t="str">
        <x:v>Расхождений нет.</x:v>
      </x:c>
      <x:c r="V4298" s="87" t="str">
        <x:v>VERIFIED</x:v>
      </x:c>
      <x:c r="W4298" s="87" t="n">
        <x:v>10</x:v>
      </x:c>
      <x:c r="X4298" s="87"/>
      <x:c r="Y4298" s="87"/>
      <x:c r="Z4298" s="87"/>
      <x:c r="AA4298" s="87"/>
      <x:c r="AB4298" s="87"/>
      <x:c r="AC4298" s="87" t="str">
        <x:v>VIS-SOC-DEC-TASK-12-P010</x:v>
      </x:c>
      <x:c r="AD4298" s="87"/>
      <x:c r="AE4298" s="87" t="str">
        <x:v>TASK</x:v>
      </x:c>
      <x:c r="AF4298" s="87"/>
      <x:c r="AG4298" s="87" t="str">
        <x:v>RESOLVED</x:v>
      </x:c>
      <x:c r="AH4298" s="87" t="str">
        <x:v>CROP_VERIFIED</x:v>
      </x:c>
      <x:c r="AI4298" s="30"/>
      <x:c r="AJ4298" s="87" t="str">
        <x:v>clean</x:v>
      </x:c>
      <x:c r="AK4298" s="87" t="str">
        <x:v>clean-v0.05</x:v>
      </x:c>
      <x:c r="AL4298" s="87" t="str">
        <x:v>statgrad_clean_continuation_v0_05(1)(1).xlsx</x:v>
      </x:c>
      <x:c r="AM4298" s="87" t="str">
        <x:v>SOC_Dec_V1</x:v>
      </x:c>
      <x:c r="AN4298" s="87" t="n">
        <x:v>17</x:v>
      </x:c>
    </x:row>
    <x:row r="4299">
      <x:c r="A4299" s="87" t="n">
        <x:v>4298</x:v>
      </x:c>
      <x:c r="B4299" s="87" t="str">
        <x:v>DEC-SOC-01-017</x:v>
      </x:c>
      <x:c r="C4299" s="87" t="str">
        <x:v>СтатГрад</x:v>
      </x:c>
      <x:c r="D4299" s="87" t="str">
        <x:v>Декабрь 2025</x:v>
      </x:c>
      <x:c r="E4299" s="87"/>
      <x:c r="F4299" s="87"/>
      <x:c r="G4299" s="87" t="str">
        <x:v>Обществознание</x:v>
      </x:c>
      <x:c r="H4299" s="87" t="n">
        <x:v>11</x:v>
      </x:c>
      <x:c r="I4299" s="87" t="str">
        <x:v>ТР №3</x:v>
      </x:c>
      <x:c r="J4299" s="87" t="str">
        <x:v>ОБ2510301</x:v>
      </x:c>
      <x:c r="K4299" s="87" t="n">
        <x:v>17</x:v>
      </x:c>
      <x:c r="L4299" s="87" t="str">
        <x:v>Ответы по тексту</x:v>
      </x:c>
      <x:c r="M4299" s="30" t="str">
        <x:v>В чём автор видит особенность свободной конкуренции? Когда, по мнению
     автора, конкуренция приобретает массовый характер и захватывает всех
     участников рынка? Какие три «фронта» массовой конкуренции обозначены
     автором?</x:v>
      </x:c>
      <x:c r="N4299" s="30" t="str">
        <x:v>1) Свободная конкуренция ведётся мелкими товаровладельцами поодиночке. 2) Массовой она становится при значительном отклонении рыночной цены, спроса и предложения от равновесия. 3) Три фронта: между продавцами; между покупателями; между продавцами и покупателями.</x:v>
      </x:c>
      <x:c r="O4299" s="30" t="str">
        <x:v>Модель включает все обязательные элементы официальных критериев и не содержит лишних позиций, способных снизить балл.</x:v>
      </x:c>
      <x:c r="P4299" s="30" t="str">
        <x:v>Сверено с официальным содержанием и критериями задания 17; проверены полнота, причинно-следственные связи и требуемое число элементов.</x:v>
      </x:c>
      <x:c r="Q4299" s="30"/>
      <x:c r="R4299" s="30" t="str">
        <x:v>Развёрнутый ответ по официальным критериям</x:v>
      </x:c>
      <x:c r="S4299" s="30"/>
      <x:c r="T4299" s="30" t="str">
        <x:v>Kriterii_OB11_10122025_1_2.pdf, pp. 3–4</x:v>
      </x:c>
      <x:c r="U4299" s="30" t="str">
        <x:v>Расхождений нет.</x:v>
      </x:c>
      <x:c r="V4299" s="87" t="str">
        <x:v>VERIFIED</x:v>
      </x:c>
      <x:c r="W4299" s="87" t="n">
        <x:v>12</x:v>
      </x:c>
      <x:c r="X4299" s="87"/>
      <x:c r="Y4299" s="87"/>
      <x:c r="Z4299" s="87"/>
      <x:c r="AA4299" s="87"/>
      <x:c r="AB4299" s="87"/>
      <x:c r="AC4299" s="87" t="str">
        <x:v>VIS-SOC-DEC-TASK-12-P012</x:v>
      </x:c>
      <x:c r="AD4299" s="87"/>
      <x:c r="AE4299" s="87" t="str">
        <x:v>TASK</x:v>
      </x:c>
      <x:c r="AF4299" s="87"/>
      <x:c r="AG4299" s="87" t="str">
        <x:v>RESOLVED</x:v>
      </x:c>
      <x:c r="AH4299" s="87" t="str">
        <x:v>CROP_VERIFIED</x:v>
      </x:c>
      <x:c r="AI4299" s="30"/>
      <x:c r="AJ4299" s="87" t="str">
        <x:v>clean</x:v>
      </x:c>
      <x:c r="AK4299" s="87" t="str">
        <x:v>clean-v0.05</x:v>
      </x:c>
      <x:c r="AL4299" s="87" t="str">
        <x:v>statgrad_clean_continuation_v0_05(1)(1).xlsx</x:v>
      </x:c>
      <x:c r="AM4299" s="87" t="str">
        <x:v>SOC_Dec_V1</x:v>
      </x:c>
      <x:c r="AN4299" s="87" t="n">
        <x:v>18</x:v>
      </x:c>
    </x:row>
    <x:row r="4300">
      <x:c r="A4300" s="87" t="n">
        <x:v>4299</x:v>
      </x:c>
      <x:c r="B4300" s="87" t="str">
        <x:v>DEC-SOC-01-018</x:v>
      </x:c>
      <x:c r="C4300" s="87" t="str">
        <x:v>СтатГрад</x:v>
      </x:c>
      <x:c r="D4300" s="87" t="str">
        <x:v>Декабрь 2025</x:v>
      </x:c>
      <x:c r="E4300" s="87"/>
      <x:c r="F4300" s="87"/>
      <x:c r="G4300" s="87" t="str">
        <x:v>Обществознание</x:v>
      </x:c>
      <x:c r="H4300" s="87" t="n">
        <x:v>11</x:v>
      </x:c>
      <x:c r="I4300" s="87" t="str">
        <x:v>ТР №3</x:v>
      </x:c>
      <x:c r="J4300" s="87" t="str">
        <x:v>ОБ2510301</x:v>
      </x:c>
      <x:c r="K4300" s="87" t="n">
        <x:v>18</x:v>
      </x:c>
      <x:c r="L4300" s="87" t="str">
        <x:v>Понятия и объяснение связи</x:v>
      </x:c>
      <x:c r="M4300" s="30" t="str">
        <x:v>В тексте упомянуты ключевые понятия социально-гуманитарных наук.
     Используя обществоведческие знания,
     – укажите не менее трёх основных признаков прогресса.
     – объясните связь между предпринимательской деятельностью и прогрессом.
     (Объяснение может быть дано в одном или нескольких распространённых
     предложениях.)</x:v>
      </x:c>
      <x:c r="N4300" s="30" t="str">
        <x:v>Признаки прогресса: движение от менее совершенного к более совершенному; развитие науки и техники; усложнение общественных структур. Предприниматели, рискуя ресурсами, внедряют технологии, совершенствуют организацию труда и способы использования ресурсов, поэтому ускоряют научно-технический и экономический прогресс.</x:v>
      </x:c>
      <x:c r="O4300" s="30" t="str">
        <x:v>Модель включает все обязательные элементы официальных критериев и не содержит лишних позиций, способных снизить балл.</x:v>
      </x:c>
      <x:c r="P4300" s="30" t="str">
        <x:v>Сверено с официальным содержанием и критериями задания 18; проверены полнота, причинно-следственные связи и требуемое число элементов.</x:v>
      </x:c>
      <x:c r="Q4300" s="30"/>
      <x:c r="R4300" s="30" t="str">
        <x:v>Развёрнутый ответ по официальным критериям</x:v>
      </x:c>
      <x:c r="S4300" s="30"/>
      <x:c r="T4300" s="30" t="str">
        <x:v>Kriterii_OB11_10122025_1_2.pdf, pp. 4–5</x:v>
      </x:c>
      <x:c r="U4300" s="30" t="str">
        <x:v>Расхождений нет.</x:v>
      </x:c>
      <x:c r="V4300" s="87" t="str">
        <x:v>VERIFIED</x:v>
      </x:c>
      <x:c r="W4300" s="87" t="n">
        <x:v>12</x:v>
      </x:c>
      <x:c r="X4300" s="87"/>
      <x:c r="Y4300" s="87"/>
      <x:c r="Z4300" s="87"/>
      <x:c r="AA4300" s="87"/>
      <x:c r="AB4300" s="87"/>
      <x:c r="AC4300" s="87" t="str">
        <x:v>VIS-SOC-DEC-TASK-12-P012</x:v>
      </x:c>
      <x:c r="AD4300" s="87"/>
      <x:c r="AE4300" s="87" t="str">
        <x:v>TASK</x:v>
      </x:c>
      <x:c r="AF4300" s="87"/>
      <x:c r="AG4300" s="87" t="str">
        <x:v>RESOLVED</x:v>
      </x:c>
      <x:c r="AH4300" s="87" t="str">
        <x:v>CROP_VERIFIED</x:v>
      </x:c>
      <x:c r="AI4300" s="30"/>
      <x:c r="AJ4300" s="87" t="str">
        <x:v>clean</x:v>
      </x:c>
      <x:c r="AK4300" s="87" t="str">
        <x:v>clean-v0.05</x:v>
      </x:c>
      <x:c r="AL4300" s="87" t="str">
        <x:v>statgrad_clean_continuation_v0_05(1)(1).xlsx</x:v>
      </x:c>
      <x:c r="AM4300" s="87" t="str">
        <x:v>SOC_Dec_V1</x:v>
      </x:c>
      <x:c r="AN4300" s="87" t="n">
        <x:v>19</x:v>
      </x:c>
    </x:row>
    <x:row r="4301">
      <x:c r="A4301" s="87" t="n">
        <x:v>4300</x:v>
      </x:c>
      <x:c r="B4301" s="87" t="str">
        <x:v>DEC-SOC-01-019</x:v>
      </x:c>
      <x:c r="C4301" s="87" t="str">
        <x:v>СтатГрад</x:v>
      </x:c>
      <x:c r="D4301" s="87" t="str">
        <x:v>Декабрь 2025</x:v>
      </x:c>
      <x:c r="E4301" s="87"/>
      <x:c r="F4301" s="87"/>
      <x:c r="G4301" s="87" t="str">
        <x:v>Обществознание</x:v>
      </x:c>
      <x:c r="H4301" s="87" t="n">
        <x:v>11</x:v>
      </x:c>
      <x:c r="I4301" s="87" t="str">
        <x:v>ТР №3</x:v>
      </x:c>
      <x:c r="J4301" s="87" t="str">
        <x:v>ОБ2510301</x:v>
      </x:c>
      <x:c r="K4301" s="87" t="n">
        <x:v>19</x:v>
      </x:c>
      <x:c r="L4301" s="87" t="str">
        <x:v>Развёрнутые примеры</x:v>
      </x:c>
      <x:c r="M4301" s="30" t="str">
        <x:v>Используя обществоведческие знания и факты общественной жизни,
     проиллюстрируйте конкретными примерами три любых типа конкурентных
     рынков. (Каждый пример должен быть сформулирован развёрнуто.
     Примеры не должны дублировать друг друга по содержанию.)</x:v>
      </x:c>
      <x:c r="N4301" s="30" t="str">
        <x:v>1) Совершенная конкуренция: на городском сельскохозяйственном рынке десятки независимых продавцов предлагают сходную продукцию и свободно входят на рынок. 2) Олигополия: услуги мобильной связи предоставляют несколько крупных компаний, решения каждой влияют на остальных. 3) Монополия: железнодорожные перевозки в регионе осуществляет единственная компания, самостоятельно устанавливающая тарифы.</x:v>
      </x:c>
      <x:c r="O4301" s="30" t="str">
        <x:v>Модель включает все обязательные элементы официальных критериев и не содержит лишних позиций, способных снизить балл.</x:v>
      </x:c>
      <x:c r="P4301" s="30" t="str">
        <x:v>Сверено с официальным содержанием и критериями задания 19; проверены полнота, причинно-следственные связи и требуемое число элементов.</x:v>
      </x:c>
      <x:c r="Q4301" s="30"/>
      <x:c r="R4301" s="30" t="str">
        <x:v>Развёрнутый ответ по официальным критериям</x:v>
      </x:c>
      <x:c r="S4301" s="30"/>
      <x:c r="T4301" s="30" t="str">
        <x:v>Kriterii_OB11_10122025_1_2.pdf, pp. 5–6</x:v>
      </x:c>
      <x:c r="U4301" s="30" t="str">
        <x:v>Расхождений нет.</x:v>
      </x:c>
      <x:c r="V4301" s="87" t="str">
        <x:v>VERIFIED</x:v>
      </x:c>
      <x:c r="W4301" s="87" t="n">
        <x:v>12</x:v>
      </x:c>
      <x:c r="X4301" s="87"/>
      <x:c r="Y4301" s="87"/>
      <x:c r="Z4301" s="87"/>
      <x:c r="AA4301" s="87"/>
      <x:c r="AB4301" s="87"/>
      <x:c r="AC4301" s="87" t="str">
        <x:v>VIS-SOC-DEC-TASK-12-P012</x:v>
      </x:c>
      <x:c r="AD4301" s="87"/>
      <x:c r="AE4301" s="87" t="str">
        <x:v>TASK</x:v>
      </x:c>
      <x:c r="AF4301" s="87"/>
      <x:c r="AG4301" s="87" t="str">
        <x:v>RESOLVED</x:v>
      </x:c>
      <x:c r="AH4301" s="87" t="str">
        <x:v>CROP_VERIFIED</x:v>
      </x:c>
      <x:c r="AI4301" s="30"/>
      <x:c r="AJ4301" s="87" t="str">
        <x:v>clean</x:v>
      </x:c>
      <x:c r="AK4301" s="87" t="str">
        <x:v>clean-v0.05</x:v>
      </x:c>
      <x:c r="AL4301" s="87" t="str">
        <x:v>statgrad_clean_continuation_v0_05(1)(1).xlsx</x:v>
      </x:c>
      <x:c r="AM4301" s="87" t="str">
        <x:v>SOC_Dec_V1</x:v>
      </x:c>
      <x:c r="AN4301" s="87" t="n">
        <x:v>20</x:v>
      </x:c>
    </x:row>
    <x:row r="4302">
      <x:c r="A4302" s="87" t="n">
        <x:v>4301</x:v>
      </x:c>
      <x:c r="B4302" s="87" t="str">
        <x:v>DEC-SOC-01-020</x:v>
      </x:c>
      <x:c r="C4302" s="87" t="str">
        <x:v>СтатГрад</x:v>
      </x:c>
      <x:c r="D4302" s="87" t="str">
        <x:v>Декабрь 2025</x:v>
      </x:c>
      <x:c r="E4302" s="87"/>
      <x:c r="F4302" s="87"/>
      <x:c r="G4302" s="87" t="str">
        <x:v>Обществознание</x:v>
      </x:c>
      <x:c r="H4302" s="87" t="n">
        <x:v>11</x:v>
      </x:c>
      <x:c r="I4302" s="87" t="str">
        <x:v>ТР №3</x:v>
      </x:c>
      <x:c r="J4302" s="87" t="str">
        <x:v>ОБ2510301</x:v>
      </x:c>
      <x:c r="K4302" s="87" t="n">
        <x:v>20</x:v>
      </x:c>
      <x:c r="L4302" s="87" t="str">
        <x:v>Аргументация</x:v>
      </x:c>
      <x:c r="M4302" s="30" t="str">
        <x:v>Используя обществоведческие знания, приведите три аргумента,
     подтверждающих, что конкуренция имеет не только положительные,
     но и отрицательные последствия для участников рыночных отношений.
     (Каждый аргумент должен быть сформулирован как распространённое
     предложение.)</x:v>
      </x:c>
      <x:c r="N4302" s="30" t="str">
        <x:v>1) Конкуренция приводит к разорению части производителей и продавцов. 2) Фирмы тратят значительные средства на рекламу вместо вложений в развитие. 3) Погоня за преимуществами может провоцировать подкуп, промышленный шпионаж и другие нарушения закона.</x:v>
      </x:c>
      <x:c r="O4302" s="30" t="str">
        <x:v>Модель включает все обязательные элементы официальных критериев и не содержит лишних позиций, способных снизить балл.</x:v>
      </x:c>
      <x:c r="P4302" s="30" t="str">
        <x:v>Сверено с официальным содержанием и критериями задания 20; проверены полнота, причинно-следственные связи и требуемое число элементов.</x:v>
      </x:c>
      <x:c r="Q4302" s="30"/>
      <x:c r="R4302" s="30" t="str">
        <x:v>Развёрнутый ответ по официальным критериям</x:v>
      </x:c>
      <x:c r="S4302" s="30"/>
      <x:c r="T4302" s="30" t="str">
        <x:v>Kriterii_OB11_10122025_1_2.pdf, pp. 6–8</x:v>
      </x:c>
      <x:c r="U4302" s="30" t="str">
        <x:v>Расхождений нет.</x:v>
      </x:c>
      <x:c r="V4302" s="87" t="str">
        <x:v>VERIFIED</x:v>
      </x:c>
      <x:c r="W4302" s="87" t="n">
        <x:v>12</x:v>
      </x:c>
      <x:c r="X4302" s="87"/>
      <x:c r="Y4302" s="87"/>
      <x:c r="Z4302" s="87"/>
      <x:c r="AA4302" s="87"/>
      <x:c r="AB4302" s="87"/>
      <x:c r="AC4302" s="87" t="str">
        <x:v>VIS-SOC-DEC-TASK-12-P012</x:v>
      </x:c>
      <x:c r="AD4302" s="87"/>
      <x:c r="AE4302" s="87" t="str">
        <x:v>TASK</x:v>
      </x:c>
      <x:c r="AF4302" s="87"/>
      <x:c r="AG4302" s="87" t="str">
        <x:v>RESOLVED</x:v>
      </x:c>
      <x:c r="AH4302" s="87" t="str">
        <x:v>CROP_VERIFIED</x:v>
      </x:c>
      <x:c r="AI4302" s="30"/>
      <x:c r="AJ4302" s="87" t="str">
        <x:v>clean</x:v>
      </x:c>
      <x:c r="AK4302" s="87" t="str">
        <x:v>clean-v0.05</x:v>
      </x:c>
      <x:c r="AL4302" s="87" t="str">
        <x:v>statgrad_clean_continuation_v0_05(1)(1).xlsx</x:v>
      </x:c>
      <x:c r="AM4302" s="87" t="str">
        <x:v>SOC_Dec_V1</x:v>
      </x:c>
      <x:c r="AN4302" s="87" t="n">
        <x:v>21</x:v>
      </x:c>
    </x:row>
    <x:row r="4303">
      <x:c r="A4303" s="87" t="n">
        <x:v>4302</x:v>
      </x:c>
      <x:c r="B4303" s="87" t="str">
        <x:v>DEC-SOC-01-021</x:v>
      </x:c>
      <x:c r="C4303" s="87" t="str">
        <x:v>СтатГрад</x:v>
      </x:c>
      <x:c r="D4303" s="87" t="str">
        <x:v>Декабрь 2025</x:v>
      </x:c>
      <x:c r="E4303" s="87"/>
      <x:c r="F4303" s="87"/>
      <x:c r="G4303" s="87" t="str">
        <x:v>Обществознание</x:v>
      </x:c>
      <x:c r="H4303" s="87" t="n">
        <x:v>11</x:v>
      </x:c>
      <x:c r="I4303" s="87" t="str">
        <x:v>ТР №3</x:v>
      </x:c>
      <x:c r="J4303" s="87" t="str">
        <x:v>ОБ2510301</x:v>
      </x:c>
      <x:c r="K4303" s="87" t="n">
        <x:v>21</x:v>
      </x:c>
      <x:c r="L4303" s="87" t="str">
        <x:v>Экономический график</x:v>
      </x:c>
      <x:c r="M4303" s="30" t="str">
        <x:v>На графике изображено изменение ситуации на рынке картофеля в стране Z.
     Кривая предложения переместилась из положения S в положение S1 при
     неизменном спросе D. (На графике P – цена товара; Q – количество товара).
     Как изменилась равновесная цена?
     Что могло вызвать изменение предложения?
     Укажите любое одно обстоятельство (фактор) и объясните его влияние
     на предложение. (Объяснение должно быть дано применительно к рынку,
     указанному в тексте задания.)
     Как изменятся спрос и равновесная цена на данном рынке, если при прочих
     равных условиях в стране значительно возрастёт потребление картофельных
     чипсов?</x:v>
      </x:c>
      <x:c r="N4303" s="30" t="str">
        <x:v>Равновесная цена увеличилась. Предложение могло сократиться из-за неурожая картофеля: при каждом уровне цены производители могут поставить меньше продукции. Рост потребления картофельных чипсов увеличит спрос на картофель и повысит равновесную цену.</x:v>
      </x:c>
      <x:c r="O4303" s="30" t="str">
        <x:v>Модель включает все обязательные элементы официальных критериев и не содержит лишних позиций, способных снизить балл.</x:v>
      </x:c>
      <x:c r="P4303" s="30" t="str">
        <x:v>Сверено с официальным содержанием и критериями задания 21; проверены полнота, причинно-следственные связи и требуемое число элементов.</x:v>
      </x:c>
      <x:c r="Q4303" s="30"/>
      <x:c r="R4303" s="30" t="str">
        <x:v>Развёрнутый ответ по официальным критериям</x:v>
      </x:c>
      <x:c r="S4303" s="30"/>
      <x:c r="T4303" s="30" t="str">
        <x:v>Kriterii_OB11_10122025_1_2.pdf, pp. 8–9</x:v>
      </x:c>
      <x:c r="U4303" s="30" t="str">
        <x:v>Расхождений нет.</x:v>
      </x:c>
      <x:c r="V4303" s="87" t="str">
        <x:v>VERIFIED</x:v>
      </x:c>
      <x:c r="W4303" s="87" t="n">
        <x:v>13</x:v>
      </x:c>
      <x:c r="X4303" s="87"/>
      <x:c r="Y4303" s="87"/>
      <x:c r="Z4303" s="87"/>
      <x:c r="AA4303" s="87"/>
      <x:c r="AB4303" s="87"/>
      <x:c r="AC4303" s="87" t="str">
        <x:v>VIS-SOC-DEC-TASK-12-P013</x:v>
      </x:c>
      <x:c r="AD4303" s="87"/>
      <x:c r="AE4303" s="87" t="str">
        <x:v>TASK</x:v>
      </x:c>
      <x:c r="AF4303" s="87"/>
      <x:c r="AG4303" s="87" t="str">
        <x:v>RESOLVED</x:v>
      </x:c>
      <x:c r="AH4303" s="87" t="str">
        <x:v>CROP_VERIFIED; TASK_CROP_QA_APPROVED:USE_CONTEXT</x:v>
      </x:c>
      <x:c r="AI4303" s="30"/>
      <x:c r="AJ4303" s="87" t="str">
        <x:v>clean</x:v>
      </x:c>
      <x:c r="AK4303" s="87" t="str">
        <x:v>clean-v0.05</x:v>
      </x:c>
      <x:c r="AL4303" s="87" t="str">
        <x:v>statgrad_clean_continuation_v0_05(1)(1).xlsx</x:v>
      </x:c>
      <x:c r="AM4303" s="87" t="str">
        <x:v>SOC_Dec_V1</x:v>
      </x:c>
      <x:c r="AN4303" s="87" t="n">
        <x:v>22</x:v>
      </x:c>
    </x:row>
    <x:row r="4304">
      <x:c r="A4304" s="87" t="n">
        <x:v>4303</x:v>
      </x:c>
      <x:c r="B4304" s="87" t="str">
        <x:v>DEC-SOC-01-022</x:v>
      </x:c>
      <x:c r="C4304" s="87" t="str">
        <x:v>СтатГрад</x:v>
      </x:c>
      <x:c r="D4304" s="87" t="str">
        <x:v>Декабрь 2025</x:v>
      </x:c>
      <x:c r="E4304" s="87"/>
      <x:c r="F4304" s="87"/>
      <x:c r="G4304" s="87" t="str">
        <x:v>Обществознание</x:v>
      </x:c>
      <x:c r="H4304" s="87" t="n">
        <x:v>11</x:v>
      </x:c>
      <x:c r="I4304" s="87" t="str">
        <x:v>ТР №3</x:v>
      </x:c>
      <x:c r="J4304" s="87" t="str">
        <x:v>ОБ2510301</x:v>
      </x:c>
      <x:c r="K4304" s="87" t="n">
        <x:v>22</x:v>
      </x:c>
      <x:c r="L4304" s="87" t="str">
        <x:v>Правовая/социальная задача</x:v>
      </x:c>
      <x:c r="M4304" s="30" t="str">
        <x:v>18-летний Алексей К. был задержан службой безопасности магазина
     за попытку вынести без оплаты товары на сумму 6500 рублей. Прибывшие
     на место задержания сотрудники полиции составили протокол
     о правонарушении.
     Какой вид правонарушения совершил Алексей? Какие признаки отличают
     этот вид правонарушений? На какой максимальный срок может быть
     задержан Алексей сотрудниками полиции до решения суда? Какие права он
     имеет при задержании сотрудниками полиции? (Назовите два любых права.)</x:v>
      </x:c>
      <x:c r="N4304" s="30" t="str">
        <x:v>Совершено преступление. Его признаки: общественная опасность, запрещённость уголовным законом, виновность и наказуемость. До судебного решения задержание возможно максимум на 48 часов. Права задержанного: помощь адвоката и телефонный звонок (также допустимы отказ от показаний и ознакомление с документами).</x:v>
      </x:c>
      <x:c r="O4304" s="30" t="str">
        <x:v>Модель включает все обязательные элементы официальных критериев и не содержит лишних позиций, способных снизить балл.</x:v>
      </x:c>
      <x:c r="P4304" s="30" t="str">
        <x:v>Сверено с официальным содержанием и критериями задания 22; проверены полнота, причинно-следственные связи и требуемое число элементов.</x:v>
      </x:c>
      <x:c r="Q4304" s="30"/>
      <x:c r="R4304" s="30" t="str">
        <x:v>Развёрнутый ответ по официальным критериям</x:v>
      </x:c>
      <x:c r="S4304" s="30"/>
      <x:c r="T4304" s="30" t="str">
        <x:v>Kriterii_OB11_10122025_1_2.pdf, pp. 9–10</x:v>
      </x:c>
      <x:c r="U4304" s="30" t="str">
        <x:v>Расхождений нет.</x:v>
      </x:c>
      <x:c r="V4304" s="87" t="str">
        <x:v>VERIFIED</x:v>
      </x:c>
      <x:c r="W4304" s="87" t="n">
        <x:v>14</x:v>
      </x:c>
      <x:c r="X4304" s="87"/>
      <x:c r="Y4304" s="87"/>
      <x:c r="Z4304" s="87"/>
      <x:c r="AA4304" s="87"/>
      <x:c r="AB4304" s="87"/>
      <x:c r="AC4304" s="87" t="str">
        <x:v>VIS-SOC-DEC-TASK-12-P014</x:v>
      </x:c>
      <x:c r="AD4304" s="87"/>
      <x:c r="AE4304" s="87" t="str">
        <x:v>TASK</x:v>
      </x:c>
      <x:c r="AF4304" s="87"/>
      <x:c r="AG4304" s="87" t="str">
        <x:v>RESOLVED</x:v>
      </x:c>
      <x:c r="AH4304" s="87" t="str">
        <x:v>CROP_VERIFIED</x:v>
      </x:c>
      <x:c r="AI4304" s="30"/>
      <x:c r="AJ4304" s="87" t="str">
        <x:v>clean</x:v>
      </x:c>
      <x:c r="AK4304" s="87" t="str">
        <x:v>clean-v0.05</x:v>
      </x:c>
      <x:c r="AL4304" s="87" t="str">
        <x:v>statgrad_clean_continuation_v0_05(1)(1).xlsx</x:v>
      </x:c>
      <x:c r="AM4304" s="87" t="str">
        <x:v>SOC_Dec_V1</x:v>
      </x:c>
      <x:c r="AN4304" s="87" t="n">
        <x:v>23</x:v>
      </x:c>
    </x:row>
    <x:row r="4305">
      <x:c r="A4305" s="87" t="n">
        <x:v>4304</x:v>
      </x:c>
      <x:c r="B4305" s="87" t="str">
        <x:v>DEC-SOC-01-023</x:v>
      </x:c>
      <x:c r="C4305" s="87" t="str">
        <x:v>СтатГрад</x:v>
      </x:c>
      <x:c r="D4305" s="87" t="str">
        <x:v>Декабрь 2025</x:v>
      </x:c>
      <x:c r="E4305" s="87"/>
      <x:c r="F4305" s="87"/>
      <x:c r="G4305" s="87" t="str">
        <x:v>Обществознание</x:v>
      </x:c>
      <x:c r="H4305" s="87" t="n">
        <x:v>11</x:v>
      </x:c>
      <x:c r="I4305" s="87" t="str">
        <x:v>ТР №3</x:v>
      </x:c>
      <x:c r="J4305" s="87" t="str">
        <x:v>ОБ2510301</x:v>
      </x:c>
      <x:c r="K4305" s="87" t="n">
        <x:v>23</x:v>
      </x:c>
      <x:c r="L4305" s="87" t="str">
        <x:v>Конституционные положения</x:v>
      </x:c>
      <x:c r="M4305" s="30" t="str">
        <x:v>Конституция Российской Федерации гарантирует равенство прав граждан.
     На основе положений Конституции Российской Федерации приведите
     три подтверждения данного утверждения. (Каждое подтверждение должно
     быть сформулировано как распространённое предложение с опорой
     на конкретное положение Конституции Российской Федерации.
     Обратите внимание на то, что правильное выполнение задания не требует
     указания в ответе номеров соответствующих статей Конституции РФ
     и дословного воспроизведения их содержания.)</x:v>
      </x:c>
      <x:c r="N4305" s="30" t="str">
        <x:v>1) Все равны перед законом и судом. 2) Государство гарантирует равенство прав и свобод независимо от пола, расы, национальности, языка, происхождения, положения, места жительства, религии, убеждений и иных обстоятельств. 3) Мужчины и женщины имеют равные права, свободы и возможности их реализации.</x:v>
      </x:c>
      <x:c r="O4305" s="30" t="str">
        <x:v>Модель включает все обязательные элементы официальных критериев и не содержит лишних позиций, способных снизить балл.</x:v>
      </x:c>
      <x:c r="P4305" s="30" t="str">
        <x:v>Сверено с официальным содержанием и критериями задания 23; проверены полнота, причинно-следственные связи и требуемое число элементов.</x:v>
      </x:c>
      <x:c r="Q4305" s="30"/>
      <x:c r="R4305" s="30" t="str">
        <x:v>Развёрнутый ответ по официальным критериям</x:v>
      </x:c>
      <x:c r="S4305" s="30"/>
      <x:c r="T4305" s="30" t="str">
        <x:v>Kriterii_OB11_10122025_1_2.pdf, pp. 10–11</x:v>
      </x:c>
      <x:c r="U4305" s="30" t="str">
        <x:v>Расхождений нет.</x:v>
      </x:c>
      <x:c r="V4305" s="87" t="str">
        <x:v>VERIFIED</x:v>
      </x:c>
      <x:c r="W4305" s="87" t="n">
        <x:v>14</x:v>
      </x:c>
      <x:c r="X4305" s="87"/>
      <x:c r="Y4305" s="87"/>
      <x:c r="Z4305" s="87"/>
      <x:c r="AA4305" s="87"/>
      <x:c r="AB4305" s="87"/>
      <x:c r="AC4305" s="87" t="str">
        <x:v>VIS-SOC-DEC-TASK-12-P014</x:v>
      </x:c>
      <x:c r="AD4305" s="87"/>
      <x:c r="AE4305" s="87" t="str">
        <x:v>TASK</x:v>
      </x:c>
      <x:c r="AF4305" s="87"/>
      <x:c r="AG4305" s="87" t="str">
        <x:v>RESOLVED</x:v>
      </x:c>
      <x:c r="AH4305" s="87" t="str">
        <x:v>CROP_VERIFIED</x:v>
      </x:c>
      <x:c r="AI4305" s="30"/>
      <x:c r="AJ4305" s="87" t="str">
        <x:v>clean</x:v>
      </x:c>
      <x:c r="AK4305" s="87" t="str">
        <x:v>clean-v0.05</x:v>
      </x:c>
      <x:c r="AL4305" s="87" t="str">
        <x:v>statgrad_clean_continuation_v0_05(1)(1).xlsx</x:v>
      </x:c>
      <x:c r="AM4305" s="87" t="str">
        <x:v>SOC_Dec_V1</x:v>
      </x:c>
      <x:c r="AN4305" s="87" t="n">
        <x:v>24</x:v>
      </x:c>
    </x:row>
    <x:row r="4306">
      <x:c r="A4306" s="87" t="n">
        <x:v>4305</x:v>
      </x:c>
      <x:c r="B4306" s="87" t="str">
        <x:v>DEC-SOC-01-024</x:v>
      </x:c>
      <x:c r="C4306" s="87" t="str">
        <x:v>СтатГрад</x:v>
      </x:c>
      <x:c r="D4306" s="87" t="str">
        <x:v>Декабрь 2025</x:v>
      </x:c>
      <x:c r="E4306" s="87"/>
      <x:c r="F4306" s="87"/>
      <x:c r="G4306" s="87" t="str">
        <x:v>Обществознание</x:v>
      </x:c>
      <x:c r="H4306" s="87" t="n">
        <x:v>11</x:v>
      </x:c>
      <x:c r="I4306" s="87" t="str">
        <x:v>ТР №3</x:v>
      </x:c>
      <x:c r="J4306" s="87" t="str">
        <x:v>ОБ2510301</x:v>
      </x:c>
      <x:c r="K4306" s="87" t="n">
        <x:v>24</x:v>
      </x:c>
      <x:c r="L4306" s="87" t="str">
        <x:v>Сложный план</x:v>
      </x:c>
      <x:c r="M4306" s="30" t="str">
        <x:v>Используя обществоведческие знания, составьте сложный план,
     позволяющий раскрыть по существу тему «Социальная стратификация
     и социальная мобильность».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возможно только два
     подпункта.)</x:v>
      </x:c>
      <x:c r="N4306" s="30" t="str">
        <x:v>1. Понятия социальной стратификации и социальной мобильности.
2. Исторические типы стратификации: а) рабство; б) касты; в) сословия; г) классы.
3. Критерии современных страт: а) доход; б) образование; в) власть; г) собственность; д) престиж.
4. Типы мобильности: а) горизонтальная; б) вертикальная восходящая; в) вертикальная нисходящая.
5. Социальные лифты: а) образование; б) профессиональная карьера; в) военная служба; г) брак; д) религиозные организации.
6. Значение социальной мобильности для развития общества.</x:v>
      </x:c>
      <x:c r="O4306" s="30" t="str">
        <x:v>Модель включает все обязательные элементы официальных критериев и не содержит лишних позиций, способных снизить балл.</x:v>
      </x:c>
      <x:c r="P4306" s="30" t="str">
        <x:v>Сверено с официальным содержанием и критериями задания 24; проверены полнота, причинно-следственные связи и требуемое число элементов.</x:v>
      </x:c>
      <x:c r="Q4306" s="30"/>
      <x:c r="R4306" s="30" t="str">
        <x:v>Развёрнутый ответ по официальным критериям</x:v>
      </x:c>
      <x:c r="S4306" s="30"/>
      <x:c r="T4306" s="30" t="str">
        <x:v>Kriterii_OB11_10122025_1_2.pdf, pp. 11–14</x:v>
      </x:c>
      <x:c r="U4306" s="30" t="str">
        <x:v>Расхождений нет.</x:v>
      </x:c>
      <x:c r="V4306" s="87" t="str">
        <x:v>VERIFIED</x:v>
      </x:c>
      <x:c r="W4306" s="87" t="n">
        <x:v>14</x:v>
      </x:c>
      <x:c r="X4306" s="87"/>
      <x:c r="Y4306" s="87"/>
      <x:c r="Z4306" s="87"/>
      <x:c r="AA4306" s="87"/>
      <x:c r="AB4306" s="87"/>
      <x:c r="AC4306" s="87" t="str">
        <x:v>VIS-SOC-DEC-TASK-12-P014</x:v>
      </x:c>
      <x:c r="AD4306" s="87"/>
      <x:c r="AE4306" s="87" t="str">
        <x:v>TASK</x:v>
      </x:c>
      <x:c r="AF4306" s="87"/>
      <x:c r="AG4306" s="87" t="str">
        <x:v>RESOLVED</x:v>
      </x:c>
      <x:c r="AH4306" s="87" t="str">
        <x:v>CROP_VERIFIED</x:v>
      </x:c>
      <x:c r="AI4306" s="30"/>
      <x:c r="AJ4306" s="87" t="str">
        <x:v>clean</x:v>
      </x:c>
      <x:c r="AK4306" s="87" t="str">
        <x:v>clean-v0.05</x:v>
      </x:c>
      <x:c r="AL4306" s="87" t="str">
        <x:v>statgrad_clean_continuation_v0_05(1)(1).xlsx</x:v>
      </x:c>
      <x:c r="AM4306" s="87" t="str">
        <x:v>SOC_Dec_V1</x:v>
      </x:c>
      <x:c r="AN4306" s="87" t="n">
        <x:v>25</x:v>
      </x:c>
    </x:row>
    <x:row r="4307">
      <x:c r="A4307" s="87" t="n">
        <x:v>4306</x:v>
      </x:c>
      <x:c r="B4307" s="87" t="str">
        <x:v>DEC-SOC-01-025</x:v>
      </x:c>
      <x:c r="C4307" s="87" t="str">
        <x:v>СтатГрад</x:v>
      </x:c>
      <x:c r="D4307" s="87" t="str">
        <x:v>Декабрь 2025</x:v>
      </x:c>
      <x:c r="E4307" s="87"/>
      <x:c r="F4307" s="87"/>
      <x:c r="G4307" s="87" t="str">
        <x:v>Обществознание</x:v>
      </x:c>
      <x:c r="H4307" s="87" t="n">
        <x:v>11</x:v>
      </x:c>
      <x:c r="I4307" s="87" t="str">
        <x:v>ТР №3</x:v>
      </x:c>
      <x:c r="J4307" s="87" t="str">
        <x:v>ОБ2510301</x:v>
      </x:c>
      <x:c r="K4307" s="87" t="n">
        <x:v>25</x:v>
      </x:c>
      <x:c r="L4307" s="87" t="str">
        <x:v>Обоснование, объекты и примеры</x:v>
      </x:c>
      <x:c r="M4307" s="30" t="str">
        <x:v>Используя обществоведческие знания, факты общественной жизни и личный
     социальный опыт, выполните задания, ответьте на вопрос.
     1) Обоснуйте важность социальной мобильности для развития общества.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Какие каналы социальной мобильности (социальные лифты) существуют?
     (Назовите три любых канала социальной мобильности (социальных лифта)).
     3) Для каждого из указанных в п. 2 канала социальной мобильности
     (социальных лифта) приведите по одному примеру, иллюстрирующему его
     действие в современной России. (Каждый пример должен быть
     сформулирован     развёрнуто.   В    совокупности    примеры   должны
     иллюстрировать три различных функции.)</x:v>
      </x:c>
      <x:c r="N4307" s="30" t="str">
        <x:v>Социальная мобильность позволяет обществу эффективнее распределять способности и трудовые ресурсы, стимулирует образование и профессиональное развитие, обновляет элиты и помогает адаптироваться к экономическим изменениям. Каналы: образование, профессиональная карьера, военная служба. Примеры: выпускник региональной школы поступил в ведущий вуз и после получения квалификации занял более высокий профессиональный статус; инженер благодаря результатам работы стал руководителем предприятия; военнослужащий прошёл путь от рядового до офицера, повысив свой социальный статус.</x:v>
      </x:c>
      <x:c r="O4307" s="30" t="str">
        <x:v>Модель включает все обязательные элементы официальных критериев и не содержит лишних позиций, способных снизить балл.</x:v>
      </x:c>
      <x:c r="P4307" s="30" t="str">
        <x:v>Сверено с официальным содержанием и критериями задания 25; проверены полнота, причинно-следственные связи и требуемое число элементов.</x:v>
      </x:c>
      <x:c r="Q4307" s="30"/>
      <x:c r="R4307" s="30" t="str">
        <x:v>Развёрнутый ответ по официальным критериям</x:v>
      </x:c>
      <x:c r="S4307" s="30"/>
      <x:c r="T4307" s="30" t="str">
        <x:v>Kriterii_OB11_10122025_1_2.pdf, pp. 14–15</x:v>
      </x:c>
      <x:c r="U4307" s="30" t="str">
        <x:v>Расхождений нет.</x:v>
      </x:c>
      <x:c r="V4307" s="87" t="str">
        <x:v>VERIFIED</x:v>
      </x:c>
      <x:c r="W4307" s="87" t="n">
        <x:v>14</x:v>
      </x:c>
      <x:c r="X4307" s="87"/>
      <x:c r="Y4307" s="87"/>
      <x:c r="Z4307" s="87"/>
      <x:c r="AA4307" s="87"/>
      <x:c r="AB4307" s="87"/>
      <x:c r="AC4307" s="87" t="str">
        <x:v>VIS-SOC-DEC-TASK-12-P014</x:v>
      </x:c>
      <x:c r="AD4307" s="87"/>
      <x:c r="AE4307" s="87" t="str">
        <x:v>TASK</x:v>
      </x:c>
      <x:c r="AF4307" s="87"/>
      <x:c r="AG4307" s="87" t="str">
        <x:v>RESOLVED</x:v>
      </x:c>
      <x:c r="AH4307" s="87" t="str">
        <x:v>CROP_VERIFIED</x:v>
      </x:c>
      <x:c r="AI4307" s="30"/>
      <x:c r="AJ4307" s="87" t="str">
        <x:v>clean</x:v>
      </x:c>
      <x:c r="AK4307" s="87" t="str">
        <x:v>clean-v0.05</x:v>
      </x:c>
      <x:c r="AL4307" s="87" t="str">
        <x:v>statgrad_clean_continuation_v0_05(1)(1).xlsx</x:v>
      </x:c>
      <x:c r="AM4307" s="87" t="str">
        <x:v>SOC_Dec_V1</x:v>
      </x:c>
      <x:c r="AN4307" s="87" t="n">
        <x:v>26</x:v>
      </x:c>
    </x:row>
    <x:row r="4308">
      <x:c r="A4308" s="87" t="n">
        <x:v>4307</x:v>
      </x:c>
      <x:c r="B4308" s="87" t="str">
        <x:v>DEC-SOC-02-001</x:v>
      </x:c>
      <x:c r="C4308" s="87" t="str">
        <x:v>СтатГрад</x:v>
      </x:c>
      <x:c r="D4308" s="87" t="str">
        <x:v>Декабрь 2025</x:v>
      </x:c>
      <x:c r="E4308" s="87"/>
      <x:c r="F4308" s="87"/>
      <x:c r="G4308" s="87" t="str">
        <x:v>Обществознание</x:v>
      </x:c>
      <x:c r="H4308" s="87" t="n">
        <x:v>11</x:v>
      </x:c>
      <x:c r="I4308" s="87" t="str">
        <x:v>ТР №3</x:v>
      </x:c>
      <x:c r="J4308" s="87" t="str">
        <x:v>ОБ2510302</x:v>
      </x:c>
      <x:c r="K4308" s="87" t="n">
        <x:v>1</x:v>
      </x:c>
      <x:c r="L4308" s="87" t="str">
        <x:v>Выбор двух исключений</x:v>
      </x:c>
      <x:c r="M4308" s="30" t="str">
        <x:v>Ниже приведён перечень понятий. Все они, за исключением двух, относятся
    к эмпирическим методам научного познания.
    1) анализ данных; 2) измерение; 3) наблюдение; 4) проведение эксперимента;
    5) описание явления; 6) выдвижение гипотезы.
    Найдите два понятия, «выпадающих» из общего ряда, и запишите в таблицу
    цифры, под которыми они указаны.</x:v>
      </x:c>
      <x:c r="N4308" s="30" t="str">
        <x:v>16</x:v>
      </x:c>
      <x:c r="O4308" s="30" t="str">
        <x:v>Анализ данных и выдвижение гипотезы относятся преимущественно к теоретическим операциям; измерение, наблюдение, эксперимент и описание — эмпирические методы.</x:v>
      </x:c>
      <x:c r="P4308" s="30" t="str">
        <x:v>Каждая выбранная позиция или соответствие проверены по обществоведческим понятиям и условию; официальный ключ совпал.</x:v>
      </x:c>
      <x:c r="Q4308" s="30"/>
      <x:c r="R4308" s="30" t="str">
        <x:v>16</x:v>
      </x:c>
      <x:c r="S4308" s="30"/>
      <x:c r="T4308" s="30" t="str">
        <x:v>Kriterii_OB11_10122025_1_2.pdf, p. 2</x:v>
      </x:c>
      <x:c r="U4308" s="30" t="str">
        <x:v>Расхождений нет.</x:v>
      </x:c>
      <x:c r="V4308" s="87" t="str">
        <x:v>VERIFIED</x:v>
      </x:c>
      <x:c r="W4308" s="87" t="n">
        <x:v>16</x:v>
      </x:c>
      <x:c r="X4308" s="87"/>
      <x:c r="Y4308" s="87"/>
      <x:c r="Z4308" s="87"/>
      <x:c r="AA4308" s="87"/>
      <x:c r="AB4308" s="87"/>
      <x:c r="AC4308" s="87" t="str">
        <x:v>VIS-SOC-DEC-TASK-12-P016</x:v>
      </x:c>
      <x:c r="AD4308" s="87"/>
      <x:c r="AE4308" s="87" t="str">
        <x:v>TASK</x:v>
      </x:c>
      <x:c r="AF4308" s="87"/>
      <x:c r="AG4308" s="87" t="str">
        <x:v>RESOLVED</x:v>
      </x:c>
      <x:c r="AH4308" s="87" t="str">
        <x:v>CROP_VERIFIED</x:v>
      </x:c>
      <x:c r="AI4308" s="30"/>
      <x:c r="AJ4308" s="87" t="str">
        <x:v>clean</x:v>
      </x:c>
      <x:c r="AK4308" s="87" t="str">
        <x:v>clean-v0.05</x:v>
      </x:c>
      <x:c r="AL4308" s="87" t="str">
        <x:v>statgrad_clean_continuation_v0_05(1)(1).xlsx</x:v>
      </x:c>
      <x:c r="AM4308" s="87" t="str">
        <x:v>SOC_Dec_V2</x:v>
      </x:c>
      <x:c r="AN4308" s="87" t="n">
        <x:v>2</x:v>
      </x:c>
    </x:row>
    <x:row r="4309">
      <x:c r="A4309" s="87" t="n">
        <x:v>4308</x:v>
      </x:c>
      <x:c r="B4309" s="87" t="str">
        <x:v>DEC-SOC-02-002</x:v>
      </x:c>
      <x:c r="C4309" s="87" t="str">
        <x:v>СтатГрад</x:v>
      </x:c>
      <x:c r="D4309" s="87" t="str">
        <x:v>Декабрь 2025</x:v>
      </x:c>
      <x:c r="E4309" s="87"/>
      <x:c r="F4309" s="87"/>
      <x:c r="G4309" s="87" t="str">
        <x:v>Обществознание</x:v>
      </x:c>
      <x:c r="H4309" s="87" t="n">
        <x:v>11</x:v>
      </x:c>
      <x:c r="I4309" s="87" t="str">
        <x:v>ТР №3</x:v>
      </x:c>
      <x:c r="J4309" s="87" t="str">
        <x:v>ОБ2510302</x:v>
      </x:c>
      <x:c r="K4309" s="87" t="n">
        <x:v>2</x:v>
      </x:c>
      <x:c r="L4309" s="87" t="str">
        <x:v>Множественный выбор</x:v>
      </x:c>
      <x:c r="M4309" s="30" t="str">
        <x:v>Выберите верные суждения о постиндустриальном обществе.
    1) Постиндустриальное общество появляется в ХХ столетии.
    2) В экономике постиндустриального общества ведущую роль играет
       промышленный сектор.
    3) Большая часть экономически активного населения в постиндустриальном
       обществе занята в сфере услуг и информации.
    4) Для постиндустриального общества характерен высокий уровень
       социальной мобильности.
    5) В общественной жизни постиндустриального общества большую роль
       играют традиции и религия.</x:v>
      </x:c>
      <x:c r="N4309" s="30" t="str">
        <x:v>134</x:v>
      </x:c>
      <x:c r="O4309" s="30" t="str">
        <x:v>Постиндустриальное общество сформировалось в XX веке, отличается ведущей ролью услуг и информации и высокой социальной мобильностью.</x:v>
      </x:c>
      <x:c r="P4309" s="30" t="str">
        <x:v>Каждая выбранная позиция или соответствие проверены по обществоведческим понятиям и условию; официальный ключ совпал.</x:v>
      </x:c>
      <x:c r="Q4309" s="30"/>
      <x:c r="R4309" s="30" t="str">
        <x:v>134</x:v>
      </x:c>
      <x:c r="S4309" s="30"/>
      <x:c r="T4309" s="30" t="str">
        <x:v>Kriterii_OB11_10122025_1_2.pdf, p. 2</x:v>
      </x:c>
      <x:c r="U4309" s="30" t="str">
        <x:v>Расхождений нет.</x:v>
      </x:c>
      <x:c r="V4309" s="87" t="str">
        <x:v>VERIFIED</x:v>
      </x:c>
      <x:c r="W4309" s="87" t="n">
        <x:v>16</x:v>
      </x:c>
      <x:c r="X4309" s="87"/>
      <x:c r="Y4309" s="87"/>
      <x:c r="Z4309" s="87"/>
      <x:c r="AA4309" s="87"/>
      <x:c r="AB4309" s="87"/>
      <x:c r="AC4309" s="87" t="str">
        <x:v>VIS-SOC-DEC-TASK-12-P016</x:v>
      </x:c>
      <x:c r="AD4309" s="87"/>
      <x:c r="AE4309" s="87" t="str">
        <x:v>TASK</x:v>
      </x:c>
      <x:c r="AF4309" s="87"/>
      <x:c r="AG4309" s="87" t="str">
        <x:v>RESOLVED</x:v>
      </x:c>
      <x:c r="AH4309" s="87" t="str">
        <x:v>CROP_VERIFIED</x:v>
      </x:c>
      <x:c r="AI4309" s="30"/>
      <x:c r="AJ4309" s="87" t="str">
        <x:v>clean</x:v>
      </x:c>
      <x:c r="AK4309" s="87" t="str">
        <x:v>clean-v0.05</x:v>
      </x:c>
      <x:c r="AL4309" s="87" t="str">
        <x:v>statgrad_clean_continuation_v0_05(1)(1).xlsx</x:v>
      </x:c>
      <x:c r="AM4309" s="87" t="str">
        <x:v>SOC_Dec_V2</x:v>
      </x:c>
      <x:c r="AN4309" s="87" t="n">
        <x:v>3</x:v>
      </x:c>
    </x:row>
    <x:row r="4310">
      <x:c r="A4310" s="87" t="n">
        <x:v>4309</x:v>
      </x:c>
      <x:c r="B4310" s="87" t="str">
        <x:v>DEC-SOC-02-003</x:v>
      </x:c>
      <x:c r="C4310" s="87" t="str">
        <x:v>СтатГрад</x:v>
      </x:c>
      <x:c r="D4310" s="87" t="str">
        <x:v>Декабрь 2025</x:v>
      </x:c>
      <x:c r="E4310" s="87"/>
      <x:c r="F4310" s="87"/>
      <x:c r="G4310" s="87" t="str">
        <x:v>Обществознание</x:v>
      </x:c>
      <x:c r="H4310" s="87" t="n">
        <x:v>11</x:v>
      </x:c>
      <x:c r="I4310" s="87" t="str">
        <x:v>ТР №3</x:v>
      </x:c>
      <x:c r="J4310" s="87" t="str">
        <x:v>ОБ2510302</x:v>
      </x:c>
      <x:c r="K4310" s="87" t="n">
        <x:v>3</x:v>
      </x:c>
      <x:c r="L4310" s="87" t="str">
        <x:v>Установление соответствия</x:v>
      </x:c>
      <x:c r="M4310" s="30" t="str">
        <x:v>Установите соответствие между результатами и направлениями
    общественного развития, к которым они относятся: к каждой позиции,
    данной в первом столбце, подберите соответствующую позицию из второго
    столбца.
                      РЕЗУЛЬТАТ                                 НАПРАВЛЕНИЕ
                                                                  РАЗВИТИЯ
    А) значительное сокращение доли                       1) прогресс
       городского населения                               2) регресс
    Б) увеличение продолжительности жизни
    В) появление новых видов техники
    Г) замена денежного обращения
       натуральным обменом
    Д) запрет рабства и работорговли
    Запишите в таблицу выбранные цифры под соответствующими буквами.
               А Б В Г Д</x:v>
      </x:c>
      <x:c r="N4310" s="30" t="str">
        <x:v>21121</x:v>
      </x:c>
      <x:c r="O4310" s="30" t="str">
        <x:v>Сокращение городского населения и возврат к натуральному обмену — регресс; рост продолжительности жизни, новая техника и запрет рабства — прогресс.</x:v>
      </x:c>
      <x:c r="P4310" s="30" t="str">
        <x:v>Каждая выбранная позиция или соответствие проверены по обществоведческим понятиям и условию; официальный ключ совпал.</x:v>
      </x:c>
      <x:c r="Q4310" s="30"/>
      <x:c r="R4310" s="30" t="str">
        <x:v>21121</x:v>
      </x:c>
      <x:c r="S4310" s="30"/>
      <x:c r="T4310" s="30" t="str">
        <x:v>Kriterii_OB11_10122025_1_2.pdf, p. 2</x:v>
      </x:c>
      <x:c r="U4310" s="30" t="str">
        <x:v>Расхождений нет.</x:v>
      </x:c>
      <x:c r="V4310" s="87" t="str">
        <x:v>VERIFIED</x:v>
      </x:c>
      <x:c r="W4310" s="87" t="n">
        <x:v>17</x:v>
      </x:c>
      <x:c r="X4310" s="87"/>
      <x:c r="Y4310" s="87"/>
      <x:c r="Z4310" s="87"/>
      <x:c r="AA4310" s="87"/>
      <x:c r="AB4310" s="87"/>
      <x:c r="AC4310" s="87" t="str">
        <x:v>VIS-SOC-DEC-TASK-12-P017</x:v>
      </x:c>
      <x:c r="AD4310" s="87"/>
      <x:c r="AE4310" s="87" t="str">
        <x:v>TASK</x:v>
      </x:c>
      <x:c r="AF4310" s="87"/>
      <x:c r="AG4310" s="87" t="str">
        <x:v>RESOLVED</x:v>
      </x:c>
      <x:c r="AH4310" s="87" t="str">
        <x:v>CROP_VERIFIED</x:v>
      </x:c>
      <x:c r="AI4310" s="30"/>
      <x:c r="AJ4310" s="87" t="str">
        <x:v>clean</x:v>
      </x:c>
      <x:c r="AK4310" s="87" t="str">
        <x:v>clean-v0.05</x:v>
      </x:c>
      <x:c r="AL4310" s="87" t="str">
        <x:v>statgrad_clean_continuation_v0_05(1)(1).xlsx</x:v>
      </x:c>
      <x:c r="AM4310" s="87" t="str">
        <x:v>SOC_Dec_V2</x:v>
      </x:c>
      <x:c r="AN4310" s="87" t="n">
        <x:v>4</x:v>
      </x:c>
    </x:row>
    <x:row r="4311">
      <x:c r="A4311" s="87" t="n">
        <x:v>4310</x:v>
      </x:c>
      <x:c r="B4311" s="87" t="str">
        <x:v>DEC-SOC-02-004</x:v>
      </x:c>
      <x:c r="C4311" s="87" t="str">
        <x:v>СтатГрад</x:v>
      </x:c>
      <x:c r="D4311" s="87" t="str">
        <x:v>Декабрь 2025</x:v>
      </x:c>
      <x:c r="E4311" s="87"/>
      <x:c r="F4311" s="87"/>
      <x:c r="G4311" s="87" t="str">
        <x:v>Обществознание</x:v>
      </x:c>
      <x:c r="H4311" s="87" t="n">
        <x:v>11</x:v>
      </x:c>
      <x:c r="I4311" s="87" t="str">
        <x:v>ТР №3</x:v>
      </x:c>
      <x:c r="J4311" s="87" t="str">
        <x:v>ОБ2510302</x:v>
      </x:c>
      <x:c r="K4311" s="87" t="n">
        <x:v>4</x:v>
      </x:c>
      <x:c r="L4311" s="87" t="str">
        <x:v>Анализ ситуации: цели/средства</x:v>
      </x:c>
      <x:c r="M4311" s="30" t="str">
        <x:v>В государстве Z проводится образовательная реформа, которая затронула
    все уровни образования – дошкольные учреждения, средние и высшие
    профессиональные учебные заведения.
    Найдите в приведённом ниже списке возможные средства проведения
    реформы системы образования, и запишите цифры, под которыми
    они указаны.
    1) повышение уровня образованности населения
    2) обеспечение экономики высококвалифицированными кадрами
    3) открытие новых университетов
    4) повышение заработной платы преподавателям
    5) обеспечение    учебных   заведений   современным   оборудованием
       и скоростным интернетом
    6) повышение инвестиционной привлекательности страны</x:v>
      </x:c>
      <x:c r="N4311" s="30" t="str">
        <x:v>345</x:v>
      </x:c>
      <x:c r="O4311" s="30" t="str">
        <x:v>Открытие университетов, повышение оплаты преподавателей и современное оснащение — средства реформы; остальные позиции описывают цели или результаты.</x:v>
      </x:c>
      <x:c r="P4311" s="30" t="str">
        <x:v>Каждая выбранная позиция или соответствие проверены по обществоведческим понятиям и условию; официальный ключ совпал.</x:v>
      </x:c>
      <x:c r="Q4311" s="30"/>
      <x:c r="R4311" s="30" t="str">
        <x:v>345</x:v>
      </x:c>
      <x:c r="S4311" s="30"/>
      <x:c r="T4311" s="30" t="str">
        <x:v>Kriterii_OB11_10122025_1_2.pdf, p. 2</x:v>
      </x:c>
      <x:c r="U4311" s="30" t="str">
        <x:v>Расхождений нет.</x:v>
      </x:c>
      <x:c r="V4311" s="87" t="str">
        <x:v>VERIFIED</x:v>
      </x:c>
      <x:c r="W4311" s="87" t="n">
        <x:v>17</x:v>
      </x:c>
      <x:c r="X4311" s="87"/>
      <x:c r="Y4311" s="87"/>
      <x:c r="Z4311" s="87"/>
      <x:c r="AA4311" s="87"/>
      <x:c r="AB4311" s="87"/>
      <x:c r="AC4311" s="87" t="str">
        <x:v>VIS-SOC-DEC-TASK-12-P017</x:v>
      </x:c>
      <x:c r="AD4311" s="87"/>
      <x:c r="AE4311" s="87" t="str">
        <x:v>TASK</x:v>
      </x:c>
      <x:c r="AF4311" s="87"/>
      <x:c r="AG4311" s="87" t="str">
        <x:v>RESOLVED</x:v>
      </x:c>
      <x:c r="AH4311" s="87" t="str">
        <x:v>CROP_VERIFIED</x:v>
      </x:c>
      <x:c r="AI4311" s="30"/>
      <x:c r="AJ4311" s="87" t="str">
        <x:v>clean</x:v>
      </x:c>
      <x:c r="AK4311" s="87" t="str">
        <x:v>clean-v0.05</x:v>
      </x:c>
      <x:c r="AL4311" s="87" t="str">
        <x:v>statgrad_clean_continuation_v0_05(1)(1).xlsx</x:v>
      </x:c>
      <x:c r="AM4311" s="87" t="str">
        <x:v>SOC_Dec_V2</x:v>
      </x:c>
      <x:c r="AN4311" s="87" t="n">
        <x:v>5</x:v>
      </x:c>
    </x:row>
    <x:row r="4312">
      <x:c r="A4312" s="87" t="n">
        <x:v>4311</x:v>
      </x:c>
      <x:c r="B4312" s="87" t="str">
        <x:v>DEC-SOC-02-005</x:v>
      </x:c>
      <x:c r="C4312" s="87" t="str">
        <x:v>СтатГрад</x:v>
      </x:c>
      <x:c r="D4312" s="87" t="str">
        <x:v>Декабрь 2025</x:v>
      </x:c>
      <x:c r="E4312" s="87"/>
      <x:c r="F4312" s="87"/>
      <x:c r="G4312" s="87" t="str">
        <x:v>Обществознание</x:v>
      </x:c>
      <x:c r="H4312" s="87" t="n">
        <x:v>11</x:v>
      </x:c>
      <x:c r="I4312" s="87" t="str">
        <x:v>ТР №3</x:v>
      </x:c>
      <x:c r="J4312" s="87" t="str">
        <x:v>ОБ2510302</x:v>
      </x:c>
      <x:c r="K4312" s="87" t="n">
        <x:v>5</x:v>
      </x:c>
      <x:c r="L4312" s="87" t="str">
        <x:v>Множественный выбор</x:v>
      </x:c>
      <x:c r="M4312" s="30" t="str">
        <x:v>Выберите верные суждения о налогах и запишите цифры, под которыми
    они указаны.
    1) Как правило, налоги являются основным источником доходов
       в государственном бюджете.
    2) Косвенные налоги уплачиваются с дохода или имущества.
    3) В демократическом государстве налоги вводятся и отменяются
       парламентом.
    4) В Российской Федерации выделяется два уровня налогов: федеральные
       и местные.
    5) Взимание налогов относится к основным признакам государства любого
       типа.</x:v>
      </x:c>
      <x:c r="N4312" s="30" t="str">
        <x:v>135</x:v>
      </x:c>
      <x:c r="O4312" s="30" t="str">
        <x:v>Налоги обычно формируют основную часть бюджетных доходов, устанавливаются законом парламентом и являются признаком государства; косвенные налоги включаются в цену, а в РФ три уровня налогов.</x:v>
      </x:c>
      <x:c r="P4312" s="30" t="str">
        <x:v>Каждая выбранная позиция или соответствие проверены по обществоведческим понятиям и условию; официальный ключ совпал.</x:v>
      </x:c>
      <x:c r="Q4312" s="30"/>
      <x:c r="R4312" s="30" t="str">
        <x:v>135</x:v>
      </x:c>
      <x:c r="S4312" s="30"/>
      <x:c r="T4312" s="30" t="str">
        <x:v>Kriterii_OB11_10122025_1_2.pdf, p. 2</x:v>
      </x:c>
      <x:c r="U4312" s="30" t="str">
        <x:v>Расхождений нет.</x:v>
      </x:c>
      <x:c r="V4312" s="87" t="str">
        <x:v>VERIFIED</x:v>
      </x:c>
      <x:c r="W4312" s="87" t="n">
        <x:v>18</x:v>
      </x:c>
      <x:c r="X4312" s="87"/>
      <x:c r="Y4312" s="87"/>
      <x:c r="Z4312" s="87"/>
      <x:c r="AA4312" s="87"/>
      <x:c r="AB4312" s="87"/>
      <x:c r="AC4312" s="87" t="str">
        <x:v>VIS-SOC-DEC-TASK-12-P018</x:v>
      </x:c>
      <x:c r="AD4312" s="87"/>
      <x:c r="AE4312" s="87" t="str">
        <x:v>TASK</x:v>
      </x:c>
      <x:c r="AF4312" s="87"/>
      <x:c r="AG4312" s="87" t="str">
        <x:v>RESOLVED</x:v>
      </x:c>
      <x:c r="AH4312" s="87" t="str">
        <x:v>CROP_VERIFIED</x:v>
      </x:c>
      <x:c r="AI4312" s="30"/>
      <x:c r="AJ4312" s="87" t="str">
        <x:v>clean</x:v>
      </x:c>
      <x:c r="AK4312" s="87" t="str">
        <x:v>clean-v0.05</x:v>
      </x:c>
      <x:c r="AL4312" s="87" t="str">
        <x:v>statgrad_clean_continuation_v0_05(1)(1).xlsx</x:v>
      </x:c>
      <x:c r="AM4312" s="87" t="str">
        <x:v>SOC_Dec_V2</x:v>
      </x:c>
      <x:c r="AN4312" s="87" t="n">
        <x:v>6</x:v>
      </x:c>
    </x:row>
    <x:row r="4313">
      <x:c r="A4313" s="87" t="n">
        <x:v>4312</x:v>
      </x:c>
      <x:c r="B4313" s="87" t="str">
        <x:v>DEC-SOC-02-006</x:v>
      </x:c>
      <x:c r="C4313" s="87" t="str">
        <x:v>СтатГрад</x:v>
      </x:c>
      <x:c r="D4313" s="87" t="str">
        <x:v>Декабрь 2025</x:v>
      </x:c>
      <x:c r="E4313" s="87"/>
      <x:c r="F4313" s="87"/>
      <x:c r="G4313" s="87" t="str">
        <x:v>Обществознание</x:v>
      </x:c>
      <x:c r="H4313" s="87" t="n">
        <x:v>11</x:v>
      </x:c>
      <x:c r="I4313" s="87" t="str">
        <x:v>ТР №3</x:v>
      </x:c>
      <x:c r="J4313" s="87" t="str">
        <x:v>ОБ2510302</x:v>
      </x:c>
      <x:c r="K4313" s="87" t="n">
        <x:v>6</x:v>
      </x:c>
      <x:c r="L4313" s="87" t="str">
        <x:v>Установление соответствия</x:v>
      </x:c>
      <x:c r="M4313" s="30" t="str">
        <x:v>Установите соответствие между причинами и видами безработицы: к каждой
    позиции, данной в первом столбце, подберите соответствующую позицию
    из второго столбца.
                    ПРИЧИНА                        ВИД БЕЗРАБОТИЦЫ
    А) необходимость затрат времени на поиск   1) структурная
       новой работы                            2) циклическая
    Б) изменение возрастного состава населения 3) фрикционная
    В) падение спроса на отдельные профессии
       на рынке труда
    Г) уменьшение валового внутреннего
       продукта
    Д) общее падение платёжеспособности
       населения и организаций
    Запишите в таблицу выбранные цифры под соответствующими буквами.
               А Б В Г Д</x:v>
      </x:c>
      <x:c r="N4313" s="30" t="str">
        <x:v>31122</x:v>
      </x:c>
      <x:c r="O4313" s="30" t="str">
        <x:v>Поиск новой работы — фрикционная безработица; демографические и профессиональные сдвиги — структурная; падение ВВП и совокупного спроса — циклическая.</x:v>
      </x:c>
      <x:c r="P4313" s="30" t="str">
        <x:v>Каждая выбранная позиция или соответствие проверены по обществоведческим понятиям и условию; официальный ключ совпал.</x:v>
      </x:c>
      <x:c r="Q4313" s="30"/>
      <x:c r="R4313" s="30" t="str">
        <x:v>31122</x:v>
      </x:c>
      <x:c r="S4313" s="30"/>
      <x:c r="T4313" s="30" t="str">
        <x:v>Kriterii_OB11_10122025_1_2.pdf, p. 2</x:v>
      </x:c>
      <x:c r="U4313" s="30" t="str">
        <x:v>Расхождений нет.</x:v>
      </x:c>
      <x:c r="V4313" s="87" t="str">
        <x:v>VERIFIED</x:v>
      </x:c>
      <x:c r="W4313" s="87" t="n">
        <x:v>18</x:v>
      </x:c>
      <x:c r="X4313" s="87"/>
      <x:c r="Y4313" s="87"/>
      <x:c r="Z4313" s="87"/>
      <x:c r="AA4313" s="87"/>
      <x:c r="AB4313" s="87"/>
      <x:c r="AC4313" s="87" t="str">
        <x:v>VIS-SOC-DEC-TASK-12-P018</x:v>
      </x:c>
      <x:c r="AD4313" s="87"/>
      <x:c r="AE4313" s="87" t="str">
        <x:v>TASK</x:v>
      </x:c>
      <x:c r="AF4313" s="87"/>
      <x:c r="AG4313" s="87" t="str">
        <x:v>RESOLVED</x:v>
      </x:c>
      <x:c r="AH4313" s="87" t="str">
        <x:v>CROP_VERIFIED</x:v>
      </x:c>
      <x:c r="AI4313" s="30"/>
      <x:c r="AJ4313" s="87" t="str">
        <x:v>clean</x:v>
      </x:c>
      <x:c r="AK4313" s="87" t="str">
        <x:v>clean-v0.05</x:v>
      </x:c>
      <x:c r="AL4313" s="87" t="str">
        <x:v>statgrad_clean_continuation_v0_05(1)(1).xlsx</x:v>
      </x:c>
      <x:c r="AM4313" s="87" t="str">
        <x:v>SOC_Dec_V2</x:v>
      </x:c>
      <x:c r="AN4313" s="87" t="n">
        <x:v>7</x:v>
      </x:c>
    </x:row>
    <x:row r="4314">
      <x:c r="A4314" s="87" t="n">
        <x:v>4313</x:v>
      </x:c>
      <x:c r="B4314" s="87" t="str">
        <x:v>DEC-SOC-02-007</x:v>
      </x:c>
      <x:c r="C4314" s="87" t="str">
        <x:v>СтатГрад</x:v>
      </x:c>
      <x:c r="D4314" s="87" t="str">
        <x:v>Декабрь 2025</x:v>
      </x:c>
      <x:c r="E4314" s="87"/>
      <x:c r="F4314" s="87"/>
      <x:c r="G4314" s="87" t="str">
        <x:v>Обществознание</x:v>
      </x:c>
      <x:c r="H4314" s="87" t="n">
        <x:v>11</x:v>
      </x:c>
      <x:c r="I4314" s="87" t="str">
        <x:v>ТР №3</x:v>
      </x:c>
      <x:c r="J4314" s="87" t="str">
        <x:v>ОБ2510302</x:v>
      </x:c>
      <x:c r="K4314" s="87" t="n">
        <x:v>7</x:v>
      </x:c>
      <x:c r="L4314" s="87" t="str">
        <x:v>Множественный выбор</x:v>
      </x:c>
      <x:c r="M4314" s="30" t="str">
        <x:v>В стране Z за год цены на товары и услуги выросли на 40 %. Какие
    из перечисленных факторов позволяют рассматривать такой рост цен
    как инфляцию предложения? Запишите цифры, под которыми они указаны.
    1) повышение налога на прибыль
    2) рост доходов населения
    3) повышение тарифов на электроэнергию
    4) рост стоимости топлива
    5) повышение курса национальной валюты</x:v>
      </x:c>
      <x:c r="N4314" s="30" t="str">
        <x:v>134</x:v>
      </x:c>
      <x:c r="O4314" s="30" t="str">
        <x:v>Рост налога на прибыль, тарифов на электроэнергию и стоимости топлива увеличивает издержки производителей и вызывает инфляцию предложения.</x:v>
      </x:c>
      <x:c r="P4314" s="30" t="str">
        <x:v>Каждая выбранная позиция или соответствие проверены по обществоведческим понятиям и условию; официальный ключ совпал.</x:v>
      </x:c>
      <x:c r="Q4314" s="30"/>
      <x:c r="R4314" s="30" t="str">
        <x:v>134</x:v>
      </x:c>
      <x:c r="S4314" s="30"/>
      <x:c r="T4314" s="30" t="str">
        <x:v>Kriterii_OB11_10122025_1_2.pdf, p. 2</x:v>
      </x:c>
      <x:c r="U4314" s="30" t="str">
        <x:v>Расхождений нет.</x:v>
      </x:c>
      <x:c r="V4314" s="87" t="str">
        <x:v>VERIFIED</x:v>
      </x:c>
      <x:c r="W4314" s="87" t="n">
        <x:v>19</x:v>
      </x:c>
      <x:c r="X4314" s="87"/>
      <x:c r="Y4314" s="87"/>
      <x:c r="Z4314" s="87"/>
      <x:c r="AA4314" s="87"/>
      <x:c r="AB4314" s="87"/>
      <x:c r="AC4314" s="87" t="str">
        <x:v>VIS-SOC-DEC-TASK-12-P019</x:v>
      </x:c>
      <x:c r="AD4314" s="87"/>
      <x:c r="AE4314" s="87" t="str">
        <x:v>TASK</x:v>
      </x:c>
      <x:c r="AF4314" s="87"/>
      <x:c r="AG4314" s="87" t="str">
        <x:v>RESOLVED</x:v>
      </x:c>
      <x:c r="AH4314" s="87" t="str">
        <x:v>CROP_VERIFIED</x:v>
      </x:c>
      <x:c r="AI4314" s="30"/>
      <x:c r="AJ4314" s="87" t="str">
        <x:v>clean</x:v>
      </x:c>
      <x:c r="AK4314" s="87" t="str">
        <x:v>clean-v0.05</x:v>
      </x:c>
      <x:c r="AL4314" s="87" t="str">
        <x:v>statgrad_clean_continuation_v0_05(1)(1).xlsx</x:v>
      </x:c>
      <x:c r="AM4314" s="87" t="str">
        <x:v>SOC_Dec_V2</x:v>
      </x:c>
      <x:c r="AN4314" s="87" t="n">
        <x:v>8</x:v>
      </x:c>
    </x:row>
    <x:row r="4315">
      <x:c r="A4315" s="87" t="n">
        <x:v>4314</x:v>
      </x:c>
      <x:c r="B4315" s="87" t="str">
        <x:v>DEC-SOC-02-008</x:v>
      </x:c>
      <x:c r="C4315" s="87" t="str">
        <x:v>СтатГрад</x:v>
      </x:c>
      <x:c r="D4315" s="87" t="str">
        <x:v>Декабрь 2025</x:v>
      </x:c>
      <x:c r="E4315" s="87"/>
      <x:c r="F4315" s="87"/>
      <x:c r="G4315" s="87" t="str">
        <x:v>Обществознание</x:v>
      </x:c>
      <x:c r="H4315" s="87" t="n">
        <x:v>11</x:v>
      </x:c>
      <x:c r="I4315" s="87" t="str">
        <x:v>ТР №3</x:v>
      </x:c>
      <x:c r="J4315" s="87" t="str">
        <x:v>ОБ2510302</x:v>
      </x:c>
      <x:c r="K4315" s="87" t="n">
        <x:v>8</x:v>
      </x:c>
      <x:c r="L4315" s="87" t="str">
        <x:v>Множественный выбор</x:v>
      </x:c>
      <x:c r="M4315" s="30" t="str">
        <x:v>Выберите верные суждения о социальном статусе и запишите цифры,
    под которыми они указаны.
    1) Социальный статус определяет место человека в социальной структуре.
    2) Социальный статус связан с определённым набором прав и обязанностей.
    3) Социальный статус может быть предписанным или достигаемым.
    4) Смена социального статуса называется социальной дифференциацией.
    5) Человек может одновременно обладать лишь одним социальным
       статусом.</x:v>
      </x:c>
      <x:c r="N4315" s="30" t="str">
        <x:v>123</x:v>
      </x:c>
      <x:c r="O4315" s="30" t="str">
        <x:v>Статус определяет место, права и обязанности человека и бывает предписанным или достигаемым; его смена — мобильность, а статусов у человека несколько.</x:v>
      </x:c>
      <x:c r="P4315" s="30" t="str">
        <x:v>Каждая выбранная позиция или соответствие проверены по обществоведческим понятиям и условию; официальный ключ совпал.</x:v>
      </x:c>
      <x:c r="Q4315" s="30"/>
      <x:c r="R4315" s="30" t="str">
        <x:v>123</x:v>
      </x:c>
      <x:c r="S4315" s="30"/>
      <x:c r="T4315" s="30" t="str">
        <x:v>Kriterii_OB11_10122025_1_2.pdf, p. 2</x:v>
      </x:c>
      <x:c r="U4315" s="30" t="str">
        <x:v>Расхождений нет.</x:v>
      </x:c>
      <x:c r="V4315" s="87" t="str">
        <x:v>VERIFIED</x:v>
      </x:c>
      <x:c r="W4315" s="87" t="n">
        <x:v>19</x:v>
      </x:c>
      <x:c r="X4315" s="87"/>
      <x:c r="Y4315" s="87"/>
      <x:c r="Z4315" s="87"/>
      <x:c r="AA4315" s="87"/>
      <x:c r="AB4315" s="87"/>
      <x:c r="AC4315" s="87" t="str">
        <x:v>VIS-SOC-DEC-TASK-12-P019</x:v>
      </x:c>
      <x:c r="AD4315" s="87"/>
      <x:c r="AE4315" s="87" t="str">
        <x:v>TASK</x:v>
      </x:c>
      <x:c r="AF4315" s="87"/>
      <x:c r="AG4315" s="87" t="str">
        <x:v>RESOLVED</x:v>
      </x:c>
      <x:c r="AH4315" s="87" t="str">
        <x:v>CROP_VERIFIED</x:v>
      </x:c>
      <x:c r="AI4315" s="30"/>
      <x:c r="AJ4315" s="87" t="str">
        <x:v>clean</x:v>
      </x:c>
      <x:c r="AK4315" s="87" t="str">
        <x:v>clean-v0.05</x:v>
      </x:c>
      <x:c r="AL4315" s="87" t="str">
        <x:v>statgrad_clean_continuation_v0_05(1)(1).xlsx</x:v>
      </x:c>
      <x:c r="AM4315" s="87" t="str">
        <x:v>SOC_Dec_V2</x:v>
      </x:c>
      <x:c r="AN4315" s="87" t="n">
        <x:v>9</x:v>
      </x:c>
    </x:row>
    <x:row r="4316">
      <x:c r="A4316" s="87" t="n">
        <x:v>4315</x:v>
      </x:c>
      <x:c r="B4316" s="87" t="str">
        <x:v>DEC-SOC-02-009</x:v>
      </x:c>
      <x:c r="C4316" s="87" t="str">
        <x:v>СтатГрад</x:v>
      </x:c>
      <x:c r="D4316" s="87" t="str">
        <x:v>Декабрь 2025</x:v>
      </x:c>
      <x:c r="E4316" s="87"/>
      <x:c r="F4316" s="87"/>
      <x:c r="G4316" s="87" t="str">
        <x:v>Обществознание</x:v>
      </x:c>
      <x:c r="H4316" s="87" t="n">
        <x:v>11</x:v>
      </x:c>
      <x:c r="I4316" s="87" t="str">
        <x:v>ТР №3</x:v>
      </x:c>
      <x:c r="J4316" s="87" t="str">
        <x:v>ОБ2510302</x:v>
      </x:c>
      <x:c r="K4316" s="87" t="n">
        <x:v>9</x:v>
      </x:c>
      <x:c r="L4316" s="87" t="str">
        <x:v>Анализ диаграммы</x:v>
      </x:c>
      <x:c r="M4316" s="30" t="str">
        <x:v>В ходе социологического опроса в стране Z мужчинам и женщинам задавался
    вопрос: «Собираетесь ли вы работать после достижения пенсионного
    возраста?»
    Результаты опроса (в % от числа опрошенных) представлены в графическом
    виде
     60
                                                                        Обязательно продолжу
     50                                                                 работать
     40                                                                 Не намерен работать в
                                                                        любом случае
     30
                                                                        Приму решение в
                                                                        зависимости от
     20                                                                 материального
                                                                        положения
     10
                                                                        Не определились с
                                                                        ответом
      0
                    Мужчины                         Женщины
    Найдите в приведённом списке выводы, которые можно сделать на основе
    диаграммы, и запишите цифры, под которыми они указаны.
    1) Доля не определившихся с ответом среди опрошенных мужчин больше,
       чем среди женщин.
    2) Среди опрошенных женщин доля тех, кто не намерен работать в любом
       случае больше, чем доля тех, кто примет решение в зависимости
       от своего материального положения.
    3) Доля тех, кто намерен продолжить работать после достижения
       пенсионного возраста является наибольшей как среди мужчин,
       так и среди женщин.
    4) Более половины опрошенных женщин решили продолжить работать
       после достижения пенсионного возраста.
    5) Одинаковый процент опрошенных как среди мужчин, так и среди
       женщин указали, что примут решение в зависимости от своего
       материального положения.</x:v>
      </x:c>
      <x:c r="N4316" s="30" t="str">
        <x:v>235</x:v>
      </x:c>
      <x:c r="O4316" s="30" t="str">
        <x:v>По диаграмме верны сравнения 2, 3 и 5; выводы 1 и 4 противоречат высоте соответствующих столбцов.</x:v>
      </x:c>
      <x:c r="P4316" s="30" t="str">
        <x:v>Каждая выбранная позиция или соответствие проверены по обществоведческим понятиям и условию; официальный ключ совпал.</x:v>
      </x:c>
      <x:c r="Q4316" s="30"/>
      <x:c r="R4316" s="30" t="str">
        <x:v>235</x:v>
      </x:c>
      <x:c r="S4316" s="30"/>
      <x:c r="T4316" s="30" t="str">
        <x:v>Kriterii_OB11_10122025_1_2.pdf, p. 2</x:v>
      </x:c>
      <x:c r="U4316" s="30" t="str">
        <x:v>Расхождений нет.</x:v>
      </x:c>
      <x:c r="V4316" s="87" t="str">
        <x:v>VERIFIED</x:v>
      </x:c>
      <x:c r="W4316" s="87" t="n">
        <x:v>20</x:v>
      </x:c>
      <x:c r="X4316" s="87"/>
      <x:c r="Y4316" s="87"/>
      <x:c r="Z4316" s="87"/>
      <x:c r="AA4316" s="87"/>
      <x:c r="AB4316" s="87"/>
      <x:c r="AC4316" s="87" t="str">
        <x:v>VIS-SOC-DEC-TASK-12-P020</x:v>
      </x:c>
      <x:c r="AD4316" s="87"/>
      <x:c r="AE4316" s="87" t="str">
        <x:v>TASK</x:v>
      </x:c>
      <x:c r="AF4316" s="87"/>
      <x:c r="AG4316" s="87" t="str">
        <x:v>RESOLVED</x:v>
      </x:c>
      <x:c r="AH4316" s="87" t="str">
        <x:v>CROP_VERIFIED; TASK_CROP_QA_APPROVED:USE_TIGHT</x:v>
      </x:c>
      <x:c r="AI4316" s="30"/>
      <x:c r="AJ4316" s="87" t="str">
        <x:v>clean</x:v>
      </x:c>
      <x:c r="AK4316" s="87" t="str">
        <x:v>clean-v0.05</x:v>
      </x:c>
      <x:c r="AL4316" s="87" t="str">
        <x:v>statgrad_clean_continuation_v0_05(1)(1).xlsx</x:v>
      </x:c>
      <x:c r="AM4316" s="87" t="str">
        <x:v>SOC_Dec_V2</x:v>
      </x:c>
      <x:c r="AN4316" s="87" t="n">
        <x:v>10</x:v>
      </x:c>
    </x:row>
    <x:row r="4317">
      <x:c r="A4317" s="87" t="n">
        <x:v>4316</x:v>
      </x:c>
      <x:c r="B4317" s="87" t="str">
        <x:v>DEC-SOC-02-010</x:v>
      </x:c>
      <x:c r="C4317" s="87" t="str">
        <x:v>СтатГрад</x:v>
      </x:c>
      <x:c r="D4317" s="87" t="str">
        <x:v>Декабрь 2025</x:v>
      </x:c>
      <x:c r="E4317" s="87"/>
      <x:c r="F4317" s="87"/>
      <x:c r="G4317" s="87" t="str">
        <x:v>Обществознание</x:v>
      </x:c>
      <x:c r="H4317" s="87" t="n">
        <x:v>11</x:v>
      </x:c>
      <x:c r="I4317" s="87" t="str">
        <x:v>ТР №3</x:v>
      </x:c>
      <x:c r="J4317" s="87" t="str">
        <x:v>ОБ2510302</x:v>
      </x:c>
      <x:c r="K4317" s="87" t="n">
        <x:v>10</x:v>
      </x:c>
      <x:c r="L4317" s="87" t="str">
        <x:v>Множественный выбор</x:v>
      </x:c>
      <x:c r="M4317" s="30" t="str">
        <x:v>Выберите верные суждения о политической элите и запишите цифры,
     под которыми они указаны.
     1) Существование политической элиты является одним из проявлений
        социального неравенства.
     2) К политической элите может относиться значительная часть общества.
     3) Политические лидеры всегда относятся к политической элите.
     4) Политическая элита существует только в демократических обществах.
     5) Функцией политической элиты является выражение и защита интересов
        определенных социальных групп.</x:v>
      </x:c>
      <x:c r="N4317" s="30" t="str">
        <x:v>135</x:v>
      </x:c>
      <x:c r="O4317" s="30" t="str">
        <x:v>Политическая элита отражает социальное неравенство, включает политических лидеров и выражает интересы социальных групп; она немногочисленна и существует при разных режимах.</x:v>
      </x:c>
      <x:c r="P4317" s="30" t="str">
        <x:v>Каждая выбранная позиция или соответствие проверены по обществоведческим понятиям и условию; официальный ключ совпал.</x:v>
      </x:c>
      <x:c r="Q4317" s="30"/>
      <x:c r="R4317" s="30" t="str">
        <x:v>135</x:v>
      </x:c>
      <x:c r="S4317" s="30"/>
      <x:c r="T4317" s="30" t="str">
        <x:v>Kriterii_OB11_10122025_1_2.pdf, p. 2</x:v>
      </x:c>
      <x:c r="U4317" s="30" t="str">
        <x:v>Расхождений нет.</x:v>
      </x:c>
      <x:c r="V4317" s="87" t="str">
        <x:v>VERIFIED</x:v>
      </x:c>
      <x:c r="W4317" s="87" t="n">
        <x:v>21</x:v>
      </x:c>
      <x:c r="X4317" s="87"/>
      <x:c r="Y4317" s="87"/>
      <x:c r="Z4317" s="87"/>
      <x:c r="AA4317" s="87"/>
      <x:c r="AB4317" s="87"/>
      <x:c r="AC4317" s="87" t="str">
        <x:v>VIS-SOC-DEC-TASK-12-P021</x:v>
      </x:c>
      <x:c r="AD4317" s="87"/>
      <x:c r="AE4317" s="87" t="str">
        <x:v>TASK</x:v>
      </x:c>
      <x:c r="AF4317" s="87"/>
      <x:c r="AG4317" s="87" t="str">
        <x:v>RESOLVED</x:v>
      </x:c>
      <x:c r="AH4317" s="87" t="str">
        <x:v>CROP_VERIFIED</x:v>
      </x:c>
      <x:c r="AI4317" s="30"/>
      <x:c r="AJ4317" s="87" t="str">
        <x:v>clean</x:v>
      </x:c>
      <x:c r="AK4317" s="87" t="str">
        <x:v>clean-v0.05</x:v>
      </x:c>
      <x:c r="AL4317" s="87" t="str">
        <x:v>statgrad_clean_continuation_v0_05(1)(1).xlsx</x:v>
      </x:c>
      <x:c r="AM4317" s="87" t="str">
        <x:v>SOC_Dec_V2</x:v>
      </x:c>
      <x:c r="AN4317" s="87" t="n">
        <x:v>11</x:v>
      </x:c>
    </x:row>
    <x:row r="4318">
      <x:c r="A4318" s="87" t="n">
        <x:v>4317</x:v>
      </x:c>
      <x:c r="B4318" s="87" t="str">
        <x:v>DEC-SOC-02-011</x:v>
      </x:c>
      <x:c r="C4318" s="87" t="str">
        <x:v>СтатГрад</x:v>
      </x:c>
      <x:c r="D4318" s="87" t="str">
        <x:v>Декабрь 2025</x:v>
      </x:c>
      <x:c r="E4318" s="87"/>
      <x:c r="F4318" s="87"/>
      <x:c r="G4318" s="87" t="str">
        <x:v>Обществознание</x:v>
      </x:c>
      <x:c r="H4318" s="87" t="n">
        <x:v>11</x:v>
      </x:c>
      <x:c r="I4318" s="87" t="str">
        <x:v>ТР №3</x:v>
      </x:c>
      <x:c r="J4318" s="87" t="str">
        <x:v>ОБ2510302</x:v>
      </x:c>
      <x:c r="K4318" s="87" t="n">
        <x:v>11</x:v>
      </x:c>
      <x:c r="L4318" s="87" t="str">
        <x:v>Анализ политической ситуации</x:v>
      </x:c>
      <x:c r="M4318" s="30" t="str">
        <x:v>Президент государства Z был избран на должность на конкурентных честных
     выборах. В своей деятельности он соблюдает конституцию и законы страны,
     регулярно встречается с представителями политических партий, в том числе
     оппозиционных, большим влиянием в стране пользуется избранный народом
     парламент. Найдите в приведённом ниже перечне характеристики президента
     государства Z как политического лидера. Запишите цифры, под которыми
     они указаны.
     1) харизматичный
     2) рационально-легальный
     3) демократичный
     4) региональный
     5) традиционный
     6) национальный</x:v>
      </x:c>
      <x:c r="N4318" s="30" t="str">
        <x:v>236</x:v>
      </x:c>
      <x:c r="O4318" s="30" t="str">
        <x:v>Избрание по закону указывает на рационально-легальное лидерство; взаимодействие с оппозицией — демократический стиль; президент действует на общенациональном уровне.</x:v>
      </x:c>
      <x:c r="P4318" s="30" t="str">
        <x:v>Каждая выбранная позиция или соответствие проверены по обществоведческим понятиям и условию; официальный ключ совпал.</x:v>
      </x:c>
      <x:c r="Q4318" s="30"/>
      <x:c r="R4318" s="30" t="str">
        <x:v>236</x:v>
      </x:c>
      <x:c r="S4318" s="30"/>
      <x:c r="T4318" s="30" t="str">
        <x:v>Kriterii_OB11_10122025_1_2.pdf, p. 2</x:v>
      </x:c>
      <x:c r="U4318" s="30" t="str">
        <x:v>Расхождений нет.</x:v>
      </x:c>
      <x:c r="V4318" s="87" t="str">
        <x:v>VERIFIED</x:v>
      </x:c>
      <x:c r="W4318" s="87" t="n">
        <x:v>21</x:v>
      </x:c>
      <x:c r="X4318" s="87"/>
      <x:c r="Y4318" s="87"/>
      <x:c r="Z4318" s="87"/>
      <x:c r="AA4318" s="87"/>
      <x:c r="AB4318" s="87"/>
      <x:c r="AC4318" s="87" t="str">
        <x:v>VIS-SOC-DEC-TASK-12-P021</x:v>
      </x:c>
      <x:c r="AD4318" s="87"/>
      <x:c r="AE4318" s="87" t="str">
        <x:v>TASK</x:v>
      </x:c>
      <x:c r="AF4318" s="87"/>
      <x:c r="AG4318" s="87" t="str">
        <x:v>RESOLVED</x:v>
      </x:c>
      <x:c r="AH4318" s="87" t="str">
        <x:v>CROP_VERIFIED</x:v>
      </x:c>
      <x:c r="AI4318" s="30"/>
      <x:c r="AJ4318" s="87" t="str">
        <x:v>clean</x:v>
      </x:c>
      <x:c r="AK4318" s="87" t="str">
        <x:v>clean-v0.05</x:v>
      </x:c>
      <x:c r="AL4318" s="87" t="str">
        <x:v>statgrad_clean_continuation_v0_05(1)(1).xlsx</x:v>
      </x:c>
      <x:c r="AM4318" s="87" t="str">
        <x:v>SOC_Dec_V2</x:v>
      </x:c>
      <x:c r="AN4318" s="87" t="n">
        <x:v>12</x:v>
      </x:c>
    </x:row>
    <x:row r="4319">
      <x:c r="A4319" s="87" t="n">
        <x:v>4318</x:v>
      </x:c>
      <x:c r="B4319" s="87" t="str">
        <x:v>DEC-SOC-02-012</x:v>
      </x:c>
      <x:c r="C4319" s="87" t="str">
        <x:v>СтатГрад</x:v>
      </x:c>
      <x:c r="D4319" s="87" t="str">
        <x:v>Декабрь 2025</x:v>
      </x:c>
      <x:c r="E4319" s="87"/>
      <x:c r="F4319" s="87"/>
      <x:c r="G4319" s="87" t="str">
        <x:v>Обществознание</x:v>
      </x:c>
      <x:c r="H4319" s="87" t="n">
        <x:v>11</x:v>
      </x:c>
      <x:c r="I4319" s="87" t="str">
        <x:v>ТР №3</x:v>
      </x:c>
      <x:c r="J4319" s="87" t="str">
        <x:v>ОБ2510302</x:v>
      </x:c>
      <x:c r="K4319" s="87" t="n">
        <x:v>12</x:v>
      </x:c>
      <x:c r="L4319" s="87" t="str">
        <x:v>Конституционные характеристики</x:v>
      </x:c>
      <x:c r="M4319" s="30" t="str">
        <x:v>Какие из перечисленных признаков характеризуют Российскую Федерацию
     как светское государство? Запишите цифры, под которыми указаны.
     1) отсутствие государственной или обязательной идеологии
     2) равенство религиозных объединений перед законом
     3) право граждан исповедовать любую религию или не исповедовать
        никакой религии
     4) гарантия права на свободу творчества
     5) отделение религиозных объединений от государства</x:v>
      </x:c>
      <x:c r="N4319" s="30" t="str">
        <x:v>235</x:v>
      </x:c>
      <x:c r="O4319" s="30" t="str">
        <x:v>Светский характер РФ выражается в равенстве религиозных объединений, свободе совести и отделении религиозных объединений от государства.</x:v>
      </x:c>
      <x:c r="P4319" s="30" t="str">
        <x:v>Каждая выбранная позиция или соответствие проверены по обществоведческим понятиям и условию; официальный ключ совпал.</x:v>
      </x:c>
      <x:c r="Q4319" s="30"/>
      <x:c r="R4319" s="30" t="str">
        <x:v>235</x:v>
      </x:c>
      <x:c r="S4319" s="30"/>
      <x:c r="T4319" s="30" t="str">
        <x:v>Kriterii_OB11_10122025_1_2.pdf, p. 2</x:v>
      </x:c>
      <x:c r="U4319" s="30" t="str">
        <x:v>Расхождений нет.</x:v>
      </x:c>
      <x:c r="V4319" s="87" t="str">
        <x:v>VERIFIED</x:v>
      </x:c>
      <x:c r="W4319" s="87" t="n">
        <x:v>21</x:v>
      </x:c>
      <x:c r="X4319" s="87"/>
      <x:c r="Y4319" s="87"/>
      <x:c r="Z4319" s="87"/>
      <x:c r="AA4319" s="87"/>
      <x:c r="AB4319" s="87"/>
      <x:c r="AC4319" s="87" t="str">
        <x:v>VIS-SOC-DEC-TASK-12-P021</x:v>
      </x:c>
      <x:c r="AD4319" s="87"/>
      <x:c r="AE4319" s="87" t="str">
        <x:v>TASK</x:v>
      </x:c>
      <x:c r="AF4319" s="87"/>
      <x:c r="AG4319" s="87" t="str">
        <x:v>RESOLVED</x:v>
      </x:c>
      <x:c r="AH4319" s="87" t="str">
        <x:v>CROP_VERIFIED</x:v>
      </x:c>
      <x:c r="AI4319" s="30"/>
      <x:c r="AJ4319" s="87" t="str">
        <x:v>clean</x:v>
      </x:c>
      <x:c r="AK4319" s="87" t="str">
        <x:v>clean-v0.05</x:v>
      </x:c>
      <x:c r="AL4319" s="87" t="str">
        <x:v>statgrad_clean_continuation_v0_05(1)(1).xlsx</x:v>
      </x:c>
      <x:c r="AM4319" s="87" t="str">
        <x:v>SOC_Dec_V2</x:v>
      </x:c>
      <x:c r="AN4319" s="87" t="n">
        <x:v>13</x:v>
      </x:c>
    </x:row>
    <x:row r="4320">
      <x:c r="A4320" s="87" t="n">
        <x:v>4319</x:v>
      </x:c>
      <x:c r="B4320" s="87" t="str">
        <x:v>DEC-SOC-02-013</x:v>
      </x:c>
      <x:c r="C4320" s="87" t="str">
        <x:v>СтатГрад</x:v>
      </x:c>
      <x:c r="D4320" s="87" t="str">
        <x:v>Декабрь 2025</x:v>
      </x:c>
      <x:c r="E4320" s="87"/>
      <x:c r="F4320" s="87"/>
      <x:c r="G4320" s="87" t="str">
        <x:v>Обществознание</x:v>
      </x:c>
      <x:c r="H4320" s="87" t="n">
        <x:v>11</x:v>
      </x:c>
      <x:c r="I4320" s="87" t="str">
        <x:v>ТР №3</x:v>
      </x:c>
      <x:c r="J4320" s="87" t="str">
        <x:v>ОБ2510302</x:v>
      </x:c>
      <x:c r="K4320" s="87" t="n">
        <x:v>13</x:v>
      </x:c>
      <x:c r="L4320" s="87" t="str">
        <x:v>Установление соответствия</x:v>
      </x:c>
      <x:c r="M4320" s="30" t="str">
        <x:v>Установите    соответствие   между    полномочиями    и    субъектами
     государственной власти РФ: к каждой позиции, данной в первом столбце,
     подберите соответствующую позицию из второго столбца.
                     ПОЛНОМОЧИЕ                                     СУБЪЕКТ
                                                              ГОСУДАРСТВЕННОЙ
                                                                  ВЛАСТИ РФ
     А) издание указов                                     1) Президент
     Б) принятие в гражданство РФ                          2) Правительство
     В) внесение проектов законов                          3) и Президент,
     Г) издание распоряжений                                  и Правительство
     Д) разработка федерального бюджета
     Запишите в таблицу выбранные цифры под соответствующими буквами.
                А Б В Г Д</x:v>
      </x:c>
      <x:c r="N4320" s="30" t="str">
        <x:v>11332</x:v>
      </x:c>
      <x:c r="O4320" s="30" t="str">
        <x:v>Указы и гражданство — компетенция Президента; законопроекты и распоряжения возможны у обоих субъектов; федеральный бюджет разрабатывает Правительство.</x:v>
      </x:c>
      <x:c r="P4320" s="30" t="str">
        <x:v>Каждая выбранная позиция или соответствие проверены по обществоведческим понятиям и условию; официальный ключ совпал.</x:v>
      </x:c>
      <x:c r="Q4320" s="30"/>
      <x:c r="R4320" s="30" t="str">
        <x:v>11332</x:v>
      </x:c>
      <x:c r="S4320" s="30"/>
      <x:c r="T4320" s="30" t="str">
        <x:v>Kriterii_OB11_10122025_1_2.pdf, p. 2</x:v>
      </x:c>
      <x:c r="U4320" s="30" t="str">
        <x:v>Расхождений нет.</x:v>
      </x:c>
      <x:c r="V4320" s="87" t="str">
        <x:v>VERIFIED</x:v>
      </x:c>
      <x:c r="W4320" s="87" t="n">
        <x:v>22</x:v>
      </x:c>
      <x:c r="X4320" s="87"/>
      <x:c r="Y4320" s="87"/>
      <x:c r="Z4320" s="87"/>
      <x:c r="AA4320" s="87"/>
      <x:c r="AB4320" s="87"/>
      <x:c r="AC4320" s="87" t="str">
        <x:v>VIS-SOC-DEC-TASK-12-P022</x:v>
      </x:c>
      <x:c r="AD4320" s="87"/>
      <x:c r="AE4320" s="87" t="str">
        <x:v>TASK</x:v>
      </x:c>
      <x:c r="AF4320" s="87"/>
      <x:c r="AG4320" s="87" t="str">
        <x:v>RESOLVED</x:v>
      </x:c>
      <x:c r="AH4320" s="87" t="str">
        <x:v>CROP_VERIFIED</x:v>
      </x:c>
      <x:c r="AI4320" s="30"/>
      <x:c r="AJ4320" s="87" t="str">
        <x:v>clean</x:v>
      </x:c>
      <x:c r="AK4320" s="87" t="str">
        <x:v>clean-v0.05</x:v>
      </x:c>
      <x:c r="AL4320" s="87" t="str">
        <x:v>statgrad_clean_continuation_v0_05(1)(1).xlsx</x:v>
      </x:c>
      <x:c r="AM4320" s="87" t="str">
        <x:v>SOC_Dec_V2</x:v>
      </x:c>
      <x:c r="AN4320" s="87" t="n">
        <x:v>14</x:v>
      </x:c>
    </x:row>
    <x:row r="4321">
      <x:c r="A4321" s="87" t="n">
        <x:v>4320</x:v>
      </x:c>
      <x:c r="B4321" s="87" t="str">
        <x:v>DEC-SOC-02-014</x:v>
      </x:c>
      <x:c r="C4321" s="87" t="str">
        <x:v>СтатГрад</x:v>
      </x:c>
      <x:c r="D4321" s="87" t="str">
        <x:v>Декабрь 2025</x:v>
      </x:c>
      <x:c r="E4321" s="87"/>
      <x:c r="F4321" s="87"/>
      <x:c r="G4321" s="87" t="str">
        <x:v>Обществознание</x:v>
      </x:c>
      <x:c r="H4321" s="87" t="n">
        <x:v>11</x:v>
      </x:c>
      <x:c r="I4321" s="87" t="str">
        <x:v>ТР №3</x:v>
      </x:c>
      <x:c r="J4321" s="87" t="str">
        <x:v>ОБ2510302</x:v>
      </x:c>
      <x:c r="K4321" s="87" t="n">
        <x:v>14</x:v>
      </x:c>
      <x:c r="L4321" s="87" t="str">
        <x:v>Право: множественный выбор</x:v>
      </x:c>
      <x:c r="M4321" s="30" t="str">
        <x:v>Выберите верные суждения о праве наследования в Российской Федерации.
     1) Право наследования закреплено в Конституции Российской Федерации.
     2) Наследование по закону осуществляется если всё наследство не завещано
        или завещание признано недействительным.
     3) Право на наследование по закону имеют только супруги и близкие
        родственники наследодателя.
     4) Наследование по завещанию осуществляется в порядке очерёдности
        наследников.
     5) Наследование является правом, но не обязанностью наследников.</x:v>
      </x:c>
      <x:c r="N4321" s="30" t="str">
        <x:v>125</x:v>
      </x:c>
      <x:c r="O4321" s="30" t="str">
        <x:v>Наследование гарантировано Конституцией, по закону применяется при отсутствии действительного завещания, а принятие наследства является правом, не обязанностью.</x:v>
      </x:c>
      <x:c r="P4321" s="30" t="str">
        <x:v>Каждая выбранная позиция или соответствие проверены по обществоведческим понятиям и условию; официальный ключ совпал.</x:v>
      </x:c>
      <x:c r="Q4321" s="30"/>
      <x:c r="R4321" s="30" t="str">
        <x:v>125</x:v>
      </x:c>
      <x:c r="S4321" s="30"/>
      <x:c r="T4321" s="30" t="str">
        <x:v>Kriterii_OB11_10122025_1_2.pdf, p. 2</x:v>
      </x:c>
      <x:c r="U4321" s="30" t="str">
        <x:v>Расхождений нет.</x:v>
      </x:c>
      <x:c r="V4321" s="87" t="str">
        <x:v>VERIFIED</x:v>
      </x:c>
      <x:c r="W4321" s="87" t="n">
        <x:v>22</x:v>
      </x:c>
      <x:c r="X4321" s="87"/>
      <x:c r="Y4321" s="87"/>
      <x:c r="Z4321" s="87"/>
      <x:c r="AA4321" s="87"/>
      <x:c r="AB4321" s="87"/>
      <x:c r="AC4321" s="87" t="str">
        <x:v>VIS-SOC-DEC-TASK-12-P022</x:v>
      </x:c>
      <x:c r="AD4321" s="87"/>
      <x:c r="AE4321" s="87" t="str">
        <x:v>TASK</x:v>
      </x:c>
      <x:c r="AF4321" s="87"/>
      <x:c r="AG4321" s="87" t="str">
        <x:v>RESOLVED</x:v>
      </x:c>
      <x:c r="AH4321" s="87" t="str">
        <x:v>CROP_VERIFIED</x:v>
      </x:c>
      <x:c r="AI4321" s="30"/>
      <x:c r="AJ4321" s="87" t="str">
        <x:v>clean</x:v>
      </x:c>
      <x:c r="AK4321" s="87" t="str">
        <x:v>clean-v0.05</x:v>
      </x:c>
      <x:c r="AL4321" s="87" t="str">
        <x:v>statgrad_clean_continuation_v0_05(1)(1).xlsx</x:v>
      </x:c>
      <x:c r="AM4321" s="87" t="str">
        <x:v>SOC_Dec_V2</x:v>
      </x:c>
      <x:c r="AN4321" s="87" t="n">
        <x:v>15</x:v>
      </x:c>
    </x:row>
    <x:row r="4322">
      <x:c r="A4322" s="87" t="n">
        <x:v>4321</x:v>
      </x:c>
      <x:c r="B4322" s="87" t="str">
        <x:v>DEC-SOC-02-015</x:v>
      </x:c>
      <x:c r="C4322" s="87" t="str">
        <x:v>СтатГрад</x:v>
      </x:c>
      <x:c r="D4322" s="87" t="str">
        <x:v>Декабрь 2025</x:v>
      </x:c>
      <x:c r="E4322" s="87"/>
      <x:c r="F4322" s="87"/>
      <x:c r="G4322" s="87" t="str">
        <x:v>Обществознание</x:v>
      </x:c>
      <x:c r="H4322" s="87" t="n">
        <x:v>11</x:v>
      </x:c>
      <x:c r="I4322" s="87" t="str">
        <x:v>ТР №3</x:v>
      </x:c>
      <x:c r="J4322" s="87" t="str">
        <x:v>ОБ2510302</x:v>
      </x:c>
      <x:c r="K4322" s="87" t="n">
        <x:v>15</x:v>
      </x:c>
      <x:c r="L4322" s="87" t="str">
        <x:v>Установление соответствия</x:v>
      </x:c>
      <x:c r="M4322" s="30" t="str">
        <x:v>Установите соответствие между мерами и видами юридической
     ответственности: к каждой позиции, данной в первом столбце, подберите
     соответствующую позицию из второго столбца.
              МЕРА ОТВЕТСТВЕННОСТИ                            ВИД ЮРИДИЧЕСКОЙ
                                                              ОТВЕТСТВЕННОСТИ
     А) дисквалификация                                    1) только уголовная
     Б) ограничение свободы                                2) только административная
     В) лишение свободы                                    3) и уголовная,
     Г) обязательные работы                                   и административная
     Д) предупреждение
     Запишите в таблицу выбранные цифры под соответствующими буквами.
                А Б В Г Д</x:v>
      </x:c>
      <x:c r="N4322" s="30" t="str">
        <x:v>21132</x:v>
      </x:c>
      <x:c r="O4322" s="30" t="str">
        <x:v>Дисквалификация и предупреждение — административные меры; ограничение и лишение свободы — уголовные; обязательные работы предусмотрены в обоих видах ответственности.</x:v>
      </x:c>
      <x:c r="P4322" s="30" t="str">
        <x:v>Каждая выбранная позиция или соответствие проверены по обществоведческим понятиям и условию; официальный ключ совпал.</x:v>
      </x:c>
      <x:c r="Q4322" s="30"/>
      <x:c r="R4322" s="30" t="str">
        <x:v>21132</x:v>
      </x:c>
      <x:c r="S4322" s="30"/>
      <x:c r="T4322" s="30" t="str">
        <x:v>Kriterii_OB11_10122025_1_2.pdf, p. 2</x:v>
      </x:c>
      <x:c r="U4322" s="30" t="str">
        <x:v>Расхождений нет.</x:v>
      </x:c>
      <x:c r="V4322" s="87" t="str">
        <x:v>VERIFIED</x:v>
      </x:c>
      <x:c r="W4322" s="87" t="n">
        <x:v>23</x:v>
      </x:c>
      <x:c r="X4322" s="87"/>
      <x:c r="Y4322" s="87"/>
      <x:c r="Z4322" s="87"/>
      <x:c r="AA4322" s="87"/>
      <x:c r="AB4322" s="87"/>
      <x:c r="AC4322" s="87" t="str">
        <x:v>VIS-SOC-DEC-TASK-12-P023</x:v>
      </x:c>
      <x:c r="AD4322" s="87"/>
      <x:c r="AE4322" s="87" t="str">
        <x:v>TASK</x:v>
      </x:c>
      <x:c r="AF4322" s="87"/>
      <x:c r="AG4322" s="87" t="str">
        <x:v>RESOLVED</x:v>
      </x:c>
      <x:c r="AH4322" s="87" t="str">
        <x:v>CROP_VERIFIED</x:v>
      </x:c>
      <x:c r="AI4322" s="30"/>
      <x:c r="AJ4322" s="87" t="str">
        <x:v>clean</x:v>
      </x:c>
      <x:c r="AK4322" s="87" t="str">
        <x:v>clean-v0.05</x:v>
      </x:c>
      <x:c r="AL4322" s="87" t="str">
        <x:v>statgrad_clean_continuation_v0_05(1)(1).xlsx</x:v>
      </x:c>
      <x:c r="AM4322" s="87" t="str">
        <x:v>SOC_Dec_V2</x:v>
      </x:c>
      <x:c r="AN4322" s="87" t="n">
        <x:v>16</x:v>
      </x:c>
    </x:row>
    <x:row r="4323">
      <x:c r="A4323" s="87" t="n">
        <x:v>4322</x:v>
      </x:c>
      <x:c r="B4323" s="87" t="str">
        <x:v>DEC-SOC-02-016</x:v>
      </x:c>
      <x:c r="C4323" s="87" t="str">
        <x:v>СтатГрад</x:v>
      </x:c>
      <x:c r="D4323" s="87" t="str">
        <x:v>Декабрь 2025</x:v>
      </x:c>
      <x:c r="E4323" s="87"/>
      <x:c r="F4323" s="87"/>
      <x:c r="G4323" s="87" t="str">
        <x:v>Обществознание</x:v>
      </x:c>
      <x:c r="H4323" s="87" t="n">
        <x:v>11</x:v>
      </x:c>
      <x:c r="I4323" s="87" t="str">
        <x:v>ТР №3</x:v>
      </x:c>
      <x:c r="J4323" s="87" t="str">
        <x:v>ОБ2510302</x:v>
      </x:c>
      <x:c r="K4323" s="87" t="n">
        <x:v>16</x:v>
      </x:c>
      <x:c r="L4323" s="87" t="str">
        <x:v>Профессиональные полномочия</x:v>
      </x:c>
      <x:c r="M4323" s="30" t="str">
        <x:v>Анна Викторовна является нотариусом. Найдите в приведённом списке
     действия, которые могут входить в круг её профессиональных полномочий,
     и запишите цифры, под которыми они указаны.
     1) заверение подписей на документах
     2) представление интересов клиентов в суде
     3) оформление доверенностей
     4) выдача свидетельства о праве на наследство
     5) взыскание задолженности по алиментам</x:v>
      </x:c>
      <x:c r="N4323" s="30" t="str">
        <x:v>134</x:v>
      </x:c>
      <x:c r="O4323" s="30" t="str">
        <x:v>Нотариус удостоверяет подписи и доверенности и выдаёт свидетельства о праве на наследство; судебное представительство и взыскание алиментов к этим полномочиям не относятся.</x:v>
      </x:c>
      <x:c r="P4323" s="30" t="str">
        <x:v>Каждая выбранная позиция или соответствие проверены по обществоведческим понятиям и условию; официальный ключ совпал.</x:v>
      </x:c>
      <x:c r="Q4323" s="30"/>
      <x:c r="R4323" s="30" t="str">
        <x:v>134</x:v>
      </x:c>
      <x:c r="S4323" s="30"/>
      <x:c r="T4323" s="30" t="str">
        <x:v>Kriterii_OB11_10122025_1_2.pdf, p. 2</x:v>
      </x:c>
      <x:c r="U4323" s="30" t="str">
        <x:v>Расхождений нет.</x:v>
      </x:c>
      <x:c r="V4323" s="87" t="str">
        <x:v>VERIFIED</x:v>
      </x:c>
      <x:c r="W4323" s="87" t="n">
        <x:v>23</x:v>
      </x:c>
      <x:c r="X4323" s="87"/>
      <x:c r="Y4323" s="87"/>
      <x:c r="Z4323" s="87"/>
      <x:c r="AA4323" s="87"/>
      <x:c r="AB4323" s="87"/>
      <x:c r="AC4323" s="87" t="str">
        <x:v>VIS-SOC-DEC-TASK-12-P023</x:v>
      </x:c>
      <x:c r="AD4323" s="87"/>
      <x:c r="AE4323" s="87" t="str">
        <x:v>TASK</x:v>
      </x:c>
      <x:c r="AF4323" s="87"/>
      <x:c r="AG4323" s="87" t="str">
        <x:v>RESOLVED</x:v>
      </x:c>
      <x:c r="AH4323" s="87" t="str">
        <x:v>CROP_VERIFIED</x:v>
      </x:c>
      <x:c r="AI4323" s="30"/>
      <x:c r="AJ4323" s="87" t="str">
        <x:v>clean</x:v>
      </x:c>
      <x:c r="AK4323" s="87" t="str">
        <x:v>clean-v0.05</x:v>
      </x:c>
      <x:c r="AL4323" s="87" t="str">
        <x:v>statgrad_clean_continuation_v0_05(1)(1).xlsx</x:v>
      </x:c>
      <x:c r="AM4323" s="87" t="str">
        <x:v>SOC_Dec_V2</x:v>
      </x:c>
      <x:c r="AN4323" s="87" t="n">
        <x:v>17</x:v>
      </x:c>
    </x:row>
    <x:row r="4324">
      <x:c r="A4324" s="87" t="n">
        <x:v>4323</x:v>
      </x:c>
      <x:c r="B4324" s="87" t="str">
        <x:v>DEC-SOC-02-017</x:v>
      </x:c>
      <x:c r="C4324" s="87" t="str">
        <x:v>СтатГрад</x:v>
      </x:c>
      <x:c r="D4324" s="87" t="str">
        <x:v>Декабрь 2025</x:v>
      </x:c>
      <x:c r="E4324" s="87"/>
      <x:c r="F4324" s="87"/>
      <x:c r="G4324" s="87" t="str">
        <x:v>Обществознание</x:v>
      </x:c>
      <x:c r="H4324" s="87" t="n">
        <x:v>11</x:v>
      </x:c>
      <x:c r="I4324" s="87" t="str">
        <x:v>ТР №3</x:v>
      </x:c>
      <x:c r="J4324" s="87" t="str">
        <x:v>ОБ2510302</x:v>
      </x:c>
      <x:c r="K4324" s="87" t="n">
        <x:v>17</x:v>
      </x:c>
      <x:c r="L4324" s="87" t="str">
        <x:v>Ответы по тексту</x:v>
      </x:c>
      <x:c r="M4324" s="30" t="str">
        <x:v>Какое    определение    демократического государства даёт   автор?
     Что, по мнению автора, является источником власти демократического
     государства? Какие важнейшие признаки демократического государства
     выделяет автор? (Укажите два признака.)</x:v>
      </x:c>
      <x:c r="N4324" s="30" t="str">
        <x:v>Демократическое государство — государство, устройство и деятельность которого соответствуют воле народа и общепризнанным правам и свободам человека. Источник власти и легитимности органов — суверенитет народа. Признаки: реальная представительная демократия и обеспечение прав и свобод человека и гражданина.</x:v>
      </x:c>
      <x:c r="O4324" s="30" t="str">
        <x:v>Модель включает все обязательные элементы официальных критериев и не содержит лишних позиций, способных снизить балл.</x:v>
      </x:c>
      <x:c r="P4324" s="30" t="str">
        <x:v>Сверено с официальным содержанием и критериями задания 17; проверены полнота, причинно-следственные связи и требуемое число элементов.</x:v>
      </x:c>
      <x:c r="Q4324" s="30"/>
      <x:c r="R4324" s="30" t="str">
        <x:v>Развёрнутый ответ по официальным критериям</x:v>
      </x:c>
      <x:c r="S4324" s="30"/>
      <x:c r="T4324" s="30" t="str">
        <x:v>Kriterii_OB11_10122025_1_2.pdf, pp. 17–17</x:v>
      </x:c>
      <x:c r="U4324" s="30" t="str">
        <x:v>Расхождений нет.</x:v>
      </x:c>
      <x:c r="V4324" s="87" t="str">
        <x:v>VERIFIED</x:v>
      </x:c>
      <x:c r="W4324" s="87" t="n">
        <x:v>25</x:v>
      </x:c>
      <x:c r="X4324" s="87"/>
      <x:c r="Y4324" s="87"/>
      <x:c r="Z4324" s="87"/>
      <x:c r="AA4324" s="87"/>
      <x:c r="AB4324" s="87"/>
      <x:c r="AC4324" s="87" t="str">
        <x:v>VIS-SOC-DEC-TASK-12-P025</x:v>
      </x:c>
      <x:c r="AD4324" s="87"/>
      <x:c r="AE4324" s="87" t="str">
        <x:v>TASK</x:v>
      </x:c>
      <x:c r="AF4324" s="87"/>
      <x:c r="AG4324" s="87" t="str">
        <x:v>RESOLVED</x:v>
      </x:c>
      <x:c r="AH4324" s="87" t="str">
        <x:v>CROP_VERIFIED</x:v>
      </x:c>
      <x:c r="AI4324" s="30"/>
      <x:c r="AJ4324" s="87" t="str">
        <x:v>clean</x:v>
      </x:c>
      <x:c r="AK4324" s="87" t="str">
        <x:v>clean-v0.05</x:v>
      </x:c>
      <x:c r="AL4324" s="87" t="str">
        <x:v>statgrad_clean_continuation_v0_05(1)(1).xlsx</x:v>
      </x:c>
      <x:c r="AM4324" s="87" t="str">
        <x:v>SOC_Dec_V2</x:v>
      </x:c>
      <x:c r="AN4324" s="87" t="n">
        <x:v>18</x:v>
      </x:c>
    </x:row>
    <x:row r="4325">
      <x:c r="A4325" s="87" t="n">
        <x:v>4324</x:v>
      </x:c>
      <x:c r="B4325" s="87" t="str">
        <x:v>DEC-SOC-02-018</x:v>
      </x:c>
      <x:c r="C4325" s="87" t="str">
        <x:v>СтатГрад</x:v>
      </x:c>
      <x:c r="D4325" s="87" t="str">
        <x:v>Декабрь 2025</x:v>
      </x:c>
      <x:c r="E4325" s="87"/>
      <x:c r="F4325" s="87"/>
      <x:c r="G4325" s="87" t="str">
        <x:v>Обществознание</x:v>
      </x:c>
      <x:c r="H4325" s="87" t="n">
        <x:v>11</x:v>
      </x:c>
      <x:c r="I4325" s="87" t="str">
        <x:v>ТР №3</x:v>
      </x:c>
      <x:c r="J4325" s="87" t="str">
        <x:v>ОБ2510302</x:v>
      </x:c>
      <x:c r="K4325" s="87" t="n">
        <x:v>18</x:v>
      </x:c>
      <x:c r="L4325" s="87" t="str">
        <x:v>Понятия и объяснение связи</x:v>
      </x:c>
      <x:c r="M4325" s="30" t="str">
        <x:v>В тексте упомянуты ключевые понятия социально-гуманитарных наук.
     Используя обществоведческие знания,
     – укажите не менее трёх основных признаков гражданского общества.
     – объясните связь между гражданским обществом и демократическим
     государством. (Объяснение может быть дано в одном или нескольких
     распространённых предложениях.)</x:v>
      </x:c>
      <x:c r="N4325" s="30" t="str">
        <x:v>Признаки гражданского общества: развитое самоуправление; идеологическое многообразие и свобода информации; разнообразие и равенство форм собственности; незыблемость прав и свобод; свобода труда и предпринимательства. Гражданское общество опирается на автономию граждан и объединений, а демократическое государство юридически гарантирует их права и создаёт условия для самоуправления.</x:v>
      </x:c>
      <x:c r="O4325" s="30" t="str">
        <x:v>Модель включает все обязательные элементы официальных критериев и не содержит лишних позиций, способных снизить балл.</x:v>
      </x:c>
      <x:c r="P4325" s="30" t="str">
        <x:v>Сверено с официальным содержанием и критериями задания 18; проверены полнота, причинно-следственные связи и требуемое число элементов.</x:v>
      </x:c>
      <x:c r="Q4325" s="30"/>
      <x:c r="R4325" s="30" t="str">
        <x:v>Развёрнутый ответ по официальным критериям</x:v>
      </x:c>
      <x:c r="S4325" s="30"/>
      <x:c r="T4325" s="30" t="str">
        <x:v>Kriterii_OB11_10122025_1_2.pdf, pp. 17–18</x:v>
      </x:c>
      <x:c r="U4325" s="30" t="str">
        <x:v>Расхождений нет.</x:v>
      </x:c>
      <x:c r="V4325" s="87" t="str">
        <x:v>VERIFIED</x:v>
      </x:c>
      <x:c r="W4325" s="87" t="n">
        <x:v>25</x:v>
      </x:c>
      <x:c r="X4325" s="87"/>
      <x:c r="Y4325" s="87"/>
      <x:c r="Z4325" s="87"/>
      <x:c r="AA4325" s="87"/>
      <x:c r="AB4325" s="87"/>
      <x:c r="AC4325" s="87" t="str">
        <x:v>VIS-SOC-DEC-TASK-12-P025</x:v>
      </x:c>
      <x:c r="AD4325" s="87"/>
      <x:c r="AE4325" s="87" t="str">
        <x:v>TASK</x:v>
      </x:c>
      <x:c r="AF4325" s="87"/>
      <x:c r="AG4325" s="87" t="str">
        <x:v>RESOLVED</x:v>
      </x:c>
      <x:c r="AH4325" s="87" t="str">
        <x:v>CROP_VERIFIED</x:v>
      </x:c>
      <x:c r="AI4325" s="30"/>
      <x:c r="AJ4325" s="87" t="str">
        <x:v>clean</x:v>
      </x:c>
      <x:c r="AK4325" s="87" t="str">
        <x:v>clean-v0.05</x:v>
      </x:c>
      <x:c r="AL4325" s="87" t="str">
        <x:v>statgrad_clean_continuation_v0_05(1)(1).xlsx</x:v>
      </x:c>
      <x:c r="AM4325" s="87" t="str">
        <x:v>SOC_Dec_V2</x:v>
      </x:c>
      <x:c r="AN4325" s="87" t="n">
        <x:v>19</x:v>
      </x:c>
    </x:row>
    <x:row r="4326">
      <x:c r="A4326" s="87" t="n">
        <x:v>4325</x:v>
      </x:c>
      <x:c r="B4326" s="87" t="str">
        <x:v>DEC-SOC-02-019</x:v>
      </x:c>
      <x:c r="C4326" s="87" t="str">
        <x:v>СтатГрад</x:v>
      </x:c>
      <x:c r="D4326" s="87" t="str">
        <x:v>Декабрь 2025</x:v>
      </x:c>
      <x:c r="E4326" s="87"/>
      <x:c r="F4326" s="87"/>
      <x:c r="G4326" s="87" t="str">
        <x:v>Обществознание</x:v>
      </x:c>
      <x:c r="H4326" s="87" t="n">
        <x:v>11</x:v>
      </x:c>
      <x:c r="I4326" s="87" t="str">
        <x:v>ТР №3</x:v>
      </x:c>
      <x:c r="J4326" s="87" t="str">
        <x:v>ОБ2510302</x:v>
      </x:c>
      <x:c r="K4326" s="87" t="n">
        <x:v>19</x:v>
      </x:c>
      <x:c r="L4326" s="87" t="str">
        <x:v>Развёрнутые примеры</x:v>
      </x:c>
      <x:c r="M4326" s="30" t="str">
        <x:v>Используя обществоведческие знания и факты общественной жизни,
     проиллюстрируйте конкретными примерами три любых способа участия
     граждан в формировании политики государства. (Каждый пример должен
     быть сформулирован развёрнуто. Примеры не должны дублировать друг
     друга по содержанию.)</x:v>
      </x:c>
      <x:c r="N4326" s="30" t="str">
        <x:v>1) Гражданин проголосовал на референдуме по вопросу изменения Конституции. 2) Избиратель поддержал кандидата на президентских выборах, чья программа соответствует его взглядам. 3) Группа граждан подготовила коллективное обращение с предложением изменить закон и направила его в парламент.</x:v>
      </x:c>
      <x:c r="O4326" s="30" t="str">
        <x:v>Модель включает все обязательные элементы официальных критериев и не содержит лишних позиций, способных снизить балл.</x:v>
      </x:c>
      <x:c r="P4326" s="30" t="str">
        <x:v>Сверено с официальным содержанием и критериями задания 19; проверены полнота, причинно-следственные связи и требуемое число элементов.</x:v>
      </x:c>
      <x:c r="Q4326" s="30"/>
      <x:c r="R4326" s="30" t="str">
        <x:v>Развёрнутый ответ по официальным критериям</x:v>
      </x:c>
      <x:c r="S4326" s="30"/>
      <x:c r="T4326" s="30" t="str">
        <x:v>Kriterii_OB11_10122025_1_2.pdf, pp. 18–20</x:v>
      </x:c>
      <x:c r="U4326" s="30" t="str">
        <x:v>Расхождений нет.</x:v>
      </x:c>
      <x:c r="V4326" s="87" t="str">
        <x:v>VERIFIED</x:v>
      </x:c>
      <x:c r="W4326" s="87" t="n">
        <x:v>25</x:v>
      </x:c>
      <x:c r="X4326" s="87"/>
      <x:c r="Y4326" s="87"/>
      <x:c r="Z4326" s="87"/>
      <x:c r="AA4326" s="87"/>
      <x:c r="AB4326" s="87"/>
      <x:c r="AC4326" s="87" t="str">
        <x:v>VIS-SOC-DEC-TASK-12-P025</x:v>
      </x:c>
      <x:c r="AD4326" s="87"/>
      <x:c r="AE4326" s="87" t="str">
        <x:v>TASK</x:v>
      </x:c>
      <x:c r="AF4326" s="87"/>
      <x:c r="AG4326" s="87" t="str">
        <x:v>RESOLVED</x:v>
      </x:c>
      <x:c r="AH4326" s="87" t="str">
        <x:v>CROP_VERIFIED</x:v>
      </x:c>
      <x:c r="AI4326" s="30"/>
      <x:c r="AJ4326" s="87" t="str">
        <x:v>clean</x:v>
      </x:c>
      <x:c r="AK4326" s="87" t="str">
        <x:v>clean-v0.05</x:v>
      </x:c>
      <x:c r="AL4326" s="87" t="str">
        <x:v>statgrad_clean_continuation_v0_05(1)(1).xlsx</x:v>
      </x:c>
      <x:c r="AM4326" s="87" t="str">
        <x:v>SOC_Dec_V2</x:v>
      </x:c>
      <x:c r="AN4326" s="87" t="n">
        <x:v>20</x:v>
      </x:c>
    </x:row>
    <x:row r="4327">
      <x:c r="A4327" s="87" t="n">
        <x:v>4326</x:v>
      </x:c>
      <x:c r="B4327" s="87" t="str">
        <x:v>DEC-SOC-02-020</x:v>
      </x:c>
      <x:c r="C4327" s="87" t="str">
        <x:v>СтатГрад</x:v>
      </x:c>
      <x:c r="D4327" s="87" t="str">
        <x:v>Декабрь 2025</x:v>
      </x:c>
      <x:c r="E4327" s="87"/>
      <x:c r="F4327" s="87"/>
      <x:c r="G4327" s="87" t="str">
        <x:v>Обществознание</x:v>
      </x:c>
      <x:c r="H4327" s="87" t="n">
        <x:v>11</x:v>
      </x:c>
      <x:c r="I4327" s="87" t="str">
        <x:v>ТР №3</x:v>
      </x:c>
      <x:c r="J4327" s="87" t="str">
        <x:v>ОБ2510302</x:v>
      </x:c>
      <x:c r="K4327" s="87" t="n">
        <x:v>20</x:v>
      </x:c>
      <x:c r="L4327" s="87" t="str">
        <x:v>Аргументация</x:v>
      </x:c>
      <x:c r="M4327" s="30" t="str">
        <x:v>Используя обществоведческие знания, приведите три аргумента,
     подтверждающих утверждение автора о том, что народ не может
     непосредственно управлять государством. (Каждый аргумент должен быть
     сформулирован как распространённое предложение.)</x:v>
      </x:c>
      <x:c r="N4327" s="30" t="str">
        <x:v>1) Управление современным государством требует специальных знаний, которыми не обладают все граждане. 2) Постоянное участие в принятии решений требует времени, которого у большинства нет. 3) Множество социальных групп имеет разные интересы, поэтому непосредственное согласование всех решений крайне затруднено.</x:v>
      </x:c>
      <x:c r="O4327" s="30" t="str">
        <x:v>Модель включает все обязательные элементы официальных критериев и не содержит лишних позиций, способных снизить балл.</x:v>
      </x:c>
      <x:c r="P4327" s="30" t="str">
        <x:v>Сверено с официальным содержанием и критериями задания 20; проверены полнота, причинно-следственные связи и требуемое число элементов.</x:v>
      </x:c>
      <x:c r="Q4327" s="30"/>
      <x:c r="R4327" s="30" t="str">
        <x:v>Развёрнутый ответ по официальным критериям</x:v>
      </x:c>
      <x:c r="S4327" s="30"/>
      <x:c r="T4327" s="30" t="str">
        <x:v>Kriterii_OB11_10122025_1_2.pdf, pp. 20–21</x:v>
      </x:c>
      <x:c r="U4327" s="30" t="str">
        <x:v>Расхождений нет.</x:v>
      </x:c>
      <x:c r="V4327" s="87" t="str">
        <x:v>VERIFIED</x:v>
      </x:c>
      <x:c r="W4327" s="87" t="n">
        <x:v>25</x:v>
      </x:c>
      <x:c r="X4327" s="87"/>
      <x:c r="Y4327" s="87"/>
      <x:c r="Z4327" s="87"/>
      <x:c r="AA4327" s="87"/>
      <x:c r="AB4327" s="87"/>
      <x:c r="AC4327" s="87" t="str">
        <x:v>VIS-SOC-DEC-TASK-12-P025</x:v>
      </x:c>
      <x:c r="AD4327" s="87"/>
      <x:c r="AE4327" s="87" t="str">
        <x:v>TASK</x:v>
      </x:c>
      <x:c r="AF4327" s="87"/>
      <x:c r="AG4327" s="87" t="str">
        <x:v>RESOLVED</x:v>
      </x:c>
      <x:c r="AH4327" s="87" t="str">
        <x:v>CROP_VERIFIED</x:v>
      </x:c>
      <x:c r="AI4327" s="30"/>
      <x:c r="AJ4327" s="87" t="str">
        <x:v>clean</x:v>
      </x:c>
      <x:c r="AK4327" s="87" t="str">
        <x:v>clean-v0.05</x:v>
      </x:c>
      <x:c r="AL4327" s="87" t="str">
        <x:v>statgrad_clean_continuation_v0_05(1)(1).xlsx</x:v>
      </x:c>
      <x:c r="AM4327" s="87" t="str">
        <x:v>SOC_Dec_V2</x:v>
      </x:c>
      <x:c r="AN4327" s="87" t="n">
        <x:v>21</x:v>
      </x:c>
    </x:row>
    <x:row r="4328">
      <x:c r="A4328" s="87" t="n">
        <x:v>4327</x:v>
      </x:c>
      <x:c r="B4328" s="87" t="str">
        <x:v>DEC-SOC-02-021</x:v>
      </x:c>
      <x:c r="C4328" s="87" t="str">
        <x:v>СтатГрад</x:v>
      </x:c>
      <x:c r="D4328" s="87" t="str">
        <x:v>Декабрь 2025</x:v>
      </x:c>
      <x:c r="E4328" s="87"/>
      <x:c r="F4328" s="87"/>
      <x:c r="G4328" s="87" t="str">
        <x:v>Обществознание</x:v>
      </x:c>
      <x:c r="H4328" s="87" t="n">
        <x:v>11</x:v>
      </x:c>
      <x:c r="I4328" s="87" t="str">
        <x:v>ТР №3</x:v>
      </x:c>
      <x:c r="J4328" s="87" t="str">
        <x:v>ОБ2510302</x:v>
      </x:c>
      <x:c r="K4328" s="87" t="n">
        <x:v>21</x:v>
      </x:c>
      <x:c r="L4328" s="87" t="str">
        <x:v>Экономический график</x:v>
      </x:c>
      <x:c r="M4328" s="30" t="str">
        <x:v>На графике изображено изменение ситуации на рынке услуг такси в стране Z.
     Кривая спроса переместилась из положения D в положение D1
     при неизменном предложении S. (На графике P – цена товара; Q – количество
     товара).
     Как изменилась равновесная цена?
     Что могло вызвать изменение спроса?
     Укажите любое одно обстоятельство (фактор) и объясните его влияние
     на спрос. (Объяснение должно быть дано применительно к рынку,
     указанному в тексте задания.)
     Как изменятся предложение и равновесная цена на данном рынке, если
     при прочих равных условиях в стране будут ужесточены требования
     к техническому состоянию автомобилей такси и квалификации таксистов?</x:v>
      </x:c>
      <x:c r="N4328" s="30" t="str">
        <x:v>Равновесная цена уменьшилась. Спрос мог снизиться из-за роста обеспеченности граждан личными автомобилями: потребность в поездках на такси сократилась. Ужесточение требований к автомобилям и водителям уменьшит предложение услуг такси и повысит равновесную цену.</x:v>
      </x:c>
      <x:c r="O4328" s="30" t="str">
        <x:v>Модель включает все обязательные элементы официальных критериев и не содержит лишних позиций, способных снизить балл.</x:v>
      </x:c>
      <x:c r="P4328" s="30" t="str">
        <x:v>Сверено с официальным содержанием и критериями задания 21; проверены полнота, причинно-следственные связи и требуемое число элементов.</x:v>
      </x:c>
      <x:c r="Q4328" s="30"/>
      <x:c r="R4328" s="30" t="str">
        <x:v>Развёрнутый ответ по официальным критериям</x:v>
      </x:c>
      <x:c r="S4328" s="30"/>
      <x:c r="T4328" s="30" t="str">
        <x:v>Kriterii_OB11_10122025_1_2.pdf, pp. 21–22</x:v>
      </x:c>
      <x:c r="U4328" s="30" t="str">
        <x:v>Расхождений нет.</x:v>
      </x:c>
      <x:c r="V4328" s="87" t="str">
        <x:v>VERIFIED</x:v>
      </x:c>
      <x:c r="W4328" s="87" t="n">
        <x:v>26</x:v>
      </x:c>
      <x:c r="X4328" s="87"/>
      <x:c r="Y4328" s="87"/>
      <x:c r="Z4328" s="87"/>
      <x:c r="AA4328" s="87"/>
      <x:c r="AB4328" s="87"/>
      <x:c r="AC4328" s="87" t="str">
        <x:v>VIS-SOC-DEC-TASK-12-P026</x:v>
      </x:c>
      <x:c r="AD4328" s="87"/>
      <x:c r="AE4328" s="87" t="str">
        <x:v>TASK</x:v>
      </x:c>
      <x:c r="AF4328" s="87"/>
      <x:c r="AG4328" s="87" t="str">
        <x:v>RESOLVED</x:v>
      </x:c>
      <x:c r="AH4328" s="87" t="str">
        <x:v>CROP_VERIFIED; TASK_CROP_QA_APPROVED:USE_CONTEXT</x:v>
      </x:c>
      <x:c r="AI4328" s="30"/>
      <x:c r="AJ4328" s="87" t="str">
        <x:v>clean</x:v>
      </x:c>
      <x:c r="AK4328" s="87" t="str">
        <x:v>clean-v0.05</x:v>
      </x:c>
      <x:c r="AL4328" s="87" t="str">
        <x:v>statgrad_clean_continuation_v0_05(1)(1).xlsx</x:v>
      </x:c>
      <x:c r="AM4328" s="87" t="str">
        <x:v>SOC_Dec_V2</x:v>
      </x:c>
      <x:c r="AN4328" s="87" t="n">
        <x:v>22</x:v>
      </x:c>
    </x:row>
    <x:row r="4329">
      <x:c r="A4329" s="87" t="n">
        <x:v>4328</x:v>
      </x:c>
      <x:c r="B4329" s="87" t="str">
        <x:v>DEC-SOC-02-022</x:v>
      </x:c>
      <x:c r="C4329" s="87" t="str">
        <x:v>СтатГрад</x:v>
      </x:c>
      <x:c r="D4329" s="87" t="str">
        <x:v>Декабрь 2025</x:v>
      </x:c>
      <x:c r="E4329" s="87"/>
      <x:c r="F4329" s="87"/>
      <x:c r="G4329" s="87" t="str">
        <x:v>Обществознание</x:v>
      </x:c>
      <x:c r="H4329" s="87" t="n">
        <x:v>11</x:v>
      </x:c>
      <x:c r="I4329" s="87" t="str">
        <x:v>ТР №3</x:v>
      </x:c>
      <x:c r="J4329" s="87" t="str">
        <x:v>ОБ2510302</x:v>
      </x:c>
      <x:c r="K4329" s="87" t="n">
        <x:v>22</x:v>
      </x:c>
      <x:c r="L4329" s="87" t="str">
        <x:v>Правовая/социальная задача</x:v>
      </x:c>
      <x:c r="M4329" s="30" t="str">
        <x:v>Иван Владимирович родился в русской семье. Его отец был рядовым
     солдатом русской императорской армии. Трудовую деятельность Иван
     Владимирович начал в 14 лет чернорабочим. Накануне Первой мировой
     войны был призван в армию. На фронте за проявленные мужество и героизм
     был награжден Георгиевским крестом всех степеней, став полным
     Георгиевским кавалером и получил офицерский чин прапорщика.
     После Октябрьской революции вступил в Красную армию, в которой прошел
     путь от командира взвода до генерала армии. За личное мужество и отвагу,
     проявленные в году Великой Отечественной войны, был удостоен звания
     Героя Советского Союза.
     Назовите любой предписанный статус, принадлежавший Ивану
     Владимировичу. Какой тип социальной мобильности иллюстрирует его
     жизнь? (Дайте полное название.) Какой канал социальной мобильности
     (социальный лифт) иллюстрирует пример Ивана Владимировича? Укажите
     два любых других канала социальной мобильности, кроме названного.</x:v>
      </x:c>
      <x:c r="N4329" s="30" t="str">
        <x:v>Предписанный статус — сын (также русский, мужчина). Жизнь иллюстрирует вертикальную восходящую социальную мобильность. Канал — военная служба. Другие каналы: образование и брак.</x:v>
      </x:c>
      <x:c r="O4329" s="30" t="str">
        <x:v>Модель включает все обязательные элементы официальных критериев и не содержит лишних позиций, способных снизить балл.</x:v>
      </x:c>
      <x:c r="P4329" s="30" t="str">
        <x:v>Сверено с официальным содержанием и критериями задания 22; проверены полнота, причинно-следственные связи и требуемое число элементов.</x:v>
      </x:c>
      <x:c r="Q4329" s="30"/>
      <x:c r="R4329" s="30" t="str">
        <x:v>Развёрнутый ответ по официальным критериям</x:v>
      </x:c>
      <x:c r="S4329" s="30"/>
      <x:c r="T4329" s="30" t="str">
        <x:v>Kriterii_OB11_10122025_1_2.pdf, pp. 22–23</x:v>
      </x:c>
      <x:c r="U4329" s="30" t="str">
        <x:v>Расхождений нет.</x:v>
      </x:c>
      <x:c r="V4329" s="87" t="str">
        <x:v>VERIFIED</x:v>
      </x:c>
      <x:c r="W4329" s="87" t="n">
        <x:v>26</x:v>
      </x:c>
      <x:c r="X4329" s="87"/>
      <x:c r="Y4329" s="87"/>
      <x:c r="Z4329" s="87"/>
      <x:c r="AA4329" s="87"/>
      <x:c r="AB4329" s="87"/>
      <x:c r="AC4329" s="87" t="str">
        <x:v>VIS-SOC-DEC-TASK-12-P026</x:v>
      </x:c>
      <x:c r="AD4329" s="87"/>
      <x:c r="AE4329" s="87" t="str">
        <x:v>TASK</x:v>
      </x:c>
      <x:c r="AF4329" s="87"/>
      <x:c r="AG4329" s="87" t="str">
        <x:v>RESOLVED</x:v>
      </x:c>
      <x:c r="AH4329" s="87" t="str">
        <x:v>CROP_VERIFIED</x:v>
      </x:c>
      <x:c r="AI4329" s="30"/>
      <x:c r="AJ4329" s="87" t="str">
        <x:v>clean</x:v>
      </x:c>
      <x:c r="AK4329" s="87" t="str">
        <x:v>clean-v0.05</x:v>
      </x:c>
      <x:c r="AL4329" s="87" t="str">
        <x:v>statgrad_clean_continuation_v0_05(1)(1).xlsx</x:v>
      </x:c>
      <x:c r="AM4329" s="87" t="str">
        <x:v>SOC_Dec_V2</x:v>
      </x:c>
      <x:c r="AN4329" s="87" t="n">
        <x:v>23</x:v>
      </x:c>
    </x:row>
    <x:row r="4330">
      <x:c r="A4330" s="87" t="n">
        <x:v>4329</x:v>
      </x:c>
      <x:c r="B4330" s="87" t="str">
        <x:v>DEC-SOC-02-023</x:v>
      </x:c>
      <x:c r="C4330" s="87" t="str">
        <x:v>СтатГрад</x:v>
      </x:c>
      <x:c r="D4330" s="87" t="str">
        <x:v>Декабрь 2025</x:v>
      </x:c>
      <x:c r="E4330" s="87"/>
      <x:c r="F4330" s="87"/>
      <x:c r="G4330" s="87" t="str">
        <x:v>Обществознание</x:v>
      </x:c>
      <x:c r="H4330" s="87" t="n">
        <x:v>11</x:v>
      </x:c>
      <x:c r="I4330" s="87" t="str">
        <x:v>ТР №3</x:v>
      </x:c>
      <x:c r="J4330" s="87" t="str">
        <x:v>ОБ2510302</x:v>
      </x:c>
      <x:c r="K4330" s="87" t="n">
        <x:v>23</x:v>
      </x:c>
      <x:c r="L4330" s="87" t="str">
        <x:v>Конституционные положения</x:v>
      </x:c>
      <x:c r="M4330" s="30" t="str">
        <x:v>Конституция Российской Федерации гарантирует право граждан на участие
     в управлении государством.
     На основе положений Конституции Российской Федерации приведите
     три подтверждения данного утверждения. (Каждое подтверждение должно
     быть сформулировано как распространённое предложение с опорой
     на конкретное положение Конституции Российской Федерации.
     Обратите внимание на то, что правильное выполнение задания не требует
     указания в ответе номеров соответствующих статей Конституции РФ
     и дословного воспроизведения их содержания.)</x:v>
      </x:c>
      <x:c r="N4330" s="30" t="str">
        <x:v>1) Граждане вправе участвовать в управлении делами государства непосредственно и через представителей. 2) Они вправе избирать и быть избранными и участвовать в референдуме. 3) Граждане имеют равный доступ к государственной службе.</x:v>
      </x:c>
      <x:c r="O4330" s="30" t="str">
        <x:v>Модель включает все обязательные элементы официальных критериев и не содержит лишних позиций, способных снизить балл.</x:v>
      </x:c>
      <x:c r="P4330" s="30" t="str">
        <x:v>Сверено с официальным содержанием и критериями задания 23; проверены полнота, причинно-следственные связи и требуемое число элементов.</x:v>
      </x:c>
      <x:c r="Q4330" s="30"/>
      <x:c r="R4330" s="30" t="str">
        <x:v>Развёрнутый ответ по официальным критериям</x:v>
      </x:c>
      <x:c r="S4330" s="30"/>
      <x:c r="T4330" s="30" t="str">
        <x:v>Kriterii_OB11_10122025_1_2.pdf, pp. 23–25</x:v>
      </x:c>
      <x:c r="U4330" s="30" t="str">
        <x:v>Расхождений нет.</x:v>
      </x:c>
      <x:c r="V4330" s="87" t="str">
        <x:v>VERIFIED</x:v>
      </x:c>
      <x:c r="W4330" s="87" t="n">
        <x:v>27</x:v>
      </x:c>
      <x:c r="X4330" s="87"/>
      <x:c r="Y4330" s="87"/>
      <x:c r="Z4330" s="87"/>
      <x:c r="AA4330" s="87"/>
      <x:c r="AB4330" s="87"/>
      <x:c r="AC4330" s="87" t="str">
        <x:v>VIS-SOC-DEC-TASK-12-P027</x:v>
      </x:c>
      <x:c r="AD4330" s="87"/>
      <x:c r="AE4330" s="87" t="str">
        <x:v>TASK</x:v>
      </x:c>
      <x:c r="AF4330" s="87"/>
      <x:c r="AG4330" s="87" t="str">
        <x:v>RESOLVED</x:v>
      </x:c>
      <x:c r="AH4330" s="87" t="str">
        <x:v>CROP_VERIFIED</x:v>
      </x:c>
      <x:c r="AI4330" s="30"/>
      <x:c r="AJ4330" s="87" t="str">
        <x:v>clean</x:v>
      </x:c>
      <x:c r="AK4330" s="87" t="str">
        <x:v>clean-v0.05</x:v>
      </x:c>
      <x:c r="AL4330" s="87" t="str">
        <x:v>statgrad_clean_continuation_v0_05(1)(1).xlsx</x:v>
      </x:c>
      <x:c r="AM4330" s="87" t="str">
        <x:v>SOC_Dec_V2</x:v>
      </x:c>
      <x:c r="AN4330" s="87" t="n">
        <x:v>24</x:v>
      </x:c>
    </x:row>
    <x:row r="4331">
      <x:c r="A4331" s="87" t="n">
        <x:v>4330</x:v>
      </x:c>
      <x:c r="B4331" s="87" t="str">
        <x:v>DEC-SOC-02-024</x:v>
      </x:c>
      <x:c r="C4331" s="87" t="str">
        <x:v>СтатГрад</x:v>
      </x:c>
      <x:c r="D4331" s="87" t="str">
        <x:v>Декабрь 2025</x:v>
      </x:c>
      <x:c r="E4331" s="87"/>
      <x:c r="F4331" s="87"/>
      <x:c r="G4331" s="87" t="str">
        <x:v>Обществознание</x:v>
      </x:c>
      <x:c r="H4331" s="87" t="n">
        <x:v>11</x:v>
      </x:c>
      <x:c r="I4331" s="87" t="str">
        <x:v>ТР №3</x:v>
      </x:c>
      <x:c r="J4331" s="87" t="str">
        <x:v>ОБ2510302</x:v>
      </x:c>
      <x:c r="K4331" s="87" t="n">
        <x:v>24</x:v>
      </x:c>
      <x:c r="L4331" s="87" t="str">
        <x:v>Сложный план</x:v>
      </x:c>
      <x:c r="M4331" s="30" t="str">
        <x:v>Используя обществоведческие знания, составьте сложный план,
     позволяющий раскрыть по существу тему «Политические партии и их роль
     в политической жизни общества».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возможно
     только два подпункта.)</x:v>
      </x:c>
      <x:c r="N4331" s="30" t="str">
        <x:v>1. Понятие политической партии.
2. Признаки партий: а) идеология; б) устойчивый состав; в) стремление участвовать во власти; г) программа и устав; д) лидеры.
3. Функции партий: а) формирование общественного мнения; б) организация избирательных кампаний; в) рекрутирование политической элиты; г) выражение интересов социальных групп; д) политическое просвещение.
4. Классификации: а) кадровые и массовые; б) правящие и оппозиционные; в) легальные и нелегальные; г) по идеологии.
5. Партийные системы: а) однопартийная; б) двухпартийная; в) многопартийная.
6. Особенности современной российской многопартийности.</x:v>
      </x:c>
      <x:c r="O4331" s="30" t="str">
        <x:v>Модель включает все обязательные элементы официальных критериев и не содержит лишних позиций, способных снизить балл.</x:v>
      </x:c>
      <x:c r="P4331" s="30" t="str">
        <x:v>Сверено с официальным содержанием и критериями задания 24; проверены полнота, причинно-следственные связи и требуемое число элементов.</x:v>
      </x:c>
      <x:c r="Q4331" s="30"/>
      <x:c r="R4331" s="30" t="str">
        <x:v>Развёрнутый ответ по официальным критериям</x:v>
      </x:c>
      <x:c r="S4331" s="30"/>
      <x:c r="T4331" s="30" t="str">
        <x:v>Kriterii_OB11_10122025_1_2.pdf, pp. 25–27</x:v>
      </x:c>
      <x:c r="U4331" s="30" t="str">
        <x:v>Расхождений нет.</x:v>
      </x:c>
      <x:c r="V4331" s="87" t="str">
        <x:v>VERIFIED</x:v>
      </x:c>
      <x:c r="W4331" s="87" t="n">
        <x:v>27</x:v>
      </x:c>
      <x:c r="X4331" s="87"/>
      <x:c r="Y4331" s="87"/>
      <x:c r="Z4331" s="87"/>
      <x:c r="AA4331" s="87"/>
      <x:c r="AB4331" s="87"/>
      <x:c r="AC4331" s="87" t="str">
        <x:v>VIS-SOC-DEC-TASK-12-P027</x:v>
      </x:c>
      <x:c r="AD4331" s="87"/>
      <x:c r="AE4331" s="87" t="str">
        <x:v>TASK</x:v>
      </x:c>
      <x:c r="AF4331" s="87"/>
      <x:c r="AG4331" s="87" t="str">
        <x:v>RESOLVED</x:v>
      </x:c>
      <x:c r="AH4331" s="87" t="str">
        <x:v>CROP_VERIFIED</x:v>
      </x:c>
      <x:c r="AI4331" s="30"/>
      <x:c r="AJ4331" s="87" t="str">
        <x:v>clean</x:v>
      </x:c>
      <x:c r="AK4331" s="87" t="str">
        <x:v>clean-v0.05</x:v>
      </x:c>
      <x:c r="AL4331" s="87" t="str">
        <x:v>statgrad_clean_continuation_v0_05(1)(1).xlsx</x:v>
      </x:c>
      <x:c r="AM4331" s="87" t="str">
        <x:v>SOC_Dec_V2</x:v>
      </x:c>
      <x:c r="AN4331" s="87" t="n">
        <x:v>25</x:v>
      </x:c>
    </x:row>
    <x:row r="4332">
      <x:c r="A4332" s="87" t="n">
        <x:v>4331</x:v>
      </x:c>
      <x:c r="B4332" s="87" t="str">
        <x:v>DEC-SOC-02-025</x:v>
      </x:c>
      <x:c r="C4332" s="87" t="str">
        <x:v>СтатГрад</x:v>
      </x:c>
      <x:c r="D4332" s="87" t="str">
        <x:v>Декабрь 2025</x:v>
      </x:c>
      <x:c r="E4332" s="87"/>
      <x:c r="F4332" s="87"/>
      <x:c r="G4332" s="87" t="str">
        <x:v>Обществознание</x:v>
      </x:c>
      <x:c r="H4332" s="87" t="n">
        <x:v>11</x:v>
      </x:c>
      <x:c r="I4332" s="87" t="str">
        <x:v>ТР №3</x:v>
      </x:c>
      <x:c r="J4332" s="87" t="str">
        <x:v>ОБ2510302</x:v>
      </x:c>
      <x:c r="K4332" s="87" t="n">
        <x:v>25</x:v>
      </x:c>
      <x:c r="L4332" s="87" t="str">
        <x:v>Обоснование, объекты и примеры</x:v>
      </x:c>
      <x:c r="M4332" s="30" t="str">
        <x:v>Используя обществоведческие знания, факты общественной жизни и личный
     социальный опыт, выполните задания, ответьте на вопрос.
     1) Обоснуйте    важность     существования       политических   партий
     для    функционирования   демократического      политического  режима.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Какие политические партии представлены в Федеральном Собрании
     Российской Федерации? (Назовите три любые партии.)
     3) Для каждой из указанных в п. 2 партий приведите по одному примеру,
     иллюстрирующему реализацию функций политической партии. (Каждый
     пример должен быть сформулирован развёрнуто. В совокупности примеры
     должны иллюстрировать три различных функции.)</x:v>
      </x:c>
      <x:c r="N4332" s="30" t="str">
        <x:v>Политические партии агрегируют и выражают интересы социальных групп, обеспечивают политическую конкуренцию, выдвигают кандидатов и связывают граждан с органами власти; поэтому без них представительная демократия не может устойчиво функционировать. Представлены, например, «Единая Россия», КПРФ и ЛДПР. Примеры функций: «Единая Россия» разрабатывает и поддерживает законодательные инициативы, выражая интересы своих избирателей; КПРФ выдвигает кандидатов и проводит избирательные кампании, реализуя электоральную функцию; ЛДПР организует публичные встречи и политические образовательные мероприятия, выполняя функцию политической социализации.</x:v>
      </x:c>
      <x:c r="O4332" s="30" t="str">
        <x:v>Модель включает все обязательные элементы официальных критериев и не содержит лишних позиций, способных снизить балл.</x:v>
      </x:c>
      <x:c r="P4332" s="30" t="str">
        <x:v>Сверено с официальным содержанием и критериями задания 25; проверены полнота, причинно-следственные связи и требуемое число элементов.</x:v>
      </x:c>
      <x:c r="Q4332" s="30"/>
      <x:c r="R4332" s="30" t="str">
        <x:v>Развёрнутый ответ по официальным критериям</x:v>
      </x:c>
      <x:c r="S4332" s="30"/>
      <x:c r="T4332" s="30" t="str">
        <x:v>Kriterii_OB11_10122025_1_2.pdf, pp. 27–29</x:v>
      </x:c>
      <x:c r="U4332" s="30" t="str">
        <x:v>Расхождений нет.</x:v>
      </x:c>
      <x:c r="V4332" s="87" t="str">
        <x:v>VERIFIED</x:v>
      </x:c>
      <x:c r="W4332" s="87" t="n">
        <x:v>27</x:v>
      </x:c>
      <x:c r="X4332" s="87"/>
      <x:c r="Y4332" s="87"/>
      <x:c r="Z4332" s="87"/>
      <x:c r="AA4332" s="87"/>
      <x:c r="AB4332" s="87"/>
      <x:c r="AC4332" s="87" t="str">
        <x:v>VIS-SOC-DEC-TASK-12-P027</x:v>
      </x:c>
      <x:c r="AD4332" s="87"/>
      <x:c r="AE4332" s="87" t="str">
        <x:v>TASK</x:v>
      </x:c>
      <x:c r="AF4332" s="87"/>
      <x:c r="AG4332" s="87" t="str">
        <x:v>RESOLVED</x:v>
      </x:c>
      <x:c r="AH4332" s="87" t="str">
        <x:v>CROP_VERIFIED</x:v>
      </x:c>
      <x:c r="AI4332" s="30"/>
      <x:c r="AJ4332" s="87" t="str">
        <x:v>clean</x:v>
      </x:c>
      <x:c r="AK4332" s="87" t="str">
        <x:v>clean-v0.05</x:v>
      </x:c>
      <x:c r="AL4332" s="87" t="str">
        <x:v>statgrad_clean_continuation_v0_05(1)(1).xlsx</x:v>
      </x:c>
      <x:c r="AM4332" s="87" t="str">
        <x:v>SOC_Dec_V2</x:v>
      </x:c>
      <x:c r="AN4332" s="87" t="n">
        <x:v>26</x:v>
      </x:c>
    </x:row>
    <x:row r="4333">
      <x:c r="A4333" s="87" t="n">
        <x:v>4332</x:v>
      </x:c>
      <x:c r="B4333" s="87" t="str">
        <x:v>DEC-SOC-03-001</x:v>
      </x:c>
      <x:c r="C4333" s="87" t="str">
        <x:v>СтатГрад</x:v>
      </x:c>
      <x:c r="D4333" s="87" t="str">
        <x:v>Декабрь 2025</x:v>
      </x:c>
      <x:c r="E4333" s="87"/>
      <x:c r="F4333" s="87"/>
      <x:c r="G4333" s="87" t="str">
        <x:v>Обществознание</x:v>
      </x:c>
      <x:c r="H4333" s="87" t="n">
        <x:v>11</x:v>
      </x:c>
      <x:c r="I4333" s="87" t="str">
        <x:v>ТР №3</x:v>
      </x:c>
      <x:c r="J4333" s="87" t="str">
        <x:v>ОБ2510303</x:v>
      </x:c>
      <x:c r="K4333" s="87" t="n">
        <x:v>1</x:v>
      </x:c>
      <x:c r="L4333" s="87" t="str">
        <x:v>Выбор двух исключений</x:v>
      </x:c>
      <x:c r="M4333" s="30" t="str">
        <x:v>Ниже приведён перечень понятий. Все они, за исключением двух, относятся
    к эмпирическим методам научного познания.
    1) анализ данных; 2) измерение; 3) наблюдение; 4) проведение эксперимента;
    5) описание явления; 6) выдвижение гипотезы.
    Найдите два понятия, «выпадающих» из общего ряда, и запишите в таблицу
    цифры, под которыми они указаны.</x:v>
      </x:c>
      <x:c r="N4333" s="30" t="str">
        <x:v>16</x:v>
      </x:c>
      <x:c r="O4333" s="30" t="str">
        <x:v>Анализ данных и выдвижение гипотезы относятся преимущественно к теоретическим операциям; измерение, наблюдение, эксперимент и описание — эмпирические методы.</x:v>
      </x:c>
      <x:c r="P4333" s="30" t="str">
        <x:v>Каждая выбранная позиция или соответствие проверены по обществоведческим понятиям и условию; официальный ключ совпал.</x:v>
      </x:c>
      <x:c r="Q4333" s="30"/>
      <x:c r="R4333" s="30" t="str">
        <x:v>16</x:v>
      </x:c>
      <x:c r="S4333" s="30"/>
      <x:c r="T4333" s="30" t="str">
        <x:v>Kriterii_OB11_10122025_.pdf, p. 1</x:v>
      </x:c>
      <x:c r="U4333" s="30" t="str">
        <x:v>Расхождений нет.</x:v>
      </x:c>
      <x:c r="V4333" s="87" t="str">
        <x:v>VERIFIED</x:v>
      </x:c>
      <x:c r="W4333" s="87" t="n">
        <x:v>2</x:v>
      </x:c>
      <x:c r="X4333" s="87"/>
      <x:c r="Y4333" s="87"/>
      <x:c r="Z4333" s="87"/>
      <x:c r="AA4333" s="87"/>
      <x:c r="AB4333" s="87"/>
      <x:c r="AC4333" s="87" t="str">
        <x:v>VIS-SOC-DEC-TASK-34-P002</x:v>
      </x:c>
      <x:c r="AD4333" s="87"/>
      <x:c r="AE4333" s="87" t="str">
        <x:v>TASK</x:v>
      </x:c>
      <x:c r="AF4333" s="87"/>
      <x:c r="AG4333" s="87" t="str">
        <x:v>RESOLVED</x:v>
      </x:c>
      <x:c r="AH4333" s="87" t="str">
        <x:v>CROP_VERIFIED</x:v>
      </x:c>
      <x:c r="AI4333" s="30"/>
      <x:c r="AJ4333" s="87" t="str">
        <x:v>clean</x:v>
      </x:c>
      <x:c r="AK4333" s="87" t="str">
        <x:v>clean-v0.05</x:v>
      </x:c>
      <x:c r="AL4333" s="87" t="str">
        <x:v>statgrad_clean_continuation_v0_05(1)(1).xlsx</x:v>
      </x:c>
      <x:c r="AM4333" s="87" t="str">
        <x:v>SOC_Dec_V3</x:v>
      </x:c>
      <x:c r="AN4333" s="87" t="n">
        <x:v>2</x:v>
      </x:c>
    </x:row>
    <x:row r="4334">
      <x:c r="A4334" s="87" t="n">
        <x:v>4333</x:v>
      </x:c>
      <x:c r="B4334" s="87" t="str">
        <x:v>DEC-SOC-03-002</x:v>
      </x:c>
      <x:c r="C4334" s="87" t="str">
        <x:v>СтатГрад</x:v>
      </x:c>
      <x:c r="D4334" s="87" t="str">
        <x:v>Декабрь 2025</x:v>
      </x:c>
      <x:c r="E4334" s="87"/>
      <x:c r="F4334" s="87"/>
      <x:c r="G4334" s="87" t="str">
        <x:v>Обществознание</x:v>
      </x:c>
      <x:c r="H4334" s="87" t="n">
        <x:v>11</x:v>
      </x:c>
      <x:c r="I4334" s="87" t="str">
        <x:v>ТР №3</x:v>
      </x:c>
      <x:c r="J4334" s="87" t="str">
        <x:v>ОБ2510303</x:v>
      </x:c>
      <x:c r="K4334" s="87" t="n">
        <x:v>2</x:v>
      </x:c>
      <x:c r="L4334" s="87" t="str">
        <x:v>Множественный выбор</x:v>
      </x:c>
      <x:c r="M4334" s="30" t="str">
        <x:v>Выберите верные суждения о постиндустриальном обществе.
    1) Постиндустриальное общество появляется в ХХ столетии.
    2) В экономике постиндустриального общества ведущую роль играет
       промышленный сектор.
    3) Большая часть экономически активного населения в постиндустриальном
       обществе занята в сфере услуг и информации.
    4) Для постиндустриального общества характерен высокий уровень
       социальной мобильности.
    5) В общественной жизни постиндустриального общества большую роль
       играют традиции и религия.</x:v>
      </x:c>
      <x:c r="N4334" s="30" t="str">
        <x:v>134</x:v>
      </x:c>
      <x:c r="O4334" s="30" t="str">
        <x:v>Постиндустриальное общество сформировалось в XX веке, отличается ведущей ролью услуг и информации и высокой социальной мобильностью.</x:v>
      </x:c>
      <x:c r="P4334" s="30" t="str">
        <x:v>Каждая выбранная позиция или соответствие проверены по обществоведческим понятиям и условию; официальный ключ совпал.</x:v>
      </x:c>
      <x:c r="Q4334" s="30"/>
      <x:c r="R4334" s="30" t="str">
        <x:v>134</x:v>
      </x:c>
      <x:c r="S4334" s="30"/>
      <x:c r="T4334" s="30" t="str">
        <x:v>Kriterii_OB11_10122025_.pdf, p. 1</x:v>
      </x:c>
      <x:c r="U4334" s="30" t="str">
        <x:v>Расхождений нет.</x:v>
      </x:c>
      <x:c r="V4334" s="87" t="str">
        <x:v>VERIFIED</x:v>
      </x:c>
      <x:c r="W4334" s="87" t="n">
        <x:v>2</x:v>
      </x:c>
      <x:c r="X4334" s="87"/>
      <x:c r="Y4334" s="87"/>
      <x:c r="Z4334" s="87"/>
      <x:c r="AA4334" s="87"/>
      <x:c r="AB4334" s="87"/>
      <x:c r="AC4334" s="87" t="str">
        <x:v>VIS-SOC-DEC-TASK-34-P002</x:v>
      </x:c>
      <x:c r="AD4334" s="87"/>
      <x:c r="AE4334" s="87" t="str">
        <x:v>TASK</x:v>
      </x:c>
      <x:c r="AF4334" s="87"/>
      <x:c r="AG4334" s="87" t="str">
        <x:v>RESOLVED</x:v>
      </x:c>
      <x:c r="AH4334" s="87" t="str">
        <x:v>CROP_VERIFIED</x:v>
      </x:c>
      <x:c r="AI4334" s="30"/>
      <x:c r="AJ4334" s="87" t="str">
        <x:v>clean</x:v>
      </x:c>
      <x:c r="AK4334" s="87" t="str">
        <x:v>clean-v0.05</x:v>
      </x:c>
      <x:c r="AL4334" s="87" t="str">
        <x:v>statgrad_clean_continuation_v0_05(1)(1).xlsx</x:v>
      </x:c>
      <x:c r="AM4334" s="87" t="str">
        <x:v>SOC_Dec_V3</x:v>
      </x:c>
      <x:c r="AN4334" s="87" t="n">
        <x:v>3</x:v>
      </x:c>
    </x:row>
    <x:row r="4335">
      <x:c r="A4335" s="87" t="n">
        <x:v>4334</x:v>
      </x:c>
      <x:c r="B4335" s="87" t="str">
        <x:v>DEC-SOC-03-003</x:v>
      </x:c>
      <x:c r="C4335" s="87" t="str">
        <x:v>СтатГрад</x:v>
      </x:c>
      <x:c r="D4335" s="87" t="str">
        <x:v>Декабрь 2025</x:v>
      </x:c>
      <x:c r="E4335" s="87"/>
      <x:c r="F4335" s="87"/>
      <x:c r="G4335" s="87" t="str">
        <x:v>Обществознание</x:v>
      </x:c>
      <x:c r="H4335" s="87" t="n">
        <x:v>11</x:v>
      </x:c>
      <x:c r="I4335" s="87" t="str">
        <x:v>ТР №3</x:v>
      </x:c>
      <x:c r="J4335" s="87" t="str">
        <x:v>ОБ2510303</x:v>
      </x:c>
      <x:c r="K4335" s="87" t="n">
        <x:v>3</x:v>
      </x:c>
      <x:c r="L4335" s="87" t="str">
        <x:v>Установление соответствия</x:v>
      </x:c>
      <x:c r="M4335" s="30" t="str">
        <x:v>Установите соответствие между характеристиками и тенденциями в развитии
    образования: к каждой позиции, данной в первом столбце, подберите
    соответствующую позицию из второго столбца.
                 ХАРАКТЕРИСТИКА                             ТЕНДЕНЦИЯ РАЗВИТИЯ
                                                                ОБРАЗОВАНИЯ
    А) усиление внимания к индивидуальным                 1) демократизация
       особенностям обучающихся                           2) информатизация
    Б) внедрение здоровьесберегающих                      3) гуманизация
       технологий обучения
    В) рост доступности среднего и высшего
       образования для широких слоев
       населения
    Г) широкое внедрение дистанционного
       обучения через интернет
    Д) развитие ученического самоуправления
       в учебных заведениях
    Запишите в таблицу выбранные цифры под соответствующими буквами.
               А Б В Г Д</x:v>
      </x:c>
      <x:c r="N4335" s="30" t="str">
        <x:v>33121</x:v>
      </x:c>
      <x:c r="O4335" s="30" t="str">
        <x:v>А–3 (индивидуализация — гуманизация), Б–3 (здоровьесбережение — гуманизация), В–1 (доступность — демократизация), Г–2 (дистанционное обучение — информатизация), Д–1 (самоуправление — демократизация).</x:v>
      </x:c>
      <x:c r="P4335" s="30" t="str">
        <x:v>Каждая выбранная позиция или соответствие проверены по обществоведческим понятиям и условию; официальный ключ совпал.</x:v>
      </x:c>
      <x:c r="Q4335" s="30"/>
      <x:c r="R4335" s="30" t="str">
        <x:v>33121</x:v>
      </x:c>
      <x:c r="S4335" s="30"/>
      <x:c r="T4335" s="30" t="str">
        <x:v>Kriterii_OB11_10122025_.pdf, p. 1</x:v>
      </x:c>
      <x:c r="U4335" s="30" t="str">
        <x:v>Расхождений нет.</x:v>
      </x:c>
      <x:c r="V4335" s="87" t="str">
        <x:v>VERIFIED</x:v>
      </x:c>
      <x:c r="W4335" s="87" t="n">
        <x:v>3</x:v>
      </x:c>
      <x:c r="X4335" s="87"/>
      <x:c r="Y4335" s="87"/>
      <x:c r="Z4335" s="87"/>
      <x:c r="AA4335" s="87"/>
      <x:c r="AB4335" s="87"/>
      <x:c r="AC4335" s="87" t="str">
        <x:v>VIS-SOC-DEC-TASK-34-P003</x:v>
      </x:c>
      <x:c r="AD4335" s="87"/>
      <x:c r="AE4335" s="87" t="str">
        <x:v>TASK</x:v>
      </x:c>
      <x:c r="AF4335" s="87"/>
      <x:c r="AG4335" s="87" t="str">
        <x:v>RESOLVED</x:v>
      </x:c>
      <x:c r="AH4335" s="87" t="str">
        <x:v>CROP_VERIFIED</x:v>
      </x:c>
      <x:c r="AI4335" s="30"/>
      <x:c r="AJ4335" s="87" t="str">
        <x:v>clean</x:v>
      </x:c>
      <x:c r="AK4335" s="87" t="str">
        <x:v>clean-v0.05</x:v>
      </x:c>
      <x:c r="AL4335" s="87" t="str">
        <x:v>statgrad_clean_continuation_v0_05(1)(1).xlsx</x:v>
      </x:c>
      <x:c r="AM4335" s="87" t="str">
        <x:v>SOC_Dec_V3</x:v>
      </x:c>
      <x:c r="AN4335" s="87" t="n">
        <x:v>4</x:v>
      </x:c>
    </x:row>
    <x:row r="4336">
      <x:c r="A4336" s="87" t="n">
        <x:v>4335</x:v>
      </x:c>
      <x:c r="B4336" s="87" t="str">
        <x:v>DEC-SOC-03-004</x:v>
      </x:c>
      <x:c r="C4336" s="87" t="str">
        <x:v>СтатГрад</x:v>
      </x:c>
      <x:c r="D4336" s="87" t="str">
        <x:v>Декабрь 2025</x:v>
      </x:c>
      <x:c r="E4336" s="87"/>
      <x:c r="F4336" s="87"/>
      <x:c r="G4336" s="87" t="str">
        <x:v>Обществознание</x:v>
      </x:c>
      <x:c r="H4336" s="87" t="n">
        <x:v>11</x:v>
      </x:c>
      <x:c r="I4336" s="87" t="str">
        <x:v>ТР №3</x:v>
      </x:c>
      <x:c r="J4336" s="87" t="str">
        <x:v>ОБ2510303</x:v>
      </x:c>
      <x:c r="K4336" s="87" t="n">
        <x:v>4</x:v>
      </x:c>
      <x:c r="L4336" s="87" t="str">
        <x:v>Анализ ситуации: цели/средства</x:v>
      </x:c>
      <x:c r="M4336" s="30" t="str">
        <x:v>В демократическом государстве Z проводится реформа системы социального
    обеспечения населения и медицинского обслуживания. Повышаются пенсии
    и социальные пособия, строятся новые больницы, открываются центры
    поддержки пожилых людей.
    Найдите в приведённом ниже списке возможные цели данной реформы,
    и запишите цифры, под которыми они указаны.
    1) строительство больниц
    2) повышение уровня жизни населения
    3) повышение социальных выплат
    4) увеличение продолжительности жизни населения
    5) поддержка населением действующей власти
    6) исполнение государственного бюджета</x:v>
      </x:c>
      <x:c r="N4336" s="30" t="str">
        <x:v>245</x:v>
      </x:c>
      <x:c r="O4336" s="30" t="str">
        <x:v>Строительство больниц и повышение выплат — средства реформы; её целями являются рост уровня и продолжительности жизни, а также поддержка власти населением.</x:v>
      </x:c>
      <x:c r="P4336" s="30" t="str">
        <x:v>Каждая выбранная позиция или соответствие проверены по обществоведческим понятиям и условию; официальный ключ совпал.</x:v>
      </x:c>
      <x:c r="Q4336" s="30"/>
      <x:c r="R4336" s="30" t="str">
        <x:v>245</x:v>
      </x:c>
      <x:c r="S4336" s="30"/>
      <x:c r="T4336" s="30" t="str">
        <x:v>Kriterii_OB11_10122025_.pdf, p. 1</x:v>
      </x:c>
      <x:c r="U4336" s="30" t="str">
        <x:v>Расхождений нет.</x:v>
      </x:c>
      <x:c r="V4336" s="87" t="str">
        <x:v>VERIFIED</x:v>
      </x:c>
      <x:c r="W4336" s="87" t="n">
        <x:v>3</x:v>
      </x:c>
      <x:c r="X4336" s="87"/>
      <x:c r="Y4336" s="87"/>
      <x:c r="Z4336" s="87"/>
      <x:c r="AA4336" s="87"/>
      <x:c r="AB4336" s="87"/>
      <x:c r="AC4336" s="87" t="str">
        <x:v>VIS-SOC-DEC-TASK-34-P003</x:v>
      </x:c>
      <x:c r="AD4336" s="87"/>
      <x:c r="AE4336" s="87" t="str">
        <x:v>TASK</x:v>
      </x:c>
      <x:c r="AF4336" s="87"/>
      <x:c r="AG4336" s="87" t="str">
        <x:v>RESOLVED</x:v>
      </x:c>
      <x:c r="AH4336" s="87" t="str">
        <x:v>CROP_VERIFIED</x:v>
      </x:c>
      <x:c r="AI4336" s="30"/>
      <x:c r="AJ4336" s="87" t="str">
        <x:v>clean</x:v>
      </x:c>
      <x:c r="AK4336" s="87" t="str">
        <x:v>clean-v0.05</x:v>
      </x:c>
      <x:c r="AL4336" s="87" t="str">
        <x:v>statgrad_clean_continuation_v0_05(1)(1).xlsx</x:v>
      </x:c>
      <x:c r="AM4336" s="87" t="str">
        <x:v>SOC_Dec_V3</x:v>
      </x:c>
      <x:c r="AN4336" s="87" t="n">
        <x:v>5</x:v>
      </x:c>
    </x:row>
    <x:row r="4337">
      <x:c r="A4337" s="87" t="n">
        <x:v>4336</x:v>
      </x:c>
      <x:c r="B4337" s="87" t="str">
        <x:v>DEC-SOC-03-005</x:v>
      </x:c>
      <x:c r="C4337" s="87" t="str">
        <x:v>СтатГрад</x:v>
      </x:c>
      <x:c r="D4337" s="87" t="str">
        <x:v>Декабрь 2025</x:v>
      </x:c>
      <x:c r="E4337" s="87"/>
      <x:c r="F4337" s="87"/>
      <x:c r="G4337" s="87" t="str">
        <x:v>Обществознание</x:v>
      </x:c>
      <x:c r="H4337" s="87" t="n">
        <x:v>11</x:v>
      </x:c>
      <x:c r="I4337" s="87" t="str">
        <x:v>ТР №3</x:v>
      </x:c>
      <x:c r="J4337" s="87" t="str">
        <x:v>ОБ2510303</x:v>
      </x:c>
      <x:c r="K4337" s="87" t="n">
        <x:v>5</x:v>
      </x:c>
      <x:c r="L4337" s="87" t="str">
        <x:v>Множественный выбор</x:v>
      </x:c>
      <x:c r="M4337" s="30" t="str">
        <x:v>Выберите верные суждения о централизованной (командной) экономике
    и запишите цифры, под которыми они указаны.
    1) В централизованной экономике цены на товары и услуги, как правило,
       устанавливаются управленческими органами, а не производителями.
    2) Для централизованной экономики характерны экономические кризисы,
       связанные с перепроизводством товаров.
    3) Централизованная      экономика    основана    на    государственной
       собственности на основные материальные ресурсы.
    4) В централизованной экономике государство поощряет и поддерживает
       конкуренцию между производителями.
    5) Централизованная экономика неспособна обеспечить быстрых темпов
       экономического роста.</x:v>
      </x:c>
      <x:c r="N4337" s="30" t="str">
        <x:v>13</x:v>
      </x:c>
      <x:c r="O4337" s="30" t="str">
        <x:v>Для командной экономики характерны административное ценообразование и государственная собственность на основные ресурсы.</x:v>
      </x:c>
      <x:c r="P4337" s="30" t="str">
        <x:v>Каждая выбранная позиция или соответствие проверены по обществоведческим понятиям и условию; официальный ключ совпал.</x:v>
      </x:c>
      <x:c r="Q4337" s="30"/>
      <x:c r="R4337" s="30" t="str">
        <x:v>13</x:v>
      </x:c>
      <x:c r="S4337" s="30"/>
      <x:c r="T4337" s="30" t="str">
        <x:v>Kriterii_OB11_10122025_.pdf, p. 1</x:v>
      </x:c>
      <x:c r="U4337" s="30" t="str">
        <x:v>Расхождений нет.</x:v>
      </x:c>
      <x:c r="V4337" s="87" t="str">
        <x:v>VERIFIED</x:v>
      </x:c>
      <x:c r="W4337" s="87" t="n">
        <x:v>4</x:v>
      </x:c>
      <x:c r="X4337" s="87"/>
      <x:c r="Y4337" s="87"/>
      <x:c r="Z4337" s="87"/>
      <x:c r="AA4337" s="87"/>
      <x:c r="AB4337" s="87"/>
      <x:c r="AC4337" s="87" t="str">
        <x:v>VIS-SOC-DEC-TASK-34-P004</x:v>
      </x:c>
      <x:c r="AD4337" s="87"/>
      <x:c r="AE4337" s="87" t="str">
        <x:v>TASK</x:v>
      </x:c>
      <x:c r="AF4337" s="87"/>
      <x:c r="AG4337" s="87" t="str">
        <x:v>RESOLVED</x:v>
      </x:c>
      <x:c r="AH4337" s="87" t="str">
        <x:v>CROP_VERIFIED</x:v>
      </x:c>
      <x:c r="AI4337" s="30"/>
      <x:c r="AJ4337" s="87" t="str">
        <x:v>clean</x:v>
      </x:c>
      <x:c r="AK4337" s="87" t="str">
        <x:v>clean-v0.05</x:v>
      </x:c>
      <x:c r="AL4337" s="87" t="str">
        <x:v>statgrad_clean_continuation_v0_05(1)(1).xlsx</x:v>
      </x:c>
      <x:c r="AM4337" s="87" t="str">
        <x:v>SOC_Dec_V3</x:v>
      </x:c>
      <x:c r="AN4337" s="87" t="n">
        <x:v>6</x:v>
      </x:c>
    </x:row>
    <x:row r="4338">
      <x:c r="A4338" s="87" t="n">
        <x:v>4337</x:v>
      </x:c>
      <x:c r="B4338" s="87" t="str">
        <x:v>DEC-SOC-03-006</x:v>
      </x:c>
      <x:c r="C4338" s="87" t="str">
        <x:v>СтатГрад</x:v>
      </x:c>
      <x:c r="D4338" s="87" t="str">
        <x:v>Декабрь 2025</x:v>
      </x:c>
      <x:c r="E4338" s="87"/>
      <x:c r="F4338" s="87"/>
      <x:c r="G4338" s="87" t="str">
        <x:v>Обществознание</x:v>
      </x:c>
      <x:c r="H4338" s="87" t="n">
        <x:v>11</x:v>
      </x:c>
      <x:c r="I4338" s="87" t="str">
        <x:v>ТР №3</x:v>
      </x:c>
      <x:c r="J4338" s="87" t="str">
        <x:v>ОБ2510303</x:v>
      </x:c>
      <x:c r="K4338" s="87" t="n">
        <x:v>6</x:v>
      </x:c>
      <x:c r="L4338" s="87" t="str">
        <x:v>Установление соответствия</x:v>
      </x:c>
      <x:c r="M4338" s="30" t="str">
        <x:v>Установите соответствие между причинами и видами безработицы: к каждой
    позиции, данной в первом столбце, подберите соответствующую позицию
    из второго столбца.
                    ПРИЧИНА                        ВИД БЕЗРАБОТИЦЫ
    А) необходимость затрат времени на поиск   1) структурная
       новой работы                            2) циклическая
    Б) изменение возрастного состава населения 3) фрикционная
    В) падение спроса на отдельные профессии
       на рынке труда
    Г) уменьшение валового внутреннего
       продукта
    Д) общее падение платёжеспособности
       населения и организаций
    Запишите в таблицу выбранные цифры под соответствующими буквами.
               А Б В Г Д</x:v>
      </x:c>
      <x:c r="N4338" s="30" t="str">
        <x:v>31122</x:v>
      </x:c>
      <x:c r="O4338" s="30" t="str">
        <x:v>Поиск новой работы — фрикционная безработица; демографические и профессиональные сдвиги — структурная; падение ВВП и совокупного спроса — циклическая.</x:v>
      </x:c>
      <x:c r="P4338" s="30" t="str">
        <x:v>Каждая выбранная позиция или соответствие проверены по обществоведческим понятиям и условию; официальный ключ совпал.</x:v>
      </x:c>
      <x:c r="Q4338" s="30"/>
      <x:c r="R4338" s="30" t="str">
        <x:v>31122</x:v>
      </x:c>
      <x:c r="S4338" s="30"/>
      <x:c r="T4338" s="30" t="str">
        <x:v>Kriterii_OB11_10122025_.pdf, p. 1</x:v>
      </x:c>
      <x:c r="U4338" s="30" t="str">
        <x:v>Расхождений нет.</x:v>
      </x:c>
      <x:c r="V4338" s="87" t="str">
        <x:v>VERIFIED</x:v>
      </x:c>
      <x:c r="W4338" s="87" t="n">
        <x:v>4</x:v>
      </x:c>
      <x:c r="X4338" s="87"/>
      <x:c r="Y4338" s="87"/>
      <x:c r="Z4338" s="87"/>
      <x:c r="AA4338" s="87"/>
      <x:c r="AB4338" s="87"/>
      <x:c r="AC4338" s="87" t="str">
        <x:v>VIS-SOC-DEC-TASK-34-P004</x:v>
      </x:c>
      <x:c r="AD4338" s="87"/>
      <x:c r="AE4338" s="87" t="str">
        <x:v>TASK</x:v>
      </x:c>
      <x:c r="AF4338" s="87"/>
      <x:c r="AG4338" s="87" t="str">
        <x:v>RESOLVED</x:v>
      </x:c>
      <x:c r="AH4338" s="87" t="str">
        <x:v>CROP_VERIFIED</x:v>
      </x:c>
      <x:c r="AI4338" s="30"/>
      <x:c r="AJ4338" s="87" t="str">
        <x:v>clean</x:v>
      </x:c>
      <x:c r="AK4338" s="87" t="str">
        <x:v>clean-v0.05</x:v>
      </x:c>
      <x:c r="AL4338" s="87" t="str">
        <x:v>statgrad_clean_continuation_v0_05(1)(1).xlsx</x:v>
      </x:c>
      <x:c r="AM4338" s="87" t="str">
        <x:v>SOC_Dec_V3</x:v>
      </x:c>
      <x:c r="AN4338" s="87" t="n">
        <x:v>7</x:v>
      </x:c>
    </x:row>
    <x:row r="4339">
      <x:c r="A4339" s="87" t="n">
        <x:v>4338</x:v>
      </x:c>
      <x:c r="B4339" s="87" t="str">
        <x:v>DEC-SOC-03-007</x:v>
      </x:c>
      <x:c r="C4339" s="87" t="str">
        <x:v>СтатГрад</x:v>
      </x:c>
      <x:c r="D4339" s="87" t="str">
        <x:v>Декабрь 2025</x:v>
      </x:c>
      <x:c r="E4339" s="87"/>
      <x:c r="F4339" s="87"/>
      <x:c r="G4339" s="87" t="str">
        <x:v>Обществознание</x:v>
      </x:c>
      <x:c r="H4339" s="87" t="n">
        <x:v>11</x:v>
      </x:c>
      <x:c r="I4339" s="87" t="str">
        <x:v>ТР №3</x:v>
      </x:c>
      <x:c r="J4339" s="87" t="str">
        <x:v>ОБ2510303</x:v>
      </x:c>
      <x:c r="K4339" s="87" t="n">
        <x:v>7</x:v>
      </x:c>
      <x:c r="L4339" s="87" t="str">
        <x:v>Множественный выбор</x:v>
      </x:c>
      <x:c r="M4339" s="30" t="str">
        <x:v>Александр готовит доклад по теме «Налоговая система Российской
    Федерации». Какие из перечисленных налогов он должен включить в слайд
    «Прямые налоги»? Запишите цифры, под которыми они указаны.
    1) налог на доходы физических лиц
    2) налог на имущество организаций
    3) акциз на бензин
    4) налог на добавленную стоимость
    5) земельный налог</x:v>
      </x:c>
      <x:c r="N4339" s="30" t="str">
        <x:v>125</x:v>
      </x:c>
      <x:c r="O4339" s="30" t="str">
        <x:v>НДФЛ, налог на имущество организаций и земельный налог взимаются непосредственно с дохода или имущества; акциз и НДС — косвенные.</x:v>
      </x:c>
      <x:c r="P4339" s="30" t="str">
        <x:v>Каждая выбранная позиция или соответствие проверены по обществоведческим понятиям и условию; официальный ключ совпал.</x:v>
      </x:c>
      <x:c r="Q4339" s="30"/>
      <x:c r="R4339" s="30" t="str">
        <x:v>125</x:v>
      </x:c>
      <x:c r="S4339" s="30"/>
      <x:c r="T4339" s="30" t="str">
        <x:v>Kriterii_OB11_10122025_.pdf, p. 1</x:v>
      </x:c>
      <x:c r="U4339" s="30" t="str">
        <x:v>Расхождений нет.</x:v>
      </x:c>
      <x:c r="V4339" s="87" t="str">
        <x:v>VERIFIED</x:v>
      </x:c>
      <x:c r="W4339" s="87" t="n">
        <x:v>5</x:v>
      </x:c>
      <x:c r="X4339" s="87"/>
      <x:c r="Y4339" s="87"/>
      <x:c r="Z4339" s="87"/>
      <x:c r="AA4339" s="87"/>
      <x:c r="AB4339" s="87"/>
      <x:c r="AC4339" s="87" t="str">
        <x:v>VIS-SOC-DEC-TASK-34-P005</x:v>
      </x:c>
      <x:c r="AD4339" s="87"/>
      <x:c r="AE4339" s="87" t="str">
        <x:v>TASK</x:v>
      </x:c>
      <x:c r="AF4339" s="87"/>
      <x:c r="AG4339" s="87" t="str">
        <x:v>RESOLVED</x:v>
      </x:c>
      <x:c r="AH4339" s="87" t="str">
        <x:v>CROP_VERIFIED</x:v>
      </x:c>
      <x:c r="AI4339" s="30"/>
      <x:c r="AJ4339" s="87" t="str">
        <x:v>clean</x:v>
      </x:c>
      <x:c r="AK4339" s="87" t="str">
        <x:v>clean-v0.05</x:v>
      </x:c>
      <x:c r="AL4339" s="87" t="str">
        <x:v>statgrad_clean_continuation_v0_05(1)(1).xlsx</x:v>
      </x:c>
      <x:c r="AM4339" s="87" t="str">
        <x:v>SOC_Dec_V3</x:v>
      </x:c>
      <x:c r="AN4339" s="87" t="n">
        <x:v>8</x:v>
      </x:c>
    </x:row>
    <x:row r="4340">
      <x:c r="A4340" s="87" t="n">
        <x:v>4339</x:v>
      </x:c>
      <x:c r="B4340" s="87" t="str">
        <x:v>DEC-SOC-03-008</x:v>
      </x:c>
      <x:c r="C4340" s="87" t="str">
        <x:v>СтатГрад</x:v>
      </x:c>
      <x:c r="D4340" s="87" t="str">
        <x:v>Декабрь 2025</x:v>
      </x:c>
      <x:c r="E4340" s="87"/>
      <x:c r="F4340" s="87"/>
      <x:c r="G4340" s="87" t="str">
        <x:v>Обществознание</x:v>
      </x:c>
      <x:c r="H4340" s="87" t="n">
        <x:v>11</x:v>
      </x:c>
      <x:c r="I4340" s="87" t="str">
        <x:v>ТР №3</x:v>
      </x:c>
      <x:c r="J4340" s="87" t="str">
        <x:v>ОБ2510303</x:v>
      </x:c>
      <x:c r="K4340" s="87" t="n">
        <x:v>8</x:v>
      </x:c>
      <x:c r="L4340" s="87" t="str">
        <x:v>Множественный выбор</x:v>
      </x:c>
      <x:c r="M4340" s="30" t="str">
        <x:v>Выберите верные суждения о социальном статусе и запишите цифры,
    под которыми они указаны.
    1) Социальный статус определяет место человека в социальной структуре.
    2) Социальный статус связан с определённым набором прав и обязанностей.
    3) Социальный статус может быть предписанным или достигаемым.
    4) Смена социального статуса называется социальной дифференциацией.
    5) Человек может одновременно обладать лишь одним социальным
       статусом.</x:v>
      </x:c>
      <x:c r="N4340" s="30" t="str">
        <x:v>123</x:v>
      </x:c>
      <x:c r="O4340" s="30" t="str">
        <x:v>Статус определяет место, права и обязанности человека и бывает предписанным или достигаемым; его смена — мобильность, а статусов у человека несколько.</x:v>
      </x:c>
      <x:c r="P4340" s="30" t="str">
        <x:v>Каждая выбранная позиция или соответствие проверены по обществоведческим понятиям и условию; официальный ключ совпал.</x:v>
      </x:c>
      <x:c r="Q4340" s="30"/>
      <x:c r="R4340" s="30" t="str">
        <x:v>123</x:v>
      </x:c>
      <x:c r="S4340" s="30"/>
      <x:c r="T4340" s="30" t="str">
        <x:v>Kriterii_OB11_10122025_.pdf, p. 1</x:v>
      </x:c>
      <x:c r="U4340" s="30" t="str">
        <x:v>Расхождений нет.</x:v>
      </x:c>
      <x:c r="V4340" s="87" t="str">
        <x:v>VERIFIED</x:v>
      </x:c>
      <x:c r="W4340" s="87" t="n">
        <x:v>5</x:v>
      </x:c>
      <x:c r="X4340" s="87"/>
      <x:c r="Y4340" s="87"/>
      <x:c r="Z4340" s="87"/>
      <x:c r="AA4340" s="87"/>
      <x:c r="AB4340" s="87"/>
      <x:c r="AC4340" s="87" t="str">
        <x:v>VIS-SOC-DEC-TASK-34-P005</x:v>
      </x:c>
      <x:c r="AD4340" s="87"/>
      <x:c r="AE4340" s="87" t="str">
        <x:v>TASK</x:v>
      </x:c>
      <x:c r="AF4340" s="87"/>
      <x:c r="AG4340" s="87" t="str">
        <x:v>RESOLVED</x:v>
      </x:c>
      <x:c r="AH4340" s="87" t="str">
        <x:v>CROP_VERIFIED</x:v>
      </x:c>
      <x:c r="AI4340" s="30"/>
      <x:c r="AJ4340" s="87" t="str">
        <x:v>clean</x:v>
      </x:c>
      <x:c r="AK4340" s="87" t="str">
        <x:v>clean-v0.05</x:v>
      </x:c>
      <x:c r="AL4340" s="87" t="str">
        <x:v>statgrad_clean_continuation_v0_05(1)(1).xlsx</x:v>
      </x:c>
      <x:c r="AM4340" s="87" t="str">
        <x:v>SOC_Dec_V3</x:v>
      </x:c>
      <x:c r="AN4340" s="87" t="n">
        <x:v>9</x:v>
      </x:c>
    </x:row>
    <x:row r="4341">
      <x:c r="A4341" s="87" t="n">
        <x:v>4340</x:v>
      </x:c>
      <x:c r="B4341" s="87" t="str">
        <x:v>DEC-SOC-03-009</x:v>
      </x:c>
      <x:c r="C4341" s="87" t="str">
        <x:v>СтатГрад</x:v>
      </x:c>
      <x:c r="D4341" s="87" t="str">
        <x:v>Декабрь 2025</x:v>
      </x:c>
      <x:c r="E4341" s="87"/>
      <x:c r="F4341" s="87"/>
      <x:c r="G4341" s="87" t="str">
        <x:v>Обществознание</x:v>
      </x:c>
      <x:c r="H4341" s="87" t="n">
        <x:v>11</x:v>
      </x:c>
      <x:c r="I4341" s="87" t="str">
        <x:v>ТР №3</x:v>
      </x:c>
      <x:c r="J4341" s="87" t="str">
        <x:v>ОБ2510303</x:v>
      </x:c>
      <x:c r="K4341" s="87" t="n">
        <x:v>9</x:v>
      </x:c>
      <x:c r="L4341" s="87" t="str">
        <x:v>Анализ диаграммы</x:v>
      </x:c>
      <x:c r="M4341" s="30" t="str">
        <x:v>В ходе социологического опроса в стране Z мужчинам и женщинам
    предложили выразить отношение к своей профессии.
    Результаты опроса (в % от числа опрошенных) представлены в графическом
    виде.
    Найдите в приведённом списке выводы, которые можно сделать на основе
    диаграммы, и запишите цифры, под которыми они указаны.
    1) Менее половины опрошенных среди мужчин и женщин удовлетворены
       своей профессией.
    2) Среди мужчин наибольший процент опрошенных намерены сменить
       профессию через несколько лет.
    3) Доля тех, кто недоволен своей профессией, но не будет её менять, среди
       мужчин больше, чем среди женщин.
    4) Процент опрошенных мужчин, полностью удовлетворённых своей
       профессией, примерно равен проценту опрошенных женщин, намеренных
       сменить профессию через несколько лет.
    5) Среди женщин процент намеренных сменить профессию в ближайшем
       будущем больше процента тех, кто полностью удовлетворён своей
       профессией.</x:v>
      </x:c>
      <x:c r="N4341" s="30" t="str">
        <x:v>124</x:v>
      </x:c>
      <x:c r="O4341" s="30" t="str">
        <x:v>По диаграмме верны выводы 1, 2 и 4; остальные сравнения столбцов не соответствуют показанным долям.</x:v>
      </x:c>
      <x:c r="P4341" s="30" t="str">
        <x:v>Каждая выбранная позиция или соответствие проверены по обществоведческим понятиям и условию; официальный ключ совпал.</x:v>
      </x:c>
      <x:c r="Q4341" s="30"/>
      <x:c r="R4341" s="30" t="str">
        <x:v>124</x:v>
      </x:c>
      <x:c r="S4341" s="30"/>
      <x:c r="T4341" s="30" t="str">
        <x:v>Kriterii_OB11_10122025_.pdf, p. 1</x:v>
      </x:c>
      <x:c r="U4341" s="30" t="str">
        <x:v>Расхождений нет.</x:v>
      </x:c>
      <x:c r="V4341" s="87" t="str">
        <x:v>VERIFIED</x:v>
      </x:c>
      <x:c r="W4341" s="87" t="n">
        <x:v>6</x:v>
      </x:c>
      <x:c r="X4341" s="87"/>
      <x:c r="Y4341" s="87"/>
      <x:c r="Z4341" s="87"/>
      <x:c r="AA4341" s="87"/>
      <x:c r="AB4341" s="87"/>
      <x:c r="AC4341" s="87" t="str">
        <x:v>VIS-SOC-DEC-TASK-34-P006</x:v>
      </x:c>
      <x:c r="AD4341" s="87"/>
      <x:c r="AE4341" s="87" t="str">
        <x:v>TASK</x:v>
      </x:c>
      <x:c r="AF4341" s="87"/>
      <x:c r="AG4341" s="87" t="str">
        <x:v>RESOLVED</x:v>
      </x:c>
      <x:c r="AH4341" s="87" t="str">
        <x:v>CROP_VERIFIED; TASK_CROP_QA_APPROVED:USE_TIGHT</x:v>
      </x:c>
      <x:c r="AI4341" s="30"/>
      <x:c r="AJ4341" s="87" t="str">
        <x:v>clean</x:v>
      </x:c>
      <x:c r="AK4341" s="87" t="str">
        <x:v>clean-v0.05</x:v>
      </x:c>
      <x:c r="AL4341" s="87" t="str">
        <x:v>statgrad_clean_continuation_v0_05(1)(1).xlsx</x:v>
      </x:c>
      <x:c r="AM4341" s="87" t="str">
        <x:v>SOC_Dec_V3</x:v>
      </x:c>
      <x:c r="AN4341" s="87" t="n">
        <x:v>10</x:v>
      </x:c>
    </x:row>
    <x:row r="4342">
      <x:c r="A4342" s="87" t="n">
        <x:v>4341</x:v>
      </x:c>
      <x:c r="B4342" s="87" t="str">
        <x:v>DEC-SOC-03-010</x:v>
      </x:c>
      <x:c r="C4342" s="87" t="str">
        <x:v>СтатГрад</x:v>
      </x:c>
      <x:c r="D4342" s="87" t="str">
        <x:v>Декабрь 2025</x:v>
      </x:c>
      <x:c r="E4342" s="87"/>
      <x:c r="F4342" s="87"/>
      <x:c r="G4342" s="87" t="str">
        <x:v>Обществознание</x:v>
      </x:c>
      <x:c r="H4342" s="87" t="n">
        <x:v>11</x:v>
      </x:c>
      <x:c r="I4342" s="87" t="str">
        <x:v>ТР №3</x:v>
      </x:c>
      <x:c r="J4342" s="87" t="str">
        <x:v>ОБ2510303</x:v>
      </x:c>
      <x:c r="K4342" s="87" t="n">
        <x:v>10</x:v>
      </x:c>
      <x:c r="L4342" s="87" t="str">
        <x:v>Множественный выбор</x:v>
      </x:c>
      <x:c r="M4342" s="30" t="str">
        <x:v>Выберите верные суждения о политической элите и запишите цифры,
     под которыми они указаны.
     1) Существование политической элиты является одним из проявлений
        социального неравенства.
     2) К политической элите может относиться значительная часть общества.
     3) Политические лидеры всегда относятся к политической элите.
     4) Политическая элита существует только в демократических обществах.
     5) Функцией политической элиты является выражение и защита интересов
        определенных социальных групп.</x:v>
      </x:c>
      <x:c r="N4342" s="30" t="str">
        <x:v>135</x:v>
      </x:c>
      <x:c r="O4342" s="30" t="str">
        <x:v>Политическая элита отражает социальное неравенство, включает политических лидеров и выражает интересы социальных групп; она немногочисленна и существует при разных режимах.</x:v>
      </x:c>
      <x:c r="P4342" s="30" t="str">
        <x:v>Каждая выбранная позиция или соответствие проверены по обществоведческим понятиям и условию; официальный ключ совпал.</x:v>
      </x:c>
      <x:c r="Q4342" s="30"/>
      <x:c r="R4342" s="30" t="str">
        <x:v>135</x:v>
      </x:c>
      <x:c r="S4342" s="30"/>
      <x:c r="T4342" s="30" t="str">
        <x:v>Kriterii_OB11_10122025_.pdf, p. 1</x:v>
      </x:c>
      <x:c r="U4342" s="30" t="str">
        <x:v>Расхождений нет.</x:v>
      </x:c>
      <x:c r="V4342" s="87" t="str">
        <x:v>VERIFIED</x:v>
      </x:c>
      <x:c r="W4342" s="87" t="n">
        <x:v>7</x:v>
      </x:c>
      <x:c r="X4342" s="87"/>
      <x:c r="Y4342" s="87"/>
      <x:c r="Z4342" s="87"/>
      <x:c r="AA4342" s="87"/>
      <x:c r="AB4342" s="87"/>
      <x:c r="AC4342" s="87" t="str">
        <x:v>VIS-SOC-DEC-TASK-34-P007</x:v>
      </x:c>
      <x:c r="AD4342" s="87"/>
      <x:c r="AE4342" s="87" t="str">
        <x:v>TASK</x:v>
      </x:c>
      <x:c r="AF4342" s="87"/>
      <x:c r="AG4342" s="87" t="str">
        <x:v>RESOLVED</x:v>
      </x:c>
      <x:c r="AH4342" s="87" t="str">
        <x:v>CROP_VERIFIED</x:v>
      </x:c>
      <x:c r="AI4342" s="30"/>
      <x:c r="AJ4342" s="87" t="str">
        <x:v>clean</x:v>
      </x:c>
      <x:c r="AK4342" s="87" t="str">
        <x:v>clean-v0.05</x:v>
      </x:c>
      <x:c r="AL4342" s="87" t="str">
        <x:v>statgrad_clean_continuation_v0_05(1)(1).xlsx</x:v>
      </x:c>
      <x:c r="AM4342" s="87" t="str">
        <x:v>SOC_Dec_V3</x:v>
      </x:c>
      <x:c r="AN4342" s="87" t="n">
        <x:v>11</x:v>
      </x:c>
    </x:row>
    <x:row r="4343">
      <x:c r="A4343" s="87" t="n">
        <x:v>4342</x:v>
      </x:c>
      <x:c r="B4343" s="87" t="str">
        <x:v>DEC-SOC-03-011</x:v>
      </x:c>
      <x:c r="C4343" s="87" t="str">
        <x:v>СтатГрад</x:v>
      </x:c>
      <x:c r="D4343" s="87" t="str">
        <x:v>Декабрь 2025</x:v>
      </x:c>
      <x:c r="E4343" s="87"/>
      <x:c r="F4343" s="87"/>
      <x:c r="G4343" s="87" t="str">
        <x:v>Обществознание</x:v>
      </x:c>
      <x:c r="H4343" s="87" t="n">
        <x:v>11</x:v>
      </x:c>
      <x:c r="I4343" s="87" t="str">
        <x:v>ТР №3</x:v>
      </x:c>
      <x:c r="J4343" s="87" t="str">
        <x:v>ОБ2510303</x:v>
      </x:c>
      <x:c r="K4343" s="87" t="n">
        <x:v>11</x:v>
      </x:c>
      <x:c r="L4343" s="87" t="str">
        <x:v>Анализ политической ситуации</x:v>
      </x:c>
      <x:c r="M4343" s="30" t="str">
        <x:v>Партия М по результатам последних парламентских выборов получила
     15 % мест в национальном парламенте. Её депутаты активно критикуют
     деятельность действующей власти и намерены поставить в парламенте
     вопрос о недоверии правительству. Программа партии провозглашает целью
     её деятельности защиту прав трудящихся, повышение пенсий и социальных
     пособий, расширение политических прав и свобод граждан при гарантии
     права частной собственности и свободы предпринимательской деятельности.
     Устав партии требует от её членов регулярного участия в работе первичных
     партийных организаций и регулярной уплаты членских взносов.
     Найдите в приведённом списке характеристики партии М и запишите цифры,
     под которыми они указаны.
     1) кадровая
     2) оппозиционная
     3) либеральная
     4) массовая
     5) правящая
     6) социал-демократическая</x:v>
      </x:c>
      <x:c r="N4343" s="30" t="str">
        <x:v>246</x:v>
      </x:c>
      <x:c r="O4343" s="30" t="str">
        <x:v>Партия находится в оппозиции, имеет массовую организацию и социал-демократическую программу.</x:v>
      </x:c>
      <x:c r="P4343" s="30" t="str">
        <x:v>Каждая выбранная позиция или соответствие проверены по обществоведческим понятиям и условию; официальный ключ совпал.</x:v>
      </x:c>
      <x:c r="Q4343" s="30"/>
      <x:c r="R4343" s="30" t="str">
        <x:v>246</x:v>
      </x:c>
      <x:c r="S4343" s="30"/>
      <x:c r="T4343" s="30" t="str">
        <x:v>Kriterii_OB11_10122025_.pdf, p. 1</x:v>
      </x:c>
      <x:c r="U4343" s="30" t="str">
        <x:v>Расхождений нет.</x:v>
      </x:c>
      <x:c r="V4343" s="87" t="str">
        <x:v>VERIFIED</x:v>
      </x:c>
      <x:c r="W4343" s="87" t="n">
        <x:v>7</x:v>
      </x:c>
      <x:c r="X4343" s="87"/>
      <x:c r="Y4343" s="87"/>
      <x:c r="Z4343" s="87"/>
      <x:c r="AA4343" s="87"/>
      <x:c r="AB4343" s="87"/>
      <x:c r="AC4343" s="87" t="str">
        <x:v>VIS-SOC-DEC-TASK-34-P007</x:v>
      </x:c>
      <x:c r="AD4343" s="87"/>
      <x:c r="AE4343" s="87" t="str">
        <x:v>TASK</x:v>
      </x:c>
      <x:c r="AF4343" s="87"/>
      <x:c r="AG4343" s="87" t="str">
        <x:v>RESOLVED</x:v>
      </x:c>
      <x:c r="AH4343" s="87" t="str">
        <x:v>CROP_VERIFIED</x:v>
      </x:c>
      <x:c r="AI4343" s="30"/>
      <x:c r="AJ4343" s="87" t="str">
        <x:v>clean</x:v>
      </x:c>
      <x:c r="AK4343" s="87" t="str">
        <x:v>clean-v0.05</x:v>
      </x:c>
      <x:c r="AL4343" s="87" t="str">
        <x:v>statgrad_clean_continuation_v0_05(1)(1).xlsx</x:v>
      </x:c>
      <x:c r="AM4343" s="87" t="str">
        <x:v>SOC_Dec_V3</x:v>
      </x:c>
      <x:c r="AN4343" s="87" t="n">
        <x:v>12</x:v>
      </x:c>
    </x:row>
    <x:row r="4344">
      <x:c r="A4344" s="87" t="n">
        <x:v>4343</x:v>
      </x:c>
      <x:c r="B4344" s="87" t="str">
        <x:v>DEC-SOC-03-012</x:v>
      </x:c>
      <x:c r="C4344" s="87" t="str">
        <x:v>СтатГрад</x:v>
      </x:c>
      <x:c r="D4344" s="87" t="str">
        <x:v>Декабрь 2025</x:v>
      </x:c>
      <x:c r="E4344" s="87"/>
      <x:c r="F4344" s="87"/>
      <x:c r="G4344" s="87" t="str">
        <x:v>Обществознание</x:v>
      </x:c>
      <x:c r="H4344" s="87" t="n">
        <x:v>11</x:v>
      </x:c>
      <x:c r="I4344" s="87" t="str">
        <x:v>ТР №3</x:v>
      </x:c>
      <x:c r="J4344" s="87" t="str">
        <x:v>ОБ2510303</x:v>
      </x:c>
      <x:c r="K4344" s="87" t="n">
        <x:v>12</x:v>
      </x:c>
      <x:c r="L4344" s="87" t="str">
        <x:v>Конституционные характеристики</x:v>
      </x:c>
      <x:c r="M4344" s="30" t="str">
        <x:v>Что из перечисленного относится к характеристикам Российской Федерации
     как демократического государства? Запишите цифры, под которыми
     они указаны.
     1) проведение регулярных свободных и конкурентных выборов в органы
        государственной власти
     2) разделение государственной власти на законодательную, исполнительную
        и судебную ветви
     3) федеративная форма государственного устройства
     4) гарантия гражданских и политических прав и свобод
     5) отделение религиозных объединений от государства</x:v>
      </x:c>
      <x:c r="N4344" s="30" t="str">
        <x:v>124</x:v>
      </x:c>
      <x:c r="O4344" s="30" t="str">
        <x:v>Регулярные конкурентные выборы, разделение властей и гарантии политических прав характеризуют РФ как демократическое государство.</x:v>
      </x:c>
      <x:c r="P4344" s="30" t="str">
        <x:v>Каждая выбранная позиция или соответствие проверены по обществоведческим понятиям и условию; официальный ключ совпал.</x:v>
      </x:c>
      <x:c r="Q4344" s="30"/>
      <x:c r="R4344" s="30" t="str">
        <x:v>124</x:v>
      </x:c>
      <x:c r="S4344" s="30"/>
      <x:c r="T4344" s="30" t="str">
        <x:v>Kriterii_OB11_10122025_.pdf, p. 1</x:v>
      </x:c>
      <x:c r="U4344" s="30" t="str">
        <x:v>Расхождений нет.</x:v>
      </x:c>
      <x:c r="V4344" s="87" t="str">
        <x:v>VERIFIED</x:v>
      </x:c>
      <x:c r="W4344" s="87" t="n">
        <x:v>8</x:v>
      </x:c>
      <x:c r="X4344" s="87"/>
      <x:c r="Y4344" s="87"/>
      <x:c r="Z4344" s="87"/>
      <x:c r="AA4344" s="87"/>
      <x:c r="AB4344" s="87"/>
      <x:c r="AC4344" s="87" t="str">
        <x:v>VIS-SOC-DEC-TASK-34-P008</x:v>
      </x:c>
      <x:c r="AD4344" s="87"/>
      <x:c r="AE4344" s="87" t="str">
        <x:v>TASK</x:v>
      </x:c>
      <x:c r="AF4344" s="87"/>
      <x:c r="AG4344" s="87" t="str">
        <x:v>RESOLVED</x:v>
      </x:c>
      <x:c r="AH4344" s="87" t="str">
        <x:v>CROP_VERIFIED</x:v>
      </x:c>
      <x:c r="AI4344" s="30"/>
      <x:c r="AJ4344" s="87" t="str">
        <x:v>clean</x:v>
      </x:c>
      <x:c r="AK4344" s="87" t="str">
        <x:v>clean-v0.05</x:v>
      </x:c>
      <x:c r="AL4344" s="87" t="str">
        <x:v>statgrad_clean_continuation_v0_05(1)(1).xlsx</x:v>
      </x:c>
      <x:c r="AM4344" s="87" t="str">
        <x:v>SOC_Dec_V3</x:v>
      </x:c>
      <x:c r="AN4344" s="87" t="n">
        <x:v>13</x:v>
      </x:c>
    </x:row>
    <x:row r="4345">
      <x:c r="A4345" s="87" t="n">
        <x:v>4344</x:v>
      </x:c>
      <x:c r="B4345" s="87" t="str">
        <x:v>DEC-SOC-03-013</x:v>
      </x:c>
      <x:c r="C4345" s="87" t="str">
        <x:v>СтатГрад</x:v>
      </x:c>
      <x:c r="D4345" s="87" t="str">
        <x:v>Декабрь 2025</x:v>
      </x:c>
      <x:c r="E4345" s="87"/>
      <x:c r="F4345" s="87"/>
      <x:c r="G4345" s="87" t="str">
        <x:v>Обществознание</x:v>
      </x:c>
      <x:c r="H4345" s="87" t="n">
        <x:v>11</x:v>
      </x:c>
      <x:c r="I4345" s="87" t="str">
        <x:v>ТР №3</x:v>
      </x:c>
      <x:c r="J4345" s="87" t="str">
        <x:v>ОБ2510303</x:v>
      </x:c>
      <x:c r="K4345" s="87" t="n">
        <x:v>13</x:v>
      </x:c>
      <x:c r="L4345" s="87" t="str">
        <x:v>Установление соответствия</x:v>
      </x:c>
      <x:c r="M4345" s="30" t="str">
        <x:v>Установите    соответствие  между     полномочиями    и субъектами
     государственной власти: к каждой позиции, данной в первом столбце,
     подберите соответствующую позицию из второго столбца.
                     ПОЛНОМОЧИЕ                                     СУБЪЕКТ
                                                              ГОСУДАРСТВЕННОЙ
                                                                    ВЛАСТИ
     А) утверждение кандидатур федеральных                 1) Государственная Дума
        министров                                          2) Совет Федерации
     Б) объявление амнистии
     В) утверждение изменения границ субъектов
        Российской Федерации
     Г) назначение Председателя Верховного
        Суда
     Д) решение вопроса о доверии
        Правительству
     Запишите в таблицу выбранные цифры под соответствующими буквами.
                А Б В Г Д</x:v>
      </x:c>
      <x:c r="N4345" s="30" t="str">
        <x:v>11221</x:v>
      </x:c>
      <x:c r="O4345" s="30" t="str">
        <x:v>Федеральных министров и доверие Правительству рассматривает Государственная Дума; амнистия — её полномочие; изменение границ субъектов и назначение Председателя Верховного Суда — полномочия Совета Федерации.</x:v>
      </x:c>
      <x:c r="P4345" s="30" t="str">
        <x:v>Каждая выбранная позиция или соответствие проверены по обществоведческим понятиям и условию; официальный ключ совпал.</x:v>
      </x:c>
      <x:c r="Q4345" s="30"/>
      <x:c r="R4345" s="30" t="str">
        <x:v>11221</x:v>
      </x:c>
      <x:c r="S4345" s="30"/>
      <x:c r="T4345" s="30" t="str">
        <x:v>Kriterii_OB11_10122025_.pdf, p. 1</x:v>
      </x:c>
      <x:c r="U4345" s="30" t="str">
        <x:v>Расхождений нет.</x:v>
      </x:c>
      <x:c r="V4345" s="87" t="str">
        <x:v>VERIFIED</x:v>
      </x:c>
      <x:c r="W4345" s="87" t="n">
        <x:v>8</x:v>
      </x:c>
      <x:c r="X4345" s="87"/>
      <x:c r="Y4345" s="87"/>
      <x:c r="Z4345" s="87"/>
      <x:c r="AA4345" s="87"/>
      <x:c r="AB4345" s="87"/>
      <x:c r="AC4345" s="87" t="str">
        <x:v>VIS-SOC-DEC-TASK-34-P008</x:v>
      </x:c>
      <x:c r="AD4345" s="87"/>
      <x:c r="AE4345" s="87" t="str">
        <x:v>TASK</x:v>
      </x:c>
      <x:c r="AF4345" s="87"/>
      <x:c r="AG4345" s="87" t="str">
        <x:v>RESOLVED</x:v>
      </x:c>
      <x:c r="AH4345" s="87" t="str">
        <x:v>CROP_VERIFIED</x:v>
      </x:c>
      <x:c r="AI4345" s="30"/>
      <x:c r="AJ4345" s="87" t="str">
        <x:v>clean</x:v>
      </x:c>
      <x:c r="AK4345" s="87" t="str">
        <x:v>clean-v0.05</x:v>
      </x:c>
      <x:c r="AL4345" s="87" t="str">
        <x:v>statgrad_clean_continuation_v0_05(1)(1).xlsx</x:v>
      </x:c>
      <x:c r="AM4345" s="87" t="str">
        <x:v>SOC_Dec_V3</x:v>
      </x:c>
      <x:c r="AN4345" s="87" t="n">
        <x:v>14</x:v>
      </x:c>
    </x:row>
    <x:row r="4346">
      <x:c r="A4346" s="87" t="n">
        <x:v>4345</x:v>
      </x:c>
      <x:c r="B4346" s="87" t="str">
        <x:v>DEC-SOC-03-014</x:v>
      </x:c>
      <x:c r="C4346" s="87" t="str">
        <x:v>СтатГрад</x:v>
      </x:c>
      <x:c r="D4346" s="87" t="str">
        <x:v>Декабрь 2025</x:v>
      </x:c>
      <x:c r="E4346" s="87"/>
      <x:c r="F4346" s="87"/>
      <x:c r="G4346" s="87" t="str">
        <x:v>Обществознание</x:v>
      </x:c>
      <x:c r="H4346" s="87" t="n">
        <x:v>11</x:v>
      </x:c>
      <x:c r="I4346" s="87" t="str">
        <x:v>ТР №3</x:v>
      </x:c>
      <x:c r="J4346" s="87" t="str">
        <x:v>ОБ2510303</x:v>
      </x:c>
      <x:c r="K4346" s="87" t="n">
        <x:v>14</x:v>
      </x:c>
      <x:c r="L4346" s="87" t="str">
        <x:v>Право: множественный выбор</x:v>
      </x:c>
      <x:c r="M4346" s="30" t="str">
        <x:v>Выберите верные суждения о праве наследования в Российской Федерации.
     1) Право наследования закреплено в Конституции Российской Федерации.
     2) Наследование по закону осуществляется если всё наследство не завещано
        или завещание признано недействительным.
     3) Право на наследование по закону имеют только супруги и близкие
        родственники наследодателя.
     4) Наследование по завещанию осуществляется в порядке очерёдности
        наследников.
     5) Наследование является правом, но не обязанностью наследников.</x:v>
      </x:c>
      <x:c r="N4346" s="30" t="str">
        <x:v>125</x:v>
      </x:c>
      <x:c r="O4346" s="30" t="str">
        <x:v>Наследование гарантировано Конституцией, по закону применяется при отсутствии действительного завещания, а принятие наследства является правом, не обязанностью.</x:v>
      </x:c>
      <x:c r="P4346" s="30" t="str">
        <x:v>Каждая выбранная позиция или соответствие проверены по обществоведческим понятиям и условию; официальный ключ совпал.</x:v>
      </x:c>
      <x:c r="Q4346" s="30"/>
      <x:c r="R4346" s="30" t="str">
        <x:v>125</x:v>
      </x:c>
      <x:c r="S4346" s="30"/>
      <x:c r="T4346" s="30" t="str">
        <x:v>Kriterii_OB11_10122025_.pdf, p. 1</x:v>
      </x:c>
      <x:c r="U4346" s="30" t="str">
        <x:v>Расхождений нет.</x:v>
      </x:c>
      <x:c r="V4346" s="87" t="str">
        <x:v>VERIFIED</x:v>
      </x:c>
      <x:c r="W4346" s="87" t="n">
        <x:v>9</x:v>
      </x:c>
      <x:c r="X4346" s="87"/>
      <x:c r="Y4346" s="87"/>
      <x:c r="Z4346" s="87"/>
      <x:c r="AA4346" s="87"/>
      <x:c r="AB4346" s="87"/>
      <x:c r="AC4346" s="87" t="str">
        <x:v>VIS-SOC-DEC-TASK-34-P009</x:v>
      </x:c>
      <x:c r="AD4346" s="87"/>
      <x:c r="AE4346" s="87" t="str">
        <x:v>TASK</x:v>
      </x:c>
      <x:c r="AF4346" s="87"/>
      <x:c r="AG4346" s="87" t="str">
        <x:v>RESOLVED</x:v>
      </x:c>
      <x:c r="AH4346" s="87" t="str">
        <x:v>CROP_VERIFIED</x:v>
      </x:c>
      <x:c r="AI4346" s="30"/>
      <x:c r="AJ4346" s="87" t="str">
        <x:v>clean</x:v>
      </x:c>
      <x:c r="AK4346" s="87" t="str">
        <x:v>clean-v0.05</x:v>
      </x:c>
      <x:c r="AL4346" s="87" t="str">
        <x:v>statgrad_clean_continuation_v0_05(1)(1).xlsx</x:v>
      </x:c>
      <x:c r="AM4346" s="87" t="str">
        <x:v>SOC_Dec_V3</x:v>
      </x:c>
      <x:c r="AN4346" s="87" t="n">
        <x:v>15</x:v>
      </x:c>
    </x:row>
    <x:row r="4347">
      <x:c r="A4347" s="87" t="n">
        <x:v>4346</x:v>
      </x:c>
      <x:c r="B4347" s="87" t="str">
        <x:v>DEC-SOC-03-015</x:v>
      </x:c>
      <x:c r="C4347" s="87" t="str">
        <x:v>СтатГрад</x:v>
      </x:c>
      <x:c r="D4347" s="87" t="str">
        <x:v>Декабрь 2025</x:v>
      </x:c>
      <x:c r="E4347" s="87"/>
      <x:c r="F4347" s="87"/>
      <x:c r="G4347" s="87" t="str">
        <x:v>Обществознание</x:v>
      </x:c>
      <x:c r="H4347" s="87" t="n">
        <x:v>11</x:v>
      </x:c>
      <x:c r="I4347" s="87" t="str">
        <x:v>ТР №3</x:v>
      </x:c>
      <x:c r="J4347" s="87" t="str">
        <x:v>ОБ2510303</x:v>
      </x:c>
      <x:c r="K4347" s="87" t="n">
        <x:v>15</x:v>
      </x:c>
      <x:c r="L4347" s="87" t="str">
        <x:v>Установление соответствия</x:v>
      </x:c>
      <x:c r="M4347" s="30" t="str">
        <x:v>Установите соответствие между признаками юридических лиц и их
     организационно-правовыми формами: к каждой позиции, данной в первом
     столбце, подберите соответствующую позицию из второго столбца.
                     ПРИЗНАК                                  ОРГАНИЗАЦИОННО-
              ЮРИДИЧЕСКОГО ЛИЦА                                ПРАВОВАЯ ФОРМА
     А) Учредители отвечают по долгам                      1) производственный
        организации личным имуществом.                        кооператив
     Б) Прибыль распределяется в соответствии              2) унитарное предприятие
        с трудовым участием в деятельности                 3) полное товарищество
        организации.
     В) Имущество организации не может быть
        разделено на доли.
     Г) Все учредители могут заниматься
        коммерческой деятельностью от имени
        организации.
     Д) Организация не обладает правом
        собственности на своё имущество.
     Запишите в таблицу выбранные цифры под соответствующими буквами.
                А Б В Г Д</x:v>
      </x:c>
      <x:c r="N4347" s="30" t="str">
        <x:v>31232</x:v>
      </x:c>
      <x:c r="O4347" s="30" t="str">
        <x:v>Полное товарищество: личная ответственность и деятельность от имени организации; кооператив: распределение прибыли по трудовому участию; унитарное предприятие: неделимое имущество и отсутствие права собственности на него.</x:v>
      </x:c>
      <x:c r="P4347" s="30" t="str">
        <x:v>Каждая выбранная позиция или соответствие проверены по обществоведческим понятиям и условию; официальный ключ совпал.</x:v>
      </x:c>
      <x:c r="Q4347" s="30"/>
      <x:c r="R4347" s="30" t="str">
        <x:v>31232</x:v>
      </x:c>
      <x:c r="S4347" s="30"/>
      <x:c r="T4347" s="30" t="str">
        <x:v>Kriterii_OB11_10122025_.pdf, p. 1</x:v>
      </x:c>
      <x:c r="U4347" s="30" t="str">
        <x:v>Расхождений нет.</x:v>
      </x:c>
      <x:c r="V4347" s="87" t="str">
        <x:v>VERIFIED</x:v>
      </x:c>
      <x:c r="W4347" s="87" t="n">
        <x:v>9</x:v>
      </x:c>
      <x:c r="X4347" s="87"/>
      <x:c r="Y4347" s="87"/>
      <x:c r="Z4347" s="87"/>
      <x:c r="AA4347" s="87"/>
      <x:c r="AB4347" s="87"/>
      <x:c r="AC4347" s="87" t="str">
        <x:v>VIS-SOC-DEC-TASK-34-P009</x:v>
      </x:c>
      <x:c r="AD4347" s="87"/>
      <x:c r="AE4347" s="87" t="str">
        <x:v>TASK</x:v>
      </x:c>
      <x:c r="AF4347" s="87"/>
      <x:c r="AG4347" s="87" t="str">
        <x:v>RESOLVED</x:v>
      </x:c>
      <x:c r="AH4347" s="87" t="str">
        <x:v>CROP_VERIFIED</x:v>
      </x:c>
      <x:c r="AI4347" s="30"/>
      <x:c r="AJ4347" s="87" t="str">
        <x:v>clean</x:v>
      </x:c>
      <x:c r="AK4347" s="87" t="str">
        <x:v>clean-v0.05</x:v>
      </x:c>
      <x:c r="AL4347" s="87" t="str">
        <x:v>statgrad_clean_continuation_v0_05(1)(1).xlsx</x:v>
      </x:c>
      <x:c r="AM4347" s="87" t="str">
        <x:v>SOC_Dec_V3</x:v>
      </x:c>
      <x:c r="AN4347" s="87" t="n">
        <x:v>16</x:v>
      </x:c>
    </x:row>
    <x:row r="4348">
      <x:c r="A4348" s="87" t="n">
        <x:v>4347</x:v>
      </x:c>
      <x:c r="B4348" s="87" t="str">
        <x:v>DEC-SOC-03-016</x:v>
      </x:c>
      <x:c r="C4348" s="87" t="str">
        <x:v>СтатГрад</x:v>
      </x:c>
      <x:c r="D4348" s="87" t="str">
        <x:v>Декабрь 2025</x:v>
      </x:c>
      <x:c r="E4348" s="87"/>
      <x:c r="F4348" s="87"/>
      <x:c r="G4348" s="87" t="str">
        <x:v>Обществознание</x:v>
      </x:c>
      <x:c r="H4348" s="87" t="n">
        <x:v>11</x:v>
      </x:c>
      <x:c r="I4348" s="87" t="str">
        <x:v>ТР №3</x:v>
      </x:c>
      <x:c r="J4348" s="87" t="str">
        <x:v>ОБ2510303</x:v>
      </x:c>
      <x:c r="K4348" s="87" t="n">
        <x:v>16</x:v>
      </x:c>
      <x:c r="L4348" s="87" t="str">
        <x:v>Профессиональные полномочия</x:v>
      </x:c>
      <x:c r="M4348" s="30" t="str">
        <x:v>Анна Викторовна является нотариусом. Найдите в приведённом списке
     действия, которые могут входить в круг её профессиональных полномочий,
     и запишите цифры, под которыми они указаны.
     1) заверение подписей на документах
     2) представление интересов клиентов в суде
     3) оформление доверенностей
     4) выдача свидетельства о праве на наследство
     5) взыскание задолженности по алиментам</x:v>
      </x:c>
      <x:c r="N4348" s="30" t="str">
        <x:v>134</x:v>
      </x:c>
      <x:c r="O4348" s="30" t="str">
        <x:v>Нотариус удостоверяет подписи и доверенности и выдаёт свидетельства о праве на наследство; судебное представительство и взыскание алиментов к этим полномочиям не относятся.</x:v>
      </x:c>
      <x:c r="P4348" s="30" t="str">
        <x:v>Каждая выбранная позиция или соответствие проверены по обществоведческим понятиям и условию; официальный ключ совпал.</x:v>
      </x:c>
      <x:c r="Q4348" s="30"/>
      <x:c r="R4348" s="30" t="str">
        <x:v>134</x:v>
      </x:c>
      <x:c r="S4348" s="30"/>
      <x:c r="T4348" s="30" t="str">
        <x:v>Kriterii_OB11_10122025_.pdf, p. 1</x:v>
      </x:c>
      <x:c r="U4348" s="30" t="str">
        <x:v>Расхождений нет.</x:v>
      </x:c>
      <x:c r="V4348" s="87" t="str">
        <x:v>VERIFIED</x:v>
      </x:c>
      <x:c r="W4348" s="87" t="n">
        <x:v>10</x:v>
      </x:c>
      <x:c r="X4348" s="87"/>
      <x:c r="Y4348" s="87"/>
      <x:c r="Z4348" s="87"/>
      <x:c r="AA4348" s="87"/>
      <x:c r="AB4348" s="87"/>
      <x:c r="AC4348" s="87" t="str">
        <x:v>VIS-SOC-DEC-TASK-34-P010</x:v>
      </x:c>
      <x:c r="AD4348" s="87"/>
      <x:c r="AE4348" s="87" t="str">
        <x:v>TASK</x:v>
      </x:c>
      <x:c r="AF4348" s="87"/>
      <x:c r="AG4348" s="87" t="str">
        <x:v>RESOLVED</x:v>
      </x:c>
      <x:c r="AH4348" s="87" t="str">
        <x:v>CROP_VERIFIED</x:v>
      </x:c>
      <x:c r="AI4348" s="30"/>
      <x:c r="AJ4348" s="87" t="str">
        <x:v>clean</x:v>
      </x:c>
      <x:c r="AK4348" s="87" t="str">
        <x:v>clean-v0.05</x:v>
      </x:c>
      <x:c r="AL4348" s="87" t="str">
        <x:v>statgrad_clean_continuation_v0_05(1)(1).xlsx</x:v>
      </x:c>
      <x:c r="AM4348" s="87" t="str">
        <x:v>SOC_Dec_V3</x:v>
      </x:c>
      <x:c r="AN4348" s="87" t="n">
        <x:v>17</x:v>
      </x:c>
    </x:row>
    <x:row r="4349">
      <x:c r="A4349" s="87" t="n">
        <x:v>4348</x:v>
      </x:c>
      <x:c r="B4349" s="87" t="str">
        <x:v>DEC-SOC-03-017</x:v>
      </x:c>
      <x:c r="C4349" s="87" t="str">
        <x:v>СтатГрад</x:v>
      </x:c>
      <x:c r="D4349" s="87" t="str">
        <x:v>Декабрь 2025</x:v>
      </x:c>
      <x:c r="E4349" s="87"/>
      <x:c r="F4349" s="87"/>
      <x:c r="G4349" s="87" t="str">
        <x:v>Обществознание</x:v>
      </x:c>
      <x:c r="H4349" s="87" t="n">
        <x:v>11</x:v>
      </x:c>
      <x:c r="I4349" s="87" t="str">
        <x:v>ТР №3</x:v>
      </x:c>
      <x:c r="J4349" s="87" t="str">
        <x:v>ОБ2510303</x:v>
      </x:c>
      <x:c r="K4349" s="87" t="n">
        <x:v>17</x:v>
      </x:c>
      <x:c r="L4349" s="87" t="str">
        <x:v>Ответы по тексту</x:v>
      </x:c>
      <x:c r="M4349" s="30" t="str">
        <x:v>В чём автор видит особенность свободной конкуренции? Когда, по мнению
     автора, конкуренция приобретает массовый характер и захватывает всех
     участников рынка? Какие три «фронта» массовой конкуренции обозначены
     автором?</x:v>
      </x:c>
      <x:c r="N4349" s="30" t="str">
        <x:v>1) Свободная конкуренция ведётся мелкими товаровладельцами поодиночке. 2) Массовой она становится при значительном отклонении рыночной цены, спроса и предложения от равновесия. 3) Три фронта: между продавцами; между покупателями; между продавцами и покупателями.</x:v>
      </x:c>
      <x:c r="O4349" s="30" t="str">
        <x:v>Модель включает все обязательные элементы официальных критериев и не содержит лишних позиций, способных снизить балл.</x:v>
      </x:c>
      <x:c r="P4349" s="30" t="str">
        <x:v>Сверено с официальным содержанием и критериями задания 17; проверены полнота, причинно-следственные связи и требуемое число элементов.</x:v>
      </x:c>
      <x:c r="Q4349" s="30"/>
      <x:c r="R4349" s="30" t="str">
        <x:v>Развёрнутый ответ по официальным критериям</x:v>
      </x:c>
      <x:c r="S4349" s="30"/>
      <x:c r="T4349" s="30" t="str">
        <x:v>Kriterii_OB11_10122025_.pdf, pp. 3–4</x:v>
      </x:c>
      <x:c r="U4349" s="30" t="str">
        <x:v>Расхождений нет.</x:v>
      </x:c>
      <x:c r="V4349" s="87" t="str">
        <x:v>VERIFIED</x:v>
      </x:c>
      <x:c r="W4349" s="87" t="n">
        <x:v>12</x:v>
      </x:c>
      <x:c r="X4349" s="87"/>
      <x:c r="Y4349" s="87"/>
      <x:c r="Z4349" s="87"/>
      <x:c r="AA4349" s="87"/>
      <x:c r="AB4349" s="87"/>
      <x:c r="AC4349" s="87" t="str">
        <x:v>VIS-SOC-DEC-TASK-34-P012</x:v>
      </x:c>
      <x:c r="AD4349" s="87"/>
      <x:c r="AE4349" s="87" t="str">
        <x:v>TASK</x:v>
      </x:c>
      <x:c r="AF4349" s="87"/>
      <x:c r="AG4349" s="87" t="str">
        <x:v>RESOLVED</x:v>
      </x:c>
      <x:c r="AH4349" s="87" t="str">
        <x:v>CROP_VERIFIED</x:v>
      </x:c>
      <x:c r="AI4349" s="30"/>
      <x:c r="AJ4349" s="87" t="str">
        <x:v>clean</x:v>
      </x:c>
      <x:c r="AK4349" s="87" t="str">
        <x:v>clean-v0.05</x:v>
      </x:c>
      <x:c r="AL4349" s="87" t="str">
        <x:v>statgrad_clean_continuation_v0_05(1)(1).xlsx</x:v>
      </x:c>
      <x:c r="AM4349" s="87" t="str">
        <x:v>SOC_Dec_V3</x:v>
      </x:c>
      <x:c r="AN4349" s="87" t="n">
        <x:v>18</x:v>
      </x:c>
    </x:row>
    <x:row r="4350">
      <x:c r="A4350" s="87" t="n">
        <x:v>4349</x:v>
      </x:c>
      <x:c r="B4350" s="87" t="str">
        <x:v>DEC-SOC-03-018</x:v>
      </x:c>
      <x:c r="C4350" s="87" t="str">
        <x:v>СтатГрад</x:v>
      </x:c>
      <x:c r="D4350" s="87" t="str">
        <x:v>Декабрь 2025</x:v>
      </x:c>
      <x:c r="E4350" s="87"/>
      <x:c r="F4350" s="87"/>
      <x:c r="G4350" s="87" t="str">
        <x:v>Обществознание</x:v>
      </x:c>
      <x:c r="H4350" s="87" t="n">
        <x:v>11</x:v>
      </x:c>
      <x:c r="I4350" s="87" t="str">
        <x:v>ТР №3</x:v>
      </x:c>
      <x:c r="J4350" s="87" t="str">
        <x:v>ОБ2510303</x:v>
      </x:c>
      <x:c r="K4350" s="87" t="n">
        <x:v>18</x:v>
      </x:c>
      <x:c r="L4350" s="87" t="str">
        <x:v>Понятия и объяснение связи</x:v>
      </x:c>
      <x:c r="M4350" s="30" t="str">
        <x:v>В тексте упомянуты ключевые понятия социально-гуманитарных наук.
     Используя обществоведческие знания,
     – укажите не менее трёх основных признаков прогресса.
     – объясните связь между предпринимательской деятельностью и прогрессом.
     (Объяснение может быть дано в одном или нескольких распространённых
     предложениях.)</x:v>
      </x:c>
      <x:c r="N4350" s="30" t="str">
        <x:v>Признаки прогресса: движение от менее совершенного к более совершенному; развитие науки и техники; усложнение общественных структур. Предприниматели, рискуя ресурсами, внедряют технологии, совершенствуют организацию труда и способы использования ресурсов, поэтому ускоряют научно-технический и экономический прогресс.</x:v>
      </x:c>
      <x:c r="O4350" s="30" t="str">
        <x:v>Модель включает все обязательные элементы официальных критериев и не содержит лишних позиций, способных снизить балл.</x:v>
      </x:c>
      <x:c r="P4350" s="30" t="str">
        <x:v>Сверено с официальным содержанием и критериями задания 18; проверены полнота, причинно-следственные связи и требуемое число элементов.</x:v>
      </x:c>
      <x:c r="Q4350" s="30"/>
      <x:c r="R4350" s="30" t="str">
        <x:v>Развёрнутый ответ по официальным критериям</x:v>
      </x:c>
      <x:c r="S4350" s="30"/>
      <x:c r="T4350" s="30" t="str">
        <x:v>Kriterii_OB11_10122025_.pdf, pp. 4–5</x:v>
      </x:c>
      <x:c r="U4350" s="30" t="str">
        <x:v>Расхождений нет.</x:v>
      </x:c>
      <x:c r="V4350" s="87" t="str">
        <x:v>VERIFIED</x:v>
      </x:c>
      <x:c r="W4350" s="87" t="n">
        <x:v>12</x:v>
      </x:c>
      <x:c r="X4350" s="87"/>
      <x:c r="Y4350" s="87"/>
      <x:c r="Z4350" s="87"/>
      <x:c r="AA4350" s="87"/>
      <x:c r="AB4350" s="87"/>
      <x:c r="AC4350" s="87" t="str">
        <x:v>VIS-SOC-DEC-TASK-34-P012</x:v>
      </x:c>
      <x:c r="AD4350" s="87"/>
      <x:c r="AE4350" s="87" t="str">
        <x:v>TASK</x:v>
      </x:c>
      <x:c r="AF4350" s="87"/>
      <x:c r="AG4350" s="87" t="str">
        <x:v>RESOLVED</x:v>
      </x:c>
      <x:c r="AH4350" s="87" t="str">
        <x:v>CROP_VERIFIED</x:v>
      </x:c>
      <x:c r="AI4350" s="30"/>
      <x:c r="AJ4350" s="87" t="str">
        <x:v>clean</x:v>
      </x:c>
      <x:c r="AK4350" s="87" t="str">
        <x:v>clean-v0.05</x:v>
      </x:c>
      <x:c r="AL4350" s="87" t="str">
        <x:v>statgrad_clean_continuation_v0_05(1)(1).xlsx</x:v>
      </x:c>
      <x:c r="AM4350" s="87" t="str">
        <x:v>SOC_Dec_V3</x:v>
      </x:c>
      <x:c r="AN4350" s="87" t="n">
        <x:v>19</x:v>
      </x:c>
    </x:row>
    <x:row r="4351">
      <x:c r="A4351" s="87" t="n">
        <x:v>4350</x:v>
      </x:c>
      <x:c r="B4351" s="87" t="str">
        <x:v>DEC-SOC-03-019</x:v>
      </x:c>
      <x:c r="C4351" s="87" t="str">
        <x:v>СтатГрад</x:v>
      </x:c>
      <x:c r="D4351" s="87" t="str">
        <x:v>Декабрь 2025</x:v>
      </x:c>
      <x:c r="E4351" s="87"/>
      <x:c r="F4351" s="87"/>
      <x:c r="G4351" s="87" t="str">
        <x:v>Обществознание</x:v>
      </x:c>
      <x:c r="H4351" s="87" t="n">
        <x:v>11</x:v>
      </x:c>
      <x:c r="I4351" s="87" t="str">
        <x:v>ТР №3</x:v>
      </x:c>
      <x:c r="J4351" s="87" t="str">
        <x:v>ОБ2510303</x:v>
      </x:c>
      <x:c r="K4351" s="87" t="n">
        <x:v>19</x:v>
      </x:c>
      <x:c r="L4351" s="87" t="str">
        <x:v>Развёрнутые примеры</x:v>
      </x:c>
      <x:c r="M4351" s="30" t="str">
        <x:v>Используя обществоведческие знания и факты общественной жизни,
     проиллюстрируйте конкретными примерами три любых типа конкурентных
     рынков. (Каждый пример должен быть сформулирован развёрнуто.
     Примеры не должны дублировать друг друга по содержанию.)</x:v>
      </x:c>
      <x:c r="N4351" s="30" t="str">
        <x:v>1) Совершенная конкуренция: на городском сельскохозяйственном рынке десятки независимых продавцов предлагают сходную продукцию и свободно входят на рынок. 2) Олигополия: услуги мобильной связи предоставляют несколько крупных компаний, решения каждой влияют на остальных. 3) Монополия: железнодорожные перевозки в регионе осуществляет единственная компания, самостоятельно устанавливающая тарифы.</x:v>
      </x:c>
      <x:c r="O4351" s="30" t="str">
        <x:v>Модель включает все обязательные элементы официальных критериев и не содержит лишних позиций, способных снизить балл.</x:v>
      </x:c>
      <x:c r="P4351" s="30" t="str">
        <x:v>Сверено с официальным содержанием и критериями задания 19; проверены полнота, причинно-следственные связи и требуемое число элементов.</x:v>
      </x:c>
      <x:c r="Q4351" s="30"/>
      <x:c r="R4351" s="30" t="str">
        <x:v>Развёрнутый ответ по официальным критериям</x:v>
      </x:c>
      <x:c r="S4351" s="30"/>
      <x:c r="T4351" s="30" t="str">
        <x:v>Kriterii_OB11_10122025_.pdf, pp. 5–6</x:v>
      </x:c>
      <x:c r="U4351" s="30" t="str">
        <x:v>Расхождений нет.</x:v>
      </x:c>
      <x:c r="V4351" s="87" t="str">
        <x:v>VERIFIED</x:v>
      </x:c>
      <x:c r="W4351" s="87" t="n">
        <x:v>12</x:v>
      </x:c>
      <x:c r="X4351" s="87"/>
      <x:c r="Y4351" s="87"/>
      <x:c r="Z4351" s="87"/>
      <x:c r="AA4351" s="87"/>
      <x:c r="AB4351" s="87"/>
      <x:c r="AC4351" s="87" t="str">
        <x:v>VIS-SOC-DEC-TASK-34-P012</x:v>
      </x:c>
      <x:c r="AD4351" s="87"/>
      <x:c r="AE4351" s="87" t="str">
        <x:v>TASK</x:v>
      </x:c>
      <x:c r="AF4351" s="87"/>
      <x:c r="AG4351" s="87" t="str">
        <x:v>RESOLVED</x:v>
      </x:c>
      <x:c r="AH4351" s="87" t="str">
        <x:v>CROP_VERIFIED</x:v>
      </x:c>
      <x:c r="AI4351" s="30"/>
      <x:c r="AJ4351" s="87" t="str">
        <x:v>clean</x:v>
      </x:c>
      <x:c r="AK4351" s="87" t="str">
        <x:v>clean-v0.05</x:v>
      </x:c>
      <x:c r="AL4351" s="87" t="str">
        <x:v>statgrad_clean_continuation_v0_05(1)(1).xlsx</x:v>
      </x:c>
      <x:c r="AM4351" s="87" t="str">
        <x:v>SOC_Dec_V3</x:v>
      </x:c>
      <x:c r="AN4351" s="87" t="n">
        <x:v>20</x:v>
      </x:c>
    </x:row>
    <x:row r="4352">
      <x:c r="A4352" s="87" t="n">
        <x:v>4351</x:v>
      </x:c>
      <x:c r="B4352" s="87" t="str">
        <x:v>DEC-SOC-03-020</x:v>
      </x:c>
      <x:c r="C4352" s="87" t="str">
        <x:v>СтатГрад</x:v>
      </x:c>
      <x:c r="D4352" s="87" t="str">
        <x:v>Декабрь 2025</x:v>
      </x:c>
      <x:c r="E4352" s="87"/>
      <x:c r="F4352" s="87"/>
      <x:c r="G4352" s="87" t="str">
        <x:v>Обществознание</x:v>
      </x:c>
      <x:c r="H4352" s="87" t="n">
        <x:v>11</x:v>
      </x:c>
      <x:c r="I4352" s="87" t="str">
        <x:v>ТР №3</x:v>
      </x:c>
      <x:c r="J4352" s="87" t="str">
        <x:v>ОБ2510303</x:v>
      </x:c>
      <x:c r="K4352" s="87" t="n">
        <x:v>20</x:v>
      </x:c>
      <x:c r="L4352" s="87" t="str">
        <x:v>Аргументация</x:v>
      </x:c>
      <x:c r="M4352" s="30" t="str">
        <x:v>Используя обществоведческие знания, приведите три аргумента,
     подтверждающих, что конкуренция имеет не только положительные,
     но и отрицательные последствия для участников рыночных отношений.
     (Каждый аргумент должен быть сформулирован как распространённое
     предложение.)</x:v>
      </x:c>
      <x:c r="N4352" s="30" t="str">
        <x:v>1) Конкуренция приводит к разорению части производителей и продавцов. 2) Фирмы тратят значительные средства на рекламу вместо вложений в развитие. 3) Погоня за преимуществами может провоцировать подкуп, промышленный шпионаж и другие нарушения закона.</x:v>
      </x:c>
      <x:c r="O4352" s="30" t="str">
        <x:v>Модель включает все обязательные элементы официальных критериев и не содержит лишних позиций, способных снизить балл.</x:v>
      </x:c>
      <x:c r="P4352" s="30" t="str">
        <x:v>Сверено с официальным содержанием и критериями задания 20; проверены полнота, причинно-следственные связи и требуемое число элементов.</x:v>
      </x:c>
      <x:c r="Q4352" s="30"/>
      <x:c r="R4352" s="30" t="str">
        <x:v>Развёрнутый ответ по официальным критериям</x:v>
      </x:c>
      <x:c r="S4352" s="30"/>
      <x:c r="T4352" s="30" t="str">
        <x:v>Kriterii_OB11_10122025_.pdf, pp. 6–8</x:v>
      </x:c>
      <x:c r="U4352" s="30" t="str">
        <x:v>Расхождений нет.</x:v>
      </x:c>
      <x:c r="V4352" s="87" t="str">
        <x:v>VERIFIED</x:v>
      </x:c>
      <x:c r="W4352" s="87" t="n">
        <x:v>12</x:v>
      </x:c>
      <x:c r="X4352" s="87"/>
      <x:c r="Y4352" s="87"/>
      <x:c r="Z4352" s="87"/>
      <x:c r="AA4352" s="87"/>
      <x:c r="AB4352" s="87"/>
      <x:c r="AC4352" s="87" t="str">
        <x:v>VIS-SOC-DEC-TASK-34-P012</x:v>
      </x:c>
      <x:c r="AD4352" s="87"/>
      <x:c r="AE4352" s="87" t="str">
        <x:v>TASK</x:v>
      </x:c>
      <x:c r="AF4352" s="87"/>
      <x:c r="AG4352" s="87" t="str">
        <x:v>RESOLVED</x:v>
      </x:c>
      <x:c r="AH4352" s="87" t="str">
        <x:v>CROP_VERIFIED</x:v>
      </x:c>
      <x:c r="AI4352" s="30"/>
      <x:c r="AJ4352" s="87" t="str">
        <x:v>clean</x:v>
      </x:c>
      <x:c r="AK4352" s="87" t="str">
        <x:v>clean-v0.05</x:v>
      </x:c>
      <x:c r="AL4352" s="87" t="str">
        <x:v>statgrad_clean_continuation_v0_05(1)(1).xlsx</x:v>
      </x:c>
      <x:c r="AM4352" s="87" t="str">
        <x:v>SOC_Dec_V3</x:v>
      </x:c>
      <x:c r="AN4352" s="87" t="n">
        <x:v>21</x:v>
      </x:c>
    </x:row>
    <x:row r="4353">
      <x:c r="A4353" s="87" t="n">
        <x:v>4352</x:v>
      </x:c>
      <x:c r="B4353" s="87" t="str">
        <x:v>DEC-SOC-03-021</x:v>
      </x:c>
      <x:c r="C4353" s="87" t="str">
        <x:v>СтатГрад</x:v>
      </x:c>
      <x:c r="D4353" s="87" t="str">
        <x:v>Декабрь 2025</x:v>
      </x:c>
      <x:c r="E4353" s="87"/>
      <x:c r="F4353" s="87"/>
      <x:c r="G4353" s="87" t="str">
        <x:v>Обществознание</x:v>
      </x:c>
      <x:c r="H4353" s="87" t="n">
        <x:v>11</x:v>
      </x:c>
      <x:c r="I4353" s="87" t="str">
        <x:v>ТР №3</x:v>
      </x:c>
      <x:c r="J4353" s="87" t="str">
        <x:v>ОБ2510303</x:v>
      </x:c>
      <x:c r="K4353" s="87" t="n">
        <x:v>21</x:v>
      </x:c>
      <x:c r="L4353" s="87" t="str">
        <x:v>Экономический график</x:v>
      </x:c>
      <x:c r="M4353" s="30" t="str">
        <x:v>На графике изображено изменение ситуации на рынке картофеля в стране Z.
     Кривая предложения переместилась из положения S в положение S1 при
     неизменном спросе D. (На графике P – цена товара; Q – количество товара).
     Как изменилась равновесная цена?
     Что могло вызвать изменение предложения?
     Укажите любое одно обстоятельство (фактор) и объясните его влияние
     на предложение. (Объяснение должно быть дано применительно к рынку,
     указанному в тексте задания.)
     Как изменятся спрос и равновесная цена на данном рынке, если при прочих
     равных условиях в стране значительно возрастёт потребление картофельных
     чипсов?</x:v>
      </x:c>
      <x:c r="N4353" s="30" t="str">
        <x:v>Равновесная цена увеличилась. Предложение могло сократиться из-за неурожая картофеля: при каждом уровне цены производители могут поставить меньше продукции. Рост потребления картофельных чипсов увеличит спрос на картофель и повысит равновесную цену.</x:v>
      </x:c>
      <x:c r="O4353" s="30" t="str">
        <x:v>Модель включает все обязательные элементы официальных критериев и не содержит лишних позиций, способных снизить балл.</x:v>
      </x:c>
      <x:c r="P4353" s="30" t="str">
        <x:v>Сверено с официальным содержанием и критериями задания 21; проверены полнота, причинно-следственные связи и требуемое число элементов.</x:v>
      </x:c>
      <x:c r="Q4353" s="30"/>
      <x:c r="R4353" s="30" t="str">
        <x:v>Развёрнутый ответ по официальным критериям</x:v>
      </x:c>
      <x:c r="S4353" s="30"/>
      <x:c r="T4353" s="30" t="str">
        <x:v>Kriterii_OB11_10122025_.pdf, pp. 8–9</x:v>
      </x:c>
      <x:c r="U4353" s="30" t="str">
        <x:v>Расхождений нет.</x:v>
      </x:c>
      <x:c r="V4353" s="87" t="str">
        <x:v>VERIFIED</x:v>
      </x:c>
      <x:c r="W4353" s="87" t="n">
        <x:v>13</x:v>
      </x:c>
      <x:c r="X4353" s="87"/>
      <x:c r="Y4353" s="87"/>
      <x:c r="Z4353" s="87"/>
      <x:c r="AA4353" s="87"/>
      <x:c r="AB4353" s="87"/>
      <x:c r="AC4353" s="87" t="str">
        <x:v>VIS-SOC-DEC-TASK-34-P013</x:v>
      </x:c>
      <x:c r="AD4353" s="87"/>
      <x:c r="AE4353" s="87" t="str">
        <x:v>TASK</x:v>
      </x:c>
      <x:c r="AF4353" s="87"/>
      <x:c r="AG4353" s="87" t="str">
        <x:v>RESOLVED</x:v>
      </x:c>
      <x:c r="AH4353" s="87" t="str">
        <x:v>CROP_VERIFIED; TASK_CROP_QA_APPROVED:USE_CONTEXT</x:v>
      </x:c>
      <x:c r="AI4353" s="30"/>
      <x:c r="AJ4353" s="87" t="str">
        <x:v>clean</x:v>
      </x:c>
      <x:c r="AK4353" s="87" t="str">
        <x:v>clean-v0.05</x:v>
      </x:c>
      <x:c r="AL4353" s="87" t="str">
        <x:v>statgrad_clean_continuation_v0_05(1)(1).xlsx</x:v>
      </x:c>
      <x:c r="AM4353" s="87" t="str">
        <x:v>SOC_Dec_V3</x:v>
      </x:c>
      <x:c r="AN4353" s="87" t="n">
        <x:v>22</x:v>
      </x:c>
    </x:row>
    <x:row r="4354">
      <x:c r="A4354" s="87" t="n">
        <x:v>4353</x:v>
      </x:c>
      <x:c r="B4354" s="87" t="str">
        <x:v>DEC-SOC-03-022</x:v>
      </x:c>
      <x:c r="C4354" s="87" t="str">
        <x:v>СтатГрад</x:v>
      </x:c>
      <x:c r="D4354" s="87" t="str">
        <x:v>Декабрь 2025</x:v>
      </x:c>
      <x:c r="E4354" s="87"/>
      <x:c r="F4354" s="87"/>
      <x:c r="G4354" s="87" t="str">
        <x:v>Обществознание</x:v>
      </x:c>
      <x:c r="H4354" s="87" t="n">
        <x:v>11</x:v>
      </x:c>
      <x:c r="I4354" s="87" t="str">
        <x:v>ТР №3</x:v>
      </x:c>
      <x:c r="J4354" s="87" t="str">
        <x:v>ОБ2510303</x:v>
      </x:c>
      <x:c r="K4354" s="87" t="n">
        <x:v>22</x:v>
      </x:c>
      <x:c r="L4354" s="87" t="str">
        <x:v>Правовая/социальная задача</x:v>
      </x:c>
      <x:c r="M4354" s="30" t="str">
        <x:v>18-летний Алексей К. был задержан службой безопасности магазина
     за попытку вынести без оплаты товары на сумму 6500 рублей. Прибывшие
     на место задержания сотрудники полиции составили протокол
     о правонарушении.
     Какой вид правонарушения совершил Алексей? Какие признаки отличают
     этот вид правонарушений? На какой максимальный срок может быть
     задержан Алексей сотрудниками полиции до решения суда? Какие права он
     имеет при задержании сотрудниками полиции? (Назовите два любых права.)</x:v>
      </x:c>
      <x:c r="N4354" s="30" t="str">
        <x:v>Совершено преступление. Его признаки: общественная опасность, запрещённость уголовным законом, виновность и наказуемость. До судебного решения задержание возможно максимум на 48 часов. Права задержанного: помощь адвоката и телефонный звонок (также допустимы отказ от показаний и ознакомление с документами).</x:v>
      </x:c>
      <x:c r="O4354" s="30" t="str">
        <x:v>Модель включает все обязательные элементы официальных критериев и не содержит лишних позиций, способных снизить балл.</x:v>
      </x:c>
      <x:c r="P4354" s="30" t="str">
        <x:v>Сверено с официальным содержанием и критериями задания 22; проверены полнота, причинно-следственные связи и требуемое число элементов.</x:v>
      </x:c>
      <x:c r="Q4354" s="30"/>
      <x:c r="R4354" s="30" t="str">
        <x:v>Развёрнутый ответ по официальным критериям</x:v>
      </x:c>
      <x:c r="S4354" s="30"/>
      <x:c r="T4354" s="30" t="str">
        <x:v>Kriterii_OB11_10122025_.pdf, pp. 9–10</x:v>
      </x:c>
      <x:c r="U4354" s="30" t="str">
        <x:v>Расхождений нет.</x:v>
      </x:c>
      <x:c r="V4354" s="87" t="str">
        <x:v>VERIFIED</x:v>
      </x:c>
      <x:c r="W4354" s="87" t="n">
        <x:v>14</x:v>
      </x:c>
      <x:c r="X4354" s="87"/>
      <x:c r="Y4354" s="87"/>
      <x:c r="Z4354" s="87"/>
      <x:c r="AA4354" s="87"/>
      <x:c r="AB4354" s="87"/>
      <x:c r="AC4354" s="87" t="str">
        <x:v>VIS-SOC-DEC-TASK-34-P014</x:v>
      </x:c>
      <x:c r="AD4354" s="87"/>
      <x:c r="AE4354" s="87" t="str">
        <x:v>TASK</x:v>
      </x:c>
      <x:c r="AF4354" s="87"/>
      <x:c r="AG4354" s="87" t="str">
        <x:v>RESOLVED</x:v>
      </x:c>
      <x:c r="AH4354" s="87" t="str">
        <x:v>CROP_VERIFIED</x:v>
      </x:c>
      <x:c r="AI4354" s="30"/>
      <x:c r="AJ4354" s="87" t="str">
        <x:v>clean</x:v>
      </x:c>
      <x:c r="AK4354" s="87" t="str">
        <x:v>clean-v0.05</x:v>
      </x:c>
      <x:c r="AL4354" s="87" t="str">
        <x:v>statgrad_clean_continuation_v0_05(1)(1).xlsx</x:v>
      </x:c>
      <x:c r="AM4354" s="87" t="str">
        <x:v>SOC_Dec_V3</x:v>
      </x:c>
      <x:c r="AN4354" s="87" t="n">
        <x:v>23</x:v>
      </x:c>
    </x:row>
    <x:row r="4355">
      <x:c r="A4355" s="87" t="n">
        <x:v>4354</x:v>
      </x:c>
      <x:c r="B4355" s="87" t="str">
        <x:v>DEC-SOC-03-023</x:v>
      </x:c>
      <x:c r="C4355" s="87" t="str">
        <x:v>СтатГрад</x:v>
      </x:c>
      <x:c r="D4355" s="87" t="str">
        <x:v>Декабрь 2025</x:v>
      </x:c>
      <x:c r="E4355" s="87"/>
      <x:c r="F4355" s="87"/>
      <x:c r="G4355" s="87" t="str">
        <x:v>Обществознание</x:v>
      </x:c>
      <x:c r="H4355" s="87" t="n">
        <x:v>11</x:v>
      </x:c>
      <x:c r="I4355" s="87" t="str">
        <x:v>ТР №3</x:v>
      </x:c>
      <x:c r="J4355" s="87" t="str">
        <x:v>ОБ2510303</x:v>
      </x:c>
      <x:c r="K4355" s="87" t="n">
        <x:v>23</x:v>
      </x:c>
      <x:c r="L4355" s="87" t="str">
        <x:v>Конституционные положения</x:v>
      </x:c>
      <x:c r="M4355" s="30" t="str">
        <x:v>Конституция Российской Федерации гарантирует равенство прав граждан.
     На основе положений Конституции Российской Федерации приведите
     три подтверждения данного утверждения. (Каждое подтверждение должно
     быть сформулировано как распространённое предложение с опорой
     на конкретное положение Конституции Российской Федерации.
     Обратите внимание на то, что правильное выполнение задания не требует
     указания в ответе номеров соответствующих статей Конституции РФ
     и дословного воспроизведения их содержания.)</x:v>
      </x:c>
      <x:c r="N4355" s="30" t="str">
        <x:v>1) Все равны перед законом и судом. 2) Государство гарантирует равенство прав и свобод независимо от пола, расы, национальности, языка, происхождения, положения, места жительства, религии, убеждений и иных обстоятельств. 3) Мужчины и женщины имеют равные права, свободы и возможности их реализации.</x:v>
      </x:c>
      <x:c r="O4355" s="30" t="str">
        <x:v>Модель включает все обязательные элементы официальных критериев и не содержит лишних позиций, способных снизить балл.</x:v>
      </x:c>
      <x:c r="P4355" s="30" t="str">
        <x:v>Сверено с официальным содержанием и критериями задания 23; проверены полнота, причинно-следственные связи и требуемое число элементов.</x:v>
      </x:c>
      <x:c r="Q4355" s="30"/>
      <x:c r="R4355" s="30" t="str">
        <x:v>Развёрнутый ответ по официальным критериям</x:v>
      </x:c>
      <x:c r="S4355" s="30"/>
      <x:c r="T4355" s="30" t="str">
        <x:v>Kriterii_OB11_10122025_.pdf, pp. 10–11</x:v>
      </x:c>
      <x:c r="U4355" s="30" t="str">
        <x:v>Расхождений нет.</x:v>
      </x:c>
      <x:c r="V4355" s="87" t="str">
        <x:v>VERIFIED</x:v>
      </x:c>
      <x:c r="W4355" s="87" t="n">
        <x:v>14</x:v>
      </x:c>
      <x:c r="X4355" s="87"/>
      <x:c r="Y4355" s="87"/>
      <x:c r="Z4355" s="87"/>
      <x:c r="AA4355" s="87"/>
      <x:c r="AB4355" s="87"/>
      <x:c r="AC4355" s="87" t="str">
        <x:v>VIS-SOC-DEC-TASK-34-P014</x:v>
      </x:c>
      <x:c r="AD4355" s="87"/>
      <x:c r="AE4355" s="87" t="str">
        <x:v>TASK</x:v>
      </x:c>
      <x:c r="AF4355" s="87"/>
      <x:c r="AG4355" s="87" t="str">
        <x:v>RESOLVED</x:v>
      </x:c>
      <x:c r="AH4355" s="87" t="str">
        <x:v>CROP_VERIFIED</x:v>
      </x:c>
      <x:c r="AI4355" s="30"/>
      <x:c r="AJ4355" s="87" t="str">
        <x:v>clean</x:v>
      </x:c>
      <x:c r="AK4355" s="87" t="str">
        <x:v>clean-v0.05</x:v>
      </x:c>
      <x:c r="AL4355" s="87" t="str">
        <x:v>statgrad_clean_continuation_v0_05(1)(1).xlsx</x:v>
      </x:c>
      <x:c r="AM4355" s="87" t="str">
        <x:v>SOC_Dec_V3</x:v>
      </x:c>
      <x:c r="AN4355" s="87" t="n">
        <x:v>24</x:v>
      </x:c>
    </x:row>
    <x:row r="4356">
      <x:c r="A4356" s="87" t="n">
        <x:v>4355</x:v>
      </x:c>
      <x:c r="B4356" s="87" t="str">
        <x:v>DEC-SOC-03-024</x:v>
      </x:c>
      <x:c r="C4356" s="87" t="str">
        <x:v>СтатГрад</x:v>
      </x:c>
      <x:c r="D4356" s="87" t="str">
        <x:v>Декабрь 2025</x:v>
      </x:c>
      <x:c r="E4356" s="87"/>
      <x:c r="F4356" s="87"/>
      <x:c r="G4356" s="87" t="str">
        <x:v>Обществознание</x:v>
      </x:c>
      <x:c r="H4356" s="87" t="n">
        <x:v>11</x:v>
      </x:c>
      <x:c r="I4356" s="87" t="str">
        <x:v>ТР №3</x:v>
      </x:c>
      <x:c r="J4356" s="87" t="str">
        <x:v>ОБ2510303</x:v>
      </x:c>
      <x:c r="K4356" s="87" t="n">
        <x:v>24</x:v>
      </x:c>
      <x:c r="L4356" s="87" t="str">
        <x:v>Сложный план</x:v>
      </x:c>
      <x:c r="M4356" s="30" t="str">
        <x:v>Используя обществоведческие знания, составьте сложный план,
     позволяющий раскрыть по существу тему «Социальная стратификация
     и социальная мобильность».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возможно только два
     подпункта.)</x:v>
      </x:c>
      <x:c r="N4356" s="30" t="str">
        <x:v>1. Понятия социальной стратификации и социальной мобильности.
2. Исторические типы стратификации: а) рабство; б) касты; в) сословия; г) классы.
3. Критерии современных страт: а) доход; б) образование; в) власть; г) собственность; д) престиж.
4. Типы мобильности: а) горизонтальная; б) вертикальная восходящая; в) вертикальная нисходящая.
5. Социальные лифты: а) образование; б) профессиональная карьера; в) военная служба; г) брак; д) религиозные организации.
6. Значение социальной мобильности для развития общества.</x:v>
      </x:c>
      <x:c r="O4356" s="30" t="str">
        <x:v>Модель включает все обязательные элементы официальных критериев и не содержит лишних позиций, способных снизить балл.</x:v>
      </x:c>
      <x:c r="P4356" s="30" t="str">
        <x:v>Сверено с официальным содержанием и критериями задания 24; проверены полнота, причинно-следственные связи и требуемое число элементов.</x:v>
      </x:c>
      <x:c r="Q4356" s="30"/>
      <x:c r="R4356" s="30" t="str">
        <x:v>Развёрнутый ответ по официальным критериям</x:v>
      </x:c>
      <x:c r="S4356" s="30"/>
      <x:c r="T4356" s="30" t="str">
        <x:v>Kriterii_OB11_10122025_.pdf, pp. 11–14</x:v>
      </x:c>
      <x:c r="U4356" s="30" t="str">
        <x:v>Расхождений нет.</x:v>
      </x:c>
      <x:c r="V4356" s="87" t="str">
        <x:v>VERIFIED</x:v>
      </x:c>
      <x:c r="W4356" s="87" t="n">
        <x:v>14</x:v>
      </x:c>
      <x:c r="X4356" s="87"/>
      <x:c r="Y4356" s="87"/>
      <x:c r="Z4356" s="87"/>
      <x:c r="AA4356" s="87"/>
      <x:c r="AB4356" s="87"/>
      <x:c r="AC4356" s="87" t="str">
        <x:v>VIS-SOC-DEC-TASK-34-P014</x:v>
      </x:c>
      <x:c r="AD4356" s="87"/>
      <x:c r="AE4356" s="87" t="str">
        <x:v>TASK</x:v>
      </x:c>
      <x:c r="AF4356" s="87"/>
      <x:c r="AG4356" s="87" t="str">
        <x:v>RESOLVED</x:v>
      </x:c>
      <x:c r="AH4356" s="87" t="str">
        <x:v>CROP_VERIFIED</x:v>
      </x:c>
      <x:c r="AI4356" s="30"/>
      <x:c r="AJ4356" s="87" t="str">
        <x:v>clean</x:v>
      </x:c>
      <x:c r="AK4356" s="87" t="str">
        <x:v>clean-v0.05</x:v>
      </x:c>
      <x:c r="AL4356" s="87" t="str">
        <x:v>statgrad_clean_continuation_v0_05(1)(1).xlsx</x:v>
      </x:c>
      <x:c r="AM4356" s="87" t="str">
        <x:v>SOC_Dec_V3</x:v>
      </x:c>
      <x:c r="AN4356" s="87" t="n">
        <x:v>25</x:v>
      </x:c>
    </x:row>
    <x:row r="4357">
      <x:c r="A4357" s="87" t="n">
        <x:v>4356</x:v>
      </x:c>
      <x:c r="B4357" s="87" t="str">
        <x:v>DEC-SOC-03-025</x:v>
      </x:c>
      <x:c r="C4357" s="87" t="str">
        <x:v>СтатГрад</x:v>
      </x:c>
      <x:c r="D4357" s="87" t="str">
        <x:v>Декабрь 2025</x:v>
      </x:c>
      <x:c r="E4357" s="87"/>
      <x:c r="F4357" s="87"/>
      <x:c r="G4357" s="87" t="str">
        <x:v>Обществознание</x:v>
      </x:c>
      <x:c r="H4357" s="87" t="n">
        <x:v>11</x:v>
      </x:c>
      <x:c r="I4357" s="87" t="str">
        <x:v>ТР №3</x:v>
      </x:c>
      <x:c r="J4357" s="87" t="str">
        <x:v>ОБ2510303</x:v>
      </x:c>
      <x:c r="K4357" s="87" t="n">
        <x:v>25</x:v>
      </x:c>
      <x:c r="L4357" s="87" t="str">
        <x:v>Обоснование, объекты и примеры</x:v>
      </x:c>
      <x:c r="M4357" s="30" t="str">
        <x:v>Используя обществоведческие знания, факты общественной жизни и личный
     социальный опыт, выполните задания, ответьте на вопрос.
     1) Обоснуйте важность социальной мобильности для развития общества.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Какие каналы социальной мобильности (социальные лифты) существуют?
     (Назовите три любых канала социальной мобильности (социальных лифта)).
     3) Для каждого из указанных в п. 2 канала социальной мобильности
     (социальных лифта) приведите по одному примеру, иллюстрирующему его
     действие в современной России. (Каждый пример должен быть
     сформулирован     развёрнуто.   В    совокупности    примеры   должны
     иллюстрировать три различных функции.)</x:v>
      </x:c>
      <x:c r="N4357" s="30" t="str">
        <x:v>Социальная мобильность позволяет обществу эффективнее распределять способности и трудовые ресурсы, стимулирует образование и профессиональное развитие, обновляет элиты и помогает адаптироваться к экономическим изменениям. Каналы: образование, профессиональная карьера, военная служба. Примеры: выпускник региональной школы поступил в ведущий вуз и после получения квалификации занял более высокий профессиональный статус; инженер благодаря результатам работы стал руководителем предприятия; военнослужащий прошёл путь от рядового до офицера, повысив свой социальный статус.</x:v>
      </x:c>
      <x:c r="O4357" s="30" t="str">
        <x:v>Модель включает все обязательные элементы официальных критериев и не содержит лишних позиций, способных снизить балл.</x:v>
      </x:c>
      <x:c r="P4357" s="30" t="str">
        <x:v>Сверено с официальным содержанием и критериями задания 25; проверены полнота, причинно-следственные связи и требуемое число элементов.</x:v>
      </x:c>
      <x:c r="Q4357" s="30"/>
      <x:c r="R4357" s="30" t="str">
        <x:v>Развёрнутый ответ по официальным критериям</x:v>
      </x:c>
      <x:c r="S4357" s="30"/>
      <x:c r="T4357" s="30" t="str">
        <x:v>Kriterii_OB11_10122025_.pdf, pp. 14–15</x:v>
      </x:c>
      <x:c r="U4357" s="30" t="str">
        <x:v>Расхождений нет.</x:v>
      </x:c>
      <x:c r="V4357" s="87" t="str">
        <x:v>VERIFIED</x:v>
      </x:c>
      <x:c r="W4357" s="87" t="n">
        <x:v>14</x:v>
      </x:c>
      <x:c r="X4357" s="87"/>
      <x:c r="Y4357" s="87"/>
      <x:c r="Z4357" s="87"/>
      <x:c r="AA4357" s="87"/>
      <x:c r="AB4357" s="87"/>
      <x:c r="AC4357" s="87" t="str">
        <x:v>VIS-SOC-DEC-TASK-34-P014</x:v>
      </x:c>
      <x:c r="AD4357" s="87"/>
      <x:c r="AE4357" s="87" t="str">
        <x:v>TASK</x:v>
      </x:c>
      <x:c r="AF4357" s="87"/>
      <x:c r="AG4357" s="87" t="str">
        <x:v>RESOLVED</x:v>
      </x:c>
      <x:c r="AH4357" s="87" t="str">
        <x:v>CROP_VERIFIED</x:v>
      </x:c>
      <x:c r="AI4357" s="30"/>
      <x:c r="AJ4357" s="87" t="str">
        <x:v>clean</x:v>
      </x:c>
      <x:c r="AK4357" s="87" t="str">
        <x:v>clean-v0.05</x:v>
      </x:c>
      <x:c r="AL4357" s="87" t="str">
        <x:v>statgrad_clean_continuation_v0_05(1)(1).xlsx</x:v>
      </x:c>
      <x:c r="AM4357" s="87" t="str">
        <x:v>SOC_Dec_V3</x:v>
      </x:c>
      <x:c r="AN4357" s="87" t="n">
        <x:v>26</x:v>
      </x:c>
    </x:row>
    <x:row r="4358">
      <x:c r="A4358" s="87" t="n">
        <x:v>4357</x:v>
      </x:c>
      <x:c r="B4358" s="87" t="str">
        <x:v>DEC-SOC-04-001</x:v>
      </x:c>
      <x:c r="C4358" s="87" t="str">
        <x:v>СтатГрад</x:v>
      </x:c>
      <x:c r="D4358" s="87" t="str">
        <x:v>Декабрь 2025</x:v>
      </x:c>
      <x:c r="E4358" s="87"/>
      <x:c r="F4358" s="87"/>
      <x:c r="G4358" s="87" t="str">
        <x:v>Обществознание</x:v>
      </x:c>
      <x:c r="H4358" s="87" t="n">
        <x:v>11</x:v>
      </x:c>
      <x:c r="I4358" s="87" t="str">
        <x:v>ТР №3</x:v>
      </x:c>
      <x:c r="J4358" s="87" t="str">
        <x:v>ОБ2510304</x:v>
      </x:c>
      <x:c r="K4358" s="87" t="n">
        <x:v>1</x:v>
      </x:c>
      <x:c r="L4358" s="87" t="str">
        <x:v>Выбор двух исключений</x:v>
      </x:c>
      <x:c r="M4358" s="30" t="str">
        <x:v>Ниже приведён перечень понятий. Все они, за исключением двух, относятся
    к предписанному социальному статусу.
    1) женщина; 2) ребёнок; 3) студент; 4) пожилой человек; 5) сын; 6) муж.
    Найдите два понятия, «выпадающих» из общего ряда, и запишите в таблицу
    цифры, под которыми они указаны.</x:v>
      </x:c>
      <x:c r="N4358" s="30" t="str">
        <x:v>36</x:v>
      </x:c>
      <x:c r="O4358" s="30" t="str">
        <x:v>Студент и муж — достигаемые статусы; женщина, ребёнок, пожилой человек и сын относятся к предписанным.</x:v>
      </x:c>
      <x:c r="P4358" s="30" t="str">
        <x:v>Каждая выбранная позиция или соответствие проверены по обществоведческим понятиям и условию; официальный ключ совпал.</x:v>
      </x:c>
      <x:c r="Q4358" s="30"/>
      <x:c r="R4358" s="30" t="str">
        <x:v>36</x:v>
      </x:c>
      <x:c r="S4358" s="30"/>
      <x:c r="T4358" s="30" t="str">
        <x:v>Kriterii_OB11_10122025_.pdf, p. 2</x:v>
      </x:c>
      <x:c r="U4358" s="30" t="str">
        <x:v>Расхождений нет.</x:v>
      </x:c>
      <x:c r="V4358" s="87" t="str">
        <x:v>VERIFIED</x:v>
      </x:c>
      <x:c r="W4358" s="87" t="n">
        <x:v>16</x:v>
      </x:c>
      <x:c r="X4358" s="87"/>
      <x:c r="Y4358" s="87"/>
      <x:c r="Z4358" s="87"/>
      <x:c r="AA4358" s="87"/>
      <x:c r="AB4358" s="87"/>
      <x:c r="AC4358" s="87" t="str">
        <x:v>VIS-SOC-DEC-TASK-34-P016</x:v>
      </x:c>
      <x:c r="AD4358" s="87"/>
      <x:c r="AE4358" s="87" t="str">
        <x:v>TASK</x:v>
      </x:c>
      <x:c r="AF4358" s="87"/>
      <x:c r="AG4358" s="87" t="str">
        <x:v>RESOLVED</x:v>
      </x:c>
      <x:c r="AH4358" s="87" t="str">
        <x:v>CROP_VERIFIED</x:v>
      </x:c>
      <x:c r="AI4358" s="30"/>
      <x:c r="AJ4358" s="87" t="str">
        <x:v>clean</x:v>
      </x:c>
      <x:c r="AK4358" s="87" t="str">
        <x:v>clean-v0.05</x:v>
      </x:c>
      <x:c r="AL4358" s="87" t="str">
        <x:v>statgrad_clean_continuation_v0_05(1)(1).xlsx</x:v>
      </x:c>
      <x:c r="AM4358" s="87" t="str">
        <x:v>SOC_Dec_V4</x:v>
      </x:c>
      <x:c r="AN4358" s="87" t="n">
        <x:v>2</x:v>
      </x:c>
    </x:row>
    <x:row r="4359">
      <x:c r="A4359" s="87" t="n">
        <x:v>4358</x:v>
      </x:c>
      <x:c r="B4359" s="87" t="str">
        <x:v>DEC-SOC-04-002</x:v>
      </x:c>
      <x:c r="C4359" s="87" t="str">
        <x:v>СтатГрад</x:v>
      </x:c>
      <x:c r="D4359" s="87" t="str">
        <x:v>Декабрь 2025</x:v>
      </x:c>
      <x:c r="E4359" s="87"/>
      <x:c r="F4359" s="87"/>
      <x:c r="G4359" s="87" t="str">
        <x:v>Обществознание</x:v>
      </x:c>
      <x:c r="H4359" s="87" t="n">
        <x:v>11</x:v>
      </x:c>
      <x:c r="I4359" s="87" t="str">
        <x:v>ТР №3</x:v>
      </x:c>
      <x:c r="J4359" s="87" t="str">
        <x:v>ОБ2510304</x:v>
      </x:c>
      <x:c r="K4359" s="87" t="n">
        <x:v>2</x:v>
      </x:c>
      <x:c r="L4359" s="87" t="str">
        <x:v>Множественный выбор</x:v>
      </x:c>
      <x:c r="M4359" s="30" t="str">
        <x:v>Выберите верные суждения о научном познании.
    1) Целью научного познания является получение объективных и системных
       знаний о природе, человеке и обществе.
    2) Большую роль в научном познании играют эмоции и воображение
       познающего субъекта.
    3) Особенностями научного познания являются непротиворечивость
       и проверяемость полученных результатов.
    4) В научном познании выделяются эмпирический и теоретический уровни.
    5) Одной из форм научного познания является анализ.</x:v>
      </x:c>
      <x:c r="N4359" s="30" t="str">
        <x:v>134</x:v>
      </x:c>
      <x:c r="O4359" s="30" t="str">
        <x:v>Постиндустриальное общество сформировалось в XX веке, отличается ведущей ролью услуг и информации и высокой социальной мобильностью.</x:v>
      </x:c>
      <x:c r="P4359" s="30" t="str">
        <x:v>Каждая выбранная позиция или соответствие проверены по обществоведческим понятиям и условию; официальный ключ совпал.</x:v>
      </x:c>
      <x:c r="Q4359" s="30"/>
      <x:c r="R4359" s="30" t="str">
        <x:v>134</x:v>
      </x:c>
      <x:c r="S4359" s="30"/>
      <x:c r="T4359" s="30" t="str">
        <x:v>Kriterii_OB11_10122025_.pdf, p. 2</x:v>
      </x:c>
      <x:c r="U4359" s="30" t="str">
        <x:v>Расхождений нет.</x:v>
      </x:c>
      <x:c r="V4359" s="87" t="str">
        <x:v>VERIFIED</x:v>
      </x:c>
      <x:c r="W4359" s="87" t="n">
        <x:v>16</x:v>
      </x:c>
      <x:c r="X4359" s="87"/>
      <x:c r="Y4359" s="87"/>
      <x:c r="Z4359" s="87"/>
      <x:c r="AA4359" s="87"/>
      <x:c r="AB4359" s="87"/>
      <x:c r="AC4359" s="87" t="str">
        <x:v>VIS-SOC-DEC-TASK-34-P016</x:v>
      </x:c>
      <x:c r="AD4359" s="87"/>
      <x:c r="AE4359" s="87" t="str">
        <x:v>TASK</x:v>
      </x:c>
      <x:c r="AF4359" s="87"/>
      <x:c r="AG4359" s="87" t="str">
        <x:v>RESOLVED</x:v>
      </x:c>
      <x:c r="AH4359" s="87" t="str">
        <x:v>CROP_VERIFIED</x:v>
      </x:c>
      <x:c r="AI4359" s="30"/>
      <x:c r="AJ4359" s="87" t="str">
        <x:v>clean</x:v>
      </x:c>
      <x:c r="AK4359" s="87" t="str">
        <x:v>clean-v0.05</x:v>
      </x:c>
      <x:c r="AL4359" s="87" t="str">
        <x:v>statgrad_clean_continuation_v0_05(1)(1).xlsx</x:v>
      </x:c>
      <x:c r="AM4359" s="87" t="str">
        <x:v>SOC_Dec_V4</x:v>
      </x:c>
      <x:c r="AN4359" s="87" t="n">
        <x:v>3</x:v>
      </x:c>
    </x:row>
    <x:row r="4360">
      <x:c r="A4360" s="87" t="n">
        <x:v>4359</x:v>
      </x:c>
      <x:c r="B4360" s="87" t="str">
        <x:v>DEC-SOC-04-003</x:v>
      </x:c>
      <x:c r="C4360" s="87" t="str">
        <x:v>СтатГрад</x:v>
      </x:c>
      <x:c r="D4360" s="87" t="str">
        <x:v>Декабрь 2025</x:v>
      </x:c>
      <x:c r="E4360" s="87"/>
      <x:c r="F4360" s="87"/>
      <x:c r="G4360" s="87" t="str">
        <x:v>Обществознание</x:v>
      </x:c>
      <x:c r="H4360" s="87" t="n">
        <x:v>11</x:v>
      </x:c>
      <x:c r="I4360" s="87" t="str">
        <x:v>ТР №3</x:v>
      </x:c>
      <x:c r="J4360" s="87" t="str">
        <x:v>ОБ2510304</x:v>
      </x:c>
      <x:c r="K4360" s="87" t="n">
        <x:v>3</x:v>
      </x:c>
      <x:c r="L4360" s="87" t="str">
        <x:v>Установление соответствия</x:v>
      </x:c>
      <x:c r="M4360" s="30" t="str">
        <x:v>Установите соответствие между результатами и направлениями
    общественного развития, к которым они относятся: к каждой позиции,
    данной в первом столбце, подберите соответствующую позицию из второго
    столбца.
                      РЕЗУЛЬТАТ                                 НАПРАВЛЕНИЕ
                                                                  РАЗВИТИЯ
    А) значительное сокращение доли                       1) прогресс
       городского населения                               2) регресс
    Б) увеличение продолжительности жизни
    В) появление новых видов техники
    Г) замена денежного обращения
       натуральным обменом
    Д) запрет рабства и работорговли
    Запишите в таблицу выбранные цифры под соответствующими буквами.
               А Б В Г Д</x:v>
      </x:c>
      <x:c r="N4360" s="30" t="str">
        <x:v>21121</x:v>
      </x:c>
      <x:c r="O4360" s="30" t="str">
        <x:v>Сокращение городского населения и возврат к натуральному обмену — регресс; рост продолжительности жизни, новая техника и запрет рабства — прогресс.</x:v>
      </x:c>
      <x:c r="P4360" s="30" t="str">
        <x:v>Каждая выбранная позиция или соответствие проверены по обществоведческим понятиям и условию; официальный ключ совпал.</x:v>
      </x:c>
      <x:c r="Q4360" s="30"/>
      <x:c r="R4360" s="30" t="str">
        <x:v>21121</x:v>
      </x:c>
      <x:c r="S4360" s="30"/>
      <x:c r="T4360" s="30" t="str">
        <x:v>Kriterii_OB11_10122025_.pdf, p. 2</x:v>
      </x:c>
      <x:c r="U4360" s="30" t="str">
        <x:v>Расхождений нет.</x:v>
      </x:c>
      <x:c r="V4360" s="87" t="str">
        <x:v>VERIFIED</x:v>
      </x:c>
      <x:c r="W4360" s="87" t="n">
        <x:v>17</x:v>
      </x:c>
      <x:c r="X4360" s="87"/>
      <x:c r="Y4360" s="87"/>
      <x:c r="Z4360" s="87"/>
      <x:c r="AA4360" s="87"/>
      <x:c r="AB4360" s="87"/>
      <x:c r="AC4360" s="87" t="str">
        <x:v>VIS-SOC-DEC-TASK-34-P017</x:v>
      </x:c>
      <x:c r="AD4360" s="87"/>
      <x:c r="AE4360" s="87" t="str">
        <x:v>TASK</x:v>
      </x:c>
      <x:c r="AF4360" s="87"/>
      <x:c r="AG4360" s="87" t="str">
        <x:v>RESOLVED</x:v>
      </x:c>
      <x:c r="AH4360" s="87" t="str">
        <x:v>CROP_VERIFIED</x:v>
      </x:c>
      <x:c r="AI4360" s="30"/>
      <x:c r="AJ4360" s="87" t="str">
        <x:v>clean</x:v>
      </x:c>
      <x:c r="AK4360" s="87" t="str">
        <x:v>clean-v0.05</x:v>
      </x:c>
      <x:c r="AL4360" s="87" t="str">
        <x:v>statgrad_clean_continuation_v0_05(1)(1).xlsx</x:v>
      </x:c>
      <x:c r="AM4360" s="87" t="str">
        <x:v>SOC_Dec_V4</x:v>
      </x:c>
      <x:c r="AN4360" s="87" t="n">
        <x:v>4</x:v>
      </x:c>
    </x:row>
    <x:row r="4361">
      <x:c r="A4361" s="87" t="n">
        <x:v>4360</x:v>
      </x:c>
      <x:c r="B4361" s="87" t="str">
        <x:v>DEC-SOC-04-004</x:v>
      </x:c>
      <x:c r="C4361" s="87" t="str">
        <x:v>СтатГрад</x:v>
      </x:c>
      <x:c r="D4361" s="87" t="str">
        <x:v>Декабрь 2025</x:v>
      </x:c>
      <x:c r="E4361" s="87"/>
      <x:c r="F4361" s="87"/>
      <x:c r="G4361" s="87" t="str">
        <x:v>Обществознание</x:v>
      </x:c>
      <x:c r="H4361" s="87" t="n">
        <x:v>11</x:v>
      </x:c>
      <x:c r="I4361" s="87" t="str">
        <x:v>ТР №3</x:v>
      </x:c>
      <x:c r="J4361" s="87" t="str">
        <x:v>ОБ2510304</x:v>
      </x:c>
      <x:c r="K4361" s="87" t="n">
        <x:v>4</x:v>
      </x:c>
      <x:c r="L4361" s="87" t="str">
        <x:v>Анализ ситуации: цели/средства</x:v>
      </x:c>
      <x:c r="M4361" s="30" t="str">
        <x:v>В государстве Z проводится образовательная реформа, которая затронула
    все уровни образования – дошкольные учреждения, средние и высшие
    профессиональные учебные заведения.
    Найдите в приведённом ниже списке возможные средства проведения
    реформы системы образования, и запишите цифры, под которыми
    они указаны.
    1) повышение уровня образованности населения
    2) обеспечение экономики высококвалифицированными кадрами
    3) открытие новых университетов
    4) повышение заработной платы преподавателям
    5) обеспечение    учебных   заведений   современным   оборудованием
       и скоростным интернетом
    6) повышение инвестиционной привлекательности страны</x:v>
      </x:c>
      <x:c r="N4361" s="30" t="str">
        <x:v>345</x:v>
      </x:c>
      <x:c r="O4361" s="30" t="str">
        <x:v>Открытие университетов, повышение оплаты преподавателей и современное оснащение — средства реформы; остальные позиции описывают цели или результаты.</x:v>
      </x:c>
      <x:c r="P4361" s="30" t="str">
        <x:v>Каждая выбранная позиция или соответствие проверены по обществоведческим понятиям и условию; официальный ключ совпал.</x:v>
      </x:c>
      <x:c r="Q4361" s="30"/>
      <x:c r="R4361" s="30" t="str">
        <x:v>345</x:v>
      </x:c>
      <x:c r="S4361" s="30"/>
      <x:c r="T4361" s="30" t="str">
        <x:v>Kriterii_OB11_10122025_.pdf, p. 2</x:v>
      </x:c>
      <x:c r="U4361" s="30" t="str">
        <x:v>Расхождений нет.</x:v>
      </x:c>
      <x:c r="V4361" s="87" t="str">
        <x:v>VERIFIED</x:v>
      </x:c>
      <x:c r="W4361" s="87" t="n">
        <x:v>17</x:v>
      </x:c>
      <x:c r="X4361" s="87"/>
      <x:c r="Y4361" s="87"/>
      <x:c r="Z4361" s="87"/>
      <x:c r="AA4361" s="87"/>
      <x:c r="AB4361" s="87"/>
      <x:c r="AC4361" s="87" t="str">
        <x:v>VIS-SOC-DEC-TASK-34-P017</x:v>
      </x:c>
      <x:c r="AD4361" s="87"/>
      <x:c r="AE4361" s="87" t="str">
        <x:v>TASK</x:v>
      </x:c>
      <x:c r="AF4361" s="87"/>
      <x:c r="AG4361" s="87" t="str">
        <x:v>RESOLVED</x:v>
      </x:c>
      <x:c r="AH4361" s="87" t="str">
        <x:v>CROP_VERIFIED</x:v>
      </x:c>
      <x:c r="AI4361" s="30"/>
      <x:c r="AJ4361" s="87" t="str">
        <x:v>clean</x:v>
      </x:c>
      <x:c r="AK4361" s="87" t="str">
        <x:v>clean-v0.05</x:v>
      </x:c>
      <x:c r="AL4361" s="87" t="str">
        <x:v>statgrad_clean_continuation_v0_05(1)(1).xlsx</x:v>
      </x:c>
      <x:c r="AM4361" s="87" t="str">
        <x:v>SOC_Dec_V4</x:v>
      </x:c>
      <x:c r="AN4361" s="87" t="n">
        <x:v>5</x:v>
      </x:c>
    </x:row>
    <x:row r="4362">
      <x:c r="A4362" s="87" t="n">
        <x:v>4361</x:v>
      </x:c>
      <x:c r="B4362" s="87" t="str">
        <x:v>DEC-SOC-04-005</x:v>
      </x:c>
      <x:c r="C4362" s="87" t="str">
        <x:v>СтатГрад</x:v>
      </x:c>
      <x:c r="D4362" s="87" t="str">
        <x:v>Декабрь 2025</x:v>
      </x:c>
      <x:c r="E4362" s="87"/>
      <x:c r="F4362" s="87"/>
      <x:c r="G4362" s="87" t="str">
        <x:v>Обществознание</x:v>
      </x:c>
      <x:c r="H4362" s="87" t="n">
        <x:v>11</x:v>
      </x:c>
      <x:c r="I4362" s="87" t="str">
        <x:v>ТР №3</x:v>
      </x:c>
      <x:c r="J4362" s="87" t="str">
        <x:v>ОБ2510304</x:v>
      </x:c>
      <x:c r="K4362" s="87" t="n">
        <x:v>5</x:v>
      </x:c>
      <x:c r="L4362" s="87" t="str">
        <x:v>Множественный выбор</x:v>
      </x:c>
      <x:c r="M4362" s="30" t="str">
        <x:v>Выберите верные суждения о налогах и запишите цифры, под которыми
    они указаны.
    1) Как правило, налоги являются основным источником доходов
       в государственном бюджете.
    2) Косвенные налоги уплачиваются с дохода или имущества.
    3) В демократическом государстве налоги вводятся и отменяются
       парламентом.
    4) В Российской Федерации выделяется два уровня налогов: федеральные
       и местные.
    5) Взимание налогов относится к основным признакам государства любого
       типа.</x:v>
      </x:c>
      <x:c r="N4362" s="30" t="str">
        <x:v>135</x:v>
      </x:c>
      <x:c r="O4362" s="30" t="str">
        <x:v>Налоги обычно формируют основную часть бюджетных доходов, устанавливаются законом парламентом и являются признаком государства; косвенные налоги включаются в цену, а в РФ три уровня налогов.</x:v>
      </x:c>
      <x:c r="P4362" s="30" t="str">
        <x:v>Каждая выбранная позиция или соответствие проверены по обществоведческим понятиям и условию; официальный ключ совпал.</x:v>
      </x:c>
      <x:c r="Q4362" s="30"/>
      <x:c r="R4362" s="30" t="str">
        <x:v>135</x:v>
      </x:c>
      <x:c r="S4362" s="30"/>
      <x:c r="T4362" s="30" t="str">
        <x:v>Kriterii_OB11_10122025_.pdf, p. 2</x:v>
      </x:c>
      <x:c r="U4362" s="30" t="str">
        <x:v>Расхождений нет.</x:v>
      </x:c>
      <x:c r="V4362" s="87" t="str">
        <x:v>VERIFIED</x:v>
      </x:c>
      <x:c r="W4362" s="87" t="n">
        <x:v>18</x:v>
      </x:c>
      <x:c r="X4362" s="87"/>
      <x:c r="Y4362" s="87"/>
      <x:c r="Z4362" s="87"/>
      <x:c r="AA4362" s="87"/>
      <x:c r="AB4362" s="87"/>
      <x:c r="AC4362" s="87" t="str">
        <x:v>VIS-SOC-DEC-TASK-34-P018</x:v>
      </x:c>
      <x:c r="AD4362" s="87"/>
      <x:c r="AE4362" s="87" t="str">
        <x:v>TASK</x:v>
      </x:c>
      <x:c r="AF4362" s="87"/>
      <x:c r="AG4362" s="87" t="str">
        <x:v>RESOLVED</x:v>
      </x:c>
      <x:c r="AH4362" s="87" t="str">
        <x:v>CROP_VERIFIED</x:v>
      </x:c>
      <x:c r="AI4362" s="30"/>
      <x:c r="AJ4362" s="87" t="str">
        <x:v>clean</x:v>
      </x:c>
      <x:c r="AK4362" s="87" t="str">
        <x:v>clean-v0.05</x:v>
      </x:c>
      <x:c r="AL4362" s="87" t="str">
        <x:v>statgrad_clean_continuation_v0_05(1)(1).xlsx</x:v>
      </x:c>
      <x:c r="AM4362" s="87" t="str">
        <x:v>SOC_Dec_V4</x:v>
      </x:c>
      <x:c r="AN4362" s="87" t="n">
        <x:v>6</x:v>
      </x:c>
    </x:row>
    <x:row r="4363">
      <x:c r="A4363" s="87" t="n">
        <x:v>4362</x:v>
      </x:c>
      <x:c r="B4363" s="87" t="str">
        <x:v>DEC-SOC-04-006</x:v>
      </x:c>
      <x:c r="C4363" s="87" t="str">
        <x:v>СтатГрад</x:v>
      </x:c>
      <x:c r="D4363" s="87" t="str">
        <x:v>Декабрь 2025</x:v>
      </x:c>
      <x:c r="E4363" s="87"/>
      <x:c r="F4363" s="87"/>
      <x:c r="G4363" s="87" t="str">
        <x:v>Обществознание</x:v>
      </x:c>
      <x:c r="H4363" s="87" t="n">
        <x:v>11</x:v>
      </x:c>
      <x:c r="I4363" s="87" t="str">
        <x:v>ТР №3</x:v>
      </x:c>
      <x:c r="J4363" s="87" t="str">
        <x:v>ОБ2510304</x:v>
      </x:c>
      <x:c r="K4363" s="87" t="n">
        <x:v>6</x:v>
      </x:c>
      <x:c r="L4363" s="87" t="str">
        <x:v>Установление соответствия</x:v>
      </x:c>
      <x:c r="M4363" s="30" t="str">
        <x:v>Установите соответствие между примерами и видами производственных
    издержек: к каждой позиции, данной в первом столбце, подберите
    соответствующую позицию из второго столбца.
                     ПРИМЕР                                     ВИД ИЗДЕРЖЕК
    А) расходы на рекламу                                 1) постоянные
    Б) платежи по ранее взятым кредитам                   2) переменные
    В) расходы на транспортировку готовой
       продукции
    Г) арендная плата за производственные
       и административные помещения
    Д) расходы на тару и упаковку продукции
    Запишите в таблицу выбранные цифры под соответствующими буквами.
               А Б В Г Д</x:v>
      </x:c>
      <x:c r="N4363" s="30" t="str">
        <x:v>11212</x:v>
      </x:c>
      <x:c r="O4363" s="30" t="str">
        <x:v>Реклама и платежи по кредитам — постоянные издержки; транспортировка и упаковка — переменные; аренда — постоянная.</x:v>
      </x:c>
      <x:c r="P4363" s="30" t="str">
        <x:v>Каждая выбранная позиция или соответствие проверены по обществоведческим понятиям и условию; официальный ключ совпал.</x:v>
      </x:c>
      <x:c r="Q4363" s="30"/>
      <x:c r="R4363" s="30" t="str">
        <x:v>11212</x:v>
      </x:c>
      <x:c r="S4363" s="30"/>
      <x:c r="T4363" s="30" t="str">
        <x:v>Kriterii_OB11_10122025_.pdf, p. 2</x:v>
      </x:c>
      <x:c r="U4363" s="30" t="str">
        <x:v>Расхождений нет.</x:v>
      </x:c>
      <x:c r="V4363" s="87" t="str">
        <x:v>VERIFIED</x:v>
      </x:c>
      <x:c r="W4363" s="87" t="n">
        <x:v>18</x:v>
      </x:c>
      <x:c r="X4363" s="87"/>
      <x:c r="Y4363" s="87"/>
      <x:c r="Z4363" s="87"/>
      <x:c r="AA4363" s="87"/>
      <x:c r="AB4363" s="87"/>
      <x:c r="AC4363" s="87" t="str">
        <x:v>VIS-SOC-DEC-TASK-34-P018</x:v>
      </x:c>
      <x:c r="AD4363" s="87"/>
      <x:c r="AE4363" s="87" t="str">
        <x:v>TASK</x:v>
      </x:c>
      <x:c r="AF4363" s="87"/>
      <x:c r="AG4363" s="87" t="str">
        <x:v>RESOLVED</x:v>
      </x:c>
      <x:c r="AH4363" s="87" t="str">
        <x:v>CROP_VERIFIED</x:v>
      </x:c>
      <x:c r="AI4363" s="30"/>
      <x:c r="AJ4363" s="87" t="str">
        <x:v>clean</x:v>
      </x:c>
      <x:c r="AK4363" s="87" t="str">
        <x:v>clean-v0.05</x:v>
      </x:c>
      <x:c r="AL4363" s="87" t="str">
        <x:v>statgrad_clean_continuation_v0_05(1)(1).xlsx</x:v>
      </x:c>
      <x:c r="AM4363" s="87" t="str">
        <x:v>SOC_Dec_V4</x:v>
      </x:c>
      <x:c r="AN4363" s="87" t="n">
        <x:v>7</x:v>
      </x:c>
    </x:row>
    <x:row r="4364">
      <x:c r="A4364" s="87" t="n">
        <x:v>4363</x:v>
      </x:c>
      <x:c r="B4364" s="87" t="str">
        <x:v>DEC-SOC-04-007</x:v>
      </x:c>
      <x:c r="C4364" s="87" t="str">
        <x:v>СтатГрад</x:v>
      </x:c>
      <x:c r="D4364" s="87" t="str">
        <x:v>Декабрь 2025</x:v>
      </x:c>
      <x:c r="E4364" s="87"/>
      <x:c r="F4364" s="87"/>
      <x:c r="G4364" s="87" t="str">
        <x:v>Обществознание</x:v>
      </x:c>
      <x:c r="H4364" s="87" t="n">
        <x:v>11</x:v>
      </x:c>
      <x:c r="I4364" s="87" t="str">
        <x:v>ТР №3</x:v>
      </x:c>
      <x:c r="J4364" s="87" t="str">
        <x:v>ОБ2510304</x:v>
      </x:c>
      <x:c r="K4364" s="87" t="n">
        <x:v>7</x:v>
      </x:c>
      <x:c r="L4364" s="87" t="str">
        <x:v>Множественный выбор</x:v>
      </x:c>
      <x:c r="M4364" s="30" t="str">
        <x:v>В стране Z за год цены на товары и услуги выросли на 40 %. Какие
    из перечисленных факторов позволяют рассматривать такой рост цен
    как инфляцию предложения? Запишите цифры, под которыми они указаны.
    1) повышение налога на прибыль
    2) рост доходов населения
    3) повышение тарифов на электроэнергию
    4) рост стоимости топлива
    5) повышение курса национальной валюты</x:v>
      </x:c>
      <x:c r="N4364" s="30" t="str">
        <x:v>134</x:v>
      </x:c>
      <x:c r="O4364" s="30" t="str">
        <x:v>Рост налога на прибыль, тарифов на электроэнергию и стоимости топлива увеличивает издержки производителей и вызывает инфляцию предложения.</x:v>
      </x:c>
      <x:c r="P4364" s="30" t="str">
        <x:v>Каждая выбранная позиция или соответствие проверены по обществоведческим понятиям и условию; официальный ключ совпал.</x:v>
      </x:c>
      <x:c r="Q4364" s="30"/>
      <x:c r="R4364" s="30" t="str">
        <x:v>134</x:v>
      </x:c>
      <x:c r="S4364" s="30"/>
      <x:c r="T4364" s="30" t="str">
        <x:v>Kriterii_OB11_10122025_.pdf, p. 2</x:v>
      </x:c>
      <x:c r="U4364" s="30" t="str">
        <x:v>Расхождений нет.</x:v>
      </x:c>
      <x:c r="V4364" s="87" t="str">
        <x:v>VERIFIED</x:v>
      </x:c>
      <x:c r="W4364" s="87" t="n">
        <x:v>19</x:v>
      </x:c>
      <x:c r="X4364" s="87"/>
      <x:c r="Y4364" s="87"/>
      <x:c r="Z4364" s="87"/>
      <x:c r="AA4364" s="87"/>
      <x:c r="AB4364" s="87"/>
      <x:c r="AC4364" s="87" t="str">
        <x:v>VIS-SOC-DEC-TASK-34-P019</x:v>
      </x:c>
      <x:c r="AD4364" s="87"/>
      <x:c r="AE4364" s="87" t="str">
        <x:v>TASK</x:v>
      </x:c>
      <x:c r="AF4364" s="87"/>
      <x:c r="AG4364" s="87" t="str">
        <x:v>RESOLVED</x:v>
      </x:c>
      <x:c r="AH4364" s="87" t="str">
        <x:v>CROP_VERIFIED</x:v>
      </x:c>
      <x:c r="AI4364" s="30"/>
      <x:c r="AJ4364" s="87" t="str">
        <x:v>clean</x:v>
      </x:c>
      <x:c r="AK4364" s="87" t="str">
        <x:v>clean-v0.05</x:v>
      </x:c>
      <x:c r="AL4364" s="87" t="str">
        <x:v>statgrad_clean_continuation_v0_05(1)(1).xlsx</x:v>
      </x:c>
      <x:c r="AM4364" s="87" t="str">
        <x:v>SOC_Dec_V4</x:v>
      </x:c>
      <x:c r="AN4364" s="87" t="n">
        <x:v>8</x:v>
      </x:c>
    </x:row>
    <x:row r="4365">
      <x:c r="A4365" s="87" t="n">
        <x:v>4364</x:v>
      </x:c>
      <x:c r="B4365" s="87" t="str">
        <x:v>DEC-SOC-04-008</x:v>
      </x:c>
      <x:c r="C4365" s="87" t="str">
        <x:v>СтатГрад</x:v>
      </x:c>
      <x:c r="D4365" s="87" t="str">
        <x:v>Декабрь 2025</x:v>
      </x:c>
      <x:c r="E4365" s="87"/>
      <x:c r="F4365" s="87"/>
      <x:c r="G4365" s="87" t="str">
        <x:v>Обществознание</x:v>
      </x:c>
      <x:c r="H4365" s="87" t="n">
        <x:v>11</x:v>
      </x:c>
      <x:c r="I4365" s="87" t="str">
        <x:v>ТР №3</x:v>
      </x:c>
      <x:c r="J4365" s="87" t="str">
        <x:v>ОБ2510304</x:v>
      </x:c>
      <x:c r="K4365" s="87" t="n">
        <x:v>8</x:v>
      </x:c>
      <x:c r="L4365" s="87" t="str">
        <x:v>Множественный выбор</x:v>
      </x:c>
      <x:c r="M4365" s="30" t="str">
        <x:v>Выберите верные суждения об этнических общностях и запишите цифры,
    под которыми они указаны.
    1) Древнейшим видом этнической общности была народность.
    2) Этнические группы характеризуются общностью языка и культуры.
    3) Отношения между этническими общностями называются межконфес-
       сиональными отношениями.
    4) Шовинизм – это идеология, провозглашающая превосходство одних
       этносов над другими.
    5) Процесс поглощения одних этнических общностей другими называется
       ассимиляцией.</x:v>
      </x:c>
      <x:c r="N4365" s="30" t="str">
        <x:v>245</x:v>
      </x:c>
      <x:c r="O4365" s="30" t="str">
        <x:v>Общность языка и культуры, шовинизм как идея этнического превосходства и ассимиляция как поглощение этноса — верные положения.</x:v>
      </x:c>
      <x:c r="P4365" s="30" t="str">
        <x:v>Каждая выбранная позиция или соответствие проверены по обществоведческим понятиям и условию; официальный ключ совпал.</x:v>
      </x:c>
      <x:c r="Q4365" s="30"/>
      <x:c r="R4365" s="30" t="str">
        <x:v>245</x:v>
      </x:c>
      <x:c r="S4365" s="30"/>
      <x:c r="T4365" s="30" t="str">
        <x:v>Kriterii_OB11_10122025_.pdf, p. 2</x:v>
      </x:c>
      <x:c r="U4365" s="30" t="str">
        <x:v>Расхождений нет.</x:v>
      </x:c>
      <x:c r="V4365" s="87" t="str">
        <x:v>VERIFIED</x:v>
      </x:c>
      <x:c r="W4365" s="87" t="n">
        <x:v>19</x:v>
      </x:c>
      <x:c r="X4365" s="87"/>
      <x:c r="Y4365" s="87"/>
      <x:c r="Z4365" s="87"/>
      <x:c r="AA4365" s="87"/>
      <x:c r="AB4365" s="87"/>
      <x:c r="AC4365" s="87" t="str">
        <x:v>VIS-SOC-DEC-TASK-34-P019</x:v>
      </x:c>
      <x:c r="AD4365" s="87"/>
      <x:c r="AE4365" s="87" t="str">
        <x:v>TASK</x:v>
      </x:c>
      <x:c r="AF4365" s="87"/>
      <x:c r="AG4365" s="87" t="str">
        <x:v>RESOLVED</x:v>
      </x:c>
      <x:c r="AH4365" s="87" t="str">
        <x:v>CROP_VERIFIED</x:v>
      </x:c>
      <x:c r="AI4365" s="30"/>
      <x:c r="AJ4365" s="87" t="str">
        <x:v>clean</x:v>
      </x:c>
      <x:c r="AK4365" s="87" t="str">
        <x:v>clean-v0.05</x:v>
      </x:c>
      <x:c r="AL4365" s="87" t="str">
        <x:v>statgrad_clean_continuation_v0_05(1)(1).xlsx</x:v>
      </x:c>
      <x:c r="AM4365" s="87" t="str">
        <x:v>SOC_Dec_V4</x:v>
      </x:c>
      <x:c r="AN4365" s="87" t="n">
        <x:v>9</x:v>
      </x:c>
    </x:row>
    <x:row r="4366">
      <x:c r="A4366" s="87" t="n">
        <x:v>4365</x:v>
      </x:c>
      <x:c r="B4366" s="87" t="str">
        <x:v>DEC-SOC-04-009</x:v>
      </x:c>
      <x:c r="C4366" s="87" t="str">
        <x:v>СтатГрад</x:v>
      </x:c>
      <x:c r="D4366" s="87" t="str">
        <x:v>Декабрь 2025</x:v>
      </x:c>
      <x:c r="E4366" s="87"/>
      <x:c r="F4366" s="87"/>
      <x:c r="G4366" s="87" t="str">
        <x:v>Обществознание</x:v>
      </x:c>
      <x:c r="H4366" s="87" t="n">
        <x:v>11</x:v>
      </x:c>
      <x:c r="I4366" s="87" t="str">
        <x:v>ТР №3</x:v>
      </x:c>
      <x:c r="J4366" s="87" t="str">
        <x:v>ОБ2510304</x:v>
      </x:c>
      <x:c r="K4366" s="87" t="n">
        <x:v>9</x:v>
      </x:c>
      <x:c r="L4366" s="87" t="str">
        <x:v>Анализ диаграммы</x:v>
      </x:c>
      <x:c r="M4366" s="30" t="str">
        <x:v>В ходе социологического опроса в стране Z мужчинам и женщинам задавался
    вопрос: «Собираетесь ли вы работать после достижения пенсионного
    возраста?»
    Результаты опроса (в % от числа опрошенных) представлены в графическом
    виде
     60
                                                                        Обязательно продолжу
     50                                                                 работать
     40                                                                 Не намерен работать в
                                                                        любом случае
     30
                                                                        Приму решение в
                                                                        зависимости от
     20                                                                 материального
                                                                        положения
     10
                                                                        Не определились с
                                                                        ответом
      0
                    Мужчины                         Женщины
    Найдите в приведённом списке выводы, которые можно сделать на основе
    диаграммы, и запишите цифры, под которыми они указаны.
    1) Доля не определившихся с ответом среди опрошенных мужчин больше,
       чем среди женщин.
    2) Среди опрошенных женщин доля тех, кто не намерен работать в любом
       случае больше, чем доля тех, кто примет решение в зависимости
       от своего материального положения.
    3) Доля тех, кто намерен продолжить работать после достижения
       пенсионного возраста является наибольшей как среди мужчин,
       так и среди женщин.
    4) Более половины опрошенных женщин решили продолжить работать
       после достижения пенсионного возраста.
    5) Одинаковый процент опрошенных как среди мужчин, так и среди
       женщин указали, что примут решение в зависимости от своего
       материального положения.</x:v>
      </x:c>
      <x:c r="N4366" s="30" t="str">
        <x:v>235</x:v>
      </x:c>
      <x:c r="O4366" s="30" t="str">
        <x:v>По диаграмме верны сравнения 2, 3 и 5; выводы 1 и 4 противоречат высоте соответствующих столбцов.</x:v>
      </x:c>
      <x:c r="P4366" s="30" t="str">
        <x:v>Каждая выбранная позиция или соответствие проверены по обществоведческим понятиям и условию; официальный ключ совпал.</x:v>
      </x:c>
      <x:c r="Q4366" s="30"/>
      <x:c r="R4366" s="30" t="str">
        <x:v>235</x:v>
      </x:c>
      <x:c r="S4366" s="30"/>
      <x:c r="T4366" s="30" t="str">
        <x:v>Kriterii_OB11_10122025_.pdf, p. 2</x:v>
      </x:c>
      <x:c r="U4366" s="30" t="str">
        <x:v>Расхождений нет.</x:v>
      </x:c>
      <x:c r="V4366" s="87" t="str">
        <x:v>VERIFIED</x:v>
      </x:c>
      <x:c r="W4366" s="87" t="n">
        <x:v>20</x:v>
      </x:c>
      <x:c r="X4366" s="87"/>
      <x:c r="Y4366" s="87"/>
      <x:c r="Z4366" s="87"/>
      <x:c r="AA4366" s="87"/>
      <x:c r="AB4366" s="87"/>
      <x:c r="AC4366" s="87" t="str">
        <x:v>VIS-SOC-DEC-TASK-34-P020</x:v>
      </x:c>
      <x:c r="AD4366" s="87"/>
      <x:c r="AE4366" s="87" t="str">
        <x:v>TASK</x:v>
      </x:c>
      <x:c r="AF4366" s="87"/>
      <x:c r="AG4366" s="87" t="str">
        <x:v>RESOLVED</x:v>
      </x:c>
      <x:c r="AH4366" s="87" t="str">
        <x:v>CROP_VERIFIED; TASK_CROP_QA_APPROVED:USE_TIGHT</x:v>
      </x:c>
      <x:c r="AI4366" s="30"/>
      <x:c r="AJ4366" s="87" t="str">
        <x:v>clean</x:v>
      </x:c>
      <x:c r="AK4366" s="87" t="str">
        <x:v>clean-v0.05</x:v>
      </x:c>
      <x:c r="AL4366" s="87" t="str">
        <x:v>statgrad_clean_continuation_v0_05(1)(1).xlsx</x:v>
      </x:c>
      <x:c r="AM4366" s="87" t="str">
        <x:v>SOC_Dec_V4</x:v>
      </x:c>
      <x:c r="AN4366" s="87" t="n">
        <x:v>10</x:v>
      </x:c>
    </x:row>
    <x:row r="4367">
      <x:c r="A4367" s="87" t="n">
        <x:v>4366</x:v>
      </x:c>
      <x:c r="B4367" s="87" t="str">
        <x:v>DEC-SOC-04-010</x:v>
      </x:c>
      <x:c r="C4367" s="87" t="str">
        <x:v>СтатГрад</x:v>
      </x:c>
      <x:c r="D4367" s="87" t="str">
        <x:v>Декабрь 2025</x:v>
      </x:c>
      <x:c r="E4367" s="87"/>
      <x:c r="F4367" s="87"/>
      <x:c r="G4367" s="87" t="str">
        <x:v>Обществознание</x:v>
      </x:c>
      <x:c r="H4367" s="87" t="n">
        <x:v>11</x:v>
      </x:c>
      <x:c r="I4367" s="87" t="str">
        <x:v>ТР №3</x:v>
      </x:c>
      <x:c r="J4367" s="87" t="str">
        <x:v>ОБ2510304</x:v>
      </x:c>
      <x:c r="K4367" s="87" t="n">
        <x:v>10</x:v>
      </x:c>
      <x:c r="L4367" s="87" t="str">
        <x:v>Множественный выбор</x:v>
      </x:c>
      <x:c r="M4367" s="30" t="str">
        <x:v>Выберите верные суждения о демократических выборах и запишите цифры,
     под которыми они указаны.
     1) На демократических выборах могут голосовать все совершеннолетние
        граждане.
     2) Демократические выборы осуществляются путём тайного голосования.
     3) Демократические выборы проводятся только при наличии нескольких
        кандидатов на выборную должность.
     4) В процессе демократических выборов все избиратели имеют равные
        права.
     5) В ходе демократических выборов кандидаты выдвигаются только
        политическими партиями.</x:v>
      </x:c>
      <x:c r="N4367" s="30" t="str">
        <x:v>234</x:v>
      </x:c>
      <x:c r="O4367" s="30" t="str">
        <x:v>Тайное голосование, альтернативность и равенство избирателей — признаки демократических выборов; всеобщность имеет законные ограничения, кандидатов выдвигают не только партии.</x:v>
      </x:c>
      <x:c r="P4367" s="30" t="str">
        <x:v>Каждая выбранная позиция или соответствие проверены по обществоведческим понятиям и условию; официальный ключ совпал.</x:v>
      </x:c>
      <x:c r="Q4367" s="30"/>
      <x:c r="R4367" s="30" t="str">
        <x:v>234</x:v>
      </x:c>
      <x:c r="S4367" s="30"/>
      <x:c r="T4367" s="30" t="str">
        <x:v>Kriterii_OB11_10122025_.pdf, p. 2</x:v>
      </x:c>
      <x:c r="U4367" s="30" t="str">
        <x:v>Расхождений нет.</x:v>
      </x:c>
      <x:c r="V4367" s="87" t="str">
        <x:v>VERIFIED</x:v>
      </x:c>
      <x:c r="W4367" s="87" t="n">
        <x:v>21</x:v>
      </x:c>
      <x:c r="X4367" s="87"/>
      <x:c r="Y4367" s="87"/>
      <x:c r="Z4367" s="87"/>
      <x:c r="AA4367" s="87"/>
      <x:c r="AB4367" s="87"/>
      <x:c r="AC4367" s="87" t="str">
        <x:v>VIS-SOC-DEC-TASK-34-P021</x:v>
      </x:c>
      <x:c r="AD4367" s="87"/>
      <x:c r="AE4367" s="87" t="str">
        <x:v>TASK</x:v>
      </x:c>
      <x:c r="AF4367" s="87"/>
      <x:c r="AG4367" s="87" t="str">
        <x:v>RESOLVED</x:v>
      </x:c>
      <x:c r="AH4367" s="87" t="str">
        <x:v>CROP_VERIFIED</x:v>
      </x:c>
      <x:c r="AI4367" s="30"/>
      <x:c r="AJ4367" s="87" t="str">
        <x:v>clean</x:v>
      </x:c>
      <x:c r="AK4367" s="87" t="str">
        <x:v>clean-v0.05</x:v>
      </x:c>
      <x:c r="AL4367" s="87" t="str">
        <x:v>statgrad_clean_continuation_v0_05(1)(1).xlsx</x:v>
      </x:c>
      <x:c r="AM4367" s="87" t="str">
        <x:v>SOC_Dec_V4</x:v>
      </x:c>
      <x:c r="AN4367" s="87" t="n">
        <x:v>11</x:v>
      </x:c>
    </x:row>
    <x:row r="4368">
      <x:c r="A4368" s="87" t="n">
        <x:v>4367</x:v>
      </x:c>
      <x:c r="B4368" s="87" t="str">
        <x:v>DEC-SOC-04-011</x:v>
      </x:c>
      <x:c r="C4368" s="87" t="str">
        <x:v>СтатГрад</x:v>
      </x:c>
      <x:c r="D4368" s="87" t="str">
        <x:v>Декабрь 2025</x:v>
      </x:c>
      <x:c r="E4368" s="87"/>
      <x:c r="F4368" s="87"/>
      <x:c r="G4368" s="87" t="str">
        <x:v>Обществознание</x:v>
      </x:c>
      <x:c r="H4368" s="87" t="n">
        <x:v>11</x:v>
      </x:c>
      <x:c r="I4368" s="87" t="str">
        <x:v>ТР №3</x:v>
      </x:c>
      <x:c r="J4368" s="87" t="str">
        <x:v>ОБ2510304</x:v>
      </x:c>
      <x:c r="K4368" s="87" t="n">
        <x:v>11</x:v>
      </x:c>
      <x:c r="L4368" s="87" t="str">
        <x:v>Анализ политической ситуации</x:v>
      </x:c>
      <x:c r="M4368" s="30" t="str">
        <x:v>Президент государства Z был избран на должность на конкурентных честных
     выборах. В своей деятельности он соблюдает конституцию и законы страны,
     регулярно встречается с представителями политических партий, в том числе
     оппозиционных, большим влиянием в стране пользуется избранный народом
     парламент. Найдите в приведённом ниже перечне характеристики президента
     государства Z как политического лидера. Запишите цифры, под которыми
     они указаны.
     1) харизматичный
     2) рационально-легальный
     3) демократичный
     4) региональный
     5) традиционный
     6) национальный</x:v>
      </x:c>
      <x:c r="N4368" s="30" t="str">
        <x:v>236</x:v>
      </x:c>
      <x:c r="O4368" s="30" t="str">
        <x:v>Избрание по закону указывает на рационально-легальное лидерство; взаимодействие с оппозицией — демократический стиль; президент действует на общенациональном уровне.</x:v>
      </x:c>
      <x:c r="P4368" s="30" t="str">
        <x:v>Каждая выбранная позиция или соответствие проверены по обществоведческим понятиям и условию; официальный ключ совпал.</x:v>
      </x:c>
      <x:c r="Q4368" s="30"/>
      <x:c r="R4368" s="30" t="str">
        <x:v>236</x:v>
      </x:c>
      <x:c r="S4368" s="30"/>
      <x:c r="T4368" s="30" t="str">
        <x:v>Kriterii_OB11_10122025_.pdf, p. 2</x:v>
      </x:c>
      <x:c r="U4368" s="30" t="str">
        <x:v>Расхождений нет.</x:v>
      </x:c>
      <x:c r="V4368" s="87" t="str">
        <x:v>VERIFIED</x:v>
      </x:c>
      <x:c r="W4368" s="87" t="n">
        <x:v>21</x:v>
      </x:c>
      <x:c r="X4368" s="87"/>
      <x:c r="Y4368" s="87"/>
      <x:c r="Z4368" s="87"/>
      <x:c r="AA4368" s="87"/>
      <x:c r="AB4368" s="87"/>
      <x:c r="AC4368" s="87" t="str">
        <x:v>VIS-SOC-DEC-TASK-34-P021</x:v>
      </x:c>
      <x:c r="AD4368" s="87"/>
      <x:c r="AE4368" s="87" t="str">
        <x:v>TASK</x:v>
      </x:c>
      <x:c r="AF4368" s="87"/>
      <x:c r="AG4368" s="87" t="str">
        <x:v>RESOLVED</x:v>
      </x:c>
      <x:c r="AH4368" s="87" t="str">
        <x:v>CROP_VERIFIED</x:v>
      </x:c>
      <x:c r="AI4368" s="30"/>
      <x:c r="AJ4368" s="87" t="str">
        <x:v>clean</x:v>
      </x:c>
      <x:c r="AK4368" s="87" t="str">
        <x:v>clean-v0.05</x:v>
      </x:c>
      <x:c r="AL4368" s="87" t="str">
        <x:v>statgrad_clean_continuation_v0_05(1)(1).xlsx</x:v>
      </x:c>
      <x:c r="AM4368" s="87" t="str">
        <x:v>SOC_Dec_V4</x:v>
      </x:c>
      <x:c r="AN4368" s="87" t="n">
        <x:v>12</x:v>
      </x:c>
    </x:row>
    <x:row r="4369">
      <x:c r="A4369" s="87" t="n">
        <x:v>4368</x:v>
      </x:c>
      <x:c r="B4369" s="87" t="str">
        <x:v>DEC-SOC-04-012</x:v>
      </x:c>
      <x:c r="C4369" s="87" t="str">
        <x:v>СтатГрад</x:v>
      </x:c>
      <x:c r="D4369" s="87" t="str">
        <x:v>Декабрь 2025</x:v>
      </x:c>
      <x:c r="E4369" s="87"/>
      <x:c r="F4369" s="87"/>
      <x:c r="G4369" s="87" t="str">
        <x:v>Обществознание</x:v>
      </x:c>
      <x:c r="H4369" s="87" t="n">
        <x:v>11</x:v>
      </x:c>
      <x:c r="I4369" s="87" t="str">
        <x:v>ТР №3</x:v>
      </x:c>
      <x:c r="J4369" s="87" t="str">
        <x:v>ОБ2510304</x:v>
      </x:c>
      <x:c r="K4369" s="87" t="n">
        <x:v>12</x:v>
      </x:c>
      <x:c r="L4369" s="87" t="str">
        <x:v>Конституционные характеристики</x:v>
      </x:c>
      <x:c r="M4369" s="30" t="str">
        <x:v>Какие из перечисленных признаков характеризуют Российскую Федерацию
     как светское государство? Запишите цифры, под которыми указаны.
     1) отсутствие государственной или обязательной идеологии
     2) равенство религиозных объединений перед законом
     3) право граждан исповедовать любую религию или не исповедовать
        никакой религии
     4) гарантия права на свободу творчества
     5) отделение религиозных объединений от государства</x:v>
      </x:c>
      <x:c r="N4369" s="30" t="str">
        <x:v>235</x:v>
      </x:c>
      <x:c r="O4369" s="30" t="str">
        <x:v>Светский характер РФ выражается в равенстве религиозных объединений, свободе совести и отделении религиозных объединений от государства.</x:v>
      </x:c>
      <x:c r="P4369" s="30" t="str">
        <x:v>Каждая выбранная позиция или соответствие проверены по обществоведческим понятиям и условию; официальный ключ совпал.</x:v>
      </x:c>
      <x:c r="Q4369" s="30"/>
      <x:c r="R4369" s="30" t="str">
        <x:v>235</x:v>
      </x:c>
      <x:c r="S4369" s="30"/>
      <x:c r="T4369" s="30" t="str">
        <x:v>Kriterii_OB11_10122025_.pdf, p. 2</x:v>
      </x:c>
      <x:c r="U4369" s="30" t="str">
        <x:v>Расхождений нет.</x:v>
      </x:c>
      <x:c r="V4369" s="87" t="str">
        <x:v>VERIFIED</x:v>
      </x:c>
      <x:c r="W4369" s="87" t="n">
        <x:v>22</x:v>
      </x:c>
      <x:c r="X4369" s="87"/>
      <x:c r="Y4369" s="87"/>
      <x:c r="Z4369" s="87"/>
      <x:c r="AA4369" s="87"/>
      <x:c r="AB4369" s="87"/>
      <x:c r="AC4369" s="87" t="str">
        <x:v>VIS-SOC-DEC-TASK-34-P022</x:v>
      </x:c>
      <x:c r="AD4369" s="87"/>
      <x:c r="AE4369" s="87" t="str">
        <x:v>TASK</x:v>
      </x:c>
      <x:c r="AF4369" s="87"/>
      <x:c r="AG4369" s="87" t="str">
        <x:v>RESOLVED</x:v>
      </x:c>
      <x:c r="AH4369" s="87" t="str">
        <x:v>CROP_VERIFIED</x:v>
      </x:c>
      <x:c r="AI4369" s="30"/>
      <x:c r="AJ4369" s="87" t="str">
        <x:v>clean</x:v>
      </x:c>
      <x:c r="AK4369" s="87" t="str">
        <x:v>clean-v0.05</x:v>
      </x:c>
      <x:c r="AL4369" s="87" t="str">
        <x:v>statgrad_clean_continuation_v0_05(1)(1).xlsx</x:v>
      </x:c>
      <x:c r="AM4369" s="87" t="str">
        <x:v>SOC_Dec_V4</x:v>
      </x:c>
      <x:c r="AN4369" s="87" t="n">
        <x:v>13</x:v>
      </x:c>
    </x:row>
    <x:row r="4370">
      <x:c r="A4370" s="87" t="n">
        <x:v>4369</x:v>
      </x:c>
      <x:c r="B4370" s="87" t="str">
        <x:v>DEC-SOC-04-013</x:v>
      </x:c>
      <x:c r="C4370" s="87" t="str">
        <x:v>СтатГрад</x:v>
      </x:c>
      <x:c r="D4370" s="87" t="str">
        <x:v>Декабрь 2025</x:v>
      </x:c>
      <x:c r="E4370" s="87"/>
      <x:c r="F4370" s="87"/>
      <x:c r="G4370" s="87" t="str">
        <x:v>Обществознание</x:v>
      </x:c>
      <x:c r="H4370" s="87" t="n">
        <x:v>11</x:v>
      </x:c>
      <x:c r="I4370" s="87" t="str">
        <x:v>ТР №3</x:v>
      </x:c>
      <x:c r="J4370" s="87" t="str">
        <x:v>ОБ2510304</x:v>
      </x:c>
      <x:c r="K4370" s="87" t="n">
        <x:v>13</x:v>
      </x:c>
      <x:c r="L4370" s="87" t="str">
        <x:v>Установление соответствия</x:v>
      </x:c>
      <x:c r="M4370" s="30" t="str">
        <x:v>Установите    соответствие   между    полномочиями    и    субъектами
     государственной власти РФ: к каждой позиции, данной в первом столбце,
     подберите соответствующую позицию из второго столбца.
                     ПОЛНОМОЧИЕ                                     СУБЪЕКТ
                                                              ГОСУДАРСТВЕННОЙ
                                                                  ВЛАСТИ РФ
     А) издание указов                                     1) Президент
     Б) принятие в гражданство РФ                          2) Правительство
     В) внесение проектов законов                          3) и Президент,
     Г) издание распоряжений                                  и Правительство
     Д) разработка федерального бюджета
     Запишите в таблицу выбранные цифры под соответствующими буквами.
                А Б В Г Д</x:v>
      </x:c>
      <x:c r="N4370" s="30" t="str">
        <x:v>11332</x:v>
      </x:c>
      <x:c r="O4370" s="30" t="str">
        <x:v>Указы и гражданство — компетенция Президента; законопроекты и распоряжения возможны у обоих субъектов; федеральный бюджет разрабатывает Правительство.</x:v>
      </x:c>
      <x:c r="P4370" s="30" t="str">
        <x:v>Каждая выбранная позиция или соответствие проверены по обществоведческим понятиям и условию; официальный ключ совпал.</x:v>
      </x:c>
      <x:c r="Q4370" s="30"/>
      <x:c r="R4370" s="30" t="str">
        <x:v>11332</x:v>
      </x:c>
      <x:c r="S4370" s="30"/>
      <x:c r="T4370" s="30" t="str">
        <x:v>Kriterii_OB11_10122025_.pdf, p. 2</x:v>
      </x:c>
      <x:c r="U4370" s="30" t="str">
        <x:v>Расхождений нет.</x:v>
      </x:c>
      <x:c r="V4370" s="87" t="str">
        <x:v>VERIFIED</x:v>
      </x:c>
      <x:c r="W4370" s="87" t="n">
        <x:v>22</x:v>
      </x:c>
      <x:c r="X4370" s="87"/>
      <x:c r="Y4370" s="87"/>
      <x:c r="Z4370" s="87"/>
      <x:c r="AA4370" s="87"/>
      <x:c r="AB4370" s="87"/>
      <x:c r="AC4370" s="87" t="str">
        <x:v>VIS-SOC-DEC-TASK-34-P022</x:v>
      </x:c>
      <x:c r="AD4370" s="87"/>
      <x:c r="AE4370" s="87" t="str">
        <x:v>TASK</x:v>
      </x:c>
      <x:c r="AF4370" s="87"/>
      <x:c r="AG4370" s="87" t="str">
        <x:v>RESOLVED</x:v>
      </x:c>
      <x:c r="AH4370" s="87" t="str">
        <x:v>CROP_VERIFIED</x:v>
      </x:c>
      <x:c r="AI4370" s="30"/>
      <x:c r="AJ4370" s="87" t="str">
        <x:v>clean</x:v>
      </x:c>
      <x:c r="AK4370" s="87" t="str">
        <x:v>clean-v0.05</x:v>
      </x:c>
      <x:c r="AL4370" s="87" t="str">
        <x:v>statgrad_clean_continuation_v0_05(1)(1).xlsx</x:v>
      </x:c>
      <x:c r="AM4370" s="87" t="str">
        <x:v>SOC_Dec_V4</x:v>
      </x:c>
      <x:c r="AN4370" s="87" t="n">
        <x:v>14</x:v>
      </x:c>
    </x:row>
    <x:row r="4371">
      <x:c r="A4371" s="87" t="n">
        <x:v>4370</x:v>
      </x:c>
      <x:c r="B4371" s="87" t="str">
        <x:v>DEC-SOC-04-014</x:v>
      </x:c>
      <x:c r="C4371" s="87" t="str">
        <x:v>СтатГрад</x:v>
      </x:c>
      <x:c r="D4371" s="87" t="str">
        <x:v>Декабрь 2025</x:v>
      </x:c>
      <x:c r="E4371" s="87"/>
      <x:c r="F4371" s="87"/>
      <x:c r="G4371" s="87" t="str">
        <x:v>Обществознание</x:v>
      </x:c>
      <x:c r="H4371" s="87" t="n">
        <x:v>11</x:v>
      </x:c>
      <x:c r="I4371" s="87" t="str">
        <x:v>ТР №3</x:v>
      </x:c>
      <x:c r="J4371" s="87" t="str">
        <x:v>ОБ2510304</x:v>
      </x:c>
      <x:c r="K4371" s="87" t="n">
        <x:v>14</x:v>
      </x:c>
      <x:c r="L4371" s="87" t="str">
        <x:v>Право: множественный выбор</x:v>
      </x:c>
      <x:c r="M4371" s="30" t="str">
        <x:v>Выберите верные суждения о расторжении трудового договора.
     1) Трудовой договор может быть расторгнут по обстоятельствам,
        не зависящим от воли сторон.
     2) Работодатель в любое время может расторгнуть трудовой договор
        с работником, выплатив ему компенсацию в размере двухмесячного
        заработка.
     3) По общему правилу работник обязан предупредить работодателя
        о расторжении трудового договора не менее чем за две недели до даты
        увольнения.
     4) При расторжении трудового договора работник должен получить
        все причитающиеся ему выплаты в день увольнения.
     5) Трудовой договор, заключённый на определённый срок, может быть
        расторгнут только по инициативе работодателя.</x:v>
      </x:c>
      <x:c r="N4371" s="30" t="str">
        <x:v>134</x:v>
      </x:c>
      <x:c r="O4371" s="30" t="str">
        <x:v>Трудовой договор прекращается и по независимым обстоятельствам; работник обычно предупреждает за две недели; расчёт производится в день увольнения.</x:v>
      </x:c>
      <x:c r="P4371" s="30" t="str">
        <x:v>Каждая выбранная позиция или соответствие проверены по обществоведческим понятиям и условию; официальный ключ совпал.</x:v>
      </x:c>
      <x:c r="Q4371" s="30"/>
      <x:c r="R4371" s="30" t="str">
        <x:v>134</x:v>
      </x:c>
      <x:c r="S4371" s="30"/>
      <x:c r="T4371" s="30" t="str">
        <x:v>Kriterii_OB11_10122025_.pdf, p. 2</x:v>
      </x:c>
      <x:c r="U4371" s="30" t="str">
        <x:v>Расхождений нет.</x:v>
      </x:c>
      <x:c r="V4371" s="87" t="str">
        <x:v>VERIFIED</x:v>
      </x:c>
      <x:c r="W4371" s="87" t="n">
        <x:v>23</x:v>
      </x:c>
      <x:c r="X4371" s="87"/>
      <x:c r="Y4371" s="87"/>
      <x:c r="Z4371" s="87"/>
      <x:c r="AA4371" s="87"/>
      <x:c r="AB4371" s="87"/>
      <x:c r="AC4371" s="87" t="str">
        <x:v>VIS-SOC-DEC-TASK-34-P023</x:v>
      </x:c>
      <x:c r="AD4371" s="87"/>
      <x:c r="AE4371" s="87" t="str">
        <x:v>TASK</x:v>
      </x:c>
      <x:c r="AF4371" s="87"/>
      <x:c r="AG4371" s="87" t="str">
        <x:v>RESOLVED</x:v>
      </x:c>
      <x:c r="AH4371" s="87" t="str">
        <x:v>CROP_VERIFIED</x:v>
      </x:c>
      <x:c r="AI4371" s="30"/>
      <x:c r="AJ4371" s="87" t="str">
        <x:v>clean</x:v>
      </x:c>
      <x:c r="AK4371" s="87" t="str">
        <x:v>clean-v0.05</x:v>
      </x:c>
      <x:c r="AL4371" s="87" t="str">
        <x:v>statgrad_clean_continuation_v0_05(1)(1).xlsx</x:v>
      </x:c>
      <x:c r="AM4371" s="87" t="str">
        <x:v>SOC_Dec_V4</x:v>
      </x:c>
      <x:c r="AN4371" s="87" t="n">
        <x:v>15</x:v>
      </x:c>
    </x:row>
    <x:row r="4372">
      <x:c r="A4372" s="87" t="n">
        <x:v>4371</x:v>
      </x:c>
      <x:c r="B4372" s="87" t="str">
        <x:v>DEC-SOC-04-015</x:v>
      </x:c>
      <x:c r="C4372" s="87" t="str">
        <x:v>СтатГрад</x:v>
      </x:c>
      <x:c r="D4372" s="87" t="str">
        <x:v>Декабрь 2025</x:v>
      </x:c>
      <x:c r="E4372" s="87"/>
      <x:c r="F4372" s="87"/>
      <x:c r="G4372" s="87" t="str">
        <x:v>Обществознание</x:v>
      </x:c>
      <x:c r="H4372" s="87" t="n">
        <x:v>11</x:v>
      </x:c>
      <x:c r="I4372" s="87" t="str">
        <x:v>ТР №3</x:v>
      </x:c>
      <x:c r="J4372" s="87" t="str">
        <x:v>ОБ2510304</x:v>
      </x:c>
      <x:c r="K4372" s="87" t="n">
        <x:v>15</x:v>
      </x:c>
      <x:c r="L4372" s="87" t="str">
        <x:v>Установление соответствия</x:v>
      </x:c>
      <x:c r="M4372" s="30" t="str">
        <x:v>Установите соответствие между мерами и видами юридической
     ответственности: к каждой позиции, данной в первом столбце, подберите
     соответствующую позицию из второго столбца.
              МЕРА ОТВЕТСТВЕННОСТИ                            ВИД ЮРИДИЧЕСКОЙ
                                                              ОТВЕТСТВЕННОСТИ
     А) дисквалификация                                    1) только уголовная
     Б) ограничение свободы                                2) только административная
     В) лишение свободы                                    3) и уголовная,
     Г) обязательные работы                                   и административная
     Д) предупреждение
     Запишите в таблицу выбранные цифры под соответствующими буквами.
                А Б В Г Д</x:v>
      </x:c>
      <x:c r="N4372" s="30" t="str">
        <x:v>21132</x:v>
      </x:c>
      <x:c r="O4372" s="30" t="str">
        <x:v>Дисквалификация и предупреждение — административные меры; ограничение и лишение свободы — уголовные; обязательные работы предусмотрены в обоих видах ответственности.</x:v>
      </x:c>
      <x:c r="P4372" s="30" t="str">
        <x:v>Каждая выбранная позиция или соответствие проверены по обществоведческим понятиям и условию; официальный ключ совпал.</x:v>
      </x:c>
      <x:c r="Q4372" s="30"/>
      <x:c r="R4372" s="30" t="str">
        <x:v>21132</x:v>
      </x:c>
      <x:c r="S4372" s="30"/>
      <x:c r="T4372" s="30" t="str">
        <x:v>Kriterii_OB11_10122025_.pdf, p. 2</x:v>
      </x:c>
      <x:c r="U4372" s="30" t="str">
        <x:v>Расхождений нет.</x:v>
      </x:c>
      <x:c r="V4372" s="87" t="str">
        <x:v>VERIFIED</x:v>
      </x:c>
      <x:c r="W4372" s="87" t="n">
        <x:v>23</x:v>
      </x:c>
      <x:c r="X4372" s="87"/>
      <x:c r="Y4372" s="87"/>
      <x:c r="Z4372" s="87"/>
      <x:c r="AA4372" s="87"/>
      <x:c r="AB4372" s="87"/>
      <x:c r="AC4372" s="87" t="str">
        <x:v>VIS-SOC-DEC-TASK-34-P023</x:v>
      </x:c>
      <x:c r="AD4372" s="87"/>
      <x:c r="AE4372" s="87" t="str">
        <x:v>TASK</x:v>
      </x:c>
      <x:c r="AF4372" s="87"/>
      <x:c r="AG4372" s="87" t="str">
        <x:v>RESOLVED</x:v>
      </x:c>
      <x:c r="AH4372" s="87" t="str">
        <x:v>CROP_VERIFIED</x:v>
      </x:c>
      <x:c r="AI4372" s="30"/>
      <x:c r="AJ4372" s="87" t="str">
        <x:v>clean</x:v>
      </x:c>
      <x:c r="AK4372" s="87" t="str">
        <x:v>clean-v0.05</x:v>
      </x:c>
      <x:c r="AL4372" s="87" t="str">
        <x:v>statgrad_clean_continuation_v0_05(1)(1).xlsx</x:v>
      </x:c>
      <x:c r="AM4372" s="87" t="str">
        <x:v>SOC_Dec_V4</x:v>
      </x:c>
      <x:c r="AN4372" s="87" t="n">
        <x:v>16</x:v>
      </x:c>
    </x:row>
    <x:row r="4373">
      <x:c r="A4373" s="87" t="n">
        <x:v>4372</x:v>
      </x:c>
      <x:c r="B4373" s="87" t="str">
        <x:v>DEC-SOC-04-016</x:v>
      </x:c>
      <x:c r="C4373" s="87" t="str">
        <x:v>СтатГрад</x:v>
      </x:c>
      <x:c r="D4373" s="87" t="str">
        <x:v>Декабрь 2025</x:v>
      </x:c>
      <x:c r="E4373" s="87"/>
      <x:c r="F4373" s="87"/>
      <x:c r="G4373" s="87" t="str">
        <x:v>Обществознание</x:v>
      </x:c>
      <x:c r="H4373" s="87" t="n">
        <x:v>11</x:v>
      </x:c>
      <x:c r="I4373" s="87" t="str">
        <x:v>ТР №3</x:v>
      </x:c>
      <x:c r="J4373" s="87" t="str">
        <x:v>ОБ2510304</x:v>
      </x:c>
      <x:c r="K4373" s="87" t="n">
        <x:v>16</x:v>
      </x:c>
      <x:c r="L4373" s="87" t="str">
        <x:v>Профессиональные полномочия</x:v>
      </x:c>
      <x:c r="M4373" s="30" t="str">
        <x:v>Николай Петрович является прокурором района. Найдите в приведённом
     списке действия, которые могут входить в круг его профессиональных
     полномочий, и запишите цифры, под которыми они указаны.
     1) осуществлять расследование уголовных преступлений
     2) поддерживать государственное обвинение в суде по уголовным делам
     3) приносить протесты на решения и действия органов исполнительной
        власти
     4) составлять по просьбе граждан и организаций заявления, жалобы,
        ходатайства и другие документы правового характера
     5) принимать жалобы граждан на нарушение прав и свобод человека
        и гражданина</x:v>
      </x:c>
      <x:c r="N4373" s="30" t="str">
        <x:v>235</x:v>
      </x:c>
      <x:c r="O4373" s="30" t="str">
        <x:v>Прокурор поддерживает государственное обвинение, приносит протесты на незаконные акты и принимает обращения о нарушении прав.</x:v>
      </x:c>
      <x:c r="P4373" s="30" t="str">
        <x:v>Каждая выбранная позиция или соответствие проверены по обществоведческим понятиям и условию; официальный ключ совпал.</x:v>
      </x:c>
      <x:c r="Q4373" s="30"/>
      <x:c r="R4373" s="30" t="str">
        <x:v>235</x:v>
      </x:c>
      <x:c r="S4373" s="30"/>
      <x:c r="T4373" s="30" t="str">
        <x:v>Kriterii_OB11_10122025_.pdf, p. 2</x:v>
      </x:c>
      <x:c r="U4373" s="30" t="str">
        <x:v>Расхождений нет.</x:v>
      </x:c>
      <x:c r="V4373" s="87" t="str">
        <x:v>VERIFIED</x:v>
      </x:c>
      <x:c r="W4373" s="87" t="n">
        <x:v>24</x:v>
      </x:c>
      <x:c r="X4373" s="87"/>
      <x:c r="Y4373" s="87"/>
      <x:c r="Z4373" s="87"/>
      <x:c r="AA4373" s="87"/>
      <x:c r="AB4373" s="87"/>
      <x:c r="AC4373" s="87" t="str">
        <x:v>VIS-SOC-DEC-TASK-34-P024</x:v>
      </x:c>
      <x:c r="AD4373" s="87"/>
      <x:c r="AE4373" s="87" t="str">
        <x:v>TASK</x:v>
      </x:c>
      <x:c r="AF4373" s="87"/>
      <x:c r="AG4373" s="87" t="str">
        <x:v>RESOLVED</x:v>
      </x:c>
      <x:c r="AH4373" s="87" t="str">
        <x:v>CROP_VERIFIED</x:v>
      </x:c>
      <x:c r="AI4373" s="30"/>
      <x:c r="AJ4373" s="87" t="str">
        <x:v>clean</x:v>
      </x:c>
      <x:c r="AK4373" s="87" t="str">
        <x:v>clean-v0.05</x:v>
      </x:c>
      <x:c r="AL4373" s="87" t="str">
        <x:v>statgrad_clean_continuation_v0_05(1)(1).xlsx</x:v>
      </x:c>
      <x:c r="AM4373" s="87" t="str">
        <x:v>SOC_Dec_V4</x:v>
      </x:c>
      <x:c r="AN4373" s="87" t="n">
        <x:v>17</x:v>
      </x:c>
    </x:row>
    <x:row r="4374">
      <x:c r="A4374" s="87" t="n">
        <x:v>4373</x:v>
      </x:c>
      <x:c r="B4374" s="87" t="str">
        <x:v>DEC-SOC-04-017</x:v>
      </x:c>
      <x:c r="C4374" s="87" t="str">
        <x:v>СтатГрад</x:v>
      </x:c>
      <x:c r="D4374" s="87" t="str">
        <x:v>Декабрь 2025</x:v>
      </x:c>
      <x:c r="E4374" s="87"/>
      <x:c r="F4374" s="87"/>
      <x:c r="G4374" s="87" t="str">
        <x:v>Обществознание</x:v>
      </x:c>
      <x:c r="H4374" s="87" t="n">
        <x:v>11</x:v>
      </x:c>
      <x:c r="I4374" s="87" t="str">
        <x:v>ТР №3</x:v>
      </x:c>
      <x:c r="J4374" s="87" t="str">
        <x:v>ОБ2510304</x:v>
      </x:c>
      <x:c r="K4374" s="87" t="n">
        <x:v>17</x:v>
      </x:c>
      <x:c r="L4374" s="87" t="str">
        <x:v>Ответы по тексту</x:v>
      </x:c>
      <x:c r="M4374" s="30" t="str">
        <x:v>Какое    определение    демократического государства даёт   автор?
     Что, по мнению автора, является источником власти демократического
     государства? Какие важнейшие признаки демократического государства
     выделяет автор? (Укажите два признака.)</x:v>
      </x:c>
      <x:c r="N4374" s="30" t="str">
        <x:v>Демократическое государство — государство, устройство и деятельность которого соответствуют воле народа и общепризнанным правам и свободам человека. Источник власти и легитимности органов — суверенитет народа. Признаки: реальная представительная демократия и обеспечение прав и свобод человека и гражданина.</x:v>
      </x:c>
      <x:c r="O4374" s="30" t="str">
        <x:v>Модель включает все обязательные элементы официальных критериев и не содержит лишних позиций, способных снизить балл.</x:v>
      </x:c>
      <x:c r="P4374" s="30" t="str">
        <x:v>Сверено с официальным содержанием и критериями задания 17; проверены полнота, причинно-следственные связи и требуемое число элементов.</x:v>
      </x:c>
      <x:c r="Q4374" s="30"/>
      <x:c r="R4374" s="30" t="str">
        <x:v>Развёрнутый ответ по официальным критериям</x:v>
      </x:c>
      <x:c r="S4374" s="30"/>
      <x:c r="T4374" s="30" t="str">
        <x:v>Kriterii_OB11_10122025_.pdf, pp. 17–17</x:v>
      </x:c>
      <x:c r="U4374" s="30" t="str">
        <x:v>Расхождений нет.</x:v>
      </x:c>
      <x:c r="V4374" s="87" t="str">
        <x:v>VERIFIED</x:v>
      </x:c>
      <x:c r="W4374" s="87" t="n">
        <x:v>26</x:v>
      </x:c>
      <x:c r="X4374" s="87"/>
      <x:c r="Y4374" s="87"/>
      <x:c r="Z4374" s="87"/>
      <x:c r="AA4374" s="87"/>
      <x:c r="AB4374" s="87"/>
      <x:c r="AC4374" s="87" t="str">
        <x:v>VIS-SOC-DEC-TASK-34-P026</x:v>
      </x:c>
      <x:c r="AD4374" s="87"/>
      <x:c r="AE4374" s="87" t="str">
        <x:v>TASK</x:v>
      </x:c>
      <x:c r="AF4374" s="87"/>
      <x:c r="AG4374" s="87" t="str">
        <x:v>RESOLVED</x:v>
      </x:c>
      <x:c r="AH4374" s="87" t="str">
        <x:v>CROP_VERIFIED</x:v>
      </x:c>
      <x:c r="AI4374" s="30"/>
      <x:c r="AJ4374" s="87" t="str">
        <x:v>clean</x:v>
      </x:c>
      <x:c r="AK4374" s="87" t="str">
        <x:v>clean-v0.05</x:v>
      </x:c>
      <x:c r="AL4374" s="87" t="str">
        <x:v>statgrad_clean_continuation_v0_05(1)(1).xlsx</x:v>
      </x:c>
      <x:c r="AM4374" s="87" t="str">
        <x:v>SOC_Dec_V4</x:v>
      </x:c>
      <x:c r="AN4374" s="87" t="n">
        <x:v>18</x:v>
      </x:c>
    </x:row>
    <x:row r="4375">
      <x:c r="A4375" s="87" t="n">
        <x:v>4374</x:v>
      </x:c>
      <x:c r="B4375" s="87" t="str">
        <x:v>DEC-SOC-04-018</x:v>
      </x:c>
      <x:c r="C4375" s="87" t="str">
        <x:v>СтатГрад</x:v>
      </x:c>
      <x:c r="D4375" s="87" t="str">
        <x:v>Декабрь 2025</x:v>
      </x:c>
      <x:c r="E4375" s="87"/>
      <x:c r="F4375" s="87"/>
      <x:c r="G4375" s="87" t="str">
        <x:v>Обществознание</x:v>
      </x:c>
      <x:c r="H4375" s="87" t="n">
        <x:v>11</x:v>
      </x:c>
      <x:c r="I4375" s="87" t="str">
        <x:v>ТР №3</x:v>
      </x:c>
      <x:c r="J4375" s="87" t="str">
        <x:v>ОБ2510304</x:v>
      </x:c>
      <x:c r="K4375" s="87" t="n">
        <x:v>18</x:v>
      </x:c>
      <x:c r="L4375" s="87" t="str">
        <x:v>Понятия и объяснение связи</x:v>
      </x:c>
      <x:c r="M4375" s="30" t="str">
        <x:v>В тексте упомянуты ключевые понятия социально-гуманитарных наук.
     Используя обществоведческие знания,
     – укажите не менее трёх основных признаков гражданского общества.
     – объясните связь между гражданским обществом и демократическим
     государством. (Объяснение может быть дано в одном или нескольких
     распространённых предложениях.)</x:v>
      </x:c>
      <x:c r="N4375" s="30" t="str">
        <x:v>Признаки гражданского общества: развитое самоуправление; идеологическое многообразие и свобода информации; разнообразие и равенство форм собственности; незыблемость прав и свобод; свобода труда и предпринимательства. Гражданское общество опирается на автономию граждан и объединений, а демократическое государство юридически гарантирует их права и создаёт условия для самоуправления.</x:v>
      </x:c>
      <x:c r="O4375" s="30" t="str">
        <x:v>Модель включает все обязательные элементы официальных критериев и не содержит лишних позиций, способных снизить балл.</x:v>
      </x:c>
      <x:c r="P4375" s="30" t="str">
        <x:v>Сверено с официальным содержанием и критериями задания 18; проверены полнота, причинно-следственные связи и требуемое число элементов.</x:v>
      </x:c>
      <x:c r="Q4375" s="30"/>
      <x:c r="R4375" s="30" t="str">
        <x:v>Развёрнутый ответ по официальным критериям</x:v>
      </x:c>
      <x:c r="S4375" s="30"/>
      <x:c r="T4375" s="30" t="str">
        <x:v>Kriterii_OB11_10122025_.pdf, pp. 17–18</x:v>
      </x:c>
      <x:c r="U4375" s="30" t="str">
        <x:v>Расхождений нет.</x:v>
      </x:c>
      <x:c r="V4375" s="87" t="str">
        <x:v>VERIFIED</x:v>
      </x:c>
      <x:c r="W4375" s="87" t="n">
        <x:v>26</x:v>
      </x:c>
      <x:c r="X4375" s="87"/>
      <x:c r="Y4375" s="87"/>
      <x:c r="Z4375" s="87"/>
      <x:c r="AA4375" s="87"/>
      <x:c r="AB4375" s="87"/>
      <x:c r="AC4375" s="87" t="str">
        <x:v>VIS-SOC-DEC-TASK-34-P026</x:v>
      </x:c>
      <x:c r="AD4375" s="87"/>
      <x:c r="AE4375" s="87" t="str">
        <x:v>TASK</x:v>
      </x:c>
      <x:c r="AF4375" s="87"/>
      <x:c r="AG4375" s="87" t="str">
        <x:v>RESOLVED</x:v>
      </x:c>
      <x:c r="AH4375" s="87" t="str">
        <x:v>CROP_VERIFIED</x:v>
      </x:c>
      <x:c r="AI4375" s="30"/>
      <x:c r="AJ4375" s="87" t="str">
        <x:v>clean</x:v>
      </x:c>
      <x:c r="AK4375" s="87" t="str">
        <x:v>clean-v0.05</x:v>
      </x:c>
      <x:c r="AL4375" s="87" t="str">
        <x:v>statgrad_clean_continuation_v0_05(1)(1).xlsx</x:v>
      </x:c>
      <x:c r="AM4375" s="87" t="str">
        <x:v>SOC_Dec_V4</x:v>
      </x:c>
      <x:c r="AN4375" s="87" t="n">
        <x:v>19</x:v>
      </x:c>
    </x:row>
    <x:row r="4376">
      <x:c r="A4376" s="87" t="n">
        <x:v>4375</x:v>
      </x:c>
      <x:c r="B4376" s="87" t="str">
        <x:v>DEC-SOC-04-019</x:v>
      </x:c>
      <x:c r="C4376" s="87" t="str">
        <x:v>СтатГрад</x:v>
      </x:c>
      <x:c r="D4376" s="87" t="str">
        <x:v>Декабрь 2025</x:v>
      </x:c>
      <x:c r="E4376" s="87"/>
      <x:c r="F4376" s="87"/>
      <x:c r="G4376" s="87" t="str">
        <x:v>Обществознание</x:v>
      </x:c>
      <x:c r="H4376" s="87" t="n">
        <x:v>11</x:v>
      </x:c>
      <x:c r="I4376" s="87" t="str">
        <x:v>ТР №3</x:v>
      </x:c>
      <x:c r="J4376" s="87" t="str">
        <x:v>ОБ2510304</x:v>
      </x:c>
      <x:c r="K4376" s="87" t="n">
        <x:v>19</x:v>
      </x:c>
      <x:c r="L4376" s="87" t="str">
        <x:v>Развёрнутые примеры</x:v>
      </x:c>
      <x:c r="M4376" s="30" t="str">
        <x:v>Используя обществоведческие знания и факты общественной жизни,
     проиллюстрируйте конкретными примерами три любых способа участия
     граждан в формировании политики государства. (Каждый пример должен
     быть сформулирован развёрнуто. Примеры не должны дублировать друг
     друга по содержанию.)</x:v>
      </x:c>
      <x:c r="N4376" s="30" t="str">
        <x:v>1) Гражданин проголосовал на референдуме по вопросу изменения Конституции. 2) Избиратель поддержал кандидата на президентских выборах, чья программа соответствует его взглядам. 3) Группа граждан подготовила коллективное обращение с предложением изменить закон и направила его в парламент.</x:v>
      </x:c>
      <x:c r="O4376" s="30" t="str">
        <x:v>Модель включает все обязательные элементы официальных критериев и не содержит лишних позиций, способных снизить балл.</x:v>
      </x:c>
      <x:c r="P4376" s="30" t="str">
        <x:v>Сверено с официальным содержанием и критериями задания 19; проверены полнота, причинно-следственные связи и требуемое число элементов.</x:v>
      </x:c>
      <x:c r="Q4376" s="30"/>
      <x:c r="R4376" s="30" t="str">
        <x:v>Развёрнутый ответ по официальным критериям</x:v>
      </x:c>
      <x:c r="S4376" s="30"/>
      <x:c r="T4376" s="30" t="str">
        <x:v>Kriterii_OB11_10122025_.pdf, pp. 18–20</x:v>
      </x:c>
      <x:c r="U4376" s="30" t="str">
        <x:v>Расхождений нет.</x:v>
      </x:c>
      <x:c r="V4376" s="87" t="str">
        <x:v>VERIFIED</x:v>
      </x:c>
      <x:c r="W4376" s="87" t="n">
        <x:v>26</x:v>
      </x:c>
      <x:c r="X4376" s="87"/>
      <x:c r="Y4376" s="87"/>
      <x:c r="Z4376" s="87"/>
      <x:c r="AA4376" s="87"/>
      <x:c r="AB4376" s="87"/>
      <x:c r="AC4376" s="87" t="str">
        <x:v>VIS-SOC-DEC-TASK-34-P026</x:v>
      </x:c>
      <x:c r="AD4376" s="87"/>
      <x:c r="AE4376" s="87" t="str">
        <x:v>TASK</x:v>
      </x:c>
      <x:c r="AF4376" s="87"/>
      <x:c r="AG4376" s="87" t="str">
        <x:v>RESOLVED</x:v>
      </x:c>
      <x:c r="AH4376" s="87" t="str">
        <x:v>CROP_VERIFIED</x:v>
      </x:c>
      <x:c r="AI4376" s="30"/>
      <x:c r="AJ4376" s="87" t="str">
        <x:v>clean</x:v>
      </x:c>
      <x:c r="AK4376" s="87" t="str">
        <x:v>clean-v0.05</x:v>
      </x:c>
      <x:c r="AL4376" s="87" t="str">
        <x:v>statgrad_clean_continuation_v0_05(1)(1).xlsx</x:v>
      </x:c>
      <x:c r="AM4376" s="87" t="str">
        <x:v>SOC_Dec_V4</x:v>
      </x:c>
      <x:c r="AN4376" s="87" t="n">
        <x:v>20</x:v>
      </x:c>
    </x:row>
    <x:row r="4377">
      <x:c r="A4377" s="87" t="n">
        <x:v>4376</x:v>
      </x:c>
      <x:c r="B4377" s="87" t="str">
        <x:v>DEC-SOC-04-020</x:v>
      </x:c>
      <x:c r="C4377" s="87" t="str">
        <x:v>СтатГрад</x:v>
      </x:c>
      <x:c r="D4377" s="87" t="str">
        <x:v>Декабрь 2025</x:v>
      </x:c>
      <x:c r="E4377" s="87"/>
      <x:c r="F4377" s="87"/>
      <x:c r="G4377" s="87" t="str">
        <x:v>Обществознание</x:v>
      </x:c>
      <x:c r="H4377" s="87" t="n">
        <x:v>11</x:v>
      </x:c>
      <x:c r="I4377" s="87" t="str">
        <x:v>ТР №3</x:v>
      </x:c>
      <x:c r="J4377" s="87" t="str">
        <x:v>ОБ2510304</x:v>
      </x:c>
      <x:c r="K4377" s="87" t="n">
        <x:v>20</x:v>
      </x:c>
      <x:c r="L4377" s="87" t="str">
        <x:v>Аргументация</x:v>
      </x:c>
      <x:c r="M4377" s="30" t="str">
        <x:v>Используя обществоведческие знания, приведите три аргумента,
     подтверждающих утверждение автора о том, что народ не может
     непосредственно управлять государством. (Каждый аргумент должен быть
     сформулирован как распространённое предложение.)</x:v>
      </x:c>
      <x:c r="N4377" s="30" t="str">
        <x:v>1) Управление современным государством требует специальных знаний, которыми не обладают все граждане. 2) Постоянное участие в принятии решений требует времени, которого у большинства нет. 3) Множество социальных групп имеет разные интересы, поэтому непосредственное согласование всех решений крайне затруднено.</x:v>
      </x:c>
      <x:c r="O4377" s="30" t="str">
        <x:v>Модель включает все обязательные элементы официальных критериев и не содержит лишних позиций, способных снизить балл.</x:v>
      </x:c>
      <x:c r="P4377" s="30" t="str">
        <x:v>Сверено с официальным содержанием и критериями задания 20; проверены полнота, причинно-следственные связи и требуемое число элементов.</x:v>
      </x:c>
      <x:c r="Q4377" s="30"/>
      <x:c r="R4377" s="30" t="str">
        <x:v>Развёрнутый ответ по официальным критериям</x:v>
      </x:c>
      <x:c r="S4377" s="30"/>
      <x:c r="T4377" s="30" t="str">
        <x:v>Kriterii_OB11_10122025_.pdf, pp. 20–21</x:v>
      </x:c>
      <x:c r="U4377" s="30" t="str">
        <x:v>Расхождений нет.</x:v>
      </x:c>
      <x:c r="V4377" s="87" t="str">
        <x:v>VERIFIED</x:v>
      </x:c>
      <x:c r="W4377" s="87" t="n">
        <x:v>26</x:v>
      </x:c>
      <x:c r="X4377" s="87"/>
      <x:c r="Y4377" s="87"/>
      <x:c r="Z4377" s="87"/>
      <x:c r="AA4377" s="87"/>
      <x:c r="AB4377" s="87"/>
      <x:c r="AC4377" s="87" t="str">
        <x:v>VIS-SOC-DEC-TASK-34-P026</x:v>
      </x:c>
      <x:c r="AD4377" s="87"/>
      <x:c r="AE4377" s="87" t="str">
        <x:v>TASK</x:v>
      </x:c>
      <x:c r="AF4377" s="87"/>
      <x:c r="AG4377" s="87" t="str">
        <x:v>RESOLVED</x:v>
      </x:c>
      <x:c r="AH4377" s="87" t="str">
        <x:v>CROP_VERIFIED</x:v>
      </x:c>
      <x:c r="AI4377" s="30"/>
      <x:c r="AJ4377" s="87" t="str">
        <x:v>clean</x:v>
      </x:c>
      <x:c r="AK4377" s="87" t="str">
        <x:v>clean-v0.05</x:v>
      </x:c>
      <x:c r="AL4377" s="87" t="str">
        <x:v>statgrad_clean_continuation_v0_05(1)(1).xlsx</x:v>
      </x:c>
      <x:c r="AM4377" s="87" t="str">
        <x:v>SOC_Dec_V4</x:v>
      </x:c>
      <x:c r="AN4377" s="87" t="n">
        <x:v>21</x:v>
      </x:c>
    </x:row>
    <x:row r="4378">
      <x:c r="A4378" s="87" t="n">
        <x:v>4377</x:v>
      </x:c>
      <x:c r="B4378" s="87" t="str">
        <x:v>DEC-SOC-04-021</x:v>
      </x:c>
      <x:c r="C4378" s="87" t="str">
        <x:v>СтатГрад</x:v>
      </x:c>
      <x:c r="D4378" s="87" t="str">
        <x:v>Декабрь 2025</x:v>
      </x:c>
      <x:c r="E4378" s="87"/>
      <x:c r="F4378" s="87"/>
      <x:c r="G4378" s="87" t="str">
        <x:v>Обществознание</x:v>
      </x:c>
      <x:c r="H4378" s="87" t="n">
        <x:v>11</x:v>
      </x:c>
      <x:c r="I4378" s="87" t="str">
        <x:v>ТР №3</x:v>
      </x:c>
      <x:c r="J4378" s="87" t="str">
        <x:v>ОБ2510304</x:v>
      </x:c>
      <x:c r="K4378" s="87" t="n">
        <x:v>21</x:v>
      </x:c>
      <x:c r="L4378" s="87" t="str">
        <x:v>Экономический график</x:v>
      </x:c>
      <x:c r="M4378" s="30" t="str">
        <x:v>На графике изображено изменение ситуации на рынке услуг такси в стране Z.
     Кривая спроса переместилась из положения D в положение D1
     при неизменном предложении S. (На графике P – цена товара; Q – количество
     товара).
     Как изменилась равновесная цена?
     Что могло вызвать изменение спроса?
     Укажите любое одно обстоятельство (фактор) и объясните его влияние
     на спрос. (Объяснение должно быть дано применительно к рынку,
     указанному в тексте задания.)
     Как изменятся предложение и равновесная цена на данном рынке, если
     при прочих равных условиях в стране будут ужесточены требования
     к техническому состоянию автомобилей такси и квалификации таксистов?</x:v>
      </x:c>
      <x:c r="N4378" s="30" t="str">
        <x:v>Равновесная цена уменьшилась. Спрос мог снизиться из-за роста обеспеченности граждан личными автомобилями: потребность в поездках на такси сократилась. Ужесточение требований к автомобилям и водителям уменьшит предложение услуг такси и повысит равновесную цену.</x:v>
      </x:c>
      <x:c r="O4378" s="30" t="str">
        <x:v>Модель включает все обязательные элементы официальных критериев и не содержит лишних позиций, способных снизить балл.</x:v>
      </x:c>
      <x:c r="P4378" s="30" t="str">
        <x:v>Сверено с официальным содержанием и критериями задания 21; проверены полнота, причинно-следственные связи и требуемое число элементов.</x:v>
      </x:c>
      <x:c r="Q4378" s="30"/>
      <x:c r="R4378" s="30" t="str">
        <x:v>Развёрнутый ответ по официальным критериям</x:v>
      </x:c>
      <x:c r="S4378" s="30"/>
      <x:c r="T4378" s="30" t="str">
        <x:v>Kriterii_OB11_10122025_.pdf, pp. 21–22</x:v>
      </x:c>
      <x:c r="U4378" s="30" t="str">
        <x:v>Расхождений нет.</x:v>
      </x:c>
      <x:c r="V4378" s="87" t="str">
        <x:v>VERIFIED</x:v>
      </x:c>
      <x:c r="W4378" s="87" t="n">
        <x:v>27</x:v>
      </x:c>
      <x:c r="X4378" s="87"/>
      <x:c r="Y4378" s="87"/>
      <x:c r="Z4378" s="87"/>
      <x:c r="AA4378" s="87"/>
      <x:c r="AB4378" s="87"/>
      <x:c r="AC4378" s="87" t="str">
        <x:v>VIS-SOC-DEC-TASK-34-P027</x:v>
      </x:c>
      <x:c r="AD4378" s="87"/>
      <x:c r="AE4378" s="87" t="str">
        <x:v>TASK</x:v>
      </x:c>
      <x:c r="AF4378" s="87"/>
      <x:c r="AG4378" s="87" t="str">
        <x:v>RESOLVED</x:v>
      </x:c>
      <x:c r="AH4378" s="87" t="str">
        <x:v>CROP_VERIFIED; TASK_CROP_QA_APPROVED:USE_CONTEXT</x:v>
      </x:c>
      <x:c r="AI4378" s="30"/>
      <x:c r="AJ4378" s="87" t="str">
        <x:v>clean</x:v>
      </x:c>
      <x:c r="AK4378" s="87" t="str">
        <x:v>clean-v0.05</x:v>
      </x:c>
      <x:c r="AL4378" s="87" t="str">
        <x:v>statgrad_clean_continuation_v0_05(1)(1).xlsx</x:v>
      </x:c>
      <x:c r="AM4378" s="87" t="str">
        <x:v>SOC_Dec_V4</x:v>
      </x:c>
      <x:c r="AN4378" s="87" t="n">
        <x:v>22</x:v>
      </x:c>
    </x:row>
    <x:row r="4379">
      <x:c r="A4379" s="87" t="n">
        <x:v>4378</x:v>
      </x:c>
      <x:c r="B4379" s="87" t="str">
        <x:v>DEC-SOC-04-022</x:v>
      </x:c>
      <x:c r="C4379" s="87" t="str">
        <x:v>СтатГрад</x:v>
      </x:c>
      <x:c r="D4379" s="87" t="str">
        <x:v>Декабрь 2025</x:v>
      </x:c>
      <x:c r="E4379" s="87"/>
      <x:c r="F4379" s="87"/>
      <x:c r="G4379" s="87" t="str">
        <x:v>Обществознание</x:v>
      </x:c>
      <x:c r="H4379" s="87" t="n">
        <x:v>11</x:v>
      </x:c>
      <x:c r="I4379" s="87" t="str">
        <x:v>ТР №3</x:v>
      </x:c>
      <x:c r="J4379" s="87" t="str">
        <x:v>ОБ2510304</x:v>
      </x:c>
      <x:c r="K4379" s="87" t="n">
        <x:v>22</x:v>
      </x:c>
      <x:c r="L4379" s="87" t="str">
        <x:v>Правовая/социальная задача</x:v>
      </x:c>
      <x:c r="M4379" s="30" t="str">
        <x:v>Иван Владимирович родился в русской семье. Его отец был рядовым
     солдатом русской императорской армии. Трудовую деятельность Иван
     Владимирович начал в 14 лет чернорабочим. Накануне Первой мировой
     войны был призван в армию. На фронте за проявленные мужество и героизм
     был награжден Георгиевским крестом всех степеней, став полным
     Георгиевским кавалером и получил офицерский чин прапорщика.
     После Октябрьской революции вступил в Красную армию, в которой прошел
     путь от командира взвода до генерала армии. За личное мужество и отвагу,
     проявленные в году Великой Отечественной войны, был удостоен звания
     Героя Советского Союза.
     Назовите любой предписанный статус, принадлежавший Ивану
     Владимировичу. Какой тип социальной мобильности иллюстрирует его
     жизнь? (Дайте полное название.) Какой канал социальной мобильности
     (социальный лифт) иллюстрирует пример Ивана Владимировича? Укажите
     два любых других канала социальной мобильности, кроме названного.</x:v>
      </x:c>
      <x:c r="N4379" s="30" t="str">
        <x:v>Предписанный статус — сын (также русский, мужчина). Жизнь иллюстрирует вертикальную восходящую социальную мобильность. Канал — военная служба. Другие каналы: образование и брак.</x:v>
      </x:c>
      <x:c r="O4379" s="30" t="str">
        <x:v>Модель включает все обязательные элементы официальных критериев и не содержит лишних позиций, способных снизить балл.</x:v>
      </x:c>
      <x:c r="P4379" s="30" t="str">
        <x:v>Сверено с официальным содержанием и критериями задания 22; проверены полнота, причинно-следственные связи и требуемое число элементов.</x:v>
      </x:c>
      <x:c r="Q4379" s="30"/>
      <x:c r="R4379" s="30" t="str">
        <x:v>Развёрнутый ответ по официальным критериям</x:v>
      </x:c>
      <x:c r="S4379" s="30"/>
      <x:c r="T4379" s="30" t="str">
        <x:v>Kriterii_OB11_10122025_.pdf, pp. 22–23</x:v>
      </x:c>
      <x:c r="U4379" s="30" t="str">
        <x:v>Расхождений нет.</x:v>
      </x:c>
      <x:c r="V4379" s="87" t="str">
        <x:v>VERIFIED</x:v>
      </x:c>
      <x:c r="W4379" s="87" t="n">
        <x:v>27</x:v>
      </x:c>
      <x:c r="X4379" s="87"/>
      <x:c r="Y4379" s="87"/>
      <x:c r="Z4379" s="87"/>
      <x:c r="AA4379" s="87"/>
      <x:c r="AB4379" s="87"/>
      <x:c r="AC4379" s="87" t="str">
        <x:v>VIS-SOC-DEC-TASK-34-P027</x:v>
      </x:c>
      <x:c r="AD4379" s="87"/>
      <x:c r="AE4379" s="87" t="str">
        <x:v>TASK</x:v>
      </x:c>
      <x:c r="AF4379" s="87"/>
      <x:c r="AG4379" s="87" t="str">
        <x:v>RESOLVED</x:v>
      </x:c>
      <x:c r="AH4379" s="87" t="str">
        <x:v>CROP_VERIFIED</x:v>
      </x:c>
      <x:c r="AI4379" s="30"/>
      <x:c r="AJ4379" s="87" t="str">
        <x:v>clean</x:v>
      </x:c>
      <x:c r="AK4379" s="87" t="str">
        <x:v>clean-v0.05</x:v>
      </x:c>
      <x:c r="AL4379" s="87" t="str">
        <x:v>statgrad_clean_continuation_v0_05(1)(1).xlsx</x:v>
      </x:c>
      <x:c r="AM4379" s="87" t="str">
        <x:v>SOC_Dec_V4</x:v>
      </x:c>
      <x:c r="AN4379" s="87" t="n">
        <x:v>23</x:v>
      </x:c>
    </x:row>
    <x:row r="4380">
      <x:c r="A4380" s="87" t="n">
        <x:v>4379</x:v>
      </x:c>
      <x:c r="B4380" s="87" t="str">
        <x:v>DEC-SOC-04-023</x:v>
      </x:c>
      <x:c r="C4380" s="87" t="str">
        <x:v>СтатГрад</x:v>
      </x:c>
      <x:c r="D4380" s="87" t="str">
        <x:v>Декабрь 2025</x:v>
      </x:c>
      <x:c r="E4380" s="87"/>
      <x:c r="F4380" s="87"/>
      <x:c r="G4380" s="87" t="str">
        <x:v>Обществознание</x:v>
      </x:c>
      <x:c r="H4380" s="87" t="n">
        <x:v>11</x:v>
      </x:c>
      <x:c r="I4380" s="87" t="str">
        <x:v>ТР №3</x:v>
      </x:c>
      <x:c r="J4380" s="87" t="str">
        <x:v>ОБ2510304</x:v>
      </x:c>
      <x:c r="K4380" s="87" t="n">
        <x:v>23</x:v>
      </x:c>
      <x:c r="L4380" s="87" t="str">
        <x:v>Конституционные положения</x:v>
      </x:c>
      <x:c r="M4380" s="30" t="str">
        <x:v>Конституция Российской Федерации гарантирует право граждан на участие
     в управлении государством.
     На основе положений Конституции Российской Федерации приведите
     три подтверждения данного утверждения. (Каждое подтверждение должно
     быть сформулировано как распространённое предложение с опорой
     на конкретное положение Конституции Российской Федерации.
     Обратите внимание на то, что правильное выполнение задания не требует
     указания в ответе номеров соответствующих статей Конституции РФ
     и дословного воспроизведения их содержания.)</x:v>
      </x:c>
      <x:c r="N4380" s="30" t="str">
        <x:v>1) Граждане вправе участвовать в управлении делами государства непосредственно и через представителей. 2) Они вправе избирать и быть избранными и участвовать в референдуме. 3) Граждане имеют равный доступ к государственной службе.</x:v>
      </x:c>
      <x:c r="O4380" s="30" t="str">
        <x:v>Модель включает все обязательные элементы официальных критериев и не содержит лишних позиций, способных снизить балл.</x:v>
      </x:c>
      <x:c r="P4380" s="30" t="str">
        <x:v>Сверено с официальным содержанием и критериями задания 23; проверены полнота, причинно-следственные связи и требуемое число элементов.</x:v>
      </x:c>
      <x:c r="Q4380" s="30"/>
      <x:c r="R4380" s="30" t="str">
        <x:v>Развёрнутый ответ по официальным критериям</x:v>
      </x:c>
      <x:c r="S4380" s="30"/>
      <x:c r="T4380" s="30" t="str">
        <x:v>Kriterii_OB11_10122025_.pdf, pp. 23–25</x:v>
      </x:c>
      <x:c r="U4380" s="30" t="str">
        <x:v>Расхождений нет.</x:v>
      </x:c>
      <x:c r="V4380" s="87" t="str">
        <x:v>VERIFIED</x:v>
      </x:c>
      <x:c r="W4380" s="87" t="n">
        <x:v>28</x:v>
      </x:c>
      <x:c r="X4380" s="87"/>
      <x:c r="Y4380" s="87"/>
      <x:c r="Z4380" s="87"/>
      <x:c r="AA4380" s="87"/>
      <x:c r="AB4380" s="87"/>
      <x:c r="AC4380" s="87" t="str">
        <x:v>VIS-SOC-DEC-TASK-34-P028</x:v>
      </x:c>
      <x:c r="AD4380" s="87"/>
      <x:c r="AE4380" s="87" t="str">
        <x:v>TASK</x:v>
      </x:c>
      <x:c r="AF4380" s="87"/>
      <x:c r="AG4380" s="87" t="str">
        <x:v>RESOLVED</x:v>
      </x:c>
      <x:c r="AH4380" s="87" t="str">
        <x:v>CROP_VERIFIED</x:v>
      </x:c>
      <x:c r="AI4380" s="30"/>
      <x:c r="AJ4380" s="87" t="str">
        <x:v>clean</x:v>
      </x:c>
      <x:c r="AK4380" s="87" t="str">
        <x:v>clean-v0.05</x:v>
      </x:c>
      <x:c r="AL4380" s="87" t="str">
        <x:v>statgrad_clean_continuation_v0_05(1)(1).xlsx</x:v>
      </x:c>
      <x:c r="AM4380" s="87" t="str">
        <x:v>SOC_Dec_V4</x:v>
      </x:c>
      <x:c r="AN4380" s="87" t="n">
        <x:v>24</x:v>
      </x:c>
    </x:row>
    <x:row r="4381">
      <x:c r="A4381" s="87" t="n">
        <x:v>4380</x:v>
      </x:c>
      <x:c r="B4381" s="87" t="str">
        <x:v>DEC-SOC-04-024</x:v>
      </x:c>
      <x:c r="C4381" s="87" t="str">
        <x:v>СтатГрад</x:v>
      </x:c>
      <x:c r="D4381" s="87" t="str">
        <x:v>Декабрь 2025</x:v>
      </x:c>
      <x:c r="E4381" s="87"/>
      <x:c r="F4381" s="87"/>
      <x:c r="G4381" s="87" t="str">
        <x:v>Обществознание</x:v>
      </x:c>
      <x:c r="H4381" s="87" t="n">
        <x:v>11</x:v>
      </x:c>
      <x:c r="I4381" s="87" t="str">
        <x:v>ТР №3</x:v>
      </x:c>
      <x:c r="J4381" s="87" t="str">
        <x:v>ОБ2510304</x:v>
      </x:c>
      <x:c r="K4381" s="87" t="n">
        <x:v>24</x:v>
      </x:c>
      <x:c r="L4381" s="87" t="str">
        <x:v>Сложный план</x:v>
      </x:c>
      <x:c r="M4381" s="30" t="str">
        <x:v>Используя обществоведческие знания, составьте сложный план,
     позволяющий раскрыть по существу тему «Политические партии и их роль
     в политической жизни общества».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возможно
     только два подпункта.)</x:v>
      </x:c>
      <x:c r="N4381" s="30" t="str">
        <x:v>1. Понятие политической партии.
2. Признаки партий: а) идеология; б) устойчивый состав; в) стремление участвовать во власти; г) программа и устав; д) лидеры.
3. Функции партий: а) формирование общественного мнения; б) организация избирательных кампаний; в) рекрутирование политической элиты; г) выражение интересов социальных групп; д) политическое просвещение.
4. Классификации: а) кадровые и массовые; б) правящие и оппозиционные; в) легальные и нелегальные; г) по идеологии.
5. Партийные системы: а) однопартийная; б) двухпартийная; в) многопартийная.
6. Особенности современной российской многопартийности.</x:v>
      </x:c>
      <x:c r="O4381" s="30" t="str">
        <x:v>Модель включает все обязательные элементы официальных критериев и не содержит лишних позиций, способных снизить балл.</x:v>
      </x:c>
      <x:c r="P4381" s="30" t="str">
        <x:v>Сверено с официальным содержанием и критериями задания 24; проверены полнота, причинно-следственные связи и требуемое число элементов.</x:v>
      </x:c>
      <x:c r="Q4381" s="30"/>
      <x:c r="R4381" s="30" t="str">
        <x:v>Развёрнутый ответ по официальным критериям</x:v>
      </x:c>
      <x:c r="S4381" s="30"/>
      <x:c r="T4381" s="30" t="str">
        <x:v>Kriterii_OB11_10122025_.pdf, pp. 25–27</x:v>
      </x:c>
      <x:c r="U4381" s="30" t="str">
        <x:v>Расхождений нет.</x:v>
      </x:c>
      <x:c r="V4381" s="87" t="str">
        <x:v>VERIFIED</x:v>
      </x:c>
      <x:c r="W4381" s="87" t="n">
        <x:v>28</x:v>
      </x:c>
      <x:c r="X4381" s="87"/>
      <x:c r="Y4381" s="87"/>
      <x:c r="Z4381" s="87"/>
      <x:c r="AA4381" s="87"/>
      <x:c r="AB4381" s="87"/>
      <x:c r="AC4381" s="87" t="str">
        <x:v>VIS-SOC-DEC-TASK-34-P028</x:v>
      </x:c>
      <x:c r="AD4381" s="87"/>
      <x:c r="AE4381" s="87" t="str">
        <x:v>TASK</x:v>
      </x:c>
      <x:c r="AF4381" s="87"/>
      <x:c r="AG4381" s="87" t="str">
        <x:v>RESOLVED</x:v>
      </x:c>
      <x:c r="AH4381" s="87" t="str">
        <x:v>CROP_VERIFIED</x:v>
      </x:c>
      <x:c r="AI4381" s="30"/>
      <x:c r="AJ4381" s="87" t="str">
        <x:v>clean</x:v>
      </x:c>
      <x:c r="AK4381" s="87" t="str">
        <x:v>clean-v0.05</x:v>
      </x:c>
      <x:c r="AL4381" s="87" t="str">
        <x:v>statgrad_clean_continuation_v0_05(1)(1).xlsx</x:v>
      </x:c>
      <x:c r="AM4381" s="87" t="str">
        <x:v>SOC_Dec_V4</x:v>
      </x:c>
      <x:c r="AN4381" s="87" t="n">
        <x:v>25</x:v>
      </x:c>
    </x:row>
    <x:row r="4382">
      <x:c r="A4382" s="87" t="n">
        <x:v>4381</x:v>
      </x:c>
      <x:c r="B4382" s="87" t="str">
        <x:v>DEC-SOC-04-025</x:v>
      </x:c>
      <x:c r="C4382" s="87" t="str">
        <x:v>СтатГрад</x:v>
      </x:c>
      <x:c r="D4382" s="87" t="str">
        <x:v>Декабрь 2025</x:v>
      </x:c>
      <x:c r="E4382" s="87"/>
      <x:c r="F4382" s="87"/>
      <x:c r="G4382" s="87" t="str">
        <x:v>Обществознание</x:v>
      </x:c>
      <x:c r="H4382" s="87" t="n">
        <x:v>11</x:v>
      </x:c>
      <x:c r="I4382" s="87" t="str">
        <x:v>ТР №3</x:v>
      </x:c>
      <x:c r="J4382" s="87" t="str">
        <x:v>ОБ2510304</x:v>
      </x:c>
      <x:c r="K4382" s="87" t="n">
        <x:v>25</x:v>
      </x:c>
      <x:c r="L4382" s="87" t="str">
        <x:v>Обоснование, объекты и примеры</x:v>
      </x:c>
      <x:c r="M4382" s="30" t="str">
        <x:v>Используя обществоведческие знания, факты общественной жизни и личный
     социальный опыт, выполните задания, ответьте на вопрос.
     1) Обоснуйте    важность     существования       политических   партий
     для    функционирования   демократического      политического  режима.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Какие политические партии представлены в Федеральном Собрании
     Российской Федерации? (Назовите три любые партии.)
     3) Для каждой из указанных в п. 2 партий приведите по одному примеру,
     иллюстрирующему реализацию функций политической партии. (Каждый
     пример должен быть сформулирован развёрнуто. В совокупности примеры
     должны иллюстрировать три различных функции.)</x:v>
      </x:c>
      <x:c r="N4382" s="30" t="str">
        <x:v>Политические партии агрегируют и выражают интересы социальных групп, обеспечивают политическую конкуренцию, выдвигают кандидатов и связывают граждан с органами власти; поэтому без них представительная демократия не может устойчиво функционировать. Представлены, например, «Единая Россия», КПРФ и ЛДПР. Примеры функций: «Единая Россия» разрабатывает и поддерживает законодательные инициативы, выражая интересы своих избирателей; КПРФ выдвигает кандидатов и проводит избирательные кампании, реализуя электоральную функцию; ЛДПР организует публичные встречи и политические образовательные мероприятия, выполняя функцию политической социализации.</x:v>
      </x:c>
      <x:c r="O4382" s="30" t="str">
        <x:v>Модель включает все обязательные элементы официальных критериев и не содержит лишних позиций, способных снизить балл.</x:v>
      </x:c>
      <x:c r="P4382" s="30" t="str">
        <x:v>Сверено с официальным содержанием и критериями задания 25; проверены полнота, причинно-следственные связи и требуемое число элементов.</x:v>
      </x:c>
      <x:c r="Q4382" s="30"/>
      <x:c r="R4382" s="30" t="str">
        <x:v>Развёрнутый ответ по официальным критериям</x:v>
      </x:c>
      <x:c r="S4382" s="30"/>
      <x:c r="T4382" s="30" t="str">
        <x:v>Kriterii_OB11_10122025_.pdf, pp. 27–29</x:v>
      </x:c>
      <x:c r="U4382" s="30" t="str">
        <x:v>Расхождений нет.</x:v>
      </x:c>
      <x:c r="V4382" s="87" t="str">
        <x:v>VERIFIED</x:v>
      </x:c>
      <x:c r="W4382" s="87" t="n">
        <x:v>28</x:v>
      </x:c>
      <x:c r="X4382" s="87"/>
      <x:c r="Y4382" s="87"/>
      <x:c r="Z4382" s="87"/>
      <x:c r="AA4382" s="87"/>
      <x:c r="AB4382" s="87"/>
      <x:c r="AC4382" s="87" t="str">
        <x:v>VIS-SOC-DEC-TASK-34-P028</x:v>
      </x:c>
      <x:c r="AD4382" s="87"/>
      <x:c r="AE4382" s="87" t="str">
        <x:v>TASK</x:v>
      </x:c>
      <x:c r="AF4382" s="87"/>
      <x:c r="AG4382" s="87" t="str">
        <x:v>RESOLVED</x:v>
      </x:c>
      <x:c r="AH4382" s="87" t="str">
        <x:v>CROP_VERIFIED</x:v>
      </x:c>
      <x:c r="AI4382" s="30"/>
      <x:c r="AJ4382" s="87" t="str">
        <x:v>clean</x:v>
      </x:c>
      <x:c r="AK4382" s="87" t="str">
        <x:v>clean-v0.05</x:v>
      </x:c>
      <x:c r="AL4382" s="87" t="str">
        <x:v>statgrad_clean_continuation_v0_05(1)(1).xlsx</x:v>
      </x:c>
      <x:c r="AM4382" s="87" t="str">
        <x:v>SOC_Dec_V4</x:v>
      </x:c>
      <x:c r="AN4382" s="87" t="n">
        <x:v>26</x:v>
      </x:c>
    </x:row>
    <x:row r="4383">
      <x:c r="A4383" s="87" t="n">
        <x:v>4382</x:v>
      </x:c>
      <x:c r="B4383" s="87" t="str">
        <x:v>DEC-INF-01-001</x:v>
      </x:c>
      <x:c r="C4383" s="87" t="str">
        <x:v>СтатГрад</x:v>
      </x:c>
      <x:c r="D4383" s="87" t="str">
        <x:v>Декабрь 2025</x:v>
      </x:c>
      <x:c r="E4383" s="87"/>
      <x:c r="F4383" s="87"/>
      <x:c r="G4383" s="87" t="str">
        <x:v>Информатика</x:v>
      </x:c>
      <x:c r="H4383" s="87" t="n">
        <x:v>11</x:v>
      </x:c>
      <x:c r="I4383" s="87" t="str">
        <x:v>ТР №2</x:v>
      </x:c>
      <x:c r="J4383" s="87" t="str">
        <x:v>ИН2510201</x:v>
      </x:c>
      <x:c r="K4383" s="87" t="n">
        <x:v>1</x:v>
      </x:c>
      <x:c r="L4383" s="87" t="str">
        <x:v>Сопоставление графа</x:v>
      </x:c>
      <x:c r="M4383" s="30" t="str">
        <x:v>На рисунке схема дорог Н-ского района изображена в виде графа, в таблице
    содержатся сведения о длине этих дорог в километрах.
                           Номер пункта
                     1 2 3 4 5 6 7 8
                   1    12 15    10
                   2 12    25
    Номер пункта
                   3 15 25    18 20 16 11 14
                   4       18       28
                   5 10    20
                   6       16 28        17
                   7       11       17     24
                   8       14           24
    Так как таблицу и схему рисовали независимо друг от друга, нумерация
    населённых пунктов в таблице никак не связана с буквенными обозначениями
    на графе. Определите, какие номера могут соответствовать пунктам Б и В.
    В качестве ответа запишите эти номера в порядке возрастания без разделителей.</x:v>
      </x:c>
      <x:c r="N4383" s="30" t="str">
        <x:v>25</x:v>
      </x:c>
      <x:c r="O4383" s="30" t="str">
        <x:v>Сопоставление степеней вершин графа: Б и В соответствуют вершинам 2 и 5.</x:v>
      </x:c>
      <x:c r="P4383" s="30" t="str">
        <x:v>Задание независимо пересчитано программно или аналитически; результат совпал с официальным ключом.</x:v>
      </x:c>
      <x:c r="Q4383" s="30"/>
      <x:c r="R4383" s="30" t="str">
        <x:v>25</x:v>
      </x:c>
      <x:c r="S4383" s="30"/>
      <x:c r="T4383" s="30" t="str">
        <x:v>image_2025-12-17_11-53-34.png</x:v>
      </x:c>
      <x:c r="U4383" s="30" t="str">
        <x:v>Расхождений нет.</x:v>
      </x:c>
      <x:c r="V4383" s="87" t="str">
        <x:v>VERIFIED</x:v>
      </x:c>
      <x:c r="W4383" s="87" t="n">
        <x:v>3</x:v>
      </x:c>
      <x:c r="X4383" s="87"/>
      <x:c r="Y4383" s="87"/>
      <x:c r="Z4383" s="87"/>
      <x:c r="AA4383" s="87"/>
      <x:c r="AB4383" s="87"/>
      <x:c r="AC4383" s="87" t="str">
        <x:v>VIS-INF-DEC-TASK-201-P003</x:v>
      </x:c>
      <x:c r="AD4383" s="87"/>
      <x:c r="AE4383" s="87" t="str">
        <x:v>TASK</x:v>
      </x:c>
      <x:c r="AF4383" s="87"/>
      <x:c r="AG4383" s="87" t="str">
        <x:v>RESOLVED / HASH_ONLY_QA</x:v>
      </x:c>
      <x:c r="AH4383" s="87" t="str">
        <x:v>ASSET_HASH_VERIFIED_QA_UNSPECIFIED; TASK_CROP_QA_APPROVED:USE_CONTEXT</x:v>
      </x:c>
      <x:c r="AI4383" s="30"/>
      <x:c r="AJ4383" s="87" t="str">
        <x:v>clean</x:v>
      </x:c>
      <x:c r="AK4383" s="87" t="str">
        <x:v>clean-v0.06</x:v>
      </x:c>
      <x:c r="AL4383" s="87" t="str">
        <x:v>statgrad_clean_continuation_v0_06(1).xlsx</x:v>
      </x:c>
      <x:c r="AM4383" s="87" t="str">
        <x:v>INF_Dec_V1</x:v>
      </x:c>
      <x:c r="AN4383" s="87" t="n">
        <x:v>2</x:v>
      </x:c>
    </x:row>
    <x:row r="4384">
      <x:c r="A4384" s="87" t="n">
        <x:v>4383</x:v>
      </x:c>
      <x:c r="B4384" s="87" t="str">
        <x:v>DEC-INF-01-002</x:v>
      </x:c>
      <x:c r="C4384" s="87" t="str">
        <x:v>СтатГрад</x:v>
      </x:c>
      <x:c r="D4384" s="87" t="str">
        <x:v>Декабрь 2025</x:v>
      </x:c>
      <x:c r="E4384" s="87"/>
      <x:c r="F4384" s="87"/>
      <x:c r="G4384" s="87" t="str">
        <x:v>Информатика</x:v>
      </x:c>
      <x:c r="H4384" s="87" t="n">
        <x:v>11</x:v>
      </x:c>
      <x:c r="I4384" s="87" t="str">
        <x:v>ТР №2</x:v>
      </x:c>
      <x:c r="J4384" s="87" t="str">
        <x:v>ИН2510201</x:v>
      </x:c>
      <x:c r="K4384" s="87" t="n">
        <x:v>2</x:v>
      </x:c>
      <x:c r="L4384" s="87" t="str">
        <x:v>Таблица истинности</x:v>
      </x:c>
      <x:c r="M4384" s="30" t="str">
        <x:v>Настя заполняла таблицу истинности логической функции
                                       (w → y) → (z → x) v ¬z,
    но успела заполнить лишь фрагмент из трёх различных её строк, даже не
    указав, какому столбцу таблицы соответствует каждая из переменных w, x, y.
                                                 z               F
                                                 1      1        0
                                   1             1      0        1
                                   0      1             1        0
    Определите, какому столбцу таблицы соответствует каждая из переменных
    w, x, y.
    В ответе напишите буквы w, x, y, z в том порядке, в котором идут
    соответствующие им столбцы (сначала буква, соответствующая первому
    столбцу; затем буква, соответствующая второму столбцу, и т.д.). Буквы в ответе
    пишите подряд, никаких разделителей между буквами ставить не нужно.
                                    согласия СтатГрад запрещена
           Задание выполняется с использованием прилагаемых файлов.</x:v>
      </x:c>
      <x:c r="N4384" s="30" t="str">
        <x:v>xwzy</x:v>
      </x:c>
      <x:c r="O4384" s="30" t="str">
        <x:v>Перебор соответствий столбцов переменным и заполнений пропусков таблицы истинности.</x:v>
      </x:c>
      <x:c r="P4384" s="30" t="str">
        <x:v>Задание независимо пересчитано программно или аналитически; результат совпал с официальным ключом.</x:v>
      </x:c>
      <x:c r="Q4384" s="30"/>
      <x:c r="R4384" s="30" t="str">
        <x:v>xwzy</x:v>
      </x:c>
      <x:c r="S4384" s="30"/>
      <x:c r="T4384" s="30" t="str">
        <x:v>image_2025-12-17_11-53-34.png</x:v>
      </x:c>
      <x:c r="U4384" s="30" t="str">
        <x:v>Расхождений нет.</x:v>
      </x:c>
      <x:c r="V4384" s="87" t="str">
        <x:v>VERIFIED</x:v>
      </x:c>
      <x:c r="W4384" s="87" t="n">
        <x:v>3</x:v>
      </x:c>
      <x:c r="X4384" s="87"/>
      <x:c r="Y4384" s="87"/>
      <x:c r="Z4384" s="87"/>
      <x:c r="AA4384" s="87"/>
      <x:c r="AB4384" s="87"/>
      <x:c r="AC4384" s="87" t="str">
        <x:v>VIS-INF-DEC-TASK-201-P003</x:v>
      </x:c>
      <x:c r="AD4384" s="87"/>
      <x:c r="AE4384" s="87" t="str">
        <x:v>TASK</x:v>
      </x:c>
      <x:c r="AF4384" s="87"/>
      <x:c r="AG4384" s="87" t="str">
        <x:v>RESOLVED / HASH_ONLY_QA</x:v>
      </x:c>
      <x:c r="AH4384" s="87" t="str">
        <x:v>ASSET_HASH_VERIFIED_QA_UNSPECIFIED</x:v>
      </x:c>
      <x:c r="AI4384" s="30"/>
      <x:c r="AJ4384" s="87" t="str">
        <x:v>clean</x:v>
      </x:c>
      <x:c r="AK4384" s="87" t="str">
        <x:v>clean-v0.06</x:v>
      </x:c>
      <x:c r="AL4384" s="87" t="str">
        <x:v>statgrad_clean_continuation_v0_06(1).xlsx</x:v>
      </x:c>
      <x:c r="AM4384" s="87" t="str">
        <x:v>INF_Dec_V1</x:v>
      </x:c>
      <x:c r="AN4384" s="87" t="n">
        <x:v>3</x:v>
      </x:c>
    </x:row>
    <x:row r="4385">
      <x:c r="A4385" s="87" t="n">
        <x:v>4384</x:v>
      </x:c>
      <x:c r="B4385" s="87" t="str">
        <x:v>DEC-INF-01-003</x:v>
      </x:c>
      <x:c r="C4385" s="87" t="str">
        <x:v>СтатГрад</x:v>
      </x:c>
      <x:c r="D4385" s="87" t="str">
        <x:v>Декабрь 2025</x:v>
      </x:c>
      <x:c r="E4385" s="87"/>
      <x:c r="F4385" s="87"/>
      <x:c r="G4385" s="87" t="str">
        <x:v>Информатика</x:v>
      </x:c>
      <x:c r="H4385" s="87" t="n">
        <x:v>11</x:v>
      </x:c>
      <x:c r="I4385" s="87" t="str">
        <x:v>ТР №2</x:v>
      </x:c>
      <x:c r="J4385" s="87" t="str">
        <x:v>ИН2510201</x:v>
      </x:c>
      <x:c r="K4385" s="87" t="n">
        <x:v>3</x:v>
      </x:c>
      <x:c r="L4385" s="87" t="str">
        <x:v>База данных</x:v>
      </x:c>
      <x:c r="M4385" s="30" t="str">
        <x:v>В файле приведён фрагмент базы данных «Молочные продукты» о поставках
    товаров в магазины районов города. База данных состоит из трёх таблиц.
    Таблица «Движение товаров» содержит записи о поставках товаров в магазины
    в течение октября 2024 г., а также информацию о проданных товарах. Поле Тип
    операции содержит значение Поступление или Продажа, а в соответствующее
    поле Количество упаковок, шт. внесена информация о том, сколько упаковок
    товара поступило в магазин или было продано в течение дня.
    Заголовок таблицы имеет следующий вид:
        ID          Дата          ID           Артикул         Количество           Тип
     операции                  магазина                       упаковок, шт.       операции
    Таблица «Товар» содержит информацию об основных характеристиках
    каждого товара. Заголовок таблицы имеет следующий вид:
    Артикул       Отдел      Наименование          Ед. изм.     Количество          Цена за
                                товара                          в упаковке         упаковку
    Таблица «Магазин» содержит информацию о местонахождении магазинов.
    Заголовок таблицы имеет следующий вид:
                                     ID    Район Адрес
                                  магазина
    На рисунке приведена схема указанной базы данных.
    Используя информацию из приведённой базы данных, определите, на какую
    сумму (в руб.) было продано сметаны всех видов в магазинах Заречного
    района за период с 7 по 15 октября включительно.
    В ответе запишите только число.
                                   согласия СтатГрад запрещена</x:v>
      </x:c>
      <x:c r="N4385" s="30" t="str">
        <x:v>919175</x:v>
      </x:c>
      <x:c r="O4385" s="30" t="str">
        <x:v>Связаны таблицы движения, товаров и магазинов; отфильтрованы продажи по району, датам и наименованию, затем суммированы количество × цена.</x:v>
      </x:c>
      <x:c r="P4385" s="30" t="str">
        <x:v>Задание независимо пересчитано программно или аналитически; результат совпал с официальным ключом.</x:v>
      </x:c>
      <x:c r="Q4385" s="30"/>
      <x:c r="R4385" s="30" t="str">
        <x:v>919175</x:v>
      </x:c>
      <x:c r="S4385" s="30"/>
      <x:c r="T4385" s="30" t="str">
        <x:v>image_2025-12-17_11-53-34.png</x:v>
      </x:c>
      <x:c r="U4385" s="30" t="str">
        <x:v>Расхождений нет.</x:v>
      </x:c>
      <x:c r="V4385" s="87" t="str">
        <x:v>VERIFIED</x:v>
      </x:c>
      <x:c r="W4385" s="87" t="n">
        <x:v>4</x:v>
      </x:c>
      <x:c r="X4385" s="87"/>
      <x:c r="Y4385" s="87"/>
      <x:c r="Z4385" s="87"/>
      <x:c r="AA4385" s="87"/>
      <x:c r="AB4385" s="87"/>
      <x:c r="AC4385" s="87" t="str">
        <x:v>VIS-INF-DEC-TASK-201-P004</x:v>
      </x:c>
      <x:c r="AD4385" s="87"/>
      <x:c r="AE4385" s="87" t="str">
        <x:v>TASK</x:v>
      </x:c>
      <x:c r="AF4385" s="87"/>
      <x:c r="AG4385" s="87" t="str">
        <x:v>RESOLVED / HASH_ONLY_QA</x:v>
      </x:c>
      <x:c r="AH4385" s="87" t="str">
        <x:v>ASSET_HASH_VERIFIED_QA_UNSPECIFIED; TASK_CROP_QA_APPROVED:USE_CONTEXT</x:v>
      </x:c>
      <x:c r="AI4385" s="30"/>
      <x:c r="AJ4385" s="87" t="str">
        <x:v>clean</x:v>
      </x:c>
      <x:c r="AK4385" s="87" t="str">
        <x:v>clean-v0.06</x:v>
      </x:c>
      <x:c r="AL4385" s="87" t="str">
        <x:v>statgrad_clean_continuation_v0_06(1).xlsx</x:v>
      </x:c>
      <x:c r="AM4385" s="87" t="str">
        <x:v>INF_Dec_V1</x:v>
      </x:c>
      <x:c r="AN4385" s="87" t="n">
        <x:v>4</x:v>
      </x:c>
    </x:row>
    <x:row r="4386">
      <x:c r="A4386" s="87" t="n">
        <x:v>4385</x:v>
      </x:c>
      <x:c r="B4386" s="87" t="str">
        <x:v>DEC-INF-01-004</x:v>
      </x:c>
      <x:c r="C4386" s="87" t="str">
        <x:v>СтатГрад</x:v>
      </x:c>
      <x:c r="D4386" s="87" t="str">
        <x:v>Декабрь 2025</x:v>
      </x:c>
      <x:c r="E4386" s="87"/>
      <x:c r="F4386" s="87"/>
      <x:c r="G4386" s="87" t="str">
        <x:v>Информатика</x:v>
      </x:c>
      <x:c r="H4386" s="87" t="n">
        <x:v>11</x:v>
      </x:c>
      <x:c r="I4386" s="87" t="str">
        <x:v>ТР №2</x:v>
      </x:c>
      <x:c r="J4386" s="87" t="str">
        <x:v>ИН2510201</x:v>
      </x:c>
      <x:c r="K4386" s="87" t="n">
        <x:v>4</x:v>
      </x:c>
      <x:c r="L4386" s="87" t="str">
        <x:v>Код Фано</x:v>
      </x:c>
      <x:c r="M4386" s="30" t="str">
        <x:v>По каналу связи передаются сообщения, содержащие только девять букв:
    Е, Р, О, Ш, И, Т, Ь, С, Я. Для передачи используется двоичный код,
    удовлетворяющий условию Фано.
    Кодовые слова для некоторых букв известны.
    Е 00
    Р 1110
    О 01010
    Ш 011
    И 0100
    Ь 110
    Какое наименьшее количество двоичных знаков требуется для кодирования
    всех девяти букв? В ответе запишите суммарную длину всех кодовых слов.
    Примечание. Условие Фано означает, что никакое кодовое слово не является
    началом другого кодового слова. Это обеспечивает возможность однозначной
    расшифровки закодированных сообщений.</x:v>
      </x:c>
      <x:c r="N4386" s="30" t="str">
        <x:v>31</x:v>
      </x:c>
      <x:c r="O4386" s="30" t="str">
        <x:v>Минимальные новые кодовые слова можно выбрать 100, 101 и 1111; суммарная длина всех кодов 31.</x:v>
      </x:c>
      <x:c r="P4386" s="30" t="str">
        <x:v>Задание независимо пересчитано программно или аналитически; результат совпал с официальным ключом.</x:v>
      </x:c>
      <x:c r="Q4386" s="30"/>
      <x:c r="R4386" s="30" t="str">
        <x:v>31</x:v>
      </x:c>
      <x:c r="S4386" s="30"/>
      <x:c r="T4386" s="30" t="str">
        <x:v>image_2025-12-17_11-53-34.png</x:v>
      </x:c>
      <x:c r="U4386" s="30" t="str">
        <x:v>Расхождений нет.</x:v>
      </x:c>
      <x:c r="V4386" s="87" t="str">
        <x:v>VERIFIED</x:v>
      </x:c>
      <x:c r="W4386" s="87" t="n">
        <x:v>5</x:v>
      </x:c>
      <x:c r="X4386" s="87"/>
      <x:c r="Y4386" s="87"/>
      <x:c r="Z4386" s="87"/>
      <x:c r="AA4386" s="87"/>
      <x:c r="AB4386" s="87"/>
      <x:c r="AC4386" s="87" t="str">
        <x:v>VIS-INF-DEC-TASK-201-P005</x:v>
      </x:c>
      <x:c r="AD4386" s="87"/>
      <x:c r="AE4386" s="87" t="str">
        <x:v>TASK</x:v>
      </x:c>
      <x:c r="AF4386" s="87"/>
      <x:c r="AG4386" s="87" t="str">
        <x:v>RESOLVED / HASH_ONLY_QA</x:v>
      </x:c>
      <x:c r="AH4386" s="87" t="str">
        <x:v>ASSET_HASH_VERIFIED_QA_UNSPECIFIED</x:v>
      </x:c>
      <x:c r="AI4386" s="30"/>
      <x:c r="AJ4386" s="87" t="str">
        <x:v>clean</x:v>
      </x:c>
      <x:c r="AK4386" s="87" t="str">
        <x:v>clean-v0.06</x:v>
      </x:c>
      <x:c r="AL4386" s="87" t="str">
        <x:v>statgrad_clean_continuation_v0_06(1).xlsx</x:v>
      </x:c>
      <x:c r="AM4386" s="87" t="str">
        <x:v>INF_Dec_V1</x:v>
      </x:c>
      <x:c r="AN4386" s="87" t="n">
        <x:v>5</x:v>
      </x:c>
    </x:row>
    <x:row r="4387">
      <x:c r="A4387" s="87" t="n">
        <x:v>4386</x:v>
      </x:c>
      <x:c r="B4387" s="87" t="str">
        <x:v>DEC-INF-01-005</x:v>
      </x:c>
      <x:c r="C4387" s="87" t="str">
        <x:v>СтатГрад</x:v>
      </x:c>
      <x:c r="D4387" s="87" t="str">
        <x:v>Декабрь 2025</x:v>
      </x:c>
      <x:c r="E4387" s="87"/>
      <x:c r="F4387" s="87"/>
      <x:c r="G4387" s="87" t="str">
        <x:v>Информатика</x:v>
      </x:c>
      <x:c r="H4387" s="87" t="n">
        <x:v>11</x:v>
      </x:c>
      <x:c r="I4387" s="87" t="str">
        <x:v>ТР №2</x:v>
      </x:c>
      <x:c r="J4387" s="87" t="str">
        <x:v>ИН2510201</x:v>
      </x:c>
      <x:c r="K4387" s="87" t="n">
        <x:v>5</x:v>
      </x:c>
      <x:c r="L4387" s="87" t="str">
        <x:v>Алгоритм и системы счисления</x:v>
      </x:c>
      <x:c r="M4387" s="30" t="str">
        <x:v>На вход алгоритма подаётся натуральное число N. Алгоритм строит по нему
    новое число R следующим образом.
    1. Строится троичная запись числа N.
    2. Далее эта запись обрабатывается по следующему правилу:
    a) если число N делится на 3, то слева к нему приписывается «1», а справа «02»;
    б) если число N на 3 не делится, то остаток от деления на 3 умножается на 4,
    переводится в троичную запись и дописывается в конец числа.
    Полученная таким образом запись является троичной записью искомого
    числа R.
    3. Результат переводится в десятичную систему и выводится на экран.
    Например, для исходного числа 11 10 = 102 3 результатом является число
    10222 3 = 107 10 , а для исходного числа 12 10 = 110 3 – это число 111002 3 =
    353 10 .
    Укажите максимальное число N, после обработки которого с помощью
    этого алгоритма получается число R, не превышающее 250.
                                   согласия СтатГрад запрещена</x:v>
      </x:c>
      <x:c r="N4387" s="30" t="str">
        <x:v>26</x:v>
      </x:c>
      <x:c r="O4387" s="30" t="str">
        <x:v>Полный перебор N с построением троичной записи R.</x:v>
      </x:c>
      <x:c r="P4387" s="30" t="str">
        <x:v>Задание независимо пересчитано программно или аналитически; результат совпал с официальным ключом.</x:v>
      </x:c>
      <x:c r="Q4387" s="30"/>
      <x:c r="R4387" s="30" t="str">
        <x:v>26</x:v>
      </x:c>
      <x:c r="S4387" s="30"/>
      <x:c r="T4387" s="30" t="str">
        <x:v>image_2025-12-17_11-53-34.png</x:v>
      </x:c>
      <x:c r="U4387" s="30" t="str">
        <x:v>Расхождений нет.</x:v>
      </x:c>
      <x:c r="V4387" s="87" t="str">
        <x:v>VERIFIED</x:v>
      </x:c>
      <x:c r="W4387" s="87" t="n">
        <x:v>5</x:v>
      </x:c>
      <x:c r="X4387" s="87"/>
      <x:c r="Y4387" s="87"/>
      <x:c r="Z4387" s="87"/>
      <x:c r="AA4387" s="87"/>
      <x:c r="AB4387" s="87"/>
      <x:c r="AC4387" s="87" t="str">
        <x:v>VIS-INF-DEC-TASK-201-P005</x:v>
      </x:c>
      <x:c r="AD4387" s="87"/>
      <x:c r="AE4387" s="87" t="str">
        <x:v>TASK</x:v>
      </x:c>
      <x:c r="AF4387" s="87"/>
      <x:c r="AG4387" s="87" t="str">
        <x:v>RESOLVED / HASH_ONLY_QA</x:v>
      </x:c>
      <x:c r="AH4387" s="87" t="str">
        <x:v>ASSET_HASH_VERIFIED_QA_UNSPECIFIED</x:v>
      </x:c>
      <x:c r="AI4387" s="30"/>
      <x:c r="AJ4387" s="87" t="str">
        <x:v>clean</x:v>
      </x:c>
      <x:c r="AK4387" s="87" t="str">
        <x:v>clean-v0.06</x:v>
      </x:c>
      <x:c r="AL4387" s="87" t="str">
        <x:v>statgrad_clean_continuation_v0_06(1).xlsx</x:v>
      </x:c>
      <x:c r="AM4387" s="87" t="str">
        <x:v>INF_Dec_V1</x:v>
      </x:c>
      <x:c r="AN4387" s="87" t="n">
        <x:v>6</x:v>
      </x:c>
    </x:row>
    <x:row r="4388">
      <x:c r="A4388" s="87" t="n">
        <x:v>4387</x:v>
      </x:c>
      <x:c r="B4388" s="87" t="str">
        <x:v>DEC-INF-01-006</x:v>
      </x:c>
      <x:c r="C4388" s="87" t="str">
        <x:v>СтатГрад</x:v>
      </x:c>
      <x:c r="D4388" s="87" t="str">
        <x:v>Декабрь 2025</x:v>
      </x:c>
      <x:c r="E4388" s="87"/>
      <x:c r="F4388" s="87"/>
      <x:c r="G4388" s="87" t="str">
        <x:v>Информатика</x:v>
      </x:c>
      <x:c r="H4388" s="87" t="n">
        <x:v>11</x:v>
      </x:c>
      <x:c r="I4388" s="87" t="str">
        <x:v>ТР №2</x:v>
      </x:c>
      <x:c r="J4388" s="87" t="str">
        <x:v>ИН2510201</x:v>
      </x:c>
      <x:c r="K4388" s="87" t="n">
        <x:v>6</x:v>
      </x:c>
      <x:c r="L4388" s="87" t="str">
        <x:v>Черепаха / геометрия</x:v>
      </x:c>
      <x:c r="M4388" s="30" t="str">
        <x:v>Исполнитель Черепаха действует на плоскости с декартовой системой
    координат. В начальный момент Черепаха находится в начале координат, её
    голова направлена вдоль положительного направления оси ординат, хвост
    опущен. При опущенном хвосте Черепаха оставляет на поле след в виде
    линии. В каждый конкретный момент известно положение исполнителя
    и направление его движения. У исполнителя существует 6 команд: Поднять
    хвост, означающая переход к перемещению без рисования; Опустить хвост,
    означающая переход в режим рисования; Вперёд n (где n – целое число),
    вызывающая передвижение Черепахи на n единиц в том направлении, куда
    указывает её голова; Назад n (где n – целое число), вызывающая
    передвижение в противоположном голове направлении; Направо m (где m –
    целое число), вызывающая изменение направления движения на m градусов
    по часовой стрелке; Налево m (где m – целое число), вызывающая изменение
    направления движения на m градусов против часовой стрелки.
    Запись Повтори k [Команда1 Команда2 … КомандаS] означает, что
    последовательность из S команд повторится k раз.
    Черепахе был дан для исполнения следующий алгоритм:
    Направо 180
    Повтори 9 [Вперёд 59 Налево 90 Вперёд 84 Налево 90]
    Поднять хвост
    Вперёд 18 Налево 90 Вперёд 38 Направо 90
    Опустить хвост
    Повтори 9 [Вперёд 120 Направо 90 Вперёд 99 Направо 90]
    Определите периметр области пересечения фигур, ограниченных заданными
    алгоритмом линиями.</x:v>
      </x:c>
      <x:c r="N4388" s="30" t="str">
        <x:v>158</x:v>
      </x:c>
      <x:c r="O4388" s="30" t="str">
        <x:v>Пересечение прямоугольников (0, 84, -59, 0) и (46, 145, -41, 79), периметр 158.</x:v>
      </x:c>
      <x:c r="P4388" s="30" t="str">
        <x:v>Задание независимо пересчитано программно или аналитически; результат совпал с официальным ключом.</x:v>
      </x:c>
      <x:c r="Q4388" s="30"/>
      <x:c r="R4388" s="30" t="str">
        <x:v>158</x:v>
      </x:c>
      <x:c r="S4388" s="30"/>
      <x:c r="T4388" s="30" t="str">
        <x:v>image_2025-12-17_11-53-34.png</x:v>
      </x:c>
      <x:c r="U4388" s="30" t="str">
        <x:v>Расхождений нет.</x:v>
      </x:c>
      <x:c r="V4388" s="87" t="str">
        <x:v>VERIFIED</x:v>
      </x:c>
      <x:c r="W4388" s="87" t="n">
        <x:v>6</x:v>
      </x:c>
      <x:c r="X4388" s="87"/>
      <x:c r="Y4388" s="87"/>
      <x:c r="Z4388" s="87"/>
      <x:c r="AA4388" s="87"/>
      <x:c r="AB4388" s="87"/>
      <x:c r="AC4388" s="87" t="str">
        <x:v>VIS-INF-DEC-TASK-201-P006</x:v>
      </x:c>
      <x:c r="AD4388" s="87"/>
      <x:c r="AE4388" s="87" t="str">
        <x:v>TASK</x:v>
      </x:c>
      <x:c r="AF4388" s="87"/>
      <x:c r="AG4388" s="87" t="str">
        <x:v>RESOLVED / HASH_ONLY_QA</x:v>
      </x:c>
      <x:c r="AH4388" s="87" t="str">
        <x:v>ASSET_HASH_VERIFIED_QA_UNSPECIFIED</x:v>
      </x:c>
      <x:c r="AI4388" s="30"/>
      <x:c r="AJ4388" s="87" t="str">
        <x:v>clean</x:v>
      </x:c>
      <x:c r="AK4388" s="87" t="str">
        <x:v>clean-v0.06</x:v>
      </x:c>
      <x:c r="AL4388" s="87" t="str">
        <x:v>statgrad_clean_continuation_v0_06(1).xlsx</x:v>
      </x:c>
      <x:c r="AM4388" s="87" t="str">
        <x:v>INF_Dec_V1</x:v>
      </x:c>
      <x:c r="AN4388" s="87" t="n">
        <x:v>7</x:v>
      </x:c>
    </x:row>
    <x:row r="4389">
      <x:c r="A4389" s="87" t="n">
        <x:v>4388</x:v>
      </x:c>
      <x:c r="B4389" s="87" t="str">
        <x:v>DEC-INF-01-007</x:v>
      </x:c>
      <x:c r="C4389" s="87" t="str">
        <x:v>СтатГрад</x:v>
      </x:c>
      <x:c r="D4389" s="87" t="str">
        <x:v>Декабрь 2025</x:v>
      </x:c>
      <x:c r="E4389" s="87"/>
      <x:c r="F4389" s="87"/>
      <x:c r="G4389" s="87" t="str">
        <x:v>Информатика</x:v>
      </x:c>
      <x:c r="H4389" s="87" t="n">
        <x:v>11</x:v>
      </x:c>
      <x:c r="I4389" s="87" t="str">
        <x:v>ТР №2</x:v>
      </x:c>
      <x:c r="J4389" s="87" t="str">
        <x:v>ИН2510201</x:v>
      </x:c>
      <x:c r="K4389" s="87" t="n">
        <x:v>7</x:v>
      </x:c>
      <x:c r="L4389" s="87" t="str">
        <x:v>Кодирование изображения</x:v>
      </x:c>
      <x:c r="M4389" s="30" t="str">
        <x:v>Прибор автоматической фиксации нарушений правил дорожного движения
    делает цветные фотографии размером 1600×900 пикселей, при этом
    используется палитра из 4096 цветов. Все снимки группируются в пакеты по Х
    (Х – натуральное число) штук и передаются по каналу связи. Известно, что
    время передачи одного такого пакета занимает ровно 3,5 часа, а пропускная
    способность канала равна 22406400 бит/c. Определите, чему равно значение Х.
    В ответе запишите только число.
                                   согласия СтатГрад запрещена</x:v>
      </x:c>
      <x:c r="N4389" s="30" t="str">
        <x:v>16338</x:v>
      </x:c>
      <x:c r="O4389" s="30" t="str">
        <x:v>Объём пакета = время × скорость; объём одного снимка = пиксели × бит на цвет.</x:v>
      </x:c>
      <x:c r="P4389" s="30" t="str">
        <x:v>Задание независимо пересчитано программно или аналитически; результат совпал с официальным ключом.</x:v>
      </x:c>
      <x:c r="Q4389" s="30"/>
      <x:c r="R4389" s="30" t="str">
        <x:v>16338</x:v>
      </x:c>
      <x:c r="S4389" s="30"/>
      <x:c r="T4389" s="30" t="str">
        <x:v>image_2025-12-17_11-53-34.png</x:v>
      </x:c>
      <x:c r="U4389" s="30" t="str">
        <x:v>Расхождений нет.</x:v>
      </x:c>
      <x:c r="V4389" s="87" t="str">
        <x:v>VERIFIED</x:v>
      </x:c>
      <x:c r="W4389" s="87" t="n">
        <x:v>6</x:v>
      </x:c>
      <x:c r="X4389" s="87"/>
      <x:c r="Y4389" s="87"/>
      <x:c r="Z4389" s="87"/>
      <x:c r="AA4389" s="87"/>
      <x:c r="AB4389" s="87"/>
      <x:c r="AC4389" s="87" t="str">
        <x:v>VIS-INF-DEC-TASK-201-P006</x:v>
      </x:c>
      <x:c r="AD4389" s="87"/>
      <x:c r="AE4389" s="87" t="str">
        <x:v>TASK</x:v>
      </x:c>
      <x:c r="AF4389" s="87"/>
      <x:c r="AG4389" s="87" t="str">
        <x:v>RESOLVED / HASH_ONLY_QA</x:v>
      </x:c>
      <x:c r="AH4389" s="87" t="str">
        <x:v>ASSET_HASH_VERIFIED_QA_UNSPECIFIED; TASK_CROP_NO_CROP_NEEDED</x:v>
      </x:c>
      <x:c r="AI4389" s="30"/>
      <x:c r="AJ4389" s="87" t="str">
        <x:v>clean</x:v>
      </x:c>
      <x:c r="AK4389" s="87" t="str">
        <x:v>clean-v0.06</x:v>
      </x:c>
      <x:c r="AL4389" s="87" t="str">
        <x:v>statgrad_clean_continuation_v0_06(1).xlsx</x:v>
      </x:c>
      <x:c r="AM4389" s="87" t="str">
        <x:v>INF_Dec_V1</x:v>
      </x:c>
      <x:c r="AN4389" s="87" t="n">
        <x:v>8</x:v>
      </x:c>
    </x:row>
    <x:row r="4390">
      <x:c r="A4390" s="87" t="n">
        <x:v>4389</x:v>
      </x:c>
      <x:c r="B4390" s="87" t="str">
        <x:v>DEC-INF-01-008</x:v>
      </x:c>
      <x:c r="C4390" s="87" t="str">
        <x:v>СтатГрад</x:v>
      </x:c>
      <x:c r="D4390" s="87" t="str">
        <x:v>Декабрь 2025</x:v>
      </x:c>
      <x:c r="E4390" s="87"/>
      <x:c r="F4390" s="87"/>
      <x:c r="G4390" s="87" t="str">
        <x:v>Информатика</x:v>
      </x:c>
      <x:c r="H4390" s="87" t="n">
        <x:v>11</x:v>
      </x:c>
      <x:c r="I4390" s="87" t="str">
        <x:v>ТР №2</x:v>
      </x:c>
      <x:c r="J4390" s="87" t="str">
        <x:v>ИН2510201</x:v>
      </x:c>
      <x:c r="K4390" s="87" t="n">
        <x:v>8</x:v>
      </x:c>
      <x:c r="L4390" s="87" t="str">
        <x:v>Комбинаторика</x:v>
      </x:c>
      <x:c r="M4390" s="30" t="str">
        <x:v>Определите количество 16-ричных шестизначных чисел, в записи которых
     содержится не менее одной цифры 5 и ровно две цифры с числовым
     значением, превышающим 12, причём стоящие рядом.
            Задание выполняется с использованием прилагаемых файлов.</x:v>
      </x:c>
      <x:c r="N4390" s="30" t="str">
        <x:v>335241</x:v>
      </x:c>
      <x:c r="O4390" s="30" t="str">
        <x:v>Перебор всех шестизначных записей с проверкой условий.</x:v>
      </x:c>
      <x:c r="P4390" s="30" t="str">
        <x:v>Задание независимо пересчитано программно или аналитически; результат совпал с официальным ключом.</x:v>
      </x:c>
      <x:c r="Q4390" s="30"/>
      <x:c r="R4390" s="30" t="str">
        <x:v>335241</x:v>
      </x:c>
      <x:c r="S4390" s="30"/>
      <x:c r="T4390" s="30" t="str">
        <x:v>image_2025-12-17_11-53-34.png</x:v>
      </x:c>
      <x:c r="U4390" s="30" t="str">
        <x:v>Расхождений нет.</x:v>
      </x:c>
      <x:c r="V4390" s="87" t="str">
        <x:v>VERIFIED</x:v>
      </x:c>
      <x:c r="W4390" s="87" t="n">
        <x:v>7</x:v>
      </x:c>
      <x:c r="X4390" s="87"/>
      <x:c r="Y4390" s="87"/>
      <x:c r="Z4390" s="87"/>
      <x:c r="AA4390" s="87"/>
      <x:c r="AB4390" s="87"/>
      <x:c r="AC4390" s="87" t="str">
        <x:v>VIS-INF-DEC-TASK-201-P007</x:v>
      </x:c>
      <x:c r="AD4390" s="87"/>
      <x:c r="AE4390" s="87" t="str">
        <x:v>TASK</x:v>
      </x:c>
      <x:c r="AF4390" s="87"/>
      <x:c r="AG4390" s="87" t="str">
        <x:v>RESOLVED / HASH_ONLY_QA</x:v>
      </x:c>
      <x:c r="AH4390" s="87" t="str">
        <x:v>ASSET_HASH_VERIFIED_QA_UNSPECIFIED</x:v>
      </x:c>
      <x:c r="AI4390" s="30"/>
      <x:c r="AJ4390" s="87" t="str">
        <x:v>clean</x:v>
      </x:c>
      <x:c r="AK4390" s="87" t="str">
        <x:v>clean-v0.06</x:v>
      </x:c>
      <x:c r="AL4390" s="87" t="str">
        <x:v>statgrad_clean_continuation_v0_06(1).xlsx</x:v>
      </x:c>
      <x:c r="AM4390" s="87" t="str">
        <x:v>INF_Dec_V1</x:v>
      </x:c>
      <x:c r="AN4390" s="87" t="n">
        <x:v>9</x:v>
      </x:c>
    </x:row>
    <x:row r="4391">
      <x:c r="A4391" s="87" t="n">
        <x:v>4390</x:v>
      </x:c>
      <x:c r="B4391" s="87" t="str">
        <x:v>DEC-INF-01-009</x:v>
      </x:c>
      <x:c r="C4391" s="87" t="str">
        <x:v>СтатГрад</x:v>
      </x:c>
      <x:c r="D4391" s="87" t="str">
        <x:v>Декабрь 2025</x:v>
      </x:c>
      <x:c r="E4391" s="87"/>
      <x:c r="F4391" s="87"/>
      <x:c r="G4391" s="87" t="str">
        <x:v>Информатика</x:v>
      </x:c>
      <x:c r="H4391" s="87" t="n">
        <x:v>11</x:v>
      </x:c>
      <x:c r="I4391" s="87" t="str">
        <x:v>ТР №2</x:v>
      </x:c>
      <x:c r="J4391" s="87" t="str">
        <x:v>ИН2510201</x:v>
      </x:c>
      <x:c r="K4391" s="87" t="n">
        <x:v>9</x:v>
      </x:c>
      <x:c r="L4391" s="87" t="str">
        <x:v>Обработка электронной таблицы</x:v>
      </x:c>
      <x:c r="M4391" s="30" t="str">
        <x:v>Откройте файл электронной таблицы, содержащей в каждой строке шесть
     натуральных чисел. Определите сумму чисел в строке таблицы с наибольшим
     номером, содержащей числа, для которых выполнены оба условия:
     – в строке все числа расположены в порядке возрастания;
     – количество чётных и нечётных чисел в строке одинаково.
     В ответе запишите только одно число.
            Задание выполняется с использованием прилагаемых файлов.</x:v>
      </x:c>
      <x:c r="N4391" s="30" t="str">
        <x:v>1509</x:v>
      </x:c>
      <x:c r="O4391" s="30" t="str">
        <x:v>Последняя подходящая строка №7169.</x:v>
      </x:c>
      <x:c r="P4391" s="30" t="str">
        <x:v>Задание независимо пересчитано программно или аналитически; результат совпал с официальным ключом.</x:v>
      </x:c>
      <x:c r="Q4391" s="30"/>
      <x:c r="R4391" s="30" t="str">
        <x:v>1509</x:v>
      </x:c>
      <x:c r="S4391" s="30"/>
      <x:c r="T4391" s="30" t="str">
        <x:v>image_2025-12-17_11-53-34.png</x:v>
      </x:c>
      <x:c r="U4391" s="30" t="str">
        <x:v>Расхождений нет.</x:v>
      </x:c>
      <x:c r="V4391" s="87" t="str">
        <x:v>VERIFIED</x:v>
      </x:c>
      <x:c r="W4391" s="87" t="n">
        <x:v>7</x:v>
      </x:c>
      <x:c r="X4391" s="87"/>
      <x:c r="Y4391" s="87"/>
      <x:c r="Z4391" s="87"/>
      <x:c r="AA4391" s="87"/>
      <x:c r="AB4391" s="87"/>
      <x:c r="AC4391" s="87" t="str">
        <x:v>VIS-INF-DEC-TASK-201-P007</x:v>
      </x:c>
      <x:c r="AD4391" s="87"/>
      <x:c r="AE4391" s="87" t="str">
        <x:v>TASK</x:v>
      </x:c>
      <x:c r="AF4391" s="87"/>
      <x:c r="AG4391" s="87" t="str">
        <x:v>RESOLVED / HASH_ONLY_QA</x:v>
      </x:c>
      <x:c r="AH4391" s="87" t="str">
        <x:v>ASSET_HASH_VERIFIED_QA_UNSPECIFIED</x:v>
      </x:c>
      <x:c r="AI4391" s="30"/>
      <x:c r="AJ4391" s="87" t="str">
        <x:v>clean</x:v>
      </x:c>
      <x:c r="AK4391" s="87" t="str">
        <x:v>clean-v0.06</x:v>
      </x:c>
      <x:c r="AL4391" s="87" t="str">
        <x:v>statgrad_clean_continuation_v0_06(1).xlsx</x:v>
      </x:c>
      <x:c r="AM4391" s="87" t="str">
        <x:v>INF_Dec_V1</x:v>
      </x:c>
      <x:c r="AN4391" s="87" t="n">
        <x:v>10</x:v>
      </x:c>
    </x:row>
    <x:row r="4392">
      <x:c r="A4392" s="87" t="n">
        <x:v>4391</x:v>
      </x:c>
      <x:c r="B4392" s="87" t="str">
        <x:v>DEC-INF-01-010</x:v>
      </x:c>
      <x:c r="C4392" s="87" t="str">
        <x:v>СтатГрад</x:v>
      </x:c>
      <x:c r="D4392" s="87" t="str">
        <x:v>Декабрь 2025</x:v>
      </x:c>
      <x:c r="E4392" s="87"/>
      <x:c r="F4392" s="87"/>
      <x:c r="G4392" s="87" t="str">
        <x:v>Информатика</x:v>
      </x:c>
      <x:c r="H4392" s="87" t="n">
        <x:v>11</x:v>
      </x:c>
      <x:c r="I4392" s="87" t="str">
        <x:v>ТР №2</x:v>
      </x:c>
      <x:c r="J4392" s="87" t="str">
        <x:v>ИН2510201</x:v>
      </x:c>
      <x:c r="K4392" s="87" t="n">
        <x:v>10</x:v>
      </x:c>
      <x:c r="L4392" s="87" t="str">
        <x:v>Текстовый поиск</x:v>
      </x:c>
      <x:c r="M4392" s="30" t="str">
        <x:v>C помощью текстового редактора определите, сколько раз встречается слово
     «его» или «Его» в тексте первых двух глав романа И.С. Тургенева «Отцы
     и дети». Другие формы этого слова учитывать не следует.
     В ответе укажите только число.</x:v>
      </x:c>
      <x:c r="N4392" s="30" t="str">
        <x:v>16</x:v>
      </x:c>
      <x:c r="O4392" s="30" t="str">
        <x:v>Подсчёт отдельного слова «его» в главах I–II.</x:v>
      </x:c>
      <x:c r="P4392" s="30" t="str">
        <x:v>Задание независимо пересчитано программно или аналитически; результат совпал с официальным ключом.</x:v>
      </x:c>
      <x:c r="Q4392" s="30"/>
      <x:c r="R4392" s="30" t="str">
        <x:v>16</x:v>
      </x:c>
      <x:c r="S4392" s="30"/>
      <x:c r="T4392" s="30" t="str">
        <x:v>image_2025-12-17_11-53-34.png</x:v>
      </x:c>
      <x:c r="U4392" s="30" t="str">
        <x:v>Расхождений нет.</x:v>
      </x:c>
      <x:c r="V4392" s="87" t="str">
        <x:v>VERIFIED</x:v>
      </x:c>
      <x:c r="W4392" s="87" t="n">
        <x:v>7</x:v>
      </x:c>
      <x:c r="X4392" s="87"/>
      <x:c r="Y4392" s="87"/>
      <x:c r="Z4392" s="87"/>
      <x:c r="AA4392" s="87"/>
      <x:c r="AB4392" s="87"/>
      <x:c r="AC4392" s="87" t="str">
        <x:v>VIS-INF-DEC-TASK-201-P007</x:v>
      </x:c>
      <x:c r="AD4392" s="87"/>
      <x:c r="AE4392" s="87" t="str">
        <x:v>TASK</x:v>
      </x:c>
      <x:c r="AF4392" s="87"/>
      <x:c r="AG4392" s="87" t="str">
        <x:v>RESOLVED / HASH_ONLY_QA</x:v>
      </x:c>
      <x:c r="AH4392" s="87" t="str">
        <x:v>ASSET_HASH_VERIFIED_QA_UNSPECIFIED</x:v>
      </x:c>
      <x:c r="AI4392" s="30"/>
      <x:c r="AJ4392" s="87" t="str">
        <x:v>clean</x:v>
      </x:c>
      <x:c r="AK4392" s="87" t="str">
        <x:v>clean-v0.06</x:v>
      </x:c>
      <x:c r="AL4392" s="87" t="str">
        <x:v>statgrad_clean_continuation_v0_06(1).xlsx</x:v>
      </x:c>
      <x:c r="AM4392" s="87" t="str">
        <x:v>INF_Dec_V1</x:v>
      </x:c>
      <x:c r="AN4392" s="87" t="n">
        <x:v>11</x:v>
      </x:c>
    </x:row>
    <x:row r="4393">
      <x:c r="A4393" s="87" t="n">
        <x:v>4392</x:v>
      </x:c>
      <x:c r="B4393" s="87" t="str">
        <x:v>DEC-INF-01-011</x:v>
      </x:c>
      <x:c r="C4393" s="87" t="str">
        <x:v>СтатГрад</x:v>
      </x:c>
      <x:c r="D4393" s="87" t="str">
        <x:v>Декабрь 2025</x:v>
      </x:c>
      <x:c r="E4393" s="87"/>
      <x:c r="F4393" s="87"/>
      <x:c r="G4393" s="87" t="str">
        <x:v>Информатика</x:v>
      </x:c>
      <x:c r="H4393" s="87" t="n">
        <x:v>11</x:v>
      </x:c>
      <x:c r="I4393" s="87" t="str">
        <x:v>ТР №2</x:v>
      </x:c>
      <x:c r="J4393" s="87" t="str">
        <x:v>ИН2510201</x:v>
      </x:c>
      <x:c r="K4393" s="87" t="n">
        <x:v>11</x:v>
      </x:c>
      <x:c r="L4393" s="87" t="str">
        <x:v>Кодирование паролей</x:v>
      </x:c>
      <x:c r="M4393" s="30" t="str">
        <x:v>При регистрации в компьютерной системе каждому пользователю выдаётся
     пароль, состоящий из 30 символов. В качестве символов используют прописные
     и строчные буквы латинского алфавита, а также десятичные цифры и символы
     из 15-символьного специального алфавита. В базе данных для хранения
     сведений о каждом пользователе отведено одинаковое и минимально
     возможное целое число байт. При этом используют посимвольное кодирование
     паролей, все символы кодируют одинаковым и минимально возможным
     количеством бит. Кроме собственно пароля, для каждого пользователя
     в системе хранятся дополнительные сведения, для чего выделено 28 байт на
     одного пользователя. В компьютерной системе выделено 2 Мбайта для
     хранения сведений о пользователях. О каком наибольшем количестве
     пользователей может быть сохранена информация в системе? В ответе
     запишите только целое число – количество пользователей.
     Примечание: в латинском алфавите 26 букв.
                                    согласия СтатГрад запрещена</x:v>
      </x:c>
      <x:c r="N4393" s="30" t="str">
        <x:v>38130</x:v>
      </x:c>
      <x:c r="O4393" s="30" t="str">
        <x:v>Минимальное число бит на символ, округление длины пароля до целых байт, затем целочисленное деление доступной памяти.</x:v>
      </x:c>
      <x:c r="P4393" s="30" t="str">
        <x:v>Задание независимо пересчитано программно или аналитически; результат совпал с официальным ключом.</x:v>
      </x:c>
      <x:c r="Q4393" s="30"/>
      <x:c r="R4393" s="30" t="str">
        <x:v>38130</x:v>
      </x:c>
      <x:c r="S4393" s="30"/>
      <x:c r="T4393" s="30" t="str">
        <x:v>image_2025-12-17_11-53-34.png</x:v>
      </x:c>
      <x:c r="U4393" s="30" t="str">
        <x:v>Расхождений нет.</x:v>
      </x:c>
      <x:c r="V4393" s="87" t="str">
        <x:v>VERIFIED</x:v>
      </x:c>
      <x:c r="W4393" s="87" t="n">
        <x:v>7</x:v>
      </x:c>
      <x:c r="X4393" s="87"/>
      <x:c r="Y4393" s="87"/>
      <x:c r="Z4393" s="87"/>
      <x:c r="AA4393" s="87"/>
      <x:c r="AB4393" s="87"/>
      <x:c r="AC4393" s="87" t="str">
        <x:v>VIS-INF-DEC-TASK-201-P007</x:v>
      </x:c>
      <x:c r="AD4393" s="87"/>
      <x:c r="AE4393" s="87" t="str">
        <x:v>TASK</x:v>
      </x:c>
      <x:c r="AF4393" s="87"/>
      <x:c r="AG4393" s="87" t="str">
        <x:v>RESOLVED / HASH_ONLY_QA</x:v>
      </x:c>
      <x:c r="AH4393" s="87" t="str">
        <x:v>ASSET_HASH_VERIFIED_QA_UNSPECIFIED</x:v>
      </x:c>
      <x:c r="AI4393" s="30"/>
      <x:c r="AJ4393" s="87" t="str">
        <x:v>clean</x:v>
      </x:c>
      <x:c r="AK4393" s="87" t="str">
        <x:v>clean-v0.06</x:v>
      </x:c>
      <x:c r="AL4393" s="87" t="str">
        <x:v>statgrad_clean_continuation_v0_06(1).xlsx</x:v>
      </x:c>
      <x:c r="AM4393" s="87" t="str">
        <x:v>INF_Dec_V1</x:v>
      </x:c>
      <x:c r="AN4393" s="87" t="n">
        <x:v>12</x:v>
      </x:c>
    </x:row>
    <x:row r="4394">
      <x:c r="A4394" s="87" t="n">
        <x:v>4393</x:v>
      </x:c>
      <x:c r="B4394" s="87" t="str">
        <x:v>DEC-INF-01-012</x:v>
      </x:c>
      <x:c r="C4394" s="87" t="str">
        <x:v>СтатГрад</x:v>
      </x:c>
      <x:c r="D4394" s="87" t="str">
        <x:v>Декабрь 2025</x:v>
      </x:c>
      <x:c r="E4394" s="87"/>
      <x:c r="F4394" s="87"/>
      <x:c r="G4394" s="87" t="str">
        <x:v>Информатика</x:v>
      </x:c>
      <x:c r="H4394" s="87" t="n">
        <x:v>11</x:v>
      </x:c>
      <x:c r="I4394" s="87" t="str">
        <x:v>ТР №2</x:v>
      </x:c>
      <x:c r="J4394" s="87" t="str">
        <x:v>ИН2510201</x:v>
      </x:c>
      <x:c r="K4394" s="87" t="n">
        <x:v>12</x:v>
      </x:c>
      <x:c r="L4394" s="87" t="str">
        <x:v>Машина Тьюринга</x:v>
      </x:c>
      <x:c r="M4394" s="30" t="str">
        <x:v>Исполнитель МТ представляет собой читающую и записывающую головку,
     которая может передвигаться вдоль бесконечной горизонтальной ленты,
     разделённой на равные ячейки. В каждой ячейке находится ровно один символ
     из алфавита исполнителя (множество символов A = {a0, a 1,…, a n–1 }), включая
     специальный пустой символ a0.
     Время работы исполнителя делится на дискретные такты (шаги). На каждом
     такте головка МТ находится в одном из множества допустимых состояний
     Q = {q 0 ,q 1 ,…,q m–1 }. В начальный момент времени головка находится
     в начальном состоянии q 0 .
     На каждом такте головка обозревает одну ячейку ленты, называемую текущей
     ячейкой. За один такт головка исполнителя может заменить символ в текущей
     ячейке (или оставить символ неизменным) и переместиться в ячейку справа или
     слева от текущей (или остаться в той же ячейке). После каждого такта головка
     переходит в новое состояние или остаётся в прежнем состоянии.
     Программа работы исполнителя МТ задаётся в табличном виде.
                                     a0      a1          ...     an–1
                             q 0 команда команда         ...   команда
                             q 1 команда команда         ...   команда
                             ...     ...     ...         ...
                            q m–1 команда команда        ...   команда
     В первой строке перечислены все возможные символы в текущей ячейке
     ленты, в первом столбце – возможные состояния головки. На пересечении i-й
     строки и j-го столбца находится команда, которую выполняет МТ, когда
     головка обозревает j-й символ, находясь в i-м состоянии. Если пара
     «символ – состояние» невозможна, то клетка для команды остаётся пустой.
     Каждая команда состоит из трёх элементов, разделённых запятыми: первый
     элемент – записываемый в текущую ячейку символ алфавита (может
     совпадать с тем, который там уже записан). Второй элемент – один
     из четырёх символов «L», «R», «N», «S». Символы «L» и «R» означают сдвиг
     в левую или правую ячейки соответственно, «N» – отсутствие сдвига, «S» –
     завершение работы исполнителя МТ после выполнения текущей команды.
     Сдвиг происходит после записи символа в текущую ячейку. Третий
     элемент – новое состояние головки после выполнения команды.
     Например, команда 0, L, q 3 выполняется следующим образом: в текущую
     ячейку записывается символ «0», затем головка сдвигается в соседнюю слева
     ячейку и переходит в состояние q 3 .
     Выполните задание
     На ленте исполнителя МТ в соседних ячейках записана последовательность
     из 999 символов, которая может включать только пятёрки, семёрки
     и девятки, расположенные в произвольном порядке. Ячейки справа и слева от
                                    согласия СтатГрад запрещена
     последовательности заполнены пустыми символами «λ». В начальный
     момент времени головка расположена в ближайшей ячейке справа
     от последовательности. Программа для исполнителя:
                           λ         5         7         9          0       1
                   q0   λ, L, q 1
                   q1   λ, S, q 1 1, L, q 1 1, L, q 1 0, L, q 1
     Известно, что после выполнения программы получилась строка, в которой
     все соседние символы различны. Определите минимальное возможное
     значение суммы цифр в исходной строке.</x:v>
      </x:c>
      <x:c r="N4394" s="30" t="str">
        <x:v>6991</x:v>
      </x:c>
      <x:c r="O4394" s="30" t="str">
        <x:v>Результат должен быть чередующейся двоичной строкой; для каждого бита выбран минимальный исходный символ.</x:v>
      </x:c>
      <x:c r="P4394" s="30" t="str">
        <x:v>Задание независимо пересчитано программно или аналитически; результат совпал с официальным ключом.</x:v>
      </x:c>
      <x:c r="Q4394" s="30"/>
      <x:c r="R4394" s="30" t="str">
        <x:v>6991</x:v>
      </x:c>
      <x:c r="S4394" s="30"/>
      <x:c r="T4394" s="30" t="str">
        <x:v>image_2025-12-17_11-53-34.png</x:v>
      </x:c>
      <x:c r="U4394" s="30" t="str">
        <x:v>Расхождений нет.</x:v>
      </x:c>
      <x:c r="V4394" s="87" t="str">
        <x:v>VERIFIED</x:v>
      </x:c>
      <x:c r="W4394" s="87" t="n">
        <x:v>8</x:v>
      </x:c>
      <x:c r="X4394" s="87"/>
      <x:c r="Y4394" s="87"/>
      <x:c r="Z4394" s="87"/>
      <x:c r="AA4394" s="87"/>
      <x:c r="AB4394" s="87"/>
      <x:c r="AC4394" s="87" t="str">
        <x:v>VIS-INF-DEC-TASK-201-P008</x:v>
      </x:c>
      <x:c r="AD4394" s="87"/>
      <x:c r="AE4394" s="87" t="str">
        <x:v>TASK</x:v>
      </x:c>
      <x:c r="AF4394" s="87"/>
      <x:c r="AG4394" s="87" t="str">
        <x:v>RESOLVED / HASH_ONLY_QA</x:v>
      </x:c>
      <x:c r="AH4394" s="87" t="str">
        <x:v>ASSET_HASH_VERIFIED_QA_UNSPECIFIED</x:v>
      </x:c>
      <x:c r="AI4394" s="30"/>
      <x:c r="AJ4394" s="87" t="str">
        <x:v>clean</x:v>
      </x:c>
      <x:c r="AK4394" s="87" t="str">
        <x:v>clean-v0.06</x:v>
      </x:c>
      <x:c r="AL4394" s="87" t="str">
        <x:v>statgrad_clean_continuation_v0_06(1).xlsx</x:v>
      </x:c>
      <x:c r="AM4394" s="87" t="str">
        <x:v>INF_Dec_V1</x:v>
      </x:c>
      <x:c r="AN4394" s="87" t="n">
        <x:v>13</x:v>
      </x:c>
    </x:row>
    <x:row r="4395">
      <x:c r="A4395" s="87" t="n">
        <x:v>4394</x:v>
      </x:c>
      <x:c r="B4395" s="87" t="str">
        <x:v>DEC-INF-01-013</x:v>
      </x:c>
      <x:c r="C4395" s="87" t="str">
        <x:v>СтатГрад</x:v>
      </x:c>
      <x:c r="D4395" s="87" t="str">
        <x:v>Декабрь 2025</x:v>
      </x:c>
      <x:c r="E4395" s="87"/>
      <x:c r="F4395" s="87"/>
      <x:c r="G4395" s="87" t="str">
        <x:v>Информатика</x:v>
      </x:c>
      <x:c r="H4395" s="87" t="n">
        <x:v>11</x:v>
      </x:c>
      <x:c r="I4395" s="87" t="str">
        <x:v>ТР №2</x:v>
      </x:c>
      <x:c r="J4395" s="87" t="str">
        <x:v>ИН2510201</x:v>
      </x:c>
      <x:c r="K4395" s="87" t="n">
        <x:v>13</x:v>
      </x:c>
      <x:c r="L4395" s="87" t="str">
        <x:v>IP-сеть</x:v>
      </x:c>
      <x:c r="M4395" s="30" t="str">
        <x:v>В терминологии сетей TCP/IP маской сети называют двоичное число,
     которое показывает, какая часть IP-адреса узла сети относится к адресу сети,
     а какая – к адресу узла в этой сети. Адрес сети получается в результате
     применения поразрядной конъюнкции к заданному адресу узла и его маске.
     Широковещательным адресом называется специализированный адрес, в котором
     на месте нулей в маске стоят единицы. Адрес сети и широковещательный адрес
     не могут быть использованы для адресации сетевых устройств.
     Сеть задана IP-адресом одного из входящих в неё узлов 220.151.212.184
     и сетевой маской 255.255.192.0.
     Найдите наименьший в данной сети IP-адрес, содержащий в своей двоичной
     записи кратное 4 количество единиц, который может быть назначен
     компьютеру. В ответе укажите найденный IP-адрес без разделителей.
     Например, если бы найденный адрес был равен 111.22.3.44, то в ответе
     следовало бы записать 11122344.</x:v>
      </x:c>
      <x:c r="N4395" s="30" t="str">
        <x:v>22015119215</x:v>
      </x:c>
      <x:c r="O4395" s="30" t="str">
        <x:v>Перебор допустимых адресов сети по возрастанию и подсчёт единиц в 32-битной записи.</x:v>
      </x:c>
      <x:c r="P4395" s="30" t="str">
        <x:v>Задание независимо пересчитано программно или аналитически; результат совпал с официальным ключом.</x:v>
      </x:c>
      <x:c r="Q4395" s="30"/>
      <x:c r="R4395" s="30" t="str">
        <x:v>22015119215</x:v>
      </x:c>
      <x:c r="S4395" s="30"/>
      <x:c r="T4395" s="30" t="str">
        <x:v>image_2025-12-17_11-53-34.png</x:v>
      </x:c>
      <x:c r="U4395" s="30" t="str">
        <x:v>Расхождений нет.</x:v>
      </x:c>
      <x:c r="V4395" s="87" t="str">
        <x:v>VERIFIED</x:v>
      </x:c>
      <x:c r="W4395" s="87" t="n">
        <x:v>9</x:v>
      </x:c>
      <x:c r="X4395" s="87"/>
      <x:c r="Y4395" s="87"/>
      <x:c r="Z4395" s="87"/>
      <x:c r="AA4395" s="87"/>
      <x:c r="AB4395" s="87"/>
      <x:c r="AC4395" s="87" t="str">
        <x:v>VIS-INF-DEC-TASK-201-P009</x:v>
      </x:c>
      <x:c r="AD4395" s="87"/>
      <x:c r="AE4395" s="87" t="str">
        <x:v>TASK</x:v>
      </x:c>
      <x:c r="AF4395" s="87"/>
      <x:c r="AG4395" s="87" t="str">
        <x:v>RESOLVED / HASH_ONLY_QA</x:v>
      </x:c>
      <x:c r="AH4395" s="87" t="str">
        <x:v>ASSET_HASH_VERIFIED_QA_UNSPECIFIED</x:v>
      </x:c>
      <x:c r="AI4395" s="30"/>
      <x:c r="AJ4395" s="87" t="str">
        <x:v>clean</x:v>
      </x:c>
      <x:c r="AK4395" s="87" t="str">
        <x:v>clean-v0.06</x:v>
      </x:c>
      <x:c r="AL4395" s="87" t="str">
        <x:v>statgrad_clean_continuation_v0_06(1).xlsx</x:v>
      </x:c>
      <x:c r="AM4395" s="87" t="str">
        <x:v>INF_Dec_V1</x:v>
      </x:c>
      <x:c r="AN4395" s="87" t="n">
        <x:v>14</x:v>
      </x:c>
    </x:row>
    <x:row r="4396">
      <x:c r="A4396" s="87" t="n">
        <x:v>4395</x:v>
      </x:c>
      <x:c r="B4396" s="87" t="str">
        <x:v>DEC-INF-01-014</x:v>
      </x:c>
      <x:c r="C4396" s="87" t="str">
        <x:v>СтатГрад</x:v>
      </x:c>
      <x:c r="D4396" s="87" t="str">
        <x:v>Декабрь 2025</x:v>
      </x:c>
      <x:c r="E4396" s="87"/>
      <x:c r="F4396" s="87"/>
      <x:c r="G4396" s="87" t="str">
        <x:v>Информатика</x:v>
      </x:c>
      <x:c r="H4396" s="87" t="n">
        <x:v>11</x:v>
      </x:c>
      <x:c r="I4396" s="87" t="str">
        <x:v>ТР №2</x:v>
      </x:c>
      <x:c r="J4396" s="87" t="str">
        <x:v>ИН2510201</x:v>
      </x:c>
      <x:c r="K4396" s="87" t="n">
        <x:v>14</x:v>
      </x:c>
      <x:c r="L4396" s="87" t="str">
        <x:v>Системы счисления</x:v>
      </x:c>
      <x:c r="M4396" s="30" t="str">
        <x:v>Операнды арифметического выражения записаны в системе счисления
     с основанием 17.
                                 ABx12 17 + 4Ex3F 17
     В записи чисел переменной x обозначена неизвестная цифра из алфавита
     17-ричной системы счисления. Определите наибольшее значение x, при
     котором значение данного арифметического выражения кратно 16. Для
     найденного x вычислите частное от деления значения арифметического
     выражения на 8 и укажите его в ответе в десятичной системе счисления.
     Основание системы счисления указывать не нужно.
                                    согласия СтатГрад запрещена</x:v>
      </x:c>
      <x:c r="N4396" s="30" t="str">
        <x:v>162248</x:v>
      </x:c>
      <x:c r="O4396" s="30" t="str">
        <x:v>Наибольшая допустимая цифра x=10.</x:v>
      </x:c>
      <x:c r="P4396" s="30" t="str">
        <x:v>Задание независимо пересчитано программно или аналитически; результат совпал с официальным ключом.</x:v>
      </x:c>
      <x:c r="Q4396" s="30"/>
      <x:c r="R4396" s="30" t="str">
        <x:v>162248</x:v>
      </x:c>
      <x:c r="S4396" s="30"/>
      <x:c r="T4396" s="30" t="str">
        <x:v>image_2025-12-17_11-53-34.png</x:v>
      </x:c>
      <x:c r="U4396" s="30" t="str">
        <x:v>Расхождений нет.</x:v>
      </x:c>
      <x:c r="V4396" s="87" t="str">
        <x:v>VERIFIED</x:v>
      </x:c>
      <x:c r="W4396" s="87" t="n">
        <x:v>9</x:v>
      </x:c>
      <x:c r="X4396" s="87"/>
      <x:c r="Y4396" s="87"/>
      <x:c r="Z4396" s="87"/>
      <x:c r="AA4396" s="87"/>
      <x:c r="AB4396" s="87"/>
      <x:c r="AC4396" s="87" t="str">
        <x:v>VIS-INF-DEC-TASK-201-P009</x:v>
      </x:c>
      <x:c r="AD4396" s="87"/>
      <x:c r="AE4396" s="87" t="str">
        <x:v>TASK</x:v>
      </x:c>
      <x:c r="AF4396" s="87"/>
      <x:c r="AG4396" s="87" t="str">
        <x:v>RESOLVED / HASH_ONLY_QA</x:v>
      </x:c>
      <x:c r="AH4396" s="87" t="str">
        <x:v>ASSET_HASH_VERIFIED_QA_UNSPECIFIED</x:v>
      </x:c>
      <x:c r="AI4396" s="30"/>
      <x:c r="AJ4396" s="87" t="str">
        <x:v>clean</x:v>
      </x:c>
      <x:c r="AK4396" s="87" t="str">
        <x:v>clean-v0.06</x:v>
      </x:c>
      <x:c r="AL4396" s="87" t="str">
        <x:v>statgrad_clean_continuation_v0_06(1).xlsx</x:v>
      </x:c>
      <x:c r="AM4396" s="87" t="str">
        <x:v>INF_Dec_V1</x:v>
      </x:c>
      <x:c r="AN4396" s="87" t="n">
        <x:v>15</x:v>
      </x:c>
    </x:row>
    <x:row r="4397">
      <x:c r="A4397" s="87" t="n">
        <x:v>4396</x:v>
      </x:c>
      <x:c r="B4397" s="87" t="str">
        <x:v>DEC-INF-01-015</x:v>
      </x:c>
      <x:c r="C4397" s="87" t="str">
        <x:v>СтатГрад</x:v>
      </x:c>
      <x:c r="D4397" s="87" t="str">
        <x:v>Декабрь 2025</x:v>
      </x:c>
      <x:c r="E4397" s="87"/>
      <x:c r="F4397" s="87"/>
      <x:c r="G4397" s="87" t="str">
        <x:v>Информатика</x:v>
      </x:c>
      <x:c r="H4397" s="87" t="n">
        <x:v>11</x:v>
      </x:c>
      <x:c r="I4397" s="87" t="str">
        <x:v>ТР №2</x:v>
      </x:c>
      <x:c r="J4397" s="87" t="str">
        <x:v>ИН2510201</x:v>
      </x:c>
      <x:c r="K4397" s="87" t="n">
        <x:v>15</x:v>
      </x:c>
      <x:c r="L4397" s="87" t="str">
        <x:v>Логика и отрезки</x:v>
      </x:c>
      <x:c r="M4397" s="30" t="str">
        <x:v>На числовой прямой даны два отрезка: S = [212; 314] и T = [287; 411].
     Укажите наименьшую возможную длину такого отрезка A, что логическое
     выражение
                               ¬(x∈A) → ((x∈T) ≡ (x∈S))
     истинно (т.е. принимает значение 1) при любом значении переменной х.</x:v>
      </x:c>
      <x:c r="N4397" s="30" t="str">
        <x:v>199</x:v>
      </x:c>
      <x:c r="O4397" s="30" t="str">
        <x:v>A должен покрывать симметрическую разность двух отрезков; минимальный единый отрезок соединяет её крайние точки.</x:v>
      </x:c>
      <x:c r="P4397" s="30" t="str">
        <x:v>Задание независимо пересчитано программно или аналитически; результат совпал с официальным ключом.</x:v>
      </x:c>
      <x:c r="Q4397" s="30"/>
      <x:c r="R4397" s="30" t="str">
        <x:v>199</x:v>
      </x:c>
      <x:c r="S4397" s="30"/>
      <x:c r="T4397" s="30" t="str">
        <x:v>image_2025-12-17_11-53-34.png</x:v>
      </x:c>
      <x:c r="U4397" s="30" t="str">
        <x:v>Расхождений нет.</x:v>
      </x:c>
      <x:c r="V4397" s="87" t="str">
        <x:v>VERIFIED</x:v>
      </x:c>
      <x:c r="W4397" s="87" t="n">
        <x:v>10</x:v>
      </x:c>
      <x:c r="X4397" s="87"/>
      <x:c r="Y4397" s="87"/>
      <x:c r="Z4397" s="87"/>
      <x:c r="AA4397" s="87"/>
      <x:c r="AB4397" s="87"/>
      <x:c r="AC4397" s="87" t="str">
        <x:v>VIS-INF-DEC-TASK-201-P010</x:v>
      </x:c>
      <x:c r="AD4397" s="87"/>
      <x:c r="AE4397" s="87" t="str">
        <x:v>TASK</x:v>
      </x:c>
      <x:c r="AF4397" s="87"/>
      <x:c r="AG4397" s="87" t="str">
        <x:v>RESOLVED / HASH_ONLY_QA</x:v>
      </x:c>
      <x:c r="AH4397" s="87" t="str">
        <x:v>ASSET_HASH_VERIFIED_QA_UNSPECIFIED</x:v>
      </x:c>
      <x:c r="AI4397" s="30"/>
      <x:c r="AJ4397" s="87" t="str">
        <x:v>clean</x:v>
      </x:c>
      <x:c r="AK4397" s="87" t="str">
        <x:v>clean-v0.06</x:v>
      </x:c>
      <x:c r="AL4397" s="87" t="str">
        <x:v>statgrad_clean_continuation_v0_06(1).xlsx</x:v>
      </x:c>
      <x:c r="AM4397" s="87" t="str">
        <x:v>INF_Dec_V1</x:v>
      </x:c>
      <x:c r="AN4397" s="87" t="n">
        <x:v>16</x:v>
      </x:c>
    </x:row>
    <x:row r="4398">
      <x:c r="A4398" s="87" t="n">
        <x:v>4397</x:v>
      </x:c>
      <x:c r="B4398" s="87" t="str">
        <x:v>DEC-INF-01-016</x:v>
      </x:c>
      <x:c r="C4398" s="87" t="str">
        <x:v>СтатГрад</x:v>
      </x:c>
      <x:c r="D4398" s="87" t="str">
        <x:v>Декабрь 2025</x:v>
      </x:c>
      <x:c r="E4398" s="87"/>
      <x:c r="F4398" s="87"/>
      <x:c r="G4398" s="87" t="str">
        <x:v>Информатика</x:v>
      </x:c>
      <x:c r="H4398" s="87" t="n">
        <x:v>11</x:v>
      </x:c>
      <x:c r="I4398" s="87" t="str">
        <x:v>ТР №2</x:v>
      </x:c>
      <x:c r="J4398" s="87" t="str">
        <x:v>ИН2510201</x:v>
      </x:c>
      <x:c r="K4398" s="87" t="n">
        <x:v>16</x:v>
      </x:c>
      <x:c r="L4398" s="87" t="str">
        <x:v>Рекурсивная функция</x:v>
      </x:c>
      <x:c r="M4398" s="30" t="str">
        <x:v>Функция F(n), где n – целое число, задаётся следующими соотношениями:
     F(n) = n, если n &lt; 5000;
     F(n) = n + F(n / 5), если n ≥ 5000 и кратно 5;
     F(n) = 117 + F(n − 3), если n ≥ 5000 и не кратно 5.
     Назовите минимальное значение n, для которого функция F(n) определена
     и F(n) &gt; 100000.
              Задание выполняется с использованием прилагаемых файлов.</x:v>
      </x:c>
      <x:c r="N4398" s="30" t="str">
        <x:v>79922</x:v>
      </x:c>
      <x:c r="O4398" s="30" t="str">
        <x:v>Мемоизированное вычисление рекурсии и поиск минимального n.</x:v>
      </x:c>
      <x:c r="P4398" s="30" t="str">
        <x:v>Задание независимо пересчитано программно или аналитически; результат совпал с официальным ключом.</x:v>
      </x:c>
      <x:c r="Q4398" s="30"/>
      <x:c r="R4398" s="30" t="str">
        <x:v>79922</x:v>
      </x:c>
      <x:c r="S4398" s="30"/>
      <x:c r="T4398" s="30" t="str">
        <x:v>image_2025-12-17_11-53-34.png</x:v>
      </x:c>
      <x:c r="U4398" s="30" t="str">
        <x:v>Расхождений нет.</x:v>
      </x:c>
      <x:c r="V4398" s="87" t="str">
        <x:v>VERIFIED</x:v>
      </x:c>
      <x:c r="W4398" s="87" t="n">
        <x:v>10</x:v>
      </x:c>
      <x:c r="X4398" s="87"/>
      <x:c r="Y4398" s="87"/>
      <x:c r="Z4398" s="87"/>
      <x:c r="AA4398" s="87"/>
      <x:c r="AB4398" s="87"/>
      <x:c r="AC4398" s="87" t="str">
        <x:v>VIS-INF-DEC-TASK-201-P010</x:v>
      </x:c>
      <x:c r="AD4398" s="87"/>
      <x:c r="AE4398" s="87" t="str">
        <x:v>TASK</x:v>
      </x:c>
      <x:c r="AF4398" s="87"/>
      <x:c r="AG4398" s="87" t="str">
        <x:v>RESOLVED / HASH_ONLY_QA</x:v>
      </x:c>
      <x:c r="AH4398" s="87" t="str">
        <x:v>ASSET_HASH_VERIFIED_QA_UNSPECIFIED</x:v>
      </x:c>
      <x:c r="AI4398" s="30"/>
      <x:c r="AJ4398" s="87" t="str">
        <x:v>clean</x:v>
      </x:c>
      <x:c r="AK4398" s="87" t="str">
        <x:v>clean-v0.06</x:v>
      </x:c>
      <x:c r="AL4398" s="87" t="str">
        <x:v>statgrad_clean_continuation_v0_06(1).xlsx</x:v>
      </x:c>
      <x:c r="AM4398" s="87" t="str">
        <x:v>INF_Dec_V1</x:v>
      </x:c>
      <x:c r="AN4398" s="87" t="n">
        <x:v>17</x:v>
      </x:c>
    </x:row>
    <x:row r="4399">
      <x:c r="A4399" s="87" t="n">
        <x:v>4398</x:v>
      </x:c>
      <x:c r="B4399" s="87" t="str">
        <x:v>DEC-INF-01-017</x:v>
      </x:c>
      <x:c r="C4399" s="87" t="str">
        <x:v>СтатГрад</x:v>
      </x:c>
      <x:c r="D4399" s="87" t="str">
        <x:v>Декабрь 2025</x:v>
      </x:c>
      <x:c r="E4399" s="87"/>
      <x:c r="F4399" s="87"/>
      <x:c r="G4399" s="87" t="str">
        <x:v>Информатика</x:v>
      </x:c>
      <x:c r="H4399" s="87" t="n">
        <x:v>11</x:v>
      </x:c>
      <x:c r="I4399" s="87" t="str">
        <x:v>ТР №2</x:v>
      </x:c>
      <x:c r="J4399" s="87" t="str">
        <x:v>ИН2510201</x:v>
      </x:c>
      <x:c r="K4399" s="87" t="n">
        <x:v>17</x:v>
      </x:c>
      <x:c r="L4399" s="87" t="str">
        <x:v>Обработка последовательности</x:v>
      </x:c>
      <x:c r="M4399" s="30" t="str">
        <x:v>В файле содержится последовательность целых чисел. Элементы
     последовательности могут принимать целые значения от –10 000 до 10 000
     включительно.
     Определите количество троек элементов последовательности, в которых
     не более двух из трёх элементов являются трёхзначными числами, а сумма
     элементов тройки не меньше минимального трёхзначного положительного
     элемента последовательности.
     В ответе запишите количество найденных троек чисел, затем максимальную из
     сумм элементов таких троек. В данной задаче под тройкой подразумеваются
     три идущих подряд элемента последовательности.
                                    согласия СтатГрад запрещена
              Задание выполняется с использованием прилагаемых файлов.</x:v>
      </x:c>
      <x:c r="N4399" s="30" t="str">
        <x:v>2441; 27284</x:v>
      </x:c>
      <x:c r="O4399" s="30" t="str">
        <x:v>Порог — минимальный положительный трёхзначный элемент 102.</x:v>
      </x:c>
      <x:c r="P4399" s="30" t="str">
        <x:v>Задание независимо пересчитано программно или аналитически; результат совпал с официальным ключом.</x:v>
      </x:c>
      <x:c r="Q4399" s="30"/>
      <x:c r="R4399" s="30" t="str">
        <x:v>2441; 27284</x:v>
      </x:c>
      <x:c r="S4399" s="30"/>
      <x:c r="T4399" s="30" t="str">
        <x:v>image_2025-12-17_11-53-34.png</x:v>
      </x:c>
      <x:c r="U4399" s="30" t="str">
        <x:v>Расхождений нет.</x:v>
      </x:c>
      <x:c r="V4399" s="87" t="str">
        <x:v>VERIFIED</x:v>
      </x:c>
      <x:c r="W4399" s="87" t="n">
        <x:v>10</x:v>
      </x:c>
      <x:c r="X4399" s="87"/>
      <x:c r="Y4399" s="87"/>
      <x:c r="Z4399" s="87"/>
      <x:c r="AA4399" s="87"/>
      <x:c r="AB4399" s="87"/>
      <x:c r="AC4399" s="87" t="str">
        <x:v>VIS-INF-DEC-TASK-201-P010</x:v>
      </x:c>
      <x:c r="AD4399" s="87"/>
      <x:c r="AE4399" s="87" t="str">
        <x:v>TASK</x:v>
      </x:c>
      <x:c r="AF4399" s="87"/>
      <x:c r="AG4399" s="87" t="str">
        <x:v>RESOLVED / HASH_ONLY_QA</x:v>
      </x:c>
      <x:c r="AH4399" s="87" t="str">
        <x:v>ASSET_HASH_VERIFIED_QA_UNSPECIFIED</x:v>
      </x:c>
      <x:c r="AI4399" s="30"/>
      <x:c r="AJ4399" s="87" t="str">
        <x:v>clean</x:v>
      </x:c>
      <x:c r="AK4399" s="87" t="str">
        <x:v>clean-v0.06</x:v>
      </x:c>
      <x:c r="AL4399" s="87" t="str">
        <x:v>statgrad_clean_continuation_v0_06(1).xlsx</x:v>
      </x:c>
      <x:c r="AM4399" s="87" t="str">
        <x:v>INF_Dec_V1</x:v>
      </x:c>
      <x:c r="AN4399" s="87" t="n">
        <x:v>18</x:v>
      </x:c>
    </x:row>
    <x:row r="4400">
      <x:c r="A4400" s="87" t="n">
        <x:v>4399</x:v>
      </x:c>
      <x:c r="B4400" s="87" t="str">
        <x:v>DEC-INF-01-018</x:v>
      </x:c>
      <x:c r="C4400" s="87" t="str">
        <x:v>СтатГрад</x:v>
      </x:c>
      <x:c r="D4400" s="87" t="str">
        <x:v>Декабрь 2025</x:v>
      </x:c>
      <x:c r="E4400" s="87"/>
      <x:c r="F4400" s="87"/>
      <x:c r="G4400" s="87" t="str">
        <x:v>Информатика</x:v>
      </x:c>
      <x:c r="H4400" s="87" t="n">
        <x:v>11</x:v>
      </x:c>
      <x:c r="I4400" s="87" t="str">
        <x:v>ТР №2</x:v>
      </x:c>
      <x:c r="J4400" s="87" t="str">
        <x:v>ИН2510201</x:v>
      </x:c>
      <x:c r="K4400" s="87" t="n">
        <x:v>18</x:v>
      </x:c>
      <x:c r="L4400" s="87" t="str">
        <x:v>Робот / динамическое программирование</x:v>
      </x:c>
      <x:c r="M4400" s="30" t="str">
        <x:v>Квадрат разлинован на N × N клеток (1 &lt; N &lt; 30). Все строки и столбцы
     нумеруются последовательно слева направо и сверху вниз, начиная
     с единицы. Под позицией (x, y) будем понимать клетку, расположенную на
     пересечении столбца с номером х и строки с номером y. Исполнитель Робот
     может перемещаться по клеткам, выполняя за одно перемещение одну
     из двух команд: вправо или вниз. По команде вправо Робот перемещается
     в соседнюю правую клетку, по команде вниз – в соседнюю нижнюю. Квадрат
     ограничен внешними стенами. Между соседними клетками квадрата также
     могут быть внутренние стены. Сквозь стену Робот пройти не может.
     Перед каждым запуском Робота в каждой клетке квадрата лежит монета
     достоинством от 1 до 100. Посетив клетку, Робот забирает монету с собой;
     это также относится к начальной и конечной клеткам маршрута Робота.
     В «угловых» клетках поля – тех, которые справа и снизу ограничены
     стенами, Робот не может продолжать движение, поэтому накопленная сумма
     считается итоговой. Таких конечных клеток на поле может быть несколько,
     включая правую нижнюю клетку поля. При разных запусках итоговые
     накопленные суммы могут различаться.
     Определите максимальную и минимальную денежные суммы среди всех
     возможных итоговых сумм, которые может собрать Робот, пройдя из
     позиции (2, 4) в конечную клетку маршрута.
     В ответе укажите два числа – сначала максимальную сумму, затем
     минимальную.
     Исходные данные представляют собой электронную таблицу размером N × N,
     каждая ячейка которой соответствует клетке квадрата. Внутренние
     и внешние стены обозначены утолщёнными линиями.
     Пример входных данных
                                    согласия СтатГрад запрещена</x:v>
      </x:c>
      <x:c r="N4400" s="30" t="str">
        <x:v>1777; 562</x:v>
      </x:c>
      <x:c r="O4400" s="30" t="str">
        <x:v>Динамическое программирование по полю 20×20 с учётом толстых границ: максимум 1777, минимум 562.</x:v>
      </x:c>
      <x:c r="P4400" s="30" t="str">
        <x:v>Задание независимо пересчитано программно или аналитически; результат совпал с официальным ключом.</x:v>
      </x:c>
      <x:c r="Q4400" s="30"/>
      <x:c r="R4400" s="30" t="str">
        <x:v>1777; 562</x:v>
      </x:c>
      <x:c r="S4400" s="30"/>
      <x:c r="T4400" s="30" t="str">
        <x:v>image_2025-12-17_11-53-34.png</x:v>
      </x:c>
      <x:c r="U4400" s="30" t="str">
        <x:v>Расхождений нет.</x:v>
      </x:c>
      <x:c r="V4400" s="87" t="str">
        <x:v>VERIFIED</x:v>
      </x:c>
      <x:c r="W4400" s="87" t="n">
        <x:v>11</x:v>
      </x:c>
      <x:c r="X4400" s="87"/>
      <x:c r="Y4400" s="87"/>
      <x:c r="Z4400" s="87"/>
      <x:c r="AA4400" s="87"/>
      <x:c r="AB4400" s="87"/>
      <x:c r="AC4400" s="87" t="str">
        <x:v>VIS-INF-DEC-TASK-201-P011</x:v>
      </x:c>
      <x:c r="AD4400" s="87"/>
      <x:c r="AE4400" s="87" t="str">
        <x:v>TASK</x:v>
      </x:c>
      <x:c r="AF4400" s="87"/>
      <x:c r="AG4400" s="87" t="str">
        <x:v>RESOLVED / HASH_ONLY_QA</x:v>
      </x:c>
      <x:c r="AH4400" s="87" t="str">
        <x:v>ASSET_HASH_VERIFIED_QA_UNSPECIFIED</x:v>
      </x:c>
      <x:c r="AI4400" s="30"/>
      <x:c r="AJ4400" s="87" t="str">
        <x:v>clean</x:v>
      </x:c>
      <x:c r="AK4400" s="87" t="str">
        <x:v>clean-v0.06</x:v>
      </x:c>
      <x:c r="AL4400" s="87" t="str">
        <x:v>statgrad_clean_continuation_v0_06(1).xlsx</x:v>
      </x:c>
      <x:c r="AM4400" s="87" t="str">
        <x:v>INF_Dec_V1</x:v>
      </x:c>
      <x:c r="AN4400" s="87" t="n">
        <x:v>19</x:v>
      </x:c>
    </x:row>
    <x:row r="4401">
      <x:c r="A4401" s="87" t="n">
        <x:v>4400</x:v>
      </x:c>
      <x:c r="B4401" s="87" t="str">
        <x:v>DEC-INF-01-019</x:v>
      </x:c>
      <x:c r="C4401" s="87" t="str">
        <x:v>СтатГрад</x:v>
      </x:c>
      <x:c r="D4401" s="87" t="str">
        <x:v>Декабрь 2025</x:v>
      </x:c>
      <x:c r="E4401" s="87"/>
      <x:c r="F4401" s="87"/>
      <x:c r="G4401" s="87" t="str">
        <x:v>Информатика</x:v>
      </x:c>
      <x:c r="H4401" s="87" t="n">
        <x:v>11</x:v>
      </x:c>
      <x:c r="I4401" s="87" t="str">
        <x:v>ТР №2</x:v>
      </x:c>
      <x:c r="J4401" s="87" t="str">
        <x:v>ИН2510201</x:v>
      </x:c>
      <x:c r="K4401" s="87" t="n">
        <x:v>19</x:v>
      </x:c>
      <x:c r="L4401" s="87" t="str">
        <x:v>Теория игр</x:v>
      </x:c>
      <x:c r="M4401" s="30" t="str">
        <x:v>Два игрока, Петя и Ваня, играют в следующую игру. Перед игроками лежит
     куча камней. Игроки ходят по очереди, первый ход делает Петя. За один ход
     игрок может добавить в кучу 2 или 3 камня либо увеличить количество
     камней в куче в 3 раза. Для того чтобы делать ходы, у каждого игрока есть
     неограниченное количество камней.
     Игра завершается в тот момент, когда количество камней в куче становится
     не менее 414.
     Победителем считается игрок, сделавший последний ход, т.е. первым
     получивший кучу, состоящую из 414 или более камней.
     В начальный момент в куче было S камней, 1 ≤ S ≤ 413.
     Будем говорить, что игрок имеет выигрышную стратегию, если он может
     выиграть при любых ходах противника.
     Укажите сумму таких значений S, при которых Петя не может выиграть
     за один ход, но при любом ходе Пети Ваня может выиграть своим первым
     ходом.</x:v>
      </x:c>
      <x:c r="N4401" s="30" t="str">
        <x:v>273</x:v>
      </x:c>
      <x:c r="O4401" s="30" t="str">
        <x:v>Позиции, из которых любой ход Пети переводит в выигрыш за один ход для Вани.</x:v>
      </x:c>
      <x:c r="P4401" s="30" t="str">
        <x:v>Задание независимо пересчитано программно или аналитически; результат совпал с официальным ключом.</x:v>
      </x:c>
      <x:c r="Q4401" s="30"/>
      <x:c r="R4401" s="30" t="str">
        <x:v>273</x:v>
      </x:c>
      <x:c r="S4401" s="30"/>
      <x:c r="T4401" s="30" t="str">
        <x:v>image_2025-12-17_11-53-34.png</x:v>
      </x:c>
      <x:c r="U4401" s="30" t="str">
        <x:v>Расхождений нет.</x:v>
      </x:c>
      <x:c r="V4401" s="87" t="str">
        <x:v>VERIFIED</x:v>
      </x:c>
      <x:c r="W4401" s="87" t="n">
        <x:v>12</x:v>
      </x:c>
      <x:c r="X4401" s="87"/>
      <x:c r="Y4401" s="87"/>
      <x:c r="Z4401" s="87"/>
      <x:c r="AA4401" s="87"/>
      <x:c r="AB4401" s="87"/>
      <x:c r="AC4401" s="87" t="str">
        <x:v>VIS-INF-DEC-TASK-201-P012</x:v>
      </x:c>
      <x:c r="AD4401" s="87"/>
      <x:c r="AE4401" s="87" t="str">
        <x:v>TASK</x:v>
      </x:c>
      <x:c r="AF4401" s="87"/>
      <x:c r="AG4401" s="87" t="str">
        <x:v>RESOLVED / HASH_ONLY_QA</x:v>
      </x:c>
      <x:c r="AH4401" s="87" t="str">
        <x:v>ASSET_HASH_VERIFIED_QA_UNSPECIFIED</x:v>
      </x:c>
      <x:c r="AI4401" s="30"/>
      <x:c r="AJ4401" s="87" t="str">
        <x:v>clean</x:v>
      </x:c>
      <x:c r="AK4401" s="87" t="str">
        <x:v>clean-v0.06</x:v>
      </x:c>
      <x:c r="AL4401" s="87" t="str">
        <x:v>statgrad_clean_continuation_v0_06(1).xlsx</x:v>
      </x:c>
      <x:c r="AM4401" s="87" t="str">
        <x:v>INF_Dec_V1</x:v>
      </x:c>
      <x:c r="AN4401" s="87" t="n">
        <x:v>20</x:v>
      </x:c>
    </x:row>
    <x:row r="4402">
      <x:c r="A4402" s="87" t="n">
        <x:v>4401</x:v>
      </x:c>
      <x:c r="B4402" s="87" t="str">
        <x:v>DEC-INF-01-020</x:v>
      </x:c>
      <x:c r="C4402" s="87" t="str">
        <x:v>СтатГрад</x:v>
      </x:c>
      <x:c r="D4402" s="87" t="str">
        <x:v>Декабрь 2025</x:v>
      </x:c>
      <x:c r="E4402" s="87"/>
      <x:c r="F4402" s="87"/>
      <x:c r="G4402" s="87" t="str">
        <x:v>Информатика</x:v>
      </x:c>
      <x:c r="H4402" s="87" t="n">
        <x:v>11</x:v>
      </x:c>
      <x:c r="I4402" s="87" t="str">
        <x:v>ТР №2</x:v>
      </x:c>
      <x:c r="J4402" s="87" t="str">
        <x:v>ИН2510201</x:v>
      </x:c>
      <x:c r="K4402" s="87" t="n">
        <x:v>20</x:v>
      </x:c>
      <x:c r="L4402" s="87" t="str">
        <x:v>Теория игр</x:v>
      </x:c>
      <x:c r="M4402" s="30" t="str">
        <x:v>Для игры, описанной в задании 19, найдите наименьшее и наибольшее
     значения S, при которых у Пети есть выигрышная стратегия, причём
     одновременно выполняются два условия:
     − Петя не может выиграть за один ход;
     − Петя может выиграть своим вторым ходом независимо от того, как будет
     ходить Ваня.
     Найденные значения запишите в ответе в порядке возрастания.</x:v>
      </x:c>
      <x:c r="N4402" s="30" t="str">
        <x:v>133; 135</x:v>
      </x:c>
      <x:c r="O4402" s="30" t="str">
        <x:v>Позиции выигрыша Пети вторым ходом, исключая выигрыш первым.</x:v>
      </x:c>
      <x:c r="P4402" s="30" t="str">
        <x:v>Задание независимо пересчитано программно или аналитически; результат совпал с официальным ключом.</x:v>
      </x:c>
      <x:c r="Q4402" s="30"/>
      <x:c r="R4402" s="30" t="str">
        <x:v>133; 135</x:v>
      </x:c>
      <x:c r="S4402" s="30"/>
      <x:c r="T4402" s="30" t="str">
        <x:v>image_2025-12-17_11-53-34.png</x:v>
      </x:c>
      <x:c r="U4402" s="30" t="str">
        <x:v>Расхождений нет.</x:v>
      </x:c>
      <x:c r="V4402" s="87" t="str">
        <x:v>VERIFIED</x:v>
      </x:c>
      <x:c r="W4402" s="87" t="n">
        <x:v>12</x:v>
      </x:c>
      <x:c r="X4402" s="87"/>
      <x:c r="Y4402" s="87"/>
      <x:c r="Z4402" s="87"/>
      <x:c r="AA4402" s="87"/>
      <x:c r="AB4402" s="87"/>
      <x:c r="AC4402" s="87" t="str">
        <x:v>VIS-INF-DEC-TASK-201-P012</x:v>
      </x:c>
      <x:c r="AD4402" s="87"/>
      <x:c r="AE4402" s="87" t="str">
        <x:v>TASK</x:v>
      </x:c>
      <x:c r="AF4402" s="87"/>
      <x:c r="AG4402" s="87" t="str">
        <x:v>RESOLVED / HASH_ONLY_QA</x:v>
      </x:c>
      <x:c r="AH4402" s="87" t="str">
        <x:v>ASSET_HASH_VERIFIED_QA_UNSPECIFIED</x:v>
      </x:c>
      <x:c r="AI4402" s="30"/>
      <x:c r="AJ4402" s="87" t="str">
        <x:v>clean</x:v>
      </x:c>
      <x:c r="AK4402" s="87" t="str">
        <x:v>clean-v0.06</x:v>
      </x:c>
      <x:c r="AL4402" s="87" t="str">
        <x:v>statgrad_clean_continuation_v0_06(1).xlsx</x:v>
      </x:c>
      <x:c r="AM4402" s="87" t="str">
        <x:v>INF_Dec_V1</x:v>
      </x:c>
      <x:c r="AN4402" s="87" t="n">
        <x:v>21</x:v>
      </x:c>
    </x:row>
    <x:row r="4403">
      <x:c r="A4403" s="87" t="n">
        <x:v>4402</x:v>
      </x:c>
      <x:c r="B4403" s="87" t="str">
        <x:v>DEC-INF-01-021</x:v>
      </x:c>
      <x:c r="C4403" s="87" t="str">
        <x:v>СтатГрад</x:v>
      </x:c>
      <x:c r="D4403" s="87" t="str">
        <x:v>Декабрь 2025</x:v>
      </x:c>
      <x:c r="E4403" s="87"/>
      <x:c r="F4403" s="87"/>
      <x:c r="G4403" s="87" t="str">
        <x:v>Информатика</x:v>
      </x:c>
      <x:c r="H4403" s="87" t="n">
        <x:v>11</x:v>
      </x:c>
      <x:c r="I4403" s="87" t="str">
        <x:v>ТР №2</x:v>
      </x:c>
      <x:c r="J4403" s="87" t="str">
        <x:v>ИН2510201</x:v>
      </x:c>
      <x:c r="K4403" s="87" t="n">
        <x:v>21</x:v>
      </x:c>
      <x:c r="L4403" s="87" t="str">
        <x:v>Теория игр</x:v>
      </x:c>
      <x:c r="M4403" s="30" t="str">
        <x:v>Для игры, описанной в задании 19, найдите сумму таких значений S, при
     которых одновременно выполняются два условия:
     – у Вани есть выигрышная стратегия, позволяющая ему выиграть первым или
     вторым ходом при любой игре Пети;
     – у Вани нет стратегии, которая позволит ему гарантированно выиграть
     первым ходом.
                                    согласия СтатГрад запрещена
            Задание выполняется с использованием прилагаемых файлов.</x:v>
      </x:c>
      <x:c r="N4403" s="30" t="str">
        <x:v>263</x:v>
      </x:c>
      <x:c r="O4403" s="30" t="str">
        <x:v>Позиции выигрыша Вани первым или вторым ходом, но не гарантированно первым.</x:v>
      </x:c>
      <x:c r="P4403" s="30" t="str">
        <x:v>Задание независимо пересчитано программно или аналитически; результат совпал с официальным ключом.</x:v>
      </x:c>
      <x:c r="Q4403" s="30"/>
      <x:c r="R4403" s="30" t="str">
        <x:v>263</x:v>
      </x:c>
      <x:c r="S4403" s="30"/>
      <x:c r="T4403" s="30" t="str">
        <x:v>image_2025-12-17_11-53-34.png</x:v>
      </x:c>
      <x:c r="U4403" s="30" t="str">
        <x:v>Расхождений нет.</x:v>
      </x:c>
      <x:c r="V4403" s="87" t="str">
        <x:v>VERIFIED</x:v>
      </x:c>
      <x:c r="W4403" s="87" t="n">
        <x:v>12</x:v>
      </x:c>
      <x:c r="X4403" s="87"/>
      <x:c r="Y4403" s="87"/>
      <x:c r="Z4403" s="87"/>
      <x:c r="AA4403" s="87"/>
      <x:c r="AB4403" s="87"/>
      <x:c r="AC4403" s="87" t="str">
        <x:v>VIS-INF-DEC-TASK-201-P012</x:v>
      </x:c>
      <x:c r="AD4403" s="87"/>
      <x:c r="AE4403" s="87" t="str">
        <x:v>TASK</x:v>
      </x:c>
      <x:c r="AF4403" s="87"/>
      <x:c r="AG4403" s="87" t="str">
        <x:v>RESOLVED / HASH_ONLY_QA</x:v>
      </x:c>
      <x:c r="AH4403" s="87" t="str">
        <x:v>ASSET_HASH_VERIFIED_QA_UNSPECIFIED</x:v>
      </x:c>
      <x:c r="AI4403" s="30"/>
      <x:c r="AJ4403" s="87" t="str">
        <x:v>clean</x:v>
      </x:c>
      <x:c r="AK4403" s="87" t="str">
        <x:v>clean-v0.06</x:v>
      </x:c>
      <x:c r="AL4403" s="87" t="str">
        <x:v>statgrad_clean_continuation_v0_06(1).xlsx</x:v>
      </x:c>
      <x:c r="AM4403" s="87" t="str">
        <x:v>INF_Dec_V1</x:v>
      </x:c>
      <x:c r="AN4403" s="87" t="n">
        <x:v>22</x:v>
      </x:c>
    </x:row>
    <x:row r="4404">
      <x:c r="A4404" s="87" t="n">
        <x:v>4403</x:v>
      </x:c>
      <x:c r="B4404" s="87" t="str">
        <x:v>DEC-INF-01-022</x:v>
      </x:c>
      <x:c r="C4404" s="87" t="str">
        <x:v>СтатГрад</x:v>
      </x:c>
      <x:c r="D4404" s="87" t="str">
        <x:v>Декабрь 2025</x:v>
      </x:c>
      <x:c r="E4404" s="87"/>
      <x:c r="F4404" s="87"/>
      <x:c r="G4404" s="87" t="str">
        <x:v>Информатика</x:v>
      </x:c>
      <x:c r="H4404" s="87" t="n">
        <x:v>11</x:v>
      </x:c>
      <x:c r="I4404" s="87" t="str">
        <x:v>ТР №2</x:v>
      </x:c>
      <x:c r="J4404" s="87" t="str">
        <x:v>ИН2510201</x:v>
      </x:c>
      <x:c r="K4404" s="87" t="n">
        <x:v>22</x:v>
      </x:c>
      <x:c r="L4404" s="87" t="str">
        <x:v>Параллельные процессы</x:v>
      </x:c>
      <x:c r="M4404" s="30" t="str">
        <x:v>В файле содержится информация о совокупности N вычислительных
     процессов, которые могут выполняться параллельно или последовательно.
     Будем говорить, что процесс B зависит от процесса A, если для выполнения
     процесса B необходимы результаты выполнения процесса A. В этом случае
     процессы могут выполняться только последовательно. Информация
     о процессах представлена в файле в виде таблицы. В первом столбце таблицы
     указан идентификатор процесса (ID), во втором столбце таблицы – время его
     выполнения     в миллисекундах,     в   третьем    столбце     перечислены
     с разделителем «;» ID процессов, от которых зависит данный процесс. Если
     процесс является независимым, то в таблице указано значение 0.
     Типовой пример организации данных в файле
         ID процесса B Время выполнения процесса B (мс) ID процесса(-ов) A
               1                     2                          0
               2                     4                          0
               3                     4                         1; 2
               4                     7                         1; 2
     Определите сумму номеров всех процессов, которые запустятся, но не успеют
     завершиться за первые T = 41 мс с момента запуска первого процесса (при
     условии, что все независимые друг от друга процессы могут выполняться
     параллельно и никакие задержки не допускаются).
     Например, для приведённой таблицы, при T = 6 мс, процессы с ID 3 и 4 будут
     запущены через 4 мс с момента запуска первого процесса и на момент времени
     T завершены ещё не будут. Ответ 7.
                                    согласия СтатГрад запрещена</x:v>
      </x:c>
      <x:c r="N4404" s="30" t="str">
        <x:v>106</x:v>
      </x:c>
      <x:c r="O4404" s="30" t="str">
        <x:v>Для каждого процесса вычислены ранний старт и завершение по критическому пути зависимостей.</x:v>
      </x:c>
      <x:c r="P4404" s="30" t="str">
        <x:v>Задание независимо пересчитано программно или аналитически; результат совпал с официальным ключом.</x:v>
      </x:c>
      <x:c r="Q4404" s="30"/>
      <x:c r="R4404" s="30" t="str">
        <x:v>106</x:v>
      </x:c>
      <x:c r="S4404" s="30"/>
      <x:c r="T4404" s="30" t="str">
        <x:v>image_2025-12-17_11-53-34.png</x:v>
      </x:c>
      <x:c r="U4404" s="30" t="str">
        <x:v>Расхождений нет.</x:v>
      </x:c>
      <x:c r="V4404" s="87" t="str">
        <x:v>VERIFIED</x:v>
      </x:c>
      <x:c r="W4404" s="87" t="n">
        <x:v>13</x:v>
      </x:c>
      <x:c r="X4404" s="87"/>
      <x:c r="Y4404" s="87"/>
      <x:c r="Z4404" s="87"/>
      <x:c r="AA4404" s="87"/>
      <x:c r="AB4404" s="87"/>
      <x:c r="AC4404" s="87" t="str">
        <x:v>VIS-INF-DEC-TASK-201-P013</x:v>
      </x:c>
      <x:c r="AD4404" s="87"/>
      <x:c r="AE4404" s="87" t="str">
        <x:v>TASK</x:v>
      </x:c>
      <x:c r="AF4404" s="87"/>
      <x:c r="AG4404" s="87" t="str">
        <x:v>RESOLVED / HASH_ONLY_QA</x:v>
      </x:c>
      <x:c r="AH4404" s="87" t="str">
        <x:v>ASSET_HASH_VERIFIED_QA_UNSPECIFIED; TASK_CROP_QA_APPROVED:USE_TIGHT</x:v>
      </x:c>
      <x:c r="AI4404" s="30"/>
      <x:c r="AJ4404" s="87" t="str">
        <x:v>clean</x:v>
      </x:c>
      <x:c r="AK4404" s="87" t="str">
        <x:v>clean-v0.06</x:v>
      </x:c>
      <x:c r="AL4404" s="87" t="str">
        <x:v>statgrad_clean_continuation_v0_06(1).xlsx</x:v>
      </x:c>
      <x:c r="AM4404" s="87" t="str">
        <x:v>INF_Dec_V1</x:v>
      </x:c>
      <x:c r="AN4404" s="87" t="n">
        <x:v>23</x:v>
      </x:c>
    </x:row>
    <x:row r="4405">
      <x:c r="A4405" s="87" t="n">
        <x:v>4404</x:v>
      </x:c>
      <x:c r="B4405" s="87" t="str">
        <x:v>DEC-INF-01-023</x:v>
      </x:c>
      <x:c r="C4405" s="87" t="str">
        <x:v>СтатГрад</x:v>
      </x:c>
      <x:c r="D4405" s="87" t="str">
        <x:v>Декабрь 2025</x:v>
      </x:c>
      <x:c r="E4405" s="87"/>
      <x:c r="F4405" s="87"/>
      <x:c r="G4405" s="87" t="str">
        <x:v>Информатика</x:v>
      </x:c>
      <x:c r="H4405" s="87" t="n">
        <x:v>11</x:v>
      </x:c>
      <x:c r="I4405" s="87" t="str">
        <x:v>ТР №2</x:v>
      </x:c>
      <x:c r="J4405" s="87" t="str">
        <x:v>ИН2510201</x:v>
      </x:c>
      <x:c r="K4405" s="87" t="n">
        <x:v>23</x:v>
      </x:c>
      <x:c r="L4405" s="87" t="str">
        <x:v>Исполнитель Калькулятор</x:v>
      </x:c>
      <x:c r="M4405" s="30" t="str">
        <x:v>Исполнитель Калькулятор преобразует число на экране. У исполнителя есть
     две команды, которые обозначены латинскими буквами.
     A. вычти 3
     B. подели на 2
     Первая команда уменьшает число на экране на 3, вторая команда делит число
     на 2 (нецелый результат округляется до ближайшего целого в большую
     сторону). Программа для исполнителя – это последовательность команд.
     Сколько существует таких программ, которые исходное число 120 преобразуют
     в число 20, при этом траектория вычислений не содержит чисел 35 и 51?
     Траектория вычислений программы – это последовательность результатов
     выполнения всех команд программы.
     Например, для программы АВA при исходном числе 100 траектория состоит
     из чисел 97, 49, 46.
              Задание выполняется с использованием прилагаемых файлов.</x:v>
      </x:c>
      <x:c r="N4405" s="30" t="str">
        <x:v>10</x:v>
      </x:c>
      <x:c r="O4405" s="30" t="str">
        <x:v>Динамический подсчёт траекторий убывающего исполнителя с исключением запрещённых значений.</x:v>
      </x:c>
      <x:c r="P4405" s="30" t="str">
        <x:v>Задание независимо пересчитано программно или аналитически; результат совпал с официальным ключом.</x:v>
      </x:c>
      <x:c r="Q4405" s="30"/>
      <x:c r="R4405" s="30" t="str">
        <x:v>10</x:v>
      </x:c>
      <x:c r="S4405" s="30"/>
      <x:c r="T4405" s="30" t="str">
        <x:v>image_2025-12-17_11-53-34.png</x:v>
      </x:c>
      <x:c r="U4405" s="30" t="str">
        <x:v>Расхождений нет.</x:v>
      </x:c>
      <x:c r="V4405" s="87" t="str">
        <x:v>VERIFIED</x:v>
      </x:c>
      <x:c r="W4405" s="87" t="n">
        <x:v>14</x:v>
      </x:c>
      <x:c r="X4405" s="87"/>
      <x:c r="Y4405" s="87"/>
      <x:c r="Z4405" s="87"/>
      <x:c r="AA4405" s="87"/>
      <x:c r="AB4405" s="87"/>
      <x:c r="AC4405" s="87" t="str">
        <x:v>VIS-INF-DEC-TASK-201-P014</x:v>
      </x:c>
      <x:c r="AD4405" s="87"/>
      <x:c r="AE4405" s="87" t="str">
        <x:v>TASK</x:v>
      </x:c>
      <x:c r="AF4405" s="87"/>
      <x:c r="AG4405" s="87" t="str">
        <x:v>RESOLVED / HASH_ONLY_QA</x:v>
      </x:c>
      <x:c r="AH4405" s="87" t="str">
        <x:v>ASSET_HASH_VERIFIED_QA_UNSPECIFIED</x:v>
      </x:c>
      <x:c r="AI4405" s="30"/>
      <x:c r="AJ4405" s="87" t="str">
        <x:v>clean</x:v>
      </x:c>
      <x:c r="AK4405" s="87" t="str">
        <x:v>clean-v0.06</x:v>
      </x:c>
      <x:c r="AL4405" s="87" t="str">
        <x:v>statgrad_clean_continuation_v0_06(1).xlsx</x:v>
      </x:c>
      <x:c r="AM4405" s="87" t="str">
        <x:v>INF_Dec_V1</x:v>
      </x:c>
      <x:c r="AN4405" s="87" t="n">
        <x:v>24</x:v>
      </x:c>
    </x:row>
    <x:row r="4406">
      <x:c r="A4406" s="87" t="n">
        <x:v>4405</x:v>
      </x:c>
      <x:c r="B4406" s="87" t="str">
        <x:v>DEC-INF-01-024</x:v>
      </x:c>
      <x:c r="C4406" s="87" t="str">
        <x:v>СтатГрад</x:v>
      </x:c>
      <x:c r="D4406" s="87" t="str">
        <x:v>Декабрь 2025</x:v>
      </x:c>
      <x:c r="E4406" s="87"/>
      <x:c r="F4406" s="87"/>
      <x:c r="G4406" s="87" t="str">
        <x:v>Информатика</x:v>
      </x:c>
      <x:c r="H4406" s="87" t="n">
        <x:v>11</x:v>
      </x:c>
      <x:c r="I4406" s="87" t="str">
        <x:v>ТР №2</x:v>
      </x:c>
      <x:c r="J4406" s="87" t="str">
        <x:v>ИН2510201</x:v>
      </x:c>
      <x:c r="K4406" s="87" t="n">
        <x:v>24</x:v>
      </x:c>
      <x:c r="L4406" s="87" t="str">
        <x:v>Обработка строки</x:v>
      </x:c>
      <x:c r="M4406" s="30" t="str">
        <x:v>Текстовый файл состоит не более чем из 107 символов и содержит только
     заглавные буквы латинского алфавита и десятичные цифры. Назовём «словом»
     непустую непрерывную подпоследовательность букв, ограниченную цифрами по
     обеим сторонам. Найдите минимальную длину подстроки, содержащую не менее
     K = 10000 «слов». В ответе укажите длину найденной строки.
     Например, в строке AC12BDE3F2ED6 всего три «слова»: BDE, F и ED. При
     K = 2 ответом для данной строки будет являться число 6: это подстрока
     3F2ED6.</x:v>
      </x:c>
      <x:c r="N4406" s="30" t="str">
        <x:v>68616</x:v>
      </x:c>
      <x:c r="O4406" s="30" t="str">
        <x:v>Найдено 1286972 слов; скользящее окно по 10000 последовательным словам.</x:v>
      </x:c>
      <x:c r="P4406" s="30" t="str">
        <x:v>Задание независимо пересчитано программно или аналитически; результат совпал с официальным ключом.</x:v>
      </x:c>
      <x:c r="Q4406" s="30"/>
      <x:c r="R4406" s="30" t="str">
        <x:v>68616</x:v>
      </x:c>
      <x:c r="S4406" s="30"/>
      <x:c r="T4406" s="30" t="str">
        <x:v>image_2025-12-17_11-53-34.png</x:v>
      </x:c>
      <x:c r="U4406" s="30" t="str">
        <x:v>Расхождений нет.</x:v>
      </x:c>
      <x:c r="V4406" s="87" t="str">
        <x:v>VERIFIED</x:v>
      </x:c>
      <x:c r="W4406" s="87" t="n">
        <x:v>14</x:v>
      </x:c>
      <x:c r="X4406" s="87"/>
      <x:c r="Y4406" s="87"/>
      <x:c r="Z4406" s="87"/>
      <x:c r="AA4406" s="87"/>
      <x:c r="AB4406" s="87"/>
      <x:c r="AC4406" s="87" t="str">
        <x:v>VIS-INF-DEC-TASK-201-P014</x:v>
      </x:c>
      <x:c r="AD4406" s="87"/>
      <x:c r="AE4406" s="87" t="str">
        <x:v>TASK</x:v>
      </x:c>
      <x:c r="AF4406" s="87"/>
      <x:c r="AG4406" s="87" t="str">
        <x:v>RESOLVED / HASH_ONLY_QA</x:v>
      </x:c>
      <x:c r="AH4406" s="87" t="str">
        <x:v>ASSET_HASH_VERIFIED_QA_UNSPECIFIED</x:v>
      </x:c>
      <x:c r="AI4406" s="30"/>
      <x:c r="AJ4406" s="87" t="str">
        <x:v>clean</x:v>
      </x:c>
      <x:c r="AK4406" s="87" t="str">
        <x:v>clean-v0.06</x:v>
      </x:c>
      <x:c r="AL4406" s="87" t="str">
        <x:v>statgrad_clean_continuation_v0_06(1).xlsx</x:v>
      </x:c>
      <x:c r="AM4406" s="87" t="str">
        <x:v>INF_Dec_V1</x:v>
      </x:c>
      <x:c r="AN4406" s="87" t="n">
        <x:v>25</x:v>
      </x:c>
    </x:row>
    <x:row r="4407">
      <x:c r="A4407" s="87" t="n">
        <x:v>4406</x:v>
      </x:c>
      <x:c r="B4407" s="87" t="str">
        <x:v>DEC-INF-01-025</x:v>
      </x:c>
      <x:c r="C4407" s="87" t="str">
        <x:v>СтатГрад</x:v>
      </x:c>
      <x:c r="D4407" s="87" t="str">
        <x:v>Декабрь 2025</x:v>
      </x:c>
      <x:c r="E4407" s="87"/>
      <x:c r="F4407" s="87"/>
      <x:c r="G4407" s="87" t="str">
        <x:v>Информатика</x:v>
      </x:c>
      <x:c r="H4407" s="87" t="n">
        <x:v>11</x:v>
      </x:c>
      <x:c r="I4407" s="87" t="str">
        <x:v>ТР №2</x:v>
      </x:c>
      <x:c r="J4407" s="87" t="str">
        <x:v>ИН2510201</x:v>
      </x:c>
      <x:c r="K4407" s="87" t="n">
        <x:v>25</x:v>
      </x:c>
      <x:c r="L4407" s="87" t="str">
        <x:v>Маска числа</x:v>
      </x:c>
      <x:c r="M4407" s="30" t="str">
        <x:v>Назовём маской числа последовательность цифр, в которой также могут
     встречаться следующие символы:
     – символ «?» означает ровно одну произвольную чётную цифру;
     – символ «*» означает любую последовательность цифр произвольной
     длины; в том числе «*» может задавать и пустую последовательность.
     Например, маске 123*4?5 соответствуют числа 123405 и 12300405.
     Среди натуральных чисел, не превышающих 1010, найдите все числа,
     соответствующие маске 7?23?64*8, делящиеся на 2026 без остатка.
     В ответе запишите все найденные числа в порядке возрастания.
                                    согласия СтатГрад запрещена
              Задание выполняется с использованием прилагаемых файлов.</x:v>
      </x:c>
      <x:c r="N4407" s="30" t="str">
        <x:v>782386498; 7023064168; 7023864438; 7623064068; 7623864338</x:v>
      </x:c>
      <x:c r="O4407" s="30" t="str">
        <x:v>Сгенерированы все записи маски длиной до 10 цифр и проверена делимость на 2026.</x:v>
      </x:c>
      <x:c r="P4407" s="30" t="str">
        <x:v>Задание независимо пересчитано программно или аналитически; результат совпал с официальным ключом.</x:v>
      </x:c>
      <x:c r="Q4407" s="30"/>
      <x:c r="R4407" s="30" t="str">
        <x:v>782386498; 7023064168; 7023864438; 7623064068; 7623864338</x:v>
      </x:c>
      <x:c r="S4407" s="30"/>
      <x:c r="T4407" s="30" t="str">
        <x:v>image_2025-12-17_11-53-34.png</x:v>
      </x:c>
      <x:c r="U4407" s="30" t="str">
        <x:v>Расхождений нет.</x:v>
      </x:c>
      <x:c r="V4407" s="87" t="str">
        <x:v>VERIFIED</x:v>
      </x:c>
      <x:c r="W4407" s="87" t="n">
        <x:v>14</x:v>
      </x:c>
      <x:c r="X4407" s="87"/>
      <x:c r="Y4407" s="87"/>
      <x:c r="Z4407" s="87"/>
      <x:c r="AA4407" s="87"/>
      <x:c r="AB4407" s="87"/>
      <x:c r="AC4407" s="87" t="str">
        <x:v>VIS-INF-DEC-TASK-201-P014</x:v>
      </x:c>
      <x:c r="AD4407" s="87"/>
      <x:c r="AE4407" s="87" t="str">
        <x:v>TASK</x:v>
      </x:c>
      <x:c r="AF4407" s="87"/>
      <x:c r="AG4407" s="87" t="str">
        <x:v>RESOLVED / HASH_ONLY_QA</x:v>
      </x:c>
      <x:c r="AH4407" s="87" t="str">
        <x:v>ASSET_HASH_VERIFIED_QA_UNSPECIFIED</x:v>
      </x:c>
      <x:c r="AI4407" s="30"/>
      <x:c r="AJ4407" s="87" t="str">
        <x:v>clean</x:v>
      </x:c>
      <x:c r="AK4407" s="87" t="str">
        <x:v>clean-v0.06</x:v>
      </x:c>
      <x:c r="AL4407" s="87" t="str">
        <x:v>statgrad_clean_continuation_v0_06(1).xlsx</x:v>
      </x:c>
      <x:c r="AM4407" s="87" t="str">
        <x:v>INF_Dec_V1</x:v>
      </x:c>
      <x:c r="AN4407" s="87" t="n">
        <x:v>26</x:v>
      </x:c>
    </x:row>
    <x:row r="4408">
      <x:c r="A4408" s="87" t="n">
        <x:v>4407</x:v>
      </x:c>
      <x:c r="B4408" s="87" t="str">
        <x:v>DEC-INF-01-026</x:v>
      </x:c>
      <x:c r="C4408" s="87" t="str">
        <x:v>СтатГрад</x:v>
      </x:c>
      <x:c r="D4408" s="87" t="str">
        <x:v>Декабрь 2025</x:v>
      </x:c>
      <x:c r="E4408" s="87"/>
      <x:c r="F4408" s="87"/>
      <x:c r="G4408" s="87" t="str">
        <x:v>Информатика</x:v>
      </x:c>
      <x:c r="H4408" s="87" t="n">
        <x:v>11</x:v>
      </x:c>
      <x:c r="I4408" s="87" t="str">
        <x:v>ТР №2</x:v>
      </x:c>
      <x:c r="J4408" s="87" t="str">
        <x:v>ИН2510201</x:v>
      </x:c>
      <x:c r="K4408" s="87" t="n">
        <x:v>26</x:v>
      </x:c>
      <x:c r="L4408" s="87" t="str">
        <x:v>Интервалы</x:v>
      </x:c>
      <x:c r="M4408" s="30" t="str">
        <x:v>В высокотехнологичном центре кибербезопасности круглые сутки работают
     автоматические системы анализа трафика. Каждое сканирование сети имеет
     время запуска и завершения (в миллисекундах от начала суток). Считается,
     что в момент запуска и в момент завершения сканирование всё ещё активно.
     Необходимо проанализировать работу центра за сутки и определить
     интервалы (непрерывные промежутки времени), когда не выполнялось ни
     одно сканирование сети.
     Входные данные
     В первой строке указано натуральное число N (N &lt; 100 000) – количество
     сканирований за сутки.
     Следующие N строк содержат пары чисел: время начала и время окончания
     каждого сканирования (неотрицательные числа, меньшие 86400000).
     Запишите в ответе два натуральных числа: сначала найденное количество
     периодов, когда ни одно сканирование не проводилось, а затем их
     суммарную длительность (в мс).
     Типовой пример организации данных во входном файле
     5
     10 100
     20 120
     130 170
     150 200
     250 400
     При таких исходных данных и длительности работы центра в 500 мс было
     4 периода без сканирования: с 0 до 10 мс, с 120 до 130 мс, с 200 до 250 мс
     и с 400 до 500 мс. Их суммарная длительность равна
                 (10 – 0) + (130 – 120) + (250 – 200) + (500 – 400) = 170.
     Ответ для примера: 4; 170.
     Типовой пример имеет иллюстративный характер. Для выполнения задания
     используйте данные из прилагаемых файлов.
                                    согласия СтатГрад запрещена
            Задание выполняется с использованием прилагаемых файлов.</x:v>
      </x:c>
      <x:c r="N4408" s="30" t="str">
        <x:v>360; 376359</x:v>
      </x:c>
      <x:c r="O4408" s="30" t="str">
        <x:v>Интервалы отсортированы и объединены; рассчитаны активные интервалы и дополнение до полных суток.</x:v>
      </x:c>
      <x:c r="P4408" s="30" t="str">
        <x:v>Задание независимо пересчитано программно или аналитически; результат совпал с официальным ключом.</x:v>
      </x:c>
      <x:c r="Q4408" s="30"/>
      <x:c r="R4408" s="30" t="str">
        <x:v>360; 376359</x:v>
      </x:c>
      <x:c r="S4408" s="30"/>
      <x:c r="T4408" s="30" t="str">
        <x:v>image_2025-12-17_11-53-34.png</x:v>
      </x:c>
      <x:c r="U4408" s="30" t="str">
        <x:v>Расхождений нет.</x:v>
      </x:c>
      <x:c r="V4408" s="87" t="str">
        <x:v>VERIFIED</x:v>
      </x:c>
      <x:c r="W4408" s="87" t="n">
        <x:v>15</x:v>
      </x:c>
      <x:c r="X4408" s="87"/>
      <x:c r="Y4408" s="87"/>
      <x:c r="Z4408" s="87"/>
      <x:c r="AA4408" s="87"/>
      <x:c r="AB4408" s="87"/>
      <x:c r="AC4408" s="87" t="str">
        <x:v>VIS-INF-DEC-TASK-201-P015</x:v>
      </x:c>
      <x:c r="AD4408" s="87"/>
      <x:c r="AE4408" s="87" t="str">
        <x:v>TASK</x:v>
      </x:c>
      <x:c r="AF4408" s="87"/>
      <x:c r="AG4408" s="87" t="str">
        <x:v>RESOLVED / HASH_ONLY_QA</x:v>
      </x:c>
      <x:c r="AH4408" s="87" t="str">
        <x:v>ASSET_HASH_VERIFIED_QA_UNSPECIFIED</x:v>
      </x:c>
      <x:c r="AI4408" s="30"/>
      <x:c r="AJ4408" s="87" t="str">
        <x:v>clean</x:v>
      </x:c>
      <x:c r="AK4408" s="87" t="str">
        <x:v>clean-v0.06</x:v>
      </x:c>
      <x:c r="AL4408" s="87" t="str">
        <x:v>statgrad_clean_continuation_v0_06(1).xlsx</x:v>
      </x:c>
      <x:c r="AM4408" s="87" t="str">
        <x:v>INF_Dec_V1</x:v>
      </x:c>
      <x:c r="AN4408" s="87" t="n">
        <x:v>27</x:v>
      </x:c>
    </x:row>
    <x:row r="4409">
      <x:c r="A4409" s="87" t="n">
        <x:v>4408</x:v>
      </x:c>
      <x:c r="B4409" s="87" t="str">
        <x:v>DEC-INF-01-027</x:v>
      </x:c>
      <x:c r="C4409" s="87" t="str">
        <x:v>СтатГрад</x:v>
      </x:c>
      <x:c r="D4409" s="87" t="str">
        <x:v>Декабрь 2025</x:v>
      </x:c>
      <x:c r="E4409" s="87"/>
      <x:c r="F4409" s="87"/>
      <x:c r="G4409" s="87" t="str">
        <x:v>Информатика</x:v>
      </x:c>
      <x:c r="H4409" s="87" t="n">
        <x:v>11</x:v>
      </x:c>
      <x:c r="I4409" s="87" t="str">
        <x:v>ТР №2</x:v>
      </x:c>
      <x:c r="J4409" s="87" t="str">
        <x:v>ИН2510201</x:v>
      </x:c>
      <x:c r="K4409" s="87" t="n">
        <x:v>27</x:v>
      </x:c>
      <x:c r="L4409" s="87" t="str">
        <x:v>Кластеризация</x:v>
      </x:c>
      <x:c r="M4409" s="30" t="str">
        <x:v>Фрагмент звёздного неба спроецирован на плоскость с декартовой системой
     координат. Учёный решил провести кластеризацию полученных точек,
     являющихся изображениями звёзд, то есть разбить их множество на N
     непересекающихся непустых подмножеств (кластеров), таких что точки
     каждого подмножества лежат внутри прямоугольника со сторонами длиной
     H и W, причём эти прямоугольники между собой не пересекаются. Стороны
     прямоугольников не обязательно параллельны координатным осям.
     Гарантируется, что такое разбиение существует и единственно для заданных
     размеров прямоугольников.
     Диаметром кластера назовём максимальное расстояние между двумя точками
     в кластере. Для каждого кластера гарантируется, что диаметр образует
     единственная пара точек. Расстояние между двумя точками на плоскости
     A(x 1 , y 1 ) и B(x 2 , y 2 ) вычисляется по формуле:
                                 d ( A, B ) =   ( x2 − x1 ) + ( y2 − y1 ) .
                                                          2             2
     В файле А хранятся данные о звёздах двух кластеров, где H = 3, W = 4 для
     каждого кластера. В каждой строке записана информация о расположении на
     карте одной звезды: сначала координата x, затем координата y. Значения даны в
     условных единицах. Известно, что количество звёзд не превышает 1000.
     В файле Б хранятся данные о звёздах трёх кластеров, где H = 6, W = 5 для
     каждого кластера. Известно, что количество звёзд не превышает 10000.
     Структура хранения информации о звёздах в файле Б аналогична файлу А.
     Известно, что в файле Б имеются координаты ровно трёх «лишних» точек,
     являющихся аномалиями, возникшими в результате помех при передаче
     данных. Эти три точки не относятся ни к одному из кластеров, их учитывать не
     нужно.
     Для файла А найдите пары точек, которые образуют диаметр каждого
     кластера. Затем вычислите два числа: P x – минимальную из сумм абсцисс
     этих точек для всех кластеров и P y – минимальную из сумм ординат этих
     точек для всех кластеров. Для файла Б найдите два числа: Q 1 – диаметр
     кластера с минимальным количеством точек и Q 2 – максимальное расстояние
     от точки, образующей диаметр одного кластера, до точки, образующей
     диаметр другого кластера.
     Гарантируется, что во всех кластерах количество точек различно.
                                    согласия СтатГрад запрещена
В ответе запишите четыре числа: в первой строке – сначала целую часть
абсолютного значения произведения Px × 10000, затем целую часть
абсолютного значения произведения Py × 10000; во второй строке – сначала
целую часть произведения Q1× 10000, затем целую часть произведения Q2 × 10
000.
Возможные данные одного из файлов иллюстрированы графиком.
Внимание! График приведён в иллюстративных целях                                      для
произвольных значений, не имеющих отношения к заданию.
Для выполнения задания используйте данные из прилагаемого файла.
                               согласия СтатГрад запрещена
                                11 класс
                          16 декабря 2025 года</x:v>
      </x:c>
      <x:c r="N4409" s="30" t="str">
        <x:v>145015; 313020; 29254; 488624</x:v>
      </x:c>
      <x:c r="O4409" s="30" t="str">
        <x:v>DBSCAN выделил 2 кластера в A и 3 кластера в B; три шумовые точки B исключены. Диаметры найдены полным попарным расчётом.</x:v>
      </x:c>
      <x:c r="P4409" s="30" t="str">
        <x:v>Задание независимо пересчитано программно или аналитически; результат совпал с официальным ключом.</x:v>
      </x:c>
      <x:c r="Q4409" s="30"/>
      <x:c r="R4409" s="30" t="str">
        <x:v>145015; 313020; 29254; 488624</x:v>
      </x:c>
      <x:c r="S4409" s="30"/>
      <x:c r="T4409" s="30" t="str">
        <x:v>image_2025-12-17_11-53-34.png</x:v>
      </x:c>
      <x:c r="U4409" s="30" t="str">
        <x:v>Расхождений нет.</x:v>
      </x:c>
      <x:c r="V4409" s="87" t="str">
        <x:v>VERIFIED</x:v>
      </x:c>
      <x:c r="W4409" s="87" t="n">
        <x:v>16</x:v>
      </x:c>
      <x:c r="X4409" s="87"/>
      <x:c r="Y4409" s="87"/>
      <x:c r="Z4409" s="87"/>
      <x:c r="AA4409" s="87"/>
      <x:c r="AB4409" s="87"/>
      <x:c r="AC4409" s="87" t="str">
        <x:v>VIS-INF-DEC-TASK-201-P016</x:v>
      </x:c>
      <x:c r="AD4409" s="87"/>
      <x:c r="AE4409" s="87" t="str">
        <x:v>TASK</x:v>
      </x:c>
      <x:c r="AF4409" s="87"/>
      <x:c r="AG4409" s="87" t="str">
        <x:v>RESOLVED / HASH_ONLY_QA</x:v>
      </x:c>
      <x:c r="AH4409" s="87" t="str">
        <x:v>ASSET_HASH_VERIFIED_QA_UNSPECIFIED; TASK_CROP_QA_APPROVED:MANUAL_BBOX</x:v>
      </x:c>
      <x:c r="AI4409" s="30"/>
      <x:c r="AJ4409" s="87" t="str">
        <x:v>clean</x:v>
      </x:c>
      <x:c r="AK4409" s="87" t="str">
        <x:v>clean-v0.06</x:v>
      </x:c>
      <x:c r="AL4409" s="87" t="str">
        <x:v>statgrad_clean_continuation_v0_06(1).xlsx</x:v>
      </x:c>
      <x:c r="AM4409" s="87" t="str">
        <x:v>INF_Dec_V1</x:v>
      </x:c>
      <x:c r="AN4409" s="87" t="n">
        <x:v>28</x:v>
      </x:c>
    </x:row>
    <x:row r="4410">
      <x:c r="A4410" s="87" t="n">
        <x:v>4409</x:v>
      </x:c>
      <x:c r="B4410" s="87" t="str">
        <x:v>DEC-INF-02-001</x:v>
      </x:c>
      <x:c r="C4410" s="87" t="str">
        <x:v>СтатГрад</x:v>
      </x:c>
      <x:c r="D4410" s="87" t="str">
        <x:v>Декабрь 2025</x:v>
      </x:c>
      <x:c r="E4410" s="87"/>
      <x:c r="F4410" s="87"/>
      <x:c r="G4410" s="87" t="str">
        <x:v>Информатика</x:v>
      </x:c>
      <x:c r="H4410" s="87" t="n">
        <x:v>11</x:v>
      </x:c>
      <x:c r="I4410" s="87" t="str">
        <x:v>ТР №2</x:v>
      </x:c>
      <x:c r="J4410" s="87" t="str">
        <x:v>ИН2510202</x:v>
      </x:c>
      <x:c r="K4410" s="87" t="n">
        <x:v>1</x:v>
      </x:c>
      <x:c r="L4410" s="87" t="str">
        <x:v>Сопоставление графа</x:v>
      </x:c>
      <x:c r="M4410" s="30" t="str">
        <x:v>На рисунке схема дорог Н-ского района изображена в виде графа, в таблице
    содержатся сведения о длине этих дорог в километрах.
                           Номер пункта
                     1 2 3 4 5 6 7 8
                   1    12 15    10
                   2 12    25
    Номер пункта
                   3 15 25    18 20 16 11 14
                   4       18       28
                   5 10    20
                   6       16 28        17
                   7       11       17     24
                   8       14           24
    Так как таблицу и схему рисовали независимо друг от друга, нумерация
    населённых пунктов в таблице никак не связана с буквенными обозначениями
    на графе. Определите, какие номера могут соответствовать пунктам Е и Д.
    В качестве ответа запишите эти номера в порядке возрастания без разделителей.</x:v>
      </x:c>
      <x:c r="N4410" s="30" t="str">
        <x:v>48</x:v>
      </x:c>
      <x:c r="O4410" s="30" t="str">
        <x:v>Сопоставление степеней и смежности: Е и Д соответствуют вершинам 4 и 8.</x:v>
      </x:c>
      <x:c r="P4410" s="30" t="str">
        <x:v>Задание независимо пересчитано программно или аналитически; результат совпал с официальным ключом.</x:v>
      </x:c>
      <x:c r="Q4410" s="30"/>
      <x:c r="R4410" s="30" t="str">
        <x:v>48</x:v>
      </x:c>
      <x:c r="S4410" s="30"/>
      <x:c r="T4410" s="30" t="str">
        <x:v>image_2025-12-17_11-53-34.png</x:v>
      </x:c>
      <x:c r="U4410" s="30" t="str">
        <x:v>Расхождений нет.</x:v>
      </x:c>
      <x:c r="V4410" s="87" t="str">
        <x:v>VERIFIED</x:v>
      </x:c>
      <x:c r="W4410" s="87" t="n">
        <x:v>20</x:v>
      </x:c>
      <x:c r="X4410" s="87"/>
      <x:c r="Y4410" s="87"/>
      <x:c r="Z4410" s="87"/>
      <x:c r="AA4410" s="87"/>
      <x:c r="AB4410" s="87"/>
      <x:c r="AC4410" s="87" t="str">
        <x:v>VIS-INF-DEC-TASK-202-P003</x:v>
      </x:c>
      <x:c r="AD4410" s="87"/>
      <x:c r="AE4410" s="87" t="str">
        <x:v>TASK</x:v>
      </x:c>
      <x:c r="AF4410" s="87"/>
      <x:c r="AG4410" s="87" t="str">
        <x:v>RESOLVED / HASH_ONLY_QA</x:v>
      </x:c>
      <x:c r="AH4410" s="87" t="str">
        <x:v>ASSET_HASH_VERIFIED_QA_UNSPECIFIED; TASK_CROP_QA_APPROVED:USE_TIGHT</x:v>
      </x:c>
      <x:c r="AI4410" s="30"/>
      <x:c r="AJ4410" s="87" t="str">
        <x:v>clean</x:v>
      </x:c>
      <x:c r="AK4410" s="87" t="str">
        <x:v>clean-v0.06</x:v>
      </x:c>
      <x:c r="AL4410" s="87" t="str">
        <x:v>statgrad_clean_continuation_v0_06(1).xlsx</x:v>
      </x:c>
      <x:c r="AM4410" s="87" t="str">
        <x:v>INF_Dec_V2</x:v>
      </x:c>
      <x:c r="AN4410" s="87" t="n">
        <x:v>2</x:v>
      </x:c>
    </x:row>
    <x:row r="4411">
      <x:c r="A4411" s="87" t="n">
        <x:v>4410</x:v>
      </x:c>
      <x:c r="B4411" s="87" t="str">
        <x:v>DEC-INF-02-002</x:v>
      </x:c>
      <x:c r="C4411" s="87" t="str">
        <x:v>СтатГрад</x:v>
      </x:c>
      <x:c r="D4411" s="87" t="str">
        <x:v>Декабрь 2025</x:v>
      </x:c>
      <x:c r="E4411" s="87"/>
      <x:c r="F4411" s="87"/>
      <x:c r="G4411" s="87" t="str">
        <x:v>Информатика</x:v>
      </x:c>
      <x:c r="H4411" s="87" t="n">
        <x:v>11</x:v>
      </x:c>
      <x:c r="I4411" s="87" t="str">
        <x:v>ТР №2</x:v>
      </x:c>
      <x:c r="J4411" s="87" t="str">
        <x:v>ИН2510202</x:v>
      </x:c>
      <x:c r="K4411" s="87" t="n">
        <x:v>2</x:v>
      </x:c>
      <x:c r="L4411" s="87" t="str">
        <x:v>Таблица истинности</x:v>
      </x:c>
      <x:c r="M4411" s="30" t="str">
        <x:v>Настя заполняла таблицу истинности логической функции
                                       (w → y) → (z → x) v ¬z,
    но успела заполнить лишь фрагмент из трёх различных её строк, даже не
    указав, какому столбцу таблицы соответствует каждая из переменных w, x, z.
                                          y                      F
                                   1      1                      0
                                   0      1             1        1
                                   1             1      0        0
    Определите, какому столбцу таблицы соответствует каждая из переменных
    w, x, z.
    В ответе напишите буквы w, x, y, z в том порядке, в котором идут
    соответствующие им столбцы (сначала буква, соответствующая первому
    столбцу; затем буква, соответствующая второму столбцу, и т.д.). Буквы в ответе
    пишите подряд, никаких разделителей между буквами ставить не нужно.
                                    согласия СтатГрад запрещена
           Задание выполняется с использованием прилагаемых файлов.</x:v>
      </x:c>
      <x:c r="N4411" s="30" t="str">
        <x:v>zywx</x:v>
      </x:c>
      <x:c r="O4411" s="30" t="str">
        <x:v>Перебор соответствий столбцов переменным и заполнений пропусков таблицы истинности.</x:v>
      </x:c>
      <x:c r="P4411" s="30" t="str">
        <x:v>Задание независимо пересчитано программно или аналитически; результат совпал с официальным ключом.</x:v>
      </x:c>
      <x:c r="Q4411" s="30"/>
      <x:c r="R4411" s="30" t="str">
        <x:v>zywx</x:v>
      </x:c>
      <x:c r="S4411" s="30"/>
      <x:c r="T4411" s="30" t="str">
        <x:v>image_2025-12-17_11-53-34.png</x:v>
      </x:c>
      <x:c r="U4411" s="30" t="str">
        <x:v>Расхождений нет.</x:v>
      </x:c>
      <x:c r="V4411" s="87" t="str">
        <x:v>VERIFIED</x:v>
      </x:c>
      <x:c r="W4411" s="87" t="n">
        <x:v>20</x:v>
      </x:c>
      <x:c r="X4411" s="87"/>
      <x:c r="Y4411" s="87"/>
      <x:c r="Z4411" s="87"/>
      <x:c r="AA4411" s="87"/>
      <x:c r="AB4411" s="87"/>
      <x:c r="AC4411" s="87" t="str">
        <x:v>VIS-INF-DEC-TASK-202-P003</x:v>
      </x:c>
      <x:c r="AD4411" s="87"/>
      <x:c r="AE4411" s="87" t="str">
        <x:v>TASK</x:v>
      </x:c>
      <x:c r="AF4411" s="87"/>
      <x:c r="AG4411" s="87" t="str">
        <x:v>RESOLVED / HASH_ONLY_QA</x:v>
      </x:c>
      <x:c r="AH4411" s="87" t="str">
        <x:v>ASSET_HASH_VERIFIED_QA_UNSPECIFIED</x:v>
      </x:c>
      <x:c r="AI4411" s="30"/>
      <x:c r="AJ4411" s="87" t="str">
        <x:v>clean</x:v>
      </x:c>
      <x:c r="AK4411" s="87" t="str">
        <x:v>clean-v0.06</x:v>
      </x:c>
      <x:c r="AL4411" s="87" t="str">
        <x:v>statgrad_clean_continuation_v0_06(1).xlsx</x:v>
      </x:c>
      <x:c r="AM4411" s="87" t="str">
        <x:v>INF_Dec_V2</x:v>
      </x:c>
      <x:c r="AN4411" s="87" t="n">
        <x:v>3</x:v>
      </x:c>
    </x:row>
    <x:row r="4412">
      <x:c r="A4412" s="87" t="n">
        <x:v>4411</x:v>
      </x:c>
      <x:c r="B4412" s="87" t="str">
        <x:v>DEC-INF-02-003</x:v>
      </x:c>
      <x:c r="C4412" s="87" t="str">
        <x:v>СтатГрад</x:v>
      </x:c>
      <x:c r="D4412" s="87" t="str">
        <x:v>Декабрь 2025</x:v>
      </x:c>
      <x:c r="E4412" s="87"/>
      <x:c r="F4412" s="87"/>
      <x:c r="G4412" s="87" t="str">
        <x:v>Информатика</x:v>
      </x:c>
      <x:c r="H4412" s="87" t="n">
        <x:v>11</x:v>
      </x:c>
      <x:c r="I4412" s="87" t="str">
        <x:v>ТР №2</x:v>
      </x:c>
      <x:c r="J4412" s="87" t="str">
        <x:v>ИН2510202</x:v>
      </x:c>
      <x:c r="K4412" s="87" t="n">
        <x:v>3</x:v>
      </x:c>
      <x:c r="L4412" s="87" t="str">
        <x:v>База данных</x:v>
      </x:c>
      <x:c r="M4412" s="30" t="str">
        <x:v>В файле приведён фрагмент базы данных «Молочные продукты» о поставках
    товаров в магазины районов города. База данных состоит из трёх таблиц.
    Таблица «Движение товаров» содержит записи о поставках товаров в магазины
    в течение октября 2024 г., а также информацию о проданных товарах. Поле Тип
    операции содержит значение Поступление или Продажа, а в соответствующее
    поле Количество упаковок, шт. внесена информация о том, сколько упаковок
    товара поступило в магазин или было продано в течение дня.
    Заголовок таблицы имеет следующий вид:
        ID          Дата          ID           Артикул         Количество           Тип
     операции                  магазина                       упаковок, шт.       операции
    Таблица «Товар» содержит информацию об основных характеристиках
    каждого товара. Заголовок таблицы имеет следующий вид:
    Артикул       Отдел      Наименование          Ед. изм.     Количество          Цена за
                                товара                          в упаковке         упаковку
    Таблица «Магазин» содержит информацию о местонахождении магазинов.
    Заголовок таблицы имеет следующий вид:
                                     ID    Район Адрес
                                  магазина
    На рисунке приведена схема указанной базы данных.
    Используя информацию из приведённой базы данных, определите, на какую
    сумму (в руб.) было продано сливок всех видов в магазинах Центрального
    района за период с 5 по 19 октября включительно.
    В ответе запишите только число.
                                   согласия СтатГрад запрещена</x:v>
      </x:c>
      <x:c r="N4412" s="30" t="str">
        <x:v>1993351</x:v>
      </x:c>
      <x:c r="O4412" s="30" t="str">
        <x:v>Связаны таблицы движения, товаров и магазинов; отфильтрованы продажи по району, датам и наименованию, затем суммированы количество × цена.</x:v>
      </x:c>
      <x:c r="P4412" s="30" t="str">
        <x:v>Задание независимо пересчитано программно или аналитически; результат совпал с официальным ключом.</x:v>
      </x:c>
      <x:c r="Q4412" s="30"/>
      <x:c r="R4412" s="30" t="str">
        <x:v>1993351</x:v>
      </x:c>
      <x:c r="S4412" s="30"/>
      <x:c r="T4412" s="30" t="str">
        <x:v>image_2025-12-17_11-53-34.png</x:v>
      </x:c>
      <x:c r="U4412" s="30" t="str">
        <x:v>Расхождений нет.</x:v>
      </x:c>
      <x:c r="V4412" s="87" t="str">
        <x:v>VERIFIED</x:v>
      </x:c>
      <x:c r="W4412" s="87" t="n">
        <x:v>21</x:v>
      </x:c>
      <x:c r="X4412" s="87"/>
      <x:c r="Y4412" s="87"/>
      <x:c r="Z4412" s="87"/>
      <x:c r="AA4412" s="87"/>
      <x:c r="AB4412" s="87"/>
      <x:c r="AC4412" s="87" t="str">
        <x:v>VIS-INF-DEC-TASK-202-P004</x:v>
      </x:c>
      <x:c r="AD4412" s="87"/>
      <x:c r="AE4412" s="87" t="str">
        <x:v>TASK</x:v>
      </x:c>
      <x:c r="AF4412" s="87"/>
      <x:c r="AG4412" s="87" t="str">
        <x:v>RESOLVED / HASH_ONLY_QA</x:v>
      </x:c>
      <x:c r="AH4412" s="87" t="str">
        <x:v>ASSET_HASH_VERIFIED_QA_UNSPECIFIED; TASK_CROP_QA_APPROVED:USE_TIGHT</x:v>
      </x:c>
      <x:c r="AI4412" s="30"/>
      <x:c r="AJ4412" s="87" t="str">
        <x:v>clean</x:v>
      </x:c>
      <x:c r="AK4412" s="87" t="str">
        <x:v>clean-v0.06</x:v>
      </x:c>
      <x:c r="AL4412" s="87" t="str">
        <x:v>statgrad_clean_continuation_v0_06(1).xlsx</x:v>
      </x:c>
      <x:c r="AM4412" s="87" t="str">
        <x:v>INF_Dec_V2</x:v>
      </x:c>
      <x:c r="AN4412" s="87" t="n">
        <x:v>4</x:v>
      </x:c>
    </x:row>
    <x:row r="4413">
      <x:c r="A4413" s="87" t="n">
        <x:v>4412</x:v>
      </x:c>
      <x:c r="B4413" s="87" t="str">
        <x:v>DEC-INF-02-004</x:v>
      </x:c>
      <x:c r="C4413" s="87" t="str">
        <x:v>СтатГрад</x:v>
      </x:c>
      <x:c r="D4413" s="87" t="str">
        <x:v>Декабрь 2025</x:v>
      </x:c>
      <x:c r="E4413" s="87"/>
      <x:c r="F4413" s="87"/>
      <x:c r="G4413" s="87" t="str">
        <x:v>Информатика</x:v>
      </x:c>
      <x:c r="H4413" s="87" t="n">
        <x:v>11</x:v>
      </x:c>
      <x:c r="I4413" s="87" t="str">
        <x:v>ТР №2</x:v>
      </x:c>
      <x:c r="J4413" s="87" t="str">
        <x:v>ИН2510202</x:v>
      </x:c>
      <x:c r="K4413" s="87" t="n">
        <x:v>4</x:v>
      </x:c>
      <x:c r="L4413" s="87" t="str">
        <x:v>Код Фано</x:v>
      </x:c>
      <x:c r="M4413" s="30" t="str">
        <x:v>По каналу связи передаются сообщения, содержащие только восемь букв:
    Г, Р, У, Д, И, Н, К, А. Для передачи используется двоичный код,
    удовлетворяющий условию Фано.
    Кодовые слова для некоторых букв известны.
    Г  00
    Р 100
    У 011
    Д 10110
    А 1010
    Какое наименьшее количество двоичных знаков требуется для кодирования
    всех восьми букв? В ответе запишите суммарную длину всех кодовых слов.
    Примечание. Условие Фано означает, что никакое кодовое слово не является
    началом другого кодового слова. Это обеспечивает возможность однозначной
    расшифровки закодированных сообщений.</x:v>
      </x:c>
      <x:c r="N4413" s="30" t="str">
        <x:v>26</x:v>
      </x:c>
      <x:c r="O4413" s="30" t="str">
        <x:v>Три недостающих символа кодируются свободными словами длины 3; суммарная длина всех кодов 26.</x:v>
      </x:c>
      <x:c r="P4413" s="30" t="str">
        <x:v>Задание независимо пересчитано программно или аналитически; результат совпал с официальным ключом.</x:v>
      </x:c>
      <x:c r="Q4413" s="30"/>
      <x:c r="R4413" s="30" t="str">
        <x:v>26</x:v>
      </x:c>
      <x:c r="S4413" s="30"/>
      <x:c r="T4413" s="30" t="str">
        <x:v>image_2025-12-17_11-53-34.png</x:v>
      </x:c>
      <x:c r="U4413" s="30" t="str">
        <x:v>Расхождений нет.</x:v>
      </x:c>
      <x:c r="V4413" s="87" t="str">
        <x:v>VERIFIED</x:v>
      </x:c>
      <x:c r="W4413" s="87" t="n">
        <x:v>22</x:v>
      </x:c>
      <x:c r="X4413" s="87"/>
      <x:c r="Y4413" s="87"/>
      <x:c r="Z4413" s="87"/>
      <x:c r="AA4413" s="87"/>
      <x:c r="AB4413" s="87"/>
      <x:c r="AC4413" s="87" t="str">
        <x:v>VIS-INF-DEC-TASK-202-P005</x:v>
      </x:c>
      <x:c r="AD4413" s="87"/>
      <x:c r="AE4413" s="87" t="str">
        <x:v>TASK</x:v>
      </x:c>
      <x:c r="AF4413" s="87"/>
      <x:c r="AG4413" s="87" t="str">
        <x:v>RESOLVED / HASH_ONLY_QA</x:v>
      </x:c>
      <x:c r="AH4413" s="87" t="str">
        <x:v>ASSET_HASH_VERIFIED_QA_UNSPECIFIED</x:v>
      </x:c>
      <x:c r="AI4413" s="30"/>
      <x:c r="AJ4413" s="87" t="str">
        <x:v>clean</x:v>
      </x:c>
      <x:c r="AK4413" s="87" t="str">
        <x:v>clean-v0.06</x:v>
      </x:c>
      <x:c r="AL4413" s="87" t="str">
        <x:v>statgrad_clean_continuation_v0_06(1).xlsx</x:v>
      </x:c>
      <x:c r="AM4413" s="87" t="str">
        <x:v>INF_Dec_V2</x:v>
      </x:c>
      <x:c r="AN4413" s="87" t="n">
        <x:v>5</x:v>
      </x:c>
    </x:row>
    <x:row r="4414">
      <x:c r="A4414" s="87" t="n">
        <x:v>4413</x:v>
      </x:c>
      <x:c r="B4414" s="87" t="str">
        <x:v>DEC-INF-02-005</x:v>
      </x:c>
      <x:c r="C4414" s="87" t="str">
        <x:v>СтатГрад</x:v>
      </x:c>
      <x:c r="D4414" s="87" t="str">
        <x:v>Декабрь 2025</x:v>
      </x:c>
      <x:c r="E4414" s="87"/>
      <x:c r="F4414" s="87"/>
      <x:c r="G4414" s="87" t="str">
        <x:v>Информатика</x:v>
      </x:c>
      <x:c r="H4414" s="87" t="n">
        <x:v>11</x:v>
      </x:c>
      <x:c r="I4414" s="87" t="str">
        <x:v>ТР №2</x:v>
      </x:c>
      <x:c r="J4414" s="87" t="str">
        <x:v>ИН2510202</x:v>
      </x:c>
      <x:c r="K4414" s="87" t="n">
        <x:v>5</x:v>
      </x:c>
      <x:c r="L4414" s="87" t="str">
        <x:v>Алгоритм и системы счисления</x:v>
      </x:c>
      <x:c r="M4414" s="30" t="str">
        <x:v>На вход алгоритма подаётся натуральное число N. Алгоритм строит по нему
    новое число R следующим образом.
    1. Строится троичная запись числа N.
    2. Далее эта запись обрабатывается по следующему правилу:
    a) если число N делится на 3, то слева к нему приписывается «1», а справа
    «02»;
    б) если число N на 3 не делится, то остаток от деления на 3 умножается на 4,
    переводится в троичную запись и дописывается в конец числа.
    Полученная таким образом запись является троичной записью искомого
    числа R.
    3. Результат переводится в десятичную систему и выводится на экран.
    Например, для исходного числа 11 10 = 102 3 результатом является число
    10222 3 = 107 10 , а для исходного числа 12 10 = 110 3 – это число 111002 3 =
    353 10 .
    Укажите максимальное число N, после обработки которого с помощью
    этого алгоритма получается число R, не превышающее 350.
                                   согласия СтатГрад запрещена</x:v>
      </x:c>
      <x:c r="N4414" s="30" t="str">
        <x:v>38</x:v>
      </x:c>
      <x:c r="O4414" s="30" t="str">
        <x:v>Полный перебор N с построением троичной записи R.</x:v>
      </x:c>
      <x:c r="P4414" s="30" t="str">
        <x:v>Задание независимо пересчитано программно или аналитически; результат совпал с официальным ключом.</x:v>
      </x:c>
      <x:c r="Q4414" s="30"/>
      <x:c r="R4414" s="30" t="str">
        <x:v>38</x:v>
      </x:c>
      <x:c r="S4414" s="30"/>
      <x:c r="T4414" s="30" t="str">
        <x:v>image_2025-12-17_11-53-34.png</x:v>
      </x:c>
      <x:c r="U4414" s="30" t="str">
        <x:v>Расхождений нет.</x:v>
      </x:c>
      <x:c r="V4414" s="87" t="str">
        <x:v>VERIFIED</x:v>
      </x:c>
      <x:c r="W4414" s="87" t="n">
        <x:v>22</x:v>
      </x:c>
      <x:c r="X4414" s="87"/>
      <x:c r="Y4414" s="87"/>
      <x:c r="Z4414" s="87"/>
      <x:c r="AA4414" s="87"/>
      <x:c r="AB4414" s="87"/>
      <x:c r="AC4414" s="87" t="str">
        <x:v>VIS-INF-DEC-TASK-202-P005</x:v>
      </x:c>
      <x:c r="AD4414" s="87"/>
      <x:c r="AE4414" s="87" t="str">
        <x:v>TASK</x:v>
      </x:c>
      <x:c r="AF4414" s="87"/>
      <x:c r="AG4414" s="87" t="str">
        <x:v>RESOLVED / HASH_ONLY_QA</x:v>
      </x:c>
      <x:c r="AH4414" s="87" t="str">
        <x:v>ASSET_HASH_VERIFIED_QA_UNSPECIFIED</x:v>
      </x:c>
      <x:c r="AI4414" s="30"/>
      <x:c r="AJ4414" s="87" t="str">
        <x:v>clean</x:v>
      </x:c>
      <x:c r="AK4414" s="87" t="str">
        <x:v>clean-v0.06</x:v>
      </x:c>
      <x:c r="AL4414" s="87" t="str">
        <x:v>statgrad_clean_continuation_v0_06(1).xlsx</x:v>
      </x:c>
      <x:c r="AM4414" s="87" t="str">
        <x:v>INF_Dec_V2</x:v>
      </x:c>
      <x:c r="AN4414" s="87" t="n">
        <x:v>6</x:v>
      </x:c>
    </x:row>
    <x:row r="4415">
      <x:c r="A4415" s="87" t="n">
        <x:v>4414</x:v>
      </x:c>
      <x:c r="B4415" s="87" t="str">
        <x:v>DEC-INF-02-006</x:v>
      </x:c>
      <x:c r="C4415" s="87" t="str">
        <x:v>СтатГрад</x:v>
      </x:c>
      <x:c r="D4415" s="87" t="str">
        <x:v>Декабрь 2025</x:v>
      </x:c>
      <x:c r="E4415" s="87"/>
      <x:c r="F4415" s="87"/>
      <x:c r="G4415" s="87" t="str">
        <x:v>Информатика</x:v>
      </x:c>
      <x:c r="H4415" s="87" t="n">
        <x:v>11</x:v>
      </x:c>
      <x:c r="I4415" s="87" t="str">
        <x:v>ТР №2</x:v>
      </x:c>
      <x:c r="J4415" s="87" t="str">
        <x:v>ИН2510202</x:v>
      </x:c>
      <x:c r="K4415" s="87" t="n">
        <x:v>6</x:v>
      </x:c>
      <x:c r="L4415" s="87" t="str">
        <x:v>Черепаха / геометрия</x:v>
      </x:c>
      <x:c r="M4415" s="30" t="str">
        <x:v>Исполнитель Черепаха действует на плоскости с декартовой системой
    координат. В начальный момент Черепаха находится в начале координат, её
    голова направлена вдоль положительного направления оси ординат, хвост
    опущен. При опущенном хвосте Черепаха оставляет на поле след в виде
    линии. В каждый конкретный момент известно положение исполнителя и
    направление его движения. У исполнителя существует 6 команд: Поднять
    хвост, означающая переход к перемещению без рисования; Опустить хвост,
    означающая переход в режим рисования; Вперёд n (где n – целое число),
    вызывающая передвижение Черепахи на n единиц в том направлении, куда
    указывает её голова; Назад n (где n – целое число), вызывающая
    передвижение в противоположном голове направлении; Направо m (где m –
    целое число), вызывающая изменение направления движения на m градусов
    по часовой стрелке; Налево m (где m – целое число), вызывающая изменение
    направления движения на m градусов против часовой стрелки.
    Запись Повтори k [Команда1 Команда2 … КомандаS] означает, что
    последовательность из S команд повторится k раз.
    Черепахе был дан для исполнения следующий алгоритм:
    Направо 180
    Повтори 9 [Вперёд 66 Налево 90 Вперёд 100 Налево 90]
    Поднять хвост
    Вперёд 27 Налево 90 Вперёд 41 Направо 90
    Опустить хвост
    Повтори 9 [Вперёд 120 Направо 90 Вперёд 99 Направо 90]
    Определите периметр области пересечения фигур, ограниченных заданными
    алгоритмом линиями.</x:v>
      </x:c>
      <x:c r="N4415" s="30" t="str">
        <x:v>160</x:v>
      </x:c>
      <x:c r="O4415" s="30" t="str">
        <x:v>Пересечение прямоугольников (0, 100, -66, 0) и (59, 158, -39, 81), периметр 160.</x:v>
      </x:c>
      <x:c r="P4415" s="30" t="str">
        <x:v>Задание независимо пересчитано программно или аналитически; результат совпал с официальным ключом.</x:v>
      </x:c>
      <x:c r="Q4415" s="30"/>
      <x:c r="R4415" s="30" t="str">
        <x:v>160</x:v>
      </x:c>
      <x:c r="S4415" s="30"/>
      <x:c r="T4415" s="30" t="str">
        <x:v>image_2025-12-17_11-53-34.png</x:v>
      </x:c>
      <x:c r="U4415" s="30" t="str">
        <x:v>Расхождений нет.</x:v>
      </x:c>
      <x:c r="V4415" s="87" t="str">
        <x:v>VERIFIED</x:v>
      </x:c>
      <x:c r="W4415" s="87" t="n">
        <x:v>23</x:v>
      </x:c>
      <x:c r="X4415" s="87"/>
      <x:c r="Y4415" s="87"/>
      <x:c r="Z4415" s="87"/>
      <x:c r="AA4415" s="87"/>
      <x:c r="AB4415" s="87"/>
      <x:c r="AC4415" s="87" t="str">
        <x:v>VIS-INF-DEC-TASK-202-P006</x:v>
      </x:c>
      <x:c r="AD4415" s="87"/>
      <x:c r="AE4415" s="87" t="str">
        <x:v>TASK</x:v>
      </x:c>
      <x:c r="AF4415" s="87"/>
      <x:c r="AG4415" s="87" t="str">
        <x:v>RESOLVED / HASH_ONLY_QA</x:v>
      </x:c>
      <x:c r="AH4415" s="87" t="str">
        <x:v>ASSET_HASH_VERIFIED_QA_UNSPECIFIED</x:v>
      </x:c>
      <x:c r="AI4415" s="30"/>
      <x:c r="AJ4415" s="87" t="str">
        <x:v>clean</x:v>
      </x:c>
      <x:c r="AK4415" s="87" t="str">
        <x:v>clean-v0.06</x:v>
      </x:c>
      <x:c r="AL4415" s="87" t="str">
        <x:v>statgrad_clean_continuation_v0_06(1).xlsx</x:v>
      </x:c>
      <x:c r="AM4415" s="87" t="str">
        <x:v>INF_Dec_V2</x:v>
      </x:c>
      <x:c r="AN4415" s="87" t="n">
        <x:v>7</x:v>
      </x:c>
    </x:row>
    <x:row r="4416">
      <x:c r="A4416" s="87" t="n">
        <x:v>4415</x:v>
      </x:c>
      <x:c r="B4416" s="87" t="str">
        <x:v>DEC-INF-02-007</x:v>
      </x:c>
      <x:c r="C4416" s="87" t="str">
        <x:v>СтатГрад</x:v>
      </x:c>
      <x:c r="D4416" s="87" t="str">
        <x:v>Декабрь 2025</x:v>
      </x:c>
      <x:c r="E4416" s="87"/>
      <x:c r="F4416" s="87"/>
      <x:c r="G4416" s="87" t="str">
        <x:v>Информатика</x:v>
      </x:c>
      <x:c r="H4416" s="87" t="n">
        <x:v>11</x:v>
      </x:c>
      <x:c r="I4416" s="87" t="str">
        <x:v>ТР №2</x:v>
      </x:c>
      <x:c r="J4416" s="87" t="str">
        <x:v>ИН2510202</x:v>
      </x:c>
      <x:c r="K4416" s="87" t="n">
        <x:v>7</x:v>
      </x:c>
      <x:c r="L4416" s="87" t="str">
        <x:v>Кодирование изображения</x:v>
      </x:c>
      <x:c r="M4416" s="30" t="str">
        <x:v>Прибор автоматической фиксации нарушений правил дорожного движения
    делает цветные фотографии размером 1800×1200 пикселей, при этом
    используется палитра из 2048 цветов. Все снимки группируются в пакеты по Х
    (Х – натуральное число) штук и передаются по каналу связи. Известно, что
    время передачи одного такого пакета занимает ровно 2,5 часа, а пропускная
    способность канала равна 36693360 бит/c. Определите, чему равно значение Х.
    В ответе запишите только число.
                                   согласия СтатГрад запрещена</x:v>
      </x:c>
      <x:c r="N4416" s="30" t="str">
        <x:v>13899</x:v>
      </x:c>
      <x:c r="O4416" s="30" t="str">
        <x:v>Объём пакета = время × скорость; объём одного снимка = пиксели × бит на цвет.</x:v>
      </x:c>
      <x:c r="P4416" s="30" t="str">
        <x:v>Задание независимо пересчитано программно или аналитически; результат совпал с официальным ключом.</x:v>
      </x:c>
      <x:c r="Q4416" s="30"/>
      <x:c r="R4416" s="30" t="str">
        <x:v>13899</x:v>
      </x:c>
      <x:c r="S4416" s="30"/>
      <x:c r="T4416" s="30" t="str">
        <x:v>image_2025-12-17_11-53-34.png</x:v>
      </x:c>
      <x:c r="U4416" s="30" t="str">
        <x:v>Расхождений нет.</x:v>
      </x:c>
      <x:c r="V4416" s="87" t="str">
        <x:v>VERIFIED</x:v>
      </x:c>
      <x:c r="W4416" s="87" t="n">
        <x:v>23</x:v>
      </x:c>
      <x:c r="X4416" s="87"/>
      <x:c r="Y4416" s="87"/>
      <x:c r="Z4416" s="87"/>
      <x:c r="AA4416" s="87"/>
      <x:c r="AB4416" s="87"/>
      <x:c r="AC4416" s="87" t="str">
        <x:v>VIS-INF-DEC-TASK-202-P006</x:v>
      </x:c>
      <x:c r="AD4416" s="87"/>
      <x:c r="AE4416" s="87" t="str">
        <x:v>TASK</x:v>
      </x:c>
      <x:c r="AF4416" s="87"/>
      <x:c r="AG4416" s="87" t="str">
        <x:v>RESOLVED / HASH_ONLY_QA</x:v>
      </x:c>
      <x:c r="AH4416" s="87" t="str">
        <x:v>ASSET_HASH_VERIFIED_QA_UNSPECIFIED; TASK_CROP_NO_CROP_NEEDED</x:v>
      </x:c>
      <x:c r="AI4416" s="30"/>
      <x:c r="AJ4416" s="87" t="str">
        <x:v>clean</x:v>
      </x:c>
      <x:c r="AK4416" s="87" t="str">
        <x:v>clean-v0.06</x:v>
      </x:c>
      <x:c r="AL4416" s="87" t="str">
        <x:v>statgrad_clean_continuation_v0_06(1).xlsx</x:v>
      </x:c>
      <x:c r="AM4416" s="87" t="str">
        <x:v>INF_Dec_V2</x:v>
      </x:c>
      <x:c r="AN4416" s="87" t="n">
        <x:v>8</x:v>
      </x:c>
    </x:row>
    <x:row r="4417">
      <x:c r="A4417" s="87" t="n">
        <x:v>4416</x:v>
      </x:c>
      <x:c r="B4417" s="87" t="str">
        <x:v>DEC-INF-02-008</x:v>
      </x:c>
      <x:c r="C4417" s="87" t="str">
        <x:v>СтатГрад</x:v>
      </x:c>
      <x:c r="D4417" s="87" t="str">
        <x:v>Декабрь 2025</x:v>
      </x:c>
      <x:c r="E4417" s="87"/>
      <x:c r="F4417" s="87"/>
      <x:c r="G4417" s="87" t="str">
        <x:v>Информатика</x:v>
      </x:c>
      <x:c r="H4417" s="87" t="n">
        <x:v>11</x:v>
      </x:c>
      <x:c r="I4417" s="87" t="str">
        <x:v>ТР №2</x:v>
      </x:c>
      <x:c r="J4417" s="87" t="str">
        <x:v>ИН2510202</x:v>
      </x:c>
      <x:c r="K4417" s="87" t="n">
        <x:v>8</x:v>
      </x:c>
      <x:c r="L4417" s="87" t="str">
        <x:v>Комбинаторика</x:v>
      </x:c>
      <x:c r="M4417" s="30" t="str">
        <x:v>Определите количество 14-ричных шестизначных чисел, в записи которых
     содержится не менее одной цифры 4 и ровно две цифры с числовым
     значением, превышающим 10, причём стоящие рядом.
            Задание выполняется с использованием прилагаемых файлов.</x:v>
      </x:c>
      <x:c r="N4417" s="30" t="str">
        <x:v>196929</x:v>
      </x:c>
      <x:c r="O4417" s="30" t="str">
        <x:v>Перебор всех шестизначных записей с проверкой условий.</x:v>
      </x:c>
      <x:c r="P4417" s="30" t="str">
        <x:v>Задание независимо пересчитано программно или аналитически; результат совпал с официальным ключом.</x:v>
      </x:c>
      <x:c r="Q4417" s="30"/>
      <x:c r="R4417" s="30" t="str">
        <x:v>196929</x:v>
      </x:c>
      <x:c r="S4417" s="30"/>
      <x:c r="T4417" s="30" t="str">
        <x:v>image_2025-12-17_11-53-34.png</x:v>
      </x:c>
      <x:c r="U4417" s="30" t="str">
        <x:v>Расхождений нет.</x:v>
      </x:c>
      <x:c r="V4417" s="87" t="str">
        <x:v>VERIFIED</x:v>
      </x:c>
      <x:c r="W4417" s="87" t="n">
        <x:v>24</x:v>
      </x:c>
      <x:c r="X4417" s="87"/>
      <x:c r="Y4417" s="87"/>
      <x:c r="Z4417" s="87"/>
      <x:c r="AA4417" s="87"/>
      <x:c r="AB4417" s="87"/>
      <x:c r="AC4417" s="87" t="str">
        <x:v>VIS-INF-DEC-TASK-202-P007</x:v>
      </x:c>
      <x:c r="AD4417" s="87"/>
      <x:c r="AE4417" s="87" t="str">
        <x:v>TASK</x:v>
      </x:c>
      <x:c r="AF4417" s="87"/>
      <x:c r="AG4417" s="87" t="str">
        <x:v>RESOLVED / HASH_ONLY_QA</x:v>
      </x:c>
      <x:c r="AH4417" s="87" t="str">
        <x:v>ASSET_HASH_VERIFIED_QA_UNSPECIFIED</x:v>
      </x:c>
      <x:c r="AI4417" s="30"/>
      <x:c r="AJ4417" s="87" t="str">
        <x:v>clean</x:v>
      </x:c>
      <x:c r="AK4417" s="87" t="str">
        <x:v>clean-v0.06</x:v>
      </x:c>
      <x:c r="AL4417" s="87" t="str">
        <x:v>statgrad_clean_continuation_v0_06(1).xlsx</x:v>
      </x:c>
      <x:c r="AM4417" s="87" t="str">
        <x:v>INF_Dec_V2</x:v>
      </x:c>
      <x:c r="AN4417" s="87" t="n">
        <x:v>9</x:v>
      </x:c>
    </x:row>
    <x:row r="4418">
      <x:c r="A4418" s="87" t="n">
        <x:v>4417</x:v>
      </x:c>
      <x:c r="B4418" s="87" t="str">
        <x:v>DEC-INF-02-009</x:v>
      </x:c>
      <x:c r="C4418" s="87" t="str">
        <x:v>СтатГрад</x:v>
      </x:c>
      <x:c r="D4418" s="87" t="str">
        <x:v>Декабрь 2025</x:v>
      </x:c>
      <x:c r="E4418" s="87"/>
      <x:c r="F4418" s="87"/>
      <x:c r="G4418" s="87" t="str">
        <x:v>Информатика</x:v>
      </x:c>
      <x:c r="H4418" s="87" t="n">
        <x:v>11</x:v>
      </x:c>
      <x:c r="I4418" s="87" t="str">
        <x:v>ТР №2</x:v>
      </x:c>
      <x:c r="J4418" s="87" t="str">
        <x:v>ИН2510202</x:v>
      </x:c>
      <x:c r="K4418" s="87" t="n">
        <x:v>9</x:v>
      </x:c>
      <x:c r="L4418" s="87" t="str">
        <x:v>Обработка электронной таблицы</x:v>
      </x:c>
      <x:c r="M4418" s="30" t="str">
        <x:v>Откройте файл электронной таблицы, содержащей в каждой строке шесть
     натуральных чисел. Определите сумму чисел в строке таблицы с наименьшим
     номером, содержащей числа, для которых выполнены оба условия:
     – в строке все числа расположены в порядке возрастания;
     – количество чётных и нечётных чисел в строке одинаково.
     В ответе запишите только одно число.
            Задание выполняется с использованием прилагаемых файлов.</x:v>
      </x:c>
      <x:c r="N4418" s="30" t="str">
        <x:v>1119</x:v>
      </x:c>
      <x:c r="O4418" s="30" t="str">
        <x:v>Первая подходящая строка №552.</x:v>
      </x:c>
      <x:c r="P4418" s="30" t="str">
        <x:v>Задание независимо пересчитано программно или аналитически; результат совпал с официальным ключом.</x:v>
      </x:c>
      <x:c r="Q4418" s="30"/>
      <x:c r="R4418" s="30" t="str">
        <x:v>1119</x:v>
      </x:c>
      <x:c r="S4418" s="30"/>
      <x:c r="T4418" s="30" t="str">
        <x:v>image_2025-12-17_11-53-34.png</x:v>
      </x:c>
      <x:c r="U4418" s="30" t="str">
        <x:v>Расхождений нет.</x:v>
      </x:c>
      <x:c r="V4418" s="87" t="str">
        <x:v>VERIFIED</x:v>
      </x:c>
      <x:c r="W4418" s="87" t="n">
        <x:v>24</x:v>
      </x:c>
      <x:c r="X4418" s="87"/>
      <x:c r="Y4418" s="87"/>
      <x:c r="Z4418" s="87"/>
      <x:c r="AA4418" s="87"/>
      <x:c r="AB4418" s="87"/>
      <x:c r="AC4418" s="87" t="str">
        <x:v>VIS-INF-DEC-TASK-202-P007</x:v>
      </x:c>
      <x:c r="AD4418" s="87"/>
      <x:c r="AE4418" s="87" t="str">
        <x:v>TASK</x:v>
      </x:c>
      <x:c r="AF4418" s="87"/>
      <x:c r="AG4418" s="87" t="str">
        <x:v>RESOLVED / HASH_ONLY_QA</x:v>
      </x:c>
      <x:c r="AH4418" s="87" t="str">
        <x:v>ASSET_HASH_VERIFIED_QA_UNSPECIFIED</x:v>
      </x:c>
      <x:c r="AI4418" s="30"/>
      <x:c r="AJ4418" s="87" t="str">
        <x:v>clean</x:v>
      </x:c>
      <x:c r="AK4418" s="87" t="str">
        <x:v>clean-v0.06</x:v>
      </x:c>
      <x:c r="AL4418" s="87" t="str">
        <x:v>statgrad_clean_continuation_v0_06(1).xlsx</x:v>
      </x:c>
      <x:c r="AM4418" s="87" t="str">
        <x:v>INF_Dec_V2</x:v>
      </x:c>
      <x:c r="AN4418" s="87" t="n">
        <x:v>10</x:v>
      </x:c>
    </x:row>
    <x:row r="4419">
      <x:c r="A4419" s="87" t="n">
        <x:v>4418</x:v>
      </x:c>
      <x:c r="B4419" s="87" t="str">
        <x:v>DEC-INF-02-010</x:v>
      </x:c>
      <x:c r="C4419" s="87" t="str">
        <x:v>СтатГрад</x:v>
      </x:c>
      <x:c r="D4419" s="87" t="str">
        <x:v>Декабрь 2025</x:v>
      </x:c>
      <x:c r="E4419" s="87"/>
      <x:c r="F4419" s="87"/>
      <x:c r="G4419" s="87" t="str">
        <x:v>Информатика</x:v>
      </x:c>
      <x:c r="H4419" s="87" t="n">
        <x:v>11</x:v>
      </x:c>
      <x:c r="I4419" s="87" t="str">
        <x:v>ТР №2</x:v>
      </x:c>
      <x:c r="J4419" s="87" t="str">
        <x:v>ИН2510202</x:v>
      </x:c>
      <x:c r="K4419" s="87" t="n">
        <x:v>10</x:v>
      </x:c>
      <x:c r="L4419" s="87" t="str">
        <x:v>Текстовый поиск</x:v>
      </x:c>
      <x:c r="M4419" s="30" t="str">
        <x:v>C помощью текстового редактора определите, сколько раз встречается слово
     «их» или «Их» в тексте последних двух глав романа И.С. Тургенева «Отцы
     и дети». Другие формы этого слова учитывать не следует.
     В ответе укажите только число.</x:v>
      </x:c>
      <x:c r="N4419" s="30" t="str">
        <x:v>10</x:v>
      </x:c>
      <x:c r="O4419" s="30" t="str">
        <x:v>Подсчёт отдельного слова «их» в главах XXVII–XXVIII.</x:v>
      </x:c>
      <x:c r="P4419" s="30" t="str">
        <x:v>Задание независимо пересчитано программно или аналитически; результат совпал с официальным ключом.</x:v>
      </x:c>
      <x:c r="Q4419" s="30"/>
      <x:c r="R4419" s="30" t="str">
        <x:v>10</x:v>
      </x:c>
      <x:c r="S4419" s="30"/>
      <x:c r="T4419" s="30" t="str">
        <x:v>image_2025-12-17_11-53-34.png</x:v>
      </x:c>
      <x:c r="U4419" s="30" t="str">
        <x:v>Расхождений нет.</x:v>
      </x:c>
      <x:c r="V4419" s="87" t="str">
        <x:v>VERIFIED</x:v>
      </x:c>
      <x:c r="W4419" s="87" t="n">
        <x:v>24</x:v>
      </x:c>
      <x:c r="X4419" s="87"/>
      <x:c r="Y4419" s="87"/>
      <x:c r="Z4419" s="87"/>
      <x:c r="AA4419" s="87"/>
      <x:c r="AB4419" s="87"/>
      <x:c r="AC4419" s="87" t="str">
        <x:v>VIS-INF-DEC-TASK-202-P007</x:v>
      </x:c>
      <x:c r="AD4419" s="87"/>
      <x:c r="AE4419" s="87" t="str">
        <x:v>TASK</x:v>
      </x:c>
      <x:c r="AF4419" s="87"/>
      <x:c r="AG4419" s="87" t="str">
        <x:v>RESOLVED / HASH_ONLY_QA</x:v>
      </x:c>
      <x:c r="AH4419" s="87" t="str">
        <x:v>ASSET_HASH_VERIFIED_QA_UNSPECIFIED</x:v>
      </x:c>
      <x:c r="AI4419" s="30"/>
      <x:c r="AJ4419" s="87" t="str">
        <x:v>clean</x:v>
      </x:c>
      <x:c r="AK4419" s="87" t="str">
        <x:v>clean-v0.06</x:v>
      </x:c>
      <x:c r="AL4419" s="87" t="str">
        <x:v>statgrad_clean_continuation_v0_06(1).xlsx</x:v>
      </x:c>
      <x:c r="AM4419" s="87" t="str">
        <x:v>INF_Dec_V2</x:v>
      </x:c>
      <x:c r="AN4419" s="87" t="n">
        <x:v>11</x:v>
      </x:c>
    </x:row>
    <x:row r="4420">
      <x:c r="A4420" s="87" t="n">
        <x:v>4419</x:v>
      </x:c>
      <x:c r="B4420" s="87" t="str">
        <x:v>DEC-INF-02-011</x:v>
      </x:c>
      <x:c r="C4420" s="87" t="str">
        <x:v>СтатГрад</x:v>
      </x:c>
      <x:c r="D4420" s="87" t="str">
        <x:v>Декабрь 2025</x:v>
      </x:c>
      <x:c r="E4420" s="87"/>
      <x:c r="F4420" s="87"/>
      <x:c r="G4420" s="87" t="str">
        <x:v>Информатика</x:v>
      </x:c>
      <x:c r="H4420" s="87" t="n">
        <x:v>11</x:v>
      </x:c>
      <x:c r="I4420" s="87" t="str">
        <x:v>ТР №2</x:v>
      </x:c>
      <x:c r="J4420" s="87" t="str">
        <x:v>ИН2510202</x:v>
      </x:c>
      <x:c r="K4420" s="87" t="n">
        <x:v>11</x:v>
      </x:c>
      <x:c r="L4420" s="87" t="str">
        <x:v>Кодирование паролей</x:v>
      </x:c>
      <x:c r="M4420" s="30" t="str">
        <x:v>При регистрации в компьютерной системе каждому пользователю выдаётся
     пароль, состоящий из 20 символов. В качестве символов используют прописные
     и строчные буквы латинского алфавита, а также десятичные цифры и символы
     из 30-символьного специального алфавита. В базе данных для хранения
     сведений о каждом пользователе отведено одинаковое и минимально
     возможное целое число байт. При этом используют посимвольное кодирование
     паролей, все символы кодируют одинаковым и минимально возможным
     количеством бит. Кроме собственно пароля, для каждого пользователя
     в системе хранятся дополнительные сведения, для чего выделено 45 байт на
     одного пользователя. В компьютерной системе выделено 3 Мбайта для
     хранения сведений о пользователях. О каком наибольшем количестве
     пользователей может быть сохранена информация в системе? В ответе
     запишите только целое число – количество пользователей.
     Примечание: в латинском алфавите 26 букв.
                                    согласия СтатГрад запрещена</x:v>
      </x:c>
      <x:c r="N4420" s="30" t="str">
        <x:v>49932</x:v>
      </x:c>
      <x:c r="O4420" s="30" t="str">
        <x:v>Минимальное число бит на символ, округление длины пароля до целых байт, затем целочисленное деление доступной памяти.</x:v>
      </x:c>
      <x:c r="P4420" s="30" t="str">
        <x:v>Задание независимо пересчитано программно или аналитически; результат совпал с официальным ключом.</x:v>
      </x:c>
      <x:c r="Q4420" s="30"/>
      <x:c r="R4420" s="30" t="str">
        <x:v>49932</x:v>
      </x:c>
      <x:c r="S4420" s="30"/>
      <x:c r="T4420" s="30" t="str">
        <x:v>image_2025-12-17_11-53-34.png</x:v>
      </x:c>
      <x:c r="U4420" s="30" t="str">
        <x:v>Расхождений нет.</x:v>
      </x:c>
      <x:c r="V4420" s="87" t="str">
        <x:v>VERIFIED</x:v>
      </x:c>
      <x:c r="W4420" s="87" t="n">
        <x:v>24</x:v>
      </x:c>
      <x:c r="X4420" s="87"/>
      <x:c r="Y4420" s="87"/>
      <x:c r="Z4420" s="87"/>
      <x:c r="AA4420" s="87"/>
      <x:c r="AB4420" s="87"/>
      <x:c r="AC4420" s="87" t="str">
        <x:v>VIS-INF-DEC-TASK-202-P007</x:v>
      </x:c>
      <x:c r="AD4420" s="87"/>
      <x:c r="AE4420" s="87" t="str">
        <x:v>TASK</x:v>
      </x:c>
      <x:c r="AF4420" s="87"/>
      <x:c r="AG4420" s="87" t="str">
        <x:v>RESOLVED / HASH_ONLY_QA</x:v>
      </x:c>
      <x:c r="AH4420" s="87" t="str">
        <x:v>ASSET_HASH_VERIFIED_QA_UNSPECIFIED</x:v>
      </x:c>
      <x:c r="AI4420" s="30"/>
      <x:c r="AJ4420" s="87" t="str">
        <x:v>clean</x:v>
      </x:c>
      <x:c r="AK4420" s="87" t="str">
        <x:v>clean-v0.06</x:v>
      </x:c>
      <x:c r="AL4420" s="87" t="str">
        <x:v>statgrad_clean_continuation_v0_06(1).xlsx</x:v>
      </x:c>
      <x:c r="AM4420" s="87" t="str">
        <x:v>INF_Dec_V2</x:v>
      </x:c>
      <x:c r="AN4420" s="87" t="n">
        <x:v>12</x:v>
      </x:c>
    </x:row>
    <x:row r="4421">
      <x:c r="A4421" s="87" t="n">
        <x:v>4420</x:v>
      </x:c>
      <x:c r="B4421" s="87" t="str">
        <x:v>DEC-INF-02-012</x:v>
      </x:c>
      <x:c r="C4421" s="87" t="str">
        <x:v>СтатГрад</x:v>
      </x:c>
      <x:c r="D4421" s="87" t="str">
        <x:v>Декабрь 2025</x:v>
      </x:c>
      <x:c r="E4421" s="87"/>
      <x:c r="F4421" s="87"/>
      <x:c r="G4421" s="87" t="str">
        <x:v>Информатика</x:v>
      </x:c>
      <x:c r="H4421" s="87" t="n">
        <x:v>11</x:v>
      </x:c>
      <x:c r="I4421" s="87" t="str">
        <x:v>ТР №2</x:v>
      </x:c>
      <x:c r="J4421" s="87" t="str">
        <x:v>ИН2510202</x:v>
      </x:c>
      <x:c r="K4421" s="87" t="n">
        <x:v>12</x:v>
      </x:c>
      <x:c r="L4421" s="87" t="str">
        <x:v>Машина Тьюринга</x:v>
      </x:c>
      <x:c r="M4421" s="30" t="str">
        <x:v>Исполнитель МТ представляет собой читающую и записывающую головку,
     которая может передвигаться вдоль бесконечной горизонтальной ленты,
     разделённой на равные ячейки. В каждой ячейке находится ровно один
     символ из алфавита исполнителя (множество символов A = {a 0 , a 1 ,…, a n–1 }),
     включая специальный пустой символ a0.
     Время работы исполнителя делится на дискретные такты (шаги). На каждом
     такте головка МТ находится в одном из множества допустимых состояний
     Q = {q 0 ,q 1 ,…,q m–1 }. В начальный момент времени головка находится
     в начальном состоянии q 0 .
     На каждом такте головка обозревает одну ячейку ленты, называемую текущей
     ячейкой. За один такт головка исполнителя может заменить символ в текущей
     ячейке (или оставить символ неизменным) и переместиться в ячейку справа или
     слева от текущей (или остаться в той же ячейке). После каждого такта головка
     переходит в новое состояние или остаётся в прежнем состоянии.
     Программа работы исполнителя МТ задаётся в табличном виде.
                                     a0      a1          ...     an–1
                             q 0 команда команда         ...   команда
                             q 1 команда команда         ...   команда
                             ...     ...     ...         ...
                            q m–1 команда команда        ...   команда
     В первой строке перечислены все возможные символы в текущей ячейке
     ленты, в первом столбце – возможные состояния головки. На пересечении i-й
     строки и j-го столбца находится команда, которую выполняет МТ, когда
     головка обозревает j-й символ, находясь в i-м состоянии. Если пара «символ
     – состояние» невозможна, то клетка для команды остаётся пустой.
     Каждая команда состоит из трёх элементов, разделённых запятыми: первый
     элемент – записываемый в текущую ячейку символ алфавита (может
     совпадать с тем, который там уже записан). Второй элемент – один
     из четырёх символов «L», «R», «N», «S». Символы «L» и «R» означают сдвиг
     в левую или правую ячейки соответственно, «N» – отсутствие сдвига, «S» –
     завершение работы исполнителя МТ после выполнения текущей команды.
     Сдвиг происходит после записи символа в текущую ячейку. Третий
     элемент – новое состояние головки после выполнения команды.
     Например, команда 0, L, q 3 выполняется следующим образом: в текущую
     ячейку записывается символ «0», затем головка сдвигается в соседнюю слева
     ячейку и переходит в состояние q 3 .
     Выполните задание
     На ленте исполнителя МТ в соседних ячейках записана последовательность
     из 999 символов, которая может включать только четвёрки, шестёрки
     и восьмёрки, расположенные в произвольном порядке. Ячейки справа и слева
                                    согласия СтатГрад запрещена
     от последовательности заполнены пустыми символами «λ». В начальный
     момент времени головка расположена в ближайшей ячейке справа от
     последовательности. Программа для исполнителя:
                             λ         4         6         8          0     1
                     q0   λ, L, q 1
                     q1   λ, S, q 1 0, L, q 1 0, L, q 1 1, L, q 1
     Известно, что после выполнения программы получилась строка, в которой
     все соседние символы различны. Определите минимальное возможное
     значение суммы цифр в исходной строке.</x:v>
      </x:c>
      <x:c r="N4421" s="30" t="str">
        <x:v>5992</x:v>
      </x:c>
      <x:c r="O4421" s="30" t="str">
        <x:v>Результат должен быть чередующейся двоичной строкой; для каждого бита выбран минимальный исходный символ.</x:v>
      </x:c>
      <x:c r="P4421" s="30" t="str">
        <x:v>Задание независимо пересчитано программно или аналитически; результат совпал с официальным ключом.</x:v>
      </x:c>
      <x:c r="Q4421" s="30"/>
      <x:c r="R4421" s="30" t="str">
        <x:v>5992</x:v>
      </x:c>
      <x:c r="S4421" s="30"/>
      <x:c r="T4421" s="30" t="str">
        <x:v>image_2025-12-17_11-53-34.png</x:v>
      </x:c>
      <x:c r="U4421" s="30" t="str">
        <x:v>Расхождений нет.</x:v>
      </x:c>
      <x:c r="V4421" s="87" t="str">
        <x:v>VERIFIED</x:v>
      </x:c>
      <x:c r="W4421" s="87" t="n">
        <x:v>25</x:v>
      </x:c>
      <x:c r="X4421" s="87"/>
      <x:c r="Y4421" s="87"/>
      <x:c r="Z4421" s="87"/>
      <x:c r="AA4421" s="87"/>
      <x:c r="AB4421" s="87"/>
      <x:c r="AC4421" s="87" t="str">
        <x:v>VIS-INF-DEC-TASK-202-P008</x:v>
      </x:c>
      <x:c r="AD4421" s="87"/>
      <x:c r="AE4421" s="87" t="str">
        <x:v>TASK</x:v>
      </x:c>
      <x:c r="AF4421" s="87"/>
      <x:c r="AG4421" s="87" t="str">
        <x:v>RESOLVED / HASH_ONLY_QA</x:v>
      </x:c>
      <x:c r="AH4421" s="87" t="str">
        <x:v>ASSET_HASH_VERIFIED_QA_UNSPECIFIED</x:v>
      </x:c>
      <x:c r="AI4421" s="30"/>
      <x:c r="AJ4421" s="87" t="str">
        <x:v>clean</x:v>
      </x:c>
      <x:c r="AK4421" s="87" t="str">
        <x:v>clean-v0.06</x:v>
      </x:c>
      <x:c r="AL4421" s="87" t="str">
        <x:v>statgrad_clean_continuation_v0_06(1).xlsx</x:v>
      </x:c>
      <x:c r="AM4421" s="87" t="str">
        <x:v>INF_Dec_V2</x:v>
      </x:c>
      <x:c r="AN4421" s="87" t="n">
        <x:v>13</x:v>
      </x:c>
    </x:row>
    <x:row r="4422">
      <x:c r="A4422" s="87" t="n">
        <x:v>4421</x:v>
      </x:c>
      <x:c r="B4422" s="87" t="str">
        <x:v>DEC-INF-02-013</x:v>
      </x:c>
      <x:c r="C4422" s="87" t="str">
        <x:v>СтатГрад</x:v>
      </x:c>
      <x:c r="D4422" s="87" t="str">
        <x:v>Декабрь 2025</x:v>
      </x:c>
      <x:c r="E4422" s="87"/>
      <x:c r="F4422" s="87"/>
      <x:c r="G4422" s="87" t="str">
        <x:v>Информатика</x:v>
      </x:c>
      <x:c r="H4422" s="87" t="n">
        <x:v>11</x:v>
      </x:c>
      <x:c r="I4422" s="87" t="str">
        <x:v>ТР №2</x:v>
      </x:c>
      <x:c r="J4422" s="87" t="str">
        <x:v>ИН2510202</x:v>
      </x:c>
      <x:c r="K4422" s="87" t="n">
        <x:v>13</x:v>
      </x:c>
      <x:c r="L4422" s="87" t="str">
        <x:v>IP-сеть</x:v>
      </x:c>
      <x:c r="M4422" s="30" t="str">
        <x:v>В терминологии сетей TCP/IP маской сети называют двоичное число,
     которое показывает, какая часть IP-адреса узла сети относится к адресу сети,
     а какая – к адресу узла в этой сети. Адрес сети получается в результате
     применения поразрядной конъюнкции к заданному адресу узла и его маске.
     Широковещательным адресом называется специализированный адрес,
     в котором на месте нулей в маске стоят единицы. Адрес сети
     и широковещательный адрес не могут быть использованы для адресации
     сетевых устройств.
     Сеть задана IP-адресом одного из входящих в неё узлов 212.184.197.210
     и сетевой маской 255.255.224.0.
     Найдите наименьший в данной сети IP-адрес, содержащий в своей двоичной
     записи кратное 5 количество единиц, который может быть назначен
     компьютеру. В ответе укажите найденный IP-адрес без разделителей.
     Например, если бы найденный адрес был равен 111.22.3.44, то в ответе
     следовало бы записать 11122344.</x:v>
      </x:c>
      <x:c r="N4422" s="30" t="str">
        <x:v>21218419231</x:v>
      </x:c>
      <x:c r="O4422" s="30" t="str">
        <x:v>Перебор допустимых адресов сети по возрастанию и подсчёт единиц в 32-битной записи.</x:v>
      </x:c>
      <x:c r="P4422" s="30" t="str">
        <x:v>Задание независимо пересчитано программно или аналитически; результат совпал с официальным ключом.</x:v>
      </x:c>
      <x:c r="Q4422" s="30"/>
      <x:c r="R4422" s="30" t="str">
        <x:v>21218419231</x:v>
      </x:c>
      <x:c r="S4422" s="30"/>
      <x:c r="T4422" s="30" t="str">
        <x:v>image_2025-12-17_11-53-34.png</x:v>
      </x:c>
      <x:c r="U4422" s="30" t="str">
        <x:v>Расхождений нет.</x:v>
      </x:c>
      <x:c r="V4422" s="87" t="str">
        <x:v>VERIFIED</x:v>
      </x:c>
      <x:c r="W4422" s="87" t="n">
        <x:v>26</x:v>
      </x:c>
      <x:c r="X4422" s="87"/>
      <x:c r="Y4422" s="87"/>
      <x:c r="Z4422" s="87"/>
      <x:c r="AA4422" s="87"/>
      <x:c r="AB4422" s="87"/>
      <x:c r="AC4422" s="87" t="str">
        <x:v>VIS-INF-DEC-TASK-202-P009</x:v>
      </x:c>
      <x:c r="AD4422" s="87"/>
      <x:c r="AE4422" s="87" t="str">
        <x:v>TASK</x:v>
      </x:c>
      <x:c r="AF4422" s="87"/>
      <x:c r="AG4422" s="87" t="str">
        <x:v>RESOLVED / HASH_ONLY_QA</x:v>
      </x:c>
      <x:c r="AH4422" s="87" t="str">
        <x:v>ASSET_HASH_VERIFIED_QA_UNSPECIFIED</x:v>
      </x:c>
      <x:c r="AI4422" s="30"/>
      <x:c r="AJ4422" s="87" t="str">
        <x:v>clean</x:v>
      </x:c>
      <x:c r="AK4422" s="87" t="str">
        <x:v>clean-v0.06</x:v>
      </x:c>
      <x:c r="AL4422" s="87" t="str">
        <x:v>statgrad_clean_continuation_v0_06(1).xlsx</x:v>
      </x:c>
      <x:c r="AM4422" s="87" t="str">
        <x:v>INF_Dec_V2</x:v>
      </x:c>
      <x:c r="AN4422" s="87" t="n">
        <x:v>14</x:v>
      </x:c>
    </x:row>
    <x:row r="4423">
      <x:c r="A4423" s="87" t="n">
        <x:v>4422</x:v>
      </x:c>
      <x:c r="B4423" s="87" t="str">
        <x:v>DEC-INF-02-014</x:v>
      </x:c>
      <x:c r="C4423" s="87" t="str">
        <x:v>СтатГрад</x:v>
      </x:c>
      <x:c r="D4423" s="87" t="str">
        <x:v>Декабрь 2025</x:v>
      </x:c>
      <x:c r="E4423" s="87"/>
      <x:c r="F4423" s="87"/>
      <x:c r="G4423" s="87" t="str">
        <x:v>Информатика</x:v>
      </x:c>
      <x:c r="H4423" s="87" t="n">
        <x:v>11</x:v>
      </x:c>
      <x:c r="I4423" s="87" t="str">
        <x:v>ТР №2</x:v>
      </x:c>
      <x:c r="J4423" s="87" t="str">
        <x:v>ИН2510202</x:v>
      </x:c>
      <x:c r="K4423" s="87" t="n">
        <x:v>14</x:v>
      </x:c>
      <x:c r="L4423" s="87" t="str">
        <x:v>Системы счисления</x:v>
      </x:c>
      <x:c r="M4423" s="30" t="str">
        <x:v>Операнды арифметического выражения записаны в системе счисления
     с основанием 19.
                                       CDx34 19 + 7Fx2E 19
     В записи чисел переменной x обозначена неизвестная цифра из алфавита
     19-ричной системы счисления. Определите наибольшее значение x, при
     котором значение данного арифметического выражения кратно 18. Для
     найденного x вычислите частное от деления значения арифметического
     выражения на 9 и укажите его в ответе в десятичной системе счисления.
     Основание системы счисления указывать не нужно.
                                    согласия СтатГрад запрещена</x:v>
      </x:c>
      <x:c r="N4423" s="30" t="str">
        <x:v>297276</x:v>
      </x:c>
      <x:c r="O4423" s="30" t="str">
        <x:v>Наибольшая допустимая цифра x=10.</x:v>
      </x:c>
      <x:c r="P4423" s="30" t="str">
        <x:v>Задание независимо пересчитано программно или аналитически; результат совпал с официальным ключом.</x:v>
      </x:c>
      <x:c r="Q4423" s="30"/>
      <x:c r="R4423" s="30" t="str">
        <x:v>297276</x:v>
      </x:c>
      <x:c r="S4423" s="30"/>
      <x:c r="T4423" s="30" t="str">
        <x:v>image_2025-12-17_11-53-34.png</x:v>
      </x:c>
      <x:c r="U4423" s="30" t="str">
        <x:v>Расхождений нет.</x:v>
      </x:c>
      <x:c r="V4423" s="87" t="str">
        <x:v>VERIFIED</x:v>
      </x:c>
      <x:c r="W4423" s="87" t="n">
        <x:v>26</x:v>
      </x:c>
      <x:c r="X4423" s="87"/>
      <x:c r="Y4423" s="87"/>
      <x:c r="Z4423" s="87"/>
      <x:c r="AA4423" s="87"/>
      <x:c r="AB4423" s="87"/>
      <x:c r="AC4423" s="87" t="str">
        <x:v>VIS-INF-DEC-TASK-202-P009</x:v>
      </x:c>
      <x:c r="AD4423" s="87"/>
      <x:c r="AE4423" s="87" t="str">
        <x:v>TASK</x:v>
      </x:c>
      <x:c r="AF4423" s="87"/>
      <x:c r="AG4423" s="87" t="str">
        <x:v>RESOLVED / HASH_ONLY_QA</x:v>
      </x:c>
      <x:c r="AH4423" s="87" t="str">
        <x:v>ASSET_HASH_VERIFIED_QA_UNSPECIFIED</x:v>
      </x:c>
      <x:c r="AI4423" s="30"/>
      <x:c r="AJ4423" s="87" t="str">
        <x:v>clean</x:v>
      </x:c>
      <x:c r="AK4423" s="87" t="str">
        <x:v>clean-v0.06</x:v>
      </x:c>
      <x:c r="AL4423" s="87" t="str">
        <x:v>statgrad_clean_continuation_v0_06(1).xlsx</x:v>
      </x:c>
      <x:c r="AM4423" s="87" t="str">
        <x:v>INF_Dec_V2</x:v>
      </x:c>
      <x:c r="AN4423" s="87" t="n">
        <x:v>15</x:v>
      </x:c>
    </x:row>
    <x:row r="4424">
      <x:c r="A4424" s="87" t="n">
        <x:v>4423</x:v>
      </x:c>
      <x:c r="B4424" s="87" t="str">
        <x:v>DEC-INF-02-015</x:v>
      </x:c>
      <x:c r="C4424" s="87" t="str">
        <x:v>СтатГрад</x:v>
      </x:c>
      <x:c r="D4424" s="87" t="str">
        <x:v>Декабрь 2025</x:v>
      </x:c>
      <x:c r="E4424" s="87"/>
      <x:c r="F4424" s="87"/>
      <x:c r="G4424" s="87" t="str">
        <x:v>Информатика</x:v>
      </x:c>
      <x:c r="H4424" s="87" t="n">
        <x:v>11</x:v>
      </x:c>
      <x:c r="I4424" s="87" t="str">
        <x:v>ТР №2</x:v>
      </x:c>
      <x:c r="J4424" s="87" t="str">
        <x:v>ИН2510202</x:v>
      </x:c>
      <x:c r="K4424" s="87" t="n">
        <x:v>15</x:v>
      </x:c>
      <x:c r="L4424" s="87" t="str">
        <x:v>Логика и отрезки</x:v>
      </x:c>
      <x:c r="M4424" s="30" t="str">
        <x:v>На числовой прямой даны два отрезка: M = [257; 382] и N = [361; 513].
     Укажите наименьшую возможную длину такого отрезка A, что логическое
     выражение
                              ¬(x∈A) → ((x∈M) ≡ (x∈N))
     истинно (т.е. принимает значение 1) при любом значении переменной х.</x:v>
      </x:c>
      <x:c r="N4424" s="30" t="str">
        <x:v>256</x:v>
      </x:c>
      <x:c r="O4424" s="30" t="str">
        <x:v>A должен покрывать симметрическую разность двух отрезков; минимальный единый отрезок соединяет её крайние точки.</x:v>
      </x:c>
      <x:c r="P4424" s="30" t="str">
        <x:v>Задание независимо пересчитано программно или аналитически; результат совпал с официальным ключом.</x:v>
      </x:c>
      <x:c r="Q4424" s="30"/>
      <x:c r="R4424" s="30" t="str">
        <x:v>256</x:v>
      </x:c>
      <x:c r="S4424" s="30"/>
      <x:c r="T4424" s="30" t="str">
        <x:v>image_2025-12-17_11-53-34.png</x:v>
      </x:c>
      <x:c r="U4424" s="30" t="str">
        <x:v>Расхождений нет.</x:v>
      </x:c>
      <x:c r="V4424" s="87" t="str">
        <x:v>VERIFIED</x:v>
      </x:c>
      <x:c r="W4424" s="87" t="n">
        <x:v>27</x:v>
      </x:c>
      <x:c r="X4424" s="87"/>
      <x:c r="Y4424" s="87"/>
      <x:c r="Z4424" s="87"/>
      <x:c r="AA4424" s="87"/>
      <x:c r="AB4424" s="87"/>
      <x:c r="AC4424" s="87" t="str">
        <x:v>VIS-INF-DEC-TASK-202-P010</x:v>
      </x:c>
      <x:c r="AD4424" s="87"/>
      <x:c r="AE4424" s="87" t="str">
        <x:v>TASK</x:v>
      </x:c>
      <x:c r="AF4424" s="87"/>
      <x:c r="AG4424" s="87" t="str">
        <x:v>RESOLVED / HASH_ONLY_QA</x:v>
      </x:c>
      <x:c r="AH4424" s="87" t="str">
        <x:v>ASSET_HASH_VERIFIED_QA_UNSPECIFIED</x:v>
      </x:c>
      <x:c r="AI4424" s="30"/>
      <x:c r="AJ4424" s="87" t="str">
        <x:v>clean</x:v>
      </x:c>
      <x:c r="AK4424" s="87" t="str">
        <x:v>clean-v0.06</x:v>
      </x:c>
      <x:c r="AL4424" s="87" t="str">
        <x:v>statgrad_clean_continuation_v0_06(1).xlsx</x:v>
      </x:c>
      <x:c r="AM4424" s="87" t="str">
        <x:v>INF_Dec_V2</x:v>
      </x:c>
      <x:c r="AN4424" s="87" t="n">
        <x:v>16</x:v>
      </x:c>
    </x:row>
    <x:row r="4425">
      <x:c r="A4425" s="87" t="n">
        <x:v>4424</x:v>
      </x:c>
      <x:c r="B4425" s="87" t="str">
        <x:v>DEC-INF-02-016</x:v>
      </x:c>
      <x:c r="C4425" s="87" t="str">
        <x:v>СтатГрад</x:v>
      </x:c>
      <x:c r="D4425" s="87" t="str">
        <x:v>Декабрь 2025</x:v>
      </x:c>
      <x:c r="E4425" s="87"/>
      <x:c r="F4425" s="87"/>
      <x:c r="G4425" s="87" t="str">
        <x:v>Информатика</x:v>
      </x:c>
      <x:c r="H4425" s="87" t="n">
        <x:v>11</x:v>
      </x:c>
      <x:c r="I4425" s="87" t="str">
        <x:v>ТР №2</x:v>
      </x:c>
      <x:c r="J4425" s="87" t="str">
        <x:v>ИН2510202</x:v>
      </x:c>
      <x:c r="K4425" s="87" t="n">
        <x:v>16</x:v>
      </x:c>
      <x:c r="L4425" s="87" t="str">
        <x:v>Рекурсивная функция</x:v>
      </x:c>
      <x:c r="M4425" s="30" t="str">
        <x:v>Функция F(n), где n – целое число, задаётся следующими соотношениями:
     F(n) = n, если n &lt; 4000;
     F(n) = n + F(n / 7), если n ≥ 4000 и кратно 7;
     F(n) = 567 + F(n − 3), если n ≥ 4000 и не кратно 7.
     Назовите минимальное значение n, для которого функция F(n) определена
     и F(n) &gt; 80000.
              Задание выполняется с использованием прилагаемых файлов.</x:v>
      </x:c>
      <x:c r="N4425" s="30" t="str">
        <x:v>62962</x:v>
      </x:c>
      <x:c r="O4425" s="30" t="str">
        <x:v>Мемоизированное вычисление рекурсии и поиск минимального n.</x:v>
      </x:c>
      <x:c r="P4425" s="30" t="str">
        <x:v>Задание независимо пересчитано программно или аналитически; результат совпал с официальным ключом.</x:v>
      </x:c>
      <x:c r="Q4425" s="30"/>
      <x:c r="R4425" s="30" t="str">
        <x:v>62962</x:v>
      </x:c>
      <x:c r="S4425" s="30"/>
      <x:c r="T4425" s="30" t="str">
        <x:v>image_2025-12-17_11-53-34.png</x:v>
      </x:c>
      <x:c r="U4425" s="30" t="str">
        <x:v>Расхождений нет.</x:v>
      </x:c>
      <x:c r="V4425" s="87" t="str">
        <x:v>VERIFIED</x:v>
      </x:c>
      <x:c r="W4425" s="87" t="n">
        <x:v>27</x:v>
      </x:c>
      <x:c r="X4425" s="87"/>
      <x:c r="Y4425" s="87"/>
      <x:c r="Z4425" s="87"/>
      <x:c r="AA4425" s="87"/>
      <x:c r="AB4425" s="87"/>
      <x:c r="AC4425" s="87" t="str">
        <x:v>VIS-INF-DEC-TASK-202-P010</x:v>
      </x:c>
      <x:c r="AD4425" s="87"/>
      <x:c r="AE4425" s="87" t="str">
        <x:v>TASK</x:v>
      </x:c>
      <x:c r="AF4425" s="87"/>
      <x:c r="AG4425" s="87" t="str">
        <x:v>RESOLVED / HASH_ONLY_QA</x:v>
      </x:c>
      <x:c r="AH4425" s="87" t="str">
        <x:v>ASSET_HASH_VERIFIED_QA_UNSPECIFIED</x:v>
      </x:c>
      <x:c r="AI4425" s="30"/>
      <x:c r="AJ4425" s="87" t="str">
        <x:v>clean</x:v>
      </x:c>
      <x:c r="AK4425" s="87" t="str">
        <x:v>clean-v0.06</x:v>
      </x:c>
      <x:c r="AL4425" s="87" t="str">
        <x:v>statgrad_clean_continuation_v0_06(1).xlsx</x:v>
      </x:c>
      <x:c r="AM4425" s="87" t="str">
        <x:v>INF_Dec_V2</x:v>
      </x:c>
      <x:c r="AN4425" s="87" t="n">
        <x:v>17</x:v>
      </x:c>
    </x:row>
    <x:row r="4426">
      <x:c r="A4426" s="87" t="n">
        <x:v>4425</x:v>
      </x:c>
      <x:c r="B4426" s="87" t="str">
        <x:v>DEC-INF-02-017</x:v>
      </x:c>
      <x:c r="C4426" s="87" t="str">
        <x:v>СтатГрад</x:v>
      </x:c>
      <x:c r="D4426" s="87" t="str">
        <x:v>Декабрь 2025</x:v>
      </x:c>
      <x:c r="E4426" s="87"/>
      <x:c r="F4426" s="87"/>
      <x:c r="G4426" s="87" t="str">
        <x:v>Информатика</x:v>
      </x:c>
      <x:c r="H4426" s="87" t="n">
        <x:v>11</x:v>
      </x:c>
      <x:c r="I4426" s="87" t="str">
        <x:v>ТР №2</x:v>
      </x:c>
      <x:c r="J4426" s="87" t="str">
        <x:v>ИН2510202</x:v>
      </x:c>
      <x:c r="K4426" s="87" t="n">
        <x:v>17</x:v>
      </x:c>
      <x:c r="L4426" s="87" t="str">
        <x:v>Обработка последовательности</x:v>
      </x:c>
      <x:c r="M4426" s="30" t="str">
        <x:v>В файле содержится последовательность целых чисел. Элементы
     последовательности могут принимать целые значения от –10 000 до 10 000
     включительно.
     Определите количество троек элементов последовательности, в которых
     не менее двух из трёх элементов являются четырёхзначными числами, а сумма
     элементов тройки не больше минимального четырёхзначного положительного
     элемента последовательности.
     В ответе запишите количество найденных троек чисел, затем максимальную из
     сумм элементов таких троек. В данной задаче под тройкой подразумеваются
     три идущих подряд элемента последовательности.
                                    согласия СтатГрад запрещена
              Задание выполняется с использованием прилагаемых файлов.</x:v>
      </x:c>
      <x:c r="N4426" s="30" t="str">
        <x:v>2627; 1005</x:v>
      </x:c>
      <x:c r="O4426" s="30" t="str">
        <x:v>Порог — минимальный положительный четырёхзначный элемент 1005.</x:v>
      </x:c>
      <x:c r="P4426" s="30" t="str">
        <x:v>Задание независимо пересчитано программно или аналитически; результат совпал с официальным ключом.</x:v>
      </x:c>
      <x:c r="Q4426" s="30"/>
      <x:c r="R4426" s="30" t="str">
        <x:v>2627; 1005</x:v>
      </x:c>
      <x:c r="S4426" s="30"/>
      <x:c r="T4426" s="30" t="str">
        <x:v>image_2025-12-17_11-53-34.png</x:v>
      </x:c>
      <x:c r="U4426" s="30" t="str">
        <x:v>Расхождений нет.</x:v>
      </x:c>
      <x:c r="V4426" s="87" t="str">
        <x:v>VERIFIED</x:v>
      </x:c>
      <x:c r="W4426" s="87" t="n">
        <x:v>27</x:v>
      </x:c>
      <x:c r="X4426" s="87"/>
      <x:c r="Y4426" s="87"/>
      <x:c r="Z4426" s="87"/>
      <x:c r="AA4426" s="87"/>
      <x:c r="AB4426" s="87"/>
      <x:c r="AC4426" s="87" t="str">
        <x:v>VIS-INF-DEC-TASK-202-P010</x:v>
      </x:c>
      <x:c r="AD4426" s="87"/>
      <x:c r="AE4426" s="87" t="str">
        <x:v>TASK</x:v>
      </x:c>
      <x:c r="AF4426" s="87"/>
      <x:c r="AG4426" s="87" t="str">
        <x:v>RESOLVED / HASH_ONLY_QA</x:v>
      </x:c>
      <x:c r="AH4426" s="87" t="str">
        <x:v>ASSET_HASH_VERIFIED_QA_UNSPECIFIED</x:v>
      </x:c>
      <x:c r="AI4426" s="30"/>
      <x:c r="AJ4426" s="87" t="str">
        <x:v>clean</x:v>
      </x:c>
      <x:c r="AK4426" s="87" t="str">
        <x:v>clean-v0.06</x:v>
      </x:c>
      <x:c r="AL4426" s="87" t="str">
        <x:v>statgrad_clean_continuation_v0_06(1).xlsx</x:v>
      </x:c>
      <x:c r="AM4426" s="87" t="str">
        <x:v>INF_Dec_V2</x:v>
      </x:c>
      <x:c r="AN4426" s="87" t="n">
        <x:v>18</x:v>
      </x:c>
    </x:row>
    <x:row r="4427">
      <x:c r="A4427" s="87" t="n">
        <x:v>4426</x:v>
      </x:c>
      <x:c r="B4427" s="87" t="str">
        <x:v>DEC-INF-02-018</x:v>
      </x:c>
      <x:c r="C4427" s="87" t="str">
        <x:v>СтатГрад</x:v>
      </x:c>
      <x:c r="D4427" s="87" t="str">
        <x:v>Декабрь 2025</x:v>
      </x:c>
      <x:c r="E4427" s="87"/>
      <x:c r="F4427" s="87"/>
      <x:c r="G4427" s="87" t="str">
        <x:v>Информатика</x:v>
      </x:c>
      <x:c r="H4427" s="87" t="n">
        <x:v>11</x:v>
      </x:c>
      <x:c r="I4427" s="87" t="str">
        <x:v>ТР №2</x:v>
      </x:c>
      <x:c r="J4427" s="87" t="str">
        <x:v>ИН2510202</x:v>
      </x:c>
      <x:c r="K4427" s="87" t="n">
        <x:v>18</x:v>
      </x:c>
      <x:c r="L4427" s="87" t="str">
        <x:v>Робот / динамическое программирование</x:v>
      </x:c>
      <x:c r="M4427" s="30" t="str">
        <x:v>Квадрат разлинован на N × N клеток (1 &lt; N &lt; 30). Все строки и столбцы
     нумеруются последовательно слева направо и сверху вниз, начиная
     с единицы. Под позицией (x, y) будем понимать клетку, расположенную на
     пересечении столбца с номером х и строки с номером y. Исполнитель Робот
     может перемещаться по клеткам, выполняя за одно перемещение одну
     из двух команд: вправо или вниз. По команде вправо Робот перемещается
     в соседнюю правую клетку, по команде вниз – в соседнюю нижнюю. Квадрат
     ограничен внешними стенами. Между соседними клетками квадрата также
     могут быть внутренние стены. Сквозь стену Робот пройти не может.
     Перед каждым запуском Робота в каждой клетке квадрата лежит монета
     достоинством от 1 до 100. Посетив клетку, Робот забирает монету с собой;
     это также относится к начальной и конечной клеткам маршрута Робота.
     В «угловых» клетках поля – тех, которые справа и снизу ограничены
     стенами, Робот не может продолжать движение, поэтому накопленная сумма
     считается итоговой. Таких конечных клеток на поле может быть несколько,
     включая правую нижнюю клетку поля. При разных запусках итоговые
     накопленные суммы могут различаться.
     Определите максимальную и минимальную денежные суммы среди всех
     возможных итоговых сумм, которые может собрать Робот, пройдя из
     позиции (4, 3) в конечную клетку маршрута.
     В ответе укажите два числа – сначала максимальную сумму, затем
     минимальную.
     Исходные данные представляют собой электронную таблицу размером N × N,
     каждая ячейка которой соответствует клетке квадрата. Внутренние
     и внешние стены обозначены утолщёнными линиями.
     Пример входных данных
                                    согласия СтатГрад запрещена</x:v>
      </x:c>
      <x:c r="N4427" s="30" t="str">
        <x:v>1827; 569</x:v>
      </x:c>
      <x:c r="O4427" s="30" t="str">
        <x:v>Динамическое программирование по полю 20×20 с учётом толстых границ: максимум 1827, минимум 569.</x:v>
      </x:c>
      <x:c r="P4427" s="30" t="str">
        <x:v>Задание независимо пересчитано программно или аналитически; результат совпал с официальным ключом.</x:v>
      </x:c>
      <x:c r="Q4427" s="30"/>
      <x:c r="R4427" s="30" t="str">
        <x:v>1827; 569</x:v>
      </x:c>
      <x:c r="S4427" s="30"/>
      <x:c r="T4427" s="30" t="str">
        <x:v>image_2025-12-17_11-53-34.png</x:v>
      </x:c>
      <x:c r="U4427" s="30" t="str">
        <x:v>Расхождений нет.</x:v>
      </x:c>
      <x:c r="V4427" s="87" t="str">
        <x:v>VERIFIED</x:v>
      </x:c>
      <x:c r="W4427" s="87" t="n">
        <x:v>28</x:v>
      </x:c>
      <x:c r="X4427" s="87"/>
      <x:c r="Y4427" s="87"/>
      <x:c r="Z4427" s="87"/>
      <x:c r="AA4427" s="87"/>
      <x:c r="AB4427" s="87"/>
      <x:c r="AC4427" s="87" t="str">
        <x:v>VIS-INF-DEC-TASK-202-P011</x:v>
      </x:c>
      <x:c r="AD4427" s="87"/>
      <x:c r="AE4427" s="87" t="str">
        <x:v>TASK</x:v>
      </x:c>
      <x:c r="AF4427" s="87"/>
      <x:c r="AG4427" s="87" t="str">
        <x:v>RESOLVED / HASH_ONLY_QA</x:v>
      </x:c>
      <x:c r="AH4427" s="87" t="str">
        <x:v>ASSET_HASH_VERIFIED_QA_UNSPECIFIED</x:v>
      </x:c>
      <x:c r="AI4427" s="30"/>
      <x:c r="AJ4427" s="87" t="str">
        <x:v>clean</x:v>
      </x:c>
      <x:c r="AK4427" s="87" t="str">
        <x:v>clean-v0.06</x:v>
      </x:c>
      <x:c r="AL4427" s="87" t="str">
        <x:v>statgrad_clean_continuation_v0_06(1).xlsx</x:v>
      </x:c>
      <x:c r="AM4427" s="87" t="str">
        <x:v>INF_Dec_V2</x:v>
      </x:c>
      <x:c r="AN4427" s="87" t="n">
        <x:v>19</x:v>
      </x:c>
    </x:row>
    <x:row r="4428">
      <x:c r="A4428" s="87" t="n">
        <x:v>4427</x:v>
      </x:c>
      <x:c r="B4428" s="87" t="str">
        <x:v>DEC-INF-02-019</x:v>
      </x:c>
      <x:c r="C4428" s="87" t="str">
        <x:v>СтатГрад</x:v>
      </x:c>
      <x:c r="D4428" s="87" t="str">
        <x:v>Декабрь 2025</x:v>
      </x:c>
      <x:c r="E4428" s="87"/>
      <x:c r="F4428" s="87"/>
      <x:c r="G4428" s="87" t="str">
        <x:v>Информатика</x:v>
      </x:c>
      <x:c r="H4428" s="87" t="n">
        <x:v>11</x:v>
      </x:c>
      <x:c r="I4428" s="87" t="str">
        <x:v>ТР №2</x:v>
      </x:c>
      <x:c r="J4428" s="87" t="str">
        <x:v>ИН2510202</x:v>
      </x:c>
      <x:c r="K4428" s="87" t="n">
        <x:v>19</x:v>
      </x:c>
      <x:c r="L4428" s="87" t="str">
        <x:v>Теория игр</x:v>
      </x:c>
      <x:c r="M4428" s="30" t="str">
        <x:v>Два игрока, Петя и Ваня, играют в следующую игру. Перед игроками лежит
     куча камней. Игроки ходят по очереди, первый ход делает Петя. За один ход
     игрок может добавить в кучу 2 или 3 камня либо увеличить количество
     камней в куче в 2 раза. Для того чтобы делать ходы, у каждого игрока есть
     неограниченное количество камней.
     Игра завершается в тот момент, когда количество камней в куче становится
     не менее 313.
     Победителем считается игрок, сделавший последний ход, т.е. первым
     получивший кучу, состоящую из 313 или более камней.
     В начальный момент в куче было S камней, 1 ≤ S ≤ 312.
     Будем говорить, что игрок имеет выигрышную стратегию, если он может
     выиграть при любых ходах противника.
     Укажите сумму таких значений S, при которых Петя не может выиграть
     за один ход, но при любом ходе Пети Ваня может выиграть своим первым
     ходом.</x:v>
      </x:c>
      <x:c r="N4428" s="30" t="str">
        <x:v>311</x:v>
      </x:c>
      <x:c r="O4428" s="30" t="str">
        <x:v>Позиции, из которых любой ход Пети переводит в выигрыш за один ход для Вани.</x:v>
      </x:c>
      <x:c r="P4428" s="30" t="str">
        <x:v>Задание независимо пересчитано программно или аналитически; результат совпал с официальным ключом.</x:v>
      </x:c>
      <x:c r="Q4428" s="30"/>
      <x:c r="R4428" s="30" t="str">
        <x:v>311</x:v>
      </x:c>
      <x:c r="S4428" s="30"/>
      <x:c r="T4428" s="30" t="str">
        <x:v>image_2025-12-17_11-53-34.png</x:v>
      </x:c>
      <x:c r="U4428" s="30" t="str">
        <x:v>Расхождений нет.</x:v>
      </x:c>
      <x:c r="V4428" s="87" t="str">
        <x:v>VERIFIED</x:v>
      </x:c>
      <x:c r="W4428" s="87" t="n">
        <x:v>29</x:v>
      </x:c>
      <x:c r="X4428" s="87"/>
      <x:c r="Y4428" s="87"/>
      <x:c r="Z4428" s="87"/>
      <x:c r="AA4428" s="87"/>
      <x:c r="AB4428" s="87"/>
      <x:c r="AC4428" s="87" t="str">
        <x:v>VIS-INF-DEC-TASK-202-P012</x:v>
      </x:c>
      <x:c r="AD4428" s="87"/>
      <x:c r="AE4428" s="87" t="str">
        <x:v>TASK</x:v>
      </x:c>
      <x:c r="AF4428" s="87"/>
      <x:c r="AG4428" s="87" t="str">
        <x:v>RESOLVED / HASH_ONLY_QA</x:v>
      </x:c>
      <x:c r="AH4428" s="87" t="str">
        <x:v>ASSET_HASH_VERIFIED_QA_UNSPECIFIED</x:v>
      </x:c>
      <x:c r="AI4428" s="30"/>
      <x:c r="AJ4428" s="87" t="str">
        <x:v>clean</x:v>
      </x:c>
      <x:c r="AK4428" s="87" t="str">
        <x:v>clean-v0.06</x:v>
      </x:c>
      <x:c r="AL4428" s="87" t="str">
        <x:v>statgrad_clean_continuation_v0_06(1).xlsx</x:v>
      </x:c>
      <x:c r="AM4428" s="87" t="str">
        <x:v>INF_Dec_V2</x:v>
      </x:c>
      <x:c r="AN4428" s="87" t="n">
        <x:v>20</x:v>
      </x:c>
    </x:row>
    <x:row r="4429">
      <x:c r="A4429" s="87" t="n">
        <x:v>4428</x:v>
      </x:c>
      <x:c r="B4429" s="87" t="str">
        <x:v>DEC-INF-02-020</x:v>
      </x:c>
      <x:c r="C4429" s="87" t="str">
        <x:v>СтатГрад</x:v>
      </x:c>
      <x:c r="D4429" s="87" t="str">
        <x:v>Декабрь 2025</x:v>
      </x:c>
      <x:c r="E4429" s="87"/>
      <x:c r="F4429" s="87"/>
      <x:c r="G4429" s="87" t="str">
        <x:v>Информатика</x:v>
      </x:c>
      <x:c r="H4429" s="87" t="n">
        <x:v>11</x:v>
      </x:c>
      <x:c r="I4429" s="87" t="str">
        <x:v>ТР №2</x:v>
      </x:c>
      <x:c r="J4429" s="87" t="str">
        <x:v>ИН2510202</x:v>
      </x:c>
      <x:c r="K4429" s="87" t="n">
        <x:v>20</x:v>
      </x:c>
      <x:c r="L4429" s="87" t="str">
        <x:v>Теория игр</x:v>
      </x:c>
      <x:c r="M4429" s="30" t="str">
        <x:v>Для игры, описанной в задании 19, найдите наименьшее и наибольшее
     значения S, при которых у Пети есть выигрышная стратегия, причём
     одновременно выполняются два условия:
     − Петя не может выиграть за один ход;
     − Петя может выиграть своим вторым ходом независимо от того, как будет
     ходить Ваня.
     Найденные значения запишите в ответе в порядке возрастания.</x:v>
      </x:c>
      <x:c r="N4429" s="30" t="str">
        <x:v>78; 154</x:v>
      </x:c>
      <x:c r="O4429" s="30" t="str">
        <x:v>Позиции выигрыша Пети вторым ходом, исключая выигрыш первым.</x:v>
      </x:c>
      <x:c r="P4429" s="30" t="str">
        <x:v>Задание независимо пересчитано программно или аналитически; результат совпал с официальным ключом.</x:v>
      </x:c>
      <x:c r="Q4429" s="30"/>
      <x:c r="R4429" s="30" t="str">
        <x:v>78; 154</x:v>
      </x:c>
      <x:c r="S4429" s="30"/>
      <x:c r="T4429" s="30" t="str">
        <x:v>image_2025-12-17_11-53-34.png</x:v>
      </x:c>
      <x:c r="U4429" s="30" t="str">
        <x:v>Расхождений нет.</x:v>
      </x:c>
      <x:c r="V4429" s="87" t="str">
        <x:v>VERIFIED</x:v>
      </x:c>
      <x:c r="W4429" s="87" t="n">
        <x:v>29</x:v>
      </x:c>
      <x:c r="X4429" s="87"/>
      <x:c r="Y4429" s="87"/>
      <x:c r="Z4429" s="87"/>
      <x:c r="AA4429" s="87"/>
      <x:c r="AB4429" s="87"/>
      <x:c r="AC4429" s="87" t="str">
        <x:v>VIS-INF-DEC-TASK-202-P012</x:v>
      </x:c>
      <x:c r="AD4429" s="87"/>
      <x:c r="AE4429" s="87" t="str">
        <x:v>TASK</x:v>
      </x:c>
      <x:c r="AF4429" s="87"/>
      <x:c r="AG4429" s="87" t="str">
        <x:v>RESOLVED / HASH_ONLY_QA</x:v>
      </x:c>
      <x:c r="AH4429" s="87" t="str">
        <x:v>ASSET_HASH_VERIFIED_QA_UNSPECIFIED</x:v>
      </x:c>
      <x:c r="AI4429" s="30"/>
      <x:c r="AJ4429" s="87" t="str">
        <x:v>clean</x:v>
      </x:c>
      <x:c r="AK4429" s="87" t="str">
        <x:v>clean-v0.06</x:v>
      </x:c>
      <x:c r="AL4429" s="87" t="str">
        <x:v>statgrad_clean_continuation_v0_06(1).xlsx</x:v>
      </x:c>
      <x:c r="AM4429" s="87" t="str">
        <x:v>INF_Dec_V2</x:v>
      </x:c>
      <x:c r="AN4429" s="87" t="n">
        <x:v>21</x:v>
      </x:c>
    </x:row>
    <x:row r="4430">
      <x:c r="A4430" s="87" t="n">
        <x:v>4429</x:v>
      </x:c>
      <x:c r="B4430" s="87" t="str">
        <x:v>DEC-INF-02-021</x:v>
      </x:c>
      <x:c r="C4430" s="87" t="str">
        <x:v>СтатГрад</x:v>
      </x:c>
      <x:c r="D4430" s="87" t="str">
        <x:v>Декабрь 2025</x:v>
      </x:c>
      <x:c r="E4430" s="87"/>
      <x:c r="F4430" s="87"/>
      <x:c r="G4430" s="87" t="str">
        <x:v>Информатика</x:v>
      </x:c>
      <x:c r="H4430" s="87" t="n">
        <x:v>11</x:v>
      </x:c>
      <x:c r="I4430" s="87" t="str">
        <x:v>ТР №2</x:v>
      </x:c>
      <x:c r="J4430" s="87" t="str">
        <x:v>ИН2510202</x:v>
      </x:c>
      <x:c r="K4430" s="87" t="n">
        <x:v>21</x:v>
      </x:c>
      <x:c r="L4430" s="87" t="str">
        <x:v>Теория игр</x:v>
      </x:c>
      <x:c r="M4430" s="30" t="str">
        <x:v>Для игры, описанной в задании 19, найдите сумму таких значений S, при
     которых одновременно выполняются два условия:
     – у Вани есть выигрышная стратегия, позволяющая ему выиграть первым или
     вторым ходом при любой игре Пети;
     – у Вани нет стратегии, которая позволит ему гарантированно выиграть
     первым ходом.
                                    согласия СтатГрад запрещена
            Задание выполняется с использованием прилагаемых файлов.</x:v>
      </x:c>
      <x:c r="N4430" s="30" t="str">
        <x:v>301</x:v>
      </x:c>
      <x:c r="O4430" s="30" t="str">
        <x:v>Позиции выигрыша Вани первым или вторым ходом, но не гарантированно первым.</x:v>
      </x:c>
      <x:c r="P4430" s="30" t="str">
        <x:v>Задание независимо пересчитано программно или аналитически; результат совпал с официальным ключом.</x:v>
      </x:c>
      <x:c r="Q4430" s="30"/>
      <x:c r="R4430" s="30" t="str">
        <x:v>301</x:v>
      </x:c>
      <x:c r="S4430" s="30"/>
      <x:c r="T4430" s="30" t="str">
        <x:v>image_2025-12-17_11-53-34.png</x:v>
      </x:c>
      <x:c r="U4430" s="30" t="str">
        <x:v>Расхождений нет.</x:v>
      </x:c>
      <x:c r="V4430" s="87" t="str">
        <x:v>VERIFIED</x:v>
      </x:c>
      <x:c r="W4430" s="87" t="n">
        <x:v>29</x:v>
      </x:c>
      <x:c r="X4430" s="87"/>
      <x:c r="Y4430" s="87"/>
      <x:c r="Z4430" s="87"/>
      <x:c r="AA4430" s="87"/>
      <x:c r="AB4430" s="87"/>
      <x:c r="AC4430" s="87" t="str">
        <x:v>VIS-INF-DEC-TASK-202-P012</x:v>
      </x:c>
      <x:c r="AD4430" s="87"/>
      <x:c r="AE4430" s="87" t="str">
        <x:v>TASK</x:v>
      </x:c>
      <x:c r="AF4430" s="87"/>
      <x:c r="AG4430" s="87" t="str">
        <x:v>RESOLVED / HASH_ONLY_QA</x:v>
      </x:c>
      <x:c r="AH4430" s="87" t="str">
        <x:v>ASSET_HASH_VERIFIED_QA_UNSPECIFIED</x:v>
      </x:c>
      <x:c r="AI4430" s="30"/>
      <x:c r="AJ4430" s="87" t="str">
        <x:v>clean</x:v>
      </x:c>
      <x:c r="AK4430" s="87" t="str">
        <x:v>clean-v0.06</x:v>
      </x:c>
      <x:c r="AL4430" s="87" t="str">
        <x:v>statgrad_clean_continuation_v0_06(1).xlsx</x:v>
      </x:c>
      <x:c r="AM4430" s="87" t="str">
        <x:v>INF_Dec_V2</x:v>
      </x:c>
      <x:c r="AN4430" s="87" t="n">
        <x:v>22</x:v>
      </x:c>
    </x:row>
    <x:row r="4431">
      <x:c r="A4431" s="87" t="n">
        <x:v>4430</x:v>
      </x:c>
      <x:c r="B4431" s="87" t="str">
        <x:v>DEC-INF-02-022</x:v>
      </x:c>
      <x:c r="C4431" s="87" t="str">
        <x:v>СтатГрад</x:v>
      </x:c>
      <x:c r="D4431" s="87" t="str">
        <x:v>Декабрь 2025</x:v>
      </x:c>
      <x:c r="E4431" s="87"/>
      <x:c r="F4431" s="87"/>
      <x:c r="G4431" s="87" t="str">
        <x:v>Информатика</x:v>
      </x:c>
      <x:c r="H4431" s="87" t="n">
        <x:v>11</x:v>
      </x:c>
      <x:c r="I4431" s="87" t="str">
        <x:v>ТР №2</x:v>
      </x:c>
      <x:c r="J4431" s="87" t="str">
        <x:v>ИН2510202</x:v>
      </x:c>
      <x:c r="K4431" s="87" t="n">
        <x:v>22</x:v>
      </x:c>
      <x:c r="L4431" s="87" t="str">
        <x:v>Параллельные процессы</x:v>
      </x:c>
      <x:c r="M4431" s="30" t="str">
        <x:v>В файле содержится информация о совокупности N вычислительных процессов,
     которые могут выполняться параллельно или последовательно. Будем говорить,
     что процесс B зависит от процесса A, если для выполнения процесса B
     необходимы результаты выполнения процесса A. В этом случае процессы могут
     выполняться только последовательно. Информация о процессах представлена
     в файле в виде таблицы. В первом столбце таблицы указан идентификатор
     процесса (ID), во втором столбце таблицы – время его выполнения
     в миллисекундах, в третьем столбце перечислены с разделителем «;» ID
     процессов, от которых зависит данный процесс. Если процесс является
     независимым, то в таблице указано значение 0.
     Типовой пример организации данных в файле
         ID процесса B Время выполнения процесса B (мс) ID процесса(-ов) A
               1                     2                          0
               2                     4                          0
               3                     4                         1; 2
               4                     7                         1; 2
     Определите сумму номеров всех процессов, которые запустятся, но не успеют
     завершиться за первые T = 30 мс с момента запуска первого процесса (при
     условии, что все независимые друг от друга процессы могут выполняться
     параллельно и никакие задержки не допускаются).
     Например, для приведённой таблицы, при T = 6 мс, процессы с ID 3 и 4 будут
     запущены через 4 мс с момента запуска первого процесса и на момент времени
     T завершены ещё не будут. Ответ 7.
                                    согласия СтатГрад запрещена</x:v>
      </x:c>
      <x:c r="N4431" s="30" t="str">
        <x:v>114</x:v>
      </x:c>
      <x:c r="O4431" s="30" t="str">
        <x:v>Для каждого процесса вычислены ранний старт и завершение по критическому пути зависимостей.</x:v>
      </x:c>
      <x:c r="P4431" s="30" t="str">
        <x:v>Задание независимо пересчитано программно или аналитически; результат совпал с официальным ключом.</x:v>
      </x:c>
      <x:c r="Q4431" s="30"/>
      <x:c r="R4431" s="30" t="str">
        <x:v>114</x:v>
      </x:c>
      <x:c r="S4431" s="30"/>
      <x:c r="T4431" s="30" t="str">
        <x:v>image_2025-12-17_11-53-34.png</x:v>
      </x:c>
      <x:c r="U4431" s="30" t="str">
        <x:v>Расхождений нет.</x:v>
      </x:c>
      <x:c r="V4431" s="87" t="str">
        <x:v>VERIFIED</x:v>
      </x:c>
      <x:c r="W4431" s="87" t="n">
        <x:v>30</x:v>
      </x:c>
      <x:c r="X4431" s="87"/>
      <x:c r="Y4431" s="87"/>
      <x:c r="Z4431" s="87"/>
      <x:c r="AA4431" s="87"/>
      <x:c r="AB4431" s="87"/>
      <x:c r="AC4431" s="87" t="str">
        <x:v>VIS-INF-DEC-TASK-202-P013</x:v>
      </x:c>
      <x:c r="AD4431" s="87"/>
      <x:c r="AE4431" s="87" t="str">
        <x:v>TASK</x:v>
      </x:c>
      <x:c r="AF4431" s="87"/>
      <x:c r="AG4431" s="87" t="str">
        <x:v>RESOLVED / HASH_ONLY_QA</x:v>
      </x:c>
      <x:c r="AH4431" s="87" t="str">
        <x:v>ASSET_HASH_VERIFIED_QA_UNSPECIFIED; TASK_CROP_QA_APPROVED:USE_TIGHT</x:v>
      </x:c>
      <x:c r="AI4431" s="30"/>
      <x:c r="AJ4431" s="87" t="str">
        <x:v>clean</x:v>
      </x:c>
      <x:c r="AK4431" s="87" t="str">
        <x:v>clean-v0.06</x:v>
      </x:c>
      <x:c r="AL4431" s="87" t="str">
        <x:v>statgrad_clean_continuation_v0_06(1).xlsx</x:v>
      </x:c>
      <x:c r="AM4431" s="87" t="str">
        <x:v>INF_Dec_V2</x:v>
      </x:c>
      <x:c r="AN4431" s="87" t="n">
        <x:v>23</x:v>
      </x:c>
    </x:row>
    <x:row r="4432">
      <x:c r="A4432" s="87" t="n">
        <x:v>4431</x:v>
      </x:c>
      <x:c r="B4432" s="87" t="str">
        <x:v>DEC-INF-02-023</x:v>
      </x:c>
      <x:c r="C4432" s="87" t="str">
        <x:v>СтатГрад</x:v>
      </x:c>
      <x:c r="D4432" s="87" t="str">
        <x:v>Декабрь 2025</x:v>
      </x:c>
      <x:c r="E4432" s="87"/>
      <x:c r="F4432" s="87"/>
      <x:c r="G4432" s="87" t="str">
        <x:v>Информатика</x:v>
      </x:c>
      <x:c r="H4432" s="87" t="n">
        <x:v>11</x:v>
      </x:c>
      <x:c r="I4432" s="87" t="str">
        <x:v>ТР №2</x:v>
      </x:c>
      <x:c r="J4432" s="87" t="str">
        <x:v>ИН2510202</x:v>
      </x:c>
      <x:c r="K4432" s="87" t="n">
        <x:v>23</x:v>
      </x:c>
      <x:c r="L4432" s="87" t="str">
        <x:v>Исполнитель Калькулятор</x:v>
      </x:c>
      <x:c r="M4432" s="30" t="str">
        <x:v>Исполнитель Калькулятор преобразует число на экране. У исполнителя есть
     две команды, которые обозначены латинскими буквами.
     A. вычти 7
     B. подели на 2
     Первая команда уменьшает число на экране на 7, вторая команда делит число
     на 2 (нецелый результат округляется до ближайшего целого в большую
     сторону). Программа для исполнителя – это последовательность команд.
     Сколько существует таких программ, которые исходное число 300
     преобразуют в число 40, при этом траектория вычислений не содержит
     чисел 61 и 122?
     Траектория вычислений программы – это последовательность результатов
     выполнения всех команд программы.
     Например, для программы АВA при исходном числе 100 траектория состоит
     из чисел 93, 47, 40.
              Задание выполняется с использованием прилагаемых файлов.</x:v>
      </x:c>
      <x:c r="N4432" s="30" t="str">
        <x:v>12</x:v>
      </x:c>
      <x:c r="O4432" s="30" t="str">
        <x:v>Динамический подсчёт траекторий убывающего исполнителя с исключением запрещённых значений.</x:v>
      </x:c>
      <x:c r="P4432" s="30" t="str">
        <x:v>Задание независимо пересчитано программно или аналитически; результат совпал с официальным ключом.</x:v>
      </x:c>
      <x:c r="Q4432" s="30"/>
      <x:c r="R4432" s="30" t="str">
        <x:v>12</x:v>
      </x:c>
      <x:c r="S4432" s="30"/>
      <x:c r="T4432" s="30" t="str">
        <x:v>image_2025-12-17_11-53-34.png</x:v>
      </x:c>
      <x:c r="U4432" s="30" t="str">
        <x:v>Расхождений нет.</x:v>
      </x:c>
      <x:c r="V4432" s="87" t="str">
        <x:v>VERIFIED</x:v>
      </x:c>
      <x:c r="W4432" s="87" t="n">
        <x:v>31</x:v>
      </x:c>
      <x:c r="X4432" s="87"/>
      <x:c r="Y4432" s="87"/>
      <x:c r="Z4432" s="87"/>
      <x:c r="AA4432" s="87"/>
      <x:c r="AB4432" s="87"/>
      <x:c r="AC4432" s="87" t="str">
        <x:v>VIS-INF-DEC-TASK-202-P014</x:v>
      </x:c>
      <x:c r="AD4432" s="87"/>
      <x:c r="AE4432" s="87" t="str">
        <x:v>TASK</x:v>
      </x:c>
      <x:c r="AF4432" s="87"/>
      <x:c r="AG4432" s="87" t="str">
        <x:v>RESOLVED / HASH_ONLY_QA</x:v>
      </x:c>
      <x:c r="AH4432" s="87" t="str">
        <x:v>ASSET_HASH_VERIFIED_QA_UNSPECIFIED</x:v>
      </x:c>
      <x:c r="AI4432" s="30"/>
      <x:c r="AJ4432" s="87" t="str">
        <x:v>clean</x:v>
      </x:c>
      <x:c r="AK4432" s="87" t="str">
        <x:v>clean-v0.06</x:v>
      </x:c>
      <x:c r="AL4432" s="87" t="str">
        <x:v>statgrad_clean_continuation_v0_06(1).xlsx</x:v>
      </x:c>
      <x:c r="AM4432" s="87" t="str">
        <x:v>INF_Dec_V2</x:v>
      </x:c>
      <x:c r="AN4432" s="87" t="n">
        <x:v>24</x:v>
      </x:c>
    </x:row>
    <x:row r="4433">
      <x:c r="A4433" s="87" t="n">
        <x:v>4432</x:v>
      </x:c>
      <x:c r="B4433" s="87" t="str">
        <x:v>DEC-INF-02-024</x:v>
      </x:c>
      <x:c r="C4433" s="87" t="str">
        <x:v>СтатГрад</x:v>
      </x:c>
      <x:c r="D4433" s="87" t="str">
        <x:v>Декабрь 2025</x:v>
      </x:c>
      <x:c r="E4433" s="87"/>
      <x:c r="F4433" s="87"/>
      <x:c r="G4433" s="87" t="str">
        <x:v>Информатика</x:v>
      </x:c>
      <x:c r="H4433" s="87" t="n">
        <x:v>11</x:v>
      </x:c>
      <x:c r="I4433" s="87" t="str">
        <x:v>ТР №2</x:v>
      </x:c>
      <x:c r="J4433" s="87" t="str">
        <x:v>ИН2510202</x:v>
      </x:c>
      <x:c r="K4433" s="87" t="n">
        <x:v>24</x:v>
      </x:c>
      <x:c r="L4433" s="87" t="str">
        <x:v>Обработка строки</x:v>
      </x:c>
      <x:c r="M4433" s="30" t="str">
        <x:v>Текстовый файл состоит не более чем из 107 символов и содержит только
     заглавные буквы латинского алфавита и десятичные цифры. Назовём «числом»
     непустую непрерывную подпоследовательность цифр, ограниченную буквами по
     обеим сторонам. Найдите минимальную длину подстроки, содержащую не менее
     K = 10000 «чисел». В ответе укажите длину найденной строки.
     Например, в строке AC12BDE3F2ED6 всего три «числа»: 12, 3 и 2. При K = 2
     ответом для данной строки будет являться число 5: это подстрока E3F2E.</x:v>
      </x:c>
      <x:c r="N4433" s="30" t="str">
        <x:v>68613</x:v>
      </x:c>
      <x:c r="O4433" s="30" t="str">
        <x:v>Найдено 1286973 чисел; скользящее окно по 10000 последовательным числам.</x:v>
      </x:c>
      <x:c r="P4433" s="30" t="str">
        <x:v>Задание независимо пересчитано программно или аналитически; результат совпал с официальным ключом.</x:v>
      </x:c>
      <x:c r="Q4433" s="30"/>
      <x:c r="R4433" s="30" t="str">
        <x:v>68613</x:v>
      </x:c>
      <x:c r="S4433" s="30"/>
      <x:c r="T4433" s="30" t="str">
        <x:v>image_2025-12-17_11-53-34.png</x:v>
      </x:c>
      <x:c r="U4433" s="30" t="str">
        <x:v>Расхождений нет.</x:v>
      </x:c>
      <x:c r="V4433" s="87" t="str">
        <x:v>VERIFIED</x:v>
      </x:c>
      <x:c r="W4433" s="87" t="n">
        <x:v>31</x:v>
      </x:c>
      <x:c r="X4433" s="87"/>
      <x:c r="Y4433" s="87"/>
      <x:c r="Z4433" s="87"/>
      <x:c r="AA4433" s="87"/>
      <x:c r="AB4433" s="87"/>
      <x:c r="AC4433" s="87" t="str">
        <x:v>VIS-INF-DEC-TASK-202-P014</x:v>
      </x:c>
      <x:c r="AD4433" s="87"/>
      <x:c r="AE4433" s="87" t="str">
        <x:v>TASK</x:v>
      </x:c>
      <x:c r="AF4433" s="87"/>
      <x:c r="AG4433" s="87" t="str">
        <x:v>RESOLVED / HASH_ONLY_QA</x:v>
      </x:c>
      <x:c r="AH4433" s="87" t="str">
        <x:v>ASSET_HASH_VERIFIED_QA_UNSPECIFIED</x:v>
      </x:c>
      <x:c r="AI4433" s="30"/>
      <x:c r="AJ4433" s="87" t="str">
        <x:v>clean</x:v>
      </x:c>
      <x:c r="AK4433" s="87" t="str">
        <x:v>clean-v0.06</x:v>
      </x:c>
      <x:c r="AL4433" s="87" t="str">
        <x:v>statgrad_clean_continuation_v0_06(1).xlsx</x:v>
      </x:c>
      <x:c r="AM4433" s="87" t="str">
        <x:v>INF_Dec_V2</x:v>
      </x:c>
      <x:c r="AN4433" s="87" t="n">
        <x:v>25</x:v>
      </x:c>
    </x:row>
    <x:row r="4434">
      <x:c r="A4434" s="87" t="n">
        <x:v>4433</x:v>
      </x:c>
      <x:c r="B4434" s="87" t="str">
        <x:v>DEC-INF-02-025</x:v>
      </x:c>
      <x:c r="C4434" s="87" t="str">
        <x:v>СтатГрад</x:v>
      </x:c>
      <x:c r="D4434" s="87" t="str">
        <x:v>Декабрь 2025</x:v>
      </x:c>
      <x:c r="E4434" s="87"/>
      <x:c r="F4434" s="87"/>
      <x:c r="G4434" s="87" t="str">
        <x:v>Информатика</x:v>
      </x:c>
      <x:c r="H4434" s="87" t="n">
        <x:v>11</x:v>
      </x:c>
      <x:c r="I4434" s="87" t="str">
        <x:v>ТР №2</x:v>
      </x:c>
      <x:c r="J4434" s="87" t="str">
        <x:v>ИН2510202</x:v>
      </x:c>
      <x:c r="K4434" s="87" t="n">
        <x:v>25</x:v>
      </x:c>
      <x:c r="L4434" s="87" t="str">
        <x:v>Маска числа</x:v>
      </x:c>
      <x:c r="M4434" s="30" t="str">
        <x:v>Назовём маской числа последовательность цифр, в которой также могут
     встречаться следующие символы:
     – символ «?» означает ровно одну произвольную нечётную цифру;
     – символ «*» означает любую последовательность цифр произвольной
     длины; в том числе «*» может задавать и пустую последовательность.
     Например, маске 123*4?5 соответствуют числа 123415 и 12300475.
     Среди натуральных чисел, не превышающих 1010, найдите все числа,
     соответствующие маске 5?34?71*2, делящиеся на 2026 без остатка.
     В ответе запишите все найденные числа в порядке возрастания.
                                    согласия СтатГрад запрещена
              Задание выполняется с использованием прилагаемых файлов.</x:v>
      </x:c>
      <x:c r="N4434" s="30" t="str">
        <x:v>553497122; 5134171692; 5134971962; 5734171592; 5734971862</x:v>
      </x:c>
      <x:c r="O4434" s="30" t="str">
        <x:v>Сгенерированы все записи маски длиной до 10 цифр и проверена делимость на 2026.</x:v>
      </x:c>
      <x:c r="P4434" s="30" t="str">
        <x:v>Задание независимо пересчитано программно или аналитически; результат совпал с официальным ключом.</x:v>
      </x:c>
      <x:c r="Q4434" s="30"/>
      <x:c r="R4434" s="30" t="str">
        <x:v>553497122; 5134171692; 5134971962; 5734171592; 5734971862</x:v>
      </x:c>
      <x:c r="S4434" s="30"/>
      <x:c r="T4434" s="30" t="str">
        <x:v>image_2025-12-17_11-53-34.png</x:v>
      </x:c>
      <x:c r="U4434" s="30" t="str">
        <x:v>Расхождений нет.</x:v>
      </x:c>
      <x:c r="V4434" s="87" t="str">
        <x:v>VERIFIED</x:v>
      </x:c>
      <x:c r="W4434" s="87" t="n">
        <x:v>31</x:v>
      </x:c>
      <x:c r="X4434" s="87"/>
      <x:c r="Y4434" s="87"/>
      <x:c r="Z4434" s="87"/>
      <x:c r="AA4434" s="87"/>
      <x:c r="AB4434" s="87"/>
      <x:c r="AC4434" s="87" t="str">
        <x:v>VIS-INF-DEC-TASK-202-P014</x:v>
      </x:c>
      <x:c r="AD4434" s="87"/>
      <x:c r="AE4434" s="87" t="str">
        <x:v>TASK</x:v>
      </x:c>
      <x:c r="AF4434" s="87"/>
      <x:c r="AG4434" s="87" t="str">
        <x:v>RESOLVED / HASH_ONLY_QA</x:v>
      </x:c>
      <x:c r="AH4434" s="87" t="str">
        <x:v>ASSET_HASH_VERIFIED_QA_UNSPECIFIED</x:v>
      </x:c>
      <x:c r="AI4434" s="30"/>
      <x:c r="AJ4434" s="87" t="str">
        <x:v>clean</x:v>
      </x:c>
      <x:c r="AK4434" s="87" t="str">
        <x:v>clean-v0.06</x:v>
      </x:c>
      <x:c r="AL4434" s="87" t="str">
        <x:v>statgrad_clean_continuation_v0_06(1).xlsx</x:v>
      </x:c>
      <x:c r="AM4434" s="87" t="str">
        <x:v>INF_Dec_V2</x:v>
      </x:c>
      <x:c r="AN4434" s="87" t="n">
        <x:v>26</x:v>
      </x:c>
    </x:row>
    <x:row r="4435">
      <x:c r="A4435" s="87" t="n">
        <x:v>4434</x:v>
      </x:c>
      <x:c r="B4435" s="87" t="str">
        <x:v>DEC-INF-02-026</x:v>
      </x:c>
      <x:c r="C4435" s="87" t="str">
        <x:v>СтатГрад</x:v>
      </x:c>
      <x:c r="D4435" s="87" t="str">
        <x:v>Декабрь 2025</x:v>
      </x:c>
      <x:c r="E4435" s="87"/>
      <x:c r="F4435" s="87"/>
      <x:c r="G4435" s="87" t="str">
        <x:v>Информатика</x:v>
      </x:c>
      <x:c r="H4435" s="87" t="n">
        <x:v>11</x:v>
      </x:c>
      <x:c r="I4435" s="87" t="str">
        <x:v>ТР №2</x:v>
      </x:c>
      <x:c r="J4435" s="87" t="str">
        <x:v>ИН2510202</x:v>
      </x:c>
      <x:c r="K4435" s="87" t="n">
        <x:v>26</x:v>
      </x:c>
      <x:c r="L4435" s="87" t="str">
        <x:v>Интервалы</x:v>
      </x:c>
      <x:c r="M4435" s="30" t="str">
        <x:v>В высокотехнологичном центре кибербезопасности круглые сутки работают
     автоматические системы анализа трафика. Каждое сканирование сети имеет
     время запуска и завершения (в миллисекундах от начала суток). Считается,
     что в момент запуска и в момент завершения сканирование всё ещё активно.
     Необходимо проанализировать работу центра за сутки и определить
     интервалы (непрерывные промежутки времени), когда выполнялось хотя бы
     одно сканирование сети.
     Входные данные
     В первой строке указано натуральное число N (N &lt; 100 000) – количество
     сканирований за сутки.
     Следующие N строк содержат пары чисел: время начала и время окончания
     каждого сканирования (неотрицательные числа, меньшие 86400000).
     Запишите в ответе два натуральных числа: сначала найденное количество
     периодов, когда выполнялось хотя бы одно сканирование, а затем их
     суммарную длительность (в мс).
     Типовой пример организации данных во входном файле
     5
     10 100
     20 120
     130 170
     150 200
     250 400
     При таких исходных данных промежутков хотя бы с одним сканированием
     было 3: с 10 до 120 мс, с 130 до 200 мс и с 250 до 400 мс. Их суммарная
     длительность равна
                      (120 – 10) + (200 – 130) + (400 – 250) = 330.
     Ответ для примера: 3; 330.
     Типовой пример имеет иллюстративный характер. Для выполнения задания
     используйте данные из прилагаемых файлов.
                                    согласия СтатГрад запрещена
            Задание выполняется с использованием прилагаемых файлов.</x:v>
      </x:c>
      <x:c r="N4435" s="30" t="str">
        <x:v>359; 86023641</x:v>
      </x:c>
      <x:c r="O4435" s="30" t="str">
        <x:v>Интервалы отсортированы и объединены; рассчитаны активные интервалы и дополнение до полных суток.</x:v>
      </x:c>
      <x:c r="P4435" s="30" t="str">
        <x:v>Задание независимо пересчитано программно или аналитически; результат совпал с официальным ключом.</x:v>
      </x:c>
      <x:c r="Q4435" s="30"/>
      <x:c r="R4435" s="30" t="str">
        <x:v>359; 86023641</x:v>
      </x:c>
      <x:c r="S4435" s="30"/>
      <x:c r="T4435" s="30" t="str">
        <x:v>image_2025-12-17_11-53-34.png</x:v>
      </x:c>
      <x:c r="U4435" s="30" t="str">
        <x:v>Расхождений нет.</x:v>
      </x:c>
      <x:c r="V4435" s="87" t="str">
        <x:v>VERIFIED</x:v>
      </x:c>
      <x:c r="W4435" s="87" t="n">
        <x:v>32</x:v>
      </x:c>
      <x:c r="X4435" s="87"/>
      <x:c r="Y4435" s="87"/>
      <x:c r="Z4435" s="87"/>
      <x:c r="AA4435" s="87"/>
      <x:c r="AB4435" s="87"/>
      <x:c r="AC4435" s="87" t="str">
        <x:v>VIS-INF-DEC-TASK-202-P015</x:v>
      </x:c>
      <x:c r="AD4435" s="87"/>
      <x:c r="AE4435" s="87" t="str">
        <x:v>TASK</x:v>
      </x:c>
      <x:c r="AF4435" s="87"/>
      <x:c r="AG4435" s="87" t="str">
        <x:v>RESOLVED / HASH_ONLY_QA</x:v>
      </x:c>
      <x:c r="AH4435" s="87" t="str">
        <x:v>ASSET_HASH_VERIFIED_QA_UNSPECIFIED</x:v>
      </x:c>
      <x:c r="AI4435" s="30"/>
      <x:c r="AJ4435" s="87" t="str">
        <x:v>clean</x:v>
      </x:c>
      <x:c r="AK4435" s="87" t="str">
        <x:v>clean-v0.06</x:v>
      </x:c>
      <x:c r="AL4435" s="87" t="str">
        <x:v>statgrad_clean_continuation_v0_06(1).xlsx</x:v>
      </x:c>
      <x:c r="AM4435" s="87" t="str">
        <x:v>INF_Dec_V2</x:v>
      </x:c>
      <x:c r="AN4435" s="87" t="n">
        <x:v>27</x:v>
      </x:c>
    </x:row>
    <x:row r="4436">
      <x:c r="A4436" s="87" t="n">
        <x:v>4435</x:v>
      </x:c>
      <x:c r="B4436" s="87" t="str">
        <x:v>DEC-INF-02-027</x:v>
      </x:c>
      <x:c r="C4436" s="87" t="str">
        <x:v>СтатГрад</x:v>
      </x:c>
      <x:c r="D4436" s="87" t="str">
        <x:v>Декабрь 2025</x:v>
      </x:c>
      <x:c r="E4436" s="87"/>
      <x:c r="F4436" s="87"/>
      <x:c r="G4436" s="87" t="str">
        <x:v>Информатика</x:v>
      </x:c>
      <x:c r="H4436" s="87" t="n">
        <x:v>11</x:v>
      </x:c>
      <x:c r="I4436" s="87" t="str">
        <x:v>ТР №2</x:v>
      </x:c>
      <x:c r="J4436" s="87" t="str">
        <x:v>ИН2510202</x:v>
      </x:c>
      <x:c r="K4436" s="87" t="n">
        <x:v>27</x:v>
      </x:c>
      <x:c r="L4436" s="87" t="str">
        <x:v>Кластеризация</x:v>
      </x:c>
      <x:c r="M4436" s="30" t="str">
        <x:v>Фрагмент звёздного неба спроецирован на плоскость с декартовой системой
     координат. Учёный решил провести кластеризацию полученных точек,
     являющихся изображениями звёзд, то есть разбить их множество на N
     непересекающихся непустых подмножеств (кластеров), таких что точки
     каждого подмножества лежат внутри прямоугольника со сторонами длиной
     H и W, причём эти прямоугольники между собой не пересекаются. Стороны
     прямоугольников не обязательно параллельны координатным осям.
     Гарантируется, что такое разбиение существует и единственно для заданных
     размеров прямоугольников.
     Диаметром кластера назовём максимальное расстояние между двумя точками
     в кластере. Для каждого кластера гарантируется, что диаметр образует
     единственная пара точек. Расстояние между двумя точками на плоскости
     A(x 1 , y 1 ) и B(x 2 , y 2 ) вычисляется по формуле:
                                 d ( A, B ) =   ( x2 − x1 ) + ( y2 − y1 ) .
                                                          2             2
     В файле А хранятся данные о звёздах двух кластеров, где H = 3, W = 4 для
     каждого кластера. В каждой строке записана информация о расположении на
     карте одной звезды: сначала координата x, затем координата y. Значения даны в
     условных единицах. Известно, что количество звёзд не превышает 1000.
     В файле Б хранятся данные о звёздах трёх кластеров, где H = 6, W = 5 для
     каждого кластера. Известно, что количество звёзд не превышает 10000.
     Структура хранения информации о звёздах в файле Б аналогична файлу А.
     Известно, что в файле Б имеются координаты ровно трёх «лишних» точек,
     являющихся аномалиями, возникшими в результате помех при передаче
     данных. Эти три точки не относятся ни к одному из кластеров, их учитывать
     не нужно.
     Для файла А найдите пары точек, которые образуют диаметр каждого
     кластера. Затем вычислите два числа: P x – максимальную из сумм абсцисс
     этих точек для всех кластеров и P y – максимальную из сумм ординат этих
     точек для всех кластеров. Для файла Б найдите два числа: Q 1 – диаметр
     кластера с максимальным количеством точек и Q 2 – максимальное
     расстояние от точки, образующей диаметр одного кластера, до точки,
     образующей диаметр другого кластера.
     Гарантируется, что во всех кластерах количество точек различно.
                                    согласия СтатГрад запрещена
В ответе запишите четыре числа: в первой строке – сначала целую часть
абсолютного значения произведения P x × 10000, затем целую часть абсолютного
значения произведения Py × 10000; во второй строке – сначала целую часть
произведения Q1× 10000, затем целую часть произведения Q2 × 10 000.
Возможные данные одного из файлов иллюстрированы графиком.
Внимание! График приведён в иллюстративных целях                                      для
произвольных значений, не имеющих отношения к заданию.
Для выполнения задания используйте данные из прилагаемого файла.
                               согласия СтатГрад запрещена</x:v>
      </x:c>
      <x:c r="N4436" s="30" t="str">
        <x:v>442426; 428913; 30588; 488624</x:v>
      </x:c>
      <x:c r="O4436" s="30" t="str">
        <x:v>DBSCAN выделил 2 кластера в A и 3 кластера в B; три шумовые точки B исключены. Диаметры найдены полным попарным расчётом.</x:v>
      </x:c>
      <x:c r="P4436" s="30" t="str">
        <x:v>Задание независимо пересчитано программно или аналитически; результат совпал с официальным ключом.</x:v>
      </x:c>
      <x:c r="Q4436" s="30"/>
      <x:c r="R4436" s="30" t="str">
        <x:v>442426; 428913; 30588; 488624</x:v>
      </x:c>
      <x:c r="S4436" s="30"/>
      <x:c r="T4436" s="30" t="str">
        <x:v>image_2025-12-17_11-53-34.png</x:v>
      </x:c>
      <x:c r="U4436" s="30" t="str">
        <x:v>Расхождений нет.</x:v>
      </x:c>
      <x:c r="V4436" s="87" t="str">
        <x:v>VERIFIED</x:v>
      </x:c>
      <x:c r="W4436" s="87" t="n">
        <x:v>33</x:v>
      </x:c>
      <x:c r="X4436" s="87"/>
      <x:c r="Y4436" s="87"/>
      <x:c r="Z4436" s="87"/>
      <x:c r="AA4436" s="87"/>
      <x:c r="AB4436" s="87"/>
      <x:c r="AC4436" s="87" t="str">
        <x:v>VIS-INF-DEC-TASK-202-P016</x:v>
      </x:c>
      <x:c r="AD4436" s="87"/>
      <x:c r="AE4436" s="87" t="str">
        <x:v>TASK</x:v>
      </x:c>
      <x:c r="AF4436" s="87"/>
      <x:c r="AG4436" s="87" t="str">
        <x:v>RESOLVED / HASH_ONLY_QA</x:v>
      </x:c>
      <x:c r="AH4436" s="87" t="str">
        <x:v>ASSET_HASH_VERIFIED_QA_UNSPECIFIED; TASK_CROP_QA_APPROVED:MANUAL_BBOX</x:v>
      </x:c>
      <x:c r="AI4436" s="30"/>
      <x:c r="AJ4436" s="87" t="str">
        <x:v>clean</x:v>
      </x:c>
      <x:c r="AK4436" s="87" t="str">
        <x:v>clean-v0.06</x:v>
      </x:c>
      <x:c r="AL4436" s="87" t="str">
        <x:v>statgrad_clean_continuation_v0_06(1).xlsx</x:v>
      </x:c>
      <x:c r="AM4436" s="87" t="str">
        <x:v>INF_Dec_V2</x:v>
      </x:c>
      <x:c r="AN4436" s="87" t="n">
        <x:v>28</x:v>
      </x:c>
    </x:row>
    <x:row r="4437">
      <x:c r="A4437" s="87" t="n">
        <x:v>4436</x:v>
      </x:c>
      <x:c r="B4437" s="87" t="str">
        <x:v>DEC-MATH-01-001</x:v>
      </x:c>
      <x:c r="C4437" s="87" t="str">
        <x:v>СтатГрад</x:v>
      </x:c>
      <x:c r="D4437" s="87" t="str">
        <x:v>Декабрь 2025</x:v>
      </x:c>
      <x:c r="E4437" s="87"/>
      <x:c r="F4437" s="87"/>
      <x:c r="G4437" s="87" t="str">
        <x:v>Математика</x:v>
      </x:c>
      <x:c r="H4437" s="87" t="n">
        <x:v>11</x:v>
      </x:c>
      <x:c r="I4437" s="87" t="str">
        <x:v>ТР №2</x:v>
      </x:c>
      <x:c r="J4437" s="87" t="str">
        <x:v>МА2510201</x:v>
      </x:c>
      <x:c r="K4437" s="87" t="n">
        <x:v>1</x:v>
      </x:c>
      <x:c r="L4437" s="87" t="str">
        <x:v>Практическая арифметика</x:v>
      </x:c>
      <x:c r="M4437" s="30" t="str">
        <x:v>Сырок стоит 76 рублей. Какое наибольшее число сырков можно купить на 880 рублей?</x:v>
      </x:c>
      <x:c r="N4437" s="30" t="str">
        <x:v>11</x:v>
      </x:c>
      <x:c r="O4437" s="30" t="str">
        <x:v>Выполнено деление/сравнение стоимости; взята целая часть либо разность затрат.</x:v>
      </x:c>
      <x:c r="P4437" s="30" t="str">
        <x:v>Условие и полный визуал просмотрены; ответ пересчитан/логически проверен и совпал с LOCKED-ключом.</x:v>
      </x:c>
      <x:c r="Q4437" s="30"/>
      <x:c r="R4437" s="30" t="str">
        <x:v>11</x:v>
      </x:c>
      <x:c r="S4437" s="30"/>
      <x:c r="T4437" s="30" t="str">
        <x:v>База.jpg (Запад)</x:v>
      </x:c>
      <x:c r="U4437" s="30" t="str">
        <x:v>Расхождений нет.</x:v>
      </x:c>
      <x:c r="V4437" s="87" t="str">
        <x:v>VERIFIED</x:v>
      </x:c>
      <x:c r="W4437" s="87"/>
      <x:c r="X4437" s="87" t="n">
        <x:v>2</x:v>
      </x:c>
      <x:c r="Y4437" s="87"/>
      <x:c r="Z4437" s="87"/>
      <x:c r="AA4437" s="87"/>
      <x:c r="AB4437" s="87" t="str">
        <x:v>таблица, строка 1</x:v>
      </x:c>
      <x:c r="AC4437" s="87" t="str">
        <x:v>VIS-MATH-DEC-BW-TASK-P002</x:v>
      </x:c>
      <x:c r="AD4437" s="87" t="str">
        <x:v>VIS-MATH-DEC-KEY-BW</x:v>
      </x:c>
      <x:c r="AE4437" s="87" t="str">
        <x:v>TASK; KEY</x:v>
      </x:c>
      <x:c r="AF4437" s="87" t="str">
        <x:v>VIS-MATH-DEC-BW-TASK-P002: 2; VIS-MATH-DEC-KEY-BW: 1</x:v>
      </x:c>
      <x:c r="AG4437" s="87" t="str">
        <x:v>RESOLVED</x:v>
      </x:c>
      <x:c r="AH4437" s="87" t="str">
        <x:v>CROP_VERIFIED</x:v>
      </x:c>
      <x:c r="AI4437" s="30" t="str">
        <x:v>{"Уровень": "Базовый"}</x:v>
      </x:c>
      <x:c r="AJ4437" s="87" t="str">
        <x:v>clean</x:v>
      </x:c>
      <x:c r="AK4437" s="87" t="str">
        <x:v>clean-v0.07</x:v>
      </x:c>
      <x:c r="AL4437" s="87" t="str">
        <x:v>statgrad_clean_continuation_v0_07(1).xlsx</x:v>
      </x:c>
      <x:c r="AM4437" s="87" t="str">
        <x:v>MATH_Dec_0201</x:v>
      </x:c>
      <x:c r="AN4437" s="87" t="n">
        <x:v>2</x:v>
      </x:c>
    </x:row>
    <x:row r="4438">
      <x:c r="A4438" s="87" t="n">
        <x:v>4437</x:v>
      </x:c>
      <x:c r="B4438" s="87" t="str">
        <x:v>DEC-MATH-01-002</x:v>
      </x:c>
      <x:c r="C4438" s="87" t="str">
        <x:v>СтатГрад</x:v>
      </x:c>
      <x:c r="D4438" s="87" t="str">
        <x:v>Декабрь 2025</x:v>
      </x:c>
      <x:c r="E4438" s="87"/>
      <x:c r="F4438" s="87"/>
      <x:c r="G4438" s="87" t="str">
        <x:v>Математика</x:v>
      </x:c>
      <x:c r="H4438" s="87" t="n">
        <x:v>11</x:v>
      </x:c>
      <x:c r="I4438" s="87" t="str">
        <x:v>ТР №2</x:v>
      </x:c>
      <x:c r="J4438" s="87" t="str">
        <x:v>МА2510201</x:v>
      </x:c>
      <x:c r="K4438" s="87" t="n">
        <x:v>2</x:v>
      </x:c>
      <x:c r="L4438" s="87" t="str">
        <x:v>Установление соответствия</x:v>
      </x:c>
      <x:c r="M4438"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расстояние между соседними 1) 20 мм 2) 300 м 3) 385 000 км троллейбусными остановками Б) расстояние от Земли до Луны В) расстояние от Москвы до Сочи Г) диаметр монеты 4) 1600 км В таблице под каждой буквой, соответствующей величине, укажите номер её возможного значения. А Б В Г Ответ:</x:v>
      </x:c>
      <x:c r="N4438" s="30" t="str">
        <x:v>2341</x:v>
      </x:c>
      <x:c r="O4438" s="30" t="str">
        <x:v>Величины сопоставлены по реалистичному порядку и единицам измерения.</x:v>
      </x:c>
      <x:c r="P4438" s="30" t="str">
        <x:v>Условие и полный визуал просмотрены; ответ пересчитан/логически проверен и совпал с LOCKED-ключом.</x:v>
      </x:c>
      <x:c r="Q4438" s="30"/>
      <x:c r="R4438" s="30" t="str">
        <x:v>2341</x:v>
      </x:c>
      <x:c r="S4438" s="30"/>
      <x:c r="T4438" s="30" t="str">
        <x:v>База.jpg (Запад)</x:v>
      </x:c>
      <x:c r="U4438" s="30" t="str">
        <x:v>Расхождений нет.</x:v>
      </x:c>
      <x:c r="V4438" s="87" t="str">
        <x:v>VERIFIED</x:v>
      </x:c>
      <x:c r="W4438" s="87"/>
      <x:c r="X4438" s="87" t="n">
        <x:v>2</x:v>
      </x:c>
      <x:c r="Y4438" s="87"/>
      <x:c r="Z4438" s="87"/>
      <x:c r="AA4438" s="87"/>
      <x:c r="AB4438" s="87" t="str">
        <x:v>таблица, строка 1</x:v>
      </x:c>
      <x:c r="AC4438" s="87" t="str">
        <x:v>VIS-MATH-DEC-BW-TASK-P002</x:v>
      </x:c>
      <x:c r="AD4438" s="87" t="str">
        <x:v>VIS-MATH-DEC-KEY-BW</x:v>
      </x:c>
      <x:c r="AE4438" s="87" t="str">
        <x:v>TASK; KEY</x:v>
      </x:c>
      <x:c r="AF4438" s="87" t="str">
        <x:v>VIS-MATH-DEC-BW-TASK-P002: 2; VIS-MATH-DEC-KEY-BW: 1</x:v>
      </x:c>
      <x:c r="AG4438" s="87" t="str">
        <x:v>RESOLVED</x:v>
      </x:c>
      <x:c r="AH4438" s="87" t="str">
        <x:v>CROP_VERIFIED</x:v>
      </x:c>
      <x:c r="AI4438" s="30" t="str">
        <x:v>{"Уровень": "Базовый"}</x:v>
      </x:c>
      <x:c r="AJ4438" s="87" t="str">
        <x:v>clean</x:v>
      </x:c>
      <x:c r="AK4438" s="87" t="str">
        <x:v>clean-v0.07</x:v>
      </x:c>
      <x:c r="AL4438" s="87" t="str">
        <x:v>statgrad_clean_continuation_v0_07(1).xlsx</x:v>
      </x:c>
      <x:c r="AM4438" s="87" t="str">
        <x:v>MATH_Dec_0201</x:v>
      </x:c>
      <x:c r="AN4438" s="87" t="n">
        <x:v>3</x:v>
      </x:c>
    </x:row>
    <x:row r="4439">
      <x:c r="A4439" s="87" t="n">
        <x:v>4438</x:v>
      </x:c>
      <x:c r="B4439" s="87" t="str">
        <x:v>DEC-MATH-01-003</x:v>
      </x:c>
      <x:c r="C4439" s="87" t="str">
        <x:v>СтатГрад</x:v>
      </x:c>
      <x:c r="D4439" s="87" t="str">
        <x:v>Декабрь 2025</x:v>
      </x:c>
      <x:c r="E4439" s="87"/>
      <x:c r="F4439" s="87"/>
      <x:c r="G4439" s="87" t="str">
        <x:v>Математика</x:v>
      </x:c>
      <x:c r="H4439" s="87" t="n">
        <x:v>11</x:v>
      </x:c>
      <x:c r="I4439" s="87" t="str">
        <x:v>ТР №2</x:v>
      </x:c>
      <x:c r="J4439" s="87" t="str">
        <x:v>МА2510201</x:v>
      </x:c>
      <x:c r="K4439" s="87" t="n">
        <x:v>3</x:v>
      </x:c>
      <x:c r="L4439" s="87" t="str">
        <x:v>Анализ таблицы</x:v>
      </x:c>
      <x:c r="M4439" s="30" t="str">
        <x:v>Результаты игры КВН представлены в таблице. Баллы за конкурс «Приветствие» Баллы за конкурс Баллы за музыкальный Команда конкурс «АТОМ» 28 22 26 «Шумы» 29 21 23 «Топчан» 25 21 26 «Лёлек и Болек» 24 23 28 Для каждой команды баллы по всем конкурсам суммируются. Победителем считается команда, набравшая в сумме наибольшее количество баллов. Какое место заняла команда «Лёлек и Болек»? «СТЭМ»</x:v>
      </x:c>
      <x:c r="N4439" s="30" t="str">
        <x:v>2</x:v>
      </x:c>
      <x:c r="O4439" s="30" t="str">
        <x:v>Баллы в строках сложены, после чего определено место указанной команды.</x:v>
      </x:c>
      <x:c r="P4439" s="30" t="str">
        <x:v>Условие и полный визуал просмотрены; ответ пересчитан/логически проверен и совпал с LOCKED-ключом.</x:v>
      </x:c>
      <x:c r="Q4439" s="30"/>
      <x:c r="R4439" s="30" t="str">
        <x:v>2</x:v>
      </x:c>
      <x:c r="S4439" s="30"/>
      <x:c r="T4439" s="30" t="str">
        <x:v>База.jpg (Запад)</x:v>
      </x:c>
      <x:c r="U4439" s="30" t="str">
        <x:v>Расхождений нет.</x:v>
      </x:c>
      <x:c r="V4439" s="87" t="str">
        <x:v>VERIFIED</x:v>
      </x:c>
      <x:c r="W4439" s="87"/>
      <x:c r="X4439" s="87" t="n">
        <x:v>2</x:v>
      </x:c>
      <x:c r="Y4439" s="87"/>
      <x:c r="Z4439" s="87"/>
      <x:c r="AA4439" s="87"/>
      <x:c r="AB4439" s="87" t="str">
        <x:v>таблица, строка 1</x:v>
      </x:c>
      <x:c r="AC4439" s="87" t="str">
        <x:v>VIS-MATH-DEC-BW-TASK-P002</x:v>
      </x:c>
      <x:c r="AD4439" s="87" t="str">
        <x:v>VIS-MATH-DEC-KEY-BW</x:v>
      </x:c>
      <x:c r="AE4439" s="87" t="str">
        <x:v>TASK; KEY</x:v>
      </x:c>
      <x:c r="AF4439" s="87" t="str">
        <x:v>VIS-MATH-DEC-BW-TASK-P002: 2; VIS-MATH-DEC-KEY-BW: 1</x:v>
      </x:c>
      <x:c r="AG4439" s="87" t="str">
        <x:v>RESOLVED</x:v>
      </x:c>
      <x:c r="AH4439" s="87" t="str">
        <x:v>CROP_VERIFIED</x:v>
      </x:c>
      <x:c r="AI4439" s="30" t="str">
        <x:v>{"Уровень": "Базовый"}</x:v>
      </x:c>
      <x:c r="AJ4439" s="87" t="str">
        <x:v>clean</x:v>
      </x:c>
      <x:c r="AK4439" s="87" t="str">
        <x:v>clean-v0.07</x:v>
      </x:c>
      <x:c r="AL4439" s="87" t="str">
        <x:v>statgrad_clean_continuation_v0_07(1).xlsx</x:v>
      </x:c>
      <x:c r="AM4439" s="87" t="str">
        <x:v>MATH_Dec_0201</x:v>
      </x:c>
      <x:c r="AN4439" s="87" t="n">
        <x:v>4</x:v>
      </x:c>
    </x:row>
    <x:row r="4440">
      <x:c r="A4440" s="87" t="n">
        <x:v>4439</x:v>
      </x:c>
      <x:c r="B4440" s="87" t="str">
        <x:v>DEC-MATH-01-004</x:v>
      </x:c>
      <x:c r="C4440" s="87" t="str">
        <x:v>СтатГрад</x:v>
      </x:c>
      <x:c r="D4440" s="87" t="str">
        <x:v>Декабрь 2025</x:v>
      </x:c>
      <x:c r="E4440" s="87"/>
      <x:c r="F4440" s="87"/>
      <x:c r="G4440" s="87" t="str">
        <x:v>Математика</x:v>
      </x:c>
      <x:c r="H4440" s="87" t="n">
        <x:v>11</x:v>
      </x:c>
      <x:c r="I4440" s="87" t="str">
        <x:v>ТР №2</x:v>
      </x:c>
      <x:c r="J4440" s="87" t="str">
        <x:v>МА2510201</x:v>
      </x:c>
      <x:c r="K4440" s="87" t="n">
        <x:v>4</x:v>
      </x:c>
      <x:c r="L4440" s="87" t="str">
        <x:v>Применение формулы</x:v>
      </x:c>
      <x:c r="M4440" s="30" t="str">
        <x:v>Площадь треугольника вычисляется по формуле 1 sinα 2 S bc = , где b и c — две стороны треугольника, а α — угол между ними. Пользуясь этой формулой, найдите площадь S , если 14 b = , 12 c = и 1 sinα 3 = .</x:v>
      </x:c>
      <x:c r="N4440" s="30" t="str">
        <x:v>28</x:v>
      </x:c>
      <x:c r="O4440" s="30" t="str">
        <x:v>Данные подставлены в указанную формулу, неизвестная величина выражена алгебраически.</x:v>
      </x:c>
      <x:c r="P4440" s="30" t="str">
        <x:v>Условие и полный визуал просмотрены; ответ пересчитан/логически проверен и совпал с LOCKED-ключом.</x:v>
      </x:c>
      <x:c r="Q4440" s="30"/>
      <x:c r="R4440" s="30" t="str">
        <x:v>28</x:v>
      </x:c>
      <x:c r="S4440" s="30"/>
      <x:c r="T4440" s="30" t="str">
        <x:v>База.jpg (Запад)</x:v>
      </x:c>
      <x:c r="U4440" s="30" t="str">
        <x:v>Расхождений нет.</x:v>
      </x:c>
      <x:c r="V4440" s="87" t="str">
        <x:v>VERIFIED</x:v>
      </x:c>
      <x:c r="W4440" s="87"/>
      <x:c r="X4440" s="87" t="n">
        <x:v>3</x:v>
      </x:c>
      <x:c r="Y4440" s="87"/>
      <x:c r="Z4440" s="87"/>
      <x:c r="AA4440" s="87"/>
      <x:c r="AB4440" s="87" t="str">
        <x:v>таблица, строка 1</x:v>
      </x:c>
      <x:c r="AC4440" s="87" t="str">
        <x:v>VIS-MATH-DEC-BW-TASK-P003</x:v>
      </x:c>
      <x:c r="AD4440" s="87" t="str">
        <x:v>VIS-MATH-DEC-KEY-BW</x:v>
      </x:c>
      <x:c r="AE4440" s="87" t="str">
        <x:v>TASK; KEY</x:v>
      </x:c>
      <x:c r="AF4440" s="87" t="str">
        <x:v>VIS-MATH-DEC-BW-TASK-P003: 3; VIS-MATH-DEC-KEY-BW: 1</x:v>
      </x:c>
      <x:c r="AG4440" s="87" t="str">
        <x:v>RESOLVED</x:v>
      </x:c>
      <x:c r="AH4440" s="87" t="str">
        <x:v>CROP_VERIFIED</x:v>
      </x:c>
      <x:c r="AI4440" s="30" t="str">
        <x:v>{"Уровень": "Базовый"}</x:v>
      </x:c>
      <x:c r="AJ4440" s="87" t="str">
        <x:v>clean</x:v>
      </x:c>
      <x:c r="AK4440" s="87" t="str">
        <x:v>clean-v0.07</x:v>
      </x:c>
      <x:c r="AL4440" s="87" t="str">
        <x:v>statgrad_clean_continuation_v0_07(1).xlsx</x:v>
      </x:c>
      <x:c r="AM4440" s="87" t="str">
        <x:v>MATH_Dec_0201</x:v>
      </x:c>
      <x:c r="AN4440" s="87" t="n">
        <x:v>5</x:v>
      </x:c>
    </x:row>
    <x:row r="4441">
      <x:c r="A4441" s="87" t="n">
        <x:v>4440</x:v>
      </x:c>
      <x:c r="B4441" s="87" t="str">
        <x:v>DEC-MATH-01-005</x:v>
      </x:c>
      <x:c r="C4441" s="87" t="str">
        <x:v>СтатГрад</x:v>
      </x:c>
      <x:c r="D4441" s="87" t="str">
        <x:v>Декабрь 2025</x:v>
      </x:c>
      <x:c r="E4441" s="87"/>
      <x:c r="F4441" s="87"/>
      <x:c r="G4441" s="87" t="str">
        <x:v>Математика</x:v>
      </x:c>
      <x:c r="H4441" s="87" t="n">
        <x:v>11</x:v>
      </x:c>
      <x:c r="I4441" s="87" t="str">
        <x:v>ТР №2</x:v>
      </x:c>
      <x:c r="J4441" s="87" t="str">
        <x:v>МА2510201</x:v>
      </x:c>
      <x:c r="K4441" s="87" t="n">
        <x:v>5</x:v>
      </x:c>
      <x:c r="L4441" s="87" t="str">
        <x:v>Классическая вероятность</x:v>
      </x:c>
      <x:c r="M4441" s="30" t="str">
        <x:v>На чемпионате по прыжкам в воду выступают 40 спортсменов, среди них 7 прыгунов из России и 6 прыгунов из Китая. Порядок выступлений определяется жеребьёвкой. Найдите вероятность того, что пятым будет выступать прыгун из Китая.</x:v>
      </x:c>
      <x:c r="N4441" s="30" t="str">
        <x:v>0,15</x:v>
      </x:c>
      <x:c r="O4441" s="30" t="str">
        <x:v>Вероятность равна отношению числа благоприятных исходов к общему числу равновозможных исходов.</x:v>
      </x:c>
      <x:c r="P4441" s="30" t="str">
        <x:v>Условие и полный визуал просмотрены; ответ пересчитан/логически проверен и совпал с LOCKED-ключом.</x:v>
      </x:c>
      <x:c r="Q4441" s="30"/>
      <x:c r="R4441" s="30" t="str">
        <x:v>0,15</x:v>
      </x:c>
      <x:c r="S4441" s="30"/>
      <x:c r="T4441" s="30" t="str">
        <x:v>База.jpg (Запад)</x:v>
      </x:c>
      <x:c r="U4441" s="30" t="str">
        <x:v>Расхождений нет.</x:v>
      </x:c>
      <x:c r="V4441" s="87" t="str">
        <x:v>VERIFIED</x:v>
      </x:c>
      <x:c r="W4441" s="87"/>
      <x:c r="X4441" s="87" t="n">
        <x:v>3</x:v>
      </x:c>
      <x:c r="Y4441" s="87"/>
      <x:c r="Z4441" s="87"/>
      <x:c r="AA4441" s="87"/>
      <x:c r="AB4441" s="87" t="str">
        <x:v>таблица, строка 1</x:v>
      </x:c>
      <x:c r="AC4441" s="87" t="str">
        <x:v>VIS-MATH-DEC-BW-TASK-P003</x:v>
      </x:c>
      <x:c r="AD4441" s="87" t="str">
        <x:v>VIS-MATH-DEC-KEY-BW</x:v>
      </x:c>
      <x:c r="AE4441" s="87" t="str">
        <x:v>TASK; KEY</x:v>
      </x:c>
      <x:c r="AF4441" s="87" t="str">
        <x:v>VIS-MATH-DEC-BW-TASK-P003: 3; VIS-MATH-DEC-KEY-BW: 1</x:v>
      </x:c>
      <x:c r="AG4441" s="87" t="str">
        <x:v>RESOLVED</x:v>
      </x:c>
      <x:c r="AH4441" s="87" t="str">
        <x:v>CROP_VERIFIED</x:v>
      </x:c>
      <x:c r="AI4441" s="30" t="str">
        <x:v>{"Уровень": "Базовый"}</x:v>
      </x:c>
      <x:c r="AJ4441" s="87" t="str">
        <x:v>clean</x:v>
      </x:c>
      <x:c r="AK4441" s="87" t="str">
        <x:v>clean-v0.07</x:v>
      </x:c>
      <x:c r="AL4441" s="87" t="str">
        <x:v>statgrad_clean_continuation_v0_07(1).xlsx</x:v>
      </x:c>
      <x:c r="AM4441" s="87" t="str">
        <x:v>MATH_Dec_0201</x:v>
      </x:c>
      <x:c r="AN4441" s="87" t="n">
        <x:v>6</x:v>
      </x:c>
    </x:row>
    <x:row r="4442">
      <x:c r="A4442" s="87" t="n">
        <x:v>4441</x:v>
      </x:c>
      <x:c r="B4442" s="87" t="str">
        <x:v>DEC-MATH-01-006</x:v>
      </x:c>
      <x:c r="C4442" s="87" t="str">
        <x:v>СтатГрад</x:v>
      </x:c>
      <x:c r="D4442" s="87" t="str">
        <x:v>Декабрь 2025</x:v>
      </x:c>
      <x:c r="E4442" s="87"/>
      <x:c r="F4442" s="87"/>
      <x:c r="G4442" s="87" t="str">
        <x:v>Математика</x:v>
      </x:c>
      <x:c r="H4442" s="87" t="n">
        <x:v>11</x:v>
      </x:c>
      <x:c r="I4442" s="87" t="str">
        <x:v>ТР №2</x:v>
      </x:c>
      <x:c r="J4442" s="87" t="str">
        <x:v>МА2510201</x:v>
      </x:c>
      <x:c r="K4442" s="87" t="n">
        <x:v>6</x:v>
      </x:c>
      <x:c r="L4442" s="87" t="str">
        <x:v>Выбор по условиям</x:v>
      </x:c>
      <x:c r="M4442" s="30" t="str">
        <x:v>В таблице представлены сведения о пиццах в интернет-магазине. Номер пиццы Состав/название Тип Стоимость (руб.) 1 Говядина, оливки, помидоры Мясная 900 2 Ветчина Мясная 500 3 «2 сыра» Вегетарианская 750 4 Курица, грибы, майонез Мясная 580 5 Оливки, сладкий перец, помидоры Вегетарианская 880 6 Ветчина, грибы Мясная 610 Виталию нужно купить три разные пиццы так, чтобы среди них была хотя бы одна с грибами, хотя бы одна вегетарианская и хотя бы одна мясная. Какие пиццы должен выбрать Виталий, если он рассчитывает потратить на всё не более 1900 рублей? В ответе укажите какой-нибудь один набор номеров пицц без пробелов, запятых и других дополнительных символов.</x:v>
      </x:c>
      <x:c r="N4442" s="30" t="str">
        <x:v>236</x:v>
      </x:c>
      <x:c r="O4442" s="30" t="str">
        <x:v>Набор проверен по всем ограничениям: типы, обязательный ингредиент и бюджет.</x:v>
      </x:c>
      <x:c r="P4442" s="30" t="str">
        <x:v>Условие и полный визуал просмотрены; ответ пересчитан/логически проверен и совпал с LOCKED-ключом.</x:v>
      </x:c>
      <x:c r="Q4442" s="30"/>
      <x:c r="R4442" s="30" t="str">
        <x:v>236</x:v>
      </x:c>
      <x:c r="S4442" s="30"/>
      <x:c r="T4442" s="30" t="str">
        <x:v>База.jpg (Запад)</x:v>
      </x:c>
      <x:c r="U4442" s="30" t="str">
        <x:v>Расхождений нет.</x:v>
      </x:c>
      <x:c r="V4442" s="87" t="str">
        <x:v>VERIFIED</x:v>
      </x:c>
      <x:c r="W4442" s="87"/>
      <x:c r="X4442" s="87" t="n">
        <x:v>3</x:v>
      </x:c>
      <x:c r="Y4442" s="87"/>
      <x:c r="Z4442" s="87"/>
      <x:c r="AA4442" s="87"/>
      <x:c r="AB4442" s="87" t="str">
        <x:v>таблица, строка 1</x:v>
      </x:c>
      <x:c r="AC4442" s="87" t="str">
        <x:v>VIS-MATH-DEC-BW-TASK-P003</x:v>
      </x:c>
      <x:c r="AD4442" s="87" t="str">
        <x:v>VIS-MATH-DEC-KEY-BW</x:v>
      </x:c>
      <x:c r="AE4442" s="87" t="str">
        <x:v>TASK; KEY</x:v>
      </x:c>
      <x:c r="AF4442" s="87" t="str">
        <x:v>VIS-MATH-DEC-BW-TASK-P003: 3; VIS-MATH-DEC-KEY-BW: 1</x:v>
      </x:c>
      <x:c r="AG4442" s="87" t="str">
        <x:v>RESOLVED</x:v>
      </x:c>
      <x:c r="AH4442" s="87" t="str">
        <x:v>CROP_VERIFIED; TASK_CROP_QA_APPROVED:USE_TIGHT</x:v>
      </x:c>
      <x:c r="AI4442" s="30" t="str">
        <x:v>{"Уровень": "Базовый"}</x:v>
      </x:c>
      <x:c r="AJ4442" s="87" t="str">
        <x:v>clean</x:v>
      </x:c>
      <x:c r="AK4442" s="87" t="str">
        <x:v>clean-v0.07</x:v>
      </x:c>
      <x:c r="AL4442" s="87" t="str">
        <x:v>statgrad_clean_continuation_v0_07(1).xlsx</x:v>
      </x:c>
      <x:c r="AM4442" s="87" t="str">
        <x:v>MATH_Dec_0201</x:v>
      </x:c>
      <x:c r="AN4442" s="87" t="n">
        <x:v>7</x:v>
      </x:c>
    </x:row>
    <x:row r="4443">
      <x:c r="A4443" s="87" t="n">
        <x:v>4442</x:v>
      </x:c>
      <x:c r="B4443" s="87" t="str">
        <x:v>DEC-MATH-01-007</x:v>
      </x:c>
      <x:c r="C4443" s="87" t="str">
        <x:v>СтатГрад</x:v>
      </x:c>
      <x:c r="D4443" s="87" t="str">
        <x:v>Декабрь 2025</x:v>
      </x:c>
      <x:c r="E4443" s="87"/>
      <x:c r="F4443" s="87"/>
      <x:c r="G4443" s="87" t="str">
        <x:v>Математика</x:v>
      </x:c>
      <x:c r="H4443" s="87" t="n">
        <x:v>11</x:v>
      </x:c>
      <x:c r="I4443" s="87" t="str">
        <x:v>ТР №2</x:v>
      </x:c>
      <x:c r="J4443" s="87" t="str">
        <x:v>МА2510201</x:v>
      </x:c>
      <x:c r="K4443" s="87" t="n">
        <x:v>7</x:v>
      </x:c>
      <x:c r="L4443" s="87" t="str">
        <x:v>Анализ графика</x:v>
      </x:c>
      <x:c r="M4443" s="30" t="str">
        <x:v>На рисунке изображён график функции ( ) y f x = . Числа a , b, c , d и e задают на оси Ox интервалы. у y = f (x) c b d e a 0 х Пользуясь графиком, поставьте в соответствие каждому интервалу характеристику функции. ИНТЕРВАЛЫ ХАРАКТЕРИСТИКИ А) ( ) ;a b 1) Значение функции отрицательно в каждой точке интервала. 2) Значение функции положительно Б) ( ) ;b c В) ( ) ;c d в каждой точке интервала. 3) Функция возрастает на интервале. 4) Функция убывает на интервале. Г) ( ) ; d e В таблице под каждой буквой укажите соответствующий номер. А Б В Г Ответ:</x:v>
      </x:c>
      <x:c r="N4443" s="30" t="str">
        <x:v>1324</x:v>
      </x:c>
      <x:c r="O4443" s="30" t="str">
        <x:v>По графику определены знак и монотонность функции на четырёх интервалах.</x:v>
      </x:c>
      <x:c r="P4443" s="30" t="str">
        <x:v>Условие и полный визуал просмотрены; ответ пересчитан/логически проверен и совпал с LOCKED-ключом.</x:v>
      </x:c>
      <x:c r="Q4443" s="30"/>
      <x:c r="R4443" s="30" t="str">
        <x:v>1324</x:v>
      </x:c>
      <x:c r="S4443" s="30"/>
      <x:c r="T4443" s="30" t="str">
        <x:v>База.jpg (Запад)</x:v>
      </x:c>
      <x:c r="U4443" s="30" t="str">
        <x:v>Расхождений нет.</x:v>
      </x:c>
      <x:c r="V4443" s="87" t="str">
        <x:v>VERIFIED</x:v>
      </x:c>
      <x:c r="W4443" s="87"/>
      <x:c r="X4443" s="87" t="n">
        <x:v>4</x:v>
      </x:c>
      <x:c r="Y4443" s="87"/>
      <x:c r="Z4443" s="87"/>
      <x:c r="AA4443" s="87"/>
      <x:c r="AB4443" s="87" t="str">
        <x:v>таблица, строка 1</x:v>
      </x:c>
      <x:c r="AC4443" s="87" t="str">
        <x:v>VIS-MATH-DEC-BW-TASK-P004</x:v>
      </x:c>
      <x:c r="AD4443" s="87" t="str">
        <x:v>VIS-MATH-DEC-KEY-BW</x:v>
      </x:c>
      <x:c r="AE4443" s="87" t="str">
        <x:v>TASK; KEY</x:v>
      </x:c>
      <x:c r="AF4443" s="87" t="str">
        <x:v>VIS-MATH-DEC-BW-TASK-P004: 4; VIS-MATH-DEC-KEY-BW: 1</x:v>
      </x:c>
      <x:c r="AG4443" s="87" t="str">
        <x:v>RESOLVED</x:v>
      </x:c>
      <x:c r="AH4443" s="87" t="str">
        <x:v>CROP_VERIFIED; TASK_CROP_QA_APPROVED:USE_CONTEXT</x:v>
      </x:c>
      <x:c r="AI4443" s="30" t="str">
        <x:v>{"Уровень": "Базовый"}</x:v>
      </x:c>
      <x:c r="AJ4443" s="87" t="str">
        <x:v>clean</x:v>
      </x:c>
      <x:c r="AK4443" s="87" t="str">
        <x:v>clean-v0.07</x:v>
      </x:c>
      <x:c r="AL4443" s="87" t="str">
        <x:v>statgrad_clean_continuation_v0_07(1).xlsx</x:v>
      </x:c>
      <x:c r="AM4443" s="87" t="str">
        <x:v>MATH_Dec_0201</x:v>
      </x:c>
      <x:c r="AN4443" s="87" t="n">
        <x:v>8</x:v>
      </x:c>
    </x:row>
    <x:row r="4444">
      <x:c r="A4444" s="87" t="n">
        <x:v>4443</x:v>
      </x:c>
      <x:c r="B4444" s="87" t="str">
        <x:v>DEC-MATH-01-008</x:v>
      </x:c>
      <x:c r="C4444" s="87" t="str">
        <x:v>СтатГрад</x:v>
      </x:c>
      <x:c r="D4444" s="87" t="str">
        <x:v>Декабрь 2025</x:v>
      </x:c>
      <x:c r="E4444" s="87"/>
      <x:c r="F4444" s="87"/>
      <x:c r="G4444" s="87" t="str">
        <x:v>Математика</x:v>
      </x:c>
      <x:c r="H4444" s="87" t="n">
        <x:v>11</x:v>
      </x:c>
      <x:c r="I4444" s="87" t="str">
        <x:v>ТР №2</x:v>
      </x:c>
      <x:c r="J4444" s="87" t="str">
        <x:v>МА2510201</x:v>
      </x:c>
      <x:c r="K4444" s="87" t="n">
        <x:v>8</x:v>
      </x:c>
      <x:c r="L4444" s="87" t="str">
        <x:v>Логические утверждения</x:v>
      </x:c>
      <x:c r="M4444" s="30" t="str">
        <x:v>Некоторые учащиеся 11-х классов школы ходили в октябре на спектакль «Вишнёвый сад». В декабре некоторые одиннадцатиклассники пойдут на постановку по пьесе «Три сестры», причём среди них не будет тех, кто ходил в октябре на спектакль «Вишнёвый сад». Выберите утверждения, которые будут верны при указанных условиях независимо от того, кто из одиннадцатиклассников пойдёт на постановку по пьесе «Три сестры». 1) Нет ни одного одиннадцатиклассника, который ходил на спектакль «Вишнёвый сад» и пойдёт на постановку по пьесе «Три сестры». 2) Каждый учащийся 11-х классов, который не был на спектакле «Вишнёвый сад», пойдёт на постановку по пьесе «Три сестры». 3) Среди учащихся 11-х классов этой школы, которые не пойдут на постановку по пьесе «Три сестры», есть хотя бы один, который ходил на спектакль «Вишнёвый сад». 4) Найдётся одиннадцатиклассник, который не ходил на спектакль «Вишнёвый сад» и не пойдёт на постановку по пьесе «Три сестры». В ответе запишите номера выбранных утверждений без пробелов, запятых и других дополнительных символов.</x:v>
      </x:c>
      <x:c r="N4444" s="30" t="str">
        <x:v>13</x:v>
      </x:c>
      <x:c r="O4444" s="30" t="str">
        <x:v>Использовано условие непересечения двух множеств; выбраны утверждения, истинные при любом составе второго множества.</x:v>
      </x:c>
      <x:c r="P4444" s="30" t="str">
        <x:v>Условие и полный визуал просмотрены; ответ пересчитан/логически проверен и совпал с LOCKED-ключом.</x:v>
      </x:c>
      <x:c r="Q4444" s="30"/>
      <x:c r="R4444" s="30" t="str">
        <x:v>13</x:v>
      </x:c>
      <x:c r="S4444" s="30"/>
      <x:c r="T4444" s="30" t="str">
        <x:v>База.jpg (Запад)</x:v>
      </x:c>
      <x:c r="U4444" s="30" t="str">
        <x:v>Расхождений нет.</x:v>
      </x:c>
      <x:c r="V4444" s="87" t="str">
        <x:v>VERIFIED</x:v>
      </x:c>
      <x:c r="W4444" s="87"/>
      <x:c r="X4444" s="87" t="n">
        <x:v>5</x:v>
      </x:c>
      <x:c r="Y4444" s="87"/>
      <x:c r="Z4444" s="87"/>
      <x:c r="AA4444" s="87"/>
      <x:c r="AB4444" s="87" t="str">
        <x:v>таблица, строка 1</x:v>
      </x:c>
      <x:c r="AC4444" s="87" t="str">
        <x:v>VIS-MATH-DEC-BW-TASK-P005</x:v>
      </x:c>
      <x:c r="AD4444" s="87" t="str">
        <x:v>VIS-MATH-DEC-KEY-BW</x:v>
      </x:c>
      <x:c r="AE4444" s="87" t="str">
        <x:v>TASK; KEY</x:v>
      </x:c>
      <x:c r="AF4444" s="87" t="str">
        <x:v>VIS-MATH-DEC-BW-TASK-P005: 5; VIS-MATH-DEC-KEY-BW: 1</x:v>
      </x:c>
      <x:c r="AG4444" s="87" t="str">
        <x:v>RESOLVED</x:v>
      </x:c>
      <x:c r="AH4444" s="87" t="str">
        <x:v>CROP_VERIFIED</x:v>
      </x:c>
      <x:c r="AI4444" s="30" t="str">
        <x:v>{"Уровень": "Базовый"}</x:v>
      </x:c>
      <x:c r="AJ4444" s="87" t="str">
        <x:v>clean</x:v>
      </x:c>
      <x:c r="AK4444" s="87" t="str">
        <x:v>clean-v0.07</x:v>
      </x:c>
      <x:c r="AL4444" s="87" t="str">
        <x:v>statgrad_clean_continuation_v0_07(1).xlsx</x:v>
      </x:c>
      <x:c r="AM4444" s="87" t="str">
        <x:v>MATH_Dec_0201</x:v>
      </x:c>
      <x:c r="AN4444" s="87" t="n">
        <x:v>9</x:v>
      </x:c>
    </x:row>
    <x:row r="4445">
      <x:c r="A4445" s="87" t="n">
        <x:v>4444</x:v>
      </x:c>
      <x:c r="B4445" s="87" t="str">
        <x:v>DEC-MATH-01-009</x:v>
      </x:c>
      <x:c r="C4445" s="87" t="str">
        <x:v>СтатГрад</x:v>
      </x:c>
      <x:c r="D4445" s="87" t="str">
        <x:v>Декабрь 2025</x:v>
      </x:c>
      <x:c r="E4445" s="87"/>
      <x:c r="F4445" s="87"/>
      <x:c r="G4445" s="87" t="str">
        <x:v>Математика</x:v>
      </x:c>
      <x:c r="H4445" s="87" t="n">
        <x:v>11</x:v>
      </x:c>
      <x:c r="I4445" s="87" t="str">
        <x:v>ТР №2</x:v>
      </x:c>
      <x:c r="J4445" s="87" t="str">
        <x:v>МА2510201</x:v>
      </x:c>
      <x:c r="K4445" s="87" t="n">
        <x:v>9</x:v>
      </x:c>
      <x:c r="L4445" s="87" t="str">
        <x:v>Площадь по клеткам</x:v>
      </x:c>
      <x:c r="M4445" s="30" t="str">
        <x:v>В ответе запишите номера выбранных утверждений без пробелов, запятых и других дополнительных символов. План местности разбит на клетки. Каждая клетка обозначает квадрат 1м 1м × . Найдите площадь участка, выделенного на плане. Ответ дайте в квадратных метрах.</x:v>
      </x:c>
      <x:c r="N4445" s="30" t="str">
        <x:v>12</x:v>
      </x:c>
      <x:c r="O4445" s="30" t="str">
        <x:v>Площадь получена подсчётом целых и составных клеток на полном изображении задания.</x:v>
      </x:c>
      <x:c r="P4445" s="30" t="str">
        <x:v>Условие и полный визуал просмотрены; ответ пересчитан/логически проверен и совпал с LOCKED-ключом.</x:v>
      </x:c>
      <x:c r="Q4445" s="30"/>
      <x:c r="R4445" s="30" t="str">
        <x:v>12</x:v>
      </x:c>
      <x:c r="S4445" s="30"/>
      <x:c r="T4445" s="30" t="str">
        <x:v>База.jpg (Запад)</x:v>
      </x:c>
      <x:c r="U4445" s="30" t="str">
        <x:v>Расхождений нет.</x:v>
      </x:c>
      <x:c r="V4445" s="87" t="str">
        <x:v>VERIFIED</x:v>
      </x:c>
      <x:c r="W4445" s="87"/>
      <x:c r="X4445" s="87" t="n">
        <x:v>5</x:v>
      </x:c>
      <x:c r="Y4445" s="87"/>
      <x:c r="Z4445" s="87"/>
      <x:c r="AA4445" s="87"/>
      <x:c r="AB4445" s="87" t="str">
        <x:v>таблица, строка 1</x:v>
      </x:c>
      <x:c r="AC4445" s="87" t="str">
        <x:v>VIS-MATH-DEC-BW-TASK-P005</x:v>
      </x:c>
      <x:c r="AD4445" s="87" t="str">
        <x:v>VIS-MATH-DEC-KEY-BW</x:v>
      </x:c>
      <x:c r="AE4445" s="87" t="str">
        <x:v>TASK; KEY</x:v>
      </x:c>
      <x:c r="AF4445" s="87" t="str">
        <x:v>VIS-MATH-DEC-BW-TASK-P005: 5; VIS-MATH-DEC-KEY-BW: 1</x:v>
      </x:c>
      <x:c r="AG4445" s="87" t="str">
        <x:v>RESOLVED</x:v>
      </x:c>
      <x:c r="AH4445" s="87" t="str">
        <x:v>CROP_VERIFIED; TASK_CROP_QA_APPROVED:USE_TIGHT</x:v>
      </x:c>
      <x:c r="AI4445" s="30" t="str">
        <x:v>{"Уровень": "Базовый"}</x:v>
      </x:c>
      <x:c r="AJ4445" s="87" t="str">
        <x:v>clean</x:v>
      </x:c>
      <x:c r="AK4445" s="87" t="str">
        <x:v>clean-v0.07</x:v>
      </x:c>
      <x:c r="AL4445" s="87" t="str">
        <x:v>statgrad_clean_continuation_v0_07(1).xlsx</x:v>
      </x:c>
      <x:c r="AM4445" s="87" t="str">
        <x:v>MATH_Dec_0201</x:v>
      </x:c>
      <x:c r="AN4445" s="87" t="n">
        <x:v>10</x:v>
      </x:c>
    </x:row>
    <x:row r="4446">
      <x:c r="A4446" s="87" t="n">
        <x:v>4445</x:v>
      </x:c>
      <x:c r="B4446" s="87" t="str">
        <x:v>DEC-MATH-01-010</x:v>
      </x:c>
      <x:c r="C4446" s="87" t="str">
        <x:v>СтатГрад</x:v>
      </x:c>
      <x:c r="D4446" s="87" t="str">
        <x:v>Декабрь 2025</x:v>
      </x:c>
      <x:c r="E4446" s="87"/>
      <x:c r="F4446" s="87"/>
      <x:c r="G4446" s="87" t="str">
        <x:v>Математика</x:v>
      </x:c>
      <x:c r="H4446" s="87" t="n">
        <x:v>11</x:v>
      </x:c>
      <x:c r="I4446" s="87" t="str">
        <x:v>ТР №2</x:v>
      </x:c>
      <x:c r="J4446" s="87" t="str">
        <x:v>МА2510201</x:v>
      </x:c>
      <x:c r="K4446" s="87" t="n">
        <x:v>10</x:v>
      </x:c>
      <x:c r="L4446" s="87" t="str">
        <x:v>Угол в окружности</x:v>
      </x:c>
      <x:c r="M4446" s="30" t="str">
        <x:v>Колесо имеет 9 спиц. Углы между любыми двумя соседними спицами равны. Найдите величину угла (в градусах), который образуют две соседние спицы.</x:v>
      </x:c>
      <x:c r="N4446" s="30" t="str">
        <x:v>40</x:v>
      </x:c>
      <x:c r="O4446" s="30" t="str">
        <x:v>Полный угол 360° разделён на число равных промежутков между спицами.</x:v>
      </x:c>
      <x:c r="P4446" s="30" t="str">
        <x:v>Условие и полный визуал просмотрены; ответ пересчитан/логически проверен и совпал с LOCKED-ключом.</x:v>
      </x:c>
      <x:c r="Q4446" s="30"/>
      <x:c r="R4446" s="30" t="str">
        <x:v>40</x:v>
      </x:c>
      <x:c r="S4446" s="30"/>
      <x:c r="T4446" s="30" t="str">
        <x:v>База.jpg (Запад)</x:v>
      </x:c>
      <x:c r="U4446" s="30" t="str">
        <x:v>Расхождений нет.</x:v>
      </x:c>
      <x:c r="V4446" s="87" t="str">
        <x:v>VERIFIED</x:v>
      </x:c>
      <x:c r="W4446" s="87"/>
      <x:c r="X4446" s="87" t="n">
        <x:v>5</x:v>
      </x:c>
      <x:c r="Y4446" s="87"/>
      <x:c r="Z4446" s="87"/>
      <x:c r="AA4446" s="87"/>
      <x:c r="AB4446" s="87" t="str">
        <x:v>таблица, строка 1</x:v>
      </x:c>
      <x:c r="AC4446" s="87" t="str">
        <x:v>VIS-MATH-DEC-BW-TASK-P005</x:v>
      </x:c>
      <x:c r="AD4446" s="87" t="str">
        <x:v>VIS-MATH-DEC-KEY-BW</x:v>
      </x:c>
      <x:c r="AE4446" s="87" t="str">
        <x:v>TASK; KEY</x:v>
      </x:c>
      <x:c r="AF4446" s="87" t="str">
        <x:v>VIS-MATH-DEC-BW-TASK-P005: 5; VIS-MATH-DEC-KEY-BW: 1</x:v>
      </x:c>
      <x:c r="AG4446" s="87" t="str">
        <x:v>RESOLVED</x:v>
      </x:c>
      <x:c r="AH4446" s="87" t="str">
        <x:v>CROP_VERIFIED</x:v>
      </x:c>
      <x:c r="AI4446" s="30" t="str">
        <x:v>{"Уровень": "Базовый"}</x:v>
      </x:c>
      <x:c r="AJ4446" s="87" t="str">
        <x:v>clean</x:v>
      </x:c>
      <x:c r="AK4446" s="87" t="str">
        <x:v>clean-v0.07</x:v>
      </x:c>
      <x:c r="AL4446" s="87" t="str">
        <x:v>statgrad_clean_continuation_v0_07(1).xlsx</x:v>
      </x:c>
      <x:c r="AM4446" s="87" t="str">
        <x:v>MATH_Dec_0201</x:v>
      </x:c>
      <x:c r="AN4446" s="87" t="n">
        <x:v>11</x:v>
      </x:c>
    </x:row>
    <x:row r="4447">
      <x:c r="A4447" s="87" t="n">
        <x:v>4446</x:v>
      </x:c>
      <x:c r="B4447" s="87" t="str">
        <x:v>DEC-MATH-01-011</x:v>
      </x:c>
      <x:c r="C4447" s="87" t="str">
        <x:v>СтатГрад</x:v>
      </x:c>
      <x:c r="D4447" s="87" t="str">
        <x:v>Декабрь 2025</x:v>
      </x:c>
      <x:c r="E4447" s="87"/>
      <x:c r="F4447" s="87"/>
      <x:c r="G4447" s="87" t="str">
        <x:v>Математика</x:v>
      </x:c>
      <x:c r="H4447" s="87" t="n">
        <x:v>11</x:v>
      </x:c>
      <x:c r="I4447" s="87" t="str">
        <x:v>ТР №2</x:v>
      </x:c>
      <x:c r="J4447" s="87" t="str">
        <x:v>МА2510201</x:v>
      </x:c>
      <x:c r="K4447" s="87" t="n">
        <x:v>11</x:v>
      </x:c>
      <x:c r="L4447" s="87" t="str">
        <x:v>Площадь поверхности</x:v>
      </x:c>
      <x:c r="M4447" s="30" t="str">
        <x:v>Пять ступеней лестницы покрасили в тёмный цвет, как показано на рисунке (штриховкой). Найдите площадь окрашенной поверхности, если глубина каждой ступеньки равна 35 см, высота — 20 см, а ширина — 90 см. Ответ дайте в квадратных сантиметрах.</x:v>
      </x:c>
      <x:c r="N4447" s="30" t="str">
        <x:v>21600</x:v>
      </x:c>
      <x:c r="O4447" s="30" t="str">
        <x:v>Сложены площади всех закрашенных горизонтальных и вертикальных участков ступеней.</x:v>
      </x:c>
      <x:c r="P4447" s="30" t="str">
        <x:v>Условие и полный визуал просмотрены; ответ пересчитан/логически проверен и совпал с LOCKED-ключом.</x:v>
      </x:c>
      <x:c r="Q4447" s="30"/>
      <x:c r="R4447" s="30" t="str">
        <x:v>21600</x:v>
      </x:c>
      <x:c r="S4447" s="30"/>
      <x:c r="T4447" s="30" t="str">
        <x:v>База.jpg (Запад)</x:v>
      </x:c>
      <x:c r="U4447" s="30" t="str">
        <x:v>Расхождений нет.</x:v>
      </x:c>
      <x:c r="V4447" s="87" t="str">
        <x:v>VERIFIED</x:v>
      </x:c>
      <x:c r="W4447" s="87"/>
      <x:c r="X4447" s="87" t="n">
        <x:v>6</x:v>
      </x:c>
      <x:c r="Y4447" s="87"/>
      <x:c r="Z4447" s="87"/>
      <x:c r="AA4447" s="87"/>
      <x:c r="AB4447" s="87" t="str">
        <x:v>таблица, строка 1</x:v>
      </x:c>
      <x:c r="AC4447" s="87" t="str">
        <x:v>VIS-MATH-DEC-BW-TASK-P006</x:v>
      </x:c>
      <x:c r="AD4447" s="87" t="str">
        <x:v>VIS-MATH-DEC-KEY-BW</x:v>
      </x:c>
      <x:c r="AE4447" s="87" t="str">
        <x:v>TASK; KEY</x:v>
      </x:c>
      <x:c r="AF4447" s="87" t="str">
        <x:v>VIS-MATH-DEC-BW-TASK-P006: 6; VIS-MATH-DEC-KEY-BW: 1</x:v>
      </x:c>
      <x:c r="AG4447" s="87" t="str">
        <x:v>RESOLVED</x:v>
      </x:c>
      <x:c r="AH4447" s="87" t="str">
        <x:v>CROP_VERIFIED; TASK_CROP_QA_APPROVED:USE_CONTEXT</x:v>
      </x:c>
      <x:c r="AI4447" s="30" t="str">
        <x:v>{"Уровень": "Базовый"}</x:v>
      </x:c>
      <x:c r="AJ4447" s="87" t="str">
        <x:v>clean</x:v>
      </x:c>
      <x:c r="AK4447" s="87" t="str">
        <x:v>clean-v0.07</x:v>
      </x:c>
      <x:c r="AL4447" s="87" t="str">
        <x:v>statgrad_clean_continuation_v0_07(1).xlsx</x:v>
      </x:c>
      <x:c r="AM4447" s="87" t="str">
        <x:v>MATH_Dec_0201</x:v>
      </x:c>
      <x:c r="AN4447" s="87" t="n">
        <x:v>12</x:v>
      </x:c>
    </x:row>
    <x:row r="4448">
      <x:c r="A4448" s="87" t="n">
        <x:v>4447</x:v>
      </x:c>
      <x:c r="B4448" s="87" t="str">
        <x:v>DEC-MATH-01-012</x:v>
      </x:c>
      <x:c r="C4448" s="87" t="str">
        <x:v>СтатГрад</x:v>
      </x:c>
      <x:c r="D4448" s="87" t="str">
        <x:v>Декабрь 2025</x:v>
      </x:c>
      <x:c r="E4448" s="87"/>
      <x:c r="F4448" s="87"/>
      <x:c r="G4448" s="87" t="str">
        <x:v>Математика</x:v>
      </x:c>
      <x:c r="H4448" s="87" t="n">
        <x:v>11</x:v>
      </x:c>
      <x:c r="I4448" s="87" t="str">
        <x:v>ТР №2</x:v>
      </x:c>
      <x:c r="J4448" s="87" t="str">
        <x:v>МА2510201</x:v>
      </x:c>
      <x:c r="K4448" s="87" t="n">
        <x:v>12</x:v>
      </x:c>
      <x:c r="L4448" s="87" t="str">
        <x:v>Планиметрия</x:v>
      </x:c>
      <x:c r="M4448" s="30" t="str">
        <x:v>B В треугольнике ABC угол B равен 120°. Медиана BM делит угол B пополам и равна 11. Найдите длину стороны AB. A M C</x:v>
      </x:c>
      <x:c r="N4448" s="30" t="str">
        <x:v>22</x:v>
      </x:c>
      <x:c r="O4448" s="30" t="str">
        <x:v>Медиана одновременно является биссектрисой; треугольник равнобедренный, а в половине треугольника используется угол 60°.</x:v>
      </x:c>
      <x:c r="P4448" s="30" t="str">
        <x:v>Условие и полный визуал просмотрены; ответ пересчитан/логически проверен и совпал с LOCKED-ключом.</x:v>
      </x:c>
      <x:c r="Q4448" s="30"/>
      <x:c r="R4448" s="30" t="str">
        <x:v>22</x:v>
      </x:c>
      <x:c r="S4448" s="30"/>
      <x:c r="T4448" s="30" t="str">
        <x:v>База.jpg (Запад)</x:v>
      </x:c>
      <x:c r="U4448" s="30" t="str">
        <x:v>Расхождений нет.</x:v>
      </x:c>
      <x:c r="V4448" s="87" t="str">
        <x:v>VERIFIED</x:v>
      </x:c>
      <x:c r="W4448" s="87"/>
      <x:c r="X4448" s="87" t="n">
        <x:v>6</x:v>
      </x:c>
      <x:c r="Y4448" s="87"/>
      <x:c r="Z4448" s="87"/>
      <x:c r="AA4448" s="87"/>
      <x:c r="AB4448" s="87" t="str">
        <x:v>таблица, строка 1</x:v>
      </x:c>
      <x:c r="AC4448" s="87" t="str">
        <x:v>VIS-MATH-DEC-BW-TASK-P006</x:v>
      </x:c>
      <x:c r="AD4448" s="87" t="str">
        <x:v>VIS-MATH-DEC-KEY-BW</x:v>
      </x:c>
      <x:c r="AE4448" s="87" t="str">
        <x:v>TASK; KEY</x:v>
      </x:c>
      <x:c r="AF4448" s="87" t="str">
        <x:v>VIS-MATH-DEC-BW-TASK-P006: 6; VIS-MATH-DEC-KEY-BW: 1</x:v>
      </x:c>
      <x:c r="AG4448" s="87" t="str">
        <x:v>RESOLVED</x:v>
      </x:c>
      <x:c r="AH4448" s="87" t="str">
        <x:v>CROP_VERIFIED</x:v>
      </x:c>
      <x:c r="AI4448" s="30" t="str">
        <x:v>{"Уровень": "Базовый"}</x:v>
      </x:c>
      <x:c r="AJ4448" s="87" t="str">
        <x:v>clean</x:v>
      </x:c>
      <x:c r="AK4448" s="87" t="str">
        <x:v>clean-v0.07</x:v>
      </x:c>
      <x:c r="AL4448" s="87" t="str">
        <x:v>statgrad_clean_continuation_v0_07(1).xlsx</x:v>
      </x:c>
      <x:c r="AM4448" s="87" t="str">
        <x:v>MATH_Dec_0201</x:v>
      </x:c>
      <x:c r="AN4448" s="87" t="n">
        <x:v>13</x:v>
      </x:c>
    </x:row>
    <x:row r="4449">
      <x:c r="A4449" s="87" t="n">
        <x:v>4448</x:v>
      </x:c>
      <x:c r="B4449" s="87" t="str">
        <x:v>DEC-MATH-01-013</x:v>
      </x:c>
      <x:c r="C4449" s="87" t="str">
        <x:v>СтатГрад</x:v>
      </x:c>
      <x:c r="D4449" s="87" t="str">
        <x:v>Декабрь 2025</x:v>
      </x:c>
      <x:c r="E4449" s="87"/>
      <x:c r="F4449" s="87"/>
      <x:c r="G4449" s="87" t="str">
        <x:v>Математика</x:v>
      </x:c>
      <x:c r="H4449" s="87" t="n">
        <x:v>11</x:v>
      </x:c>
      <x:c r="I4449" s="87" t="str">
        <x:v>ТР №2</x:v>
      </x:c>
      <x:c r="J4449" s="87" t="str">
        <x:v>МА2510201</x:v>
      </x:c>
      <x:c r="K4449" s="87" t="n">
        <x:v>13</x:v>
      </x:c>
      <x:c r="L4449" s="87" t="str">
        <x:v>Объём призмы</x:v>
      </x:c>
      <x:c r="M4449" s="30" t="str">
        <x:v>В основании прямой призмы лежит прямоугольный треугольник, катеты которого равны 2 и 18. Найдите объём призмы, если её высота равна 3.</x:v>
      </x:c>
      <x:c r="N4449" s="30" t="str">
        <x:v>54</x:v>
      </x:c>
      <x:c r="O4449" s="30" t="str">
        <x:v>Объём равен площади прямоугольного треугольника в основании, умноженной на высоту призмы.</x:v>
      </x:c>
      <x:c r="P4449" s="30" t="str">
        <x:v>Условие и полный визуал просмотрены; ответ пересчитан/логически проверен и совпал с LOCKED-ключом.</x:v>
      </x:c>
      <x:c r="Q4449" s="30"/>
      <x:c r="R4449" s="30" t="str">
        <x:v>54</x:v>
      </x:c>
      <x:c r="S4449" s="30"/>
      <x:c r="T4449" s="30" t="str">
        <x:v>База.jpg (Запад)</x:v>
      </x:c>
      <x:c r="U4449" s="30" t="str">
        <x:v>Расхождений нет.</x:v>
      </x:c>
      <x:c r="V4449" s="87" t="str">
        <x:v>VERIFIED</x:v>
      </x:c>
      <x:c r="W4449" s="87"/>
      <x:c r="X4449" s="87" t="n">
        <x:v>6</x:v>
      </x:c>
      <x:c r="Y4449" s="87"/>
      <x:c r="Z4449" s="87"/>
      <x:c r="AA4449" s="87"/>
      <x:c r="AB4449" s="87" t="str">
        <x:v>таблица, строка 1</x:v>
      </x:c>
      <x:c r="AC4449" s="87" t="str">
        <x:v>VIS-MATH-DEC-BW-TASK-P006</x:v>
      </x:c>
      <x:c r="AD4449" s="87" t="str">
        <x:v>VIS-MATH-DEC-KEY-BW</x:v>
      </x:c>
      <x:c r="AE4449" s="87" t="str">
        <x:v>TASK; KEY</x:v>
      </x:c>
      <x:c r="AF4449" s="87" t="str">
        <x:v>VIS-MATH-DEC-BW-TASK-P006: 6; VIS-MATH-DEC-KEY-BW: 1</x:v>
      </x:c>
      <x:c r="AG4449" s="87" t="str">
        <x:v>RESOLVED</x:v>
      </x:c>
      <x:c r="AH4449" s="87" t="str">
        <x:v>CROP_VERIFIED</x:v>
      </x:c>
      <x:c r="AI4449" s="30" t="str">
        <x:v>{"Уровень": "Базовый"}</x:v>
      </x:c>
      <x:c r="AJ4449" s="87" t="str">
        <x:v>clean</x:v>
      </x:c>
      <x:c r="AK4449" s="87" t="str">
        <x:v>clean-v0.07</x:v>
      </x:c>
      <x:c r="AL4449" s="87" t="str">
        <x:v>statgrad_clean_continuation_v0_07(1).xlsx</x:v>
      </x:c>
      <x:c r="AM4449" s="87" t="str">
        <x:v>MATH_Dec_0201</x:v>
      </x:c>
      <x:c r="AN4449" s="87" t="n">
        <x:v>14</x:v>
      </x:c>
    </x:row>
    <x:row r="4450">
      <x:c r="A4450" s="87" t="n">
        <x:v>4449</x:v>
      </x:c>
      <x:c r="B4450" s="87" t="str">
        <x:v>DEC-MATH-01-014</x:v>
      </x:c>
      <x:c r="C4450" s="87" t="str">
        <x:v>СтатГрад</x:v>
      </x:c>
      <x:c r="D4450" s="87" t="str">
        <x:v>Декабрь 2025</x:v>
      </x:c>
      <x:c r="E4450" s="87"/>
      <x:c r="F4450" s="87"/>
      <x:c r="G4450" s="87" t="str">
        <x:v>Математика</x:v>
      </x:c>
      <x:c r="H4450" s="87" t="n">
        <x:v>11</x:v>
      </x:c>
      <x:c r="I4450" s="87" t="str">
        <x:v>ТР №2</x:v>
      </x:c>
      <x:c r="J4450" s="87" t="str">
        <x:v>МА2510201</x:v>
      </x:c>
      <x:c r="K4450" s="87" t="n">
        <x:v>14</x:v>
      </x:c>
      <x:c r="L4450" s="87" t="str">
        <x:v>Числовое выражение</x:v>
      </x:c>
      <x:c r="M4450" s="30" t="str">
        <x:v>Найдите значение выражения 6,6 4,5 4,7 ⋅ + .</x:v>
      </x:c>
      <x:c r="N4450" s="30" t="str">
        <x:v>34,4</x:v>
      </x:c>
      <x:c r="O4450" s="30" t="str">
        <x:v>Значение вычислено с соблюдением порядка арифметических действий.</x:v>
      </x:c>
      <x:c r="P4450" s="30" t="str">
        <x:v>Условие и полный визуал просмотрены; ответ пересчитан/логически проверен и совпал с LOCKED-ключом.</x:v>
      </x:c>
      <x:c r="Q4450" s="30"/>
      <x:c r="R4450" s="30" t="str">
        <x:v>34,4</x:v>
      </x:c>
      <x:c r="S4450" s="30"/>
      <x:c r="T4450" s="30" t="str">
        <x:v>База.jpg (Запад)</x:v>
      </x:c>
      <x:c r="U4450" s="30" t="str">
        <x:v>Расхождений нет.</x:v>
      </x:c>
      <x:c r="V4450" s="87" t="str">
        <x:v>VERIFIED</x:v>
      </x:c>
      <x:c r="W4450" s="87"/>
      <x:c r="X4450" s="87" t="n">
        <x:v>6</x:v>
      </x:c>
      <x:c r="Y4450" s="87"/>
      <x:c r="Z4450" s="87"/>
      <x:c r="AA4450" s="87"/>
      <x:c r="AB4450" s="87" t="str">
        <x:v>таблица, строка 1</x:v>
      </x:c>
      <x:c r="AC4450" s="87" t="str">
        <x:v>VIS-MATH-DEC-BW-TASK-P006</x:v>
      </x:c>
      <x:c r="AD4450" s="87" t="str">
        <x:v>VIS-MATH-DEC-KEY-BW</x:v>
      </x:c>
      <x:c r="AE4450" s="87" t="str">
        <x:v>TASK; KEY</x:v>
      </x:c>
      <x:c r="AF4450" s="87" t="str">
        <x:v>VIS-MATH-DEC-BW-TASK-P006: 6; VIS-MATH-DEC-KEY-BW: 1</x:v>
      </x:c>
      <x:c r="AG4450" s="87" t="str">
        <x:v>RESOLVED</x:v>
      </x:c>
      <x:c r="AH4450" s="87" t="str">
        <x:v>CROP_VERIFIED</x:v>
      </x:c>
      <x:c r="AI4450" s="30" t="str">
        <x:v>{"Уровень": "Базовый"}</x:v>
      </x:c>
      <x:c r="AJ4450" s="87" t="str">
        <x:v>clean</x:v>
      </x:c>
      <x:c r="AK4450" s="87" t="str">
        <x:v>clean-v0.07</x:v>
      </x:c>
      <x:c r="AL4450" s="87" t="str">
        <x:v>statgrad_clean_continuation_v0_07(1).xlsx</x:v>
      </x:c>
      <x:c r="AM4450" s="87" t="str">
        <x:v>MATH_Dec_0201</x:v>
      </x:c>
      <x:c r="AN4450" s="87" t="n">
        <x:v>15</x:v>
      </x:c>
    </x:row>
    <x:row r="4451">
      <x:c r="A4451" s="87" t="n">
        <x:v>4450</x:v>
      </x:c>
      <x:c r="B4451" s="87" t="str">
        <x:v>DEC-MATH-01-015</x:v>
      </x:c>
      <x:c r="C4451" s="87" t="str">
        <x:v>СтатГрад</x:v>
      </x:c>
      <x:c r="D4451" s="87" t="str">
        <x:v>Декабрь 2025</x:v>
      </x:c>
      <x:c r="E4451" s="87"/>
      <x:c r="F4451" s="87"/>
      <x:c r="G4451" s="87" t="str">
        <x:v>Математика</x:v>
      </x:c>
      <x:c r="H4451" s="87" t="n">
        <x:v>11</x:v>
      </x:c>
      <x:c r="I4451" s="87" t="str">
        <x:v>ТР №2</x:v>
      </x:c>
      <x:c r="J4451" s="87" t="str">
        <x:v>МА2510201</x:v>
      </x:c>
      <x:c r="K4451" s="87" t="n">
        <x:v>15</x:v>
      </x:c>
      <x:c r="L4451" s="87" t="str">
        <x:v>Проценты</x:v>
      </x:c>
      <x:c r="M4451" s="30" t="str">
        <x:v>После уценки телевизора его новая цена составила 0,77 от старой цены. На сколько процентов уменьшилась цена телевизора в результате уценки?</x:v>
      </x:c>
      <x:c r="N4451" s="30" t="str">
        <x:v>23</x:v>
      </x:c>
      <x:c r="O4451" s="30" t="str">
        <x:v>Процент уменьшения равен (1−коэффициент новой цены)·100%.</x:v>
      </x:c>
      <x:c r="P4451" s="30" t="str">
        <x:v>Условие и полный визуал просмотрены; ответ пересчитан/логически проверен и совпал с LOCKED-ключом.</x:v>
      </x:c>
      <x:c r="Q4451" s="30"/>
      <x:c r="R4451" s="30" t="str">
        <x:v>23</x:v>
      </x:c>
      <x:c r="S4451" s="30"/>
      <x:c r="T4451" s="30" t="str">
        <x:v>База.jpg (Запад)</x:v>
      </x:c>
      <x:c r="U4451" s="30" t="str">
        <x:v>Расхождений нет.</x:v>
      </x:c>
      <x:c r="V4451" s="87" t="str">
        <x:v>VERIFIED</x:v>
      </x:c>
      <x:c r="W4451" s="87"/>
      <x:c r="X4451" s="87" t="n">
        <x:v>6</x:v>
      </x:c>
      <x:c r="Y4451" s="87"/>
      <x:c r="Z4451" s="87"/>
      <x:c r="AA4451" s="87"/>
      <x:c r="AB4451" s="87" t="str">
        <x:v>таблица, строка 1</x:v>
      </x:c>
      <x:c r="AC4451" s="87" t="str">
        <x:v>VIS-MATH-DEC-BW-TASK-P006</x:v>
      </x:c>
      <x:c r="AD4451" s="87" t="str">
        <x:v>VIS-MATH-DEC-KEY-BW</x:v>
      </x:c>
      <x:c r="AE4451" s="87" t="str">
        <x:v>TASK; KEY</x:v>
      </x:c>
      <x:c r="AF4451" s="87" t="str">
        <x:v>VIS-MATH-DEC-BW-TASK-P006: 6; VIS-MATH-DEC-KEY-BW: 1</x:v>
      </x:c>
      <x:c r="AG4451" s="87" t="str">
        <x:v>RESOLVED</x:v>
      </x:c>
      <x:c r="AH4451" s="87" t="str">
        <x:v>CROP_VERIFIED</x:v>
      </x:c>
      <x:c r="AI4451" s="30" t="str">
        <x:v>{"Уровень": "Базовый"}</x:v>
      </x:c>
      <x:c r="AJ4451" s="87" t="str">
        <x:v>clean</x:v>
      </x:c>
      <x:c r="AK4451" s="87" t="str">
        <x:v>clean-v0.07</x:v>
      </x:c>
      <x:c r="AL4451" s="87" t="str">
        <x:v>statgrad_clean_continuation_v0_07(1).xlsx</x:v>
      </x:c>
      <x:c r="AM4451" s="87" t="str">
        <x:v>MATH_Dec_0201</x:v>
      </x:c>
      <x:c r="AN4451" s="87" t="n">
        <x:v>16</x:v>
      </x:c>
    </x:row>
    <x:row r="4452">
      <x:c r="A4452" s="87" t="n">
        <x:v>4451</x:v>
      </x:c>
      <x:c r="B4452" s="87" t="str">
        <x:v>DEC-MATH-01-016</x:v>
      </x:c>
      <x:c r="C4452" s="87" t="str">
        <x:v>СтатГрад</x:v>
      </x:c>
      <x:c r="D4452" s="87" t="str">
        <x:v>Декабрь 2025</x:v>
      </x:c>
      <x:c r="E4452" s="87"/>
      <x:c r="F4452" s="87"/>
      <x:c r="G4452" s="87" t="str">
        <x:v>Математика</x:v>
      </x:c>
      <x:c r="H4452" s="87" t="n">
        <x:v>11</x:v>
      </x:c>
      <x:c r="I4452" s="87" t="str">
        <x:v>ТР №2</x:v>
      </x:c>
      <x:c r="J4452" s="87" t="str">
        <x:v>МА2510201</x:v>
      </x:c>
      <x:c r="K4452" s="87" t="n">
        <x:v>16</x:v>
      </x:c>
      <x:c r="L4452" s="87" t="str">
        <x:v>Степени</x:v>
      </x:c>
      <x:c r="M4452" s="30" t="str">
        <x:v>Найдите значение выражения: 6 3 − 7 4 4 4 − ⋅ .</x:v>
      </x:c>
      <x:c r="N4452" s="30" t="str">
        <x:v>256</x:v>
      </x:c>
      <x:c r="O4452" s="30" t="str">
        <x:v>Применены свойства степеней с одинаковым основанием.</x:v>
      </x:c>
      <x:c r="P4452" s="30" t="str">
        <x:v>Условие и полный визуал просмотрены; ответ пересчитан/логически проверен и совпал с LOCKED-ключом.</x:v>
      </x:c>
      <x:c r="Q4452" s="30"/>
      <x:c r="R4452" s="30" t="str">
        <x:v>256</x:v>
      </x:c>
      <x:c r="S4452" s="30"/>
      <x:c r="T4452" s="30" t="str">
        <x:v>База.jpg (Запад)</x:v>
      </x:c>
      <x:c r="U4452" s="30" t="str">
        <x:v>Расхождений нет.</x:v>
      </x:c>
      <x:c r="V4452" s="87" t="str">
        <x:v>VERIFIED</x:v>
      </x:c>
      <x:c r="W4452" s="87"/>
      <x:c r="X4452" s="87" t="n">
        <x:v>6</x:v>
      </x:c>
      <x:c r="Y4452" s="87"/>
      <x:c r="Z4452" s="87"/>
      <x:c r="AA4452" s="87"/>
      <x:c r="AB4452" s="87" t="str">
        <x:v>таблица, строка 1</x:v>
      </x:c>
      <x:c r="AC4452" s="87" t="str">
        <x:v>VIS-MATH-DEC-BW-TASK-P006</x:v>
      </x:c>
      <x:c r="AD4452" s="87" t="str">
        <x:v>VIS-MATH-DEC-KEY-BW</x:v>
      </x:c>
      <x:c r="AE4452" s="87" t="str">
        <x:v>TASK; KEY</x:v>
      </x:c>
      <x:c r="AF4452" s="87" t="str">
        <x:v>VIS-MATH-DEC-BW-TASK-P006: 6; VIS-MATH-DEC-KEY-BW: 1</x:v>
      </x:c>
      <x:c r="AG4452" s="87" t="str">
        <x:v>RESOLVED</x:v>
      </x:c>
      <x:c r="AH4452" s="87" t="str">
        <x:v>CROP_VERIFIED</x:v>
      </x:c>
      <x:c r="AI4452" s="30" t="str">
        <x:v>{"Уровень": "Базовый"}</x:v>
      </x:c>
      <x:c r="AJ4452" s="87" t="str">
        <x:v>clean</x:v>
      </x:c>
      <x:c r="AK4452" s="87" t="str">
        <x:v>clean-v0.07</x:v>
      </x:c>
      <x:c r="AL4452" s="87" t="str">
        <x:v>statgrad_clean_continuation_v0_07(1).xlsx</x:v>
      </x:c>
      <x:c r="AM4452" s="87" t="str">
        <x:v>MATH_Dec_0201</x:v>
      </x:c>
      <x:c r="AN4452" s="87" t="n">
        <x:v>17</x:v>
      </x:c>
    </x:row>
    <x:row r="4453">
      <x:c r="A4453" s="87" t="n">
        <x:v>4452</x:v>
      </x:c>
      <x:c r="B4453" s="87" t="str">
        <x:v>DEC-MATH-01-017</x:v>
      </x:c>
      <x:c r="C4453" s="87" t="str">
        <x:v>СтатГрад</x:v>
      </x:c>
      <x:c r="D4453" s="87" t="str">
        <x:v>Декабрь 2025</x:v>
      </x:c>
      <x:c r="E4453" s="87"/>
      <x:c r="F4453" s="87"/>
      <x:c r="G4453" s="87" t="str">
        <x:v>Математика</x:v>
      </x:c>
      <x:c r="H4453" s="87" t="n">
        <x:v>11</x:v>
      </x:c>
      <x:c r="I4453" s="87" t="str">
        <x:v>ТР №2</x:v>
      </x:c>
      <x:c r="J4453" s="87" t="str">
        <x:v>МА2510201</x:v>
      </x:c>
      <x:c r="K4453" s="87" t="n">
        <x:v>17</x:v>
      </x:c>
      <x:c r="L4453" s="87" t="str">
        <x:v>Уравнение</x:v>
      </x:c>
      <x:c r="M4453" s="30" t="str">
        <x:v>Решите уравнение 16 4 6 x − = .</x:v>
      </x:c>
      <x:c r="N4453" s="30" t="str">
        <x:v>-5</x:v>
      </x:c>
      <x:c r="O4453" s="30" t="str">
        <x:v>Уравнение решено обратными арифметическими/показательными преобразованиями.</x:v>
      </x:c>
      <x:c r="P4453" s="30" t="str">
        <x:v>Условие и полный визуал просмотрены; ответ пересчитан/логически проверен и совпал с LOCKED-ключом.</x:v>
      </x:c>
      <x:c r="Q4453" s="30"/>
      <x:c r="R4453" s="30" t="str">
        <x:v>-5</x:v>
      </x:c>
      <x:c r="S4453" s="30"/>
      <x:c r="T4453" s="30" t="str">
        <x:v>База.jpg (Запад)</x:v>
      </x:c>
      <x:c r="U4453" s="30" t="str">
        <x:v>Расхождений нет.</x:v>
      </x:c>
      <x:c r="V4453" s="87" t="str">
        <x:v>VERIFIED</x:v>
      </x:c>
      <x:c r="W4453" s="87"/>
      <x:c r="X4453" s="87" t="n">
        <x:v>7</x:v>
      </x:c>
      <x:c r="Y4453" s="87"/>
      <x:c r="Z4453" s="87"/>
      <x:c r="AA4453" s="87"/>
      <x:c r="AB4453" s="87" t="str">
        <x:v>таблица, строка 1</x:v>
      </x:c>
      <x:c r="AC4453" s="87" t="str">
        <x:v>VIS-MATH-DEC-BW-TASK-P007</x:v>
      </x:c>
      <x:c r="AD4453" s="87" t="str">
        <x:v>VIS-MATH-DEC-KEY-BW</x:v>
      </x:c>
      <x:c r="AE4453" s="87" t="str">
        <x:v>TASK; KEY</x:v>
      </x:c>
      <x:c r="AF4453" s="87" t="str">
        <x:v>VIS-MATH-DEC-BW-TASK-P007: 7; VIS-MATH-DEC-KEY-BW: 1</x:v>
      </x:c>
      <x:c r="AG4453" s="87" t="str">
        <x:v>RESOLVED</x:v>
      </x:c>
      <x:c r="AH4453" s="87" t="str">
        <x:v>CROP_VERIFIED</x:v>
      </x:c>
      <x:c r="AI4453" s="30" t="str">
        <x:v>{"Уровень": "Базовый"}</x:v>
      </x:c>
      <x:c r="AJ4453" s="87" t="str">
        <x:v>clean</x:v>
      </x:c>
      <x:c r="AK4453" s="87" t="str">
        <x:v>clean-v0.07</x:v>
      </x:c>
      <x:c r="AL4453" s="87" t="str">
        <x:v>statgrad_clean_continuation_v0_07(1).xlsx</x:v>
      </x:c>
      <x:c r="AM4453" s="87" t="str">
        <x:v>MATH_Dec_0201</x:v>
      </x:c>
      <x:c r="AN4453" s="87" t="n">
        <x:v>18</x:v>
      </x:c>
    </x:row>
    <x:row r="4454">
      <x:c r="A4454" s="87" t="n">
        <x:v>4453</x:v>
      </x:c>
      <x:c r="B4454" s="87" t="str">
        <x:v>DEC-MATH-01-018</x:v>
      </x:c>
      <x:c r="C4454" s="87" t="str">
        <x:v>СтатГрад</x:v>
      </x:c>
      <x:c r="D4454" s="87" t="str">
        <x:v>Декабрь 2025</x:v>
      </x:c>
      <x:c r="E4454" s="87"/>
      <x:c r="F4454" s="87"/>
      <x:c r="G4454" s="87" t="str">
        <x:v>Математика</x:v>
      </x:c>
      <x:c r="H4454" s="87" t="n">
        <x:v>11</x:v>
      </x:c>
      <x:c r="I4454" s="87" t="str">
        <x:v>ТР №2</x:v>
      </x:c>
      <x:c r="J4454" s="87" t="str">
        <x:v>МА2510201</x:v>
      </x:c>
      <x:c r="K4454" s="87" t="n">
        <x:v>18</x:v>
      </x:c>
      <x:c r="L4454" s="87" t="str">
        <x:v>Логарифмические неравенства</x:v>
      </x:c>
      <x:c r="M4454" s="30" t="str">
        <x:v>Каждому из четырёх неравенств в левом столбце соответствует его решение в правом столбце. Установите соответствие между неравенствами и их решениями. НЕРАВЕНСТВА РЕШЕНИЯ   1 0; 5 5 log 1 x &gt; А) 1) 5 log 1 x &lt;− Б)   0;5 2) 5 log 1 x &gt;− В)   5;+ 3) 5 log 1 x &lt; Г) 4)   1; 5 + Впишите в приведённую в ответе таблицу под каждой буквой соответствующий решению номер. А Б В Г Ответ:</x:v>
      </x:c>
      <x:c r="N4454" s="30" t="str">
        <x:v>3142</x:v>
      </x:c>
      <x:c r="O4454" s="30" t="str">
        <x:v>Каждое логарифмическое неравенство преобразовано с учётом области определения и основания логарифма.</x:v>
      </x:c>
      <x:c r="P4454" s="30" t="str">
        <x:v>Условие и полный визуал просмотрены; ответ пересчитан/логически проверен и совпал с LOCKED-ключом.</x:v>
      </x:c>
      <x:c r="Q4454" s="30"/>
      <x:c r="R4454" s="30" t="str">
        <x:v>3142</x:v>
      </x:c>
      <x:c r="S4454" s="30"/>
      <x:c r="T4454" s="30" t="str">
        <x:v>База.jpg (Запад)</x:v>
      </x:c>
      <x:c r="U4454" s="30" t="str">
        <x:v>Расхождений нет.</x:v>
      </x:c>
      <x:c r="V4454" s="87" t="str">
        <x:v>VERIFIED</x:v>
      </x:c>
      <x:c r="W4454" s="87"/>
      <x:c r="X4454" s="87" t="n">
        <x:v>7</x:v>
      </x:c>
      <x:c r="Y4454" s="87"/>
      <x:c r="Z4454" s="87"/>
      <x:c r="AA4454" s="87"/>
      <x:c r="AB4454" s="87" t="str">
        <x:v>таблица, строка 1</x:v>
      </x:c>
      <x:c r="AC4454" s="87" t="str">
        <x:v>VIS-MATH-DEC-BW-TASK-P007</x:v>
      </x:c>
      <x:c r="AD4454" s="87" t="str">
        <x:v>VIS-MATH-DEC-KEY-BW</x:v>
      </x:c>
      <x:c r="AE4454" s="87" t="str">
        <x:v>TASK; KEY</x:v>
      </x:c>
      <x:c r="AF4454" s="87" t="str">
        <x:v>VIS-MATH-DEC-BW-TASK-P007: 7; VIS-MATH-DEC-KEY-BW: 1</x:v>
      </x:c>
      <x:c r="AG4454" s="87" t="str">
        <x:v>RESOLVED</x:v>
      </x:c>
      <x:c r="AH4454" s="87" t="str">
        <x:v>CROP_VERIFIED</x:v>
      </x:c>
      <x:c r="AI4454" s="30" t="str">
        <x:v>{"Уровень": "Базовый"}</x:v>
      </x:c>
      <x:c r="AJ4454" s="87" t="str">
        <x:v>clean</x:v>
      </x:c>
      <x:c r="AK4454" s="87" t="str">
        <x:v>clean-v0.07</x:v>
      </x:c>
      <x:c r="AL4454" s="87" t="str">
        <x:v>statgrad_clean_continuation_v0_07(1).xlsx</x:v>
      </x:c>
      <x:c r="AM4454" s="87" t="str">
        <x:v>MATH_Dec_0201</x:v>
      </x:c>
      <x:c r="AN4454" s="87" t="n">
        <x:v>19</x:v>
      </x:c>
    </x:row>
    <x:row r="4455">
      <x:c r="A4455" s="87" t="n">
        <x:v>4454</x:v>
      </x:c>
      <x:c r="B4455" s="87" t="str">
        <x:v>DEC-MATH-01-019</x:v>
      </x:c>
      <x:c r="C4455" s="87" t="str">
        <x:v>СтатГрад</x:v>
      </x:c>
      <x:c r="D4455" s="87" t="str">
        <x:v>Декабрь 2025</x:v>
      </x:c>
      <x:c r="E4455" s="87"/>
      <x:c r="F4455" s="87"/>
      <x:c r="G4455" s="87" t="str">
        <x:v>Математика</x:v>
      </x:c>
      <x:c r="H4455" s="87" t="n">
        <x:v>11</x:v>
      </x:c>
      <x:c r="I4455" s="87" t="str">
        <x:v>ТР №2</x:v>
      </x:c>
      <x:c r="J4455" s="87" t="str">
        <x:v>МА2510201</x:v>
      </x:c>
      <x:c r="K4455" s="87" t="n">
        <x:v>19</x:v>
      </x:c>
      <x:c r="L4455" s="87" t="str">
        <x:v>Делимость и конструкция числа</x:v>
      </x:c>
      <x:c r="M4455" s="30" t="str">
        <x:v>Найдите шестизначное натуральное число, которое записывается только цифрами 1 и 2 и делится на 24. В ответе укажите какое-нибудь одно такое число.</x:v>
      </x:c>
      <x:c r="N4455" s="30" t="str">
        <x:v>122112</x:v>
      </x:c>
      <x:c r="O4455" s="30" t="str">
        <x:v>Предъявлен допустимый пример; отдельно проверены цифры и признак делимости.</x:v>
      </x:c>
      <x:c r="P4455" s="30" t="str">
        <x:v>Условие и полный визуал просмотрены; ответ пересчитан/логически проверен и совпал с LOCKED-ключом.</x:v>
      </x:c>
      <x:c r="Q4455" s="30"/>
      <x:c r="R4455" s="30" t="str">
        <x:v>122112</x:v>
      </x:c>
      <x:c r="S4455" s="30"/>
      <x:c r="T4455" s="30" t="str">
        <x:v>База.jpg (Запад)</x:v>
      </x:c>
      <x:c r="U4455" s="30" t="str">
        <x:v>Расхождений нет.</x:v>
      </x:c>
      <x:c r="V4455" s="87" t="str">
        <x:v>VERIFIED</x:v>
      </x:c>
      <x:c r="W4455" s="87"/>
      <x:c r="X4455" s="87" t="n">
        <x:v>7</x:v>
      </x:c>
      <x:c r="Y4455" s="87"/>
      <x:c r="Z4455" s="87"/>
      <x:c r="AA4455" s="87"/>
      <x:c r="AB4455" s="87" t="str">
        <x:v>таблица, строка 1</x:v>
      </x:c>
      <x:c r="AC4455" s="87" t="str">
        <x:v>VIS-MATH-DEC-BW-TASK-P007</x:v>
      </x:c>
      <x:c r="AD4455" s="87" t="str">
        <x:v>VIS-MATH-DEC-KEY-BW</x:v>
      </x:c>
      <x:c r="AE4455" s="87" t="str">
        <x:v>TASK; KEY</x:v>
      </x:c>
      <x:c r="AF4455" s="87" t="str">
        <x:v>VIS-MATH-DEC-BW-TASK-P007: 7; VIS-MATH-DEC-KEY-BW: 1</x:v>
      </x:c>
      <x:c r="AG4455" s="87" t="str">
        <x:v>RESOLVED</x:v>
      </x:c>
      <x:c r="AH4455" s="87" t="str">
        <x:v>CROP_VERIFIED</x:v>
      </x:c>
      <x:c r="AI4455" s="30" t="str">
        <x:v>{"Уровень": "Базовый"}</x:v>
      </x:c>
      <x:c r="AJ4455" s="87" t="str">
        <x:v>clean</x:v>
      </x:c>
      <x:c r="AK4455" s="87" t="str">
        <x:v>clean-v0.07</x:v>
      </x:c>
      <x:c r="AL4455" s="87" t="str">
        <x:v>statgrad_clean_continuation_v0_07(1).xlsx</x:v>
      </x:c>
      <x:c r="AM4455" s="87" t="str">
        <x:v>MATH_Dec_0201</x:v>
      </x:c>
      <x:c r="AN4455" s="87" t="n">
        <x:v>20</x:v>
      </x:c>
    </x:row>
    <x:row r="4456">
      <x:c r="A4456" s="87" t="n">
        <x:v>4455</x:v>
      </x:c>
      <x:c r="B4456" s="87" t="str">
        <x:v>DEC-MATH-01-020</x:v>
      </x:c>
      <x:c r="C4456" s="87" t="str">
        <x:v>СтатГрад</x:v>
      </x:c>
      <x:c r="D4456" s="87" t="str">
        <x:v>Декабрь 2025</x:v>
      </x:c>
      <x:c r="E4456" s="87"/>
      <x:c r="F4456" s="87"/>
      <x:c r="G4456" s="87" t="str">
        <x:v>Математика</x:v>
      </x:c>
      <x:c r="H4456" s="87" t="n">
        <x:v>11</x:v>
      </x:c>
      <x:c r="I4456" s="87" t="str">
        <x:v>ТР №2</x:v>
      </x:c>
      <x:c r="J4456" s="87" t="str">
        <x:v>МА2510201</x:v>
      </x:c>
      <x:c r="K4456" s="87" t="n">
        <x:v>20</x:v>
      </x:c>
      <x:c r="L4456" s="87" t="str">
        <x:v>Средняя скорость</x:v>
      </x:c>
      <x:c r="M4456" s="30" t="str">
        <x:v>Первый час автомобиль ехал со скоростью 115 км/ч, следующие три часа — со скоростью 45 км/ч, а затем два часа — со скоростью 40 км/ч. Найдите среднюю скорость автомобиля на протяжении всего пути. Ответ дайте в км/ч.</x:v>
      </x:c>
      <x:c r="N4456" s="30" t="str">
        <x:v>55</x:v>
      </x:c>
      <x:c r="O4456" s="30" t="str">
        <x:v>Средняя скорость вычислена как суммарный путь, делённый на суммарное время.</x:v>
      </x:c>
      <x:c r="P4456" s="30" t="str">
        <x:v>Условие и полный визуал просмотрены; ответ пересчитан/логически проверен и совпал с LOCKED-ключом.</x:v>
      </x:c>
      <x:c r="Q4456" s="30"/>
      <x:c r="R4456" s="30" t="str">
        <x:v>55</x:v>
      </x:c>
      <x:c r="S4456" s="30"/>
      <x:c r="T4456" s="30" t="str">
        <x:v>База.jpg (Запад)</x:v>
      </x:c>
      <x:c r="U4456" s="30" t="str">
        <x:v>Расхождений нет.</x:v>
      </x:c>
      <x:c r="V4456" s="87" t="str">
        <x:v>VERIFIED</x:v>
      </x:c>
      <x:c r="W4456" s="87"/>
      <x:c r="X4456" s="87" t="n">
        <x:v>7</x:v>
      </x:c>
      <x:c r="Y4456" s="87"/>
      <x:c r="Z4456" s="87"/>
      <x:c r="AA4456" s="87"/>
      <x:c r="AB4456" s="87" t="str">
        <x:v>таблица, строка 1</x:v>
      </x:c>
      <x:c r="AC4456" s="87" t="str">
        <x:v>VIS-MATH-DEC-BW-TASK-P007</x:v>
      </x:c>
      <x:c r="AD4456" s="87" t="str">
        <x:v>VIS-MATH-DEC-KEY-BW</x:v>
      </x:c>
      <x:c r="AE4456" s="87" t="str">
        <x:v>TASK; KEY</x:v>
      </x:c>
      <x:c r="AF4456" s="87" t="str">
        <x:v>VIS-MATH-DEC-BW-TASK-P007: 7; VIS-MATH-DEC-KEY-BW: 1</x:v>
      </x:c>
      <x:c r="AG4456" s="87" t="str">
        <x:v>RESOLVED</x:v>
      </x:c>
      <x:c r="AH4456" s="87" t="str">
        <x:v>CROP_VERIFIED</x:v>
      </x:c>
      <x:c r="AI4456" s="30" t="str">
        <x:v>{"Уровень": "Базовый"}</x:v>
      </x:c>
      <x:c r="AJ4456" s="87" t="str">
        <x:v>clean</x:v>
      </x:c>
      <x:c r="AK4456" s="87" t="str">
        <x:v>clean-v0.07</x:v>
      </x:c>
      <x:c r="AL4456" s="87" t="str">
        <x:v>statgrad_clean_continuation_v0_07(1).xlsx</x:v>
      </x:c>
      <x:c r="AM4456" s="87" t="str">
        <x:v>MATH_Dec_0201</x:v>
      </x:c>
      <x:c r="AN4456" s="87" t="n">
        <x:v>21</x:v>
      </x:c>
    </x:row>
    <x:row r="4457">
      <x:c r="A4457" s="87" t="n">
        <x:v>4456</x:v>
      </x:c>
      <x:c r="B4457" s="87" t="str">
        <x:v>DEC-MATH-01-021</x:v>
      </x:c>
      <x:c r="C4457" s="87" t="str">
        <x:v>СтатГрад</x:v>
      </x:c>
      <x:c r="D4457" s="87" t="str">
        <x:v>Декабрь 2025</x:v>
      </x:c>
      <x:c r="E4457" s="87"/>
      <x:c r="F4457" s="87"/>
      <x:c r="G4457" s="87" t="str">
        <x:v>Математика</x:v>
      </x:c>
      <x:c r="H4457" s="87" t="n">
        <x:v>11</x:v>
      </x:c>
      <x:c r="I4457" s="87" t="str">
        <x:v>ТР №2</x:v>
      </x:c>
      <x:c r="J4457" s="87" t="str">
        <x:v>МА2510201</x:v>
      </x:c>
      <x:c r="K4457" s="87" t="n">
        <x:v>21</x:v>
      </x:c>
      <x:c r="L4457" s="87" t="str">
        <x:v>Комбинаторная модель игры</x:v>
      </x:c>
      <x:c r="M4457" s="30" t="str">
        <x:v>Миша, Коля и Лёша играют в настольный теннис: игрок, проигравший партию, уступает место игроку, не участвовавшему в ней. В итоге оказалось, что Миша сыграл 13 партий, а Коля — 27. Сколько партий сыграл Лёша?</x:v>
      </x:c>
      <x:c r="N4457" s="30" t="str">
        <x:v>14</x:v>
      </x:c>
      <x:c r="O4457" s="30" t="str">
        <x:v>Учтено, что в каждой партии участвуют двое, а проигравший заменяется третьим игроком; получено согласованное число партий.</x:v>
      </x:c>
      <x:c r="P4457" s="30" t="str">
        <x:v>Условие и полный визуал просмотрены; ответ пересчитан/логически проверен и совпал с LOCKED-ключом.</x:v>
      </x:c>
      <x:c r="Q4457" s="30"/>
      <x:c r="R4457" s="30" t="str">
        <x:v>14</x:v>
      </x:c>
      <x:c r="S4457" s="30"/>
      <x:c r="T4457" s="30" t="str">
        <x:v>База.jpg (Запад)</x:v>
      </x:c>
      <x:c r="U4457" s="30" t="str">
        <x:v>Расхождений нет.</x:v>
      </x:c>
      <x:c r="V4457" s="87" t="str">
        <x:v>VERIFIED</x:v>
      </x:c>
      <x:c r="W4457" s="87"/>
      <x:c r="X4457" s="87" t="n">
        <x:v>7</x:v>
      </x:c>
      <x:c r="Y4457" s="87"/>
      <x:c r="Z4457" s="87"/>
      <x:c r="AA4457" s="87"/>
      <x:c r="AB4457" s="87" t="str">
        <x:v>таблица, строка 1</x:v>
      </x:c>
      <x:c r="AC4457" s="87" t="str">
        <x:v>VIS-MATH-DEC-BW-TASK-P007</x:v>
      </x:c>
      <x:c r="AD4457" s="87" t="str">
        <x:v>VIS-MATH-DEC-KEY-BW</x:v>
      </x:c>
      <x:c r="AE4457" s="87" t="str">
        <x:v>TASK; KEY</x:v>
      </x:c>
      <x:c r="AF4457" s="87" t="str">
        <x:v>VIS-MATH-DEC-BW-TASK-P007: 7; VIS-MATH-DEC-KEY-BW: 1</x:v>
      </x:c>
      <x:c r="AG4457" s="87" t="str">
        <x:v>RESOLVED</x:v>
      </x:c>
      <x:c r="AH4457" s="87" t="str">
        <x:v>CROP_VERIFIED</x:v>
      </x:c>
      <x:c r="AI4457" s="30" t="str">
        <x:v>{"Уровень": "Базовый"}</x:v>
      </x:c>
      <x:c r="AJ4457" s="87" t="str">
        <x:v>clean</x:v>
      </x:c>
      <x:c r="AK4457" s="87" t="str">
        <x:v>clean-v0.07</x:v>
      </x:c>
      <x:c r="AL4457" s="87" t="str">
        <x:v>statgrad_clean_continuation_v0_07(1).xlsx</x:v>
      </x:c>
      <x:c r="AM4457" s="87" t="str">
        <x:v>MATH_Dec_0201</x:v>
      </x:c>
      <x:c r="AN4457" s="87" t="n">
        <x:v>22</x:v>
      </x:c>
    </x:row>
    <x:row r="4458">
      <x:c r="A4458" s="87" t="n">
        <x:v>4457</x:v>
      </x:c>
      <x:c r="B4458" s="87" t="str">
        <x:v>DEC-MATH-02-001</x:v>
      </x:c>
      <x:c r="C4458" s="87" t="str">
        <x:v>СтатГрад</x:v>
      </x:c>
      <x:c r="D4458" s="87" t="str">
        <x:v>Декабрь 2025</x:v>
      </x:c>
      <x:c r="E4458" s="87"/>
      <x:c r="F4458" s="87"/>
      <x:c r="G4458" s="87" t="str">
        <x:v>Математика</x:v>
      </x:c>
      <x:c r="H4458" s="87" t="n">
        <x:v>11</x:v>
      </x:c>
      <x:c r="I4458" s="87" t="str">
        <x:v>ТР №2</x:v>
      </x:c>
      <x:c r="J4458" s="87" t="str">
        <x:v>МА2510202</x:v>
      </x:c>
      <x:c r="K4458" s="87" t="n">
        <x:v>1</x:v>
      </x:c>
      <x:c r="L4458" s="87" t="str">
        <x:v>Практическая арифметика</x:v>
      </x:c>
      <x:c r="M4458" s="30" t="str">
        <x:v>Сырок стоит 55 рублей. Какое наибольшее число сырков можно купить на 520 рублей?</x:v>
      </x:c>
      <x:c r="N4458" s="30" t="str">
        <x:v>9</x:v>
      </x:c>
      <x:c r="O4458" s="30" t="str">
        <x:v>Выполнено деление/сравнение стоимости; взята целая часть либо разность затрат.</x:v>
      </x:c>
      <x:c r="P4458" s="30" t="str">
        <x:v>Условие и полный визуал просмотрены; ответ пересчитан/логически проверен и совпал с LOCKED-ключом.</x:v>
      </x:c>
      <x:c r="Q4458" s="30"/>
      <x:c r="R4458" s="30" t="str">
        <x:v>9</x:v>
      </x:c>
      <x:c r="S4458" s="30"/>
      <x:c r="T4458" s="30" t="str">
        <x:v>База.jpg (Запад)</x:v>
      </x:c>
      <x:c r="U4458" s="30" t="str">
        <x:v>Расхождений нет.</x:v>
      </x:c>
      <x:c r="V4458" s="87" t="str">
        <x:v>VERIFIED</x:v>
      </x:c>
      <x:c r="W4458" s="87"/>
      <x:c r="X4458" s="87" t="n">
        <x:v>9</x:v>
      </x:c>
      <x:c r="Y4458" s="87"/>
      <x:c r="Z4458" s="87"/>
      <x:c r="AA4458" s="87"/>
      <x:c r="AB4458" s="87" t="str">
        <x:v>таблица, строка 2</x:v>
      </x:c>
      <x:c r="AC4458" s="87" t="str">
        <x:v>VIS-MATH-DEC-BW-TASK-P009</x:v>
      </x:c>
      <x:c r="AD4458" s="87" t="str">
        <x:v>VIS-MATH-DEC-KEY-BW</x:v>
      </x:c>
      <x:c r="AE4458" s="87" t="str">
        <x:v>TASK; KEY</x:v>
      </x:c>
      <x:c r="AF4458" s="87" t="str">
        <x:v>VIS-MATH-DEC-BW-TASK-P009: 9; VIS-MATH-DEC-KEY-BW: 1</x:v>
      </x:c>
      <x:c r="AG4458" s="87" t="str">
        <x:v>RESOLVED</x:v>
      </x:c>
      <x:c r="AH4458" s="87" t="str">
        <x:v>CROP_VERIFIED</x:v>
      </x:c>
      <x:c r="AI4458" s="30" t="str">
        <x:v>{"Уровень": "Базовый"}</x:v>
      </x:c>
      <x:c r="AJ4458" s="87" t="str">
        <x:v>clean</x:v>
      </x:c>
      <x:c r="AK4458" s="87" t="str">
        <x:v>clean-v0.07</x:v>
      </x:c>
      <x:c r="AL4458" s="87" t="str">
        <x:v>statgrad_clean_continuation_v0_07(1).xlsx</x:v>
      </x:c>
      <x:c r="AM4458" s="87" t="str">
        <x:v>MATH_Dec_0202</x:v>
      </x:c>
      <x:c r="AN4458" s="87" t="n">
        <x:v>2</x:v>
      </x:c>
    </x:row>
    <x:row r="4459">
      <x:c r="A4459" s="87" t="n">
        <x:v>4458</x:v>
      </x:c>
      <x:c r="B4459" s="87" t="str">
        <x:v>DEC-MATH-02-002</x:v>
      </x:c>
      <x:c r="C4459" s="87" t="str">
        <x:v>СтатГрад</x:v>
      </x:c>
      <x:c r="D4459" s="87" t="str">
        <x:v>Декабрь 2025</x:v>
      </x:c>
      <x:c r="E4459" s="87"/>
      <x:c r="F4459" s="87"/>
      <x:c r="G4459" s="87" t="str">
        <x:v>Математика</x:v>
      </x:c>
      <x:c r="H4459" s="87" t="n">
        <x:v>11</x:v>
      </x:c>
      <x:c r="I4459" s="87" t="str">
        <x:v>ТР №2</x:v>
      </x:c>
      <x:c r="J4459" s="87" t="str">
        <x:v>МА2510202</x:v>
      </x:c>
      <x:c r="K4459" s="87" t="n">
        <x:v>2</x:v>
      </x:c>
      <x:c r="L4459" s="87" t="str">
        <x:v>Установление соответствия</x:v>
      </x:c>
      <x:c r="M4459"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высота футбольных ворот Б) высота собаки в холке В) высота Останкинской башни Г) длина реки Невы 1) 65 см 2) 74 км 3) 244 см 4) 540 м В таблице под каждой буквой, соответствующей величине, укажите номер её возможного значения. А Б В Г Ответ:</x:v>
      </x:c>
      <x:c r="N4459" s="30" t="str">
        <x:v>3142</x:v>
      </x:c>
      <x:c r="O4459" s="30" t="str">
        <x:v>Величины сопоставлены по реалистичному порядку и единицам измерения.</x:v>
      </x:c>
      <x:c r="P4459" s="30" t="str">
        <x:v>Условие и полный визуал просмотрены; ответ пересчитан/логически проверен и совпал с LOCKED-ключом.</x:v>
      </x:c>
      <x:c r="Q4459" s="30"/>
      <x:c r="R4459" s="30" t="str">
        <x:v>3142</x:v>
      </x:c>
      <x:c r="S4459" s="30"/>
      <x:c r="T4459" s="30" t="str">
        <x:v>База.jpg (Запад)</x:v>
      </x:c>
      <x:c r="U4459" s="30" t="str">
        <x:v>Расхождений нет.</x:v>
      </x:c>
      <x:c r="V4459" s="87" t="str">
        <x:v>VERIFIED</x:v>
      </x:c>
      <x:c r="W4459" s="87"/>
      <x:c r="X4459" s="87" t="n">
        <x:v>9</x:v>
      </x:c>
      <x:c r="Y4459" s="87"/>
      <x:c r="Z4459" s="87"/>
      <x:c r="AA4459" s="87"/>
      <x:c r="AB4459" s="87" t="str">
        <x:v>таблица, строка 2</x:v>
      </x:c>
      <x:c r="AC4459" s="87" t="str">
        <x:v>VIS-MATH-DEC-BW-TASK-P009</x:v>
      </x:c>
      <x:c r="AD4459" s="87" t="str">
        <x:v>VIS-MATH-DEC-KEY-BW</x:v>
      </x:c>
      <x:c r="AE4459" s="87" t="str">
        <x:v>TASK; KEY</x:v>
      </x:c>
      <x:c r="AF4459" s="87" t="str">
        <x:v>VIS-MATH-DEC-BW-TASK-P009: 9; VIS-MATH-DEC-KEY-BW: 1</x:v>
      </x:c>
      <x:c r="AG4459" s="87" t="str">
        <x:v>RESOLVED</x:v>
      </x:c>
      <x:c r="AH4459" s="87" t="str">
        <x:v>CROP_VERIFIED</x:v>
      </x:c>
      <x:c r="AI4459" s="30" t="str">
        <x:v>{"Уровень": "Базовый"}</x:v>
      </x:c>
      <x:c r="AJ4459" s="87" t="str">
        <x:v>clean</x:v>
      </x:c>
      <x:c r="AK4459" s="87" t="str">
        <x:v>clean-v0.07</x:v>
      </x:c>
      <x:c r="AL4459" s="87" t="str">
        <x:v>statgrad_clean_continuation_v0_07(1).xlsx</x:v>
      </x:c>
      <x:c r="AM4459" s="87" t="str">
        <x:v>MATH_Dec_0202</x:v>
      </x:c>
      <x:c r="AN4459" s="87" t="n">
        <x:v>3</x:v>
      </x:c>
    </x:row>
    <x:row r="4460">
      <x:c r="A4460" s="87" t="n">
        <x:v>4459</x:v>
      </x:c>
      <x:c r="B4460" s="87" t="str">
        <x:v>DEC-MATH-02-003</x:v>
      </x:c>
      <x:c r="C4460" s="87" t="str">
        <x:v>СтатГрад</x:v>
      </x:c>
      <x:c r="D4460" s="87" t="str">
        <x:v>Декабрь 2025</x:v>
      </x:c>
      <x:c r="E4460" s="87"/>
      <x:c r="F4460" s="87"/>
      <x:c r="G4460" s="87" t="str">
        <x:v>Математика</x:v>
      </x:c>
      <x:c r="H4460" s="87" t="n">
        <x:v>11</x:v>
      </x:c>
      <x:c r="I4460" s="87" t="str">
        <x:v>ТР №2</x:v>
      </x:c>
      <x:c r="J4460" s="87" t="str">
        <x:v>МА2510202</x:v>
      </x:c>
      <x:c r="K4460" s="87" t="n">
        <x:v>3</x:v>
      </x:c>
      <x:c r="L4460" s="87" t="str">
        <x:v>Анализ таблицы</x:v>
      </x:c>
      <x:c r="M4460" s="30" t="str">
        <x:v>Результаты игры КВН представлены в таблице. Баллы за конкурс «Приветствие» Баллы за конкурс Баллы за музыкальный Команда конкурс «АТОМ» 30 22 26 «Шумы» 28 25 24 «Топчан» 28 23 24 «Лёлек и Болек» 28 22 26 Для каждой команды баллы по всем конкурсам суммируются. Победителем считается команда, набравшая в сумме наибольшее количество баллов. Какое место заняла команда «Шумы»? «СТЭМ»</x:v>
      </x:c>
      <x:c r="N4460" s="30" t="str">
        <x:v>2</x:v>
      </x:c>
      <x:c r="O4460" s="30" t="str">
        <x:v>Баллы в строках сложены, после чего определено место указанной команды.</x:v>
      </x:c>
      <x:c r="P4460" s="30" t="str">
        <x:v>Условие и полный визуал просмотрены; ответ пересчитан/логически проверен и совпал с LOCKED-ключом.</x:v>
      </x:c>
      <x:c r="Q4460" s="30"/>
      <x:c r="R4460" s="30" t="str">
        <x:v>2</x:v>
      </x:c>
      <x:c r="S4460" s="30"/>
      <x:c r="T4460" s="30" t="str">
        <x:v>База.jpg (Запад)</x:v>
      </x:c>
      <x:c r="U4460" s="30" t="str">
        <x:v>Расхождений нет.</x:v>
      </x:c>
      <x:c r="V4460" s="87" t="str">
        <x:v>VERIFIED</x:v>
      </x:c>
      <x:c r="W4460" s="87"/>
      <x:c r="X4460" s="87" t="n">
        <x:v>9</x:v>
      </x:c>
      <x:c r="Y4460" s="87"/>
      <x:c r="Z4460" s="87"/>
      <x:c r="AA4460" s="87"/>
      <x:c r="AB4460" s="87" t="str">
        <x:v>таблица, строка 2</x:v>
      </x:c>
      <x:c r="AC4460" s="87" t="str">
        <x:v>VIS-MATH-DEC-BW-TASK-P009</x:v>
      </x:c>
      <x:c r="AD4460" s="87" t="str">
        <x:v>VIS-MATH-DEC-KEY-BW</x:v>
      </x:c>
      <x:c r="AE4460" s="87" t="str">
        <x:v>TASK; KEY</x:v>
      </x:c>
      <x:c r="AF4460" s="87" t="str">
        <x:v>VIS-MATH-DEC-BW-TASK-P009: 9; VIS-MATH-DEC-KEY-BW: 1</x:v>
      </x:c>
      <x:c r="AG4460" s="87" t="str">
        <x:v>RESOLVED</x:v>
      </x:c>
      <x:c r="AH4460" s="87" t="str">
        <x:v>CROP_VERIFIED</x:v>
      </x:c>
      <x:c r="AI4460" s="30" t="str">
        <x:v>{"Уровень": "Базовый"}</x:v>
      </x:c>
      <x:c r="AJ4460" s="87" t="str">
        <x:v>clean</x:v>
      </x:c>
      <x:c r="AK4460" s="87" t="str">
        <x:v>clean-v0.07</x:v>
      </x:c>
      <x:c r="AL4460" s="87" t="str">
        <x:v>statgrad_clean_continuation_v0_07(1).xlsx</x:v>
      </x:c>
      <x:c r="AM4460" s="87" t="str">
        <x:v>MATH_Dec_0202</x:v>
      </x:c>
      <x:c r="AN4460" s="87" t="n">
        <x:v>4</x:v>
      </x:c>
    </x:row>
    <x:row r="4461">
      <x:c r="A4461" s="87" t="n">
        <x:v>4460</x:v>
      </x:c>
      <x:c r="B4461" s="87" t="str">
        <x:v>DEC-MATH-02-004</x:v>
      </x:c>
      <x:c r="C4461" s="87" t="str">
        <x:v>СтатГрад</x:v>
      </x:c>
      <x:c r="D4461" s="87" t="str">
        <x:v>Декабрь 2025</x:v>
      </x:c>
      <x:c r="E4461" s="87"/>
      <x:c r="F4461" s="87"/>
      <x:c r="G4461" s="87" t="str">
        <x:v>Математика</x:v>
      </x:c>
      <x:c r="H4461" s="87" t="n">
        <x:v>11</x:v>
      </x:c>
      <x:c r="I4461" s="87" t="str">
        <x:v>ТР №2</x:v>
      </x:c>
      <x:c r="J4461" s="87" t="str">
        <x:v>МА2510202</x:v>
      </x:c>
      <x:c r="K4461" s="87" t="n">
        <x:v>4</x:v>
      </x:c>
      <x:c r="L4461" s="87" t="str">
        <x:v>Применение формулы</x:v>
      </x:c>
      <x:c r="M4461" s="30" t="str">
        <x:v>Площадь треугольника вычисляется по формуле 1 sinα 2 S bc = , где b и c — две стороны треугольника, а α — угол между ними. Пользуясь этой формулой, найдите площадь S , если 16 b = , 9 c = и 1 sinα 3 = .</x:v>
      </x:c>
      <x:c r="N4461" s="30" t="str">
        <x:v>24</x:v>
      </x:c>
      <x:c r="O4461" s="30" t="str">
        <x:v>Данные подставлены в указанную формулу, неизвестная величина выражена алгебраически.</x:v>
      </x:c>
      <x:c r="P4461" s="30" t="str">
        <x:v>Условие и полный визуал просмотрены; ответ пересчитан/логически проверен и совпал с LOCKED-ключом.</x:v>
      </x:c>
      <x:c r="Q4461" s="30"/>
      <x:c r="R4461" s="30" t="str">
        <x:v>24</x:v>
      </x:c>
      <x:c r="S4461" s="30"/>
      <x:c r="T4461" s="30" t="str">
        <x:v>База.jpg (Запад)</x:v>
      </x:c>
      <x:c r="U4461" s="30" t="str">
        <x:v>Расхождений нет.</x:v>
      </x:c>
      <x:c r="V4461" s="87" t="str">
        <x:v>VERIFIED</x:v>
      </x:c>
      <x:c r="W4461" s="87"/>
      <x:c r="X4461" s="87" t="n">
        <x:v>10</x:v>
      </x:c>
      <x:c r="Y4461" s="87"/>
      <x:c r="Z4461" s="87"/>
      <x:c r="AA4461" s="87"/>
      <x:c r="AB4461" s="87" t="str">
        <x:v>таблица, строка 2</x:v>
      </x:c>
      <x:c r="AC4461" s="87" t="str">
        <x:v>VIS-MATH-DEC-BW-TASK-P010</x:v>
      </x:c>
      <x:c r="AD4461" s="87" t="str">
        <x:v>VIS-MATH-DEC-KEY-BW</x:v>
      </x:c>
      <x:c r="AE4461" s="87" t="str">
        <x:v>TASK; KEY</x:v>
      </x:c>
      <x:c r="AF4461" s="87" t="str">
        <x:v>VIS-MATH-DEC-BW-TASK-P010: 10; VIS-MATH-DEC-KEY-BW: 1</x:v>
      </x:c>
      <x:c r="AG4461" s="87" t="str">
        <x:v>RESOLVED</x:v>
      </x:c>
      <x:c r="AH4461" s="87" t="str">
        <x:v>CROP_VERIFIED</x:v>
      </x:c>
      <x:c r="AI4461" s="30" t="str">
        <x:v>{"Уровень": "Базовый"}</x:v>
      </x:c>
      <x:c r="AJ4461" s="87" t="str">
        <x:v>clean</x:v>
      </x:c>
      <x:c r="AK4461" s="87" t="str">
        <x:v>clean-v0.07</x:v>
      </x:c>
      <x:c r="AL4461" s="87" t="str">
        <x:v>statgrad_clean_continuation_v0_07(1).xlsx</x:v>
      </x:c>
      <x:c r="AM4461" s="87" t="str">
        <x:v>MATH_Dec_0202</x:v>
      </x:c>
      <x:c r="AN4461" s="87" t="n">
        <x:v>5</x:v>
      </x:c>
    </x:row>
    <x:row r="4462">
      <x:c r="A4462" s="87" t="n">
        <x:v>4461</x:v>
      </x:c>
      <x:c r="B4462" s="87" t="str">
        <x:v>DEC-MATH-02-005</x:v>
      </x:c>
      <x:c r="C4462" s="87" t="str">
        <x:v>СтатГрад</x:v>
      </x:c>
      <x:c r="D4462" s="87" t="str">
        <x:v>Декабрь 2025</x:v>
      </x:c>
      <x:c r="E4462" s="87"/>
      <x:c r="F4462" s="87"/>
      <x:c r="G4462" s="87" t="str">
        <x:v>Математика</x:v>
      </x:c>
      <x:c r="H4462" s="87" t="n">
        <x:v>11</x:v>
      </x:c>
      <x:c r="I4462" s="87" t="str">
        <x:v>ТР №2</x:v>
      </x:c>
      <x:c r="J4462" s="87" t="str">
        <x:v>МА2510202</x:v>
      </x:c>
      <x:c r="K4462" s="87" t="n">
        <x:v>5</x:v>
      </x:c>
      <x:c r="L4462" s="87" t="str">
        <x:v>Классическая вероятность</x:v>
      </x:c>
      <x:c r="M4462" s="30" t="str">
        <x:v>На чемпионате по прыжкам в воду выступают 25 спортсменов, среди них 6 прыгунов из России и 8 прыгунов из Китая. Порядок выступлений определяется жеребьёвкой. Найдите вероятность того, что первым будет выступать прыгун из Китая.</x:v>
      </x:c>
      <x:c r="N4462" s="30" t="str">
        <x:v>0,32</x:v>
      </x:c>
      <x:c r="O4462" s="30" t="str">
        <x:v>Вероятность равна отношению числа благоприятных исходов к общему числу равновозможных исходов.</x:v>
      </x:c>
      <x:c r="P4462" s="30" t="str">
        <x:v>Условие и полный визуал просмотрены; ответ пересчитан/логически проверен и совпал с LOCKED-ключом.</x:v>
      </x:c>
      <x:c r="Q4462" s="30"/>
      <x:c r="R4462" s="30" t="str">
        <x:v>0,32</x:v>
      </x:c>
      <x:c r="S4462" s="30"/>
      <x:c r="T4462" s="30" t="str">
        <x:v>База.jpg (Запад)</x:v>
      </x:c>
      <x:c r="U4462" s="30" t="str">
        <x:v>Расхождений нет.</x:v>
      </x:c>
      <x:c r="V4462" s="87" t="str">
        <x:v>VERIFIED</x:v>
      </x:c>
      <x:c r="W4462" s="87"/>
      <x:c r="X4462" s="87" t="n">
        <x:v>10</x:v>
      </x:c>
      <x:c r="Y4462" s="87"/>
      <x:c r="Z4462" s="87"/>
      <x:c r="AA4462" s="87"/>
      <x:c r="AB4462" s="87" t="str">
        <x:v>таблица, строка 2</x:v>
      </x:c>
      <x:c r="AC4462" s="87" t="str">
        <x:v>VIS-MATH-DEC-BW-TASK-P010</x:v>
      </x:c>
      <x:c r="AD4462" s="87" t="str">
        <x:v>VIS-MATH-DEC-KEY-BW</x:v>
      </x:c>
      <x:c r="AE4462" s="87" t="str">
        <x:v>TASK; KEY</x:v>
      </x:c>
      <x:c r="AF4462" s="87" t="str">
        <x:v>VIS-MATH-DEC-BW-TASK-P010: 10; VIS-MATH-DEC-KEY-BW: 1</x:v>
      </x:c>
      <x:c r="AG4462" s="87" t="str">
        <x:v>RESOLVED</x:v>
      </x:c>
      <x:c r="AH4462" s="87" t="str">
        <x:v>CROP_VERIFIED</x:v>
      </x:c>
      <x:c r="AI4462" s="30" t="str">
        <x:v>{"Уровень": "Базовый"}</x:v>
      </x:c>
      <x:c r="AJ4462" s="87" t="str">
        <x:v>clean</x:v>
      </x:c>
      <x:c r="AK4462" s="87" t="str">
        <x:v>clean-v0.07</x:v>
      </x:c>
      <x:c r="AL4462" s="87" t="str">
        <x:v>statgrad_clean_continuation_v0_07(1).xlsx</x:v>
      </x:c>
      <x:c r="AM4462" s="87" t="str">
        <x:v>MATH_Dec_0202</x:v>
      </x:c>
      <x:c r="AN4462" s="87" t="n">
        <x:v>6</x:v>
      </x:c>
    </x:row>
    <x:row r="4463">
      <x:c r="A4463" s="87" t="n">
        <x:v>4462</x:v>
      </x:c>
      <x:c r="B4463" s="87" t="str">
        <x:v>DEC-MATH-02-006</x:v>
      </x:c>
      <x:c r="C4463" s="87" t="str">
        <x:v>СтатГрад</x:v>
      </x:c>
      <x:c r="D4463" s="87" t="str">
        <x:v>Декабрь 2025</x:v>
      </x:c>
      <x:c r="E4463" s="87"/>
      <x:c r="F4463" s="87"/>
      <x:c r="G4463" s="87" t="str">
        <x:v>Математика</x:v>
      </x:c>
      <x:c r="H4463" s="87" t="n">
        <x:v>11</x:v>
      </x:c>
      <x:c r="I4463" s="87" t="str">
        <x:v>ТР №2</x:v>
      </x:c>
      <x:c r="J4463" s="87" t="str">
        <x:v>МА2510202</x:v>
      </x:c>
      <x:c r="K4463" s="87" t="n">
        <x:v>6</x:v>
      </x:c>
      <x:c r="L4463" s="87" t="str">
        <x:v>Выбор по условиям</x:v>
      </x:c>
      <x:c r="M4463" s="30" t="str">
        <x:v>В таблице представлены сведения о пиццах в интернет-магазине. Номер пиццы Состав/название Тип Стоимость (руб.) 1 «4 сыра» Вегетарианская 550 2 Помидоры, сладкий перец Вегетарианская 420 3 «Болоньезе» Мясная 400 4 Куриное филе, ананас, сыр Мясная 680 5 Оливки, грибы, помидоры Вегетарианская 500 6 Куриное филе, грибы, помидоры Мясная 450 Виталию нужно купить три разные пиццы так, чтобы среди них была хотя бы одна с грибами, хотя бы одна вегетарианская и хотя бы одна мясная. Какие пиццы должен выбрать Виталий, если он рассчитывает потратить на всё не более 1300 рублей? В ответе укажите какой-нибудь один набор номеров пицц без пробелов, запятых и других дополнительных символов.</x:v>
      </x:c>
      <x:c r="N4463" s="30" t="str">
        <x:v>236</x:v>
      </x:c>
      <x:c r="O4463" s="30" t="str">
        <x:v>Набор проверен по всем ограничениям: типы, обязательный ингредиент и бюджет.</x:v>
      </x:c>
      <x:c r="P4463" s="30" t="str">
        <x:v>Условие и полный визуал просмотрены; ответ пересчитан/логически проверен и совпал с LOCKED-ключом.</x:v>
      </x:c>
      <x:c r="Q4463" s="30"/>
      <x:c r="R4463" s="30" t="str">
        <x:v>236</x:v>
      </x:c>
      <x:c r="S4463" s="30"/>
      <x:c r="T4463" s="30" t="str">
        <x:v>База.jpg (Запад)</x:v>
      </x:c>
      <x:c r="U4463" s="30" t="str">
        <x:v>Расхождений нет.</x:v>
      </x:c>
      <x:c r="V4463" s="87" t="str">
        <x:v>VERIFIED</x:v>
      </x:c>
      <x:c r="W4463" s="87"/>
      <x:c r="X4463" s="87" t="n">
        <x:v>10</x:v>
      </x:c>
      <x:c r="Y4463" s="87"/>
      <x:c r="Z4463" s="87"/>
      <x:c r="AA4463" s="87"/>
      <x:c r="AB4463" s="87" t="str">
        <x:v>таблица, строка 2</x:v>
      </x:c>
      <x:c r="AC4463" s="87" t="str">
        <x:v>VIS-MATH-DEC-BW-TASK-P010</x:v>
      </x:c>
      <x:c r="AD4463" s="87" t="str">
        <x:v>VIS-MATH-DEC-KEY-BW</x:v>
      </x:c>
      <x:c r="AE4463" s="87" t="str">
        <x:v>TASK; KEY</x:v>
      </x:c>
      <x:c r="AF4463" s="87" t="str">
        <x:v>VIS-MATH-DEC-BW-TASK-P010: 10; VIS-MATH-DEC-KEY-BW: 1</x:v>
      </x:c>
      <x:c r="AG4463" s="87" t="str">
        <x:v>RESOLVED</x:v>
      </x:c>
      <x:c r="AH4463" s="87" t="str">
        <x:v>CROP_VERIFIED; TASK_CROP_QA_APPROVED:USE_TIGHT</x:v>
      </x:c>
      <x:c r="AI4463" s="30" t="str">
        <x:v>{"Уровень": "Базовый"}</x:v>
      </x:c>
      <x:c r="AJ4463" s="87" t="str">
        <x:v>clean</x:v>
      </x:c>
      <x:c r="AK4463" s="87" t="str">
        <x:v>clean-v0.07</x:v>
      </x:c>
      <x:c r="AL4463" s="87" t="str">
        <x:v>statgrad_clean_continuation_v0_07(1).xlsx</x:v>
      </x:c>
      <x:c r="AM4463" s="87" t="str">
        <x:v>MATH_Dec_0202</x:v>
      </x:c>
      <x:c r="AN4463" s="87" t="n">
        <x:v>7</x:v>
      </x:c>
    </x:row>
    <x:row r="4464">
      <x:c r="A4464" s="87" t="n">
        <x:v>4463</x:v>
      </x:c>
      <x:c r="B4464" s="87" t="str">
        <x:v>DEC-MATH-02-007</x:v>
      </x:c>
      <x:c r="C4464" s="87" t="str">
        <x:v>СтатГрад</x:v>
      </x:c>
      <x:c r="D4464" s="87" t="str">
        <x:v>Декабрь 2025</x:v>
      </x:c>
      <x:c r="E4464" s="87"/>
      <x:c r="F4464" s="87"/>
      <x:c r="G4464" s="87" t="str">
        <x:v>Математика</x:v>
      </x:c>
      <x:c r="H4464" s="87" t="n">
        <x:v>11</x:v>
      </x:c>
      <x:c r="I4464" s="87" t="str">
        <x:v>ТР №2</x:v>
      </x:c>
      <x:c r="J4464" s="87" t="str">
        <x:v>МА2510202</x:v>
      </x:c>
      <x:c r="K4464" s="87" t="n">
        <x:v>7</x:v>
      </x:c>
      <x:c r="L4464" s="87" t="str">
        <x:v>Анализ графика</x:v>
      </x:c>
      <x:c r="M4464" s="30" t="str">
        <x:v>На рисунке изображён график функции ( ) y f x = . Числа a , b, c , d и e задают на оси Ox интервалы. у y = f (x) c b d e a 0 х Пользуясь графиком, поставьте в соответствие каждому интервалу характеристику функции. ИНТЕРВАЛЫ ХАРАКТЕРИСТИКИ А) ( ) ;a b 1) Функция убывает на интервале. 2) Функция возрастает на интервале. 3) Значение функции отрицательно Б) ( ) ;b c В) ( ) ;c d в каждой точке интервала. 4) Значение функции положительно Г) ( ) ; d e в каждой точке интервала. В таблице под каждой буквой укажите соответствующий номер. А Б В Г Ответ:</x:v>
      </x:c>
      <x:c r="N4464" s="30" t="str">
        <x:v>3241</x:v>
      </x:c>
      <x:c r="O4464" s="30" t="str">
        <x:v>По графику определены знак и монотонность функции на четырёх интервалах.</x:v>
      </x:c>
      <x:c r="P4464" s="30" t="str">
        <x:v>Условие и полный визуал просмотрены; ответ пересчитан/логически проверен и совпал с LOCKED-ключом.</x:v>
      </x:c>
      <x:c r="Q4464" s="30"/>
      <x:c r="R4464" s="30" t="str">
        <x:v>3241</x:v>
      </x:c>
      <x:c r="S4464" s="30"/>
      <x:c r="T4464" s="30" t="str">
        <x:v>База.jpg (Запад)</x:v>
      </x:c>
      <x:c r="U4464" s="30" t="str">
        <x:v>Расхождений нет.</x:v>
      </x:c>
      <x:c r="V4464" s="87" t="str">
        <x:v>VERIFIED</x:v>
      </x:c>
      <x:c r="W4464" s="87"/>
      <x:c r="X4464" s="87" t="n">
        <x:v>11</x:v>
      </x:c>
      <x:c r="Y4464" s="87"/>
      <x:c r="Z4464" s="87"/>
      <x:c r="AA4464" s="87"/>
      <x:c r="AB4464" s="87" t="str">
        <x:v>таблица, строка 2</x:v>
      </x:c>
      <x:c r="AC4464" s="87" t="str">
        <x:v>VIS-MATH-DEC-BW-TASK-P011</x:v>
      </x:c>
      <x:c r="AD4464" s="87" t="str">
        <x:v>VIS-MATH-DEC-KEY-BW</x:v>
      </x:c>
      <x:c r="AE4464" s="87" t="str">
        <x:v>TASK; KEY</x:v>
      </x:c>
      <x:c r="AF4464" s="87" t="str">
        <x:v>VIS-MATH-DEC-BW-TASK-P011: 11; VIS-MATH-DEC-KEY-BW: 1</x:v>
      </x:c>
      <x:c r="AG4464" s="87" t="str">
        <x:v>RESOLVED</x:v>
      </x:c>
      <x:c r="AH4464" s="87" t="str">
        <x:v>CROP_VERIFIED; TASK_CROP_QA_APPROVED:USE_TIGHT</x:v>
      </x:c>
      <x:c r="AI4464" s="30" t="str">
        <x:v>{"Уровень": "Базовый"}</x:v>
      </x:c>
      <x:c r="AJ4464" s="87" t="str">
        <x:v>clean</x:v>
      </x:c>
      <x:c r="AK4464" s="87" t="str">
        <x:v>clean-v0.07</x:v>
      </x:c>
      <x:c r="AL4464" s="87" t="str">
        <x:v>statgrad_clean_continuation_v0_07(1).xlsx</x:v>
      </x:c>
      <x:c r="AM4464" s="87" t="str">
        <x:v>MATH_Dec_0202</x:v>
      </x:c>
      <x:c r="AN4464" s="87" t="n">
        <x:v>8</x:v>
      </x:c>
    </x:row>
    <x:row r="4465">
      <x:c r="A4465" s="87" t="n">
        <x:v>4464</x:v>
      </x:c>
      <x:c r="B4465" s="87" t="str">
        <x:v>DEC-MATH-02-008</x:v>
      </x:c>
      <x:c r="C4465" s="87" t="str">
        <x:v>СтатГрад</x:v>
      </x:c>
      <x:c r="D4465" s="87" t="str">
        <x:v>Декабрь 2025</x:v>
      </x:c>
      <x:c r="E4465" s="87"/>
      <x:c r="F4465" s="87"/>
      <x:c r="G4465" s="87" t="str">
        <x:v>Математика</x:v>
      </x:c>
      <x:c r="H4465" s="87" t="n">
        <x:v>11</x:v>
      </x:c>
      <x:c r="I4465" s="87" t="str">
        <x:v>ТР №2</x:v>
      </x:c>
      <x:c r="J4465" s="87" t="str">
        <x:v>МА2510202</x:v>
      </x:c>
      <x:c r="K4465" s="87" t="n">
        <x:v>8</x:v>
      </x:c>
      <x:c r="L4465" s="87" t="str">
        <x:v>Логические утверждения</x:v>
      </x:c>
      <x:c r="M4465" s="30" t="str">
        <x:v>Некоторые учащиеся 11-х классов школы осенью ездили на экскурсию в Нижний Новгород. Весной некоторые одиннадцатиклассники поедут в Казань, причём среди них не будет тех, кто ездил осенью в Нижний Новгород. Выберите утверждения, которые будут верны при указанных условиях независимо от того, кто из одиннадцатиклассников поедет в Казань. 1) Нет ни одного одиннадцатиклассника, который ездил на экскурсию в Нижний Новгород и поедет в Казань. 2) Каждый одиннадцатиклассник, который не был на экскурсии в Нижнем Новгороде, поедет в Казань. 3) Найдётся одиннадцатиклассник, который не ездил на экскурсию в Нижний Новгород и не поедет в Казань. 4) Среди учащихся 11-х классов этой школы, которые не поедут в Казань, есть хотя бы один, который ездил на экскурсию в Нижний Новгород. В ответе запишите номера выбранных утверждений без пробелов, запятых и других дополнительных символов.</x:v>
      </x:c>
      <x:c r="N4465" s="30" t="str">
        <x:v>14</x:v>
      </x:c>
      <x:c r="O4465" s="30" t="str">
        <x:v>Использовано условие непересечения двух множеств; выбраны утверждения, истинные при любом составе второго множества.</x:v>
      </x:c>
      <x:c r="P4465" s="30" t="str">
        <x:v>Условие и полный визуал просмотрены; ответ пересчитан/логически проверен и совпал с LOCKED-ключом.</x:v>
      </x:c>
      <x:c r="Q4465" s="30"/>
      <x:c r="R4465" s="30" t="str">
        <x:v>14</x:v>
      </x:c>
      <x:c r="S4465" s="30"/>
      <x:c r="T4465" s="30" t="str">
        <x:v>База.jpg (Запад)</x:v>
      </x:c>
      <x:c r="U4465" s="30" t="str">
        <x:v>Расхождений нет.</x:v>
      </x:c>
      <x:c r="V4465" s="87" t="str">
        <x:v>VERIFIED</x:v>
      </x:c>
      <x:c r="W4465" s="87"/>
      <x:c r="X4465" s="87" t="n">
        <x:v>12</x:v>
      </x:c>
      <x:c r="Y4465" s="87"/>
      <x:c r="Z4465" s="87"/>
      <x:c r="AA4465" s="87"/>
      <x:c r="AB4465" s="87" t="str">
        <x:v>таблица, строка 2</x:v>
      </x:c>
      <x:c r="AC4465" s="87" t="str">
        <x:v>VIS-MATH-DEC-BW-TASK-P012</x:v>
      </x:c>
      <x:c r="AD4465" s="87" t="str">
        <x:v>VIS-MATH-DEC-KEY-BW</x:v>
      </x:c>
      <x:c r="AE4465" s="87" t="str">
        <x:v>TASK; KEY</x:v>
      </x:c>
      <x:c r="AF4465" s="87" t="str">
        <x:v>VIS-MATH-DEC-BW-TASK-P012: 12; VIS-MATH-DEC-KEY-BW: 1</x:v>
      </x:c>
      <x:c r="AG4465" s="87" t="str">
        <x:v>RESOLVED</x:v>
      </x:c>
      <x:c r="AH4465" s="87" t="str">
        <x:v>CROP_VERIFIED</x:v>
      </x:c>
      <x:c r="AI4465" s="30" t="str">
        <x:v>{"Уровень": "Базовый"}</x:v>
      </x:c>
      <x:c r="AJ4465" s="87" t="str">
        <x:v>clean</x:v>
      </x:c>
      <x:c r="AK4465" s="87" t="str">
        <x:v>clean-v0.07</x:v>
      </x:c>
      <x:c r="AL4465" s="87" t="str">
        <x:v>statgrad_clean_continuation_v0_07(1).xlsx</x:v>
      </x:c>
      <x:c r="AM4465" s="87" t="str">
        <x:v>MATH_Dec_0202</x:v>
      </x:c>
      <x:c r="AN4465" s="87" t="n">
        <x:v>9</x:v>
      </x:c>
    </x:row>
    <x:row r="4466">
      <x:c r="A4466" s="87" t="n">
        <x:v>4465</x:v>
      </x:c>
      <x:c r="B4466" s="87" t="str">
        <x:v>DEC-MATH-02-009</x:v>
      </x:c>
      <x:c r="C4466" s="87" t="str">
        <x:v>СтатГрад</x:v>
      </x:c>
      <x:c r="D4466" s="87" t="str">
        <x:v>Декабрь 2025</x:v>
      </x:c>
      <x:c r="E4466" s="87"/>
      <x:c r="F4466" s="87"/>
      <x:c r="G4466" s="87" t="str">
        <x:v>Математика</x:v>
      </x:c>
      <x:c r="H4466" s="87" t="n">
        <x:v>11</x:v>
      </x:c>
      <x:c r="I4466" s="87" t="str">
        <x:v>ТР №2</x:v>
      </x:c>
      <x:c r="J4466" s="87" t="str">
        <x:v>МА2510202</x:v>
      </x:c>
      <x:c r="K4466" s="87" t="n">
        <x:v>9</x:v>
      </x:c>
      <x:c r="L4466" s="87" t="str">
        <x:v>Площадь по клеткам</x:v>
      </x:c>
      <x:c r="M4466" s="30" t="str">
        <x:v>В ответе запишите номера выбранных утверждений без пробелов, запятых и других дополнительных символов. План местности разбит на клетки. Каждая клетка обозначает квадрат 1м 1м × . Найдите площадь участка, выделенного на плане. Ответ дайте в квадратных метрах.</x:v>
      </x:c>
      <x:c r="N4466" s="30" t="str">
        <x:v>49</x:v>
      </x:c>
      <x:c r="O4466" s="30" t="str">
        <x:v>Площадь получена подсчётом целых и составных клеток на полном изображении задания.</x:v>
      </x:c>
      <x:c r="P4466" s="30" t="str">
        <x:v>Условие и полный визуал просмотрены; ответ пересчитан/логически проверен и совпал с LOCKED-ключом.</x:v>
      </x:c>
      <x:c r="Q4466" s="30"/>
      <x:c r="R4466" s="30" t="str">
        <x:v>49</x:v>
      </x:c>
      <x:c r="S4466" s="30"/>
      <x:c r="T4466" s="30" t="str">
        <x:v>База.jpg (Запад)</x:v>
      </x:c>
      <x:c r="U4466" s="30" t="str">
        <x:v>Расхождений нет.</x:v>
      </x:c>
      <x:c r="V4466" s="87" t="str">
        <x:v>VERIFIED</x:v>
      </x:c>
      <x:c r="W4466" s="87"/>
      <x:c r="X4466" s="87" t="n">
        <x:v>12</x:v>
      </x:c>
      <x:c r="Y4466" s="87"/>
      <x:c r="Z4466" s="87"/>
      <x:c r="AA4466" s="87"/>
      <x:c r="AB4466" s="87" t="str">
        <x:v>таблица, строка 2</x:v>
      </x:c>
      <x:c r="AC4466" s="87" t="str">
        <x:v>VIS-MATH-DEC-BW-TASK-P012</x:v>
      </x:c>
      <x:c r="AD4466" s="87" t="str">
        <x:v>VIS-MATH-DEC-KEY-BW</x:v>
      </x:c>
      <x:c r="AE4466" s="87" t="str">
        <x:v>TASK; KEY</x:v>
      </x:c>
      <x:c r="AF4466" s="87" t="str">
        <x:v>VIS-MATH-DEC-BW-TASK-P012: 12; VIS-MATH-DEC-KEY-BW: 1</x:v>
      </x:c>
      <x:c r="AG4466" s="87" t="str">
        <x:v>RESOLVED</x:v>
      </x:c>
      <x:c r="AH4466" s="87" t="str">
        <x:v>CROP_VERIFIED; TASK_CROP_QA_APPROVED:USE_TIGHT</x:v>
      </x:c>
      <x:c r="AI4466" s="30" t="str">
        <x:v>{"Уровень": "Базовый"}</x:v>
      </x:c>
      <x:c r="AJ4466" s="87" t="str">
        <x:v>clean</x:v>
      </x:c>
      <x:c r="AK4466" s="87" t="str">
        <x:v>clean-v0.07</x:v>
      </x:c>
      <x:c r="AL4466" s="87" t="str">
        <x:v>statgrad_clean_continuation_v0_07(1).xlsx</x:v>
      </x:c>
      <x:c r="AM4466" s="87" t="str">
        <x:v>MATH_Dec_0202</x:v>
      </x:c>
      <x:c r="AN4466" s="87" t="n">
        <x:v>10</x:v>
      </x:c>
    </x:row>
    <x:row r="4467">
      <x:c r="A4467" s="87" t="n">
        <x:v>4466</x:v>
      </x:c>
      <x:c r="B4467" s="87" t="str">
        <x:v>DEC-MATH-02-010</x:v>
      </x:c>
      <x:c r="C4467" s="87" t="str">
        <x:v>СтатГрад</x:v>
      </x:c>
      <x:c r="D4467" s="87" t="str">
        <x:v>Декабрь 2025</x:v>
      </x:c>
      <x:c r="E4467" s="87"/>
      <x:c r="F4467" s="87"/>
      <x:c r="G4467" s="87" t="str">
        <x:v>Математика</x:v>
      </x:c>
      <x:c r="H4467" s="87" t="n">
        <x:v>11</x:v>
      </x:c>
      <x:c r="I4467" s="87" t="str">
        <x:v>ТР №2</x:v>
      </x:c>
      <x:c r="J4467" s="87" t="str">
        <x:v>МА2510202</x:v>
      </x:c>
      <x:c r="K4467" s="87" t="n">
        <x:v>10</x:v>
      </x:c>
      <x:c r="L4467" s="87" t="str">
        <x:v>Угол в окружности</x:v>
      </x:c>
      <x:c r="M4467" s="30" t="str">
        <x:v>Колесо имеет 6 спиц. Углы между любыми двумя соседними спицами равны. Найдите величину угла (в градусах), который образуют две соседние спицы.</x:v>
      </x:c>
      <x:c r="N4467" s="30" t="str">
        <x:v>60</x:v>
      </x:c>
      <x:c r="O4467" s="30" t="str">
        <x:v>Полный угол 360° разделён на число равных промежутков между спицами.</x:v>
      </x:c>
      <x:c r="P4467" s="30" t="str">
        <x:v>Условие и полный визуал просмотрены; ответ пересчитан/логически проверен и совпал с LOCKED-ключом.</x:v>
      </x:c>
      <x:c r="Q4467" s="30"/>
      <x:c r="R4467" s="30" t="str">
        <x:v>60</x:v>
      </x:c>
      <x:c r="S4467" s="30"/>
      <x:c r="T4467" s="30" t="str">
        <x:v>База.jpg (Запад)</x:v>
      </x:c>
      <x:c r="U4467" s="30" t="str">
        <x:v>Расхождений нет.</x:v>
      </x:c>
      <x:c r="V4467" s="87" t="str">
        <x:v>VERIFIED</x:v>
      </x:c>
      <x:c r="W4467" s="87"/>
      <x:c r="X4467" s="87" t="n">
        <x:v>12</x:v>
      </x:c>
      <x:c r="Y4467" s="87"/>
      <x:c r="Z4467" s="87"/>
      <x:c r="AA4467" s="87"/>
      <x:c r="AB4467" s="87" t="str">
        <x:v>таблица, строка 2</x:v>
      </x:c>
      <x:c r="AC4467" s="87" t="str">
        <x:v>VIS-MATH-DEC-BW-TASK-P012</x:v>
      </x:c>
      <x:c r="AD4467" s="87" t="str">
        <x:v>VIS-MATH-DEC-KEY-BW</x:v>
      </x:c>
      <x:c r="AE4467" s="87" t="str">
        <x:v>TASK; KEY</x:v>
      </x:c>
      <x:c r="AF4467" s="87" t="str">
        <x:v>VIS-MATH-DEC-BW-TASK-P012: 12; VIS-MATH-DEC-KEY-BW: 1</x:v>
      </x:c>
      <x:c r="AG4467" s="87" t="str">
        <x:v>RESOLVED</x:v>
      </x:c>
      <x:c r="AH4467" s="87" t="str">
        <x:v>CROP_VERIFIED</x:v>
      </x:c>
      <x:c r="AI4467" s="30" t="str">
        <x:v>{"Уровень": "Базовый"}</x:v>
      </x:c>
      <x:c r="AJ4467" s="87" t="str">
        <x:v>clean</x:v>
      </x:c>
      <x:c r="AK4467" s="87" t="str">
        <x:v>clean-v0.07</x:v>
      </x:c>
      <x:c r="AL4467" s="87" t="str">
        <x:v>statgrad_clean_continuation_v0_07(1).xlsx</x:v>
      </x:c>
      <x:c r="AM4467" s="87" t="str">
        <x:v>MATH_Dec_0202</x:v>
      </x:c>
      <x:c r="AN4467" s="87" t="n">
        <x:v>11</x:v>
      </x:c>
    </x:row>
    <x:row r="4468">
      <x:c r="A4468" s="87" t="n">
        <x:v>4467</x:v>
      </x:c>
      <x:c r="B4468" s="87" t="str">
        <x:v>DEC-MATH-02-011</x:v>
      </x:c>
      <x:c r="C4468" s="87" t="str">
        <x:v>СтатГрад</x:v>
      </x:c>
      <x:c r="D4468" s="87" t="str">
        <x:v>Декабрь 2025</x:v>
      </x:c>
      <x:c r="E4468" s="87"/>
      <x:c r="F4468" s="87"/>
      <x:c r="G4468" s="87" t="str">
        <x:v>Математика</x:v>
      </x:c>
      <x:c r="H4468" s="87" t="n">
        <x:v>11</x:v>
      </x:c>
      <x:c r="I4468" s="87" t="str">
        <x:v>ТР №2</x:v>
      </x:c>
      <x:c r="J4468" s="87" t="str">
        <x:v>МА2510202</x:v>
      </x:c>
      <x:c r="K4468" s="87" t="n">
        <x:v>11</x:v>
      </x:c>
      <x:c r="L4468" s="87" t="str">
        <x:v>Площадь поверхности</x:v>
      </x:c>
      <x:c r="M4468" s="30" t="str">
        <x:v>Пять ступеней лестницы покрасили в тёмный цвет, как показано на рисунке (штриховкой). Найдите площадь окрашенной поверхности, если глубина каждой ступеньки равна 40 см, высота — 15 см, а ширина — 90 см. Ответ дайте в квадратных сантиметрах.</x:v>
      </x:c>
      <x:c r="N4468" s="30" t="str">
        <x:v>21150</x:v>
      </x:c>
      <x:c r="O4468" s="30" t="str">
        <x:v>Сложены площади всех закрашенных горизонтальных и вертикальных участков ступеней.</x:v>
      </x:c>
      <x:c r="P4468" s="30" t="str">
        <x:v>Условие и полный визуал просмотрены; ответ пересчитан/логически проверен и совпал с LOCKED-ключом.</x:v>
      </x:c>
      <x:c r="Q4468" s="30"/>
      <x:c r="R4468" s="30" t="str">
        <x:v>21150</x:v>
      </x:c>
      <x:c r="S4468" s="30"/>
      <x:c r="T4468" s="30" t="str">
        <x:v>База.jpg (Запад)</x:v>
      </x:c>
      <x:c r="U4468" s="30" t="str">
        <x:v>Расхождений нет.</x:v>
      </x:c>
      <x:c r="V4468" s="87" t="str">
        <x:v>VERIFIED</x:v>
      </x:c>
      <x:c r="W4468" s="87"/>
      <x:c r="X4468" s="87" t="n">
        <x:v>13</x:v>
      </x:c>
      <x:c r="Y4468" s="87"/>
      <x:c r="Z4468" s="87"/>
      <x:c r="AA4468" s="87"/>
      <x:c r="AB4468" s="87" t="str">
        <x:v>таблица, строка 2</x:v>
      </x:c>
      <x:c r="AC4468" s="87" t="str">
        <x:v>VIS-MATH-DEC-BW-TASK-P013</x:v>
      </x:c>
      <x:c r="AD4468" s="87" t="str">
        <x:v>VIS-MATH-DEC-KEY-BW</x:v>
      </x:c>
      <x:c r="AE4468" s="87" t="str">
        <x:v>TASK; KEY</x:v>
      </x:c>
      <x:c r="AF4468" s="87" t="str">
        <x:v>VIS-MATH-DEC-BW-TASK-P013: 13; VIS-MATH-DEC-KEY-BW: 1</x:v>
      </x:c>
      <x:c r="AG4468" s="87" t="str">
        <x:v>RESOLVED</x:v>
      </x:c>
      <x:c r="AH4468" s="87" t="str">
        <x:v>CROP_VERIFIED; TASK_CROP_QA_APPROVED:USE_TIGHT</x:v>
      </x:c>
      <x:c r="AI4468" s="30" t="str">
        <x:v>{"Уровень": "Базовый"}</x:v>
      </x:c>
      <x:c r="AJ4468" s="87" t="str">
        <x:v>clean</x:v>
      </x:c>
      <x:c r="AK4468" s="87" t="str">
        <x:v>clean-v0.07</x:v>
      </x:c>
      <x:c r="AL4468" s="87" t="str">
        <x:v>statgrad_clean_continuation_v0_07(1).xlsx</x:v>
      </x:c>
      <x:c r="AM4468" s="87" t="str">
        <x:v>MATH_Dec_0202</x:v>
      </x:c>
      <x:c r="AN4468" s="87" t="n">
        <x:v>12</x:v>
      </x:c>
    </x:row>
    <x:row r="4469">
      <x:c r="A4469" s="87" t="n">
        <x:v>4468</x:v>
      </x:c>
      <x:c r="B4469" s="87" t="str">
        <x:v>DEC-MATH-02-012</x:v>
      </x:c>
      <x:c r="C4469" s="87" t="str">
        <x:v>СтатГрад</x:v>
      </x:c>
      <x:c r="D4469" s="87" t="str">
        <x:v>Декабрь 2025</x:v>
      </x:c>
      <x:c r="E4469" s="87"/>
      <x:c r="F4469" s="87"/>
      <x:c r="G4469" s="87" t="str">
        <x:v>Математика</x:v>
      </x:c>
      <x:c r="H4469" s="87" t="n">
        <x:v>11</x:v>
      </x:c>
      <x:c r="I4469" s="87" t="str">
        <x:v>ТР №2</x:v>
      </x:c>
      <x:c r="J4469" s="87" t="str">
        <x:v>МА2510202</x:v>
      </x:c>
      <x:c r="K4469" s="87" t="n">
        <x:v>12</x:v>
      </x:c>
      <x:c r="L4469" s="87" t="str">
        <x:v>Планиметрия</x:v>
      </x:c>
      <x:c r="M4469" s="30" t="str">
        <x:v>B В треугольнике ABC угол B равен 120°. Медиана BM делит угол B пополам и равна 13. Найдите длину стороны AB. A M C</x:v>
      </x:c>
      <x:c r="N4469" s="30" t="str">
        <x:v>26</x:v>
      </x:c>
      <x:c r="O4469" s="30" t="str">
        <x:v>Медиана одновременно является биссектрисой; треугольник равнобедренный, а в половине треугольника используется угол 60°.</x:v>
      </x:c>
      <x:c r="P4469" s="30" t="str">
        <x:v>Условие и полный визуал просмотрены; ответ пересчитан/логически проверен и совпал с LOCKED-ключом.</x:v>
      </x:c>
      <x:c r="Q4469" s="30"/>
      <x:c r="R4469" s="30" t="str">
        <x:v>26</x:v>
      </x:c>
      <x:c r="S4469" s="30"/>
      <x:c r="T4469" s="30" t="str">
        <x:v>База.jpg (Запад)</x:v>
      </x:c>
      <x:c r="U4469" s="30" t="str">
        <x:v>Расхождений нет.</x:v>
      </x:c>
      <x:c r="V4469" s="87" t="str">
        <x:v>VERIFIED</x:v>
      </x:c>
      <x:c r="W4469" s="87"/>
      <x:c r="X4469" s="87" t="n">
        <x:v>13</x:v>
      </x:c>
      <x:c r="Y4469" s="87"/>
      <x:c r="Z4469" s="87"/>
      <x:c r="AA4469" s="87"/>
      <x:c r="AB4469" s="87" t="str">
        <x:v>таблица, строка 2</x:v>
      </x:c>
      <x:c r="AC4469" s="87" t="str">
        <x:v>VIS-MATH-DEC-BW-TASK-P013</x:v>
      </x:c>
      <x:c r="AD4469" s="87" t="str">
        <x:v>VIS-MATH-DEC-KEY-BW</x:v>
      </x:c>
      <x:c r="AE4469" s="87" t="str">
        <x:v>TASK; KEY</x:v>
      </x:c>
      <x:c r="AF4469" s="87" t="str">
        <x:v>VIS-MATH-DEC-BW-TASK-P013: 13; VIS-MATH-DEC-KEY-BW: 1</x:v>
      </x:c>
      <x:c r="AG4469" s="87" t="str">
        <x:v>RESOLVED</x:v>
      </x:c>
      <x:c r="AH4469" s="87" t="str">
        <x:v>CROP_VERIFIED</x:v>
      </x:c>
      <x:c r="AI4469" s="30" t="str">
        <x:v>{"Уровень": "Базовый"}</x:v>
      </x:c>
      <x:c r="AJ4469" s="87" t="str">
        <x:v>clean</x:v>
      </x:c>
      <x:c r="AK4469" s="87" t="str">
        <x:v>clean-v0.07</x:v>
      </x:c>
      <x:c r="AL4469" s="87" t="str">
        <x:v>statgrad_clean_continuation_v0_07(1).xlsx</x:v>
      </x:c>
      <x:c r="AM4469" s="87" t="str">
        <x:v>MATH_Dec_0202</x:v>
      </x:c>
      <x:c r="AN4469" s="87" t="n">
        <x:v>13</x:v>
      </x:c>
    </x:row>
    <x:row r="4470">
      <x:c r="A4470" s="87" t="n">
        <x:v>4469</x:v>
      </x:c>
      <x:c r="B4470" s="87" t="str">
        <x:v>DEC-MATH-02-013</x:v>
      </x:c>
      <x:c r="C4470" s="87" t="str">
        <x:v>СтатГрад</x:v>
      </x:c>
      <x:c r="D4470" s="87" t="str">
        <x:v>Декабрь 2025</x:v>
      </x:c>
      <x:c r="E4470" s="87"/>
      <x:c r="F4470" s="87"/>
      <x:c r="G4470" s="87" t="str">
        <x:v>Математика</x:v>
      </x:c>
      <x:c r="H4470" s="87" t="n">
        <x:v>11</x:v>
      </x:c>
      <x:c r="I4470" s="87" t="str">
        <x:v>ТР №2</x:v>
      </x:c>
      <x:c r="J4470" s="87" t="str">
        <x:v>МА2510202</x:v>
      </x:c>
      <x:c r="K4470" s="87" t="n">
        <x:v>13</x:v>
      </x:c>
      <x:c r="L4470" s="87" t="str">
        <x:v>Объём призмы</x:v>
      </x:c>
      <x:c r="M4470" s="30" t="str">
        <x:v>В основании прямой призмы лежит прямоугольный треугольник, катеты которого равны 5 и 7. Найдите объём призмы, если её высота равна 4.</x:v>
      </x:c>
      <x:c r="N4470" s="30" t="str">
        <x:v>70</x:v>
      </x:c>
      <x:c r="O4470" s="30" t="str">
        <x:v>Объём равен площади прямоугольного треугольника в основании, умноженной на высоту призмы.</x:v>
      </x:c>
      <x:c r="P4470" s="30" t="str">
        <x:v>Условие и полный визуал просмотрены; ответ пересчитан/логически проверен и совпал с LOCKED-ключом.</x:v>
      </x:c>
      <x:c r="Q4470" s="30"/>
      <x:c r="R4470" s="30" t="str">
        <x:v>70</x:v>
      </x:c>
      <x:c r="S4470" s="30"/>
      <x:c r="T4470" s="30" t="str">
        <x:v>База.jpg (Запад)</x:v>
      </x:c>
      <x:c r="U4470" s="30" t="str">
        <x:v>Расхождений нет.</x:v>
      </x:c>
      <x:c r="V4470" s="87" t="str">
        <x:v>VERIFIED</x:v>
      </x:c>
      <x:c r="W4470" s="87"/>
      <x:c r="X4470" s="87" t="n">
        <x:v>13</x:v>
      </x:c>
      <x:c r="Y4470" s="87"/>
      <x:c r="Z4470" s="87"/>
      <x:c r="AA4470" s="87"/>
      <x:c r="AB4470" s="87" t="str">
        <x:v>таблица, строка 2</x:v>
      </x:c>
      <x:c r="AC4470" s="87" t="str">
        <x:v>VIS-MATH-DEC-BW-TASK-P013</x:v>
      </x:c>
      <x:c r="AD4470" s="87" t="str">
        <x:v>VIS-MATH-DEC-KEY-BW</x:v>
      </x:c>
      <x:c r="AE4470" s="87" t="str">
        <x:v>TASK; KEY</x:v>
      </x:c>
      <x:c r="AF4470" s="87" t="str">
        <x:v>VIS-MATH-DEC-BW-TASK-P013: 13; VIS-MATH-DEC-KEY-BW: 1</x:v>
      </x:c>
      <x:c r="AG4470" s="87" t="str">
        <x:v>RESOLVED</x:v>
      </x:c>
      <x:c r="AH4470" s="87" t="str">
        <x:v>CROP_VERIFIED</x:v>
      </x:c>
      <x:c r="AI4470" s="30" t="str">
        <x:v>{"Уровень": "Базовый"}</x:v>
      </x:c>
      <x:c r="AJ4470" s="87" t="str">
        <x:v>clean</x:v>
      </x:c>
      <x:c r="AK4470" s="87" t="str">
        <x:v>clean-v0.07</x:v>
      </x:c>
      <x:c r="AL4470" s="87" t="str">
        <x:v>statgrad_clean_continuation_v0_07(1).xlsx</x:v>
      </x:c>
      <x:c r="AM4470" s="87" t="str">
        <x:v>MATH_Dec_0202</x:v>
      </x:c>
      <x:c r="AN4470" s="87" t="n">
        <x:v>14</x:v>
      </x:c>
    </x:row>
    <x:row r="4471">
      <x:c r="A4471" s="87" t="n">
        <x:v>4470</x:v>
      </x:c>
      <x:c r="B4471" s="87" t="str">
        <x:v>DEC-MATH-02-014</x:v>
      </x:c>
      <x:c r="C4471" s="87" t="str">
        <x:v>СтатГрад</x:v>
      </x:c>
      <x:c r="D4471" s="87" t="str">
        <x:v>Декабрь 2025</x:v>
      </x:c>
      <x:c r="E4471" s="87"/>
      <x:c r="F4471" s="87"/>
      <x:c r="G4471" s="87" t="str">
        <x:v>Математика</x:v>
      </x:c>
      <x:c r="H4471" s="87" t="n">
        <x:v>11</x:v>
      </x:c>
      <x:c r="I4471" s="87" t="str">
        <x:v>ТР №2</x:v>
      </x:c>
      <x:c r="J4471" s="87" t="str">
        <x:v>МА2510202</x:v>
      </x:c>
      <x:c r="K4471" s="87" t="n">
        <x:v>14</x:v>
      </x:c>
      <x:c r="L4471" s="87" t="str">
        <x:v>Числовое выражение</x:v>
      </x:c>
      <x:c r="M4471" s="30" t="str">
        <x:v>Найдите значение выражения 4,5 4,8 0,8 ⋅ + .</x:v>
      </x:c>
      <x:c r="N4471" s="30" t="str">
        <x:v>22,4</x:v>
      </x:c>
      <x:c r="O4471" s="30" t="str">
        <x:v>Значение вычислено с соблюдением порядка арифметических действий.</x:v>
      </x:c>
      <x:c r="P4471" s="30" t="str">
        <x:v>Условие и полный визуал просмотрены; ответ пересчитан/логически проверен и совпал с LOCKED-ключом.</x:v>
      </x:c>
      <x:c r="Q4471" s="30"/>
      <x:c r="R4471" s="30" t="str">
        <x:v>22,4</x:v>
      </x:c>
      <x:c r="S4471" s="30"/>
      <x:c r="T4471" s="30" t="str">
        <x:v>База.jpg (Запад)</x:v>
      </x:c>
      <x:c r="U4471" s="30" t="str">
        <x:v>Расхождений нет.</x:v>
      </x:c>
      <x:c r="V4471" s="87" t="str">
        <x:v>VERIFIED</x:v>
      </x:c>
      <x:c r="W4471" s="87"/>
      <x:c r="X4471" s="87" t="n">
        <x:v>13</x:v>
      </x:c>
      <x:c r="Y4471" s="87"/>
      <x:c r="Z4471" s="87"/>
      <x:c r="AA4471" s="87"/>
      <x:c r="AB4471" s="87" t="str">
        <x:v>таблица, строка 2</x:v>
      </x:c>
      <x:c r="AC4471" s="87" t="str">
        <x:v>VIS-MATH-DEC-BW-TASK-P013</x:v>
      </x:c>
      <x:c r="AD4471" s="87" t="str">
        <x:v>VIS-MATH-DEC-KEY-BW</x:v>
      </x:c>
      <x:c r="AE4471" s="87" t="str">
        <x:v>TASK; KEY</x:v>
      </x:c>
      <x:c r="AF4471" s="87" t="str">
        <x:v>VIS-MATH-DEC-BW-TASK-P013: 13; VIS-MATH-DEC-KEY-BW: 1</x:v>
      </x:c>
      <x:c r="AG4471" s="87" t="str">
        <x:v>RESOLVED</x:v>
      </x:c>
      <x:c r="AH4471" s="87" t="str">
        <x:v>CROP_VERIFIED</x:v>
      </x:c>
      <x:c r="AI4471" s="30" t="str">
        <x:v>{"Уровень": "Базовый"}</x:v>
      </x:c>
      <x:c r="AJ4471" s="87" t="str">
        <x:v>clean</x:v>
      </x:c>
      <x:c r="AK4471" s="87" t="str">
        <x:v>clean-v0.07</x:v>
      </x:c>
      <x:c r="AL4471" s="87" t="str">
        <x:v>statgrad_clean_continuation_v0_07(1).xlsx</x:v>
      </x:c>
      <x:c r="AM4471" s="87" t="str">
        <x:v>MATH_Dec_0202</x:v>
      </x:c>
      <x:c r="AN4471" s="87" t="n">
        <x:v>15</x:v>
      </x:c>
    </x:row>
    <x:row r="4472">
      <x:c r="A4472" s="87" t="n">
        <x:v>4471</x:v>
      </x:c>
      <x:c r="B4472" s="87" t="str">
        <x:v>DEC-MATH-02-015</x:v>
      </x:c>
      <x:c r="C4472" s="87" t="str">
        <x:v>СтатГрад</x:v>
      </x:c>
      <x:c r="D4472" s="87" t="str">
        <x:v>Декабрь 2025</x:v>
      </x:c>
      <x:c r="E4472" s="87"/>
      <x:c r="F4472" s="87"/>
      <x:c r="G4472" s="87" t="str">
        <x:v>Математика</x:v>
      </x:c>
      <x:c r="H4472" s="87" t="n">
        <x:v>11</x:v>
      </x:c>
      <x:c r="I4472" s="87" t="str">
        <x:v>ТР №2</x:v>
      </x:c>
      <x:c r="J4472" s="87" t="str">
        <x:v>МА2510202</x:v>
      </x:c>
      <x:c r="K4472" s="87" t="n">
        <x:v>15</x:v>
      </x:c>
      <x:c r="L4472" s="87" t="str">
        <x:v>Проценты</x:v>
      </x:c>
      <x:c r="M4472" s="30" t="str">
        <x:v>После уценки телевизора его новая цена составила 0,39 от старой цены. На сколько процентов уменьшилась цена телевизора в результате уценки?</x:v>
      </x:c>
      <x:c r="N4472" s="30" t="str">
        <x:v>61</x:v>
      </x:c>
      <x:c r="O4472" s="30" t="str">
        <x:v>Процент уменьшения равен (1−коэффициент новой цены)·100%.</x:v>
      </x:c>
      <x:c r="P4472" s="30" t="str">
        <x:v>Условие и полный визуал просмотрены; ответ пересчитан/логически проверен и совпал с LOCKED-ключом.</x:v>
      </x:c>
      <x:c r="Q4472" s="30"/>
      <x:c r="R4472" s="30" t="str">
        <x:v>61</x:v>
      </x:c>
      <x:c r="S4472" s="30"/>
      <x:c r="T4472" s="30" t="str">
        <x:v>База.jpg (Запад)</x:v>
      </x:c>
      <x:c r="U4472" s="30" t="str">
        <x:v>Расхождений нет.</x:v>
      </x:c>
      <x:c r="V4472" s="87" t="str">
        <x:v>VERIFIED</x:v>
      </x:c>
      <x:c r="W4472" s="87"/>
      <x:c r="X4472" s="87" t="n">
        <x:v>13</x:v>
      </x:c>
      <x:c r="Y4472" s="87"/>
      <x:c r="Z4472" s="87"/>
      <x:c r="AA4472" s="87"/>
      <x:c r="AB4472" s="87" t="str">
        <x:v>таблица, строка 2</x:v>
      </x:c>
      <x:c r="AC4472" s="87" t="str">
        <x:v>VIS-MATH-DEC-BW-TASK-P013</x:v>
      </x:c>
      <x:c r="AD4472" s="87" t="str">
        <x:v>VIS-MATH-DEC-KEY-BW</x:v>
      </x:c>
      <x:c r="AE4472" s="87" t="str">
        <x:v>TASK; KEY</x:v>
      </x:c>
      <x:c r="AF4472" s="87" t="str">
        <x:v>VIS-MATH-DEC-BW-TASK-P013: 13; VIS-MATH-DEC-KEY-BW: 1</x:v>
      </x:c>
      <x:c r="AG4472" s="87" t="str">
        <x:v>RESOLVED</x:v>
      </x:c>
      <x:c r="AH4472" s="87" t="str">
        <x:v>CROP_VERIFIED</x:v>
      </x:c>
      <x:c r="AI4472" s="30" t="str">
        <x:v>{"Уровень": "Базовый"}</x:v>
      </x:c>
      <x:c r="AJ4472" s="87" t="str">
        <x:v>clean</x:v>
      </x:c>
      <x:c r="AK4472" s="87" t="str">
        <x:v>clean-v0.07</x:v>
      </x:c>
      <x:c r="AL4472" s="87" t="str">
        <x:v>statgrad_clean_continuation_v0_07(1).xlsx</x:v>
      </x:c>
      <x:c r="AM4472" s="87" t="str">
        <x:v>MATH_Dec_0202</x:v>
      </x:c>
      <x:c r="AN4472" s="87" t="n">
        <x:v>16</x:v>
      </x:c>
    </x:row>
    <x:row r="4473">
      <x:c r="A4473" s="87" t="n">
        <x:v>4472</x:v>
      </x:c>
      <x:c r="B4473" s="87" t="str">
        <x:v>DEC-MATH-02-016</x:v>
      </x:c>
      <x:c r="C4473" s="87" t="str">
        <x:v>СтатГрад</x:v>
      </x:c>
      <x:c r="D4473" s="87" t="str">
        <x:v>Декабрь 2025</x:v>
      </x:c>
      <x:c r="E4473" s="87"/>
      <x:c r="F4473" s="87"/>
      <x:c r="G4473" s="87" t="str">
        <x:v>Математика</x:v>
      </x:c>
      <x:c r="H4473" s="87" t="n">
        <x:v>11</x:v>
      </x:c>
      <x:c r="I4473" s="87" t="str">
        <x:v>ТР №2</x:v>
      </x:c>
      <x:c r="J4473" s="87" t="str">
        <x:v>МА2510202</x:v>
      </x:c>
      <x:c r="K4473" s="87" t="n">
        <x:v>16</x:v>
      </x:c>
      <x:c r="L4473" s="87" t="str">
        <x:v>Степени</x:v>
      </x:c>
      <x:c r="M4473" s="30" t="str">
        <x:v>Найдите значение выражения: 6 3 − 5 5 5 5 − ⋅ .</x:v>
      </x:c>
      <x:c r="N4473" s="30" t="str">
        <x:v>25</x:v>
      </x:c>
      <x:c r="O4473" s="30" t="str">
        <x:v>Применены свойства степеней с одинаковым основанием.</x:v>
      </x:c>
      <x:c r="P4473" s="30" t="str">
        <x:v>Условие и полный визуал просмотрены; ответ пересчитан/логически проверен и совпал с LOCKED-ключом.</x:v>
      </x:c>
      <x:c r="Q4473" s="30"/>
      <x:c r="R4473" s="30" t="str">
        <x:v>25</x:v>
      </x:c>
      <x:c r="S4473" s="30"/>
      <x:c r="T4473" s="30" t="str">
        <x:v>База.jpg (Запад)</x:v>
      </x:c>
      <x:c r="U4473" s="30" t="str">
        <x:v>Расхождений нет.</x:v>
      </x:c>
      <x:c r="V4473" s="87" t="str">
        <x:v>VERIFIED</x:v>
      </x:c>
      <x:c r="W4473" s="87"/>
      <x:c r="X4473" s="87" t="n">
        <x:v>13</x:v>
      </x:c>
      <x:c r="Y4473" s="87"/>
      <x:c r="Z4473" s="87"/>
      <x:c r="AA4473" s="87"/>
      <x:c r="AB4473" s="87" t="str">
        <x:v>таблица, строка 2</x:v>
      </x:c>
      <x:c r="AC4473" s="87" t="str">
        <x:v>VIS-MATH-DEC-BW-TASK-P013</x:v>
      </x:c>
      <x:c r="AD4473" s="87" t="str">
        <x:v>VIS-MATH-DEC-KEY-BW</x:v>
      </x:c>
      <x:c r="AE4473" s="87" t="str">
        <x:v>TASK; KEY</x:v>
      </x:c>
      <x:c r="AF4473" s="87" t="str">
        <x:v>VIS-MATH-DEC-BW-TASK-P013: 13; VIS-MATH-DEC-KEY-BW: 1</x:v>
      </x:c>
      <x:c r="AG4473" s="87" t="str">
        <x:v>RESOLVED</x:v>
      </x:c>
      <x:c r="AH4473" s="87" t="str">
        <x:v>CROP_VERIFIED</x:v>
      </x:c>
      <x:c r="AI4473" s="30" t="str">
        <x:v>{"Уровень": "Базовый"}</x:v>
      </x:c>
      <x:c r="AJ4473" s="87" t="str">
        <x:v>clean</x:v>
      </x:c>
      <x:c r="AK4473" s="87" t="str">
        <x:v>clean-v0.07</x:v>
      </x:c>
      <x:c r="AL4473" s="87" t="str">
        <x:v>statgrad_clean_continuation_v0_07(1).xlsx</x:v>
      </x:c>
      <x:c r="AM4473" s="87" t="str">
        <x:v>MATH_Dec_0202</x:v>
      </x:c>
      <x:c r="AN4473" s="87" t="n">
        <x:v>17</x:v>
      </x:c>
    </x:row>
    <x:row r="4474">
      <x:c r="A4474" s="87" t="n">
        <x:v>4473</x:v>
      </x:c>
      <x:c r="B4474" s="87" t="str">
        <x:v>DEC-MATH-02-017</x:v>
      </x:c>
      <x:c r="C4474" s="87" t="str">
        <x:v>СтатГрад</x:v>
      </x:c>
      <x:c r="D4474" s="87" t="str">
        <x:v>Декабрь 2025</x:v>
      </x:c>
      <x:c r="E4474" s="87"/>
      <x:c r="F4474" s="87"/>
      <x:c r="G4474" s="87" t="str">
        <x:v>Математика</x:v>
      </x:c>
      <x:c r="H4474" s="87" t="n">
        <x:v>11</x:v>
      </x:c>
      <x:c r="I4474" s="87" t="str">
        <x:v>ТР №2</x:v>
      </x:c>
      <x:c r="J4474" s="87" t="str">
        <x:v>МА2510202</x:v>
      </x:c>
      <x:c r="K4474" s="87" t="n">
        <x:v>17</x:v>
      </x:c>
      <x:c r="L4474" s="87" t="str">
        <x:v>Уравнение</x:v>
      </x:c>
      <x:c r="M4474" s="30" t="str">
        <x:v>Решите уравнение 7 3 x − = .</x:v>
      </x:c>
      <x:c r="N4474" s="30" t="str">
        <x:v>-2</x:v>
      </x:c>
      <x:c r="O4474" s="30" t="str">
        <x:v>Уравнение решено обратными арифметическими/показательными преобразованиями.</x:v>
      </x:c>
      <x:c r="P4474" s="30" t="str">
        <x:v>Условие и полный визуал просмотрены; ответ пересчитан/логически проверен и совпал с LOCKED-ключом.</x:v>
      </x:c>
      <x:c r="Q4474" s="30"/>
      <x:c r="R4474" s="30" t="str">
        <x:v>-2</x:v>
      </x:c>
      <x:c r="S4474" s="30"/>
      <x:c r="T4474" s="30" t="str">
        <x:v>База.jpg (Запад)</x:v>
      </x:c>
      <x:c r="U4474" s="30" t="str">
        <x:v>Расхождений нет.</x:v>
      </x:c>
      <x:c r="V4474" s="87" t="str">
        <x:v>VERIFIED</x:v>
      </x:c>
      <x:c r="W4474" s="87"/>
      <x:c r="X4474" s="87" t="n">
        <x:v>14</x:v>
      </x:c>
      <x:c r="Y4474" s="87"/>
      <x:c r="Z4474" s="87"/>
      <x:c r="AA4474" s="87"/>
      <x:c r="AB4474" s="87" t="str">
        <x:v>таблица, строка 2</x:v>
      </x:c>
      <x:c r="AC4474" s="87" t="str">
        <x:v>VIS-MATH-DEC-BW-TASK-P014</x:v>
      </x:c>
      <x:c r="AD4474" s="87" t="str">
        <x:v>VIS-MATH-DEC-KEY-BW</x:v>
      </x:c>
      <x:c r="AE4474" s="87" t="str">
        <x:v>TASK; KEY</x:v>
      </x:c>
      <x:c r="AF4474" s="87" t="str">
        <x:v>VIS-MATH-DEC-BW-TASK-P014: 14; VIS-MATH-DEC-KEY-BW: 1</x:v>
      </x:c>
      <x:c r="AG4474" s="87" t="str">
        <x:v>RESOLVED</x:v>
      </x:c>
      <x:c r="AH4474" s="87" t="str">
        <x:v>CROP_VERIFIED</x:v>
      </x:c>
      <x:c r="AI4474" s="30" t="str">
        <x:v>{"Уровень": "Базовый"}</x:v>
      </x:c>
      <x:c r="AJ4474" s="87" t="str">
        <x:v>clean</x:v>
      </x:c>
      <x:c r="AK4474" s="87" t="str">
        <x:v>clean-v0.07</x:v>
      </x:c>
      <x:c r="AL4474" s="87" t="str">
        <x:v>statgrad_clean_continuation_v0_07(1).xlsx</x:v>
      </x:c>
      <x:c r="AM4474" s="87" t="str">
        <x:v>MATH_Dec_0202</x:v>
      </x:c>
      <x:c r="AN4474" s="87" t="n">
        <x:v>18</x:v>
      </x:c>
    </x:row>
    <x:row r="4475">
      <x:c r="A4475" s="87" t="n">
        <x:v>4474</x:v>
      </x:c>
      <x:c r="B4475" s="87" t="str">
        <x:v>DEC-MATH-02-018</x:v>
      </x:c>
      <x:c r="C4475" s="87" t="str">
        <x:v>СтатГрад</x:v>
      </x:c>
      <x:c r="D4475" s="87" t="str">
        <x:v>Декабрь 2025</x:v>
      </x:c>
      <x:c r="E4475" s="87"/>
      <x:c r="F4475" s="87"/>
      <x:c r="G4475" s="87" t="str">
        <x:v>Математика</x:v>
      </x:c>
      <x:c r="H4475" s="87" t="n">
        <x:v>11</x:v>
      </x:c>
      <x:c r="I4475" s="87" t="str">
        <x:v>ТР №2</x:v>
      </x:c>
      <x:c r="J4475" s="87" t="str">
        <x:v>МА2510202</x:v>
      </x:c>
      <x:c r="K4475" s="87" t="n">
        <x:v>18</x:v>
      </x:c>
      <x:c r="L4475" s="87" t="str">
        <x:v>Логарифмические неравенства</x:v>
      </x:c>
      <x:c r="M4475" s="30" t="str">
        <x:v>Каждому из четырёх неравенств в левом столбце соответствует его решение в правом столбце. Установите соответствие между неравенствами и их решениями. НЕРАВЕНСТВА РЕШЕНИЯ А) 4 log 1 x &gt; 1) ( ) 4;+∞ 2) ( ) 0;4 Б) 4 log 1 x &lt; − 3) ( ) 1 ; 4 +∞ В) 4 log 1 x &gt; − Г) 4 log 1 x &lt; 4) ( ) 1 0; 4 Впишите в приведённую в ответе таблицу под каждой буквой соответствующий решению номер. А Б В Г Ответ:</x:v>
      </x:c>
      <x:c r="N4475" s="30" t="str">
        <x:v>1432</x:v>
      </x:c>
      <x:c r="O4475" s="30" t="str">
        <x:v>Каждое логарифмическое неравенство преобразовано с учётом области определения и основания логарифма.</x:v>
      </x:c>
      <x:c r="P4475" s="30" t="str">
        <x:v>Условие и полный визуал просмотрены; ответ пересчитан/логически проверен и совпал с LOCKED-ключом.</x:v>
      </x:c>
      <x:c r="Q4475" s="30"/>
      <x:c r="R4475" s="30" t="str">
        <x:v>1432</x:v>
      </x:c>
      <x:c r="S4475" s="30"/>
      <x:c r="T4475" s="30" t="str">
        <x:v>База.jpg (Запад)</x:v>
      </x:c>
      <x:c r="U4475" s="30" t="str">
        <x:v>Расхождений нет.</x:v>
      </x:c>
      <x:c r="V4475" s="87" t="str">
        <x:v>VERIFIED</x:v>
      </x:c>
      <x:c r="W4475" s="87"/>
      <x:c r="X4475" s="87" t="n">
        <x:v>14</x:v>
      </x:c>
      <x:c r="Y4475" s="87"/>
      <x:c r="Z4475" s="87"/>
      <x:c r="AA4475" s="87"/>
      <x:c r="AB4475" s="87" t="str">
        <x:v>таблица, строка 2</x:v>
      </x:c>
      <x:c r="AC4475" s="87" t="str">
        <x:v>VIS-MATH-DEC-BW-TASK-P014</x:v>
      </x:c>
      <x:c r="AD4475" s="87" t="str">
        <x:v>VIS-MATH-DEC-KEY-BW</x:v>
      </x:c>
      <x:c r="AE4475" s="87" t="str">
        <x:v>TASK; KEY</x:v>
      </x:c>
      <x:c r="AF4475" s="87" t="str">
        <x:v>VIS-MATH-DEC-BW-TASK-P014: 14; VIS-MATH-DEC-KEY-BW: 1</x:v>
      </x:c>
      <x:c r="AG4475" s="87" t="str">
        <x:v>RESOLVED</x:v>
      </x:c>
      <x:c r="AH4475" s="87" t="str">
        <x:v>CROP_VERIFIED</x:v>
      </x:c>
      <x:c r="AI4475" s="30" t="str">
        <x:v>{"Уровень": "Базовый"}</x:v>
      </x:c>
      <x:c r="AJ4475" s="87" t="str">
        <x:v>clean</x:v>
      </x:c>
      <x:c r="AK4475" s="87" t="str">
        <x:v>clean-v0.07</x:v>
      </x:c>
      <x:c r="AL4475" s="87" t="str">
        <x:v>statgrad_clean_continuation_v0_07(1).xlsx</x:v>
      </x:c>
      <x:c r="AM4475" s="87" t="str">
        <x:v>MATH_Dec_0202</x:v>
      </x:c>
      <x:c r="AN4475" s="87" t="n">
        <x:v>19</x:v>
      </x:c>
    </x:row>
    <x:row r="4476">
      <x:c r="A4476" s="87" t="n">
        <x:v>4475</x:v>
      </x:c>
      <x:c r="B4476" s="87" t="str">
        <x:v>DEC-MATH-02-019</x:v>
      </x:c>
      <x:c r="C4476" s="87" t="str">
        <x:v>СтатГрад</x:v>
      </x:c>
      <x:c r="D4476" s="87" t="str">
        <x:v>Декабрь 2025</x:v>
      </x:c>
      <x:c r="E4476" s="87"/>
      <x:c r="F4476" s="87"/>
      <x:c r="G4476" s="87" t="str">
        <x:v>Математика</x:v>
      </x:c>
      <x:c r="H4476" s="87" t="n">
        <x:v>11</x:v>
      </x:c>
      <x:c r="I4476" s="87" t="str">
        <x:v>ТР №2</x:v>
      </x:c>
      <x:c r="J4476" s="87" t="str">
        <x:v>МА2510202</x:v>
      </x:c>
      <x:c r="K4476" s="87" t="n">
        <x:v>19</x:v>
      </x:c>
      <x:c r="L4476" s="87" t="str">
        <x:v>Делимость и конструкция числа</x:v>
      </x:c>
      <x:c r="M4476" s="30" t="str">
        <x:v>Найдите шестизначное натуральное число, которое записывается только цифрами 0 и 3 и делится на 90. В ответе укажите какое-нибудь одно такое число.</x:v>
      </x:c>
      <x:c r="N4476" s="30" t="str">
        <x:v>333000</x:v>
      </x:c>
      <x:c r="O4476" s="30" t="str">
        <x:v>Предъявлен допустимый пример; отдельно проверены цифры и признак делимости.</x:v>
      </x:c>
      <x:c r="P4476" s="30" t="str">
        <x:v>Условие и полный визуал просмотрены; ответ пересчитан/логически проверен и совпал с LOCKED-ключом.</x:v>
      </x:c>
      <x:c r="Q4476" s="30"/>
      <x:c r="R4476" s="30" t="str">
        <x:v>333000</x:v>
      </x:c>
      <x:c r="S4476" s="30"/>
      <x:c r="T4476" s="30" t="str">
        <x:v>База.jpg (Запад)</x:v>
      </x:c>
      <x:c r="U4476" s="30" t="str">
        <x:v>Расхождений нет.</x:v>
      </x:c>
      <x:c r="V4476" s="87" t="str">
        <x:v>VERIFIED</x:v>
      </x:c>
      <x:c r="W4476" s="87"/>
      <x:c r="X4476" s="87" t="n">
        <x:v>14</x:v>
      </x:c>
      <x:c r="Y4476" s="87"/>
      <x:c r="Z4476" s="87"/>
      <x:c r="AA4476" s="87"/>
      <x:c r="AB4476" s="87" t="str">
        <x:v>таблица, строка 2</x:v>
      </x:c>
      <x:c r="AC4476" s="87" t="str">
        <x:v>VIS-MATH-DEC-BW-TASK-P014</x:v>
      </x:c>
      <x:c r="AD4476" s="87" t="str">
        <x:v>VIS-MATH-DEC-KEY-BW</x:v>
      </x:c>
      <x:c r="AE4476" s="87" t="str">
        <x:v>TASK; KEY</x:v>
      </x:c>
      <x:c r="AF4476" s="87" t="str">
        <x:v>VIS-MATH-DEC-BW-TASK-P014: 14; VIS-MATH-DEC-KEY-BW: 1</x:v>
      </x:c>
      <x:c r="AG4476" s="87" t="str">
        <x:v>RESOLVED</x:v>
      </x:c>
      <x:c r="AH4476" s="87" t="str">
        <x:v>CROP_VERIFIED</x:v>
      </x:c>
      <x:c r="AI4476" s="30" t="str">
        <x:v>{"Уровень": "Базовый"}</x:v>
      </x:c>
      <x:c r="AJ4476" s="87" t="str">
        <x:v>clean</x:v>
      </x:c>
      <x:c r="AK4476" s="87" t="str">
        <x:v>clean-v0.07</x:v>
      </x:c>
      <x:c r="AL4476" s="87" t="str">
        <x:v>statgrad_clean_continuation_v0_07(1).xlsx</x:v>
      </x:c>
      <x:c r="AM4476" s="87" t="str">
        <x:v>MATH_Dec_0202</x:v>
      </x:c>
      <x:c r="AN4476" s="87" t="n">
        <x:v>20</x:v>
      </x:c>
    </x:row>
    <x:row r="4477">
      <x:c r="A4477" s="87" t="n">
        <x:v>4476</x:v>
      </x:c>
      <x:c r="B4477" s="87" t="str">
        <x:v>DEC-MATH-02-020</x:v>
      </x:c>
      <x:c r="C4477" s="87" t="str">
        <x:v>СтатГрад</x:v>
      </x:c>
      <x:c r="D4477" s="87" t="str">
        <x:v>Декабрь 2025</x:v>
      </x:c>
      <x:c r="E4477" s="87"/>
      <x:c r="F4477" s="87"/>
      <x:c r="G4477" s="87" t="str">
        <x:v>Математика</x:v>
      </x:c>
      <x:c r="H4477" s="87" t="n">
        <x:v>11</x:v>
      </x:c>
      <x:c r="I4477" s="87" t="str">
        <x:v>ТР №2</x:v>
      </x:c>
      <x:c r="J4477" s="87" t="str">
        <x:v>МА2510202</x:v>
      </x:c>
      <x:c r="K4477" s="87" t="n">
        <x:v>20</x:v>
      </x:c>
      <x:c r="L4477" s="87" t="str">
        <x:v>Средняя скорость</x:v>
      </x:c>
      <x:c r="M4477" s="30" t="str">
        <x:v>Первые два часа автомобиль ехал со скоростью 55 км/ч, следующий час — со скоростью 50 км/ч, а затем два часа — со скоростью 40 км/ч. Найдите среднюю скорость автомобиля на протяжении всего пути. Ответ дайте в км/ч.</x:v>
      </x:c>
      <x:c r="N4477" s="30" t="str">
        <x:v>48</x:v>
      </x:c>
      <x:c r="O4477" s="30" t="str">
        <x:v>Средняя скорость вычислена как суммарный путь, делённый на суммарное время.</x:v>
      </x:c>
      <x:c r="P4477" s="30" t="str">
        <x:v>Условие и полный визуал просмотрены; ответ пересчитан/логически проверен и совпал с LOCKED-ключом.</x:v>
      </x:c>
      <x:c r="Q4477" s="30"/>
      <x:c r="R4477" s="30" t="str">
        <x:v>48</x:v>
      </x:c>
      <x:c r="S4477" s="30"/>
      <x:c r="T4477" s="30" t="str">
        <x:v>База.jpg (Запад)</x:v>
      </x:c>
      <x:c r="U4477" s="30" t="str">
        <x:v>Расхождений нет.</x:v>
      </x:c>
      <x:c r="V4477" s="87" t="str">
        <x:v>VERIFIED</x:v>
      </x:c>
      <x:c r="W4477" s="87"/>
      <x:c r="X4477" s="87" t="n">
        <x:v>14</x:v>
      </x:c>
      <x:c r="Y4477" s="87"/>
      <x:c r="Z4477" s="87"/>
      <x:c r="AA4477" s="87"/>
      <x:c r="AB4477" s="87" t="str">
        <x:v>таблица, строка 2</x:v>
      </x:c>
      <x:c r="AC4477" s="87" t="str">
        <x:v>VIS-MATH-DEC-BW-TASK-P014</x:v>
      </x:c>
      <x:c r="AD4477" s="87" t="str">
        <x:v>VIS-MATH-DEC-KEY-BW</x:v>
      </x:c>
      <x:c r="AE4477" s="87" t="str">
        <x:v>TASK; KEY</x:v>
      </x:c>
      <x:c r="AF4477" s="87" t="str">
        <x:v>VIS-MATH-DEC-BW-TASK-P014: 14; VIS-MATH-DEC-KEY-BW: 1</x:v>
      </x:c>
      <x:c r="AG4477" s="87" t="str">
        <x:v>RESOLVED</x:v>
      </x:c>
      <x:c r="AH4477" s="87" t="str">
        <x:v>CROP_VERIFIED</x:v>
      </x:c>
      <x:c r="AI4477" s="30" t="str">
        <x:v>{"Уровень": "Базовый"}</x:v>
      </x:c>
      <x:c r="AJ4477" s="87" t="str">
        <x:v>clean</x:v>
      </x:c>
      <x:c r="AK4477" s="87" t="str">
        <x:v>clean-v0.07</x:v>
      </x:c>
      <x:c r="AL4477" s="87" t="str">
        <x:v>statgrad_clean_continuation_v0_07(1).xlsx</x:v>
      </x:c>
      <x:c r="AM4477" s="87" t="str">
        <x:v>MATH_Dec_0202</x:v>
      </x:c>
      <x:c r="AN4477" s="87" t="n">
        <x:v>21</x:v>
      </x:c>
    </x:row>
    <x:row r="4478">
      <x:c r="A4478" s="87" t="n">
        <x:v>4477</x:v>
      </x:c>
      <x:c r="B4478" s="87" t="str">
        <x:v>DEC-MATH-02-021</x:v>
      </x:c>
      <x:c r="C4478" s="87" t="str">
        <x:v>СтатГрад</x:v>
      </x:c>
      <x:c r="D4478" s="87" t="str">
        <x:v>Декабрь 2025</x:v>
      </x:c>
      <x:c r="E4478" s="87"/>
      <x:c r="F4478" s="87"/>
      <x:c r="G4478" s="87" t="str">
        <x:v>Математика</x:v>
      </x:c>
      <x:c r="H4478" s="87" t="n">
        <x:v>11</x:v>
      </x:c>
      <x:c r="I4478" s="87" t="str">
        <x:v>ТР №2</x:v>
      </x:c>
      <x:c r="J4478" s="87" t="str">
        <x:v>МА2510202</x:v>
      </x:c>
      <x:c r="K4478" s="87" t="n">
        <x:v>21</x:v>
      </x:c>
      <x:c r="L4478" s="87" t="str">
        <x:v>Комбинаторная модель игры</x:v>
      </x:c>
      <x:c r="M4478" s="30" t="str">
        <x:v>Миша, Коля и Лёша играют в настольный теннис: игрок, проигравший партию, уступает место игроку, не участвовавшему в ней. В итоге оказалось, что Миша сыграл 9 партий, а Коля — 19. Сколько партий сыграл Лёша?</x:v>
      </x:c>
      <x:c r="N4478" s="30" t="str">
        <x:v>10</x:v>
      </x:c>
      <x:c r="O4478" s="30" t="str">
        <x:v>Учтено, что в каждой партии участвуют двое, а проигравший заменяется третьим игроком; получено согласованное число партий.</x:v>
      </x:c>
      <x:c r="P4478" s="30" t="str">
        <x:v>Условие и полный визуал просмотрены; ответ пересчитан/логически проверен и совпал с LOCKED-ключом.</x:v>
      </x:c>
      <x:c r="Q4478" s="30"/>
      <x:c r="R4478" s="30" t="str">
        <x:v>10</x:v>
      </x:c>
      <x:c r="S4478" s="30"/>
      <x:c r="T4478" s="30" t="str">
        <x:v>База.jpg (Запад)</x:v>
      </x:c>
      <x:c r="U4478" s="30" t="str">
        <x:v>Расхождений нет.</x:v>
      </x:c>
      <x:c r="V4478" s="87" t="str">
        <x:v>VERIFIED</x:v>
      </x:c>
      <x:c r="W4478" s="87"/>
      <x:c r="X4478" s="87" t="n">
        <x:v>14</x:v>
      </x:c>
      <x:c r="Y4478" s="87"/>
      <x:c r="Z4478" s="87"/>
      <x:c r="AA4478" s="87"/>
      <x:c r="AB4478" s="87" t="str">
        <x:v>таблица, строка 2</x:v>
      </x:c>
      <x:c r="AC4478" s="87" t="str">
        <x:v>VIS-MATH-DEC-BW-TASK-P014</x:v>
      </x:c>
      <x:c r="AD4478" s="87" t="str">
        <x:v>VIS-MATH-DEC-KEY-BW</x:v>
      </x:c>
      <x:c r="AE4478" s="87" t="str">
        <x:v>TASK; KEY</x:v>
      </x:c>
      <x:c r="AF4478" s="87" t="str">
        <x:v>VIS-MATH-DEC-BW-TASK-P014: 14; VIS-MATH-DEC-KEY-BW: 1</x:v>
      </x:c>
      <x:c r="AG4478" s="87" t="str">
        <x:v>RESOLVED</x:v>
      </x:c>
      <x:c r="AH4478" s="87" t="str">
        <x:v>CROP_VERIFIED</x:v>
      </x:c>
      <x:c r="AI4478" s="30" t="str">
        <x:v>{"Уровень": "Базовый"}</x:v>
      </x:c>
      <x:c r="AJ4478" s="87" t="str">
        <x:v>clean</x:v>
      </x:c>
      <x:c r="AK4478" s="87" t="str">
        <x:v>clean-v0.07</x:v>
      </x:c>
      <x:c r="AL4478" s="87" t="str">
        <x:v>statgrad_clean_continuation_v0_07(1).xlsx</x:v>
      </x:c>
      <x:c r="AM4478" s="87" t="str">
        <x:v>MATH_Dec_0202</x:v>
      </x:c>
      <x:c r="AN4478" s="87" t="n">
        <x:v>22</x:v>
      </x:c>
    </x:row>
    <x:row r="4479">
      <x:c r="A4479" s="87" t="n">
        <x:v>4478</x:v>
      </x:c>
      <x:c r="B4479" s="87" t="str">
        <x:v>DEC-MATH-03-001</x:v>
      </x:c>
      <x:c r="C4479" s="87" t="str">
        <x:v>СтатГрад</x:v>
      </x:c>
      <x:c r="D4479" s="87" t="str">
        <x:v>Декабрь 2025</x:v>
      </x:c>
      <x:c r="E4479" s="87"/>
      <x:c r="F4479" s="87"/>
      <x:c r="G4479" s="87" t="str">
        <x:v>Математика</x:v>
      </x:c>
      <x:c r="H4479" s="87" t="n">
        <x:v>11</x:v>
      </x:c>
      <x:c r="I4479" s="87" t="str">
        <x:v>ТР №2</x:v>
      </x:c>
      <x:c r="J4479" s="87" t="str">
        <x:v>МА2510203</x:v>
      </x:c>
      <x:c r="K4479" s="87" t="n">
        <x:v>1</x:v>
      </x:c>
      <x:c r="L4479" s="87" t="str">
        <x:v>Практическая арифметика</x:v>
      </x:c>
      <x:c r="M4479" s="30" t="str">
        <x:v>Сырок стоит 97 рублей. Какое наибольшее число сырков можно купить на 490 рублей?</x:v>
      </x:c>
      <x:c r="N4479" s="30" t="str">
        <x:v>5</x:v>
      </x:c>
      <x:c r="O4479" s="30" t="str">
        <x:v>Выполнено деление/сравнение стоимости; взята целая часть либо разность затрат.</x:v>
      </x:c>
      <x:c r="P4479" s="30" t="str">
        <x:v>Условие и полный визуал просмотрены; ответ пересчитан/логически проверен и совпал с LOCKED-ключом.</x:v>
      </x:c>
      <x:c r="Q4479" s="30"/>
      <x:c r="R4479" s="30" t="str">
        <x:v>5</x:v>
      </x:c>
      <x:c r="S4479" s="30"/>
      <x:c r="T4479" s="30" t="str">
        <x:v>База.jpg (Запад)</x:v>
      </x:c>
      <x:c r="U4479" s="30" t="str">
        <x:v>Расхождений нет.</x:v>
      </x:c>
      <x:c r="V4479" s="87" t="str">
        <x:v>VERIFIED</x:v>
      </x:c>
      <x:c r="W4479" s="87"/>
      <x:c r="X4479" s="87" t="n">
        <x:v>16</x:v>
      </x:c>
      <x:c r="Y4479" s="87"/>
      <x:c r="Z4479" s="87"/>
      <x:c r="AA4479" s="87"/>
      <x:c r="AB4479" s="87" t="str">
        <x:v>таблица, строка 3</x:v>
      </x:c>
      <x:c r="AC4479" s="87" t="str">
        <x:v>VIS-MATH-DEC-BW-TASK-P016</x:v>
      </x:c>
      <x:c r="AD4479" s="87" t="str">
        <x:v>VIS-MATH-DEC-KEY-BW</x:v>
      </x:c>
      <x:c r="AE4479" s="87" t="str">
        <x:v>TASK; KEY</x:v>
      </x:c>
      <x:c r="AF4479" s="87" t="str">
        <x:v>VIS-MATH-DEC-BW-TASK-P016: 16; VIS-MATH-DEC-KEY-BW: 1</x:v>
      </x:c>
      <x:c r="AG4479" s="87" t="str">
        <x:v>RESOLVED</x:v>
      </x:c>
      <x:c r="AH4479" s="87" t="str">
        <x:v>CROP_VERIFIED</x:v>
      </x:c>
      <x:c r="AI4479" s="30" t="str">
        <x:v>{"Уровень": "Базовый"}</x:v>
      </x:c>
      <x:c r="AJ4479" s="87" t="str">
        <x:v>clean</x:v>
      </x:c>
      <x:c r="AK4479" s="87" t="str">
        <x:v>clean-v0.07</x:v>
      </x:c>
      <x:c r="AL4479" s="87" t="str">
        <x:v>statgrad_clean_continuation_v0_07(1).xlsx</x:v>
      </x:c>
      <x:c r="AM4479" s="87" t="str">
        <x:v>MATH_Dec_0203</x:v>
      </x:c>
      <x:c r="AN4479" s="87" t="n">
        <x:v>2</x:v>
      </x:c>
    </x:row>
    <x:row r="4480">
      <x:c r="A4480" s="87" t="n">
        <x:v>4479</x:v>
      </x:c>
      <x:c r="B4480" s="87" t="str">
        <x:v>DEC-MATH-03-002</x:v>
      </x:c>
      <x:c r="C4480" s="87" t="str">
        <x:v>СтатГрад</x:v>
      </x:c>
      <x:c r="D4480" s="87" t="str">
        <x:v>Декабрь 2025</x:v>
      </x:c>
      <x:c r="E4480" s="87"/>
      <x:c r="F4480" s="87"/>
      <x:c r="G4480" s="87" t="str">
        <x:v>Математика</x:v>
      </x:c>
      <x:c r="H4480" s="87" t="n">
        <x:v>11</x:v>
      </x:c>
      <x:c r="I4480" s="87" t="str">
        <x:v>ТР №2</x:v>
      </x:c>
      <x:c r="J4480" s="87" t="str">
        <x:v>МА2510203</x:v>
      </x:c>
      <x:c r="K4480" s="87" t="n">
        <x:v>2</x:v>
      </x:c>
      <x:c r="L4480" s="87" t="str">
        <x:v>Установление соответствия</x:v>
      </x:c>
      <x:c r="M4480"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рост новорождённого ребёнка Б) длина реки Енисей В) толщина лезвия бритвы Г) высота горы Эльбрус 1) 3487 км 2) 50 см 3) 5642 м 4) 0,08 мм В таблице под каждой буквой, соответствующей величине, укажите номер её возможного значения. А Б В Г Ответ:</x:v>
      </x:c>
      <x:c r="N4480" s="30" t="str">
        <x:v>2143</x:v>
      </x:c>
      <x:c r="O4480" s="30" t="str">
        <x:v>Величины сопоставлены по реалистичному порядку и единицам измерения.</x:v>
      </x:c>
      <x:c r="P4480" s="30" t="str">
        <x:v>Условие и полный визуал просмотрены; ответ пересчитан/логически проверен и совпал с LOCKED-ключом.</x:v>
      </x:c>
      <x:c r="Q4480" s="30"/>
      <x:c r="R4480" s="30" t="str">
        <x:v>2143</x:v>
      </x:c>
      <x:c r="S4480" s="30"/>
      <x:c r="T4480" s="30" t="str">
        <x:v>База.jpg (Запад)</x:v>
      </x:c>
      <x:c r="U4480" s="30" t="str">
        <x:v>Расхождений нет.</x:v>
      </x:c>
      <x:c r="V4480" s="87" t="str">
        <x:v>VERIFIED</x:v>
      </x:c>
      <x:c r="W4480" s="87"/>
      <x:c r="X4480" s="87" t="n">
        <x:v>16</x:v>
      </x:c>
      <x:c r="Y4480" s="87"/>
      <x:c r="Z4480" s="87"/>
      <x:c r="AA4480" s="87"/>
      <x:c r="AB4480" s="87" t="str">
        <x:v>таблица, строка 3</x:v>
      </x:c>
      <x:c r="AC4480" s="87" t="str">
        <x:v>VIS-MATH-DEC-BW-TASK-P016</x:v>
      </x:c>
      <x:c r="AD4480" s="87" t="str">
        <x:v>VIS-MATH-DEC-KEY-BW</x:v>
      </x:c>
      <x:c r="AE4480" s="87" t="str">
        <x:v>TASK; KEY</x:v>
      </x:c>
      <x:c r="AF4480" s="87" t="str">
        <x:v>VIS-MATH-DEC-BW-TASK-P016: 16; VIS-MATH-DEC-KEY-BW: 1</x:v>
      </x:c>
      <x:c r="AG4480" s="87" t="str">
        <x:v>RESOLVED</x:v>
      </x:c>
      <x:c r="AH4480" s="87" t="str">
        <x:v>CROP_VERIFIED</x:v>
      </x:c>
      <x:c r="AI4480" s="30" t="str">
        <x:v>{"Уровень": "Базовый"}</x:v>
      </x:c>
      <x:c r="AJ4480" s="87" t="str">
        <x:v>clean</x:v>
      </x:c>
      <x:c r="AK4480" s="87" t="str">
        <x:v>clean-v0.07</x:v>
      </x:c>
      <x:c r="AL4480" s="87" t="str">
        <x:v>statgrad_clean_continuation_v0_07(1).xlsx</x:v>
      </x:c>
      <x:c r="AM4480" s="87" t="str">
        <x:v>MATH_Dec_0203</x:v>
      </x:c>
      <x:c r="AN4480" s="87" t="n">
        <x:v>3</x:v>
      </x:c>
    </x:row>
    <x:row r="4481">
      <x:c r="A4481" s="87" t="n">
        <x:v>4480</x:v>
      </x:c>
      <x:c r="B4481" s="87" t="str">
        <x:v>DEC-MATH-03-003</x:v>
      </x:c>
      <x:c r="C4481" s="87" t="str">
        <x:v>СтатГрад</x:v>
      </x:c>
      <x:c r="D4481" s="87" t="str">
        <x:v>Декабрь 2025</x:v>
      </x:c>
      <x:c r="E4481" s="87"/>
      <x:c r="F4481" s="87"/>
      <x:c r="G4481" s="87" t="str">
        <x:v>Математика</x:v>
      </x:c>
      <x:c r="H4481" s="87" t="n">
        <x:v>11</x:v>
      </x:c>
      <x:c r="I4481" s="87" t="str">
        <x:v>ТР №2</x:v>
      </x:c>
      <x:c r="J4481" s="87" t="str">
        <x:v>МА2510203</x:v>
      </x:c>
      <x:c r="K4481" s="87" t="n">
        <x:v>3</x:v>
      </x:c>
      <x:c r="L4481" s="87" t="str">
        <x:v>Анализ таблицы</x:v>
      </x:c>
      <x:c r="M4481" s="30" t="str">
        <x:v>Результаты игры КВН представлены в таблице. Баллы за конкурс «Приветствие» Баллы за конкурс Баллы за музыкальный Команда конкурс «АТОМ» 24 20 28 «Шумы» 25 21 27 «Топчан» 26 23 25 «Лёлек и Болек» 23 24 24 Для каждой команды баллы по всем конкурсам суммируются. Победителем считается команда, набравшая в сумме наибольшее количество баллов. Какое место заняла команда «Топчан»? «СТЭМ»</x:v>
      </x:c>
      <x:c r="N4481" s="30" t="str">
        <x:v>1</x:v>
      </x:c>
      <x:c r="O4481" s="30" t="str">
        <x:v>Баллы в строках сложены, после чего определено место указанной команды.</x:v>
      </x:c>
      <x:c r="P4481" s="30" t="str">
        <x:v>Условие и полный визуал просмотрены; ответ пересчитан/логически проверен и совпал с LOCKED-ключом.</x:v>
      </x:c>
      <x:c r="Q4481" s="30"/>
      <x:c r="R4481" s="30" t="str">
        <x:v>1</x:v>
      </x:c>
      <x:c r="S4481" s="30"/>
      <x:c r="T4481" s="30" t="str">
        <x:v>База.jpg (Запад)</x:v>
      </x:c>
      <x:c r="U4481" s="30" t="str">
        <x:v>Расхождений нет.</x:v>
      </x:c>
      <x:c r="V4481" s="87" t="str">
        <x:v>VERIFIED</x:v>
      </x:c>
      <x:c r="W4481" s="87"/>
      <x:c r="X4481" s="87" t="n">
        <x:v>16</x:v>
      </x:c>
      <x:c r="Y4481" s="87"/>
      <x:c r="Z4481" s="87"/>
      <x:c r="AA4481" s="87"/>
      <x:c r="AB4481" s="87" t="str">
        <x:v>таблица, строка 3</x:v>
      </x:c>
      <x:c r="AC4481" s="87" t="str">
        <x:v>VIS-MATH-DEC-BW-TASK-P016</x:v>
      </x:c>
      <x:c r="AD4481" s="87" t="str">
        <x:v>VIS-MATH-DEC-KEY-BW</x:v>
      </x:c>
      <x:c r="AE4481" s="87" t="str">
        <x:v>TASK; KEY</x:v>
      </x:c>
      <x:c r="AF4481" s="87" t="str">
        <x:v>VIS-MATH-DEC-BW-TASK-P016: 16; VIS-MATH-DEC-KEY-BW: 1</x:v>
      </x:c>
      <x:c r="AG4481" s="87" t="str">
        <x:v>RESOLVED</x:v>
      </x:c>
      <x:c r="AH4481" s="87" t="str">
        <x:v>CROP_VERIFIED</x:v>
      </x:c>
      <x:c r="AI4481" s="30" t="str">
        <x:v>{"Уровень": "Базовый"}</x:v>
      </x:c>
      <x:c r="AJ4481" s="87" t="str">
        <x:v>clean</x:v>
      </x:c>
      <x:c r="AK4481" s="87" t="str">
        <x:v>clean-v0.07</x:v>
      </x:c>
      <x:c r="AL4481" s="87" t="str">
        <x:v>statgrad_clean_continuation_v0_07(1).xlsx</x:v>
      </x:c>
      <x:c r="AM4481" s="87" t="str">
        <x:v>MATH_Dec_0203</x:v>
      </x:c>
      <x:c r="AN4481" s="87" t="n">
        <x:v>4</x:v>
      </x:c>
    </x:row>
    <x:row r="4482">
      <x:c r="A4482" s="87" t="n">
        <x:v>4481</x:v>
      </x:c>
      <x:c r="B4482" s="87" t="str">
        <x:v>DEC-MATH-03-004</x:v>
      </x:c>
      <x:c r="C4482" s="87" t="str">
        <x:v>СтатГрад</x:v>
      </x:c>
      <x:c r="D4482" s="87" t="str">
        <x:v>Декабрь 2025</x:v>
      </x:c>
      <x:c r="E4482" s="87"/>
      <x:c r="F4482" s="87"/>
      <x:c r="G4482" s="87" t="str">
        <x:v>Математика</x:v>
      </x:c>
      <x:c r="H4482" s="87" t="n">
        <x:v>11</x:v>
      </x:c>
      <x:c r="I4482" s="87" t="str">
        <x:v>ТР №2</x:v>
      </x:c>
      <x:c r="J4482" s="87" t="str">
        <x:v>МА2510203</x:v>
      </x:c>
      <x:c r="K4482" s="87" t="n">
        <x:v>4</x:v>
      </x:c>
      <x:c r="L4482" s="87" t="str">
        <x:v>Применение формулы</x:v>
      </x:c>
      <x:c r="M4482" s="30" t="str">
        <x:v>Площадь треугольника вычисляется по формуле 1 sinα 2 S bc = , где b и c — две стороны треугольника, а α — угол между ними. Пользуясь этой формулой, найдите площадь S , если 12 b = , 15 c = и 1 sinα 3 = .</x:v>
      </x:c>
      <x:c r="N4482" s="30" t="str">
        <x:v>30</x:v>
      </x:c>
      <x:c r="O4482" s="30" t="str">
        <x:v>Данные подставлены в указанную формулу, неизвестная величина выражена алгебраически.</x:v>
      </x:c>
      <x:c r="P4482" s="30" t="str">
        <x:v>Условие и полный визуал просмотрены; ответ пересчитан/логически проверен и совпал с LOCKED-ключом.</x:v>
      </x:c>
      <x:c r="Q4482" s="30"/>
      <x:c r="R4482" s="30" t="str">
        <x:v>30</x:v>
      </x:c>
      <x:c r="S4482" s="30"/>
      <x:c r="T4482" s="30" t="str">
        <x:v>База.jpg (Запад)</x:v>
      </x:c>
      <x:c r="U4482" s="30" t="str">
        <x:v>Расхождений нет.</x:v>
      </x:c>
      <x:c r="V4482" s="87" t="str">
        <x:v>VERIFIED</x:v>
      </x:c>
      <x:c r="W4482" s="87"/>
      <x:c r="X4482" s="87" t="n">
        <x:v>17</x:v>
      </x:c>
      <x:c r="Y4482" s="87"/>
      <x:c r="Z4482" s="87"/>
      <x:c r="AA4482" s="87"/>
      <x:c r="AB4482" s="87" t="str">
        <x:v>таблица, строка 3</x:v>
      </x:c>
      <x:c r="AC4482" s="87" t="str">
        <x:v>VIS-MATH-DEC-BW-TASK-P017</x:v>
      </x:c>
      <x:c r="AD4482" s="87" t="str">
        <x:v>VIS-MATH-DEC-KEY-BW</x:v>
      </x:c>
      <x:c r="AE4482" s="87" t="str">
        <x:v>TASK; KEY</x:v>
      </x:c>
      <x:c r="AF4482" s="87" t="str">
        <x:v>VIS-MATH-DEC-BW-TASK-P017: 17; VIS-MATH-DEC-KEY-BW: 1</x:v>
      </x:c>
      <x:c r="AG4482" s="87" t="str">
        <x:v>RESOLVED</x:v>
      </x:c>
      <x:c r="AH4482" s="87" t="str">
        <x:v>CROP_VERIFIED</x:v>
      </x:c>
      <x:c r="AI4482" s="30" t="str">
        <x:v>{"Уровень": "Базовый"}</x:v>
      </x:c>
      <x:c r="AJ4482" s="87" t="str">
        <x:v>clean</x:v>
      </x:c>
      <x:c r="AK4482" s="87" t="str">
        <x:v>clean-v0.07</x:v>
      </x:c>
      <x:c r="AL4482" s="87" t="str">
        <x:v>statgrad_clean_continuation_v0_07(1).xlsx</x:v>
      </x:c>
      <x:c r="AM4482" s="87" t="str">
        <x:v>MATH_Dec_0203</x:v>
      </x:c>
      <x:c r="AN4482" s="87" t="n">
        <x:v>5</x:v>
      </x:c>
    </x:row>
    <x:row r="4483">
      <x:c r="A4483" s="87" t="n">
        <x:v>4482</x:v>
      </x:c>
      <x:c r="B4483" s="87" t="str">
        <x:v>DEC-MATH-03-005</x:v>
      </x:c>
      <x:c r="C4483" s="87" t="str">
        <x:v>СтатГрад</x:v>
      </x:c>
      <x:c r="D4483" s="87" t="str">
        <x:v>Декабрь 2025</x:v>
      </x:c>
      <x:c r="E4483" s="87"/>
      <x:c r="F4483" s="87"/>
      <x:c r="G4483" s="87" t="str">
        <x:v>Математика</x:v>
      </x:c>
      <x:c r="H4483" s="87" t="n">
        <x:v>11</x:v>
      </x:c>
      <x:c r="I4483" s="87" t="str">
        <x:v>ТР №2</x:v>
      </x:c>
      <x:c r="J4483" s="87" t="str">
        <x:v>МА2510203</x:v>
      </x:c>
      <x:c r="K4483" s="87" t="n">
        <x:v>5</x:v>
      </x:c>
      <x:c r="L4483" s="87" t="str">
        <x:v>Классическая вероятность</x:v>
      </x:c>
      <x:c r="M4483" s="30" t="str">
        <x:v>На чемпионате по прыжкам в воду выступают 50 спортсменов, среди них 9 прыгунов из России и 12 прыгунов из Китая. Порядок выступлений определяется жеребьёвкой. Найдите вероятность того, что третьим будет выступать прыгун из Китая.</x:v>
      </x:c>
      <x:c r="N4483" s="30" t="str">
        <x:v>0,24</x:v>
      </x:c>
      <x:c r="O4483" s="30" t="str">
        <x:v>Вероятность равна отношению числа благоприятных исходов к общему числу равновозможных исходов.</x:v>
      </x:c>
      <x:c r="P4483" s="30" t="str">
        <x:v>Условие и полный визуал просмотрены; ответ пересчитан/логически проверен и совпал с LOCKED-ключом.</x:v>
      </x:c>
      <x:c r="Q4483" s="30"/>
      <x:c r="R4483" s="30" t="str">
        <x:v>0,24</x:v>
      </x:c>
      <x:c r="S4483" s="30"/>
      <x:c r="T4483" s="30" t="str">
        <x:v>База.jpg (Запад)</x:v>
      </x:c>
      <x:c r="U4483" s="30" t="str">
        <x:v>Расхождений нет.</x:v>
      </x:c>
      <x:c r="V4483" s="87" t="str">
        <x:v>VERIFIED</x:v>
      </x:c>
      <x:c r="W4483" s="87"/>
      <x:c r="X4483" s="87" t="n">
        <x:v>17</x:v>
      </x:c>
      <x:c r="Y4483" s="87"/>
      <x:c r="Z4483" s="87"/>
      <x:c r="AA4483" s="87"/>
      <x:c r="AB4483" s="87" t="str">
        <x:v>таблица, строка 3</x:v>
      </x:c>
      <x:c r="AC4483" s="87" t="str">
        <x:v>VIS-MATH-DEC-BW-TASK-P017</x:v>
      </x:c>
      <x:c r="AD4483" s="87" t="str">
        <x:v>VIS-MATH-DEC-KEY-BW</x:v>
      </x:c>
      <x:c r="AE4483" s="87" t="str">
        <x:v>TASK; KEY</x:v>
      </x:c>
      <x:c r="AF4483" s="87" t="str">
        <x:v>VIS-MATH-DEC-BW-TASK-P017: 17; VIS-MATH-DEC-KEY-BW: 1</x:v>
      </x:c>
      <x:c r="AG4483" s="87" t="str">
        <x:v>RESOLVED</x:v>
      </x:c>
      <x:c r="AH4483" s="87" t="str">
        <x:v>CROP_VERIFIED</x:v>
      </x:c>
      <x:c r="AI4483" s="30" t="str">
        <x:v>{"Уровень": "Базовый"}</x:v>
      </x:c>
      <x:c r="AJ4483" s="87" t="str">
        <x:v>clean</x:v>
      </x:c>
      <x:c r="AK4483" s="87" t="str">
        <x:v>clean-v0.07</x:v>
      </x:c>
      <x:c r="AL4483" s="87" t="str">
        <x:v>statgrad_clean_continuation_v0_07(1).xlsx</x:v>
      </x:c>
      <x:c r="AM4483" s="87" t="str">
        <x:v>MATH_Dec_0203</x:v>
      </x:c>
      <x:c r="AN4483" s="87" t="n">
        <x:v>6</x:v>
      </x:c>
    </x:row>
    <x:row r="4484">
      <x:c r="A4484" s="87" t="n">
        <x:v>4483</x:v>
      </x:c>
      <x:c r="B4484" s="87" t="str">
        <x:v>DEC-MATH-03-006</x:v>
      </x:c>
      <x:c r="C4484" s="87" t="str">
        <x:v>СтатГрад</x:v>
      </x:c>
      <x:c r="D4484" s="87" t="str">
        <x:v>Декабрь 2025</x:v>
      </x:c>
      <x:c r="E4484" s="87"/>
      <x:c r="F4484" s="87"/>
      <x:c r="G4484" s="87" t="str">
        <x:v>Математика</x:v>
      </x:c>
      <x:c r="H4484" s="87" t="n">
        <x:v>11</x:v>
      </x:c>
      <x:c r="I4484" s="87" t="str">
        <x:v>ТР №2</x:v>
      </x:c>
      <x:c r="J4484" s="87" t="str">
        <x:v>МА2510203</x:v>
      </x:c>
      <x:c r="K4484" s="87" t="n">
        <x:v>6</x:v>
      </x:c>
      <x:c r="L4484" s="87" t="str">
        <x:v>Выбор по условиям</x:v>
      </x:c>
      <x:c r="M4484" s="30" t="str">
        <x:v>В таблице представлены сведения о пиццах в интернет-магазине. Номер пиццы Состав/название Тип Стоимость (руб.) 1 Ветчина, сыр Мясная 520 2 Сыр, помидоры Вегетарианская 550 3 Сыр Вегетарианская 500 4 Курица, грибы, помидоры Мясная 710 5 Говядина, салями, грибы Мясная 640 6 Шпинат, грибы, сыр, оливки Вегетарианская 770 Виталию нужно купить три разные пиццы так, чтобы среди них была хотя бы одна с грибами, хотя бы одна вегетарианская и хотя бы одна мясная. Какие пиццы должен выбрать Виталий, если он рассчитывает потратить на всё не более 1700 рублей? В ответе укажите какой-нибудь один набор номеров пицц без пробелов, запятых и других дополнительных символов.</x:v>
      </x:c>
      <x:c r="N4484" s="30" t="str">
        <x:v>135</x:v>
      </x:c>
      <x:c r="O4484" s="30" t="str">
        <x:v>Набор проверен по всем ограничениям: типы, обязательный ингредиент и бюджет.</x:v>
      </x:c>
      <x:c r="P4484" s="30" t="str">
        <x:v>Условие и полный визуал просмотрены; ответ пересчитан/логически проверен и совпал с LOCKED-ключом.</x:v>
      </x:c>
      <x:c r="Q4484" s="30"/>
      <x:c r="R4484" s="30" t="str">
        <x:v>135</x:v>
      </x:c>
      <x:c r="S4484" s="30"/>
      <x:c r="T4484" s="30" t="str">
        <x:v>База.jpg (Запад)</x:v>
      </x:c>
      <x:c r="U4484" s="30" t="str">
        <x:v>Расхождений нет.</x:v>
      </x:c>
      <x:c r="V4484" s="87" t="str">
        <x:v>VERIFIED</x:v>
      </x:c>
      <x:c r="W4484" s="87"/>
      <x:c r="X4484" s="87" t="n">
        <x:v>17</x:v>
      </x:c>
      <x:c r="Y4484" s="87"/>
      <x:c r="Z4484" s="87"/>
      <x:c r="AA4484" s="87"/>
      <x:c r="AB4484" s="87" t="str">
        <x:v>таблица, строка 3</x:v>
      </x:c>
      <x:c r="AC4484" s="87" t="str">
        <x:v>VIS-MATH-DEC-BW-TASK-P017</x:v>
      </x:c>
      <x:c r="AD4484" s="87" t="str">
        <x:v>VIS-MATH-DEC-KEY-BW</x:v>
      </x:c>
      <x:c r="AE4484" s="87" t="str">
        <x:v>TASK; KEY</x:v>
      </x:c>
      <x:c r="AF4484" s="87" t="str">
        <x:v>VIS-MATH-DEC-BW-TASK-P017: 17; VIS-MATH-DEC-KEY-BW: 1</x:v>
      </x:c>
      <x:c r="AG4484" s="87" t="str">
        <x:v>RESOLVED</x:v>
      </x:c>
      <x:c r="AH4484" s="87" t="str">
        <x:v>CROP_VERIFIED; TASK_CROP_QA_APPROVED:USE_TIGHT</x:v>
      </x:c>
      <x:c r="AI4484" s="30" t="str">
        <x:v>{"Уровень": "Базовый"}</x:v>
      </x:c>
      <x:c r="AJ4484" s="87" t="str">
        <x:v>clean</x:v>
      </x:c>
      <x:c r="AK4484" s="87" t="str">
        <x:v>clean-v0.07</x:v>
      </x:c>
      <x:c r="AL4484" s="87" t="str">
        <x:v>statgrad_clean_continuation_v0_07(1).xlsx</x:v>
      </x:c>
      <x:c r="AM4484" s="87" t="str">
        <x:v>MATH_Dec_0203</x:v>
      </x:c>
      <x:c r="AN4484" s="87" t="n">
        <x:v>7</x:v>
      </x:c>
    </x:row>
    <x:row r="4485">
      <x:c r="A4485" s="87" t="n">
        <x:v>4484</x:v>
      </x:c>
      <x:c r="B4485" s="87" t="str">
        <x:v>DEC-MATH-03-007</x:v>
      </x:c>
      <x:c r="C4485" s="87" t="str">
        <x:v>СтатГрад</x:v>
      </x:c>
      <x:c r="D4485" s="87" t="str">
        <x:v>Декабрь 2025</x:v>
      </x:c>
      <x:c r="E4485" s="87"/>
      <x:c r="F4485" s="87"/>
      <x:c r="G4485" s="87" t="str">
        <x:v>Математика</x:v>
      </x:c>
      <x:c r="H4485" s="87" t="n">
        <x:v>11</x:v>
      </x:c>
      <x:c r="I4485" s="87" t="str">
        <x:v>ТР №2</x:v>
      </x:c>
      <x:c r="J4485" s="87" t="str">
        <x:v>МА2510203</x:v>
      </x:c>
      <x:c r="K4485" s="87" t="n">
        <x:v>7</x:v>
      </x:c>
      <x:c r="L4485" s="87" t="str">
        <x:v>Анализ графика</x:v>
      </x:c>
      <x:c r="M4485" s="30" t="str">
        <x:v>На рисунке изображён график функции ( ) y f x = . Числа a , b, c , d и e задают на оси Ox интервалы. у y = f (x) c b d e a 0 х Пользуясь графиком, поставьте в соответствие каждому интервалу характеристику функции. ИНТЕРВАЛЫ ХАРАКТЕРИСТИКИ А) ( ) ;a b 1) Функция возрастает на интервале. 2) Функция убывает на интервале. 3) Значение функции положительно Б) ( ) ;b c В) ( ) ;c d в каждой точке интервала. 4) Значение функции отрицательно Г) ( ) ; d e в каждой точке интервала. В таблице под каждой буквой укажите соответствующий номер. А Б В Г Ответ:</x:v>
      </x:c>
      <x:c r="N4485" s="30" t="str">
        <x:v>2413</x:v>
      </x:c>
      <x:c r="O4485" s="30" t="str">
        <x:v>По графику определены знак и монотонность функции на четырёх интервалах.</x:v>
      </x:c>
      <x:c r="P4485" s="30" t="str">
        <x:v>Условие и полный визуал просмотрены; ответ пересчитан/логически проверен и совпал с LOCKED-ключом.</x:v>
      </x:c>
      <x:c r="Q4485" s="30"/>
      <x:c r="R4485" s="30" t="str">
        <x:v>2413</x:v>
      </x:c>
      <x:c r="S4485" s="30"/>
      <x:c r="T4485" s="30" t="str">
        <x:v>База.jpg (Запад)</x:v>
      </x:c>
      <x:c r="U4485" s="30" t="str">
        <x:v>Расхождений нет.</x:v>
      </x:c>
      <x:c r="V4485" s="87" t="str">
        <x:v>VERIFIED</x:v>
      </x:c>
      <x:c r="W4485" s="87"/>
      <x:c r="X4485" s="87" t="n">
        <x:v>18</x:v>
      </x:c>
      <x:c r="Y4485" s="87"/>
      <x:c r="Z4485" s="87"/>
      <x:c r="AA4485" s="87"/>
      <x:c r="AB4485" s="87" t="str">
        <x:v>таблица, строка 3</x:v>
      </x:c>
      <x:c r="AC4485" s="87" t="str">
        <x:v>VIS-MATH-DEC-BW-TASK-P018</x:v>
      </x:c>
      <x:c r="AD4485" s="87" t="str">
        <x:v>VIS-MATH-DEC-KEY-BW</x:v>
      </x:c>
      <x:c r="AE4485" s="87" t="str">
        <x:v>TASK; KEY</x:v>
      </x:c>
      <x:c r="AF4485" s="87" t="str">
        <x:v>VIS-MATH-DEC-BW-TASK-P018: 18; VIS-MATH-DEC-KEY-BW: 1</x:v>
      </x:c>
      <x:c r="AG4485" s="87" t="str">
        <x:v>RESOLVED</x:v>
      </x:c>
      <x:c r="AH4485" s="87" t="str">
        <x:v>CROP_VERIFIED; TASK_CROP_QA_APPROVED:USE_TIGHT</x:v>
      </x:c>
      <x:c r="AI4485" s="30" t="str">
        <x:v>{"Уровень": "Базовый"}</x:v>
      </x:c>
      <x:c r="AJ4485" s="87" t="str">
        <x:v>clean</x:v>
      </x:c>
      <x:c r="AK4485" s="87" t="str">
        <x:v>clean-v0.07</x:v>
      </x:c>
      <x:c r="AL4485" s="87" t="str">
        <x:v>statgrad_clean_continuation_v0_07(1).xlsx</x:v>
      </x:c>
      <x:c r="AM4485" s="87" t="str">
        <x:v>MATH_Dec_0203</x:v>
      </x:c>
      <x:c r="AN4485" s="87" t="n">
        <x:v>8</x:v>
      </x:c>
    </x:row>
    <x:row r="4486">
      <x:c r="A4486" s="87" t="n">
        <x:v>4485</x:v>
      </x:c>
      <x:c r="B4486" s="87" t="str">
        <x:v>DEC-MATH-03-008</x:v>
      </x:c>
      <x:c r="C4486" s="87" t="str">
        <x:v>СтатГрад</x:v>
      </x:c>
      <x:c r="D4486" s="87" t="str">
        <x:v>Декабрь 2025</x:v>
      </x:c>
      <x:c r="E4486" s="87"/>
      <x:c r="F4486" s="87"/>
      <x:c r="G4486" s="87" t="str">
        <x:v>Математика</x:v>
      </x:c>
      <x:c r="H4486" s="87" t="n">
        <x:v>11</x:v>
      </x:c>
      <x:c r="I4486" s="87" t="str">
        <x:v>ТР №2</x:v>
      </x:c>
      <x:c r="J4486" s="87" t="str">
        <x:v>МА2510203</x:v>
      </x:c>
      <x:c r="K4486" s="87" t="n">
        <x:v>8</x:v>
      </x:c>
      <x:c r="L4486" s="87" t="str">
        <x:v>Логические утверждения</x:v>
      </x:c>
      <x:c r="M4486" s="30" t="str">
        <x:v>Некоторые учащиеся школы съели за завтраком булочку с повидлом. Некоторые учащиеся этой школы на обед получат сочник, причём среди них не будет тех, кто съел за завтраком булочку. Выберите утверждения, которые будут верны при указанных условиях независимо от того, кому достанутся сочники. 1) Каждый учащийся, который не съел булочку за завтраком, получит сочник на обед. 2) Найдётся учащийся, который не съел булочку за завтраком и не получит сочник на обед. 3) Среди учащихся этой школы, которым не достанется сочник на обед, есть хотя бы один, который съел булочку за завтраком. 4) Нет ни одного учащегося этой школы, который съел булочку за завтраком и получит сочник на обед. В ответе запишите номера выбранных утверждений без пробелов, запятых и других дополнительных символов.</x:v>
      </x:c>
      <x:c r="N4486" s="30" t="str">
        <x:v>34</x:v>
      </x:c>
      <x:c r="O4486" s="30" t="str">
        <x:v>Использовано условие непересечения двух множеств; выбраны утверждения, истинные при любом составе второго множества.</x:v>
      </x:c>
      <x:c r="P4486" s="30" t="str">
        <x:v>Условие и полный визуал просмотрены; ответ пересчитан/логически проверен и совпал с LOCKED-ключом.</x:v>
      </x:c>
      <x:c r="Q4486" s="30"/>
      <x:c r="R4486" s="30" t="str">
        <x:v>34</x:v>
      </x:c>
      <x:c r="S4486" s="30"/>
      <x:c r="T4486" s="30" t="str">
        <x:v>База.jpg (Запад)</x:v>
      </x:c>
      <x:c r="U4486" s="30" t="str">
        <x:v>Расхождений нет.</x:v>
      </x:c>
      <x:c r="V4486" s="87" t="str">
        <x:v>VERIFIED</x:v>
      </x:c>
      <x:c r="W4486" s="87"/>
      <x:c r="X4486" s="87" t="n">
        <x:v>19</x:v>
      </x:c>
      <x:c r="Y4486" s="87"/>
      <x:c r="Z4486" s="87"/>
      <x:c r="AA4486" s="87"/>
      <x:c r="AB4486" s="87" t="str">
        <x:v>таблица, строка 3</x:v>
      </x:c>
      <x:c r="AC4486" s="87" t="str">
        <x:v>VIS-MATH-DEC-BW-TASK-P019</x:v>
      </x:c>
      <x:c r="AD4486" s="87" t="str">
        <x:v>VIS-MATH-DEC-KEY-BW</x:v>
      </x:c>
      <x:c r="AE4486" s="87" t="str">
        <x:v>TASK; KEY</x:v>
      </x:c>
      <x:c r="AF4486" s="87" t="str">
        <x:v>VIS-MATH-DEC-BW-TASK-P019: 19; VIS-MATH-DEC-KEY-BW: 1</x:v>
      </x:c>
      <x:c r="AG4486" s="87" t="str">
        <x:v>RESOLVED</x:v>
      </x:c>
      <x:c r="AH4486" s="87" t="str">
        <x:v>CROP_VERIFIED</x:v>
      </x:c>
      <x:c r="AI4486" s="30" t="str">
        <x:v>{"Уровень": "Базовый"}</x:v>
      </x:c>
      <x:c r="AJ4486" s="87" t="str">
        <x:v>clean</x:v>
      </x:c>
      <x:c r="AK4486" s="87" t="str">
        <x:v>clean-v0.07</x:v>
      </x:c>
      <x:c r="AL4486" s="87" t="str">
        <x:v>statgrad_clean_continuation_v0_07(1).xlsx</x:v>
      </x:c>
      <x:c r="AM4486" s="87" t="str">
        <x:v>MATH_Dec_0203</x:v>
      </x:c>
      <x:c r="AN4486" s="87" t="n">
        <x:v>9</x:v>
      </x:c>
    </x:row>
    <x:row r="4487">
      <x:c r="A4487" s="87" t="n">
        <x:v>4486</x:v>
      </x:c>
      <x:c r="B4487" s="87" t="str">
        <x:v>DEC-MATH-03-009</x:v>
      </x:c>
      <x:c r="C4487" s="87" t="str">
        <x:v>СтатГрад</x:v>
      </x:c>
      <x:c r="D4487" s="87" t="str">
        <x:v>Декабрь 2025</x:v>
      </x:c>
      <x:c r="E4487" s="87"/>
      <x:c r="F4487" s="87"/>
      <x:c r="G4487" s="87" t="str">
        <x:v>Математика</x:v>
      </x:c>
      <x:c r="H4487" s="87" t="n">
        <x:v>11</x:v>
      </x:c>
      <x:c r="I4487" s="87" t="str">
        <x:v>ТР №2</x:v>
      </x:c>
      <x:c r="J4487" s="87" t="str">
        <x:v>МА2510203</x:v>
      </x:c>
      <x:c r="K4487" s="87" t="n">
        <x:v>9</x:v>
      </x:c>
      <x:c r="L4487" s="87" t="str">
        <x:v>Площадь по клеткам</x:v>
      </x:c>
      <x:c r="M4487" s="30" t="str">
        <x:v>В ответе запишите номера выбранных утверждений без пробелов, запятых и других дополнительных символов. План местности разбит на клетки. Каждая клетка обозначает квадрат 1м 1м × . Найдите площадь участка, выделенного на плане. Ответ дайте в квадратных метрах.</x:v>
      </x:c>
      <x:c r="N4487" s="30" t="str">
        <x:v>26</x:v>
      </x:c>
      <x:c r="O4487" s="30" t="str">
        <x:v>Площадь получена подсчётом целых и составных клеток на полном изображении задания.</x:v>
      </x:c>
      <x:c r="P4487" s="30" t="str">
        <x:v>Условие и полный визуал просмотрены; ответ пересчитан/логически проверен и совпал с LOCKED-ключом.</x:v>
      </x:c>
      <x:c r="Q4487" s="30"/>
      <x:c r="R4487" s="30" t="str">
        <x:v>26</x:v>
      </x:c>
      <x:c r="S4487" s="30"/>
      <x:c r="T4487" s="30" t="str">
        <x:v>База.jpg (Запад)</x:v>
      </x:c>
      <x:c r="U4487" s="30" t="str">
        <x:v>Расхождений нет.</x:v>
      </x:c>
      <x:c r="V4487" s="87" t="str">
        <x:v>VERIFIED</x:v>
      </x:c>
      <x:c r="W4487" s="87"/>
      <x:c r="X4487" s="87" t="n">
        <x:v>19</x:v>
      </x:c>
      <x:c r="Y4487" s="87"/>
      <x:c r="Z4487" s="87"/>
      <x:c r="AA4487" s="87"/>
      <x:c r="AB4487" s="87" t="str">
        <x:v>таблица, строка 3</x:v>
      </x:c>
      <x:c r="AC4487" s="87" t="str">
        <x:v>VIS-MATH-DEC-BW-TASK-P019</x:v>
      </x:c>
      <x:c r="AD4487" s="87" t="str">
        <x:v>VIS-MATH-DEC-KEY-BW</x:v>
      </x:c>
      <x:c r="AE4487" s="87" t="str">
        <x:v>TASK; KEY</x:v>
      </x:c>
      <x:c r="AF4487" s="87" t="str">
        <x:v>VIS-MATH-DEC-BW-TASK-P019: 19; VIS-MATH-DEC-KEY-BW: 1</x:v>
      </x:c>
      <x:c r="AG4487" s="87" t="str">
        <x:v>RESOLVED</x:v>
      </x:c>
      <x:c r="AH4487" s="87" t="str">
        <x:v>CROP_VERIFIED; TASK_CROP_QA_APPROVED:USE_TIGHT</x:v>
      </x:c>
      <x:c r="AI4487" s="30" t="str">
        <x:v>{"Уровень": "Базовый"}</x:v>
      </x:c>
      <x:c r="AJ4487" s="87" t="str">
        <x:v>clean</x:v>
      </x:c>
      <x:c r="AK4487" s="87" t="str">
        <x:v>clean-v0.07</x:v>
      </x:c>
      <x:c r="AL4487" s="87" t="str">
        <x:v>statgrad_clean_continuation_v0_07(1).xlsx</x:v>
      </x:c>
      <x:c r="AM4487" s="87" t="str">
        <x:v>MATH_Dec_0203</x:v>
      </x:c>
      <x:c r="AN4487" s="87" t="n">
        <x:v>10</x:v>
      </x:c>
    </x:row>
    <x:row r="4488">
      <x:c r="A4488" s="87" t="n">
        <x:v>4487</x:v>
      </x:c>
      <x:c r="B4488" s="87" t="str">
        <x:v>DEC-MATH-03-010</x:v>
      </x:c>
      <x:c r="C4488" s="87" t="str">
        <x:v>СтатГрад</x:v>
      </x:c>
      <x:c r="D4488" s="87" t="str">
        <x:v>Декабрь 2025</x:v>
      </x:c>
      <x:c r="E4488" s="87"/>
      <x:c r="F4488" s="87"/>
      <x:c r="G4488" s="87" t="str">
        <x:v>Математика</x:v>
      </x:c>
      <x:c r="H4488" s="87" t="n">
        <x:v>11</x:v>
      </x:c>
      <x:c r="I4488" s="87" t="str">
        <x:v>ТР №2</x:v>
      </x:c>
      <x:c r="J4488" s="87" t="str">
        <x:v>МА2510203</x:v>
      </x:c>
      <x:c r="K4488" s="87" t="n">
        <x:v>10</x:v>
      </x:c>
      <x:c r="L4488" s="87" t="str">
        <x:v>Угол в окружности</x:v>
      </x:c>
      <x:c r="M4488" s="30" t="str">
        <x:v>Колесо имеет 10 спиц. Углы между любыми двумя соседними спицами равны. Найдите величину угла (в градусах), который образуют две соседние спицы.</x:v>
      </x:c>
      <x:c r="N4488" s="30" t="str">
        <x:v>36</x:v>
      </x:c>
      <x:c r="O4488" s="30" t="str">
        <x:v>Полный угол 360° разделён на число равных промежутков между спицами.</x:v>
      </x:c>
      <x:c r="P4488" s="30" t="str">
        <x:v>Условие и полный визуал просмотрены; ответ пересчитан/логически проверен и совпал с LOCKED-ключом.</x:v>
      </x:c>
      <x:c r="Q4488" s="30"/>
      <x:c r="R4488" s="30" t="str">
        <x:v>36</x:v>
      </x:c>
      <x:c r="S4488" s="30"/>
      <x:c r="T4488" s="30" t="str">
        <x:v>База.jpg (Запад)</x:v>
      </x:c>
      <x:c r="U4488" s="30" t="str">
        <x:v>Расхождений нет.</x:v>
      </x:c>
      <x:c r="V4488" s="87" t="str">
        <x:v>VERIFIED</x:v>
      </x:c>
      <x:c r="W4488" s="87"/>
      <x:c r="X4488" s="87" t="n">
        <x:v>19</x:v>
      </x:c>
      <x:c r="Y4488" s="87"/>
      <x:c r="Z4488" s="87"/>
      <x:c r="AA4488" s="87"/>
      <x:c r="AB4488" s="87" t="str">
        <x:v>таблица, строка 3</x:v>
      </x:c>
      <x:c r="AC4488" s="87" t="str">
        <x:v>VIS-MATH-DEC-BW-TASK-P019</x:v>
      </x:c>
      <x:c r="AD4488" s="87" t="str">
        <x:v>VIS-MATH-DEC-KEY-BW</x:v>
      </x:c>
      <x:c r="AE4488" s="87" t="str">
        <x:v>TASK; KEY</x:v>
      </x:c>
      <x:c r="AF4488" s="87" t="str">
        <x:v>VIS-MATH-DEC-BW-TASK-P019: 19; VIS-MATH-DEC-KEY-BW: 1</x:v>
      </x:c>
      <x:c r="AG4488" s="87" t="str">
        <x:v>RESOLVED</x:v>
      </x:c>
      <x:c r="AH4488" s="87" t="str">
        <x:v>CROP_VERIFIED</x:v>
      </x:c>
      <x:c r="AI4488" s="30" t="str">
        <x:v>{"Уровень": "Базовый"}</x:v>
      </x:c>
      <x:c r="AJ4488" s="87" t="str">
        <x:v>clean</x:v>
      </x:c>
      <x:c r="AK4488" s="87" t="str">
        <x:v>clean-v0.07</x:v>
      </x:c>
      <x:c r="AL4488" s="87" t="str">
        <x:v>statgrad_clean_continuation_v0_07(1).xlsx</x:v>
      </x:c>
      <x:c r="AM4488" s="87" t="str">
        <x:v>MATH_Dec_0203</x:v>
      </x:c>
      <x:c r="AN4488" s="87" t="n">
        <x:v>11</x:v>
      </x:c>
    </x:row>
    <x:row r="4489">
      <x:c r="A4489" s="87" t="n">
        <x:v>4488</x:v>
      </x:c>
      <x:c r="B4489" s="87" t="str">
        <x:v>DEC-MATH-03-011</x:v>
      </x:c>
      <x:c r="C4489" s="87" t="str">
        <x:v>СтатГрад</x:v>
      </x:c>
      <x:c r="D4489" s="87" t="str">
        <x:v>Декабрь 2025</x:v>
      </x:c>
      <x:c r="E4489" s="87"/>
      <x:c r="F4489" s="87"/>
      <x:c r="G4489" s="87" t="str">
        <x:v>Математика</x:v>
      </x:c>
      <x:c r="H4489" s="87" t="n">
        <x:v>11</x:v>
      </x:c>
      <x:c r="I4489" s="87" t="str">
        <x:v>ТР №2</x:v>
      </x:c>
      <x:c r="J4489" s="87" t="str">
        <x:v>МА2510203</x:v>
      </x:c>
      <x:c r="K4489" s="87" t="n">
        <x:v>11</x:v>
      </x:c>
      <x:c r="L4489" s="87" t="str">
        <x:v>Площадь поверхности</x:v>
      </x:c>
      <x:c r="M4489" s="30" t="str">
        <x:v>Пять ступеней лестницы покрасили в тёмный цвет, как показано на рисунке (штриховкой). Найдите площадь окрашенной поверхности, если глубина каждой ступеньки равна 35 см, высота — 15 см, а ширина — 80 см. Ответ дайте в квадратных сантиметрах.</x:v>
      </x:c>
      <x:c r="N4489" s="30" t="str">
        <x:v>17200</x:v>
      </x:c>
      <x:c r="O4489" s="30" t="str">
        <x:v>Сложены площади всех закрашенных горизонтальных и вертикальных участков ступеней.</x:v>
      </x:c>
      <x:c r="P4489" s="30" t="str">
        <x:v>Условие и полный визуал просмотрены; ответ пересчитан/логически проверен и совпал с LOCKED-ключом.</x:v>
      </x:c>
      <x:c r="Q4489" s="30"/>
      <x:c r="R4489" s="30" t="str">
        <x:v>17200</x:v>
      </x:c>
      <x:c r="S4489" s="30"/>
      <x:c r="T4489" s="30" t="str">
        <x:v>База.jpg (Запад)</x:v>
      </x:c>
      <x:c r="U4489" s="30" t="str">
        <x:v>Расхождений нет.</x:v>
      </x:c>
      <x:c r="V4489" s="87" t="str">
        <x:v>VERIFIED</x:v>
      </x:c>
      <x:c r="W4489" s="87"/>
      <x:c r="X4489" s="87" t="n">
        <x:v>20</x:v>
      </x:c>
      <x:c r="Y4489" s="87"/>
      <x:c r="Z4489" s="87"/>
      <x:c r="AA4489" s="87"/>
      <x:c r="AB4489" s="87" t="str">
        <x:v>таблица, строка 3</x:v>
      </x:c>
      <x:c r="AC4489" s="87" t="str">
        <x:v>VIS-MATH-DEC-BW-TASK-P020</x:v>
      </x:c>
      <x:c r="AD4489" s="87" t="str">
        <x:v>VIS-MATH-DEC-KEY-BW</x:v>
      </x:c>
      <x:c r="AE4489" s="87" t="str">
        <x:v>TASK; KEY</x:v>
      </x:c>
      <x:c r="AF4489" s="87" t="str">
        <x:v>VIS-MATH-DEC-BW-TASK-P020: 20; VIS-MATH-DEC-KEY-BW: 1</x:v>
      </x:c>
      <x:c r="AG4489" s="87" t="str">
        <x:v>RESOLVED</x:v>
      </x:c>
      <x:c r="AH4489" s="87" t="str">
        <x:v>CROP_VERIFIED; TASK_CROP_QA_APPROVED:USE_TIGHT</x:v>
      </x:c>
      <x:c r="AI4489" s="30" t="str">
        <x:v>{"Уровень": "Базовый"}</x:v>
      </x:c>
      <x:c r="AJ4489" s="87" t="str">
        <x:v>clean</x:v>
      </x:c>
      <x:c r="AK4489" s="87" t="str">
        <x:v>clean-v0.07</x:v>
      </x:c>
      <x:c r="AL4489" s="87" t="str">
        <x:v>statgrad_clean_continuation_v0_07(1).xlsx</x:v>
      </x:c>
      <x:c r="AM4489" s="87" t="str">
        <x:v>MATH_Dec_0203</x:v>
      </x:c>
      <x:c r="AN4489" s="87" t="n">
        <x:v>12</x:v>
      </x:c>
    </x:row>
    <x:row r="4490">
      <x:c r="A4490" s="87" t="n">
        <x:v>4489</x:v>
      </x:c>
      <x:c r="B4490" s="87" t="str">
        <x:v>DEC-MATH-03-012</x:v>
      </x:c>
      <x:c r="C4490" s="87" t="str">
        <x:v>СтатГрад</x:v>
      </x:c>
      <x:c r="D4490" s="87" t="str">
        <x:v>Декабрь 2025</x:v>
      </x:c>
      <x:c r="E4490" s="87"/>
      <x:c r="F4490" s="87"/>
      <x:c r="G4490" s="87" t="str">
        <x:v>Математика</x:v>
      </x:c>
      <x:c r="H4490" s="87" t="n">
        <x:v>11</x:v>
      </x:c>
      <x:c r="I4490" s="87" t="str">
        <x:v>ТР №2</x:v>
      </x:c>
      <x:c r="J4490" s="87" t="str">
        <x:v>МА2510203</x:v>
      </x:c>
      <x:c r="K4490" s="87" t="n">
        <x:v>12</x:v>
      </x:c>
      <x:c r="L4490" s="87" t="str">
        <x:v>Планиметрия</x:v>
      </x:c>
      <x:c r="M4490" s="30" t="str">
        <x:v>B В треугольнике ABC угол B равен 120°. Медиана BM делит угол B пополам и равна 27. Найдите длину стороны AB. A M C</x:v>
      </x:c>
      <x:c r="N4490" s="30" t="str">
        <x:v>54</x:v>
      </x:c>
      <x:c r="O4490" s="30" t="str">
        <x:v>Медиана одновременно является биссектрисой; треугольник равнобедренный, а в половине треугольника используется угол 60°.</x:v>
      </x:c>
      <x:c r="P4490" s="30" t="str">
        <x:v>Условие и полный визуал просмотрены; ответ пересчитан/логически проверен и совпал с LOCKED-ключом.</x:v>
      </x:c>
      <x:c r="Q4490" s="30"/>
      <x:c r="R4490" s="30" t="str">
        <x:v>54</x:v>
      </x:c>
      <x:c r="S4490" s="30"/>
      <x:c r="T4490" s="30" t="str">
        <x:v>База.jpg (Запад)</x:v>
      </x:c>
      <x:c r="U4490" s="30" t="str">
        <x:v>Расхождений нет.</x:v>
      </x:c>
      <x:c r="V4490" s="87" t="str">
        <x:v>VERIFIED</x:v>
      </x:c>
      <x:c r="W4490" s="87"/>
      <x:c r="X4490" s="87" t="n">
        <x:v>20</x:v>
      </x:c>
      <x:c r="Y4490" s="87"/>
      <x:c r="Z4490" s="87"/>
      <x:c r="AA4490" s="87"/>
      <x:c r="AB4490" s="87" t="str">
        <x:v>таблица, строка 3</x:v>
      </x:c>
      <x:c r="AC4490" s="87" t="str">
        <x:v>VIS-MATH-DEC-BW-TASK-P020</x:v>
      </x:c>
      <x:c r="AD4490" s="87" t="str">
        <x:v>VIS-MATH-DEC-KEY-BW</x:v>
      </x:c>
      <x:c r="AE4490" s="87" t="str">
        <x:v>TASK; KEY</x:v>
      </x:c>
      <x:c r="AF4490" s="87" t="str">
        <x:v>VIS-MATH-DEC-BW-TASK-P020: 20; VIS-MATH-DEC-KEY-BW: 1</x:v>
      </x:c>
      <x:c r="AG4490" s="87" t="str">
        <x:v>RESOLVED</x:v>
      </x:c>
      <x:c r="AH4490" s="87" t="str">
        <x:v>CROP_VERIFIED</x:v>
      </x:c>
      <x:c r="AI4490" s="30" t="str">
        <x:v>{"Уровень": "Базовый"}</x:v>
      </x:c>
      <x:c r="AJ4490" s="87" t="str">
        <x:v>clean</x:v>
      </x:c>
      <x:c r="AK4490" s="87" t="str">
        <x:v>clean-v0.07</x:v>
      </x:c>
      <x:c r="AL4490" s="87" t="str">
        <x:v>statgrad_clean_continuation_v0_07(1).xlsx</x:v>
      </x:c>
      <x:c r="AM4490" s="87" t="str">
        <x:v>MATH_Dec_0203</x:v>
      </x:c>
      <x:c r="AN4490" s="87" t="n">
        <x:v>13</x:v>
      </x:c>
    </x:row>
    <x:row r="4491">
      <x:c r="A4491" s="87" t="n">
        <x:v>4490</x:v>
      </x:c>
      <x:c r="B4491" s="87" t="str">
        <x:v>DEC-MATH-03-013</x:v>
      </x:c>
      <x:c r="C4491" s="87" t="str">
        <x:v>СтатГрад</x:v>
      </x:c>
      <x:c r="D4491" s="87" t="str">
        <x:v>Декабрь 2025</x:v>
      </x:c>
      <x:c r="E4491" s="87"/>
      <x:c r="F4491" s="87"/>
      <x:c r="G4491" s="87" t="str">
        <x:v>Математика</x:v>
      </x:c>
      <x:c r="H4491" s="87" t="n">
        <x:v>11</x:v>
      </x:c>
      <x:c r="I4491" s="87" t="str">
        <x:v>ТР №2</x:v>
      </x:c>
      <x:c r="J4491" s="87" t="str">
        <x:v>МА2510203</x:v>
      </x:c>
      <x:c r="K4491" s="87" t="n">
        <x:v>13</x:v>
      </x:c>
      <x:c r="L4491" s="87" t="str">
        <x:v>Объём призмы</x:v>
      </x:c>
      <x:c r="M4491" s="30" t="str">
        <x:v>В основании прямой призмы лежит прямоугольный треугольник, катеты которого равны 13 и 4. Найдите объём призмы, если её высота равна 5.</x:v>
      </x:c>
      <x:c r="N4491" s="30" t="str">
        <x:v>130</x:v>
      </x:c>
      <x:c r="O4491" s="30" t="str">
        <x:v>Объём равен площади прямоугольного треугольника в основании, умноженной на высоту призмы.</x:v>
      </x:c>
      <x:c r="P4491" s="30" t="str">
        <x:v>Условие и полный визуал просмотрены; ответ пересчитан/логически проверен и совпал с LOCKED-ключом.</x:v>
      </x:c>
      <x:c r="Q4491" s="30"/>
      <x:c r="R4491" s="30" t="str">
        <x:v>130</x:v>
      </x:c>
      <x:c r="S4491" s="30"/>
      <x:c r="T4491" s="30" t="str">
        <x:v>База.jpg (Запад)</x:v>
      </x:c>
      <x:c r="U4491" s="30" t="str">
        <x:v>Расхождений нет.</x:v>
      </x:c>
      <x:c r="V4491" s="87" t="str">
        <x:v>VERIFIED</x:v>
      </x:c>
      <x:c r="W4491" s="87"/>
      <x:c r="X4491" s="87" t="n">
        <x:v>20</x:v>
      </x:c>
      <x:c r="Y4491" s="87"/>
      <x:c r="Z4491" s="87"/>
      <x:c r="AA4491" s="87"/>
      <x:c r="AB4491" s="87" t="str">
        <x:v>таблица, строка 3</x:v>
      </x:c>
      <x:c r="AC4491" s="87" t="str">
        <x:v>VIS-MATH-DEC-BW-TASK-P020</x:v>
      </x:c>
      <x:c r="AD4491" s="87" t="str">
        <x:v>VIS-MATH-DEC-KEY-BW</x:v>
      </x:c>
      <x:c r="AE4491" s="87" t="str">
        <x:v>TASK; KEY</x:v>
      </x:c>
      <x:c r="AF4491" s="87" t="str">
        <x:v>VIS-MATH-DEC-BW-TASK-P020: 20; VIS-MATH-DEC-KEY-BW: 1</x:v>
      </x:c>
      <x:c r="AG4491" s="87" t="str">
        <x:v>RESOLVED</x:v>
      </x:c>
      <x:c r="AH4491" s="87" t="str">
        <x:v>CROP_VERIFIED</x:v>
      </x:c>
      <x:c r="AI4491" s="30" t="str">
        <x:v>{"Уровень": "Базовый"}</x:v>
      </x:c>
      <x:c r="AJ4491" s="87" t="str">
        <x:v>clean</x:v>
      </x:c>
      <x:c r="AK4491" s="87" t="str">
        <x:v>clean-v0.07</x:v>
      </x:c>
      <x:c r="AL4491" s="87" t="str">
        <x:v>statgrad_clean_continuation_v0_07(1).xlsx</x:v>
      </x:c>
      <x:c r="AM4491" s="87" t="str">
        <x:v>MATH_Dec_0203</x:v>
      </x:c>
      <x:c r="AN4491" s="87" t="n">
        <x:v>14</x:v>
      </x:c>
    </x:row>
    <x:row r="4492">
      <x:c r="A4492" s="87" t="n">
        <x:v>4491</x:v>
      </x:c>
      <x:c r="B4492" s="87" t="str">
        <x:v>DEC-MATH-03-014</x:v>
      </x:c>
      <x:c r="C4492" s="87" t="str">
        <x:v>СтатГрад</x:v>
      </x:c>
      <x:c r="D4492" s="87" t="str">
        <x:v>Декабрь 2025</x:v>
      </x:c>
      <x:c r="E4492" s="87"/>
      <x:c r="F4492" s="87"/>
      <x:c r="G4492" s="87" t="str">
        <x:v>Математика</x:v>
      </x:c>
      <x:c r="H4492" s="87" t="n">
        <x:v>11</x:v>
      </x:c>
      <x:c r="I4492" s="87" t="str">
        <x:v>ТР №2</x:v>
      </x:c>
      <x:c r="J4492" s="87" t="str">
        <x:v>МА2510203</x:v>
      </x:c>
      <x:c r="K4492" s="87" t="n">
        <x:v>14</x:v>
      </x:c>
      <x:c r="L4492" s="87" t="str">
        <x:v>Числовое выражение</x:v>
      </x:c>
      <x:c r="M4492" s="30" t="str">
        <x:v>Найдите значение выражения 7,4 2,5 6,8 ⋅ + .</x:v>
      </x:c>
      <x:c r="N4492" s="30" t="str">
        <x:v>25,3</x:v>
      </x:c>
      <x:c r="O4492" s="30" t="str">
        <x:v>Значение вычислено с соблюдением порядка арифметических действий.</x:v>
      </x:c>
      <x:c r="P4492" s="30" t="str">
        <x:v>Условие и полный визуал просмотрены; ответ пересчитан/логически проверен и совпал с LOCKED-ключом.</x:v>
      </x:c>
      <x:c r="Q4492" s="30"/>
      <x:c r="R4492" s="30" t="str">
        <x:v>25,3</x:v>
      </x:c>
      <x:c r="S4492" s="30"/>
      <x:c r="T4492" s="30" t="str">
        <x:v>База.jpg (Запад)</x:v>
      </x:c>
      <x:c r="U4492" s="30" t="str">
        <x:v>Расхождений нет.</x:v>
      </x:c>
      <x:c r="V4492" s="87" t="str">
        <x:v>VERIFIED</x:v>
      </x:c>
      <x:c r="W4492" s="87"/>
      <x:c r="X4492" s="87" t="n">
        <x:v>20</x:v>
      </x:c>
      <x:c r="Y4492" s="87"/>
      <x:c r="Z4492" s="87"/>
      <x:c r="AA4492" s="87"/>
      <x:c r="AB4492" s="87" t="str">
        <x:v>таблица, строка 3</x:v>
      </x:c>
      <x:c r="AC4492" s="87" t="str">
        <x:v>VIS-MATH-DEC-BW-TASK-P020</x:v>
      </x:c>
      <x:c r="AD4492" s="87" t="str">
        <x:v>VIS-MATH-DEC-KEY-BW</x:v>
      </x:c>
      <x:c r="AE4492" s="87" t="str">
        <x:v>TASK; KEY</x:v>
      </x:c>
      <x:c r="AF4492" s="87" t="str">
        <x:v>VIS-MATH-DEC-BW-TASK-P020: 20; VIS-MATH-DEC-KEY-BW: 1</x:v>
      </x:c>
      <x:c r="AG4492" s="87" t="str">
        <x:v>RESOLVED</x:v>
      </x:c>
      <x:c r="AH4492" s="87" t="str">
        <x:v>CROP_VERIFIED</x:v>
      </x:c>
      <x:c r="AI4492" s="30" t="str">
        <x:v>{"Уровень": "Базовый"}</x:v>
      </x:c>
      <x:c r="AJ4492" s="87" t="str">
        <x:v>clean</x:v>
      </x:c>
      <x:c r="AK4492" s="87" t="str">
        <x:v>clean-v0.07</x:v>
      </x:c>
      <x:c r="AL4492" s="87" t="str">
        <x:v>statgrad_clean_continuation_v0_07(1).xlsx</x:v>
      </x:c>
      <x:c r="AM4492" s="87" t="str">
        <x:v>MATH_Dec_0203</x:v>
      </x:c>
      <x:c r="AN4492" s="87" t="n">
        <x:v>15</x:v>
      </x:c>
    </x:row>
    <x:row r="4493">
      <x:c r="A4493" s="87" t="n">
        <x:v>4492</x:v>
      </x:c>
      <x:c r="B4493" s="87" t="str">
        <x:v>DEC-MATH-03-015</x:v>
      </x:c>
      <x:c r="C4493" s="87" t="str">
        <x:v>СтатГрад</x:v>
      </x:c>
      <x:c r="D4493" s="87" t="str">
        <x:v>Декабрь 2025</x:v>
      </x:c>
      <x:c r="E4493" s="87"/>
      <x:c r="F4493" s="87"/>
      <x:c r="G4493" s="87" t="str">
        <x:v>Математика</x:v>
      </x:c>
      <x:c r="H4493" s="87" t="n">
        <x:v>11</x:v>
      </x:c>
      <x:c r="I4493" s="87" t="str">
        <x:v>ТР №2</x:v>
      </x:c>
      <x:c r="J4493" s="87" t="str">
        <x:v>МА2510203</x:v>
      </x:c>
      <x:c r="K4493" s="87" t="n">
        <x:v>15</x:v>
      </x:c>
      <x:c r="L4493" s="87" t="str">
        <x:v>Проценты</x:v>
      </x:c>
      <x:c r="M4493" s="30" t="str">
        <x:v>После уценки телевизора его новая цена составила 0,92 от старой цены. На сколько процентов уменьшилась цена телевизора в результате уценки?</x:v>
      </x:c>
      <x:c r="N4493" s="30" t="str">
        <x:v>8</x:v>
      </x:c>
      <x:c r="O4493" s="30" t="str">
        <x:v>Процент уменьшения равен (1−коэффициент новой цены)·100%.</x:v>
      </x:c>
      <x:c r="P4493" s="30" t="str">
        <x:v>Условие и полный визуал просмотрены; ответ пересчитан/логически проверен и совпал с LOCKED-ключом.</x:v>
      </x:c>
      <x:c r="Q4493" s="30"/>
      <x:c r="R4493" s="30" t="str">
        <x:v>8</x:v>
      </x:c>
      <x:c r="S4493" s="30"/>
      <x:c r="T4493" s="30" t="str">
        <x:v>База.jpg (Запад)</x:v>
      </x:c>
      <x:c r="U4493" s="30" t="str">
        <x:v>Расхождений нет.</x:v>
      </x:c>
      <x:c r="V4493" s="87" t="str">
        <x:v>VERIFIED</x:v>
      </x:c>
      <x:c r="W4493" s="87"/>
      <x:c r="X4493" s="87" t="n">
        <x:v>20</x:v>
      </x:c>
      <x:c r="Y4493" s="87"/>
      <x:c r="Z4493" s="87"/>
      <x:c r="AA4493" s="87"/>
      <x:c r="AB4493" s="87" t="str">
        <x:v>таблица, строка 3</x:v>
      </x:c>
      <x:c r="AC4493" s="87" t="str">
        <x:v>VIS-MATH-DEC-BW-TASK-P020</x:v>
      </x:c>
      <x:c r="AD4493" s="87" t="str">
        <x:v>VIS-MATH-DEC-KEY-BW</x:v>
      </x:c>
      <x:c r="AE4493" s="87" t="str">
        <x:v>TASK; KEY</x:v>
      </x:c>
      <x:c r="AF4493" s="87" t="str">
        <x:v>VIS-MATH-DEC-BW-TASK-P020: 20; VIS-MATH-DEC-KEY-BW: 1</x:v>
      </x:c>
      <x:c r="AG4493" s="87" t="str">
        <x:v>RESOLVED</x:v>
      </x:c>
      <x:c r="AH4493" s="87" t="str">
        <x:v>CROP_VERIFIED</x:v>
      </x:c>
      <x:c r="AI4493" s="30" t="str">
        <x:v>{"Уровень": "Базовый"}</x:v>
      </x:c>
      <x:c r="AJ4493" s="87" t="str">
        <x:v>clean</x:v>
      </x:c>
      <x:c r="AK4493" s="87" t="str">
        <x:v>clean-v0.07</x:v>
      </x:c>
      <x:c r="AL4493" s="87" t="str">
        <x:v>statgrad_clean_continuation_v0_07(1).xlsx</x:v>
      </x:c>
      <x:c r="AM4493" s="87" t="str">
        <x:v>MATH_Dec_0203</x:v>
      </x:c>
      <x:c r="AN4493" s="87" t="n">
        <x:v>16</x:v>
      </x:c>
    </x:row>
    <x:row r="4494">
      <x:c r="A4494" s="87" t="n">
        <x:v>4493</x:v>
      </x:c>
      <x:c r="B4494" s="87" t="str">
        <x:v>DEC-MATH-03-016</x:v>
      </x:c>
      <x:c r="C4494" s="87" t="str">
        <x:v>СтатГрад</x:v>
      </x:c>
      <x:c r="D4494" s="87" t="str">
        <x:v>Декабрь 2025</x:v>
      </x:c>
      <x:c r="E4494" s="87"/>
      <x:c r="F4494" s="87"/>
      <x:c r="G4494" s="87" t="str">
        <x:v>Математика</x:v>
      </x:c>
      <x:c r="H4494" s="87" t="n">
        <x:v>11</x:v>
      </x:c>
      <x:c r="I4494" s="87" t="str">
        <x:v>ТР №2</x:v>
      </x:c>
      <x:c r="J4494" s="87" t="str">
        <x:v>МА2510203</x:v>
      </x:c>
      <x:c r="K4494" s="87" t="n">
        <x:v>16</x:v>
      </x:c>
      <x:c r="L4494" s="87" t="str">
        <x:v>Степени</x:v>
      </x:c>
      <x:c r="M4494" s="30" t="str">
        <x:v>Найдите значение выражения: 3 9 −⋅ . 4 7 7 7</x:v>
      </x:c>
      <x:c r="N4494" s="30" t="str">
        <x:v>49</x:v>
      </x:c>
      <x:c r="O4494" s="30" t="str">
        <x:v>Применены свойства степеней с одинаковым основанием.</x:v>
      </x:c>
      <x:c r="P4494" s="30" t="str">
        <x:v>Условие и полный визуал просмотрены; ответ пересчитан/логически проверен и совпал с LOCKED-ключом.</x:v>
      </x:c>
      <x:c r="Q4494" s="30"/>
      <x:c r="R4494" s="30" t="str">
        <x:v>49</x:v>
      </x:c>
      <x:c r="S4494" s="30"/>
      <x:c r="T4494" s="30" t="str">
        <x:v>База.jpg (Запад)</x:v>
      </x:c>
      <x:c r="U4494" s="30" t="str">
        <x:v>Расхождений нет.</x:v>
      </x:c>
      <x:c r="V4494" s="87" t="str">
        <x:v>VERIFIED</x:v>
      </x:c>
      <x:c r="W4494" s="87"/>
      <x:c r="X4494" s="87" t="n">
        <x:v>20</x:v>
      </x:c>
      <x:c r="Y4494" s="87"/>
      <x:c r="Z4494" s="87"/>
      <x:c r="AA4494" s="87"/>
      <x:c r="AB4494" s="87" t="str">
        <x:v>таблица, строка 3</x:v>
      </x:c>
      <x:c r="AC4494" s="87" t="str">
        <x:v>VIS-MATH-DEC-BW-TASK-P020</x:v>
      </x:c>
      <x:c r="AD4494" s="87" t="str">
        <x:v>VIS-MATH-DEC-KEY-BW</x:v>
      </x:c>
      <x:c r="AE4494" s="87" t="str">
        <x:v>TASK; KEY</x:v>
      </x:c>
      <x:c r="AF4494" s="87" t="str">
        <x:v>VIS-MATH-DEC-BW-TASK-P020: 20; VIS-MATH-DEC-KEY-BW: 1</x:v>
      </x:c>
      <x:c r="AG4494" s="87" t="str">
        <x:v>RESOLVED</x:v>
      </x:c>
      <x:c r="AH4494" s="87" t="str">
        <x:v>CROP_VERIFIED</x:v>
      </x:c>
      <x:c r="AI4494" s="30" t="str">
        <x:v>{"Уровень": "Базовый"}</x:v>
      </x:c>
      <x:c r="AJ4494" s="87" t="str">
        <x:v>clean</x:v>
      </x:c>
      <x:c r="AK4494" s="87" t="str">
        <x:v>clean-v0.07</x:v>
      </x:c>
      <x:c r="AL4494" s="87" t="str">
        <x:v>statgrad_clean_continuation_v0_07(1).xlsx</x:v>
      </x:c>
      <x:c r="AM4494" s="87" t="str">
        <x:v>MATH_Dec_0203</x:v>
      </x:c>
      <x:c r="AN4494" s="87" t="n">
        <x:v>17</x:v>
      </x:c>
    </x:row>
    <x:row r="4495">
      <x:c r="A4495" s="87" t="n">
        <x:v>4494</x:v>
      </x:c>
      <x:c r="B4495" s="87" t="str">
        <x:v>DEC-MATH-03-017</x:v>
      </x:c>
      <x:c r="C4495" s="87" t="str">
        <x:v>СтатГрад</x:v>
      </x:c>
      <x:c r="D4495" s="87" t="str">
        <x:v>Декабрь 2025</x:v>
      </x:c>
      <x:c r="E4495" s="87"/>
      <x:c r="F4495" s="87"/>
      <x:c r="G4495" s="87" t="str">
        <x:v>Математика</x:v>
      </x:c>
      <x:c r="H4495" s="87" t="n">
        <x:v>11</x:v>
      </x:c>
      <x:c r="I4495" s="87" t="str">
        <x:v>ТР №2</x:v>
      </x:c>
      <x:c r="J4495" s="87" t="str">
        <x:v>МА2510203</x:v>
      </x:c>
      <x:c r="K4495" s="87" t="n">
        <x:v>17</x:v>
      </x:c>
      <x:c r="L4495" s="87" t="str">
        <x:v>Уравнение</x:v>
      </x:c>
      <x:c r="M4495" s="30" t="str">
        <x:v>Решите уравнение 16 8 4 x − − = .</x:v>
      </x:c>
      <x:c r="N4495" s="30" t="str">
        <x:v>-4</x:v>
      </x:c>
      <x:c r="O4495" s="30" t="str">
        <x:v>Уравнение решено обратными арифметическими/показательными преобразованиями.</x:v>
      </x:c>
      <x:c r="P4495" s="30" t="str">
        <x:v>Условие и полный визуал просмотрены; ответ пересчитан/логически проверен и совпал с LOCKED-ключом.</x:v>
      </x:c>
      <x:c r="Q4495" s="30"/>
      <x:c r="R4495" s="30" t="str">
        <x:v>-4</x:v>
      </x:c>
      <x:c r="S4495" s="30"/>
      <x:c r="T4495" s="30" t="str">
        <x:v>База.jpg (Запад)</x:v>
      </x:c>
      <x:c r="U4495" s="30" t="str">
        <x:v>Расхождений нет.</x:v>
      </x:c>
      <x:c r="V4495" s="87" t="str">
        <x:v>VERIFIED</x:v>
      </x:c>
      <x:c r="W4495" s="87"/>
      <x:c r="X4495" s="87" t="n">
        <x:v>21</x:v>
      </x:c>
      <x:c r="Y4495" s="87"/>
      <x:c r="Z4495" s="87"/>
      <x:c r="AA4495" s="87"/>
      <x:c r="AB4495" s="87" t="str">
        <x:v>таблица, строка 3</x:v>
      </x:c>
      <x:c r="AC4495" s="87" t="str">
        <x:v>VIS-MATH-DEC-BW-TASK-P021</x:v>
      </x:c>
      <x:c r="AD4495" s="87" t="str">
        <x:v>VIS-MATH-DEC-KEY-BW</x:v>
      </x:c>
      <x:c r="AE4495" s="87" t="str">
        <x:v>TASK; KEY</x:v>
      </x:c>
      <x:c r="AF4495" s="87" t="str">
        <x:v>VIS-MATH-DEC-BW-TASK-P021: 21; VIS-MATH-DEC-KEY-BW: 1</x:v>
      </x:c>
      <x:c r="AG4495" s="87" t="str">
        <x:v>RESOLVED</x:v>
      </x:c>
      <x:c r="AH4495" s="87" t="str">
        <x:v>CROP_VERIFIED</x:v>
      </x:c>
      <x:c r="AI4495" s="30" t="str">
        <x:v>{"Уровень": "Базовый"}</x:v>
      </x:c>
      <x:c r="AJ4495" s="87" t="str">
        <x:v>clean</x:v>
      </x:c>
      <x:c r="AK4495" s="87" t="str">
        <x:v>clean-v0.07</x:v>
      </x:c>
      <x:c r="AL4495" s="87" t="str">
        <x:v>statgrad_clean_continuation_v0_07(1).xlsx</x:v>
      </x:c>
      <x:c r="AM4495" s="87" t="str">
        <x:v>MATH_Dec_0203</x:v>
      </x:c>
      <x:c r="AN4495" s="87" t="n">
        <x:v>18</x:v>
      </x:c>
    </x:row>
    <x:row r="4496">
      <x:c r="A4496" s="87" t="n">
        <x:v>4495</x:v>
      </x:c>
      <x:c r="B4496" s="87" t="str">
        <x:v>DEC-MATH-03-018</x:v>
      </x:c>
      <x:c r="C4496" s="87" t="str">
        <x:v>СтатГрад</x:v>
      </x:c>
      <x:c r="D4496" s="87" t="str">
        <x:v>Декабрь 2025</x:v>
      </x:c>
      <x:c r="E4496" s="87"/>
      <x:c r="F4496" s="87"/>
      <x:c r="G4496" s="87" t="str">
        <x:v>Математика</x:v>
      </x:c>
      <x:c r="H4496" s="87" t="n">
        <x:v>11</x:v>
      </x:c>
      <x:c r="I4496" s="87" t="str">
        <x:v>ТР №2</x:v>
      </x:c>
      <x:c r="J4496" s="87" t="str">
        <x:v>МА2510203</x:v>
      </x:c>
      <x:c r="K4496" s="87" t="n">
        <x:v>18</x:v>
      </x:c>
      <x:c r="L4496" s="87" t="str">
        <x:v>Логарифмические неравенства</x:v>
      </x:c>
      <x:c r="M4496" s="30" t="str">
        <x:v>Каждому из четырёх неравенств в левом столбце соответствует его решение в правом столбце. Установите соответствие между неравенствами и их решениями. НЕРАВЕНСТВА РЕШЕНИЯ А) 2 log 2 x &gt; 1) ( ) 4;+∞ 2) ( ) 0;4 Б) 2 log 2 x &lt; − 3) ( ) 1 ; 4 +∞ В) 2 log 2 x &gt; − Г) 2 log 2 x &lt; 4) ( ) 1 0; 4 Впишите в приведённую в ответе таблицу под каждой буквой соответствующий решению номер. А Б В Г Ответ:</x:v>
      </x:c>
      <x:c r="N4496" s="30" t="str">
        <x:v>1432</x:v>
      </x:c>
      <x:c r="O4496" s="30" t="str">
        <x:v>Каждое логарифмическое неравенство преобразовано с учётом области определения и основания логарифма.</x:v>
      </x:c>
      <x:c r="P4496" s="30" t="str">
        <x:v>Условие и полный визуал просмотрены; ответ пересчитан/логически проверен и совпал с LOCKED-ключом.</x:v>
      </x:c>
      <x:c r="Q4496" s="30"/>
      <x:c r="R4496" s="30" t="str">
        <x:v>1432</x:v>
      </x:c>
      <x:c r="S4496" s="30"/>
      <x:c r="T4496" s="30" t="str">
        <x:v>База.jpg (Запад)</x:v>
      </x:c>
      <x:c r="U4496" s="30" t="str">
        <x:v>Расхождений нет.</x:v>
      </x:c>
      <x:c r="V4496" s="87" t="str">
        <x:v>VERIFIED</x:v>
      </x:c>
      <x:c r="W4496" s="87"/>
      <x:c r="X4496" s="87" t="n">
        <x:v>21</x:v>
      </x:c>
      <x:c r="Y4496" s="87"/>
      <x:c r="Z4496" s="87"/>
      <x:c r="AA4496" s="87"/>
      <x:c r="AB4496" s="87" t="str">
        <x:v>таблица, строка 3</x:v>
      </x:c>
      <x:c r="AC4496" s="87" t="str">
        <x:v>VIS-MATH-DEC-BW-TASK-P021</x:v>
      </x:c>
      <x:c r="AD4496" s="87" t="str">
        <x:v>VIS-MATH-DEC-KEY-BW</x:v>
      </x:c>
      <x:c r="AE4496" s="87" t="str">
        <x:v>TASK; KEY</x:v>
      </x:c>
      <x:c r="AF4496" s="87" t="str">
        <x:v>VIS-MATH-DEC-BW-TASK-P021: 21; VIS-MATH-DEC-KEY-BW: 1</x:v>
      </x:c>
      <x:c r="AG4496" s="87" t="str">
        <x:v>RESOLVED</x:v>
      </x:c>
      <x:c r="AH4496" s="87" t="str">
        <x:v>CROP_VERIFIED</x:v>
      </x:c>
      <x:c r="AI4496" s="30" t="str">
        <x:v>{"Уровень": "Базовый"}</x:v>
      </x:c>
      <x:c r="AJ4496" s="87" t="str">
        <x:v>clean</x:v>
      </x:c>
      <x:c r="AK4496" s="87" t="str">
        <x:v>clean-v0.07</x:v>
      </x:c>
      <x:c r="AL4496" s="87" t="str">
        <x:v>statgrad_clean_continuation_v0_07(1).xlsx</x:v>
      </x:c>
      <x:c r="AM4496" s="87" t="str">
        <x:v>MATH_Dec_0203</x:v>
      </x:c>
      <x:c r="AN4496" s="87" t="n">
        <x:v>19</x:v>
      </x:c>
    </x:row>
    <x:row r="4497">
      <x:c r="A4497" s="87" t="n">
        <x:v>4496</x:v>
      </x:c>
      <x:c r="B4497" s="87" t="str">
        <x:v>DEC-MATH-03-019</x:v>
      </x:c>
      <x:c r="C4497" s="87" t="str">
        <x:v>СтатГрад</x:v>
      </x:c>
      <x:c r="D4497" s="87" t="str">
        <x:v>Декабрь 2025</x:v>
      </x:c>
      <x:c r="E4497" s="87"/>
      <x:c r="F4497" s="87"/>
      <x:c r="G4497" s="87" t="str">
        <x:v>Математика</x:v>
      </x:c>
      <x:c r="H4497" s="87" t="n">
        <x:v>11</x:v>
      </x:c>
      <x:c r="I4497" s="87" t="str">
        <x:v>ТР №2</x:v>
      </x:c>
      <x:c r="J4497" s="87" t="str">
        <x:v>МА2510203</x:v>
      </x:c>
      <x:c r="K4497" s="87" t="n">
        <x:v>19</x:v>
      </x:c>
      <x:c r="L4497" s="87" t="str">
        <x:v>Делимость и конструкция числа</x:v>
      </x:c>
      <x:c r="M4497" s="30" t="str">
        <x:v>Найдите шестизначное натуральное число, которое записывается только цифрами 1 и 5 и делится на 45. В ответе укажите какое-нибудь одно такое число.</x:v>
      </x:c>
      <x:c r="N4497" s="30" t="str">
        <x:v>111555</x:v>
      </x:c>
      <x:c r="O4497" s="30" t="str">
        <x:v>Предъявлен допустимый пример; отдельно проверены цифры и признак делимости.</x:v>
      </x:c>
      <x:c r="P4497" s="30" t="str">
        <x:v>Условие и полный визуал просмотрены; ответ пересчитан/логически проверен и совпал с LOCKED-ключом.</x:v>
      </x:c>
      <x:c r="Q4497" s="30"/>
      <x:c r="R4497" s="30" t="str">
        <x:v>111555</x:v>
      </x:c>
      <x:c r="S4497" s="30"/>
      <x:c r="T4497" s="30" t="str">
        <x:v>База.jpg (Запад)</x:v>
      </x:c>
      <x:c r="U4497" s="30" t="str">
        <x:v>Расхождений нет.</x:v>
      </x:c>
      <x:c r="V4497" s="87" t="str">
        <x:v>VERIFIED</x:v>
      </x:c>
      <x:c r="W4497" s="87"/>
      <x:c r="X4497" s="87" t="n">
        <x:v>21</x:v>
      </x:c>
      <x:c r="Y4497" s="87"/>
      <x:c r="Z4497" s="87"/>
      <x:c r="AA4497" s="87"/>
      <x:c r="AB4497" s="87" t="str">
        <x:v>таблица, строка 3</x:v>
      </x:c>
      <x:c r="AC4497" s="87" t="str">
        <x:v>VIS-MATH-DEC-BW-TASK-P021</x:v>
      </x:c>
      <x:c r="AD4497" s="87" t="str">
        <x:v>VIS-MATH-DEC-KEY-BW</x:v>
      </x:c>
      <x:c r="AE4497" s="87" t="str">
        <x:v>TASK; KEY</x:v>
      </x:c>
      <x:c r="AF4497" s="87" t="str">
        <x:v>VIS-MATH-DEC-BW-TASK-P021: 21; VIS-MATH-DEC-KEY-BW: 1</x:v>
      </x:c>
      <x:c r="AG4497" s="87" t="str">
        <x:v>RESOLVED</x:v>
      </x:c>
      <x:c r="AH4497" s="87" t="str">
        <x:v>CROP_VERIFIED</x:v>
      </x:c>
      <x:c r="AI4497" s="30" t="str">
        <x:v>{"Уровень": "Базовый"}</x:v>
      </x:c>
      <x:c r="AJ4497" s="87" t="str">
        <x:v>clean</x:v>
      </x:c>
      <x:c r="AK4497" s="87" t="str">
        <x:v>clean-v0.07</x:v>
      </x:c>
      <x:c r="AL4497" s="87" t="str">
        <x:v>statgrad_clean_continuation_v0_07(1).xlsx</x:v>
      </x:c>
      <x:c r="AM4497" s="87" t="str">
        <x:v>MATH_Dec_0203</x:v>
      </x:c>
      <x:c r="AN4497" s="87" t="n">
        <x:v>20</x:v>
      </x:c>
    </x:row>
    <x:row r="4498">
      <x:c r="A4498" s="87" t="n">
        <x:v>4497</x:v>
      </x:c>
      <x:c r="B4498" s="87" t="str">
        <x:v>DEC-MATH-03-020</x:v>
      </x:c>
      <x:c r="C4498" s="87" t="str">
        <x:v>СтатГрад</x:v>
      </x:c>
      <x:c r="D4498" s="87" t="str">
        <x:v>Декабрь 2025</x:v>
      </x:c>
      <x:c r="E4498" s="87"/>
      <x:c r="F4498" s="87"/>
      <x:c r="G4498" s="87" t="str">
        <x:v>Математика</x:v>
      </x:c>
      <x:c r="H4498" s="87" t="n">
        <x:v>11</x:v>
      </x:c>
      <x:c r="I4498" s="87" t="str">
        <x:v>ТР №2</x:v>
      </x:c>
      <x:c r="J4498" s="87" t="str">
        <x:v>МА2510203</x:v>
      </x:c>
      <x:c r="K4498" s="87" t="n">
        <x:v>20</x:v>
      </x:c>
      <x:c r="L4498" s="87" t="str">
        <x:v>Средняя скорость</x:v>
      </x:c>
      <x:c r="M4498" s="30" t="str">
        <x:v>Первый час автомобиль ехал со скоростью 120 км/ч, следующие три часа — со скоростью 100 км/ч, а затем один час — со скоростью 40 км/ч. Найдите среднюю скорость автомобиля на протяжении всего пути. Ответ дайте в км/ч.</x:v>
      </x:c>
      <x:c r="N4498" s="30" t="str">
        <x:v>92</x:v>
      </x:c>
      <x:c r="O4498" s="30" t="str">
        <x:v>Средняя скорость вычислена как суммарный путь, делённый на суммарное время.</x:v>
      </x:c>
      <x:c r="P4498" s="30" t="str">
        <x:v>Условие и полный визуал просмотрены; ответ пересчитан/логически проверен и совпал с LOCKED-ключом.</x:v>
      </x:c>
      <x:c r="Q4498" s="30"/>
      <x:c r="R4498" s="30" t="str">
        <x:v>92</x:v>
      </x:c>
      <x:c r="S4498" s="30"/>
      <x:c r="T4498" s="30" t="str">
        <x:v>База.jpg (Запад)</x:v>
      </x:c>
      <x:c r="U4498" s="30" t="str">
        <x:v>Расхождений нет.</x:v>
      </x:c>
      <x:c r="V4498" s="87" t="str">
        <x:v>VERIFIED</x:v>
      </x:c>
      <x:c r="W4498" s="87"/>
      <x:c r="X4498" s="87" t="n">
        <x:v>21</x:v>
      </x:c>
      <x:c r="Y4498" s="87"/>
      <x:c r="Z4498" s="87"/>
      <x:c r="AA4498" s="87"/>
      <x:c r="AB4498" s="87" t="str">
        <x:v>таблица, строка 3</x:v>
      </x:c>
      <x:c r="AC4498" s="87" t="str">
        <x:v>VIS-MATH-DEC-BW-TASK-P021</x:v>
      </x:c>
      <x:c r="AD4498" s="87" t="str">
        <x:v>VIS-MATH-DEC-KEY-BW</x:v>
      </x:c>
      <x:c r="AE4498" s="87" t="str">
        <x:v>TASK; KEY</x:v>
      </x:c>
      <x:c r="AF4498" s="87" t="str">
        <x:v>VIS-MATH-DEC-BW-TASK-P021: 21; VIS-MATH-DEC-KEY-BW: 1</x:v>
      </x:c>
      <x:c r="AG4498" s="87" t="str">
        <x:v>RESOLVED</x:v>
      </x:c>
      <x:c r="AH4498" s="87" t="str">
        <x:v>CROP_VERIFIED</x:v>
      </x:c>
      <x:c r="AI4498" s="30" t="str">
        <x:v>{"Уровень": "Базовый"}</x:v>
      </x:c>
      <x:c r="AJ4498" s="87" t="str">
        <x:v>clean</x:v>
      </x:c>
      <x:c r="AK4498" s="87" t="str">
        <x:v>clean-v0.07</x:v>
      </x:c>
      <x:c r="AL4498" s="87" t="str">
        <x:v>statgrad_clean_continuation_v0_07(1).xlsx</x:v>
      </x:c>
      <x:c r="AM4498" s="87" t="str">
        <x:v>MATH_Dec_0203</x:v>
      </x:c>
      <x:c r="AN4498" s="87" t="n">
        <x:v>21</x:v>
      </x:c>
    </x:row>
    <x:row r="4499">
      <x:c r="A4499" s="87" t="n">
        <x:v>4498</x:v>
      </x:c>
      <x:c r="B4499" s="87" t="str">
        <x:v>DEC-MATH-03-021</x:v>
      </x:c>
      <x:c r="C4499" s="87" t="str">
        <x:v>СтатГрад</x:v>
      </x:c>
      <x:c r="D4499" s="87" t="str">
        <x:v>Декабрь 2025</x:v>
      </x:c>
      <x:c r="E4499" s="87"/>
      <x:c r="F4499" s="87"/>
      <x:c r="G4499" s="87" t="str">
        <x:v>Математика</x:v>
      </x:c>
      <x:c r="H4499" s="87" t="n">
        <x:v>11</x:v>
      </x:c>
      <x:c r="I4499" s="87" t="str">
        <x:v>ТР №2</x:v>
      </x:c>
      <x:c r="J4499" s="87" t="str">
        <x:v>МА2510203</x:v>
      </x:c>
      <x:c r="K4499" s="87" t="n">
        <x:v>21</x:v>
      </x:c>
      <x:c r="L4499" s="87" t="str">
        <x:v>Комбинаторная модель игры</x:v>
      </x:c>
      <x:c r="M4499" s="30" t="str">
        <x:v>Миша, Коля и Лёша играют в настольный теннис: игрок, проигравший партию, уступает место игроку, не участвовавшему в ней. В итоге оказалось, что Миша сыграл 11 партий, а Коля — 23. Сколько партий сыграл Лёша?</x:v>
      </x:c>
      <x:c r="N4499" s="30" t="str">
        <x:v>12</x:v>
      </x:c>
      <x:c r="O4499" s="30" t="str">
        <x:v>Учтено, что в каждой партии участвуют двое, а проигравший заменяется третьим игроком; получено согласованное число партий.</x:v>
      </x:c>
      <x:c r="P4499" s="30" t="str">
        <x:v>Условие и полный визуал просмотрены; ответ пересчитан/логически проверен и совпал с LOCKED-ключом.</x:v>
      </x:c>
      <x:c r="Q4499" s="30"/>
      <x:c r="R4499" s="30" t="str">
        <x:v>12</x:v>
      </x:c>
      <x:c r="S4499" s="30"/>
      <x:c r="T4499" s="30" t="str">
        <x:v>База.jpg (Запад)</x:v>
      </x:c>
      <x:c r="U4499" s="30" t="str">
        <x:v>Расхождений нет.</x:v>
      </x:c>
      <x:c r="V4499" s="87" t="str">
        <x:v>VERIFIED</x:v>
      </x:c>
      <x:c r="W4499" s="87"/>
      <x:c r="X4499" s="87" t="n">
        <x:v>21</x:v>
      </x:c>
      <x:c r="Y4499" s="87"/>
      <x:c r="Z4499" s="87"/>
      <x:c r="AA4499" s="87"/>
      <x:c r="AB4499" s="87" t="str">
        <x:v>таблица, строка 3</x:v>
      </x:c>
      <x:c r="AC4499" s="87" t="str">
        <x:v>VIS-MATH-DEC-BW-TASK-P021</x:v>
      </x:c>
      <x:c r="AD4499" s="87" t="str">
        <x:v>VIS-MATH-DEC-KEY-BW</x:v>
      </x:c>
      <x:c r="AE4499" s="87" t="str">
        <x:v>TASK; KEY</x:v>
      </x:c>
      <x:c r="AF4499" s="87" t="str">
        <x:v>VIS-MATH-DEC-BW-TASK-P021: 21; VIS-MATH-DEC-KEY-BW: 1</x:v>
      </x:c>
      <x:c r="AG4499" s="87" t="str">
        <x:v>RESOLVED</x:v>
      </x:c>
      <x:c r="AH4499" s="87" t="str">
        <x:v>CROP_VERIFIED</x:v>
      </x:c>
      <x:c r="AI4499" s="30" t="str">
        <x:v>{"Уровень": "Базовый"}</x:v>
      </x:c>
      <x:c r="AJ4499" s="87" t="str">
        <x:v>clean</x:v>
      </x:c>
      <x:c r="AK4499" s="87" t="str">
        <x:v>clean-v0.07</x:v>
      </x:c>
      <x:c r="AL4499" s="87" t="str">
        <x:v>statgrad_clean_continuation_v0_07(1).xlsx</x:v>
      </x:c>
      <x:c r="AM4499" s="87" t="str">
        <x:v>MATH_Dec_0203</x:v>
      </x:c>
      <x:c r="AN4499" s="87" t="n">
        <x:v>22</x:v>
      </x:c>
    </x:row>
    <x:row r="4500">
      <x:c r="A4500" s="87" t="n">
        <x:v>4499</x:v>
      </x:c>
      <x:c r="B4500" s="87" t="str">
        <x:v>DEC-MATH-04-001</x:v>
      </x:c>
      <x:c r="C4500" s="87" t="str">
        <x:v>СтатГрад</x:v>
      </x:c>
      <x:c r="D4500" s="87" t="str">
        <x:v>Декабрь 2025</x:v>
      </x:c>
      <x:c r="E4500" s="87"/>
      <x:c r="F4500" s="87"/>
      <x:c r="G4500" s="87" t="str">
        <x:v>Математика</x:v>
      </x:c>
      <x:c r="H4500" s="87" t="n">
        <x:v>11</x:v>
      </x:c>
      <x:c r="I4500" s="87" t="str">
        <x:v>ТР №2</x:v>
      </x:c>
      <x:c r="J4500" s="87" t="str">
        <x:v>МА2510204</x:v>
      </x:c>
      <x:c r="K4500" s="87" t="n">
        <x:v>1</x:v>
      </x:c>
      <x:c r="L4500" s="87" t="str">
        <x:v>Практическая арифметика</x:v>
      </x:c>
      <x:c r="M4500" s="30" t="str">
        <x:v>Сырок стоит 81 рубль. Какое наибольшее число сырков можно купить на 650 рублей?</x:v>
      </x:c>
      <x:c r="N4500" s="30" t="str">
        <x:v>8</x:v>
      </x:c>
      <x:c r="O4500" s="30" t="str">
        <x:v>Выполнено деление/сравнение стоимости; взята целая часть либо разность затрат.</x:v>
      </x:c>
      <x:c r="P4500" s="30" t="str">
        <x:v>Условие и полный визуал просмотрены; ответ пересчитан/логически проверен и совпал с LOCKED-ключом.</x:v>
      </x:c>
      <x:c r="Q4500" s="30"/>
      <x:c r="R4500" s="30" t="str">
        <x:v>8</x:v>
      </x:c>
      <x:c r="S4500" s="30"/>
      <x:c r="T4500" s="30" t="str">
        <x:v>База.jpg (Запад)</x:v>
      </x:c>
      <x:c r="U4500" s="30" t="str">
        <x:v>Расхождений нет.</x:v>
      </x:c>
      <x:c r="V4500" s="87" t="str">
        <x:v>VERIFIED</x:v>
      </x:c>
      <x:c r="W4500" s="87"/>
      <x:c r="X4500" s="87" t="n">
        <x:v>23</x:v>
      </x:c>
      <x:c r="Y4500" s="87"/>
      <x:c r="Z4500" s="87"/>
      <x:c r="AA4500" s="87"/>
      <x:c r="AB4500" s="87" t="str">
        <x:v>таблица, строка 4</x:v>
      </x:c>
      <x:c r="AC4500" s="87" t="str">
        <x:v>VIS-MATH-DEC-BW-TASK-P023</x:v>
      </x:c>
      <x:c r="AD4500" s="87" t="str">
        <x:v>VIS-MATH-DEC-KEY-BW</x:v>
      </x:c>
      <x:c r="AE4500" s="87" t="str">
        <x:v>TASK; KEY</x:v>
      </x:c>
      <x:c r="AF4500" s="87" t="str">
        <x:v>VIS-MATH-DEC-BW-TASK-P023: 23; VIS-MATH-DEC-KEY-BW: 1</x:v>
      </x:c>
      <x:c r="AG4500" s="87" t="str">
        <x:v>RESOLVED</x:v>
      </x:c>
      <x:c r="AH4500" s="87" t="str">
        <x:v>CROP_VERIFIED</x:v>
      </x:c>
      <x:c r="AI4500" s="30" t="str">
        <x:v>{"Уровень": "Базовый"}</x:v>
      </x:c>
      <x:c r="AJ4500" s="87" t="str">
        <x:v>clean</x:v>
      </x:c>
      <x:c r="AK4500" s="87" t="str">
        <x:v>clean-v0.07</x:v>
      </x:c>
      <x:c r="AL4500" s="87" t="str">
        <x:v>statgrad_clean_continuation_v0_07(1).xlsx</x:v>
      </x:c>
      <x:c r="AM4500" s="87" t="str">
        <x:v>MATH_Dec_0204</x:v>
      </x:c>
      <x:c r="AN4500" s="87" t="n">
        <x:v>2</x:v>
      </x:c>
    </x:row>
    <x:row r="4501">
      <x:c r="A4501" s="87" t="n">
        <x:v>4500</x:v>
      </x:c>
      <x:c r="B4501" s="87" t="str">
        <x:v>DEC-MATH-04-002</x:v>
      </x:c>
      <x:c r="C4501" s="87" t="str">
        <x:v>СтатГрад</x:v>
      </x:c>
      <x:c r="D4501" s="87" t="str">
        <x:v>Декабрь 2025</x:v>
      </x:c>
      <x:c r="E4501" s="87"/>
      <x:c r="F4501" s="87"/>
      <x:c r="G4501" s="87" t="str">
        <x:v>Математика</x:v>
      </x:c>
      <x:c r="H4501" s="87" t="n">
        <x:v>11</x:v>
      </x:c>
      <x:c r="I4501" s="87" t="str">
        <x:v>ТР №2</x:v>
      </x:c>
      <x:c r="J4501" s="87" t="str">
        <x:v>МА2510204</x:v>
      </x:c>
      <x:c r="K4501" s="87" t="n">
        <x:v>2</x:v>
      </x:c>
      <x:c r="L4501" s="87" t="str">
        <x:v>Установление соответствия</x:v>
      </x:c>
      <x:c r="M4501"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высота вагона Б) рост восьмилетнего ребёнка В) высота Троицкой башни Кремля Г) длина реки Москвы 1) 134 см 2) 80,1 м 3) 370 см 4) 473 км В таблице под каждой буквой, соответствующей величине, укажите номер её возможного значения. А Б В Г Ответ:</x:v>
      </x:c>
      <x:c r="N4501" s="30" t="str">
        <x:v>3124</x:v>
      </x:c>
      <x:c r="O4501" s="30" t="str">
        <x:v>Величины сопоставлены по реалистичному порядку и единицам измерения.</x:v>
      </x:c>
      <x:c r="P4501" s="30" t="str">
        <x:v>Условие и полный визуал просмотрены; ответ пересчитан/логически проверен и совпал с LOCKED-ключом.</x:v>
      </x:c>
      <x:c r="Q4501" s="30"/>
      <x:c r="R4501" s="30" t="str">
        <x:v>3124</x:v>
      </x:c>
      <x:c r="S4501" s="30"/>
      <x:c r="T4501" s="30" t="str">
        <x:v>База.jpg (Запад)</x:v>
      </x:c>
      <x:c r="U4501" s="30" t="str">
        <x:v>Расхождений нет.</x:v>
      </x:c>
      <x:c r="V4501" s="87" t="str">
        <x:v>VERIFIED</x:v>
      </x:c>
      <x:c r="W4501" s="87"/>
      <x:c r="X4501" s="87" t="n">
        <x:v>23</x:v>
      </x:c>
      <x:c r="Y4501" s="87"/>
      <x:c r="Z4501" s="87"/>
      <x:c r="AA4501" s="87"/>
      <x:c r="AB4501" s="87" t="str">
        <x:v>таблица, строка 4</x:v>
      </x:c>
      <x:c r="AC4501" s="87" t="str">
        <x:v>VIS-MATH-DEC-BW-TASK-P023</x:v>
      </x:c>
      <x:c r="AD4501" s="87" t="str">
        <x:v>VIS-MATH-DEC-KEY-BW</x:v>
      </x:c>
      <x:c r="AE4501" s="87" t="str">
        <x:v>TASK; KEY</x:v>
      </x:c>
      <x:c r="AF4501" s="87" t="str">
        <x:v>VIS-MATH-DEC-BW-TASK-P023: 23; VIS-MATH-DEC-KEY-BW: 1</x:v>
      </x:c>
      <x:c r="AG4501" s="87" t="str">
        <x:v>RESOLVED</x:v>
      </x:c>
      <x:c r="AH4501" s="87" t="str">
        <x:v>CROP_VERIFIED</x:v>
      </x:c>
      <x:c r="AI4501" s="30" t="str">
        <x:v>{"Уровень": "Базовый"}</x:v>
      </x:c>
      <x:c r="AJ4501" s="87" t="str">
        <x:v>clean</x:v>
      </x:c>
      <x:c r="AK4501" s="87" t="str">
        <x:v>clean-v0.07</x:v>
      </x:c>
      <x:c r="AL4501" s="87" t="str">
        <x:v>statgrad_clean_continuation_v0_07(1).xlsx</x:v>
      </x:c>
      <x:c r="AM4501" s="87" t="str">
        <x:v>MATH_Dec_0204</x:v>
      </x:c>
      <x:c r="AN4501" s="87" t="n">
        <x:v>3</x:v>
      </x:c>
    </x:row>
    <x:row r="4502">
      <x:c r="A4502" s="87" t="n">
        <x:v>4501</x:v>
      </x:c>
      <x:c r="B4502" s="87" t="str">
        <x:v>DEC-MATH-04-003</x:v>
      </x:c>
      <x:c r="C4502" s="87" t="str">
        <x:v>СтатГрад</x:v>
      </x:c>
      <x:c r="D4502" s="87" t="str">
        <x:v>Декабрь 2025</x:v>
      </x:c>
      <x:c r="E4502" s="87"/>
      <x:c r="F4502" s="87"/>
      <x:c r="G4502" s="87" t="str">
        <x:v>Математика</x:v>
      </x:c>
      <x:c r="H4502" s="87" t="n">
        <x:v>11</x:v>
      </x:c>
      <x:c r="I4502" s="87" t="str">
        <x:v>ТР №2</x:v>
      </x:c>
      <x:c r="J4502" s="87" t="str">
        <x:v>МА2510204</x:v>
      </x:c>
      <x:c r="K4502" s="87" t="n">
        <x:v>3</x:v>
      </x:c>
      <x:c r="L4502" s="87" t="str">
        <x:v>Анализ таблицы</x:v>
      </x:c>
      <x:c r="M4502" s="30" t="str">
        <x:v>Результаты игры КВН представлены в таблице. Баллы за конкурс «Приветствие» Баллы за конкурс Баллы за музыкальный Команда конкурс «АТОМ» 30 21 26 «Шумы» 27 24 24 «Топчан» 28 23 25 «Лёлек и Болек» 30 22 27 Для каждой команды баллы по всем конкурсам суммируются. Победителем считается команда, набравшая в сумме наибольшее количество баллов. Какое место заняла команда «АТОМ»? «СТЭМ»</x:v>
      </x:c>
      <x:c r="N4502" s="30" t="str">
        <x:v>2</x:v>
      </x:c>
      <x:c r="O4502" s="30" t="str">
        <x:v>Баллы в строках сложены, после чего определено место указанной команды.</x:v>
      </x:c>
      <x:c r="P4502" s="30" t="str">
        <x:v>Условие и полный визуал просмотрены; ответ пересчитан/логически проверен и совпал с LOCKED-ключом.</x:v>
      </x:c>
      <x:c r="Q4502" s="30"/>
      <x:c r="R4502" s="30" t="str">
        <x:v>2</x:v>
      </x:c>
      <x:c r="S4502" s="30"/>
      <x:c r="T4502" s="30" t="str">
        <x:v>База.jpg (Запад)</x:v>
      </x:c>
      <x:c r="U4502" s="30" t="str">
        <x:v>Расхождений нет.</x:v>
      </x:c>
      <x:c r="V4502" s="87" t="str">
        <x:v>VERIFIED</x:v>
      </x:c>
      <x:c r="W4502" s="87"/>
      <x:c r="X4502" s="87" t="n">
        <x:v>23</x:v>
      </x:c>
      <x:c r="Y4502" s="87"/>
      <x:c r="Z4502" s="87"/>
      <x:c r="AA4502" s="87"/>
      <x:c r="AB4502" s="87" t="str">
        <x:v>таблица, строка 4</x:v>
      </x:c>
      <x:c r="AC4502" s="87" t="str">
        <x:v>VIS-MATH-DEC-BW-TASK-P023</x:v>
      </x:c>
      <x:c r="AD4502" s="87" t="str">
        <x:v>VIS-MATH-DEC-KEY-BW</x:v>
      </x:c>
      <x:c r="AE4502" s="87" t="str">
        <x:v>TASK; KEY</x:v>
      </x:c>
      <x:c r="AF4502" s="87" t="str">
        <x:v>VIS-MATH-DEC-BW-TASK-P023: 23; VIS-MATH-DEC-KEY-BW: 1</x:v>
      </x:c>
      <x:c r="AG4502" s="87" t="str">
        <x:v>RESOLVED</x:v>
      </x:c>
      <x:c r="AH4502" s="87" t="str">
        <x:v>CROP_VERIFIED</x:v>
      </x:c>
      <x:c r="AI4502" s="30" t="str">
        <x:v>{"Уровень": "Базовый"}</x:v>
      </x:c>
      <x:c r="AJ4502" s="87" t="str">
        <x:v>clean</x:v>
      </x:c>
      <x:c r="AK4502" s="87" t="str">
        <x:v>clean-v0.07</x:v>
      </x:c>
      <x:c r="AL4502" s="87" t="str">
        <x:v>statgrad_clean_continuation_v0_07(1).xlsx</x:v>
      </x:c>
      <x:c r="AM4502" s="87" t="str">
        <x:v>MATH_Dec_0204</x:v>
      </x:c>
      <x:c r="AN4502" s="87" t="n">
        <x:v>4</x:v>
      </x:c>
    </x:row>
    <x:row r="4503">
      <x:c r="A4503" s="87" t="n">
        <x:v>4502</x:v>
      </x:c>
      <x:c r="B4503" s="87" t="str">
        <x:v>DEC-MATH-04-004</x:v>
      </x:c>
      <x:c r="C4503" s="87" t="str">
        <x:v>СтатГрад</x:v>
      </x:c>
      <x:c r="D4503" s="87" t="str">
        <x:v>Декабрь 2025</x:v>
      </x:c>
      <x:c r="E4503" s="87"/>
      <x:c r="F4503" s="87"/>
      <x:c r="G4503" s="87" t="str">
        <x:v>Математика</x:v>
      </x:c>
      <x:c r="H4503" s="87" t="n">
        <x:v>11</x:v>
      </x:c>
      <x:c r="I4503" s="87" t="str">
        <x:v>ТР №2</x:v>
      </x:c>
      <x:c r="J4503" s="87" t="str">
        <x:v>МА2510204</x:v>
      </x:c>
      <x:c r="K4503" s="87" t="n">
        <x:v>4</x:v>
      </x:c>
      <x:c r="L4503" s="87" t="str">
        <x:v>Применение формулы</x:v>
      </x:c>
      <x:c r="M4503" s="30" t="str">
        <x:v>Площадь треугольника вычисляется по формуле 1 sinα 2 S bc = , где b и c — две стороны треугольника, а α — угол между ними. Пользуясь этой формулой, найдите площадь S , если 13 b = , 12 c = и 1 sinα 3 = .</x:v>
      </x:c>
      <x:c r="N4503" s="30" t="str">
        <x:v>26</x:v>
      </x:c>
      <x:c r="O4503" s="30" t="str">
        <x:v>Данные подставлены в указанную формулу, неизвестная величина выражена алгебраически.</x:v>
      </x:c>
      <x:c r="P4503" s="30" t="str">
        <x:v>Условие и полный визуал просмотрены; ответ пересчитан/логически проверен и совпал с LOCKED-ключом.</x:v>
      </x:c>
      <x:c r="Q4503" s="30"/>
      <x:c r="R4503" s="30" t="str">
        <x:v>26</x:v>
      </x:c>
      <x:c r="S4503" s="30"/>
      <x:c r="T4503" s="30" t="str">
        <x:v>База.jpg (Запад)</x:v>
      </x:c>
      <x:c r="U4503" s="30" t="str">
        <x:v>Расхождений нет.</x:v>
      </x:c>
      <x:c r="V4503" s="87" t="str">
        <x:v>VERIFIED</x:v>
      </x:c>
      <x:c r="W4503" s="87"/>
      <x:c r="X4503" s="87" t="n">
        <x:v>24</x:v>
      </x:c>
      <x:c r="Y4503" s="87"/>
      <x:c r="Z4503" s="87"/>
      <x:c r="AA4503" s="87"/>
      <x:c r="AB4503" s="87" t="str">
        <x:v>таблица, строка 4</x:v>
      </x:c>
      <x:c r="AC4503" s="87" t="str">
        <x:v>VIS-MATH-DEC-BW-TASK-P024</x:v>
      </x:c>
      <x:c r="AD4503" s="87" t="str">
        <x:v>VIS-MATH-DEC-KEY-BW</x:v>
      </x:c>
      <x:c r="AE4503" s="87" t="str">
        <x:v>TASK; KEY</x:v>
      </x:c>
      <x:c r="AF4503" s="87" t="str">
        <x:v>VIS-MATH-DEC-BW-TASK-P024: 24; VIS-MATH-DEC-KEY-BW: 1</x:v>
      </x:c>
      <x:c r="AG4503" s="87" t="str">
        <x:v>RESOLVED</x:v>
      </x:c>
      <x:c r="AH4503" s="87" t="str">
        <x:v>CROP_VERIFIED</x:v>
      </x:c>
      <x:c r="AI4503" s="30" t="str">
        <x:v>{"Уровень": "Базовый"}</x:v>
      </x:c>
      <x:c r="AJ4503" s="87" t="str">
        <x:v>clean</x:v>
      </x:c>
      <x:c r="AK4503" s="87" t="str">
        <x:v>clean-v0.07</x:v>
      </x:c>
      <x:c r="AL4503" s="87" t="str">
        <x:v>statgrad_clean_continuation_v0_07(1).xlsx</x:v>
      </x:c>
      <x:c r="AM4503" s="87" t="str">
        <x:v>MATH_Dec_0204</x:v>
      </x:c>
      <x:c r="AN4503" s="87" t="n">
        <x:v>5</x:v>
      </x:c>
    </x:row>
    <x:row r="4504">
      <x:c r="A4504" s="87" t="n">
        <x:v>4503</x:v>
      </x:c>
      <x:c r="B4504" s="87" t="str">
        <x:v>DEC-MATH-04-005</x:v>
      </x:c>
      <x:c r="C4504" s="87" t="str">
        <x:v>СтатГрад</x:v>
      </x:c>
      <x:c r="D4504" s="87" t="str">
        <x:v>Декабрь 2025</x:v>
      </x:c>
      <x:c r="E4504" s="87"/>
      <x:c r="F4504" s="87"/>
      <x:c r="G4504" s="87" t="str">
        <x:v>Математика</x:v>
      </x:c>
      <x:c r="H4504" s="87" t="n">
        <x:v>11</x:v>
      </x:c>
      <x:c r="I4504" s="87" t="str">
        <x:v>ТР №2</x:v>
      </x:c>
      <x:c r="J4504" s="87" t="str">
        <x:v>МА2510204</x:v>
      </x:c>
      <x:c r="K4504" s="87" t="n">
        <x:v>5</x:v>
      </x:c>
      <x:c r="L4504" s="87" t="str">
        <x:v>Классическая вероятность</x:v>
      </x:c>
      <x:c r="M4504" s="30" t="str">
        <x:v>На чемпионате по прыжкам в воду выступают 20 спортсменов, среди них 5 прыгунов из России и 7 прыгунов из Китая. Порядок выступлений определяется жеребьёвкой. Найдите вероятность того, что вторым будет выступать прыгун из Китая.</x:v>
      </x:c>
      <x:c r="N4504" s="30" t="str">
        <x:v>0,35</x:v>
      </x:c>
      <x:c r="O4504" s="30" t="str">
        <x:v>Вероятность равна отношению числа благоприятных исходов к общему числу равновозможных исходов.</x:v>
      </x:c>
      <x:c r="P4504" s="30" t="str">
        <x:v>Условие и полный визуал просмотрены; ответ пересчитан/логически проверен и совпал с LOCKED-ключом.</x:v>
      </x:c>
      <x:c r="Q4504" s="30"/>
      <x:c r="R4504" s="30" t="str">
        <x:v>0,35</x:v>
      </x:c>
      <x:c r="S4504" s="30"/>
      <x:c r="T4504" s="30" t="str">
        <x:v>База.jpg (Запад)</x:v>
      </x:c>
      <x:c r="U4504" s="30" t="str">
        <x:v>Расхождений нет.</x:v>
      </x:c>
      <x:c r="V4504" s="87" t="str">
        <x:v>VERIFIED</x:v>
      </x:c>
      <x:c r="W4504" s="87"/>
      <x:c r="X4504" s="87" t="n">
        <x:v>24</x:v>
      </x:c>
      <x:c r="Y4504" s="87"/>
      <x:c r="Z4504" s="87"/>
      <x:c r="AA4504" s="87"/>
      <x:c r="AB4504" s="87" t="str">
        <x:v>таблица, строка 4</x:v>
      </x:c>
      <x:c r="AC4504" s="87" t="str">
        <x:v>VIS-MATH-DEC-BW-TASK-P024</x:v>
      </x:c>
      <x:c r="AD4504" s="87" t="str">
        <x:v>VIS-MATH-DEC-KEY-BW</x:v>
      </x:c>
      <x:c r="AE4504" s="87" t="str">
        <x:v>TASK; KEY</x:v>
      </x:c>
      <x:c r="AF4504" s="87" t="str">
        <x:v>VIS-MATH-DEC-BW-TASK-P024: 24; VIS-MATH-DEC-KEY-BW: 1</x:v>
      </x:c>
      <x:c r="AG4504" s="87" t="str">
        <x:v>RESOLVED</x:v>
      </x:c>
      <x:c r="AH4504" s="87" t="str">
        <x:v>CROP_VERIFIED</x:v>
      </x:c>
      <x:c r="AI4504" s="30" t="str">
        <x:v>{"Уровень": "Базовый"}</x:v>
      </x:c>
      <x:c r="AJ4504" s="87" t="str">
        <x:v>clean</x:v>
      </x:c>
      <x:c r="AK4504" s="87" t="str">
        <x:v>clean-v0.07</x:v>
      </x:c>
      <x:c r="AL4504" s="87" t="str">
        <x:v>statgrad_clean_continuation_v0_07(1).xlsx</x:v>
      </x:c>
      <x:c r="AM4504" s="87" t="str">
        <x:v>MATH_Dec_0204</x:v>
      </x:c>
      <x:c r="AN4504" s="87" t="n">
        <x:v>6</x:v>
      </x:c>
    </x:row>
    <x:row r="4505">
      <x:c r="A4505" s="87" t="n">
        <x:v>4504</x:v>
      </x:c>
      <x:c r="B4505" s="87" t="str">
        <x:v>DEC-MATH-04-006</x:v>
      </x:c>
      <x:c r="C4505" s="87" t="str">
        <x:v>СтатГрад</x:v>
      </x:c>
      <x:c r="D4505" s="87" t="str">
        <x:v>Декабрь 2025</x:v>
      </x:c>
      <x:c r="E4505" s="87"/>
      <x:c r="F4505" s="87"/>
      <x:c r="G4505" s="87" t="str">
        <x:v>Математика</x:v>
      </x:c>
      <x:c r="H4505" s="87" t="n">
        <x:v>11</x:v>
      </x:c>
      <x:c r="I4505" s="87" t="str">
        <x:v>ТР №2</x:v>
      </x:c>
      <x:c r="J4505" s="87" t="str">
        <x:v>МА2510204</x:v>
      </x:c>
      <x:c r="K4505" s="87" t="n">
        <x:v>6</x:v>
      </x:c>
      <x:c r="L4505" s="87" t="str">
        <x:v>Выбор по условиям</x:v>
      </x:c>
      <x:c r="M4505" s="30" t="str">
        <x:v>В таблице представлены сведения о пиццах в интернет-магазине. Номер пиццы Состав/название Тип Стоимость (руб.) 1 Ветчина Мясная 450 2 Говядина, оливки, помидоры Мясная 850 3 «4 сыра» Вегетарианская 900 4 «Болоньезе» Мясная 650 5 Шпинат, грибы, сыр, оливки Вегетарианская 700 6 Курица, грибы, помидоры Мясная 580 Виталию нужно купить три разные пиццы так, чтобы среди них была хотя бы одна с грибами, хотя бы одна вегетарианская и хотя бы одна мясная. Какие пиццы должен выбрать Виталий, если он рассчитывает потратить на всё не более 1750 рублей? В ответе укажите какой-нибудь один набор номеров пицц без пробелов, запятых и других дополнительных символов.</x:v>
      </x:c>
      <x:c r="N4505" s="30" t="str">
        <x:v>156</x:v>
      </x:c>
      <x:c r="O4505" s="30" t="str">
        <x:v>Набор проверен по всем ограничениям: типы, обязательный ингредиент и бюджет.</x:v>
      </x:c>
      <x:c r="P4505" s="30" t="str">
        <x:v>Условие и полный визуал просмотрены; ответ пересчитан/логически проверен и совпал с LOCKED-ключом.</x:v>
      </x:c>
      <x:c r="Q4505" s="30"/>
      <x:c r="R4505" s="30" t="str">
        <x:v>156</x:v>
      </x:c>
      <x:c r="S4505" s="30"/>
      <x:c r="T4505" s="30" t="str">
        <x:v>База.jpg (Запад)</x:v>
      </x:c>
      <x:c r="U4505" s="30" t="str">
        <x:v>Расхождений нет.</x:v>
      </x:c>
      <x:c r="V4505" s="87" t="str">
        <x:v>VERIFIED</x:v>
      </x:c>
      <x:c r="W4505" s="87"/>
      <x:c r="X4505" s="87" t="n">
        <x:v>24</x:v>
      </x:c>
      <x:c r="Y4505" s="87"/>
      <x:c r="Z4505" s="87"/>
      <x:c r="AA4505" s="87"/>
      <x:c r="AB4505" s="87" t="str">
        <x:v>таблица, строка 4</x:v>
      </x:c>
      <x:c r="AC4505" s="87" t="str">
        <x:v>VIS-MATH-DEC-BW-TASK-P024</x:v>
      </x:c>
      <x:c r="AD4505" s="87" t="str">
        <x:v>VIS-MATH-DEC-KEY-BW</x:v>
      </x:c>
      <x:c r="AE4505" s="87" t="str">
        <x:v>TASK; KEY</x:v>
      </x:c>
      <x:c r="AF4505" s="87" t="str">
        <x:v>VIS-MATH-DEC-BW-TASK-P024: 24; VIS-MATH-DEC-KEY-BW: 1</x:v>
      </x:c>
      <x:c r="AG4505" s="87" t="str">
        <x:v>RESOLVED</x:v>
      </x:c>
      <x:c r="AH4505" s="87" t="str">
        <x:v>CROP_VERIFIED; TASK_CROP_QA_APPROVED:USE_TIGHT</x:v>
      </x:c>
      <x:c r="AI4505" s="30" t="str">
        <x:v>{"Уровень": "Базовый"}</x:v>
      </x:c>
      <x:c r="AJ4505" s="87" t="str">
        <x:v>clean</x:v>
      </x:c>
      <x:c r="AK4505" s="87" t="str">
        <x:v>clean-v0.07</x:v>
      </x:c>
      <x:c r="AL4505" s="87" t="str">
        <x:v>statgrad_clean_continuation_v0_07(1).xlsx</x:v>
      </x:c>
      <x:c r="AM4505" s="87" t="str">
        <x:v>MATH_Dec_0204</x:v>
      </x:c>
      <x:c r="AN4505" s="87" t="n">
        <x:v>7</x:v>
      </x:c>
    </x:row>
    <x:row r="4506">
      <x:c r="A4506" s="87" t="n">
        <x:v>4505</x:v>
      </x:c>
      <x:c r="B4506" s="87" t="str">
        <x:v>DEC-MATH-04-007</x:v>
      </x:c>
      <x:c r="C4506" s="87" t="str">
        <x:v>СтатГрад</x:v>
      </x:c>
      <x:c r="D4506" s="87" t="str">
        <x:v>Декабрь 2025</x:v>
      </x:c>
      <x:c r="E4506" s="87"/>
      <x:c r="F4506" s="87"/>
      <x:c r="G4506" s="87" t="str">
        <x:v>Математика</x:v>
      </x:c>
      <x:c r="H4506" s="87" t="n">
        <x:v>11</x:v>
      </x:c>
      <x:c r="I4506" s="87" t="str">
        <x:v>ТР №2</x:v>
      </x:c>
      <x:c r="J4506" s="87" t="str">
        <x:v>МА2510204</x:v>
      </x:c>
      <x:c r="K4506" s="87" t="n">
        <x:v>7</x:v>
      </x:c>
      <x:c r="L4506" s="87" t="str">
        <x:v>Анализ графика</x:v>
      </x:c>
      <x:c r="M4506" s="30" t="str">
        <x:v>На рисунке изображён график функции ( ) y f x = . Числа a , b, c , d и e задают на оси Ox интервалы. у y = f (x) c b d 0 х e a Пользуясь графиком, поставьте в соответствие каждому интервалу характеристику функции. ИНТЕРВАЛЫ ХАРАКТЕРИСТИКИ А) ( ) ;a b 1) Значение функции отрицательно в каждой точке интервала. 2) Функция возрастает на интервале. 3) Функция убывает на интервале. 4) Значение функции положительно Б) ( ) ;b c В) ( ) ;c d Г) ( ) ; d e в каждой точке интервала. В таблице под каждой буквой укажите соответствующий номер. А Б В Г Ответ:</x:v>
      </x:c>
      <x:c r="N4506" s="30" t="str">
        <x:v>4312</x:v>
      </x:c>
      <x:c r="O4506" s="30" t="str">
        <x:v>По графику определены знак и монотонность функции на четырёх интервалах.</x:v>
      </x:c>
      <x:c r="P4506" s="30" t="str">
        <x:v>Условие и полный визуал просмотрены; ответ пересчитан/логически проверен и совпал с LOCKED-ключом.</x:v>
      </x:c>
      <x:c r="Q4506" s="30"/>
      <x:c r="R4506" s="30" t="str">
        <x:v>4312</x:v>
      </x:c>
      <x:c r="S4506" s="30"/>
      <x:c r="T4506" s="30" t="str">
        <x:v>База.jpg (Запад)</x:v>
      </x:c>
      <x:c r="U4506" s="30" t="str">
        <x:v>Расхождений нет.</x:v>
      </x:c>
      <x:c r="V4506" s="87" t="str">
        <x:v>VERIFIED</x:v>
      </x:c>
      <x:c r="W4506" s="87"/>
      <x:c r="X4506" s="87" t="n">
        <x:v>25</x:v>
      </x:c>
      <x:c r="Y4506" s="87"/>
      <x:c r="Z4506" s="87"/>
      <x:c r="AA4506" s="87"/>
      <x:c r="AB4506" s="87" t="str">
        <x:v>таблица, строка 4</x:v>
      </x:c>
      <x:c r="AC4506" s="87" t="str">
        <x:v>VIS-MATH-DEC-BW-TASK-P025</x:v>
      </x:c>
      <x:c r="AD4506" s="87" t="str">
        <x:v>VIS-MATH-DEC-KEY-BW</x:v>
      </x:c>
      <x:c r="AE4506" s="87" t="str">
        <x:v>TASK; KEY</x:v>
      </x:c>
      <x:c r="AF4506" s="87" t="str">
        <x:v>VIS-MATH-DEC-BW-TASK-P025: 25; VIS-MATH-DEC-KEY-BW: 1</x:v>
      </x:c>
      <x:c r="AG4506" s="87" t="str">
        <x:v>RESOLVED</x:v>
      </x:c>
      <x:c r="AH4506" s="87" t="str">
        <x:v>CROP_VERIFIED; TASK_CROP_QA_APPROVED:USE_TIGHT</x:v>
      </x:c>
      <x:c r="AI4506" s="30" t="str">
        <x:v>{"Уровень": "Базовый"}</x:v>
      </x:c>
      <x:c r="AJ4506" s="87" t="str">
        <x:v>clean</x:v>
      </x:c>
      <x:c r="AK4506" s="87" t="str">
        <x:v>clean-v0.07</x:v>
      </x:c>
      <x:c r="AL4506" s="87" t="str">
        <x:v>statgrad_clean_continuation_v0_07(1).xlsx</x:v>
      </x:c>
      <x:c r="AM4506" s="87" t="str">
        <x:v>MATH_Dec_0204</x:v>
      </x:c>
      <x:c r="AN4506" s="87" t="n">
        <x:v>8</x:v>
      </x:c>
    </x:row>
    <x:row r="4507">
      <x:c r="A4507" s="87" t="n">
        <x:v>4506</x:v>
      </x:c>
      <x:c r="B4507" s="87" t="str">
        <x:v>DEC-MATH-04-008</x:v>
      </x:c>
      <x:c r="C4507" s="87" t="str">
        <x:v>СтатГрад</x:v>
      </x:c>
      <x:c r="D4507" s="87" t="str">
        <x:v>Декабрь 2025</x:v>
      </x:c>
      <x:c r="E4507" s="87"/>
      <x:c r="F4507" s="87"/>
      <x:c r="G4507" s="87" t="str">
        <x:v>Математика</x:v>
      </x:c>
      <x:c r="H4507" s="87" t="n">
        <x:v>11</x:v>
      </x:c>
      <x:c r="I4507" s="87" t="str">
        <x:v>ТР №2</x:v>
      </x:c>
      <x:c r="J4507" s="87" t="str">
        <x:v>МА2510204</x:v>
      </x:c>
      <x:c r="K4507" s="87" t="n">
        <x:v>8</x:v>
      </x:c>
      <x:c r="L4507" s="87" t="str">
        <x:v>Логические утверждения</x:v>
      </x:c>
      <x:c r="M4507" s="30" t="str">
        <x:v>Детям, отдыхающим в лагере, можно купаться на речке или плавать в бассейне. Утром некоторые дети ходили купаться на речку. Днём некоторые дети пойдут плавать в бассейн, причём среди них не будет тех, кто утром ходил купаться на речку. Выберите утверждения, которые будут верны при указанных условиях независимо от того, какие дети пойдут плавать в бассейн. 1) Каждый ребёнок, который не ходил купаться на речку, пойдёт плавать в бассейн. 2) Найдётся ребёнок, который не ходил купаться на речку и не пойдёт плавать в бассейн. 3) Среди детей в этом лагере, которые не пойдут плавать в бассейн, есть хотя бы один, который ходил купаться на речку. 4) В лагере нет ни одного ребёнка, который ходил купаться на речку и пойдёт плавать в бассейн. В ответе запишите номера выбранных утверждений без пробелов, запятых и других дополнительных символов.</x:v>
      </x:c>
      <x:c r="N4507" s="30" t="str">
        <x:v>34</x:v>
      </x:c>
      <x:c r="O4507" s="30" t="str">
        <x:v>Использовано условие непересечения двух множеств; выбраны утверждения, истинные при любом составе второго множества.</x:v>
      </x:c>
      <x:c r="P4507" s="30" t="str">
        <x:v>Условие и полный визуал просмотрены; ответ пересчитан/логически проверен и совпал с LOCKED-ключом.</x:v>
      </x:c>
      <x:c r="Q4507" s="30"/>
      <x:c r="R4507" s="30" t="str">
        <x:v>34</x:v>
      </x:c>
      <x:c r="S4507" s="30"/>
      <x:c r="T4507" s="30" t="str">
        <x:v>База.jpg (Запад)</x:v>
      </x:c>
      <x:c r="U4507" s="30" t="str">
        <x:v>Расхождений нет.</x:v>
      </x:c>
      <x:c r="V4507" s="87" t="str">
        <x:v>VERIFIED</x:v>
      </x:c>
      <x:c r="W4507" s="87"/>
      <x:c r="X4507" s="87" t="n">
        <x:v>26</x:v>
      </x:c>
      <x:c r="Y4507" s="87"/>
      <x:c r="Z4507" s="87"/>
      <x:c r="AA4507" s="87"/>
      <x:c r="AB4507" s="87" t="str">
        <x:v>таблица, строка 4</x:v>
      </x:c>
      <x:c r="AC4507" s="87" t="str">
        <x:v>VIS-MATH-DEC-BW-TASK-P026</x:v>
      </x:c>
      <x:c r="AD4507" s="87" t="str">
        <x:v>VIS-MATH-DEC-KEY-BW</x:v>
      </x:c>
      <x:c r="AE4507" s="87" t="str">
        <x:v>TASK; KEY</x:v>
      </x:c>
      <x:c r="AF4507" s="87" t="str">
        <x:v>VIS-MATH-DEC-BW-TASK-P026: 26; VIS-MATH-DEC-KEY-BW: 1</x:v>
      </x:c>
      <x:c r="AG4507" s="87" t="str">
        <x:v>RESOLVED</x:v>
      </x:c>
      <x:c r="AH4507" s="87" t="str">
        <x:v>CROP_VERIFIED</x:v>
      </x:c>
      <x:c r="AI4507" s="30" t="str">
        <x:v>{"Уровень": "Базовый"}</x:v>
      </x:c>
      <x:c r="AJ4507" s="87" t="str">
        <x:v>clean</x:v>
      </x:c>
      <x:c r="AK4507" s="87" t="str">
        <x:v>clean-v0.07</x:v>
      </x:c>
      <x:c r="AL4507" s="87" t="str">
        <x:v>statgrad_clean_continuation_v0_07(1).xlsx</x:v>
      </x:c>
      <x:c r="AM4507" s="87" t="str">
        <x:v>MATH_Dec_0204</x:v>
      </x:c>
      <x:c r="AN4507" s="87" t="n">
        <x:v>9</x:v>
      </x:c>
    </x:row>
    <x:row r="4508">
      <x:c r="A4508" s="87" t="n">
        <x:v>4507</x:v>
      </x:c>
      <x:c r="B4508" s="87" t="str">
        <x:v>DEC-MATH-04-009</x:v>
      </x:c>
      <x:c r="C4508" s="87" t="str">
        <x:v>СтатГрад</x:v>
      </x:c>
      <x:c r="D4508" s="87" t="str">
        <x:v>Декабрь 2025</x:v>
      </x:c>
      <x:c r="E4508" s="87"/>
      <x:c r="F4508" s="87"/>
      <x:c r="G4508" s="87" t="str">
        <x:v>Математика</x:v>
      </x:c>
      <x:c r="H4508" s="87" t="n">
        <x:v>11</x:v>
      </x:c>
      <x:c r="I4508" s="87" t="str">
        <x:v>ТР №2</x:v>
      </x:c>
      <x:c r="J4508" s="87" t="str">
        <x:v>МА2510204</x:v>
      </x:c>
      <x:c r="K4508" s="87" t="n">
        <x:v>9</x:v>
      </x:c>
      <x:c r="L4508" s="87" t="str">
        <x:v>Площадь по клеткам</x:v>
      </x:c>
      <x:c r="M4508" s="30" t="str">
        <x:v>В ответе запишите номера выбранных утверждений без пробелов, запятых и других дополнительных символов. План местности разбит на клетки. Каждая клетка обозначает квадрат 1м 1м × . Найдите площадь участка, выделенного на плане. Ответ дайте в квадратных метрах.</x:v>
      </x:c>
      <x:c r="N4508" s="30" t="str">
        <x:v>36</x:v>
      </x:c>
      <x:c r="O4508" s="30" t="str">
        <x:v>Площадь получена подсчётом целых и составных клеток на полном изображении задания.</x:v>
      </x:c>
      <x:c r="P4508" s="30" t="str">
        <x:v>Условие и полный визуал просмотрены; ответ пересчитан/логически проверен и совпал с LOCKED-ключом.</x:v>
      </x:c>
      <x:c r="Q4508" s="30"/>
      <x:c r="R4508" s="30" t="str">
        <x:v>36</x:v>
      </x:c>
      <x:c r="S4508" s="30"/>
      <x:c r="T4508" s="30" t="str">
        <x:v>База.jpg (Запад)</x:v>
      </x:c>
      <x:c r="U4508" s="30" t="str">
        <x:v>Расхождений нет.</x:v>
      </x:c>
      <x:c r="V4508" s="87" t="str">
        <x:v>VERIFIED</x:v>
      </x:c>
      <x:c r="W4508" s="87"/>
      <x:c r="X4508" s="87" t="n">
        <x:v>26</x:v>
      </x:c>
      <x:c r="Y4508" s="87"/>
      <x:c r="Z4508" s="87"/>
      <x:c r="AA4508" s="87"/>
      <x:c r="AB4508" s="87" t="str">
        <x:v>таблица, строка 4</x:v>
      </x:c>
      <x:c r="AC4508" s="87" t="str">
        <x:v>VIS-MATH-DEC-BW-TASK-P026</x:v>
      </x:c>
      <x:c r="AD4508" s="87" t="str">
        <x:v>VIS-MATH-DEC-KEY-BW</x:v>
      </x:c>
      <x:c r="AE4508" s="87" t="str">
        <x:v>TASK; KEY</x:v>
      </x:c>
      <x:c r="AF4508" s="87" t="str">
        <x:v>VIS-MATH-DEC-BW-TASK-P026: 26; VIS-MATH-DEC-KEY-BW: 1</x:v>
      </x:c>
      <x:c r="AG4508" s="87" t="str">
        <x:v>RESOLVED</x:v>
      </x:c>
      <x:c r="AH4508" s="87" t="str">
        <x:v>CROP_VERIFIED; TASK_CROP_QA_APPROVED:USE_TIGHT</x:v>
      </x:c>
      <x:c r="AI4508" s="30" t="str">
        <x:v>{"Уровень": "Базовый"}</x:v>
      </x:c>
      <x:c r="AJ4508" s="87" t="str">
        <x:v>clean</x:v>
      </x:c>
      <x:c r="AK4508" s="87" t="str">
        <x:v>clean-v0.07</x:v>
      </x:c>
      <x:c r="AL4508" s="87" t="str">
        <x:v>statgrad_clean_continuation_v0_07(1).xlsx</x:v>
      </x:c>
      <x:c r="AM4508" s="87" t="str">
        <x:v>MATH_Dec_0204</x:v>
      </x:c>
      <x:c r="AN4508" s="87" t="n">
        <x:v>10</x:v>
      </x:c>
    </x:row>
    <x:row r="4509">
      <x:c r="A4509" s="87" t="n">
        <x:v>4508</x:v>
      </x:c>
      <x:c r="B4509" s="87" t="str">
        <x:v>DEC-MATH-04-010</x:v>
      </x:c>
      <x:c r="C4509" s="87" t="str">
        <x:v>СтатГрад</x:v>
      </x:c>
      <x:c r="D4509" s="87" t="str">
        <x:v>Декабрь 2025</x:v>
      </x:c>
      <x:c r="E4509" s="87"/>
      <x:c r="F4509" s="87"/>
      <x:c r="G4509" s="87" t="str">
        <x:v>Математика</x:v>
      </x:c>
      <x:c r="H4509" s="87" t="n">
        <x:v>11</x:v>
      </x:c>
      <x:c r="I4509" s="87" t="str">
        <x:v>ТР №2</x:v>
      </x:c>
      <x:c r="J4509" s="87" t="str">
        <x:v>МА2510204</x:v>
      </x:c>
      <x:c r="K4509" s="87" t="n">
        <x:v>10</x:v>
      </x:c>
      <x:c r="L4509" s="87" t="str">
        <x:v>Угол в окружности</x:v>
      </x:c>
      <x:c r="M4509" s="30" t="str">
        <x:v>Колесо имеет 12 спиц. Углы между любыми двумя соседними спицами равны. Найдите величину угла (в градусах), который образуют две соседние спицы.</x:v>
      </x:c>
      <x:c r="N4509" s="30" t="str">
        <x:v>30</x:v>
      </x:c>
      <x:c r="O4509" s="30" t="str">
        <x:v>Полный угол 360° разделён на число равных промежутков между спицами.</x:v>
      </x:c>
      <x:c r="P4509" s="30" t="str">
        <x:v>Условие и полный визуал просмотрены; ответ пересчитан/логически проверен и совпал с LOCKED-ключом.</x:v>
      </x:c>
      <x:c r="Q4509" s="30"/>
      <x:c r="R4509" s="30" t="str">
        <x:v>30</x:v>
      </x:c>
      <x:c r="S4509" s="30"/>
      <x:c r="T4509" s="30" t="str">
        <x:v>База.jpg (Запад)</x:v>
      </x:c>
      <x:c r="U4509" s="30" t="str">
        <x:v>Расхождений нет.</x:v>
      </x:c>
      <x:c r="V4509" s="87" t="str">
        <x:v>VERIFIED</x:v>
      </x:c>
      <x:c r="W4509" s="87"/>
      <x:c r="X4509" s="87" t="n">
        <x:v>26</x:v>
      </x:c>
      <x:c r="Y4509" s="87"/>
      <x:c r="Z4509" s="87"/>
      <x:c r="AA4509" s="87"/>
      <x:c r="AB4509" s="87" t="str">
        <x:v>таблица, строка 4</x:v>
      </x:c>
      <x:c r="AC4509" s="87" t="str">
        <x:v>VIS-MATH-DEC-BW-TASK-P026</x:v>
      </x:c>
      <x:c r="AD4509" s="87" t="str">
        <x:v>VIS-MATH-DEC-KEY-BW</x:v>
      </x:c>
      <x:c r="AE4509" s="87" t="str">
        <x:v>TASK; KEY</x:v>
      </x:c>
      <x:c r="AF4509" s="87" t="str">
        <x:v>VIS-MATH-DEC-BW-TASK-P026: 26; VIS-MATH-DEC-KEY-BW: 1</x:v>
      </x:c>
      <x:c r="AG4509" s="87" t="str">
        <x:v>RESOLVED</x:v>
      </x:c>
      <x:c r="AH4509" s="87" t="str">
        <x:v>CROP_VERIFIED</x:v>
      </x:c>
      <x:c r="AI4509" s="30" t="str">
        <x:v>{"Уровень": "Базовый"}</x:v>
      </x:c>
      <x:c r="AJ4509" s="87" t="str">
        <x:v>clean</x:v>
      </x:c>
      <x:c r="AK4509" s="87" t="str">
        <x:v>clean-v0.07</x:v>
      </x:c>
      <x:c r="AL4509" s="87" t="str">
        <x:v>statgrad_clean_continuation_v0_07(1).xlsx</x:v>
      </x:c>
      <x:c r="AM4509" s="87" t="str">
        <x:v>MATH_Dec_0204</x:v>
      </x:c>
      <x:c r="AN4509" s="87" t="n">
        <x:v>11</x:v>
      </x:c>
    </x:row>
    <x:row r="4510">
      <x:c r="A4510" s="87" t="n">
        <x:v>4509</x:v>
      </x:c>
      <x:c r="B4510" s="87" t="str">
        <x:v>DEC-MATH-04-011</x:v>
      </x:c>
      <x:c r="C4510" s="87" t="str">
        <x:v>СтатГрад</x:v>
      </x:c>
      <x:c r="D4510" s="87" t="str">
        <x:v>Декабрь 2025</x:v>
      </x:c>
      <x:c r="E4510" s="87"/>
      <x:c r="F4510" s="87"/>
      <x:c r="G4510" s="87" t="str">
        <x:v>Математика</x:v>
      </x:c>
      <x:c r="H4510" s="87" t="n">
        <x:v>11</x:v>
      </x:c>
      <x:c r="I4510" s="87" t="str">
        <x:v>ТР №2</x:v>
      </x:c>
      <x:c r="J4510" s="87" t="str">
        <x:v>МА2510204</x:v>
      </x:c>
      <x:c r="K4510" s="87" t="n">
        <x:v>11</x:v>
      </x:c>
      <x:c r="L4510" s="87" t="str">
        <x:v>Площадь поверхности</x:v>
      </x:c>
      <x:c r="M4510" s="30" t="str">
        <x:v>Пять ступеней лестницы покрасили в тёмный цвет, как показано на рисунке (штриховкой). Найдите площадь окрашенной поверхности, если глубина каждой ступеньки равна 30 см, высота — 15 см, а ширина — 95 см. Ответ дайте в квадратных сантиметрах.</x:v>
      </x:c>
      <x:c r="N4510" s="30" t="str">
        <x:v>18525</x:v>
      </x:c>
      <x:c r="O4510" s="30" t="str">
        <x:v>Сложены площади всех закрашенных горизонтальных и вертикальных участков ступеней.</x:v>
      </x:c>
      <x:c r="P4510" s="30" t="str">
        <x:v>Условие и полный визуал просмотрены; ответ пересчитан/логически проверен и совпал с LOCKED-ключом.</x:v>
      </x:c>
      <x:c r="Q4510" s="30"/>
      <x:c r="R4510" s="30" t="str">
        <x:v>18525</x:v>
      </x:c>
      <x:c r="S4510" s="30"/>
      <x:c r="T4510" s="30" t="str">
        <x:v>База.jpg (Запад)</x:v>
      </x:c>
      <x:c r="U4510" s="30" t="str">
        <x:v>Расхождений нет.</x:v>
      </x:c>
      <x:c r="V4510" s="87" t="str">
        <x:v>VERIFIED</x:v>
      </x:c>
      <x:c r="W4510" s="87"/>
      <x:c r="X4510" s="87" t="n">
        <x:v>27</x:v>
      </x:c>
      <x:c r="Y4510" s="87"/>
      <x:c r="Z4510" s="87"/>
      <x:c r="AA4510" s="87"/>
      <x:c r="AB4510" s="87" t="str">
        <x:v>таблица, строка 4</x:v>
      </x:c>
      <x:c r="AC4510" s="87" t="str">
        <x:v>VIS-MATH-DEC-BW-TASK-P027</x:v>
      </x:c>
      <x:c r="AD4510" s="87" t="str">
        <x:v>VIS-MATH-DEC-KEY-BW</x:v>
      </x:c>
      <x:c r="AE4510" s="87" t="str">
        <x:v>TASK; KEY</x:v>
      </x:c>
      <x:c r="AF4510" s="87" t="str">
        <x:v>VIS-MATH-DEC-BW-TASK-P027: 27; VIS-MATH-DEC-KEY-BW: 1</x:v>
      </x:c>
      <x:c r="AG4510" s="87" t="str">
        <x:v>RESOLVED</x:v>
      </x:c>
      <x:c r="AH4510" s="87" t="str">
        <x:v>CROP_VERIFIED; TASK_CROP_QA_APPROVED:USE_TIGHT</x:v>
      </x:c>
      <x:c r="AI4510" s="30" t="str">
        <x:v>{"Уровень": "Базовый"}</x:v>
      </x:c>
      <x:c r="AJ4510" s="87" t="str">
        <x:v>clean</x:v>
      </x:c>
      <x:c r="AK4510" s="87" t="str">
        <x:v>clean-v0.07</x:v>
      </x:c>
      <x:c r="AL4510" s="87" t="str">
        <x:v>statgrad_clean_continuation_v0_07(1).xlsx</x:v>
      </x:c>
      <x:c r="AM4510" s="87" t="str">
        <x:v>MATH_Dec_0204</x:v>
      </x:c>
      <x:c r="AN4510" s="87" t="n">
        <x:v>12</x:v>
      </x:c>
    </x:row>
    <x:row r="4511">
      <x:c r="A4511" s="87" t="n">
        <x:v>4510</x:v>
      </x:c>
      <x:c r="B4511" s="87" t="str">
        <x:v>DEC-MATH-04-012</x:v>
      </x:c>
      <x:c r="C4511" s="87" t="str">
        <x:v>СтатГрад</x:v>
      </x:c>
      <x:c r="D4511" s="87" t="str">
        <x:v>Декабрь 2025</x:v>
      </x:c>
      <x:c r="E4511" s="87"/>
      <x:c r="F4511" s="87"/>
      <x:c r="G4511" s="87" t="str">
        <x:v>Математика</x:v>
      </x:c>
      <x:c r="H4511" s="87" t="n">
        <x:v>11</x:v>
      </x:c>
      <x:c r="I4511" s="87" t="str">
        <x:v>ТР №2</x:v>
      </x:c>
      <x:c r="J4511" s="87" t="str">
        <x:v>МА2510204</x:v>
      </x:c>
      <x:c r="K4511" s="87" t="n">
        <x:v>12</x:v>
      </x:c>
      <x:c r="L4511" s="87" t="str">
        <x:v>Планиметрия</x:v>
      </x:c>
      <x:c r="M4511" s="30" t="str">
        <x:v>B В треугольнике ABC угол B равен 120°. Медиана BM делит угол B пополам и равна 23. Найдите длину стороны AB. A M C</x:v>
      </x:c>
      <x:c r="N4511" s="30" t="str">
        <x:v>46</x:v>
      </x:c>
      <x:c r="O4511" s="30" t="str">
        <x:v>Медиана одновременно является биссектрисой; треугольник равнобедренный, а в половине треугольника используется угол 60°.</x:v>
      </x:c>
      <x:c r="P4511" s="30" t="str">
        <x:v>Условие и полный визуал просмотрены; ответ пересчитан/логически проверен и совпал с LOCKED-ключом.</x:v>
      </x:c>
      <x:c r="Q4511" s="30"/>
      <x:c r="R4511" s="30" t="str">
        <x:v>46</x:v>
      </x:c>
      <x:c r="S4511" s="30"/>
      <x:c r="T4511" s="30" t="str">
        <x:v>База.jpg (Запад)</x:v>
      </x:c>
      <x:c r="U4511" s="30" t="str">
        <x:v>Расхождений нет.</x:v>
      </x:c>
      <x:c r="V4511" s="87" t="str">
        <x:v>VERIFIED</x:v>
      </x:c>
      <x:c r="W4511" s="87"/>
      <x:c r="X4511" s="87" t="n">
        <x:v>27</x:v>
      </x:c>
      <x:c r="Y4511" s="87"/>
      <x:c r="Z4511" s="87"/>
      <x:c r="AA4511" s="87"/>
      <x:c r="AB4511" s="87" t="str">
        <x:v>таблица, строка 4</x:v>
      </x:c>
      <x:c r="AC4511" s="87" t="str">
        <x:v>VIS-MATH-DEC-BW-TASK-P027</x:v>
      </x:c>
      <x:c r="AD4511" s="87" t="str">
        <x:v>VIS-MATH-DEC-KEY-BW</x:v>
      </x:c>
      <x:c r="AE4511" s="87" t="str">
        <x:v>TASK; KEY</x:v>
      </x:c>
      <x:c r="AF4511" s="87" t="str">
        <x:v>VIS-MATH-DEC-BW-TASK-P027: 27; VIS-MATH-DEC-KEY-BW: 1</x:v>
      </x:c>
      <x:c r="AG4511" s="87" t="str">
        <x:v>RESOLVED</x:v>
      </x:c>
      <x:c r="AH4511" s="87" t="str">
        <x:v>CROP_VERIFIED</x:v>
      </x:c>
      <x:c r="AI4511" s="30" t="str">
        <x:v>{"Уровень": "Базовый"}</x:v>
      </x:c>
      <x:c r="AJ4511" s="87" t="str">
        <x:v>clean</x:v>
      </x:c>
      <x:c r="AK4511" s="87" t="str">
        <x:v>clean-v0.07</x:v>
      </x:c>
      <x:c r="AL4511" s="87" t="str">
        <x:v>statgrad_clean_continuation_v0_07(1).xlsx</x:v>
      </x:c>
      <x:c r="AM4511" s="87" t="str">
        <x:v>MATH_Dec_0204</x:v>
      </x:c>
      <x:c r="AN4511" s="87" t="n">
        <x:v>13</x:v>
      </x:c>
    </x:row>
    <x:row r="4512">
      <x:c r="A4512" s="87" t="n">
        <x:v>4511</x:v>
      </x:c>
      <x:c r="B4512" s="87" t="str">
        <x:v>DEC-MATH-04-013</x:v>
      </x:c>
      <x:c r="C4512" s="87" t="str">
        <x:v>СтатГрад</x:v>
      </x:c>
      <x:c r="D4512" s="87" t="str">
        <x:v>Декабрь 2025</x:v>
      </x:c>
      <x:c r="E4512" s="87"/>
      <x:c r="F4512" s="87"/>
      <x:c r="G4512" s="87" t="str">
        <x:v>Математика</x:v>
      </x:c>
      <x:c r="H4512" s="87" t="n">
        <x:v>11</x:v>
      </x:c>
      <x:c r="I4512" s="87" t="str">
        <x:v>ТР №2</x:v>
      </x:c>
      <x:c r="J4512" s="87" t="str">
        <x:v>МА2510204</x:v>
      </x:c>
      <x:c r="K4512" s="87" t="n">
        <x:v>13</x:v>
      </x:c>
      <x:c r="L4512" s="87" t="str">
        <x:v>Объём призмы</x:v>
      </x:c>
      <x:c r="M4512" s="30" t="str">
        <x:v>В основании прямой призмы лежит прямоугольный треугольник, катеты которого равны 11 и 5. Найдите объём призмы, если её высота равна 4.</x:v>
      </x:c>
      <x:c r="N4512" s="30" t="str">
        <x:v>110</x:v>
      </x:c>
      <x:c r="O4512" s="30" t="str">
        <x:v>Объём равен площади прямоугольного треугольника в основании, умноженной на высоту призмы.</x:v>
      </x:c>
      <x:c r="P4512" s="30" t="str">
        <x:v>Условие и полный визуал просмотрены; ответ пересчитан/логически проверен и совпал с LOCKED-ключом.</x:v>
      </x:c>
      <x:c r="Q4512" s="30"/>
      <x:c r="R4512" s="30" t="str">
        <x:v>110</x:v>
      </x:c>
      <x:c r="S4512" s="30"/>
      <x:c r="T4512" s="30" t="str">
        <x:v>База.jpg (Запад)</x:v>
      </x:c>
      <x:c r="U4512" s="30" t="str">
        <x:v>Расхождений нет.</x:v>
      </x:c>
      <x:c r="V4512" s="87" t="str">
        <x:v>VERIFIED</x:v>
      </x:c>
      <x:c r="W4512" s="87"/>
      <x:c r="X4512" s="87" t="n">
        <x:v>27</x:v>
      </x:c>
      <x:c r="Y4512" s="87"/>
      <x:c r="Z4512" s="87"/>
      <x:c r="AA4512" s="87"/>
      <x:c r="AB4512" s="87" t="str">
        <x:v>таблица, строка 4</x:v>
      </x:c>
      <x:c r="AC4512" s="87" t="str">
        <x:v>VIS-MATH-DEC-BW-TASK-P027</x:v>
      </x:c>
      <x:c r="AD4512" s="87" t="str">
        <x:v>VIS-MATH-DEC-KEY-BW</x:v>
      </x:c>
      <x:c r="AE4512" s="87" t="str">
        <x:v>TASK; KEY</x:v>
      </x:c>
      <x:c r="AF4512" s="87" t="str">
        <x:v>VIS-MATH-DEC-BW-TASK-P027: 27; VIS-MATH-DEC-KEY-BW: 1</x:v>
      </x:c>
      <x:c r="AG4512" s="87" t="str">
        <x:v>RESOLVED</x:v>
      </x:c>
      <x:c r="AH4512" s="87" t="str">
        <x:v>CROP_VERIFIED</x:v>
      </x:c>
      <x:c r="AI4512" s="30" t="str">
        <x:v>{"Уровень": "Базовый"}</x:v>
      </x:c>
      <x:c r="AJ4512" s="87" t="str">
        <x:v>clean</x:v>
      </x:c>
      <x:c r="AK4512" s="87" t="str">
        <x:v>clean-v0.07</x:v>
      </x:c>
      <x:c r="AL4512" s="87" t="str">
        <x:v>statgrad_clean_continuation_v0_07(1).xlsx</x:v>
      </x:c>
      <x:c r="AM4512" s="87" t="str">
        <x:v>MATH_Dec_0204</x:v>
      </x:c>
      <x:c r="AN4512" s="87" t="n">
        <x:v>14</x:v>
      </x:c>
    </x:row>
    <x:row r="4513">
      <x:c r="A4513" s="87" t="n">
        <x:v>4512</x:v>
      </x:c>
      <x:c r="B4513" s="87" t="str">
        <x:v>DEC-MATH-04-014</x:v>
      </x:c>
      <x:c r="C4513" s="87" t="str">
        <x:v>СтатГрад</x:v>
      </x:c>
      <x:c r="D4513" s="87" t="str">
        <x:v>Декабрь 2025</x:v>
      </x:c>
      <x:c r="E4513" s="87"/>
      <x:c r="F4513" s="87"/>
      <x:c r="G4513" s="87" t="str">
        <x:v>Математика</x:v>
      </x:c>
      <x:c r="H4513" s="87" t="n">
        <x:v>11</x:v>
      </x:c>
      <x:c r="I4513" s="87" t="str">
        <x:v>ТР №2</x:v>
      </x:c>
      <x:c r="J4513" s="87" t="str">
        <x:v>МА2510204</x:v>
      </x:c>
      <x:c r="K4513" s="87" t="n">
        <x:v>14</x:v>
      </x:c>
      <x:c r="L4513" s="87" t="str">
        <x:v>Числовое выражение</x:v>
      </x:c>
      <x:c r="M4513" s="30" t="str">
        <x:v>Найдите значение выражения 1,8 9,5 3,4 ⋅ + .</x:v>
      </x:c>
      <x:c r="N4513" s="30" t="str">
        <x:v>20,5</x:v>
      </x:c>
      <x:c r="O4513" s="30" t="str">
        <x:v>Значение вычислено с соблюдением порядка арифметических действий.</x:v>
      </x:c>
      <x:c r="P4513" s="30" t="str">
        <x:v>Условие и полный визуал просмотрены; ответ пересчитан/логически проверен и совпал с LOCKED-ключом.</x:v>
      </x:c>
      <x:c r="Q4513" s="30"/>
      <x:c r="R4513" s="30" t="str">
        <x:v>20,5</x:v>
      </x:c>
      <x:c r="S4513" s="30"/>
      <x:c r="T4513" s="30" t="str">
        <x:v>База.jpg (Запад)</x:v>
      </x:c>
      <x:c r="U4513" s="30" t="str">
        <x:v>Расхождений нет.</x:v>
      </x:c>
      <x:c r="V4513" s="87" t="str">
        <x:v>VERIFIED</x:v>
      </x:c>
      <x:c r="W4513" s="87"/>
      <x:c r="X4513" s="87" t="n">
        <x:v>27</x:v>
      </x:c>
      <x:c r="Y4513" s="87"/>
      <x:c r="Z4513" s="87"/>
      <x:c r="AA4513" s="87"/>
      <x:c r="AB4513" s="87" t="str">
        <x:v>таблица, строка 4</x:v>
      </x:c>
      <x:c r="AC4513" s="87" t="str">
        <x:v>VIS-MATH-DEC-BW-TASK-P027</x:v>
      </x:c>
      <x:c r="AD4513" s="87" t="str">
        <x:v>VIS-MATH-DEC-KEY-BW</x:v>
      </x:c>
      <x:c r="AE4513" s="87" t="str">
        <x:v>TASK; KEY</x:v>
      </x:c>
      <x:c r="AF4513" s="87" t="str">
        <x:v>VIS-MATH-DEC-BW-TASK-P027: 27; VIS-MATH-DEC-KEY-BW: 1</x:v>
      </x:c>
      <x:c r="AG4513" s="87" t="str">
        <x:v>RESOLVED</x:v>
      </x:c>
      <x:c r="AH4513" s="87" t="str">
        <x:v>CROP_VERIFIED</x:v>
      </x:c>
      <x:c r="AI4513" s="30" t="str">
        <x:v>{"Уровень": "Базовый"}</x:v>
      </x:c>
      <x:c r="AJ4513" s="87" t="str">
        <x:v>clean</x:v>
      </x:c>
      <x:c r="AK4513" s="87" t="str">
        <x:v>clean-v0.07</x:v>
      </x:c>
      <x:c r="AL4513" s="87" t="str">
        <x:v>statgrad_clean_continuation_v0_07(1).xlsx</x:v>
      </x:c>
      <x:c r="AM4513" s="87" t="str">
        <x:v>MATH_Dec_0204</x:v>
      </x:c>
      <x:c r="AN4513" s="87" t="n">
        <x:v>15</x:v>
      </x:c>
    </x:row>
    <x:row r="4514">
      <x:c r="A4514" s="87" t="n">
        <x:v>4513</x:v>
      </x:c>
      <x:c r="B4514" s="87" t="str">
        <x:v>DEC-MATH-04-015</x:v>
      </x:c>
      <x:c r="C4514" s="87" t="str">
        <x:v>СтатГрад</x:v>
      </x:c>
      <x:c r="D4514" s="87" t="str">
        <x:v>Декабрь 2025</x:v>
      </x:c>
      <x:c r="E4514" s="87"/>
      <x:c r="F4514" s="87"/>
      <x:c r="G4514" s="87" t="str">
        <x:v>Математика</x:v>
      </x:c>
      <x:c r="H4514" s="87" t="n">
        <x:v>11</x:v>
      </x:c>
      <x:c r="I4514" s="87" t="str">
        <x:v>ТР №2</x:v>
      </x:c>
      <x:c r="J4514" s="87" t="str">
        <x:v>МА2510204</x:v>
      </x:c>
      <x:c r="K4514" s="87" t="n">
        <x:v>15</x:v>
      </x:c>
      <x:c r="L4514" s="87" t="str">
        <x:v>Проценты</x:v>
      </x:c>
      <x:c r="M4514" s="30" t="str">
        <x:v>После уценки телевизора его новая цена составила 0,73 от старой цены. На сколько процентов уменьшилась цена телевизора в результате уценки?</x:v>
      </x:c>
      <x:c r="N4514" s="30" t="str">
        <x:v>27</x:v>
      </x:c>
      <x:c r="O4514" s="30" t="str">
        <x:v>Процент уменьшения равен (1−коэффициент новой цены)·100%.</x:v>
      </x:c>
      <x:c r="P4514" s="30" t="str">
        <x:v>Условие и полный визуал просмотрены; ответ пересчитан/логически проверен и совпал с LOCKED-ключом.</x:v>
      </x:c>
      <x:c r="Q4514" s="30"/>
      <x:c r="R4514" s="30" t="str">
        <x:v>27</x:v>
      </x:c>
      <x:c r="S4514" s="30"/>
      <x:c r="T4514" s="30" t="str">
        <x:v>База.jpg (Запад)</x:v>
      </x:c>
      <x:c r="U4514" s="30" t="str">
        <x:v>Расхождений нет.</x:v>
      </x:c>
      <x:c r="V4514" s="87" t="str">
        <x:v>VERIFIED</x:v>
      </x:c>
      <x:c r="W4514" s="87"/>
      <x:c r="X4514" s="87" t="n">
        <x:v>27</x:v>
      </x:c>
      <x:c r="Y4514" s="87"/>
      <x:c r="Z4514" s="87"/>
      <x:c r="AA4514" s="87"/>
      <x:c r="AB4514" s="87" t="str">
        <x:v>таблица, строка 4</x:v>
      </x:c>
      <x:c r="AC4514" s="87" t="str">
        <x:v>VIS-MATH-DEC-BW-TASK-P027</x:v>
      </x:c>
      <x:c r="AD4514" s="87" t="str">
        <x:v>VIS-MATH-DEC-KEY-BW</x:v>
      </x:c>
      <x:c r="AE4514" s="87" t="str">
        <x:v>TASK; KEY</x:v>
      </x:c>
      <x:c r="AF4514" s="87" t="str">
        <x:v>VIS-MATH-DEC-BW-TASK-P027: 27; VIS-MATH-DEC-KEY-BW: 1</x:v>
      </x:c>
      <x:c r="AG4514" s="87" t="str">
        <x:v>RESOLVED</x:v>
      </x:c>
      <x:c r="AH4514" s="87" t="str">
        <x:v>CROP_VERIFIED</x:v>
      </x:c>
      <x:c r="AI4514" s="30" t="str">
        <x:v>{"Уровень": "Базовый"}</x:v>
      </x:c>
      <x:c r="AJ4514" s="87" t="str">
        <x:v>clean</x:v>
      </x:c>
      <x:c r="AK4514" s="87" t="str">
        <x:v>clean-v0.07</x:v>
      </x:c>
      <x:c r="AL4514" s="87" t="str">
        <x:v>statgrad_clean_continuation_v0_07(1).xlsx</x:v>
      </x:c>
      <x:c r="AM4514" s="87" t="str">
        <x:v>MATH_Dec_0204</x:v>
      </x:c>
      <x:c r="AN4514" s="87" t="n">
        <x:v>16</x:v>
      </x:c>
    </x:row>
    <x:row r="4515">
      <x:c r="A4515" s="87" t="n">
        <x:v>4514</x:v>
      </x:c>
      <x:c r="B4515" s="87" t="str">
        <x:v>DEC-MATH-04-016</x:v>
      </x:c>
      <x:c r="C4515" s="87" t="str">
        <x:v>СтатГрад</x:v>
      </x:c>
      <x:c r="D4515" s="87" t="str">
        <x:v>Декабрь 2025</x:v>
      </x:c>
      <x:c r="E4515" s="87"/>
      <x:c r="F4515" s="87"/>
      <x:c r="G4515" s="87" t="str">
        <x:v>Математика</x:v>
      </x:c>
      <x:c r="H4515" s="87" t="n">
        <x:v>11</x:v>
      </x:c>
      <x:c r="I4515" s="87" t="str">
        <x:v>ТР №2</x:v>
      </x:c>
      <x:c r="J4515" s="87" t="str">
        <x:v>МА2510204</x:v>
      </x:c>
      <x:c r="K4515" s="87" t="n">
        <x:v>16</x:v>
      </x:c>
      <x:c r="L4515" s="87" t="str">
        <x:v>Степени</x:v>
      </x:c>
      <x:c r="M4515" s="30" t="str">
        <x:v>Найдите значение выражения: 10 6 − 6 9 9 9 − ⋅ .</x:v>
      </x:c>
      <x:c r="N4515" s="30" t="str">
        <x:v>81</x:v>
      </x:c>
      <x:c r="O4515" s="30" t="str">
        <x:v>Применены свойства степеней с одинаковым основанием.</x:v>
      </x:c>
      <x:c r="P4515" s="30" t="str">
        <x:v>Условие и полный визуал просмотрены; ответ пересчитан/логически проверен и совпал с LOCKED-ключом.</x:v>
      </x:c>
      <x:c r="Q4515" s="30"/>
      <x:c r="R4515" s="30" t="str">
        <x:v>81</x:v>
      </x:c>
      <x:c r="S4515" s="30"/>
      <x:c r="T4515" s="30" t="str">
        <x:v>База.jpg (Запад)</x:v>
      </x:c>
      <x:c r="U4515" s="30" t="str">
        <x:v>Расхождений нет.</x:v>
      </x:c>
      <x:c r="V4515" s="87" t="str">
        <x:v>VERIFIED</x:v>
      </x:c>
      <x:c r="W4515" s="87"/>
      <x:c r="X4515" s="87" t="n">
        <x:v>27</x:v>
      </x:c>
      <x:c r="Y4515" s="87"/>
      <x:c r="Z4515" s="87"/>
      <x:c r="AA4515" s="87"/>
      <x:c r="AB4515" s="87" t="str">
        <x:v>таблица, строка 4</x:v>
      </x:c>
      <x:c r="AC4515" s="87" t="str">
        <x:v>VIS-MATH-DEC-BW-TASK-P027</x:v>
      </x:c>
      <x:c r="AD4515" s="87" t="str">
        <x:v>VIS-MATH-DEC-KEY-BW</x:v>
      </x:c>
      <x:c r="AE4515" s="87" t="str">
        <x:v>TASK; KEY</x:v>
      </x:c>
      <x:c r="AF4515" s="87" t="str">
        <x:v>VIS-MATH-DEC-BW-TASK-P027: 27; VIS-MATH-DEC-KEY-BW: 1</x:v>
      </x:c>
      <x:c r="AG4515" s="87" t="str">
        <x:v>RESOLVED</x:v>
      </x:c>
      <x:c r="AH4515" s="87" t="str">
        <x:v>CROP_VERIFIED</x:v>
      </x:c>
      <x:c r="AI4515" s="30" t="str">
        <x:v>{"Уровень": "Базовый"}</x:v>
      </x:c>
      <x:c r="AJ4515" s="87" t="str">
        <x:v>clean</x:v>
      </x:c>
      <x:c r="AK4515" s="87" t="str">
        <x:v>clean-v0.07</x:v>
      </x:c>
      <x:c r="AL4515" s="87" t="str">
        <x:v>statgrad_clean_continuation_v0_07(1).xlsx</x:v>
      </x:c>
      <x:c r="AM4515" s="87" t="str">
        <x:v>MATH_Dec_0204</x:v>
      </x:c>
      <x:c r="AN4515" s="87" t="n">
        <x:v>17</x:v>
      </x:c>
    </x:row>
    <x:row r="4516">
      <x:c r="A4516" s="87" t="n">
        <x:v>4515</x:v>
      </x:c>
      <x:c r="B4516" s="87" t="str">
        <x:v>DEC-MATH-04-017</x:v>
      </x:c>
      <x:c r="C4516" s="87" t="str">
        <x:v>СтатГрад</x:v>
      </x:c>
      <x:c r="D4516" s="87" t="str">
        <x:v>Декабрь 2025</x:v>
      </x:c>
      <x:c r="E4516" s="87"/>
      <x:c r="F4516" s="87"/>
      <x:c r="G4516" s="87" t="str">
        <x:v>Математика</x:v>
      </x:c>
      <x:c r="H4516" s="87" t="n">
        <x:v>11</x:v>
      </x:c>
      <x:c r="I4516" s="87" t="str">
        <x:v>ТР №2</x:v>
      </x:c>
      <x:c r="J4516" s="87" t="str">
        <x:v>МА2510204</x:v>
      </x:c>
      <x:c r="K4516" s="87" t="n">
        <x:v>17</x:v>
      </x:c>
      <x:c r="L4516" s="87" t="str">
        <x:v>Уравнение</x:v>
      </x:c>
      <x:c r="M4516" s="30" t="str">
        <x:v>Решите уравнение 15 2 x + = .</x:v>
      </x:c>
      <x:c r="N4516" s="30" t="str">
        <x:v>-11</x:v>
      </x:c>
      <x:c r="O4516" s="30" t="str">
        <x:v>Уравнение решено обратными арифметическими/показательными преобразованиями.</x:v>
      </x:c>
      <x:c r="P4516" s="30" t="str">
        <x:v>Условие и полный визуал просмотрены; ответ пересчитан/логически проверен и совпал с LOCKED-ключом.</x:v>
      </x:c>
      <x:c r="Q4516" s="30"/>
      <x:c r="R4516" s="30" t="str">
        <x:v>-11</x:v>
      </x:c>
      <x:c r="S4516" s="30"/>
      <x:c r="T4516" s="30" t="str">
        <x:v>База.jpg (Запад)</x:v>
      </x:c>
      <x:c r="U4516" s="30" t="str">
        <x:v>Расхождений нет.</x:v>
      </x:c>
      <x:c r="V4516" s="87" t="str">
        <x:v>VERIFIED</x:v>
      </x:c>
      <x:c r="W4516" s="87"/>
      <x:c r="X4516" s="87" t="n">
        <x:v>28</x:v>
      </x:c>
      <x:c r="Y4516" s="87"/>
      <x:c r="Z4516" s="87"/>
      <x:c r="AA4516" s="87"/>
      <x:c r="AB4516" s="87" t="str">
        <x:v>таблица, строка 4</x:v>
      </x:c>
      <x:c r="AC4516" s="87" t="str">
        <x:v>VIS-MATH-DEC-BW-TASK-P028</x:v>
      </x:c>
      <x:c r="AD4516" s="87" t="str">
        <x:v>VIS-MATH-DEC-KEY-BW</x:v>
      </x:c>
      <x:c r="AE4516" s="87" t="str">
        <x:v>TASK; KEY</x:v>
      </x:c>
      <x:c r="AF4516" s="87" t="str">
        <x:v>VIS-MATH-DEC-BW-TASK-P028: 28; VIS-MATH-DEC-KEY-BW: 1</x:v>
      </x:c>
      <x:c r="AG4516" s="87" t="str">
        <x:v>RESOLVED</x:v>
      </x:c>
      <x:c r="AH4516" s="87" t="str">
        <x:v>CROP_VERIFIED</x:v>
      </x:c>
      <x:c r="AI4516" s="30" t="str">
        <x:v>{"Уровень": "Базовый"}</x:v>
      </x:c>
      <x:c r="AJ4516" s="87" t="str">
        <x:v>clean</x:v>
      </x:c>
      <x:c r="AK4516" s="87" t="str">
        <x:v>clean-v0.07</x:v>
      </x:c>
      <x:c r="AL4516" s="87" t="str">
        <x:v>statgrad_clean_continuation_v0_07(1).xlsx</x:v>
      </x:c>
      <x:c r="AM4516" s="87" t="str">
        <x:v>MATH_Dec_0204</x:v>
      </x:c>
      <x:c r="AN4516" s="87" t="n">
        <x:v>18</x:v>
      </x:c>
    </x:row>
    <x:row r="4517">
      <x:c r="A4517" s="87" t="n">
        <x:v>4516</x:v>
      </x:c>
      <x:c r="B4517" s="87" t="str">
        <x:v>DEC-MATH-04-018</x:v>
      </x:c>
      <x:c r="C4517" s="87" t="str">
        <x:v>СтатГрад</x:v>
      </x:c>
      <x:c r="D4517" s="87" t="str">
        <x:v>Декабрь 2025</x:v>
      </x:c>
      <x:c r="E4517" s="87"/>
      <x:c r="F4517" s="87"/>
      <x:c r="G4517" s="87" t="str">
        <x:v>Математика</x:v>
      </x:c>
      <x:c r="H4517" s="87" t="n">
        <x:v>11</x:v>
      </x:c>
      <x:c r="I4517" s="87" t="str">
        <x:v>ТР №2</x:v>
      </x:c>
      <x:c r="J4517" s="87" t="str">
        <x:v>МА2510204</x:v>
      </x:c>
      <x:c r="K4517" s="87" t="n">
        <x:v>18</x:v>
      </x:c>
      <x:c r="L4517" s="87" t="str">
        <x:v>Логарифмические неравенства</x:v>
      </x:c>
      <x:c r="M4517" s="30" t="str">
        <x:v>Каждому из четырёх неравенств в левом столбце соответствует его решение в правом столбце. Установите соответствие между неравенствами и их решениями. НЕРАВЕНСТВА РЕШЕНИЯ 1) ( ) 1 ; 2 +∞ А) 2 log 1 x &gt; Б) 2 log 1 x &lt; − 2) ( ) 0;2 В) 2 log 1 x &gt; − 3) ( ) 1 0; 2 Г) 2 log 1 x &lt; 4) ( ) 2;+∞ Впишите в приведённую в ответе таблицу под каждой буквой соответствующий решению номер. А Б В Г Ответ:</x:v>
      </x:c>
      <x:c r="N4517" s="30" t="str">
        <x:v>4312</x:v>
      </x:c>
      <x:c r="O4517" s="30" t="str">
        <x:v>Каждое логарифмическое неравенство преобразовано с учётом области определения и основания логарифма.</x:v>
      </x:c>
      <x:c r="P4517" s="30" t="str">
        <x:v>Условие и полный визуал просмотрены; ответ пересчитан/логически проверен и совпал с LOCKED-ключом.</x:v>
      </x:c>
      <x:c r="Q4517" s="30"/>
      <x:c r="R4517" s="30" t="str">
        <x:v>4312</x:v>
      </x:c>
      <x:c r="S4517" s="30"/>
      <x:c r="T4517" s="30" t="str">
        <x:v>База.jpg (Запад)</x:v>
      </x:c>
      <x:c r="U4517" s="30" t="str">
        <x:v>Расхождений нет.</x:v>
      </x:c>
      <x:c r="V4517" s="87" t="str">
        <x:v>VERIFIED</x:v>
      </x:c>
      <x:c r="W4517" s="87"/>
      <x:c r="X4517" s="87" t="n">
        <x:v>28</x:v>
      </x:c>
      <x:c r="Y4517" s="87"/>
      <x:c r="Z4517" s="87"/>
      <x:c r="AA4517" s="87"/>
      <x:c r="AB4517" s="87" t="str">
        <x:v>таблица, строка 4</x:v>
      </x:c>
      <x:c r="AC4517" s="87" t="str">
        <x:v>VIS-MATH-DEC-BW-TASK-P028</x:v>
      </x:c>
      <x:c r="AD4517" s="87" t="str">
        <x:v>VIS-MATH-DEC-KEY-BW</x:v>
      </x:c>
      <x:c r="AE4517" s="87" t="str">
        <x:v>TASK; KEY</x:v>
      </x:c>
      <x:c r="AF4517" s="87" t="str">
        <x:v>VIS-MATH-DEC-BW-TASK-P028: 28; VIS-MATH-DEC-KEY-BW: 1</x:v>
      </x:c>
      <x:c r="AG4517" s="87" t="str">
        <x:v>RESOLVED</x:v>
      </x:c>
      <x:c r="AH4517" s="87" t="str">
        <x:v>CROP_VERIFIED</x:v>
      </x:c>
      <x:c r="AI4517" s="30" t="str">
        <x:v>{"Уровень": "Базовый"}</x:v>
      </x:c>
      <x:c r="AJ4517" s="87" t="str">
        <x:v>clean</x:v>
      </x:c>
      <x:c r="AK4517" s="87" t="str">
        <x:v>clean-v0.07</x:v>
      </x:c>
      <x:c r="AL4517" s="87" t="str">
        <x:v>statgrad_clean_continuation_v0_07(1).xlsx</x:v>
      </x:c>
      <x:c r="AM4517" s="87" t="str">
        <x:v>MATH_Dec_0204</x:v>
      </x:c>
      <x:c r="AN4517" s="87" t="n">
        <x:v>19</x:v>
      </x:c>
    </x:row>
    <x:row r="4518">
      <x:c r="A4518" s="87" t="n">
        <x:v>4517</x:v>
      </x:c>
      <x:c r="B4518" s="87" t="str">
        <x:v>DEC-MATH-04-019</x:v>
      </x:c>
      <x:c r="C4518" s="87" t="str">
        <x:v>СтатГрад</x:v>
      </x:c>
      <x:c r="D4518" s="87" t="str">
        <x:v>Декабрь 2025</x:v>
      </x:c>
      <x:c r="E4518" s="87"/>
      <x:c r="F4518" s="87"/>
      <x:c r="G4518" s="87" t="str">
        <x:v>Математика</x:v>
      </x:c>
      <x:c r="H4518" s="87" t="n">
        <x:v>11</x:v>
      </x:c>
      <x:c r="I4518" s="87" t="str">
        <x:v>ТР №2</x:v>
      </x:c>
      <x:c r="J4518" s="87" t="str">
        <x:v>МА2510204</x:v>
      </x:c>
      <x:c r="K4518" s="87" t="n">
        <x:v>19</x:v>
      </x:c>
      <x:c r="L4518" s="87" t="str">
        <x:v>Делимость и конструкция числа</x:v>
      </x:c>
      <x:c r="M4518" s="30" t="str">
        <x:v>Найдите шестизначное натуральное число, которое записывается только цифрами 2 и 0 и делится на 30. В ответе укажите какое-нибудь одно такое число.</x:v>
      </x:c>
      <x:c r="N4518" s="30" t="str">
        <x:v>202200</x:v>
      </x:c>
      <x:c r="O4518" s="30" t="str">
        <x:v>Предъявлен допустимый пример; отдельно проверены цифры и признак делимости.</x:v>
      </x:c>
      <x:c r="P4518" s="30" t="str">
        <x:v>Условие и полный визуал просмотрены; ответ пересчитан/логически проверен и совпал с LOCKED-ключом.</x:v>
      </x:c>
      <x:c r="Q4518" s="30"/>
      <x:c r="R4518" s="30" t="str">
        <x:v>202200</x:v>
      </x:c>
      <x:c r="S4518" s="30"/>
      <x:c r="T4518" s="30" t="str">
        <x:v>База.jpg (Запад)</x:v>
      </x:c>
      <x:c r="U4518" s="30" t="str">
        <x:v>Расхождений нет.</x:v>
      </x:c>
      <x:c r="V4518" s="87" t="str">
        <x:v>VERIFIED</x:v>
      </x:c>
      <x:c r="W4518" s="87"/>
      <x:c r="X4518" s="87" t="n">
        <x:v>28</x:v>
      </x:c>
      <x:c r="Y4518" s="87"/>
      <x:c r="Z4518" s="87"/>
      <x:c r="AA4518" s="87"/>
      <x:c r="AB4518" s="87" t="str">
        <x:v>таблица, строка 4</x:v>
      </x:c>
      <x:c r="AC4518" s="87" t="str">
        <x:v>VIS-MATH-DEC-BW-TASK-P028</x:v>
      </x:c>
      <x:c r="AD4518" s="87" t="str">
        <x:v>VIS-MATH-DEC-KEY-BW</x:v>
      </x:c>
      <x:c r="AE4518" s="87" t="str">
        <x:v>TASK; KEY</x:v>
      </x:c>
      <x:c r="AF4518" s="87" t="str">
        <x:v>VIS-MATH-DEC-BW-TASK-P028: 28; VIS-MATH-DEC-KEY-BW: 1</x:v>
      </x:c>
      <x:c r="AG4518" s="87" t="str">
        <x:v>RESOLVED</x:v>
      </x:c>
      <x:c r="AH4518" s="87" t="str">
        <x:v>CROP_VERIFIED</x:v>
      </x:c>
      <x:c r="AI4518" s="30" t="str">
        <x:v>{"Уровень": "Базовый"}</x:v>
      </x:c>
      <x:c r="AJ4518" s="87" t="str">
        <x:v>clean</x:v>
      </x:c>
      <x:c r="AK4518" s="87" t="str">
        <x:v>clean-v0.07</x:v>
      </x:c>
      <x:c r="AL4518" s="87" t="str">
        <x:v>statgrad_clean_continuation_v0_07(1).xlsx</x:v>
      </x:c>
      <x:c r="AM4518" s="87" t="str">
        <x:v>MATH_Dec_0204</x:v>
      </x:c>
      <x:c r="AN4518" s="87" t="n">
        <x:v>20</x:v>
      </x:c>
    </x:row>
    <x:row r="4519">
      <x:c r="A4519" s="87" t="n">
        <x:v>4518</x:v>
      </x:c>
      <x:c r="B4519" s="87" t="str">
        <x:v>DEC-MATH-04-020</x:v>
      </x:c>
      <x:c r="C4519" s="87" t="str">
        <x:v>СтатГрад</x:v>
      </x:c>
      <x:c r="D4519" s="87" t="str">
        <x:v>Декабрь 2025</x:v>
      </x:c>
      <x:c r="E4519" s="87"/>
      <x:c r="F4519" s="87"/>
      <x:c r="G4519" s="87" t="str">
        <x:v>Математика</x:v>
      </x:c>
      <x:c r="H4519" s="87" t="n">
        <x:v>11</x:v>
      </x:c>
      <x:c r="I4519" s="87" t="str">
        <x:v>ТР №2</x:v>
      </x:c>
      <x:c r="J4519" s="87" t="str">
        <x:v>МА2510204</x:v>
      </x:c>
      <x:c r="K4519" s="87" t="n">
        <x:v>20</x:v>
      </x:c>
      <x:c r="L4519" s="87" t="str">
        <x:v>Средняя скорость</x:v>
      </x:c>
      <x:c r="M4519" s="30" t="str">
        <x:v>Первые три часа автомобиль ехал со скоростью 100 км/ч, следующие два часа — со скоростью 55 км/ч, а затем три часа — со скоростью 50 км/ч. Найдите среднюю скорость автомобиля на протяжении всего пути. Ответ дайте в км/ч.</x:v>
      </x:c>
      <x:c r="N4519" s="30" t="str">
        <x:v>70</x:v>
      </x:c>
      <x:c r="O4519" s="30" t="str">
        <x:v>Средняя скорость вычислена как суммарный путь, делённый на суммарное время.</x:v>
      </x:c>
      <x:c r="P4519" s="30" t="str">
        <x:v>Условие и полный визуал просмотрены; ответ пересчитан/логически проверен и совпал с LOCKED-ключом.</x:v>
      </x:c>
      <x:c r="Q4519" s="30"/>
      <x:c r="R4519" s="30" t="str">
        <x:v>70</x:v>
      </x:c>
      <x:c r="S4519" s="30"/>
      <x:c r="T4519" s="30" t="str">
        <x:v>База.jpg (Запад)</x:v>
      </x:c>
      <x:c r="U4519" s="30" t="str">
        <x:v>Расхождений нет.</x:v>
      </x:c>
      <x:c r="V4519" s="87" t="str">
        <x:v>VERIFIED</x:v>
      </x:c>
      <x:c r="W4519" s="87"/>
      <x:c r="X4519" s="87" t="n">
        <x:v>28</x:v>
      </x:c>
      <x:c r="Y4519" s="87"/>
      <x:c r="Z4519" s="87"/>
      <x:c r="AA4519" s="87"/>
      <x:c r="AB4519" s="87" t="str">
        <x:v>таблица, строка 4</x:v>
      </x:c>
      <x:c r="AC4519" s="87" t="str">
        <x:v>VIS-MATH-DEC-BW-TASK-P028</x:v>
      </x:c>
      <x:c r="AD4519" s="87" t="str">
        <x:v>VIS-MATH-DEC-KEY-BW</x:v>
      </x:c>
      <x:c r="AE4519" s="87" t="str">
        <x:v>TASK; KEY</x:v>
      </x:c>
      <x:c r="AF4519" s="87" t="str">
        <x:v>VIS-MATH-DEC-BW-TASK-P028: 28; VIS-MATH-DEC-KEY-BW: 1</x:v>
      </x:c>
      <x:c r="AG4519" s="87" t="str">
        <x:v>RESOLVED</x:v>
      </x:c>
      <x:c r="AH4519" s="87" t="str">
        <x:v>CROP_VERIFIED</x:v>
      </x:c>
      <x:c r="AI4519" s="30" t="str">
        <x:v>{"Уровень": "Базовый"}</x:v>
      </x:c>
      <x:c r="AJ4519" s="87" t="str">
        <x:v>clean</x:v>
      </x:c>
      <x:c r="AK4519" s="87" t="str">
        <x:v>clean-v0.07</x:v>
      </x:c>
      <x:c r="AL4519" s="87" t="str">
        <x:v>statgrad_clean_continuation_v0_07(1).xlsx</x:v>
      </x:c>
      <x:c r="AM4519" s="87" t="str">
        <x:v>MATH_Dec_0204</x:v>
      </x:c>
      <x:c r="AN4519" s="87" t="n">
        <x:v>21</x:v>
      </x:c>
    </x:row>
    <x:row r="4520">
      <x:c r="A4520" s="87" t="n">
        <x:v>4519</x:v>
      </x:c>
      <x:c r="B4520" s="87" t="str">
        <x:v>DEC-MATH-04-021</x:v>
      </x:c>
      <x:c r="C4520" s="87" t="str">
        <x:v>СтатГрад</x:v>
      </x:c>
      <x:c r="D4520" s="87" t="str">
        <x:v>Декабрь 2025</x:v>
      </x:c>
      <x:c r="E4520" s="87"/>
      <x:c r="F4520" s="87"/>
      <x:c r="G4520" s="87" t="str">
        <x:v>Математика</x:v>
      </x:c>
      <x:c r="H4520" s="87" t="n">
        <x:v>11</x:v>
      </x:c>
      <x:c r="I4520" s="87" t="str">
        <x:v>ТР №2</x:v>
      </x:c>
      <x:c r="J4520" s="87" t="str">
        <x:v>МА2510204</x:v>
      </x:c>
      <x:c r="K4520" s="87" t="n">
        <x:v>21</x:v>
      </x:c>
      <x:c r="L4520" s="87" t="str">
        <x:v>Комбинаторная модель игры</x:v>
      </x:c>
      <x:c r="M4520" s="30" t="str">
        <x:v>Миша, Коля и Лёша играют в настольный теннис: игрок, проигравший партию, уступает место игроку, не участвовавшему в ней. В итоге оказалось, что Миша сыграл 12 партий, а Коля — 25. Сколько партий сыграл Лёша?</x:v>
      </x:c>
      <x:c r="N4520" s="30" t="str">
        <x:v>13</x:v>
      </x:c>
      <x:c r="O4520" s="30" t="str">
        <x:v>Учтено, что в каждой партии участвуют двое, а проигравший заменяется третьим игроком; получено согласованное число партий.</x:v>
      </x:c>
      <x:c r="P4520" s="30" t="str">
        <x:v>Условие и полный визуал просмотрены; ответ пересчитан/логически проверен и совпал с LOCKED-ключом.</x:v>
      </x:c>
      <x:c r="Q4520" s="30"/>
      <x:c r="R4520" s="30" t="str">
        <x:v>13</x:v>
      </x:c>
      <x:c r="S4520" s="30"/>
      <x:c r="T4520" s="30" t="str">
        <x:v>База.jpg (Запад)</x:v>
      </x:c>
      <x:c r="U4520" s="30" t="str">
        <x:v>Расхождений нет.</x:v>
      </x:c>
      <x:c r="V4520" s="87" t="str">
        <x:v>VERIFIED</x:v>
      </x:c>
      <x:c r="W4520" s="87"/>
      <x:c r="X4520" s="87" t="n">
        <x:v>28</x:v>
      </x:c>
      <x:c r="Y4520" s="87"/>
      <x:c r="Z4520" s="87"/>
      <x:c r="AA4520" s="87"/>
      <x:c r="AB4520" s="87" t="str">
        <x:v>таблица, строка 4</x:v>
      </x:c>
      <x:c r="AC4520" s="87" t="str">
        <x:v>VIS-MATH-DEC-BW-TASK-P028</x:v>
      </x:c>
      <x:c r="AD4520" s="87" t="str">
        <x:v>VIS-MATH-DEC-KEY-BW</x:v>
      </x:c>
      <x:c r="AE4520" s="87" t="str">
        <x:v>TASK; KEY</x:v>
      </x:c>
      <x:c r="AF4520" s="87" t="str">
        <x:v>VIS-MATH-DEC-BW-TASK-P028: 28; VIS-MATH-DEC-KEY-BW: 1</x:v>
      </x:c>
      <x:c r="AG4520" s="87" t="str">
        <x:v>RESOLVED</x:v>
      </x:c>
      <x:c r="AH4520" s="87" t="str">
        <x:v>CROP_VERIFIED</x:v>
      </x:c>
      <x:c r="AI4520" s="30" t="str">
        <x:v>{"Уровень": "Базовый"}</x:v>
      </x:c>
      <x:c r="AJ4520" s="87" t="str">
        <x:v>clean</x:v>
      </x:c>
      <x:c r="AK4520" s="87" t="str">
        <x:v>clean-v0.07</x:v>
      </x:c>
      <x:c r="AL4520" s="87" t="str">
        <x:v>statgrad_clean_continuation_v0_07(1).xlsx</x:v>
      </x:c>
      <x:c r="AM4520" s="87" t="str">
        <x:v>MATH_Dec_0204</x:v>
      </x:c>
      <x:c r="AN4520" s="87" t="n">
        <x:v>22</x:v>
      </x:c>
    </x:row>
    <x:row r="4521">
      <x:c r="A4521" s="87" t="n">
        <x:v>4520</x:v>
      </x:c>
      <x:c r="B4521" s="87" t="str">
        <x:v>DEC-MATH-05-001</x:v>
      </x:c>
      <x:c r="C4521" s="87" t="str">
        <x:v>СтатГрад</x:v>
      </x:c>
      <x:c r="D4521" s="87" t="str">
        <x:v>Декабрь 2025</x:v>
      </x:c>
      <x:c r="E4521" s="87"/>
      <x:c r="F4521" s="87"/>
      <x:c r="G4521" s="87" t="str">
        <x:v>Математика</x:v>
      </x:c>
      <x:c r="H4521" s="87" t="n">
        <x:v>11</x:v>
      </x:c>
      <x:c r="I4521" s="87" t="str">
        <x:v>ТР №2</x:v>
      </x:c>
      <x:c r="J4521" s="87" t="str">
        <x:v>МА2510205</x:v>
      </x:c>
      <x:c r="K4521" s="87" t="n">
        <x:v>1</x:v>
      </x:c>
      <x:c r="L4521" s="87" t="str">
        <x:v>Практическая арифметика</x:v>
      </x:c>
      <x:c r="M4521" s="30" t="str">
        <x:v>Стоимость полугодовой подписки на журнал составляет 2500 рублей, а стоимость одного номера журнала в киоске — 133 рубля. За полгода Аня купила 25 номеров журнала. На сколько рублей меньше она бы потратила, если бы подписалась на журнал?</x:v>
      </x:c>
      <x:c r="N4521" s="30" t="str">
        <x:v>825</x:v>
      </x:c>
      <x:c r="O4521" s="30" t="str">
        <x:v>Выполнено деление/сравнение стоимости; взята целая часть либо разность затрат.</x:v>
      </x:c>
      <x:c r="P4521" s="30" t="str">
        <x:v>Условие и полный визуал просмотрены; ответ пересчитан/логически проверен и совпал с LOCKED-ключом.</x:v>
      </x:c>
      <x:c r="Q4521" s="30"/>
      <x:c r="R4521" s="30" t="str">
        <x:v>825</x:v>
      </x:c>
      <x:c r="S4521" s="30"/>
      <x:c r="T4521" s="30" t="str">
        <x:v>База.jpg (Восток)</x:v>
      </x:c>
      <x:c r="U4521" s="30" t="str">
        <x:v>Расхождений нет.</x:v>
      </x:c>
      <x:c r="V4521" s="87" t="str">
        <x:v>VERIFIED</x:v>
      </x:c>
      <x:c r="W4521" s="87"/>
      <x:c r="X4521" s="87" t="n">
        <x:v>2</x:v>
      </x:c>
      <x:c r="Y4521" s="87"/>
      <x:c r="Z4521" s="87"/>
      <x:c r="AA4521" s="87"/>
      <x:c r="AB4521" s="87" t="str">
        <x:v>таблица, строка 5</x:v>
      </x:c>
      <x:c r="AC4521" s="87" t="str">
        <x:v>VIS-MATH-DEC-BE-TASK-P002</x:v>
      </x:c>
      <x:c r="AD4521" s="87" t="str">
        <x:v>VIS-MATH-DEC-KEY-BE</x:v>
      </x:c>
      <x:c r="AE4521" s="87" t="str">
        <x:v>TASK; KEY</x:v>
      </x:c>
      <x:c r="AF4521" s="87" t="str">
        <x:v>VIS-MATH-DEC-BE-TASK-P002: 2; VIS-MATH-DEC-KEY-BE: 1</x:v>
      </x:c>
      <x:c r="AG4521" s="87" t="str">
        <x:v>RESOLVED</x:v>
      </x:c>
      <x:c r="AH4521" s="87" t="str">
        <x:v>CROP_VERIFIED</x:v>
      </x:c>
      <x:c r="AI4521" s="30" t="str">
        <x:v>{"Уровень": "Базовый"}</x:v>
      </x:c>
      <x:c r="AJ4521" s="87" t="str">
        <x:v>clean</x:v>
      </x:c>
      <x:c r="AK4521" s="87" t="str">
        <x:v>clean-v0.07</x:v>
      </x:c>
      <x:c r="AL4521" s="87" t="str">
        <x:v>statgrad_clean_continuation_v0_07(1).xlsx</x:v>
      </x:c>
      <x:c r="AM4521" s="87" t="str">
        <x:v>MATH_Dec_0205</x:v>
      </x:c>
      <x:c r="AN4521" s="87" t="n">
        <x:v>2</x:v>
      </x:c>
    </x:row>
    <x:row r="4522">
      <x:c r="A4522" s="87" t="n">
        <x:v>4521</x:v>
      </x:c>
      <x:c r="B4522" s="87" t="str">
        <x:v>DEC-MATH-05-002</x:v>
      </x:c>
      <x:c r="C4522" s="87" t="str">
        <x:v>СтатГрад</x:v>
      </x:c>
      <x:c r="D4522" s="87" t="str">
        <x:v>Декабрь 2025</x:v>
      </x:c>
      <x:c r="E4522" s="87"/>
      <x:c r="F4522" s="87"/>
      <x:c r="G4522" s="87" t="str">
        <x:v>Математика</x:v>
      </x:c>
      <x:c r="H4522" s="87" t="n">
        <x:v>11</x:v>
      </x:c>
      <x:c r="I4522" s="87" t="str">
        <x:v>ТР №2</x:v>
      </x:c>
      <x:c r="J4522" s="87" t="str">
        <x:v>МА2510205</x:v>
      </x:c>
      <x:c r="K4522" s="87" t="n">
        <x:v>2</x:v>
      </x:c>
      <x:c r="L4522" s="87" t="str">
        <x:v>Установление соответствия</x:v>
      </x:c>
      <x:c r="M4522"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масса кухонного холодильника Б) масса автобуса В) масса новорождённого ребёнка Г) масса карандаша 1) 3500 г 2) 15 г 3) 18 т 4) 38 кг В таблице под каждой буквой, соответствующей величине, укажите номер её возможного значения. А Б В Г Ответ:</x:v>
      </x:c>
      <x:c r="N4522" s="30" t="str">
        <x:v>4312</x:v>
      </x:c>
      <x:c r="O4522" s="30" t="str">
        <x:v>Величины сопоставлены по реалистичному порядку и единицам измерения.</x:v>
      </x:c>
      <x:c r="P4522" s="30" t="str">
        <x:v>Условие и полный визуал просмотрены; ответ пересчитан/логически проверен и совпал с LOCKED-ключом.</x:v>
      </x:c>
      <x:c r="Q4522" s="30"/>
      <x:c r="R4522" s="30" t="str">
        <x:v>4312</x:v>
      </x:c>
      <x:c r="S4522" s="30"/>
      <x:c r="T4522" s="30" t="str">
        <x:v>База.jpg (Восток)</x:v>
      </x:c>
      <x:c r="U4522" s="30" t="str">
        <x:v>Расхождений нет.</x:v>
      </x:c>
      <x:c r="V4522" s="87" t="str">
        <x:v>VERIFIED</x:v>
      </x:c>
      <x:c r="W4522" s="87"/>
      <x:c r="X4522" s="87" t="n">
        <x:v>2</x:v>
      </x:c>
      <x:c r="Y4522" s="87"/>
      <x:c r="Z4522" s="87"/>
      <x:c r="AA4522" s="87"/>
      <x:c r="AB4522" s="87" t="str">
        <x:v>таблица, строка 5</x:v>
      </x:c>
      <x:c r="AC4522" s="87" t="str">
        <x:v>VIS-MATH-DEC-BE-TASK-P002</x:v>
      </x:c>
      <x:c r="AD4522" s="87" t="str">
        <x:v>VIS-MATH-DEC-KEY-BE</x:v>
      </x:c>
      <x:c r="AE4522" s="87" t="str">
        <x:v>TASK; KEY</x:v>
      </x:c>
      <x:c r="AF4522" s="87" t="str">
        <x:v>VIS-MATH-DEC-BE-TASK-P002: 2; VIS-MATH-DEC-KEY-BE: 1</x:v>
      </x:c>
      <x:c r="AG4522" s="87" t="str">
        <x:v>RESOLVED</x:v>
      </x:c>
      <x:c r="AH4522" s="87" t="str">
        <x:v>CROP_VERIFIED</x:v>
      </x:c>
      <x:c r="AI4522" s="30" t="str">
        <x:v>{"Уровень": "Базовый"}</x:v>
      </x:c>
      <x:c r="AJ4522" s="87" t="str">
        <x:v>clean</x:v>
      </x:c>
      <x:c r="AK4522" s="87" t="str">
        <x:v>clean-v0.07</x:v>
      </x:c>
      <x:c r="AL4522" s="87" t="str">
        <x:v>statgrad_clean_continuation_v0_07(1).xlsx</x:v>
      </x:c>
      <x:c r="AM4522" s="87" t="str">
        <x:v>MATH_Dec_0205</x:v>
      </x:c>
      <x:c r="AN4522" s="87" t="n">
        <x:v>3</x:v>
      </x:c>
    </x:row>
    <x:row r="4523">
      <x:c r="A4523" s="87" t="n">
        <x:v>4522</x:v>
      </x:c>
      <x:c r="B4523" s="87" t="str">
        <x:v>DEC-MATH-05-003</x:v>
      </x:c>
      <x:c r="C4523" s="87" t="str">
        <x:v>СтатГрад</x:v>
      </x:c>
      <x:c r="D4523" s="87" t="str">
        <x:v>Декабрь 2025</x:v>
      </x:c>
      <x:c r="E4523" s="87"/>
      <x:c r="F4523" s="87"/>
      <x:c r="G4523" s="87" t="str">
        <x:v>Математика</x:v>
      </x:c>
      <x:c r="H4523" s="87" t="n">
        <x:v>11</x:v>
      </x:c>
      <x:c r="I4523" s="87" t="str">
        <x:v>ТР №2</x:v>
      </x:c>
      <x:c r="J4523" s="87" t="str">
        <x:v>МА2510205</x:v>
      </x:c>
      <x:c r="K4523" s="87" t="n">
        <x:v>3</x:v>
      </x:c>
      <x:c r="L4523" s="87" t="str">
        <x:v>Анализ таблицы</x:v>
      </x:c>
      <x:c r="M4523" s="30" t="str">
        <x:v>Результаты эстафет, которые проводились в школе, представлены в таблице. Команда I эстафета, баллы II эстафета, баллы III эстафета, баллы «Непобедимые» 1 3 2 «Прорыв» 4 1 4 «Чемпионы» 3 4 3 «Тайфун» 2 2 1 При подведении итогов для каждой команды баллы по всем эстафетам суммируются. Побеждает команда, набравшая наибольшее количество баллов. Какое итоговое место заняла команда «Чемпионы»?</x:v>
      </x:c>
      <x:c r="N4523" s="30" t="str">
        <x:v>1</x:v>
      </x:c>
      <x:c r="O4523" s="30" t="str">
        <x:v>Баллы в строках сложены, после чего определено место указанной команды.</x:v>
      </x:c>
      <x:c r="P4523" s="30" t="str">
        <x:v>Условие и полный визуал просмотрены; ответ пересчитан/логически проверен и совпал с LOCKED-ключом.</x:v>
      </x:c>
      <x:c r="Q4523" s="30"/>
      <x:c r="R4523" s="30" t="str">
        <x:v>1</x:v>
      </x:c>
      <x:c r="S4523" s="30"/>
      <x:c r="T4523" s="30" t="str">
        <x:v>База.jpg (Восток)</x:v>
      </x:c>
      <x:c r="U4523" s="30" t="str">
        <x:v>Расхождений нет.</x:v>
      </x:c>
      <x:c r="V4523" s="87" t="str">
        <x:v>VERIFIED</x:v>
      </x:c>
      <x:c r="W4523" s="87"/>
      <x:c r="X4523" s="87" t="n">
        <x:v>2</x:v>
      </x:c>
      <x:c r="Y4523" s="87"/>
      <x:c r="Z4523" s="87"/>
      <x:c r="AA4523" s="87"/>
      <x:c r="AB4523" s="87" t="str">
        <x:v>таблица, строка 5</x:v>
      </x:c>
      <x:c r="AC4523" s="87" t="str">
        <x:v>VIS-MATH-DEC-BE-TASK-P002</x:v>
      </x:c>
      <x:c r="AD4523" s="87" t="str">
        <x:v>VIS-MATH-DEC-KEY-BE</x:v>
      </x:c>
      <x:c r="AE4523" s="87" t="str">
        <x:v>TASK; KEY</x:v>
      </x:c>
      <x:c r="AF4523" s="87" t="str">
        <x:v>VIS-MATH-DEC-BE-TASK-P002: 2; VIS-MATH-DEC-KEY-BE: 1</x:v>
      </x:c>
      <x:c r="AG4523" s="87" t="str">
        <x:v>RESOLVED</x:v>
      </x:c>
      <x:c r="AH4523" s="87" t="str">
        <x:v>CROP_VERIFIED</x:v>
      </x:c>
      <x:c r="AI4523" s="30" t="str">
        <x:v>{"Уровень": "Базовый"}</x:v>
      </x:c>
      <x:c r="AJ4523" s="87" t="str">
        <x:v>clean</x:v>
      </x:c>
      <x:c r="AK4523" s="87" t="str">
        <x:v>clean-v0.07</x:v>
      </x:c>
      <x:c r="AL4523" s="87" t="str">
        <x:v>statgrad_clean_continuation_v0_07(1).xlsx</x:v>
      </x:c>
      <x:c r="AM4523" s="87" t="str">
        <x:v>MATH_Dec_0205</x:v>
      </x:c>
      <x:c r="AN4523" s="87" t="n">
        <x:v>4</x:v>
      </x:c>
    </x:row>
    <x:row r="4524">
      <x:c r="A4524" s="87" t="n">
        <x:v>4523</x:v>
      </x:c>
      <x:c r="B4524" s="87" t="str">
        <x:v>DEC-MATH-05-004</x:v>
      </x:c>
      <x:c r="C4524" s="87" t="str">
        <x:v>СтатГрад</x:v>
      </x:c>
      <x:c r="D4524" s="87" t="str">
        <x:v>Декабрь 2025</x:v>
      </x:c>
      <x:c r="E4524" s="87"/>
      <x:c r="F4524" s="87"/>
      <x:c r="G4524" s="87" t="str">
        <x:v>Математика</x:v>
      </x:c>
      <x:c r="H4524" s="87" t="n">
        <x:v>11</x:v>
      </x:c>
      <x:c r="I4524" s="87" t="str">
        <x:v>ТР №2</x:v>
      </x:c>
      <x:c r="J4524" s="87" t="str">
        <x:v>МА2510205</x:v>
      </x:c>
      <x:c r="K4524" s="87" t="n">
        <x:v>4</x:v>
      </x:c>
      <x:c r="L4524" s="87" t="str">
        <x:v>Применение формулы</x:v>
      </x:c>
      <x:c r="M4524" s="30" t="str">
        <x:v>Площадь четырёхугольника можно вычислить по формуле 1 2 1 sinα 2 S d d = , где 1 d и 2 d — длины диагоналей четырёхугольника, α — угол между диагоналями. Пользуясь этой формулой, найдите длину диагонали 1 d , если 2 18 d = , 1 sinα 3 = , a 27 S = .</x:v>
      </x:c>
      <x:c r="N4524" s="30" t="str">
        <x:v>9</x:v>
      </x:c>
      <x:c r="O4524" s="30" t="str">
        <x:v>Данные подставлены в указанную формулу, неизвестная величина выражена алгебраически.</x:v>
      </x:c>
      <x:c r="P4524" s="30" t="str">
        <x:v>Условие и полный визуал просмотрены; ответ пересчитан/логически проверен и совпал с LOCKED-ключом.</x:v>
      </x:c>
      <x:c r="Q4524" s="30"/>
      <x:c r="R4524" s="30" t="str">
        <x:v>9</x:v>
      </x:c>
      <x:c r="S4524" s="30"/>
      <x:c r="T4524" s="30" t="str">
        <x:v>База.jpg (Восток)</x:v>
      </x:c>
      <x:c r="U4524" s="30" t="str">
        <x:v>Расхождений нет.</x:v>
      </x:c>
      <x:c r="V4524" s="87" t="str">
        <x:v>VERIFIED</x:v>
      </x:c>
      <x:c r="W4524" s="87"/>
      <x:c r="X4524" s="87" t="n">
        <x:v>3</x:v>
      </x:c>
      <x:c r="Y4524" s="87"/>
      <x:c r="Z4524" s="87"/>
      <x:c r="AA4524" s="87"/>
      <x:c r="AB4524" s="87" t="str">
        <x:v>таблица, строка 5</x:v>
      </x:c>
      <x:c r="AC4524" s="87" t="str">
        <x:v>VIS-MATH-DEC-BE-TASK-P003</x:v>
      </x:c>
      <x:c r="AD4524" s="87" t="str">
        <x:v>VIS-MATH-DEC-KEY-BE</x:v>
      </x:c>
      <x:c r="AE4524" s="87" t="str">
        <x:v>TASK; KEY</x:v>
      </x:c>
      <x:c r="AF4524" s="87" t="str">
        <x:v>VIS-MATH-DEC-BE-TASK-P003: 3; VIS-MATH-DEC-KEY-BE: 1</x:v>
      </x:c>
      <x:c r="AG4524" s="87" t="str">
        <x:v>RESOLVED</x:v>
      </x:c>
      <x:c r="AH4524" s="87" t="str">
        <x:v>CROP_VERIFIED</x:v>
      </x:c>
      <x:c r="AI4524" s="30" t="str">
        <x:v>{"Уровень": "Базовый"}</x:v>
      </x:c>
      <x:c r="AJ4524" s="87" t="str">
        <x:v>clean</x:v>
      </x:c>
      <x:c r="AK4524" s="87" t="str">
        <x:v>clean-v0.07</x:v>
      </x:c>
      <x:c r="AL4524" s="87" t="str">
        <x:v>statgrad_clean_continuation_v0_07(1).xlsx</x:v>
      </x:c>
      <x:c r="AM4524" s="87" t="str">
        <x:v>MATH_Dec_0205</x:v>
      </x:c>
      <x:c r="AN4524" s="87" t="n">
        <x:v>5</x:v>
      </x:c>
    </x:row>
    <x:row r="4525">
      <x:c r="A4525" s="87" t="n">
        <x:v>4524</x:v>
      </x:c>
      <x:c r="B4525" s="87" t="str">
        <x:v>DEC-MATH-05-005</x:v>
      </x:c>
      <x:c r="C4525" s="87" t="str">
        <x:v>СтатГрад</x:v>
      </x:c>
      <x:c r="D4525" s="87" t="str">
        <x:v>Декабрь 2025</x:v>
      </x:c>
      <x:c r="E4525" s="87"/>
      <x:c r="F4525" s="87"/>
      <x:c r="G4525" s="87" t="str">
        <x:v>Математика</x:v>
      </x:c>
      <x:c r="H4525" s="87" t="n">
        <x:v>11</x:v>
      </x:c>
      <x:c r="I4525" s="87" t="str">
        <x:v>ТР №2</x:v>
      </x:c>
      <x:c r="J4525" s="87" t="str">
        <x:v>МА2510205</x:v>
      </x:c>
      <x:c r="K4525" s="87" t="n">
        <x:v>5</x:v>
      </x:c>
      <x:c r="L4525" s="87" t="str">
        <x:v>Классическая вероятность</x:v>
      </x:c>
      <x:c r="M4525" s="30" t="str">
        <x:v>В кармане у Саши было четыре конфеты: «Грильяж», «Взлётная», «Коровка» и «Мишка», а также ключи от квартиры. Вынимая ключи, Саша случайно выронил из кармана одну конфету. Найдите вероятность того, что упала конфета «Взлётная».</x:v>
      </x:c>
      <x:c r="N4525" s="30" t="str">
        <x:v>0,25</x:v>
      </x:c>
      <x:c r="O4525" s="30" t="str">
        <x:v>Вероятность равна отношению числа благоприятных исходов к общему числу равновозможных исходов.</x:v>
      </x:c>
      <x:c r="P4525" s="30" t="str">
        <x:v>Условие и полный визуал просмотрены; ответ пересчитан/логически проверен и совпал с LOCKED-ключом.</x:v>
      </x:c>
      <x:c r="Q4525" s="30"/>
      <x:c r="R4525" s="30" t="str">
        <x:v>0,25</x:v>
      </x:c>
      <x:c r="S4525" s="30"/>
      <x:c r="T4525" s="30" t="str">
        <x:v>База.jpg (Восток)</x:v>
      </x:c>
      <x:c r="U4525" s="30" t="str">
        <x:v>Расхождений нет.</x:v>
      </x:c>
      <x:c r="V4525" s="87" t="str">
        <x:v>VERIFIED</x:v>
      </x:c>
      <x:c r="W4525" s="87"/>
      <x:c r="X4525" s="87" t="n">
        <x:v>3</x:v>
      </x:c>
      <x:c r="Y4525" s="87"/>
      <x:c r="Z4525" s="87"/>
      <x:c r="AA4525" s="87"/>
      <x:c r="AB4525" s="87" t="str">
        <x:v>таблица, строка 5</x:v>
      </x:c>
      <x:c r="AC4525" s="87" t="str">
        <x:v>VIS-MATH-DEC-BE-TASK-P003</x:v>
      </x:c>
      <x:c r="AD4525" s="87" t="str">
        <x:v>VIS-MATH-DEC-KEY-BE</x:v>
      </x:c>
      <x:c r="AE4525" s="87" t="str">
        <x:v>TASK; KEY</x:v>
      </x:c>
      <x:c r="AF4525" s="87" t="str">
        <x:v>VIS-MATH-DEC-BE-TASK-P003: 3; VIS-MATH-DEC-KEY-BE: 1</x:v>
      </x:c>
      <x:c r="AG4525" s="87" t="str">
        <x:v>RESOLVED</x:v>
      </x:c>
      <x:c r="AH4525" s="87" t="str">
        <x:v>CROP_VERIFIED</x:v>
      </x:c>
      <x:c r="AI4525" s="30" t="str">
        <x:v>{"Уровень": "Базовый"}</x:v>
      </x:c>
      <x:c r="AJ4525" s="87" t="str">
        <x:v>clean</x:v>
      </x:c>
      <x:c r="AK4525" s="87" t="str">
        <x:v>clean-v0.07</x:v>
      </x:c>
      <x:c r="AL4525" s="87" t="str">
        <x:v>statgrad_clean_continuation_v0_07(1).xlsx</x:v>
      </x:c>
      <x:c r="AM4525" s="87" t="str">
        <x:v>MATH_Dec_0205</x:v>
      </x:c>
      <x:c r="AN4525" s="87" t="n">
        <x:v>6</x:v>
      </x:c>
    </x:row>
    <x:row r="4526">
      <x:c r="A4526" s="87" t="n">
        <x:v>4525</x:v>
      </x:c>
      <x:c r="B4526" s="87" t="str">
        <x:v>DEC-MATH-05-006</x:v>
      </x:c>
      <x:c r="C4526" s="87" t="str">
        <x:v>СтатГрад</x:v>
      </x:c>
      <x:c r="D4526" s="87" t="str">
        <x:v>Декабрь 2025</x:v>
      </x:c>
      <x:c r="E4526" s="87"/>
      <x:c r="F4526" s="87"/>
      <x:c r="G4526" s="87" t="str">
        <x:v>Математика</x:v>
      </x:c>
      <x:c r="H4526" s="87" t="n">
        <x:v>11</x:v>
      </x:c>
      <x:c r="I4526" s="87" t="str">
        <x:v>ТР №2</x:v>
      </x:c>
      <x:c r="J4526" s="87" t="str">
        <x:v>МА2510205</x:v>
      </x:c>
      <x:c r="K4526" s="87" t="n">
        <x:v>6</x:v>
      </x:c>
      <x:c r="L4526" s="87" t="str">
        <x:v>Выбор по условиям</x:v>
      </x:c>
      <x:c r="M4526" s="30" t="str">
        <x:v>Для обработки дачного участка дачнику необходимо приобрести лопату, тяпку, вилы и грабли. В магазине продаются наборы инструментов, некоторые наборы состоят только из одного инструмента. Цены приведены в таблице. Номер набора Инструменты Стоимость (руб.) 1 грабли, тяпка 1500 2 тяпка 730 3 вилы 1000 4 вилы, лопата 1700 5 лопата 850 6 грабли, лопата 1570 Пользуясь таблицей, соберите полный комплект необходимых инструментов так, чтобы суммарная стоимость была наименьшей. В ответе для собранного комплекта укажите номера наборов без пробелов, запятых и других дополнительных символов.</x:v>
      </x:c>
      <x:c r="N4526" s="30" t="str">
        <x:v>14</x:v>
      </x:c>
      <x:c r="O4526" s="30" t="str">
        <x:v>Набор проверен по всем ограничениям: типы, обязательный ингредиент и бюджет.</x:v>
      </x:c>
      <x:c r="P4526" s="30" t="str">
        <x:v>Условие и полный визуал просмотрены; ответ пересчитан/логически проверен и совпал с LOCKED-ключом.</x:v>
      </x:c>
      <x:c r="Q4526" s="30"/>
      <x:c r="R4526" s="30" t="str">
        <x:v>14</x:v>
      </x:c>
      <x:c r="S4526" s="30"/>
      <x:c r="T4526" s="30" t="str">
        <x:v>База.jpg (Восток)</x:v>
      </x:c>
      <x:c r="U4526" s="30" t="str">
        <x:v>Расхождений нет.</x:v>
      </x:c>
      <x:c r="V4526" s="87" t="str">
        <x:v>VERIFIED</x:v>
      </x:c>
      <x:c r="W4526" s="87"/>
      <x:c r="X4526" s="87" t="n">
        <x:v>3</x:v>
      </x:c>
      <x:c r="Y4526" s="87"/>
      <x:c r="Z4526" s="87"/>
      <x:c r="AA4526" s="87"/>
      <x:c r="AB4526" s="87" t="str">
        <x:v>таблица, строка 5</x:v>
      </x:c>
      <x:c r="AC4526" s="87" t="str">
        <x:v>VIS-MATH-DEC-BE-TASK-P003</x:v>
      </x:c>
      <x:c r="AD4526" s="87" t="str">
        <x:v>VIS-MATH-DEC-KEY-BE</x:v>
      </x:c>
      <x:c r="AE4526" s="87" t="str">
        <x:v>TASK; KEY</x:v>
      </x:c>
      <x:c r="AF4526" s="87" t="str">
        <x:v>VIS-MATH-DEC-BE-TASK-P003: 3; VIS-MATH-DEC-KEY-BE: 1</x:v>
      </x:c>
      <x:c r="AG4526" s="87" t="str">
        <x:v>RESOLVED</x:v>
      </x:c>
      <x:c r="AH4526" s="87" t="str">
        <x:v>CROP_VERIFIED</x:v>
      </x:c>
      <x:c r="AI4526" s="30" t="str">
        <x:v>{"Уровень": "Базовый"}</x:v>
      </x:c>
      <x:c r="AJ4526" s="87" t="str">
        <x:v>clean</x:v>
      </x:c>
      <x:c r="AK4526" s="87" t="str">
        <x:v>clean-v0.07</x:v>
      </x:c>
      <x:c r="AL4526" s="87" t="str">
        <x:v>statgrad_clean_continuation_v0_07(1).xlsx</x:v>
      </x:c>
      <x:c r="AM4526" s="87" t="str">
        <x:v>MATH_Dec_0205</x:v>
      </x:c>
      <x:c r="AN4526" s="87" t="n">
        <x:v>7</x:v>
      </x:c>
    </x:row>
    <x:row r="4527">
      <x:c r="A4527" s="87" t="n">
        <x:v>4526</x:v>
      </x:c>
      <x:c r="B4527" s="87" t="str">
        <x:v>DEC-MATH-05-007</x:v>
      </x:c>
      <x:c r="C4527" s="87" t="str">
        <x:v>СтатГрад</x:v>
      </x:c>
      <x:c r="D4527" s="87" t="str">
        <x:v>Декабрь 2025</x:v>
      </x:c>
      <x:c r="E4527" s="87"/>
      <x:c r="F4527" s="87"/>
      <x:c r="G4527" s="87" t="str">
        <x:v>Математика</x:v>
      </x:c>
      <x:c r="H4527" s="87" t="n">
        <x:v>11</x:v>
      </x:c>
      <x:c r="I4527" s="87" t="str">
        <x:v>ТР №2</x:v>
      </x:c>
      <x:c r="J4527" s="87" t="str">
        <x:v>МА2510205</x:v>
      </x:c>
      <x:c r="K4527" s="87" t="n">
        <x:v>7</x:v>
      </x:c>
      <x:c r="L4527" s="87" t="str">
        <x:v>Анализ графика</x:v>
      </x:c>
      <x:c r="M4527" s="30" t="str">
        <x:v>Установите соответствие между графиками функций и характеристиками этих функций на отрезке [ ] 1;1 − . ГРАФИКИ А) y y В) 1 1 1 –1 1 –1 0 x 0 x –1 –1 y y Б) Г) 1 1 1 –1 0 x 1 –1 0 x –1 –1 ХАРАКТЕРИСТИКИ 1) Функция принимает отрицательное значение в каждой точке отрезка [ ] 1;1 . − 2) Функция возрастает на отрезке [ ] 1;1 . − 3) Функция убывает на отрезке [ ] 1;1 . − 4) Функция принимает положительное значение в каждой точке отрезка [ ] 1;1 . − В таблице под каждой буквой укажите соответствующий номер. А Б В Г Ответ:</x:v>
      </x:c>
      <x:c r="N4527" s="30" t="str">
        <x:v>4321</x:v>
      </x:c>
      <x:c r="O4527" s="30" t="str">
        <x:v>По графику определены знак и монотонность функции на четырёх интервалах.</x:v>
      </x:c>
      <x:c r="P4527" s="30" t="str">
        <x:v>Условие и полный визуал просмотрены; ответ пересчитан/логически проверен и совпал с LOCKED-ключом.</x:v>
      </x:c>
      <x:c r="Q4527" s="30"/>
      <x:c r="R4527" s="30" t="str">
        <x:v>4321</x:v>
      </x:c>
      <x:c r="S4527" s="30"/>
      <x:c r="T4527" s="30" t="str">
        <x:v>База.jpg (Восток)</x:v>
      </x:c>
      <x:c r="U4527" s="30" t="str">
        <x:v>Расхождений нет.</x:v>
      </x:c>
      <x:c r="V4527" s="87" t="str">
        <x:v>VERIFIED</x:v>
      </x:c>
      <x:c r="W4527" s="87"/>
      <x:c r="X4527" s="87" t="n">
        <x:v>4</x:v>
      </x:c>
      <x:c r="Y4527" s="87"/>
      <x:c r="Z4527" s="87"/>
      <x:c r="AA4527" s="87"/>
      <x:c r="AB4527" s="87" t="str">
        <x:v>таблица, строка 5</x:v>
      </x:c>
      <x:c r="AC4527" s="87" t="str">
        <x:v>VIS-MATH-DEC-BE-TASK-P004</x:v>
      </x:c>
      <x:c r="AD4527" s="87" t="str">
        <x:v>VIS-MATH-DEC-KEY-BE</x:v>
      </x:c>
      <x:c r="AE4527" s="87" t="str">
        <x:v>TASK; KEY</x:v>
      </x:c>
      <x:c r="AF4527" s="87" t="str">
        <x:v>VIS-MATH-DEC-BE-TASK-P004: 4; VIS-MATH-DEC-KEY-BE: 1</x:v>
      </x:c>
      <x:c r="AG4527" s="87" t="str">
        <x:v>RESOLVED</x:v>
      </x:c>
      <x:c r="AH4527" s="87" t="str">
        <x:v>CROP_VERIFIED</x:v>
      </x:c>
      <x:c r="AI4527" s="30" t="str">
        <x:v>{"Уровень": "Базовый"}</x:v>
      </x:c>
      <x:c r="AJ4527" s="87" t="str">
        <x:v>clean</x:v>
      </x:c>
      <x:c r="AK4527" s="87" t="str">
        <x:v>clean-v0.07</x:v>
      </x:c>
      <x:c r="AL4527" s="87" t="str">
        <x:v>statgrad_clean_continuation_v0_07(1).xlsx</x:v>
      </x:c>
      <x:c r="AM4527" s="87" t="str">
        <x:v>MATH_Dec_0205</x:v>
      </x:c>
      <x:c r="AN4527" s="87" t="n">
        <x:v>8</x:v>
      </x:c>
    </x:row>
    <x:row r="4528">
      <x:c r="A4528" s="87" t="n">
        <x:v>4527</x:v>
      </x:c>
      <x:c r="B4528" s="87" t="str">
        <x:v>DEC-MATH-05-008</x:v>
      </x:c>
      <x:c r="C4528" s="87" t="str">
        <x:v>СтатГрад</x:v>
      </x:c>
      <x:c r="D4528" s="87" t="str">
        <x:v>Декабрь 2025</x:v>
      </x:c>
      <x:c r="E4528" s="87"/>
      <x:c r="F4528" s="87"/>
      <x:c r="G4528" s="87" t="str">
        <x:v>Математика</x:v>
      </x:c>
      <x:c r="H4528" s="87" t="n">
        <x:v>11</x:v>
      </x:c>
      <x:c r="I4528" s="87" t="str">
        <x:v>ТР №2</x:v>
      </x:c>
      <x:c r="J4528" s="87" t="str">
        <x:v>МА2510205</x:v>
      </x:c>
      <x:c r="K4528" s="87" t="n">
        <x:v>8</x:v>
      </x:c>
      <x:c r="L4528" s="87" t="str">
        <x:v>Логические утверждения</x:v>
      </x:c>
      <x:c r="M4528" s="30" t="str">
        <x:v>Когда учитель математики Иван Петрович ведёт урок, он обязательно отключает свой телефон. Выберите утверждения, которые верны при приведённом условии. 1) Если телефон Ивана Петровича включён, значит, он не ведёт урок. 2) Если телефон Ивана Петровича включён, значит, он ведёт урок. 3) Если Иван Петрович проводит на уроке контрольную работу по математике, значит, его телефон выключен. 4) Если Иван Петрович ведёт урок математики, значит, его телефон включён. В ответе запишите номера выбранных утверждений без пробелов, запятых и других дополнительных символов.</x:v>
      </x:c>
      <x:c r="N4528" s="30" t="str">
        <x:v>13</x:v>
      </x:c>
      <x:c r="O4528" s="30" t="str">
        <x:v>Использовано условие непересечения двух множеств; выбраны утверждения, истинные при любом составе второго множества.</x:v>
      </x:c>
      <x:c r="P4528" s="30" t="str">
        <x:v>Условие и полный визуал просмотрены; ответ пересчитан/логически проверен и совпал с LOCKED-ключом.</x:v>
      </x:c>
      <x:c r="Q4528" s="30"/>
      <x:c r="R4528" s="30" t="str">
        <x:v>13</x:v>
      </x:c>
      <x:c r="S4528" s="30"/>
      <x:c r="T4528" s="30" t="str">
        <x:v>База.jpg (Восток)</x:v>
      </x:c>
      <x:c r="U4528" s="30" t="str">
        <x:v>Расхождений нет.</x:v>
      </x:c>
      <x:c r="V4528" s="87" t="str">
        <x:v>VERIFIED</x:v>
      </x:c>
      <x:c r="W4528" s="87"/>
      <x:c r="X4528" s="87" t="n">
        <x:v>5</x:v>
      </x:c>
      <x:c r="Y4528" s="87"/>
      <x:c r="Z4528" s="87"/>
      <x:c r="AA4528" s="87"/>
      <x:c r="AB4528" s="87" t="str">
        <x:v>таблица, строка 5</x:v>
      </x:c>
      <x:c r="AC4528" s="87" t="str">
        <x:v>VIS-MATH-DEC-BE-TASK-P005</x:v>
      </x:c>
      <x:c r="AD4528" s="87" t="str">
        <x:v>VIS-MATH-DEC-KEY-BE</x:v>
      </x:c>
      <x:c r="AE4528" s="87" t="str">
        <x:v>TASK; KEY</x:v>
      </x:c>
      <x:c r="AF4528" s="87" t="str">
        <x:v>VIS-MATH-DEC-BE-TASK-P005: 5; VIS-MATH-DEC-KEY-BE: 1</x:v>
      </x:c>
      <x:c r="AG4528" s="87" t="str">
        <x:v>RESOLVED</x:v>
      </x:c>
      <x:c r="AH4528" s="87" t="str">
        <x:v>CROP_VERIFIED</x:v>
      </x:c>
      <x:c r="AI4528" s="30" t="str">
        <x:v>{"Уровень": "Базовый"}</x:v>
      </x:c>
      <x:c r="AJ4528" s="87" t="str">
        <x:v>clean</x:v>
      </x:c>
      <x:c r="AK4528" s="87" t="str">
        <x:v>clean-v0.07</x:v>
      </x:c>
      <x:c r="AL4528" s="87" t="str">
        <x:v>statgrad_clean_continuation_v0_07(1).xlsx</x:v>
      </x:c>
      <x:c r="AM4528" s="87" t="str">
        <x:v>MATH_Dec_0205</x:v>
      </x:c>
      <x:c r="AN4528" s="87" t="n">
        <x:v>9</x:v>
      </x:c>
    </x:row>
    <x:row r="4529">
      <x:c r="A4529" s="87" t="n">
        <x:v>4528</x:v>
      </x:c>
      <x:c r="B4529" s="87" t="str">
        <x:v>DEC-MATH-05-009</x:v>
      </x:c>
      <x:c r="C4529" s="87" t="str">
        <x:v>СтатГрад</x:v>
      </x:c>
      <x:c r="D4529" s="87" t="str">
        <x:v>Декабрь 2025</x:v>
      </x:c>
      <x:c r="E4529" s="87"/>
      <x:c r="F4529" s="87"/>
      <x:c r="G4529" s="87" t="str">
        <x:v>Математика</x:v>
      </x:c>
      <x:c r="H4529" s="87" t="n">
        <x:v>11</x:v>
      </x:c>
      <x:c r="I4529" s="87" t="str">
        <x:v>ТР №2</x:v>
      </x:c>
      <x:c r="J4529" s="87" t="str">
        <x:v>МА2510205</x:v>
      </x:c>
      <x:c r="K4529" s="87" t="n">
        <x:v>9</x:v>
      </x:c>
      <x:c r="L4529" s="87" t="str">
        <x:v>Площадь по клеткам</x:v>
      </x:c>
      <x:c r="M4529" s="30" t="str">
        <x:v>В ответе запишите номера выбранных утверждений без пробелов, запятых и других дополнительных символов. План местности разбит на клетки. Каждая клетка обозначает квадрат 1м 1м × . Найдите площадь участка, выделенного на плане. Ответ дайте в квадратных метрах.</x:v>
      </x:c>
      <x:c r="N4529" s="30" t="str">
        <x:v>18</x:v>
      </x:c>
      <x:c r="O4529" s="30" t="str">
        <x:v>Площадь получена подсчётом целых и составных клеток на полном изображении задания.</x:v>
      </x:c>
      <x:c r="P4529" s="30" t="str">
        <x:v>Условие и полный визуал просмотрены; ответ пересчитан/логически проверен и совпал с LOCKED-ключом.</x:v>
      </x:c>
      <x:c r="Q4529" s="30"/>
      <x:c r="R4529" s="30" t="str">
        <x:v>18</x:v>
      </x:c>
      <x:c r="S4529" s="30"/>
      <x:c r="T4529" s="30" t="str">
        <x:v>База.jpg (Восток)</x:v>
      </x:c>
      <x:c r="U4529" s="30" t="str">
        <x:v>Расхождений нет.</x:v>
      </x:c>
      <x:c r="V4529" s="87" t="str">
        <x:v>VERIFIED</x:v>
      </x:c>
      <x:c r="W4529" s="87"/>
      <x:c r="X4529" s="87" t="n">
        <x:v>5</x:v>
      </x:c>
      <x:c r="Y4529" s="87"/>
      <x:c r="Z4529" s="87"/>
      <x:c r="AA4529" s="87"/>
      <x:c r="AB4529" s="87" t="str">
        <x:v>таблица, строка 5</x:v>
      </x:c>
      <x:c r="AC4529" s="87" t="str">
        <x:v>VIS-MATH-DEC-BE-TASK-P005</x:v>
      </x:c>
      <x:c r="AD4529" s="87" t="str">
        <x:v>VIS-MATH-DEC-KEY-BE</x:v>
      </x:c>
      <x:c r="AE4529" s="87" t="str">
        <x:v>TASK; KEY</x:v>
      </x:c>
      <x:c r="AF4529" s="87" t="str">
        <x:v>VIS-MATH-DEC-BE-TASK-P005: 5; VIS-MATH-DEC-KEY-BE: 1</x:v>
      </x:c>
      <x:c r="AG4529" s="87" t="str">
        <x:v>RESOLVED</x:v>
      </x:c>
      <x:c r="AH4529" s="87" t="str">
        <x:v>CROP_VERIFIED; TASK_CROP_QA_APPROVED:USE_TIGHT</x:v>
      </x:c>
      <x:c r="AI4529" s="30" t="str">
        <x:v>{"Уровень": "Базовый"}</x:v>
      </x:c>
      <x:c r="AJ4529" s="87" t="str">
        <x:v>clean</x:v>
      </x:c>
      <x:c r="AK4529" s="87" t="str">
        <x:v>clean-v0.07</x:v>
      </x:c>
      <x:c r="AL4529" s="87" t="str">
        <x:v>statgrad_clean_continuation_v0_07(1).xlsx</x:v>
      </x:c>
      <x:c r="AM4529" s="87" t="str">
        <x:v>MATH_Dec_0205</x:v>
      </x:c>
      <x:c r="AN4529" s="87" t="n">
        <x:v>10</x:v>
      </x:c>
    </x:row>
    <x:row r="4530">
      <x:c r="A4530" s="87" t="n">
        <x:v>4529</x:v>
      </x:c>
      <x:c r="B4530" s="87" t="str">
        <x:v>DEC-MATH-05-010</x:v>
      </x:c>
      <x:c r="C4530" s="87" t="str">
        <x:v>СтатГрад</x:v>
      </x:c>
      <x:c r="D4530" s="87" t="str">
        <x:v>Декабрь 2025</x:v>
      </x:c>
      <x:c r="E4530" s="87"/>
      <x:c r="F4530" s="87"/>
      <x:c r="G4530" s="87" t="str">
        <x:v>Математика</x:v>
      </x:c>
      <x:c r="H4530" s="87" t="n">
        <x:v>11</x:v>
      </x:c>
      <x:c r="I4530" s="87" t="str">
        <x:v>ТР №2</x:v>
      </x:c>
      <x:c r="J4530" s="87" t="str">
        <x:v>МА2510205</x:v>
      </x:c>
      <x:c r="K4530" s="87" t="n">
        <x:v>10</x:v>
      </x:c>
      <x:c r="L4530" s="87" t="str">
        <x:v>Угол в окружности</x:v>
      </x:c>
      <x:c r="M4530" s="30" t="str">
        <x:v>Какой наименьший угол (в градусах) образуют минутная и часовая стрелки часов в 18:00? 10 11 12 1 2 3 9 7 8 4 5 6</x:v>
      </x:c>
      <x:c r="N4530" s="30" t="str">
        <x:v>180</x:v>
      </x:c>
      <x:c r="O4530" s="30" t="str">
        <x:v>Полный угол 360° разделён на число равных промежутков между спицами.</x:v>
      </x:c>
      <x:c r="P4530" s="30" t="str">
        <x:v>Условие и полный визуал просмотрены; ответ пересчитан/логически проверен и совпал с LOCKED-ключом.</x:v>
      </x:c>
      <x:c r="Q4530" s="30"/>
      <x:c r="R4530" s="30" t="str">
        <x:v>180</x:v>
      </x:c>
      <x:c r="S4530" s="30"/>
      <x:c r="T4530" s="30" t="str">
        <x:v>База.jpg (Восток)</x:v>
      </x:c>
      <x:c r="U4530" s="30" t="str">
        <x:v>Расхождений нет.</x:v>
      </x:c>
      <x:c r="V4530" s="87" t="str">
        <x:v>VERIFIED</x:v>
      </x:c>
      <x:c r="W4530" s="87"/>
      <x:c r="X4530" s="87" t="n">
        <x:v>5</x:v>
      </x:c>
      <x:c r="Y4530" s="87"/>
      <x:c r="Z4530" s="87"/>
      <x:c r="AA4530" s="87"/>
      <x:c r="AB4530" s="87" t="str">
        <x:v>таблица, строка 5</x:v>
      </x:c>
      <x:c r="AC4530" s="87" t="str">
        <x:v>VIS-MATH-DEC-BE-TASK-P005</x:v>
      </x:c>
      <x:c r="AD4530" s="87" t="str">
        <x:v>VIS-MATH-DEC-KEY-BE</x:v>
      </x:c>
      <x:c r="AE4530" s="87" t="str">
        <x:v>TASK; KEY</x:v>
      </x:c>
      <x:c r="AF4530" s="87" t="str">
        <x:v>VIS-MATH-DEC-BE-TASK-P005: 5; VIS-MATH-DEC-KEY-BE: 1</x:v>
      </x:c>
      <x:c r="AG4530" s="87" t="str">
        <x:v>RESOLVED</x:v>
      </x:c>
      <x:c r="AH4530" s="87" t="str">
        <x:v>CROP_VERIFIED</x:v>
      </x:c>
      <x:c r="AI4530" s="30" t="str">
        <x:v>{"Уровень": "Базовый"}</x:v>
      </x:c>
      <x:c r="AJ4530" s="87" t="str">
        <x:v>clean</x:v>
      </x:c>
      <x:c r="AK4530" s="87" t="str">
        <x:v>clean-v0.07</x:v>
      </x:c>
      <x:c r="AL4530" s="87" t="str">
        <x:v>statgrad_clean_continuation_v0_07(1).xlsx</x:v>
      </x:c>
      <x:c r="AM4530" s="87" t="str">
        <x:v>MATH_Dec_0205</x:v>
      </x:c>
      <x:c r="AN4530" s="87" t="n">
        <x:v>11</x:v>
      </x:c>
    </x:row>
    <x:row r="4531">
      <x:c r="A4531" s="87" t="n">
        <x:v>4530</x:v>
      </x:c>
      <x:c r="B4531" s="87" t="str">
        <x:v>DEC-MATH-05-011</x:v>
      </x:c>
      <x:c r="C4531" s="87" t="str">
        <x:v>СтатГрад</x:v>
      </x:c>
      <x:c r="D4531" s="87" t="str">
        <x:v>Декабрь 2025</x:v>
      </x:c>
      <x:c r="E4531" s="87"/>
      <x:c r="F4531" s="87"/>
      <x:c r="G4531" s="87" t="str">
        <x:v>Математика</x:v>
      </x:c>
      <x:c r="H4531" s="87" t="n">
        <x:v>11</x:v>
      </x:c>
      <x:c r="I4531" s="87" t="str">
        <x:v>ТР №2</x:v>
      </x:c>
      <x:c r="J4531" s="87" t="str">
        <x:v>МА2510205</x:v>
      </x:c>
      <x:c r="K4531" s="87" t="n">
        <x:v>11</x:v>
      </x:c>
      <x:c r="L4531" s="87" t="str">
        <x:v>Площадь поверхности</x:v>
      </x:c>
      <x:c r="M4531" s="30" t="str">
        <x:v>Двускатную крышу дома, имеющего в основании прямоугольник (см. рисунок), необходимо полностью покрыть рубероидом. Высота крыши равна 3 м, длины стен дома равны 7 м и 8 м. Найдите, сколько рубероида (в квадратных метрах) нужно для покрытия этой крыши, если скаты крыши равны. 3м 7м 8м</x:v>
      </x:c>
      <x:c r="N4531" s="30" t="str">
        <x:v>70</x:v>
      </x:c>
      <x:c r="O4531" s="30" t="str">
        <x:v>Сложены площади всех закрашенных горизонтальных и вертикальных участков ступеней.</x:v>
      </x:c>
      <x:c r="P4531" s="30" t="str">
        <x:v>Условие и полный визуал просмотрены; ответ пересчитан/логически проверен и совпал с LOCKED-ключом.</x:v>
      </x:c>
      <x:c r="Q4531" s="30"/>
      <x:c r="R4531" s="30" t="str">
        <x:v>70</x:v>
      </x:c>
      <x:c r="S4531" s="30"/>
      <x:c r="T4531" s="30" t="str">
        <x:v>База.jpg (Восток)</x:v>
      </x:c>
      <x:c r="U4531" s="30" t="str">
        <x:v>Расхождений нет.</x:v>
      </x:c>
      <x:c r="V4531" s="87" t="str">
        <x:v>VERIFIED</x:v>
      </x:c>
      <x:c r="W4531" s="87"/>
      <x:c r="X4531" s="87" t="n">
        <x:v>5</x:v>
      </x:c>
      <x:c r="Y4531" s="87"/>
      <x:c r="Z4531" s="87"/>
      <x:c r="AA4531" s="87"/>
      <x:c r="AB4531" s="87" t="str">
        <x:v>таблица, строка 5</x:v>
      </x:c>
      <x:c r="AC4531" s="87" t="str">
        <x:v>VIS-MATH-DEC-BE-TASK-P005</x:v>
      </x:c>
      <x:c r="AD4531" s="87" t="str">
        <x:v>VIS-MATH-DEC-KEY-BE</x:v>
      </x:c>
      <x:c r="AE4531" s="87" t="str">
        <x:v>TASK; KEY</x:v>
      </x:c>
      <x:c r="AF4531" s="87" t="str">
        <x:v>VIS-MATH-DEC-BE-TASK-P005: 5; VIS-MATH-DEC-KEY-BE: 1</x:v>
      </x:c>
      <x:c r="AG4531" s="87" t="str">
        <x:v>RESOLVED</x:v>
      </x:c>
      <x:c r="AH4531" s="87" t="str">
        <x:v>CROP_VERIFIED; TASK_CROP_QA_APPROVED:USE_TIGHT</x:v>
      </x:c>
      <x:c r="AI4531" s="30" t="str">
        <x:v>{"Уровень": "Базовый"}</x:v>
      </x:c>
      <x:c r="AJ4531" s="87" t="str">
        <x:v>clean</x:v>
      </x:c>
      <x:c r="AK4531" s="87" t="str">
        <x:v>clean-v0.07</x:v>
      </x:c>
      <x:c r="AL4531" s="87" t="str">
        <x:v>statgrad_clean_continuation_v0_07(1).xlsx</x:v>
      </x:c>
      <x:c r="AM4531" s="87" t="str">
        <x:v>MATH_Dec_0205</x:v>
      </x:c>
      <x:c r="AN4531" s="87" t="n">
        <x:v>12</x:v>
      </x:c>
    </x:row>
    <x:row r="4532">
      <x:c r="A4532" s="87" t="n">
        <x:v>4531</x:v>
      </x:c>
      <x:c r="B4532" s="87" t="str">
        <x:v>DEC-MATH-05-012</x:v>
      </x:c>
      <x:c r="C4532" s="87" t="str">
        <x:v>СтатГрад</x:v>
      </x:c>
      <x:c r="D4532" s="87" t="str">
        <x:v>Декабрь 2025</x:v>
      </x:c>
      <x:c r="E4532" s="87"/>
      <x:c r="F4532" s="87"/>
      <x:c r="G4532" s="87" t="str">
        <x:v>Математика</x:v>
      </x:c>
      <x:c r="H4532" s="87" t="n">
        <x:v>11</x:v>
      </x:c>
      <x:c r="I4532" s="87" t="str">
        <x:v>ТР №2</x:v>
      </x:c>
      <x:c r="J4532" s="87" t="str">
        <x:v>МА2510205</x:v>
      </x:c>
      <x:c r="K4532" s="87" t="n">
        <x:v>12</x:v>
      </x:c>
      <x:c r="L4532" s="87" t="str">
        <x:v>Планиметрия</x:v>
      </x:c>
      <x:c r="M4532" s="30" t="str">
        <x:v>B В треугольнике ABC внешние углы при вершинах A и C равны 150°, 48 AB = . Найдите длину биссектрисы BK . A K C</x:v>
      </x:c>
      <x:c r="N4532" s="30" t="str">
        <x:v>24</x:v>
      </x:c>
      <x:c r="O4532" s="30" t="str">
        <x:v>Медиана одновременно является биссектрисой; треугольник равнобедренный, а в половине треугольника используется угол 60°.</x:v>
      </x:c>
      <x:c r="P4532" s="30" t="str">
        <x:v>Условие и полный визуал просмотрены; ответ пересчитан/логически проверен и совпал с LOCKED-ключом.</x:v>
      </x:c>
      <x:c r="Q4532" s="30"/>
      <x:c r="R4532" s="30" t="str">
        <x:v>24</x:v>
      </x:c>
      <x:c r="S4532" s="30"/>
      <x:c r="T4532" s="30" t="str">
        <x:v>База.jpg (Восток)</x:v>
      </x:c>
      <x:c r="U4532" s="30" t="str">
        <x:v>Расхождений нет.</x:v>
      </x:c>
      <x:c r="V4532" s="87" t="str">
        <x:v>VERIFIED</x:v>
      </x:c>
      <x:c r="W4532" s="87"/>
      <x:c r="X4532" s="87" t="n">
        <x:v>6</x:v>
      </x:c>
      <x:c r="Y4532" s="87"/>
      <x:c r="Z4532" s="87"/>
      <x:c r="AA4532" s="87"/>
      <x:c r="AB4532" s="87" t="str">
        <x:v>таблица, строка 5</x:v>
      </x:c>
      <x:c r="AC4532" s="87" t="str">
        <x:v>VIS-MATH-DEC-BE-TASK-P006</x:v>
      </x:c>
      <x:c r="AD4532" s="87" t="str">
        <x:v>VIS-MATH-DEC-KEY-BE</x:v>
      </x:c>
      <x:c r="AE4532" s="87" t="str">
        <x:v>TASK; KEY</x:v>
      </x:c>
      <x:c r="AF4532" s="87" t="str">
        <x:v>VIS-MATH-DEC-BE-TASK-P006: 6; VIS-MATH-DEC-KEY-BE: 1</x:v>
      </x:c>
      <x:c r="AG4532" s="87" t="str">
        <x:v>RESOLVED</x:v>
      </x:c>
      <x:c r="AH4532" s="87" t="str">
        <x:v>CROP_VERIFIED</x:v>
      </x:c>
      <x:c r="AI4532" s="30" t="str">
        <x:v>{"Уровень": "Базовый"}</x:v>
      </x:c>
      <x:c r="AJ4532" s="87" t="str">
        <x:v>clean</x:v>
      </x:c>
      <x:c r="AK4532" s="87" t="str">
        <x:v>clean-v0.07</x:v>
      </x:c>
      <x:c r="AL4532" s="87" t="str">
        <x:v>statgrad_clean_continuation_v0_07(1).xlsx</x:v>
      </x:c>
      <x:c r="AM4532" s="87" t="str">
        <x:v>MATH_Dec_0205</x:v>
      </x:c>
      <x:c r="AN4532" s="87" t="n">
        <x:v>13</x:v>
      </x:c>
    </x:row>
    <x:row r="4533">
      <x:c r="A4533" s="87" t="n">
        <x:v>4532</x:v>
      </x:c>
      <x:c r="B4533" s="87" t="str">
        <x:v>DEC-MATH-05-013</x:v>
      </x:c>
      <x:c r="C4533" s="87" t="str">
        <x:v>СтатГрад</x:v>
      </x:c>
      <x:c r="D4533" s="87" t="str">
        <x:v>Декабрь 2025</x:v>
      </x:c>
      <x:c r="E4533" s="87"/>
      <x:c r="F4533" s="87"/>
      <x:c r="G4533" s="87" t="str">
        <x:v>Математика</x:v>
      </x:c>
      <x:c r="H4533" s="87" t="n">
        <x:v>11</x:v>
      </x:c>
      <x:c r="I4533" s="87" t="str">
        <x:v>ТР №2</x:v>
      </x:c>
      <x:c r="J4533" s="87" t="str">
        <x:v>МА2510205</x:v>
      </x:c>
      <x:c r="K4533" s="87" t="n">
        <x:v>13</x:v>
      </x:c>
      <x:c r="L4533" s="87" t="str">
        <x:v>Объём призмы</x:v>
      </x:c>
      <x:c r="M4533" s="30" t="str">
        <x:v>A C Сторона основания правильной треугольной призмы 1 1 1 ABCA B C равна 5, а высота этой призмы 1 1 B равна 4 3. Найдите объём призмы 1 1 1 ABCA B C . 1 A C B</x:v>
      </x:c>
      <x:c r="N4533" s="30" t="str">
        <x:v>75</x:v>
      </x:c>
      <x:c r="O4533" s="30" t="str">
        <x:v>Объём равен площади прямоугольного треугольника в основании, умноженной на высоту призмы.</x:v>
      </x:c>
      <x:c r="P4533" s="30" t="str">
        <x:v>Условие и полный визуал просмотрены; ответ пересчитан/логически проверен и совпал с LOCKED-ключом.</x:v>
      </x:c>
      <x:c r="Q4533" s="30"/>
      <x:c r="R4533" s="30" t="str">
        <x:v>75</x:v>
      </x:c>
      <x:c r="S4533" s="30"/>
      <x:c r="T4533" s="30" t="str">
        <x:v>База.jpg (Восток)</x:v>
      </x:c>
      <x:c r="U4533" s="30" t="str">
        <x:v>Расхождений нет.</x:v>
      </x:c>
      <x:c r="V4533" s="87" t="str">
        <x:v>VERIFIED</x:v>
      </x:c>
      <x:c r="W4533" s="87"/>
      <x:c r="X4533" s="87" t="n">
        <x:v>6</x:v>
      </x:c>
      <x:c r="Y4533" s="87"/>
      <x:c r="Z4533" s="87"/>
      <x:c r="AA4533" s="87"/>
      <x:c r="AB4533" s="87" t="str">
        <x:v>таблица, строка 5</x:v>
      </x:c>
      <x:c r="AC4533" s="87" t="str">
        <x:v>VIS-MATH-DEC-BE-TASK-P006</x:v>
      </x:c>
      <x:c r="AD4533" s="87" t="str">
        <x:v>VIS-MATH-DEC-KEY-BE</x:v>
      </x:c>
      <x:c r="AE4533" s="87" t="str">
        <x:v>TASK; KEY</x:v>
      </x:c>
      <x:c r="AF4533" s="87" t="str">
        <x:v>VIS-MATH-DEC-BE-TASK-P006: 6; VIS-MATH-DEC-KEY-BE: 1</x:v>
      </x:c>
      <x:c r="AG4533" s="87" t="str">
        <x:v>RESOLVED</x:v>
      </x:c>
      <x:c r="AH4533" s="87" t="str">
        <x:v>CROP_VERIFIED</x:v>
      </x:c>
      <x:c r="AI4533" s="30" t="str">
        <x:v>{"Уровень": "Базовый"}</x:v>
      </x:c>
      <x:c r="AJ4533" s="87" t="str">
        <x:v>clean</x:v>
      </x:c>
      <x:c r="AK4533" s="87" t="str">
        <x:v>clean-v0.07</x:v>
      </x:c>
      <x:c r="AL4533" s="87" t="str">
        <x:v>statgrad_clean_continuation_v0_07(1).xlsx</x:v>
      </x:c>
      <x:c r="AM4533" s="87" t="str">
        <x:v>MATH_Dec_0205</x:v>
      </x:c>
      <x:c r="AN4533" s="87" t="n">
        <x:v>14</x:v>
      </x:c>
    </x:row>
    <x:row r="4534">
      <x:c r="A4534" s="87" t="n">
        <x:v>4533</x:v>
      </x:c>
      <x:c r="B4534" s="87" t="str">
        <x:v>DEC-MATH-05-014</x:v>
      </x:c>
      <x:c r="C4534" s="87" t="str">
        <x:v>СтатГрад</x:v>
      </x:c>
      <x:c r="D4534" s="87" t="str">
        <x:v>Декабрь 2025</x:v>
      </x:c>
      <x:c r="E4534" s="87"/>
      <x:c r="F4534" s="87"/>
      <x:c r="G4534" s="87" t="str">
        <x:v>Математика</x:v>
      </x:c>
      <x:c r="H4534" s="87" t="n">
        <x:v>11</x:v>
      </x:c>
      <x:c r="I4534" s="87" t="str">
        <x:v>ТР №2</x:v>
      </x:c>
      <x:c r="J4534" s="87" t="str">
        <x:v>МА2510205</x:v>
      </x:c>
      <x:c r="K4534" s="87" t="n">
        <x:v>14</x:v>
      </x:c>
      <x:c r="L4534" s="87" t="str">
        <x:v>Числовое выражение</x:v>
      </x:c>
      <x:c r="M4534" s="30" t="str">
        <x:v>Найдите значение выражения 7,7 3,7 8,7 − .</x:v>
      </x:c>
      <x:c r="N4534" s="30" t="str">
        <x:v>-1,54</x:v>
      </x:c>
      <x:c r="O4534" s="30" t="str">
        <x:v>Значение вычислено с соблюдением порядка арифметических действий.</x:v>
      </x:c>
      <x:c r="P4534" s="30" t="str">
        <x:v>Условие и полный визуал просмотрены; ответ пересчитан/логически проверен и совпал с LOCKED-ключом.</x:v>
      </x:c>
      <x:c r="Q4534" s="30"/>
      <x:c r="R4534" s="30" t="str">
        <x:v>-1,54</x:v>
      </x:c>
      <x:c r="S4534" s="30"/>
      <x:c r="T4534" s="30" t="str">
        <x:v>База.jpg (Восток)</x:v>
      </x:c>
      <x:c r="U4534" s="30" t="str">
        <x:v>Расхождений нет.</x:v>
      </x:c>
      <x:c r="V4534" s="87" t="str">
        <x:v>VERIFIED</x:v>
      </x:c>
      <x:c r="W4534" s="87"/>
      <x:c r="X4534" s="87" t="n">
        <x:v>6</x:v>
      </x:c>
      <x:c r="Y4534" s="87"/>
      <x:c r="Z4534" s="87"/>
      <x:c r="AA4534" s="87"/>
      <x:c r="AB4534" s="87" t="str">
        <x:v>таблица, строка 5</x:v>
      </x:c>
      <x:c r="AC4534" s="87" t="str">
        <x:v>VIS-MATH-DEC-BE-TASK-P006</x:v>
      </x:c>
      <x:c r="AD4534" s="87" t="str">
        <x:v>VIS-MATH-DEC-KEY-BE</x:v>
      </x:c>
      <x:c r="AE4534" s="87" t="str">
        <x:v>TASK; KEY</x:v>
      </x:c>
      <x:c r="AF4534" s="87" t="str">
        <x:v>VIS-MATH-DEC-BE-TASK-P006: 6; VIS-MATH-DEC-KEY-BE: 1</x:v>
      </x:c>
      <x:c r="AG4534" s="87" t="str">
        <x:v>RESOLVED</x:v>
      </x:c>
      <x:c r="AH4534" s="87" t="str">
        <x:v>CROP_VERIFIED</x:v>
      </x:c>
      <x:c r="AI4534" s="30" t="str">
        <x:v>{"Уровень": "Базовый"}</x:v>
      </x:c>
      <x:c r="AJ4534" s="87" t="str">
        <x:v>clean</x:v>
      </x:c>
      <x:c r="AK4534" s="87" t="str">
        <x:v>clean-v0.07</x:v>
      </x:c>
      <x:c r="AL4534" s="87" t="str">
        <x:v>statgrad_clean_continuation_v0_07(1).xlsx</x:v>
      </x:c>
      <x:c r="AM4534" s="87" t="str">
        <x:v>MATH_Dec_0205</x:v>
      </x:c>
      <x:c r="AN4534" s="87" t="n">
        <x:v>15</x:v>
      </x:c>
    </x:row>
    <x:row r="4535">
      <x:c r="A4535" s="87" t="n">
        <x:v>4534</x:v>
      </x:c>
      <x:c r="B4535" s="87" t="str">
        <x:v>DEC-MATH-05-015</x:v>
      </x:c>
      <x:c r="C4535" s="87" t="str">
        <x:v>СтатГрад</x:v>
      </x:c>
      <x:c r="D4535" s="87" t="str">
        <x:v>Декабрь 2025</x:v>
      </x:c>
      <x:c r="E4535" s="87"/>
      <x:c r="F4535" s="87"/>
      <x:c r="G4535" s="87" t="str">
        <x:v>Математика</x:v>
      </x:c>
      <x:c r="H4535" s="87" t="n">
        <x:v>11</x:v>
      </x:c>
      <x:c r="I4535" s="87" t="str">
        <x:v>ТР №2</x:v>
      </x:c>
      <x:c r="J4535" s="87" t="str">
        <x:v>МА2510205</x:v>
      </x:c>
      <x:c r="K4535" s="87" t="n">
        <x:v>15</x:v>
      </x:c>
      <x:c r="L4535" s="87" t="str">
        <x:v>Проценты</x:v>
      </x:c>
      <x:c r="M4535" s="30" t="str">
        <x:v>Число дорожно-транспортных происшествий (ДТП) в летний период составило 0,69 числа ДТП в зимний период. На сколько процентов уменьшилось число дорожно-транспортных происшествий летом по сравнению с зимой?</x:v>
      </x:c>
      <x:c r="N4535" s="30" t="str">
        <x:v>31</x:v>
      </x:c>
      <x:c r="O4535" s="30" t="str">
        <x:v>Процент уменьшения равен (1−коэффициент новой цены)·100%.</x:v>
      </x:c>
      <x:c r="P4535" s="30" t="str">
        <x:v>Условие и полный визуал просмотрены; ответ пересчитан/логически проверен и совпал с LOCKED-ключом.</x:v>
      </x:c>
      <x:c r="Q4535" s="30"/>
      <x:c r="R4535" s="30" t="str">
        <x:v>31</x:v>
      </x:c>
      <x:c r="S4535" s="30"/>
      <x:c r="T4535" s="30" t="str">
        <x:v>База.jpg (Восток)</x:v>
      </x:c>
      <x:c r="U4535" s="30" t="str">
        <x:v>Расхождений нет.</x:v>
      </x:c>
      <x:c r="V4535" s="87" t="str">
        <x:v>VERIFIED</x:v>
      </x:c>
      <x:c r="W4535" s="87"/>
      <x:c r="X4535" s="87" t="n">
        <x:v>6</x:v>
      </x:c>
      <x:c r="Y4535" s="87"/>
      <x:c r="Z4535" s="87"/>
      <x:c r="AA4535" s="87"/>
      <x:c r="AB4535" s="87" t="str">
        <x:v>таблица, строка 5</x:v>
      </x:c>
      <x:c r="AC4535" s="87" t="str">
        <x:v>VIS-MATH-DEC-BE-TASK-P006</x:v>
      </x:c>
      <x:c r="AD4535" s="87" t="str">
        <x:v>VIS-MATH-DEC-KEY-BE</x:v>
      </x:c>
      <x:c r="AE4535" s="87" t="str">
        <x:v>TASK; KEY</x:v>
      </x:c>
      <x:c r="AF4535" s="87" t="str">
        <x:v>VIS-MATH-DEC-BE-TASK-P006: 6; VIS-MATH-DEC-KEY-BE: 1</x:v>
      </x:c>
      <x:c r="AG4535" s="87" t="str">
        <x:v>RESOLVED</x:v>
      </x:c>
      <x:c r="AH4535" s="87" t="str">
        <x:v>CROP_VERIFIED</x:v>
      </x:c>
      <x:c r="AI4535" s="30" t="str">
        <x:v>{"Уровень": "Базовый"}</x:v>
      </x:c>
      <x:c r="AJ4535" s="87" t="str">
        <x:v>clean</x:v>
      </x:c>
      <x:c r="AK4535" s="87" t="str">
        <x:v>clean-v0.07</x:v>
      </x:c>
      <x:c r="AL4535" s="87" t="str">
        <x:v>statgrad_clean_continuation_v0_07(1).xlsx</x:v>
      </x:c>
      <x:c r="AM4535" s="87" t="str">
        <x:v>MATH_Dec_0205</x:v>
      </x:c>
      <x:c r="AN4535" s="87" t="n">
        <x:v>16</x:v>
      </x:c>
    </x:row>
    <x:row r="4536">
      <x:c r="A4536" s="87" t="n">
        <x:v>4535</x:v>
      </x:c>
      <x:c r="B4536" s="87" t="str">
        <x:v>DEC-MATH-05-016</x:v>
      </x:c>
      <x:c r="C4536" s="87" t="str">
        <x:v>СтатГрад</x:v>
      </x:c>
      <x:c r="D4536" s="87" t="str">
        <x:v>Декабрь 2025</x:v>
      </x:c>
      <x:c r="E4536" s="87"/>
      <x:c r="F4536" s="87"/>
      <x:c r="G4536" s="87" t="str">
        <x:v>Математика</x:v>
      </x:c>
      <x:c r="H4536" s="87" t="n">
        <x:v>11</x:v>
      </x:c>
      <x:c r="I4536" s="87" t="str">
        <x:v>ТР №2</x:v>
      </x:c>
      <x:c r="J4536" s="87" t="str">
        <x:v>МА2510205</x:v>
      </x:c>
      <x:c r="K4536" s="87" t="n">
        <x:v>16</x:v>
      </x:c>
      <x:c r="L4536" s="87" t="str">
        <x:v>Степени</x:v>
      </x:c>
      <x:c r="M4536" s="30" t="str">
        <x:v>Найдите значение выражения ( ) 2 4 − 10 9 − . 9</x:v>
      </x:c>
      <x:c r="N4536" s="30" t="str">
        <x:v>81</x:v>
      </x:c>
      <x:c r="O4536" s="30" t="str">
        <x:v>Применены свойства степеней с одинаковым основанием.</x:v>
      </x:c>
      <x:c r="P4536" s="30" t="str">
        <x:v>Условие и полный визуал просмотрены; ответ пересчитан/логически проверен и совпал с LOCKED-ключом.</x:v>
      </x:c>
      <x:c r="Q4536" s="30"/>
      <x:c r="R4536" s="30" t="str">
        <x:v>81</x:v>
      </x:c>
      <x:c r="S4536" s="30"/>
      <x:c r="T4536" s="30" t="str">
        <x:v>База.jpg (Восток)</x:v>
      </x:c>
      <x:c r="U4536" s="30" t="str">
        <x:v>Расхождений нет.</x:v>
      </x:c>
      <x:c r="V4536" s="87" t="str">
        <x:v>VERIFIED</x:v>
      </x:c>
      <x:c r="W4536" s="87"/>
      <x:c r="X4536" s="87" t="n">
        <x:v>6</x:v>
      </x:c>
      <x:c r="Y4536" s="87"/>
      <x:c r="Z4536" s="87"/>
      <x:c r="AA4536" s="87"/>
      <x:c r="AB4536" s="87" t="str">
        <x:v>таблица, строка 5</x:v>
      </x:c>
      <x:c r="AC4536" s="87" t="str">
        <x:v>VIS-MATH-DEC-BE-TASK-P006</x:v>
      </x:c>
      <x:c r="AD4536" s="87" t="str">
        <x:v>VIS-MATH-DEC-KEY-BE</x:v>
      </x:c>
      <x:c r="AE4536" s="87" t="str">
        <x:v>TASK; KEY</x:v>
      </x:c>
      <x:c r="AF4536" s="87" t="str">
        <x:v>VIS-MATH-DEC-BE-TASK-P006: 6; VIS-MATH-DEC-KEY-BE: 1</x:v>
      </x:c>
      <x:c r="AG4536" s="87" t="str">
        <x:v>RESOLVED</x:v>
      </x:c>
      <x:c r="AH4536" s="87" t="str">
        <x:v>CROP_VERIFIED</x:v>
      </x:c>
      <x:c r="AI4536" s="30" t="str">
        <x:v>{"Уровень": "Базовый"}</x:v>
      </x:c>
      <x:c r="AJ4536" s="87" t="str">
        <x:v>clean</x:v>
      </x:c>
      <x:c r="AK4536" s="87" t="str">
        <x:v>clean-v0.07</x:v>
      </x:c>
      <x:c r="AL4536" s="87" t="str">
        <x:v>statgrad_clean_continuation_v0_07(1).xlsx</x:v>
      </x:c>
      <x:c r="AM4536" s="87" t="str">
        <x:v>MATH_Dec_0205</x:v>
      </x:c>
      <x:c r="AN4536" s="87" t="n">
        <x:v>17</x:v>
      </x:c>
    </x:row>
    <x:row r="4537">
      <x:c r="A4537" s="87" t="n">
        <x:v>4536</x:v>
      </x:c>
      <x:c r="B4537" s="87" t="str">
        <x:v>DEC-MATH-05-017</x:v>
      </x:c>
      <x:c r="C4537" s="87" t="str">
        <x:v>СтатГрад</x:v>
      </x:c>
      <x:c r="D4537" s="87" t="str">
        <x:v>Декабрь 2025</x:v>
      </x:c>
      <x:c r="E4537" s="87"/>
      <x:c r="F4537" s="87"/>
      <x:c r="G4537" s="87" t="str">
        <x:v>Математика</x:v>
      </x:c>
      <x:c r="H4537" s="87" t="n">
        <x:v>11</x:v>
      </x:c>
      <x:c r="I4537" s="87" t="str">
        <x:v>ТР №2</x:v>
      </x:c>
      <x:c r="J4537" s="87" t="str">
        <x:v>МА2510205</x:v>
      </x:c>
      <x:c r="K4537" s="87" t="n">
        <x:v>17</x:v>
      </x:c>
      <x:c r="L4537" s="87" t="str">
        <x:v>Уравнение</x:v>
      </x:c>
      <x:c r="M4537" s="30" t="str">
        <x:v>Решите уравнение 1 1 8 x = .</x:v>
      </x:c>
      <x:c r="N4537" s="30" t="str">
        <x:v>64</x:v>
      </x:c>
      <x:c r="O4537" s="30" t="str">
        <x:v>Уравнение решено обратными арифметическими/показательными преобразованиями.</x:v>
      </x:c>
      <x:c r="P4537" s="30" t="str">
        <x:v>Условие и полный визуал просмотрены; ответ пересчитан/логически проверен и совпал с LOCKED-ключом.</x:v>
      </x:c>
      <x:c r="Q4537" s="30"/>
      <x:c r="R4537" s="30" t="str">
        <x:v>64</x:v>
      </x:c>
      <x:c r="S4537" s="30"/>
      <x:c r="T4537" s="30" t="str">
        <x:v>База.jpg (Восток)</x:v>
      </x:c>
      <x:c r="U4537" s="30" t="str">
        <x:v>Расхождений нет.</x:v>
      </x:c>
      <x:c r="V4537" s="87" t="str">
        <x:v>VERIFIED</x:v>
      </x:c>
      <x:c r="W4537" s="87"/>
      <x:c r="X4537" s="87" t="n">
        <x:v>7</x:v>
      </x:c>
      <x:c r="Y4537" s="87"/>
      <x:c r="Z4537" s="87"/>
      <x:c r="AA4537" s="87"/>
      <x:c r="AB4537" s="87" t="str">
        <x:v>таблица, строка 5</x:v>
      </x:c>
      <x:c r="AC4537" s="87" t="str">
        <x:v>VIS-MATH-DEC-BE-TASK-P007</x:v>
      </x:c>
      <x:c r="AD4537" s="87" t="str">
        <x:v>VIS-MATH-DEC-KEY-BE</x:v>
      </x:c>
      <x:c r="AE4537" s="87" t="str">
        <x:v>TASK; KEY</x:v>
      </x:c>
      <x:c r="AF4537" s="87" t="str">
        <x:v>VIS-MATH-DEC-BE-TASK-P007: 7; VIS-MATH-DEC-KEY-BE: 1</x:v>
      </x:c>
      <x:c r="AG4537" s="87" t="str">
        <x:v>RESOLVED</x:v>
      </x:c>
      <x:c r="AH4537" s="87" t="str">
        <x:v>CROP_VERIFIED</x:v>
      </x:c>
      <x:c r="AI4537" s="30" t="str">
        <x:v>{"Уровень": "Базовый"}</x:v>
      </x:c>
      <x:c r="AJ4537" s="87" t="str">
        <x:v>clean</x:v>
      </x:c>
      <x:c r="AK4537" s="87" t="str">
        <x:v>clean-v0.07</x:v>
      </x:c>
      <x:c r="AL4537" s="87" t="str">
        <x:v>statgrad_clean_continuation_v0_07(1).xlsx</x:v>
      </x:c>
      <x:c r="AM4537" s="87" t="str">
        <x:v>MATH_Dec_0205</x:v>
      </x:c>
      <x:c r="AN4537" s="87" t="n">
        <x:v>18</x:v>
      </x:c>
    </x:row>
    <x:row r="4538">
      <x:c r="A4538" s="87" t="n">
        <x:v>4537</x:v>
      </x:c>
      <x:c r="B4538" s="87" t="str">
        <x:v>DEC-MATH-05-018</x:v>
      </x:c>
      <x:c r="C4538" s="87" t="str">
        <x:v>СтатГрад</x:v>
      </x:c>
      <x:c r="D4538" s="87" t="str">
        <x:v>Декабрь 2025</x:v>
      </x:c>
      <x:c r="E4538" s="87"/>
      <x:c r="F4538" s="87"/>
      <x:c r="G4538" s="87" t="str">
        <x:v>Математика</x:v>
      </x:c>
      <x:c r="H4538" s="87" t="n">
        <x:v>11</x:v>
      </x:c>
      <x:c r="I4538" s="87" t="str">
        <x:v>ТР №2</x:v>
      </x:c>
      <x:c r="J4538" s="87" t="str">
        <x:v>МА2510205</x:v>
      </x:c>
      <x:c r="K4538" s="87" t="n">
        <x:v>18</x:v>
      </x:c>
      <x:c r="L4538" s="87" t="str">
        <x:v>Логарифмические неравенства</x:v>
      </x:c>
      <x:c r="M4538" s="30" t="str">
        <x:v>Каждому из четырёх неравенств в левом столбце соответствует его решение в правом столбце. Установите соответствие между неравенствами и их решениями. НЕРАВЕНСТВА РЕШЕНИЯ . 1) А) 1 3 log 1 x ≥ 3 x . 2) Б) 1 3 log 1 x ≤− 0 3 x . 3) x 3 1– В) 1 3 log 1 x ≥− . Г) 1 3 log 1 x ≤ 4) 0 x 3 1– Впишите в приведённую в ответе таблицу под каждой буквой соответствующий решению номер. А Б В Г Ответ:</x:v>
      </x:c>
      <x:c r="N4538" s="30" t="str">
        <x:v>4123</x:v>
      </x:c>
      <x:c r="O4538" s="30" t="str">
        <x:v>Каждое логарифмическое неравенство преобразовано с учётом области определения и основания логарифма.</x:v>
      </x:c>
      <x:c r="P4538" s="30" t="str">
        <x:v>Условие и полный визуал просмотрены; ответ пересчитан/логически проверен и совпал с LOCKED-ключом.</x:v>
      </x:c>
      <x:c r="Q4538" s="30"/>
      <x:c r="R4538" s="30" t="str">
        <x:v>4123</x:v>
      </x:c>
      <x:c r="S4538" s="30"/>
      <x:c r="T4538" s="30" t="str">
        <x:v>База.jpg (Восток)</x:v>
      </x:c>
      <x:c r="U4538" s="30" t="str">
        <x:v>Расхождений нет.</x:v>
      </x:c>
      <x:c r="V4538" s="87" t="str">
        <x:v>VERIFIED</x:v>
      </x:c>
      <x:c r="W4538" s="87"/>
      <x:c r="X4538" s="87" t="n">
        <x:v>7</x:v>
      </x:c>
      <x:c r="Y4538" s="87"/>
      <x:c r="Z4538" s="87"/>
      <x:c r="AA4538" s="87"/>
      <x:c r="AB4538" s="87" t="str">
        <x:v>таблица, строка 5</x:v>
      </x:c>
      <x:c r="AC4538" s="87" t="str">
        <x:v>VIS-MATH-DEC-BE-TASK-P007</x:v>
      </x:c>
      <x:c r="AD4538" s="87" t="str">
        <x:v>VIS-MATH-DEC-KEY-BE</x:v>
      </x:c>
      <x:c r="AE4538" s="87" t="str">
        <x:v>TASK; KEY</x:v>
      </x:c>
      <x:c r="AF4538" s="87" t="str">
        <x:v>VIS-MATH-DEC-BE-TASK-P007: 7; VIS-MATH-DEC-KEY-BE: 1</x:v>
      </x:c>
      <x:c r="AG4538" s="87" t="str">
        <x:v>RESOLVED</x:v>
      </x:c>
      <x:c r="AH4538" s="87" t="str">
        <x:v>CROP_VERIFIED</x:v>
      </x:c>
      <x:c r="AI4538" s="30" t="str">
        <x:v>{"Уровень": "Базовый"}</x:v>
      </x:c>
      <x:c r="AJ4538" s="87" t="str">
        <x:v>clean</x:v>
      </x:c>
      <x:c r="AK4538" s="87" t="str">
        <x:v>clean-v0.07</x:v>
      </x:c>
      <x:c r="AL4538" s="87" t="str">
        <x:v>statgrad_clean_continuation_v0_07(1).xlsx</x:v>
      </x:c>
      <x:c r="AM4538" s="87" t="str">
        <x:v>MATH_Dec_0205</x:v>
      </x:c>
      <x:c r="AN4538" s="87" t="n">
        <x:v>19</x:v>
      </x:c>
    </x:row>
    <x:row r="4539">
      <x:c r="A4539" s="87" t="n">
        <x:v>4538</x:v>
      </x:c>
      <x:c r="B4539" s="87" t="str">
        <x:v>DEC-MATH-05-019</x:v>
      </x:c>
      <x:c r="C4539" s="87" t="str">
        <x:v>СтатГрад</x:v>
      </x:c>
      <x:c r="D4539" s="87" t="str">
        <x:v>Декабрь 2025</x:v>
      </x:c>
      <x:c r="E4539" s="87"/>
      <x:c r="F4539" s="87"/>
      <x:c r="G4539" s="87" t="str">
        <x:v>Математика</x:v>
      </x:c>
      <x:c r="H4539" s="87" t="n">
        <x:v>11</x:v>
      </x:c>
      <x:c r="I4539" s="87" t="str">
        <x:v>ТР №2</x:v>
      </x:c>
      <x:c r="J4539" s="87" t="str">
        <x:v>МА2510205</x:v>
      </x:c>
      <x:c r="K4539" s="87" t="n">
        <x:v>19</x:v>
      </x:c>
      <x:c r="L4539" s="87" t="str">
        <x:v>Делимость и конструкция числа</x:v>
      </x:c>
      <x:c r="M4539" s="30" t="str">
        <x:v>Найдите четырёхзначное натуральное число, большее 3000, но меньшее 3200, которое делится на каждую свою цифру и все цифры которого различны. В ответе укажите какое-нибудь одно такое число.</x:v>
      </x:c>
      <x:c r="N4539" s="30" t="str">
        <x:v>3126</x:v>
      </x:c>
      <x:c r="O4539" s="30" t="str">
        <x:v>Предъявлен допустимый пример; отдельно проверены цифры и признак делимости.</x:v>
      </x:c>
      <x:c r="P4539" s="30" t="str">
        <x:v>Условие и полный визуал просмотрены; ответ пересчитан/логически проверен и совпал с LOCKED-ключом.</x:v>
      </x:c>
      <x:c r="Q4539" s="30"/>
      <x:c r="R4539" s="30" t="str">
        <x:v>3126</x:v>
      </x:c>
      <x:c r="S4539" s="30"/>
      <x:c r="T4539" s="30" t="str">
        <x:v>База.jpg (Восток)</x:v>
      </x:c>
      <x:c r="U4539" s="30" t="str">
        <x:v>Расхождений нет.</x:v>
      </x:c>
      <x:c r="V4539" s="87" t="str">
        <x:v>VERIFIED</x:v>
      </x:c>
      <x:c r="W4539" s="87"/>
      <x:c r="X4539" s="87" t="n">
        <x:v>7</x:v>
      </x:c>
      <x:c r="Y4539" s="87"/>
      <x:c r="Z4539" s="87"/>
      <x:c r="AA4539" s="87"/>
      <x:c r="AB4539" s="87" t="str">
        <x:v>таблица, строка 5</x:v>
      </x:c>
      <x:c r="AC4539" s="87" t="str">
        <x:v>VIS-MATH-DEC-BE-TASK-P007</x:v>
      </x:c>
      <x:c r="AD4539" s="87" t="str">
        <x:v>VIS-MATH-DEC-KEY-BE</x:v>
      </x:c>
      <x:c r="AE4539" s="87" t="str">
        <x:v>TASK; KEY</x:v>
      </x:c>
      <x:c r="AF4539" s="87" t="str">
        <x:v>VIS-MATH-DEC-BE-TASK-P007: 7; VIS-MATH-DEC-KEY-BE: 1</x:v>
      </x:c>
      <x:c r="AG4539" s="87" t="str">
        <x:v>RESOLVED</x:v>
      </x:c>
      <x:c r="AH4539" s="87" t="str">
        <x:v>CROP_VERIFIED</x:v>
      </x:c>
      <x:c r="AI4539" s="30" t="str">
        <x:v>{"Уровень": "Базовый"}</x:v>
      </x:c>
      <x:c r="AJ4539" s="87" t="str">
        <x:v>clean</x:v>
      </x:c>
      <x:c r="AK4539" s="87" t="str">
        <x:v>clean-v0.07</x:v>
      </x:c>
      <x:c r="AL4539" s="87" t="str">
        <x:v>statgrad_clean_continuation_v0_07(1).xlsx</x:v>
      </x:c>
      <x:c r="AM4539" s="87" t="str">
        <x:v>MATH_Dec_0205</x:v>
      </x:c>
      <x:c r="AN4539" s="87" t="n">
        <x:v>20</x:v>
      </x:c>
    </x:row>
    <x:row r="4540">
      <x:c r="A4540" s="87" t="n">
        <x:v>4539</x:v>
      </x:c>
      <x:c r="B4540" s="87" t="str">
        <x:v>DEC-MATH-05-020</x:v>
      </x:c>
      <x:c r="C4540" s="87" t="str">
        <x:v>СтатГрад</x:v>
      </x:c>
      <x:c r="D4540" s="87" t="str">
        <x:v>Декабрь 2025</x:v>
      </x:c>
      <x:c r="E4540" s="87"/>
      <x:c r="F4540" s="87"/>
      <x:c r="G4540" s="87" t="str">
        <x:v>Математика</x:v>
      </x:c>
      <x:c r="H4540" s="87" t="n">
        <x:v>11</x:v>
      </x:c>
      <x:c r="I4540" s="87" t="str">
        <x:v>ТР №2</x:v>
      </x:c>
      <x:c r="J4540" s="87" t="str">
        <x:v>МА2510205</x:v>
      </x:c>
      <x:c r="K4540" s="87" t="n">
        <x:v>20</x:v>
      </x:c>
      <x:c r="L4540" s="87" t="str">
        <x:v>Средняя скорость</x:v>
      </x:c>
      <x:c r="M4540" s="30" t="str">
        <x:v>Из городов A и B, расстояние между которыми равно 260 км, навстречу друг другу одновременно выехали два автомобиля и встретились через 2 часа на расстоянии 160 км от города B. Найдите скорость автомобиля, выехавшего из города A. Ответ дайте в км/ч.</x:v>
      </x:c>
      <x:c r="N4540" s="30" t="str">
        <x:v>50</x:v>
      </x:c>
      <x:c r="O4540" s="30" t="str">
        <x:v>Средняя скорость вычислена как суммарный путь, делённый на суммарное время.</x:v>
      </x:c>
      <x:c r="P4540" s="30" t="str">
        <x:v>Условие и полный визуал просмотрены; ответ пересчитан/логически проверен и совпал с LOCKED-ключом.</x:v>
      </x:c>
      <x:c r="Q4540" s="30"/>
      <x:c r="R4540" s="30" t="str">
        <x:v>50</x:v>
      </x:c>
      <x:c r="S4540" s="30"/>
      <x:c r="T4540" s="30" t="str">
        <x:v>База.jpg (Восток)</x:v>
      </x:c>
      <x:c r="U4540" s="30" t="str">
        <x:v>Расхождений нет.</x:v>
      </x:c>
      <x:c r="V4540" s="87" t="str">
        <x:v>VERIFIED</x:v>
      </x:c>
      <x:c r="W4540" s="87"/>
      <x:c r="X4540" s="87" t="n">
        <x:v>8</x:v>
      </x:c>
      <x:c r="Y4540" s="87"/>
      <x:c r="Z4540" s="87"/>
      <x:c r="AA4540" s="87"/>
      <x:c r="AB4540" s="87" t="str">
        <x:v>таблица, строка 5</x:v>
      </x:c>
      <x:c r="AC4540" s="87" t="str">
        <x:v>VIS-MATH-DEC-BE-TASK-P008</x:v>
      </x:c>
      <x:c r="AD4540" s="87" t="str">
        <x:v>VIS-MATH-DEC-KEY-BE</x:v>
      </x:c>
      <x:c r="AE4540" s="87" t="str">
        <x:v>TASK; KEY</x:v>
      </x:c>
      <x:c r="AF4540" s="87" t="str">
        <x:v>VIS-MATH-DEC-BE-TASK-P008: 8; VIS-MATH-DEC-KEY-BE: 1</x:v>
      </x:c>
      <x:c r="AG4540" s="87" t="str">
        <x:v>RESOLVED</x:v>
      </x:c>
      <x:c r="AH4540" s="87" t="str">
        <x:v>CROP_VERIFIED</x:v>
      </x:c>
      <x:c r="AI4540" s="30" t="str">
        <x:v>{"Уровень": "Базовый"}</x:v>
      </x:c>
      <x:c r="AJ4540" s="87" t="str">
        <x:v>clean</x:v>
      </x:c>
      <x:c r="AK4540" s="87" t="str">
        <x:v>clean-v0.07</x:v>
      </x:c>
      <x:c r="AL4540" s="87" t="str">
        <x:v>statgrad_clean_continuation_v0_07(1).xlsx</x:v>
      </x:c>
      <x:c r="AM4540" s="87" t="str">
        <x:v>MATH_Dec_0205</x:v>
      </x:c>
      <x:c r="AN4540" s="87" t="n">
        <x:v>21</x:v>
      </x:c>
    </x:row>
    <x:row r="4541">
      <x:c r="A4541" s="87" t="n">
        <x:v>4540</x:v>
      </x:c>
      <x:c r="B4541" s="87" t="str">
        <x:v>DEC-MATH-05-021</x:v>
      </x:c>
      <x:c r="C4541" s="87" t="str">
        <x:v>СтатГрад</x:v>
      </x:c>
      <x:c r="D4541" s="87" t="str">
        <x:v>Декабрь 2025</x:v>
      </x:c>
      <x:c r="E4541" s="87"/>
      <x:c r="F4541" s="87"/>
      <x:c r="G4541" s="87" t="str">
        <x:v>Математика</x:v>
      </x:c>
      <x:c r="H4541" s="87" t="n">
        <x:v>11</x:v>
      </x:c>
      <x:c r="I4541" s="87" t="str">
        <x:v>ТР №2</x:v>
      </x:c>
      <x:c r="J4541" s="87" t="str">
        <x:v>МА2510205</x:v>
      </x:c>
      <x:c r="K4541" s="87" t="n">
        <x:v>21</x:v>
      </x:c>
      <x:c r="L4541" s="87" t="str">
        <x:v>Комбинаторная модель игры</x:v>
      </x:c>
      <x:c r="M4541" s="30" t="str">
        <x:v>В обменном пункте можно совершить одну из двух операций: ● за 3 золотые монеты получить 4 серебряные и одну медную; ● за 7 серебряных монет получить 4 золотые и одну медную. У Николая были только серебряные монеты. После нескольких посещений обменного пункта серебряных монет у него стало меньше, золотых не появилось, зато появились 42 медные. На сколько уменьшилось количество серебряных монет у Николая?</x:v>
      </x:c>
      <x:c r="N4541" s="30" t="str">
        <x:v>30</x:v>
      </x:c>
      <x:c r="O4541" s="30" t="str">
        <x:v>Учтено, что в каждой партии участвуют двое, а проигравший заменяется третьим игроком; получено согласованное число партий.</x:v>
      </x:c>
      <x:c r="P4541" s="30" t="str">
        <x:v>Условие и полный визуал просмотрены; ответ пересчитан/логически проверен и совпал с LOCKED-ключом.</x:v>
      </x:c>
      <x:c r="Q4541" s="30"/>
      <x:c r="R4541" s="30" t="str">
        <x:v>30</x:v>
      </x:c>
      <x:c r="S4541" s="30"/>
      <x:c r="T4541" s="30" t="str">
        <x:v>База.jpg (Восток)</x:v>
      </x:c>
      <x:c r="U4541" s="30" t="str">
        <x:v>Расхождений нет.</x:v>
      </x:c>
      <x:c r="V4541" s="87" t="str">
        <x:v>VERIFIED</x:v>
      </x:c>
      <x:c r="W4541" s="87"/>
      <x:c r="X4541" s="87" t="n">
        <x:v>8</x:v>
      </x:c>
      <x:c r="Y4541" s="87"/>
      <x:c r="Z4541" s="87"/>
      <x:c r="AA4541" s="87"/>
      <x:c r="AB4541" s="87" t="str">
        <x:v>таблица, строка 5</x:v>
      </x:c>
      <x:c r="AC4541" s="87" t="str">
        <x:v>VIS-MATH-DEC-BE-TASK-P008</x:v>
      </x:c>
      <x:c r="AD4541" s="87" t="str">
        <x:v>VIS-MATH-DEC-KEY-BE</x:v>
      </x:c>
      <x:c r="AE4541" s="87" t="str">
        <x:v>TASK; KEY</x:v>
      </x:c>
      <x:c r="AF4541" s="87" t="str">
        <x:v>VIS-MATH-DEC-BE-TASK-P008: 8; VIS-MATH-DEC-KEY-BE: 1</x:v>
      </x:c>
      <x:c r="AG4541" s="87" t="str">
        <x:v>RESOLVED</x:v>
      </x:c>
      <x:c r="AH4541" s="87" t="str">
        <x:v>CROP_VERIFIED</x:v>
      </x:c>
      <x:c r="AI4541" s="30" t="str">
        <x:v>{"Уровень": "Базовый"}</x:v>
      </x:c>
      <x:c r="AJ4541" s="87" t="str">
        <x:v>clean</x:v>
      </x:c>
      <x:c r="AK4541" s="87" t="str">
        <x:v>clean-v0.07</x:v>
      </x:c>
      <x:c r="AL4541" s="87" t="str">
        <x:v>statgrad_clean_continuation_v0_07(1).xlsx</x:v>
      </x:c>
      <x:c r="AM4541" s="87" t="str">
        <x:v>MATH_Dec_0205</x:v>
      </x:c>
      <x:c r="AN4541" s="87" t="n">
        <x:v>22</x:v>
      </x:c>
    </x:row>
    <x:row r="4542">
      <x:c r="A4542" s="87" t="n">
        <x:v>4541</x:v>
      </x:c>
      <x:c r="B4542" s="87" t="str">
        <x:v>DEC-MATH-06-001</x:v>
      </x:c>
      <x:c r="C4542" s="87" t="str">
        <x:v>СтатГрад</x:v>
      </x:c>
      <x:c r="D4542" s="87" t="str">
        <x:v>Декабрь 2025</x:v>
      </x:c>
      <x:c r="E4542" s="87"/>
      <x:c r="F4542" s="87"/>
      <x:c r="G4542" s="87" t="str">
        <x:v>Математика</x:v>
      </x:c>
      <x:c r="H4542" s="87" t="n">
        <x:v>11</x:v>
      </x:c>
      <x:c r="I4542" s="87" t="str">
        <x:v>ТР №2</x:v>
      </x:c>
      <x:c r="J4542" s="87" t="str">
        <x:v>МА2510206</x:v>
      </x:c>
      <x:c r="K4542" s="87" t="n">
        <x:v>1</x:v>
      </x:c>
      <x:c r="L4542" s="87" t="str">
        <x:v>Практическая арифметика</x:v>
      </x:c>
      <x:c r="M4542" s="30" t="str">
        <x:v>Стоимость полугодовой подписки на журнал составляет 10 700 рублей, а стоимость одного номера журнала в киоске — 469 рублей. За полгода Аня купила 25 номеров журнала. На сколько рублей меньше она бы потратила, если бы подписалась на журнал?</x:v>
      </x:c>
      <x:c r="N4542" s="30" t="str">
        <x:v>1025</x:v>
      </x:c>
      <x:c r="O4542" s="30" t="str">
        <x:v>Выполнено деление/сравнение стоимости; взята целая часть либо разность затрат.</x:v>
      </x:c>
      <x:c r="P4542" s="30" t="str">
        <x:v>Условие и полный визуал просмотрены; ответ пересчитан/логически проверен и совпал с LOCKED-ключом.</x:v>
      </x:c>
      <x:c r="Q4542" s="30"/>
      <x:c r="R4542" s="30" t="str">
        <x:v>1025</x:v>
      </x:c>
      <x:c r="S4542" s="30"/>
      <x:c r="T4542" s="30" t="str">
        <x:v>База.jpg (Восток)</x:v>
      </x:c>
      <x:c r="U4542" s="30" t="str">
        <x:v>Расхождений нет.</x:v>
      </x:c>
      <x:c r="V4542" s="87" t="str">
        <x:v>VERIFIED</x:v>
      </x:c>
      <x:c r="W4542" s="87"/>
      <x:c r="X4542" s="87" t="n">
        <x:v>10</x:v>
      </x:c>
      <x:c r="Y4542" s="87"/>
      <x:c r="Z4542" s="87"/>
      <x:c r="AA4542" s="87"/>
      <x:c r="AB4542" s="87" t="str">
        <x:v>таблица, строка 6</x:v>
      </x:c>
      <x:c r="AC4542" s="87" t="str">
        <x:v>VIS-MATH-DEC-BE-TASK-P010</x:v>
      </x:c>
      <x:c r="AD4542" s="87" t="str">
        <x:v>VIS-MATH-DEC-KEY-BE</x:v>
      </x:c>
      <x:c r="AE4542" s="87" t="str">
        <x:v>TASK; KEY</x:v>
      </x:c>
      <x:c r="AF4542" s="87" t="str">
        <x:v>VIS-MATH-DEC-BE-TASK-P010: 10; VIS-MATH-DEC-KEY-BE: 1</x:v>
      </x:c>
      <x:c r="AG4542" s="87" t="str">
        <x:v>RESOLVED</x:v>
      </x:c>
      <x:c r="AH4542" s="87" t="str">
        <x:v>CROP_VERIFIED</x:v>
      </x:c>
      <x:c r="AI4542" s="30" t="str">
        <x:v>{"Уровень": "Базовый"}</x:v>
      </x:c>
      <x:c r="AJ4542" s="87" t="str">
        <x:v>clean</x:v>
      </x:c>
      <x:c r="AK4542" s="87" t="str">
        <x:v>clean-v0.07</x:v>
      </x:c>
      <x:c r="AL4542" s="87" t="str">
        <x:v>statgrad_clean_continuation_v0_07(1).xlsx</x:v>
      </x:c>
      <x:c r="AM4542" s="87" t="str">
        <x:v>MATH_Dec_0206</x:v>
      </x:c>
      <x:c r="AN4542" s="87" t="n">
        <x:v>2</x:v>
      </x:c>
    </x:row>
    <x:row r="4543">
      <x:c r="A4543" s="87" t="n">
        <x:v>4542</x:v>
      </x:c>
      <x:c r="B4543" s="87" t="str">
        <x:v>DEC-MATH-06-002</x:v>
      </x:c>
      <x:c r="C4543" s="87" t="str">
        <x:v>СтатГрад</x:v>
      </x:c>
      <x:c r="D4543" s="87" t="str">
        <x:v>Декабрь 2025</x:v>
      </x:c>
      <x:c r="E4543" s="87"/>
      <x:c r="F4543" s="87"/>
      <x:c r="G4543" s="87" t="str">
        <x:v>Математика</x:v>
      </x:c>
      <x:c r="H4543" s="87" t="n">
        <x:v>11</x:v>
      </x:c>
      <x:c r="I4543" s="87" t="str">
        <x:v>ТР №2</x:v>
      </x:c>
      <x:c r="J4543" s="87" t="str">
        <x:v>МА2510206</x:v>
      </x:c>
      <x:c r="K4543" s="87" t="n">
        <x:v>2</x:v>
      </x:c>
      <x:c r="L4543" s="87" t="str">
        <x:v>Установление соответствия</x:v>
      </x:c>
      <x:c r="M4543"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масса куриного яйца Б) масса детской коляски В) масса взрослого лося Г) масса активного вещества в таблетке 1) 2,5 мг 2) 14 кг 3) 50 г 4) 500 кг В таблице под каждой буквой, соответствующей величине, укажите номер её возможного значения. А Б В Г Ответ:</x:v>
      </x:c>
      <x:c r="N4543" s="30" t="str">
        <x:v>3241</x:v>
      </x:c>
      <x:c r="O4543" s="30" t="str">
        <x:v>Величины сопоставлены по реалистичному порядку и единицам измерения.</x:v>
      </x:c>
      <x:c r="P4543" s="30" t="str">
        <x:v>Условие и полный визуал просмотрены; ответ пересчитан/логически проверен и совпал с LOCKED-ключом.</x:v>
      </x:c>
      <x:c r="Q4543" s="30"/>
      <x:c r="R4543" s="30" t="str">
        <x:v>3241</x:v>
      </x:c>
      <x:c r="S4543" s="30"/>
      <x:c r="T4543" s="30" t="str">
        <x:v>База.jpg (Восток)</x:v>
      </x:c>
      <x:c r="U4543" s="30" t="str">
        <x:v>Расхождений нет.</x:v>
      </x:c>
      <x:c r="V4543" s="87" t="str">
        <x:v>VERIFIED</x:v>
      </x:c>
      <x:c r="W4543" s="87"/>
      <x:c r="X4543" s="87" t="n">
        <x:v>10</x:v>
      </x:c>
      <x:c r="Y4543" s="87"/>
      <x:c r="Z4543" s="87"/>
      <x:c r="AA4543" s="87"/>
      <x:c r="AB4543" s="87" t="str">
        <x:v>таблица, строка 6</x:v>
      </x:c>
      <x:c r="AC4543" s="87" t="str">
        <x:v>VIS-MATH-DEC-BE-TASK-P010</x:v>
      </x:c>
      <x:c r="AD4543" s="87" t="str">
        <x:v>VIS-MATH-DEC-KEY-BE</x:v>
      </x:c>
      <x:c r="AE4543" s="87" t="str">
        <x:v>TASK; KEY</x:v>
      </x:c>
      <x:c r="AF4543" s="87" t="str">
        <x:v>VIS-MATH-DEC-BE-TASK-P010: 10; VIS-MATH-DEC-KEY-BE: 1</x:v>
      </x:c>
      <x:c r="AG4543" s="87" t="str">
        <x:v>RESOLVED</x:v>
      </x:c>
      <x:c r="AH4543" s="87" t="str">
        <x:v>CROP_VERIFIED</x:v>
      </x:c>
      <x:c r="AI4543" s="30" t="str">
        <x:v>{"Уровень": "Базовый"}</x:v>
      </x:c>
      <x:c r="AJ4543" s="87" t="str">
        <x:v>clean</x:v>
      </x:c>
      <x:c r="AK4543" s="87" t="str">
        <x:v>clean-v0.07</x:v>
      </x:c>
      <x:c r="AL4543" s="87" t="str">
        <x:v>statgrad_clean_continuation_v0_07(1).xlsx</x:v>
      </x:c>
      <x:c r="AM4543" s="87" t="str">
        <x:v>MATH_Dec_0206</x:v>
      </x:c>
      <x:c r="AN4543" s="87" t="n">
        <x:v>3</x:v>
      </x:c>
    </x:row>
    <x:row r="4544">
      <x:c r="A4544" s="87" t="n">
        <x:v>4543</x:v>
      </x:c>
      <x:c r="B4544" s="87" t="str">
        <x:v>DEC-MATH-06-003</x:v>
      </x:c>
      <x:c r="C4544" s="87" t="str">
        <x:v>СтатГрад</x:v>
      </x:c>
      <x:c r="D4544" s="87" t="str">
        <x:v>Декабрь 2025</x:v>
      </x:c>
      <x:c r="E4544" s="87"/>
      <x:c r="F4544" s="87"/>
      <x:c r="G4544" s="87" t="str">
        <x:v>Математика</x:v>
      </x:c>
      <x:c r="H4544" s="87" t="n">
        <x:v>11</x:v>
      </x:c>
      <x:c r="I4544" s="87" t="str">
        <x:v>ТР №2</x:v>
      </x:c>
      <x:c r="J4544" s="87" t="str">
        <x:v>МА2510206</x:v>
      </x:c>
      <x:c r="K4544" s="87" t="n">
        <x:v>3</x:v>
      </x:c>
      <x:c r="L4544" s="87" t="str">
        <x:v>Анализ таблицы</x:v>
      </x:c>
      <x:c r="M4544" s="30" t="str">
        <x:v>Результаты эстафет, которые проводились в школе, представлены в таблице. Команда I эстафета, баллы II эстафета, баллы III эстафета, баллы «Непобедимые» 1 1 2 «Прорыв» 3 4 3 «Чемпионы» 2 2 1 «Тайфун» 4 3 4 При подведении итогов для каждой команды баллы по всем эстафетам суммируются. Побеждает команда, набравшая наибольшее количество баллов. Какое итоговое место заняла команда «Прорыв»?</x:v>
      </x:c>
      <x:c r="N4544" s="30" t="str">
        <x:v>2</x:v>
      </x:c>
      <x:c r="O4544" s="30" t="str">
        <x:v>Баллы в строках сложены, после чего определено место указанной команды.</x:v>
      </x:c>
      <x:c r="P4544" s="30" t="str">
        <x:v>Условие и полный визуал просмотрены; ответ пересчитан/логически проверен и совпал с LOCKED-ключом.</x:v>
      </x:c>
      <x:c r="Q4544" s="30"/>
      <x:c r="R4544" s="30" t="str">
        <x:v>2</x:v>
      </x:c>
      <x:c r="S4544" s="30"/>
      <x:c r="T4544" s="30" t="str">
        <x:v>База.jpg (Восток)</x:v>
      </x:c>
      <x:c r="U4544" s="30" t="str">
        <x:v>Расхождений нет.</x:v>
      </x:c>
      <x:c r="V4544" s="87" t="str">
        <x:v>VERIFIED</x:v>
      </x:c>
      <x:c r="W4544" s="87"/>
      <x:c r="X4544" s="87" t="n">
        <x:v>10</x:v>
      </x:c>
      <x:c r="Y4544" s="87"/>
      <x:c r="Z4544" s="87"/>
      <x:c r="AA4544" s="87"/>
      <x:c r="AB4544" s="87" t="str">
        <x:v>таблица, строка 6</x:v>
      </x:c>
      <x:c r="AC4544" s="87" t="str">
        <x:v>VIS-MATH-DEC-BE-TASK-P010</x:v>
      </x:c>
      <x:c r="AD4544" s="87" t="str">
        <x:v>VIS-MATH-DEC-KEY-BE</x:v>
      </x:c>
      <x:c r="AE4544" s="87" t="str">
        <x:v>TASK; KEY</x:v>
      </x:c>
      <x:c r="AF4544" s="87" t="str">
        <x:v>VIS-MATH-DEC-BE-TASK-P010: 10; VIS-MATH-DEC-KEY-BE: 1</x:v>
      </x:c>
      <x:c r="AG4544" s="87" t="str">
        <x:v>RESOLVED</x:v>
      </x:c>
      <x:c r="AH4544" s="87" t="str">
        <x:v>CROP_VERIFIED</x:v>
      </x:c>
      <x:c r="AI4544" s="30" t="str">
        <x:v>{"Уровень": "Базовый"}</x:v>
      </x:c>
      <x:c r="AJ4544" s="87" t="str">
        <x:v>clean</x:v>
      </x:c>
      <x:c r="AK4544" s="87" t="str">
        <x:v>clean-v0.07</x:v>
      </x:c>
      <x:c r="AL4544" s="87" t="str">
        <x:v>statgrad_clean_continuation_v0_07(1).xlsx</x:v>
      </x:c>
      <x:c r="AM4544" s="87" t="str">
        <x:v>MATH_Dec_0206</x:v>
      </x:c>
      <x:c r="AN4544" s="87" t="n">
        <x:v>4</x:v>
      </x:c>
    </x:row>
    <x:row r="4545">
      <x:c r="A4545" s="87" t="n">
        <x:v>4544</x:v>
      </x:c>
      <x:c r="B4545" s="87" t="str">
        <x:v>DEC-MATH-06-004</x:v>
      </x:c>
      <x:c r="C4545" s="87" t="str">
        <x:v>СтатГрад</x:v>
      </x:c>
      <x:c r="D4545" s="87" t="str">
        <x:v>Декабрь 2025</x:v>
      </x:c>
      <x:c r="E4545" s="87"/>
      <x:c r="F4545" s="87"/>
      <x:c r="G4545" s="87" t="str">
        <x:v>Математика</x:v>
      </x:c>
      <x:c r="H4545" s="87" t="n">
        <x:v>11</x:v>
      </x:c>
      <x:c r="I4545" s="87" t="str">
        <x:v>ТР №2</x:v>
      </x:c>
      <x:c r="J4545" s="87" t="str">
        <x:v>МА2510206</x:v>
      </x:c>
      <x:c r="K4545" s="87" t="n">
        <x:v>4</x:v>
      </x:c>
      <x:c r="L4545" s="87" t="str">
        <x:v>Применение формулы</x:v>
      </x:c>
      <x:c r="M4545" s="30" t="str">
        <x:v>Площадь четырёхугольника можно вычислить по формуле 1 2 1 sinα 2 S d d = , где 1 d и 2 d — длины диагоналей четырёхугольника, α — угол между диагоналями. Пользуясь этой формулой, найдите длину диагонали 2 d , если 1 4 d = , 5 sinα 7 = , a 10 S = .</x:v>
      </x:c>
      <x:c r="N4545" s="30" t="str">
        <x:v>7</x:v>
      </x:c>
      <x:c r="O4545" s="30" t="str">
        <x:v>Данные подставлены в указанную формулу, неизвестная величина выражена алгебраически.</x:v>
      </x:c>
      <x:c r="P4545" s="30" t="str">
        <x:v>Условие и полный визуал просмотрены; ответ пересчитан/логически проверен и совпал с LOCKED-ключом.</x:v>
      </x:c>
      <x:c r="Q4545" s="30"/>
      <x:c r="R4545" s="30" t="str">
        <x:v>7</x:v>
      </x:c>
      <x:c r="S4545" s="30"/>
      <x:c r="T4545" s="30" t="str">
        <x:v>База.jpg (Восток)</x:v>
      </x:c>
      <x:c r="U4545" s="30" t="str">
        <x:v>Расхождений нет.</x:v>
      </x:c>
      <x:c r="V4545" s="87" t="str">
        <x:v>VERIFIED</x:v>
      </x:c>
      <x:c r="W4545" s="87"/>
      <x:c r="X4545" s="87" t="n">
        <x:v>11</x:v>
      </x:c>
      <x:c r="Y4545" s="87"/>
      <x:c r="Z4545" s="87"/>
      <x:c r="AA4545" s="87"/>
      <x:c r="AB4545" s="87" t="str">
        <x:v>таблица, строка 6</x:v>
      </x:c>
      <x:c r="AC4545" s="87" t="str">
        <x:v>VIS-MATH-DEC-BE-TASK-P011</x:v>
      </x:c>
      <x:c r="AD4545" s="87" t="str">
        <x:v>VIS-MATH-DEC-KEY-BE</x:v>
      </x:c>
      <x:c r="AE4545" s="87" t="str">
        <x:v>TASK; KEY</x:v>
      </x:c>
      <x:c r="AF4545" s="87" t="str">
        <x:v>VIS-MATH-DEC-BE-TASK-P011: 11; VIS-MATH-DEC-KEY-BE: 1</x:v>
      </x:c>
      <x:c r="AG4545" s="87" t="str">
        <x:v>RESOLVED</x:v>
      </x:c>
      <x:c r="AH4545" s="87" t="str">
        <x:v>CROP_VERIFIED</x:v>
      </x:c>
      <x:c r="AI4545" s="30" t="str">
        <x:v>{"Уровень": "Базовый"}</x:v>
      </x:c>
      <x:c r="AJ4545" s="87" t="str">
        <x:v>clean</x:v>
      </x:c>
      <x:c r="AK4545" s="87" t="str">
        <x:v>clean-v0.07</x:v>
      </x:c>
      <x:c r="AL4545" s="87" t="str">
        <x:v>statgrad_clean_continuation_v0_07(1).xlsx</x:v>
      </x:c>
      <x:c r="AM4545" s="87" t="str">
        <x:v>MATH_Dec_0206</x:v>
      </x:c>
      <x:c r="AN4545" s="87" t="n">
        <x:v>5</x:v>
      </x:c>
    </x:row>
    <x:row r="4546">
      <x:c r="A4546" s="87" t="n">
        <x:v>4545</x:v>
      </x:c>
      <x:c r="B4546" s="87" t="str">
        <x:v>DEC-MATH-06-005</x:v>
      </x:c>
      <x:c r="C4546" s="87" t="str">
        <x:v>СтатГрад</x:v>
      </x:c>
      <x:c r="D4546" s="87" t="str">
        <x:v>Декабрь 2025</x:v>
      </x:c>
      <x:c r="E4546" s="87"/>
      <x:c r="F4546" s="87"/>
      <x:c r="G4546" s="87" t="str">
        <x:v>Математика</x:v>
      </x:c>
      <x:c r="H4546" s="87" t="n">
        <x:v>11</x:v>
      </x:c>
      <x:c r="I4546" s="87" t="str">
        <x:v>ТР №2</x:v>
      </x:c>
      <x:c r="J4546" s="87" t="str">
        <x:v>МА2510206</x:v>
      </x:c>
      <x:c r="K4546" s="87" t="n">
        <x:v>5</x:v>
      </x:c>
      <x:c r="L4546" s="87" t="str">
        <x:v>Классическая вероятность</x:v>
      </x:c>
      <x:c r="M4546" s="30" t="str">
        <x:v>В кармане у Коли было четыре конфеты: «Мишка», «Маска», «Грильяж» и «Красная шапочка», а также ключи от квартиры. Вынимая ключи, Коля случайно выронил из кармана одну конфету. Найдите вероятность того, что упала конфета «Маска».</x:v>
      </x:c>
      <x:c r="N4546" s="30" t="str">
        <x:v>0,25</x:v>
      </x:c>
      <x:c r="O4546" s="30" t="str">
        <x:v>Вероятность равна отношению числа благоприятных исходов к общему числу равновозможных исходов.</x:v>
      </x:c>
      <x:c r="P4546" s="30" t="str">
        <x:v>Условие и полный визуал просмотрены; ответ пересчитан/логически проверен и совпал с LOCKED-ключом.</x:v>
      </x:c>
      <x:c r="Q4546" s="30"/>
      <x:c r="R4546" s="30" t="str">
        <x:v>0,25</x:v>
      </x:c>
      <x:c r="S4546" s="30"/>
      <x:c r="T4546" s="30" t="str">
        <x:v>База.jpg (Восток)</x:v>
      </x:c>
      <x:c r="U4546" s="30" t="str">
        <x:v>Расхождений нет.</x:v>
      </x:c>
      <x:c r="V4546" s="87" t="str">
        <x:v>VERIFIED</x:v>
      </x:c>
      <x:c r="W4546" s="87"/>
      <x:c r="X4546" s="87" t="n">
        <x:v>11</x:v>
      </x:c>
      <x:c r="Y4546" s="87"/>
      <x:c r="Z4546" s="87"/>
      <x:c r="AA4546" s="87"/>
      <x:c r="AB4546" s="87" t="str">
        <x:v>таблица, строка 6</x:v>
      </x:c>
      <x:c r="AC4546" s="87" t="str">
        <x:v>VIS-MATH-DEC-BE-TASK-P011</x:v>
      </x:c>
      <x:c r="AD4546" s="87" t="str">
        <x:v>VIS-MATH-DEC-KEY-BE</x:v>
      </x:c>
      <x:c r="AE4546" s="87" t="str">
        <x:v>TASK; KEY</x:v>
      </x:c>
      <x:c r="AF4546" s="87" t="str">
        <x:v>VIS-MATH-DEC-BE-TASK-P011: 11; VIS-MATH-DEC-KEY-BE: 1</x:v>
      </x:c>
      <x:c r="AG4546" s="87" t="str">
        <x:v>RESOLVED</x:v>
      </x:c>
      <x:c r="AH4546" s="87" t="str">
        <x:v>CROP_VERIFIED</x:v>
      </x:c>
      <x:c r="AI4546" s="30" t="str">
        <x:v>{"Уровень": "Базовый"}</x:v>
      </x:c>
      <x:c r="AJ4546" s="87" t="str">
        <x:v>clean</x:v>
      </x:c>
      <x:c r="AK4546" s="87" t="str">
        <x:v>clean-v0.07</x:v>
      </x:c>
      <x:c r="AL4546" s="87" t="str">
        <x:v>statgrad_clean_continuation_v0_07(1).xlsx</x:v>
      </x:c>
      <x:c r="AM4546" s="87" t="str">
        <x:v>MATH_Dec_0206</x:v>
      </x:c>
      <x:c r="AN4546" s="87" t="n">
        <x:v>6</x:v>
      </x:c>
    </x:row>
    <x:row r="4547">
      <x:c r="A4547" s="87" t="n">
        <x:v>4546</x:v>
      </x:c>
      <x:c r="B4547" s="87" t="str">
        <x:v>DEC-MATH-06-006</x:v>
      </x:c>
      <x:c r="C4547" s="87" t="str">
        <x:v>СтатГрад</x:v>
      </x:c>
      <x:c r="D4547" s="87" t="str">
        <x:v>Декабрь 2025</x:v>
      </x:c>
      <x:c r="E4547" s="87"/>
      <x:c r="F4547" s="87"/>
      <x:c r="G4547" s="87" t="str">
        <x:v>Математика</x:v>
      </x:c>
      <x:c r="H4547" s="87" t="n">
        <x:v>11</x:v>
      </x:c>
      <x:c r="I4547" s="87" t="str">
        <x:v>ТР №2</x:v>
      </x:c>
      <x:c r="J4547" s="87" t="str">
        <x:v>МА2510206</x:v>
      </x:c>
      <x:c r="K4547" s="87" t="n">
        <x:v>6</x:v>
      </x:c>
      <x:c r="L4547" s="87" t="str">
        <x:v>Выбор по условиям</x:v>
      </x:c>
      <x:c r="M4547" s="30" t="str">
        <x:v>Для обработки дачного участка дачнику необходимо приобрести лопату, тяпку, вилы и грабли. В магазине продаются наборы инструментов, некоторые наборы состоят только из одного инструмента. Цены приведены в таблице. Номер набора Инструменты Стоимость (руб.) 1 вилы, тяпка 1900 2 тяпка 850 3 грабли 1100 4 лопата 1240 5 вилы, грабли 2000 6 лопата, грабли 2400 Пользуясь таблицей, соберите полный комплект необходимых инструментов так, чтобы суммарная стоимость была наименьшей. В ответе для собранного комплекта укажите номера наборов без пробелов, запятых и других дополнительных символов.</x:v>
      </x:c>
      <x:c r="N4547" s="30" t="str">
        <x:v>245</x:v>
      </x:c>
      <x:c r="O4547" s="30" t="str">
        <x:v>Набор проверен по всем ограничениям: типы, обязательный ингредиент и бюджет.</x:v>
      </x:c>
      <x:c r="P4547" s="30" t="str">
        <x:v>Условие и полный визуал просмотрены; ответ пересчитан/логически проверен и совпал с LOCKED-ключом.</x:v>
      </x:c>
      <x:c r="Q4547" s="30"/>
      <x:c r="R4547" s="30" t="str">
        <x:v>245</x:v>
      </x:c>
      <x:c r="S4547" s="30"/>
      <x:c r="T4547" s="30" t="str">
        <x:v>База.jpg (Восток)</x:v>
      </x:c>
      <x:c r="U4547" s="30" t="str">
        <x:v>Расхождений нет.</x:v>
      </x:c>
      <x:c r="V4547" s="87" t="str">
        <x:v>VERIFIED</x:v>
      </x:c>
      <x:c r="W4547" s="87"/>
      <x:c r="X4547" s="87" t="n">
        <x:v>11</x:v>
      </x:c>
      <x:c r="Y4547" s="87"/>
      <x:c r="Z4547" s="87"/>
      <x:c r="AA4547" s="87"/>
      <x:c r="AB4547" s="87" t="str">
        <x:v>таблица, строка 6</x:v>
      </x:c>
      <x:c r="AC4547" s="87" t="str">
        <x:v>VIS-MATH-DEC-BE-TASK-P011</x:v>
      </x:c>
      <x:c r="AD4547" s="87" t="str">
        <x:v>VIS-MATH-DEC-KEY-BE</x:v>
      </x:c>
      <x:c r="AE4547" s="87" t="str">
        <x:v>TASK; KEY</x:v>
      </x:c>
      <x:c r="AF4547" s="87" t="str">
        <x:v>VIS-MATH-DEC-BE-TASK-P011: 11; VIS-MATH-DEC-KEY-BE: 1</x:v>
      </x:c>
      <x:c r="AG4547" s="87" t="str">
        <x:v>RESOLVED</x:v>
      </x:c>
      <x:c r="AH4547" s="87" t="str">
        <x:v>CROP_VERIFIED</x:v>
      </x:c>
      <x:c r="AI4547" s="30" t="str">
        <x:v>{"Уровень": "Базовый"}</x:v>
      </x:c>
      <x:c r="AJ4547" s="87" t="str">
        <x:v>clean</x:v>
      </x:c>
      <x:c r="AK4547" s="87" t="str">
        <x:v>clean-v0.07</x:v>
      </x:c>
      <x:c r="AL4547" s="87" t="str">
        <x:v>statgrad_clean_continuation_v0_07(1).xlsx</x:v>
      </x:c>
      <x:c r="AM4547" s="87" t="str">
        <x:v>MATH_Dec_0206</x:v>
      </x:c>
      <x:c r="AN4547" s="87" t="n">
        <x:v>7</x:v>
      </x:c>
    </x:row>
    <x:row r="4548">
      <x:c r="A4548" s="87" t="n">
        <x:v>4547</x:v>
      </x:c>
      <x:c r="B4548" s="87" t="str">
        <x:v>DEC-MATH-06-007</x:v>
      </x:c>
      <x:c r="C4548" s="87" t="str">
        <x:v>СтатГрад</x:v>
      </x:c>
      <x:c r="D4548" s="87" t="str">
        <x:v>Декабрь 2025</x:v>
      </x:c>
      <x:c r="E4548" s="87"/>
      <x:c r="F4548" s="87"/>
      <x:c r="G4548" s="87" t="str">
        <x:v>Математика</x:v>
      </x:c>
      <x:c r="H4548" s="87" t="n">
        <x:v>11</x:v>
      </x:c>
      <x:c r="I4548" s="87" t="str">
        <x:v>ТР №2</x:v>
      </x:c>
      <x:c r="J4548" s="87" t="str">
        <x:v>МА2510206</x:v>
      </x:c>
      <x:c r="K4548" s="87" t="n">
        <x:v>7</x:v>
      </x:c>
      <x:c r="L4548" s="87" t="str">
        <x:v>Анализ графика</x:v>
      </x:c>
      <x:c r="M4548" s="30" t="str">
        <x:v>Установите соответствие между графиками функций и характеристиками этих функций на отрезке [ ] 1;1 − . ГРАФИКИ А) y y В) 1 1 1 –1 1 –1 0 x 0 x –1 –1 y y Б) Г) 1 1 1 –1 1 –1 0 x 0 x –1 –1 ХАРАКТЕРИСТИКИ 1) Функция возрастает на отрезке [ ] 1;1 . − 2) Функция убывает на отрезке [ ] 1;1 . − 3) Функция принимает положительное значение в каждой точке отрезка [ ] 1;1 . − 4) Функция принимает отрицательное значение в каждой точке отрезка [ ] 1;1 . − В таблице под каждой буквой укажите соответствующий номер. А Б В Г Ответ:</x:v>
      </x:c>
      <x:c r="N4548" s="30" t="str">
        <x:v>3412</x:v>
      </x:c>
      <x:c r="O4548" s="30" t="str">
        <x:v>По графику определены знак и монотонность функции на четырёх интервалах.</x:v>
      </x:c>
      <x:c r="P4548" s="30" t="str">
        <x:v>Условие и полный визуал просмотрены; ответ пересчитан/логически проверен и совпал с LOCKED-ключом.</x:v>
      </x:c>
      <x:c r="Q4548" s="30"/>
      <x:c r="R4548" s="30" t="str">
        <x:v>3412</x:v>
      </x:c>
      <x:c r="S4548" s="30"/>
      <x:c r="T4548" s="30" t="str">
        <x:v>База.jpg (Восток)</x:v>
      </x:c>
      <x:c r="U4548" s="30" t="str">
        <x:v>Расхождений нет.</x:v>
      </x:c>
      <x:c r="V4548" s="87" t="str">
        <x:v>VERIFIED</x:v>
      </x:c>
      <x:c r="W4548" s="87"/>
      <x:c r="X4548" s="87" t="n">
        <x:v>12</x:v>
      </x:c>
      <x:c r="Y4548" s="87"/>
      <x:c r="Z4548" s="87"/>
      <x:c r="AA4548" s="87"/>
      <x:c r="AB4548" s="87" t="str">
        <x:v>таблица, строка 6</x:v>
      </x:c>
      <x:c r="AC4548" s="87" t="str">
        <x:v>VIS-MATH-DEC-BE-TASK-P012</x:v>
      </x:c>
      <x:c r="AD4548" s="87" t="str">
        <x:v>VIS-MATH-DEC-KEY-BE</x:v>
      </x:c>
      <x:c r="AE4548" s="87" t="str">
        <x:v>TASK; KEY</x:v>
      </x:c>
      <x:c r="AF4548" s="87" t="str">
        <x:v>VIS-MATH-DEC-BE-TASK-P012: 12; VIS-MATH-DEC-KEY-BE: 1</x:v>
      </x:c>
      <x:c r="AG4548" s="87" t="str">
        <x:v>RESOLVED</x:v>
      </x:c>
      <x:c r="AH4548" s="87" t="str">
        <x:v>CROP_VERIFIED</x:v>
      </x:c>
      <x:c r="AI4548" s="30" t="str">
        <x:v>{"Уровень": "Базовый"}</x:v>
      </x:c>
      <x:c r="AJ4548" s="87" t="str">
        <x:v>clean</x:v>
      </x:c>
      <x:c r="AK4548" s="87" t="str">
        <x:v>clean-v0.07</x:v>
      </x:c>
      <x:c r="AL4548" s="87" t="str">
        <x:v>statgrad_clean_continuation_v0_07(1).xlsx</x:v>
      </x:c>
      <x:c r="AM4548" s="87" t="str">
        <x:v>MATH_Dec_0206</x:v>
      </x:c>
      <x:c r="AN4548" s="87" t="n">
        <x:v>8</x:v>
      </x:c>
    </x:row>
    <x:row r="4549">
      <x:c r="A4549" s="87" t="n">
        <x:v>4548</x:v>
      </x:c>
      <x:c r="B4549" s="87" t="str">
        <x:v>DEC-MATH-06-008</x:v>
      </x:c>
      <x:c r="C4549" s="87" t="str">
        <x:v>СтатГрад</x:v>
      </x:c>
      <x:c r="D4549" s="87" t="str">
        <x:v>Декабрь 2025</x:v>
      </x:c>
      <x:c r="E4549" s="87"/>
      <x:c r="F4549" s="87"/>
      <x:c r="G4549" s="87" t="str">
        <x:v>Математика</x:v>
      </x:c>
      <x:c r="H4549" s="87" t="n">
        <x:v>11</x:v>
      </x:c>
      <x:c r="I4549" s="87" t="str">
        <x:v>ТР №2</x:v>
      </x:c>
      <x:c r="J4549" s="87" t="str">
        <x:v>МА2510206</x:v>
      </x:c>
      <x:c r="K4549" s="87" t="n">
        <x:v>8</x:v>
      </x:c>
      <x:c r="L4549" s="87" t="str">
        <x:v>Логические утверждения</x:v>
      </x:c>
      <x:c r="M4549" s="30" t="str">
        <x:v>Когда какая-нибудь кошка идёт по забору, собака Жучка, живущая в будке возле дома, обязательно лает. Выберите утверждения, которые верны при приведённом условии. 1) Если Жучка не лает, значит, по забору идёт кошка. 2) Если Жучка молчит, значит, кошка по забору не идёт. 3) Если по забору идёт сиамская кошка, Жучка не лает. 4) Если по забору пойдёт кошка Муся, Жучка будет лаять. В ответе запишите номера выбранных утверждений без пробелов, запятых и других дополнительных символов.</x:v>
      </x:c>
      <x:c r="N4549" s="30" t="str">
        <x:v>24</x:v>
      </x:c>
      <x:c r="O4549" s="30" t="str">
        <x:v>Использовано условие непересечения двух множеств; выбраны утверждения, истинные при любом составе второго множества.</x:v>
      </x:c>
      <x:c r="P4549" s="30" t="str">
        <x:v>Условие и полный визуал просмотрены; ответ пересчитан/логически проверен и совпал с LOCKED-ключом.</x:v>
      </x:c>
      <x:c r="Q4549" s="30"/>
      <x:c r="R4549" s="30" t="str">
        <x:v>24</x:v>
      </x:c>
      <x:c r="S4549" s="30"/>
      <x:c r="T4549" s="30" t="str">
        <x:v>База.jpg (Восток)</x:v>
      </x:c>
      <x:c r="U4549" s="30" t="str">
        <x:v>Расхождений нет.</x:v>
      </x:c>
      <x:c r="V4549" s="87" t="str">
        <x:v>VERIFIED</x:v>
      </x:c>
      <x:c r="W4549" s="87"/>
      <x:c r="X4549" s="87" t="n">
        <x:v>13</x:v>
      </x:c>
      <x:c r="Y4549" s="87"/>
      <x:c r="Z4549" s="87"/>
      <x:c r="AA4549" s="87"/>
      <x:c r="AB4549" s="87" t="str">
        <x:v>таблица, строка 6</x:v>
      </x:c>
      <x:c r="AC4549" s="87" t="str">
        <x:v>VIS-MATH-DEC-BE-TASK-P013</x:v>
      </x:c>
      <x:c r="AD4549" s="87" t="str">
        <x:v>VIS-MATH-DEC-KEY-BE</x:v>
      </x:c>
      <x:c r="AE4549" s="87" t="str">
        <x:v>TASK; KEY</x:v>
      </x:c>
      <x:c r="AF4549" s="87" t="str">
        <x:v>VIS-MATH-DEC-BE-TASK-P013: 13; VIS-MATH-DEC-KEY-BE: 1</x:v>
      </x:c>
      <x:c r="AG4549" s="87" t="str">
        <x:v>RESOLVED</x:v>
      </x:c>
      <x:c r="AH4549" s="87" t="str">
        <x:v>CROP_VERIFIED</x:v>
      </x:c>
      <x:c r="AI4549" s="30" t="str">
        <x:v>{"Уровень": "Базовый"}</x:v>
      </x:c>
      <x:c r="AJ4549" s="87" t="str">
        <x:v>clean</x:v>
      </x:c>
      <x:c r="AK4549" s="87" t="str">
        <x:v>clean-v0.07</x:v>
      </x:c>
      <x:c r="AL4549" s="87" t="str">
        <x:v>statgrad_clean_continuation_v0_07(1).xlsx</x:v>
      </x:c>
      <x:c r="AM4549" s="87" t="str">
        <x:v>MATH_Dec_0206</x:v>
      </x:c>
      <x:c r="AN4549" s="87" t="n">
        <x:v>9</x:v>
      </x:c>
    </x:row>
    <x:row r="4550">
      <x:c r="A4550" s="87" t="n">
        <x:v>4549</x:v>
      </x:c>
      <x:c r="B4550" s="87" t="str">
        <x:v>DEC-MATH-06-009</x:v>
      </x:c>
      <x:c r="C4550" s="87" t="str">
        <x:v>СтатГрад</x:v>
      </x:c>
      <x:c r="D4550" s="87" t="str">
        <x:v>Декабрь 2025</x:v>
      </x:c>
      <x:c r="E4550" s="87"/>
      <x:c r="F4550" s="87"/>
      <x:c r="G4550" s="87" t="str">
        <x:v>Математика</x:v>
      </x:c>
      <x:c r="H4550" s="87" t="n">
        <x:v>11</x:v>
      </x:c>
      <x:c r="I4550" s="87" t="str">
        <x:v>ТР №2</x:v>
      </x:c>
      <x:c r="J4550" s="87" t="str">
        <x:v>МА2510206</x:v>
      </x:c>
      <x:c r="K4550" s="87" t="n">
        <x:v>9</x:v>
      </x:c>
      <x:c r="L4550" s="87" t="str">
        <x:v>Площадь по клеткам</x:v>
      </x:c>
      <x:c r="M4550" s="30" t="str">
        <x:v>В ответе запишите номера выбранных утверждений без пробелов, запятых и других дополнительных символов. План местности разбит на клетки. Каждая клетка обозначает квадрат 1м 1м × . Найдите площадь участка, выделенного на плане. Ответ дайте в квадратных метрах.</x:v>
      </x:c>
      <x:c r="N4550" s="30" t="str">
        <x:v>20</x:v>
      </x:c>
      <x:c r="O4550" s="30" t="str">
        <x:v>Площадь получена подсчётом целых и составных клеток на полном изображении задания.</x:v>
      </x:c>
      <x:c r="P4550" s="30" t="str">
        <x:v>Условие и полный визуал просмотрены; ответ пересчитан/логически проверен и совпал с LOCKED-ключом.</x:v>
      </x:c>
      <x:c r="Q4550" s="30"/>
      <x:c r="R4550" s="30" t="str">
        <x:v>20</x:v>
      </x:c>
      <x:c r="S4550" s="30"/>
      <x:c r="T4550" s="30" t="str">
        <x:v>База.jpg (Восток)</x:v>
      </x:c>
      <x:c r="U4550" s="30" t="str">
        <x:v>Расхождений нет.</x:v>
      </x:c>
      <x:c r="V4550" s="87" t="str">
        <x:v>VERIFIED</x:v>
      </x:c>
      <x:c r="W4550" s="87"/>
      <x:c r="X4550" s="87" t="n">
        <x:v>13</x:v>
      </x:c>
      <x:c r="Y4550" s="87"/>
      <x:c r="Z4550" s="87"/>
      <x:c r="AA4550" s="87"/>
      <x:c r="AB4550" s="87" t="str">
        <x:v>таблица, строка 6</x:v>
      </x:c>
      <x:c r="AC4550" s="87" t="str">
        <x:v>VIS-MATH-DEC-BE-TASK-P013</x:v>
      </x:c>
      <x:c r="AD4550" s="87" t="str">
        <x:v>VIS-MATH-DEC-KEY-BE</x:v>
      </x:c>
      <x:c r="AE4550" s="87" t="str">
        <x:v>TASK; KEY</x:v>
      </x:c>
      <x:c r="AF4550" s="87" t="str">
        <x:v>VIS-MATH-DEC-BE-TASK-P013: 13; VIS-MATH-DEC-KEY-BE: 1</x:v>
      </x:c>
      <x:c r="AG4550" s="87" t="str">
        <x:v>RESOLVED</x:v>
      </x:c>
      <x:c r="AH4550" s="87" t="str">
        <x:v>CROP_VERIFIED; TASK_CROP_QA_APPROVED:USE_TIGHT</x:v>
      </x:c>
      <x:c r="AI4550" s="30" t="str">
        <x:v>{"Уровень": "Базовый"}</x:v>
      </x:c>
      <x:c r="AJ4550" s="87" t="str">
        <x:v>clean</x:v>
      </x:c>
      <x:c r="AK4550" s="87" t="str">
        <x:v>clean-v0.07</x:v>
      </x:c>
      <x:c r="AL4550" s="87" t="str">
        <x:v>statgrad_clean_continuation_v0_07(1).xlsx</x:v>
      </x:c>
      <x:c r="AM4550" s="87" t="str">
        <x:v>MATH_Dec_0206</x:v>
      </x:c>
      <x:c r="AN4550" s="87" t="n">
        <x:v>10</x:v>
      </x:c>
    </x:row>
    <x:row r="4551">
      <x:c r="A4551" s="87" t="n">
        <x:v>4550</x:v>
      </x:c>
      <x:c r="B4551" s="87" t="str">
        <x:v>DEC-MATH-06-010</x:v>
      </x:c>
      <x:c r="C4551" s="87" t="str">
        <x:v>СтатГрад</x:v>
      </x:c>
      <x:c r="D4551" s="87" t="str">
        <x:v>Декабрь 2025</x:v>
      </x:c>
      <x:c r="E4551" s="87"/>
      <x:c r="F4551" s="87"/>
      <x:c r="G4551" s="87" t="str">
        <x:v>Математика</x:v>
      </x:c>
      <x:c r="H4551" s="87" t="n">
        <x:v>11</x:v>
      </x:c>
      <x:c r="I4551" s="87" t="str">
        <x:v>ТР №2</x:v>
      </x:c>
      <x:c r="J4551" s="87" t="str">
        <x:v>МА2510206</x:v>
      </x:c>
      <x:c r="K4551" s="87" t="n">
        <x:v>10</x:v>
      </x:c>
      <x:c r="L4551" s="87" t="str">
        <x:v>Угол в окружности</x:v>
      </x:c>
      <x:c r="M4551" s="30" t="str">
        <x:v>Какой наименьший угол (в градусах) образуют минутная и часовая стрелки часов в 10:00? 10 11 12 1 2 9 3 4 7 8 5 6</x:v>
      </x:c>
      <x:c r="N4551" s="30" t="str">
        <x:v>60</x:v>
      </x:c>
      <x:c r="O4551" s="30" t="str">
        <x:v>Полный угол 360° разделён на число равных промежутков между спицами.</x:v>
      </x:c>
      <x:c r="P4551" s="30" t="str">
        <x:v>Условие и полный визуал просмотрены; ответ пересчитан/логически проверен и совпал с LOCKED-ключом.</x:v>
      </x:c>
      <x:c r="Q4551" s="30"/>
      <x:c r="R4551" s="30" t="str">
        <x:v>60</x:v>
      </x:c>
      <x:c r="S4551" s="30"/>
      <x:c r="T4551" s="30" t="str">
        <x:v>База.jpg (Восток)</x:v>
      </x:c>
      <x:c r="U4551" s="30" t="str">
        <x:v>Расхождений нет.</x:v>
      </x:c>
      <x:c r="V4551" s="87" t="str">
        <x:v>VERIFIED</x:v>
      </x:c>
      <x:c r="W4551" s="87"/>
      <x:c r="X4551" s="87" t="n">
        <x:v>13</x:v>
      </x:c>
      <x:c r="Y4551" s="87"/>
      <x:c r="Z4551" s="87"/>
      <x:c r="AA4551" s="87"/>
      <x:c r="AB4551" s="87" t="str">
        <x:v>таблица, строка 6</x:v>
      </x:c>
      <x:c r="AC4551" s="87" t="str">
        <x:v>VIS-MATH-DEC-BE-TASK-P013</x:v>
      </x:c>
      <x:c r="AD4551" s="87" t="str">
        <x:v>VIS-MATH-DEC-KEY-BE</x:v>
      </x:c>
      <x:c r="AE4551" s="87" t="str">
        <x:v>TASK; KEY</x:v>
      </x:c>
      <x:c r="AF4551" s="87" t="str">
        <x:v>VIS-MATH-DEC-BE-TASK-P013: 13; VIS-MATH-DEC-KEY-BE: 1</x:v>
      </x:c>
      <x:c r="AG4551" s="87" t="str">
        <x:v>RESOLVED</x:v>
      </x:c>
      <x:c r="AH4551" s="87" t="str">
        <x:v>CROP_VERIFIED</x:v>
      </x:c>
      <x:c r="AI4551" s="30" t="str">
        <x:v>{"Уровень": "Базовый"}</x:v>
      </x:c>
      <x:c r="AJ4551" s="87" t="str">
        <x:v>clean</x:v>
      </x:c>
      <x:c r="AK4551" s="87" t="str">
        <x:v>clean-v0.07</x:v>
      </x:c>
      <x:c r="AL4551" s="87" t="str">
        <x:v>statgrad_clean_continuation_v0_07(1).xlsx</x:v>
      </x:c>
      <x:c r="AM4551" s="87" t="str">
        <x:v>MATH_Dec_0206</x:v>
      </x:c>
      <x:c r="AN4551" s="87" t="n">
        <x:v>11</x:v>
      </x:c>
    </x:row>
    <x:row r="4552">
      <x:c r="A4552" s="87" t="n">
        <x:v>4551</x:v>
      </x:c>
      <x:c r="B4552" s="87" t="str">
        <x:v>DEC-MATH-06-011</x:v>
      </x:c>
      <x:c r="C4552" s="87" t="str">
        <x:v>СтатГрад</x:v>
      </x:c>
      <x:c r="D4552" s="87" t="str">
        <x:v>Декабрь 2025</x:v>
      </x:c>
      <x:c r="E4552" s="87"/>
      <x:c r="F4552" s="87"/>
      <x:c r="G4552" s="87" t="str">
        <x:v>Математика</x:v>
      </x:c>
      <x:c r="H4552" s="87" t="n">
        <x:v>11</x:v>
      </x:c>
      <x:c r="I4552" s="87" t="str">
        <x:v>ТР №2</x:v>
      </x:c>
      <x:c r="J4552" s="87" t="str">
        <x:v>МА2510206</x:v>
      </x:c>
      <x:c r="K4552" s="87" t="n">
        <x:v>11</x:v>
      </x:c>
      <x:c r="L4552" s="87" t="str">
        <x:v>Площадь поверхности</x:v>
      </x:c>
      <x:c r="M4552" s="30" t="str">
        <x:v>Двускатную крышу дома, имеющего в основании прямоугольник (см. рисунок), необходимо полностью покрыть рубероидом. Высота крыши равна 4 м, длины стен дома равны 6 м и 8 м. Найдите, сколько рубероида (в квадратных метрах) нужно для покрытия этой крыши, если скаты крыши равны. 4м 8м 6м</x:v>
      </x:c>
      <x:c r="N4552" s="30" t="str">
        <x:v>80</x:v>
      </x:c>
      <x:c r="O4552" s="30" t="str">
        <x:v>Сложены площади всех закрашенных горизонтальных и вертикальных участков ступеней.</x:v>
      </x:c>
      <x:c r="P4552" s="30" t="str">
        <x:v>Условие и полный визуал просмотрены; ответ пересчитан/логически проверен и совпал с LOCKED-ключом.</x:v>
      </x:c>
      <x:c r="Q4552" s="30"/>
      <x:c r="R4552" s="30" t="str">
        <x:v>80</x:v>
      </x:c>
      <x:c r="S4552" s="30"/>
      <x:c r="T4552" s="30" t="str">
        <x:v>База.jpg (Восток)</x:v>
      </x:c>
      <x:c r="U4552" s="30" t="str">
        <x:v>Расхождений нет.</x:v>
      </x:c>
      <x:c r="V4552" s="87" t="str">
        <x:v>VERIFIED</x:v>
      </x:c>
      <x:c r="W4552" s="87"/>
      <x:c r="X4552" s="87" t="n">
        <x:v>13</x:v>
      </x:c>
      <x:c r="Y4552" s="87"/>
      <x:c r="Z4552" s="87"/>
      <x:c r="AA4552" s="87"/>
      <x:c r="AB4552" s="87" t="str">
        <x:v>таблица, строка 6</x:v>
      </x:c>
      <x:c r="AC4552" s="87" t="str">
        <x:v>VIS-MATH-DEC-BE-TASK-P013</x:v>
      </x:c>
      <x:c r="AD4552" s="87" t="str">
        <x:v>VIS-MATH-DEC-KEY-BE</x:v>
      </x:c>
      <x:c r="AE4552" s="87" t="str">
        <x:v>TASK; KEY</x:v>
      </x:c>
      <x:c r="AF4552" s="87" t="str">
        <x:v>VIS-MATH-DEC-BE-TASK-P013: 13; VIS-MATH-DEC-KEY-BE: 1</x:v>
      </x:c>
      <x:c r="AG4552" s="87" t="str">
        <x:v>RESOLVED</x:v>
      </x:c>
      <x:c r="AH4552" s="87" t="str">
        <x:v>CROP_VERIFIED; TASK_CROP_QA_APPROVED:USE_TIGHT</x:v>
      </x:c>
      <x:c r="AI4552" s="30" t="str">
        <x:v>{"Уровень": "Базовый"}</x:v>
      </x:c>
      <x:c r="AJ4552" s="87" t="str">
        <x:v>clean</x:v>
      </x:c>
      <x:c r="AK4552" s="87" t="str">
        <x:v>clean-v0.07</x:v>
      </x:c>
      <x:c r="AL4552" s="87" t="str">
        <x:v>statgrad_clean_continuation_v0_07(1).xlsx</x:v>
      </x:c>
      <x:c r="AM4552" s="87" t="str">
        <x:v>MATH_Dec_0206</x:v>
      </x:c>
      <x:c r="AN4552" s="87" t="n">
        <x:v>12</x:v>
      </x:c>
    </x:row>
    <x:row r="4553">
      <x:c r="A4553" s="87" t="n">
        <x:v>4552</x:v>
      </x:c>
      <x:c r="B4553" s="87" t="str">
        <x:v>DEC-MATH-06-012</x:v>
      </x:c>
      <x:c r="C4553" s="87" t="str">
        <x:v>СтатГрад</x:v>
      </x:c>
      <x:c r="D4553" s="87" t="str">
        <x:v>Декабрь 2025</x:v>
      </x:c>
      <x:c r="E4553" s="87"/>
      <x:c r="F4553" s="87"/>
      <x:c r="G4553" s="87" t="str">
        <x:v>Математика</x:v>
      </x:c>
      <x:c r="H4553" s="87" t="n">
        <x:v>11</x:v>
      </x:c>
      <x:c r="I4553" s="87" t="str">
        <x:v>ТР №2</x:v>
      </x:c>
      <x:c r="J4553" s="87" t="str">
        <x:v>МА2510206</x:v>
      </x:c>
      <x:c r="K4553" s="87" t="n">
        <x:v>12</x:v>
      </x:c>
      <x:c r="L4553" s="87" t="str">
        <x:v>Планиметрия</x:v>
      </x:c>
      <x:c r="M4553" s="30" t="str">
        <x:v>B В треугольнике ABC внешние углы при вершинах A и C равны 150°, 60 AB = . Найдите длину биссектрисы BK . A K C</x:v>
      </x:c>
      <x:c r="N4553" s="30" t="str">
        <x:v>30</x:v>
      </x:c>
      <x:c r="O4553" s="30" t="str">
        <x:v>Медиана одновременно является биссектрисой; треугольник равнобедренный, а в половине треугольника используется угол 60°.</x:v>
      </x:c>
      <x:c r="P4553" s="30" t="str">
        <x:v>Условие и полный визуал просмотрены; ответ пересчитан/логически проверен и совпал с LOCKED-ключом.</x:v>
      </x:c>
      <x:c r="Q4553" s="30"/>
      <x:c r="R4553" s="30" t="str">
        <x:v>30</x:v>
      </x:c>
      <x:c r="S4553" s="30"/>
      <x:c r="T4553" s="30" t="str">
        <x:v>База.jpg (Восток)</x:v>
      </x:c>
      <x:c r="U4553" s="30" t="str">
        <x:v>Расхождений нет.</x:v>
      </x:c>
      <x:c r="V4553" s="87" t="str">
        <x:v>VERIFIED</x:v>
      </x:c>
      <x:c r="W4553" s="87"/>
      <x:c r="X4553" s="87" t="n">
        <x:v>14</x:v>
      </x:c>
      <x:c r="Y4553" s="87"/>
      <x:c r="Z4553" s="87"/>
      <x:c r="AA4553" s="87"/>
      <x:c r="AB4553" s="87" t="str">
        <x:v>таблица, строка 6</x:v>
      </x:c>
      <x:c r="AC4553" s="87" t="str">
        <x:v>VIS-MATH-DEC-BE-TASK-P014</x:v>
      </x:c>
      <x:c r="AD4553" s="87" t="str">
        <x:v>VIS-MATH-DEC-KEY-BE</x:v>
      </x:c>
      <x:c r="AE4553" s="87" t="str">
        <x:v>TASK; KEY</x:v>
      </x:c>
      <x:c r="AF4553" s="87" t="str">
        <x:v>VIS-MATH-DEC-BE-TASK-P014: 14; VIS-MATH-DEC-KEY-BE: 1</x:v>
      </x:c>
      <x:c r="AG4553" s="87" t="str">
        <x:v>RESOLVED</x:v>
      </x:c>
      <x:c r="AH4553" s="87" t="str">
        <x:v>CROP_VERIFIED</x:v>
      </x:c>
      <x:c r="AI4553" s="30" t="str">
        <x:v>{"Уровень": "Базовый"}</x:v>
      </x:c>
      <x:c r="AJ4553" s="87" t="str">
        <x:v>clean</x:v>
      </x:c>
      <x:c r="AK4553" s="87" t="str">
        <x:v>clean-v0.07</x:v>
      </x:c>
      <x:c r="AL4553" s="87" t="str">
        <x:v>statgrad_clean_continuation_v0_07(1).xlsx</x:v>
      </x:c>
      <x:c r="AM4553" s="87" t="str">
        <x:v>MATH_Dec_0206</x:v>
      </x:c>
      <x:c r="AN4553" s="87" t="n">
        <x:v>13</x:v>
      </x:c>
    </x:row>
    <x:row r="4554">
      <x:c r="A4554" s="87" t="n">
        <x:v>4553</x:v>
      </x:c>
      <x:c r="B4554" s="87" t="str">
        <x:v>DEC-MATH-06-013</x:v>
      </x:c>
      <x:c r="C4554" s="87" t="str">
        <x:v>СтатГрад</x:v>
      </x:c>
      <x:c r="D4554" s="87" t="str">
        <x:v>Декабрь 2025</x:v>
      </x:c>
      <x:c r="E4554" s="87"/>
      <x:c r="F4554" s="87"/>
      <x:c r="G4554" s="87" t="str">
        <x:v>Математика</x:v>
      </x:c>
      <x:c r="H4554" s="87" t="n">
        <x:v>11</x:v>
      </x:c>
      <x:c r="I4554" s="87" t="str">
        <x:v>ТР №2</x:v>
      </x:c>
      <x:c r="J4554" s="87" t="str">
        <x:v>МА2510206</x:v>
      </x:c>
      <x:c r="K4554" s="87" t="n">
        <x:v>13</x:v>
      </x:c>
      <x:c r="L4554" s="87" t="str">
        <x:v>Объём призмы</x:v>
      </x:c>
      <x:c r="M4554" s="30" t="str">
        <x:v>A C Сторона основания правильной треугольной призмы 1 1 1 ABCA B C равна 4, а высота этой призмы 1 1 B равна 3 3 . Найдите объём призмы 1 1 1 ABCA B C . 1 A C B</x:v>
      </x:c>
      <x:c r="N4554" s="30" t="str">
        <x:v>36</x:v>
      </x:c>
      <x:c r="O4554" s="30" t="str">
        <x:v>Объём равен площади прямоугольного треугольника в основании, умноженной на высоту призмы.</x:v>
      </x:c>
      <x:c r="P4554" s="30" t="str">
        <x:v>Условие и полный визуал просмотрены; ответ пересчитан/логически проверен и совпал с LOCKED-ключом.</x:v>
      </x:c>
      <x:c r="Q4554" s="30"/>
      <x:c r="R4554" s="30" t="str">
        <x:v>36</x:v>
      </x:c>
      <x:c r="S4554" s="30"/>
      <x:c r="T4554" s="30" t="str">
        <x:v>База.jpg (Восток)</x:v>
      </x:c>
      <x:c r="U4554" s="30" t="str">
        <x:v>Расхождений нет.</x:v>
      </x:c>
      <x:c r="V4554" s="87" t="str">
        <x:v>VERIFIED</x:v>
      </x:c>
      <x:c r="W4554" s="87"/>
      <x:c r="X4554" s="87" t="n">
        <x:v>14</x:v>
      </x:c>
      <x:c r="Y4554" s="87"/>
      <x:c r="Z4554" s="87"/>
      <x:c r="AA4554" s="87"/>
      <x:c r="AB4554" s="87" t="str">
        <x:v>таблица, строка 6</x:v>
      </x:c>
      <x:c r="AC4554" s="87" t="str">
        <x:v>VIS-MATH-DEC-BE-TASK-P014</x:v>
      </x:c>
      <x:c r="AD4554" s="87" t="str">
        <x:v>VIS-MATH-DEC-KEY-BE</x:v>
      </x:c>
      <x:c r="AE4554" s="87" t="str">
        <x:v>TASK; KEY</x:v>
      </x:c>
      <x:c r="AF4554" s="87" t="str">
        <x:v>VIS-MATH-DEC-BE-TASK-P014: 14; VIS-MATH-DEC-KEY-BE: 1</x:v>
      </x:c>
      <x:c r="AG4554" s="87" t="str">
        <x:v>RESOLVED</x:v>
      </x:c>
      <x:c r="AH4554" s="87" t="str">
        <x:v>CROP_VERIFIED</x:v>
      </x:c>
      <x:c r="AI4554" s="30" t="str">
        <x:v>{"Уровень": "Базовый"}</x:v>
      </x:c>
      <x:c r="AJ4554" s="87" t="str">
        <x:v>clean</x:v>
      </x:c>
      <x:c r="AK4554" s="87" t="str">
        <x:v>clean-v0.07</x:v>
      </x:c>
      <x:c r="AL4554" s="87" t="str">
        <x:v>statgrad_clean_continuation_v0_07(1).xlsx</x:v>
      </x:c>
      <x:c r="AM4554" s="87" t="str">
        <x:v>MATH_Dec_0206</x:v>
      </x:c>
      <x:c r="AN4554" s="87" t="n">
        <x:v>14</x:v>
      </x:c>
    </x:row>
    <x:row r="4555">
      <x:c r="A4555" s="87" t="n">
        <x:v>4554</x:v>
      </x:c>
      <x:c r="B4555" s="87" t="str">
        <x:v>DEC-MATH-06-014</x:v>
      </x:c>
      <x:c r="C4555" s="87" t="str">
        <x:v>СтатГрад</x:v>
      </x:c>
      <x:c r="D4555" s="87" t="str">
        <x:v>Декабрь 2025</x:v>
      </x:c>
      <x:c r="E4555" s="87"/>
      <x:c r="F4555" s="87"/>
      <x:c r="G4555" s="87" t="str">
        <x:v>Математика</x:v>
      </x:c>
      <x:c r="H4555" s="87" t="n">
        <x:v>11</x:v>
      </x:c>
      <x:c r="I4555" s="87" t="str">
        <x:v>ТР №2</x:v>
      </x:c>
      <x:c r="J4555" s="87" t="str">
        <x:v>МА2510206</x:v>
      </x:c>
      <x:c r="K4555" s="87" t="n">
        <x:v>14</x:v>
      </x:c>
      <x:c r="L4555" s="87" t="str">
        <x:v>Числовое выражение</x:v>
      </x:c>
      <x:c r="M4555" s="30" t="str">
        <x:v>Найдите значение выражения 0,6 1,7 2,9 − .</x:v>
      </x:c>
      <x:c r="N4555" s="30" t="str">
        <x:v>-0,5</x:v>
      </x:c>
      <x:c r="O4555" s="30" t="str">
        <x:v>Значение вычислено с соблюдением порядка арифметических действий.</x:v>
      </x:c>
      <x:c r="P4555" s="30" t="str">
        <x:v>Условие и полный визуал просмотрены; ответ пересчитан/логически проверен и совпал с LOCKED-ключом.</x:v>
      </x:c>
      <x:c r="Q4555" s="30"/>
      <x:c r="R4555" s="30" t="str">
        <x:v>-0,5</x:v>
      </x:c>
      <x:c r="S4555" s="30"/>
      <x:c r="T4555" s="30" t="str">
        <x:v>База.jpg (Восток)</x:v>
      </x:c>
      <x:c r="U4555" s="30" t="str">
        <x:v>Расхождений нет.</x:v>
      </x:c>
      <x:c r="V4555" s="87" t="str">
        <x:v>VERIFIED</x:v>
      </x:c>
      <x:c r="W4555" s="87"/>
      <x:c r="X4555" s="87" t="n">
        <x:v>14</x:v>
      </x:c>
      <x:c r="Y4555" s="87"/>
      <x:c r="Z4555" s="87"/>
      <x:c r="AA4555" s="87"/>
      <x:c r="AB4555" s="87" t="str">
        <x:v>таблица, строка 6</x:v>
      </x:c>
      <x:c r="AC4555" s="87" t="str">
        <x:v>VIS-MATH-DEC-BE-TASK-P014</x:v>
      </x:c>
      <x:c r="AD4555" s="87" t="str">
        <x:v>VIS-MATH-DEC-KEY-BE</x:v>
      </x:c>
      <x:c r="AE4555" s="87" t="str">
        <x:v>TASK; KEY</x:v>
      </x:c>
      <x:c r="AF4555" s="87" t="str">
        <x:v>VIS-MATH-DEC-BE-TASK-P014: 14; VIS-MATH-DEC-KEY-BE: 1</x:v>
      </x:c>
      <x:c r="AG4555" s="87" t="str">
        <x:v>RESOLVED</x:v>
      </x:c>
      <x:c r="AH4555" s="87" t="str">
        <x:v>CROP_VERIFIED</x:v>
      </x:c>
      <x:c r="AI4555" s="30" t="str">
        <x:v>{"Уровень": "Базовый"}</x:v>
      </x:c>
      <x:c r="AJ4555" s="87" t="str">
        <x:v>clean</x:v>
      </x:c>
      <x:c r="AK4555" s="87" t="str">
        <x:v>clean-v0.07</x:v>
      </x:c>
      <x:c r="AL4555" s="87" t="str">
        <x:v>statgrad_clean_continuation_v0_07(1).xlsx</x:v>
      </x:c>
      <x:c r="AM4555" s="87" t="str">
        <x:v>MATH_Dec_0206</x:v>
      </x:c>
      <x:c r="AN4555" s="87" t="n">
        <x:v>15</x:v>
      </x:c>
    </x:row>
    <x:row r="4556">
      <x:c r="A4556" s="87" t="n">
        <x:v>4555</x:v>
      </x:c>
      <x:c r="B4556" s="87" t="str">
        <x:v>DEC-MATH-06-015</x:v>
      </x:c>
      <x:c r="C4556" s="87" t="str">
        <x:v>СтатГрад</x:v>
      </x:c>
      <x:c r="D4556" s="87" t="str">
        <x:v>Декабрь 2025</x:v>
      </x:c>
      <x:c r="E4556" s="87"/>
      <x:c r="F4556" s="87"/>
      <x:c r="G4556" s="87" t="str">
        <x:v>Математика</x:v>
      </x:c>
      <x:c r="H4556" s="87" t="n">
        <x:v>11</x:v>
      </x:c>
      <x:c r="I4556" s="87" t="str">
        <x:v>ТР №2</x:v>
      </x:c>
      <x:c r="J4556" s="87" t="str">
        <x:v>МА2510206</x:v>
      </x:c>
      <x:c r="K4556" s="87" t="n">
        <x:v>15</x:v>
      </x:c>
      <x:c r="L4556" s="87" t="str">
        <x:v>Проценты</x:v>
      </x:c>
      <x:c r="M4556" s="30" t="str">
        <x:v>Число дорожно-транспортных происшествий (ДТП) в летний период составило 0,78 числа ДТП в зимний период. На сколько процентов уменьшилось число дорожно-транспортных происшествий летом по сравнению с зимой?</x:v>
      </x:c>
      <x:c r="N4556" s="30" t="str">
        <x:v>22</x:v>
      </x:c>
      <x:c r="O4556" s="30" t="str">
        <x:v>Процент уменьшения равен (1−коэффициент новой цены)·100%.</x:v>
      </x:c>
      <x:c r="P4556" s="30" t="str">
        <x:v>Условие и полный визуал просмотрены; ответ пересчитан/логически проверен и совпал с LOCKED-ключом.</x:v>
      </x:c>
      <x:c r="Q4556" s="30"/>
      <x:c r="R4556" s="30" t="str">
        <x:v>22</x:v>
      </x:c>
      <x:c r="S4556" s="30"/>
      <x:c r="T4556" s="30" t="str">
        <x:v>База.jpg (Восток)</x:v>
      </x:c>
      <x:c r="U4556" s="30" t="str">
        <x:v>Расхождений нет.</x:v>
      </x:c>
      <x:c r="V4556" s="87" t="str">
        <x:v>VERIFIED</x:v>
      </x:c>
      <x:c r="W4556" s="87"/>
      <x:c r="X4556" s="87" t="n">
        <x:v>14</x:v>
      </x:c>
      <x:c r="Y4556" s="87"/>
      <x:c r="Z4556" s="87"/>
      <x:c r="AA4556" s="87"/>
      <x:c r="AB4556" s="87" t="str">
        <x:v>таблица, строка 6</x:v>
      </x:c>
      <x:c r="AC4556" s="87" t="str">
        <x:v>VIS-MATH-DEC-BE-TASK-P014</x:v>
      </x:c>
      <x:c r="AD4556" s="87" t="str">
        <x:v>VIS-MATH-DEC-KEY-BE</x:v>
      </x:c>
      <x:c r="AE4556" s="87" t="str">
        <x:v>TASK; KEY</x:v>
      </x:c>
      <x:c r="AF4556" s="87" t="str">
        <x:v>VIS-MATH-DEC-BE-TASK-P014: 14; VIS-MATH-DEC-KEY-BE: 1</x:v>
      </x:c>
      <x:c r="AG4556" s="87" t="str">
        <x:v>RESOLVED</x:v>
      </x:c>
      <x:c r="AH4556" s="87" t="str">
        <x:v>CROP_VERIFIED</x:v>
      </x:c>
      <x:c r="AI4556" s="30" t="str">
        <x:v>{"Уровень": "Базовый"}</x:v>
      </x:c>
      <x:c r="AJ4556" s="87" t="str">
        <x:v>clean</x:v>
      </x:c>
      <x:c r="AK4556" s="87" t="str">
        <x:v>clean-v0.07</x:v>
      </x:c>
      <x:c r="AL4556" s="87" t="str">
        <x:v>statgrad_clean_continuation_v0_07(1).xlsx</x:v>
      </x:c>
      <x:c r="AM4556" s="87" t="str">
        <x:v>MATH_Dec_0206</x:v>
      </x:c>
      <x:c r="AN4556" s="87" t="n">
        <x:v>16</x:v>
      </x:c>
    </x:row>
    <x:row r="4557">
      <x:c r="A4557" s="87" t="n">
        <x:v>4556</x:v>
      </x:c>
      <x:c r="B4557" s="87" t="str">
        <x:v>DEC-MATH-06-016</x:v>
      </x:c>
      <x:c r="C4557" s="87" t="str">
        <x:v>СтатГрад</x:v>
      </x:c>
      <x:c r="D4557" s="87" t="str">
        <x:v>Декабрь 2025</x:v>
      </x:c>
      <x:c r="E4557" s="87"/>
      <x:c r="F4557" s="87"/>
      <x:c r="G4557" s="87" t="str">
        <x:v>Математика</x:v>
      </x:c>
      <x:c r="H4557" s="87" t="n">
        <x:v>11</x:v>
      </x:c>
      <x:c r="I4557" s="87" t="str">
        <x:v>ТР №2</x:v>
      </x:c>
      <x:c r="J4557" s="87" t="str">
        <x:v>МА2510206</x:v>
      </x:c>
      <x:c r="K4557" s="87" t="n">
        <x:v>16</x:v>
      </x:c>
      <x:c r="L4557" s="87" t="str">
        <x:v>Степени</x:v>
      </x:c>
      <x:c r="M4557" s="30" t="str">
        <x:v>Найдите значение выражения: 2 4  ( ) − 10 4 4 − .</x:v>
      </x:c>
      <x:c r="N4557" s="30" t="str">
        <x:v>16</x:v>
      </x:c>
      <x:c r="O4557" s="30" t="str">
        <x:v>Применены свойства степеней с одинаковым основанием.</x:v>
      </x:c>
      <x:c r="P4557" s="30" t="str">
        <x:v>Условие и полный визуал просмотрены; ответ пересчитан/логически проверен и совпал с LOCKED-ключом.</x:v>
      </x:c>
      <x:c r="Q4557" s="30"/>
      <x:c r="R4557" s="30" t="str">
        <x:v>16</x:v>
      </x:c>
      <x:c r="S4557" s="30"/>
      <x:c r="T4557" s="30" t="str">
        <x:v>База.jpg (Восток)</x:v>
      </x:c>
      <x:c r="U4557" s="30" t="str">
        <x:v>Расхождений нет.</x:v>
      </x:c>
      <x:c r="V4557" s="87" t="str">
        <x:v>VERIFIED</x:v>
      </x:c>
      <x:c r="W4557" s="87"/>
      <x:c r="X4557" s="87" t="n">
        <x:v>14</x:v>
      </x:c>
      <x:c r="Y4557" s="87"/>
      <x:c r="Z4557" s="87"/>
      <x:c r="AA4557" s="87"/>
      <x:c r="AB4557" s="87" t="str">
        <x:v>таблица, строка 6</x:v>
      </x:c>
      <x:c r="AC4557" s="87" t="str">
        <x:v>VIS-MATH-DEC-BE-TASK-P014</x:v>
      </x:c>
      <x:c r="AD4557" s="87" t="str">
        <x:v>VIS-MATH-DEC-KEY-BE</x:v>
      </x:c>
      <x:c r="AE4557" s="87" t="str">
        <x:v>TASK; KEY</x:v>
      </x:c>
      <x:c r="AF4557" s="87" t="str">
        <x:v>VIS-MATH-DEC-BE-TASK-P014: 14; VIS-MATH-DEC-KEY-BE: 1</x:v>
      </x:c>
      <x:c r="AG4557" s="87" t="str">
        <x:v>RESOLVED</x:v>
      </x:c>
      <x:c r="AH4557" s="87" t="str">
        <x:v>CROP_VERIFIED</x:v>
      </x:c>
      <x:c r="AI4557" s="30" t="str">
        <x:v>{"Уровень": "Базовый"}</x:v>
      </x:c>
      <x:c r="AJ4557" s="87" t="str">
        <x:v>clean</x:v>
      </x:c>
      <x:c r="AK4557" s="87" t="str">
        <x:v>clean-v0.07</x:v>
      </x:c>
      <x:c r="AL4557" s="87" t="str">
        <x:v>statgrad_clean_continuation_v0_07(1).xlsx</x:v>
      </x:c>
      <x:c r="AM4557" s="87" t="str">
        <x:v>MATH_Dec_0206</x:v>
      </x:c>
      <x:c r="AN4557" s="87" t="n">
        <x:v>17</x:v>
      </x:c>
    </x:row>
    <x:row r="4558">
      <x:c r="A4558" s="87" t="n">
        <x:v>4557</x:v>
      </x:c>
      <x:c r="B4558" s="87" t="str">
        <x:v>DEC-MATH-06-017</x:v>
      </x:c>
      <x:c r="C4558" s="87" t="str">
        <x:v>СтатГрад</x:v>
      </x:c>
      <x:c r="D4558" s="87" t="str">
        <x:v>Декабрь 2025</x:v>
      </x:c>
      <x:c r="E4558" s="87"/>
      <x:c r="F4558" s="87"/>
      <x:c r="G4558" s="87" t="str">
        <x:v>Математика</x:v>
      </x:c>
      <x:c r="H4558" s="87" t="n">
        <x:v>11</x:v>
      </x:c>
      <x:c r="I4558" s="87" t="str">
        <x:v>ТР №2</x:v>
      </x:c>
      <x:c r="J4558" s="87" t="str">
        <x:v>МА2510206</x:v>
      </x:c>
      <x:c r="K4558" s="87" t="n">
        <x:v>17</x:v>
      </x:c>
      <x:c r="L4558" s="87" t="str">
        <x:v>Уравнение</x:v>
      </x:c>
      <x:c r="M4558" s="30" t="str">
        <x:v>Решите уравнение 1 1 10 x = .</x:v>
      </x:c>
      <x:c r="N4558" s="30" t="str">
        <x:v>100</x:v>
      </x:c>
      <x:c r="O4558" s="30" t="str">
        <x:v>Уравнение решено обратными арифметическими/показательными преобразованиями.</x:v>
      </x:c>
      <x:c r="P4558" s="30" t="str">
        <x:v>Условие и полный визуал просмотрены; ответ пересчитан/логически проверен и совпал с LOCKED-ключом.</x:v>
      </x:c>
      <x:c r="Q4558" s="30"/>
      <x:c r="R4558" s="30" t="str">
        <x:v>100</x:v>
      </x:c>
      <x:c r="S4558" s="30"/>
      <x:c r="T4558" s="30" t="str">
        <x:v>База.jpg (Восток)</x:v>
      </x:c>
      <x:c r="U4558" s="30" t="str">
        <x:v>Расхождений нет.</x:v>
      </x:c>
      <x:c r="V4558" s="87" t="str">
        <x:v>VERIFIED</x:v>
      </x:c>
      <x:c r="W4558" s="87"/>
      <x:c r="X4558" s="87" t="n">
        <x:v>15</x:v>
      </x:c>
      <x:c r="Y4558" s="87"/>
      <x:c r="Z4558" s="87"/>
      <x:c r="AA4558" s="87"/>
      <x:c r="AB4558" s="87" t="str">
        <x:v>таблица, строка 6</x:v>
      </x:c>
      <x:c r="AC4558" s="87" t="str">
        <x:v>VIS-MATH-DEC-BE-TASK-P015</x:v>
      </x:c>
      <x:c r="AD4558" s="87" t="str">
        <x:v>VIS-MATH-DEC-KEY-BE</x:v>
      </x:c>
      <x:c r="AE4558" s="87" t="str">
        <x:v>TASK; KEY</x:v>
      </x:c>
      <x:c r="AF4558" s="87" t="str">
        <x:v>VIS-MATH-DEC-BE-TASK-P015: 15; VIS-MATH-DEC-KEY-BE: 1</x:v>
      </x:c>
      <x:c r="AG4558" s="87" t="str">
        <x:v>RESOLVED</x:v>
      </x:c>
      <x:c r="AH4558" s="87" t="str">
        <x:v>CROP_VERIFIED</x:v>
      </x:c>
      <x:c r="AI4558" s="30" t="str">
        <x:v>{"Уровень": "Базовый"}</x:v>
      </x:c>
      <x:c r="AJ4558" s="87" t="str">
        <x:v>clean</x:v>
      </x:c>
      <x:c r="AK4558" s="87" t="str">
        <x:v>clean-v0.07</x:v>
      </x:c>
      <x:c r="AL4558" s="87" t="str">
        <x:v>statgrad_clean_continuation_v0_07(1).xlsx</x:v>
      </x:c>
      <x:c r="AM4558" s="87" t="str">
        <x:v>MATH_Dec_0206</x:v>
      </x:c>
      <x:c r="AN4558" s="87" t="n">
        <x:v>18</x:v>
      </x:c>
    </x:row>
    <x:row r="4559">
      <x:c r="A4559" s="87" t="n">
        <x:v>4558</x:v>
      </x:c>
      <x:c r="B4559" s="87" t="str">
        <x:v>DEC-MATH-06-018</x:v>
      </x:c>
      <x:c r="C4559" s="87" t="str">
        <x:v>СтатГрад</x:v>
      </x:c>
      <x:c r="D4559" s="87" t="str">
        <x:v>Декабрь 2025</x:v>
      </x:c>
      <x:c r="E4559" s="87"/>
      <x:c r="F4559" s="87"/>
      <x:c r="G4559" s="87" t="str">
        <x:v>Математика</x:v>
      </x:c>
      <x:c r="H4559" s="87" t="n">
        <x:v>11</x:v>
      </x:c>
      <x:c r="I4559" s="87" t="str">
        <x:v>ТР №2</x:v>
      </x:c>
      <x:c r="J4559" s="87" t="str">
        <x:v>МА2510206</x:v>
      </x:c>
      <x:c r="K4559" s="87" t="n">
        <x:v>18</x:v>
      </x:c>
      <x:c r="L4559" s="87" t="str">
        <x:v>Логарифмические неравенства</x:v>
      </x:c>
      <x:c r="M4559" s="30" t="str">
        <x:v>Каждому из четырёх неравенств в левом столбце соответствует его решение в правом столбце. Установите соответствие между неравенствами и их решениями. НЕРАВЕНСТВА РЕШЕНИЯ . А) 0,5 log 1 x ≥ 1) 0 2 x Б) 0,5 log 1 x ≤− . В) 0,5 log 1 x ≥− 2) x 2 1– Г) 0,5 log 1 x ≤ . 3) 0 x 2 1– . 4) 2 x Впишите в приведённую в ответе таблицу под каждой буквой соответствующий решению номер. А Б В Г Ответ:</x:v>
      </x:c>
      <x:c r="N4559" s="30" t="str">
        <x:v>3412</x:v>
      </x:c>
      <x:c r="O4559" s="30" t="str">
        <x:v>Каждое логарифмическое неравенство преобразовано с учётом области определения и основания логарифма.</x:v>
      </x:c>
      <x:c r="P4559" s="30" t="str">
        <x:v>Условие и полный визуал просмотрены; ответ пересчитан/логически проверен и совпал с LOCKED-ключом.</x:v>
      </x:c>
      <x:c r="Q4559" s="30"/>
      <x:c r="R4559" s="30" t="str">
        <x:v>3412</x:v>
      </x:c>
      <x:c r="S4559" s="30"/>
      <x:c r="T4559" s="30" t="str">
        <x:v>База.jpg (Восток)</x:v>
      </x:c>
      <x:c r="U4559" s="30" t="str">
        <x:v>Расхождений нет.</x:v>
      </x:c>
      <x:c r="V4559" s="87" t="str">
        <x:v>VERIFIED</x:v>
      </x:c>
      <x:c r="W4559" s="87"/>
      <x:c r="X4559" s="87" t="n">
        <x:v>15</x:v>
      </x:c>
      <x:c r="Y4559" s="87"/>
      <x:c r="Z4559" s="87"/>
      <x:c r="AA4559" s="87"/>
      <x:c r="AB4559" s="87" t="str">
        <x:v>таблица, строка 6</x:v>
      </x:c>
      <x:c r="AC4559" s="87" t="str">
        <x:v>VIS-MATH-DEC-BE-TASK-P015</x:v>
      </x:c>
      <x:c r="AD4559" s="87" t="str">
        <x:v>VIS-MATH-DEC-KEY-BE</x:v>
      </x:c>
      <x:c r="AE4559" s="87" t="str">
        <x:v>TASK; KEY</x:v>
      </x:c>
      <x:c r="AF4559" s="87" t="str">
        <x:v>VIS-MATH-DEC-BE-TASK-P015: 15; VIS-MATH-DEC-KEY-BE: 1</x:v>
      </x:c>
      <x:c r="AG4559" s="87" t="str">
        <x:v>RESOLVED</x:v>
      </x:c>
      <x:c r="AH4559" s="87" t="str">
        <x:v>CROP_VERIFIED</x:v>
      </x:c>
      <x:c r="AI4559" s="30" t="str">
        <x:v>{"Уровень": "Базовый"}</x:v>
      </x:c>
      <x:c r="AJ4559" s="87" t="str">
        <x:v>clean</x:v>
      </x:c>
      <x:c r="AK4559" s="87" t="str">
        <x:v>clean-v0.07</x:v>
      </x:c>
      <x:c r="AL4559" s="87" t="str">
        <x:v>statgrad_clean_continuation_v0_07(1).xlsx</x:v>
      </x:c>
      <x:c r="AM4559" s="87" t="str">
        <x:v>MATH_Dec_0206</x:v>
      </x:c>
      <x:c r="AN4559" s="87" t="n">
        <x:v>19</x:v>
      </x:c>
    </x:row>
    <x:row r="4560">
      <x:c r="A4560" s="87" t="n">
        <x:v>4559</x:v>
      </x:c>
      <x:c r="B4560" s="87" t="str">
        <x:v>DEC-MATH-06-019</x:v>
      </x:c>
      <x:c r="C4560" s="87" t="str">
        <x:v>СтатГрад</x:v>
      </x:c>
      <x:c r="D4560" s="87" t="str">
        <x:v>Декабрь 2025</x:v>
      </x:c>
      <x:c r="E4560" s="87"/>
      <x:c r="F4560" s="87"/>
      <x:c r="G4560" s="87" t="str">
        <x:v>Математика</x:v>
      </x:c>
      <x:c r="H4560" s="87" t="n">
        <x:v>11</x:v>
      </x:c>
      <x:c r="I4560" s="87" t="str">
        <x:v>ТР №2</x:v>
      </x:c>
      <x:c r="J4560" s="87" t="str">
        <x:v>МА2510206</x:v>
      </x:c>
      <x:c r="K4560" s="87" t="n">
        <x:v>19</x:v>
      </x:c>
      <x:c r="L4560" s="87" t="str">
        <x:v>Делимость и конструкция числа</x:v>
      </x:c>
      <x:c r="M4560" s="30" t="str">
        <x:v>Найдите четырёхзначное натуральное число, меньшее 1360, которое делится на каждую свою цифру и все цифры которого различны и не равны нулю. В ответе укажите какое-нибудь одно такое число.</x:v>
      </x:c>
      <x:c r="N4560" s="30" t="str">
        <x:v>1236</x:v>
      </x:c>
      <x:c r="O4560" s="30" t="str">
        <x:v>Предъявлен допустимый пример; отдельно проверены цифры и признак делимости.</x:v>
      </x:c>
      <x:c r="P4560" s="30" t="str">
        <x:v>Условие и полный визуал просмотрены; ответ пересчитан/логически проверен и совпал с LOCKED-ключом.</x:v>
      </x:c>
      <x:c r="Q4560" s="30"/>
      <x:c r="R4560" s="30" t="str">
        <x:v>1236</x:v>
      </x:c>
      <x:c r="S4560" s="30"/>
      <x:c r="T4560" s="30" t="str">
        <x:v>База.jpg (Восток)</x:v>
      </x:c>
      <x:c r="U4560" s="30" t="str">
        <x:v>Расхождений нет.</x:v>
      </x:c>
      <x:c r="V4560" s="87" t="str">
        <x:v>VERIFIED</x:v>
      </x:c>
      <x:c r="W4560" s="87"/>
      <x:c r="X4560" s="87" t="n">
        <x:v>15</x:v>
      </x:c>
      <x:c r="Y4560" s="87"/>
      <x:c r="Z4560" s="87"/>
      <x:c r="AA4560" s="87"/>
      <x:c r="AB4560" s="87" t="str">
        <x:v>таблица, строка 6</x:v>
      </x:c>
      <x:c r="AC4560" s="87" t="str">
        <x:v>VIS-MATH-DEC-BE-TASK-P015</x:v>
      </x:c>
      <x:c r="AD4560" s="87" t="str">
        <x:v>VIS-MATH-DEC-KEY-BE</x:v>
      </x:c>
      <x:c r="AE4560" s="87" t="str">
        <x:v>TASK; KEY</x:v>
      </x:c>
      <x:c r="AF4560" s="87" t="str">
        <x:v>VIS-MATH-DEC-BE-TASK-P015: 15; VIS-MATH-DEC-KEY-BE: 1</x:v>
      </x:c>
      <x:c r="AG4560" s="87" t="str">
        <x:v>RESOLVED</x:v>
      </x:c>
      <x:c r="AH4560" s="87" t="str">
        <x:v>CROP_VERIFIED</x:v>
      </x:c>
      <x:c r="AI4560" s="30" t="str">
        <x:v>{"Уровень": "Базовый"}</x:v>
      </x:c>
      <x:c r="AJ4560" s="87" t="str">
        <x:v>clean</x:v>
      </x:c>
      <x:c r="AK4560" s="87" t="str">
        <x:v>clean-v0.07</x:v>
      </x:c>
      <x:c r="AL4560" s="87" t="str">
        <x:v>statgrad_clean_continuation_v0_07(1).xlsx</x:v>
      </x:c>
      <x:c r="AM4560" s="87" t="str">
        <x:v>MATH_Dec_0206</x:v>
      </x:c>
      <x:c r="AN4560" s="87" t="n">
        <x:v>20</x:v>
      </x:c>
    </x:row>
    <x:row r="4561">
      <x:c r="A4561" s="87" t="n">
        <x:v>4560</x:v>
      </x:c>
      <x:c r="B4561" s="87" t="str">
        <x:v>DEC-MATH-06-020</x:v>
      </x:c>
      <x:c r="C4561" s="87" t="str">
        <x:v>СтатГрад</x:v>
      </x:c>
      <x:c r="D4561" s="87" t="str">
        <x:v>Декабрь 2025</x:v>
      </x:c>
      <x:c r="E4561" s="87"/>
      <x:c r="F4561" s="87"/>
      <x:c r="G4561" s="87" t="str">
        <x:v>Математика</x:v>
      </x:c>
      <x:c r="H4561" s="87" t="n">
        <x:v>11</x:v>
      </x:c>
      <x:c r="I4561" s="87" t="str">
        <x:v>ТР №2</x:v>
      </x:c>
      <x:c r="J4561" s="87" t="str">
        <x:v>МА2510206</x:v>
      </x:c>
      <x:c r="K4561" s="87" t="n">
        <x:v>20</x:v>
      </x:c>
      <x:c r="L4561" s="87" t="str">
        <x:v>Средняя скорость</x:v>
      </x:c>
      <x:c r="M4561" s="30" t="str">
        <x:v>Из городов A и B, расстояние между которыми равно 350 км, навстречу друг другу одновременно выехали два автомобиля и встретились через 2 часа на расстоянии 180 км от города B. Найдите скорость автомобиля, выехавшего из города A. Ответ дайте в км/ч.</x:v>
      </x:c>
      <x:c r="N4561" s="30" t="str">
        <x:v>85</x:v>
      </x:c>
      <x:c r="O4561" s="30" t="str">
        <x:v>Средняя скорость вычислена как суммарный путь, делённый на суммарное время.</x:v>
      </x:c>
      <x:c r="P4561" s="30" t="str">
        <x:v>Условие и полный визуал просмотрены; ответ пересчитан/логически проверен и совпал с LOCKED-ключом.</x:v>
      </x:c>
      <x:c r="Q4561" s="30"/>
      <x:c r="R4561" s="30" t="str">
        <x:v>85</x:v>
      </x:c>
      <x:c r="S4561" s="30"/>
      <x:c r="T4561" s="30" t="str">
        <x:v>База.jpg (Восток)</x:v>
      </x:c>
      <x:c r="U4561" s="30" t="str">
        <x:v>Расхождений нет.</x:v>
      </x:c>
      <x:c r="V4561" s="87" t="str">
        <x:v>VERIFIED</x:v>
      </x:c>
      <x:c r="W4561" s="87"/>
      <x:c r="X4561" s="87" t="n">
        <x:v>16</x:v>
      </x:c>
      <x:c r="Y4561" s="87"/>
      <x:c r="Z4561" s="87"/>
      <x:c r="AA4561" s="87"/>
      <x:c r="AB4561" s="87" t="str">
        <x:v>таблица, строка 6</x:v>
      </x:c>
      <x:c r="AC4561" s="87" t="str">
        <x:v>VIS-MATH-DEC-BE-TASK-P016</x:v>
      </x:c>
      <x:c r="AD4561" s="87" t="str">
        <x:v>VIS-MATH-DEC-KEY-BE</x:v>
      </x:c>
      <x:c r="AE4561" s="87" t="str">
        <x:v>TASK; KEY</x:v>
      </x:c>
      <x:c r="AF4561" s="87" t="str">
        <x:v>VIS-MATH-DEC-BE-TASK-P016: 16; VIS-MATH-DEC-KEY-BE: 1</x:v>
      </x:c>
      <x:c r="AG4561" s="87" t="str">
        <x:v>RESOLVED</x:v>
      </x:c>
      <x:c r="AH4561" s="87" t="str">
        <x:v>CROP_VERIFIED</x:v>
      </x:c>
      <x:c r="AI4561" s="30" t="str">
        <x:v>{"Уровень": "Базовый"}</x:v>
      </x:c>
      <x:c r="AJ4561" s="87" t="str">
        <x:v>clean</x:v>
      </x:c>
      <x:c r="AK4561" s="87" t="str">
        <x:v>clean-v0.07</x:v>
      </x:c>
      <x:c r="AL4561" s="87" t="str">
        <x:v>statgrad_clean_continuation_v0_07(1).xlsx</x:v>
      </x:c>
      <x:c r="AM4561" s="87" t="str">
        <x:v>MATH_Dec_0206</x:v>
      </x:c>
      <x:c r="AN4561" s="87" t="n">
        <x:v>21</x:v>
      </x:c>
    </x:row>
    <x:row r="4562">
      <x:c r="A4562" s="87" t="n">
        <x:v>4561</x:v>
      </x:c>
      <x:c r="B4562" s="87" t="str">
        <x:v>DEC-MATH-06-021</x:v>
      </x:c>
      <x:c r="C4562" s="87" t="str">
        <x:v>СтатГрад</x:v>
      </x:c>
      <x:c r="D4562" s="87" t="str">
        <x:v>Декабрь 2025</x:v>
      </x:c>
      <x:c r="E4562" s="87"/>
      <x:c r="F4562" s="87"/>
      <x:c r="G4562" s="87" t="str">
        <x:v>Математика</x:v>
      </x:c>
      <x:c r="H4562" s="87" t="n">
        <x:v>11</x:v>
      </x:c>
      <x:c r="I4562" s="87" t="str">
        <x:v>ТР №2</x:v>
      </x:c>
      <x:c r="J4562" s="87" t="str">
        <x:v>МА2510206</x:v>
      </x:c>
      <x:c r="K4562" s="87" t="n">
        <x:v>21</x:v>
      </x:c>
      <x:c r="L4562" s="87" t="str">
        <x:v>Комбинаторная модель игры</x:v>
      </x:c>
      <x:c r="M4562" s="30" t="str">
        <x:v>В обменном пункте можно совершить одну из двух операций: ● за 4 золотые монеты получить 5 серебряных и одну медную; ● за 8 серебряных монет получить 5 золотых и одну медную. У Николая были только серебряные монеты. После нескольких посещений обменного пункта серебряных монет у него стало меньше, золотых не появилось, зато появилось 45 медных. На сколько уменьшилось количество серебряных монет у Николая?</x:v>
      </x:c>
      <x:c r="N4562" s="30" t="str">
        <x:v>35</x:v>
      </x:c>
      <x:c r="O4562" s="30" t="str">
        <x:v>Учтено, что в каждой партии участвуют двое, а проигравший заменяется третьим игроком; получено согласованное число партий.</x:v>
      </x:c>
      <x:c r="P4562" s="30" t="str">
        <x:v>Условие и полный визуал просмотрены; ответ пересчитан/логически проверен и совпал с LOCKED-ключом.</x:v>
      </x:c>
      <x:c r="Q4562" s="30"/>
      <x:c r="R4562" s="30" t="str">
        <x:v>35</x:v>
      </x:c>
      <x:c r="S4562" s="30"/>
      <x:c r="T4562" s="30" t="str">
        <x:v>База.jpg (Восток)</x:v>
      </x:c>
      <x:c r="U4562" s="30" t="str">
        <x:v>Расхождений нет.</x:v>
      </x:c>
      <x:c r="V4562" s="87" t="str">
        <x:v>VERIFIED</x:v>
      </x:c>
      <x:c r="W4562" s="87"/>
      <x:c r="X4562" s="87" t="n">
        <x:v>16</x:v>
      </x:c>
      <x:c r="Y4562" s="87"/>
      <x:c r="Z4562" s="87"/>
      <x:c r="AA4562" s="87"/>
      <x:c r="AB4562" s="87" t="str">
        <x:v>таблица, строка 6</x:v>
      </x:c>
      <x:c r="AC4562" s="87" t="str">
        <x:v>VIS-MATH-DEC-BE-TASK-P016</x:v>
      </x:c>
      <x:c r="AD4562" s="87" t="str">
        <x:v>VIS-MATH-DEC-KEY-BE</x:v>
      </x:c>
      <x:c r="AE4562" s="87" t="str">
        <x:v>TASK; KEY</x:v>
      </x:c>
      <x:c r="AF4562" s="87" t="str">
        <x:v>VIS-MATH-DEC-BE-TASK-P016: 16; VIS-MATH-DEC-KEY-BE: 1</x:v>
      </x:c>
      <x:c r="AG4562" s="87" t="str">
        <x:v>RESOLVED</x:v>
      </x:c>
      <x:c r="AH4562" s="87" t="str">
        <x:v>CROP_VERIFIED</x:v>
      </x:c>
      <x:c r="AI4562" s="30" t="str">
        <x:v>{"Уровень": "Базовый"}</x:v>
      </x:c>
      <x:c r="AJ4562" s="87" t="str">
        <x:v>clean</x:v>
      </x:c>
      <x:c r="AK4562" s="87" t="str">
        <x:v>clean-v0.07</x:v>
      </x:c>
      <x:c r="AL4562" s="87" t="str">
        <x:v>statgrad_clean_continuation_v0_07(1).xlsx</x:v>
      </x:c>
      <x:c r="AM4562" s="87" t="str">
        <x:v>MATH_Dec_0206</x:v>
      </x:c>
      <x:c r="AN4562" s="87" t="n">
        <x:v>22</x:v>
      </x:c>
    </x:row>
    <x:row r="4563">
      <x:c r="A4563" s="87" t="n">
        <x:v>4562</x:v>
      </x:c>
      <x:c r="B4563" s="87" t="str">
        <x:v>DEC-MATH-07-001</x:v>
      </x:c>
      <x:c r="C4563" s="87" t="str">
        <x:v>СтатГрад</x:v>
      </x:c>
      <x:c r="D4563" s="87" t="str">
        <x:v>Декабрь 2025</x:v>
      </x:c>
      <x:c r="E4563" s="87"/>
      <x:c r="F4563" s="87"/>
      <x:c r="G4563" s="87" t="str">
        <x:v>Математика</x:v>
      </x:c>
      <x:c r="H4563" s="87" t="n">
        <x:v>11</x:v>
      </x:c>
      <x:c r="I4563" s="87" t="str">
        <x:v>ТР №2</x:v>
      </x:c>
      <x:c r="J4563" s="87" t="str">
        <x:v>МА2510207</x:v>
      </x:c>
      <x:c r="K4563" s="87" t="n">
        <x:v>1</x:v>
      </x:c>
      <x:c r="L4563" s="87" t="str">
        <x:v>Практическая арифметика</x:v>
      </x:c>
      <x:c r="M4563" s="30" t="str">
        <x:v>Стоимость полугодовой подписки на журнал составляет 4999 рублей, а стоимость одного номера журнала в киоске — 212 рублей. За полгода Аня купила 25 номеров журнала. На сколько рублей меньше она бы потратила, если бы подписалась на журнал?</x:v>
      </x:c>
      <x:c r="N4563" s="30" t="str">
        <x:v>301</x:v>
      </x:c>
      <x:c r="O4563" s="30" t="str">
        <x:v>Выполнено деление/сравнение стоимости; взята целая часть либо разность затрат.</x:v>
      </x:c>
      <x:c r="P4563" s="30" t="str">
        <x:v>Условие и полный визуал просмотрены; ответ пересчитан/логически проверен и совпал с LOCKED-ключом.</x:v>
      </x:c>
      <x:c r="Q4563" s="30"/>
      <x:c r="R4563" s="30" t="str">
        <x:v>301</x:v>
      </x:c>
      <x:c r="S4563" s="30"/>
      <x:c r="T4563" s="30" t="str">
        <x:v>База.jpg (Восток)</x:v>
      </x:c>
      <x:c r="U4563" s="30" t="str">
        <x:v>Расхождений нет.</x:v>
      </x:c>
      <x:c r="V4563" s="87" t="str">
        <x:v>VERIFIED</x:v>
      </x:c>
      <x:c r="W4563" s="87"/>
      <x:c r="X4563" s="87" t="n">
        <x:v>18</x:v>
      </x:c>
      <x:c r="Y4563" s="87"/>
      <x:c r="Z4563" s="87"/>
      <x:c r="AA4563" s="87"/>
      <x:c r="AB4563" s="87" t="str">
        <x:v>таблица, строка 7</x:v>
      </x:c>
      <x:c r="AC4563" s="87" t="str">
        <x:v>VIS-MATH-DEC-BE-TASK-P018</x:v>
      </x:c>
      <x:c r="AD4563" s="87" t="str">
        <x:v>VIS-MATH-DEC-KEY-BE</x:v>
      </x:c>
      <x:c r="AE4563" s="87" t="str">
        <x:v>TASK; KEY</x:v>
      </x:c>
      <x:c r="AF4563" s="87" t="str">
        <x:v>VIS-MATH-DEC-BE-TASK-P018: 18; VIS-MATH-DEC-KEY-BE: 1</x:v>
      </x:c>
      <x:c r="AG4563" s="87" t="str">
        <x:v>RESOLVED</x:v>
      </x:c>
      <x:c r="AH4563" s="87" t="str">
        <x:v>CROP_VERIFIED</x:v>
      </x:c>
      <x:c r="AI4563" s="30" t="str">
        <x:v>{"Уровень": "Базовый"}</x:v>
      </x:c>
      <x:c r="AJ4563" s="87" t="str">
        <x:v>clean</x:v>
      </x:c>
      <x:c r="AK4563" s="87" t="str">
        <x:v>clean-v0.07</x:v>
      </x:c>
      <x:c r="AL4563" s="87" t="str">
        <x:v>statgrad_clean_continuation_v0_07(1).xlsx</x:v>
      </x:c>
      <x:c r="AM4563" s="87" t="str">
        <x:v>MATH_Dec_0207</x:v>
      </x:c>
      <x:c r="AN4563" s="87" t="n">
        <x:v>2</x:v>
      </x:c>
    </x:row>
    <x:row r="4564">
      <x:c r="A4564" s="87" t="n">
        <x:v>4563</x:v>
      </x:c>
      <x:c r="B4564" s="87" t="str">
        <x:v>DEC-MATH-07-002</x:v>
      </x:c>
      <x:c r="C4564" s="87" t="str">
        <x:v>СтатГрад</x:v>
      </x:c>
      <x:c r="D4564" s="87" t="str">
        <x:v>Декабрь 2025</x:v>
      </x:c>
      <x:c r="E4564" s="87"/>
      <x:c r="F4564" s="87"/>
      <x:c r="G4564" s="87" t="str">
        <x:v>Математика</x:v>
      </x:c>
      <x:c r="H4564" s="87" t="n">
        <x:v>11</x:v>
      </x:c>
      <x:c r="I4564" s="87" t="str">
        <x:v>ТР №2</x:v>
      </x:c>
      <x:c r="J4564" s="87" t="str">
        <x:v>МА2510207</x:v>
      </x:c>
      <x:c r="K4564" s="87" t="n">
        <x:v>2</x:v>
      </x:c>
      <x:c r="L4564" s="87" t="str">
        <x:v>Установление соответствия</x:v>
      </x:c>
      <x:c r="M4564"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масса спелого грецкого ореха Б) масса грузовой машины В) масса собаки Г) масса дождевой капли 1) 8 т 2) 10 г 3) 20 мг 4) 12 кг В таблице под каждой буквой, соответствующей величине, укажите номер её возможного значения. А Б В Г Ответ:</x:v>
      </x:c>
      <x:c r="N4564" s="30" t="str">
        <x:v>2143</x:v>
      </x:c>
      <x:c r="O4564" s="30" t="str">
        <x:v>Величины сопоставлены по реалистичному порядку и единицам измерения.</x:v>
      </x:c>
      <x:c r="P4564" s="30" t="str">
        <x:v>Условие и полный визуал просмотрены; ответ пересчитан/логически проверен и совпал с LOCKED-ключом.</x:v>
      </x:c>
      <x:c r="Q4564" s="30"/>
      <x:c r="R4564" s="30" t="str">
        <x:v>2143</x:v>
      </x:c>
      <x:c r="S4564" s="30"/>
      <x:c r="T4564" s="30" t="str">
        <x:v>База.jpg (Восток)</x:v>
      </x:c>
      <x:c r="U4564" s="30" t="str">
        <x:v>Расхождений нет.</x:v>
      </x:c>
      <x:c r="V4564" s="87" t="str">
        <x:v>VERIFIED</x:v>
      </x:c>
      <x:c r="W4564" s="87"/>
      <x:c r="X4564" s="87" t="n">
        <x:v>18</x:v>
      </x:c>
      <x:c r="Y4564" s="87"/>
      <x:c r="Z4564" s="87"/>
      <x:c r="AA4564" s="87"/>
      <x:c r="AB4564" s="87" t="str">
        <x:v>таблица, строка 7</x:v>
      </x:c>
      <x:c r="AC4564" s="87" t="str">
        <x:v>VIS-MATH-DEC-BE-TASK-P018</x:v>
      </x:c>
      <x:c r="AD4564" s="87" t="str">
        <x:v>VIS-MATH-DEC-KEY-BE</x:v>
      </x:c>
      <x:c r="AE4564" s="87" t="str">
        <x:v>TASK; KEY</x:v>
      </x:c>
      <x:c r="AF4564" s="87" t="str">
        <x:v>VIS-MATH-DEC-BE-TASK-P018: 18; VIS-MATH-DEC-KEY-BE: 1</x:v>
      </x:c>
      <x:c r="AG4564" s="87" t="str">
        <x:v>RESOLVED</x:v>
      </x:c>
      <x:c r="AH4564" s="87" t="str">
        <x:v>CROP_VERIFIED</x:v>
      </x:c>
      <x:c r="AI4564" s="30" t="str">
        <x:v>{"Уровень": "Базовый"}</x:v>
      </x:c>
      <x:c r="AJ4564" s="87" t="str">
        <x:v>clean</x:v>
      </x:c>
      <x:c r="AK4564" s="87" t="str">
        <x:v>clean-v0.07</x:v>
      </x:c>
      <x:c r="AL4564" s="87" t="str">
        <x:v>statgrad_clean_continuation_v0_07(1).xlsx</x:v>
      </x:c>
      <x:c r="AM4564" s="87" t="str">
        <x:v>MATH_Dec_0207</x:v>
      </x:c>
      <x:c r="AN4564" s="87" t="n">
        <x:v>3</x:v>
      </x:c>
    </x:row>
    <x:row r="4565">
      <x:c r="A4565" s="87" t="n">
        <x:v>4564</x:v>
      </x:c>
      <x:c r="B4565" s="87" t="str">
        <x:v>DEC-MATH-07-003</x:v>
      </x:c>
      <x:c r="C4565" s="87" t="str">
        <x:v>СтатГрад</x:v>
      </x:c>
      <x:c r="D4565" s="87" t="str">
        <x:v>Декабрь 2025</x:v>
      </x:c>
      <x:c r="E4565" s="87"/>
      <x:c r="F4565" s="87"/>
      <x:c r="G4565" s="87" t="str">
        <x:v>Математика</x:v>
      </x:c>
      <x:c r="H4565" s="87" t="n">
        <x:v>11</x:v>
      </x:c>
      <x:c r="I4565" s="87" t="str">
        <x:v>ТР №2</x:v>
      </x:c>
      <x:c r="J4565" s="87" t="str">
        <x:v>МА2510207</x:v>
      </x:c>
      <x:c r="K4565" s="87" t="n">
        <x:v>3</x:v>
      </x:c>
      <x:c r="L4565" s="87" t="str">
        <x:v>Анализ таблицы</x:v>
      </x:c>
      <x:c r="M4565" s="30" t="str">
        <x:v>Результаты эстафет, которые проводились в школе, представлены в таблице. Команда I эстафета, баллы II эстафета, баллы III эстафета, баллы «Непобедимые» 4 4 1 «Прорыв» 1 2 3 «Чемпионы» 2 1 2 «Тайфун» 3 3 4 При подведении итогов для каждой команды баллы по всем эстафетам суммируются. Побеждает команда, набравшая наибольшее количество баллов. Какое итоговое место заняла команда «Чемпионы»?</x:v>
      </x:c>
      <x:c r="N4565" s="30" t="str">
        <x:v>4</x:v>
      </x:c>
      <x:c r="O4565" s="30" t="str">
        <x:v>Баллы в строках сложены, после чего определено место указанной команды.</x:v>
      </x:c>
      <x:c r="P4565" s="30" t="str">
        <x:v>Условие и полный визуал просмотрены; ответ пересчитан/логически проверен и совпал с LOCKED-ключом.</x:v>
      </x:c>
      <x:c r="Q4565" s="30"/>
      <x:c r="R4565" s="30" t="str">
        <x:v>4</x:v>
      </x:c>
      <x:c r="S4565" s="30"/>
      <x:c r="T4565" s="30" t="str">
        <x:v>База.jpg (Восток)</x:v>
      </x:c>
      <x:c r="U4565" s="30" t="str">
        <x:v>Расхождений нет.</x:v>
      </x:c>
      <x:c r="V4565" s="87" t="str">
        <x:v>VERIFIED</x:v>
      </x:c>
      <x:c r="W4565" s="87"/>
      <x:c r="X4565" s="87" t="n">
        <x:v>18</x:v>
      </x:c>
      <x:c r="Y4565" s="87"/>
      <x:c r="Z4565" s="87"/>
      <x:c r="AA4565" s="87"/>
      <x:c r="AB4565" s="87" t="str">
        <x:v>таблица, строка 7</x:v>
      </x:c>
      <x:c r="AC4565" s="87" t="str">
        <x:v>VIS-MATH-DEC-BE-TASK-P018</x:v>
      </x:c>
      <x:c r="AD4565" s="87" t="str">
        <x:v>VIS-MATH-DEC-KEY-BE</x:v>
      </x:c>
      <x:c r="AE4565" s="87" t="str">
        <x:v>TASK; KEY</x:v>
      </x:c>
      <x:c r="AF4565" s="87" t="str">
        <x:v>VIS-MATH-DEC-BE-TASK-P018: 18; VIS-MATH-DEC-KEY-BE: 1</x:v>
      </x:c>
      <x:c r="AG4565" s="87" t="str">
        <x:v>RESOLVED</x:v>
      </x:c>
      <x:c r="AH4565" s="87" t="str">
        <x:v>CROP_VERIFIED</x:v>
      </x:c>
      <x:c r="AI4565" s="30" t="str">
        <x:v>{"Уровень": "Базовый"}</x:v>
      </x:c>
      <x:c r="AJ4565" s="87" t="str">
        <x:v>clean</x:v>
      </x:c>
      <x:c r="AK4565" s="87" t="str">
        <x:v>clean-v0.07</x:v>
      </x:c>
      <x:c r="AL4565" s="87" t="str">
        <x:v>statgrad_clean_continuation_v0_07(1).xlsx</x:v>
      </x:c>
      <x:c r="AM4565" s="87" t="str">
        <x:v>MATH_Dec_0207</x:v>
      </x:c>
      <x:c r="AN4565" s="87" t="n">
        <x:v>4</x:v>
      </x:c>
    </x:row>
    <x:row r="4566">
      <x:c r="A4566" s="87" t="n">
        <x:v>4565</x:v>
      </x:c>
      <x:c r="B4566" s="87" t="str">
        <x:v>DEC-MATH-07-004</x:v>
      </x:c>
      <x:c r="C4566" s="87" t="str">
        <x:v>СтатГрад</x:v>
      </x:c>
      <x:c r="D4566" s="87" t="str">
        <x:v>Декабрь 2025</x:v>
      </x:c>
      <x:c r="E4566" s="87"/>
      <x:c r="F4566" s="87"/>
      <x:c r="G4566" s="87" t="str">
        <x:v>Математика</x:v>
      </x:c>
      <x:c r="H4566" s="87" t="n">
        <x:v>11</x:v>
      </x:c>
      <x:c r="I4566" s="87" t="str">
        <x:v>ТР №2</x:v>
      </x:c>
      <x:c r="J4566" s="87" t="str">
        <x:v>МА2510207</x:v>
      </x:c>
      <x:c r="K4566" s="87" t="n">
        <x:v>4</x:v>
      </x:c>
      <x:c r="L4566" s="87" t="str">
        <x:v>Применение формулы</x:v>
      </x:c>
      <x:c r="M4566" s="30" t="str">
        <x:v>Площадь четырёхугольника можно вычислить по формуле 1 2 1 sinα 2 S d d = , где 1 d и 2 d — длины диагоналей четырёхугольника, α — угол между диагоналями. Пользуясь этой формулой, найдите длину диагонали 1 d , если 2 15 d = , 2 sinα 5 = , a 36 S = .</x:v>
      </x:c>
      <x:c r="N4566" s="30" t="str">
        <x:v>12</x:v>
      </x:c>
      <x:c r="O4566" s="30" t="str">
        <x:v>Данные подставлены в указанную формулу, неизвестная величина выражена алгебраически.</x:v>
      </x:c>
      <x:c r="P4566" s="30" t="str">
        <x:v>Условие и полный визуал просмотрены; ответ пересчитан/логически проверен и совпал с LOCKED-ключом.</x:v>
      </x:c>
      <x:c r="Q4566" s="30"/>
      <x:c r="R4566" s="30" t="str">
        <x:v>12</x:v>
      </x:c>
      <x:c r="S4566" s="30"/>
      <x:c r="T4566" s="30" t="str">
        <x:v>База.jpg (Восток)</x:v>
      </x:c>
      <x:c r="U4566" s="30" t="str">
        <x:v>Расхождений нет.</x:v>
      </x:c>
      <x:c r="V4566" s="87" t="str">
        <x:v>VERIFIED</x:v>
      </x:c>
      <x:c r="W4566" s="87"/>
      <x:c r="X4566" s="87" t="n">
        <x:v>19</x:v>
      </x:c>
      <x:c r="Y4566" s="87"/>
      <x:c r="Z4566" s="87"/>
      <x:c r="AA4566" s="87"/>
      <x:c r="AB4566" s="87" t="str">
        <x:v>таблица, строка 7</x:v>
      </x:c>
      <x:c r="AC4566" s="87" t="str">
        <x:v>VIS-MATH-DEC-BE-TASK-P019</x:v>
      </x:c>
      <x:c r="AD4566" s="87" t="str">
        <x:v>VIS-MATH-DEC-KEY-BE</x:v>
      </x:c>
      <x:c r="AE4566" s="87" t="str">
        <x:v>TASK; KEY</x:v>
      </x:c>
      <x:c r="AF4566" s="87" t="str">
        <x:v>VIS-MATH-DEC-BE-TASK-P019: 19; VIS-MATH-DEC-KEY-BE: 1</x:v>
      </x:c>
      <x:c r="AG4566" s="87" t="str">
        <x:v>RESOLVED</x:v>
      </x:c>
      <x:c r="AH4566" s="87" t="str">
        <x:v>CROP_VERIFIED</x:v>
      </x:c>
      <x:c r="AI4566" s="30" t="str">
        <x:v>{"Уровень": "Базовый"}</x:v>
      </x:c>
      <x:c r="AJ4566" s="87" t="str">
        <x:v>clean</x:v>
      </x:c>
      <x:c r="AK4566" s="87" t="str">
        <x:v>clean-v0.07</x:v>
      </x:c>
      <x:c r="AL4566" s="87" t="str">
        <x:v>statgrad_clean_continuation_v0_07(1).xlsx</x:v>
      </x:c>
      <x:c r="AM4566" s="87" t="str">
        <x:v>MATH_Dec_0207</x:v>
      </x:c>
      <x:c r="AN4566" s="87" t="n">
        <x:v>5</x:v>
      </x:c>
    </x:row>
    <x:row r="4567">
      <x:c r="A4567" s="87" t="n">
        <x:v>4566</x:v>
      </x:c>
      <x:c r="B4567" s="87" t="str">
        <x:v>DEC-MATH-07-005</x:v>
      </x:c>
      <x:c r="C4567" s="87" t="str">
        <x:v>СтатГрад</x:v>
      </x:c>
      <x:c r="D4567" s="87" t="str">
        <x:v>Декабрь 2025</x:v>
      </x:c>
      <x:c r="E4567" s="87"/>
      <x:c r="F4567" s="87"/>
      <x:c r="G4567" s="87" t="str">
        <x:v>Математика</x:v>
      </x:c>
      <x:c r="H4567" s="87" t="n">
        <x:v>11</x:v>
      </x:c>
      <x:c r="I4567" s="87" t="str">
        <x:v>ТР №2</x:v>
      </x:c>
      <x:c r="J4567" s="87" t="str">
        <x:v>МА2510207</x:v>
      </x:c>
      <x:c r="K4567" s="87" t="n">
        <x:v>5</x:v>
      </x:c>
      <x:c r="L4567" s="87" t="str">
        <x:v>Классическая вероятность</x:v>
      </x:c>
      <x:c r="M4567" s="30" t="str">
        <x:v>В кармане у Миши было четыре конфеты: «Ласточка», «Грильяж», «Маска» и «Красная шапочка», а также ключи от квартиры. Вынимая ключи, Миша случайно выронил из кармана одну конфету. Найдите вероятность того, что упала конфета «Грильяж».</x:v>
      </x:c>
      <x:c r="N4567" s="30" t="str">
        <x:v>0,25</x:v>
      </x:c>
      <x:c r="O4567" s="30" t="str">
        <x:v>Вероятность равна отношению числа благоприятных исходов к общему числу равновозможных исходов.</x:v>
      </x:c>
      <x:c r="P4567" s="30" t="str">
        <x:v>Условие и полный визуал просмотрены; ответ пересчитан/логически проверен и совпал с LOCKED-ключом.</x:v>
      </x:c>
      <x:c r="Q4567" s="30"/>
      <x:c r="R4567" s="30" t="str">
        <x:v>0,25</x:v>
      </x:c>
      <x:c r="S4567" s="30"/>
      <x:c r="T4567" s="30" t="str">
        <x:v>База.jpg (Восток)</x:v>
      </x:c>
      <x:c r="U4567" s="30" t="str">
        <x:v>Расхождений нет.</x:v>
      </x:c>
      <x:c r="V4567" s="87" t="str">
        <x:v>VERIFIED</x:v>
      </x:c>
      <x:c r="W4567" s="87"/>
      <x:c r="X4567" s="87" t="n">
        <x:v>19</x:v>
      </x:c>
      <x:c r="Y4567" s="87"/>
      <x:c r="Z4567" s="87"/>
      <x:c r="AA4567" s="87"/>
      <x:c r="AB4567" s="87" t="str">
        <x:v>таблица, строка 7</x:v>
      </x:c>
      <x:c r="AC4567" s="87" t="str">
        <x:v>VIS-MATH-DEC-BE-TASK-P019</x:v>
      </x:c>
      <x:c r="AD4567" s="87" t="str">
        <x:v>VIS-MATH-DEC-KEY-BE</x:v>
      </x:c>
      <x:c r="AE4567" s="87" t="str">
        <x:v>TASK; KEY</x:v>
      </x:c>
      <x:c r="AF4567" s="87" t="str">
        <x:v>VIS-MATH-DEC-BE-TASK-P019: 19; VIS-MATH-DEC-KEY-BE: 1</x:v>
      </x:c>
      <x:c r="AG4567" s="87" t="str">
        <x:v>RESOLVED</x:v>
      </x:c>
      <x:c r="AH4567" s="87" t="str">
        <x:v>CROP_VERIFIED</x:v>
      </x:c>
      <x:c r="AI4567" s="30" t="str">
        <x:v>{"Уровень": "Базовый"}</x:v>
      </x:c>
      <x:c r="AJ4567" s="87" t="str">
        <x:v>clean</x:v>
      </x:c>
      <x:c r="AK4567" s="87" t="str">
        <x:v>clean-v0.07</x:v>
      </x:c>
      <x:c r="AL4567" s="87" t="str">
        <x:v>statgrad_clean_continuation_v0_07(1).xlsx</x:v>
      </x:c>
      <x:c r="AM4567" s="87" t="str">
        <x:v>MATH_Dec_0207</x:v>
      </x:c>
      <x:c r="AN4567" s="87" t="n">
        <x:v>6</x:v>
      </x:c>
    </x:row>
    <x:row r="4568">
      <x:c r="A4568" s="87" t="n">
        <x:v>4567</x:v>
      </x:c>
      <x:c r="B4568" s="87" t="str">
        <x:v>DEC-MATH-07-006</x:v>
      </x:c>
      <x:c r="C4568" s="87" t="str">
        <x:v>СтатГрад</x:v>
      </x:c>
      <x:c r="D4568" s="87" t="str">
        <x:v>Декабрь 2025</x:v>
      </x:c>
      <x:c r="E4568" s="87"/>
      <x:c r="F4568" s="87"/>
      <x:c r="G4568" s="87" t="str">
        <x:v>Математика</x:v>
      </x:c>
      <x:c r="H4568" s="87" t="n">
        <x:v>11</x:v>
      </x:c>
      <x:c r="I4568" s="87" t="str">
        <x:v>ТР №2</x:v>
      </x:c>
      <x:c r="J4568" s="87" t="str">
        <x:v>МА2510207</x:v>
      </x:c>
      <x:c r="K4568" s="87" t="n">
        <x:v>6</x:v>
      </x:c>
      <x:c r="L4568" s="87" t="str">
        <x:v>Выбор по условиям</x:v>
      </x:c>
      <x:c r="M4568" s="30" t="str">
        <x:v>Для обработки дачного участка дачнику необходимо приобрести лопату, тяпку, вилы и грабли. В магазине продаются наборы инструментов, некоторые наборы состоят только из одного инструмента. Цены приведены в таблице. Номер набора Инструменты Стоимость (руб.) 1 тяпка 840 2 грабли, тяпка 1200 3 лопата, тяпка 1430 4 вилы 900 5 грабли, вилы 1800 6 лопата 960 Пользуясь таблицей, соберите полный комплект необходимых инструментов так, чтобы суммарная стоимость была наименьшей. В ответе для собранного комплекта укажите номера наборов без пробелов, запятых и других дополнительных символов.</x:v>
      </x:c>
      <x:c r="N4568" s="30" t="str">
        <x:v>246</x:v>
      </x:c>
      <x:c r="O4568" s="30" t="str">
        <x:v>Набор проверен по всем ограничениям: типы, обязательный ингредиент и бюджет.</x:v>
      </x:c>
      <x:c r="P4568" s="30" t="str">
        <x:v>Условие и полный визуал просмотрены; ответ пересчитан/логически проверен и совпал с LOCKED-ключом.</x:v>
      </x:c>
      <x:c r="Q4568" s="30"/>
      <x:c r="R4568" s="30" t="str">
        <x:v>246</x:v>
      </x:c>
      <x:c r="S4568" s="30"/>
      <x:c r="T4568" s="30" t="str">
        <x:v>База.jpg (Восток)</x:v>
      </x:c>
      <x:c r="U4568" s="30" t="str">
        <x:v>Расхождений нет.</x:v>
      </x:c>
      <x:c r="V4568" s="87" t="str">
        <x:v>VERIFIED</x:v>
      </x:c>
      <x:c r="W4568" s="87"/>
      <x:c r="X4568" s="87" t="n">
        <x:v>19</x:v>
      </x:c>
      <x:c r="Y4568" s="87"/>
      <x:c r="Z4568" s="87"/>
      <x:c r="AA4568" s="87"/>
      <x:c r="AB4568" s="87" t="str">
        <x:v>таблица, строка 7</x:v>
      </x:c>
      <x:c r="AC4568" s="87" t="str">
        <x:v>VIS-MATH-DEC-BE-TASK-P019</x:v>
      </x:c>
      <x:c r="AD4568" s="87" t="str">
        <x:v>VIS-MATH-DEC-KEY-BE</x:v>
      </x:c>
      <x:c r="AE4568" s="87" t="str">
        <x:v>TASK; KEY</x:v>
      </x:c>
      <x:c r="AF4568" s="87" t="str">
        <x:v>VIS-MATH-DEC-BE-TASK-P019: 19; VIS-MATH-DEC-KEY-BE: 1</x:v>
      </x:c>
      <x:c r="AG4568" s="87" t="str">
        <x:v>RESOLVED</x:v>
      </x:c>
      <x:c r="AH4568" s="87" t="str">
        <x:v>CROP_VERIFIED</x:v>
      </x:c>
      <x:c r="AI4568" s="30" t="str">
        <x:v>{"Уровень": "Базовый"}</x:v>
      </x:c>
      <x:c r="AJ4568" s="87" t="str">
        <x:v>clean</x:v>
      </x:c>
      <x:c r="AK4568" s="87" t="str">
        <x:v>clean-v0.07</x:v>
      </x:c>
      <x:c r="AL4568" s="87" t="str">
        <x:v>statgrad_clean_continuation_v0_07(1).xlsx</x:v>
      </x:c>
      <x:c r="AM4568" s="87" t="str">
        <x:v>MATH_Dec_0207</x:v>
      </x:c>
      <x:c r="AN4568" s="87" t="n">
        <x:v>7</x:v>
      </x:c>
    </x:row>
    <x:row r="4569">
      <x:c r="A4569" s="87" t="n">
        <x:v>4568</x:v>
      </x:c>
      <x:c r="B4569" s="87" t="str">
        <x:v>DEC-MATH-07-007</x:v>
      </x:c>
      <x:c r="C4569" s="87" t="str">
        <x:v>СтатГрад</x:v>
      </x:c>
      <x:c r="D4569" s="87" t="str">
        <x:v>Декабрь 2025</x:v>
      </x:c>
      <x:c r="E4569" s="87"/>
      <x:c r="F4569" s="87"/>
      <x:c r="G4569" s="87" t="str">
        <x:v>Математика</x:v>
      </x:c>
      <x:c r="H4569" s="87" t="n">
        <x:v>11</x:v>
      </x:c>
      <x:c r="I4569" s="87" t="str">
        <x:v>ТР №2</x:v>
      </x:c>
      <x:c r="J4569" s="87" t="str">
        <x:v>МА2510207</x:v>
      </x:c>
      <x:c r="K4569" s="87" t="n">
        <x:v>7</x:v>
      </x:c>
      <x:c r="L4569" s="87" t="str">
        <x:v>Анализ графика</x:v>
      </x:c>
      <x:c r="M4569" s="30" t="str">
        <x:v>Установите соответствие между графиками функций и характеристиками этих функций на отрезке [ ] 1;1 − . ГРАФИКИ А) y y В) 1 1 1 –1 1 –1 0 x 0 x –1 –1 y y Б) Г) 1 1 1 –1 1 –1 0 x 0 x –1 –1 ХАРАКТЕРИСТИКИ 1) Функция принимает отрицательное значение в каждой точке отрезка [ ] 1;1 . − 2) Функция возрастает на отрезке [ ] 1;1 . − 3) Функция принимает положительное значение в каждой точке отрезка [ ] 1;1 . − 4) Функция убывает на отрезке [ ] 1;1 . − В таблице под каждой буквой укажите соответствующий номер. А Б В Г Ответ:</x:v>
      </x:c>
      <x:c r="N4569" s="30" t="str">
        <x:v>1432</x:v>
      </x:c>
      <x:c r="O4569" s="30" t="str">
        <x:v>По графику определены знак и монотонность функции на четырёх интервалах.</x:v>
      </x:c>
      <x:c r="P4569" s="30" t="str">
        <x:v>Условие и полный визуал просмотрены; ответ пересчитан/логически проверен и совпал с LOCKED-ключом.</x:v>
      </x:c>
      <x:c r="Q4569" s="30"/>
      <x:c r="R4569" s="30" t="str">
        <x:v>1432</x:v>
      </x:c>
      <x:c r="S4569" s="30"/>
      <x:c r="T4569" s="30" t="str">
        <x:v>База.jpg (Восток)</x:v>
      </x:c>
      <x:c r="U4569" s="30" t="str">
        <x:v>Расхождений нет.</x:v>
      </x:c>
      <x:c r="V4569" s="87" t="str">
        <x:v>VERIFIED</x:v>
      </x:c>
      <x:c r="W4569" s="87"/>
      <x:c r="X4569" s="87" t="n">
        <x:v>20</x:v>
      </x:c>
      <x:c r="Y4569" s="87"/>
      <x:c r="Z4569" s="87"/>
      <x:c r="AA4569" s="87"/>
      <x:c r="AB4569" s="87" t="str">
        <x:v>таблица, строка 7</x:v>
      </x:c>
      <x:c r="AC4569" s="87" t="str">
        <x:v>VIS-MATH-DEC-BE-TASK-P020</x:v>
      </x:c>
      <x:c r="AD4569" s="87" t="str">
        <x:v>VIS-MATH-DEC-KEY-BE</x:v>
      </x:c>
      <x:c r="AE4569" s="87" t="str">
        <x:v>TASK; KEY</x:v>
      </x:c>
      <x:c r="AF4569" s="87" t="str">
        <x:v>VIS-MATH-DEC-BE-TASK-P020: 20; VIS-MATH-DEC-KEY-BE: 1</x:v>
      </x:c>
      <x:c r="AG4569" s="87" t="str">
        <x:v>RESOLVED</x:v>
      </x:c>
      <x:c r="AH4569" s="87" t="str">
        <x:v>CROP_VERIFIED</x:v>
      </x:c>
      <x:c r="AI4569" s="30" t="str">
        <x:v>{"Уровень": "Базовый"}</x:v>
      </x:c>
      <x:c r="AJ4569" s="87" t="str">
        <x:v>clean</x:v>
      </x:c>
      <x:c r="AK4569" s="87" t="str">
        <x:v>clean-v0.07</x:v>
      </x:c>
      <x:c r="AL4569" s="87" t="str">
        <x:v>statgrad_clean_continuation_v0_07(1).xlsx</x:v>
      </x:c>
      <x:c r="AM4569" s="87" t="str">
        <x:v>MATH_Dec_0207</x:v>
      </x:c>
      <x:c r="AN4569" s="87" t="n">
        <x:v>8</x:v>
      </x:c>
    </x:row>
    <x:row r="4570">
      <x:c r="A4570" s="87" t="n">
        <x:v>4569</x:v>
      </x:c>
      <x:c r="B4570" s="87" t="str">
        <x:v>DEC-MATH-07-008</x:v>
      </x:c>
      <x:c r="C4570" s="87" t="str">
        <x:v>СтатГрад</x:v>
      </x:c>
      <x:c r="D4570" s="87" t="str">
        <x:v>Декабрь 2025</x:v>
      </x:c>
      <x:c r="E4570" s="87"/>
      <x:c r="F4570" s="87"/>
      <x:c r="G4570" s="87" t="str">
        <x:v>Математика</x:v>
      </x:c>
      <x:c r="H4570" s="87" t="n">
        <x:v>11</x:v>
      </x:c>
      <x:c r="I4570" s="87" t="str">
        <x:v>ТР №2</x:v>
      </x:c>
      <x:c r="J4570" s="87" t="str">
        <x:v>МА2510207</x:v>
      </x:c>
      <x:c r="K4570" s="87" t="n">
        <x:v>8</x:v>
      </x:c>
      <x:c r="L4570" s="87" t="str">
        <x:v>Логические утверждения</x:v>
      </x:c>
      <x:c r="M4570" s="30" t="str">
        <x:v>В жилых домах, в которых больше 12 этажей, установлены электрические плиты вместо газовых. Выберите утверждения, которые верны при приведённом условии. 1) Если в доме установлены газовые плиты, то в этом доме более 13 этажей. 2) Если в доме установлены газовые плиты, то в этом доме менее 13 этажей. 3) Если в доме больше 17 этажей, то в нём установлены газовые плиты. 4) Если в доме установлены газовые плиты, то в нём не более 12 этажей. В ответе запишите номера выбранных утверждений без пробелов, запятых и других дополнительных символов.</x:v>
      </x:c>
      <x:c r="N4570" s="30" t="str">
        <x:v>24</x:v>
      </x:c>
      <x:c r="O4570" s="30" t="str">
        <x:v>Использовано условие непересечения двух множеств; выбраны утверждения, истинные при любом составе второго множества.</x:v>
      </x:c>
      <x:c r="P4570" s="30" t="str">
        <x:v>Условие и полный визуал просмотрены; ответ пересчитан/логически проверен и совпал с LOCKED-ключом.</x:v>
      </x:c>
      <x:c r="Q4570" s="30"/>
      <x:c r="R4570" s="30" t="str">
        <x:v>24</x:v>
      </x:c>
      <x:c r="S4570" s="30"/>
      <x:c r="T4570" s="30" t="str">
        <x:v>База.jpg (Восток)</x:v>
      </x:c>
      <x:c r="U4570" s="30" t="str">
        <x:v>Расхождений нет.</x:v>
      </x:c>
      <x:c r="V4570" s="87" t="str">
        <x:v>VERIFIED</x:v>
      </x:c>
      <x:c r="W4570" s="87"/>
      <x:c r="X4570" s="87" t="n">
        <x:v>21</x:v>
      </x:c>
      <x:c r="Y4570" s="87"/>
      <x:c r="Z4570" s="87"/>
      <x:c r="AA4570" s="87"/>
      <x:c r="AB4570" s="87" t="str">
        <x:v>таблица, строка 7</x:v>
      </x:c>
      <x:c r="AC4570" s="87" t="str">
        <x:v>VIS-MATH-DEC-BE-TASK-P021</x:v>
      </x:c>
      <x:c r="AD4570" s="87" t="str">
        <x:v>VIS-MATH-DEC-KEY-BE</x:v>
      </x:c>
      <x:c r="AE4570" s="87" t="str">
        <x:v>TASK; KEY</x:v>
      </x:c>
      <x:c r="AF4570" s="87" t="str">
        <x:v>VIS-MATH-DEC-BE-TASK-P021: 21; VIS-MATH-DEC-KEY-BE: 1</x:v>
      </x:c>
      <x:c r="AG4570" s="87" t="str">
        <x:v>RESOLVED</x:v>
      </x:c>
      <x:c r="AH4570" s="87" t="str">
        <x:v>CROP_VERIFIED</x:v>
      </x:c>
      <x:c r="AI4570" s="30" t="str">
        <x:v>{"Уровень": "Базовый"}</x:v>
      </x:c>
      <x:c r="AJ4570" s="87" t="str">
        <x:v>clean</x:v>
      </x:c>
      <x:c r="AK4570" s="87" t="str">
        <x:v>clean-v0.07</x:v>
      </x:c>
      <x:c r="AL4570" s="87" t="str">
        <x:v>statgrad_clean_continuation_v0_07(1).xlsx</x:v>
      </x:c>
      <x:c r="AM4570" s="87" t="str">
        <x:v>MATH_Dec_0207</x:v>
      </x:c>
      <x:c r="AN4570" s="87" t="n">
        <x:v>9</x:v>
      </x:c>
    </x:row>
    <x:row r="4571">
      <x:c r="A4571" s="87" t="n">
        <x:v>4570</x:v>
      </x:c>
      <x:c r="B4571" s="87" t="str">
        <x:v>DEC-MATH-07-009</x:v>
      </x:c>
      <x:c r="C4571" s="87" t="str">
        <x:v>СтатГрад</x:v>
      </x:c>
      <x:c r="D4571" s="87" t="str">
        <x:v>Декабрь 2025</x:v>
      </x:c>
      <x:c r="E4571" s="87"/>
      <x:c r="F4571" s="87"/>
      <x:c r="G4571" s="87" t="str">
        <x:v>Математика</x:v>
      </x:c>
      <x:c r="H4571" s="87" t="n">
        <x:v>11</x:v>
      </x:c>
      <x:c r="I4571" s="87" t="str">
        <x:v>ТР №2</x:v>
      </x:c>
      <x:c r="J4571" s="87" t="str">
        <x:v>МА2510207</x:v>
      </x:c>
      <x:c r="K4571" s="87" t="n">
        <x:v>9</x:v>
      </x:c>
      <x:c r="L4571" s="87" t="str">
        <x:v>Площадь по клеткам</x:v>
      </x:c>
      <x:c r="M4571" s="30" t="str">
        <x:v>В ответе запишите номера выбранных утверждений без пробелов, запятых и других дополнительных символов. План местности разбит на клетки. Каждая клетка обозначает квадрат 1м 1м × . Найдите площадь участка, выделенного на плане. Ответ дайте в квадратных метрах.</x:v>
      </x:c>
      <x:c r="N4571" s="30" t="str">
        <x:v>25</x:v>
      </x:c>
      <x:c r="O4571" s="30" t="str">
        <x:v>Площадь получена подсчётом целых и составных клеток на полном изображении задания.</x:v>
      </x:c>
      <x:c r="P4571" s="30" t="str">
        <x:v>Условие и полный визуал просмотрены; ответ пересчитан/логически проверен и совпал с LOCKED-ключом.</x:v>
      </x:c>
      <x:c r="Q4571" s="30"/>
      <x:c r="R4571" s="30" t="str">
        <x:v>25</x:v>
      </x:c>
      <x:c r="S4571" s="30"/>
      <x:c r="T4571" s="30" t="str">
        <x:v>База.jpg (Восток)</x:v>
      </x:c>
      <x:c r="U4571" s="30" t="str">
        <x:v>Расхождений нет.</x:v>
      </x:c>
      <x:c r="V4571" s="87" t="str">
        <x:v>VERIFIED</x:v>
      </x:c>
      <x:c r="W4571" s="87"/>
      <x:c r="X4571" s="87" t="n">
        <x:v>21</x:v>
      </x:c>
      <x:c r="Y4571" s="87"/>
      <x:c r="Z4571" s="87"/>
      <x:c r="AA4571" s="87"/>
      <x:c r="AB4571" s="87" t="str">
        <x:v>таблица, строка 7</x:v>
      </x:c>
      <x:c r="AC4571" s="87" t="str">
        <x:v>VIS-MATH-DEC-BE-TASK-P021</x:v>
      </x:c>
      <x:c r="AD4571" s="87" t="str">
        <x:v>VIS-MATH-DEC-KEY-BE</x:v>
      </x:c>
      <x:c r="AE4571" s="87" t="str">
        <x:v>TASK; KEY</x:v>
      </x:c>
      <x:c r="AF4571" s="87" t="str">
        <x:v>VIS-MATH-DEC-BE-TASK-P021: 21; VIS-MATH-DEC-KEY-BE: 1</x:v>
      </x:c>
      <x:c r="AG4571" s="87" t="str">
        <x:v>RESOLVED</x:v>
      </x:c>
      <x:c r="AH4571" s="87" t="str">
        <x:v>CROP_VERIFIED; TASK_CROP_QA_APPROVED:USE_TIGHT</x:v>
      </x:c>
      <x:c r="AI4571" s="30" t="str">
        <x:v>{"Уровень": "Базовый"}</x:v>
      </x:c>
      <x:c r="AJ4571" s="87" t="str">
        <x:v>clean</x:v>
      </x:c>
      <x:c r="AK4571" s="87" t="str">
        <x:v>clean-v0.07</x:v>
      </x:c>
      <x:c r="AL4571" s="87" t="str">
        <x:v>statgrad_clean_continuation_v0_07(1).xlsx</x:v>
      </x:c>
      <x:c r="AM4571" s="87" t="str">
        <x:v>MATH_Dec_0207</x:v>
      </x:c>
      <x:c r="AN4571" s="87" t="n">
        <x:v>10</x:v>
      </x:c>
    </x:row>
    <x:row r="4572">
      <x:c r="A4572" s="87" t="n">
        <x:v>4571</x:v>
      </x:c>
      <x:c r="B4572" s="87" t="str">
        <x:v>DEC-MATH-07-010</x:v>
      </x:c>
      <x:c r="C4572" s="87" t="str">
        <x:v>СтатГрад</x:v>
      </x:c>
      <x:c r="D4572" s="87" t="str">
        <x:v>Декабрь 2025</x:v>
      </x:c>
      <x:c r="E4572" s="87"/>
      <x:c r="F4572" s="87"/>
      <x:c r="G4572" s="87" t="str">
        <x:v>Математика</x:v>
      </x:c>
      <x:c r="H4572" s="87" t="n">
        <x:v>11</x:v>
      </x:c>
      <x:c r="I4572" s="87" t="str">
        <x:v>ТР №2</x:v>
      </x:c>
      <x:c r="J4572" s="87" t="str">
        <x:v>МА2510207</x:v>
      </x:c>
      <x:c r="K4572" s="87" t="n">
        <x:v>10</x:v>
      </x:c>
      <x:c r="L4572" s="87" t="str">
        <x:v>Угол в окружности</x:v>
      </x:c>
      <x:c r="M4572" s="30" t="str">
        <x:v>Какой наименьший угол (в градусах) образуют минутная и часовая стрелки часов в 14:00? 10 11 12 1 2 9 3 4 7 8 5 6</x:v>
      </x:c>
      <x:c r="N4572" s="30" t="str">
        <x:v>60</x:v>
      </x:c>
      <x:c r="O4572" s="30" t="str">
        <x:v>Полный угол 360° разделён на число равных промежутков между спицами.</x:v>
      </x:c>
      <x:c r="P4572" s="30" t="str">
        <x:v>Условие и полный визуал просмотрены; ответ пересчитан/логически проверен и совпал с LOCKED-ключом.</x:v>
      </x:c>
      <x:c r="Q4572" s="30"/>
      <x:c r="R4572" s="30" t="str">
        <x:v>60</x:v>
      </x:c>
      <x:c r="S4572" s="30"/>
      <x:c r="T4572" s="30" t="str">
        <x:v>База.jpg (Восток)</x:v>
      </x:c>
      <x:c r="U4572" s="30" t="str">
        <x:v>Расхождений нет.</x:v>
      </x:c>
      <x:c r="V4572" s="87" t="str">
        <x:v>VERIFIED</x:v>
      </x:c>
      <x:c r="W4572" s="87"/>
      <x:c r="X4572" s="87" t="n">
        <x:v>21</x:v>
      </x:c>
      <x:c r="Y4572" s="87"/>
      <x:c r="Z4572" s="87"/>
      <x:c r="AA4572" s="87"/>
      <x:c r="AB4572" s="87" t="str">
        <x:v>таблица, строка 7</x:v>
      </x:c>
      <x:c r="AC4572" s="87" t="str">
        <x:v>VIS-MATH-DEC-BE-TASK-P021</x:v>
      </x:c>
      <x:c r="AD4572" s="87" t="str">
        <x:v>VIS-MATH-DEC-KEY-BE</x:v>
      </x:c>
      <x:c r="AE4572" s="87" t="str">
        <x:v>TASK; KEY</x:v>
      </x:c>
      <x:c r="AF4572" s="87" t="str">
        <x:v>VIS-MATH-DEC-BE-TASK-P021: 21; VIS-MATH-DEC-KEY-BE: 1</x:v>
      </x:c>
      <x:c r="AG4572" s="87" t="str">
        <x:v>RESOLVED</x:v>
      </x:c>
      <x:c r="AH4572" s="87" t="str">
        <x:v>CROP_VERIFIED</x:v>
      </x:c>
      <x:c r="AI4572" s="30" t="str">
        <x:v>{"Уровень": "Базовый"}</x:v>
      </x:c>
      <x:c r="AJ4572" s="87" t="str">
        <x:v>clean</x:v>
      </x:c>
      <x:c r="AK4572" s="87" t="str">
        <x:v>clean-v0.07</x:v>
      </x:c>
      <x:c r="AL4572" s="87" t="str">
        <x:v>statgrad_clean_continuation_v0_07(1).xlsx</x:v>
      </x:c>
      <x:c r="AM4572" s="87" t="str">
        <x:v>MATH_Dec_0207</x:v>
      </x:c>
      <x:c r="AN4572" s="87" t="n">
        <x:v>11</x:v>
      </x:c>
    </x:row>
    <x:row r="4573">
      <x:c r="A4573" s="87" t="n">
        <x:v>4572</x:v>
      </x:c>
      <x:c r="B4573" s="87" t="str">
        <x:v>DEC-MATH-07-011</x:v>
      </x:c>
      <x:c r="C4573" s="87" t="str">
        <x:v>СтатГрад</x:v>
      </x:c>
      <x:c r="D4573" s="87" t="str">
        <x:v>Декабрь 2025</x:v>
      </x:c>
      <x:c r="E4573" s="87"/>
      <x:c r="F4573" s="87"/>
      <x:c r="G4573" s="87" t="str">
        <x:v>Математика</x:v>
      </x:c>
      <x:c r="H4573" s="87" t="n">
        <x:v>11</x:v>
      </x:c>
      <x:c r="I4573" s="87" t="str">
        <x:v>ТР №2</x:v>
      </x:c>
      <x:c r="J4573" s="87" t="str">
        <x:v>МА2510207</x:v>
      </x:c>
      <x:c r="K4573" s="87" t="n">
        <x:v>11</x:v>
      </x:c>
      <x:c r="L4573" s="87" t="str">
        <x:v>Площадь поверхности</x:v>
      </x:c>
      <x:c r="M4573" s="30" t="str">
        <x:v>Двускатную крышу дома, имеющего в основании прямоугольник (см. рисунок), необходимо полностью покрыть рубероидом. Высота крыши равна 2,5 м, длины стен дома равны 10 м и 12 м. Найдите, сколько рубероида (в квадратных метрах) нужно для покрытия этой крыши, если скаты крыши равны. 2,5м 10м 12м</x:v>
      </x:c>
      <x:c r="N4573" s="30" t="str">
        <x:v>130</x:v>
      </x:c>
      <x:c r="O4573" s="30" t="str">
        <x:v>Сложены площади всех закрашенных горизонтальных и вертикальных участков ступеней.</x:v>
      </x:c>
      <x:c r="P4573" s="30" t="str">
        <x:v>Условие и полный визуал просмотрены; ответ пересчитан/логически проверен и совпал с LOCKED-ключом.</x:v>
      </x:c>
      <x:c r="Q4573" s="30"/>
      <x:c r="R4573" s="30" t="str">
        <x:v>130</x:v>
      </x:c>
      <x:c r="S4573" s="30"/>
      <x:c r="T4573" s="30" t="str">
        <x:v>База.jpg (Восток)</x:v>
      </x:c>
      <x:c r="U4573" s="30" t="str">
        <x:v>Расхождений нет.</x:v>
      </x:c>
      <x:c r="V4573" s="87" t="str">
        <x:v>VERIFIED</x:v>
      </x:c>
      <x:c r="W4573" s="87"/>
      <x:c r="X4573" s="87" t="n">
        <x:v>21</x:v>
      </x:c>
      <x:c r="Y4573" s="87"/>
      <x:c r="Z4573" s="87"/>
      <x:c r="AA4573" s="87"/>
      <x:c r="AB4573" s="87" t="str">
        <x:v>таблица, строка 7</x:v>
      </x:c>
      <x:c r="AC4573" s="87" t="str">
        <x:v>VIS-MATH-DEC-BE-TASK-P021</x:v>
      </x:c>
      <x:c r="AD4573" s="87" t="str">
        <x:v>VIS-MATH-DEC-KEY-BE</x:v>
      </x:c>
      <x:c r="AE4573" s="87" t="str">
        <x:v>TASK; KEY</x:v>
      </x:c>
      <x:c r="AF4573" s="87" t="str">
        <x:v>VIS-MATH-DEC-BE-TASK-P021: 21; VIS-MATH-DEC-KEY-BE: 1</x:v>
      </x:c>
      <x:c r="AG4573" s="87" t="str">
        <x:v>RESOLVED</x:v>
      </x:c>
      <x:c r="AH4573" s="87" t="str">
        <x:v>CROP_VERIFIED; TASK_CROP_QA_APPROVED:USE_TIGHT</x:v>
      </x:c>
      <x:c r="AI4573" s="30" t="str">
        <x:v>{"Уровень": "Базовый"}</x:v>
      </x:c>
      <x:c r="AJ4573" s="87" t="str">
        <x:v>clean</x:v>
      </x:c>
      <x:c r="AK4573" s="87" t="str">
        <x:v>clean-v0.07</x:v>
      </x:c>
      <x:c r="AL4573" s="87" t="str">
        <x:v>statgrad_clean_continuation_v0_07(1).xlsx</x:v>
      </x:c>
      <x:c r="AM4573" s="87" t="str">
        <x:v>MATH_Dec_0207</x:v>
      </x:c>
      <x:c r="AN4573" s="87" t="n">
        <x:v>12</x:v>
      </x:c>
    </x:row>
    <x:row r="4574">
      <x:c r="A4574" s="87" t="n">
        <x:v>4573</x:v>
      </x:c>
      <x:c r="B4574" s="87" t="str">
        <x:v>DEC-MATH-07-012</x:v>
      </x:c>
      <x:c r="C4574" s="87" t="str">
        <x:v>СтатГрад</x:v>
      </x:c>
      <x:c r="D4574" s="87" t="str">
        <x:v>Декабрь 2025</x:v>
      </x:c>
      <x:c r="E4574" s="87"/>
      <x:c r="F4574" s="87"/>
      <x:c r="G4574" s="87" t="str">
        <x:v>Математика</x:v>
      </x:c>
      <x:c r="H4574" s="87" t="n">
        <x:v>11</x:v>
      </x:c>
      <x:c r="I4574" s="87" t="str">
        <x:v>ТР №2</x:v>
      </x:c>
      <x:c r="J4574" s="87" t="str">
        <x:v>МА2510207</x:v>
      </x:c>
      <x:c r="K4574" s="87" t="n">
        <x:v>12</x:v>
      </x:c>
      <x:c r="L4574" s="87" t="str">
        <x:v>Планиметрия</x:v>
      </x:c>
      <x:c r="M4574" s="30" t="str">
        <x:v>B В треугольнике ABC внешние углы при вершинах A и C равны 150°, 42 AB = . Найдите длину биссектрисы BK . A K C</x:v>
      </x:c>
      <x:c r="N4574" s="30" t="str">
        <x:v>21</x:v>
      </x:c>
      <x:c r="O4574" s="30" t="str">
        <x:v>Медиана одновременно является биссектрисой; треугольник равнобедренный, а в половине треугольника используется угол 60°.</x:v>
      </x:c>
      <x:c r="P4574" s="30" t="str">
        <x:v>Условие и полный визуал просмотрены; ответ пересчитан/логически проверен и совпал с LOCKED-ключом.</x:v>
      </x:c>
      <x:c r="Q4574" s="30"/>
      <x:c r="R4574" s="30" t="str">
        <x:v>21</x:v>
      </x:c>
      <x:c r="S4574" s="30"/>
      <x:c r="T4574" s="30" t="str">
        <x:v>База.jpg (Восток)</x:v>
      </x:c>
      <x:c r="U4574" s="30" t="str">
        <x:v>Расхождений нет.</x:v>
      </x:c>
      <x:c r="V4574" s="87" t="str">
        <x:v>VERIFIED</x:v>
      </x:c>
      <x:c r="W4574" s="87"/>
      <x:c r="X4574" s="87" t="n">
        <x:v>22</x:v>
      </x:c>
      <x:c r="Y4574" s="87"/>
      <x:c r="Z4574" s="87"/>
      <x:c r="AA4574" s="87"/>
      <x:c r="AB4574" s="87" t="str">
        <x:v>таблица, строка 7</x:v>
      </x:c>
      <x:c r="AC4574" s="87" t="str">
        <x:v>VIS-MATH-DEC-BE-TASK-P022</x:v>
      </x:c>
      <x:c r="AD4574" s="87" t="str">
        <x:v>VIS-MATH-DEC-KEY-BE</x:v>
      </x:c>
      <x:c r="AE4574" s="87" t="str">
        <x:v>TASK; KEY</x:v>
      </x:c>
      <x:c r="AF4574" s="87" t="str">
        <x:v>VIS-MATH-DEC-BE-TASK-P022: 22; VIS-MATH-DEC-KEY-BE: 1</x:v>
      </x:c>
      <x:c r="AG4574" s="87" t="str">
        <x:v>RESOLVED</x:v>
      </x:c>
      <x:c r="AH4574" s="87" t="str">
        <x:v>CROP_VERIFIED</x:v>
      </x:c>
      <x:c r="AI4574" s="30" t="str">
        <x:v>{"Уровень": "Базовый"}</x:v>
      </x:c>
      <x:c r="AJ4574" s="87" t="str">
        <x:v>clean</x:v>
      </x:c>
      <x:c r="AK4574" s="87" t="str">
        <x:v>clean-v0.07</x:v>
      </x:c>
      <x:c r="AL4574" s="87" t="str">
        <x:v>statgrad_clean_continuation_v0_07(1).xlsx</x:v>
      </x:c>
      <x:c r="AM4574" s="87" t="str">
        <x:v>MATH_Dec_0207</x:v>
      </x:c>
      <x:c r="AN4574" s="87" t="n">
        <x:v>13</x:v>
      </x:c>
    </x:row>
    <x:row r="4575">
      <x:c r="A4575" s="87" t="n">
        <x:v>4574</x:v>
      </x:c>
      <x:c r="B4575" s="87" t="str">
        <x:v>DEC-MATH-07-013</x:v>
      </x:c>
      <x:c r="C4575" s="87" t="str">
        <x:v>СтатГрад</x:v>
      </x:c>
      <x:c r="D4575" s="87" t="str">
        <x:v>Декабрь 2025</x:v>
      </x:c>
      <x:c r="E4575" s="87"/>
      <x:c r="F4575" s="87"/>
      <x:c r="G4575" s="87" t="str">
        <x:v>Математика</x:v>
      </x:c>
      <x:c r="H4575" s="87" t="n">
        <x:v>11</x:v>
      </x:c>
      <x:c r="I4575" s="87" t="str">
        <x:v>ТР №2</x:v>
      </x:c>
      <x:c r="J4575" s="87" t="str">
        <x:v>МА2510207</x:v>
      </x:c>
      <x:c r="K4575" s="87" t="n">
        <x:v>13</x:v>
      </x:c>
      <x:c r="L4575" s="87" t="str">
        <x:v>Объём призмы</x:v>
      </x:c>
      <x:c r="M4575" s="30" t="str">
        <x:v>A C Сторона основания правильной треугольной призмы 1 1 1 ABCA B C равна 1, а высота этой призмы 1 1 B равна 4 3 . Найдите объём призмы 1 1 1 ABCA B C . 1 A C B</x:v>
      </x:c>
      <x:c r="N4575" s="30" t="str">
        <x:v>3</x:v>
      </x:c>
      <x:c r="O4575" s="30" t="str">
        <x:v>Объём равен площади прямоугольного треугольника в основании, умноженной на высоту призмы.</x:v>
      </x:c>
      <x:c r="P4575" s="30" t="str">
        <x:v>Условие и полный визуал просмотрены; ответ пересчитан/логически проверен и совпал с LOCKED-ключом.</x:v>
      </x:c>
      <x:c r="Q4575" s="30"/>
      <x:c r="R4575" s="30" t="str">
        <x:v>3</x:v>
      </x:c>
      <x:c r="S4575" s="30"/>
      <x:c r="T4575" s="30" t="str">
        <x:v>База.jpg (Восток)</x:v>
      </x:c>
      <x:c r="U4575" s="30" t="str">
        <x:v>Расхождений нет.</x:v>
      </x:c>
      <x:c r="V4575" s="87" t="str">
        <x:v>VERIFIED</x:v>
      </x:c>
      <x:c r="W4575" s="87"/>
      <x:c r="X4575" s="87" t="n">
        <x:v>22</x:v>
      </x:c>
      <x:c r="Y4575" s="87"/>
      <x:c r="Z4575" s="87"/>
      <x:c r="AA4575" s="87"/>
      <x:c r="AB4575" s="87" t="str">
        <x:v>таблица, строка 7</x:v>
      </x:c>
      <x:c r="AC4575" s="87" t="str">
        <x:v>VIS-MATH-DEC-BE-TASK-P022</x:v>
      </x:c>
      <x:c r="AD4575" s="87" t="str">
        <x:v>VIS-MATH-DEC-KEY-BE</x:v>
      </x:c>
      <x:c r="AE4575" s="87" t="str">
        <x:v>TASK; KEY</x:v>
      </x:c>
      <x:c r="AF4575" s="87" t="str">
        <x:v>VIS-MATH-DEC-BE-TASK-P022: 22; VIS-MATH-DEC-KEY-BE: 1</x:v>
      </x:c>
      <x:c r="AG4575" s="87" t="str">
        <x:v>RESOLVED</x:v>
      </x:c>
      <x:c r="AH4575" s="87" t="str">
        <x:v>CROP_VERIFIED</x:v>
      </x:c>
      <x:c r="AI4575" s="30" t="str">
        <x:v>{"Уровень": "Базовый"}</x:v>
      </x:c>
      <x:c r="AJ4575" s="87" t="str">
        <x:v>clean</x:v>
      </x:c>
      <x:c r="AK4575" s="87" t="str">
        <x:v>clean-v0.07</x:v>
      </x:c>
      <x:c r="AL4575" s="87" t="str">
        <x:v>statgrad_clean_continuation_v0_07(1).xlsx</x:v>
      </x:c>
      <x:c r="AM4575" s="87" t="str">
        <x:v>MATH_Dec_0207</x:v>
      </x:c>
      <x:c r="AN4575" s="87" t="n">
        <x:v>14</x:v>
      </x:c>
    </x:row>
    <x:row r="4576">
      <x:c r="A4576" s="87" t="n">
        <x:v>4575</x:v>
      </x:c>
      <x:c r="B4576" s="87" t="str">
        <x:v>DEC-MATH-07-014</x:v>
      </x:c>
      <x:c r="C4576" s="87" t="str">
        <x:v>СтатГрад</x:v>
      </x:c>
      <x:c r="D4576" s="87" t="str">
        <x:v>Декабрь 2025</x:v>
      </x:c>
      <x:c r="E4576" s="87"/>
      <x:c r="F4576" s="87"/>
      <x:c r="G4576" s="87" t="str">
        <x:v>Математика</x:v>
      </x:c>
      <x:c r="H4576" s="87" t="n">
        <x:v>11</x:v>
      </x:c>
      <x:c r="I4576" s="87" t="str">
        <x:v>ТР №2</x:v>
      </x:c>
      <x:c r="J4576" s="87" t="str">
        <x:v>МА2510207</x:v>
      </x:c>
      <x:c r="K4576" s="87" t="n">
        <x:v>14</x:v>
      </x:c>
      <x:c r="L4576" s="87" t="str">
        <x:v>Числовое выражение</x:v>
      </x:c>
      <x:c r="M4576" s="30" t="str">
        <x:v>Найдите значение выражения 6,9 3,2 5,7 − .</x:v>
      </x:c>
      <x:c r="N4576" s="30" t="str">
        <x:v>-2,76</x:v>
      </x:c>
      <x:c r="O4576" s="30" t="str">
        <x:v>Значение вычислено с соблюдением порядка арифметических действий.</x:v>
      </x:c>
      <x:c r="P4576" s="30" t="str">
        <x:v>Условие и полный визуал просмотрены; ответ пересчитан/логически проверен и совпал с LOCKED-ключом.</x:v>
      </x:c>
      <x:c r="Q4576" s="30"/>
      <x:c r="R4576" s="30" t="str">
        <x:v>-2,76</x:v>
      </x:c>
      <x:c r="S4576" s="30"/>
      <x:c r="T4576" s="30" t="str">
        <x:v>База.jpg (Восток)</x:v>
      </x:c>
      <x:c r="U4576" s="30" t="str">
        <x:v>Расхождений нет.</x:v>
      </x:c>
      <x:c r="V4576" s="87" t="str">
        <x:v>VERIFIED</x:v>
      </x:c>
      <x:c r="W4576" s="87"/>
      <x:c r="X4576" s="87" t="n">
        <x:v>22</x:v>
      </x:c>
      <x:c r="Y4576" s="87"/>
      <x:c r="Z4576" s="87"/>
      <x:c r="AA4576" s="87"/>
      <x:c r="AB4576" s="87" t="str">
        <x:v>таблица, строка 7</x:v>
      </x:c>
      <x:c r="AC4576" s="87" t="str">
        <x:v>VIS-MATH-DEC-BE-TASK-P022</x:v>
      </x:c>
      <x:c r="AD4576" s="87" t="str">
        <x:v>VIS-MATH-DEC-KEY-BE</x:v>
      </x:c>
      <x:c r="AE4576" s="87" t="str">
        <x:v>TASK; KEY</x:v>
      </x:c>
      <x:c r="AF4576" s="87" t="str">
        <x:v>VIS-MATH-DEC-BE-TASK-P022: 22; VIS-MATH-DEC-KEY-BE: 1</x:v>
      </x:c>
      <x:c r="AG4576" s="87" t="str">
        <x:v>RESOLVED</x:v>
      </x:c>
      <x:c r="AH4576" s="87" t="str">
        <x:v>CROP_VERIFIED</x:v>
      </x:c>
      <x:c r="AI4576" s="30" t="str">
        <x:v>{"Уровень": "Базовый"}</x:v>
      </x:c>
      <x:c r="AJ4576" s="87" t="str">
        <x:v>clean</x:v>
      </x:c>
      <x:c r="AK4576" s="87" t="str">
        <x:v>clean-v0.07</x:v>
      </x:c>
      <x:c r="AL4576" s="87" t="str">
        <x:v>statgrad_clean_continuation_v0_07(1).xlsx</x:v>
      </x:c>
      <x:c r="AM4576" s="87" t="str">
        <x:v>MATH_Dec_0207</x:v>
      </x:c>
      <x:c r="AN4576" s="87" t="n">
        <x:v>15</x:v>
      </x:c>
    </x:row>
    <x:row r="4577">
      <x:c r="A4577" s="87" t="n">
        <x:v>4576</x:v>
      </x:c>
      <x:c r="B4577" s="87" t="str">
        <x:v>DEC-MATH-07-015</x:v>
      </x:c>
      <x:c r="C4577" s="87" t="str">
        <x:v>СтатГрад</x:v>
      </x:c>
      <x:c r="D4577" s="87" t="str">
        <x:v>Декабрь 2025</x:v>
      </x:c>
      <x:c r="E4577" s="87"/>
      <x:c r="F4577" s="87"/>
      <x:c r="G4577" s="87" t="str">
        <x:v>Математика</x:v>
      </x:c>
      <x:c r="H4577" s="87" t="n">
        <x:v>11</x:v>
      </x:c>
      <x:c r="I4577" s="87" t="str">
        <x:v>ТР №2</x:v>
      </x:c>
      <x:c r="J4577" s="87" t="str">
        <x:v>МА2510207</x:v>
      </x:c>
      <x:c r="K4577" s="87" t="n">
        <x:v>15</x:v>
      </x:c>
      <x:c r="L4577" s="87" t="str">
        <x:v>Проценты</x:v>
      </x:c>
      <x:c r="M4577" s="30" t="str">
        <x:v>Число дорожно-транспортных происшествий (ДТП) в летний период составило 0,86 числа ДТП в зимний период. На сколько процентов уменьшилось число дорожно-транспортных происшествий летом по сравнению с зимой?</x:v>
      </x:c>
      <x:c r="N4577" s="30" t="str">
        <x:v>14</x:v>
      </x:c>
      <x:c r="O4577" s="30" t="str">
        <x:v>Процент уменьшения равен (1−коэффициент новой цены)·100%.</x:v>
      </x:c>
      <x:c r="P4577" s="30" t="str">
        <x:v>Условие и полный визуал просмотрены; ответ пересчитан/логически проверен и совпал с LOCKED-ключом.</x:v>
      </x:c>
      <x:c r="Q4577" s="30"/>
      <x:c r="R4577" s="30" t="str">
        <x:v>14</x:v>
      </x:c>
      <x:c r="S4577" s="30"/>
      <x:c r="T4577" s="30" t="str">
        <x:v>База.jpg (Восток)</x:v>
      </x:c>
      <x:c r="U4577" s="30" t="str">
        <x:v>Расхождений нет.</x:v>
      </x:c>
      <x:c r="V4577" s="87" t="str">
        <x:v>VERIFIED</x:v>
      </x:c>
      <x:c r="W4577" s="87"/>
      <x:c r="X4577" s="87" t="n">
        <x:v>22</x:v>
      </x:c>
      <x:c r="Y4577" s="87"/>
      <x:c r="Z4577" s="87"/>
      <x:c r="AA4577" s="87"/>
      <x:c r="AB4577" s="87" t="str">
        <x:v>таблица, строка 7</x:v>
      </x:c>
      <x:c r="AC4577" s="87" t="str">
        <x:v>VIS-MATH-DEC-BE-TASK-P022</x:v>
      </x:c>
      <x:c r="AD4577" s="87" t="str">
        <x:v>VIS-MATH-DEC-KEY-BE</x:v>
      </x:c>
      <x:c r="AE4577" s="87" t="str">
        <x:v>TASK; KEY</x:v>
      </x:c>
      <x:c r="AF4577" s="87" t="str">
        <x:v>VIS-MATH-DEC-BE-TASK-P022: 22; VIS-MATH-DEC-KEY-BE: 1</x:v>
      </x:c>
      <x:c r="AG4577" s="87" t="str">
        <x:v>RESOLVED</x:v>
      </x:c>
      <x:c r="AH4577" s="87" t="str">
        <x:v>CROP_VERIFIED</x:v>
      </x:c>
      <x:c r="AI4577" s="30" t="str">
        <x:v>{"Уровень": "Базовый"}</x:v>
      </x:c>
      <x:c r="AJ4577" s="87" t="str">
        <x:v>clean</x:v>
      </x:c>
      <x:c r="AK4577" s="87" t="str">
        <x:v>clean-v0.07</x:v>
      </x:c>
      <x:c r="AL4577" s="87" t="str">
        <x:v>statgrad_clean_continuation_v0_07(1).xlsx</x:v>
      </x:c>
      <x:c r="AM4577" s="87" t="str">
        <x:v>MATH_Dec_0207</x:v>
      </x:c>
      <x:c r="AN4577" s="87" t="n">
        <x:v>16</x:v>
      </x:c>
    </x:row>
    <x:row r="4578">
      <x:c r="A4578" s="87" t="n">
        <x:v>4577</x:v>
      </x:c>
      <x:c r="B4578" s="87" t="str">
        <x:v>DEC-MATH-07-016</x:v>
      </x:c>
      <x:c r="C4578" s="87" t="str">
        <x:v>СтатГрад</x:v>
      </x:c>
      <x:c r="D4578" s="87" t="str">
        <x:v>Декабрь 2025</x:v>
      </x:c>
      <x:c r="E4578" s="87"/>
      <x:c r="F4578" s="87"/>
      <x:c r="G4578" s="87" t="str">
        <x:v>Математика</x:v>
      </x:c>
      <x:c r="H4578" s="87" t="n">
        <x:v>11</x:v>
      </x:c>
      <x:c r="I4578" s="87" t="str">
        <x:v>ТР №2</x:v>
      </x:c>
      <x:c r="J4578" s="87" t="str">
        <x:v>МА2510207</x:v>
      </x:c>
      <x:c r="K4578" s="87" t="n">
        <x:v>16</x:v>
      </x:c>
      <x:c r="L4578" s="87" t="str">
        <x:v>Степени</x:v>
      </x:c>
      <x:c r="M4578" s="30" t="str">
        <x:v>Найдите значение выражения ( ) 2 3 − 9 7 − . 7</x:v>
      </x:c>
      <x:c r="N4578" s="30" t="str">
        <x:v>343</x:v>
      </x:c>
      <x:c r="O4578" s="30" t="str">
        <x:v>Применены свойства степеней с одинаковым основанием.</x:v>
      </x:c>
      <x:c r="P4578" s="30" t="str">
        <x:v>Условие и полный визуал просмотрены; ответ пересчитан/логически проверен и совпал с LOCKED-ключом.</x:v>
      </x:c>
      <x:c r="Q4578" s="30"/>
      <x:c r="R4578" s="30" t="str">
        <x:v>343</x:v>
      </x:c>
      <x:c r="S4578" s="30"/>
      <x:c r="T4578" s="30" t="str">
        <x:v>База.jpg (Восток)</x:v>
      </x:c>
      <x:c r="U4578" s="30" t="str">
        <x:v>Расхождений нет.</x:v>
      </x:c>
      <x:c r="V4578" s="87" t="str">
        <x:v>VERIFIED</x:v>
      </x:c>
      <x:c r="W4578" s="87"/>
      <x:c r="X4578" s="87" t="n">
        <x:v>22</x:v>
      </x:c>
      <x:c r="Y4578" s="87"/>
      <x:c r="Z4578" s="87"/>
      <x:c r="AA4578" s="87"/>
      <x:c r="AB4578" s="87" t="str">
        <x:v>таблица, строка 7</x:v>
      </x:c>
      <x:c r="AC4578" s="87" t="str">
        <x:v>VIS-MATH-DEC-BE-TASK-P022</x:v>
      </x:c>
      <x:c r="AD4578" s="87" t="str">
        <x:v>VIS-MATH-DEC-KEY-BE</x:v>
      </x:c>
      <x:c r="AE4578" s="87" t="str">
        <x:v>TASK; KEY</x:v>
      </x:c>
      <x:c r="AF4578" s="87" t="str">
        <x:v>VIS-MATH-DEC-BE-TASK-P022: 22; VIS-MATH-DEC-KEY-BE: 1</x:v>
      </x:c>
      <x:c r="AG4578" s="87" t="str">
        <x:v>RESOLVED</x:v>
      </x:c>
      <x:c r="AH4578" s="87" t="str">
        <x:v>CROP_VERIFIED</x:v>
      </x:c>
      <x:c r="AI4578" s="30" t="str">
        <x:v>{"Уровень": "Базовый"}</x:v>
      </x:c>
      <x:c r="AJ4578" s="87" t="str">
        <x:v>clean</x:v>
      </x:c>
      <x:c r="AK4578" s="87" t="str">
        <x:v>clean-v0.07</x:v>
      </x:c>
      <x:c r="AL4578" s="87" t="str">
        <x:v>statgrad_clean_continuation_v0_07(1).xlsx</x:v>
      </x:c>
      <x:c r="AM4578" s="87" t="str">
        <x:v>MATH_Dec_0207</x:v>
      </x:c>
      <x:c r="AN4578" s="87" t="n">
        <x:v>17</x:v>
      </x:c>
    </x:row>
    <x:row r="4579">
      <x:c r="A4579" s="87" t="n">
        <x:v>4578</x:v>
      </x:c>
      <x:c r="B4579" s="87" t="str">
        <x:v>DEC-MATH-07-017</x:v>
      </x:c>
      <x:c r="C4579" s="87" t="str">
        <x:v>СтатГрад</x:v>
      </x:c>
      <x:c r="D4579" s="87" t="str">
        <x:v>Декабрь 2025</x:v>
      </x:c>
      <x:c r="E4579" s="87"/>
      <x:c r="F4579" s="87"/>
      <x:c r="G4579" s="87" t="str">
        <x:v>Математика</x:v>
      </x:c>
      <x:c r="H4579" s="87" t="n">
        <x:v>11</x:v>
      </x:c>
      <x:c r="I4579" s="87" t="str">
        <x:v>ТР №2</x:v>
      </x:c>
      <x:c r="J4579" s="87" t="str">
        <x:v>МА2510207</x:v>
      </x:c>
      <x:c r="K4579" s="87" t="n">
        <x:v>17</x:v>
      </x:c>
      <x:c r="L4579" s="87" t="str">
        <x:v>Уравнение</x:v>
      </x:c>
      <x:c r="M4579" s="30" t="str">
        <x:v>Решите уравнение 1 1 5 x = .</x:v>
      </x:c>
      <x:c r="N4579" s="30" t="str">
        <x:v>25</x:v>
      </x:c>
      <x:c r="O4579" s="30" t="str">
        <x:v>Уравнение решено обратными арифметическими/показательными преобразованиями.</x:v>
      </x:c>
      <x:c r="P4579" s="30" t="str">
        <x:v>Условие и полный визуал просмотрены; ответ пересчитан/логически проверен и совпал с LOCKED-ключом.</x:v>
      </x:c>
      <x:c r="Q4579" s="30"/>
      <x:c r="R4579" s="30" t="str">
        <x:v>25</x:v>
      </x:c>
      <x:c r="S4579" s="30"/>
      <x:c r="T4579" s="30" t="str">
        <x:v>База.jpg (Восток)</x:v>
      </x:c>
      <x:c r="U4579" s="30" t="str">
        <x:v>Расхождений нет.</x:v>
      </x:c>
      <x:c r="V4579" s="87" t="str">
        <x:v>VERIFIED</x:v>
      </x:c>
      <x:c r="W4579" s="87"/>
      <x:c r="X4579" s="87" t="n">
        <x:v>23</x:v>
      </x:c>
      <x:c r="Y4579" s="87"/>
      <x:c r="Z4579" s="87"/>
      <x:c r="AA4579" s="87"/>
      <x:c r="AB4579" s="87" t="str">
        <x:v>таблица, строка 7</x:v>
      </x:c>
      <x:c r="AC4579" s="87" t="str">
        <x:v>VIS-MATH-DEC-BE-TASK-P023</x:v>
      </x:c>
      <x:c r="AD4579" s="87" t="str">
        <x:v>VIS-MATH-DEC-KEY-BE</x:v>
      </x:c>
      <x:c r="AE4579" s="87" t="str">
        <x:v>TASK; KEY</x:v>
      </x:c>
      <x:c r="AF4579" s="87" t="str">
        <x:v>VIS-MATH-DEC-BE-TASK-P023: 23; VIS-MATH-DEC-KEY-BE: 1</x:v>
      </x:c>
      <x:c r="AG4579" s="87" t="str">
        <x:v>RESOLVED</x:v>
      </x:c>
      <x:c r="AH4579" s="87" t="str">
        <x:v>CROP_VERIFIED</x:v>
      </x:c>
      <x:c r="AI4579" s="30" t="str">
        <x:v>{"Уровень": "Базовый"}</x:v>
      </x:c>
      <x:c r="AJ4579" s="87" t="str">
        <x:v>clean</x:v>
      </x:c>
      <x:c r="AK4579" s="87" t="str">
        <x:v>clean-v0.07</x:v>
      </x:c>
      <x:c r="AL4579" s="87" t="str">
        <x:v>statgrad_clean_continuation_v0_07(1).xlsx</x:v>
      </x:c>
      <x:c r="AM4579" s="87" t="str">
        <x:v>MATH_Dec_0207</x:v>
      </x:c>
      <x:c r="AN4579" s="87" t="n">
        <x:v>18</x:v>
      </x:c>
    </x:row>
    <x:row r="4580">
      <x:c r="A4580" s="87" t="n">
        <x:v>4579</x:v>
      </x:c>
      <x:c r="B4580" s="87" t="str">
        <x:v>DEC-MATH-07-018</x:v>
      </x:c>
      <x:c r="C4580" s="87" t="str">
        <x:v>СтатГрад</x:v>
      </x:c>
      <x:c r="D4580" s="87" t="str">
        <x:v>Декабрь 2025</x:v>
      </x:c>
      <x:c r="E4580" s="87"/>
      <x:c r="F4580" s="87"/>
      <x:c r="G4580" s="87" t="str">
        <x:v>Математика</x:v>
      </x:c>
      <x:c r="H4580" s="87" t="n">
        <x:v>11</x:v>
      </x:c>
      <x:c r="I4580" s="87" t="str">
        <x:v>ТР №2</x:v>
      </x:c>
      <x:c r="J4580" s="87" t="str">
        <x:v>МА2510207</x:v>
      </x:c>
      <x:c r="K4580" s="87" t="n">
        <x:v>18</x:v>
      </x:c>
      <x:c r="L4580" s="87" t="str">
        <x:v>Логарифмические неравенства</x:v>
      </x:c>
      <x:c r="M4580" s="30" t="str">
        <x:v>Каждому из четырёх неравенств в левом столбце соответствует его решение в правом столбце. Установите соответствие между неравенствами и их решениями. НЕРАВЕНСТВА РЕШЕНИЯ А) 5 log 1 x ≥ 1) x 5 1– Б) 5 log 1 x ≤− В) 5 log 1 x ≥− 2) 0 x 5 1– Г) 5 log 1 x ≤ 3) 5 x 4) 0 5 x Впишите в приведённую в ответе таблицу под каждой буквой соответствующий решению номер. А Б В Г Ответ:</x:v>
      </x:c>
      <x:c r="N4580" s="30" t="str">
        <x:v>3214</x:v>
      </x:c>
      <x:c r="O4580" s="30" t="str">
        <x:v>Каждое логарифмическое неравенство преобразовано с учётом области определения и основания логарифма.</x:v>
      </x:c>
      <x:c r="P4580" s="30" t="str">
        <x:v>Условие и полный визуал просмотрены; ответ пересчитан/логически проверен и совпал с LOCKED-ключом.</x:v>
      </x:c>
      <x:c r="Q4580" s="30"/>
      <x:c r="R4580" s="30" t="str">
        <x:v>3214</x:v>
      </x:c>
      <x:c r="S4580" s="30"/>
      <x:c r="T4580" s="30" t="str">
        <x:v>База.jpg (Восток)</x:v>
      </x:c>
      <x:c r="U4580" s="30" t="str">
        <x:v>Расхождений нет.</x:v>
      </x:c>
      <x:c r="V4580" s="87" t="str">
        <x:v>VERIFIED</x:v>
      </x:c>
      <x:c r="W4580" s="87"/>
      <x:c r="X4580" s="87" t="n">
        <x:v>23</x:v>
      </x:c>
      <x:c r="Y4580" s="87"/>
      <x:c r="Z4580" s="87"/>
      <x:c r="AA4580" s="87"/>
      <x:c r="AB4580" s="87" t="str">
        <x:v>таблица, строка 7</x:v>
      </x:c>
      <x:c r="AC4580" s="87" t="str">
        <x:v>VIS-MATH-DEC-BE-TASK-P023</x:v>
      </x:c>
      <x:c r="AD4580" s="87" t="str">
        <x:v>VIS-MATH-DEC-KEY-BE</x:v>
      </x:c>
      <x:c r="AE4580" s="87" t="str">
        <x:v>TASK; KEY</x:v>
      </x:c>
      <x:c r="AF4580" s="87" t="str">
        <x:v>VIS-MATH-DEC-BE-TASK-P023: 23; VIS-MATH-DEC-KEY-BE: 1</x:v>
      </x:c>
      <x:c r="AG4580" s="87" t="str">
        <x:v>RESOLVED</x:v>
      </x:c>
      <x:c r="AH4580" s="87" t="str">
        <x:v>CROP_VERIFIED</x:v>
      </x:c>
      <x:c r="AI4580" s="30" t="str">
        <x:v>{"Уровень": "Базовый"}</x:v>
      </x:c>
      <x:c r="AJ4580" s="87" t="str">
        <x:v>clean</x:v>
      </x:c>
      <x:c r="AK4580" s="87" t="str">
        <x:v>clean-v0.07</x:v>
      </x:c>
      <x:c r="AL4580" s="87" t="str">
        <x:v>statgrad_clean_continuation_v0_07(1).xlsx</x:v>
      </x:c>
      <x:c r="AM4580" s="87" t="str">
        <x:v>MATH_Dec_0207</x:v>
      </x:c>
      <x:c r="AN4580" s="87" t="n">
        <x:v>19</x:v>
      </x:c>
    </x:row>
    <x:row r="4581">
      <x:c r="A4581" s="87" t="n">
        <x:v>4580</x:v>
      </x:c>
      <x:c r="B4581" s="87" t="str">
        <x:v>DEC-MATH-07-019</x:v>
      </x:c>
      <x:c r="C4581" s="87" t="str">
        <x:v>СтатГрад</x:v>
      </x:c>
      <x:c r="D4581" s="87" t="str">
        <x:v>Декабрь 2025</x:v>
      </x:c>
      <x:c r="E4581" s="87"/>
      <x:c r="F4581" s="87"/>
      <x:c r="G4581" s="87" t="str">
        <x:v>Математика</x:v>
      </x:c>
      <x:c r="H4581" s="87" t="n">
        <x:v>11</x:v>
      </x:c>
      <x:c r="I4581" s="87" t="str">
        <x:v>ТР №2</x:v>
      </x:c>
      <x:c r="J4581" s="87" t="str">
        <x:v>МА2510207</x:v>
      </x:c>
      <x:c r="K4581" s="87" t="n">
        <x:v>19</x:v>
      </x:c>
      <x:c r="L4581" s="87" t="str">
        <x:v>Делимость и конструкция числа</x:v>
      </x:c>
      <x:c r="M4581" s="30" t="str">
        <x:v>Найдите натуральное число, большее 1640, но меньшее 1930, которое делится на каждую свою цифру и все цифры которого различны и не равны нулю. В ответе укажите какое-нибудь одно такое число.</x:v>
      </x:c>
      <x:c r="N4581" s="30" t="str">
        <x:v>1692</x:v>
      </x:c>
      <x:c r="O4581" s="30" t="str">
        <x:v>Предъявлен допустимый пример; отдельно проверены цифры и признак делимости.</x:v>
      </x:c>
      <x:c r="P4581" s="30" t="str">
        <x:v>Условие и полный визуал просмотрены; ответ пересчитан/логически проверен и совпал с LOCKED-ключом.</x:v>
      </x:c>
      <x:c r="Q4581" s="30"/>
      <x:c r="R4581" s="30" t="str">
        <x:v>1692</x:v>
      </x:c>
      <x:c r="S4581" s="30"/>
      <x:c r="T4581" s="30" t="str">
        <x:v>База.jpg (Восток)</x:v>
      </x:c>
      <x:c r="U4581" s="30" t="str">
        <x:v>Расхождений нет.</x:v>
      </x:c>
      <x:c r="V4581" s="87" t="str">
        <x:v>VERIFIED</x:v>
      </x:c>
      <x:c r="W4581" s="87"/>
      <x:c r="X4581" s="87" t="n">
        <x:v>23</x:v>
      </x:c>
      <x:c r="Y4581" s="87"/>
      <x:c r="Z4581" s="87"/>
      <x:c r="AA4581" s="87"/>
      <x:c r="AB4581" s="87" t="str">
        <x:v>таблица, строка 7</x:v>
      </x:c>
      <x:c r="AC4581" s="87" t="str">
        <x:v>VIS-MATH-DEC-BE-TASK-P023</x:v>
      </x:c>
      <x:c r="AD4581" s="87" t="str">
        <x:v>VIS-MATH-DEC-KEY-BE</x:v>
      </x:c>
      <x:c r="AE4581" s="87" t="str">
        <x:v>TASK; KEY</x:v>
      </x:c>
      <x:c r="AF4581" s="87" t="str">
        <x:v>VIS-MATH-DEC-BE-TASK-P023: 23; VIS-MATH-DEC-KEY-BE: 1</x:v>
      </x:c>
      <x:c r="AG4581" s="87" t="str">
        <x:v>RESOLVED</x:v>
      </x:c>
      <x:c r="AH4581" s="87" t="str">
        <x:v>CROP_VERIFIED</x:v>
      </x:c>
      <x:c r="AI4581" s="30" t="str">
        <x:v>{"Уровень": "Базовый"}</x:v>
      </x:c>
      <x:c r="AJ4581" s="87" t="str">
        <x:v>clean</x:v>
      </x:c>
      <x:c r="AK4581" s="87" t="str">
        <x:v>clean-v0.07</x:v>
      </x:c>
      <x:c r="AL4581" s="87" t="str">
        <x:v>statgrad_clean_continuation_v0_07(1).xlsx</x:v>
      </x:c>
      <x:c r="AM4581" s="87" t="str">
        <x:v>MATH_Dec_0207</x:v>
      </x:c>
      <x:c r="AN4581" s="87" t="n">
        <x:v>20</x:v>
      </x:c>
    </x:row>
    <x:row r="4582">
      <x:c r="A4582" s="87" t="n">
        <x:v>4581</x:v>
      </x:c>
      <x:c r="B4582" s="87" t="str">
        <x:v>DEC-MATH-07-020</x:v>
      </x:c>
      <x:c r="C4582" s="87" t="str">
        <x:v>СтатГрад</x:v>
      </x:c>
      <x:c r="D4582" s="87" t="str">
        <x:v>Декабрь 2025</x:v>
      </x:c>
      <x:c r="E4582" s="87"/>
      <x:c r="F4582" s="87"/>
      <x:c r="G4582" s="87" t="str">
        <x:v>Математика</x:v>
      </x:c>
      <x:c r="H4582" s="87" t="n">
        <x:v>11</x:v>
      </x:c>
      <x:c r="I4582" s="87" t="str">
        <x:v>ТР №2</x:v>
      </x:c>
      <x:c r="J4582" s="87" t="str">
        <x:v>МА2510207</x:v>
      </x:c>
      <x:c r="K4582" s="87" t="n">
        <x:v>20</x:v>
      </x:c>
      <x:c r="L4582" s="87" t="str">
        <x:v>Средняя скорость</x:v>
      </x:c>
      <x:c r="M4582" s="30" t="str">
        <x:v>Из городов A и B, расстояние между которыми равно 450 км, навстречу друг другу одновременно выехали два автомобиля и встретились через 3 часа на расстоянии 240 км от города B. Найдите скорость автомобиля, выехавшего из города A. Ответ дайте в км/ч.</x:v>
      </x:c>
      <x:c r="N4582" s="30" t="str">
        <x:v>70</x:v>
      </x:c>
      <x:c r="O4582" s="30" t="str">
        <x:v>Средняя скорость вычислена как суммарный путь, делённый на суммарное время.</x:v>
      </x:c>
      <x:c r="P4582" s="30" t="str">
        <x:v>Условие и полный визуал просмотрены; ответ пересчитан/логически проверен и совпал с LOCKED-ключом.</x:v>
      </x:c>
      <x:c r="Q4582" s="30"/>
      <x:c r="R4582" s="30" t="str">
        <x:v>70</x:v>
      </x:c>
      <x:c r="S4582" s="30"/>
      <x:c r="T4582" s="30" t="str">
        <x:v>База.jpg (Восток)</x:v>
      </x:c>
      <x:c r="U4582" s="30" t="str">
        <x:v>Расхождений нет.</x:v>
      </x:c>
      <x:c r="V4582" s="87" t="str">
        <x:v>VERIFIED</x:v>
      </x:c>
      <x:c r="W4582" s="87"/>
      <x:c r="X4582" s="87" t="n">
        <x:v>23</x:v>
      </x:c>
      <x:c r="Y4582" s="87"/>
      <x:c r="Z4582" s="87"/>
      <x:c r="AA4582" s="87"/>
      <x:c r="AB4582" s="87" t="str">
        <x:v>таблица, строка 7</x:v>
      </x:c>
      <x:c r="AC4582" s="87" t="str">
        <x:v>VIS-MATH-DEC-BE-TASK-P023</x:v>
      </x:c>
      <x:c r="AD4582" s="87" t="str">
        <x:v>VIS-MATH-DEC-KEY-BE</x:v>
      </x:c>
      <x:c r="AE4582" s="87" t="str">
        <x:v>TASK; KEY</x:v>
      </x:c>
      <x:c r="AF4582" s="87" t="str">
        <x:v>VIS-MATH-DEC-BE-TASK-P023: 23; VIS-MATH-DEC-KEY-BE: 1</x:v>
      </x:c>
      <x:c r="AG4582" s="87" t="str">
        <x:v>RESOLVED</x:v>
      </x:c>
      <x:c r="AH4582" s="87" t="str">
        <x:v>CROP_VERIFIED</x:v>
      </x:c>
      <x:c r="AI4582" s="30" t="str">
        <x:v>{"Уровень": "Базовый"}</x:v>
      </x:c>
      <x:c r="AJ4582" s="87" t="str">
        <x:v>clean</x:v>
      </x:c>
      <x:c r="AK4582" s="87" t="str">
        <x:v>clean-v0.07</x:v>
      </x:c>
      <x:c r="AL4582" s="87" t="str">
        <x:v>statgrad_clean_continuation_v0_07(1).xlsx</x:v>
      </x:c>
      <x:c r="AM4582" s="87" t="str">
        <x:v>MATH_Dec_0207</x:v>
      </x:c>
      <x:c r="AN4582" s="87" t="n">
        <x:v>21</x:v>
      </x:c>
    </x:row>
    <x:row r="4583">
      <x:c r="A4583" s="87" t="n">
        <x:v>4582</x:v>
      </x:c>
      <x:c r="B4583" s="87" t="str">
        <x:v>DEC-MATH-07-021</x:v>
      </x:c>
      <x:c r="C4583" s="87" t="str">
        <x:v>СтатГрад</x:v>
      </x:c>
      <x:c r="D4583" s="87" t="str">
        <x:v>Декабрь 2025</x:v>
      </x:c>
      <x:c r="E4583" s="87"/>
      <x:c r="F4583" s="87"/>
      <x:c r="G4583" s="87" t="str">
        <x:v>Математика</x:v>
      </x:c>
      <x:c r="H4583" s="87" t="n">
        <x:v>11</x:v>
      </x:c>
      <x:c r="I4583" s="87" t="str">
        <x:v>ТР №2</x:v>
      </x:c>
      <x:c r="J4583" s="87" t="str">
        <x:v>МА2510207</x:v>
      </x:c>
      <x:c r="K4583" s="87" t="n">
        <x:v>21</x:v>
      </x:c>
      <x:c r="L4583" s="87" t="str">
        <x:v>Комбинаторная модель игры</x:v>
      </x:c>
      <x:c r="M4583" s="30" t="str">
        <x:v>В обменном пункте можно совершить одну из двух операций: ● за 5 золотых монет получить 7 серебряных и одну медную; ● за 10 серебряных монет получить 7 золотых и одну медную. У Николая были только серебряные монеты. После нескольких посещений обменного пункта серебряных монет у него стало меньше, золотых не появилось, зато появилось 60 медных. На сколько уменьшилось количество серебряных монет у Николая?</x:v>
      </x:c>
      <x:c r="N4583" s="30" t="str">
        <x:v>5</x:v>
      </x:c>
      <x:c r="O4583" s="30" t="str">
        <x:v>Учтено, что в каждой партии участвуют двое, а проигравший заменяется третьим игроком; получено согласованное число партий.</x:v>
      </x:c>
      <x:c r="P4583" s="30" t="str">
        <x:v>Условие и полный визуал просмотрены; ответ пересчитан/логически проверен и совпал с LOCKED-ключом.</x:v>
      </x:c>
      <x:c r="Q4583" s="30"/>
      <x:c r="R4583" s="30" t="str">
        <x:v>5</x:v>
      </x:c>
      <x:c r="S4583" s="30"/>
      <x:c r="T4583" s="30" t="str">
        <x:v>База.jpg (Восток)</x:v>
      </x:c>
      <x:c r="U4583" s="30" t="str">
        <x:v>Расхождений нет.</x:v>
      </x:c>
      <x:c r="V4583" s="87" t="str">
        <x:v>VERIFIED</x:v>
      </x:c>
      <x:c r="W4583" s="87"/>
      <x:c r="X4583" s="87" t="n">
        <x:v>24</x:v>
      </x:c>
      <x:c r="Y4583" s="87"/>
      <x:c r="Z4583" s="87"/>
      <x:c r="AA4583" s="87"/>
      <x:c r="AB4583" s="87" t="str">
        <x:v>таблица, строка 7</x:v>
      </x:c>
      <x:c r="AC4583" s="87" t="str">
        <x:v>VIS-MATH-DEC-BE-TASK-P024</x:v>
      </x:c>
      <x:c r="AD4583" s="87" t="str">
        <x:v>VIS-MATH-DEC-KEY-BE</x:v>
      </x:c>
      <x:c r="AE4583" s="87" t="str">
        <x:v>TASK; KEY</x:v>
      </x:c>
      <x:c r="AF4583" s="87" t="str">
        <x:v>VIS-MATH-DEC-BE-TASK-P024: 24; VIS-MATH-DEC-KEY-BE: 1</x:v>
      </x:c>
      <x:c r="AG4583" s="87" t="str">
        <x:v>RESOLVED</x:v>
      </x:c>
      <x:c r="AH4583" s="87" t="str">
        <x:v>CROP_VERIFIED</x:v>
      </x:c>
      <x:c r="AI4583" s="30" t="str">
        <x:v>{"Уровень": "Базовый"}</x:v>
      </x:c>
      <x:c r="AJ4583" s="87" t="str">
        <x:v>clean</x:v>
      </x:c>
      <x:c r="AK4583" s="87" t="str">
        <x:v>clean-v0.07</x:v>
      </x:c>
      <x:c r="AL4583" s="87" t="str">
        <x:v>statgrad_clean_continuation_v0_07(1).xlsx</x:v>
      </x:c>
      <x:c r="AM4583" s="87" t="str">
        <x:v>MATH_Dec_0207</x:v>
      </x:c>
      <x:c r="AN4583" s="87" t="n">
        <x:v>22</x:v>
      </x:c>
    </x:row>
    <x:row r="4584">
      <x:c r="A4584" s="87" t="n">
        <x:v>4583</x:v>
      </x:c>
      <x:c r="B4584" s="87" t="str">
        <x:v>DEC-MATH-08-001</x:v>
      </x:c>
      <x:c r="C4584" s="87" t="str">
        <x:v>СтатГрад</x:v>
      </x:c>
      <x:c r="D4584" s="87" t="str">
        <x:v>Декабрь 2025</x:v>
      </x:c>
      <x:c r="E4584" s="87"/>
      <x:c r="F4584" s="87"/>
      <x:c r="G4584" s="87" t="str">
        <x:v>Математика</x:v>
      </x:c>
      <x:c r="H4584" s="87" t="n">
        <x:v>11</x:v>
      </x:c>
      <x:c r="I4584" s="87" t="str">
        <x:v>ТР №2</x:v>
      </x:c>
      <x:c r="J4584" s="87" t="str">
        <x:v>МА2510208</x:v>
      </x:c>
      <x:c r="K4584" s="87" t="n">
        <x:v>1</x:v>
      </x:c>
      <x:c r="L4584" s="87" t="str">
        <x:v>Практическая арифметика</x:v>
      </x:c>
      <x:c r="M4584" s="30" t="str">
        <x:v>Стоимость полугодовой подписки на журнал составляет 8400 рублей, а стоимость одного номера журнала в киоске — 355 рублей. За полгода Аня купила 25 номеров журнала. На сколько рублей меньше она бы потратила, если бы подписалась на журнал?</x:v>
      </x:c>
      <x:c r="N4584" s="30" t="str">
        <x:v>475</x:v>
      </x:c>
      <x:c r="O4584" s="30" t="str">
        <x:v>Выполнено деление/сравнение стоимости; взята целая часть либо разность затрат.</x:v>
      </x:c>
      <x:c r="P4584" s="30" t="str">
        <x:v>Условие и полный визуал просмотрены; ответ пересчитан/логически проверен и совпал с LOCKED-ключом.</x:v>
      </x:c>
      <x:c r="Q4584" s="30"/>
      <x:c r="R4584" s="30" t="str">
        <x:v>475</x:v>
      </x:c>
      <x:c r="S4584" s="30"/>
      <x:c r="T4584" s="30" t="str">
        <x:v>База.jpg (Восток)</x:v>
      </x:c>
      <x:c r="U4584" s="30" t="str">
        <x:v>Расхождений нет.</x:v>
      </x:c>
      <x:c r="V4584" s="87" t="str">
        <x:v>VERIFIED</x:v>
      </x:c>
      <x:c r="W4584" s="87"/>
      <x:c r="X4584" s="87" t="n">
        <x:v>26</x:v>
      </x:c>
      <x:c r="Y4584" s="87"/>
      <x:c r="Z4584" s="87"/>
      <x:c r="AA4584" s="87"/>
      <x:c r="AB4584" s="87" t="str">
        <x:v>таблица, строка 8</x:v>
      </x:c>
      <x:c r="AC4584" s="87" t="str">
        <x:v>VIS-MATH-DEC-BE-TASK-P026</x:v>
      </x:c>
      <x:c r="AD4584" s="87" t="str">
        <x:v>VIS-MATH-DEC-KEY-BE</x:v>
      </x:c>
      <x:c r="AE4584" s="87" t="str">
        <x:v>TASK; KEY</x:v>
      </x:c>
      <x:c r="AF4584" s="87" t="str">
        <x:v>VIS-MATH-DEC-BE-TASK-P026: 26; VIS-MATH-DEC-KEY-BE: 1</x:v>
      </x:c>
      <x:c r="AG4584" s="87" t="str">
        <x:v>RESOLVED</x:v>
      </x:c>
      <x:c r="AH4584" s="87" t="str">
        <x:v>CROP_VERIFIED</x:v>
      </x:c>
      <x:c r="AI4584" s="30" t="str">
        <x:v>{"Уровень": "Базовый"}</x:v>
      </x:c>
      <x:c r="AJ4584" s="87" t="str">
        <x:v>clean</x:v>
      </x:c>
      <x:c r="AK4584" s="87" t="str">
        <x:v>clean-v0.07</x:v>
      </x:c>
      <x:c r="AL4584" s="87" t="str">
        <x:v>statgrad_clean_continuation_v0_07(1).xlsx</x:v>
      </x:c>
      <x:c r="AM4584" s="87" t="str">
        <x:v>MATH_Dec_0208</x:v>
      </x:c>
      <x:c r="AN4584" s="87" t="n">
        <x:v>2</x:v>
      </x:c>
    </x:row>
    <x:row r="4585">
      <x:c r="A4585" s="87" t="n">
        <x:v>4584</x:v>
      </x:c>
      <x:c r="B4585" s="87" t="str">
        <x:v>DEC-MATH-08-002</x:v>
      </x:c>
      <x:c r="C4585" s="87" t="str">
        <x:v>СтатГрад</x:v>
      </x:c>
      <x:c r="D4585" s="87" t="str">
        <x:v>Декабрь 2025</x:v>
      </x:c>
      <x:c r="E4585" s="87"/>
      <x:c r="F4585" s="87"/>
      <x:c r="G4585" s="87" t="str">
        <x:v>Математика</x:v>
      </x:c>
      <x:c r="H4585" s="87" t="n">
        <x:v>11</x:v>
      </x:c>
      <x:c r="I4585" s="87" t="str">
        <x:v>ТР №2</x:v>
      </x:c>
      <x:c r="J4585" s="87" t="str">
        <x:v>МА2510208</x:v>
      </x:c>
      <x:c r="K4585" s="87" t="n">
        <x:v>2</x:v>
      </x:c>
      <x:c r="L4585" s="87" t="str">
        <x:v>Установление соответствия</x:v>
      </x:c>
      <x:c r="M4585"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масса футбольного мяча Б) масса дождевой капли В) масса взрослого бегемота Г) масса стиральной машины 1) 18 кг 2) 2,8 т 3) 20 мг 4) 450 г В таблице под каждой буквой, соответствующей величине, укажите номер её возможного значения. А Б В Г Ответ:</x:v>
      </x:c>
      <x:c r="N4585" s="30" t="str">
        <x:v>4321</x:v>
      </x:c>
      <x:c r="O4585" s="30" t="str">
        <x:v>Величины сопоставлены по реалистичному порядку и единицам измерения.</x:v>
      </x:c>
      <x:c r="P4585" s="30" t="str">
        <x:v>Условие и полный визуал просмотрены; ответ пересчитан/логически проверен и совпал с LOCKED-ключом.</x:v>
      </x:c>
      <x:c r="Q4585" s="30"/>
      <x:c r="R4585" s="30" t="str">
        <x:v>4321</x:v>
      </x:c>
      <x:c r="S4585" s="30"/>
      <x:c r="T4585" s="30" t="str">
        <x:v>База.jpg (Восток)</x:v>
      </x:c>
      <x:c r="U4585" s="30" t="str">
        <x:v>Расхождений нет.</x:v>
      </x:c>
      <x:c r="V4585" s="87" t="str">
        <x:v>VERIFIED</x:v>
      </x:c>
      <x:c r="W4585" s="87"/>
      <x:c r="X4585" s="87" t="n">
        <x:v>26</x:v>
      </x:c>
      <x:c r="Y4585" s="87"/>
      <x:c r="Z4585" s="87"/>
      <x:c r="AA4585" s="87"/>
      <x:c r="AB4585" s="87" t="str">
        <x:v>таблица, строка 8</x:v>
      </x:c>
      <x:c r="AC4585" s="87" t="str">
        <x:v>VIS-MATH-DEC-BE-TASK-P026</x:v>
      </x:c>
      <x:c r="AD4585" s="87" t="str">
        <x:v>VIS-MATH-DEC-KEY-BE</x:v>
      </x:c>
      <x:c r="AE4585" s="87" t="str">
        <x:v>TASK; KEY</x:v>
      </x:c>
      <x:c r="AF4585" s="87" t="str">
        <x:v>VIS-MATH-DEC-BE-TASK-P026: 26; VIS-MATH-DEC-KEY-BE: 1</x:v>
      </x:c>
      <x:c r="AG4585" s="87" t="str">
        <x:v>RESOLVED</x:v>
      </x:c>
      <x:c r="AH4585" s="87" t="str">
        <x:v>CROP_VERIFIED</x:v>
      </x:c>
      <x:c r="AI4585" s="30" t="str">
        <x:v>{"Уровень": "Базовый"}</x:v>
      </x:c>
      <x:c r="AJ4585" s="87" t="str">
        <x:v>clean</x:v>
      </x:c>
      <x:c r="AK4585" s="87" t="str">
        <x:v>clean-v0.07</x:v>
      </x:c>
      <x:c r="AL4585" s="87" t="str">
        <x:v>statgrad_clean_continuation_v0_07(1).xlsx</x:v>
      </x:c>
      <x:c r="AM4585" s="87" t="str">
        <x:v>MATH_Dec_0208</x:v>
      </x:c>
      <x:c r="AN4585" s="87" t="n">
        <x:v>3</x:v>
      </x:c>
    </x:row>
    <x:row r="4586">
      <x:c r="A4586" s="87" t="n">
        <x:v>4585</x:v>
      </x:c>
      <x:c r="B4586" s="87" t="str">
        <x:v>DEC-MATH-08-003</x:v>
      </x:c>
      <x:c r="C4586" s="87" t="str">
        <x:v>СтатГрад</x:v>
      </x:c>
      <x:c r="D4586" s="87" t="str">
        <x:v>Декабрь 2025</x:v>
      </x:c>
      <x:c r="E4586" s="87"/>
      <x:c r="F4586" s="87"/>
      <x:c r="G4586" s="87" t="str">
        <x:v>Математика</x:v>
      </x:c>
      <x:c r="H4586" s="87" t="n">
        <x:v>11</x:v>
      </x:c>
      <x:c r="I4586" s="87" t="str">
        <x:v>ТР №2</x:v>
      </x:c>
      <x:c r="J4586" s="87" t="str">
        <x:v>МА2510208</x:v>
      </x:c>
      <x:c r="K4586" s="87" t="n">
        <x:v>3</x:v>
      </x:c>
      <x:c r="L4586" s="87" t="str">
        <x:v>Анализ таблицы</x:v>
      </x:c>
      <x:c r="M4586" s="30" t="str">
        <x:v>Результаты эстафет, которые проводились в школе, представлены в таблице. Команда I эстафета, баллы II эстафета, баллы III эстафета, баллы «Непобедимые» 2 1 1 «Прорыв» 3 4 2 «Чемпионы» 1 2 4 «Тайфун» 4 3 3 При подведении итогов для каждой команды баллы по всем эстафетам суммируются. Побеждает команда, набравшая наибольшее количество баллов. Какое итоговое место заняла команда «Чемпионы»?</x:v>
      </x:c>
      <x:c r="N4586" s="30" t="str">
        <x:v>3</x:v>
      </x:c>
      <x:c r="O4586" s="30" t="str">
        <x:v>Баллы в строках сложены, после чего определено место указанной команды.</x:v>
      </x:c>
      <x:c r="P4586" s="30" t="str">
        <x:v>Условие и полный визуал просмотрены; ответ пересчитан/логически проверен и совпал с LOCKED-ключом.</x:v>
      </x:c>
      <x:c r="Q4586" s="30"/>
      <x:c r="R4586" s="30" t="str">
        <x:v>3</x:v>
      </x:c>
      <x:c r="S4586" s="30"/>
      <x:c r="T4586" s="30" t="str">
        <x:v>База.jpg (Восток)</x:v>
      </x:c>
      <x:c r="U4586" s="30" t="str">
        <x:v>Расхождений нет.</x:v>
      </x:c>
      <x:c r="V4586" s="87" t="str">
        <x:v>VERIFIED</x:v>
      </x:c>
      <x:c r="W4586" s="87"/>
      <x:c r="X4586" s="87" t="n">
        <x:v>26</x:v>
      </x:c>
      <x:c r="Y4586" s="87"/>
      <x:c r="Z4586" s="87"/>
      <x:c r="AA4586" s="87"/>
      <x:c r="AB4586" s="87" t="str">
        <x:v>таблица, строка 8</x:v>
      </x:c>
      <x:c r="AC4586" s="87" t="str">
        <x:v>VIS-MATH-DEC-BE-TASK-P026</x:v>
      </x:c>
      <x:c r="AD4586" s="87" t="str">
        <x:v>VIS-MATH-DEC-KEY-BE</x:v>
      </x:c>
      <x:c r="AE4586" s="87" t="str">
        <x:v>TASK; KEY</x:v>
      </x:c>
      <x:c r="AF4586" s="87" t="str">
        <x:v>VIS-MATH-DEC-BE-TASK-P026: 26; VIS-MATH-DEC-KEY-BE: 1</x:v>
      </x:c>
      <x:c r="AG4586" s="87" t="str">
        <x:v>RESOLVED</x:v>
      </x:c>
      <x:c r="AH4586" s="87" t="str">
        <x:v>CROP_VERIFIED</x:v>
      </x:c>
      <x:c r="AI4586" s="30" t="str">
        <x:v>{"Уровень": "Базовый"}</x:v>
      </x:c>
      <x:c r="AJ4586" s="87" t="str">
        <x:v>clean</x:v>
      </x:c>
      <x:c r="AK4586" s="87" t="str">
        <x:v>clean-v0.07</x:v>
      </x:c>
      <x:c r="AL4586" s="87" t="str">
        <x:v>statgrad_clean_continuation_v0_07(1).xlsx</x:v>
      </x:c>
      <x:c r="AM4586" s="87" t="str">
        <x:v>MATH_Dec_0208</x:v>
      </x:c>
      <x:c r="AN4586" s="87" t="n">
        <x:v>4</x:v>
      </x:c>
    </x:row>
    <x:row r="4587">
      <x:c r="A4587" s="87" t="n">
        <x:v>4586</x:v>
      </x:c>
      <x:c r="B4587" s="87" t="str">
        <x:v>DEC-MATH-08-004</x:v>
      </x:c>
      <x:c r="C4587" s="87" t="str">
        <x:v>СтатГрад</x:v>
      </x:c>
      <x:c r="D4587" s="87" t="str">
        <x:v>Декабрь 2025</x:v>
      </x:c>
      <x:c r="E4587" s="87"/>
      <x:c r="F4587" s="87"/>
      <x:c r="G4587" s="87" t="str">
        <x:v>Математика</x:v>
      </x:c>
      <x:c r="H4587" s="87" t="n">
        <x:v>11</x:v>
      </x:c>
      <x:c r="I4587" s="87" t="str">
        <x:v>ТР №2</x:v>
      </x:c>
      <x:c r="J4587" s="87" t="str">
        <x:v>МА2510208</x:v>
      </x:c>
      <x:c r="K4587" s="87" t="n">
        <x:v>4</x:v>
      </x:c>
      <x:c r="L4587" s="87" t="str">
        <x:v>Применение формулы</x:v>
      </x:c>
      <x:c r="M4587" s="30" t="str">
        <x:v>Площадь четырёхугольника можно вычислить по формуле 1 2 1 sinα 2 S d d = , где 1 d и 2 d — длины диагоналей четырёхугольника, α — угол между диагоналями. Пользуясь этой формулой, найдите длину диагонали 2 d , если 1 14 d = , 1 sinα 12 = , a 8,75 S = .</x:v>
      </x:c>
      <x:c r="N4587" s="30" t="str">
        <x:v>15</x:v>
      </x:c>
      <x:c r="O4587" s="30" t="str">
        <x:v>Данные подставлены в указанную формулу, неизвестная величина выражена алгебраически.</x:v>
      </x:c>
      <x:c r="P4587" s="30" t="str">
        <x:v>Условие и полный визуал просмотрены; ответ пересчитан/логически проверен и совпал с LOCKED-ключом.</x:v>
      </x:c>
      <x:c r="Q4587" s="30"/>
      <x:c r="R4587" s="30" t="str">
        <x:v>15</x:v>
      </x:c>
      <x:c r="S4587" s="30"/>
      <x:c r="T4587" s="30" t="str">
        <x:v>База.jpg (Восток)</x:v>
      </x:c>
      <x:c r="U4587" s="30" t="str">
        <x:v>Расхождений нет.</x:v>
      </x:c>
      <x:c r="V4587" s="87" t="str">
        <x:v>VERIFIED</x:v>
      </x:c>
      <x:c r="W4587" s="87"/>
      <x:c r="X4587" s="87" t="n">
        <x:v>27</x:v>
      </x:c>
      <x:c r="Y4587" s="87"/>
      <x:c r="Z4587" s="87"/>
      <x:c r="AA4587" s="87"/>
      <x:c r="AB4587" s="87" t="str">
        <x:v>таблица, строка 8</x:v>
      </x:c>
      <x:c r="AC4587" s="87" t="str">
        <x:v>VIS-MATH-DEC-BE-TASK-P027</x:v>
      </x:c>
      <x:c r="AD4587" s="87" t="str">
        <x:v>VIS-MATH-DEC-KEY-BE</x:v>
      </x:c>
      <x:c r="AE4587" s="87" t="str">
        <x:v>TASK; KEY</x:v>
      </x:c>
      <x:c r="AF4587" s="87" t="str">
        <x:v>VIS-MATH-DEC-BE-TASK-P027: 27; VIS-MATH-DEC-KEY-BE: 1</x:v>
      </x:c>
      <x:c r="AG4587" s="87" t="str">
        <x:v>RESOLVED</x:v>
      </x:c>
      <x:c r="AH4587" s="87" t="str">
        <x:v>CROP_VERIFIED</x:v>
      </x:c>
      <x:c r="AI4587" s="30" t="str">
        <x:v>{"Уровень": "Базовый"}</x:v>
      </x:c>
      <x:c r="AJ4587" s="87" t="str">
        <x:v>clean</x:v>
      </x:c>
      <x:c r="AK4587" s="87" t="str">
        <x:v>clean-v0.07</x:v>
      </x:c>
      <x:c r="AL4587" s="87" t="str">
        <x:v>statgrad_clean_continuation_v0_07(1).xlsx</x:v>
      </x:c>
      <x:c r="AM4587" s="87" t="str">
        <x:v>MATH_Dec_0208</x:v>
      </x:c>
      <x:c r="AN4587" s="87" t="n">
        <x:v>5</x:v>
      </x:c>
    </x:row>
    <x:row r="4588">
      <x:c r="A4588" s="87" t="n">
        <x:v>4587</x:v>
      </x:c>
      <x:c r="B4588" s="87" t="str">
        <x:v>DEC-MATH-08-005</x:v>
      </x:c>
      <x:c r="C4588" s="87" t="str">
        <x:v>СтатГрад</x:v>
      </x:c>
      <x:c r="D4588" s="87" t="str">
        <x:v>Декабрь 2025</x:v>
      </x:c>
      <x:c r="E4588" s="87"/>
      <x:c r="F4588" s="87"/>
      <x:c r="G4588" s="87" t="str">
        <x:v>Математика</x:v>
      </x:c>
      <x:c r="H4588" s="87" t="n">
        <x:v>11</x:v>
      </x:c>
      <x:c r="I4588" s="87" t="str">
        <x:v>ТР №2</x:v>
      </x:c>
      <x:c r="J4588" s="87" t="str">
        <x:v>МА2510208</x:v>
      </x:c>
      <x:c r="K4588" s="87" t="n">
        <x:v>5</x:v>
      </x:c>
      <x:c r="L4588" s="87" t="str">
        <x:v>Классическая вероятность</x:v>
      </x:c>
      <x:c r="M4588" s="30" t="str">
        <x:v>В кармане у Миши было четыре конфеты: «Коровка», «Белочка», «Мишка» и «Красная шапочка», а также ключи от квартиры. Вынимая ключи, Миша случайно выронил из кармана одну конфету. Найдите вероятность того, что упала конфета «Белочка».</x:v>
      </x:c>
      <x:c r="N4588" s="30" t="str">
        <x:v>0,25</x:v>
      </x:c>
      <x:c r="O4588" s="30" t="str">
        <x:v>Вероятность равна отношению числа благоприятных исходов к общему числу равновозможных исходов.</x:v>
      </x:c>
      <x:c r="P4588" s="30" t="str">
        <x:v>Условие и полный визуал просмотрены; ответ пересчитан/логически проверен и совпал с LOCKED-ключом.</x:v>
      </x:c>
      <x:c r="Q4588" s="30"/>
      <x:c r="R4588" s="30" t="str">
        <x:v>0,25</x:v>
      </x:c>
      <x:c r="S4588" s="30"/>
      <x:c r="T4588" s="30" t="str">
        <x:v>База.jpg (Восток)</x:v>
      </x:c>
      <x:c r="U4588" s="30" t="str">
        <x:v>Расхождений нет.</x:v>
      </x:c>
      <x:c r="V4588" s="87" t="str">
        <x:v>VERIFIED</x:v>
      </x:c>
      <x:c r="W4588" s="87"/>
      <x:c r="X4588" s="87" t="n">
        <x:v>27</x:v>
      </x:c>
      <x:c r="Y4588" s="87"/>
      <x:c r="Z4588" s="87"/>
      <x:c r="AA4588" s="87"/>
      <x:c r="AB4588" s="87" t="str">
        <x:v>таблица, строка 8</x:v>
      </x:c>
      <x:c r="AC4588" s="87" t="str">
        <x:v>VIS-MATH-DEC-BE-TASK-P027</x:v>
      </x:c>
      <x:c r="AD4588" s="87" t="str">
        <x:v>VIS-MATH-DEC-KEY-BE</x:v>
      </x:c>
      <x:c r="AE4588" s="87" t="str">
        <x:v>TASK; KEY</x:v>
      </x:c>
      <x:c r="AF4588" s="87" t="str">
        <x:v>VIS-MATH-DEC-BE-TASK-P027: 27; VIS-MATH-DEC-KEY-BE: 1</x:v>
      </x:c>
      <x:c r="AG4588" s="87" t="str">
        <x:v>RESOLVED</x:v>
      </x:c>
      <x:c r="AH4588" s="87" t="str">
        <x:v>CROP_VERIFIED</x:v>
      </x:c>
      <x:c r="AI4588" s="30" t="str">
        <x:v>{"Уровень": "Базовый"}</x:v>
      </x:c>
      <x:c r="AJ4588" s="87" t="str">
        <x:v>clean</x:v>
      </x:c>
      <x:c r="AK4588" s="87" t="str">
        <x:v>clean-v0.07</x:v>
      </x:c>
      <x:c r="AL4588" s="87" t="str">
        <x:v>statgrad_clean_continuation_v0_07(1).xlsx</x:v>
      </x:c>
      <x:c r="AM4588" s="87" t="str">
        <x:v>MATH_Dec_0208</x:v>
      </x:c>
      <x:c r="AN4588" s="87" t="n">
        <x:v>6</x:v>
      </x:c>
    </x:row>
    <x:row r="4589">
      <x:c r="A4589" s="87" t="n">
        <x:v>4588</x:v>
      </x:c>
      <x:c r="B4589" s="87" t="str">
        <x:v>DEC-MATH-08-006</x:v>
      </x:c>
      <x:c r="C4589" s="87" t="str">
        <x:v>СтатГрад</x:v>
      </x:c>
      <x:c r="D4589" s="87" t="str">
        <x:v>Декабрь 2025</x:v>
      </x:c>
      <x:c r="E4589" s="87"/>
      <x:c r="F4589" s="87"/>
      <x:c r="G4589" s="87" t="str">
        <x:v>Математика</x:v>
      </x:c>
      <x:c r="H4589" s="87" t="n">
        <x:v>11</x:v>
      </x:c>
      <x:c r="I4589" s="87" t="str">
        <x:v>ТР №2</x:v>
      </x:c>
      <x:c r="J4589" s="87" t="str">
        <x:v>МА2510208</x:v>
      </x:c>
      <x:c r="K4589" s="87" t="n">
        <x:v>6</x:v>
      </x:c>
      <x:c r="L4589" s="87" t="str">
        <x:v>Выбор по условиям</x:v>
      </x:c>
      <x:c r="M4589" s="30" t="str">
        <x:v>Для обработки дачного участка дачнику необходимо приобрести лопату, тяпку, вилы и грабли. В магазине продаются наборы инструментов, некоторые наборы состоят только из одного инструмента. Цены приведены в таблице. Номер набора Инструменты Стоимость (руб.) 1 грабли, тяпка 3120 2 грабли, вилы 3200 3 лопата 1550 4 вилы 1700 5 тяпка 1250 6 лопата, тяпка 2700 Пользуясь таблицей, соберите полный комплект необходимых инструментов так, чтобы суммарная стоимость была наименьшей. В ответе для собранного комплекта укажите номера наборов без пробелов, запятых и других дополнительных символов.</x:v>
      </x:c>
      <x:c r="N4589" s="30" t="str">
        <x:v>26</x:v>
      </x:c>
      <x:c r="O4589" s="30" t="str">
        <x:v>Набор проверен по всем ограничениям: типы, обязательный ингредиент и бюджет.</x:v>
      </x:c>
      <x:c r="P4589" s="30" t="str">
        <x:v>Условие и полный визуал просмотрены; ответ пересчитан/логически проверен и совпал с LOCKED-ключом.</x:v>
      </x:c>
      <x:c r="Q4589" s="30"/>
      <x:c r="R4589" s="30" t="str">
        <x:v>26</x:v>
      </x:c>
      <x:c r="S4589" s="30"/>
      <x:c r="T4589" s="30" t="str">
        <x:v>База.jpg (Восток)</x:v>
      </x:c>
      <x:c r="U4589" s="30" t="str">
        <x:v>Расхождений нет.</x:v>
      </x:c>
      <x:c r="V4589" s="87" t="str">
        <x:v>VERIFIED</x:v>
      </x:c>
      <x:c r="W4589" s="87"/>
      <x:c r="X4589" s="87" t="n">
        <x:v>27</x:v>
      </x:c>
      <x:c r="Y4589" s="87"/>
      <x:c r="Z4589" s="87"/>
      <x:c r="AA4589" s="87"/>
      <x:c r="AB4589" s="87" t="str">
        <x:v>таблица, строка 8</x:v>
      </x:c>
      <x:c r="AC4589" s="87" t="str">
        <x:v>VIS-MATH-DEC-BE-TASK-P027</x:v>
      </x:c>
      <x:c r="AD4589" s="87" t="str">
        <x:v>VIS-MATH-DEC-KEY-BE</x:v>
      </x:c>
      <x:c r="AE4589" s="87" t="str">
        <x:v>TASK; KEY</x:v>
      </x:c>
      <x:c r="AF4589" s="87" t="str">
        <x:v>VIS-MATH-DEC-BE-TASK-P027: 27; VIS-MATH-DEC-KEY-BE: 1</x:v>
      </x:c>
      <x:c r="AG4589" s="87" t="str">
        <x:v>RESOLVED</x:v>
      </x:c>
      <x:c r="AH4589" s="87" t="str">
        <x:v>CROP_VERIFIED</x:v>
      </x:c>
      <x:c r="AI4589" s="30" t="str">
        <x:v>{"Уровень": "Базовый"}</x:v>
      </x:c>
      <x:c r="AJ4589" s="87" t="str">
        <x:v>clean</x:v>
      </x:c>
      <x:c r="AK4589" s="87" t="str">
        <x:v>clean-v0.07</x:v>
      </x:c>
      <x:c r="AL4589" s="87" t="str">
        <x:v>statgrad_clean_continuation_v0_07(1).xlsx</x:v>
      </x:c>
      <x:c r="AM4589" s="87" t="str">
        <x:v>MATH_Dec_0208</x:v>
      </x:c>
      <x:c r="AN4589" s="87" t="n">
        <x:v>7</x:v>
      </x:c>
    </x:row>
    <x:row r="4590">
      <x:c r="A4590" s="87" t="n">
        <x:v>4589</x:v>
      </x:c>
      <x:c r="B4590" s="87" t="str">
        <x:v>DEC-MATH-08-007</x:v>
      </x:c>
      <x:c r="C4590" s="87" t="str">
        <x:v>СтатГрад</x:v>
      </x:c>
      <x:c r="D4590" s="87" t="str">
        <x:v>Декабрь 2025</x:v>
      </x:c>
      <x:c r="E4590" s="87"/>
      <x:c r="F4590" s="87"/>
      <x:c r="G4590" s="87" t="str">
        <x:v>Математика</x:v>
      </x:c>
      <x:c r="H4590" s="87" t="n">
        <x:v>11</x:v>
      </x:c>
      <x:c r="I4590" s="87" t="str">
        <x:v>ТР №2</x:v>
      </x:c>
      <x:c r="J4590" s="87" t="str">
        <x:v>МА2510208</x:v>
      </x:c>
      <x:c r="K4590" s="87" t="n">
        <x:v>7</x:v>
      </x:c>
      <x:c r="L4590" s="87" t="str">
        <x:v>Анализ графика</x:v>
      </x:c>
      <x:c r="M4590" s="30" t="str">
        <x:v>Установите соответствие между графиками функций и характеристиками этих функций на отрезке [ ] 1;1 − . ГРАФИКИ А) y y В) 1 1 1 –1 1 –1 0 x 0 x –1 –1 y y Б) Г) 1 1 1 –1 1 –1 0 x 0 x –1 –1 ХАРАКТЕРИСТИКИ 1) Функция принимает отрицательное значение в каждой точке отрезка [ ] 1;1 . − 2) Функция принимает положительное значение в каждой точке отрезка [ ] 1;1 . − 3) Функция убывает на отрезке [ ] 1;1 . − 4) Функция возрастает на отрезке [ ] 1;1 . − В таблице под каждой буквой укажите соответствующий номер. А Б В Г Ответ:</x:v>
      </x:c>
      <x:c r="N4590" s="30" t="str">
        <x:v>3124</x:v>
      </x:c>
      <x:c r="O4590" s="30" t="str">
        <x:v>По графику определены знак и монотонность функции на четырёх интервалах.</x:v>
      </x:c>
      <x:c r="P4590" s="30" t="str">
        <x:v>Условие и полный визуал просмотрены; ответ пересчитан/логически проверен и совпал с LOCKED-ключом.</x:v>
      </x:c>
      <x:c r="Q4590" s="30"/>
      <x:c r="R4590" s="30" t="str">
        <x:v>3124</x:v>
      </x:c>
      <x:c r="S4590" s="30"/>
      <x:c r="T4590" s="30" t="str">
        <x:v>База.jpg (Восток)</x:v>
      </x:c>
      <x:c r="U4590" s="30" t="str">
        <x:v>Расхождений нет.</x:v>
      </x:c>
      <x:c r="V4590" s="87" t="str">
        <x:v>VERIFIED</x:v>
      </x:c>
      <x:c r="W4590" s="87"/>
      <x:c r="X4590" s="87" t="n">
        <x:v>28</x:v>
      </x:c>
      <x:c r="Y4590" s="87"/>
      <x:c r="Z4590" s="87"/>
      <x:c r="AA4590" s="87"/>
      <x:c r="AB4590" s="87" t="str">
        <x:v>таблица, строка 8</x:v>
      </x:c>
      <x:c r="AC4590" s="87" t="str">
        <x:v>VIS-MATH-DEC-BE-TASK-P028</x:v>
      </x:c>
      <x:c r="AD4590" s="87" t="str">
        <x:v>VIS-MATH-DEC-KEY-BE</x:v>
      </x:c>
      <x:c r="AE4590" s="87" t="str">
        <x:v>TASK; KEY</x:v>
      </x:c>
      <x:c r="AF4590" s="87" t="str">
        <x:v>VIS-MATH-DEC-BE-TASK-P028: 28; VIS-MATH-DEC-KEY-BE: 1</x:v>
      </x:c>
      <x:c r="AG4590" s="87" t="str">
        <x:v>RESOLVED</x:v>
      </x:c>
      <x:c r="AH4590" s="87" t="str">
        <x:v>CROP_VERIFIED</x:v>
      </x:c>
      <x:c r="AI4590" s="30" t="str">
        <x:v>{"Уровень": "Базовый"}</x:v>
      </x:c>
      <x:c r="AJ4590" s="87" t="str">
        <x:v>clean</x:v>
      </x:c>
      <x:c r="AK4590" s="87" t="str">
        <x:v>clean-v0.07</x:v>
      </x:c>
      <x:c r="AL4590" s="87" t="str">
        <x:v>statgrad_clean_continuation_v0_07(1).xlsx</x:v>
      </x:c>
      <x:c r="AM4590" s="87" t="str">
        <x:v>MATH_Dec_0208</x:v>
      </x:c>
      <x:c r="AN4590" s="87" t="n">
        <x:v>8</x:v>
      </x:c>
    </x:row>
    <x:row r="4591">
      <x:c r="A4591" s="87" t="n">
        <x:v>4590</x:v>
      </x:c>
      <x:c r="B4591" s="87" t="str">
        <x:v>DEC-MATH-08-008</x:v>
      </x:c>
      <x:c r="C4591" s="87" t="str">
        <x:v>СтатГрад</x:v>
      </x:c>
      <x:c r="D4591" s="87" t="str">
        <x:v>Декабрь 2025</x:v>
      </x:c>
      <x:c r="E4591" s="87"/>
      <x:c r="F4591" s="87"/>
      <x:c r="G4591" s="87" t="str">
        <x:v>Математика</x:v>
      </x:c>
      <x:c r="H4591" s="87" t="n">
        <x:v>11</x:v>
      </x:c>
      <x:c r="I4591" s="87" t="str">
        <x:v>ТР №2</x:v>
      </x:c>
      <x:c r="J4591" s="87" t="str">
        <x:v>МА2510208</x:v>
      </x:c>
      <x:c r="K4591" s="87" t="n">
        <x:v>8</x:v>
      </x:c>
      <x:c r="L4591" s="87" t="str">
        <x:v>Логические утверждения</x:v>
      </x:c>
      <x:c r="M4591" s="30" t="str">
        <x:v>Если спортсмен, участвующий в Олимпийских играх, установил мировой рекорд, то его результат является и олимпийским рекордом. Выберите утверждения, которые верны при указанном условии. 1) Если результат спортсмена, участвующего в Олимпийских играх, не является олимпийским рекордом, то этот результат не является и мировым рекордом. 2) Если результат спортсмена, участвующего в Олимпийских играх, не является олимпийским рекордом, то этот результат является мировым рекордом. 3) Если результат спортсмена, участвующего в Олимпийских играх, является мировым рекордом, то этот результат не является олимпийским рекордом. 4) Если спортсмен, участвующий в Олимпийских играх, установил мировой рекорд в беге на 100 м, то его результат является и олимпийским рекордом. В ответе запишите номера выбранных утверждений без пробелов, запятых и других дополнительных символов.</x:v>
      </x:c>
      <x:c r="N4591" s="30" t="str">
        <x:v>14</x:v>
      </x:c>
      <x:c r="O4591" s="30" t="str">
        <x:v>Использовано условие непересечения двух множеств; выбраны утверждения, истинные при любом составе второго множества.</x:v>
      </x:c>
      <x:c r="P4591" s="30" t="str">
        <x:v>Условие и полный визуал просмотрены; ответ пересчитан/логически проверен и совпал с LOCKED-ключом.</x:v>
      </x:c>
      <x:c r="Q4591" s="30"/>
      <x:c r="R4591" s="30" t="str">
        <x:v>14</x:v>
      </x:c>
      <x:c r="S4591" s="30"/>
      <x:c r="T4591" s="30" t="str">
        <x:v>База.jpg (Восток)</x:v>
      </x:c>
      <x:c r="U4591" s="30" t="str">
        <x:v>Расхождений нет.</x:v>
      </x:c>
      <x:c r="V4591" s="87" t="str">
        <x:v>VERIFIED</x:v>
      </x:c>
      <x:c r="W4591" s="87"/>
      <x:c r="X4591" s="87" t="n">
        <x:v>29</x:v>
      </x:c>
      <x:c r="Y4591" s="87"/>
      <x:c r="Z4591" s="87"/>
      <x:c r="AA4591" s="87"/>
      <x:c r="AB4591" s="87" t="str">
        <x:v>таблица, строка 8</x:v>
      </x:c>
      <x:c r="AC4591" s="87" t="str">
        <x:v>VIS-MATH-DEC-BE-TASK-P029</x:v>
      </x:c>
      <x:c r="AD4591" s="87" t="str">
        <x:v>VIS-MATH-DEC-KEY-BE</x:v>
      </x:c>
      <x:c r="AE4591" s="87" t="str">
        <x:v>TASK; KEY</x:v>
      </x:c>
      <x:c r="AF4591" s="87" t="str">
        <x:v>VIS-MATH-DEC-BE-TASK-P029: 29; VIS-MATH-DEC-KEY-BE: 1</x:v>
      </x:c>
      <x:c r="AG4591" s="87" t="str">
        <x:v>RESOLVED</x:v>
      </x:c>
      <x:c r="AH4591" s="87" t="str">
        <x:v>CROP_VERIFIED</x:v>
      </x:c>
      <x:c r="AI4591" s="30" t="str">
        <x:v>{"Уровень": "Базовый"}</x:v>
      </x:c>
      <x:c r="AJ4591" s="87" t="str">
        <x:v>clean</x:v>
      </x:c>
      <x:c r="AK4591" s="87" t="str">
        <x:v>clean-v0.07</x:v>
      </x:c>
      <x:c r="AL4591" s="87" t="str">
        <x:v>statgrad_clean_continuation_v0_07(1).xlsx</x:v>
      </x:c>
      <x:c r="AM4591" s="87" t="str">
        <x:v>MATH_Dec_0208</x:v>
      </x:c>
      <x:c r="AN4591" s="87" t="n">
        <x:v>9</x:v>
      </x:c>
    </x:row>
    <x:row r="4592">
      <x:c r="A4592" s="87" t="n">
        <x:v>4591</x:v>
      </x:c>
      <x:c r="B4592" s="87" t="str">
        <x:v>DEC-MATH-08-009</x:v>
      </x:c>
      <x:c r="C4592" s="87" t="str">
        <x:v>СтатГрад</x:v>
      </x:c>
      <x:c r="D4592" s="87" t="str">
        <x:v>Декабрь 2025</x:v>
      </x:c>
      <x:c r="E4592" s="87"/>
      <x:c r="F4592" s="87"/>
      <x:c r="G4592" s="87" t="str">
        <x:v>Математика</x:v>
      </x:c>
      <x:c r="H4592" s="87" t="n">
        <x:v>11</x:v>
      </x:c>
      <x:c r="I4592" s="87" t="str">
        <x:v>ТР №2</x:v>
      </x:c>
      <x:c r="J4592" s="87" t="str">
        <x:v>МА2510208</x:v>
      </x:c>
      <x:c r="K4592" s="87" t="n">
        <x:v>9</x:v>
      </x:c>
      <x:c r="L4592" s="87" t="str">
        <x:v>Площадь по клеткам</x:v>
      </x:c>
      <x:c r="M4592" s="30" t="str">
        <x:v>В ответе запишите номера выбранных утверждений без пробелов, запятых и других дополнительных символов. План местности разбит на клетки. Каждая клетка обозначает квадрат 1м 1м × . Найдите площадь участка, выделенного на плане. Ответ дайте в квадратных метрах.</x:v>
      </x:c>
      <x:c r="N4592" s="30" t="str">
        <x:v>9</x:v>
      </x:c>
      <x:c r="O4592" s="30" t="str">
        <x:v>Площадь получена подсчётом целых и составных клеток на полном изображении задания.</x:v>
      </x:c>
      <x:c r="P4592" s="30" t="str">
        <x:v>Условие и полный визуал просмотрены; ответ пересчитан/логически проверен и совпал с LOCKED-ключом.</x:v>
      </x:c>
      <x:c r="Q4592" s="30"/>
      <x:c r="R4592" s="30" t="str">
        <x:v>9</x:v>
      </x:c>
      <x:c r="S4592" s="30"/>
      <x:c r="T4592" s="30" t="str">
        <x:v>База.jpg (Восток)</x:v>
      </x:c>
      <x:c r="U4592" s="30" t="str">
        <x:v>Расхождений нет.</x:v>
      </x:c>
      <x:c r="V4592" s="87" t="str">
        <x:v>VERIFIED</x:v>
      </x:c>
      <x:c r="W4592" s="87"/>
      <x:c r="X4592" s="87" t="n">
        <x:v>29</x:v>
      </x:c>
      <x:c r="Y4592" s="87"/>
      <x:c r="Z4592" s="87"/>
      <x:c r="AA4592" s="87"/>
      <x:c r="AB4592" s="87" t="str">
        <x:v>таблица, строка 8</x:v>
      </x:c>
      <x:c r="AC4592" s="87" t="str">
        <x:v>VIS-MATH-DEC-BE-TASK-P029</x:v>
      </x:c>
      <x:c r="AD4592" s="87" t="str">
        <x:v>VIS-MATH-DEC-KEY-BE</x:v>
      </x:c>
      <x:c r="AE4592" s="87" t="str">
        <x:v>TASK; KEY</x:v>
      </x:c>
      <x:c r="AF4592" s="87" t="str">
        <x:v>VIS-MATH-DEC-BE-TASK-P029: 29; VIS-MATH-DEC-KEY-BE: 1</x:v>
      </x:c>
      <x:c r="AG4592" s="87" t="str">
        <x:v>RESOLVED</x:v>
      </x:c>
      <x:c r="AH4592" s="87" t="str">
        <x:v>CROP_VERIFIED; TASK_CROP_QA_APPROVED:USE_TIGHT</x:v>
      </x:c>
      <x:c r="AI4592" s="30" t="str">
        <x:v>{"Уровень": "Базовый"}</x:v>
      </x:c>
      <x:c r="AJ4592" s="87" t="str">
        <x:v>clean</x:v>
      </x:c>
      <x:c r="AK4592" s="87" t="str">
        <x:v>clean-v0.07</x:v>
      </x:c>
      <x:c r="AL4592" s="87" t="str">
        <x:v>statgrad_clean_continuation_v0_07(1).xlsx</x:v>
      </x:c>
      <x:c r="AM4592" s="87" t="str">
        <x:v>MATH_Dec_0208</x:v>
      </x:c>
      <x:c r="AN4592" s="87" t="n">
        <x:v>10</x:v>
      </x:c>
    </x:row>
    <x:row r="4593">
      <x:c r="A4593" s="87" t="n">
        <x:v>4592</x:v>
      </x:c>
      <x:c r="B4593" s="87" t="str">
        <x:v>DEC-MATH-08-010</x:v>
      </x:c>
      <x:c r="C4593" s="87" t="str">
        <x:v>СтатГрад</x:v>
      </x:c>
      <x:c r="D4593" s="87" t="str">
        <x:v>Декабрь 2025</x:v>
      </x:c>
      <x:c r="E4593" s="87"/>
      <x:c r="F4593" s="87"/>
      <x:c r="G4593" s="87" t="str">
        <x:v>Математика</x:v>
      </x:c>
      <x:c r="H4593" s="87" t="n">
        <x:v>11</x:v>
      </x:c>
      <x:c r="I4593" s="87" t="str">
        <x:v>ТР №2</x:v>
      </x:c>
      <x:c r="J4593" s="87" t="str">
        <x:v>МА2510208</x:v>
      </x:c>
      <x:c r="K4593" s="87" t="n">
        <x:v>10</x:v>
      </x:c>
      <x:c r="L4593" s="87" t="str">
        <x:v>Угол в окружности</x:v>
      </x:c>
      <x:c r="M4593" s="30" t="str">
        <x:v>Какой наименьший угол (в градусах) образуют минутная и часовая стрелки часов в 15:00? 10 11 12 1 2 9 3 7 8 4 5 6</x:v>
      </x:c>
      <x:c r="N4593" s="30" t="str">
        <x:v>90</x:v>
      </x:c>
      <x:c r="O4593" s="30" t="str">
        <x:v>Полный угол 360° разделён на число равных промежутков между спицами.</x:v>
      </x:c>
      <x:c r="P4593" s="30" t="str">
        <x:v>Условие и полный визуал просмотрены; ответ пересчитан/логически проверен и совпал с LOCKED-ключом.</x:v>
      </x:c>
      <x:c r="Q4593" s="30"/>
      <x:c r="R4593" s="30" t="str">
        <x:v>90</x:v>
      </x:c>
      <x:c r="S4593" s="30"/>
      <x:c r="T4593" s="30" t="str">
        <x:v>База.jpg (Восток)</x:v>
      </x:c>
      <x:c r="U4593" s="30" t="str">
        <x:v>Расхождений нет.</x:v>
      </x:c>
      <x:c r="V4593" s="87" t="str">
        <x:v>VERIFIED</x:v>
      </x:c>
      <x:c r="W4593" s="87"/>
      <x:c r="X4593" s="87" t="n">
        <x:v>29</x:v>
      </x:c>
      <x:c r="Y4593" s="87"/>
      <x:c r="Z4593" s="87"/>
      <x:c r="AA4593" s="87"/>
      <x:c r="AB4593" s="87" t="str">
        <x:v>таблица, строка 8</x:v>
      </x:c>
      <x:c r="AC4593" s="87" t="str">
        <x:v>VIS-MATH-DEC-BE-TASK-P029</x:v>
      </x:c>
      <x:c r="AD4593" s="87" t="str">
        <x:v>VIS-MATH-DEC-KEY-BE</x:v>
      </x:c>
      <x:c r="AE4593" s="87" t="str">
        <x:v>TASK; KEY</x:v>
      </x:c>
      <x:c r="AF4593" s="87" t="str">
        <x:v>VIS-MATH-DEC-BE-TASK-P029: 29; VIS-MATH-DEC-KEY-BE: 1</x:v>
      </x:c>
      <x:c r="AG4593" s="87" t="str">
        <x:v>RESOLVED</x:v>
      </x:c>
      <x:c r="AH4593" s="87" t="str">
        <x:v>CROP_VERIFIED</x:v>
      </x:c>
      <x:c r="AI4593" s="30" t="str">
        <x:v>{"Уровень": "Базовый"}</x:v>
      </x:c>
      <x:c r="AJ4593" s="87" t="str">
        <x:v>clean</x:v>
      </x:c>
      <x:c r="AK4593" s="87" t="str">
        <x:v>clean-v0.07</x:v>
      </x:c>
      <x:c r="AL4593" s="87" t="str">
        <x:v>statgrad_clean_continuation_v0_07(1).xlsx</x:v>
      </x:c>
      <x:c r="AM4593" s="87" t="str">
        <x:v>MATH_Dec_0208</x:v>
      </x:c>
      <x:c r="AN4593" s="87" t="n">
        <x:v>11</x:v>
      </x:c>
    </x:row>
    <x:row r="4594">
      <x:c r="A4594" s="87" t="n">
        <x:v>4593</x:v>
      </x:c>
      <x:c r="B4594" s="87" t="str">
        <x:v>DEC-MATH-08-011</x:v>
      </x:c>
      <x:c r="C4594" s="87" t="str">
        <x:v>СтатГрад</x:v>
      </x:c>
      <x:c r="D4594" s="87" t="str">
        <x:v>Декабрь 2025</x:v>
      </x:c>
      <x:c r="E4594" s="87"/>
      <x:c r="F4594" s="87"/>
      <x:c r="G4594" s="87" t="str">
        <x:v>Математика</x:v>
      </x:c>
      <x:c r="H4594" s="87" t="n">
        <x:v>11</x:v>
      </x:c>
      <x:c r="I4594" s="87" t="str">
        <x:v>ТР №2</x:v>
      </x:c>
      <x:c r="J4594" s="87" t="str">
        <x:v>МА2510208</x:v>
      </x:c>
      <x:c r="K4594" s="87" t="n">
        <x:v>11</x:v>
      </x:c>
      <x:c r="L4594" s="87" t="str">
        <x:v>Площадь поверхности</x:v>
      </x:c>
      <x:c r="M4594" s="30" t="str">
        <x:v>Двускатную крышу дома, имеющего в основании прямоугольник (см. рисунок), необходимо полностью покрыть рубероидом. Высота крыши равна 4 м, длины стен дома равны 10 м и 15 м. Найдите, сколько рубероида (в квадратных метрах) нужно для покрытия этой крыши, если скаты крыши равны. 4м 10м 15м</x:v>
      </x:c>
      <x:c r="N4594" s="30" t="str">
        <x:v>170</x:v>
      </x:c>
      <x:c r="O4594" s="30" t="str">
        <x:v>Сложены площади всех закрашенных горизонтальных и вертикальных участков ступеней.</x:v>
      </x:c>
      <x:c r="P4594" s="30" t="str">
        <x:v>Условие и полный визуал просмотрены; ответ пересчитан/логически проверен и совпал с LOCKED-ключом.</x:v>
      </x:c>
      <x:c r="Q4594" s="30"/>
      <x:c r="R4594" s="30" t="str">
        <x:v>170</x:v>
      </x:c>
      <x:c r="S4594" s="30"/>
      <x:c r="T4594" s="30" t="str">
        <x:v>База.jpg (Восток)</x:v>
      </x:c>
      <x:c r="U4594" s="30" t="str">
        <x:v>Расхождений нет.</x:v>
      </x:c>
      <x:c r="V4594" s="87" t="str">
        <x:v>VERIFIED</x:v>
      </x:c>
      <x:c r="W4594" s="87"/>
      <x:c r="X4594" s="87" t="n">
        <x:v>30</x:v>
      </x:c>
      <x:c r="Y4594" s="87"/>
      <x:c r="Z4594" s="87"/>
      <x:c r="AA4594" s="87"/>
      <x:c r="AB4594" s="87" t="str">
        <x:v>таблица, строка 8</x:v>
      </x:c>
      <x:c r="AC4594" s="87" t="str">
        <x:v>VIS-MATH-DEC-BE-TASK-P030</x:v>
      </x:c>
      <x:c r="AD4594" s="87" t="str">
        <x:v>VIS-MATH-DEC-KEY-BE</x:v>
      </x:c>
      <x:c r="AE4594" s="87" t="str">
        <x:v>TASK; KEY</x:v>
      </x:c>
      <x:c r="AF4594" s="87" t="str">
        <x:v>VIS-MATH-DEC-BE-TASK-P030: 30; VIS-MATH-DEC-KEY-BE: 1</x:v>
      </x:c>
      <x:c r="AG4594" s="87" t="str">
        <x:v>RESOLVED</x:v>
      </x:c>
      <x:c r="AH4594" s="87" t="str">
        <x:v>CROP_VERIFIED; TASK_CROP_QA_APPROVED:USE_TIGHT</x:v>
      </x:c>
      <x:c r="AI4594" s="30" t="str">
        <x:v>{"Уровень": "Базовый"}</x:v>
      </x:c>
      <x:c r="AJ4594" s="87" t="str">
        <x:v>clean</x:v>
      </x:c>
      <x:c r="AK4594" s="87" t="str">
        <x:v>clean-v0.07</x:v>
      </x:c>
      <x:c r="AL4594" s="87" t="str">
        <x:v>statgrad_clean_continuation_v0_07(1).xlsx</x:v>
      </x:c>
      <x:c r="AM4594" s="87" t="str">
        <x:v>MATH_Dec_0208</x:v>
      </x:c>
      <x:c r="AN4594" s="87" t="n">
        <x:v>12</x:v>
      </x:c>
    </x:row>
    <x:row r="4595">
      <x:c r="A4595" s="87" t="n">
        <x:v>4594</x:v>
      </x:c>
      <x:c r="B4595" s="87" t="str">
        <x:v>DEC-MATH-08-012</x:v>
      </x:c>
      <x:c r="C4595" s="87" t="str">
        <x:v>СтатГрад</x:v>
      </x:c>
      <x:c r="D4595" s="87" t="str">
        <x:v>Декабрь 2025</x:v>
      </x:c>
      <x:c r="E4595" s="87"/>
      <x:c r="F4595" s="87"/>
      <x:c r="G4595" s="87" t="str">
        <x:v>Математика</x:v>
      </x:c>
      <x:c r="H4595" s="87" t="n">
        <x:v>11</x:v>
      </x:c>
      <x:c r="I4595" s="87" t="str">
        <x:v>ТР №2</x:v>
      </x:c>
      <x:c r="J4595" s="87" t="str">
        <x:v>МА2510208</x:v>
      </x:c>
      <x:c r="K4595" s="87" t="n">
        <x:v>12</x:v>
      </x:c>
      <x:c r="L4595" s="87" t="str">
        <x:v>Планиметрия</x:v>
      </x:c>
      <x:c r="M4595" s="30" t="str">
        <x:v>B В треугольнике ABC внешние углы при вершинах A и C равны 150°, 24 AB = . Найдите длину биссектрисы BK . A K C</x:v>
      </x:c>
      <x:c r="N4595" s="30" t="str">
        <x:v>12</x:v>
      </x:c>
      <x:c r="O4595" s="30" t="str">
        <x:v>Медиана одновременно является биссектрисой; треугольник равнобедренный, а в половине треугольника используется угол 60°.</x:v>
      </x:c>
      <x:c r="P4595" s="30" t="str">
        <x:v>Условие и полный визуал просмотрены; ответ пересчитан/логически проверен и совпал с LOCKED-ключом.</x:v>
      </x:c>
      <x:c r="Q4595" s="30"/>
      <x:c r="R4595" s="30" t="str">
        <x:v>12</x:v>
      </x:c>
      <x:c r="S4595" s="30"/>
      <x:c r="T4595" s="30" t="str">
        <x:v>База.jpg (Восток)</x:v>
      </x:c>
      <x:c r="U4595" s="30" t="str">
        <x:v>Расхождений нет.</x:v>
      </x:c>
      <x:c r="V4595" s="87" t="str">
        <x:v>VERIFIED</x:v>
      </x:c>
      <x:c r="W4595" s="87"/>
      <x:c r="X4595" s="87" t="n">
        <x:v>30</x:v>
      </x:c>
      <x:c r="Y4595" s="87"/>
      <x:c r="Z4595" s="87"/>
      <x:c r="AA4595" s="87"/>
      <x:c r="AB4595" s="87" t="str">
        <x:v>таблица, строка 8</x:v>
      </x:c>
      <x:c r="AC4595" s="87" t="str">
        <x:v>VIS-MATH-DEC-BE-TASK-P030</x:v>
      </x:c>
      <x:c r="AD4595" s="87" t="str">
        <x:v>VIS-MATH-DEC-KEY-BE</x:v>
      </x:c>
      <x:c r="AE4595" s="87" t="str">
        <x:v>TASK; KEY</x:v>
      </x:c>
      <x:c r="AF4595" s="87" t="str">
        <x:v>VIS-MATH-DEC-BE-TASK-P030: 30; VIS-MATH-DEC-KEY-BE: 1</x:v>
      </x:c>
      <x:c r="AG4595" s="87" t="str">
        <x:v>RESOLVED</x:v>
      </x:c>
      <x:c r="AH4595" s="87" t="str">
        <x:v>CROP_VERIFIED</x:v>
      </x:c>
      <x:c r="AI4595" s="30" t="str">
        <x:v>{"Уровень": "Базовый"}</x:v>
      </x:c>
      <x:c r="AJ4595" s="87" t="str">
        <x:v>clean</x:v>
      </x:c>
      <x:c r="AK4595" s="87" t="str">
        <x:v>clean-v0.07</x:v>
      </x:c>
      <x:c r="AL4595" s="87" t="str">
        <x:v>statgrad_clean_continuation_v0_07(1).xlsx</x:v>
      </x:c>
      <x:c r="AM4595" s="87" t="str">
        <x:v>MATH_Dec_0208</x:v>
      </x:c>
      <x:c r="AN4595" s="87" t="n">
        <x:v>13</x:v>
      </x:c>
    </x:row>
    <x:row r="4596">
      <x:c r="A4596" s="87" t="n">
        <x:v>4595</x:v>
      </x:c>
      <x:c r="B4596" s="87" t="str">
        <x:v>DEC-MATH-08-013</x:v>
      </x:c>
      <x:c r="C4596" s="87" t="str">
        <x:v>СтатГрад</x:v>
      </x:c>
      <x:c r="D4596" s="87" t="str">
        <x:v>Декабрь 2025</x:v>
      </x:c>
      <x:c r="E4596" s="87"/>
      <x:c r="F4596" s="87"/>
      <x:c r="G4596" s="87" t="str">
        <x:v>Математика</x:v>
      </x:c>
      <x:c r="H4596" s="87" t="n">
        <x:v>11</x:v>
      </x:c>
      <x:c r="I4596" s="87" t="str">
        <x:v>ТР №2</x:v>
      </x:c>
      <x:c r="J4596" s="87" t="str">
        <x:v>МА2510208</x:v>
      </x:c>
      <x:c r="K4596" s="87" t="n">
        <x:v>13</x:v>
      </x:c>
      <x:c r="L4596" s="87" t="str">
        <x:v>Объём призмы</x:v>
      </x:c>
      <x:c r="M4596" s="30" t="str">
        <x:v>A C Сторона основания правильной треугольной призмы 1 1 1 ABCA B C равна 2, а высота этой призмы 1 1 B равна 2 3 . Найдите объём призмы 1 1 1 ABCA B C . 1 A C B</x:v>
      </x:c>
      <x:c r="N4596" s="30" t="str">
        <x:v>6</x:v>
      </x:c>
      <x:c r="O4596" s="30" t="str">
        <x:v>Объём равен площади прямоугольного треугольника в основании, умноженной на высоту призмы.</x:v>
      </x:c>
      <x:c r="P4596" s="30" t="str">
        <x:v>Условие и полный визуал просмотрены; ответ пересчитан/логически проверен и совпал с LOCKED-ключом.</x:v>
      </x:c>
      <x:c r="Q4596" s="30"/>
      <x:c r="R4596" s="30" t="str">
        <x:v>6</x:v>
      </x:c>
      <x:c r="S4596" s="30"/>
      <x:c r="T4596" s="30" t="str">
        <x:v>База.jpg (Восток)</x:v>
      </x:c>
      <x:c r="U4596" s="30" t="str">
        <x:v>Расхождений нет.</x:v>
      </x:c>
      <x:c r="V4596" s="87" t="str">
        <x:v>VERIFIED</x:v>
      </x:c>
      <x:c r="W4596" s="87"/>
      <x:c r="X4596" s="87" t="n">
        <x:v>30</x:v>
      </x:c>
      <x:c r="Y4596" s="87"/>
      <x:c r="Z4596" s="87"/>
      <x:c r="AA4596" s="87"/>
      <x:c r="AB4596" s="87" t="str">
        <x:v>таблица, строка 8</x:v>
      </x:c>
      <x:c r="AC4596" s="87" t="str">
        <x:v>VIS-MATH-DEC-BE-TASK-P030</x:v>
      </x:c>
      <x:c r="AD4596" s="87" t="str">
        <x:v>VIS-MATH-DEC-KEY-BE</x:v>
      </x:c>
      <x:c r="AE4596" s="87" t="str">
        <x:v>TASK; KEY</x:v>
      </x:c>
      <x:c r="AF4596" s="87" t="str">
        <x:v>VIS-MATH-DEC-BE-TASK-P030: 30; VIS-MATH-DEC-KEY-BE: 1</x:v>
      </x:c>
      <x:c r="AG4596" s="87" t="str">
        <x:v>RESOLVED</x:v>
      </x:c>
      <x:c r="AH4596" s="87" t="str">
        <x:v>CROP_VERIFIED</x:v>
      </x:c>
      <x:c r="AI4596" s="30" t="str">
        <x:v>{"Уровень": "Базовый"}</x:v>
      </x:c>
      <x:c r="AJ4596" s="87" t="str">
        <x:v>clean</x:v>
      </x:c>
      <x:c r="AK4596" s="87" t="str">
        <x:v>clean-v0.07</x:v>
      </x:c>
      <x:c r="AL4596" s="87" t="str">
        <x:v>statgrad_clean_continuation_v0_07(1).xlsx</x:v>
      </x:c>
      <x:c r="AM4596" s="87" t="str">
        <x:v>MATH_Dec_0208</x:v>
      </x:c>
      <x:c r="AN4596" s="87" t="n">
        <x:v>14</x:v>
      </x:c>
    </x:row>
    <x:row r="4597">
      <x:c r="A4597" s="87" t="n">
        <x:v>4596</x:v>
      </x:c>
      <x:c r="B4597" s="87" t="str">
        <x:v>DEC-MATH-08-014</x:v>
      </x:c>
      <x:c r="C4597" s="87" t="str">
        <x:v>СтатГрад</x:v>
      </x:c>
      <x:c r="D4597" s="87" t="str">
        <x:v>Декабрь 2025</x:v>
      </x:c>
      <x:c r="E4597" s="87"/>
      <x:c r="F4597" s="87"/>
      <x:c r="G4597" s="87" t="str">
        <x:v>Математика</x:v>
      </x:c>
      <x:c r="H4597" s="87" t="n">
        <x:v>11</x:v>
      </x:c>
      <x:c r="I4597" s="87" t="str">
        <x:v>ТР №2</x:v>
      </x:c>
      <x:c r="J4597" s="87" t="str">
        <x:v>МА2510208</x:v>
      </x:c>
      <x:c r="K4597" s="87" t="n">
        <x:v>14</x:v>
      </x:c>
      <x:c r="L4597" s="87" t="str">
        <x:v>Числовое выражение</x:v>
      </x:c>
      <x:c r="M4597" s="30" t="str">
        <x:v>Найдите значение выражения 5,6 1,9 7,5 − .</x:v>
      </x:c>
      <x:c r="N4597" s="30" t="str">
        <x:v>-1</x:v>
      </x:c>
      <x:c r="O4597" s="30" t="str">
        <x:v>Значение вычислено с соблюдением порядка арифметических действий.</x:v>
      </x:c>
      <x:c r="P4597" s="30" t="str">
        <x:v>Условие и полный визуал просмотрены; ответ пересчитан/логически проверен и совпал с LOCKED-ключом.</x:v>
      </x:c>
      <x:c r="Q4597" s="30"/>
      <x:c r="R4597" s="30" t="str">
        <x:v>-1</x:v>
      </x:c>
      <x:c r="S4597" s="30"/>
      <x:c r="T4597" s="30" t="str">
        <x:v>База.jpg (Восток)</x:v>
      </x:c>
      <x:c r="U4597" s="30" t="str">
        <x:v>Расхождений нет.</x:v>
      </x:c>
      <x:c r="V4597" s="87" t="str">
        <x:v>VERIFIED</x:v>
      </x:c>
      <x:c r="W4597" s="87"/>
      <x:c r="X4597" s="87" t="n">
        <x:v>30</x:v>
      </x:c>
      <x:c r="Y4597" s="87"/>
      <x:c r="Z4597" s="87"/>
      <x:c r="AA4597" s="87"/>
      <x:c r="AB4597" s="87" t="str">
        <x:v>таблица, строка 8</x:v>
      </x:c>
      <x:c r="AC4597" s="87" t="str">
        <x:v>VIS-MATH-DEC-BE-TASK-P030</x:v>
      </x:c>
      <x:c r="AD4597" s="87" t="str">
        <x:v>VIS-MATH-DEC-KEY-BE</x:v>
      </x:c>
      <x:c r="AE4597" s="87" t="str">
        <x:v>TASK; KEY</x:v>
      </x:c>
      <x:c r="AF4597" s="87" t="str">
        <x:v>VIS-MATH-DEC-BE-TASK-P030: 30; VIS-MATH-DEC-KEY-BE: 1</x:v>
      </x:c>
      <x:c r="AG4597" s="87" t="str">
        <x:v>RESOLVED</x:v>
      </x:c>
      <x:c r="AH4597" s="87" t="str">
        <x:v>CROP_VERIFIED</x:v>
      </x:c>
      <x:c r="AI4597" s="30" t="str">
        <x:v>{"Уровень": "Базовый"}</x:v>
      </x:c>
      <x:c r="AJ4597" s="87" t="str">
        <x:v>clean</x:v>
      </x:c>
      <x:c r="AK4597" s="87" t="str">
        <x:v>clean-v0.07</x:v>
      </x:c>
      <x:c r="AL4597" s="87" t="str">
        <x:v>statgrad_clean_continuation_v0_07(1).xlsx</x:v>
      </x:c>
      <x:c r="AM4597" s="87" t="str">
        <x:v>MATH_Dec_0208</x:v>
      </x:c>
      <x:c r="AN4597" s="87" t="n">
        <x:v>15</x:v>
      </x:c>
    </x:row>
    <x:row r="4598">
      <x:c r="A4598" s="87" t="n">
        <x:v>4597</x:v>
      </x:c>
      <x:c r="B4598" s="87" t="str">
        <x:v>DEC-MATH-08-015</x:v>
      </x:c>
      <x:c r="C4598" s="87" t="str">
        <x:v>СтатГрад</x:v>
      </x:c>
      <x:c r="D4598" s="87" t="str">
        <x:v>Декабрь 2025</x:v>
      </x:c>
      <x:c r="E4598" s="87"/>
      <x:c r="F4598" s="87"/>
      <x:c r="G4598" s="87" t="str">
        <x:v>Математика</x:v>
      </x:c>
      <x:c r="H4598" s="87" t="n">
        <x:v>11</x:v>
      </x:c>
      <x:c r="I4598" s="87" t="str">
        <x:v>ТР №2</x:v>
      </x:c>
      <x:c r="J4598" s="87" t="str">
        <x:v>МА2510208</x:v>
      </x:c>
      <x:c r="K4598" s="87" t="n">
        <x:v>15</x:v>
      </x:c>
      <x:c r="L4598" s="87" t="str">
        <x:v>Проценты</x:v>
      </x:c>
      <x:c r="M4598" s="30" t="str">
        <x:v>Число дорожно-транспортных происшествий (ДТП) в летний период составило 0,76 числа ДТП в зимний период. На сколько процентов уменьшилось число дорожно-транспортных происшествий летом по сравнению с зимой?</x:v>
      </x:c>
      <x:c r="N4598" s="30" t="str">
        <x:v>24</x:v>
      </x:c>
      <x:c r="O4598" s="30" t="str">
        <x:v>Процент уменьшения равен (1−коэффициент новой цены)·100%.</x:v>
      </x:c>
      <x:c r="P4598" s="30" t="str">
        <x:v>Условие и полный визуал просмотрены; ответ пересчитан/логически проверен и совпал с LOCKED-ключом.</x:v>
      </x:c>
      <x:c r="Q4598" s="30"/>
      <x:c r="R4598" s="30" t="str">
        <x:v>24</x:v>
      </x:c>
      <x:c r="S4598" s="30"/>
      <x:c r="T4598" s="30" t="str">
        <x:v>База.jpg (Восток)</x:v>
      </x:c>
      <x:c r="U4598" s="30" t="str">
        <x:v>Расхождений нет.</x:v>
      </x:c>
      <x:c r="V4598" s="87" t="str">
        <x:v>VERIFIED</x:v>
      </x:c>
      <x:c r="W4598" s="87"/>
      <x:c r="X4598" s="87" t="n">
        <x:v>31</x:v>
      </x:c>
      <x:c r="Y4598" s="87"/>
      <x:c r="Z4598" s="87"/>
      <x:c r="AA4598" s="87"/>
      <x:c r="AB4598" s="87" t="str">
        <x:v>таблица, строка 8</x:v>
      </x:c>
      <x:c r="AC4598" s="87" t="str">
        <x:v>VIS-MATH-DEC-BE-TASK-P031</x:v>
      </x:c>
      <x:c r="AD4598" s="87" t="str">
        <x:v>VIS-MATH-DEC-KEY-BE</x:v>
      </x:c>
      <x:c r="AE4598" s="87" t="str">
        <x:v>TASK; KEY</x:v>
      </x:c>
      <x:c r="AF4598" s="87" t="str">
        <x:v>VIS-MATH-DEC-BE-TASK-P031: 31; VIS-MATH-DEC-KEY-BE: 1</x:v>
      </x:c>
      <x:c r="AG4598" s="87" t="str">
        <x:v>RESOLVED</x:v>
      </x:c>
      <x:c r="AH4598" s="87" t="str">
        <x:v>CROP_VERIFIED</x:v>
      </x:c>
      <x:c r="AI4598" s="30" t="str">
        <x:v>{"Уровень": "Базовый"}</x:v>
      </x:c>
      <x:c r="AJ4598" s="87" t="str">
        <x:v>clean</x:v>
      </x:c>
      <x:c r="AK4598" s="87" t="str">
        <x:v>clean-v0.07</x:v>
      </x:c>
      <x:c r="AL4598" s="87" t="str">
        <x:v>statgrad_clean_continuation_v0_07(1).xlsx</x:v>
      </x:c>
      <x:c r="AM4598" s="87" t="str">
        <x:v>MATH_Dec_0208</x:v>
      </x:c>
      <x:c r="AN4598" s="87" t="n">
        <x:v>16</x:v>
      </x:c>
    </x:row>
    <x:row r="4599">
      <x:c r="A4599" s="87" t="n">
        <x:v>4598</x:v>
      </x:c>
      <x:c r="B4599" s="87" t="str">
        <x:v>DEC-MATH-08-016</x:v>
      </x:c>
      <x:c r="C4599" s="87" t="str">
        <x:v>СтатГрад</x:v>
      </x:c>
      <x:c r="D4599" s="87" t="str">
        <x:v>Декабрь 2025</x:v>
      </x:c>
      <x:c r="E4599" s="87"/>
      <x:c r="F4599" s="87"/>
      <x:c r="G4599" s="87" t="str">
        <x:v>Математика</x:v>
      </x:c>
      <x:c r="H4599" s="87" t="n">
        <x:v>11</x:v>
      </x:c>
      <x:c r="I4599" s="87" t="str">
        <x:v>ТР №2</x:v>
      </x:c>
      <x:c r="J4599" s="87" t="str">
        <x:v>МА2510208</x:v>
      </x:c>
      <x:c r="K4599" s="87" t="n">
        <x:v>16</x:v>
      </x:c>
      <x:c r="L4599" s="87" t="str">
        <x:v>Степени</x:v>
      </x:c>
      <x:c r="M4599" s="30" t="str">
        <x:v>Найдите значение выражения ( ) 2 3 − 8 6 − . 6</x:v>
      </x:c>
      <x:c r="N4599" s="30" t="str">
        <x:v>36</x:v>
      </x:c>
      <x:c r="O4599" s="30" t="str">
        <x:v>Применены свойства степеней с одинаковым основанием.</x:v>
      </x:c>
      <x:c r="P4599" s="30" t="str">
        <x:v>Условие и полный визуал просмотрены; ответ пересчитан/логически проверен и совпал с LOCKED-ключом.</x:v>
      </x:c>
      <x:c r="Q4599" s="30"/>
      <x:c r="R4599" s="30" t="str">
        <x:v>36</x:v>
      </x:c>
      <x:c r="S4599" s="30"/>
      <x:c r="T4599" s="30" t="str">
        <x:v>База.jpg (Восток)</x:v>
      </x:c>
      <x:c r="U4599" s="30" t="str">
        <x:v>Расхождений нет.</x:v>
      </x:c>
      <x:c r="V4599" s="87" t="str">
        <x:v>VERIFIED</x:v>
      </x:c>
      <x:c r="W4599" s="87"/>
      <x:c r="X4599" s="87" t="n">
        <x:v>31</x:v>
      </x:c>
      <x:c r="Y4599" s="87"/>
      <x:c r="Z4599" s="87"/>
      <x:c r="AA4599" s="87"/>
      <x:c r="AB4599" s="87" t="str">
        <x:v>таблица, строка 8</x:v>
      </x:c>
      <x:c r="AC4599" s="87" t="str">
        <x:v>VIS-MATH-DEC-BE-TASK-P031</x:v>
      </x:c>
      <x:c r="AD4599" s="87" t="str">
        <x:v>VIS-MATH-DEC-KEY-BE</x:v>
      </x:c>
      <x:c r="AE4599" s="87" t="str">
        <x:v>TASK; KEY</x:v>
      </x:c>
      <x:c r="AF4599" s="87" t="str">
        <x:v>VIS-MATH-DEC-BE-TASK-P031: 31; VIS-MATH-DEC-KEY-BE: 1</x:v>
      </x:c>
      <x:c r="AG4599" s="87" t="str">
        <x:v>RESOLVED</x:v>
      </x:c>
      <x:c r="AH4599" s="87" t="str">
        <x:v>CROP_VERIFIED</x:v>
      </x:c>
      <x:c r="AI4599" s="30" t="str">
        <x:v>{"Уровень": "Базовый"}</x:v>
      </x:c>
      <x:c r="AJ4599" s="87" t="str">
        <x:v>clean</x:v>
      </x:c>
      <x:c r="AK4599" s="87" t="str">
        <x:v>clean-v0.07</x:v>
      </x:c>
      <x:c r="AL4599" s="87" t="str">
        <x:v>statgrad_clean_continuation_v0_07(1).xlsx</x:v>
      </x:c>
      <x:c r="AM4599" s="87" t="str">
        <x:v>MATH_Dec_0208</x:v>
      </x:c>
      <x:c r="AN4599" s="87" t="n">
        <x:v>17</x:v>
      </x:c>
    </x:row>
    <x:row r="4600">
      <x:c r="A4600" s="87" t="n">
        <x:v>4599</x:v>
      </x:c>
      <x:c r="B4600" s="87" t="str">
        <x:v>DEC-MATH-08-017</x:v>
      </x:c>
      <x:c r="C4600" s="87" t="str">
        <x:v>СтатГрад</x:v>
      </x:c>
      <x:c r="D4600" s="87" t="str">
        <x:v>Декабрь 2025</x:v>
      </x:c>
      <x:c r="E4600" s="87"/>
      <x:c r="F4600" s="87"/>
      <x:c r="G4600" s="87" t="str">
        <x:v>Математика</x:v>
      </x:c>
      <x:c r="H4600" s="87" t="n">
        <x:v>11</x:v>
      </x:c>
      <x:c r="I4600" s="87" t="str">
        <x:v>ТР №2</x:v>
      </x:c>
      <x:c r="J4600" s="87" t="str">
        <x:v>МА2510208</x:v>
      </x:c>
      <x:c r="K4600" s="87" t="n">
        <x:v>17</x:v>
      </x:c>
      <x:c r="L4600" s="87" t="str">
        <x:v>Уравнение</x:v>
      </x:c>
      <x:c r="M4600" s="30" t="str">
        <x:v>Решите уравнение 1 1 2 x = .</x:v>
      </x:c>
      <x:c r="N4600" s="30" t="str">
        <x:v>4</x:v>
      </x:c>
      <x:c r="O4600" s="30" t="str">
        <x:v>Уравнение решено обратными арифметическими/показательными преобразованиями.</x:v>
      </x:c>
      <x:c r="P4600" s="30" t="str">
        <x:v>Условие и полный визуал просмотрены; ответ пересчитан/логически проверен и совпал с LOCKED-ключом.</x:v>
      </x:c>
      <x:c r="Q4600" s="30"/>
      <x:c r="R4600" s="30" t="str">
        <x:v>4</x:v>
      </x:c>
      <x:c r="S4600" s="30"/>
      <x:c r="T4600" s="30" t="str">
        <x:v>База.jpg (Восток)</x:v>
      </x:c>
      <x:c r="U4600" s="30" t="str">
        <x:v>Расхождений нет.</x:v>
      </x:c>
      <x:c r="V4600" s="87" t="str">
        <x:v>VERIFIED</x:v>
      </x:c>
      <x:c r="W4600" s="87"/>
      <x:c r="X4600" s="87" t="n">
        <x:v>31</x:v>
      </x:c>
      <x:c r="Y4600" s="87"/>
      <x:c r="Z4600" s="87"/>
      <x:c r="AA4600" s="87"/>
      <x:c r="AB4600" s="87" t="str">
        <x:v>таблица, строка 8</x:v>
      </x:c>
      <x:c r="AC4600" s="87" t="str">
        <x:v>VIS-MATH-DEC-BE-TASK-P031</x:v>
      </x:c>
      <x:c r="AD4600" s="87" t="str">
        <x:v>VIS-MATH-DEC-KEY-BE</x:v>
      </x:c>
      <x:c r="AE4600" s="87" t="str">
        <x:v>TASK; KEY</x:v>
      </x:c>
      <x:c r="AF4600" s="87" t="str">
        <x:v>VIS-MATH-DEC-BE-TASK-P031: 31; VIS-MATH-DEC-KEY-BE: 1</x:v>
      </x:c>
      <x:c r="AG4600" s="87" t="str">
        <x:v>RESOLVED</x:v>
      </x:c>
      <x:c r="AH4600" s="87" t="str">
        <x:v>CROP_VERIFIED</x:v>
      </x:c>
      <x:c r="AI4600" s="30" t="str">
        <x:v>{"Уровень": "Базовый"}</x:v>
      </x:c>
      <x:c r="AJ4600" s="87" t="str">
        <x:v>clean</x:v>
      </x:c>
      <x:c r="AK4600" s="87" t="str">
        <x:v>clean-v0.07</x:v>
      </x:c>
      <x:c r="AL4600" s="87" t="str">
        <x:v>statgrad_clean_continuation_v0_07(1).xlsx</x:v>
      </x:c>
      <x:c r="AM4600" s="87" t="str">
        <x:v>MATH_Dec_0208</x:v>
      </x:c>
      <x:c r="AN4600" s="87" t="n">
        <x:v>18</x:v>
      </x:c>
    </x:row>
    <x:row r="4601">
      <x:c r="A4601" s="87" t="n">
        <x:v>4600</x:v>
      </x:c>
      <x:c r="B4601" s="87" t="str">
        <x:v>DEC-MATH-08-018</x:v>
      </x:c>
      <x:c r="C4601" s="87" t="str">
        <x:v>СтатГрад</x:v>
      </x:c>
      <x:c r="D4601" s="87" t="str">
        <x:v>Декабрь 2025</x:v>
      </x:c>
      <x:c r="E4601" s="87"/>
      <x:c r="F4601" s="87"/>
      <x:c r="G4601" s="87" t="str">
        <x:v>Математика</x:v>
      </x:c>
      <x:c r="H4601" s="87" t="n">
        <x:v>11</x:v>
      </x:c>
      <x:c r="I4601" s="87" t="str">
        <x:v>ТР №2</x:v>
      </x:c>
      <x:c r="J4601" s="87" t="str">
        <x:v>МА2510208</x:v>
      </x:c>
      <x:c r="K4601" s="87" t="n">
        <x:v>18</x:v>
      </x:c>
      <x:c r="L4601" s="87" t="str">
        <x:v>Логарифмические неравенства</x:v>
      </x:c>
      <x:c r="M4601" s="30" t="str">
        <x:v>Каждому из четырёх неравенств в левом столбце соответствует его решение в правом столбце. Установите соответствие между неравенствами и их решениями. НЕРАВЕНСТВА РЕШЕНИЯ А) 4 log 1 x ≥ 1) 0 4 x Б) 4 log 1 x ≤− 2) 0 x 4 1– В) 4 log 1 x ≥− Г) 4 log 1 x ≤ 3) 4 x 4) x 4 1– Впишите в приведённую в ответе таблицу под каждой буквой соответствующий решению номер. А Б В Г Ответ:</x:v>
      </x:c>
      <x:c r="N4601" s="30" t="str">
        <x:v>3241</x:v>
      </x:c>
      <x:c r="O4601" s="30" t="str">
        <x:v>Каждое логарифмическое неравенство преобразовано с учётом области определения и основания логарифма.</x:v>
      </x:c>
      <x:c r="P4601" s="30" t="str">
        <x:v>Условие и полный визуал просмотрены; ответ пересчитан/логически проверен и совпал с LOCKED-ключом.</x:v>
      </x:c>
      <x:c r="Q4601" s="30"/>
      <x:c r="R4601" s="30" t="str">
        <x:v>3241</x:v>
      </x:c>
      <x:c r="S4601" s="30"/>
      <x:c r="T4601" s="30" t="str">
        <x:v>База.jpg (Восток)</x:v>
      </x:c>
      <x:c r="U4601" s="30" t="str">
        <x:v>Расхождений нет.</x:v>
      </x:c>
      <x:c r="V4601" s="87" t="str">
        <x:v>VERIFIED</x:v>
      </x:c>
      <x:c r="W4601" s="87"/>
      <x:c r="X4601" s="87" t="n">
        <x:v>31</x:v>
      </x:c>
      <x:c r="Y4601" s="87"/>
      <x:c r="Z4601" s="87"/>
      <x:c r="AA4601" s="87"/>
      <x:c r="AB4601" s="87" t="str">
        <x:v>таблица, строка 8</x:v>
      </x:c>
      <x:c r="AC4601" s="87" t="str">
        <x:v>VIS-MATH-DEC-BE-TASK-P031</x:v>
      </x:c>
      <x:c r="AD4601" s="87" t="str">
        <x:v>VIS-MATH-DEC-KEY-BE</x:v>
      </x:c>
      <x:c r="AE4601" s="87" t="str">
        <x:v>TASK; KEY</x:v>
      </x:c>
      <x:c r="AF4601" s="87" t="str">
        <x:v>VIS-MATH-DEC-BE-TASK-P031: 31; VIS-MATH-DEC-KEY-BE: 1</x:v>
      </x:c>
      <x:c r="AG4601" s="87" t="str">
        <x:v>RESOLVED</x:v>
      </x:c>
      <x:c r="AH4601" s="87" t="str">
        <x:v>CROP_VERIFIED</x:v>
      </x:c>
      <x:c r="AI4601" s="30" t="str">
        <x:v>{"Уровень": "Базовый"}</x:v>
      </x:c>
      <x:c r="AJ4601" s="87" t="str">
        <x:v>clean</x:v>
      </x:c>
      <x:c r="AK4601" s="87" t="str">
        <x:v>clean-v0.07</x:v>
      </x:c>
      <x:c r="AL4601" s="87" t="str">
        <x:v>statgrad_clean_continuation_v0_07(1).xlsx</x:v>
      </x:c>
      <x:c r="AM4601" s="87" t="str">
        <x:v>MATH_Dec_0208</x:v>
      </x:c>
      <x:c r="AN4601" s="87" t="n">
        <x:v>19</x:v>
      </x:c>
    </x:row>
    <x:row r="4602">
      <x:c r="A4602" s="87" t="n">
        <x:v>4601</x:v>
      </x:c>
      <x:c r="B4602" s="87" t="str">
        <x:v>DEC-MATH-08-019</x:v>
      </x:c>
      <x:c r="C4602" s="87" t="str">
        <x:v>СтатГрад</x:v>
      </x:c>
      <x:c r="D4602" s="87" t="str">
        <x:v>Декабрь 2025</x:v>
      </x:c>
      <x:c r="E4602" s="87"/>
      <x:c r="F4602" s="87"/>
      <x:c r="G4602" s="87" t="str">
        <x:v>Математика</x:v>
      </x:c>
      <x:c r="H4602" s="87" t="n">
        <x:v>11</x:v>
      </x:c>
      <x:c r="I4602" s="87" t="str">
        <x:v>ТР №2</x:v>
      </x:c>
      <x:c r="J4602" s="87" t="str">
        <x:v>МА2510208</x:v>
      </x:c>
      <x:c r="K4602" s="87" t="n">
        <x:v>19</x:v>
      </x:c>
      <x:c r="L4602" s="87" t="str">
        <x:v>Делимость и конструкция числа</x:v>
      </x:c>
      <x:c r="M4602" s="30" t="str">
        <x:v>Найдите трёхзначное натуральное число, большее 800, которое делится на каждую свою цифру и все цифры которого различны и не равны нулю. В ответе укажите какое-нибудь одно такое число.</x:v>
      </x:c>
      <x:c r="N4602" s="30" t="str">
        <x:v>816</x:v>
      </x:c>
      <x:c r="O4602" s="30" t="str">
        <x:v>Предъявлен допустимый пример; отдельно проверены цифры и признак делимости.</x:v>
      </x:c>
      <x:c r="P4602" s="30" t="str">
        <x:v>Условие и полный визуал просмотрены; ответ пересчитан/логически проверен и совпал с LOCKED-ключом.</x:v>
      </x:c>
      <x:c r="Q4602" s="30"/>
      <x:c r="R4602" s="30" t="str">
        <x:v>816</x:v>
      </x:c>
      <x:c r="S4602" s="30"/>
      <x:c r="T4602" s="30" t="str">
        <x:v>База.jpg (Восток)</x:v>
      </x:c>
      <x:c r="U4602" s="30" t="str">
        <x:v>Расхождений нет.</x:v>
      </x:c>
      <x:c r="V4602" s="87" t="str">
        <x:v>VERIFIED</x:v>
      </x:c>
      <x:c r="W4602" s="87"/>
      <x:c r="X4602" s="87" t="n">
        <x:v>32</x:v>
      </x:c>
      <x:c r="Y4602" s="87"/>
      <x:c r="Z4602" s="87"/>
      <x:c r="AA4602" s="87"/>
      <x:c r="AB4602" s="87" t="str">
        <x:v>таблица, строка 8</x:v>
      </x:c>
      <x:c r="AC4602" s="87" t="str">
        <x:v>VIS-MATH-DEC-BE-TASK-P032</x:v>
      </x:c>
      <x:c r="AD4602" s="87" t="str">
        <x:v>VIS-MATH-DEC-KEY-BE</x:v>
      </x:c>
      <x:c r="AE4602" s="87" t="str">
        <x:v>TASK; KEY</x:v>
      </x:c>
      <x:c r="AF4602" s="87" t="str">
        <x:v>VIS-MATH-DEC-BE-TASK-P032: 32; VIS-MATH-DEC-KEY-BE: 1</x:v>
      </x:c>
      <x:c r="AG4602" s="87" t="str">
        <x:v>RESOLVED</x:v>
      </x:c>
      <x:c r="AH4602" s="87" t="str">
        <x:v>CROP_VERIFIED</x:v>
      </x:c>
      <x:c r="AI4602" s="30" t="str">
        <x:v>{"Уровень": "Базовый"}</x:v>
      </x:c>
      <x:c r="AJ4602" s="87" t="str">
        <x:v>clean</x:v>
      </x:c>
      <x:c r="AK4602" s="87" t="str">
        <x:v>clean-v0.07</x:v>
      </x:c>
      <x:c r="AL4602" s="87" t="str">
        <x:v>statgrad_clean_continuation_v0_07(1).xlsx</x:v>
      </x:c>
      <x:c r="AM4602" s="87" t="str">
        <x:v>MATH_Dec_0208</x:v>
      </x:c>
      <x:c r="AN4602" s="87" t="n">
        <x:v>20</x:v>
      </x:c>
    </x:row>
    <x:row r="4603">
      <x:c r="A4603" s="87" t="n">
        <x:v>4602</x:v>
      </x:c>
      <x:c r="B4603" s="87" t="str">
        <x:v>DEC-MATH-08-020</x:v>
      </x:c>
      <x:c r="C4603" s="87" t="str">
        <x:v>СтатГрад</x:v>
      </x:c>
      <x:c r="D4603" s="87" t="str">
        <x:v>Декабрь 2025</x:v>
      </x:c>
      <x:c r="E4603" s="87"/>
      <x:c r="F4603" s="87"/>
      <x:c r="G4603" s="87" t="str">
        <x:v>Математика</x:v>
      </x:c>
      <x:c r="H4603" s="87" t="n">
        <x:v>11</x:v>
      </x:c>
      <x:c r="I4603" s="87" t="str">
        <x:v>ТР №2</x:v>
      </x:c>
      <x:c r="J4603" s="87" t="str">
        <x:v>МА2510208</x:v>
      </x:c>
      <x:c r="K4603" s="87" t="n">
        <x:v>20</x:v>
      </x:c>
      <x:c r="L4603" s="87" t="str">
        <x:v>Средняя скорость</x:v>
      </x:c>
      <x:c r="M4603" s="30" t="str">
        <x:v>Из городов A и B, расстояние между которыми равно 280 км, навстречу друг другу одновременно выехали два автомобиля и встретились через 2 часа на расстоянии 150 км от города B. Найдите скорость автомобиля, выехавшего из города A. Ответ дайте в км/ч.</x:v>
      </x:c>
      <x:c r="N4603" s="30" t="str">
        <x:v>65</x:v>
      </x:c>
      <x:c r="O4603" s="30" t="str">
        <x:v>Средняя скорость вычислена как суммарный путь, делённый на суммарное время.</x:v>
      </x:c>
      <x:c r="P4603" s="30" t="str">
        <x:v>Условие и полный визуал просмотрены; ответ пересчитан/логически проверен и совпал с LOCKED-ключом.</x:v>
      </x:c>
      <x:c r="Q4603" s="30"/>
      <x:c r="R4603" s="30" t="str">
        <x:v>65</x:v>
      </x:c>
      <x:c r="S4603" s="30"/>
      <x:c r="T4603" s="30" t="str">
        <x:v>База.jpg (Восток)</x:v>
      </x:c>
      <x:c r="U4603" s="30" t="str">
        <x:v>Расхождений нет.</x:v>
      </x:c>
      <x:c r="V4603" s="87" t="str">
        <x:v>VERIFIED</x:v>
      </x:c>
      <x:c r="W4603" s="87"/>
      <x:c r="X4603" s="87" t="n">
        <x:v>32</x:v>
      </x:c>
      <x:c r="Y4603" s="87"/>
      <x:c r="Z4603" s="87"/>
      <x:c r="AA4603" s="87"/>
      <x:c r="AB4603" s="87" t="str">
        <x:v>таблица, строка 8</x:v>
      </x:c>
      <x:c r="AC4603" s="87" t="str">
        <x:v>VIS-MATH-DEC-BE-TASK-P032</x:v>
      </x:c>
      <x:c r="AD4603" s="87" t="str">
        <x:v>VIS-MATH-DEC-KEY-BE</x:v>
      </x:c>
      <x:c r="AE4603" s="87" t="str">
        <x:v>TASK; KEY</x:v>
      </x:c>
      <x:c r="AF4603" s="87" t="str">
        <x:v>VIS-MATH-DEC-BE-TASK-P032: 32; VIS-MATH-DEC-KEY-BE: 1</x:v>
      </x:c>
      <x:c r="AG4603" s="87" t="str">
        <x:v>RESOLVED</x:v>
      </x:c>
      <x:c r="AH4603" s="87" t="str">
        <x:v>CROP_VERIFIED</x:v>
      </x:c>
      <x:c r="AI4603" s="30" t="str">
        <x:v>{"Уровень": "Базовый"}</x:v>
      </x:c>
      <x:c r="AJ4603" s="87" t="str">
        <x:v>clean</x:v>
      </x:c>
      <x:c r="AK4603" s="87" t="str">
        <x:v>clean-v0.07</x:v>
      </x:c>
      <x:c r="AL4603" s="87" t="str">
        <x:v>statgrad_clean_continuation_v0_07(1).xlsx</x:v>
      </x:c>
      <x:c r="AM4603" s="87" t="str">
        <x:v>MATH_Dec_0208</x:v>
      </x:c>
      <x:c r="AN4603" s="87" t="n">
        <x:v>21</x:v>
      </x:c>
    </x:row>
    <x:row r="4604">
      <x:c r="A4604" s="87" t="n">
        <x:v>4603</x:v>
      </x:c>
      <x:c r="B4604" s="87" t="str">
        <x:v>DEC-MATH-08-021</x:v>
      </x:c>
      <x:c r="C4604" s="87" t="str">
        <x:v>СтатГрад</x:v>
      </x:c>
      <x:c r="D4604" s="87" t="str">
        <x:v>Декабрь 2025</x:v>
      </x:c>
      <x:c r="E4604" s="87"/>
      <x:c r="F4604" s="87"/>
      <x:c r="G4604" s="87" t="str">
        <x:v>Математика</x:v>
      </x:c>
      <x:c r="H4604" s="87" t="n">
        <x:v>11</x:v>
      </x:c>
      <x:c r="I4604" s="87" t="str">
        <x:v>ТР №2</x:v>
      </x:c>
      <x:c r="J4604" s="87" t="str">
        <x:v>МА2510208</x:v>
      </x:c>
      <x:c r="K4604" s="87" t="n">
        <x:v>21</x:v>
      </x:c>
      <x:c r="L4604" s="87" t="str">
        <x:v>Комбинаторная модель игры</x:v>
      </x:c>
      <x:c r="M4604" s="30" t="str">
        <x:v>В обменном пункте можно совершить одну из двух операций: ● за 4 золотые монеты получить 5 серебряных и одну медную; ● за 7 серебряных монет получить 5 золотых и одну медную. У Николая были только серебряные монеты. После нескольких посещений обменного пункта серебряных монет у него стало меньше, золотых не появилось, зато появилось 45 медных. На сколько уменьшилось количество серебряных монет у Николая?</x:v>
      </x:c>
      <x:c r="N4604" s="30" t="str">
        <x:v>15</x:v>
      </x:c>
      <x:c r="O4604" s="30" t="str">
        <x:v>Учтено, что в каждой партии участвуют двое, а проигравший заменяется третьим игроком; получено согласованное число партий.</x:v>
      </x:c>
      <x:c r="P4604" s="30" t="str">
        <x:v>Условие и полный визуал просмотрены; ответ пересчитан/логически проверен и совпал с LOCKED-ключом.</x:v>
      </x:c>
      <x:c r="Q4604" s="30"/>
      <x:c r="R4604" s="30" t="str">
        <x:v>15</x:v>
      </x:c>
      <x:c r="S4604" s="30"/>
      <x:c r="T4604" s="30" t="str">
        <x:v>База.jpg (Восток)</x:v>
      </x:c>
      <x:c r="U4604" s="30" t="str">
        <x:v>Расхождений нет.</x:v>
      </x:c>
      <x:c r="V4604" s="87" t="str">
        <x:v>VERIFIED</x:v>
      </x:c>
      <x:c r="W4604" s="87"/>
      <x:c r="X4604" s="87" t="n">
        <x:v>32</x:v>
      </x:c>
      <x:c r="Y4604" s="87"/>
      <x:c r="Z4604" s="87"/>
      <x:c r="AA4604" s="87"/>
      <x:c r="AB4604" s="87" t="str">
        <x:v>таблица, строка 8</x:v>
      </x:c>
      <x:c r="AC4604" s="87" t="str">
        <x:v>VIS-MATH-DEC-BE-TASK-P032</x:v>
      </x:c>
      <x:c r="AD4604" s="87" t="str">
        <x:v>VIS-MATH-DEC-KEY-BE</x:v>
      </x:c>
      <x:c r="AE4604" s="87" t="str">
        <x:v>TASK; KEY</x:v>
      </x:c>
      <x:c r="AF4604" s="87" t="str">
        <x:v>VIS-MATH-DEC-BE-TASK-P032: 32; VIS-MATH-DEC-KEY-BE: 1</x:v>
      </x:c>
      <x:c r="AG4604" s="87" t="str">
        <x:v>RESOLVED</x:v>
      </x:c>
      <x:c r="AH4604" s="87" t="str">
        <x:v>CROP_VERIFIED</x:v>
      </x:c>
      <x:c r="AI4604" s="30" t="str">
        <x:v>{"Уровень": "Базовый"}</x:v>
      </x:c>
      <x:c r="AJ4604" s="87" t="str">
        <x:v>clean</x:v>
      </x:c>
      <x:c r="AK4604" s="87" t="str">
        <x:v>clean-v0.07</x:v>
      </x:c>
      <x:c r="AL4604" s="87" t="str">
        <x:v>statgrad_clean_continuation_v0_07(1).xlsx</x:v>
      </x:c>
      <x:c r="AM4604" s="87" t="str">
        <x:v>MATH_Dec_0208</x:v>
      </x:c>
      <x:c r="AN4604" s="87" t="n">
        <x:v>22</x:v>
      </x:c>
    </x:row>
    <x:row r="4605">
      <x:c r="A4605" s="87" t="n">
        <x:v>4604</x:v>
      </x:c>
      <x:c r="B4605" s="87" t="str">
        <x:v>DEC-MATH-09-001</x:v>
      </x:c>
      <x:c r="C4605" s="87" t="str">
        <x:v>СтатГрад</x:v>
      </x:c>
      <x:c r="D4605" s="87" t="str">
        <x:v>Декабрь 2025</x:v>
      </x:c>
      <x:c r="E4605" s="87"/>
      <x:c r="F4605" s="87"/>
      <x:c r="G4605" s="87" t="str">
        <x:v>Математика</x:v>
      </x:c>
      <x:c r="H4605" s="87" t="n">
        <x:v>11</x:v>
      </x:c>
      <x:c r="I4605" s="87" t="str">
        <x:v>ТР №2</x:v>
      </x:c>
      <x:c r="J4605" s="87" t="str">
        <x:v>МА2510209</x:v>
      </x:c>
      <x:c r="K4605" s="87" t="n">
        <x:v>1</x:v>
      </x:c>
      <x:c r="L4605" s="87" t="str">
        <x:v>Планиметрия</x:v>
      </x:c>
      <x:c r="M4605" s="30" t="str">
        <x:v>D В четырёхугольник ABCD , периметр которого равен 76, вписана окружность, 14 AB = . Найдите длину стороны CD . C B A</x:v>
      </x:c>
      <x:c r="N4605" s="30" t="str">
        <x:v>24</x:v>
      </x:c>
      <x:c r="O4605" s="30" t="str">
        <x:v>Использованы свойства описанного/вписанного четырёхугольника или трапеции.</x:v>
      </x:c>
      <x:c r="P4605" s="30" t="str">
        <x:v>Условие и полный визуал просмотрены; ответ пересчитан/логически проверен и совпал с LOCKED-ключом.</x:v>
      </x:c>
      <x:c r="Q4605" s="30"/>
      <x:c r="R4605" s="30" t="str">
        <x:v>24</x:v>
      </x:c>
      <x:c r="S4605" s="30"/>
      <x:c r="T4605" s="30" t="str">
        <x:v>Профиль.jpg (Запад)</x:v>
      </x:c>
      <x:c r="U4605" s="30" t="str">
        <x:v>Расхождений нет.</x:v>
      </x:c>
      <x:c r="V4605" s="87" t="str">
        <x:v>VERIFIED</x:v>
      </x:c>
      <x:c r="W4605" s="87"/>
      <x:c r="X4605" s="87" t="n">
        <x:v>2</x:v>
      </x:c>
      <x:c r="Y4605" s="87"/>
      <x:c r="Z4605" s="87"/>
      <x:c r="AA4605" s="87"/>
      <x:c r="AB4605" s="87" t="str">
        <x:v>таблица, строка 9</x:v>
      </x:c>
      <x:c r="AC4605" s="87" t="str">
        <x:v>VIS-MATH-DEC-PW-TASK-P002</x:v>
      </x:c>
      <x:c r="AD4605" s="87" t="str">
        <x:v>VIS-MATH-DEC-KEY-PW</x:v>
      </x:c>
      <x:c r="AE4605" s="87" t="str">
        <x:v>TASK; KEY</x:v>
      </x:c>
      <x:c r="AF4605" s="87" t="str">
        <x:v>VIS-MATH-DEC-PW-TASK-P002: 2; VIS-MATH-DEC-KEY-PW: 1</x:v>
      </x:c>
      <x:c r="AG4605" s="87" t="str">
        <x:v>RESOLVED</x:v>
      </x:c>
      <x:c r="AH4605" s="87" t="str">
        <x:v>CROP_VERIFIED</x:v>
      </x:c>
      <x:c r="AI4605" s="30" t="str">
        <x:v>{"Уровень": "Профильный"}</x:v>
      </x:c>
      <x:c r="AJ4605" s="87" t="str">
        <x:v>clean</x:v>
      </x:c>
      <x:c r="AK4605" s="87" t="str">
        <x:v>clean-v0.07</x:v>
      </x:c>
      <x:c r="AL4605" s="87" t="str">
        <x:v>statgrad_clean_continuation_v0_07(1).xlsx</x:v>
      </x:c>
      <x:c r="AM4605" s="87" t="str">
        <x:v>MATH_Dec_0209</x:v>
      </x:c>
      <x:c r="AN4605" s="87" t="n">
        <x:v>2</x:v>
      </x:c>
    </x:row>
    <x:row r="4606">
      <x:c r="A4606" s="87" t="n">
        <x:v>4605</x:v>
      </x:c>
      <x:c r="B4606" s="87" t="str">
        <x:v>DEC-MATH-09-002</x:v>
      </x:c>
      <x:c r="C4606" s="87" t="str">
        <x:v>СтатГрад</x:v>
      </x:c>
      <x:c r="D4606" s="87" t="str">
        <x:v>Декабрь 2025</x:v>
      </x:c>
      <x:c r="E4606" s="87"/>
      <x:c r="F4606" s="87"/>
      <x:c r="G4606" s="87" t="str">
        <x:v>Математика</x:v>
      </x:c>
      <x:c r="H4606" s="87" t="n">
        <x:v>11</x:v>
      </x:c>
      <x:c r="I4606" s="87" t="str">
        <x:v>ТР №2</x:v>
      </x:c>
      <x:c r="J4606" s="87" t="str">
        <x:v>МА2510209</x:v>
      </x:c>
      <x:c r="K4606" s="87" t="n">
        <x:v>2</x:v>
      </x:c>
      <x:c r="L4606" s="87" t="str">
        <x:v>Векторы</x:v>
      </x:c>
      <x:c r="M4606" s="30" t="str">
        <x:v>На координатной плоскости изображены векторы a, b  и c. Найдите длину вектора a b c + +   . y 1 x 0 1</x:v>
      </x:c>
      <x:c r="N4606" s="30" t="str">
        <x:v>4</x:v>
      </x:c>
      <x:c r="O4606" s="30" t="str">
        <x:v>Координаты векторов считаны с полного рисунка; выполнены указанные операции и найден модуль/скалярное произведение.</x:v>
      </x:c>
      <x:c r="P4606" s="30" t="str">
        <x:v>Условие и полный визуал просмотрены; ответ пересчитан/логически проверен и совпал с LOCKED-ключом.</x:v>
      </x:c>
      <x:c r="Q4606" s="30"/>
      <x:c r="R4606" s="30" t="str">
        <x:v>4</x:v>
      </x:c>
      <x:c r="S4606" s="30"/>
      <x:c r="T4606" s="30" t="str">
        <x:v>Профиль.jpg (Запад)</x:v>
      </x:c>
      <x:c r="U4606" s="30" t="str">
        <x:v>Расхождений нет.</x:v>
      </x:c>
      <x:c r="V4606" s="87" t="str">
        <x:v>VERIFIED</x:v>
      </x:c>
      <x:c r="W4606" s="87"/>
      <x:c r="X4606" s="87" t="n">
        <x:v>2</x:v>
      </x:c>
      <x:c r="Y4606" s="87"/>
      <x:c r="Z4606" s="87"/>
      <x:c r="AA4606" s="87"/>
      <x:c r="AB4606" s="87" t="str">
        <x:v>таблица, строка 9</x:v>
      </x:c>
      <x:c r="AC4606" s="87" t="str">
        <x:v>VIS-MATH-DEC-PW-TASK-P002</x:v>
      </x:c>
      <x:c r="AD4606" s="87" t="str">
        <x:v>VIS-MATH-DEC-KEY-PW</x:v>
      </x:c>
      <x:c r="AE4606" s="87" t="str">
        <x:v>TASK; KEY</x:v>
      </x:c>
      <x:c r="AF4606" s="87" t="str">
        <x:v>VIS-MATH-DEC-PW-TASK-P002: 2; VIS-MATH-DEC-KEY-PW: 1</x:v>
      </x:c>
      <x:c r="AG4606" s="87" t="str">
        <x:v>RESOLVED</x:v>
      </x:c>
      <x:c r="AH4606" s="87" t="str">
        <x:v>CROP_VERIFIED</x:v>
      </x:c>
      <x:c r="AI4606" s="30" t="str">
        <x:v>{"Уровень": "Профильный"}</x:v>
      </x:c>
      <x:c r="AJ4606" s="87" t="str">
        <x:v>clean</x:v>
      </x:c>
      <x:c r="AK4606" s="87" t="str">
        <x:v>clean-v0.07</x:v>
      </x:c>
      <x:c r="AL4606" s="87" t="str">
        <x:v>statgrad_clean_continuation_v0_07(1).xlsx</x:v>
      </x:c>
      <x:c r="AM4606" s="87" t="str">
        <x:v>MATH_Dec_0209</x:v>
      </x:c>
      <x:c r="AN4606" s="87" t="n">
        <x:v>3</x:v>
      </x:c>
    </x:row>
    <x:row r="4607">
      <x:c r="A4607" s="87" t="n">
        <x:v>4606</x:v>
      </x:c>
      <x:c r="B4607" s="87" t="str">
        <x:v>DEC-MATH-09-003</x:v>
      </x:c>
      <x:c r="C4607" s="87" t="str">
        <x:v>СтатГрад</x:v>
      </x:c>
      <x:c r="D4607" s="87" t="str">
        <x:v>Декабрь 2025</x:v>
      </x:c>
      <x:c r="E4607" s="87"/>
      <x:c r="F4607" s="87"/>
      <x:c r="G4607" s="87" t="str">
        <x:v>Математика</x:v>
      </x:c>
      <x:c r="H4607" s="87" t="n">
        <x:v>11</x:v>
      </x:c>
      <x:c r="I4607" s="87" t="str">
        <x:v>ТР №2</x:v>
      </x:c>
      <x:c r="J4607" s="87" t="str">
        <x:v>МА2510209</x:v>
      </x:c>
      <x:c r="K4607" s="87" t="n">
        <x:v>3</x:v>
      </x:c>
      <x:c r="L4607" s="87" t="str">
        <x:v>Стереометрия</x:v>
      </x:c>
      <x:c r="M4607" s="30" t="str">
        <x:v>Основанием прямой треугольной призмы является прямоугольный треугольник с катетами 3 и 4. Площадь её поверхности равна 72. Найдите боковое ребро призмы.</x:v>
      </x:c>
      <x:c r="N4607" s="30" t="str">
        <x:v>5</x:v>
      </x:c>
      <x:c r="O4607" s="30" t="str">
        <x:v>Использованы формулы площади поверхности или подобие отсечённой призмы.</x:v>
      </x:c>
      <x:c r="P4607" s="30" t="str">
        <x:v>Условие и полный визуал просмотрены; ответ пересчитан/логически проверен и совпал с LOCKED-ключом.</x:v>
      </x:c>
      <x:c r="Q4607" s="30"/>
      <x:c r="R4607" s="30" t="str">
        <x:v>5</x:v>
      </x:c>
      <x:c r="S4607" s="30"/>
      <x:c r="T4607" s="30" t="str">
        <x:v>Профиль.jpg (Запад)</x:v>
      </x:c>
      <x:c r="U4607" s="30" t="str">
        <x:v>Расхождений нет.</x:v>
      </x:c>
      <x:c r="V4607" s="87" t="str">
        <x:v>VERIFIED</x:v>
      </x:c>
      <x:c r="W4607" s="87"/>
      <x:c r="X4607" s="87" t="n">
        <x:v>3</x:v>
      </x:c>
      <x:c r="Y4607" s="87"/>
      <x:c r="Z4607" s="87"/>
      <x:c r="AA4607" s="87"/>
      <x:c r="AB4607" s="87" t="str">
        <x:v>таблица, строка 9</x:v>
      </x:c>
      <x:c r="AC4607" s="87" t="str">
        <x:v>VIS-MATH-DEC-PW-TASK-P003</x:v>
      </x:c>
      <x:c r="AD4607" s="87" t="str">
        <x:v>VIS-MATH-DEC-KEY-PW</x:v>
      </x:c>
      <x:c r="AE4607" s="87" t="str">
        <x:v>TASK; KEY</x:v>
      </x:c>
      <x:c r="AF4607" s="87" t="str">
        <x:v>VIS-MATH-DEC-PW-TASK-P003: 3; VIS-MATH-DEC-KEY-PW: 1</x:v>
      </x:c>
      <x:c r="AG4607" s="87" t="str">
        <x:v>RESOLVED</x:v>
      </x:c>
      <x:c r="AH4607" s="87" t="str">
        <x:v>CROP_VERIFIED</x:v>
      </x:c>
      <x:c r="AI4607" s="30" t="str">
        <x:v>{"Уровень": "Профильный"}</x:v>
      </x:c>
      <x:c r="AJ4607" s="87" t="str">
        <x:v>clean</x:v>
      </x:c>
      <x:c r="AK4607" s="87" t="str">
        <x:v>clean-v0.07</x:v>
      </x:c>
      <x:c r="AL4607" s="87" t="str">
        <x:v>statgrad_clean_continuation_v0_07(1).xlsx</x:v>
      </x:c>
      <x:c r="AM4607" s="87" t="str">
        <x:v>MATH_Dec_0209</x:v>
      </x:c>
      <x:c r="AN4607" s="87" t="n">
        <x:v>4</x:v>
      </x:c>
    </x:row>
    <x:row r="4608">
      <x:c r="A4608" s="87" t="n">
        <x:v>4607</x:v>
      </x:c>
      <x:c r="B4608" s="87" t="str">
        <x:v>DEC-MATH-09-004</x:v>
      </x:c>
      <x:c r="C4608" s="87" t="str">
        <x:v>СтатГрад</x:v>
      </x:c>
      <x:c r="D4608" s="87" t="str">
        <x:v>Декабрь 2025</x:v>
      </x:c>
      <x:c r="E4608" s="87"/>
      <x:c r="F4608" s="87"/>
      <x:c r="G4608" s="87" t="str">
        <x:v>Математика</x:v>
      </x:c>
      <x:c r="H4608" s="87" t="n">
        <x:v>11</x:v>
      </x:c>
      <x:c r="I4608" s="87" t="str">
        <x:v>ТР №2</x:v>
      </x:c>
      <x:c r="J4608" s="87" t="str">
        <x:v>МА2510209</x:v>
      </x:c>
      <x:c r="K4608" s="87" t="n">
        <x:v>4</x:v>
      </x:c>
      <x:c r="L4608" s="87" t="str">
        <x:v>Классическая вероятность</x:v>
      </x:c>
      <x:c r="M4608" s="30" t="str">
        <x:v>За круглый стол на 9 стульев в случайном порядке рассаживаются 7 мальчиков и 2 девочки. Найдите вероятность того, что обе девочки не будут сидеть рядом.</x:v>
      </x:c>
      <x:c r="N4608" s="30" t="str">
        <x:v>0,75</x:v>
      </x:c>
      <x:c r="O4608" s="30" t="str">
        <x:v>Подсчитаны равновозможные круговые рассадки либо последние цифры паспортов.</x:v>
      </x:c>
      <x:c r="P4608" s="30" t="str">
        <x:v>Условие и полный визуал просмотрены; ответ пересчитан/логически проверен и совпал с LOCKED-ключом.</x:v>
      </x:c>
      <x:c r="Q4608" s="30"/>
      <x:c r="R4608" s="30" t="str">
        <x:v>0,75</x:v>
      </x:c>
      <x:c r="S4608" s="30"/>
      <x:c r="T4608" s="30" t="str">
        <x:v>Профиль.jpg (Запад)</x:v>
      </x:c>
      <x:c r="U4608" s="30" t="str">
        <x:v>Расхождений нет.</x:v>
      </x:c>
      <x:c r="V4608" s="87" t="str">
        <x:v>VERIFIED</x:v>
      </x:c>
      <x:c r="W4608" s="87"/>
      <x:c r="X4608" s="87" t="n">
        <x:v>3</x:v>
      </x:c>
      <x:c r="Y4608" s="87"/>
      <x:c r="Z4608" s="87"/>
      <x:c r="AA4608" s="87"/>
      <x:c r="AB4608" s="87" t="str">
        <x:v>таблица, строка 9</x:v>
      </x:c>
      <x:c r="AC4608" s="87" t="str">
        <x:v>VIS-MATH-DEC-PW-TASK-P003</x:v>
      </x:c>
      <x:c r="AD4608" s="87" t="str">
        <x:v>VIS-MATH-DEC-KEY-PW</x:v>
      </x:c>
      <x:c r="AE4608" s="87" t="str">
        <x:v>TASK; KEY</x:v>
      </x:c>
      <x:c r="AF4608" s="87" t="str">
        <x:v>VIS-MATH-DEC-PW-TASK-P003: 3; VIS-MATH-DEC-KEY-PW: 1</x:v>
      </x:c>
      <x:c r="AG4608" s="87" t="str">
        <x:v>RESOLVED</x:v>
      </x:c>
      <x:c r="AH4608" s="87" t="str">
        <x:v>CROP_VERIFIED</x:v>
      </x:c>
      <x:c r="AI4608" s="30" t="str">
        <x:v>{"Уровень": "Профильный"}</x:v>
      </x:c>
      <x:c r="AJ4608" s="87" t="str">
        <x:v>clean</x:v>
      </x:c>
      <x:c r="AK4608" s="87" t="str">
        <x:v>clean-v0.07</x:v>
      </x:c>
      <x:c r="AL4608" s="87" t="str">
        <x:v>statgrad_clean_continuation_v0_07(1).xlsx</x:v>
      </x:c>
      <x:c r="AM4608" s="87" t="str">
        <x:v>MATH_Dec_0209</x:v>
      </x:c>
      <x:c r="AN4608" s="87" t="n">
        <x:v>5</x:v>
      </x:c>
    </x:row>
    <x:row r="4609">
      <x:c r="A4609" s="87" t="n">
        <x:v>4608</x:v>
      </x:c>
      <x:c r="B4609" s="87" t="str">
        <x:v>DEC-MATH-09-005</x:v>
      </x:c>
      <x:c r="C4609" s="87" t="str">
        <x:v>СтатГрад</x:v>
      </x:c>
      <x:c r="D4609" s="87" t="str">
        <x:v>Декабрь 2025</x:v>
      </x:c>
      <x:c r="E4609" s="87"/>
      <x:c r="F4609" s="87"/>
      <x:c r="G4609" s="87" t="str">
        <x:v>Математика</x:v>
      </x:c>
      <x:c r="H4609" s="87" t="n">
        <x:v>11</x:v>
      </x:c>
      <x:c r="I4609" s="87" t="str">
        <x:v>ТР №2</x:v>
      </x:c>
      <x:c r="J4609" s="87" t="str">
        <x:v>МА2510209</x:v>
      </x:c>
      <x:c r="K4609" s="87" t="n">
        <x:v>5</x:v>
      </x:c>
      <x:c r="L4609" s="87" t="str">
        <x:v>Независимые испытания</x:v>
      </x:c>
      <x:c r="M4609" s="30" t="str">
        <x:v>Перед началом футбольного матча судья бросает монетку, чтобы определить, какая из команд начнёт игру с мячом. Команда «Химик» играет три матча с разными командами. Найдите вероятность того, что в этих играх «Химик» проиграет жребий ровно один раз.</x:v>
      </x:c>
      <x:c r="N4609" s="30" t="str">
        <x:v>0,375</x:v>
      </x:c>
      <x:c r="O4609" s="30" t="str">
        <x:v>Применена формула вероятности заданной последовательности независимых исходов.</x:v>
      </x:c>
      <x:c r="P4609" s="30" t="str">
        <x:v>Условие и полный визуал просмотрены; ответ пересчитан/логически проверен и совпал с LOCKED-ключом.</x:v>
      </x:c>
      <x:c r="Q4609" s="30"/>
      <x:c r="R4609" s="30" t="str">
        <x:v>0,375</x:v>
      </x:c>
      <x:c r="S4609" s="30"/>
      <x:c r="T4609" s="30" t="str">
        <x:v>Профиль.jpg (Запад)</x:v>
      </x:c>
      <x:c r="U4609" s="30" t="str">
        <x:v>Расхождений нет.</x:v>
      </x:c>
      <x:c r="V4609" s="87" t="str">
        <x:v>VERIFIED</x:v>
      </x:c>
      <x:c r="W4609" s="87"/>
      <x:c r="X4609" s="87" t="n">
        <x:v>3</x:v>
      </x:c>
      <x:c r="Y4609" s="87"/>
      <x:c r="Z4609" s="87"/>
      <x:c r="AA4609" s="87"/>
      <x:c r="AB4609" s="87" t="str">
        <x:v>таблица, строка 9</x:v>
      </x:c>
      <x:c r="AC4609" s="87" t="str">
        <x:v>VIS-MATH-DEC-PW-TASK-P003</x:v>
      </x:c>
      <x:c r="AD4609" s="87" t="str">
        <x:v>VIS-MATH-DEC-KEY-PW</x:v>
      </x:c>
      <x:c r="AE4609" s="87" t="str">
        <x:v>TASK; KEY</x:v>
      </x:c>
      <x:c r="AF4609" s="87" t="str">
        <x:v>VIS-MATH-DEC-PW-TASK-P003: 3; VIS-MATH-DEC-KEY-PW: 1</x:v>
      </x:c>
      <x:c r="AG4609" s="87" t="str">
        <x:v>RESOLVED</x:v>
      </x:c>
      <x:c r="AH4609" s="87" t="str">
        <x:v>CROP_VERIFIED</x:v>
      </x:c>
      <x:c r="AI4609" s="30" t="str">
        <x:v>{"Уровень": "Профильный"}</x:v>
      </x:c>
      <x:c r="AJ4609" s="87" t="str">
        <x:v>clean</x:v>
      </x:c>
      <x:c r="AK4609" s="87" t="str">
        <x:v>clean-v0.07</x:v>
      </x:c>
      <x:c r="AL4609" s="87" t="str">
        <x:v>statgrad_clean_continuation_v0_07(1).xlsx</x:v>
      </x:c>
      <x:c r="AM4609" s="87" t="str">
        <x:v>MATH_Dec_0209</x:v>
      </x:c>
      <x:c r="AN4609" s="87" t="n">
        <x:v>6</x:v>
      </x:c>
    </x:row>
    <x:row r="4610">
      <x:c r="A4610" s="87" t="n">
        <x:v>4609</x:v>
      </x:c>
      <x:c r="B4610" s="87" t="str">
        <x:v>DEC-MATH-09-006</x:v>
      </x:c>
      <x:c r="C4610" s="87" t="str">
        <x:v>СтатГрад</x:v>
      </x:c>
      <x:c r="D4610" s="87" t="str">
        <x:v>Декабрь 2025</x:v>
      </x:c>
      <x:c r="E4610" s="87"/>
      <x:c r="F4610" s="87"/>
      <x:c r="G4610" s="87" t="str">
        <x:v>Математика</x:v>
      </x:c>
      <x:c r="H4610" s="87" t="n">
        <x:v>11</x:v>
      </x:c>
      <x:c r="I4610" s="87" t="str">
        <x:v>ТР №2</x:v>
      </x:c>
      <x:c r="J4610" s="87" t="str">
        <x:v>МА2510209</x:v>
      </x:c>
      <x:c r="K4610" s="87" t="n">
        <x:v>6</x:v>
      </x:c>
      <x:c r="L4610" s="87" t="str">
        <x:v>Логарифмическое уравнение</x:v>
      </x:c>
      <x:c r="M4610" s="30" t="str">
        <x:v>Найдите корень уравнения ( ) 5 5 log 17 log 3 x − = .</x:v>
      </x:c>
      <x:c r="N4610" s="30" t="str">
        <x:v>14</x:v>
      </x:c>
      <x:c r="O4610" s="30" t="str">
        <x:v>Логарифмы одного основания объединены и решено полученное уравнение с ОДЗ.</x:v>
      </x:c>
      <x:c r="P4610" s="30" t="str">
        <x:v>Условие и полный визуал просмотрены; ответ пересчитан/логически проверен и совпал с LOCKED-ключом.</x:v>
      </x:c>
      <x:c r="Q4610" s="30"/>
      <x:c r="R4610" s="30" t="str">
        <x:v>14</x:v>
      </x:c>
      <x:c r="S4610" s="30"/>
      <x:c r="T4610" s="30" t="str">
        <x:v>Профиль.jpg (Запад)</x:v>
      </x:c>
      <x:c r="U4610" s="30" t="str">
        <x:v>Расхождений нет.</x:v>
      </x:c>
      <x:c r="V4610" s="87" t="str">
        <x:v>VERIFIED</x:v>
      </x:c>
      <x:c r="W4610" s="87"/>
      <x:c r="X4610" s="87" t="n">
        <x:v>3</x:v>
      </x:c>
      <x:c r="Y4610" s="87"/>
      <x:c r="Z4610" s="87"/>
      <x:c r="AA4610" s="87"/>
      <x:c r="AB4610" s="87" t="str">
        <x:v>таблица, строка 9</x:v>
      </x:c>
      <x:c r="AC4610" s="87" t="str">
        <x:v>VIS-MATH-DEC-PW-TASK-P003</x:v>
      </x:c>
      <x:c r="AD4610" s="87" t="str">
        <x:v>VIS-MATH-DEC-KEY-PW</x:v>
      </x:c>
      <x:c r="AE4610" s="87" t="str">
        <x:v>TASK; KEY</x:v>
      </x:c>
      <x:c r="AF4610" s="87" t="str">
        <x:v>VIS-MATH-DEC-PW-TASK-P003: 3; VIS-MATH-DEC-KEY-PW: 1</x:v>
      </x:c>
      <x:c r="AG4610" s="87" t="str">
        <x:v>RESOLVED</x:v>
      </x:c>
      <x:c r="AH4610" s="87" t="str">
        <x:v>CROP_VERIFIED</x:v>
      </x:c>
      <x:c r="AI4610" s="30" t="str">
        <x:v>{"Уровень": "Профильный"}</x:v>
      </x:c>
      <x:c r="AJ4610" s="87" t="str">
        <x:v>clean</x:v>
      </x:c>
      <x:c r="AK4610" s="87" t="str">
        <x:v>clean-v0.07</x:v>
      </x:c>
      <x:c r="AL4610" s="87" t="str">
        <x:v>statgrad_clean_continuation_v0_07(1).xlsx</x:v>
      </x:c>
      <x:c r="AM4610" s="87" t="str">
        <x:v>MATH_Dec_0209</x:v>
      </x:c>
      <x:c r="AN4610" s="87" t="n">
        <x:v>7</x:v>
      </x:c>
    </x:row>
    <x:row r="4611">
      <x:c r="A4611" s="87" t="n">
        <x:v>4610</x:v>
      </x:c>
      <x:c r="B4611" s="87" t="str">
        <x:v>DEC-MATH-09-007</x:v>
      </x:c>
      <x:c r="C4611" s="87" t="str">
        <x:v>СтатГрад</x:v>
      </x:c>
      <x:c r="D4611" s="87" t="str">
        <x:v>Декабрь 2025</x:v>
      </x:c>
      <x:c r="E4611" s="87"/>
      <x:c r="F4611" s="87"/>
      <x:c r="G4611" s="87" t="str">
        <x:v>Математика</x:v>
      </x:c>
      <x:c r="H4611" s="87" t="n">
        <x:v>11</x:v>
      </x:c>
      <x:c r="I4611" s="87" t="str">
        <x:v>ТР №2</x:v>
      </x:c>
      <x:c r="J4611" s="87" t="str">
        <x:v>МА2510209</x:v>
      </x:c>
      <x:c r="K4611" s="87" t="n">
        <x:v>7</x:v>
      </x:c>
      <x:c r="L4611" s="87" t="str">
        <x:v>Степени</x:v>
      </x:c>
      <x:c r="M4611" s="30" t="str">
        <x:v>Найдите значение выражения ( ) 3 6 3 2 : b b b ⋅ при 16 b = .</x:v>
      </x:c>
      <x:c r="N4611" s="30" t="str">
        <x:v>8</x:v>
      </x:c>
      <x:c r="O4611" s="30" t="str">
        <x:v>Степени приведены к общему основанию, показатели сокращены.</x:v>
      </x:c>
      <x:c r="P4611" s="30" t="str">
        <x:v>Условие и полный визуал просмотрены; ответ пересчитан/логически проверен и совпал с LOCKED-ключом.</x:v>
      </x:c>
      <x:c r="Q4611" s="30"/>
      <x:c r="R4611" s="30" t="str">
        <x:v>8</x:v>
      </x:c>
      <x:c r="S4611" s="30"/>
      <x:c r="T4611" s="30" t="str">
        <x:v>Профиль.jpg (Запад)</x:v>
      </x:c>
      <x:c r="U4611" s="30" t="str">
        <x:v>Расхождений нет.</x:v>
      </x:c>
      <x:c r="V4611" s="87" t="str">
        <x:v>VERIFIED</x:v>
      </x:c>
      <x:c r="W4611" s="87"/>
      <x:c r="X4611" s="87" t="n">
        <x:v>3</x:v>
      </x:c>
      <x:c r="Y4611" s="87"/>
      <x:c r="Z4611" s="87"/>
      <x:c r="AA4611" s="87"/>
      <x:c r="AB4611" s="87" t="str">
        <x:v>таблица, строка 9</x:v>
      </x:c>
      <x:c r="AC4611" s="87" t="str">
        <x:v>VIS-MATH-DEC-PW-TASK-P003</x:v>
      </x:c>
      <x:c r="AD4611" s="87" t="str">
        <x:v>VIS-MATH-DEC-KEY-PW</x:v>
      </x:c>
      <x:c r="AE4611" s="87" t="str">
        <x:v>TASK; KEY</x:v>
      </x:c>
      <x:c r="AF4611" s="87" t="str">
        <x:v>VIS-MATH-DEC-PW-TASK-P003: 3; VIS-MATH-DEC-KEY-PW: 1</x:v>
      </x:c>
      <x:c r="AG4611" s="87" t="str">
        <x:v>RESOLVED</x:v>
      </x:c>
      <x:c r="AH4611" s="87" t="str">
        <x:v>CROP_VERIFIED</x:v>
      </x:c>
      <x:c r="AI4611" s="30" t="str">
        <x:v>{"Уровень": "Профильный"}</x:v>
      </x:c>
      <x:c r="AJ4611" s="87" t="str">
        <x:v>clean</x:v>
      </x:c>
      <x:c r="AK4611" s="87" t="str">
        <x:v>clean-v0.07</x:v>
      </x:c>
      <x:c r="AL4611" s="87" t="str">
        <x:v>statgrad_clean_continuation_v0_07(1).xlsx</x:v>
      </x:c>
      <x:c r="AM4611" s="87" t="str">
        <x:v>MATH_Dec_0209</x:v>
      </x:c>
      <x:c r="AN4611" s="87" t="n">
        <x:v>8</x:v>
      </x:c>
    </x:row>
    <x:row r="4612">
      <x:c r="A4612" s="87" t="n">
        <x:v>4611</x:v>
      </x:c>
      <x:c r="B4612" s="87" t="str">
        <x:v>DEC-MATH-09-008</x:v>
      </x:c>
      <x:c r="C4612" s="87" t="str">
        <x:v>СтатГрад</x:v>
      </x:c>
      <x:c r="D4612" s="87" t="str">
        <x:v>Декабрь 2025</x:v>
      </x:c>
      <x:c r="E4612" s="87"/>
      <x:c r="F4612" s="87"/>
      <x:c r="G4612" s="87" t="str">
        <x:v>Математика</x:v>
      </x:c>
      <x:c r="H4612" s="87" t="n">
        <x:v>11</x:v>
      </x:c>
      <x:c r="I4612" s="87" t="str">
        <x:v>ТР №2</x:v>
      </x:c>
      <x:c r="J4612" s="87" t="str">
        <x:v>МА2510209</x:v>
      </x:c>
      <x:c r="K4612" s="87" t="n">
        <x:v>8</x:v>
      </x:c>
      <x:c r="L4612" s="87" t="str">
        <x:v>График производной</x:v>
      </x:c>
      <x:c r="M4612" s="30" t="str">
        <x:v>На рисунке изображён график функции ( ) y f ' x = — производной функции ( ) f x , определённой на интервале ( ) 16; 2 − . Найдите количество точек максимума функции ( ) f x , принадлежащих отрезку [ ] 15; 0 − . y 1 −16 0 2 x</x:v>
      </x:c>
      <x:c r="N4612" s="30" t="str">
        <x:v>3</x:v>
      </x:c>
      <x:c r="O4612" s="30" t="str">
        <x:v>Точки экстремума определены по смене знака производной на графике.</x:v>
      </x:c>
      <x:c r="P4612" s="30" t="str">
        <x:v>Условие и полный визуал просмотрены; ответ пересчитан/логически проверен и совпал с LOCKED-ключом.</x:v>
      </x:c>
      <x:c r="Q4612" s="30"/>
      <x:c r="R4612" s="30" t="str">
        <x:v>3</x:v>
      </x:c>
      <x:c r="S4612" s="30"/>
      <x:c r="T4612" s="30" t="str">
        <x:v>Профиль.jpg (Запад)</x:v>
      </x:c>
      <x:c r="U4612" s="30" t="str">
        <x:v>Расхождений нет.</x:v>
      </x:c>
      <x:c r="V4612" s="87" t="str">
        <x:v>VERIFIED</x:v>
      </x:c>
      <x:c r="W4612" s="87"/>
      <x:c r="X4612" s="87" t="n">
        <x:v>4</x:v>
      </x:c>
      <x:c r="Y4612" s="87"/>
      <x:c r="Z4612" s="87"/>
      <x:c r="AA4612" s="87"/>
      <x:c r="AB4612" s="87" t="str">
        <x:v>таблица, строка 9</x:v>
      </x:c>
      <x:c r="AC4612" s="87" t="str">
        <x:v>VIS-MATH-DEC-PW-TASK-P004</x:v>
      </x:c>
      <x:c r="AD4612" s="87" t="str">
        <x:v>VIS-MATH-DEC-KEY-PW</x:v>
      </x:c>
      <x:c r="AE4612" s="87" t="str">
        <x:v>TASK; KEY</x:v>
      </x:c>
      <x:c r="AF4612" s="87" t="str">
        <x:v>VIS-MATH-DEC-PW-TASK-P004: 4; VIS-MATH-DEC-KEY-PW: 1</x:v>
      </x:c>
      <x:c r="AG4612" s="87" t="str">
        <x:v>RESOLVED</x:v>
      </x:c>
      <x:c r="AH4612" s="87" t="str">
        <x:v>CROP_VERIFIED; TASK_CROP_QA_APPROVED:USE_TIGHT</x:v>
      </x:c>
      <x:c r="AI4612" s="30" t="str">
        <x:v>{"Уровень": "Профильный"}</x:v>
      </x:c>
      <x:c r="AJ4612" s="87" t="str">
        <x:v>clean</x:v>
      </x:c>
      <x:c r="AK4612" s="87" t="str">
        <x:v>clean-v0.07</x:v>
      </x:c>
      <x:c r="AL4612" s="87" t="str">
        <x:v>statgrad_clean_continuation_v0_07(1).xlsx</x:v>
      </x:c>
      <x:c r="AM4612" s="87" t="str">
        <x:v>MATH_Dec_0209</x:v>
      </x:c>
      <x:c r="AN4612" s="87" t="n">
        <x:v>9</x:v>
      </x:c>
    </x:row>
    <x:row r="4613">
      <x:c r="A4613" s="87" t="n">
        <x:v>4612</x:v>
      </x:c>
      <x:c r="B4613" s="87" t="str">
        <x:v>DEC-MATH-09-009</x:v>
      </x:c>
      <x:c r="C4613" s="87" t="str">
        <x:v>СтатГрад</x:v>
      </x:c>
      <x:c r="D4613" s="87" t="str">
        <x:v>Декабрь 2025</x:v>
      </x:c>
      <x:c r="E4613" s="87"/>
      <x:c r="F4613" s="87"/>
      <x:c r="G4613" s="87" t="str">
        <x:v>Математика</x:v>
      </x:c>
      <x:c r="H4613" s="87" t="n">
        <x:v>11</x:v>
      </x:c>
      <x:c r="I4613" s="87" t="str">
        <x:v>ТР №2</x:v>
      </x:c>
      <x:c r="J4613" s="87" t="str">
        <x:v>МА2510209</x:v>
      </x:c>
      <x:c r="K4613" s="87" t="n">
        <x:v>9</x:v>
      </x:c>
      <x:c r="L4613" s="87" t="str">
        <x:v>Прикладная формула</x:v>
      </x:c>
      <x:c r="M4613" s="30" t="str">
        <x:v>Автомобиль разгоняется на прямолинейном участке шоссе с постоянным ускорением a км/ч 2 . Скорость v вычисляется по формуле 2 v la = , где l — пройденный автомобилем путь. Найдите ускорение, с которым должен двигаться автомобиль, чтобы, проехав 1 километр, приобрести скорость 70 км/ч. Ответ дайте в км/ч 2 .</x:v>
      </x:c>
      <x:c r="N4613" s="30" t="str">
        <x:v>2450</x:v>
      </x:c>
      <x:c r="O4613" s="30" t="str">
        <x:v>В прикладную формулу подставлены данные и выражена искомая величина.</x:v>
      </x:c>
      <x:c r="P4613" s="30" t="str">
        <x:v>Условие и полный визуал просмотрены; ответ пересчитан/логически проверен и совпал с LOCKED-ключом.</x:v>
      </x:c>
      <x:c r="Q4613" s="30"/>
      <x:c r="R4613" s="30" t="str">
        <x:v>2450</x:v>
      </x:c>
      <x:c r="S4613" s="30"/>
      <x:c r="T4613" s="30" t="str">
        <x:v>Профиль.jpg (Запад)</x:v>
      </x:c>
      <x:c r="U4613" s="30" t="str">
        <x:v>Расхождений нет.</x:v>
      </x:c>
      <x:c r="V4613" s="87" t="str">
        <x:v>VERIFIED</x:v>
      </x:c>
      <x:c r="W4613" s="87"/>
      <x:c r="X4613" s="87" t="n">
        <x:v>4</x:v>
      </x:c>
      <x:c r="Y4613" s="87"/>
      <x:c r="Z4613" s="87"/>
      <x:c r="AA4613" s="87"/>
      <x:c r="AB4613" s="87" t="str">
        <x:v>таблица, строка 9</x:v>
      </x:c>
      <x:c r="AC4613" s="87" t="str">
        <x:v>VIS-MATH-DEC-PW-TASK-P004</x:v>
      </x:c>
      <x:c r="AD4613" s="87" t="str">
        <x:v>VIS-MATH-DEC-KEY-PW</x:v>
      </x:c>
      <x:c r="AE4613" s="87" t="str">
        <x:v>TASK; KEY</x:v>
      </x:c>
      <x:c r="AF4613" s="87" t="str">
        <x:v>VIS-MATH-DEC-PW-TASK-P004: 4; VIS-MATH-DEC-KEY-PW: 1</x:v>
      </x:c>
      <x:c r="AG4613" s="87" t="str">
        <x:v>RESOLVED</x:v>
      </x:c>
      <x:c r="AH4613" s="87" t="str">
        <x:v>CROP_VERIFIED</x:v>
      </x:c>
      <x:c r="AI4613" s="30" t="str">
        <x:v>{"Уровень": "Профильный"}</x:v>
      </x:c>
      <x:c r="AJ4613" s="87" t="str">
        <x:v>clean</x:v>
      </x:c>
      <x:c r="AK4613" s="87" t="str">
        <x:v>clean-v0.07</x:v>
      </x:c>
      <x:c r="AL4613" s="87" t="str">
        <x:v>statgrad_clean_continuation_v0_07(1).xlsx</x:v>
      </x:c>
      <x:c r="AM4613" s="87" t="str">
        <x:v>MATH_Dec_0209</x:v>
      </x:c>
      <x:c r="AN4613" s="87" t="n">
        <x:v>10</x:v>
      </x:c>
    </x:row>
    <x:row r="4614">
      <x:c r="A4614" s="87" t="n">
        <x:v>4613</x:v>
      </x:c>
      <x:c r="B4614" s="87" t="str">
        <x:v>DEC-MATH-09-010</x:v>
      </x:c>
      <x:c r="C4614" s="87" t="str">
        <x:v>СтатГрад</x:v>
      </x:c>
      <x:c r="D4614" s="87" t="str">
        <x:v>Декабрь 2025</x:v>
      </x:c>
      <x:c r="E4614" s="87"/>
      <x:c r="F4614" s="87"/>
      <x:c r="G4614" s="87" t="str">
        <x:v>Математика</x:v>
      </x:c>
      <x:c r="H4614" s="87" t="n">
        <x:v>11</x:v>
      </x:c>
      <x:c r="I4614" s="87" t="str">
        <x:v>ТР №2</x:v>
      </x:c>
      <x:c r="J4614" s="87" t="str">
        <x:v>МА2510209</x:v>
      </x:c>
      <x:c r="K4614" s="87" t="n">
        <x:v>10</x:v>
      </x:c>
      <x:c r="L4614" s="87" t="str">
        <x:v>Задача на движение</x:v>
      </x:c>
      <x:c r="M4614" s="30" t="str">
        <x:v>Катер в 11:00 вышел из пункта А в пункт В, расположенный в 15 км от А. Пробыв в пункте В 1 час 20 минут, катер отправился назад и вернулся обратно в пункт А в 15:00 того же дня. Определите собственную скорость катера (в км/ч), если известно, что скорость течения реки равна 3 км/ч.</x:v>
      </x:c>
      <x:c r="N4614" s="30" t="str">
        <x:v>12</x:v>
      </x:c>
      <x:c r="O4614" s="30" t="str">
        <x:v>Составлено уравнение времени движения с учётом течения и стоянки.</x:v>
      </x:c>
      <x:c r="P4614" s="30" t="str">
        <x:v>Условие и полный визуал просмотрены; ответ пересчитан/логически проверен и совпал с LOCKED-ключом.</x:v>
      </x:c>
      <x:c r="Q4614" s="30"/>
      <x:c r="R4614" s="30" t="str">
        <x:v>12</x:v>
      </x:c>
      <x:c r="S4614" s="30"/>
      <x:c r="T4614" s="30" t="str">
        <x:v>Профиль.jpg (Запад)</x:v>
      </x:c>
      <x:c r="U4614" s="30" t="str">
        <x:v>Расхождений нет.</x:v>
      </x:c>
      <x:c r="V4614" s="87" t="str">
        <x:v>VERIFIED</x:v>
      </x:c>
      <x:c r="W4614" s="87"/>
      <x:c r="X4614" s="87" t="n">
        <x:v>4</x:v>
      </x:c>
      <x:c r="Y4614" s="87"/>
      <x:c r="Z4614" s="87"/>
      <x:c r="AA4614" s="87"/>
      <x:c r="AB4614" s="87" t="str">
        <x:v>таблица, строка 9</x:v>
      </x:c>
      <x:c r="AC4614" s="87" t="str">
        <x:v>VIS-MATH-DEC-PW-TASK-P004</x:v>
      </x:c>
      <x:c r="AD4614" s="87" t="str">
        <x:v>VIS-MATH-DEC-KEY-PW</x:v>
      </x:c>
      <x:c r="AE4614" s="87" t="str">
        <x:v>TASK; KEY</x:v>
      </x:c>
      <x:c r="AF4614" s="87" t="str">
        <x:v>VIS-MATH-DEC-PW-TASK-P004: 4; VIS-MATH-DEC-KEY-PW: 1</x:v>
      </x:c>
      <x:c r="AG4614" s="87" t="str">
        <x:v>RESOLVED</x:v>
      </x:c>
      <x:c r="AH4614" s="87" t="str">
        <x:v>CROP_VERIFIED</x:v>
      </x:c>
      <x:c r="AI4614" s="30" t="str">
        <x:v>{"Уровень": "Профильный"}</x:v>
      </x:c>
      <x:c r="AJ4614" s="87" t="str">
        <x:v>clean</x:v>
      </x:c>
      <x:c r="AK4614" s="87" t="str">
        <x:v>clean-v0.07</x:v>
      </x:c>
      <x:c r="AL4614" s="87" t="str">
        <x:v>statgrad_clean_continuation_v0_07(1).xlsx</x:v>
      </x:c>
      <x:c r="AM4614" s="87" t="str">
        <x:v>MATH_Dec_0209</x:v>
      </x:c>
      <x:c r="AN4614" s="87" t="n">
        <x:v>11</x:v>
      </x:c>
    </x:row>
    <x:row r="4615">
      <x:c r="A4615" s="87" t="n">
        <x:v>4614</x:v>
      </x:c>
      <x:c r="B4615" s="87" t="str">
        <x:v>DEC-MATH-09-011</x:v>
      </x:c>
      <x:c r="C4615" s="87" t="str">
        <x:v>СтатГрад</x:v>
      </x:c>
      <x:c r="D4615" s="87" t="str">
        <x:v>Декабрь 2025</x:v>
      </x:c>
      <x:c r="E4615" s="87"/>
      <x:c r="F4615" s="87"/>
      <x:c r="G4615" s="87" t="str">
        <x:v>Математика</x:v>
      </x:c>
      <x:c r="H4615" s="87" t="n">
        <x:v>11</x:v>
      </x:c>
      <x:c r="I4615" s="87" t="str">
        <x:v>ТР №2</x:v>
      </x:c>
      <x:c r="J4615" s="87" t="str">
        <x:v>МА2510209</x:v>
      </x:c>
      <x:c r="K4615" s="87" t="n">
        <x:v>11</x:v>
      </x:c>
      <x:c r="L4615" s="87" t="str">
        <x:v>Графики функций</x:v>
      </x:c>
      <x:c r="M4615" s="30" t="str">
        <x:v>На рисунке изображены графики двух линейных функций. Найдите абсциссу точки пересечения графиков. y 1 x 0 1</x:v>
      </x:c>
      <x:c r="N4615" s="30" t="str">
        <x:v>-1,5</x:v>
      </x:c>
      <x:c r="O4615" s="30" t="str">
        <x:v>Координата точки пересечения считана/вычислена по графикам.</x:v>
      </x:c>
      <x:c r="P4615" s="30" t="str">
        <x:v>Условие и полный визуал просмотрены; ответ пересчитан/логически проверен и совпал с LOCKED-ключом.</x:v>
      </x:c>
      <x:c r="Q4615" s="30"/>
      <x:c r="R4615" s="30" t="str">
        <x:v>-1,5</x:v>
      </x:c>
      <x:c r="S4615" s="30"/>
      <x:c r="T4615" s="30" t="str">
        <x:v>Профиль.jpg (Запад)</x:v>
      </x:c>
      <x:c r="U4615" s="30" t="str">
        <x:v>Расхождений нет.</x:v>
      </x:c>
      <x:c r="V4615" s="87" t="str">
        <x:v>VERIFIED</x:v>
      </x:c>
      <x:c r="W4615" s="87"/>
      <x:c r="X4615" s="87" t="n">
        <x:v>5</x:v>
      </x:c>
      <x:c r="Y4615" s="87"/>
      <x:c r="Z4615" s="87"/>
      <x:c r="AA4615" s="87"/>
      <x:c r="AB4615" s="87" t="str">
        <x:v>таблица, строка 9</x:v>
      </x:c>
      <x:c r="AC4615" s="87" t="str">
        <x:v>VIS-MATH-DEC-PW-TASK-P005</x:v>
      </x:c>
      <x:c r="AD4615" s="87" t="str">
        <x:v>VIS-MATH-DEC-KEY-PW</x:v>
      </x:c>
      <x:c r="AE4615" s="87" t="str">
        <x:v>TASK; KEY</x:v>
      </x:c>
      <x:c r="AF4615" s="87" t="str">
        <x:v>VIS-MATH-DEC-PW-TASK-P005: 5; VIS-MATH-DEC-KEY-PW: 1</x:v>
      </x:c>
      <x:c r="AG4615" s="87" t="str">
        <x:v>RESOLVED</x:v>
      </x:c>
      <x:c r="AH4615" s="87" t="str">
        <x:v>CROP_VERIFIED; TASK_CROP_QA_APPROVED:USE_TIGHT</x:v>
      </x:c>
      <x:c r="AI4615" s="30" t="str">
        <x:v>{"Уровень": "Профильный"}</x:v>
      </x:c>
      <x:c r="AJ4615" s="87" t="str">
        <x:v>clean</x:v>
      </x:c>
      <x:c r="AK4615" s="87" t="str">
        <x:v>clean-v0.07</x:v>
      </x:c>
      <x:c r="AL4615" s="87" t="str">
        <x:v>statgrad_clean_continuation_v0_07(1).xlsx</x:v>
      </x:c>
      <x:c r="AM4615" s="87" t="str">
        <x:v>MATH_Dec_0209</x:v>
      </x:c>
      <x:c r="AN4615" s="87" t="n">
        <x:v>12</x:v>
      </x:c>
    </x:row>
    <x:row r="4616">
      <x:c r="A4616" s="87" t="n">
        <x:v>4615</x:v>
      </x:c>
      <x:c r="B4616" s="87" t="str">
        <x:v>DEC-MATH-09-012</x:v>
      </x:c>
      <x:c r="C4616" s="87" t="str">
        <x:v>СтатГрад</x:v>
      </x:c>
      <x:c r="D4616" s="87" t="str">
        <x:v>Декабрь 2025</x:v>
      </x:c>
      <x:c r="E4616" s="87"/>
      <x:c r="F4616" s="87"/>
      <x:c r="G4616" s="87" t="str">
        <x:v>Математика</x:v>
      </x:c>
      <x:c r="H4616" s="87" t="n">
        <x:v>11</x:v>
      </x:c>
      <x:c r="I4616" s="87" t="str">
        <x:v>ТР №2</x:v>
      </x:c>
      <x:c r="J4616" s="87" t="str">
        <x:v>МА2510209</x:v>
      </x:c>
      <x:c r="K4616" s="87" t="n">
        <x:v>12</x:v>
      </x:c>
      <x:c r="L4616" s="87" t="str">
        <x:v>Исследование функции</x:v>
      </x:c>
      <x:c r="M4616" s="30" t="str">
        <x:v>Найдите наименьшее значение функции ( ) ( ) 2 4 10 9 y x x = + + + на отрезке [ ] 8;1 − .</x:v>
      </x:c>
      <x:c r="N4616" s="30" t="str">
        <x:v>9</x:v>
      </x:c>
      <x:c r="O4616" s="30" t="str">
        <x:v>Проверены критические точки и концы заданного отрезка.</x:v>
      </x:c>
      <x:c r="P4616" s="30" t="str">
        <x:v>Условие и полный визуал просмотрены; ответ пересчитан/логически проверен и совпал с LOCKED-ключом.</x:v>
      </x:c>
      <x:c r="Q4616" s="30"/>
      <x:c r="R4616" s="30" t="str">
        <x:v>9</x:v>
      </x:c>
      <x:c r="S4616" s="30"/>
      <x:c r="T4616" s="30" t="str">
        <x:v>Профиль.jpg (Запад)</x:v>
      </x:c>
      <x:c r="U4616" s="30" t="str">
        <x:v>Расхождений нет.</x:v>
      </x:c>
      <x:c r="V4616" s="87" t="str">
        <x:v>VERIFIED</x:v>
      </x:c>
      <x:c r="W4616" s="87"/>
      <x:c r="X4616" s="87" t="n">
        <x:v>5</x:v>
      </x:c>
      <x:c r="Y4616" s="87"/>
      <x:c r="Z4616" s="87"/>
      <x:c r="AA4616" s="87"/>
      <x:c r="AB4616" s="87" t="str">
        <x:v>таблица, строка 9</x:v>
      </x:c>
      <x:c r="AC4616" s="87" t="str">
        <x:v>VIS-MATH-DEC-PW-TASK-P005</x:v>
      </x:c>
      <x:c r="AD4616" s="87" t="str">
        <x:v>VIS-MATH-DEC-KEY-PW</x:v>
      </x:c>
      <x:c r="AE4616" s="87" t="str">
        <x:v>TASK; KEY</x:v>
      </x:c>
      <x:c r="AF4616" s="87" t="str">
        <x:v>VIS-MATH-DEC-PW-TASK-P005: 5; VIS-MATH-DEC-KEY-PW: 1</x:v>
      </x:c>
      <x:c r="AG4616" s="87" t="str">
        <x:v>RESOLVED</x:v>
      </x:c>
      <x:c r="AH4616" s="87" t="str">
        <x:v>CROP_VERIFIED</x:v>
      </x:c>
      <x:c r="AI4616" s="30" t="str">
        <x:v>{"Уровень": "Профильный"}</x:v>
      </x:c>
      <x:c r="AJ4616" s="87" t="str">
        <x:v>clean</x:v>
      </x:c>
      <x:c r="AK4616" s="87" t="str">
        <x:v>clean-v0.07</x:v>
      </x:c>
      <x:c r="AL4616" s="87" t="str">
        <x:v>statgrad_clean_continuation_v0_07(1).xlsx</x:v>
      </x:c>
      <x:c r="AM4616" s="87" t="str">
        <x:v>MATH_Dec_0209</x:v>
      </x:c>
      <x:c r="AN4616" s="87" t="n">
        <x:v>13</x:v>
      </x:c>
    </x:row>
    <x:row r="4617">
      <x:c r="A4617" s="87" t="n">
        <x:v>4616</x:v>
      </x:c>
      <x:c r="B4617" s="87" t="str">
        <x:v>DEC-MATH-09-013</x:v>
      </x:c>
      <x:c r="C4617" s="87" t="str">
        <x:v>СтатГрад</x:v>
      </x:c>
      <x:c r="D4617" s="87" t="str">
        <x:v>Декабрь 2025</x:v>
      </x:c>
      <x:c r="E4617" s="87"/>
      <x:c r="F4617" s="87"/>
      <x:c r="G4617" s="87" t="str">
        <x:v>Математика</x:v>
      </x:c>
      <x:c r="H4617" s="87" t="n">
        <x:v>11</x:v>
      </x:c>
      <x:c r="I4617" s="87" t="str">
        <x:v>ТР №2</x:v>
      </x:c>
      <x:c r="J4617" s="87" t="str">
        <x:v>МА2510209</x:v>
      </x:c>
      <x:c r="K4617" s="87" t="n">
        <x:v>13</x:v>
      </x:c>
      <x:c r="L4617" s="87" t="str">
        <x:v>Тригонометрическое уравнение</x:v>
      </x:c>
      <x:c r="M4617" s="30" t="str">
        <x:v>а) Решите уравнение ( ) π cos sin π 0 2 2 x x   + − + =     . б) Найдите все корни этого уравнения, принадлежащие отрезку [ ] 7π; 4π − − .</x:v>
      </x:c>
      <x:c r="N4617" s="30" t="str">
        <x:v>а) x=2πn; x=2π/3+4πm; x=−2π/3+4πl; б) −6π, −4π, −14π/3</x:v>
      </x:c>
      <x:c r="O4617" s="30" t="str">
        <x:v>Тригонометрическое уравнение разложено на множители; затем отобраны корни на отрезке.</x:v>
      </x:c>
      <x:c r="P4617" s="30" t="str">
        <x:v>Развёрнутое решение и итоговый ответ сверены с официальными критериями; ключевые преобразования проверены независимо.</x:v>
      </x:c>
      <x:c r="Q4617" s="30"/>
      <x:c r="R4617" s="30" t="str">
        <x:v>а) x=2πn; x=2π/3+4πm; x=−2π/3+4πl; б) −6π, −4π, −14π/3</x:v>
      </x:c>
      <x:c r="S4617" s="30"/>
      <x:c r="T4617" s="30" t="str">
        <x:v>Kriterii_MA11_18122025_zapad.pdf</x:v>
      </x:c>
      <x:c r="U4617" s="30" t="str">
        <x:v>Расхождений нет.</x:v>
      </x:c>
      <x:c r="V4617" s="87" t="str">
        <x:v>VERIFIED</x:v>
      </x:c>
      <x:c r="W4617" s="87"/>
      <x:c r="X4617" s="87" t="n">
        <x:v>6</x:v>
      </x:c>
      <x:c r="Y4617" s="87"/>
      <x:c r="Z4617" s="87"/>
      <x:c r="AA4617" s="87"/>
      <x:c r="AB4617" s="87" t="str">
        <x:v>стр. 1</x:v>
      </x:c>
      <x:c r="AC4617" s="87" t="str">
        <x:v>VIS-MATH-DEC-PW-TASK-P006</x:v>
      </x:c>
      <x:c r="AD4617" s="87" t="str">
        <x:v>VIS-MATH-DEC-CW-CRIT-P001</x:v>
      </x:c>
      <x:c r="AE4617" s="87" t="str">
        <x:v>TASK; CRIT</x:v>
      </x:c>
      <x:c r="AF4617" s="87" t="str">
        <x:v>VIS-MATH-DEC-PW-TASK-P006: 6; VIS-MATH-DEC-CW-CRIT-P001: 1</x:v>
      </x:c>
      <x:c r="AG4617" s="87" t="str">
        <x:v>RESOLVED</x:v>
      </x:c>
      <x:c r="AH4617" s="87" t="str">
        <x:v>CROP_VERIFIED</x:v>
      </x:c>
      <x:c r="AI4617" s="30" t="str">
        <x:v>{"Уровень": "Профильный"}</x:v>
      </x:c>
      <x:c r="AJ4617" s="87" t="str">
        <x:v>clean</x:v>
      </x:c>
      <x:c r="AK4617" s="87" t="str">
        <x:v>clean-v0.07</x:v>
      </x:c>
      <x:c r="AL4617" s="87" t="str">
        <x:v>statgrad_clean_continuation_v0_07(1).xlsx</x:v>
      </x:c>
      <x:c r="AM4617" s="87" t="str">
        <x:v>MATH_Dec_0209</x:v>
      </x:c>
      <x:c r="AN4617" s="87" t="n">
        <x:v>14</x:v>
      </x:c>
    </x:row>
    <x:row r="4618">
      <x:c r="A4618" s="87" t="n">
        <x:v>4617</x:v>
      </x:c>
      <x:c r="B4618" s="87" t="str">
        <x:v>DEC-MATH-09-014</x:v>
      </x:c>
      <x:c r="C4618" s="87" t="str">
        <x:v>СтатГрад</x:v>
      </x:c>
      <x:c r="D4618" s="87" t="str">
        <x:v>Декабрь 2025</x:v>
      </x:c>
      <x:c r="E4618" s="87"/>
      <x:c r="F4618" s="87"/>
      <x:c r="G4618" s="87" t="str">
        <x:v>Математика</x:v>
      </x:c>
      <x:c r="H4618" s="87" t="n">
        <x:v>11</x:v>
      </x:c>
      <x:c r="I4618" s="87" t="str">
        <x:v>ТР №2</x:v>
      </x:c>
      <x:c r="J4618" s="87" t="str">
        <x:v>МА2510209</x:v>
      </x:c>
      <x:c r="K4618" s="87" t="n">
        <x:v>14</x:v>
      </x:c>
      <x:c r="L4618" s="87" t="str">
        <x:v>Стереометрия: доказательство и вычисление</x:v>
      </x:c>
      <x:c r="M4618" s="30" t="str">
        <x:v>В правильной треугольной призме 1 1 1 ABCA B C отметили точки M и K на рёбрах 1 AA и 1 1 A B соответственно. Известно, что 1 4 , A M MA = 1 1. A K KB = Через точки M и K провели плоскость α перпендикулярно грани 1 1. ABB A а) Докажите, что плоскость α проходит через вершину 1. C б) Найдите площадь сечения призмы 1 1 1 ABCA B C плоскостью α, если все рёбра призмы равны 50.</x:v>
      </x:c>
      <x:c r="N4618" s="30" t="str">
        <x:v>а) плоскость α проходит через C₁; б) 125√267/2</x:v>
      </x:c>
      <x:c r="O4618" s="30" t="str">
        <x:v>Перпендикулярность плоскостей сведена к перпендикулярности прямых; площадь сечения найдена через прямоугольный треугольник.</x:v>
      </x:c>
      <x:c r="P4618" s="30" t="str">
        <x:v>Развёрнутое решение и итоговый ответ сверены с официальными критериями; ключевые преобразования проверены независимо.</x:v>
      </x:c>
      <x:c r="Q4618" s="30"/>
      <x:c r="R4618" s="30" t="str">
        <x:v>а) плоскость α проходит через C₁; б) 125√267/2</x:v>
      </x:c>
      <x:c r="S4618" s="30"/>
      <x:c r="T4618" s="30" t="str">
        <x:v>Kriterii_MA11_18122025_zapad.pdf</x:v>
      </x:c>
      <x:c r="U4618" s="30" t="str">
        <x:v>Расхождений нет.</x:v>
      </x:c>
      <x:c r="V4618" s="87" t="str">
        <x:v>VERIFIED</x:v>
      </x:c>
      <x:c r="W4618" s="87"/>
      <x:c r="X4618" s="87" t="n">
        <x:v>6</x:v>
      </x:c>
      <x:c r="Y4618" s="87"/>
      <x:c r="Z4618" s="87"/>
      <x:c r="AA4618" s="87"/>
      <x:c r="AB4618" s="87" t="str">
        <x:v>стр. 2, 3</x:v>
      </x:c>
      <x:c r="AC4618" s="87" t="str">
        <x:v>VIS-MATH-DEC-PW-TASK-P006</x:v>
      </x:c>
      <x:c r="AD4618" s="87" t="str">
        <x:v>VIS-MATH-DEC-CW-CRIT-P002; VIS-MATH-DEC-CW-CRIT-P003</x:v>
      </x:c>
      <x:c r="AE4618" s="87" t="str">
        <x:v>TASK; CRIT</x:v>
      </x:c>
      <x:c r="AF4618" s="87" t="str">
        <x:v>VIS-MATH-DEC-PW-TASK-P006: 6; VIS-MATH-DEC-CW-CRIT-P002: 2; VIS-MATH-DEC-CW-CRIT-P003: 3</x:v>
      </x:c>
      <x:c r="AG4618" s="87" t="str">
        <x:v>RESOLVED</x:v>
      </x:c>
      <x:c r="AH4618" s="87" t="str">
        <x:v>CROP_VERIFIED</x:v>
      </x:c>
      <x:c r="AI4618" s="30" t="str">
        <x:v>{"Уровень": "Профильный"}</x:v>
      </x:c>
      <x:c r="AJ4618" s="87" t="str">
        <x:v>clean</x:v>
      </x:c>
      <x:c r="AK4618" s="87" t="str">
        <x:v>clean-v0.07</x:v>
      </x:c>
      <x:c r="AL4618" s="87" t="str">
        <x:v>statgrad_clean_continuation_v0_07(1).xlsx</x:v>
      </x:c>
      <x:c r="AM4618" s="87" t="str">
        <x:v>MATH_Dec_0209</x:v>
      </x:c>
      <x:c r="AN4618" s="87" t="n">
        <x:v>15</x:v>
      </x:c>
    </x:row>
    <x:row r="4619">
      <x:c r="A4619" s="87" t="n">
        <x:v>4618</x:v>
      </x:c>
      <x:c r="B4619" s="87" t="str">
        <x:v>DEC-MATH-09-015</x:v>
      </x:c>
      <x:c r="C4619" s="87" t="str">
        <x:v>СтатГрад</x:v>
      </x:c>
      <x:c r="D4619" s="87" t="str">
        <x:v>Декабрь 2025</x:v>
      </x:c>
      <x:c r="E4619" s="87"/>
      <x:c r="F4619" s="87"/>
      <x:c r="G4619" s="87" t="str">
        <x:v>Математика</x:v>
      </x:c>
      <x:c r="H4619" s="87" t="n">
        <x:v>11</x:v>
      </x:c>
      <x:c r="I4619" s="87" t="str">
        <x:v>ТР №2</x:v>
      </x:c>
      <x:c r="J4619" s="87" t="str">
        <x:v>МА2510209</x:v>
      </x:c>
      <x:c r="K4619" s="87" t="n">
        <x:v>15</x:v>
      </x:c>
      <x:c r="L4619" s="87" t="str">
        <x:v>Логарифмическое неравенство</x:v>
      </x:c>
      <x:c r="M4619" s="30" t="str">
        <x:v>Решите неравенство ( ) ( ) ( ) ( ) 7 20 log 7 log 20 2 3 2 log 7 20 1 log 6 x x x x − + + + ≥ − .</x:v>
      </x:c>
      <x:c r="N4619" s="30" t="str">
        <x:v>[−2;0) ∪ (6;7)</x:v>
      </x:c>
      <x:c r="O4619" s="30" t="str">
        <x:v>Логарифмическое выражение упрощено с обязательным учётом ОДЗ; решена система неравенств.</x:v>
      </x:c>
      <x:c r="P4619" s="30" t="str">
        <x:v>Развёрнутое решение и итоговый ответ сверены с официальными критериями; ключевые преобразования проверены независимо.</x:v>
      </x:c>
      <x:c r="Q4619" s="30"/>
      <x:c r="R4619" s="30" t="str">
        <x:v>[−2;0) ∪ (6;7)</x:v>
      </x:c>
      <x:c r="S4619" s="30"/>
      <x:c r="T4619" s="30" t="str">
        <x:v>Kriterii_MA11_18122025_zapad.pdf</x:v>
      </x:c>
      <x:c r="U4619" s="30" t="str">
        <x:v>Расхождений нет.</x:v>
      </x:c>
      <x:c r="V4619" s="87" t="str">
        <x:v>VERIFIED</x:v>
      </x:c>
      <x:c r="W4619" s="87"/>
      <x:c r="X4619" s="87" t="n">
        <x:v>6</x:v>
      </x:c>
      <x:c r="Y4619" s="87"/>
      <x:c r="Z4619" s="87"/>
      <x:c r="AA4619" s="87"/>
      <x:c r="AB4619" s="87" t="str">
        <x:v>стр. 3, 4</x:v>
      </x:c>
      <x:c r="AC4619" s="87" t="str">
        <x:v>VIS-MATH-DEC-PW-TASK-P006</x:v>
      </x:c>
      <x:c r="AD4619" s="87" t="str">
        <x:v>VIS-MATH-DEC-CW-CRIT-P003; VIS-MATH-DEC-CW-CRIT-P004</x:v>
      </x:c>
      <x:c r="AE4619" s="87" t="str">
        <x:v>TASK; CRIT</x:v>
      </x:c>
      <x:c r="AF4619" s="87" t="str">
        <x:v>VIS-MATH-DEC-PW-TASK-P006: 6; VIS-MATH-DEC-CW-CRIT-P003: 3; VIS-MATH-DEC-CW-CRIT-P004: 4</x:v>
      </x:c>
      <x:c r="AG4619" s="87" t="str">
        <x:v>RESOLVED</x:v>
      </x:c>
      <x:c r="AH4619" s="87" t="str">
        <x:v>CROP_VERIFIED</x:v>
      </x:c>
      <x:c r="AI4619" s="30" t="str">
        <x:v>{"Уровень": "Профильный"}</x:v>
      </x:c>
      <x:c r="AJ4619" s="87" t="str">
        <x:v>clean</x:v>
      </x:c>
      <x:c r="AK4619" s="87" t="str">
        <x:v>clean-v0.07</x:v>
      </x:c>
      <x:c r="AL4619" s="87" t="str">
        <x:v>statgrad_clean_continuation_v0_07(1).xlsx</x:v>
      </x:c>
      <x:c r="AM4619" s="87" t="str">
        <x:v>MATH_Dec_0209</x:v>
      </x:c>
      <x:c r="AN4619" s="87" t="n">
        <x:v>16</x:v>
      </x:c>
    </x:row>
    <x:row r="4620">
      <x:c r="A4620" s="87" t="n">
        <x:v>4619</x:v>
      </x:c>
      <x:c r="B4620" s="87" t="str">
        <x:v>DEC-MATH-09-016</x:v>
      </x:c>
      <x:c r="C4620" s="87" t="str">
        <x:v>СтатГрад</x:v>
      </x:c>
      <x:c r="D4620" s="87" t="str">
        <x:v>Декабрь 2025</x:v>
      </x:c>
      <x:c r="E4620" s="87"/>
      <x:c r="F4620" s="87"/>
      <x:c r="G4620" s="87" t="str">
        <x:v>Математика</x:v>
      </x:c>
      <x:c r="H4620" s="87" t="n">
        <x:v>11</x:v>
      </x:c>
      <x:c r="I4620" s="87" t="str">
        <x:v>ТР №2</x:v>
      </x:c>
      <x:c r="J4620" s="87" t="str">
        <x:v>МА2510209</x:v>
      </x:c>
      <x:c r="K4620" s="87" t="n">
        <x:v>16</x:v>
      </x:c>
      <x:c r="L4620" s="87" t="str">
        <x:v>Финансовая математика</x:v>
      </x:c>
      <x:c r="M4620" s="30" t="str">
        <x:v>15 декабря 2026 года планируется взять кредит в банке на сумму 25,2 млн рублей на 36 месяцев. Условия его возврата таковы: – 1-го числа каждого месяца долг возрастает на 5 % по сравнению с концом предыдущего месяца; – со 2-го по 14-е число каждого месяца необходимо одним платежом оплатить часть долга; – 15-го числа каждого месяца долг должен быть на одну и ту же величину меньше долга на 15-е число предыдущего месяца; – к 15 декабря 2029 года кредит должен быть полностью погашен. Чему будет равна общая сумма платежей в 2029 году?</x:v>
      </x:c>
      <x:c r="N4620" s="30" t="str">
        <x:v>11 130 000 руб.</x:v>
      </x:c>
      <x:c r="O4620" s="30" t="str">
        <x:v>Долг уменьшается равными долями; платежи последнего года образуют арифметически суммируемую последовательность.</x:v>
      </x:c>
      <x:c r="P4620" s="30" t="str">
        <x:v>Развёрнутое решение и итоговый ответ сверены с официальными критериями; ключевые преобразования проверены независимо.</x:v>
      </x:c>
      <x:c r="Q4620" s="30"/>
      <x:c r="R4620" s="30" t="str">
        <x:v>11 130 000 руб.</x:v>
      </x:c>
      <x:c r="S4620" s="30"/>
      <x:c r="T4620" s="30" t="str">
        <x:v>Kriterii_MA11_18122025_zapad.pdf</x:v>
      </x:c>
      <x:c r="U4620" s="30" t="str">
        <x:v>Расхождений нет.</x:v>
      </x:c>
      <x:c r="V4620" s="87" t="str">
        <x:v>VERIFIED</x:v>
      </x:c>
      <x:c r="W4620" s="87"/>
      <x:c r="X4620" s="87" t="n">
        <x:v>6</x:v>
      </x:c>
      <x:c r="Y4620" s="87"/>
      <x:c r="Z4620" s="87"/>
      <x:c r="AA4620" s="87"/>
      <x:c r="AB4620" s="87" t="str">
        <x:v>стр. 4</x:v>
      </x:c>
      <x:c r="AC4620" s="87" t="str">
        <x:v>VIS-MATH-DEC-PW-TASK-P006</x:v>
      </x:c>
      <x:c r="AD4620" s="87" t="str">
        <x:v>VIS-MATH-DEC-CW-CRIT-P004</x:v>
      </x:c>
      <x:c r="AE4620" s="87" t="str">
        <x:v>TASK; CRIT</x:v>
      </x:c>
      <x:c r="AF4620" s="87" t="str">
        <x:v>VIS-MATH-DEC-PW-TASK-P006: 6; VIS-MATH-DEC-CW-CRIT-P004: 4</x:v>
      </x:c>
      <x:c r="AG4620" s="87" t="str">
        <x:v>RESOLVED</x:v>
      </x:c>
      <x:c r="AH4620" s="87" t="str">
        <x:v>CROP_VERIFIED</x:v>
      </x:c>
      <x:c r="AI4620" s="30" t="str">
        <x:v>{"Уровень": "Профильный"}</x:v>
      </x:c>
      <x:c r="AJ4620" s="87" t="str">
        <x:v>clean</x:v>
      </x:c>
      <x:c r="AK4620" s="87" t="str">
        <x:v>clean-v0.07</x:v>
      </x:c>
      <x:c r="AL4620" s="87" t="str">
        <x:v>statgrad_clean_continuation_v0_07(1).xlsx</x:v>
      </x:c>
      <x:c r="AM4620" s="87" t="str">
        <x:v>MATH_Dec_0209</x:v>
      </x:c>
      <x:c r="AN4620" s="87" t="n">
        <x:v>17</x:v>
      </x:c>
    </x:row>
    <x:row r="4621">
      <x:c r="A4621" s="87" t="n">
        <x:v>4620</x:v>
      </x:c>
      <x:c r="B4621" s="87" t="str">
        <x:v>DEC-MATH-09-017</x:v>
      </x:c>
      <x:c r="C4621" s="87" t="str">
        <x:v>СтатГрад</x:v>
      </x:c>
      <x:c r="D4621" s="87" t="str">
        <x:v>Декабрь 2025</x:v>
      </x:c>
      <x:c r="E4621" s="87"/>
      <x:c r="F4621" s="87"/>
      <x:c r="G4621" s="87" t="str">
        <x:v>Математика</x:v>
      </x:c>
      <x:c r="H4621" s="87" t="n">
        <x:v>11</x:v>
      </x:c>
      <x:c r="I4621" s="87" t="str">
        <x:v>ТР №2</x:v>
      </x:c>
      <x:c r="J4621" s="87" t="str">
        <x:v>МА2510209</x:v>
      </x:c>
      <x:c r="K4621" s="87" t="n">
        <x:v>17</x:v>
      </x:c>
      <x:c r="L4621" s="87" t="str">
        <x:v>Планиметрия: доказательство</x:v>
      </x:c>
      <x:c r="M4621" s="30" t="str">
        <x:v>В треугольнике ABC все стороны различны. Прямая, содержащая высоту BH треугольника ABC , вторично пересекает описанную около этого треугольника окружность в точке K . Отрезок BN — диаметр этой окружности. а) Докажите, что прямые AC и KN параллельны. б) Найдите расстояние от точки N до прямой AC , если радиус описанной около треугольника ABC окружности равен 10 6 , 30 BAC  = °, 105 ABC  = °.</x:v>
      </x:c>
      <x:c r="N4621" s="30" t="str">
        <x:v>а) AC ∥ KN; б) 30</x:v>
      </x:c>
      <x:c r="O4621" s="30" t="str">
        <x:v>Параллельность доказана через общую перпендикулярность; расстояние вычислено по вписанным углам и радиусу.</x:v>
      </x:c>
      <x:c r="P4621" s="30" t="str">
        <x:v>Развёрнутое решение и итоговый ответ сверены с официальными критериями; ключевые преобразования проверены независимо.</x:v>
      </x:c>
      <x:c r="Q4621" s="30"/>
      <x:c r="R4621" s="30" t="str">
        <x:v>а) AC ∥ KN; б) 30</x:v>
      </x:c>
      <x:c r="S4621" s="30"/>
      <x:c r="T4621" s="30" t="str">
        <x:v>Kriterii_MA11_18122025_zapad.pdf</x:v>
      </x:c>
      <x:c r="U4621" s="30" t="str">
        <x:v>Расхождений нет.</x:v>
      </x:c>
      <x:c r="V4621" s="87" t="str">
        <x:v>VERIFIED</x:v>
      </x:c>
      <x:c r="W4621" s="87"/>
      <x:c r="X4621" s="87" t="n">
        <x:v>7</x:v>
      </x:c>
      <x:c r="Y4621" s="87"/>
      <x:c r="Z4621" s="87"/>
      <x:c r="AA4621" s="87"/>
      <x:c r="AB4621" s="87" t="str">
        <x:v>стр. 5</x:v>
      </x:c>
      <x:c r="AC4621" s="87" t="str">
        <x:v>VIS-MATH-DEC-PW-TASK-P007</x:v>
      </x:c>
      <x:c r="AD4621" s="87" t="str">
        <x:v>VIS-MATH-DEC-CW-CRIT-P005</x:v>
      </x:c>
      <x:c r="AE4621" s="87" t="str">
        <x:v>TASK; CRIT</x:v>
      </x:c>
      <x:c r="AF4621" s="87" t="str">
        <x:v>VIS-MATH-DEC-PW-TASK-P007: 7; VIS-MATH-DEC-CW-CRIT-P005: 5</x:v>
      </x:c>
      <x:c r="AG4621" s="87" t="str">
        <x:v>RESOLVED</x:v>
      </x:c>
      <x:c r="AH4621" s="87" t="str">
        <x:v>CROP_VERIFIED</x:v>
      </x:c>
      <x:c r="AI4621" s="30" t="str">
        <x:v>{"Уровень": "Профильный"}</x:v>
      </x:c>
      <x:c r="AJ4621" s="87" t="str">
        <x:v>clean</x:v>
      </x:c>
      <x:c r="AK4621" s="87" t="str">
        <x:v>clean-v0.07</x:v>
      </x:c>
      <x:c r="AL4621" s="87" t="str">
        <x:v>statgrad_clean_continuation_v0_07(1).xlsx</x:v>
      </x:c>
      <x:c r="AM4621" s="87" t="str">
        <x:v>MATH_Dec_0209</x:v>
      </x:c>
      <x:c r="AN4621" s="87" t="n">
        <x:v>18</x:v>
      </x:c>
    </x:row>
    <x:row r="4622">
      <x:c r="A4622" s="87" t="n">
        <x:v>4621</x:v>
      </x:c>
      <x:c r="B4622" s="87" t="str">
        <x:v>DEC-MATH-09-018</x:v>
      </x:c>
      <x:c r="C4622" s="87" t="str">
        <x:v>СтатГрад</x:v>
      </x:c>
      <x:c r="D4622" s="87" t="str">
        <x:v>Декабрь 2025</x:v>
      </x:c>
      <x:c r="E4622" s="87"/>
      <x:c r="F4622" s="87"/>
      <x:c r="G4622" s="87" t="str">
        <x:v>Математика</x:v>
      </x:c>
      <x:c r="H4622" s="87" t="n">
        <x:v>11</x:v>
      </x:c>
      <x:c r="I4622" s="87" t="str">
        <x:v>ТР №2</x:v>
      </x:c>
      <x:c r="J4622" s="87" t="str">
        <x:v>МА2510209</x:v>
      </x:c>
      <x:c r="K4622" s="87" t="n">
        <x:v>18</x:v>
      </x:c>
      <x:c r="L4622" s="87" t="str">
        <x:v>Уравнение с параметром</x:v>
      </x:c>
      <x:c r="M4622" s="30" t="str">
        <x:v>Найдите все значения ,a при каждом из которых уравнение 2 4 4 3 36 18 0 a x x a x x     + + + − + =         имеет ровно два различных корня.</x:v>
      </x:c>
      <x:c r="N4622" s="30" t="str">
        <x:v>a=0; a=1/4; 3/10&lt;a&lt;3/2</x:v>
      </x:c>
      <x:c r="O4622" s="30" t="str">
        <x:v>Введена замена y=x+c/x; число корней определено по положению корней квадратного уравнения относительно диапазона y.</x:v>
      </x:c>
      <x:c r="P4622" s="30" t="str">
        <x:v>Развёрнутое решение и итоговый ответ сверены с официальными критериями; ключевые преобразования проверены независимо.</x:v>
      </x:c>
      <x:c r="Q4622" s="30"/>
      <x:c r="R4622" s="30" t="str">
        <x:v>a=0; a=1/4; 3/10&lt;a&lt;3/2</x:v>
      </x:c>
      <x:c r="S4622" s="30"/>
      <x:c r="T4622" s="30" t="str">
        <x:v>Kriterii_MA11_18122025_zapad.pdf</x:v>
      </x:c>
      <x:c r="U4622" s="30" t="str">
        <x:v>Расхождений нет.</x:v>
      </x:c>
      <x:c r="V4622" s="87" t="str">
        <x:v>VERIFIED</x:v>
      </x:c>
      <x:c r="W4622" s="87"/>
      <x:c r="X4622" s="87" t="n">
        <x:v>7</x:v>
      </x:c>
      <x:c r="Y4622" s="87"/>
      <x:c r="Z4622" s="87"/>
      <x:c r="AA4622" s="87"/>
      <x:c r="AB4622" s="87" t="str">
        <x:v>стр. 6, 7</x:v>
      </x:c>
      <x:c r="AC4622" s="87" t="str">
        <x:v>VIS-MATH-DEC-PW-TASK-P007</x:v>
      </x:c>
      <x:c r="AD4622" s="87" t="str">
        <x:v>VIS-MATH-DEC-CW-CRIT-P006; VIS-MATH-DEC-CW-CRIT-P007</x:v>
      </x:c>
      <x:c r="AE4622" s="87" t="str">
        <x:v>TASK; CRIT</x:v>
      </x:c>
      <x:c r="AF4622" s="87" t="str">
        <x:v>VIS-MATH-DEC-PW-TASK-P007: 7; VIS-MATH-DEC-CW-CRIT-P006: 6; VIS-MATH-DEC-CW-CRIT-P007: 7</x:v>
      </x:c>
      <x:c r="AG4622" s="87" t="str">
        <x:v>RESOLVED</x:v>
      </x:c>
      <x:c r="AH4622" s="87" t="str">
        <x:v>CROP_VERIFIED</x:v>
      </x:c>
      <x:c r="AI4622" s="30" t="str">
        <x:v>{"Уровень": "Профильный"}</x:v>
      </x:c>
      <x:c r="AJ4622" s="87" t="str">
        <x:v>clean</x:v>
      </x:c>
      <x:c r="AK4622" s="87" t="str">
        <x:v>clean-v0.07</x:v>
      </x:c>
      <x:c r="AL4622" s="87" t="str">
        <x:v>statgrad_clean_continuation_v0_07(1).xlsx</x:v>
      </x:c>
      <x:c r="AM4622" s="87" t="str">
        <x:v>MATH_Dec_0209</x:v>
      </x:c>
      <x:c r="AN4622" s="87" t="n">
        <x:v>19</x:v>
      </x:c>
    </x:row>
    <x:row r="4623">
      <x:c r="A4623" s="87" t="n">
        <x:v>4622</x:v>
      </x:c>
      <x:c r="B4623" s="87" t="str">
        <x:v>DEC-MATH-09-019</x:v>
      </x:c>
      <x:c r="C4623" s="87" t="str">
        <x:v>СтатГрад</x:v>
      </x:c>
      <x:c r="D4623" s="87" t="str">
        <x:v>Декабрь 2025</x:v>
      </x:c>
      <x:c r="E4623" s="87"/>
      <x:c r="F4623" s="87"/>
      <x:c r="G4623" s="87" t="str">
        <x:v>Математика</x:v>
      </x:c>
      <x:c r="H4623" s="87" t="n">
        <x:v>11</x:v>
      </x:c>
      <x:c r="I4623" s="87" t="str">
        <x:v>ТР №2</x:v>
      </x:c>
      <x:c r="J4623" s="87" t="str">
        <x:v>МА2510209</x:v>
      </x:c>
      <x:c r="K4623" s="87" t="n">
        <x:v>19</x:v>
      </x:c>
      <x:c r="L4623" s="87" t="str">
        <x:v>Комбинаторика и теория чисел</x:v>
      </x:c>
      <x:c r="M4623" s="30" t="str">
        <x:v>На доске написано n единиц подряд. Между некоторыми из них расставляют знаки «+» и считают получившуюся сумму. Например, если было написано 10 единиц, то можно получить сумму 136: 1 1 111 11 11 1 136 ++ + + += . а) Можно ли получить сумму 130, если 40 n = ? б) Можно ли получить сумму 130, если 80 n = ? в) Для скольких значений n можно получить сумму 130?</x:v>
      </x:c>
      <x:c r="N4623" s="30" t="str">
        <x:v>а) да; б) нет; в) 14</x:v>
      </x:c>
      <x:c r="O4623" s="30" t="str">
        <x:v>Использованы остатки и представление числа как суммы блоков единиц; затем подсчитаны допустимые n.</x:v>
      </x:c>
      <x:c r="P4623" s="30" t="str">
        <x:v>Развёрнутое решение и итоговый ответ сверены с официальными критериями; ключевые преобразования проверены независимо.</x:v>
      </x:c>
      <x:c r="Q4623" s="30"/>
      <x:c r="R4623" s="30" t="str">
        <x:v>а) да; б) нет; в) 14</x:v>
      </x:c>
      <x:c r="S4623" s="30"/>
      <x:c r="T4623" s="30" t="str">
        <x:v>Kriterii_MA11_18122025_zapad.pdf</x:v>
      </x:c>
      <x:c r="U4623" s="30" t="str">
        <x:v>Расхождений нет.</x:v>
      </x:c>
      <x:c r="V4623" s="87" t="str">
        <x:v>VERIFIED</x:v>
      </x:c>
      <x:c r="W4623" s="87"/>
      <x:c r="X4623" s="87" t="n">
        <x:v>7</x:v>
      </x:c>
      <x:c r="Y4623" s="87"/>
      <x:c r="Z4623" s="87"/>
      <x:c r="AA4623" s="87"/>
      <x:c r="AB4623" s="87" t="str">
        <x:v>стр. 8</x:v>
      </x:c>
      <x:c r="AC4623" s="87" t="str">
        <x:v>VIS-MATH-DEC-PW-TASK-P007</x:v>
      </x:c>
      <x:c r="AD4623" s="87" t="str">
        <x:v>VIS-MATH-DEC-CW-CRIT-P008</x:v>
      </x:c>
      <x:c r="AE4623" s="87" t="str">
        <x:v>TASK; CRIT</x:v>
      </x:c>
      <x:c r="AF4623" s="87" t="str">
        <x:v>VIS-MATH-DEC-PW-TASK-P007: 7; VIS-MATH-DEC-CW-CRIT-P008: 8</x:v>
      </x:c>
      <x:c r="AG4623" s="87" t="str">
        <x:v>RESOLVED</x:v>
      </x:c>
      <x:c r="AH4623" s="87" t="str">
        <x:v>CROP_VERIFIED</x:v>
      </x:c>
      <x:c r="AI4623" s="30" t="str">
        <x:v>{"Уровень": "Профильный"}</x:v>
      </x:c>
      <x:c r="AJ4623" s="87" t="str">
        <x:v>clean</x:v>
      </x:c>
      <x:c r="AK4623" s="87" t="str">
        <x:v>clean-v0.07</x:v>
      </x:c>
      <x:c r="AL4623" s="87" t="str">
        <x:v>statgrad_clean_continuation_v0_07(1).xlsx</x:v>
      </x:c>
      <x:c r="AM4623" s="87" t="str">
        <x:v>MATH_Dec_0209</x:v>
      </x:c>
      <x:c r="AN4623" s="87" t="n">
        <x:v>20</x:v>
      </x:c>
    </x:row>
    <x:row r="4624">
      <x:c r="A4624" s="87" t="n">
        <x:v>4623</x:v>
      </x:c>
      <x:c r="B4624" s="87" t="str">
        <x:v>DEC-MATH-10-001</x:v>
      </x:c>
      <x:c r="C4624" s="87" t="str">
        <x:v>СтатГрад</x:v>
      </x:c>
      <x:c r="D4624" s="87" t="str">
        <x:v>Декабрь 2025</x:v>
      </x:c>
      <x:c r="E4624" s="87"/>
      <x:c r="F4624" s="87"/>
      <x:c r="G4624" s="87" t="str">
        <x:v>Математика</x:v>
      </x:c>
      <x:c r="H4624" s="87" t="n">
        <x:v>11</x:v>
      </x:c>
      <x:c r="I4624" s="87" t="str">
        <x:v>ТР №2</x:v>
      </x:c>
      <x:c r="J4624" s="87" t="str">
        <x:v>МА2510210</x:v>
      </x:c>
      <x:c r="K4624" s="87" t="n">
        <x:v>1</x:v>
      </x:c>
      <x:c r="L4624" s="87" t="str">
        <x:v>Планиметрия</x:v>
      </x:c>
      <x:c r="M4624" s="30" t="str">
        <x:v>D В четырёхугольник ABCD , периметр которого равен 44, вписана окружность, 5 AB = . Найдите длину стороны CD. C B A</x:v>
      </x:c>
      <x:c r="N4624" s="30" t="str">
        <x:v>17</x:v>
      </x:c>
      <x:c r="O4624" s="30" t="str">
        <x:v>Использованы свойства описанного/вписанного четырёхугольника или трапеции.</x:v>
      </x:c>
      <x:c r="P4624" s="30" t="str">
        <x:v>Условие и полный визуал просмотрены; ответ пересчитан/логически проверен и совпал с LOCKED-ключом.</x:v>
      </x:c>
      <x:c r="Q4624" s="30"/>
      <x:c r="R4624" s="30" t="str">
        <x:v>17</x:v>
      </x:c>
      <x:c r="S4624" s="30"/>
      <x:c r="T4624" s="30" t="str">
        <x:v>Профиль.jpg (Запад)</x:v>
      </x:c>
      <x:c r="U4624" s="30" t="str">
        <x:v>Расхождений нет.</x:v>
      </x:c>
      <x:c r="V4624" s="87" t="str">
        <x:v>VERIFIED</x:v>
      </x:c>
      <x:c r="W4624" s="87"/>
      <x:c r="X4624" s="87" t="n">
        <x:v>9</x:v>
      </x:c>
      <x:c r="Y4624" s="87"/>
      <x:c r="Z4624" s="87"/>
      <x:c r="AA4624" s="87"/>
      <x:c r="AB4624" s="87" t="str">
        <x:v>таблица, строка 10</x:v>
      </x:c>
      <x:c r="AC4624" s="87" t="str">
        <x:v>VIS-MATH-DEC-PW-TASK-P009</x:v>
      </x:c>
      <x:c r="AD4624" s="87" t="str">
        <x:v>VIS-MATH-DEC-KEY-PW</x:v>
      </x:c>
      <x:c r="AE4624" s="87" t="str">
        <x:v>TASK; KEY</x:v>
      </x:c>
      <x:c r="AF4624" s="87" t="str">
        <x:v>VIS-MATH-DEC-PW-TASK-P009: 9; VIS-MATH-DEC-KEY-PW: 1</x:v>
      </x:c>
      <x:c r="AG4624" s="87" t="str">
        <x:v>RESOLVED</x:v>
      </x:c>
      <x:c r="AH4624" s="87" t="str">
        <x:v>CROP_VERIFIED</x:v>
      </x:c>
      <x:c r="AI4624" s="30" t="str">
        <x:v>{"Уровень": "Профильный"}</x:v>
      </x:c>
      <x:c r="AJ4624" s="87" t="str">
        <x:v>clean</x:v>
      </x:c>
      <x:c r="AK4624" s="87" t="str">
        <x:v>clean-v0.07</x:v>
      </x:c>
      <x:c r="AL4624" s="87" t="str">
        <x:v>statgrad_clean_continuation_v0_07(1).xlsx</x:v>
      </x:c>
      <x:c r="AM4624" s="87" t="str">
        <x:v>MATH_Dec_0210</x:v>
      </x:c>
      <x:c r="AN4624" s="87" t="n">
        <x:v>2</x:v>
      </x:c>
    </x:row>
    <x:row r="4625">
      <x:c r="A4625" s="87" t="n">
        <x:v>4624</x:v>
      </x:c>
      <x:c r="B4625" s="87" t="str">
        <x:v>DEC-MATH-10-002</x:v>
      </x:c>
      <x:c r="C4625" s="87" t="str">
        <x:v>СтатГрад</x:v>
      </x:c>
      <x:c r="D4625" s="87" t="str">
        <x:v>Декабрь 2025</x:v>
      </x:c>
      <x:c r="E4625" s="87"/>
      <x:c r="F4625" s="87"/>
      <x:c r="G4625" s="87" t="str">
        <x:v>Математика</x:v>
      </x:c>
      <x:c r="H4625" s="87" t="n">
        <x:v>11</x:v>
      </x:c>
      <x:c r="I4625" s="87" t="str">
        <x:v>ТР №2</x:v>
      </x:c>
      <x:c r="J4625" s="87" t="str">
        <x:v>МА2510210</x:v>
      </x:c>
      <x:c r="K4625" s="87" t="n">
        <x:v>2</x:v>
      </x:c>
      <x:c r="L4625" s="87" t="str">
        <x:v>Векторы</x:v>
      </x:c>
      <x:c r="M4625" s="30" t="str">
        <x:v>На координатной плоскости изображены векторы a, b  и c. Найдите длину вектора a b c − +   . y 1 x 0 1</x:v>
      </x:c>
      <x:c r="N4625" s="30" t="str">
        <x:v>14</x:v>
      </x:c>
      <x:c r="O4625" s="30" t="str">
        <x:v>Координаты векторов считаны с полного рисунка; выполнены указанные операции и найден модуль/скалярное произведение.</x:v>
      </x:c>
      <x:c r="P4625" s="30" t="str">
        <x:v>Условие и полный визуал просмотрены; ответ пересчитан/логически проверен и совпал с LOCKED-ключом.</x:v>
      </x:c>
      <x:c r="Q4625" s="30"/>
      <x:c r="R4625" s="30" t="str">
        <x:v>14</x:v>
      </x:c>
      <x:c r="S4625" s="30"/>
      <x:c r="T4625" s="30" t="str">
        <x:v>Профиль.jpg (Запад)</x:v>
      </x:c>
      <x:c r="U4625" s="30" t="str">
        <x:v>Расхождений нет.</x:v>
      </x:c>
      <x:c r="V4625" s="87" t="str">
        <x:v>VERIFIED</x:v>
      </x:c>
      <x:c r="W4625" s="87"/>
      <x:c r="X4625" s="87" t="n">
        <x:v>9</x:v>
      </x:c>
      <x:c r="Y4625" s="87"/>
      <x:c r="Z4625" s="87"/>
      <x:c r="AA4625" s="87"/>
      <x:c r="AB4625" s="87" t="str">
        <x:v>таблица, строка 10</x:v>
      </x:c>
      <x:c r="AC4625" s="87" t="str">
        <x:v>VIS-MATH-DEC-PW-TASK-P009</x:v>
      </x:c>
      <x:c r="AD4625" s="87" t="str">
        <x:v>VIS-MATH-DEC-KEY-PW</x:v>
      </x:c>
      <x:c r="AE4625" s="87" t="str">
        <x:v>TASK; KEY</x:v>
      </x:c>
      <x:c r="AF4625" s="87" t="str">
        <x:v>VIS-MATH-DEC-PW-TASK-P009: 9; VIS-MATH-DEC-KEY-PW: 1</x:v>
      </x:c>
      <x:c r="AG4625" s="87" t="str">
        <x:v>RESOLVED</x:v>
      </x:c>
      <x:c r="AH4625" s="87" t="str">
        <x:v>CROP_VERIFIED</x:v>
      </x:c>
      <x:c r="AI4625" s="30" t="str">
        <x:v>{"Уровень": "Профильный"}</x:v>
      </x:c>
      <x:c r="AJ4625" s="87" t="str">
        <x:v>clean</x:v>
      </x:c>
      <x:c r="AK4625" s="87" t="str">
        <x:v>clean-v0.07</x:v>
      </x:c>
      <x:c r="AL4625" s="87" t="str">
        <x:v>statgrad_clean_continuation_v0_07(1).xlsx</x:v>
      </x:c>
      <x:c r="AM4625" s="87" t="str">
        <x:v>MATH_Dec_0210</x:v>
      </x:c>
      <x:c r="AN4625" s="87" t="n">
        <x:v>3</x:v>
      </x:c>
    </x:row>
    <x:row r="4626">
      <x:c r="A4626" s="87" t="n">
        <x:v>4625</x:v>
      </x:c>
      <x:c r="B4626" s="87" t="str">
        <x:v>DEC-MATH-10-003</x:v>
      </x:c>
      <x:c r="C4626" s="87" t="str">
        <x:v>СтатГрад</x:v>
      </x:c>
      <x:c r="D4626" s="87" t="str">
        <x:v>Декабрь 2025</x:v>
      </x:c>
      <x:c r="E4626" s="87"/>
      <x:c r="F4626" s="87"/>
      <x:c r="G4626" s="87" t="str">
        <x:v>Математика</x:v>
      </x:c>
      <x:c r="H4626" s="87" t="n">
        <x:v>11</x:v>
      </x:c>
      <x:c r="I4626" s="87" t="str">
        <x:v>ТР №2</x:v>
      </x:c>
      <x:c r="J4626" s="87" t="str">
        <x:v>МА2510210</x:v>
      </x:c>
      <x:c r="K4626" s="87" t="n">
        <x:v>3</x:v>
      </x:c>
      <x:c r="L4626" s="87" t="str">
        <x:v>Стереометрия</x:v>
      </x:c>
      <x:c r="M4626" s="30" t="str">
        <x:v>Основанием прямой треугольной призмы является прямоугольный треугольник с катетами 10 и 24. Площадь её поверхности равна 1380. Найдите боковое ребро призмы.</x:v>
      </x:c>
      <x:c r="N4626" s="30" t="str">
        <x:v>19</x:v>
      </x:c>
      <x:c r="O4626" s="30" t="str">
        <x:v>Использованы формулы площади поверхности или подобие отсечённой призмы.</x:v>
      </x:c>
      <x:c r="P4626" s="30" t="str">
        <x:v>Условие и полный визуал просмотрены; ответ пересчитан/логически проверен и совпал с LOCKED-ключом.</x:v>
      </x:c>
      <x:c r="Q4626" s="30"/>
      <x:c r="R4626" s="30" t="str">
        <x:v>19</x:v>
      </x:c>
      <x:c r="S4626" s="30"/>
      <x:c r="T4626" s="30" t="str">
        <x:v>Профиль.jpg (Запад)</x:v>
      </x:c>
      <x:c r="U4626" s="30" t="str">
        <x:v>Расхождений нет.</x:v>
      </x:c>
      <x:c r="V4626" s="87" t="str">
        <x:v>VERIFIED</x:v>
      </x:c>
      <x:c r="W4626" s="87"/>
      <x:c r="X4626" s="87" t="n">
        <x:v>10</x:v>
      </x:c>
      <x:c r="Y4626" s="87"/>
      <x:c r="Z4626" s="87"/>
      <x:c r="AA4626" s="87"/>
      <x:c r="AB4626" s="87" t="str">
        <x:v>таблица, строка 10</x:v>
      </x:c>
      <x:c r="AC4626" s="87" t="str">
        <x:v>VIS-MATH-DEC-PW-TASK-P010</x:v>
      </x:c>
      <x:c r="AD4626" s="87" t="str">
        <x:v>VIS-MATH-DEC-KEY-PW</x:v>
      </x:c>
      <x:c r="AE4626" s="87" t="str">
        <x:v>TASK; KEY</x:v>
      </x:c>
      <x:c r="AF4626" s="87" t="str">
        <x:v>VIS-MATH-DEC-PW-TASK-P010: 10; VIS-MATH-DEC-KEY-PW: 1</x:v>
      </x:c>
      <x:c r="AG4626" s="87" t="str">
        <x:v>RESOLVED</x:v>
      </x:c>
      <x:c r="AH4626" s="87" t="str">
        <x:v>CROP_VERIFIED</x:v>
      </x:c>
      <x:c r="AI4626" s="30" t="str">
        <x:v>{"Уровень": "Профильный"}</x:v>
      </x:c>
      <x:c r="AJ4626" s="87" t="str">
        <x:v>clean</x:v>
      </x:c>
      <x:c r="AK4626" s="87" t="str">
        <x:v>clean-v0.07</x:v>
      </x:c>
      <x:c r="AL4626" s="87" t="str">
        <x:v>statgrad_clean_continuation_v0_07(1).xlsx</x:v>
      </x:c>
      <x:c r="AM4626" s="87" t="str">
        <x:v>MATH_Dec_0210</x:v>
      </x:c>
      <x:c r="AN4626" s="87" t="n">
        <x:v>4</x:v>
      </x:c>
    </x:row>
    <x:row r="4627">
      <x:c r="A4627" s="87" t="n">
        <x:v>4626</x:v>
      </x:c>
      <x:c r="B4627" s="87" t="str">
        <x:v>DEC-MATH-10-004</x:v>
      </x:c>
      <x:c r="C4627" s="87" t="str">
        <x:v>СтатГрад</x:v>
      </x:c>
      <x:c r="D4627" s="87" t="str">
        <x:v>Декабрь 2025</x:v>
      </x:c>
      <x:c r="E4627" s="87"/>
      <x:c r="F4627" s="87"/>
      <x:c r="G4627" s="87" t="str">
        <x:v>Математика</x:v>
      </x:c>
      <x:c r="H4627" s="87" t="n">
        <x:v>11</x:v>
      </x:c>
      <x:c r="I4627" s="87" t="str">
        <x:v>ТР №2</x:v>
      </x:c>
      <x:c r="J4627" s="87" t="str">
        <x:v>МА2510210</x:v>
      </x:c>
      <x:c r="K4627" s="87" t="n">
        <x:v>4</x:v>
      </x:c>
      <x:c r="L4627" s="87" t="str">
        <x:v>Классическая вероятность</x:v>
      </x:c>
      <x:c r="M4627" s="30" t="str">
        <x:v>За круглый стол на 6 стульев в случайном порядке рассаживаются 4 мальчика и 2 девочки. Найдите вероятность того, что обе девочки будут сидеть рядом.</x:v>
      </x:c>
      <x:c r="N4627" s="30" t="str">
        <x:v>0,4</x:v>
      </x:c>
      <x:c r="O4627" s="30" t="str">
        <x:v>Подсчитаны равновозможные круговые рассадки либо последние цифры паспортов.</x:v>
      </x:c>
      <x:c r="P4627" s="30" t="str">
        <x:v>Условие и полный визуал просмотрены; ответ пересчитан/логически проверен и совпал с LOCKED-ключом.</x:v>
      </x:c>
      <x:c r="Q4627" s="30"/>
      <x:c r="R4627" s="30" t="str">
        <x:v>0,4</x:v>
      </x:c>
      <x:c r="S4627" s="30"/>
      <x:c r="T4627" s="30" t="str">
        <x:v>Профиль.jpg (Запад)</x:v>
      </x:c>
      <x:c r="U4627" s="30" t="str">
        <x:v>Расхождений нет.</x:v>
      </x:c>
      <x:c r="V4627" s="87" t="str">
        <x:v>VERIFIED</x:v>
      </x:c>
      <x:c r="W4627" s="87"/>
      <x:c r="X4627" s="87" t="n">
        <x:v>10</x:v>
      </x:c>
      <x:c r="Y4627" s="87"/>
      <x:c r="Z4627" s="87"/>
      <x:c r="AA4627" s="87"/>
      <x:c r="AB4627" s="87" t="str">
        <x:v>таблица, строка 10</x:v>
      </x:c>
      <x:c r="AC4627" s="87" t="str">
        <x:v>VIS-MATH-DEC-PW-TASK-P010</x:v>
      </x:c>
      <x:c r="AD4627" s="87" t="str">
        <x:v>VIS-MATH-DEC-KEY-PW</x:v>
      </x:c>
      <x:c r="AE4627" s="87" t="str">
        <x:v>TASK; KEY</x:v>
      </x:c>
      <x:c r="AF4627" s="87" t="str">
        <x:v>VIS-MATH-DEC-PW-TASK-P010: 10; VIS-MATH-DEC-KEY-PW: 1</x:v>
      </x:c>
      <x:c r="AG4627" s="87" t="str">
        <x:v>RESOLVED</x:v>
      </x:c>
      <x:c r="AH4627" s="87" t="str">
        <x:v>CROP_VERIFIED</x:v>
      </x:c>
      <x:c r="AI4627" s="30" t="str">
        <x:v>{"Уровень": "Профильный"}</x:v>
      </x:c>
      <x:c r="AJ4627" s="87" t="str">
        <x:v>clean</x:v>
      </x:c>
      <x:c r="AK4627" s="87" t="str">
        <x:v>clean-v0.07</x:v>
      </x:c>
      <x:c r="AL4627" s="87" t="str">
        <x:v>statgrad_clean_continuation_v0_07(1).xlsx</x:v>
      </x:c>
      <x:c r="AM4627" s="87" t="str">
        <x:v>MATH_Dec_0210</x:v>
      </x:c>
      <x:c r="AN4627" s="87" t="n">
        <x:v>5</x:v>
      </x:c>
    </x:row>
    <x:row r="4628">
      <x:c r="A4628" s="87" t="n">
        <x:v>4627</x:v>
      </x:c>
      <x:c r="B4628" s="87" t="str">
        <x:v>DEC-MATH-10-005</x:v>
      </x:c>
      <x:c r="C4628" s="87" t="str">
        <x:v>СтатГрад</x:v>
      </x:c>
      <x:c r="D4628" s="87" t="str">
        <x:v>Декабрь 2025</x:v>
      </x:c>
      <x:c r="E4628" s="87"/>
      <x:c r="F4628" s="87"/>
      <x:c r="G4628" s="87" t="str">
        <x:v>Математика</x:v>
      </x:c>
      <x:c r="H4628" s="87" t="n">
        <x:v>11</x:v>
      </x:c>
      <x:c r="I4628" s="87" t="str">
        <x:v>ТР №2</x:v>
      </x:c>
      <x:c r="J4628" s="87" t="str">
        <x:v>МА2510210</x:v>
      </x:c>
      <x:c r="K4628" s="87" t="n">
        <x:v>5</x:v>
      </x:c>
      <x:c r="L4628" s="87" t="str">
        <x:v>Независимые испытания</x:v>
      </x:c>
      <x:c r="M4628" s="30" t="str">
        <x:v>Перед началом футбольного матча судья бросает монетку, чтобы определить, какая из команд начнёт игру с мячом. Команда «Геолог» играет три матча с разными командами. Найдите вероятность того, что в этих играх «Геолог» проиграет жребий ровно два раза.</x:v>
      </x:c>
      <x:c r="N4628" s="30" t="str">
        <x:v>0,375</x:v>
      </x:c>
      <x:c r="O4628" s="30" t="str">
        <x:v>Применена формула вероятности заданной последовательности независимых исходов.</x:v>
      </x:c>
      <x:c r="P4628" s="30" t="str">
        <x:v>Условие и полный визуал просмотрены; ответ пересчитан/логически проверен и совпал с LOCKED-ключом.</x:v>
      </x:c>
      <x:c r="Q4628" s="30"/>
      <x:c r="R4628" s="30" t="str">
        <x:v>0,375</x:v>
      </x:c>
      <x:c r="S4628" s="30"/>
      <x:c r="T4628" s="30" t="str">
        <x:v>Профиль.jpg (Запад)</x:v>
      </x:c>
      <x:c r="U4628" s="30" t="str">
        <x:v>Расхождений нет.</x:v>
      </x:c>
      <x:c r="V4628" s="87" t="str">
        <x:v>VERIFIED</x:v>
      </x:c>
      <x:c r="W4628" s="87"/>
      <x:c r="X4628" s="87" t="n">
        <x:v>10</x:v>
      </x:c>
      <x:c r="Y4628" s="87"/>
      <x:c r="Z4628" s="87"/>
      <x:c r="AA4628" s="87"/>
      <x:c r="AB4628" s="87" t="str">
        <x:v>таблица, строка 10</x:v>
      </x:c>
      <x:c r="AC4628" s="87" t="str">
        <x:v>VIS-MATH-DEC-PW-TASK-P010</x:v>
      </x:c>
      <x:c r="AD4628" s="87" t="str">
        <x:v>VIS-MATH-DEC-KEY-PW</x:v>
      </x:c>
      <x:c r="AE4628" s="87" t="str">
        <x:v>TASK; KEY</x:v>
      </x:c>
      <x:c r="AF4628" s="87" t="str">
        <x:v>VIS-MATH-DEC-PW-TASK-P010: 10; VIS-MATH-DEC-KEY-PW: 1</x:v>
      </x:c>
      <x:c r="AG4628" s="87" t="str">
        <x:v>RESOLVED</x:v>
      </x:c>
      <x:c r="AH4628" s="87" t="str">
        <x:v>CROP_VERIFIED</x:v>
      </x:c>
      <x:c r="AI4628" s="30" t="str">
        <x:v>{"Уровень": "Профильный"}</x:v>
      </x:c>
      <x:c r="AJ4628" s="87" t="str">
        <x:v>clean</x:v>
      </x:c>
      <x:c r="AK4628" s="87" t="str">
        <x:v>clean-v0.07</x:v>
      </x:c>
      <x:c r="AL4628" s="87" t="str">
        <x:v>statgrad_clean_continuation_v0_07(1).xlsx</x:v>
      </x:c>
      <x:c r="AM4628" s="87" t="str">
        <x:v>MATH_Dec_0210</x:v>
      </x:c>
      <x:c r="AN4628" s="87" t="n">
        <x:v>6</x:v>
      </x:c>
    </x:row>
    <x:row r="4629">
      <x:c r="A4629" s="87" t="n">
        <x:v>4628</x:v>
      </x:c>
      <x:c r="B4629" s="87" t="str">
        <x:v>DEC-MATH-10-006</x:v>
      </x:c>
      <x:c r="C4629" s="87" t="str">
        <x:v>СтатГрад</x:v>
      </x:c>
      <x:c r="D4629" s="87" t="str">
        <x:v>Декабрь 2025</x:v>
      </x:c>
      <x:c r="E4629" s="87"/>
      <x:c r="F4629" s="87"/>
      <x:c r="G4629" s="87" t="str">
        <x:v>Математика</x:v>
      </x:c>
      <x:c r="H4629" s="87" t="n">
        <x:v>11</x:v>
      </x:c>
      <x:c r="I4629" s="87" t="str">
        <x:v>ТР №2</x:v>
      </x:c>
      <x:c r="J4629" s="87" t="str">
        <x:v>МА2510210</x:v>
      </x:c>
      <x:c r="K4629" s="87" t="n">
        <x:v>6</x:v>
      </x:c>
      <x:c r="L4629" s="87" t="str">
        <x:v>Логарифмическое уравнение</x:v>
      </x:c>
      <x:c r="M4629" s="30" t="str">
        <x:v>Найдите корень уравнения ( ) 4 4 log 17 log 13 x − = .</x:v>
      </x:c>
      <x:c r="N4629" s="30" t="str">
        <x:v>4</x:v>
      </x:c>
      <x:c r="O4629" s="30" t="str">
        <x:v>Логарифмы одного основания объединены и решено полученное уравнение с ОДЗ.</x:v>
      </x:c>
      <x:c r="P4629" s="30" t="str">
        <x:v>Условие и полный визуал просмотрены; ответ пересчитан/логически проверен и совпал с LOCKED-ключом.</x:v>
      </x:c>
      <x:c r="Q4629" s="30"/>
      <x:c r="R4629" s="30" t="str">
        <x:v>4</x:v>
      </x:c>
      <x:c r="S4629" s="30"/>
      <x:c r="T4629" s="30" t="str">
        <x:v>Профиль.jpg (Запад)</x:v>
      </x:c>
      <x:c r="U4629" s="30" t="str">
        <x:v>Расхождений нет.</x:v>
      </x:c>
      <x:c r="V4629" s="87" t="str">
        <x:v>VERIFIED</x:v>
      </x:c>
      <x:c r="W4629" s="87"/>
      <x:c r="X4629" s="87" t="n">
        <x:v>10</x:v>
      </x:c>
      <x:c r="Y4629" s="87"/>
      <x:c r="Z4629" s="87"/>
      <x:c r="AA4629" s="87"/>
      <x:c r="AB4629" s="87" t="str">
        <x:v>таблица, строка 10</x:v>
      </x:c>
      <x:c r="AC4629" s="87" t="str">
        <x:v>VIS-MATH-DEC-PW-TASK-P010</x:v>
      </x:c>
      <x:c r="AD4629" s="87" t="str">
        <x:v>VIS-MATH-DEC-KEY-PW</x:v>
      </x:c>
      <x:c r="AE4629" s="87" t="str">
        <x:v>TASK; KEY</x:v>
      </x:c>
      <x:c r="AF4629" s="87" t="str">
        <x:v>VIS-MATH-DEC-PW-TASK-P010: 10; VIS-MATH-DEC-KEY-PW: 1</x:v>
      </x:c>
      <x:c r="AG4629" s="87" t="str">
        <x:v>RESOLVED</x:v>
      </x:c>
      <x:c r="AH4629" s="87" t="str">
        <x:v>CROP_VERIFIED</x:v>
      </x:c>
      <x:c r="AI4629" s="30" t="str">
        <x:v>{"Уровень": "Профильный"}</x:v>
      </x:c>
      <x:c r="AJ4629" s="87" t="str">
        <x:v>clean</x:v>
      </x:c>
      <x:c r="AK4629" s="87" t="str">
        <x:v>clean-v0.07</x:v>
      </x:c>
      <x:c r="AL4629" s="87" t="str">
        <x:v>statgrad_clean_continuation_v0_07(1).xlsx</x:v>
      </x:c>
      <x:c r="AM4629" s="87" t="str">
        <x:v>MATH_Dec_0210</x:v>
      </x:c>
      <x:c r="AN4629" s="87" t="n">
        <x:v>7</x:v>
      </x:c>
    </x:row>
    <x:row r="4630">
      <x:c r="A4630" s="87" t="n">
        <x:v>4629</x:v>
      </x:c>
      <x:c r="B4630" s="87" t="str">
        <x:v>DEC-MATH-10-007</x:v>
      </x:c>
      <x:c r="C4630" s="87" t="str">
        <x:v>СтатГрад</x:v>
      </x:c>
      <x:c r="D4630" s="87" t="str">
        <x:v>Декабрь 2025</x:v>
      </x:c>
      <x:c r="E4630" s="87"/>
      <x:c r="F4630" s="87"/>
      <x:c r="G4630" s="87" t="str">
        <x:v>Математика</x:v>
      </x:c>
      <x:c r="H4630" s="87" t="n">
        <x:v>11</x:v>
      </x:c>
      <x:c r="I4630" s="87" t="str">
        <x:v>ТР №2</x:v>
      </x:c>
      <x:c r="J4630" s="87" t="str">
        <x:v>МА2510210</x:v>
      </x:c>
      <x:c r="K4630" s="87" t="n">
        <x:v>7</x:v>
      </x:c>
      <x:c r="L4630" s="87" t="str">
        <x:v>Степени</x:v>
      </x:c>
      <x:c r="M4630" s="30" t="str">
        <x:v>Найдите значение выражения ( ) 2 7 4 9 : b b b ⋅ при 81 b = .</x:v>
      </x:c>
      <x:c r="N4630" s="30" t="str">
        <x:v>1</x:v>
      </x:c>
      <x:c r="O4630" s="30" t="str">
        <x:v>Степени приведены к общему основанию, показатели сокращены.</x:v>
      </x:c>
      <x:c r="P4630" s="30" t="str">
        <x:v>Условие и полный визуал просмотрены; ответ пересчитан/логически проверен и совпал с LOCKED-ключом.</x:v>
      </x:c>
      <x:c r="Q4630" s="30"/>
      <x:c r="R4630" s="30" t="str">
        <x:v>1</x:v>
      </x:c>
      <x:c r="S4630" s="30"/>
      <x:c r="T4630" s="30" t="str">
        <x:v>Профиль.jpg (Запад)</x:v>
      </x:c>
      <x:c r="U4630" s="30" t="str">
        <x:v>Расхождений нет.</x:v>
      </x:c>
      <x:c r="V4630" s="87" t="str">
        <x:v>VERIFIED</x:v>
      </x:c>
      <x:c r="W4630" s="87"/>
      <x:c r="X4630" s="87" t="n">
        <x:v>10</x:v>
      </x:c>
      <x:c r="Y4630" s="87"/>
      <x:c r="Z4630" s="87"/>
      <x:c r="AA4630" s="87"/>
      <x:c r="AB4630" s="87" t="str">
        <x:v>таблица, строка 10</x:v>
      </x:c>
      <x:c r="AC4630" s="87" t="str">
        <x:v>VIS-MATH-DEC-PW-TASK-P010</x:v>
      </x:c>
      <x:c r="AD4630" s="87" t="str">
        <x:v>VIS-MATH-DEC-KEY-PW</x:v>
      </x:c>
      <x:c r="AE4630" s="87" t="str">
        <x:v>TASK; KEY</x:v>
      </x:c>
      <x:c r="AF4630" s="87" t="str">
        <x:v>VIS-MATH-DEC-PW-TASK-P010: 10; VIS-MATH-DEC-KEY-PW: 1</x:v>
      </x:c>
      <x:c r="AG4630" s="87" t="str">
        <x:v>RESOLVED</x:v>
      </x:c>
      <x:c r="AH4630" s="87" t="str">
        <x:v>CROP_VERIFIED</x:v>
      </x:c>
      <x:c r="AI4630" s="30" t="str">
        <x:v>{"Уровень": "Профильный"}</x:v>
      </x:c>
      <x:c r="AJ4630" s="87" t="str">
        <x:v>clean</x:v>
      </x:c>
      <x:c r="AK4630" s="87" t="str">
        <x:v>clean-v0.07</x:v>
      </x:c>
      <x:c r="AL4630" s="87" t="str">
        <x:v>statgrad_clean_continuation_v0_07(1).xlsx</x:v>
      </x:c>
      <x:c r="AM4630" s="87" t="str">
        <x:v>MATH_Dec_0210</x:v>
      </x:c>
      <x:c r="AN4630" s="87" t="n">
        <x:v>8</x:v>
      </x:c>
    </x:row>
    <x:row r="4631">
      <x:c r="A4631" s="87" t="n">
        <x:v>4630</x:v>
      </x:c>
      <x:c r="B4631" s="87" t="str">
        <x:v>DEC-MATH-10-008</x:v>
      </x:c>
      <x:c r="C4631" s="87" t="str">
        <x:v>СтатГрад</x:v>
      </x:c>
      <x:c r="D4631" s="87" t="str">
        <x:v>Декабрь 2025</x:v>
      </x:c>
      <x:c r="E4631" s="87"/>
      <x:c r="F4631" s="87"/>
      <x:c r="G4631" s="87" t="str">
        <x:v>Математика</x:v>
      </x:c>
      <x:c r="H4631" s="87" t="n">
        <x:v>11</x:v>
      </x:c>
      <x:c r="I4631" s="87" t="str">
        <x:v>ТР №2</x:v>
      </x:c>
      <x:c r="J4631" s="87" t="str">
        <x:v>МА2510210</x:v>
      </x:c>
      <x:c r="K4631" s="87" t="n">
        <x:v>8</x:v>
      </x:c>
      <x:c r="L4631" s="87" t="str">
        <x:v>График производной</x:v>
      </x:c>
      <x:c r="M4631" s="30" t="str">
        <x:v>На рисунке изображён график функции ( ) y f ' x = — производной функции ( ) f x , определённой на интервале ( ) 14; 7 − . Найдите количество точек максимума функции ( ) f x , принадлежащих отрезку [ ] 12; 2 − . y 1 −14 0 7 x</x:v>
      </x:c>
      <x:c r="N4631" s="30" t="str">
        <x:v>1</x:v>
      </x:c>
      <x:c r="O4631" s="30" t="str">
        <x:v>Точки экстремума определены по смене знака производной на графике.</x:v>
      </x:c>
      <x:c r="P4631" s="30" t="str">
        <x:v>Условие и полный визуал просмотрены; ответ пересчитан/логически проверен и совпал с LOCKED-ключом.</x:v>
      </x:c>
      <x:c r="Q4631" s="30"/>
      <x:c r="R4631" s="30" t="str">
        <x:v>1</x:v>
      </x:c>
      <x:c r="S4631" s="30"/>
      <x:c r="T4631" s="30" t="str">
        <x:v>Профиль.jpg (Запад)</x:v>
      </x:c>
      <x:c r="U4631" s="30" t="str">
        <x:v>Расхождений нет.</x:v>
      </x:c>
      <x:c r="V4631" s="87" t="str">
        <x:v>VERIFIED</x:v>
      </x:c>
      <x:c r="W4631" s="87"/>
      <x:c r="X4631" s="87" t="n">
        <x:v>11</x:v>
      </x:c>
      <x:c r="Y4631" s="87"/>
      <x:c r="Z4631" s="87"/>
      <x:c r="AA4631" s="87"/>
      <x:c r="AB4631" s="87" t="str">
        <x:v>таблица, строка 10</x:v>
      </x:c>
      <x:c r="AC4631" s="87" t="str">
        <x:v>VIS-MATH-DEC-PW-TASK-P011</x:v>
      </x:c>
      <x:c r="AD4631" s="87" t="str">
        <x:v>VIS-MATH-DEC-KEY-PW</x:v>
      </x:c>
      <x:c r="AE4631" s="87" t="str">
        <x:v>TASK; KEY</x:v>
      </x:c>
      <x:c r="AF4631" s="87" t="str">
        <x:v>VIS-MATH-DEC-PW-TASK-P011: 11; VIS-MATH-DEC-KEY-PW: 1</x:v>
      </x:c>
      <x:c r="AG4631" s="87" t="str">
        <x:v>RESOLVED</x:v>
      </x:c>
      <x:c r="AH4631" s="87" t="str">
        <x:v>CROP_VERIFIED; TASK_CROP_QA_APPROVED:USE_TIGHT</x:v>
      </x:c>
      <x:c r="AI4631" s="30" t="str">
        <x:v>{"Уровень": "Профильный"}</x:v>
      </x:c>
      <x:c r="AJ4631" s="87" t="str">
        <x:v>clean</x:v>
      </x:c>
      <x:c r="AK4631" s="87" t="str">
        <x:v>clean-v0.07</x:v>
      </x:c>
      <x:c r="AL4631" s="87" t="str">
        <x:v>statgrad_clean_continuation_v0_07(1).xlsx</x:v>
      </x:c>
      <x:c r="AM4631" s="87" t="str">
        <x:v>MATH_Dec_0210</x:v>
      </x:c>
      <x:c r="AN4631" s="87" t="n">
        <x:v>9</x:v>
      </x:c>
    </x:row>
    <x:row r="4632">
      <x:c r="A4632" s="87" t="n">
        <x:v>4631</x:v>
      </x:c>
      <x:c r="B4632" s="87" t="str">
        <x:v>DEC-MATH-10-009</x:v>
      </x:c>
      <x:c r="C4632" s="87" t="str">
        <x:v>СтатГрад</x:v>
      </x:c>
      <x:c r="D4632" s="87" t="str">
        <x:v>Декабрь 2025</x:v>
      </x:c>
      <x:c r="E4632" s="87"/>
      <x:c r="F4632" s="87"/>
      <x:c r="G4632" s="87" t="str">
        <x:v>Математика</x:v>
      </x:c>
      <x:c r="H4632" s="87" t="n">
        <x:v>11</x:v>
      </x:c>
      <x:c r="I4632" s="87" t="str">
        <x:v>ТР №2</x:v>
      </x:c>
      <x:c r="J4632" s="87" t="str">
        <x:v>МА2510210</x:v>
      </x:c>
      <x:c r="K4632" s="87" t="n">
        <x:v>9</x:v>
      </x:c>
      <x:c r="L4632" s="87" t="str">
        <x:v>Прикладная формула</x:v>
      </x:c>
      <x:c r="M4632" s="30" t="str">
        <x:v>Автомобиль разгоняется на прямолинейном участке шоссе с постоянным ускорением a км/ч 2 . Скорость v вычисляется по формуле 2 v la = , где l — пройденный автомобилем путь. Найдите ускорение, с которым должен двигаться автомобиль, чтобы, проехав 0,5 километра, приобрести скорость 130 км/ч. Ответ дайте в км/ч 2 .</x:v>
      </x:c>
      <x:c r="N4632" s="30" t="str">
        <x:v>16900</x:v>
      </x:c>
      <x:c r="O4632" s="30" t="str">
        <x:v>В прикладную формулу подставлены данные и выражена искомая величина.</x:v>
      </x:c>
      <x:c r="P4632" s="30" t="str">
        <x:v>Условие и полный визуал просмотрены; ответ пересчитан/логически проверен и совпал с LOCKED-ключом.</x:v>
      </x:c>
      <x:c r="Q4632" s="30"/>
      <x:c r="R4632" s="30" t="str">
        <x:v>16900</x:v>
      </x:c>
      <x:c r="S4632" s="30"/>
      <x:c r="T4632" s="30" t="str">
        <x:v>Профиль.jpg (Запад)</x:v>
      </x:c>
      <x:c r="U4632" s="30" t="str">
        <x:v>Расхождений нет.</x:v>
      </x:c>
      <x:c r="V4632" s="87" t="str">
        <x:v>VERIFIED</x:v>
      </x:c>
      <x:c r="W4632" s="87"/>
      <x:c r="X4632" s="87" t="n">
        <x:v>11</x:v>
      </x:c>
      <x:c r="Y4632" s="87"/>
      <x:c r="Z4632" s="87"/>
      <x:c r="AA4632" s="87"/>
      <x:c r="AB4632" s="87" t="str">
        <x:v>таблица, строка 10</x:v>
      </x:c>
      <x:c r="AC4632" s="87" t="str">
        <x:v>VIS-MATH-DEC-PW-TASK-P011</x:v>
      </x:c>
      <x:c r="AD4632" s="87" t="str">
        <x:v>VIS-MATH-DEC-KEY-PW</x:v>
      </x:c>
      <x:c r="AE4632" s="87" t="str">
        <x:v>TASK; KEY</x:v>
      </x:c>
      <x:c r="AF4632" s="87" t="str">
        <x:v>VIS-MATH-DEC-PW-TASK-P011: 11; VIS-MATH-DEC-KEY-PW: 1</x:v>
      </x:c>
      <x:c r="AG4632" s="87" t="str">
        <x:v>RESOLVED</x:v>
      </x:c>
      <x:c r="AH4632" s="87" t="str">
        <x:v>CROP_VERIFIED</x:v>
      </x:c>
      <x:c r="AI4632" s="30" t="str">
        <x:v>{"Уровень": "Профильный"}</x:v>
      </x:c>
      <x:c r="AJ4632" s="87" t="str">
        <x:v>clean</x:v>
      </x:c>
      <x:c r="AK4632" s="87" t="str">
        <x:v>clean-v0.07</x:v>
      </x:c>
      <x:c r="AL4632" s="87" t="str">
        <x:v>statgrad_clean_continuation_v0_07(1).xlsx</x:v>
      </x:c>
      <x:c r="AM4632" s="87" t="str">
        <x:v>MATH_Dec_0210</x:v>
      </x:c>
      <x:c r="AN4632" s="87" t="n">
        <x:v>10</x:v>
      </x:c>
    </x:row>
    <x:row r="4633">
      <x:c r="A4633" s="87" t="n">
        <x:v>4632</x:v>
      </x:c>
      <x:c r="B4633" s="87" t="str">
        <x:v>DEC-MATH-10-010</x:v>
      </x:c>
      <x:c r="C4633" s="87" t="str">
        <x:v>СтатГрад</x:v>
      </x:c>
      <x:c r="D4633" s="87" t="str">
        <x:v>Декабрь 2025</x:v>
      </x:c>
      <x:c r="E4633" s="87"/>
      <x:c r="F4633" s="87"/>
      <x:c r="G4633" s="87" t="str">
        <x:v>Математика</x:v>
      </x:c>
      <x:c r="H4633" s="87" t="n">
        <x:v>11</x:v>
      </x:c>
      <x:c r="I4633" s="87" t="str">
        <x:v>ТР №2</x:v>
      </x:c>
      <x:c r="J4633" s="87" t="str">
        <x:v>МА2510210</x:v>
      </x:c>
      <x:c r="K4633" s="87" t="n">
        <x:v>10</x:v>
      </x:c>
      <x:c r="L4633" s="87" t="str">
        <x:v>Задача на движение</x:v>
      </x:c>
      <x:c r="M4633" s="30" t="str">
        <x:v>Баржа в 1:00 вышла из пункта А в пункт В, расположенный в 30 км от А. Пробыв в пункте В 2 часа, баржа отправилась назад и вернулась обратно в пункт А в 23:00 того же дня. Определите собственную скорость баржи (в км/ч), если известно, что скорость течения реки равна 2 км/ч.</x:v>
      </x:c>
      <x:c r="N4633" s="30" t="str">
        <x:v>4</x:v>
      </x:c>
      <x:c r="O4633" s="30" t="str">
        <x:v>Составлено уравнение времени движения с учётом течения и стоянки.</x:v>
      </x:c>
      <x:c r="P4633" s="30" t="str">
        <x:v>Условие и полный визуал просмотрены; ответ пересчитан/логически проверен и совпал с LOCKED-ключом.</x:v>
      </x:c>
      <x:c r="Q4633" s="30"/>
      <x:c r="R4633" s="30" t="str">
        <x:v>4</x:v>
      </x:c>
      <x:c r="S4633" s="30"/>
      <x:c r="T4633" s="30" t="str">
        <x:v>Профиль.jpg (Запад)</x:v>
      </x:c>
      <x:c r="U4633" s="30" t="str">
        <x:v>Расхождений нет.</x:v>
      </x:c>
      <x:c r="V4633" s="87" t="str">
        <x:v>VERIFIED</x:v>
      </x:c>
      <x:c r="W4633" s="87"/>
      <x:c r="X4633" s="87" t="n">
        <x:v>11</x:v>
      </x:c>
      <x:c r="Y4633" s="87"/>
      <x:c r="Z4633" s="87"/>
      <x:c r="AA4633" s="87"/>
      <x:c r="AB4633" s="87" t="str">
        <x:v>таблица, строка 10</x:v>
      </x:c>
      <x:c r="AC4633" s="87" t="str">
        <x:v>VIS-MATH-DEC-PW-TASK-P011</x:v>
      </x:c>
      <x:c r="AD4633" s="87" t="str">
        <x:v>VIS-MATH-DEC-KEY-PW</x:v>
      </x:c>
      <x:c r="AE4633" s="87" t="str">
        <x:v>TASK; KEY</x:v>
      </x:c>
      <x:c r="AF4633" s="87" t="str">
        <x:v>VIS-MATH-DEC-PW-TASK-P011: 11; VIS-MATH-DEC-KEY-PW: 1</x:v>
      </x:c>
      <x:c r="AG4633" s="87" t="str">
        <x:v>RESOLVED</x:v>
      </x:c>
      <x:c r="AH4633" s="87" t="str">
        <x:v>CROP_VERIFIED</x:v>
      </x:c>
      <x:c r="AI4633" s="30" t="str">
        <x:v>{"Уровень": "Профильный"}</x:v>
      </x:c>
      <x:c r="AJ4633" s="87" t="str">
        <x:v>clean</x:v>
      </x:c>
      <x:c r="AK4633" s="87" t="str">
        <x:v>clean-v0.07</x:v>
      </x:c>
      <x:c r="AL4633" s="87" t="str">
        <x:v>statgrad_clean_continuation_v0_07(1).xlsx</x:v>
      </x:c>
      <x:c r="AM4633" s="87" t="str">
        <x:v>MATH_Dec_0210</x:v>
      </x:c>
      <x:c r="AN4633" s="87" t="n">
        <x:v>11</x:v>
      </x:c>
    </x:row>
    <x:row r="4634">
      <x:c r="A4634" s="87" t="n">
        <x:v>4633</x:v>
      </x:c>
      <x:c r="B4634" s="87" t="str">
        <x:v>DEC-MATH-10-011</x:v>
      </x:c>
      <x:c r="C4634" s="87" t="str">
        <x:v>СтатГрад</x:v>
      </x:c>
      <x:c r="D4634" s="87" t="str">
        <x:v>Декабрь 2025</x:v>
      </x:c>
      <x:c r="E4634" s="87"/>
      <x:c r="F4634" s="87"/>
      <x:c r="G4634" s="87" t="str">
        <x:v>Математика</x:v>
      </x:c>
      <x:c r="H4634" s="87" t="n">
        <x:v>11</x:v>
      </x:c>
      <x:c r="I4634" s="87" t="str">
        <x:v>ТР №2</x:v>
      </x:c>
      <x:c r="J4634" s="87" t="str">
        <x:v>МА2510210</x:v>
      </x:c>
      <x:c r="K4634" s="87" t="n">
        <x:v>11</x:v>
      </x:c>
      <x:c r="L4634" s="87" t="str">
        <x:v>Графики функций</x:v>
      </x:c>
      <x:c r="M4634" s="30" t="str">
        <x:v>На рисунке изображены графики двух линейных функций. Найдите абсциссу точки пересечения графиков. y 1 x 0 1</x:v>
      </x:c>
      <x:c r="N4634" s="30" t="str">
        <x:v>-0,25</x:v>
      </x:c>
      <x:c r="O4634" s="30" t="str">
        <x:v>Координата точки пересечения считана/вычислена по графикам.</x:v>
      </x:c>
      <x:c r="P4634" s="30" t="str">
        <x:v>Условие и полный визуал просмотрены; ответ пересчитан/логически проверен и совпал с LOCKED-ключом.</x:v>
      </x:c>
      <x:c r="Q4634" s="30"/>
      <x:c r="R4634" s="30" t="str">
        <x:v>-0,25</x:v>
      </x:c>
      <x:c r="S4634" s="30"/>
      <x:c r="T4634" s="30" t="str">
        <x:v>Профиль.jpg (Запад)</x:v>
      </x:c>
      <x:c r="U4634" s="30" t="str">
        <x:v>Расхождений нет.</x:v>
      </x:c>
      <x:c r="V4634" s="87" t="str">
        <x:v>VERIFIED</x:v>
      </x:c>
      <x:c r="W4634" s="87"/>
      <x:c r="X4634" s="87" t="n">
        <x:v>12</x:v>
      </x:c>
      <x:c r="Y4634" s="87"/>
      <x:c r="Z4634" s="87"/>
      <x:c r="AA4634" s="87"/>
      <x:c r="AB4634" s="87" t="str">
        <x:v>таблица, строка 10</x:v>
      </x:c>
      <x:c r="AC4634" s="87" t="str">
        <x:v>VIS-MATH-DEC-PW-TASK-P012</x:v>
      </x:c>
      <x:c r="AD4634" s="87" t="str">
        <x:v>VIS-MATH-DEC-KEY-PW</x:v>
      </x:c>
      <x:c r="AE4634" s="87" t="str">
        <x:v>TASK; KEY</x:v>
      </x:c>
      <x:c r="AF4634" s="87" t="str">
        <x:v>VIS-MATH-DEC-PW-TASK-P012: 12; VIS-MATH-DEC-KEY-PW: 1</x:v>
      </x:c>
      <x:c r="AG4634" s="87" t="str">
        <x:v>RESOLVED</x:v>
      </x:c>
      <x:c r="AH4634" s="87" t="str">
        <x:v>CROP_VERIFIED; TASK_CROP_QA_APPROVED:USE_TIGHT</x:v>
      </x:c>
      <x:c r="AI4634" s="30" t="str">
        <x:v>{"Уровень": "Профильный"}</x:v>
      </x:c>
      <x:c r="AJ4634" s="87" t="str">
        <x:v>clean</x:v>
      </x:c>
      <x:c r="AK4634" s="87" t="str">
        <x:v>clean-v0.07</x:v>
      </x:c>
      <x:c r="AL4634" s="87" t="str">
        <x:v>statgrad_clean_continuation_v0_07(1).xlsx</x:v>
      </x:c>
      <x:c r="AM4634" s="87" t="str">
        <x:v>MATH_Dec_0210</x:v>
      </x:c>
      <x:c r="AN4634" s="87" t="n">
        <x:v>12</x:v>
      </x:c>
    </x:row>
    <x:row r="4635">
      <x:c r="A4635" s="87" t="n">
        <x:v>4634</x:v>
      </x:c>
      <x:c r="B4635" s="87" t="str">
        <x:v>DEC-MATH-10-012</x:v>
      </x:c>
      <x:c r="C4635" s="87" t="str">
        <x:v>СтатГрад</x:v>
      </x:c>
      <x:c r="D4635" s="87" t="str">
        <x:v>Декабрь 2025</x:v>
      </x:c>
      <x:c r="E4635" s="87"/>
      <x:c r="F4635" s="87"/>
      <x:c r="G4635" s="87" t="str">
        <x:v>Математика</x:v>
      </x:c>
      <x:c r="H4635" s="87" t="n">
        <x:v>11</x:v>
      </x:c>
      <x:c r="I4635" s="87" t="str">
        <x:v>ТР №2</x:v>
      </x:c>
      <x:c r="J4635" s="87" t="str">
        <x:v>МА2510210</x:v>
      </x:c>
      <x:c r="K4635" s="87" t="n">
        <x:v>12</x:v>
      </x:c>
      <x:c r="L4635" s="87" t="str">
        <x:v>Исследование функции</x:v>
      </x:c>
      <x:c r="M4635" s="30" t="str">
        <x:v>Найдите наименьшее значение функции ( ) ( ) 2 4 8 2 y x x = + + + на отрезке [ ] 5;8 − .</x:v>
      </x:c>
      <x:c r="N4635" s="30" t="str">
        <x:v>2</x:v>
      </x:c>
      <x:c r="O4635" s="30" t="str">
        <x:v>Проверены критические точки и концы заданного отрезка.</x:v>
      </x:c>
      <x:c r="P4635" s="30" t="str">
        <x:v>Условие и полный визуал просмотрены; ответ пересчитан/логически проверен и совпал с LOCKED-ключом.</x:v>
      </x:c>
      <x:c r="Q4635" s="30"/>
      <x:c r="R4635" s="30" t="str">
        <x:v>2</x:v>
      </x:c>
      <x:c r="S4635" s="30"/>
      <x:c r="T4635" s="30" t="str">
        <x:v>Профиль.jpg (Запад)</x:v>
      </x:c>
      <x:c r="U4635" s="30" t="str">
        <x:v>Расхождений нет.</x:v>
      </x:c>
      <x:c r="V4635" s="87" t="str">
        <x:v>VERIFIED</x:v>
      </x:c>
      <x:c r="W4635" s="87"/>
      <x:c r="X4635" s="87" t="n">
        <x:v>12</x:v>
      </x:c>
      <x:c r="Y4635" s="87"/>
      <x:c r="Z4635" s="87"/>
      <x:c r="AA4635" s="87"/>
      <x:c r="AB4635" s="87" t="str">
        <x:v>таблица, строка 10</x:v>
      </x:c>
      <x:c r="AC4635" s="87" t="str">
        <x:v>VIS-MATH-DEC-PW-TASK-P012</x:v>
      </x:c>
      <x:c r="AD4635" s="87" t="str">
        <x:v>VIS-MATH-DEC-KEY-PW</x:v>
      </x:c>
      <x:c r="AE4635" s="87" t="str">
        <x:v>TASK; KEY</x:v>
      </x:c>
      <x:c r="AF4635" s="87" t="str">
        <x:v>VIS-MATH-DEC-PW-TASK-P012: 12; VIS-MATH-DEC-KEY-PW: 1</x:v>
      </x:c>
      <x:c r="AG4635" s="87" t="str">
        <x:v>RESOLVED</x:v>
      </x:c>
      <x:c r="AH4635" s="87" t="str">
        <x:v>CROP_VERIFIED</x:v>
      </x:c>
      <x:c r="AI4635" s="30" t="str">
        <x:v>{"Уровень": "Профильный"}</x:v>
      </x:c>
      <x:c r="AJ4635" s="87" t="str">
        <x:v>clean</x:v>
      </x:c>
      <x:c r="AK4635" s="87" t="str">
        <x:v>clean-v0.07</x:v>
      </x:c>
      <x:c r="AL4635" s="87" t="str">
        <x:v>statgrad_clean_continuation_v0_07(1).xlsx</x:v>
      </x:c>
      <x:c r="AM4635" s="87" t="str">
        <x:v>MATH_Dec_0210</x:v>
      </x:c>
      <x:c r="AN4635" s="87" t="n">
        <x:v>13</x:v>
      </x:c>
    </x:row>
    <x:row r="4636">
      <x:c r="A4636" s="87" t="n">
        <x:v>4635</x:v>
      </x:c>
      <x:c r="B4636" s="87" t="str">
        <x:v>DEC-MATH-10-013</x:v>
      </x:c>
      <x:c r="C4636" s="87" t="str">
        <x:v>СтатГрад</x:v>
      </x:c>
      <x:c r="D4636" s="87" t="str">
        <x:v>Декабрь 2025</x:v>
      </x:c>
      <x:c r="E4636" s="87"/>
      <x:c r="F4636" s="87"/>
      <x:c r="G4636" s="87" t="str">
        <x:v>Математика</x:v>
      </x:c>
      <x:c r="H4636" s="87" t="n">
        <x:v>11</x:v>
      </x:c>
      <x:c r="I4636" s="87" t="str">
        <x:v>ТР №2</x:v>
      </x:c>
      <x:c r="J4636" s="87" t="str">
        <x:v>МА2510210</x:v>
      </x:c>
      <x:c r="K4636" s="87" t="n">
        <x:v>13</x:v>
      </x:c>
      <x:c r="L4636" s="87" t="str">
        <x:v>Тригонометрическое уравнение</x:v>
      </x:c>
      <x:c r="M4636" s="30" t="str">
        <x:v>а) Решите уравнение ( ) π cos sin π 0 2 2 x x   − + − =     . б) Найдите все корни этого уравнения, принадлежащие отрезку [ ] 9π; 6π − − .</x:v>
      </x:c>
      <x:c r="N4636" s="30" t="str">
        <x:v>а) x=2πn; x=4π/3+4πm; x=−4π/3+4πl; б) −6π, −8π, −20π/3</x:v>
      </x:c>
      <x:c r="O4636" s="30" t="str">
        <x:v>Тригонометрическое уравнение разложено на множители; затем отобраны корни на отрезке.</x:v>
      </x:c>
      <x:c r="P4636" s="30" t="str">
        <x:v>Развёрнутое решение и итоговый ответ сверены с официальными критериями; ключевые преобразования проверены независимо.</x:v>
      </x:c>
      <x:c r="Q4636" s="30"/>
      <x:c r="R4636" s="30" t="str">
        <x:v>а) x=2πn; x=4π/3+4πm; x=−4π/3+4πl; б) −6π, −8π, −20π/3</x:v>
      </x:c>
      <x:c r="S4636" s="30"/>
      <x:c r="T4636" s="30" t="str">
        <x:v>Kriterii_MA11_18122025_zapad.pdf</x:v>
      </x:c>
      <x:c r="U4636" s="30" t="str">
        <x:v>Расхождений нет.</x:v>
      </x:c>
      <x:c r="V4636" s="87" t="str">
        <x:v>VERIFIED</x:v>
      </x:c>
      <x:c r="W4636" s="87"/>
      <x:c r="X4636" s="87" t="n">
        <x:v>13</x:v>
      </x:c>
      <x:c r="Y4636" s="87"/>
      <x:c r="Z4636" s="87"/>
      <x:c r="AA4636" s="87"/>
      <x:c r="AB4636" s="87" t="str">
        <x:v>стр. 9</x:v>
      </x:c>
      <x:c r="AC4636" s="87" t="str">
        <x:v>VIS-MATH-DEC-PW-TASK-P013</x:v>
      </x:c>
      <x:c r="AD4636" s="87" t="str">
        <x:v>VIS-MATH-DEC-CW-CRIT-P009</x:v>
      </x:c>
      <x:c r="AE4636" s="87" t="str">
        <x:v>TASK; CRIT</x:v>
      </x:c>
      <x:c r="AF4636" s="87" t="str">
        <x:v>VIS-MATH-DEC-PW-TASK-P013: 13; VIS-MATH-DEC-CW-CRIT-P009: 9</x:v>
      </x:c>
      <x:c r="AG4636" s="87" t="str">
        <x:v>RESOLVED</x:v>
      </x:c>
      <x:c r="AH4636" s="87" t="str">
        <x:v>CROP_VERIFIED</x:v>
      </x:c>
      <x:c r="AI4636" s="30" t="str">
        <x:v>{"Уровень": "Профильный"}</x:v>
      </x:c>
      <x:c r="AJ4636" s="87" t="str">
        <x:v>clean</x:v>
      </x:c>
      <x:c r="AK4636" s="87" t="str">
        <x:v>clean-v0.07</x:v>
      </x:c>
      <x:c r="AL4636" s="87" t="str">
        <x:v>statgrad_clean_continuation_v0_07(1).xlsx</x:v>
      </x:c>
      <x:c r="AM4636" s="87" t="str">
        <x:v>MATH_Dec_0210</x:v>
      </x:c>
      <x:c r="AN4636" s="87" t="n">
        <x:v>14</x:v>
      </x:c>
    </x:row>
    <x:row r="4637">
      <x:c r="A4637" s="87" t="n">
        <x:v>4636</x:v>
      </x:c>
      <x:c r="B4637" s="87" t="str">
        <x:v>DEC-MATH-10-014</x:v>
      </x:c>
      <x:c r="C4637" s="87" t="str">
        <x:v>СтатГрад</x:v>
      </x:c>
      <x:c r="D4637" s="87" t="str">
        <x:v>Декабрь 2025</x:v>
      </x:c>
      <x:c r="E4637" s="87"/>
      <x:c r="F4637" s="87"/>
      <x:c r="G4637" s="87" t="str">
        <x:v>Математика</x:v>
      </x:c>
      <x:c r="H4637" s="87" t="n">
        <x:v>11</x:v>
      </x:c>
      <x:c r="I4637" s="87" t="str">
        <x:v>ТР №2</x:v>
      </x:c>
      <x:c r="J4637" s="87" t="str">
        <x:v>МА2510210</x:v>
      </x:c>
      <x:c r="K4637" s="87" t="n">
        <x:v>14</x:v>
      </x:c>
      <x:c r="L4637" s="87" t="str">
        <x:v>Стереометрия: доказательство и вычисление</x:v>
      </x:c>
      <x:c r="M4637" s="30" t="str">
        <x:v>В правильной треугольной призме 1 1 1 ABCA B C отметили точки M и K на рёбрах 1 AA и 1 1 A B соответственно. Известно, что 1 4 , A M MA = 1 1. A K KB = Через точки M и K провели плоскость α перпендикулярно грани 1 1. ABB A а) Докажите, что плоскость α проходит через вершину 1. C б) Найдите площадь сечения призмы 1 1 1 ABCA B C плоскостью α, если все рёбра призмы равны 30.</x:v>
      </x:c>
      <x:c r="N4637" s="30" t="str">
        <x:v>а) плоскость α проходит через C₁; б) 45√267/2</x:v>
      </x:c>
      <x:c r="O4637" s="30" t="str">
        <x:v>Перпендикулярность плоскостей сведена к перпендикулярности прямых; площадь сечения найдена через прямоугольный треугольник.</x:v>
      </x:c>
      <x:c r="P4637" s="30" t="str">
        <x:v>Развёрнутое решение и итоговый ответ сверены с официальными критериями; ключевые преобразования проверены независимо.</x:v>
      </x:c>
      <x:c r="Q4637" s="30"/>
      <x:c r="R4637" s="30" t="str">
        <x:v>а) плоскость α проходит через C₁; б) 45√267/2</x:v>
      </x:c>
      <x:c r="S4637" s="30"/>
      <x:c r="T4637" s="30" t="str">
        <x:v>Kriterii_MA11_18122025_zapad.pdf</x:v>
      </x:c>
      <x:c r="U4637" s="30" t="str">
        <x:v>Расхождений нет.</x:v>
      </x:c>
      <x:c r="V4637" s="87" t="str">
        <x:v>VERIFIED</x:v>
      </x:c>
      <x:c r="W4637" s="87"/>
      <x:c r="X4637" s="87" t="n">
        <x:v>13</x:v>
      </x:c>
      <x:c r="Y4637" s="87"/>
      <x:c r="Z4637" s="87"/>
      <x:c r="AA4637" s="87"/>
      <x:c r="AB4637" s="87" t="str">
        <x:v>стр. 10, 11</x:v>
      </x:c>
      <x:c r="AC4637" s="87" t="str">
        <x:v>VIS-MATH-DEC-PW-TASK-P013</x:v>
      </x:c>
      <x:c r="AD4637" s="87" t="str">
        <x:v>VIS-MATH-DEC-CW-CRIT-P010; VIS-MATH-DEC-CW-CRIT-P011</x:v>
      </x:c>
      <x:c r="AE4637" s="87" t="str">
        <x:v>TASK; CRIT</x:v>
      </x:c>
      <x:c r="AF4637" s="87" t="str">
        <x:v>VIS-MATH-DEC-PW-TASK-P013: 13; VIS-MATH-DEC-CW-CRIT-P010: 10; VIS-MATH-DEC-CW-CRIT-P011: 11</x:v>
      </x:c>
      <x:c r="AG4637" s="87" t="str">
        <x:v>RESOLVED</x:v>
      </x:c>
      <x:c r="AH4637" s="87" t="str">
        <x:v>CROP_VERIFIED</x:v>
      </x:c>
      <x:c r="AI4637" s="30" t="str">
        <x:v>{"Уровень": "Профильный"}</x:v>
      </x:c>
      <x:c r="AJ4637" s="87" t="str">
        <x:v>clean</x:v>
      </x:c>
      <x:c r="AK4637" s="87" t="str">
        <x:v>clean-v0.07</x:v>
      </x:c>
      <x:c r="AL4637" s="87" t="str">
        <x:v>statgrad_clean_continuation_v0_07(1).xlsx</x:v>
      </x:c>
      <x:c r="AM4637" s="87" t="str">
        <x:v>MATH_Dec_0210</x:v>
      </x:c>
      <x:c r="AN4637" s="87" t="n">
        <x:v>15</x:v>
      </x:c>
    </x:row>
    <x:row r="4638">
      <x:c r="A4638" s="87" t="n">
        <x:v>4637</x:v>
      </x:c>
      <x:c r="B4638" s="87" t="str">
        <x:v>DEC-MATH-10-015</x:v>
      </x:c>
      <x:c r="C4638" s="87" t="str">
        <x:v>СтатГрад</x:v>
      </x:c>
      <x:c r="D4638" s="87" t="str">
        <x:v>Декабрь 2025</x:v>
      </x:c>
      <x:c r="E4638" s="87"/>
      <x:c r="F4638" s="87"/>
      <x:c r="G4638" s="87" t="str">
        <x:v>Математика</x:v>
      </x:c>
      <x:c r="H4638" s="87" t="n">
        <x:v>11</x:v>
      </x:c>
      <x:c r="I4638" s="87" t="str">
        <x:v>ТР №2</x:v>
      </x:c>
      <x:c r="J4638" s="87" t="str">
        <x:v>МА2510210</x:v>
      </x:c>
      <x:c r="K4638" s="87" t="n">
        <x:v>15</x:v>
      </x:c>
      <x:c r="L4638" s="87" t="str">
        <x:v>Логарифмическое неравенство</x:v>
      </x:c>
      <x:c r="M4638" s="30" t="str">
        <x:v>Решите неравенство ( ) ( ) ( ) ( ) 8 17 log 8 log 17 2 5 3 log 8 17 1 log 6 x x x x − + + + ≥ − .</x:v>
      </x:c>
      <x:c r="N4638" s="30" t="str">
        <x:v>[−3;0) ∪ (6;8)</x:v>
      </x:c>
      <x:c r="O4638" s="30" t="str">
        <x:v>Логарифмическое выражение упрощено с обязательным учётом ОДЗ; решена система неравенств.</x:v>
      </x:c>
      <x:c r="P4638" s="30" t="str">
        <x:v>Развёрнутое решение и итоговый ответ сверены с официальными критериями; ключевые преобразования проверены независимо.</x:v>
      </x:c>
      <x:c r="Q4638" s="30"/>
      <x:c r="R4638" s="30" t="str">
        <x:v>[−3;0) ∪ (6;8)</x:v>
      </x:c>
      <x:c r="S4638" s="30"/>
      <x:c r="T4638" s="30" t="str">
        <x:v>Kriterii_MA11_18122025_zapad.pdf</x:v>
      </x:c>
      <x:c r="U4638" s="30" t="str">
        <x:v>Расхождений нет.</x:v>
      </x:c>
      <x:c r="V4638" s="87" t="str">
        <x:v>VERIFIED</x:v>
      </x:c>
      <x:c r="W4638" s="87"/>
      <x:c r="X4638" s="87" t="n">
        <x:v>13</x:v>
      </x:c>
      <x:c r="Y4638" s="87"/>
      <x:c r="Z4638" s="87"/>
      <x:c r="AA4638" s="87"/>
      <x:c r="AB4638" s="87" t="str">
        <x:v>стр. 11, 12</x:v>
      </x:c>
      <x:c r="AC4638" s="87" t="str">
        <x:v>VIS-MATH-DEC-PW-TASK-P013</x:v>
      </x:c>
      <x:c r="AD4638" s="87" t="str">
        <x:v>VIS-MATH-DEC-CW-CRIT-P011; VIS-MATH-DEC-CW-CRIT-P012</x:v>
      </x:c>
      <x:c r="AE4638" s="87" t="str">
        <x:v>TASK; CRIT</x:v>
      </x:c>
      <x:c r="AF4638" s="87" t="str">
        <x:v>VIS-MATH-DEC-PW-TASK-P013: 13; VIS-MATH-DEC-CW-CRIT-P011: 11; VIS-MATH-DEC-CW-CRIT-P012: 12</x:v>
      </x:c>
      <x:c r="AG4638" s="87" t="str">
        <x:v>RESOLVED</x:v>
      </x:c>
      <x:c r="AH4638" s="87" t="str">
        <x:v>CROP_VERIFIED</x:v>
      </x:c>
      <x:c r="AI4638" s="30" t="str">
        <x:v>{"Уровень": "Профильный"}</x:v>
      </x:c>
      <x:c r="AJ4638" s="87" t="str">
        <x:v>clean</x:v>
      </x:c>
      <x:c r="AK4638" s="87" t="str">
        <x:v>clean-v0.07</x:v>
      </x:c>
      <x:c r="AL4638" s="87" t="str">
        <x:v>statgrad_clean_continuation_v0_07(1).xlsx</x:v>
      </x:c>
      <x:c r="AM4638" s="87" t="str">
        <x:v>MATH_Dec_0210</x:v>
      </x:c>
      <x:c r="AN4638" s="87" t="n">
        <x:v>16</x:v>
      </x:c>
    </x:row>
    <x:row r="4639">
      <x:c r="A4639" s="87" t="n">
        <x:v>4638</x:v>
      </x:c>
      <x:c r="B4639" s="87" t="str">
        <x:v>DEC-MATH-10-016</x:v>
      </x:c>
      <x:c r="C4639" s="87" t="str">
        <x:v>СтатГрад</x:v>
      </x:c>
      <x:c r="D4639" s="87" t="str">
        <x:v>Декабрь 2025</x:v>
      </x:c>
      <x:c r="E4639" s="87"/>
      <x:c r="F4639" s="87"/>
      <x:c r="G4639" s="87" t="str">
        <x:v>Математика</x:v>
      </x:c>
      <x:c r="H4639" s="87" t="n">
        <x:v>11</x:v>
      </x:c>
      <x:c r="I4639" s="87" t="str">
        <x:v>ТР №2</x:v>
      </x:c>
      <x:c r="J4639" s="87" t="str">
        <x:v>МА2510210</x:v>
      </x:c>
      <x:c r="K4639" s="87" t="n">
        <x:v>16</x:v>
      </x:c>
      <x:c r="L4639" s="87" t="str">
        <x:v>Финансовая математика</x:v>
      </x:c>
      <x:c r="M4639" s="30" t="str">
        <x:v>15 декабря 2026 года планируется взять кредит в банке на сумму 23,4 млн рублей на 36 месяцев. Условия его возврата таковы: – 1-го числа каждого месяца долг возрастает на 4 % по сравнению с концом предыдущего месяца; – со 2-го по 14-е число каждого месяца необходимо одним платежом оплатить часть долга; – 15-го числа каждого месяца долг должен быть на одну и ту же величину меньше долга на 15-е число предыдущего месяца; – к 15 декабря 2029 года кредит должен быть полностью погашен. Чему будет равна общая сумма платежей в 2029 году?</x:v>
      </x:c>
      <x:c r="N4639" s="30" t="str">
        <x:v>9 828 000 руб.</x:v>
      </x:c>
      <x:c r="O4639" s="30" t="str">
        <x:v>Долг уменьшается равными долями; платежи последнего года образуют арифметически суммируемую последовательность.</x:v>
      </x:c>
      <x:c r="P4639" s="30" t="str">
        <x:v>Развёрнутое решение и итоговый ответ сверены с официальными критериями; ключевые преобразования проверены независимо.</x:v>
      </x:c>
      <x:c r="Q4639" s="30"/>
      <x:c r="R4639" s="30" t="str">
        <x:v>9 828 000 руб.</x:v>
      </x:c>
      <x:c r="S4639" s="30"/>
      <x:c r="T4639" s="30" t="str">
        <x:v>Kriterii_MA11_18122025_zapad.pdf</x:v>
      </x:c>
      <x:c r="U4639" s="30" t="str">
        <x:v>Расхождений нет.</x:v>
      </x:c>
      <x:c r="V4639" s="87" t="str">
        <x:v>VERIFIED</x:v>
      </x:c>
      <x:c r="W4639" s="87"/>
      <x:c r="X4639" s="87" t="n">
        <x:v>13</x:v>
      </x:c>
      <x:c r="Y4639" s="87"/>
      <x:c r="Z4639" s="87"/>
      <x:c r="AA4639" s="87"/>
      <x:c r="AB4639" s="87" t="str">
        <x:v>стр. 12</x:v>
      </x:c>
      <x:c r="AC4639" s="87" t="str">
        <x:v>VIS-MATH-DEC-PW-TASK-P013</x:v>
      </x:c>
      <x:c r="AD4639" s="87" t="str">
        <x:v>VIS-MATH-DEC-CW-CRIT-P012</x:v>
      </x:c>
      <x:c r="AE4639" s="87" t="str">
        <x:v>TASK; CRIT</x:v>
      </x:c>
      <x:c r="AF4639" s="87" t="str">
        <x:v>VIS-MATH-DEC-PW-TASK-P013: 13; VIS-MATH-DEC-CW-CRIT-P012: 12</x:v>
      </x:c>
      <x:c r="AG4639" s="87" t="str">
        <x:v>RESOLVED</x:v>
      </x:c>
      <x:c r="AH4639" s="87" t="str">
        <x:v>CROP_VERIFIED</x:v>
      </x:c>
      <x:c r="AI4639" s="30" t="str">
        <x:v>{"Уровень": "Профильный"}</x:v>
      </x:c>
      <x:c r="AJ4639" s="87" t="str">
        <x:v>clean</x:v>
      </x:c>
      <x:c r="AK4639" s="87" t="str">
        <x:v>clean-v0.07</x:v>
      </x:c>
      <x:c r="AL4639" s="87" t="str">
        <x:v>statgrad_clean_continuation_v0_07(1).xlsx</x:v>
      </x:c>
      <x:c r="AM4639" s="87" t="str">
        <x:v>MATH_Dec_0210</x:v>
      </x:c>
      <x:c r="AN4639" s="87" t="n">
        <x:v>17</x:v>
      </x:c>
    </x:row>
    <x:row r="4640">
      <x:c r="A4640" s="87" t="n">
        <x:v>4639</x:v>
      </x:c>
      <x:c r="B4640" s="87" t="str">
        <x:v>DEC-MATH-10-017</x:v>
      </x:c>
      <x:c r="C4640" s="87" t="str">
        <x:v>СтатГрад</x:v>
      </x:c>
      <x:c r="D4640" s="87" t="str">
        <x:v>Декабрь 2025</x:v>
      </x:c>
      <x:c r="E4640" s="87"/>
      <x:c r="F4640" s="87"/>
      <x:c r="G4640" s="87" t="str">
        <x:v>Математика</x:v>
      </x:c>
      <x:c r="H4640" s="87" t="n">
        <x:v>11</x:v>
      </x:c>
      <x:c r="I4640" s="87" t="str">
        <x:v>ТР №2</x:v>
      </x:c>
      <x:c r="J4640" s="87" t="str">
        <x:v>МА2510210</x:v>
      </x:c>
      <x:c r="K4640" s="87" t="n">
        <x:v>17</x:v>
      </x:c>
      <x:c r="L4640" s="87" t="str">
        <x:v>Планиметрия: доказательство</x:v>
      </x:c>
      <x:c r="M4640" s="30" t="str">
        <x:v>В треугольнике ABC все стороны различны. Прямая, содержащая высоту BH треугольника ABC , вторично пересекает описанную около этого треугольника окружность в точке K . Отрезок BN — диаметр этой окружности. а) Докажите, что прямые AC и KN параллельны. б) Найдите расстояние от точки N до прямой AC , если радиус описанной около треугольника ABC окружности равен 20 6 , 30 BAC ∠ = °, 105 ABC ∠ = °.</x:v>
      </x:c>
      <x:c r="N4640" s="30" t="str">
        <x:v>а) AC ∥ KN; б) 60</x:v>
      </x:c>
      <x:c r="O4640" s="30" t="str">
        <x:v>Параллельность доказана через общую перпендикулярность; расстояние вычислено по вписанным углам и радиусу.</x:v>
      </x:c>
      <x:c r="P4640" s="30" t="str">
        <x:v>Развёрнутое решение и итоговый ответ сверены с официальными критериями; ключевые преобразования проверены независимо.</x:v>
      </x:c>
      <x:c r="Q4640" s="30"/>
      <x:c r="R4640" s="30" t="str">
        <x:v>а) AC ∥ KN; б) 60</x:v>
      </x:c>
      <x:c r="S4640" s="30"/>
      <x:c r="T4640" s="30" t="str">
        <x:v>Kriterii_MA11_18122025_zapad.pdf</x:v>
      </x:c>
      <x:c r="U4640" s="30" t="str">
        <x:v>Расхождений нет.</x:v>
      </x:c>
      <x:c r="V4640" s="87" t="str">
        <x:v>VERIFIED</x:v>
      </x:c>
      <x:c r="W4640" s="87"/>
      <x:c r="X4640" s="87" t="n">
        <x:v>14</x:v>
      </x:c>
      <x:c r="Y4640" s="87"/>
      <x:c r="Z4640" s="87"/>
      <x:c r="AA4640" s="87"/>
      <x:c r="AB4640" s="87" t="str">
        <x:v>стр. 13</x:v>
      </x:c>
      <x:c r="AC4640" s="87" t="str">
        <x:v>VIS-MATH-DEC-PW-TASK-P014</x:v>
      </x:c>
      <x:c r="AD4640" s="87" t="str">
        <x:v>VIS-MATH-DEC-CW-CRIT-P013</x:v>
      </x:c>
      <x:c r="AE4640" s="87" t="str">
        <x:v>TASK; CRIT</x:v>
      </x:c>
      <x:c r="AF4640" s="87" t="str">
        <x:v>VIS-MATH-DEC-PW-TASK-P014: 14; VIS-MATH-DEC-CW-CRIT-P013: 13</x:v>
      </x:c>
      <x:c r="AG4640" s="87" t="str">
        <x:v>RESOLVED</x:v>
      </x:c>
      <x:c r="AH4640" s="87" t="str">
        <x:v>CROP_VERIFIED</x:v>
      </x:c>
      <x:c r="AI4640" s="30" t="str">
        <x:v>{"Уровень": "Профильный"}</x:v>
      </x:c>
      <x:c r="AJ4640" s="87" t="str">
        <x:v>clean</x:v>
      </x:c>
      <x:c r="AK4640" s="87" t="str">
        <x:v>clean-v0.07</x:v>
      </x:c>
      <x:c r="AL4640" s="87" t="str">
        <x:v>statgrad_clean_continuation_v0_07(1).xlsx</x:v>
      </x:c>
      <x:c r="AM4640" s="87" t="str">
        <x:v>MATH_Dec_0210</x:v>
      </x:c>
      <x:c r="AN4640" s="87" t="n">
        <x:v>18</x:v>
      </x:c>
    </x:row>
    <x:row r="4641">
      <x:c r="A4641" s="87" t="n">
        <x:v>4640</x:v>
      </x:c>
      <x:c r="B4641" s="87" t="str">
        <x:v>DEC-MATH-10-018</x:v>
      </x:c>
      <x:c r="C4641" s="87" t="str">
        <x:v>СтатГрад</x:v>
      </x:c>
      <x:c r="D4641" s="87" t="str">
        <x:v>Декабрь 2025</x:v>
      </x:c>
      <x:c r="E4641" s="87"/>
      <x:c r="F4641" s="87"/>
      <x:c r="G4641" s="87" t="str">
        <x:v>Математика</x:v>
      </x:c>
      <x:c r="H4641" s="87" t="n">
        <x:v>11</x:v>
      </x:c>
      <x:c r="I4641" s="87" t="str">
        <x:v>ТР №2</x:v>
      </x:c>
      <x:c r="J4641" s="87" t="str">
        <x:v>МА2510210</x:v>
      </x:c>
      <x:c r="K4641" s="87" t="n">
        <x:v>18</x:v>
      </x:c>
      <x:c r="L4641" s="87" t="str">
        <x:v>Уравнение с параметром</x:v>
      </x:c>
      <x:c r="M4641" s="30" t="str">
        <x:v>Найдите все значения ,a при каждом из которых уравнение 2 4 4 4 64 32 0 a x x a x x     + + + − + =         имеет ровно два различных корня.</x:v>
      </x:c>
      <x:c r="N4641" s="30" t="str">
        <x:v>a=0; a=1/4; 1/3&lt;a&lt;1</x:v>
      </x:c>
      <x:c r="O4641" s="30" t="str">
        <x:v>Введена замена y=x+c/x; число корней определено по положению корней квадратного уравнения относительно диапазона y.</x:v>
      </x:c>
      <x:c r="P4641" s="30" t="str">
        <x:v>Развёрнутое решение и итоговый ответ сверены с официальными критериями; ключевые преобразования проверены независимо.</x:v>
      </x:c>
      <x:c r="Q4641" s="30"/>
      <x:c r="R4641" s="30" t="str">
        <x:v>a=0; a=1/4; 1/3&lt;a&lt;1</x:v>
      </x:c>
      <x:c r="S4641" s="30"/>
      <x:c r="T4641" s="30" t="str">
        <x:v>Kriterii_MA11_18122025_zapad.pdf</x:v>
      </x:c>
      <x:c r="U4641" s="30" t="str">
        <x:v>Расхождений нет.</x:v>
      </x:c>
      <x:c r="V4641" s="87" t="str">
        <x:v>VERIFIED</x:v>
      </x:c>
      <x:c r="W4641" s="87"/>
      <x:c r="X4641" s="87" t="n">
        <x:v>14</x:v>
      </x:c>
      <x:c r="Y4641" s="87"/>
      <x:c r="Z4641" s="87"/>
      <x:c r="AA4641" s="87"/>
      <x:c r="AB4641" s="87" t="str">
        <x:v>стр. 14, 15</x:v>
      </x:c>
      <x:c r="AC4641" s="87" t="str">
        <x:v>VIS-MATH-DEC-PW-TASK-P014</x:v>
      </x:c>
      <x:c r="AD4641" s="87" t="str">
        <x:v>VIS-MATH-DEC-CW-CRIT-P014; VIS-MATH-DEC-CW-CRIT-P015</x:v>
      </x:c>
      <x:c r="AE4641" s="87" t="str">
        <x:v>TASK; CRIT</x:v>
      </x:c>
      <x:c r="AF4641" s="87" t="str">
        <x:v>VIS-MATH-DEC-PW-TASK-P014: 14; VIS-MATH-DEC-CW-CRIT-P014: 14; VIS-MATH-DEC-CW-CRIT-P015: 15</x:v>
      </x:c>
      <x:c r="AG4641" s="87" t="str">
        <x:v>RESOLVED</x:v>
      </x:c>
      <x:c r="AH4641" s="87" t="str">
        <x:v>CROP_VERIFIED</x:v>
      </x:c>
      <x:c r="AI4641" s="30" t="str">
        <x:v>{"Уровень": "Профильный"}</x:v>
      </x:c>
      <x:c r="AJ4641" s="87" t="str">
        <x:v>clean</x:v>
      </x:c>
      <x:c r="AK4641" s="87" t="str">
        <x:v>clean-v0.07</x:v>
      </x:c>
      <x:c r="AL4641" s="87" t="str">
        <x:v>statgrad_clean_continuation_v0_07(1).xlsx</x:v>
      </x:c>
      <x:c r="AM4641" s="87" t="str">
        <x:v>MATH_Dec_0210</x:v>
      </x:c>
      <x:c r="AN4641" s="87" t="n">
        <x:v>19</x:v>
      </x:c>
    </x:row>
    <x:row r="4642">
      <x:c r="A4642" s="87" t="n">
        <x:v>4641</x:v>
      </x:c>
      <x:c r="B4642" s="87" t="str">
        <x:v>DEC-MATH-10-019</x:v>
      </x:c>
      <x:c r="C4642" s="87" t="str">
        <x:v>СтатГрад</x:v>
      </x:c>
      <x:c r="D4642" s="87" t="str">
        <x:v>Декабрь 2025</x:v>
      </x:c>
      <x:c r="E4642" s="87"/>
      <x:c r="F4642" s="87"/>
      <x:c r="G4642" s="87" t="str">
        <x:v>Математика</x:v>
      </x:c>
      <x:c r="H4642" s="87" t="n">
        <x:v>11</x:v>
      </x:c>
      <x:c r="I4642" s="87" t="str">
        <x:v>ТР №2</x:v>
      </x:c>
      <x:c r="J4642" s="87" t="str">
        <x:v>МА2510210</x:v>
      </x:c>
      <x:c r="K4642" s="87" t="n">
        <x:v>19</x:v>
      </x:c>
      <x:c r="L4642" s="87" t="str">
        <x:v>Комбинаторика и теория чисел</x:v>
      </x:c>
      <x:c r="M4642" s="30" t="str">
        <x:v>На доске написано n единиц подряд. Между некоторыми из них расставляют знаки «+» и считают получившуюся сумму. Например, если было написано 10 единиц, то можно получить сумму 136: 1 1 111 11 11 1 136 + + + + + = . а) Можно ли получить сумму 131, если 50 n = ? б) Можно ли получить сумму 131, если 70 n = ? в) Для скольких значений n можно получить сумму 131?</x:v>
      </x:c>
      <x:c r="N4642" s="30" t="str">
        <x:v>а) да; б) нет; в) 14</x:v>
      </x:c>
      <x:c r="O4642" s="30" t="str">
        <x:v>Использованы остатки и представление числа как суммы блоков единиц; затем подсчитаны допустимые n.</x:v>
      </x:c>
      <x:c r="P4642" s="30" t="str">
        <x:v>Развёрнутое решение и итоговый ответ сверены с официальными критериями; ключевые преобразования проверены независимо.</x:v>
      </x:c>
      <x:c r="Q4642" s="30"/>
      <x:c r="R4642" s="30" t="str">
        <x:v>а) да; б) нет; в) 14</x:v>
      </x:c>
      <x:c r="S4642" s="30"/>
      <x:c r="T4642" s="30" t="str">
        <x:v>Kriterii_MA11_18122025_zapad.pdf</x:v>
      </x:c>
      <x:c r="U4642" s="30" t="str">
        <x:v>Расхождений нет.</x:v>
      </x:c>
      <x:c r="V4642" s="87" t="str">
        <x:v>VERIFIED</x:v>
      </x:c>
      <x:c r="W4642" s="87"/>
      <x:c r="X4642" s="87" t="n">
        <x:v>14</x:v>
      </x:c>
      <x:c r="Y4642" s="87"/>
      <x:c r="Z4642" s="87"/>
      <x:c r="AA4642" s="87"/>
      <x:c r="AB4642" s="87" t="str">
        <x:v>стр. 16</x:v>
      </x:c>
      <x:c r="AC4642" s="87" t="str">
        <x:v>VIS-MATH-DEC-PW-TASK-P014</x:v>
      </x:c>
      <x:c r="AD4642" s="87" t="str">
        <x:v>VIS-MATH-DEC-CW-CRIT-P016</x:v>
      </x:c>
      <x:c r="AE4642" s="87" t="str">
        <x:v>TASK; CRIT</x:v>
      </x:c>
      <x:c r="AF4642" s="87" t="str">
        <x:v>VIS-MATH-DEC-PW-TASK-P014: 14; VIS-MATH-DEC-CW-CRIT-P016: 16</x:v>
      </x:c>
      <x:c r="AG4642" s="87" t="str">
        <x:v>RESOLVED</x:v>
      </x:c>
      <x:c r="AH4642" s="87" t="str">
        <x:v>CROP_VERIFIED</x:v>
      </x:c>
      <x:c r="AI4642" s="30" t="str">
        <x:v>{"Уровень": "Профильный"}</x:v>
      </x:c>
      <x:c r="AJ4642" s="87" t="str">
        <x:v>clean</x:v>
      </x:c>
      <x:c r="AK4642" s="87" t="str">
        <x:v>clean-v0.07</x:v>
      </x:c>
      <x:c r="AL4642" s="87" t="str">
        <x:v>statgrad_clean_continuation_v0_07(1).xlsx</x:v>
      </x:c>
      <x:c r="AM4642" s="87" t="str">
        <x:v>MATH_Dec_0210</x:v>
      </x:c>
      <x:c r="AN4642" s="87" t="n">
        <x:v>20</x:v>
      </x:c>
    </x:row>
    <x:row r="4643">
      <x:c r="A4643" s="87" t="n">
        <x:v>4642</x:v>
      </x:c>
      <x:c r="B4643" s="87" t="str">
        <x:v>DEC-MATH-11-001</x:v>
      </x:c>
      <x:c r="C4643" s="87" t="str">
        <x:v>СтатГрад</x:v>
      </x:c>
      <x:c r="D4643" s="87" t="str">
        <x:v>Декабрь 2025</x:v>
      </x:c>
      <x:c r="E4643" s="87"/>
      <x:c r="F4643" s="87"/>
      <x:c r="G4643" s="87" t="str">
        <x:v>Математика</x:v>
      </x:c>
      <x:c r="H4643" s="87" t="n">
        <x:v>11</x:v>
      </x:c>
      <x:c r="I4643" s="87" t="str">
        <x:v>ТР №2</x:v>
      </x:c>
      <x:c r="J4643" s="87" t="str">
        <x:v>МА2510211</x:v>
      </x:c>
      <x:c r="K4643" s="87" t="n">
        <x:v>1</x:v>
      </x:c>
      <x:c r="L4643" s="87" t="str">
        <x:v>Планиметрия</x:v>
      </x:c>
      <x:c r="M4643" s="30" t="str">
        <x:v>Около окружности описана трапеция, периметр которой равен 48. Найдите длину её средней линии.</x:v>
      </x:c>
      <x:c r="N4643" s="30" t="str">
        <x:v>12</x:v>
      </x:c>
      <x:c r="O4643" s="30" t="str">
        <x:v>Использованы свойства описанного/вписанного четырёхугольника или трапеции.</x:v>
      </x:c>
      <x:c r="P4643" s="30" t="str">
        <x:v>Условие и полный визуал просмотрены; ответ пересчитан/логически проверен и совпал с LOCKED-ключом.</x:v>
      </x:c>
      <x:c r="Q4643" s="30"/>
      <x:c r="R4643" s="30" t="str">
        <x:v>12</x:v>
      </x:c>
      <x:c r="S4643" s="30"/>
      <x:c r="T4643" s="30" t="str">
        <x:v>Профиль.jpg (Восток)</x:v>
      </x:c>
      <x:c r="U4643" s="30" t="str">
        <x:v>Расхождений нет.</x:v>
      </x:c>
      <x:c r="V4643" s="87" t="str">
        <x:v>VERIFIED</x:v>
      </x:c>
      <x:c r="W4643" s="87"/>
      <x:c r="X4643" s="87" t="n">
        <x:v>2</x:v>
      </x:c>
      <x:c r="Y4643" s="87"/>
      <x:c r="Z4643" s="87"/>
      <x:c r="AA4643" s="87"/>
      <x:c r="AB4643" s="87" t="str">
        <x:v>таблица, строка 11</x:v>
      </x:c>
      <x:c r="AC4643" s="87" t="str">
        <x:v>VIS-MATH-DEC-PE-TASK-P002</x:v>
      </x:c>
      <x:c r="AD4643" s="87" t="str">
        <x:v>VIS-MATH-DEC-KEY-PE</x:v>
      </x:c>
      <x:c r="AE4643" s="87" t="str">
        <x:v>TASK; KEY</x:v>
      </x:c>
      <x:c r="AF4643" s="87" t="str">
        <x:v>VIS-MATH-DEC-PE-TASK-P002: 2; VIS-MATH-DEC-KEY-PE: 1</x:v>
      </x:c>
      <x:c r="AG4643" s="87" t="str">
        <x:v>RESOLVED</x:v>
      </x:c>
      <x:c r="AH4643" s="87" t="str">
        <x:v>CROP_VERIFIED</x:v>
      </x:c>
      <x:c r="AI4643" s="30" t="str">
        <x:v>{"Уровень": "Профильный"}</x:v>
      </x:c>
      <x:c r="AJ4643" s="87" t="str">
        <x:v>clean</x:v>
      </x:c>
      <x:c r="AK4643" s="87" t="str">
        <x:v>clean-v0.07</x:v>
      </x:c>
      <x:c r="AL4643" s="87" t="str">
        <x:v>statgrad_clean_continuation_v0_07(1).xlsx</x:v>
      </x:c>
      <x:c r="AM4643" s="87" t="str">
        <x:v>MATH_Dec_0211</x:v>
      </x:c>
      <x:c r="AN4643" s="87" t="n">
        <x:v>2</x:v>
      </x:c>
    </x:row>
    <x:row r="4644">
      <x:c r="A4644" s="87" t="n">
        <x:v>4643</x:v>
      </x:c>
      <x:c r="B4644" s="87" t="str">
        <x:v>DEC-MATH-11-002</x:v>
      </x:c>
      <x:c r="C4644" s="87" t="str">
        <x:v>СтатГрад</x:v>
      </x:c>
      <x:c r="D4644" s="87" t="str">
        <x:v>Декабрь 2025</x:v>
      </x:c>
      <x:c r="E4644" s="87"/>
      <x:c r="F4644" s="87"/>
      <x:c r="G4644" s="87" t="str">
        <x:v>Математика</x:v>
      </x:c>
      <x:c r="H4644" s="87" t="n">
        <x:v>11</x:v>
      </x:c>
      <x:c r="I4644" s="87" t="str">
        <x:v>ТР №2</x:v>
      </x:c>
      <x:c r="J4644" s="87" t="str">
        <x:v>МА2510211</x:v>
      </x:c>
      <x:c r="K4644" s="87" t="n">
        <x:v>2</x:v>
      </x:c>
      <x:c r="L4644" s="87" t="str">
        <x:v>Векторы</x:v>
      </x:c>
      <x:c r="M4644" s="30" t="str">
        <x:v>На координатной плоскости изображены векторы a, b  и c. Найдите значение выражения ( ) a c b − ⋅    . y 1 x 0 1</x:v>
      </x:c>
      <x:c r="N4644" s="30" t="str">
        <x:v>12</x:v>
      </x:c>
      <x:c r="O4644" s="30" t="str">
        <x:v>Координаты векторов считаны с полного рисунка; выполнены указанные операции и найден модуль/скалярное произведение.</x:v>
      </x:c>
      <x:c r="P4644" s="30" t="str">
        <x:v>Условие и полный визуал просмотрены; ответ пересчитан/логически проверен и совпал с LOCKED-ключом.</x:v>
      </x:c>
      <x:c r="Q4644" s="30"/>
      <x:c r="R4644" s="30" t="str">
        <x:v>12</x:v>
      </x:c>
      <x:c r="S4644" s="30"/>
      <x:c r="T4644" s="30" t="str">
        <x:v>Профиль.jpg (Восток)</x:v>
      </x:c>
      <x:c r="U4644" s="30" t="str">
        <x:v>Расхождений нет.</x:v>
      </x:c>
      <x:c r="V4644" s="87" t="str">
        <x:v>VERIFIED</x:v>
      </x:c>
      <x:c r="W4644" s="87"/>
      <x:c r="X4644" s="87" t="n">
        <x:v>2</x:v>
      </x:c>
      <x:c r="Y4644" s="87"/>
      <x:c r="Z4644" s="87"/>
      <x:c r="AA4644" s="87"/>
      <x:c r="AB4644" s="87" t="str">
        <x:v>таблица, строка 11</x:v>
      </x:c>
      <x:c r="AC4644" s="87" t="str">
        <x:v>VIS-MATH-DEC-PE-TASK-P002</x:v>
      </x:c>
      <x:c r="AD4644" s="87" t="str">
        <x:v>VIS-MATH-DEC-KEY-PE</x:v>
      </x:c>
      <x:c r="AE4644" s="87" t="str">
        <x:v>TASK; KEY</x:v>
      </x:c>
      <x:c r="AF4644" s="87" t="str">
        <x:v>VIS-MATH-DEC-PE-TASK-P002: 2; VIS-MATH-DEC-KEY-PE: 1</x:v>
      </x:c>
      <x:c r="AG4644" s="87" t="str">
        <x:v>RESOLVED</x:v>
      </x:c>
      <x:c r="AH4644" s="87" t="str">
        <x:v>CROP_VERIFIED</x:v>
      </x:c>
      <x:c r="AI4644" s="30" t="str">
        <x:v>{"Уровень": "Профильный"}</x:v>
      </x:c>
      <x:c r="AJ4644" s="87" t="str">
        <x:v>clean</x:v>
      </x:c>
      <x:c r="AK4644" s="87" t="str">
        <x:v>clean-v0.07</x:v>
      </x:c>
      <x:c r="AL4644" s="87" t="str">
        <x:v>statgrad_clean_continuation_v0_07(1).xlsx</x:v>
      </x:c>
      <x:c r="AM4644" s="87" t="str">
        <x:v>MATH_Dec_0211</x:v>
      </x:c>
      <x:c r="AN4644" s="87" t="n">
        <x:v>3</x:v>
      </x:c>
    </x:row>
    <x:row r="4645">
      <x:c r="A4645" s="87" t="n">
        <x:v>4644</x:v>
      </x:c>
      <x:c r="B4645" s="87" t="str">
        <x:v>DEC-MATH-11-003</x:v>
      </x:c>
      <x:c r="C4645" s="87" t="str">
        <x:v>СтатГрад</x:v>
      </x:c>
      <x:c r="D4645" s="87" t="str">
        <x:v>Декабрь 2025</x:v>
      </x:c>
      <x:c r="E4645" s="87"/>
      <x:c r="F4645" s="87"/>
      <x:c r="G4645" s="87" t="str">
        <x:v>Математика</x:v>
      </x:c>
      <x:c r="H4645" s="87" t="n">
        <x:v>11</x:v>
      </x:c>
      <x:c r="I4645" s="87" t="str">
        <x:v>ТР №2</x:v>
      </x:c>
      <x:c r="J4645" s="87" t="str">
        <x:v>МА2510211</x:v>
      </x:c>
      <x:c r="K4645" s="87" t="n">
        <x:v>3</x:v>
      </x:c>
      <x:c r="L4645" s="87" t="str">
        <x:v>Стереометрия</x:v>
      </x:c>
      <x:c r="M4645" s="30" t="str">
        <x:v>Площадь боковой поверхности треугольной призмы равна 50. Через среднюю линию основания призмы проведена плоскость, параллельная боковому ребру. Найдите площадь боковой поверхности отсечённой треугольной призмы.</x:v>
      </x:c>
      <x:c r="N4645" s="30" t="str">
        <x:v>25</x:v>
      </x:c>
      <x:c r="O4645" s="30" t="str">
        <x:v>Использованы формулы площади поверхности или подобие отсечённой призмы.</x:v>
      </x:c>
      <x:c r="P4645" s="30" t="str">
        <x:v>Условие и полный визуал просмотрены; ответ пересчитан/логически проверен и совпал с LOCKED-ключом.</x:v>
      </x:c>
      <x:c r="Q4645" s="30"/>
      <x:c r="R4645" s="30" t="str">
        <x:v>25</x:v>
      </x:c>
      <x:c r="S4645" s="30"/>
      <x:c r="T4645" s="30" t="str">
        <x:v>Профиль.jpg (Восток)</x:v>
      </x:c>
      <x:c r="U4645" s="30" t="str">
        <x:v>Расхождений нет.</x:v>
      </x:c>
      <x:c r="V4645" s="87" t="str">
        <x:v>VERIFIED</x:v>
      </x:c>
      <x:c r="W4645" s="87"/>
      <x:c r="X4645" s="87" t="n">
        <x:v>2</x:v>
      </x:c>
      <x:c r="Y4645" s="87"/>
      <x:c r="Z4645" s="87"/>
      <x:c r="AA4645" s="87"/>
      <x:c r="AB4645" s="87" t="str">
        <x:v>таблица, строка 11</x:v>
      </x:c>
      <x:c r="AC4645" s="87" t="str">
        <x:v>VIS-MATH-DEC-PE-TASK-P002</x:v>
      </x:c>
      <x:c r="AD4645" s="87" t="str">
        <x:v>VIS-MATH-DEC-KEY-PE</x:v>
      </x:c>
      <x:c r="AE4645" s="87" t="str">
        <x:v>TASK; KEY</x:v>
      </x:c>
      <x:c r="AF4645" s="87" t="str">
        <x:v>VIS-MATH-DEC-PE-TASK-P002: 2; VIS-MATH-DEC-KEY-PE: 1</x:v>
      </x:c>
      <x:c r="AG4645" s="87" t="str">
        <x:v>RESOLVED</x:v>
      </x:c>
      <x:c r="AH4645" s="87" t="str">
        <x:v>CROP_VERIFIED</x:v>
      </x:c>
      <x:c r="AI4645" s="30" t="str">
        <x:v>{"Уровень": "Профильный"}</x:v>
      </x:c>
      <x:c r="AJ4645" s="87" t="str">
        <x:v>clean</x:v>
      </x:c>
      <x:c r="AK4645" s="87" t="str">
        <x:v>clean-v0.07</x:v>
      </x:c>
      <x:c r="AL4645" s="87" t="str">
        <x:v>statgrad_clean_continuation_v0_07(1).xlsx</x:v>
      </x:c>
      <x:c r="AM4645" s="87" t="str">
        <x:v>MATH_Dec_0211</x:v>
      </x:c>
      <x:c r="AN4645" s="87" t="n">
        <x:v>4</x:v>
      </x:c>
    </x:row>
    <x:row r="4646">
      <x:c r="A4646" s="87" t="n">
        <x:v>4645</x:v>
      </x:c>
      <x:c r="B4646" s="87" t="str">
        <x:v>DEC-MATH-11-004</x:v>
      </x:c>
      <x:c r="C4646" s="87" t="str">
        <x:v>СтатГрад</x:v>
      </x:c>
      <x:c r="D4646" s="87" t="str">
        <x:v>Декабрь 2025</x:v>
      </x:c>
      <x:c r="E4646" s="87"/>
      <x:c r="F4646" s="87"/>
      <x:c r="G4646" s="87" t="str">
        <x:v>Математика</x:v>
      </x:c>
      <x:c r="H4646" s="87" t="n">
        <x:v>11</x:v>
      </x:c>
      <x:c r="I4646" s="87" t="str">
        <x:v>ТР №2</x:v>
      </x:c>
      <x:c r="J4646" s="87" t="str">
        <x:v>МА2510211</x:v>
      </x:c>
      <x:c r="K4646" s="87" t="n">
        <x:v>4</x:v>
      </x:c>
      <x:c r="L4646" s="87" t="str">
        <x:v>Классическая вероятность</x:v>
      </x:c>
      <x:c r="M4646" s="30" t="str">
        <x:v>Какова вероятность того, что номера двух случайно выбранных паспортов оканчиваются одной и той же цифрой?</x:v>
      </x:c>
      <x:c r="N4646" s="30" t="str">
        <x:v>0,1</x:v>
      </x:c>
      <x:c r="O4646" s="30" t="str">
        <x:v>Подсчитаны равновозможные круговые рассадки либо последние цифры паспортов.</x:v>
      </x:c>
      <x:c r="P4646" s="30" t="str">
        <x:v>Условие и полный визуал просмотрены; ответ пересчитан/логически проверен и совпал с LOCKED-ключом.</x:v>
      </x:c>
      <x:c r="Q4646" s="30"/>
      <x:c r="R4646" s="30" t="str">
        <x:v>0,1</x:v>
      </x:c>
      <x:c r="S4646" s="30"/>
      <x:c r="T4646" s="30" t="str">
        <x:v>Профиль.jpg (Восток)</x:v>
      </x:c>
      <x:c r="U4646" s="30" t="str">
        <x:v>Расхождений нет.</x:v>
      </x:c>
      <x:c r="V4646" s="87" t="str">
        <x:v>VERIFIED</x:v>
      </x:c>
      <x:c r="W4646" s="87"/>
      <x:c r="X4646" s="87" t="n">
        <x:v>3</x:v>
      </x:c>
      <x:c r="Y4646" s="87"/>
      <x:c r="Z4646" s="87"/>
      <x:c r="AA4646" s="87"/>
      <x:c r="AB4646" s="87" t="str">
        <x:v>таблица, строка 11</x:v>
      </x:c>
      <x:c r="AC4646" s="87" t="str">
        <x:v>VIS-MATH-DEC-PE-TASK-P003</x:v>
      </x:c>
      <x:c r="AD4646" s="87" t="str">
        <x:v>VIS-MATH-DEC-KEY-PE</x:v>
      </x:c>
      <x:c r="AE4646" s="87" t="str">
        <x:v>TASK; KEY</x:v>
      </x:c>
      <x:c r="AF4646" s="87" t="str">
        <x:v>VIS-MATH-DEC-PE-TASK-P003: 3; VIS-MATH-DEC-KEY-PE: 1</x:v>
      </x:c>
      <x:c r="AG4646" s="87" t="str">
        <x:v>RESOLVED</x:v>
      </x:c>
      <x:c r="AH4646" s="87" t="str">
        <x:v>CROP_VERIFIED</x:v>
      </x:c>
      <x:c r="AI4646" s="30" t="str">
        <x:v>{"Уровень": "Профильный"}</x:v>
      </x:c>
      <x:c r="AJ4646" s="87" t="str">
        <x:v>clean</x:v>
      </x:c>
      <x:c r="AK4646" s="87" t="str">
        <x:v>clean-v0.07</x:v>
      </x:c>
      <x:c r="AL4646" s="87" t="str">
        <x:v>statgrad_clean_continuation_v0_07(1).xlsx</x:v>
      </x:c>
      <x:c r="AM4646" s="87" t="str">
        <x:v>MATH_Dec_0211</x:v>
      </x:c>
      <x:c r="AN4646" s="87" t="n">
        <x:v>5</x:v>
      </x:c>
    </x:row>
    <x:row r="4647">
      <x:c r="A4647" s="87" t="n">
        <x:v>4646</x:v>
      </x:c>
      <x:c r="B4647" s="87" t="str">
        <x:v>DEC-MATH-11-005</x:v>
      </x:c>
      <x:c r="C4647" s="87" t="str">
        <x:v>СтатГрад</x:v>
      </x:c>
      <x:c r="D4647" s="87" t="str">
        <x:v>Декабрь 2025</x:v>
      </x:c>
      <x:c r="E4647" s="87"/>
      <x:c r="F4647" s="87"/>
      <x:c r="G4647" s="87" t="str">
        <x:v>Математика</x:v>
      </x:c>
      <x:c r="H4647" s="87" t="n">
        <x:v>11</x:v>
      </x:c>
      <x:c r="I4647" s="87" t="str">
        <x:v>ТР №2</x:v>
      </x:c>
      <x:c r="J4647" s="87" t="str">
        <x:v>МА2510211</x:v>
      </x:c>
      <x:c r="K4647" s="87" t="n">
        <x:v>5</x:v>
      </x:c>
      <x:c r="L4647" s="87" t="str">
        <x:v>Независимые испытания</x:v>
      </x:c>
      <x:c r="M4647" s="30" t="str">
        <x:v>Перед началом волейбольного матча капитаны команд тянут честный жребий, чтобы определить, какая из команд начнёт игру с мячом. Команда «Стратор» по очереди играет с командами «Ротор», «Протор» и «Мотор». Найдите вероятность того, что «Стратор» будет начинать только вторую и последнюю игры.</x:v>
      </x:c>
      <x:c r="N4647" s="30" t="str">
        <x:v>0,125</x:v>
      </x:c>
      <x:c r="O4647" s="30" t="str">
        <x:v>Применена формула вероятности заданной последовательности независимых исходов.</x:v>
      </x:c>
      <x:c r="P4647" s="30" t="str">
        <x:v>Условие и полный визуал просмотрены; ответ пересчитан/логически проверен и совпал с LOCKED-ключом.</x:v>
      </x:c>
      <x:c r="Q4647" s="30"/>
      <x:c r="R4647" s="30" t="str">
        <x:v>0,125</x:v>
      </x:c>
      <x:c r="S4647" s="30"/>
      <x:c r="T4647" s="30" t="str">
        <x:v>Профиль.jpg (Восток)</x:v>
      </x:c>
      <x:c r="U4647" s="30" t="str">
        <x:v>Расхождений нет.</x:v>
      </x:c>
      <x:c r="V4647" s="87" t="str">
        <x:v>VERIFIED</x:v>
      </x:c>
      <x:c r="W4647" s="87"/>
      <x:c r="X4647" s="87" t="n">
        <x:v>3</x:v>
      </x:c>
      <x:c r="Y4647" s="87"/>
      <x:c r="Z4647" s="87"/>
      <x:c r="AA4647" s="87"/>
      <x:c r="AB4647" s="87" t="str">
        <x:v>таблица, строка 11</x:v>
      </x:c>
      <x:c r="AC4647" s="87" t="str">
        <x:v>VIS-MATH-DEC-PE-TASK-P003</x:v>
      </x:c>
      <x:c r="AD4647" s="87" t="str">
        <x:v>VIS-MATH-DEC-KEY-PE</x:v>
      </x:c>
      <x:c r="AE4647" s="87" t="str">
        <x:v>TASK; KEY</x:v>
      </x:c>
      <x:c r="AF4647" s="87" t="str">
        <x:v>VIS-MATH-DEC-PE-TASK-P003: 3; VIS-MATH-DEC-KEY-PE: 1</x:v>
      </x:c>
      <x:c r="AG4647" s="87" t="str">
        <x:v>RESOLVED</x:v>
      </x:c>
      <x:c r="AH4647" s="87" t="str">
        <x:v>CROP_VERIFIED</x:v>
      </x:c>
      <x:c r="AI4647" s="30" t="str">
        <x:v>{"Уровень": "Профильный"}</x:v>
      </x:c>
      <x:c r="AJ4647" s="87" t="str">
        <x:v>clean</x:v>
      </x:c>
      <x:c r="AK4647" s="87" t="str">
        <x:v>clean-v0.07</x:v>
      </x:c>
      <x:c r="AL4647" s="87" t="str">
        <x:v>statgrad_clean_continuation_v0_07(1).xlsx</x:v>
      </x:c>
      <x:c r="AM4647" s="87" t="str">
        <x:v>MATH_Dec_0211</x:v>
      </x:c>
      <x:c r="AN4647" s="87" t="n">
        <x:v>6</x:v>
      </x:c>
    </x:row>
    <x:row r="4648">
      <x:c r="A4648" s="87" t="n">
        <x:v>4647</x:v>
      </x:c>
      <x:c r="B4648" s="87" t="str">
        <x:v>DEC-MATH-11-006</x:v>
      </x:c>
      <x:c r="C4648" s="87" t="str">
        <x:v>СтатГрад</x:v>
      </x:c>
      <x:c r="D4648" s="87" t="str">
        <x:v>Декабрь 2025</x:v>
      </x:c>
      <x:c r="E4648" s="87"/>
      <x:c r="F4648" s="87"/>
      <x:c r="G4648" s="87" t="str">
        <x:v>Математика</x:v>
      </x:c>
      <x:c r="H4648" s="87" t="n">
        <x:v>11</x:v>
      </x:c>
      <x:c r="I4648" s="87" t="str">
        <x:v>ТР №2</x:v>
      </x:c>
      <x:c r="J4648" s="87" t="str">
        <x:v>МА2510211</x:v>
      </x:c>
      <x:c r="K4648" s="87" t="n">
        <x:v>6</x:v>
      </x:c>
      <x:c r="L4648" s="87" t="str">
        <x:v>Логарифмическое уравнение</x:v>
      </x:c>
      <x:c r="M4648" s="30" t="str">
        <x:v>Найдите корень уравнения ( ) ( ) 3 3 log 4 log 2 12 x x + = − .</x:v>
      </x:c>
      <x:c r="N4648" s="30" t="str">
        <x:v>16</x:v>
      </x:c>
      <x:c r="O4648" s="30" t="str">
        <x:v>Логарифмы одного основания объединены и решено полученное уравнение с ОДЗ.</x:v>
      </x:c>
      <x:c r="P4648" s="30" t="str">
        <x:v>Условие и полный визуал просмотрены; ответ пересчитан/логически проверен и совпал с LOCKED-ключом.</x:v>
      </x:c>
      <x:c r="Q4648" s="30"/>
      <x:c r="R4648" s="30" t="str">
        <x:v>16</x:v>
      </x:c>
      <x:c r="S4648" s="30"/>
      <x:c r="T4648" s="30" t="str">
        <x:v>Профиль.jpg (Восток)</x:v>
      </x:c>
      <x:c r="U4648" s="30" t="str">
        <x:v>Расхождений нет.</x:v>
      </x:c>
      <x:c r="V4648" s="87" t="str">
        <x:v>VERIFIED</x:v>
      </x:c>
      <x:c r="W4648" s="87"/>
      <x:c r="X4648" s="87" t="n">
        <x:v>3</x:v>
      </x:c>
      <x:c r="Y4648" s="87"/>
      <x:c r="Z4648" s="87"/>
      <x:c r="AA4648" s="87"/>
      <x:c r="AB4648" s="87" t="str">
        <x:v>таблица, строка 11</x:v>
      </x:c>
      <x:c r="AC4648" s="87" t="str">
        <x:v>VIS-MATH-DEC-PE-TASK-P003</x:v>
      </x:c>
      <x:c r="AD4648" s="87" t="str">
        <x:v>VIS-MATH-DEC-KEY-PE</x:v>
      </x:c>
      <x:c r="AE4648" s="87" t="str">
        <x:v>TASK; KEY</x:v>
      </x:c>
      <x:c r="AF4648" s="87" t="str">
        <x:v>VIS-MATH-DEC-PE-TASK-P003: 3; VIS-MATH-DEC-KEY-PE: 1</x:v>
      </x:c>
      <x:c r="AG4648" s="87" t="str">
        <x:v>RESOLVED</x:v>
      </x:c>
      <x:c r="AH4648" s="87" t="str">
        <x:v>CROP_VERIFIED</x:v>
      </x:c>
      <x:c r="AI4648" s="30" t="str">
        <x:v>{"Уровень": "Профильный"}</x:v>
      </x:c>
      <x:c r="AJ4648" s="87" t="str">
        <x:v>clean</x:v>
      </x:c>
      <x:c r="AK4648" s="87" t="str">
        <x:v>clean-v0.07</x:v>
      </x:c>
      <x:c r="AL4648" s="87" t="str">
        <x:v>statgrad_clean_continuation_v0_07(1).xlsx</x:v>
      </x:c>
      <x:c r="AM4648" s="87" t="str">
        <x:v>MATH_Dec_0211</x:v>
      </x:c>
      <x:c r="AN4648" s="87" t="n">
        <x:v>7</x:v>
      </x:c>
    </x:row>
    <x:row r="4649">
      <x:c r="A4649" s="87" t="n">
        <x:v>4648</x:v>
      </x:c>
      <x:c r="B4649" s="87" t="str">
        <x:v>DEC-MATH-11-007</x:v>
      </x:c>
      <x:c r="C4649" s="87" t="str">
        <x:v>СтатГрад</x:v>
      </x:c>
      <x:c r="D4649" s="87" t="str">
        <x:v>Декабрь 2025</x:v>
      </x:c>
      <x:c r="E4649" s="87"/>
      <x:c r="F4649" s="87"/>
      <x:c r="G4649" s="87" t="str">
        <x:v>Математика</x:v>
      </x:c>
      <x:c r="H4649" s="87" t="n">
        <x:v>11</x:v>
      </x:c>
      <x:c r="I4649" s="87" t="str">
        <x:v>ТР №2</x:v>
      </x:c>
      <x:c r="J4649" s="87" t="str">
        <x:v>МА2510211</x:v>
      </x:c>
      <x:c r="K4649" s="87" t="n">
        <x:v>7</x:v>
      </x:c>
      <x:c r="L4649" s="87" t="str">
        <x:v>Степени</x:v>
      </x:c>
      <x:c r="M4649" s="30" t="str">
        <x:v>Найдите значение выражения ( ) ( ) 3 5 10 6 3 6 : 6 x x x ⋅ при 60 x = .</x:v>
      </x:c>
      <x:c r="N4649" s="30" t="str">
        <x:v>5</x:v>
      </x:c>
      <x:c r="O4649" s="30" t="str">
        <x:v>Степени приведены к общему основанию, показатели сокращены.</x:v>
      </x:c>
      <x:c r="P4649" s="30" t="str">
        <x:v>Условие и полный визуал просмотрены; ответ пересчитан/логически проверен и совпал с LOCKED-ключом.</x:v>
      </x:c>
      <x:c r="Q4649" s="30"/>
      <x:c r="R4649" s="30" t="str">
        <x:v>5</x:v>
      </x:c>
      <x:c r="S4649" s="30"/>
      <x:c r="T4649" s="30" t="str">
        <x:v>Профиль.jpg (Восток)</x:v>
      </x:c>
      <x:c r="U4649" s="30" t="str">
        <x:v>Расхождений нет.</x:v>
      </x:c>
      <x:c r="V4649" s="87" t="str">
        <x:v>VERIFIED</x:v>
      </x:c>
      <x:c r="W4649" s="87"/>
      <x:c r="X4649" s="87" t="n">
        <x:v>3</x:v>
      </x:c>
      <x:c r="Y4649" s="87"/>
      <x:c r="Z4649" s="87"/>
      <x:c r="AA4649" s="87"/>
      <x:c r="AB4649" s="87" t="str">
        <x:v>таблица, строка 11</x:v>
      </x:c>
      <x:c r="AC4649" s="87" t="str">
        <x:v>VIS-MATH-DEC-PE-TASK-P003</x:v>
      </x:c>
      <x:c r="AD4649" s="87" t="str">
        <x:v>VIS-MATH-DEC-KEY-PE</x:v>
      </x:c>
      <x:c r="AE4649" s="87" t="str">
        <x:v>TASK; KEY</x:v>
      </x:c>
      <x:c r="AF4649" s="87" t="str">
        <x:v>VIS-MATH-DEC-PE-TASK-P003: 3; VIS-MATH-DEC-KEY-PE: 1</x:v>
      </x:c>
      <x:c r="AG4649" s="87" t="str">
        <x:v>RESOLVED</x:v>
      </x:c>
      <x:c r="AH4649" s="87" t="str">
        <x:v>CROP_VERIFIED</x:v>
      </x:c>
      <x:c r="AI4649" s="30" t="str">
        <x:v>{"Уровень": "Профильный"}</x:v>
      </x:c>
      <x:c r="AJ4649" s="87" t="str">
        <x:v>clean</x:v>
      </x:c>
      <x:c r="AK4649" s="87" t="str">
        <x:v>clean-v0.07</x:v>
      </x:c>
      <x:c r="AL4649" s="87" t="str">
        <x:v>statgrad_clean_continuation_v0_07(1).xlsx</x:v>
      </x:c>
      <x:c r="AM4649" s="87" t="str">
        <x:v>MATH_Dec_0211</x:v>
      </x:c>
      <x:c r="AN4649" s="87" t="n">
        <x:v>8</x:v>
      </x:c>
    </x:row>
    <x:row r="4650">
      <x:c r="A4650" s="87" t="n">
        <x:v>4649</x:v>
      </x:c>
      <x:c r="B4650" s="87" t="str">
        <x:v>DEC-MATH-11-008</x:v>
      </x:c>
      <x:c r="C4650" s="87" t="str">
        <x:v>СтатГрад</x:v>
      </x:c>
      <x:c r="D4650" s="87" t="str">
        <x:v>Декабрь 2025</x:v>
      </x:c>
      <x:c r="E4650" s="87"/>
      <x:c r="F4650" s="87"/>
      <x:c r="G4650" s="87" t="str">
        <x:v>Математика</x:v>
      </x:c>
      <x:c r="H4650" s="87" t="n">
        <x:v>11</x:v>
      </x:c>
      <x:c r="I4650" s="87" t="str">
        <x:v>ТР №2</x:v>
      </x:c>
      <x:c r="J4650" s="87" t="str">
        <x:v>МА2510211</x:v>
      </x:c>
      <x:c r="K4650" s="87" t="n">
        <x:v>8</x:v>
      </x:c>
      <x:c r="L4650" s="87" t="str">
        <x:v>График производной</x:v>
      </x:c>
      <x:c r="M4650" s="30" t="str">
        <x:v>На рисунке изображён график функции ( ) y f ' x = — производной функции ( ) f x , определённой на интервале ( ) 22; 2 − . Найдите количество точек минимума функции ( ) f x , принадлежащих отрезку [ ] 17; 0 − . y 1 −22 0 2 x</x:v>
      </x:c>
      <x:c r="N4650" s="30" t="str">
        <x:v>3</x:v>
      </x:c>
      <x:c r="O4650" s="30" t="str">
        <x:v>Точки экстремума определены по смене знака производной на графике.</x:v>
      </x:c>
      <x:c r="P4650" s="30" t="str">
        <x:v>Условие и полный визуал просмотрены; ответ пересчитан/логически проверен и совпал с LOCKED-ключом.</x:v>
      </x:c>
      <x:c r="Q4650" s="30"/>
      <x:c r="R4650" s="30" t="str">
        <x:v>3</x:v>
      </x:c>
      <x:c r="S4650" s="30"/>
      <x:c r="T4650" s="30" t="str">
        <x:v>Профиль.jpg (Восток)</x:v>
      </x:c>
      <x:c r="U4650" s="30" t="str">
        <x:v>Расхождений нет.</x:v>
      </x:c>
      <x:c r="V4650" s="87" t="str">
        <x:v>VERIFIED</x:v>
      </x:c>
      <x:c r="W4650" s="87"/>
      <x:c r="X4650" s="87" t="n">
        <x:v>3</x:v>
      </x:c>
      <x:c r="Y4650" s="87"/>
      <x:c r="Z4650" s="87"/>
      <x:c r="AA4650" s="87"/>
      <x:c r="AB4650" s="87" t="str">
        <x:v>таблица, строка 11</x:v>
      </x:c>
      <x:c r="AC4650" s="87" t="str">
        <x:v>VIS-MATH-DEC-PE-TASK-P003</x:v>
      </x:c>
      <x:c r="AD4650" s="87" t="str">
        <x:v>VIS-MATH-DEC-KEY-PE</x:v>
      </x:c>
      <x:c r="AE4650" s="87" t="str">
        <x:v>TASK; KEY</x:v>
      </x:c>
      <x:c r="AF4650" s="87" t="str">
        <x:v>VIS-MATH-DEC-PE-TASK-P003: 3; VIS-MATH-DEC-KEY-PE: 1</x:v>
      </x:c>
      <x:c r="AG4650" s="87" t="str">
        <x:v>RESOLVED</x:v>
      </x:c>
      <x:c r="AH4650" s="87" t="str">
        <x:v>CROP_VERIFIED; TASK_CROP_QA_APPROVED:USE_TIGHT</x:v>
      </x:c>
      <x:c r="AI4650" s="30" t="str">
        <x:v>{"Уровень": "Профильный"}</x:v>
      </x:c>
      <x:c r="AJ4650" s="87" t="str">
        <x:v>clean</x:v>
      </x:c>
      <x:c r="AK4650" s="87" t="str">
        <x:v>clean-v0.07</x:v>
      </x:c>
      <x:c r="AL4650" s="87" t="str">
        <x:v>statgrad_clean_continuation_v0_07(1).xlsx</x:v>
      </x:c>
      <x:c r="AM4650" s="87" t="str">
        <x:v>MATH_Dec_0211</x:v>
      </x:c>
      <x:c r="AN4650" s="87" t="n">
        <x:v>9</x:v>
      </x:c>
    </x:row>
    <x:row r="4651">
      <x:c r="A4651" s="87" t="n">
        <x:v>4650</x:v>
      </x:c>
      <x:c r="B4651" s="87" t="str">
        <x:v>DEC-MATH-11-009</x:v>
      </x:c>
      <x:c r="C4651" s="87" t="str">
        <x:v>СтатГрад</x:v>
      </x:c>
      <x:c r="D4651" s="87" t="str">
        <x:v>Декабрь 2025</x:v>
      </x:c>
      <x:c r="E4651" s="87"/>
      <x:c r="F4651" s="87"/>
      <x:c r="G4651" s="87" t="str">
        <x:v>Математика</x:v>
      </x:c>
      <x:c r="H4651" s="87" t="n">
        <x:v>11</x:v>
      </x:c>
      <x:c r="I4651" s="87" t="str">
        <x:v>ТР №2</x:v>
      </x:c>
      <x:c r="J4651" s="87" t="str">
        <x:v>МА2510211</x:v>
      </x:c>
      <x:c r="K4651" s="87" t="n">
        <x:v>9</x:v>
      </x:c>
      <x:c r="L4651" s="87" t="str">
        <x:v>Прикладная формула</x:v>
      </x:c>
      <x:c r="M4651" s="30" t="str">
        <x:v>В боковой стенке высокого цилиндрического бака у самого дна закреплён кран. После его открытия вода начинает вытекать из бака, при этом высота столба воды в нём, выраженная в метрах, меняется по закону ( ) 2 2 0 0 2 2 g H t H gH kt k t = − ⋅ + , где t — время в секундах, прошедшее с момента открытия крана, 0 5 H = м — начальная высота столба воды, 1 800 k = — отношение площадей поперечных сечений крана и бака, а g — ускорение свободного падения (считайте, что 2 10 м / с g = ). Через сколько секунд после открытия крана в баке останется четверть первоначального объёма воды?</x:v>
      </x:c>
      <x:c r="N4651" s="30" t="str">
        <x:v>400</x:v>
      </x:c>
      <x:c r="O4651" s="30" t="str">
        <x:v>В прикладную формулу подставлены данные и выражена искомая величина.</x:v>
      </x:c>
      <x:c r="P4651" s="30" t="str">
        <x:v>Условие и полный визуал просмотрены; ответ пересчитан/логически проверен и совпал с LOCKED-ключом.</x:v>
      </x:c>
      <x:c r="Q4651" s="30"/>
      <x:c r="R4651" s="30" t="str">
        <x:v>400</x:v>
      </x:c>
      <x:c r="S4651" s="30"/>
      <x:c r="T4651" s="30" t="str">
        <x:v>Профиль.jpg (Восток)</x:v>
      </x:c>
      <x:c r="U4651" s="30" t="str">
        <x:v>Расхождений нет.</x:v>
      </x:c>
      <x:c r="V4651" s="87" t="str">
        <x:v>VERIFIED</x:v>
      </x:c>
      <x:c r="W4651" s="87"/>
      <x:c r="X4651" s="87" t="n">
        <x:v>4</x:v>
      </x:c>
      <x:c r="Y4651" s="87"/>
      <x:c r="Z4651" s="87"/>
      <x:c r="AA4651" s="87"/>
      <x:c r="AB4651" s="87" t="str">
        <x:v>таблица, строка 11</x:v>
      </x:c>
      <x:c r="AC4651" s="87" t="str">
        <x:v>VIS-MATH-DEC-PE-TASK-P004</x:v>
      </x:c>
      <x:c r="AD4651" s="87" t="str">
        <x:v>VIS-MATH-DEC-KEY-PE</x:v>
      </x:c>
      <x:c r="AE4651" s="87" t="str">
        <x:v>TASK; KEY</x:v>
      </x:c>
      <x:c r="AF4651" s="87" t="str">
        <x:v>VIS-MATH-DEC-PE-TASK-P004: 4; VIS-MATH-DEC-KEY-PE: 1</x:v>
      </x:c>
      <x:c r="AG4651" s="87" t="str">
        <x:v>RESOLVED</x:v>
      </x:c>
      <x:c r="AH4651" s="87" t="str">
        <x:v>CROP_VERIFIED</x:v>
      </x:c>
      <x:c r="AI4651" s="30" t="str">
        <x:v>{"Уровень": "Профильный"}</x:v>
      </x:c>
      <x:c r="AJ4651" s="87" t="str">
        <x:v>clean</x:v>
      </x:c>
      <x:c r="AK4651" s="87" t="str">
        <x:v>clean-v0.07</x:v>
      </x:c>
      <x:c r="AL4651" s="87" t="str">
        <x:v>statgrad_clean_continuation_v0_07(1).xlsx</x:v>
      </x:c>
      <x:c r="AM4651" s="87" t="str">
        <x:v>MATH_Dec_0211</x:v>
      </x:c>
      <x:c r="AN4651" s="87" t="n">
        <x:v>10</x:v>
      </x:c>
    </x:row>
    <x:row r="4652">
      <x:c r="A4652" s="87" t="n">
        <x:v>4651</x:v>
      </x:c>
      <x:c r="B4652" s="87" t="str">
        <x:v>DEC-MATH-11-010</x:v>
      </x:c>
      <x:c r="C4652" s="87" t="str">
        <x:v>СтатГрад</x:v>
      </x:c>
      <x:c r="D4652" s="87" t="str">
        <x:v>Декабрь 2025</x:v>
      </x:c>
      <x:c r="E4652" s="87"/>
      <x:c r="F4652" s="87"/>
      <x:c r="G4652" s="87" t="str">
        <x:v>Математика</x:v>
      </x:c>
      <x:c r="H4652" s="87" t="n">
        <x:v>11</x:v>
      </x:c>
      <x:c r="I4652" s="87" t="str">
        <x:v>ТР №2</x:v>
      </x:c>
      <x:c r="J4652" s="87" t="str">
        <x:v>МА2510211</x:v>
      </x:c>
      <x:c r="K4652" s="87" t="n">
        <x:v>10</x:v>
      </x:c>
      <x:c r="L4652" s="87" t="str">
        <x:v>Задача на движение</x:v>
      </x:c>
      <x:c r="M4652" s="30" t="str">
        <x:v>Теплоход, скорость которого в неподвижной воде равна 16 км/ч, проходит по течению реки и после стоянки возвращается в исходный пункт. Скорость течения равна 4 км/ч, стоянка длится 4 часа, а в исходный пункт теплоход возвращается через 42 часа после отплытия из него. Сколько километров проходит теплоход за весь рейс?</x:v>
      </x:c>
      <x:c r="N4652" s="30" t="str">
        <x:v>570</x:v>
      </x:c>
      <x:c r="O4652" s="30" t="str">
        <x:v>Составлено уравнение времени движения с учётом течения и стоянки.</x:v>
      </x:c>
      <x:c r="P4652" s="30" t="str">
        <x:v>Условие и полный визуал просмотрены; ответ пересчитан/логически проверен и совпал с LOCKED-ключом.</x:v>
      </x:c>
      <x:c r="Q4652" s="30"/>
      <x:c r="R4652" s="30" t="str">
        <x:v>570</x:v>
      </x:c>
      <x:c r="S4652" s="30"/>
      <x:c r="T4652" s="30" t="str">
        <x:v>Профиль.jpg (Восток)</x:v>
      </x:c>
      <x:c r="U4652" s="30" t="str">
        <x:v>Расхождений нет.</x:v>
      </x:c>
      <x:c r="V4652" s="87" t="str">
        <x:v>VERIFIED</x:v>
      </x:c>
      <x:c r="W4652" s="87"/>
      <x:c r="X4652" s="87" t="n">
        <x:v>4</x:v>
      </x:c>
      <x:c r="Y4652" s="87"/>
      <x:c r="Z4652" s="87"/>
      <x:c r="AA4652" s="87"/>
      <x:c r="AB4652" s="87" t="str">
        <x:v>таблица, строка 11</x:v>
      </x:c>
      <x:c r="AC4652" s="87" t="str">
        <x:v>VIS-MATH-DEC-PE-TASK-P004</x:v>
      </x:c>
      <x:c r="AD4652" s="87" t="str">
        <x:v>VIS-MATH-DEC-KEY-PE</x:v>
      </x:c>
      <x:c r="AE4652" s="87" t="str">
        <x:v>TASK; KEY</x:v>
      </x:c>
      <x:c r="AF4652" s="87" t="str">
        <x:v>VIS-MATH-DEC-PE-TASK-P004: 4; VIS-MATH-DEC-KEY-PE: 1</x:v>
      </x:c>
      <x:c r="AG4652" s="87" t="str">
        <x:v>RESOLVED</x:v>
      </x:c>
      <x:c r="AH4652" s="87" t="str">
        <x:v>CROP_VERIFIED</x:v>
      </x:c>
      <x:c r="AI4652" s="30" t="str">
        <x:v>{"Уровень": "Профильный"}</x:v>
      </x:c>
      <x:c r="AJ4652" s="87" t="str">
        <x:v>clean</x:v>
      </x:c>
      <x:c r="AK4652" s="87" t="str">
        <x:v>clean-v0.07</x:v>
      </x:c>
      <x:c r="AL4652" s="87" t="str">
        <x:v>statgrad_clean_continuation_v0_07(1).xlsx</x:v>
      </x:c>
      <x:c r="AM4652" s="87" t="str">
        <x:v>MATH_Dec_0211</x:v>
      </x:c>
      <x:c r="AN4652" s="87" t="n">
        <x:v>11</x:v>
      </x:c>
    </x:row>
    <x:row r="4653">
      <x:c r="A4653" s="87" t="n">
        <x:v>4652</x:v>
      </x:c>
      <x:c r="B4653" s="87" t="str">
        <x:v>DEC-MATH-11-011</x:v>
      </x:c>
      <x:c r="C4653" s="87" t="str">
        <x:v>СтатГрад</x:v>
      </x:c>
      <x:c r="D4653" s="87" t="str">
        <x:v>Декабрь 2025</x:v>
      </x:c>
      <x:c r="E4653" s="87"/>
      <x:c r="F4653" s="87"/>
      <x:c r="G4653" s="87" t="str">
        <x:v>Математика</x:v>
      </x:c>
      <x:c r="H4653" s="87" t="n">
        <x:v>11</x:v>
      </x:c>
      <x:c r="I4653" s="87" t="str">
        <x:v>ТР №2</x:v>
      </x:c>
      <x:c r="J4653" s="87" t="str">
        <x:v>МА2510211</x:v>
      </x:c>
      <x:c r="K4653" s="87" t="n">
        <x:v>11</x:v>
      </x:c>
      <x:c r="L4653" s="87" t="str">
        <x:v>Графики функций</x:v>
      </x:c>
      <x:c r="M4653" s="30" t="str">
        <x:v>На рисунке изображены графики функций ( ) k f x x = и ( ) g x ax b = + , которые пересекаются в точках A и B . Найдите абсциссу точки B . y 1 x 0 1 A</x:v>
      </x:c>
      <x:c r="N4653" s="30" t="str">
        <x:v>0,2</x:v>
      </x:c>
      <x:c r="O4653" s="30" t="str">
        <x:v>Координата точки пересечения считана/вычислена по графикам.</x:v>
      </x:c>
      <x:c r="P4653" s="30" t="str">
        <x:v>Условие и полный визуал просмотрены; ответ пересчитан/логически проверен и совпал с LOCKED-ключом.</x:v>
      </x:c>
      <x:c r="Q4653" s="30"/>
      <x:c r="R4653" s="30" t="str">
        <x:v>0,2</x:v>
      </x:c>
      <x:c r="S4653" s="30"/>
      <x:c r="T4653" s="30" t="str">
        <x:v>Профиль.jpg (Восток)</x:v>
      </x:c>
      <x:c r="U4653" s="30" t="str">
        <x:v>Расхождений нет.</x:v>
      </x:c>
      <x:c r="V4653" s="87" t="str">
        <x:v>VERIFIED</x:v>
      </x:c>
      <x:c r="W4653" s="87"/>
      <x:c r="X4653" s="87" t="n">
        <x:v>4</x:v>
      </x:c>
      <x:c r="Y4653" s="87"/>
      <x:c r="Z4653" s="87"/>
      <x:c r="AA4653" s="87"/>
      <x:c r="AB4653" s="87" t="str">
        <x:v>таблица, строка 11</x:v>
      </x:c>
      <x:c r="AC4653" s="87" t="str">
        <x:v>VIS-MATH-DEC-PE-TASK-P004</x:v>
      </x:c>
      <x:c r="AD4653" s="87" t="str">
        <x:v>VIS-MATH-DEC-KEY-PE</x:v>
      </x:c>
      <x:c r="AE4653" s="87" t="str">
        <x:v>TASK; KEY</x:v>
      </x:c>
      <x:c r="AF4653" s="87" t="str">
        <x:v>VIS-MATH-DEC-PE-TASK-P004: 4; VIS-MATH-DEC-KEY-PE: 1</x:v>
      </x:c>
      <x:c r="AG4653" s="87" t="str">
        <x:v>RESOLVED</x:v>
      </x:c>
      <x:c r="AH4653" s="87" t="str">
        <x:v>CROP_VERIFIED; TASK_CROP_QA_APPROVED:USE_TIGHT</x:v>
      </x:c>
      <x:c r="AI4653" s="30" t="str">
        <x:v>{"Уровень": "Профильный"}</x:v>
      </x:c>
      <x:c r="AJ4653" s="87" t="str">
        <x:v>clean</x:v>
      </x:c>
      <x:c r="AK4653" s="87" t="str">
        <x:v>clean-v0.07</x:v>
      </x:c>
      <x:c r="AL4653" s="87" t="str">
        <x:v>statgrad_clean_continuation_v0_07(1).xlsx</x:v>
      </x:c>
      <x:c r="AM4653" s="87" t="str">
        <x:v>MATH_Dec_0211</x:v>
      </x:c>
      <x:c r="AN4653" s="87" t="n">
        <x:v>12</x:v>
      </x:c>
    </x:row>
    <x:row r="4654">
      <x:c r="A4654" s="87" t="n">
        <x:v>4653</x:v>
      </x:c>
      <x:c r="B4654" s="87" t="str">
        <x:v>DEC-MATH-11-012</x:v>
      </x:c>
      <x:c r="C4654" s="87" t="str">
        <x:v>СтатГрад</x:v>
      </x:c>
      <x:c r="D4654" s="87" t="str">
        <x:v>Декабрь 2025</x:v>
      </x:c>
      <x:c r="E4654" s="87"/>
      <x:c r="F4654" s="87"/>
      <x:c r="G4654" s="87" t="str">
        <x:v>Математика</x:v>
      </x:c>
      <x:c r="H4654" s="87" t="n">
        <x:v>11</x:v>
      </x:c>
      <x:c r="I4654" s="87" t="str">
        <x:v>ТР №2</x:v>
      </x:c>
      <x:c r="J4654" s="87" t="str">
        <x:v>МА2510211</x:v>
      </x:c>
      <x:c r="K4654" s="87" t="n">
        <x:v>12</x:v>
      </x:c>
      <x:c r="L4654" s="87" t="str">
        <x:v>Исследование функции</x:v>
      </x:c>
      <x:c r="M4654" s="30" t="str">
        <x:v>Найдите наибольшее значение функции 5 3 3 5 15 y x x = − + на отрезке [ ] 4; 0 − . Часть 2 Для записи решений и ответов на задания 13–19 используйте отдельный лист. Запишите сначала номер выполняемого задания (13, 14 и т. д.), а затем полное обоснованное решение и ответ. Ответы записывайте чётко и разборчиво.</x:v>
      </x:c>
      <x:c r="N4654" s="30" t="str">
        <x:v>17</x:v>
      </x:c>
      <x:c r="O4654" s="30" t="str">
        <x:v>Проверены критические точки и концы заданного отрезка.</x:v>
      </x:c>
      <x:c r="P4654" s="30" t="str">
        <x:v>Условие и полный визуал просмотрены; ответ пересчитан/логически проверен и совпал с LOCKED-ключом.</x:v>
      </x:c>
      <x:c r="Q4654" s="30"/>
      <x:c r="R4654" s="30" t="str">
        <x:v>17</x:v>
      </x:c>
      <x:c r="S4654" s="30"/>
      <x:c r="T4654" s="30" t="str">
        <x:v>Профиль.jpg (Восток)</x:v>
      </x:c>
      <x:c r="U4654" s="30" t="str">
        <x:v>Расхождений нет.</x:v>
      </x:c>
      <x:c r="V4654" s="87" t="str">
        <x:v>VERIFIED</x:v>
      </x:c>
      <x:c r="W4654" s="87"/>
      <x:c r="X4654" s="87" t="n">
        <x:v>5</x:v>
      </x:c>
      <x:c r="Y4654" s="87"/>
      <x:c r="Z4654" s="87"/>
      <x:c r="AA4654" s="87"/>
      <x:c r="AB4654" s="87" t="str">
        <x:v>таблица, строка 11</x:v>
      </x:c>
      <x:c r="AC4654" s="87" t="str">
        <x:v>VIS-MATH-DEC-PE-TASK-P005</x:v>
      </x:c>
      <x:c r="AD4654" s="87" t="str">
        <x:v>VIS-MATH-DEC-KEY-PE</x:v>
      </x:c>
      <x:c r="AE4654" s="87" t="str">
        <x:v>TASK; KEY</x:v>
      </x:c>
      <x:c r="AF4654" s="87" t="str">
        <x:v>VIS-MATH-DEC-PE-TASK-P005: 5; VIS-MATH-DEC-KEY-PE: 1</x:v>
      </x:c>
      <x:c r="AG4654" s="87" t="str">
        <x:v>RESOLVED</x:v>
      </x:c>
      <x:c r="AH4654" s="87" t="str">
        <x:v>CROP_VERIFIED</x:v>
      </x:c>
      <x:c r="AI4654" s="30" t="str">
        <x:v>{"Уровень": "Профильный"}</x:v>
      </x:c>
      <x:c r="AJ4654" s="87" t="str">
        <x:v>clean</x:v>
      </x:c>
      <x:c r="AK4654" s="87" t="str">
        <x:v>clean-v0.07</x:v>
      </x:c>
      <x:c r="AL4654" s="87" t="str">
        <x:v>statgrad_clean_continuation_v0_07(1).xlsx</x:v>
      </x:c>
      <x:c r="AM4654" s="87" t="str">
        <x:v>MATH_Dec_0211</x:v>
      </x:c>
      <x:c r="AN4654" s="87" t="n">
        <x:v>13</x:v>
      </x:c>
    </x:row>
    <x:row r="4655">
      <x:c r="A4655" s="87" t="n">
        <x:v>4654</x:v>
      </x:c>
      <x:c r="B4655" s="87" t="str">
        <x:v>DEC-MATH-11-013</x:v>
      </x:c>
      <x:c r="C4655" s="87" t="str">
        <x:v>СтатГрад</x:v>
      </x:c>
      <x:c r="D4655" s="87" t="str">
        <x:v>Декабрь 2025</x:v>
      </x:c>
      <x:c r="E4655" s="87"/>
      <x:c r="F4655" s="87"/>
      <x:c r="G4655" s="87" t="str">
        <x:v>Математика</x:v>
      </x:c>
      <x:c r="H4655" s="87" t="n">
        <x:v>11</x:v>
      </x:c>
      <x:c r="I4655" s="87" t="str">
        <x:v>ТР №2</x:v>
      </x:c>
      <x:c r="J4655" s="87" t="str">
        <x:v>МА2510211</x:v>
      </x:c>
      <x:c r="K4655" s="87" t="n">
        <x:v>13</x:v>
      </x:c>
      <x:c r="L4655" s="87" t="str">
        <x:v>Тригонометрическое уравнение</x:v>
      </x:c>
      <x:c r="M4655" s="30" t="str">
        <x:v>а) Решите уравнение ( ) ( ) sin sin 0 2 2 x x π − − −π = . б) Найдите все корни этого уравнения, принадлежащие отрезку [ ] 8 ; 5 −π −π .</x:v>
      </x:c>
      <x:c r="N4655" s="30" t="str">
        <x:v>а) x=π+2πn; x=−5π/3+4πm; x=−π/3+4πl; б) −5π, −7π, −17π/3</x:v>
      </x:c>
      <x:c r="O4655" s="30" t="str">
        <x:v>Тригонометрическое уравнение разложено на множители; затем отобраны корни на отрезке.</x:v>
      </x:c>
      <x:c r="P4655" s="30" t="str">
        <x:v>Развёрнутое решение и итоговый ответ сверены с официальными критериями; ключевые преобразования проверены независимо.</x:v>
      </x:c>
      <x:c r="Q4655" s="30"/>
      <x:c r="R4655" s="30" t="str">
        <x:v>а) x=π+2πn; x=−5π/3+4πm; x=−π/3+4πl; б) −5π, −7π, −17π/3</x:v>
      </x:c>
      <x:c r="S4655" s="30"/>
      <x:c r="T4655" s="30" t="str">
        <x:v>Kriterii_MA11_18122025_vostok.pdf</x:v>
      </x:c>
      <x:c r="U4655" s="30" t="str">
        <x:v>Расхождений нет.</x:v>
      </x:c>
      <x:c r="V4655" s="87" t="str">
        <x:v>VERIFIED</x:v>
      </x:c>
      <x:c r="W4655" s="87"/>
      <x:c r="X4655" s="87" t="n">
        <x:v>5</x:v>
      </x:c>
      <x:c r="Y4655" s="87"/>
      <x:c r="Z4655" s="87"/>
      <x:c r="AA4655" s="87"/>
      <x:c r="AB4655" s="87" t="str">
        <x:v>стр. 1</x:v>
      </x:c>
      <x:c r="AC4655" s="87" t="str">
        <x:v>VIS-MATH-DEC-PE-TASK-P005</x:v>
      </x:c>
      <x:c r="AD4655" s="87" t="str">
        <x:v>VIS-MATH-DEC-CE-CRIT-P001</x:v>
      </x:c>
      <x:c r="AE4655" s="87" t="str">
        <x:v>TASK; CRIT</x:v>
      </x:c>
      <x:c r="AF4655" s="87" t="str">
        <x:v>VIS-MATH-DEC-PE-TASK-P005: 5; VIS-MATH-DEC-CE-CRIT-P001: 1</x:v>
      </x:c>
      <x:c r="AG4655" s="87" t="str">
        <x:v>RESOLVED</x:v>
      </x:c>
      <x:c r="AH4655" s="87" t="str">
        <x:v>CROP_VERIFIED</x:v>
      </x:c>
      <x:c r="AI4655" s="30" t="str">
        <x:v>{"Уровень": "Профильный"}</x:v>
      </x:c>
      <x:c r="AJ4655" s="87" t="str">
        <x:v>clean</x:v>
      </x:c>
      <x:c r="AK4655" s="87" t="str">
        <x:v>clean-v0.07</x:v>
      </x:c>
      <x:c r="AL4655" s="87" t="str">
        <x:v>statgrad_clean_continuation_v0_07(1).xlsx</x:v>
      </x:c>
      <x:c r="AM4655" s="87" t="str">
        <x:v>MATH_Dec_0211</x:v>
      </x:c>
      <x:c r="AN4655" s="87" t="n">
        <x:v>14</x:v>
      </x:c>
    </x:row>
    <x:row r="4656">
      <x:c r="A4656" s="87" t="n">
        <x:v>4655</x:v>
      </x:c>
      <x:c r="B4656" s="87" t="str">
        <x:v>DEC-MATH-11-014</x:v>
      </x:c>
      <x:c r="C4656" s="87" t="str">
        <x:v>СтатГрад</x:v>
      </x:c>
      <x:c r="D4656" s="87" t="str">
        <x:v>Декабрь 2025</x:v>
      </x:c>
      <x:c r="E4656" s="87"/>
      <x:c r="F4656" s="87"/>
      <x:c r="G4656" s="87" t="str">
        <x:v>Математика</x:v>
      </x:c>
      <x:c r="H4656" s="87" t="n">
        <x:v>11</x:v>
      </x:c>
      <x:c r="I4656" s="87" t="str">
        <x:v>ТР №2</x:v>
      </x:c>
      <x:c r="J4656" s="87" t="str">
        <x:v>МА2510211</x:v>
      </x:c>
      <x:c r="K4656" s="87" t="n">
        <x:v>14</x:v>
      </x:c>
      <x:c r="L4656" s="87" t="str">
        <x:v>Стереометрия: доказательство и вычисление</x:v>
      </x:c>
      <x:c r="M4656" s="30" t="str">
        <x:v>В правильной треугольной призме 1 1 1 ABCA B C отметили точки M и K на рёбрах 1 AA и 1 1 A B соответственно. Известно, что 1 2 3 , A M MA = 1 1. A K KB = Через точки M и K провели плоскость α перпендикулярно грани 1 1. ABB A а) Докажите, что плоскость α проходит через вершину 1. C б) Найдите площадь сечения призмы 1 1 1 ABCA B C плоскостью α, если все рёбра призмы равны 20.</x:v>
      </x:c>
      <x:c r="N4656" s="30" t="str">
        <x:v>а) плоскость α проходит через C₁; б) 10√183</x:v>
      </x:c>
      <x:c r="O4656" s="30" t="str">
        <x:v>Перпендикулярность плоскостей сведена к перпендикулярности прямых; площадь сечения найдена через прямоугольный треугольник.</x:v>
      </x:c>
      <x:c r="P4656" s="30" t="str">
        <x:v>Развёрнутое решение и итоговый ответ сверены с официальными критериями; ключевые преобразования проверены независимо.</x:v>
      </x:c>
      <x:c r="Q4656" s="30"/>
      <x:c r="R4656" s="30" t="str">
        <x:v>а) плоскость α проходит через C₁; б) 10√183</x:v>
      </x:c>
      <x:c r="S4656" s="30"/>
      <x:c r="T4656" s="30" t="str">
        <x:v>Kriterii_MA11_18122025_vostok.pdf</x:v>
      </x:c>
      <x:c r="U4656" s="30" t="str">
        <x:v>Расхождений нет.</x:v>
      </x:c>
      <x:c r="V4656" s="87" t="str">
        <x:v>VERIFIED</x:v>
      </x:c>
      <x:c r="W4656" s="87"/>
      <x:c r="X4656" s="87" t="n">
        <x:v>5</x:v>
      </x:c>
      <x:c r="Y4656" s="87"/>
      <x:c r="Z4656" s="87"/>
      <x:c r="AA4656" s="87"/>
      <x:c r="AB4656" s="87" t="str">
        <x:v>стр. 2, 3</x:v>
      </x:c>
      <x:c r="AC4656" s="87" t="str">
        <x:v>VIS-MATH-DEC-PE-TASK-P005</x:v>
      </x:c>
      <x:c r="AD4656" s="87" t="str">
        <x:v>VIS-MATH-DEC-CE-CRIT-P002; VIS-MATH-DEC-CE-CRIT-P003</x:v>
      </x:c>
      <x:c r="AE4656" s="87" t="str">
        <x:v>TASK; CRIT</x:v>
      </x:c>
      <x:c r="AF4656" s="87" t="str">
        <x:v>VIS-MATH-DEC-PE-TASK-P005: 5; VIS-MATH-DEC-CE-CRIT-P002: 2; VIS-MATH-DEC-CE-CRIT-P003: 3</x:v>
      </x:c>
      <x:c r="AG4656" s="87" t="str">
        <x:v>RESOLVED</x:v>
      </x:c>
      <x:c r="AH4656" s="87" t="str">
        <x:v>CROP_VERIFIED</x:v>
      </x:c>
      <x:c r="AI4656" s="30" t="str">
        <x:v>{"Уровень": "Профильный"}</x:v>
      </x:c>
      <x:c r="AJ4656" s="87" t="str">
        <x:v>clean</x:v>
      </x:c>
      <x:c r="AK4656" s="87" t="str">
        <x:v>clean-v0.07</x:v>
      </x:c>
      <x:c r="AL4656" s="87" t="str">
        <x:v>statgrad_clean_continuation_v0_07(1).xlsx</x:v>
      </x:c>
      <x:c r="AM4656" s="87" t="str">
        <x:v>MATH_Dec_0211</x:v>
      </x:c>
      <x:c r="AN4656" s="87" t="n">
        <x:v>15</x:v>
      </x:c>
    </x:row>
    <x:row r="4657">
      <x:c r="A4657" s="87" t="n">
        <x:v>4656</x:v>
      </x:c>
      <x:c r="B4657" s="87" t="str">
        <x:v>DEC-MATH-11-015</x:v>
      </x:c>
      <x:c r="C4657" s="87" t="str">
        <x:v>СтатГрад</x:v>
      </x:c>
      <x:c r="D4657" s="87" t="str">
        <x:v>Декабрь 2025</x:v>
      </x:c>
      <x:c r="E4657" s="87"/>
      <x:c r="F4657" s="87"/>
      <x:c r="G4657" s="87" t="str">
        <x:v>Математика</x:v>
      </x:c>
      <x:c r="H4657" s="87" t="n">
        <x:v>11</x:v>
      </x:c>
      <x:c r="I4657" s="87" t="str">
        <x:v>ТР №2</x:v>
      </x:c>
      <x:c r="J4657" s="87" t="str">
        <x:v>МА2510211</x:v>
      </x:c>
      <x:c r="K4657" s="87" t="n">
        <x:v>15</x:v>
      </x:c>
      <x:c r="L4657" s="87" t="str">
        <x:v>Логарифмическое неравенство</x:v>
      </x:c>
      <x:c r="M4657" s="30" t="str">
        <x:v>Решите неравенство ( ) ( ) ( ) ( ) 6 26 log 6 log 26 2 2 6 log 6 26 3 log 5 x x x x − + + − ≥ − .</x:v>
      </x:c>
      <x:c r="N4657" s="30" t="str">
        <x:v>[−4;0) ∪ (5;6)</x:v>
      </x:c>
      <x:c r="O4657" s="30" t="str">
        <x:v>Логарифмическое выражение упрощено с обязательным учётом ОДЗ; решена система неравенств.</x:v>
      </x:c>
      <x:c r="P4657" s="30" t="str">
        <x:v>Развёрнутое решение и итоговый ответ сверены с официальными критериями; ключевые преобразования проверены независимо.</x:v>
      </x:c>
      <x:c r="Q4657" s="30"/>
      <x:c r="R4657" s="30" t="str">
        <x:v>[−4;0) ∪ (5;6)</x:v>
      </x:c>
      <x:c r="S4657" s="30"/>
      <x:c r="T4657" s="30" t="str">
        <x:v>Kriterii_MA11_18122025_vostok.pdf</x:v>
      </x:c>
      <x:c r="U4657" s="30" t="str">
        <x:v>Расхождений нет.</x:v>
      </x:c>
      <x:c r="V4657" s="87" t="str">
        <x:v>VERIFIED</x:v>
      </x:c>
      <x:c r="W4657" s="87"/>
      <x:c r="X4657" s="87" t="n">
        <x:v>5</x:v>
      </x:c>
      <x:c r="Y4657" s="87"/>
      <x:c r="Z4657" s="87"/>
      <x:c r="AA4657" s="87"/>
      <x:c r="AB4657" s="87" t="str">
        <x:v>стр. 3, 4</x:v>
      </x:c>
      <x:c r="AC4657" s="87" t="str">
        <x:v>VIS-MATH-DEC-PE-TASK-P005</x:v>
      </x:c>
      <x:c r="AD4657" s="87" t="str">
        <x:v>VIS-MATH-DEC-CE-CRIT-P003; VIS-MATH-DEC-CE-CRIT-P004</x:v>
      </x:c>
      <x:c r="AE4657" s="87" t="str">
        <x:v>TASK; CRIT</x:v>
      </x:c>
      <x:c r="AF4657" s="87" t="str">
        <x:v>VIS-MATH-DEC-PE-TASK-P005: 5; VIS-MATH-DEC-CE-CRIT-P003: 3; VIS-MATH-DEC-CE-CRIT-P004: 4</x:v>
      </x:c>
      <x:c r="AG4657" s="87" t="str">
        <x:v>RESOLVED</x:v>
      </x:c>
      <x:c r="AH4657" s="87" t="str">
        <x:v>CROP_VERIFIED</x:v>
      </x:c>
      <x:c r="AI4657" s="30" t="str">
        <x:v>{"Уровень": "Профильный"}</x:v>
      </x:c>
      <x:c r="AJ4657" s="87" t="str">
        <x:v>clean</x:v>
      </x:c>
      <x:c r="AK4657" s="87" t="str">
        <x:v>clean-v0.07</x:v>
      </x:c>
      <x:c r="AL4657" s="87" t="str">
        <x:v>statgrad_clean_continuation_v0_07(1).xlsx</x:v>
      </x:c>
      <x:c r="AM4657" s="87" t="str">
        <x:v>MATH_Dec_0211</x:v>
      </x:c>
      <x:c r="AN4657" s="87" t="n">
        <x:v>16</x:v>
      </x:c>
    </x:row>
    <x:row r="4658">
      <x:c r="A4658" s="87" t="n">
        <x:v>4657</x:v>
      </x:c>
      <x:c r="B4658" s="87" t="str">
        <x:v>DEC-MATH-11-016</x:v>
      </x:c>
      <x:c r="C4658" s="87" t="str">
        <x:v>СтатГрад</x:v>
      </x:c>
      <x:c r="D4658" s="87" t="str">
        <x:v>Декабрь 2025</x:v>
      </x:c>
      <x:c r="E4658" s="87"/>
      <x:c r="F4658" s="87"/>
      <x:c r="G4658" s="87" t="str">
        <x:v>Математика</x:v>
      </x:c>
      <x:c r="H4658" s="87" t="n">
        <x:v>11</x:v>
      </x:c>
      <x:c r="I4658" s="87" t="str">
        <x:v>ТР №2</x:v>
      </x:c>
      <x:c r="J4658" s="87" t="str">
        <x:v>МА2510211</x:v>
      </x:c>
      <x:c r="K4658" s="87" t="n">
        <x:v>16</x:v>
      </x:c>
      <x:c r="L4658" s="87" t="str">
        <x:v>Финансовая математика</x:v>
      </x:c>
      <x:c r="M4658" s="30" t="str">
        <x:v>15 декабря 2026 года планируется взять кредит в банке на сумму 21,6 млн рублей на 36 месяцев. Условия его возврата таковы: – 1-го числа каждого месяца долг возрастает на 6 % по сравнению с концом предыдущего месяца; – со 2-го по 14-е число каждого месяца необходимо одним платежом оплатить часть долга; – 15-го числа каждого месяца долг должен быть на одну и ту же величину меньше долга на 15-е число предыдущего месяца; – к 15 декабря 2029 года кредит должен быть полностью погашен. Чему будет равна общая сумма платежей в 2029 году?</x:v>
      </x:c>
      <x:c r="N4658" s="30" t="str">
        <x:v>10 008 000 руб.</x:v>
      </x:c>
      <x:c r="O4658" s="30" t="str">
        <x:v>Долг уменьшается равными долями; платежи последнего года образуют арифметически суммируемую последовательность.</x:v>
      </x:c>
      <x:c r="P4658" s="30" t="str">
        <x:v>Развёрнутое решение и итоговый ответ сверены с официальными критериями; ключевые преобразования проверены независимо.</x:v>
      </x:c>
      <x:c r="Q4658" s="30"/>
      <x:c r="R4658" s="30" t="str">
        <x:v>10 008 000 руб.</x:v>
      </x:c>
      <x:c r="S4658" s="30"/>
      <x:c r="T4658" s="30" t="str">
        <x:v>Kriterii_MA11_18122025_vostok.pdf</x:v>
      </x:c>
      <x:c r="U4658" s="30" t="str">
        <x:v>Расхождений нет.</x:v>
      </x:c>
      <x:c r="V4658" s="87" t="str">
        <x:v>VERIFIED</x:v>
      </x:c>
      <x:c r="W4658" s="87"/>
      <x:c r="X4658" s="87" t="n">
        <x:v>6</x:v>
      </x:c>
      <x:c r="Y4658" s="87"/>
      <x:c r="Z4658" s="87"/>
      <x:c r="AA4658" s="87"/>
      <x:c r="AB4658" s="87" t="str">
        <x:v>стр. 4</x:v>
      </x:c>
      <x:c r="AC4658" s="87" t="str">
        <x:v>VIS-MATH-DEC-PE-TASK-P006</x:v>
      </x:c>
      <x:c r="AD4658" s="87" t="str">
        <x:v>VIS-MATH-DEC-CE-CRIT-P004</x:v>
      </x:c>
      <x:c r="AE4658" s="87" t="str">
        <x:v>TASK; CRIT</x:v>
      </x:c>
      <x:c r="AF4658" s="87" t="str">
        <x:v>VIS-MATH-DEC-PE-TASK-P006: 6; VIS-MATH-DEC-CE-CRIT-P004: 4</x:v>
      </x:c>
      <x:c r="AG4658" s="87" t="str">
        <x:v>RESOLVED</x:v>
      </x:c>
      <x:c r="AH4658" s="87" t="str">
        <x:v>CROP_VERIFIED</x:v>
      </x:c>
      <x:c r="AI4658" s="30" t="str">
        <x:v>{"Уровень": "Профильный"}</x:v>
      </x:c>
      <x:c r="AJ4658" s="87" t="str">
        <x:v>clean</x:v>
      </x:c>
      <x:c r="AK4658" s="87" t="str">
        <x:v>clean-v0.07</x:v>
      </x:c>
      <x:c r="AL4658" s="87" t="str">
        <x:v>statgrad_clean_continuation_v0_07(1).xlsx</x:v>
      </x:c>
      <x:c r="AM4658" s="87" t="str">
        <x:v>MATH_Dec_0211</x:v>
      </x:c>
      <x:c r="AN4658" s="87" t="n">
        <x:v>17</x:v>
      </x:c>
    </x:row>
    <x:row r="4659">
      <x:c r="A4659" s="87" t="n">
        <x:v>4658</x:v>
      </x:c>
      <x:c r="B4659" s="87" t="str">
        <x:v>DEC-MATH-11-017</x:v>
      </x:c>
      <x:c r="C4659" s="87" t="str">
        <x:v>СтатГрад</x:v>
      </x:c>
      <x:c r="D4659" s="87" t="str">
        <x:v>Декабрь 2025</x:v>
      </x:c>
      <x:c r="E4659" s="87"/>
      <x:c r="F4659" s="87"/>
      <x:c r="G4659" s="87" t="str">
        <x:v>Математика</x:v>
      </x:c>
      <x:c r="H4659" s="87" t="n">
        <x:v>11</x:v>
      </x:c>
      <x:c r="I4659" s="87" t="str">
        <x:v>ТР №2</x:v>
      </x:c>
      <x:c r="J4659" s="87" t="str">
        <x:v>МА2510211</x:v>
      </x:c>
      <x:c r="K4659" s="87" t="n">
        <x:v>17</x:v>
      </x:c>
      <x:c r="L4659" s="87" t="str">
        <x:v>Планиметрия: доказательство</x:v>
      </x:c>
      <x:c r="M4659" s="30" t="str">
        <x:v>В треугольнике ABC все стороны различны. Прямая, содержащая высоту BH треугольника ABC , вторично пересекает описанную около этого треугольника окружность в точке K . Отрезок BN — диаметр этой окружности. а) Докажите, что прямые AC и KN параллельны. б) Найдите расстояние от точки N до прямой AC , если радиус описанной около треугольника ABC окружности равен 6 6 , 30 BAC  = °, 105 ABC  = °.</x:v>
      </x:c>
      <x:c r="N4659" s="30" t="str">
        <x:v>а) AC ∥ KN; б) 18</x:v>
      </x:c>
      <x:c r="O4659" s="30" t="str">
        <x:v>Параллельность доказана через общую перпендикулярность; расстояние вычислено по вписанным углам и радиусу.</x:v>
      </x:c>
      <x:c r="P4659" s="30" t="str">
        <x:v>Развёрнутое решение и итоговый ответ сверены с официальными критериями; ключевые преобразования проверены независимо.</x:v>
      </x:c>
      <x:c r="Q4659" s="30"/>
      <x:c r="R4659" s="30" t="str">
        <x:v>а) AC ∥ KN; б) 18</x:v>
      </x:c>
      <x:c r="S4659" s="30"/>
      <x:c r="T4659" s="30" t="str">
        <x:v>Kriterii_MA11_18122025_vostok.pdf</x:v>
      </x:c>
      <x:c r="U4659" s="30" t="str">
        <x:v>Расхождений нет.</x:v>
      </x:c>
      <x:c r="V4659" s="87" t="str">
        <x:v>VERIFIED</x:v>
      </x:c>
      <x:c r="W4659" s="87"/>
      <x:c r="X4659" s="87" t="n">
        <x:v>6</x:v>
      </x:c>
      <x:c r="Y4659" s="87"/>
      <x:c r="Z4659" s="87"/>
      <x:c r="AA4659" s="87"/>
      <x:c r="AB4659" s="87" t="str">
        <x:v>стр. 5</x:v>
      </x:c>
      <x:c r="AC4659" s="87" t="str">
        <x:v>VIS-MATH-DEC-PE-TASK-P006</x:v>
      </x:c>
      <x:c r="AD4659" s="87" t="str">
        <x:v>VIS-MATH-DEC-CE-CRIT-P005</x:v>
      </x:c>
      <x:c r="AE4659" s="87" t="str">
        <x:v>TASK; CRIT</x:v>
      </x:c>
      <x:c r="AF4659" s="87" t="str">
        <x:v>VIS-MATH-DEC-PE-TASK-P006: 6; VIS-MATH-DEC-CE-CRIT-P005: 5</x:v>
      </x:c>
      <x:c r="AG4659" s="87" t="str">
        <x:v>RESOLVED</x:v>
      </x:c>
      <x:c r="AH4659" s="87" t="str">
        <x:v>CROP_VERIFIED</x:v>
      </x:c>
      <x:c r="AI4659" s="30" t="str">
        <x:v>{"Уровень": "Профильный"}</x:v>
      </x:c>
      <x:c r="AJ4659" s="87" t="str">
        <x:v>clean</x:v>
      </x:c>
      <x:c r="AK4659" s="87" t="str">
        <x:v>clean-v0.07</x:v>
      </x:c>
      <x:c r="AL4659" s="87" t="str">
        <x:v>statgrad_clean_continuation_v0_07(1).xlsx</x:v>
      </x:c>
      <x:c r="AM4659" s="87" t="str">
        <x:v>MATH_Dec_0211</x:v>
      </x:c>
      <x:c r="AN4659" s="87" t="n">
        <x:v>18</x:v>
      </x:c>
    </x:row>
    <x:row r="4660">
      <x:c r="A4660" s="87" t="n">
        <x:v>4659</x:v>
      </x:c>
      <x:c r="B4660" s="87" t="str">
        <x:v>DEC-MATH-11-018</x:v>
      </x:c>
      <x:c r="C4660" s="87" t="str">
        <x:v>СтатГрад</x:v>
      </x:c>
      <x:c r="D4660" s="87" t="str">
        <x:v>Декабрь 2025</x:v>
      </x:c>
      <x:c r="E4660" s="87"/>
      <x:c r="F4660" s="87"/>
      <x:c r="G4660" s="87" t="str">
        <x:v>Математика</x:v>
      </x:c>
      <x:c r="H4660" s="87" t="n">
        <x:v>11</x:v>
      </x:c>
      <x:c r="I4660" s="87" t="str">
        <x:v>ТР №2</x:v>
      </x:c>
      <x:c r="J4660" s="87" t="str">
        <x:v>МА2510211</x:v>
      </x:c>
      <x:c r="K4660" s="87" t="n">
        <x:v>18</x:v>
      </x:c>
      <x:c r="L4660" s="87" t="str">
        <x:v>Уравнение с параметром</x:v>
      </x:c>
      <x:c r="M4660" s="30" t="str">
        <x:v>Найдите все значения ,a при каждом из которых уравнение 2 9 9 2 64 16 0 a x x a x x     + + + − + =         имеет ровно два различных корня.</x:v>
      </x:c>
      <x:c r="N4660" s="30" t="str">
        <x:v>a=0; a=1/8; 1/7&lt;a&lt;1</x:v>
      </x:c>
      <x:c r="O4660" s="30" t="str">
        <x:v>Введена замена y=x+c/x; число корней определено по положению корней квадратного уравнения относительно диапазона y.</x:v>
      </x:c>
      <x:c r="P4660" s="30" t="str">
        <x:v>Развёрнутое решение и итоговый ответ сверены с официальными критериями; ключевые преобразования проверены независимо.</x:v>
      </x:c>
      <x:c r="Q4660" s="30"/>
      <x:c r="R4660" s="30" t="str">
        <x:v>a=0; a=1/8; 1/7&lt;a&lt;1</x:v>
      </x:c>
      <x:c r="S4660" s="30"/>
      <x:c r="T4660" s="30" t="str">
        <x:v>Kriterii_MA11_18122025_vostok.pdf</x:v>
      </x:c>
      <x:c r="U4660" s="30" t="str">
        <x:v>Расхождений нет.</x:v>
      </x:c>
      <x:c r="V4660" s="87" t="str">
        <x:v>VERIFIED</x:v>
      </x:c>
      <x:c r="W4660" s="87"/>
      <x:c r="X4660" s="87" t="n">
        <x:v>6</x:v>
      </x:c>
      <x:c r="Y4660" s="87"/>
      <x:c r="Z4660" s="87"/>
      <x:c r="AA4660" s="87"/>
      <x:c r="AB4660" s="87" t="str">
        <x:v>стр. 6, 7</x:v>
      </x:c>
      <x:c r="AC4660" s="87" t="str">
        <x:v>VIS-MATH-DEC-PE-TASK-P006</x:v>
      </x:c>
      <x:c r="AD4660" s="87" t="str">
        <x:v>VIS-MATH-DEC-CE-CRIT-P006; VIS-MATH-DEC-CE-CRIT-P007</x:v>
      </x:c>
      <x:c r="AE4660" s="87" t="str">
        <x:v>TASK; CRIT</x:v>
      </x:c>
      <x:c r="AF4660" s="87" t="str">
        <x:v>VIS-MATH-DEC-PE-TASK-P006: 6; VIS-MATH-DEC-CE-CRIT-P006: 6; VIS-MATH-DEC-CE-CRIT-P007: 7</x:v>
      </x:c>
      <x:c r="AG4660" s="87" t="str">
        <x:v>RESOLVED</x:v>
      </x:c>
      <x:c r="AH4660" s="87" t="str">
        <x:v>CROP_VERIFIED</x:v>
      </x:c>
      <x:c r="AI4660" s="30" t="str">
        <x:v>{"Уровень": "Профильный"}</x:v>
      </x:c>
      <x:c r="AJ4660" s="87" t="str">
        <x:v>clean</x:v>
      </x:c>
      <x:c r="AK4660" s="87" t="str">
        <x:v>clean-v0.07</x:v>
      </x:c>
      <x:c r="AL4660" s="87" t="str">
        <x:v>statgrad_clean_continuation_v0_07(1).xlsx</x:v>
      </x:c>
      <x:c r="AM4660" s="87" t="str">
        <x:v>MATH_Dec_0211</x:v>
      </x:c>
      <x:c r="AN4660" s="87" t="n">
        <x:v>19</x:v>
      </x:c>
    </x:row>
    <x:row r="4661">
      <x:c r="A4661" s="87" t="n">
        <x:v>4660</x:v>
      </x:c>
      <x:c r="B4661" s="87" t="str">
        <x:v>DEC-MATH-11-019</x:v>
      </x:c>
      <x:c r="C4661" s="87" t="str">
        <x:v>СтатГрад</x:v>
      </x:c>
      <x:c r="D4661" s="87" t="str">
        <x:v>Декабрь 2025</x:v>
      </x:c>
      <x:c r="E4661" s="87"/>
      <x:c r="F4661" s="87"/>
      <x:c r="G4661" s="87" t="str">
        <x:v>Математика</x:v>
      </x:c>
      <x:c r="H4661" s="87" t="n">
        <x:v>11</x:v>
      </x:c>
      <x:c r="I4661" s="87" t="str">
        <x:v>ТР №2</x:v>
      </x:c>
      <x:c r="J4661" s="87" t="str">
        <x:v>МА2510211</x:v>
      </x:c>
      <x:c r="K4661" s="87" t="n">
        <x:v>19</x:v>
      </x:c>
      <x:c r="L4661" s="87" t="str">
        <x:v>Комбинаторика и теория чисел</x:v>
      </x:c>
      <x:c r="M4661" s="30" t="str">
        <x:v>На доске написано n единиц подряд. Между некоторыми из них расставляют знаки «+» и считают получившуюся сумму. Например, если было написано 10 единиц, то можно получить сумму 136: 1 1 111 11 11 1 136 ++ + + += . а) Можно ли получить сумму 133, если 70 n = ? б) Можно ли получить сумму 133, если 90 n = ? в) Для скольких значений n можно получить сумму 133?</x:v>
      </x:c>
      <x:c r="N4661" s="30" t="str">
        <x:v>а) да; б) нет; в) 15</x:v>
      </x:c>
      <x:c r="O4661" s="30" t="str">
        <x:v>Использованы остатки и представление числа как суммы блоков единиц; затем подсчитаны допустимые n.</x:v>
      </x:c>
      <x:c r="P4661" s="30" t="str">
        <x:v>Развёрнутое решение и итоговый ответ сверены с официальными критериями; ключевые преобразования проверены независимо.</x:v>
      </x:c>
      <x:c r="Q4661" s="30"/>
      <x:c r="R4661" s="30" t="str">
        <x:v>а) да; б) нет; в) 15</x:v>
      </x:c>
      <x:c r="S4661" s="30"/>
      <x:c r="T4661" s="30" t="str">
        <x:v>Kriterii_MA11_18122025_vostok.pdf</x:v>
      </x:c>
      <x:c r="U4661" s="30" t="str">
        <x:v>Расхождений нет.</x:v>
      </x:c>
      <x:c r="V4661" s="87" t="str">
        <x:v>VERIFIED</x:v>
      </x:c>
      <x:c r="W4661" s="87"/>
      <x:c r="X4661" s="87" t="n">
        <x:v>6</x:v>
      </x:c>
      <x:c r="Y4661" s="87"/>
      <x:c r="Z4661" s="87"/>
      <x:c r="AA4661" s="87"/>
      <x:c r="AB4661" s="87" t="str">
        <x:v>стр. 8</x:v>
      </x:c>
      <x:c r="AC4661" s="87" t="str">
        <x:v>VIS-MATH-DEC-PE-TASK-P006</x:v>
      </x:c>
      <x:c r="AD4661" s="87" t="str">
        <x:v>VIS-MATH-DEC-CE-CRIT-P008</x:v>
      </x:c>
      <x:c r="AE4661" s="87" t="str">
        <x:v>TASK; CRIT</x:v>
      </x:c>
      <x:c r="AF4661" s="87" t="str">
        <x:v>VIS-MATH-DEC-PE-TASK-P006: 6; VIS-MATH-DEC-CE-CRIT-P008: 8</x:v>
      </x:c>
      <x:c r="AG4661" s="87" t="str">
        <x:v>RESOLVED</x:v>
      </x:c>
      <x:c r="AH4661" s="87" t="str">
        <x:v>CROP_VERIFIED</x:v>
      </x:c>
      <x:c r="AI4661" s="30" t="str">
        <x:v>{"Уровень": "Профильный"}</x:v>
      </x:c>
      <x:c r="AJ4661" s="87" t="str">
        <x:v>clean</x:v>
      </x:c>
      <x:c r="AK4661" s="87" t="str">
        <x:v>clean-v0.07</x:v>
      </x:c>
      <x:c r="AL4661" s="87" t="str">
        <x:v>statgrad_clean_continuation_v0_07(1).xlsx</x:v>
      </x:c>
      <x:c r="AM4661" s="87" t="str">
        <x:v>MATH_Dec_0211</x:v>
      </x:c>
      <x:c r="AN4661" s="87" t="n">
        <x:v>20</x:v>
      </x:c>
    </x:row>
    <x:row r="4662">
      <x:c r="A4662" s="87" t="n">
        <x:v>4661</x:v>
      </x:c>
      <x:c r="B4662" s="87" t="str">
        <x:v>DEC-MATH-12-001</x:v>
      </x:c>
      <x:c r="C4662" s="87" t="str">
        <x:v>СтатГрад</x:v>
      </x:c>
      <x:c r="D4662" s="87" t="str">
        <x:v>Декабрь 2025</x:v>
      </x:c>
      <x:c r="E4662" s="87"/>
      <x:c r="F4662" s="87"/>
      <x:c r="G4662" s="87" t="str">
        <x:v>Математика</x:v>
      </x:c>
      <x:c r="H4662" s="87" t="n">
        <x:v>11</x:v>
      </x:c>
      <x:c r="I4662" s="87" t="str">
        <x:v>ТР №2</x:v>
      </x:c>
      <x:c r="J4662" s="87" t="str">
        <x:v>МА2510212</x:v>
      </x:c>
      <x:c r="K4662" s="87" t="n">
        <x:v>1</x:v>
      </x:c>
      <x:c r="L4662" s="87" t="str">
        <x:v>Планиметрия</x:v>
      </x:c>
      <x:c r="M4662" s="30" t="str">
        <x:v>Около окружности описана трапеция, периметр которой равен 96. Найдите длину её средней линии.</x:v>
      </x:c>
      <x:c r="N4662" s="30" t="str">
        <x:v>24</x:v>
      </x:c>
      <x:c r="O4662" s="30" t="str">
        <x:v>Использованы свойства описанного/вписанного четырёхугольника или трапеции.</x:v>
      </x:c>
      <x:c r="P4662" s="30" t="str">
        <x:v>Условие и полный визуал просмотрены; ответ пересчитан/логически проверен и совпал с LOCKED-ключом.</x:v>
      </x:c>
      <x:c r="Q4662" s="30"/>
      <x:c r="R4662" s="30" t="str">
        <x:v>24</x:v>
      </x:c>
      <x:c r="S4662" s="30"/>
      <x:c r="T4662" s="30" t="str">
        <x:v>Профиль.jpg (Восток)</x:v>
      </x:c>
      <x:c r="U4662" s="30" t="str">
        <x:v>Расхождений нет.</x:v>
      </x:c>
      <x:c r="V4662" s="87" t="str">
        <x:v>VERIFIED</x:v>
      </x:c>
      <x:c r="W4662" s="87"/>
      <x:c r="X4662" s="87" t="n">
        <x:v>8</x:v>
      </x:c>
      <x:c r="Y4662" s="87"/>
      <x:c r="Z4662" s="87"/>
      <x:c r="AA4662" s="87"/>
      <x:c r="AB4662" s="87" t="str">
        <x:v>таблица, строка 12</x:v>
      </x:c>
      <x:c r="AC4662" s="87" t="str">
        <x:v>VIS-MATH-DEC-PE-TASK-P008</x:v>
      </x:c>
      <x:c r="AD4662" s="87" t="str">
        <x:v>VIS-MATH-DEC-KEY-PE</x:v>
      </x:c>
      <x:c r="AE4662" s="87" t="str">
        <x:v>TASK; KEY</x:v>
      </x:c>
      <x:c r="AF4662" s="87" t="str">
        <x:v>VIS-MATH-DEC-PE-TASK-P008: 8; VIS-MATH-DEC-KEY-PE: 1</x:v>
      </x:c>
      <x:c r="AG4662" s="87" t="str">
        <x:v>RESOLVED</x:v>
      </x:c>
      <x:c r="AH4662" s="87" t="str">
        <x:v>CROP_VERIFIED</x:v>
      </x:c>
      <x:c r="AI4662" s="30" t="str">
        <x:v>{"Уровень": "Профильный"}</x:v>
      </x:c>
      <x:c r="AJ4662" s="87" t="str">
        <x:v>clean</x:v>
      </x:c>
      <x:c r="AK4662" s="87" t="str">
        <x:v>clean-v0.07</x:v>
      </x:c>
      <x:c r="AL4662" s="87" t="str">
        <x:v>statgrad_clean_continuation_v0_07(1).xlsx</x:v>
      </x:c>
      <x:c r="AM4662" s="87" t="str">
        <x:v>MATH_Dec_0212</x:v>
      </x:c>
      <x:c r="AN4662" s="87" t="n">
        <x:v>2</x:v>
      </x:c>
    </x:row>
    <x:row r="4663">
      <x:c r="A4663" s="87" t="n">
        <x:v>4662</x:v>
      </x:c>
      <x:c r="B4663" s="87" t="str">
        <x:v>DEC-MATH-12-002</x:v>
      </x:c>
      <x:c r="C4663" s="87" t="str">
        <x:v>СтатГрад</x:v>
      </x:c>
      <x:c r="D4663" s="87" t="str">
        <x:v>Декабрь 2025</x:v>
      </x:c>
      <x:c r="E4663" s="87"/>
      <x:c r="F4663" s="87"/>
      <x:c r="G4663" s="87" t="str">
        <x:v>Математика</x:v>
      </x:c>
      <x:c r="H4663" s="87" t="n">
        <x:v>11</x:v>
      </x:c>
      <x:c r="I4663" s="87" t="str">
        <x:v>ТР №2</x:v>
      </x:c>
      <x:c r="J4663" s="87" t="str">
        <x:v>МА2510212</x:v>
      </x:c>
      <x:c r="K4663" s="87" t="n">
        <x:v>2</x:v>
      </x:c>
      <x:c r="L4663" s="87" t="str">
        <x:v>Векторы</x:v>
      </x:c>
      <x:c r="M4663" s="30" t="str">
        <x:v>На координатной плоскости изображены векторы a, b  и c. Найдите значение выражения ( ) a b c + ⋅   . y 1 x 0 1</x:v>
      </x:c>
      <x:c r="N4663" s="30" t="str">
        <x:v>2</x:v>
      </x:c>
      <x:c r="O4663" s="30" t="str">
        <x:v>Координаты векторов считаны с полного рисунка; выполнены указанные операции и найден модуль/скалярное произведение.</x:v>
      </x:c>
      <x:c r="P4663" s="30" t="str">
        <x:v>Условие и полный визуал просмотрены; ответ пересчитан/логически проверен и совпал с LOCKED-ключом.</x:v>
      </x:c>
      <x:c r="Q4663" s="30"/>
      <x:c r="R4663" s="30" t="str">
        <x:v>2</x:v>
      </x:c>
      <x:c r="S4663" s="30"/>
      <x:c r="T4663" s="30" t="str">
        <x:v>Профиль.jpg (Восток)</x:v>
      </x:c>
      <x:c r="U4663" s="30" t="str">
        <x:v>Расхождений нет.</x:v>
      </x:c>
      <x:c r="V4663" s="87" t="str">
        <x:v>VERIFIED</x:v>
      </x:c>
      <x:c r="W4663" s="87"/>
      <x:c r="X4663" s="87" t="n">
        <x:v>8</x:v>
      </x:c>
      <x:c r="Y4663" s="87"/>
      <x:c r="Z4663" s="87"/>
      <x:c r="AA4663" s="87"/>
      <x:c r="AB4663" s="87" t="str">
        <x:v>таблица, строка 12</x:v>
      </x:c>
      <x:c r="AC4663" s="87" t="str">
        <x:v>VIS-MATH-DEC-PE-TASK-P008</x:v>
      </x:c>
      <x:c r="AD4663" s="87" t="str">
        <x:v>VIS-MATH-DEC-KEY-PE</x:v>
      </x:c>
      <x:c r="AE4663" s="87" t="str">
        <x:v>TASK; KEY</x:v>
      </x:c>
      <x:c r="AF4663" s="87" t="str">
        <x:v>VIS-MATH-DEC-PE-TASK-P008: 8; VIS-MATH-DEC-KEY-PE: 1</x:v>
      </x:c>
      <x:c r="AG4663" s="87" t="str">
        <x:v>RESOLVED</x:v>
      </x:c>
      <x:c r="AH4663" s="87" t="str">
        <x:v>CROP_VERIFIED</x:v>
      </x:c>
      <x:c r="AI4663" s="30" t="str">
        <x:v>{"Уровень": "Профильный"}</x:v>
      </x:c>
      <x:c r="AJ4663" s="87" t="str">
        <x:v>clean</x:v>
      </x:c>
      <x:c r="AK4663" s="87" t="str">
        <x:v>clean-v0.07</x:v>
      </x:c>
      <x:c r="AL4663" s="87" t="str">
        <x:v>statgrad_clean_continuation_v0_07(1).xlsx</x:v>
      </x:c>
      <x:c r="AM4663" s="87" t="str">
        <x:v>MATH_Dec_0212</x:v>
      </x:c>
      <x:c r="AN4663" s="87" t="n">
        <x:v>3</x:v>
      </x:c>
    </x:row>
    <x:row r="4664">
      <x:c r="A4664" s="87" t="n">
        <x:v>4663</x:v>
      </x:c>
      <x:c r="B4664" s="87" t="str">
        <x:v>DEC-MATH-12-003</x:v>
      </x:c>
      <x:c r="C4664" s="87" t="str">
        <x:v>СтатГрад</x:v>
      </x:c>
      <x:c r="D4664" s="87" t="str">
        <x:v>Декабрь 2025</x:v>
      </x:c>
      <x:c r="E4664" s="87"/>
      <x:c r="F4664" s="87"/>
      <x:c r="G4664" s="87" t="str">
        <x:v>Математика</x:v>
      </x:c>
      <x:c r="H4664" s="87" t="n">
        <x:v>11</x:v>
      </x:c>
      <x:c r="I4664" s="87" t="str">
        <x:v>ТР №2</x:v>
      </x:c>
      <x:c r="J4664" s="87" t="str">
        <x:v>МА2510212</x:v>
      </x:c>
      <x:c r="K4664" s="87" t="n">
        <x:v>3</x:v>
      </x:c>
      <x:c r="L4664" s="87" t="str">
        <x:v>Стереометрия</x:v>
      </x:c>
      <x:c r="M4664" s="30" t="str">
        <x:v>Площадь боковой поверхности треугольной призмы равна 92. Через среднюю линию основания призмы проведена плоскость, параллельная боковому ребру. Найдите площадь боковой поверхности отсечённой треугольной призмы.</x:v>
      </x:c>
      <x:c r="N4664" s="30" t="str">
        <x:v>46</x:v>
      </x:c>
      <x:c r="O4664" s="30" t="str">
        <x:v>Использованы формулы площади поверхности или подобие отсечённой призмы.</x:v>
      </x:c>
      <x:c r="P4664" s="30" t="str">
        <x:v>Условие и полный визуал просмотрены; ответ пересчитан/логически проверен и совпал с LOCKED-ключом.</x:v>
      </x:c>
      <x:c r="Q4664" s="30"/>
      <x:c r="R4664" s="30" t="str">
        <x:v>46</x:v>
      </x:c>
      <x:c r="S4664" s="30"/>
      <x:c r="T4664" s="30" t="str">
        <x:v>Профиль.jpg (Восток)</x:v>
      </x:c>
      <x:c r="U4664" s="30" t="str">
        <x:v>Расхождений нет.</x:v>
      </x:c>
      <x:c r="V4664" s="87" t="str">
        <x:v>VERIFIED</x:v>
      </x:c>
      <x:c r="W4664" s="87"/>
      <x:c r="X4664" s="87" t="n">
        <x:v>8</x:v>
      </x:c>
      <x:c r="Y4664" s="87"/>
      <x:c r="Z4664" s="87"/>
      <x:c r="AA4664" s="87"/>
      <x:c r="AB4664" s="87" t="str">
        <x:v>таблица, строка 12</x:v>
      </x:c>
      <x:c r="AC4664" s="87" t="str">
        <x:v>VIS-MATH-DEC-PE-TASK-P008</x:v>
      </x:c>
      <x:c r="AD4664" s="87" t="str">
        <x:v>VIS-MATH-DEC-KEY-PE</x:v>
      </x:c>
      <x:c r="AE4664" s="87" t="str">
        <x:v>TASK; KEY</x:v>
      </x:c>
      <x:c r="AF4664" s="87" t="str">
        <x:v>VIS-MATH-DEC-PE-TASK-P008: 8; VIS-MATH-DEC-KEY-PE: 1</x:v>
      </x:c>
      <x:c r="AG4664" s="87" t="str">
        <x:v>RESOLVED</x:v>
      </x:c>
      <x:c r="AH4664" s="87" t="str">
        <x:v>CROP_VERIFIED</x:v>
      </x:c>
      <x:c r="AI4664" s="30" t="str">
        <x:v>{"Уровень": "Профильный"}</x:v>
      </x:c>
      <x:c r="AJ4664" s="87" t="str">
        <x:v>clean</x:v>
      </x:c>
      <x:c r="AK4664" s="87" t="str">
        <x:v>clean-v0.07</x:v>
      </x:c>
      <x:c r="AL4664" s="87" t="str">
        <x:v>statgrad_clean_continuation_v0_07(1).xlsx</x:v>
      </x:c>
      <x:c r="AM4664" s="87" t="str">
        <x:v>MATH_Dec_0212</x:v>
      </x:c>
      <x:c r="AN4664" s="87" t="n">
        <x:v>4</x:v>
      </x:c>
    </x:row>
    <x:row r="4665">
      <x:c r="A4665" s="87" t="n">
        <x:v>4664</x:v>
      </x:c>
      <x:c r="B4665" s="87" t="str">
        <x:v>DEC-MATH-12-004</x:v>
      </x:c>
      <x:c r="C4665" s="87" t="str">
        <x:v>СтатГрад</x:v>
      </x:c>
      <x:c r="D4665" s="87" t="str">
        <x:v>Декабрь 2025</x:v>
      </x:c>
      <x:c r="E4665" s="87"/>
      <x:c r="F4665" s="87"/>
      <x:c r="G4665" s="87" t="str">
        <x:v>Математика</x:v>
      </x:c>
      <x:c r="H4665" s="87" t="n">
        <x:v>11</x:v>
      </x:c>
      <x:c r="I4665" s="87" t="str">
        <x:v>ТР №2</x:v>
      </x:c>
      <x:c r="J4665" s="87" t="str">
        <x:v>МА2510212</x:v>
      </x:c>
      <x:c r="K4665" s="87" t="n">
        <x:v>4</x:v>
      </x:c>
      <x:c r="L4665" s="87" t="str">
        <x:v>Классическая вероятность</x:v>
      </x:c>
      <x:c r="M4665" s="30" t="str">
        <x:v>Рассмотрим два случайных паспорта. Какова вероятность того, что последняя цифра в номере первого паспорта отличается от последней цифры в номере второго паспорта?</x:v>
      </x:c>
      <x:c r="N4665" s="30" t="str">
        <x:v>0,9</x:v>
      </x:c>
      <x:c r="O4665" s="30" t="str">
        <x:v>Подсчитаны равновозможные круговые рассадки либо последние цифры паспортов.</x:v>
      </x:c>
      <x:c r="P4665" s="30" t="str">
        <x:v>Условие и полный визуал просмотрены; ответ пересчитан/логически проверен и совпал с LOCKED-ключом.</x:v>
      </x:c>
      <x:c r="Q4665" s="30"/>
      <x:c r="R4665" s="30" t="str">
        <x:v>0,9</x:v>
      </x:c>
      <x:c r="S4665" s="30"/>
      <x:c r="T4665" s="30" t="str">
        <x:v>Профиль.jpg (Восток)</x:v>
      </x:c>
      <x:c r="U4665" s="30" t="str">
        <x:v>Расхождений нет.</x:v>
      </x:c>
      <x:c r="V4665" s="87" t="str">
        <x:v>VERIFIED</x:v>
      </x:c>
      <x:c r="W4665" s="87"/>
      <x:c r="X4665" s="87" t="n">
        <x:v>9</x:v>
      </x:c>
      <x:c r="Y4665" s="87"/>
      <x:c r="Z4665" s="87"/>
      <x:c r="AA4665" s="87"/>
      <x:c r="AB4665" s="87" t="str">
        <x:v>таблица, строка 12</x:v>
      </x:c>
      <x:c r="AC4665" s="87" t="str">
        <x:v>VIS-MATH-DEC-PE-TASK-P009</x:v>
      </x:c>
      <x:c r="AD4665" s="87" t="str">
        <x:v>VIS-MATH-DEC-KEY-PE</x:v>
      </x:c>
      <x:c r="AE4665" s="87" t="str">
        <x:v>TASK; KEY</x:v>
      </x:c>
      <x:c r="AF4665" s="87" t="str">
        <x:v>VIS-MATH-DEC-PE-TASK-P009: 9; VIS-MATH-DEC-KEY-PE: 1</x:v>
      </x:c>
      <x:c r="AG4665" s="87" t="str">
        <x:v>RESOLVED</x:v>
      </x:c>
      <x:c r="AH4665" s="87" t="str">
        <x:v>CROP_VERIFIED</x:v>
      </x:c>
      <x:c r="AI4665" s="30" t="str">
        <x:v>{"Уровень": "Профильный"}</x:v>
      </x:c>
      <x:c r="AJ4665" s="87" t="str">
        <x:v>clean</x:v>
      </x:c>
      <x:c r="AK4665" s="87" t="str">
        <x:v>clean-v0.07</x:v>
      </x:c>
      <x:c r="AL4665" s="87" t="str">
        <x:v>statgrad_clean_continuation_v0_07(1).xlsx</x:v>
      </x:c>
      <x:c r="AM4665" s="87" t="str">
        <x:v>MATH_Dec_0212</x:v>
      </x:c>
      <x:c r="AN4665" s="87" t="n">
        <x:v>5</x:v>
      </x:c>
    </x:row>
    <x:row r="4666">
      <x:c r="A4666" s="87" t="n">
        <x:v>4665</x:v>
      </x:c>
      <x:c r="B4666" s="87" t="str">
        <x:v>DEC-MATH-12-005</x:v>
      </x:c>
      <x:c r="C4666" s="87" t="str">
        <x:v>СтатГрад</x:v>
      </x:c>
      <x:c r="D4666" s="87" t="str">
        <x:v>Декабрь 2025</x:v>
      </x:c>
      <x:c r="E4666" s="87"/>
      <x:c r="F4666" s="87"/>
      <x:c r="G4666" s="87" t="str">
        <x:v>Математика</x:v>
      </x:c>
      <x:c r="H4666" s="87" t="n">
        <x:v>11</x:v>
      </x:c>
      <x:c r="I4666" s="87" t="str">
        <x:v>ТР №2</x:v>
      </x:c>
      <x:c r="J4666" s="87" t="str">
        <x:v>МА2510212</x:v>
      </x:c>
      <x:c r="K4666" s="87" t="n">
        <x:v>5</x:v>
      </x:c>
      <x:c r="L4666" s="87" t="str">
        <x:v>Независимые испытания</x:v>
      </x:c>
      <x:c r="M4666" s="30" t="str">
        <x:v>Перед началом волейбольного матча капитаны команд тянут честный жребий, чтобы определить, какая из команд начнёт игру с мячом. Команда «Протор» по очереди играет с командами «Стартер», «Ротор» и «Монтёр». Найдите вероятность того, что «Протор» не будет начинать ни одной игры.</x:v>
      </x:c>
      <x:c r="N4666" s="30" t="str">
        <x:v>0,125</x:v>
      </x:c>
      <x:c r="O4666" s="30" t="str">
        <x:v>Применена формула вероятности заданной последовательности независимых исходов.</x:v>
      </x:c>
      <x:c r="P4666" s="30" t="str">
        <x:v>Условие и полный визуал просмотрены; ответ пересчитан/логически проверен и совпал с LOCKED-ключом.</x:v>
      </x:c>
      <x:c r="Q4666" s="30"/>
      <x:c r="R4666" s="30" t="str">
        <x:v>0,125</x:v>
      </x:c>
      <x:c r="S4666" s="30"/>
      <x:c r="T4666" s="30" t="str">
        <x:v>Профиль.jpg (Восток)</x:v>
      </x:c>
      <x:c r="U4666" s="30" t="str">
        <x:v>Расхождений нет.</x:v>
      </x:c>
      <x:c r="V4666" s="87" t="str">
        <x:v>VERIFIED</x:v>
      </x:c>
      <x:c r="W4666" s="87"/>
      <x:c r="X4666" s="87" t="n">
        <x:v>9</x:v>
      </x:c>
      <x:c r="Y4666" s="87"/>
      <x:c r="Z4666" s="87"/>
      <x:c r="AA4666" s="87"/>
      <x:c r="AB4666" s="87" t="str">
        <x:v>таблица, строка 12</x:v>
      </x:c>
      <x:c r="AC4666" s="87" t="str">
        <x:v>VIS-MATH-DEC-PE-TASK-P009</x:v>
      </x:c>
      <x:c r="AD4666" s="87" t="str">
        <x:v>VIS-MATH-DEC-KEY-PE</x:v>
      </x:c>
      <x:c r="AE4666" s="87" t="str">
        <x:v>TASK; KEY</x:v>
      </x:c>
      <x:c r="AF4666" s="87" t="str">
        <x:v>VIS-MATH-DEC-PE-TASK-P009: 9; VIS-MATH-DEC-KEY-PE: 1</x:v>
      </x:c>
      <x:c r="AG4666" s="87" t="str">
        <x:v>RESOLVED</x:v>
      </x:c>
      <x:c r="AH4666" s="87" t="str">
        <x:v>CROP_VERIFIED</x:v>
      </x:c>
      <x:c r="AI4666" s="30" t="str">
        <x:v>{"Уровень": "Профильный"}</x:v>
      </x:c>
      <x:c r="AJ4666" s="87" t="str">
        <x:v>clean</x:v>
      </x:c>
      <x:c r="AK4666" s="87" t="str">
        <x:v>clean-v0.07</x:v>
      </x:c>
      <x:c r="AL4666" s="87" t="str">
        <x:v>statgrad_clean_continuation_v0_07(1).xlsx</x:v>
      </x:c>
      <x:c r="AM4666" s="87" t="str">
        <x:v>MATH_Dec_0212</x:v>
      </x:c>
      <x:c r="AN4666" s="87" t="n">
        <x:v>6</x:v>
      </x:c>
    </x:row>
    <x:row r="4667">
      <x:c r="A4667" s="87" t="n">
        <x:v>4666</x:v>
      </x:c>
      <x:c r="B4667" s="87" t="str">
        <x:v>DEC-MATH-12-006</x:v>
      </x:c>
      <x:c r="C4667" s="87" t="str">
        <x:v>СтатГрад</x:v>
      </x:c>
      <x:c r="D4667" s="87" t="str">
        <x:v>Декабрь 2025</x:v>
      </x:c>
      <x:c r="E4667" s="87"/>
      <x:c r="F4667" s="87"/>
      <x:c r="G4667" s="87" t="str">
        <x:v>Математика</x:v>
      </x:c>
      <x:c r="H4667" s="87" t="n">
        <x:v>11</x:v>
      </x:c>
      <x:c r="I4667" s="87" t="str">
        <x:v>ТР №2</x:v>
      </x:c>
      <x:c r="J4667" s="87" t="str">
        <x:v>МА2510212</x:v>
      </x:c>
      <x:c r="K4667" s="87" t="n">
        <x:v>6</x:v>
      </x:c>
      <x:c r="L4667" s="87" t="str">
        <x:v>Логарифмическое уравнение</x:v>
      </x:c>
      <x:c r="M4667" s="30" t="str">
        <x:v>Найдите корень уравнения ( ) ( ) 8 8 log 5 log 2 2 x x + = − .</x:v>
      </x:c>
      <x:c r="N4667" s="30" t="str">
        <x:v>7</x:v>
      </x:c>
      <x:c r="O4667" s="30" t="str">
        <x:v>Логарифмы одного основания объединены и решено полученное уравнение с ОДЗ.</x:v>
      </x:c>
      <x:c r="P4667" s="30" t="str">
        <x:v>Условие и полный визуал просмотрены; ответ пересчитан/логически проверен и совпал с LOCKED-ключом.</x:v>
      </x:c>
      <x:c r="Q4667" s="30"/>
      <x:c r="R4667" s="30" t="str">
        <x:v>7</x:v>
      </x:c>
      <x:c r="S4667" s="30"/>
      <x:c r="T4667" s="30" t="str">
        <x:v>Профиль.jpg (Восток)</x:v>
      </x:c>
      <x:c r="U4667" s="30" t="str">
        <x:v>Расхождений нет.</x:v>
      </x:c>
      <x:c r="V4667" s="87" t="str">
        <x:v>VERIFIED</x:v>
      </x:c>
      <x:c r="W4667" s="87"/>
      <x:c r="X4667" s="87" t="n">
        <x:v>9</x:v>
      </x:c>
      <x:c r="Y4667" s="87"/>
      <x:c r="Z4667" s="87"/>
      <x:c r="AA4667" s="87"/>
      <x:c r="AB4667" s="87" t="str">
        <x:v>таблица, строка 12</x:v>
      </x:c>
      <x:c r="AC4667" s="87" t="str">
        <x:v>VIS-MATH-DEC-PE-TASK-P009</x:v>
      </x:c>
      <x:c r="AD4667" s="87" t="str">
        <x:v>VIS-MATH-DEC-KEY-PE</x:v>
      </x:c>
      <x:c r="AE4667" s="87" t="str">
        <x:v>TASK; KEY</x:v>
      </x:c>
      <x:c r="AF4667" s="87" t="str">
        <x:v>VIS-MATH-DEC-PE-TASK-P009: 9; VIS-MATH-DEC-KEY-PE: 1</x:v>
      </x:c>
      <x:c r="AG4667" s="87" t="str">
        <x:v>RESOLVED</x:v>
      </x:c>
      <x:c r="AH4667" s="87" t="str">
        <x:v>CROP_VERIFIED</x:v>
      </x:c>
      <x:c r="AI4667" s="30" t="str">
        <x:v>{"Уровень": "Профильный"}</x:v>
      </x:c>
      <x:c r="AJ4667" s="87" t="str">
        <x:v>clean</x:v>
      </x:c>
      <x:c r="AK4667" s="87" t="str">
        <x:v>clean-v0.07</x:v>
      </x:c>
      <x:c r="AL4667" s="87" t="str">
        <x:v>statgrad_clean_continuation_v0_07(1).xlsx</x:v>
      </x:c>
      <x:c r="AM4667" s="87" t="str">
        <x:v>MATH_Dec_0212</x:v>
      </x:c>
      <x:c r="AN4667" s="87" t="n">
        <x:v>7</x:v>
      </x:c>
    </x:row>
    <x:row r="4668">
      <x:c r="A4668" s="87" t="n">
        <x:v>4667</x:v>
      </x:c>
      <x:c r="B4668" s="87" t="str">
        <x:v>DEC-MATH-12-007</x:v>
      </x:c>
      <x:c r="C4668" s="87" t="str">
        <x:v>СтатГрад</x:v>
      </x:c>
      <x:c r="D4668" s="87" t="str">
        <x:v>Декабрь 2025</x:v>
      </x:c>
      <x:c r="E4668" s="87"/>
      <x:c r="F4668" s="87"/>
      <x:c r="G4668" s="87" t="str">
        <x:v>Математика</x:v>
      </x:c>
      <x:c r="H4668" s="87" t="n">
        <x:v>11</x:v>
      </x:c>
      <x:c r="I4668" s="87" t="str">
        <x:v>ТР №2</x:v>
      </x:c>
      <x:c r="J4668" s="87" t="str">
        <x:v>МА2510212</x:v>
      </x:c>
      <x:c r="K4668" s="87" t="n">
        <x:v>7</x:v>
      </x:c>
      <x:c r="L4668" s="87" t="str">
        <x:v>Степени</x:v>
      </x:c>
      <x:c r="M4668" s="30" t="str">
        <x:v>Найдите значение выражения ( ) ( ) 2 5 10 5 8 : 8 x x x ⋅ при 5 x = .</x:v>
      </x:c>
      <x:c r="N4668" s="30" t="str">
        <x:v>200</x:v>
      </x:c>
      <x:c r="O4668" s="30" t="str">
        <x:v>Степени приведены к общему основанию, показатели сокращены.</x:v>
      </x:c>
      <x:c r="P4668" s="30" t="str">
        <x:v>Условие и полный визуал просмотрены; ответ пересчитан/логически проверен и совпал с LOCKED-ключом.</x:v>
      </x:c>
      <x:c r="Q4668" s="30"/>
      <x:c r="R4668" s="30" t="str">
        <x:v>200</x:v>
      </x:c>
      <x:c r="S4668" s="30"/>
      <x:c r="T4668" s="30" t="str">
        <x:v>Профиль.jpg (Восток)</x:v>
      </x:c>
      <x:c r="U4668" s="30" t="str">
        <x:v>Расхождений нет.</x:v>
      </x:c>
      <x:c r="V4668" s="87" t="str">
        <x:v>VERIFIED</x:v>
      </x:c>
      <x:c r="W4668" s="87"/>
      <x:c r="X4668" s="87" t="n">
        <x:v>9</x:v>
      </x:c>
      <x:c r="Y4668" s="87"/>
      <x:c r="Z4668" s="87"/>
      <x:c r="AA4668" s="87"/>
      <x:c r="AB4668" s="87" t="str">
        <x:v>таблица, строка 12</x:v>
      </x:c>
      <x:c r="AC4668" s="87" t="str">
        <x:v>VIS-MATH-DEC-PE-TASK-P009</x:v>
      </x:c>
      <x:c r="AD4668" s="87" t="str">
        <x:v>VIS-MATH-DEC-KEY-PE</x:v>
      </x:c>
      <x:c r="AE4668" s="87" t="str">
        <x:v>TASK; KEY</x:v>
      </x:c>
      <x:c r="AF4668" s="87" t="str">
        <x:v>VIS-MATH-DEC-PE-TASK-P009: 9; VIS-MATH-DEC-KEY-PE: 1</x:v>
      </x:c>
      <x:c r="AG4668" s="87" t="str">
        <x:v>RESOLVED</x:v>
      </x:c>
      <x:c r="AH4668" s="87" t="str">
        <x:v>CROP_VERIFIED</x:v>
      </x:c>
      <x:c r="AI4668" s="30" t="str">
        <x:v>{"Уровень": "Профильный"}</x:v>
      </x:c>
      <x:c r="AJ4668" s="87" t="str">
        <x:v>clean</x:v>
      </x:c>
      <x:c r="AK4668" s="87" t="str">
        <x:v>clean-v0.07</x:v>
      </x:c>
      <x:c r="AL4668" s="87" t="str">
        <x:v>statgrad_clean_continuation_v0_07(1).xlsx</x:v>
      </x:c>
      <x:c r="AM4668" s="87" t="str">
        <x:v>MATH_Dec_0212</x:v>
      </x:c>
      <x:c r="AN4668" s="87" t="n">
        <x:v>8</x:v>
      </x:c>
    </x:row>
    <x:row r="4669">
      <x:c r="A4669" s="87" t="n">
        <x:v>4668</x:v>
      </x:c>
      <x:c r="B4669" s="87" t="str">
        <x:v>DEC-MATH-12-008</x:v>
      </x:c>
      <x:c r="C4669" s="87" t="str">
        <x:v>СтатГрад</x:v>
      </x:c>
      <x:c r="D4669" s="87" t="str">
        <x:v>Декабрь 2025</x:v>
      </x:c>
      <x:c r="E4669" s="87"/>
      <x:c r="F4669" s="87"/>
      <x:c r="G4669" s="87" t="str">
        <x:v>Математика</x:v>
      </x:c>
      <x:c r="H4669" s="87" t="n">
        <x:v>11</x:v>
      </x:c>
      <x:c r="I4669" s="87" t="str">
        <x:v>ТР №2</x:v>
      </x:c>
      <x:c r="J4669" s="87" t="str">
        <x:v>МА2510212</x:v>
      </x:c>
      <x:c r="K4669" s="87" t="n">
        <x:v>8</x:v>
      </x:c>
      <x:c r="L4669" s="87" t="str">
        <x:v>График производной</x:v>
      </x:c>
      <x:c r="M4669" s="30" t="str">
        <x:v>На рисунке изображён график функции ( ) y f ' x = — производной функции ( ) f x , определённой на интервале ( ) 10;12 − . Найдите количество точек минимума функции ( ) f x , принадлежащих отрезку [ ] 4;10 − . y 1 10 − 0 12 x</x:v>
      </x:c>
      <x:c r="N4669" s="30" t="str">
        <x:v>2</x:v>
      </x:c>
      <x:c r="O4669" s="30" t="str">
        <x:v>Точки экстремума определены по смене знака производной на графике.</x:v>
      </x:c>
      <x:c r="P4669" s="30" t="str">
        <x:v>Условие и полный визуал просмотрены; ответ пересчитан/логически проверен и совпал с LOCKED-ключом.</x:v>
      </x:c>
      <x:c r="Q4669" s="30"/>
      <x:c r="R4669" s="30" t="str">
        <x:v>2</x:v>
      </x:c>
      <x:c r="S4669" s="30"/>
      <x:c r="T4669" s="30" t="str">
        <x:v>Профиль.jpg (Восток)</x:v>
      </x:c>
      <x:c r="U4669" s="30" t="str">
        <x:v>Расхождений нет.</x:v>
      </x:c>
      <x:c r="V4669" s="87" t="str">
        <x:v>VERIFIED</x:v>
      </x:c>
      <x:c r="W4669" s="87"/>
      <x:c r="X4669" s="87" t="n">
        <x:v>9</x:v>
      </x:c>
      <x:c r="Y4669" s="87"/>
      <x:c r="Z4669" s="87"/>
      <x:c r="AA4669" s="87"/>
      <x:c r="AB4669" s="87" t="str">
        <x:v>таблица, строка 12</x:v>
      </x:c>
      <x:c r="AC4669" s="87" t="str">
        <x:v>VIS-MATH-DEC-PE-TASK-P009</x:v>
      </x:c>
      <x:c r="AD4669" s="87" t="str">
        <x:v>VIS-MATH-DEC-KEY-PE</x:v>
      </x:c>
      <x:c r="AE4669" s="87" t="str">
        <x:v>TASK; KEY</x:v>
      </x:c>
      <x:c r="AF4669" s="87" t="str">
        <x:v>VIS-MATH-DEC-PE-TASK-P009: 9; VIS-MATH-DEC-KEY-PE: 1</x:v>
      </x:c>
      <x:c r="AG4669" s="87" t="str">
        <x:v>RESOLVED</x:v>
      </x:c>
      <x:c r="AH4669" s="87" t="str">
        <x:v>CROP_VERIFIED; TASK_CROP_QA_APPROVED:USE_TIGHT</x:v>
      </x:c>
      <x:c r="AI4669" s="30" t="str">
        <x:v>{"Уровень": "Профильный"}</x:v>
      </x:c>
      <x:c r="AJ4669" s="87" t="str">
        <x:v>clean</x:v>
      </x:c>
      <x:c r="AK4669" s="87" t="str">
        <x:v>clean-v0.07</x:v>
      </x:c>
      <x:c r="AL4669" s="87" t="str">
        <x:v>statgrad_clean_continuation_v0_07(1).xlsx</x:v>
      </x:c>
      <x:c r="AM4669" s="87" t="str">
        <x:v>MATH_Dec_0212</x:v>
      </x:c>
      <x:c r="AN4669" s="87" t="n">
        <x:v>9</x:v>
      </x:c>
    </x:row>
    <x:row r="4670">
      <x:c r="A4670" s="87" t="n">
        <x:v>4669</x:v>
      </x:c>
      <x:c r="B4670" s="87" t="str">
        <x:v>DEC-MATH-12-009</x:v>
      </x:c>
      <x:c r="C4670" s="87" t="str">
        <x:v>СтатГрад</x:v>
      </x:c>
      <x:c r="D4670" s="87" t="str">
        <x:v>Декабрь 2025</x:v>
      </x:c>
      <x:c r="E4670" s="87"/>
      <x:c r="F4670" s="87"/>
      <x:c r="G4670" s="87" t="str">
        <x:v>Математика</x:v>
      </x:c>
      <x:c r="H4670" s="87" t="n">
        <x:v>11</x:v>
      </x:c>
      <x:c r="I4670" s="87" t="str">
        <x:v>ТР №2</x:v>
      </x:c>
      <x:c r="J4670" s="87" t="str">
        <x:v>МА2510212</x:v>
      </x:c>
      <x:c r="K4670" s="87" t="n">
        <x:v>9</x:v>
      </x:c>
      <x:c r="L4670" s="87" t="str">
        <x:v>Прикладная формула</x:v>
      </x:c>
      <x:c r="M4670" s="30" t="str">
        <x:v>В боковой стенке высокого цилиндрического бака у самого дна закреплён кран. После его открытия вода начинает вытекать из бака, при этом высота столба воды в нём, выраженная в метрах, меняется по закону ( ) 2 2 0 0 2 2 g H t H gH kt k t = − ⋅ + , где t — время в секундах, прошедшее с момента открытия крана, 0 5 H = м — начальная высота столба воды, 1 900 k = — отношение площадей поперечных сечений крана и бака, а g — ускорение свободного падения (считайте, что 2 10 м / с g = ). Через сколько секунд после открытия крана в баке останется четверть первоначального объёма воды?</x:v>
      </x:c>
      <x:c r="N4670" s="30" t="str">
        <x:v>450</x:v>
      </x:c>
      <x:c r="O4670" s="30" t="str">
        <x:v>В прикладную формулу подставлены данные и выражена искомая величина.</x:v>
      </x:c>
      <x:c r="P4670" s="30" t="str">
        <x:v>Условие и полный визуал просмотрены; ответ пересчитан/логически проверен и совпал с LOCKED-ключом.</x:v>
      </x:c>
      <x:c r="Q4670" s="30"/>
      <x:c r="R4670" s="30" t="str">
        <x:v>450</x:v>
      </x:c>
      <x:c r="S4670" s="30"/>
      <x:c r="T4670" s="30" t="str">
        <x:v>Профиль.jpg (Восток)</x:v>
      </x:c>
      <x:c r="U4670" s="30" t="str">
        <x:v>Расхождений нет.</x:v>
      </x:c>
      <x:c r="V4670" s="87" t="str">
        <x:v>VERIFIED</x:v>
      </x:c>
      <x:c r="W4670" s="87"/>
      <x:c r="X4670" s="87" t="n">
        <x:v>10</x:v>
      </x:c>
      <x:c r="Y4670" s="87"/>
      <x:c r="Z4670" s="87"/>
      <x:c r="AA4670" s="87"/>
      <x:c r="AB4670" s="87" t="str">
        <x:v>таблица, строка 12</x:v>
      </x:c>
      <x:c r="AC4670" s="87" t="str">
        <x:v>VIS-MATH-DEC-PE-TASK-P010</x:v>
      </x:c>
      <x:c r="AD4670" s="87" t="str">
        <x:v>VIS-MATH-DEC-KEY-PE</x:v>
      </x:c>
      <x:c r="AE4670" s="87" t="str">
        <x:v>TASK; KEY</x:v>
      </x:c>
      <x:c r="AF4670" s="87" t="str">
        <x:v>VIS-MATH-DEC-PE-TASK-P010: 10; VIS-MATH-DEC-KEY-PE: 1</x:v>
      </x:c>
      <x:c r="AG4670" s="87" t="str">
        <x:v>RESOLVED</x:v>
      </x:c>
      <x:c r="AH4670" s="87" t="str">
        <x:v>CROP_VERIFIED</x:v>
      </x:c>
      <x:c r="AI4670" s="30" t="str">
        <x:v>{"Уровень": "Профильный"}</x:v>
      </x:c>
      <x:c r="AJ4670" s="87" t="str">
        <x:v>clean</x:v>
      </x:c>
      <x:c r="AK4670" s="87" t="str">
        <x:v>clean-v0.07</x:v>
      </x:c>
      <x:c r="AL4670" s="87" t="str">
        <x:v>statgrad_clean_continuation_v0_07(1).xlsx</x:v>
      </x:c>
      <x:c r="AM4670" s="87" t="str">
        <x:v>MATH_Dec_0212</x:v>
      </x:c>
      <x:c r="AN4670" s="87" t="n">
        <x:v>10</x:v>
      </x:c>
    </x:row>
    <x:row r="4671">
      <x:c r="A4671" s="87" t="n">
        <x:v>4670</x:v>
      </x:c>
      <x:c r="B4671" s="87" t="str">
        <x:v>DEC-MATH-12-010</x:v>
      </x:c>
      <x:c r="C4671" s="87" t="str">
        <x:v>СтатГрад</x:v>
      </x:c>
      <x:c r="D4671" s="87" t="str">
        <x:v>Декабрь 2025</x:v>
      </x:c>
      <x:c r="E4671" s="87"/>
      <x:c r="F4671" s="87"/>
      <x:c r="G4671" s="87" t="str">
        <x:v>Математика</x:v>
      </x:c>
      <x:c r="H4671" s="87" t="n">
        <x:v>11</x:v>
      </x:c>
      <x:c r="I4671" s="87" t="str">
        <x:v>ТР №2</x:v>
      </x:c>
      <x:c r="J4671" s="87" t="str">
        <x:v>МА2510212</x:v>
      </x:c>
      <x:c r="K4671" s="87" t="n">
        <x:v>10</x:v>
      </x:c>
      <x:c r="L4671" s="87" t="str">
        <x:v>Задача на движение</x:v>
      </x:c>
      <x:c r="M4671" s="30" t="str">
        <x:v>Теплоход, скорость которого в неподвижной воде равна 15 км/ч, проходит по течению реки и после стоянки возвращается в исходный пункт. Скорость течения равна 3 км/ч, стоянка длится 3 часа, а в исходный пункт теплоход возвращается через 58 часов после отплытия из него. Сколько километров проходит теплоход за весь рейс?</x:v>
      </x:c>
      <x:c r="N4671" s="30" t="str">
        <x:v>792</x:v>
      </x:c>
      <x:c r="O4671" s="30" t="str">
        <x:v>Составлено уравнение времени движения с учётом течения и стоянки.</x:v>
      </x:c>
      <x:c r="P4671" s="30" t="str">
        <x:v>Условие и полный визуал просмотрены; ответ пересчитан/логически проверен и совпал с LOCKED-ключом.</x:v>
      </x:c>
      <x:c r="Q4671" s="30"/>
      <x:c r="R4671" s="30" t="str">
        <x:v>792</x:v>
      </x:c>
      <x:c r="S4671" s="30"/>
      <x:c r="T4671" s="30" t="str">
        <x:v>Профиль.jpg (Восток)</x:v>
      </x:c>
      <x:c r="U4671" s="30" t="str">
        <x:v>Расхождений нет.</x:v>
      </x:c>
      <x:c r="V4671" s="87" t="str">
        <x:v>VERIFIED</x:v>
      </x:c>
      <x:c r="W4671" s="87"/>
      <x:c r="X4671" s="87" t="n">
        <x:v>10</x:v>
      </x:c>
      <x:c r="Y4671" s="87"/>
      <x:c r="Z4671" s="87"/>
      <x:c r="AA4671" s="87"/>
      <x:c r="AB4671" s="87" t="str">
        <x:v>таблица, строка 12</x:v>
      </x:c>
      <x:c r="AC4671" s="87" t="str">
        <x:v>VIS-MATH-DEC-PE-TASK-P010</x:v>
      </x:c>
      <x:c r="AD4671" s="87" t="str">
        <x:v>VIS-MATH-DEC-KEY-PE</x:v>
      </x:c>
      <x:c r="AE4671" s="87" t="str">
        <x:v>TASK; KEY</x:v>
      </x:c>
      <x:c r="AF4671" s="87" t="str">
        <x:v>VIS-MATH-DEC-PE-TASK-P010: 10; VIS-MATH-DEC-KEY-PE: 1</x:v>
      </x:c>
      <x:c r="AG4671" s="87" t="str">
        <x:v>RESOLVED</x:v>
      </x:c>
      <x:c r="AH4671" s="87" t="str">
        <x:v>CROP_VERIFIED</x:v>
      </x:c>
      <x:c r="AI4671" s="30" t="str">
        <x:v>{"Уровень": "Профильный"}</x:v>
      </x:c>
      <x:c r="AJ4671" s="87" t="str">
        <x:v>clean</x:v>
      </x:c>
      <x:c r="AK4671" s="87" t="str">
        <x:v>clean-v0.07</x:v>
      </x:c>
      <x:c r="AL4671" s="87" t="str">
        <x:v>statgrad_clean_continuation_v0_07(1).xlsx</x:v>
      </x:c>
      <x:c r="AM4671" s="87" t="str">
        <x:v>MATH_Dec_0212</x:v>
      </x:c>
      <x:c r="AN4671" s="87" t="n">
        <x:v>11</x:v>
      </x:c>
    </x:row>
    <x:row r="4672">
      <x:c r="A4672" s="87" t="n">
        <x:v>4671</x:v>
      </x:c>
      <x:c r="B4672" s="87" t="str">
        <x:v>DEC-MATH-12-011</x:v>
      </x:c>
      <x:c r="C4672" s="87" t="str">
        <x:v>СтатГрад</x:v>
      </x:c>
      <x:c r="D4672" s="87" t="str">
        <x:v>Декабрь 2025</x:v>
      </x:c>
      <x:c r="E4672" s="87"/>
      <x:c r="F4672" s="87"/>
      <x:c r="G4672" s="87" t="str">
        <x:v>Математика</x:v>
      </x:c>
      <x:c r="H4672" s="87" t="n">
        <x:v>11</x:v>
      </x:c>
      <x:c r="I4672" s="87" t="str">
        <x:v>ТР №2</x:v>
      </x:c>
      <x:c r="J4672" s="87" t="str">
        <x:v>МА2510212</x:v>
      </x:c>
      <x:c r="K4672" s="87" t="n">
        <x:v>11</x:v>
      </x:c>
      <x:c r="L4672" s="87" t="str">
        <x:v>Графики функций</x:v>
      </x:c>
      <x:c r="M4672" s="30" t="str">
        <x:v>На рисунке изображены графики функций ( ) k f x x = и ( ) g x ax b = + , которые пересекаются в точках A и B . Найдите абсциссу точки B . y 1 x 0 1 A</x:v>
      </x:c>
      <x:c r="N4672" s="30" t="str">
        <x:v>-0,25</x:v>
      </x:c>
      <x:c r="O4672" s="30" t="str">
        <x:v>Координата точки пересечения считана/вычислена по графикам.</x:v>
      </x:c>
      <x:c r="P4672" s="30" t="str">
        <x:v>Условие и полный визуал просмотрены; ответ пересчитан/логически проверен и совпал с LOCKED-ключом.</x:v>
      </x:c>
      <x:c r="Q4672" s="30"/>
      <x:c r="R4672" s="30" t="str">
        <x:v>-0,25</x:v>
      </x:c>
      <x:c r="S4672" s="30"/>
      <x:c r="T4672" s="30" t="str">
        <x:v>Профиль.jpg (Восток)</x:v>
      </x:c>
      <x:c r="U4672" s="30" t="str">
        <x:v>Расхождений нет.</x:v>
      </x:c>
      <x:c r="V4672" s="87" t="str">
        <x:v>VERIFIED</x:v>
      </x:c>
      <x:c r="W4672" s="87"/>
      <x:c r="X4672" s="87" t="n">
        <x:v>10</x:v>
      </x:c>
      <x:c r="Y4672" s="87"/>
      <x:c r="Z4672" s="87"/>
      <x:c r="AA4672" s="87"/>
      <x:c r="AB4672" s="87" t="str">
        <x:v>таблица, строка 12</x:v>
      </x:c>
      <x:c r="AC4672" s="87" t="str">
        <x:v>VIS-MATH-DEC-PE-TASK-P010</x:v>
      </x:c>
      <x:c r="AD4672" s="87" t="str">
        <x:v>VIS-MATH-DEC-KEY-PE</x:v>
      </x:c>
      <x:c r="AE4672" s="87" t="str">
        <x:v>TASK; KEY</x:v>
      </x:c>
      <x:c r="AF4672" s="87" t="str">
        <x:v>VIS-MATH-DEC-PE-TASK-P010: 10; VIS-MATH-DEC-KEY-PE: 1</x:v>
      </x:c>
      <x:c r="AG4672" s="87" t="str">
        <x:v>RESOLVED</x:v>
      </x:c>
      <x:c r="AH4672" s="87" t="str">
        <x:v>CROP_VERIFIED; TASK_CROP_QA_APPROVED:USE_CONTEXT</x:v>
      </x:c>
      <x:c r="AI4672" s="30" t="str">
        <x:v>{"Уровень": "Профильный"}</x:v>
      </x:c>
      <x:c r="AJ4672" s="87" t="str">
        <x:v>clean</x:v>
      </x:c>
      <x:c r="AK4672" s="87" t="str">
        <x:v>clean-v0.07</x:v>
      </x:c>
      <x:c r="AL4672" s="87" t="str">
        <x:v>statgrad_clean_continuation_v0_07(1).xlsx</x:v>
      </x:c>
      <x:c r="AM4672" s="87" t="str">
        <x:v>MATH_Dec_0212</x:v>
      </x:c>
      <x:c r="AN4672" s="87" t="n">
        <x:v>12</x:v>
      </x:c>
    </x:row>
    <x:row r="4673">
      <x:c r="A4673" s="87" t="n">
        <x:v>4672</x:v>
      </x:c>
      <x:c r="B4673" s="87" t="str">
        <x:v>DEC-MATH-12-012</x:v>
      </x:c>
      <x:c r="C4673" s="87" t="str">
        <x:v>СтатГрад</x:v>
      </x:c>
      <x:c r="D4673" s="87" t="str">
        <x:v>Декабрь 2025</x:v>
      </x:c>
      <x:c r="E4673" s="87"/>
      <x:c r="F4673" s="87"/>
      <x:c r="G4673" s="87" t="str">
        <x:v>Математика</x:v>
      </x:c>
      <x:c r="H4673" s="87" t="n">
        <x:v>11</x:v>
      </x:c>
      <x:c r="I4673" s="87" t="str">
        <x:v>ТР №2</x:v>
      </x:c>
      <x:c r="J4673" s="87" t="str">
        <x:v>МА2510212</x:v>
      </x:c>
      <x:c r="K4673" s="87" t="n">
        <x:v>12</x:v>
      </x:c>
      <x:c r="L4673" s="87" t="str">
        <x:v>Исследование функции</x:v>
      </x:c>
      <x:c r="M4673" s="30" t="str">
        <x:v>Найдите наибольшее значение функции 5 3 3 20 19 y x x = − − на отрезке [ ] 4; 0 − . Часть 2 Для записи решений и ответов на задания 13–19 используйте отдельный лист. Запишите сначала номер выполняемого задания (13, 14 и т. д.), а затем полное обоснованное решение и ответ. Ответы записывайте чётко и разборчиво.</x:v>
      </x:c>
      <x:c r="N4673" s="30" t="str">
        <x:v>45</x:v>
      </x:c>
      <x:c r="O4673" s="30" t="str">
        <x:v>Проверены критические точки и концы заданного отрезка.</x:v>
      </x:c>
      <x:c r="P4673" s="30" t="str">
        <x:v>Условие и полный визуал просмотрены; ответ пересчитан/логически проверен и совпал с LOCKED-ключом.</x:v>
      </x:c>
      <x:c r="Q4673" s="30"/>
      <x:c r="R4673" s="30" t="str">
        <x:v>45</x:v>
      </x:c>
      <x:c r="S4673" s="30"/>
      <x:c r="T4673" s="30" t="str">
        <x:v>Профиль.jpg (Восток)</x:v>
      </x:c>
      <x:c r="U4673" s="30" t="str">
        <x:v>Расхождений нет.</x:v>
      </x:c>
      <x:c r="V4673" s="87" t="str">
        <x:v>VERIFIED</x:v>
      </x:c>
      <x:c r="W4673" s="87"/>
      <x:c r="X4673" s="87" t="n">
        <x:v>11</x:v>
      </x:c>
      <x:c r="Y4673" s="87"/>
      <x:c r="Z4673" s="87"/>
      <x:c r="AA4673" s="87"/>
      <x:c r="AB4673" s="87" t="str">
        <x:v>таблица, строка 12</x:v>
      </x:c>
      <x:c r="AC4673" s="87" t="str">
        <x:v>VIS-MATH-DEC-PE-TASK-P011</x:v>
      </x:c>
      <x:c r="AD4673" s="87" t="str">
        <x:v>VIS-MATH-DEC-KEY-PE</x:v>
      </x:c>
      <x:c r="AE4673" s="87" t="str">
        <x:v>TASK; KEY</x:v>
      </x:c>
      <x:c r="AF4673" s="87" t="str">
        <x:v>VIS-MATH-DEC-PE-TASK-P011: 11; VIS-MATH-DEC-KEY-PE: 1</x:v>
      </x:c>
      <x:c r="AG4673" s="87" t="str">
        <x:v>RESOLVED</x:v>
      </x:c>
      <x:c r="AH4673" s="87" t="str">
        <x:v>CROP_VERIFIED</x:v>
      </x:c>
      <x:c r="AI4673" s="30" t="str">
        <x:v>{"Уровень": "Профильный"}</x:v>
      </x:c>
      <x:c r="AJ4673" s="87" t="str">
        <x:v>clean</x:v>
      </x:c>
      <x:c r="AK4673" s="87" t="str">
        <x:v>clean-v0.07</x:v>
      </x:c>
      <x:c r="AL4673" s="87" t="str">
        <x:v>statgrad_clean_continuation_v0_07(1).xlsx</x:v>
      </x:c>
      <x:c r="AM4673" s="87" t="str">
        <x:v>MATH_Dec_0212</x:v>
      </x:c>
      <x:c r="AN4673" s="87" t="n">
        <x:v>13</x:v>
      </x:c>
    </x:row>
    <x:row r="4674">
      <x:c r="A4674" s="87" t="n">
        <x:v>4673</x:v>
      </x:c>
      <x:c r="B4674" s="87" t="str">
        <x:v>DEC-MATH-12-013</x:v>
      </x:c>
      <x:c r="C4674" s="87" t="str">
        <x:v>СтатГрад</x:v>
      </x:c>
      <x:c r="D4674" s="87" t="str">
        <x:v>Декабрь 2025</x:v>
      </x:c>
      <x:c r="E4674" s="87"/>
      <x:c r="F4674" s="87"/>
      <x:c r="G4674" s="87" t="str">
        <x:v>Математика</x:v>
      </x:c>
      <x:c r="H4674" s="87" t="n">
        <x:v>11</x:v>
      </x:c>
      <x:c r="I4674" s="87" t="str">
        <x:v>ТР №2</x:v>
      </x:c>
      <x:c r="J4674" s="87" t="str">
        <x:v>МА2510212</x:v>
      </x:c>
      <x:c r="K4674" s="87" t="n">
        <x:v>13</x:v>
      </x:c>
      <x:c r="L4674" s="87" t="str">
        <x:v>Тригонометрическое уравнение</x:v>
      </x:c>
      <x:c r="M4674" s="30" t="str">
        <x:v>а) Решите уравнение ( ) ( ) 3 sin sin 3 0 2 2 x x π + − π + = . б) Найдите все корни этого уравнения, принадлежащие отрезку [ ] 10 ; 7 − π −π .</x:v>
      </x:c>
      <x:c r="N4674" s="30" t="str">
        <x:v>а) x=π+2πn; x=π/3+4πm; x=5π/3+4πl; б) −9π, −7π, −23π/3</x:v>
      </x:c>
      <x:c r="O4674" s="30" t="str">
        <x:v>Тригонометрическое уравнение разложено на множители; затем отобраны корни на отрезке.</x:v>
      </x:c>
      <x:c r="P4674" s="30" t="str">
        <x:v>Развёрнутое решение и итоговый ответ сверены с официальными критериями; ключевые преобразования проверены независимо.</x:v>
      </x:c>
      <x:c r="Q4674" s="30"/>
      <x:c r="R4674" s="30" t="str">
        <x:v>а) x=π+2πn; x=π/3+4πm; x=5π/3+4πl; б) −9π, −7π, −23π/3</x:v>
      </x:c>
      <x:c r="S4674" s="30"/>
      <x:c r="T4674" s="30" t="str">
        <x:v>Kriterii_MA11_18122025_vostok.pdf</x:v>
      </x:c>
      <x:c r="U4674" s="30" t="str">
        <x:v>Расхождений нет.</x:v>
      </x:c>
      <x:c r="V4674" s="87" t="str">
        <x:v>VERIFIED</x:v>
      </x:c>
      <x:c r="W4674" s="87"/>
      <x:c r="X4674" s="87" t="n">
        <x:v>11</x:v>
      </x:c>
      <x:c r="Y4674" s="87"/>
      <x:c r="Z4674" s="87"/>
      <x:c r="AA4674" s="87"/>
      <x:c r="AB4674" s="87" t="str">
        <x:v>стр. 9</x:v>
      </x:c>
      <x:c r="AC4674" s="87" t="str">
        <x:v>VIS-MATH-DEC-PE-TASK-P011</x:v>
      </x:c>
      <x:c r="AD4674" s="87" t="str">
        <x:v>VIS-MATH-DEC-CE-CRIT-P009</x:v>
      </x:c>
      <x:c r="AE4674" s="87" t="str">
        <x:v>TASK; CRIT</x:v>
      </x:c>
      <x:c r="AF4674" s="87" t="str">
        <x:v>VIS-MATH-DEC-PE-TASK-P011: 11; VIS-MATH-DEC-CE-CRIT-P009: 9</x:v>
      </x:c>
      <x:c r="AG4674" s="87" t="str">
        <x:v>RESOLVED</x:v>
      </x:c>
      <x:c r="AH4674" s="87" t="str">
        <x:v>CROP_VERIFIED</x:v>
      </x:c>
      <x:c r="AI4674" s="30" t="str">
        <x:v>{"Уровень": "Профильный"}</x:v>
      </x:c>
      <x:c r="AJ4674" s="87" t="str">
        <x:v>clean</x:v>
      </x:c>
      <x:c r="AK4674" s="87" t="str">
        <x:v>clean-v0.07</x:v>
      </x:c>
      <x:c r="AL4674" s="87" t="str">
        <x:v>statgrad_clean_continuation_v0_07(1).xlsx</x:v>
      </x:c>
      <x:c r="AM4674" s="87" t="str">
        <x:v>MATH_Dec_0212</x:v>
      </x:c>
      <x:c r="AN4674" s="87" t="n">
        <x:v>14</x:v>
      </x:c>
    </x:row>
    <x:row r="4675">
      <x:c r="A4675" s="87" t="n">
        <x:v>4674</x:v>
      </x:c>
      <x:c r="B4675" s="87" t="str">
        <x:v>DEC-MATH-12-014</x:v>
      </x:c>
      <x:c r="C4675" s="87" t="str">
        <x:v>СтатГрад</x:v>
      </x:c>
      <x:c r="D4675" s="87" t="str">
        <x:v>Декабрь 2025</x:v>
      </x:c>
      <x:c r="E4675" s="87"/>
      <x:c r="F4675" s="87"/>
      <x:c r="G4675" s="87" t="str">
        <x:v>Математика</x:v>
      </x:c>
      <x:c r="H4675" s="87" t="n">
        <x:v>11</x:v>
      </x:c>
      <x:c r="I4675" s="87" t="str">
        <x:v>ТР №2</x:v>
      </x:c>
      <x:c r="J4675" s="87" t="str">
        <x:v>МА2510212</x:v>
      </x:c>
      <x:c r="K4675" s="87" t="n">
        <x:v>14</x:v>
      </x:c>
      <x:c r="L4675" s="87" t="str">
        <x:v>Стереометрия: доказательство и вычисление</x:v>
      </x:c>
      <x:c r="M4675" s="30" t="str">
        <x:v>В правильной треугольной призме 1 1 1 ABCA B C отметили точки M и K на рёбрах 1 AA и 1 1 A B соответственно. Известно, что 1 2 3 , A M MA = 1 1. A K KB = Через точки M и K провели плоскость α перпендикулярно грани 1 1. ABB A а) Докажите, что плоскость α проходит через вершину 1. C б) Найдите площадь сечения призмы 1 1 1 ABCA B C плоскостью α, если все рёбра призмы равны 40.</x:v>
      </x:c>
      <x:c r="N4675" s="30" t="str">
        <x:v>а) плоскость α проходит через C₁; б) 40√183</x:v>
      </x:c>
      <x:c r="O4675" s="30" t="str">
        <x:v>Перпендикулярность плоскостей сведена к перпендикулярности прямых; площадь сечения найдена через прямоугольный треугольник.</x:v>
      </x:c>
      <x:c r="P4675" s="30" t="str">
        <x:v>Развёрнутое решение и итоговый ответ сверены с официальными критериями; ключевые преобразования проверены независимо.</x:v>
      </x:c>
      <x:c r="Q4675" s="30"/>
      <x:c r="R4675" s="30" t="str">
        <x:v>а) плоскость α проходит через C₁; б) 40√183</x:v>
      </x:c>
      <x:c r="S4675" s="30"/>
      <x:c r="T4675" s="30" t="str">
        <x:v>Kriterii_MA11_18122025_vostok.pdf</x:v>
      </x:c>
      <x:c r="U4675" s="30" t="str">
        <x:v>Расхождений нет.</x:v>
      </x:c>
      <x:c r="V4675" s="87" t="str">
        <x:v>VERIFIED</x:v>
      </x:c>
      <x:c r="W4675" s="87"/>
      <x:c r="X4675" s="87" t="n">
        <x:v>11</x:v>
      </x:c>
      <x:c r="Y4675" s="87"/>
      <x:c r="Z4675" s="87"/>
      <x:c r="AA4675" s="87"/>
      <x:c r="AB4675" s="87" t="str">
        <x:v>стр. 10, 11</x:v>
      </x:c>
      <x:c r="AC4675" s="87" t="str">
        <x:v>VIS-MATH-DEC-PE-TASK-P011</x:v>
      </x:c>
      <x:c r="AD4675" s="87" t="str">
        <x:v>VIS-MATH-DEC-CE-CRIT-P010; VIS-MATH-DEC-CE-CRIT-P011</x:v>
      </x:c>
      <x:c r="AE4675" s="87" t="str">
        <x:v>TASK; CRIT</x:v>
      </x:c>
      <x:c r="AF4675" s="87" t="str">
        <x:v>VIS-MATH-DEC-PE-TASK-P011: 11; VIS-MATH-DEC-CE-CRIT-P010: 10; VIS-MATH-DEC-CE-CRIT-P011: 11</x:v>
      </x:c>
      <x:c r="AG4675" s="87" t="str">
        <x:v>RESOLVED</x:v>
      </x:c>
      <x:c r="AH4675" s="87" t="str">
        <x:v>CROP_VERIFIED</x:v>
      </x:c>
      <x:c r="AI4675" s="30" t="str">
        <x:v>{"Уровень": "Профильный"}</x:v>
      </x:c>
      <x:c r="AJ4675" s="87" t="str">
        <x:v>clean</x:v>
      </x:c>
      <x:c r="AK4675" s="87" t="str">
        <x:v>clean-v0.07</x:v>
      </x:c>
      <x:c r="AL4675" s="87" t="str">
        <x:v>statgrad_clean_continuation_v0_07(1).xlsx</x:v>
      </x:c>
      <x:c r="AM4675" s="87" t="str">
        <x:v>MATH_Dec_0212</x:v>
      </x:c>
      <x:c r="AN4675" s="87" t="n">
        <x:v>15</x:v>
      </x:c>
    </x:row>
    <x:row r="4676">
      <x:c r="A4676" s="87" t="n">
        <x:v>4675</x:v>
      </x:c>
      <x:c r="B4676" s="87" t="str">
        <x:v>DEC-MATH-12-015</x:v>
      </x:c>
      <x:c r="C4676" s="87" t="str">
        <x:v>СтатГрад</x:v>
      </x:c>
      <x:c r="D4676" s="87" t="str">
        <x:v>Декабрь 2025</x:v>
      </x:c>
      <x:c r="E4676" s="87"/>
      <x:c r="F4676" s="87"/>
      <x:c r="G4676" s="87" t="str">
        <x:v>Математика</x:v>
      </x:c>
      <x:c r="H4676" s="87" t="n">
        <x:v>11</x:v>
      </x:c>
      <x:c r="I4676" s="87" t="str">
        <x:v>ТР №2</x:v>
      </x:c>
      <x:c r="J4676" s="87" t="str">
        <x:v>МА2510212</x:v>
      </x:c>
      <x:c r="K4676" s="87" t="n">
        <x:v>15</x:v>
      </x:c>
      <x:c r="L4676" s="87" t="str">
        <x:v>Логарифмическое неравенство</x:v>
      </x:c>
      <x:c r="M4676" s="30" t="str">
        <x:v>Решите неравенство ( ) ( ) ( ) ( ) 5 31 log 5 log 31 2 6 2 log 5 31 3 log 4 x x x x − + + + ≥ − .</x:v>
      </x:c>
      <x:c r="N4676" s="30" t="str">
        <x:v>[−4;0) ∪ (4;5)</x:v>
      </x:c>
      <x:c r="O4676" s="30" t="str">
        <x:v>Логарифмическое выражение упрощено с обязательным учётом ОДЗ; решена система неравенств.</x:v>
      </x:c>
      <x:c r="P4676" s="30" t="str">
        <x:v>Развёрнутое решение и итоговый ответ сверены с официальными критериями; ключевые преобразования проверены независимо.</x:v>
      </x:c>
      <x:c r="Q4676" s="30"/>
      <x:c r="R4676" s="30" t="str">
        <x:v>[−4;0) ∪ (4;5)</x:v>
      </x:c>
      <x:c r="S4676" s="30"/>
      <x:c r="T4676" s="30" t="str">
        <x:v>Kriterii_MA11_18122025_vostok.pdf</x:v>
      </x:c>
      <x:c r="U4676" s="30" t="str">
        <x:v>Расхождений нет.</x:v>
      </x:c>
      <x:c r="V4676" s="87" t="str">
        <x:v>VERIFIED</x:v>
      </x:c>
      <x:c r="W4676" s="87"/>
      <x:c r="X4676" s="87" t="n">
        <x:v>11</x:v>
      </x:c>
      <x:c r="Y4676" s="87"/>
      <x:c r="Z4676" s="87"/>
      <x:c r="AA4676" s="87"/>
      <x:c r="AB4676" s="87" t="str">
        <x:v>стр. 11, 12</x:v>
      </x:c>
      <x:c r="AC4676" s="87" t="str">
        <x:v>VIS-MATH-DEC-PE-TASK-P011</x:v>
      </x:c>
      <x:c r="AD4676" s="87" t="str">
        <x:v>VIS-MATH-DEC-CE-CRIT-P011; VIS-MATH-DEC-CE-CRIT-P012</x:v>
      </x:c>
      <x:c r="AE4676" s="87" t="str">
        <x:v>TASK; CRIT</x:v>
      </x:c>
      <x:c r="AF4676" s="87" t="str">
        <x:v>VIS-MATH-DEC-PE-TASK-P011: 11; VIS-MATH-DEC-CE-CRIT-P011: 11; VIS-MATH-DEC-CE-CRIT-P012: 12</x:v>
      </x:c>
      <x:c r="AG4676" s="87" t="str">
        <x:v>RESOLVED</x:v>
      </x:c>
      <x:c r="AH4676" s="87" t="str">
        <x:v>CROP_VERIFIED</x:v>
      </x:c>
      <x:c r="AI4676" s="30" t="str">
        <x:v>{"Уровень": "Профильный"}</x:v>
      </x:c>
      <x:c r="AJ4676" s="87" t="str">
        <x:v>clean</x:v>
      </x:c>
      <x:c r="AK4676" s="87" t="str">
        <x:v>clean-v0.07</x:v>
      </x:c>
      <x:c r="AL4676" s="87" t="str">
        <x:v>statgrad_clean_continuation_v0_07(1).xlsx</x:v>
      </x:c>
      <x:c r="AM4676" s="87" t="str">
        <x:v>MATH_Dec_0212</x:v>
      </x:c>
      <x:c r="AN4676" s="87" t="n">
        <x:v>16</x:v>
      </x:c>
    </x:row>
    <x:row r="4677">
      <x:c r="A4677" s="87" t="n">
        <x:v>4676</x:v>
      </x:c>
      <x:c r="B4677" s="87" t="str">
        <x:v>DEC-MATH-12-016</x:v>
      </x:c>
      <x:c r="C4677" s="87" t="str">
        <x:v>СтатГрад</x:v>
      </x:c>
      <x:c r="D4677" s="87" t="str">
        <x:v>Декабрь 2025</x:v>
      </x:c>
      <x:c r="E4677" s="87"/>
      <x:c r="F4677" s="87"/>
      <x:c r="G4677" s="87" t="str">
        <x:v>Математика</x:v>
      </x:c>
      <x:c r="H4677" s="87" t="n">
        <x:v>11</x:v>
      </x:c>
      <x:c r="I4677" s="87" t="str">
        <x:v>ТР №2</x:v>
      </x:c>
      <x:c r="J4677" s="87" t="str">
        <x:v>МА2510212</x:v>
      </x:c>
      <x:c r="K4677" s="87" t="n">
        <x:v>16</x:v>
      </x:c>
      <x:c r="L4677" s="87" t="str">
        <x:v>Финансовая математика</x:v>
      </x:c>
      <x:c r="M4677" s="30" t="str">
        <x:v>15 декабря 2026 года планируется взять кредит в банке на сумму 19,8 млн рублей на 36 месяцев. Условия его возврата таковы: – 1-го числа каждого месяца долг возрастает на 7 % по сравнению с концом предыдущего месяца; – со 2-го по 14-е число каждого месяца необходимо одним платежом оплатить часть долга; – 15-го числа каждого месяца долг должен быть на одну и ту же величину меньше долга на 15-е число предыдущего месяца; – к 15 декабря 2029 года кредит должен быть полностью погашен. Чему будет равна общая сумма платежей в 2029 году?</x:v>
      </x:c>
      <x:c r="N4677" s="30" t="str">
        <x:v>9 603 000 руб.</x:v>
      </x:c>
      <x:c r="O4677" s="30" t="str">
        <x:v>Долг уменьшается равными долями; платежи последнего года образуют арифметически суммируемую последовательность.</x:v>
      </x:c>
      <x:c r="P4677" s="30" t="str">
        <x:v>Развёрнутое решение и итоговый ответ сверены с официальными критериями; ключевые преобразования проверены независимо.</x:v>
      </x:c>
      <x:c r="Q4677" s="30"/>
      <x:c r="R4677" s="30" t="str">
        <x:v>9 603 000 руб.</x:v>
      </x:c>
      <x:c r="S4677" s="30"/>
      <x:c r="T4677" s="30" t="str">
        <x:v>Kriterii_MA11_18122025_vostok.pdf</x:v>
      </x:c>
      <x:c r="U4677" s="30" t="str">
        <x:v>Расхождений нет.</x:v>
      </x:c>
      <x:c r="V4677" s="87" t="str">
        <x:v>VERIFIED</x:v>
      </x:c>
      <x:c r="W4677" s="87"/>
      <x:c r="X4677" s="87" t="n">
        <x:v>12</x:v>
      </x:c>
      <x:c r="Y4677" s="87"/>
      <x:c r="Z4677" s="87"/>
      <x:c r="AA4677" s="87"/>
      <x:c r="AB4677" s="87" t="str">
        <x:v>стр. 12</x:v>
      </x:c>
      <x:c r="AC4677" s="87" t="str">
        <x:v>VIS-MATH-DEC-PE-TASK-P012</x:v>
      </x:c>
      <x:c r="AD4677" s="87" t="str">
        <x:v>VIS-MATH-DEC-CE-CRIT-P012</x:v>
      </x:c>
      <x:c r="AE4677" s="87" t="str">
        <x:v>TASK; CRIT</x:v>
      </x:c>
      <x:c r="AF4677" s="87" t="str">
        <x:v>VIS-MATH-DEC-PE-TASK-P012: 12; VIS-MATH-DEC-CE-CRIT-P012: 12</x:v>
      </x:c>
      <x:c r="AG4677" s="87" t="str">
        <x:v>RESOLVED</x:v>
      </x:c>
      <x:c r="AH4677" s="87" t="str">
        <x:v>CROP_VERIFIED</x:v>
      </x:c>
      <x:c r="AI4677" s="30" t="str">
        <x:v>{"Уровень": "Профильный"}</x:v>
      </x:c>
      <x:c r="AJ4677" s="87" t="str">
        <x:v>clean</x:v>
      </x:c>
      <x:c r="AK4677" s="87" t="str">
        <x:v>clean-v0.07</x:v>
      </x:c>
      <x:c r="AL4677" s="87" t="str">
        <x:v>statgrad_clean_continuation_v0_07(1).xlsx</x:v>
      </x:c>
      <x:c r="AM4677" s="87" t="str">
        <x:v>MATH_Dec_0212</x:v>
      </x:c>
      <x:c r="AN4677" s="87" t="n">
        <x:v>17</x:v>
      </x:c>
    </x:row>
    <x:row r="4678">
      <x:c r="A4678" s="87" t="n">
        <x:v>4677</x:v>
      </x:c>
      <x:c r="B4678" s="87" t="str">
        <x:v>DEC-MATH-12-017</x:v>
      </x:c>
      <x:c r="C4678" s="87" t="str">
        <x:v>СтатГрад</x:v>
      </x:c>
      <x:c r="D4678" s="87" t="str">
        <x:v>Декабрь 2025</x:v>
      </x:c>
      <x:c r="E4678" s="87"/>
      <x:c r="F4678" s="87"/>
      <x:c r="G4678" s="87" t="str">
        <x:v>Математика</x:v>
      </x:c>
      <x:c r="H4678" s="87" t="n">
        <x:v>11</x:v>
      </x:c>
      <x:c r="I4678" s="87" t="str">
        <x:v>ТР №2</x:v>
      </x:c>
      <x:c r="J4678" s="87" t="str">
        <x:v>МА2510212</x:v>
      </x:c>
      <x:c r="K4678" s="87" t="n">
        <x:v>17</x:v>
      </x:c>
      <x:c r="L4678" s="87" t="str">
        <x:v>Планиметрия: доказательство</x:v>
      </x:c>
      <x:c r="M4678" s="30" t="str">
        <x:v>В треугольнике ABC все стороны различны. Прямая, содержащая высоту BH треугольника ABC , вторично пересекает описанную около этого треугольника окружность в точке K . Отрезок BN — диаметр этой окружности. а) Докажите, что прямые AC и KN параллельны. б) Найдите расстояние от точки N до прямой AC , если радиус описанной около треугольника ABC окружности равен 8 6 , 30 BAC ∠ = °, 105 ABC ∠ = °.</x:v>
      </x:c>
      <x:c r="N4678" s="30" t="str">
        <x:v>а) AC ∥ KN; б) 24</x:v>
      </x:c>
      <x:c r="O4678" s="30" t="str">
        <x:v>Параллельность доказана через общую перпендикулярность; расстояние вычислено по вписанным углам и радиусу.</x:v>
      </x:c>
      <x:c r="P4678" s="30" t="str">
        <x:v>Развёрнутое решение и итоговый ответ сверены с официальными критериями; ключевые преобразования проверены независимо.</x:v>
      </x:c>
      <x:c r="Q4678" s="30"/>
      <x:c r="R4678" s="30" t="str">
        <x:v>а) AC ∥ KN; б) 24</x:v>
      </x:c>
      <x:c r="S4678" s="30"/>
      <x:c r="T4678" s="30" t="str">
        <x:v>Kriterii_MA11_18122025_vostok.pdf</x:v>
      </x:c>
      <x:c r="U4678" s="30" t="str">
        <x:v>Расхождений нет.</x:v>
      </x:c>
      <x:c r="V4678" s="87" t="str">
        <x:v>VERIFIED</x:v>
      </x:c>
      <x:c r="W4678" s="87"/>
      <x:c r="X4678" s="87" t="n">
        <x:v>12</x:v>
      </x:c>
      <x:c r="Y4678" s="87"/>
      <x:c r="Z4678" s="87"/>
      <x:c r="AA4678" s="87"/>
      <x:c r="AB4678" s="87" t="str">
        <x:v>стр. 13</x:v>
      </x:c>
      <x:c r="AC4678" s="87" t="str">
        <x:v>VIS-MATH-DEC-PE-TASK-P012</x:v>
      </x:c>
      <x:c r="AD4678" s="87" t="str">
        <x:v>VIS-MATH-DEC-CE-CRIT-P013</x:v>
      </x:c>
      <x:c r="AE4678" s="87" t="str">
        <x:v>TASK; CRIT</x:v>
      </x:c>
      <x:c r="AF4678" s="87" t="str">
        <x:v>VIS-MATH-DEC-PE-TASK-P012: 12; VIS-MATH-DEC-CE-CRIT-P013: 13</x:v>
      </x:c>
      <x:c r="AG4678" s="87" t="str">
        <x:v>RESOLVED</x:v>
      </x:c>
      <x:c r="AH4678" s="87" t="str">
        <x:v>CROP_VERIFIED</x:v>
      </x:c>
      <x:c r="AI4678" s="30" t="str">
        <x:v>{"Уровень": "Профильный"}</x:v>
      </x:c>
      <x:c r="AJ4678" s="87" t="str">
        <x:v>clean</x:v>
      </x:c>
      <x:c r="AK4678" s="87" t="str">
        <x:v>clean-v0.07</x:v>
      </x:c>
      <x:c r="AL4678" s="87" t="str">
        <x:v>statgrad_clean_continuation_v0_07(1).xlsx</x:v>
      </x:c>
      <x:c r="AM4678" s="87" t="str">
        <x:v>MATH_Dec_0212</x:v>
      </x:c>
      <x:c r="AN4678" s="87" t="n">
        <x:v>18</x:v>
      </x:c>
    </x:row>
    <x:row r="4679">
      <x:c r="A4679" s="87" t="n">
        <x:v>4678</x:v>
      </x:c>
      <x:c r="B4679" s="87" t="str">
        <x:v>DEC-MATH-12-018</x:v>
      </x:c>
      <x:c r="C4679" s="87" t="str">
        <x:v>СтатГрад</x:v>
      </x:c>
      <x:c r="D4679" s="87" t="str">
        <x:v>Декабрь 2025</x:v>
      </x:c>
      <x:c r="E4679" s="87"/>
      <x:c r="F4679" s="87"/>
      <x:c r="G4679" s="87" t="str">
        <x:v>Математика</x:v>
      </x:c>
      <x:c r="H4679" s="87" t="n">
        <x:v>11</x:v>
      </x:c>
      <x:c r="I4679" s="87" t="str">
        <x:v>ТР №2</x:v>
      </x:c>
      <x:c r="J4679" s="87" t="str">
        <x:v>МА2510212</x:v>
      </x:c>
      <x:c r="K4679" s="87" t="n">
        <x:v>18</x:v>
      </x:c>
      <x:c r="L4679" s="87" t="str">
        <x:v>Уравнение с параметром</x:v>
      </x:c>
      <x:c r="M4679" s="30" t="str">
        <x:v>Найдите все значения ,a при каждом из которых уравнение 2 9 9 3 49 21 0 a x x a x x     + + + − + =         имеет ровно два различных корня.</x:v>
      </x:c>
      <x:c r="N4679" s="30" t="str">
        <x:v>a=0; a=3/14; 3/13&lt;a&lt;3</x:v>
      </x:c>
      <x:c r="O4679" s="30" t="str">
        <x:v>Введена замена y=x+c/x; число корней определено по положению корней квадратного уравнения относительно диапазона y.</x:v>
      </x:c>
      <x:c r="P4679" s="30" t="str">
        <x:v>Развёрнутое решение и итоговый ответ сверены с официальными критериями; ключевые преобразования проверены независимо.</x:v>
      </x:c>
      <x:c r="Q4679" s="30"/>
      <x:c r="R4679" s="30" t="str">
        <x:v>a=0; a=3/14; 3/13&lt;a&lt;3</x:v>
      </x:c>
      <x:c r="S4679" s="30"/>
      <x:c r="T4679" s="30" t="str">
        <x:v>Kriterii_MA11_18122025_vostok.pdf</x:v>
      </x:c>
      <x:c r="U4679" s="30" t="str">
        <x:v>Расхождений нет.</x:v>
      </x:c>
      <x:c r="V4679" s="87" t="str">
        <x:v>VERIFIED</x:v>
      </x:c>
      <x:c r="W4679" s="87"/>
      <x:c r="X4679" s="87" t="n">
        <x:v>12</x:v>
      </x:c>
      <x:c r="Y4679" s="87"/>
      <x:c r="Z4679" s="87"/>
      <x:c r="AA4679" s="87"/>
      <x:c r="AB4679" s="87" t="str">
        <x:v>стр. 14, 15</x:v>
      </x:c>
      <x:c r="AC4679" s="87" t="str">
        <x:v>VIS-MATH-DEC-PE-TASK-P012</x:v>
      </x:c>
      <x:c r="AD4679" s="87" t="str">
        <x:v>VIS-MATH-DEC-CE-CRIT-P014; VIS-MATH-DEC-CE-CRIT-P015</x:v>
      </x:c>
      <x:c r="AE4679" s="87" t="str">
        <x:v>TASK; CRIT</x:v>
      </x:c>
      <x:c r="AF4679" s="87" t="str">
        <x:v>VIS-MATH-DEC-PE-TASK-P012: 12; VIS-MATH-DEC-CE-CRIT-P014: 14; VIS-MATH-DEC-CE-CRIT-P015: 15</x:v>
      </x:c>
      <x:c r="AG4679" s="87" t="str">
        <x:v>RESOLVED</x:v>
      </x:c>
      <x:c r="AH4679" s="87" t="str">
        <x:v>CROP_VERIFIED</x:v>
      </x:c>
      <x:c r="AI4679" s="30" t="str">
        <x:v>{"Уровень": "Профильный"}</x:v>
      </x:c>
      <x:c r="AJ4679" s="87" t="str">
        <x:v>clean</x:v>
      </x:c>
      <x:c r="AK4679" s="87" t="str">
        <x:v>clean-v0.07</x:v>
      </x:c>
      <x:c r="AL4679" s="87" t="str">
        <x:v>statgrad_clean_continuation_v0_07(1).xlsx</x:v>
      </x:c>
      <x:c r="AM4679" s="87" t="str">
        <x:v>MATH_Dec_0212</x:v>
      </x:c>
      <x:c r="AN4679" s="87" t="n">
        <x:v>19</x:v>
      </x:c>
    </x:row>
    <x:row r="4680">
      <x:c r="A4680" s="87" t="n">
        <x:v>4679</x:v>
      </x:c>
      <x:c r="B4680" s="87" t="str">
        <x:v>DEC-MATH-12-019</x:v>
      </x:c>
      <x:c r="C4680" s="87" t="str">
        <x:v>СтатГрад</x:v>
      </x:c>
      <x:c r="D4680" s="87" t="str">
        <x:v>Декабрь 2025</x:v>
      </x:c>
      <x:c r="E4680" s="87"/>
      <x:c r="F4680" s="87"/>
      <x:c r="G4680" s="87" t="str">
        <x:v>Математика</x:v>
      </x:c>
      <x:c r="H4680" s="87" t="n">
        <x:v>11</x:v>
      </x:c>
      <x:c r="I4680" s="87" t="str">
        <x:v>ТР №2</x:v>
      </x:c>
      <x:c r="J4680" s="87" t="str">
        <x:v>МА2510212</x:v>
      </x:c>
      <x:c r="K4680" s="87" t="n">
        <x:v>19</x:v>
      </x:c>
      <x:c r="L4680" s="87" t="str">
        <x:v>Комбинаторика и теория чисел</x:v>
      </x:c>
      <x:c r="M4680" s="30" t="str">
        <x:v>На доске написано n единиц подряд. Между некоторыми из них расставляют знаки «+» и считают получившуюся сумму. Например, если было написано 10 единиц, то можно получить сумму 136: 1 1 111 11 11 1 136 + + + + + = . а) Можно ли получить сумму 134, если 80 n = ? б) Можно ли получить сумму 134, если 90 n = ? в) Для скольких значений n можно получить сумму 134?</x:v>
      </x:c>
      <x:c r="N4680" s="30" t="str">
        <x:v>а) да; б) нет; в) 15</x:v>
      </x:c>
      <x:c r="O4680" s="30" t="str">
        <x:v>Использованы остатки и представление числа как суммы блоков единиц; затем подсчитаны допустимые n.</x:v>
      </x:c>
      <x:c r="P4680" s="30" t="str">
        <x:v>Развёрнутое решение и итоговый ответ сверены с официальными критериями; ключевые преобразования проверены независимо.</x:v>
      </x:c>
      <x:c r="Q4680" s="30"/>
      <x:c r="R4680" s="30" t="str">
        <x:v>а) да; б) нет; в) 15</x:v>
      </x:c>
      <x:c r="S4680" s="30"/>
      <x:c r="T4680" s="30" t="str">
        <x:v>Kriterii_MA11_18122025_vostok.pdf</x:v>
      </x:c>
      <x:c r="U4680" s="30" t="str">
        <x:v>Расхождений нет.</x:v>
      </x:c>
      <x:c r="V4680" s="87" t="str">
        <x:v>VERIFIED</x:v>
      </x:c>
      <x:c r="W4680" s="87"/>
      <x:c r="X4680" s="87" t="n">
        <x:v>12</x:v>
      </x:c>
      <x:c r="Y4680" s="87"/>
      <x:c r="Z4680" s="87"/>
      <x:c r="AA4680" s="87"/>
      <x:c r="AB4680" s="87" t="str">
        <x:v>стр. 16</x:v>
      </x:c>
      <x:c r="AC4680" s="87" t="str">
        <x:v>VIS-MATH-DEC-PE-TASK-P012</x:v>
      </x:c>
      <x:c r="AD4680" s="87" t="str">
        <x:v>VIS-MATH-DEC-CE-CRIT-P016</x:v>
      </x:c>
      <x:c r="AE4680" s="87" t="str">
        <x:v>TASK; CRIT</x:v>
      </x:c>
      <x:c r="AF4680" s="87" t="str">
        <x:v>VIS-MATH-DEC-PE-TASK-P012: 12; VIS-MATH-DEC-CE-CRIT-P016: 16</x:v>
      </x:c>
      <x:c r="AG4680" s="87" t="str">
        <x:v>RESOLVED</x:v>
      </x:c>
      <x:c r="AH4680" s="87" t="str">
        <x:v>CROP_VERIFIED</x:v>
      </x:c>
      <x:c r="AI4680" s="30" t="str">
        <x:v>{"Уровень": "Профильный"}</x:v>
      </x:c>
      <x:c r="AJ4680" s="87" t="str">
        <x:v>clean</x:v>
      </x:c>
      <x:c r="AK4680" s="87" t="str">
        <x:v>clean-v0.07</x:v>
      </x:c>
      <x:c r="AL4680" s="87" t="str">
        <x:v>statgrad_clean_continuation_v0_07(1).xlsx</x:v>
      </x:c>
      <x:c r="AM4680" s="87" t="str">
        <x:v>MATH_Dec_0212</x:v>
      </x:c>
      <x:c r="AN4680" s="87" t="n">
        <x:v>20</x:v>
      </x:c>
    </x:row>
    <x:row r="4681">
      <x:c r="A4681" s="87" t="n">
        <x:v>4680</x:v>
      </x:c>
      <x:c r="B4681" s="87" t="str">
        <x:v>DEC-BIO-01-001</x:v>
      </x:c>
      <x:c r="C4681" s="87" t="str">
        <x:v>СтатГрад</x:v>
      </x:c>
      <x:c r="D4681" s="87" t="str">
        <x:v>Декабрь 2025</x:v>
      </x:c>
      <x:c r="E4681" s="87"/>
      <x:c r="F4681" s="87"/>
      <x:c r="G4681" s="87" t="str">
        <x:v>Биология</x:v>
      </x:c>
      <x:c r="H4681" s="87" t="n">
        <x:v>11</x:v>
      </x:c>
      <x:c r="I4681" s="87" t="str">
        <x:v>ТР №2</x:v>
      </x:c>
      <x:c r="J4681" s="87" t="str">
        <x:v>БИ2510201</x:v>
      </x:c>
      <x:c r="K4681" s="87" t="n">
        <x:v>1</x:v>
      </x:c>
      <x:c r="L4681" s="87" t="str">
        <x:v>Определение по рисунку/таблице</x:v>
      </x:c>
      <x:c r="M4681" s="30" t="str">
        <x:v>Рассмотрите таблицу «Уровни организации живой природы». Запишите
    в ответе пропущенный термин, обозначенный в таблице вопросительным
    знаком.
    Уровень организации
                                                      Изображение
      живой природы
        Организменный
                ?
    Ответ: ___________________________.</x:v>
      </x:c>
      <x:c r="N4681" s="30" t="str">
        <x:v>молекулярный</x:v>
      </x:c>
      <x:c r="O4681" s="30" t="str">
        <x:v>Уровень организации определён по изображению в таблице; ответ совпадает с официальным ключом.</x:v>
      </x:c>
      <x:c r="P4681" s="30" t="str">
        <x:v>Условие и визуал просмотрены; ответ проверен по биологической логике/расчёту и сопоставлен с каноническим источником.</x:v>
      </x:c>
      <x:c r="Q4681" s="30"/>
      <x:c r="R4681" s="30" t="str">
        <x:v>молекулярный</x:v>
      </x:c>
      <x:c r="S4681" s="30"/>
      <x:c r="T4681" s="30" t="str">
        <x:v>Kriterii_BI11_19122025.pdf</x:v>
      </x:c>
      <x:c r="U4681" s="30" t="str">
        <x:v>Вторичная крупная картинка не является канонической и исключена из ответа.</x:v>
      </x:c>
      <x:c r="V4681" s="87" t="str">
        <x:v>VERIFIED</x:v>
      </x:c>
      <x:c r="W4681" s="87"/>
      <x:c r="X4681" s="87" t="n">
        <x:v>2</x:v>
      </x:c>
      <x:c r="Y4681" s="87"/>
      <x:c r="Z4681" s="87"/>
      <x:c r="AA4681" s="87"/>
      <x:c r="AB4681" s="87" t="str">
        <x:v>1</x:v>
      </x:c>
      <x:c r="AC4681" s="87" t="str">
        <x:v>VIS-BIO-DEC-TASK-12-P002</x:v>
      </x:c>
      <x:c r="AD4681" s="87" t="str">
        <x:v>VIS-BIO-DEC-CRIT-12-P001</x:v>
      </x:c>
      <x:c r="AE4681" s="87" t="str">
        <x:v>TASK; CRIT</x:v>
      </x:c>
      <x:c r="AF4681" s="87" t="str">
        <x:v>VIS-BIO-DEC-TASK-12-P002: 2; VIS-BIO-DEC-CRIT-12-P001: 1</x:v>
      </x:c>
      <x:c r="AG4681" s="87" t="str">
        <x:v>RESOLVED</x:v>
      </x:c>
      <x:c r="AH4681" s="87" t="str">
        <x:v>CROP_VERIFIED</x:v>
      </x:c>
      <x:c r="AI4681" s="30"/>
      <x:c r="AJ4681" s="87" t="str">
        <x:v>clean</x:v>
      </x:c>
      <x:c r="AK4681" s="87" t="str">
        <x:v>clean-v0.08</x:v>
      </x:c>
      <x:c r="AL4681" s="87" t="str">
        <x:v>statgrad_clean_continuation_v0_08(1).xlsx</x:v>
      </x:c>
      <x:c r="AM4681" s="87" t="str">
        <x:v>BIO_Dec_V1</x:v>
      </x:c>
      <x:c r="AN4681" s="87" t="n">
        <x:v>2</x:v>
      </x:c>
    </x:row>
    <x:row r="4682">
      <x:c r="A4682" s="87" t="n">
        <x:v>4681</x:v>
      </x:c>
      <x:c r="B4682" s="87" t="str">
        <x:v>DEC-BIO-01-002</x:v>
      </x:c>
      <x:c r="C4682" s="87" t="str">
        <x:v>СтатГрад</x:v>
      </x:c>
      <x:c r="D4682" s="87" t="str">
        <x:v>Декабрь 2025</x:v>
      </x:c>
      <x:c r="E4682" s="87"/>
      <x:c r="F4682" s="87"/>
      <x:c r="G4682" s="87" t="str">
        <x:v>Биология</x:v>
      </x:c>
      <x:c r="H4682" s="87" t="n">
        <x:v>11</x:v>
      </x:c>
      <x:c r="I4682" s="87" t="str">
        <x:v>ТР №2</x:v>
      </x:c>
      <x:c r="J4682" s="87" t="str">
        <x:v>БИ2510201</x:v>
      </x:c>
      <x:c r="K4682" s="87" t="n">
        <x:v>2</x:v>
      </x:c>
      <x:c r="L4682" s="87" t="str">
        <x:v>Анализ изменения величин</x:v>
      </x:c>
      <x:c r="M4682" s="30" t="str">
        <x:v>Учёный     измерял    параметры    крови    человека    после введения
    противостолбнячной вакцины. Как при этом изменятся содержание в крови
    человека антигенов столбнячной палочки и антител к ней?
    Для каждой величины определите соответствующий характер её изменения:
          1) увеличится
          2) уменьшится
          3) не изменится
    Запишите в таблицу выбранные цифры для каждой величины. Цифры
    в ответе могут повторяться.
        Содержание в крови антигенов                   Содержание в крови антител
            столбнячной палочки                          к столбнячной палочке</x:v>
      </x:c>
      <x:c r="N4682" s="30" t="str">
        <x:v>11</x:v>
      </x:c>
      <x:c r="O4682" s="30" t="str">
        <x:v>После вакцинации в кровь поступают антигены и формируется активный иммунный ответ, поэтому обе величины увеличиваются.</x:v>
      </x:c>
      <x:c r="P4682" s="30" t="str">
        <x:v>Условие и визуал просмотрены; ответ проверен по биологической логике/расчёту и сопоставлен с каноническим источником.</x:v>
      </x:c>
      <x:c r="Q4682" s="30"/>
      <x:c r="R4682" s="30" t="str">
        <x:v>11</x:v>
      </x:c>
      <x:c r="S4682" s="30"/>
      <x:c r="T4682" s="30" t="str">
        <x:v>IMG_20251220_203648_739.jpg</x:v>
      </x:c>
      <x:c r="U4682" s="30" t="str">
        <x:v>Вторичная крупная картинка не является канонической и исключена из ответа.</x:v>
      </x:c>
      <x:c r="V4682" s="87" t="str">
        <x:v>VERIFIED</x:v>
      </x:c>
      <x:c r="W4682" s="87"/>
      <x:c r="X4682" s="87" t="n">
        <x:v>2</x:v>
      </x:c>
      <x:c r="Y4682" s="87"/>
      <x:c r="Z4682" s="87"/>
      <x:c r="AA4682" s="87"/>
      <x:c r="AB4682" s="87" t="str">
        <x:v>таблица дополнения</x:v>
      </x:c>
      <x:c r="AC4682" s="87" t="str">
        <x:v>VIS-BIO-DEC-TASK-12-P002</x:v>
      </x:c>
      <x:c r="AD4682" s="87" t="str">
        <x:v>VIS-BIO-DEC-KEY-SUPPLEMENT</x:v>
      </x:c>
      <x:c r="AE4682" s="87" t="str">
        <x:v>TASK; KEY_SUPPLEMENT</x:v>
      </x:c>
      <x:c r="AF4682" s="87" t="str">
        <x:v>VIS-BIO-DEC-TASK-12-P002: 2; VIS-BIO-DEC-KEY-SUPPLEMENT: original</x:v>
      </x:c>
      <x:c r="AG4682" s="87" t="str">
        <x:v>RESOLVED</x:v>
      </x:c>
      <x:c r="AH4682" s="87" t="str">
        <x:v>CROP_VERIFIED</x:v>
      </x:c>
      <x:c r="AI4682" s="30"/>
      <x:c r="AJ4682" s="87" t="str">
        <x:v>clean</x:v>
      </x:c>
      <x:c r="AK4682" s="87" t="str">
        <x:v>clean-v0.08</x:v>
      </x:c>
      <x:c r="AL4682" s="87" t="str">
        <x:v>statgrad_clean_continuation_v0_08(1).xlsx</x:v>
      </x:c>
      <x:c r="AM4682" s="87" t="str">
        <x:v>BIO_Dec_V1</x:v>
      </x:c>
      <x:c r="AN4682" s="87" t="n">
        <x:v>3</x:v>
      </x:c>
    </x:row>
    <x:row r="4683">
      <x:c r="A4683" s="87" t="n">
        <x:v>4682</x:v>
      </x:c>
      <x:c r="B4683" s="87" t="str">
        <x:v>DEC-BIO-01-003</x:v>
      </x:c>
      <x:c r="C4683" s="87" t="str">
        <x:v>СтатГрад</x:v>
      </x:c>
      <x:c r="D4683" s="87" t="str">
        <x:v>Декабрь 2025</x:v>
      </x:c>
      <x:c r="E4683" s="87"/>
      <x:c r="F4683" s="87"/>
      <x:c r="G4683" s="87" t="str">
        <x:v>Биология</x:v>
      </x:c>
      <x:c r="H4683" s="87" t="n">
        <x:v>11</x:v>
      </x:c>
      <x:c r="I4683" s="87" t="str">
        <x:v>ТР №2</x:v>
      </x:c>
      <x:c r="J4683" s="87" t="str">
        <x:v>БИ2510201</x:v>
      </x:c>
      <x:c r="K4683" s="87" t="n">
        <x:v>3</x:v>
      </x:c>
      <x:c r="L4683" s="87" t="str">
        <x:v>Расчётная задача</x:v>
      </x:c>
      <x:c r="M4683" s="30" t="str">
        <x:v>В экосистеме моря лосось является консументом второго порядка. Используя
    правило 10 %, рассчитайте объём первичной годовой продукции, если
    на уровень лосося перешло 180 кДж. В ответе запишите только число кДж.
    Ответ: ___________________________.</x:v>
      </x:c>
      <x:c r="N4683" s="30" t="str">
        <x:v>18000</x:v>
      </x:c>
      <x:c r="O4683" s="30" t="str">
        <x:v>По правилу 10% для консумента второго порядка первичная продукция в 100 раз больше: 180×100=18000 кДж.</x:v>
      </x:c>
      <x:c r="P4683" s="30" t="str">
        <x:v>Условие и визуал просмотрены; ответ проверен по биологической логике/расчёту и сопоставлен с каноническим источником.</x:v>
      </x:c>
      <x:c r="Q4683" s="30"/>
      <x:c r="R4683" s="30" t="str">
        <x:v>18000</x:v>
      </x:c>
      <x:c r="S4683" s="30"/>
      <x:c r="T4683" s="30" t="str">
        <x:v>IMG_20251220_203648_739.jpg</x:v>
      </x:c>
      <x:c r="U4683" s="30" t="str">
        <x:v>Расхождений с каноническим источником нет.</x:v>
      </x:c>
      <x:c r="V4683" s="87" t="str">
        <x:v>VERIFIED</x:v>
      </x:c>
      <x:c r="W4683" s="87"/>
      <x:c r="X4683" s="87" t="n">
        <x:v>3</x:v>
      </x:c>
      <x:c r="Y4683" s="87"/>
      <x:c r="Z4683" s="87"/>
      <x:c r="AA4683" s="87"/>
      <x:c r="AB4683" s="87" t="str">
        <x:v>таблица дополнения</x:v>
      </x:c>
      <x:c r="AC4683" s="87" t="str">
        <x:v>VIS-BIO-DEC-TASK-12-P003</x:v>
      </x:c>
      <x:c r="AD4683" s="87" t="str">
        <x:v>VIS-BIO-DEC-KEY-SUPPLEMENT</x:v>
      </x:c>
      <x:c r="AE4683" s="87" t="str">
        <x:v>TASK; KEY_SUPPLEMENT</x:v>
      </x:c>
      <x:c r="AF4683" s="87" t="str">
        <x:v>VIS-BIO-DEC-TASK-12-P003: 3; VIS-BIO-DEC-KEY-SUPPLEMENT: original</x:v>
      </x:c>
      <x:c r="AG4683" s="87" t="str">
        <x:v>RESOLVED</x:v>
      </x:c>
      <x:c r="AH4683" s="87" t="str">
        <x:v>CROP_VERIFIED</x:v>
      </x:c>
      <x:c r="AI4683" s="30"/>
      <x:c r="AJ4683" s="87" t="str">
        <x:v>clean</x:v>
      </x:c>
      <x:c r="AK4683" s="87" t="str">
        <x:v>clean-v0.08</x:v>
      </x:c>
      <x:c r="AL4683" s="87" t="str">
        <x:v>statgrad_clean_continuation_v0_08(1).xlsx</x:v>
      </x:c>
      <x:c r="AM4683" s="87" t="str">
        <x:v>BIO_Dec_V1</x:v>
      </x:c>
      <x:c r="AN4683" s="87" t="n">
        <x:v>4</x:v>
      </x:c>
    </x:row>
    <x:row r="4684">
      <x:c r="A4684" s="87" t="n">
        <x:v>4683</x:v>
      </x:c>
      <x:c r="B4684" s="87" t="str">
        <x:v>DEC-BIO-01-004</x:v>
      </x:c>
      <x:c r="C4684" s="87" t="str">
        <x:v>СтатГрад</x:v>
      </x:c>
      <x:c r="D4684" s="87" t="str">
        <x:v>Декабрь 2025</x:v>
      </x:c>
      <x:c r="E4684" s="87"/>
      <x:c r="F4684" s="87"/>
      <x:c r="G4684" s="87" t="str">
        <x:v>Биология</x:v>
      </x:c>
      <x:c r="H4684" s="87" t="n">
        <x:v>11</x:v>
      </x:c>
      <x:c r="I4684" s="87" t="str">
        <x:v>ТР №2</x:v>
      </x:c>
      <x:c r="J4684" s="87" t="str">
        <x:v>БИ2510201</x:v>
      </x:c>
      <x:c r="K4684" s="87" t="n">
        <x:v>4</x:v>
      </x:c>
      <x:c r="L4684" s="87" t="str">
        <x:v>Расчётная задача</x:v>
      </x:c>
      <x:c r="M4684" s="30" t="str">
        <x:v>Какова вероятность появления в потомстве особей с промежуточным
    фенотипом при анализирующем скрещивании гетерозиготного растения при
    неполном доминировании? Ответ запишите в виде числа.
    Ответ: ___________________________.
                   Рассмотрите схемы и выполните задания 5 и 6.</x:v>
      </x:c>
      <x:c r="N4684" s="30" t="str">
        <x:v>0,5</x:v>
      </x:c>
      <x:c r="O4684" s="30" t="str">
        <x:v>При анализирующем скрещивании Aa×aa при неполном доминировании промежуточный фенотип имеет половина потомков.</x:v>
      </x:c>
      <x:c r="P4684" s="30" t="str">
        <x:v>Условие и визуал просмотрены; ответ проверен по биологической логике/расчёту и сопоставлен с каноническим источником.</x:v>
      </x:c>
      <x:c r="Q4684" s="30"/>
      <x:c r="R4684" s="30" t="str">
        <x:v>0,5</x:v>
      </x:c>
      <x:c r="S4684" s="30"/>
      <x:c r="T4684" s="30" t="str">
        <x:v>IMG_20251220_203648_739.jpg</x:v>
      </x:c>
      <x:c r="U4684" s="30" t="str">
        <x:v>Расхождений с каноническим источником нет.</x:v>
      </x:c>
      <x:c r="V4684" s="87" t="str">
        <x:v>VERIFIED</x:v>
      </x:c>
      <x:c r="W4684" s="87"/>
      <x:c r="X4684" s="87" t="n">
        <x:v>3</x:v>
      </x:c>
      <x:c r="Y4684" s="87"/>
      <x:c r="Z4684" s="87"/>
      <x:c r="AA4684" s="87"/>
      <x:c r="AB4684" s="87" t="str">
        <x:v>таблица дополнения</x:v>
      </x:c>
      <x:c r="AC4684" s="87" t="str">
        <x:v>VIS-BIO-DEC-TASK-12-P003</x:v>
      </x:c>
      <x:c r="AD4684" s="87" t="str">
        <x:v>VIS-BIO-DEC-KEY-SUPPLEMENT</x:v>
      </x:c>
      <x:c r="AE4684" s="87" t="str">
        <x:v>TASK; KEY_SUPPLEMENT</x:v>
      </x:c>
      <x:c r="AF4684" s="87" t="str">
        <x:v>VIS-BIO-DEC-TASK-12-P003: 3; VIS-BIO-DEC-KEY-SUPPLEMENT: original</x:v>
      </x:c>
      <x:c r="AG4684" s="87" t="str">
        <x:v>RESOLVED</x:v>
      </x:c>
      <x:c r="AH4684" s="87" t="str">
        <x:v>CROP_VERIFIED</x:v>
      </x:c>
      <x:c r="AI4684" s="30"/>
      <x:c r="AJ4684" s="87" t="str">
        <x:v>clean</x:v>
      </x:c>
      <x:c r="AK4684" s="87" t="str">
        <x:v>clean-v0.08</x:v>
      </x:c>
      <x:c r="AL4684" s="87" t="str">
        <x:v>statgrad_clean_continuation_v0_08(1).xlsx</x:v>
      </x:c>
      <x:c r="AM4684" s="87" t="str">
        <x:v>BIO_Dec_V1</x:v>
      </x:c>
      <x:c r="AN4684" s="87" t="n">
        <x:v>5</x:v>
      </x:c>
    </x:row>
    <x:row r="4685">
      <x:c r="A4685" s="87" t="n">
        <x:v>4684</x:v>
      </x:c>
      <x:c r="B4685" s="87" t="str">
        <x:v>DEC-BIO-01-005</x:v>
      </x:c>
      <x:c r="C4685" s="87" t="str">
        <x:v>СтатГрад</x:v>
      </x:c>
      <x:c r="D4685" s="87" t="str">
        <x:v>Декабрь 2025</x:v>
      </x:c>
      <x:c r="E4685" s="87"/>
      <x:c r="F4685" s="87"/>
      <x:c r="G4685" s="87" t="str">
        <x:v>Биология</x:v>
      </x:c>
      <x:c r="H4685" s="87" t="n">
        <x:v>11</x:v>
      </x:c>
      <x:c r="I4685" s="87" t="str">
        <x:v>ТР №2</x:v>
      </x:c>
      <x:c r="J4685" s="87" t="str">
        <x:v>БИ2510201</x:v>
      </x:c>
      <x:c r="K4685" s="87" t="n">
        <x:v>5</x:v>
      </x:c>
      <x:c r="L4685" s="87" t="str">
        <x:v>Определение по рисунку/таблице</x:v>
      </x:c>
      <x:c r="M4685" s="30" t="str">
        <x:v>Какой цифрой на схемах способов размножения обозначен потомок – клон
    материнского организма?
    Ответ: ___________________________.</x:v>
      </x:c>
      <x:c r="N4685" s="30" t="str">
        <x:v>4</x:v>
      </x:c>
      <x:c r="O4685" s="30" t="str">
        <x:v>Номер структуры определён по исходному рисунку и подтверждён дополнительной таблицей ответов.</x:v>
      </x:c>
      <x:c r="P4685" s="30" t="str">
        <x:v>Условие и визуал просмотрены; ответ проверен по биологической логике/расчёту и сопоставлен с каноническим источником.</x:v>
      </x:c>
      <x:c r="Q4685" s="30"/>
      <x:c r="R4685" s="30" t="str">
        <x:v>4</x:v>
      </x:c>
      <x:c r="S4685" s="30"/>
      <x:c r="T4685" s="30" t="str">
        <x:v>IMG_20251220_203648_739.jpg</x:v>
      </x:c>
      <x:c r="U4685" s="30" t="str">
        <x:v>Вторичная крупная картинка не является канонической и исключена из ответа.</x:v>
      </x:c>
      <x:c r="V4685" s="87" t="str">
        <x:v>VERIFIED</x:v>
      </x:c>
      <x:c r="W4685" s="87"/>
      <x:c r="X4685" s="87" t="n">
        <x:v>3</x:v>
      </x:c>
      <x:c r="Y4685" s="87"/>
      <x:c r="Z4685" s="87"/>
      <x:c r="AA4685" s="87"/>
      <x:c r="AB4685" s="87" t="str">
        <x:v>таблица дополнения</x:v>
      </x:c>
      <x:c r="AC4685" s="87" t="str">
        <x:v>VIS-BIO-DEC-TASK-12-P003</x:v>
      </x:c>
      <x:c r="AD4685" s="87" t="str">
        <x:v>VIS-BIO-DEC-KEY-SUPPLEMENT</x:v>
      </x:c>
      <x:c r="AE4685" s="87" t="str">
        <x:v>TASK; KEY_SUPPLEMENT</x:v>
      </x:c>
      <x:c r="AF4685" s="87" t="str">
        <x:v>VIS-BIO-DEC-TASK-12-P003: 3; VIS-BIO-DEC-KEY-SUPPLEMENT: original</x:v>
      </x:c>
      <x:c r="AG4685" s="87" t="str">
        <x:v>RESOLVED</x:v>
      </x:c>
      <x:c r="AH4685" s="87" t="str">
        <x:v>CROP_VERIFIED; TASK_CROP_QA_APPROVED:USE_CONTEXT</x:v>
      </x:c>
      <x:c r="AI4685" s="30"/>
      <x:c r="AJ4685" s="87" t="str">
        <x:v>clean</x:v>
      </x:c>
      <x:c r="AK4685" s="87" t="str">
        <x:v>clean-v0.08</x:v>
      </x:c>
      <x:c r="AL4685" s="87" t="str">
        <x:v>statgrad_clean_continuation_v0_08(1).xlsx</x:v>
      </x:c>
      <x:c r="AM4685" s="87" t="str">
        <x:v>BIO_Dec_V1</x:v>
      </x:c>
      <x:c r="AN4685" s="87" t="n">
        <x:v>6</x:v>
      </x:c>
    </x:row>
    <x:row r="4686">
      <x:c r="A4686" s="87" t="n">
        <x:v>4685</x:v>
      </x:c>
      <x:c r="B4686" s="87" t="str">
        <x:v>DEC-BIO-01-006</x:v>
      </x:c>
      <x:c r="C4686" s="87" t="str">
        <x:v>СтатГрад</x:v>
      </x:c>
      <x:c r="D4686" s="87" t="str">
        <x:v>Декабрь 2025</x:v>
      </x:c>
      <x:c r="E4686" s="87"/>
      <x:c r="F4686" s="87"/>
      <x:c r="G4686" s="87" t="str">
        <x:v>Биология</x:v>
      </x:c>
      <x:c r="H4686" s="87" t="n">
        <x:v>11</x:v>
      </x:c>
      <x:c r="I4686" s="87" t="str">
        <x:v>ТР №2</x:v>
      </x:c>
      <x:c r="J4686" s="87" t="str">
        <x:v>БИ2510201</x:v>
      </x:c>
      <x:c r="K4686" s="87" t="n">
        <x:v>6</x:v>
      </x:c>
      <x:c r="L4686" s="87" t="str">
        <x:v>Установление соответствия</x:v>
      </x:c>
      <x:c r="M4686" s="30" t="str">
        <x:v>Установите соответствие между характеристиками и способами размножения,
    обозначенными на схемах цифрами 1, 2: к каждой позиции, данной в первом
    столбце, подберите соответствующую позицию из второго столбца.
                                                                ВИДЫ
                    ХАРАКТЕРИСТИКИ
                                                           РАЗМНОЖЕНИЯ
    А) обеспечивает обмен генетической информацией       1) 1
    Б) позволяет создавать идентичные организмы          2) 2
    В) в процессе клетки делятся только митозом
    Г) сопровождается образованием гамет
    Д) позволяет в короткие сроки получить большое
       количество потомства
    Е) в процессе происходит слияние гаплоидных клеток
    Запишите в таблицу выбранные цифры под соответствующими буквами.
               А Б В Г Д Е
    Ответ:</x:v>
      </x:c>
      <x:c r="N4686" s="30" t="str">
        <x:v>211212</x:v>
      </x:c>
      <x:c r="O4686" s="30" t="str">
        <x:v>Каждая характеристика сопоставлена с обозначенной структурой/категорией; последовательность подтверждена официальным ключом.</x:v>
      </x:c>
      <x:c r="P4686" s="30" t="str">
        <x:v>Условие и визуал просмотрены; ответ проверен по биологической логике/расчёту и сопоставлен с каноническим источником.</x:v>
      </x:c>
      <x:c r="Q4686" s="30"/>
      <x:c r="R4686" s="30" t="str">
        <x:v>211212</x:v>
      </x:c>
      <x:c r="S4686" s="30"/>
      <x:c r="T4686" s="30" t="str">
        <x:v>Kriterii_BI11_19122025.pdf</x:v>
      </x:c>
      <x:c r="U4686" s="30" t="str">
        <x:v>Расхождений с каноническим источником нет.</x:v>
      </x:c>
      <x:c r="V4686" s="87" t="str">
        <x:v>VERIFIED</x:v>
      </x:c>
      <x:c r="W4686" s="87"/>
      <x:c r="X4686" s="87" t="n">
        <x:v>4</x:v>
      </x:c>
      <x:c r="Y4686" s="87"/>
      <x:c r="Z4686" s="87"/>
      <x:c r="AA4686" s="87"/>
      <x:c r="AB4686" s="87" t="str">
        <x:v>1</x:v>
      </x:c>
      <x:c r="AC4686" s="87" t="str">
        <x:v>VIS-BIO-DEC-TASK-12-P004</x:v>
      </x:c>
      <x:c r="AD4686" s="87" t="str">
        <x:v>VIS-BIO-DEC-CRIT-12-P001</x:v>
      </x:c>
      <x:c r="AE4686" s="87" t="str">
        <x:v>TASK; CRIT</x:v>
      </x:c>
      <x:c r="AF4686" s="87" t="str">
        <x:v>VIS-BIO-DEC-TASK-12-P004: 4; VIS-BIO-DEC-CRIT-12-P001: 1</x:v>
      </x:c>
      <x:c r="AG4686" s="87" t="str">
        <x:v>RESOLVED</x:v>
      </x:c>
      <x:c r="AH4686" s="87" t="str">
        <x:v>CROP_VERIFIED; TASK_CROP_QA_APPROVED:USE_TIGHT</x:v>
      </x:c>
      <x:c r="AI4686" s="30"/>
      <x:c r="AJ4686" s="87" t="str">
        <x:v>clean</x:v>
      </x:c>
      <x:c r="AK4686" s="87" t="str">
        <x:v>clean-v0.08</x:v>
      </x:c>
      <x:c r="AL4686" s="87" t="str">
        <x:v>statgrad_clean_continuation_v0_08(1).xlsx</x:v>
      </x:c>
      <x:c r="AM4686" s="87" t="str">
        <x:v>BIO_Dec_V1</x:v>
      </x:c>
      <x:c r="AN4686" s="87" t="n">
        <x:v>7</x:v>
      </x:c>
    </x:row>
    <x:row r="4687">
      <x:c r="A4687" s="87" t="n">
        <x:v>4686</x:v>
      </x:c>
      <x:c r="B4687" s="87" t="str">
        <x:v>DEC-BIO-01-007</x:v>
      </x:c>
      <x:c r="C4687" s="87" t="str">
        <x:v>СтатГрад</x:v>
      </x:c>
      <x:c r="D4687" s="87" t="str">
        <x:v>Декабрь 2025</x:v>
      </x:c>
      <x:c r="E4687" s="87"/>
      <x:c r="F4687" s="87"/>
      <x:c r="G4687" s="87" t="str">
        <x:v>Биология</x:v>
      </x:c>
      <x:c r="H4687" s="87" t="n">
        <x:v>11</x:v>
      </x:c>
      <x:c r="I4687" s="87" t="str">
        <x:v>ТР №2</x:v>
      </x:c>
      <x:c r="J4687" s="87" t="str">
        <x:v>БИ2510201</x:v>
      </x:c>
      <x:c r="K4687" s="87" t="n">
        <x:v>7</x:v>
      </x:c>
      <x:c r="L4687" s="87" t="str">
        <x:v>Множественный выбор</x:v>
      </x:c>
      <x:c r="M4687" s="30" t="str">
        <x:v>Выберите три верных ответа и запишите в таблицу цифры, под которыми
    они указаны.
    К функциям эндоплазматической сети клетки относят
    1) компартментализацию клетки
    2) выведение продуктов обмена из клетки
    3) хранение наследственной информации
    4) синтез белков и липидов
    5) формирование транспортных пузырьков
    6) образование лизосом
    Ответ:</x:v>
      </x:c>
      <x:c r="N4687" s="30" t="str">
        <x:v>145</x:v>
      </x:c>
      <x:c r="O4687" s="30" t="str">
        <x:v>Все шесть утверждений проверены по биологическим признакам; выбраны три корректные позиции.</x:v>
      </x:c>
      <x:c r="P4687" s="30" t="str">
        <x:v>Условие и визуал просмотрены; ответ проверен по биологической логике/расчёту и сопоставлен с каноническим источником.</x:v>
      </x:c>
      <x:c r="Q4687" s="30"/>
      <x:c r="R4687" s="30" t="str">
        <x:v>145</x:v>
      </x:c>
      <x:c r="S4687" s="30"/>
      <x:c r="T4687" s="30" t="str">
        <x:v>Kriterii_BI11_19122025.pdf</x:v>
      </x:c>
      <x:c r="U4687" s="30" t="str">
        <x:v>Расхождений с каноническим источником нет.</x:v>
      </x:c>
      <x:c r="V4687" s="87" t="str">
        <x:v>VERIFIED</x:v>
      </x:c>
      <x:c r="W4687" s="87"/>
      <x:c r="X4687" s="87" t="n">
        <x:v>4</x:v>
      </x:c>
      <x:c r="Y4687" s="87"/>
      <x:c r="Z4687" s="87"/>
      <x:c r="AA4687" s="87"/>
      <x:c r="AB4687" s="87" t="str">
        <x:v>1</x:v>
      </x:c>
      <x:c r="AC4687" s="87" t="str">
        <x:v>VIS-BIO-DEC-TASK-12-P004</x:v>
      </x:c>
      <x:c r="AD4687" s="87" t="str">
        <x:v>VIS-BIO-DEC-CRIT-12-P001</x:v>
      </x:c>
      <x:c r="AE4687" s="87" t="str">
        <x:v>TASK; CRIT</x:v>
      </x:c>
      <x:c r="AF4687" s="87" t="str">
        <x:v>VIS-BIO-DEC-TASK-12-P004: 4; VIS-BIO-DEC-CRIT-12-P001: 1</x:v>
      </x:c>
      <x:c r="AG4687" s="87" t="str">
        <x:v>RESOLVED</x:v>
      </x:c>
      <x:c r="AH4687" s="87" t="str">
        <x:v>CROP_VERIFIED</x:v>
      </x:c>
      <x:c r="AI4687" s="30"/>
      <x:c r="AJ4687" s="87" t="str">
        <x:v>clean</x:v>
      </x:c>
      <x:c r="AK4687" s="87" t="str">
        <x:v>clean-v0.08</x:v>
      </x:c>
      <x:c r="AL4687" s="87" t="str">
        <x:v>statgrad_clean_continuation_v0_08(1).xlsx</x:v>
      </x:c>
      <x:c r="AM4687" s="87" t="str">
        <x:v>BIO_Dec_V1</x:v>
      </x:c>
      <x:c r="AN4687" s="87" t="n">
        <x:v>8</x:v>
      </x:c>
    </x:row>
    <x:row r="4688">
      <x:c r="A4688" s="87" t="n">
        <x:v>4687</x:v>
      </x:c>
      <x:c r="B4688" s="87" t="str">
        <x:v>DEC-BIO-01-008</x:v>
      </x:c>
      <x:c r="C4688" s="87" t="str">
        <x:v>СтатГрад</x:v>
      </x:c>
      <x:c r="D4688" s="87" t="str">
        <x:v>Декабрь 2025</x:v>
      </x:c>
      <x:c r="E4688" s="87"/>
      <x:c r="F4688" s="87"/>
      <x:c r="G4688" s="87" t="str">
        <x:v>Биология</x:v>
      </x:c>
      <x:c r="H4688" s="87" t="n">
        <x:v>11</x:v>
      </x:c>
      <x:c r="I4688" s="87" t="str">
        <x:v>ТР №2</x:v>
      </x:c>
      <x:c r="J4688" s="87" t="str">
        <x:v>БИ2510201</x:v>
      </x:c>
      <x:c r="K4688" s="87" t="n">
        <x:v>8</x:v>
      </x:c>
      <x:c r="L4688" s="87" t="str">
        <x:v>Установление последовательности</x:v>
      </x:c>
      <x:c r="M4688" s="30" t="str">
        <x:v>Установите последовательность процессов, происходящих при синтезе
    отстающей цепи ДНК в процессе репликации. Запишите в таблицу
    соответствующую последовательность цифр.
    1) синтез РНК-затравки
    2) замена РНК-нуклеотидов на ДНК-нуклеотиды
    3) прикрепление фермента для синтеза РНК-затравки                            (праймазы)
       к матричной ДНК
    4) сшивание фрагментов ДНК ферментом лигазой
    5) синтез фрагмента ДНК
    Ответ:
                  Рассмотрите рисунок и выполните задания 9 и 10.</x:v>
      </x:c>
      <x:c r="N4688" s="30" t="str">
        <x:v>31524</x:v>
      </x:c>
      <x:c r="O4688" s="30" t="str">
        <x:v>Этапы упорядочены по причинно-временной либо систематической последовательности.</x:v>
      </x:c>
      <x:c r="P4688" s="30" t="str">
        <x:v>Условие и визуал просмотрены; ответ проверен по биологической логике/расчёту и сопоставлен с каноническим источником.</x:v>
      </x:c>
      <x:c r="Q4688" s="30"/>
      <x:c r="R4688" s="30" t="str">
        <x:v>31524</x:v>
      </x:c>
      <x:c r="S4688" s="30"/>
      <x:c r="T4688" s="30" t="str">
        <x:v>Kriterii_BI11_19122025.pdf</x:v>
      </x:c>
      <x:c r="U4688" s="30" t="str">
        <x:v>Расхождений с каноническим источником нет.</x:v>
      </x:c>
      <x:c r="V4688" s="87" t="str">
        <x:v>VERIFIED</x:v>
      </x:c>
      <x:c r="W4688" s="87"/>
      <x:c r="X4688" s="87" t="n">
        <x:v>4</x:v>
      </x:c>
      <x:c r="Y4688" s="87"/>
      <x:c r="Z4688" s="87"/>
      <x:c r="AA4688" s="87"/>
      <x:c r="AB4688" s="87" t="str">
        <x:v>1</x:v>
      </x:c>
      <x:c r="AC4688" s="87" t="str">
        <x:v>VIS-BIO-DEC-TASK-12-P004</x:v>
      </x:c>
      <x:c r="AD4688" s="87" t="str">
        <x:v>VIS-BIO-DEC-CRIT-12-P001</x:v>
      </x:c>
      <x:c r="AE4688" s="87" t="str">
        <x:v>TASK; CRIT</x:v>
      </x:c>
      <x:c r="AF4688" s="87" t="str">
        <x:v>VIS-BIO-DEC-TASK-12-P004: 4; VIS-BIO-DEC-CRIT-12-P001: 1</x:v>
      </x:c>
      <x:c r="AG4688" s="87" t="str">
        <x:v>RESOLVED</x:v>
      </x:c>
      <x:c r="AH4688" s="87" t="str">
        <x:v>CROP_VERIFIED</x:v>
      </x:c>
      <x:c r="AI4688" s="30"/>
      <x:c r="AJ4688" s="87" t="str">
        <x:v>clean</x:v>
      </x:c>
      <x:c r="AK4688" s="87" t="str">
        <x:v>clean-v0.08</x:v>
      </x:c>
      <x:c r="AL4688" s="87" t="str">
        <x:v>statgrad_clean_continuation_v0_08(1).xlsx</x:v>
      </x:c>
      <x:c r="AM4688" s="87" t="str">
        <x:v>BIO_Dec_V1</x:v>
      </x:c>
      <x:c r="AN4688" s="87" t="n">
        <x:v>9</x:v>
      </x:c>
    </x:row>
    <x:row r="4689">
      <x:c r="A4689" s="87" t="n">
        <x:v>4688</x:v>
      </x:c>
      <x:c r="B4689" s="87" t="str">
        <x:v>DEC-BIO-01-009</x:v>
      </x:c>
      <x:c r="C4689" s="87" t="str">
        <x:v>СтатГрад</x:v>
      </x:c>
      <x:c r="D4689" s="87" t="str">
        <x:v>Декабрь 2025</x:v>
      </x:c>
      <x:c r="E4689" s="87"/>
      <x:c r="F4689" s="87"/>
      <x:c r="G4689" s="87" t="str">
        <x:v>Биология</x:v>
      </x:c>
      <x:c r="H4689" s="87" t="n">
        <x:v>11</x:v>
      </x:c>
      <x:c r="I4689" s="87" t="str">
        <x:v>ТР №2</x:v>
      </x:c>
      <x:c r="J4689" s="87" t="str">
        <x:v>БИ2510201</x:v>
      </x:c>
      <x:c r="K4689" s="87" t="n">
        <x:v>9</x:v>
      </x:c>
      <x:c r="L4689" s="87" t="str">
        <x:v>Определение по рисунку/таблице</x:v>
      </x:c>
      <x:c r="M4689" s="30" t="str">
        <x:v>Какой цифрой на рисунке обозначена цветоножка?
     Ответ: ___________________________.</x:v>
      </x:c>
      <x:c r="N4689" s="30" t="str">
        <x:v>7</x:v>
      </x:c>
      <x:c r="O4689" s="30" t="str">
        <x:v>Номер структуры определён по исходному рисунку и подтверждён дополнительной таблицей ответов.</x:v>
      </x:c>
      <x:c r="P4689" s="30" t="str">
        <x:v>Условие и визуал просмотрены; ответ проверен по биологической логике/расчёту и сопоставлен с каноническим источником.</x:v>
      </x:c>
      <x:c r="Q4689" s="30"/>
      <x:c r="R4689" s="30" t="str">
        <x:v>7</x:v>
      </x:c>
      <x:c r="S4689" s="30"/>
      <x:c r="T4689" s="30" t="str">
        <x:v>IMG_20251220_203648_739.jpg</x:v>
      </x:c>
      <x:c r="U4689" s="30" t="str">
        <x:v>Вторичная крупная картинка не является канонической и исключена из ответа.</x:v>
      </x:c>
      <x:c r="V4689" s="87" t="str">
        <x:v>VERIFIED</x:v>
      </x:c>
      <x:c r="W4689" s="87"/>
      <x:c r="X4689" s="87" t="n">
        <x:v>5</x:v>
      </x:c>
      <x:c r="Y4689" s="87"/>
      <x:c r="Z4689" s="87"/>
      <x:c r="AA4689" s="87"/>
      <x:c r="AB4689" s="87" t="str">
        <x:v>таблица дополнения</x:v>
      </x:c>
      <x:c r="AC4689" s="87" t="str">
        <x:v>VIS-BIO-DEC-TASK-12-P005</x:v>
      </x:c>
      <x:c r="AD4689" s="87" t="str">
        <x:v>VIS-BIO-DEC-KEY-SUPPLEMENT</x:v>
      </x:c>
      <x:c r="AE4689" s="87" t="str">
        <x:v>TASK; KEY_SUPPLEMENT</x:v>
      </x:c>
      <x:c r="AF4689" s="87" t="str">
        <x:v>VIS-BIO-DEC-TASK-12-P005: 5; VIS-BIO-DEC-KEY-SUPPLEMENT: original</x:v>
      </x:c>
      <x:c r="AG4689" s="87" t="str">
        <x:v>RESOLVED</x:v>
      </x:c>
      <x:c r="AH4689" s="87" t="str">
        <x:v>CROP_VERIFIED; TASK_CROP_QA_APPROVED:MANUAL_BBOX</x:v>
      </x:c>
      <x:c r="AI4689" s="30"/>
      <x:c r="AJ4689" s="87" t="str">
        <x:v>clean</x:v>
      </x:c>
      <x:c r="AK4689" s="87" t="str">
        <x:v>clean-v0.08</x:v>
      </x:c>
      <x:c r="AL4689" s="87" t="str">
        <x:v>statgrad_clean_continuation_v0_08(1).xlsx</x:v>
      </x:c>
      <x:c r="AM4689" s="87" t="str">
        <x:v>BIO_Dec_V1</x:v>
      </x:c>
      <x:c r="AN4689" s="87" t="n">
        <x:v>10</x:v>
      </x:c>
    </x:row>
    <x:row r="4690">
      <x:c r="A4690" s="87" t="n">
        <x:v>4689</x:v>
      </x:c>
      <x:c r="B4690" s="87" t="str">
        <x:v>DEC-BIO-01-010</x:v>
      </x:c>
      <x:c r="C4690" s="87" t="str">
        <x:v>СтатГрад</x:v>
      </x:c>
      <x:c r="D4690" s="87" t="str">
        <x:v>Декабрь 2025</x:v>
      </x:c>
      <x:c r="E4690" s="87"/>
      <x:c r="F4690" s="87"/>
      <x:c r="G4690" s="87" t="str">
        <x:v>Биология</x:v>
      </x:c>
      <x:c r="H4690" s="87" t="n">
        <x:v>11</x:v>
      </x:c>
      <x:c r="I4690" s="87" t="str">
        <x:v>ТР №2</x:v>
      </x:c>
      <x:c r="J4690" s="87" t="str">
        <x:v>БИ2510201</x:v>
      </x:c>
      <x:c r="K4690" s="87" t="n">
        <x:v>10</x:v>
      </x:c>
      <x:c r="L4690" s="87" t="str">
        <x:v>Установление соответствия</x:v>
      </x:c>
      <x:c r="M4690" s="30" t="str">
        <x:v>Установите соответствие между характеристиками и структурами цветка,
     обозначенными на рисунке цифрами 1, 2, 3: к каждой позиции, данной
     в первом столбце, подберите соответствующую позицию из второго столбца.
                ХАРАКТЕРИСТИКИ                                СТРУКТУРЫ ЦВЕТКА
     А) формирует мужские гаметофиты                       1) 1
     Б) улавливает пыльцу                                  2) 2
     В) содержит семязачаток                               3) 3
     Г) обеспечивает микроспорогенез
     Д) превращается в зерновку
     Е) обеспечивает начало прорастания
        пыльцевой трубки
     Запишите в таблицу выбранные цифры под соответствующими буквами.
                А Б В Г Д Е
     Ответ:</x:v>
      </x:c>
      <x:c r="N4690" s="30" t="str">
        <x:v>213231</x:v>
      </x:c>
      <x:c r="O4690" s="30" t="str">
        <x:v>Каждая характеристика сопоставлена с обозначенной структурой/категорией; последовательность подтверждена официальным ключом.</x:v>
      </x:c>
      <x:c r="P4690" s="30" t="str">
        <x:v>Условие и визуал просмотрены; ответ проверен по биологической логике/расчёту и сопоставлен с каноническим источником.</x:v>
      </x:c>
      <x:c r="Q4690" s="30"/>
      <x:c r="R4690" s="30" t="str">
        <x:v>213231</x:v>
      </x:c>
      <x:c r="S4690" s="30"/>
      <x:c r="T4690" s="30" t="str">
        <x:v>Kriterii_BI11_19122025.pdf</x:v>
      </x:c>
      <x:c r="U4690" s="30" t="str">
        <x:v>Вторичная крупная картинка не является канонической и исключена из ответа.</x:v>
      </x:c>
      <x:c r="V4690" s="87" t="str">
        <x:v>VERIFIED</x:v>
      </x:c>
      <x:c r="W4690" s="87"/>
      <x:c r="X4690" s="87" t="n">
        <x:v>5</x:v>
      </x:c>
      <x:c r="Y4690" s="87"/>
      <x:c r="Z4690" s="87"/>
      <x:c r="AA4690" s="87"/>
      <x:c r="AB4690" s="87" t="str">
        <x:v>1</x:v>
      </x:c>
      <x:c r="AC4690" s="87" t="str">
        <x:v>VIS-BIO-DEC-TASK-12-P005</x:v>
      </x:c>
      <x:c r="AD4690" s="87" t="str">
        <x:v>VIS-BIO-DEC-CRIT-12-P001</x:v>
      </x:c>
      <x:c r="AE4690" s="87" t="str">
        <x:v>TASK; CRIT</x:v>
      </x:c>
      <x:c r="AF4690" s="87" t="str">
        <x:v>VIS-BIO-DEC-TASK-12-P005: 5; VIS-BIO-DEC-CRIT-12-P001: 1</x:v>
      </x:c>
      <x:c r="AG4690" s="87" t="str">
        <x:v>RESOLVED</x:v>
      </x:c>
      <x:c r="AH4690" s="87" t="str">
        <x:v>CROP_VERIFIED; TASK_CROP_QA_APPROVED:USE_CONTEXT</x:v>
      </x:c>
      <x:c r="AI4690" s="30"/>
      <x:c r="AJ4690" s="87" t="str">
        <x:v>clean</x:v>
      </x:c>
      <x:c r="AK4690" s="87" t="str">
        <x:v>clean-v0.08</x:v>
      </x:c>
      <x:c r="AL4690" s="87" t="str">
        <x:v>statgrad_clean_continuation_v0_08(1).xlsx</x:v>
      </x:c>
      <x:c r="AM4690" s="87" t="str">
        <x:v>BIO_Dec_V1</x:v>
      </x:c>
      <x:c r="AN4690" s="87" t="n">
        <x:v>11</x:v>
      </x:c>
    </x:row>
    <x:row r="4691">
      <x:c r="A4691" s="87" t="n">
        <x:v>4690</x:v>
      </x:c>
      <x:c r="B4691" s="87" t="str">
        <x:v>DEC-BIO-01-011</x:v>
      </x:c>
      <x:c r="C4691" s="87" t="str">
        <x:v>СтатГрад</x:v>
      </x:c>
      <x:c r="D4691" s="87" t="str">
        <x:v>Декабрь 2025</x:v>
      </x:c>
      <x:c r="E4691" s="87"/>
      <x:c r="F4691" s="87"/>
      <x:c r="G4691" s="87" t="str">
        <x:v>Биология</x:v>
      </x:c>
      <x:c r="H4691" s="87" t="n">
        <x:v>11</x:v>
      </x:c>
      <x:c r="I4691" s="87" t="str">
        <x:v>ТР №2</x:v>
      </x:c>
      <x:c r="J4691" s="87" t="str">
        <x:v>БИ2510201</x:v>
      </x:c>
      <x:c r="K4691" s="87" t="n">
        <x:v>11</x:v>
      </x:c>
      <x:c r="L4691" s="87" t="str">
        <x:v>Множественный выбор</x:v>
      </x:c>
      <x:c r="M4691" s="30" t="str">
        <x:v>Выберите три верных ответа и запишите в таблицу цифры, под которыми
     они указаны.
     Роговыми производными кожных покровов животных являются
     1) чешуи змей
     2) хитиновый панцирь насекомых
     3) копыта оленей
     4) перья птиц
     5) чешуя акул
     6) раковина моллюсков
     Ответ:</x:v>
      </x:c>
      <x:c r="N4691" s="30" t="str">
        <x:v>134</x:v>
      </x:c>
      <x:c r="O4691" s="30" t="str">
        <x:v>Все шесть утверждений проверены по биологическим признакам; выбраны три корректные позиции.</x:v>
      </x:c>
      <x:c r="P4691" s="30" t="str">
        <x:v>Условие и визуал просмотрены; ответ проверен по биологической логике/расчёту и сопоставлен с каноническим источником.</x:v>
      </x:c>
      <x:c r="Q4691" s="30"/>
      <x:c r="R4691" s="30" t="str">
        <x:v>134</x:v>
      </x:c>
      <x:c r="S4691" s="30"/>
      <x:c r="T4691" s="30" t="str">
        <x:v>Kriterii_BI11_19122025.pdf</x:v>
      </x:c>
      <x:c r="U4691" s="30" t="str">
        <x:v>Расхождений с каноническим источником нет.</x:v>
      </x:c>
      <x:c r="V4691" s="87" t="str">
        <x:v>VERIFIED</x:v>
      </x:c>
      <x:c r="W4691" s="87"/>
      <x:c r="X4691" s="87" t="n">
        <x:v>6</x:v>
      </x:c>
      <x:c r="Y4691" s="87"/>
      <x:c r="Z4691" s="87"/>
      <x:c r="AA4691" s="87"/>
      <x:c r="AB4691" s="87" t="str">
        <x:v>1</x:v>
      </x:c>
      <x:c r="AC4691" s="87" t="str">
        <x:v>VIS-BIO-DEC-TASK-12-P006</x:v>
      </x:c>
      <x:c r="AD4691" s="87" t="str">
        <x:v>VIS-BIO-DEC-CRIT-12-P001</x:v>
      </x:c>
      <x:c r="AE4691" s="87" t="str">
        <x:v>TASK; CRIT</x:v>
      </x:c>
      <x:c r="AF4691" s="87" t="str">
        <x:v>VIS-BIO-DEC-TASK-12-P006: 6; VIS-BIO-DEC-CRIT-12-P001: 1</x:v>
      </x:c>
      <x:c r="AG4691" s="87" t="str">
        <x:v>RESOLVED</x:v>
      </x:c>
      <x:c r="AH4691" s="87" t="str">
        <x:v>CROP_VERIFIED</x:v>
      </x:c>
      <x:c r="AI4691" s="30"/>
      <x:c r="AJ4691" s="87" t="str">
        <x:v>clean</x:v>
      </x:c>
      <x:c r="AK4691" s="87" t="str">
        <x:v>clean-v0.08</x:v>
      </x:c>
      <x:c r="AL4691" s="87" t="str">
        <x:v>statgrad_clean_continuation_v0_08(1).xlsx</x:v>
      </x:c>
      <x:c r="AM4691" s="87" t="str">
        <x:v>BIO_Dec_V1</x:v>
      </x:c>
      <x:c r="AN4691" s="87" t="n">
        <x:v>12</x:v>
      </x:c>
    </x:row>
    <x:row r="4692">
      <x:c r="A4692" s="87" t="n">
        <x:v>4691</x:v>
      </x:c>
      <x:c r="B4692" s="87" t="str">
        <x:v>DEC-BIO-01-012</x:v>
      </x:c>
      <x:c r="C4692" s="87" t="str">
        <x:v>СтатГрад</x:v>
      </x:c>
      <x:c r="D4692" s="87" t="str">
        <x:v>Декабрь 2025</x:v>
      </x:c>
      <x:c r="E4692" s="87"/>
      <x:c r="F4692" s="87"/>
      <x:c r="G4692" s="87" t="str">
        <x:v>Биология</x:v>
      </x:c>
      <x:c r="H4692" s="87" t="n">
        <x:v>11</x:v>
      </x:c>
      <x:c r="I4692" s="87" t="str">
        <x:v>ТР №2</x:v>
      </x:c>
      <x:c r="J4692" s="87" t="str">
        <x:v>БИ2510201</x:v>
      </x:c>
      <x:c r="K4692" s="87" t="n">
        <x:v>12</x:v>
      </x:c>
      <x:c r="L4692" s="87" t="str">
        <x:v>Установление последовательности</x:v>
      </x:c>
      <x:c r="M4692" s="30" t="str">
        <x:v>Установите последовательность систематических групп животных, начиная
     с самого высокого ранга. Запишите в таблицу соответствующую
     последовательность цифр.
     1) Насекомые
     2) Комар-пискун
     3) Кровососущие комары
     4) Членистоногие
     5) Двукрылые
     6) Эукариоты
     Ответ:
                 Рассмотрите рисунок и выполните задания 13 и 14.</x:v>
      </x:c>
      <x:c r="N4692" s="30" t="str">
        <x:v>641532</x:v>
      </x:c>
      <x:c r="O4692" s="30" t="str">
        <x:v>Этапы упорядочены по причинно-временной либо систематической последовательности.</x:v>
      </x:c>
      <x:c r="P4692" s="30" t="str">
        <x:v>Условие и визуал просмотрены; ответ проверен по биологической логике/расчёту и сопоставлен с каноническим источником.</x:v>
      </x:c>
      <x:c r="Q4692" s="30"/>
      <x:c r="R4692" s="30" t="str">
        <x:v>641532</x:v>
      </x:c>
      <x:c r="S4692" s="30"/>
      <x:c r="T4692" s="30" t="str">
        <x:v>Kriterii_BI11_19122025.pdf</x:v>
      </x:c>
      <x:c r="U4692" s="30" t="str">
        <x:v>Расхождений с каноническим источником нет.</x:v>
      </x:c>
      <x:c r="V4692" s="87" t="str">
        <x:v>VERIFIED</x:v>
      </x:c>
      <x:c r="W4692" s="87"/>
      <x:c r="X4692" s="87" t="n">
        <x:v>6</x:v>
      </x:c>
      <x:c r="Y4692" s="87"/>
      <x:c r="Z4692" s="87"/>
      <x:c r="AA4692" s="87"/>
      <x:c r="AB4692" s="87" t="str">
        <x:v>1</x:v>
      </x:c>
      <x:c r="AC4692" s="87" t="str">
        <x:v>VIS-BIO-DEC-TASK-12-P006</x:v>
      </x:c>
      <x:c r="AD4692" s="87" t="str">
        <x:v>VIS-BIO-DEC-CRIT-12-P001</x:v>
      </x:c>
      <x:c r="AE4692" s="87" t="str">
        <x:v>TASK; CRIT</x:v>
      </x:c>
      <x:c r="AF4692" s="87" t="str">
        <x:v>VIS-BIO-DEC-TASK-12-P006: 6; VIS-BIO-DEC-CRIT-12-P001: 1</x:v>
      </x:c>
      <x:c r="AG4692" s="87" t="str">
        <x:v>RESOLVED</x:v>
      </x:c>
      <x:c r="AH4692" s="87" t="str">
        <x:v>CROP_VERIFIED</x:v>
      </x:c>
      <x:c r="AI4692" s="30"/>
      <x:c r="AJ4692" s="87" t="str">
        <x:v>clean</x:v>
      </x:c>
      <x:c r="AK4692" s="87" t="str">
        <x:v>clean-v0.08</x:v>
      </x:c>
      <x:c r="AL4692" s="87" t="str">
        <x:v>statgrad_clean_continuation_v0_08(1).xlsx</x:v>
      </x:c>
      <x:c r="AM4692" s="87" t="str">
        <x:v>BIO_Dec_V1</x:v>
      </x:c>
      <x:c r="AN4692" s="87" t="n">
        <x:v>13</x:v>
      </x:c>
    </x:row>
    <x:row r="4693">
      <x:c r="A4693" s="87" t="n">
        <x:v>4692</x:v>
      </x:c>
      <x:c r="B4693" s="87" t="str">
        <x:v>DEC-BIO-01-013</x:v>
      </x:c>
      <x:c r="C4693" s="87" t="str">
        <x:v>СтатГрад</x:v>
      </x:c>
      <x:c r="D4693" s="87" t="str">
        <x:v>Декабрь 2025</x:v>
      </x:c>
      <x:c r="E4693" s="87"/>
      <x:c r="F4693" s="87"/>
      <x:c r="G4693" s="87" t="str">
        <x:v>Биология</x:v>
      </x:c>
      <x:c r="H4693" s="87" t="n">
        <x:v>11</x:v>
      </x:c>
      <x:c r="I4693" s="87" t="str">
        <x:v>ТР №2</x:v>
      </x:c>
      <x:c r="J4693" s="87" t="str">
        <x:v>БИ2510201</x:v>
      </x:c>
      <x:c r="K4693" s="87" t="n">
        <x:v>13</x:v>
      </x:c>
      <x:c r="L4693" s="87" t="str">
        <x:v>Определение по рисунку/таблице</x:v>
      </x:c>
      <x:c r="M4693" s="30" t="str">
        <x:v>Какой цифрой на рисунке обозначен жёлтый костный мозг?
     Ответ: ___________________________.</x:v>
      </x:c>
      <x:c r="N4693" s="30" t="str">
        <x:v>5</x:v>
      </x:c>
      <x:c r="O4693" s="30" t="str">
        <x:v>Номер структуры определён по исходному рисунку и подтверждён дополнительной таблицей ответов.</x:v>
      </x:c>
      <x:c r="P4693" s="30" t="str">
        <x:v>Условие и визуал просмотрены; ответ проверен по биологической логике/расчёту и сопоставлен с каноническим источником.</x:v>
      </x:c>
      <x:c r="Q4693" s="30"/>
      <x:c r="R4693" s="30" t="str">
        <x:v>5</x:v>
      </x:c>
      <x:c r="S4693" s="30"/>
      <x:c r="T4693" s="30" t="str">
        <x:v>IMG_20251220_203648_739.jpg</x:v>
      </x:c>
      <x:c r="U4693" s="30" t="str">
        <x:v>Вторичная крупная картинка не является канонической и исключена из ответа.</x:v>
      </x:c>
      <x:c r="V4693" s="87" t="str">
        <x:v>VERIFIED</x:v>
      </x:c>
      <x:c r="W4693" s="87"/>
      <x:c r="X4693" s="87" t="n">
        <x:v>7</x:v>
      </x:c>
      <x:c r="Y4693" s="87"/>
      <x:c r="Z4693" s="87"/>
      <x:c r="AA4693" s="87"/>
      <x:c r="AB4693" s="87" t="str">
        <x:v>таблица дополнения</x:v>
      </x:c>
      <x:c r="AC4693" s="87" t="str">
        <x:v>VIS-BIO-DEC-TASK-12-P007</x:v>
      </x:c>
      <x:c r="AD4693" s="87" t="str">
        <x:v>VIS-BIO-DEC-KEY-SUPPLEMENT</x:v>
      </x:c>
      <x:c r="AE4693" s="87" t="str">
        <x:v>TASK; KEY_SUPPLEMENT</x:v>
      </x:c>
      <x:c r="AF4693" s="87" t="str">
        <x:v>VIS-BIO-DEC-TASK-12-P007: 7; VIS-BIO-DEC-KEY-SUPPLEMENT: original</x:v>
      </x:c>
      <x:c r="AG4693" s="87" t="str">
        <x:v>RESOLVED</x:v>
      </x:c>
      <x:c r="AH4693" s="87" t="str">
        <x:v>CROP_VERIFIED; TASK_CROP_QA_APPROVED:MANUAL_BBOX</x:v>
      </x:c>
      <x:c r="AI4693" s="30"/>
      <x:c r="AJ4693" s="87" t="str">
        <x:v>clean</x:v>
      </x:c>
      <x:c r="AK4693" s="87" t="str">
        <x:v>clean-v0.08</x:v>
      </x:c>
      <x:c r="AL4693" s="87" t="str">
        <x:v>statgrad_clean_continuation_v0_08(1).xlsx</x:v>
      </x:c>
      <x:c r="AM4693" s="87" t="str">
        <x:v>BIO_Dec_V1</x:v>
      </x:c>
      <x:c r="AN4693" s="87" t="n">
        <x:v>14</x:v>
      </x:c>
    </x:row>
    <x:row r="4694">
      <x:c r="A4694" s="87" t="n">
        <x:v>4693</x:v>
      </x:c>
      <x:c r="B4694" s="87" t="str">
        <x:v>DEC-BIO-01-014</x:v>
      </x:c>
      <x:c r="C4694" s="87" t="str">
        <x:v>СтатГрад</x:v>
      </x:c>
      <x:c r="D4694" s="87" t="str">
        <x:v>Декабрь 2025</x:v>
      </x:c>
      <x:c r="E4694" s="87"/>
      <x:c r="F4694" s="87"/>
      <x:c r="G4694" s="87" t="str">
        <x:v>Биология</x:v>
      </x:c>
      <x:c r="H4694" s="87" t="n">
        <x:v>11</x:v>
      </x:c>
      <x:c r="I4694" s="87" t="str">
        <x:v>ТР №2</x:v>
      </x:c>
      <x:c r="J4694" s="87" t="str">
        <x:v>БИ2510201</x:v>
      </x:c>
      <x:c r="K4694" s="87" t="n">
        <x:v>14</x:v>
      </x:c>
      <x:c r="L4694" s="87" t="str">
        <x:v>Установление соответствия</x:v>
      </x:c>
      <x:c r="M4694" s="30" t="str">
        <x:v>Установите соответствие между характеристиками и клетками человека,
     обозначенными на рисунке цифрами 1, 2, 3: к каждой позиции, данной
     в первом столбце, подберите соответствующую позицию из второго столбца.
                ХАРАКТЕРИСТИКИ                                 КЛЕТКИ ЧЕЛОВЕКА
     А) содержат ядро                                      1) 1
     Б) производят факторы свёртывания                     2) 2
     В) дозревают в лимфатических узлах                    3) 3
     Г) транспортируют кислород
     Д) содержат гемоглобин
     Е) называются кровяными пластинками
     Запишите в таблицу выбранные цифры под соответствующими буквами.
                А Б В Г Д Е
     Ответ:</x:v>
      </x:c>
      <x:c r="N4694" s="30" t="str">
        <x:v>232113</x:v>
      </x:c>
      <x:c r="O4694" s="30" t="str">
        <x:v>Каждая характеристика сопоставлена с обозначенной структурой/категорией; последовательность подтверждена официальным ключом.</x:v>
      </x:c>
      <x:c r="P4694" s="30" t="str">
        <x:v>Условие и визуал просмотрены; ответ проверен по биологической логике/расчёту и сопоставлен с каноническим источником.</x:v>
      </x:c>
      <x:c r="Q4694" s="30"/>
      <x:c r="R4694" s="30" t="str">
        <x:v>232113</x:v>
      </x:c>
      <x:c r="S4694" s="30"/>
      <x:c r="T4694" s="30" t="str">
        <x:v>Kriterii_BI11_19122025.pdf</x:v>
      </x:c>
      <x:c r="U4694" s="30" t="str">
        <x:v>Вторичная крупная картинка не является канонической и исключена из ответа.</x:v>
      </x:c>
      <x:c r="V4694" s="87" t="str">
        <x:v>VERIFIED</x:v>
      </x:c>
      <x:c r="W4694" s="87"/>
      <x:c r="X4694" s="87" t="n">
        <x:v>7</x:v>
      </x:c>
      <x:c r="Y4694" s="87"/>
      <x:c r="Z4694" s="87"/>
      <x:c r="AA4694" s="87"/>
      <x:c r="AB4694" s="87" t="str">
        <x:v>1</x:v>
      </x:c>
      <x:c r="AC4694" s="87" t="str">
        <x:v>VIS-BIO-DEC-TASK-12-P007</x:v>
      </x:c>
      <x:c r="AD4694" s="87" t="str">
        <x:v>VIS-BIO-DEC-CRIT-12-P001</x:v>
      </x:c>
      <x:c r="AE4694" s="87" t="str">
        <x:v>TASK; CRIT</x:v>
      </x:c>
      <x:c r="AF4694" s="87" t="str">
        <x:v>VIS-BIO-DEC-TASK-12-P007: 7; VIS-BIO-DEC-CRIT-12-P001: 1</x:v>
      </x:c>
      <x:c r="AG4694" s="87" t="str">
        <x:v>RESOLVED</x:v>
      </x:c>
      <x:c r="AH4694" s="87" t="str">
        <x:v>CROP_VERIFIED; TASK_CROP_QA_APPROVED:USE_TIGHT</x:v>
      </x:c>
      <x:c r="AI4694" s="30"/>
      <x:c r="AJ4694" s="87" t="str">
        <x:v>clean</x:v>
      </x:c>
      <x:c r="AK4694" s="87" t="str">
        <x:v>clean-v0.08</x:v>
      </x:c>
      <x:c r="AL4694" s="87" t="str">
        <x:v>statgrad_clean_continuation_v0_08(1).xlsx</x:v>
      </x:c>
      <x:c r="AM4694" s="87" t="str">
        <x:v>BIO_Dec_V1</x:v>
      </x:c>
      <x:c r="AN4694" s="87" t="n">
        <x:v>15</x:v>
      </x:c>
    </x:row>
    <x:row r="4695">
      <x:c r="A4695" s="87" t="n">
        <x:v>4694</x:v>
      </x:c>
      <x:c r="B4695" s="87" t="str">
        <x:v>DEC-BIO-01-015</x:v>
      </x:c>
      <x:c r="C4695" s="87" t="str">
        <x:v>СтатГрад</x:v>
      </x:c>
      <x:c r="D4695" s="87" t="str">
        <x:v>Декабрь 2025</x:v>
      </x:c>
      <x:c r="E4695" s="87"/>
      <x:c r="F4695" s="87"/>
      <x:c r="G4695" s="87" t="str">
        <x:v>Биология</x:v>
      </x:c>
      <x:c r="H4695" s="87" t="n">
        <x:v>11</x:v>
      </x:c>
      <x:c r="I4695" s="87" t="str">
        <x:v>ТР №2</x:v>
      </x:c>
      <x:c r="J4695" s="87" t="str">
        <x:v>БИ2510201</x:v>
      </x:c>
      <x:c r="K4695" s="87" t="n">
        <x:v>15</x:v>
      </x:c>
      <x:c r="L4695" s="87" t="str">
        <x:v>Множественный выбор</x:v>
      </x:c>
      <x:c r="M4695" s="30" t="str">
        <x:v>Выберите три верных ответа и запишите в таблицу цифры, под которыми
     они указаны.
     Какие признаки характерны для ствола головного мозга?
     1) служит местом отхождения черепномозговых нервов
     2) включает промежуточный и передний мозг
     3) является продолжением спинного мозга
     4) содержит в центре серое вещество
     5) имеет борозды и извилины
     6) является центральным отделом анализаторов
     Ответ:</x:v>
      </x:c>
      <x:c r="N4695" s="30" t="str">
        <x:v>134</x:v>
      </x:c>
      <x:c r="O4695" s="30" t="str">
        <x:v>Все шесть утверждений проверены по биологическим признакам; выбраны три корректные позиции.</x:v>
      </x:c>
      <x:c r="P4695" s="30" t="str">
        <x:v>Условие и визуал просмотрены; ответ проверен по биологической логике/расчёту и сопоставлен с каноническим источником.</x:v>
      </x:c>
      <x:c r="Q4695" s="30"/>
      <x:c r="R4695" s="30" t="str">
        <x:v>134</x:v>
      </x:c>
      <x:c r="S4695" s="30"/>
      <x:c r="T4695" s="30" t="str">
        <x:v>Kriterii_BI11_19122025.pdf</x:v>
      </x:c>
      <x:c r="U4695" s="30" t="str">
        <x:v>Расхождений с каноническим источником нет.</x:v>
      </x:c>
      <x:c r="V4695" s="87" t="str">
        <x:v>VERIFIED</x:v>
      </x:c>
      <x:c r="W4695" s="87"/>
      <x:c r="X4695" s="87" t="n">
        <x:v>8</x:v>
      </x:c>
      <x:c r="Y4695" s="87"/>
      <x:c r="Z4695" s="87"/>
      <x:c r="AA4695" s="87"/>
      <x:c r="AB4695" s="87" t="str">
        <x:v>1</x:v>
      </x:c>
      <x:c r="AC4695" s="87" t="str">
        <x:v>VIS-BIO-DEC-TASK-12-P008</x:v>
      </x:c>
      <x:c r="AD4695" s="87" t="str">
        <x:v>VIS-BIO-DEC-CRIT-12-P001</x:v>
      </x:c>
      <x:c r="AE4695" s="87" t="str">
        <x:v>TASK; CRIT</x:v>
      </x:c>
      <x:c r="AF4695" s="87" t="str">
        <x:v>VIS-BIO-DEC-TASK-12-P008: 8; VIS-BIO-DEC-CRIT-12-P001: 1</x:v>
      </x:c>
      <x:c r="AG4695" s="87" t="str">
        <x:v>RESOLVED</x:v>
      </x:c>
      <x:c r="AH4695" s="87" t="str">
        <x:v>CROP_VERIFIED</x:v>
      </x:c>
      <x:c r="AI4695" s="30"/>
      <x:c r="AJ4695" s="87" t="str">
        <x:v>clean</x:v>
      </x:c>
      <x:c r="AK4695" s="87" t="str">
        <x:v>clean-v0.08</x:v>
      </x:c>
      <x:c r="AL4695" s="87" t="str">
        <x:v>statgrad_clean_continuation_v0_08(1).xlsx</x:v>
      </x:c>
      <x:c r="AM4695" s="87" t="str">
        <x:v>BIO_Dec_V1</x:v>
      </x:c>
      <x:c r="AN4695" s="87" t="n">
        <x:v>16</x:v>
      </x:c>
    </x:row>
    <x:row r="4696">
      <x:c r="A4696" s="87" t="n">
        <x:v>4695</x:v>
      </x:c>
      <x:c r="B4696" s="87" t="str">
        <x:v>DEC-BIO-01-016</x:v>
      </x:c>
      <x:c r="C4696" s="87" t="str">
        <x:v>СтатГрад</x:v>
      </x:c>
      <x:c r="D4696" s="87" t="str">
        <x:v>Декабрь 2025</x:v>
      </x:c>
      <x:c r="E4696" s="87"/>
      <x:c r="F4696" s="87"/>
      <x:c r="G4696" s="87" t="str">
        <x:v>Биология</x:v>
      </x:c>
      <x:c r="H4696" s="87" t="n">
        <x:v>11</x:v>
      </x:c>
      <x:c r="I4696" s="87" t="str">
        <x:v>ТР №2</x:v>
      </x:c>
      <x:c r="J4696" s="87" t="str">
        <x:v>БИ2510201</x:v>
      </x:c>
      <x:c r="K4696" s="87" t="n">
        <x:v>16</x:v>
      </x:c>
      <x:c r="L4696" s="87" t="str">
        <x:v>Установление последовательности</x:v>
      </x:c>
      <x:c r="M4696" s="30" t="str">
        <x:v>Установите последовательность анатомического расположения сосудов
     человека в направлении от головы к ногам. Запишите в таблицу
     соответствующую последовательность цифр.
     1) подвздошная вена
     2) сонная артерия
     3) желудочная артерия
     4) подколенная вена
     5) аорта
     Ответ:</x:v>
      </x:c>
      <x:c r="N4696" s="30" t="str">
        <x:v>25314</x:v>
      </x:c>
      <x:c r="O4696" s="30" t="str">
        <x:v>Этапы упорядочены по причинно-временной либо систематической последовательности.</x:v>
      </x:c>
      <x:c r="P4696" s="30" t="str">
        <x:v>Условие и визуал просмотрены; ответ проверен по биологической логике/расчёту и сопоставлен с каноническим источником.</x:v>
      </x:c>
      <x:c r="Q4696" s="30"/>
      <x:c r="R4696" s="30" t="str">
        <x:v>25314</x:v>
      </x:c>
      <x:c r="S4696" s="30"/>
      <x:c r="T4696" s="30" t="str">
        <x:v>Kriterii_BI11_19122025.pdf</x:v>
      </x:c>
      <x:c r="U4696" s="30" t="str">
        <x:v>Расхождений с каноническим источником нет.</x:v>
      </x:c>
      <x:c r="V4696" s="87" t="str">
        <x:v>VERIFIED</x:v>
      </x:c>
      <x:c r="W4696" s="87"/>
      <x:c r="X4696" s="87" t="n">
        <x:v>8</x:v>
      </x:c>
      <x:c r="Y4696" s="87"/>
      <x:c r="Z4696" s="87"/>
      <x:c r="AA4696" s="87"/>
      <x:c r="AB4696" s="87" t="str">
        <x:v>1</x:v>
      </x:c>
      <x:c r="AC4696" s="87" t="str">
        <x:v>VIS-BIO-DEC-TASK-12-P008</x:v>
      </x:c>
      <x:c r="AD4696" s="87" t="str">
        <x:v>VIS-BIO-DEC-CRIT-12-P001</x:v>
      </x:c>
      <x:c r="AE4696" s="87" t="str">
        <x:v>TASK; CRIT</x:v>
      </x:c>
      <x:c r="AF4696" s="87" t="str">
        <x:v>VIS-BIO-DEC-TASK-12-P008: 8; VIS-BIO-DEC-CRIT-12-P001: 1</x:v>
      </x:c>
      <x:c r="AG4696" s="87" t="str">
        <x:v>RESOLVED</x:v>
      </x:c>
      <x:c r="AH4696" s="87" t="str">
        <x:v>CROP_VERIFIED</x:v>
      </x:c>
      <x:c r="AI4696" s="30"/>
      <x:c r="AJ4696" s="87" t="str">
        <x:v>clean</x:v>
      </x:c>
      <x:c r="AK4696" s="87" t="str">
        <x:v>clean-v0.08</x:v>
      </x:c>
      <x:c r="AL4696" s="87" t="str">
        <x:v>statgrad_clean_continuation_v0_08(1).xlsx</x:v>
      </x:c>
      <x:c r="AM4696" s="87" t="str">
        <x:v>BIO_Dec_V1</x:v>
      </x:c>
      <x:c r="AN4696" s="87" t="n">
        <x:v>17</x:v>
      </x:c>
    </x:row>
    <x:row r="4697">
      <x:c r="A4697" s="87" t="n">
        <x:v>4696</x:v>
      </x:c>
      <x:c r="B4697" s="87" t="str">
        <x:v>DEC-BIO-01-017</x:v>
      </x:c>
      <x:c r="C4697" s="87" t="str">
        <x:v>СтатГрад</x:v>
      </x:c>
      <x:c r="D4697" s="87" t="str">
        <x:v>Декабрь 2025</x:v>
      </x:c>
      <x:c r="E4697" s="87"/>
      <x:c r="F4697" s="87"/>
      <x:c r="G4697" s="87" t="str">
        <x:v>Биология</x:v>
      </x:c>
      <x:c r="H4697" s="87" t="n">
        <x:v>11</x:v>
      </x:c>
      <x:c r="I4697" s="87" t="str">
        <x:v>ТР №2</x:v>
      </x:c>
      <x:c r="J4697" s="87" t="str">
        <x:v>БИ2510201</x:v>
      </x:c>
      <x:c r="K4697" s="87" t="n">
        <x:v>17</x:v>
      </x:c>
      <x:c r="L4697" s="87" t="str">
        <x:v>Анализ биологического текста</x:v>
      </x:c>
      <x:c r="M4697" s="30" t="str">
        <x:v>Прочитайте текст. Выберите три предложения, в которых даны примеры
     конвергенции. Запишите в таблицу цифры, под которыми они указаны.
     (1)У акул и дельфинов обтекаемая форма тела помогает быстро двигаться
     в воде. (2)Передние конечности летучих мышей и птиц имеют одинаковое
     происхождение, так как обе группы относятся к позвоночным животным.
     (3)У кактусов и молочаев (относящихся к разным семействам) мясистые
     стебли служат для запасания воды в условиях засухи. (4)У млекопитающих
     из отряда Грызуны очень развиты резцы, а у представителей отряда Хищные
     сформировались хищные зубы. (5)Глаза головоногих моллюсков
     и позвоночных сходны по строению, хотя развились независимо. (6)Наличие
     у стрелолиста листьев разной формы позволяет ему адаптироваться
     как к водной, так и к наземно-воздушной среде.
     Ответ:</x:v>
      </x:c>
      <x:c r="N4697" s="30" t="str">
        <x:v>135</x:v>
      </x:c>
      <x:c r="O4697" s="30" t="str">
        <x:v>Примеры в тексте классифицированы по указанной форме отбора/эволюции.</x:v>
      </x:c>
      <x:c r="P4697" s="30" t="str">
        <x:v>Условие и визуал просмотрены; ответ проверен по биологической логике/расчёту и сопоставлен с каноническим источником.</x:v>
      </x:c>
      <x:c r="Q4697" s="30"/>
      <x:c r="R4697" s="30" t="str">
        <x:v>135</x:v>
      </x:c>
      <x:c r="S4697" s="30"/>
      <x:c r="T4697" s="30" t="str">
        <x:v>Kriterii_BI11_19122025.pdf</x:v>
      </x:c>
      <x:c r="U4697" s="30" t="str">
        <x:v>Расхождений с каноническим источником нет.</x:v>
      </x:c>
      <x:c r="V4697" s="87" t="str">
        <x:v>VERIFIED</x:v>
      </x:c>
      <x:c r="W4697" s="87"/>
      <x:c r="X4697" s="87" t="n">
        <x:v>8</x:v>
      </x:c>
      <x:c r="Y4697" s="87"/>
      <x:c r="Z4697" s="87"/>
      <x:c r="AA4697" s="87"/>
      <x:c r="AB4697" s="87" t="str">
        <x:v>1</x:v>
      </x:c>
      <x:c r="AC4697" s="87" t="str">
        <x:v>VIS-BIO-DEC-TASK-12-P008</x:v>
      </x:c>
      <x:c r="AD4697" s="87" t="str">
        <x:v>VIS-BIO-DEC-CRIT-12-P001</x:v>
      </x:c>
      <x:c r="AE4697" s="87" t="str">
        <x:v>TASK; CRIT</x:v>
      </x:c>
      <x:c r="AF4697" s="87" t="str">
        <x:v>VIS-BIO-DEC-TASK-12-P008: 8; VIS-BIO-DEC-CRIT-12-P001: 1</x:v>
      </x:c>
      <x:c r="AG4697" s="87" t="str">
        <x:v>RESOLVED</x:v>
      </x:c>
      <x:c r="AH4697" s="87" t="str">
        <x:v>CROP_VERIFIED</x:v>
      </x:c>
      <x:c r="AI4697" s="30"/>
      <x:c r="AJ4697" s="87" t="str">
        <x:v>clean</x:v>
      </x:c>
      <x:c r="AK4697" s="87" t="str">
        <x:v>clean-v0.08</x:v>
      </x:c>
      <x:c r="AL4697" s="87" t="str">
        <x:v>statgrad_clean_continuation_v0_08(1).xlsx</x:v>
      </x:c>
      <x:c r="AM4697" s="87" t="str">
        <x:v>BIO_Dec_V1</x:v>
      </x:c>
      <x:c r="AN4697" s="87" t="n">
        <x:v>18</x:v>
      </x:c>
    </x:row>
    <x:row r="4698">
      <x:c r="A4698" s="87" t="n">
        <x:v>4697</x:v>
      </x:c>
      <x:c r="B4698" s="87" t="str">
        <x:v>DEC-BIO-01-018</x:v>
      </x:c>
      <x:c r="C4698" s="87" t="str">
        <x:v>СтатГрад</x:v>
      </x:c>
      <x:c r="D4698" s="87" t="str">
        <x:v>Декабрь 2025</x:v>
      </x:c>
      <x:c r="E4698" s="87"/>
      <x:c r="F4698" s="87"/>
      <x:c r="G4698" s="87" t="str">
        <x:v>Биология</x:v>
      </x:c>
      <x:c r="H4698" s="87" t="n">
        <x:v>11</x:v>
      </x:c>
      <x:c r="I4698" s="87" t="str">
        <x:v>ТР №2</x:v>
      </x:c>
      <x:c r="J4698" s="87" t="str">
        <x:v>БИ2510201</x:v>
      </x:c>
      <x:c r="K4698" s="87" t="n">
        <x:v>18</x:v>
      </x:c>
      <x:c r="L4698" s="87" t="str">
        <x:v>Множественный выбор</x:v>
      </x:c>
      <x:c r="M4698" s="30" t="str">
        <x:v>Выберите три верных ответа и запишите в таблицу цифры, под которыми
     они указаны.
     Пойменный луг как устойчивую экосистему характеризуют:
     1) разветвлённые пищевые сети
     2) сезонные изменения влажности
     3) обилие грызунов
     4) большое видовое разнообразие
     5) толстый слой гумуса
     6) сбалансированный круговорот веществ
     Ответ:</x:v>
      </x:c>
      <x:c r="N4698" s="30" t="str">
        <x:v>146</x:v>
      </x:c>
      <x:c r="O4698" s="30" t="str">
        <x:v>Все шесть утверждений проверены по биологическим признакам; выбраны три корректные позиции.</x:v>
      </x:c>
      <x:c r="P4698" s="30" t="str">
        <x:v>Условие и визуал просмотрены; ответ проверен по биологической логике/расчёту и сопоставлен с каноническим источником.</x:v>
      </x:c>
      <x:c r="Q4698" s="30"/>
      <x:c r="R4698" s="30" t="str">
        <x:v>146</x:v>
      </x:c>
      <x:c r="S4698" s="30"/>
      <x:c r="T4698" s="30" t="str">
        <x:v>Kriterii_BI11_19122025.pdf</x:v>
      </x:c>
      <x:c r="U4698" s="30" t="str">
        <x:v>Расхождений с каноническим источником нет.</x:v>
      </x:c>
      <x:c r="V4698" s="87" t="str">
        <x:v>VERIFIED</x:v>
      </x:c>
      <x:c r="W4698" s="87"/>
      <x:c r="X4698" s="87" t="n">
        <x:v>9</x:v>
      </x:c>
      <x:c r="Y4698" s="87"/>
      <x:c r="Z4698" s="87"/>
      <x:c r="AA4698" s="87"/>
      <x:c r="AB4698" s="87" t="str">
        <x:v>1</x:v>
      </x:c>
      <x:c r="AC4698" s="87" t="str">
        <x:v>VIS-BIO-DEC-TASK-12-P009</x:v>
      </x:c>
      <x:c r="AD4698" s="87" t="str">
        <x:v>VIS-BIO-DEC-CRIT-12-P001</x:v>
      </x:c>
      <x:c r="AE4698" s="87" t="str">
        <x:v>TASK; CRIT</x:v>
      </x:c>
      <x:c r="AF4698" s="87" t="str">
        <x:v>VIS-BIO-DEC-TASK-12-P009: 9; VIS-BIO-DEC-CRIT-12-P001: 1</x:v>
      </x:c>
      <x:c r="AG4698" s="87" t="str">
        <x:v>RESOLVED</x:v>
      </x:c>
      <x:c r="AH4698" s="87" t="str">
        <x:v>CROP_VERIFIED</x:v>
      </x:c>
      <x:c r="AI4698" s="30"/>
      <x:c r="AJ4698" s="87" t="str">
        <x:v>clean</x:v>
      </x:c>
      <x:c r="AK4698" s="87" t="str">
        <x:v>clean-v0.08</x:v>
      </x:c>
      <x:c r="AL4698" s="87" t="str">
        <x:v>statgrad_clean_continuation_v0_08(1).xlsx</x:v>
      </x:c>
      <x:c r="AM4698" s="87" t="str">
        <x:v>BIO_Dec_V1</x:v>
      </x:c>
      <x:c r="AN4698" s="87" t="n">
        <x:v>19</x:v>
      </x:c>
    </x:row>
    <x:row r="4699">
      <x:c r="A4699" s="87" t="n">
        <x:v>4698</x:v>
      </x:c>
      <x:c r="B4699" s="87" t="str">
        <x:v>DEC-BIO-01-019</x:v>
      </x:c>
      <x:c r="C4699" s="87" t="str">
        <x:v>СтатГрад</x:v>
      </x:c>
      <x:c r="D4699" s="87" t="str">
        <x:v>Декабрь 2025</x:v>
      </x:c>
      <x:c r="E4699" s="87"/>
      <x:c r="F4699" s="87"/>
      <x:c r="G4699" s="87" t="str">
        <x:v>Биология</x:v>
      </x:c>
      <x:c r="H4699" s="87" t="n">
        <x:v>11</x:v>
      </x:c>
      <x:c r="I4699" s="87" t="str">
        <x:v>ТР №2</x:v>
      </x:c>
      <x:c r="J4699" s="87" t="str">
        <x:v>БИ2510201</x:v>
      </x:c>
      <x:c r="K4699" s="87" t="n">
        <x:v>19</x:v>
      </x:c>
      <x:c r="L4699" s="87" t="str">
        <x:v>Установление соответствия</x:v>
      </x:c>
      <x:c r="M4699" s="30" t="str">
        <x:v>Установите соответствие между характеристиками и видами растительных
     сообществ: к каждой позиции, данной в первом столбце, подберите
     соответствующую позицию из второго столбца.
                                                             ВИДЫ РАСТИТЕЛЬНЫХ
                  ХАРАКТЕРИСТИКИ
                                                                  СООБЩЕСТВ
     А) многоярусность                                     1) пионерное
     Б) способность заселять бедные субстраты              2) климаксное
     В) преобладание мелких растений
     Г) устойчивость к внешним изменениям
     Д) доминирование быстрорастущих видов
     Е) большая биомасса
     Запишите в таблицу выбранные цифры под соответствующими буквами.
                А Б В Г Д Е
     Ответ:</x:v>
      </x:c>
      <x:c r="N4699" s="30" t="str">
        <x:v>211212</x:v>
      </x:c>
      <x:c r="O4699" s="30" t="str">
        <x:v>Каждая характеристика сопоставлена с обозначенной структурой/категорией; последовательность подтверждена официальным ключом.</x:v>
      </x:c>
      <x:c r="P4699" s="30" t="str">
        <x:v>Условие и визуал просмотрены; ответ проверен по биологической логике/расчёту и сопоставлен с каноническим источником.</x:v>
      </x:c>
      <x:c r="Q4699" s="30"/>
      <x:c r="R4699" s="30" t="str">
        <x:v>211212</x:v>
      </x:c>
      <x:c r="S4699" s="30"/>
      <x:c r="T4699" s="30" t="str">
        <x:v>Kriterii_BI11_19122025.pdf</x:v>
      </x:c>
      <x:c r="U4699" s="30" t="str">
        <x:v>Расхождений с каноническим источником нет.</x:v>
      </x:c>
      <x:c r="V4699" s="87" t="str">
        <x:v>VERIFIED</x:v>
      </x:c>
      <x:c r="W4699" s="87"/>
      <x:c r="X4699" s="87" t="n">
        <x:v>9</x:v>
      </x:c>
      <x:c r="Y4699" s="87"/>
      <x:c r="Z4699" s="87"/>
      <x:c r="AA4699" s="87"/>
      <x:c r="AB4699" s="87" t="str">
        <x:v>1</x:v>
      </x:c>
      <x:c r="AC4699" s="87" t="str">
        <x:v>VIS-BIO-DEC-TASK-12-P009</x:v>
      </x:c>
      <x:c r="AD4699" s="87" t="str">
        <x:v>VIS-BIO-DEC-CRIT-12-P001</x:v>
      </x:c>
      <x:c r="AE4699" s="87" t="str">
        <x:v>TASK; CRIT</x:v>
      </x:c>
      <x:c r="AF4699" s="87" t="str">
        <x:v>VIS-BIO-DEC-TASK-12-P009: 9; VIS-BIO-DEC-CRIT-12-P001: 1</x:v>
      </x:c>
      <x:c r="AG4699" s="87" t="str">
        <x:v>RESOLVED</x:v>
      </x:c>
      <x:c r="AH4699" s="87" t="str">
        <x:v>CROP_VERIFIED</x:v>
      </x:c>
      <x:c r="AI4699" s="30"/>
      <x:c r="AJ4699" s="87" t="str">
        <x:v>clean</x:v>
      </x:c>
      <x:c r="AK4699" s="87" t="str">
        <x:v>clean-v0.08</x:v>
      </x:c>
      <x:c r="AL4699" s="87" t="str">
        <x:v>statgrad_clean_continuation_v0_08(1).xlsx</x:v>
      </x:c>
      <x:c r="AM4699" s="87" t="str">
        <x:v>BIO_Dec_V1</x:v>
      </x:c>
      <x:c r="AN4699" s="87" t="n">
        <x:v>20</x:v>
      </x:c>
    </x:row>
    <x:row r="4700">
      <x:c r="A4700" s="87" t="n">
        <x:v>4699</x:v>
      </x:c>
      <x:c r="B4700" s="87" t="str">
        <x:v>DEC-BIO-01-020</x:v>
      </x:c>
      <x:c r="C4700" s="87" t="str">
        <x:v>СтатГрад</x:v>
      </x:c>
      <x:c r="D4700" s="87" t="str">
        <x:v>Декабрь 2025</x:v>
      </x:c>
      <x:c r="E4700" s="87"/>
      <x:c r="F4700" s="87"/>
      <x:c r="G4700" s="87" t="str">
        <x:v>Биология</x:v>
      </x:c>
      <x:c r="H4700" s="87" t="n">
        <x:v>11</x:v>
      </x:c>
      <x:c r="I4700" s="87" t="str">
        <x:v>ТР №2</x:v>
      </x:c>
      <x:c r="J4700" s="87" t="str">
        <x:v>БИ2510201</x:v>
      </x:c>
      <x:c r="K4700" s="87" t="n">
        <x:v>20</x:v>
      </x:c>
      <x:c r="L4700" s="87" t="str">
        <x:v>Заполнение таблицы по рисунку</x:v>
      </x:c>
      <x:c r="M4700" s="30" t="str">
        <x:v>Рассмотрите организм, изображённый на рисунке.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Группа
                                Пример эволюционного              Гомологичный орган
        эволюционных
                                     изменения                        у человека
         доказательств
     _______________(А)        ___________________(Б) ___________________(В)
     Список элементов:
     1) палеонтологические
     2) атавизм
     3) бедро
     4) сравнительно-анатомические
     5) рудимент
     6) эмбриологические
     7) тазовый пояс
     8) зародышевый листок
     Запишите в таблицу выбранные цифры под соответствующими буквами.
                А Б В
     Ответ:</x:v>
      </x:c>
      <x:c r="N4700" s="30" t="str">
        <x:v>457</x:v>
      </x:c>
      <x:c r="O4700" s="30" t="str">
        <x:v>Изображённый объект и его признаки сопоставлены с элементами списка.</x:v>
      </x:c>
      <x:c r="P4700" s="30" t="str">
        <x:v>Условие и визуал просмотрены; ответ проверен по биологической логике/расчёту и сопоставлен с каноническим источником.</x:v>
      </x:c>
      <x:c r="Q4700" s="30"/>
      <x:c r="R4700" s="30" t="str">
        <x:v>457</x:v>
      </x:c>
      <x:c r="S4700" s="30"/>
      <x:c r="T4700" s="30" t="str">
        <x:v>Kriterii_BI11_19122025.pdf</x:v>
      </x:c>
      <x:c r="U4700" s="30" t="str">
        <x:v>Расхождений с каноническим источником нет.</x:v>
      </x:c>
      <x:c r="V4700" s="87" t="str">
        <x:v>VERIFIED</x:v>
      </x:c>
      <x:c r="W4700" s="87"/>
      <x:c r="X4700" s="87" t="n">
        <x:v>10</x:v>
      </x:c>
      <x:c r="Y4700" s="87"/>
      <x:c r="Z4700" s="87"/>
      <x:c r="AA4700" s="87"/>
      <x:c r="AB4700" s="87" t="str">
        <x:v>1</x:v>
      </x:c>
      <x:c r="AC4700" s="87" t="str">
        <x:v>VIS-BIO-DEC-TASK-12-P010</x:v>
      </x:c>
      <x:c r="AD4700" s="87" t="str">
        <x:v>VIS-BIO-DEC-CRIT-12-P001</x:v>
      </x:c>
      <x:c r="AE4700" s="87" t="str">
        <x:v>TASK; CRIT</x:v>
      </x:c>
      <x:c r="AF4700" s="87" t="str">
        <x:v>VIS-BIO-DEC-TASK-12-P010: 10; VIS-BIO-DEC-CRIT-12-P001: 1</x:v>
      </x:c>
      <x:c r="AG4700" s="87" t="str">
        <x:v>RESOLVED</x:v>
      </x:c>
      <x:c r="AH4700" s="87" t="str">
        <x:v>CROP_VERIFIED; TASK_CROP_QA_APPROVED:USE_TIGHT</x:v>
      </x:c>
      <x:c r="AI4700" s="30"/>
      <x:c r="AJ4700" s="87" t="str">
        <x:v>clean</x:v>
      </x:c>
      <x:c r="AK4700" s="87" t="str">
        <x:v>clean-v0.08</x:v>
      </x:c>
      <x:c r="AL4700" s="87" t="str">
        <x:v>statgrad_clean_continuation_v0_08(1).xlsx</x:v>
      </x:c>
      <x:c r="AM4700" s="87" t="str">
        <x:v>BIO_Dec_V1</x:v>
      </x:c>
      <x:c r="AN4700" s="87" t="n">
        <x:v>21</x:v>
      </x:c>
    </x:row>
    <x:row r="4701">
      <x:c r="A4701" s="87" t="n">
        <x:v>4700</x:v>
      </x:c>
      <x:c r="B4701" s="87" t="str">
        <x:v>DEC-BIO-01-021</x:v>
      </x:c>
      <x:c r="C4701" s="87" t="str">
        <x:v>СтатГрад</x:v>
      </x:c>
      <x:c r="D4701" s="87" t="str">
        <x:v>Декабрь 2025</x:v>
      </x:c>
      <x:c r="E4701" s="87"/>
      <x:c r="F4701" s="87"/>
      <x:c r="G4701" s="87" t="str">
        <x:v>Биология</x:v>
      </x:c>
      <x:c r="H4701" s="87" t="n">
        <x:v>11</x:v>
      </x:c>
      <x:c r="I4701" s="87" t="str">
        <x:v>ТР №2</x:v>
      </x:c>
      <x:c r="J4701" s="87" t="str">
        <x:v>БИ2510201</x:v>
      </x:c>
      <x:c r="K4701" s="87" t="n">
        <x:v>21</x:v>
      </x:c>
      <x:c r="L4701" s="87" t="str">
        <x:v>Анализ графика/диаграммы</x:v>
      </x:c>
      <x:c r="M4701" s="30" t="str">
        <x:v>Проанализируйте диаграмму «Оценка интенсивности боли у пациентов
     до начала терапии».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Сильную боль испытывает больше пациентов, чем все остальные
        варианты силы боли суммарно.
     2) Часть пациентов при движениях вместо слабой и умеренной боли
        чувствует невыносимую боль.
     3) Умеренную боль при движениях испытывает меньше пациентов,
        чем в покое.
     4) В покое невозможно испытывать боль невыносимого уровня.
     5) Чем больше пациенты двигались, тем сильнее была испытываемая боль.
     Ответ: ___________________________.
                                    Часть 2
     Для записи ответов на задания этой части (22–28) используйте чистый
     лист. Запишите сначала номер задания (22, 23 и т. д.), а затем –
     развёрнутый ответ на него. Ответы записывайте чётко и разборчиво.
     Прочитайте описание эксперимента и выполните задания 22, 23.
     Учёный изучал изменения в растворе под действием фермента аспартат-
     аминотрасферазы (АсАт). В кювету вносился буферный раствор,
     добавлялись фермент и субстрат, после чего кювета ставилась в спектро-
     фотометр, и раз в минуту фиксировалась оптическая плотность раствора.
     По результатам исследования учёный построил график.</x:v>
      </x:c>
      <x:c r="N4701" s="30" t="str">
        <x:v>13</x:v>
      </x:c>
      <x:c r="O4701" s="30" t="str">
        <x:v>Утверждения проверены только по данным графика/диаграммы без добавления внешних предположений.</x:v>
      </x:c>
      <x:c r="P4701" s="30" t="str">
        <x:v>Условие и визуал просмотрены; ответ проверен по биологической логике/расчёту и сопоставлен с каноническим источником.</x:v>
      </x:c>
      <x:c r="Q4701" s="30"/>
      <x:c r="R4701" s="30" t="str">
        <x:v>13</x:v>
      </x:c>
      <x:c r="S4701" s="30"/>
      <x:c r="T4701" s="30" t="str">
        <x:v>Kriterii_BI11_19122025.pdf</x:v>
      </x:c>
      <x:c r="U4701" s="30" t="str">
        <x:v>Вторичная крупная картинка не является канонической и исключена из ответа.</x:v>
      </x:c>
      <x:c r="V4701" s="87" t="str">
        <x:v>VERIFIED</x:v>
      </x:c>
      <x:c r="W4701" s="87"/>
      <x:c r="X4701" s="87" t="n">
        <x:v>11</x:v>
      </x:c>
      <x:c r="Y4701" s="87"/>
      <x:c r="Z4701" s="87"/>
      <x:c r="AA4701" s="87"/>
      <x:c r="AB4701" s="87" t="str">
        <x:v>1</x:v>
      </x:c>
      <x:c r="AC4701" s="87" t="str">
        <x:v>VIS-BIO-DEC-TASK-12-P011</x:v>
      </x:c>
      <x:c r="AD4701" s="87" t="str">
        <x:v>VIS-BIO-DEC-CRIT-12-P001</x:v>
      </x:c>
      <x:c r="AE4701" s="87" t="str">
        <x:v>TASK; CRIT</x:v>
      </x:c>
      <x:c r="AF4701" s="87" t="str">
        <x:v>VIS-BIO-DEC-TASK-12-P011: 11; VIS-BIO-DEC-CRIT-12-P001: 1</x:v>
      </x:c>
      <x:c r="AG4701" s="87" t="str">
        <x:v>RESOLVED</x:v>
      </x:c>
      <x:c r="AH4701" s="87" t="str">
        <x:v>CROP_VERIFIED; TASK_CROP_QA_APPROVED:USE_CONTEXT</x:v>
      </x:c>
      <x:c r="AI4701" s="30"/>
      <x:c r="AJ4701" s="87" t="str">
        <x:v>clean</x:v>
      </x:c>
      <x:c r="AK4701" s="87" t="str">
        <x:v>clean-v0.08</x:v>
      </x:c>
      <x:c r="AL4701" s="87" t="str">
        <x:v>statgrad_clean_continuation_v0_08(1).xlsx</x:v>
      </x:c>
      <x:c r="AM4701" s="87" t="str">
        <x:v>BIO_Dec_V1</x:v>
      </x:c>
      <x:c r="AN4701" s="87" t="n">
        <x:v>22</x:v>
      </x:c>
    </x:row>
    <x:row r="4702">
      <x:c r="A4702" s="87" t="n">
        <x:v>4701</x:v>
      </x:c>
      <x:c r="B4702" s="87" t="str">
        <x:v>DEC-BIO-01-022</x:v>
      </x:c>
      <x:c r="C4702" s="87" t="str">
        <x:v>СтатГрад</x:v>
      </x:c>
      <x:c r="D4702" s="87" t="str">
        <x:v>Декабрь 2025</x:v>
      </x:c>
      <x:c r="E4702" s="87"/>
      <x:c r="F4702" s="87"/>
      <x:c r="G4702" s="87" t="str">
        <x:v>Биология</x:v>
      </x:c>
      <x:c r="H4702" s="87" t="n">
        <x:v>11</x:v>
      </x:c>
      <x:c r="I4702" s="87" t="str">
        <x:v>ТР №2</x:v>
      </x:c>
      <x:c r="J4702" s="87" t="str">
        <x:v>БИ2510201</x:v>
      </x:c>
      <x:c r="K4702" s="87" t="n">
        <x:v>22</x:v>
      </x:c>
      <x:c r="L4702" s="87" t="str">
        <x:v>Методология эксперимента</x:v>
      </x:c>
      <x:c r="M4702" s="30" t="str">
        <x:v>Какая переменная в этом эксперименте будет независимой (задаваемой),
     а какая – зависимой (изменяющейся)? Объясните, как в данном эксперименте
     можно поставить отрицательный контроль*? С какой целью необходимо
     такой контроль ставить?
     (*Отрицательный контроль — это экспериментальный контроль,
     при котором изучаемый объект не подвергается экспериментальному
     воздействию).</x:v>
      </x:c>
      <x:c r="N4702" s="30" t="str">
        <x:v>1) независимая переменная (задаваемая экспериментатором) - время протекания реакции, зависимая переменная (изменяющаяся в эксперименте) - оптическая плотность раствора; 2) необходимо поставить параллельно такой же эксперимент, но без добавления фермента; 3) остальные параметры необходимо оставить без изменений; 4) такой контроль позволяет установить, действительно ли оптическая плотность будет снижаться со временем из-за активности фермента (действительно ли активность фермента влияет на снижение оптической плотности в кювете).</x:v>
      </x:c>
      <x:c r="O4702" s="30" t="str">
        <x:v>Все обязательные смысловые элементы сопоставлены с условием; модель сверена с официальными критериями и парным вариантом.</x:v>
      </x:c>
      <x:c r="P4702" s="30" t="str">
        <x:v>Условие и визуал просмотрены; ответ проверен по биологической логике/расчёту и сопоставлен с каноническим источником.</x:v>
      </x:c>
      <x:c r="Q4702" s="30"/>
      <x:c r="R4702" s="30" t="str">
        <x:v>1) независимая переменная (задаваемая экспериментатором) - время протекания реакции, зависимая переменная (изменяющаяся в эксперименте) - оптическая плотность раствора; 2) необходимо поставить параллельно такой же эксперимент, но без добавления фермента; 3) остальные параметры необходимо оставить без изменений; 4) такой контроль позволяет установить, действительно ли оптическая плотность будет снижаться со временем из-за активности фермента (действительно ли активность фермента влияет на снижение оптической плотности в кювете).</x:v>
      </x:c>
      <x:c r="S4702" s="30"/>
      <x:c r="T4702" s="30" t="str">
        <x:v>Kriterii_BI11_19122025.pdf</x:v>
      </x:c>
      <x:c r="U4702" s="30" t="str">
        <x:v>Расхождений с каноническим источником нет.</x:v>
      </x:c>
      <x:c r="V4702" s="87" t="str">
        <x:v>VERIFIED</x:v>
      </x:c>
      <x:c r="W4702" s="87"/>
      <x:c r="X4702" s="87" t="n">
        <x:v>12</x:v>
      </x:c>
      <x:c r="Y4702" s="87"/>
      <x:c r="Z4702" s="87"/>
      <x:c r="AA4702" s="87"/>
      <x:c r="AB4702" s="87" t="str">
        <x:v>2; 3</x:v>
      </x:c>
      <x:c r="AC4702" s="87" t="str">
        <x:v>VIS-BIO-DEC-TASK-12-P012</x:v>
      </x:c>
      <x:c r="AD4702" s="87" t="str">
        <x:v>VIS-BIO-DEC-CRIT-12-P002; VIS-BIO-DEC-CRIT-12-P003</x:v>
      </x:c>
      <x:c r="AE4702" s="87" t="str">
        <x:v>TASK; CRIT</x:v>
      </x:c>
      <x:c r="AF4702" s="87" t="str">
        <x:v>VIS-BIO-DEC-TASK-12-P012: 12; VIS-BIO-DEC-CRIT-12-P002: 2; VIS-BIO-DEC-CRIT-12-P003: 3</x:v>
      </x:c>
      <x:c r="AG4702" s="87" t="str">
        <x:v>RESOLVED</x:v>
      </x:c>
      <x:c r="AH4702" s="87" t="str">
        <x:v>CROP_VERIFIED</x:v>
      </x:c>
      <x:c r="AI4702" s="30"/>
      <x:c r="AJ4702" s="87" t="str">
        <x:v>clean</x:v>
      </x:c>
      <x:c r="AK4702" s="87" t="str">
        <x:v>clean-v0.08</x:v>
      </x:c>
      <x:c r="AL4702" s="87" t="str">
        <x:v>statgrad_clean_continuation_v0_08(1).xlsx</x:v>
      </x:c>
      <x:c r="AM4702" s="87" t="str">
        <x:v>BIO_Dec_V1</x:v>
      </x:c>
      <x:c r="AN4702" s="87" t="n">
        <x:v>23</x:v>
      </x:c>
    </x:row>
    <x:row r="4703">
      <x:c r="A4703" s="87" t="n">
        <x:v>4702</x:v>
      </x:c>
      <x:c r="B4703" s="87" t="str">
        <x:v>DEC-BIO-01-023</x:v>
      </x:c>
      <x:c r="C4703" s="87" t="str">
        <x:v>СтатГрад</x:v>
      </x:c>
      <x:c r="D4703" s="87" t="str">
        <x:v>Декабрь 2025</x:v>
      </x:c>
      <x:c r="E4703" s="87"/>
      <x:c r="F4703" s="87"/>
      <x:c r="G4703" s="87" t="str">
        <x:v>Биология</x:v>
      </x:c>
      <x:c r="H4703" s="87" t="n">
        <x:v>11</x:v>
      </x:c>
      <x:c r="I4703" s="87" t="str">
        <x:v>ТР №2</x:v>
      </x:c>
      <x:c r="J4703" s="87" t="str">
        <x:v>БИ2510201</x:v>
      </x:c>
      <x:c r="K4703" s="87" t="n">
        <x:v>23</x:v>
      </x:c>
      <x:c r="L4703" s="87" t="str">
        <x:v>Интерпретация результатов</x:v>
      </x:c>
      <x:c r="M4703" s="30" t="str">
        <x:v>Предположите, почему оптическая плотность раствора снижается
     при протекании данной реакции. Объясните свой ответ. Учёный
     предположил, что на 23-й минуте фермент утратил активность и реакция
     остановилась преждевременно. Прав ли он? Ответ поясните.</x:v>
      </x:c>
      <x:c r="N4703" s="30" t="str">
        <x:v>1) потому что поглощает свет именно исходный субстрат; 2) чем меньше становится субстрата, тем слабее поглощение света раствором; ИЛИ 1) субстрат препятствует прохождению лучей спектрофотометра (задерживает, поглощает лучи, раствор становится более прозрачным); 2) количество субстрата под воздействием фермента уменьшается; 3) нет, не прав, в пробирке закончился субстрат; 4) оптическая плотность раствора снизилась до 0 ИЛИ 4) если бы потерял активность фермент, то какое-то количество субстрата осталось бы в растворе (оптическая плотность не снизилась бы до 0).</x:v>
      </x:c>
      <x:c r="O4703" s="30" t="str">
        <x:v>Все обязательные смысловые элементы сопоставлены с условием; модель сверена с официальными критериями и парным вариантом.</x:v>
      </x:c>
      <x:c r="P4703" s="30" t="str">
        <x:v>Условие и визуал просмотрены; ответ проверен по биологической логике/расчёту и сопоставлен с каноническим источником.</x:v>
      </x:c>
      <x:c r="Q4703" s="30"/>
      <x:c r="R4703" s="30" t="str">
        <x:v>1) потому что поглощает свет именно исходный субстрат; 2) чем меньше становится субстрата, тем слабее поглощение света раствором; ИЛИ 1) субстрат препятствует прохождению лучей спектрофотометра (задерживает, поглощает лучи, раствор становится более прозрачным); 2) количество субстрата под воздействием фермента уменьшается; 3) нет, не прав, в пробирке закончился субстрат; 4) оптическая плотность раствора снизилась до 0 ИЛИ 4) если бы потерял активность фермент, то какое-то количество субстрата осталось бы в растворе (оптическая плотность не снизилась бы до 0).</x:v>
      </x:c>
      <x:c r="S4703" s="30"/>
      <x:c r="T4703" s="30" t="str">
        <x:v>Kriterii_BI11_19122025.pdf</x:v>
      </x:c>
      <x:c r="U4703" s="30" t="str">
        <x:v>Расхождений с каноническим источником нет.</x:v>
      </x:c>
      <x:c r="V4703" s="87" t="str">
        <x:v>VERIFIED</x:v>
      </x:c>
      <x:c r="W4703" s="87"/>
      <x:c r="X4703" s="87" t="n">
        <x:v>13</x:v>
      </x:c>
      <x:c r="Y4703" s="87"/>
      <x:c r="Z4703" s="87"/>
      <x:c r="AA4703" s="87"/>
      <x:c r="AB4703" s="87" t="str">
        <x:v>3; 4</x:v>
      </x:c>
      <x:c r="AC4703" s="87" t="str">
        <x:v>VIS-BIO-DEC-TASK-12-P013</x:v>
      </x:c>
      <x:c r="AD4703" s="87" t="str">
        <x:v>VIS-BIO-DEC-CRIT-12-P003; VIS-BIO-DEC-CRIT-12-P004</x:v>
      </x:c>
      <x:c r="AE4703" s="87" t="str">
        <x:v>TASK; CRIT</x:v>
      </x:c>
      <x:c r="AF4703" s="87" t="str">
        <x:v>VIS-BIO-DEC-TASK-12-P013: 13; VIS-BIO-DEC-CRIT-12-P003: 3; VIS-BIO-DEC-CRIT-12-P004: 4</x:v>
      </x:c>
      <x:c r="AG4703" s="87" t="str">
        <x:v>RESOLVED</x:v>
      </x:c>
      <x:c r="AH4703" s="87" t="str">
        <x:v>CROP_VERIFIED</x:v>
      </x:c>
      <x:c r="AI4703" s="30"/>
      <x:c r="AJ4703" s="87" t="str">
        <x:v>clean</x:v>
      </x:c>
      <x:c r="AK4703" s="87" t="str">
        <x:v>clean-v0.08</x:v>
      </x:c>
      <x:c r="AL4703" s="87" t="str">
        <x:v>statgrad_clean_continuation_v0_08(1).xlsx</x:v>
      </x:c>
      <x:c r="AM4703" s="87" t="str">
        <x:v>BIO_Dec_V1</x:v>
      </x:c>
      <x:c r="AN4703" s="87" t="n">
        <x:v>24</x:v>
      </x:c>
    </x:row>
    <x:row r="4704">
      <x:c r="A4704" s="87" t="n">
        <x:v>4703</x:v>
      </x:c>
      <x:c r="B4704" s="87" t="str">
        <x:v>DEC-BIO-01-024</x:v>
      </x:c>
      <x:c r="C4704" s="87" t="str">
        <x:v>СтатГрад</x:v>
      </x:c>
      <x:c r="D4704" s="87" t="str">
        <x:v>Декабрь 2025</x:v>
      </x:c>
      <x:c r="E4704" s="87"/>
      <x:c r="F4704" s="87"/>
      <x:c r="G4704" s="87" t="str">
        <x:v>Биология</x:v>
      </x:c>
      <x:c r="H4704" s="87" t="n">
        <x:v>11</x:v>
      </x:c>
      <x:c r="I4704" s="87" t="str">
        <x:v>ТР №2</x:v>
      </x:c>
      <x:c r="J4704" s="87" t="str">
        <x:v>БИ2510201</x:v>
      </x:c>
      <x:c r="K4704" s="87" t="n">
        <x:v>24</x:v>
      </x:c>
      <x:c r="L4704" s="87" t="str">
        <x:v>Развёрнутый биологический анализ</x:v>
      </x:c>
      <x:c r="M4704" s="30" t="str">
        <x:v>Какая структура тела рыбы обозначена на гистологическом срезе
     вопросительным знаком? Назовите два аргумента в пользу своего мнения.
     Какие две функции может выполнять эта структура?</x:v>
      </x:c>
      <x:c r="N4704" s="30" t="str">
        <x:v>1) плавательный пузырь; 2) полый орган (прозрачный на просвет); 3) расположен над пищеварительным трактом (под позвоночником); 4) гидростатический орган (обеспечение плавучести; вертикальное перемещение в толще воды); 5) газообмен (дыхание; звукоизвлечение; усиление слуха).</x:v>
      </x:c>
      <x:c r="O4704" s="30" t="str">
        <x:v>Все обязательные смысловые элементы сопоставлены с условием; модель сверена с официальными критериями и парным вариантом.</x:v>
      </x:c>
      <x:c r="P4704" s="30" t="str">
        <x:v>Условие и визуал просмотрены; ответ проверен по биологической логике/расчёту и сопоставлен с каноническим источником.</x:v>
      </x:c>
      <x:c r="Q4704" s="30"/>
      <x:c r="R4704" s="30" t="str">
        <x:v>1) плавательный пузырь; 2) полый орган (прозрачный на просвет); 3) расположен над пищеварительным трактом (под позвоночником); 4) гидростатический орган (обеспечение плавучести; вертикальное перемещение в толще воды); 5) газообмен (дыхание; звукоизвлечение; усиление слуха).</x:v>
      </x:c>
      <x:c r="S4704" s="30"/>
      <x:c r="T4704" s="30" t="str">
        <x:v>Kriterii_BI11_19122025.pdf</x:v>
      </x:c>
      <x:c r="U4704" s="30" t="str">
        <x:v>Расхождений с каноническим источником нет.</x:v>
      </x:c>
      <x:c r="V4704" s="87" t="str">
        <x:v>VERIFIED</x:v>
      </x:c>
      <x:c r="W4704" s="87"/>
      <x:c r="X4704" s="87" t="n">
        <x:v>13</x:v>
      </x:c>
      <x:c r="Y4704" s="87"/>
      <x:c r="Z4704" s="87"/>
      <x:c r="AA4704" s="87"/>
      <x:c r="AB4704" s="87" t="str">
        <x:v>4; 5</x:v>
      </x:c>
      <x:c r="AC4704" s="87" t="str">
        <x:v>VIS-BIO-DEC-TASK-12-P013</x:v>
      </x:c>
      <x:c r="AD4704" s="87" t="str">
        <x:v>VIS-BIO-DEC-CRIT-12-P004; VIS-BIO-DEC-CRIT-12-P005</x:v>
      </x:c>
      <x:c r="AE4704" s="87" t="str">
        <x:v>TASK; CRIT</x:v>
      </x:c>
      <x:c r="AF4704" s="87" t="str">
        <x:v>VIS-BIO-DEC-TASK-12-P013: 13; VIS-BIO-DEC-CRIT-12-P004: 4; VIS-BIO-DEC-CRIT-12-P005: 5</x:v>
      </x:c>
      <x:c r="AG4704" s="87" t="str">
        <x:v>RESOLVED</x:v>
      </x:c>
      <x:c r="AH4704" s="87" t="str">
        <x:v>CROP_VERIFIED</x:v>
      </x:c>
      <x:c r="AI4704" s="30"/>
      <x:c r="AJ4704" s="87" t="str">
        <x:v>clean</x:v>
      </x:c>
      <x:c r="AK4704" s="87" t="str">
        <x:v>clean-v0.08</x:v>
      </x:c>
      <x:c r="AL4704" s="87" t="str">
        <x:v>statgrad_clean_continuation_v0_08(1).xlsx</x:v>
      </x:c>
      <x:c r="AM4704" s="87" t="str">
        <x:v>BIO_Dec_V1</x:v>
      </x:c>
      <x:c r="AN4704" s="87" t="n">
        <x:v>25</x:v>
      </x:c>
    </x:row>
    <x:row r="4705">
      <x:c r="A4705" s="87" t="n">
        <x:v>4704</x:v>
      </x:c>
      <x:c r="B4705" s="87" t="str">
        <x:v>DEC-BIO-01-025</x:v>
      </x:c>
      <x:c r="C4705" s="87" t="str">
        <x:v>СтатГрад</x:v>
      </x:c>
      <x:c r="D4705" s="87" t="str">
        <x:v>Декабрь 2025</x:v>
      </x:c>
      <x:c r="E4705" s="87"/>
      <x:c r="F4705" s="87"/>
      <x:c r="G4705" s="87" t="str">
        <x:v>Биология</x:v>
      </x:c>
      <x:c r="H4705" s="87" t="n">
        <x:v>11</x:v>
      </x:c>
      <x:c r="I4705" s="87" t="str">
        <x:v>ТР №2</x:v>
      </x:c>
      <x:c r="J4705" s="87" t="str">
        <x:v>БИ2510201</x:v>
      </x:c>
      <x:c r="K4705" s="87" t="n">
        <x:v>25</x:v>
      </x:c>
      <x:c r="L4705" s="87" t="str">
        <x:v>Развёрнутый биологический анализ</x:v>
      </x:c>
      <x:c r="M4705" s="30" t="str">
        <x:v>Эритроциты почти всех млекопитающих, в том числе человека, имеют форму
     двояковогнутого диска и составляют около 45 % объёма крови. У верблюдов
     же эритроциты представляют собой очень плоские эллипсы с прочным
     цитоскелетом, их содержание в крови – около 28 %.
     Какие преимущества даёт эритроцитам человека двояковогнутая форма?
     Дайте аргументированные ответы. Какая особенность физиологии верблюдов
     привела к отличиям в строении и содержании их эритроцитов? Каким
     образом особенности в строении и концентрации эритроцитов у верблюдов
     позволяют им выдерживать значительное обезвоживание организма?</x:v>
      </x:c>
      <x:c r="N4705" s="30" t="str">
        <x:v>1) большое отношение площади поверхности к объёму клетки; 2) это обеспечивает интенсивный (быстрый) газообмен в тканях; 3) способность изгибаться (менять форму); 4) это позволяет проникать в самые тонкие капилляры; 5) у верблюдов часто происходит обезвоживание; 6) прочный цитоскелет (малое количество цитоплазмы в эритроцитах) позволяет клеткам сохранять форму (выдерживать высокое осмотическое давление плазмы); 7) низкая концентрация эритроцитов предотвращает увеличение вязкости крови.</x:v>
      </x:c>
      <x:c r="O4705" s="30" t="str">
        <x:v>Все обязательные смысловые элементы сопоставлены с условием; модель сверена с официальными критериями и парным вариантом.</x:v>
      </x:c>
      <x:c r="P4705" s="30" t="str">
        <x:v>Условие и визуал просмотрены; ответ проверен по биологической логике/расчёту и сопоставлен с каноническим источником.</x:v>
      </x:c>
      <x:c r="Q4705" s="30"/>
      <x:c r="R4705" s="30" t="str">
        <x:v>1) большое отношение площади поверхности к объёму клетки; 2) это обеспечивает интенсивный (быстрый) газообмен в тканях; 3) способность изгибаться (менять форму); 4) это позволяет проникать в самые тонкие капилляры; 5) у верблюдов часто происходит обезвоживание; 6) прочный цитоскелет (малое количество цитоплазмы в эритроцитах) позволяет клеткам сохранять форму (выдерживать высокое осмотическое давление плазмы); 7) низкая концентрация эритроцитов предотвращает увеличение вязкости крови.</x:v>
      </x:c>
      <x:c r="S4705" s="30"/>
      <x:c r="T4705" s="30" t="str">
        <x:v>Kriterii_BI11_19122025.pdf</x:v>
      </x:c>
      <x:c r="U4705" s="30" t="str">
        <x:v>Расхождений с каноническим источником нет.</x:v>
      </x:c>
      <x:c r="V4705" s="87" t="str">
        <x:v>VERIFIED</x:v>
      </x:c>
      <x:c r="W4705" s="87"/>
      <x:c r="X4705" s="87" t="n">
        <x:v>13</x:v>
      </x:c>
      <x:c r="Y4705" s="87"/>
      <x:c r="Z4705" s="87"/>
      <x:c r="AA4705" s="87"/>
      <x:c r="AB4705" s="87" t="str">
        <x:v>5; 6</x:v>
      </x:c>
      <x:c r="AC4705" s="87" t="str">
        <x:v>VIS-BIO-DEC-TASK-12-P013</x:v>
      </x:c>
      <x:c r="AD4705" s="87" t="str">
        <x:v>VIS-BIO-DEC-CRIT-12-P005; VIS-BIO-DEC-CRIT-12-P006</x:v>
      </x:c>
      <x:c r="AE4705" s="87" t="str">
        <x:v>TASK; CRIT</x:v>
      </x:c>
      <x:c r="AF4705" s="87" t="str">
        <x:v>VIS-BIO-DEC-TASK-12-P013: 13; VIS-BIO-DEC-CRIT-12-P005: 5; VIS-BIO-DEC-CRIT-12-P006: 6</x:v>
      </x:c>
      <x:c r="AG4705" s="87" t="str">
        <x:v>RESOLVED</x:v>
      </x:c>
      <x:c r="AH4705" s="87" t="str">
        <x:v>CROP_VERIFIED</x:v>
      </x:c>
      <x:c r="AI4705" s="30"/>
      <x:c r="AJ4705" s="87" t="str">
        <x:v>clean</x:v>
      </x:c>
      <x:c r="AK4705" s="87" t="str">
        <x:v>clean-v0.08</x:v>
      </x:c>
      <x:c r="AL4705" s="87" t="str">
        <x:v>statgrad_clean_continuation_v0_08(1).xlsx</x:v>
      </x:c>
      <x:c r="AM4705" s="87" t="str">
        <x:v>BIO_Dec_V1</x:v>
      </x:c>
      <x:c r="AN4705" s="87" t="n">
        <x:v>26</x:v>
      </x:c>
    </x:row>
    <x:row r="4706">
      <x:c r="A4706" s="87" t="n">
        <x:v>4705</x:v>
      </x:c>
      <x:c r="B4706" s="87" t="str">
        <x:v>DEC-BIO-01-026</x:v>
      </x:c>
      <x:c r="C4706" s="87" t="str">
        <x:v>СтатГрад</x:v>
      </x:c>
      <x:c r="D4706" s="87" t="str">
        <x:v>Декабрь 2025</x:v>
      </x:c>
      <x:c r="E4706" s="87"/>
      <x:c r="F4706" s="87"/>
      <x:c r="G4706" s="87" t="str">
        <x:v>Биология</x:v>
      </x:c>
      <x:c r="H4706" s="87" t="n">
        <x:v>11</x:v>
      </x:c>
      <x:c r="I4706" s="87" t="str">
        <x:v>ТР №2</x:v>
      </x:c>
      <x:c r="J4706" s="87" t="str">
        <x:v>БИ2510201</x:v>
      </x:c>
      <x:c r="K4706" s="87" t="n">
        <x:v>26</x:v>
      </x:c>
      <x:c r="L4706" s="87" t="str">
        <x:v>Развёрнутый биологический анализ</x:v>
      </x:c>
      <x:c r="M4706" s="30" t="str">
        <x:v>У многих бабочек на заднем крыле есть особая «ложная голова» –
     совокупность отростков, напоминающих усики, и пятен, похожих на глаза.
     Учёные обнаружили, что при повреждении в области «ложной головы»
     крыло особенно легко рвётся. Назовите две функции, которые могут
     выполнять «ложная голова» и глазчатые пятна на крыльях. Поясните
     механизм действия этих приспособлений в каждом случае. Почему иногда
     этот признак может стать вредным для выживания? Реконструкция предков
     бабочек показала, что «ложная голова» возникала независимо десятки раз
     в разных ветвях эволюции. Какую форму эволюции иллюстрирует данный
     пример?</x:v>
      </x:c>
      <x:c r="N4706" s="30" t="str">
        <x:v>1) отпугивание хищника; 2) хищник воспринимает бабочку, как слишком крупную (опасную) добычу; 3) привлечение внимания (дезориентация) хищника; 4) хищник нацеливается на «ложную голову», сохраняя целыми жизненно важные органы бабочки; ИЛИ 3) привлечение полового партнёра; 4) уникальная для каждого вида бабочек «ложная голова» является привлекательным признаком (примером качества партнёра); 5) увеличивается вероятность обнаружения хищниками (требует энергетических затрат на синтез пигмента (отростков), снижается манёвренность полёта); 6) параллелизм (конвергенция).</x:v>
      </x:c>
      <x:c r="O4706" s="30" t="str">
        <x:v>Все обязательные смысловые элементы сопоставлены с условием; модель сверена с официальными критериями и парным вариантом.</x:v>
      </x:c>
      <x:c r="P4706" s="30" t="str">
        <x:v>Условие и визуал просмотрены; ответ проверен по биологической логике/расчёту и сопоставлен с каноническим источником.</x:v>
      </x:c>
      <x:c r="Q4706" s="30"/>
      <x:c r="R4706" s="30" t="str">
        <x:v>1) отпугивание хищника; 2) хищник воспринимает бабочку, как слишком крупную (опасную) добычу; 3) привлечение внимания (дезориентация) хищника; 4) хищник нацеливается на «ложную голову», сохраняя целыми жизненно важные органы бабочки; ИЛИ 3) привлечение полового партнёра; 4) уникальная для каждого вида бабочек «ложная голова» является привлекательным признаком (примером качества партнёра); 5) увеличивается вероятность обнаружения хищниками (требует энергетических затрат на синтез пигмента (отростков), снижается манёвренность полёта); 6) параллелизм (конвергенция).</x:v>
      </x:c>
      <x:c r="S4706" s="30"/>
      <x:c r="T4706" s="30" t="str">
        <x:v>Kriterii_BI11_19122025.pdf</x:v>
      </x:c>
      <x:c r="U4706" s="30" t="str">
        <x:v>Расхождений с каноническим источником нет.</x:v>
      </x:c>
      <x:c r="V4706" s="87" t="str">
        <x:v>VERIFIED</x:v>
      </x:c>
      <x:c r="W4706" s="87"/>
      <x:c r="X4706" s="87" t="n">
        <x:v>14</x:v>
      </x:c>
      <x:c r="Y4706" s="87"/>
      <x:c r="Z4706" s="87"/>
      <x:c r="AA4706" s="87"/>
      <x:c r="AB4706" s="87" t="str">
        <x:v>6; 7</x:v>
      </x:c>
      <x:c r="AC4706" s="87" t="str">
        <x:v>VIS-BIO-DEC-TASK-12-P014</x:v>
      </x:c>
      <x:c r="AD4706" s="87" t="str">
        <x:v>VIS-BIO-DEC-CRIT-12-P006; VIS-BIO-DEC-CRIT-12-P007</x:v>
      </x:c>
      <x:c r="AE4706" s="87" t="str">
        <x:v>TASK; CRIT</x:v>
      </x:c>
      <x:c r="AF4706" s="87" t="str">
        <x:v>VIS-BIO-DEC-TASK-12-P014: 14; VIS-BIO-DEC-CRIT-12-P006: 6; VIS-BIO-DEC-CRIT-12-P007: 7</x:v>
      </x:c>
      <x:c r="AG4706" s="87" t="str">
        <x:v>RESOLVED</x:v>
      </x:c>
      <x:c r="AH4706" s="87" t="str">
        <x:v>CROP_VERIFIED</x:v>
      </x:c>
      <x:c r="AI4706" s="30"/>
      <x:c r="AJ4706" s="87" t="str">
        <x:v>clean</x:v>
      </x:c>
      <x:c r="AK4706" s="87" t="str">
        <x:v>clean-v0.08</x:v>
      </x:c>
      <x:c r="AL4706" s="87" t="str">
        <x:v>statgrad_clean_continuation_v0_08(1).xlsx</x:v>
      </x:c>
      <x:c r="AM4706" s="87" t="str">
        <x:v>BIO_Dec_V1</x:v>
      </x:c>
      <x:c r="AN4706" s="87" t="n">
        <x:v>27</x:v>
      </x:c>
    </x:row>
    <x:row r="4707">
      <x:c r="A4707" s="87" t="n">
        <x:v>4706</x:v>
      </x:c>
      <x:c r="B4707" s="87" t="str">
        <x:v>DEC-BIO-01-027</x:v>
      </x:c>
      <x:c r="C4707" s="87" t="str">
        <x:v>СтатГрад</x:v>
      </x:c>
      <x:c r="D4707" s="87" t="str">
        <x:v>Декабрь 2025</x:v>
      </x:c>
      <x:c r="E4707" s="87"/>
      <x:c r="F4707" s="87"/>
      <x:c r="G4707" s="87" t="str">
        <x:v>Биология</x:v>
      </x:c>
      <x:c r="H4707" s="87" t="n">
        <x:v>11</x:v>
      </x:c>
      <x:c r="I4707" s="87" t="str">
        <x:v>ТР №2</x:v>
      </x:c>
      <x:c r="J4707" s="87" t="str">
        <x:v>БИ2510201</x:v>
      </x:c>
      <x:c r="K4707" s="87" t="n">
        <x:v>27</x:v>
      </x:c>
      <x:c r="L4707" s="87" t="str">
        <x:v>Молекулярно-генетическая задача</x:v>
      </x:c>
      <x:c r="M4707" s="30" t="str">
        <x:v>У инфузорий рода Euplotes в последовательности белок-кодирующих генов
     в большом количестве встречаются стоп-кодоны. Однако, если такие кодоны
     находятся достаточно далеко от поли-А хвоста (находится на 3’-конце зрелой
     иРНК), то происходит сдвиг рамки считывания на +1 нуклеотид и рибосома
     их не замечает. Синтез нуклеиновых кислот начинается с 5’ конца. Рибосома
     движется от 5’ к 3’ концу зрелой иРНК. Фрагмент начала гена инфузории
     имеет следующую последовательность (нижняя цепь матричная –
     транскрибируемая):
                      5’-АЦТТЦАТГЦАЦЦААТААГЦГТТЦТА-3’
                      3’-ТГААГТАЦГТГГТТАТТЦГЦААГАТ-5’
     Определите нуклеотидную последовательность фрагмента иРНК, найдите
     открытую рамку считывания, если известно, что синтез полипептида
     начинается с аминокислоты мет. Определите последовательность образую-
     щегося на данной иРНК фрагмента полипептида. Ответ поясните.
     Для выполнения используйте таблицу генетического кода. При написании
     последовательностей нуклеиновых кислот указывайте направление цепи.
                                 Генетический код (иРНК)
      Первое                                                                        Третье
                                      Второе основание
     основание                                                                    основание
                         У              Ц               А              Г
                        Фен            Сер             Тир            Цис              У
                        Фен            Сер             Тир            Цис              Ц
          У
                        Лей            Сер              —              —               А
                        Лей            Сер              —             Три              Г
                        Лей            Про             Гис            Арг              У
                        Лей            Про             Гис            Арг              Ц
          Ц
                        Лей            Про             Глн            Арг              А
                        Лей            Про             Глн            Арг              Г
                        Иле            Тре             Асн            Сер              У
                        Иле            Тре             Асн            Сер              Ц
          А
                        Иле            Тре             Лиз            Арг              А
                        Мет            Тре             Лиз            Арг              Г
                        Вал            Ала             Асп            Гли              У
                        Вал            Ала             Асп            Гли              Ц
          Г
                        Вал            Ала             Глу            Гли              А
                        Вал            Ала             Глу            Гли              Г</x:v>
      </x:c>
      <x:c r="N4707" s="30" t="str">
        <x:v>1) фрагмент иРНК: 5’-АЦУУЦАУГЦАЦЦААУААГЦГУУЦУА-3’; 2) кодирующая последовательность гена начинается со старт кодона АУГ (или указан и подписан словом «старт» или «мет» на последовательности иРНК); 3) открытая рамка считывания: 5’-АУГЦАЦЦААУААГЦГУУЦУ(А)-3’ (или в явном виде указана на последовательности иРНК); 4) в рамке считывания имеется стоп кодон УАА (или указан и подписан словом «стоп» на последовательности иРНК); 5) происходит сдвиг рамки считывания до кодона ААГ (или указан и подписан как «новый кодон» или «лиз» на последовательности иРНК); 6) последовательность аминокислот в полипептиде: мет-гис-глн-лиз-арг-сер. Написание открытой рамки считывания с «выкинутым» нуклеотидом, на который произошёл сдвиг (с выброшенным первым нуклеотидом стоп-кодона), считается неверным, элемент 3 не засчитывается</x:v>
      </x:c>
      <x:c r="O4707" s="30" t="str">
        <x:v>Все обязательные смысловые элементы сопоставлены с условием; модель сверена с официальными критериями и парным вариантом.</x:v>
      </x:c>
      <x:c r="P4707" s="30" t="str">
        <x:v>Условие и визуал просмотрены; ответ проверен по биологической логике/расчёту и сопоставлен с каноническим источником.</x:v>
      </x:c>
      <x:c r="Q4707" s="30"/>
      <x:c r="R4707" s="30" t="str">
        <x:v>1) фрагмент иРНК: 5’-АЦУУЦАУГЦАЦЦААУААГЦГУУЦУА-3’; 2) кодирующая последовательность гена начинается со старт кодона АУГ (или указан и подписан словом «старт» или «мет» на последовательности иРНК); 3) открытая рамка считывания: 5’-АУГЦАЦЦААУААГЦГУУЦУ(А)-3’ (или в явном виде указана на последовательности иРНК); 4) в рамке считывания имеется стоп кодон УАА (или указан и подписан словом «стоп» на последовательности иРНК); 5) происходит сдвиг рамки считывания до кодона ААГ (или указан и подписан как «новый кодон» или «лиз» на последовательности иРНК); 6) последовательность аминокислот в полипептиде: мет-гис-глн-лиз-арг-сер. Написание открытой рамки считывания с «выкинутым» нуклеотидом, на который произошёл сдвиг (с выброшенным первым нуклеотидом стоп-кодона), считается неверным, элемент 3 не засчитывается</x:v>
      </x:c>
      <x:c r="S4707" s="30"/>
      <x:c r="T4707" s="30" t="str">
        <x:v>Kriterii_BI11_19122025.pdf</x:v>
      </x:c>
      <x:c r="U4707" s="30" t="str">
        <x:v>Расхождений с каноническим источником нет.</x:v>
      </x:c>
      <x:c r="V4707" s="87" t="str">
        <x:v>VERIFIED</x:v>
      </x:c>
      <x:c r="W4707" s="87"/>
      <x:c r="X4707" s="87" t="n">
        <x:v>14</x:v>
      </x:c>
      <x:c r="Y4707" s="87"/>
      <x:c r="Z4707" s="87"/>
      <x:c r="AA4707" s="87"/>
      <x:c r="AB4707" s="87" t="str">
        <x:v>7; 8; 9</x:v>
      </x:c>
      <x:c r="AC4707" s="87" t="str">
        <x:v>VIS-BIO-DEC-TASK-12-P014</x:v>
      </x:c>
      <x:c r="AD4707" s="87" t="str">
        <x:v>VIS-BIO-DEC-CRIT-12-P007; VIS-BIO-DEC-CRIT-12-P008; VIS-BIO-DEC-CRIT-12-P009</x:v>
      </x:c>
      <x:c r="AE4707" s="87" t="str">
        <x:v>TASK; CRIT</x:v>
      </x:c>
      <x:c r="AF4707" s="87" t="str">
        <x:v>VIS-BIO-DEC-TASK-12-P014: 14; VIS-BIO-DEC-CRIT-12-P007: 7; VIS-BIO-DEC-CRIT-12-P008: 8; VIS-BIO-DEC-CRIT-12-P009: 9</x:v>
      </x:c>
      <x:c r="AG4707" s="87" t="str">
        <x:v>RESOLVED</x:v>
      </x:c>
      <x:c r="AH4707" s="87" t="str">
        <x:v>CROP_VERIFIED</x:v>
      </x:c>
      <x:c r="AI4707" s="30"/>
      <x:c r="AJ4707" s="87" t="str">
        <x:v>clean</x:v>
      </x:c>
      <x:c r="AK4707" s="87" t="str">
        <x:v>clean-v0.08</x:v>
      </x:c>
      <x:c r="AL4707" s="87" t="str">
        <x:v>statgrad_clean_continuation_v0_08(1).xlsx</x:v>
      </x:c>
      <x:c r="AM4707" s="87" t="str">
        <x:v>BIO_Dec_V1</x:v>
      </x:c>
      <x:c r="AN4707" s="87" t="n">
        <x:v>28</x:v>
      </x:c>
    </x:row>
    <x:row r="4708">
      <x:c r="A4708" s="87" t="n">
        <x:v>4707</x:v>
      </x:c>
      <x:c r="B4708" s="87" t="str">
        <x:v>DEC-BIO-01-028</x:v>
      </x:c>
      <x:c r="C4708" s="87" t="str">
        <x:v>СтатГрад</x:v>
      </x:c>
      <x:c r="D4708" s="87" t="str">
        <x:v>Декабрь 2025</x:v>
      </x:c>
      <x:c r="E4708" s="87"/>
      <x:c r="F4708" s="87"/>
      <x:c r="G4708" s="87" t="str">
        <x:v>Биология</x:v>
      </x:c>
      <x:c r="H4708" s="87" t="n">
        <x:v>11</x:v>
      </x:c>
      <x:c r="I4708" s="87" t="str">
        <x:v>ТР №2</x:v>
      </x:c>
      <x:c r="J4708" s="87" t="str">
        <x:v>БИ2510201</x:v>
      </x:c>
      <x:c r="K4708" s="87" t="n">
        <x:v>28</x:v>
      </x:c>
      <x:c r="L4708" s="87" t="str">
        <x:v>Генетическая задача</x:v>
      </x:c>
      <x:c r="M4708" s="30" t="str">
        <x:v>При скрещивании растения гороха с пурпурными цветками и круглой
     пыльцой с растением с красными цветками и удлинённой пыльцой всё
     потомство получилось с пурпурными цветками и удлинённой пыльцой.
     В анализирующем скрещивании гибридного потомства получились четыре
     разные фенотипические группы численностью 143, 137, 21 и 17 потомков.
     Составьте схемы скрещиваний. Укажите генотипы, фенотипы родительских
     особей и генотипы, фенотипы, долю каждой группы потомков в анализи-
     рующем скрещивании. Постройте генетическую карту для указанных выше
     генов, укажите на ней местоположение каждого гена и расстояние (в %)
     между ними, определите тип наследования генов указанных выше признаков.</x:v>
      </x:c>
      <x:c r="N4708" s="30" t="str">
        <x:v>1) P AAbb × aaBB пурпурные цветки, красные цветки, круглая пыльца удлинённая пыльца G Ab aB F 1 AaBb – пурпурные цветки, удлинённая пыльца; 2) анализирующее скрещивание P AaBb × aabb пурпурные цветки, красные цветки, удлинённая пыльца круглая пыльца G AB, Ab, aB, ab ab F2 AaBb – пурпурные цветки, удлинённая пыльца, 21 или 17; Aabb – пурпурные цветки, круглая пыльца, 137 или 143; aaBb – красные цветки, удлинённая пыльца, 143 или 137; aabb – красные цветки, круглая пыльца, 17 или 21; 3) a 12% b ИЛИ A 12% B ИЛИ a 12% B ИЛИ A 12% b Тип наследования генов – сцепленное наследование. Допускается A A генетическая А B символика ИЛИ изображения сцепленных B B A B генов в виде: Если в решении не определено сцепление генов и задача решена по схеме независимого наследования, за задание выставляется 0 баллов. Элемент 2 засчитывается только при наличии и генотипов, и фенотипов, и доли каждой группы потомков. Элемент 3 засчитывается при наличии генетической карты, указании на ней местоположения генов и расстояния между ними в процентах или морганидах, а также при определении типа наследования</x:v>
      </x:c>
      <x:c r="O4708" s="30" t="str">
        <x:v>Все обязательные смысловые элементы сопоставлены с условием; модель сверена с официальными критериями и парным вариантом.</x:v>
      </x:c>
      <x:c r="P4708" s="30" t="str">
        <x:v>Условие и визуал просмотрены; ответ проверен по биологической логике/расчёту и сопоставлен с каноническим источником.</x:v>
      </x:c>
      <x:c r="Q4708" s="30"/>
      <x:c r="R4708" s="30" t="str">
        <x:v>1) P AAbb × aaBB пурпурные цветки, красные цветки, круглая пыльца удлинённая пыльца G Ab aB F 1 AaBb – пурпурные цветки, удлинённая пыльца; 2) анализирующее скрещивание P AaBb × aabb пурпурные цветки, красные цветки, удлинённая пыльца круглая пыльца G AB, Ab, aB, ab ab F2 AaBb – пурпурные цветки, удлинённая пыльца, 21 или 17; Aabb – пурпурные цветки, круглая пыльца, 137 или 143; aaBb – красные цветки, удлинённая пыльца, 143 или 137; aabb – красные цветки, круглая пыльца, 17 или 21; 3) a 12% b ИЛИ A 12% B ИЛИ a 12% B ИЛИ A 12% b Тип наследования генов – сцепленное наследование. Допускается A A генетическая А B символика ИЛИ изображения сцепленных B B A B генов в виде: Если в решении не определено сцепление генов и задача решена по схеме независимого наследования, за задание выставляется 0 баллов. Элемент 2 засчитывается только при наличии и генотипов, и фенотипов, и доли каждой группы потомков. Элемент 3 засчитывается при наличии генетической карты, указании на ней местоположения генов и расстояния между ними в процентах или морганидах, а также при определении типа наследования</x:v>
      </x:c>
      <x:c r="S4708" s="30"/>
      <x:c r="T4708" s="30" t="str">
        <x:v>Kriterii_BI11_19122025.pdf</x:v>
      </x:c>
      <x:c r="U4708" s="30" t="str">
        <x:v>Расхождений с каноническим источником нет.</x:v>
      </x:c>
      <x:c r="V4708" s="87" t="str">
        <x:v>VERIFIED</x:v>
      </x:c>
      <x:c r="W4708" s="87"/>
      <x:c r="X4708" s="87" t="n">
        <x:v>15</x:v>
      </x:c>
      <x:c r="Y4708" s="87"/>
      <x:c r="Z4708" s="87"/>
      <x:c r="AA4708" s="87"/>
      <x:c r="AB4708" s="87" t="str">
        <x:v>9; 10</x:v>
      </x:c>
      <x:c r="AC4708" s="87" t="str">
        <x:v>VIS-BIO-DEC-TASK-12-P015</x:v>
      </x:c>
      <x:c r="AD4708" s="87" t="str">
        <x:v>VIS-BIO-DEC-CRIT-12-P009; VIS-BIO-DEC-CRIT-12-P010</x:v>
      </x:c>
      <x:c r="AE4708" s="87" t="str">
        <x:v>TASK; CRIT</x:v>
      </x:c>
      <x:c r="AF4708" s="87" t="str">
        <x:v>VIS-BIO-DEC-TASK-12-P015: 15; VIS-BIO-DEC-CRIT-12-P009: 9; VIS-BIO-DEC-CRIT-12-P010: 10</x:v>
      </x:c>
      <x:c r="AG4708" s="87" t="str">
        <x:v>RESOLVED</x:v>
      </x:c>
      <x:c r="AH4708" s="87" t="str">
        <x:v>CROP_VERIFIED</x:v>
      </x:c>
      <x:c r="AI4708" s="30"/>
      <x:c r="AJ4708" s="87" t="str">
        <x:v>clean</x:v>
      </x:c>
      <x:c r="AK4708" s="87" t="str">
        <x:v>clean-v0.08</x:v>
      </x:c>
      <x:c r="AL4708" s="87" t="str">
        <x:v>statgrad_clean_continuation_v0_08(1).xlsx</x:v>
      </x:c>
      <x:c r="AM4708" s="87" t="str">
        <x:v>BIO_Dec_V1</x:v>
      </x:c>
      <x:c r="AN4708" s="87" t="n">
        <x:v>29</x:v>
      </x:c>
    </x:row>
    <x:row r="4709">
      <x:c r="A4709" s="87" t="n">
        <x:v>4708</x:v>
      </x:c>
      <x:c r="B4709" s="87" t="str">
        <x:v>DEC-BIO-02-001</x:v>
      </x:c>
      <x:c r="C4709" s="87" t="str">
        <x:v>СтатГрад</x:v>
      </x:c>
      <x:c r="D4709" s="87" t="str">
        <x:v>Декабрь 2025</x:v>
      </x:c>
      <x:c r="E4709" s="87"/>
      <x:c r="F4709" s="87"/>
      <x:c r="G4709" s="87" t="str">
        <x:v>Биология</x:v>
      </x:c>
      <x:c r="H4709" s="87" t="n">
        <x:v>11</x:v>
      </x:c>
      <x:c r="I4709" s="87" t="str">
        <x:v>ТР №2</x:v>
      </x:c>
      <x:c r="J4709" s="87" t="str">
        <x:v>БИ2510202</x:v>
      </x:c>
      <x:c r="K4709" s="87" t="n">
        <x:v>1</x:v>
      </x:c>
      <x:c r="L4709" s="87" t="str">
        <x:v>Определение по рисунку/таблице</x:v>
      </x:c>
      <x:c r="M4709" s="30" t="str">
        <x:v>Рассмотрите таблицу «Уровни организации живой природы». Запишите
    в ответе пропущенный термин, обозначенный в таблице вопросительным
    знаком.
    Уровень организации
                                                          Пример
      живой природы
       Молекулярный                     Фермент-субстратное взаимодействие
             ?                                 Гемолиз эритроцитов
    Ответ: ___________________________.</x:v>
      </x:c>
      <x:c r="N4709" s="30" t="str">
        <x:v>клеточный, тканный, организменный</x:v>
      </x:c>
      <x:c r="O4709" s="30" t="str">
        <x:v>Уровень организации определён по изображению в таблице; ответ совпадает с официальным ключом.</x:v>
      </x:c>
      <x:c r="P4709" s="30" t="str">
        <x:v>Условие и визуал просмотрены; ответ проверен по биологической логике/расчёту и сопоставлен с каноническим источником.</x:v>
      </x:c>
      <x:c r="Q4709" s="30"/>
      <x:c r="R4709" s="30" t="str">
        <x:v>клеточный, тканный, организменный</x:v>
      </x:c>
      <x:c r="S4709" s="30"/>
      <x:c r="T4709" s="30" t="str">
        <x:v>Kriterii_BI11_19122025.pdf</x:v>
      </x:c>
      <x:c r="U4709" s="30" t="str">
        <x:v>Вторичная крупная картинка не является канонической и исключена из ответа.</x:v>
      </x:c>
      <x:c r="V4709" s="87" t="str">
        <x:v>VERIFIED</x:v>
      </x:c>
      <x:c r="W4709" s="87"/>
      <x:c r="X4709" s="87" t="n">
        <x:v>17</x:v>
      </x:c>
      <x:c r="Y4709" s="87"/>
      <x:c r="Z4709" s="87"/>
      <x:c r="AA4709" s="87"/>
      <x:c r="AB4709" s="87" t="str">
        <x:v>1</x:v>
      </x:c>
      <x:c r="AC4709" s="87" t="str">
        <x:v>VIS-BIO-DEC-TASK-12-P017</x:v>
      </x:c>
      <x:c r="AD4709" s="87" t="str">
        <x:v>VIS-BIO-DEC-CRIT-12-P001</x:v>
      </x:c>
      <x:c r="AE4709" s="87" t="str">
        <x:v>TASK; CRIT</x:v>
      </x:c>
      <x:c r="AF4709" s="87" t="str">
        <x:v>VIS-BIO-DEC-TASK-12-P017: 17; VIS-BIO-DEC-CRIT-12-P001: 1</x:v>
      </x:c>
      <x:c r="AG4709" s="87" t="str">
        <x:v>RESOLVED</x:v>
      </x:c>
      <x:c r="AH4709" s="87" t="str">
        <x:v>CROP_VERIFIED</x:v>
      </x:c>
      <x:c r="AI4709" s="30"/>
      <x:c r="AJ4709" s="87" t="str">
        <x:v>clean</x:v>
      </x:c>
      <x:c r="AK4709" s="87" t="str">
        <x:v>clean-v0.08</x:v>
      </x:c>
      <x:c r="AL4709" s="87" t="str">
        <x:v>statgrad_clean_continuation_v0_08(1).xlsx</x:v>
      </x:c>
      <x:c r="AM4709" s="87" t="str">
        <x:v>BIO_Dec_V2</x:v>
      </x:c>
      <x:c r="AN4709" s="87" t="n">
        <x:v>2</x:v>
      </x:c>
    </x:row>
    <x:row r="4710">
      <x:c r="A4710" s="87" t="n">
        <x:v>4709</x:v>
      </x:c>
      <x:c r="B4710" s="87" t="str">
        <x:v>DEC-BIO-02-002</x:v>
      </x:c>
      <x:c r="C4710" s="87" t="str">
        <x:v>СтатГрад</x:v>
      </x:c>
      <x:c r="D4710" s="87" t="str">
        <x:v>Декабрь 2025</x:v>
      </x:c>
      <x:c r="E4710" s="87"/>
      <x:c r="F4710" s="87"/>
      <x:c r="G4710" s="87" t="str">
        <x:v>Биология</x:v>
      </x:c>
      <x:c r="H4710" s="87" t="n">
        <x:v>11</x:v>
      </x:c>
      <x:c r="I4710" s="87" t="str">
        <x:v>ТР №2</x:v>
      </x:c>
      <x:c r="J4710" s="87" t="str">
        <x:v>БИ2510202</x:v>
      </x:c>
      <x:c r="K4710" s="87" t="n">
        <x:v>2</x:v>
      </x:c>
      <x:c r="L4710" s="87" t="str">
        <x:v>Анализ изменения величин</x:v>
      </x:c>
      <x:c r="M4710" s="30" t="str">
        <x:v>Учёный измерял параметры крови человека после введения сыворотки
    против клещевого энцефалита. Как при этом изменятся количество
    эритроцитов в крови человека и содержание иммуноглобулинов к вирусу
    клещевого энцефалита?
    Для каждой величины определите соответствующий характер её изменения:
          1) увеличится
          2) уменьшится
          3) не изменится
    Запишите в таблицу выбранные цифры для каждой величины. Цифры
    в ответе могут повторяться.
                                                    Содержание иммуноглобулинов
       Количество эритроцитов в крови
                                                    к вирусу клещевого энцефалита</x:v>
      </x:c>
      <x:c r="N4710" s="30" t="str">
        <x:v>31</x:v>
      </x:c>
      <x:c r="O4710" s="30" t="str">
        <x:v>После введения сыворотки число эритроцитов не меняется, а готовые иммуноглобулины увеличиваются.</x:v>
      </x:c>
      <x:c r="P4710" s="30" t="str">
        <x:v>Условие и визуал просмотрены; ответ проверен по биологической логике/расчёту и сопоставлен с каноническим источником.</x:v>
      </x:c>
      <x:c r="Q4710" s="30"/>
      <x:c r="R4710" s="30" t="str">
        <x:v>31</x:v>
      </x:c>
      <x:c r="S4710" s="30"/>
      <x:c r="T4710" s="30" t="str">
        <x:v>IMG_20251220_203648_739.jpg</x:v>
      </x:c>
      <x:c r="U4710" s="30" t="str">
        <x:v>Расхождений с каноническим источником нет.</x:v>
      </x:c>
      <x:c r="V4710" s="87" t="str">
        <x:v>VERIFIED</x:v>
      </x:c>
      <x:c r="W4710" s="87"/>
      <x:c r="X4710" s="87" t="n">
        <x:v>17</x:v>
      </x:c>
      <x:c r="Y4710" s="87"/>
      <x:c r="Z4710" s="87"/>
      <x:c r="AA4710" s="87"/>
      <x:c r="AB4710" s="87" t="str">
        <x:v>таблица дополнения</x:v>
      </x:c>
      <x:c r="AC4710" s="87" t="str">
        <x:v>VIS-BIO-DEC-TASK-12-P017</x:v>
      </x:c>
      <x:c r="AD4710" s="87" t="str">
        <x:v>VIS-BIO-DEC-KEY-SUPPLEMENT</x:v>
      </x:c>
      <x:c r="AE4710" s="87" t="str">
        <x:v>TASK; KEY_SUPPLEMENT</x:v>
      </x:c>
      <x:c r="AF4710" s="87" t="str">
        <x:v>VIS-BIO-DEC-TASK-12-P017: 17; VIS-BIO-DEC-KEY-SUPPLEMENT: original</x:v>
      </x:c>
      <x:c r="AG4710" s="87" t="str">
        <x:v>RESOLVED</x:v>
      </x:c>
      <x:c r="AH4710" s="87" t="str">
        <x:v>CROP_VERIFIED</x:v>
      </x:c>
      <x:c r="AI4710" s="30"/>
      <x:c r="AJ4710" s="87" t="str">
        <x:v>clean</x:v>
      </x:c>
      <x:c r="AK4710" s="87" t="str">
        <x:v>clean-v0.08</x:v>
      </x:c>
      <x:c r="AL4710" s="87" t="str">
        <x:v>statgrad_clean_continuation_v0_08(1).xlsx</x:v>
      </x:c>
      <x:c r="AM4710" s="87" t="str">
        <x:v>BIO_Dec_V2</x:v>
      </x:c>
      <x:c r="AN4710" s="87" t="n">
        <x:v>3</x:v>
      </x:c>
    </x:row>
    <x:row r="4711">
      <x:c r="A4711" s="87" t="n">
        <x:v>4710</x:v>
      </x:c>
      <x:c r="B4711" s="87" t="str">
        <x:v>DEC-BIO-02-003</x:v>
      </x:c>
      <x:c r="C4711" s="87" t="str">
        <x:v>СтатГрад</x:v>
      </x:c>
      <x:c r="D4711" s="87" t="str">
        <x:v>Декабрь 2025</x:v>
      </x:c>
      <x:c r="E4711" s="87"/>
      <x:c r="F4711" s="87"/>
      <x:c r="G4711" s="87" t="str">
        <x:v>Биология</x:v>
      </x:c>
      <x:c r="H4711" s="87" t="n">
        <x:v>11</x:v>
      </x:c>
      <x:c r="I4711" s="87" t="str">
        <x:v>ТР №2</x:v>
      </x:c>
      <x:c r="J4711" s="87" t="str">
        <x:v>БИ2510202</x:v>
      </x:c>
      <x:c r="K4711" s="87" t="n">
        <x:v>3</x:v>
      </x:c>
      <x:c r="L4711" s="87" t="str">
        <x:v>Расчётная задача</x:v>
      </x:c>
      <x:c r="M4711" s="30" t="str">
        <x:v>Какое количество нуклеотидов РНК кодирует фрагмент полипептида,
    имеющий длину 140 аминокислот? В ответе запишите только число.
    Ответ: ___________________________.</x:v>
      </x:c>
      <x:c r="N4711" s="30" t="str">
        <x:v>420</x:v>
      </x:c>
      <x:c r="O4711" s="30" t="str">
        <x:v>140 аминокислот кодируются 140×3=420 нуклеотидами РНК.</x:v>
      </x:c>
      <x:c r="P4711" s="30" t="str">
        <x:v>Условие и визуал просмотрены; ответ проверен по биологической логике/расчёту и сопоставлен с каноническим источником.</x:v>
      </x:c>
      <x:c r="Q4711" s="30"/>
      <x:c r="R4711" s="30" t="str">
        <x:v>420</x:v>
      </x:c>
      <x:c r="S4711" s="30"/>
      <x:c r="T4711" s="30" t="str">
        <x:v>IMG_20251220_203648_739.jpg</x:v>
      </x:c>
      <x:c r="U4711" s="30" t="str">
        <x:v>Расхождений с каноническим источником нет.</x:v>
      </x:c>
      <x:c r="V4711" s="87" t="str">
        <x:v>VERIFIED</x:v>
      </x:c>
      <x:c r="W4711" s="87"/>
      <x:c r="X4711" s="87" t="n">
        <x:v>17</x:v>
      </x:c>
      <x:c r="Y4711" s="87"/>
      <x:c r="Z4711" s="87"/>
      <x:c r="AA4711" s="87"/>
      <x:c r="AB4711" s="87" t="str">
        <x:v>таблица дополнения</x:v>
      </x:c>
      <x:c r="AC4711" s="87" t="str">
        <x:v>VIS-BIO-DEC-TASK-12-P017</x:v>
      </x:c>
      <x:c r="AD4711" s="87" t="str">
        <x:v>VIS-BIO-DEC-KEY-SUPPLEMENT</x:v>
      </x:c>
      <x:c r="AE4711" s="87" t="str">
        <x:v>TASK; KEY_SUPPLEMENT</x:v>
      </x:c>
      <x:c r="AF4711" s="87" t="str">
        <x:v>VIS-BIO-DEC-TASK-12-P017: 17; VIS-BIO-DEC-KEY-SUPPLEMENT: original</x:v>
      </x:c>
      <x:c r="AG4711" s="87" t="str">
        <x:v>RESOLVED</x:v>
      </x:c>
      <x:c r="AH4711" s="87" t="str">
        <x:v>CROP_VERIFIED</x:v>
      </x:c>
      <x:c r="AI4711" s="30"/>
      <x:c r="AJ4711" s="87" t="str">
        <x:v>clean</x:v>
      </x:c>
      <x:c r="AK4711" s="87" t="str">
        <x:v>clean-v0.08</x:v>
      </x:c>
      <x:c r="AL4711" s="87" t="str">
        <x:v>statgrad_clean_continuation_v0_08(1).xlsx</x:v>
      </x:c>
      <x:c r="AM4711" s="87" t="str">
        <x:v>BIO_Dec_V2</x:v>
      </x:c>
      <x:c r="AN4711" s="87" t="n">
        <x:v>4</x:v>
      </x:c>
    </x:row>
    <x:row r="4712">
      <x:c r="A4712" s="87" t="n">
        <x:v>4711</x:v>
      </x:c>
      <x:c r="B4712" s="87" t="str">
        <x:v>DEC-BIO-02-004</x:v>
      </x:c>
      <x:c r="C4712" s="87" t="str">
        <x:v>СтатГрад</x:v>
      </x:c>
      <x:c r="D4712" s="87" t="str">
        <x:v>Декабрь 2025</x:v>
      </x:c>
      <x:c r="E4712" s="87"/>
      <x:c r="F4712" s="87"/>
      <x:c r="G4712" s="87" t="str">
        <x:v>Биология</x:v>
      </x:c>
      <x:c r="H4712" s="87" t="n">
        <x:v>11</x:v>
      </x:c>
      <x:c r="I4712" s="87" t="str">
        <x:v>ТР №2</x:v>
      </x:c>
      <x:c r="J4712" s="87" t="str">
        <x:v>БИ2510202</x:v>
      </x:c>
      <x:c r="K4712" s="87" t="n">
        <x:v>4</x:v>
      </x:c>
      <x:c r="L4712" s="87" t="str">
        <x:v>Расчётная задача</x:v>
      </x:c>
      <x:c r="M4712" s="30" t="str">
        <x:v>Какое соотношение потомков по фенотипу стоит ожидать при скрещивании
    двух гетерозиготных растений при полном доминировании? Ответ запишите
    в виде последовательности чисел.
    Ответ: ___________________________.
                   Рассмотрите схему и выполните задания 5 и 6.</x:v>
      </x:c>
      <x:c r="N4712" s="30" t="str">
        <x:v>13</x:v>
      </x:c>
      <x:c r="O4712" s="30" t="str">
        <x:v>При Aa×Aa и полном доминировании фенотипическое расщепление равно 3:1.</x:v>
      </x:c>
      <x:c r="P4712" s="30" t="str">
        <x:v>Условие и визуал просмотрены; ответ проверен по биологической логике/расчёту и сопоставлен с каноническим источником.</x:v>
      </x:c>
      <x:c r="Q4712" s="30"/>
      <x:c r="R4712" s="30" t="str">
        <x:v>13</x:v>
      </x:c>
      <x:c r="S4712" s="30"/>
      <x:c r="T4712" s="30" t="str">
        <x:v>IMG_20251220_203648_739.jpg</x:v>
      </x:c>
      <x:c r="U4712" s="30" t="str">
        <x:v>Вторичная крупная картинка не является канонической и исключена из ответа.</x:v>
      </x:c>
      <x:c r="V4712" s="87" t="str">
        <x:v>VERIFIED</x:v>
      </x:c>
      <x:c r="W4712" s="87"/>
      <x:c r="X4712" s="87" t="n">
        <x:v>17</x:v>
      </x:c>
      <x:c r="Y4712" s="87"/>
      <x:c r="Z4712" s="87"/>
      <x:c r="AA4712" s="87"/>
      <x:c r="AB4712" s="87" t="str">
        <x:v>таблица дополнения</x:v>
      </x:c>
      <x:c r="AC4712" s="87" t="str">
        <x:v>VIS-BIO-DEC-TASK-12-P017</x:v>
      </x:c>
      <x:c r="AD4712" s="87" t="str">
        <x:v>VIS-BIO-DEC-KEY-SUPPLEMENT</x:v>
      </x:c>
      <x:c r="AE4712" s="87" t="str">
        <x:v>TASK; KEY_SUPPLEMENT</x:v>
      </x:c>
      <x:c r="AF4712" s="87" t="str">
        <x:v>VIS-BIO-DEC-TASK-12-P017: 17; VIS-BIO-DEC-KEY-SUPPLEMENT: original</x:v>
      </x:c>
      <x:c r="AG4712" s="87" t="str">
        <x:v>RESOLVED</x:v>
      </x:c>
      <x:c r="AH4712" s="87" t="str">
        <x:v>CROP_VERIFIED</x:v>
      </x:c>
      <x:c r="AI4712" s="30"/>
      <x:c r="AJ4712" s="87" t="str">
        <x:v>clean</x:v>
      </x:c>
      <x:c r="AK4712" s="87" t="str">
        <x:v>clean-v0.08</x:v>
      </x:c>
      <x:c r="AL4712" s="87" t="str">
        <x:v>statgrad_clean_continuation_v0_08(1).xlsx</x:v>
      </x:c>
      <x:c r="AM4712" s="87" t="str">
        <x:v>BIO_Dec_V2</x:v>
      </x:c>
      <x:c r="AN4712" s="87" t="n">
        <x:v>5</x:v>
      </x:c>
    </x:row>
    <x:row r="4713">
      <x:c r="A4713" s="87" t="n">
        <x:v>4712</x:v>
      </x:c>
      <x:c r="B4713" s="87" t="str">
        <x:v>DEC-BIO-02-005</x:v>
      </x:c>
      <x:c r="C4713" s="87" t="str">
        <x:v>СтатГрад</x:v>
      </x:c>
      <x:c r="D4713" s="87" t="str">
        <x:v>Декабрь 2025</x:v>
      </x:c>
      <x:c r="E4713" s="87"/>
      <x:c r="F4713" s="87"/>
      <x:c r="G4713" s="87" t="str">
        <x:v>Биология</x:v>
      </x:c>
      <x:c r="H4713" s="87" t="n">
        <x:v>11</x:v>
      </x:c>
      <x:c r="I4713" s="87" t="str">
        <x:v>ТР №2</x:v>
      </x:c>
      <x:c r="J4713" s="87" t="str">
        <x:v>БИ2510202</x:v>
      </x:c>
      <x:c r="K4713" s="87" t="n">
        <x:v>5</x:v>
      </x:c>
      <x:c r="L4713" s="87" t="str">
        <x:v>Определение по рисунку/таблице</x:v>
      </x:c>
      <x:c r="M4713" s="30" t="str">
        <x:v>Какой цифрой на схеме гаметогенеза обозначено полярное тельце?
    Ответ: ___________________________.</x:v>
      </x:c>
      <x:c r="N4713" s="30" t="str">
        <x:v>7</x:v>
      </x:c>
      <x:c r="O4713" s="30" t="str">
        <x:v>Номер структуры определён по исходному рисунку и подтверждён дополнительной таблицей ответов.</x:v>
      </x:c>
      <x:c r="P4713" s="30" t="str">
        <x:v>Условие и визуал просмотрены; ответ проверен по биологической логике/расчёту и сопоставлен с каноническим источником.</x:v>
      </x:c>
      <x:c r="Q4713" s="30"/>
      <x:c r="R4713" s="30" t="str">
        <x:v>7</x:v>
      </x:c>
      <x:c r="S4713" s="30"/>
      <x:c r="T4713" s="30" t="str">
        <x:v>IMG_20251220_203648_739.jpg</x:v>
      </x:c>
      <x:c r="U4713" s="30" t="str">
        <x:v>Вторичная крупная картинка не является канонической и исключена из ответа.</x:v>
      </x:c>
      <x:c r="V4713" s="87" t="str">
        <x:v>VERIFIED</x:v>
      </x:c>
      <x:c r="W4713" s="87"/>
      <x:c r="X4713" s="87" t="n">
        <x:v>18</x:v>
      </x:c>
      <x:c r="Y4713" s="87"/>
      <x:c r="Z4713" s="87"/>
      <x:c r="AA4713" s="87"/>
      <x:c r="AB4713" s="87" t="str">
        <x:v>таблица дополнения</x:v>
      </x:c>
      <x:c r="AC4713" s="87" t="str">
        <x:v>VIS-BIO-DEC-TASK-12-P018</x:v>
      </x:c>
      <x:c r="AD4713" s="87" t="str">
        <x:v>VIS-BIO-DEC-KEY-SUPPLEMENT</x:v>
      </x:c>
      <x:c r="AE4713" s="87" t="str">
        <x:v>TASK; KEY_SUPPLEMENT</x:v>
      </x:c>
      <x:c r="AF4713" s="87" t="str">
        <x:v>VIS-BIO-DEC-TASK-12-P018: 18; VIS-BIO-DEC-KEY-SUPPLEMENT: original</x:v>
      </x:c>
      <x:c r="AG4713" s="87" t="str">
        <x:v>RESOLVED</x:v>
      </x:c>
      <x:c r="AH4713" s="87" t="str">
        <x:v>CROP_VERIFIED; TASK_CROP_QA_APPROVED:MANUAL_BBOX</x:v>
      </x:c>
      <x:c r="AI4713" s="30"/>
      <x:c r="AJ4713" s="87" t="str">
        <x:v>clean</x:v>
      </x:c>
      <x:c r="AK4713" s="87" t="str">
        <x:v>clean-v0.08</x:v>
      </x:c>
      <x:c r="AL4713" s="87" t="str">
        <x:v>statgrad_clean_continuation_v0_08(1).xlsx</x:v>
      </x:c>
      <x:c r="AM4713" s="87" t="str">
        <x:v>BIO_Dec_V2</x:v>
      </x:c>
      <x:c r="AN4713" s="87" t="n">
        <x:v>6</x:v>
      </x:c>
    </x:row>
    <x:row r="4714">
      <x:c r="A4714" s="87" t="n">
        <x:v>4713</x:v>
      </x:c>
      <x:c r="B4714" s="87" t="str">
        <x:v>DEC-BIO-02-006</x:v>
      </x:c>
      <x:c r="C4714" s="87" t="str">
        <x:v>СтатГрад</x:v>
      </x:c>
      <x:c r="D4714" s="87" t="str">
        <x:v>Декабрь 2025</x:v>
      </x:c>
      <x:c r="E4714" s="87"/>
      <x:c r="F4714" s="87"/>
      <x:c r="G4714" s="87" t="str">
        <x:v>Биология</x:v>
      </x:c>
      <x:c r="H4714" s="87" t="n">
        <x:v>11</x:v>
      </x:c>
      <x:c r="I4714" s="87" t="str">
        <x:v>ТР №2</x:v>
      </x:c>
      <x:c r="J4714" s="87" t="str">
        <x:v>БИ2510202</x:v>
      </x:c>
      <x:c r="K4714" s="87" t="n">
        <x:v>6</x:v>
      </x:c>
      <x:c r="L4714" s="87" t="str">
        <x:v>Установление соответствия</x:v>
      </x:c>
      <x:c r="M4714" s="30" t="str">
        <x:v>Установите соответствие между характеристиками и структурами,
    обозначенными на схеме цифрами 1, 2, 3: к каждой позиции, данной в первом
    столбце, подберите соответствующую позицию из второго столбца.
                     ХАРАКТЕРИСТИКИ                                        СТРУКТУРЫ
    А) гаплоидная клетка с удвоенными хромосомами                       1) 1
    Б) делится митозом                                                  2) 2
    В) вступает во второе деление мейоза                                3) 3
    Г) заканчивает фазу роста и переходит к созреванию
    Д) сперматогоний или оогоний
    Е) в клетке происходит кроссинговер
    Запишите в таблицу выбранные цифры под соответствующими буквами.
               А Б В Г Д Е
    Ответ:</x:v>
      </x:c>
      <x:c r="N4714" s="30" t="str">
        <x:v>313212</x:v>
      </x:c>
      <x:c r="O4714" s="30" t="str">
        <x:v>Каждая характеристика сопоставлена с обозначенной структурой/категорией; последовательность подтверждена официальным ключом.</x:v>
      </x:c>
      <x:c r="P4714" s="30" t="str">
        <x:v>Условие и визуал просмотрены; ответ проверен по биологической логике/расчёту и сопоставлен с каноническим источником.</x:v>
      </x:c>
      <x:c r="Q4714" s="30"/>
      <x:c r="R4714" s="30" t="str">
        <x:v>313212</x:v>
      </x:c>
      <x:c r="S4714" s="30"/>
      <x:c r="T4714" s="30" t="str">
        <x:v>Kriterii_BI11_19122025.pdf</x:v>
      </x:c>
      <x:c r="U4714" s="30" t="str">
        <x:v>Вторичная крупная картинка не является канонической и исключена из ответа.</x:v>
      </x:c>
      <x:c r="V4714" s="87" t="str">
        <x:v>VERIFIED</x:v>
      </x:c>
      <x:c r="W4714" s="87"/>
      <x:c r="X4714" s="87" t="n">
        <x:v>18</x:v>
      </x:c>
      <x:c r="Y4714" s="87"/>
      <x:c r="Z4714" s="87"/>
      <x:c r="AA4714" s="87"/>
      <x:c r="AB4714" s="87" t="str">
        <x:v>1</x:v>
      </x:c>
      <x:c r="AC4714" s="87" t="str">
        <x:v>VIS-BIO-DEC-TASK-12-P018</x:v>
      </x:c>
      <x:c r="AD4714" s="87" t="str">
        <x:v>VIS-BIO-DEC-CRIT-12-P001</x:v>
      </x:c>
      <x:c r="AE4714" s="87" t="str">
        <x:v>TASK; CRIT</x:v>
      </x:c>
      <x:c r="AF4714" s="87" t="str">
        <x:v>VIS-BIO-DEC-TASK-12-P018: 18; VIS-BIO-DEC-CRIT-12-P001: 1</x:v>
      </x:c>
      <x:c r="AG4714" s="87" t="str">
        <x:v>RESOLVED</x:v>
      </x:c>
      <x:c r="AH4714" s="87" t="str">
        <x:v>CROP_VERIFIED; TASK_CROP_QA_APPROVED:USE_TIGHT</x:v>
      </x:c>
      <x:c r="AI4714" s="30"/>
      <x:c r="AJ4714" s="87" t="str">
        <x:v>clean</x:v>
      </x:c>
      <x:c r="AK4714" s="87" t="str">
        <x:v>clean-v0.08</x:v>
      </x:c>
      <x:c r="AL4714" s="87" t="str">
        <x:v>statgrad_clean_continuation_v0_08(1).xlsx</x:v>
      </x:c>
      <x:c r="AM4714" s="87" t="str">
        <x:v>BIO_Dec_V2</x:v>
      </x:c>
      <x:c r="AN4714" s="87" t="n">
        <x:v>7</x:v>
      </x:c>
    </x:row>
    <x:row r="4715">
      <x:c r="A4715" s="87" t="n">
        <x:v>4714</x:v>
      </x:c>
      <x:c r="B4715" s="87" t="str">
        <x:v>DEC-BIO-02-007</x:v>
      </x:c>
      <x:c r="C4715" s="87" t="str">
        <x:v>СтатГрад</x:v>
      </x:c>
      <x:c r="D4715" s="87" t="str">
        <x:v>Декабрь 2025</x:v>
      </x:c>
      <x:c r="E4715" s="87"/>
      <x:c r="F4715" s="87"/>
      <x:c r="G4715" s="87" t="str">
        <x:v>Биология</x:v>
      </x:c>
      <x:c r="H4715" s="87" t="n">
        <x:v>11</x:v>
      </x:c>
      <x:c r="I4715" s="87" t="str">
        <x:v>ТР №2</x:v>
      </x:c>
      <x:c r="J4715" s="87" t="str">
        <x:v>БИ2510202</x:v>
      </x:c>
      <x:c r="K4715" s="87" t="n">
        <x:v>7</x:v>
      </x:c>
      <x:c r="L4715" s="87" t="str">
        <x:v>Множественный выбор</x:v>
      </x:c>
      <x:c r="M4715" s="30" t="str">
        <x:v>Выберите три верных ответа и запишите в таблицу цифры, под которыми
    они указаны.
    К функциям липидов в организмах относят
    1) хранение энергии
    2) химический катализ
    3) передачу сигналов
    4) термоизоляцию
    5) хранение наследственной информации
    6) обеспечение синтеза белков
    Ответ:</x:v>
      </x:c>
      <x:c r="N4715" s="30" t="str">
        <x:v>134</x:v>
      </x:c>
      <x:c r="O4715" s="30" t="str">
        <x:v>Все шесть утверждений проверены по биологическим признакам; выбраны три корректные позиции.</x:v>
      </x:c>
      <x:c r="P4715" s="30" t="str">
        <x:v>Условие и визуал просмотрены; ответ проверен по биологической логике/расчёту и сопоставлен с каноническим источником.</x:v>
      </x:c>
      <x:c r="Q4715" s="30"/>
      <x:c r="R4715" s="30" t="str">
        <x:v>134</x:v>
      </x:c>
      <x:c r="S4715" s="30"/>
      <x:c r="T4715" s="30" t="str">
        <x:v>Kriterii_BI11_19122025.pdf</x:v>
      </x:c>
      <x:c r="U4715" s="30" t="str">
        <x:v>Расхождений с каноническим источником нет.</x:v>
      </x:c>
      <x:c r="V4715" s="87" t="str">
        <x:v>VERIFIED</x:v>
      </x:c>
      <x:c r="W4715" s="87"/>
      <x:c r="X4715" s="87" t="n">
        <x:v>19</x:v>
      </x:c>
      <x:c r="Y4715" s="87"/>
      <x:c r="Z4715" s="87"/>
      <x:c r="AA4715" s="87"/>
      <x:c r="AB4715" s="87" t="str">
        <x:v>1</x:v>
      </x:c>
      <x:c r="AC4715" s="87" t="str">
        <x:v>VIS-BIO-DEC-TASK-12-P019</x:v>
      </x:c>
      <x:c r="AD4715" s="87" t="str">
        <x:v>VIS-BIO-DEC-CRIT-12-P001</x:v>
      </x:c>
      <x:c r="AE4715" s="87" t="str">
        <x:v>TASK; CRIT</x:v>
      </x:c>
      <x:c r="AF4715" s="87" t="str">
        <x:v>VIS-BIO-DEC-TASK-12-P019: 19; VIS-BIO-DEC-CRIT-12-P001: 1</x:v>
      </x:c>
      <x:c r="AG4715" s="87" t="str">
        <x:v>RESOLVED</x:v>
      </x:c>
      <x:c r="AH4715" s="87" t="str">
        <x:v>CROP_VERIFIED</x:v>
      </x:c>
      <x:c r="AI4715" s="30"/>
      <x:c r="AJ4715" s="87" t="str">
        <x:v>clean</x:v>
      </x:c>
      <x:c r="AK4715" s="87" t="str">
        <x:v>clean-v0.08</x:v>
      </x:c>
      <x:c r="AL4715" s="87" t="str">
        <x:v>statgrad_clean_continuation_v0_08(1).xlsx</x:v>
      </x:c>
      <x:c r="AM4715" s="87" t="str">
        <x:v>BIO_Dec_V2</x:v>
      </x:c>
      <x:c r="AN4715" s="87" t="n">
        <x:v>8</x:v>
      </x:c>
    </x:row>
    <x:row r="4716">
      <x:c r="A4716" s="87" t="n">
        <x:v>4715</x:v>
      </x:c>
      <x:c r="B4716" s="87" t="str">
        <x:v>DEC-BIO-02-008</x:v>
      </x:c>
      <x:c r="C4716" s="87" t="str">
        <x:v>СтатГрад</x:v>
      </x:c>
      <x:c r="D4716" s="87" t="str">
        <x:v>Декабрь 2025</x:v>
      </x:c>
      <x:c r="E4716" s="87"/>
      <x:c r="F4716" s="87"/>
      <x:c r="G4716" s="87" t="str">
        <x:v>Биология</x:v>
      </x:c>
      <x:c r="H4716" s="87" t="n">
        <x:v>11</x:v>
      </x:c>
      <x:c r="I4716" s="87" t="str">
        <x:v>ТР №2</x:v>
      </x:c>
      <x:c r="J4716" s="87" t="str">
        <x:v>БИ2510202</x:v>
      </x:c>
      <x:c r="K4716" s="87" t="n">
        <x:v>8</x:v>
      </x:c>
      <x:c r="L4716" s="87" t="str">
        <x:v>Установление последовательности</x:v>
      </x:c>
      <x:c r="M4716" s="30" t="str">
        <x:v>Установите последовательность стадий клеточного дыхания. Запишите
    в таблицу соответствующую последовательность цифр.
    1) окислительное фосфорилирование
    2) поступление глюкозы в клетку
    3) образование пировиноградной кислоты
    4) поступление ацетил-КоА в митохондрию
    5) окисление органических веществ до СО 2
    Ответ:
                  Рассмотрите рисунок и выполните задания 9 и 10.</x:v>
      </x:c>
      <x:c r="N4716" s="30" t="str">
        <x:v>23451</x:v>
      </x:c>
      <x:c r="O4716" s="30" t="str">
        <x:v>Этапы упорядочены по причинно-временной либо систематической последовательности.</x:v>
      </x:c>
      <x:c r="P4716" s="30" t="str">
        <x:v>Условие и визуал просмотрены; ответ проверен по биологической логике/расчёту и сопоставлен с каноническим источником.</x:v>
      </x:c>
      <x:c r="Q4716" s="30"/>
      <x:c r="R4716" s="30" t="str">
        <x:v>23451</x:v>
      </x:c>
      <x:c r="S4716" s="30"/>
      <x:c r="T4716" s="30" t="str">
        <x:v>Kriterii_BI11_19122025.pdf</x:v>
      </x:c>
      <x:c r="U4716" s="30" t="str">
        <x:v>Расхождений с каноническим источником нет.</x:v>
      </x:c>
      <x:c r="V4716" s="87" t="str">
        <x:v>VERIFIED</x:v>
      </x:c>
      <x:c r="W4716" s="87"/>
      <x:c r="X4716" s="87" t="n">
        <x:v>19</x:v>
      </x:c>
      <x:c r="Y4716" s="87"/>
      <x:c r="Z4716" s="87"/>
      <x:c r="AA4716" s="87"/>
      <x:c r="AB4716" s="87" t="str">
        <x:v>1</x:v>
      </x:c>
      <x:c r="AC4716" s="87" t="str">
        <x:v>VIS-BIO-DEC-TASK-12-P019</x:v>
      </x:c>
      <x:c r="AD4716" s="87" t="str">
        <x:v>VIS-BIO-DEC-CRIT-12-P001</x:v>
      </x:c>
      <x:c r="AE4716" s="87" t="str">
        <x:v>TASK; CRIT</x:v>
      </x:c>
      <x:c r="AF4716" s="87" t="str">
        <x:v>VIS-BIO-DEC-TASK-12-P019: 19; VIS-BIO-DEC-CRIT-12-P001: 1</x:v>
      </x:c>
      <x:c r="AG4716" s="87" t="str">
        <x:v>RESOLVED</x:v>
      </x:c>
      <x:c r="AH4716" s="87" t="str">
        <x:v>CROP_VERIFIED</x:v>
      </x:c>
      <x:c r="AI4716" s="30"/>
      <x:c r="AJ4716" s="87" t="str">
        <x:v>clean</x:v>
      </x:c>
      <x:c r="AK4716" s="87" t="str">
        <x:v>clean-v0.08</x:v>
      </x:c>
      <x:c r="AL4716" s="87" t="str">
        <x:v>statgrad_clean_continuation_v0_08(1).xlsx</x:v>
      </x:c>
      <x:c r="AM4716" s="87" t="str">
        <x:v>BIO_Dec_V2</x:v>
      </x:c>
      <x:c r="AN4716" s="87" t="n">
        <x:v>9</x:v>
      </x:c>
    </x:row>
    <x:row r="4717">
      <x:c r="A4717" s="87" t="n">
        <x:v>4716</x:v>
      </x:c>
      <x:c r="B4717" s="87" t="str">
        <x:v>DEC-BIO-02-009</x:v>
      </x:c>
      <x:c r="C4717" s="87" t="str">
        <x:v>СтатГрад</x:v>
      </x:c>
      <x:c r="D4717" s="87" t="str">
        <x:v>Декабрь 2025</x:v>
      </x:c>
      <x:c r="E4717" s="87"/>
      <x:c r="F4717" s="87"/>
      <x:c r="G4717" s="87" t="str">
        <x:v>Биология</x:v>
      </x:c>
      <x:c r="H4717" s="87" t="n">
        <x:v>11</x:v>
      </x:c>
      <x:c r="I4717" s="87" t="str">
        <x:v>ТР №2</x:v>
      </x:c>
      <x:c r="J4717" s="87" t="str">
        <x:v>БИ2510202</x:v>
      </x:c>
      <x:c r="K4717" s="87" t="n">
        <x:v>9</x:v>
      </x:c>
      <x:c r="L4717" s="87" t="str">
        <x:v>Определение по рисунку/таблице</x:v>
      </x:c>
      <x:c r="M4717" s="30" t="str">
        <x:v>Какой цифрой на рисунке обозначена эпидерма листа?
     Ответ: ___________________________.</x:v>
      </x:c>
      <x:c r="N4717" s="30" t="str">
        <x:v>8</x:v>
      </x:c>
      <x:c r="O4717" s="30" t="str">
        <x:v>Номер структуры определён по исходному рисунку и подтверждён дополнительной таблицей ответов.</x:v>
      </x:c>
      <x:c r="P4717" s="30" t="str">
        <x:v>Условие и визуал просмотрены; ответ проверен по биологической логике/расчёту и сопоставлен с каноническим источником.</x:v>
      </x:c>
      <x:c r="Q4717" s="30"/>
      <x:c r="R4717" s="30" t="str">
        <x:v>8</x:v>
      </x:c>
      <x:c r="S4717" s="30"/>
      <x:c r="T4717" s="30" t="str">
        <x:v>IMG_20251220_203648_739.jpg</x:v>
      </x:c>
      <x:c r="U4717" s="30" t="str">
        <x:v>Вторичная крупная картинка не является канонической и исключена из ответа.</x:v>
      </x:c>
      <x:c r="V4717" s="87" t="str">
        <x:v>VERIFIED</x:v>
      </x:c>
      <x:c r="W4717" s="87"/>
      <x:c r="X4717" s="87" t="n">
        <x:v>20</x:v>
      </x:c>
      <x:c r="Y4717" s="87"/>
      <x:c r="Z4717" s="87"/>
      <x:c r="AA4717" s="87"/>
      <x:c r="AB4717" s="87" t="str">
        <x:v>таблица дополнения</x:v>
      </x:c>
      <x:c r="AC4717" s="87" t="str">
        <x:v>VIS-BIO-DEC-TASK-12-P020</x:v>
      </x:c>
      <x:c r="AD4717" s="87" t="str">
        <x:v>VIS-BIO-DEC-KEY-SUPPLEMENT</x:v>
      </x:c>
      <x:c r="AE4717" s="87" t="str">
        <x:v>TASK; KEY_SUPPLEMENT</x:v>
      </x:c>
      <x:c r="AF4717" s="87" t="str">
        <x:v>VIS-BIO-DEC-TASK-12-P020: 20; VIS-BIO-DEC-KEY-SUPPLEMENT: original</x:v>
      </x:c>
      <x:c r="AG4717" s="87" t="str">
        <x:v>RESOLVED</x:v>
      </x:c>
      <x:c r="AH4717" s="87" t="str">
        <x:v>CROP_VERIFIED; TASK_CROP_QA_APPROVED:MANUAL_BBOX</x:v>
      </x:c>
      <x:c r="AI4717" s="30"/>
      <x:c r="AJ4717" s="87" t="str">
        <x:v>clean</x:v>
      </x:c>
      <x:c r="AK4717" s="87" t="str">
        <x:v>clean-v0.08</x:v>
      </x:c>
      <x:c r="AL4717" s="87" t="str">
        <x:v>statgrad_clean_continuation_v0_08(1).xlsx</x:v>
      </x:c>
      <x:c r="AM4717" s="87" t="str">
        <x:v>BIO_Dec_V2</x:v>
      </x:c>
      <x:c r="AN4717" s="87" t="n">
        <x:v>10</x:v>
      </x:c>
    </x:row>
    <x:row r="4718">
      <x:c r="A4718" s="87" t="n">
        <x:v>4717</x:v>
      </x:c>
      <x:c r="B4718" s="87" t="str">
        <x:v>DEC-BIO-02-010</x:v>
      </x:c>
      <x:c r="C4718" s="87" t="str">
        <x:v>СтатГрад</x:v>
      </x:c>
      <x:c r="D4718" s="87" t="str">
        <x:v>Декабрь 2025</x:v>
      </x:c>
      <x:c r="E4718" s="87"/>
      <x:c r="F4718" s="87"/>
      <x:c r="G4718" s="87" t="str">
        <x:v>Биология</x:v>
      </x:c>
      <x:c r="H4718" s="87" t="n">
        <x:v>11</x:v>
      </x:c>
      <x:c r="I4718" s="87" t="str">
        <x:v>ТР №2</x:v>
      </x:c>
      <x:c r="J4718" s="87" t="str">
        <x:v>БИ2510202</x:v>
      </x:c>
      <x:c r="K4718" s="87" t="n">
        <x:v>10</x:v>
      </x:c>
      <x:c r="L4718" s="87" t="str">
        <x:v>Установление соответствия</x:v>
      </x:c>
      <x:c r="M4718" s="30" t="str">
        <x:v>Установите соответствие между функциями и структурами растения,
     обозначенными на рисунке цифрами 1, 2, 3: к каждой позиции, данной
     в первом столбце, подберите соответствующую позицию из второго столбца.
                                                                         СТРУКТУРЫ
                            ФУНКЦИИ
                                                                          РАСТЕНИЯ
     А) содержит хлоропласты                                         1) 1
     Б) состоит из мёртвых клеток                                    2) 2
     В) формируется покровной тканью корня                           3) 3
     Г) входит в состав сосудисто-проводящих пучков
     Д) обеспечивает транспирацию
     Е) всасывает минеральные вещества из почвы
     Запишите в таблицу выбранные цифры под соответствующими буквами.
                А Б В Г Д Е
     Ответ:</x:v>
      </x:c>
      <x:c r="N4718" s="30" t="str">
        <x:v>123213</x:v>
      </x:c>
      <x:c r="O4718" s="30" t="str">
        <x:v>Каждая характеристика сопоставлена с обозначенной структурой/категорией; последовательность подтверждена официальным ключом.</x:v>
      </x:c>
      <x:c r="P4718" s="30" t="str">
        <x:v>Условие и визуал просмотрены; ответ проверен по биологической логике/расчёту и сопоставлен с каноническим источником.</x:v>
      </x:c>
      <x:c r="Q4718" s="30"/>
      <x:c r="R4718" s="30" t="str">
        <x:v>123213</x:v>
      </x:c>
      <x:c r="S4718" s="30"/>
      <x:c r="T4718" s="30" t="str">
        <x:v>Kriterii_BI11_19122025.pdf</x:v>
      </x:c>
      <x:c r="U4718" s="30" t="str">
        <x:v>Вторичная крупная картинка не является канонической и исключена из ответа.</x:v>
      </x:c>
      <x:c r="V4718" s="87" t="str">
        <x:v>VERIFIED</x:v>
      </x:c>
      <x:c r="W4718" s="87"/>
      <x:c r="X4718" s="87" t="n">
        <x:v>20</x:v>
      </x:c>
      <x:c r="Y4718" s="87"/>
      <x:c r="Z4718" s="87"/>
      <x:c r="AA4718" s="87"/>
      <x:c r="AB4718" s="87" t="str">
        <x:v>1</x:v>
      </x:c>
      <x:c r="AC4718" s="87" t="str">
        <x:v>VIS-BIO-DEC-TASK-12-P020</x:v>
      </x:c>
      <x:c r="AD4718" s="87" t="str">
        <x:v>VIS-BIO-DEC-CRIT-12-P001</x:v>
      </x:c>
      <x:c r="AE4718" s="87" t="str">
        <x:v>TASK; CRIT</x:v>
      </x:c>
      <x:c r="AF4718" s="87" t="str">
        <x:v>VIS-BIO-DEC-TASK-12-P020: 20; VIS-BIO-DEC-CRIT-12-P001: 1</x:v>
      </x:c>
      <x:c r="AG4718" s="87" t="str">
        <x:v>RESOLVED</x:v>
      </x:c>
      <x:c r="AH4718" s="87" t="str">
        <x:v>CROP_VERIFIED; TASK_CROP_QA_APPROVED:USE_TIGHT</x:v>
      </x:c>
      <x:c r="AI4718" s="30"/>
      <x:c r="AJ4718" s="87" t="str">
        <x:v>clean</x:v>
      </x:c>
      <x:c r="AK4718" s="87" t="str">
        <x:v>clean-v0.08</x:v>
      </x:c>
      <x:c r="AL4718" s="87" t="str">
        <x:v>statgrad_clean_continuation_v0_08(1).xlsx</x:v>
      </x:c>
      <x:c r="AM4718" s="87" t="str">
        <x:v>BIO_Dec_V2</x:v>
      </x:c>
      <x:c r="AN4718" s="87" t="n">
        <x:v>11</x:v>
      </x:c>
    </x:row>
    <x:row r="4719">
      <x:c r="A4719" s="87" t="n">
        <x:v>4718</x:v>
      </x:c>
      <x:c r="B4719" s="87" t="str">
        <x:v>DEC-BIO-02-011</x:v>
      </x:c>
      <x:c r="C4719" s="87" t="str">
        <x:v>СтатГрад</x:v>
      </x:c>
      <x:c r="D4719" s="87" t="str">
        <x:v>Декабрь 2025</x:v>
      </x:c>
      <x:c r="E4719" s="87"/>
      <x:c r="F4719" s="87"/>
      <x:c r="G4719" s="87" t="str">
        <x:v>Биология</x:v>
      </x:c>
      <x:c r="H4719" s="87" t="n">
        <x:v>11</x:v>
      </x:c>
      <x:c r="I4719" s="87" t="str">
        <x:v>ТР №2</x:v>
      </x:c>
      <x:c r="J4719" s="87" t="str">
        <x:v>БИ2510202</x:v>
      </x:c>
      <x:c r="K4719" s="87" t="n">
        <x:v>11</x:v>
      </x:c>
      <x:c r="L4719" s="87" t="str">
        <x:v>Множественный выбор</x:v>
      </x:c>
      <x:c r="M4719" s="30" t="str">
        <x:v>Выберите три верных ответа и запишите в таблицу цифры, под которыми
     они указаны.
     Представителями земноводных являются
     1) червяга
     2) хамелеон
     3) удав
     4) саламандра
     5) крокодил
     6) тритон
     Ответ:</x:v>
      </x:c>
      <x:c r="N4719" s="30" t="str">
        <x:v>146</x:v>
      </x:c>
      <x:c r="O4719" s="30" t="str">
        <x:v>Все шесть утверждений проверены по биологическим признакам; выбраны три корректные позиции.</x:v>
      </x:c>
      <x:c r="P4719" s="30" t="str">
        <x:v>Условие и визуал просмотрены; ответ проверен по биологической логике/расчёту и сопоставлен с каноническим источником.</x:v>
      </x:c>
      <x:c r="Q4719" s="30"/>
      <x:c r="R4719" s="30" t="str">
        <x:v>146</x:v>
      </x:c>
      <x:c r="S4719" s="30"/>
      <x:c r="T4719" s="30" t="str">
        <x:v>Kriterii_BI11_19122025.pdf</x:v>
      </x:c>
      <x:c r="U4719" s="30" t="str">
        <x:v>Расхождений с каноническим источником нет.</x:v>
      </x:c>
      <x:c r="V4719" s="87" t="str">
        <x:v>VERIFIED</x:v>
      </x:c>
      <x:c r="W4719" s="87"/>
      <x:c r="X4719" s="87" t="n">
        <x:v>21</x:v>
      </x:c>
      <x:c r="Y4719" s="87"/>
      <x:c r="Z4719" s="87"/>
      <x:c r="AA4719" s="87"/>
      <x:c r="AB4719" s="87" t="str">
        <x:v>1</x:v>
      </x:c>
      <x:c r="AC4719" s="87" t="str">
        <x:v>VIS-BIO-DEC-TASK-12-P021</x:v>
      </x:c>
      <x:c r="AD4719" s="87" t="str">
        <x:v>VIS-BIO-DEC-CRIT-12-P001</x:v>
      </x:c>
      <x:c r="AE4719" s="87" t="str">
        <x:v>TASK; CRIT</x:v>
      </x:c>
      <x:c r="AF4719" s="87" t="str">
        <x:v>VIS-BIO-DEC-TASK-12-P021: 21; VIS-BIO-DEC-CRIT-12-P001: 1</x:v>
      </x:c>
      <x:c r="AG4719" s="87" t="str">
        <x:v>RESOLVED</x:v>
      </x:c>
      <x:c r="AH4719" s="87" t="str">
        <x:v>CROP_VERIFIED</x:v>
      </x:c>
      <x:c r="AI4719" s="30"/>
      <x:c r="AJ4719" s="87" t="str">
        <x:v>clean</x:v>
      </x:c>
      <x:c r="AK4719" s="87" t="str">
        <x:v>clean-v0.08</x:v>
      </x:c>
      <x:c r="AL4719" s="87" t="str">
        <x:v>statgrad_clean_continuation_v0_08(1).xlsx</x:v>
      </x:c>
      <x:c r="AM4719" s="87" t="str">
        <x:v>BIO_Dec_V2</x:v>
      </x:c>
      <x:c r="AN4719" s="87" t="n">
        <x:v>12</x:v>
      </x:c>
    </x:row>
    <x:row r="4720">
      <x:c r="A4720" s="87" t="n">
        <x:v>4719</x:v>
      </x:c>
      <x:c r="B4720" s="87" t="str">
        <x:v>DEC-BIO-02-012</x:v>
      </x:c>
      <x:c r="C4720" s="87" t="str">
        <x:v>СтатГрад</x:v>
      </x:c>
      <x:c r="D4720" s="87" t="str">
        <x:v>Декабрь 2025</x:v>
      </x:c>
      <x:c r="E4720" s="87"/>
      <x:c r="F4720" s="87"/>
      <x:c r="G4720" s="87" t="str">
        <x:v>Биология</x:v>
      </x:c>
      <x:c r="H4720" s="87" t="n">
        <x:v>11</x:v>
      </x:c>
      <x:c r="I4720" s="87" t="str">
        <x:v>ТР №2</x:v>
      </x:c>
      <x:c r="J4720" s="87" t="str">
        <x:v>БИ2510202</x:v>
      </x:c>
      <x:c r="K4720" s="87" t="n">
        <x:v>12</x:v>
      </x:c>
      <x:c r="L4720" s="87" t="str">
        <x:v>Установление последовательности</x:v>
      </x:c>
      <x:c r="M4720" s="30" t="str">
        <x:v>Установите последовательность систематических групп животных, начиная
     с самого высокого ранга. Запишите в таблицу соответствующую последова-
     тельность цифр.
     1) Китообразные
     2) Дельфин-белобочка
     3) Млекопитающие
     4) Дельфиновые
     5) Позвоночные
     6) Хордовые
     Ответ:
                 Рассмотрите рисунок и выполните задания 13 и 14.</x:v>
      </x:c>
      <x:c r="N4720" s="30" t="str">
        <x:v>653142</x:v>
      </x:c>
      <x:c r="O4720" s="30" t="str">
        <x:v>Этапы упорядочены по причинно-временной либо систематической последовательности.</x:v>
      </x:c>
      <x:c r="P4720" s="30" t="str">
        <x:v>Условие и визуал просмотрены; ответ проверен по биологической логике/расчёту и сопоставлен с каноническим источником.</x:v>
      </x:c>
      <x:c r="Q4720" s="30"/>
      <x:c r="R4720" s="30" t="str">
        <x:v>653142</x:v>
      </x:c>
      <x:c r="S4720" s="30"/>
      <x:c r="T4720" s="30" t="str">
        <x:v>Kriterii_BI11_19122025.pdf</x:v>
      </x:c>
      <x:c r="U4720" s="30" t="str">
        <x:v>Расхождений с каноническим источником нет.</x:v>
      </x:c>
      <x:c r="V4720" s="87" t="str">
        <x:v>VERIFIED</x:v>
      </x:c>
      <x:c r="W4720" s="87"/>
      <x:c r="X4720" s="87" t="n">
        <x:v>21</x:v>
      </x:c>
      <x:c r="Y4720" s="87"/>
      <x:c r="Z4720" s="87"/>
      <x:c r="AA4720" s="87"/>
      <x:c r="AB4720" s="87" t="str">
        <x:v>1</x:v>
      </x:c>
      <x:c r="AC4720" s="87" t="str">
        <x:v>VIS-BIO-DEC-TASK-12-P021</x:v>
      </x:c>
      <x:c r="AD4720" s="87" t="str">
        <x:v>VIS-BIO-DEC-CRIT-12-P001</x:v>
      </x:c>
      <x:c r="AE4720" s="87" t="str">
        <x:v>TASK; CRIT</x:v>
      </x:c>
      <x:c r="AF4720" s="87" t="str">
        <x:v>VIS-BIO-DEC-TASK-12-P021: 21; VIS-BIO-DEC-CRIT-12-P001: 1</x:v>
      </x:c>
      <x:c r="AG4720" s="87" t="str">
        <x:v>RESOLVED</x:v>
      </x:c>
      <x:c r="AH4720" s="87" t="str">
        <x:v>CROP_VERIFIED</x:v>
      </x:c>
      <x:c r="AI4720" s="30"/>
      <x:c r="AJ4720" s="87" t="str">
        <x:v>clean</x:v>
      </x:c>
      <x:c r="AK4720" s="87" t="str">
        <x:v>clean-v0.08</x:v>
      </x:c>
      <x:c r="AL4720" s="87" t="str">
        <x:v>statgrad_clean_continuation_v0_08(1).xlsx</x:v>
      </x:c>
      <x:c r="AM4720" s="87" t="str">
        <x:v>BIO_Dec_V2</x:v>
      </x:c>
      <x:c r="AN4720" s="87" t="n">
        <x:v>13</x:v>
      </x:c>
    </x:row>
    <x:row r="4721">
      <x:c r="A4721" s="87" t="n">
        <x:v>4720</x:v>
      </x:c>
      <x:c r="B4721" s="87" t="str">
        <x:v>DEC-BIO-02-013</x:v>
      </x:c>
      <x:c r="C4721" s="87" t="str">
        <x:v>СтатГрад</x:v>
      </x:c>
      <x:c r="D4721" s="87" t="str">
        <x:v>Декабрь 2025</x:v>
      </x:c>
      <x:c r="E4721" s="87"/>
      <x:c r="F4721" s="87"/>
      <x:c r="G4721" s="87" t="str">
        <x:v>Биология</x:v>
      </x:c>
      <x:c r="H4721" s="87" t="n">
        <x:v>11</x:v>
      </x:c>
      <x:c r="I4721" s="87" t="str">
        <x:v>ТР №2</x:v>
      </x:c>
      <x:c r="J4721" s="87" t="str">
        <x:v>БИ2510202</x:v>
      </x:c>
      <x:c r="K4721" s="87" t="n">
        <x:v>13</x:v>
      </x:c>
      <x:c r="L4721" s="87" t="str">
        <x:v>Определение по рисунку/таблице</x:v>
      </x:c>
      <x:c r="M4721" s="30" t="str">
        <x:v>Какой цифрой на рисунке обозначен тимус?
     Ответ: ___________________________.</x:v>
      </x:c>
      <x:c r="N4721" s="30" t="str">
        <x:v>7</x:v>
      </x:c>
      <x:c r="O4721" s="30" t="str">
        <x:v>Номер структуры определён по исходному рисунку и подтверждён дополнительной таблицей ответов.</x:v>
      </x:c>
      <x:c r="P4721" s="30" t="str">
        <x:v>Условие и визуал просмотрены; ответ проверен по биологической логике/расчёту и сопоставлен с каноническим источником.</x:v>
      </x:c>
      <x:c r="Q4721" s="30"/>
      <x:c r="R4721" s="30" t="str">
        <x:v>7</x:v>
      </x:c>
      <x:c r="S4721" s="30"/>
      <x:c r="T4721" s="30" t="str">
        <x:v>IMG_20251220_203648_739.jpg</x:v>
      </x:c>
      <x:c r="U4721" s="30" t="str">
        <x:v>Вторичная крупная картинка не является канонической и исключена из ответа.</x:v>
      </x:c>
      <x:c r="V4721" s="87" t="str">
        <x:v>VERIFIED</x:v>
      </x:c>
      <x:c r="W4721" s="87"/>
      <x:c r="X4721" s="87" t="n">
        <x:v>22</x:v>
      </x:c>
      <x:c r="Y4721" s="87"/>
      <x:c r="Z4721" s="87"/>
      <x:c r="AA4721" s="87"/>
      <x:c r="AB4721" s="87" t="str">
        <x:v>таблица дополнения</x:v>
      </x:c>
      <x:c r="AC4721" s="87" t="str">
        <x:v>VIS-BIO-DEC-TASK-12-P022</x:v>
      </x:c>
      <x:c r="AD4721" s="87" t="str">
        <x:v>VIS-BIO-DEC-KEY-SUPPLEMENT</x:v>
      </x:c>
      <x:c r="AE4721" s="87" t="str">
        <x:v>TASK; KEY_SUPPLEMENT</x:v>
      </x:c>
      <x:c r="AF4721" s="87" t="str">
        <x:v>VIS-BIO-DEC-TASK-12-P022: 22; VIS-BIO-DEC-KEY-SUPPLEMENT: original</x:v>
      </x:c>
      <x:c r="AG4721" s="87" t="str">
        <x:v>RESOLVED</x:v>
      </x:c>
      <x:c r="AH4721" s="87" t="str">
        <x:v>CROP_VERIFIED; TASK_CROP_QA_APPROVED:MANUAL_BBOX</x:v>
      </x:c>
      <x:c r="AI4721" s="30"/>
      <x:c r="AJ4721" s="87" t="str">
        <x:v>clean</x:v>
      </x:c>
      <x:c r="AK4721" s="87" t="str">
        <x:v>clean-v0.08</x:v>
      </x:c>
      <x:c r="AL4721" s="87" t="str">
        <x:v>statgrad_clean_continuation_v0_08(1).xlsx</x:v>
      </x:c>
      <x:c r="AM4721" s="87" t="str">
        <x:v>BIO_Dec_V2</x:v>
      </x:c>
      <x:c r="AN4721" s="87" t="n">
        <x:v>14</x:v>
      </x:c>
    </x:row>
    <x:row r="4722">
      <x:c r="A4722" s="87" t="n">
        <x:v>4721</x:v>
      </x:c>
      <x:c r="B4722" s="87" t="str">
        <x:v>DEC-BIO-02-014</x:v>
      </x:c>
      <x:c r="C4722" s="87" t="str">
        <x:v>СтатГрад</x:v>
      </x:c>
      <x:c r="D4722" s="87" t="str">
        <x:v>Декабрь 2025</x:v>
      </x:c>
      <x:c r="E4722" s="87"/>
      <x:c r="F4722" s="87"/>
      <x:c r="G4722" s="87" t="str">
        <x:v>Биология</x:v>
      </x:c>
      <x:c r="H4722" s="87" t="n">
        <x:v>11</x:v>
      </x:c>
      <x:c r="I4722" s="87" t="str">
        <x:v>ТР №2</x:v>
      </x:c>
      <x:c r="J4722" s="87" t="str">
        <x:v>БИ2510202</x:v>
      </x:c>
      <x:c r="K4722" s="87" t="n">
        <x:v>14</x:v>
      </x:c>
      <x:c r="L4722" s="87" t="str">
        <x:v>Установление соответствия</x:v>
      </x:c>
      <x:c r="M4722" s="30" t="str">
        <x:v>Установите соответствие между характеристиками и железами человека,
     обозначенными на рисунке цифрами 1, 2, 3: к каждой позиции, данной
     в первом столбце, подберите соответствующую позицию из второго столбца.
                ХАРАКТЕРИСТИКИ                     ЖЕЛЕЗЫ ЧЕЛОВЕКА
     А) производит адреналин                    1) 1
     Б) использует иод для производства гормона 2) 2
     В) вырабатывает тропные гормоны            3) 3
     Г) имеет корковое и мозговое вещество
     Д) при гиперфункции вызывает гигантизм
     Е) может вызвать базедову болезнь
     Запишите в таблицу выбранные цифры под соответствующими буквами.
                А Б В Г Д Е
     Ответ:</x:v>
      </x:c>
      <x:c r="N4722" s="30" t="str">
        <x:v>321312</x:v>
      </x:c>
      <x:c r="O4722" s="30" t="str">
        <x:v>Каждая характеристика сопоставлена с обозначенной структурой/категорией; последовательность подтверждена официальным ключом.</x:v>
      </x:c>
      <x:c r="P4722" s="30" t="str">
        <x:v>Условие и визуал просмотрены; ответ проверен по биологической логике/расчёту и сопоставлен с каноническим источником.</x:v>
      </x:c>
      <x:c r="Q4722" s="30"/>
      <x:c r="R4722" s="30" t="str">
        <x:v>321312</x:v>
      </x:c>
      <x:c r="S4722" s="30"/>
      <x:c r="T4722" s="30" t="str">
        <x:v>Kriterii_BI11_19122025.pdf</x:v>
      </x:c>
      <x:c r="U4722" s="30" t="str">
        <x:v>Расхождений с каноническим источником нет.</x:v>
      </x:c>
      <x:c r="V4722" s="87" t="str">
        <x:v>VERIFIED</x:v>
      </x:c>
      <x:c r="W4722" s="87"/>
      <x:c r="X4722" s="87" t="n">
        <x:v>22</x:v>
      </x:c>
      <x:c r="Y4722" s="87"/>
      <x:c r="Z4722" s="87"/>
      <x:c r="AA4722" s="87"/>
      <x:c r="AB4722" s="87" t="str">
        <x:v>1</x:v>
      </x:c>
      <x:c r="AC4722" s="87" t="str">
        <x:v>VIS-BIO-DEC-TASK-12-P022</x:v>
      </x:c>
      <x:c r="AD4722" s="87" t="str">
        <x:v>VIS-BIO-DEC-CRIT-12-P001</x:v>
      </x:c>
      <x:c r="AE4722" s="87" t="str">
        <x:v>TASK; CRIT</x:v>
      </x:c>
      <x:c r="AF4722" s="87" t="str">
        <x:v>VIS-BIO-DEC-TASK-12-P022: 22; VIS-BIO-DEC-CRIT-12-P001: 1</x:v>
      </x:c>
      <x:c r="AG4722" s="87" t="str">
        <x:v>RESOLVED</x:v>
      </x:c>
      <x:c r="AH4722" s="87" t="str">
        <x:v>CROP_VERIFIED; TASK_CROP_QA_APPROVED:USE_TIGHT</x:v>
      </x:c>
      <x:c r="AI4722" s="30"/>
      <x:c r="AJ4722" s="87" t="str">
        <x:v>clean</x:v>
      </x:c>
      <x:c r="AK4722" s="87" t="str">
        <x:v>clean-v0.08</x:v>
      </x:c>
      <x:c r="AL4722" s="87" t="str">
        <x:v>statgrad_clean_continuation_v0_08(1).xlsx</x:v>
      </x:c>
      <x:c r="AM4722" s="87" t="str">
        <x:v>BIO_Dec_V2</x:v>
      </x:c>
      <x:c r="AN4722" s="87" t="n">
        <x:v>15</x:v>
      </x:c>
    </x:row>
    <x:row r="4723">
      <x:c r="A4723" s="87" t="n">
        <x:v>4722</x:v>
      </x:c>
      <x:c r="B4723" s="87" t="str">
        <x:v>DEC-BIO-02-015</x:v>
      </x:c>
      <x:c r="C4723" s="87" t="str">
        <x:v>СтатГрад</x:v>
      </x:c>
      <x:c r="D4723" s="87" t="str">
        <x:v>Декабрь 2025</x:v>
      </x:c>
      <x:c r="E4723" s="87"/>
      <x:c r="F4723" s="87"/>
      <x:c r="G4723" s="87" t="str">
        <x:v>Биология</x:v>
      </x:c>
      <x:c r="H4723" s="87" t="n">
        <x:v>11</x:v>
      </x:c>
      <x:c r="I4723" s="87" t="str">
        <x:v>ТР №2</x:v>
      </x:c>
      <x:c r="J4723" s="87" t="str">
        <x:v>БИ2510202</x:v>
      </x:c>
      <x:c r="K4723" s="87" t="n">
        <x:v>15</x:v>
      </x:c>
      <x:c r="L4723" s="87" t="str">
        <x:v>Множественный выбор</x:v>
      </x:c>
      <x:c r="M4723" s="30" t="str">
        <x:v>Выберите три верно обозначенные подписи к рисунку, на котором
     изображены органы пищеварительной системы человека. Запишите цифры,
     под которыми они указаны.
     1) поджелудочная железа
     2) толстый кишечник
     3) двенадцатиперстная кишка
     4) тощая кишка
     5) аппендикс
     6) прямая кишка
     Ответ:</x:v>
      </x:c>
      <x:c r="N4723" s="30" t="str">
        <x:v>256</x:v>
      </x:c>
      <x:c r="O4723" s="30" t="str">
        <x:v>Все шесть утверждений проверены по биологическим признакам; выбраны три корректные позиции.</x:v>
      </x:c>
      <x:c r="P4723" s="30" t="str">
        <x:v>Условие и визуал просмотрены; ответ проверен по биологической логике/расчёту и сопоставлен с каноническим источником.</x:v>
      </x:c>
      <x:c r="Q4723" s="30"/>
      <x:c r="R4723" s="30" t="str">
        <x:v>256</x:v>
      </x:c>
      <x:c r="S4723" s="30"/>
      <x:c r="T4723" s="30" t="str">
        <x:v>Kriterii_BI11_19122025.pdf</x:v>
      </x:c>
      <x:c r="U4723" s="30" t="str">
        <x:v>Вторичная крупная картинка не является канонической и исключена из ответа.</x:v>
      </x:c>
      <x:c r="V4723" s="87" t="str">
        <x:v>VERIFIED</x:v>
      </x:c>
      <x:c r="W4723" s="87"/>
      <x:c r="X4723" s="87" t="n">
        <x:v>23</x:v>
      </x:c>
      <x:c r="Y4723" s="87"/>
      <x:c r="Z4723" s="87"/>
      <x:c r="AA4723" s="87"/>
      <x:c r="AB4723" s="87" t="str">
        <x:v>1</x:v>
      </x:c>
      <x:c r="AC4723" s="87" t="str">
        <x:v>VIS-BIO-DEC-TASK-12-P023</x:v>
      </x:c>
      <x:c r="AD4723" s="87" t="str">
        <x:v>VIS-BIO-DEC-CRIT-12-P001</x:v>
      </x:c>
      <x:c r="AE4723" s="87" t="str">
        <x:v>TASK; CRIT</x:v>
      </x:c>
      <x:c r="AF4723" s="87" t="str">
        <x:v>VIS-BIO-DEC-TASK-12-P023: 23; VIS-BIO-DEC-CRIT-12-P001: 1</x:v>
      </x:c>
      <x:c r="AG4723" s="87" t="str">
        <x:v>RESOLVED</x:v>
      </x:c>
      <x:c r="AH4723" s="87" t="str">
        <x:v>CROP_VERIFIED</x:v>
      </x:c>
      <x:c r="AI4723" s="30"/>
      <x:c r="AJ4723" s="87" t="str">
        <x:v>clean</x:v>
      </x:c>
      <x:c r="AK4723" s="87" t="str">
        <x:v>clean-v0.08</x:v>
      </x:c>
      <x:c r="AL4723" s="87" t="str">
        <x:v>statgrad_clean_continuation_v0_08(1).xlsx</x:v>
      </x:c>
      <x:c r="AM4723" s="87" t="str">
        <x:v>BIO_Dec_V2</x:v>
      </x:c>
      <x:c r="AN4723" s="87" t="n">
        <x:v>16</x:v>
      </x:c>
    </x:row>
    <x:row r="4724">
      <x:c r="A4724" s="87" t="n">
        <x:v>4723</x:v>
      </x:c>
      <x:c r="B4724" s="87" t="str">
        <x:v>DEC-BIO-02-016</x:v>
      </x:c>
      <x:c r="C4724" s="87" t="str">
        <x:v>СтатГрад</x:v>
      </x:c>
      <x:c r="D4724" s="87" t="str">
        <x:v>Декабрь 2025</x:v>
      </x:c>
      <x:c r="E4724" s="87"/>
      <x:c r="F4724" s="87"/>
      <x:c r="G4724" s="87" t="str">
        <x:v>Биология</x:v>
      </x:c>
      <x:c r="H4724" s="87" t="n">
        <x:v>11</x:v>
      </x:c>
      <x:c r="I4724" s="87" t="str">
        <x:v>ТР №2</x:v>
      </x:c>
      <x:c r="J4724" s="87" t="str">
        <x:v>БИ2510202</x:v>
      </x:c>
      <x:c r="K4724" s="87" t="n">
        <x:v>16</x:v>
      </x:c>
      <x:c r="L4724" s="87" t="str">
        <x:v>Установление последовательности</x:v>
      </x:c>
      <x:c r="M4724" s="30" t="str">
        <x:v>Установите    последовательность  этапов    формирования    условного
     слюноотделительного рефлекса у собаки в ответ на звуковой сигнал.
     Запишите в таблицу соответствующую последовательность цифр.
     1) многократное повторение условного и безусловного раздражителей
     2) формирование временной связи в коре головного мозга
     3) первичное предъявление звукового сигнала
     4) стабилизация условного рефлекса
     5) одновременная подача звука и пищи
     Ответ:</x:v>
      </x:c>
      <x:c r="N4724" s="30" t="str">
        <x:v>35124</x:v>
      </x:c>
      <x:c r="O4724" s="30" t="str">
        <x:v>Этапы упорядочены по причинно-временной либо систематической последовательности.</x:v>
      </x:c>
      <x:c r="P4724" s="30" t="str">
        <x:v>Условие и визуал просмотрены; ответ проверен по биологической логике/расчёту и сопоставлен с каноническим источником.</x:v>
      </x:c>
      <x:c r="Q4724" s="30"/>
      <x:c r="R4724" s="30" t="str">
        <x:v>35124</x:v>
      </x:c>
      <x:c r="S4724" s="30"/>
      <x:c r="T4724" s="30" t="str">
        <x:v>Kriterii_BI11_19122025.pdf</x:v>
      </x:c>
      <x:c r="U4724" s="30" t="str">
        <x:v>Расхождений с каноническим источником нет.</x:v>
      </x:c>
      <x:c r="V4724" s="87" t="str">
        <x:v>VERIFIED</x:v>
      </x:c>
      <x:c r="W4724" s="87"/>
      <x:c r="X4724" s="87" t="n">
        <x:v>23</x:v>
      </x:c>
      <x:c r="Y4724" s="87"/>
      <x:c r="Z4724" s="87"/>
      <x:c r="AA4724" s="87"/>
      <x:c r="AB4724" s="87" t="str">
        <x:v>1</x:v>
      </x:c>
      <x:c r="AC4724" s="87" t="str">
        <x:v>VIS-BIO-DEC-TASK-12-P023</x:v>
      </x:c>
      <x:c r="AD4724" s="87" t="str">
        <x:v>VIS-BIO-DEC-CRIT-12-P001</x:v>
      </x:c>
      <x:c r="AE4724" s="87" t="str">
        <x:v>TASK; CRIT</x:v>
      </x:c>
      <x:c r="AF4724" s="87" t="str">
        <x:v>VIS-BIO-DEC-TASK-12-P023: 23; VIS-BIO-DEC-CRIT-12-P001: 1</x:v>
      </x:c>
      <x:c r="AG4724" s="87" t="str">
        <x:v>RESOLVED</x:v>
      </x:c>
      <x:c r="AH4724" s="87" t="str">
        <x:v>CROP_VERIFIED</x:v>
      </x:c>
      <x:c r="AI4724" s="30"/>
      <x:c r="AJ4724" s="87" t="str">
        <x:v>clean</x:v>
      </x:c>
      <x:c r="AK4724" s="87" t="str">
        <x:v>clean-v0.08</x:v>
      </x:c>
      <x:c r="AL4724" s="87" t="str">
        <x:v>statgrad_clean_continuation_v0_08(1).xlsx</x:v>
      </x:c>
      <x:c r="AM4724" s="87" t="str">
        <x:v>BIO_Dec_V2</x:v>
      </x:c>
      <x:c r="AN4724" s="87" t="n">
        <x:v>17</x:v>
      </x:c>
    </x:row>
    <x:row r="4725">
      <x:c r="A4725" s="87" t="n">
        <x:v>4724</x:v>
      </x:c>
      <x:c r="B4725" s="87" t="str">
        <x:v>DEC-BIO-02-017</x:v>
      </x:c>
      <x:c r="C4725" s="87" t="str">
        <x:v>СтатГрад</x:v>
      </x:c>
      <x:c r="D4725" s="87" t="str">
        <x:v>Декабрь 2025</x:v>
      </x:c>
      <x:c r="E4725" s="87"/>
      <x:c r="F4725" s="87"/>
      <x:c r="G4725" s="87" t="str">
        <x:v>Биология</x:v>
      </x:c>
      <x:c r="H4725" s="87" t="n">
        <x:v>11</x:v>
      </x:c>
      <x:c r="I4725" s="87" t="str">
        <x:v>ТР №2</x:v>
      </x:c>
      <x:c r="J4725" s="87" t="str">
        <x:v>БИ2510202</x:v>
      </x:c>
      <x:c r="K4725" s="87" t="n">
        <x:v>17</x:v>
      </x:c>
      <x:c r="L4725" s="87" t="str">
        <x:v>Анализ биологического текста</x:v>
      </x:c>
      <x:c r="M4725" s="30" t="str">
        <x:v>Прочитайте текст. Выберите три предложения, в которых даны примеры
     стабилизирующего отбора. Запишите в таблицу цифры, под которыми
     они указаны.
     (1)У стрекоз самцы с очень длинными крыльями плохо управляют полётом,
     а с короткими – не способны догонять самку, поэтому чаще выживают особи
     со средними размерами крыльев. (2)В засушливые годы у популяции
     воробьёв преимущество получают особи с более массивным клювом,
     способным раскалывать твёрдые семена. (3)Среди новорождённых чаще
     выживают дети весом 2,5–4 кг, а младенцы с отклонением от указанной
     нормы погибают чаще. (4)У морских иглокожих на протяжении многих
     поколений сохраняется постоянная форма тела, оптимально подходящая для
     жизни на дне. (5)Из-за мутаций и действия направленного отбора у бактерий
     постоянно появляются новые штаммы, устойчивые к антибиотикам.
     (6)В результате антропогенного загрязнения леса у бабочек началось
     преимущественное выживание тёмноокрашенных особей.
     Ответ:</x:v>
      </x:c>
      <x:c r="N4725" s="30" t="str">
        <x:v>134</x:v>
      </x:c>
      <x:c r="O4725" s="30" t="str">
        <x:v>Примеры в тексте классифицированы по указанной форме отбора/эволюции.</x:v>
      </x:c>
      <x:c r="P4725" s="30" t="str">
        <x:v>Условие и визуал просмотрены; ответ проверен по биологической логике/расчёту и сопоставлен с каноническим источником.</x:v>
      </x:c>
      <x:c r="Q4725" s="30"/>
      <x:c r="R4725" s="30" t="str">
        <x:v>134</x:v>
      </x:c>
      <x:c r="S4725" s="30"/>
      <x:c r="T4725" s="30" t="str">
        <x:v>Kriterii_BI11_19122025.pdf</x:v>
      </x:c>
      <x:c r="U4725" s="30" t="str">
        <x:v>Расхождений с каноническим источником нет.</x:v>
      </x:c>
      <x:c r="V4725" s="87" t="str">
        <x:v>VERIFIED</x:v>
      </x:c>
      <x:c r="W4725" s="87"/>
      <x:c r="X4725" s="87" t="n">
        <x:v>24</x:v>
      </x:c>
      <x:c r="Y4725" s="87"/>
      <x:c r="Z4725" s="87"/>
      <x:c r="AA4725" s="87"/>
      <x:c r="AB4725" s="87" t="str">
        <x:v>1</x:v>
      </x:c>
      <x:c r="AC4725" s="87" t="str">
        <x:v>VIS-BIO-DEC-TASK-12-P024</x:v>
      </x:c>
      <x:c r="AD4725" s="87" t="str">
        <x:v>VIS-BIO-DEC-CRIT-12-P001</x:v>
      </x:c>
      <x:c r="AE4725" s="87" t="str">
        <x:v>TASK; CRIT</x:v>
      </x:c>
      <x:c r="AF4725" s="87" t="str">
        <x:v>VIS-BIO-DEC-TASK-12-P024: 24; VIS-BIO-DEC-CRIT-12-P001: 1</x:v>
      </x:c>
      <x:c r="AG4725" s="87" t="str">
        <x:v>RESOLVED</x:v>
      </x:c>
      <x:c r="AH4725" s="87" t="str">
        <x:v>CROP_VERIFIED</x:v>
      </x:c>
      <x:c r="AI4725" s="30"/>
      <x:c r="AJ4725" s="87" t="str">
        <x:v>clean</x:v>
      </x:c>
      <x:c r="AK4725" s="87" t="str">
        <x:v>clean-v0.08</x:v>
      </x:c>
      <x:c r="AL4725" s="87" t="str">
        <x:v>statgrad_clean_continuation_v0_08(1).xlsx</x:v>
      </x:c>
      <x:c r="AM4725" s="87" t="str">
        <x:v>BIO_Dec_V2</x:v>
      </x:c>
      <x:c r="AN4725" s="87" t="n">
        <x:v>18</x:v>
      </x:c>
    </x:row>
    <x:row r="4726">
      <x:c r="A4726" s="87" t="n">
        <x:v>4725</x:v>
      </x:c>
      <x:c r="B4726" s="87" t="str">
        <x:v>DEC-BIO-02-018</x:v>
      </x:c>
      <x:c r="C4726" s="87" t="str">
        <x:v>СтатГрад</x:v>
      </x:c>
      <x:c r="D4726" s="87" t="str">
        <x:v>Декабрь 2025</x:v>
      </x:c>
      <x:c r="E4726" s="87"/>
      <x:c r="F4726" s="87"/>
      <x:c r="G4726" s="87" t="str">
        <x:v>Биология</x:v>
      </x:c>
      <x:c r="H4726" s="87" t="n">
        <x:v>11</x:v>
      </x:c>
      <x:c r="I4726" s="87" t="str">
        <x:v>ТР №2</x:v>
      </x:c>
      <x:c r="J4726" s="87" t="str">
        <x:v>БИ2510202</x:v>
      </x:c>
      <x:c r="K4726" s="87" t="n">
        <x:v>18</x:v>
      </x:c>
      <x:c r="L4726" s="87" t="str">
        <x:v>Множественный выбор</x:v>
      </x:c>
      <x:c r="M4726" s="30" t="str">
        <x:v>Выберите три верных ответа и запишите в таблицу цифры, под которыми
     они указаны.
     Какую роль в экосистемах играют растения?
     1) являются редуцентами
     2) составляют первый трофический уровень
     3) образуют первичную биологическую продукцию
     4) аккумулируют солнечную энергию
     5) являются гетеротрофами
     6) минерализуют органические вещества
     Ответ:</x:v>
      </x:c>
      <x:c r="N4726" s="30" t="str">
        <x:v>234</x:v>
      </x:c>
      <x:c r="O4726" s="30" t="str">
        <x:v>Все шесть утверждений проверены по биологическим признакам; выбраны три корректные позиции.</x:v>
      </x:c>
      <x:c r="P4726" s="30" t="str">
        <x:v>Условие и визуал просмотрены; ответ проверен по биологической логике/расчёту и сопоставлен с каноническим источником.</x:v>
      </x:c>
      <x:c r="Q4726" s="30"/>
      <x:c r="R4726" s="30" t="str">
        <x:v>234</x:v>
      </x:c>
      <x:c r="S4726" s="30"/>
      <x:c r="T4726" s="30" t="str">
        <x:v>Kriterii_BI11_19122025.pdf</x:v>
      </x:c>
      <x:c r="U4726" s="30" t="str">
        <x:v>Расхождений с каноническим источником нет.</x:v>
      </x:c>
      <x:c r="V4726" s="87" t="str">
        <x:v>VERIFIED</x:v>
      </x:c>
      <x:c r="W4726" s="87"/>
      <x:c r="X4726" s="87" t="n">
        <x:v>24</x:v>
      </x:c>
      <x:c r="Y4726" s="87"/>
      <x:c r="Z4726" s="87"/>
      <x:c r="AA4726" s="87"/>
      <x:c r="AB4726" s="87" t="str">
        <x:v>1</x:v>
      </x:c>
      <x:c r="AC4726" s="87" t="str">
        <x:v>VIS-BIO-DEC-TASK-12-P024</x:v>
      </x:c>
      <x:c r="AD4726" s="87" t="str">
        <x:v>VIS-BIO-DEC-CRIT-12-P001</x:v>
      </x:c>
      <x:c r="AE4726" s="87" t="str">
        <x:v>TASK; CRIT</x:v>
      </x:c>
      <x:c r="AF4726" s="87" t="str">
        <x:v>VIS-BIO-DEC-TASK-12-P024: 24; VIS-BIO-DEC-CRIT-12-P001: 1</x:v>
      </x:c>
      <x:c r="AG4726" s="87" t="str">
        <x:v>RESOLVED</x:v>
      </x:c>
      <x:c r="AH4726" s="87" t="str">
        <x:v>CROP_VERIFIED</x:v>
      </x:c>
      <x:c r="AI4726" s="30"/>
      <x:c r="AJ4726" s="87" t="str">
        <x:v>clean</x:v>
      </x:c>
      <x:c r="AK4726" s="87" t="str">
        <x:v>clean-v0.08</x:v>
      </x:c>
      <x:c r="AL4726" s="87" t="str">
        <x:v>statgrad_clean_continuation_v0_08(1).xlsx</x:v>
      </x:c>
      <x:c r="AM4726" s="87" t="str">
        <x:v>BIO_Dec_V2</x:v>
      </x:c>
      <x:c r="AN4726" s="87" t="n">
        <x:v>19</x:v>
      </x:c>
    </x:row>
    <x:row r="4727">
      <x:c r="A4727" s="87" t="n">
        <x:v>4726</x:v>
      </x:c>
      <x:c r="B4727" s="87" t="str">
        <x:v>DEC-BIO-02-019</x:v>
      </x:c>
      <x:c r="C4727" s="87" t="str">
        <x:v>СтатГрад</x:v>
      </x:c>
      <x:c r="D4727" s="87" t="str">
        <x:v>Декабрь 2025</x:v>
      </x:c>
      <x:c r="E4727" s="87"/>
      <x:c r="F4727" s="87"/>
      <x:c r="G4727" s="87" t="str">
        <x:v>Биология</x:v>
      </x:c>
      <x:c r="H4727" s="87" t="n">
        <x:v>11</x:v>
      </x:c>
      <x:c r="I4727" s="87" t="str">
        <x:v>ТР №2</x:v>
      </x:c>
      <x:c r="J4727" s="87" t="str">
        <x:v>БИ2510202</x:v>
      </x:c>
      <x:c r="K4727" s="87" t="n">
        <x:v>19</x:v>
      </x:c>
      <x:c r="L4727" s="87" t="str">
        <x:v>Установление соответствия</x:v>
      </x:c>
      <x:c r="M4727" s="30" t="str">
        <x:v>Установите соответствие между предметами изучения и разделами биологии:
     к каждой позиции, данной в первом столбце, подберите соответствующую
     позицию из второго столбца.
               ПРЕДМЕТ ИЗУЧЕНИЯ                                РАЗДЕЛ БИОЛОГИИ
     А) правило Аллена                                     1) палеонтология
     Б) эволюционные ряды                                  2) биогеография
     В) равновесие Харди – Вайнберга                       3) популяционная генетика
     Г) отпечатки растений в горных породах
     Д) генофонд группы особей
     Е) ареалы реликтовых видов
     Запишите в таблицу выбранные цифры под соответствующими буквами.
                А Б В Г Д Е
     Ответ:</x:v>
      </x:c>
      <x:c r="N4727" s="30" t="str">
        <x:v>213132</x:v>
      </x:c>
      <x:c r="O4727" s="30" t="str">
        <x:v>Каждая характеристика сопоставлена с обозначенной структурой/категорией; последовательность подтверждена официальным ключом.</x:v>
      </x:c>
      <x:c r="P4727" s="30" t="str">
        <x:v>Условие и визуал просмотрены; ответ проверен по биологической логике/расчёту и сопоставлен с каноническим источником.</x:v>
      </x:c>
      <x:c r="Q4727" s="30"/>
      <x:c r="R4727" s="30" t="str">
        <x:v>213132</x:v>
      </x:c>
      <x:c r="S4727" s="30"/>
      <x:c r="T4727" s="30" t="str">
        <x:v>Kriterii_BI11_19122025.pdf</x:v>
      </x:c>
      <x:c r="U4727" s="30" t="str">
        <x:v>Расхождений с каноническим источником нет.</x:v>
      </x:c>
      <x:c r="V4727" s="87" t="str">
        <x:v>VERIFIED</x:v>
      </x:c>
      <x:c r="W4727" s="87"/>
      <x:c r="X4727" s="87" t="n">
        <x:v>25</x:v>
      </x:c>
      <x:c r="Y4727" s="87"/>
      <x:c r="Z4727" s="87"/>
      <x:c r="AA4727" s="87"/>
      <x:c r="AB4727" s="87" t="str">
        <x:v>1</x:v>
      </x:c>
      <x:c r="AC4727" s="87" t="str">
        <x:v>VIS-BIO-DEC-TASK-12-P025</x:v>
      </x:c>
      <x:c r="AD4727" s="87" t="str">
        <x:v>VIS-BIO-DEC-CRIT-12-P001</x:v>
      </x:c>
      <x:c r="AE4727" s="87" t="str">
        <x:v>TASK; CRIT</x:v>
      </x:c>
      <x:c r="AF4727" s="87" t="str">
        <x:v>VIS-BIO-DEC-TASK-12-P025: 25; VIS-BIO-DEC-CRIT-12-P001: 1</x:v>
      </x:c>
      <x:c r="AG4727" s="87" t="str">
        <x:v>RESOLVED</x:v>
      </x:c>
      <x:c r="AH4727" s="87" t="str">
        <x:v>CROP_VERIFIED</x:v>
      </x:c>
      <x:c r="AI4727" s="30"/>
      <x:c r="AJ4727" s="87" t="str">
        <x:v>clean</x:v>
      </x:c>
      <x:c r="AK4727" s="87" t="str">
        <x:v>clean-v0.08</x:v>
      </x:c>
      <x:c r="AL4727" s="87" t="str">
        <x:v>statgrad_clean_continuation_v0_08(1).xlsx</x:v>
      </x:c>
      <x:c r="AM4727" s="87" t="str">
        <x:v>BIO_Dec_V2</x:v>
      </x:c>
      <x:c r="AN4727" s="87" t="n">
        <x:v>20</x:v>
      </x:c>
    </x:row>
    <x:row r="4728">
      <x:c r="A4728" s="87" t="n">
        <x:v>4727</x:v>
      </x:c>
      <x:c r="B4728" s="87" t="str">
        <x:v>DEC-BIO-02-020</x:v>
      </x:c>
      <x:c r="C4728" s="87" t="str">
        <x:v>СтатГрад</x:v>
      </x:c>
      <x:c r="D4728" s="87" t="str">
        <x:v>Декабрь 2025</x:v>
      </x:c>
      <x:c r="E4728" s="87"/>
      <x:c r="F4728" s="87"/>
      <x:c r="G4728" s="87" t="str">
        <x:v>Биология</x:v>
      </x:c>
      <x:c r="H4728" s="87" t="n">
        <x:v>11</x:v>
      </x:c>
      <x:c r="I4728" s="87" t="str">
        <x:v>ТР №2</x:v>
      </x:c>
      <x:c r="J4728" s="87" t="str">
        <x:v>БИ2510202</x:v>
      </x:c>
      <x:c r="K4728" s="87" t="n">
        <x:v>20</x:v>
      </x:c>
      <x:c r="L4728" s="87" t="str">
        <x:v>Заполнение таблицы по рисунку</x:v>
      </x:c>
      <x:c r="M4728" s="30" t="str">
        <x:v>Рассмотрите процесс добычи полезного ископаемого, изображённый
     на рисунке.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Полезное ископаемое Тип природного ресурса   Вещество биосферы
     _________________(А) ___________________(Б) ___________________(В)
     Список элементов
     1) косное
     2) торф
     3) исчерпаемый возобновляемый
     4) нефть
     5) неисчерпаемый
     6) карбонаты
     7) биогенное
     8) исчерпаемый невозобновляемый
     Запишите в таблицу выбранные цифры под соответствующими буквами.
                А Б В
     Ответ:</x:v>
      </x:c>
      <x:c r="N4728" s="30" t="str">
        <x:v>487</x:v>
      </x:c>
      <x:c r="O4728" s="30" t="str">
        <x:v>Изображённый объект и его признаки сопоставлены с элементами списка.</x:v>
      </x:c>
      <x:c r="P4728" s="30" t="str">
        <x:v>Условие и визуал просмотрены; ответ проверен по биологической логике/расчёту и сопоставлен с каноническим источником.</x:v>
      </x:c>
      <x:c r="Q4728" s="30"/>
      <x:c r="R4728" s="30" t="str">
        <x:v>487</x:v>
      </x:c>
      <x:c r="S4728" s="30"/>
      <x:c r="T4728" s="30" t="str">
        <x:v>Kriterii_BI11_19122025.pdf</x:v>
      </x:c>
      <x:c r="U4728" s="30" t="str">
        <x:v>Расхождений с каноническим источником нет.</x:v>
      </x:c>
      <x:c r="V4728" s="87" t="str">
        <x:v>VERIFIED</x:v>
      </x:c>
      <x:c r="W4728" s="87"/>
      <x:c r="X4728" s="87" t="n">
        <x:v>25</x:v>
      </x:c>
      <x:c r="Y4728" s="87"/>
      <x:c r="Z4728" s="87"/>
      <x:c r="AA4728" s="87"/>
      <x:c r="AB4728" s="87" t="str">
        <x:v>1</x:v>
      </x:c>
      <x:c r="AC4728" s="87" t="str">
        <x:v>VIS-BIO-DEC-TASK-12-P025</x:v>
      </x:c>
      <x:c r="AD4728" s="87" t="str">
        <x:v>VIS-BIO-DEC-CRIT-12-P001</x:v>
      </x:c>
      <x:c r="AE4728" s="87" t="str">
        <x:v>TASK; CRIT</x:v>
      </x:c>
      <x:c r="AF4728" s="87" t="str">
        <x:v>VIS-BIO-DEC-TASK-12-P025: 25; VIS-BIO-DEC-CRIT-12-P001: 1</x:v>
      </x:c>
      <x:c r="AG4728" s="87" t="str">
        <x:v>RESOLVED</x:v>
      </x:c>
      <x:c r="AH4728" s="87" t="str">
        <x:v>CROP_VERIFIED; TASK_CROP_QA_APPROVED:USE_TIGHT</x:v>
      </x:c>
      <x:c r="AI4728" s="30"/>
      <x:c r="AJ4728" s="87" t="str">
        <x:v>clean</x:v>
      </x:c>
      <x:c r="AK4728" s="87" t="str">
        <x:v>clean-v0.08</x:v>
      </x:c>
      <x:c r="AL4728" s="87" t="str">
        <x:v>statgrad_clean_continuation_v0_08(1).xlsx</x:v>
      </x:c>
      <x:c r="AM4728" s="87" t="str">
        <x:v>BIO_Dec_V2</x:v>
      </x:c>
      <x:c r="AN4728" s="87" t="n">
        <x:v>21</x:v>
      </x:c>
    </x:row>
    <x:row r="4729">
      <x:c r="A4729" s="87" t="n">
        <x:v>4728</x:v>
      </x:c>
      <x:c r="B4729" s="87" t="str">
        <x:v>DEC-BIO-02-021</x:v>
      </x:c>
      <x:c r="C4729" s="87" t="str">
        <x:v>СтатГрад</x:v>
      </x:c>
      <x:c r="D4729" s="87" t="str">
        <x:v>Декабрь 2025</x:v>
      </x:c>
      <x:c r="E4729" s="87"/>
      <x:c r="F4729" s="87"/>
      <x:c r="G4729" s="87" t="str">
        <x:v>Биология</x:v>
      </x:c>
      <x:c r="H4729" s="87" t="n">
        <x:v>11</x:v>
      </x:c>
      <x:c r="I4729" s="87" t="str">
        <x:v>ТР №2</x:v>
      </x:c>
      <x:c r="J4729" s="87" t="str">
        <x:v>БИ2510202</x:v>
      </x:c>
      <x:c r="K4729" s="87" t="n">
        <x:v>21</x:v>
      </x:c>
      <x:c r="L4729" s="87" t="str">
        <x:v>Анализ графика/диаграммы</x:v>
      </x:c>
      <x:c r="M4729" s="30" t="str">
        <x:v>Проанализируйте график «Субъективная                   оценка     болевого     синдрома
     пациентами в процессе терапии»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При отсутствии терапии болевой синдром не снижался.
     2) В покое пациенты испытывают более слабую боль, чем при движении.
     3) К шестому месяцу терапии болевой синдром сильно снижается.
     4) Завершение курса раньше, чем через 6 месяцев терапии, приведёт
        к возвращению болевого синдрома к исходным значениям.
     5) Пациенты во время терапии старались двигаться меньше из-за
        испытываемой боли.
     Ответ: ___________________________.
                                    Часть 2
     Для записи ответов на задания этой части (22–28) используйте чистый
     лист. Запишите сначала номер задания (22, 23 и т. д.), а затем –
     развёрнутый ответ на него. Ответы записывайте чётко и разборчиво.
     Прочитайте описание эксперимента и выполните задания 22 и 23.
     Учёный изучал активность альфа-амилазы плазмы крови пациентов
     с метаболическим синдромом. Для этого у групп пациентов с разной
     степенью метаболического синдрома определялась активность альфа-
     амилазы. По результатам учёный построил график.</x:v>
      </x:c>
      <x:c r="N4729" s="30" t="str">
        <x:v>23</x:v>
      </x:c>
      <x:c r="O4729" s="30" t="str">
        <x:v>Утверждения проверены только по данным графика/диаграммы без добавления внешних предположений.</x:v>
      </x:c>
      <x:c r="P4729" s="30" t="str">
        <x:v>Условие и визуал просмотрены; ответ проверен по биологической логике/расчёту и сопоставлен с каноническим источником.</x:v>
      </x:c>
      <x:c r="Q4729" s="30"/>
      <x:c r="R4729" s="30" t="str">
        <x:v>23</x:v>
      </x:c>
      <x:c r="S4729" s="30"/>
      <x:c r="T4729" s="30" t="str">
        <x:v>Kriterii_BI11_19122025.pdf</x:v>
      </x:c>
      <x:c r="U4729" s="30" t="str">
        <x:v>Расхождений с каноническим источником нет.</x:v>
      </x:c>
      <x:c r="V4729" s="87" t="str">
        <x:v>VERIFIED</x:v>
      </x:c>
      <x:c r="W4729" s="87"/>
      <x:c r="X4729" s="87" t="n">
        <x:v>26</x:v>
      </x:c>
      <x:c r="Y4729" s="87"/>
      <x:c r="Z4729" s="87"/>
      <x:c r="AA4729" s="87"/>
      <x:c r="AB4729" s="87" t="str">
        <x:v>1</x:v>
      </x:c>
      <x:c r="AC4729" s="87" t="str">
        <x:v>VIS-BIO-DEC-TASK-12-P026</x:v>
      </x:c>
      <x:c r="AD4729" s="87" t="str">
        <x:v>VIS-BIO-DEC-CRIT-12-P001</x:v>
      </x:c>
      <x:c r="AE4729" s="87" t="str">
        <x:v>TASK; CRIT</x:v>
      </x:c>
      <x:c r="AF4729" s="87" t="str">
        <x:v>VIS-BIO-DEC-TASK-12-P026: 26; VIS-BIO-DEC-CRIT-12-P001: 1</x:v>
      </x:c>
      <x:c r="AG4729" s="87" t="str">
        <x:v>RESOLVED</x:v>
      </x:c>
      <x:c r="AH4729" s="87" t="str">
        <x:v>CROP_VERIFIED</x:v>
      </x:c>
      <x:c r="AI4729" s="30"/>
      <x:c r="AJ4729" s="87" t="str">
        <x:v>clean</x:v>
      </x:c>
      <x:c r="AK4729" s="87" t="str">
        <x:v>clean-v0.08</x:v>
      </x:c>
      <x:c r="AL4729" s="87" t="str">
        <x:v>statgrad_clean_continuation_v0_08(1).xlsx</x:v>
      </x:c>
      <x:c r="AM4729" s="87" t="str">
        <x:v>BIO_Dec_V2</x:v>
      </x:c>
      <x:c r="AN4729" s="87" t="n">
        <x:v>22</x:v>
      </x:c>
    </x:row>
    <x:row r="4730">
      <x:c r="A4730" s="87" t="n">
        <x:v>4729</x:v>
      </x:c>
      <x:c r="B4730" s="87" t="str">
        <x:v>DEC-BIO-02-022</x:v>
      </x:c>
      <x:c r="C4730" s="87" t="str">
        <x:v>СтатГрад</x:v>
      </x:c>
      <x:c r="D4730" s="87" t="str">
        <x:v>Декабрь 2025</x:v>
      </x:c>
      <x:c r="E4730" s="87"/>
      <x:c r="F4730" s="87"/>
      <x:c r="G4730" s="87" t="str">
        <x:v>Биология</x:v>
      </x:c>
      <x:c r="H4730" s="87" t="n">
        <x:v>11</x:v>
      </x:c>
      <x:c r="I4730" s="87" t="str">
        <x:v>ТР №2</x:v>
      </x:c>
      <x:c r="J4730" s="87" t="str">
        <x:v>БИ2510202</x:v>
      </x:c>
      <x:c r="K4730" s="87" t="n">
        <x:v>22</x:v>
      </x:c>
      <x:c r="L4730" s="87" t="str">
        <x:v>Методология эксперимента</x:v>
      </x:c>
      <x:c r="M4730" s="30" t="str">
        <x:v>Какая переменная в этом эксперименте будет независимой (задаваемой),
     а какая – зависимой (изменяющейся)? Объясните, как в данном эксперименте
     можно поставить отрицательный контроль*? С какой целью необходимо
     такой контроль ставить?
     (*Отрицательный контроль — это экспериментальный контроль,
     при котором изучаемый объект не подвергается экспериментальному
     воздействию).</x:v>
      </x:c>
      <x:c r="N4730" s="30" t="str">
        <x:v>1) зависимая переменная (изменяющаяся в эксперименте) – активность альфа-амилазы; независимая переменная (задаваемая экспериментатором) – степень метаболического синдрома (курение пациентов); 2) необходимо измерить активность альфа-амилазы (плазмы крови) у (курящих и некурящих) пациентов без метаболического синдрома; 3) остальные параметры необходимо оставить без изменений; 4) такой контроль позволяет установить, действительно ли метаболический синдром (курение пациентов) влияет на активность альфа-амилазы (плазмы крови) ИЛИ 4) действительно ли активность альфа-амилазы (плазмы крови) зависит от степени метаболического синдрома (курения) пациентов.</x:v>
      </x:c>
      <x:c r="O4730" s="30" t="str">
        <x:v>Все обязательные смысловые элементы сопоставлены с условием; модель сверена с официальными критериями и парным вариантом.</x:v>
      </x:c>
      <x:c r="P4730" s="30" t="str">
        <x:v>Условие и визуал просмотрены; ответ проверен по биологической логике/расчёту и сопоставлен с каноническим источником.</x:v>
      </x:c>
      <x:c r="Q4730" s="30"/>
      <x:c r="R4730" s="30" t="str">
        <x:v>1) зависимая переменная (изменяющаяся в эксперименте) – активность альфа-амилазы; независимая переменная (задаваемая экспериментатором) – степень метаболического синдрома (курение пациентов); 2) необходимо измерить активность альфа-амилазы (плазмы крови) у (курящих и некурящих) пациентов без метаболического синдрома; 3) остальные параметры необходимо оставить без изменений; 4) такой контроль позволяет установить, действительно ли метаболический синдром (курение пациентов) влияет на активность альфа-амилазы (плазмы крови) ИЛИ 4) действительно ли активность альфа-амилазы (плазмы крови) зависит от степени метаболического синдрома (курения) пациентов.</x:v>
      </x:c>
      <x:c r="S4730" s="30"/>
      <x:c r="T4730" s="30" t="str">
        <x:v>Kriterii_BI11_19122025.pdf</x:v>
      </x:c>
      <x:c r="U4730" s="30" t="str">
        <x:v>Расхождений с каноническим источником нет.</x:v>
      </x:c>
      <x:c r="V4730" s="87" t="str">
        <x:v>VERIFIED</x:v>
      </x:c>
      <x:c r="W4730" s="87"/>
      <x:c r="X4730" s="87" t="n">
        <x:v>27</x:v>
      </x:c>
      <x:c r="Y4730" s="87"/>
      <x:c r="Z4730" s="87"/>
      <x:c r="AA4730" s="87"/>
      <x:c r="AB4730" s="87" t="str">
        <x:v>11; 12</x:v>
      </x:c>
      <x:c r="AC4730" s="87" t="str">
        <x:v>VIS-BIO-DEC-TASK-12-P027</x:v>
      </x:c>
      <x:c r="AD4730" s="87" t="str">
        <x:v>VIS-BIO-DEC-CRIT-12-P011; VIS-BIO-DEC-CRIT-12-P012</x:v>
      </x:c>
      <x:c r="AE4730" s="87" t="str">
        <x:v>TASK; CRIT</x:v>
      </x:c>
      <x:c r="AF4730" s="87" t="str">
        <x:v>VIS-BIO-DEC-TASK-12-P027: 27; VIS-BIO-DEC-CRIT-12-P011: 11; VIS-BIO-DEC-CRIT-12-P012: 12</x:v>
      </x:c>
      <x:c r="AG4730" s="87" t="str">
        <x:v>RESOLVED</x:v>
      </x:c>
      <x:c r="AH4730" s="87" t="str">
        <x:v>CROP_VERIFIED</x:v>
      </x:c>
      <x:c r="AI4730" s="30"/>
      <x:c r="AJ4730" s="87" t="str">
        <x:v>clean</x:v>
      </x:c>
      <x:c r="AK4730" s="87" t="str">
        <x:v>clean-v0.08</x:v>
      </x:c>
      <x:c r="AL4730" s="87" t="str">
        <x:v>statgrad_clean_continuation_v0_08(1).xlsx</x:v>
      </x:c>
      <x:c r="AM4730" s="87" t="str">
        <x:v>BIO_Dec_V2</x:v>
      </x:c>
      <x:c r="AN4730" s="87" t="n">
        <x:v>23</x:v>
      </x:c>
    </x:row>
    <x:row r="4731">
      <x:c r="A4731" s="87" t="n">
        <x:v>4730</x:v>
      </x:c>
      <x:c r="B4731" s="87" t="str">
        <x:v>DEC-BIO-02-023</x:v>
      </x:c>
      <x:c r="C4731" s="87" t="str">
        <x:v>СтатГрад</x:v>
      </x:c>
      <x:c r="D4731" s="87" t="str">
        <x:v>Декабрь 2025</x:v>
      </x:c>
      <x:c r="E4731" s="87"/>
      <x:c r="F4731" s="87"/>
      <x:c r="G4731" s="87" t="str">
        <x:v>Биология</x:v>
      </x:c>
      <x:c r="H4731" s="87" t="n">
        <x:v>11</x:v>
      </x:c>
      <x:c r="I4731" s="87" t="str">
        <x:v>ТР №2</x:v>
      </x:c>
      <x:c r="J4731" s="87" t="str">
        <x:v>БИ2510202</x:v>
      </x:c>
      <x:c r="K4731" s="87" t="n">
        <x:v>23</x:v>
      </x:c>
      <x:c r="L4731" s="87" t="str">
        <x:v>Интерпретация результатов</x:v>
      </x:c>
      <x:c r="M4731" s="30" t="str">
        <x:v>Метаболический синдром – это нарушение углеводного обмена, как правило
     сопровождающееся повышением уровня сахара крови. Сформулируйте
     два вывода по результатам данного исследования. Предположите, почему
     при появлении метаболического синдрома снижается активность амилазы
     плазмы крови? Предложите два варианта.</x:v>
      </x:c>
      <x:c r="N4731" s="30" t="str">
        <x:v>1) у курящих снижена активность альфа-амилазы (плазмы крови) (в сравнении с некурящими); 2) чем выше степень метаболического синдрома, тем ниже активность альфа-амилазы (чем ниже степень метаболического синдрома, тем выше активность альфа-амилазы); 3) увеличение количества глюкозы снижает активность альфа- амилазы (чем больше продукта реакции, тем ниже активность фермента); 4) повышение уровня глюкозы крови при метаболическом синдроме сопровождается повышением уровня инсулина, который ингибирует активность альфа-амилазы плазмы крови. Ответы, обсуждающие пищеварительные ферменты (включая амилазу) оцениваются максимум в 1 балл при наличии верных элементов 1 и 2.</x:v>
      </x:c>
      <x:c r="O4731" s="30" t="str">
        <x:v>Все обязательные смысловые элементы сопоставлены с условием; модель сверена с официальными критериями и парным вариантом.</x:v>
      </x:c>
      <x:c r="P4731" s="30" t="str">
        <x:v>Условие и визуал просмотрены; ответ проверен по биологической логике/расчёту и сопоставлен с каноническим источником.</x:v>
      </x:c>
      <x:c r="Q4731" s="30"/>
      <x:c r="R4731" s="30" t="str">
        <x:v>1) у курящих снижена активность альфа-амилазы (плазмы крови) (в сравнении с некурящими); 2) чем выше степень метаболического синдрома, тем ниже активность альфа-амилазы (чем ниже степень метаболического синдрома, тем выше активность альфа-амилазы); 3) увеличение количества глюкозы снижает активность альфа- амилазы (чем больше продукта реакции, тем ниже активность фермента); 4) повышение уровня глюкозы крови при метаболическом синдроме сопровождается повышением уровня инсулина, который ингибирует активность альфа-амилазы плазмы крови. Ответы, обсуждающие пищеварительные ферменты (включая амилазу) оцениваются максимум в 1 балл при наличии верных элементов 1 и 2.</x:v>
      </x:c>
      <x:c r="S4731" s="30"/>
      <x:c r="T4731" s="30" t="str">
        <x:v>Kriterii_BI11_19122025.pdf</x:v>
      </x:c>
      <x:c r="U4731" s="30" t="str">
        <x:v>Расхождений с каноническим источником нет.</x:v>
      </x:c>
      <x:c r="V4731" s="87" t="str">
        <x:v>VERIFIED</x:v>
      </x:c>
      <x:c r="W4731" s="87"/>
      <x:c r="X4731" s="87" t="n">
        <x:v>28</x:v>
      </x:c>
      <x:c r="Y4731" s="87"/>
      <x:c r="Z4731" s="87"/>
      <x:c r="AA4731" s="87"/>
      <x:c r="AB4731" s="87" t="str">
        <x:v>12; 13</x:v>
      </x:c>
      <x:c r="AC4731" s="87" t="str">
        <x:v>VIS-BIO-DEC-TASK-12-P028</x:v>
      </x:c>
      <x:c r="AD4731" s="87" t="str">
        <x:v>VIS-BIO-DEC-CRIT-12-P012; VIS-BIO-DEC-CRIT-12-P013</x:v>
      </x:c>
      <x:c r="AE4731" s="87" t="str">
        <x:v>TASK; CRIT</x:v>
      </x:c>
      <x:c r="AF4731" s="87" t="str">
        <x:v>VIS-BIO-DEC-TASK-12-P028: 28; VIS-BIO-DEC-CRIT-12-P012: 12; VIS-BIO-DEC-CRIT-12-P013: 13</x:v>
      </x:c>
      <x:c r="AG4731" s="87" t="str">
        <x:v>RESOLVED</x:v>
      </x:c>
      <x:c r="AH4731" s="87" t="str">
        <x:v>CROP_VERIFIED</x:v>
      </x:c>
      <x:c r="AI4731" s="30"/>
      <x:c r="AJ4731" s="87" t="str">
        <x:v>clean</x:v>
      </x:c>
      <x:c r="AK4731" s="87" t="str">
        <x:v>clean-v0.08</x:v>
      </x:c>
      <x:c r="AL4731" s="87" t="str">
        <x:v>statgrad_clean_continuation_v0_08(1).xlsx</x:v>
      </x:c>
      <x:c r="AM4731" s="87" t="str">
        <x:v>BIO_Dec_V2</x:v>
      </x:c>
      <x:c r="AN4731" s="87" t="n">
        <x:v>24</x:v>
      </x:c>
    </x:row>
    <x:row r="4732">
      <x:c r="A4732" s="87" t="n">
        <x:v>4731</x:v>
      </x:c>
      <x:c r="B4732" s="87" t="str">
        <x:v>DEC-BIO-02-024</x:v>
      </x:c>
      <x:c r="C4732" s="87" t="str">
        <x:v>СтатГрад</x:v>
      </x:c>
      <x:c r="D4732" s="87" t="str">
        <x:v>Декабрь 2025</x:v>
      </x:c>
      <x:c r="E4732" s="87"/>
      <x:c r="F4732" s="87"/>
      <x:c r="G4732" s="87" t="str">
        <x:v>Биология</x:v>
      </x:c>
      <x:c r="H4732" s="87" t="n">
        <x:v>11</x:v>
      </x:c>
      <x:c r="I4732" s="87" t="str">
        <x:v>ТР №2</x:v>
      </x:c>
      <x:c r="J4732" s="87" t="str">
        <x:v>БИ2510202</x:v>
      </x:c>
      <x:c r="K4732" s="87" t="n">
        <x:v>24</x:v>
      </x:c>
      <x:c r="L4732" s="87" t="str">
        <x:v>Развёрнутый биологический анализ</x:v>
      </x:c>
      <x:c r="M4732" s="30" t="str">
        <x:v>Изучите график «Световые оптимумы различных экологических групп
     растений». Каким номером обозначен график оптимума для сциофитов –
     тенелюбивых растений? Ответ поясните. Предположите, какие отличия
     в строение покровов и количестве устьиц будут наблюдаться у светолюбивых
     наземных растений по сравнению с тенелюбивыми. Ответ поясните.</x:v>
      </x:c>
      <x:c r="N4732" s="30" t="str">
        <x:v>1) график для сциофитов обозначен номером 1; 2) оптимальным условиям для их развития является низкая освещённость (освещённость менее 50 %) ИЛИ 2) их состояние (жизнедеятельность) максимально при низкой освещённости (освещённости менее 50 %); 3) у светолюбивых растений развита кутикула (опушение); 4) кутикула (опушение) уменьшает транспирацию (испарение воды; защищает от перегрева; от ультрафиолетовых лучей; отражает свет); 5) у светолюбивых растений больше устьиц; 6) устьица обеспечивают испарение воды (способствуют охлаждению; за счёт поглощения CO₂ обеспечивают интенсивный фотосинтез).</x:v>
      </x:c>
      <x:c r="O4732" s="30" t="str">
        <x:v>Все обязательные смысловые элементы сопоставлены с условием; модель сверена с официальными критериями и парным вариантом.</x:v>
      </x:c>
      <x:c r="P4732" s="30" t="str">
        <x:v>Условие и визуал просмотрены; ответ проверен по биологической логике/расчёту и сопоставлен с каноническим источником.</x:v>
      </x:c>
      <x:c r="Q4732" s="30"/>
      <x:c r="R4732" s="30" t="str">
        <x:v>1) график для сциофитов обозначен номером 1; 2) оптимальным условиям для их развития является низкая освещённость (освещённость менее 50 %) ИЛИ 2) их состояние (жизнедеятельность) максимально при низкой освещённости (освещённости менее 50 %); 3) у светолюбивых растений развита кутикула (опушение); 4) кутикула (опушение) уменьшает транспирацию (испарение воды; защищает от перегрева; от ультрафиолетовых лучей; отражает свет); 5) у светолюбивых растений больше устьиц; 6) устьица обеспечивают испарение воды (способствуют охлаждению; за счёт поглощения CO₂ обеспечивают интенсивный фотосинтез).</x:v>
      </x:c>
      <x:c r="S4732" s="30"/>
      <x:c r="T4732" s="30" t="str">
        <x:v>Kriterii_BI11_19122025.pdf</x:v>
      </x:c>
      <x:c r="U4732" s="30" t="str">
        <x:v>Расхождений с каноническим источником нет.</x:v>
      </x:c>
      <x:c r="V4732" s="87" t="str">
        <x:v>VERIFIED</x:v>
      </x:c>
      <x:c r="W4732" s="87"/>
      <x:c r="X4732" s="87" t="n">
        <x:v>28</x:v>
      </x:c>
      <x:c r="Y4732" s="87"/>
      <x:c r="Z4732" s="87"/>
      <x:c r="AA4732" s="87"/>
      <x:c r="AB4732" s="87" t="str">
        <x:v>13; 14</x:v>
      </x:c>
      <x:c r="AC4732" s="87" t="str">
        <x:v>VIS-BIO-DEC-TASK-12-P028</x:v>
      </x:c>
      <x:c r="AD4732" s="87" t="str">
        <x:v>VIS-BIO-DEC-CRIT-12-P013; VIS-BIO-DEC-CRIT-12-P014</x:v>
      </x:c>
      <x:c r="AE4732" s="87" t="str">
        <x:v>TASK; CRIT</x:v>
      </x:c>
      <x:c r="AF4732" s="87" t="str">
        <x:v>VIS-BIO-DEC-TASK-12-P028: 28; VIS-BIO-DEC-CRIT-12-P013: 13; VIS-BIO-DEC-CRIT-12-P014: 14</x:v>
      </x:c>
      <x:c r="AG4732" s="87" t="str">
        <x:v>RESOLVED</x:v>
      </x:c>
      <x:c r="AH4732" s="87" t="str">
        <x:v>CROP_VERIFIED</x:v>
      </x:c>
      <x:c r="AI4732" s="30"/>
      <x:c r="AJ4732" s="87" t="str">
        <x:v>clean</x:v>
      </x:c>
      <x:c r="AK4732" s="87" t="str">
        <x:v>clean-v0.08</x:v>
      </x:c>
      <x:c r="AL4732" s="87" t="str">
        <x:v>statgrad_clean_continuation_v0_08(1).xlsx</x:v>
      </x:c>
      <x:c r="AM4732" s="87" t="str">
        <x:v>BIO_Dec_V2</x:v>
      </x:c>
      <x:c r="AN4732" s="87" t="n">
        <x:v>25</x:v>
      </x:c>
    </x:row>
    <x:row r="4733">
      <x:c r="A4733" s="87" t="n">
        <x:v>4732</x:v>
      </x:c>
      <x:c r="B4733" s="87" t="str">
        <x:v>DEC-BIO-02-025</x:v>
      </x:c>
      <x:c r="C4733" s="87" t="str">
        <x:v>СтатГрад</x:v>
      </x:c>
      <x:c r="D4733" s="87" t="str">
        <x:v>Декабрь 2025</x:v>
      </x:c>
      <x:c r="E4733" s="87"/>
      <x:c r="F4733" s="87"/>
      <x:c r="G4733" s="87" t="str">
        <x:v>Биология</x:v>
      </x:c>
      <x:c r="H4733" s="87" t="n">
        <x:v>11</x:v>
      </x:c>
      <x:c r="I4733" s="87" t="str">
        <x:v>ТР №2</x:v>
      </x:c>
      <x:c r="J4733" s="87" t="str">
        <x:v>БИ2510202</x:v>
      </x:c>
      <x:c r="K4733" s="87" t="n">
        <x:v>25</x:v>
      </x:c>
      <x:c r="L4733" s="87" t="str">
        <x:v>Развёрнутый биологический анализ</x:v>
      </x:c>
      <x:c r="M4733" s="30" t="str">
        <x:v>Феохромоцитома – это опухоль мозгового вещества надпочечников, клетки
     которой производят избыточное количество гормона.
     Какой гормон производит мозговое вещество надпочечников? Как развитие
     опухоли повлияет на величину артериального давления? Назовите две
     возможных причины такого влияния. Один из симптомов феохромоцитомы –
     высокий уровень глюкозы в крови. Какие биохимические процессы в печени
     и поджелудочной железе этому способствуют?</x:v>
      </x:c>
      <x:c r="N4733" s="30" t="str">
        <x:v>1) адреналин (норадреналин; дофамин; катехоламины); 2) артериальное давление поднимется; 3) адреналин вызывает сужение сосудов; 4) адреналин увеличивает сердечный выброс (стимулирует реабсорбцию воды в почках, увеличивая объём крови); 5) в печени усиливается расщепление гликогена до глюкозы (усиливается синтез глюкозы из аминокислот и других источников); 6) в поджелудочной железе снижается выработка инсулина, который понижает уровень глюкозы в крови (повышается выработка глюкагона, который повышает уровень глюкозы в крови).</x:v>
      </x:c>
      <x:c r="O4733" s="30" t="str">
        <x:v>Все обязательные смысловые элементы сопоставлены с условием; модель сверена с официальными критериями и парным вариантом.</x:v>
      </x:c>
      <x:c r="P4733" s="30" t="str">
        <x:v>Условие и визуал просмотрены; ответ проверен по биологической логике/расчёту и сопоставлен с каноническим источником.</x:v>
      </x:c>
      <x:c r="Q4733" s="30"/>
      <x:c r="R4733" s="30" t="str">
        <x:v>1) адреналин (норадреналин; дофамин; катехоламины); 2) артериальное давление поднимется; 3) адреналин вызывает сужение сосудов; 4) адреналин увеличивает сердечный выброс (стимулирует реабсорбцию воды в почках, увеличивая объём крови); 5) в печени усиливается расщепление гликогена до глюкозы (усиливается синтез глюкозы из аминокислот и других источников); 6) в поджелудочной железе снижается выработка инсулина, который понижает уровень глюкозы в крови (повышается выработка глюкагона, который повышает уровень глюкозы в крови).</x:v>
      </x:c>
      <x:c r="S4733" s="30"/>
      <x:c r="T4733" s="30" t="str">
        <x:v>Kriterii_BI11_19122025.pdf</x:v>
      </x:c>
      <x:c r="U4733" s="30" t="str">
        <x:v>Расхождений с каноническим источником нет.</x:v>
      </x:c>
      <x:c r="V4733" s="87" t="str">
        <x:v>VERIFIED</x:v>
      </x:c>
      <x:c r="W4733" s="87"/>
      <x:c r="X4733" s="87" t="n">
        <x:v>28</x:v>
      </x:c>
      <x:c r="Y4733" s="87"/>
      <x:c r="Z4733" s="87"/>
      <x:c r="AA4733" s="87"/>
      <x:c r="AB4733" s="87" t="str">
        <x:v>14; 15</x:v>
      </x:c>
      <x:c r="AC4733" s="87" t="str">
        <x:v>VIS-BIO-DEC-TASK-12-P028</x:v>
      </x:c>
      <x:c r="AD4733" s="87" t="str">
        <x:v>VIS-BIO-DEC-CRIT-12-P014; VIS-BIO-DEC-CRIT-12-P015</x:v>
      </x:c>
      <x:c r="AE4733" s="87" t="str">
        <x:v>TASK; CRIT</x:v>
      </x:c>
      <x:c r="AF4733" s="87" t="str">
        <x:v>VIS-BIO-DEC-TASK-12-P028: 28; VIS-BIO-DEC-CRIT-12-P014: 14; VIS-BIO-DEC-CRIT-12-P015: 15</x:v>
      </x:c>
      <x:c r="AG4733" s="87" t="str">
        <x:v>RESOLVED</x:v>
      </x:c>
      <x:c r="AH4733" s="87" t="str">
        <x:v>CROP_VERIFIED</x:v>
      </x:c>
      <x:c r="AI4733" s="30"/>
      <x:c r="AJ4733" s="87" t="str">
        <x:v>clean</x:v>
      </x:c>
      <x:c r="AK4733" s="87" t="str">
        <x:v>clean-v0.08</x:v>
      </x:c>
      <x:c r="AL4733" s="87" t="str">
        <x:v>statgrad_clean_continuation_v0_08(1).xlsx</x:v>
      </x:c>
      <x:c r="AM4733" s="87" t="str">
        <x:v>BIO_Dec_V2</x:v>
      </x:c>
      <x:c r="AN4733" s="87" t="n">
        <x:v>26</x:v>
      </x:c>
    </x:row>
    <x:row r="4734">
      <x:c r="A4734" s="87" t="n">
        <x:v>4733</x:v>
      </x:c>
      <x:c r="B4734" s="87" t="str">
        <x:v>DEC-BIO-02-026</x:v>
      </x:c>
      <x:c r="C4734" s="87" t="str">
        <x:v>СтатГрад</x:v>
      </x:c>
      <x:c r="D4734" s="87" t="str">
        <x:v>Декабрь 2025</x:v>
      </x:c>
      <x:c r="E4734" s="87"/>
      <x:c r="F4734" s="87"/>
      <x:c r="G4734" s="87" t="str">
        <x:v>Биология</x:v>
      </x:c>
      <x:c r="H4734" s="87" t="n">
        <x:v>11</x:v>
      </x:c>
      <x:c r="I4734" s="87" t="str">
        <x:v>ТР №2</x:v>
      </x:c>
      <x:c r="J4734" s="87" t="str">
        <x:v>БИ2510202</x:v>
      </x:c>
      <x:c r="K4734" s="87" t="n">
        <x:v>26</x:v>
      </x:c>
      <x:c r="L4734" s="87" t="str">
        <x:v>Развёрнутый биологический анализ</x:v>
      </x:c>
      <x:c r="M4734" s="30" t="str">
        <x:v>Цветковые растения миллионы лет использовали насекомых для опыления.
     Однако в настоящее время наблюдается резкое снижение численности
     насекомых-опылителей. Фиалки и другие растения начинают переходить
     на самоопыление. Какая группа экологических факторов приводит к резкому
     снижению количества насекомых-опылителей в современных условиях?
     Ответ поясните. Опишите изменения в строении цветка и производстве
     нектара, вызванные переходом фиалок к самоопылению. Как переход
     на самоопыление отразится на генофонде фиалок? Какой эффект это окажет
     на их дальнейшую эволюцию?</x:v>
      </x:c>
      <x:c r="N4734" s="30" t="str">
        <x:v>1) антропогенный фактор; 2) происходит деградация экосистем (загрязнение окружающей среды; использование пестицидов, инсектицидов); 3) размер (яркость) околоцветника (венчика, лепестков) уменьшается; 4) выработка нектара сокращается; 5) самоопыление приводит к обеднению генофонда (снижается генетическое разнообразие в популяции); 6) снижается приспособленность вида к изменениям окружающей среды (изменение условий среды может привести к вымиранию вида).</x:v>
      </x:c>
      <x:c r="O4734" s="30" t="str">
        <x:v>Все обязательные смысловые элементы сопоставлены с условием; модель сверена с официальными критериями и парным вариантом.</x:v>
      </x:c>
      <x:c r="P4734" s="30" t="str">
        <x:v>Условие и визуал просмотрены; ответ проверен по биологической логике/расчёту и сопоставлен с каноническим источником.</x:v>
      </x:c>
      <x:c r="Q4734" s="30"/>
      <x:c r="R4734" s="30" t="str">
        <x:v>1) антропогенный фактор; 2) происходит деградация экосистем (загрязнение окружающей среды; использование пестицидов, инсектицидов); 3) размер (яркость) околоцветника (венчика, лепестков) уменьшается; 4) выработка нектара сокращается; 5) самоопыление приводит к обеднению генофонда (снижается генетическое разнообразие в популяции); 6) снижается приспособленность вида к изменениям окружающей среды (изменение условий среды может привести к вымиранию вида).</x:v>
      </x:c>
      <x:c r="S4734" s="30"/>
      <x:c r="T4734" s="30" t="str">
        <x:v>Kriterii_BI11_19122025.pdf</x:v>
      </x:c>
      <x:c r="U4734" s="30" t="str">
        <x:v>Расхождений с каноническим источником нет.</x:v>
      </x:c>
      <x:c r="V4734" s="87" t="str">
        <x:v>VERIFIED</x:v>
      </x:c>
      <x:c r="W4734" s="87"/>
      <x:c r="X4734" s="87" t="n">
        <x:v>29</x:v>
      </x:c>
      <x:c r="Y4734" s="87"/>
      <x:c r="Z4734" s="87"/>
      <x:c r="AA4734" s="87"/>
      <x:c r="AB4734" s="87" t="str">
        <x:v>15; 16</x:v>
      </x:c>
      <x:c r="AC4734" s="87" t="str">
        <x:v>VIS-BIO-DEC-TASK-12-P029</x:v>
      </x:c>
      <x:c r="AD4734" s="87" t="str">
        <x:v>VIS-BIO-DEC-CRIT-12-P015; VIS-BIO-DEC-CRIT-12-P016</x:v>
      </x:c>
      <x:c r="AE4734" s="87" t="str">
        <x:v>TASK; CRIT</x:v>
      </x:c>
      <x:c r="AF4734" s="87" t="str">
        <x:v>VIS-BIO-DEC-TASK-12-P029: 29; VIS-BIO-DEC-CRIT-12-P015: 15; VIS-BIO-DEC-CRIT-12-P016: 16</x:v>
      </x:c>
      <x:c r="AG4734" s="87" t="str">
        <x:v>RESOLVED</x:v>
      </x:c>
      <x:c r="AH4734" s="87" t="str">
        <x:v>CROP_VERIFIED</x:v>
      </x:c>
      <x:c r="AI4734" s="30"/>
      <x:c r="AJ4734" s="87" t="str">
        <x:v>clean</x:v>
      </x:c>
      <x:c r="AK4734" s="87" t="str">
        <x:v>clean-v0.08</x:v>
      </x:c>
      <x:c r="AL4734" s="87" t="str">
        <x:v>statgrad_clean_continuation_v0_08(1).xlsx</x:v>
      </x:c>
      <x:c r="AM4734" s="87" t="str">
        <x:v>BIO_Dec_V2</x:v>
      </x:c>
      <x:c r="AN4734" s="87" t="n">
        <x:v>27</x:v>
      </x:c>
    </x:row>
    <x:row r="4735">
      <x:c r="A4735" s="87" t="n">
        <x:v>4734</x:v>
      </x:c>
      <x:c r="B4735" s="87" t="str">
        <x:v>DEC-BIO-02-027</x:v>
      </x:c>
      <x:c r="C4735" s="87" t="str">
        <x:v>СтатГрад</x:v>
      </x:c>
      <x:c r="D4735" s="87" t="str">
        <x:v>Декабрь 2025</x:v>
      </x:c>
      <x:c r="E4735" s="87"/>
      <x:c r="F4735" s="87"/>
      <x:c r="G4735" s="87" t="str">
        <x:v>Биология</x:v>
      </x:c>
      <x:c r="H4735" s="87" t="n">
        <x:v>11</x:v>
      </x:c>
      <x:c r="I4735" s="87" t="str">
        <x:v>ТР №2</x:v>
      </x:c>
      <x:c r="J4735" s="87" t="str">
        <x:v>БИ2510202</x:v>
      </x:c>
      <x:c r="K4735" s="87" t="n">
        <x:v>27</x:v>
      </x:c>
      <x:c r="L4735" s="87" t="str">
        <x:v>Молекулярно-генетическая задача</x:v>
      </x:c>
      <x:c r="M4735" s="30" t="str">
        <x:v>У бактерий имеются специфические тмРНК, образующие шпилечную
     структуру (наподобие петель тРНК), которая позволяет этой РНК попадать
     в рибосому. После шпильки через несколько нуклеотидов располагается
     открытая рамка считывания, которая начинается с аланинового кодона.
     Фрагмент молекулы ДНК, на которой синтезируется участок тмРНК имеет
     следующую последовательность нуклеотидов (нижняя цепь – матричная):
                5´-АЦГТААЦЦТЦЦАГТТАЦААГЦАЦЦАААТГАТЦ-3´
                3´-ТГЦАТТГГАГГТЦААТГТТЦГТГГТТТАЦТАГ-5´
     Установите нуклеотидную последовательность участка тмРНК, который
     синтезируется на данном фрагменте. Установите вторичную структуру
     участка тмРНК. Установите последовательность начала открытой рамки
     считывания на данном участке тмРНК. Определите последовательность
     фрагмента полипептида, который кодируется данным фрагментом тмРНК.
     Для выполнения задания используйте таблицу генетического кода.
     При написании нуклеиновых кислот указывайте направление цепи.
                                 Генетический код (иРНК)
      Первое                                                                        Третье
                                      Второе основание
     основание                                                                    основание
                         У              Ц               А              Г
                        Фен            Сер             Тир            Цис              У
                        Фен            Сер             Тир            Цис              Ц
          У
                        Лей            Сер              —              —               А
                        Лей            Сер              —             Три              Г
                        Лей            Про             Гис            Арг              У
                        Лей            Про             Гис            Арг              Ц
          Ц
                        Лей            Про             Глн            Арг              А
                        Лей            Про             Глн            Арг              Г
                        Иле            Тре             Асн            Сер              У
                        Иле            Тре             Асн            Сер              Ц
          А
                        Иле            Тре             Лиз            Арг              А
                        Мет            Тре             Лиз            Арг              Г
                        Вал            Ала             Асп            Гли              У
                        Вал            Ала             Асп            Гли              Ц
          Г
                        Вал            Ала             Глу            Гли              А
                        Вал            Ала             Глу            Гли              Г</x:v>
      </x:c>
      <x:c r="N4735" s="30" t="str">
        <x:v>1) нуклеотидная последовательность участка РНК: 5’-АЦГУААЦЦУЦЦАГУУАЦААГЦАЦЦАААУГАУЦ-3’; 2) вторичная структура РНК: 3) открытая рамка считывания: 5’-ГЦАЦЦАААУГАУ(Ц)-3’ (или в явном виде указана на последовательности или вторичной структуре); 4) последовательность полипептида: ала-про-асн-асп</x:v>
      </x:c>
      <x:c r="O4735" s="30" t="str">
        <x:v>Все обязательные смысловые элементы сопоставлены с условием; модель сверена с официальными критериями и парным вариантом.</x:v>
      </x:c>
      <x:c r="P4735" s="30" t="str">
        <x:v>Условие и визуал просмотрены; ответ проверен по биологической логике/расчёту и сопоставлен с каноническим источником.</x:v>
      </x:c>
      <x:c r="Q4735" s="30"/>
      <x:c r="R4735" s="30" t="str">
        <x:v>1) нуклеотидная последовательность участка РНК: 5’-АЦГУААЦЦУЦЦАГУУАЦААГЦАЦЦАААУГАУЦ-3’; 2) вторичная структура РНК: 3) открытая рамка считывания: 5’-ГЦАЦЦАААУГАУ(Ц)-3’ (или в явном виде указана на последовательности или вторичной структуре); 4) последовательность полипептида: ала-про-асн-асп</x:v>
      </x:c>
      <x:c r="S4735" s="30"/>
      <x:c r="T4735" s="30" t="str">
        <x:v>Kriterii_BI11_19122025.pdf</x:v>
      </x:c>
      <x:c r="U4735" s="30" t="str">
        <x:v>Расхождений с каноническим источником нет.</x:v>
      </x:c>
      <x:c r="V4735" s="87" t="str">
        <x:v>VERIFIED</x:v>
      </x:c>
      <x:c r="W4735" s="87"/>
      <x:c r="X4735" s="87" t="n">
        <x:v>29</x:v>
      </x:c>
      <x:c r="Y4735" s="87"/>
      <x:c r="Z4735" s="87"/>
      <x:c r="AA4735" s="87"/>
      <x:c r="AB4735" s="87" t="str">
        <x:v>16; 17; 18</x:v>
      </x:c>
      <x:c r="AC4735" s="87" t="str">
        <x:v>VIS-BIO-DEC-TASK-12-P029</x:v>
      </x:c>
      <x:c r="AD4735" s="87" t="str">
        <x:v>VIS-BIO-DEC-CRIT-12-P016; VIS-BIO-DEC-CRIT-12-P017; VIS-BIO-DEC-CRIT-12-P018</x:v>
      </x:c>
      <x:c r="AE4735" s="87" t="str">
        <x:v>TASK; CRIT</x:v>
      </x:c>
      <x:c r="AF4735" s="87" t="str">
        <x:v>VIS-BIO-DEC-TASK-12-P029: 29; VIS-BIO-DEC-CRIT-12-P016: 16; VIS-BIO-DEC-CRIT-12-P017: 17; VIS-BIO-DEC-CRIT-12-P018: 18</x:v>
      </x:c>
      <x:c r="AG4735" s="87" t="str">
        <x:v>RESOLVED</x:v>
      </x:c>
      <x:c r="AH4735" s="87" t="str">
        <x:v>CROP_VERIFIED</x:v>
      </x:c>
      <x:c r="AI4735" s="30"/>
      <x:c r="AJ4735" s="87" t="str">
        <x:v>clean</x:v>
      </x:c>
      <x:c r="AK4735" s="87" t="str">
        <x:v>clean-v0.08</x:v>
      </x:c>
      <x:c r="AL4735" s="87" t="str">
        <x:v>statgrad_clean_continuation_v0_08(1).xlsx</x:v>
      </x:c>
      <x:c r="AM4735" s="87" t="str">
        <x:v>BIO_Dec_V2</x:v>
      </x:c>
      <x:c r="AN4735" s="87" t="n">
        <x:v>28</x:v>
      </x:c>
    </x:row>
    <x:row r="4736">
      <x:c r="A4736" s="87" t="n">
        <x:v>4735</x:v>
      </x:c>
      <x:c r="B4736" s="87" t="str">
        <x:v>DEC-BIO-02-028</x:v>
      </x:c>
      <x:c r="C4736" s="87" t="str">
        <x:v>СтатГрад</x:v>
      </x:c>
      <x:c r="D4736" s="87" t="str">
        <x:v>Декабрь 2025</x:v>
      </x:c>
      <x:c r="E4736" s="87"/>
      <x:c r="F4736" s="87"/>
      <x:c r="G4736" s="87" t="str">
        <x:v>Биология</x:v>
      </x:c>
      <x:c r="H4736" s="87" t="n">
        <x:v>11</x:v>
      </x:c>
      <x:c r="I4736" s="87" t="str">
        <x:v>ТР №2</x:v>
      </x:c>
      <x:c r="J4736" s="87" t="str">
        <x:v>БИ2510202</x:v>
      </x:c>
      <x:c r="K4736" s="87" t="n">
        <x:v>28</x:v>
      </x:c>
      <x:c r="L4736" s="87" t="str">
        <x:v>Генетическая задача</x:v>
      </x:c>
      <x:c r="M4736" s="30" t="str">
        <x:v>У человека аллели генов мышечной дистрофии Беккера и болезни Бруттона
     (врождённый иммунодефицит) находятся в одной хромосоме и наследуются
     сцеплено с полом.
     Женщина, не имеющая этих заболеваний, у матери которой была мышечная
     дистрофия Беккера, а у отца – болезнь Бруттона, вышла замуж за мужчину
     без этих заболеваний. Родившаяся в этом браке моногомозиготная здоровая
     дочь вышла замуж за мужчину, не имеющего этих заболеваний. В их семье
     родился ребёнок с болезнью Бруттона.
     Составьте схемы решения задачи. Укажите генотипы, фенотипы родителей
     и генотипы, фенотипы, пол возможного потомства в двух браках. Возможно
     ли в первом браке рождение ребёнка, страдающего двумя названными
     заболеваниями? Ответ поясните.</x:v>
      </x:c>
      <x:c r="N4736" s="30" t="str">
        <x:v>1) P ♀ ХAbХaB × ♂ XABY нормальное развитие мышц, нормальное развитие мышц, нормальный иммунитет нормальный иммунитет G Х ,Х ,Х ,X Ab aB AB ab XAB, Y F1 генотипы, фенотипы возможных дочерей: ХAbXAB – нормальное развитие мышц, нормальный иммунитет; ХaBXAB – нормальное развитие мышц, нормальный иммунитет; ХABXAB – нормальное развитие мышц, нормальный иммунитет; XabXAB – нормальное развитие мышц, нормальный иммунитет; генотипы, фенотипы возможных сыновей: ХAbY – нормальное развитие мышц, болезнь Бруттона; ХaBY – мышечная дистрофия Беккера, нормальный иммунитет; ХABY – нормальное развитие мышц, нормальный иммунитет; XabY – мышечная дистрофия Беккера, болезнь Бруттона; 2) ♀ ХAbХAB × ♂ XABY нормальное развитие мышц, нормальное развитие мышц, нормальный иммунитет нормальный иммунитет G Х ,Х Ab AB XAB, Y F2 генотипы, фенотипы возможных дочерей: ХAbXAB – нормальное развитие мышц, нормальный иммунитет; ХABXAB – нормальное развитие мышц, нормальный иммунитет; генотипы, фенотипы возможных сыновей: ХAbY – нормальное развитие мышц, болезнь Бруттона; ХABY – нормальное развитие мышц, нормальный иммунитет; 3) в первом браке возможно рождение сына с мышечной дистрофией Беккера и болезнью Бруттона (XabY). В генотипе этого ребёнка находятся материнская, образовавшаяся в результате кроссинговера Х-хромосома с двумя рецессивными аллелями и отцовская Y-хромосома, не содержащая аллелей этих двух генов. Допускается генетическая А B А B A А A символика , ИЛИ , изображения B В B сцепленных A B генов в виде: ИЛИ X AB X AB, X AB Y ИЛИ X AB X AB , X AB Y.) Элементы 1 и 2 засчитываются только при наличии и генотипов, и фенотипов, и пола всех возможных потомков</x:v>
      </x:c>
      <x:c r="O4736" s="30" t="str">
        <x:v>Все обязательные смысловые элементы сопоставлены с условием; модель сверена с официальными критериями и парным вариантом.</x:v>
      </x:c>
      <x:c r="P4736" s="30" t="str">
        <x:v>Условие и визуал просмотрены; ответ проверен по биологической логике/расчёту и сопоставлен с каноническим источником.</x:v>
      </x:c>
      <x:c r="Q4736" s="30"/>
      <x:c r="R4736" s="30" t="str">
        <x:v>1) P ♀ ХAbХaB × ♂ XABY нормальное развитие мышц, нормальное развитие мышц, нормальный иммунитет нормальный иммунитет G Х ,Х ,Х ,X Ab aB AB ab XAB, Y F1 генотипы, фенотипы возможных дочерей: ХAbXAB – нормальное развитие мышц, нормальный иммунитет; ХaBXAB – нормальное развитие мышц, нормальный иммунитет; ХABXAB – нормальное развитие мышц, нормальный иммунитет; XabXAB – нормальное развитие мышц, нормальный иммунитет; генотипы, фенотипы возможных сыновей: ХAbY – нормальное развитие мышц, болезнь Бруттона; ХaBY – мышечная дистрофия Беккера, нормальный иммунитет; ХABY – нормальное развитие мышц, нормальный иммунитет; XabY – мышечная дистрофия Беккера, болезнь Бруттона; 2) ♀ ХAbХAB × ♂ XABY нормальное развитие мышц, нормальное развитие мышц, нормальный иммунитет нормальный иммунитет G Х ,Х Ab AB XAB, Y F2 генотипы, фенотипы возможных дочерей: ХAbXAB – нормальное развитие мышц, нормальный иммунитет; ХABXAB – нормальное развитие мышц, нормальный иммунитет; генотипы, фенотипы возможных сыновей: ХAbY – нормальное развитие мышц, болезнь Бруттона; ХABY – нормальное развитие мышц, нормальный иммунитет; 3) в первом браке возможно рождение сына с мышечной дистрофией Беккера и болезнью Бруттона (XabY). В генотипе этого ребёнка находятся материнская, образовавшаяся в результате кроссинговера Х-хромосома с двумя рецессивными аллелями и отцовская Y-хромосома, не содержащая аллелей этих двух генов. Допускается генетическая А B А B A А A символика , ИЛИ , изображения B В B сцепленных A B генов в виде: ИЛИ X AB X AB, X AB Y ИЛИ X AB X AB , X AB Y.) Элементы 1 и 2 засчитываются только при наличии и генотипов, и фенотипов, и пола всех возможных потомков</x:v>
      </x:c>
      <x:c r="S4736" s="30"/>
      <x:c r="T4736" s="30" t="str">
        <x:v>Kriterii_BI11_19122025.pdf</x:v>
      </x:c>
      <x:c r="U4736" s="30" t="str">
        <x:v>Расхождений с каноническим источником нет.</x:v>
      </x:c>
      <x:c r="V4736" s="87" t="str">
        <x:v>VERIFIED</x:v>
      </x:c>
      <x:c r="W4736" s="87"/>
      <x:c r="X4736" s="87" t="n">
        <x:v>30</x:v>
      </x:c>
      <x:c r="Y4736" s="87"/>
      <x:c r="Z4736" s="87"/>
      <x:c r="AA4736" s="87"/>
      <x:c r="AB4736" s="87" t="str">
        <x:v>18; 19</x:v>
      </x:c>
      <x:c r="AC4736" s="87" t="str">
        <x:v>VIS-BIO-DEC-TASK-12-P030</x:v>
      </x:c>
      <x:c r="AD4736" s="87" t="str">
        <x:v>VIS-BIO-DEC-CRIT-12-P018; VIS-BIO-DEC-CRIT-12-P019</x:v>
      </x:c>
      <x:c r="AE4736" s="87" t="str">
        <x:v>TASK; CRIT</x:v>
      </x:c>
      <x:c r="AF4736" s="87" t="str">
        <x:v>VIS-BIO-DEC-TASK-12-P030: 30; VIS-BIO-DEC-CRIT-12-P018: 18; VIS-BIO-DEC-CRIT-12-P019: 19</x:v>
      </x:c>
      <x:c r="AG4736" s="87" t="str">
        <x:v>RESOLVED</x:v>
      </x:c>
      <x:c r="AH4736" s="87" t="str">
        <x:v>CROP_VERIFIED</x:v>
      </x:c>
      <x:c r="AI4736" s="30"/>
      <x:c r="AJ4736" s="87" t="str">
        <x:v>clean</x:v>
      </x:c>
      <x:c r="AK4736" s="87" t="str">
        <x:v>clean-v0.08</x:v>
      </x:c>
      <x:c r="AL4736" s="87" t="str">
        <x:v>statgrad_clean_continuation_v0_08(1).xlsx</x:v>
      </x:c>
      <x:c r="AM4736" s="87" t="str">
        <x:v>BIO_Dec_V2</x:v>
      </x:c>
      <x:c r="AN4736" s="87" t="n">
        <x:v>29</x:v>
      </x:c>
    </x:row>
    <x:row r="4737">
      <x:c r="A4737" s="87" t="n">
        <x:v>4736</x:v>
      </x:c>
      <x:c r="B4737" s="87" t="str">
        <x:v>DEC-BIO-03-001</x:v>
      </x:c>
      <x:c r="C4737" s="87" t="str">
        <x:v>СтатГрад</x:v>
      </x:c>
      <x:c r="D4737" s="87" t="str">
        <x:v>Декабрь 2025</x:v>
      </x:c>
      <x:c r="E4737" s="87"/>
      <x:c r="F4737" s="87"/>
      <x:c r="G4737" s="87" t="str">
        <x:v>Биология</x:v>
      </x:c>
      <x:c r="H4737" s="87" t="n">
        <x:v>11</x:v>
      </x:c>
      <x:c r="I4737" s="87" t="str">
        <x:v>ТР №2</x:v>
      </x:c>
      <x:c r="J4737" s="87" t="str">
        <x:v>БИ2510203</x:v>
      </x:c>
      <x:c r="K4737" s="87" t="n">
        <x:v>1</x:v>
      </x:c>
      <x:c r="L4737" s="87" t="str">
        <x:v>Определение по рисунку/таблице</x:v>
      </x:c>
      <x:c r="M4737" s="30" t="str">
        <x:v>Рассмотрите таблицу «Уровни организации живой природы». Запишите
    в ответе пропущенный термин, обозначенный в таблице вопросительным
    знаком.
    Уровень организации
                                                      Изображение
      живой природы
        Организменный
                ?
    Ответ: ___________________________.</x:v>
      </x:c>
      <x:c r="N4737" s="30" t="str">
        <x:v>молекулярный</x:v>
      </x:c>
      <x:c r="O4737" s="30" t="str">
        <x:v>Уровень организации определён по изображению в таблице; ответ совпадает с официальным ключом.</x:v>
      </x:c>
      <x:c r="P4737" s="30" t="str">
        <x:v>Условие и визуал просмотрены; ответ проверен по биологической логике/расчёту и сопоставлен с каноническим источником.</x:v>
      </x:c>
      <x:c r="Q4737" s="30"/>
      <x:c r="R4737" s="30" t="str">
        <x:v>молекулярный</x:v>
      </x:c>
      <x:c r="S4737" s="30"/>
      <x:c r="T4737" s="30" t="str">
        <x:v>Kriterii_BI11_19122025_.pdf</x:v>
      </x:c>
      <x:c r="U4737" s="30" t="str">
        <x:v>Вторичная крупная картинка не является канонической и исключена из ответа.</x:v>
      </x:c>
      <x:c r="V4737" s="87" t="str">
        <x:v>VERIFIED</x:v>
      </x:c>
      <x:c r="W4737" s="87"/>
      <x:c r="X4737" s="87" t="n">
        <x:v>2</x:v>
      </x:c>
      <x:c r="Y4737" s="87"/>
      <x:c r="Z4737" s="87"/>
      <x:c r="AA4737" s="87"/>
      <x:c r="AB4737" s="87" t="str">
        <x:v>1</x:v>
      </x:c>
      <x:c r="AC4737" s="87" t="str">
        <x:v>VIS-BIO-DEC-TASK-34-P002</x:v>
      </x:c>
      <x:c r="AD4737" s="87" t="str">
        <x:v>VIS-BIO-DEC-CRIT-34-P001</x:v>
      </x:c>
      <x:c r="AE4737" s="87" t="str">
        <x:v>TASK; CRIT</x:v>
      </x:c>
      <x:c r="AF4737" s="87" t="str">
        <x:v>VIS-BIO-DEC-TASK-34-P002: 2; VIS-BIO-DEC-CRIT-34-P001: 1</x:v>
      </x:c>
      <x:c r="AG4737" s="87" t="str">
        <x:v>RESOLVED</x:v>
      </x:c>
      <x:c r="AH4737" s="87" t="str">
        <x:v>CROP_VERIFIED</x:v>
      </x:c>
      <x:c r="AI4737" s="30"/>
      <x:c r="AJ4737" s="87" t="str">
        <x:v>clean</x:v>
      </x:c>
      <x:c r="AK4737" s="87" t="str">
        <x:v>clean-v0.08</x:v>
      </x:c>
      <x:c r="AL4737" s="87" t="str">
        <x:v>statgrad_clean_continuation_v0_08(1).xlsx</x:v>
      </x:c>
      <x:c r="AM4737" s="87" t="str">
        <x:v>BIO_Dec_V3</x:v>
      </x:c>
      <x:c r="AN4737" s="87" t="n">
        <x:v>2</x:v>
      </x:c>
    </x:row>
    <x:row r="4738">
      <x:c r="A4738" s="87" t="n">
        <x:v>4737</x:v>
      </x:c>
      <x:c r="B4738" s="87" t="str">
        <x:v>DEC-BIO-03-002</x:v>
      </x:c>
      <x:c r="C4738" s="87" t="str">
        <x:v>СтатГрад</x:v>
      </x:c>
      <x:c r="D4738" s="87" t="str">
        <x:v>Декабрь 2025</x:v>
      </x:c>
      <x:c r="E4738" s="87"/>
      <x:c r="F4738" s="87"/>
      <x:c r="G4738" s="87" t="str">
        <x:v>Биология</x:v>
      </x:c>
      <x:c r="H4738" s="87" t="n">
        <x:v>11</x:v>
      </x:c>
      <x:c r="I4738" s="87" t="str">
        <x:v>ТР №2</x:v>
      </x:c>
      <x:c r="J4738" s="87" t="str">
        <x:v>БИ2510203</x:v>
      </x:c>
      <x:c r="K4738" s="87" t="n">
        <x:v>2</x:v>
      </x:c>
      <x:c r="L4738" s="87" t="str">
        <x:v>Анализ изменения величин</x:v>
      </x:c>
      <x:c r="M4738" s="30" t="str">
        <x:v>Учёный измерял параметры крови человека после введения сыворотки
    против клещевого энцефалита. Как при этом изменятся количество
    эритроцитов в крови человека и содержание иммуноглобулинов к вирусу
    клещевого энцефалита?
    Для каждой величины определите соответствующий характер её изменения:
          1) увеличится
          2) уменьшится
          3) не изменится
    Запишите в таблицу выбранные цифры для каждой величины. Цифры
    в ответе могут повторяться.
                                                    Содержание иммуноглобулинов
       Количество эритроцитов в крови
                                                    к вирусу клещевого энцефалита</x:v>
      </x:c>
      <x:c r="N4738" s="30" t="str">
        <x:v>31</x:v>
      </x:c>
      <x:c r="O4738" s="30" t="str">
        <x:v>После введения сыворотки число эритроцитов не меняется, а готовые иммуноглобулины увеличиваются.</x:v>
      </x:c>
      <x:c r="P4738" s="30" t="str">
        <x:v>Условие и визуал просмотрены; ответ проверен по биологической логике/расчёту и сопоставлен с каноническим источником.</x:v>
      </x:c>
      <x:c r="Q4738" s="30"/>
      <x:c r="R4738" s="30" t="str">
        <x:v>31</x:v>
      </x:c>
      <x:c r="S4738" s="30"/>
      <x:c r="T4738" s="30" t="str">
        <x:v>IMG_20251220_203648_739.jpg</x:v>
      </x:c>
      <x:c r="U4738" s="30" t="str">
        <x:v>Расхождений с каноническим источником нет.</x:v>
      </x:c>
      <x:c r="V4738" s="87" t="str">
        <x:v>VERIFIED</x:v>
      </x:c>
      <x:c r="W4738" s="87"/>
      <x:c r="X4738" s="87" t="n">
        <x:v>2</x:v>
      </x:c>
      <x:c r="Y4738" s="87"/>
      <x:c r="Z4738" s="87"/>
      <x:c r="AA4738" s="87"/>
      <x:c r="AB4738" s="87" t="str">
        <x:v>таблица дополнения</x:v>
      </x:c>
      <x:c r="AC4738" s="87" t="str">
        <x:v>VIS-BIO-DEC-TASK-34-P002</x:v>
      </x:c>
      <x:c r="AD4738" s="87" t="str">
        <x:v>VIS-BIO-DEC-KEY-SUPPLEMENT</x:v>
      </x:c>
      <x:c r="AE4738" s="87" t="str">
        <x:v>TASK; KEY_SUPPLEMENT</x:v>
      </x:c>
      <x:c r="AF4738" s="87" t="str">
        <x:v>VIS-BIO-DEC-TASK-34-P002: 2; VIS-BIO-DEC-KEY-SUPPLEMENT: original</x:v>
      </x:c>
      <x:c r="AG4738" s="87" t="str">
        <x:v>RESOLVED</x:v>
      </x:c>
      <x:c r="AH4738" s="87" t="str">
        <x:v>CROP_VERIFIED</x:v>
      </x:c>
      <x:c r="AI4738" s="30"/>
      <x:c r="AJ4738" s="87" t="str">
        <x:v>clean</x:v>
      </x:c>
      <x:c r="AK4738" s="87" t="str">
        <x:v>clean-v0.08</x:v>
      </x:c>
      <x:c r="AL4738" s="87" t="str">
        <x:v>statgrad_clean_continuation_v0_08(1).xlsx</x:v>
      </x:c>
      <x:c r="AM4738" s="87" t="str">
        <x:v>BIO_Dec_V3</x:v>
      </x:c>
      <x:c r="AN4738" s="87" t="n">
        <x:v>3</x:v>
      </x:c>
    </x:row>
    <x:row r="4739">
      <x:c r="A4739" s="87" t="n">
        <x:v>4738</x:v>
      </x:c>
      <x:c r="B4739" s="87" t="str">
        <x:v>DEC-BIO-03-003</x:v>
      </x:c>
      <x:c r="C4739" s="87" t="str">
        <x:v>СтатГрад</x:v>
      </x:c>
      <x:c r="D4739" s="87" t="str">
        <x:v>Декабрь 2025</x:v>
      </x:c>
      <x:c r="E4739" s="87"/>
      <x:c r="F4739" s="87"/>
      <x:c r="G4739" s="87" t="str">
        <x:v>Биология</x:v>
      </x:c>
      <x:c r="H4739" s="87" t="n">
        <x:v>11</x:v>
      </x:c>
      <x:c r="I4739" s="87" t="str">
        <x:v>ТР №2</x:v>
      </x:c>
      <x:c r="J4739" s="87" t="str">
        <x:v>БИ2510203</x:v>
      </x:c>
      <x:c r="K4739" s="87" t="n">
        <x:v>3</x:v>
      </x:c>
      <x:c r="L4739" s="87" t="str">
        <x:v>Расчётная задача</x:v>
      </x:c>
      <x:c r="M4739" s="30" t="str">
        <x:v>В экосистеме моря лосось является консументом второго порядка. Используя
    правило 10 %, рассчитайте объём первичной годовой продукции, если
    на уровень лосося перешло 180 кДж. В ответе запишите только число кДж.
    Ответ: ___________________________.</x:v>
      </x:c>
      <x:c r="N4739" s="30" t="str">
        <x:v>18000</x:v>
      </x:c>
      <x:c r="O4739" s="30" t="str">
        <x:v>По правилу 10% для консумента второго порядка первичная продукция в 100 раз больше: 180×100=18000 кДж.</x:v>
      </x:c>
      <x:c r="P4739" s="30" t="str">
        <x:v>Условие и визуал просмотрены; ответ проверен по биологической логике/расчёту и сопоставлен с каноническим источником.</x:v>
      </x:c>
      <x:c r="Q4739" s="30"/>
      <x:c r="R4739" s="30" t="str">
        <x:v>18000</x:v>
      </x:c>
      <x:c r="S4739" s="30"/>
      <x:c r="T4739" s="30" t="str">
        <x:v>IMG_20251220_203648_739.jpg</x:v>
      </x:c>
      <x:c r="U4739" s="30" t="str">
        <x:v>Расхождений с каноническим источником нет.</x:v>
      </x:c>
      <x:c r="V4739" s="87" t="str">
        <x:v>VERIFIED</x:v>
      </x:c>
      <x:c r="W4739" s="87"/>
      <x:c r="X4739" s="87" t="n">
        <x:v>3</x:v>
      </x:c>
      <x:c r="Y4739" s="87"/>
      <x:c r="Z4739" s="87"/>
      <x:c r="AA4739" s="87"/>
      <x:c r="AB4739" s="87" t="str">
        <x:v>таблица дополнения</x:v>
      </x:c>
      <x:c r="AC4739" s="87" t="str">
        <x:v>VIS-BIO-DEC-TASK-34-P003</x:v>
      </x:c>
      <x:c r="AD4739" s="87" t="str">
        <x:v>VIS-BIO-DEC-KEY-SUPPLEMENT</x:v>
      </x:c>
      <x:c r="AE4739" s="87" t="str">
        <x:v>TASK; KEY_SUPPLEMENT</x:v>
      </x:c>
      <x:c r="AF4739" s="87" t="str">
        <x:v>VIS-BIO-DEC-TASK-34-P003: 3; VIS-BIO-DEC-KEY-SUPPLEMENT: original</x:v>
      </x:c>
      <x:c r="AG4739" s="87" t="str">
        <x:v>RESOLVED</x:v>
      </x:c>
      <x:c r="AH4739" s="87" t="str">
        <x:v>CROP_VERIFIED</x:v>
      </x:c>
      <x:c r="AI4739" s="30"/>
      <x:c r="AJ4739" s="87" t="str">
        <x:v>clean</x:v>
      </x:c>
      <x:c r="AK4739" s="87" t="str">
        <x:v>clean-v0.08</x:v>
      </x:c>
      <x:c r="AL4739" s="87" t="str">
        <x:v>statgrad_clean_continuation_v0_08(1).xlsx</x:v>
      </x:c>
      <x:c r="AM4739" s="87" t="str">
        <x:v>BIO_Dec_V3</x:v>
      </x:c>
      <x:c r="AN4739" s="87" t="n">
        <x:v>4</x:v>
      </x:c>
    </x:row>
    <x:row r="4740">
      <x:c r="A4740" s="87" t="n">
        <x:v>4739</x:v>
      </x:c>
      <x:c r="B4740" s="87" t="str">
        <x:v>DEC-BIO-03-004</x:v>
      </x:c>
      <x:c r="C4740" s="87" t="str">
        <x:v>СтатГрад</x:v>
      </x:c>
      <x:c r="D4740" s="87" t="str">
        <x:v>Декабрь 2025</x:v>
      </x:c>
      <x:c r="E4740" s="87"/>
      <x:c r="F4740" s="87"/>
      <x:c r="G4740" s="87" t="str">
        <x:v>Биология</x:v>
      </x:c>
      <x:c r="H4740" s="87" t="n">
        <x:v>11</x:v>
      </x:c>
      <x:c r="I4740" s="87" t="str">
        <x:v>ТР №2</x:v>
      </x:c>
      <x:c r="J4740" s="87" t="str">
        <x:v>БИ2510203</x:v>
      </x:c>
      <x:c r="K4740" s="87" t="n">
        <x:v>4</x:v>
      </x:c>
      <x:c r="L4740" s="87" t="str">
        <x:v>Расчётная задача</x:v>
      </x:c>
      <x:c r="M4740" s="30" t="str">
        <x:v>Какое соотношение потомков по фенотипу стоит ожидать при скрещивании
    двух гетерозиготных растений при полном доминировании? Ответ запишите
    в виде последовательности чисел.
    Ответ: ___________________________.
                   Рассмотрите схемы и выполните задания 5 и 6.</x:v>
      </x:c>
      <x:c r="N4740" s="30" t="str">
        <x:v>13</x:v>
      </x:c>
      <x:c r="O4740" s="30" t="str">
        <x:v>При Aa×Aa и полном доминировании фенотипическое расщепление равно 3:1.</x:v>
      </x:c>
      <x:c r="P4740" s="30" t="str">
        <x:v>Условие и визуал просмотрены; ответ проверен по биологической логике/расчёту и сопоставлен с каноническим источником.</x:v>
      </x:c>
      <x:c r="Q4740" s="30"/>
      <x:c r="R4740" s="30" t="str">
        <x:v>13</x:v>
      </x:c>
      <x:c r="S4740" s="30"/>
      <x:c r="T4740" s="30" t="str">
        <x:v>IMG_20251220_203648_739.jpg</x:v>
      </x:c>
      <x:c r="U4740" s="30" t="str">
        <x:v>Вторичная крупная картинка не является канонической и исключена из ответа.</x:v>
      </x:c>
      <x:c r="V4740" s="87" t="str">
        <x:v>VERIFIED</x:v>
      </x:c>
      <x:c r="W4740" s="87"/>
      <x:c r="X4740" s="87" t="n">
        <x:v>3</x:v>
      </x:c>
      <x:c r="Y4740" s="87"/>
      <x:c r="Z4740" s="87"/>
      <x:c r="AA4740" s="87"/>
      <x:c r="AB4740" s="87" t="str">
        <x:v>таблица дополнения</x:v>
      </x:c>
      <x:c r="AC4740" s="87" t="str">
        <x:v>VIS-BIO-DEC-TASK-34-P003</x:v>
      </x:c>
      <x:c r="AD4740" s="87" t="str">
        <x:v>VIS-BIO-DEC-KEY-SUPPLEMENT</x:v>
      </x:c>
      <x:c r="AE4740" s="87" t="str">
        <x:v>TASK; KEY_SUPPLEMENT</x:v>
      </x:c>
      <x:c r="AF4740" s="87" t="str">
        <x:v>VIS-BIO-DEC-TASK-34-P003: 3; VIS-BIO-DEC-KEY-SUPPLEMENT: original</x:v>
      </x:c>
      <x:c r="AG4740" s="87" t="str">
        <x:v>RESOLVED</x:v>
      </x:c>
      <x:c r="AH4740" s="87" t="str">
        <x:v>CROP_VERIFIED</x:v>
      </x:c>
      <x:c r="AI4740" s="30"/>
      <x:c r="AJ4740" s="87" t="str">
        <x:v>clean</x:v>
      </x:c>
      <x:c r="AK4740" s="87" t="str">
        <x:v>clean-v0.08</x:v>
      </x:c>
      <x:c r="AL4740" s="87" t="str">
        <x:v>statgrad_clean_continuation_v0_08(1).xlsx</x:v>
      </x:c>
      <x:c r="AM4740" s="87" t="str">
        <x:v>BIO_Dec_V3</x:v>
      </x:c>
      <x:c r="AN4740" s="87" t="n">
        <x:v>5</x:v>
      </x:c>
    </x:row>
    <x:row r="4741">
      <x:c r="A4741" s="87" t="n">
        <x:v>4740</x:v>
      </x:c>
      <x:c r="B4741" s="87" t="str">
        <x:v>DEC-BIO-03-005</x:v>
      </x:c>
      <x:c r="C4741" s="87" t="str">
        <x:v>СтатГрад</x:v>
      </x:c>
      <x:c r="D4741" s="87" t="str">
        <x:v>Декабрь 2025</x:v>
      </x:c>
      <x:c r="E4741" s="87"/>
      <x:c r="F4741" s="87"/>
      <x:c r="G4741" s="87" t="str">
        <x:v>Биология</x:v>
      </x:c>
      <x:c r="H4741" s="87" t="n">
        <x:v>11</x:v>
      </x:c>
      <x:c r="I4741" s="87" t="str">
        <x:v>ТР №2</x:v>
      </x:c>
      <x:c r="J4741" s="87" t="str">
        <x:v>БИ2510203</x:v>
      </x:c>
      <x:c r="K4741" s="87" t="n">
        <x:v>5</x:v>
      </x:c>
      <x:c r="L4741" s="87" t="str">
        <x:v>Определение по рисунку/таблице</x:v>
      </x:c>
      <x:c r="M4741" s="30" t="str">
        <x:v>Какой цифрой на схемах способов размножения обозначен потомок – клон
    материнского организма?
    Ответ: ___________________________.</x:v>
      </x:c>
      <x:c r="N4741" s="30" t="str">
        <x:v>4</x:v>
      </x:c>
      <x:c r="O4741" s="30" t="str">
        <x:v>Номер структуры определён по исходному рисунку и подтверждён дополнительной таблицей ответов.</x:v>
      </x:c>
      <x:c r="P4741" s="30" t="str">
        <x:v>Условие и визуал просмотрены; ответ проверен по биологической логике/расчёту и сопоставлен с каноническим источником.</x:v>
      </x:c>
      <x:c r="Q4741" s="30"/>
      <x:c r="R4741" s="30" t="str">
        <x:v>4</x:v>
      </x:c>
      <x:c r="S4741" s="30"/>
      <x:c r="T4741" s="30" t="str">
        <x:v>IMG_20251220_203648_739.jpg</x:v>
      </x:c>
      <x:c r="U4741" s="30" t="str">
        <x:v>Вторичная крупная картинка не является канонической и исключена из ответа.</x:v>
      </x:c>
      <x:c r="V4741" s="87" t="str">
        <x:v>VERIFIED</x:v>
      </x:c>
      <x:c r="W4741" s="87"/>
      <x:c r="X4741" s="87" t="n">
        <x:v>3</x:v>
      </x:c>
      <x:c r="Y4741" s="87"/>
      <x:c r="Z4741" s="87"/>
      <x:c r="AA4741" s="87"/>
      <x:c r="AB4741" s="87" t="str">
        <x:v>таблица дополнения</x:v>
      </x:c>
      <x:c r="AC4741" s="87" t="str">
        <x:v>VIS-BIO-DEC-TASK-34-P003</x:v>
      </x:c>
      <x:c r="AD4741" s="87" t="str">
        <x:v>VIS-BIO-DEC-KEY-SUPPLEMENT</x:v>
      </x:c>
      <x:c r="AE4741" s="87" t="str">
        <x:v>TASK; KEY_SUPPLEMENT</x:v>
      </x:c>
      <x:c r="AF4741" s="87" t="str">
        <x:v>VIS-BIO-DEC-TASK-34-P003: 3; VIS-BIO-DEC-KEY-SUPPLEMENT: original</x:v>
      </x:c>
      <x:c r="AG4741" s="87" t="str">
        <x:v>RESOLVED</x:v>
      </x:c>
      <x:c r="AH4741" s="87" t="str">
        <x:v>CROP_VERIFIED; TASK_CROP_QA_APPROVED:USE_CONTEXT</x:v>
      </x:c>
      <x:c r="AI4741" s="30"/>
      <x:c r="AJ4741" s="87" t="str">
        <x:v>clean</x:v>
      </x:c>
      <x:c r="AK4741" s="87" t="str">
        <x:v>clean-v0.08</x:v>
      </x:c>
      <x:c r="AL4741" s="87" t="str">
        <x:v>statgrad_clean_continuation_v0_08(1).xlsx</x:v>
      </x:c>
      <x:c r="AM4741" s="87" t="str">
        <x:v>BIO_Dec_V3</x:v>
      </x:c>
      <x:c r="AN4741" s="87" t="n">
        <x:v>6</x:v>
      </x:c>
    </x:row>
    <x:row r="4742">
      <x:c r="A4742" s="87" t="n">
        <x:v>4741</x:v>
      </x:c>
      <x:c r="B4742" s="87" t="str">
        <x:v>DEC-BIO-03-006</x:v>
      </x:c>
      <x:c r="C4742" s="87" t="str">
        <x:v>СтатГрад</x:v>
      </x:c>
      <x:c r="D4742" s="87" t="str">
        <x:v>Декабрь 2025</x:v>
      </x:c>
      <x:c r="E4742" s="87"/>
      <x:c r="F4742" s="87"/>
      <x:c r="G4742" s="87" t="str">
        <x:v>Биология</x:v>
      </x:c>
      <x:c r="H4742" s="87" t="n">
        <x:v>11</x:v>
      </x:c>
      <x:c r="I4742" s="87" t="str">
        <x:v>ТР №2</x:v>
      </x:c>
      <x:c r="J4742" s="87" t="str">
        <x:v>БИ2510203</x:v>
      </x:c>
      <x:c r="K4742" s="87" t="n">
        <x:v>6</x:v>
      </x:c>
      <x:c r="L4742" s="87" t="str">
        <x:v>Установление соответствия</x:v>
      </x:c>
      <x:c r="M4742" s="30" t="str">
        <x:v>Установите соответствие между характеристиками и способами
    размножения, обозначенными на схемах цифрами 1, 2: к каждой позиции,
    данной в первом столбце, подберите соответствующую позицию из второго
    столбца.
                      ХАРАКТЕРИСТИКИ                                       ВИДЫ
                                                                       РАЗМНОЖЕНИЯ
    А) обеспечивает обмен генетической информацией                    1) 1
    Б) позволяет создавать идентичные организмы                       2) 2
    В) в процессе клетки делятся только митозом
    Г) сопровождается образованием гамет
    Д) позволяет в короткие сроки получить большое
       количество потомства
    Е) в процессе происходит слияние гаплоидных
       клеток
    Запишите в таблицу выбранные цифры под соответствующими буквами.
               А Б В Г Д Е
    Ответ:</x:v>
      </x:c>
      <x:c r="N4742" s="30" t="str">
        <x:v>211212</x:v>
      </x:c>
      <x:c r="O4742" s="30" t="str">
        <x:v>Каждая характеристика сопоставлена с обозначенной структурой/категорией; последовательность подтверждена официальным ключом.</x:v>
      </x:c>
      <x:c r="P4742" s="30" t="str">
        <x:v>Условие и визуал просмотрены; ответ проверен по биологической логике/расчёту и сопоставлен с каноническим источником.</x:v>
      </x:c>
      <x:c r="Q4742" s="30"/>
      <x:c r="R4742" s="30" t="str">
        <x:v>211212</x:v>
      </x:c>
      <x:c r="S4742" s="30"/>
      <x:c r="T4742" s="30" t="str">
        <x:v>Kriterii_BI11_19122025_.pdf</x:v>
      </x:c>
      <x:c r="U4742" s="30" t="str">
        <x:v>Расхождений с каноническим источником нет.</x:v>
      </x:c>
      <x:c r="V4742" s="87" t="str">
        <x:v>VERIFIED</x:v>
      </x:c>
      <x:c r="W4742" s="87"/>
      <x:c r="X4742" s="87" t="n">
        <x:v>4</x:v>
      </x:c>
      <x:c r="Y4742" s="87"/>
      <x:c r="Z4742" s="87"/>
      <x:c r="AA4742" s="87"/>
      <x:c r="AB4742" s="87" t="str">
        <x:v>1</x:v>
      </x:c>
      <x:c r="AC4742" s="87" t="str">
        <x:v>VIS-BIO-DEC-TASK-34-P004</x:v>
      </x:c>
      <x:c r="AD4742" s="87" t="str">
        <x:v>VIS-BIO-DEC-CRIT-34-P001</x:v>
      </x:c>
      <x:c r="AE4742" s="87" t="str">
        <x:v>TASK; CRIT</x:v>
      </x:c>
      <x:c r="AF4742" s="87" t="str">
        <x:v>VIS-BIO-DEC-TASK-34-P004: 4; VIS-BIO-DEC-CRIT-34-P001: 1</x:v>
      </x:c>
      <x:c r="AG4742" s="87" t="str">
        <x:v>RESOLVED</x:v>
      </x:c>
      <x:c r="AH4742" s="87" t="str">
        <x:v>CROP_VERIFIED; TASK_CROP_QA_APPROVED:USE_TIGHT</x:v>
      </x:c>
      <x:c r="AI4742" s="30"/>
      <x:c r="AJ4742" s="87" t="str">
        <x:v>clean</x:v>
      </x:c>
      <x:c r="AK4742" s="87" t="str">
        <x:v>clean-v0.08</x:v>
      </x:c>
      <x:c r="AL4742" s="87" t="str">
        <x:v>statgrad_clean_continuation_v0_08(1).xlsx</x:v>
      </x:c>
      <x:c r="AM4742" s="87" t="str">
        <x:v>BIO_Dec_V3</x:v>
      </x:c>
      <x:c r="AN4742" s="87" t="n">
        <x:v>7</x:v>
      </x:c>
    </x:row>
    <x:row r="4743">
      <x:c r="A4743" s="87" t="n">
        <x:v>4742</x:v>
      </x:c>
      <x:c r="B4743" s="87" t="str">
        <x:v>DEC-BIO-03-007</x:v>
      </x:c>
      <x:c r="C4743" s="87" t="str">
        <x:v>СтатГрад</x:v>
      </x:c>
      <x:c r="D4743" s="87" t="str">
        <x:v>Декабрь 2025</x:v>
      </x:c>
      <x:c r="E4743" s="87"/>
      <x:c r="F4743" s="87"/>
      <x:c r="G4743" s="87" t="str">
        <x:v>Биология</x:v>
      </x:c>
      <x:c r="H4743" s="87" t="n">
        <x:v>11</x:v>
      </x:c>
      <x:c r="I4743" s="87" t="str">
        <x:v>ТР №2</x:v>
      </x:c>
      <x:c r="J4743" s="87" t="str">
        <x:v>БИ2510203</x:v>
      </x:c>
      <x:c r="K4743" s="87" t="n">
        <x:v>7</x:v>
      </x:c>
      <x:c r="L4743" s="87" t="str">
        <x:v>Множественный выбор</x:v>
      </x:c>
      <x:c r="M4743" s="30" t="str">
        <x:v>Выберите три верных ответа и запишите в таблицу цифры, под которыми они
    указаны.
    К функциям липидов в организмах относят
    1) хранение энергии
    2) химический катализ
    3) передачу сигналов
    4) термоизоляцию
    5) хранение наследственной информации
    6) обеспечение синтеза белков
    Ответ:</x:v>
      </x:c>
      <x:c r="N4743" s="30" t="str">
        <x:v>134</x:v>
      </x:c>
      <x:c r="O4743" s="30" t="str">
        <x:v>Все шесть утверждений проверены по биологическим признакам; выбраны три корректные позиции.</x:v>
      </x:c>
      <x:c r="P4743" s="30" t="str">
        <x:v>Условие и визуал просмотрены; ответ проверен по биологической логике/расчёту и сопоставлен с каноническим источником.</x:v>
      </x:c>
      <x:c r="Q4743" s="30"/>
      <x:c r="R4743" s="30" t="str">
        <x:v>134</x:v>
      </x:c>
      <x:c r="S4743" s="30"/>
      <x:c r="T4743" s="30" t="str">
        <x:v>Kriterii_BI11_19122025_.pdf</x:v>
      </x:c>
      <x:c r="U4743" s="30" t="str">
        <x:v>Расхождений с каноническим источником нет.</x:v>
      </x:c>
      <x:c r="V4743" s="87" t="str">
        <x:v>VERIFIED</x:v>
      </x:c>
      <x:c r="W4743" s="87"/>
      <x:c r="X4743" s="87" t="n">
        <x:v>4</x:v>
      </x:c>
      <x:c r="Y4743" s="87"/>
      <x:c r="Z4743" s="87"/>
      <x:c r="AA4743" s="87"/>
      <x:c r="AB4743" s="87" t="str">
        <x:v>1</x:v>
      </x:c>
      <x:c r="AC4743" s="87" t="str">
        <x:v>VIS-BIO-DEC-TASK-34-P004</x:v>
      </x:c>
      <x:c r="AD4743" s="87" t="str">
        <x:v>VIS-BIO-DEC-CRIT-34-P001</x:v>
      </x:c>
      <x:c r="AE4743" s="87" t="str">
        <x:v>TASK; CRIT</x:v>
      </x:c>
      <x:c r="AF4743" s="87" t="str">
        <x:v>VIS-BIO-DEC-TASK-34-P004: 4; VIS-BIO-DEC-CRIT-34-P001: 1</x:v>
      </x:c>
      <x:c r="AG4743" s="87" t="str">
        <x:v>RESOLVED</x:v>
      </x:c>
      <x:c r="AH4743" s="87" t="str">
        <x:v>CROP_VERIFIED</x:v>
      </x:c>
      <x:c r="AI4743" s="30"/>
      <x:c r="AJ4743" s="87" t="str">
        <x:v>clean</x:v>
      </x:c>
      <x:c r="AK4743" s="87" t="str">
        <x:v>clean-v0.08</x:v>
      </x:c>
      <x:c r="AL4743" s="87" t="str">
        <x:v>statgrad_clean_continuation_v0_08(1).xlsx</x:v>
      </x:c>
      <x:c r="AM4743" s="87" t="str">
        <x:v>BIO_Dec_V3</x:v>
      </x:c>
      <x:c r="AN4743" s="87" t="n">
        <x:v>8</x:v>
      </x:c>
    </x:row>
    <x:row r="4744">
      <x:c r="A4744" s="87" t="n">
        <x:v>4743</x:v>
      </x:c>
      <x:c r="B4744" s="87" t="str">
        <x:v>DEC-BIO-03-008</x:v>
      </x:c>
      <x:c r="C4744" s="87" t="str">
        <x:v>СтатГрад</x:v>
      </x:c>
      <x:c r="D4744" s="87" t="str">
        <x:v>Декабрь 2025</x:v>
      </x:c>
      <x:c r="E4744" s="87"/>
      <x:c r="F4744" s="87"/>
      <x:c r="G4744" s="87" t="str">
        <x:v>Биология</x:v>
      </x:c>
      <x:c r="H4744" s="87" t="n">
        <x:v>11</x:v>
      </x:c>
      <x:c r="I4744" s="87" t="str">
        <x:v>ТР №2</x:v>
      </x:c>
      <x:c r="J4744" s="87" t="str">
        <x:v>БИ2510203</x:v>
      </x:c>
      <x:c r="K4744" s="87" t="n">
        <x:v>8</x:v>
      </x:c>
      <x:c r="L4744" s="87" t="str">
        <x:v>Установление последовательности</x:v>
      </x:c>
      <x:c r="M4744" s="30" t="str">
        <x:v>Установите последовательность процессов, происходящих при синтезе
    отстающей цепи ДНК в процессе репликации. Запишите в таблицу
    соответствующую последовательность цифр.
    1) синтез РНК-затравки
    2) замена РНК-нуклеотидов на ДНК-нуклеотиды
    3) прикрепление фермента для синтеза РНК-затравки                            (праймазы)
       к матричной ДНК
    4) сшивание фрагментов ДНК ферментом лигазой
    5) синтез фрагмента ДНК
    Ответ:
                 Рассмотрите рисунок и выполните задания 9 и 10.</x:v>
      </x:c>
      <x:c r="N4744" s="30" t="str">
        <x:v>31524</x:v>
      </x:c>
      <x:c r="O4744" s="30" t="str">
        <x:v>Этапы упорядочены по причинно-временной либо систематической последовательности.</x:v>
      </x:c>
      <x:c r="P4744" s="30" t="str">
        <x:v>Условие и визуал просмотрены; ответ проверен по биологической логике/расчёту и сопоставлен с каноническим источником.</x:v>
      </x:c>
      <x:c r="Q4744" s="30"/>
      <x:c r="R4744" s="30" t="str">
        <x:v>31524</x:v>
      </x:c>
      <x:c r="S4744" s="30"/>
      <x:c r="T4744" s="30" t="str">
        <x:v>Kriterii_BI11_19122025_.pdf</x:v>
      </x:c>
      <x:c r="U4744" s="30" t="str">
        <x:v>Расхождений с каноническим источником нет.</x:v>
      </x:c>
      <x:c r="V4744" s="87" t="str">
        <x:v>VERIFIED</x:v>
      </x:c>
      <x:c r="W4744" s="87"/>
      <x:c r="X4744" s="87" t="n">
        <x:v>5</x:v>
      </x:c>
      <x:c r="Y4744" s="87"/>
      <x:c r="Z4744" s="87"/>
      <x:c r="AA4744" s="87"/>
      <x:c r="AB4744" s="87" t="str">
        <x:v>1</x:v>
      </x:c>
      <x:c r="AC4744" s="87" t="str">
        <x:v>VIS-BIO-DEC-TASK-34-P005</x:v>
      </x:c>
      <x:c r="AD4744" s="87" t="str">
        <x:v>VIS-BIO-DEC-CRIT-34-P001</x:v>
      </x:c>
      <x:c r="AE4744" s="87" t="str">
        <x:v>TASK; CRIT</x:v>
      </x:c>
      <x:c r="AF4744" s="87" t="str">
        <x:v>VIS-BIO-DEC-TASK-34-P005: 5; VIS-BIO-DEC-CRIT-34-P001: 1</x:v>
      </x:c>
      <x:c r="AG4744" s="87" t="str">
        <x:v>RESOLVED</x:v>
      </x:c>
      <x:c r="AH4744" s="87" t="str">
        <x:v>CROP_VERIFIED</x:v>
      </x:c>
      <x:c r="AI4744" s="30"/>
      <x:c r="AJ4744" s="87" t="str">
        <x:v>clean</x:v>
      </x:c>
      <x:c r="AK4744" s="87" t="str">
        <x:v>clean-v0.08</x:v>
      </x:c>
      <x:c r="AL4744" s="87" t="str">
        <x:v>statgrad_clean_continuation_v0_08(1).xlsx</x:v>
      </x:c>
      <x:c r="AM4744" s="87" t="str">
        <x:v>BIO_Dec_V3</x:v>
      </x:c>
      <x:c r="AN4744" s="87" t="n">
        <x:v>9</x:v>
      </x:c>
    </x:row>
    <x:row r="4745">
      <x:c r="A4745" s="87" t="n">
        <x:v>4744</x:v>
      </x:c>
      <x:c r="B4745" s="87" t="str">
        <x:v>DEC-BIO-03-009</x:v>
      </x:c>
      <x:c r="C4745" s="87" t="str">
        <x:v>СтатГрад</x:v>
      </x:c>
      <x:c r="D4745" s="87" t="str">
        <x:v>Декабрь 2025</x:v>
      </x:c>
      <x:c r="E4745" s="87"/>
      <x:c r="F4745" s="87"/>
      <x:c r="G4745" s="87" t="str">
        <x:v>Биология</x:v>
      </x:c>
      <x:c r="H4745" s="87" t="n">
        <x:v>11</x:v>
      </x:c>
      <x:c r="I4745" s="87" t="str">
        <x:v>ТР №2</x:v>
      </x:c>
      <x:c r="J4745" s="87" t="str">
        <x:v>БИ2510203</x:v>
      </x:c>
      <x:c r="K4745" s="87" t="n">
        <x:v>9</x:v>
      </x:c>
      <x:c r="L4745" s="87" t="str">
        <x:v>Определение по рисунку/таблице</x:v>
      </x:c>
      <x:c r="M4745" s="30" t="str">
        <x:v>Какой цифрой на рисунке обозначена эпидерма листа?
    Ответ: ___________________________.</x:v>
      </x:c>
      <x:c r="N4745" s="30" t="str">
        <x:v>8</x:v>
      </x:c>
      <x:c r="O4745" s="30" t="str">
        <x:v>Номер структуры определён по исходному рисунку и подтверждён дополнительной таблицей ответов.</x:v>
      </x:c>
      <x:c r="P4745" s="30" t="str">
        <x:v>Условие и визуал просмотрены; ответ проверен по биологической логике/расчёту и сопоставлен с каноническим источником.</x:v>
      </x:c>
      <x:c r="Q4745" s="30"/>
      <x:c r="R4745" s="30" t="str">
        <x:v>8</x:v>
      </x:c>
      <x:c r="S4745" s="30"/>
      <x:c r="T4745" s="30" t="str">
        <x:v>IMG_20251220_203648_739.jpg</x:v>
      </x:c>
      <x:c r="U4745" s="30" t="str">
        <x:v>Вторичная крупная картинка не является канонической и исключена из ответа.</x:v>
      </x:c>
      <x:c r="V4745" s="87" t="str">
        <x:v>VERIFIED</x:v>
      </x:c>
      <x:c r="W4745" s="87"/>
      <x:c r="X4745" s="87" t="n">
        <x:v>5</x:v>
      </x:c>
      <x:c r="Y4745" s="87"/>
      <x:c r="Z4745" s="87"/>
      <x:c r="AA4745" s="87"/>
      <x:c r="AB4745" s="87" t="str">
        <x:v>таблица дополнения</x:v>
      </x:c>
      <x:c r="AC4745" s="87" t="str">
        <x:v>VIS-BIO-DEC-TASK-34-P005</x:v>
      </x:c>
      <x:c r="AD4745" s="87" t="str">
        <x:v>VIS-BIO-DEC-KEY-SUPPLEMENT</x:v>
      </x:c>
      <x:c r="AE4745" s="87" t="str">
        <x:v>TASK; KEY_SUPPLEMENT</x:v>
      </x:c>
      <x:c r="AF4745" s="87" t="str">
        <x:v>VIS-BIO-DEC-TASK-34-P005: 5; VIS-BIO-DEC-KEY-SUPPLEMENT: original</x:v>
      </x:c>
      <x:c r="AG4745" s="87" t="str">
        <x:v>RESOLVED</x:v>
      </x:c>
      <x:c r="AH4745" s="87" t="str">
        <x:v>CROP_VERIFIED; TASK_CROP_QA_APPROVED:USE_CONTEXT</x:v>
      </x:c>
      <x:c r="AI4745" s="30"/>
      <x:c r="AJ4745" s="87" t="str">
        <x:v>clean</x:v>
      </x:c>
      <x:c r="AK4745" s="87" t="str">
        <x:v>clean-v0.08</x:v>
      </x:c>
      <x:c r="AL4745" s="87" t="str">
        <x:v>statgrad_clean_continuation_v0_08(1).xlsx</x:v>
      </x:c>
      <x:c r="AM4745" s="87" t="str">
        <x:v>BIO_Dec_V3</x:v>
      </x:c>
      <x:c r="AN4745" s="87" t="n">
        <x:v>10</x:v>
      </x:c>
    </x:row>
    <x:row r="4746">
      <x:c r="A4746" s="87" t="n">
        <x:v>4745</x:v>
      </x:c>
      <x:c r="B4746" s="87" t="str">
        <x:v>DEC-BIO-03-010</x:v>
      </x:c>
      <x:c r="C4746" s="87" t="str">
        <x:v>СтатГрад</x:v>
      </x:c>
      <x:c r="D4746" s="87" t="str">
        <x:v>Декабрь 2025</x:v>
      </x:c>
      <x:c r="E4746" s="87"/>
      <x:c r="F4746" s="87"/>
      <x:c r="G4746" s="87" t="str">
        <x:v>Биология</x:v>
      </x:c>
      <x:c r="H4746" s="87" t="n">
        <x:v>11</x:v>
      </x:c>
      <x:c r="I4746" s="87" t="str">
        <x:v>ТР №2</x:v>
      </x:c>
      <x:c r="J4746" s="87" t="str">
        <x:v>БИ2510203</x:v>
      </x:c>
      <x:c r="K4746" s="87" t="n">
        <x:v>10</x:v>
      </x:c>
      <x:c r="L4746" s="87" t="str">
        <x:v>Установление соответствия</x:v>
      </x:c>
      <x:c r="M4746" s="30" t="str">
        <x:v>Установите соответствие между функциями и структурами растения,
     обозначенными на рисунке цифрами 1, 2, 3: к каждой позиции, данной
     в первом столбце, подберите соответствующую позицию из второго столбца.
                                                                         СТРУКТУРЫ
                            ФУНКЦИИ
                                                                          РАСТЕНИЯ
     А) содержит хлоропласты                                         1) 1
     Б) состоит из мёртвых клеток                                    2) 2
     В) формируется покровной тканью корня                           3) 3
     Г) входит в состав сосудисто-проводящих пучков
     Д) обеспечивает транспирацию
     Е) всасывает минеральные вещества из почвы
     Запишите в таблицу выбранные цифры под соответствующими буквами.
                А Б В Г Д Е
     Ответ:</x:v>
      </x:c>
      <x:c r="N4746" s="30" t="str">
        <x:v>123213</x:v>
      </x:c>
      <x:c r="O4746" s="30" t="str">
        <x:v>Каждая характеристика сопоставлена с обозначенной структурой/категорией; последовательность подтверждена официальным ключом.</x:v>
      </x:c>
      <x:c r="P4746" s="30" t="str">
        <x:v>Условие и визуал просмотрены; ответ проверен по биологической логике/расчёту и сопоставлен с каноническим источником.</x:v>
      </x:c>
      <x:c r="Q4746" s="30"/>
      <x:c r="R4746" s="30" t="str">
        <x:v>123213</x:v>
      </x:c>
      <x:c r="S4746" s="30"/>
      <x:c r="T4746" s="30" t="str">
        <x:v>Kriterii_BI11_19122025_.pdf</x:v>
      </x:c>
      <x:c r="U4746" s="30" t="str">
        <x:v>Вторичная крупная картинка не является канонической и исключена из ответа.</x:v>
      </x:c>
      <x:c r="V4746" s="87" t="str">
        <x:v>VERIFIED</x:v>
      </x:c>
      <x:c r="W4746" s="87"/>
      <x:c r="X4746" s="87" t="n">
        <x:v>6</x:v>
      </x:c>
      <x:c r="Y4746" s="87"/>
      <x:c r="Z4746" s="87"/>
      <x:c r="AA4746" s="87"/>
      <x:c r="AB4746" s="87" t="str">
        <x:v>1</x:v>
      </x:c>
      <x:c r="AC4746" s="87" t="str">
        <x:v>VIS-BIO-DEC-TASK-34-P006</x:v>
      </x:c>
      <x:c r="AD4746" s="87" t="str">
        <x:v>VIS-BIO-DEC-CRIT-34-P001</x:v>
      </x:c>
      <x:c r="AE4746" s="87" t="str">
        <x:v>TASK; CRIT</x:v>
      </x:c>
      <x:c r="AF4746" s="87" t="str">
        <x:v>VIS-BIO-DEC-TASK-34-P006: 6; VIS-BIO-DEC-CRIT-34-P001: 1</x:v>
      </x:c>
      <x:c r="AG4746" s="87" t="str">
        <x:v>RESOLVED</x:v>
      </x:c>
      <x:c r="AH4746" s="87" t="str">
        <x:v>CROP_VERIFIED; TASK_CROP_QA_APPROVED:USE_TIGHT</x:v>
      </x:c>
      <x:c r="AI4746" s="30"/>
      <x:c r="AJ4746" s="87" t="str">
        <x:v>clean</x:v>
      </x:c>
      <x:c r="AK4746" s="87" t="str">
        <x:v>clean-v0.08</x:v>
      </x:c>
      <x:c r="AL4746" s="87" t="str">
        <x:v>statgrad_clean_continuation_v0_08(1).xlsx</x:v>
      </x:c>
      <x:c r="AM4746" s="87" t="str">
        <x:v>BIO_Dec_V3</x:v>
      </x:c>
      <x:c r="AN4746" s="87" t="n">
        <x:v>11</x:v>
      </x:c>
    </x:row>
    <x:row r="4747">
      <x:c r="A4747" s="87" t="n">
        <x:v>4746</x:v>
      </x:c>
      <x:c r="B4747" s="87" t="str">
        <x:v>DEC-BIO-03-011</x:v>
      </x:c>
      <x:c r="C4747" s="87" t="str">
        <x:v>СтатГрад</x:v>
      </x:c>
      <x:c r="D4747" s="87" t="str">
        <x:v>Декабрь 2025</x:v>
      </x:c>
      <x:c r="E4747" s="87"/>
      <x:c r="F4747" s="87"/>
      <x:c r="G4747" s="87" t="str">
        <x:v>Биология</x:v>
      </x:c>
      <x:c r="H4747" s="87" t="n">
        <x:v>11</x:v>
      </x:c>
      <x:c r="I4747" s="87" t="str">
        <x:v>ТР №2</x:v>
      </x:c>
      <x:c r="J4747" s="87" t="str">
        <x:v>БИ2510203</x:v>
      </x:c>
      <x:c r="K4747" s="87" t="n">
        <x:v>11</x:v>
      </x:c>
      <x:c r="L4747" s="87" t="str">
        <x:v>Множественный выбор</x:v>
      </x:c>
      <x:c r="M4747" s="30" t="str">
        <x:v>Выберите три верных ответа и запишите в таблицу цифры, под которыми
     они указаны.
     Роговыми производными кожных покровов животных являются
     1) чешуи змей
     2) хитиновый панцирь насекомых
     3) копыта оленей
     4) перья птиц
     5) чешуя акул
     6) раковина моллюсков
     Ответ:</x:v>
      </x:c>
      <x:c r="N4747" s="30" t="str">
        <x:v>134</x:v>
      </x:c>
      <x:c r="O4747" s="30" t="str">
        <x:v>Все шесть утверждений проверены по биологическим признакам; выбраны три корректные позиции.</x:v>
      </x:c>
      <x:c r="P4747" s="30" t="str">
        <x:v>Условие и визуал просмотрены; ответ проверен по биологической логике/расчёту и сопоставлен с каноническим источником.</x:v>
      </x:c>
      <x:c r="Q4747" s="30"/>
      <x:c r="R4747" s="30" t="str">
        <x:v>134</x:v>
      </x:c>
      <x:c r="S4747" s="30"/>
      <x:c r="T4747" s="30" t="str">
        <x:v>Kriterii_BI11_19122025_.pdf</x:v>
      </x:c>
      <x:c r="U4747" s="30" t="str">
        <x:v>Расхождений с каноническим источником нет.</x:v>
      </x:c>
      <x:c r="V4747" s="87" t="str">
        <x:v>VERIFIED</x:v>
      </x:c>
      <x:c r="W4747" s="87"/>
      <x:c r="X4747" s="87" t="n">
        <x:v>6</x:v>
      </x:c>
      <x:c r="Y4747" s="87"/>
      <x:c r="Z4747" s="87"/>
      <x:c r="AA4747" s="87"/>
      <x:c r="AB4747" s="87" t="str">
        <x:v>1</x:v>
      </x:c>
      <x:c r="AC4747" s="87" t="str">
        <x:v>VIS-BIO-DEC-TASK-34-P006</x:v>
      </x:c>
      <x:c r="AD4747" s="87" t="str">
        <x:v>VIS-BIO-DEC-CRIT-34-P001</x:v>
      </x:c>
      <x:c r="AE4747" s="87" t="str">
        <x:v>TASK; CRIT</x:v>
      </x:c>
      <x:c r="AF4747" s="87" t="str">
        <x:v>VIS-BIO-DEC-TASK-34-P006: 6; VIS-BIO-DEC-CRIT-34-P001: 1</x:v>
      </x:c>
      <x:c r="AG4747" s="87" t="str">
        <x:v>RESOLVED</x:v>
      </x:c>
      <x:c r="AH4747" s="87" t="str">
        <x:v>CROP_VERIFIED</x:v>
      </x:c>
      <x:c r="AI4747" s="30"/>
      <x:c r="AJ4747" s="87" t="str">
        <x:v>clean</x:v>
      </x:c>
      <x:c r="AK4747" s="87" t="str">
        <x:v>clean-v0.08</x:v>
      </x:c>
      <x:c r="AL4747" s="87" t="str">
        <x:v>statgrad_clean_continuation_v0_08(1).xlsx</x:v>
      </x:c>
      <x:c r="AM4747" s="87" t="str">
        <x:v>BIO_Dec_V3</x:v>
      </x:c>
      <x:c r="AN4747" s="87" t="n">
        <x:v>12</x:v>
      </x:c>
    </x:row>
    <x:row r="4748">
      <x:c r="A4748" s="87" t="n">
        <x:v>4747</x:v>
      </x:c>
      <x:c r="B4748" s="87" t="str">
        <x:v>DEC-BIO-03-012</x:v>
      </x:c>
      <x:c r="C4748" s="87" t="str">
        <x:v>СтатГрад</x:v>
      </x:c>
      <x:c r="D4748" s="87" t="str">
        <x:v>Декабрь 2025</x:v>
      </x:c>
      <x:c r="E4748" s="87"/>
      <x:c r="F4748" s="87"/>
      <x:c r="G4748" s="87" t="str">
        <x:v>Биология</x:v>
      </x:c>
      <x:c r="H4748" s="87" t="n">
        <x:v>11</x:v>
      </x:c>
      <x:c r="I4748" s="87" t="str">
        <x:v>ТР №2</x:v>
      </x:c>
      <x:c r="J4748" s="87" t="str">
        <x:v>БИ2510203</x:v>
      </x:c>
      <x:c r="K4748" s="87" t="n">
        <x:v>12</x:v>
      </x:c>
      <x:c r="L4748" s="87" t="str">
        <x:v>Установление последовательности</x:v>
      </x:c>
      <x:c r="M4748" s="30" t="str">
        <x:v>Установите последовательность систематических групп животных, начиная
     с самого высокого ранга. Запишите в таблицу соответствующую последова-
     тельность цифр.
     1) Китообразные
     2) Дельфин-белобочка
     3) Млекопитающие
     4) Дельфиновые
     5) Позвоночные
     6) Хордовые
     Ответ:
                 Рассмотрите рисунок и выполните задания 13 и 14.</x:v>
      </x:c>
      <x:c r="N4748" s="30" t="str">
        <x:v>653142</x:v>
      </x:c>
      <x:c r="O4748" s="30" t="str">
        <x:v>Этапы упорядочены по причинно-временной либо систематической последовательности.</x:v>
      </x:c>
      <x:c r="P4748" s="30" t="str">
        <x:v>Условие и визуал просмотрены; ответ проверен по биологической логике/расчёту и сопоставлен с каноническим источником.</x:v>
      </x:c>
      <x:c r="Q4748" s="30"/>
      <x:c r="R4748" s="30" t="str">
        <x:v>653142</x:v>
      </x:c>
      <x:c r="S4748" s="30"/>
      <x:c r="T4748" s="30" t="str">
        <x:v>Kriterii_BI11_19122025_.pdf</x:v>
      </x:c>
      <x:c r="U4748" s="30" t="str">
        <x:v>Расхождений с каноническим источником нет.</x:v>
      </x:c>
      <x:c r="V4748" s="87" t="str">
        <x:v>VERIFIED</x:v>
      </x:c>
      <x:c r="W4748" s="87"/>
      <x:c r="X4748" s="87" t="n">
        <x:v>6</x:v>
      </x:c>
      <x:c r="Y4748" s="87"/>
      <x:c r="Z4748" s="87"/>
      <x:c r="AA4748" s="87"/>
      <x:c r="AB4748" s="87" t="str">
        <x:v>1</x:v>
      </x:c>
      <x:c r="AC4748" s="87" t="str">
        <x:v>VIS-BIO-DEC-TASK-34-P006</x:v>
      </x:c>
      <x:c r="AD4748" s="87" t="str">
        <x:v>VIS-BIO-DEC-CRIT-34-P001</x:v>
      </x:c>
      <x:c r="AE4748" s="87" t="str">
        <x:v>TASK; CRIT</x:v>
      </x:c>
      <x:c r="AF4748" s="87" t="str">
        <x:v>VIS-BIO-DEC-TASK-34-P006: 6; VIS-BIO-DEC-CRIT-34-P001: 1</x:v>
      </x:c>
      <x:c r="AG4748" s="87" t="str">
        <x:v>RESOLVED</x:v>
      </x:c>
      <x:c r="AH4748" s="87" t="str">
        <x:v>CROP_VERIFIED</x:v>
      </x:c>
      <x:c r="AI4748" s="30"/>
      <x:c r="AJ4748" s="87" t="str">
        <x:v>clean</x:v>
      </x:c>
      <x:c r="AK4748" s="87" t="str">
        <x:v>clean-v0.08</x:v>
      </x:c>
      <x:c r="AL4748" s="87" t="str">
        <x:v>statgrad_clean_continuation_v0_08(1).xlsx</x:v>
      </x:c>
      <x:c r="AM4748" s="87" t="str">
        <x:v>BIO_Dec_V3</x:v>
      </x:c>
      <x:c r="AN4748" s="87" t="n">
        <x:v>13</x:v>
      </x:c>
    </x:row>
    <x:row r="4749">
      <x:c r="A4749" s="87" t="n">
        <x:v>4748</x:v>
      </x:c>
      <x:c r="B4749" s="87" t="str">
        <x:v>DEC-BIO-03-013</x:v>
      </x:c>
      <x:c r="C4749" s="87" t="str">
        <x:v>СтатГрад</x:v>
      </x:c>
      <x:c r="D4749" s="87" t="str">
        <x:v>Декабрь 2025</x:v>
      </x:c>
      <x:c r="E4749" s="87"/>
      <x:c r="F4749" s="87"/>
      <x:c r="G4749" s="87" t="str">
        <x:v>Биология</x:v>
      </x:c>
      <x:c r="H4749" s="87" t="n">
        <x:v>11</x:v>
      </x:c>
      <x:c r="I4749" s="87" t="str">
        <x:v>ТР №2</x:v>
      </x:c>
      <x:c r="J4749" s="87" t="str">
        <x:v>БИ2510203</x:v>
      </x:c>
      <x:c r="K4749" s="87" t="n">
        <x:v>13</x:v>
      </x:c>
      <x:c r="L4749" s="87" t="str">
        <x:v>Определение по рисунку/таблице</x:v>
      </x:c>
      <x:c r="M4749" s="30" t="str">
        <x:v>Какой цифрой на рисунке обозначен жёлтый костный мозг?
     Ответ: ___________________________.</x:v>
      </x:c>
      <x:c r="N4749" s="30" t="str">
        <x:v>5</x:v>
      </x:c>
      <x:c r="O4749" s="30" t="str">
        <x:v>Номер структуры определён по исходному рисунку и подтверждён дополнительной таблицей ответов.</x:v>
      </x:c>
      <x:c r="P4749" s="30" t="str">
        <x:v>Условие и визуал просмотрены; ответ проверен по биологической логике/расчёту и сопоставлен с каноническим источником.</x:v>
      </x:c>
      <x:c r="Q4749" s="30"/>
      <x:c r="R4749" s="30" t="str">
        <x:v>5</x:v>
      </x:c>
      <x:c r="S4749" s="30"/>
      <x:c r="T4749" s="30" t="str">
        <x:v>IMG_20251220_203648_739.jpg</x:v>
      </x:c>
      <x:c r="U4749" s="30" t="str">
        <x:v>Вторичная крупная картинка не является канонической и исключена из ответа.</x:v>
      </x:c>
      <x:c r="V4749" s="87" t="str">
        <x:v>VERIFIED</x:v>
      </x:c>
      <x:c r="W4749" s="87"/>
      <x:c r="X4749" s="87" t="n">
        <x:v>7</x:v>
      </x:c>
      <x:c r="Y4749" s="87"/>
      <x:c r="Z4749" s="87"/>
      <x:c r="AA4749" s="87"/>
      <x:c r="AB4749" s="87" t="str">
        <x:v>таблица дополнения</x:v>
      </x:c>
      <x:c r="AC4749" s="87" t="str">
        <x:v>VIS-BIO-DEC-TASK-34-P007</x:v>
      </x:c>
      <x:c r="AD4749" s="87" t="str">
        <x:v>VIS-BIO-DEC-KEY-SUPPLEMENT</x:v>
      </x:c>
      <x:c r="AE4749" s="87" t="str">
        <x:v>TASK; KEY_SUPPLEMENT</x:v>
      </x:c>
      <x:c r="AF4749" s="87" t="str">
        <x:v>VIS-BIO-DEC-TASK-34-P007: 7; VIS-BIO-DEC-KEY-SUPPLEMENT: original</x:v>
      </x:c>
      <x:c r="AG4749" s="87" t="str">
        <x:v>RESOLVED</x:v>
      </x:c>
      <x:c r="AH4749" s="87" t="str">
        <x:v>CROP_VERIFIED; TASK_CROP_QA_APPROVED:MANUAL_BBOX</x:v>
      </x:c>
      <x:c r="AI4749" s="30"/>
      <x:c r="AJ4749" s="87" t="str">
        <x:v>clean</x:v>
      </x:c>
      <x:c r="AK4749" s="87" t="str">
        <x:v>clean-v0.08</x:v>
      </x:c>
      <x:c r="AL4749" s="87" t="str">
        <x:v>statgrad_clean_continuation_v0_08(1).xlsx</x:v>
      </x:c>
      <x:c r="AM4749" s="87" t="str">
        <x:v>BIO_Dec_V3</x:v>
      </x:c>
      <x:c r="AN4749" s="87" t="n">
        <x:v>14</x:v>
      </x:c>
    </x:row>
    <x:row r="4750">
      <x:c r="A4750" s="87" t="n">
        <x:v>4749</x:v>
      </x:c>
      <x:c r="B4750" s="87" t="str">
        <x:v>DEC-BIO-03-014</x:v>
      </x:c>
      <x:c r="C4750" s="87" t="str">
        <x:v>СтатГрад</x:v>
      </x:c>
      <x:c r="D4750" s="87" t="str">
        <x:v>Декабрь 2025</x:v>
      </x:c>
      <x:c r="E4750" s="87"/>
      <x:c r="F4750" s="87"/>
      <x:c r="G4750" s="87" t="str">
        <x:v>Биология</x:v>
      </x:c>
      <x:c r="H4750" s="87" t="n">
        <x:v>11</x:v>
      </x:c>
      <x:c r="I4750" s="87" t="str">
        <x:v>ТР №2</x:v>
      </x:c>
      <x:c r="J4750" s="87" t="str">
        <x:v>БИ2510203</x:v>
      </x:c>
      <x:c r="K4750" s="87" t="n">
        <x:v>14</x:v>
      </x:c>
      <x:c r="L4750" s="87" t="str">
        <x:v>Установление соответствия</x:v>
      </x:c>
      <x:c r="M4750" s="30" t="str">
        <x:v>Установите соответствие между характеристиками и клетками человека,
     обозначенными на рисунке цифрами 1, 2, 3: к каждой позиции, данной
     в первом столбце, подберите соответствующую позицию из второго столбца.
                ХАРАКТЕРИСТИКИ                                 КЛЕТКИ ЧЕЛОВЕКА
     А) содержат ядро                                      1) 1
     Б) производят факторы свёртывания                     2) 2
     В) дозревают в лимфатических узлах                    3) 3
     Г) транспортируют кислород
     Д) содержат гемоглобин
     Е) называются кровяными пластинками
     Запишите в таблицу выбранные цифры под соответствующими буквами.
                А Б В Г Д Е
     Ответ:</x:v>
      </x:c>
      <x:c r="N4750" s="30" t="str">
        <x:v>232113</x:v>
      </x:c>
      <x:c r="O4750" s="30" t="str">
        <x:v>Каждая характеристика сопоставлена с обозначенной структурой/категорией; последовательность подтверждена официальным ключом.</x:v>
      </x:c>
      <x:c r="P4750" s="30" t="str">
        <x:v>Условие и визуал просмотрены; ответ проверен по биологической логике/расчёту и сопоставлен с каноническим источником.</x:v>
      </x:c>
      <x:c r="Q4750" s="30"/>
      <x:c r="R4750" s="30" t="str">
        <x:v>232113</x:v>
      </x:c>
      <x:c r="S4750" s="30"/>
      <x:c r="T4750" s="30" t="str">
        <x:v>Kriterii_BI11_19122025_.pdf</x:v>
      </x:c>
      <x:c r="U4750" s="30" t="str">
        <x:v>Вторичная крупная картинка не является канонической и исключена из ответа.</x:v>
      </x:c>
      <x:c r="V4750" s="87" t="str">
        <x:v>VERIFIED</x:v>
      </x:c>
      <x:c r="W4750" s="87"/>
      <x:c r="X4750" s="87" t="n">
        <x:v>7</x:v>
      </x:c>
      <x:c r="Y4750" s="87"/>
      <x:c r="Z4750" s="87"/>
      <x:c r="AA4750" s="87"/>
      <x:c r="AB4750" s="87" t="str">
        <x:v>1</x:v>
      </x:c>
      <x:c r="AC4750" s="87" t="str">
        <x:v>VIS-BIO-DEC-TASK-34-P007</x:v>
      </x:c>
      <x:c r="AD4750" s="87" t="str">
        <x:v>VIS-BIO-DEC-CRIT-34-P001</x:v>
      </x:c>
      <x:c r="AE4750" s="87" t="str">
        <x:v>TASK; CRIT</x:v>
      </x:c>
      <x:c r="AF4750" s="87" t="str">
        <x:v>VIS-BIO-DEC-TASK-34-P007: 7; VIS-BIO-DEC-CRIT-34-P001: 1</x:v>
      </x:c>
      <x:c r="AG4750" s="87" t="str">
        <x:v>RESOLVED</x:v>
      </x:c>
      <x:c r="AH4750" s="87" t="str">
        <x:v>CROP_VERIFIED; TASK_CROP_QA_APPROVED:USE_TIGHT</x:v>
      </x:c>
      <x:c r="AI4750" s="30"/>
      <x:c r="AJ4750" s="87" t="str">
        <x:v>clean</x:v>
      </x:c>
      <x:c r="AK4750" s="87" t="str">
        <x:v>clean-v0.08</x:v>
      </x:c>
      <x:c r="AL4750" s="87" t="str">
        <x:v>statgrad_clean_continuation_v0_08(1).xlsx</x:v>
      </x:c>
      <x:c r="AM4750" s="87" t="str">
        <x:v>BIO_Dec_V3</x:v>
      </x:c>
      <x:c r="AN4750" s="87" t="n">
        <x:v>15</x:v>
      </x:c>
    </x:row>
    <x:row r="4751">
      <x:c r="A4751" s="87" t="n">
        <x:v>4750</x:v>
      </x:c>
      <x:c r="B4751" s="87" t="str">
        <x:v>DEC-BIO-03-015</x:v>
      </x:c>
      <x:c r="C4751" s="87" t="str">
        <x:v>СтатГрад</x:v>
      </x:c>
      <x:c r="D4751" s="87" t="str">
        <x:v>Декабрь 2025</x:v>
      </x:c>
      <x:c r="E4751" s="87"/>
      <x:c r="F4751" s="87"/>
      <x:c r="G4751" s="87" t="str">
        <x:v>Биология</x:v>
      </x:c>
      <x:c r="H4751" s="87" t="n">
        <x:v>11</x:v>
      </x:c>
      <x:c r="I4751" s="87" t="str">
        <x:v>ТР №2</x:v>
      </x:c>
      <x:c r="J4751" s="87" t="str">
        <x:v>БИ2510203</x:v>
      </x:c>
      <x:c r="K4751" s="87" t="n">
        <x:v>15</x:v>
      </x:c>
      <x:c r="L4751" s="87" t="str">
        <x:v>Множественный выбор</x:v>
      </x:c>
      <x:c r="M4751" s="30" t="str">
        <x:v>Выберите три верно обозначенные подписи к рисунку, на котором
     изображены органы пищеварительной системы человека. Запишите цифры,
     под которыми они указаны.
     1) поджелудочная железа
     2) толстый кишечник
     3) двенадцатиперстная кишка
     4) тощая кишка
     5) аппендикс
     6) прямая кишка
     Ответ:</x:v>
      </x:c>
      <x:c r="N4751" s="30" t="str">
        <x:v>256</x:v>
      </x:c>
      <x:c r="O4751" s="30" t="str">
        <x:v>Все шесть утверждений проверены по биологическим признакам; выбраны три корректные позиции.</x:v>
      </x:c>
      <x:c r="P4751" s="30" t="str">
        <x:v>Условие и визуал просмотрены; ответ проверен по биологической логике/расчёту и сопоставлен с каноническим источником.</x:v>
      </x:c>
      <x:c r="Q4751" s="30"/>
      <x:c r="R4751" s="30" t="str">
        <x:v>256</x:v>
      </x:c>
      <x:c r="S4751" s="30"/>
      <x:c r="T4751" s="30" t="str">
        <x:v>Kriterii_BI11_19122025_.pdf</x:v>
      </x:c>
      <x:c r="U4751" s="30" t="str">
        <x:v>Вторичная крупная картинка не является канонической и исключена из ответа.</x:v>
      </x:c>
      <x:c r="V4751" s="87" t="str">
        <x:v>VERIFIED</x:v>
      </x:c>
      <x:c r="W4751" s="87"/>
      <x:c r="X4751" s="87" t="n">
        <x:v>8</x:v>
      </x:c>
      <x:c r="Y4751" s="87"/>
      <x:c r="Z4751" s="87"/>
      <x:c r="AA4751" s="87"/>
      <x:c r="AB4751" s="87" t="str">
        <x:v>1</x:v>
      </x:c>
      <x:c r="AC4751" s="87" t="str">
        <x:v>VIS-BIO-DEC-TASK-34-P008</x:v>
      </x:c>
      <x:c r="AD4751" s="87" t="str">
        <x:v>VIS-BIO-DEC-CRIT-34-P001</x:v>
      </x:c>
      <x:c r="AE4751" s="87" t="str">
        <x:v>TASK; CRIT</x:v>
      </x:c>
      <x:c r="AF4751" s="87" t="str">
        <x:v>VIS-BIO-DEC-TASK-34-P008: 8; VIS-BIO-DEC-CRIT-34-P001: 1</x:v>
      </x:c>
      <x:c r="AG4751" s="87" t="str">
        <x:v>RESOLVED</x:v>
      </x:c>
      <x:c r="AH4751" s="87" t="str">
        <x:v>CROP_VERIFIED</x:v>
      </x:c>
      <x:c r="AI4751" s="30"/>
      <x:c r="AJ4751" s="87" t="str">
        <x:v>clean</x:v>
      </x:c>
      <x:c r="AK4751" s="87" t="str">
        <x:v>clean-v0.08</x:v>
      </x:c>
      <x:c r="AL4751" s="87" t="str">
        <x:v>statgrad_clean_continuation_v0_08(1).xlsx</x:v>
      </x:c>
      <x:c r="AM4751" s="87" t="str">
        <x:v>BIO_Dec_V3</x:v>
      </x:c>
      <x:c r="AN4751" s="87" t="n">
        <x:v>16</x:v>
      </x:c>
    </x:row>
    <x:row r="4752">
      <x:c r="A4752" s="87" t="n">
        <x:v>4751</x:v>
      </x:c>
      <x:c r="B4752" s="87" t="str">
        <x:v>DEC-BIO-03-016</x:v>
      </x:c>
      <x:c r="C4752" s="87" t="str">
        <x:v>СтатГрад</x:v>
      </x:c>
      <x:c r="D4752" s="87" t="str">
        <x:v>Декабрь 2025</x:v>
      </x:c>
      <x:c r="E4752" s="87"/>
      <x:c r="F4752" s="87"/>
      <x:c r="G4752" s="87" t="str">
        <x:v>Биология</x:v>
      </x:c>
      <x:c r="H4752" s="87" t="n">
        <x:v>11</x:v>
      </x:c>
      <x:c r="I4752" s="87" t="str">
        <x:v>ТР №2</x:v>
      </x:c>
      <x:c r="J4752" s="87" t="str">
        <x:v>БИ2510203</x:v>
      </x:c>
      <x:c r="K4752" s="87" t="n">
        <x:v>16</x:v>
      </x:c>
      <x:c r="L4752" s="87" t="str">
        <x:v>Установление последовательности</x:v>
      </x:c>
      <x:c r="M4752" s="30" t="str">
        <x:v>Установите последовательность анатомического расположения сосудов
     человека в направлении от головы к ногам. Запишите в таблицу
     соответствующую последовательность цифр.
     1) подвздошная вена
     2) сонная артерия
     3) желудочная артерия
     4) подколенная вена
     5) аорта
     Ответ:</x:v>
      </x:c>
      <x:c r="N4752" s="30" t="str">
        <x:v>25314</x:v>
      </x:c>
      <x:c r="O4752" s="30" t="str">
        <x:v>Этапы упорядочены по причинно-временной либо систематической последовательности.</x:v>
      </x:c>
      <x:c r="P4752" s="30" t="str">
        <x:v>Условие и визуал просмотрены; ответ проверен по биологической логике/расчёту и сопоставлен с каноническим источником.</x:v>
      </x:c>
      <x:c r="Q4752" s="30"/>
      <x:c r="R4752" s="30" t="str">
        <x:v>25314</x:v>
      </x:c>
      <x:c r="S4752" s="30"/>
      <x:c r="T4752" s="30" t="str">
        <x:v>Kriterii_BI11_19122025_.pdf</x:v>
      </x:c>
      <x:c r="U4752" s="30" t="str">
        <x:v>Расхождений с каноническим источником нет.</x:v>
      </x:c>
      <x:c r="V4752" s="87" t="str">
        <x:v>VERIFIED</x:v>
      </x:c>
      <x:c r="W4752" s="87"/>
      <x:c r="X4752" s="87" t="n">
        <x:v>8</x:v>
      </x:c>
      <x:c r="Y4752" s="87"/>
      <x:c r="Z4752" s="87"/>
      <x:c r="AA4752" s="87"/>
      <x:c r="AB4752" s="87" t="str">
        <x:v>1</x:v>
      </x:c>
      <x:c r="AC4752" s="87" t="str">
        <x:v>VIS-BIO-DEC-TASK-34-P008</x:v>
      </x:c>
      <x:c r="AD4752" s="87" t="str">
        <x:v>VIS-BIO-DEC-CRIT-34-P001</x:v>
      </x:c>
      <x:c r="AE4752" s="87" t="str">
        <x:v>TASK; CRIT</x:v>
      </x:c>
      <x:c r="AF4752" s="87" t="str">
        <x:v>VIS-BIO-DEC-TASK-34-P008: 8; VIS-BIO-DEC-CRIT-34-P001: 1</x:v>
      </x:c>
      <x:c r="AG4752" s="87" t="str">
        <x:v>RESOLVED</x:v>
      </x:c>
      <x:c r="AH4752" s="87" t="str">
        <x:v>CROP_VERIFIED</x:v>
      </x:c>
      <x:c r="AI4752" s="30"/>
      <x:c r="AJ4752" s="87" t="str">
        <x:v>clean</x:v>
      </x:c>
      <x:c r="AK4752" s="87" t="str">
        <x:v>clean-v0.08</x:v>
      </x:c>
      <x:c r="AL4752" s="87" t="str">
        <x:v>statgrad_clean_continuation_v0_08(1).xlsx</x:v>
      </x:c>
      <x:c r="AM4752" s="87" t="str">
        <x:v>BIO_Dec_V3</x:v>
      </x:c>
      <x:c r="AN4752" s="87" t="n">
        <x:v>17</x:v>
      </x:c>
    </x:row>
    <x:row r="4753">
      <x:c r="A4753" s="87" t="n">
        <x:v>4752</x:v>
      </x:c>
      <x:c r="B4753" s="87" t="str">
        <x:v>DEC-BIO-03-017</x:v>
      </x:c>
      <x:c r="C4753" s="87" t="str">
        <x:v>СтатГрад</x:v>
      </x:c>
      <x:c r="D4753" s="87" t="str">
        <x:v>Декабрь 2025</x:v>
      </x:c>
      <x:c r="E4753" s="87"/>
      <x:c r="F4753" s="87"/>
      <x:c r="G4753" s="87" t="str">
        <x:v>Биология</x:v>
      </x:c>
      <x:c r="H4753" s="87" t="n">
        <x:v>11</x:v>
      </x:c>
      <x:c r="I4753" s="87" t="str">
        <x:v>ТР №2</x:v>
      </x:c>
      <x:c r="J4753" s="87" t="str">
        <x:v>БИ2510203</x:v>
      </x:c>
      <x:c r="K4753" s="87" t="n">
        <x:v>17</x:v>
      </x:c>
      <x:c r="L4753" s="87" t="str">
        <x:v>Анализ биологического текста</x:v>
      </x:c>
      <x:c r="M4753" s="30" t="str">
        <x:v>Прочитайте текст. Выберите три предложения, в которых даны примеры
     стабилизирующего отбора. Запишите в таблицу цифры, под которыми
     они указаны.
     (1)У стрекоз самцы с очень длинными крыльями плохо управляют полётом,
     а с короткими – не способны догонять самку, поэтому чаще выживают особи
     со средними размерами крыльев. (2)В засушливые годы у популяции
     воробьёв преимущество получают особи с более массивным клювом,
     способным раскалывать твёрдые семена. (3)Среди новорождённых чаще
     выживают дети весом 2,5–4 кг, а младенцы с отклонением от указанной
     нормы погибают чаще. (4)У морских иглокожих на протяжении многих
     поколений сохраняется постоянная форма тела, оптимально подходящая для
     жизни на дне. (5)Из-за мутаций и действия направленного отбора у бактерий
     постоянно появляются новые штаммы, устойчивые к антибиотикам.
     (6)В результате антропогенного загрязнения леса у бабочек началось
     преимущественное выживание тёмноокрашенных особей.
     Ответ:</x:v>
      </x:c>
      <x:c r="N4753" s="30" t="str">
        <x:v>134</x:v>
      </x:c>
      <x:c r="O4753" s="30" t="str">
        <x:v>Примеры в тексте классифицированы по указанной форме отбора/эволюции.</x:v>
      </x:c>
      <x:c r="P4753" s="30" t="str">
        <x:v>Условие и визуал просмотрены; ответ проверен по биологической логике/расчёту и сопоставлен с каноническим источником.</x:v>
      </x:c>
      <x:c r="Q4753" s="30"/>
      <x:c r="R4753" s="30" t="str">
        <x:v>134</x:v>
      </x:c>
      <x:c r="S4753" s="30"/>
      <x:c r="T4753" s="30" t="str">
        <x:v>Kriterii_BI11_19122025_.pdf</x:v>
      </x:c>
      <x:c r="U4753" s="30" t="str">
        <x:v>Расхождений с каноническим источником нет.</x:v>
      </x:c>
      <x:c r="V4753" s="87" t="str">
        <x:v>VERIFIED</x:v>
      </x:c>
      <x:c r="W4753" s="87"/>
      <x:c r="X4753" s="87" t="n">
        <x:v>9</x:v>
      </x:c>
      <x:c r="Y4753" s="87"/>
      <x:c r="Z4753" s="87"/>
      <x:c r="AA4753" s="87"/>
      <x:c r="AB4753" s="87" t="str">
        <x:v>1</x:v>
      </x:c>
      <x:c r="AC4753" s="87" t="str">
        <x:v>VIS-BIO-DEC-TASK-34-P009</x:v>
      </x:c>
      <x:c r="AD4753" s="87" t="str">
        <x:v>VIS-BIO-DEC-CRIT-34-P001</x:v>
      </x:c>
      <x:c r="AE4753" s="87" t="str">
        <x:v>TASK; CRIT</x:v>
      </x:c>
      <x:c r="AF4753" s="87" t="str">
        <x:v>VIS-BIO-DEC-TASK-34-P009: 9; VIS-BIO-DEC-CRIT-34-P001: 1</x:v>
      </x:c>
      <x:c r="AG4753" s="87" t="str">
        <x:v>RESOLVED</x:v>
      </x:c>
      <x:c r="AH4753" s="87" t="str">
        <x:v>CROP_VERIFIED</x:v>
      </x:c>
      <x:c r="AI4753" s="30"/>
      <x:c r="AJ4753" s="87" t="str">
        <x:v>clean</x:v>
      </x:c>
      <x:c r="AK4753" s="87" t="str">
        <x:v>clean-v0.08</x:v>
      </x:c>
      <x:c r="AL4753" s="87" t="str">
        <x:v>statgrad_clean_continuation_v0_08(1).xlsx</x:v>
      </x:c>
      <x:c r="AM4753" s="87" t="str">
        <x:v>BIO_Dec_V3</x:v>
      </x:c>
      <x:c r="AN4753" s="87" t="n">
        <x:v>18</x:v>
      </x:c>
    </x:row>
    <x:row r="4754">
      <x:c r="A4754" s="87" t="n">
        <x:v>4753</x:v>
      </x:c>
      <x:c r="B4754" s="87" t="str">
        <x:v>DEC-BIO-03-018</x:v>
      </x:c>
      <x:c r="C4754" s="87" t="str">
        <x:v>СтатГрад</x:v>
      </x:c>
      <x:c r="D4754" s="87" t="str">
        <x:v>Декабрь 2025</x:v>
      </x:c>
      <x:c r="E4754" s="87"/>
      <x:c r="F4754" s="87"/>
      <x:c r="G4754" s="87" t="str">
        <x:v>Биология</x:v>
      </x:c>
      <x:c r="H4754" s="87" t="n">
        <x:v>11</x:v>
      </x:c>
      <x:c r="I4754" s="87" t="str">
        <x:v>ТР №2</x:v>
      </x:c>
      <x:c r="J4754" s="87" t="str">
        <x:v>БИ2510203</x:v>
      </x:c>
      <x:c r="K4754" s="87" t="n">
        <x:v>18</x:v>
      </x:c>
      <x:c r="L4754" s="87" t="str">
        <x:v>Множественный выбор</x:v>
      </x:c>
      <x:c r="M4754" s="30" t="str">
        <x:v>Выберите три верных ответа и запишите в таблицу цифры, под которыми
     они указаны.
     Пойменный луг как устойчивую экосистему характеризуют:
     1) разветвлённые пищевые сети
     2) сезонные изменения влажности
     3) обилие грызунов
     4) большое видовое разнообразие
     5) толстый слой гумуса
     6) сбалансированный круговорот веществ
     Ответ:</x:v>
      </x:c>
      <x:c r="N4754" s="30" t="str">
        <x:v>146</x:v>
      </x:c>
      <x:c r="O4754" s="30" t="str">
        <x:v>Все шесть утверждений проверены по биологическим признакам; выбраны три корректные позиции.</x:v>
      </x:c>
      <x:c r="P4754" s="30" t="str">
        <x:v>Условие и визуал просмотрены; ответ проверен по биологической логике/расчёту и сопоставлен с каноническим источником.</x:v>
      </x:c>
      <x:c r="Q4754" s="30"/>
      <x:c r="R4754" s="30" t="str">
        <x:v>146</x:v>
      </x:c>
      <x:c r="S4754" s="30"/>
      <x:c r="T4754" s="30" t="str">
        <x:v>Kriterii_BI11_19122025_.pdf</x:v>
      </x:c>
      <x:c r="U4754" s="30" t="str">
        <x:v>Расхождений с каноническим источником нет.</x:v>
      </x:c>
      <x:c r="V4754" s="87" t="str">
        <x:v>VERIFIED</x:v>
      </x:c>
      <x:c r="W4754" s="87"/>
      <x:c r="X4754" s="87" t="n">
        <x:v>9</x:v>
      </x:c>
      <x:c r="Y4754" s="87"/>
      <x:c r="Z4754" s="87"/>
      <x:c r="AA4754" s="87"/>
      <x:c r="AB4754" s="87" t="str">
        <x:v>1</x:v>
      </x:c>
      <x:c r="AC4754" s="87" t="str">
        <x:v>VIS-BIO-DEC-TASK-34-P009</x:v>
      </x:c>
      <x:c r="AD4754" s="87" t="str">
        <x:v>VIS-BIO-DEC-CRIT-34-P001</x:v>
      </x:c>
      <x:c r="AE4754" s="87" t="str">
        <x:v>TASK; CRIT</x:v>
      </x:c>
      <x:c r="AF4754" s="87" t="str">
        <x:v>VIS-BIO-DEC-TASK-34-P009: 9; VIS-BIO-DEC-CRIT-34-P001: 1</x:v>
      </x:c>
      <x:c r="AG4754" s="87" t="str">
        <x:v>RESOLVED</x:v>
      </x:c>
      <x:c r="AH4754" s="87" t="str">
        <x:v>CROP_VERIFIED</x:v>
      </x:c>
      <x:c r="AI4754" s="30"/>
      <x:c r="AJ4754" s="87" t="str">
        <x:v>clean</x:v>
      </x:c>
      <x:c r="AK4754" s="87" t="str">
        <x:v>clean-v0.08</x:v>
      </x:c>
      <x:c r="AL4754" s="87" t="str">
        <x:v>statgrad_clean_continuation_v0_08(1).xlsx</x:v>
      </x:c>
      <x:c r="AM4754" s="87" t="str">
        <x:v>BIO_Dec_V3</x:v>
      </x:c>
      <x:c r="AN4754" s="87" t="n">
        <x:v>19</x:v>
      </x:c>
    </x:row>
    <x:row r="4755">
      <x:c r="A4755" s="87" t="n">
        <x:v>4754</x:v>
      </x:c>
      <x:c r="B4755" s="87" t="str">
        <x:v>DEC-BIO-03-019</x:v>
      </x:c>
      <x:c r="C4755" s="87" t="str">
        <x:v>СтатГрад</x:v>
      </x:c>
      <x:c r="D4755" s="87" t="str">
        <x:v>Декабрь 2025</x:v>
      </x:c>
      <x:c r="E4755" s="87"/>
      <x:c r="F4755" s="87"/>
      <x:c r="G4755" s="87" t="str">
        <x:v>Биология</x:v>
      </x:c>
      <x:c r="H4755" s="87" t="n">
        <x:v>11</x:v>
      </x:c>
      <x:c r="I4755" s="87" t="str">
        <x:v>ТР №2</x:v>
      </x:c>
      <x:c r="J4755" s="87" t="str">
        <x:v>БИ2510203</x:v>
      </x:c>
      <x:c r="K4755" s="87" t="n">
        <x:v>19</x:v>
      </x:c>
      <x:c r="L4755" s="87" t="str">
        <x:v>Установление соответствия</x:v>
      </x:c>
      <x:c r="M4755" s="30" t="str">
        <x:v>Установите соответствие между предметами изучения и разделами биологии:
     к каждой позиции, данной в первом столбце, подберите соответствующую
     позицию из второго столбца.
               ПРЕДМЕТ ИЗУЧЕНИЯ                                РАЗДЕЛ БИОЛОГИИ
     А) правило Аллена                                     1) палеонтология
     Б) эволюционные ряды                                  2) биогеография
     В) равновесие Харди – Вайнберга                       3) популяционная генетика
     Г) отпечатки растений в горных породах
     Д) генофонд группы особей
     Е) ареалы реликтовых видов
     Запишите в таблицу выбранные цифры под соответствующими буквами.
                А Б В Г Д Е
     Ответ:</x:v>
      </x:c>
      <x:c r="N4755" s="30" t="str">
        <x:v>213132</x:v>
      </x:c>
      <x:c r="O4755" s="30" t="str">
        <x:v>Каждая характеристика сопоставлена с обозначенной структурой/категорией; последовательность подтверждена официальным ключом.</x:v>
      </x:c>
      <x:c r="P4755" s="30" t="str">
        <x:v>Условие и визуал просмотрены; ответ проверен по биологической логике/расчёту и сопоставлен с каноническим источником.</x:v>
      </x:c>
      <x:c r="Q4755" s="30"/>
      <x:c r="R4755" s="30" t="str">
        <x:v>213132</x:v>
      </x:c>
      <x:c r="S4755" s="30"/>
      <x:c r="T4755" s="30" t="str">
        <x:v>Kriterii_BI11_19122025_.pdf</x:v>
      </x:c>
      <x:c r="U4755" s="30" t="str">
        <x:v>Расхождений с каноническим источником нет.</x:v>
      </x:c>
      <x:c r="V4755" s="87" t="str">
        <x:v>VERIFIED</x:v>
      </x:c>
      <x:c r="W4755" s="87"/>
      <x:c r="X4755" s="87" t="n">
        <x:v>10</x:v>
      </x:c>
      <x:c r="Y4755" s="87"/>
      <x:c r="Z4755" s="87"/>
      <x:c r="AA4755" s="87"/>
      <x:c r="AB4755" s="87" t="str">
        <x:v>1</x:v>
      </x:c>
      <x:c r="AC4755" s="87" t="str">
        <x:v>VIS-BIO-DEC-TASK-34-P010</x:v>
      </x:c>
      <x:c r="AD4755" s="87" t="str">
        <x:v>VIS-BIO-DEC-CRIT-34-P001</x:v>
      </x:c>
      <x:c r="AE4755" s="87" t="str">
        <x:v>TASK; CRIT</x:v>
      </x:c>
      <x:c r="AF4755" s="87" t="str">
        <x:v>VIS-BIO-DEC-TASK-34-P010: 10; VIS-BIO-DEC-CRIT-34-P001: 1</x:v>
      </x:c>
      <x:c r="AG4755" s="87" t="str">
        <x:v>RESOLVED</x:v>
      </x:c>
      <x:c r="AH4755" s="87" t="str">
        <x:v>CROP_VERIFIED</x:v>
      </x:c>
      <x:c r="AI4755" s="30"/>
      <x:c r="AJ4755" s="87" t="str">
        <x:v>clean</x:v>
      </x:c>
      <x:c r="AK4755" s="87" t="str">
        <x:v>clean-v0.08</x:v>
      </x:c>
      <x:c r="AL4755" s="87" t="str">
        <x:v>statgrad_clean_continuation_v0_08(1).xlsx</x:v>
      </x:c>
      <x:c r="AM4755" s="87" t="str">
        <x:v>BIO_Dec_V3</x:v>
      </x:c>
      <x:c r="AN4755" s="87" t="n">
        <x:v>20</x:v>
      </x:c>
    </x:row>
    <x:row r="4756">
      <x:c r="A4756" s="87" t="n">
        <x:v>4755</x:v>
      </x:c>
      <x:c r="B4756" s="87" t="str">
        <x:v>DEC-BIO-03-020</x:v>
      </x:c>
      <x:c r="C4756" s="87" t="str">
        <x:v>СтатГрад</x:v>
      </x:c>
      <x:c r="D4756" s="87" t="str">
        <x:v>Декабрь 2025</x:v>
      </x:c>
      <x:c r="E4756" s="87"/>
      <x:c r="F4756" s="87"/>
      <x:c r="G4756" s="87" t="str">
        <x:v>Биология</x:v>
      </x:c>
      <x:c r="H4756" s="87" t="n">
        <x:v>11</x:v>
      </x:c>
      <x:c r="I4756" s="87" t="str">
        <x:v>ТР №2</x:v>
      </x:c>
      <x:c r="J4756" s="87" t="str">
        <x:v>БИ2510203</x:v>
      </x:c>
      <x:c r="K4756" s="87" t="n">
        <x:v>20</x:v>
      </x:c>
      <x:c r="L4756" s="87" t="str">
        <x:v>Заполнение таблицы по рисунку</x:v>
      </x:c>
      <x:c r="M4756" s="30" t="str">
        <x:v>Рассмотрите организм, изображённый на рисунке.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Группа
                                Пример эволюционного              Гомологичный орган
        эволюционных
                                     изменения                        у человека
         доказательств
     _______________(А)        ___________________(Б) ___________________(В)
     Список элементов:
     1) палеонтологические
     2) атавизм
     3) бедро
     4) сравнительно-анатомические
     5) рудимент
     6) эмбриологические
     7) тазовый пояс
     8) зародышевый листок
     Запишите в таблицу выбранные цифры под соответствующими буквами.
              А Б В
     Ответ:</x:v>
      </x:c>
      <x:c r="N4756" s="30" t="str">
        <x:v>457</x:v>
      </x:c>
      <x:c r="O4756" s="30" t="str">
        <x:v>Изображённый объект и его признаки сопоставлены с элементами списка.</x:v>
      </x:c>
      <x:c r="P4756" s="30" t="str">
        <x:v>Условие и визуал просмотрены; ответ проверен по биологической логике/расчёту и сопоставлен с каноническим источником.</x:v>
      </x:c>
      <x:c r="Q4756" s="30"/>
      <x:c r="R4756" s="30" t="str">
        <x:v>457</x:v>
      </x:c>
      <x:c r="S4756" s="30"/>
      <x:c r="T4756" s="30" t="str">
        <x:v>Kriterii_BI11_19122025_.pdf</x:v>
      </x:c>
      <x:c r="U4756" s="30" t="str">
        <x:v>Расхождений с каноническим источником нет.</x:v>
      </x:c>
      <x:c r="V4756" s="87" t="str">
        <x:v>VERIFIED</x:v>
      </x:c>
      <x:c r="W4756" s="87"/>
      <x:c r="X4756" s="87" t="n">
        <x:v>10</x:v>
      </x:c>
      <x:c r="Y4756" s="87"/>
      <x:c r="Z4756" s="87"/>
      <x:c r="AA4756" s="87"/>
      <x:c r="AB4756" s="87" t="str">
        <x:v>1</x:v>
      </x:c>
      <x:c r="AC4756" s="87" t="str">
        <x:v>VIS-BIO-DEC-TASK-34-P010</x:v>
      </x:c>
      <x:c r="AD4756" s="87" t="str">
        <x:v>VIS-BIO-DEC-CRIT-34-P001</x:v>
      </x:c>
      <x:c r="AE4756" s="87" t="str">
        <x:v>TASK; CRIT</x:v>
      </x:c>
      <x:c r="AF4756" s="87" t="str">
        <x:v>VIS-BIO-DEC-TASK-34-P010: 10; VIS-BIO-DEC-CRIT-34-P001: 1</x:v>
      </x:c>
      <x:c r="AG4756" s="87" t="str">
        <x:v>RESOLVED</x:v>
      </x:c>
      <x:c r="AH4756" s="87" t="str">
        <x:v>CROP_VERIFIED; TASK_CROP_QA_APPROVED:USE_TIGHT</x:v>
      </x:c>
      <x:c r="AI4756" s="30"/>
      <x:c r="AJ4756" s="87" t="str">
        <x:v>clean</x:v>
      </x:c>
      <x:c r="AK4756" s="87" t="str">
        <x:v>clean-v0.08</x:v>
      </x:c>
      <x:c r="AL4756" s="87" t="str">
        <x:v>statgrad_clean_continuation_v0_08(1).xlsx</x:v>
      </x:c>
      <x:c r="AM4756" s="87" t="str">
        <x:v>BIO_Dec_V3</x:v>
      </x:c>
      <x:c r="AN4756" s="87" t="n">
        <x:v>21</x:v>
      </x:c>
    </x:row>
    <x:row r="4757">
      <x:c r="A4757" s="87" t="n">
        <x:v>4756</x:v>
      </x:c>
      <x:c r="B4757" s="87" t="str">
        <x:v>DEC-BIO-03-021</x:v>
      </x:c>
      <x:c r="C4757" s="87" t="str">
        <x:v>СтатГрад</x:v>
      </x:c>
      <x:c r="D4757" s="87" t="str">
        <x:v>Декабрь 2025</x:v>
      </x:c>
      <x:c r="E4757" s="87"/>
      <x:c r="F4757" s="87"/>
      <x:c r="G4757" s="87" t="str">
        <x:v>Биология</x:v>
      </x:c>
      <x:c r="H4757" s="87" t="n">
        <x:v>11</x:v>
      </x:c>
      <x:c r="I4757" s="87" t="str">
        <x:v>ТР №2</x:v>
      </x:c>
      <x:c r="J4757" s="87" t="str">
        <x:v>БИ2510203</x:v>
      </x:c>
      <x:c r="K4757" s="87" t="n">
        <x:v>21</x:v>
      </x:c>
      <x:c r="L4757" s="87" t="str">
        <x:v>Анализ графика/диаграммы</x:v>
      </x:c>
      <x:c r="M4757" s="30" t="str">
        <x:v>Проанализируйте график «Субъективная                   оценка     болевого     синдрома
     пациентами в процессе терапии»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При отсутствии терапии болевой синдром не снижался.
     2) В покое пациенты испытывают более слабую боль, чем при движении.
     3) К шестому месяцу терапии болевой синдром сильно снижается.
     4) Завершение курса раньше, чем через 6 месяцев терапии, приведёт
        к возвращению болевого синдрома к исходным значениям.
     5) Пациенты во       время терапии старались двигаться меньше
        из-за испытываемой боли.
     Ответ: ___________________________.
                                    Часть 2
     Для записи ответов на задания этой части (22–28) используйте чистый
     лист. Запишите сначала номер задания (22, 23 и т. д.), а затем –
     развёрнутый ответ на него. Ответы записывайте чётко и разборчиво.
     Прочитайте описание эксперимента и выполните задания 22 и 23.
     Учёный изучал изменения в растворе под действием фермента аспартат-
     аминотрасферазы (АсАт). В кювету вносился буферный раствор,
     добавлялись фермент и субстрат, после чего кювета ставилась в спектро-
     фотометр, и раз в минуту фиксировалась оптическая плотность раствора.
     По результатам исследования учёный построил график.</x:v>
      </x:c>
      <x:c r="N4757" s="30" t="str">
        <x:v>23</x:v>
      </x:c>
      <x:c r="O4757" s="30" t="str">
        <x:v>Утверждения проверены только по данным графика/диаграммы без добавления внешних предположений.</x:v>
      </x:c>
      <x:c r="P4757" s="30" t="str">
        <x:v>Условие и визуал просмотрены; ответ проверен по биологической логике/расчёту и сопоставлен с каноническим источником.</x:v>
      </x:c>
      <x:c r="Q4757" s="30"/>
      <x:c r="R4757" s="30" t="str">
        <x:v>23</x:v>
      </x:c>
      <x:c r="S4757" s="30"/>
      <x:c r="T4757" s="30" t="str">
        <x:v>Kriterii_BI11_19122025_.pdf</x:v>
      </x:c>
      <x:c r="U4757" s="30" t="str">
        <x:v>Расхождений с каноническим источником нет.</x:v>
      </x:c>
      <x:c r="V4757" s="87" t="str">
        <x:v>VERIFIED</x:v>
      </x:c>
      <x:c r="W4757" s="87"/>
      <x:c r="X4757" s="87" t="n">
        <x:v>11</x:v>
      </x:c>
      <x:c r="Y4757" s="87"/>
      <x:c r="Z4757" s="87"/>
      <x:c r="AA4757" s="87"/>
      <x:c r="AB4757" s="87" t="str">
        <x:v>1</x:v>
      </x:c>
      <x:c r="AC4757" s="87" t="str">
        <x:v>VIS-BIO-DEC-TASK-34-P011</x:v>
      </x:c>
      <x:c r="AD4757" s="87" t="str">
        <x:v>VIS-BIO-DEC-CRIT-34-P001</x:v>
      </x:c>
      <x:c r="AE4757" s="87" t="str">
        <x:v>TASK; CRIT</x:v>
      </x:c>
      <x:c r="AF4757" s="87" t="str">
        <x:v>VIS-BIO-DEC-TASK-34-P011: 11; VIS-BIO-DEC-CRIT-34-P001: 1</x:v>
      </x:c>
      <x:c r="AG4757" s="87" t="str">
        <x:v>RESOLVED</x:v>
      </x:c>
      <x:c r="AH4757" s="87" t="str">
        <x:v>CROP_VERIFIED</x:v>
      </x:c>
      <x:c r="AI4757" s="30"/>
      <x:c r="AJ4757" s="87" t="str">
        <x:v>clean</x:v>
      </x:c>
      <x:c r="AK4757" s="87" t="str">
        <x:v>clean-v0.08</x:v>
      </x:c>
      <x:c r="AL4757" s="87" t="str">
        <x:v>statgrad_clean_continuation_v0_08(1).xlsx</x:v>
      </x:c>
      <x:c r="AM4757" s="87" t="str">
        <x:v>BIO_Dec_V3</x:v>
      </x:c>
      <x:c r="AN4757" s="87" t="n">
        <x:v>22</x:v>
      </x:c>
    </x:row>
    <x:row r="4758">
      <x:c r="A4758" s="87" t="n">
        <x:v>4757</x:v>
      </x:c>
      <x:c r="B4758" s="87" t="str">
        <x:v>DEC-BIO-03-022</x:v>
      </x:c>
      <x:c r="C4758" s="87" t="str">
        <x:v>СтатГрад</x:v>
      </x:c>
      <x:c r="D4758" s="87" t="str">
        <x:v>Декабрь 2025</x:v>
      </x:c>
      <x:c r="E4758" s="87"/>
      <x:c r="F4758" s="87"/>
      <x:c r="G4758" s="87" t="str">
        <x:v>Биология</x:v>
      </x:c>
      <x:c r="H4758" s="87" t="n">
        <x:v>11</x:v>
      </x:c>
      <x:c r="I4758" s="87" t="str">
        <x:v>ТР №2</x:v>
      </x:c>
      <x:c r="J4758" s="87" t="str">
        <x:v>БИ2510203</x:v>
      </x:c>
      <x:c r="K4758" s="87" t="n">
        <x:v>22</x:v>
      </x:c>
      <x:c r="L4758" s="87" t="str">
        <x:v>Методология эксперимента</x:v>
      </x:c>
      <x:c r="M4758" s="30" t="str">
        <x:v>Какая переменная в этом эксперименте будет независимой (задаваемой),
     а какая – зависимой (изменяющейся)? Объясните, как в данном эксперименте
     можно поставить отрицательный контроль*? С какой целью необходимо
     такой контроль ставить?
     (*Отрицательный контроль — это экспериментальный контроль,
     при котором изучаемый объект не подвергается экспериментальному
     воздействию).</x:v>
      </x:c>
      <x:c r="N4758" s="30" t="str">
        <x:v>1) независимая переменная (задаваемая экспериментатором) - время протекания реакции, зависимая переменная (изменяющаяся в эксперименте) - оптическая плотность раствора; 2) необходимо поставить параллельно такой же эксперимент, но без добавления фермента; 3) остальные параметры необходимо оставить без изменений; 4) такой контроль позволяет установить, действительно ли оптическая плотность будет снижаться со временем из-за активности фермента (действительно ли активность фермента влияет на снижение оптической плотности в кювете).</x:v>
      </x:c>
      <x:c r="O4758" s="30" t="str">
        <x:v>Все обязательные смысловые элементы сопоставлены с условием; модель сверена с официальными критериями и парным вариантом.</x:v>
      </x:c>
      <x:c r="P4758" s="30" t="str">
        <x:v>Условие и визуал просмотрены; ответ проверен по биологической логике/расчёту и сопоставлен с каноническим источником.</x:v>
      </x:c>
      <x:c r="Q4758" s="30"/>
      <x:c r="R4758" s="30" t="str">
        <x:v>1) независимая переменная (задаваемая экспериментатором) - время протекания реакции, зависимая переменная (изменяющаяся в эксперименте) - оптическая плотность раствора; 2) необходимо поставить параллельно такой же эксперимент, но без добавления фермента; 3) остальные параметры необходимо оставить без изменений; 4) такой контроль позволяет установить, действительно ли оптическая плотность будет снижаться со временем из-за активности фермента (действительно ли активность фермента влияет на снижение оптической плотности в кювете).</x:v>
      </x:c>
      <x:c r="S4758" s="30"/>
      <x:c r="T4758" s="30" t="str">
        <x:v>Kriterii_BI11_19122025_.pdf</x:v>
      </x:c>
      <x:c r="U4758" s="30" t="str">
        <x:v>Расхождений с каноническим источником нет.</x:v>
      </x:c>
      <x:c r="V4758" s="87" t="str">
        <x:v>VERIFIED</x:v>
      </x:c>
      <x:c r="W4758" s="87"/>
      <x:c r="X4758" s="87" t="n">
        <x:v>12</x:v>
      </x:c>
      <x:c r="Y4758" s="87"/>
      <x:c r="Z4758" s="87"/>
      <x:c r="AA4758" s="87"/>
      <x:c r="AB4758" s="87" t="str">
        <x:v>2; 3</x:v>
      </x:c>
      <x:c r="AC4758" s="87" t="str">
        <x:v>VIS-BIO-DEC-TASK-34-P012</x:v>
      </x:c>
      <x:c r="AD4758" s="87" t="str">
        <x:v>VIS-BIO-DEC-CRIT-34-P002; VIS-BIO-DEC-CRIT-34-P003</x:v>
      </x:c>
      <x:c r="AE4758" s="87" t="str">
        <x:v>TASK; CRIT</x:v>
      </x:c>
      <x:c r="AF4758" s="87" t="str">
        <x:v>VIS-BIO-DEC-TASK-34-P012: 12; VIS-BIO-DEC-CRIT-34-P002: 2; VIS-BIO-DEC-CRIT-34-P003: 3</x:v>
      </x:c>
      <x:c r="AG4758" s="87" t="str">
        <x:v>RESOLVED</x:v>
      </x:c>
      <x:c r="AH4758" s="87" t="str">
        <x:v>CROP_VERIFIED</x:v>
      </x:c>
      <x:c r="AI4758" s="30"/>
      <x:c r="AJ4758" s="87" t="str">
        <x:v>clean</x:v>
      </x:c>
      <x:c r="AK4758" s="87" t="str">
        <x:v>clean-v0.08</x:v>
      </x:c>
      <x:c r="AL4758" s="87" t="str">
        <x:v>statgrad_clean_continuation_v0_08(1).xlsx</x:v>
      </x:c>
      <x:c r="AM4758" s="87" t="str">
        <x:v>BIO_Dec_V3</x:v>
      </x:c>
      <x:c r="AN4758" s="87" t="n">
        <x:v>23</x:v>
      </x:c>
    </x:row>
    <x:row r="4759">
      <x:c r="A4759" s="87" t="n">
        <x:v>4758</x:v>
      </x:c>
      <x:c r="B4759" s="87" t="str">
        <x:v>DEC-BIO-03-023</x:v>
      </x:c>
      <x:c r="C4759" s="87" t="str">
        <x:v>СтатГрад</x:v>
      </x:c>
      <x:c r="D4759" s="87" t="str">
        <x:v>Декабрь 2025</x:v>
      </x:c>
      <x:c r="E4759" s="87"/>
      <x:c r="F4759" s="87"/>
      <x:c r="G4759" s="87" t="str">
        <x:v>Биология</x:v>
      </x:c>
      <x:c r="H4759" s="87" t="n">
        <x:v>11</x:v>
      </x:c>
      <x:c r="I4759" s="87" t="str">
        <x:v>ТР №2</x:v>
      </x:c>
      <x:c r="J4759" s="87" t="str">
        <x:v>БИ2510203</x:v>
      </x:c>
      <x:c r="K4759" s="87" t="n">
        <x:v>23</x:v>
      </x:c>
      <x:c r="L4759" s="87" t="str">
        <x:v>Интерпретация результатов</x:v>
      </x:c>
      <x:c r="M4759" s="30" t="str">
        <x:v>Предположите, почему оптическая плотность раствора снижается
     при протекании данной реакции. Объясните свой ответ. Учёный
     предположил, что на 23-й минуте фермент утратил активность и реакция
     остановилась преждевременно. Прав ли он? Ответ поясните.</x:v>
      </x:c>
      <x:c r="N4759" s="30" t="str">
        <x:v>1) потому что поглощает свет именно исходный субстрат; 2) чем меньше становится субстрата, тем слабее поглощение света раствором; ИЛИ 1) субстрат препятствует прохождению лучей спектрофотометра (задерживает, поглощает лучи, раствор становится более прозрачным); 2) количество субстрата под воздействием фермента уменьшается; 3) нет, не прав, в пробирке закончился субстрат; 4) оптическая плотность раствора снизилась до 0 ИЛИ 4) если бы потерял активность фермент, то какое-то количество субстрата осталось бы в растворе (оптическая плотность не снизилась бы до 0).</x:v>
      </x:c>
      <x:c r="O4759" s="30" t="str">
        <x:v>Все обязательные смысловые элементы сопоставлены с условием; модель сверена с официальными критериями и парным вариантом.</x:v>
      </x:c>
      <x:c r="P4759" s="30" t="str">
        <x:v>Условие и визуал просмотрены; ответ проверен по биологической логике/расчёту и сопоставлен с каноническим источником.</x:v>
      </x:c>
      <x:c r="Q4759" s="30"/>
      <x:c r="R4759" s="30" t="str">
        <x:v>1) потому что поглощает свет именно исходный субстрат; 2) чем меньше становится субстрата, тем слабее поглощение света раствором; ИЛИ 1) субстрат препятствует прохождению лучей спектрофотометра (задерживает, поглощает лучи, раствор становится более прозрачным); 2) количество субстрата под воздействием фермента уменьшается; 3) нет, не прав, в пробирке закончился субстрат; 4) оптическая плотность раствора снизилась до 0 ИЛИ 4) если бы потерял активность фермент, то какое-то количество субстрата осталось бы в растворе (оптическая плотность не снизилась бы до 0).</x:v>
      </x:c>
      <x:c r="S4759" s="30"/>
      <x:c r="T4759" s="30" t="str">
        <x:v>Kriterii_BI11_19122025_.pdf</x:v>
      </x:c>
      <x:c r="U4759" s="30" t="str">
        <x:v>Расхождений с каноническим источником нет.</x:v>
      </x:c>
      <x:c r="V4759" s="87" t="str">
        <x:v>VERIFIED</x:v>
      </x:c>
      <x:c r="W4759" s="87"/>
      <x:c r="X4759" s="87" t="n">
        <x:v>12</x:v>
      </x:c>
      <x:c r="Y4759" s="87"/>
      <x:c r="Z4759" s="87"/>
      <x:c r="AA4759" s="87"/>
      <x:c r="AB4759" s="87" t="str">
        <x:v>3; 4</x:v>
      </x:c>
      <x:c r="AC4759" s="87" t="str">
        <x:v>VIS-BIO-DEC-TASK-34-P012</x:v>
      </x:c>
      <x:c r="AD4759" s="87" t="str">
        <x:v>VIS-BIO-DEC-CRIT-34-P003; VIS-BIO-DEC-CRIT-34-P004</x:v>
      </x:c>
      <x:c r="AE4759" s="87" t="str">
        <x:v>TASK; CRIT</x:v>
      </x:c>
      <x:c r="AF4759" s="87" t="str">
        <x:v>VIS-BIO-DEC-TASK-34-P012: 12; VIS-BIO-DEC-CRIT-34-P003: 3; VIS-BIO-DEC-CRIT-34-P004: 4</x:v>
      </x:c>
      <x:c r="AG4759" s="87" t="str">
        <x:v>RESOLVED</x:v>
      </x:c>
      <x:c r="AH4759" s="87" t="str">
        <x:v>CROP_VERIFIED</x:v>
      </x:c>
      <x:c r="AI4759" s="30"/>
      <x:c r="AJ4759" s="87" t="str">
        <x:v>clean</x:v>
      </x:c>
      <x:c r="AK4759" s="87" t="str">
        <x:v>clean-v0.08</x:v>
      </x:c>
      <x:c r="AL4759" s="87" t="str">
        <x:v>statgrad_clean_continuation_v0_08(1).xlsx</x:v>
      </x:c>
      <x:c r="AM4759" s="87" t="str">
        <x:v>BIO_Dec_V3</x:v>
      </x:c>
      <x:c r="AN4759" s="87" t="n">
        <x:v>24</x:v>
      </x:c>
    </x:row>
    <x:row r="4760">
      <x:c r="A4760" s="87" t="n">
        <x:v>4759</x:v>
      </x:c>
      <x:c r="B4760" s="87" t="str">
        <x:v>DEC-BIO-03-024</x:v>
      </x:c>
      <x:c r="C4760" s="87" t="str">
        <x:v>СтатГрад</x:v>
      </x:c>
      <x:c r="D4760" s="87" t="str">
        <x:v>Декабрь 2025</x:v>
      </x:c>
      <x:c r="E4760" s="87"/>
      <x:c r="F4760" s="87"/>
      <x:c r="G4760" s="87" t="str">
        <x:v>Биология</x:v>
      </x:c>
      <x:c r="H4760" s="87" t="n">
        <x:v>11</x:v>
      </x:c>
      <x:c r="I4760" s="87" t="str">
        <x:v>ТР №2</x:v>
      </x:c>
      <x:c r="J4760" s="87" t="str">
        <x:v>БИ2510203</x:v>
      </x:c>
      <x:c r="K4760" s="87" t="n">
        <x:v>24</x:v>
      </x:c>
      <x:c r="L4760" s="87" t="str">
        <x:v>Развёрнутый биологический анализ</x:v>
      </x:c>
      <x:c r="M4760" s="30" t="str">
        <x:v>Изучите график «Световые оптимумы различных экологических групп
     растений». Каким номером обозначен график оптимума для сциофитов –
     тенелюбивых растений? Ответ поясните. Предположите, какие отличия
     в строение покровов и количестве устьиц будут наблюдаться у светолюбивых
     наземных растений по сравнению с тенелюбивыми. Ответ поясните.</x:v>
      </x:c>
      <x:c r="N4760" s="30" t="str">
        <x:v>1) график для сциофитов обозначен номером 1; 2) оптимальным условиям для их развития является низкая освещённость (освещённость менее 50 %) ИЛИ 2) их состояние (жизнедеятельность) максимально при низкой освещённости (освещённости менее 50 %); 3) у светолюбивых растений развита кутикула (опушение); 4) кутикула (опушение) уменьшает транспирацию (испарение воды; защищает от перегрева; от ультрафиолетовых лучей; отражает свет); 5) у светолюбивых растений больше устьиц; 6) устьица обеспечивают испарение воды (способствуют охлаждению; за счёт поглощения CO₂ обеспечивают интенсивный фотосинтез).</x:v>
      </x:c>
      <x:c r="O4760" s="30" t="str">
        <x:v>Все обязательные смысловые элементы сопоставлены с условием; модель сверена с официальными критериями и парным вариантом.</x:v>
      </x:c>
      <x:c r="P4760" s="30" t="str">
        <x:v>Условие и визуал просмотрены; ответ проверен по биологической логике/расчёту и сопоставлен с каноническим источником.</x:v>
      </x:c>
      <x:c r="Q4760" s="30"/>
      <x:c r="R4760" s="30" t="str">
        <x:v>1) график для сциофитов обозначен номером 1; 2) оптимальным условиям для их развития является низкая освещённость (освещённость менее 50 %) ИЛИ 2) их состояние (жизнедеятельность) максимально при низкой освещённости (освещённости менее 50 %); 3) у светолюбивых растений развита кутикула (опушение); 4) кутикула (опушение) уменьшает транспирацию (испарение воды; защищает от перегрева; от ультрафиолетовых лучей; отражает свет); 5) у светолюбивых растений больше устьиц; 6) устьица обеспечивают испарение воды (способствуют охлаждению; за счёт поглощения CO₂ обеспечивают интенсивный фотосинтез).</x:v>
      </x:c>
      <x:c r="S4760" s="30"/>
      <x:c r="T4760" s="30" t="str">
        <x:v>Kriterii_BI11_19122025_.pdf</x:v>
      </x:c>
      <x:c r="U4760" s="30" t="str">
        <x:v>Расхождений с каноническим источником нет.</x:v>
      </x:c>
      <x:c r="V4760" s="87" t="str">
        <x:v>VERIFIED</x:v>
      </x:c>
      <x:c r="W4760" s="87"/>
      <x:c r="X4760" s="87" t="n">
        <x:v>13</x:v>
      </x:c>
      <x:c r="Y4760" s="87"/>
      <x:c r="Z4760" s="87"/>
      <x:c r="AA4760" s="87"/>
      <x:c r="AB4760" s="87" t="str">
        <x:v>4; 5</x:v>
      </x:c>
      <x:c r="AC4760" s="87" t="str">
        <x:v>VIS-BIO-DEC-TASK-34-P013</x:v>
      </x:c>
      <x:c r="AD4760" s="87" t="str">
        <x:v>VIS-BIO-DEC-CRIT-34-P004; VIS-BIO-DEC-CRIT-34-P005</x:v>
      </x:c>
      <x:c r="AE4760" s="87" t="str">
        <x:v>TASK; CRIT</x:v>
      </x:c>
      <x:c r="AF4760" s="87" t="str">
        <x:v>VIS-BIO-DEC-TASK-34-P013: 13; VIS-BIO-DEC-CRIT-34-P004: 4; VIS-BIO-DEC-CRIT-34-P005: 5</x:v>
      </x:c>
      <x:c r="AG4760" s="87" t="str">
        <x:v>RESOLVED</x:v>
      </x:c>
      <x:c r="AH4760" s="87" t="str">
        <x:v>CROP_VERIFIED</x:v>
      </x:c>
      <x:c r="AI4760" s="30"/>
      <x:c r="AJ4760" s="87" t="str">
        <x:v>clean</x:v>
      </x:c>
      <x:c r="AK4760" s="87" t="str">
        <x:v>clean-v0.08</x:v>
      </x:c>
      <x:c r="AL4760" s="87" t="str">
        <x:v>statgrad_clean_continuation_v0_08(1).xlsx</x:v>
      </x:c>
      <x:c r="AM4760" s="87" t="str">
        <x:v>BIO_Dec_V3</x:v>
      </x:c>
      <x:c r="AN4760" s="87" t="n">
        <x:v>25</x:v>
      </x:c>
    </x:row>
    <x:row r="4761">
      <x:c r="A4761" s="87" t="n">
        <x:v>4760</x:v>
      </x:c>
      <x:c r="B4761" s="87" t="str">
        <x:v>DEC-BIO-03-025</x:v>
      </x:c>
      <x:c r="C4761" s="87" t="str">
        <x:v>СтатГрад</x:v>
      </x:c>
      <x:c r="D4761" s="87" t="str">
        <x:v>Декабрь 2025</x:v>
      </x:c>
      <x:c r="E4761" s="87"/>
      <x:c r="F4761" s="87"/>
      <x:c r="G4761" s="87" t="str">
        <x:v>Биология</x:v>
      </x:c>
      <x:c r="H4761" s="87" t="n">
        <x:v>11</x:v>
      </x:c>
      <x:c r="I4761" s="87" t="str">
        <x:v>ТР №2</x:v>
      </x:c>
      <x:c r="J4761" s="87" t="str">
        <x:v>БИ2510203</x:v>
      </x:c>
      <x:c r="K4761" s="87" t="n">
        <x:v>25</x:v>
      </x:c>
      <x:c r="L4761" s="87" t="str">
        <x:v>Развёрнутый биологический анализ</x:v>
      </x:c>
      <x:c r="M4761" s="30" t="str">
        <x:v>Эритроциты почти всех млекопитающих, в том числе человека, имеют форму
     двояковогнутого диска и составляют около 45 % объёма крови. У верблюдов
     же эритроциты представляют собой очень плоские эллипсы с прочным
     цитоскелетом, их содержание в крови – около 28 %.
     Какие преимущества даёт эритроцитам человека двояковогнутая форма?
     Дайте аргументированные ответы. Какая особенность физиологии верблюдов
     привела к отличиям в строении и содержании их эритроцитов? Каким
     образом особенности в строении и концентрации эритроцитов у верблюдов
     позволяют им выдерживать значительное обезвоживание организма?</x:v>
      </x:c>
      <x:c r="N4761" s="30" t="str">
        <x:v>1) большое отношение площади поверхности к объёму клетки; 2) это обеспечивает интенсивный (быстрый) газообмен в тканях; 3) способность изгибаться (менять форму); 4) это позволяет проникать в самые тонкие капилляры; 5) у верблюдов часто происходит обезвоживание; 6) прочный цитоскелет (малое количество цитоплазмы в эритроцитах) позволяет клеткам сохранять форму (выдерживать высокое осмотическое давление плазмы); 7) низкая концентрация эритроцитов предотвращает увеличение вязкости крови.</x:v>
      </x:c>
      <x:c r="O4761" s="30" t="str">
        <x:v>Все обязательные смысловые элементы сопоставлены с условием; модель сверена с официальными критериями и парным вариантом.</x:v>
      </x:c>
      <x:c r="P4761" s="30" t="str">
        <x:v>Условие и визуал просмотрены; ответ проверен по биологической логике/расчёту и сопоставлен с каноническим источником.</x:v>
      </x:c>
      <x:c r="Q4761" s="30"/>
      <x:c r="R4761" s="30" t="str">
        <x:v>1) большое отношение площади поверхности к объёму клетки; 2) это обеспечивает интенсивный (быстрый) газообмен в тканях; 3) способность изгибаться (менять форму); 4) это позволяет проникать в самые тонкие капилляры; 5) у верблюдов часто происходит обезвоживание; 6) прочный цитоскелет (малое количество цитоплазмы в эритроцитах) позволяет клеткам сохранять форму (выдерживать высокое осмотическое давление плазмы); 7) низкая концентрация эритроцитов предотвращает увеличение вязкости крови.</x:v>
      </x:c>
      <x:c r="S4761" s="30"/>
      <x:c r="T4761" s="30" t="str">
        <x:v>Kriterii_BI11_19122025_.pdf</x:v>
      </x:c>
      <x:c r="U4761" s="30" t="str">
        <x:v>Расхождений с каноническим источником нет.</x:v>
      </x:c>
      <x:c r="V4761" s="87" t="str">
        <x:v>VERIFIED</x:v>
      </x:c>
      <x:c r="W4761" s="87"/>
      <x:c r="X4761" s="87" t="n">
        <x:v>13</x:v>
      </x:c>
      <x:c r="Y4761" s="87"/>
      <x:c r="Z4761" s="87"/>
      <x:c r="AA4761" s="87"/>
      <x:c r="AB4761" s="87" t="str">
        <x:v>5; 6</x:v>
      </x:c>
      <x:c r="AC4761" s="87" t="str">
        <x:v>VIS-BIO-DEC-TASK-34-P013</x:v>
      </x:c>
      <x:c r="AD4761" s="87" t="str">
        <x:v>VIS-BIO-DEC-CRIT-34-P005; VIS-BIO-DEC-CRIT-34-P006</x:v>
      </x:c>
      <x:c r="AE4761" s="87" t="str">
        <x:v>TASK; CRIT</x:v>
      </x:c>
      <x:c r="AF4761" s="87" t="str">
        <x:v>VIS-BIO-DEC-TASK-34-P013: 13; VIS-BIO-DEC-CRIT-34-P005: 5; VIS-BIO-DEC-CRIT-34-P006: 6</x:v>
      </x:c>
      <x:c r="AG4761" s="87" t="str">
        <x:v>RESOLVED</x:v>
      </x:c>
      <x:c r="AH4761" s="87" t="str">
        <x:v>CROP_VERIFIED</x:v>
      </x:c>
      <x:c r="AI4761" s="30"/>
      <x:c r="AJ4761" s="87" t="str">
        <x:v>clean</x:v>
      </x:c>
      <x:c r="AK4761" s="87" t="str">
        <x:v>clean-v0.08</x:v>
      </x:c>
      <x:c r="AL4761" s="87" t="str">
        <x:v>statgrad_clean_continuation_v0_08(1).xlsx</x:v>
      </x:c>
      <x:c r="AM4761" s="87" t="str">
        <x:v>BIO_Dec_V3</x:v>
      </x:c>
      <x:c r="AN4761" s="87" t="n">
        <x:v>26</x:v>
      </x:c>
    </x:row>
    <x:row r="4762">
      <x:c r="A4762" s="87" t="n">
        <x:v>4761</x:v>
      </x:c>
      <x:c r="B4762" s="87" t="str">
        <x:v>DEC-BIO-03-026</x:v>
      </x:c>
      <x:c r="C4762" s="87" t="str">
        <x:v>СтатГрад</x:v>
      </x:c>
      <x:c r="D4762" s="87" t="str">
        <x:v>Декабрь 2025</x:v>
      </x:c>
      <x:c r="E4762" s="87"/>
      <x:c r="F4762" s="87"/>
      <x:c r="G4762" s="87" t="str">
        <x:v>Биология</x:v>
      </x:c>
      <x:c r="H4762" s="87" t="n">
        <x:v>11</x:v>
      </x:c>
      <x:c r="I4762" s="87" t="str">
        <x:v>ТР №2</x:v>
      </x:c>
      <x:c r="J4762" s="87" t="str">
        <x:v>БИ2510203</x:v>
      </x:c>
      <x:c r="K4762" s="87" t="n">
        <x:v>26</x:v>
      </x:c>
      <x:c r="L4762" s="87" t="str">
        <x:v>Развёрнутый биологический анализ</x:v>
      </x:c>
      <x:c r="M4762" s="30" t="str">
        <x:v>Цветковые растения миллионы лет использовали насекомых для опыления.
     Однако в настоящее время наблюдается резкое снижение численности
     насекомых-опылителей. Фиалки и другие растения начинают переходить
     на самоопыление. Какая группа экологических факторов приводит к резкому
     снижению количества насекомых-опылителей в современных условиях?
     Ответ поясните. Опишите изменения в строении цветка и производстве
     нектара, вызванные переходом фиалок к самоопылению. Как переход
     на самоопыление отразится на генофонде фиалок? Какой эффект это окажет
     на их дальнейшую эволюцию?</x:v>
      </x:c>
      <x:c r="N4762" s="30" t="str">
        <x:v>1) антропогенный фактор; 2) происходит деградация экосистем (загрязнение окружающей среды; использование пестицидов, инсектицидов); 3) размер (яркость) околоцветника (венчика, лепестков) уменьшается; 4) выработка нектара сокращается; 5) самоопыление приводит к обеднению генофонда (снижается генетическое разнообразие в популяции); 6) снижается приспособленность вида к изменениям окружающей среды (изменение условий среды может привести к вымиранию вида).</x:v>
      </x:c>
      <x:c r="O4762" s="30" t="str">
        <x:v>Все обязательные смысловые элементы сопоставлены с условием; модель сверена с официальными критериями и парным вариантом.</x:v>
      </x:c>
      <x:c r="P4762" s="30" t="str">
        <x:v>Условие и визуал просмотрены; ответ проверен по биологической логике/расчёту и сопоставлен с каноническим источником.</x:v>
      </x:c>
      <x:c r="Q4762" s="30"/>
      <x:c r="R4762" s="30" t="str">
        <x:v>1) антропогенный фактор; 2) происходит деградация экосистем (загрязнение окружающей среды; использование пестицидов, инсектицидов); 3) размер (яркость) околоцветника (венчика, лепестков) уменьшается; 4) выработка нектара сокращается; 5) самоопыление приводит к обеднению генофонда (снижается генетическое разнообразие в популяции); 6) снижается приспособленность вида к изменениям окружающей среды (изменение условий среды может привести к вымиранию вида).</x:v>
      </x:c>
      <x:c r="S4762" s="30"/>
      <x:c r="T4762" s="30" t="str">
        <x:v>Kriterii_BI11_19122025_.pdf</x:v>
      </x:c>
      <x:c r="U4762" s="30" t="str">
        <x:v>Расхождений с каноническим источником нет.</x:v>
      </x:c>
      <x:c r="V4762" s="87" t="str">
        <x:v>VERIFIED</x:v>
      </x:c>
      <x:c r="W4762" s="87"/>
      <x:c r="X4762" s="87" t="n">
        <x:v>14</x:v>
      </x:c>
      <x:c r="Y4762" s="87"/>
      <x:c r="Z4762" s="87"/>
      <x:c r="AA4762" s="87"/>
      <x:c r="AB4762" s="87" t="str">
        <x:v>6; 7</x:v>
      </x:c>
      <x:c r="AC4762" s="87" t="str">
        <x:v>VIS-BIO-DEC-TASK-34-P014</x:v>
      </x:c>
      <x:c r="AD4762" s="87" t="str">
        <x:v>VIS-BIO-DEC-CRIT-34-P006; VIS-BIO-DEC-CRIT-34-P007</x:v>
      </x:c>
      <x:c r="AE4762" s="87" t="str">
        <x:v>TASK; CRIT</x:v>
      </x:c>
      <x:c r="AF4762" s="87" t="str">
        <x:v>VIS-BIO-DEC-TASK-34-P014: 14; VIS-BIO-DEC-CRIT-34-P006: 6; VIS-BIO-DEC-CRIT-34-P007: 7</x:v>
      </x:c>
      <x:c r="AG4762" s="87" t="str">
        <x:v>RESOLVED</x:v>
      </x:c>
      <x:c r="AH4762" s="87" t="str">
        <x:v>CROP_VERIFIED</x:v>
      </x:c>
      <x:c r="AI4762" s="30"/>
      <x:c r="AJ4762" s="87" t="str">
        <x:v>clean</x:v>
      </x:c>
      <x:c r="AK4762" s="87" t="str">
        <x:v>clean-v0.08</x:v>
      </x:c>
      <x:c r="AL4762" s="87" t="str">
        <x:v>statgrad_clean_continuation_v0_08(1).xlsx</x:v>
      </x:c>
      <x:c r="AM4762" s="87" t="str">
        <x:v>BIO_Dec_V3</x:v>
      </x:c>
      <x:c r="AN4762" s="87" t="n">
        <x:v>27</x:v>
      </x:c>
    </x:row>
    <x:row r="4763">
      <x:c r="A4763" s="87" t="n">
        <x:v>4762</x:v>
      </x:c>
      <x:c r="B4763" s="87" t="str">
        <x:v>DEC-BIO-03-027</x:v>
      </x:c>
      <x:c r="C4763" s="87" t="str">
        <x:v>СтатГрад</x:v>
      </x:c>
      <x:c r="D4763" s="87" t="str">
        <x:v>Декабрь 2025</x:v>
      </x:c>
      <x:c r="E4763" s="87"/>
      <x:c r="F4763" s="87"/>
      <x:c r="G4763" s="87" t="str">
        <x:v>Биология</x:v>
      </x:c>
      <x:c r="H4763" s="87" t="n">
        <x:v>11</x:v>
      </x:c>
      <x:c r="I4763" s="87" t="str">
        <x:v>ТР №2</x:v>
      </x:c>
      <x:c r="J4763" s="87" t="str">
        <x:v>БИ2510203</x:v>
      </x:c>
      <x:c r="K4763" s="87" t="n">
        <x:v>27</x:v>
      </x:c>
      <x:c r="L4763" s="87" t="str">
        <x:v>Молекулярно-генетическая задача</x:v>
      </x:c>
      <x:c r="M4763" s="30" t="str">
        <x:v>У инфузорий рода Euplotes в последовательности белок-кодирующих генов
     в большом количестве встречаются стоп-кодоны. Однако, если такие кодоны
     находятся достаточно далеко от поли-А хвоста (находится на 3’-конце зрелой
     иРНК), то происходит сдвиг рамки считывания на +1 нуклеотид и рибосома
     их не замечает. Синтез нуклеиновых кислот начинается с 5’ конца. Рибосома
     движется от 5’ к 3’ концу зрелой иРНК. Фрагмент начала гена инфузории
     имеет следующую последовательность (нижняя цепь матричная –
     транскрибируемая):
                      5’-АЦТТЦАТГЦАЦЦААТААГЦГТТЦТА-3’
                      3’-ТГААГТАЦГТГГТТАТТЦГЦААГАТ-5’
     Определите нуклеотидную последовательность фрагмента иРНК, найдите
     открытую рамку считывания, если известно, что синтез полипептида
     начинается с аминокислоты мет. Определите последовательность образую-
     щегося на данной иРНК фрагмента полипептида. Ответ поясните.
     Для выполнения используйте таблицу генетического кода. При написании
     последовательностей нуклеиновых кислот указывайте направление цепи.
                                 Генетический код (иРНК)
      Первое                                                                        Третье
                                      Второе основание
     основание                                                                    основание
                         У              Ц               А              Г
                        Фен            Сер             Тир            Цис              У
                        Фен            Сер             Тир            Цис              Ц
          У
                        Лей            Сер              —              —               А
                        Лей            Сер              —             Три              Г
                        Лей            Про             Гис            Арг              У
                        Лей            Про             Гис            Арг              Ц
          Ц
                        Лей            Про             Глн            Арг              А
                        Лей            Про             Глн            Арг              Г
                        Иле            Тре             Асн            Сер              У
                        Иле            Тре             Асн            Сер              Ц
          А
                        Иле            Тре             Лиз            Арг              А
                        Мет            Тре             Лиз            Арг              Г
                        Вал            Ала             Асп            Гли              У
                        Вал            Ала             Асп            Гли              Ц
          Г
                        Вал            Ала             Глу            Гли              А
                        Вал            Ала             Глу            Гли              Г</x:v>
      </x:c>
      <x:c r="N4763" s="30" t="str">
        <x:v>1) фрагмент иРНК: 5’-АЦУУЦАУГЦАЦЦААУААГЦГУУЦУА-3’; 2) кодирующая последовательность гена начинается со старт кодона АУГ (или указан и подписан словом «старт» или «мет» на последовательности иРНК); 3) открытая рамка считывания: 5’-АУГЦАЦЦААУААГЦГУУЦУ(А)-3’ (или в явном виде указана на последовательности иРНК); 4) в рамке считывания имеется стоп кодон УАА (или указан и подписан словом «стоп» на последовательности иРНК); 5) происходит сдвиг рамки считывания до кодона ААГ (или указан и подписан как «новый кодон» или «лиз» на последовательности иРНК); 6) последовательность аминокислот в полипептиде: мет-гис-глн-лиз-арг-сер. Написание открытой рамки считывания с «выкинутым» нуклеотидом, на который произошёл сдвиг (с выброшенным первым нуклеотидом стоп-кодона), считается неверным, элемент 3 не засчитывается</x:v>
      </x:c>
      <x:c r="O4763" s="30" t="str">
        <x:v>Все обязательные смысловые элементы сопоставлены с условием; модель сверена с официальными критериями и парным вариантом.</x:v>
      </x:c>
      <x:c r="P4763" s="30" t="str">
        <x:v>Условие и визуал просмотрены; ответ проверен по биологической логике/расчёту и сопоставлен с каноническим источником.</x:v>
      </x:c>
      <x:c r="Q4763" s="30"/>
      <x:c r="R4763" s="30" t="str">
        <x:v>1) фрагмент иРНК: 5’-АЦУУЦАУГЦАЦЦААУААГЦГУУЦУА-3’; 2) кодирующая последовательность гена начинается со старт кодона АУГ (или указан и подписан словом «старт» или «мет» на последовательности иРНК); 3) открытая рамка считывания: 5’-АУГЦАЦЦААУААГЦГУУЦУ(А)-3’ (или в явном виде указана на последовательности иРНК); 4) в рамке считывания имеется стоп кодон УАА (или указан и подписан словом «стоп» на последовательности иРНК); 5) происходит сдвиг рамки считывания до кодона ААГ (или указан и подписан как «новый кодон» или «лиз» на последовательности иРНК); 6) последовательность аминокислот в полипептиде: мет-гис-глн-лиз-арг-сер. Написание открытой рамки считывания с «выкинутым» нуклеотидом, на который произошёл сдвиг (с выброшенным первым нуклеотидом стоп-кодона), считается неверным, элемент 3 не засчитывается</x:v>
      </x:c>
      <x:c r="S4763" s="30"/>
      <x:c r="T4763" s="30" t="str">
        <x:v>Kriterii_BI11_19122025_.pdf</x:v>
      </x:c>
      <x:c r="U4763" s="30" t="str">
        <x:v>Расхождений с каноническим источником нет.</x:v>
      </x:c>
      <x:c r="V4763" s="87" t="str">
        <x:v>VERIFIED</x:v>
      </x:c>
      <x:c r="W4763" s="87"/>
      <x:c r="X4763" s="87" t="n">
        <x:v>14</x:v>
      </x:c>
      <x:c r="Y4763" s="87"/>
      <x:c r="Z4763" s="87"/>
      <x:c r="AA4763" s="87"/>
      <x:c r="AB4763" s="87" t="str">
        <x:v>7; 8; 9</x:v>
      </x:c>
      <x:c r="AC4763" s="87" t="str">
        <x:v>VIS-BIO-DEC-TASK-34-P014</x:v>
      </x:c>
      <x:c r="AD4763" s="87" t="str">
        <x:v>VIS-BIO-DEC-CRIT-34-P007; VIS-BIO-DEC-CRIT-34-P008; VIS-BIO-DEC-CRIT-34-P009</x:v>
      </x:c>
      <x:c r="AE4763" s="87" t="str">
        <x:v>TASK; CRIT</x:v>
      </x:c>
      <x:c r="AF4763" s="87" t="str">
        <x:v>VIS-BIO-DEC-TASK-34-P014: 14; VIS-BIO-DEC-CRIT-34-P007: 7; VIS-BIO-DEC-CRIT-34-P008: 8; VIS-BIO-DEC-CRIT-34-P009: 9</x:v>
      </x:c>
      <x:c r="AG4763" s="87" t="str">
        <x:v>RESOLVED</x:v>
      </x:c>
      <x:c r="AH4763" s="87" t="str">
        <x:v>CROP_VERIFIED</x:v>
      </x:c>
      <x:c r="AI4763" s="30"/>
      <x:c r="AJ4763" s="87" t="str">
        <x:v>clean</x:v>
      </x:c>
      <x:c r="AK4763" s="87" t="str">
        <x:v>clean-v0.08</x:v>
      </x:c>
      <x:c r="AL4763" s="87" t="str">
        <x:v>statgrad_clean_continuation_v0_08(1).xlsx</x:v>
      </x:c>
      <x:c r="AM4763" s="87" t="str">
        <x:v>BIO_Dec_V3</x:v>
      </x:c>
      <x:c r="AN4763" s="87" t="n">
        <x:v>28</x:v>
      </x:c>
    </x:row>
    <x:row r="4764">
      <x:c r="A4764" s="87" t="n">
        <x:v>4763</x:v>
      </x:c>
      <x:c r="B4764" s="87" t="str">
        <x:v>DEC-BIO-03-028</x:v>
      </x:c>
      <x:c r="C4764" s="87" t="str">
        <x:v>СтатГрад</x:v>
      </x:c>
      <x:c r="D4764" s="87" t="str">
        <x:v>Декабрь 2025</x:v>
      </x:c>
      <x:c r="E4764" s="87"/>
      <x:c r="F4764" s="87"/>
      <x:c r="G4764" s="87" t="str">
        <x:v>Биология</x:v>
      </x:c>
      <x:c r="H4764" s="87" t="n">
        <x:v>11</x:v>
      </x:c>
      <x:c r="I4764" s="87" t="str">
        <x:v>ТР №2</x:v>
      </x:c>
      <x:c r="J4764" s="87" t="str">
        <x:v>БИ2510203</x:v>
      </x:c>
      <x:c r="K4764" s="87" t="n">
        <x:v>28</x:v>
      </x:c>
      <x:c r="L4764" s="87" t="str">
        <x:v>Генетическая задача</x:v>
      </x:c>
      <x:c r="M4764" s="30" t="str">
        <x:v>У человека аллели генов мышечной дистрофии Беккера и болезни Бруттона
     (врождённый иммунодефицит) находятся в одной хромосоме и наследуются
     сцеплено с полом.
     Женщина, не имеющая этих заболеваний, у матери которой была мышечная
     дистрофия Беккера, а у отца – болезнь Бруттона, вышла замуж за мужчину
     без этих заболеваний. Родившаяся в этом браке моногомозиготная здоровая
     дочь вышла замуж за мужчину, не имеющего этих заболеваний. В их семье
     родился ребёнок с болезнью Бруттона.
     Составьте схемы решения задачи. Укажите генотипы, фенотипы родителей
     и генотипы, фенотипы, пол возможного потомства в двух браках. Возможно
     ли в первом браке рождение ребёнка, страдающего двумя названными
     заболеваниями? Ответ поясните.</x:v>
      </x:c>
      <x:c r="N4764" s="30" t="str">
        <x:v>1) P ♀ ХAbХaB × ♂ XABY нормальное развитие мышц, нормальное развитие мышц, нормальный иммунитет нормальный иммунитет G Х ,Х ,Х ,X Ab aB AB ab XAB, Y F1 генотипы, фенотипы возможных дочерей: ХAbXAB – нормальное развитие мышц, нормальный иммунитет; ХaBXAB – нормальное развитие мышц, нормальный иммунитет; ХABXAB – нормальное развитие мышц, нормальный иммунитет; XabXAB – нормальное развитие мышц, нормальный иммунитет; генотипы, фенотипы возможных сыновей: ХAbY – нормальное развитие мышц, болезнь Бруттона; ХaBY – мышечная дистрофия Беккера, нормальный иммунитет; ХABY – нормальное развитие мышц, нормальный иммунитет; XabY – мышечная дистрофия Беккера, болезнь Бруттона; 2) ♀ ХAbХAB × ♂ XABY нормальное развитие мышц, нормальное развитие мышц, нормальный иммунитет нормальный иммунитет G Х ,Х Ab AB XAB, Y F2 генотипы, фенотипы возможных дочерей: ХAbXAB – нормальное развитие мышц, нормальный иммунитет; ХABXAB – нормальное развитие мышц, нормальный иммунитет; генотипы, фенотипы возможных сыновей: ХAbY – нормальное развитие мышц, болезнь Бруттона; ХABY – нормальное развитие мышц, нормальный иммунитет; 3) в первом браке возможно рождение сына с мышечной дистрофией Беккера и болезнью Бруттона (XabY). В генотипе этого ребёнка находятся материнская, образовавшаяся в результате кроссинговера Х-хромосома с двумя рецессивными аллелями и отцовская Y-хромосома, не содержащая аллелей этих двух генов. Допускается генетическая А B А B A А A символика , ИЛИ , изображения B В B сцепленных A B генов в виде: ИЛИ X AB X AB, X AB Y ИЛИ X AB X AB , X AB Y.) Элементы 1 и 2 засчитываются только при наличии и генотипов, и фенотипов, и пола всех возможных потомков</x:v>
      </x:c>
      <x:c r="O4764" s="30" t="str">
        <x:v>Все обязательные смысловые элементы сопоставлены с условием; модель сверена с официальными критериями и парным вариантом.</x:v>
      </x:c>
      <x:c r="P4764" s="30" t="str">
        <x:v>Условие и визуал просмотрены; ответ проверен по биологической логике/расчёту и сопоставлен с каноническим источником.</x:v>
      </x:c>
      <x:c r="Q4764" s="30"/>
      <x:c r="R4764" s="30" t="str">
        <x:v>1) P ♀ ХAbХaB × ♂ XABY нормальное развитие мышц, нормальное развитие мышц, нормальный иммунитет нормальный иммунитет G Х ,Х ,Х ,X Ab aB AB ab XAB, Y F1 генотипы, фенотипы возможных дочерей: ХAbXAB – нормальное развитие мышц, нормальный иммунитет; ХaBXAB – нормальное развитие мышц, нормальный иммунитет; ХABXAB – нормальное развитие мышц, нормальный иммунитет; XabXAB – нормальное развитие мышц, нормальный иммунитет; генотипы, фенотипы возможных сыновей: ХAbY – нормальное развитие мышц, болезнь Бруттона; ХaBY – мышечная дистрофия Беккера, нормальный иммунитет; ХABY – нормальное развитие мышц, нормальный иммунитет; XabY – мышечная дистрофия Беккера, болезнь Бруттона; 2) ♀ ХAbХAB × ♂ XABY нормальное развитие мышц, нормальное развитие мышц, нормальный иммунитет нормальный иммунитет G Х ,Х Ab AB XAB, Y F2 генотипы, фенотипы возможных дочерей: ХAbXAB – нормальное развитие мышц, нормальный иммунитет; ХABXAB – нормальное развитие мышц, нормальный иммунитет; генотипы, фенотипы возможных сыновей: ХAbY – нормальное развитие мышц, болезнь Бруттона; ХABY – нормальное развитие мышц, нормальный иммунитет; 3) в первом браке возможно рождение сына с мышечной дистрофией Беккера и болезнью Бруттона (XabY). В генотипе этого ребёнка находятся материнская, образовавшаяся в результате кроссинговера Х-хромосома с двумя рецессивными аллелями и отцовская Y-хромосома, не содержащая аллелей этих двух генов. Допускается генетическая А B А B A А A символика , ИЛИ , изображения B В B сцепленных A B генов в виде: ИЛИ X AB X AB, X AB Y ИЛИ X AB X AB , X AB Y.) Элементы 1 и 2 засчитываются только при наличии и генотипов, и фенотипов, и пола всех возможных потомков</x:v>
      </x:c>
      <x:c r="S4764" s="30"/>
      <x:c r="T4764" s="30" t="str">
        <x:v>Kriterii_BI11_19122025_.pdf</x:v>
      </x:c>
      <x:c r="U4764" s="30" t="str">
        <x:v>Расхождений с каноническим источником нет.</x:v>
      </x:c>
      <x:c r="V4764" s="87" t="str">
        <x:v>VERIFIED</x:v>
      </x:c>
      <x:c r="W4764" s="87"/>
      <x:c r="X4764" s="87" t="n">
        <x:v>15</x:v>
      </x:c>
      <x:c r="Y4764" s="87"/>
      <x:c r="Z4764" s="87"/>
      <x:c r="AA4764" s="87"/>
      <x:c r="AB4764" s="87" t="str">
        <x:v>9; 10</x:v>
      </x:c>
      <x:c r="AC4764" s="87" t="str">
        <x:v>VIS-BIO-DEC-TASK-34-P015</x:v>
      </x:c>
      <x:c r="AD4764" s="87" t="str">
        <x:v>VIS-BIO-DEC-CRIT-34-P009; VIS-BIO-DEC-CRIT-34-P010</x:v>
      </x:c>
      <x:c r="AE4764" s="87" t="str">
        <x:v>TASK; CRIT</x:v>
      </x:c>
      <x:c r="AF4764" s="87" t="str">
        <x:v>VIS-BIO-DEC-TASK-34-P015: 15; VIS-BIO-DEC-CRIT-34-P009: 9; VIS-BIO-DEC-CRIT-34-P010: 10</x:v>
      </x:c>
      <x:c r="AG4764" s="87" t="str">
        <x:v>RESOLVED</x:v>
      </x:c>
      <x:c r="AH4764" s="87" t="str">
        <x:v>CROP_VERIFIED</x:v>
      </x:c>
      <x:c r="AI4764" s="30"/>
      <x:c r="AJ4764" s="87" t="str">
        <x:v>clean</x:v>
      </x:c>
      <x:c r="AK4764" s="87" t="str">
        <x:v>clean-v0.08</x:v>
      </x:c>
      <x:c r="AL4764" s="87" t="str">
        <x:v>statgrad_clean_continuation_v0_08(1).xlsx</x:v>
      </x:c>
      <x:c r="AM4764" s="87" t="str">
        <x:v>BIO_Dec_V3</x:v>
      </x:c>
      <x:c r="AN4764" s="87" t="n">
        <x:v>29</x:v>
      </x:c>
    </x:row>
    <x:row r="4765">
      <x:c r="A4765" s="87" t="n">
        <x:v>4764</x:v>
      </x:c>
      <x:c r="B4765" s="87" t="str">
        <x:v>DEC-BIO-04-001</x:v>
      </x:c>
      <x:c r="C4765" s="87" t="str">
        <x:v>СтатГрад</x:v>
      </x:c>
      <x:c r="D4765" s="87" t="str">
        <x:v>Декабрь 2025</x:v>
      </x:c>
      <x:c r="E4765" s="87"/>
      <x:c r="F4765" s="87"/>
      <x:c r="G4765" s="87" t="str">
        <x:v>Биология</x:v>
      </x:c>
      <x:c r="H4765" s="87" t="n">
        <x:v>11</x:v>
      </x:c>
      <x:c r="I4765" s="87" t="str">
        <x:v>ТР №2</x:v>
      </x:c>
      <x:c r="J4765" s="87" t="str">
        <x:v>БИ2510204</x:v>
      </x:c>
      <x:c r="K4765" s="87" t="n">
        <x:v>1</x:v>
      </x:c>
      <x:c r="L4765" s="87" t="str">
        <x:v>Определение по рисунку/таблице</x:v>
      </x:c>
      <x:c r="M4765" s="30" t="str">
        <x:v>Рассмотрите таблицу «Уровни организации живой природы». Запишите
    в ответе пропущенный термин, обозначенный в таблице вопросительным
    знаком.
    Уровень организации
                                                          Пример
      живой природы
       Молекулярный                     Фермент-субстратное взаимодействие
             ?                                 Гемолиз эритроцитов
    Ответ: ___________________________.</x:v>
      </x:c>
      <x:c r="N4765" s="30" t="str">
        <x:v>клеточный, тканный, организменный</x:v>
      </x:c>
      <x:c r="O4765" s="30" t="str">
        <x:v>Уровень организации определён по изображению в таблице; ответ совпадает с официальным ключом.</x:v>
      </x:c>
      <x:c r="P4765" s="30" t="str">
        <x:v>Условие и визуал просмотрены; ответ проверен по биологической логике/расчёту и сопоставлен с каноническим источником.</x:v>
      </x:c>
      <x:c r="Q4765" s="30"/>
      <x:c r="R4765" s="30" t="str">
        <x:v>клеточный, тканный, организменный</x:v>
      </x:c>
      <x:c r="S4765" s="30"/>
      <x:c r="T4765" s="30" t="str">
        <x:v>Kriterii_BI11_19122025_.pdf</x:v>
      </x:c>
      <x:c r="U4765" s="30" t="str">
        <x:v>Вторичная крупная картинка не является канонической и исключена из ответа.</x:v>
      </x:c>
      <x:c r="V4765" s="87" t="str">
        <x:v>VERIFIED</x:v>
      </x:c>
      <x:c r="W4765" s="87"/>
      <x:c r="X4765" s="87" t="n">
        <x:v>17</x:v>
      </x:c>
      <x:c r="Y4765" s="87"/>
      <x:c r="Z4765" s="87"/>
      <x:c r="AA4765" s="87"/>
      <x:c r="AB4765" s="87" t="str">
        <x:v>1</x:v>
      </x:c>
      <x:c r="AC4765" s="87" t="str">
        <x:v>VIS-BIO-DEC-TASK-34-P017</x:v>
      </x:c>
      <x:c r="AD4765" s="87" t="str">
        <x:v>VIS-BIO-DEC-CRIT-34-P001</x:v>
      </x:c>
      <x:c r="AE4765" s="87" t="str">
        <x:v>TASK; CRIT</x:v>
      </x:c>
      <x:c r="AF4765" s="87" t="str">
        <x:v>VIS-BIO-DEC-TASK-34-P017: 17; VIS-BIO-DEC-CRIT-34-P001: 1</x:v>
      </x:c>
      <x:c r="AG4765" s="87" t="str">
        <x:v>RESOLVED</x:v>
      </x:c>
      <x:c r="AH4765" s="87" t="str">
        <x:v>CROP_VERIFIED</x:v>
      </x:c>
      <x:c r="AI4765" s="30"/>
      <x:c r="AJ4765" s="87" t="str">
        <x:v>clean</x:v>
      </x:c>
      <x:c r="AK4765" s="87" t="str">
        <x:v>clean-v0.08</x:v>
      </x:c>
      <x:c r="AL4765" s="87" t="str">
        <x:v>statgrad_clean_continuation_v0_08(1).xlsx</x:v>
      </x:c>
      <x:c r="AM4765" s="87" t="str">
        <x:v>BIO_Dec_V4</x:v>
      </x:c>
      <x:c r="AN4765" s="87" t="n">
        <x:v>2</x:v>
      </x:c>
    </x:row>
    <x:row r="4766">
      <x:c r="A4766" s="87" t="n">
        <x:v>4765</x:v>
      </x:c>
      <x:c r="B4766" s="87" t="str">
        <x:v>DEC-BIO-04-002</x:v>
      </x:c>
      <x:c r="C4766" s="87" t="str">
        <x:v>СтатГрад</x:v>
      </x:c>
      <x:c r="D4766" s="87" t="str">
        <x:v>Декабрь 2025</x:v>
      </x:c>
      <x:c r="E4766" s="87"/>
      <x:c r="F4766" s="87"/>
      <x:c r="G4766" s="87" t="str">
        <x:v>Биология</x:v>
      </x:c>
      <x:c r="H4766" s="87" t="n">
        <x:v>11</x:v>
      </x:c>
      <x:c r="I4766" s="87" t="str">
        <x:v>ТР №2</x:v>
      </x:c>
      <x:c r="J4766" s="87" t="str">
        <x:v>БИ2510204</x:v>
      </x:c>
      <x:c r="K4766" s="87" t="n">
        <x:v>2</x:v>
      </x:c>
      <x:c r="L4766" s="87" t="str">
        <x:v>Анализ изменения величин</x:v>
      </x:c>
      <x:c r="M4766" s="30" t="str">
        <x:v>Учёный     измерял    параметры    крови    человека    после введения
    противостолбнячной вакцины. Как при этом изменятся содержание в крови
    человека антигенов столбнячной палочки и антител к ней?
    Для каждой величины определите соответствующий характер её изменения:
          1) увеличится
          2) уменьшится
          3) не изменится
    Запишите в таблицу выбранные цифры для каждой величины. Цифры
    в ответе могут повторяться.
        Содержание в крови антигенов                   Содержание в крови антител
            столбнячной палочки                          к столбнячной палочке</x:v>
      </x:c>
      <x:c r="N4766" s="30" t="str">
        <x:v>11</x:v>
      </x:c>
      <x:c r="O4766" s="30" t="str">
        <x:v>После вакцинации в кровь поступают антигены и формируется активный иммунный ответ, поэтому обе величины увеличиваются.</x:v>
      </x:c>
      <x:c r="P4766" s="30" t="str">
        <x:v>Условие и визуал просмотрены; ответ проверен по биологической логике/расчёту и сопоставлен с каноническим источником.</x:v>
      </x:c>
      <x:c r="Q4766" s="30"/>
      <x:c r="R4766" s="30" t="str">
        <x:v>11</x:v>
      </x:c>
      <x:c r="S4766" s="30"/>
      <x:c r="T4766" s="30" t="str">
        <x:v>IMG_20251220_203648_739.jpg</x:v>
      </x:c>
      <x:c r="U4766" s="30" t="str">
        <x:v>Расхождений с каноническим источником нет.</x:v>
      </x:c>
      <x:c r="V4766" s="87" t="str">
        <x:v>VERIFIED</x:v>
      </x:c>
      <x:c r="W4766" s="87"/>
      <x:c r="X4766" s="87" t="n">
        <x:v>17</x:v>
      </x:c>
      <x:c r="Y4766" s="87"/>
      <x:c r="Z4766" s="87"/>
      <x:c r="AA4766" s="87"/>
      <x:c r="AB4766" s="87" t="str">
        <x:v>таблица дополнения</x:v>
      </x:c>
      <x:c r="AC4766" s="87" t="str">
        <x:v>VIS-BIO-DEC-TASK-34-P017</x:v>
      </x:c>
      <x:c r="AD4766" s="87" t="str">
        <x:v>VIS-BIO-DEC-KEY-SUPPLEMENT</x:v>
      </x:c>
      <x:c r="AE4766" s="87" t="str">
        <x:v>TASK; KEY_SUPPLEMENT</x:v>
      </x:c>
      <x:c r="AF4766" s="87" t="str">
        <x:v>VIS-BIO-DEC-TASK-34-P017: 17; VIS-BIO-DEC-KEY-SUPPLEMENT: original</x:v>
      </x:c>
      <x:c r="AG4766" s="87" t="str">
        <x:v>RESOLVED</x:v>
      </x:c>
      <x:c r="AH4766" s="87" t="str">
        <x:v>CROP_VERIFIED</x:v>
      </x:c>
      <x:c r="AI4766" s="30"/>
      <x:c r="AJ4766" s="87" t="str">
        <x:v>clean</x:v>
      </x:c>
      <x:c r="AK4766" s="87" t="str">
        <x:v>clean-v0.08</x:v>
      </x:c>
      <x:c r="AL4766" s="87" t="str">
        <x:v>statgrad_clean_continuation_v0_08(1).xlsx</x:v>
      </x:c>
      <x:c r="AM4766" s="87" t="str">
        <x:v>BIO_Dec_V4</x:v>
      </x:c>
      <x:c r="AN4766" s="87" t="n">
        <x:v>3</x:v>
      </x:c>
    </x:row>
    <x:row r="4767">
      <x:c r="A4767" s="87" t="n">
        <x:v>4766</x:v>
      </x:c>
      <x:c r="B4767" s="87" t="str">
        <x:v>DEC-BIO-04-003</x:v>
      </x:c>
      <x:c r="C4767" s="87" t="str">
        <x:v>СтатГрад</x:v>
      </x:c>
      <x:c r="D4767" s="87" t="str">
        <x:v>Декабрь 2025</x:v>
      </x:c>
      <x:c r="E4767" s="87"/>
      <x:c r="F4767" s="87"/>
      <x:c r="G4767" s="87" t="str">
        <x:v>Биология</x:v>
      </x:c>
      <x:c r="H4767" s="87" t="n">
        <x:v>11</x:v>
      </x:c>
      <x:c r="I4767" s="87" t="str">
        <x:v>ТР №2</x:v>
      </x:c>
      <x:c r="J4767" s="87" t="str">
        <x:v>БИ2510204</x:v>
      </x:c>
      <x:c r="K4767" s="87" t="n">
        <x:v>3</x:v>
      </x:c>
      <x:c r="L4767" s="87" t="str">
        <x:v>Расчётная задача</x:v>
      </x:c>
      <x:c r="M4767" s="30" t="str">
        <x:v>Какое количество нуклеотидов РНК кодирует фрагмент полипептида,
    имеющий длину 140 аминокислот? В ответе запишите только число.
    Ответ: ___________________________.</x:v>
      </x:c>
      <x:c r="N4767" s="30" t="str">
        <x:v>420</x:v>
      </x:c>
      <x:c r="O4767" s="30" t="str">
        <x:v>140 аминокислот кодируются 140×3=420 нуклеотидами РНК.</x:v>
      </x:c>
      <x:c r="P4767" s="30" t="str">
        <x:v>Условие и визуал просмотрены; ответ проверен по биологической логике/расчёту и сопоставлен с каноническим источником.</x:v>
      </x:c>
      <x:c r="Q4767" s="30"/>
      <x:c r="R4767" s="30" t="str">
        <x:v>420</x:v>
      </x:c>
      <x:c r="S4767" s="30"/>
      <x:c r="T4767" s="30" t="str">
        <x:v>IMG_20251220_203648_739.jpg</x:v>
      </x:c>
      <x:c r="U4767" s="30" t="str">
        <x:v>Расхождений с каноническим источником нет.</x:v>
      </x:c>
      <x:c r="V4767" s="87" t="str">
        <x:v>VERIFIED</x:v>
      </x:c>
      <x:c r="W4767" s="87"/>
      <x:c r="X4767" s="87" t="n">
        <x:v>17</x:v>
      </x:c>
      <x:c r="Y4767" s="87"/>
      <x:c r="Z4767" s="87"/>
      <x:c r="AA4767" s="87"/>
      <x:c r="AB4767" s="87" t="str">
        <x:v>таблица дополнения</x:v>
      </x:c>
      <x:c r="AC4767" s="87" t="str">
        <x:v>VIS-BIO-DEC-TASK-34-P017</x:v>
      </x:c>
      <x:c r="AD4767" s="87" t="str">
        <x:v>VIS-BIO-DEC-KEY-SUPPLEMENT</x:v>
      </x:c>
      <x:c r="AE4767" s="87" t="str">
        <x:v>TASK; KEY_SUPPLEMENT</x:v>
      </x:c>
      <x:c r="AF4767" s="87" t="str">
        <x:v>VIS-BIO-DEC-TASK-34-P017: 17; VIS-BIO-DEC-KEY-SUPPLEMENT: original</x:v>
      </x:c>
      <x:c r="AG4767" s="87" t="str">
        <x:v>RESOLVED</x:v>
      </x:c>
      <x:c r="AH4767" s="87" t="str">
        <x:v>CROP_VERIFIED</x:v>
      </x:c>
      <x:c r="AI4767" s="30"/>
      <x:c r="AJ4767" s="87" t="str">
        <x:v>clean</x:v>
      </x:c>
      <x:c r="AK4767" s="87" t="str">
        <x:v>clean-v0.08</x:v>
      </x:c>
      <x:c r="AL4767" s="87" t="str">
        <x:v>statgrad_clean_continuation_v0_08(1).xlsx</x:v>
      </x:c>
      <x:c r="AM4767" s="87" t="str">
        <x:v>BIO_Dec_V4</x:v>
      </x:c>
      <x:c r="AN4767" s="87" t="n">
        <x:v>4</x:v>
      </x:c>
    </x:row>
    <x:row r="4768">
      <x:c r="A4768" s="87" t="n">
        <x:v>4767</x:v>
      </x:c>
      <x:c r="B4768" s="87" t="str">
        <x:v>DEC-BIO-04-004</x:v>
      </x:c>
      <x:c r="C4768" s="87" t="str">
        <x:v>СтатГрад</x:v>
      </x:c>
      <x:c r="D4768" s="87" t="str">
        <x:v>Декабрь 2025</x:v>
      </x:c>
      <x:c r="E4768" s="87"/>
      <x:c r="F4768" s="87"/>
      <x:c r="G4768" s="87" t="str">
        <x:v>Биология</x:v>
      </x:c>
      <x:c r="H4768" s="87" t="n">
        <x:v>11</x:v>
      </x:c>
      <x:c r="I4768" s="87" t="str">
        <x:v>ТР №2</x:v>
      </x:c>
      <x:c r="J4768" s="87" t="str">
        <x:v>БИ2510204</x:v>
      </x:c>
      <x:c r="K4768" s="87" t="n">
        <x:v>4</x:v>
      </x:c>
      <x:c r="L4768" s="87" t="str">
        <x:v>Расчётная задача</x:v>
      </x:c>
      <x:c r="M4768" s="30" t="str">
        <x:v>Какова вероятность появления в потомстве особей с промежуточным
    фенотипом при анализирующем скрещивании гетерозиготного растения
    при неполном доминировании? Ответ запишите в виде числа.
    Ответ: ___________________________.
                   Рассмотрите схему и выполните задания 5 и 6.</x:v>
      </x:c>
      <x:c r="N4768" s="30" t="str">
        <x:v>0,5</x:v>
      </x:c>
      <x:c r="O4768" s="30" t="str">
        <x:v>При анализирующем скрещивании Aa×aa при неполном доминировании промежуточный фенотип имеет половина потомков.</x:v>
      </x:c>
      <x:c r="P4768" s="30" t="str">
        <x:v>Условие и визуал просмотрены; ответ проверен по биологической логике/расчёту и сопоставлен с каноническим источником.</x:v>
      </x:c>
      <x:c r="Q4768" s="30"/>
      <x:c r="R4768" s="30" t="str">
        <x:v>0,5</x:v>
      </x:c>
      <x:c r="S4768" s="30"/>
      <x:c r="T4768" s="30" t="str">
        <x:v>IMG_20251220_203648_739.jpg</x:v>
      </x:c>
      <x:c r="U4768" s="30" t="str">
        <x:v>Расхождений с каноническим источником нет.</x:v>
      </x:c>
      <x:c r="V4768" s="87" t="str">
        <x:v>VERIFIED</x:v>
      </x:c>
      <x:c r="W4768" s="87"/>
      <x:c r="X4768" s="87" t="n">
        <x:v>17</x:v>
      </x:c>
      <x:c r="Y4768" s="87"/>
      <x:c r="Z4768" s="87"/>
      <x:c r="AA4768" s="87"/>
      <x:c r="AB4768" s="87" t="str">
        <x:v>таблица дополнения</x:v>
      </x:c>
      <x:c r="AC4768" s="87" t="str">
        <x:v>VIS-BIO-DEC-TASK-34-P017</x:v>
      </x:c>
      <x:c r="AD4768" s="87" t="str">
        <x:v>VIS-BIO-DEC-KEY-SUPPLEMENT</x:v>
      </x:c>
      <x:c r="AE4768" s="87" t="str">
        <x:v>TASK; KEY_SUPPLEMENT</x:v>
      </x:c>
      <x:c r="AF4768" s="87" t="str">
        <x:v>VIS-BIO-DEC-TASK-34-P017: 17; VIS-BIO-DEC-KEY-SUPPLEMENT: original</x:v>
      </x:c>
      <x:c r="AG4768" s="87" t="str">
        <x:v>RESOLVED</x:v>
      </x:c>
      <x:c r="AH4768" s="87" t="str">
        <x:v>CROP_VERIFIED</x:v>
      </x:c>
      <x:c r="AI4768" s="30"/>
      <x:c r="AJ4768" s="87" t="str">
        <x:v>clean</x:v>
      </x:c>
      <x:c r="AK4768" s="87" t="str">
        <x:v>clean-v0.08</x:v>
      </x:c>
      <x:c r="AL4768" s="87" t="str">
        <x:v>statgrad_clean_continuation_v0_08(1).xlsx</x:v>
      </x:c>
      <x:c r="AM4768" s="87" t="str">
        <x:v>BIO_Dec_V4</x:v>
      </x:c>
      <x:c r="AN4768" s="87" t="n">
        <x:v>5</x:v>
      </x:c>
    </x:row>
    <x:row r="4769">
      <x:c r="A4769" s="87" t="n">
        <x:v>4768</x:v>
      </x:c>
      <x:c r="B4769" s="87" t="str">
        <x:v>DEC-BIO-04-005</x:v>
      </x:c>
      <x:c r="C4769" s="87" t="str">
        <x:v>СтатГрад</x:v>
      </x:c>
      <x:c r="D4769" s="87" t="str">
        <x:v>Декабрь 2025</x:v>
      </x:c>
      <x:c r="E4769" s="87"/>
      <x:c r="F4769" s="87"/>
      <x:c r="G4769" s="87" t="str">
        <x:v>Биология</x:v>
      </x:c>
      <x:c r="H4769" s="87" t="n">
        <x:v>11</x:v>
      </x:c>
      <x:c r="I4769" s="87" t="str">
        <x:v>ТР №2</x:v>
      </x:c>
      <x:c r="J4769" s="87" t="str">
        <x:v>БИ2510204</x:v>
      </x:c>
      <x:c r="K4769" s="87" t="n">
        <x:v>5</x:v>
      </x:c>
      <x:c r="L4769" s="87" t="str">
        <x:v>Определение по рисунку/таблице</x:v>
      </x:c>
      <x:c r="M4769" s="30" t="str">
        <x:v>Какой цифрой на схеме гаметогенеза обозначено полярное тельце?
    Ответ: ___________________________.</x:v>
      </x:c>
      <x:c r="N4769" s="30" t="str">
        <x:v>7</x:v>
      </x:c>
      <x:c r="O4769" s="30" t="str">
        <x:v>Номер структуры определён по исходному рисунку и подтверждён дополнительной таблицей ответов.</x:v>
      </x:c>
      <x:c r="P4769" s="30" t="str">
        <x:v>Условие и визуал просмотрены; ответ проверен по биологической логике/расчёту и сопоставлен с каноническим источником.</x:v>
      </x:c>
      <x:c r="Q4769" s="30"/>
      <x:c r="R4769" s="30" t="str">
        <x:v>7</x:v>
      </x:c>
      <x:c r="S4769" s="30"/>
      <x:c r="T4769" s="30" t="str">
        <x:v>IMG_20251220_203648_739.jpg</x:v>
      </x:c>
      <x:c r="U4769" s="30" t="str">
        <x:v>Вторичная крупная картинка не является канонической и исключена из ответа.</x:v>
      </x:c>
      <x:c r="V4769" s="87" t="str">
        <x:v>VERIFIED</x:v>
      </x:c>
      <x:c r="W4769" s="87"/>
      <x:c r="X4769" s="87" t="n">
        <x:v>18</x:v>
      </x:c>
      <x:c r="Y4769" s="87"/>
      <x:c r="Z4769" s="87"/>
      <x:c r="AA4769" s="87"/>
      <x:c r="AB4769" s="87" t="str">
        <x:v>таблица дополнения</x:v>
      </x:c>
      <x:c r="AC4769" s="87" t="str">
        <x:v>VIS-BIO-DEC-TASK-34-P018</x:v>
      </x:c>
      <x:c r="AD4769" s="87" t="str">
        <x:v>VIS-BIO-DEC-KEY-SUPPLEMENT</x:v>
      </x:c>
      <x:c r="AE4769" s="87" t="str">
        <x:v>TASK; KEY_SUPPLEMENT</x:v>
      </x:c>
      <x:c r="AF4769" s="87" t="str">
        <x:v>VIS-BIO-DEC-TASK-34-P018: 18; VIS-BIO-DEC-KEY-SUPPLEMENT: original</x:v>
      </x:c>
      <x:c r="AG4769" s="87" t="str">
        <x:v>RESOLVED</x:v>
      </x:c>
      <x:c r="AH4769" s="87" t="str">
        <x:v>CROP_VERIFIED; TASK_CROP_QA_APPROVED:MANUAL_BBOX</x:v>
      </x:c>
      <x:c r="AI4769" s="30"/>
      <x:c r="AJ4769" s="87" t="str">
        <x:v>clean</x:v>
      </x:c>
      <x:c r="AK4769" s="87" t="str">
        <x:v>clean-v0.08</x:v>
      </x:c>
      <x:c r="AL4769" s="87" t="str">
        <x:v>statgrad_clean_continuation_v0_08(1).xlsx</x:v>
      </x:c>
      <x:c r="AM4769" s="87" t="str">
        <x:v>BIO_Dec_V4</x:v>
      </x:c>
      <x:c r="AN4769" s="87" t="n">
        <x:v>6</x:v>
      </x:c>
    </x:row>
    <x:row r="4770">
      <x:c r="A4770" s="87" t="n">
        <x:v>4769</x:v>
      </x:c>
      <x:c r="B4770" s="87" t="str">
        <x:v>DEC-BIO-04-006</x:v>
      </x:c>
      <x:c r="C4770" s="87" t="str">
        <x:v>СтатГрад</x:v>
      </x:c>
      <x:c r="D4770" s="87" t="str">
        <x:v>Декабрь 2025</x:v>
      </x:c>
      <x:c r="E4770" s="87"/>
      <x:c r="F4770" s="87"/>
      <x:c r="G4770" s="87" t="str">
        <x:v>Биология</x:v>
      </x:c>
      <x:c r="H4770" s="87" t="n">
        <x:v>11</x:v>
      </x:c>
      <x:c r="I4770" s="87" t="str">
        <x:v>ТР №2</x:v>
      </x:c>
      <x:c r="J4770" s="87" t="str">
        <x:v>БИ2510204</x:v>
      </x:c>
      <x:c r="K4770" s="87" t="n">
        <x:v>6</x:v>
      </x:c>
      <x:c r="L4770" s="87" t="str">
        <x:v>Установление соответствия</x:v>
      </x:c>
      <x:c r="M4770" s="30" t="str">
        <x:v>Установите соответствие между характеристиками и структурами,
    обозначенными на схеме цифрами 1, 2, 3: к каждой позиции, данной в первом
    столбце, подберите соответствующую позицию из второго столбца.
                      ХАРАКТЕРИСТИКИ                                        СТРУКТУРЫ
    А) гаплоидная клетка с удвоенными хромосомами                          1) 1
    Б) делится митозом                                                     2) 2
    В) вступает во второе деление мейоза                                   3) 3
    Г) заканчивает фазу роста и переходит к созреванию
    Д) сперматогоний или оогоний
    Е) в клетке происходит кроссинговер
    Запишите в таблицу выбранные цифры под соответствующими буквами.
               А Б В Г Д Е
    Ответ:</x:v>
      </x:c>
      <x:c r="N4770" s="30" t="str">
        <x:v>313212</x:v>
      </x:c>
      <x:c r="O4770" s="30" t="str">
        <x:v>Каждая характеристика сопоставлена с обозначенной структурой/категорией; последовательность подтверждена официальным ключом.</x:v>
      </x:c>
      <x:c r="P4770" s="30" t="str">
        <x:v>Условие и визуал просмотрены; ответ проверен по биологической логике/расчёту и сопоставлен с каноническим источником.</x:v>
      </x:c>
      <x:c r="Q4770" s="30"/>
      <x:c r="R4770" s="30" t="str">
        <x:v>313212</x:v>
      </x:c>
      <x:c r="S4770" s="30"/>
      <x:c r="T4770" s="30" t="str">
        <x:v>Kriterii_BI11_19122025_.pdf</x:v>
      </x:c>
      <x:c r="U4770" s="30" t="str">
        <x:v>Вторичная крупная картинка не является канонической и исключена из ответа.</x:v>
      </x:c>
      <x:c r="V4770" s="87" t="str">
        <x:v>VERIFIED</x:v>
      </x:c>
      <x:c r="W4770" s="87"/>
      <x:c r="X4770" s="87" t="n">
        <x:v>18</x:v>
      </x:c>
      <x:c r="Y4770" s="87"/>
      <x:c r="Z4770" s="87"/>
      <x:c r="AA4770" s="87"/>
      <x:c r="AB4770" s="87" t="str">
        <x:v>1</x:v>
      </x:c>
      <x:c r="AC4770" s="87" t="str">
        <x:v>VIS-BIO-DEC-TASK-34-P018</x:v>
      </x:c>
      <x:c r="AD4770" s="87" t="str">
        <x:v>VIS-BIO-DEC-CRIT-34-P001</x:v>
      </x:c>
      <x:c r="AE4770" s="87" t="str">
        <x:v>TASK; CRIT</x:v>
      </x:c>
      <x:c r="AF4770" s="87" t="str">
        <x:v>VIS-BIO-DEC-TASK-34-P018: 18; VIS-BIO-DEC-CRIT-34-P001: 1</x:v>
      </x:c>
      <x:c r="AG4770" s="87" t="str">
        <x:v>RESOLVED</x:v>
      </x:c>
      <x:c r="AH4770" s="87" t="str">
        <x:v>CROP_VERIFIED; TASK_CROP_QA_APPROVED:USE_TIGHT</x:v>
      </x:c>
      <x:c r="AI4770" s="30"/>
      <x:c r="AJ4770" s="87" t="str">
        <x:v>clean</x:v>
      </x:c>
      <x:c r="AK4770" s="87" t="str">
        <x:v>clean-v0.08</x:v>
      </x:c>
      <x:c r="AL4770" s="87" t="str">
        <x:v>statgrad_clean_continuation_v0_08(1).xlsx</x:v>
      </x:c>
      <x:c r="AM4770" s="87" t="str">
        <x:v>BIO_Dec_V4</x:v>
      </x:c>
      <x:c r="AN4770" s="87" t="n">
        <x:v>7</x:v>
      </x:c>
    </x:row>
    <x:row r="4771">
      <x:c r="A4771" s="87" t="n">
        <x:v>4770</x:v>
      </x:c>
      <x:c r="B4771" s="87" t="str">
        <x:v>DEC-BIO-04-007</x:v>
      </x:c>
      <x:c r="C4771" s="87" t="str">
        <x:v>СтатГрад</x:v>
      </x:c>
      <x:c r="D4771" s="87" t="str">
        <x:v>Декабрь 2025</x:v>
      </x:c>
      <x:c r="E4771" s="87"/>
      <x:c r="F4771" s="87"/>
      <x:c r="G4771" s="87" t="str">
        <x:v>Биология</x:v>
      </x:c>
      <x:c r="H4771" s="87" t="n">
        <x:v>11</x:v>
      </x:c>
      <x:c r="I4771" s="87" t="str">
        <x:v>ТР №2</x:v>
      </x:c>
      <x:c r="J4771" s="87" t="str">
        <x:v>БИ2510204</x:v>
      </x:c>
      <x:c r="K4771" s="87" t="n">
        <x:v>7</x:v>
      </x:c>
      <x:c r="L4771" s="87" t="str">
        <x:v>Множественный выбор</x:v>
      </x:c>
      <x:c r="M4771" s="30" t="str">
        <x:v>Выберите три верных ответа и запишите в таблицу цифры, под которыми
    они указаны.
    К функциям эндоплазматической сети клетки относят
    1) компартментализацию клетки
    2) выведение продуктов обмена из клетки
    3) хранение наследственной информации
    4) синтез белков и липидов
    5) формирование транспортных пузырьков
    6) образование лизосом
    Ответ:</x:v>
      </x:c>
      <x:c r="N4771" s="30" t="str">
        <x:v>145</x:v>
      </x:c>
      <x:c r="O4771" s="30" t="str">
        <x:v>Все шесть утверждений проверены по биологическим признакам; выбраны три корректные позиции.</x:v>
      </x:c>
      <x:c r="P4771" s="30" t="str">
        <x:v>Условие и визуал просмотрены; ответ проверен по биологической логике/расчёту и сопоставлен с каноническим источником.</x:v>
      </x:c>
      <x:c r="Q4771" s="30"/>
      <x:c r="R4771" s="30" t="str">
        <x:v>145</x:v>
      </x:c>
      <x:c r="S4771" s="30"/>
      <x:c r="T4771" s="30" t="str">
        <x:v>Kriterii_BI11_19122025_.pdf</x:v>
      </x:c>
      <x:c r="U4771" s="30" t="str">
        <x:v>Расхождений с каноническим источником нет.</x:v>
      </x:c>
      <x:c r="V4771" s="87" t="str">
        <x:v>VERIFIED</x:v>
      </x:c>
      <x:c r="W4771" s="87"/>
      <x:c r="X4771" s="87" t="n">
        <x:v>19</x:v>
      </x:c>
      <x:c r="Y4771" s="87"/>
      <x:c r="Z4771" s="87"/>
      <x:c r="AA4771" s="87"/>
      <x:c r="AB4771" s="87" t="str">
        <x:v>1</x:v>
      </x:c>
      <x:c r="AC4771" s="87" t="str">
        <x:v>VIS-BIO-DEC-TASK-34-P019</x:v>
      </x:c>
      <x:c r="AD4771" s="87" t="str">
        <x:v>VIS-BIO-DEC-CRIT-34-P001</x:v>
      </x:c>
      <x:c r="AE4771" s="87" t="str">
        <x:v>TASK; CRIT</x:v>
      </x:c>
      <x:c r="AF4771" s="87" t="str">
        <x:v>VIS-BIO-DEC-TASK-34-P019: 19; VIS-BIO-DEC-CRIT-34-P001: 1</x:v>
      </x:c>
      <x:c r="AG4771" s="87" t="str">
        <x:v>RESOLVED</x:v>
      </x:c>
      <x:c r="AH4771" s="87" t="str">
        <x:v>CROP_VERIFIED</x:v>
      </x:c>
      <x:c r="AI4771" s="30"/>
      <x:c r="AJ4771" s="87" t="str">
        <x:v>clean</x:v>
      </x:c>
      <x:c r="AK4771" s="87" t="str">
        <x:v>clean-v0.08</x:v>
      </x:c>
      <x:c r="AL4771" s="87" t="str">
        <x:v>statgrad_clean_continuation_v0_08(1).xlsx</x:v>
      </x:c>
      <x:c r="AM4771" s="87" t="str">
        <x:v>BIO_Dec_V4</x:v>
      </x:c>
      <x:c r="AN4771" s="87" t="n">
        <x:v>8</x:v>
      </x:c>
    </x:row>
    <x:row r="4772">
      <x:c r="A4772" s="87" t="n">
        <x:v>4771</x:v>
      </x:c>
      <x:c r="B4772" s="87" t="str">
        <x:v>DEC-BIO-04-008</x:v>
      </x:c>
      <x:c r="C4772" s="87" t="str">
        <x:v>СтатГрад</x:v>
      </x:c>
      <x:c r="D4772" s="87" t="str">
        <x:v>Декабрь 2025</x:v>
      </x:c>
      <x:c r="E4772" s="87"/>
      <x:c r="F4772" s="87"/>
      <x:c r="G4772" s="87" t="str">
        <x:v>Биология</x:v>
      </x:c>
      <x:c r="H4772" s="87" t="n">
        <x:v>11</x:v>
      </x:c>
      <x:c r="I4772" s="87" t="str">
        <x:v>ТР №2</x:v>
      </x:c>
      <x:c r="J4772" s="87" t="str">
        <x:v>БИ2510204</x:v>
      </x:c>
      <x:c r="K4772" s="87" t="n">
        <x:v>8</x:v>
      </x:c>
      <x:c r="L4772" s="87" t="str">
        <x:v>Установление последовательности</x:v>
      </x:c>
      <x:c r="M4772" s="30" t="str">
        <x:v>Установите последовательность стадий клеточного дыхания. Запишите
    в таблицу соответствующую последовательность цифр.
    1) окислительное фосфорилирование
    2) поступление глюкозы в клетку
    3) образование пировиноградной кислоты
    4) поступление ацетил-КоА в митохондрию
    5) окисление органических веществ до СО 2
    Ответ:
                 Рассмотрите рисунок и выполните задания 9 и 10.</x:v>
      </x:c>
      <x:c r="N4772" s="30" t="str">
        <x:v>23451</x:v>
      </x:c>
      <x:c r="O4772" s="30" t="str">
        <x:v>Этапы упорядочены по причинно-временной либо систематической последовательности.</x:v>
      </x:c>
      <x:c r="P4772" s="30" t="str">
        <x:v>Условие и визуал просмотрены; ответ проверен по биологической логике/расчёту и сопоставлен с каноническим источником.</x:v>
      </x:c>
      <x:c r="Q4772" s="30"/>
      <x:c r="R4772" s="30" t="str">
        <x:v>23451</x:v>
      </x:c>
      <x:c r="S4772" s="30"/>
      <x:c r="T4772" s="30" t="str">
        <x:v>Kriterii_BI11_19122025_.pdf</x:v>
      </x:c>
      <x:c r="U4772" s="30" t="str">
        <x:v>Расхождений с каноническим источником нет.</x:v>
      </x:c>
      <x:c r="V4772" s="87" t="str">
        <x:v>VERIFIED</x:v>
      </x:c>
      <x:c r="W4772" s="87"/>
      <x:c r="X4772" s="87" t="n">
        <x:v>19</x:v>
      </x:c>
      <x:c r="Y4772" s="87"/>
      <x:c r="Z4772" s="87"/>
      <x:c r="AA4772" s="87"/>
      <x:c r="AB4772" s="87" t="str">
        <x:v>1</x:v>
      </x:c>
      <x:c r="AC4772" s="87" t="str">
        <x:v>VIS-BIO-DEC-TASK-34-P019</x:v>
      </x:c>
      <x:c r="AD4772" s="87" t="str">
        <x:v>VIS-BIO-DEC-CRIT-34-P001</x:v>
      </x:c>
      <x:c r="AE4772" s="87" t="str">
        <x:v>TASK; CRIT</x:v>
      </x:c>
      <x:c r="AF4772" s="87" t="str">
        <x:v>VIS-BIO-DEC-TASK-34-P019: 19; VIS-BIO-DEC-CRIT-34-P001: 1</x:v>
      </x:c>
      <x:c r="AG4772" s="87" t="str">
        <x:v>RESOLVED</x:v>
      </x:c>
      <x:c r="AH4772" s="87" t="str">
        <x:v>CROP_VERIFIED</x:v>
      </x:c>
      <x:c r="AI4772" s="30"/>
      <x:c r="AJ4772" s="87" t="str">
        <x:v>clean</x:v>
      </x:c>
      <x:c r="AK4772" s="87" t="str">
        <x:v>clean-v0.08</x:v>
      </x:c>
      <x:c r="AL4772" s="87" t="str">
        <x:v>statgrad_clean_continuation_v0_08(1).xlsx</x:v>
      </x:c>
      <x:c r="AM4772" s="87" t="str">
        <x:v>BIO_Dec_V4</x:v>
      </x:c>
      <x:c r="AN4772" s="87" t="n">
        <x:v>9</x:v>
      </x:c>
    </x:row>
    <x:row r="4773">
      <x:c r="A4773" s="87" t="n">
        <x:v>4772</x:v>
      </x:c>
      <x:c r="B4773" s="87" t="str">
        <x:v>DEC-BIO-04-009</x:v>
      </x:c>
      <x:c r="C4773" s="87" t="str">
        <x:v>СтатГрад</x:v>
      </x:c>
      <x:c r="D4773" s="87" t="str">
        <x:v>Декабрь 2025</x:v>
      </x:c>
      <x:c r="E4773" s="87"/>
      <x:c r="F4773" s="87"/>
      <x:c r="G4773" s="87" t="str">
        <x:v>Биология</x:v>
      </x:c>
      <x:c r="H4773" s="87" t="n">
        <x:v>11</x:v>
      </x:c>
      <x:c r="I4773" s="87" t="str">
        <x:v>ТР №2</x:v>
      </x:c>
      <x:c r="J4773" s="87" t="str">
        <x:v>БИ2510204</x:v>
      </x:c>
      <x:c r="K4773" s="87" t="n">
        <x:v>9</x:v>
      </x:c>
      <x:c r="L4773" s="87" t="str">
        <x:v>Определение по рисунку/таблице</x:v>
      </x:c>
      <x:c r="M4773" s="30" t="str">
        <x:v>Какой цифрой на рисунке обозначена цветоножка?
    Ответ: ___________________________.</x:v>
      </x:c>
      <x:c r="N4773" s="30" t="str">
        <x:v>7</x:v>
      </x:c>
      <x:c r="O4773" s="30" t="str">
        <x:v>Номер структуры определён по исходному рисунку и подтверждён дополнительной таблицей ответов.</x:v>
      </x:c>
      <x:c r="P4773" s="30" t="str">
        <x:v>Условие и визуал просмотрены; ответ проверен по биологической логике/расчёту и сопоставлен с каноническим источником.</x:v>
      </x:c>
      <x:c r="Q4773" s="30"/>
      <x:c r="R4773" s="30" t="str">
        <x:v>7</x:v>
      </x:c>
      <x:c r="S4773" s="30"/>
      <x:c r="T4773" s="30" t="str">
        <x:v>IMG_20251220_203648_739.jpg</x:v>
      </x:c>
      <x:c r="U4773" s="30" t="str">
        <x:v>Вторичная крупная картинка не является канонической и исключена из ответа.</x:v>
      </x:c>
      <x:c r="V4773" s="87" t="str">
        <x:v>VERIFIED</x:v>
      </x:c>
      <x:c r="W4773" s="87"/>
      <x:c r="X4773" s="87" t="n">
        <x:v>19</x:v>
      </x:c>
      <x:c r="Y4773" s="87"/>
      <x:c r="Z4773" s="87"/>
      <x:c r="AA4773" s="87"/>
      <x:c r="AB4773" s="87" t="str">
        <x:v>таблица дополнения</x:v>
      </x:c>
      <x:c r="AC4773" s="87" t="str">
        <x:v>VIS-BIO-DEC-TASK-34-P019</x:v>
      </x:c>
      <x:c r="AD4773" s="87" t="str">
        <x:v>VIS-BIO-DEC-KEY-SUPPLEMENT</x:v>
      </x:c>
      <x:c r="AE4773" s="87" t="str">
        <x:v>TASK; KEY_SUPPLEMENT</x:v>
      </x:c>
      <x:c r="AF4773" s="87" t="str">
        <x:v>VIS-BIO-DEC-TASK-34-P019: 19; VIS-BIO-DEC-KEY-SUPPLEMENT: original</x:v>
      </x:c>
      <x:c r="AG4773" s="87" t="str">
        <x:v>RESOLVED</x:v>
      </x:c>
      <x:c r="AH4773" s="87" t="str">
        <x:v>CROP_VERIFIED; TASK_CROP_QA_APPROVED:USE_CONTEXT</x:v>
      </x:c>
      <x:c r="AI4773" s="30"/>
      <x:c r="AJ4773" s="87" t="str">
        <x:v>clean</x:v>
      </x:c>
      <x:c r="AK4773" s="87" t="str">
        <x:v>clean-v0.08</x:v>
      </x:c>
      <x:c r="AL4773" s="87" t="str">
        <x:v>statgrad_clean_continuation_v0_08(1).xlsx</x:v>
      </x:c>
      <x:c r="AM4773" s="87" t="str">
        <x:v>BIO_Dec_V4</x:v>
      </x:c>
      <x:c r="AN4773" s="87" t="n">
        <x:v>10</x:v>
      </x:c>
    </x:row>
    <x:row r="4774">
      <x:c r="A4774" s="87" t="n">
        <x:v>4773</x:v>
      </x:c>
      <x:c r="B4774" s="87" t="str">
        <x:v>DEC-BIO-04-010</x:v>
      </x:c>
      <x:c r="C4774" s="87" t="str">
        <x:v>СтатГрад</x:v>
      </x:c>
      <x:c r="D4774" s="87" t="str">
        <x:v>Декабрь 2025</x:v>
      </x:c>
      <x:c r="E4774" s="87"/>
      <x:c r="F4774" s="87"/>
      <x:c r="G4774" s="87" t="str">
        <x:v>Биология</x:v>
      </x:c>
      <x:c r="H4774" s="87" t="n">
        <x:v>11</x:v>
      </x:c>
      <x:c r="I4774" s="87" t="str">
        <x:v>ТР №2</x:v>
      </x:c>
      <x:c r="J4774" s="87" t="str">
        <x:v>БИ2510204</x:v>
      </x:c>
      <x:c r="K4774" s="87" t="n">
        <x:v>10</x:v>
      </x:c>
      <x:c r="L4774" s="87" t="str">
        <x:v>Установление соответствия</x:v>
      </x:c>
      <x:c r="M4774" s="30" t="str">
        <x:v>Установите соответствие между характеристиками и структурами цветка,
     обозначенными на рисунке цифрами 1, 2, 3: к каждой позиции, данной
     в первом столбце, подберите соответствующую позицию из второго столбца.
                ХАРАКТЕРИСТИКИ                                СТРУКТУРЫ ЦВЕТКА
     А) формирует мужские гаметофиты                       1) 1
     Б) улавливает пыльцу                                  2) 2
     В) содержит семязачаток                               3) 3
     Г) обеспечивает микроспорогенез
     Д) превращается в зерновку
     Е) обеспечивает начало прорастания
        пыльцевой трубки
     Запишите в таблицу выбранные цифры под соответствующими буквами.
                А Б В Г Д Е
     Ответ:</x:v>
      </x:c>
      <x:c r="N4774" s="30" t="str">
        <x:v>213231</x:v>
      </x:c>
      <x:c r="O4774" s="30" t="str">
        <x:v>Каждая характеристика сопоставлена с обозначенной структурой/категорией; последовательность подтверждена официальным ключом.</x:v>
      </x:c>
      <x:c r="P4774" s="30" t="str">
        <x:v>Условие и визуал просмотрены; ответ проверен по биологической логике/расчёту и сопоставлен с каноническим источником.</x:v>
      </x:c>
      <x:c r="Q4774" s="30"/>
      <x:c r="R4774" s="30" t="str">
        <x:v>213231</x:v>
      </x:c>
      <x:c r="S4774" s="30"/>
      <x:c r="T4774" s="30" t="str">
        <x:v>Kriterii_BI11_19122025_.pdf</x:v>
      </x:c>
      <x:c r="U4774" s="30" t="str">
        <x:v>Вторичная крупная картинка не является канонической и исключена из ответа.</x:v>
      </x:c>
      <x:c r="V4774" s="87" t="str">
        <x:v>VERIFIED</x:v>
      </x:c>
      <x:c r="W4774" s="87"/>
      <x:c r="X4774" s="87" t="n">
        <x:v>20</x:v>
      </x:c>
      <x:c r="Y4774" s="87"/>
      <x:c r="Z4774" s="87"/>
      <x:c r="AA4774" s="87"/>
      <x:c r="AB4774" s="87" t="str">
        <x:v>1</x:v>
      </x:c>
      <x:c r="AC4774" s="87" t="str">
        <x:v>VIS-BIO-DEC-TASK-34-P020</x:v>
      </x:c>
      <x:c r="AD4774" s="87" t="str">
        <x:v>VIS-BIO-DEC-CRIT-34-P001</x:v>
      </x:c>
      <x:c r="AE4774" s="87" t="str">
        <x:v>TASK; CRIT</x:v>
      </x:c>
      <x:c r="AF4774" s="87" t="str">
        <x:v>VIS-BIO-DEC-TASK-34-P020: 20; VIS-BIO-DEC-CRIT-34-P001: 1</x:v>
      </x:c>
      <x:c r="AG4774" s="87" t="str">
        <x:v>RESOLVED</x:v>
      </x:c>
      <x:c r="AH4774" s="87" t="str">
        <x:v>CROP_VERIFIED; TASK_CROP_QA_APPROVED:USE_TIGHT</x:v>
      </x:c>
      <x:c r="AI4774" s="30"/>
      <x:c r="AJ4774" s="87" t="str">
        <x:v>clean</x:v>
      </x:c>
      <x:c r="AK4774" s="87" t="str">
        <x:v>clean-v0.08</x:v>
      </x:c>
      <x:c r="AL4774" s="87" t="str">
        <x:v>statgrad_clean_continuation_v0_08(1).xlsx</x:v>
      </x:c>
      <x:c r="AM4774" s="87" t="str">
        <x:v>BIO_Dec_V4</x:v>
      </x:c>
      <x:c r="AN4774" s="87" t="n">
        <x:v>11</x:v>
      </x:c>
    </x:row>
    <x:row r="4775">
      <x:c r="A4775" s="87" t="n">
        <x:v>4774</x:v>
      </x:c>
      <x:c r="B4775" s="87" t="str">
        <x:v>DEC-BIO-04-011</x:v>
      </x:c>
      <x:c r="C4775" s="87" t="str">
        <x:v>СтатГрад</x:v>
      </x:c>
      <x:c r="D4775" s="87" t="str">
        <x:v>Декабрь 2025</x:v>
      </x:c>
      <x:c r="E4775" s="87"/>
      <x:c r="F4775" s="87"/>
      <x:c r="G4775" s="87" t="str">
        <x:v>Биология</x:v>
      </x:c>
      <x:c r="H4775" s="87" t="n">
        <x:v>11</x:v>
      </x:c>
      <x:c r="I4775" s="87" t="str">
        <x:v>ТР №2</x:v>
      </x:c>
      <x:c r="J4775" s="87" t="str">
        <x:v>БИ2510204</x:v>
      </x:c>
      <x:c r="K4775" s="87" t="n">
        <x:v>11</x:v>
      </x:c>
      <x:c r="L4775" s="87" t="str">
        <x:v>Множественный выбор</x:v>
      </x:c>
      <x:c r="M4775" s="30" t="str">
        <x:v>Выберите три верных ответа и запишите в таблицу цифры, под которыми
     они указаны.
     Представителями земноводных являются
     1) червяга
     2) хамелеон
     3) удав
     4) саламандра
     5) крокодил
     6) тритон
     Ответ:</x:v>
      </x:c>
      <x:c r="N4775" s="30" t="str">
        <x:v>146</x:v>
      </x:c>
      <x:c r="O4775" s="30" t="str">
        <x:v>Все шесть утверждений проверены по биологическим признакам; выбраны три корректные позиции.</x:v>
      </x:c>
      <x:c r="P4775" s="30" t="str">
        <x:v>Условие и визуал просмотрены; ответ проверен по биологической логике/расчёту и сопоставлен с каноническим источником.</x:v>
      </x:c>
      <x:c r="Q4775" s="30"/>
      <x:c r="R4775" s="30" t="str">
        <x:v>146</x:v>
      </x:c>
      <x:c r="S4775" s="30"/>
      <x:c r="T4775" s="30" t="str">
        <x:v>Kriterii_BI11_19122025_.pdf</x:v>
      </x:c>
      <x:c r="U4775" s="30" t="str">
        <x:v>Расхождений с каноническим источником нет.</x:v>
      </x:c>
      <x:c r="V4775" s="87" t="str">
        <x:v>VERIFIED</x:v>
      </x:c>
      <x:c r="W4775" s="87"/>
      <x:c r="X4775" s="87" t="n">
        <x:v>20</x:v>
      </x:c>
      <x:c r="Y4775" s="87"/>
      <x:c r="Z4775" s="87"/>
      <x:c r="AA4775" s="87"/>
      <x:c r="AB4775" s="87" t="str">
        <x:v>1</x:v>
      </x:c>
      <x:c r="AC4775" s="87" t="str">
        <x:v>VIS-BIO-DEC-TASK-34-P020</x:v>
      </x:c>
      <x:c r="AD4775" s="87" t="str">
        <x:v>VIS-BIO-DEC-CRIT-34-P001</x:v>
      </x:c>
      <x:c r="AE4775" s="87" t="str">
        <x:v>TASK; CRIT</x:v>
      </x:c>
      <x:c r="AF4775" s="87" t="str">
        <x:v>VIS-BIO-DEC-TASK-34-P020: 20; VIS-BIO-DEC-CRIT-34-P001: 1</x:v>
      </x:c>
      <x:c r="AG4775" s="87" t="str">
        <x:v>RESOLVED</x:v>
      </x:c>
      <x:c r="AH4775" s="87" t="str">
        <x:v>CROP_VERIFIED</x:v>
      </x:c>
      <x:c r="AI4775" s="30"/>
      <x:c r="AJ4775" s="87" t="str">
        <x:v>clean</x:v>
      </x:c>
      <x:c r="AK4775" s="87" t="str">
        <x:v>clean-v0.08</x:v>
      </x:c>
      <x:c r="AL4775" s="87" t="str">
        <x:v>statgrad_clean_continuation_v0_08(1).xlsx</x:v>
      </x:c>
      <x:c r="AM4775" s="87" t="str">
        <x:v>BIO_Dec_V4</x:v>
      </x:c>
      <x:c r="AN4775" s="87" t="n">
        <x:v>12</x:v>
      </x:c>
    </x:row>
    <x:row r="4776">
      <x:c r="A4776" s="87" t="n">
        <x:v>4775</x:v>
      </x:c>
      <x:c r="B4776" s="87" t="str">
        <x:v>DEC-BIO-04-012</x:v>
      </x:c>
      <x:c r="C4776" s="87" t="str">
        <x:v>СтатГрад</x:v>
      </x:c>
      <x:c r="D4776" s="87" t="str">
        <x:v>Декабрь 2025</x:v>
      </x:c>
      <x:c r="E4776" s="87"/>
      <x:c r="F4776" s="87"/>
      <x:c r="G4776" s="87" t="str">
        <x:v>Биология</x:v>
      </x:c>
      <x:c r="H4776" s="87" t="n">
        <x:v>11</x:v>
      </x:c>
      <x:c r="I4776" s="87" t="str">
        <x:v>ТР №2</x:v>
      </x:c>
      <x:c r="J4776" s="87" t="str">
        <x:v>БИ2510204</x:v>
      </x:c>
      <x:c r="K4776" s="87" t="n">
        <x:v>12</x:v>
      </x:c>
      <x:c r="L4776" s="87" t="str">
        <x:v>Установление последовательности</x:v>
      </x:c>
      <x:c r="M4776" s="30" t="str">
        <x:v>Установите последовательность систематических групп животных, начиная
     с самого высокого ранга. Запишите в таблицу соответствующую
     последовательность цифр.
     1) Насекомые
     2) Комар-пискун
     3) Кровососущие комары
     4) Членистоногие
     5) Двукрылые
     6) Эукариоты
     Ответ:
                 Рассмотрите рисунок и выполните задания 13 и 14.</x:v>
      </x:c>
      <x:c r="N4776" s="30" t="str">
        <x:v>641532</x:v>
      </x:c>
      <x:c r="O4776" s="30" t="str">
        <x:v>Этапы упорядочены по причинно-временной либо систематической последовательности.</x:v>
      </x:c>
      <x:c r="P4776" s="30" t="str">
        <x:v>Условие и визуал просмотрены; ответ проверен по биологической логике/расчёту и сопоставлен с каноническим источником.</x:v>
      </x:c>
      <x:c r="Q4776" s="30"/>
      <x:c r="R4776" s="30" t="str">
        <x:v>641532</x:v>
      </x:c>
      <x:c r="S4776" s="30"/>
      <x:c r="T4776" s="30" t="str">
        <x:v>Kriterii_BI11_19122025_.pdf</x:v>
      </x:c>
      <x:c r="U4776" s="30" t="str">
        <x:v>Расхождений с каноническим источником нет.</x:v>
      </x:c>
      <x:c r="V4776" s="87" t="str">
        <x:v>VERIFIED</x:v>
      </x:c>
      <x:c r="W4776" s="87"/>
      <x:c r="X4776" s="87" t="n">
        <x:v>20</x:v>
      </x:c>
      <x:c r="Y4776" s="87"/>
      <x:c r="Z4776" s="87"/>
      <x:c r="AA4776" s="87"/>
      <x:c r="AB4776" s="87" t="str">
        <x:v>1</x:v>
      </x:c>
      <x:c r="AC4776" s="87" t="str">
        <x:v>VIS-BIO-DEC-TASK-34-P020</x:v>
      </x:c>
      <x:c r="AD4776" s="87" t="str">
        <x:v>VIS-BIO-DEC-CRIT-34-P001</x:v>
      </x:c>
      <x:c r="AE4776" s="87" t="str">
        <x:v>TASK; CRIT</x:v>
      </x:c>
      <x:c r="AF4776" s="87" t="str">
        <x:v>VIS-BIO-DEC-TASK-34-P020: 20; VIS-BIO-DEC-CRIT-34-P001: 1</x:v>
      </x:c>
      <x:c r="AG4776" s="87" t="str">
        <x:v>RESOLVED</x:v>
      </x:c>
      <x:c r="AH4776" s="87" t="str">
        <x:v>CROP_VERIFIED</x:v>
      </x:c>
      <x:c r="AI4776" s="30"/>
      <x:c r="AJ4776" s="87" t="str">
        <x:v>clean</x:v>
      </x:c>
      <x:c r="AK4776" s="87" t="str">
        <x:v>clean-v0.08</x:v>
      </x:c>
      <x:c r="AL4776" s="87" t="str">
        <x:v>statgrad_clean_continuation_v0_08(1).xlsx</x:v>
      </x:c>
      <x:c r="AM4776" s="87" t="str">
        <x:v>BIO_Dec_V4</x:v>
      </x:c>
      <x:c r="AN4776" s="87" t="n">
        <x:v>13</x:v>
      </x:c>
    </x:row>
    <x:row r="4777">
      <x:c r="A4777" s="87" t="n">
        <x:v>4776</x:v>
      </x:c>
      <x:c r="B4777" s="87" t="str">
        <x:v>DEC-BIO-04-013</x:v>
      </x:c>
      <x:c r="C4777" s="87" t="str">
        <x:v>СтатГрад</x:v>
      </x:c>
      <x:c r="D4777" s="87" t="str">
        <x:v>Декабрь 2025</x:v>
      </x:c>
      <x:c r="E4777" s="87"/>
      <x:c r="F4777" s="87"/>
      <x:c r="G4777" s="87" t="str">
        <x:v>Биология</x:v>
      </x:c>
      <x:c r="H4777" s="87" t="n">
        <x:v>11</x:v>
      </x:c>
      <x:c r="I4777" s="87" t="str">
        <x:v>ТР №2</x:v>
      </x:c>
      <x:c r="J4777" s="87" t="str">
        <x:v>БИ2510204</x:v>
      </x:c>
      <x:c r="K4777" s="87" t="n">
        <x:v>13</x:v>
      </x:c>
      <x:c r="L4777" s="87" t="str">
        <x:v>Определение по рисунку/таблице</x:v>
      </x:c>
      <x:c r="M4777" s="30" t="str">
        <x:v>Какой цифрой на рисунке обозначен тимус?
     Ответ: ___________________________.</x:v>
      </x:c>
      <x:c r="N4777" s="30" t="str">
        <x:v>7</x:v>
      </x:c>
      <x:c r="O4777" s="30" t="str">
        <x:v>Номер структуры определён по исходному рисунку и подтверждён дополнительной таблицей ответов.</x:v>
      </x:c>
      <x:c r="P4777" s="30" t="str">
        <x:v>Условие и визуал просмотрены; ответ проверен по биологической логике/расчёту и сопоставлен с каноническим источником.</x:v>
      </x:c>
      <x:c r="Q4777" s="30"/>
      <x:c r="R4777" s="30" t="str">
        <x:v>7</x:v>
      </x:c>
      <x:c r="S4777" s="30"/>
      <x:c r="T4777" s="30" t="str">
        <x:v>IMG_20251220_203648_739.jpg</x:v>
      </x:c>
      <x:c r="U4777" s="30" t="str">
        <x:v>Вторичная крупная картинка не является канонической и исключена из ответа.</x:v>
      </x:c>
      <x:c r="V4777" s="87" t="str">
        <x:v>VERIFIED</x:v>
      </x:c>
      <x:c r="W4777" s="87"/>
      <x:c r="X4777" s="87" t="n">
        <x:v>21</x:v>
      </x:c>
      <x:c r="Y4777" s="87"/>
      <x:c r="Z4777" s="87"/>
      <x:c r="AA4777" s="87"/>
      <x:c r="AB4777" s="87" t="str">
        <x:v>таблица дополнения</x:v>
      </x:c>
      <x:c r="AC4777" s="87" t="str">
        <x:v>VIS-BIO-DEC-TASK-34-P021</x:v>
      </x:c>
      <x:c r="AD4777" s="87" t="str">
        <x:v>VIS-BIO-DEC-KEY-SUPPLEMENT</x:v>
      </x:c>
      <x:c r="AE4777" s="87" t="str">
        <x:v>TASK; KEY_SUPPLEMENT</x:v>
      </x:c>
      <x:c r="AF4777" s="87" t="str">
        <x:v>VIS-BIO-DEC-TASK-34-P021: 21; VIS-BIO-DEC-KEY-SUPPLEMENT: original</x:v>
      </x:c>
      <x:c r="AG4777" s="87" t="str">
        <x:v>RESOLVED</x:v>
      </x:c>
      <x:c r="AH4777" s="87" t="str">
        <x:v>CROP_VERIFIED; TASK_CROP_QA_APPROVED:MANUAL_BBOX</x:v>
      </x:c>
      <x:c r="AI4777" s="30"/>
      <x:c r="AJ4777" s="87" t="str">
        <x:v>clean</x:v>
      </x:c>
      <x:c r="AK4777" s="87" t="str">
        <x:v>clean-v0.08</x:v>
      </x:c>
      <x:c r="AL4777" s="87" t="str">
        <x:v>statgrad_clean_continuation_v0_08(1).xlsx</x:v>
      </x:c>
      <x:c r="AM4777" s="87" t="str">
        <x:v>BIO_Dec_V4</x:v>
      </x:c>
      <x:c r="AN4777" s="87" t="n">
        <x:v>14</x:v>
      </x:c>
    </x:row>
    <x:row r="4778">
      <x:c r="A4778" s="87" t="n">
        <x:v>4777</x:v>
      </x:c>
      <x:c r="B4778" s="87" t="str">
        <x:v>DEC-BIO-04-014</x:v>
      </x:c>
      <x:c r="C4778" s="87" t="str">
        <x:v>СтатГрад</x:v>
      </x:c>
      <x:c r="D4778" s="87" t="str">
        <x:v>Декабрь 2025</x:v>
      </x:c>
      <x:c r="E4778" s="87"/>
      <x:c r="F4778" s="87"/>
      <x:c r="G4778" s="87" t="str">
        <x:v>Биология</x:v>
      </x:c>
      <x:c r="H4778" s="87" t="n">
        <x:v>11</x:v>
      </x:c>
      <x:c r="I4778" s="87" t="str">
        <x:v>ТР №2</x:v>
      </x:c>
      <x:c r="J4778" s="87" t="str">
        <x:v>БИ2510204</x:v>
      </x:c>
      <x:c r="K4778" s="87" t="n">
        <x:v>14</x:v>
      </x:c>
      <x:c r="L4778" s="87" t="str">
        <x:v>Установление соответствия</x:v>
      </x:c>
      <x:c r="M4778" s="30" t="str">
        <x:v>Установите соответствие между характеристиками и железами человека,
     обозначенными на рисунке цифрами 1, 2, 3: к каждой позиции, данной
     в первом столбце, подберите соответствующую позицию из второго столбца.
                ХАРАКТЕРИСТИКИ                     ЖЕЛЕЗЫ ЧЕЛОВЕКА
     А) производит адреналин                    1) 1
     Б) использует иод для производства гормона 2) 2
     В) вырабатывает тропные гормоны            3) 3
     Г) имеет корковое и мозговое вещество
     Д) при гиперфункции вызывает гигантизм
     Е) может вызвать базедову болезнь
     Запишите в таблицу выбранные цифры под соответствующими буквами.
                А Б В Г Д Е
     Ответ:</x:v>
      </x:c>
      <x:c r="N4778" s="30" t="str">
        <x:v>321312</x:v>
      </x:c>
      <x:c r="O4778" s="30" t="str">
        <x:v>Каждая характеристика сопоставлена с обозначенной структурой/категорией; последовательность подтверждена официальным ключом.</x:v>
      </x:c>
      <x:c r="P4778" s="30" t="str">
        <x:v>Условие и визуал просмотрены; ответ проверен по биологической логике/расчёту и сопоставлен с каноническим источником.</x:v>
      </x:c>
      <x:c r="Q4778" s="30"/>
      <x:c r="R4778" s="30" t="str">
        <x:v>321312</x:v>
      </x:c>
      <x:c r="S4778" s="30"/>
      <x:c r="T4778" s="30" t="str">
        <x:v>Kriterii_BI11_19122025_.pdf</x:v>
      </x:c>
      <x:c r="U4778" s="30" t="str">
        <x:v>Расхождений с каноническим источником нет.</x:v>
      </x:c>
      <x:c r="V4778" s="87" t="str">
        <x:v>VERIFIED</x:v>
      </x:c>
      <x:c r="W4778" s="87"/>
      <x:c r="X4778" s="87" t="n">
        <x:v>21</x:v>
      </x:c>
      <x:c r="Y4778" s="87"/>
      <x:c r="Z4778" s="87"/>
      <x:c r="AA4778" s="87"/>
      <x:c r="AB4778" s="87" t="str">
        <x:v>1</x:v>
      </x:c>
      <x:c r="AC4778" s="87" t="str">
        <x:v>VIS-BIO-DEC-TASK-34-P021</x:v>
      </x:c>
      <x:c r="AD4778" s="87" t="str">
        <x:v>VIS-BIO-DEC-CRIT-34-P001</x:v>
      </x:c>
      <x:c r="AE4778" s="87" t="str">
        <x:v>TASK; CRIT</x:v>
      </x:c>
      <x:c r="AF4778" s="87" t="str">
        <x:v>VIS-BIO-DEC-TASK-34-P021: 21; VIS-BIO-DEC-CRIT-34-P001: 1</x:v>
      </x:c>
      <x:c r="AG4778" s="87" t="str">
        <x:v>RESOLVED</x:v>
      </x:c>
      <x:c r="AH4778" s="87" t="str">
        <x:v>CROP_VERIFIED; TASK_CROP_QA_APPROVED:USE_TIGHT</x:v>
      </x:c>
      <x:c r="AI4778" s="30"/>
      <x:c r="AJ4778" s="87" t="str">
        <x:v>clean</x:v>
      </x:c>
      <x:c r="AK4778" s="87" t="str">
        <x:v>clean-v0.08</x:v>
      </x:c>
      <x:c r="AL4778" s="87" t="str">
        <x:v>statgrad_clean_continuation_v0_08(1).xlsx</x:v>
      </x:c>
      <x:c r="AM4778" s="87" t="str">
        <x:v>BIO_Dec_V4</x:v>
      </x:c>
      <x:c r="AN4778" s="87" t="n">
        <x:v>15</x:v>
      </x:c>
    </x:row>
    <x:row r="4779">
      <x:c r="A4779" s="87" t="n">
        <x:v>4778</x:v>
      </x:c>
      <x:c r="B4779" s="87" t="str">
        <x:v>DEC-BIO-04-015</x:v>
      </x:c>
      <x:c r="C4779" s="87" t="str">
        <x:v>СтатГрад</x:v>
      </x:c>
      <x:c r="D4779" s="87" t="str">
        <x:v>Декабрь 2025</x:v>
      </x:c>
      <x:c r="E4779" s="87"/>
      <x:c r="F4779" s="87"/>
      <x:c r="G4779" s="87" t="str">
        <x:v>Биология</x:v>
      </x:c>
      <x:c r="H4779" s="87" t="n">
        <x:v>11</x:v>
      </x:c>
      <x:c r="I4779" s="87" t="str">
        <x:v>ТР №2</x:v>
      </x:c>
      <x:c r="J4779" s="87" t="str">
        <x:v>БИ2510204</x:v>
      </x:c>
      <x:c r="K4779" s="87" t="n">
        <x:v>15</x:v>
      </x:c>
      <x:c r="L4779" s="87" t="str">
        <x:v>Множественный выбор</x:v>
      </x:c>
      <x:c r="M4779" s="30" t="str">
        <x:v>Выберите три верных ответа и запишите в таблицу цифры, под которыми
     они указаны.
     Какие признаки характерны для ствола головного мозга?
     1) служит местом отхождения черепномозговых нервов
     2) включает промежуточный и передний мозг
     3) является продолжением спинного мозга
     4) содержит в центре серое вещество
     5) имеет борозды и извилины
     6) является центральным отделом анализаторов
     Ответ:</x:v>
      </x:c>
      <x:c r="N4779" s="30" t="str">
        <x:v>134</x:v>
      </x:c>
      <x:c r="O4779" s="30" t="str">
        <x:v>Все шесть утверждений проверены по биологическим признакам; выбраны три корректные позиции.</x:v>
      </x:c>
      <x:c r="P4779" s="30" t="str">
        <x:v>Условие и визуал просмотрены; ответ проверен по биологической логике/расчёту и сопоставлен с каноническим источником.</x:v>
      </x:c>
      <x:c r="Q4779" s="30"/>
      <x:c r="R4779" s="30" t="str">
        <x:v>134</x:v>
      </x:c>
      <x:c r="S4779" s="30"/>
      <x:c r="T4779" s="30" t="str">
        <x:v>Kriterii_BI11_19122025_.pdf</x:v>
      </x:c>
      <x:c r="U4779" s="30" t="str">
        <x:v>Расхождений с каноническим источником нет.</x:v>
      </x:c>
      <x:c r="V4779" s="87" t="str">
        <x:v>VERIFIED</x:v>
      </x:c>
      <x:c r="W4779" s="87"/>
      <x:c r="X4779" s="87" t="n">
        <x:v>22</x:v>
      </x:c>
      <x:c r="Y4779" s="87"/>
      <x:c r="Z4779" s="87"/>
      <x:c r="AA4779" s="87"/>
      <x:c r="AB4779" s="87" t="str">
        <x:v>1</x:v>
      </x:c>
      <x:c r="AC4779" s="87" t="str">
        <x:v>VIS-BIO-DEC-TASK-34-P022</x:v>
      </x:c>
      <x:c r="AD4779" s="87" t="str">
        <x:v>VIS-BIO-DEC-CRIT-34-P001</x:v>
      </x:c>
      <x:c r="AE4779" s="87" t="str">
        <x:v>TASK; CRIT</x:v>
      </x:c>
      <x:c r="AF4779" s="87" t="str">
        <x:v>VIS-BIO-DEC-TASK-34-P022: 22; VIS-BIO-DEC-CRIT-34-P001: 1</x:v>
      </x:c>
      <x:c r="AG4779" s="87" t="str">
        <x:v>RESOLVED</x:v>
      </x:c>
      <x:c r="AH4779" s="87" t="str">
        <x:v>CROP_VERIFIED</x:v>
      </x:c>
      <x:c r="AI4779" s="30"/>
      <x:c r="AJ4779" s="87" t="str">
        <x:v>clean</x:v>
      </x:c>
      <x:c r="AK4779" s="87" t="str">
        <x:v>clean-v0.08</x:v>
      </x:c>
      <x:c r="AL4779" s="87" t="str">
        <x:v>statgrad_clean_continuation_v0_08(1).xlsx</x:v>
      </x:c>
      <x:c r="AM4779" s="87" t="str">
        <x:v>BIO_Dec_V4</x:v>
      </x:c>
      <x:c r="AN4779" s="87" t="n">
        <x:v>16</x:v>
      </x:c>
    </x:row>
    <x:row r="4780">
      <x:c r="A4780" s="87" t="n">
        <x:v>4779</x:v>
      </x:c>
      <x:c r="B4780" s="87" t="str">
        <x:v>DEC-BIO-04-016</x:v>
      </x:c>
      <x:c r="C4780" s="87" t="str">
        <x:v>СтатГрад</x:v>
      </x:c>
      <x:c r="D4780" s="87" t="str">
        <x:v>Декабрь 2025</x:v>
      </x:c>
      <x:c r="E4780" s="87"/>
      <x:c r="F4780" s="87"/>
      <x:c r="G4780" s="87" t="str">
        <x:v>Биология</x:v>
      </x:c>
      <x:c r="H4780" s="87" t="n">
        <x:v>11</x:v>
      </x:c>
      <x:c r="I4780" s="87" t="str">
        <x:v>ТР №2</x:v>
      </x:c>
      <x:c r="J4780" s="87" t="str">
        <x:v>БИ2510204</x:v>
      </x:c>
      <x:c r="K4780" s="87" t="n">
        <x:v>16</x:v>
      </x:c>
      <x:c r="L4780" s="87" t="str">
        <x:v>Установление последовательности</x:v>
      </x:c>
      <x:c r="M4780" s="30" t="str">
        <x:v>Установите    последовательность  этапов    формирования    условного
     слюноотделительного рефлекса у собаки в ответ на звуковой сигнал.
     Запишите в таблицу соответствующую последовательность цифр.
     1) многократное повторение условного и безусловного раздражителей
     2) формирование временной связи в коре головного мозга
     3) первичное предъявление звукового сигнала
     4) стабилизация условного рефлекса
     5) одновременная подача звука и пищи
     Ответ:</x:v>
      </x:c>
      <x:c r="N4780" s="30" t="str">
        <x:v>35124</x:v>
      </x:c>
      <x:c r="O4780" s="30" t="str">
        <x:v>Этапы упорядочены по причинно-временной либо систематической последовательности.</x:v>
      </x:c>
      <x:c r="P4780" s="30" t="str">
        <x:v>Условие и визуал просмотрены; ответ проверен по биологической логике/расчёту и сопоставлен с каноническим источником.</x:v>
      </x:c>
      <x:c r="Q4780" s="30"/>
      <x:c r="R4780" s="30" t="str">
        <x:v>35124</x:v>
      </x:c>
      <x:c r="S4780" s="30"/>
      <x:c r="T4780" s="30" t="str">
        <x:v>Kriterii_BI11_19122025_.pdf</x:v>
      </x:c>
      <x:c r="U4780" s="30" t="str">
        <x:v>Расхождений с каноническим источником нет.</x:v>
      </x:c>
      <x:c r="V4780" s="87" t="str">
        <x:v>VERIFIED</x:v>
      </x:c>
      <x:c r="W4780" s="87"/>
      <x:c r="X4780" s="87" t="n">
        <x:v>22</x:v>
      </x:c>
      <x:c r="Y4780" s="87"/>
      <x:c r="Z4780" s="87"/>
      <x:c r="AA4780" s="87"/>
      <x:c r="AB4780" s="87" t="str">
        <x:v>1</x:v>
      </x:c>
      <x:c r="AC4780" s="87" t="str">
        <x:v>VIS-BIO-DEC-TASK-34-P022</x:v>
      </x:c>
      <x:c r="AD4780" s="87" t="str">
        <x:v>VIS-BIO-DEC-CRIT-34-P001</x:v>
      </x:c>
      <x:c r="AE4780" s="87" t="str">
        <x:v>TASK; CRIT</x:v>
      </x:c>
      <x:c r="AF4780" s="87" t="str">
        <x:v>VIS-BIO-DEC-TASK-34-P022: 22; VIS-BIO-DEC-CRIT-34-P001: 1</x:v>
      </x:c>
      <x:c r="AG4780" s="87" t="str">
        <x:v>RESOLVED</x:v>
      </x:c>
      <x:c r="AH4780" s="87" t="str">
        <x:v>CROP_VERIFIED</x:v>
      </x:c>
      <x:c r="AI4780" s="30"/>
      <x:c r="AJ4780" s="87" t="str">
        <x:v>clean</x:v>
      </x:c>
      <x:c r="AK4780" s="87" t="str">
        <x:v>clean-v0.08</x:v>
      </x:c>
      <x:c r="AL4780" s="87" t="str">
        <x:v>statgrad_clean_continuation_v0_08(1).xlsx</x:v>
      </x:c>
      <x:c r="AM4780" s="87" t="str">
        <x:v>BIO_Dec_V4</x:v>
      </x:c>
      <x:c r="AN4780" s="87" t="n">
        <x:v>17</x:v>
      </x:c>
    </x:row>
    <x:row r="4781">
      <x:c r="A4781" s="87" t="n">
        <x:v>4780</x:v>
      </x:c>
      <x:c r="B4781" s="87" t="str">
        <x:v>DEC-BIO-04-017</x:v>
      </x:c>
      <x:c r="C4781" s="87" t="str">
        <x:v>СтатГрад</x:v>
      </x:c>
      <x:c r="D4781" s="87" t="str">
        <x:v>Декабрь 2025</x:v>
      </x:c>
      <x:c r="E4781" s="87"/>
      <x:c r="F4781" s="87"/>
      <x:c r="G4781" s="87" t="str">
        <x:v>Биология</x:v>
      </x:c>
      <x:c r="H4781" s="87" t="n">
        <x:v>11</x:v>
      </x:c>
      <x:c r="I4781" s="87" t="str">
        <x:v>ТР №2</x:v>
      </x:c>
      <x:c r="J4781" s="87" t="str">
        <x:v>БИ2510204</x:v>
      </x:c>
      <x:c r="K4781" s="87" t="n">
        <x:v>17</x:v>
      </x:c>
      <x:c r="L4781" s="87" t="str">
        <x:v>Анализ биологического текста</x:v>
      </x:c>
      <x:c r="M4781" s="30" t="str">
        <x:v>Прочитайте текст. Выберите три предложения, в которых даны примеры
     конвергенции. Запишите в таблицу цифры, под которыми они указаны.
     (1)У акул и дельфинов обтекаемая форма тела помогает быстро двигаться
     в воде. (2)Передние конечности летучих мышей и птиц имеют одинаковое
     происхождение, так как обе группы относятся к позвоночным животным.
     (3)У кактусов и молочаев (относящихся к разным семействам) мясистые
     стебли служат для запасания воды в условиях засухи. (4)У млекопитающих из
     отряда Грызуны очень развиты резцы, а у представителей отряда Хищные
     сформировались хищные зубы. (5)Глаза головоногих моллюсков и
     позвоночных сходны по строению, хотя развились независимо. (6)Наличие
     у стрелолиста листьев разной формы позволяет ему адаптироваться как
     к водной, так и к наземно-воздушной среде.
     Ответ:</x:v>
      </x:c>
      <x:c r="N4781" s="30" t="str">
        <x:v>135</x:v>
      </x:c>
      <x:c r="O4781" s="30" t="str">
        <x:v>Примеры в тексте классифицированы по указанной форме отбора/эволюции.</x:v>
      </x:c>
      <x:c r="P4781" s="30" t="str">
        <x:v>Условие и визуал просмотрены; ответ проверен по биологической логике/расчёту и сопоставлен с каноническим источником.</x:v>
      </x:c>
      <x:c r="Q4781" s="30"/>
      <x:c r="R4781" s="30" t="str">
        <x:v>135</x:v>
      </x:c>
      <x:c r="S4781" s="30"/>
      <x:c r="T4781" s="30" t="str">
        <x:v>Kriterii_BI11_19122025_.pdf</x:v>
      </x:c>
      <x:c r="U4781" s="30" t="str">
        <x:v>Расхождений с каноническим источником нет.</x:v>
      </x:c>
      <x:c r="V4781" s="87" t="str">
        <x:v>VERIFIED</x:v>
      </x:c>
      <x:c r="W4781" s="87"/>
      <x:c r="X4781" s="87" t="n">
        <x:v>22</x:v>
      </x:c>
      <x:c r="Y4781" s="87"/>
      <x:c r="Z4781" s="87"/>
      <x:c r="AA4781" s="87"/>
      <x:c r="AB4781" s="87" t="str">
        <x:v>1</x:v>
      </x:c>
      <x:c r="AC4781" s="87" t="str">
        <x:v>VIS-BIO-DEC-TASK-34-P022</x:v>
      </x:c>
      <x:c r="AD4781" s="87" t="str">
        <x:v>VIS-BIO-DEC-CRIT-34-P001</x:v>
      </x:c>
      <x:c r="AE4781" s="87" t="str">
        <x:v>TASK; CRIT</x:v>
      </x:c>
      <x:c r="AF4781" s="87" t="str">
        <x:v>VIS-BIO-DEC-TASK-34-P022: 22; VIS-BIO-DEC-CRIT-34-P001: 1</x:v>
      </x:c>
      <x:c r="AG4781" s="87" t="str">
        <x:v>RESOLVED</x:v>
      </x:c>
      <x:c r="AH4781" s="87" t="str">
        <x:v>CROP_VERIFIED</x:v>
      </x:c>
      <x:c r="AI4781" s="30"/>
      <x:c r="AJ4781" s="87" t="str">
        <x:v>clean</x:v>
      </x:c>
      <x:c r="AK4781" s="87" t="str">
        <x:v>clean-v0.08</x:v>
      </x:c>
      <x:c r="AL4781" s="87" t="str">
        <x:v>statgrad_clean_continuation_v0_08(1).xlsx</x:v>
      </x:c>
      <x:c r="AM4781" s="87" t="str">
        <x:v>BIO_Dec_V4</x:v>
      </x:c>
      <x:c r="AN4781" s="87" t="n">
        <x:v>18</x:v>
      </x:c>
    </x:row>
    <x:row r="4782">
      <x:c r="A4782" s="87" t="n">
        <x:v>4781</x:v>
      </x:c>
      <x:c r="B4782" s="87" t="str">
        <x:v>DEC-BIO-04-018</x:v>
      </x:c>
      <x:c r="C4782" s="87" t="str">
        <x:v>СтатГрад</x:v>
      </x:c>
      <x:c r="D4782" s="87" t="str">
        <x:v>Декабрь 2025</x:v>
      </x:c>
      <x:c r="E4782" s="87"/>
      <x:c r="F4782" s="87"/>
      <x:c r="G4782" s="87" t="str">
        <x:v>Биология</x:v>
      </x:c>
      <x:c r="H4782" s="87" t="n">
        <x:v>11</x:v>
      </x:c>
      <x:c r="I4782" s="87" t="str">
        <x:v>ТР №2</x:v>
      </x:c>
      <x:c r="J4782" s="87" t="str">
        <x:v>БИ2510204</x:v>
      </x:c>
      <x:c r="K4782" s="87" t="n">
        <x:v>18</x:v>
      </x:c>
      <x:c r="L4782" s="87" t="str">
        <x:v>Множественный выбор</x:v>
      </x:c>
      <x:c r="M4782" s="30" t="str">
        <x:v>Выберите три верных ответа и запишите в таблицу цифры, под которыми
     они указаны.
     Какую роль в экосистемах играют растения?
     1) являются редуцентами
     2) составляют первый трофический уровень
     3) образуют первичную биологическую продукцию
     4) аккумулируют солнечную энергию
     5) являются гетеротрофами
     6) минерализуют органические вещества
     Ответ:</x:v>
      </x:c>
      <x:c r="N4782" s="30" t="str">
        <x:v>234</x:v>
      </x:c>
      <x:c r="O4782" s="30" t="str">
        <x:v>Все шесть утверждений проверены по биологическим признакам; выбраны три корректные позиции.</x:v>
      </x:c>
      <x:c r="P4782" s="30" t="str">
        <x:v>Условие и визуал просмотрены; ответ проверен по биологической логике/расчёту и сопоставлен с каноническим источником.</x:v>
      </x:c>
      <x:c r="Q4782" s="30"/>
      <x:c r="R4782" s="30" t="str">
        <x:v>234</x:v>
      </x:c>
      <x:c r="S4782" s="30"/>
      <x:c r="T4782" s="30" t="str">
        <x:v>Kriterii_BI11_19122025_.pdf</x:v>
      </x:c>
      <x:c r="U4782" s="30" t="str">
        <x:v>Расхождений с каноническим источником нет.</x:v>
      </x:c>
      <x:c r="V4782" s="87" t="str">
        <x:v>VERIFIED</x:v>
      </x:c>
      <x:c r="W4782" s="87"/>
      <x:c r="X4782" s="87" t="n">
        <x:v>23</x:v>
      </x:c>
      <x:c r="Y4782" s="87"/>
      <x:c r="Z4782" s="87"/>
      <x:c r="AA4782" s="87"/>
      <x:c r="AB4782" s="87" t="str">
        <x:v>1</x:v>
      </x:c>
      <x:c r="AC4782" s="87" t="str">
        <x:v>VIS-BIO-DEC-TASK-34-P023</x:v>
      </x:c>
      <x:c r="AD4782" s="87" t="str">
        <x:v>VIS-BIO-DEC-CRIT-34-P001</x:v>
      </x:c>
      <x:c r="AE4782" s="87" t="str">
        <x:v>TASK; CRIT</x:v>
      </x:c>
      <x:c r="AF4782" s="87" t="str">
        <x:v>VIS-BIO-DEC-TASK-34-P023: 23; VIS-BIO-DEC-CRIT-34-P001: 1</x:v>
      </x:c>
      <x:c r="AG4782" s="87" t="str">
        <x:v>RESOLVED</x:v>
      </x:c>
      <x:c r="AH4782" s="87" t="str">
        <x:v>CROP_VERIFIED</x:v>
      </x:c>
      <x:c r="AI4782" s="30"/>
      <x:c r="AJ4782" s="87" t="str">
        <x:v>clean</x:v>
      </x:c>
      <x:c r="AK4782" s="87" t="str">
        <x:v>clean-v0.08</x:v>
      </x:c>
      <x:c r="AL4782" s="87" t="str">
        <x:v>statgrad_clean_continuation_v0_08(1).xlsx</x:v>
      </x:c>
      <x:c r="AM4782" s="87" t="str">
        <x:v>BIO_Dec_V4</x:v>
      </x:c>
      <x:c r="AN4782" s="87" t="n">
        <x:v>19</x:v>
      </x:c>
    </x:row>
    <x:row r="4783">
      <x:c r="A4783" s="87" t="n">
        <x:v>4782</x:v>
      </x:c>
      <x:c r="B4783" s="87" t="str">
        <x:v>DEC-BIO-04-019</x:v>
      </x:c>
      <x:c r="C4783" s="87" t="str">
        <x:v>СтатГрад</x:v>
      </x:c>
      <x:c r="D4783" s="87" t="str">
        <x:v>Декабрь 2025</x:v>
      </x:c>
      <x:c r="E4783" s="87"/>
      <x:c r="F4783" s="87"/>
      <x:c r="G4783" s="87" t="str">
        <x:v>Биология</x:v>
      </x:c>
      <x:c r="H4783" s="87" t="n">
        <x:v>11</x:v>
      </x:c>
      <x:c r="I4783" s="87" t="str">
        <x:v>ТР №2</x:v>
      </x:c>
      <x:c r="J4783" s="87" t="str">
        <x:v>БИ2510204</x:v>
      </x:c>
      <x:c r="K4783" s="87" t="n">
        <x:v>19</x:v>
      </x:c>
      <x:c r="L4783" s="87" t="str">
        <x:v>Установление соответствия</x:v>
      </x:c>
      <x:c r="M4783" s="30" t="str">
        <x:v>Установите соответствие между характеристиками и видами растительных
     сообществ: к каждой позиции, данной в первом столбце, подберите
     соответствующую позицию из второго столбца.
                                                             ВИДЫ РАСТИТЕЛЬНЫХ
                  ХАРАКТЕРИСТИКИ
                                                                  СООБЩЕСТВ
     А) многоярусность                                     1) пионерное
     Б) способность заселять бедные субстраты              2) климаксное
     В) преобладание мелких растений
     Г) устойчивость к внешним изменениям
     Д) доминирование быстрорастущих видов
     Е) большая биомасса
     Запишите в таблицу выбранные цифры под соответствующими буквами.
                А Б В Г Д Е
     Ответ:</x:v>
      </x:c>
      <x:c r="N4783" s="30" t="str">
        <x:v>211212</x:v>
      </x:c>
      <x:c r="O4783" s="30" t="str">
        <x:v>Каждая характеристика сопоставлена с обозначенной структурой/категорией; последовательность подтверждена официальным ключом.</x:v>
      </x:c>
      <x:c r="P4783" s="30" t="str">
        <x:v>Условие и визуал просмотрены; ответ проверен по биологической логике/расчёту и сопоставлен с каноническим источником.</x:v>
      </x:c>
      <x:c r="Q4783" s="30"/>
      <x:c r="R4783" s="30" t="str">
        <x:v>211212</x:v>
      </x:c>
      <x:c r="S4783" s="30"/>
      <x:c r="T4783" s="30" t="str">
        <x:v>Kriterii_BI11_19122025_.pdf</x:v>
      </x:c>
      <x:c r="U4783" s="30" t="str">
        <x:v>Расхождений с каноническим источником нет.</x:v>
      </x:c>
      <x:c r="V4783" s="87" t="str">
        <x:v>VERIFIED</x:v>
      </x:c>
      <x:c r="W4783" s="87"/>
      <x:c r="X4783" s="87" t="n">
        <x:v>23</x:v>
      </x:c>
      <x:c r="Y4783" s="87"/>
      <x:c r="Z4783" s="87"/>
      <x:c r="AA4783" s="87"/>
      <x:c r="AB4783" s="87" t="str">
        <x:v>1</x:v>
      </x:c>
      <x:c r="AC4783" s="87" t="str">
        <x:v>VIS-BIO-DEC-TASK-34-P023</x:v>
      </x:c>
      <x:c r="AD4783" s="87" t="str">
        <x:v>VIS-BIO-DEC-CRIT-34-P001</x:v>
      </x:c>
      <x:c r="AE4783" s="87" t="str">
        <x:v>TASK; CRIT</x:v>
      </x:c>
      <x:c r="AF4783" s="87" t="str">
        <x:v>VIS-BIO-DEC-TASK-34-P023: 23; VIS-BIO-DEC-CRIT-34-P001: 1</x:v>
      </x:c>
      <x:c r="AG4783" s="87" t="str">
        <x:v>RESOLVED</x:v>
      </x:c>
      <x:c r="AH4783" s="87" t="str">
        <x:v>CROP_VERIFIED</x:v>
      </x:c>
      <x:c r="AI4783" s="30"/>
      <x:c r="AJ4783" s="87" t="str">
        <x:v>clean</x:v>
      </x:c>
      <x:c r="AK4783" s="87" t="str">
        <x:v>clean-v0.08</x:v>
      </x:c>
      <x:c r="AL4783" s="87" t="str">
        <x:v>statgrad_clean_continuation_v0_08(1).xlsx</x:v>
      </x:c>
      <x:c r="AM4783" s="87" t="str">
        <x:v>BIO_Dec_V4</x:v>
      </x:c>
      <x:c r="AN4783" s="87" t="n">
        <x:v>20</x:v>
      </x:c>
    </x:row>
    <x:row r="4784">
      <x:c r="A4784" s="87" t="n">
        <x:v>4783</x:v>
      </x:c>
      <x:c r="B4784" s="87" t="str">
        <x:v>DEC-BIO-04-020</x:v>
      </x:c>
      <x:c r="C4784" s="87" t="str">
        <x:v>СтатГрад</x:v>
      </x:c>
      <x:c r="D4784" s="87" t="str">
        <x:v>Декабрь 2025</x:v>
      </x:c>
      <x:c r="E4784" s="87"/>
      <x:c r="F4784" s="87"/>
      <x:c r="G4784" s="87" t="str">
        <x:v>Биология</x:v>
      </x:c>
      <x:c r="H4784" s="87" t="n">
        <x:v>11</x:v>
      </x:c>
      <x:c r="I4784" s="87" t="str">
        <x:v>ТР №2</x:v>
      </x:c>
      <x:c r="J4784" s="87" t="str">
        <x:v>БИ2510204</x:v>
      </x:c>
      <x:c r="K4784" s="87" t="n">
        <x:v>20</x:v>
      </x:c>
      <x:c r="L4784" s="87" t="str">
        <x:v>Заполнение таблицы по рисунку</x:v>
      </x:c>
      <x:c r="M4784" s="30" t="str">
        <x:v>Рассмотрите процесс добычи полезного ископаемого, изображённый
     на рисунке.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Полезное ископаемое Тип природного ресурса   Вещество биосферы
     _________________(А) ___________________(Б) ___________________(В)
     Список элементов
     1) косное
     2) торф
     3) исчерпаемый возобновляемый
     4) нефть
     5) неисчерпаемый
     6) карбонаты
     7) биогенное
     8) исчерпаемый невозобновляемый
     Запишите в таблицу выбранные цифры под соответствующими буквами.
                А Б В
     Ответ:</x:v>
      </x:c>
      <x:c r="N4784" s="30" t="str">
        <x:v>487</x:v>
      </x:c>
      <x:c r="O4784" s="30" t="str">
        <x:v>Изображённый объект и его признаки сопоставлены с элементами списка.</x:v>
      </x:c>
      <x:c r="P4784" s="30" t="str">
        <x:v>Условие и визуал просмотрены; ответ проверен по биологической логике/расчёту и сопоставлен с каноническим источником.</x:v>
      </x:c>
      <x:c r="Q4784" s="30"/>
      <x:c r="R4784" s="30" t="str">
        <x:v>487</x:v>
      </x:c>
      <x:c r="S4784" s="30"/>
      <x:c r="T4784" s="30" t="str">
        <x:v>Kriterii_BI11_19122025_.pdf</x:v>
      </x:c>
      <x:c r="U4784" s="30" t="str">
        <x:v>Расхождений с каноническим источником нет.</x:v>
      </x:c>
      <x:c r="V4784" s="87" t="str">
        <x:v>VERIFIED</x:v>
      </x:c>
      <x:c r="W4784" s="87"/>
      <x:c r="X4784" s="87" t="n">
        <x:v>24</x:v>
      </x:c>
      <x:c r="Y4784" s="87"/>
      <x:c r="Z4784" s="87"/>
      <x:c r="AA4784" s="87"/>
      <x:c r="AB4784" s="87" t="str">
        <x:v>1</x:v>
      </x:c>
      <x:c r="AC4784" s="87" t="str">
        <x:v>VIS-BIO-DEC-TASK-34-P024</x:v>
      </x:c>
      <x:c r="AD4784" s="87" t="str">
        <x:v>VIS-BIO-DEC-CRIT-34-P001</x:v>
      </x:c>
      <x:c r="AE4784" s="87" t="str">
        <x:v>TASK; CRIT</x:v>
      </x:c>
      <x:c r="AF4784" s="87" t="str">
        <x:v>VIS-BIO-DEC-TASK-34-P024: 24; VIS-BIO-DEC-CRIT-34-P001: 1</x:v>
      </x:c>
      <x:c r="AG4784" s="87" t="str">
        <x:v>RESOLVED</x:v>
      </x:c>
      <x:c r="AH4784" s="87" t="str">
        <x:v>CROP_VERIFIED; TASK_CROP_QA_APPROVED:USE_TIGHT</x:v>
      </x:c>
      <x:c r="AI4784" s="30"/>
      <x:c r="AJ4784" s="87" t="str">
        <x:v>clean</x:v>
      </x:c>
      <x:c r="AK4784" s="87" t="str">
        <x:v>clean-v0.08</x:v>
      </x:c>
      <x:c r="AL4784" s="87" t="str">
        <x:v>statgrad_clean_continuation_v0_08(1).xlsx</x:v>
      </x:c>
      <x:c r="AM4784" s="87" t="str">
        <x:v>BIO_Dec_V4</x:v>
      </x:c>
      <x:c r="AN4784" s="87" t="n">
        <x:v>21</x:v>
      </x:c>
    </x:row>
    <x:row r="4785">
      <x:c r="A4785" s="87" t="n">
        <x:v>4784</x:v>
      </x:c>
      <x:c r="B4785" s="87" t="str">
        <x:v>DEC-BIO-04-021</x:v>
      </x:c>
      <x:c r="C4785" s="87" t="str">
        <x:v>СтатГрад</x:v>
      </x:c>
      <x:c r="D4785" s="87" t="str">
        <x:v>Декабрь 2025</x:v>
      </x:c>
      <x:c r="E4785" s="87"/>
      <x:c r="F4785" s="87"/>
      <x:c r="G4785" s="87" t="str">
        <x:v>Биология</x:v>
      </x:c>
      <x:c r="H4785" s="87" t="n">
        <x:v>11</x:v>
      </x:c>
      <x:c r="I4785" s="87" t="str">
        <x:v>ТР №2</x:v>
      </x:c>
      <x:c r="J4785" s="87" t="str">
        <x:v>БИ2510204</x:v>
      </x:c>
      <x:c r="K4785" s="87" t="n">
        <x:v>21</x:v>
      </x:c>
      <x:c r="L4785" s="87" t="str">
        <x:v>Анализ графика/диаграммы</x:v>
      </x:c>
      <x:c r="M4785" s="30" t="str">
        <x:v>Проанализируйте диаграмму «Оценка интенсивности боли у пациентов
     до начала терапии».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Сильную боль испытывает больше пациентов, чем все остальные
        варианты силы боли суммарно.
     2) Часть пациентов при движениях вместо слабой и умеренной боли
        чувствует невыносимую боль.
     3) Умеренную боль при движениях испытывает меньше пациентов,
        чем в покое.
     4) В покое невозможно испытывать боль невыносимого уровня.
     5) Чем больше пациенты двигались, тем сильнее была испытываемая боль.
     Ответ: ___________________________.
                                    Часть 2
     Для записи ответов на задания этой части (22–28) используйте чистый
     лист. Запишите сначала номер задания (22, 23 и т. д.), а затем –
     развёрнутый ответ на него. Ответы записывайте чётко и разборчиво.
     Прочитайте описание эксперимента и выполните задания 22 и 23.
     Учёный изучал активность альфа-амилазы плазмы крови пациентов
     с метаболическим синдромом. Для этого у групп пациентов с разной
     степенью метаболического синдрома определялась активность альфа-
     амилазы. По результатам учёный построил график.</x:v>
      </x:c>
      <x:c r="N4785" s="30" t="str">
        <x:v>13</x:v>
      </x:c>
      <x:c r="O4785" s="30" t="str">
        <x:v>Утверждения проверены только по данным графика/диаграммы без добавления внешних предположений.</x:v>
      </x:c>
      <x:c r="P4785" s="30" t="str">
        <x:v>Условие и визуал просмотрены; ответ проверен по биологической логике/расчёту и сопоставлен с каноническим источником.</x:v>
      </x:c>
      <x:c r="Q4785" s="30"/>
      <x:c r="R4785" s="30" t="str">
        <x:v>13</x:v>
      </x:c>
      <x:c r="S4785" s="30"/>
      <x:c r="T4785" s="30" t="str">
        <x:v>Kriterii_BI11_19122025_.pdf</x:v>
      </x:c>
      <x:c r="U4785" s="30" t="str">
        <x:v>Вторичная крупная картинка не является канонической и исключена из ответа.</x:v>
      </x:c>
      <x:c r="V4785" s="87" t="str">
        <x:v>VERIFIED</x:v>
      </x:c>
      <x:c r="W4785" s="87"/>
      <x:c r="X4785" s="87" t="n">
        <x:v>25</x:v>
      </x:c>
      <x:c r="Y4785" s="87"/>
      <x:c r="Z4785" s="87"/>
      <x:c r="AA4785" s="87"/>
      <x:c r="AB4785" s="87" t="str">
        <x:v>1</x:v>
      </x:c>
      <x:c r="AC4785" s="87" t="str">
        <x:v>VIS-BIO-DEC-TASK-34-P025</x:v>
      </x:c>
      <x:c r="AD4785" s="87" t="str">
        <x:v>VIS-BIO-DEC-CRIT-34-P001</x:v>
      </x:c>
      <x:c r="AE4785" s="87" t="str">
        <x:v>TASK; CRIT</x:v>
      </x:c>
      <x:c r="AF4785" s="87" t="str">
        <x:v>VIS-BIO-DEC-TASK-34-P025: 25; VIS-BIO-DEC-CRIT-34-P001: 1</x:v>
      </x:c>
      <x:c r="AG4785" s="87" t="str">
        <x:v>RESOLVED</x:v>
      </x:c>
      <x:c r="AH4785" s="87" t="str">
        <x:v>CROP_VERIFIED; TASK_CROP_QA_APPROVED:USE_CONTEXT</x:v>
      </x:c>
      <x:c r="AI4785" s="30"/>
      <x:c r="AJ4785" s="87" t="str">
        <x:v>clean</x:v>
      </x:c>
      <x:c r="AK4785" s="87" t="str">
        <x:v>clean-v0.08</x:v>
      </x:c>
      <x:c r="AL4785" s="87" t="str">
        <x:v>statgrad_clean_continuation_v0_08(1).xlsx</x:v>
      </x:c>
      <x:c r="AM4785" s="87" t="str">
        <x:v>BIO_Dec_V4</x:v>
      </x:c>
      <x:c r="AN4785" s="87" t="n">
        <x:v>22</x:v>
      </x:c>
    </x:row>
    <x:row r="4786">
      <x:c r="A4786" s="87" t="n">
        <x:v>4785</x:v>
      </x:c>
      <x:c r="B4786" s="87" t="str">
        <x:v>DEC-BIO-04-022</x:v>
      </x:c>
      <x:c r="C4786" s="87" t="str">
        <x:v>СтатГрад</x:v>
      </x:c>
      <x:c r="D4786" s="87" t="str">
        <x:v>Декабрь 2025</x:v>
      </x:c>
      <x:c r="E4786" s="87"/>
      <x:c r="F4786" s="87"/>
      <x:c r="G4786" s="87" t="str">
        <x:v>Биология</x:v>
      </x:c>
      <x:c r="H4786" s="87" t="n">
        <x:v>11</x:v>
      </x:c>
      <x:c r="I4786" s="87" t="str">
        <x:v>ТР №2</x:v>
      </x:c>
      <x:c r="J4786" s="87" t="str">
        <x:v>БИ2510204</x:v>
      </x:c>
      <x:c r="K4786" s="87" t="n">
        <x:v>22</x:v>
      </x:c>
      <x:c r="L4786" s="87" t="str">
        <x:v>Методология эксперимента</x:v>
      </x:c>
      <x:c r="M4786" s="30" t="str">
        <x:v>Какая переменная в этом эксперименте будет независимой (задаваемой),
     а какая – зависимой (изменяющейся)? Объясните, как в данном эксперименте
     можно поставить отрицательный контроль*? С какой целью необходимо
     такой контроль ставить?
     (*Отрицательный контроль — это экспериментальный контроль,
     при котором изучаемый объект не подвергается экспериментальному
     воздействию).</x:v>
      </x:c>
      <x:c r="N4786" s="30" t="str">
        <x:v>1) зависимая переменная (изменяющаяся в эксперименте) – активность альфа-амилазы; независимая переменная (задаваемая экспериментатором) – степень метаболического синдрома (курение пациентов); 2) необходимо измерить активность альфа-амилазы (плазмы крови) у (курящих и некурящих) пациентов без метаболического синдрома; 3) остальные параметры необходимо оставить без изменений; 4) такой контроль позволяет установить, действительно ли метаболический синдром (курение пациентов) влияет на активность альфа-амилазы (плазмы крови) ИЛИ 4) действительно ли активность альфа-амилазы (плазмы крови) зависит от степени метаболического синдрома (курения) пациентов.</x:v>
      </x:c>
      <x:c r="O4786" s="30" t="str">
        <x:v>Все обязательные смысловые элементы сопоставлены с условием; модель сверена с официальными критериями и парным вариантом.</x:v>
      </x:c>
      <x:c r="P4786" s="30" t="str">
        <x:v>Условие и визуал просмотрены; ответ проверен по биологической логике/расчёту и сопоставлен с каноническим источником.</x:v>
      </x:c>
      <x:c r="Q4786" s="30"/>
      <x:c r="R4786" s="30" t="str">
        <x:v>1) зависимая переменная (изменяющаяся в эксперименте) – активность альфа-амилазы; независимая переменная (задаваемая экспериментатором) – степень метаболического синдрома (курение пациентов); 2) необходимо измерить активность альфа-амилазы (плазмы крови) у (курящих и некурящих) пациентов без метаболического синдрома; 3) остальные параметры необходимо оставить без изменений; 4) такой контроль позволяет установить, действительно ли метаболический синдром (курение пациентов) влияет на активность альфа-амилазы (плазмы крови) ИЛИ 4) действительно ли активность альфа-амилазы (плазмы крови) зависит от степени метаболического синдрома (курения) пациентов.</x:v>
      </x:c>
      <x:c r="S4786" s="30"/>
      <x:c r="T4786" s="30" t="str">
        <x:v>Kriterii_BI11_19122025_.pdf</x:v>
      </x:c>
      <x:c r="U4786" s="30" t="str">
        <x:v>Расхождений с каноническим источником нет.</x:v>
      </x:c>
      <x:c r="V4786" s="87" t="str">
        <x:v>VERIFIED</x:v>
      </x:c>
      <x:c r="W4786" s="87"/>
      <x:c r="X4786" s="87" t="n">
        <x:v>26</x:v>
      </x:c>
      <x:c r="Y4786" s="87"/>
      <x:c r="Z4786" s="87"/>
      <x:c r="AA4786" s="87"/>
      <x:c r="AB4786" s="87" t="str">
        <x:v>11; 12</x:v>
      </x:c>
      <x:c r="AC4786" s="87" t="str">
        <x:v>VIS-BIO-DEC-TASK-34-P026</x:v>
      </x:c>
      <x:c r="AD4786" s="87" t="str">
        <x:v>VIS-BIO-DEC-CRIT-34-P011; VIS-BIO-DEC-CRIT-34-P012</x:v>
      </x:c>
      <x:c r="AE4786" s="87" t="str">
        <x:v>TASK; CRIT</x:v>
      </x:c>
      <x:c r="AF4786" s="87" t="str">
        <x:v>VIS-BIO-DEC-TASK-34-P026: 26; VIS-BIO-DEC-CRIT-34-P011: 11; VIS-BIO-DEC-CRIT-34-P012: 12</x:v>
      </x:c>
      <x:c r="AG4786" s="87" t="str">
        <x:v>RESOLVED</x:v>
      </x:c>
      <x:c r="AH4786" s="87" t="str">
        <x:v>CROP_VERIFIED</x:v>
      </x:c>
      <x:c r="AI4786" s="30"/>
      <x:c r="AJ4786" s="87" t="str">
        <x:v>clean</x:v>
      </x:c>
      <x:c r="AK4786" s="87" t="str">
        <x:v>clean-v0.08</x:v>
      </x:c>
      <x:c r="AL4786" s="87" t="str">
        <x:v>statgrad_clean_continuation_v0_08(1).xlsx</x:v>
      </x:c>
      <x:c r="AM4786" s="87" t="str">
        <x:v>BIO_Dec_V4</x:v>
      </x:c>
      <x:c r="AN4786" s="87" t="n">
        <x:v>23</x:v>
      </x:c>
    </x:row>
    <x:row r="4787">
      <x:c r="A4787" s="87" t="n">
        <x:v>4786</x:v>
      </x:c>
      <x:c r="B4787" s="87" t="str">
        <x:v>DEC-BIO-04-023</x:v>
      </x:c>
      <x:c r="C4787" s="87" t="str">
        <x:v>СтатГрад</x:v>
      </x:c>
      <x:c r="D4787" s="87" t="str">
        <x:v>Декабрь 2025</x:v>
      </x:c>
      <x:c r="E4787" s="87"/>
      <x:c r="F4787" s="87"/>
      <x:c r="G4787" s="87" t="str">
        <x:v>Биология</x:v>
      </x:c>
      <x:c r="H4787" s="87" t="n">
        <x:v>11</x:v>
      </x:c>
      <x:c r="I4787" s="87" t="str">
        <x:v>ТР №2</x:v>
      </x:c>
      <x:c r="J4787" s="87" t="str">
        <x:v>БИ2510204</x:v>
      </x:c>
      <x:c r="K4787" s="87" t="n">
        <x:v>23</x:v>
      </x:c>
      <x:c r="L4787" s="87" t="str">
        <x:v>Интерпретация результатов</x:v>
      </x:c>
      <x:c r="M4787" s="30" t="str">
        <x:v>Метаболический синдром – это нарушение углеводного обмена, как правило
     сопровождающееся повышением уровня сахара крови. Сформулируйте
     два вывода по результатам данного исследования. Предположите, почему
     при появлении метаболического синдрома снижается активность амилазы
     плазмы крови? Предложите два варианта.</x:v>
      </x:c>
      <x:c r="N4787" s="30" t="str">
        <x:v>1) у курящих снижена активность альфа-амилазы (плазмы крови) (в сравнении с некурящими); 2) чем выше степень метаболического синдрома, тем ниже активность альфа-амилазы (чем ниже степень метаболического синдрома, тем выше активность альфа-амилазы); 3) увеличение количества глюкозы снижает активность альфа- амилазы (чем больше продукта реакции, тем ниже активность фермента); 4) повышение уровня глюкозы крови при метаболическом синдроме сопровождается повышением уровня инсулина, который ингибирует активность альфа-амилазы плазмы крови. Ответы, обсуждающие пищеварительные ферменты (включая амилазу) оцениваются максимум в 1 балл при наличии верных элементов 1 и 2.</x:v>
      </x:c>
      <x:c r="O4787" s="30" t="str">
        <x:v>Все обязательные смысловые элементы сопоставлены с условием; модель сверена с официальными критериями и парным вариантом.</x:v>
      </x:c>
      <x:c r="P4787" s="30" t="str">
        <x:v>Условие и визуал просмотрены; ответ проверен по биологической логике/расчёту и сопоставлен с каноническим источником.</x:v>
      </x:c>
      <x:c r="Q4787" s="30"/>
      <x:c r="R4787" s="30" t="str">
        <x:v>1) у курящих снижена активность альфа-амилазы (плазмы крови) (в сравнении с некурящими); 2) чем выше степень метаболического синдрома, тем ниже активность альфа-амилазы (чем ниже степень метаболического синдрома, тем выше активность альфа-амилазы); 3) увеличение количества глюкозы снижает активность альфа- амилазы (чем больше продукта реакции, тем ниже активность фермента); 4) повышение уровня глюкозы крови при метаболическом синдроме сопровождается повышением уровня инсулина, который ингибирует активность альфа-амилазы плазмы крови. Ответы, обсуждающие пищеварительные ферменты (включая амилазу) оцениваются максимум в 1 балл при наличии верных элементов 1 и 2.</x:v>
      </x:c>
      <x:c r="S4787" s="30"/>
      <x:c r="T4787" s="30" t="str">
        <x:v>Kriterii_BI11_19122025_.pdf</x:v>
      </x:c>
      <x:c r="U4787" s="30" t="str">
        <x:v>Расхождений с каноническим источником нет.</x:v>
      </x:c>
      <x:c r="V4787" s="87" t="str">
        <x:v>VERIFIED</x:v>
      </x:c>
      <x:c r="W4787" s="87"/>
      <x:c r="X4787" s="87" t="n">
        <x:v>26</x:v>
      </x:c>
      <x:c r="Y4787" s="87"/>
      <x:c r="Z4787" s="87"/>
      <x:c r="AA4787" s="87"/>
      <x:c r="AB4787" s="87" t="str">
        <x:v>12; 13</x:v>
      </x:c>
      <x:c r="AC4787" s="87" t="str">
        <x:v>VIS-BIO-DEC-TASK-34-P026</x:v>
      </x:c>
      <x:c r="AD4787" s="87" t="str">
        <x:v>VIS-BIO-DEC-CRIT-34-P012; VIS-BIO-DEC-CRIT-34-P013</x:v>
      </x:c>
      <x:c r="AE4787" s="87" t="str">
        <x:v>TASK; CRIT</x:v>
      </x:c>
      <x:c r="AF4787" s="87" t="str">
        <x:v>VIS-BIO-DEC-TASK-34-P026: 26; VIS-BIO-DEC-CRIT-34-P012: 12; VIS-BIO-DEC-CRIT-34-P013: 13</x:v>
      </x:c>
      <x:c r="AG4787" s="87" t="str">
        <x:v>RESOLVED</x:v>
      </x:c>
      <x:c r="AH4787" s="87" t="str">
        <x:v>CROP_VERIFIED</x:v>
      </x:c>
      <x:c r="AI4787" s="30"/>
      <x:c r="AJ4787" s="87" t="str">
        <x:v>clean</x:v>
      </x:c>
      <x:c r="AK4787" s="87" t="str">
        <x:v>clean-v0.08</x:v>
      </x:c>
      <x:c r="AL4787" s="87" t="str">
        <x:v>statgrad_clean_continuation_v0_08(1).xlsx</x:v>
      </x:c>
      <x:c r="AM4787" s="87" t="str">
        <x:v>BIO_Dec_V4</x:v>
      </x:c>
      <x:c r="AN4787" s="87" t="n">
        <x:v>24</x:v>
      </x:c>
    </x:row>
    <x:row r="4788">
      <x:c r="A4788" s="87" t="n">
        <x:v>4787</x:v>
      </x:c>
      <x:c r="B4788" s="87" t="str">
        <x:v>DEC-BIO-04-024</x:v>
      </x:c>
      <x:c r="C4788" s="87" t="str">
        <x:v>СтатГрад</x:v>
      </x:c>
      <x:c r="D4788" s="87" t="str">
        <x:v>Декабрь 2025</x:v>
      </x:c>
      <x:c r="E4788" s="87"/>
      <x:c r="F4788" s="87"/>
      <x:c r="G4788" s="87" t="str">
        <x:v>Биология</x:v>
      </x:c>
      <x:c r="H4788" s="87" t="n">
        <x:v>11</x:v>
      </x:c>
      <x:c r="I4788" s="87" t="str">
        <x:v>ТР №2</x:v>
      </x:c>
      <x:c r="J4788" s="87" t="str">
        <x:v>БИ2510204</x:v>
      </x:c>
      <x:c r="K4788" s="87" t="n">
        <x:v>24</x:v>
      </x:c>
      <x:c r="L4788" s="87" t="str">
        <x:v>Развёрнутый биологический анализ</x:v>
      </x:c>
      <x:c r="M4788" s="30" t="str">
        <x:v>Какая структура тела рыбы обозначена на гистологическом срезе
     вопросительным знаком? Назовите два аргумента в пользу своего мнения.
     Какие две функции может выполнять эта структура?</x:v>
      </x:c>
      <x:c r="N4788" s="30" t="str">
        <x:v>1) плавательный пузырь; 2) полый орган (прозрачный на просвет); 3) расположен над пищеварительным трактом (под позвоночником); 4) гидростатический орган (обеспечение плавучести; вертикальное перемещение в толще воды); 5) газообмен (дыхание; звукоизвлечение; усиление слуха).</x:v>
      </x:c>
      <x:c r="O4788" s="30" t="str">
        <x:v>Все обязательные смысловые элементы сопоставлены с условием; модель сверена с официальными критериями и парным вариантом.</x:v>
      </x:c>
      <x:c r="P4788" s="30" t="str">
        <x:v>Условие и визуал просмотрены; ответ проверен по биологической логике/расчёту и сопоставлен с каноническим источником.</x:v>
      </x:c>
      <x:c r="Q4788" s="30"/>
      <x:c r="R4788" s="30" t="str">
        <x:v>1) плавательный пузырь; 2) полый орган (прозрачный на просвет); 3) расположен над пищеварительным трактом (под позвоночником); 4) гидростатический орган (обеспечение плавучести; вертикальное перемещение в толще воды); 5) газообмен (дыхание; звукоизвлечение; усиление слуха).</x:v>
      </x:c>
      <x:c r="S4788" s="30"/>
      <x:c r="T4788" s="30" t="str">
        <x:v>Kriterii_BI11_19122025_.pdf</x:v>
      </x:c>
      <x:c r="U4788" s="30" t="str">
        <x:v>Расхождений с каноническим источником нет.</x:v>
      </x:c>
      <x:c r="V4788" s="87" t="str">
        <x:v>VERIFIED</x:v>
      </x:c>
      <x:c r="W4788" s="87"/>
      <x:c r="X4788" s="87" t="n">
        <x:v>27</x:v>
      </x:c>
      <x:c r="Y4788" s="87"/>
      <x:c r="Z4788" s="87"/>
      <x:c r="AA4788" s="87"/>
      <x:c r="AB4788" s="87" t="str">
        <x:v>13; 14</x:v>
      </x:c>
      <x:c r="AC4788" s="87" t="str">
        <x:v>VIS-BIO-DEC-TASK-34-P027</x:v>
      </x:c>
      <x:c r="AD4788" s="87" t="str">
        <x:v>VIS-BIO-DEC-CRIT-34-P013; VIS-BIO-DEC-CRIT-34-P014</x:v>
      </x:c>
      <x:c r="AE4788" s="87" t="str">
        <x:v>TASK; CRIT</x:v>
      </x:c>
      <x:c r="AF4788" s="87" t="str">
        <x:v>VIS-BIO-DEC-TASK-34-P027: 27; VIS-BIO-DEC-CRIT-34-P013: 13; VIS-BIO-DEC-CRIT-34-P014: 14</x:v>
      </x:c>
      <x:c r="AG4788" s="87" t="str">
        <x:v>RESOLVED</x:v>
      </x:c>
      <x:c r="AH4788" s="87" t="str">
        <x:v>CROP_VERIFIED</x:v>
      </x:c>
      <x:c r="AI4788" s="30"/>
      <x:c r="AJ4788" s="87" t="str">
        <x:v>clean</x:v>
      </x:c>
      <x:c r="AK4788" s="87" t="str">
        <x:v>clean-v0.08</x:v>
      </x:c>
      <x:c r="AL4788" s="87" t="str">
        <x:v>statgrad_clean_continuation_v0_08(1).xlsx</x:v>
      </x:c>
      <x:c r="AM4788" s="87" t="str">
        <x:v>BIO_Dec_V4</x:v>
      </x:c>
      <x:c r="AN4788" s="87" t="n">
        <x:v>25</x:v>
      </x:c>
    </x:row>
    <x:row r="4789">
      <x:c r="A4789" s="87" t="n">
        <x:v>4788</x:v>
      </x:c>
      <x:c r="B4789" s="87" t="str">
        <x:v>DEC-BIO-04-025</x:v>
      </x:c>
      <x:c r="C4789" s="87" t="str">
        <x:v>СтатГрад</x:v>
      </x:c>
      <x:c r="D4789" s="87" t="str">
        <x:v>Декабрь 2025</x:v>
      </x:c>
      <x:c r="E4789" s="87"/>
      <x:c r="F4789" s="87"/>
      <x:c r="G4789" s="87" t="str">
        <x:v>Биология</x:v>
      </x:c>
      <x:c r="H4789" s="87" t="n">
        <x:v>11</x:v>
      </x:c>
      <x:c r="I4789" s="87" t="str">
        <x:v>ТР №2</x:v>
      </x:c>
      <x:c r="J4789" s="87" t="str">
        <x:v>БИ2510204</x:v>
      </x:c>
      <x:c r="K4789" s="87" t="n">
        <x:v>25</x:v>
      </x:c>
      <x:c r="L4789" s="87" t="str">
        <x:v>Развёрнутый биологический анализ</x:v>
      </x:c>
      <x:c r="M4789" s="30" t="str">
        <x:v>Феохромоцитома – это опухоль мозгового вещества надпочечников, клетки
     которой производят избыточное количество гормона.
     Какой гормон производит мозговое вещество надпочечников? Как развитие
     опухоли повлияет на величину артериального давления? Назовите две
     возможных причины такого влияния. Один из симптомов феохромоцитомы –
     высокий уровень глюкозы в крови. Какие биохимические процессы в печени
     и поджелудочной железе этому способствуют?</x:v>
      </x:c>
      <x:c r="N4789" s="30" t="str">
        <x:v>1) адреналин (норадреналин; дофамин; катехоламины); 2) артериальное давление поднимется; 3) адреналин вызывает сужение сосудов; 4) адреналин увеличивает сердечный выброс (стимулирует реабсорбцию воды в почках, увеличивая объём крови); 5) в печени усиливается расщепление гликогена до глюкозы (усиливается синтез глюкозы из аминокислот и других источников); 6) в поджелудочной железе снижается выработка инсулина, который понижает уровень глюкозы в крови (повышается выработка глюкагона, который повышает уровень глюкозы в крови).</x:v>
      </x:c>
      <x:c r="O4789" s="30" t="str">
        <x:v>Все обязательные смысловые элементы сопоставлены с условием; модель сверена с официальными критериями и парным вариантом.</x:v>
      </x:c>
      <x:c r="P4789" s="30" t="str">
        <x:v>Условие и визуал просмотрены; ответ проверен по биологической логике/расчёту и сопоставлен с каноническим источником.</x:v>
      </x:c>
      <x:c r="Q4789" s="30"/>
      <x:c r="R4789" s="30" t="str">
        <x:v>1) адреналин (норадреналин; дофамин; катехоламины); 2) артериальное давление поднимется; 3) адреналин вызывает сужение сосудов; 4) адреналин увеличивает сердечный выброс (стимулирует реабсорбцию воды в почках, увеличивая объём крови); 5) в печени усиливается расщепление гликогена до глюкозы (усиливается синтез глюкозы из аминокислот и других источников); 6) в поджелудочной железе снижается выработка инсулина, который понижает уровень глюкозы в крови (повышается выработка глюкагона, который повышает уровень глюкозы в крови).</x:v>
      </x:c>
      <x:c r="S4789" s="30"/>
      <x:c r="T4789" s="30" t="str">
        <x:v>Kriterii_BI11_19122025_.pdf</x:v>
      </x:c>
      <x:c r="U4789" s="30" t="str">
        <x:v>Расхождений с каноническим источником нет.</x:v>
      </x:c>
      <x:c r="V4789" s="87" t="str">
        <x:v>VERIFIED</x:v>
      </x:c>
      <x:c r="W4789" s="87"/>
      <x:c r="X4789" s="87" t="n">
        <x:v>27</x:v>
      </x:c>
      <x:c r="Y4789" s="87"/>
      <x:c r="Z4789" s="87"/>
      <x:c r="AA4789" s="87"/>
      <x:c r="AB4789" s="87" t="str">
        <x:v>14; 15</x:v>
      </x:c>
      <x:c r="AC4789" s="87" t="str">
        <x:v>VIS-BIO-DEC-TASK-34-P027</x:v>
      </x:c>
      <x:c r="AD4789" s="87" t="str">
        <x:v>VIS-BIO-DEC-CRIT-34-P014; VIS-BIO-DEC-CRIT-34-P015</x:v>
      </x:c>
      <x:c r="AE4789" s="87" t="str">
        <x:v>TASK; CRIT</x:v>
      </x:c>
      <x:c r="AF4789" s="87" t="str">
        <x:v>VIS-BIO-DEC-TASK-34-P027: 27; VIS-BIO-DEC-CRIT-34-P014: 14; VIS-BIO-DEC-CRIT-34-P015: 15</x:v>
      </x:c>
      <x:c r="AG4789" s="87" t="str">
        <x:v>RESOLVED</x:v>
      </x:c>
      <x:c r="AH4789" s="87" t="str">
        <x:v>CROP_VERIFIED</x:v>
      </x:c>
      <x:c r="AI4789" s="30"/>
      <x:c r="AJ4789" s="87" t="str">
        <x:v>clean</x:v>
      </x:c>
      <x:c r="AK4789" s="87" t="str">
        <x:v>clean-v0.08</x:v>
      </x:c>
      <x:c r="AL4789" s="87" t="str">
        <x:v>statgrad_clean_continuation_v0_08(1).xlsx</x:v>
      </x:c>
      <x:c r="AM4789" s="87" t="str">
        <x:v>BIO_Dec_V4</x:v>
      </x:c>
      <x:c r="AN4789" s="87" t="n">
        <x:v>26</x:v>
      </x:c>
    </x:row>
    <x:row r="4790">
      <x:c r="A4790" s="87" t="n">
        <x:v>4789</x:v>
      </x:c>
      <x:c r="B4790" s="87" t="str">
        <x:v>DEC-BIO-04-026</x:v>
      </x:c>
      <x:c r="C4790" s="87" t="str">
        <x:v>СтатГрад</x:v>
      </x:c>
      <x:c r="D4790" s="87" t="str">
        <x:v>Декабрь 2025</x:v>
      </x:c>
      <x:c r="E4790" s="87"/>
      <x:c r="F4790" s="87"/>
      <x:c r="G4790" s="87" t="str">
        <x:v>Биология</x:v>
      </x:c>
      <x:c r="H4790" s="87" t="n">
        <x:v>11</x:v>
      </x:c>
      <x:c r="I4790" s="87" t="str">
        <x:v>ТР №2</x:v>
      </x:c>
      <x:c r="J4790" s="87" t="str">
        <x:v>БИ2510204</x:v>
      </x:c>
      <x:c r="K4790" s="87" t="n">
        <x:v>26</x:v>
      </x:c>
      <x:c r="L4790" s="87" t="str">
        <x:v>Развёрнутый биологический анализ</x:v>
      </x:c>
      <x:c r="M4790" s="30" t="str">
        <x:v>У многих бабочек на заднем крыле есть особая «ложная голова» –
     совокупность отростков, напоминающих усики, и пятен, похожих на глаза.
     Учёные обнаружили, что при повреждении в области «ложной головы»
     крыло особенно легко рвётся. Назовите две функции, которые могут
     выполнять «ложная голова» и глазчатые пятна на крыльях. Поясните
     механизм действия этих приспособлений в каждом случае. Почему иногда
     этот признак может стать вредным для выживания? Реконструкция предков
     бабочек показала, что «ложная голова» возникала независимо десятки раз
     в разных ветвях эволюции. Какую форму эволюции иллюстрирует данный
     пример?</x:v>
      </x:c>
      <x:c r="N4790" s="30" t="str">
        <x:v>1) отпугивание хищника; 2) хищник воспринимает бабочку, как слишком крупную (опасную) добычу; 3) привлечение внимания (дезориентация) хищника; 4) хищник нацеливается на «ложную голову», сохраняя целыми жизненно важные органы бабочки; ИЛИ 3) привлечение полового партнёра; 4) уникальная для каждого вида бабочек «ложная голова» является привлекательным признаком (примером качества партнёра); 5) увеличивается вероятность обнаружения хищниками (требует энергетических затрат на синтез пигмента (отростков), снижается манёвренность полёта); 6) параллелизм (конвергенция).</x:v>
      </x:c>
      <x:c r="O4790" s="30" t="str">
        <x:v>Все обязательные смысловые элементы сопоставлены с условием; модель сверена с официальными критериями и парным вариантом.</x:v>
      </x:c>
      <x:c r="P4790" s="30" t="str">
        <x:v>Условие и визуал просмотрены; ответ проверен по биологической логике/расчёту и сопоставлен с каноническим источником.</x:v>
      </x:c>
      <x:c r="Q4790" s="30"/>
      <x:c r="R4790" s="30" t="str">
        <x:v>1) отпугивание хищника; 2) хищник воспринимает бабочку, как слишком крупную (опасную) добычу; 3) привлечение внимания (дезориентация) хищника; 4) хищник нацеливается на «ложную голову», сохраняя целыми жизненно важные органы бабочки; ИЛИ 3) привлечение полового партнёра; 4) уникальная для каждого вида бабочек «ложная голова» является привлекательным признаком (примером качества партнёра); 5) увеличивается вероятность обнаружения хищниками (требует энергетических затрат на синтез пигмента (отростков), снижается манёвренность полёта); 6) параллелизм (конвергенция).</x:v>
      </x:c>
      <x:c r="S4790" s="30"/>
      <x:c r="T4790" s="30" t="str">
        <x:v>Kriterii_BI11_19122025_.pdf</x:v>
      </x:c>
      <x:c r="U4790" s="30" t="str">
        <x:v>Расхождений с каноническим источником нет.</x:v>
      </x:c>
      <x:c r="V4790" s="87" t="str">
        <x:v>VERIFIED</x:v>
      </x:c>
      <x:c r="W4790" s="87"/>
      <x:c r="X4790" s="87" t="n">
        <x:v>28</x:v>
      </x:c>
      <x:c r="Y4790" s="87"/>
      <x:c r="Z4790" s="87"/>
      <x:c r="AA4790" s="87"/>
      <x:c r="AB4790" s="87" t="str">
        <x:v>15; 16</x:v>
      </x:c>
      <x:c r="AC4790" s="87" t="str">
        <x:v>VIS-BIO-DEC-TASK-34-P028</x:v>
      </x:c>
      <x:c r="AD4790" s="87" t="str">
        <x:v>VIS-BIO-DEC-CRIT-34-P015; VIS-BIO-DEC-CRIT-34-P016</x:v>
      </x:c>
      <x:c r="AE4790" s="87" t="str">
        <x:v>TASK; CRIT</x:v>
      </x:c>
      <x:c r="AF4790" s="87" t="str">
        <x:v>VIS-BIO-DEC-TASK-34-P028: 28; VIS-BIO-DEC-CRIT-34-P015: 15; VIS-BIO-DEC-CRIT-34-P016: 16</x:v>
      </x:c>
      <x:c r="AG4790" s="87" t="str">
        <x:v>RESOLVED</x:v>
      </x:c>
      <x:c r="AH4790" s="87" t="str">
        <x:v>CROP_VERIFIED</x:v>
      </x:c>
      <x:c r="AI4790" s="30"/>
      <x:c r="AJ4790" s="87" t="str">
        <x:v>clean</x:v>
      </x:c>
      <x:c r="AK4790" s="87" t="str">
        <x:v>clean-v0.08</x:v>
      </x:c>
      <x:c r="AL4790" s="87" t="str">
        <x:v>statgrad_clean_continuation_v0_08(1).xlsx</x:v>
      </x:c>
      <x:c r="AM4790" s="87" t="str">
        <x:v>BIO_Dec_V4</x:v>
      </x:c>
      <x:c r="AN4790" s="87" t="n">
        <x:v>27</x:v>
      </x:c>
    </x:row>
    <x:row r="4791">
      <x:c r="A4791" s="87" t="n">
        <x:v>4790</x:v>
      </x:c>
      <x:c r="B4791" s="87" t="str">
        <x:v>DEC-BIO-04-027</x:v>
      </x:c>
      <x:c r="C4791" s="87" t="str">
        <x:v>СтатГрад</x:v>
      </x:c>
      <x:c r="D4791" s="87" t="str">
        <x:v>Декабрь 2025</x:v>
      </x:c>
      <x:c r="E4791" s="87"/>
      <x:c r="F4791" s="87"/>
      <x:c r="G4791" s="87" t="str">
        <x:v>Биология</x:v>
      </x:c>
      <x:c r="H4791" s="87" t="n">
        <x:v>11</x:v>
      </x:c>
      <x:c r="I4791" s="87" t="str">
        <x:v>ТР №2</x:v>
      </x:c>
      <x:c r="J4791" s="87" t="str">
        <x:v>БИ2510204</x:v>
      </x:c>
      <x:c r="K4791" s="87" t="n">
        <x:v>27</x:v>
      </x:c>
      <x:c r="L4791" s="87" t="str">
        <x:v>Молекулярно-генетическая задача</x:v>
      </x:c>
      <x:c r="M4791" s="30" t="str">
        <x:v>У бактерий имеются специфические тмРНК, образующие шпилечную
     структуру (наподобие петель тРНК), которая позволяет этой РНК попадать
     в рибосому. После шпильки через несколько нуклеотидов располагается
     открытая рамка считывания, которая начинается с аланинового кодона.
     Фрагмент молекулы ДНК, на которой синтезируется участок тмРНК имеет
     следующую последовательность нуклеотидов (нижняя цепь – матричная):
                5´-АЦГТААЦЦТЦЦАГТТАЦААГЦАЦЦАААТГАТЦ-3´
                3´-ТГЦАТТГГАГГТЦААТГТТЦГТГГТТТАЦТАГ-5´
     Установите нуклеотидную последовательность участка тмРНК, который
     синтезируется на данном фрагменте. Установите вторичную структуру
     участка тмРНК. Установите последовательность начала открытой рамки
     считывания на данном участке тмРНК. Определите последовательность
     фрагмента полипептида, который кодируется данным фрагментом тмРНК.
     Для выполнения задания используйте таблицу генетического кода.
     При написании нуклеиновых кислот указывайте направление цепи.
                                 Генетический код (иРНК)
      Первое                                                                        Третье
                                      Второе основание
     основание                                                                    основание
                         У              Ц               А              Г
                        Фен            Сер             Тир            Цис              У
                        Фен            Сер             Тир            Цис              Ц
          У
                        Лей            Сер              —              —               А
                        Лей            Сер              —             Три              Г
                        Лей            Про             Гис            Арг              У
                        Лей            Про             Гис            Арг              Ц
          Ц
                        Лей            Про             Глн            Арг              А
                        Лей            Про             Глн            Арг              Г
                        Иле            Тре             Асн            Сер              У
                        Иле            Тре             Асн            Сер              Ц
          А
                        Иле            Тре             Лиз            Арг              А
                        Мет            Тре             Лиз            Арг              Г
                        Вал            Ала             Асп            Гли              У
                        Вал            Ала             Асп            Гли              Ц
          Г
                        Вал            Ала             Глу            Гли              А
                        Вал            Ала             Глу            Гли              Г</x:v>
      </x:c>
      <x:c r="N4791" s="30" t="str">
        <x:v>1) нуклеотидная последовательность участка РНК: 5’-АЦГУААЦЦУЦЦАГУУАЦААГЦАЦЦАААУГАУЦ-3’; 2) вторичная структура РНК: 3) открытая рамка считывания: 5’-ГЦАЦЦАААУГАУ(Ц)-3’ (или в явном виде указана на последовательности или вторичной структуре); 4) последовательность полипептида: ала-про-асн-асп</x:v>
      </x:c>
      <x:c r="O4791" s="30" t="str">
        <x:v>Все обязательные смысловые элементы сопоставлены с условием; модель сверена с официальными критериями и парным вариантом.</x:v>
      </x:c>
      <x:c r="P4791" s="30" t="str">
        <x:v>Условие и визуал просмотрены; ответ проверен по биологической логике/расчёту и сопоставлен с каноническим источником.</x:v>
      </x:c>
      <x:c r="Q4791" s="30"/>
      <x:c r="R4791" s="30" t="str">
        <x:v>1) нуклеотидная последовательность участка РНК: 5’-АЦГУААЦЦУЦЦАГУУАЦААГЦАЦЦАААУГАУЦ-3’; 2) вторичная структура РНК: 3) открытая рамка считывания: 5’-ГЦАЦЦАААУГАУ(Ц)-3’ (или в явном виде указана на последовательности или вторичной структуре); 4) последовательность полипептида: ала-про-асн-асп</x:v>
      </x:c>
      <x:c r="S4791" s="30"/>
      <x:c r="T4791" s="30" t="str">
        <x:v>Kriterii_BI11_19122025_.pdf</x:v>
      </x:c>
      <x:c r="U4791" s="30" t="str">
        <x:v>Расхождений с каноническим источником нет.</x:v>
      </x:c>
      <x:c r="V4791" s="87" t="str">
        <x:v>VERIFIED</x:v>
      </x:c>
      <x:c r="W4791" s="87"/>
      <x:c r="X4791" s="87" t="n">
        <x:v>28</x:v>
      </x:c>
      <x:c r="Y4791" s="87"/>
      <x:c r="Z4791" s="87"/>
      <x:c r="AA4791" s="87"/>
      <x:c r="AB4791" s="87" t="str">
        <x:v>16; 17; 18</x:v>
      </x:c>
      <x:c r="AC4791" s="87" t="str">
        <x:v>VIS-BIO-DEC-TASK-34-P028</x:v>
      </x:c>
      <x:c r="AD4791" s="87" t="str">
        <x:v>VIS-BIO-DEC-CRIT-34-P016; VIS-BIO-DEC-CRIT-34-P017; VIS-BIO-DEC-CRIT-34-P018</x:v>
      </x:c>
      <x:c r="AE4791" s="87" t="str">
        <x:v>TASK; CRIT</x:v>
      </x:c>
      <x:c r="AF4791" s="87" t="str">
        <x:v>VIS-BIO-DEC-TASK-34-P028: 28; VIS-BIO-DEC-CRIT-34-P016: 16; VIS-BIO-DEC-CRIT-34-P017: 17; VIS-BIO-DEC-CRIT-34-P018: 18</x:v>
      </x:c>
      <x:c r="AG4791" s="87" t="str">
        <x:v>RESOLVED</x:v>
      </x:c>
      <x:c r="AH4791" s="87" t="str">
        <x:v>CROP_VERIFIED</x:v>
      </x:c>
      <x:c r="AI4791" s="30"/>
      <x:c r="AJ4791" s="87" t="str">
        <x:v>clean</x:v>
      </x:c>
      <x:c r="AK4791" s="87" t="str">
        <x:v>clean-v0.08</x:v>
      </x:c>
      <x:c r="AL4791" s="87" t="str">
        <x:v>statgrad_clean_continuation_v0_08(1).xlsx</x:v>
      </x:c>
      <x:c r="AM4791" s="87" t="str">
        <x:v>BIO_Dec_V4</x:v>
      </x:c>
      <x:c r="AN4791" s="87" t="n">
        <x:v>28</x:v>
      </x:c>
    </x:row>
    <x:row r="4792">
      <x:c r="A4792" s="87" t="n">
        <x:v>4791</x:v>
      </x:c>
      <x:c r="B4792" s="87" t="str">
        <x:v>DEC-BIO-04-028</x:v>
      </x:c>
      <x:c r="C4792" s="87" t="str">
        <x:v>СтатГрад</x:v>
      </x:c>
      <x:c r="D4792" s="87" t="str">
        <x:v>Декабрь 2025</x:v>
      </x:c>
      <x:c r="E4792" s="87"/>
      <x:c r="F4792" s="87"/>
      <x:c r="G4792" s="87" t="str">
        <x:v>Биология</x:v>
      </x:c>
      <x:c r="H4792" s="87" t="n">
        <x:v>11</x:v>
      </x:c>
      <x:c r="I4792" s="87" t="str">
        <x:v>ТР №2</x:v>
      </x:c>
      <x:c r="J4792" s="87" t="str">
        <x:v>БИ2510204</x:v>
      </x:c>
      <x:c r="K4792" s="87" t="n">
        <x:v>28</x:v>
      </x:c>
      <x:c r="L4792" s="87" t="str">
        <x:v>Генетическая задача</x:v>
      </x:c>
      <x:c r="M4792" s="30" t="str">
        <x:v>При скрещивании растения гороха с пурпурными цветками и круглой
     пыльцой с растением с красными цветками и удлинённой пыльцой всё
     потомство получилось с пурпурными цветками и удлинённой пыльцой.
     В анализирующем скрещивании гибридного потомства получились четыре
     разные фенотипические группы численностью 143, 137, 21 и 17 потомков.
     Составьте схемы скрещиваний. Укажите генотипы, фенотипы родительских
     особей и генотипы, фенотипы, долю каждой группы потомков в анализи-
     рующем скрещивании. Постройте генетическую карту для указанных выше
     генов, укажите на ней местоположение каждого гена и расстояние (в %)
     между ними, определите тип наследования генов указанных выше признаков.</x:v>
      </x:c>
      <x:c r="N4792" s="30" t="str">
        <x:v>1) P AAbb × aaBB пурпурные цветки, красные цветки, круглая пыльца удлинённая пыльца G Ab aB F 1 AaBb – пурпурные цветки, удлинённая пыльца; 2) анализирующее скрещивание P AaBb × aabb пурпурные цветки, красные цветки, удлинённая пыльца круглая пыльца G AB, Ab, aB, ab ab F2 AaBb – пурпурные цветки, удлинённая пыльца, 21 или 17; Aabb – пурпурные цветки, круглая пыльца, 137 или 143; aaBb – красные цветки, удлинённая пыльца, 143 или 137; aabb – красные цветки, круглая пыльца, 17 или 21; 3) a 12% b ИЛИ A 12% B ИЛИ a 12% B ИЛИ A 12% b Тип наследования генов – сцепленное наследование. Допускается A A генетическая А B символика ИЛИ изображения сцепленных B B A B генов в виде: Если в решении не определено сцепление генов и задача решена по схеме независимого наследования, за задание выставляется 0 баллов. Элемент 2 засчитывается только при наличии и генотипов, и фенотипов, и доли каждой группы потомков. Элемент 3 засчитывается при наличии генетической карты, указании на ней местоположения генов и расстояния между ними в процентах или морганидах, а также при определении типа наследования</x:v>
      </x:c>
      <x:c r="O4792" s="30" t="str">
        <x:v>Все обязательные смысловые элементы сопоставлены с условием; модель сверена с официальными критериями и парным вариантом.</x:v>
      </x:c>
      <x:c r="P4792" s="30" t="str">
        <x:v>Условие и визуал просмотрены; ответ проверен по биологической логике/расчёту и сопоставлен с каноническим источником.</x:v>
      </x:c>
      <x:c r="Q4792" s="30"/>
      <x:c r="R4792" s="30" t="str">
        <x:v>1) P AAbb × aaBB пурпурные цветки, красные цветки, круглая пыльца удлинённая пыльца G Ab aB F 1 AaBb – пурпурные цветки, удлинённая пыльца; 2) анализирующее скрещивание P AaBb × aabb пурпурные цветки, красные цветки, удлинённая пыльца круглая пыльца G AB, Ab, aB, ab ab F2 AaBb – пурпурные цветки, удлинённая пыльца, 21 или 17; Aabb – пурпурные цветки, круглая пыльца, 137 или 143; aaBb – красные цветки, удлинённая пыльца, 143 или 137; aabb – красные цветки, круглая пыльца, 17 или 21; 3) a 12% b ИЛИ A 12% B ИЛИ a 12% B ИЛИ A 12% b Тип наследования генов – сцепленное наследование. Допускается A A генетическая А B символика ИЛИ изображения сцепленных B B A B генов в виде: Если в решении не определено сцепление генов и задача решена по схеме независимого наследования, за задание выставляется 0 баллов. Элемент 2 засчитывается только при наличии и генотипов, и фенотипов, и доли каждой группы потомков. Элемент 3 засчитывается при наличии генетической карты, указании на ней местоположения генов и расстояния между ними в процентах или морганидах, а также при определении типа наследования</x:v>
      </x:c>
      <x:c r="S4792" s="30"/>
      <x:c r="T4792" s="30" t="str">
        <x:v>Kriterii_BI11_19122025_.pdf</x:v>
      </x:c>
      <x:c r="U4792" s="30" t="str">
        <x:v>Расхождений с каноническим источником нет.</x:v>
      </x:c>
      <x:c r="V4792" s="87" t="str">
        <x:v>VERIFIED</x:v>
      </x:c>
      <x:c r="W4792" s="87"/>
      <x:c r="X4792" s="87" t="n">
        <x:v>29</x:v>
      </x:c>
      <x:c r="Y4792" s="87"/>
      <x:c r="Z4792" s="87"/>
      <x:c r="AA4792" s="87"/>
      <x:c r="AB4792" s="87" t="str">
        <x:v>18; 19</x:v>
      </x:c>
      <x:c r="AC4792" s="87" t="str">
        <x:v>VIS-BIO-DEC-TASK-34-P029</x:v>
      </x:c>
      <x:c r="AD4792" s="87" t="str">
        <x:v>VIS-BIO-DEC-CRIT-34-P018; VIS-BIO-DEC-CRIT-34-P019</x:v>
      </x:c>
      <x:c r="AE4792" s="87" t="str">
        <x:v>TASK; CRIT</x:v>
      </x:c>
      <x:c r="AF4792" s="87" t="str">
        <x:v>VIS-BIO-DEC-TASK-34-P029: 29; VIS-BIO-DEC-CRIT-34-P018: 18; VIS-BIO-DEC-CRIT-34-P019: 19</x:v>
      </x:c>
      <x:c r="AG4792" s="87" t="str">
        <x:v>RESOLVED</x:v>
      </x:c>
      <x:c r="AH4792" s="87" t="str">
        <x:v>CROP_VERIFIED</x:v>
      </x:c>
      <x:c r="AI4792" s="30"/>
      <x:c r="AJ4792" s="87" t="str">
        <x:v>clean</x:v>
      </x:c>
      <x:c r="AK4792" s="87" t="str">
        <x:v>clean-v0.08</x:v>
      </x:c>
      <x:c r="AL4792" s="87" t="str">
        <x:v>statgrad_clean_continuation_v0_08(1).xlsx</x:v>
      </x:c>
      <x:c r="AM4792" s="87" t="str">
        <x:v>BIO_Dec_V4</x:v>
      </x:c>
      <x:c r="AN4792" s="87" t="n">
        <x:v>29</x:v>
      </x:c>
    </x:row>
    <x:row r="4793">
      <x:c r="A4793" s="87" t="n">
        <x:v>4792</x:v>
      </x:c>
      <x:c r="B4793" s="87" t="str">
        <x:v>MAY-MATH-01-001</x:v>
      </x:c>
      <x:c r="C4793" s="87" t="str">
        <x:v>СтатГрад</x:v>
      </x:c>
      <x:c r="D4793" s="87" t="str">
        <x:v>Май 2026</x:v>
      </x:c>
      <x:c r="E4793" s="87"/>
      <x:c r="F4793" s="87"/>
      <x:c r="G4793" s="87" t="str">
        <x:v>Математика</x:v>
      </x:c>
      <x:c r="H4793" s="87" t="n">
        <x:v>10</x:v>
      </x:c>
      <x:c r="I4793" s="87" t="str">
        <x:v>ТР №2</x:v>
      </x:c>
      <x:c r="J4793" s="87" t="str">
        <x:v>МА2500301</x:v>
      </x:c>
      <x:c r="K4793" s="87" t="n">
        <x:v>1</x:v>
      </x:c>
      <x:c r="L4793" s="87" t="str">
        <x:v>Практическая арифметика</x:v>
      </x:c>
      <x:c r="M4793" s="30" t="str">
        <x:v>Стоимость проездного билета на месяц составляет 2250 рублей, а стоимость билета на одну поездку — 75 рублей. Аня купила проездной и сделала за месяц 41 поездку. На сколько рублей больше она бы потратила, если бы покупала билеты на одну поездку?</x:v>
      </x:c>
      <x:c r="N4793" s="30" t="str">
        <x:v>825</x:v>
      </x:c>
      <x:c r="O4793" s="30" t="str">
        <x:v>Краткий ответ перенесён из официальной таблицы; тип задания и числовой результат проверены по условию.</x:v>
      </x:c>
      <x:c r="P4793" s="30" t="str">
        <x:v>Наличие задания, диапазон допустимого ответа и соответствие официальному ключу проверены; явных противоречий не обнаружено.</x:v>
      </x:c>
      <x:c r="Q4793" s="30"/>
      <x:c r="R4793" s="30" t="str">
        <x:v>825</x:v>
      </x:c>
      <x:c r="S4793" s="30"/>
      <x:c r="T4793" s="30" t="str">
        <x:v>База.jpg</x:v>
      </x:c>
      <x:c r="U4793" s="30" t="str">
        <x:v>Расхождений с каноническим источником не выявлено.</x:v>
      </x:c>
      <x:c r="V4793" s="87" t="str">
        <x:v>VERIFIED</x:v>
      </x:c>
      <x:c r="W4793" s="87"/>
      <x:c r="X4793" s="87" t="n">
        <x:v>2</x:v>
      </x:c>
      <x:c r="Y4793" s="87"/>
      <x:c r="Z4793" s="87"/>
      <x:c r="AA4793" s="87"/>
      <x:c r="AB4793" s="87" t="str">
        <x:v>таблица</x:v>
      </x:c>
      <x:c r="AC4793" s="87" t="str">
        <x:v>VIS-MATH-MAY-BASE-TASK-P002</x:v>
      </x:c>
      <x:c r="AD4793" s="87" t="str">
        <x:v>VIS-MATH-MAY-KEY-BASE</x:v>
      </x:c>
      <x:c r="AE4793" s="87" t="str">
        <x:v>TASK; KEY</x:v>
      </x:c>
      <x:c r="AF4793" s="87" t="str">
        <x:v>VIS-MATH-MAY-BASE-TASK-P002: 2; VIS-MATH-MAY-KEY-BASE: original</x:v>
      </x:c>
      <x:c r="AG4793" s="87" t="str">
        <x:v>RESOLVED</x:v>
      </x:c>
      <x:c r="AH4793" s="87" t="str">
        <x:v>CROP_VERIFIED; ORIGINAL_IMAGE_NO_CROP</x:v>
      </x:c>
      <x:c r="AI4793" s="30" t="str">
        <x:v>{"Уровень": "Базовый"}</x:v>
      </x:c>
      <x:c r="AJ4793" s="87" t="str">
        <x:v>clean</x:v>
      </x:c>
      <x:c r="AK4793" s="87" t="str">
        <x:v>clean-v0.09</x:v>
      </x:c>
      <x:c r="AL4793" s="87" t="str">
        <x:v>statgrad_clean_continuation_v0_09(1).xlsx</x:v>
      </x:c>
      <x:c r="AM4793" s="87" t="str">
        <x:v>MATH_May_0301</x:v>
      </x:c>
      <x:c r="AN4793" s="87" t="n">
        <x:v>2</x:v>
      </x:c>
    </x:row>
    <x:row r="4794">
      <x:c r="A4794" s="87" t="n">
        <x:v>4793</x:v>
      </x:c>
      <x:c r="B4794" s="87" t="str">
        <x:v>MAY-MATH-01-002</x:v>
      </x:c>
      <x:c r="C4794" s="87" t="str">
        <x:v>СтатГрад</x:v>
      </x:c>
      <x:c r="D4794" s="87" t="str">
        <x:v>Май 2026</x:v>
      </x:c>
      <x:c r="E4794" s="87"/>
      <x:c r="F4794" s="87"/>
      <x:c r="G4794" s="87" t="str">
        <x:v>Математика</x:v>
      </x:c>
      <x:c r="H4794" s="87" t="n">
        <x:v>10</x:v>
      </x:c>
      <x:c r="I4794" s="87" t="str">
        <x:v>ТР №2</x:v>
      </x:c>
      <x:c r="J4794" s="87" t="str">
        <x:v>МА2500301</x:v>
      </x:c>
      <x:c r="K4794" s="87" t="n">
        <x:v>2</x:v>
      </x:c>
      <x:c r="L4794" s="87" t="str">
        <x:v>Установление соответствия</x:v>
      </x:c>
      <x:c r="M4794"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объём воды в Онежском озере 1) 0,5 л Б) объём бутылки воды 2) 60 м3 В) объём туристического рюкзака 3) 90 л для взрослого человека 4) 295 км3 Г) объём контейнера для мебели В таблице под каждой буквой, соответствующей величине, укажите номер её возможного значения. А Б В Г</x:v>
      </x:c>
      <x:c r="N4794" s="30" t="str">
        <x:v>4132</x:v>
      </x:c>
      <x:c r="O4794" s="30" t="str">
        <x:v>Краткий ответ перенесён из официальной таблицы; тип задания и числовой результат проверены по условию.</x:v>
      </x:c>
      <x:c r="P4794" s="30" t="str">
        <x:v>Наличие задания, диапазон допустимого ответа и соответствие официальному ключу проверены; явных противоречий не обнаружено.</x:v>
      </x:c>
      <x:c r="Q4794" s="30"/>
      <x:c r="R4794" s="30" t="str">
        <x:v>4132</x:v>
      </x:c>
      <x:c r="S4794" s="30"/>
      <x:c r="T4794" s="30" t="str">
        <x:v>База.jpg</x:v>
      </x:c>
      <x:c r="U4794" s="30" t="str">
        <x:v>Расхождений с каноническим источником не выявлено.</x:v>
      </x:c>
      <x:c r="V4794" s="87" t="str">
        <x:v>VERIFIED</x:v>
      </x:c>
      <x:c r="W4794" s="87"/>
      <x:c r="X4794" s="87" t="n">
        <x:v>2</x:v>
      </x:c>
      <x:c r="Y4794" s="87"/>
      <x:c r="Z4794" s="87"/>
      <x:c r="AA4794" s="87"/>
      <x:c r="AB4794" s="87" t="str">
        <x:v>таблица</x:v>
      </x:c>
      <x:c r="AC4794" s="87" t="str">
        <x:v>VIS-MATH-MAY-BASE-TASK-P002</x:v>
      </x:c>
      <x:c r="AD4794" s="87" t="str">
        <x:v>VIS-MATH-MAY-KEY-BASE</x:v>
      </x:c>
      <x:c r="AE4794" s="87" t="str">
        <x:v>TASK; KEY</x:v>
      </x:c>
      <x:c r="AF4794" s="87" t="str">
        <x:v>VIS-MATH-MAY-BASE-TASK-P002: 2; VIS-MATH-MAY-KEY-BASE: original</x:v>
      </x:c>
      <x:c r="AG4794" s="87" t="str">
        <x:v>RESOLVED</x:v>
      </x:c>
      <x:c r="AH4794" s="87" t="str">
        <x:v>CROP_VERIFIED; ORIGINAL_IMAGE_NO_CROP</x:v>
      </x:c>
      <x:c r="AI4794" s="30" t="str">
        <x:v>{"Уровень": "Базовый"}</x:v>
      </x:c>
      <x:c r="AJ4794" s="87" t="str">
        <x:v>clean</x:v>
      </x:c>
      <x:c r="AK4794" s="87" t="str">
        <x:v>clean-v0.09</x:v>
      </x:c>
      <x:c r="AL4794" s="87" t="str">
        <x:v>statgrad_clean_continuation_v0_09(1).xlsx</x:v>
      </x:c>
      <x:c r="AM4794" s="87" t="str">
        <x:v>MATH_May_0301</x:v>
      </x:c>
      <x:c r="AN4794" s="87" t="n">
        <x:v>3</x:v>
      </x:c>
    </x:row>
    <x:row r="4795">
      <x:c r="A4795" s="87" t="n">
        <x:v>4794</x:v>
      </x:c>
      <x:c r="B4795" s="87" t="str">
        <x:v>MAY-MATH-01-003</x:v>
      </x:c>
      <x:c r="C4795" s="87" t="str">
        <x:v>СтатГрад</x:v>
      </x:c>
      <x:c r="D4795" s="87" t="str">
        <x:v>Май 2026</x:v>
      </x:c>
      <x:c r="E4795" s="87"/>
      <x:c r="F4795" s="87"/>
      <x:c r="G4795" s="87" t="str">
        <x:v>Математика</x:v>
      </x:c>
      <x:c r="H4795" s="87" t="n">
        <x:v>10</x:v>
      </x:c>
      <x:c r="I4795" s="87" t="str">
        <x:v>ТР №2</x:v>
      </x:c>
      <x:c r="J4795" s="87" t="str">
        <x:v>МА2500301</x:v>
      </x:c>
      <x:c r="K4795" s="87" t="n">
        <x:v>3</x:v>
      </x:c>
      <x:c r="L4795" s="87" t="str">
        <x:v>Оптимизация / сравнение</x:v>
      </x:c>
      <x:c r="M4795" s="30" t="str">
        <x:v>На рисунке показано изменение атмосферного давления в течение трёх суток. По горизонтали указаны дни недели, по вертикали — значения атмосферного давления в миллиметрах ртутного столба. 762 760 758 756 754 752 750 вторник среда четверг Определите по рисунку наименьшее значение атмосферного давления (в миллиметрах ртутного столба) во вторник.</x:v>
      </x:c>
      <x:c r="N4795" s="30" t="str">
        <x:v>756</x:v>
      </x:c>
      <x:c r="O4795" s="30" t="str">
        <x:v>Краткий ответ перенесён из официальной таблицы; тип задания и числовой результат проверены по условию.</x:v>
      </x:c>
      <x:c r="P4795" s="30" t="str">
        <x:v>Наличие задания, диапазон допустимого ответа и соответствие официальному ключу проверены; явных противоречий не обнаружено.</x:v>
      </x:c>
      <x:c r="Q4795" s="30"/>
      <x:c r="R4795" s="30" t="str">
        <x:v>756</x:v>
      </x:c>
      <x:c r="S4795" s="30"/>
      <x:c r="T4795" s="30" t="str">
        <x:v>База.jpg</x:v>
      </x:c>
      <x:c r="U4795" s="30" t="str">
        <x:v>Расхождений с каноническим источником не выявлено.</x:v>
      </x:c>
      <x:c r="V4795" s="87" t="str">
        <x:v>VERIFIED</x:v>
      </x:c>
      <x:c r="W4795" s="87"/>
      <x:c r="X4795" s="87" t="n">
        <x:v>3</x:v>
      </x:c>
      <x:c r="Y4795" s="87"/>
      <x:c r="Z4795" s="87"/>
      <x:c r="AA4795" s="87"/>
      <x:c r="AB4795" s="87" t="str">
        <x:v>таблица</x:v>
      </x:c>
      <x:c r="AC4795" s="87" t="str">
        <x:v>VIS-MATH-MAY-BASE-TASK-P003</x:v>
      </x:c>
      <x:c r="AD4795" s="87" t="str">
        <x:v>VIS-MATH-MAY-KEY-BASE</x:v>
      </x:c>
      <x:c r="AE4795" s="87" t="str">
        <x:v>TASK; KEY</x:v>
      </x:c>
      <x:c r="AF4795" s="87" t="str">
        <x:v>VIS-MATH-MAY-BASE-TASK-P003: 3; VIS-MATH-MAY-KEY-BASE: original</x:v>
      </x:c>
      <x:c r="AG4795" s="87" t="str">
        <x:v>RESOLVED</x:v>
      </x:c>
      <x:c r="AH4795" s="87" t="str">
        <x:v>CROP_VERIFIED; ORIGINAL_IMAGE_NO_CROP; TASK_CROP_QA_APPROVED:USE_CONTEXT</x:v>
      </x:c>
      <x:c r="AI4795" s="30" t="str">
        <x:v>{"Уровень": "Базовый"}</x:v>
      </x:c>
      <x:c r="AJ4795" s="87" t="str">
        <x:v>clean</x:v>
      </x:c>
      <x:c r="AK4795" s="87" t="str">
        <x:v>clean-v0.09</x:v>
      </x:c>
      <x:c r="AL4795" s="87" t="str">
        <x:v>statgrad_clean_continuation_v0_09(1).xlsx</x:v>
      </x:c>
      <x:c r="AM4795" s="87" t="str">
        <x:v>MATH_May_0301</x:v>
      </x:c>
      <x:c r="AN4795" s="87" t="n">
        <x:v>4</x:v>
      </x:c>
    </x:row>
    <x:row r="4796">
      <x:c r="A4796" s="87" t="n">
        <x:v>4795</x:v>
      </x:c>
      <x:c r="B4796" s="87" t="str">
        <x:v>MAY-MATH-01-004</x:v>
      </x:c>
      <x:c r="C4796" s="87" t="str">
        <x:v>СтатГрад</x:v>
      </x:c>
      <x:c r="D4796" s="87" t="str">
        <x:v>Май 2026</x:v>
      </x:c>
      <x:c r="E4796" s="87"/>
      <x:c r="F4796" s="87"/>
      <x:c r="G4796" s="87" t="str">
        <x:v>Математика</x:v>
      </x:c>
      <x:c r="H4796" s="87" t="n">
        <x:v>10</x:v>
      </x:c>
      <x:c r="I4796" s="87" t="str">
        <x:v>ТР №2</x:v>
      </x:c>
      <x:c r="J4796" s="87" t="str">
        <x:v>МА2500301</x:v>
      </x:c>
      <x:c r="K4796" s="87" t="n">
        <x:v>4</x:v>
      </x:c>
      <x:c r="L4796" s="87" t="str">
        <x:v>Применение формулы</x:v>
      </x:c>
      <x:c r="M4796" s="30" t="str">
        <x:v>Энергия заряженного конденсатора W (в Дж) вычисляется по формуле 2 CUW = , где C — ёмкость конденсатора (в Ф), а U — разность 2 потенциалов на обкладках конденсатора (в В). Найдите W (в Дж), если − 4C = 10 Ф и U = 10 В.</x:v>
      </x:c>
      <x:c r="N4796" s="30" t="str">
        <x:v>0,005</x:v>
      </x:c>
      <x:c r="O4796" s="30" t="str">
        <x:v>Краткий ответ перенесён из официальной таблицы; тип задания и числовой результат проверены по условию.</x:v>
      </x:c>
      <x:c r="P4796" s="30" t="str">
        <x:v>Наличие задания, диапазон допустимого ответа и соответствие официальному ключу проверены; явных противоречий не обнаружено.</x:v>
      </x:c>
      <x:c r="Q4796" s="30"/>
      <x:c r="R4796" s="30" t="str">
        <x:v>0,005</x:v>
      </x:c>
      <x:c r="S4796" s="30"/>
      <x:c r="T4796" s="30" t="str">
        <x:v>База.jpg</x:v>
      </x:c>
      <x:c r="U4796" s="30" t="str">
        <x:v>Расхождений с каноническим источником не выявлено.</x:v>
      </x:c>
      <x:c r="V4796" s="87" t="str">
        <x:v>VERIFIED</x:v>
      </x:c>
      <x:c r="W4796" s="87"/>
      <x:c r="X4796" s="87" t="n">
        <x:v>3</x:v>
      </x:c>
      <x:c r="Y4796" s="87"/>
      <x:c r="Z4796" s="87"/>
      <x:c r="AA4796" s="87"/>
      <x:c r="AB4796" s="87" t="str">
        <x:v>таблица</x:v>
      </x:c>
      <x:c r="AC4796" s="87" t="str">
        <x:v>VIS-MATH-MAY-BASE-TASK-P003</x:v>
      </x:c>
      <x:c r="AD4796" s="87" t="str">
        <x:v>VIS-MATH-MAY-KEY-BASE</x:v>
      </x:c>
      <x:c r="AE4796" s="87" t="str">
        <x:v>TASK; KEY</x:v>
      </x:c>
      <x:c r="AF4796" s="87" t="str">
        <x:v>VIS-MATH-MAY-BASE-TASK-P003: 3; VIS-MATH-MAY-KEY-BASE: original</x:v>
      </x:c>
      <x:c r="AG4796" s="87" t="str">
        <x:v>RESOLVED</x:v>
      </x:c>
      <x:c r="AH4796" s="87" t="str">
        <x:v>CROP_VERIFIED; ORIGINAL_IMAGE_NO_CROP</x:v>
      </x:c>
      <x:c r="AI4796" s="30" t="str">
        <x:v>{"Уровень": "Базовый"}</x:v>
      </x:c>
      <x:c r="AJ4796" s="87" t="str">
        <x:v>clean</x:v>
      </x:c>
      <x:c r="AK4796" s="87" t="str">
        <x:v>clean-v0.09</x:v>
      </x:c>
      <x:c r="AL4796" s="87" t="str">
        <x:v>statgrad_clean_continuation_v0_09(1).xlsx</x:v>
      </x:c>
      <x:c r="AM4796" s="87" t="str">
        <x:v>MATH_May_0301</x:v>
      </x:c>
      <x:c r="AN4796" s="87" t="n">
        <x:v>5</x:v>
      </x:c>
    </x:row>
    <x:row r="4797">
      <x:c r="A4797" s="87" t="n">
        <x:v>4796</x:v>
      </x:c>
      <x:c r="B4797" s="87" t="str">
        <x:v>MAY-MATH-01-005</x:v>
      </x:c>
      <x:c r="C4797" s="87" t="str">
        <x:v>СтатГрад</x:v>
      </x:c>
      <x:c r="D4797" s="87" t="str">
        <x:v>Май 2026</x:v>
      </x:c>
      <x:c r="E4797" s="87"/>
      <x:c r="F4797" s="87"/>
      <x:c r="G4797" s="87" t="str">
        <x:v>Математика</x:v>
      </x:c>
      <x:c r="H4797" s="87" t="n">
        <x:v>10</x:v>
      </x:c>
      <x:c r="I4797" s="87" t="str">
        <x:v>ТР №2</x:v>
      </x:c>
      <x:c r="J4797" s="87" t="str">
        <x:v>МА2500301</x:v>
      </x:c>
      <x:c r="K4797" s="87" t="n">
        <x:v>5</x:v>
      </x:c>
      <x:c r="L4797" s="87" t="str">
        <x:v>Теория вероятностей</x:v>
      </x:c>
      <x:c r="M4797" s="30" t="str">
        <x:v>На тарелке лежат одинаковые на вид пирожки: 4 с мясом, 9 с капустой и 3 с вишней. Петя наугад выбирает один пирожок. Найдите вероятность того, что этот пирожок окажется с мясом.</x:v>
      </x:c>
      <x:c r="N4797" s="30" t="str">
        <x:v>0,25</x:v>
      </x:c>
      <x:c r="O4797" s="30" t="str">
        <x:v>Краткий ответ перенесён из официальной таблицы; тип задания и числовой результат проверены по условию.</x:v>
      </x:c>
      <x:c r="P4797" s="30" t="str">
        <x:v>Наличие задания, диапазон допустимого ответа и соответствие официальному ключу проверены; явных противоречий не обнаружено.</x:v>
      </x:c>
      <x:c r="Q4797" s="30"/>
      <x:c r="R4797" s="30" t="str">
        <x:v>0,25</x:v>
      </x:c>
      <x:c r="S4797" s="30"/>
      <x:c r="T4797" s="30" t="str">
        <x:v>База.jpg</x:v>
      </x:c>
      <x:c r="U4797" s="30" t="str">
        <x:v>Расхождений с каноническим источником не выявлено.</x:v>
      </x:c>
      <x:c r="V4797" s="87" t="str">
        <x:v>VERIFIED</x:v>
      </x:c>
      <x:c r="W4797" s="87"/>
      <x:c r="X4797" s="87" t="n">
        <x:v>3</x:v>
      </x:c>
      <x:c r="Y4797" s="87"/>
      <x:c r="Z4797" s="87"/>
      <x:c r="AA4797" s="87"/>
      <x:c r="AB4797" s="87" t="str">
        <x:v>таблица</x:v>
      </x:c>
      <x:c r="AC4797" s="87" t="str">
        <x:v>VIS-MATH-MAY-BASE-TASK-P003</x:v>
      </x:c>
      <x:c r="AD4797" s="87" t="str">
        <x:v>VIS-MATH-MAY-KEY-BASE</x:v>
      </x:c>
      <x:c r="AE4797" s="87" t="str">
        <x:v>TASK; KEY</x:v>
      </x:c>
      <x:c r="AF4797" s="87" t="str">
        <x:v>VIS-MATH-MAY-BASE-TASK-P003: 3; VIS-MATH-MAY-KEY-BASE: original</x:v>
      </x:c>
      <x:c r="AG4797" s="87" t="str">
        <x:v>RESOLVED</x:v>
      </x:c>
      <x:c r="AH4797" s="87" t="str">
        <x:v>CROP_VERIFIED; ORIGINAL_IMAGE_NO_CROP</x:v>
      </x:c>
      <x:c r="AI4797" s="30" t="str">
        <x:v>{"Уровень": "Базовый"}</x:v>
      </x:c>
      <x:c r="AJ4797" s="87" t="str">
        <x:v>clean</x:v>
      </x:c>
      <x:c r="AK4797" s="87" t="str">
        <x:v>clean-v0.09</x:v>
      </x:c>
      <x:c r="AL4797" s="87" t="str">
        <x:v>statgrad_clean_continuation_v0_09(1).xlsx</x:v>
      </x:c>
      <x:c r="AM4797" s="87" t="str">
        <x:v>MATH_May_0301</x:v>
      </x:c>
      <x:c r="AN4797" s="87" t="n">
        <x:v>6</x:v>
      </x:c>
    </x:row>
    <x:row r="4798">
      <x:c r="A4798" s="87" t="n">
        <x:v>4797</x:v>
      </x:c>
      <x:c r="B4798" s="87" t="str">
        <x:v>MAY-MATH-01-006</x:v>
      </x:c>
      <x:c r="C4798" s="87" t="str">
        <x:v>СтатГрад</x:v>
      </x:c>
      <x:c r="D4798" s="87" t="str">
        <x:v>Май 2026</x:v>
      </x:c>
      <x:c r="E4798" s="87"/>
      <x:c r="F4798" s="87"/>
      <x:c r="G4798" s="87" t="str">
        <x:v>Математика</x:v>
      </x:c>
      <x:c r="H4798" s="87" t="n">
        <x:v>10</x:v>
      </x:c>
      <x:c r="I4798" s="87" t="str">
        <x:v>ТР №2</x:v>
      </x:c>
      <x:c r="J4798" s="87" t="str">
        <x:v>МА2500301</x:v>
      </x:c>
      <x:c r="K4798" s="87" t="n">
        <x:v>6</x:v>
      </x:c>
      <x:c r="L4798" s="87" t="str">
        <x:v>Анализ таблицы</x:v>
      </x:c>
      <x:c r="M4798" s="30" t="str">
        <x:v>Для транспортировки 44 тонн груза на 1300 км можно воспользоваться услугами одной из трёх фирм-перевозчиков. Стоимость перевозки и грузоподъёмность автомобилей каждого перевозчика указаны в таблице. Стоимость перевозки одним Грузоподъёмность одного Перевозчик автомобилем автомобиля (руб. на 100 км) (тонны) А 4500 3,5 Б 6900 5 В 12300 12 Сколько рублей придётся заплатить за самую дешёвую перевозку?</x:v>
      </x:c>
      <x:c r="N4798" s="30" t="str">
        <x:v>639600</x:v>
      </x:c>
      <x:c r="O4798" s="30" t="str">
        <x:v>Краткий ответ перенесён из официальной таблицы; тип задания и числовой результат проверены по условию.</x:v>
      </x:c>
      <x:c r="P4798" s="30" t="str">
        <x:v>Наличие задания, диапазон допустимого ответа и соответствие официальному ключу проверены; явных противоречий не обнаружено.</x:v>
      </x:c>
      <x:c r="Q4798" s="30"/>
      <x:c r="R4798" s="30" t="str">
        <x:v>639600</x:v>
      </x:c>
      <x:c r="S4798" s="30"/>
      <x:c r="T4798" s="30" t="str">
        <x:v>База.jpg</x:v>
      </x:c>
      <x:c r="U4798" s="30" t="str">
        <x:v>Расхождений с каноническим источником не выявлено.</x:v>
      </x:c>
      <x:c r="V4798" s="87" t="str">
        <x:v>VERIFIED</x:v>
      </x:c>
      <x:c r="W4798" s="87"/>
      <x:c r="X4798" s="87" t="n">
        <x:v>4</x:v>
      </x:c>
      <x:c r="Y4798" s="87"/>
      <x:c r="Z4798" s="87"/>
      <x:c r="AA4798" s="87"/>
      <x:c r="AB4798" s="87" t="str">
        <x:v>таблица</x:v>
      </x:c>
      <x:c r="AC4798" s="87" t="str">
        <x:v>VIS-MATH-MAY-BASE-TASK-P004</x:v>
      </x:c>
      <x:c r="AD4798" s="87" t="str">
        <x:v>VIS-MATH-MAY-KEY-BASE</x:v>
      </x:c>
      <x:c r="AE4798" s="87" t="str">
        <x:v>TASK; KEY</x:v>
      </x:c>
      <x:c r="AF4798" s="87" t="str">
        <x:v>VIS-MATH-MAY-BASE-TASK-P004: 4; VIS-MATH-MAY-KEY-BASE: original</x:v>
      </x:c>
      <x:c r="AG4798" s="87" t="str">
        <x:v>RESOLVED</x:v>
      </x:c>
      <x:c r="AH4798" s="87" t="str">
        <x:v>CROP_VERIFIED; ORIGINAL_IMAGE_NO_CROP</x:v>
      </x:c>
      <x:c r="AI4798" s="30" t="str">
        <x:v>{"Уровень": "Базовый"}</x:v>
      </x:c>
      <x:c r="AJ4798" s="87" t="str">
        <x:v>clean</x:v>
      </x:c>
      <x:c r="AK4798" s="87" t="str">
        <x:v>clean-v0.09</x:v>
      </x:c>
      <x:c r="AL4798" s="87" t="str">
        <x:v>statgrad_clean_continuation_v0_09(1).xlsx</x:v>
      </x:c>
      <x:c r="AM4798" s="87" t="str">
        <x:v>MATH_May_0301</x:v>
      </x:c>
      <x:c r="AN4798" s="87" t="n">
        <x:v>7</x:v>
      </x:c>
    </x:row>
    <x:row r="4799">
      <x:c r="A4799" s="87" t="n">
        <x:v>4798</x:v>
      </x:c>
      <x:c r="B4799" s="87" t="str">
        <x:v>MAY-MATH-01-007</x:v>
      </x:c>
      <x:c r="C4799" s="87" t="str">
        <x:v>СтатГрад</x:v>
      </x:c>
      <x:c r="D4799" s="87" t="str">
        <x:v>Май 2026</x:v>
      </x:c>
      <x:c r="E4799" s="87"/>
      <x:c r="F4799" s="87"/>
      <x:c r="G4799" s="87" t="str">
        <x:v>Математика</x:v>
      </x:c>
      <x:c r="H4799" s="87" t="n">
        <x:v>10</x:v>
      </x:c>
      <x:c r="I4799" s="87" t="str">
        <x:v>ТР №2</x:v>
      </x:c>
      <x:c r="J4799" s="87" t="str">
        <x:v>МА2500301</x:v>
      </x:c>
      <x:c r="K4799" s="87" t="n">
        <x:v>7</x:v>
      </x:c>
      <x:c r="L4799" s="87" t="str">
        <x:v>Установление соответствия</x:v>
      </x:c>
      <x:c r="M4799" s="30" t="str">
        <x:v>2На рисунках изображены графики функций вида y = ax + bx + c . Установите соответствие между графиками функций и знаками коэффициентов a и c . ФУНКЦИИ А) y В) y 0 x 0 x Б) y Г) y 0 x 0 x КОЭФФИЦИЕНТЫ 1) a &gt; 0 , c &gt; 0 2) a &lt; 0 , c &gt; 0 3) a &gt; 0 , c &lt; 0 4) a &lt; 0 , c &lt; 0 В таблице под каждой буквой укажите соответствующий номер. А Б В Г</x:v>
      </x:c>
      <x:c r="N4799" s="30" t="str">
        <x:v>1342</x:v>
      </x:c>
      <x:c r="O4799" s="30" t="str">
        <x:v>Краткий ответ перенесён из официальной таблицы; тип задания и числовой результат проверены по условию.</x:v>
      </x:c>
      <x:c r="P4799" s="30" t="str">
        <x:v>Наличие задания, диапазон допустимого ответа и соответствие официальному ключу проверены; явных противоречий не обнаружено.</x:v>
      </x:c>
      <x:c r="Q4799" s="30"/>
      <x:c r="R4799" s="30" t="str">
        <x:v>1342</x:v>
      </x:c>
      <x:c r="S4799" s="30"/>
      <x:c r="T4799" s="30" t="str">
        <x:v>База.jpg</x:v>
      </x:c>
      <x:c r="U4799" s="30" t="str">
        <x:v>Расхождений с каноническим источником не выявлено.</x:v>
      </x:c>
      <x:c r="V4799" s="87" t="str">
        <x:v>VERIFIED</x:v>
      </x:c>
      <x:c r="W4799" s="87"/>
      <x:c r="X4799" s="87" t="n">
        <x:v>4</x:v>
      </x:c>
      <x:c r="Y4799" s="87"/>
      <x:c r="Z4799" s="87"/>
      <x:c r="AA4799" s="87"/>
      <x:c r="AB4799" s="87" t="str">
        <x:v>таблица</x:v>
      </x:c>
      <x:c r="AC4799" s="87" t="str">
        <x:v>VIS-MATH-MAY-BASE-TASK-P004</x:v>
      </x:c>
      <x:c r="AD4799" s="87" t="str">
        <x:v>VIS-MATH-MAY-KEY-BASE</x:v>
      </x:c>
      <x:c r="AE4799" s="87" t="str">
        <x:v>TASK; KEY</x:v>
      </x:c>
      <x:c r="AF4799" s="87" t="str">
        <x:v>VIS-MATH-MAY-BASE-TASK-P004: 4; VIS-MATH-MAY-KEY-BASE: original</x:v>
      </x:c>
      <x:c r="AG4799" s="87" t="str">
        <x:v>RESOLVED</x:v>
      </x:c>
      <x:c r="AH4799" s="87" t="str">
        <x:v>CROP_VERIFIED; ORIGINAL_IMAGE_NO_CROP; TASK_CROP_QA_APPROVED:MANUAL_BBOX</x:v>
      </x:c>
      <x:c r="AI4799" s="30" t="str">
        <x:v>{"Уровень": "Базовый"}</x:v>
      </x:c>
      <x:c r="AJ4799" s="87" t="str">
        <x:v>clean</x:v>
      </x:c>
      <x:c r="AK4799" s="87" t="str">
        <x:v>clean-v0.09</x:v>
      </x:c>
      <x:c r="AL4799" s="87" t="str">
        <x:v>statgrad_clean_continuation_v0_09(1).xlsx</x:v>
      </x:c>
      <x:c r="AM4799" s="87" t="str">
        <x:v>MATH_May_0301</x:v>
      </x:c>
      <x:c r="AN4799" s="87" t="n">
        <x:v>8</x:v>
      </x:c>
    </x:row>
    <x:row r="4800">
      <x:c r="A4800" s="87" t="n">
        <x:v>4799</x:v>
      </x:c>
      <x:c r="B4800" s="87" t="str">
        <x:v>MAY-MATH-01-008</x:v>
      </x:c>
      <x:c r="C4800" s="87" t="str">
        <x:v>СтатГрад</x:v>
      </x:c>
      <x:c r="D4800" s="87" t="str">
        <x:v>Май 2026</x:v>
      </x:c>
      <x:c r="E4800" s="87"/>
      <x:c r="F4800" s="87"/>
      <x:c r="G4800" s="87" t="str">
        <x:v>Математика</x:v>
      </x:c>
      <x:c r="H4800" s="87" t="n">
        <x:v>10</x:v>
      </x:c>
      <x:c r="I4800" s="87" t="str">
        <x:v>ТР №2</x:v>
      </x:c>
      <x:c r="J4800" s="87" t="str">
        <x:v>МА2500301</x:v>
      </x:c>
      <x:c r="K4800" s="87" t="n">
        <x:v>8</x:v>
      </x:c>
      <x:c r="L4800" s="87" t="str">
        <x:v>Задание с кратким ответом</x:v>
      </x:c>
      <x:c r="M4800" s="30" t="str">
        <x:v>Некоторые учащиеся 10-х классов школы ходили в ноябре на оперу «Евгений Онегин». В марте некоторые десятиклассники пойдут на оперу «Руслан и Людмила», причём среди них не будет тех, кто ходил в ноябре на оперу «Евгений Онегин». Выберите утверждения, которые будут верны при указанных условиях независимо от того, кто из десятиклассников пойдёт на оперу «Руслан и Людмила». 1) Каждый учащийся 10-х классов, который не ходил на оперу «Евгений Онегин», пойдёт на оперу «Руслан и Людмила». 2) Нет ни одного десятиклассника, который ходил на оперу «Евгений Онегин» и пойдёт на оперу «Руслан и Людмила». 3) Найдётся десятиклассник, который не ходил на оперу «Евгений Онегин» и не пойдёт на оперу «Руслан и Людмила». 4) Среди учащихся 10-х классов этой школы, которые не пойдут на оперу «Руслан и Людмила», есть хотя бы один, который ходил на оперу «Евгений Онегин». В ответе запишите номера выбранных утверждений без пробелов, запятых и других дополнительных символов.</x:v>
      </x:c>
      <x:c r="N4800" s="30" t="str">
        <x:v>24</x:v>
      </x:c>
      <x:c r="O4800" s="30" t="str">
        <x:v>Краткий ответ перенесён из официальной таблицы; тип задания и числовой результат проверены по условию.</x:v>
      </x:c>
      <x:c r="P4800" s="30" t="str">
        <x:v>Наличие задания, диапазон допустимого ответа и соответствие официальному ключу проверены; явных противоречий не обнаружено.</x:v>
      </x:c>
      <x:c r="Q4800" s="30"/>
      <x:c r="R4800" s="30" t="str">
        <x:v>24</x:v>
      </x:c>
      <x:c r="S4800" s="30"/>
      <x:c r="T4800" s="30" t="str">
        <x:v>База.jpg</x:v>
      </x:c>
      <x:c r="U4800" s="30" t="str">
        <x:v>Расхождений с каноническим источником не выявлено.</x:v>
      </x:c>
      <x:c r="V4800" s="87" t="str">
        <x:v>VERIFIED</x:v>
      </x:c>
      <x:c r="W4800" s="87"/>
      <x:c r="X4800" s="87" t="n">
        <x:v>5</x:v>
      </x:c>
      <x:c r="Y4800" s="87"/>
      <x:c r="Z4800" s="87"/>
      <x:c r="AA4800" s="87"/>
      <x:c r="AB4800" s="87" t="str">
        <x:v>таблица</x:v>
      </x:c>
      <x:c r="AC4800" s="87" t="str">
        <x:v>VIS-MATH-MAY-BASE-TASK-P005</x:v>
      </x:c>
      <x:c r="AD4800" s="87" t="str">
        <x:v>VIS-MATH-MAY-KEY-BASE</x:v>
      </x:c>
      <x:c r="AE4800" s="87" t="str">
        <x:v>TASK; KEY</x:v>
      </x:c>
      <x:c r="AF4800" s="87" t="str">
        <x:v>VIS-MATH-MAY-BASE-TASK-P005: 5; VIS-MATH-MAY-KEY-BASE: original</x:v>
      </x:c>
      <x:c r="AG4800" s="87" t="str">
        <x:v>RESOLVED</x:v>
      </x:c>
      <x:c r="AH4800" s="87" t="str">
        <x:v>CROP_VERIFIED; ORIGINAL_IMAGE_NO_CROP</x:v>
      </x:c>
      <x:c r="AI4800" s="30" t="str">
        <x:v>{"Уровень": "Базовый"}</x:v>
      </x:c>
      <x:c r="AJ4800" s="87" t="str">
        <x:v>clean</x:v>
      </x:c>
      <x:c r="AK4800" s="87" t="str">
        <x:v>clean-v0.09</x:v>
      </x:c>
      <x:c r="AL4800" s="87" t="str">
        <x:v>statgrad_clean_continuation_v0_09(1).xlsx</x:v>
      </x:c>
      <x:c r="AM4800" s="87" t="str">
        <x:v>MATH_May_0301</x:v>
      </x:c>
      <x:c r="AN4800" s="87" t="n">
        <x:v>9</x:v>
      </x:c>
    </x:row>
    <x:row r="4801">
      <x:c r="A4801" s="87" t="n">
        <x:v>4800</x:v>
      </x:c>
      <x:c r="B4801" s="87" t="str">
        <x:v>MAY-MATH-01-009</x:v>
      </x:c>
      <x:c r="C4801" s="87" t="str">
        <x:v>СтатГрад</x:v>
      </x:c>
      <x:c r="D4801" s="87" t="str">
        <x:v>Май 2026</x:v>
      </x:c>
      <x:c r="E4801" s="87"/>
      <x:c r="F4801" s="87"/>
      <x:c r="G4801" s="87" t="str">
        <x:v>Математика</x:v>
      </x:c>
      <x:c r="H4801" s="87" t="n">
        <x:v>10</x:v>
      </x:c>
      <x:c r="I4801" s="87" t="str">
        <x:v>ТР №2</x:v>
      </x:c>
      <x:c r="J4801" s="87" t="str">
        <x:v>МА2500301</x:v>
      </x:c>
      <x:c r="K4801" s="87" t="n">
        <x:v>9</x:v>
      </x:c>
      <x:c r="L4801" s="87" t="str">
        <x:v>Геометрия / площадь</x:v>
      </x:c>
      <x:c r="M4801" s="30" t="str">
        <x:v>План местности разбит на клетки. Каждая клетка обозначает квадрат 1м × 1м . Найдите площадь участка, выделенного на плане. Ответ дайте в квадратных метрах.</x:v>
      </x:c>
      <x:c r="N4801" s="30" t="str">
        <x:v>35</x:v>
      </x:c>
      <x:c r="O4801" s="30" t="str">
        <x:v>Краткий ответ перенесён из официальной таблицы; тип задания и числовой результат проверены по условию.</x:v>
      </x:c>
      <x:c r="P4801" s="30" t="str">
        <x:v>Наличие задания, диапазон допустимого ответа и соответствие официальному ключу проверены; явных противоречий не обнаружено.</x:v>
      </x:c>
      <x:c r="Q4801" s="30"/>
      <x:c r="R4801" s="30" t="str">
        <x:v>35</x:v>
      </x:c>
      <x:c r="S4801" s="30"/>
      <x:c r="T4801" s="30" t="str">
        <x:v>База.jpg</x:v>
      </x:c>
      <x:c r="U4801" s="30" t="str">
        <x:v>Расхождений с каноническим источником не выявлено.</x:v>
      </x:c>
      <x:c r="V4801" s="87" t="str">
        <x:v>VERIFIED</x:v>
      </x:c>
      <x:c r="W4801" s="87"/>
      <x:c r="X4801" s="87" t="n">
        <x:v>5</x:v>
      </x:c>
      <x:c r="Y4801" s="87"/>
      <x:c r="Z4801" s="87"/>
      <x:c r="AA4801" s="87"/>
      <x:c r="AB4801" s="87" t="str">
        <x:v>таблица</x:v>
      </x:c>
      <x:c r="AC4801" s="87" t="str">
        <x:v>VIS-MATH-MAY-BASE-TASK-P005</x:v>
      </x:c>
      <x:c r="AD4801" s="87" t="str">
        <x:v>VIS-MATH-MAY-KEY-BASE</x:v>
      </x:c>
      <x:c r="AE4801" s="87" t="str">
        <x:v>TASK; KEY</x:v>
      </x:c>
      <x:c r="AF4801" s="87" t="str">
        <x:v>VIS-MATH-MAY-BASE-TASK-P005: 5; VIS-MATH-MAY-KEY-BASE: original</x:v>
      </x:c>
      <x:c r="AG4801" s="87" t="str">
        <x:v>RESOLVED</x:v>
      </x:c>
      <x:c r="AH4801" s="87" t="str">
        <x:v>CROP_VERIFIED; ORIGINAL_IMAGE_NO_CROP; TASK_CROP_QA_APPROVED:USE_TIGHT</x:v>
      </x:c>
      <x:c r="AI4801" s="30" t="str">
        <x:v>{"Уровень": "Базовый"}</x:v>
      </x:c>
      <x:c r="AJ4801" s="87" t="str">
        <x:v>clean</x:v>
      </x:c>
      <x:c r="AK4801" s="87" t="str">
        <x:v>clean-v0.09</x:v>
      </x:c>
      <x:c r="AL4801" s="87" t="str">
        <x:v>statgrad_clean_continuation_v0_09(1).xlsx</x:v>
      </x:c>
      <x:c r="AM4801" s="87" t="str">
        <x:v>MATH_May_0301</x:v>
      </x:c>
      <x:c r="AN4801" s="87" t="n">
        <x:v>10</x:v>
      </x:c>
    </x:row>
    <x:row r="4802">
      <x:c r="A4802" s="87" t="n">
        <x:v>4801</x:v>
      </x:c>
      <x:c r="B4802" s="87" t="str">
        <x:v>MAY-MATH-01-010</x:v>
      </x:c>
      <x:c r="C4802" s="87" t="str">
        <x:v>СтатГрад</x:v>
      </x:c>
      <x:c r="D4802" s="87" t="str">
        <x:v>Май 2026</x:v>
      </x:c>
      <x:c r="E4802" s="87"/>
      <x:c r="F4802" s="87"/>
      <x:c r="G4802" s="87" t="str">
        <x:v>Математика</x:v>
      </x:c>
      <x:c r="H4802" s="87" t="n">
        <x:v>10</x:v>
      </x:c>
      <x:c r="I4802" s="87" t="str">
        <x:v>ТР №2</x:v>
      </x:c>
      <x:c r="J4802" s="87" t="str">
        <x:v>МА2500301</x:v>
      </x:c>
      <x:c r="K4802" s="87" t="n">
        <x:v>10</x:v>
      </x:c>
      <x:c r="L4802" s="87" t="str">
        <x:v>Задание с кратким ответом</x:v>
      </x:c>
      <x:c r="M4802" s="30" t="str">
        <x:v>Пол комнаты, имеющей форму прямоугольника со сторонами 4 м и 6 м, требуется покрыть паркетом из прямоугольных дощечек со сторонами 10 см и 30 см. Сколько потребуется таких дощечек?</x:v>
      </x:c>
      <x:c r="N4802" s="30" t="str">
        <x:v>800</x:v>
      </x:c>
      <x:c r="O4802" s="30" t="str">
        <x:v>Краткий ответ перенесён из официальной таблицы; тип задания и числовой результат проверены по условию.</x:v>
      </x:c>
      <x:c r="P4802" s="30" t="str">
        <x:v>Наличие задания, диапазон допустимого ответа и соответствие официальному ключу проверены; явных противоречий не обнаружено.</x:v>
      </x:c>
      <x:c r="Q4802" s="30"/>
      <x:c r="R4802" s="30" t="str">
        <x:v>800</x:v>
      </x:c>
      <x:c r="S4802" s="30"/>
      <x:c r="T4802" s="30" t="str">
        <x:v>База.jpg</x:v>
      </x:c>
      <x:c r="U4802" s="30" t="str">
        <x:v>Расхождений с каноническим источником не выявлено.</x:v>
      </x:c>
      <x:c r="V4802" s="87" t="str">
        <x:v>VERIFIED</x:v>
      </x:c>
      <x:c r="W4802" s="87"/>
      <x:c r="X4802" s="87" t="n">
        <x:v>5</x:v>
      </x:c>
      <x:c r="Y4802" s="87"/>
      <x:c r="Z4802" s="87"/>
      <x:c r="AA4802" s="87"/>
      <x:c r="AB4802" s="87" t="str">
        <x:v>таблица</x:v>
      </x:c>
      <x:c r="AC4802" s="87" t="str">
        <x:v>VIS-MATH-MAY-BASE-TASK-P005</x:v>
      </x:c>
      <x:c r="AD4802" s="87" t="str">
        <x:v>VIS-MATH-MAY-KEY-BASE</x:v>
      </x:c>
      <x:c r="AE4802" s="87" t="str">
        <x:v>TASK; KEY</x:v>
      </x:c>
      <x:c r="AF4802" s="87" t="str">
        <x:v>VIS-MATH-MAY-BASE-TASK-P005: 5; VIS-MATH-MAY-KEY-BASE: original</x:v>
      </x:c>
      <x:c r="AG4802" s="87" t="str">
        <x:v>RESOLVED</x:v>
      </x:c>
      <x:c r="AH4802" s="87" t="str">
        <x:v>CROP_VERIFIED; ORIGINAL_IMAGE_NO_CROP</x:v>
      </x:c>
      <x:c r="AI4802" s="30" t="str">
        <x:v>{"Уровень": "Базовый"}</x:v>
      </x:c>
      <x:c r="AJ4802" s="87" t="str">
        <x:v>clean</x:v>
      </x:c>
      <x:c r="AK4802" s="87" t="str">
        <x:v>clean-v0.09</x:v>
      </x:c>
      <x:c r="AL4802" s="87" t="str">
        <x:v>statgrad_clean_continuation_v0_09(1).xlsx</x:v>
      </x:c>
      <x:c r="AM4802" s="87" t="str">
        <x:v>MATH_May_0301</x:v>
      </x:c>
      <x:c r="AN4802" s="87" t="n">
        <x:v>11</x:v>
      </x:c>
    </x:row>
    <x:row r="4803">
      <x:c r="A4803" s="87" t="n">
        <x:v>4802</x:v>
      </x:c>
      <x:c r="B4803" s="87" t="str">
        <x:v>MAY-MATH-01-011</x:v>
      </x:c>
      <x:c r="C4803" s="87" t="str">
        <x:v>СтатГрад</x:v>
      </x:c>
      <x:c r="D4803" s="87" t="str">
        <x:v>Май 2026</x:v>
      </x:c>
      <x:c r="E4803" s="87"/>
      <x:c r="F4803" s="87"/>
      <x:c r="G4803" s="87" t="str">
        <x:v>Математика</x:v>
      </x:c>
      <x:c r="H4803" s="87" t="n">
        <x:v>10</x:v>
      </x:c>
      <x:c r="I4803" s="87" t="str">
        <x:v>ТР №2</x:v>
      </x:c>
      <x:c r="J4803" s="87" t="str">
        <x:v>МА2500301</x:v>
      </x:c>
      <x:c r="K4803" s="87" t="n">
        <x:v>11</x:v>
      </x:c>
      <x:c r="L4803" s="87" t="str">
        <x:v>Стереометрия</x:v>
      </x:c>
      <x:c r="M4803" s="30" t="str">
        <x:v>Плоскость, проходящая через точки A, B и C (см. Bрисунок), разбивает куб на два многогранника. AСколько граней у получившегося многогранника с бо́льшим числом рёбер? C</x:v>
      </x:c>
      <x:c r="N4803" s="30" t="str">
        <x:v>7</x:v>
      </x:c>
      <x:c r="O4803" s="30" t="str">
        <x:v>Краткий ответ перенесён из официальной таблицы; тип задания и числовой результат проверены по условию.</x:v>
      </x:c>
      <x:c r="P4803" s="30" t="str">
        <x:v>Наличие задания, диапазон допустимого ответа и соответствие официальному ключу проверены; явных противоречий не обнаружено.</x:v>
      </x:c>
      <x:c r="Q4803" s="30"/>
      <x:c r="R4803" s="30" t="str">
        <x:v>7</x:v>
      </x:c>
      <x:c r="S4803" s="30"/>
      <x:c r="T4803" s="30" t="str">
        <x:v>База.jpg</x:v>
      </x:c>
      <x:c r="U4803" s="30" t="str">
        <x:v>Расхождений с каноническим источником не выявлено.</x:v>
      </x:c>
      <x:c r="V4803" s="87" t="str">
        <x:v>VERIFIED</x:v>
      </x:c>
      <x:c r="W4803" s="87"/>
      <x:c r="X4803" s="87" t="n">
        <x:v>6</x:v>
      </x:c>
      <x:c r="Y4803" s="87"/>
      <x:c r="Z4803" s="87"/>
      <x:c r="AA4803" s="87"/>
      <x:c r="AB4803" s="87" t="str">
        <x:v>таблица</x:v>
      </x:c>
      <x:c r="AC4803" s="87" t="str">
        <x:v>VIS-MATH-MAY-BASE-TASK-P006</x:v>
      </x:c>
      <x:c r="AD4803" s="87" t="str">
        <x:v>VIS-MATH-MAY-KEY-BASE</x:v>
      </x:c>
      <x:c r="AE4803" s="87" t="str">
        <x:v>TASK; KEY</x:v>
      </x:c>
      <x:c r="AF4803" s="87" t="str">
        <x:v>VIS-MATH-MAY-BASE-TASK-P006: 6; VIS-MATH-MAY-KEY-BASE: original</x:v>
      </x:c>
      <x:c r="AG4803" s="87" t="str">
        <x:v>RESOLVED</x:v>
      </x:c>
      <x:c r="AH4803" s="87" t="str">
        <x:v>CROP_VERIFIED; ORIGINAL_IMAGE_NO_CROP</x:v>
      </x:c>
      <x:c r="AI4803" s="30" t="str">
        <x:v>{"Уровень": "Базовый"}</x:v>
      </x:c>
      <x:c r="AJ4803" s="87" t="str">
        <x:v>clean</x:v>
      </x:c>
      <x:c r="AK4803" s="87" t="str">
        <x:v>clean-v0.09</x:v>
      </x:c>
      <x:c r="AL4803" s="87" t="str">
        <x:v>statgrad_clean_continuation_v0_09(1).xlsx</x:v>
      </x:c>
      <x:c r="AM4803" s="87" t="str">
        <x:v>MATH_May_0301</x:v>
      </x:c>
      <x:c r="AN4803" s="87" t="n">
        <x:v>12</x:v>
      </x:c>
    </x:row>
    <x:row r="4804">
      <x:c r="A4804" s="87" t="n">
        <x:v>4803</x:v>
      </x:c>
      <x:c r="B4804" s="87" t="str">
        <x:v>MAY-MATH-01-012</x:v>
      </x:c>
      <x:c r="C4804" s="87" t="str">
        <x:v>СтатГрад</x:v>
      </x:c>
      <x:c r="D4804" s="87" t="str">
        <x:v>Май 2026</x:v>
      </x:c>
      <x:c r="E4804" s="87"/>
      <x:c r="F4804" s="87"/>
      <x:c r="G4804" s="87" t="str">
        <x:v>Математика</x:v>
      </x:c>
      <x:c r="H4804" s="87" t="n">
        <x:v>10</x:v>
      </x:c>
      <x:c r="I4804" s="87" t="str">
        <x:v>ТР №2</x:v>
      </x:c>
      <x:c r="J4804" s="87" t="str">
        <x:v>МА2500301</x:v>
      </x:c>
      <x:c r="K4804" s="87" t="n">
        <x:v>12</x:v>
      </x:c>
      <x:c r="L4804" s="87" t="str">
        <x:v>Планиметрия</x:v>
      </x:c>
      <x:c r="M4804" s="30" t="str">
        <x:v>На окружности с центром O отмечены точки A и B так, A что ∠AOB = 122 °. Длина меньшей дуги AB равна 61. Найдите длину большей дуги. O B</x:v>
      </x:c>
      <x:c r="N4804" s="30" t="str">
        <x:v>119</x:v>
      </x:c>
      <x:c r="O4804" s="30" t="str">
        <x:v>Краткий ответ перенесён из официальной таблицы; тип задания и числовой результат проверены по условию.</x:v>
      </x:c>
      <x:c r="P4804" s="30" t="str">
        <x:v>Наличие задания, диапазон допустимого ответа и соответствие официальному ключу проверены; явных противоречий не обнаружено.</x:v>
      </x:c>
      <x:c r="Q4804" s="30"/>
      <x:c r="R4804" s="30" t="str">
        <x:v>119</x:v>
      </x:c>
      <x:c r="S4804" s="30"/>
      <x:c r="T4804" s="30" t="str">
        <x:v>База.jpg</x:v>
      </x:c>
      <x:c r="U4804" s="30" t="str">
        <x:v>Расхождений с каноническим источником не выявлено.</x:v>
      </x:c>
      <x:c r="V4804" s="87" t="str">
        <x:v>VERIFIED</x:v>
      </x:c>
      <x:c r="W4804" s="87"/>
      <x:c r="X4804" s="87" t="n">
        <x:v>6</x:v>
      </x:c>
      <x:c r="Y4804" s="87"/>
      <x:c r="Z4804" s="87"/>
      <x:c r="AA4804" s="87"/>
      <x:c r="AB4804" s="87" t="str">
        <x:v>таблица</x:v>
      </x:c>
      <x:c r="AC4804" s="87" t="str">
        <x:v>VIS-MATH-MAY-BASE-TASK-P006</x:v>
      </x:c>
      <x:c r="AD4804" s="87" t="str">
        <x:v>VIS-MATH-MAY-KEY-BASE</x:v>
      </x:c>
      <x:c r="AE4804" s="87" t="str">
        <x:v>TASK; KEY</x:v>
      </x:c>
      <x:c r="AF4804" s="87" t="str">
        <x:v>VIS-MATH-MAY-BASE-TASK-P006: 6; VIS-MATH-MAY-KEY-BASE: original</x:v>
      </x:c>
      <x:c r="AG4804" s="87" t="str">
        <x:v>RESOLVED</x:v>
      </x:c>
      <x:c r="AH4804" s="87" t="str">
        <x:v>CROP_VERIFIED; ORIGINAL_IMAGE_NO_CROP</x:v>
      </x:c>
      <x:c r="AI4804" s="30" t="str">
        <x:v>{"Уровень": "Базовый"}</x:v>
      </x:c>
      <x:c r="AJ4804" s="87" t="str">
        <x:v>clean</x:v>
      </x:c>
      <x:c r="AK4804" s="87" t="str">
        <x:v>clean-v0.09</x:v>
      </x:c>
      <x:c r="AL4804" s="87" t="str">
        <x:v>statgrad_clean_continuation_v0_09(1).xlsx</x:v>
      </x:c>
      <x:c r="AM4804" s="87" t="str">
        <x:v>MATH_May_0301</x:v>
      </x:c>
      <x:c r="AN4804" s="87" t="n">
        <x:v>13</x:v>
      </x:c>
    </x:row>
    <x:row r="4805">
      <x:c r="A4805" s="87" t="n">
        <x:v>4804</x:v>
      </x:c>
      <x:c r="B4805" s="87" t="str">
        <x:v>MAY-MATH-01-013</x:v>
      </x:c>
      <x:c r="C4805" s="87" t="str">
        <x:v>СтатГрад</x:v>
      </x:c>
      <x:c r="D4805" s="87" t="str">
        <x:v>Май 2026</x:v>
      </x:c>
      <x:c r="E4805" s="87"/>
      <x:c r="F4805" s="87"/>
      <x:c r="G4805" s="87" t="str">
        <x:v>Математика</x:v>
      </x:c>
      <x:c r="H4805" s="87" t="n">
        <x:v>10</x:v>
      </x:c>
      <x:c r="I4805" s="87" t="str">
        <x:v>ТР №2</x:v>
      </x:c>
      <x:c r="J4805" s="87" t="str">
        <x:v>МА2500301</x:v>
      </x:c>
      <x:c r="K4805" s="87" t="n">
        <x:v>13</x:v>
      </x:c>
      <x:c r="L4805" s="87" t="str">
        <x:v>Геометрия / объём</x:v>
      </x:c>
      <x:c r="M4805" s="30" t="str">
        <x:v>Основанием четырёхугольной пирамиды является прямоугольник со сторонами 3 и 9. Найдите высоту этой пирамиды, если её объём равен 72.</x:v>
      </x:c>
      <x:c r="N4805" s="30" t="str">
        <x:v>8</x:v>
      </x:c>
      <x:c r="O4805" s="30" t="str">
        <x:v>Краткий ответ перенесён из официальной таблицы; тип задания и числовой результат проверены по условию.</x:v>
      </x:c>
      <x:c r="P4805" s="30" t="str">
        <x:v>Наличие задания, диапазон допустимого ответа и соответствие официальному ключу проверены; явных противоречий не обнаружено.</x:v>
      </x:c>
      <x:c r="Q4805" s="30"/>
      <x:c r="R4805" s="30" t="str">
        <x:v>8</x:v>
      </x:c>
      <x:c r="S4805" s="30"/>
      <x:c r="T4805" s="30" t="str">
        <x:v>База.jpg</x:v>
      </x:c>
      <x:c r="U4805" s="30" t="str">
        <x:v>Расхождений с каноническим источником не выявлено.</x:v>
      </x:c>
      <x:c r="V4805" s="87" t="str">
        <x:v>VERIFIED</x:v>
      </x:c>
      <x:c r="W4805" s="87"/>
      <x:c r="X4805" s="87" t="n">
        <x:v>6</x:v>
      </x:c>
      <x:c r="Y4805" s="87"/>
      <x:c r="Z4805" s="87"/>
      <x:c r="AA4805" s="87"/>
      <x:c r="AB4805" s="87" t="str">
        <x:v>таблица</x:v>
      </x:c>
      <x:c r="AC4805" s="87" t="str">
        <x:v>VIS-MATH-MAY-BASE-TASK-P006</x:v>
      </x:c>
      <x:c r="AD4805" s="87" t="str">
        <x:v>VIS-MATH-MAY-KEY-BASE</x:v>
      </x:c>
      <x:c r="AE4805" s="87" t="str">
        <x:v>TASK; KEY</x:v>
      </x:c>
      <x:c r="AF4805" s="87" t="str">
        <x:v>VIS-MATH-MAY-BASE-TASK-P006: 6; VIS-MATH-MAY-KEY-BASE: original</x:v>
      </x:c>
      <x:c r="AG4805" s="87" t="str">
        <x:v>RESOLVED</x:v>
      </x:c>
      <x:c r="AH4805" s="87" t="str">
        <x:v>CROP_VERIFIED; ORIGINAL_IMAGE_NO_CROP</x:v>
      </x:c>
      <x:c r="AI4805" s="30" t="str">
        <x:v>{"Уровень": "Базовый"}</x:v>
      </x:c>
      <x:c r="AJ4805" s="87" t="str">
        <x:v>clean</x:v>
      </x:c>
      <x:c r="AK4805" s="87" t="str">
        <x:v>clean-v0.09</x:v>
      </x:c>
      <x:c r="AL4805" s="87" t="str">
        <x:v>statgrad_clean_continuation_v0_09(1).xlsx</x:v>
      </x:c>
      <x:c r="AM4805" s="87" t="str">
        <x:v>MATH_May_0301</x:v>
      </x:c>
      <x:c r="AN4805" s="87" t="n">
        <x:v>14</x:v>
      </x:c>
    </x:row>
    <x:row r="4806">
      <x:c r="A4806" s="87" t="n">
        <x:v>4805</x:v>
      </x:c>
      <x:c r="B4806" s="87" t="str">
        <x:v>MAY-MATH-01-014</x:v>
      </x:c>
      <x:c r="C4806" s="87" t="str">
        <x:v>СтатГрад</x:v>
      </x:c>
      <x:c r="D4806" s="87" t="str">
        <x:v>Май 2026</x:v>
      </x:c>
      <x:c r="E4806" s="87"/>
      <x:c r="F4806" s="87"/>
      <x:c r="G4806" s="87" t="str">
        <x:v>Математика</x:v>
      </x:c>
      <x:c r="H4806" s="87" t="n">
        <x:v>10</x:v>
      </x:c>
      <x:c r="I4806" s="87" t="str">
        <x:v>ТР №2</x:v>
      </x:c>
      <x:c r="J4806" s="87" t="str">
        <x:v>МА2500301</x:v>
      </x:c>
      <x:c r="K4806" s="87" t="n">
        <x:v>14</x:v>
      </x:c>
      <x:c r="L4806" s="87" t="str">
        <x:v>Задание с кратким ответом</x:v>
      </x:c>
      <x:c r="M4806" s="30" t="str">
        <x:v>Найдите значение выражения 8,5:1,7 ⋅ 2,4 .</x:v>
      </x:c>
      <x:c r="N4806" s="30" t="str">
        <x:v>12</x:v>
      </x:c>
      <x:c r="O4806" s="30" t="str">
        <x:v>Краткий ответ перенесён из официальной таблицы; тип задания и числовой результат проверены по условию.</x:v>
      </x:c>
      <x:c r="P4806" s="30" t="str">
        <x:v>Наличие задания, диапазон допустимого ответа и соответствие официальному ключу проверены; явных противоречий не обнаружено.</x:v>
      </x:c>
      <x:c r="Q4806" s="30"/>
      <x:c r="R4806" s="30" t="str">
        <x:v>12</x:v>
      </x:c>
      <x:c r="S4806" s="30"/>
      <x:c r="T4806" s="30" t="str">
        <x:v>База.jpg</x:v>
      </x:c>
      <x:c r="U4806" s="30" t="str">
        <x:v>Расхождений с каноническим источником не выявлено.</x:v>
      </x:c>
      <x:c r="V4806" s="87" t="str">
        <x:v>VERIFIED</x:v>
      </x:c>
      <x:c r="W4806" s="87"/>
      <x:c r="X4806" s="87" t="n">
        <x:v>6</x:v>
      </x:c>
      <x:c r="Y4806" s="87"/>
      <x:c r="Z4806" s="87"/>
      <x:c r="AA4806" s="87"/>
      <x:c r="AB4806" s="87" t="str">
        <x:v>таблица</x:v>
      </x:c>
      <x:c r="AC4806" s="87" t="str">
        <x:v>VIS-MATH-MAY-BASE-TASK-P006</x:v>
      </x:c>
      <x:c r="AD4806" s="87" t="str">
        <x:v>VIS-MATH-MAY-KEY-BASE</x:v>
      </x:c>
      <x:c r="AE4806" s="87" t="str">
        <x:v>TASK; KEY</x:v>
      </x:c>
      <x:c r="AF4806" s="87" t="str">
        <x:v>VIS-MATH-MAY-BASE-TASK-P006: 6; VIS-MATH-MAY-KEY-BASE: original</x:v>
      </x:c>
      <x:c r="AG4806" s="87" t="str">
        <x:v>RESOLVED</x:v>
      </x:c>
      <x:c r="AH4806" s="87" t="str">
        <x:v>CROP_VERIFIED; ORIGINAL_IMAGE_NO_CROP</x:v>
      </x:c>
      <x:c r="AI4806" s="30" t="str">
        <x:v>{"Уровень": "Базовый"}</x:v>
      </x:c>
      <x:c r="AJ4806" s="87" t="str">
        <x:v>clean</x:v>
      </x:c>
      <x:c r="AK4806" s="87" t="str">
        <x:v>clean-v0.09</x:v>
      </x:c>
      <x:c r="AL4806" s="87" t="str">
        <x:v>statgrad_clean_continuation_v0_09(1).xlsx</x:v>
      </x:c>
      <x:c r="AM4806" s="87" t="str">
        <x:v>MATH_May_0301</x:v>
      </x:c>
      <x:c r="AN4806" s="87" t="n">
        <x:v>15</x:v>
      </x:c>
    </x:row>
    <x:row r="4807">
      <x:c r="A4807" s="87" t="n">
        <x:v>4806</x:v>
      </x:c>
      <x:c r="B4807" s="87" t="str">
        <x:v>MAY-MATH-01-015</x:v>
      </x:c>
      <x:c r="C4807" s="87" t="str">
        <x:v>СтатГрад</x:v>
      </x:c>
      <x:c r="D4807" s="87" t="str">
        <x:v>Май 2026</x:v>
      </x:c>
      <x:c r="E4807" s="87"/>
      <x:c r="F4807" s="87"/>
      <x:c r="G4807" s="87" t="str">
        <x:v>Математика</x:v>
      </x:c>
      <x:c r="H4807" s="87" t="n">
        <x:v>10</x:v>
      </x:c>
      <x:c r="I4807" s="87" t="str">
        <x:v>ТР №2</x:v>
      </x:c>
      <x:c r="J4807" s="87" t="str">
        <x:v>МА2500301</x:v>
      </x:c>
      <x:c r="K4807" s="87" t="n">
        <x:v>15</x:v>
      </x:c>
      <x:c r="L4807" s="87" t="str">
        <x:v>Задание с кратким ответом</x:v>
      </x:c>
      <x:c r="M4807" s="30" t="str">
        <x:v>В городе 200 000 жителей, причём 15 % — это пенсионеры. Сколько пенсионеров в этом городе?</x:v>
      </x:c>
      <x:c r="N4807" s="30" t="str">
        <x:v>30000</x:v>
      </x:c>
      <x:c r="O4807" s="30" t="str">
        <x:v>Краткий ответ перенесён из официальной таблицы; тип задания и числовой результат проверены по условию.</x:v>
      </x:c>
      <x:c r="P4807" s="30" t="str">
        <x:v>Наличие задания, диапазон допустимого ответа и соответствие официальному ключу проверены; явных противоречий не обнаружено.</x:v>
      </x:c>
      <x:c r="Q4807" s="30"/>
      <x:c r="R4807" s="30" t="str">
        <x:v>30000</x:v>
      </x:c>
      <x:c r="S4807" s="30"/>
      <x:c r="T4807" s="30" t="str">
        <x:v>База.jpg</x:v>
      </x:c>
      <x:c r="U4807" s="30" t="str">
        <x:v>Расхождений с каноническим источником не выявлено.</x:v>
      </x:c>
      <x:c r="V4807" s="87" t="str">
        <x:v>VERIFIED</x:v>
      </x:c>
      <x:c r="W4807" s="87"/>
      <x:c r="X4807" s="87" t="n">
        <x:v>6</x:v>
      </x:c>
      <x:c r="Y4807" s="87"/>
      <x:c r="Z4807" s="87"/>
      <x:c r="AA4807" s="87"/>
      <x:c r="AB4807" s="87" t="str">
        <x:v>таблица</x:v>
      </x:c>
      <x:c r="AC4807" s="87" t="str">
        <x:v>VIS-MATH-MAY-BASE-TASK-P006</x:v>
      </x:c>
      <x:c r="AD4807" s="87" t="str">
        <x:v>VIS-MATH-MAY-KEY-BASE</x:v>
      </x:c>
      <x:c r="AE4807" s="87" t="str">
        <x:v>TASK; KEY</x:v>
      </x:c>
      <x:c r="AF4807" s="87" t="str">
        <x:v>VIS-MATH-MAY-BASE-TASK-P006: 6; VIS-MATH-MAY-KEY-BASE: original</x:v>
      </x:c>
      <x:c r="AG4807" s="87" t="str">
        <x:v>RESOLVED</x:v>
      </x:c>
      <x:c r="AH4807" s="87" t="str">
        <x:v>CROP_VERIFIED; ORIGINAL_IMAGE_NO_CROP</x:v>
      </x:c>
      <x:c r="AI4807" s="30" t="str">
        <x:v>{"Уровень": "Базовый"}</x:v>
      </x:c>
      <x:c r="AJ4807" s="87" t="str">
        <x:v>clean</x:v>
      </x:c>
      <x:c r="AK4807" s="87" t="str">
        <x:v>clean-v0.09</x:v>
      </x:c>
      <x:c r="AL4807" s="87" t="str">
        <x:v>statgrad_clean_continuation_v0_09(1).xlsx</x:v>
      </x:c>
      <x:c r="AM4807" s="87" t="str">
        <x:v>MATH_May_0301</x:v>
      </x:c>
      <x:c r="AN4807" s="87" t="n">
        <x:v>16</x:v>
      </x:c>
    </x:row>
    <x:row r="4808">
      <x:c r="A4808" s="87" t="n">
        <x:v>4807</x:v>
      </x:c>
      <x:c r="B4808" s="87" t="str">
        <x:v>MAY-MATH-01-016</x:v>
      </x:c>
      <x:c r="C4808" s="87" t="str">
        <x:v>СтатГрад</x:v>
      </x:c>
      <x:c r="D4808" s="87" t="str">
        <x:v>Май 2026</x:v>
      </x:c>
      <x:c r="E4808" s="87"/>
      <x:c r="F4808" s="87"/>
      <x:c r="G4808" s="87" t="str">
        <x:v>Математика</x:v>
      </x:c>
      <x:c r="H4808" s="87" t="n">
        <x:v>10</x:v>
      </x:c>
      <x:c r="I4808" s="87" t="str">
        <x:v>ТР №2</x:v>
      </x:c>
      <x:c r="J4808" s="87" t="str">
        <x:v>МА2500301</x:v>
      </x:c>
      <x:c r="K4808" s="87" t="n">
        <x:v>16</x:v>
      </x:c>
      <x:c r="L4808" s="87" t="str">
        <x:v>Задание с кратким ответом</x:v>
      </x:c>
      <x:c r="M4808" s="30" t="str">
        <x:v>Найдите значение выражения log 31,8 + log 35 .</x:v>
      </x:c>
      <x:c r="N4808" s="30" t="str">
        <x:v>2</x:v>
      </x:c>
      <x:c r="O4808" s="30" t="str">
        <x:v>Краткий ответ перенесён из официальной таблицы; тип задания и числовой результат проверены по условию.</x:v>
      </x:c>
      <x:c r="P4808" s="30" t="str">
        <x:v>Наличие задания, диапазон допустимого ответа и соответствие официальному ключу проверены; явных противоречий не обнаружено.</x:v>
      </x:c>
      <x:c r="Q4808" s="30"/>
      <x:c r="R4808" s="30" t="str">
        <x:v>2</x:v>
      </x:c>
      <x:c r="S4808" s="30"/>
      <x:c r="T4808" s="30" t="str">
        <x:v>База.jpg</x:v>
      </x:c>
      <x:c r="U4808" s="30" t="str">
        <x:v>Расхождений с каноническим источником не выявлено.</x:v>
      </x:c>
      <x:c r="V4808" s="87" t="str">
        <x:v>VERIFIED</x:v>
      </x:c>
      <x:c r="W4808" s="87"/>
      <x:c r="X4808" s="87" t="n">
        <x:v>7</x:v>
      </x:c>
      <x:c r="Y4808" s="87"/>
      <x:c r="Z4808" s="87"/>
      <x:c r="AA4808" s="87"/>
      <x:c r="AB4808" s="87" t="str">
        <x:v>таблица</x:v>
      </x:c>
      <x:c r="AC4808" s="87" t="str">
        <x:v>VIS-MATH-MAY-BASE-TASK-P007</x:v>
      </x:c>
      <x:c r="AD4808" s="87" t="str">
        <x:v>VIS-MATH-MAY-KEY-BASE</x:v>
      </x:c>
      <x:c r="AE4808" s="87" t="str">
        <x:v>TASK; KEY</x:v>
      </x:c>
      <x:c r="AF4808" s="87" t="str">
        <x:v>VIS-MATH-MAY-BASE-TASK-P007: 7; VIS-MATH-MAY-KEY-BASE: original</x:v>
      </x:c>
      <x:c r="AG4808" s="87" t="str">
        <x:v>RESOLVED</x:v>
      </x:c>
      <x:c r="AH4808" s="87" t="str">
        <x:v>CROP_VERIFIED; ORIGINAL_IMAGE_NO_CROP</x:v>
      </x:c>
      <x:c r="AI4808" s="30" t="str">
        <x:v>{"Уровень": "Базовый"}</x:v>
      </x:c>
      <x:c r="AJ4808" s="87" t="str">
        <x:v>clean</x:v>
      </x:c>
      <x:c r="AK4808" s="87" t="str">
        <x:v>clean-v0.09</x:v>
      </x:c>
      <x:c r="AL4808" s="87" t="str">
        <x:v>statgrad_clean_continuation_v0_09(1).xlsx</x:v>
      </x:c>
      <x:c r="AM4808" s="87" t="str">
        <x:v>MATH_May_0301</x:v>
      </x:c>
      <x:c r="AN4808" s="87" t="n">
        <x:v>17</x:v>
      </x:c>
    </x:row>
    <x:row r="4809">
      <x:c r="A4809" s="87" t="n">
        <x:v>4808</x:v>
      </x:c>
      <x:c r="B4809" s="87" t="str">
        <x:v>MAY-MATH-01-017</x:v>
      </x:c>
      <x:c r="C4809" s="87" t="str">
        <x:v>СтатГрад</x:v>
      </x:c>
      <x:c r="D4809" s="87" t="str">
        <x:v>Май 2026</x:v>
      </x:c>
      <x:c r="E4809" s="87"/>
      <x:c r="F4809" s="87"/>
      <x:c r="G4809" s="87" t="str">
        <x:v>Математика</x:v>
      </x:c>
      <x:c r="H4809" s="87" t="n">
        <x:v>10</x:v>
      </x:c>
      <x:c r="I4809" s="87" t="str">
        <x:v>ТР №2</x:v>
      </x:c>
      <x:c r="J4809" s="87" t="str">
        <x:v>МА2500301</x:v>
      </x:c>
      <x:c r="K4809" s="87" t="n">
        <x:v>17</x:v>
      </x:c>
      <x:c r="L4809" s="87" t="str">
        <x:v>Уравнение</x:v>
      </x:c>
      <x:c r="M4809" s="30" t="str">
        <x:v>2Решите уравнение x = x . Если уравнение имеет более одного корня, в ответе укажите больший из них.</x:v>
      </x:c>
      <x:c r="N4809" s="30" t="str">
        <x:v>1</x:v>
      </x:c>
      <x:c r="O4809" s="30" t="str">
        <x:v>Краткий ответ перенесён из официальной таблицы; тип задания и числовой результат проверены по условию.</x:v>
      </x:c>
      <x:c r="P4809" s="30" t="str">
        <x:v>Наличие задания, диапазон допустимого ответа и соответствие официальному ключу проверены; явных противоречий не обнаружено.</x:v>
      </x:c>
      <x:c r="Q4809" s="30"/>
      <x:c r="R4809" s="30" t="str">
        <x:v>1</x:v>
      </x:c>
      <x:c r="S4809" s="30"/>
      <x:c r="T4809" s="30" t="str">
        <x:v>База.jpg</x:v>
      </x:c>
      <x:c r="U4809" s="30" t="str">
        <x:v>Расхождений с каноническим источником не выявлено.</x:v>
      </x:c>
      <x:c r="V4809" s="87" t="str">
        <x:v>VERIFIED</x:v>
      </x:c>
      <x:c r="W4809" s="87"/>
      <x:c r="X4809" s="87" t="n">
        <x:v>7</x:v>
      </x:c>
      <x:c r="Y4809" s="87"/>
      <x:c r="Z4809" s="87"/>
      <x:c r="AA4809" s="87"/>
      <x:c r="AB4809" s="87" t="str">
        <x:v>таблица</x:v>
      </x:c>
      <x:c r="AC4809" s="87" t="str">
        <x:v>VIS-MATH-MAY-BASE-TASK-P007</x:v>
      </x:c>
      <x:c r="AD4809" s="87" t="str">
        <x:v>VIS-MATH-MAY-KEY-BASE</x:v>
      </x:c>
      <x:c r="AE4809" s="87" t="str">
        <x:v>TASK; KEY</x:v>
      </x:c>
      <x:c r="AF4809" s="87" t="str">
        <x:v>VIS-MATH-MAY-BASE-TASK-P007: 7; VIS-MATH-MAY-KEY-BASE: original</x:v>
      </x:c>
      <x:c r="AG4809" s="87" t="str">
        <x:v>RESOLVED</x:v>
      </x:c>
      <x:c r="AH4809" s="87" t="str">
        <x:v>CROP_VERIFIED; ORIGINAL_IMAGE_NO_CROP</x:v>
      </x:c>
      <x:c r="AI4809" s="30" t="str">
        <x:v>{"Уровень": "Базовый"}</x:v>
      </x:c>
      <x:c r="AJ4809" s="87" t="str">
        <x:v>clean</x:v>
      </x:c>
      <x:c r="AK4809" s="87" t="str">
        <x:v>clean-v0.09</x:v>
      </x:c>
      <x:c r="AL4809" s="87" t="str">
        <x:v>statgrad_clean_continuation_v0_09(1).xlsx</x:v>
      </x:c>
      <x:c r="AM4809" s="87" t="str">
        <x:v>MATH_May_0301</x:v>
      </x:c>
      <x:c r="AN4809" s="87" t="n">
        <x:v>18</x:v>
      </x:c>
    </x:row>
    <x:row r="4810">
      <x:c r="A4810" s="87" t="n">
        <x:v>4809</x:v>
      </x:c>
      <x:c r="B4810" s="87" t="str">
        <x:v>MAY-MATH-01-018</x:v>
      </x:c>
      <x:c r="C4810" s="87" t="str">
        <x:v>СтатГрад</x:v>
      </x:c>
      <x:c r="D4810" s="87" t="str">
        <x:v>Май 2026</x:v>
      </x:c>
      <x:c r="E4810" s="87"/>
      <x:c r="F4810" s="87"/>
      <x:c r="G4810" s="87" t="str">
        <x:v>Математика</x:v>
      </x:c>
      <x:c r="H4810" s="87" t="n">
        <x:v>10</x:v>
      </x:c>
      <x:c r="I4810" s="87" t="str">
        <x:v>ТР №2</x:v>
      </x:c>
      <x:c r="J4810" s="87" t="str">
        <x:v>МА2500301</x:v>
      </x:c>
      <x:c r="K4810" s="87" t="n">
        <x:v>18</x:v>
      </x:c>
      <x:c r="L4810" s="87" t="str">
        <x:v>Установление соответствия</x:v>
      </x:c>
      <x:c r="M4810" s="30" t="str">
        <x:v>На координатной прямой отмечены точки A, B, C и D . A B C D –1 0 1 2 3 4 5 Каждой точке соответствует одно из чисел в правом столбце. Установите соответствие между указанными точками и числами. ТОЧКИ ЧИСЛА A 1) log 5 20 B 29 C 2) 13 D 3) 10 37 − 1 4) ( 3 ) В таблице для каждой точки укажите номер соответствующего числа. А B C D</x:v>
      </x:c>
      <x:c r="N4810" s="30" t="str">
        <x:v>4123</x:v>
      </x:c>
      <x:c r="O4810" s="30" t="str">
        <x:v>Краткий ответ перенесён из официальной таблицы; тип задания и числовой результат проверены по условию.</x:v>
      </x:c>
      <x:c r="P4810" s="30" t="str">
        <x:v>Наличие задания, диапазон допустимого ответа и соответствие официальному ключу проверены; явных противоречий не обнаружено.</x:v>
      </x:c>
      <x:c r="Q4810" s="30"/>
      <x:c r="R4810" s="30" t="str">
        <x:v>4123</x:v>
      </x:c>
      <x:c r="S4810" s="30"/>
      <x:c r="T4810" s="30" t="str">
        <x:v>База.jpg</x:v>
      </x:c>
      <x:c r="U4810" s="30" t="str">
        <x:v>Расхождений с каноническим источником не выявлено.</x:v>
      </x:c>
      <x:c r="V4810" s="87" t="str">
        <x:v>VERIFIED</x:v>
      </x:c>
      <x:c r="W4810" s="87"/>
      <x:c r="X4810" s="87" t="n">
        <x:v>7</x:v>
      </x:c>
      <x:c r="Y4810" s="87"/>
      <x:c r="Z4810" s="87"/>
      <x:c r="AA4810" s="87"/>
      <x:c r="AB4810" s="87" t="str">
        <x:v>таблица</x:v>
      </x:c>
      <x:c r="AC4810" s="87" t="str">
        <x:v>VIS-MATH-MAY-BASE-TASK-P007</x:v>
      </x:c>
      <x:c r="AD4810" s="87" t="str">
        <x:v>VIS-MATH-MAY-KEY-BASE</x:v>
      </x:c>
      <x:c r="AE4810" s="87" t="str">
        <x:v>TASK; KEY</x:v>
      </x:c>
      <x:c r="AF4810" s="87" t="str">
        <x:v>VIS-MATH-MAY-BASE-TASK-P007: 7; VIS-MATH-MAY-KEY-BASE: original</x:v>
      </x:c>
      <x:c r="AG4810" s="87" t="str">
        <x:v>RESOLVED</x:v>
      </x:c>
      <x:c r="AH4810" s="87" t="str">
        <x:v>CROP_VERIFIED; ORIGINAL_IMAGE_NO_CROP</x:v>
      </x:c>
      <x:c r="AI4810" s="30" t="str">
        <x:v>{"Уровень": "Базовый"}</x:v>
      </x:c>
      <x:c r="AJ4810" s="87" t="str">
        <x:v>clean</x:v>
      </x:c>
      <x:c r="AK4810" s="87" t="str">
        <x:v>clean-v0.09</x:v>
      </x:c>
      <x:c r="AL4810" s="87" t="str">
        <x:v>statgrad_clean_continuation_v0_09(1).xlsx</x:v>
      </x:c>
      <x:c r="AM4810" s="87" t="str">
        <x:v>MATH_May_0301</x:v>
      </x:c>
      <x:c r="AN4810" s="87" t="n">
        <x:v>19</x:v>
      </x:c>
    </x:row>
    <x:row r="4811">
      <x:c r="A4811" s="87" t="n">
        <x:v>4810</x:v>
      </x:c>
      <x:c r="B4811" s="87" t="str">
        <x:v>MAY-MATH-01-019</x:v>
      </x:c>
      <x:c r="C4811" s="87" t="str">
        <x:v>СтатГрад</x:v>
      </x:c>
      <x:c r="D4811" s="87" t="str">
        <x:v>Май 2026</x:v>
      </x:c>
      <x:c r="E4811" s="87"/>
      <x:c r="F4811" s="87"/>
      <x:c r="G4811" s="87" t="str">
        <x:v>Математика</x:v>
      </x:c>
      <x:c r="H4811" s="87" t="n">
        <x:v>10</x:v>
      </x:c>
      <x:c r="I4811" s="87" t="str">
        <x:v>ТР №2</x:v>
      </x:c>
      <x:c r="J4811" s="87" t="str">
        <x:v>МА2500301</x:v>
      </x:c>
      <x:c r="K4811" s="87" t="n">
        <x:v>19</x:v>
      </x:c>
      <x:c r="L4811" s="87" t="str">
        <x:v>Задание с кратким ответом</x:v>
      </x:c>
      <x:c r="M4811" s="30" t="str">
        <x:v>На шести карточках написаны цифры 1; 2; 2; 3; 5; 7 (по одной цифре на каждой карточке). В выражении + + вместо каждого квадратика положили карточку из данного набора. Оказалось, что полученная сумма делится на 20. В ответе укажите какую- нибудь одну такую сумму.</x:v>
      </x:c>
      <x:c r="N4811" s="30" t="str">
        <x:v>200</x:v>
      </x:c>
      <x:c r="O4811" s="30" t="str">
        <x:v>Краткий ответ перенесён из официальной таблицы; тип задания и числовой результат проверены по условию.</x:v>
      </x:c>
      <x:c r="P4811" s="30" t="str">
        <x:v>Наличие задания, диапазон допустимого ответа и соответствие официальному ключу проверены; явных противоречий не обнаружено.</x:v>
      </x:c>
      <x:c r="Q4811" s="30"/>
      <x:c r="R4811" s="30" t="str">
        <x:v>200</x:v>
      </x:c>
      <x:c r="S4811" s="30"/>
      <x:c r="T4811" s="30" t="str">
        <x:v>База.jpg</x:v>
      </x:c>
      <x:c r="U4811" s="30" t="str">
        <x:v>Расхождений с каноническим источником не выявлено.</x:v>
      </x:c>
      <x:c r="V4811" s="87" t="str">
        <x:v>VERIFIED</x:v>
      </x:c>
      <x:c r="W4811" s="87"/>
      <x:c r="X4811" s="87" t="n">
        <x:v>7</x:v>
      </x:c>
      <x:c r="Y4811" s="87"/>
      <x:c r="Z4811" s="87"/>
      <x:c r="AA4811" s="87"/>
      <x:c r="AB4811" s="87" t="str">
        <x:v>таблица</x:v>
      </x:c>
      <x:c r="AC4811" s="87" t="str">
        <x:v>VIS-MATH-MAY-BASE-TASK-P007</x:v>
      </x:c>
      <x:c r="AD4811" s="87" t="str">
        <x:v>VIS-MATH-MAY-KEY-BASE</x:v>
      </x:c>
      <x:c r="AE4811" s="87" t="str">
        <x:v>TASK; KEY</x:v>
      </x:c>
      <x:c r="AF4811" s="87" t="str">
        <x:v>VIS-MATH-MAY-BASE-TASK-P007: 7; VIS-MATH-MAY-KEY-BASE: original</x:v>
      </x:c>
      <x:c r="AG4811" s="87" t="str">
        <x:v>RESOLVED</x:v>
      </x:c>
      <x:c r="AH4811" s="87" t="str">
        <x:v>CROP_VERIFIED; ORIGINAL_IMAGE_NO_CROP</x:v>
      </x:c>
      <x:c r="AI4811" s="30" t="str">
        <x:v>{"Уровень": "Базовый"}</x:v>
      </x:c>
      <x:c r="AJ4811" s="87" t="str">
        <x:v>clean</x:v>
      </x:c>
      <x:c r="AK4811" s="87" t="str">
        <x:v>clean-v0.09</x:v>
      </x:c>
      <x:c r="AL4811" s="87" t="str">
        <x:v>statgrad_clean_continuation_v0_09(1).xlsx</x:v>
      </x:c>
      <x:c r="AM4811" s="87" t="str">
        <x:v>MATH_May_0301</x:v>
      </x:c>
      <x:c r="AN4811" s="87" t="n">
        <x:v>20</x:v>
      </x:c>
    </x:row>
    <x:row r="4812">
      <x:c r="A4812" s="87" t="n">
        <x:v>4811</x:v>
      </x:c>
      <x:c r="B4812" s="87" t="str">
        <x:v>MAY-MATH-01-020</x:v>
      </x:c>
      <x:c r="C4812" s="87" t="str">
        <x:v>СтатГрад</x:v>
      </x:c>
      <x:c r="D4812" s="87" t="str">
        <x:v>Май 2026</x:v>
      </x:c>
      <x:c r="E4812" s="87"/>
      <x:c r="F4812" s="87"/>
      <x:c r="G4812" s="87" t="str">
        <x:v>Математика</x:v>
      </x:c>
      <x:c r="H4812" s="87" t="n">
        <x:v>10</x:v>
      </x:c>
      <x:c r="I4812" s="87" t="str">
        <x:v>ТР №2</x:v>
      </x:c>
      <x:c r="J4812" s="87" t="str">
        <x:v>МА2500301</x:v>
      </x:c>
      <x:c r="K4812" s="87" t="n">
        <x:v>20</x:v>
      </x:c>
      <x:c r="L4812" s="87" t="str">
        <x:v>Задание с кратким ответом</x:v>
      </x:c>
      <x:c r="M4812" s="30" t="str">
        <x:v>Один мастер может выполнить заказ за 36 часов, а другой — за 12 часов. За сколько часов выполнят заказ оба мастера, работая вместе?</x:v>
      </x:c>
      <x:c r="N4812" s="30" t="str">
        <x:v>9</x:v>
      </x:c>
      <x:c r="O4812" s="30" t="str">
        <x:v>Краткий ответ перенесён из официальной таблицы; тип задания и числовой результат проверены по условию.</x:v>
      </x:c>
      <x:c r="P4812" s="30" t="str">
        <x:v>Наличие задания, диапазон допустимого ответа и соответствие официальному ключу проверены; явных противоречий не обнаружено.</x:v>
      </x:c>
      <x:c r="Q4812" s="30"/>
      <x:c r="R4812" s="30" t="str">
        <x:v>9</x:v>
      </x:c>
      <x:c r="S4812" s="30"/>
      <x:c r="T4812" s="30" t="str">
        <x:v>База.jpg</x:v>
      </x:c>
      <x:c r="U4812" s="30" t="str">
        <x:v>Расхождений с каноническим источником не выявлено.</x:v>
      </x:c>
      <x:c r="V4812" s="87" t="str">
        <x:v>VERIFIED</x:v>
      </x:c>
      <x:c r="W4812" s="87"/>
      <x:c r="X4812" s="87" t="n">
        <x:v>8</x:v>
      </x:c>
      <x:c r="Y4812" s="87"/>
      <x:c r="Z4812" s="87"/>
      <x:c r="AA4812" s="87"/>
      <x:c r="AB4812" s="87" t="str">
        <x:v>таблица</x:v>
      </x:c>
      <x:c r="AC4812" s="87" t="str">
        <x:v>VIS-MATH-MAY-BASE-TASK-P008</x:v>
      </x:c>
      <x:c r="AD4812" s="87" t="str">
        <x:v>VIS-MATH-MAY-KEY-BASE</x:v>
      </x:c>
      <x:c r="AE4812" s="87" t="str">
        <x:v>TASK; KEY</x:v>
      </x:c>
      <x:c r="AF4812" s="87" t="str">
        <x:v>VIS-MATH-MAY-BASE-TASK-P008: 8; VIS-MATH-MAY-KEY-BASE: original</x:v>
      </x:c>
      <x:c r="AG4812" s="87" t="str">
        <x:v>RESOLVED</x:v>
      </x:c>
      <x:c r="AH4812" s="87" t="str">
        <x:v>CROP_VERIFIED; ORIGINAL_IMAGE_NO_CROP</x:v>
      </x:c>
      <x:c r="AI4812" s="30" t="str">
        <x:v>{"Уровень": "Базовый"}</x:v>
      </x:c>
      <x:c r="AJ4812" s="87" t="str">
        <x:v>clean</x:v>
      </x:c>
      <x:c r="AK4812" s="87" t="str">
        <x:v>clean-v0.09</x:v>
      </x:c>
      <x:c r="AL4812" s="87" t="str">
        <x:v>statgrad_clean_continuation_v0_09(1).xlsx</x:v>
      </x:c>
      <x:c r="AM4812" s="87" t="str">
        <x:v>MATH_May_0301</x:v>
      </x:c>
      <x:c r="AN4812" s="87" t="n">
        <x:v>21</x:v>
      </x:c>
    </x:row>
    <x:row r="4813">
      <x:c r="A4813" s="87" t="n">
        <x:v>4812</x:v>
      </x:c>
      <x:c r="B4813" s="87" t="str">
        <x:v>MAY-MATH-01-021</x:v>
      </x:c>
      <x:c r="C4813" s="87" t="str">
        <x:v>СтатГрад</x:v>
      </x:c>
      <x:c r="D4813" s="87" t="str">
        <x:v>Май 2026</x:v>
      </x:c>
      <x:c r="E4813" s="87"/>
      <x:c r="F4813" s="87"/>
      <x:c r="G4813" s="87" t="str">
        <x:v>Математика</x:v>
      </x:c>
      <x:c r="H4813" s="87" t="n">
        <x:v>10</x:v>
      </x:c>
      <x:c r="I4813" s="87" t="str">
        <x:v>ТР №2</x:v>
      </x:c>
      <x:c r="J4813" s="87" t="str">
        <x:v>МА2500301</x:v>
      </x:c>
      <x:c r="K4813" s="87" t="n">
        <x:v>21</x:v>
      </x:c>
      <x:c r="L4813" s="87" t="str">
        <x:v>Задание с кратким ответом</x:v>
      </x:c>
      <x:c r="M4813" s="30" t="str">
        <x:v>В конце четверти Петя выписал подряд все свои отметки по одному из предметов, их оказалось 5, и поставил между некоторыми из них знаки умножения. Произведение получившихся чисел оказалось равным 2650. Какая отметка выходит у Пети в четверти по этому предмету, если учитель ставит только отметки «2», «3», «4» или «5» и итоговая отметка в четверти является средним арифметическим всех текущих отметок, округлённым по правилам округления? (Например, 3,2 округляется до 3; 4,5 — до 5; 2,8 — до 3.)</x:v>
      </x:c>
      <x:c r="N4813" s="30" t="str">
        <x:v>4</x:v>
      </x:c>
      <x:c r="O4813" s="30" t="str">
        <x:v>Краткий ответ перенесён из официальной таблицы; тип задания и числовой результат проверены по условию.</x:v>
      </x:c>
      <x:c r="P4813" s="30" t="str">
        <x:v>Наличие задания, диапазон допустимого ответа и соответствие официальному ключу проверены; явных противоречий не обнаружено.</x:v>
      </x:c>
      <x:c r="Q4813" s="30"/>
      <x:c r="R4813" s="30" t="str">
        <x:v>4</x:v>
      </x:c>
      <x:c r="S4813" s="30"/>
      <x:c r="T4813" s="30" t="str">
        <x:v>База.jpg</x:v>
      </x:c>
      <x:c r="U4813" s="30" t="str">
        <x:v>Расхождений с каноническим источником не выявлено.</x:v>
      </x:c>
      <x:c r="V4813" s="87" t="str">
        <x:v>VERIFIED</x:v>
      </x:c>
      <x:c r="W4813" s="87"/>
      <x:c r="X4813" s="87" t="n">
        <x:v>8</x:v>
      </x:c>
      <x:c r="Y4813" s="87"/>
      <x:c r="Z4813" s="87"/>
      <x:c r="AA4813" s="87"/>
      <x:c r="AB4813" s="87" t="str">
        <x:v>таблица</x:v>
      </x:c>
      <x:c r="AC4813" s="87" t="str">
        <x:v>VIS-MATH-MAY-BASE-TASK-P008</x:v>
      </x:c>
      <x:c r="AD4813" s="87" t="str">
        <x:v>VIS-MATH-MAY-KEY-BASE</x:v>
      </x:c>
      <x:c r="AE4813" s="87" t="str">
        <x:v>TASK; KEY</x:v>
      </x:c>
      <x:c r="AF4813" s="87" t="str">
        <x:v>VIS-MATH-MAY-BASE-TASK-P008: 8; VIS-MATH-MAY-KEY-BASE: original</x:v>
      </x:c>
      <x:c r="AG4813" s="87" t="str">
        <x:v>RESOLVED</x:v>
      </x:c>
      <x:c r="AH4813" s="87" t="str">
        <x:v>CROP_VERIFIED; ORIGINAL_IMAGE_NO_CROP</x:v>
      </x:c>
      <x:c r="AI4813" s="30" t="str">
        <x:v>{"Уровень": "Базовый"}</x:v>
      </x:c>
      <x:c r="AJ4813" s="87" t="str">
        <x:v>clean</x:v>
      </x:c>
      <x:c r="AK4813" s="87" t="str">
        <x:v>clean-v0.09</x:v>
      </x:c>
      <x:c r="AL4813" s="87" t="str">
        <x:v>statgrad_clean_continuation_v0_09(1).xlsx</x:v>
      </x:c>
      <x:c r="AM4813" s="87" t="str">
        <x:v>MATH_May_0301</x:v>
      </x:c>
      <x:c r="AN4813" s="87" t="n">
        <x:v>22</x:v>
      </x:c>
    </x:row>
    <x:row r="4814">
      <x:c r="A4814" s="87" t="n">
        <x:v>4813</x:v>
      </x:c>
      <x:c r="B4814" s="87" t="str">
        <x:v>MAY-MATH-02-001</x:v>
      </x:c>
      <x:c r="C4814" s="87" t="str">
        <x:v>СтатГрад</x:v>
      </x:c>
      <x:c r="D4814" s="87" t="str">
        <x:v>Май 2026</x:v>
      </x:c>
      <x:c r="E4814" s="87"/>
      <x:c r="F4814" s="87"/>
      <x:c r="G4814" s="87" t="str">
        <x:v>Математика</x:v>
      </x:c>
      <x:c r="H4814" s="87" t="n">
        <x:v>10</x:v>
      </x:c>
      <x:c r="I4814" s="87" t="str">
        <x:v>ТР №2</x:v>
      </x:c>
      <x:c r="J4814" s="87" t="str">
        <x:v>МА2500302</x:v>
      </x:c>
      <x:c r="K4814" s="87" t="n">
        <x:v>1</x:v>
      </x:c>
      <x:c r="L4814" s="87" t="str">
        <x:v>Практическая арифметика</x:v>
      </x:c>
      <x:c r="M4814" s="30" t="str">
        <x:v>Стоимость проездного билета на месяц составляет 2250 рублей, а стоимость билета на одну поездку — 75 рублей. Аня купила проездной и сделала за месяц 38 поездок. На сколько рублей больше она бы потратила, если бы покупала билеты на одну поездку?</x:v>
      </x:c>
      <x:c r="N4814" s="30" t="str">
        <x:v>600</x:v>
      </x:c>
      <x:c r="O4814" s="30" t="str">
        <x:v>Краткий ответ перенесён из официальной таблицы; тип задания и числовой результат проверены по условию.</x:v>
      </x:c>
      <x:c r="P4814" s="30" t="str">
        <x:v>Наличие задания, диапазон допустимого ответа и соответствие официальному ключу проверены; явных противоречий не обнаружено.</x:v>
      </x:c>
      <x:c r="Q4814" s="30"/>
      <x:c r="R4814" s="30" t="str">
        <x:v>600</x:v>
      </x:c>
      <x:c r="S4814" s="30"/>
      <x:c r="T4814" s="30" t="str">
        <x:v>База.jpg</x:v>
      </x:c>
      <x:c r="U4814" s="30" t="str">
        <x:v>Расхождений с каноническим источником не выявлено.</x:v>
      </x:c>
      <x:c r="V4814" s="87" t="str">
        <x:v>VERIFIED</x:v>
      </x:c>
      <x:c r="W4814" s="87"/>
      <x:c r="X4814" s="87" t="n">
        <x:v>10</x:v>
      </x:c>
      <x:c r="Y4814" s="87"/>
      <x:c r="Z4814" s="87"/>
      <x:c r="AA4814" s="87"/>
      <x:c r="AB4814" s="87" t="str">
        <x:v>таблица</x:v>
      </x:c>
      <x:c r="AC4814" s="87" t="str">
        <x:v>VIS-MATH-MAY-BASE-TASK-P010</x:v>
      </x:c>
      <x:c r="AD4814" s="87" t="str">
        <x:v>VIS-MATH-MAY-KEY-BASE</x:v>
      </x:c>
      <x:c r="AE4814" s="87" t="str">
        <x:v>TASK; KEY</x:v>
      </x:c>
      <x:c r="AF4814" s="87" t="str">
        <x:v>VIS-MATH-MAY-BASE-TASK-P010: 10; VIS-MATH-MAY-KEY-BASE: original</x:v>
      </x:c>
      <x:c r="AG4814" s="87" t="str">
        <x:v>RESOLVED</x:v>
      </x:c>
      <x:c r="AH4814" s="87" t="str">
        <x:v>CROP_VERIFIED; ORIGINAL_IMAGE_NO_CROP</x:v>
      </x:c>
      <x:c r="AI4814" s="30" t="str">
        <x:v>{"Уровень": "Базовый"}</x:v>
      </x:c>
      <x:c r="AJ4814" s="87" t="str">
        <x:v>clean</x:v>
      </x:c>
      <x:c r="AK4814" s="87" t="str">
        <x:v>clean-v0.09</x:v>
      </x:c>
      <x:c r="AL4814" s="87" t="str">
        <x:v>statgrad_clean_continuation_v0_09(1).xlsx</x:v>
      </x:c>
      <x:c r="AM4814" s="87" t="str">
        <x:v>MATH_May_0302</x:v>
      </x:c>
      <x:c r="AN4814" s="87" t="n">
        <x:v>2</x:v>
      </x:c>
    </x:row>
    <x:row r="4815">
      <x:c r="A4815" s="87" t="n">
        <x:v>4814</x:v>
      </x:c>
      <x:c r="B4815" s="87" t="str">
        <x:v>MAY-MATH-02-002</x:v>
      </x:c>
      <x:c r="C4815" s="87" t="str">
        <x:v>СтатГрад</x:v>
      </x:c>
      <x:c r="D4815" s="87" t="str">
        <x:v>Май 2026</x:v>
      </x:c>
      <x:c r="E4815" s="87"/>
      <x:c r="F4815" s="87"/>
      <x:c r="G4815" s="87" t="str">
        <x:v>Математика</x:v>
      </x:c>
      <x:c r="H4815" s="87" t="n">
        <x:v>10</x:v>
      </x:c>
      <x:c r="I4815" s="87" t="str">
        <x:v>ТР №2</x:v>
      </x:c>
      <x:c r="J4815" s="87" t="str">
        <x:v>МА2500302</x:v>
      </x:c>
      <x:c r="K4815" s="87" t="n">
        <x:v>2</x:v>
      </x:c>
      <x:c r="L4815" s="87" t="str">
        <x:v>Установление соответствия</x:v>
      </x:c>
      <x:c r="M4815"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объём ящика комода 1) 0,75 л Б) объём воды в Каспийском море 2) 78 200 км3 В) объём пакета ряженки 3) 96 л Г) объём железнодорожной цистерны 4) 90 м3 В таблице под каждой буквой, соответствующей величине, укажите номер её возможного значения. А Б В Г</x:v>
      </x:c>
      <x:c r="N4815" s="30" t="str">
        <x:v>3214</x:v>
      </x:c>
      <x:c r="O4815" s="30" t="str">
        <x:v>Краткий ответ перенесён из официальной таблицы; тип задания и числовой результат проверены по условию.</x:v>
      </x:c>
      <x:c r="P4815" s="30" t="str">
        <x:v>Наличие задания, диапазон допустимого ответа и соответствие официальному ключу проверены; явных противоречий не обнаружено.</x:v>
      </x:c>
      <x:c r="Q4815" s="30"/>
      <x:c r="R4815" s="30" t="str">
        <x:v>3214</x:v>
      </x:c>
      <x:c r="S4815" s="30"/>
      <x:c r="T4815" s="30" t="str">
        <x:v>База.jpg</x:v>
      </x:c>
      <x:c r="U4815" s="30" t="str">
        <x:v>Расхождений с каноническим источником не выявлено.</x:v>
      </x:c>
      <x:c r="V4815" s="87" t="str">
        <x:v>VERIFIED</x:v>
      </x:c>
      <x:c r="W4815" s="87"/>
      <x:c r="X4815" s="87" t="n">
        <x:v>10</x:v>
      </x:c>
      <x:c r="Y4815" s="87"/>
      <x:c r="Z4815" s="87"/>
      <x:c r="AA4815" s="87"/>
      <x:c r="AB4815" s="87" t="str">
        <x:v>таблица</x:v>
      </x:c>
      <x:c r="AC4815" s="87" t="str">
        <x:v>VIS-MATH-MAY-BASE-TASK-P010</x:v>
      </x:c>
      <x:c r="AD4815" s="87" t="str">
        <x:v>VIS-MATH-MAY-KEY-BASE</x:v>
      </x:c>
      <x:c r="AE4815" s="87" t="str">
        <x:v>TASK; KEY</x:v>
      </x:c>
      <x:c r="AF4815" s="87" t="str">
        <x:v>VIS-MATH-MAY-BASE-TASK-P010: 10; VIS-MATH-MAY-KEY-BASE: original</x:v>
      </x:c>
      <x:c r="AG4815" s="87" t="str">
        <x:v>RESOLVED</x:v>
      </x:c>
      <x:c r="AH4815" s="87" t="str">
        <x:v>CROP_VERIFIED; ORIGINAL_IMAGE_NO_CROP</x:v>
      </x:c>
      <x:c r="AI4815" s="30" t="str">
        <x:v>{"Уровень": "Базовый"}</x:v>
      </x:c>
      <x:c r="AJ4815" s="87" t="str">
        <x:v>clean</x:v>
      </x:c>
      <x:c r="AK4815" s="87" t="str">
        <x:v>clean-v0.09</x:v>
      </x:c>
      <x:c r="AL4815" s="87" t="str">
        <x:v>statgrad_clean_continuation_v0_09(1).xlsx</x:v>
      </x:c>
      <x:c r="AM4815" s="87" t="str">
        <x:v>MATH_May_0302</x:v>
      </x:c>
      <x:c r="AN4815" s="87" t="n">
        <x:v>3</x:v>
      </x:c>
    </x:row>
    <x:row r="4816">
      <x:c r="A4816" s="87" t="n">
        <x:v>4815</x:v>
      </x:c>
      <x:c r="B4816" s="87" t="str">
        <x:v>MAY-MATH-02-003</x:v>
      </x:c>
      <x:c r="C4816" s="87" t="str">
        <x:v>СтатГрад</x:v>
      </x:c>
      <x:c r="D4816" s="87" t="str">
        <x:v>Май 2026</x:v>
      </x:c>
      <x:c r="E4816" s="87"/>
      <x:c r="F4816" s="87"/>
      <x:c r="G4816" s="87" t="str">
        <x:v>Математика</x:v>
      </x:c>
      <x:c r="H4816" s="87" t="n">
        <x:v>10</x:v>
      </x:c>
      <x:c r="I4816" s="87" t="str">
        <x:v>ТР №2</x:v>
      </x:c>
      <x:c r="J4816" s="87" t="str">
        <x:v>МА2500302</x:v>
      </x:c>
      <x:c r="K4816" s="87" t="n">
        <x:v>3</x:v>
      </x:c>
      <x:c r="L4816" s="87" t="str">
        <x:v>Оптимизация / сравнение</x:v>
      </x:c>
      <x:c r="M4816" s="30" t="str">
        <x:v>На рисунке показано изменение атмосферного давления в течение трёх суток. По горизонтали указаны дни недели, по вертикали — значения атмосферного давления в миллиметрах ртутного столба. 762 760 758 756 754 752 750 вторник среда четверг Определите по рисунку наименьшее значение атмосферного давления (в миллиметрах ртутного столба) в среду.</x:v>
      </x:c>
      <x:c r="N4816" s="30" t="str">
        <x:v>753</x:v>
      </x:c>
      <x:c r="O4816" s="30" t="str">
        <x:v>Краткий ответ перенесён из официальной таблицы; тип задания и числовой результат проверены по условию.</x:v>
      </x:c>
      <x:c r="P4816" s="30" t="str">
        <x:v>Наличие задания, диапазон допустимого ответа и соответствие официальному ключу проверены; явных противоречий не обнаружено.</x:v>
      </x:c>
      <x:c r="Q4816" s="30"/>
      <x:c r="R4816" s="30" t="str">
        <x:v>753</x:v>
      </x:c>
      <x:c r="S4816" s="30"/>
      <x:c r="T4816" s="30" t="str">
        <x:v>База.jpg</x:v>
      </x:c>
      <x:c r="U4816" s="30" t="str">
        <x:v>Расхождений с каноническим источником не выявлено.</x:v>
      </x:c>
      <x:c r="V4816" s="87" t="str">
        <x:v>VERIFIED</x:v>
      </x:c>
      <x:c r="W4816" s="87"/>
      <x:c r="X4816" s="87" t="n">
        <x:v>11</x:v>
      </x:c>
      <x:c r="Y4816" s="87"/>
      <x:c r="Z4816" s="87"/>
      <x:c r="AA4816" s="87"/>
      <x:c r="AB4816" s="87" t="str">
        <x:v>таблица</x:v>
      </x:c>
      <x:c r="AC4816" s="87" t="str">
        <x:v>VIS-MATH-MAY-BASE-TASK-P011</x:v>
      </x:c>
      <x:c r="AD4816" s="87" t="str">
        <x:v>VIS-MATH-MAY-KEY-BASE</x:v>
      </x:c>
      <x:c r="AE4816" s="87" t="str">
        <x:v>TASK; KEY</x:v>
      </x:c>
      <x:c r="AF4816" s="87" t="str">
        <x:v>VIS-MATH-MAY-BASE-TASK-P011: 11; VIS-MATH-MAY-KEY-BASE: original</x:v>
      </x:c>
      <x:c r="AG4816" s="87" t="str">
        <x:v>RESOLVED</x:v>
      </x:c>
      <x:c r="AH4816" s="87" t="str">
        <x:v>CROP_VERIFIED; ORIGINAL_IMAGE_NO_CROP; TASK_CROP_QA_APPROVED:USE_CONTEXT</x:v>
      </x:c>
      <x:c r="AI4816" s="30" t="str">
        <x:v>{"Уровень": "Базовый"}</x:v>
      </x:c>
      <x:c r="AJ4816" s="87" t="str">
        <x:v>clean</x:v>
      </x:c>
      <x:c r="AK4816" s="87" t="str">
        <x:v>clean-v0.09</x:v>
      </x:c>
      <x:c r="AL4816" s="87" t="str">
        <x:v>statgrad_clean_continuation_v0_09(1).xlsx</x:v>
      </x:c>
      <x:c r="AM4816" s="87" t="str">
        <x:v>MATH_May_0302</x:v>
      </x:c>
      <x:c r="AN4816" s="87" t="n">
        <x:v>4</x:v>
      </x:c>
    </x:row>
    <x:row r="4817">
      <x:c r="A4817" s="87" t="n">
        <x:v>4816</x:v>
      </x:c>
      <x:c r="B4817" s="87" t="str">
        <x:v>MAY-MATH-02-004</x:v>
      </x:c>
      <x:c r="C4817" s="87" t="str">
        <x:v>СтатГрад</x:v>
      </x:c>
      <x:c r="D4817" s="87" t="str">
        <x:v>Май 2026</x:v>
      </x:c>
      <x:c r="E4817" s="87"/>
      <x:c r="F4817" s="87"/>
      <x:c r="G4817" s="87" t="str">
        <x:v>Математика</x:v>
      </x:c>
      <x:c r="H4817" s="87" t="n">
        <x:v>10</x:v>
      </x:c>
      <x:c r="I4817" s="87" t="str">
        <x:v>ТР №2</x:v>
      </x:c>
      <x:c r="J4817" s="87" t="str">
        <x:v>МА2500302</x:v>
      </x:c>
      <x:c r="K4817" s="87" t="n">
        <x:v>4</x:v>
      </x:c>
      <x:c r="L4817" s="87" t="str">
        <x:v>Применение формулы</x:v>
      </x:c>
      <x:c r="M4817" s="30" t="str">
        <x:v>Энергия заряженного конденсатора W (в Дж) вычисляется по формуле 2 CUW = , где C — ёмкость конденсатора (в Ф), а U — разность 2 потенциалов на обкладках конденсатора (в В). Найдите W (в Дж), если − 4C = 2 ⋅ 10 Ф и U = 17 В.</x:v>
      </x:c>
      <x:c r="N4817" s="30" t="str">
        <x:v>0,0289</x:v>
      </x:c>
      <x:c r="O4817" s="30" t="str">
        <x:v>Краткий ответ перенесён из официальной таблицы; тип задания и числовой результат проверены по условию.</x:v>
      </x:c>
      <x:c r="P4817" s="30" t="str">
        <x:v>Наличие задания, диапазон допустимого ответа и соответствие официальному ключу проверены; явных противоречий не обнаружено.</x:v>
      </x:c>
      <x:c r="Q4817" s="30"/>
      <x:c r="R4817" s="30" t="str">
        <x:v>0,0289</x:v>
      </x:c>
      <x:c r="S4817" s="30"/>
      <x:c r="T4817" s="30" t="str">
        <x:v>База.jpg</x:v>
      </x:c>
      <x:c r="U4817" s="30" t="str">
        <x:v>Расхождений с каноническим источником не выявлено.</x:v>
      </x:c>
      <x:c r="V4817" s="87" t="str">
        <x:v>VERIFIED</x:v>
      </x:c>
      <x:c r="W4817" s="87"/>
      <x:c r="X4817" s="87" t="n">
        <x:v>11</x:v>
      </x:c>
      <x:c r="Y4817" s="87"/>
      <x:c r="Z4817" s="87"/>
      <x:c r="AA4817" s="87"/>
      <x:c r="AB4817" s="87" t="str">
        <x:v>таблица</x:v>
      </x:c>
      <x:c r="AC4817" s="87" t="str">
        <x:v>VIS-MATH-MAY-BASE-TASK-P011</x:v>
      </x:c>
      <x:c r="AD4817" s="87" t="str">
        <x:v>VIS-MATH-MAY-KEY-BASE</x:v>
      </x:c>
      <x:c r="AE4817" s="87" t="str">
        <x:v>TASK; KEY</x:v>
      </x:c>
      <x:c r="AF4817" s="87" t="str">
        <x:v>VIS-MATH-MAY-BASE-TASK-P011: 11; VIS-MATH-MAY-KEY-BASE: original</x:v>
      </x:c>
      <x:c r="AG4817" s="87" t="str">
        <x:v>RESOLVED</x:v>
      </x:c>
      <x:c r="AH4817" s="87" t="str">
        <x:v>CROP_VERIFIED; ORIGINAL_IMAGE_NO_CROP</x:v>
      </x:c>
      <x:c r="AI4817" s="30" t="str">
        <x:v>{"Уровень": "Базовый"}</x:v>
      </x:c>
      <x:c r="AJ4817" s="87" t="str">
        <x:v>clean</x:v>
      </x:c>
      <x:c r="AK4817" s="87" t="str">
        <x:v>clean-v0.09</x:v>
      </x:c>
      <x:c r="AL4817" s="87" t="str">
        <x:v>statgrad_clean_continuation_v0_09(1).xlsx</x:v>
      </x:c>
      <x:c r="AM4817" s="87" t="str">
        <x:v>MATH_May_0302</x:v>
      </x:c>
      <x:c r="AN4817" s="87" t="n">
        <x:v>5</x:v>
      </x:c>
    </x:row>
    <x:row r="4818">
      <x:c r="A4818" s="87" t="n">
        <x:v>4817</x:v>
      </x:c>
      <x:c r="B4818" s="87" t="str">
        <x:v>MAY-MATH-02-005</x:v>
      </x:c>
      <x:c r="C4818" s="87" t="str">
        <x:v>СтатГрад</x:v>
      </x:c>
      <x:c r="D4818" s="87" t="str">
        <x:v>Май 2026</x:v>
      </x:c>
      <x:c r="E4818" s="87"/>
      <x:c r="F4818" s="87"/>
      <x:c r="G4818" s="87" t="str">
        <x:v>Математика</x:v>
      </x:c>
      <x:c r="H4818" s="87" t="n">
        <x:v>10</x:v>
      </x:c>
      <x:c r="I4818" s="87" t="str">
        <x:v>ТР №2</x:v>
      </x:c>
      <x:c r="J4818" s="87" t="str">
        <x:v>МА2500302</x:v>
      </x:c>
      <x:c r="K4818" s="87" t="n">
        <x:v>5</x:v>
      </x:c>
      <x:c r="L4818" s="87" t="str">
        <x:v>Теория вероятностей</x:v>
      </x:c>
      <x:c r="M4818" s="30" t="str">
        <x:v>На тарелке лежат одинаковые на вид пирожки: 1 с мясом, 12 с капустой и 3 с вишней. Петя наугад выбирает один пирожок. Найдите вероятность того, что этот пирожок окажется с капустой.</x:v>
      </x:c>
      <x:c r="N4818" s="30" t="str">
        <x:v>0,75</x:v>
      </x:c>
      <x:c r="O4818" s="30" t="str">
        <x:v>Краткий ответ перенесён из официальной таблицы; тип задания и числовой результат проверены по условию.</x:v>
      </x:c>
      <x:c r="P4818" s="30" t="str">
        <x:v>Наличие задания, диапазон допустимого ответа и соответствие официальному ключу проверены; явных противоречий не обнаружено.</x:v>
      </x:c>
      <x:c r="Q4818" s="30"/>
      <x:c r="R4818" s="30" t="str">
        <x:v>0,75</x:v>
      </x:c>
      <x:c r="S4818" s="30"/>
      <x:c r="T4818" s="30" t="str">
        <x:v>База.jpg</x:v>
      </x:c>
      <x:c r="U4818" s="30" t="str">
        <x:v>Расхождений с каноническим источником не выявлено.</x:v>
      </x:c>
      <x:c r="V4818" s="87" t="str">
        <x:v>VERIFIED</x:v>
      </x:c>
      <x:c r="W4818" s="87"/>
      <x:c r="X4818" s="87" t="n">
        <x:v>11</x:v>
      </x:c>
      <x:c r="Y4818" s="87"/>
      <x:c r="Z4818" s="87"/>
      <x:c r="AA4818" s="87"/>
      <x:c r="AB4818" s="87" t="str">
        <x:v>таблица</x:v>
      </x:c>
      <x:c r="AC4818" s="87" t="str">
        <x:v>VIS-MATH-MAY-BASE-TASK-P011</x:v>
      </x:c>
      <x:c r="AD4818" s="87" t="str">
        <x:v>VIS-MATH-MAY-KEY-BASE</x:v>
      </x:c>
      <x:c r="AE4818" s="87" t="str">
        <x:v>TASK; KEY</x:v>
      </x:c>
      <x:c r="AF4818" s="87" t="str">
        <x:v>VIS-MATH-MAY-BASE-TASK-P011: 11; VIS-MATH-MAY-KEY-BASE: original</x:v>
      </x:c>
      <x:c r="AG4818" s="87" t="str">
        <x:v>RESOLVED</x:v>
      </x:c>
      <x:c r="AH4818" s="87" t="str">
        <x:v>CROP_VERIFIED; ORIGINAL_IMAGE_NO_CROP</x:v>
      </x:c>
      <x:c r="AI4818" s="30" t="str">
        <x:v>{"Уровень": "Базовый"}</x:v>
      </x:c>
      <x:c r="AJ4818" s="87" t="str">
        <x:v>clean</x:v>
      </x:c>
      <x:c r="AK4818" s="87" t="str">
        <x:v>clean-v0.09</x:v>
      </x:c>
      <x:c r="AL4818" s="87" t="str">
        <x:v>statgrad_clean_continuation_v0_09(1).xlsx</x:v>
      </x:c>
      <x:c r="AM4818" s="87" t="str">
        <x:v>MATH_May_0302</x:v>
      </x:c>
      <x:c r="AN4818" s="87" t="n">
        <x:v>6</x:v>
      </x:c>
    </x:row>
    <x:row r="4819">
      <x:c r="A4819" s="87" t="n">
        <x:v>4818</x:v>
      </x:c>
      <x:c r="B4819" s="87" t="str">
        <x:v>MAY-MATH-02-006</x:v>
      </x:c>
      <x:c r="C4819" s="87" t="str">
        <x:v>СтатГрад</x:v>
      </x:c>
      <x:c r="D4819" s="87" t="str">
        <x:v>Май 2026</x:v>
      </x:c>
      <x:c r="E4819" s="87"/>
      <x:c r="F4819" s="87"/>
      <x:c r="G4819" s="87" t="str">
        <x:v>Математика</x:v>
      </x:c>
      <x:c r="H4819" s="87" t="n">
        <x:v>10</x:v>
      </x:c>
      <x:c r="I4819" s="87" t="str">
        <x:v>ТР №2</x:v>
      </x:c>
      <x:c r="J4819" s="87" t="str">
        <x:v>МА2500302</x:v>
      </x:c>
      <x:c r="K4819" s="87" t="n">
        <x:v>6</x:v>
      </x:c>
      <x:c r="L4819" s="87" t="str">
        <x:v>Анализ таблицы</x:v>
      </x:c>
      <x:c r="M4819" s="30" t="str">
        <x:v>Для транспортировки 42 тонн груза на 1200 км можно воспользоваться услугами одной из трёх фирм-перевозчиков. Стоимость перевозки и грузоподъёмность автомобилей каждого перевозчика указаны в таблице. Стоимость перевозки одним Грузоподъёмность одного Перевозчик автомобилем автомобиля (руб. на 100 км) (тонны) А 5300 4 Б 6800 5,5 В 14200 10 Сколько рублей придётся заплатить за самую дешёвую перевозку?</x:v>
      </x:c>
      <x:c r="N4819" s="30" t="str">
        <x:v>652800</x:v>
      </x:c>
      <x:c r="O4819" s="30" t="str">
        <x:v>Краткий ответ перенесён из официальной таблицы; тип задания и числовой результат проверены по условию.</x:v>
      </x:c>
      <x:c r="P4819" s="30" t="str">
        <x:v>Наличие задания, диапазон допустимого ответа и соответствие официальному ключу проверены; явных противоречий не обнаружено.</x:v>
      </x:c>
      <x:c r="Q4819" s="30"/>
      <x:c r="R4819" s="30" t="str">
        <x:v>652800</x:v>
      </x:c>
      <x:c r="S4819" s="30"/>
      <x:c r="T4819" s="30" t="str">
        <x:v>База.jpg</x:v>
      </x:c>
      <x:c r="U4819" s="30" t="str">
        <x:v>Расхождений с каноническим источником не выявлено.</x:v>
      </x:c>
      <x:c r="V4819" s="87" t="str">
        <x:v>VERIFIED</x:v>
      </x:c>
      <x:c r="W4819" s="87"/>
      <x:c r="X4819" s="87" t="n">
        <x:v>12</x:v>
      </x:c>
      <x:c r="Y4819" s="87"/>
      <x:c r="Z4819" s="87"/>
      <x:c r="AA4819" s="87"/>
      <x:c r="AB4819" s="87" t="str">
        <x:v>таблица</x:v>
      </x:c>
      <x:c r="AC4819" s="87" t="str">
        <x:v>VIS-MATH-MAY-BASE-TASK-P012</x:v>
      </x:c>
      <x:c r="AD4819" s="87" t="str">
        <x:v>VIS-MATH-MAY-KEY-BASE</x:v>
      </x:c>
      <x:c r="AE4819" s="87" t="str">
        <x:v>TASK; KEY</x:v>
      </x:c>
      <x:c r="AF4819" s="87" t="str">
        <x:v>VIS-MATH-MAY-BASE-TASK-P012: 12; VIS-MATH-MAY-KEY-BASE: original</x:v>
      </x:c>
      <x:c r="AG4819" s="87" t="str">
        <x:v>RESOLVED</x:v>
      </x:c>
      <x:c r="AH4819" s="87" t="str">
        <x:v>CROP_VERIFIED; ORIGINAL_IMAGE_NO_CROP</x:v>
      </x:c>
      <x:c r="AI4819" s="30" t="str">
        <x:v>{"Уровень": "Базовый"}</x:v>
      </x:c>
      <x:c r="AJ4819" s="87" t="str">
        <x:v>clean</x:v>
      </x:c>
      <x:c r="AK4819" s="87" t="str">
        <x:v>clean-v0.09</x:v>
      </x:c>
      <x:c r="AL4819" s="87" t="str">
        <x:v>statgrad_clean_continuation_v0_09(1).xlsx</x:v>
      </x:c>
      <x:c r="AM4819" s="87" t="str">
        <x:v>MATH_May_0302</x:v>
      </x:c>
      <x:c r="AN4819" s="87" t="n">
        <x:v>7</x:v>
      </x:c>
    </x:row>
    <x:row r="4820">
      <x:c r="A4820" s="87" t="n">
        <x:v>4819</x:v>
      </x:c>
      <x:c r="B4820" s="87" t="str">
        <x:v>MAY-MATH-02-007</x:v>
      </x:c>
      <x:c r="C4820" s="87" t="str">
        <x:v>СтатГрад</x:v>
      </x:c>
      <x:c r="D4820" s="87" t="str">
        <x:v>Май 2026</x:v>
      </x:c>
      <x:c r="E4820" s="87"/>
      <x:c r="F4820" s="87"/>
      <x:c r="G4820" s="87" t="str">
        <x:v>Математика</x:v>
      </x:c>
      <x:c r="H4820" s="87" t="n">
        <x:v>10</x:v>
      </x:c>
      <x:c r="I4820" s="87" t="str">
        <x:v>ТР №2</x:v>
      </x:c>
      <x:c r="J4820" s="87" t="str">
        <x:v>МА2500302</x:v>
      </x:c>
      <x:c r="K4820" s="87" t="n">
        <x:v>7</x:v>
      </x:c>
      <x:c r="L4820" s="87" t="str">
        <x:v>Установление соответствия</x:v>
      </x:c>
      <x:c r="M4820" s="30" t="str">
        <x:v>2На рисунках изображены графики функций вида y = ax + bx + c . Установите соответствие между графиками функций и знаками коэффициентов a и c . ФУНКЦИИ А) y В) y 0 x 0 x Б) y Г) y 0 x 0 x КОЭФФИЦИЕНТЫ 1) a &gt; 0 , c &lt; 0 2) a &lt; 0 , c &gt; 0 3) a &lt; 0 , c &lt; 0 4) a &gt; 0 , c &gt; 0 В таблице под каждой буквой укажите соответствующий номер. А Б В Г</x:v>
      </x:c>
      <x:c r="N4820" s="30" t="str">
        <x:v>2413</x:v>
      </x:c>
      <x:c r="O4820" s="30" t="str">
        <x:v>Краткий ответ перенесён из официальной таблицы; тип задания и числовой результат проверены по условию.</x:v>
      </x:c>
      <x:c r="P4820" s="30" t="str">
        <x:v>Наличие задания, диапазон допустимого ответа и соответствие официальному ключу проверены; явных противоречий не обнаружено.</x:v>
      </x:c>
      <x:c r="Q4820" s="30"/>
      <x:c r="R4820" s="30" t="str">
        <x:v>2413</x:v>
      </x:c>
      <x:c r="S4820" s="30"/>
      <x:c r="T4820" s="30" t="str">
        <x:v>База.jpg</x:v>
      </x:c>
      <x:c r="U4820" s="30" t="str">
        <x:v>Расхождений с каноническим источником не выявлено.</x:v>
      </x:c>
      <x:c r="V4820" s="87" t="str">
        <x:v>VERIFIED</x:v>
      </x:c>
      <x:c r="W4820" s="87"/>
      <x:c r="X4820" s="87" t="n">
        <x:v>12</x:v>
      </x:c>
      <x:c r="Y4820" s="87"/>
      <x:c r="Z4820" s="87"/>
      <x:c r="AA4820" s="87"/>
      <x:c r="AB4820" s="87" t="str">
        <x:v>таблица</x:v>
      </x:c>
      <x:c r="AC4820" s="87" t="str">
        <x:v>VIS-MATH-MAY-BASE-TASK-P012</x:v>
      </x:c>
      <x:c r="AD4820" s="87" t="str">
        <x:v>VIS-MATH-MAY-KEY-BASE</x:v>
      </x:c>
      <x:c r="AE4820" s="87" t="str">
        <x:v>TASK; KEY</x:v>
      </x:c>
      <x:c r="AF4820" s="87" t="str">
        <x:v>VIS-MATH-MAY-BASE-TASK-P012: 12; VIS-MATH-MAY-KEY-BASE: original</x:v>
      </x:c>
      <x:c r="AG4820" s="87" t="str">
        <x:v>RESOLVED</x:v>
      </x:c>
      <x:c r="AH4820" s="87" t="str">
        <x:v>CROP_VERIFIED; ORIGINAL_IMAGE_NO_CROP; TASK_CROP_QA_APPROVED:USE_CONTEXT</x:v>
      </x:c>
      <x:c r="AI4820" s="30" t="str">
        <x:v>{"Уровень": "Базовый"}</x:v>
      </x:c>
      <x:c r="AJ4820" s="87" t="str">
        <x:v>clean</x:v>
      </x:c>
      <x:c r="AK4820" s="87" t="str">
        <x:v>clean-v0.09</x:v>
      </x:c>
      <x:c r="AL4820" s="87" t="str">
        <x:v>statgrad_clean_continuation_v0_09(1).xlsx</x:v>
      </x:c>
      <x:c r="AM4820" s="87" t="str">
        <x:v>MATH_May_0302</x:v>
      </x:c>
      <x:c r="AN4820" s="87" t="n">
        <x:v>8</x:v>
      </x:c>
    </x:row>
    <x:row r="4821">
      <x:c r="A4821" s="87" t="n">
        <x:v>4820</x:v>
      </x:c>
      <x:c r="B4821" s="87" t="str">
        <x:v>MAY-MATH-02-008</x:v>
      </x:c>
      <x:c r="C4821" s="87" t="str">
        <x:v>СтатГрад</x:v>
      </x:c>
      <x:c r="D4821" s="87" t="str">
        <x:v>Май 2026</x:v>
      </x:c>
      <x:c r="E4821" s="87"/>
      <x:c r="F4821" s="87"/>
      <x:c r="G4821" s="87" t="str">
        <x:v>Математика</x:v>
      </x:c>
      <x:c r="H4821" s="87" t="n">
        <x:v>10</x:v>
      </x:c>
      <x:c r="I4821" s="87" t="str">
        <x:v>ТР №2</x:v>
      </x:c>
      <x:c r="J4821" s="87" t="str">
        <x:v>МА2500302</x:v>
      </x:c>
      <x:c r="K4821" s="87" t="n">
        <x:v>8</x:v>
      </x:c>
      <x:c r="L4821" s="87" t="str">
        <x:v>Задание с кратким ответом</x:v>
      </x:c>
      <x:c r="M4821" s="30" t="str">
        <x:v>Некоторые учащиеся 11-х классов школы ходили в октябре на спектакль «Вишнёвый сад». В декабре некоторые одиннадцатиклассники пойдут на постановку по пьесе «Три сестры», причём среди них не будет тех, кто ходил в октябре на спектакль «Вишнёвый сад». Выберите утверждения, которые будут верны при указанных условиях независимо от того, кто из одиннадцатиклассников пойдёт на постановку по пьесе «Три сестры». 1) Нет ни одного одиннадцатиклассника, который ходил на спектакль «Вишнёвый сад» и пойдёт на постановку по пьесе «Три сестры». 2) Каждый учащийся 11-х классов, который не был на спектакле «Вишнёвый сад», пойдёт на постановку по пьесе «Три сестры». 3) Среди учащихся 11-х классов этой школы, которые не пойдут на постановку по пьесе «Три сестры», есть хотя бы один, который ходил на спектакль «Вишнёвый сад». 4) Найдётся одиннадцатиклассник, который не ходил на спектакль «Вишнёвый сад» и не пойдёт на постановку по пьесе «Три сестры». В ответе запишите номера выбранных утверждений без пробелов, запятых и других дополнительных символов.</x:v>
      </x:c>
      <x:c r="N4821" s="30" t="str">
        <x:v>13</x:v>
      </x:c>
      <x:c r="O4821" s="30" t="str">
        <x:v>Краткий ответ перенесён из официальной таблицы; тип задания и числовой результат проверены по условию.</x:v>
      </x:c>
      <x:c r="P4821" s="30" t="str">
        <x:v>Наличие задания, диапазон допустимого ответа и соответствие официальному ключу проверены; явных противоречий не обнаружено.</x:v>
      </x:c>
      <x:c r="Q4821" s="30"/>
      <x:c r="R4821" s="30" t="str">
        <x:v>13</x:v>
      </x:c>
      <x:c r="S4821" s="30"/>
      <x:c r="T4821" s="30" t="str">
        <x:v>База.jpg</x:v>
      </x:c>
      <x:c r="U4821" s="30" t="str">
        <x:v>Расхождений с каноническим источником не выявлено.</x:v>
      </x:c>
      <x:c r="V4821" s="87" t="str">
        <x:v>VERIFIED</x:v>
      </x:c>
      <x:c r="W4821" s="87"/>
      <x:c r="X4821" s="87" t="n">
        <x:v>13</x:v>
      </x:c>
      <x:c r="Y4821" s="87"/>
      <x:c r="Z4821" s="87"/>
      <x:c r="AA4821" s="87"/>
      <x:c r="AB4821" s="87" t="str">
        <x:v>таблица</x:v>
      </x:c>
      <x:c r="AC4821" s="87" t="str">
        <x:v>VIS-MATH-MAY-BASE-TASK-P013</x:v>
      </x:c>
      <x:c r="AD4821" s="87" t="str">
        <x:v>VIS-MATH-MAY-KEY-BASE</x:v>
      </x:c>
      <x:c r="AE4821" s="87" t="str">
        <x:v>TASK; KEY</x:v>
      </x:c>
      <x:c r="AF4821" s="87" t="str">
        <x:v>VIS-MATH-MAY-BASE-TASK-P013: 13; VIS-MATH-MAY-KEY-BASE: original</x:v>
      </x:c>
      <x:c r="AG4821" s="87" t="str">
        <x:v>RESOLVED</x:v>
      </x:c>
      <x:c r="AH4821" s="87" t="str">
        <x:v>CROP_VERIFIED; ORIGINAL_IMAGE_NO_CROP</x:v>
      </x:c>
      <x:c r="AI4821" s="30" t="str">
        <x:v>{"Уровень": "Базовый"}</x:v>
      </x:c>
      <x:c r="AJ4821" s="87" t="str">
        <x:v>clean</x:v>
      </x:c>
      <x:c r="AK4821" s="87" t="str">
        <x:v>clean-v0.09</x:v>
      </x:c>
      <x:c r="AL4821" s="87" t="str">
        <x:v>statgrad_clean_continuation_v0_09(1).xlsx</x:v>
      </x:c>
      <x:c r="AM4821" s="87" t="str">
        <x:v>MATH_May_0302</x:v>
      </x:c>
      <x:c r="AN4821" s="87" t="n">
        <x:v>9</x:v>
      </x:c>
    </x:row>
    <x:row r="4822">
      <x:c r="A4822" s="87" t="n">
        <x:v>4821</x:v>
      </x:c>
      <x:c r="B4822" s="87" t="str">
        <x:v>MAY-MATH-02-009</x:v>
      </x:c>
      <x:c r="C4822" s="87" t="str">
        <x:v>СтатГрад</x:v>
      </x:c>
      <x:c r="D4822" s="87" t="str">
        <x:v>Май 2026</x:v>
      </x:c>
      <x:c r="E4822" s="87"/>
      <x:c r="F4822" s="87"/>
      <x:c r="G4822" s="87" t="str">
        <x:v>Математика</x:v>
      </x:c>
      <x:c r="H4822" s="87" t="n">
        <x:v>10</x:v>
      </x:c>
      <x:c r="I4822" s="87" t="str">
        <x:v>ТР №2</x:v>
      </x:c>
      <x:c r="J4822" s="87" t="str">
        <x:v>МА2500302</x:v>
      </x:c>
      <x:c r="K4822" s="87" t="n">
        <x:v>9</x:v>
      </x:c>
      <x:c r="L4822" s="87" t="str">
        <x:v>Геометрия / площадь</x:v>
      </x:c>
      <x:c r="M4822" s="30" t="str">
        <x:v>План местности разбит на клетки. Каждая клетка обозначает квадрат 1м × 1м . Найдите площадь участка, выделенного на плане. Ответ дайте в квадратных метрах.</x:v>
      </x:c>
      <x:c r="N4822" s="30" t="str">
        <x:v>33</x:v>
      </x:c>
      <x:c r="O4822" s="30" t="str">
        <x:v>Краткий ответ перенесён из официальной таблицы; тип задания и числовой результат проверены по условию.</x:v>
      </x:c>
      <x:c r="P4822" s="30" t="str">
        <x:v>Наличие задания, диапазон допустимого ответа и соответствие официальному ключу проверены; явных противоречий не обнаружено.</x:v>
      </x:c>
      <x:c r="Q4822" s="30"/>
      <x:c r="R4822" s="30" t="str">
        <x:v>33</x:v>
      </x:c>
      <x:c r="S4822" s="30"/>
      <x:c r="T4822" s="30" t="str">
        <x:v>База.jpg</x:v>
      </x:c>
      <x:c r="U4822" s="30" t="str">
        <x:v>Расхождений с каноническим источником не выявлено.</x:v>
      </x:c>
      <x:c r="V4822" s="87" t="str">
        <x:v>VERIFIED</x:v>
      </x:c>
      <x:c r="W4822" s="87"/>
      <x:c r="X4822" s="87" t="n">
        <x:v>13</x:v>
      </x:c>
      <x:c r="Y4822" s="87"/>
      <x:c r="Z4822" s="87"/>
      <x:c r="AA4822" s="87"/>
      <x:c r="AB4822" s="87" t="str">
        <x:v>таблица</x:v>
      </x:c>
      <x:c r="AC4822" s="87" t="str">
        <x:v>VIS-MATH-MAY-BASE-TASK-P013</x:v>
      </x:c>
      <x:c r="AD4822" s="87" t="str">
        <x:v>VIS-MATH-MAY-KEY-BASE</x:v>
      </x:c>
      <x:c r="AE4822" s="87" t="str">
        <x:v>TASK; KEY</x:v>
      </x:c>
      <x:c r="AF4822" s="87" t="str">
        <x:v>VIS-MATH-MAY-BASE-TASK-P013: 13; VIS-MATH-MAY-KEY-BASE: original</x:v>
      </x:c>
      <x:c r="AG4822" s="87" t="str">
        <x:v>RESOLVED</x:v>
      </x:c>
      <x:c r="AH4822" s="87" t="str">
        <x:v>CROP_VERIFIED; ORIGINAL_IMAGE_NO_CROP; TASK_CROP_QA_APPROVED:USE_TIGHT</x:v>
      </x:c>
      <x:c r="AI4822" s="30" t="str">
        <x:v>{"Уровень": "Базовый"}</x:v>
      </x:c>
      <x:c r="AJ4822" s="87" t="str">
        <x:v>clean</x:v>
      </x:c>
      <x:c r="AK4822" s="87" t="str">
        <x:v>clean-v0.09</x:v>
      </x:c>
      <x:c r="AL4822" s="87" t="str">
        <x:v>statgrad_clean_continuation_v0_09(1).xlsx</x:v>
      </x:c>
      <x:c r="AM4822" s="87" t="str">
        <x:v>MATH_May_0302</x:v>
      </x:c>
      <x:c r="AN4822" s="87" t="n">
        <x:v>10</x:v>
      </x:c>
    </x:row>
    <x:row r="4823">
      <x:c r="A4823" s="87" t="n">
        <x:v>4822</x:v>
      </x:c>
      <x:c r="B4823" s="87" t="str">
        <x:v>MAY-MATH-02-010</x:v>
      </x:c>
      <x:c r="C4823" s="87" t="str">
        <x:v>СтатГрад</x:v>
      </x:c>
      <x:c r="D4823" s="87" t="str">
        <x:v>Май 2026</x:v>
      </x:c>
      <x:c r="E4823" s="87"/>
      <x:c r="F4823" s="87"/>
      <x:c r="G4823" s="87" t="str">
        <x:v>Математика</x:v>
      </x:c>
      <x:c r="H4823" s="87" t="n">
        <x:v>10</x:v>
      </x:c>
      <x:c r="I4823" s="87" t="str">
        <x:v>ТР №2</x:v>
      </x:c>
      <x:c r="J4823" s="87" t="str">
        <x:v>МА2500302</x:v>
      </x:c>
      <x:c r="K4823" s="87" t="n">
        <x:v>10</x:v>
      </x:c>
      <x:c r="L4823" s="87" t="str">
        <x:v>Задание с кратким ответом</x:v>
      </x:c>
      <x:c r="M4823" s="30" t="str">
        <x:v>Пол комнаты, имеющей форму прямоугольника со сторонами 4 м и 6 м, требуется покрыть паркетом из прямоугольных дощечек со сторонами 5 см и 40 см. Сколько потребуется таких дощечек?</x:v>
      </x:c>
      <x:c r="N4823" s="30" t="str">
        <x:v>1200</x:v>
      </x:c>
      <x:c r="O4823" s="30" t="str">
        <x:v>Краткий ответ перенесён из официальной таблицы; тип задания и числовой результат проверены по условию.</x:v>
      </x:c>
      <x:c r="P4823" s="30" t="str">
        <x:v>Наличие задания, диапазон допустимого ответа и соответствие официальному ключу проверены; явных противоречий не обнаружено.</x:v>
      </x:c>
      <x:c r="Q4823" s="30"/>
      <x:c r="R4823" s="30" t="str">
        <x:v>1200</x:v>
      </x:c>
      <x:c r="S4823" s="30"/>
      <x:c r="T4823" s="30" t="str">
        <x:v>База.jpg</x:v>
      </x:c>
      <x:c r="U4823" s="30" t="str">
        <x:v>Расхождений с каноническим источником не выявлено.</x:v>
      </x:c>
      <x:c r="V4823" s="87" t="str">
        <x:v>VERIFIED</x:v>
      </x:c>
      <x:c r="W4823" s="87"/>
      <x:c r="X4823" s="87" t="n">
        <x:v>13</x:v>
      </x:c>
      <x:c r="Y4823" s="87"/>
      <x:c r="Z4823" s="87"/>
      <x:c r="AA4823" s="87"/>
      <x:c r="AB4823" s="87" t="str">
        <x:v>таблица</x:v>
      </x:c>
      <x:c r="AC4823" s="87" t="str">
        <x:v>VIS-MATH-MAY-BASE-TASK-P013</x:v>
      </x:c>
      <x:c r="AD4823" s="87" t="str">
        <x:v>VIS-MATH-MAY-KEY-BASE</x:v>
      </x:c>
      <x:c r="AE4823" s="87" t="str">
        <x:v>TASK; KEY</x:v>
      </x:c>
      <x:c r="AF4823" s="87" t="str">
        <x:v>VIS-MATH-MAY-BASE-TASK-P013: 13; VIS-MATH-MAY-KEY-BASE: original</x:v>
      </x:c>
      <x:c r="AG4823" s="87" t="str">
        <x:v>RESOLVED</x:v>
      </x:c>
      <x:c r="AH4823" s="87" t="str">
        <x:v>CROP_VERIFIED; ORIGINAL_IMAGE_NO_CROP</x:v>
      </x:c>
      <x:c r="AI4823" s="30" t="str">
        <x:v>{"Уровень": "Базовый"}</x:v>
      </x:c>
      <x:c r="AJ4823" s="87" t="str">
        <x:v>clean</x:v>
      </x:c>
      <x:c r="AK4823" s="87" t="str">
        <x:v>clean-v0.09</x:v>
      </x:c>
      <x:c r="AL4823" s="87" t="str">
        <x:v>statgrad_clean_continuation_v0_09(1).xlsx</x:v>
      </x:c>
      <x:c r="AM4823" s="87" t="str">
        <x:v>MATH_May_0302</x:v>
      </x:c>
      <x:c r="AN4823" s="87" t="n">
        <x:v>11</x:v>
      </x:c>
    </x:row>
    <x:row r="4824">
      <x:c r="A4824" s="87" t="n">
        <x:v>4823</x:v>
      </x:c>
      <x:c r="B4824" s="87" t="str">
        <x:v>MAY-MATH-02-011</x:v>
      </x:c>
      <x:c r="C4824" s="87" t="str">
        <x:v>СтатГрад</x:v>
      </x:c>
      <x:c r="D4824" s="87" t="str">
        <x:v>Май 2026</x:v>
      </x:c>
      <x:c r="E4824" s="87"/>
      <x:c r="F4824" s="87"/>
      <x:c r="G4824" s="87" t="str">
        <x:v>Математика</x:v>
      </x:c>
      <x:c r="H4824" s="87" t="n">
        <x:v>10</x:v>
      </x:c>
      <x:c r="I4824" s="87" t="str">
        <x:v>ТР №2</x:v>
      </x:c>
      <x:c r="J4824" s="87" t="str">
        <x:v>МА2500302</x:v>
      </x:c>
      <x:c r="K4824" s="87" t="n">
        <x:v>11</x:v>
      </x:c>
      <x:c r="L4824" s="87" t="str">
        <x:v>Стереометрия</x:v>
      </x:c>
      <x:c r="M4824" s="30" t="str">
        <x:v>Плоскость, проходящая через точки A, B и C (см. Bрисунок), разбивает правильную треугольную призму на A два многогранника. Сколько вершин у получившегося многогранника с меньшим числом граней? C</x:v>
      </x:c>
      <x:c r="N4824" s="30" t="str">
        <x:v>6</x:v>
      </x:c>
      <x:c r="O4824" s="30" t="str">
        <x:v>Краткий ответ перенесён из официальной таблицы; тип задания и числовой результат проверены по условию.</x:v>
      </x:c>
      <x:c r="P4824" s="30" t="str">
        <x:v>Наличие задания, диапазон допустимого ответа и соответствие официальному ключу проверены; явных противоречий не обнаружено.</x:v>
      </x:c>
      <x:c r="Q4824" s="30"/>
      <x:c r="R4824" s="30" t="str">
        <x:v>6</x:v>
      </x:c>
      <x:c r="S4824" s="30"/>
      <x:c r="T4824" s="30" t="str">
        <x:v>База.jpg</x:v>
      </x:c>
      <x:c r="U4824" s="30" t="str">
        <x:v>Расхождений с каноническим источником не выявлено.</x:v>
      </x:c>
      <x:c r="V4824" s="87" t="str">
        <x:v>VERIFIED</x:v>
      </x:c>
      <x:c r="W4824" s="87"/>
      <x:c r="X4824" s="87" t="n">
        <x:v>14</x:v>
      </x:c>
      <x:c r="Y4824" s="87"/>
      <x:c r="Z4824" s="87"/>
      <x:c r="AA4824" s="87"/>
      <x:c r="AB4824" s="87" t="str">
        <x:v>таблица</x:v>
      </x:c>
      <x:c r="AC4824" s="87" t="str">
        <x:v>VIS-MATH-MAY-BASE-TASK-P014</x:v>
      </x:c>
      <x:c r="AD4824" s="87" t="str">
        <x:v>VIS-MATH-MAY-KEY-BASE</x:v>
      </x:c>
      <x:c r="AE4824" s="87" t="str">
        <x:v>TASK; KEY</x:v>
      </x:c>
      <x:c r="AF4824" s="87" t="str">
        <x:v>VIS-MATH-MAY-BASE-TASK-P014: 14; VIS-MATH-MAY-KEY-BASE: original</x:v>
      </x:c>
      <x:c r="AG4824" s="87" t="str">
        <x:v>RESOLVED</x:v>
      </x:c>
      <x:c r="AH4824" s="87" t="str">
        <x:v>CROP_VERIFIED; ORIGINAL_IMAGE_NO_CROP</x:v>
      </x:c>
      <x:c r="AI4824" s="30" t="str">
        <x:v>{"Уровень": "Базовый"}</x:v>
      </x:c>
      <x:c r="AJ4824" s="87" t="str">
        <x:v>clean</x:v>
      </x:c>
      <x:c r="AK4824" s="87" t="str">
        <x:v>clean-v0.09</x:v>
      </x:c>
      <x:c r="AL4824" s="87" t="str">
        <x:v>statgrad_clean_continuation_v0_09(1).xlsx</x:v>
      </x:c>
      <x:c r="AM4824" s="87" t="str">
        <x:v>MATH_May_0302</x:v>
      </x:c>
      <x:c r="AN4824" s="87" t="n">
        <x:v>12</x:v>
      </x:c>
    </x:row>
    <x:row r="4825">
      <x:c r="A4825" s="87" t="n">
        <x:v>4824</x:v>
      </x:c>
      <x:c r="B4825" s="87" t="str">
        <x:v>MAY-MATH-02-012</x:v>
      </x:c>
      <x:c r="C4825" s="87" t="str">
        <x:v>СтатГрад</x:v>
      </x:c>
      <x:c r="D4825" s="87" t="str">
        <x:v>Май 2026</x:v>
      </x:c>
      <x:c r="E4825" s="87"/>
      <x:c r="F4825" s="87"/>
      <x:c r="G4825" s="87" t="str">
        <x:v>Математика</x:v>
      </x:c>
      <x:c r="H4825" s="87" t="n">
        <x:v>10</x:v>
      </x:c>
      <x:c r="I4825" s="87" t="str">
        <x:v>ТР №2</x:v>
      </x:c>
      <x:c r="J4825" s="87" t="str">
        <x:v>МА2500302</x:v>
      </x:c>
      <x:c r="K4825" s="87" t="n">
        <x:v>12</x:v>
      </x:c>
      <x:c r="L4825" s="87" t="str">
        <x:v>Планиметрия</x:v>
      </x:c>
      <x:c r="M4825" s="30" t="str">
        <x:v>На окружности с центром O отмечены точки A и B так, A что ∠AOB = 28°. Длина меньшей дуги AB равна 7. Найдите длину большей дуги. O B</x:v>
      </x:c>
      <x:c r="N4825" s="30" t="str">
        <x:v>83</x:v>
      </x:c>
      <x:c r="O4825" s="30" t="str">
        <x:v>Краткий ответ перенесён из официальной таблицы; тип задания и числовой результат проверены по условию.</x:v>
      </x:c>
      <x:c r="P4825" s="30" t="str">
        <x:v>Наличие задания, диапазон допустимого ответа и соответствие официальному ключу проверены; явных противоречий не обнаружено.</x:v>
      </x:c>
      <x:c r="Q4825" s="30"/>
      <x:c r="R4825" s="30" t="str">
        <x:v>83</x:v>
      </x:c>
      <x:c r="S4825" s="30"/>
      <x:c r="T4825" s="30" t="str">
        <x:v>База.jpg</x:v>
      </x:c>
      <x:c r="U4825" s="30" t="str">
        <x:v>Расхождений с каноническим источником не выявлено.</x:v>
      </x:c>
      <x:c r="V4825" s="87" t="str">
        <x:v>VERIFIED</x:v>
      </x:c>
      <x:c r="W4825" s="87"/>
      <x:c r="X4825" s="87" t="n">
        <x:v>14</x:v>
      </x:c>
      <x:c r="Y4825" s="87"/>
      <x:c r="Z4825" s="87"/>
      <x:c r="AA4825" s="87"/>
      <x:c r="AB4825" s="87" t="str">
        <x:v>таблица</x:v>
      </x:c>
      <x:c r="AC4825" s="87" t="str">
        <x:v>VIS-MATH-MAY-BASE-TASK-P014</x:v>
      </x:c>
      <x:c r="AD4825" s="87" t="str">
        <x:v>VIS-MATH-MAY-KEY-BASE</x:v>
      </x:c>
      <x:c r="AE4825" s="87" t="str">
        <x:v>TASK; KEY</x:v>
      </x:c>
      <x:c r="AF4825" s="87" t="str">
        <x:v>VIS-MATH-MAY-BASE-TASK-P014: 14; VIS-MATH-MAY-KEY-BASE: original</x:v>
      </x:c>
      <x:c r="AG4825" s="87" t="str">
        <x:v>RESOLVED</x:v>
      </x:c>
      <x:c r="AH4825" s="87" t="str">
        <x:v>CROP_VERIFIED; ORIGINAL_IMAGE_NO_CROP</x:v>
      </x:c>
      <x:c r="AI4825" s="30" t="str">
        <x:v>{"Уровень": "Базовый"}</x:v>
      </x:c>
      <x:c r="AJ4825" s="87" t="str">
        <x:v>clean</x:v>
      </x:c>
      <x:c r="AK4825" s="87" t="str">
        <x:v>clean-v0.09</x:v>
      </x:c>
      <x:c r="AL4825" s="87" t="str">
        <x:v>statgrad_clean_continuation_v0_09(1).xlsx</x:v>
      </x:c>
      <x:c r="AM4825" s="87" t="str">
        <x:v>MATH_May_0302</x:v>
      </x:c>
      <x:c r="AN4825" s="87" t="n">
        <x:v>13</x:v>
      </x:c>
    </x:row>
    <x:row r="4826">
      <x:c r="A4826" s="87" t="n">
        <x:v>4825</x:v>
      </x:c>
      <x:c r="B4826" s="87" t="str">
        <x:v>MAY-MATH-02-013</x:v>
      </x:c>
      <x:c r="C4826" s="87" t="str">
        <x:v>СтатГрад</x:v>
      </x:c>
      <x:c r="D4826" s="87" t="str">
        <x:v>Май 2026</x:v>
      </x:c>
      <x:c r="E4826" s="87"/>
      <x:c r="F4826" s="87"/>
      <x:c r="G4826" s="87" t="str">
        <x:v>Математика</x:v>
      </x:c>
      <x:c r="H4826" s="87" t="n">
        <x:v>10</x:v>
      </x:c>
      <x:c r="I4826" s="87" t="str">
        <x:v>ТР №2</x:v>
      </x:c>
      <x:c r="J4826" s="87" t="str">
        <x:v>МА2500302</x:v>
      </x:c>
      <x:c r="K4826" s="87" t="n">
        <x:v>13</x:v>
      </x:c>
      <x:c r="L4826" s="87" t="str">
        <x:v>Геометрия / объём</x:v>
      </x:c>
      <x:c r="M4826" s="30" t="str">
        <x:v>Основанием четырёхугольной пирамиды является прямоугольник со сторонами 7 и 3. Найдите высоту этой пирамиды, если её объём равен 42.</x:v>
      </x:c>
      <x:c r="N4826" s="30" t="str">
        <x:v>6</x:v>
      </x:c>
      <x:c r="O4826" s="30" t="str">
        <x:v>Краткий ответ перенесён из официальной таблицы; тип задания и числовой результат проверены по условию.</x:v>
      </x:c>
      <x:c r="P4826" s="30" t="str">
        <x:v>Наличие задания, диапазон допустимого ответа и соответствие официальному ключу проверены; явных противоречий не обнаружено.</x:v>
      </x:c>
      <x:c r="Q4826" s="30"/>
      <x:c r="R4826" s="30" t="str">
        <x:v>6</x:v>
      </x:c>
      <x:c r="S4826" s="30"/>
      <x:c r="T4826" s="30" t="str">
        <x:v>База.jpg</x:v>
      </x:c>
      <x:c r="U4826" s="30" t="str">
        <x:v>Расхождений с каноническим источником не выявлено.</x:v>
      </x:c>
      <x:c r="V4826" s="87" t="str">
        <x:v>VERIFIED</x:v>
      </x:c>
      <x:c r="W4826" s="87"/>
      <x:c r="X4826" s="87" t="n">
        <x:v>14</x:v>
      </x:c>
      <x:c r="Y4826" s="87"/>
      <x:c r="Z4826" s="87"/>
      <x:c r="AA4826" s="87"/>
      <x:c r="AB4826" s="87" t="str">
        <x:v>таблица</x:v>
      </x:c>
      <x:c r="AC4826" s="87" t="str">
        <x:v>VIS-MATH-MAY-BASE-TASK-P014</x:v>
      </x:c>
      <x:c r="AD4826" s="87" t="str">
        <x:v>VIS-MATH-MAY-KEY-BASE</x:v>
      </x:c>
      <x:c r="AE4826" s="87" t="str">
        <x:v>TASK; KEY</x:v>
      </x:c>
      <x:c r="AF4826" s="87" t="str">
        <x:v>VIS-MATH-MAY-BASE-TASK-P014: 14; VIS-MATH-MAY-KEY-BASE: original</x:v>
      </x:c>
      <x:c r="AG4826" s="87" t="str">
        <x:v>RESOLVED</x:v>
      </x:c>
      <x:c r="AH4826" s="87" t="str">
        <x:v>CROP_VERIFIED; ORIGINAL_IMAGE_NO_CROP</x:v>
      </x:c>
      <x:c r="AI4826" s="30" t="str">
        <x:v>{"Уровень": "Базовый"}</x:v>
      </x:c>
      <x:c r="AJ4826" s="87" t="str">
        <x:v>clean</x:v>
      </x:c>
      <x:c r="AK4826" s="87" t="str">
        <x:v>clean-v0.09</x:v>
      </x:c>
      <x:c r="AL4826" s="87" t="str">
        <x:v>statgrad_clean_continuation_v0_09(1).xlsx</x:v>
      </x:c>
      <x:c r="AM4826" s="87" t="str">
        <x:v>MATH_May_0302</x:v>
      </x:c>
      <x:c r="AN4826" s="87" t="n">
        <x:v>14</x:v>
      </x:c>
    </x:row>
    <x:row r="4827">
      <x:c r="A4827" s="87" t="n">
        <x:v>4826</x:v>
      </x:c>
      <x:c r="B4827" s="87" t="str">
        <x:v>MAY-MATH-02-014</x:v>
      </x:c>
      <x:c r="C4827" s="87" t="str">
        <x:v>СтатГрад</x:v>
      </x:c>
      <x:c r="D4827" s="87" t="str">
        <x:v>Май 2026</x:v>
      </x:c>
      <x:c r="E4827" s="87"/>
      <x:c r="F4827" s="87"/>
      <x:c r="G4827" s="87" t="str">
        <x:v>Математика</x:v>
      </x:c>
      <x:c r="H4827" s="87" t="n">
        <x:v>10</x:v>
      </x:c>
      <x:c r="I4827" s="87" t="str">
        <x:v>ТР №2</x:v>
      </x:c>
      <x:c r="J4827" s="87" t="str">
        <x:v>МА2500302</x:v>
      </x:c>
      <x:c r="K4827" s="87" t="n">
        <x:v>14</x:v>
      </x:c>
      <x:c r="L4827" s="87" t="str">
        <x:v>Задание с кратким ответом</x:v>
      </x:c>
      <x:c r="M4827" s="30" t="str">
        <x:v>Найдите значение выражения 5,4:1,8 ⋅ 1,4 .</x:v>
      </x:c>
      <x:c r="N4827" s="30" t="str">
        <x:v>4,2</x:v>
      </x:c>
      <x:c r="O4827" s="30" t="str">
        <x:v>Краткий ответ перенесён из официальной таблицы; тип задания и числовой результат проверены по условию.</x:v>
      </x:c>
      <x:c r="P4827" s="30" t="str">
        <x:v>Наличие задания, диапазон допустимого ответа и соответствие официальному ключу проверены; явных противоречий не обнаружено.</x:v>
      </x:c>
      <x:c r="Q4827" s="30"/>
      <x:c r="R4827" s="30" t="str">
        <x:v>4,2</x:v>
      </x:c>
      <x:c r="S4827" s="30"/>
      <x:c r="T4827" s="30" t="str">
        <x:v>База.jpg</x:v>
      </x:c>
      <x:c r="U4827" s="30" t="str">
        <x:v>Расхождений с каноническим источником не выявлено.</x:v>
      </x:c>
      <x:c r="V4827" s="87" t="str">
        <x:v>VERIFIED</x:v>
      </x:c>
      <x:c r="W4827" s="87"/>
      <x:c r="X4827" s="87" t="n">
        <x:v>14</x:v>
      </x:c>
      <x:c r="Y4827" s="87"/>
      <x:c r="Z4827" s="87"/>
      <x:c r="AA4827" s="87"/>
      <x:c r="AB4827" s="87" t="str">
        <x:v>таблица</x:v>
      </x:c>
      <x:c r="AC4827" s="87" t="str">
        <x:v>VIS-MATH-MAY-BASE-TASK-P014</x:v>
      </x:c>
      <x:c r="AD4827" s="87" t="str">
        <x:v>VIS-MATH-MAY-KEY-BASE</x:v>
      </x:c>
      <x:c r="AE4827" s="87" t="str">
        <x:v>TASK; KEY</x:v>
      </x:c>
      <x:c r="AF4827" s="87" t="str">
        <x:v>VIS-MATH-MAY-BASE-TASK-P014: 14; VIS-MATH-MAY-KEY-BASE: original</x:v>
      </x:c>
      <x:c r="AG4827" s="87" t="str">
        <x:v>RESOLVED</x:v>
      </x:c>
      <x:c r="AH4827" s="87" t="str">
        <x:v>CROP_VERIFIED; ORIGINAL_IMAGE_NO_CROP</x:v>
      </x:c>
      <x:c r="AI4827" s="30" t="str">
        <x:v>{"Уровень": "Базовый"}</x:v>
      </x:c>
      <x:c r="AJ4827" s="87" t="str">
        <x:v>clean</x:v>
      </x:c>
      <x:c r="AK4827" s="87" t="str">
        <x:v>clean-v0.09</x:v>
      </x:c>
      <x:c r="AL4827" s="87" t="str">
        <x:v>statgrad_clean_continuation_v0_09(1).xlsx</x:v>
      </x:c>
      <x:c r="AM4827" s="87" t="str">
        <x:v>MATH_May_0302</x:v>
      </x:c>
      <x:c r="AN4827" s="87" t="n">
        <x:v>15</x:v>
      </x:c>
    </x:row>
    <x:row r="4828">
      <x:c r="A4828" s="87" t="n">
        <x:v>4827</x:v>
      </x:c>
      <x:c r="B4828" s="87" t="str">
        <x:v>MAY-MATH-02-015</x:v>
      </x:c>
      <x:c r="C4828" s="87" t="str">
        <x:v>СтатГрад</x:v>
      </x:c>
      <x:c r="D4828" s="87" t="str">
        <x:v>Май 2026</x:v>
      </x:c>
      <x:c r="E4828" s="87"/>
      <x:c r="F4828" s="87"/>
      <x:c r="G4828" s="87" t="str">
        <x:v>Математика</x:v>
      </x:c>
      <x:c r="H4828" s="87" t="n">
        <x:v>10</x:v>
      </x:c>
      <x:c r="I4828" s="87" t="str">
        <x:v>ТР №2</x:v>
      </x:c>
      <x:c r="J4828" s="87" t="str">
        <x:v>МА2500302</x:v>
      </x:c>
      <x:c r="K4828" s="87" t="n">
        <x:v>15</x:v>
      </x:c>
      <x:c r="L4828" s="87" t="str">
        <x:v>Задание с кратким ответом</x:v>
      </x:c>
      <x:c r="M4828" s="30" t="str">
        <x:v>В городе 240 000 жителей, причём 25 % — это пенсионеры. Сколько пенсионеров в этом городе?</x:v>
      </x:c>
      <x:c r="N4828" s="30" t="str">
        <x:v>60000</x:v>
      </x:c>
      <x:c r="O4828" s="30" t="str">
        <x:v>Краткий ответ перенесён из официальной таблицы; тип задания и числовой результат проверены по условию.</x:v>
      </x:c>
      <x:c r="P4828" s="30" t="str">
        <x:v>Наличие задания, диапазон допустимого ответа и соответствие официальному ключу проверены; явных противоречий не обнаружено.</x:v>
      </x:c>
      <x:c r="Q4828" s="30"/>
      <x:c r="R4828" s="30" t="str">
        <x:v>60000</x:v>
      </x:c>
      <x:c r="S4828" s="30"/>
      <x:c r="T4828" s="30" t="str">
        <x:v>База.jpg</x:v>
      </x:c>
      <x:c r="U4828" s="30" t="str">
        <x:v>Расхождений с каноническим источником не выявлено.</x:v>
      </x:c>
      <x:c r="V4828" s="87" t="str">
        <x:v>VERIFIED</x:v>
      </x:c>
      <x:c r="W4828" s="87"/>
      <x:c r="X4828" s="87" t="n">
        <x:v>14</x:v>
      </x:c>
      <x:c r="Y4828" s="87"/>
      <x:c r="Z4828" s="87"/>
      <x:c r="AA4828" s="87"/>
      <x:c r="AB4828" s="87" t="str">
        <x:v>таблица</x:v>
      </x:c>
      <x:c r="AC4828" s="87" t="str">
        <x:v>VIS-MATH-MAY-BASE-TASK-P014</x:v>
      </x:c>
      <x:c r="AD4828" s="87" t="str">
        <x:v>VIS-MATH-MAY-KEY-BASE</x:v>
      </x:c>
      <x:c r="AE4828" s="87" t="str">
        <x:v>TASK; KEY</x:v>
      </x:c>
      <x:c r="AF4828" s="87" t="str">
        <x:v>VIS-MATH-MAY-BASE-TASK-P014: 14; VIS-MATH-MAY-KEY-BASE: original</x:v>
      </x:c>
      <x:c r="AG4828" s="87" t="str">
        <x:v>RESOLVED</x:v>
      </x:c>
      <x:c r="AH4828" s="87" t="str">
        <x:v>CROP_VERIFIED; ORIGINAL_IMAGE_NO_CROP</x:v>
      </x:c>
      <x:c r="AI4828" s="30" t="str">
        <x:v>{"Уровень": "Базовый"}</x:v>
      </x:c>
      <x:c r="AJ4828" s="87" t="str">
        <x:v>clean</x:v>
      </x:c>
      <x:c r="AK4828" s="87" t="str">
        <x:v>clean-v0.09</x:v>
      </x:c>
      <x:c r="AL4828" s="87" t="str">
        <x:v>statgrad_clean_continuation_v0_09(1).xlsx</x:v>
      </x:c>
      <x:c r="AM4828" s="87" t="str">
        <x:v>MATH_May_0302</x:v>
      </x:c>
      <x:c r="AN4828" s="87" t="n">
        <x:v>16</x:v>
      </x:c>
    </x:row>
    <x:row r="4829">
      <x:c r="A4829" s="87" t="n">
        <x:v>4828</x:v>
      </x:c>
      <x:c r="B4829" s="87" t="str">
        <x:v>MAY-MATH-02-016</x:v>
      </x:c>
      <x:c r="C4829" s="87" t="str">
        <x:v>СтатГрад</x:v>
      </x:c>
      <x:c r="D4829" s="87" t="str">
        <x:v>Май 2026</x:v>
      </x:c>
      <x:c r="E4829" s="87"/>
      <x:c r="F4829" s="87"/>
      <x:c r="G4829" s="87" t="str">
        <x:v>Математика</x:v>
      </x:c>
      <x:c r="H4829" s="87" t="n">
        <x:v>10</x:v>
      </x:c>
      <x:c r="I4829" s="87" t="str">
        <x:v>ТР №2</x:v>
      </x:c>
      <x:c r="J4829" s="87" t="str">
        <x:v>МА2500302</x:v>
      </x:c>
      <x:c r="K4829" s="87" t="n">
        <x:v>16</x:v>
      </x:c>
      <x:c r="L4829" s="87" t="str">
        <x:v>Задание с кратким ответом</x:v>
      </x:c>
      <x:c r="M4829" s="30" t="str">
        <x:v>Найдите значение выражения log 41,6 + log 4 40 .</x:v>
      </x:c>
      <x:c r="N4829" s="30" t="str">
        <x:v>3</x:v>
      </x:c>
      <x:c r="O4829" s="30" t="str">
        <x:v>Краткий ответ перенесён из официальной таблицы; тип задания и числовой результат проверены по условию.</x:v>
      </x:c>
      <x:c r="P4829" s="30" t="str">
        <x:v>Наличие задания, диапазон допустимого ответа и соответствие официальному ключу проверены; явных противоречий не обнаружено.</x:v>
      </x:c>
      <x:c r="Q4829" s="30"/>
      <x:c r="R4829" s="30" t="str">
        <x:v>3</x:v>
      </x:c>
      <x:c r="S4829" s="30"/>
      <x:c r="T4829" s="30" t="str">
        <x:v>База.jpg</x:v>
      </x:c>
      <x:c r="U4829" s="30" t="str">
        <x:v>Расхождений с каноническим источником не выявлено.</x:v>
      </x:c>
      <x:c r="V4829" s="87" t="str">
        <x:v>VERIFIED</x:v>
      </x:c>
      <x:c r="W4829" s="87"/>
      <x:c r="X4829" s="87" t="n">
        <x:v>15</x:v>
      </x:c>
      <x:c r="Y4829" s="87"/>
      <x:c r="Z4829" s="87"/>
      <x:c r="AA4829" s="87"/>
      <x:c r="AB4829" s="87" t="str">
        <x:v>таблица</x:v>
      </x:c>
      <x:c r="AC4829" s="87" t="str">
        <x:v>VIS-MATH-MAY-BASE-TASK-P015</x:v>
      </x:c>
      <x:c r="AD4829" s="87" t="str">
        <x:v>VIS-MATH-MAY-KEY-BASE</x:v>
      </x:c>
      <x:c r="AE4829" s="87" t="str">
        <x:v>TASK; KEY</x:v>
      </x:c>
      <x:c r="AF4829" s="87" t="str">
        <x:v>VIS-MATH-MAY-BASE-TASK-P015: 15; VIS-MATH-MAY-KEY-BASE: original</x:v>
      </x:c>
      <x:c r="AG4829" s="87" t="str">
        <x:v>RESOLVED</x:v>
      </x:c>
      <x:c r="AH4829" s="87" t="str">
        <x:v>CROP_VERIFIED; ORIGINAL_IMAGE_NO_CROP</x:v>
      </x:c>
      <x:c r="AI4829" s="30" t="str">
        <x:v>{"Уровень": "Базовый"}</x:v>
      </x:c>
      <x:c r="AJ4829" s="87" t="str">
        <x:v>clean</x:v>
      </x:c>
      <x:c r="AK4829" s="87" t="str">
        <x:v>clean-v0.09</x:v>
      </x:c>
      <x:c r="AL4829" s="87" t="str">
        <x:v>statgrad_clean_continuation_v0_09(1).xlsx</x:v>
      </x:c>
      <x:c r="AM4829" s="87" t="str">
        <x:v>MATH_May_0302</x:v>
      </x:c>
      <x:c r="AN4829" s="87" t="n">
        <x:v>17</x:v>
      </x:c>
    </x:row>
    <x:row r="4830">
      <x:c r="A4830" s="87" t="n">
        <x:v>4829</x:v>
      </x:c>
      <x:c r="B4830" s="87" t="str">
        <x:v>MAY-MATH-02-017</x:v>
      </x:c>
      <x:c r="C4830" s="87" t="str">
        <x:v>СтатГрад</x:v>
      </x:c>
      <x:c r="D4830" s="87" t="str">
        <x:v>Май 2026</x:v>
      </x:c>
      <x:c r="E4830" s="87"/>
      <x:c r="F4830" s="87"/>
      <x:c r="G4830" s="87" t="str">
        <x:v>Математика</x:v>
      </x:c>
      <x:c r="H4830" s="87" t="n">
        <x:v>10</x:v>
      </x:c>
      <x:c r="I4830" s="87" t="str">
        <x:v>ТР №2</x:v>
      </x:c>
      <x:c r="J4830" s="87" t="str">
        <x:v>МА2500302</x:v>
      </x:c>
      <x:c r="K4830" s="87" t="n">
        <x:v>17</x:v>
      </x:c>
      <x:c r="L4830" s="87" t="str">
        <x:v>Уравнение</x:v>
      </x:c>
      <x:c r="M4830" s="30" t="str">
        <x:v>2Решите уравнение x = 5 x . Если уравнение имеет более одного корня, в ответе укажите больший из них.</x:v>
      </x:c>
      <x:c r="N4830" s="30" t="str">
        <x:v>5</x:v>
      </x:c>
      <x:c r="O4830" s="30" t="str">
        <x:v>Краткий ответ перенесён из официальной таблицы; тип задания и числовой результат проверены по условию.</x:v>
      </x:c>
      <x:c r="P4830" s="30" t="str">
        <x:v>Наличие задания, диапазон допустимого ответа и соответствие официальному ключу проверены; явных противоречий не обнаружено.</x:v>
      </x:c>
      <x:c r="Q4830" s="30"/>
      <x:c r="R4830" s="30" t="str">
        <x:v>5</x:v>
      </x:c>
      <x:c r="S4830" s="30"/>
      <x:c r="T4830" s="30" t="str">
        <x:v>База.jpg</x:v>
      </x:c>
      <x:c r="U4830" s="30" t="str">
        <x:v>Расхождений с каноническим источником не выявлено.</x:v>
      </x:c>
      <x:c r="V4830" s="87" t="str">
        <x:v>VERIFIED</x:v>
      </x:c>
      <x:c r="W4830" s="87"/>
      <x:c r="X4830" s="87" t="n">
        <x:v>15</x:v>
      </x:c>
      <x:c r="Y4830" s="87"/>
      <x:c r="Z4830" s="87"/>
      <x:c r="AA4830" s="87"/>
      <x:c r="AB4830" s="87" t="str">
        <x:v>таблица</x:v>
      </x:c>
      <x:c r="AC4830" s="87" t="str">
        <x:v>VIS-MATH-MAY-BASE-TASK-P015</x:v>
      </x:c>
      <x:c r="AD4830" s="87" t="str">
        <x:v>VIS-MATH-MAY-KEY-BASE</x:v>
      </x:c>
      <x:c r="AE4830" s="87" t="str">
        <x:v>TASK; KEY</x:v>
      </x:c>
      <x:c r="AF4830" s="87" t="str">
        <x:v>VIS-MATH-MAY-BASE-TASK-P015: 15; VIS-MATH-MAY-KEY-BASE: original</x:v>
      </x:c>
      <x:c r="AG4830" s="87" t="str">
        <x:v>RESOLVED</x:v>
      </x:c>
      <x:c r="AH4830" s="87" t="str">
        <x:v>CROP_VERIFIED; ORIGINAL_IMAGE_NO_CROP</x:v>
      </x:c>
      <x:c r="AI4830" s="30" t="str">
        <x:v>{"Уровень": "Базовый"}</x:v>
      </x:c>
      <x:c r="AJ4830" s="87" t="str">
        <x:v>clean</x:v>
      </x:c>
      <x:c r="AK4830" s="87" t="str">
        <x:v>clean-v0.09</x:v>
      </x:c>
      <x:c r="AL4830" s="87" t="str">
        <x:v>statgrad_clean_continuation_v0_09(1).xlsx</x:v>
      </x:c>
      <x:c r="AM4830" s="87" t="str">
        <x:v>MATH_May_0302</x:v>
      </x:c>
      <x:c r="AN4830" s="87" t="n">
        <x:v>18</x:v>
      </x:c>
    </x:row>
    <x:row r="4831">
      <x:c r="A4831" s="87" t="n">
        <x:v>4830</x:v>
      </x:c>
      <x:c r="B4831" s="87" t="str">
        <x:v>MAY-MATH-02-018</x:v>
      </x:c>
      <x:c r="C4831" s="87" t="str">
        <x:v>СтатГрад</x:v>
      </x:c>
      <x:c r="D4831" s="87" t="str">
        <x:v>Май 2026</x:v>
      </x:c>
      <x:c r="E4831" s="87"/>
      <x:c r="F4831" s="87"/>
      <x:c r="G4831" s="87" t="str">
        <x:v>Математика</x:v>
      </x:c>
      <x:c r="H4831" s="87" t="n">
        <x:v>10</x:v>
      </x:c>
      <x:c r="I4831" s="87" t="str">
        <x:v>ТР №2</x:v>
      </x:c>
      <x:c r="J4831" s="87" t="str">
        <x:v>МА2500302</x:v>
      </x:c>
      <x:c r="K4831" s="87" t="n">
        <x:v>18</x:v>
      </x:c>
      <x:c r="L4831" s="87" t="str">
        <x:v>Установление соответствия</x:v>
      </x:c>
      <x:c r="M4831" s="30" t="str">
        <x:v>На координатной прямой отмечены точки A, B, C и D . A B C D –1 0 1 2 3 4 5 Каждой точке соответствует одно из чисел в правом столбце. Установите соответствие между указанными точками и числами. ТОЧКИ ЧИСЛА A 1) log 2 20 B 4 C 2) 3 D 3) 11 7 − 1 4) ( 20 ) В таблице для каждой точки укажите номер соответствующего числа. A B C D</x:v>
      </x:c>
      <x:c r="N4831" s="30" t="str">
        <x:v>2431</x:v>
      </x:c>
      <x:c r="O4831" s="30" t="str">
        <x:v>Краткий ответ перенесён из официальной таблицы; тип задания и числовой результат проверены по условию.</x:v>
      </x:c>
      <x:c r="P4831" s="30" t="str">
        <x:v>Наличие задания, диапазон допустимого ответа и соответствие официальному ключу проверены; явных противоречий не обнаружено.</x:v>
      </x:c>
      <x:c r="Q4831" s="30"/>
      <x:c r="R4831" s="30" t="str">
        <x:v>2431</x:v>
      </x:c>
      <x:c r="S4831" s="30"/>
      <x:c r="T4831" s="30" t="str">
        <x:v>База.jpg</x:v>
      </x:c>
      <x:c r="U4831" s="30" t="str">
        <x:v>Расхождений с каноническим источником не выявлено.</x:v>
      </x:c>
      <x:c r="V4831" s="87" t="str">
        <x:v>VERIFIED</x:v>
      </x:c>
      <x:c r="W4831" s="87"/>
      <x:c r="X4831" s="87" t="n">
        <x:v>15</x:v>
      </x:c>
      <x:c r="Y4831" s="87"/>
      <x:c r="Z4831" s="87"/>
      <x:c r="AA4831" s="87"/>
      <x:c r="AB4831" s="87" t="str">
        <x:v>таблица</x:v>
      </x:c>
      <x:c r="AC4831" s="87" t="str">
        <x:v>VIS-MATH-MAY-BASE-TASK-P015</x:v>
      </x:c>
      <x:c r="AD4831" s="87" t="str">
        <x:v>VIS-MATH-MAY-KEY-BASE</x:v>
      </x:c>
      <x:c r="AE4831" s="87" t="str">
        <x:v>TASK; KEY</x:v>
      </x:c>
      <x:c r="AF4831" s="87" t="str">
        <x:v>VIS-MATH-MAY-BASE-TASK-P015: 15; VIS-MATH-MAY-KEY-BASE: original</x:v>
      </x:c>
      <x:c r="AG4831" s="87" t="str">
        <x:v>RESOLVED</x:v>
      </x:c>
      <x:c r="AH4831" s="87" t="str">
        <x:v>CROP_VERIFIED; ORIGINAL_IMAGE_NO_CROP</x:v>
      </x:c>
      <x:c r="AI4831" s="30" t="str">
        <x:v>{"Уровень": "Базовый"}</x:v>
      </x:c>
      <x:c r="AJ4831" s="87" t="str">
        <x:v>clean</x:v>
      </x:c>
      <x:c r="AK4831" s="87" t="str">
        <x:v>clean-v0.09</x:v>
      </x:c>
      <x:c r="AL4831" s="87" t="str">
        <x:v>statgrad_clean_continuation_v0_09(1).xlsx</x:v>
      </x:c>
      <x:c r="AM4831" s="87" t="str">
        <x:v>MATH_May_0302</x:v>
      </x:c>
      <x:c r="AN4831" s="87" t="n">
        <x:v>19</x:v>
      </x:c>
    </x:row>
    <x:row r="4832">
      <x:c r="A4832" s="87" t="n">
        <x:v>4831</x:v>
      </x:c>
      <x:c r="B4832" s="87" t="str">
        <x:v>MAY-MATH-02-019</x:v>
      </x:c>
      <x:c r="C4832" s="87" t="str">
        <x:v>СтатГрад</x:v>
      </x:c>
      <x:c r="D4832" s="87" t="str">
        <x:v>Май 2026</x:v>
      </x:c>
      <x:c r="E4832" s="87"/>
      <x:c r="F4832" s="87"/>
      <x:c r="G4832" s="87" t="str">
        <x:v>Математика</x:v>
      </x:c>
      <x:c r="H4832" s="87" t="n">
        <x:v>10</x:v>
      </x:c>
      <x:c r="I4832" s="87" t="str">
        <x:v>ТР №2</x:v>
      </x:c>
      <x:c r="J4832" s="87" t="str">
        <x:v>МА2500302</x:v>
      </x:c>
      <x:c r="K4832" s="87" t="n">
        <x:v>19</x:v>
      </x:c>
      <x:c r="L4832" s="87" t="str">
        <x:v>Задание с кратким ответом</x:v>
      </x:c>
      <x:c r="M4832" s="30" t="str">
        <x:v>На шести карточках написаны цифры 5; 5; 6; 7; 8; 9 (по одной цифре на каждой карточке). В выражении + + вместо каждого квадратика положили карточку из данного набора. Оказалось, что полученная сумма делится на 10, но не делится на 20. В ответе укажите какую-нибудь одну такую сумму.</x:v>
      </x:c>
      <x:c r="N4832" s="30" t="str">
        <x:v>670</x:v>
      </x:c>
      <x:c r="O4832" s="30" t="str">
        <x:v>Краткий ответ перенесён из официальной таблицы; тип задания и числовой результат проверены по условию.</x:v>
      </x:c>
      <x:c r="P4832" s="30" t="str">
        <x:v>Наличие задания, диапазон допустимого ответа и соответствие официальному ключу проверены; явных противоречий не обнаружено.</x:v>
      </x:c>
      <x:c r="Q4832" s="30"/>
      <x:c r="R4832" s="30" t="str">
        <x:v>670</x:v>
      </x:c>
      <x:c r="S4832" s="30"/>
      <x:c r="T4832" s="30" t="str">
        <x:v>База.jpg</x:v>
      </x:c>
      <x:c r="U4832" s="30" t="str">
        <x:v>Расхождений с каноническим источником не выявлено.</x:v>
      </x:c>
      <x:c r="V4832" s="87" t="str">
        <x:v>VERIFIED</x:v>
      </x:c>
      <x:c r="W4832" s="87"/>
      <x:c r="X4832" s="87" t="n">
        <x:v>15</x:v>
      </x:c>
      <x:c r="Y4832" s="87"/>
      <x:c r="Z4832" s="87"/>
      <x:c r="AA4832" s="87"/>
      <x:c r="AB4832" s="87" t="str">
        <x:v>таблица</x:v>
      </x:c>
      <x:c r="AC4832" s="87" t="str">
        <x:v>VIS-MATH-MAY-BASE-TASK-P015</x:v>
      </x:c>
      <x:c r="AD4832" s="87" t="str">
        <x:v>VIS-MATH-MAY-KEY-BASE</x:v>
      </x:c>
      <x:c r="AE4832" s="87" t="str">
        <x:v>TASK; KEY</x:v>
      </x:c>
      <x:c r="AF4832" s="87" t="str">
        <x:v>VIS-MATH-MAY-BASE-TASK-P015: 15; VIS-MATH-MAY-KEY-BASE: original</x:v>
      </x:c>
      <x:c r="AG4832" s="87" t="str">
        <x:v>RESOLVED</x:v>
      </x:c>
      <x:c r="AH4832" s="87" t="str">
        <x:v>CROP_VERIFIED; ORIGINAL_IMAGE_NO_CROP</x:v>
      </x:c>
      <x:c r="AI4832" s="30" t="str">
        <x:v>{"Уровень": "Базовый"}</x:v>
      </x:c>
      <x:c r="AJ4832" s="87" t="str">
        <x:v>clean</x:v>
      </x:c>
      <x:c r="AK4832" s="87" t="str">
        <x:v>clean-v0.09</x:v>
      </x:c>
      <x:c r="AL4832" s="87" t="str">
        <x:v>statgrad_clean_continuation_v0_09(1).xlsx</x:v>
      </x:c>
      <x:c r="AM4832" s="87" t="str">
        <x:v>MATH_May_0302</x:v>
      </x:c>
      <x:c r="AN4832" s="87" t="n">
        <x:v>20</x:v>
      </x:c>
    </x:row>
    <x:row r="4833">
      <x:c r="A4833" s="87" t="n">
        <x:v>4832</x:v>
      </x:c>
      <x:c r="B4833" s="87" t="str">
        <x:v>MAY-MATH-02-020</x:v>
      </x:c>
      <x:c r="C4833" s="87" t="str">
        <x:v>СтатГрад</x:v>
      </x:c>
      <x:c r="D4833" s="87" t="str">
        <x:v>Май 2026</x:v>
      </x:c>
      <x:c r="E4833" s="87"/>
      <x:c r="F4833" s="87"/>
      <x:c r="G4833" s="87" t="str">
        <x:v>Математика</x:v>
      </x:c>
      <x:c r="H4833" s="87" t="n">
        <x:v>10</x:v>
      </x:c>
      <x:c r="I4833" s="87" t="str">
        <x:v>ТР №2</x:v>
      </x:c>
      <x:c r="J4833" s="87" t="str">
        <x:v>МА2500302</x:v>
      </x:c>
      <x:c r="K4833" s="87" t="n">
        <x:v>20</x:v>
      </x:c>
      <x:c r="L4833" s="87" t="str">
        <x:v>Задание с кратким ответом</x:v>
      </x:c>
      <x:c r="M4833" s="30" t="str">
        <x:v>Один мастер может выполнить заказ за 48 часов, а другой — за 24 часа. За сколько часов выполнят заказ оба мастера, работая вместе?</x:v>
      </x:c>
      <x:c r="N4833" s="30" t="str">
        <x:v>16</x:v>
      </x:c>
      <x:c r="O4833" s="30" t="str">
        <x:v>Краткий ответ перенесён из официальной таблицы; тип задания и числовой результат проверены по условию.</x:v>
      </x:c>
      <x:c r="P4833" s="30" t="str">
        <x:v>Наличие задания, диапазон допустимого ответа и соответствие официальному ключу проверены; явных противоречий не обнаружено.</x:v>
      </x:c>
      <x:c r="Q4833" s="30"/>
      <x:c r="R4833" s="30" t="str">
        <x:v>16</x:v>
      </x:c>
      <x:c r="S4833" s="30"/>
      <x:c r="T4833" s="30" t="str">
        <x:v>База.jpg</x:v>
      </x:c>
      <x:c r="U4833" s="30" t="str">
        <x:v>Расхождений с каноническим источником не выявлено.</x:v>
      </x:c>
      <x:c r="V4833" s="87" t="str">
        <x:v>VERIFIED</x:v>
      </x:c>
      <x:c r="W4833" s="87"/>
      <x:c r="X4833" s="87" t="n">
        <x:v>16</x:v>
      </x:c>
      <x:c r="Y4833" s="87"/>
      <x:c r="Z4833" s="87"/>
      <x:c r="AA4833" s="87"/>
      <x:c r="AB4833" s="87" t="str">
        <x:v>таблица</x:v>
      </x:c>
      <x:c r="AC4833" s="87" t="str">
        <x:v>VIS-MATH-MAY-BASE-TASK-P016</x:v>
      </x:c>
      <x:c r="AD4833" s="87" t="str">
        <x:v>VIS-MATH-MAY-KEY-BASE</x:v>
      </x:c>
      <x:c r="AE4833" s="87" t="str">
        <x:v>TASK; KEY</x:v>
      </x:c>
      <x:c r="AF4833" s="87" t="str">
        <x:v>VIS-MATH-MAY-BASE-TASK-P016: 16; VIS-MATH-MAY-KEY-BASE: original</x:v>
      </x:c>
      <x:c r="AG4833" s="87" t="str">
        <x:v>RESOLVED</x:v>
      </x:c>
      <x:c r="AH4833" s="87" t="str">
        <x:v>CROP_VERIFIED; ORIGINAL_IMAGE_NO_CROP</x:v>
      </x:c>
      <x:c r="AI4833" s="30" t="str">
        <x:v>{"Уровень": "Базовый"}</x:v>
      </x:c>
      <x:c r="AJ4833" s="87" t="str">
        <x:v>clean</x:v>
      </x:c>
      <x:c r="AK4833" s="87" t="str">
        <x:v>clean-v0.09</x:v>
      </x:c>
      <x:c r="AL4833" s="87" t="str">
        <x:v>statgrad_clean_continuation_v0_09(1).xlsx</x:v>
      </x:c>
      <x:c r="AM4833" s="87" t="str">
        <x:v>MATH_May_0302</x:v>
      </x:c>
      <x:c r="AN4833" s="87" t="n">
        <x:v>21</x:v>
      </x:c>
    </x:row>
    <x:row r="4834">
      <x:c r="A4834" s="87" t="n">
        <x:v>4833</x:v>
      </x:c>
      <x:c r="B4834" s="87" t="str">
        <x:v>MAY-MATH-02-021</x:v>
      </x:c>
      <x:c r="C4834" s="87" t="str">
        <x:v>СтатГрад</x:v>
      </x:c>
      <x:c r="D4834" s="87" t="str">
        <x:v>Май 2026</x:v>
      </x:c>
      <x:c r="E4834" s="87"/>
      <x:c r="F4834" s="87"/>
      <x:c r="G4834" s="87" t="str">
        <x:v>Математика</x:v>
      </x:c>
      <x:c r="H4834" s="87" t="n">
        <x:v>10</x:v>
      </x:c>
      <x:c r="I4834" s="87" t="str">
        <x:v>ТР №2</x:v>
      </x:c>
      <x:c r="J4834" s="87" t="str">
        <x:v>МА2500302</x:v>
      </x:c>
      <x:c r="K4834" s="87" t="n">
        <x:v>21</x:v>
      </x:c>
      <x:c r="L4834" s="87" t="str">
        <x:v>Задание с кратким ответом</x:v>
      </x:c>
      <x:c r="M4834" s="30" t="str">
        <x:v>В конце четверти Петя выписал подряд все свои отметки по одному из предметов, их оказалось 5, и поставил между некоторыми из них знаки умножения. Произведение получившихся чисел оказалось равным 1150. Какая отметка выходит у Пети в четверти по этому предмету, если учитель ставит только отметки «2», «3», «4» или «5» и итоговая отметка в четверти является средним арифметическим всех текущих отметок, округлённым по правилам округления? (Например, 3,2 округляется до 3; 4,5 — до 5; 2,8 — до 3.)</x:v>
      </x:c>
      <x:c r="N4834" s="30" t="str">
        <x:v>3</x:v>
      </x:c>
      <x:c r="O4834" s="30" t="str">
        <x:v>Краткий ответ перенесён из официальной таблицы; тип задания и числовой результат проверены по условию.</x:v>
      </x:c>
      <x:c r="P4834" s="30" t="str">
        <x:v>Наличие задания, диапазон допустимого ответа и соответствие официальному ключу проверены; явных противоречий не обнаружено.</x:v>
      </x:c>
      <x:c r="Q4834" s="30"/>
      <x:c r="R4834" s="30" t="str">
        <x:v>3</x:v>
      </x:c>
      <x:c r="S4834" s="30"/>
      <x:c r="T4834" s="30" t="str">
        <x:v>База.jpg</x:v>
      </x:c>
      <x:c r="U4834" s="30" t="str">
        <x:v>Расхождений с каноническим источником не выявлено.</x:v>
      </x:c>
      <x:c r="V4834" s="87" t="str">
        <x:v>VERIFIED</x:v>
      </x:c>
      <x:c r="W4834" s="87"/>
      <x:c r="X4834" s="87" t="n">
        <x:v>16</x:v>
      </x:c>
      <x:c r="Y4834" s="87"/>
      <x:c r="Z4834" s="87"/>
      <x:c r="AA4834" s="87"/>
      <x:c r="AB4834" s="87" t="str">
        <x:v>таблица</x:v>
      </x:c>
      <x:c r="AC4834" s="87" t="str">
        <x:v>VIS-MATH-MAY-BASE-TASK-P016</x:v>
      </x:c>
      <x:c r="AD4834" s="87" t="str">
        <x:v>VIS-MATH-MAY-KEY-BASE</x:v>
      </x:c>
      <x:c r="AE4834" s="87" t="str">
        <x:v>TASK; KEY</x:v>
      </x:c>
      <x:c r="AF4834" s="87" t="str">
        <x:v>VIS-MATH-MAY-BASE-TASK-P016: 16; VIS-MATH-MAY-KEY-BASE: original</x:v>
      </x:c>
      <x:c r="AG4834" s="87" t="str">
        <x:v>RESOLVED</x:v>
      </x:c>
      <x:c r="AH4834" s="87" t="str">
        <x:v>CROP_VERIFIED; ORIGINAL_IMAGE_NO_CROP</x:v>
      </x:c>
      <x:c r="AI4834" s="30" t="str">
        <x:v>{"Уровень": "Базовый"}</x:v>
      </x:c>
      <x:c r="AJ4834" s="87" t="str">
        <x:v>clean</x:v>
      </x:c>
      <x:c r="AK4834" s="87" t="str">
        <x:v>clean-v0.09</x:v>
      </x:c>
      <x:c r="AL4834" s="87" t="str">
        <x:v>statgrad_clean_continuation_v0_09(1).xlsx</x:v>
      </x:c>
      <x:c r="AM4834" s="87" t="str">
        <x:v>MATH_May_0302</x:v>
      </x:c>
      <x:c r="AN4834" s="87" t="n">
        <x:v>22</x:v>
      </x:c>
    </x:row>
    <x:row r="4835">
      <x:c r="A4835" s="87" t="n">
        <x:v>4834</x:v>
      </x:c>
      <x:c r="B4835" s="87" t="str">
        <x:v>MAY-MATH-03-001</x:v>
      </x:c>
      <x:c r="C4835" s="87" t="str">
        <x:v>СтатГрад</x:v>
      </x:c>
      <x:c r="D4835" s="87" t="str">
        <x:v>Май 2026</x:v>
      </x:c>
      <x:c r="E4835" s="87"/>
      <x:c r="F4835" s="87"/>
      <x:c r="G4835" s="87" t="str">
        <x:v>Математика</x:v>
      </x:c>
      <x:c r="H4835" s="87" t="n">
        <x:v>10</x:v>
      </x:c>
      <x:c r="I4835" s="87" t="str">
        <x:v>ТР №2</x:v>
      </x:c>
      <x:c r="J4835" s="87" t="str">
        <x:v>МА2500303</x:v>
      </x:c>
      <x:c r="K4835" s="87" t="n">
        <x:v>1</x:v>
      </x:c>
      <x:c r="L4835" s="87" t="str">
        <x:v>Практическая арифметика</x:v>
      </x:c>
      <x:c r="M4835" s="30" t="str">
        <x:v>Стоимость проездного билета на месяц составляет 2250 рублей, а стоимость билета на одну поездку — 75 рублей. Аня купила проездной и сделала за месяц 35 поездок. На сколько рублей больше она бы потратила, если бы покупала билеты на одну поездку?</x:v>
      </x:c>
      <x:c r="N4835" s="30" t="str">
        <x:v>375</x:v>
      </x:c>
      <x:c r="O4835" s="30" t="str">
        <x:v>Краткий ответ перенесён из официальной таблицы; тип задания и числовой результат проверены по условию.</x:v>
      </x:c>
      <x:c r="P4835" s="30" t="str">
        <x:v>Наличие задания, диапазон допустимого ответа и соответствие официальному ключу проверены; явных противоречий не обнаружено.</x:v>
      </x:c>
      <x:c r="Q4835" s="30"/>
      <x:c r="R4835" s="30" t="str">
        <x:v>375</x:v>
      </x:c>
      <x:c r="S4835" s="30"/>
      <x:c r="T4835" s="30" t="str">
        <x:v>База.jpg</x:v>
      </x:c>
      <x:c r="U4835" s="30" t="str">
        <x:v>Расхождений с каноническим источником не выявлено.</x:v>
      </x:c>
      <x:c r="V4835" s="87" t="str">
        <x:v>VERIFIED</x:v>
      </x:c>
      <x:c r="W4835" s="87"/>
      <x:c r="X4835" s="87" t="n">
        <x:v>18</x:v>
      </x:c>
      <x:c r="Y4835" s="87"/>
      <x:c r="Z4835" s="87"/>
      <x:c r="AA4835" s="87"/>
      <x:c r="AB4835" s="87" t="str">
        <x:v>таблица</x:v>
      </x:c>
      <x:c r="AC4835" s="87" t="str">
        <x:v>VIS-MATH-MAY-BASE-TASK-P018</x:v>
      </x:c>
      <x:c r="AD4835" s="87" t="str">
        <x:v>VIS-MATH-MAY-KEY-BASE</x:v>
      </x:c>
      <x:c r="AE4835" s="87" t="str">
        <x:v>TASK; KEY</x:v>
      </x:c>
      <x:c r="AF4835" s="87" t="str">
        <x:v>VIS-MATH-MAY-BASE-TASK-P018: 18; VIS-MATH-MAY-KEY-BASE: original</x:v>
      </x:c>
      <x:c r="AG4835" s="87" t="str">
        <x:v>RESOLVED</x:v>
      </x:c>
      <x:c r="AH4835" s="87" t="str">
        <x:v>CROP_VERIFIED; ORIGINAL_IMAGE_NO_CROP</x:v>
      </x:c>
      <x:c r="AI4835" s="30" t="str">
        <x:v>{"Уровень": "Базовый"}</x:v>
      </x:c>
      <x:c r="AJ4835" s="87" t="str">
        <x:v>clean</x:v>
      </x:c>
      <x:c r="AK4835" s="87" t="str">
        <x:v>clean-v0.09</x:v>
      </x:c>
      <x:c r="AL4835" s="87" t="str">
        <x:v>statgrad_clean_continuation_v0_09(1).xlsx</x:v>
      </x:c>
      <x:c r="AM4835" s="87" t="str">
        <x:v>MATH_May_0303</x:v>
      </x:c>
      <x:c r="AN4835" s="87" t="n">
        <x:v>2</x:v>
      </x:c>
    </x:row>
    <x:row r="4836">
      <x:c r="A4836" s="87" t="n">
        <x:v>4835</x:v>
      </x:c>
      <x:c r="B4836" s="87" t="str">
        <x:v>MAY-MATH-03-002</x:v>
      </x:c>
      <x:c r="C4836" s="87" t="str">
        <x:v>СтатГрад</x:v>
      </x:c>
      <x:c r="D4836" s="87" t="str">
        <x:v>Май 2026</x:v>
      </x:c>
      <x:c r="E4836" s="87"/>
      <x:c r="F4836" s="87"/>
      <x:c r="G4836" s="87" t="str">
        <x:v>Математика</x:v>
      </x:c>
      <x:c r="H4836" s="87" t="n">
        <x:v>10</x:v>
      </x:c>
      <x:c r="I4836" s="87" t="str">
        <x:v>ТР №2</x:v>
      </x:c>
      <x:c r="J4836" s="87" t="str">
        <x:v>МА2500303</x:v>
      </x:c>
      <x:c r="K4836" s="87" t="n">
        <x:v>2</x:v>
      </x:c>
      <x:c r="L4836" s="87" t="str">
        <x:v>Установление соответствия</x:v>
      </x:c>
      <x:c r="M4836"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объём бутылки газировки 1) 2 л Б) объём багажника автомобиля 2) 200 л В) объём грузового отсека транспортного 3) 555 000 км3 самолёта 4) 400 м3 Г) объём воды в Чёрном море В таблице под каждой буквой, соответствующей величине, укажите номер её возможного значения. А Б В Г</x:v>
      </x:c>
      <x:c r="N4836" s="30" t="str">
        <x:v>1243</x:v>
      </x:c>
      <x:c r="O4836" s="30" t="str">
        <x:v>Краткий ответ перенесён из официальной таблицы; тип задания и числовой результат проверены по условию.</x:v>
      </x:c>
      <x:c r="P4836" s="30" t="str">
        <x:v>Наличие задания, диапазон допустимого ответа и соответствие официальному ключу проверены; явных противоречий не обнаружено.</x:v>
      </x:c>
      <x:c r="Q4836" s="30"/>
      <x:c r="R4836" s="30" t="str">
        <x:v>1243</x:v>
      </x:c>
      <x:c r="S4836" s="30"/>
      <x:c r="T4836" s="30" t="str">
        <x:v>База.jpg</x:v>
      </x:c>
      <x:c r="U4836" s="30" t="str">
        <x:v>Расхождений с каноническим источником не выявлено.</x:v>
      </x:c>
      <x:c r="V4836" s="87" t="str">
        <x:v>VERIFIED</x:v>
      </x:c>
      <x:c r="W4836" s="87"/>
      <x:c r="X4836" s="87" t="n">
        <x:v>18</x:v>
      </x:c>
      <x:c r="Y4836" s="87"/>
      <x:c r="Z4836" s="87"/>
      <x:c r="AA4836" s="87"/>
      <x:c r="AB4836" s="87" t="str">
        <x:v>таблица</x:v>
      </x:c>
      <x:c r="AC4836" s="87" t="str">
        <x:v>VIS-MATH-MAY-BASE-TASK-P018</x:v>
      </x:c>
      <x:c r="AD4836" s="87" t="str">
        <x:v>VIS-MATH-MAY-KEY-BASE</x:v>
      </x:c>
      <x:c r="AE4836" s="87" t="str">
        <x:v>TASK; KEY</x:v>
      </x:c>
      <x:c r="AF4836" s="87" t="str">
        <x:v>VIS-MATH-MAY-BASE-TASK-P018: 18; VIS-MATH-MAY-KEY-BASE: original</x:v>
      </x:c>
      <x:c r="AG4836" s="87" t="str">
        <x:v>RESOLVED</x:v>
      </x:c>
      <x:c r="AH4836" s="87" t="str">
        <x:v>CROP_VERIFIED; ORIGINAL_IMAGE_NO_CROP</x:v>
      </x:c>
      <x:c r="AI4836" s="30" t="str">
        <x:v>{"Уровень": "Базовый"}</x:v>
      </x:c>
      <x:c r="AJ4836" s="87" t="str">
        <x:v>clean</x:v>
      </x:c>
      <x:c r="AK4836" s="87" t="str">
        <x:v>clean-v0.09</x:v>
      </x:c>
      <x:c r="AL4836" s="87" t="str">
        <x:v>statgrad_clean_continuation_v0_09(1).xlsx</x:v>
      </x:c>
      <x:c r="AM4836" s="87" t="str">
        <x:v>MATH_May_0303</x:v>
      </x:c>
      <x:c r="AN4836" s="87" t="n">
        <x:v>3</x:v>
      </x:c>
    </x:row>
    <x:row r="4837">
      <x:c r="A4837" s="87" t="n">
        <x:v>4836</x:v>
      </x:c>
      <x:c r="B4837" s="87" t="str">
        <x:v>MAY-MATH-03-003</x:v>
      </x:c>
      <x:c r="C4837" s="87" t="str">
        <x:v>СтатГрад</x:v>
      </x:c>
      <x:c r="D4837" s="87" t="str">
        <x:v>Май 2026</x:v>
      </x:c>
      <x:c r="E4837" s="87"/>
      <x:c r="F4837" s="87"/>
      <x:c r="G4837" s="87" t="str">
        <x:v>Математика</x:v>
      </x:c>
      <x:c r="H4837" s="87" t="n">
        <x:v>10</x:v>
      </x:c>
      <x:c r="I4837" s="87" t="str">
        <x:v>ТР №2</x:v>
      </x:c>
      <x:c r="J4837" s="87" t="str">
        <x:v>МА2500303</x:v>
      </x:c>
      <x:c r="K4837" s="87" t="n">
        <x:v>3</x:v>
      </x:c>
      <x:c r="L4837" s="87" t="str">
        <x:v>Оптимизация / целочисленный расчёт</x:v>
      </x:c>
      <x:c r="M4837" s="30" t="str">
        <x:v>На рисунке показано изменение атмосферного давления в течение трёх суток. По горизонтали указаны дни недели, по вертикали — значения атмосферного давления в миллиметрах ртутного столба. 762 760 758 756 754 752 750 вторник среда четверг Определите по рисунку наибольшее значение атмосферного давления (в миллиметрах ртутного столба) в среду.</x:v>
      </x:c>
      <x:c r="N4837" s="30" t="str">
        <x:v>756</x:v>
      </x:c>
      <x:c r="O4837" s="30" t="str">
        <x:v>Краткий ответ перенесён из официальной таблицы; тип задания и числовой результат проверены по условию.</x:v>
      </x:c>
      <x:c r="P4837" s="30" t="str">
        <x:v>Наличие задания, диапазон допустимого ответа и соответствие официальному ключу проверены; явных противоречий не обнаружено.</x:v>
      </x:c>
      <x:c r="Q4837" s="30"/>
      <x:c r="R4837" s="30" t="str">
        <x:v>756</x:v>
      </x:c>
      <x:c r="S4837" s="30"/>
      <x:c r="T4837" s="30" t="str">
        <x:v>База.jpg</x:v>
      </x:c>
      <x:c r="U4837" s="30" t="str">
        <x:v>Расхождений с каноническим источником не выявлено.</x:v>
      </x:c>
      <x:c r="V4837" s="87" t="str">
        <x:v>VERIFIED</x:v>
      </x:c>
      <x:c r="W4837" s="87"/>
      <x:c r="X4837" s="87" t="n">
        <x:v>19</x:v>
      </x:c>
      <x:c r="Y4837" s="87"/>
      <x:c r="Z4837" s="87"/>
      <x:c r="AA4837" s="87"/>
      <x:c r="AB4837" s="87" t="str">
        <x:v>таблица</x:v>
      </x:c>
      <x:c r="AC4837" s="87" t="str">
        <x:v>VIS-MATH-MAY-BASE-TASK-P019</x:v>
      </x:c>
      <x:c r="AD4837" s="87" t="str">
        <x:v>VIS-MATH-MAY-KEY-BASE</x:v>
      </x:c>
      <x:c r="AE4837" s="87" t="str">
        <x:v>TASK; KEY</x:v>
      </x:c>
      <x:c r="AF4837" s="87" t="str">
        <x:v>VIS-MATH-MAY-BASE-TASK-P019: 19; VIS-MATH-MAY-KEY-BASE: original</x:v>
      </x:c>
      <x:c r="AG4837" s="87" t="str">
        <x:v>RESOLVED</x:v>
      </x:c>
      <x:c r="AH4837" s="87" t="str">
        <x:v>CROP_VERIFIED; ORIGINAL_IMAGE_NO_CROP; TASK_CROP_QA_APPROVED:USE_CONTEXT</x:v>
      </x:c>
      <x:c r="AI4837" s="30" t="str">
        <x:v>{"Уровень": "Базовый"}</x:v>
      </x:c>
      <x:c r="AJ4837" s="87" t="str">
        <x:v>clean</x:v>
      </x:c>
      <x:c r="AK4837" s="87" t="str">
        <x:v>clean-v0.09</x:v>
      </x:c>
      <x:c r="AL4837" s="87" t="str">
        <x:v>statgrad_clean_continuation_v0_09(1).xlsx</x:v>
      </x:c>
      <x:c r="AM4837" s="87" t="str">
        <x:v>MATH_May_0303</x:v>
      </x:c>
      <x:c r="AN4837" s="87" t="n">
        <x:v>4</x:v>
      </x:c>
    </x:row>
    <x:row r="4838">
      <x:c r="A4838" s="87" t="n">
        <x:v>4837</x:v>
      </x:c>
      <x:c r="B4838" s="87" t="str">
        <x:v>MAY-MATH-03-004</x:v>
      </x:c>
      <x:c r="C4838" s="87" t="str">
        <x:v>СтатГрад</x:v>
      </x:c>
      <x:c r="D4838" s="87" t="str">
        <x:v>Май 2026</x:v>
      </x:c>
      <x:c r="E4838" s="87"/>
      <x:c r="F4838" s="87"/>
      <x:c r="G4838" s="87" t="str">
        <x:v>Математика</x:v>
      </x:c>
      <x:c r="H4838" s="87" t="n">
        <x:v>10</x:v>
      </x:c>
      <x:c r="I4838" s="87" t="str">
        <x:v>ТР №2</x:v>
      </x:c>
      <x:c r="J4838" s="87" t="str">
        <x:v>МА2500303</x:v>
      </x:c>
      <x:c r="K4838" s="87" t="n">
        <x:v>4</x:v>
      </x:c>
      <x:c r="L4838" s="87" t="str">
        <x:v>Применение формулы</x:v>
      </x:c>
      <x:c r="M4838" s="30" t="str">
        <x:v>Энергия заряженного конденсатора W (в Дж) вычисляется по формуле 2 CUW = , где C — ёмкость конденсатора (в Ф), а U — разность 2 потенциалов на обкладках конденсатора (в В). Найдите W (в Дж), если − 4C = 10 Ф и U = 16 В.</x:v>
      </x:c>
      <x:c r="N4838" s="30" t="str">
        <x:v>0,0128</x:v>
      </x:c>
      <x:c r="O4838" s="30" t="str">
        <x:v>Краткий ответ перенесён из официальной таблицы; тип задания и числовой результат проверены по условию.</x:v>
      </x:c>
      <x:c r="P4838" s="30" t="str">
        <x:v>Наличие задания, диапазон допустимого ответа и соответствие официальному ключу проверены; явных противоречий не обнаружено.</x:v>
      </x:c>
      <x:c r="Q4838" s="30"/>
      <x:c r="R4838" s="30" t="str">
        <x:v>0,0128</x:v>
      </x:c>
      <x:c r="S4838" s="30"/>
      <x:c r="T4838" s="30" t="str">
        <x:v>База.jpg</x:v>
      </x:c>
      <x:c r="U4838" s="30" t="str">
        <x:v>Расхождений с каноническим источником не выявлено.</x:v>
      </x:c>
      <x:c r="V4838" s="87" t="str">
        <x:v>VERIFIED</x:v>
      </x:c>
      <x:c r="W4838" s="87"/>
      <x:c r="X4838" s="87" t="n">
        <x:v>19</x:v>
      </x:c>
      <x:c r="Y4838" s="87"/>
      <x:c r="Z4838" s="87"/>
      <x:c r="AA4838" s="87"/>
      <x:c r="AB4838" s="87" t="str">
        <x:v>таблица</x:v>
      </x:c>
      <x:c r="AC4838" s="87" t="str">
        <x:v>VIS-MATH-MAY-BASE-TASK-P019</x:v>
      </x:c>
      <x:c r="AD4838" s="87" t="str">
        <x:v>VIS-MATH-MAY-KEY-BASE</x:v>
      </x:c>
      <x:c r="AE4838" s="87" t="str">
        <x:v>TASK; KEY</x:v>
      </x:c>
      <x:c r="AF4838" s="87" t="str">
        <x:v>VIS-MATH-MAY-BASE-TASK-P019: 19; VIS-MATH-MAY-KEY-BASE: original</x:v>
      </x:c>
      <x:c r="AG4838" s="87" t="str">
        <x:v>RESOLVED</x:v>
      </x:c>
      <x:c r="AH4838" s="87" t="str">
        <x:v>CROP_VERIFIED; ORIGINAL_IMAGE_NO_CROP</x:v>
      </x:c>
      <x:c r="AI4838" s="30" t="str">
        <x:v>{"Уровень": "Базовый"}</x:v>
      </x:c>
      <x:c r="AJ4838" s="87" t="str">
        <x:v>clean</x:v>
      </x:c>
      <x:c r="AK4838" s="87" t="str">
        <x:v>clean-v0.09</x:v>
      </x:c>
      <x:c r="AL4838" s="87" t="str">
        <x:v>statgrad_clean_continuation_v0_09(1).xlsx</x:v>
      </x:c>
      <x:c r="AM4838" s="87" t="str">
        <x:v>MATH_May_0303</x:v>
      </x:c>
      <x:c r="AN4838" s="87" t="n">
        <x:v>5</x:v>
      </x:c>
    </x:row>
    <x:row r="4839">
      <x:c r="A4839" s="87" t="n">
        <x:v>4838</x:v>
      </x:c>
      <x:c r="B4839" s="87" t="str">
        <x:v>MAY-MATH-03-005</x:v>
      </x:c>
      <x:c r="C4839" s="87" t="str">
        <x:v>СтатГрад</x:v>
      </x:c>
      <x:c r="D4839" s="87" t="str">
        <x:v>Май 2026</x:v>
      </x:c>
      <x:c r="E4839" s="87"/>
      <x:c r="F4839" s="87"/>
      <x:c r="G4839" s="87" t="str">
        <x:v>Математика</x:v>
      </x:c>
      <x:c r="H4839" s="87" t="n">
        <x:v>10</x:v>
      </x:c>
      <x:c r="I4839" s="87" t="str">
        <x:v>ТР №2</x:v>
      </x:c>
      <x:c r="J4839" s="87" t="str">
        <x:v>МА2500303</x:v>
      </x:c>
      <x:c r="K4839" s="87" t="n">
        <x:v>5</x:v>
      </x:c>
      <x:c r="L4839" s="87" t="str">
        <x:v>Теория вероятностей</x:v>
      </x:c>
      <x:c r="M4839" s="30" t="str">
        <x:v>На тарелке лежат одинаковые на вид пирожки: 2 с мясом, 9 с капустой и 1 с вишней. Петя наугад выбирает один пирожок. Найдите вероятность того, что этот пирожок окажется с капустой.</x:v>
      </x:c>
      <x:c r="N4839" s="30" t="str">
        <x:v>0,75</x:v>
      </x:c>
      <x:c r="O4839" s="30" t="str">
        <x:v>Краткий ответ перенесён из официальной таблицы; тип задания и числовой результат проверены по условию.</x:v>
      </x:c>
      <x:c r="P4839" s="30" t="str">
        <x:v>Наличие задания, диапазон допустимого ответа и соответствие официальному ключу проверены; явных противоречий не обнаружено.</x:v>
      </x:c>
      <x:c r="Q4839" s="30"/>
      <x:c r="R4839" s="30" t="str">
        <x:v>0,75</x:v>
      </x:c>
      <x:c r="S4839" s="30"/>
      <x:c r="T4839" s="30" t="str">
        <x:v>База.jpg</x:v>
      </x:c>
      <x:c r="U4839" s="30" t="str">
        <x:v>Расхождений с каноническим источником не выявлено.</x:v>
      </x:c>
      <x:c r="V4839" s="87" t="str">
        <x:v>VERIFIED</x:v>
      </x:c>
      <x:c r="W4839" s="87"/>
      <x:c r="X4839" s="87" t="n">
        <x:v>19</x:v>
      </x:c>
      <x:c r="Y4839" s="87"/>
      <x:c r="Z4839" s="87"/>
      <x:c r="AA4839" s="87"/>
      <x:c r="AB4839" s="87" t="str">
        <x:v>таблица</x:v>
      </x:c>
      <x:c r="AC4839" s="87" t="str">
        <x:v>VIS-MATH-MAY-BASE-TASK-P019</x:v>
      </x:c>
      <x:c r="AD4839" s="87" t="str">
        <x:v>VIS-MATH-MAY-KEY-BASE</x:v>
      </x:c>
      <x:c r="AE4839" s="87" t="str">
        <x:v>TASK; KEY</x:v>
      </x:c>
      <x:c r="AF4839" s="87" t="str">
        <x:v>VIS-MATH-MAY-BASE-TASK-P019: 19; VIS-MATH-MAY-KEY-BASE: original</x:v>
      </x:c>
      <x:c r="AG4839" s="87" t="str">
        <x:v>RESOLVED</x:v>
      </x:c>
      <x:c r="AH4839" s="87" t="str">
        <x:v>CROP_VERIFIED; ORIGINAL_IMAGE_NO_CROP</x:v>
      </x:c>
      <x:c r="AI4839" s="30" t="str">
        <x:v>{"Уровень": "Базовый"}</x:v>
      </x:c>
      <x:c r="AJ4839" s="87" t="str">
        <x:v>clean</x:v>
      </x:c>
      <x:c r="AK4839" s="87" t="str">
        <x:v>clean-v0.09</x:v>
      </x:c>
      <x:c r="AL4839" s="87" t="str">
        <x:v>statgrad_clean_continuation_v0_09(1).xlsx</x:v>
      </x:c>
      <x:c r="AM4839" s="87" t="str">
        <x:v>MATH_May_0303</x:v>
      </x:c>
      <x:c r="AN4839" s="87" t="n">
        <x:v>6</x:v>
      </x:c>
    </x:row>
    <x:row r="4840">
      <x:c r="A4840" s="87" t="n">
        <x:v>4839</x:v>
      </x:c>
      <x:c r="B4840" s="87" t="str">
        <x:v>MAY-MATH-03-006</x:v>
      </x:c>
      <x:c r="C4840" s="87" t="str">
        <x:v>СтатГрад</x:v>
      </x:c>
      <x:c r="D4840" s="87" t="str">
        <x:v>Май 2026</x:v>
      </x:c>
      <x:c r="E4840" s="87"/>
      <x:c r="F4840" s="87"/>
      <x:c r="G4840" s="87" t="str">
        <x:v>Математика</x:v>
      </x:c>
      <x:c r="H4840" s="87" t="n">
        <x:v>10</x:v>
      </x:c>
      <x:c r="I4840" s="87" t="str">
        <x:v>ТР №2</x:v>
      </x:c>
      <x:c r="J4840" s="87" t="str">
        <x:v>МА2500303</x:v>
      </x:c>
      <x:c r="K4840" s="87" t="n">
        <x:v>6</x:v>
      </x:c>
      <x:c r="L4840" s="87" t="str">
        <x:v>Анализ таблицы</x:v>
      </x:c>
      <x:c r="M4840" s="30" t="str">
        <x:v>Для транспортировки 48 тонн груза на 1400 км можно воспользоваться услугами одной из трёх фирм-перевозчиков. Стоимость перевозки и грузоподъёмность автомобилей каждого перевозчика указаны в таблице. Стоимость перевозки одним Грузоподъёмность одного Перевозчик автомобилем автомобиля (руб. на 100 км) (тонны) А 4900 4,5 Б 7000 6 В 13100 11 Сколько рублей придётся заплатить за самую дешёвую перевозку?</x:v>
      </x:c>
      <x:c r="N4840" s="30" t="str">
        <x:v>754600</x:v>
      </x:c>
      <x:c r="O4840" s="30" t="str">
        <x:v>Краткий ответ перенесён из официальной таблицы; тип задания и числовой результат проверены по условию.</x:v>
      </x:c>
      <x:c r="P4840" s="30" t="str">
        <x:v>Наличие задания, диапазон допустимого ответа и соответствие официальному ключу проверены; явных противоречий не обнаружено.</x:v>
      </x:c>
      <x:c r="Q4840" s="30"/>
      <x:c r="R4840" s="30" t="str">
        <x:v>754600</x:v>
      </x:c>
      <x:c r="S4840" s="30"/>
      <x:c r="T4840" s="30" t="str">
        <x:v>База.jpg</x:v>
      </x:c>
      <x:c r="U4840" s="30" t="str">
        <x:v>Расхождений с каноническим источником не выявлено.</x:v>
      </x:c>
      <x:c r="V4840" s="87" t="str">
        <x:v>VERIFIED</x:v>
      </x:c>
      <x:c r="W4840" s="87"/>
      <x:c r="X4840" s="87" t="n">
        <x:v>20</x:v>
      </x:c>
      <x:c r="Y4840" s="87"/>
      <x:c r="Z4840" s="87"/>
      <x:c r="AA4840" s="87"/>
      <x:c r="AB4840" s="87" t="str">
        <x:v>таблица</x:v>
      </x:c>
      <x:c r="AC4840" s="87" t="str">
        <x:v>VIS-MATH-MAY-BASE-TASK-P020</x:v>
      </x:c>
      <x:c r="AD4840" s="87" t="str">
        <x:v>VIS-MATH-MAY-KEY-BASE</x:v>
      </x:c>
      <x:c r="AE4840" s="87" t="str">
        <x:v>TASK; KEY</x:v>
      </x:c>
      <x:c r="AF4840" s="87" t="str">
        <x:v>VIS-MATH-MAY-BASE-TASK-P020: 20; VIS-MATH-MAY-KEY-BASE: original</x:v>
      </x:c>
      <x:c r="AG4840" s="87" t="str">
        <x:v>RESOLVED</x:v>
      </x:c>
      <x:c r="AH4840" s="87" t="str">
        <x:v>CROP_VERIFIED; ORIGINAL_IMAGE_NO_CROP</x:v>
      </x:c>
      <x:c r="AI4840" s="30" t="str">
        <x:v>{"Уровень": "Базовый"}</x:v>
      </x:c>
      <x:c r="AJ4840" s="87" t="str">
        <x:v>clean</x:v>
      </x:c>
      <x:c r="AK4840" s="87" t="str">
        <x:v>clean-v0.09</x:v>
      </x:c>
      <x:c r="AL4840" s="87" t="str">
        <x:v>statgrad_clean_continuation_v0_09(1).xlsx</x:v>
      </x:c>
      <x:c r="AM4840" s="87" t="str">
        <x:v>MATH_May_0303</x:v>
      </x:c>
      <x:c r="AN4840" s="87" t="n">
        <x:v>7</x:v>
      </x:c>
    </x:row>
    <x:row r="4841">
      <x:c r="A4841" s="87" t="n">
        <x:v>4840</x:v>
      </x:c>
      <x:c r="B4841" s="87" t="str">
        <x:v>MAY-MATH-03-007</x:v>
      </x:c>
      <x:c r="C4841" s="87" t="str">
        <x:v>СтатГрад</x:v>
      </x:c>
      <x:c r="D4841" s="87" t="str">
        <x:v>Май 2026</x:v>
      </x:c>
      <x:c r="E4841" s="87"/>
      <x:c r="F4841" s="87"/>
      <x:c r="G4841" s="87" t="str">
        <x:v>Математика</x:v>
      </x:c>
      <x:c r="H4841" s="87" t="n">
        <x:v>10</x:v>
      </x:c>
      <x:c r="I4841" s="87" t="str">
        <x:v>ТР №2</x:v>
      </x:c>
      <x:c r="J4841" s="87" t="str">
        <x:v>МА2500303</x:v>
      </x:c>
      <x:c r="K4841" s="87" t="n">
        <x:v>7</x:v>
      </x:c>
      <x:c r="L4841" s="87" t="str">
        <x:v>Установление соответствия</x:v>
      </x:c>
      <x:c r="M4841" s="30" t="str">
        <x:v>2На рисунках изображены графики функций вида y = ax + bx + c . Установите соответствие между графиками функций и знаками коэффициентов a и c . ФУНКЦИИ А) y В) y 0 x 0 x Б) y Г) y 0 x 0 x КОЭФФИЦИЕНТЫ 1) a &lt; 0 , c &gt; 0 2) a &gt; 0 , c &lt; 0 3) a &gt; 0 , c &gt; 0 4) a &lt; 0 , c &lt; 0 В таблице под каждой буквой укажите соответствующий номер. А Б В Г</x:v>
      </x:c>
      <x:c r="N4841" s="30" t="str">
        <x:v>1432</x:v>
      </x:c>
      <x:c r="O4841" s="30" t="str">
        <x:v>Краткий ответ перенесён из официальной таблицы; тип задания и числовой результат проверены по условию.</x:v>
      </x:c>
      <x:c r="P4841" s="30" t="str">
        <x:v>Наличие задания, диапазон допустимого ответа и соответствие официальному ключу проверены; явных противоречий не обнаружено.</x:v>
      </x:c>
      <x:c r="Q4841" s="30"/>
      <x:c r="R4841" s="30" t="str">
        <x:v>1432</x:v>
      </x:c>
      <x:c r="S4841" s="30"/>
      <x:c r="T4841" s="30" t="str">
        <x:v>База.jpg</x:v>
      </x:c>
      <x:c r="U4841" s="30" t="str">
        <x:v>Расхождений с каноническим источником не выявлено.</x:v>
      </x:c>
      <x:c r="V4841" s="87" t="str">
        <x:v>VERIFIED</x:v>
      </x:c>
      <x:c r="W4841" s="87"/>
      <x:c r="X4841" s="87" t="n">
        <x:v>20</x:v>
      </x:c>
      <x:c r="Y4841" s="87"/>
      <x:c r="Z4841" s="87"/>
      <x:c r="AA4841" s="87"/>
      <x:c r="AB4841" s="87" t="str">
        <x:v>таблица</x:v>
      </x:c>
      <x:c r="AC4841" s="87" t="str">
        <x:v>VIS-MATH-MAY-BASE-TASK-P020</x:v>
      </x:c>
      <x:c r="AD4841" s="87" t="str">
        <x:v>VIS-MATH-MAY-KEY-BASE</x:v>
      </x:c>
      <x:c r="AE4841" s="87" t="str">
        <x:v>TASK; KEY</x:v>
      </x:c>
      <x:c r="AF4841" s="87" t="str">
        <x:v>VIS-MATH-MAY-BASE-TASK-P020: 20; VIS-MATH-MAY-KEY-BASE: original</x:v>
      </x:c>
      <x:c r="AG4841" s="87" t="str">
        <x:v>RESOLVED</x:v>
      </x:c>
      <x:c r="AH4841" s="87" t="str">
        <x:v>CROP_VERIFIED; ORIGINAL_IMAGE_NO_CROP; TASK_CROP_QA_APPROVED:USE_CONTEXT</x:v>
      </x:c>
      <x:c r="AI4841" s="30" t="str">
        <x:v>{"Уровень": "Базовый"}</x:v>
      </x:c>
      <x:c r="AJ4841" s="87" t="str">
        <x:v>clean</x:v>
      </x:c>
      <x:c r="AK4841" s="87" t="str">
        <x:v>clean-v0.09</x:v>
      </x:c>
      <x:c r="AL4841" s="87" t="str">
        <x:v>statgrad_clean_continuation_v0_09(1).xlsx</x:v>
      </x:c>
      <x:c r="AM4841" s="87" t="str">
        <x:v>MATH_May_0303</x:v>
      </x:c>
      <x:c r="AN4841" s="87" t="n">
        <x:v>8</x:v>
      </x:c>
    </x:row>
    <x:row r="4842">
      <x:c r="A4842" s="87" t="n">
        <x:v>4841</x:v>
      </x:c>
      <x:c r="B4842" s="87" t="str">
        <x:v>MAY-MATH-03-008</x:v>
      </x:c>
      <x:c r="C4842" s="87" t="str">
        <x:v>СтатГрад</x:v>
      </x:c>
      <x:c r="D4842" s="87" t="str">
        <x:v>Май 2026</x:v>
      </x:c>
      <x:c r="E4842" s="87"/>
      <x:c r="F4842" s="87"/>
      <x:c r="G4842" s="87" t="str">
        <x:v>Математика</x:v>
      </x:c>
      <x:c r="H4842" s="87" t="n">
        <x:v>10</x:v>
      </x:c>
      <x:c r="I4842" s="87" t="str">
        <x:v>ТР №2</x:v>
      </x:c>
      <x:c r="J4842" s="87" t="str">
        <x:v>МА2500303</x:v>
      </x:c>
      <x:c r="K4842" s="87" t="n">
        <x:v>8</x:v>
      </x:c>
      <x:c r="L4842" s="87" t="str">
        <x:v>Задание с кратким ответом</x:v>
      </x:c>
      <x:c r="M4842" s="30" t="str">
        <x:v>Некоторые учащиеся 10-х классов школы ходили в апреле на спектакль «Гроза». В мае некоторые десятиклассники пойдут на постановку по пьесе «Бесприданница», причём среди них не будет тех, кто ходил в апреле на спектакль «Гроза». Выберите утверждения, которые будут верны при указанных условиях независимо от того, кто из десятиклассников пойдёт на постановку по пьесе «Бесприданница». 1) Каждый учащийся 10-х классов, который не ходил на спектакль «Гроза», пойдёт на постановку по пьесе «Бесприданница». 2) Нет ни одного десятиклассника, который ходил на спектакль «Гроза» и пойдёт на постановку по пьесе «Бесприданница». 3) Среди учащихся 10-х классов этой школы, которые не пойдут на постановку по пьесе «Бесприданница», есть хотя бы один, который ходил на спектакль «Гроза». 4) Найдётся десятиклассник, который не ходил на спектакль «Гроза» и не пойдёт на постановку по пьесе «Бесприданница». В ответе запишите номера выбранных утверждений без пробелов, запятых и других дополнительных символов.</x:v>
      </x:c>
      <x:c r="N4842" s="30" t="str">
        <x:v>23</x:v>
      </x:c>
      <x:c r="O4842" s="30" t="str">
        <x:v>Краткий ответ перенесён из официальной таблицы; тип задания и числовой результат проверены по условию.</x:v>
      </x:c>
      <x:c r="P4842" s="30" t="str">
        <x:v>Наличие задания, диапазон допустимого ответа и соответствие официальному ключу проверены; явных противоречий не обнаружено.</x:v>
      </x:c>
      <x:c r="Q4842" s="30"/>
      <x:c r="R4842" s="30" t="str">
        <x:v>23</x:v>
      </x:c>
      <x:c r="S4842" s="30"/>
      <x:c r="T4842" s="30" t="str">
        <x:v>База.jpg</x:v>
      </x:c>
      <x:c r="U4842" s="30" t="str">
        <x:v>Расхождений с каноническим источником не выявлено.</x:v>
      </x:c>
      <x:c r="V4842" s="87" t="str">
        <x:v>VERIFIED</x:v>
      </x:c>
      <x:c r="W4842" s="87"/>
      <x:c r="X4842" s="87" t="n">
        <x:v>21</x:v>
      </x:c>
      <x:c r="Y4842" s="87"/>
      <x:c r="Z4842" s="87"/>
      <x:c r="AA4842" s="87"/>
      <x:c r="AB4842" s="87" t="str">
        <x:v>таблица</x:v>
      </x:c>
      <x:c r="AC4842" s="87" t="str">
        <x:v>VIS-MATH-MAY-BASE-TASK-P021</x:v>
      </x:c>
      <x:c r="AD4842" s="87" t="str">
        <x:v>VIS-MATH-MAY-KEY-BASE</x:v>
      </x:c>
      <x:c r="AE4842" s="87" t="str">
        <x:v>TASK; KEY</x:v>
      </x:c>
      <x:c r="AF4842" s="87" t="str">
        <x:v>VIS-MATH-MAY-BASE-TASK-P021: 21; VIS-MATH-MAY-KEY-BASE: original</x:v>
      </x:c>
      <x:c r="AG4842" s="87" t="str">
        <x:v>RESOLVED</x:v>
      </x:c>
      <x:c r="AH4842" s="87" t="str">
        <x:v>CROP_VERIFIED; ORIGINAL_IMAGE_NO_CROP</x:v>
      </x:c>
      <x:c r="AI4842" s="30" t="str">
        <x:v>{"Уровень": "Базовый"}</x:v>
      </x:c>
      <x:c r="AJ4842" s="87" t="str">
        <x:v>clean</x:v>
      </x:c>
      <x:c r="AK4842" s="87" t="str">
        <x:v>clean-v0.09</x:v>
      </x:c>
      <x:c r="AL4842" s="87" t="str">
        <x:v>statgrad_clean_continuation_v0_09(1).xlsx</x:v>
      </x:c>
      <x:c r="AM4842" s="87" t="str">
        <x:v>MATH_May_0303</x:v>
      </x:c>
      <x:c r="AN4842" s="87" t="n">
        <x:v>9</x:v>
      </x:c>
    </x:row>
    <x:row r="4843">
      <x:c r="A4843" s="87" t="n">
        <x:v>4842</x:v>
      </x:c>
      <x:c r="B4843" s="87" t="str">
        <x:v>MAY-MATH-03-009</x:v>
      </x:c>
      <x:c r="C4843" s="87" t="str">
        <x:v>СтатГрад</x:v>
      </x:c>
      <x:c r="D4843" s="87" t="str">
        <x:v>Май 2026</x:v>
      </x:c>
      <x:c r="E4843" s="87"/>
      <x:c r="F4843" s="87"/>
      <x:c r="G4843" s="87" t="str">
        <x:v>Математика</x:v>
      </x:c>
      <x:c r="H4843" s="87" t="n">
        <x:v>10</x:v>
      </x:c>
      <x:c r="I4843" s="87" t="str">
        <x:v>ТР №2</x:v>
      </x:c>
      <x:c r="J4843" s="87" t="str">
        <x:v>МА2500303</x:v>
      </x:c>
      <x:c r="K4843" s="87" t="n">
        <x:v>9</x:v>
      </x:c>
      <x:c r="L4843" s="87" t="str">
        <x:v>Геометрия / площадь</x:v>
      </x:c>
      <x:c r="M4843" s="30" t="str">
        <x:v>План местности разбит на клетки. Каждая клетка обозначает квадрат 1м × 1м . Найдите площадь участка, выделенного на плане. Ответ дайте в квадратных метрах.</x:v>
      </x:c>
      <x:c r="N4843" s="30" t="str">
        <x:v>42</x:v>
      </x:c>
      <x:c r="O4843" s="30" t="str">
        <x:v>Краткий ответ перенесён из официальной таблицы; тип задания и числовой результат проверены по условию.</x:v>
      </x:c>
      <x:c r="P4843" s="30" t="str">
        <x:v>Наличие задания, диапазон допустимого ответа и соответствие официальному ключу проверены; явных противоречий не обнаружено.</x:v>
      </x:c>
      <x:c r="Q4843" s="30"/>
      <x:c r="R4843" s="30" t="str">
        <x:v>42</x:v>
      </x:c>
      <x:c r="S4843" s="30"/>
      <x:c r="T4843" s="30" t="str">
        <x:v>База.jpg</x:v>
      </x:c>
      <x:c r="U4843" s="30" t="str">
        <x:v>Расхождений с каноническим источником не выявлено.</x:v>
      </x:c>
      <x:c r="V4843" s="87" t="str">
        <x:v>VERIFIED</x:v>
      </x:c>
      <x:c r="W4843" s="87"/>
      <x:c r="X4843" s="87" t="n">
        <x:v>21</x:v>
      </x:c>
      <x:c r="Y4843" s="87"/>
      <x:c r="Z4843" s="87"/>
      <x:c r="AA4843" s="87"/>
      <x:c r="AB4843" s="87" t="str">
        <x:v>таблица</x:v>
      </x:c>
      <x:c r="AC4843" s="87" t="str">
        <x:v>VIS-MATH-MAY-BASE-TASK-P021</x:v>
      </x:c>
      <x:c r="AD4843" s="87" t="str">
        <x:v>VIS-MATH-MAY-KEY-BASE</x:v>
      </x:c>
      <x:c r="AE4843" s="87" t="str">
        <x:v>TASK; KEY</x:v>
      </x:c>
      <x:c r="AF4843" s="87" t="str">
        <x:v>VIS-MATH-MAY-BASE-TASK-P021: 21; VIS-MATH-MAY-KEY-BASE: original</x:v>
      </x:c>
      <x:c r="AG4843" s="87" t="str">
        <x:v>RESOLVED</x:v>
      </x:c>
      <x:c r="AH4843" s="87" t="str">
        <x:v>CROP_VERIFIED; ORIGINAL_IMAGE_NO_CROP; TASK_CROP_QA_APPROVED:USE_TIGHT</x:v>
      </x:c>
      <x:c r="AI4843" s="30" t="str">
        <x:v>{"Уровень": "Базовый"}</x:v>
      </x:c>
      <x:c r="AJ4843" s="87" t="str">
        <x:v>clean</x:v>
      </x:c>
      <x:c r="AK4843" s="87" t="str">
        <x:v>clean-v0.09</x:v>
      </x:c>
      <x:c r="AL4843" s="87" t="str">
        <x:v>statgrad_clean_continuation_v0_09(1).xlsx</x:v>
      </x:c>
      <x:c r="AM4843" s="87" t="str">
        <x:v>MATH_May_0303</x:v>
      </x:c>
      <x:c r="AN4843" s="87" t="n">
        <x:v>10</x:v>
      </x:c>
    </x:row>
    <x:row r="4844">
      <x:c r="A4844" s="87" t="n">
        <x:v>4843</x:v>
      </x:c>
      <x:c r="B4844" s="87" t="str">
        <x:v>MAY-MATH-03-010</x:v>
      </x:c>
      <x:c r="C4844" s="87" t="str">
        <x:v>СтатГрад</x:v>
      </x:c>
      <x:c r="D4844" s="87" t="str">
        <x:v>Май 2026</x:v>
      </x:c>
      <x:c r="E4844" s="87"/>
      <x:c r="F4844" s="87"/>
      <x:c r="G4844" s="87" t="str">
        <x:v>Математика</x:v>
      </x:c>
      <x:c r="H4844" s="87" t="n">
        <x:v>10</x:v>
      </x:c>
      <x:c r="I4844" s="87" t="str">
        <x:v>ТР №2</x:v>
      </x:c>
      <x:c r="J4844" s="87" t="str">
        <x:v>МА2500303</x:v>
      </x:c>
      <x:c r="K4844" s="87" t="n">
        <x:v>10</x:v>
      </x:c>
      <x:c r="L4844" s="87" t="str">
        <x:v>Задание с кратким ответом</x:v>
      </x:c>
      <x:c r="M4844" s="30" t="str">
        <x:v>Пол комнаты, имеющей форму прямоугольника со сторонами 7 м и 9 м, требуется покрыть паркетом из прямоугольных дощечек со сторонами 10 см и 20 см. Сколько потребуется таких дощечек?</x:v>
      </x:c>
      <x:c r="N4844" s="30" t="str">
        <x:v>3150</x:v>
      </x:c>
      <x:c r="O4844" s="30" t="str">
        <x:v>Краткий ответ перенесён из официальной таблицы; тип задания и числовой результат проверены по условию.</x:v>
      </x:c>
      <x:c r="P4844" s="30" t="str">
        <x:v>Наличие задания, диапазон допустимого ответа и соответствие официальному ключу проверены; явных противоречий не обнаружено.</x:v>
      </x:c>
      <x:c r="Q4844" s="30"/>
      <x:c r="R4844" s="30" t="str">
        <x:v>3150</x:v>
      </x:c>
      <x:c r="S4844" s="30"/>
      <x:c r="T4844" s="30" t="str">
        <x:v>База.jpg</x:v>
      </x:c>
      <x:c r="U4844" s="30" t="str">
        <x:v>Расхождений с каноническим источником не выявлено.</x:v>
      </x:c>
      <x:c r="V4844" s="87" t="str">
        <x:v>VERIFIED</x:v>
      </x:c>
      <x:c r="W4844" s="87"/>
      <x:c r="X4844" s="87" t="n">
        <x:v>21</x:v>
      </x:c>
      <x:c r="Y4844" s="87"/>
      <x:c r="Z4844" s="87"/>
      <x:c r="AA4844" s="87"/>
      <x:c r="AB4844" s="87" t="str">
        <x:v>таблица</x:v>
      </x:c>
      <x:c r="AC4844" s="87" t="str">
        <x:v>VIS-MATH-MAY-BASE-TASK-P021</x:v>
      </x:c>
      <x:c r="AD4844" s="87" t="str">
        <x:v>VIS-MATH-MAY-KEY-BASE</x:v>
      </x:c>
      <x:c r="AE4844" s="87" t="str">
        <x:v>TASK; KEY</x:v>
      </x:c>
      <x:c r="AF4844" s="87" t="str">
        <x:v>VIS-MATH-MAY-BASE-TASK-P021: 21; VIS-MATH-MAY-KEY-BASE: original</x:v>
      </x:c>
      <x:c r="AG4844" s="87" t="str">
        <x:v>RESOLVED</x:v>
      </x:c>
      <x:c r="AH4844" s="87" t="str">
        <x:v>CROP_VERIFIED; ORIGINAL_IMAGE_NO_CROP</x:v>
      </x:c>
      <x:c r="AI4844" s="30" t="str">
        <x:v>{"Уровень": "Базовый"}</x:v>
      </x:c>
      <x:c r="AJ4844" s="87" t="str">
        <x:v>clean</x:v>
      </x:c>
      <x:c r="AK4844" s="87" t="str">
        <x:v>clean-v0.09</x:v>
      </x:c>
      <x:c r="AL4844" s="87" t="str">
        <x:v>statgrad_clean_continuation_v0_09(1).xlsx</x:v>
      </x:c>
      <x:c r="AM4844" s="87" t="str">
        <x:v>MATH_May_0303</x:v>
      </x:c>
      <x:c r="AN4844" s="87" t="n">
        <x:v>11</x:v>
      </x:c>
    </x:row>
    <x:row r="4845">
      <x:c r="A4845" s="87" t="n">
        <x:v>4844</x:v>
      </x:c>
      <x:c r="B4845" s="87" t="str">
        <x:v>MAY-MATH-03-011</x:v>
      </x:c>
      <x:c r="C4845" s="87" t="str">
        <x:v>СтатГрад</x:v>
      </x:c>
      <x:c r="D4845" s="87" t="str">
        <x:v>Май 2026</x:v>
      </x:c>
      <x:c r="E4845" s="87"/>
      <x:c r="F4845" s="87"/>
      <x:c r="G4845" s="87" t="str">
        <x:v>Математика</x:v>
      </x:c>
      <x:c r="H4845" s="87" t="n">
        <x:v>10</x:v>
      </x:c>
      <x:c r="I4845" s="87" t="str">
        <x:v>ТР №2</x:v>
      </x:c>
      <x:c r="J4845" s="87" t="str">
        <x:v>МА2500303</x:v>
      </x:c>
      <x:c r="K4845" s="87" t="n">
        <x:v>11</x:v>
      </x:c>
      <x:c r="L4845" s="87" t="str">
        <x:v>Стереометрия</x:v>
      </x:c>
      <x:c r="M4845" s="30" t="str">
        <x:v>Плоскость, проходящая через точки A, B и C (см. Bрисунок), разбивает правильную треугольную призму на A два многогранника. Сколько рёбер у получившегося многогранника с бóльшим числом вершин? C</x:v>
      </x:c>
      <x:c r="N4845" s="30" t="str">
        <x:v>12</x:v>
      </x:c>
      <x:c r="O4845" s="30" t="str">
        <x:v>Краткий ответ перенесён из официальной таблицы; тип задания и числовой результат проверены по условию.</x:v>
      </x:c>
      <x:c r="P4845" s="30" t="str">
        <x:v>Наличие задания, диапазон допустимого ответа и соответствие официальному ключу проверены; явных противоречий не обнаружено.</x:v>
      </x:c>
      <x:c r="Q4845" s="30"/>
      <x:c r="R4845" s="30" t="str">
        <x:v>12</x:v>
      </x:c>
      <x:c r="S4845" s="30"/>
      <x:c r="T4845" s="30" t="str">
        <x:v>База.jpg</x:v>
      </x:c>
      <x:c r="U4845" s="30" t="str">
        <x:v>Расхождений с каноническим источником не выявлено.</x:v>
      </x:c>
      <x:c r="V4845" s="87" t="str">
        <x:v>VERIFIED</x:v>
      </x:c>
      <x:c r="W4845" s="87"/>
      <x:c r="X4845" s="87" t="n">
        <x:v>22</x:v>
      </x:c>
      <x:c r="Y4845" s="87"/>
      <x:c r="Z4845" s="87"/>
      <x:c r="AA4845" s="87"/>
      <x:c r="AB4845" s="87" t="str">
        <x:v>таблица</x:v>
      </x:c>
      <x:c r="AC4845" s="87" t="str">
        <x:v>VIS-MATH-MAY-BASE-TASK-P022</x:v>
      </x:c>
      <x:c r="AD4845" s="87" t="str">
        <x:v>VIS-MATH-MAY-KEY-BASE</x:v>
      </x:c>
      <x:c r="AE4845" s="87" t="str">
        <x:v>TASK; KEY</x:v>
      </x:c>
      <x:c r="AF4845" s="87" t="str">
        <x:v>VIS-MATH-MAY-BASE-TASK-P022: 22; VIS-MATH-MAY-KEY-BASE: original</x:v>
      </x:c>
      <x:c r="AG4845" s="87" t="str">
        <x:v>RESOLVED</x:v>
      </x:c>
      <x:c r="AH4845" s="87" t="str">
        <x:v>CROP_VERIFIED; ORIGINAL_IMAGE_NO_CROP</x:v>
      </x:c>
      <x:c r="AI4845" s="30" t="str">
        <x:v>{"Уровень": "Базовый"}</x:v>
      </x:c>
      <x:c r="AJ4845" s="87" t="str">
        <x:v>clean</x:v>
      </x:c>
      <x:c r="AK4845" s="87" t="str">
        <x:v>clean-v0.09</x:v>
      </x:c>
      <x:c r="AL4845" s="87" t="str">
        <x:v>statgrad_clean_continuation_v0_09(1).xlsx</x:v>
      </x:c>
      <x:c r="AM4845" s="87" t="str">
        <x:v>MATH_May_0303</x:v>
      </x:c>
      <x:c r="AN4845" s="87" t="n">
        <x:v>12</x:v>
      </x:c>
    </x:row>
    <x:row r="4846">
      <x:c r="A4846" s="87" t="n">
        <x:v>4845</x:v>
      </x:c>
      <x:c r="B4846" s="87" t="str">
        <x:v>MAY-MATH-03-012</x:v>
      </x:c>
      <x:c r="C4846" s="87" t="str">
        <x:v>СтатГрад</x:v>
      </x:c>
      <x:c r="D4846" s="87" t="str">
        <x:v>Май 2026</x:v>
      </x:c>
      <x:c r="E4846" s="87"/>
      <x:c r="F4846" s="87"/>
      <x:c r="G4846" s="87" t="str">
        <x:v>Математика</x:v>
      </x:c>
      <x:c r="H4846" s="87" t="n">
        <x:v>10</x:v>
      </x:c>
      <x:c r="I4846" s="87" t="str">
        <x:v>ТР №2</x:v>
      </x:c>
      <x:c r="J4846" s="87" t="str">
        <x:v>МА2500303</x:v>
      </x:c>
      <x:c r="K4846" s="87" t="n">
        <x:v>12</x:v>
      </x:c>
      <x:c r="L4846" s="87" t="str">
        <x:v>Планиметрия</x:v>
      </x:c>
      <x:c r="M4846" s="30" t="str">
        <x:v>На окружности с центром O отмечены точки A и B так, что ∠AOB = 18 °. Длина меньшей дуги AB равна 10. A Найдите длину большей дуги. O B</x:v>
      </x:c>
      <x:c r="N4846" s="30" t="str">
        <x:v>190</x:v>
      </x:c>
      <x:c r="O4846" s="30" t="str">
        <x:v>Краткий ответ перенесён из официальной таблицы; тип задания и числовой результат проверены по условию.</x:v>
      </x:c>
      <x:c r="P4846" s="30" t="str">
        <x:v>Наличие задания, диапазон допустимого ответа и соответствие официальному ключу проверены; явных противоречий не обнаружено.</x:v>
      </x:c>
      <x:c r="Q4846" s="30"/>
      <x:c r="R4846" s="30" t="str">
        <x:v>190</x:v>
      </x:c>
      <x:c r="S4846" s="30"/>
      <x:c r="T4846" s="30" t="str">
        <x:v>База.jpg</x:v>
      </x:c>
      <x:c r="U4846" s="30" t="str">
        <x:v>Расхождений с каноническим источником не выявлено.</x:v>
      </x:c>
      <x:c r="V4846" s="87" t="str">
        <x:v>VERIFIED</x:v>
      </x:c>
      <x:c r="W4846" s="87"/>
      <x:c r="X4846" s="87" t="n">
        <x:v>22</x:v>
      </x:c>
      <x:c r="Y4846" s="87"/>
      <x:c r="Z4846" s="87"/>
      <x:c r="AA4846" s="87"/>
      <x:c r="AB4846" s="87" t="str">
        <x:v>таблица</x:v>
      </x:c>
      <x:c r="AC4846" s="87" t="str">
        <x:v>VIS-MATH-MAY-BASE-TASK-P022</x:v>
      </x:c>
      <x:c r="AD4846" s="87" t="str">
        <x:v>VIS-MATH-MAY-KEY-BASE</x:v>
      </x:c>
      <x:c r="AE4846" s="87" t="str">
        <x:v>TASK; KEY</x:v>
      </x:c>
      <x:c r="AF4846" s="87" t="str">
        <x:v>VIS-MATH-MAY-BASE-TASK-P022: 22; VIS-MATH-MAY-KEY-BASE: original</x:v>
      </x:c>
      <x:c r="AG4846" s="87" t="str">
        <x:v>RESOLVED</x:v>
      </x:c>
      <x:c r="AH4846" s="87" t="str">
        <x:v>CROP_VERIFIED; ORIGINAL_IMAGE_NO_CROP</x:v>
      </x:c>
      <x:c r="AI4846" s="30" t="str">
        <x:v>{"Уровень": "Базовый"}</x:v>
      </x:c>
      <x:c r="AJ4846" s="87" t="str">
        <x:v>clean</x:v>
      </x:c>
      <x:c r="AK4846" s="87" t="str">
        <x:v>clean-v0.09</x:v>
      </x:c>
      <x:c r="AL4846" s="87" t="str">
        <x:v>statgrad_clean_continuation_v0_09(1).xlsx</x:v>
      </x:c>
      <x:c r="AM4846" s="87" t="str">
        <x:v>MATH_May_0303</x:v>
      </x:c>
      <x:c r="AN4846" s="87" t="n">
        <x:v>13</x:v>
      </x:c>
    </x:row>
    <x:row r="4847">
      <x:c r="A4847" s="87" t="n">
        <x:v>4846</x:v>
      </x:c>
      <x:c r="B4847" s="87" t="str">
        <x:v>MAY-MATH-03-013</x:v>
      </x:c>
      <x:c r="C4847" s="87" t="str">
        <x:v>СтатГрад</x:v>
      </x:c>
      <x:c r="D4847" s="87" t="str">
        <x:v>Май 2026</x:v>
      </x:c>
      <x:c r="E4847" s="87"/>
      <x:c r="F4847" s="87"/>
      <x:c r="G4847" s="87" t="str">
        <x:v>Математика</x:v>
      </x:c>
      <x:c r="H4847" s="87" t="n">
        <x:v>10</x:v>
      </x:c>
      <x:c r="I4847" s="87" t="str">
        <x:v>ТР №2</x:v>
      </x:c>
      <x:c r="J4847" s="87" t="str">
        <x:v>МА2500303</x:v>
      </x:c>
      <x:c r="K4847" s="87" t="n">
        <x:v>13</x:v>
      </x:c>
      <x:c r="L4847" s="87" t="str">
        <x:v>Геометрия / объём</x:v>
      </x:c>
      <x:c r="M4847" s="30" t="str">
        <x:v>Основанием четырёхугольной пирамиды является прямоугольник со сторонами 3 и 14. Найдите высоту этой пирамиды, если её объём равен 70.</x:v>
      </x:c>
      <x:c r="N4847" s="30" t="str">
        <x:v>5</x:v>
      </x:c>
      <x:c r="O4847" s="30" t="str">
        <x:v>Краткий ответ перенесён из официальной таблицы; тип задания и числовой результат проверены по условию.</x:v>
      </x:c>
      <x:c r="P4847" s="30" t="str">
        <x:v>Наличие задания, диапазон допустимого ответа и соответствие официальному ключу проверены; явных противоречий не обнаружено.</x:v>
      </x:c>
      <x:c r="Q4847" s="30"/>
      <x:c r="R4847" s="30" t="str">
        <x:v>5</x:v>
      </x:c>
      <x:c r="S4847" s="30"/>
      <x:c r="T4847" s="30" t="str">
        <x:v>База.jpg</x:v>
      </x:c>
      <x:c r="U4847" s="30" t="str">
        <x:v>Расхождений с каноническим источником не выявлено.</x:v>
      </x:c>
      <x:c r="V4847" s="87" t="str">
        <x:v>VERIFIED</x:v>
      </x:c>
      <x:c r="W4847" s="87"/>
      <x:c r="X4847" s="87" t="n">
        <x:v>22</x:v>
      </x:c>
      <x:c r="Y4847" s="87"/>
      <x:c r="Z4847" s="87"/>
      <x:c r="AA4847" s="87"/>
      <x:c r="AB4847" s="87" t="str">
        <x:v>таблица</x:v>
      </x:c>
      <x:c r="AC4847" s="87" t="str">
        <x:v>VIS-MATH-MAY-BASE-TASK-P022</x:v>
      </x:c>
      <x:c r="AD4847" s="87" t="str">
        <x:v>VIS-MATH-MAY-KEY-BASE</x:v>
      </x:c>
      <x:c r="AE4847" s="87" t="str">
        <x:v>TASK; KEY</x:v>
      </x:c>
      <x:c r="AF4847" s="87" t="str">
        <x:v>VIS-MATH-MAY-BASE-TASK-P022: 22; VIS-MATH-MAY-KEY-BASE: original</x:v>
      </x:c>
      <x:c r="AG4847" s="87" t="str">
        <x:v>RESOLVED</x:v>
      </x:c>
      <x:c r="AH4847" s="87" t="str">
        <x:v>CROP_VERIFIED; ORIGINAL_IMAGE_NO_CROP</x:v>
      </x:c>
      <x:c r="AI4847" s="30" t="str">
        <x:v>{"Уровень": "Базовый"}</x:v>
      </x:c>
      <x:c r="AJ4847" s="87" t="str">
        <x:v>clean</x:v>
      </x:c>
      <x:c r="AK4847" s="87" t="str">
        <x:v>clean-v0.09</x:v>
      </x:c>
      <x:c r="AL4847" s="87" t="str">
        <x:v>statgrad_clean_continuation_v0_09(1).xlsx</x:v>
      </x:c>
      <x:c r="AM4847" s="87" t="str">
        <x:v>MATH_May_0303</x:v>
      </x:c>
      <x:c r="AN4847" s="87" t="n">
        <x:v>14</x:v>
      </x:c>
    </x:row>
    <x:row r="4848">
      <x:c r="A4848" s="87" t="n">
        <x:v>4847</x:v>
      </x:c>
      <x:c r="B4848" s="87" t="str">
        <x:v>MAY-MATH-03-014</x:v>
      </x:c>
      <x:c r="C4848" s="87" t="str">
        <x:v>СтатГрад</x:v>
      </x:c>
      <x:c r="D4848" s="87" t="str">
        <x:v>Май 2026</x:v>
      </x:c>
      <x:c r="E4848" s="87"/>
      <x:c r="F4848" s="87"/>
      <x:c r="G4848" s="87" t="str">
        <x:v>Математика</x:v>
      </x:c>
      <x:c r="H4848" s="87" t="n">
        <x:v>10</x:v>
      </x:c>
      <x:c r="I4848" s="87" t="str">
        <x:v>ТР №2</x:v>
      </x:c>
      <x:c r="J4848" s="87" t="str">
        <x:v>МА2500303</x:v>
      </x:c>
      <x:c r="K4848" s="87" t="n">
        <x:v>14</x:v>
      </x:c>
      <x:c r="L4848" s="87" t="str">
        <x:v>Задание с кратким ответом</x:v>
      </x:c>
      <x:c r="M4848" s="30" t="str">
        <x:v>Найдите значение выражения 1,8:0,6 ⋅ 2,5 .</x:v>
      </x:c>
      <x:c r="N4848" s="30" t="str">
        <x:v>7,5</x:v>
      </x:c>
      <x:c r="O4848" s="30" t="str">
        <x:v>Краткий ответ перенесён из официальной таблицы; тип задания и числовой результат проверены по условию.</x:v>
      </x:c>
      <x:c r="P4848" s="30" t="str">
        <x:v>Наличие задания, диапазон допустимого ответа и соответствие официальному ключу проверены; явных противоречий не обнаружено.</x:v>
      </x:c>
      <x:c r="Q4848" s="30"/>
      <x:c r="R4848" s="30" t="str">
        <x:v>7,5</x:v>
      </x:c>
      <x:c r="S4848" s="30"/>
      <x:c r="T4848" s="30" t="str">
        <x:v>База.jpg</x:v>
      </x:c>
      <x:c r="U4848" s="30" t="str">
        <x:v>Расхождений с каноническим источником не выявлено.</x:v>
      </x:c>
      <x:c r="V4848" s="87" t="str">
        <x:v>VERIFIED</x:v>
      </x:c>
      <x:c r="W4848" s="87"/>
      <x:c r="X4848" s="87" t="n">
        <x:v>22</x:v>
      </x:c>
      <x:c r="Y4848" s="87"/>
      <x:c r="Z4848" s="87"/>
      <x:c r="AA4848" s="87"/>
      <x:c r="AB4848" s="87" t="str">
        <x:v>таблица</x:v>
      </x:c>
      <x:c r="AC4848" s="87" t="str">
        <x:v>VIS-MATH-MAY-BASE-TASK-P022</x:v>
      </x:c>
      <x:c r="AD4848" s="87" t="str">
        <x:v>VIS-MATH-MAY-KEY-BASE</x:v>
      </x:c>
      <x:c r="AE4848" s="87" t="str">
        <x:v>TASK; KEY</x:v>
      </x:c>
      <x:c r="AF4848" s="87" t="str">
        <x:v>VIS-MATH-MAY-BASE-TASK-P022: 22; VIS-MATH-MAY-KEY-BASE: original</x:v>
      </x:c>
      <x:c r="AG4848" s="87" t="str">
        <x:v>RESOLVED</x:v>
      </x:c>
      <x:c r="AH4848" s="87" t="str">
        <x:v>CROP_VERIFIED; ORIGINAL_IMAGE_NO_CROP</x:v>
      </x:c>
      <x:c r="AI4848" s="30" t="str">
        <x:v>{"Уровень": "Базовый"}</x:v>
      </x:c>
      <x:c r="AJ4848" s="87" t="str">
        <x:v>clean</x:v>
      </x:c>
      <x:c r="AK4848" s="87" t="str">
        <x:v>clean-v0.09</x:v>
      </x:c>
      <x:c r="AL4848" s="87" t="str">
        <x:v>statgrad_clean_continuation_v0_09(1).xlsx</x:v>
      </x:c>
      <x:c r="AM4848" s="87" t="str">
        <x:v>MATH_May_0303</x:v>
      </x:c>
      <x:c r="AN4848" s="87" t="n">
        <x:v>15</x:v>
      </x:c>
    </x:row>
    <x:row r="4849">
      <x:c r="A4849" s="87" t="n">
        <x:v>4848</x:v>
      </x:c>
      <x:c r="B4849" s="87" t="str">
        <x:v>MAY-MATH-03-015</x:v>
      </x:c>
      <x:c r="C4849" s="87" t="str">
        <x:v>СтатГрад</x:v>
      </x:c>
      <x:c r="D4849" s="87" t="str">
        <x:v>Май 2026</x:v>
      </x:c>
      <x:c r="E4849" s="87"/>
      <x:c r="F4849" s="87"/>
      <x:c r="G4849" s="87" t="str">
        <x:v>Математика</x:v>
      </x:c>
      <x:c r="H4849" s="87" t="n">
        <x:v>10</x:v>
      </x:c>
      <x:c r="I4849" s="87" t="str">
        <x:v>ТР №2</x:v>
      </x:c>
      <x:c r="J4849" s="87" t="str">
        <x:v>МА2500303</x:v>
      </x:c>
      <x:c r="K4849" s="87" t="n">
        <x:v>15</x:v>
      </x:c>
      <x:c r="L4849" s="87" t="str">
        <x:v>Задание с кратким ответом</x:v>
      </x:c>
      <x:c r="M4849" s="30" t="str">
        <x:v>В городе 60 000 жителей, причём 35 % — это пенсионеры. Сколько пенсионеров в этом городе?</x:v>
      </x:c>
      <x:c r="N4849" s="30" t="str">
        <x:v>21000</x:v>
      </x:c>
      <x:c r="O4849" s="30" t="str">
        <x:v>Краткий ответ перенесён из официальной таблицы; тип задания и числовой результат проверены по условию.</x:v>
      </x:c>
      <x:c r="P4849" s="30" t="str">
        <x:v>Наличие задания, диапазон допустимого ответа и соответствие официальному ключу проверены; явных противоречий не обнаружено.</x:v>
      </x:c>
      <x:c r="Q4849" s="30"/>
      <x:c r="R4849" s="30" t="str">
        <x:v>21000</x:v>
      </x:c>
      <x:c r="S4849" s="30"/>
      <x:c r="T4849" s="30" t="str">
        <x:v>База.jpg</x:v>
      </x:c>
      <x:c r="U4849" s="30" t="str">
        <x:v>Расхождений с каноническим источником не выявлено.</x:v>
      </x:c>
      <x:c r="V4849" s="87" t="str">
        <x:v>VERIFIED</x:v>
      </x:c>
      <x:c r="W4849" s="87"/>
      <x:c r="X4849" s="87" t="n">
        <x:v>22</x:v>
      </x:c>
      <x:c r="Y4849" s="87"/>
      <x:c r="Z4849" s="87"/>
      <x:c r="AA4849" s="87"/>
      <x:c r="AB4849" s="87" t="str">
        <x:v>таблица</x:v>
      </x:c>
      <x:c r="AC4849" s="87" t="str">
        <x:v>VIS-MATH-MAY-BASE-TASK-P022</x:v>
      </x:c>
      <x:c r="AD4849" s="87" t="str">
        <x:v>VIS-MATH-MAY-KEY-BASE</x:v>
      </x:c>
      <x:c r="AE4849" s="87" t="str">
        <x:v>TASK; KEY</x:v>
      </x:c>
      <x:c r="AF4849" s="87" t="str">
        <x:v>VIS-MATH-MAY-BASE-TASK-P022: 22; VIS-MATH-MAY-KEY-BASE: original</x:v>
      </x:c>
      <x:c r="AG4849" s="87" t="str">
        <x:v>RESOLVED</x:v>
      </x:c>
      <x:c r="AH4849" s="87" t="str">
        <x:v>CROP_VERIFIED; ORIGINAL_IMAGE_NO_CROP</x:v>
      </x:c>
      <x:c r="AI4849" s="30" t="str">
        <x:v>{"Уровень": "Базовый"}</x:v>
      </x:c>
      <x:c r="AJ4849" s="87" t="str">
        <x:v>clean</x:v>
      </x:c>
      <x:c r="AK4849" s="87" t="str">
        <x:v>clean-v0.09</x:v>
      </x:c>
      <x:c r="AL4849" s="87" t="str">
        <x:v>statgrad_clean_continuation_v0_09(1).xlsx</x:v>
      </x:c>
      <x:c r="AM4849" s="87" t="str">
        <x:v>MATH_May_0303</x:v>
      </x:c>
      <x:c r="AN4849" s="87" t="n">
        <x:v>16</x:v>
      </x:c>
    </x:row>
    <x:row r="4850">
      <x:c r="A4850" s="87" t="n">
        <x:v>4849</x:v>
      </x:c>
      <x:c r="B4850" s="87" t="str">
        <x:v>MAY-MATH-03-016</x:v>
      </x:c>
      <x:c r="C4850" s="87" t="str">
        <x:v>СтатГрад</x:v>
      </x:c>
      <x:c r="D4850" s="87" t="str">
        <x:v>Май 2026</x:v>
      </x:c>
      <x:c r="E4850" s="87"/>
      <x:c r="F4850" s="87"/>
      <x:c r="G4850" s="87" t="str">
        <x:v>Математика</x:v>
      </x:c>
      <x:c r="H4850" s="87" t="n">
        <x:v>10</x:v>
      </x:c>
      <x:c r="I4850" s="87" t="str">
        <x:v>ТР №2</x:v>
      </x:c>
      <x:c r="J4850" s="87" t="str">
        <x:v>МА2500303</x:v>
      </x:c>
      <x:c r="K4850" s="87" t="n">
        <x:v>16</x:v>
      </x:c>
      <x:c r="L4850" s="87" t="str">
        <x:v>Задание с кратким ответом</x:v>
      </x:c>
      <x:c r="M4850" s="30" t="str">
        <x:v>Найдите значение выражения log 5 2,5 + log 5 50 .</x:v>
      </x:c>
      <x:c r="N4850" s="30" t="str">
        <x:v>3</x:v>
      </x:c>
      <x:c r="O4850" s="30" t="str">
        <x:v>Краткий ответ перенесён из официальной таблицы; тип задания и числовой результат проверены по условию.</x:v>
      </x:c>
      <x:c r="P4850" s="30" t="str">
        <x:v>Наличие задания, диапазон допустимого ответа и соответствие официальному ключу проверены; явных противоречий не обнаружено.</x:v>
      </x:c>
      <x:c r="Q4850" s="30"/>
      <x:c r="R4850" s="30" t="str">
        <x:v>3</x:v>
      </x:c>
      <x:c r="S4850" s="30"/>
      <x:c r="T4850" s="30" t="str">
        <x:v>База.jpg</x:v>
      </x:c>
      <x:c r="U4850" s="30" t="str">
        <x:v>Расхождений с каноническим источником не выявлено.</x:v>
      </x:c>
      <x:c r="V4850" s="87" t="str">
        <x:v>VERIFIED</x:v>
      </x:c>
      <x:c r="W4850" s="87"/>
      <x:c r="X4850" s="87" t="n">
        <x:v>23</x:v>
      </x:c>
      <x:c r="Y4850" s="87"/>
      <x:c r="Z4850" s="87"/>
      <x:c r="AA4850" s="87"/>
      <x:c r="AB4850" s="87" t="str">
        <x:v>таблица</x:v>
      </x:c>
      <x:c r="AC4850" s="87" t="str">
        <x:v>VIS-MATH-MAY-BASE-TASK-P023</x:v>
      </x:c>
      <x:c r="AD4850" s="87" t="str">
        <x:v>VIS-MATH-MAY-KEY-BASE</x:v>
      </x:c>
      <x:c r="AE4850" s="87" t="str">
        <x:v>TASK; KEY</x:v>
      </x:c>
      <x:c r="AF4850" s="87" t="str">
        <x:v>VIS-MATH-MAY-BASE-TASK-P023: 23; VIS-MATH-MAY-KEY-BASE: original</x:v>
      </x:c>
      <x:c r="AG4850" s="87" t="str">
        <x:v>RESOLVED</x:v>
      </x:c>
      <x:c r="AH4850" s="87" t="str">
        <x:v>CROP_VERIFIED; ORIGINAL_IMAGE_NO_CROP</x:v>
      </x:c>
      <x:c r="AI4850" s="30" t="str">
        <x:v>{"Уровень": "Базовый"}</x:v>
      </x:c>
      <x:c r="AJ4850" s="87" t="str">
        <x:v>clean</x:v>
      </x:c>
      <x:c r="AK4850" s="87" t="str">
        <x:v>clean-v0.09</x:v>
      </x:c>
      <x:c r="AL4850" s="87" t="str">
        <x:v>statgrad_clean_continuation_v0_09(1).xlsx</x:v>
      </x:c>
      <x:c r="AM4850" s="87" t="str">
        <x:v>MATH_May_0303</x:v>
      </x:c>
      <x:c r="AN4850" s="87" t="n">
        <x:v>17</x:v>
      </x:c>
    </x:row>
    <x:row r="4851">
      <x:c r="A4851" s="87" t="n">
        <x:v>4850</x:v>
      </x:c>
      <x:c r="B4851" s="87" t="str">
        <x:v>MAY-MATH-03-017</x:v>
      </x:c>
      <x:c r="C4851" s="87" t="str">
        <x:v>СтатГрад</x:v>
      </x:c>
      <x:c r="D4851" s="87" t="str">
        <x:v>Май 2026</x:v>
      </x:c>
      <x:c r="E4851" s="87"/>
      <x:c r="F4851" s="87"/>
      <x:c r="G4851" s="87" t="str">
        <x:v>Математика</x:v>
      </x:c>
      <x:c r="H4851" s="87" t="n">
        <x:v>10</x:v>
      </x:c>
      <x:c r="I4851" s="87" t="str">
        <x:v>ТР №2</x:v>
      </x:c>
      <x:c r="J4851" s="87" t="str">
        <x:v>МА2500303</x:v>
      </x:c>
      <x:c r="K4851" s="87" t="n">
        <x:v>17</x:v>
      </x:c>
      <x:c r="L4851" s="87" t="str">
        <x:v>Уравнение</x:v>
      </x:c>
      <x:c r="M4851" s="30" t="str">
        <x:v>2Решите уравнение x = 4 x . Если уравнение имеет более одного корня, в ответе укажите больший из них.</x:v>
      </x:c>
      <x:c r="N4851" s="30" t="str">
        <x:v>4</x:v>
      </x:c>
      <x:c r="O4851" s="30" t="str">
        <x:v>Краткий ответ перенесён из официальной таблицы; тип задания и числовой результат проверены по условию.</x:v>
      </x:c>
      <x:c r="P4851" s="30" t="str">
        <x:v>Наличие задания, диапазон допустимого ответа и соответствие официальному ключу проверены; явных противоречий не обнаружено.</x:v>
      </x:c>
      <x:c r="Q4851" s="30"/>
      <x:c r="R4851" s="30" t="str">
        <x:v>4</x:v>
      </x:c>
      <x:c r="S4851" s="30"/>
      <x:c r="T4851" s="30" t="str">
        <x:v>База.jpg</x:v>
      </x:c>
      <x:c r="U4851" s="30" t="str">
        <x:v>Расхождений с каноническим источником не выявлено.</x:v>
      </x:c>
      <x:c r="V4851" s="87" t="str">
        <x:v>VERIFIED</x:v>
      </x:c>
      <x:c r="W4851" s="87"/>
      <x:c r="X4851" s="87" t="n">
        <x:v>23</x:v>
      </x:c>
      <x:c r="Y4851" s="87"/>
      <x:c r="Z4851" s="87"/>
      <x:c r="AA4851" s="87"/>
      <x:c r="AB4851" s="87" t="str">
        <x:v>таблица</x:v>
      </x:c>
      <x:c r="AC4851" s="87" t="str">
        <x:v>VIS-MATH-MAY-BASE-TASK-P023</x:v>
      </x:c>
      <x:c r="AD4851" s="87" t="str">
        <x:v>VIS-MATH-MAY-KEY-BASE</x:v>
      </x:c>
      <x:c r="AE4851" s="87" t="str">
        <x:v>TASK; KEY</x:v>
      </x:c>
      <x:c r="AF4851" s="87" t="str">
        <x:v>VIS-MATH-MAY-BASE-TASK-P023: 23; VIS-MATH-MAY-KEY-BASE: original</x:v>
      </x:c>
      <x:c r="AG4851" s="87" t="str">
        <x:v>RESOLVED</x:v>
      </x:c>
      <x:c r="AH4851" s="87" t="str">
        <x:v>CROP_VERIFIED; ORIGINAL_IMAGE_NO_CROP</x:v>
      </x:c>
      <x:c r="AI4851" s="30" t="str">
        <x:v>{"Уровень": "Базовый"}</x:v>
      </x:c>
      <x:c r="AJ4851" s="87" t="str">
        <x:v>clean</x:v>
      </x:c>
      <x:c r="AK4851" s="87" t="str">
        <x:v>clean-v0.09</x:v>
      </x:c>
      <x:c r="AL4851" s="87" t="str">
        <x:v>statgrad_clean_continuation_v0_09(1).xlsx</x:v>
      </x:c>
      <x:c r="AM4851" s="87" t="str">
        <x:v>MATH_May_0303</x:v>
      </x:c>
      <x:c r="AN4851" s="87" t="n">
        <x:v>18</x:v>
      </x:c>
    </x:row>
    <x:row r="4852">
      <x:c r="A4852" s="87" t="n">
        <x:v>4851</x:v>
      </x:c>
      <x:c r="B4852" s="87" t="str">
        <x:v>MAY-MATH-03-018</x:v>
      </x:c>
      <x:c r="C4852" s="87" t="str">
        <x:v>СтатГрад</x:v>
      </x:c>
      <x:c r="D4852" s="87" t="str">
        <x:v>Май 2026</x:v>
      </x:c>
      <x:c r="E4852" s="87"/>
      <x:c r="F4852" s="87"/>
      <x:c r="G4852" s="87" t="str">
        <x:v>Математика</x:v>
      </x:c>
      <x:c r="H4852" s="87" t="n">
        <x:v>10</x:v>
      </x:c>
      <x:c r="I4852" s="87" t="str">
        <x:v>ТР №2</x:v>
      </x:c>
      <x:c r="J4852" s="87" t="str">
        <x:v>МА2500303</x:v>
      </x:c>
      <x:c r="K4852" s="87" t="n">
        <x:v>18</x:v>
      </x:c>
      <x:c r="L4852" s="87" t="str">
        <x:v>Установление соответствия</x:v>
      </x:c>
      <x:c r="M4852" s="30" t="str">
        <x:v>На координатной прямой отмечены точки A, B, C и D . A B C D –1 0 1 2 3 4 5 Каждой точке соответствует одно из чисел в правом столбце. Установите соответствие между указанными точками и числами. ТОЧКИ ЧИСЛА A 1) log 5 7 B 17 2) C 6 D 3) 0,5 2 − 1 4) ( 9 ) В таблице для каждой точки укажите номер соответствующего числа. A B C D</x:v>
      </x:c>
      <x:c r="N4852" s="30" t="str">
        <x:v>3124</x:v>
      </x:c>
      <x:c r="O4852" s="30" t="str">
        <x:v>Краткий ответ перенесён из официальной таблицы; тип задания и числовой результат проверены по условию.</x:v>
      </x:c>
      <x:c r="P4852" s="30" t="str">
        <x:v>Наличие задания, диапазон допустимого ответа и соответствие официальному ключу проверены; явных противоречий не обнаружено.</x:v>
      </x:c>
      <x:c r="Q4852" s="30"/>
      <x:c r="R4852" s="30" t="str">
        <x:v>3124</x:v>
      </x:c>
      <x:c r="S4852" s="30"/>
      <x:c r="T4852" s="30" t="str">
        <x:v>База.jpg</x:v>
      </x:c>
      <x:c r="U4852" s="30" t="str">
        <x:v>Расхождений с каноническим источником не выявлено.</x:v>
      </x:c>
      <x:c r="V4852" s="87" t="str">
        <x:v>VERIFIED</x:v>
      </x:c>
      <x:c r="W4852" s="87"/>
      <x:c r="X4852" s="87" t="n">
        <x:v>23</x:v>
      </x:c>
      <x:c r="Y4852" s="87"/>
      <x:c r="Z4852" s="87"/>
      <x:c r="AA4852" s="87"/>
      <x:c r="AB4852" s="87" t="str">
        <x:v>таблица</x:v>
      </x:c>
      <x:c r="AC4852" s="87" t="str">
        <x:v>VIS-MATH-MAY-BASE-TASK-P023</x:v>
      </x:c>
      <x:c r="AD4852" s="87" t="str">
        <x:v>VIS-MATH-MAY-KEY-BASE</x:v>
      </x:c>
      <x:c r="AE4852" s="87" t="str">
        <x:v>TASK; KEY</x:v>
      </x:c>
      <x:c r="AF4852" s="87" t="str">
        <x:v>VIS-MATH-MAY-BASE-TASK-P023: 23; VIS-MATH-MAY-KEY-BASE: original</x:v>
      </x:c>
      <x:c r="AG4852" s="87" t="str">
        <x:v>RESOLVED</x:v>
      </x:c>
      <x:c r="AH4852" s="87" t="str">
        <x:v>CROP_VERIFIED; ORIGINAL_IMAGE_NO_CROP</x:v>
      </x:c>
      <x:c r="AI4852" s="30" t="str">
        <x:v>{"Уровень": "Базовый"}</x:v>
      </x:c>
      <x:c r="AJ4852" s="87" t="str">
        <x:v>clean</x:v>
      </x:c>
      <x:c r="AK4852" s="87" t="str">
        <x:v>clean-v0.09</x:v>
      </x:c>
      <x:c r="AL4852" s="87" t="str">
        <x:v>statgrad_clean_continuation_v0_09(1).xlsx</x:v>
      </x:c>
      <x:c r="AM4852" s="87" t="str">
        <x:v>MATH_May_0303</x:v>
      </x:c>
      <x:c r="AN4852" s="87" t="n">
        <x:v>19</x:v>
      </x:c>
    </x:row>
    <x:row r="4853">
      <x:c r="A4853" s="87" t="n">
        <x:v>4852</x:v>
      </x:c>
      <x:c r="B4853" s="87" t="str">
        <x:v>MAY-MATH-03-019</x:v>
      </x:c>
      <x:c r="C4853" s="87" t="str">
        <x:v>СтатГрад</x:v>
      </x:c>
      <x:c r="D4853" s="87" t="str">
        <x:v>Май 2026</x:v>
      </x:c>
      <x:c r="E4853" s="87"/>
      <x:c r="F4853" s="87"/>
      <x:c r="G4853" s="87" t="str">
        <x:v>Математика</x:v>
      </x:c>
      <x:c r="H4853" s="87" t="n">
        <x:v>10</x:v>
      </x:c>
      <x:c r="I4853" s="87" t="str">
        <x:v>ТР №2</x:v>
      </x:c>
      <x:c r="J4853" s="87" t="str">
        <x:v>МА2500303</x:v>
      </x:c>
      <x:c r="K4853" s="87" t="n">
        <x:v>19</x:v>
      </x:c>
      <x:c r="L4853" s="87" t="str">
        <x:v>Задание с кратким ответом</x:v>
      </x:c>
      <x:c r="M4853" s="30" t="str">
        <x:v>На шести карточках написаны цифры 3; 6; 7; 7; 8; 9 (по одной цифре на каждой карточке). В выражении + + вместо каждого квадратика положили карточку из данного набора. Оказалось, что полученная сумма делится на 20. В ответе укажите какую- нибудь одну такую сумму.</x:v>
      </x:c>
      <x:c r="N4853" s="30" t="str">
        <x:v>760</x:v>
      </x:c>
      <x:c r="O4853" s="30" t="str">
        <x:v>Краткий ответ перенесён из официальной таблицы; тип задания и числовой результат проверены по условию.</x:v>
      </x:c>
      <x:c r="P4853" s="30" t="str">
        <x:v>Наличие задания, диапазон допустимого ответа и соответствие официальному ключу проверены; явных противоречий не обнаружено.</x:v>
      </x:c>
      <x:c r="Q4853" s="30"/>
      <x:c r="R4853" s="30" t="str">
        <x:v>760</x:v>
      </x:c>
      <x:c r="S4853" s="30"/>
      <x:c r="T4853" s="30" t="str">
        <x:v>База.jpg</x:v>
      </x:c>
      <x:c r="U4853" s="30" t="str">
        <x:v>Расхождений с каноническим источником не выявлено.</x:v>
      </x:c>
      <x:c r="V4853" s="87" t="str">
        <x:v>VERIFIED</x:v>
      </x:c>
      <x:c r="W4853" s="87"/>
      <x:c r="X4853" s="87" t="n">
        <x:v>23</x:v>
      </x:c>
      <x:c r="Y4853" s="87"/>
      <x:c r="Z4853" s="87"/>
      <x:c r="AA4853" s="87"/>
      <x:c r="AB4853" s="87" t="str">
        <x:v>таблица</x:v>
      </x:c>
      <x:c r="AC4853" s="87" t="str">
        <x:v>VIS-MATH-MAY-BASE-TASK-P023</x:v>
      </x:c>
      <x:c r="AD4853" s="87" t="str">
        <x:v>VIS-MATH-MAY-KEY-BASE</x:v>
      </x:c>
      <x:c r="AE4853" s="87" t="str">
        <x:v>TASK; KEY</x:v>
      </x:c>
      <x:c r="AF4853" s="87" t="str">
        <x:v>VIS-MATH-MAY-BASE-TASK-P023: 23; VIS-MATH-MAY-KEY-BASE: original</x:v>
      </x:c>
      <x:c r="AG4853" s="87" t="str">
        <x:v>RESOLVED</x:v>
      </x:c>
      <x:c r="AH4853" s="87" t="str">
        <x:v>CROP_VERIFIED; ORIGINAL_IMAGE_NO_CROP</x:v>
      </x:c>
      <x:c r="AI4853" s="30" t="str">
        <x:v>{"Уровень": "Базовый"}</x:v>
      </x:c>
      <x:c r="AJ4853" s="87" t="str">
        <x:v>clean</x:v>
      </x:c>
      <x:c r="AK4853" s="87" t="str">
        <x:v>clean-v0.09</x:v>
      </x:c>
      <x:c r="AL4853" s="87" t="str">
        <x:v>statgrad_clean_continuation_v0_09(1).xlsx</x:v>
      </x:c>
      <x:c r="AM4853" s="87" t="str">
        <x:v>MATH_May_0303</x:v>
      </x:c>
      <x:c r="AN4853" s="87" t="n">
        <x:v>20</x:v>
      </x:c>
    </x:row>
    <x:row r="4854">
      <x:c r="A4854" s="87" t="n">
        <x:v>4853</x:v>
      </x:c>
      <x:c r="B4854" s="87" t="str">
        <x:v>MAY-MATH-03-020</x:v>
      </x:c>
      <x:c r="C4854" s="87" t="str">
        <x:v>СтатГрад</x:v>
      </x:c>
      <x:c r="D4854" s="87" t="str">
        <x:v>Май 2026</x:v>
      </x:c>
      <x:c r="E4854" s="87"/>
      <x:c r="F4854" s="87"/>
      <x:c r="G4854" s="87" t="str">
        <x:v>Математика</x:v>
      </x:c>
      <x:c r="H4854" s="87" t="n">
        <x:v>10</x:v>
      </x:c>
      <x:c r="I4854" s="87" t="str">
        <x:v>ТР №2</x:v>
      </x:c>
      <x:c r="J4854" s="87" t="str">
        <x:v>МА2500303</x:v>
      </x:c>
      <x:c r="K4854" s="87" t="n">
        <x:v>20</x:v>
      </x:c>
      <x:c r="L4854" s="87" t="str">
        <x:v>Задание с кратким ответом</x:v>
      </x:c>
      <x:c r="M4854" s="30" t="str">
        <x:v>Один мастер может выполнить заказ за 36 часов, а другой — за 18 часов. За сколько часов выполнят заказ оба мастера, работая вместе?</x:v>
      </x:c>
      <x:c r="N4854" s="30" t="str">
        <x:v>12</x:v>
      </x:c>
      <x:c r="O4854" s="30" t="str">
        <x:v>Краткий ответ перенесён из официальной таблицы; тип задания и числовой результат проверены по условию.</x:v>
      </x:c>
      <x:c r="P4854" s="30" t="str">
        <x:v>Наличие задания, диапазон допустимого ответа и соответствие официальному ключу проверены; явных противоречий не обнаружено.</x:v>
      </x:c>
      <x:c r="Q4854" s="30"/>
      <x:c r="R4854" s="30" t="str">
        <x:v>12</x:v>
      </x:c>
      <x:c r="S4854" s="30"/>
      <x:c r="T4854" s="30" t="str">
        <x:v>База.jpg</x:v>
      </x:c>
      <x:c r="U4854" s="30" t="str">
        <x:v>Расхождений с каноническим источником не выявлено.</x:v>
      </x:c>
      <x:c r="V4854" s="87" t="str">
        <x:v>VERIFIED</x:v>
      </x:c>
      <x:c r="W4854" s="87"/>
      <x:c r="X4854" s="87" t="n">
        <x:v>24</x:v>
      </x:c>
      <x:c r="Y4854" s="87"/>
      <x:c r="Z4854" s="87"/>
      <x:c r="AA4854" s="87"/>
      <x:c r="AB4854" s="87" t="str">
        <x:v>таблица</x:v>
      </x:c>
      <x:c r="AC4854" s="87" t="str">
        <x:v>VIS-MATH-MAY-BASE-TASK-P024</x:v>
      </x:c>
      <x:c r="AD4854" s="87" t="str">
        <x:v>VIS-MATH-MAY-KEY-BASE</x:v>
      </x:c>
      <x:c r="AE4854" s="87" t="str">
        <x:v>TASK; KEY</x:v>
      </x:c>
      <x:c r="AF4854" s="87" t="str">
        <x:v>VIS-MATH-MAY-BASE-TASK-P024: 24; VIS-MATH-MAY-KEY-BASE: original</x:v>
      </x:c>
      <x:c r="AG4854" s="87" t="str">
        <x:v>RESOLVED</x:v>
      </x:c>
      <x:c r="AH4854" s="87" t="str">
        <x:v>CROP_VERIFIED; ORIGINAL_IMAGE_NO_CROP</x:v>
      </x:c>
      <x:c r="AI4854" s="30" t="str">
        <x:v>{"Уровень": "Базовый"}</x:v>
      </x:c>
      <x:c r="AJ4854" s="87" t="str">
        <x:v>clean</x:v>
      </x:c>
      <x:c r="AK4854" s="87" t="str">
        <x:v>clean-v0.09</x:v>
      </x:c>
      <x:c r="AL4854" s="87" t="str">
        <x:v>statgrad_clean_continuation_v0_09(1).xlsx</x:v>
      </x:c>
      <x:c r="AM4854" s="87" t="str">
        <x:v>MATH_May_0303</x:v>
      </x:c>
      <x:c r="AN4854" s="87" t="n">
        <x:v>21</x:v>
      </x:c>
    </x:row>
    <x:row r="4855">
      <x:c r="A4855" s="87" t="n">
        <x:v>4854</x:v>
      </x:c>
      <x:c r="B4855" s="87" t="str">
        <x:v>MAY-MATH-03-021</x:v>
      </x:c>
      <x:c r="C4855" s="87" t="str">
        <x:v>СтатГрад</x:v>
      </x:c>
      <x:c r="D4855" s="87" t="str">
        <x:v>Май 2026</x:v>
      </x:c>
      <x:c r="E4855" s="87"/>
      <x:c r="F4855" s="87"/>
      <x:c r="G4855" s="87" t="str">
        <x:v>Математика</x:v>
      </x:c>
      <x:c r="H4855" s="87" t="n">
        <x:v>10</x:v>
      </x:c>
      <x:c r="I4855" s="87" t="str">
        <x:v>ТР №2</x:v>
      </x:c>
      <x:c r="J4855" s="87" t="str">
        <x:v>МА2500303</x:v>
      </x:c>
      <x:c r="K4855" s="87" t="n">
        <x:v>21</x:v>
      </x:c>
      <x:c r="L4855" s="87" t="str">
        <x:v>Задание с кратким ответом</x:v>
      </x:c>
      <x:c r="M4855" s="30" t="str">
        <x:v>В конце четверти Петя выписал подряд все свои отметки по одному из предметов, их оказалось 5, и поставил между некоторыми из них знаки умножения. Произведение получившихся чисел оказалось равным 954. Какая отметка выходит у Пети в четверти по этому предмету, если учитель ставит только отметки «2», «3», «4» или «5» и итоговая отметка в четверти является средним арифметическим всех текущих отметок, округлённым по правилам округления? (Например, 3,2 округляется до 3; 4,5 — до 5; 2,8 — до 3.)</x:v>
      </x:c>
      <x:c r="N4855" s="30" t="str">
        <x:v>3</x:v>
      </x:c>
      <x:c r="O4855" s="30" t="str">
        <x:v>Краткий ответ перенесён из официальной таблицы; тип задания и числовой результат проверены по условию.</x:v>
      </x:c>
      <x:c r="P4855" s="30" t="str">
        <x:v>Наличие задания, диапазон допустимого ответа и соответствие официальному ключу проверены; явных противоречий не обнаружено.</x:v>
      </x:c>
      <x:c r="Q4855" s="30"/>
      <x:c r="R4855" s="30" t="str">
        <x:v>3</x:v>
      </x:c>
      <x:c r="S4855" s="30"/>
      <x:c r="T4855" s="30" t="str">
        <x:v>База.jpg</x:v>
      </x:c>
      <x:c r="U4855" s="30" t="str">
        <x:v>Расхождений с каноническим источником не выявлено.</x:v>
      </x:c>
      <x:c r="V4855" s="87" t="str">
        <x:v>VERIFIED</x:v>
      </x:c>
      <x:c r="W4855" s="87"/>
      <x:c r="X4855" s="87" t="n">
        <x:v>24</x:v>
      </x:c>
      <x:c r="Y4855" s="87"/>
      <x:c r="Z4855" s="87"/>
      <x:c r="AA4855" s="87"/>
      <x:c r="AB4855" s="87" t="str">
        <x:v>таблица</x:v>
      </x:c>
      <x:c r="AC4855" s="87" t="str">
        <x:v>VIS-MATH-MAY-BASE-TASK-P024</x:v>
      </x:c>
      <x:c r="AD4855" s="87" t="str">
        <x:v>VIS-MATH-MAY-KEY-BASE</x:v>
      </x:c>
      <x:c r="AE4855" s="87" t="str">
        <x:v>TASK; KEY</x:v>
      </x:c>
      <x:c r="AF4855" s="87" t="str">
        <x:v>VIS-MATH-MAY-BASE-TASK-P024: 24; VIS-MATH-MAY-KEY-BASE: original</x:v>
      </x:c>
      <x:c r="AG4855" s="87" t="str">
        <x:v>RESOLVED</x:v>
      </x:c>
      <x:c r="AH4855" s="87" t="str">
        <x:v>CROP_VERIFIED; ORIGINAL_IMAGE_NO_CROP</x:v>
      </x:c>
      <x:c r="AI4855" s="30" t="str">
        <x:v>{"Уровень": "Базовый"}</x:v>
      </x:c>
      <x:c r="AJ4855" s="87" t="str">
        <x:v>clean</x:v>
      </x:c>
      <x:c r="AK4855" s="87" t="str">
        <x:v>clean-v0.09</x:v>
      </x:c>
      <x:c r="AL4855" s="87" t="str">
        <x:v>statgrad_clean_continuation_v0_09(1).xlsx</x:v>
      </x:c>
      <x:c r="AM4855" s="87" t="str">
        <x:v>MATH_May_0303</x:v>
      </x:c>
      <x:c r="AN4855" s="87" t="n">
        <x:v>22</x:v>
      </x:c>
    </x:row>
    <x:row r="4856">
      <x:c r="A4856" s="87" t="n">
        <x:v>4855</x:v>
      </x:c>
      <x:c r="B4856" s="87" t="str">
        <x:v>MAY-MATH-04-001</x:v>
      </x:c>
      <x:c r="C4856" s="87" t="str">
        <x:v>СтатГрад</x:v>
      </x:c>
      <x:c r="D4856" s="87" t="str">
        <x:v>Май 2026</x:v>
      </x:c>
      <x:c r="E4856" s="87"/>
      <x:c r="F4856" s="87"/>
      <x:c r="G4856" s="87" t="str">
        <x:v>Математика</x:v>
      </x:c>
      <x:c r="H4856" s="87" t="n">
        <x:v>10</x:v>
      </x:c>
      <x:c r="I4856" s="87" t="str">
        <x:v>ТР №2</x:v>
      </x:c>
      <x:c r="J4856" s="87" t="str">
        <x:v>МА2500304</x:v>
      </x:c>
      <x:c r="K4856" s="87" t="n">
        <x:v>1</x:v>
      </x:c>
      <x:c r="L4856" s="87" t="str">
        <x:v>Практическая арифметика</x:v>
      </x:c>
      <x:c r="M4856" s="30" t="str">
        <x:v>Стоимость проездного билета на месяц составляет 2250 рублей, а стоимость билета на одну поездку — 75 рублей. Аня купила проездной и сделала за месяц 48 поездок. На сколько рублей больше она бы потратила, если бы покупала билеты на одну поездку?</x:v>
      </x:c>
      <x:c r="N4856" s="30" t="str">
        <x:v>1350</x:v>
      </x:c>
      <x:c r="O4856" s="30" t="str">
        <x:v>Краткий ответ перенесён из официальной таблицы; тип задания и числовой результат проверены по условию.</x:v>
      </x:c>
      <x:c r="P4856" s="30" t="str">
        <x:v>Наличие задания, диапазон допустимого ответа и соответствие официальному ключу проверены; явных противоречий не обнаружено.</x:v>
      </x:c>
      <x:c r="Q4856" s="30"/>
      <x:c r="R4856" s="30" t="str">
        <x:v>1350</x:v>
      </x:c>
      <x:c r="S4856" s="30"/>
      <x:c r="T4856" s="30" t="str">
        <x:v>База.jpg</x:v>
      </x:c>
      <x:c r="U4856" s="30" t="str">
        <x:v>Расхождений с каноническим источником не выявлено.</x:v>
      </x:c>
      <x:c r="V4856" s="87" t="str">
        <x:v>VERIFIED</x:v>
      </x:c>
      <x:c r="W4856" s="87"/>
      <x:c r="X4856" s="87" t="n">
        <x:v>26</x:v>
      </x:c>
      <x:c r="Y4856" s="87"/>
      <x:c r="Z4856" s="87"/>
      <x:c r="AA4856" s="87"/>
      <x:c r="AB4856" s="87" t="str">
        <x:v>таблица</x:v>
      </x:c>
      <x:c r="AC4856" s="87" t="str">
        <x:v>VIS-MATH-MAY-BASE-TASK-P026</x:v>
      </x:c>
      <x:c r="AD4856" s="87" t="str">
        <x:v>VIS-MATH-MAY-KEY-BASE</x:v>
      </x:c>
      <x:c r="AE4856" s="87" t="str">
        <x:v>TASK; KEY</x:v>
      </x:c>
      <x:c r="AF4856" s="87" t="str">
        <x:v>VIS-MATH-MAY-BASE-TASK-P026: 26; VIS-MATH-MAY-KEY-BASE: original</x:v>
      </x:c>
      <x:c r="AG4856" s="87" t="str">
        <x:v>RESOLVED</x:v>
      </x:c>
      <x:c r="AH4856" s="87" t="str">
        <x:v>CROP_VERIFIED; ORIGINAL_IMAGE_NO_CROP</x:v>
      </x:c>
      <x:c r="AI4856" s="30" t="str">
        <x:v>{"Уровень": "Базовый"}</x:v>
      </x:c>
      <x:c r="AJ4856" s="87" t="str">
        <x:v>clean</x:v>
      </x:c>
      <x:c r="AK4856" s="87" t="str">
        <x:v>clean-v0.09</x:v>
      </x:c>
      <x:c r="AL4856" s="87" t="str">
        <x:v>statgrad_clean_continuation_v0_09(1).xlsx</x:v>
      </x:c>
      <x:c r="AM4856" s="87" t="str">
        <x:v>MATH_May_0304</x:v>
      </x:c>
      <x:c r="AN4856" s="87" t="n">
        <x:v>2</x:v>
      </x:c>
    </x:row>
    <x:row r="4857">
      <x:c r="A4857" s="87" t="n">
        <x:v>4856</x:v>
      </x:c>
      <x:c r="B4857" s="87" t="str">
        <x:v>MAY-MATH-04-002</x:v>
      </x:c>
      <x:c r="C4857" s="87" t="str">
        <x:v>СтатГрад</x:v>
      </x:c>
      <x:c r="D4857" s="87" t="str">
        <x:v>Май 2026</x:v>
      </x:c>
      <x:c r="E4857" s="87"/>
      <x:c r="F4857" s="87"/>
      <x:c r="G4857" s="87" t="str">
        <x:v>Математика</x:v>
      </x:c>
      <x:c r="H4857" s="87" t="n">
        <x:v>10</x:v>
      </x:c>
      <x:c r="I4857" s="87" t="str">
        <x:v>ТР №2</x:v>
      </x:c>
      <x:c r="J4857" s="87" t="str">
        <x:v>МА2500304</x:v>
      </x:c>
      <x:c r="K4857" s="87" t="n">
        <x:v>2</x:v>
      </x:c>
      <x:c r="L4857" s="87" t="str">
        <x:v>Установление соответствия</x:v>
      </x:c>
      <x:c r="M4857"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объём воды в Азовском море 1) 150 м3 Б) объём ящика с инструментами 2) 1 л В) объём грузового отсека транспортного 3) 36 л самолёта 4) 290 км3 Г) объём бутылки растительного масла В таблице под каждой буквой, соответствующей величине, укажите номер её возможного значения. А Б В Г</x:v>
      </x:c>
      <x:c r="N4857" s="30" t="str">
        <x:v>4312</x:v>
      </x:c>
      <x:c r="O4857" s="30" t="str">
        <x:v>Краткий ответ перенесён из официальной таблицы; тип задания и числовой результат проверены по условию.</x:v>
      </x:c>
      <x:c r="P4857" s="30" t="str">
        <x:v>Наличие задания, диапазон допустимого ответа и соответствие официальному ключу проверены; явных противоречий не обнаружено.</x:v>
      </x:c>
      <x:c r="Q4857" s="30"/>
      <x:c r="R4857" s="30" t="str">
        <x:v>4312</x:v>
      </x:c>
      <x:c r="S4857" s="30"/>
      <x:c r="T4857" s="30" t="str">
        <x:v>База.jpg</x:v>
      </x:c>
      <x:c r="U4857" s="30" t="str">
        <x:v>Расхождений с каноническим источником не выявлено.</x:v>
      </x:c>
      <x:c r="V4857" s="87" t="str">
        <x:v>VERIFIED</x:v>
      </x:c>
      <x:c r="W4857" s="87"/>
      <x:c r="X4857" s="87" t="n">
        <x:v>26</x:v>
      </x:c>
      <x:c r="Y4857" s="87"/>
      <x:c r="Z4857" s="87"/>
      <x:c r="AA4857" s="87"/>
      <x:c r="AB4857" s="87" t="str">
        <x:v>таблица</x:v>
      </x:c>
      <x:c r="AC4857" s="87" t="str">
        <x:v>VIS-MATH-MAY-BASE-TASK-P026</x:v>
      </x:c>
      <x:c r="AD4857" s="87" t="str">
        <x:v>VIS-MATH-MAY-KEY-BASE</x:v>
      </x:c>
      <x:c r="AE4857" s="87" t="str">
        <x:v>TASK; KEY</x:v>
      </x:c>
      <x:c r="AF4857" s="87" t="str">
        <x:v>VIS-MATH-MAY-BASE-TASK-P026: 26; VIS-MATH-MAY-KEY-BASE: original</x:v>
      </x:c>
      <x:c r="AG4857" s="87" t="str">
        <x:v>RESOLVED</x:v>
      </x:c>
      <x:c r="AH4857" s="87" t="str">
        <x:v>CROP_VERIFIED; ORIGINAL_IMAGE_NO_CROP</x:v>
      </x:c>
      <x:c r="AI4857" s="30" t="str">
        <x:v>{"Уровень": "Базовый"}</x:v>
      </x:c>
      <x:c r="AJ4857" s="87" t="str">
        <x:v>clean</x:v>
      </x:c>
      <x:c r="AK4857" s="87" t="str">
        <x:v>clean-v0.09</x:v>
      </x:c>
      <x:c r="AL4857" s="87" t="str">
        <x:v>statgrad_clean_continuation_v0_09(1).xlsx</x:v>
      </x:c>
      <x:c r="AM4857" s="87" t="str">
        <x:v>MATH_May_0304</x:v>
      </x:c>
      <x:c r="AN4857" s="87" t="n">
        <x:v>3</x:v>
      </x:c>
    </x:row>
    <x:row r="4858">
      <x:c r="A4858" s="87" t="n">
        <x:v>4857</x:v>
      </x:c>
      <x:c r="B4858" s="87" t="str">
        <x:v>MAY-MATH-04-003</x:v>
      </x:c>
      <x:c r="C4858" s="87" t="str">
        <x:v>СтатГрад</x:v>
      </x:c>
      <x:c r="D4858" s="87" t="str">
        <x:v>Май 2026</x:v>
      </x:c>
      <x:c r="E4858" s="87"/>
      <x:c r="F4858" s="87"/>
      <x:c r="G4858" s="87" t="str">
        <x:v>Математика</x:v>
      </x:c>
      <x:c r="H4858" s="87" t="n">
        <x:v>10</x:v>
      </x:c>
      <x:c r="I4858" s="87" t="str">
        <x:v>ТР №2</x:v>
      </x:c>
      <x:c r="J4858" s="87" t="str">
        <x:v>МА2500304</x:v>
      </x:c>
      <x:c r="K4858" s="87" t="n">
        <x:v>3</x:v>
      </x:c>
      <x:c r="L4858" s="87" t="str">
        <x:v>Оптимизация / целочисленный расчёт</x:v>
      </x:c>
      <x:c r="M4858" s="30" t="str">
        <x:v>На рисунке показано изменение атмосферного давления в течение трёх суток. По горизонтали указаны дни недели, по вертикали — значения атмосферного давления в миллиметрах ртутного столба. 762 760 758 756 754 752 750 вторник среда четверг Определите по рисунку наибольшее значение атмосферного давления (в миллиметрах ртутного столба) в четверг.</x:v>
      </x:c>
      <x:c r="N4858" s="30" t="str">
        <x:v>755</x:v>
      </x:c>
      <x:c r="O4858" s="30" t="str">
        <x:v>Краткий ответ перенесён из официальной таблицы; тип задания и числовой результат проверены по условию.</x:v>
      </x:c>
      <x:c r="P4858" s="30" t="str">
        <x:v>Наличие задания, диапазон допустимого ответа и соответствие официальному ключу проверены; явных противоречий не обнаружено.</x:v>
      </x:c>
      <x:c r="Q4858" s="30"/>
      <x:c r="R4858" s="30" t="str">
        <x:v>755</x:v>
      </x:c>
      <x:c r="S4858" s="30"/>
      <x:c r="T4858" s="30" t="str">
        <x:v>База.jpg</x:v>
      </x:c>
      <x:c r="U4858" s="30" t="str">
        <x:v>Расхождений с каноническим источником не выявлено.</x:v>
      </x:c>
      <x:c r="V4858" s="87" t="str">
        <x:v>VERIFIED</x:v>
      </x:c>
      <x:c r="W4858" s="87"/>
      <x:c r="X4858" s="87" t="n">
        <x:v>27</x:v>
      </x:c>
      <x:c r="Y4858" s="87"/>
      <x:c r="Z4858" s="87"/>
      <x:c r="AA4858" s="87"/>
      <x:c r="AB4858" s="87" t="str">
        <x:v>таблица</x:v>
      </x:c>
      <x:c r="AC4858" s="87" t="str">
        <x:v>VIS-MATH-MAY-BASE-TASK-P027</x:v>
      </x:c>
      <x:c r="AD4858" s="87" t="str">
        <x:v>VIS-MATH-MAY-KEY-BASE</x:v>
      </x:c>
      <x:c r="AE4858" s="87" t="str">
        <x:v>TASK; KEY</x:v>
      </x:c>
      <x:c r="AF4858" s="87" t="str">
        <x:v>VIS-MATH-MAY-BASE-TASK-P027: 27; VIS-MATH-MAY-KEY-BASE: original</x:v>
      </x:c>
      <x:c r="AG4858" s="87" t="str">
        <x:v>RESOLVED</x:v>
      </x:c>
      <x:c r="AH4858" s="87" t="str">
        <x:v>CROP_VERIFIED; ORIGINAL_IMAGE_NO_CROP; TASK_CROP_QA_APPROVED:USE_CONTEXT</x:v>
      </x:c>
      <x:c r="AI4858" s="30" t="str">
        <x:v>{"Уровень": "Базовый"}</x:v>
      </x:c>
      <x:c r="AJ4858" s="87" t="str">
        <x:v>clean</x:v>
      </x:c>
      <x:c r="AK4858" s="87" t="str">
        <x:v>clean-v0.09</x:v>
      </x:c>
      <x:c r="AL4858" s="87" t="str">
        <x:v>statgrad_clean_continuation_v0_09(1).xlsx</x:v>
      </x:c>
      <x:c r="AM4858" s="87" t="str">
        <x:v>MATH_May_0304</x:v>
      </x:c>
      <x:c r="AN4858" s="87" t="n">
        <x:v>4</x:v>
      </x:c>
    </x:row>
    <x:row r="4859">
      <x:c r="A4859" s="87" t="n">
        <x:v>4858</x:v>
      </x:c>
      <x:c r="B4859" s="87" t="str">
        <x:v>MAY-MATH-04-004</x:v>
      </x:c>
      <x:c r="C4859" s="87" t="str">
        <x:v>СтатГрад</x:v>
      </x:c>
      <x:c r="D4859" s="87" t="str">
        <x:v>Май 2026</x:v>
      </x:c>
      <x:c r="E4859" s="87"/>
      <x:c r="F4859" s="87"/>
      <x:c r="G4859" s="87" t="str">
        <x:v>Математика</x:v>
      </x:c>
      <x:c r="H4859" s="87" t="n">
        <x:v>10</x:v>
      </x:c>
      <x:c r="I4859" s="87" t="str">
        <x:v>ТР №2</x:v>
      </x:c>
      <x:c r="J4859" s="87" t="str">
        <x:v>МА2500304</x:v>
      </x:c>
      <x:c r="K4859" s="87" t="n">
        <x:v>4</x:v>
      </x:c>
      <x:c r="L4859" s="87" t="str">
        <x:v>Применение формулы</x:v>
      </x:c>
      <x:c r="M4859" s="30" t="str">
        <x:v>Энергия заряженного конденсатора W (в Дж) вычисляется по формуле 2 CUW = , где C — ёмкость конденсатора (в Ф), а U — разность 2 потенциалов на обкладках конденсатора (в В). Найдите W (в Дж), если − 4C = 2 ⋅ 10 Ф и U = 13 В.</x:v>
      </x:c>
      <x:c r="N4859" s="30" t="str">
        <x:v>0,0169</x:v>
      </x:c>
      <x:c r="O4859" s="30" t="str">
        <x:v>Краткий ответ перенесён из официальной таблицы; тип задания и числовой результат проверены по условию.</x:v>
      </x:c>
      <x:c r="P4859" s="30" t="str">
        <x:v>Наличие задания, диапазон допустимого ответа и соответствие официальному ключу проверены; явных противоречий не обнаружено.</x:v>
      </x:c>
      <x:c r="Q4859" s="30"/>
      <x:c r="R4859" s="30" t="str">
        <x:v>0,0169</x:v>
      </x:c>
      <x:c r="S4859" s="30"/>
      <x:c r="T4859" s="30" t="str">
        <x:v>База.jpg</x:v>
      </x:c>
      <x:c r="U4859" s="30" t="str">
        <x:v>Расхождений с каноническим источником не выявлено.</x:v>
      </x:c>
      <x:c r="V4859" s="87" t="str">
        <x:v>VERIFIED</x:v>
      </x:c>
      <x:c r="W4859" s="87"/>
      <x:c r="X4859" s="87" t="n">
        <x:v>27</x:v>
      </x:c>
      <x:c r="Y4859" s="87"/>
      <x:c r="Z4859" s="87"/>
      <x:c r="AA4859" s="87"/>
      <x:c r="AB4859" s="87" t="str">
        <x:v>таблица</x:v>
      </x:c>
      <x:c r="AC4859" s="87" t="str">
        <x:v>VIS-MATH-MAY-BASE-TASK-P027</x:v>
      </x:c>
      <x:c r="AD4859" s="87" t="str">
        <x:v>VIS-MATH-MAY-KEY-BASE</x:v>
      </x:c>
      <x:c r="AE4859" s="87" t="str">
        <x:v>TASK; KEY</x:v>
      </x:c>
      <x:c r="AF4859" s="87" t="str">
        <x:v>VIS-MATH-MAY-BASE-TASK-P027: 27; VIS-MATH-MAY-KEY-BASE: original</x:v>
      </x:c>
      <x:c r="AG4859" s="87" t="str">
        <x:v>RESOLVED</x:v>
      </x:c>
      <x:c r="AH4859" s="87" t="str">
        <x:v>CROP_VERIFIED; ORIGINAL_IMAGE_NO_CROP</x:v>
      </x:c>
      <x:c r="AI4859" s="30" t="str">
        <x:v>{"Уровень": "Базовый"}</x:v>
      </x:c>
      <x:c r="AJ4859" s="87" t="str">
        <x:v>clean</x:v>
      </x:c>
      <x:c r="AK4859" s="87" t="str">
        <x:v>clean-v0.09</x:v>
      </x:c>
      <x:c r="AL4859" s="87" t="str">
        <x:v>statgrad_clean_continuation_v0_09(1).xlsx</x:v>
      </x:c>
      <x:c r="AM4859" s="87" t="str">
        <x:v>MATH_May_0304</x:v>
      </x:c>
      <x:c r="AN4859" s="87" t="n">
        <x:v>5</x:v>
      </x:c>
    </x:row>
    <x:row r="4860">
      <x:c r="A4860" s="87" t="n">
        <x:v>4859</x:v>
      </x:c>
      <x:c r="B4860" s="87" t="str">
        <x:v>MAY-MATH-04-005</x:v>
      </x:c>
      <x:c r="C4860" s="87" t="str">
        <x:v>СтатГрад</x:v>
      </x:c>
      <x:c r="D4860" s="87" t="str">
        <x:v>Май 2026</x:v>
      </x:c>
      <x:c r="E4860" s="87"/>
      <x:c r="F4860" s="87"/>
      <x:c r="G4860" s="87" t="str">
        <x:v>Математика</x:v>
      </x:c>
      <x:c r="H4860" s="87" t="n">
        <x:v>10</x:v>
      </x:c>
      <x:c r="I4860" s="87" t="str">
        <x:v>ТР №2</x:v>
      </x:c>
      <x:c r="J4860" s="87" t="str">
        <x:v>МА2500304</x:v>
      </x:c>
      <x:c r="K4860" s="87" t="n">
        <x:v>5</x:v>
      </x:c>
      <x:c r="L4860" s="87" t="str">
        <x:v>Теория вероятностей</x:v>
      </x:c>
      <x:c r="M4860" s="30" t="str">
        <x:v>На тарелке лежат одинаковые на вид пирожки: 5 с мясом, 3 с капустой и 4 с вишней. Петя наугад выбирает один пирожок. Найдите вероятность того, что этот пирожок окажется с капустой.</x:v>
      </x:c>
      <x:c r="N4860" s="30" t="str">
        <x:v>0,25</x:v>
      </x:c>
      <x:c r="O4860" s="30" t="str">
        <x:v>Краткий ответ перенесён из официальной таблицы; тип задания и числовой результат проверены по условию.</x:v>
      </x:c>
      <x:c r="P4860" s="30" t="str">
        <x:v>Наличие задания, диапазон допустимого ответа и соответствие официальному ключу проверены; явных противоречий не обнаружено.</x:v>
      </x:c>
      <x:c r="Q4860" s="30"/>
      <x:c r="R4860" s="30" t="str">
        <x:v>0,25</x:v>
      </x:c>
      <x:c r="S4860" s="30"/>
      <x:c r="T4860" s="30" t="str">
        <x:v>База.jpg</x:v>
      </x:c>
      <x:c r="U4860" s="30" t="str">
        <x:v>Расхождений с каноническим источником не выявлено.</x:v>
      </x:c>
      <x:c r="V4860" s="87" t="str">
        <x:v>VERIFIED</x:v>
      </x:c>
      <x:c r="W4860" s="87"/>
      <x:c r="X4860" s="87" t="n">
        <x:v>27</x:v>
      </x:c>
      <x:c r="Y4860" s="87"/>
      <x:c r="Z4860" s="87"/>
      <x:c r="AA4860" s="87"/>
      <x:c r="AB4860" s="87" t="str">
        <x:v>таблица</x:v>
      </x:c>
      <x:c r="AC4860" s="87" t="str">
        <x:v>VIS-MATH-MAY-BASE-TASK-P027</x:v>
      </x:c>
      <x:c r="AD4860" s="87" t="str">
        <x:v>VIS-MATH-MAY-KEY-BASE</x:v>
      </x:c>
      <x:c r="AE4860" s="87" t="str">
        <x:v>TASK; KEY</x:v>
      </x:c>
      <x:c r="AF4860" s="87" t="str">
        <x:v>VIS-MATH-MAY-BASE-TASK-P027: 27; VIS-MATH-MAY-KEY-BASE: original</x:v>
      </x:c>
      <x:c r="AG4860" s="87" t="str">
        <x:v>RESOLVED</x:v>
      </x:c>
      <x:c r="AH4860" s="87" t="str">
        <x:v>CROP_VERIFIED; ORIGINAL_IMAGE_NO_CROP</x:v>
      </x:c>
      <x:c r="AI4860" s="30" t="str">
        <x:v>{"Уровень": "Базовый"}</x:v>
      </x:c>
      <x:c r="AJ4860" s="87" t="str">
        <x:v>clean</x:v>
      </x:c>
      <x:c r="AK4860" s="87" t="str">
        <x:v>clean-v0.09</x:v>
      </x:c>
      <x:c r="AL4860" s="87" t="str">
        <x:v>statgrad_clean_continuation_v0_09(1).xlsx</x:v>
      </x:c>
      <x:c r="AM4860" s="87" t="str">
        <x:v>MATH_May_0304</x:v>
      </x:c>
      <x:c r="AN4860" s="87" t="n">
        <x:v>6</x:v>
      </x:c>
    </x:row>
    <x:row r="4861">
      <x:c r="A4861" s="87" t="n">
        <x:v>4860</x:v>
      </x:c>
      <x:c r="B4861" s="87" t="str">
        <x:v>MAY-MATH-04-006</x:v>
      </x:c>
      <x:c r="C4861" s="87" t="str">
        <x:v>СтатГрад</x:v>
      </x:c>
      <x:c r="D4861" s="87" t="str">
        <x:v>Май 2026</x:v>
      </x:c>
      <x:c r="E4861" s="87"/>
      <x:c r="F4861" s="87"/>
      <x:c r="G4861" s="87" t="str">
        <x:v>Математика</x:v>
      </x:c>
      <x:c r="H4861" s="87" t="n">
        <x:v>10</x:v>
      </x:c>
      <x:c r="I4861" s="87" t="str">
        <x:v>ТР №2</x:v>
      </x:c>
      <x:c r="J4861" s="87" t="str">
        <x:v>МА2500304</x:v>
      </x:c>
      <x:c r="K4861" s="87" t="n">
        <x:v>6</x:v>
      </x:c>
      <x:c r="L4861" s="87" t="str">
        <x:v>Анализ таблицы</x:v>
      </x:c>
      <x:c r="M4861" s="30" t="str">
        <x:v>Для транспортировки 46 тонн груза на 1100 км можно воспользоваться услугами одной из трёх фирм-перевозчиков. Стоимость перевозки и грузоподъёмность автомобилей каждого перевозчика указаны в таблице. Стоимость перевозки одним Грузоподъёмность одного Перевозчик автомобилем автомобиля (руб. на 100 км) (тонны) А 4200 3 Б 8300 6,5 В 11000 9 Сколько рублей придётся заплатить за самую дешёвую перевозку?</x:v>
      </x:c>
      <x:c r="N4861" s="30" t="str">
        <x:v>726000</x:v>
      </x:c>
      <x:c r="O4861" s="30" t="str">
        <x:v>Краткий ответ перенесён из официальной таблицы; тип задания и числовой результат проверены по условию.</x:v>
      </x:c>
      <x:c r="P4861" s="30" t="str">
        <x:v>Наличие задания, диапазон допустимого ответа и соответствие официальному ключу проверены; явных противоречий не обнаружено.</x:v>
      </x:c>
      <x:c r="Q4861" s="30"/>
      <x:c r="R4861" s="30" t="str">
        <x:v>726000</x:v>
      </x:c>
      <x:c r="S4861" s="30"/>
      <x:c r="T4861" s="30" t="str">
        <x:v>База.jpg</x:v>
      </x:c>
      <x:c r="U4861" s="30" t="str">
        <x:v>Расхождений с каноническим источником не выявлено.</x:v>
      </x:c>
      <x:c r="V4861" s="87" t="str">
        <x:v>VERIFIED</x:v>
      </x:c>
      <x:c r="W4861" s="87"/>
      <x:c r="X4861" s="87" t="n">
        <x:v>28</x:v>
      </x:c>
      <x:c r="Y4861" s="87"/>
      <x:c r="Z4861" s="87"/>
      <x:c r="AA4861" s="87"/>
      <x:c r="AB4861" s="87" t="str">
        <x:v>таблица</x:v>
      </x:c>
      <x:c r="AC4861" s="87" t="str">
        <x:v>VIS-MATH-MAY-BASE-TASK-P028</x:v>
      </x:c>
      <x:c r="AD4861" s="87" t="str">
        <x:v>VIS-MATH-MAY-KEY-BASE</x:v>
      </x:c>
      <x:c r="AE4861" s="87" t="str">
        <x:v>TASK; KEY</x:v>
      </x:c>
      <x:c r="AF4861" s="87" t="str">
        <x:v>VIS-MATH-MAY-BASE-TASK-P028: 28; VIS-MATH-MAY-KEY-BASE: original</x:v>
      </x:c>
      <x:c r="AG4861" s="87" t="str">
        <x:v>RESOLVED</x:v>
      </x:c>
      <x:c r="AH4861" s="87" t="str">
        <x:v>CROP_VERIFIED; ORIGINAL_IMAGE_NO_CROP</x:v>
      </x:c>
      <x:c r="AI4861" s="30" t="str">
        <x:v>{"Уровень": "Базовый"}</x:v>
      </x:c>
      <x:c r="AJ4861" s="87" t="str">
        <x:v>clean</x:v>
      </x:c>
      <x:c r="AK4861" s="87" t="str">
        <x:v>clean-v0.09</x:v>
      </x:c>
      <x:c r="AL4861" s="87" t="str">
        <x:v>statgrad_clean_continuation_v0_09(1).xlsx</x:v>
      </x:c>
      <x:c r="AM4861" s="87" t="str">
        <x:v>MATH_May_0304</x:v>
      </x:c>
      <x:c r="AN4861" s="87" t="n">
        <x:v>7</x:v>
      </x:c>
    </x:row>
    <x:row r="4862">
      <x:c r="A4862" s="87" t="n">
        <x:v>4861</x:v>
      </x:c>
      <x:c r="B4862" s="87" t="str">
        <x:v>MAY-MATH-04-007</x:v>
      </x:c>
      <x:c r="C4862" s="87" t="str">
        <x:v>СтатГрад</x:v>
      </x:c>
      <x:c r="D4862" s="87" t="str">
        <x:v>Май 2026</x:v>
      </x:c>
      <x:c r="E4862" s="87"/>
      <x:c r="F4862" s="87"/>
      <x:c r="G4862" s="87" t="str">
        <x:v>Математика</x:v>
      </x:c>
      <x:c r="H4862" s="87" t="n">
        <x:v>10</x:v>
      </x:c>
      <x:c r="I4862" s="87" t="str">
        <x:v>ТР №2</x:v>
      </x:c>
      <x:c r="J4862" s="87" t="str">
        <x:v>МА2500304</x:v>
      </x:c>
      <x:c r="K4862" s="87" t="n">
        <x:v>7</x:v>
      </x:c>
      <x:c r="L4862" s="87" t="str">
        <x:v>Установление соответствия</x:v>
      </x:c>
      <x:c r="M4862" s="30" t="str">
        <x:v>2На рисунках изображены графики функций вида y = ax + bx + c . Установите соответствие между графиками функций и знаками коэффициентов a и c . ФУНКЦИИ А) y В) y 0 x 0 x Б) y Г) y 0 x 0 x КОЭФФИЦИЕНТЫ 1) a &lt; 0 , c &lt; 0 2) a &lt; 0 , c &gt; 0 3) a &gt; 0 , c &gt; 0 4) a &gt; 0 , c &lt; 0 В таблице под каждой буквой укажите соответствующий номер. А Б В Г</x:v>
      </x:c>
      <x:c r="N4862" s="30" t="str">
        <x:v>2314</x:v>
      </x:c>
      <x:c r="O4862" s="30" t="str">
        <x:v>Краткий ответ перенесён из официальной таблицы; тип задания и числовой результат проверены по условию.</x:v>
      </x:c>
      <x:c r="P4862" s="30" t="str">
        <x:v>Наличие задания, диапазон допустимого ответа и соответствие официальному ключу проверены; явных противоречий не обнаружено.</x:v>
      </x:c>
      <x:c r="Q4862" s="30"/>
      <x:c r="R4862" s="30" t="str">
        <x:v>2314</x:v>
      </x:c>
      <x:c r="S4862" s="30"/>
      <x:c r="T4862" s="30" t="str">
        <x:v>База.jpg</x:v>
      </x:c>
      <x:c r="U4862" s="30" t="str">
        <x:v>Расхождений с каноническим источником не выявлено.</x:v>
      </x:c>
      <x:c r="V4862" s="87" t="str">
        <x:v>VERIFIED</x:v>
      </x:c>
      <x:c r="W4862" s="87"/>
      <x:c r="X4862" s="87" t="n">
        <x:v>28</x:v>
      </x:c>
      <x:c r="Y4862" s="87"/>
      <x:c r="Z4862" s="87"/>
      <x:c r="AA4862" s="87"/>
      <x:c r="AB4862" s="87" t="str">
        <x:v>таблица</x:v>
      </x:c>
      <x:c r="AC4862" s="87" t="str">
        <x:v>VIS-MATH-MAY-BASE-TASK-P028</x:v>
      </x:c>
      <x:c r="AD4862" s="87" t="str">
        <x:v>VIS-MATH-MAY-KEY-BASE</x:v>
      </x:c>
      <x:c r="AE4862" s="87" t="str">
        <x:v>TASK; KEY</x:v>
      </x:c>
      <x:c r="AF4862" s="87" t="str">
        <x:v>VIS-MATH-MAY-BASE-TASK-P028: 28; VIS-MATH-MAY-KEY-BASE: original</x:v>
      </x:c>
      <x:c r="AG4862" s="87" t="str">
        <x:v>RESOLVED</x:v>
      </x:c>
      <x:c r="AH4862" s="87" t="str">
        <x:v>CROP_VERIFIED; ORIGINAL_IMAGE_NO_CROP; TASK_CROP_QA_APPROVED:USE_CONTEXT</x:v>
      </x:c>
      <x:c r="AI4862" s="30" t="str">
        <x:v>{"Уровень": "Базовый"}</x:v>
      </x:c>
      <x:c r="AJ4862" s="87" t="str">
        <x:v>clean</x:v>
      </x:c>
      <x:c r="AK4862" s="87" t="str">
        <x:v>clean-v0.09</x:v>
      </x:c>
      <x:c r="AL4862" s="87" t="str">
        <x:v>statgrad_clean_continuation_v0_09(1).xlsx</x:v>
      </x:c>
      <x:c r="AM4862" s="87" t="str">
        <x:v>MATH_May_0304</x:v>
      </x:c>
      <x:c r="AN4862" s="87" t="n">
        <x:v>8</x:v>
      </x:c>
    </x:row>
    <x:row r="4863">
      <x:c r="A4863" s="87" t="n">
        <x:v>4862</x:v>
      </x:c>
      <x:c r="B4863" s="87" t="str">
        <x:v>MAY-MATH-04-008</x:v>
      </x:c>
      <x:c r="C4863" s="87" t="str">
        <x:v>СтатГрад</x:v>
      </x:c>
      <x:c r="D4863" s="87" t="str">
        <x:v>Май 2026</x:v>
      </x:c>
      <x:c r="E4863" s="87"/>
      <x:c r="F4863" s="87"/>
      <x:c r="G4863" s="87" t="str">
        <x:v>Математика</x:v>
      </x:c>
      <x:c r="H4863" s="87" t="n">
        <x:v>10</x:v>
      </x:c>
      <x:c r="I4863" s="87" t="str">
        <x:v>ТР №2</x:v>
      </x:c>
      <x:c r="J4863" s="87" t="str">
        <x:v>МА2500304</x:v>
      </x:c>
      <x:c r="K4863" s="87" t="n">
        <x:v>8</x:v>
      </x:c>
      <x:c r="L4863" s="87" t="str">
        <x:v>Задание с кратким ответом</x:v>
      </x:c>
      <x:c r="M4863" s="30" t="str">
        <x:v>Некоторые учащиеся школы съели за завтраком булочку с повидлом. Некоторые учащиеся этой школы на обед получат сочник, причём среди них не будет тех, кто съел за завтраком булочку. Выберите утверждения, которые будут верны при указанных условиях независимо от того, кому достанутся сочники. 1) Каждый учащийся, который не съел булочку за завтраком, получит сочник на обед. 2) Найдётся учащийся, который не съел булочку за завтраком и не получит сочник на обед. 3) Среди учащихся этой школы, которым не достанется сочник на обед, есть хотя бы один, который съел булочку за завтраком. 4) Нет ни одного учащегося этой школы, который съел булочку за завтраком и получит сочник на обед. В ответе запишите номера выбранных утверждений без пробелов, запятых и других дополнительных символов.</x:v>
      </x:c>
      <x:c r="N4863" s="30" t="str">
        <x:v>34</x:v>
      </x:c>
      <x:c r="O4863" s="30" t="str">
        <x:v>Краткий ответ перенесён из официальной таблицы; тип задания и числовой результат проверены по условию.</x:v>
      </x:c>
      <x:c r="P4863" s="30" t="str">
        <x:v>Наличие задания, диапазон допустимого ответа и соответствие официальному ключу проверены; явных противоречий не обнаружено.</x:v>
      </x:c>
      <x:c r="Q4863" s="30"/>
      <x:c r="R4863" s="30" t="str">
        <x:v>34</x:v>
      </x:c>
      <x:c r="S4863" s="30"/>
      <x:c r="T4863" s="30" t="str">
        <x:v>База.jpg</x:v>
      </x:c>
      <x:c r="U4863" s="30" t="str">
        <x:v>Расхождений с каноническим источником не выявлено.</x:v>
      </x:c>
      <x:c r="V4863" s="87" t="str">
        <x:v>VERIFIED</x:v>
      </x:c>
      <x:c r="W4863" s="87"/>
      <x:c r="X4863" s="87" t="n">
        <x:v>29</x:v>
      </x:c>
      <x:c r="Y4863" s="87"/>
      <x:c r="Z4863" s="87"/>
      <x:c r="AA4863" s="87"/>
      <x:c r="AB4863" s="87" t="str">
        <x:v>таблица</x:v>
      </x:c>
      <x:c r="AC4863" s="87" t="str">
        <x:v>VIS-MATH-MAY-BASE-TASK-P029</x:v>
      </x:c>
      <x:c r="AD4863" s="87" t="str">
        <x:v>VIS-MATH-MAY-KEY-BASE</x:v>
      </x:c>
      <x:c r="AE4863" s="87" t="str">
        <x:v>TASK; KEY</x:v>
      </x:c>
      <x:c r="AF4863" s="87" t="str">
        <x:v>VIS-MATH-MAY-BASE-TASK-P029: 29; VIS-MATH-MAY-KEY-BASE: original</x:v>
      </x:c>
      <x:c r="AG4863" s="87" t="str">
        <x:v>RESOLVED</x:v>
      </x:c>
      <x:c r="AH4863" s="87" t="str">
        <x:v>CROP_VERIFIED; ORIGINAL_IMAGE_NO_CROP</x:v>
      </x:c>
      <x:c r="AI4863" s="30" t="str">
        <x:v>{"Уровень": "Базовый"}</x:v>
      </x:c>
      <x:c r="AJ4863" s="87" t="str">
        <x:v>clean</x:v>
      </x:c>
      <x:c r="AK4863" s="87" t="str">
        <x:v>clean-v0.09</x:v>
      </x:c>
      <x:c r="AL4863" s="87" t="str">
        <x:v>statgrad_clean_continuation_v0_09(1).xlsx</x:v>
      </x:c>
      <x:c r="AM4863" s="87" t="str">
        <x:v>MATH_May_0304</x:v>
      </x:c>
      <x:c r="AN4863" s="87" t="n">
        <x:v>9</x:v>
      </x:c>
    </x:row>
    <x:row r="4864">
      <x:c r="A4864" s="87" t="n">
        <x:v>4863</x:v>
      </x:c>
      <x:c r="B4864" s="87" t="str">
        <x:v>MAY-MATH-04-009</x:v>
      </x:c>
      <x:c r="C4864" s="87" t="str">
        <x:v>СтатГрад</x:v>
      </x:c>
      <x:c r="D4864" s="87" t="str">
        <x:v>Май 2026</x:v>
      </x:c>
      <x:c r="E4864" s="87"/>
      <x:c r="F4864" s="87"/>
      <x:c r="G4864" s="87" t="str">
        <x:v>Математика</x:v>
      </x:c>
      <x:c r="H4864" s="87" t="n">
        <x:v>10</x:v>
      </x:c>
      <x:c r="I4864" s="87" t="str">
        <x:v>ТР №2</x:v>
      </x:c>
      <x:c r="J4864" s="87" t="str">
        <x:v>МА2500304</x:v>
      </x:c>
      <x:c r="K4864" s="87" t="n">
        <x:v>9</x:v>
      </x:c>
      <x:c r="L4864" s="87" t="str">
        <x:v>Геометрия / площадь</x:v>
      </x:c>
      <x:c r="M4864" s="30" t="str">
        <x:v>План местности разбит на клетки. Каждая клетка обозначает квадрат 1м × 1м . Найдите площадь участка, выделенного на плане. Ответ дайте в квадратных метрах.</x:v>
      </x:c>
      <x:c r="N4864" s="30" t="str">
        <x:v>45,5</x:v>
      </x:c>
      <x:c r="O4864" s="30" t="str">
        <x:v>Краткий ответ перенесён из официальной таблицы; тип задания и числовой результат проверены по условию.</x:v>
      </x:c>
      <x:c r="P4864" s="30" t="str">
        <x:v>Наличие задания, диапазон допустимого ответа и соответствие официальному ключу проверены; явных противоречий не обнаружено.</x:v>
      </x:c>
      <x:c r="Q4864" s="30"/>
      <x:c r="R4864" s="30" t="str">
        <x:v>45,5</x:v>
      </x:c>
      <x:c r="S4864" s="30"/>
      <x:c r="T4864" s="30" t="str">
        <x:v>База.jpg</x:v>
      </x:c>
      <x:c r="U4864" s="30" t="str">
        <x:v>Расхождений с каноническим источником не выявлено.</x:v>
      </x:c>
      <x:c r="V4864" s="87" t="str">
        <x:v>VERIFIED</x:v>
      </x:c>
      <x:c r="W4864" s="87"/>
      <x:c r="X4864" s="87" t="n">
        <x:v>29</x:v>
      </x:c>
      <x:c r="Y4864" s="87"/>
      <x:c r="Z4864" s="87"/>
      <x:c r="AA4864" s="87"/>
      <x:c r="AB4864" s="87" t="str">
        <x:v>таблица</x:v>
      </x:c>
      <x:c r="AC4864" s="87" t="str">
        <x:v>VIS-MATH-MAY-BASE-TASK-P029</x:v>
      </x:c>
      <x:c r="AD4864" s="87" t="str">
        <x:v>VIS-MATH-MAY-KEY-BASE</x:v>
      </x:c>
      <x:c r="AE4864" s="87" t="str">
        <x:v>TASK; KEY</x:v>
      </x:c>
      <x:c r="AF4864" s="87" t="str">
        <x:v>VIS-MATH-MAY-BASE-TASK-P029: 29; VIS-MATH-MAY-KEY-BASE: original</x:v>
      </x:c>
      <x:c r="AG4864" s="87" t="str">
        <x:v>RESOLVED</x:v>
      </x:c>
      <x:c r="AH4864" s="87" t="str">
        <x:v>CROP_VERIFIED; ORIGINAL_IMAGE_NO_CROP; TASK_CROP_QA_APPROVED:USE_TIGHT</x:v>
      </x:c>
      <x:c r="AI4864" s="30" t="str">
        <x:v>{"Уровень": "Базовый"}</x:v>
      </x:c>
      <x:c r="AJ4864" s="87" t="str">
        <x:v>clean</x:v>
      </x:c>
      <x:c r="AK4864" s="87" t="str">
        <x:v>clean-v0.09</x:v>
      </x:c>
      <x:c r="AL4864" s="87" t="str">
        <x:v>statgrad_clean_continuation_v0_09(1).xlsx</x:v>
      </x:c>
      <x:c r="AM4864" s="87" t="str">
        <x:v>MATH_May_0304</x:v>
      </x:c>
      <x:c r="AN4864" s="87" t="n">
        <x:v>10</x:v>
      </x:c>
    </x:row>
    <x:row r="4865">
      <x:c r="A4865" s="87" t="n">
        <x:v>4864</x:v>
      </x:c>
      <x:c r="B4865" s="87" t="str">
        <x:v>MAY-MATH-04-010</x:v>
      </x:c>
      <x:c r="C4865" s="87" t="str">
        <x:v>СтатГрад</x:v>
      </x:c>
      <x:c r="D4865" s="87" t="str">
        <x:v>Май 2026</x:v>
      </x:c>
      <x:c r="E4865" s="87"/>
      <x:c r="F4865" s="87"/>
      <x:c r="G4865" s="87" t="str">
        <x:v>Математика</x:v>
      </x:c>
      <x:c r="H4865" s="87" t="n">
        <x:v>10</x:v>
      </x:c>
      <x:c r="I4865" s="87" t="str">
        <x:v>ТР №2</x:v>
      </x:c>
      <x:c r="J4865" s="87" t="str">
        <x:v>МА2500304</x:v>
      </x:c>
      <x:c r="K4865" s="87" t="n">
        <x:v>10</x:v>
      </x:c>
      <x:c r="L4865" s="87" t="str">
        <x:v>Задание с кратким ответом</x:v>
      </x:c>
      <x:c r="M4865" s="30" t="str">
        <x:v>Пол комнаты, имеющей форму прямоугольника со сторонами 9 м и 10 м, требуется покрыть паркетом из прямоугольных дощечек со сторонами 10 см и 20 см. Сколько потребуется таких дощечек?</x:v>
      </x:c>
      <x:c r="N4865" s="30" t="str">
        <x:v>4500</x:v>
      </x:c>
      <x:c r="O4865" s="30" t="str">
        <x:v>Краткий ответ перенесён из официальной таблицы; тип задания и числовой результат проверены по условию.</x:v>
      </x:c>
      <x:c r="P4865" s="30" t="str">
        <x:v>Наличие задания, диапазон допустимого ответа и соответствие официальному ключу проверены; явных противоречий не обнаружено.</x:v>
      </x:c>
      <x:c r="Q4865" s="30"/>
      <x:c r="R4865" s="30" t="str">
        <x:v>4500</x:v>
      </x:c>
      <x:c r="S4865" s="30"/>
      <x:c r="T4865" s="30" t="str">
        <x:v>База.jpg</x:v>
      </x:c>
      <x:c r="U4865" s="30" t="str">
        <x:v>Расхождений с каноническим источником не выявлено.</x:v>
      </x:c>
      <x:c r="V4865" s="87" t="str">
        <x:v>VERIFIED</x:v>
      </x:c>
      <x:c r="W4865" s="87"/>
      <x:c r="X4865" s="87" t="n">
        <x:v>29</x:v>
      </x:c>
      <x:c r="Y4865" s="87"/>
      <x:c r="Z4865" s="87"/>
      <x:c r="AA4865" s="87"/>
      <x:c r="AB4865" s="87" t="str">
        <x:v>таблица</x:v>
      </x:c>
      <x:c r="AC4865" s="87" t="str">
        <x:v>VIS-MATH-MAY-BASE-TASK-P029</x:v>
      </x:c>
      <x:c r="AD4865" s="87" t="str">
        <x:v>VIS-MATH-MAY-KEY-BASE</x:v>
      </x:c>
      <x:c r="AE4865" s="87" t="str">
        <x:v>TASK; KEY</x:v>
      </x:c>
      <x:c r="AF4865" s="87" t="str">
        <x:v>VIS-MATH-MAY-BASE-TASK-P029: 29; VIS-MATH-MAY-KEY-BASE: original</x:v>
      </x:c>
      <x:c r="AG4865" s="87" t="str">
        <x:v>RESOLVED</x:v>
      </x:c>
      <x:c r="AH4865" s="87" t="str">
        <x:v>CROP_VERIFIED; ORIGINAL_IMAGE_NO_CROP</x:v>
      </x:c>
      <x:c r="AI4865" s="30" t="str">
        <x:v>{"Уровень": "Базовый"}</x:v>
      </x:c>
      <x:c r="AJ4865" s="87" t="str">
        <x:v>clean</x:v>
      </x:c>
      <x:c r="AK4865" s="87" t="str">
        <x:v>clean-v0.09</x:v>
      </x:c>
      <x:c r="AL4865" s="87" t="str">
        <x:v>statgrad_clean_continuation_v0_09(1).xlsx</x:v>
      </x:c>
      <x:c r="AM4865" s="87" t="str">
        <x:v>MATH_May_0304</x:v>
      </x:c>
      <x:c r="AN4865" s="87" t="n">
        <x:v>11</x:v>
      </x:c>
    </x:row>
    <x:row r="4866">
      <x:c r="A4866" s="87" t="n">
        <x:v>4865</x:v>
      </x:c>
      <x:c r="B4866" s="87" t="str">
        <x:v>MAY-MATH-04-011</x:v>
      </x:c>
      <x:c r="C4866" s="87" t="str">
        <x:v>СтатГрад</x:v>
      </x:c>
      <x:c r="D4866" s="87" t="str">
        <x:v>Май 2026</x:v>
      </x:c>
      <x:c r="E4866" s="87"/>
      <x:c r="F4866" s="87"/>
      <x:c r="G4866" s="87" t="str">
        <x:v>Математика</x:v>
      </x:c>
      <x:c r="H4866" s="87" t="n">
        <x:v>10</x:v>
      </x:c>
      <x:c r="I4866" s="87" t="str">
        <x:v>ТР №2</x:v>
      </x:c>
      <x:c r="J4866" s="87" t="str">
        <x:v>МА2500304</x:v>
      </x:c>
      <x:c r="K4866" s="87" t="n">
        <x:v>11</x:v>
      </x:c>
      <x:c r="L4866" s="87" t="str">
        <x:v>Стереометрия</x:v>
      </x:c>
      <x:c r="M4866" s="30" t="str">
        <x:v>Плоскость, проходящая через точки A, B и C (см. Bрисунок), разбивает куб на два многогранника. AСколько рёбер у получившегося многогранника с меньшим числом вершин? C</x:v>
      </x:c>
      <x:c r="N4866" s="30" t="str">
        <x:v>9</x:v>
      </x:c>
      <x:c r="O4866" s="30" t="str">
        <x:v>Краткий ответ перенесён из официальной таблицы; тип задания и числовой результат проверены по условию.</x:v>
      </x:c>
      <x:c r="P4866" s="30" t="str">
        <x:v>Наличие задания, диапазон допустимого ответа и соответствие официальному ключу проверены; явных противоречий не обнаружено.</x:v>
      </x:c>
      <x:c r="Q4866" s="30"/>
      <x:c r="R4866" s="30" t="str">
        <x:v>9</x:v>
      </x:c>
      <x:c r="S4866" s="30"/>
      <x:c r="T4866" s="30" t="str">
        <x:v>База.jpg</x:v>
      </x:c>
      <x:c r="U4866" s="30" t="str">
        <x:v>Расхождений с каноническим источником не выявлено.</x:v>
      </x:c>
      <x:c r="V4866" s="87" t="str">
        <x:v>VERIFIED</x:v>
      </x:c>
      <x:c r="W4866" s="87"/>
      <x:c r="X4866" s="87" t="n">
        <x:v>30</x:v>
      </x:c>
      <x:c r="Y4866" s="87"/>
      <x:c r="Z4866" s="87"/>
      <x:c r="AA4866" s="87"/>
      <x:c r="AB4866" s="87" t="str">
        <x:v>таблица</x:v>
      </x:c>
      <x:c r="AC4866" s="87" t="str">
        <x:v>VIS-MATH-MAY-BASE-TASK-P030</x:v>
      </x:c>
      <x:c r="AD4866" s="87" t="str">
        <x:v>VIS-MATH-MAY-KEY-BASE</x:v>
      </x:c>
      <x:c r="AE4866" s="87" t="str">
        <x:v>TASK; KEY</x:v>
      </x:c>
      <x:c r="AF4866" s="87" t="str">
        <x:v>VIS-MATH-MAY-BASE-TASK-P030: 30; VIS-MATH-MAY-KEY-BASE: original</x:v>
      </x:c>
      <x:c r="AG4866" s="87" t="str">
        <x:v>RESOLVED</x:v>
      </x:c>
      <x:c r="AH4866" s="87" t="str">
        <x:v>CROP_VERIFIED; ORIGINAL_IMAGE_NO_CROP</x:v>
      </x:c>
      <x:c r="AI4866" s="30" t="str">
        <x:v>{"Уровень": "Базовый"}</x:v>
      </x:c>
      <x:c r="AJ4866" s="87" t="str">
        <x:v>clean</x:v>
      </x:c>
      <x:c r="AK4866" s="87" t="str">
        <x:v>clean-v0.09</x:v>
      </x:c>
      <x:c r="AL4866" s="87" t="str">
        <x:v>statgrad_clean_continuation_v0_09(1).xlsx</x:v>
      </x:c>
      <x:c r="AM4866" s="87" t="str">
        <x:v>MATH_May_0304</x:v>
      </x:c>
      <x:c r="AN4866" s="87" t="n">
        <x:v>12</x:v>
      </x:c>
    </x:row>
    <x:row r="4867">
      <x:c r="A4867" s="87" t="n">
        <x:v>4866</x:v>
      </x:c>
      <x:c r="B4867" s="87" t="str">
        <x:v>MAY-MATH-04-012</x:v>
      </x:c>
      <x:c r="C4867" s="87" t="str">
        <x:v>СтатГрад</x:v>
      </x:c>
      <x:c r="D4867" s="87" t="str">
        <x:v>Май 2026</x:v>
      </x:c>
      <x:c r="E4867" s="87"/>
      <x:c r="F4867" s="87"/>
      <x:c r="G4867" s="87" t="str">
        <x:v>Математика</x:v>
      </x:c>
      <x:c r="H4867" s="87" t="n">
        <x:v>10</x:v>
      </x:c>
      <x:c r="I4867" s="87" t="str">
        <x:v>ТР №2</x:v>
      </x:c>
      <x:c r="J4867" s="87" t="str">
        <x:v>МА2500304</x:v>
      </x:c>
      <x:c r="K4867" s="87" t="n">
        <x:v>12</x:v>
      </x:c>
      <x:c r="L4867" s="87" t="str">
        <x:v>Планиметрия</x:v>
      </x:c>
      <x:c r="M4867" s="30" t="str">
        <x:v>На окружности с центром O отмечены точки A и B так, A что ∠AOB = 60 °. Длина меньшей дуги AB равна 19. Найдите длину большей дуги. O B</x:v>
      </x:c>
      <x:c r="N4867" s="30" t="str">
        <x:v>95</x:v>
      </x:c>
      <x:c r="O4867" s="30" t="str">
        <x:v>Краткий ответ перенесён из официальной таблицы; тип задания и числовой результат проверены по условию.</x:v>
      </x:c>
      <x:c r="P4867" s="30" t="str">
        <x:v>Наличие задания, диапазон допустимого ответа и соответствие официальному ключу проверены; явных противоречий не обнаружено.</x:v>
      </x:c>
      <x:c r="Q4867" s="30"/>
      <x:c r="R4867" s="30" t="str">
        <x:v>95</x:v>
      </x:c>
      <x:c r="S4867" s="30"/>
      <x:c r="T4867" s="30" t="str">
        <x:v>База.jpg</x:v>
      </x:c>
      <x:c r="U4867" s="30" t="str">
        <x:v>Расхождений с каноническим источником не выявлено.</x:v>
      </x:c>
      <x:c r="V4867" s="87" t="str">
        <x:v>VERIFIED</x:v>
      </x:c>
      <x:c r="W4867" s="87"/>
      <x:c r="X4867" s="87" t="n">
        <x:v>30</x:v>
      </x:c>
      <x:c r="Y4867" s="87"/>
      <x:c r="Z4867" s="87"/>
      <x:c r="AA4867" s="87"/>
      <x:c r="AB4867" s="87" t="str">
        <x:v>таблица</x:v>
      </x:c>
      <x:c r="AC4867" s="87" t="str">
        <x:v>VIS-MATH-MAY-BASE-TASK-P030</x:v>
      </x:c>
      <x:c r="AD4867" s="87" t="str">
        <x:v>VIS-MATH-MAY-KEY-BASE</x:v>
      </x:c>
      <x:c r="AE4867" s="87" t="str">
        <x:v>TASK; KEY</x:v>
      </x:c>
      <x:c r="AF4867" s="87" t="str">
        <x:v>VIS-MATH-MAY-BASE-TASK-P030: 30; VIS-MATH-MAY-KEY-BASE: original</x:v>
      </x:c>
      <x:c r="AG4867" s="87" t="str">
        <x:v>RESOLVED</x:v>
      </x:c>
      <x:c r="AH4867" s="87" t="str">
        <x:v>CROP_VERIFIED; ORIGINAL_IMAGE_NO_CROP</x:v>
      </x:c>
      <x:c r="AI4867" s="30" t="str">
        <x:v>{"Уровень": "Базовый"}</x:v>
      </x:c>
      <x:c r="AJ4867" s="87" t="str">
        <x:v>clean</x:v>
      </x:c>
      <x:c r="AK4867" s="87" t="str">
        <x:v>clean-v0.09</x:v>
      </x:c>
      <x:c r="AL4867" s="87" t="str">
        <x:v>statgrad_clean_continuation_v0_09(1).xlsx</x:v>
      </x:c>
      <x:c r="AM4867" s="87" t="str">
        <x:v>MATH_May_0304</x:v>
      </x:c>
      <x:c r="AN4867" s="87" t="n">
        <x:v>13</x:v>
      </x:c>
    </x:row>
    <x:row r="4868">
      <x:c r="A4868" s="87" t="n">
        <x:v>4867</x:v>
      </x:c>
      <x:c r="B4868" s="87" t="str">
        <x:v>MAY-MATH-04-013</x:v>
      </x:c>
      <x:c r="C4868" s="87" t="str">
        <x:v>СтатГрад</x:v>
      </x:c>
      <x:c r="D4868" s="87" t="str">
        <x:v>Май 2026</x:v>
      </x:c>
      <x:c r="E4868" s="87"/>
      <x:c r="F4868" s="87"/>
      <x:c r="G4868" s="87" t="str">
        <x:v>Математика</x:v>
      </x:c>
      <x:c r="H4868" s="87" t="n">
        <x:v>10</x:v>
      </x:c>
      <x:c r="I4868" s="87" t="str">
        <x:v>ТР №2</x:v>
      </x:c>
      <x:c r="J4868" s="87" t="str">
        <x:v>МА2500304</x:v>
      </x:c>
      <x:c r="K4868" s="87" t="n">
        <x:v>13</x:v>
      </x:c>
      <x:c r="L4868" s="87" t="str">
        <x:v>Геометрия / объём</x:v>
      </x:c>
      <x:c r="M4868" s="30" t="str">
        <x:v>Основанием четырёхугольной пирамиды является прямоугольник со сторонами 6 и 8. Найдите высоту этой пирамиды, если её объём равен 80.</x:v>
      </x:c>
      <x:c r="N4868" s="30" t="str">
        <x:v>5</x:v>
      </x:c>
      <x:c r="O4868" s="30" t="str">
        <x:v>Краткий ответ перенесён из официальной таблицы; тип задания и числовой результат проверены по условию.</x:v>
      </x:c>
      <x:c r="P4868" s="30" t="str">
        <x:v>Наличие задания, диапазон допустимого ответа и соответствие официальному ключу проверены; явных противоречий не обнаружено.</x:v>
      </x:c>
      <x:c r="Q4868" s="30"/>
      <x:c r="R4868" s="30" t="str">
        <x:v>5</x:v>
      </x:c>
      <x:c r="S4868" s="30"/>
      <x:c r="T4868" s="30" t="str">
        <x:v>База.jpg</x:v>
      </x:c>
      <x:c r="U4868" s="30" t="str">
        <x:v>Расхождений с каноническим источником не выявлено.</x:v>
      </x:c>
      <x:c r="V4868" s="87" t="str">
        <x:v>VERIFIED</x:v>
      </x:c>
      <x:c r="W4868" s="87"/>
      <x:c r="X4868" s="87" t="n">
        <x:v>30</x:v>
      </x:c>
      <x:c r="Y4868" s="87"/>
      <x:c r="Z4868" s="87"/>
      <x:c r="AA4868" s="87"/>
      <x:c r="AB4868" s="87" t="str">
        <x:v>таблица</x:v>
      </x:c>
      <x:c r="AC4868" s="87" t="str">
        <x:v>VIS-MATH-MAY-BASE-TASK-P030</x:v>
      </x:c>
      <x:c r="AD4868" s="87" t="str">
        <x:v>VIS-MATH-MAY-KEY-BASE</x:v>
      </x:c>
      <x:c r="AE4868" s="87" t="str">
        <x:v>TASK; KEY</x:v>
      </x:c>
      <x:c r="AF4868" s="87" t="str">
        <x:v>VIS-MATH-MAY-BASE-TASK-P030: 30; VIS-MATH-MAY-KEY-BASE: original</x:v>
      </x:c>
      <x:c r="AG4868" s="87" t="str">
        <x:v>RESOLVED</x:v>
      </x:c>
      <x:c r="AH4868" s="87" t="str">
        <x:v>CROP_VERIFIED; ORIGINAL_IMAGE_NO_CROP</x:v>
      </x:c>
      <x:c r="AI4868" s="30" t="str">
        <x:v>{"Уровень": "Базовый"}</x:v>
      </x:c>
      <x:c r="AJ4868" s="87" t="str">
        <x:v>clean</x:v>
      </x:c>
      <x:c r="AK4868" s="87" t="str">
        <x:v>clean-v0.09</x:v>
      </x:c>
      <x:c r="AL4868" s="87" t="str">
        <x:v>statgrad_clean_continuation_v0_09(1).xlsx</x:v>
      </x:c>
      <x:c r="AM4868" s="87" t="str">
        <x:v>MATH_May_0304</x:v>
      </x:c>
      <x:c r="AN4868" s="87" t="n">
        <x:v>14</x:v>
      </x:c>
    </x:row>
    <x:row r="4869">
      <x:c r="A4869" s="87" t="n">
        <x:v>4868</x:v>
      </x:c>
      <x:c r="B4869" s="87" t="str">
        <x:v>MAY-MATH-04-014</x:v>
      </x:c>
      <x:c r="C4869" s="87" t="str">
        <x:v>СтатГрад</x:v>
      </x:c>
      <x:c r="D4869" s="87" t="str">
        <x:v>Май 2026</x:v>
      </x:c>
      <x:c r="E4869" s="87"/>
      <x:c r="F4869" s="87"/>
      <x:c r="G4869" s="87" t="str">
        <x:v>Математика</x:v>
      </x:c>
      <x:c r="H4869" s="87" t="n">
        <x:v>10</x:v>
      </x:c>
      <x:c r="I4869" s="87" t="str">
        <x:v>ТР №2</x:v>
      </x:c>
      <x:c r="J4869" s="87" t="str">
        <x:v>МА2500304</x:v>
      </x:c>
      <x:c r="K4869" s="87" t="n">
        <x:v>14</x:v>
      </x:c>
      <x:c r="L4869" s="87" t="str">
        <x:v>Задание с кратким ответом</x:v>
      </x:c>
      <x:c r="M4869" s="30" t="str">
        <x:v>Найдите значение выражения 2,4:1,2 ⋅ 2,5 .</x:v>
      </x:c>
      <x:c r="N4869" s="30" t="str">
        <x:v>5</x:v>
      </x:c>
      <x:c r="O4869" s="30" t="str">
        <x:v>Краткий ответ перенесён из официальной таблицы; тип задания и числовой результат проверены по условию.</x:v>
      </x:c>
      <x:c r="P4869" s="30" t="str">
        <x:v>Наличие задания, диапазон допустимого ответа и соответствие официальному ключу проверены; явных противоречий не обнаружено.</x:v>
      </x:c>
      <x:c r="Q4869" s="30"/>
      <x:c r="R4869" s="30" t="str">
        <x:v>5</x:v>
      </x:c>
      <x:c r="S4869" s="30"/>
      <x:c r="T4869" s="30" t="str">
        <x:v>База.jpg</x:v>
      </x:c>
      <x:c r="U4869" s="30" t="str">
        <x:v>Расхождений с каноническим источником не выявлено.</x:v>
      </x:c>
      <x:c r="V4869" s="87" t="str">
        <x:v>VERIFIED</x:v>
      </x:c>
      <x:c r="W4869" s="87"/>
      <x:c r="X4869" s="87" t="n">
        <x:v>30</x:v>
      </x:c>
      <x:c r="Y4869" s="87"/>
      <x:c r="Z4869" s="87"/>
      <x:c r="AA4869" s="87"/>
      <x:c r="AB4869" s="87" t="str">
        <x:v>таблица</x:v>
      </x:c>
      <x:c r="AC4869" s="87" t="str">
        <x:v>VIS-MATH-MAY-BASE-TASK-P030</x:v>
      </x:c>
      <x:c r="AD4869" s="87" t="str">
        <x:v>VIS-MATH-MAY-KEY-BASE</x:v>
      </x:c>
      <x:c r="AE4869" s="87" t="str">
        <x:v>TASK; KEY</x:v>
      </x:c>
      <x:c r="AF4869" s="87" t="str">
        <x:v>VIS-MATH-MAY-BASE-TASK-P030: 30; VIS-MATH-MAY-KEY-BASE: original</x:v>
      </x:c>
      <x:c r="AG4869" s="87" t="str">
        <x:v>RESOLVED</x:v>
      </x:c>
      <x:c r="AH4869" s="87" t="str">
        <x:v>CROP_VERIFIED; ORIGINAL_IMAGE_NO_CROP</x:v>
      </x:c>
      <x:c r="AI4869" s="30" t="str">
        <x:v>{"Уровень": "Базовый"}</x:v>
      </x:c>
      <x:c r="AJ4869" s="87" t="str">
        <x:v>clean</x:v>
      </x:c>
      <x:c r="AK4869" s="87" t="str">
        <x:v>clean-v0.09</x:v>
      </x:c>
      <x:c r="AL4869" s="87" t="str">
        <x:v>statgrad_clean_continuation_v0_09(1).xlsx</x:v>
      </x:c>
      <x:c r="AM4869" s="87" t="str">
        <x:v>MATH_May_0304</x:v>
      </x:c>
      <x:c r="AN4869" s="87" t="n">
        <x:v>15</x:v>
      </x:c>
    </x:row>
    <x:row r="4870">
      <x:c r="A4870" s="87" t="n">
        <x:v>4869</x:v>
      </x:c>
      <x:c r="B4870" s="87" t="str">
        <x:v>MAY-MATH-04-015</x:v>
      </x:c>
      <x:c r="C4870" s="87" t="str">
        <x:v>СтатГрад</x:v>
      </x:c>
      <x:c r="D4870" s="87" t="str">
        <x:v>Май 2026</x:v>
      </x:c>
      <x:c r="E4870" s="87"/>
      <x:c r="F4870" s="87"/>
      <x:c r="G4870" s="87" t="str">
        <x:v>Математика</x:v>
      </x:c>
      <x:c r="H4870" s="87" t="n">
        <x:v>10</x:v>
      </x:c>
      <x:c r="I4870" s="87" t="str">
        <x:v>ТР №2</x:v>
      </x:c>
      <x:c r="J4870" s="87" t="str">
        <x:v>МА2500304</x:v>
      </x:c>
      <x:c r="K4870" s="87" t="n">
        <x:v>15</x:v>
      </x:c>
      <x:c r="L4870" s="87" t="str">
        <x:v>Задание с кратким ответом</x:v>
      </x:c>
      <x:c r="M4870" s="30" t="str">
        <x:v>В городе 80 000 жителей, причём 45 % — это пенсионеры. Сколько пенсионеров в этом городе?</x:v>
      </x:c>
      <x:c r="N4870" s="30" t="str">
        <x:v>36000</x:v>
      </x:c>
      <x:c r="O4870" s="30" t="str">
        <x:v>Краткий ответ перенесён из официальной таблицы; тип задания и числовой результат проверены по условию.</x:v>
      </x:c>
      <x:c r="P4870" s="30" t="str">
        <x:v>Наличие задания, диапазон допустимого ответа и соответствие официальному ключу проверены; явных противоречий не обнаружено.</x:v>
      </x:c>
      <x:c r="Q4870" s="30"/>
      <x:c r="R4870" s="30" t="str">
        <x:v>36000</x:v>
      </x:c>
      <x:c r="S4870" s="30"/>
      <x:c r="T4870" s="30" t="str">
        <x:v>База.jpg</x:v>
      </x:c>
      <x:c r="U4870" s="30" t="str">
        <x:v>Расхождений с каноническим источником не выявлено.</x:v>
      </x:c>
      <x:c r="V4870" s="87" t="str">
        <x:v>VERIFIED</x:v>
      </x:c>
      <x:c r="W4870" s="87"/>
      <x:c r="X4870" s="87" t="n">
        <x:v>30</x:v>
      </x:c>
      <x:c r="Y4870" s="87"/>
      <x:c r="Z4870" s="87"/>
      <x:c r="AA4870" s="87"/>
      <x:c r="AB4870" s="87" t="str">
        <x:v>таблица</x:v>
      </x:c>
      <x:c r="AC4870" s="87" t="str">
        <x:v>VIS-MATH-MAY-BASE-TASK-P030</x:v>
      </x:c>
      <x:c r="AD4870" s="87" t="str">
        <x:v>VIS-MATH-MAY-KEY-BASE</x:v>
      </x:c>
      <x:c r="AE4870" s="87" t="str">
        <x:v>TASK; KEY</x:v>
      </x:c>
      <x:c r="AF4870" s="87" t="str">
        <x:v>VIS-MATH-MAY-BASE-TASK-P030: 30; VIS-MATH-MAY-KEY-BASE: original</x:v>
      </x:c>
      <x:c r="AG4870" s="87" t="str">
        <x:v>RESOLVED</x:v>
      </x:c>
      <x:c r="AH4870" s="87" t="str">
        <x:v>CROP_VERIFIED; ORIGINAL_IMAGE_NO_CROP</x:v>
      </x:c>
      <x:c r="AI4870" s="30" t="str">
        <x:v>{"Уровень": "Базовый"}</x:v>
      </x:c>
      <x:c r="AJ4870" s="87" t="str">
        <x:v>clean</x:v>
      </x:c>
      <x:c r="AK4870" s="87" t="str">
        <x:v>clean-v0.09</x:v>
      </x:c>
      <x:c r="AL4870" s="87" t="str">
        <x:v>statgrad_clean_continuation_v0_09(1).xlsx</x:v>
      </x:c>
      <x:c r="AM4870" s="87" t="str">
        <x:v>MATH_May_0304</x:v>
      </x:c>
      <x:c r="AN4870" s="87" t="n">
        <x:v>16</x:v>
      </x:c>
    </x:row>
    <x:row r="4871">
      <x:c r="A4871" s="87" t="n">
        <x:v>4870</x:v>
      </x:c>
      <x:c r="B4871" s="87" t="str">
        <x:v>MAY-MATH-04-016</x:v>
      </x:c>
      <x:c r="C4871" s="87" t="str">
        <x:v>СтатГрад</x:v>
      </x:c>
      <x:c r="D4871" s="87" t="str">
        <x:v>Май 2026</x:v>
      </x:c>
      <x:c r="E4871" s="87"/>
      <x:c r="F4871" s="87"/>
      <x:c r="G4871" s="87" t="str">
        <x:v>Математика</x:v>
      </x:c>
      <x:c r="H4871" s="87" t="n">
        <x:v>10</x:v>
      </x:c>
      <x:c r="I4871" s="87" t="str">
        <x:v>ТР №2</x:v>
      </x:c>
      <x:c r="J4871" s="87" t="str">
        <x:v>МА2500304</x:v>
      </x:c>
      <x:c r="K4871" s="87" t="n">
        <x:v>16</x:v>
      </x:c>
      <x:c r="L4871" s="87" t="str">
        <x:v>Задание с кратким ответом</x:v>
      </x:c>
      <x:c r="M4871" s="30" t="str">
        <x:v>Найдите значение выражения log 31,8 + log 3135 .</x:v>
      </x:c>
      <x:c r="N4871" s="30" t="str">
        <x:v>5</x:v>
      </x:c>
      <x:c r="O4871" s="30" t="str">
        <x:v>Краткий ответ перенесён из официальной таблицы; тип задания и числовой результат проверены по условию.</x:v>
      </x:c>
      <x:c r="P4871" s="30" t="str">
        <x:v>Наличие задания, диапазон допустимого ответа и соответствие официальному ключу проверены; явных противоречий не обнаружено.</x:v>
      </x:c>
      <x:c r="Q4871" s="30"/>
      <x:c r="R4871" s="30" t="str">
        <x:v>5</x:v>
      </x:c>
      <x:c r="S4871" s="30"/>
      <x:c r="T4871" s="30" t="str">
        <x:v>База.jpg</x:v>
      </x:c>
      <x:c r="U4871" s="30" t="str">
        <x:v>Расхождений с каноническим источником не выявлено.</x:v>
      </x:c>
      <x:c r="V4871" s="87" t="str">
        <x:v>VERIFIED</x:v>
      </x:c>
      <x:c r="W4871" s="87"/>
      <x:c r="X4871" s="87" t="n">
        <x:v>31</x:v>
      </x:c>
      <x:c r="Y4871" s="87"/>
      <x:c r="Z4871" s="87"/>
      <x:c r="AA4871" s="87"/>
      <x:c r="AB4871" s="87" t="str">
        <x:v>таблица</x:v>
      </x:c>
      <x:c r="AC4871" s="87" t="str">
        <x:v>VIS-MATH-MAY-BASE-TASK-P031</x:v>
      </x:c>
      <x:c r="AD4871" s="87" t="str">
        <x:v>VIS-MATH-MAY-KEY-BASE</x:v>
      </x:c>
      <x:c r="AE4871" s="87" t="str">
        <x:v>TASK; KEY</x:v>
      </x:c>
      <x:c r="AF4871" s="87" t="str">
        <x:v>VIS-MATH-MAY-BASE-TASK-P031: 31; VIS-MATH-MAY-KEY-BASE: original</x:v>
      </x:c>
      <x:c r="AG4871" s="87" t="str">
        <x:v>RESOLVED</x:v>
      </x:c>
      <x:c r="AH4871" s="87" t="str">
        <x:v>CROP_VERIFIED; ORIGINAL_IMAGE_NO_CROP</x:v>
      </x:c>
      <x:c r="AI4871" s="30" t="str">
        <x:v>{"Уровень": "Базовый"}</x:v>
      </x:c>
      <x:c r="AJ4871" s="87" t="str">
        <x:v>clean</x:v>
      </x:c>
      <x:c r="AK4871" s="87" t="str">
        <x:v>clean-v0.09</x:v>
      </x:c>
      <x:c r="AL4871" s="87" t="str">
        <x:v>statgrad_clean_continuation_v0_09(1).xlsx</x:v>
      </x:c>
      <x:c r="AM4871" s="87" t="str">
        <x:v>MATH_May_0304</x:v>
      </x:c>
      <x:c r="AN4871" s="87" t="n">
        <x:v>17</x:v>
      </x:c>
    </x:row>
    <x:row r="4872">
      <x:c r="A4872" s="87" t="n">
        <x:v>4871</x:v>
      </x:c>
      <x:c r="B4872" s="87" t="str">
        <x:v>MAY-MATH-04-017</x:v>
      </x:c>
      <x:c r="C4872" s="87" t="str">
        <x:v>СтатГрад</x:v>
      </x:c>
      <x:c r="D4872" s="87" t="str">
        <x:v>Май 2026</x:v>
      </x:c>
      <x:c r="E4872" s="87"/>
      <x:c r="F4872" s="87"/>
      <x:c r="G4872" s="87" t="str">
        <x:v>Математика</x:v>
      </x:c>
      <x:c r="H4872" s="87" t="n">
        <x:v>10</x:v>
      </x:c>
      <x:c r="I4872" s="87" t="str">
        <x:v>ТР №2</x:v>
      </x:c>
      <x:c r="J4872" s="87" t="str">
        <x:v>МА2500304</x:v>
      </x:c>
      <x:c r="K4872" s="87" t="n">
        <x:v>17</x:v>
      </x:c>
      <x:c r="L4872" s="87" t="str">
        <x:v>Уравнение</x:v>
      </x:c>
      <x:c r="M4872" s="30" t="str">
        <x:v>2Решите уравнение x = 2 x . Если уравнение имеет более одного корня, в ответе укажите больший из них.</x:v>
      </x:c>
      <x:c r="N4872" s="30" t="str">
        <x:v>2</x:v>
      </x:c>
      <x:c r="O4872" s="30" t="str">
        <x:v>Краткий ответ перенесён из официальной таблицы; тип задания и числовой результат проверены по условию.</x:v>
      </x:c>
      <x:c r="P4872" s="30" t="str">
        <x:v>Наличие задания, диапазон допустимого ответа и соответствие официальному ключу проверены; явных противоречий не обнаружено.</x:v>
      </x:c>
      <x:c r="Q4872" s="30"/>
      <x:c r="R4872" s="30" t="str">
        <x:v>2</x:v>
      </x:c>
      <x:c r="S4872" s="30"/>
      <x:c r="T4872" s="30" t="str">
        <x:v>База.jpg</x:v>
      </x:c>
      <x:c r="U4872" s="30" t="str">
        <x:v>Расхождений с каноническим источником не выявлено.</x:v>
      </x:c>
      <x:c r="V4872" s="87" t="str">
        <x:v>VERIFIED</x:v>
      </x:c>
      <x:c r="W4872" s="87"/>
      <x:c r="X4872" s="87" t="n">
        <x:v>31</x:v>
      </x:c>
      <x:c r="Y4872" s="87"/>
      <x:c r="Z4872" s="87"/>
      <x:c r="AA4872" s="87"/>
      <x:c r="AB4872" s="87" t="str">
        <x:v>таблица</x:v>
      </x:c>
      <x:c r="AC4872" s="87" t="str">
        <x:v>VIS-MATH-MAY-BASE-TASK-P031</x:v>
      </x:c>
      <x:c r="AD4872" s="87" t="str">
        <x:v>VIS-MATH-MAY-KEY-BASE</x:v>
      </x:c>
      <x:c r="AE4872" s="87" t="str">
        <x:v>TASK; KEY</x:v>
      </x:c>
      <x:c r="AF4872" s="87" t="str">
        <x:v>VIS-MATH-MAY-BASE-TASK-P031: 31; VIS-MATH-MAY-KEY-BASE: original</x:v>
      </x:c>
      <x:c r="AG4872" s="87" t="str">
        <x:v>RESOLVED</x:v>
      </x:c>
      <x:c r="AH4872" s="87" t="str">
        <x:v>CROP_VERIFIED; ORIGINAL_IMAGE_NO_CROP</x:v>
      </x:c>
      <x:c r="AI4872" s="30" t="str">
        <x:v>{"Уровень": "Базовый"}</x:v>
      </x:c>
      <x:c r="AJ4872" s="87" t="str">
        <x:v>clean</x:v>
      </x:c>
      <x:c r="AK4872" s="87" t="str">
        <x:v>clean-v0.09</x:v>
      </x:c>
      <x:c r="AL4872" s="87" t="str">
        <x:v>statgrad_clean_continuation_v0_09(1).xlsx</x:v>
      </x:c>
      <x:c r="AM4872" s="87" t="str">
        <x:v>MATH_May_0304</x:v>
      </x:c>
      <x:c r="AN4872" s="87" t="n">
        <x:v>18</x:v>
      </x:c>
    </x:row>
    <x:row r="4873">
      <x:c r="A4873" s="87" t="n">
        <x:v>4872</x:v>
      </x:c>
      <x:c r="B4873" s="87" t="str">
        <x:v>MAY-MATH-04-018</x:v>
      </x:c>
      <x:c r="C4873" s="87" t="str">
        <x:v>СтатГрад</x:v>
      </x:c>
      <x:c r="D4873" s="87" t="str">
        <x:v>Май 2026</x:v>
      </x:c>
      <x:c r="E4873" s="87"/>
      <x:c r="F4873" s="87"/>
      <x:c r="G4873" s="87" t="str">
        <x:v>Математика</x:v>
      </x:c>
      <x:c r="H4873" s="87" t="n">
        <x:v>10</x:v>
      </x:c>
      <x:c r="I4873" s="87" t="str">
        <x:v>ТР №2</x:v>
      </x:c>
      <x:c r="J4873" s="87" t="str">
        <x:v>МА2500304</x:v>
      </x:c>
      <x:c r="K4873" s="87" t="n">
        <x:v>18</x:v>
      </x:c>
      <x:c r="L4873" s="87" t="str">
        <x:v>Установление соответствия</x:v>
      </x:c>
      <x:c r="M4873" s="30" t="str">
        <x:v>На координатной прямой отмечены точки A, B, C и D . A B C D 0 1 2 3 4 5 6 Каждой точке соответствует одно из чисел в правом столбце. Установите соответствие между указанными точками и числами. ТОЧКИ ЧИСЛА A 1) log 2 35 B 7 2) C 4 D 3) 13 − 1 2 4) ( 5 ) В таблице для каждой точки укажите номер соответствующего числа. A B C D</x:v>
      </x:c>
      <x:c r="N4873" s="30" t="str">
        <x:v>2431</x:v>
      </x:c>
      <x:c r="O4873" s="30" t="str">
        <x:v>Краткий ответ перенесён из официальной таблицы; тип задания и числовой результат проверены по условию.</x:v>
      </x:c>
      <x:c r="P4873" s="30" t="str">
        <x:v>Наличие задания, диапазон допустимого ответа и соответствие официальному ключу проверены; явных противоречий не обнаружено.</x:v>
      </x:c>
      <x:c r="Q4873" s="30"/>
      <x:c r="R4873" s="30" t="str">
        <x:v>2431</x:v>
      </x:c>
      <x:c r="S4873" s="30"/>
      <x:c r="T4873" s="30" t="str">
        <x:v>База.jpg</x:v>
      </x:c>
      <x:c r="U4873" s="30" t="str">
        <x:v>Расхождений с каноническим источником не выявлено.</x:v>
      </x:c>
      <x:c r="V4873" s="87" t="str">
        <x:v>VERIFIED</x:v>
      </x:c>
      <x:c r="W4873" s="87"/>
      <x:c r="X4873" s="87" t="n">
        <x:v>31</x:v>
      </x:c>
      <x:c r="Y4873" s="87"/>
      <x:c r="Z4873" s="87"/>
      <x:c r="AA4873" s="87"/>
      <x:c r="AB4873" s="87" t="str">
        <x:v>таблица</x:v>
      </x:c>
      <x:c r="AC4873" s="87" t="str">
        <x:v>VIS-MATH-MAY-BASE-TASK-P031</x:v>
      </x:c>
      <x:c r="AD4873" s="87" t="str">
        <x:v>VIS-MATH-MAY-KEY-BASE</x:v>
      </x:c>
      <x:c r="AE4873" s="87" t="str">
        <x:v>TASK; KEY</x:v>
      </x:c>
      <x:c r="AF4873" s="87" t="str">
        <x:v>VIS-MATH-MAY-BASE-TASK-P031: 31; VIS-MATH-MAY-KEY-BASE: original</x:v>
      </x:c>
      <x:c r="AG4873" s="87" t="str">
        <x:v>RESOLVED</x:v>
      </x:c>
      <x:c r="AH4873" s="87" t="str">
        <x:v>CROP_VERIFIED; ORIGINAL_IMAGE_NO_CROP</x:v>
      </x:c>
      <x:c r="AI4873" s="30" t="str">
        <x:v>{"Уровень": "Базовый"}</x:v>
      </x:c>
      <x:c r="AJ4873" s="87" t="str">
        <x:v>clean</x:v>
      </x:c>
      <x:c r="AK4873" s="87" t="str">
        <x:v>clean-v0.09</x:v>
      </x:c>
      <x:c r="AL4873" s="87" t="str">
        <x:v>statgrad_clean_continuation_v0_09(1).xlsx</x:v>
      </x:c>
      <x:c r="AM4873" s="87" t="str">
        <x:v>MATH_May_0304</x:v>
      </x:c>
      <x:c r="AN4873" s="87" t="n">
        <x:v>19</x:v>
      </x:c>
    </x:row>
    <x:row r="4874">
      <x:c r="A4874" s="87" t="n">
        <x:v>4873</x:v>
      </x:c>
      <x:c r="B4874" s="87" t="str">
        <x:v>MAY-MATH-04-019</x:v>
      </x:c>
      <x:c r="C4874" s="87" t="str">
        <x:v>СтатГрад</x:v>
      </x:c>
      <x:c r="D4874" s="87" t="str">
        <x:v>Май 2026</x:v>
      </x:c>
      <x:c r="E4874" s="87"/>
      <x:c r="F4874" s="87"/>
      <x:c r="G4874" s="87" t="str">
        <x:v>Математика</x:v>
      </x:c>
      <x:c r="H4874" s="87" t="n">
        <x:v>10</x:v>
      </x:c>
      <x:c r="I4874" s="87" t="str">
        <x:v>ТР №2</x:v>
      </x:c>
      <x:c r="J4874" s="87" t="str">
        <x:v>МА2500304</x:v>
      </x:c>
      <x:c r="K4874" s="87" t="n">
        <x:v>19</x:v>
      </x:c>
      <x:c r="L4874" s="87" t="str">
        <x:v>Задание с кратким ответом</x:v>
      </x:c>
      <x:c r="M4874" s="30" t="str">
        <x:v>На шести карточках написаны цифры 1; 2; 3; 6; 9; 9 (по одной цифре на каждой карточке). В выражении + + вместо каждого квадратика положили карточку из данного набора. Оказалось, что полученная сумма делится на 10. В ответе укажите какую- нибудь одну такую сумму.</x:v>
      </x:c>
      <x:c r="N4874" s="30" t="str">
        <x:v>210</x:v>
      </x:c>
      <x:c r="O4874" s="30" t="str">
        <x:v>Краткий ответ перенесён из официальной таблицы; тип задания и числовой результат проверены по условию.</x:v>
      </x:c>
      <x:c r="P4874" s="30" t="str">
        <x:v>Наличие задания, диапазон допустимого ответа и соответствие официальному ключу проверены; явных противоречий не обнаружено.</x:v>
      </x:c>
      <x:c r="Q4874" s="30"/>
      <x:c r="R4874" s="30" t="str">
        <x:v>210</x:v>
      </x:c>
      <x:c r="S4874" s="30"/>
      <x:c r="T4874" s="30" t="str">
        <x:v>База.jpg</x:v>
      </x:c>
      <x:c r="U4874" s="30" t="str">
        <x:v>Расхождений с каноническим источником не выявлено.</x:v>
      </x:c>
      <x:c r="V4874" s="87" t="str">
        <x:v>VERIFIED</x:v>
      </x:c>
      <x:c r="W4874" s="87"/>
      <x:c r="X4874" s="87" t="n">
        <x:v>31</x:v>
      </x:c>
      <x:c r="Y4874" s="87"/>
      <x:c r="Z4874" s="87"/>
      <x:c r="AA4874" s="87"/>
      <x:c r="AB4874" s="87" t="str">
        <x:v>таблица</x:v>
      </x:c>
      <x:c r="AC4874" s="87" t="str">
        <x:v>VIS-MATH-MAY-BASE-TASK-P031</x:v>
      </x:c>
      <x:c r="AD4874" s="87" t="str">
        <x:v>VIS-MATH-MAY-KEY-BASE</x:v>
      </x:c>
      <x:c r="AE4874" s="87" t="str">
        <x:v>TASK; KEY</x:v>
      </x:c>
      <x:c r="AF4874" s="87" t="str">
        <x:v>VIS-MATH-MAY-BASE-TASK-P031: 31; VIS-MATH-MAY-KEY-BASE: original</x:v>
      </x:c>
      <x:c r="AG4874" s="87" t="str">
        <x:v>RESOLVED</x:v>
      </x:c>
      <x:c r="AH4874" s="87" t="str">
        <x:v>CROP_VERIFIED; ORIGINAL_IMAGE_NO_CROP</x:v>
      </x:c>
      <x:c r="AI4874" s="30" t="str">
        <x:v>{"Уровень": "Базовый"}</x:v>
      </x:c>
      <x:c r="AJ4874" s="87" t="str">
        <x:v>clean</x:v>
      </x:c>
      <x:c r="AK4874" s="87" t="str">
        <x:v>clean-v0.09</x:v>
      </x:c>
      <x:c r="AL4874" s="87" t="str">
        <x:v>statgrad_clean_continuation_v0_09(1).xlsx</x:v>
      </x:c>
      <x:c r="AM4874" s="87" t="str">
        <x:v>MATH_May_0304</x:v>
      </x:c>
      <x:c r="AN4874" s="87" t="n">
        <x:v>20</x:v>
      </x:c>
    </x:row>
    <x:row r="4875">
      <x:c r="A4875" s="87" t="n">
        <x:v>4874</x:v>
      </x:c>
      <x:c r="B4875" s="87" t="str">
        <x:v>MAY-MATH-04-020</x:v>
      </x:c>
      <x:c r="C4875" s="87" t="str">
        <x:v>СтатГрад</x:v>
      </x:c>
      <x:c r="D4875" s="87" t="str">
        <x:v>Май 2026</x:v>
      </x:c>
      <x:c r="E4875" s="87"/>
      <x:c r="F4875" s="87"/>
      <x:c r="G4875" s="87" t="str">
        <x:v>Математика</x:v>
      </x:c>
      <x:c r="H4875" s="87" t="n">
        <x:v>10</x:v>
      </x:c>
      <x:c r="I4875" s="87" t="str">
        <x:v>ТР №2</x:v>
      </x:c>
      <x:c r="J4875" s="87" t="str">
        <x:v>МА2500304</x:v>
      </x:c>
      <x:c r="K4875" s="87" t="n">
        <x:v>20</x:v>
      </x:c>
      <x:c r="L4875" s="87" t="str">
        <x:v>Задание с кратким ответом</x:v>
      </x:c>
      <x:c r="M4875" s="30" t="str">
        <x:v>Один мастер может выполнить заказ за 45 часов, а другой — за 30 часов. За сколько часов выполнят заказ оба мастера, работая вместе?</x:v>
      </x:c>
      <x:c r="N4875" s="30" t="str">
        <x:v>18</x:v>
      </x:c>
      <x:c r="O4875" s="30" t="str">
        <x:v>Краткий ответ перенесён из официальной таблицы; тип задания и числовой результат проверены по условию.</x:v>
      </x:c>
      <x:c r="P4875" s="30" t="str">
        <x:v>Наличие задания, диапазон допустимого ответа и соответствие официальному ключу проверены; явных противоречий не обнаружено.</x:v>
      </x:c>
      <x:c r="Q4875" s="30"/>
      <x:c r="R4875" s="30" t="str">
        <x:v>18</x:v>
      </x:c>
      <x:c r="S4875" s="30"/>
      <x:c r="T4875" s="30" t="str">
        <x:v>База.jpg</x:v>
      </x:c>
      <x:c r="U4875" s="30" t="str">
        <x:v>Расхождений с каноническим источником не выявлено.</x:v>
      </x:c>
      <x:c r="V4875" s="87" t="str">
        <x:v>VERIFIED</x:v>
      </x:c>
      <x:c r="W4875" s="87"/>
      <x:c r="X4875" s="87" t="n">
        <x:v>32</x:v>
      </x:c>
      <x:c r="Y4875" s="87"/>
      <x:c r="Z4875" s="87"/>
      <x:c r="AA4875" s="87"/>
      <x:c r="AB4875" s="87" t="str">
        <x:v>таблица</x:v>
      </x:c>
      <x:c r="AC4875" s="87" t="str">
        <x:v>VIS-MATH-MAY-BASE-TASK-P032</x:v>
      </x:c>
      <x:c r="AD4875" s="87" t="str">
        <x:v>VIS-MATH-MAY-KEY-BASE</x:v>
      </x:c>
      <x:c r="AE4875" s="87" t="str">
        <x:v>TASK; KEY</x:v>
      </x:c>
      <x:c r="AF4875" s="87" t="str">
        <x:v>VIS-MATH-MAY-BASE-TASK-P032: 32; VIS-MATH-MAY-KEY-BASE: original</x:v>
      </x:c>
      <x:c r="AG4875" s="87" t="str">
        <x:v>RESOLVED</x:v>
      </x:c>
      <x:c r="AH4875" s="87" t="str">
        <x:v>CROP_VERIFIED; ORIGINAL_IMAGE_NO_CROP</x:v>
      </x:c>
      <x:c r="AI4875" s="30" t="str">
        <x:v>{"Уровень": "Базовый"}</x:v>
      </x:c>
      <x:c r="AJ4875" s="87" t="str">
        <x:v>clean</x:v>
      </x:c>
      <x:c r="AK4875" s="87" t="str">
        <x:v>clean-v0.09</x:v>
      </x:c>
      <x:c r="AL4875" s="87" t="str">
        <x:v>statgrad_clean_continuation_v0_09(1).xlsx</x:v>
      </x:c>
      <x:c r="AM4875" s="87" t="str">
        <x:v>MATH_May_0304</x:v>
      </x:c>
      <x:c r="AN4875" s="87" t="n">
        <x:v>21</x:v>
      </x:c>
    </x:row>
    <x:row r="4876">
      <x:c r="A4876" s="87" t="n">
        <x:v>4875</x:v>
      </x:c>
      <x:c r="B4876" s="87" t="str">
        <x:v>MAY-MATH-04-021</x:v>
      </x:c>
      <x:c r="C4876" s="87" t="str">
        <x:v>СтатГрад</x:v>
      </x:c>
      <x:c r="D4876" s="87" t="str">
        <x:v>Май 2026</x:v>
      </x:c>
      <x:c r="E4876" s="87"/>
      <x:c r="F4876" s="87"/>
      <x:c r="G4876" s="87" t="str">
        <x:v>Математика</x:v>
      </x:c>
      <x:c r="H4876" s="87" t="n">
        <x:v>10</x:v>
      </x:c>
      <x:c r="I4876" s="87" t="str">
        <x:v>ТР №2</x:v>
      </x:c>
      <x:c r="J4876" s="87" t="str">
        <x:v>МА2500304</x:v>
      </x:c>
      <x:c r="K4876" s="87" t="n">
        <x:v>21</x:v>
      </x:c>
      <x:c r="L4876" s="87" t="str">
        <x:v>Задание с кратким ответом</x:v>
      </x:c>
      <x:c r="M4876" s="30" t="str">
        <x:v>В конце четверти Петя выписал подряд все свои отметки по одному из предметов, их оказалось 5, и поставил между некоторыми из них знаки умножения. Произведение получившихся чисел оказалось равным 414. Какая отметка выходит у Пети в четверти по этому предмету, если учитель ставит только отметки «2», «3», «4» или «5» и итоговая отметка в четверти является средним арифметическим всех текущих отметок, округлённым по правилам округления? (Например, 3,2 округляется до 3; 4,5 — до 5; 2,8 — до 3.)</x:v>
      </x:c>
      <x:c r="N4876" s="30" t="str">
        <x:v>3</x:v>
      </x:c>
      <x:c r="O4876" s="30" t="str">
        <x:v>Краткий ответ перенесён из официальной таблицы; тип задания и числовой результат проверены по условию.</x:v>
      </x:c>
      <x:c r="P4876" s="30" t="str">
        <x:v>Наличие задания, диапазон допустимого ответа и соответствие официальному ключу проверены; явных противоречий не обнаружено.</x:v>
      </x:c>
      <x:c r="Q4876" s="30"/>
      <x:c r="R4876" s="30" t="str">
        <x:v>3</x:v>
      </x:c>
      <x:c r="S4876" s="30"/>
      <x:c r="T4876" s="30" t="str">
        <x:v>База.jpg</x:v>
      </x:c>
      <x:c r="U4876" s="30" t="str">
        <x:v>Расхождений с каноническим источником не выявлено.</x:v>
      </x:c>
      <x:c r="V4876" s="87" t="str">
        <x:v>VERIFIED</x:v>
      </x:c>
      <x:c r="W4876" s="87"/>
      <x:c r="X4876" s="87" t="n">
        <x:v>32</x:v>
      </x:c>
      <x:c r="Y4876" s="87"/>
      <x:c r="Z4876" s="87"/>
      <x:c r="AA4876" s="87"/>
      <x:c r="AB4876" s="87" t="str">
        <x:v>таблица</x:v>
      </x:c>
      <x:c r="AC4876" s="87" t="str">
        <x:v>VIS-MATH-MAY-BASE-TASK-P032</x:v>
      </x:c>
      <x:c r="AD4876" s="87" t="str">
        <x:v>VIS-MATH-MAY-KEY-BASE</x:v>
      </x:c>
      <x:c r="AE4876" s="87" t="str">
        <x:v>TASK; KEY</x:v>
      </x:c>
      <x:c r="AF4876" s="87" t="str">
        <x:v>VIS-MATH-MAY-BASE-TASK-P032: 32; VIS-MATH-MAY-KEY-BASE: original</x:v>
      </x:c>
      <x:c r="AG4876" s="87" t="str">
        <x:v>RESOLVED</x:v>
      </x:c>
      <x:c r="AH4876" s="87" t="str">
        <x:v>CROP_VERIFIED; ORIGINAL_IMAGE_NO_CROP</x:v>
      </x:c>
      <x:c r="AI4876" s="30" t="str">
        <x:v>{"Уровень": "Базовый"}</x:v>
      </x:c>
      <x:c r="AJ4876" s="87" t="str">
        <x:v>clean</x:v>
      </x:c>
      <x:c r="AK4876" s="87" t="str">
        <x:v>clean-v0.09</x:v>
      </x:c>
      <x:c r="AL4876" s="87" t="str">
        <x:v>statgrad_clean_continuation_v0_09(1).xlsx</x:v>
      </x:c>
      <x:c r="AM4876" s="87" t="str">
        <x:v>MATH_May_0304</x:v>
      </x:c>
      <x:c r="AN4876" s="87" t="n">
        <x:v>22</x:v>
      </x:c>
    </x:row>
    <x:row r="4877">
      <x:c r="A4877" s="87" t="n">
        <x:v>4876</x:v>
      </x:c>
      <x:c r="B4877" s="87" t="str">
        <x:v>MAY-MATH-09-001</x:v>
      </x:c>
      <x:c r="C4877" s="87" t="str">
        <x:v>СтатГрад</x:v>
      </x:c>
      <x:c r="D4877" s="87" t="str">
        <x:v>Май 2026</x:v>
      </x:c>
      <x:c r="E4877" s="87"/>
      <x:c r="F4877" s="87"/>
      <x:c r="G4877" s="87" t="str">
        <x:v>Математика</x:v>
      </x:c>
      <x:c r="H4877" s="87" t="n">
        <x:v>10</x:v>
      </x:c>
      <x:c r="I4877" s="87" t="str">
        <x:v>ТР №2</x:v>
      </x:c>
      <x:c r="J4877" s="87" t="str">
        <x:v>МА2500309</x:v>
      </x:c>
      <x:c r="K4877" s="87" t="n">
        <x:v>1</x:v>
      </x:c>
      <x:c r="L4877" s="87" t="str">
        <x:v>Планиметрия</x:v>
      </x:c>
      <x:c r="M4877" s="30" t="str">
        <x:v>В треугольнике ABC угол A равен 58°, угол B тупой, CH — высота, угол BCH равен 14°. Найдите угол ACB . Ответ дайте в градусах.</x:v>
      </x:c>
      <x:c r="N4877" s="30" t="str">
        <x:v>18</x:v>
      </x:c>
      <x:c r="O4877" s="30" t="str">
        <x:v>Краткий ответ перенесён из официальной таблицы; тип задания и числовой результат проверены по условию.</x:v>
      </x:c>
      <x:c r="P4877" s="30" t="str">
        <x:v>Наличие задания, диапазон допустимого ответа и соответствие официальному ключу проверены; явных противоречий не обнаружено.</x:v>
      </x:c>
      <x:c r="Q4877" s="30"/>
      <x:c r="R4877" s="30" t="str">
        <x:v>18</x:v>
      </x:c>
      <x:c r="S4877" s="30"/>
      <x:c r="T4877" s="30" t="str">
        <x:v>Профиль.jpg</x:v>
      </x:c>
      <x:c r="U4877" s="30" t="str">
        <x:v>Расхождений с каноническим источником не выявлено.</x:v>
      </x:c>
      <x:c r="V4877" s="87" t="str">
        <x:v>VERIFIED</x:v>
      </x:c>
      <x:c r="W4877" s="87"/>
      <x:c r="X4877" s="87" t="n">
        <x:v>2</x:v>
      </x:c>
      <x:c r="Y4877" s="87"/>
      <x:c r="Z4877" s="87"/>
      <x:c r="AA4877" s="87"/>
      <x:c r="AB4877" s="87" t="str">
        <x:v>таблица</x:v>
      </x:c>
      <x:c r="AC4877" s="87" t="str">
        <x:v>VIS-MATH-MAY-PROF-TASK-P002</x:v>
      </x:c>
      <x:c r="AD4877" s="87" t="str">
        <x:v>VIS-MATH-MAY-KEY-PROFILE</x:v>
      </x:c>
      <x:c r="AE4877" s="87" t="str">
        <x:v>TASK; KEY</x:v>
      </x:c>
      <x:c r="AF4877" s="87" t="str">
        <x:v>VIS-MATH-MAY-PROF-TASK-P002: 2; VIS-MATH-MAY-KEY-PROFILE: original</x:v>
      </x:c>
      <x:c r="AG4877" s="87" t="str">
        <x:v>RESOLVED</x:v>
      </x:c>
      <x:c r="AH4877" s="87" t="str">
        <x:v>CROP_VERIFIED; ORIGINAL_IMAGE_NO_CROP</x:v>
      </x:c>
      <x:c r="AI4877" s="30" t="str">
        <x:v>{"Уровень": "Профильный"}</x:v>
      </x:c>
      <x:c r="AJ4877" s="87" t="str">
        <x:v>clean</x:v>
      </x:c>
      <x:c r="AK4877" s="87" t="str">
        <x:v>clean-v0.09</x:v>
      </x:c>
      <x:c r="AL4877" s="87" t="str">
        <x:v>statgrad_clean_continuation_v0_09(1).xlsx</x:v>
      </x:c>
      <x:c r="AM4877" s="87" t="str">
        <x:v>MATH_May_0309</x:v>
      </x:c>
      <x:c r="AN4877" s="87" t="n">
        <x:v>2</x:v>
      </x:c>
    </x:row>
    <x:row r="4878">
      <x:c r="A4878" s="87" t="n">
        <x:v>4877</x:v>
      </x:c>
      <x:c r="B4878" s="87" t="str">
        <x:v>MAY-MATH-09-002</x:v>
      </x:c>
      <x:c r="C4878" s="87" t="str">
        <x:v>СтатГрад</x:v>
      </x:c>
      <x:c r="D4878" s="87" t="str">
        <x:v>Май 2026</x:v>
      </x:c>
      <x:c r="E4878" s="87"/>
      <x:c r="F4878" s="87"/>
      <x:c r="G4878" s="87" t="str">
        <x:v>Математика</x:v>
      </x:c>
      <x:c r="H4878" s="87" t="n">
        <x:v>10</x:v>
      </x:c>
      <x:c r="I4878" s="87" t="str">
        <x:v>ТР №2</x:v>
      </x:c>
      <x:c r="J4878" s="87" t="str">
        <x:v>МА2500309</x:v>
      </x:c>
      <x:c r="K4878" s="87" t="n">
        <x:v>2</x:v>
      </x:c>
      <x:c r="L4878" s="87" t="str">
        <x:v>Задание с кратким ответом</x:v>
      </x:c>
      <x:c r="M4878" s="30" t="str">
        <x:v>  Даны векторы a ( 12; − 4 ) , b ( − 1; − 3 ) и c ( −1; − 6 ) . Найдите скалярное  произведение a − b ⋅ c. ) (</x:v>
      </x:c>
      <x:c r="N4878" s="30" t="str">
        <x:v>-7</x:v>
      </x:c>
      <x:c r="O4878" s="30" t="str">
        <x:v>Краткий ответ перенесён из официальной таблицы; тип задания и числовой результат проверены по условию.</x:v>
      </x:c>
      <x:c r="P4878" s="30" t="str">
        <x:v>Наличие задания, диапазон допустимого ответа и соответствие официальному ключу проверены; явных противоречий не обнаружено.</x:v>
      </x:c>
      <x:c r="Q4878" s="30"/>
      <x:c r="R4878" s="30" t="str">
        <x:v>-7</x:v>
      </x:c>
      <x:c r="S4878" s="30"/>
      <x:c r="T4878" s="30" t="str">
        <x:v>Профиль.jpg</x:v>
      </x:c>
      <x:c r="U4878" s="30" t="str">
        <x:v>Расхождений с каноническим источником не выявлено.</x:v>
      </x:c>
      <x:c r="V4878" s="87" t="str">
        <x:v>VERIFIED</x:v>
      </x:c>
      <x:c r="W4878" s="87"/>
      <x:c r="X4878" s="87" t="n">
        <x:v>2</x:v>
      </x:c>
      <x:c r="Y4878" s="87"/>
      <x:c r="Z4878" s="87"/>
      <x:c r="AA4878" s="87"/>
      <x:c r="AB4878" s="87" t="str">
        <x:v>таблица</x:v>
      </x:c>
      <x:c r="AC4878" s="87" t="str">
        <x:v>VIS-MATH-MAY-PROF-TASK-P002</x:v>
      </x:c>
      <x:c r="AD4878" s="87" t="str">
        <x:v>VIS-MATH-MAY-KEY-PROFILE</x:v>
      </x:c>
      <x:c r="AE4878" s="87" t="str">
        <x:v>TASK; KEY</x:v>
      </x:c>
      <x:c r="AF4878" s="87" t="str">
        <x:v>VIS-MATH-MAY-PROF-TASK-P002: 2; VIS-MATH-MAY-KEY-PROFILE: original</x:v>
      </x:c>
      <x:c r="AG4878" s="87" t="str">
        <x:v>RESOLVED</x:v>
      </x:c>
      <x:c r="AH4878" s="87" t="str">
        <x:v>CROP_VERIFIED; ORIGINAL_IMAGE_NO_CROP</x:v>
      </x:c>
      <x:c r="AI4878" s="30" t="str">
        <x:v>{"Уровень": "Профильный"}</x:v>
      </x:c>
      <x:c r="AJ4878" s="87" t="str">
        <x:v>clean</x:v>
      </x:c>
      <x:c r="AK4878" s="87" t="str">
        <x:v>clean-v0.09</x:v>
      </x:c>
      <x:c r="AL4878" s="87" t="str">
        <x:v>statgrad_clean_continuation_v0_09(1).xlsx</x:v>
      </x:c>
      <x:c r="AM4878" s="87" t="str">
        <x:v>MATH_May_0309</x:v>
      </x:c>
      <x:c r="AN4878" s="87" t="n">
        <x:v>3</x:v>
      </x:c>
    </x:row>
    <x:row r="4879">
      <x:c r="A4879" s="87" t="n">
        <x:v>4878</x:v>
      </x:c>
      <x:c r="B4879" s="87" t="str">
        <x:v>MAY-MATH-09-003</x:v>
      </x:c>
      <x:c r="C4879" s="87" t="str">
        <x:v>СтатГрад</x:v>
      </x:c>
      <x:c r="D4879" s="87" t="str">
        <x:v>Май 2026</x:v>
      </x:c>
      <x:c r="E4879" s="87"/>
      <x:c r="F4879" s="87"/>
      <x:c r="G4879" s="87" t="str">
        <x:v>Математика</x:v>
      </x:c>
      <x:c r="H4879" s="87" t="n">
        <x:v>10</x:v>
      </x:c>
      <x:c r="I4879" s="87" t="str">
        <x:v>ТР №2</x:v>
      </x:c>
      <x:c r="J4879" s="87" t="str">
        <x:v>МА2500309</x:v>
      </x:c>
      <x:c r="K4879" s="87" t="n">
        <x:v>3</x:v>
      </x:c>
      <x:c r="L4879" s="87" t="str">
        <x:v>Геометрия / объём</x:v>
      </x:c>
      <x:c r="M4879" s="30" t="str">
        <x:v>Если каждое ребро куба увеличить на 2, то его объём увеличится на 602. Найдите ребро куба.</x:v>
      </x:c>
      <x:c r="N4879" s="30" t="str">
        <x:v>9</x:v>
      </x:c>
      <x:c r="O4879" s="30" t="str">
        <x:v>Краткий ответ перенесён из официальной таблицы; тип задания и числовой результат проверены по условию.</x:v>
      </x:c>
      <x:c r="P4879" s="30" t="str">
        <x:v>Наличие задания, диапазон допустимого ответа и соответствие официальному ключу проверены; явных противоречий не обнаружено.</x:v>
      </x:c>
      <x:c r="Q4879" s="30"/>
      <x:c r="R4879" s="30" t="str">
        <x:v>9</x:v>
      </x:c>
      <x:c r="S4879" s="30"/>
      <x:c r="T4879" s="30" t="str">
        <x:v>Профиль.jpg</x:v>
      </x:c>
      <x:c r="U4879" s="30" t="str">
        <x:v>Расхождений с каноническим источником не выявлено.</x:v>
      </x:c>
      <x:c r="V4879" s="87" t="str">
        <x:v>VERIFIED</x:v>
      </x:c>
      <x:c r="W4879" s="87"/>
      <x:c r="X4879" s="87" t="n">
        <x:v>2</x:v>
      </x:c>
      <x:c r="Y4879" s="87"/>
      <x:c r="Z4879" s="87"/>
      <x:c r="AA4879" s="87"/>
      <x:c r="AB4879" s="87" t="str">
        <x:v>таблица</x:v>
      </x:c>
      <x:c r="AC4879" s="87" t="str">
        <x:v>VIS-MATH-MAY-PROF-TASK-P002</x:v>
      </x:c>
      <x:c r="AD4879" s="87" t="str">
        <x:v>VIS-MATH-MAY-KEY-PROFILE</x:v>
      </x:c>
      <x:c r="AE4879" s="87" t="str">
        <x:v>TASK; KEY</x:v>
      </x:c>
      <x:c r="AF4879" s="87" t="str">
        <x:v>VIS-MATH-MAY-PROF-TASK-P002: 2; VIS-MATH-MAY-KEY-PROFILE: original</x:v>
      </x:c>
      <x:c r="AG4879" s="87" t="str">
        <x:v>RESOLVED</x:v>
      </x:c>
      <x:c r="AH4879" s="87" t="str">
        <x:v>CROP_VERIFIED; ORIGINAL_IMAGE_NO_CROP</x:v>
      </x:c>
      <x:c r="AI4879" s="30" t="str">
        <x:v>{"Уровень": "Профильный"}</x:v>
      </x:c>
      <x:c r="AJ4879" s="87" t="str">
        <x:v>clean</x:v>
      </x:c>
      <x:c r="AK4879" s="87" t="str">
        <x:v>clean-v0.09</x:v>
      </x:c>
      <x:c r="AL4879" s="87" t="str">
        <x:v>statgrad_clean_continuation_v0_09(1).xlsx</x:v>
      </x:c>
      <x:c r="AM4879" s="87" t="str">
        <x:v>MATH_May_0309</x:v>
      </x:c>
      <x:c r="AN4879" s="87" t="n">
        <x:v>4</x:v>
      </x:c>
    </x:row>
    <x:row r="4880">
      <x:c r="A4880" s="87" t="n">
        <x:v>4879</x:v>
      </x:c>
      <x:c r="B4880" s="87" t="str">
        <x:v>MAY-MATH-09-004</x:v>
      </x:c>
      <x:c r="C4880" s="87" t="str">
        <x:v>СтатГрад</x:v>
      </x:c>
      <x:c r="D4880" s="87" t="str">
        <x:v>Май 2026</x:v>
      </x:c>
      <x:c r="E4880" s="87"/>
      <x:c r="F4880" s="87"/>
      <x:c r="G4880" s="87" t="str">
        <x:v>Математика</x:v>
      </x:c>
      <x:c r="H4880" s="87" t="n">
        <x:v>10</x:v>
      </x:c>
      <x:c r="I4880" s="87" t="str">
        <x:v>ТР №2</x:v>
      </x:c>
      <x:c r="J4880" s="87" t="str">
        <x:v>МА2500309</x:v>
      </x:c>
      <x:c r="K4880" s="87" t="n">
        <x:v>4</x:v>
      </x:c>
      <x:c r="L4880" s="87" t="str">
        <x:v>Теория вероятностей</x:v>
      </x:c>
      <x:c r="M4880" s="30" t="str">
        <x:v>В фирме такси в наличии 50 легковых автомобилей: 34 из них чёрного цвета с жёлтыми надписями на бортах, остальные — жёлтого цвета с чёрными надписями. Найдите вероятность того, что на случайный вызов приедет машина жёлтого цвета с чёрными надписями.</x:v>
      </x:c>
      <x:c r="N4880" s="30" t="str">
        <x:v>0,32</x:v>
      </x:c>
      <x:c r="O4880" s="30" t="str">
        <x:v>Краткий ответ перенесён из официальной таблицы; тип задания и числовой результат проверены по условию.</x:v>
      </x:c>
      <x:c r="P4880" s="30" t="str">
        <x:v>Наличие задания, диапазон допустимого ответа и соответствие официальному ключу проверены; явных противоречий не обнаружено.</x:v>
      </x:c>
      <x:c r="Q4880" s="30"/>
      <x:c r="R4880" s="30" t="str">
        <x:v>0,32</x:v>
      </x:c>
      <x:c r="S4880" s="30"/>
      <x:c r="T4880" s="30" t="str">
        <x:v>Профиль.jpg</x:v>
      </x:c>
      <x:c r="U4880" s="30" t="str">
        <x:v>Расхождений с каноническим источником не выявлено.</x:v>
      </x:c>
      <x:c r="V4880" s="87" t="str">
        <x:v>VERIFIED</x:v>
      </x:c>
      <x:c r="W4880" s="87"/>
      <x:c r="X4880" s="87" t="n">
        <x:v>2</x:v>
      </x:c>
      <x:c r="Y4880" s="87"/>
      <x:c r="Z4880" s="87"/>
      <x:c r="AA4880" s="87"/>
      <x:c r="AB4880" s="87" t="str">
        <x:v>таблица</x:v>
      </x:c>
      <x:c r="AC4880" s="87" t="str">
        <x:v>VIS-MATH-MAY-PROF-TASK-P002</x:v>
      </x:c>
      <x:c r="AD4880" s="87" t="str">
        <x:v>VIS-MATH-MAY-KEY-PROFILE</x:v>
      </x:c>
      <x:c r="AE4880" s="87" t="str">
        <x:v>TASK; KEY</x:v>
      </x:c>
      <x:c r="AF4880" s="87" t="str">
        <x:v>VIS-MATH-MAY-PROF-TASK-P002: 2; VIS-MATH-MAY-KEY-PROFILE: original</x:v>
      </x:c>
      <x:c r="AG4880" s="87" t="str">
        <x:v>RESOLVED</x:v>
      </x:c>
      <x:c r="AH4880" s="87" t="str">
        <x:v>CROP_VERIFIED; ORIGINAL_IMAGE_NO_CROP</x:v>
      </x:c>
      <x:c r="AI4880" s="30" t="str">
        <x:v>{"Уровень": "Профильный"}</x:v>
      </x:c>
      <x:c r="AJ4880" s="87" t="str">
        <x:v>clean</x:v>
      </x:c>
      <x:c r="AK4880" s="87" t="str">
        <x:v>clean-v0.09</x:v>
      </x:c>
      <x:c r="AL4880" s="87" t="str">
        <x:v>statgrad_clean_continuation_v0_09(1).xlsx</x:v>
      </x:c>
      <x:c r="AM4880" s="87" t="str">
        <x:v>MATH_May_0309</x:v>
      </x:c>
      <x:c r="AN4880" s="87" t="n">
        <x:v>5</x:v>
      </x:c>
    </x:row>
    <x:row r="4881">
      <x:c r="A4881" s="87" t="n">
        <x:v>4880</x:v>
      </x:c>
      <x:c r="B4881" s="87" t="str">
        <x:v>MAY-MATH-09-005</x:v>
      </x:c>
      <x:c r="C4881" s="87" t="str">
        <x:v>СтатГрад</x:v>
      </x:c>
      <x:c r="D4881" s="87" t="str">
        <x:v>Май 2026</x:v>
      </x:c>
      <x:c r="E4881" s="87"/>
      <x:c r="F4881" s="87"/>
      <x:c r="G4881" s="87" t="str">
        <x:v>Математика</x:v>
      </x:c>
      <x:c r="H4881" s="87" t="n">
        <x:v>10</x:v>
      </x:c>
      <x:c r="I4881" s="87" t="str">
        <x:v>ТР №2</x:v>
      </x:c>
      <x:c r="J4881" s="87" t="str">
        <x:v>МА2500309</x:v>
      </x:c>
      <x:c r="K4881" s="87" t="n">
        <x:v>5</x:v>
      </x:c>
      <x:c r="L4881" s="87" t="str">
        <x:v>Теория вероятностей</x:v>
      </x:c>
      <x:c r="M4881" s="30" t="str">
        <x:v>На экзамене по геометрии школьник отвечает на один вопрос из списка экзаменационных вопросов. Вероятность того, что это вопрос по теме «Вписанная окружность», равна 0,2. Вероятность того, что это вопрос по теме «Тригонометрия», равна 0,15. Вопросов, которые одновременно относятся к этим двум темам, нет. Найдите вероятность того, что на экзамене школьнику достанется вопрос по одной из этих двух тем.</x:v>
      </x:c>
      <x:c r="N4881" s="30" t="str">
        <x:v>0,35</x:v>
      </x:c>
      <x:c r="O4881" s="30" t="str">
        <x:v>Краткий ответ перенесён из официальной таблицы; тип задания и числовой результат проверены по условию.</x:v>
      </x:c>
      <x:c r="P4881" s="30" t="str">
        <x:v>Наличие задания, диапазон допустимого ответа и соответствие официальному ключу проверены; явных противоречий не обнаружено.</x:v>
      </x:c>
      <x:c r="Q4881" s="30"/>
      <x:c r="R4881" s="30" t="str">
        <x:v>0,35</x:v>
      </x:c>
      <x:c r="S4881" s="30"/>
      <x:c r="T4881" s="30" t="str">
        <x:v>Профиль.jpg</x:v>
      </x:c>
      <x:c r="U4881" s="30" t="str">
        <x:v>Расхождений с каноническим источником не выявлено.</x:v>
      </x:c>
      <x:c r="V4881" s="87" t="str">
        <x:v>VERIFIED</x:v>
      </x:c>
      <x:c r="W4881" s="87"/>
      <x:c r="X4881" s="87" t="n">
        <x:v>3</x:v>
      </x:c>
      <x:c r="Y4881" s="87"/>
      <x:c r="Z4881" s="87"/>
      <x:c r="AA4881" s="87"/>
      <x:c r="AB4881" s="87" t="str">
        <x:v>таблица</x:v>
      </x:c>
      <x:c r="AC4881" s="87" t="str">
        <x:v>VIS-MATH-MAY-PROF-TASK-P003</x:v>
      </x:c>
      <x:c r="AD4881" s="87" t="str">
        <x:v>VIS-MATH-MAY-KEY-PROFILE</x:v>
      </x:c>
      <x:c r="AE4881" s="87" t="str">
        <x:v>TASK; KEY</x:v>
      </x:c>
      <x:c r="AF4881" s="87" t="str">
        <x:v>VIS-MATH-MAY-PROF-TASK-P003: 3; VIS-MATH-MAY-KEY-PROFILE: original</x:v>
      </x:c>
      <x:c r="AG4881" s="87" t="str">
        <x:v>RESOLVED</x:v>
      </x:c>
      <x:c r="AH4881" s="87" t="str">
        <x:v>CROP_VERIFIED; ORIGINAL_IMAGE_NO_CROP</x:v>
      </x:c>
      <x:c r="AI4881" s="30" t="str">
        <x:v>{"Уровень": "Профильный"}</x:v>
      </x:c>
      <x:c r="AJ4881" s="87" t="str">
        <x:v>clean</x:v>
      </x:c>
      <x:c r="AK4881" s="87" t="str">
        <x:v>clean-v0.09</x:v>
      </x:c>
      <x:c r="AL4881" s="87" t="str">
        <x:v>statgrad_clean_continuation_v0_09(1).xlsx</x:v>
      </x:c>
      <x:c r="AM4881" s="87" t="str">
        <x:v>MATH_May_0309</x:v>
      </x:c>
      <x:c r="AN4881" s="87" t="n">
        <x:v>6</x:v>
      </x:c>
    </x:row>
    <x:row r="4882">
      <x:c r="A4882" s="87" t="n">
        <x:v>4881</x:v>
      </x:c>
      <x:c r="B4882" s="87" t="str">
        <x:v>MAY-MATH-09-006</x:v>
      </x:c>
      <x:c r="C4882" s="87" t="str">
        <x:v>СтатГрад</x:v>
      </x:c>
      <x:c r="D4882" s="87" t="str">
        <x:v>Май 2026</x:v>
      </x:c>
      <x:c r="E4882" s="87"/>
      <x:c r="F4882" s="87"/>
      <x:c r="G4882" s="87" t="str">
        <x:v>Математика</x:v>
      </x:c>
      <x:c r="H4882" s="87" t="n">
        <x:v>10</x:v>
      </x:c>
      <x:c r="I4882" s="87" t="str">
        <x:v>ТР №2</x:v>
      </x:c>
      <x:c r="J4882" s="87" t="str">
        <x:v>МА2500309</x:v>
      </x:c>
      <x:c r="K4882" s="87" t="n">
        <x:v>6</x:v>
      </x:c>
      <x:c r="L4882" s="87" t="str">
        <x:v>Уравнение</x:v>
      </x:c>
      <x:c r="M4882" s="30" t="str">
        <x:v>Найдите корень уравнения log 2 ( 8 + 7 x ) = log 2 ( 8 + 3 x ) + 1 .</x:v>
      </x:c>
      <x:c r="N4882" s="30" t="str">
        <x:v>8</x:v>
      </x:c>
      <x:c r="O4882" s="30" t="str">
        <x:v>Краткий ответ перенесён из официальной таблицы; тип задания и числовой результат проверены по условию.</x:v>
      </x:c>
      <x:c r="P4882" s="30" t="str">
        <x:v>Наличие задания, диапазон допустимого ответа и соответствие официальному ключу проверены; явных противоречий не обнаружено.</x:v>
      </x:c>
      <x:c r="Q4882" s="30"/>
      <x:c r="R4882" s="30" t="str">
        <x:v>8</x:v>
      </x:c>
      <x:c r="S4882" s="30"/>
      <x:c r="T4882" s="30" t="str">
        <x:v>Профиль.jpg</x:v>
      </x:c>
      <x:c r="U4882" s="30" t="str">
        <x:v>Расхождений с каноническим источником не выявлено.</x:v>
      </x:c>
      <x:c r="V4882" s="87" t="str">
        <x:v>VERIFIED</x:v>
      </x:c>
      <x:c r="W4882" s="87"/>
      <x:c r="X4882" s="87" t="n">
        <x:v>3</x:v>
      </x:c>
      <x:c r="Y4882" s="87"/>
      <x:c r="Z4882" s="87"/>
      <x:c r="AA4882" s="87"/>
      <x:c r="AB4882" s="87" t="str">
        <x:v>таблица</x:v>
      </x:c>
      <x:c r="AC4882" s="87" t="str">
        <x:v>VIS-MATH-MAY-PROF-TASK-P003</x:v>
      </x:c>
      <x:c r="AD4882" s="87" t="str">
        <x:v>VIS-MATH-MAY-KEY-PROFILE</x:v>
      </x:c>
      <x:c r="AE4882" s="87" t="str">
        <x:v>TASK; KEY</x:v>
      </x:c>
      <x:c r="AF4882" s="87" t="str">
        <x:v>VIS-MATH-MAY-PROF-TASK-P003: 3; VIS-MATH-MAY-KEY-PROFILE: original</x:v>
      </x:c>
      <x:c r="AG4882" s="87" t="str">
        <x:v>RESOLVED</x:v>
      </x:c>
      <x:c r="AH4882" s="87" t="str">
        <x:v>CROP_VERIFIED; ORIGINAL_IMAGE_NO_CROP</x:v>
      </x:c>
      <x:c r="AI4882" s="30" t="str">
        <x:v>{"Уровень": "Профильный"}</x:v>
      </x:c>
      <x:c r="AJ4882" s="87" t="str">
        <x:v>clean</x:v>
      </x:c>
      <x:c r="AK4882" s="87" t="str">
        <x:v>clean-v0.09</x:v>
      </x:c>
      <x:c r="AL4882" s="87" t="str">
        <x:v>statgrad_clean_continuation_v0_09(1).xlsx</x:v>
      </x:c>
      <x:c r="AM4882" s="87" t="str">
        <x:v>MATH_May_0309</x:v>
      </x:c>
      <x:c r="AN4882" s="87" t="n">
        <x:v>7</x:v>
      </x:c>
    </x:row>
    <x:row r="4883">
      <x:c r="A4883" s="87" t="n">
        <x:v>4882</x:v>
      </x:c>
      <x:c r="B4883" s="87" t="str">
        <x:v>MAY-MATH-09-007</x:v>
      </x:c>
      <x:c r="C4883" s="87" t="str">
        <x:v>СтатГрад</x:v>
      </x:c>
      <x:c r="D4883" s="87" t="str">
        <x:v>Май 2026</x:v>
      </x:c>
      <x:c r="E4883" s="87"/>
      <x:c r="F4883" s="87"/>
      <x:c r="G4883" s="87" t="str">
        <x:v>Математика</x:v>
      </x:c>
      <x:c r="H4883" s="87" t="n">
        <x:v>10</x:v>
      </x:c>
      <x:c r="I4883" s="87" t="str">
        <x:v>ТР №2</x:v>
      </x:c>
      <x:c r="J4883" s="87" t="str">
        <x:v>МА2500309</x:v>
      </x:c>
      <x:c r="K4883" s="87" t="n">
        <x:v>7</x:v>
      </x:c>
      <x:c r="L4883" s="87" t="str">
        <x:v>Задание с кратким ответом</x:v>
      </x:c>
      <x:c r="M4883" s="30" t="str">
        <x:v>2Найдите значение выражения ( 2 x − 13 )( 2 x + 13 ) − 4 x − x − 26 при x = 110 .</x:v>
      </x:c>
      <x:c r="N4883" s="30" t="str">
        <x:v>-305</x:v>
      </x:c>
      <x:c r="O4883" s="30" t="str">
        <x:v>Краткий ответ перенесён из официальной таблицы; тип задания и числовой результат проверены по условию.</x:v>
      </x:c>
      <x:c r="P4883" s="30" t="str">
        <x:v>Наличие задания, диапазон допустимого ответа и соответствие официальному ключу проверены; явных противоречий не обнаружено.</x:v>
      </x:c>
      <x:c r="Q4883" s="30"/>
      <x:c r="R4883" s="30" t="str">
        <x:v>-305</x:v>
      </x:c>
      <x:c r="S4883" s="30"/>
      <x:c r="T4883" s="30" t="str">
        <x:v>Профиль.jpg</x:v>
      </x:c>
      <x:c r="U4883" s="30" t="str">
        <x:v>Расхождений с каноническим источником не выявлено.</x:v>
      </x:c>
      <x:c r="V4883" s="87" t="str">
        <x:v>VERIFIED</x:v>
      </x:c>
      <x:c r="W4883" s="87"/>
      <x:c r="X4883" s="87" t="n">
        <x:v>3</x:v>
      </x:c>
      <x:c r="Y4883" s="87"/>
      <x:c r="Z4883" s="87"/>
      <x:c r="AA4883" s="87"/>
      <x:c r="AB4883" s="87" t="str">
        <x:v>таблица</x:v>
      </x:c>
      <x:c r="AC4883" s="87" t="str">
        <x:v>VIS-MATH-MAY-PROF-TASK-P003</x:v>
      </x:c>
      <x:c r="AD4883" s="87" t="str">
        <x:v>VIS-MATH-MAY-KEY-PROFILE</x:v>
      </x:c>
      <x:c r="AE4883" s="87" t="str">
        <x:v>TASK; KEY</x:v>
      </x:c>
      <x:c r="AF4883" s="87" t="str">
        <x:v>VIS-MATH-MAY-PROF-TASK-P003: 3; VIS-MATH-MAY-KEY-PROFILE: original</x:v>
      </x:c>
      <x:c r="AG4883" s="87" t="str">
        <x:v>RESOLVED</x:v>
      </x:c>
      <x:c r="AH4883" s="87" t="str">
        <x:v>CROP_VERIFIED; ORIGINAL_IMAGE_NO_CROP</x:v>
      </x:c>
      <x:c r="AI4883" s="30" t="str">
        <x:v>{"Уровень": "Профильный"}</x:v>
      </x:c>
      <x:c r="AJ4883" s="87" t="str">
        <x:v>clean</x:v>
      </x:c>
      <x:c r="AK4883" s="87" t="str">
        <x:v>clean-v0.09</x:v>
      </x:c>
      <x:c r="AL4883" s="87" t="str">
        <x:v>statgrad_clean_continuation_v0_09(1).xlsx</x:v>
      </x:c>
      <x:c r="AM4883" s="87" t="str">
        <x:v>MATH_May_0309</x:v>
      </x:c>
      <x:c r="AN4883" s="87" t="n">
        <x:v>8</x:v>
      </x:c>
    </x:row>
    <x:row r="4884">
      <x:c r="A4884" s="87" t="n">
        <x:v>4883</x:v>
      </x:c>
      <x:c r="B4884" s="87" t="str">
        <x:v>MAY-MATH-09-008</x:v>
      </x:c>
      <x:c r="C4884" s="87" t="str">
        <x:v>СтатГрад</x:v>
      </x:c>
      <x:c r="D4884" s="87" t="str">
        <x:v>Май 2026</x:v>
      </x:c>
      <x:c r="E4884" s="87"/>
      <x:c r="F4884" s="87"/>
      <x:c r="G4884" s="87" t="str">
        <x:v>Математика</x:v>
      </x:c>
      <x:c r="H4884" s="87" t="n">
        <x:v>10</x:v>
      </x:c>
      <x:c r="I4884" s="87" t="str">
        <x:v>ТР №2</x:v>
      </x:c>
      <x:c r="J4884" s="87" t="str">
        <x:v>МА2500309</x:v>
      </x:c>
      <x:c r="K4884" s="87" t="n">
        <x:v>8</x:v>
      </x:c>
      <x:c r="L4884" s="87" t="str">
        <x:v>Анализ графика</x:v>
      </x:c>
      <x:c r="M4884" s="30" t="str">
        <x:v>На рисунке изображён график функции y = f ( x ) . На оси абсцисс отмечено восемь точек: 1x , x 2 , x 3 , x 4 , x 5 , x 6 , x 7 , x 8 . Сколько из этих точек принадлежит промежуткам возрастания функции f ( x ) ? y x1 x2 x3 x4 x5 x6 x7 x8 x</x:v>
      </x:c>
      <x:c r="N4884" s="30" t="str">
        <x:v>3</x:v>
      </x:c>
      <x:c r="O4884" s="30" t="str">
        <x:v>Краткий ответ перенесён из официальной таблицы; тип задания и числовой результат проверены по условию.</x:v>
      </x:c>
      <x:c r="P4884" s="30" t="str">
        <x:v>Наличие задания, диапазон допустимого ответа и соответствие официальному ключу проверены; явных противоречий не обнаружено.</x:v>
      </x:c>
      <x:c r="Q4884" s="30"/>
      <x:c r="R4884" s="30" t="str">
        <x:v>3</x:v>
      </x:c>
      <x:c r="S4884" s="30"/>
      <x:c r="T4884" s="30" t="str">
        <x:v>Профиль.jpg</x:v>
      </x:c>
      <x:c r="U4884" s="30" t="str">
        <x:v>Расхождений с каноническим источником не выявлено.</x:v>
      </x:c>
      <x:c r="V4884" s="87" t="str">
        <x:v>VERIFIED</x:v>
      </x:c>
      <x:c r="W4884" s="87"/>
      <x:c r="X4884" s="87" t="n">
        <x:v>3</x:v>
      </x:c>
      <x:c r="Y4884" s="87"/>
      <x:c r="Z4884" s="87"/>
      <x:c r="AA4884" s="87"/>
      <x:c r="AB4884" s="87" t="str">
        <x:v>таблица</x:v>
      </x:c>
      <x:c r="AC4884" s="87" t="str">
        <x:v>VIS-MATH-MAY-PROF-TASK-P003</x:v>
      </x:c>
      <x:c r="AD4884" s="87" t="str">
        <x:v>VIS-MATH-MAY-KEY-PROFILE</x:v>
      </x:c>
      <x:c r="AE4884" s="87" t="str">
        <x:v>TASK; KEY</x:v>
      </x:c>
      <x:c r="AF4884" s="87" t="str">
        <x:v>VIS-MATH-MAY-PROF-TASK-P003: 3; VIS-MATH-MAY-KEY-PROFILE: original</x:v>
      </x:c>
      <x:c r="AG4884" s="87" t="str">
        <x:v>RESOLVED</x:v>
      </x:c>
      <x:c r="AH4884" s="87" t="str">
        <x:v>CROP_VERIFIED; ORIGINAL_IMAGE_NO_CROP; TASK_CROP_QA_APPROVED:USE_TIGHT</x:v>
      </x:c>
      <x:c r="AI4884" s="30" t="str">
        <x:v>{"Уровень": "Профильный"}</x:v>
      </x:c>
      <x:c r="AJ4884" s="87" t="str">
        <x:v>clean</x:v>
      </x:c>
      <x:c r="AK4884" s="87" t="str">
        <x:v>clean-v0.09</x:v>
      </x:c>
      <x:c r="AL4884" s="87" t="str">
        <x:v>statgrad_clean_continuation_v0_09(1).xlsx</x:v>
      </x:c>
      <x:c r="AM4884" s="87" t="str">
        <x:v>MATH_May_0309</x:v>
      </x:c>
      <x:c r="AN4884" s="87" t="n">
        <x:v>9</x:v>
      </x:c>
    </x:row>
    <x:row r="4885">
      <x:c r="A4885" s="87" t="n">
        <x:v>4884</x:v>
      </x:c>
      <x:c r="B4885" s="87" t="str">
        <x:v>MAY-MATH-09-009</x:v>
      </x:c>
      <x:c r="C4885" s="87" t="str">
        <x:v>СтатГрад</x:v>
      </x:c>
      <x:c r="D4885" s="87" t="str">
        <x:v>Май 2026</x:v>
      </x:c>
      <x:c r="E4885" s="87"/>
      <x:c r="F4885" s="87"/>
      <x:c r="G4885" s="87" t="str">
        <x:v>Математика</x:v>
      </x:c>
      <x:c r="H4885" s="87" t="n">
        <x:v>10</x:v>
      </x:c>
      <x:c r="I4885" s="87" t="str">
        <x:v>ТР №2</x:v>
      </x:c>
      <x:c r="J4885" s="87" t="str">
        <x:v>МА2500309</x:v>
      </x:c>
      <x:c r="K4885" s="87" t="n">
        <x:v>9</x:v>
      </x:c>
      <x:c r="L4885" s="87" t="str">
        <x:v>Применение формулы</x:v>
      </x:c>
      <x:c r="M4885" s="30" t="str">
        <x:v>Амплитуда колебаний маятника зависит от частоты вынуждающей силы и 2 A0 ω pопределяется по формуле A ( ω ) = , где ω — частота вынуждающей 2 2 ω −ω p ω = 360 c — резонанснаясилы (в с −),1 A0 — постоянный параметр, − 1 p частота. Найдите максимальную частоту ω, меньшую резонансной, для которой амплитуда колебаний превосходит величину A0 не более чем на 1одну пятнадцатую. Ответ дайте в c −.</x:v>
      </x:c>
      <x:c r="N4885" s="30" t="str">
        <x:v>90</x:v>
      </x:c>
      <x:c r="O4885" s="30" t="str">
        <x:v>Краткий ответ перенесён из официальной таблицы; тип задания и числовой результат проверены по условию.</x:v>
      </x:c>
      <x:c r="P4885" s="30" t="str">
        <x:v>Наличие задания, диапазон допустимого ответа и соответствие официальному ключу проверены; явных противоречий не обнаружено.</x:v>
      </x:c>
      <x:c r="Q4885" s="30"/>
      <x:c r="R4885" s="30" t="str">
        <x:v>90</x:v>
      </x:c>
      <x:c r="S4885" s="30"/>
      <x:c r="T4885" s="30" t="str">
        <x:v>Профиль.jpg</x:v>
      </x:c>
      <x:c r="U4885" s="30" t="str">
        <x:v>Расхождений с каноническим источником не выявлено.</x:v>
      </x:c>
      <x:c r="V4885" s="87" t="str">
        <x:v>VERIFIED</x:v>
      </x:c>
      <x:c r="W4885" s="87"/>
      <x:c r="X4885" s="87" t="n">
        <x:v>4</x:v>
      </x:c>
      <x:c r="Y4885" s="87"/>
      <x:c r="Z4885" s="87"/>
      <x:c r="AA4885" s="87"/>
      <x:c r="AB4885" s="87" t="str">
        <x:v>таблица</x:v>
      </x:c>
      <x:c r="AC4885" s="87" t="str">
        <x:v>VIS-MATH-MAY-PROF-TASK-P004</x:v>
      </x:c>
      <x:c r="AD4885" s="87" t="str">
        <x:v>VIS-MATH-MAY-KEY-PROFILE</x:v>
      </x:c>
      <x:c r="AE4885" s="87" t="str">
        <x:v>TASK; KEY</x:v>
      </x:c>
      <x:c r="AF4885" s="87" t="str">
        <x:v>VIS-MATH-MAY-PROF-TASK-P004: 4; VIS-MATH-MAY-KEY-PROFILE: original</x:v>
      </x:c>
      <x:c r="AG4885" s="87" t="str">
        <x:v>RESOLVED</x:v>
      </x:c>
      <x:c r="AH4885" s="87" t="str">
        <x:v>CROP_VERIFIED; ORIGINAL_IMAGE_NO_CROP</x:v>
      </x:c>
      <x:c r="AI4885" s="30" t="str">
        <x:v>{"Уровень": "Профильный"}</x:v>
      </x:c>
      <x:c r="AJ4885" s="87" t="str">
        <x:v>clean</x:v>
      </x:c>
      <x:c r="AK4885" s="87" t="str">
        <x:v>clean-v0.09</x:v>
      </x:c>
      <x:c r="AL4885" s="87" t="str">
        <x:v>statgrad_clean_continuation_v0_09(1).xlsx</x:v>
      </x:c>
      <x:c r="AM4885" s="87" t="str">
        <x:v>MATH_May_0309</x:v>
      </x:c>
      <x:c r="AN4885" s="87" t="n">
        <x:v>10</x:v>
      </x:c>
    </x:row>
    <x:row r="4886">
      <x:c r="A4886" s="87" t="n">
        <x:v>4885</x:v>
      </x:c>
      <x:c r="B4886" s="87" t="str">
        <x:v>MAY-MATH-09-010</x:v>
      </x:c>
      <x:c r="C4886" s="87" t="str">
        <x:v>СтатГрад</x:v>
      </x:c>
      <x:c r="D4886" s="87" t="str">
        <x:v>Май 2026</x:v>
      </x:c>
      <x:c r="E4886" s="87"/>
      <x:c r="F4886" s="87"/>
      <x:c r="G4886" s="87" t="str">
        <x:v>Математика</x:v>
      </x:c>
      <x:c r="H4886" s="87" t="n">
        <x:v>10</x:v>
      </x:c>
      <x:c r="I4886" s="87" t="str">
        <x:v>ТР №2</x:v>
      </x:c>
      <x:c r="J4886" s="87" t="str">
        <x:v>МА2500309</x:v>
      </x:c>
      <x:c r="K4886" s="87" t="n">
        <x:v>10</x:v>
      </x:c>
      <x:c r="L4886" s="87" t="str">
        <x:v>Задание с кратким ответом</x:v>
      </x:c>
      <x:c r="M4886" s="30" t="str">
        <x:v>Два велосипедиста одновременно отправились в 160-километровый пробег. Первый ехал со скоростью, на 12 км/ч большей, чем скорость второго, и прибыл к финишу на 12 часов раньше второго. Найдите скорость велосипедиста, пришедшего к финишу первым. Ответ дайте в км/ч.</x:v>
      </x:c>
      <x:c r="N4886" s="30" t="str">
        <x:v>20</x:v>
      </x:c>
      <x:c r="O4886" s="30" t="str">
        <x:v>Краткий ответ перенесён из официальной таблицы; тип задания и числовой результат проверены по условию.</x:v>
      </x:c>
      <x:c r="P4886" s="30" t="str">
        <x:v>Наличие задания, диапазон допустимого ответа и соответствие официальному ключу проверены; явных противоречий не обнаружено.</x:v>
      </x:c>
      <x:c r="Q4886" s="30"/>
      <x:c r="R4886" s="30" t="str">
        <x:v>20</x:v>
      </x:c>
      <x:c r="S4886" s="30"/>
      <x:c r="T4886" s="30" t="str">
        <x:v>Профиль.jpg</x:v>
      </x:c>
      <x:c r="U4886" s="30" t="str">
        <x:v>Расхождений с каноническим источником не выявлено.</x:v>
      </x:c>
      <x:c r="V4886" s="87" t="str">
        <x:v>VERIFIED</x:v>
      </x:c>
      <x:c r="W4886" s="87"/>
      <x:c r="X4886" s="87" t="n">
        <x:v>4</x:v>
      </x:c>
      <x:c r="Y4886" s="87"/>
      <x:c r="Z4886" s="87"/>
      <x:c r="AA4886" s="87"/>
      <x:c r="AB4886" s="87" t="str">
        <x:v>таблица</x:v>
      </x:c>
      <x:c r="AC4886" s="87" t="str">
        <x:v>VIS-MATH-MAY-PROF-TASK-P004</x:v>
      </x:c>
      <x:c r="AD4886" s="87" t="str">
        <x:v>VIS-MATH-MAY-KEY-PROFILE</x:v>
      </x:c>
      <x:c r="AE4886" s="87" t="str">
        <x:v>TASK; KEY</x:v>
      </x:c>
      <x:c r="AF4886" s="87" t="str">
        <x:v>VIS-MATH-MAY-PROF-TASK-P004: 4; VIS-MATH-MAY-KEY-PROFILE: original</x:v>
      </x:c>
      <x:c r="AG4886" s="87" t="str">
        <x:v>RESOLVED</x:v>
      </x:c>
      <x:c r="AH4886" s="87" t="str">
        <x:v>CROP_VERIFIED; ORIGINAL_IMAGE_NO_CROP</x:v>
      </x:c>
      <x:c r="AI4886" s="30" t="str">
        <x:v>{"Уровень": "Профильный"}</x:v>
      </x:c>
      <x:c r="AJ4886" s="87" t="str">
        <x:v>clean</x:v>
      </x:c>
      <x:c r="AK4886" s="87" t="str">
        <x:v>clean-v0.09</x:v>
      </x:c>
      <x:c r="AL4886" s="87" t="str">
        <x:v>statgrad_clean_continuation_v0_09(1).xlsx</x:v>
      </x:c>
      <x:c r="AM4886" s="87" t="str">
        <x:v>MATH_May_0309</x:v>
      </x:c>
      <x:c r="AN4886" s="87" t="n">
        <x:v>11</x:v>
      </x:c>
    </x:row>
    <x:row r="4887">
      <x:c r="A4887" s="87" t="n">
        <x:v>4886</x:v>
      </x:c>
      <x:c r="B4887" s="87" t="str">
        <x:v>MAY-MATH-09-011</x:v>
      </x:c>
      <x:c r="C4887" s="87" t="str">
        <x:v>СтатГрад</x:v>
      </x:c>
      <x:c r="D4887" s="87" t="str">
        <x:v>Май 2026</x:v>
      </x:c>
      <x:c r="E4887" s="87"/>
      <x:c r="F4887" s="87"/>
      <x:c r="G4887" s="87" t="str">
        <x:v>Математика</x:v>
      </x:c>
      <x:c r="H4887" s="87" t="n">
        <x:v>10</x:v>
      </x:c>
      <x:c r="I4887" s="87" t="str">
        <x:v>ТР №2</x:v>
      </x:c>
      <x:c r="J4887" s="87" t="str">
        <x:v>МА2500309</x:v>
      </x:c>
      <x:c r="K4887" s="87" t="n">
        <x:v>11</x:v>
      </x:c>
      <x:c r="L4887" s="87" t="str">
        <x:v>Анализ графика</x:v>
      </x:c>
      <x:c r="M4887" s="30" t="str">
        <x:v>На рисунке изображены графики y kфункций f ( x ) = и g ( x ) = ax + b , x которые пересекаются в точках A и B . Найдите ординату точки B . 1 0 1 x A</x:v>
      </x:c>
      <x:c r="N4887" s="30" t="str">
        <x:v>20</x:v>
      </x:c>
      <x:c r="O4887" s="30" t="str">
        <x:v>Краткий ответ перенесён из официальной таблицы; тип задания и числовой результат проверены по условию.</x:v>
      </x:c>
      <x:c r="P4887" s="30" t="str">
        <x:v>Наличие задания, диапазон допустимого ответа и соответствие официальному ключу проверены; явных противоречий не обнаружено.</x:v>
      </x:c>
      <x:c r="Q4887" s="30"/>
      <x:c r="R4887" s="30" t="str">
        <x:v>20</x:v>
      </x:c>
      <x:c r="S4887" s="30"/>
      <x:c r="T4887" s="30" t="str">
        <x:v>Профиль.jpg</x:v>
      </x:c>
      <x:c r="U4887" s="30" t="str">
        <x:v>Расхождений с каноническим источником не выявлено.</x:v>
      </x:c>
      <x:c r="V4887" s="87" t="str">
        <x:v>VERIFIED</x:v>
      </x:c>
      <x:c r="W4887" s="87"/>
      <x:c r="X4887" s="87" t="n">
        <x:v>4</x:v>
      </x:c>
      <x:c r="Y4887" s="87"/>
      <x:c r="Z4887" s="87"/>
      <x:c r="AA4887" s="87"/>
      <x:c r="AB4887" s="87" t="str">
        <x:v>таблица</x:v>
      </x:c>
      <x:c r="AC4887" s="87" t="str">
        <x:v>VIS-MATH-MAY-PROF-TASK-P004</x:v>
      </x:c>
      <x:c r="AD4887" s="87" t="str">
        <x:v>VIS-MATH-MAY-KEY-PROFILE</x:v>
      </x:c>
      <x:c r="AE4887" s="87" t="str">
        <x:v>TASK; KEY</x:v>
      </x:c>
      <x:c r="AF4887" s="87" t="str">
        <x:v>VIS-MATH-MAY-PROF-TASK-P004: 4; VIS-MATH-MAY-KEY-PROFILE: original</x:v>
      </x:c>
      <x:c r="AG4887" s="87" t="str">
        <x:v>RESOLVED</x:v>
      </x:c>
      <x:c r="AH4887" s="87" t="str">
        <x:v>CROP_VERIFIED; ORIGINAL_IMAGE_NO_CROP; TASK_CROP_QA_APPROVED:USE_TIGHT</x:v>
      </x:c>
      <x:c r="AI4887" s="30" t="str">
        <x:v>{"Уровень": "Профильный"}</x:v>
      </x:c>
      <x:c r="AJ4887" s="87" t="str">
        <x:v>clean</x:v>
      </x:c>
      <x:c r="AK4887" s="87" t="str">
        <x:v>clean-v0.09</x:v>
      </x:c>
      <x:c r="AL4887" s="87" t="str">
        <x:v>statgrad_clean_continuation_v0_09(1).xlsx</x:v>
      </x:c>
      <x:c r="AM4887" s="87" t="str">
        <x:v>MATH_May_0309</x:v>
      </x:c>
      <x:c r="AN4887" s="87" t="n">
        <x:v>12</x:v>
      </x:c>
    </x:row>
    <x:row r="4888">
      <x:c r="A4888" s="87" t="n">
        <x:v>4887</x:v>
      </x:c>
      <x:c r="B4888" s="87" t="str">
        <x:v>MAY-MATH-09-012</x:v>
      </x:c>
      <x:c r="C4888" s="87" t="str">
        <x:v>СтатГрад</x:v>
      </x:c>
      <x:c r="D4888" s="87" t="str">
        <x:v>Май 2026</x:v>
      </x:c>
      <x:c r="E4888" s="87"/>
      <x:c r="F4888" s="87"/>
      <x:c r="G4888" s="87" t="str">
        <x:v>Математика</x:v>
      </x:c>
      <x:c r="H4888" s="87" t="n">
        <x:v>10</x:v>
      </x:c>
      <x:c r="I4888" s="87" t="str">
        <x:v>ТР №2</x:v>
      </x:c>
      <x:c r="J4888" s="87" t="str">
        <x:v>МА2500309</x:v>
      </x:c>
      <x:c r="K4888" s="87" t="n">
        <x:v>12</x:v>
      </x:c>
      <x:c r="L4888" s="87" t="str">
        <x:v>Оптимизация / целочисленный расчёт</x:v>
      </x:c>
      <x:c r="M4888" s="30" t="str">
        <x:v>2Найдите наибольшее значение функции y = 160 + 6 x − x .</x:v>
      </x:c>
      <x:c r="N4888" s="30" t="str">
        <x:v>13</x:v>
      </x:c>
      <x:c r="O4888" s="30" t="str">
        <x:v>Краткий ответ перенесён из официальной таблицы; тип задания и числовой результат проверены по условию.</x:v>
      </x:c>
      <x:c r="P4888" s="30" t="str">
        <x:v>Наличие задания, диапазон допустимого ответа и соответствие официальному ключу проверены; явных противоречий не обнаружено.</x:v>
      </x:c>
      <x:c r="Q4888" s="30"/>
      <x:c r="R4888" s="30" t="str">
        <x:v>13</x:v>
      </x:c>
      <x:c r="S4888" s="30"/>
      <x:c r="T4888" s="30" t="str">
        <x:v>Профиль.jpg</x:v>
      </x:c>
      <x:c r="U4888" s="30" t="str">
        <x:v>Расхождений с каноническим источником не выявлено.</x:v>
      </x:c>
      <x:c r="V4888" s="87" t="str">
        <x:v>VERIFIED</x:v>
      </x:c>
      <x:c r="W4888" s="87"/>
      <x:c r="X4888" s="87" t="n">
        <x:v>4</x:v>
      </x:c>
      <x:c r="Y4888" s="87"/>
      <x:c r="Z4888" s="87"/>
      <x:c r="AA4888" s="87"/>
      <x:c r="AB4888" s="87" t="str">
        <x:v>таблица</x:v>
      </x:c>
      <x:c r="AC4888" s="87" t="str">
        <x:v>VIS-MATH-MAY-PROF-TASK-P004</x:v>
      </x:c>
      <x:c r="AD4888" s="87" t="str">
        <x:v>VIS-MATH-MAY-KEY-PROFILE</x:v>
      </x:c>
      <x:c r="AE4888" s="87" t="str">
        <x:v>TASK; KEY</x:v>
      </x:c>
      <x:c r="AF4888" s="87" t="str">
        <x:v>VIS-MATH-MAY-PROF-TASK-P004: 4; VIS-MATH-MAY-KEY-PROFILE: original</x:v>
      </x:c>
      <x:c r="AG4888" s="87" t="str">
        <x:v>RESOLVED</x:v>
      </x:c>
      <x:c r="AH4888" s="87" t="str">
        <x:v>CROP_VERIFIED; ORIGINAL_IMAGE_NO_CROP</x:v>
      </x:c>
      <x:c r="AI4888" s="30" t="str">
        <x:v>{"Уровень": "Профильный"}</x:v>
      </x:c>
      <x:c r="AJ4888" s="87" t="str">
        <x:v>clean</x:v>
      </x:c>
      <x:c r="AK4888" s="87" t="str">
        <x:v>clean-v0.09</x:v>
      </x:c>
      <x:c r="AL4888" s="87" t="str">
        <x:v>statgrad_clean_continuation_v0_09(1).xlsx</x:v>
      </x:c>
      <x:c r="AM4888" s="87" t="str">
        <x:v>MATH_May_0309</x:v>
      </x:c>
      <x:c r="AN4888" s="87" t="n">
        <x:v>13</x:v>
      </x:c>
    </x:row>
    <x:row r="4889">
      <x:c r="A4889" s="87" t="n">
        <x:v>4888</x:v>
      </x:c>
      <x:c r="B4889" s="87" t="str">
        <x:v>MAY-MATH-09-013</x:v>
      </x:c>
      <x:c r="C4889" s="87" t="str">
        <x:v>СтатГрад</x:v>
      </x:c>
      <x:c r="D4889" s="87" t="str">
        <x:v>Май 2026</x:v>
      </x:c>
      <x:c r="E4889" s="87"/>
      <x:c r="F4889" s="87"/>
      <x:c r="G4889" s="87" t="str">
        <x:v>Математика</x:v>
      </x:c>
      <x:c r="H4889" s="87" t="n">
        <x:v>10</x:v>
      </x:c>
      <x:c r="I4889" s="87" t="str">
        <x:v>ТР №2</x:v>
      </x:c>
      <x:c r="J4889" s="87" t="str">
        <x:v>МА2500309</x:v>
      </x:c>
      <x:c r="K4889" s="87" t="n">
        <x:v>13</x:v>
      </x:c>
      <x:c r="L4889" s="87" t="str">
        <x:v>Тригонометрическое уравнение</x:v>
      </x:c>
      <x:c r="M4889" s="30" t="str">
        <x:v>а) Решите уравнение 2 2cos x − sin ( x + π ) −=1 0.  3 π б) Укажите корни этого уравнения, принадлежащие отрезку ; 3 π .   2 </x:v>
      </x:c>
      <x:c r="N4889" s="30" t="str">
        <x:v>а) x=π/2+2πk; x=-π/6+2πn; x=-5π/6+2πm, k,n,m∈Z; б) 11π/6; 5π/2</x:v>
      </x:c>
      <x:c r="O4889" s="30" t="str">
        <x:v>Полное решение и критерии сохранены; итог сверён с официальным решением.</x:v>
      </x:c>
      <x:c r="P4889" s="30" t="str">
        <x:v>Условие сопоставлено с официальным развёрнутым решением; обязательные шаги и итоговый ответ согласованы.</x:v>
      </x:c>
      <x:c r="Q4889" s="30"/>
      <x:c r="R4889" s="30" t="str">
        <x:v>а) Решите уравнение 2 2cos x − sin ( x + π ) −=1 0.  3 π б) Укажите корни этого уравнения, принадлежащие отрезку ; 3 π .   2  Решение. а) Запишем исходное уравнение в виде 2 2 2 1 − sin x −−( sin x ) −=1 0 ; − 2sin x + sin x + 1 = 0 ; ( ) − ( sin x − 1 ) ⋅ ( 2sin x + 1 ) = 0 . π 1Значит, sin x = 1 , откуда находим x = + 2 πk , k ∈, или sin x = − , откуда 2 2 π 5 πнаходим x = − + 2 πn , n∈, или x = − + 2 πm , m∈. 6 6 б) С помощью числовой окружности отберём корни, —  3 π принадлежащие отрезку ; 3 π .   2  11π 5 πПолучим числа ; . 6 2 —– — π π 5 π 11π 5 π</x:v>
      </x:c>
      <x:c r="S4889" s="30"/>
      <x:c r="T4889" s="30" t="str">
        <x:v>Kriterii_MA10-11_12052026.pdf</x:v>
      </x:c>
      <x:c r="U4889" s="30" t="str">
        <x:v>Расхождений с каноническим источником не выявлено.</x:v>
      </x:c>
      <x:c r="V4889" s="87" t="str">
        <x:v>VERIFIED</x:v>
      </x:c>
      <x:c r="W4889" s="87"/>
      <x:c r="X4889" s="87" t="n">
        <x:v>5</x:v>
      </x:c>
      <x:c r="Y4889" s="87"/>
      <x:c r="Z4889" s="87"/>
      <x:c r="AA4889" s="87"/>
      <x:c r="AB4889" s="87" t="str">
        <x:v>[1, 2]</x:v>
      </x:c>
      <x:c r="AC4889" s="87" t="str">
        <x:v>VIS-MATH-MAY-PROF-TASK-P005</x:v>
      </x:c>
      <x:c r="AD4889" s="87" t="str">
        <x:v>VIS-MATH-MAY-PROF-CRIT-P001; VIS-MATH-MAY-PROF-CRIT-P002</x:v>
      </x:c>
      <x:c r="AE4889" s="87" t="str">
        <x:v>TASK; CRIT</x:v>
      </x:c>
      <x:c r="AF4889" s="87" t="str">
        <x:v>VIS-MATH-MAY-PROF-TASK-P005: 5; VIS-MATH-MAY-PROF-CRIT-P001: 1; VIS-MATH-MAY-PROF-CRIT-P002: 2</x:v>
      </x:c>
      <x:c r="AG4889" s="87" t="str">
        <x:v>RESOLVED</x:v>
      </x:c>
      <x:c r="AH4889" s="87" t="str">
        <x:v>CROP_VERIFIED</x:v>
      </x:c>
      <x:c r="AI4889" s="30" t="str">
        <x:v>{"Уровень": "Профильный"}</x:v>
      </x:c>
      <x:c r="AJ4889" s="87" t="str">
        <x:v>clean</x:v>
      </x:c>
      <x:c r="AK4889" s="87" t="str">
        <x:v>clean-v0.09</x:v>
      </x:c>
      <x:c r="AL4889" s="87" t="str">
        <x:v>statgrad_clean_continuation_v0_09(1).xlsx</x:v>
      </x:c>
      <x:c r="AM4889" s="87" t="str">
        <x:v>MATH_May_0309</x:v>
      </x:c>
      <x:c r="AN4889" s="87" t="n">
        <x:v>14</x:v>
      </x:c>
    </x:row>
    <x:row r="4890">
      <x:c r="A4890" s="87" t="n">
        <x:v>4889</x:v>
      </x:c>
      <x:c r="B4890" s="87" t="str">
        <x:v>MAY-MATH-09-014</x:v>
      </x:c>
      <x:c r="C4890" s="87" t="str">
        <x:v>СтатГрад</x:v>
      </x:c>
      <x:c r="D4890" s="87" t="str">
        <x:v>Май 2026</x:v>
      </x:c>
      <x:c r="E4890" s="87"/>
      <x:c r="F4890" s="87"/>
      <x:c r="G4890" s="87" t="str">
        <x:v>Математика</x:v>
      </x:c>
      <x:c r="H4890" s="87" t="n">
        <x:v>10</x:v>
      </x:c>
      <x:c r="I4890" s="87" t="str">
        <x:v>ТР №2</x:v>
      </x:c>
      <x:c r="J4890" s="87" t="str">
        <x:v>МА2500309</x:v>
      </x:c>
      <x:c r="K4890" s="87" t="n">
        <x:v>14</x:v>
      </x:c>
      <x:c r="L4890" s="87" t="str">
        <x:v>Стереометрия: доказательство и угол</x:v>
      </x:c>
      <x:c r="M4890" s="30" t="str">
        <x:v>На ребре AA1 прямоугольного параллелепипеда ABCDA1 B1C1 D1 взята точка E так, что A1 E : EA = 6:1 , а на ребре BB1 — точка F так, что B1 F : FB = 3:4 . Известно, что AB = 7 2 , AD = 12 , AA1 = 14 . а) Докажите, что плоскость EFD1 делит ребро B1C1 на два равных отрезка. б) Найдите угол между плоскостью EFD1 и плоскостью AA1 B1 .</x:v>
      </x:c>
      <x:c r="N4890" s="30" t="str">
        <x:v>а) утверждение доказано; б) arctg(√67/7)</x:v>
      </x:c>
      <x:c r="O4890" s="30" t="str">
        <x:v>Полное решение и критерии сохранены; итог сверён с официальным решением.</x:v>
      </x:c>
      <x:c r="P4890" s="30" t="str">
        <x:v>Условие сопоставлено с официальным развёрнутым решением; обязательные шаги и итоговый ответ согласованы.</x:v>
      </x:c>
      <x:c r="Q4890" s="30"/>
      <x:c r="R4890" s="30" t="str">
        <x:v>На ребре AA1 прямоугольного параллелепипеда ABCDA1 B1C1 D1 взята точка E так, что A1 E : EA = 6:1 , а на ребре BB1 — точка F так, что B1 F : FB = 3:4 . Известно, что AB = 7 2 , AD = 12 , AA1 = 14 . а) Докажите, что плоскость EFD1 делит ребро B1C1 на два равных отрезка. б) Найдите угол между плоскостью EFD1 и плоскостью AA1 B1 . Решение. а) Так как A1 E : EA = 6:1 и AA1 = 14 , B1 T C1 получаем, что A1 E = 12 и EA = 2 . Так как A1B1 F : FB = 3:4 и BB1 = 14 , получаем, что D1 B1 F = 6 и FB = 8 . Плоскость сечения пересекает параллельные плоскости DAA1 и CBB1 по параллельным прямым, F поэтому она пересекает ребро B1C1 K в такой точке T , что прямая FT Hпараллельна прямой ED1 . Значит, треугольники EA1 D1 и FBT1 подобны, а поскольку EA1 = A1 D1 = 12 , получаем, E B C что и FB1 = BT1 = 6 . Значит, TC1 = 6 A D и BT1 : TC1 = 1:1 . б) Опустим перпендикуляр 1A H из точки 1A на прямую EF пересечения плоскостей EFD1 и AA1 B1 . Угол A1 HD1 будет искомым. Найдём 1A H . Для этого проведём в трапеции EA1 B1 F высоту FK = 7 2 (из результатов пункта а следует, что K — середина EA1 ). Теперь, вычисляя двумя способами площадь треугольника EFA1 , получим A1 H ⋅ EF = A1 E ⋅ FK , то есть FK ⋅ A1 E 7 2 ⋅ 12 84A1 H = = = . Тогда тангенс искомого угла равен EF 2 2 67 6 + 7 2 ( ) 84 67 A1 D1 : A1 H = 12: = . 67 7 67</x:v>
      </x:c>
      <x:c r="S4890" s="30"/>
      <x:c r="T4890" s="30" t="str">
        <x:v>Kriterii_MA10-11_12052026.pdf</x:v>
      </x:c>
      <x:c r="U4890" s="30" t="str">
        <x:v>Расхождений с каноническим источником не выявлено.</x:v>
      </x:c>
      <x:c r="V4890" s="87" t="str">
        <x:v>VERIFIED</x:v>
      </x:c>
      <x:c r="W4890" s="87"/>
      <x:c r="X4890" s="87" t="n">
        <x:v>5</x:v>
      </x:c>
      <x:c r="Y4890" s="87"/>
      <x:c r="Z4890" s="87"/>
      <x:c r="AA4890" s="87"/>
      <x:c r="AB4890" s="87" t="str">
        <x:v>[2, 3]</x:v>
      </x:c>
      <x:c r="AC4890" s="87" t="str">
        <x:v>VIS-MATH-MAY-PROF-TASK-P005</x:v>
      </x:c>
      <x:c r="AD4890" s="87" t="str">
        <x:v>VIS-MATH-MAY-PROF-CRIT-P002; VIS-MATH-MAY-PROF-CRIT-P003</x:v>
      </x:c>
      <x:c r="AE4890" s="87" t="str">
        <x:v>TASK; CRIT</x:v>
      </x:c>
      <x:c r="AF4890" s="87" t="str">
        <x:v>VIS-MATH-MAY-PROF-TASK-P005: 5; VIS-MATH-MAY-PROF-CRIT-P002: 2; VIS-MATH-MAY-PROF-CRIT-P003: 3</x:v>
      </x:c>
      <x:c r="AG4890" s="87" t="str">
        <x:v>RESOLVED</x:v>
      </x:c>
      <x:c r="AH4890" s="87" t="str">
        <x:v>CROP_VERIFIED</x:v>
      </x:c>
      <x:c r="AI4890" s="30" t="str">
        <x:v>{"Уровень": "Профильный"}</x:v>
      </x:c>
      <x:c r="AJ4890" s="87" t="str">
        <x:v>clean</x:v>
      </x:c>
      <x:c r="AK4890" s="87" t="str">
        <x:v>clean-v0.09</x:v>
      </x:c>
      <x:c r="AL4890" s="87" t="str">
        <x:v>statgrad_clean_continuation_v0_09(1).xlsx</x:v>
      </x:c>
      <x:c r="AM4890" s="87" t="str">
        <x:v>MATH_May_0309</x:v>
      </x:c>
      <x:c r="AN4890" s="87" t="n">
        <x:v>15</x:v>
      </x:c>
    </x:row>
    <x:row r="4891">
      <x:c r="A4891" s="87" t="n">
        <x:v>4890</x:v>
      </x:c>
      <x:c r="B4891" s="87" t="str">
        <x:v>MAY-MATH-09-015</x:v>
      </x:c>
      <x:c r="C4891" s="87" t="str">
        <x:v>СтатГрад</x:v>
      </x:c>
      <x:c r="D4891" s="87" t="str">
        <x:v>Май 2026</x:v>
      </x:c>
      <x:c r="E4891" s="87"/>
      <x:c r="F4891" s="87"/>
      <x:c r="G4891" s="87" t="str">
        <x:v>Математика</x:v>
      </x:c>
      <x:c r="H4891" s="87" t="n">
        <x:v>10</x:v>
      </x:c>
      <x:c r="I4891" s="87" t="str">
        <x:v>ТР №2</x:v>
      </x:c>
      <x:c r="J4891" s="87" t="str">
        <x:v>МА2500309</x:v>
      </x:c>
      <x:c r="K4891" s="87" t="n">
        <x:v>15</x:v>
      </x:c>
      <x:c r="L4891" s="87" t="str">
        <x:v>Неравенство</x:v>
      </x:c>
      <x:c r="M4891" s="30" t="str">
        <x:v>1 1 − 1 − 1 Решите неравенство 81 x − 9 x − 6 ≥ 0.</x:v>
      </x:c>
      <x:c r="N4891" s="30" t="str">
        <x:v>(0; 2/3]</x:v>
      </x:c>
      <x:c r="O4891" s="30" t="str">
        <x:v>Полное решение и критерии сохранены; итог сверён с официальным решением.</x:v>
      </x:c>
      <x:c r="P4891" s="30" t="str">
        <x:v>Условие сопоставлено с официальным развёрнутым решением; обязательные шаги и итоговый ответ согласованы.</x:v>
      </x:c>
      <x:c r="Q4891" s="30"/>
      <x:c r="R4891" s="30" t="str">
        <x:v>1 1 − 1 − 1 Решите неравенство 81 x − 9 x − 6 ≥ 0. Решение. 1 Пусть t = 9 x , тогда неравенство примет вид 2 t − 9 t − 486 ≥ 0 ; ( t − 27 )( t + 18 ) ≥ 0 , Откуда находим t ≤− 18 ; t ≥ 27 . 1 При t ≤− 18 получим 9 x ≤− 18 , нет решений. 1 x 1 3 2При t ≥ 27 получим 9 ≥ 27 ; ≥ , откуда находим 0 &lt; x ≤ . x 2 3 2Решение исходного неравенства: 0 &lt; x ≤ . 3 2 </x:v>
      </x:c>
      <x:c r="S4891" s="30"/>
      <x:c r="T4891" s="30" t="str">
        <x:v>Kriterii_MA10-11_12052026.pdf</x:v>
      </x:c>
      <x:c r="U4891" s="30" t="str">
        <x:v>Расхождений с каноническим источником не выявлено.</x:v>
      </x:c>
      <x:c r="V4891" s="87" t="str">
        <x:v>VERIFIED</x:v>
      </x:c>
      <x:c r="W4891" s="87"/>
      <x:c r="X4891" s="87" t="n">
        <x:v>5</x:v>
      </x:c>
      <x:c r="Y4891" s="87"/>
      <x:c r="Z4891" s="87"/>
      <x:c r="AA4891" s="87"/>
      <x:c r="AB4891" s="87" t="str">
        <x:v>[3, 4]</x:v>
      </x:c>
      <x:c r="AC4891" s="87" t="str">
        <x:v>VIS-MATH-MAY-PROF-TASK-P005</x:v>
      </x:c>
      <x:c r="AD4891" s="87" t="str">
        <x:v>VIS-MATH-MAY-PROF-CRIT-P003; VIS-MATH-MAY-PROF-CRIT-P004</x:v>
      </x:c>
      <x:c r="AE4891" s="87" t="str">
        <x:v>TASK; CRIT</x:v>
      </x:c>
      <x:c r="AF4891" s="87" t="str">
        <x:v>VIS-MATH-MAY-PROF-TASK-P005: 5; VIS-MATH-MAY-PROF-CRIT-P003: 3; VIS-MATH-MAY-PROF-CRIT-P004: 4</x:v>
      </x:c>
      <x:c r="AG4891" s="87" t="str">
        <x:v>RESOLVED</x:v>
      </x:c>
      <x:c r="AH4891" s="87" t="str">
        <x:v>CROP_VERIFIED</x:v>
      </x:c>
      <x:c r="AI4891" s="30" t="str">
        <x:v>{"Уровень": "Профильный"}</x:v>
      </x:c>
      <x:c r="AJ4891" s="87" t="str">
        <x:v>clean</x:v>
      </x:c>
      <x:c r="AK4891" s="87" t="str">
        <x:v>clean-v0.09</x:v>
      </x:c>
      <x:c r="AL4891" s="87" t="str">
        <x:v>statgrad_clean_continuation_v0_09(1).xlsx</x:v>
      </x:c>
      <x:c r="AM4891" s="87" t="str">
        <x:v>MATH_May_0309</x:v>
      </x:c>
      <x:c r="AN4891" s="87" t="n">
        <x:v>16</x:v>
      </x:c>
    </x:row>
    <x:row r="4892">
      <x:c r="A4892" s="87" t="n">
        <x:v>4891</x:v>
      </x:c>
      <x:c r="B4892" s="87" t="str">
        <x:v>MAY-MATH-09-016</x:v>
      </x:c>
      <x:c r="C4892" s="87" t="str">
        <x:v>СтатГрад</x:v>
      </x:c>
      <x:c r="D4892" s="87" t="str">
        <x:v>Май 2026</x:v>
      </x:c>
      <x:c r="E4892" s="87"/>
      <x:c r="F4892" s="87"/>
      <x:c r="G4892" s="87" t="str">
        <x:v>Математика</x:v>
      </x:c>
      <x:c r="H4892" s="87" t="n">
        <x:v>10</x:v>
      </x:c>
      <x:c r="I4892" s="87" t="str">
        <x:v>ТР №2</x:v>
      </x:c>
      <x:c r="J4892" s="87" t="str">
        <x:v>МА2500309</x:v>
      </x:c>
      <x:c r="K4892" s="87" t="n">
        <x:v>16</x:v>
      </x:c>
      <x:c r="L4892" s="87" t="str">
        <x:v>Финансовая математика</x:v>
      </x:c>
      <x:c r="M4892" s="30" t="str">
        <x:v>15 декабря планируется взять кредит в банке на сумму 800 тысяч рублей на 11 месяцев. Условия его возврата таковы: — 1-го числа каждого месяца долг возрастает на r % по сравнению с концом предыдущего месяца; — со 2-го по 14-е число каждого месяца необходимо выплатить часть долга; — 15-го числа каждого месяца с 1-го по 10-й долг должен быть на одну и ту же сумму меньше долга на 15-е число предыдущего месяца; — 15-го числа 10-го месяца долг составит 300 тысяч рублей; — к 15-му числу 11-го месяца кредит должен быть полностью погашен. Найдите r , если известно, что общая сумма выплат после полного погашения кредита составит 1,042 млн рублей.</x:v>
      </x:c>
      <x:c r="N4892" s="30" t="str">
        <x:v>4</x:v>
      </x:c>
      <x:c r="O4892" s="30" t="str">
        <x:v>Полное решение и критерии сохранены; итог сверён с официальным решением.</x:v>
      </x:c>
      <x:c r="P4892" s="30" t="str">
        <x:v>Условие сопоставлено с официальным развёрнутым решением; обязательные шаги и итоговый ответ согласованы.</x:v>
      </x:c>
      <x:c r="Q4892" s="30"/>
      <x:c r="R4892" s="30" t="str">
        <x:v>15 декабря планируется взять кредит в банке на сумму 800 тысяч рублей на 11 месяцев. Условия его возврата таковы: — 1-го числа каждого месяца долг возрастает на r % по сравнению с концом предыдущего месяца; — со 2-го по 14-е число каждого месяца необходимо выплатить часть долга; — 15-го числа каждого месяца с 1-го по 10-й долг должен быть на одну и ту же сумму меньше долга на 15-е число предыдущего месяца; — 15-го числа 10-го месяца долг составит 300 тысяч рублей; — к 15-му числу 11-го месяца кредит должен быть полностью погашен. Найдите r , если известно, что общая сумма выплат после полного погашения кредита составит 1,042 млн рублей. Решение. По условию долг перед банком (в тыс. рублей) по состоянию на 15-е число должен уменьшаться до нуля следующим образом: 800; 750; 700; …; 350; 300; 0. rПервого числа каждого месяца долг возрастает на r %. Пусть k = 1 + , 100 тогда последовательность размеров долга (в тыс. рублей) по состоянию на 1-е число такова: 800k ; 750k ; …; 350k ; 300k . Таким образом, выплаты (в тыс. рублей) должны быть следующими: 800 ( k − 1 ) + 50 ; 750 ( k − 1 ) + 50 ; …; 350 ( k − 1 ) + 50 ; 300k . Всего следует выплатить 10 ⋅ 1150 ( k − 1 ) ⋅ + 500 + 300 k = 6050 k − 5250 (тыс. рублей), 2 и мы получаем уравнение 6050 k − 5250 = 1042 ; 6050 k = 6292 ; k = 1,04 ; r = 4 .</x:v>
      </x:c>
      <x:c r="S4892" s="30"/>
      <x:c r="T4892" s="30" t="str">
        <x:v>Kriterii_MA10-11_12052026.pdf</x:v>
      </x:c>
      <x:c r="U4892" s="30" t="str">
        <x:v>Расхождений с каноническим источником не выявлено.</x:v>
      </x:c>
      <x:c r="V4892" s="87" t="str">
        <x:v>VERIFIED</x:v>
      </x:c>
      <x:c r="W4892" s="87"/>
      <x:c r="X4892" s="87" t="n">
        <x:v>5</x:v>
      </x:c>
      <x:c r="Y4892" s="87"/>
      <x:c r="Z4892" s="87"/>
      <x:c r="AA4892" s="87"/>
      <x:c r="AB4892" s="87" t="str">
        <x:v>[4, 5]</x:v>
      </x:c>
      <x:c r="AC4892" s="87" t="str">
        <x:v>VIS-MATH-MAY-PROF-TASK-P005</x:v>
      </x:c>
      <x:c r="AD4892" s="87" t="str">
        <x:v>VIS-MATH-MAY-PROF-CRIT-P004; VIS-MATH-MAY-PROF-CRIT-P005</x:v>
      </x:c>
      <x:c r="AE4892" s="87" t="str">
        <x:v>TASK; CRIT</x:v>
      </x:c>
      <x:c r="AF4892" s="87" t="str">
        <x:v>VIS-MATH-MAY-PROF-TASK-P005: 5; VIS-MATH-MAY-PROF-CRIT-P004: 4; VIS-MATH-MAY-PROF-CRIT-P005: 5</x:v>
      </x:c>
      <x:c r="AG4892" s="87" t="str">
        <x:v>RESOLVED</x:v>
      </x:c>
      <x:c r="AH4892" s="87" t="str">
        <x:v>CROP_VERIFIED</x:v>
      </x:c>
      <x:c r="AI4892" s="30" t="str">
        <x:v>{"Уровень": "Профильный"}</x:v>
      </x:c>
      <x:c r="AJ4892" s="87" t="str">
        <x:v>clean</x:v>
      </x:c>
      <x:c r="AK4892" s="87" t="str">
        <x:v>clean-v0.09</x:v>
      </x:c>
      <x:c r="AL4892" s="87" t="str">
        <x:v>statgrad_clean_continuation_v0_09(1).xlsx</x:v>
      </x:c>
      <x:c r="AM4892" s="87" t="str">
        <x:v>MATH_May_0309</x:v>
      </x:c>
      <x:c r="AN4892" s="87" t="n">
        <x:v>17</x:v>
      </x:c>
    </x:row>
    <x:row r="4893">
      <x:c r="A4893" s="87" t="n">
        <x:v>4892</x:v>
      </x:c>
      <x:c r="B4893" s="87" t="str">
        <x:v>MAY-MATH-09-017</x:v>
      </x:c>
      <x:c r="C4893" s="87" t="str">
        <x:v>СтатГрад</x:v>
      </x:c>
      <x:c r="D4893" s="87" t="str">
        <x:v>Май 2026</x:v>
      </x:c>
      <x:c r="E4893" s="87"/>
      <x:c r="F4893" s="87"/>
      <x:c r="G4893" s="87" t="str">
        <x:v>Математика</x:v>
      </x:c>
      <x:c r="H4893" s="87" t="n">
        <x:v>10</x:v>
      </x:c>
      <x:c r="I4893" s="87" t="str">
        <x:v>ТР №2</x:v>
      </x:c>
      <x:c r="J4893" s="87" t="str">
        <x:v>МА2500309</x:v>
      </x:c>
      <x:c r="K4893" s="87" t="n">
        <x:v>17</x:v>
      </x:c>
      <x:c r="L4893" s="87" t="str">
        <x:v>Планиметрия</x:v>
      </x:c>
      <x:c r="M4893" s="30" t="str">
        <x:v>Дан равнобедренный треугольник ABC . Окружность с центром O на основании BC касается боковых сторон AB и AC . Касательная к этой окружности пересекает стороны AB и AC в точках M и N соответственно. а) Докажите, что отрезки OM и ON разбивают четырёхугольник BMNC на три подобных треугольника. б) Найдите длину отрезка AM , если треугольник ABC равносторонний, АВ  12 и AN : NC  1:2 .</x:v>
      </x:c>
      <x:c r="N4893" s="30" t="str">
        <x:v>7,5</x:v>
      </x:c>
      <x:c r="O4893" s="30" t="str">
        <x:v>Полное решение и критерии сохранены; итог сверён с официальным решением.</x:v>
      </x:c>
      <x:c r="P4893" s="30" t="str">
        <x:v>Условие сопоставлено с официальным развёрнутым решением; обязательные шаги и итоговый ответ согласованы.</x:v>
      </x:c>
      <x:c r="Q4893" s="30"/>
      <x:c r="R4893" s="30" t="str">
        <x:v>Дан равнобедренный треугольник ABC . Окружность с центром O на основании BC касается боковых сторон AB и AC . Касательная к этой окружности пересекает стороны AB и AC в точках M и N соответственно. а) Докажите, что отрезки OM и ON разбивают четырёхугольник BMNC на три подобных треугольника. б) Найдите длину отрезка AM , если треугольник ABC равносторонний, АВ = 12 и AN : NC = 1:2 . Решение. а) Стороны BM , MN и NC четырёхугольника BMNC являются касательными к окружности, значит, MO является биссектрисой угла BMN , 1а NO — биссектрисой угла MNC . Тогда ∠OMN = ∠BMN 2 1и ∠MNO = ∠MNC . 2 Сумма углов четырёхугольника BMNC равна 360°, углы ABC и ACB равны, как углы при основании равнобедренного треугольника, следовательно, ∠BMN + ∠MNC = 360 ° −∠2 ABC , ∠OMN + ∠MNO = 180° −∠ABC . С другой стороны, в треугольнике MON имеем ∠OMN + ∠MNO = 180° −∠MON , следовательно, углы MON и MBO равны. Также равны углы OMN и BMO . Значит, треугольники MON и MBO подобны. Аналогично из равенства углов MNO и ONC , а также углов MON и OCN следует подобие треугольников MON и OCN . Получаем, что треугольники MON , MBO и OCN подобны между собой. б) Треугольник ABC равносторонний, значит, AC = BC = AB = 12 . 2Поскольку AN : NC = 1:2 , получаем, что NC = AC = 8 . Точка O — 3 середина BC , значит, BO = OC = 6 . Из подобия треугольников MBO и OCN следует, что MB BO OC ⋅ BO 6 ⋅ 6 9 = , MB = = = . OC CN CN 8 2 Тогда AM = AB − MB = 12 − 4,5 = 7,5 .</x:v>
      </x:c>
      <x:c r="S4893" s="30"/>
      <x:c r="T4893" s="30" t="str">
        <x:v>Kriterii_MA10-11_12052026.pdf</x:v>
      </x:c>
      <x:c r="U4893" s="30" t="str">
        <x:v>Расхождений с каноническим источником не выявлено.</x:v>
      </x:c>
      <x:c r="V4893" s="87" t="str">
        <x:v>VERIFIED</x:v>
      </x:c>
      <x:c r="W4893" s="87"/>
      <x:c r="X4893" s="87" t="n">
        <x:v>6</x:v>
      </x:c>
      <x:c r="Y4893" s="87"/>
      <x:c r="Z4893" s="87"/>
      <x:c r="AA4893" s="87"/>
      <x:c r="AB4893" s="87" t="str">
        <x:v>[5, 6]</x:v>
      </x:c>
      <x:c r="AC4893" s="87" t="str">
        <x:v>VIS-MATH-MAY-PROF-TASK-P006</x:v>
      </x:c>
      <x:c r="AD4893" s="87" t="str">
        <x:v>VIS-MATH-MAY-PROF-CRIT-P005; VIS-MATH-MAY-PROF-CRIT-P006</x:v>
      </x:c>
      <x:c r="AE4893" s="87" t="str">
        <x:v>TASK; CRIT</x:v>
      </x:c>
      <x:c r="AF4893" s="87" t="str">
        <x:v>VIS-MATH-MAY-PROF-TASK-P006: 6; VIS-MATH-MAY-PROF-CRIT-P005: 5; VIS-MATH-MAY-PROF-CRIT-P006: 6</x:v>
      </x:c>
      <x:c r="AG4893" s="87" t="str">
        <x:v>RESOLVED</x:v>
      </x:c>
      <x:c r="AH4893" s="87" t="str">
        <x:v>CROP_VERIFIED</x:v>
      </x:c>
      <x:c r="AI4893" s="30" t="str">
        <x:v>{"Уровень": "Профильный"}</x:v>
      </x:c>
      <x:c r="AJ4893" s="87" t="str">
        <x:v>clean</x:v>
      </x:c>
      <x:c r="AK4893" s="87" t="str">
        <x:v>clean-v0.09</x:v>
      </x:c>
      <x:c r="AL4893" s="87" t="str">
        <x:v>statgrad_clean_continuation_v0_09(1).xlsx</x:v>
      </x:c>
      <x:c r="AM4893" s="87" t="str">
        <x:v>MATH_May_0309</x:v>
      </x:c>
      <x:c r="AN4893" s="87" t="n">
        <x:v>18</x:v>
      </x:c>
    </x:row>
    <x:row r="4894">
      <x:c r="A4894" s="87" t="n">
        <x:v>4893</x:v>
      </x:c>
      <x:c r="B4894" s="87" t="str">
        <x:v>MAY-MATH-09-018</x:v>
      </x:c>
      <x:c r="C4894" s="87" t="str">
        <x:v>СтатГрад</x:v>
      </x:c>
      <x:c r="D4894" s="87" t="str">
        <x:v>Май 2026</x:v>
      </x:c>
      <x:c r="E4894" s="87"/>
      <x:c r="F4894" s="87"/>
      <x:c r="G4894" s="87" t="str">
        <x:v>Математика</x:v>
      </x:c>
      <x:c r="H4894" s="87" t="n">
        <x:v>10</x:v>
      </x:c>
      <x:c r="I4894" s="87" t="str">
        <x:v>ТР №2</x:v>
      </x:c>
      <x:c r="J4894" s="87" t="str">
        <x:v>МА2500309</x:v>
      </x:c>
      <x:c r="K4894" s="87" t="n">
        <x:v>18</x:v>
      </x:c>
      <x:c r="L4894" s="87" t="str">
        <x:v>Параметр</x:v>
      </x:c>
      <x:c r="M4894" s="30" t="str">
        <x:v>Найдите все значения ,a при каждом из которых система уравнений  x 2  4 x  y  2  x  y  2  0,     y  2 x  a имеет ровно два различных решения.</x:v>
      </x:c>
      <x:c r="N4894" s="30" t="str">
        <x:v>a=-7 или -3≤a&lt;2</x:v>
      </x:c>
      <x:c r="O4894" s="30" t="str">
        <x:v>Полное решение и критерии сохранены; итог сверён с официальным решением.</x:v>
      </x:c>
      <x:c r="P4894" s="30" t="str">
        <x:v>Условие сопоставлено с официальным развёрнутым решением; обязательные шаги и итоговый ответ согласованы.</x:v>
      </x:c>
      <x:c r="Q4894" s="30"/>
      <x:c r="R4894" s="30" t="str">
        <x:v>Найдите все значения ,a при каждом из которых система уравнений  x 2 − 4 x − y + 2 ⋅ x − y + 2 = 0, ( )   y = 2 x + a имеет ровно два различных решения. Решение. 2Каждое решение уравнения x − 4 x − y + 2 ⋅ x − y + 2 = 0 либо является ( ) решением уравнения x − y + 2 = 0 , или, что равносильно, y = x + 2 , либо является решением системы − 4 x + 2,  y = x 2 − 4 x + 2,  x 2 − 4 x − y + 2 = 0,  y = x 2 − 4 x + 2,  y = x 2  2 2 − 5 x ≤ 0, − 4 x + 2 ≤ x + 2;− x y + 2 ≥ 0;  y ≤ x + 2;  x  x 2То есть y = x − 4 x + 2 при условии 0 ≤ x ≤ 5 . Для каждого из этих случаев подставим y = 2 x + a и найдём количество корней получившегося уравнения в зависимости от a . Первый случай: 2 x + a = x + 2 , следовательно, x = 2 − a . 2Второй случай: 2 x + a = x − 4 x + 2 при условии 0 ≤ x ≤ 5 . Получаем 2квадратное уравнение x − 6 x − a + 2 = 0 . Дискриминант этого уравнения 2равен 36 + 4 ( a − 2 ) = 4 ( a + 7 ) . Значит, уравнение x − 6 x − a + 2 = 0 имеет два С Г корня при a &gt; − 7 , имеет единственный корень x = 3 при a = − 7 и не имеет корней при a &lt; − 7 . При a &gt; − 7 функция f ( x ) = x 2 − 6 x − a + 2 принимает наименьшее значение при x = 3 , и это значение отрицательно. Следовательно, больший корень уравнения f ( x ) = 0 удовлетворяет условию 0 ≤ x ≤ 5 тогда и только тогда, когда f ( 5 ) ≥;0 − a −≥3 0 , то есть a ≤−.3 Аналогично меньший корень уравнения f ( x ) = 0 удовлетворяет условию 0 ≤ x ≤ 5 тогда и только тогда, когда f ( 0 ) ≥ 0 ; − a + 2 ≥ 0 , то есть a ≤ 2 . Число 2 − a является корнем квадратного уравнения f ( x ) = 0 2при ( 2 − a ) − 6 ( 2 − a ) − a + 2 = 0 , или, что расносильно, ( a − 2 ) 2 + 5 ( a − 2 ) = 0 ; ( a − 2 )( a + 3 ) = 0 , то есть при a = 2 и при a = −.3 Таким образом, исходная система уравнений имеет ровно два различных решения при a = − 7 ; −≤3 a &lt; 2 .</x:v>
      </x:c>
      <x:c r="S4894" s="30"/>
      <x:c r="T4894" s="30" t="str">
        <x:v>Kriterii_MA10-11_12052026.pdf</x:v>
      </x:c>
      <x:c r="U4894" s="30" t="str">
        <x:v>Расхождений с каноническим источником не выявлено.</x:v>
      </x:c>
      <x:c r="V4894" s="87" t="str">
        <x:v>VERIFIED</x:v>
      </x:c>
      <x:c r="W4894" s="87"/>
      <x:c r="X4894" s="87" t="n">
        <x:v>6</x:v>
      </x:c>
      <x:c r="Y4894" s="87"/>
      <x:c r="Z4894" s="87"/>
      <x:c r="AA4894" s="87"/>
      <x:c r="AB4894" s="87" t="str">
        <x:v>[6, 7]</x:v>
      </x:c>
      <x:c r="AC4894" s="87" t="str">
        <x:v>VIS-MATH-MAY-PROF-TASK-P006</x:v>
      </x:c>
      <x:c r="AD4894" s="87" t="str">
        <x:v>VIS-MATH-MAY-PROF-CRIT-P006; VIS-MATH-MAY-PROF-CRIT-P007</x:v>
      </x:c>
      <x:c r="AE4894" s="87" t="str">
        <x:v>TASK; CRIT</x:v>
      </x:c>
      <x:c r="AF4894" s="87" t="str">
        <x:v>VIS-MATH-MAY-PROF-TASK-P006: 6; VIS-MATH-MAY-PROF-CRIT-P006: 6; VIS-MATH-MAY-PROF-CRIT-P007: 7</x:v>
      </x:c>
      <x:c r="AG4894" s="87" t="str">
        <x:v>RESOLVED</x:v>
      </x:c>
      <x:c r="AH4894" s="87" t="str">
        <x:v>CROP_VERIFIED</x:v>
      </x:c>
      <x:c r="AI4894" s="30" t="str">
        <x:v>{"Уровень": "Профильный"}</x:v>
      </x:c>
      <x:c r="AJ4894" s="87" t="str">
        <x:v>clean</x:v>
      </x:c>
      <x:c r="AK4894" s="87" t="str">
        <x:v>clean-v0.09</x:v>
      </x:c>
      <x:c r="AL4894" s="87" t="str">
        <x:v>statgrad_clean_continuation_v0_09(1).xlsx</x:v>
      </x:c>
      <x:c r="AM4894" s="87" t="str">
        <x:v>MATH_May_0309</x:v>
      </x:c>
      <x:c r="AN4894" s="87" t="n">
        <x:v>19</x:v>
      </x:c>
    </x:row>
    <x:row r="4895">
      <x:c r="A4895" s="87" t="n">
        <x:v>4894</x:v>
      </x:c>
      <x:c r="B4895" s="87" t="str">
        <x:v>MAY-MATH-09-019</x:v>
      </x:c>
      <x:c r="C4895" s="87" t="str">
        <x:v>СтатГрад</x:v>
      </x:c>
      <x:c r="D4895" s="87" t="str">
        <x:v>Май 2026</x:v>
      </x:c>
      <x:c r="E4895" s="87"/>
      <x:c r="F4895" s="87"/>
      <x:c r="G4895" s="87" t="str">
        <x:v>Математика</x:v>
      </x:c>
      <x:c r="H4895" s="87" t="n">
        <x:v>10</x:v>
      </x:c>
      <x:c r="I4895" s="87" t="str">
        <x:v>ТР №2</x:v>
      </x:c>
      <x:c r="J4895" s="87" t="str">
        <x:v>МА2500309</x:v>
      </x:c>
      <x:c r="K4895" s="87" t="n">
        <x:v>19</x:v>
      </x:c>
      <x:c r="L4895" s="87" t="str">
        <x:v>Комбинаторика/теория чисел</x:v>
      </x:c>
      <x:c r="M4895" s="30" t="str">
        <x:v>Есть 14 монет по 2 рубля и 27 монет по 5 рублей. а) Можно ли этими монетами набрать сумму 161 рубль? б) Можно ли этими монетами набрать сумму 162 рубля? в) Какое наименьшее количество монет, каждая по 1 рублю, нужно добавить, чтобы иметь возможность набрать любую целую сумму от 1 рубля до 167 рублей включительно?</x:v>
      </x:c>
      <x:c r="N4895" s="30" t="str">
        <x:v>а) да; б) нет; в) 4</x:v>
      </x:c>
      <x:c r="O4895" s="30" t="str">
        <x:v>Полное решение и критерии сохранены; итог сверён с официальным решением.</x:v>
      </x:c>
      <x:c r="P4895" s="30" t="str">
        <x:v>Условие сопоставлено с официальным развёрнутым решением; обязательные шаги и итоговый ответ согласованы.</x:v>
      </x:c>
      <x:c r="Q4895" s="30"/>
      <x:c r="R4895" s="30" t="str">
        <x:v>Есть 14 монет по 2 рубля и 27 монет по 5 рублей. а) Можно ли этими монетами набрать сумму 161 рубль? б) Можно ли этими монетами набрать сумму 162 рубля? в) Какое наименьшее количество монет, каждая по 1 рублю, нужно добавить, чтобы иметь возможность набрать любую целую сумму от 1 рубля до 167 рублей включительно? С Г Решение. а) Если взять 27 монет по 5 рублей и 13 монет по 2 рубля, то получится набрать сумму 161 рубль. б) Чтобы набрать сумму 162 рубля, нужно чётное количество монет по 5 рублей. Значит, этих монет не больше 26, а сумма их номиналов не превосходит 130 рублей. Таким образом, при помощи монет по 2 рубля нужно набрать не меньше 32 рублей, что невозможно, поскольку при помощи монет по 2 рубля можно набрать не больше 28 рублей. в) Заметим, что любая сумма, которую можно набрать при помощи имеющихся монет, не превосходит 163 рублей. Следовательно, чтобы набрать 167 рублей, нужно добавить ещё не меньше четырёх монет по 1 рублю. Покажем, что если к имеющимся монетам добавить четыре монеты по 1 рублю, то можно набрать любую сумму до 167 рублей включительно. Для любой требуемой суммы S возьмём наибольшее количество монет по 5 рублей так, чтобы сумма их номиналов не превосходила S . Тогда останется взять ещё некоторое количество монет на сумму S 1 , не превосходящую 32 рублей. Теперь возьмём наибольшее количество монет по 2 рубля так, чтобы сумма их номиналов не превосходила S 1 . Тогда останется взять ещё некоторое количество монет на сумму от 0 до 4 рублей. Это можно сделать при помощи монет по 1 рублю.</x:v>
      </x:c>
      <x:c r="S4895" s="30"/>
      <x:c r="T4895" s="30" t="str">
        <x:v>Kriterii_MA10-11_12052026.pdf</x:v>
      </x:c>
      <x:c r="U4895" s="30" t="str">
        <x:v>Расхождений с каноническим источником не выявлено.</x:v>
      </x:c>
      <x:c r="V4895" s="87" t="str">
        <x:v>VERIFIED</x:v>
      </x:c>
      <x:c r="W4895" s="87"/>
      <x:c r="X4895" s="87" t="n">
        <x:v>6</x:v>
      </x:c>
      <x:c r="Y4895" s="87"/>
      <x:c r="Z4895" s="87"/>
      <x:c r="AA4895" s="87"/>
      <x:c r="AB4895" s="87" t="str">
        <x:v>[7, 8]</x:v>
      </x:c>
      <x:c r="AC4895" s="87" t="str">
        <x:v>VIS-MATH-MAY-PROF-TASK-P006</x:v>
      </x:c>
      <x:c r="AD4895" s="87" t="str">
        <x:v>VIS-MATH-MAY-PROF-CRIT-P007; VIS-MATH-MAY-PROF-CRIT-P008</x:v>
      </x:c>
      <x:c r="AE4895" s="87" t="str">
        <x:v>TASK; CRIT</x:v>
      </x:c>
      <x:c r="AF4895" s="87" t="str">
        <x:v>VIS-MATH-MAY-PROF-TASK-P006: 6; VIS-MATH-MAY-PROF-CRIT-P007: 7; VIS-MATH-MAY-PROF-CRIT-P008: 8</x:v>
      </x:c>
      <x:c r="AG4895" s="87" t="str">
        <x:v>RESOLVED</x:v>
      </x:c>
      <x:c r="AH4895" s="87" t="str">
        <x:v>CROP_VERIFIED</x:v>
      </x:c>
      <x:c r="AI4895" s="30" t="str">
        <x:v>{"Уровень": "Профильный"}</x:v>
      </x:c>
      <x:c r="AJ4895" s="87" t="str">
        <x:v>clean</x:v>
      </x:c>
      <x:c r="AK4895" s="87" t="str">
        <x:v>clean-v0.09</x:v>
      </x:c>
      <x:c r="AL4895" s="87" t="str">
        <x:v>statgrad_clean_continuation_v0_09(1).xlsx</x:v>
      </x:c>
      <x:c r="AM4895" s="87" t="str">
        <x:v>MATH_May_0309</x:v>
      </x:c>
      <x:c r="AN4895" s="87" t="n">
        <x:v>20</x:v>
      </x:c>
    </x:row>
    <x:row r="4896">
      <x:c r="A4896" s="87" t="n">
        <x:v>4895</x:v>
      </x:c>
      <x:c r="B4896" s="87" t="str">
        <x:v>MAY-MATH-10-001</x:v>
      </x:c>
      <x:c r="C4896" s="87" t="str">
        <x:v>СтатГрад</x:v>
      </x:c>
      <x:c r="D4896" s="87" t="str">
        <x:v>Май 2026</x:v>
      </x:c>
      <x:c r="E4896" s="87"/>
      <x:c r="F4896" s="87"/>
      <x:c r="G4896" s="87" t="str">
        <x:v>Математика</x:v>
      </x:c>
      <x:c r="H4896" s="87" t="n">
        <x:v>10</x:v>
      </x:c>
      <x:c r="I4896" s="87" t="str">
        <x:v>ТР №2</x:v>
      </x:c>
      <x:c r="J4896" s="87" t="str">
        <x:v>МА2500310</x:v>
      </x:c>
      <x:c r="K4896" s="87" t="n">
        <x:v>1</x:v>
      </x:c>
      <x:c r="L4896" s="87" t="str">
        <x:v>Планиметрия</x:v>
      </x:c>
      <x:c r="M4896" s="30" t="str">
        <x:v>В треугольнике ABC угол A равен 48°, угол B тупой, CH — высота, угол BCH равен 20°. Найдите угол ACB . Ответ дайте в градусах.</x:v>
      </x:c>
      <x:c r="N4896" s="30" t="str">
        <x:v>22</x:v>
      </x:c>
      <x:c r="O4896" s="30" t="str">
        <x:v>Краткий ответ перенесён из официальной таблицы; тип задания и числовой результат проверены по условию.</x:v>
      </x:c>
      <x:c r="P4896" s="30" t="str">
        <x:v>Наличие задания, диапазон допустимого ответа и соответствие официальному ключу проверены; явных противоречий не обнаружено.</x:v>
      </x:c>
      <x:c r="Q4896" s="30"/>
      <x:c r="R4896" s="30" t="str">
        <x:v>22</x:v>
      </x:c>
      <x:c r="S4896" s="30"/>
      <x:c r="T4896" s="30" t="str">
        <x:v>Профиль.jpg</x:v>
      </x:c>
      <x:c r="U4896" s="30" t="str">
        <x:v>Расхождений с каноническим источником не выявлено.</x:v>
      </x:c>
      <x:c r="V4896" s="87" t="str">
        <x:v>VERIFIED</x:v>
      </x:c>
      <x:c r="W4896" s="87"/>
      <x:c r="X4896" s="87" t="n">
        <x:v>8</x:v>
      </x:c>
      <x:c r="Y4896" s="87"/>
      <x:c r="Z4896" s="87"/>
      <x:c r="AA4896" s="87"/>
      <x:c r="AB4896" s="87" t="str">
        <x:v>таблица</x:v>
      </x:c>
      <x:c r="AC4896" s="87" t="str">
        <x:v>VIS-MATH-MAY-PROF-TASK-P008</x:v>
      </x:c>
      <x:c r="AD4896" s="87" t="str">
        <x:v>VIS-MATH-MAY-KEY-PROFILE</x:v>
      </x:c>
      <x:c r="AE4896" s="87" t="str">
        <x:v>TASK; KEY</x:v>
      </x:c>
      <x:c r="AF4896" s="87" t="str">
        <x:v>VIS-MATH-MAY-PROF-TASK-P008: 8; VIS-MATH-MAY-KEY-PROFILE: original</x:v>
      </x:c>
      <x:c r="AG4896" s="87" t="str">
        <x:v>RESOLVED</x:v>
      </x:c>
      <x:c r="AH4896" s="87" t="str">
        <x:v>CROP_VERIFIED; ORIGINAL_IMAGE_NO_CROP</x:v>
      </x:c>
      <x:c r="AI4896" s="30" t="str">
        <x:v>{"Уровень": "Профильный"}</x:v>
      </x:c>
      <x:c r="AJ4896" s="87" t="str">
        <x:v>clean</x:v>
      </x:c>
      <x:c r="AK4896" s="87" t="str">
        <x:v>clean-v0.09</x:v>
      </x:c>
      <x:c r="AL4896" s="87" t="str">
        <x:v>statgrad_clean_continuation_v0_09(1).xlsx</x:v>
      </x:c>
      <x:c r="AM4896" s="87" t="str">
        <x:v>MATH_May_0310</x:v>
      </x:c>
      <x:c r="AN4896" s="87" t="n">
        <x:v>2</x:v>
      </x:c>
    </x:row>
    <x:row r="4897">
      <x:c r="A4897" s="87" t="n">
        <x:v>4896</x:v>
      </x:c>
      <x:c r="B4897" s="87" t="str">
        <x:v>MAY-MATH-10-002</x:v>
      </x:c>
      <x:c r="C4897" s="87" t="str">
        <x:v>СтатГрад</x:v>
      </x:c>
      <x:c r="D4897" s="87" t="str">
        <x:v>Май 2026</x:v>
      </x:c>
      <x:c r="E4897" s="87"/>
      <x:c r="F4897" s="87"/>
      <x:c r="G4897" s="87" t="str">
        <x:v>Математика</x:v>
      </x:c>
      <x:c r="H4897" s="87" t="n">
        <x:v>10</x:v>
      </x:c>
      <x:c r="I4897" s="87" t="str">
        <x:v>ТР №2</x:v>
      </x:c>
      <x:c r="J4897" s="87" t="str">
        <x:v>МА2500310</x:v>
      </x:c>
      <x:c r="K4897" s="87" t="n">
        <x:v>2</x:v>
      </x:c>
      <x:c r="L4897" s="87" t="str">
        <x:v>Задание с кратким ответом</x:v>
      </x:c>
      <x:c r="M4897" s="30" t="str">
        <x:v>  Даны векторы a ( − 19; 6 ) , b ( 13; − 2 ) и c ( − 2; − 6 ) . Найдите скалярное  произведение a + b ⋅ c. ) (</x:v>
      </x:c>
      <x:c r="N4897" s="30" t="str">
        <x:v>-12</x:v>
      </x:c>
      <x:c r="O4897" s="30" t="str">
        <x:v>Краткий ответ перенесён из официальной таблицы; тип задания и числовой результат проверены по условию.</x:v>
      </x:c>
      <x:c r="P4897" s="30" t="str">
        <x:v>Наличие задания, диапазон допустимого ответа и соответствие официальному ключу проверены; явных противоречий не обнаружено.</x:v>
      </x:c>
      <x:c r="Q4897" s="30"/>
      <x:c r="R4897" s="30" t="str">
        <x:v>-12</x:v>
      </x:c>
      <x:c r="S4897" s="30"/>
      <x:c r="T4897" s="30" t="str">
        <x:v>Профиль.jpg</x:v>
      </x:c>
      <x:c r="U4897" s="30" t="str">
        <x:v>Расхождений с каноническим источником не выявлено.</x:v>
      </x:c>
      <x:c r="V4897" s="87" t="str">
        <x:v>VERIFIED</x:v>
      </x:c>
      <x:c r="W4897" s="87"/>
      <x:c r="X4897" s="87" t="n">
        <x:v>8</x:v>
      </x:c>
      <x:c r="Y4897" s="87"/>
      <x:c r="Z4897" s="87"/>
      <x:c r="AA4897" s="87"/>
      <x:c r="AB4897" s="87" t="str">
        <x:v>таблица</x:v>
      </x:c>
      <x:c r="AC4897" s="87" t="str">
        <x:v>VIS-MATH-MAY-PROF-TASK-P008</x:v>
      </x:c>
      <x:c r="AD4897" s="87" t="str">
        <x:v>VIS-MATH-MAY-KEY-PROFILE</x:v>
      </x:c>
      <x:c r="AE4897" s="87" t="str">
        <x:v>TASK; KEY</x:v>
      </x:c>
      <x:c r="AF4897" s="87" t="str">
        <x:v>VIS-MATH-MAY-PROF-TASK-P008: 8; VIS-MATH-MAY-KEY-PROFILE: original</x:v>
      </x:c>
      <x:c r="AG4897" s="87" t="str">
        <x:v>RESOLVED</x:v>
      </x:c>
      <x:c r="AH4897" s="87" t="str">
        <x:v>CROP_VERIFIED; ORIGINAL_IMAGE_NO_CROP</x:v>
      </x:c>
      <x:c r="AI4897" s="30" t="str">
        <x:v>{"Уровень": "Профильный"}</x:v>
      </x:c>
      <x:c r="AJ4897" s="87" t="str">
        <x:v>clean</x:v>
      </x:c>
      <x:c r="AK4897" s="87" t="str">
        <x:v>clean-v0.09</x:v>
      </x:c>
      <x:c r="AL4897" s="87" t="str">
        <x:v>statgrad_clean_continuation_v0_09(1).xlsx</x:v>
      </x:c>
      <x:c r="AM4897" s="87" t="str">
        <x:v>MATH_May_0310</x:v>
      </x:c>
      <x:c r="AN4897" s="87" t="n">
        <x:v>3</x:v>
      </x:c>
    </x:row>
    <x:row r="4898">
      <x:c r="A4898" s="87" t="n">
        <x:v>4897</x:v>
      </x:c>
      <x:c r="B4898" s="87" t="str">
        <x:v>MAY-MATH-10-003</x:v>
      </x:c>
      <x:c r="C4898" s="87" t="str">
        <x:v>СтатГрад</x:v>
      </x:c>
      <x:c r="D4898" s="87" t="str">
        <x:v>Май 2026</x:v>
      </x:c>
      <x:c r="E4898" s="87"/>
      <x:c r="F4898" s="87"/>
      <x:c r="G4898" s="87" t="str">
        <x:v>Математика</x:v>
      </x:c>
      <x:c r="H4898" s="87" t="n">
        <x:v>10</x:v>
      </x:c>
      <x:c r="I4898" s="87" t="str">
        <x:v>ТР №2</x:v>
      </x:c>
      <x:c r="J4898" s="87" t="str">
        <x:v>МА2500310</x:v>
      </x:c>
      <x:c r="K4898" s="87" t="n">
        <x:v>3</x:v>
      </x:c>
      <x:c r="L4898" s="87" t="str">
        <x:v>Геометрия / объём</x:v>
      </x:c>
      <x:c r="M4898" s="30" t="str">
        <x:v>Если каждое ребро куба увеличить на 2, то его объём увеличится на 728. Найдите ребро куба.</x:v>
      </x:c>
      <x:c r="N4898" s="30" t="str">
        <x:v>10</x:v>
      </x:c>
      <x:c r="O4898" s="30" t="str">
        <x:v>Краткий ответ перенесён из официальной таблицы; тип задания и числовой результат проверены по условию.</x:v>
      </x:c>
      <x:c r="P4898" s="30" t="str">
        <x:v>Наличие задания, диапазон допустимого ответа и соответствие официальному ключу проверены; явных противоречий не обнаружено.</x:v>
      </x:c>
      <x:c r="Q4898" s="30"/>
      <x:c r="R4898" s="30" t="str">
        <x:v>10</x:v>
      </x:c>
      <x:c r="S4898" s="30"/>
      <x:c r="T4898" s="30" t="str">
        <x:v>Профиль.jpg</x:v>
      </x:c>
      <x:c r="U4898" s="30" t="str">
        <x:v>Расхождений с каноническим источником не выявлено.</x:v>
      </x:c>
      <x:c r="V4898" s="87" t="str">
        <x:v>VERIFIED</x:v>
      </x:c>
      <x:c r="W4898" s="87"/>
      <x:c r="X4898" s="87" t="n">
        <x:v>8</x:v>
      </x:c>
      <x:c r="Y4898" s="87"/>
      <x:c r="Z4898" s="87"/>
      <x:c r="AA4898" s="87"/>
      <x:c r="AB4898" s="87" t="str">
        <x:v>таблица</x:v>
      </x:c>
      <x:c r="AC4898" s="87" t="str">
        <x:v>VIS-MATH-MAY-PROF-TASK-P008</x:v>
      </x:c>
      <x:c r="AD4898" s="87" t="str">
        <x:v>VIS-MATH-MAY-KEY-PROFILE</x:v>
      </x:c>
      <x:c r="AE4898" s="87" t="str">
        <x:v>TASK; KEY</x:v>
      </x:c>
      <x:c r="AF4898" s="87" t="str">
        <x:v>VIS-MATH-MAY-PROF-TASK-P008: 8; VIS-MATH-MAY-KEY-PROFILE: original</x:v>
      </x:c>
      <x:c r="AG4898" s="87" t="str">
        <x:v>RESOLVED</x:v>
      </x:c>
      <x:c r="AH4898" s="87" t="str">
        <x:v>CROP_VERIFIED; ORIGINAL_IMAGE_NO_CROP</x:v>
      </x:c>
      <x:c r="AI4898" s="30" t="str">
        <x:v>{"Уровень": "Профильный"}</x:v>
      </x:c>
      <x:c r="AJ4898" s="87" t="str">
        <x:v>clean</x:v>
      </x:c>
      <x:c r="AK4898" s="87" t="str">
        <x:v>clean-v0.09</x:v>
      </x:c>
      <x:c r="AL4898" s="87" t="str">
        <x:v>statgrad_clean_continuation_v0_09(1).xlsx</x:v>
      </x:c>
      <x:c r="AM4898" s="87" t="str">
        <x:v>MATH_May_0310</x:v>
      </x:c>
      <x:c r="AN4898" s="87" t="n">
        <x:v>4</x:v>
      </x:c>
    </x:row>
    <x:row r="4899">
      <x:c r="A4899" s="87" t="n">
        <x:v>4898</x:v>
      </x:c>
      <x:c r="B4899" s="87" t="str">
        <x:v>MAY-MATH-10-004</x:v>
      </x:c>
      <x:c r="C4899" s="87" t="str">
        <x:v>СтатГрад</x:v>
      </x:c>
      <x:c r="D4899" s="87" t="str">
        <x:v>Май 2026</x:v>
      </x:c>
      <x:c r="E4899" s="87"/>
      <x:c r="F4899" s="87"/>
      <x:c r="G4899" s="87" t="str">
        <x:v>Математика</x:v>
      </x:c>
      <x:c r="H4899" s="87" t="n">
        <x:v>10</x:v>
      </x:c>
      <x:c r="I4899" s="87" t="str">
        <x:v>ТР №2</x:v>
      </x:c>
      <x:c r="J4899" s="87" t="str">
        <x:v>МА2500310</x:v>
      </x:c>
      <x:c r="K4899" s="87" t="n">
        <x:v>4</x:v>
      </x:c>
      <x:c r="L4899" s="87" t="str">
        <x:v>Теория вероятностей</x:v>
      </x:c>
      <x:c r="M4899" s="30" t="str">
        <x:v>В фирме такси в наличии 50 легковых автомобилей: 8 из них чёрного цвета с жёлтыми надписями на бортах, остальные — жёлтого цвета с чёрными надписями. Найдите вероятность того, что на случайный вызов приедет машина жёлтого цвета с чёрными надписями.</x:v>
      </x:c>
      <x:c r="N4899" s="30" t="str">
        <x:v>0,84</x:v>
      </x:c>
      <x:c r="O4899" s="30" t="str">
        <x:v>Краткий ответ перенесён из официальной таблицы; тип задания и числовой результат проверены по условию.</x:v>
      </x:c>
      <x:c r="P4899" s="30" t="str">
        <x:v>Наличие задания, диапазон допустимого ответа и соответствие официальному ключу проверены; явных противоречий не обнаружено.</x:v>
      </x:c>
      <x:c r="Q4899" s="30"/>
      <x:c r="R4899" s="30" t="str">
        <x:v>0,84</x:v>
      </x:c>
      <x:c r="S4899" s="30"/>
      <x:c r="T4899" s="30" t="str">
        <x:v>Профиль.jpg</x:v>
      </x:c>
      <x:c r="U4899" s="30" t="str">
        <x:v>Расхождений с каноническим источником не выявлено.</x:v>
      </x:c>
      <x:c r="V4899" s="87" t="str">
        <x:v>VERIFIED</x:v>
      </x:c>
      <x:c r="W4899" s="87"/>
      <x:c r="X4899" s="87" t="n">
        <x:v>8</x:v>
      </x:c>
      <x:c r="Y4899" s="87"/>
      <x:c r="Z4899" s="87"/>
      <x:c r="AA4899" s="87"/>
      <x:c r="AB4899" s="87" t="str">
        <x:v>таблица</x:v>
      </x:c>
      <x:c r="AC4899" s="87" t="str">
        <x:v>VIS-MATH-MAY-PROF-TASK-P008</x:v>
      </x:c>
      <x:c r="AD4899" s="87" t="str">
        <x:v>VIS-MATH-MAY-KEY-PROFILE</x:v>
      </x:c>
      <x:c r="AE4899" s="87" t="str">
        <x:v>TASK; KEY</x:v>
      </x:c>
      <x:c r="AF4899" s="87" t="str">
        <x:v>VIS-MATH-MAY-PROF-TASK-P008: 8; VIS-MATH-MAY-KEY-PROFILE: original</x:v>
      </x:c>
      <x:c r="AG4899" s="87" t="str">
        <x:v>RESOLVED</x:v>
      </x:c>
      <x:c r="AH4899" s="87" t="str">
        <x:v>CROP_VERIFIED; ORIGINAL_IMAGE_NO_CROP</x:v>
      </x:c>
      <x:c r="AI4899" s="30" t="str">
        <x:v>{"Уровень": "Профильный"}</x:v>
      </x:c>
      <x:c r="AJ4899" s="87" t="str">
        <x:v>clean</x:v>
      </x:c>
      <x:c r="AK4899" s="87" t="str">
        <x:v>clean-v0.09</x:v>
      </x:c>
      <x:c r="AL4899" s="87" t="str">
        <x:v>statgrad_clean_continuation_v0_09(1).xlsx</x:v>
      </x:c>
      <x:c r="AM4899" s="87" t="str">
        <x:v>MATH_May_0310</x:v>
      </x:c>
      <x:c r="AN4899" s="87" t="n">
        <x:v>5</x:v>
      </x:c>
    </x:row>
    <x:row r="4900">
      <x:c r="A4900" s="87" t="n">
        <x:v>4899</x:v>
      </x:c>
      <x:c r="B4900" s="87" t="str">
        <x:v>MAY-MATH-10-005</x:v>
      </x:c>
      <x:c r="C4900" s="87" t="str">
        <x:v>СтатГрад</x:v>
      </x:c>
      <x:c r="D4900" s="87" t="str">
        <x:v>Май 2026</x:v>
      </x:c>
      <x:c r="E4900" s="87"/>
      <x:c r="F4900" s="87"/>
      <x:c r="G4900" s="87" t="str">
        <x:v>Математика</x:v>
      </x:c>
      <x:c r="H4900" s="87" t="n">
        <x:v>10</x:v>
      </x:c>
      <x:c r="I4900" s="87" t="str">
        <x:v>ТР №2</x:v>
      </x:c>
      <x:c r="J4900" s="87" t="str">
        <x:v>МА2500310</x:v>
      </x:c>
      <x:c r="K4900" s="87" t="n">
        <x:v>5</x:v>
      </x:c>
      <x:c r="L4900" s="87" t="str">
        <x:v>Теория вероятностей</x:v>
      </x:c>
      <x:c r="M4900" s="30" t="str">
        <x:v>На экзамене по геометрии школьник отвечает на один вопрос из списка экзаменационных вопросов. Вероятность того, что это вопрос по теме «Внешние углы», равна 0,1. Вероятность того, что это вопрос по теме «Вписанная окружность», равна 0,2. Вопросов, которые одновременно относятся к этим двум темам, нет. Найдите вероятность того, что на экзамене школьнику достанется вопрос по одной из этих двух тем.</x:v>
      </x:c>
      <x:c r="N4900" s="30" t="str">
        <x:v>0,3</x:v>
      </x:c>
      <x:c r="O4900" s="30" t="str">
        <x:v>Краткий ответ перенесён из официальной таблицы; тип задания и числовой результат проверены по условию.</x:v>
      </x:c>
      <x:c r="P4900" s="30" t="str">
        <x:v>Наличие задания, диапазон допустимого ответа и соответствие официальному ключу проверены; явных противоречий не обнаружено.</x:v>
      </x:c>
      <x:c r="Q4900" s="30"/>
      <x:c r="R4900" s="30" t="str">
        <x:v>0,3</x:v>
      </x:c>
      <x:c r="S4900" s="30"/>
      <x:c r="T4900" s="30" t="str">
        <x:v>Профиль.jpg</x:v>
      </x:c>
      <x:c r="U4900" s="30" t="str">
        <x:v>Расхождений с каноническим источником не выявлено.</x:v>
      </x:c>
      <x:c r="V4900" s="87" t="str">
        <x:v>VERIFIED</x:v>
      </x:c>
      <x:c r="W4900" s="87"/>
      <x:c r="X4900" s="87" t="n">
        <x:v>9</x:v>
      </x:c>
      <x:c r="Y4900" s="87"/>
      <x:c r="Z4900" s="87"/>
      <x:c r="AA4900" s="87"/>
      <x:c r="AB4900" s="87" t="str">
        <x:v>таблица</x:v>
      </x:c>
      <x:c r="AC4900" s="87" t="str">
        <x:v>VIS-MATH-MAY-PROF-TASK-P009</x:v>
      </x:c>
      <x:c r="AD4900" s="87" t="str">
        <x:v>VIS-MATH-MAY-KEY-PROFILE</x:v>
      </x:c>
      <x:c r="AE4900" s="87" t="str">
        <x:v>TASK; KEY</x:v>
      </x:c>
      <x:c r="AF4900" s="87" t="str">
        <x:v>VIS-MATH-MAY-PROF-TASK-P009: 9; VIS-MATH-MAY-KEY-PROFILE: original</x:v>
      </x:c>
      <x:c r="AG4900" s="87" t="str">
        <x:v>RESOLVED</x:v>
      </x:c>
      <x:c r="AH4900" s="87" t="str">
        <x:v>CROP_VERIFIED; ORIGINAL_IMAGE_NO_CROP</x:v>
      </x:c>
      <x:c r="AI4900" s="30" t="str">
        <x:v>{"Уровень": "Профильный"}</x:v>
      </x:c>
      <x:c r="AJ4900" s="87" t="str">
        <x:v>clean</x:v>
      </x:c>
      <x:c r="AK4900" s="87" t="str">
        <x:v>clean-v0.09</x:v>
      </x:c>
      <x:c r="AL4900" s="87" t="str">
        <x:v>statgrad_clean_continuation_v0_09(1).xlsx</x:v>
      </x:c>
      <x:c r="AM4900" s="87" t="str">
        <x:v>MATH_May_0310</x:v>
      </x:c>
      <x:c r="AN4900" s="87" t="n">
        <x:v>6</x:v>
      </x:c>
    </x:row>
    <x:row r="4901">
      <x:c r="A4901" s="87" t="n">
        <x:v>4900</x:v>
      </x:c>
      <x:c r="B4901" s="87" t="str">
        <x:v>MAY-MATH-10-006</x:v>
      </x:c>
      <x:c r="C4901" s="87" t="str">
        <x:v>СтатГрад</x:v>
      </x:c>
      <x:c r="D4901" s="87" t="str">
        <x:v>Май 2026</x:v>
      </x:c>
      <x:c r="E4901" s="87"/>
      <x:c r="F4901" s="87"/>
      <x:c r="G4901" s="87" t="str">
        <x:v>Математика</x:v>
      </x:c>
      <x:c r="H4901" s="87" t="n">
        <x:v>10</x:v>
      </x:c>
      <x:c r="I4901" s="87" t="str">
        <x:v>ТР №2</x:v>
      </x:c>
      <x:c r="J4901" s="87" t="str">
        <x:v>МА2500310</x:v>
      </x:c>
      <x:c r="K4901" s="87" t="n">
        <x:v>6</x:v>
      </x:c>
      <x:c r="L4901" s="87" t="str">
        <x:v>Уравнение</x:v>
      </x:c>
      <x:c r="M4901" s="30" t="str">
        <x:v>Найдите корень уравнения log 5 ( 2 + 5 x ) = log 5 ( 1 − 5 x ) + 1 .</x:v>
      </x:c>
      <x:c r="N4901" s="30" t="str">
        <x:v>0,1</x:v>
      </x:c>
      <x:c r="O4901" s="30" t="str">
        <x:v>Краткий ответ перенесён из официальной таблицы; тип задания и числовой результат проверены по условию.</x:v>
      </x:c>
      <x:c r="P4901" s="30" t="str">
        <x:v>Наличие задания, диапазон допустимого ответа и соответствие официальному ключу проверены; явных противоречий не обнаружено.</x:v>
      </x:c>
      <x:c r="Q4901" s="30"/>
      <x:c r="R4901" s="30" t="str">
        <x:v>0,1</x:v>
      </x:c>
      <x:c r="S4901" s="30"/>
      <x:c r="T4901" s="30" t="str">
        <x:v>Профиль.jpg</x:v>
      </x:c>
      <x:c r="U4901" s="30" t="str">
        <x:v>Расхождений с каноническим источником не выявлено.</x:v>
      </x:c>
      <x:c r="V4901" s="87" t="str">
        <x:v>VERIFIED</x:v>
      </x:c>
      <x:c r="W4901" s="87"/>
      <x:c r="X4901" s="87" t="n">
        <x:v>9</x:v>
      </x:c>
      <x:c r="Y4901" s="87"/>
      <x:c r="Z4901" s="87"/>
      <x:c r="AA4901" s="87"/>
      <x:c r="AB4901" s="87" t="str">
        <x:v>таблица</x:v>
      </x:c>
      <x:c r="AC4901" s="87" t="str">
        <x:v>VIS-MATH-MAY-PROF-TASK-P009</x:v>
      </x:c>
      <x:c r="AD4901" s="87" t="str">
        <x:v>VIS-MATH-MAY-KEY-PROFILE</x:v>
      </x:c>
      <x:c r="AE4901" s="87" t="str">
        <x:v>TASK; KEY</x:v>
      </x:c>
      <x:c r="AF4901" s="87" t="str">
        <x:v>VIS-MATH-MAY-PROF-TASK-P009: 9; VIS-MATH-MAY-KEY-PROFILE: original</x:v>
      </x:c>
      <x:c r="AG4901" s="87" t="str">
        <x:v>RESOLVED</x:v>
      </x:c>
      <x:c r="AH4901" s="87" t="str">
        <x:v>CROP_VERIFIED; ORIGINAL_IMAGE_NO_CROP</x:v>
      </x:c>
      <x:c r="AI4901" s="30" t="str">
        <x:v>{"Уровень": "Профильный"}</x:v>
      </x:c>
      <x:c r="AJ4901" s="87" t="str">
        <x:v>clean</x:v>
      </x:c>
      <x:c r="AK4901" s="87" t="str">
        <x:v>clean-v0.09</x:v>
      </x:c>
      <x:c r="AL4901" s="87" t="str">
        <x:v>statgrad_clean_continuation_v0_09(1).xlsx</x:v>
      </x:c>
      <x:c r="AM4901" s="87" t="str">
        <x:v>MATH_May_0310</x:v>
      </x:c>
      <x:c r="AN4901" s="87" t="n">
        <x:v>7</x:v>
      </x:c>
    </x:row>
    <x:row r="4902">
      <x:c r="A4902" s="87" t="n">
        <x:v>4901</x:v>
      </x:c>
      <x:c r="B4902" s="87" t="str">
        <x:v>MAY-MATH-10-007</x:v>
      </x:c>
      <x:c r="C4902" s="87" t="str">
        <x:v>СтатГрад</x:v>
      </x:c>
      <x:c r="D4902" s="87" t="str">
        <x:v>Май 2026</x:v>
      </x:c>
      <x:c r="E4902" s="87"/>
      <x:c r="F4902" s="87"/>
      <x:c r="G4902" s="87" t="str">
        <x:v>Математика</x:v>
      </x:c>
      <x:c r="H4902" s="87" t="n">
        <x:v>10</x:v>
      </x:c>
      <x:c r="I4902" s="87" t="str">
        <x:v>ТР №2</x:v>
      </x:c>
      <x:c r="J4902" s="87" t="str">
        <x:v>МА2500310</x:v>
      </x:c>
      <x:c r="K4902" s="87" t="n">
        <x:v>7</x:v>
      </x:c>
      <x:c r="L4902" s="87" t="str">
        <x:v>Задание с кратким ответом</x:v>
      </x:c>
      <x:c r="M4902" s="30" t="str">
        <x:v>2Найдите значение выражения ( 9 x − 7 )( 9 x + 7 ) − 81 x − 8 x − 6 при x = 50 .</x:v>
      </x:c>
      <x:c r="N4902" s="30" t="str">
        <x:v>-455</x:v>
      </x:c>
      <x:c r="O4902" s="30" t="str">
        <x:v>Краткий ответ перенесён из официальной таблицы; тип задания и числовой результат проверены по условию.</x:v>
      </x:c>
      <x:c r="P4902" s="30" t="str">
        <x:v>Наличие задания, диапазон допустимого ответа и соответствие официальному ключу проверены; явных противоречий не обнаружено.</x:v>
      </x:c>
      <x:c r="Q4902" s="30"/>
      <x:c r="R4902" s="30" t="str">
        <x:v>-455</x:v>
      </x:c>
      <x:c r="S4902" s="30"/>
      <x:c r="T4902" s="30" t="str">
        <x:v>Профиль.jpg</x:v>
      </x:c>
      <x:c r="U4902" s="30" t="str">
        <x:v>Расхождений с каноническим источником не выявлено.</x:v>
      </x:c>
      <x:c r="V4902" s="87" t="str">
        <x:v>VERIFIED</x:v>
      </x:c>
      <x:c r="W4902" s="87"/>
      <x:c r="X4902" s="87" t="n">
        <x:v>9</x:v>
      </x:c>
      <x:c r="Y4902" s="87"/>
      <x:c r="Z4902" s="87"/>
      <x:c r="AA4902" s="87"/>
      <x:c r="AB4902" s="87" t="str">
        <x:v>таблица</x:v>
      </x:c>
      <x:c r="AC4902" s="87" t="str">
        <x:v>VIS-MATH-MAY-PROF-TASK-P009</x:v>
      </x:c>
      <x:c r="AD4902" s="87" t="str">
        <x:v>VIS-MATH-MAY-KEY-PROFILE</x:v>
      </x:c>
      <x:c r="AE4902" s="87" t="str">
        <x:v>TASK; KEY</x:v>
      </x:c>
      <x:c r="AF4902" s="87" t="str">
        <x:v>VIS-MATH-MAY-PROF-TASK-P009: 9; VIS-MATH-MAY-KEY-PROFILE: original</x:v>
      </x:c>
      <x:c r="AG4902" s="87" t="str">
        <x:v>RESOLVED</x:v>
      </x:c>
      <x:c r="AH4902" s="87" t="str">
        <x:v>CROP_VERIFIED; ORIGINAL_IMAGE_NO_CROP</x:v>
      </x:c>
      <x:c r="AI4902" s="30" t="str">
        <x:v>{"Уровень": "Профильный"}</x:v>
      </x:c>
      <x:c r="AJ4902" s="87" t="str">
        <x:v>clean</x:v>
      </x:c>
      <x:c r="AK4902" s="87" t="str">
        <x:v>clean-v0.09</x:v>
      </x:c>
      <x:c r="AL4902" s="87" t="str">
        <x:v>statgrad_clean_continuation_v0_09(1).xlsx</x:v>
      </x:c>
      <x:c r="AM4902" s="87" t="str">
        <x:v>MATH_May_0310</x:v>
      </x:c>
      <x:c r="AN4902" s="87" t="n">
        <x:v>8</x:v>
      </x:c>
    </x:row>
    <x:row r="4903">
      <x:c r="A4903" s="87" t="n">
        <x:v>4902</x:v>
      </x:c>
      <x:c r="B4903" s="87" t="str">
        <x:v>MAY-MATH-10-008</x:v>
      </x:c>
      <x:c r="C4903" s="87" t="str">
        <x:v>СтатГрад</x:v>
      </x:c>
      <x:c r="D4903" s="87" t="str">
        <x:v>Май 2026</x:v>
      </x:c>
      <x:c r="E4903" s="87"/>
      <x:c r="F4903" s="87"/>
      <x:c r="G4903" s="87" t="str">
        <x:v>Математика</x:v>
      </x:c>
      <x:c r="H4903" s="87" t="n">
        <x:v>10</x:v>
      </x:c>
      <x:c r="I4903" s="87" t="str">
        <x:v>ТР №2</x:v>
      </x:c>
      <x:c r="J4903" s="87" t="str">
        <x:v>МА2500310</x:v>
      </x:c>
      <x:c r="K4903" s="87" t="n">
        <x:v>8</x:v>
      </x:c>
      <x:c r="L4903" s="87" t="str">
        <x:v>Анализ графика</x:v>
      </x:c>
      <x:c r="M4903" s="30" t="str">
        <x:v>На рисунке изображён график функции y = f ( x ) . На оси абсцисс отмечено шесть точек: 1x , x 2 , x 3 , x 4 , x 5 , x 6 . Сколько из этих точек принадлежит промежуткам возрастания функции f ( x ) ? y x1 x2 x3 x4 x5 x6 x</x:v>
      </x:c>
      <x:c r="N4903" s="30" t="str">
        <x:v>2</x:v>
      </x:c>
      <x:c r="O4903" s="30" t="str">
        <x:v>Краткий ответ перенесён из официальной таблицы; тип задания и числовой результат проверены по условию.</x:v>
      </x:c>
      <x:c r="P4903" s="30" t="str">
        <x:v>Наличие задания, диапазон допустимого ответа и соответствие официальному ключу проверены; явных противоречий не обнаружено.</x:v>
      </x:c>
      <x:c r="Q4903" s="30"/>
      <x:c r="R4903" s="30" t="str">
        <x:v>2</x:v>
      </x:c>
      <x:c r="S4903" s="30"/>
      <x:c r="T4903" s="30" t="str">
        <x:v>Профиль.jpg</x:v>
      </x:c>
      <x:c r="U4903" s="30" t="str">
        <x:v>Расхождений с каноническим источником не выявлено.</x:v>
      </x:c>
      <x:c r="V4903" s="87" t="str">
        <x:v>VERIFIED</x:v>
      </x:c>
      <x:c r="W4903" s="87"/>
      <x:c r="X4903" s="87" t="n">
        <x:v>9</x:v>
      </x:c>
      <x:c r="Y4903" s="87"/>
      <x:c r="Z4903" s="87"/>
      <x:c r="AA4903" s="87"/>
      <x:c r="AB4903" s="87" t="str">
        <x:v>таблица</x:v>
      </x:c>
      <x:c r="AC4903" s="87" t="str">
        <x:v>VIS-MATH-MAY-PROF-TASK-P009</x:v>
      </x:c>
      <x:c r="AD4903" s="87" t="str">
        <x:v>VIS-MATH-MAY-KEY-PROFILE</x:v>
      </x:c>
      <x:c r="AE4903" s="87" t="str">
        <x:v>TASK; KEY</x:v>
      </x:c>
      <x:c r="AF4903" s="87" t="str">
        <x:v>VIS-MATH-MAY-PROF-TASK-P009: 9; VIS-MATH-MAY-KEY-PROFILE: original</x:v>
      </x:c>
      <x:c r="AG4903" s="87" t="str">
        <x:v>RESOLVED</x:v>
      </x:c>
      <x:c r="AH4903" s="87" t="str">
        <x:v>CROP_VERIFIED; ORIGINAL_IMAGE_NO_CROP; TASK_CROP_QA_APPROVED:USE_TIGHT</x:v>
      </x:c>
      <x:c r="AI4903" s="30" t="str">
        <x:v>{"Уровень": "Профильный"}</x:v>
      </x:c>
      <x:c r="AJ4903" s="87" t="str">
        <x:v>clean</x:v>
      </x:c>
      <x:c r="AK4903" s="87" t="str">
        <x:v>clean-v0.09</x:v>
      </x:c>
      <x:c r="AL4903" s="87" t="str">
        <x:v>statgrad_clean_continuation_v0_09(1).xlsx</x:v>
      </x:c>
      <x:c r="AM4903" s="87" t="str">
        <x:v>MATH_May_0310</x:v>
      </x:c>
      <x:c r="AN4903" s="87" t="n">
        <x:v>9</x:v>
      </x:c>
    </x:row>
    <x:row r="4904">
      <x:c r="A4904" s="87" t="n">
        <x:v>4903</x:v>
      </x:c>
      <x:c r="B4904" s="87" t="str">
        <x:v>MAY-MATH-10-009</x:v>
      </x:c>
      <x:c r="C4904" s="87" t="str">
        <x:v>СтатГрад</x:v>
      </x:c>
      <x:c r="D4904" s="87" t="str">
        <x:v>Май 2026</x:v>
      </x:c>
      <x:c r="E4904" s="87"/>
      <x:c r="F4904" s="87"/>
      <x:c r="G4904" s="87" t="str">
        <x:v>Математика</x:v>
      </x:c>
      <x:c r="H4904" s="87" t="n">
        <x:v>10</x:v>
      </x:c>
      <x:c r="I4904" s="87" t="str">
        <x:v>ТР №2</x:v>
      </x:c>
      <x:c r="J4904" s="87" t="str">
        <x:v>МА2500310</x:v>
      </x:c>
      <x:c r="K4904" s="87" t="n">
        <x:v>9</x:v>
      </x:c>
      <x:c r="L4904" s="87" t="str">
        <x:v>Применение формулы</x:v>
      </x:c>
      <x:c r="M4904" s="30" t="str">
        <x:v>Амплитуда колебаний маятника зависит от частоты вынуждающей силы и 2 A0 ω pопределяется по формуле A ( ω ) = , где ω — частота вынуждающей 2 2 ω −ω p ω = 300 c — резонанснаясилы (в с −),1 A0 — постоянный параметр, − 1 p частота. Найдите максимальную частоту ω, меньшую резонансной, для которой амплитуда колебаний превосходит величину A0 не более чем на 1одну треть. Ответ дайте в c −.</x:v>
      </x:c>
      <x:c r="N4904" s="30" t="str">
        <x:v>150</x:v>
      </x:c>
      <x:c r="O4904" s="30" t="str">
        <x:v>Краткий ответ перенесён из официальной таблицы; тип задания и числовой результат проверены по условию.</x:v>
      </x:c>
      <x:c r="P4904" s="30" t="str">
        <x:v>Наличие задания, диапазон допустимого ответа и соответствие официальному ключу проверены; явных противоречий не обнаружено.</x:v>
      </x:c>
      <x:c r="Q4904" s="30"/>
      <x:c r="R4904" s="30" t="str">
        <x:v>150</x:v>
      </x:c>
      <x:c r="S4904" s="30"/>
      <x:c r="T4904" s="30" t="str">
        <x:v>Профиль.jpg</x:v>
      </x:c>
      <x:c r="U4904" s="30" t="str">
        <x:v>Расхождений с каноническим источником не выявлено.</x:v>
      </x:c>
      <x:c r="V4904" s="87" t="str">
        <x:v>VERIFIED</x:v>
      </x:c>
      <x:c r="W4904" s="87"/>
      <x:c r="X4904" s="87" t="n">
        <x:v>10</x:v>
      </x:c>
      <x:c r="Y4904" s="87"/>
      <x:c r="Z4904" s="87"/>
      <x:c r="AA4904" s="87"/>
      <x:c r="AB4904" s="87" t="str">
        <x:v>таблица</x:v>
      </x:c>
      <x:c r="AC4904" s="87" t="str">
        <x:v>VIS-MATH-MAY-PROF-TASK-P010</x:v>
      </x:c>
      <x:c r="AD4904" s="87" t="str">
        <x:v>VIS-MATH-MAY-KEY-PROFILE</x:v>
      </x:c>
      <x:c r="AE4904" s="87" t="str">
        <x:v>TASK; KEY</x:v>
      </x:c>
      <x:c r="AF4904" s="87" t="str">
        <x:v>VIS-MATH-MAY-PROF-TASK-P010: 10; VIS-MATH-MAY-KEY-PROFILE: original</x:v>
      </x:c>
      <x:c r="AG4904" s="87" t="str">
        <x:v>RESOLVED</x:v>
      </x:c>
      <x:c r="AH4904" s="87" t="str">
        <x:v>CROP_VERIFIED; ORIGINAL_IMAGE_NO_CROP</x:v>
      </x:c>
      <x:c r="AI4904" s="30" t="str">
        <x:v>{"Уровень": "Профильный"}</x:v>
      </x:c>
      <x:c r="AJ4904" s="87" t="str">
        <x:v>clean</x:v>
      </x:c>
      <x:c r="AK4904" s="87" t="str">
        <x:v>clean-v0.09</x:v>
      </x:c>
      <x:c r="AL4904" s="87" t="str">
        <x:v>statgrad_clean_continuation_v0_09(1).xlsx</x:v>
      </x:c>
      <x:c r="AM4904" s="87" t="str">
        <x:v>MATH_May_0310</x:v>
      </x:c>
      <x:c r="AN4904" s="87" t="n">
        <x:v>10</x:v>
      </x:c>
    </x:row>
    <x:row r="4905">
      <x:c r="A4905" s="87" t="n">
        <x:v>4904</x:v>
      </x:c>
      <x:c r="B4905" s="87" t="str">
        <x:v>MAY-MATH-10-010</x:v>
      </x:c>
      <x:c r="C4905" s="87" t="str">
        <x:v>СтатГрад</x:v>
      </x:c>
      <x:c r="D4905" s="87" t="str">
        <x:v>Май 2026</x:v>
      </x:c>
      <x:c r="E4905" s="87"/>
      <x:c r="F4905" s="87"/>
      <x:c r="G4905" s="87" t="str">
        <x:v>Математика</x:v>
      </x:c>
      <x:c r="H4905" s="87" t="n">
        <x:v>10</x:v>
      </x:c>
      <x:c r="I4905" s="87" t="str">
        <x:v>ТР №2</x:v>
      </x:c>
      <x:c r="J4905" s="87" t="str">
        <x:v>МА2500310</x:v>
      </x:c>
      <x:c r="K4905" s="87" t="n">
        <x:v>10</x:v>
      </x:c>
      <x:c r="L4905" s="87" t="str">
        <x:v>Задание с кратким ответом</x:v>
      </x:c>
      <x:c r="M4905" s="30" t="str">
        <x:v>Два велосипедиста одновременно отправились в 135-километровый пробег. Первый ехал со скоростью, на 6 км/ч большей, чем скорость второго, и прибыл к финишу на 6 часов раньше второго. Найдите скорость велосипедиста, пришедшего к финишу первым. Ответ дайте в км/ч.</x:v>
      </x:c>
      <x:c r="N4905" s="30" t="str">
        <x:v>15</x:v>
      </x:c>
      <x:c r="O4905" s="30" t="str">
        <x:v>Краткий ответ перенесён из официальной таблицы; тип задания и числовой результат проверены по условию.</x:v>
      </x:c>
      <x:c r="P4905" s="30" t="str">
        <x:v>Наличие задания, диапазон допустимого ответа и соответствие официальному ключу проверены; явных противоречий не обнаружено.</x:v>
      </x:c>
      <x:c r="Q4905" s="30"/>
      <x:c r="R4905" s="30" t="str">
        <x:v>15</x:v>
      </x:c>
      <x:c r="S4905" s="30"/>
      <x:c r="T4905" s="30" t="str">
        <x:v>Профиль.jpg</x:v>
      </x:c>
      <x:c r="U4905" s="30" t="str">
        <x:v>Расхождений с каноническим источником не выявлено.</x:v>
      </x:c>
      <x:c r="V4905" s="87" t="str">
        <x:v>VERIFIED</x:v>
      </x:c>
      <x:c r="W4905" s="87"/>
      <x:c r="X4905" s="87" t="n">
        <x:v>10</x:v>
      </x:c>
      <x:c r="Y4905" s="87"/>
      <x:c r="Z4905" s="87"/>
      <x:c r="AA4905" s="87"/>
      <x:c r="AB4905" s="87" t="str">
        <x:v>таблица</x:v>
      </x:c>
      <x:c r="AC4905" s="87" t="str">
        <x:v>VIS-MATH-MAY-PROF-TASK-P010</x:v>
      </x:c>
      <x:c r="AD4905" s="87" t="str">
        <x:v>VIS-MATH-MAY-KEY-PROFILE</x:v>
      </x:c>
      <x:c r="AE4905" s="87" t="str">
        <x:v>TASK; KEY</x:v>
      </x:c>
      <x:c r="AF4905" s="87" t="str">
        <x:v>VIS-MATH-MAY-PROF-TASK-P010: 10; VIS-MATH-MAY-KEY-PROFILE: original</x:v>
      </x:c>
      <x:c r="AG4905" s="87" t="str">
        <x:v>RESOLVED</x:v>
      </x:c>
      <x:c r="AH4905" s="87" t="str">
        <x:v>CROP_VERIFIED; ORIGINAL_IMAGE_NO_CROP</x:v>
      </x:c>
      <x:c r="AI4905" s="30" t="str">
        <x:v>{"Уровень": "Профильный"}</x:v>
      </x:c>
      <x:c r="AJ4905" s="87" t="str">
        <x:v>clean</x:v>
      </x:c>
      <x:c r="AK4905" s="87" t="str">
        <x:v>clean-v0.09</x:v>
      </x:c>
      <x:c r="AL4905" s="87" t="str">
        <x:v>statgrad_clean_continuation_v0_09(1).xlsx</x:v>
      </x:c>
      <x:c r="AM4905" s="87" t="str">
        <x:v>MATH_May_0310</x:v>
      </x:c>
      <x:c r="AN4905" s="87" t="n">
        <x:v>11</x:v>
      </x:c>
    </x:row>
    <x:row r="4906">
      <x:c r="A4906" s="87" t="n">
        <x:v>4905</x:v>
      </x:c>
      <x:c r="B4906" s="87" t="str">
        <x:v>MAY-MATH-10-011</x:v>
      </x:c>
      <x:c r="C4906" s="87" t="str">
        <x:v>СтатГрад</x:v>
      </x:c>
      <x:c r="D4906" s="87" t="str">
        <x:v>Май 2026</x:v>
      </x:c>
      <x:c r="E4906" s="87"/>
      <x:c r="F4906" s="87"/>
      <x:c r="G4906" s="87" t="str">
        <x:v>Математика</x:v>
      </x:c>
      <x:c r="H4906" s="87" t="n">
        <x:v>10</x:v>
      </x:c>
      <x:c r="I4906" s="87" t="str">
        <x:v>ТР №2</x:v>
      </x:c>
      <x:c r="J4906" s="87" t="str">
        <x:v>МА2500310</x:v>
      </x:c>
      <x:c r="K4906" s="87" t="n">
        <x:v>11</x:v>
      </x:c>
      <x:c r="L4906" s="87" t="str">
        <x:v>Анализ графика</x:v>
      </x:c>
      <x:c r="M4906" s="30" t="str">
        <x:v>На рисунке изображены графики y kфункций f ( x ) = и g ( x ) = ax + b , x которые пересекаются в точках A и B . Найдите ординату точки B . 1 0 1 x A</x:v>
      </x:c>
      <x:c r="N4906" s="30" t="str">
        <x:v>12</x:v>
      </x:c>
      <x:c r="O4906" s="30" t="str">
        <x:v>Краткий ответ перенесён из официальной таблицы; тип задания и числовой результат проверены по условию.</x:v>
      </x:c>
      <x:c r="P4906" s="30" t="str">
        <x:v>Наличие задания, диапазон допустимого ответа и соответствие официальному ключу проверены; явных противоречий не обнаружено.</x:v>
      </x:c>
      <x:c r="Q4906" s="30"/>
      <x:c r="R4906" s="30" t="str">
        <x:v>12</x:v>
      </x:c>
      <x:c r="S4906" s="30"/>
      <x:c r="T4906" s="30" t="str">
        <x:v>Профиль.jpg</x:v>
      </x:c>
      <x:c r="U4906" s="30" t="str">
        <x:v>Расхождений с каноническим источником не выявлено.</x:v>
      </x:c>
      <x:c r="V4906" s="87" t="str">
        <x:v>VERIFIED</x:v>
      </x:c>
      <x:c r="W4906" s="87"/>
      <x:c r="X4906" s="87" t="n">
        <x:v>10</x:v>
      </x:c>
      <x:c r="Y4906" s="87"/>
      <x:c r="Z4906" s="87"/>
      <x:c r="AA4906" s="87"/>
      <x:c r="AB4906" s="87" t="str">
        <x:v>таблица</x:v>
      </x:c>
      <x:c r="AC4906" s="87" t="str">
        <x:v>VIS-MATH-MAY-PROF-TASK-P010</x:v>
      </x:c>
      <x:c r="AD4906" s="87" t="str">
        <x:v>VIS-MATH-MAY-KEY-PROFILE</x:v>
      </x:c>
      <x:c r="AE4906" s="87" t="str">
        <x:v>TASK; KEY</x:v>
      </x:c>
      <x:c r="AF4906" s="87" t="str">
        <x:v>VIS-MATH-MAY-PROF-TASK-P010: 10; VIS-MATH-MAY-KEY-PROFILE: original</x:v>
      </x:c>
      <x:c r="AG4906" s="87" t="str">
        <x:v>RESOLVED</x:v>
      </x:c>
      <x:c r="AH4906" s="87" t="str">
        <x:v>CROP_VERIFIED; ORIGINAL_IMAGE_NO_CROP; TASK_CROP_QA_APPROVED:USE_TIGHT</x:v>
      </x:c>
      <x:c r="AI4906" s="30" t="str">
        <x:v>{"Уровень": "Профильный"}</x:v>
      </x:c>
      <x:c r="AJ4906" s="87" t="str">
        <x:v>clean</x:v>
      </x:c>
      <x:c r="AK4906" s="87" t="str">
        <x:v>clean-v0.09</x:v>
      </x:c>
      <x:c r="AL4906" s="87" t="str">
        <x:v>statgrad_clean_continuation_v0_09(1).xlsx</x:v>
      </x:c>
      <x:c r="AM4906" s="87" t="str">
        <x:v>MATH_May_0310</x:v>
      </x:c>
      <x:c r="AN4906" s="87" t="n">
        <x:v>12</x:v>
      </x:c>
    </x:row>
    <x:row r="4907">
      <x:c r="A4907" s="87" t="n">
        <x:v>4906</x:v>
      </x:c>
      <x:c r="B4907" s="87" t="str">
        <x:v>MAY-MATH-10-012</x:v>
      </x:c>
      <x:c r="C4907" s="87" t="str">
        <x:v>СтатГрад</x:v>
      </x:c>
      <x:c r="D4907" s="87" t="str">
        <x:v>Май 2026</x:v>
      </x:c>
      <x:c r="E4907" s="87"/>
      <x:c r="F4907" s="87"/>
      <x:c r="G4907" s="87" t="str">
        <x:v>Математика</x:v>
      </x:c>
      <x:c r="H4907" s="87" t="n">
        <x:v>10</x:v>
      </x:c>
      <x:c r="I4907" s="87" t="str">
        <x:v>ТР №2</x:v>
      </x:c>
      <x:c r="J4907" s="87" t="str">
        <x:v>МА2500310</x:v>
      </x:c>
      <x:c r="K4907" s="87" t="n">
        <x:v>12</x:v>
      </x:c>
      <x:c r="L4907" s="87" t="str">
        <x:v>Оптимизация / целочисленный расчёт</x:v>
      </x:c>
      <x:c r="M4907" s="30" t="str">
        <x:v>2Найдите наибольшее значение функции y = 31 − 30 x − x .</x:v>
      </x:c>
      <x:c r="N4907" s="30" t="str">
        <x:v>16</x:v>
      </x:c>
      <x:c r="O4907" s="30" t="str">
        <x:v>Краткий ответ перенесён из официальной таблицы; тип задания и числовой результат проверены по условию.</x:v>
      </x:c>
      <x:c r="P4907" s="30" t="str">
        <x:v>Наличие задания, диапазон допустимого ответа и соответствие официальному ключу проверены; явных противоречий не обнаружено.</x:v>
      </x:c>
      <x:c r="Q4907" s="30"/>
      <x:c r="R4907" s="30" t="str">
        <x:v>16</x:v>
      </x:c>
      <x:c r="S4907" s="30"/>
      <x:c r="T4907" s="30" t="str">
        <x:v>Профиль.jpg</x:v>
      </x:c>
      <x:c r="U4907" s="30" t="str">
        <x:v>Расхождений с каноническим источником не выявлено.</x:v>
      </x:c>
      <x:c r="V4907" s="87" t="str">
        <x:v>VERIFIED</x:v>
      </x:c>
      <x:c r="W4907" s="87"/>
      <x:c r="X4907" s="87" t="n">
        <x:v>10</x:v>
      </x:c>
      <x:c r="Y4907" s="87"/>
      <x:c r="Z4907" s="87"/>
      <x:c r="AA4907" s="87"/>
      <x:c r="AB4907" s="87" t="str">
        <x:v>таблица</x:v>
      </x:c>
      <x:c r="AC4907" s="87" t="str">
        <x:v>VIS-MATH-MAY-PROF-TASK-P010</x:v>
      </x:c>
      <x:c r="AD4907" s="87" t="str">
        <x:v>VIS-MATH-MAY-KEY-PROFILE</x:v>
      </x:c>
      <x:c r="AE4907" s="87" t="str">
        <x:v>TASK; KEY</x:v>
      </x:c>
      <x:c r="AF4907" s="87" t="str">
        <x:v>VIS-MATH-MAY-PROF-TASK-P010: 10; VIS-MATH-MAY-KEY-PROFILE: original</x:v>
      </x:c>
      <x:c r="AG4907" s="87" t="str">
        <x:v>RESOLVED</x:v>
      </x:c>
      <x:c r="AH4907" s="87" t="str">
        <x:v>CROP_VERIFIED; ORIGINAL_IMAGE_NO_CROP</x:v>
      </x:c>
      <x:c r="AI4907" s="30" t="str">
        <x:v>{"Уровень": "Профильный"}</x:v>
      </x:c>
      <x:c r="AJ4907" s="87" t="str">
        <x:v>clean</x:v>
      </x:c>
      <x:c r="AK4907" s="87" t="str">
        <x:v>clean-v0.09</x:v>
      </x:c>
      <x:c r="AL4907" s="87" t="str">
        <x:v>statgrad_clean_continuation_v0_09(1).xlsx</x:v>
      </x:c>
      <x:c r="AM4907" s="87" t="str">
        <x:v>MATH_May_0310</x:v>
      </x:c>
      <x:c r="AN4907" s="87" t="n">
        <x:v>13</x:v>
      </x:c>
    </x:row>
    <x:row r="4908">
      <x:c r="A4908" s="87" t="n">
        <x:v>4907</x:v>
      </x:c>
      <x:c r="B4908" s="87" t="str">
        <x:v>MAY-MATH-10-013</x:v>
      </x:c>
      <x:c r="C4908" s="87" t="str">
        <x:v>СтатГрад</x:v>
      </x:c>
      <x:c r="D4908" s="87" t="str">
        <x:v>Май 2026</x:v>
      </x:c>
      <x:c r="E4908" s="87"/>
      <x:c r="F4908" s="87"/>
      <x:c r="G4908" s="87" t="str">
        <x:v>Математика</x:v>
      </x:c>
      <x:c r="H4908" s="87" t="n">
        <x:v>10</x:v>
      </x:c>
      <x:c r="I4908" s="87" t="str">
        <x:v>ТР №2</x:v>
      </x:c>
      <x:c r="J4908" s="87" t="str">
        <x:v>МА2500310</x:v>
      </x:c>
      <x:c r="K4908" s="87" t="n">
        <x:v>13</x:v>
      </x:c>
      <x:c r="L4908" s="87" t="str">
        <x:v>Тригонометрическое уравнение</x:v>
      </x:c>
      <x:c r="M4908" s="30" t="str">
        <x:v>а) Решите уравнение 2 2cos x + sin ( x −π ) −=1 0.  5 π б) Укажите корни этого уравнения, принадлежащие отрезку ; 4 π .   2 </x:v>
      </x:c>
      <x:c r="N4908" s="30" t="str">
        <x:v>а) x=-π/2+2πk; x=π/6+2πn; x=5π/6+2πm, k,n,m∈Z; б) 17π/6; 7π/2</x:v>
      </x:c>
      <x:c r="O4908" s="30" t="str">
        <x:v>Полное решение и критерии сохранены; итог сверён с официальным решением.</x:v>
      </x:c>
      <x:c r="P4908" s="30" t="str">
        <x:v>Условие сопоставлено с официальным развёрнутым решением; обязательные шаги и итоговый ответ согласованы.</x:v>
      </x:c>
      <x:c r="Q4908" s="30"/>
      <x:c r="R4908" s="30" t="str">
        <x:v>а) Решите уравнение 2 2cos x + sin ( x −π ) −=1 0.  5 π б) Укажите корни этого уравнения, принадлежащие отрезку ; 4 π .   2  Решение. а) Запишем исходное уравнение в виде 2 2 2 1 − sin x + ( − sin x ) −=1 0 ; − 2sin x − sin x + 1 = 0 ; ( ) − ( sin x + 1 ) ⋅ ( 2sin x − 1 ) = 0 . π 1Значит, sin x = −,1 откуда находим x = − + 2 πk , k ∈, или sin x = , откуда 2 2 π 5 πнаходим x = + 2 πn , n∈, или x = + 2 πm , m∈. 6 6 б) С помощью числовой окружности отберём корни, —  5 π принадлежащие отрезку ; 4 π .   —–  2  17 π 7 πПолучим числа ; . 6 2 — π π 5 π 17 π 7 π</x:v>
      </x:c>
      <x:c r="S4908" s="30"/>
      <x:c r="T4908" s="30" t="str">
        <x:v>Kriterii_MA10-11_12052026.pdf</x:v>
      </x:c>
      <x:c r="U4908" s="30" t="str">
        <x:v>Расхождений с каноническим источником не выявлено.</x:v>
      </x:c>
      <x:c r="V4908" s="87" t="str">
        <x:v>VERIFIED</x:v>
      </x:c>
      <x:c r="W4908" s="87"/>
      <x:c r="X4908" s="87" t="n">
        <x:v>11</x:v>
      </x:c>
      <x:c r="Y4908" s="87"/>
      <x:c r="Z4908" s="87"/>
      <x:c r="AA4908" s="87"/>
      <x:c r="AB4908" s="87" t="str">
        <x:v>[9, 10]</x:v>
      </x:c>
      <x:c r="AC4908" s="87" t="str">
        <x:v>VIS-MATH-MAY-PROF-TASK-P011</x:v>
      </x:c>
      <x:c r="AD4908" s="87" t="str">
        <x:v>VIS-MATH-MAY-PROF-CRIT-P009; VIS-MATH-MAY-PROF-CRIT-P010</x:v>
      </x:c>
      <x:c r="AE4908" s="87" t="str">
        <x:v>TASK; CRIT</x:v>
      </x:c>
      <x:c r="AF4908" s="87" t="str">
        <x:v>VIS-MATH-MAY-PROF-TASK-P011: 11; VIS-MATH-MAY-PROF-CRIT-P009: 9; VIS-MATH-MAY-PROF-CRIT-P010: 10</x:v>
      </x:c>
      <x:c r="AG4908" s="87" t="str">
        <x:v>RESOLVED</x:v>
      </x:c>
      <x:c r="AH4908" s="87" t="str">
        <x:v>CROP_VERIFIED</x:v>
      </x:c>
      <x:c r="AI4908" s="30" t="str">
        <x:v>{"Уровень": "Профильный"}</x:v>
      </x:c>
      <x:c r="AJ4908" s="87" t="str">
        <x:v>clean</x:v>
      </x:c>
      <x:c r="AK4908" s="87" t="str">
        <x:v>clean-v0.09</x:v>
      </x:c>
      <x:c r="AL4908" s="87" t="str">
        <x:v>statgrad_clean_continuation_v0_09(1).xlsx</x:v>
      </x:c>
      <x:c r="AM4908" s="87" t="str">
        <x:v>MATH_May_0310</x:v>
      </x:c>
      <x:c r="AN4908" s="87" t="n">
        <x:v>14</x:v>
      </x:c>
    </x:row>
    <x:row r="4909">
      <x:c r="A4909" s="87" t="n">
        <x:v>4908</x:v>
      </x:c>
      <x:c r="B4909" s="87" t="str">
        <x:v>MAY-MATH-10-014</x:v>
      </x:c>
      <x:c r="C4909" s="87" t="str">
        <x:v>СтатГрад</x:v>
      </x:c>
      <x:c r="D4909" s="87" t="str">
        <x:v>Май 2026</x:v>
      </x:c>
      <x:c r="E4909" s="87"/>
      <x:c r="F4909" s="87"/>
      <x:c r="G4909" s="87" t="str">
        <x:v>Математика</x:v>
      </x:c>
      <x:c r="H4909" s="87" t="n">
        <x:v>10</x:v>
      </x:c>
      <x:c r="I4909" s="87" t="str">
        <x:v>ТР №2</x:v>
      </x:c>
      <x:c r="J4909" s="87" t="str">
        <x:v>МА2500310</x:v>
      </x:c>
      <x:c r="K4909" s="87" t="n">
        <x:v>14</x:v>
      </x:c>
      <x:c r="L4909" s="87" t="str">
        <x:v>Стереометрия: доказательство и угол</x:v>
      </x:c>
      <x:c r="M4909" s="30" t="str">
        <x:v>На ребре AA1 прямоугольного параллелепипеда ABCDA1 B1C1 D1 взята точка E так, что A1 E : EA = 3:1 , а на ребре BB1 — точка F так, что B1 F : FB = 3:5 . Известно, что AB = 5 2 , AD = 12 , AA1 = 16 . а) Докажите, что плоскость EFD1 делит ребро B1C1 на два равных отрезка. б) Найдите угол между плоскостью EFD1 и плоскостью AA1 B1 .</x:v>
      </x:c>
      <x:c r="N4909" s="30" t="str">
        <x:v>а) утверждение доказано; б) arctg(√43/5)</x:v>
      </x:c>
      <x:c r="O4909" s="30" t="str">
        <x:v>Полное решение и критерии сохранены; итог сверён с официальным решением.</x:v>
      </x:c>
      <x:c r="P4909" s="30" t="str">
        <x:v>Условие сопоставлено с официальным развёрнутым решением; обязательные шаги и итоговый ответ согласованы.</x:v>
      </x:c>
      <x:c r="Q4909" s="30"/>
      <x:c r="R4909" s="30" t="str">
        <x:v>На ребре AA1 прямоугольного параллелепипеда ABCDA1 B1C1 D1 взята точка E так, что A1 E : EA = 3:1 , а на ребре BB1 — точка F так, что B1 F : FB = 3:5 . Известно, что AB = 5 2 , AD = 12 , AA1 = 16 . а) Докажите, что плоскость EFD1 делит ребро B1C1 на два равных отрезка. б) Найдите угол между плоскостью EFD1 и плоскостью AA1 B1 . Решение. а) Так как A1 E : EA = 3:1 и AA1 = 16 , B1 T C1 получаем, что A1 E = 12 и EA = 4 . Так A1как B1 F : FB = 3:5 и BB1 = 16 , получаем, D1 что B1 F = 6 и FB = 10 . Плоскость сечения пересекает параллельные плоскости DAA1 и CBB1 по F параллельным прямым, поэтому она Kпересекает ребро B1C1 в такой точке T , что прямая FT параллельна прямой H ED1 . Значит, треугольники EA1 D1 и FBT1 подобны, а поскольку E EA1 = A1 D1 = 12 , получаем, что B C и FB1 = BT1 = 6 . Значит, TC1 = 6 A D и BT1 : TC1 = 1:1 . б) Опустим перпендикуляр 1A H из точки 1A на прямую EF пересечения плоскостей EFD1 и AA1 B1 . Угол A1 HD1 будет искомым. Найдём 1A H . Для этого проведём в трапеции EA1 B1 F высоту FK = 5 2 (из результатов пункта а следует, что K — середина EA1 ). Теперь, вычисляя двумя способами площадь треугольника EFA1 , получим A1 H ⋅ EF = A1 E ⋅ FK , то есть FK ⋅ A1 E 5 2 ⋅ 12 60A1 H = = = . Тогда тангенс искомого угла равен EF 2 2 43 6 + 5 2 ( ) 60 43 A1 D1 : A1 H = 12: = . 43 5 43</x:v>
      </x:c>
      <x:c r="S4909" s="30"/>
      <x:c r="T4909" s="30" t="str">
        <x:v>Kriterii_MA10-11_12052026.pdf</x:v>
      </x:c>
      <x:c r="U4909" s="30" t="str">
        <x:v>Расхождений с каноническим источником не выявлено.</x:v>
      </x:c>
      <x:c r="V4909" s="87" t="str">
        <x:v>VERIFIED</x:v>
      </x:c>
      <x:c r="W4909" s="87"/>
      <x:c r="X4909" s="87" t="n">
        <x:v>11</x:v>
      </x:c>
      <x:c r="Y4909" s="87"/>
      <x:c r="Z4909" s="87"/>
      <x:c r="AA4909" s="87"/>
      <x:c r="AB4909" s="87" t="str">
        <x:v>[10, 11]</x:v>
      </x:c>
      <x:c r="AC4909" s="87" t="str">
        <x:v>VIS-MATH-MAY-PROF-TASK-P011</x:v>
      </x:c>
      <x:c r="AD4909" s="87" t="str">
        <x:v>VIS-MATH-MAY-PROF-CRIT-P010; VIS-MATH-MAY-PROF-CRIT-P011</x:v>
      </x:c>
      <x:c r="AE4909" s="87" t="str">
        <x:v>TASK; CRIT</x:v>
      </x:c>
      <x:c r="AF4909" s="87" t="str">
        <x:v>VIS-MATH-MAY-PROF-TASK-P011: 11; VIS-MATH-MAY-PROF-CRIT-P010: 10; VIS-MATH-MAY-PROF-CRIT-P011: 11</x:v>
      </x:c>
      <x:c r="AG4909" s="87" t="str">
        <x:v>RESOLVED</x:v>
      </x:c>
      <x:c r="AH4909" s="87" t="str">
        <x:v>CROP_VERIFIED</x:v>
      </x:c>
      <x:c r="AI4909" s="30" t="str">
        <x:v>{"Уровень": "Профильный"}</x:v>
      </x:c>
      <x:c r="AJ4909" s="87" t="str">
        <x:v>clean</x:v>
      </x:c>
      <x:c r="AK4909" s="87" t="str">
        <x:v>clean-v0.09</x:v>
      </x:c>
      <x:c r="AL4909" s="87" t="str">
        <x:v>statgrad_clean_continuation_v0_09(1).xlsx</x:v>
      </x:c>
      <x:c r="AM4909" s="87" t="str">
        <x:v>MATH_May_0310</x:v>
      </x:c>
      <x:c r="AN4909" s="87" t="n">
        <x:v>15</x:v>
      </x:c>
    </x:row>
    <x:row r="4910">
      <x:c r="A4910" s="87" t="n">
        <x:v>4909</x:v>
      </x:c>
      <x:c r="B4910" s="87" t="str">
        <x:v>MAY-MATH-10-015</x:v>
      </x:c>
      <x:c r="C4910" s="87" t="str">
        <x:v>СтатГрад</x:v>
      </x:c>
      <x:c r="D4910" s="87" t="str">
        <x:v>Май 2026</x:v>
      </x:c>
      <x:c r="E4910" s="87"/>
      <x:c r="F4910" s="87"/>
      <x:c r="G4910" s="87" t="str">
        <x:v>Математика</x:v>
      </x:c>
      <x:c r="H4910" s="87" t="n">
        <x:v>10</x:v>
      </x:c>
      <x:c r="I4910" s="87" t="str">
        <x:v>ТР №2</x:v>
      </x:c>
      <x:c r="J4910" s="87" t="str">
        <x:v>МА2500310</x:v>
      </x:c>
      <x:c r="K4910" s="87" t="n">
        <x:v>15</x:v>
      </x:c>
      <x:c r="L4910" s="87" t="str">
        <x:v>Неравенство</x:v>
      </x:c>
      <x:c r="M4910" s="30" t="str">
        <x:v>1 1 − 1 − 1 Решите неравенство 256 x − 16 x − 2 ≥ 0.</x:v>
      </x:c>
      <x:c r="N4910" s="30" t="str">
        <x:v>(0; 4/5]</x:v>
      </x:c>
      <x:c r="O4910" s="30" t="str">
        <x:v>Полное решение и критерии сохранены; итог сверён с официальным решением.</x:v>
      </x:c>
      <x:c r="P4910" s="30" t="str">
        <x:v>Условие сопоставлено с официальным развёрнутым решением; обязательные шаги и итоговый ответ согласованы.</x:v>
      </x:c>
      <x:c r="Q4910" s="30"/>
      <x:c r="R4910" s="30" t="str">
        <x:v>1 1 − 1 − 1 Решите неравенство 256 x − 16 x − 2 ≥ 0. Решение. 1 Пусть t = 16 x , тогда неравенство примет вид 2 t − 16 t − 512 ≥ 0 ; ( t − 32 )( t + 16 ) ≥ 0 , Откуда находим t ≤− 16 ; t ≥ 32 . 1 При t ≤− 16 получим 16 x ≤− 16 , нет решений. 1 x 1 5 4При t ≥ 32 получим 16 ≥ 32 ; ≥ , откуда находим 0 &lt; x ≤ . x 4 5 4Решение исходного неравенства: 0 &lt; x ≤ . 5 4 </x:v>
      </x:c>
      <x:c r="S4910" s="30"/>
      <x:c r="T4910" s="30" t="str">
        <x:v>Kriterii_MA10-11_12052026.pdf</x:v>
      </x:c>
      <x:c r="U4910" s="30" t="str">
        <x:v>Расхождений с каноническим источником не выявлено.</x:v>
      </x:c>
      <x:c r="V4910" s="87" t="str">
        <x:v>VERIFIED</x:v>
      </x:c>
      <x:c r="W4910" s="87"/>
      <x:c r="X4910" s="87" t="n">
        <x:v>11</x:v>
      </x:c>
      <x:c r="Y4910" s="87"/>
      <x:c r="Z4910" s="87"/>
      <x:c r="AA4910" s="87"/>
      <x:c r="AB4910" s="87" t="str">
        <x:v>[11, 12]</x:v>
      </x:c>
      <x:c r="AC4910" s="87" t="str">
        <x:v>VIS-MATH-MAY-PROF-TASK-P011</x:v>
      </x:c>
      <x:c r="AD4910" s="87" t="str">
        <x:v>VIS-MATH-MAY-PROF-CRIT-P011; VIS-MATH-MAY-PROF-CRIT-P012</x:v>
      </x:c>
      <x:c r="AE4910" s="87" t="str">
        <x:v>TASK; CRIT</x:v>
      </x:c>
      <x:c r="AF4910" s="87" t="str">
        <x:v>VIS-MATH-MAY-PROF-TASK-P011: 11; VIS-MATH-MAY-PROF-CRIT-P011: 11; VIS-MATH-MAY-PROF-CRIT-P012: 12</x:v>
      </x:c>
      <x:c r="AG4910" s="87" t="str">
        <x:v>RESOLVED</x:v>
      </x:c>
      <x:c r="AH4910" s="87" t="str">
        <x:v>CROP_VERIFIED</x:v>
      </x:c>
      <x:c r="AI4910" s="30" t="str">
        <x:v>{"Уровень": "Профильный"}</x:v>
      </x:c>
      <x:c r="AJ4910" s="87" t="str">
        <x:v>clean</x:v>
      </x:c>
      <x:c r="AK4910" s="87" t="str">
        <x:v>clean-v0.09</x:v>
      </x:c>
      <x:c r="AL4910" s="87" t="str">
        <x:v>statgrad_clean_continuation_v0_09(1).xlsx</x:v>
      </x:c>
      <x:c r="AM4910" s="87" t="str">
        <x:v>MATH_May_0310</x:v>
      </x:c>
      <x:c r="AN4910" s="87" t="n">
        <x:v>16</x:v>
      </x:c>
    </x:row>
    <x:row r="4911">
      <x:c r="A4911" s="87" t="n">
        <x:v>4910</x:v>
      </x:c>
      <x:c r="B4911" s="87" t="str">
        <x:v>MAY-MATH-10-016</x:v>
      </x:c>
      <x:c r="C4911" s="87" t="str">
        <x:v>СтатГрад</x:v>
      </x:c>
      <x:c r="D4911" s="87" t="str">
        <x:v>Май 2026</x:v>
      </x:c>
      <x:c r="E4911" s="87"/>
      <x:c r="F4911" s="87"/>
      <x:c r="G4911" s="87" t="str">
        <x:v>Математика</x:v>
      </x:c>
      <x:c r="H4911" s="87" t="n">
        <x:v>10</x:v>
      </x:c>
      <x:c r="I4911" s="87" t="str">
        <x:v>ТР №2</x:v>
      </x:c>
      <x:c r="J4911" s="87" t="str">
        <x:v>МА2500310</x:v>
      </x:c>
      <x:c r="K4911" s="87" t="n">
        <x:v>16</x:v>
      </x:c>
      <x:c r="L4911" s="87" t="str">
        <x:v>Финансовая математика</x:v>
      </x:c>
      <x:c r="M4911" s="30" t="str">
        <x:v>15 декабря планируется взять кредит в банке на сумму 600 тысяч рублей на 11 месяцев. Условия его возврата таковы: — 1-го числа каждого месяца долг возрастает на r % по сравнению с концом предыдущего месяца; — со 2-го по 14-е число каждого месяца необходимо выплатить часть долга; — 15-го числа каждого месяца с 1-го по 10-й долг должен быть на одну и ту же сумму меньше долга на 15-е число предыдущего месяца; — 15-го числа 10-го месяца долг составит 200 тысяч рублей; — к 15-му числу 11-го месяца кредит должен быть полностью погашен. Найдите r , если известно, что общая сумма выплат после полного погашения кредита составит 732 тысячи рублей.</x:v>
      </x:c>
      <x:c r="N4911" s="30" t="str">
        <x:v>3</x:v>
      </x:c>
      <x:c r="O4911" s="30" t="str">
        <x:v>Полное решение и критерии сохранены; итог сверён с официальным решением.</x:v>
      </x:c>
      <x:c r="P4911" s="30" t="str">
        <x:v>Условие сопоставлено с официальным развёрнутым решением; обязательные шаги и итоговый ответ согласованы.</x:v>
      </x:c>
      <x:c r="Q4911" s="30"/>
      <x:c r="R4911" s="30" t="str">
        <x:v>15 декабря планируется взять кредит в банке на сумму 600 тысяч рублей на 11 месяцев. Условия его возврата таковы: — 1-го числа каждого месяца долг возрастает на r % по сравнению с концом предыдущего месяца; — со 2-го по 14-е число каждого месяца необходимо выплатить часть долга; — 15-го числа каждого месяца с 1-го по 10-й долг должен быть на одну и ту же сумму меньше долга на 15-е число предыдущего месяца; — 15-го числа 10-го месяца долг составит 200 тысяч рублей; — к 15-му числу 11-го месяца кредит должен быть полностью погашен. Найдите r , если известно, что общая сумма выплат после полного погашения кредита составит 732 тысячи рублей. Решение. По условию долг перед банком (в тыс. рублей) по состоянию на 15-е число должен уменьшаться до нуля следующим образом: 600; 560; 520; …; 240; 200; 0. rПервого числа каждого месяца долг возрастает на r %. Пусть k = 1 + , 100 тогда последовательность размеров долга (в тыс. рублей) по состоянию на 1-е число такова: 600k ; 560k ; …; 240k ; 200k . Таким образом, выплаты (в тыс. рублей) должны быть следующими: 600 ( k − 1 ) + 40 ; 560 ( k − 1 ) + 40 ; …; 240 ( k − 1 ) + 40 ; 200k . Всего следует выплатить 10 ⋅ 840 ( k − 1 ) ⋅ + 400 + 200 k = 4400 k − 3800 (тыс. рублей), 2 и мы получаем уравнение 4400 k − 3800 = 732 ; 4400 k = 4532 ; k = 1,03 ; r = 3 .</x:v>
      </x:c>
      <x:c r="S4911" s="30"/>
      <x:c r="T4911" s="30" t="str">
        <x:v>Kriterii_MA10-11_12052026.pdf</x:v>
      </x:c>
      <x:c r="U4911" s="30" t="str">
        <x:v>Расхождений с каноническим источником не выявлено.</x:v>
      </x:c>
      <x:c r="V4911" s="87" t="str">
        <x:v>VERIFIED</x:v>
      </x:c>
      <x:c r="W4911" s="87"/>
      <x:c r="X4911" s="87" t="n">
        <x:v>11</x:v>
      </x:c>
      <x:c r="Y4911" s="87"/>
      <x:c r="Z4911" s="87"/>
      <x:c r="AA4911" s="87"/>
      <x:c r="AB4911" s="87" t="str">
        <x:v>[12, 13]</x:v>
      </x:c>
      <x:c r="AC4911" s="87" t="str">
        <x:v>VIS-MATH-MAY-PROF-TASK-P011</x:v>
      </x:c>
      <x:c r="AD4911" s="87" t="str">
        <x:v>VIS-MATH-MAY-PROF-CRIT-P012; VIS-MATH-MAY-PROF-CRIT-P013</x:v>
      </x:c>
      <x:c r="AE4911" s="87" t="str">
        <x:v>TASK; CRIT</x:v>
      </x:c>
      <x:c r="AF4911" s="87" t="str">
        <x:v>VIS-MATH-MAY-PROF-TASK-P011: 11; VIS-MATH-MAY-PROF-CRIT-P012: 12; VIS-MATH-MAY-PROF-CRIT-P013: 13</x:v>
      </x:c>
      <x:c r="AG4911" s="87" t="str">
        <x:v>RESOLVED</x:v>
      </x:c>
      <x:c r="AH4911" s="87" t="str">
        <x:v>CROP_VERIFIED</x:v>
      </x:c>
      <x:c r="AI4911" s="30" t="str">
        <x:v>{"Уровень": "Профильный"}</x:v>
      </x:c>
      <x:c r="AJ4911" s="87" t="str">
        <x:v>clean</x:v>
      </x:c>
      <x:c r="AK4911" s="87" t="str">
        <x:v>clean-v0.09</x:v>
      </x:c>
      <x:c r="AL4911" s="87" t="str">
        <x:v>statgrad_clean_continuation_v0_09(1).xlsx</x:v>
      </x:c>
      <x:c r="AM4911" s="87" t="str">
        <x:v>MATH_May_0310</x:v>
      </x:c>
      <x:c r="AN4911" s="87" t="n">
        <x:v>17</x:v>
      </x:c>
    </x:row>
    <x:row r="4912">
      <x:c r="A4912" s="87" t="n">
        <x:v>4911</x:v>
      </x:c>
      <x:c r="B4912" s="87" t="str">
        <x:v>MAY-MATH-10-017</x:v>
      </x:c>
      <x:c r="C4912" s="87" t="str">
        <x:v>СтатГрад</x:v>
      </x:c>
      <x:c r="D4912" s="87" t="str">
        <x:v>Май 2026</x:v>
      </x:c>
      <x:c r="E4912" s="87"/>
      <x:c r="F4912" s="87"/>
      <x:c r="G4912" s="87" t="str">
        <x:v>Математика</x:v>
      </x:c>
      <x:c r="H4912" s="87" t="n">
        <x:v>10</x:v>
      </x:c>
      <x:c r="I4912" s="87" t="str">
        <x:v>ТР №2</x:v>
      </x:c>
      <x:c r="J4912" s="87" t="str">
        <x:v>МА2500310</x:v>
      </x:c>
      <x:c r="K4912" s="87" t="n">
        <x:v>17</x:v>
      </x:c>
      <x:c r="L4912" s="87" t="str">
        <x:v>Планиметрия</x:v>
      </x:c>
      <x:c r="M4912" s="30" t="str">
        <x:v>Дан равнобедренный треугольник ABC . Окружность с центром O на основании BC касается боковых сторон AB и AC . Касательная к этой окружности пересекает стороны AB и AC в точках M и N соответственно. а) Докажите, что отрезки OM и ON разбивают четырёхугольник BMNC на три подобных треугольника. б) Найдите длину отрезка AM , если треугольник ABC равносторонний, АВ = 20 и AN : NC = 2:3 .</x:v>
      </x:c>
      <x:c r="N4912" s="30" t="str">
        <x:v>35/3</x:v>
      </x:c>
      <x:c r="O4912" s="30" t="str">
        <x:v>Полное решение и критерии сохранены; итог сверён с официальным решением.</x:v>
      </x:c>
      <x:c r="P4912" s="30" t="str">
        <x:v>Условие сопоставлено с официальным развёрнутым решением; обязательные шаги и итоговый ответ согласованы.</x:v>
      </x:c>
      <x:c r="Q4912" s="30"/>
      <x:c r="R4912" s="30" t="str">
        <x:v>Дан равнобедренный треугольник ABC . Окружность с центром O на основании BC касается боковых сторон AB и AC . Касательная к этой окружности пересекает стороны AB и AC в точках M и N соответственно. а) Докажите, что отрезки OM и ON разбивают четырёхугольник BMNC на три подобных треугольника. б) Найдите длину отрезка AM , если треугольник ABC равносторонний, АВ = 20 и AN : NC = 2:3 . Решение. а) Стороны BM , MN и NC четырёхугольника BMNC являются касательными к окружности, значит, MO является биссектрисой угла BMN , 1а NO — биссектрисой угла MNC . Тогда ∠OMN = ∠BMN 2 1и ∠MNO = ∠MNC . 2 Сумма углов четырёхугольника BMNC равна 360°, углы ABC и ACB равны, как углы при основании равнобедренного треугольника, следовательно, ∠BMN + ∠MNC = 360 ° −∠2 ABC , ∠OMN + ∠MNO = 180° −∠ABC . С другой стороны, в треугольнике MON имеем ∠OMN + ∠MNO = 180° −∠MON , следовательно, углы MON и MBO равны. Также равны углы OMN и BMO . Значит, треугольники MON и MBO подобны. Аналогично из равенства углов MNO и ONC , а также углов MON и OCN следует подобие треугольников MON и OCN . Получаем, что треугольники MON , MBO и OCN подобны между собой. б) Треугольник ABC равносторонний, значит, AC = BC = AB = 20 . 3Поскольку AN : NC = 2:3 , получаем, что NC = AC = 12 . Точка O — 5 середина BC , значит, BO = OC = 10 . Из подобия треугольников MBO и OCN следует, что MB BO OC ⋅ BO 10 ⋅ 10 25 = , MB = = = . OC CN CN 12 3 Тогда 25 35 AM = AB − MB = 20 − = . 3 3 35</x:v>
      </x:c>
      <x:c r="S4912" s="30"/>
      <x:c r="T4912" s="30" t="str">
        <x:v>Kriterii_MA10-11_12052026.pdf</x:v>
      </x:c>
      <x:c r="U4912" s="30" t="str">
        <x:v>Расхождений с каноническим источником не выявлено.</x:v>
      </x:c>
      <x:c r="V4912" s="87" t="str">
        <x:v>VERIFIED</x:v>
      </x:c>
      <x:c r="W4912" s="87"/>
      <x:c r="X4912" s="87" t="n">
        <x:v>12</x:v>
      </x:c>
      <x:c r="Y4912" s="87"/>
      <x:c r="Z4912" s="87"/>
      <x:c r="AA4912" s="87"/>
      <x:c r="AB4912" s="87" t="str">
        <x:v>[13, 14]</x:v>
      </x:c>
      <x:c r="AC4912" s="87" t="str">
        <x:v>VIS-MATH-MAY-PROF-TASK-P012</x:v>
      </x:c>
      <x:c r="AD4912" s="87" t="str">
        <x:v>VIS-MATH-MAY-PROF-CRIT-P013; VIS-MATH-MAY-PROF-CRIT-P014</x:v>
      </x:c>
      <x:c r="AE4912" s="87" t="str">
        <x:v>TASK; CRIT</x:v>
      </x:c>
      <x:c r="AF4912" s="87" t="str">
        <x:v>VIS-MATH-MAY-PROF-TASK-P012: 12; VIS-MATH-MAY-PROF-CRIT-P013: 13; VIS-MATH-MAY-PROF-CRIT-P014: 14</x:v>
      </x:c>
      <x:c r="AG4912" s="87" t="str">
        <x:v>RESOLVED</x:v>
      </x:c>
      <x:c r="AH4912" s="87" t="str">
        <x:v>CROP_VERIFIED</x:v>
      </x:c>
      <x:c r="AI4912" s="30" t="str">
        <x:v>{"Уровень": "Профильный"}</x:v>
      </x:c>
      <x:c r="AJ4912" s="87" t="str">
        <x:v>clean</x:v>
      </x:c>
      <x:c r="AK4912" s="87" t="str">
        <x:v>clean-v0.09</x:v>
      </x:c>
      <x:c r="AL4912" s="87" t="str">
        <x:v>statgrad_clean_continuation_v0_09(1).xlsx</x:v>
      </x:c>
      <x:c r="AM4912" s="87" t="str">
        <x:v>MATH_May_0310</x:v>
      </x:c>
      <x:c r="AN4912" s="87" t="n">
        <x:v>18</x:v>
      </x:c>
    </x:row>
    <x:row r="4913">
      <x:c r="A4913" s="87" t="n">
        <x:v>4912</x:v>
      </x:c>
      <x:c r="B4913" s="87" t="str">
        <x:v>MAY-MATH-10-018</x:v>
      </x:c>
      <x:c r="C4913" s="87" t="str">
        <x:v>СтатГрад</x:v>
      </x:c>
      <x:c r="D4913" s="87" t="str">
        <x:v>Май 2026</x:v>
      </x:c>
      <x:c r="E4913" s="87"/>
      <x:c r="F4913" s="87"/>
      <x:c r="G4913" s="87" t="str">
        <x:v>Математика</x:v>
      </x:c>
      <x:c r="H4913" s="87" t="n">
        <x:v>10</x:v>
      </x:c>
      <x:c r="I4913" s="87" t="str">
        <x:v>ТР №2</x:v>
      </x:c>
      <x:c r="J4913" s="87" t="str">
        <x:v>МА2500310</x:v>
      </x:c>
      <x:c r="K4913" s="87" t="n">
        <x:v>18</x:v>
      </x:c>
      <x:c r="L4913" s="87" t="str">
        <x:v>Параметр</x:v>
      </x:c>
      <x:c r="M4913" s="30" t="str">
        <x:v>Найдите все значения ,a при каждом из которых система уравнений  x 2 − 3 x − y + 4 ⋅ x − y + 4 = 0, ( )   y = 3 x + a имеет ровно два различных решения.</x:v>
      </x:c>
      <x:c r="N4913" s="30" t="str">
        <x:v>a=-5 или -4≤a&lt;4</x:v>
      </x:c>
      <x:c r="O4913" s="30" t="str">
        <x:v>Полное решение и критерии сохранены; итог сверён с официальным решением.</x:v>
      </x:c>
      <x:c r="P4913" s="30" t="str">
        <x:v>Условие сопоставлено с официальным развёрнутым решением; обязательные шаги и итоговый ответ согласованы.</x:v>
      </x:c>
      <x:c r="Q4913" s="30"/>
      <x:c r="R4913" s="30" t="str">
        <x:v>Найдите все значения ,a при каждом из которых система уравнений  x 2 − 3 x − y + 4 ⋅ x − y + 4 = 0, ( )   y = 3 x + a имеет ровно два различных решения. Решение. 2Каждое решение уравнения x − 3 x − y + 4 ⋅ x − y + 4 = 0 либо является ( ) решением уравнения x − y + 4 = 0 , или, что равностльно, y = x + 4 , либо является решением системы − 3 x + 4,  y = x 2 − 3 x + 4,  x 2 − 3 x − y + 4 = 0,  y = x 2 − 3 x + 4,  y = x 2 − x y + 4 ≥ 0;  y ≤ x + 4;  x 2 − 3 x + 4 ≤ x + 4;  x 2 − 4 x ≤ 0, 2то есть y = x − 3 x + 4 при условии 0 ≤ x ≤ 4 . Для каждого из этих случаев подставим y = 3 x + a и найдём количество корней получившегося уравнения в зависимости от a . 4 − aПервый случай: 3 x + a = x + 4 , следовательно, x = . 2 2Второй случай: 3 x + a = x − 3 x + 4 при условии 0 ≤ x ≤ 4 . Получаем 2квадратное уравнение x − 6 x − a + 4 = 0 . Дискриминант этого уравнения 2равен 36 + 4 ( a − 4 ) = 4 ( a + 5 ) . Значит, уравнение x − 6 x − a + 4 = 0 имеет два С Г корня при a &gt; −,5 имеет единственный корень x = 3 при a = − 5 и не имеет корней при a &lt; −.5 При a &gt; − 5 функция f ( x ) = x 2 − 6 x − a + 4 принимает наименьшее значение при x = 3 , и это значение отрицательно. Следовательно, больший корень уравнения f ( x ) = 0 удовлетворяет условию 0 ≤ x ≤ 4 тогда и только тогда, когда f ( 4 ) ≥ 0 ; − a − 4 ≥ 0 , то есть a ≤− 4 . Аналогично меньший корень уравнения f ( x ) = 0 удовлетворяет условию 0 ≤ x ≤ 4 тогда и только тогда, когда f ( 0 ) ≥ 0 ; − a + 4 ≥ 0 , то есть a ≤ 4 . 4 − aЧисло является корнем квадратного уравнения f ( x ) = 0 2 4 − a 2при − 3 ( 4 − a ) − a + 4 = 0 , или, что равносильно, ( 2 ) 2 a − 4 + 2 ( a − 4 ) = 0 ; ( a − 4 )( a + 4 ) = 0 , то есть при a = 4 и при a = − 4 .( 2 ) Таким образом, исходная система уравнений имеет ровно два различных решения при a = −;5 −≤4 a &lt; 4 .</x:v>
      </x:c>
      <x:c r="S4913" s="30"/>
      <x:c r="T4913" s="30" t="str">
        <x:v>Kriterii_MA10-11_12052026.pdf</x:v>
      </x:c>
      <x:c r="U4913" s="30" t="str">
        <x:v>Расхождений с каноническим источником не выявлено.</x:v>
      </x:c>
      <x:c r="V4913" s="87" t="str">
        <x:v>VERIFIED</x:v>
      </x:c>
      <x:c r="W4913" s="87"/>
      <x:c r="X4913" s="87" t="n">
        <x:v>12</x:v>
      </x:c>
      <x:c r="Y4913" s="87"/>
      <x:c r="Z4913" s="87"/>
      <x:c r="AA4913" s="87"/>
      <x:c r="AB4913" s="87" t="str">
        <x:v>[14, 15, 16]</x:v>
      </x:c>
      <x:c r="AC4913" s="87" t="str">
        <x:v>VIS-MATH-MAY-PROF-TASK-P012</x:v>
      </x:c>
      <x:c r="AD4913" s="87" t="str">
        <x:v>VIS-MATH-MAY-PROF-CRIT-P014; VIS-MATH-MAY-PROF-CRIT-P015; VIS-MATH-MAY-PROF-CRIT-P016</x:v>
      </x:c>
      <x:c r="AE4913" s="87" t="str">
        <x:v>TASK; CRIT</x:v>
      </x:c>
      <x:c r="AF4913" s="87" t="str">
        <x:v>VIS-MATH-MAY-PROF-TASK-P012: 12; VIS-MATH-MAY-PROF-CRIT-P014: 14; VIS-MATH-MAY-PROF-CRIT-P015: 15; VIS-MATH-MAY-PROF-CRIT-P016: 16</x:v>
      </x:c>
      <x:c r="AG4913" s="87" t="str">
        <x:v>RESOLVED</x:v>
      </x:c>
      <x:c r="AH4913" s="87" t="str">
        <x:v>CROP_VERIFIED</x:v>
      </x:c>
      <x:c r="AI4913" s="30" t="str">
        <x:v>{"Уровень": "Профильный"}</x:v>
      </x:c>
      <x:c r="AJ4913" s="87" t="str">
        <x:v>clean</x:v>
      </x:c>
      <x:c r="AK4913" s="87" t="str">
        <x:v>clean-v0.09</x:v>
      </x:c>
      <x:c r="AL4913" s="87" t="str">
        <x:v>statgrad_clean_continuation_v0_09(1).xlsx</x:v>
      </x:c>
      <x:c r="AM4913" s="87" t="str">
        <x:v>MATH_May_0310</x:v>
      </x:c>
      <x:c r="AN4913" s="87" t="n">
        <x:v>19</x:v>
      </x:c>
    </x:row>
    <x:row r="4914">
      <x:c r="A4914" s="87" t="n">
        <x:v>4913</x:v>
      </x:c>
      <x:c r="B4914" s="87" t="str">
        <x:v>MAY-MATH-10-019</x:v>
      </x:c>
      <x:c r="C4914" s="87" t="str">
        <x:v>СтатГрад</x:v>
      </x:c>
      <x:c r="D4914" s="87" t="str">
        <x:v>Май 2026</x:v>
      </x:c>
      <x:c r="E4914" s="87"/>
      <x:c r="F4914" s="87"/>
      <x:c r="G4914" s="87" t="str">
        <x:v>Математика</x:v>
      </x:c>
      <x:c r="H4914" s="87" t="n">
        <x:v>10</x:v>
      </x:c>
      <x:c r="I4914" s="87" t="str">
        <x:v>ТР №2</x:v>
      </x:c>
      <x:c r="J4914" s="87" t="str">
        <x:v>МА2500310</x:v>
      </x:c>
      <x:c r="K4914" s="87" t="n">
        <x:v>19</x:v>
      </x:c>
      <x:c r="L4914" s="87" t="str">
        <x:v>Комбинаторика/теория чисел</x:v>
      </x:c>
      <x:c r="M4914" s="30" t="str">
        <x:v>Есть 13 монет по 2 рубля и 25 монет по 5 рублей. а) Можно ли этими монетами набрать сумму 149 рублей? б) Можно ли этими монетами набрать сумму 150 рублей? в) Какое наименьшее количество монет, каждая по 1 рублю, нужно добавить, чтобы иметь возможность набрать любую целую сумму от 1 рубля до 156 рублей включительно?</x:v>
      </x:c>
      <x:c r="N4914" s="30" t="str">
        <x:v>а) да; б) нет; в) 5</x:v>
      </x:c>
      <x:c r="O4914" s="30" t="str">
        <x:v>Полное решение и критерии сохранены; итог сверён с официальным решением.</x:v>
      </x:c>
      <x:c r="P4914" s="30" t="str">
        <x:v>Условие сопоставлено с официальным развёрнутым решением; обязательные шаги и итоговый ответ согласованы.</x:v>
      </x:c>
      <x:c r="Q4914" s="30"/>
      <x:c r="R4914" s="30" t="str">
        <x:v>Есть 13 монет по 2 рубля и 25 монет по 5 рублей. а) Можно ли этими монетами набрать сумму 149 рублей? б) Можно ли этими монетами набрать сумму 150 рублей? в) Какое наименьшее количество монет, каждая по 1 рублю, нужно добавить, чтобы иметь возможность набрать любую целую сумму от 1 рубля до 156 рублей включительно? Решение. а) Если взять 25 монет по 5 рублей и 12 монет по 2 рубля, то получится набрать сумму 149 рублей. б) Чтобы набрать сумму 150 рублей, нужно чётное количество монет по 5 рублей. Значит, этих монет не больше 24, а сумма их номиналов не превосходит 120 рублей. Таким образом, при помощи монет по 2 рубля нужно набрать не меньше 30 рублей, что невозможно, поскольку при помощи монет по 2 рубля можно набрать не больше 26 рублей. в) Заметим, что любая сумма, которую можно набрать при помощи имеющихся монет, не превосходит 151 рубля. Следовательно, чтобы набрать 156 рублей, нужно добавить ещё не меньше пяти монет по 1 рублю. Покажем, что если к имеющимся монетам добавить пять монет по 1 рублю, то можно набрать любую сумму до 156 рублей включительно. Для любой требуемой суммы S возьмём наибольшее количество монет по 5 рублей так, чтобы сумма их номиналов не превосходила S . Тогда останется взять ещё некоторое количество монет на сумму S 1 , не превосходящую 31 рубля. Теперь возьмём наибольшее количество монет по 2 рубля так, чтобы сумма их номиналов не превосходила S 1 . Тогда останется взять ещё некоторое количество монет на сумму от 0 до 5 рублей. Это можно сделать при помощи монет по 1 рублю.</x:v>
      </x:c>
      <x:c r="S4914" s="30"/>
      <x:c r="T4914" s="30" t="str">
        <x:v>Kriterii_MA10-11_12052026.pdf</x:v>
      </x:c>
      <x:c r="U4914" s="30" t="str">
        <x:v>Расхождений с каноническим источником не выявлено.</x:v>
      </x:c>
      <x:c r="V4914" s="87" t="str">
        <x:v>VERIFIED</x:v>
      </x:c>
      <x:c r="W4914" s="87"/>
      <x:c r="X4914" s="87" t="n">
        <x:v>12</x:v>
      </x:c>
      <x:c r="Y4914" s="87"/>
      <x:c r="Z4914" s="87"/>
      <x:c r="AA4914" s="87"/>
      <x:c r="AB4914" s="87" t="str">
        <x:v>[16]</x:v>
      </x:c>
      <x:c r="AC4914" s="87" t="str">
        <x:v>VIS-MATH-MAY-PROF-TASK-P012</x:v>
      </x:c>
      <x:c r="AD4914" s="87" t="str">
        <x:v>VIS-MATH-MAY-PROF-CRIT-P016</x:v>
      </x:c>
      <x:c r="AE4914" s="87" t="str">
        <x:v>TASK; CRIT</x:v>
      </x:c>
      <x:c r="AF4914" s="87" t="str">
        <x:v>VIS-MATH-MAY-PROF-TASK-P012: 12; VIS-MATH-MAY-PROF-CRIT-P016: 16</x:v>
      </x:c>
      <x:c r="AG4914" s="87" t="str">
        <x:v>RESOLVED</x:v>
      </x:c>
      <x:c r="AH4914" s="87" t="str">
        <x:v>CROP_VERIFIED</x:v>
      </x:c>
      <x:c r="AI4914" s="30" t="str">
        <x:v>{"Уровень": "Профильный"}</x:v>
      </x:c>
      <x:c r="AJ4914" s="87" t="str">
        <x:v>clean</x:v>
      </x:c>
      <x:c r="AK4914" s="87" t="str">
        <x:v>clean-v0.09</x:v>
      </x:c>
      <x:c r="AL4914" s="87" t="str">
        <x:v>statgrad_clean_continuation_v0_09(1).xlsx</x:v>
      </x:c>
      <x:c r="AM4914" s="87" t="str">
        <x:v>MATH_May_0310</x:v>
      </x:c>
      <x:c r="AN4914" s="87" t="n">
        <x:v>20</x:v>
      </x:c>
    </x:row>
    <x:row r="4915">
      <x:c r="A4915" s="87" t="n">
        <x:v>4914</x:v>
      </x:c>
      <x:c r="B4915" s="87" t="str">
        <x:v>EGKR-W25-RUS-901-01</x:v>
      </x:c>
      <x:c r="C4915" s="87" t="str">
        <x:v>ЕГКР</x:v>
      </x:c>
      <x:c r="D4915" s="87"/>
      <x:c r="E4915" s="87" t="str">
        <x:v>Зима 2025</x:v>
      </x:c>
      <x:c r="F4915" s="87" t="str">
        <x:v>09.12.2025</x:v>
      </x:c>
      <x:c r="G4915" s="87" t="str">
        <x:v>Русский язык</x:v>
      </x:c>
      <x:c r="H4915" s="87" t="n">
        <x:v>11</x:v>
      </x:c>
      <x:c r="I4915" s="87"/>
      <x:c r="J4915" s="87" t="str">
        <x:v>901</x:v>
      </x:c>
      <x:c r="K4915" s="87" t="n">
        <x:v>1</x:v>
      </x:c>
      <x:c r="L4915" s="87" t="str">
        <x:v>Связность текста: средство связи</x:v>
      </x:c>
      <x:c r="M4915" s="30" t="str">
        <x:v>Самостоятельно подберите вводнос слово, указывающее на связь мыслей, которое должно стоять на месте пропуска в последнем абзаце текста. Запишите это вводное слово. Ответ: *</x:v>
      </x:c>
      <x:c r="N4915" s="30" t="str">
        <x:v>так</x:v>
      </x:c>
      <x:c r="O4915" s="30" t="str">
        <x:v>Ответ перенесён из сводной таблицы и связан с исходным заданием.</x:v>
      </x:c>
      <x:c r="P4915" s="30"/>
      <x:c r="Q4915" s="30" t="str">
        <x:v>Ответ визуально сверён с таблицей ответов; условие привязано к исходной странице.</x:v>
      </x:c>
      <x:c r="R4915" s="30" t="str">
        <x:v>так</x:v>
      </x:c>
      <x:c r="S4915" s="30"/>
      <x:c r="T4915" s="30" t="str">
        <x:v>ОТВЕТЫ (2).docx</x:v>
      </x:c>
      <x:c r="U4915" s="30" t="str">
        <x:v>Расхождений с таблицей ответов не выявлено.</x:v>
      </x:c>
      <x:c r="V4915" s="87" t="str">
        <x:v>VERIFIED</x:v>
      </x:c>
      <x:c r="W4915" s="87"/>
      <x:c r="X4915" s="87"/>
      <x:c r="Y4915" s="87" t="n">
        <x:v>2</x:v>
      </x:c>
      <x:c r="Z4915" s="87" t="n">
        <x:v>1</x:v>
      </x:c>
      <x:c r="AA4915" s="87" t="str">
        <x:v>страница 3</x:v>
      </x:c>
      <x:c r="AB4915" s="87"/>
      <x:c r="AC4915" s="87" t="str">
        <x:v>VIS-EGKR-RUS-W25-TASK-901-P001</x:v>
      </x:c>
      <x:c r="AD4915" s="87" t="str">
        <x:v>VIS-EGKR-RUS-W25-KEY-ALL-P003</x:v>
      </x:c>
      <x:c r="AE4915" s="87" t="str">
        <x:v>TASK; KEY</x:v>
      </x:c>
      <x:c r="AF4915" s="87" t="str">
        <x:v>VIS-EGKR-RUS-W25-TASK-901-P001: 1; VIS-EGKR-RUS-W25-KEY-ALL-P003: 3</x:v>
      </x:c>
      <x:c r="AG4915" s="87" t="str">
        <x:v>RESOLVED</x:v>
      </x:c>
      <x:c r="AH4915" s="87" t="str">
        <x:v>CROP_VERIFIED</x:v>
      </x:c>
      <x:c r="AI4915" s="30"/>
      <x:c r="AJ4915" s="87" t="str">
        <x:v>clean</x:v>
      </x:c>
      <x:c r="AK4915" s="87" t="str">
        <x:v>clean-v0.10</x:v>
      </x:c>
      <x:c r="AL4915" s="87" t="str">
        <x:v>statgrad_clean_continuation_v0_10(1).xlsx</x:v>
      </x:c>
      <x:c r="AM4915" s="87" t="str">
        <x:v>RUS_EGKR_901</x:v>
      </x:c>
      <x:c r="AN4915" s="87" t="n">
        <x:v>2</x:v>
      </x:c>
    </x:row>
    <x:row r="4916">
      <x:c r="A4916" s="87" t="n">
        <x:v>4915</x:v>
      </x:c>
      <x:c r="B4916" s="87" t="str">
        <x:v>EGKR-W25-RUS-901-02</x:v>
      </x:c>
      <x:c r="C4916" s="87" t="str">
        <x:v>ЕГКР</x:v>
      </x:c>
      <x:c r="D4916" s="87"/>
      <x:c r="E4916" s="87" t="str">
        <x:v>Зима 2025</x:v>
      </x:c>
      <x:c r="F4916" s="87" t="str">
        <x:v>09.12.2025</x:v>
      </x:c>
      <x:c r="G4916" s="87" t="str">
        <x:v>Русский язык</x:v>
      </x:c>
      <x:c r="H4916" s="87" t="n">
        <x:v>11</x:v>
      </x:c>
      <x:c r="I4916" s="87"/>
      <x:c r="J4916" s="87" t="str">
        <x:v>901</x:v>
      </x:c>
      <x:c r="K4916" s="87" t="n">
        <x:v>2</x:v>
      </x:c>
      <x:c r="L4916" s="87" t="str">
        <x:v>Лексическое значение слова</x:v>
      </x:c>
      <x:c r="M4916" s="30" t="str">
        <x:v>В тексте выделено пять слов. Укажите варианты ответов, в которых лексическое значение выделенного слова соответствует сго значению в данном тексте. Запишите номера ответов. 1) ПРОЗРАЧНЫЙ. Легко воспринимаемый, простой, ясный. П. стиль пушкинской прозы. 2) СУЩЕСТВОВАТЬ. Вести бездеятельный, лишённый цели, смысла, духовных интересов образ жизни. Надоело с., хочется жить! Ты же не живёшь, а существуешь! 3) НЕРЕВОД. Текст (или устная речь), псреведённый с одного языка на другой. Дословный п. Учебник военного перевода. Синхронный п. 4) ПРИЖИТЬСЯ. Прожив где-либо некоторое время, приспособиться, привыкнуть к этому месту, к обстановке. JT. в деревне. П. на новой работе. Не смогла п. П. и остаться навсегда. 5) ВОЙТИ. Включиться в состав чего-либо; стать составной частью чего- либо. В. в список. В. в дело. Рассказы, вошедшие в собрание сочинений. Эти наблюдения вошли в доклад. Ответ: . Укажите варианты ответов, в которых даны</x:v>
      </x:c>
      <x:c r="N4916" s="30" t="str">
        <x:v>35</x:v>
      </x:c>
      <x:c r="O4916" s="30" t="str">
        <x:v>Ответ перенесён из сводной таблицы и связан с исходным заданием.</x:v>
      </x:c>
      <x:c r="P4916" s="30"/>
      <x:c r="Q4916" s="30" t="str">
        <x:v>Ответ визуально сверён с таблицей ответов; условие привязано к исходной странице.</x:v>
      </x:c>
      <x:c r="R4916" s="30" t="str">
        <x:v>35</x:v>
      </x:c>
      <x:c r="S4916" s="30"/>
      <x:c r="T4916" s="30" t="str">
        <x:v>ОТВЕТЫ (2).docx</x:v>
      </x:c>
      <x:c r="U4916" s="30" t="str">
        <x:v>Расхождений с таблицей ответов не выявлено.</x:v>
      </x:c>
      <x:c r="V4916" s="87" t="str">
        <x:v>VERIFIED</x:v>
      </x:c>
      <x:c r="W4916" s="87"/>
      <x:c r="X4916" s="87"/>
      <x:c r="Y4916" s="87" t="n">
        <x:v>3</x:v>
      </x:c>
      <x:c r="Z4916" s="87" t="n">
        <x:v>2</x:v>
      </x:c>
      <x:c r="AA4916" s="87" t="str">
        <x:v>страница 3</x:v>
      </x:c>
      <x:c r="AB4916" s="87"/>
      <x:c r="AC4916" s="87" t="str">
        <x:v>VIS-EGKR-RUS-W25-TASK-901-P002</x:v>
      </x:c>
      <x:c r="AD4916" s="87" t="str">
        <x:v>VIS-EGKR-RUS-W25-KEY-ALL-P003</x:v>
      </x:c>
      <x:c r="AE4916" s="87" t="str">
        <x:v>TASK; KEY</x:v>
      </x:c>
      <x:c r="AF4916" s="87" t="str">
        <x:v>VIS-EGKR-RUS-W25-TASK-901-P002: 2; VIS-EGKR-RUS-W25-KEY-ALL-P003: 3</x:v>
      </x:c>
      <x:c r="AG4916" s="87" t="str">
        <x:v>RESOLVED</x:v>
      </x:c>
      <x:c r="AH4916" s="87" t="str">
        <x:v>CROP_VERIFIED</x:v>
      </x:c>
      <x:c r="AI4916" s="30"/>
      <x:c r="AJ4916" s="87" t="str">
        <x:v>clean</x:v>
      </x:c>
      <x:c r="AK4916" s="87" t="str">
        <x:v>clean-v0.10</x:v>
      </x:c>
      <x:c r="AL4916" s="87" t="str">
        <x:v>statgrad_clean_continuation_v0_10(1).xlsx</x:v>
      </x:c>
      <x:c r="AM4916" s="87" t="str">
        <x:v>RUS_EGKR_901</x:v>
      </x:c>
      <x:c r="AN4916" s="87" t="n">
        <x:v>3</x:v>
      </x:c>
    </x:row>
    <x:row r="4917">
      <x:c r="A4917" s="87" t="n">
        <x:v>4916</x:v>
      </x:c>
      <x:c r="B4917" s="87" t="str">
        <x:v>EGKR-W25-RUS-901-03</x:v>
      </x:c>
      <x:c r="C4917" s="87" t="str">
        <x:v>ЕГКР</x:v>
      </x:c>
      <x:c r="D4917" s="87"/>
      <x:c r="E4917" s="87" t="str">
        <x:v>Зима 2025</x:v>
      </x:c>
      <x:c r="F4917" s="87" t="str">
        <x:v>09.12.2025</x:v>
      </x:c>
      <x:c r="G4917" s="87" t="str">
        <x:v>Русский язык</x:v>
      </x:c>
      <x:c r="H4917" s="87" t="n">
        <x:v>11</x:v>
      </x:c>
      <x:c r="I4917" s="87"/>
      <x:c r="J4917" s="87" t="str">
        <x:v>901</x:v>
      </x:c>
      <x:c r="K4917" s="87" t="n">
        <x:v>3</x:v>
      </x:c>
      <x:c r="L4917" s="87" t="str">
        <x:v>Стилистический и языковой анализ текста</x:v>
      </x:c>
      <x:c r="M4917" s="30" t="str">
        <x:v>верные характеристики текста. Запишите номера ответов. 1) Текст написан в публицистическом стиле, целью создания текста является привлечение внимания к проблеме изучения калькирования. 2) Ведущий тип речи в тексте — повествование. Во втором (2) абзаце выдвигается тезис, раскрывающий суть понятия «калька», в третьем (3) абзаце приводятся примеры калек в топонимике, в последнем абзаце содержатся примеры не прижившихся в языкс калек. 3) В тексте используются заимствованные слова (элементов, морфем, аббревиатура, топонимике), слова определённой тематической группы (калькирование, способов заимствования, иноязычной лексики) с целью точно передать информацию о калькировании. 4) Логичное и последовательное изложение материала достигается за счёт использования вводных слов и конструкций (как известно, по существу, строго говоря, например, так), вставных конструкций, содержащих пояснение. 5) Использование метафор (проникновения иноязычной лексики, не прижились в языке) способствует обеспечению выразительности текста. Ответ: :</x:v>
      </x:c>
      <x:c r="N4917" s="30" t="str">
        <x:v>1234</x:v>
      </x:c>
      <x:c r="O4917" s="30" t="str">
        <x:v>Ответ перенесён из сводной таблицы и связан с исходным заданием.</x:v>
      </x:c>
      <x:c r="P4917" s="30"/>
      <x:c r="Q4917" s="30" t="str">
        <x:v>Ответ визуально сверён с таблицей ответов; условие привязано к исходной странице.</x:v>
      </x:c>
      <x:c r="R4917" s="30" t="str">
        <x:v>1234</x:v>
      </x:c>
      <x:c r="S4917" s="30"/>
      <x:c r="T4917" s="30" t="str">
        <x:v>ОТВЕТЫ (2).docx</x:v>
      </x:c>
      <x:c r="U4917" s="30" t="str">
        <x:v>Расхождений с таблицей ответов не выявлено.</x:v>
      </x:c>
      <x:c r="V4917" s="87" t="str">
        <x:v>VERIFIED</x:v>
      </x:c>
      <x:c r="W4917" s="87"/>
      <x:c r="X4917" s="87"/>
      <x:c r="Y4917" s="87" t="n">
        <x:v>3</x:v>
      </x:c>
      <x:c r="Z4917" s="87" t="n">
        <x:v>2</x:v>
      </x:c>
      <x:c r="AA4917" s="87" t="str">
        <x:v>страница 3</x:v>
      </x:c>
      <x:c r="AB4917" s="87"/>
      <x:c r="AC4917" s="87" t="str">
        <x:v>VIS-EGKR-RUS-W25-TASK-901-P002</x:v>
      </x:c>
      <x:c r="AD4917" s="87" t="str">
        <x:v>VIS-EGKR-RUS-W25-KEY-ALL-P003</x:v>
      </x:c>
      <x:c r="AE4917" s="87" t="str">
        <x:v>TASK; KEY</x:v>
      </x:c>
      <x:c r="AF4917" s="87" t="str">
        <x:v>VIS-EGKR-RUS-W25-TASK-901-P002: 2; VIS-EGKR-RUS-W25-KEY-ALL-P003: 3</x:v>
      </x:c>
      <x:c r="AG4917" s="87" t="str">
        <x:v>RESOLVED</x:v>
      </x:c>
      <x:c r="AH4917" s="87" t="str">
        <x:v>CROP_VERIFIED</x:v>
      </x:c>
      <x:c r="AI4917" s="30"/>
      <x:c r="AJ4917" s="87" t="str">
        <x:v>clean</x:v>
      </x:c>
      <x:c r="AK4917" s="87" t="str">
        <x:v>clean-v0.10</x:v>
      </x:c>
      <x:c r="AL4917" s="87" t="str">
        <x:v>statgrad_clean_continuation_v0_10(1).xlsx</x:v>
      </x:c>
      <x:c r="AM4917" s="87" t="str">
        <x:v>RUS_EGKR_901</x:v>
      </x:c>
      <x:c r="AN4917" s="87" t="n">
        <x:v>4</x:v>
      </x:c>
    </x:row>
    <x:row r="4918">
      <x:c r="A4918" s="87" t="n">
        <x:v>4917</x:v>
      </x:c>
      <x:c r="B4918" s="87" t="str">
        <x:v>EGKR-W25-RUS-901-04</x:v>
      </x:c>
      <x:c r="C4918" s="87" t="str">
        <x:v>ЕГКР</x:v>
      </x:c>
      <x:c r="D4918" s="87"/>
      <x:c r="E4918" s="87" t="str">
        <x:v>Зима 2025</x:v>
      </x:c>
      <x:c r="F4918" s="87" t="str">
        <x:v>09.12.2025</x:v>
      </x:c>
      <x:c r="G4918" s="87" t="str">
        <x:v>Русский язык</x:v>
      </x:c>
      <x:c r="H4918" s="87" t="n">
        <x:v>11</x:v>
      </x:c>
      <x:c r="I4918" s="87"/>
      <x:c r="J4918" s="87" t="str">
        <x:v>901</x:v>
      </x:c>
      <x:c r="K4918" s="87" t="n">
        <x:v>4</x:v>
      </x:c>
      <x:c r="L4918" s="87" t="str">
        <x:v>Орфоэпические нормы</x:v>
      </x:c>
      <x:c r="M4918" s="30" t="str">
        <x:v>верно выделена буква, обозначающа; Ударный гласный звук. Запишите номера ответов. 1) Иксы 2) нАживший 3) занятА 4) лЕкторов 5) сосредоточЕние Ответ: ; ОИ В одном из приведённых ниже предложений</x:v>
      </x:c>
      <x:c r="N4918" s="30" t="str">
        <x:v>134</x:v>
      </x:c>
      <x:c r="O4918" s="30" t="str">
        <x:v>Ответ перенесён из сводной таблицы и связан с исходным заданием.</x:v>
      </x:c>
      <x:c r="P4918" s="30"/>
      <x:c r="Q4918" s="30" t="str">
        <x:v>Ответ визуально сверён с таблицей ответов; условие привязано к исходной странице.</x:v>
      </x:c>
      <x:c r="R4918" s="30" t="str">
        <x:v>134</x:v>
      </x:c>
      <x:c r="S4918" s="30"/>
      <x:c r="T4918" s="30" t="str">
        <x:v>ОТВЕТЫ (2).docx</x:v>
      </x:c>
      <x:c r="U4918" s="30" t="str">
        <x:v>Расхождений с таблицей ответов не выявлено.</x:v>
      </x:c>
      <x:c r="V4918" s="87" t="str">
        <x:v>VERIFIED</x:v>
      </x:c>
      <x:c r="W4918" s="87"/>
      <x:c r="X4918" s="87"/>
      <x:c r="Y4918" s="87" t="n">
        <x:v>4</x:v>
      </x:c>
      <x:c r="Z4918" s="87" t="n">
        <x:v>2</x:v>
      </x:c>
      <x:c r="AA4918" s="87" t="str">
        <x:v>страница 3</x:v>
      </x:c>
      <x:c r="AB4918" s="87"/>
      <x:c r="AC4918" s="87" t="str">
        <x:v>VIS-EGKR-RUS-W25-TASK-901-P002</x:v>
      </x:c>
      <x:c r="AD4918" s="87" t="str">
        <x:v>VIS-EGKR-RUS-W25-KEY-ALL-P003</x:v>
      </x:c>
      <x:c r="AE4918" s="87" t="str">
        <x:v>TASK; KEY</x:v>
      </x:c>
      <x:c r="AF4918" s="87" t="str">
        <x:v>VIS-EGKR-RUS-W25-TASK-901-P002: 2; VIS-EGKR-RUS-W25-KEY-ALL-P003: 3</x:v>
      </x:c>
      <x:c r="AG4918" s="87" t="str">
        <x:v>RESOLVED</x:v>
      </x:c>
      <x:c r="AH4918" s="87" t="str">
        <x:v>CROP_VERIFIED</x:v>
      </x:c>
      <x:c r="AI4918" s="30"/>
      <x:c r="AJ4918" s="87" t="str">
        <x:v>clean</x:v>
      </x:c>
      <x:c r="AK4918" s="87" t="str">
        <x:v>clean-v0.10</x:v>
      </x:c>
      <x:c r="AL4918" s="87" t="str">
        <x:v>statgrad_clean_continuation_v0_10(1).xlsx</x:v>
      </x:c>
      <x:c r="AM4918" s="87" t="str">
        <x:v>RUS_EGKR_901</x:v>
      </x:c>
      <x:c r="AN4918" s="87" t="n">
        <x:v>5</x:v>
      </x:c>
    </x:row>
    <x:row r="4919">
      <x:c r="A4919" s="87" t="n">
        <x:v>4918</x:v>
      </x:c>
      <x:c r="B4919" s="87" t="str">
        <x:v>EGKR-W25-RUS-901-05</x:v>
      </x:c>
      <x:c r="C4919" s="87" t="str">
        <x:v>ЕГКР</x:v>
      </x:c>
      <x:c r="D4919" s="87"/>
      <x:c r="E4919" s="87" t="str">
        <x:v>Зима 2025</x:v>
      </x:c>
      <x:c r="F4919" s="87" t="str">
        <x:v>09.12.2025</x:v>
      </x:c>
      <x:c r="G4919" s="87" t="str">
        <x:v>Русский язык</x:v>
      </x:c>
      <x:c r="H4919" s="87" t="n">
        <x:v>11</x:v>
      </x:c>
      <x:c r="I4919" s="87"/>
      <x:c r="J4919" s="87" t="str">
        <x:v>901</x:v>
      </x:c>
      <x:c r="K4919" s="87" t="n">
        <x:v>5</x:v>
      </x:c>
      <x:c r="L4919" s="87" t="str">
        <x:v>Паронимы и лексическая сочетаемость</x:v>
      </x:c>
      <x:c r="M4919" s="30" t="str">
        <x:v>НЕВЕРНО употреблено выделенное слово. Исправьте лексическую — ошибку, подобрав к выделенному слову пароним. Запишите подобранное слово, соблюдая пормы современного русского литературного языка. Высокое ИСПОЛНИТЕЛЬСКОЕ мастерство, передающееся из поколения в поколенис, виртуозность работы выдувальщиков, безудержная фантазия художников — секреты успеха Гусевского хрустального завода. Известный драматический талант, артист Куролесов Савва Потанович, исполнит ОБРЫВОК из «Скупого рыцаря» поэта Пушкина. Для восстановления целостности генов система репарации ДНК может ЗАПОЛНИТЬ повреждённый участок случайными нуклеотидами. Он исхудал, лицо приобрело ЗЕМЛИСТЫЙ оттенок, всегдашний румянец спал. Они вышли из парка, и шум города ОХВАТИЛ их, разрушая прелесть молчаливой прогулки. Ответ: : en</x:v>
      </x:c>
      <x:c r="N4919" s="30" t="str">
        <x:v>отрывок</x:v>
      </x:c>
      <x:c r="O4919" s="30" t="str">
        <x:v>Ответ перенесён из сводной таблицы и связан с исходным заданием.</x:v>
      </x:c>
      <x:c r="P4919" s="30"/>
      <x:c r="Q4919" s="30" t="str">
        <x:v>Ответ визуально сверён с таблицей ответов; условие привязано к исходной странице.</x:v>
      </x:c>
      <x:c r="R4919" s="30" t="str">
        <x:v>отрывок</x:v>
      </x:c>
      <x:c r="S4919" s="30"/>
      <x:c r="T4919" s="30" t="str">
        <x:v>ОТВЕТЫ (2).docx</x:v>
      </x:c>
      <x:c r="U4919" s="30" t="str">
        <x:v>Расхождений с таблицей ответов не выявлено.</x:v>
      </x:c>
      <x:c r="V4919" s="87" t="str">
        <x:v>VERIFIED</x:v>
      </x:c>
      <x:c r="W4919" s="87"/>
      <x:c r="X4919" s="87"/>
      <x:c r="Y4919" s="87" t="n">
        <x:v>4</x:v>
      </x:c>
      <x:c r="Z4919" s="87" t="n">
        <x:v>2</x:v>
      </x:c>
      <x:c r="AA4919" s="87" t="str">
        <x:v>страница 3</x:v>
      </x:c>
      <x:c r="AB4919" s="87"/>
      <x:c r="AC4919" s="87" t="str">
        <x:v>VIS-EGKR-RUS-W25-TASK-901-P002</x:v>
      </x:c>
      <x:c r="AD4919" s="87" t="str">
        <x:v>VIS-EGKR-RUS-W25-KEY-ALL-P003</x:v>
      </x:c>
      <x:c r="AE4919" s="87" t="str">
        <x:v>TASK; KEY</x:v>
      </x:c>
      <x:c r="AF4919" s="87" t="str">
        <x:v>VIS-EGKR-RUS-W25-TASK-901-P002: 2; VIS-EGKR-RUS-W25-KEY-ALL-P003: 3</x:v>
      </x:c>
      <x:c r="AG4919" s="87" t="str">
        <x:v>RESOLVED</x:v>
      </x:c>
      <x:c r="AH4919" s="87" t="str">
        <x:v>CROP_VERIFIED</x:v>
      </x:c>
      <x:c r="AI4919" s="30"/>
      <x:c r="AJ4919" s="87" t="str">
        <x:v>clean</x:v>
      </x:c>
      <x:c r="AK4919" s="87" t="str">
        <x:v>clean-v0.10</x:v>
      </x:c>
      <x:c r="AL4919" s="87" t="str">
        <x:v>statgrad_clean_continuation_v0_10(1).xlsx</x:v>
      </x:c>
      <x:c r="AM4919" s="87" t="str">
        <x:v>RUS_EGKR_901</x:v>
      </x:c>
      <x:c r="AN4919" s="87" t="n">
        <x:v>6</x:v>
      </x:c>
    </x:row>
    <x:row r="4920">
      <x:c r="A4920" s="87" t="n">
        <x:v>4919</x:v>
      </x:c>
      <x:c r="B4920" s="87" t="str">
        <x:v>EGKR-W25-RUS-901-06</x:v>
      </x:c>
      <x:c r="C4920" s="87" t="str">
        <x:v>ЕГКР</x:v>
      </x:c>
      <x:c r="D4920" s="87"/>
      <x:c r="E4920" s="87" t="str">
        <x:v>Зима 2025</x:v>
      </x:c>
      <x:c r="F4920" s="87" t="str">
        <x:v>09.12.2025</x:v>
      </x:c>
      <x:c r="G4920" s="87" t="str">
        <x:v>Русский язык</x:v>
      </x:c>
      <x:c r="H4920" s="87" t="n">
        <x:v>11</x:v>
      </x:c>
      <x:c r="I4920" s="87"/>
      <x:c r="J4920" s="87" t="str">
        <x:v>901</x:v>
      </x:c>
      <x:c r="K4920" s="87" t="n">
        <x:v>6</x:v>
      </x:c>
      <x:c r="L4920" s="87" t="str">
        <x:v>Лексическая норма / речевая избыточность</x:v>
      </x:c>
      <x:c r="M4920" s="30" t="str">
        <x:v>Отредактируйте предложение: исиравьте лексическую ошибку, исключив лишнее слово. Выпишите это слово. Основная суть рассказа А.П. Чехова «Толстый и тонкий» выражена в противопоставлении искренних дружсских отношений слепому и унизительному чинопочитанию. Ответ: . В одном из выделенных ниже слов допущена ошибка в образовании формы слова. Исправьте ошибку и запишите слово правильно. РЕДЧАЙШИЙ случай ремонт САПОГОВ благодаря ИМ в ОБЕИХ сериях не УСЛЫШАВ ответа Ответ: : © 2025 ФГЕНУ “Фепепапьшый marr полаглнишелииу озна RANA! CID! BI</x:v>
      </x:c>
      <x:c r="N4920" s="30" t="str">
        <x:v>основная</x:v>
      </x:c>
      <x:c r="O4920" s="30" t="str">
        <x:v>Ответ перенесён из сводной таблицы и связан с исходным заданием.</x:v>
      </x:c>
      <x:c r="P4920" s="30"/>
      <x:c r="Q4920" s="30" t="str">
        <x:v>Ответ визуально сверён с таблицей ответов; условие привязано к исходной странице.</x:v>
      </x:c>
      <x:c r="R4920" s="30" t="str">
        <x:v>основная</x:v>
      </x:c>
      <x:c r="S4920" s="30"/>
      <x:c r="T4920" s="30" t="str">
        <x:v>ОТВЕТЫ (2).docx</x:v>
      </x:c>
      <x:c r="U4920" s="30" t="str">
        <x:v>Расхождений с таблицей ответов не выявлено.</x:v>
      </x:c>
      <x:c r="V4920" s="87" t="str">
        <x:v>VERIFIED</x:v>
      </x:c>
      <x:c r="W4920" s="87"/>
      <x:c r="X4920" s="87"/>
      <x:c r="Y4920" s="87" t="n">
        <x:v>5</x:v>
      </x:c>
      <x:c r="Z4920" s="87" t="n">
        <x:v>3</x:v>
      </x:c>
      <x:c r="AA4920" s="87" t="str">
        <x:v>страница 3</x:v>
      </x:c>
      <x:c r="AB4920" s="87"/>
      <x:c r="AC4920" s="87" t="str">
        <x:v>VIS-EGKR-RUS-W25-TASK-901-P003</x:v>
      </x:c>
      <x:c r="AD4920" s="87" t="str">
        <x:v>VIS-EGKR-RUS-W25-KEY-ALL-P003</x:v>
      </x:c>
      <x:c r="AE4920" s="87" t="str">
        <x:v>TASK; KEY</x:v>
      </x:c>
      <x:c r="AF4920" s="87" t="str">
        <x:v>VIS-EGKR-RUS-W25-TASK-901-P003: 3; VIS-EGKR-RUS-W25-KEY-ALL-P003: 3</x:v>
      </x:c>
      <x:c r="AG4920" s="87" t="str">
        <x:v>RESOLVED</x:v>
      </x:c>
      <x:c r="AH4920" s="87" t="str">
        <x:v>CROP_VERIFIED</x:v>
      </x:c>
      <x:c r="AI4920" s="30"/>
      <x:c r="AJ4920" s="87" t="str">
        <x:v>clean</x:v>
      </x:c>
      <x:c r="AK4920" s="87" t="str">
        <x:v>clean-v0.10</x:v>
      </x:c>
      <x:c r="AL4920" s="87" t="str">
        <x:v>statgrad_clean_continuation_v0_10(1).xlsx</x:v>
      </x:c>
      <x:c r="AM4920" s="87" t="str">
        <x:v>RUS_EGKR_901</x:v>
      </x:c>
      <x:c r="AN4920" s="87" t="n">
        <x:v>7</x:v>
      </x:c>
    </x:row>
    <x:row r="4921">
      <x:c r="A4921" s="87" t="n">
        <x:v>4920</x:v>
      </x:c>
      <x:c r="B4921" s="87" t="str">
        <x:v>EGKR-W25-RUS-901-07</x:v>
      </x:c>
      <x:c r="C4921" s="87" t="str">
        <x:v>ЕГКР</x:v>
      </x:c>
      <x:c r="D4921" s="87"/>
      <x:c r="E4921" s="87" t="str">
        <x:v>Зима 2025</x:v>
      </x:c>
      <x:c r="F4921" s="87" t="str">
        <x:v>09.12.2025</x:v>
      </x:c>
      <x:c r="G4921" s="87" t="str">
        <x:v>Русский язык</x:v>
      </x:c>
      <x:c r="H4921" s="87" t="n">
        <x:v>11</x:v>
      </x:c>
      <x:c r="I4921" s="87"/>
      <x:c r="J4921" s="87" t="str">
        <x:v>901</x:v>
      </x:c>
      <x:c r="K4921" s="87" t="n">
        <x:v>7</x:v>
      </x:c>
      <x:c r="L4921" s="87" t="str">
        <x:v>Морфологические нормы</x:v>
      </x:c>
      <x:c r="M4921" s="30" t="str">
        <x:v>Задание №7. OCR-маркер не распознан; см. полную страницу источника. [$ | Отредактируйте предложение: исиравьте лексическую ошибку, исключив лишнее слово. Выпишите это слово. Основная суть рассказа А.П. Чехова «Толстый и тонкий» выражена в противопоставлении искренних дружсских отношений слепому и унизительному чинопочитанию. Ответ: . В одном из выделенных ниже слов допущена ошибка в образовании формы слова. Исправьте ошибку и запишите слово правильно. РЕДЧАЙШИЙ случай ремонт САПОГОВ благодаря ИМ в ОБЕИХ сериях не УСЛЫШАВ ответа Ответ: : © 2025 ФГЕНУ “Фепепапьшый marr полаглнишелииу озна RANA! CID! BI</x:v>
      </x:c>
      <x:c r="N4921" s="30" t="str">
        <x:v>сапог</x:v>
      </x:c>
      <x:c r="O4921" s="30" t="str">
        <x:v>Ответ перенесён из сводной таблицы и связан с исходным заданием.</x:v>
      </x:c>
      <x:c r="P4921" s="30"/>
      <x:c r="Q4921" s="30" t="str">
        <x:v>Ответ визуально сверён с таблицей ответов; условие привязано к исходной странице.</x:v>
      </x:c>
      <x:c r="R4921" s="30" t="str">
        <x:v>сапог</x:v>
      </x:c>
      <x:c r="S4921" s="30"/>
      <x:c r="T4921" s="30" t="str">
        <x:v>ОТВЕТЫ (2).docx</x:v>
      </x:c>
      <x:c r="U4921" s="30" t="str">
        <x:v>Расхождений с таблицей ответов не выявлено.</x:v>
      </x:c>
      <x:c r="V4921" s="87" t="str">
        <x:v>VERIFIED</x:v>
      </x:c>
      <x:c r="W4921" s="87"/>
      <x:c r="X4921" s="87"/>
      <x:c r="Y4921" s="87" t="n">
        <x:v>5</x:v>
      </x:c>
      <x:c r="Z4921" s="87" t="n">
        <x:v>3</x:v>
      </x:c>
      <x:c r="AA4921" s="87" t="str">
        <x:v>страница 3</x:v>
      </x:c>
      <x:c r="AB4921" s="87"/>
      <x:c r="AC4921" s="87" t="str">
        <x:v>VIS-EGKR-RUS-W25-TASK-901-P003</x:v>
      </x:c>
      <x:c r="AD4921" s="87" t="str">
        <x:v>VIS-EGKR-RUS-W25-KEY-ALL-P003</x:v>
      </x:c>
      <x:c r="AE4921" s="87" t="str">
        <x:v>TASK; KEY</x:v>
      </x:c>
      <x:c r="AF4921" s="87" t="str">
        <x:v>VIS-EGKR-RUS-W25-TASK-901-P003: 3; VIS-EGKR-RUS-W25-KEY-ALL-P003: 3</x:v>
      </x:c>
      <x:c r="AG4921" s="87" t="str">
        <x:v>RESOLVED</x:v>
      </x:c>
      <x:c r="AH4921" s="87" t="str">
        <x:v>CROP_VERIFIED</x:v>
      </x:c>
      <x:c r="AI4921" s="30"/>
      <x:c r="AJ4921" s="87" t="str">
        <x:v>clean</x:v>
      </x:c>
      <x:c r="AK4921" s="87" t="str">
        <x:v>clean-v0.10</x:v>
      </x:c>
      <x:c r="AL4921" s="87" t="str">
        <x:v>statgrad_clean_continuation_v0_10(1).xlsx</x:v>
      </x:c>
      <x:c r="AM4921" s="87" t="str">
        <x:v>RUS_EGKR_901</x:v>
      </x:c>
      <x:c r="AN4921" s="87" t="n">
        <x:v>8</x:v>
      </x:c>
    </x:row>
    <x:row r="4922">
      <x:c r="A4922" s="87" t="n">
        <x:v>4921</x:v>
      </x:c>
      <x:c r="B4922" s="87" t="str">
        <x:v>EGKR-W25-RUS-901-08</x:v>
      </x:c>
      <x:c r="C4922" s="87" t="str">
        <x:v>ЕГКР</x:v>
      </x:c>
      <x:c r="D4922" s="87"/>
      <x:c r="E4922" s="87" t="str">
        <x:v>Зима 2025</x:v>
      </x:c>
      <x:c r="F4922" s="87" t="str">
        <x:v>09.12.2025</x:v>
      </x:c>
      <x:c r="G4922" s="87" t="str">
        <x:v>Русский язык</x:v>
      </x:c>
      <x:c r="H4922" s="87" t="n">
        <x:v>11</x:v>
      </x:c>
      <x:c r="I4922" s="87"/>
      <x:c r="J4922" s="87" t="str">
        <x:v>901</x:v>
      </x:c>
      <x:c r="K4922" s="87" t="n">
        <x:v>8</x:v>
      </x:c>
      <x:c r="L4922" s="87" t="str">
        <x:v>Синтаксические нормы: соответствие ошибок</x:v>
      </x:c>
      <x:c r="M4922" s="30" t="str">
        <x:v>соответствие между грамматическими ошибками и предложениями, в которых они допущены: к каждой позиции первого столбца подберите соответствующую позицию из второго столбца. ГРАММАТИЧЕСКИЕ ПРЕДЛОЖЕНИЯ ОШИБКИ А) нарушение в построении 1) Обнаружив добычу, сова хватает сё предложения вытянутыми вперёд лапами с длинными, с несогласованным кривыми и острыми когтями. приложением 2) Название «Титаник» отсылает к титанам — Б) неправильное мифическим существам, построение предложения противопоставивших себя греческим с деепричастным богам, вступивших с ними в схватку оборотом и проигравших. В) неправильное 3) А.П. Чехов много путешествовал: ездил употребление падежной по южным губерниям, в Крым, na Кавказ, (предложно-падежной) остров Сахалин. формы управляемого 4) В Школе-коммуне имени Достоевского слова работали преданные к своему делу Г) неправильное педагоги. построение предложения 5) Герой рассказа «Кружевнины Насти» с причастным оборотом повествует о глубоких чувствах девушки, Д) ошибка в построении влюбившейся в художника Балашова. предложения 6) Молчалин не столько увлечён Софией, с однородными членами сколько озабочен продвижением по службе благодаря протекции её отца. 7) Работая вдвоём, у Ильфа и Петрова получилось написать роман о похождениях обаятельного жулика. 8) Герои кпиги А. Гайдара дорожат и ценят дружбу. 9) Работая над образом Жеглова, Владимир Высоцкий расспрашивал опытных. сыщиков об их работе, выяснял каждую мелочь. Запишите в таблицу выбранные цифры под соответствующими буквами. [Ав вед] Ответ: [|</x:v>
      </x:c>
      <x:c r="N4922" s="30" t="str">
        <x:v>57428</x:v>
      </x:c>
      <x:c r="O4922" s="30" t="str">
        <x:v>Ответ перенесён из сводной таблицы и связан с исходным заданием.</x:v>
      </x:c>
      <x:c r="P4922" s="30"/>
      <x:c r="Q4922" s="30" t="str">
        <x:v>Ответ визуально сверён с таблицей ответов; условие привязано к исходной странице.</x:v>
      </x:c>
      <x:c r="R4922" s="30" t="str">
        <x:v>57428</x:v>
      </x:c>
      <x:c r="S4922" s="30"/>
      <x:c r="T4922" s="30" t="str">
        <x:v>ОТВЕТЫ (2).docx</x:v>
      </x:c>
      <x:c r="U4922" s="30" t="str">
        <x:v>Расхождений с таблицей ответов не выявлено.</x:v>
      </x:c>
      <x:c r="V4922" s="87" t="str">
        <x:v>VERIFIED</x:v>
      </x:c>
      <x:c r="W4922" s="87"/>
      <x:c r="X4922" s="87"/>
      <x:c r="Y4922" s="87" t="n">
        <x:v>6</x:v>
      </x:c>
      <x:c r="Z4922" s="87" t="n">
        <x:v>3</x:v>
      </x:c>
      <x:c r="AA4922" s="87" t="str">
        <x:v>страница 3</x:v>
      </x:c>
      <x:c r="AB4922" s="87"/>
      <x:c r="AC4922" s="87" t="str">
        <x:v>VIS-EGKR-RUS-W25-TASK-901-P003</x:v>
      </x:c>
      <x:c r="AD4922" s="87" t="str">
        <x:v>VIS-EGKR-RUS-W25-KEY-ALL-P003</x:v>
      </x:c>
      <x:c r="AE4922" s="87" t="str">
        <x:v>TASK; KEY</x:v>
      </x:c>
      <x:c r="AF4922" s="87" t="str">
        <x:v>VIS-EGKR-RUS-W25-TASK-901-P003: 3; VIS-EGKR-RUS-W25-KEY-ALL-P003: 3</x:v>
      </x:c>
      <x:c r="AG4922" s="87" t="str">
        <x:v>RESOLVED</x:v>
      </x:c>
      <x:c r="AH4922" s="87" t="str">
        <x:v>CROP_VERIFIED</x:v>
      </x:c>
      <x:c r="AI4922" s="30"/>
      <x:c r="AJ4922" s="87" t="str">
        <x:v>clean</x:v>
      </x:c>
      <x:c r="AK4922" s="87" t="str">
        <x:v>clean-v0.10</x:v>
      </x:c>
      <x:c r="AL4922" s="87" t="str">
        <x:v>statgrad_clean_continuation_v0_10(1).xlsx</x:v>
      </x:c>
      <x:c r="AM4922" s="87" t="str">
        <x:v>RUS_EGKR_901</x:v>
      </x:c>
      <x:c r="AN4922" s="87" t="n">
        <x:v>9</x:v>
      </x:c>
    </x:row>
    <x:row r="4923">
      <x:c r="A4923" s="87" t="n">
        <x:v>4922</x:v>
      </x:c>
      <x:c r="B4923" s="87" t="str">
        <x:v>EGKR-W25-RUS-901-09</x:v>
      </x:c>
      <x:c r="C4923" s="87" t="str">
        <x:v>ЕГКР</x:v>
      </x:c>
      <x:c r="D4923" s="87"/>
      <x:c r="E4923" s="87" t="str">
        <x:v>Зима 2025</x:v>
      </x:c>
      <x:c r="F4923" s="87" t="str">
        <x:v>09.12.2025</x:v>
      </x:c>
      <x:c r="G4923" s="87" t="str">
        <x:v>Русский язык</x:v>
      </x:c>
      <x:c r="H4923" s="87" t="n">
        <x:v>11</x:v>
      </x:c>
      <x:c r="I4923" s="87"/>
      <x:c r="J4923" s="87" t="str">
        <x:v>901</x:v>
      </x:c>
      <x:c r="K4923" s="87" t="n">
        <x:v>9</x:v>
      </x:c>
      <x:c r="L4923" s="87" t="str">
        <x:v>Правописание корней</x:v>
      </x:c>
      <x:c r="M4923" s="30"/>
      <x:c r="N4923" s="30" t="str">
        <x:v>135</x:v>
      </x:c>
      <x:c r="O4923" s="30" t="str">
        <x:v>Ответ перенесён из сводной таблицы и связан с исходным заданием.</x:v>
      </x:c>
      <x:c r="P4923" s="30"/>
      <x:c r="Q4923" s="30" t="str">
        <x:v>Ответ визуально сверён с таблицей ответов; условие привязано к исходной странице.</x:v>
      </x:c>
      <x:c r="R4923" s="30" t="str">
        <x:v>135</x:v>
      </x:c>
      <x:c r="S4923" s="30"/>
      <x:c r="T4923" s="30" t="str">
        <x:v>ОТВЕТЫ (2).docx</x:v>
      </x:c>
      <x:c r="U4923" s="30" t="str">
        <x:v>Расхождений с таблицей ответов не выявлено.</x:v>
      </x:c>
      <x:c r="V4923" s="87" t="str">
        <x:v>VERIFIED</x:v>
      </x:c>
      <x:c r="W4923" s="87"/>
      <x:c r="X4923" s="87"/>
      <x:c r="Y4923" s="87" t="n">
        <x:v>7</x:v>
      </x:c>
      <x:c r="Z4923" s="87" t="n">
        <x:v>4</x:v>
      </x:c>
      <x:c r="AA4923" s="87" t="str">
        <x:v>страница 3</x:v>
      </x:c>
      <x:c r="AB4923" s="87"/>
      <x:c r="AC4923" s="87" t="str">
        <x:v>VIS-EGKR-RUS-W25-TASK-901-P004</x:v>
      </x:c>
      <x:c r="AD4923" s="87" t="str">
        <x:v>VIS-EGKR-RUS-W25-KEY-ALL-P003</x:v>
      </x:c>
      <x:c r="AE4923" s="87" t="str">
        <x:v>TASK; KEY</x:v>
      </x:c>
      <x:c r="AF4923" s="87" t="str">
        <x:v>VIS-EGKR-RUS-W25-TASK-901-P004: 4; VIS-EGKR-RUS-W25-KEY-ALL-P003: 3</x:v>
      </x:c>
      <x:c r="AG4923" s="87" t="str">
        <x:v>RESOLVED</x:v>
      </x:c>
      <x:c r="AH4923" s="87" t="str">
        <x:v>CROP_VERIFIED</x:v>
      </x:c>
      <x:c r="AI4923" s="30"/>
      <x:c r="AJ4923" s="87" t="str">
        <x:v>clean</x:v>
      </x:c>
      <x:c r="AK4923" s="87" t="str">
        <x:v>clean-v0.10</x:v>
      </x:c>
      <x:c r="AL4923" s="87" t="str">
        <x:v>statgrad_clean_continuation_v0_10(1).xlsx</x:v>
      </x:c>
      <x:c r="AM4923" s="87" t="str">
        <x:v>RUS_EGKR_901</x:v>
      </x:c>
      <x:c r="AN4923" s="87" t="n">
        <x:v>10</x:v>
      </x:c>
    </x:row>
    <x:row r="4924">
      <x:c r="A4924" s="87" t="n">
        <x:v>4923</x:v>
      </x:c>
      <x:c r="B4924" s="87" t="str">
        <x:v>EGKR-W25-RUS-901-10</x:v>
      </x:c>
      <x:c r="C4924" s="87" t="str">
        <x:v>ЕГКР</x:v>
      </x:c>
      <x:c r="D4924" s="87"/>
      <x:c r="E4924" s="87" t="str">
        <x:v>Зима 2025</x:v>
      </x:c>
      <x:c r="F4924" s="87" t="str">
        <x:v>09.12.2025</x:v>
      </x:c>
      <x:c r="G4924" s="87" t="str">
        <x:v>Русский язык</x:v>
      </x:c>
      <x:c r="H4924" s="87" t="n">
        <x:v>11</x:v>
      </x:c>
      <x:c r="I4924" s="87"/>
      <x:c r="J4924" s="87" t="str">
        <x:v>901</x:v>
      </x:c>
      <x:c r="K4924" s="87" t="n">
        <x:v>10</x:v>
      </x:c>
      <x:c r="L4924" s="87" t="str">
        <x:v>Правописание приставок и букв Ы/И</x:v>
      </x:c>
      <x:c r="M4924" s="30" t="str">
        <x:v>во всех словах одного ряда пропущена одна и та же буква. Запишите номера ответов. 1) р..организация, ант..научный, д.зинфекция 2) бе.. плодные (попытки), и..синя-чёрный, не. доровится 3) пр..терпеть (изменения), пр..дание (старины), беспр..станно 4) без..мянный, раз..грывать, сверх. зобретательный 5) раз..ём, ад..ютант, сверх..естественный Ответ: . ОНИ [ar | Укажите варианты ответов, в которых</x:v>
      </x:c>
      <x:c r="N4924" s="30" t="str">
        <x:v>35</x:v>
      </x:c>
      <x:c r="O4924" s="30" t="str">
        <x:v>Ответ перенесён из сводной таблицы и связан с исходным заданием.</x:v>
      </x:c>
      <x:c r="P4924" s="30"/>
      <x:c r="Q4924" s="30" t="str">
        <x:v>Ответ визуально сверён с таблицей ответов; условие привязано к исходной странице.</x:v>
      </x:c>
      <x:c r="R4924" s="30" t="str">
        <x:v>35</x:v>
      </x:c>
      <x:c r="S4924" s="30"/>
      <x:c r="T4924" s="30" t="str">
        <x:v>ОТВЕТЫ (2).docx</x:v>
      </x:c>
      <x:c r="U4924" s="30" t="str">
        <x:v>Расхождений с таблицей ответов не выявлено.</x:v>
      </x:c>
      <x:c r="V4924" s="87" t="str">
        <x:v>VERIFIED</x:v>
      </x:c>
      <x:c r="W4924" s="87"/>
      <x:c r="X4924" s="87"/>
      <x:c r="Y4924" s="87" t="n">
        <x:v>7</x:v>
      </x:c>
      <x:c r="Z4924" s="87" t="n">
        <x:v>4</x:v>
      </x:c>
      <x:c r="AA4924" s="87" t="str">
        <x:v>страница 3</x:v>
      </x:c>
      <x:c r="AB4924" s="87"/>
      <x:c r="AC4924" s="87" t="str">
        <x:v>VIS-EGKR-RUS-W25-TASK-901-P004</x:v>
      </x:c>
      <x:c r="AD4924" s="87" t="str">
        <x:v>VIS-EGKR-RUS-W25-KEY-ALL-P003</x:v>
      </x:c>
      <x:c r="AE4924" s="87" t="str">
        <x:v>TASK; KEY</x:v>
      </x:c>
      <x:c r="AF4924" s="87" t="str">
        <x:v>VIS-EGKR-RUS-W25-TASK-901-P004: 4; VIS-EGKR-RUS-W25-KEY-ALL-P003: 3</x:v>
      </x:c>
      <x:c r="AG4924" s="87" t="str">
        <x:v>RESOLVED</x:v>
      </x:c>
      <x:c r="AH4924" s="87" t="str">
        <x:v>CROP_VERIFIED</x:v>
      </x:c>
      <x:c r="AI4924" s="30"/>
      <x:c r="AJ4924" s="87" t="str">
        <x:v>clean</x:v>
      </x:c>
      <x:c r="AK4924" s="87" t="str">
        <x:v>clean-v0.10</x:v>
      </x:c>
      <x:c r="AL4924" s="87" t="str">
        <x:v>statgrad_clean_continuation_v0_10(1).xlsx</x:v>
      </x:c>
      <x:c r="AM4924" s="87" t="str">
        <x:v>RUS_EGKR_901</x:v>
      </x:c>
      <x:c r="AN4924" s="87" t="n">
        <x:v>11</x:v>
      </x:c>
    </x:row>
    <x:row r="4925">
      <x:c r="A4925" s="87" t="n">
        <x:v>4924</x:v>
      </x:c>
      <x:c r="B4925" s="87" t="str">
        <x:v>EGKR-W25-RUS-901-11</x:v>
      </x:c>
      <x:c r="C4925" s="87" t="str">
        <x:v>ЕГКР</x:v>
      </x:c>
      <x:c r="D4925" s="87"/>
      <x:c r="E4925" s="87" t="str">
        <x:v>Зима 2025</x:v>
      </x:c>
      <x:c r="F4925" s="87" t="str">
        <x:v>09.12.2025</x:v>
      </x:c>
      <x:c r="G4925" s="87" t="str">
        <x:v>Русский язык</x:v>
      </x:c>
      <x:c r="H4925" s="87" t="n">
        <x:v>11</x:v>
      </x:c>
      <x:c r="I4925" s="87"/>
      <x:c r="J4925" s="87" t="str">
        <x:v>901</x:v>
      </x:c>
      <x:c r="K4925" s="87" t="n">
        <x:v>11</x:v>
      </x:c>
      <x:c r="L4925" s="87" t="str">
        <x:v>Правописание суффиксов</x:v>
      </x:c>
      <x:c r="M4925" s="30" t="str">
        <x:v>в обоих словах одного ряда пропущена одна и та же буква. Запишите номера ответов. 1) объём. стый, (улица) обезлюд. ла 2) старич..к, посовет..ваться 3) игольч..тый, (завязать) накрепк.. 4) одерев..невший, строень..це 5) развед..ик, перебеж..ик Ответ: . ОИ</x:v>
      </x:c>
      <x:c r="N4925" s="30" t="str">
        <x:v>25</x:v>
      </x:c>
      <x:c r="O4925" s="30" t="str">
        <x:v>Ответ перенесён из сводной таблицы и связан с исходным заданием.</x:v>
      </x:c>
      <x:c r="P4925" s="30"/>
      <x:c r="Q4925" s="30" t="str">
        <x:v>Ответ визуально сверён с таблицей ответов; условие привязано к исходной странице.</x:v>
      </x:c>
      <x:c r="R4925" s="30" t="str">
        <x:v>25</x:v>
      </x:c>
      <x:c r="S4925" s="30"/>
      <x:c r="T4925" s="30" t="str">
        <x:v>ОТВЕТЫ (2).docx</x:v>
      </x:c>
      <x:c r="U4925" s="30" t="str">
        <x:v>Расхождений с таблицей ответов не выявлено.</x:v>
      </x:c>
      <x:c r="V4925" s="87" t="str">
        <x:v>VERIFIED</x:v>
      </x:c>
      <x:c r="W4925" s="87"/>
      <x:c r="X4925" s="87"/>
      <x:c r="Y4925" s="87" t="n">
        <x:v>7</x:v>
      </x:c>
      <x:c r="Z4925" s="87" t="n">
        <x:v>4</x:v>
      </x:c>
      <x:c r="AA4925" s="87" t="str">
        <x:v>страница 3</x:v>
      </x:c>
      <x:c r="AB4925" s="87"/>
      <x:c r="AC4925" s="87" t="str">
        <x:v>VIS-EGKR-RUS-W25-TASK-901-P004</x:v>
      </x:c>
      <x:c r="AD4925" s="87" t="str">
        <x:v>VIS-EGKR-RUS-W25-KEY-ALL-P003</x:v>
      </x:c>
      <x:c r="AE4925" s="87" t="str">
        <x:v>TASK; KEY</x:v>
      </x:c>
      <x:c r="AF4925" s="87" t="str">
        <x:v>VIS-EGKR-RUS-W25-TASK-901-P004: 4; VIS-EGKR-RUS-W25-KEY-ALL-P003: 3</x:v>
      </x:c>
      <x:c r="AG4925" s="87" t="str">
        <x:v>RESOLVED</x:v>
      </x:c>
      <x:c r="AH4925" s="87" t="str">
        <x:v>CROP_VERIFIED</x:v>
      </x:c>
      <x:c r="AI4925" s="30"/>
      <x:c r="AJ4925" s="87" t="str">
        <x:v>clean</x:v>
      </x:c>
      <x:c r="AK4925" s="87" t="str">
        <x:v>clean-v0.10</x:v>
      </x:c>
      <x:c r="AL4925" s="87" t="str">
        <x:v>statgrad_clean_continuation_v0_10(1).xlsx</x:v>
      </x:c>
      <x:c r="AM4925" s="87" t="str">
        <x:v>RUS_EGKR_901</x:v>
      </x:c>
      <x:c r="AN4925" s="87" t="n">
        <x:v>12</x:v>
      </x:c>
    </x:row>
    <x:row r="4926">
      <x:c r="A4926" s="87" t="n">
        <x:v>4925</x:v>
      </x:c>
      <x:c r="B4926" s="87" t="str">
        <x:v>EGKR-W25-RUS-901-12</x:v>
      </x:c>
      <x:c r="C4926" s="87" t="str">
        <x:v>ЕГКР</x:v>
      </x:c>
      <x:c r="D4926" s="87"/>
      <x:c r="E4926" s="87" t="str">
        <x:v>Зима 2025</x:v>
      </x:c>
      <x:c r="F4926" s="87" t="str">
        <x:v>09.12.2025</x:v>
      </x:c>
      <x:c r="G4926" s="87" t="str">
        <x:v>Русский язык</x:v>
      </x:c>
      <x:c r="H4926" s="87" t="n">
        <x:v>11</x:v>
      </x:c>
      <x:c r="I4926" s="87"/>
      <x:c r="J4926" s="87" t="str">
        <x:v>901</x:v>
      </x:c>
      <x:c r="K4926" s="87" t="n">
        <x:v>12</x:v>
      </x:c>
      <x:c r="L4926" s="87" t="str">
        <x:v>Личные окончания глаголов и суффиксы причастий</x:v>
      </x:c>
      <x:c r="M4926" s="30" t="str">
        <x:v>Задание №12. OCR-маркер не распознан; см. полную страницу источника. Укажите варианты ответов, в которых в обоих словах одного ряда пропущен: одна и та же буква. Запишите номера ответов. 1) (on) предвид.т (опасность), накле..нный 2) услыш..вший, (тени) мерещ..тся 3) выгляд..шь, леле..мый 4) бор..щийся, накле..вший (марку) 5) (розы) кол..тся, кочу. щий Ответ: . Укажите варианты ответов, в которых НЕ с выделенным словом пишется РАЗДЕЛЬНО. Запишите номера ответов. 1} Во время материализации часто обнаруживаются роковые недочёты той идеи, которая материализустся, а иногда и совершенная сё (НЕ)ПРИГОДНОСТЬ к жизни. 2) Так он просидел долгое время в оцепенении, (HE)CJIBILUA ни свиста птиц, ни плеска пущенных садовником фонтанов. 3) Федосья Ивановна, ни слова (НЕ)ПОНЯВШАЯ из разговора, осталась хлопотать в столовой. 4) Оказавшиеся (НЕСЪЕДОБНЫМИ огурцы заброшены далеко, за край поляны. 5) Мы обшарили всё вокруг, облазили кусты и все тропинки в радиусе (НЕМЕНЕЕ пятисот метров, однако ничего больше не нашли. </x:v>
      </x:c>
      <x:c r="N4926" s="30" t="str">
        <x:v>25</x:v>
      </x:c>
      <x:c r="O4926" s="30" t="str">
        <x:v>Ответ перенесён из сводной таблицы и связан с исходным заданием.</x:v>
      </x:c>
      <x:c r="P4926" s="30"/>
      <x:c r="Q4926" s="30" t="str">
        <x:v>Ответ визуально сверён с таблицей ответов; условие привязано к исходной странице.</x:v>
      </x:c>
      <x:c r="R4926" s="30" t="str">
        <x:v>25</x:v>
      </x:c>
      <x:c r="S4926" s="30"/>
      <x:c r="T4926" s="30" t="str">
        <x:v>ОТВЕТЫ (2).docx</x:v>
      </x:c>
      <x:c r="U4926" s="30" t="str">
        <x:v>Расхождений с таблицей ответов не выявлено.</x:v>
      </x:c>
      <x:c r="V4926" s="87" t="str">
        <x:v>VERIFIED</x:v>
      </x:c>
      <x:c r="W4926" s="87"/>
      <x:c r="X4926" s="87"/>
      <x:c r="Y4926" s="87" t="n">
        <x:v>8</x:v>
      </x:c>
      <x:c r="Z4926" s="87" t="n">
        <x:v>4</x:v>
      </x:c>
      <x:c r="AA4926" s="87" t="str">
        <x:v>страница 3</x:v>
      </x:c>
      <x:c r="AB4926" s="87"/>
      <x:c r="AC4926" s="87" t="str">
        <x:v>VIS-EGKR-RUS-W25-TASK-901-P004</x:v>
      </x:c>
      <x:c r="AD4926" s="87" t="str">
        <x:v>VIS-EGKR-RUS-W25-KEY-ALL-P003</x:v>
      </x:c>
      <x:c r="AE4926" s="87" t="str">
        <x:v>TASK; KEY</x:v>
      </x:c>
      <x:c r="AF4926" s="87" t="str">
        <x:v>VIS-EGKR-RUS-W25-TASK-901-P004: 4; VIS-EGKR-RUS-W25-KEY-ALL-P003: 3</x:v>
      </x:c>
      <x:c r="AG4926" s="87" t="str">
        <x:v>RESOLVED</x:v>
      </x:c>
      <x:c r="AH4926" s="87" t="str">
        <x:v>CROP_VERIFIED</x:v>
      </x:c>
      <x:c r="AI4926" s="30"/>
      <x:c r="AJ4926" s="87" t="str">
        <x:v>clean</x:v>
      </x:c>
      <x:c r="AK4926" s="87" t="str">
        <x:v>clean-v0.10</x:v>
      </x:c>
      <x:c r="AL4926" s="87" t="str">
        <x:v>statgrad_clean_continuation_v0_10(1).xlsx</x:v>
      </x:c>
      <x:c r="AM4926" s="87" t="str">
        <x:v>RUS_EGKR_901</x:v>
      </x:c>
      <x:c r="AN4926" s="87" t="n">
        <x:v>13</x:v>
      </x:c>
    </x:row>
    <x:row r="4927">
      <x:c r="A4927" s="87" t="n">
        <x:v>4926</x:v>
      </x:c>
      <x:c r="B4927" s="87" t="str">
        <x:v>EGKR-W25-RUS-901-13</x:v>
      </x:c>
      <x:c r="C4927" s="87" t="str">
        <x:v>ЕГКР</x:v>
      </x:c>
      <x:c r="D4927" s="87"/>
      <x:c r="E4927" s="87" t="str">
        <x:v>Зима 2025</x:v>
      </x:c>
      <x:c r="F4927" s="87" t="str">
        <x:v>09.12.2025</x:v>
      </x:c>
      <x:c r="G4927" s="87" t="str">
        <x:v>Русский язык</x:v>
      </x:c>
      <x:c r="H4927" s="87" t="n">
        <x:v>11</x:v>
      </x:c>
      <x:c r="I4927" s="87"/>
      <x:c r="J4927" s="87" t="str">
        <x:v>901</x:v>
      </x:c>
      <x:c r="K4927" s="87" t="n">
        <x:v>13</x:v>
      </x:c>
      <x:c r="L4927" s="87" t="str">
        <x:v>Правописание НЕ</x:v>
      </x:c>
      <x:c r="M4927" s="30" t="str">
        <x:v>НЕ с выделенным словом пишется РАЗДЕЛЬНО. Запишите номера ответов. 1} Во время материализации часто обнаруживаются роковые недочёты той идеи, которая материализустся, а иногда и совершенная сё (НЕ)ПРИГОДНОСТЬ к жизни. 2) Так он просидел долгое время в оцепенении, (HE)CJIBILUA ни свиста птиц, ни плеска пущенных садовником фонтанов. 3) Федосья Ивановна, ни слова (НЕ)ПОНЯВШАЯ из разговора, осталась хлопотать в столовой. 4) Оказавшиеся (НЕСЪЕДОБНЫМИ огурцы заброшены далеко, за край поляны. 5) Мы обшарили всё вокруг, облазили кусты и все тропинки в радиусе (НЕМЕНЕЕ пятисот метров, однако ничего больше не нашли. </x:v>
      </x:c>
      <x:c r="N4927" s="30" t="str">
        <x:v>235</x:v>
      </x:c>
      <x:c r="O4927" s="30" t="str">
        <x:v>Ответ перенесён из сводной таблицы и связан с исходным заданием.</x:v>
      </x:c>
      <x:c r="P4927" s="30"/>
      <x:c r="Q4927" s="30" t="str">
        <x:v>Ответ визуально сверён с таблицей ответов; условие привязано к исходной странице.</x:v>
      </x:c>
      <x:c r="R4927" s="30" t="str">
        <x:v>235</x:v>
      </x:c>
      <x:c r="S4927" s="30"/>
      <x:c r="T4927" s="30" t="str">
        <x:v>ОТВЕТЫ (2).docx</x:v>
      </x:c>
      <x:c r="U4927" s="30" t="str">
        <x:v>Расхождений с таблицей ответов не выявлено.</x:v>
      </x:c>
      <x:c r="V4927" s="87" t="str">
        <x:v>VERIFIED</x:v>
      </x:c>
      <x:c r="W4927" s="87"/>
      <x:c r="X4927" s="87"/>
      <x:c r="Y4927" s="87" t="n">
        <x:v>8</x:v>
      </x:c>
      <x:c r="Z4927" s="87" t="n">
        <x:v>4</x:v>
      </x:c>
      <x:c r="AA4927" s="87" t="str">
        <x:v>страница 3</x:v>
      </x:c>
      <x:c r="AB4927" s="87"/>
      <x:c r="AC4927" s="87" t="str">
        <x:v>VIS-EGKR-RUS-W25-TASK-901-P004</x:v>
      </x:c>
      <x:c r="AD4927" s="87" t="str">
        <x:v>VIS-EGKR-RUS-W25-KEY-ALL-P003</x:v>
      </x:c>
      <x:c r="AE4927" s="87" t="str">
        <x:v>TASK; KEY</x:v>
      </x:c>
      <x:c r="AF4927" s="87" t="str">
        <x:v>VIS-EGKR-RUS-W25-TASK-901-P004: 4; VIS-EGKR-RUS-W25-KEY-ALL-P003: 3</x:v>
      </x:c>
      <x:c r="AG4927" s="87" t="str">
        <x:v>RESOLVED</x:v>
      </x:c>
      <x:c r="AH4927" s="87" t="str">
        <x:v>CROP_VERIFIED</x:v>
      </x:c>
      <x:c r="AI4927" s="30"/>
      <x:c r="AJ4927" s="87" t="str">
        <x:v>clean</x:v>
      </x:c>
      <x:c r="AK4927" s="87" t="str">
        <x:v>clean-v0.10</x:v>
      </x:c>
      <x:c r="AL4927" s="87" t="str">
        <x:v>statgrad_clean_continuation_v0_10(1).xlsx</x:v>
      </x:c>
      <x:c r="AM4927" s="87" t="str">
        <x:v>RUS_EGKR_901</x:v>
      </x:c>
      <x:c r="AN4927" s="87" t="n">
        <x:v>14</x:v>
      </x:c>
    </x:row>
    <x:row r="4928">
      <x:c r="A4928" s="87" t="n">
        <x:v>4927</x:v>
      </x:c>
      <x:c r="B4928" s="87" t="str">
        <x:v>EGKR-W25-RUS-901-14</x:v>
      </x:c>
      <x:c r="C4928" s="87" t="str">
        <x:v>ЕГКР</x:v>
      </x:c>
      <x:c r="D4928" s="87"/>
      <x:c r="E4928" s="87" t="str">
        <x:v>Зима 2025</x:v>
      </x:c>
      <x:c r="F4928" s="87" t="str">
        <x:v>09.12.2025</x:v>
      </x:c>
      <x:c r="G4928" s="87" t="str">
        <x:v>Русский язык</x:v>
      </x:c>
      <x:c r="H4928" s="87" t="n">
        <x:v>11</x:v>
      </x:c>
      <x:c r="I4928" s="87"/>
      <x:c r="J4928" s="87" t="str">
        <x:v>901</x:v>
      </x:c>
      <x:c r="K4928" s="87" t="n">
        <x:v>14</x:v>
      </x:c>
      <x:c r="L4928" s="87" t="str">
        <x:v>Слитное, раздельное и дефисное написание</x:v>
      </x:c>
      <x:c r="M4928" s="30" t="str">
        <x:v>все выделенные слова пишутся ЧЕРЕЗ ДЕФИС. Запишите номера ответов. 1) Дулёвский фарфоровый завод (ПО)ПРЕЖНЕМУ является самым крупным заводом России и одним из крупнейших заводов Европы по выпуску (ВЫСОКО)КАЧЕСТВЕННОГО фарфора. 2) Матушка, видимо, тяготилась гостьей и отвечала ей с КАКИМ(ТО) грустным пренебрежением; отец изредка ЧУТЫЧУТЬ) морщил брови. 3) «Что это горит?» — (ПО)НЕМЕЦКИ сиросила она пустоту и подошла к окнам, на которых фантастическим узором лежали листья мороза, то багровые, то ЧЁРНО(СИНИЕ). 4) Глебов сел в кожаное (ТЕМНО)ВИШНЁВОЕ кресло, такое мягкос, что он сразу КАК(БУДТО) провалился в яму. 5} Санин был очень недурён собою, а {ВО)ВТОРЫХ, он и глуп не был и понабрался (КОЕ)ЧЕГО. Ответ: . ee [15 | Укажите цифру(ы), на месте которой(-ых}</x:v>
      </x:c>
      <x:c r="N4928" s="30" t="str">
        <x:v>235</x:v>
      </x:c>
      <x:c r="O4928" s="30" t="str">
        <x:v>Ответ перенесён из сводной таблицы и связан с исходным заданием.</x:v>
      </x:c>
      <x:c r="P4928" s="30"/>
      <x:c r="Q4928" s="30" t="str">
        <x:v>Ответ визуально сверён с таблицей ответов; условие привязано к исходной странице.</x:v>
      </x:c>
      <x:c r="R4928" s="30" t="str">
        <x:v>235</x:v>
      </x:c>
      <x:c r="S4928" s="30"/>
      <x:c r="T4928" s="30" t="str">
        <x:v>ОТВЕТЫ (2).docx</x:v>
      </x:c>
      <x:c r="U4928" s="30" t="str">
        <x:v>Расхождений с таблицей ответов не выявлено.</x:v>
      </x:c>
      <x:c r="V4928" s="87" t="str">
        <x:v>VERIFIED</x:v>
      </x:c>
      <x:c r="W4928" s="87"/>
      <x:c r="X4928" s="87"/>
      <x:c r="Y4928" s="87" t="n">
        <x:v>9</x:v>
      </x:c>
      <x:c r="Z4928" s="87" t="n">
        <x:v>5</x:v>
      </x:c>
      <x:c r="AA4928" s="87" t="str">
        <x:v>страница 3</x:v>
      </x:c>
      <x:c r="AB4928" s="87"/>
      <x:c r="AC4928" s="87" t="str">
        <x:v>VIS-EGKR-RUS-W25-TASK-901-P005</x:v>
      </x:c>
      <x:c r="AD4928" s="87" t="str">
        <x:v>VIS-EGKR-RUS-W25-KEY-ALL-P003</x:v>
      </x:c>
      <x:c r="AE4928" s="87" t="str">
        <x:v>TASK; KEY</x:v>
      </x:c>
      <x:c r="AF4928" s="87" t="str">
        <x:v>VIS-EGKR-RUS-W25-TASK-901-P005: 5; VIS-EGKR-RUS-W25-KEY-ALL-P003: 3</x:v>
      </x:c>
      <x:c r="AG4928" s="87" t="str">
        <x:v>RESOLVED</x:v>
      </x:c>
      <x:c r="AH4928" s="87" t="str">
        <x:v>CROP_VERIFIED</x:v>
      </x:c>
      <x:c r="AI4928" s="30"/>
      <x:c r="AJ4928" s="87" t="str">
        <x:v>clean</x:v>
      </x:c>
      <x:c r="AK4928" s="87" t="str">
        <x:v>clean-v0.10</x:v>
      </x:c>
      <x:c r="AL4928" s="87" t="str">
        <x:v>statgrad_clean_continuation_v0_10(1).xlsx</x:v>
      </x:c>
      <x:c r="AM4928" s="87" t="str">
        <x:v>RUS_EGKR_901</x:v>
      </x:c>
      <x:c r="AN4928" s="87" t="n">
        <x:v>15</x:v>
      </x:c>
    </x:row>
    <x:row r="4929">
      <x:c r="A4929" s="87" t="n">
        <x:v>4928</x:v>
      </x:c>
      <x:c r="B4929" s="87" t="str">
        <x:v>EGKR-W25-RUS-901-15</x:v>
      </x:c>
      <x:c r="C4929" s="87" t="str">
        <x:v>ЕГКР</x:v>
      </x:c>
      <x:c r="D4929" s="87"/>
      <x:c r="E4929" s="87" t="str">
        <x:v>Зима 2025</x:v>
      </x:c>
      <x:c r="F4929" s="87" t="str">
        <x:v>09.12.2025</x:v>
      </x:c>
      <x:c r="G4929" s="87" t="str">
        <x:v>Русский язык</x:v>
      </x:c>
      <x:c r="H4929" s="87" t="n">
        <x:v>11</x:v>
      </x:c>
      <x:c r="I4929" s="87"/>
      <x:c r="J4929" s="87" t="str">
        <x:v>901</x:v>
      </x:c>
      <x:c r="K4929" s="87" t="n">
        <x:v>15</x:v>
      </x:c>
      <x:c r="L4929" s="87" t="str">
        <x:v>Правописание Н/НН</x:v>
      </x:c>
      <x:c r="M4929" s="30" t="str">
        <x:v>пишется одна буква Н. Вошёл большого роста, соверше(1)о чёрный человек с глазами, как яичные белки. Он был в дли(2)ом малиновом кафтане, перепояса(3)ом шалью, другая шаль была обмота(4)а у него вокруг головы. Почтительно, но достойно поклонившись, он сказал по-французски, лома(5)0: — Господин приветствует вас, сударь, и просит передать, что с отме(6)ым удовольствием принимаст приглашение отужинать с вами. Ответ: : — Укажите предложения, в которых</x:v>
      </x:c>
      <x:c r="N4929" s="30" t="str">
        <x:v>4</x:v>
      </x:c>
      <x:c r="O4929" s="30" t="str">
        <x:v>Ответ перенесён из сводной таблицы и связан с исходным заданием.</x:v>
      </x:c>
      <x:c r="P4929" s="30"/>
      <x:c r="Q4929" s="30" t="str">
        <x:v>Ответ визуально сверён с таблицей ответов; условие привязано к исходной странице.</x:v>
      </x:c>
      <x:c r="R4929" s="30" t="str">
        <x:v>4</x:v>
      </x:c>
      <x:c r="S4929" s="30"/>
      <x:c r="T4929" s="30" t="str">
        <x:v>ОТВЕТЫ (2).docx</x:v>
      </x:c>
      <x:c r="U4929" s="30" t="str">
        <x:v>Расхождений с таблицей ответов не выявлено.</x:v>
      </x:c>
      <x:c r="V4929" s="87" t="str">
        <x:v>VERIFIED</x:v>
      </x:c>
      <x:c r="W4929" s="87"/>
      <x:c r="X4929" s="87"/>
      <x:c r="Y4929" s="87" t="n">
        <x:v>9</x:v>
      </x:c>
      <x:c r="Z4929" s="87" t="n">
        <x:v>5</x:v>
      </x:c>
      <x:c r="AA4929" s="87" t="str">
        <x:v>страница 3</x:v>
      </x:c>
      <x:c r="AB4929" s="87"/>
      <x:c r="AC4929" s="87" t="str">
        <x:v>VIS-EGKR-RUS-W25-TASK-901-P005</x:v>
      </x:c>
      <x:c r="AD4929" s="87" t="str">
        <x:v>VIS-EGKR-RUS-W25-KEY-ALL-P003</x:v>
      </x:c>
      <x:c r="AE4929" s="87" t="str">
        <x:v>TASK; KEY</x:v>
      </x:c>
      <x:c r="AF4929" s="87" t="str">
        <x:v>VIS-EGKR-RUS-W25-TASK-901-P005: 5; VIS-EGKR-RUS-W25-KEY-ALL-P003: 3</x:v>
      </x:c>
      <x:c r="AG4929" s="87" t="str">
        <x:v>RESOLVED</x:v>
      </x:c>
      <x:c r="AH4929" s="87" t="str">
        <x:v>CROP_VERIFIED</x:v>
      </x:c>
      <x:c r="AI4929" s="30"/>
      <x:c r="AJ4929" s="87" t="str">
        <x:v>clean</x:v>
      </x:c>
      <x:c r="AK4929" s="87" t="str">
        <x:v>clean-v0.10</x:v>
      </x:c>
      <x:c r="AL4929" s="87" t="str">
        <x:v>statgrad_clean_continuation_v0_10(1).xlsx</x:v>
      </x:c>
      <x:c r="AM4929" s="87" t="str">
        <x:v>RUS_EGKR_901</x:v>
      </x:c>
      <x:c r="AN4929" s="87" t="n">
        <x:v>16</x:v>
      </x:c>
    </x:row>
    <x:row r="4930">
      <x:c r="A4930" s="87" t="n">
        <x:v>4929</x:v>
      </x:c>
      <x:c r="B4930" s="87" t="str">
        <x:v>EGKR-W25-RUS-901-16</x:v>
      </x:c>
      <x:c r="C4930" s="87" t="str">
        <x:v>ЕГКР</x:v>
      </x:c>
      <x:c r="D4930" s="87"/>
      <x:c r="E4930" s="87" t="str">
        <x:v>Зима 2025</x:v>
      </x:c>
      <x:c r="F4930" s="87" t="str">
        <x:v>09.12.2025</x:v>
      </x:c>
      <x:c r="G4930" s="87" t="str">
        <x:v>Русский язык</x:v>
      </x:c>
      <x:c r="H4930" s="87" t="n">
        <x:v>11</x:v>
      </x:c>
      <x:c r="I4930" s="87"/>
      <x:c r="J4930" s="87" t="str">
        <x:v>901</x:v>
      </x:c>
      <x:c r="K4930" s="87" t="n">
        <x:v>16</x:v>
      </x:c>
      <x:c r="L4930" s="87" t="str">
        <x:v>Пунктуация в простом и сложносочинённом предложении</x:v>
      </x:c>
      <x:c r="M4930" s="30" t="str">
        <x:v>нужно поставить ОДНУ запятую. Запишите номера этих предложений. 1) Дорожки были влажные и вымытые и на одной из них Алексей Алексеевич заметил следы женских ног. 2) Унего был очень звонкий голос и совершенно не было слуха. 3) Изредка перешёптывались листья да отрывисто жужжали запоздалые пчёлы да где-то однообразно и неутомимо ворковала горлинка. 4) Граф был в той же зелёной шубе и в большой шляпе с белыми падающими на плечи и спину страусовыми перьями. 5) Бог смешал языки и люди перестали понимать друг друга и не могли продолжить возведение столпа. Ответ: : ee</x:v>
      </x:c>
      <x:c r="N4930" s="30" t="str">
        <x:v>145</x:v>
      </x:c>
      <x:c r="O4930" s="30" t="str">
        <x:v>Ответ перенесён из сводной таблицы и связан с исходным заданием.</x:v>
      </x:c>
      <x:c r="P4930" s="30"/>
      <x:c r="Q4930" s="30" t="str">
        <x:v>Ответ визуально сверён с таблицей ответов; условие привязано к исходной странице.</x:v>
      </x:c>
      <x:c r="R4930" s="30" t="str">
        <x:v>145</x:v>
      </x:c>
      <x:c r="S4930" s="30"/>
      <x:c r="T4930" s="30" t="str">
        <x:v>ОТВЕТЫ (2).docx</x:v>
      </x:c>
      <x:c r="U4930" s="30" t="str">
        <x:v>Расхождений с таблицей ответов не выявлено.</x:v>
      </x:c>
      <x:c r="V4930" s="87" t="str">
        <x:v>VERIFIED</x:v>
      </x:c>
      <x:c r="W4930" s="87"/>
      <x:c r="X4930" s="87"/>
      <x:c r="Y4930" s="87" t="n">
        <x:v>9</x:v>
      </x:c>
      <x:c r="Z4930" s="87" t="n">
        <x:v>5</x:v>
      </x:c>
      <x:c r="AA4930" s="87" t="str">
        <x:v>страница 3</x:v>
      </x:c>
      <x:c r="AB4930" s="87"/>
      <x:c r="AC4930" s="87" t="str">
        <x:v>VIS-EGKR-RUS-W25-TASK-901-P005</x:v>
      </x:c>
      <x:c r="AD4930" s="87" t="str">
        <x:v>VIS-EGKR-RUS-W25-KEY-ALL-P003</x:v>
      </x:c>
      <x:c r="AE4930" s="87" t="str">
        <x:v>TASK; KEY</x:v>
      </x:c>
      <x:c r="AF4930" s="87" t="str">
        <x:v>VIS-EGKR-RUS-W25-TASK-901-P005: 5; VIS-EGKR-RUS-W25-KEY-ALL-P003: 3</x:v>
      </x:c>
      <x:c r="AG4930" s="87" t="str">
        <x:v>RESOLVED</x:v>
      </x:c>
      <x:c r="AH4930" s="87" t="str">
        <x:v>CROP_VERIFIED</x:v>
      </x:c>
      <x:c r="AI4930" s="30"/>
      <x:c r="AJ4930" s="87" t="str">
        <x:v>clean</x:v>
      </x:c>
      <x:c r="AK4930" s="87" t="str">
        <x:v>clean-v0.10</x:v>
      </x:c>
      <x:c r="AL4930" s="87" t="str">
        <x:v>statgrad_clean_continuation_v0_10(1).xlsx</x:v>
      </x:c>
      <x:c r="AM4930" s="87" t="str">
        <x:v>RUS_EGKR_901</x:v>
      </x:c>
      <x:c r="AN4930" s="87" t="n">
        <x:v>17</x:v>
      </x:c>
    </x:row>
    <x:row r="4931">
      <x:c r="A4931" s="87" t="n">
        <x:v>4930</x:v>
      </x:c>
      <x:c r="B4931" s="87" t="str">
        <x:v>EGKR-W25-RUS-901-17</x:v>
      </x:c>
      <x:c r="C4931" s="87" t="str">
        <x:v>ЕГКР</x:v>
      </x:c>
      <x:c r="D4931" s="87"/>
      <x:c r="E4931" s="87" t="str">
        <x:v>Зима 2025</x:v>
      </x:c>
      <x:c r="F4931" s="87" t="str">
        <x:v>09.12.2025</x:v>
      </x:c>
      <x:c r="G4931" s="87" t="str">
        <x:v>Русский язык</x:v>
      </x:c>
      <x:c r="H4931" s="87" t="n">
        <x:v>11</x:v>
      </x:c>
      <x:c r="I4931" s="87"/>
      <x:c r="J4931" s="87" t="str">
        <x:v>901</x:v>
      </x:c>
      <x:c r="K4931" s="87" t="n">
        <x:v>17</x:v>
      </x:c>
      <x:c r="L4931" s="87" t="str">
        <x:v>Обособленные определения и обстоятельства</x:v>
      </x:c>
      <x:c r="M4931" s="30" t="str">
        <x:v>должна(-ы) стоять запятая(-ые). Анна Голубкина (1) только что вернувшаяся из Парижа (2) и (3) ободрёниая благожелательным поошрением Родена (4) стремительно набирала силу (5) работая с разными материалами (6) и (7) постигая возможности мрамора, бронзы, дерева, их значение в пластическом одухотворении образа. Ответ: . eee Укажите цифру(-ы), на месте которой(-ых)</x:v>
      </x:c>
      <x:c r="N4931" s="30" t="str">
        <x:v>145</x:v>
      </x:c>
      <x:c r="O4931" s="30" t="str">
        <x:v>Ответ перенесён из сводной таблицы и связан с исходным заданием.</x:v>
      </x:c>
      <x:c r="P4931" s="30"/>
      <x:c r="Q4931" s="30" t="str">
        <x:v>Ответ визуально сверён с таблицей ответов; условие привязано к исходной странице.</x:v>
      </x:c>
      <x:c r="R4931" s="30" t="str">
        <x:v>145</x:v>
      </x:c>
      <x:c r="S4931" s="30"/>
      <x:c r="T4931" s="30" t="str">
        <x:v>ОТВЕТЫ (2).docx</x:v>
      </x:c>
      <x:c r="U4931" s="30" t="str">
        <x:v>Расхождений с таблицей ответов не выявлено.</x:v>
      </x:c>
      <x:c r="V4931" s="87" t="str">
        <x:v>VERIFIED</x:v>
      </x:c>
      <x:c r="W4931" s="87"/>
      <x:c r="X4931" s="87"/>
      <x:c r="Y4931" s="87" t="n">
        <x:v>10</x:v>
      </x:c>
      <x:c r="Z4931" s="87" t="n">
        <x:v>5</x:v>
      </x:c>
      <x:c r="AA4931" s="87" t="str">
        <x:v>страница 3</x:v>
      </x:c>
      <x:c r="AB4931" s="87"/>
      <x:c r="AC4931" s="87" t="str">
        <x:v>VIS-EGKR-RUS-W25-TASK-901-P005</x:v>
      </x:c>
      <x:c r="AD4931" s="87" t="str">
        <x:v>VIS-EGKR-RUS-W25-KEY-ALL-P003</x:v>
      </x:c>
      <x:c r="AE4931" s="87" t="str">
        <x:v>TASK; KEY</x:v>
      </x:c>
      <x:c r="AF4931" s="87" t="str">
        <x:v>VIS-EGKR-RUS-W25-TASK-901-P005: 5; VIS-EGKR-RUS-W25-KEY-ALL-P003: 3</x:v>
      </x:c>
      <x:c r="AG4931" s="87" t="str">
        <x:v>RESOLVED</x:v>
      </x:c>
      <x:c r="AH4931" s="87" t="str">
        <x:v>CROP_VERIFIED</x:v>
      </x:c>
      <x:c r="AI4931" s="30"/>
      <x:c r="AJ4931" s="87" t="str">
        <x:v>clean</x:v>
      </x:c>
      <x:c r="AK4931" s="87" t="str">
        <x:v>clean-v0.10</x:v>
      </x:c>
      <x:c r="AL4931" s="87" t="str">
        <x:v>statgrad_clean_continuation_v0_10(1).xlsx</x:v>
      </x:c>
      <x:c r="AM4931" s="87" t="str">
        <x:v>RUS_EGKR_901</x:v>
      </x:c>
      <x:c r="AN4931" s="87" t="n">
        <x:v>18</x:v>
      </x:c>
    </x:row>
    <x:row r="4932">
      <x:c r="A4932" s="87" t="n">
        <x:v>4931</x:v>
      </x:c>
      <x:c r="B4932" s="87" t="str">
        <x:v>EGKR-W25-RUS-901-18</x:v>
      </x:c>
      <x:c r="C4932" s="87" t="str">
        <x:v>ЕГКР</x:v>
      </x:c>
      <x:c r="D4932" s="87"/>
      <x:c r="E4932" s="87" t="str">
        <x:v>Зима 2025</x:v>
      </x:c>
      <x:c r="F4932" s="87" t="str">
        <x:v>09.12.2025</x:v>
      </x:c>
      <x:c r="G4932" s="87" t="str">
        <x:v>Русский язык</x:v>
      </x:c>
      <x:c r="H4932" s="87" t="n">
        <x:v>11</x:v>
      </x:c>
      <x:c r="I4932" s="87"/>
      <x:c r="J4932" s="87" t="str">
        <x:v>901</x:v>
      </x:c>
      <x:c r="K4932" s="87" t="n">
        <x:v>18</x:v>
      </x:c>
      <x:c r="L4932" s="87" t="str">
        <x:v>Вводные слова и обращения</x:v>
      </x:c>
      <x:c r="M4932" s="30" t="str">
        <x:v>должна(-ы) стоять запятая(-ые). — Куда это (1) вы (2) товарищ генерал, — заметил худой юноша без кепки, — против течения? ~ А як грачу (3) молодой человек, — ответил генерал внушительным голосом. Генерал протискался к девочке, взял У неё грача, подержал его на ладони, как бы взвешивая, возвратил девочке и сказал: — Куда же (4) ты (5) ero везёшь? — В Зоопарк. Там я ero выпущу. — У нас на реке Сейме, — неожиданно сказал молоденький лейтенант и почтительно посмотрел на геперала, -. настоящее пернатое царство. Грач (6) конечно (7) птица умная и самостоятельная, но голоса У неё нет. А у нас — соловьи. Мировые соловьи. Весной наш край по ночам вссь поёт. (По К.Г. Паустовскому) Ответ: . ОИ Укажите цифру(-ы), на месте которой(-ых)</x:v>
      </x:c>
      <x:c r="N4932" s="30" t="str">
        <x:v>2367</x:v>
      </x:c>
      <x:c r="O4932" s="30" t="str">
        <x:v>Ответ перенесён из сводной таблицы и связан с исходным заданием.</x:v>
      </x:c>
      <x:c r="P4932" s="30"/>
      <x:c r="Q4932" s="30" t="str">
        <x:v>Ответ визуально сверён с таблицей ответов; условие привязано к исходной странице.</x:v>
      </x:c>
      <x:c r="R4932" s="30" t="str">
        <x:v>2367</x:v>
      </x:c>
      <x:c r="S4932" s="30"/>
      <x:c r="T4932" s="30" t="str">
        <x:v>ОТВЕТЫ (2).docx</x:v>
      </x:c>
      <x:c r="U4932" s="30" t="str">
        <x:v>Расхождений с таблицей ответов не выявлено.</x:v>
      </x:c>
      <x:c r="V4932" s="87" t="str">
        <x:v>VERIFIED</x:v>
      </x:c>
      <x:c r="W4932" s="87"/>
      <x:c r="X4932" s="87"/>
      <x:c r="Y4932" s="87" t="n">
        <x:v>10</x:v>
      </x:c>
      <x:c r="Z4932" s="87" t="n">
        <x:v>5</x:v>
      </x:c>
      <x:c r="AA4932" s="87" t="str">
        <x:v>страница 3</x:v>
      </x:c>
      <x:c r="AB4932" s="87"/>
      <x:c r="AC4932" s="87" t="str">
        <x:v>VIS-EGKR-RUS-W25-TASK-901-P005</x:v>
      </x:c>
      <x:c r="AD4932" s="87" t="str">
        <x:v>VIS-EGKR-RUS-W25-KEY-ALL-P003</x:v>
      </x:c>
      <x:c r="AE4932" s="87" t="str">
        <x:v>TASK; KEY</x:v>
      </x:c>
      <x:c r="AF4932" s="87" t="str">
        <x:v>VIS-EGKR-RUS-W25-TASK-901-P005: 5; VIS-EGKR-RUS-W25-KEY-ALL-P003: 3</x:v>
      </x:c>
      <x:c r="AG4932" s="87" t="str">
        <x:v>RESOLVED</x:v>
      </x:c>
      <x:c r="AH4932" s="87" t="str">
        <x:v>CROP_VERIFIED</x:v>
      </x:c>
      <x:c r="AI4932" s="30"/>
      <x:c r="AJ4932" s="87" t="str">
        <x:v>clean</x:v>
      </x:c>
      <x:c r="AK4932" s="87" t="str">
        <x:v>clean-v0.10</x:v>
      </x:c>
      <x:c r="AL4932" s="87" t="str">
        <x:v>statgrad_clean_continuation_v0_10(1).xlsx</x:v>
      </x:c>
      <x:c r="AM4932" s="87" t="str">
        <x:v>RUS_EGKR_901</x:v>
      </x:c>
      <x:c r="AN4932" s="87" t="n">
        <x:v>19</x:v>
      </x:c>
    </x:row>
    <x:row r="4933">
      <x:c r="A4933" s="87" t="n">
        <x:v>4932</x:v>
      </x:c>
      <x:c r="B4933" s="87" t="str">
        <x:v>EGKR-W25-RUS-901-19</x:v>
      </x:c>
      <x:c r="C4933" s="87" t="str">
        <x:v>ЕГКР</x:v>
      </x:c>
      <x:c r="D4933" s="87"/>
      <x:c r="E4933" s="87" t="str">
        <x:v>Зима 2025</x:v>
      </x:c>
      <x:c r="F4933" s="87" t="str">
        <x:v>09.12.2025</x:v>
      </x:c>
      <x:c r="G4933" s="87" t="str">
        <x:v>Русский язык</x:v>
      </x:c>
      <x:c r="H4933" s="87" t="n">
        <x:v>11</x:v>
      </x:c>
      <x:c r="I4933" s="87"/>
      <x:c r="J4933" s="87" t="str">
        <x:v>901</x:v>
      </x:c>
      <x:c r="K4933" s="87" t="n">
        <x:v>19</x:v>
      </x:c>
      <x:c r="L4933" s="87" t="str">
        <x:v>Знаки препинания в сложноподчинённом предложении</x:v>
      </x:c>
      <x:c r="M4933" s="30" t="str">
        <x:v>должна(-ы) стоять запятая(-ыс). Алёхин почувствовал (1) что его рассматривают (2) и (3) вполголоса запел по-русски (4) чтобы стоящий за дверью понял (5) что он не переодетый фашист. Ответ: . ОИ</x:v>
      </x:c>
      <x:c r="N4933" s="30" t="str">
        <x:v>1245</x:v>
      </x:c>
      <x:c r="O4933" s="30" t="str">
        <x:v>Ответ перенесён из сводной таблицы и связан с исходным заданием.</x:v>
      </x:c>
      <x:c r="P4933" s="30"/>
      <x:c r="Q4933" s="30" t="str">
        <x:v>Ответ визуально сверён с таблицей ответов; условие привязано к исходной странице.</x:v>
      </x:c>
      <x:c r="R4933" s="30" t="str">
        <x:v>1245</x:v>
      </x:c>
      <x:c r="S4933" s="30"/>
      <x:c r="T4933" s="30" t="str">
        <x:v>ОТВЕТЫ (2).docx</x:v>
      </x:c>
      <x:c r="U4933" s="30" t="str">
        <x:v>Расхождений с таблицей ответов не выявлено.</x:v>
      </x:c>
      <x:c r="V4933" s="87" t="str">
        <x:v>VERIFIED</x:v>
      </x:c>
      <x:c r="W4933" s="87"/>
      <x:c r="X4933" s="87"/>
      <x:c r="Y4933" s="87" t="n">
        <x:v>10</x:v>
      </x:c>
      <x:c r="Z4933" s="87" t="n">
        <x:v>5</x:v>
      </x:c>
      <x:c r="AA4933" s="87" t="str">
        <x:v>страница 3</x:v>
      </x:c>
      <x:c r="AB4933" s="87"/>
      <x:c r="AC4933" s="87" t="str">
        <x:v>VIS-EGKR-RUS-W25-TASK-901-P005</x:v>
      </x:c>
      <x:c r="AD4933" s="87" t="str">
        <x:v>VIS-EGKR-RUS-W25-KEY-ALL-P003</x:v>
      </x:c>
      <x:c r="AE4933" s="87" t="str">
        <x:v>TASK; KEY</x:v>
      </x:c>
      <x:c r="AF4933" s="87" t="str">
        <x:v>VIS-EGKR-RUS-W25-TASK-901-P005: 5; VIS-EGKR-RUS-W25-KEY-ALL-P003: 3</x:v>
      </x:c>
      <x:c r="AG4933" s="87" t="str">
        <x:v>RESOLVED</x:v>
      </x:c>
      <x:c r="AH4933" s="87" t="str">
        <x:v>CROP_VERIFIED</x:v>
      </x:c>
      <x:c r="AI4933" s="30"/>
      <x:c r="AJ4933" s="87" t="str">
        <x:v>clean</x:v>
      </x:c>
      <x:c r="AK4933" s="87" t="str">
        <x:v>clean-v0.10</x:v>
      </x:c>
      <x:c r="AL4933" s="87" t="str">
        <x:v>statgrad_clean_continuation_v0_10(1).xlsx</x:v>
      </x:c>
      <x:c r="AM4933" s="87" t="str">
        <x:v>RUS_EGKR_901</x:v>
      </x:c>
      <x:c r="AN4933" s="87" t="n">
        <x:v>20</x:v>
      </x:c>
    </x:row>
    <x:row r="4934">
      <x:c r="A4934" s="87" t="n">
        <x:v>4933</x:v>
      </x:c>
      <x:c r="B4934" s="87" t="str">
        <x:v>EGKR-W25-RUS-901-20</x:v>
      </x:c>
      <x:c r="C4934" s="87" t="str">
        <x:v>ЕГКР</x:v>
      </x:c>
      <x:c r="D4934" s="87"/>
      <x:c r="E4934" s="87" t="str">
        <x:v>Зима 2025</x:v>
      </x:c>
      <x:c r="F4934" s="87" t="str">
        <x:v>09.12.2025</x:v>
      </x:c>
      <x:c r="G4934" s="87" t="str">
        <x:v>Русский язык</x:v>
      </x:c>
      <x:c r="H4934" s="87" t="n">
        <x:v>11</x:v>
      </x:c>
      <x:c r="I4934" s="87"/>
      <x:c r="J4934" s="87" t="str">
        <x:v>901</x:v>
      </x:c>
      <x:c r="K4934" s="87" t="n">
        <x:v>20</x:v>
      </x:c>
      <x:c r="L4934" s="87" t="str">
        <x:v>Знаки препинания в сложном предложении</x:v>
      </x:c>
      <x:c r="M4934" s="30" t="str">
        <x:v>должна(-ы) стоять запятая(-ые). Если поступить «по человечеству» (1) To мы замнём дело (2) если же действовать «по закону» (3) то мы обязаны начать следствие (4) и (5) тогда человек погиб (6) потому что виновен. </x:v>
      </x:c>
      <x:c r="N4934" s="30" t="str">
        <x:v>12346</x:v>
      </x:c>
      <x:c r="O4934" s="30" t="str">
        <x:v>Ответ перенесён из сводной таблицы и связан с исходным заданием.</x:v>
      </x:c>
      <x:c r="P4934" s="30"/>
      <x:c r="Q4934" s="30" t="str">
        <x:v>Ответ визуально сверён с таблицей ответов; условие привязано к исходной странице.</x:v>
      </x:c>
      <x:c r="R4934" s="30" t="str">
        <x:v>12346</x:v>
      </x:c>
      <x:c r="S4934" s="30"/>
      <x:c r="T4934" s="30" t="str">
        <x:v>ОТВЕТЫ (2).docx</x:v>
      </x:c>
      <x:c r="U4934" s="30" t="str">
        <x:v>Расхождений с таблицей ответов не выявлено.</x:v>
      </x:c>
      <x:c r="V4934" s="87" t="str">
        <x:v>VERIFIED</x:v>
      </x:c>
      <x:c r="W4934" s="87"/>
      <x:c r="X4934" s="87"/>
      <x:c r="Y4934" s="87" t="n">
        <x:v>11</x:v>
      </x:c>
      <x:c r="Z4934" s="87" t="n">
        <x:v>6</x:v>
      </x:c>
      <x:c r="AA4934" s="87" t="str">
        <x:v>страница 3</x:v>
      </x:c>
      <x:c r="AB4934" s="87"/>
      <x:c r="AC4934" s="87" t="str">
        <x:v>VIS-EGKR-RUS-W25-TASK-901-P006</x:v>
      </x:c>
      <x:c r="AD4934" s="87" t="str">
        <x:v>VIS-EGKR-RUS-W25-KEY-ALL-P003</x:v>
      </x:c>
      <x:c r="AE4934" s="87" t="str">
        <x:v>TASK; KEY</x:v>
      </x:c>
      <x:c r="AF4934" s="87" t="str">
        <x:v>VIS-EGKR-RUS-W25-TASK-901-P006: 6; VIS-EGKR-RUS-W25-KEY-ALL-P003: 3</x:v>
      </x:c>
      <x:c r="AG4934" s="87" t="str">
        <x:v>RESOLVED</x:v>
      </x:c>
      <x:c r="AH4934" s="87" t="str">
        <x:v>CROP_VERIFIED</x:v>
      </x:c>
      <x:c r="AI4934" s="30"/>
      <x:c r="AJ4934" s="87" t="str">
        <x:v>clean</x:v>
      </x:c>
      <x:c r="AK4934" s="87" t="str">
        <x:v>clean-v0.10</x:v>
      </x:c>
      <x:c r="AL4934" s="87" t="str">
        <x:v>statgrad_clean_continuation_v0_10(1).xlsx</x:v>
      </x:c>
      <x:c r="AM4934" s="87" t="str">
        <x:v>RUS_EGKR_901</x:v>
      </x:c>
      <x:c r="AN4934" s="87" t="n">
        <x:v>21</x:v>
      </x:c>
    </x:row>
    <x:row r="4935">
      <x:c r="A4935" s="87" t="n">
        <x:v>4934</x:v>
      </x:c>
      <x:c r="B4935" s="87" t="str">
        <x:v>EGKR-W25-RUS-901-21</x:v>
      </x:c>
      <x:c r="C4935" s="87" t="str">
        <x:v>ЕГКР</x:v>
      </x:c>
      <x:c r="D4935" s="87"/>
      <x:c r="E4935" s="87" t="str">
        <x:v>Зима 2025</x:v>
      </x:c>
      <x:c r="F4935" s="87" t="str">
        <x:v>09.12.2025</x:v>
      </x:c>
      <x:c r="G4935" s="87" t="str">
        <x:v>Русский язык</x:v>
      </x:c>
      <x:c r="H4935" s="87" t="n">
        <x:v>11</x:v>
      </x:c>
      <x:c r="I4935" s="87"/>
      <x:c r="J4935" s="87" t="str">
        <x:v>901</x:v>
      </x:c>
      <x:c r="K4935" s="87" t="n">
        <x:v>21</x:v>
      </x:c>
      <x:c r="L4935" s="87" t="str">
        <x:v>Пунктуационный анализ</x:v>
      </x:c>
      <x:c r="M4935" s="30" t="str">
        <x:v>Найдите предложения, в которых запятая(-ые) — ставится(-ятся) в соответствии с одним и тем же правилом пунктуации. Запишите номера этих предложений. {1)Что скажет раненый и какой приговор изречёт он? (2)Я верил: он скажет «по человечеству». (3)Ha его месте следовало простить, он выздоравливал. (4)Он был лицом типичный моряк, а «моряк» и «рыцарь» для меня тогда звучало неразделимо. (5)Его руки до плеч были татуированы фигурами тигров, змей, флагов, именами, лентами, цветами и ящерицами. (6)От него несло океаном — родиной сильных душ. (7)Мы затаив дыхание ждали, как будто решалась наша судьба. (8)Но раненый молчал, боролся, возможно, © желанием простить и с каким-то ядовитым воспоминанием. (9)Он вздохнул, поморщился, взглянул в глаза доктору и нехотя, сдавленно произнёс: «Пусть... уж... по закону». Ответ: : ИВ</x:v>
      </x:c>
      <x:c r="N4935" s="30" t="str">
        <x:v>589</x:v>
      </x:c>
      <x:c r="O4935" s="30" t="str">
        <x:v>Ответ перенесён из сводной таблицы и связан с исходным заданием.</x:v>
      </x:c>
      <x:c r="P4935" s="30"/>
      <x:c r="Q4935" s="30" t="str">
        <x:v>Ответ визуально сверён с таблицей ответов; условие привязано к исходной странице.</x:v>
      </x:c>
      <x:c r="R4935" s="30" t="str">
        <x:v>589</x:v>
      </x:c>
      <x:c r="S4935" s="30"/>
      <x:c r="T4935" s="30" t="str">
        <x:v>ОТВЕТЫ (2).docx</x:v>
      </x:c>
      <x:c r="U4935" s="30" t="str">
        <x:v>Расхождений с таблицей ответов не выявлено.</x:v>
      </x:c>
      <x:c r="V4935" s="87" t="str">
        <x:v>VERIFIED</x:v>
      </x:c>
      <x:c r="W4935" s="87"/>
      <x:c r="X4935" s="87"/>
      <x:c r="Y4935" s="87" t="n">
        <x:v>11</x:v>
      </x:c>
      <x:c r="Z4935" s="87" t="n">
        <x:v>6</x:v>
      </x:c>
      <x:c r="AA4935" s="87" t="str">
        <x:v>страница 3</x:v>
      </x:c>
      <x:c r="AB4935" s="87"/>
      <x:c r="AC4935" s="87" t="str">
        <x:v>VIS-EGKR-RUS-W25-TASK-901-P006</x:v>
      </x:c>
      <x:c r="AD4935" s="87" t="str">
        <x:v>VIS-EGKR-RUS-W25-KEY-ALL-P003</x:v>
      </x:c>
      <x:c r="AE4935" s="87" t="str">
        <x:v>TASK; KEY</x:v>
      </x:c>
      <x:c r="AF4935" s="87" t="str">
        <x:v>VIS-EGKR-RUS-W25-TASK-901-P006: 6; VIS-EGKR-RUS-W25-KEY-ALL-P003: 3</x:v>
      </x:c>
      <x:c r="AG4935" s="87" t="str">
        <x:v>RESOLVED</x:v>
      </x:c>
      <x:c r="AH4935" s="87" t="str">
        <x:v>CROP_VERIFIED</x:v>
      </x:c>
      <x:c r="AI4935" s="30"/>
      <x:c r="AJ4935" s="87" t="str">
        <x:v>clean</x:v>
      </x:c>
      <x:c r="AK4935" s="87" t="str">
        <x:v>clean-v0.10</x:v>
      </x:c>
      <x:c r="AL4935" s="87" t="str">
        <x:v>statgrad_clean_continuation_v0_10(1).xlsx</x:v>
      </x:c>
      <x:c r="AM4935" s="87" t="str">
        <x:v>RUS_EGKR_901</x:v>
      </x:c>
      <x:c r="AN4935" s="87" t="n">
        <x:v>22</x:v>
      </x:c>
    </x:row>
    <x:row r="4936">
      <x:c r="A4936" s="87" t="n">
        <x:v>4935</x:v>
      </x:c>
      <x:c r="B4936" s="87" t="str">
        <x:v>EGKR-W25-RUS-901-22</x:v>
      </x:c>
      <x:c r="C4936" s="87" t="str">
        <x:v>ЕГКР</x:v>
      </x:c>
      <x:c r="D4936" s="87"/>
      <x:c r="E4936" s="87" t="str">
        <x:v>Зима 2025</x:v>
      </x:c>
      <x:c r="F4936" s="87" t="str">
        <x:v>09.12.2025</x:v>
      </x:c>
      <x:c r="G4936" s="87" t="str">
        <x:v>Русский язык</x:v>
      </x:c>
      <x:c r="H4936" s="87" t="n">
        <x:v>11</x:v>
      </x:c>
      <x:c r="I4936" s="87"/>
      <x:c r="J4936" s="87" t="str">
        <x:v>901</x:v>
      </x:c>
      <x:c r="K4936" s="87" t="n">
        <x:v>22</x:v>
      </x:c>
      <x:c r="L4936" s="87" t="str">
        <x:v>Средства выразительности</x:v>
      </x:c>
      <x:c r="M4936" s="30" t="str">
        <x:v>изобразительно-выразительных средств языка, которые употреблены в них к каждой позиции первого столбца подберите соответствующую позицию и: второго столбца. ПРЕДЛОЖЕНИЯ ИЗОБРАЗИТЕЛЬНО- ВЫРАЗИТЕЛЬНЫЕ СРЕДСТВА ЯЗЫКА А) И песнь ero была ясна, 1) сравнение Как мысли девы простодушной... 2) мстонимия (А.С. Пушкии) —3) антитеза Б) Снать за прежний недосып, 4) риторическое обращение Спать в запас научен. В 5) многосоюзие (АТ. Твардовский) 6) градация в) В доме хохот и стёкла звенят, 7) парцелляция в нём шинкуют, и квасят, и перчат, 8) анафора гвоздики кладут в маринад. tL Пастернак) 9) эпифора Г) И мы соглашались. Потому что он был наш. (Ю.В. Трифонов) Д) Я чувствую жесточайшую не по прошлому ностальгию — ностальгию по настоящему. (А.А. Вознесенский) Запишите в таблицу выбранные цифры под соответствующими буквами. [Alb [Birla] Ответ: РЕ | Прочитайте текст и выполните задания 23-27. (1)Ничего необычного в том, что случилось со мной, нет. (2)Я был чемпионом и считался самым сильным человеком. (3)Mue сызмальства были по душе физические упражнения. (4)Меня увлекали борьба, метания и бег на лыжах. (5)В конце концов страсть к силе побудила к самостоятельным занятиям. (6)Я составил перечень упражнений и стал неуклонно следовать ему. (7)С 1946 по 1953 год я учился в Саратовском суворовском училище. (8)Времени для личной тренировки в распорядке дня не было. (9)Поэтому я вставал за полчаса до подъёма, лишая себя блаженного получаса юношеского сна. (10)Мне нравилось «строить» силу, нравилось быть сильным, и я мечтал о большой силе, но грубая сила, вульгарная, меня всегда отвращала.</x:v>
      </x:c>
      <x:c r="N4936" s="30" t="str">
        <x:v>18573</x:v>
      </x:c>
      <x:c r="O4936" s="30" t="str">
        <x:v>Ответ перенесён из сводной таблицы и связан с исходным заданием.</x:v>
      </x:c>
      <x:c r="P4936" s="30"/>
      <x:c r="Q4936" s="30" t="str">
        <x:v>Ответ визуально сверён с таблицей ответов; условие привязано к исходной странице.</x:v>
      </x:c>
      <x:c r="R4936" s="30" t="str">
        <x:v>18573</x:v>
      </x:c>
      <x:c r="S4936" s="30"/>
      <x:c r="T4936" s="30" t="str">
        <x:v>ОТВЕТЫ (2).docx</x:v>
      </x:c>
      <x:c r="U4936" s="30" t="str">
        <x:v>Расхождений с таблицей ответов не выявлено.</x:v>
      </x:c>
      <x:c r="V4936" s="87" t="str">
        <x:v>VERIFIED</x:v>
      </x:c>
      <x:c r="W4936" s="87"/>
      <x:c r="X4936" s="87"/>
      <x:c r="Y4936" s="87" t="n">
        <x:v>12</x:v>
      </x:c>
      <x:c r="Z4936" s="87" t="n">
        <x:v>6</x:v>
      </x:c>
      <x:c r="AA4936" s="87" t="str">
        <x:v>страница 3</x:v>
      </x:c>
      <x:c r="AB4936" s="87"/>
      <x:c r="AC4936" s="87" t="str">
        <x:v>VIS-EGKR-RUS-W25-TASK-901-P006</x:v>
      </x:c>
      <x:c r="AD4936" s="87" t="str">
        <x:v>VIS-EGKR-RUS-W25-KEY-ALL-P003</x:v>
      </x:c>
      <x:c r="AE4936" s="87" t="str">
        <x:v>TASK; KEY</x:v>
      </x:c>
      <x:c r="AF4936" s="87" t="str">
        <x:v>VIS-EGKR-RUS-W25-TASK-901-P006: 6; VIS-EGKR-RUS-W25-KEY-ALL-P003: 3</x:v>
      </x:c>
      <x:c r="AG4936" s="87" t="str">
        <x:v>RESOLVED</x:v>
      </x:c>
      <x:c r="AH4936" s="87" t="str">
        <x:v>CROP_VERIFIED</x:v>
      </x:c>
      <x:c r="AI4936" s="30"/>
      <x:c r="AJ4936" s="87" t="str">
        <x:v>clean</x:v>
      </x:c>
      <x:c r="AK4936" s="87" t="str">
        <x:v>clean-v0.10</x:v>
      </x:c>
      <x:c r="AL4936" s="87" t="str">
        <x:v>statgrad_clean_continuation_v0_10(1).xlsx</x:v>
      </x:c>
      <x:c r="AM4936" s="87" t="str">
        <x:v>RUS_EGKR_901</x:v>
      </x:c>
      <x:c r="AN4936" s="87" t="n">
        <x:v>23</x:v>
      </x:c>
    </x:row>
    <x:row r="4937">
      <x:c r="A4937" s="87" t="n">
        <x:v>4936</x:v>
      </x:c>
      <x:c r="B4937" s="87" t="str">
        <x:v>EGKR-W25-RUS-901-23</x:v>
      </x:c>
      <x:c r="C4937" s="87" t="str">
        <x:v>ЕГКР</x:v>
      </x:c>
      <x:c r="D4937" s="87"/>
      <x:c r="E4937" s="87" t="str">
        <x:v>Зима 2025</x:v>
      </x:c>
      <x:c r="F4937" s="87" t="str">
        <x:v>09.12.2025</x:v>
      </x:c>
      <x:c r="G4937" s="87" t="str">
        <x:v>Русский язык</x:v>
      </x:c>
      <x:c r="H4937" s="87" t="n">
        <x:v>11</x:v>
      </x:c>
      <x:c r="I4937" s="87"/>
      <x:c r="J4937" s="87" t="str">
        <x:v>901</x:v>
      </x:c>
      <x:c r="K4937" s="87" t="n">
        <x:v>23</x:v>
      </x:c>
      <x:c r="L4937" s="87" t="str">
        <x:v>Содержание исходного текста</x:v>
      </x:c>
      <x:c r="M4937" s="30" t="str">
        <x:v>Какие из высказываний соответствуют содержанию текста? Укажите номера ответов. 1) Рассказчик мечтал быть сильным, сму нравилась сила во всех её проявлениях. 2) Будущему обладателю титула «Самый сильный человек планеты» непросто было сочетать учёбу и занятия спортом, поэтому приходилось жертвовать учёбой. 3) Юрий, восхищавшийся американским спортсменом Эндерсоном и искавший разгадку его успеха, сумел выработать свою систему тренировок. 4) Увиденное рассказчиком на тренировке наших и американских спортсменов стало причиной его сомнений в себе. 5) Победы в жизни спортсмена чередовались с периодами «топтания на месте», но вера в себя («Ничто не властно надо MHOH!») и упорство позволили ему стать обладателем титула самого сильного человека планеты. Ответ: ae</x:v>
      </x:c>
      <x:c r="N4937" s="30" t="str">
        <x:v>35</x:v>
      </x:c>
      <x:c r="O4937" s="30" t="str">
        <x:v>Ответ перенесён из сводной таблицы и связан с исходным заданием.</x:v>
      </x:c>
      <x:c r="P4937" s="30"/>
      <x:c r="Q4937" s="30" t="str">
        <x:v>Ответ визуально сверён с таблицей ответов; условие привязано к исходной странице.</x:v>
      </x:c>
      <x:c r="R4937" s="30" t="str">
        <x:v>35</x:v>
      </x:c>
      <x:c r="S4937" s="30"/>
      <x:c r="T4937" s="30" t="str">
        <x:v>ОТВЕТЫ (2).docx</x:v>
      </x:c>
      <x:c r="U4937" s="30" t="str">
        <x:v>Расхождений с таблицей ответов не выявлено.</x:v>
      </x:c>
      <x:c r="V4937" s="87" t="str">
        <x:v>VERIFIED</x:v>
      </x:c>
      <x:c r="W4937" s="87"/>
      <x:c r="X4937" s="87"/>
      <x:c r="Y4937" s="87" t="n">
        <x:v>14</x:v>
      </x:c>
      <x:c r="Z4937" s="87" t="n">
        <x:v>7</x:v>
      </x:c>
      <x:c r="AA4937" s="87" t="str">
        <x:v>страница 3</x:v>
      </x:c>
      <x:c r="AB4937" s="87"/>
      <x:c r="AC4937" s="87" t="str">
        <x:v>VIS-EGKR-RUS-W25-TASK-901-P007</x:v>
      </x:c>
      <x:c r="AD4937" s="87" t="str">
        <x:v>VIS-EGKR-RUS-W25-KEY-ALL-P003</x:v>
      </x:c>
      <x:c r="AE4937" s="87" t="str">
        <x:v>TASK; KEY</x:v>
      </x:c>
      <x:c r="AF4937" s="87" t="str">
        <x:v>VIS-EGKR-RUS-W25-TASK-901-P007: 7; VIS-EGKR-RUS-W25-KEY-ALL-P003: 3</x:v>
      </x:c>
      <x:c r="AG4937" s="87" t="str">
        <x:v>RESOLVED</x:v>
      </x:c>
      <x:c r="AH4937" s="87" t="str">
        <x:v>CROP_VERIFIED</x:v>
      </x:c>
      <x:c r="AI4937" s="30"/>
      <x:c r="AJ4937" s="87" t="str">
        <x:v>clean</x:v>
      </x:c>
      <x:c r="AK4937" s="87" t="str">
        <x:v>clean-v0.10</x:v>
      </x:c>
      <x:c r="AL4937" s="87" t="str">
        <x:v>statgrad_clean_continuation_v0_10(1).xlsx</x:v>
      </x:c>
      <x:c r="AM4937" s="87" t="str">
        <x:v>RUS_EGKR_901</x:v>
      </x:c>
      <x:c r="AN4937" s="87" t="n">
        <x:v>24</x:v>
      </x:c>
    </x:row>
    <x:row r="4938">
      <x:c r="A4938" s="87" t="n">
        <x:v>4937</x:v>
      </x:c>
      <x:c r="B4938" s="87" t="str">
        <x:v>EGKR-W25-RUS-901-24</x:v>
      </x:c>
      <x:c r="C4938" s="87" t="str">
        <x:v>ЕГКР</x:v>
      </x:c>
      <x:c r="D4938" s="87"/>
      <x:c r="E4938" s="87" t="str">
        <x:v>Зима 2025</x:v>
      </x:c>
      <x:c r="F4938" s="87" t="str">
        <x:v>09.12.2025</x:v>
      </x:c>
      <x:c r="G4938" s="87" t="str">
        <x:v>Русский язык</x:v>
      </x:c>
      <x:c r="H4938" s="87" t="n">
        <x:v>11</x:v>
      </x:c>
      <x:c r="I4938" s="87"/>
      <x:c r="J4938" s="87" t="str">
        <x:v>901</x:v>
      </x:c>
      <x:c r="K4938" s="87" t="n">
        <x:v>24</x:v>
      </x:c>
      <x:c r="L4938" s="87" t="str">
        <x:v>Функционально-смысловые типы речи и логика текста</x:v>
      </x:c>
      <x:c r="M4938" s="30" t="str">
        <x:v>Какие из перечисленных утверждений являются ошибочными? Укажите номера ответов. 1) В предложениях 10, || представлено повествование. 2) Предложения 20, 21 раскрывают, поясняют то, о чём говорится в предложении 19. 3) В предложении 29 содержатся элементы описания. 4) В предложении 36 указана причина того, о чём говорится в предложении 35. 5) В предложениях 50-52 представлено повествование. Ответ: . ОИ</x:v>
      </x:c>
      <x:c r="N4938" s="30" t="str">
        <x:v>24</x:v>
      </x:c>
      <x:c r="O4938" s="30" t="str">
        <x:v>Ответ перенесён из сводной таблицы и связан с исходным заданием.</x:v>
      </x:c>
      <x:c r="P4938" s="30"/>
      <x:c r="Q4938" s="30" t="str">
        <x:v>Ответ визуально сверён с таблицей ответов; условие привязано к исходной странице.</x:v>
      </x:c>
      <x:c r="R4938" s="30" t="str">
        <x:v>24</x:v>
      </x:c>
      <x:c r="S4938" s="30"/>
      <x:c r="T4938" s="30" t="str">
        <x:v>ОТВЕТЫ (2).docx</x:v>
      </x:c>
      <x:c r="U4938" s="30" t="str">
        <x:v>Расхождений с таблицей ответов не выявлено.</x:v>
      </x:c>
      <x:c r="V4938" s="87" t="str">
        <x:v>VERIFIED</x:v>
      </x:c>
      <x:c r="W4938" s="87"/>
      <x:c r="X4938" s="87"/>
      <x:c r="Y4938" s="87" t="n">
        <x:v>15</x:v>
      </x:c>
      <x:c r="Z4938" s="87" t="n">
        <x:v>8</x:v>
      </x:c>
      <x:c r="AA4938" s="87" t="str">
        <x:v>страница 3</x:v>
      </x:c>
      <x:c r="AB4938" s="87"/>
      <x:c r="AC4938" s="87" t="str">
        <x:v>VIS-EGKR-RUS-W25-TASK-901-P008</x:v>
      </x:c>
      <x:c r="AD4938" s="87" t="str">
        <x:v>VIS-EGKR-RUS-W25-KEY-ALL-P003</x:v>
      </x:c>
      <x:c r="AE4938" s="87" t="str">
        <x:v>TASK; KEY</x:v>
      </x:c>
      <x:c r="AF4938" s="87" t="str">
        <x:v>VIS-EGKR-RUS-W25-TASK-901-P008: 8; VIS-EGKR-RUS-W25-KEY-ALL-P003: 3</x:v>
      </x:c>
      <x:c r="AG4938" s="87" t="str">
        <x:v>RESOLVED</x:v>
      </x:c>
      <x:c r="AH4938" s="87" t="str">
        <x:v>CROP_VERIFIED</x:v>
      </x:c>
      <x:c r="AI4938" s="30"/>
      <x:c r="AJ4938" s="87" t="str">
        <x:v>clean</x:v>
      </x:c>
      <x:c r="AK4938" s="87" t="str">
        <x:v>clean-v0.10</x:v>
      </x:c>
      <x:c r="AL4938" s="87" t="str">
        <x:v>statgrad_clean_continuation_v0_10(1).xlsx</x:v>
      </x:c>
      <x:c r="AM4938" s="87" t="str">
        <x:v>RUS_EGKR_901</x:v>
      </x:c>
      <x:c r="AN4938" s="87" t="n">
        <x:v>25</x:v>
      </x:c>
    </x:row>
    <x:row r="4939">
      <x:c r="A4939" s="87" t="n">
        <x:v>4938</x:v>
      </x:c>
      <x:c r="B4939" s="87" t="str">
        <x:v>EGKR-W25-RUS-901-25</x:v>
      </x:c>
      <x:c r="C4939" s="87" t="str">
        <x:v>ЕГКР</x:v>
      </x:c>
      <x:c r="D4939" s="87"/>
      <x:c r="E4939" s="87" t="str">
        <x:v>Зима 2025</x:v>
      </x:c>
      <x:c r="F4939" s="87" t="str">
        <x:v>09.12.2025</x:v>
      </x:c>
      <x:c r="G4939" s="87" t="str">
        <x:v>Русский язык</x:v>
      </x:c>
      <x:c r="H4939" s="87" t="n">
        <x:v>11</x:v>
      </x:c>
      <x:c r="I4939" s="87"/>
      <x:c r="J4939" s="87" t="str">
        <x:v>901</x:v>
      </x:c>
      <x:c r="K4939" s="87" t="n">
        <x:v>25</x:v>
      </x:c>
      <x:c r="L4939" s="87" t="str">
        <x:v>Лексические средства</x:v>
      </x:c>
      <x:c r="M4939" s="30" t="str">
        <x:v>Из предложений 3-6 выпишите один фразеологизм. Ответ: : —</x:v>
      </x:c>
      <x:c r="N4939" s="30" t="str">
        <x:v>были по душе</x:v>
      </x:c>
      <x:c r="O4939" s="30" t="str">
        <x:v>Ответ перенесён из сводной таблицы и связан с исходным заданием.</x:v>
      </x:c>
      <x:c r="P4939" s="30"/>
      <x:c r="Q4939" s="30" t="str">
        <x:v>Ответ визуально сверён с таблицей ответов; условие привязано к исходной странице.</x:v>
      </x:c>
      <x:c r="R4939" s="30" t="str">
        <x:v>были по душе</x:v>
      </x:c>
      <x:c r="S4939" s="30"/>
      <x:c r="T4939" s="30" t="str">
        <x:v>ОТВЕТЫ (2).docx</x:v>
      </x:c>
      <x:c r="U4939" s="30" t="str">
        <x:v>Расхождений с таблицей ответов не выявлено.</x:v>
      </x:c>
      <x:c r="V4939" s="87" t="str">
        <x:v>VERIFIED</x:v>
      </x:c>
      <x:c r="W4939" s="87"/>
      <x:c r="X4939" s="87"/>
      <x:c r="Y4939" s="87" t="n">
        <x:v>15</x:v>
      </x:c>
      <x:c r="Z4939" s="87" t="n">
        <x:v>8</x:v>
      </x:c>
      <x:c r="AA4939" s="87" t="str">
        <x:v>страница 3</x:v>
      </x:c>
      <x:c r="AB4939" s="87"/>
      <x:c r="AC4939" s="87" t="str">
        <x:v>VIS-EGKR-RUS-W25-TASK-901-P008</x:v>
      </x:c>
      <x:c r="AD4939" s="87" t="str">
        <x:v>VIS-EGKR-RUS-W25-KEY-ALL-P003</x:v>
      </x:c>
      <x:c r="AE4939" s="87" t="str">
        <x:v>TASK; KEY</x:v>
      </x:c>
      <x:c r="AF4939" s="87" t="str">
        <x:v>VIS-EGKR-RUS-W25-TASK-901-P008: 8; VIS-EGKR-RUS-W25-KEY-ALL-P003: 3</x:v>
      </x:c>
      <x:c r="AG4939" s="87" t="str">
        <x:v>RESOLVED</x:v>
      </x:c>
      <x:c r="AH4939" s="87" t="str">
        <x:v>CROP_VERIFIED</x:v>
      </x:c>
      <x:c r="AI4939" s="30"/>
      <x:c r="AJ4939" s="87" t="str">
        <x:v>clean</x:v>
      </x:c>
      <x:c r="AK4939" s="87" t="str">
        <x:v>clean-v0.10</x:v>
      </x:c>
      <x:c r="AL4939" s="87" t="str">
        <x:v>statgrad_clean_continuation_v0_10(1).xlsx</x:v>
      </x:c>
      <x:c r="AM4939" s="87" t="str">
        <x:v>RUS_EGKR_901</x:v>
      </x:c>
      <x:c r="AN4939" s="87" t="n">
        <x:v>26</x:v>
      </x:c>
    </x:row>
    <x:row r="4940">
      <x:c r="A4940" s="87" t="n">
        <x:v>4939</x:v>
      </x:c>
      <x:c r="B4940" s="87" t="str">
        <x:v>EGKR-W25-RUS-901-26</x:v>
      </x:c>
      <x:c r="C4940" s="87" t="str">
        <x:v>ЕГКР</x:v>
      </x:c>
      <x:c r="D4940" s="87"/>
      <x:c r="E4940" s="87" t="str">
        <x:v>Зима 2025</x:v>
      </x:c>
      <x:c r="F4940" s="87" t="str">
        <x:v>09.12.2025</x:v>
      </x:c>
      <x:c r="G4940" s="87" t="str">
        <x:v>Русский язык</x:v>
      </x:c>
      <x:c r="H4940" s="87" t="n">
        <x:v>11</x:v>
      </x:c>
      <x:c r="I4940" s="87"/>
      <x:c r="J4940" s="87" t="str">
        <x:v>901</x:v>
      </x:c>
      <x:c r="K4940" s="87" t="n">
        <x:v>26</x:v>
      </x:c>
      <x:c r="L4940" s="87" t="str">
        <x:v>Средства связи предложений</x:v>
      </x:c>
      <x:c r="M4940" s="30" t="str">
        <x:v>Среди предложений 17-21] найдите такое(-ие), которое(-ые) связано(-ы) с предыдущим при помощи притяжательного местоимения. Запишите номер(а) этого(-их) предложения(-ий). Ответ: : a He забудьте перенести все ответы в бланк ответов № 1 в соответствии с инструкцией по выполнению работы. Проверьте, чтобы каждый ответ был записан в строке с номером соответствующего задания.</x:v>
      </x:c>
      <x:c r="N4940" s="30" t="str">
        <x:v>18</x:v>
      </x:c>
      <x:c r="O4940" s="30" t="str">
        <x:v>Ответ перенесён из сводной таблицы и связан с исходным заданием.</x:v>
      </x:c>
      <x:c r="P4940" s="30"/>
      <x:c r="Q4940" s="30" t="str">
        <x:v>Ответ визуально сверён с таблицей ответов; условие привязано к исходной странице.</x:v>
      </x:c>
      <x:c r="R4940" s="30" t="str">
        <x:v>18</x:v>
      </x:c>
      <x:c r="S4940" s="30"/>
      <x:c r="T4940" s="30" t="str">
        <x:v>ОТВЕТЫ (2).docx</x:v>
      </x:c>
      <x:c r="U4940" s="30" t="str">
        <x:v>Расхождений с таблицей ответов не выявлено.</x:v>
      </x:c>
      <x:c r="V4940" s="87" t="str">
        <x:v>VERIFIED</x:v>
      </x:c>
      <x:c r="W4940" s="87"/>
      <x:c r="X4940" s="87"/>
      <x:c r="Y4940" s="87" t="n">
        <x:v>15</x:v>
      </x:c>
      <x:c r="Z4940" s="87" t="n">
        <x:v>8</x:v>
      </x:c>
      <x:c r="AA4940" s="87" t="str">
        <x:v>страница 3</x:v>
      </x:c>
      <x:c r="AB4940" s="87"/>
      <x:c r="AC4940" s="87" t="str">
        <x:v>VIS-EGKR-RUS-W25-TASK-901-P008</x:v>
      </x:c>
      <x:c r="AD4940" s="87" t="str">
        <x:v>VIS-EGKR-RUS-W25-KEY-ALL-P003</x:v>
      </x:c>
      <x:c r="AE4940" s="87" t="str">
        <x:v>TASK; KEY</x:v>
      </x:c>
      <x:c r="AF4940" s="87" t="str">
        <x:v>VIS-EGKR-RUS-W25-TASK-901-P008: 8; VIS-EGKR-RUS-W25-KEY-ALL-P003: 3</x:v>
      </x:c>
      <x:c r="AG4940" s="87" t="str">
        <x:v>RESOLVED</x:v>
      </x:c>
      <x:c r="AH4940" s="87" t="str">
        <x:v>CROP_VERIFIED</x:v>
      </x:c>
      <x:c r="AI4940" s="30"/>
      <x:c r="AJ4940" s="87" t="str">
        <x:v>clean</x:v>
      </x:c>
      <x:c r="AK4940" s="87" t="str">
        <x:v>clean-v0.10</x:v>
      </x:c>
      <x:c r="AL4940" s="87" t="str">
        <x:v>statgrad_clean_continuation_v0_10(1).xlsx</x:v>
      </x:c>
      <x:c r="AM4940" s="87" t="str">
        <x:v>RUS_EGKR_901</x:v>
      </x:c>
      <x:c r="AN4940" s="87" t="n">
        <x:v>27</x:v>
      </x:c>
    </x:row>
    <x:row r="4941">
      <x:c r="A4941" s="87" t="n">
        <x:v>4940</x:v>
      </x:c>
      <x:c r="B4941" s="87" t="str">
        <x:v>EGKR-W25-RUS-901-27</x:v>
      </x:c>
      <x:c r="C4941" s="87" t="str">
        <x:v>ЕГКР</x:v>
      </x:c>
      <x:c r="D4941" s="87"/>
      <x:c r="E4941" s="87" t="str">
        <x:v>Зима 2025</x:v>
      </x:c>
      <x:c r="F4941" s="87" t="str">
        <x:v>09.12.2025</x:v>
      </x:c>
      <x:c r="G4941" s="87" t="str">
        <x:v>Русский язык</x:v>
      </x:c>
      <x:c r="H4941" s="87" t="n">
        <x:v>11</x:v>
      </x:c>
      <x:c r="I4941" s="87"/>
      <x:c r="J4941" s="87" t="str">
        <x:v>901</x:v>
      </x:c>
      <x:c r="K4941" s="87" t="n">
        <x:v>27</x:v>
      </x:c>
      <x:c r="L4941" s="87" t="str">
        <x:v>Сочинение-рассуждение</x:v>
      </x:c>
      <x:c r="M4941" s="30" t="str">
        <x:v>Напишите сочинение-рассуждение по проблеме, поставленной в исходно тексте: «Что делает человека победителем? ». Сформулируйте позицию автора (рассказчика) по указанной проблеме. Прокомментируйте, как в тексте раскрывается эта позиция. Включит в комментарий два примера-иллюстрации из прочитанного текста, важны: для понимания позиции автора (рассказчика), и поясните их. Укажит. и поясните смысловую связь между приведёнными примерами. иллюстрациями. Сформулируйте и обоснуйте своё отношение к позиции автора (рассказчика по проблеме исходного текста. Включите в обоснование пример-аргумент опираясь на читательский, историко-культурный или жизненный опыт (Не учитываются примеры-аргументы, источниками которых являютс; комикс, аниме, манга, фанфик, графический роман, компьютерная игр: и другие подобные виды представления информации.) Объём сочинения — не менее 150 слов. Работа, написанная без опоры на прочитанный текст (не по данному тексту) не оценивается. Если сочинение представляет собой полностью переписанный или пересказанный исходный текст без каких бы то ни было комментариев, такая работа оценивается 0 баллов. Сочинение пишите аккуратно и разборчиво, соблюдая нормы современного русского литературного языка.</x:v>
      </x:c>
      <x:c r="N4941" s="30" t="str">
        <x:v>Автор текста ставит проблему того, что делает человека победителем. Позиция автора ясна: победа рождается из целеустремлённости, самостоятельности мышления, дисциплины и способности преодолеть робость перед авторитетами и новыми трудностями.
Первый важный пример — рассказ героя о многолетних тренировках. Ещё в суворовском училище он вставал раньше подъёма и систематически выполнял составленный им комплекс упражнений. Этот эпизод показывает, что успех не случаен: его основой становятся труд и готовность жертвовать удобством ради цели.
Второй пример связан с переосмыслением опыта Пола Эндерсона. Герой восхищался знаменитым атлетом, но затем понял, что слепое преклонение перед авторитетом лишает воли. Он разработал собственный подход и записал: «Ничто не властно надо мной!». Примеры связаны как последовательные этапы становления победителя: упорный труд создаёт физическую основу, а внутреннее освобождение от страха позволяет раскрыть достигнутые возможности.
Я согласен с автором. Победителем становится не тот, кто никогда не испытывает сомнений, а тот, кто продолжает действовать и умеет искать собственный путь. Так, Александр Суворов добивался выдающихся результатов благодаря постоянной подготовке, требовательности к себе и нестандартным решениям.
Итак, настоящая победа — результат дисциплины, мужества и внутренней свободы человека.</x:v>
      </x:c>
      <x:c r="O4941" s="30" t="str">
        <x:v>Модель развёрнутого ответа.</x:v>
      </x:c>
      <x:c r="P4941" s="30"/>
      <x:c r="Q4941" s="30" t="str">
        <x:v>Проверены формулировка проблемы, позиция автора, два примера, связь и аргументация.</x:v>
      </x:c>
      <x:c r="R4941" s="30" t="str">
        <x:v>Модель составлена при обработке блока</x:v>
      </x:c>
      <x:c r="S4941" s="30"/>
      <x:c r="T4941" s="30" t="str">
        <x:v>Модель составлена при обработке блока</x:v>
      </x:c>
      <x:c r="U4941" s="30" t="str">
        <x:v>Модель соответствует проблеме задания 27 и структуре сочинения ЕГЭ.</x:v>
      </x:c>
      <x:c r="V4941" s="87" t="str">
        <x:v>VERIFIED</x:v>
      </x:c>
      <x:c r="W4941" s="87"/>
      <x:c r="X4941" s="87"/>
      <x:c r="Y4941" s="87" t="n">
        <x:v>16</x:v>
      </x:c>
      <x:c r="Z4941" s="87" t="n">
        <x:v>8</x:v>
      </x:c>
      <x:c r="AA4941" s="87" t="str">
        <x:v>модель сочинения</x:v>
      </x:c>
      <x:c r="AB4941" s="87"/>
      <x:c r="AC4941" s="87" t="str">
        <x:v>VIS-EGKR-RUS-W25-TASK-901-P008</x:v>
      </x:c>
      <x:c r="AD4941" s="87"/>
      <x:c r="AE4941" s="87" t="str">
        <x:v>TASK</x:v>
      </x:c>
      <x:c r="AF4941" s="87" t="str">
        <x:v>VIS-EGKR-RUS-W25-TASK-901-P008: 8</x:v>
      </x:c>
      <x:c r="AG4941" s="87" t="str">
        <x:v>RESOLVED</x:v>
      </x:c>
      <x:c r="AH4941" s="87" t="str">
        <x:v>CROP_VERIFIED; TASK_CROP_NO_CROP_NEEDED</x:v>
      </x:c>
      <x:c r="AI4941" s="30"/>
      <x:c r="AJ4941" s="87" t="str">
        <x:v>clean</x:v>
      </x:c>
      <x:c r="AK4941" s="87" t="str">
        <x:v>clean-v0.10</x:v>
      </x:c>
      <x:c r="AL4941" s="87" t="str">
        <x:v>statgrad_clean_continuation_v0_10(1).xlsx</x:v>
      </x:c>
      <x:c r="AM4941" s="87" t="str">
        <x:v>RUS_EGKR_901</x:v>
      </x:c>
      <x:c r="AN4941" s="87" t="n">
        <x:v>28</x:v>
      </x:c>
    </x:row>
    <x:row r="4942">
      <x:c r="A4942" s="87" t="n">
        <x:v>4941</x:v>
      </x:c>
      <x:c r="B4942" s="87" t="str">
        <x:v>EGKR-W25-RUS-951-01</x:v>
      </x:c>
      <x:c r="C4942" s="87" t="str">
        <x:v>ЕГКР</x:v>
      </x:c>
      <x:c r="D4942" s="87"/>
      <x:c r="E4942" s="87" t="str">
        <x:v>Зима 2025</x:v>
      </x:c>
      <x:c r="F4942" s="87" t="str">
        <x:v>09.12.2025</x:v>
      </x:c>
      <x:c r="G4942" s="87" t="str">
        <x:v>Русский язык</x:v>
      </x:c>
      <x:c r="H4942" s="87" t="n">
        <x:v>11</x:v>
      </x:c>
      <x:c r="I4942" s="87"/>
      <x:c r="J4942" s="87" t="str">
        <x:v>951</x:v>
      </x:c>
      <x:c r="K4942" s="87" t="n">
        <x:v>1</x:v>
      </x:c>
      <x:c r="L4942" s="87" t="str">
        <x:v>Связность текста: средство связи</x:v>
      </x:c>
      <x:c r="M4942" s="30" t="str">
        <x:v>Самостоятельно подберите определительное местоимение, которое должно стоять на месте пропуска во втором (2) абзаце текста. Запишите это местсимение. ет</x:v>
      </x:c>
      <x:c r="N4942" s="30" t="str">
        <x:v>любой</x:v>
      </x:c>
      <x:c r="O4942" s="30" t="str">
        <x:v>Ответ перенесён из сводной таблицы и связан с исходным заданием.</x:v>
      </x:c>
      <x:c r="P4942" s="30"/>
      <x:c r="Q4942" s="30" t="str">
        <x:v>Ответ визуально сверён с таблицей ответов; условие привязано к исходной странице.</x:v>
      </x:c>
      <x:c r="R4942" s="30" t="str">
        <x:v>любой</x:v>
      </x:c>
      <x:c r="S4942" s="30"/>
      <x:c r="T4942" s="30" t="str">
        <x:v>ОТВЕТЫ (2).docx</x:v>
      </x:c>
      <x:c r="U4942" s="30" t="str">
        <x:v>Расхождений с таблицей ответов не выявлено.</x:v>
      </x:c>
      <x:c r="V4942" s="87" t="str">
        <x:v>VERIFIED</x:v>
      </x:c>
      <x:c r="W4942" s="87"/>
      <x:c r="X4942" s="87"/>
      <x:c r="Y4942" s="87" t="n">
        <x:v>2</x:v>
      </x:c>
      <x:c r="Z4942" s="87" t="n">
        <x:v>2</x:v>
      </x:c>
      <x:c r="AA4942" s="87" t="str">
        <x:v>страница 1</x:v>
      </x:c>
      <x:c r="AB4942" s="87"/>
      <x:c r="AC4942" s="87" t="str">
        <x:v>VIS-EGKR-RUS-W25-TASK-951-P002</x:v>
      </x:c>
      <x:c r="AD4942" s="87" t="str">
        <x:v>VIS-EGKR-RUS-W25-KEY-ALL-P001</x:v>
      </x:c>
      <x:c r="AE4942" s="87" t="str">
        <x:v>TASK; KEY</x:v>
      </x:c>
      <x:c r="AF4942" s="87" t="str">
        <x:v>VIS-EGKR-RUS-W25-TASK-951-P002: 2; VIS-EGKR-RUS-W25-KEY-ALL-P001: 1</x:v>
      </x:c>
      <x:c r="AG4942" s="87" t="str">
        <x:v>RESOLVED</x:v>
      </x:c>
      <x:c r="AH4942" s="87" t="str">
        <x:v>CROP_VERIFIED</x:v>
      </x:c>
      <x:c r="AI4942" s="30"/>
      <x:c r="AJ4942" s="87" t="str">
        <x:v>clean</x:v>
      </x:c>
      <x:c r="AK4942" s="87" t="str">
        <x:v>clean-v0.10</x:v>
      </x:c>
      <x:c r="AL4942" s="87" t="str">
        <x:v>statgrad_clean_continuation_v0_10(1).xlsx</x:v>
      </x:c>
      <x:c r="AM4942" s="87" t="str">
        <x:v>RUS_EGKR_951</x:v>
      </x:c>
      <x:c r="AN4942" s="87" t="n">
        <x:v>2</x:v>
      </x:c>
    </x:row>
    <x:row r="4943">
      <x:c r="A4943" s="87" t="n">
        <x:v>4942</x:v>
      </x:c>
      <x:c r="B4943" s="87" t="str">
        <x:v>EGKR-W25-RUS-951-02</x:v>
      </x:c>
      <x:c r="C4943" s="87" t="str">
        <x:v>ЕГКР</x:v>
      </x:c>
      <x:c r="D4943" s="87"/>
      <x:c r="E4943" s="87" t="str">
        <x:v>Зима 2025</x:v>
      </x:c>
      <x:c r="F4943" s="87" t="str">
        <x:v>09.12.2025</x:v>
      </x:c>
      <x:c r="G4943" s="87" t="str">
        <x:v>Русский язык</x:v>
      </x:c>
      <x:c r="H4943" s="87" t="n">
        <x:v>11</x:v>
      </x:c>
      <x:c r="I4943" s="87"/>
      <x:c r="J4943" s="87" t="str">
        <x:v>951</x:v>
      </x:c>
      <x:c r="K4943" s="87" t="n">
        <x:v>2</x:v>
      </x:c>
      <x:c r="L4943" s="87" t="str">
        <x:v>Лексическое значение слова</x:v>
      </x:c>
      <x:c r="M4943" s="30" t="str">
        <x:v>В тексте выделено пять слов. Укажите варизиты ответов. в которых лексическое значение выделенного слова соответствует его значению в данном тексте. Запишите номера ответов. 1) ПЕРВОЗДАННЫЙ. Такой. каким был в самом начале: девственный. нетронутый. Первозданная синева неба. 2) УВЕНЧАТЬ. Закончить собой верхнюю часть чего-либо. Церкви увенчаны золотыми куполами. Холм над рекой увенчан беседкой. Горы увенчаны снежными шапками. 3) РАССЫПАТЬСЯ. Издавать прерывистые. дробные звуки. Рассыпаться веселым смехом. Соловей рассыпался звонкой трелью. 4) НАЦИОНАЛЬНЫЙ. Выражающий характерные особенности какой- либо нации. напиональности: свойственный какой-либо нации. национальности, /ациональная культура. Национальный костюм. 5) ТЕХНИКА. Совокупность орудий и средств труда. развивающихся в системе обшественного производства. Передовая. отсталая техника. Зарубежная. отечественная техника. Гехника Средневековья. Техника будущего. Ответ: . | 3 Укажите варианты ответов. в которых даны</x:v>
      </x:c>
      <x:c r="N4943" s="30" t="str">
        <x:v>13</x:v>
      </x:c>
      <x:c r="O4943" s="30" t="str">
        <x:v>Ответ перенесён из сводной таблицы и связан с исходным заданием.</x:v>
      </x:c>
      <x:c r="P4943" s="30"/>
      <x:c r="Q4943" s="30" t="str">
        <x:v>Ответ визуально сверён с таблицей ответов; условие привязано к исходной странице.</x:v>
      </x:c>
      <x:c r="R4943" s="30" t="str">
        <x:v>13</x:v>
      </x:c>
      <x:c r="S4943" s="30"/>
      <x:c r="T4943" s="30" t="str">
        <x:v>ОТВЕТЫ (2).docx</x:v>
      </x:c>
      <x:c r="U4943" s="30" t="str">
        <x:v>Расхождений с таблицей ответов не выявлено.</x:v>
      </x:c>
      <x:c r="V4943" s="87" t="str">
        <x:v>VERIFIED</x:v>
      </x:c>
      <x:c r="W4943" s="87"/>
      <x:c r="X4943" s="87"/>
      <x:c r="Y4943" s="87" t="n">
        <x:v>3</x:v>
      </x:c>
      <x:c r="Z4943" s="87" t="n">
        <x:v>3</x:v>
      </x:c>
      <x:c r="AA4943" s="87" t="str">
        <x:v>страница 1</x:v>
      </x:c>
      <x:c r="AB4943" s="87"/>
      <x:c r="AC4943" s="87" t="str">
        <x:v>VIS-EGKR-RUS-W25-TASK-951-P003</x:v>
      </x:c>
      <x:c r="AD4943" s="87" t="str">
        <x:v>VIS-EGKR-RUS-W25-KEY-ALL-P001</x:v>
      </x:c>
      <x:c r="AE4943" s="87" t="str">
        <x:v>TASK; KEY</x:v>
      </x:c>
      <x:c r="AF4943" s="87" t="str">
        <x:v>VIS-EGKR-RUS-W25-TASK-951-P003: 3; VIS-EGKR-RUS-W25-KEY-ALL-P001: 1</x:v>
      </x:c>
      <x:c r="AG4943" s="87" t="str">
        <x:v>RESOLVED</x:v>
      </x:c>
      <x:c r="AH4943" s="87" t="str">
        <x:v>CROP_VERIFIED</x:v>
      </x:c>
      <x:c r="AI4943" s="30"/>
      <x:c r="AJ4943" s="87" t="str">
        <x:v>clean</x:v>
      </x:c>
      <x:c r="AK4943" s="87" t="str">
        <x:v>clean-v0.10</x:v>
      </x:c>
      <x:c r="AL4943" s="87" t="str">
        <x:v>statgrad_clean_continuation_v0_10(1).xlsx</x:v>
      </x:c>
      <x:c r="AM4943" s="87" t="str">
        <x:v>RUS_EGKR_951</x:v>
      </x:c>
      <x:c r="AN4943" s="87" t="n">
        <x:v>3</x:v>
      </x:c>
    </x:row>
    <x:row r="4944">
      <x:c r="A4944" s="87" t="n">
        <x:v>4943</x:v>
      </x:c>
      <x:c r="B4944" s="87" t="str">
        <x:v>EGKR-W25-RUS-951-03</x:v>
      </x:c>
      <x:c r="C4944" s="87" t="str">
        <x:v>ЕГКР</x:v>
      </x:c>
      <x:c r="D4944" s="87"/>
      <x:c r="E4944" s="87" t="str">
        <x:v>Зима 2025</x:v>
      </x:c>
      <x:c r="F4944" s="87" t="str">
        <x:v>09.12.2025</x:v>
      </x:c>
      <x:c r="G4944" s="87" t="str">
        <x:v>Русский язык</x:v>
      </x:c>
      <x:c r="H4944" s="87" t="n">
        <x:v>11</x:v>
      </x:c>
      <x:c r="I4944" s="87"/>
      <x:c r="J4944" s="87" t="str">
        <x:v>951</x:v>
      </x:c>
      <x:c r="K4944" s="87" t="n">
        <x:v>3</x:v>
      </x:c>
      <x:c r="L4944" s="87" t="str">
        <x:v>Стилистический и языковой анализ текста</x:v>
      </x:c>
      <x:c r="M4944" s="30" t="str">
        <x:v>верные характеристики текста. Запишите номера ответон. 1) Текст написан в научном стиле; цель автора — показать особенности гсографического положения и природы Урала. поэтому используются географические названия (Железный пояс. Таганий. Откликной гребень). термины (хребет. узел гориых цепей. глыба. гряда. курумник. озеро. иетеостаниня. тайга. закон). 2) Текст начинается с указания географического объекта. во втором (2) и третьем (3) абзацах подробно описываются характерные черты Уральского региона. ero географические и экономические особенности. 3) В тексте используются многозначные (ловушка. стекать. сердце) и высокие (воспетый. творец) слова. 4) Выразительность текста обеспечивается синтаксическими срелствами. среди которых — ряды однородных членов предложения и обособленные определения. 5) Используемые в тексте эпитеты. мстафоры. противопоставление передают впечатления автора о необыкновенной природе Урала. ОТВЕТ аа жа $ 252Е SHY ‘седесальньый институт геда`стизесчих изуесени/ WWWLE'S RU Котиссва-уе не дспускается</x:v>
      </x:c>
      <x:c r="N4944" s="30" t="str">
        <x:v>1345</x:v>
      </x:c>
      <x:c r="O4944" s="30" t="str">
        <x:v>Ответ перенесён из сводной таблицы и связан с исходным заданием.</x:v>
      </x:c>
      <x:c r="P4944" s="30"/>
      <x:c r="Q4944" s="30" t="str">
        <x:v>Ответ визуально сверён с таблицей ответов; условие привязано к исходной странице.</x:v>
      </x:c>
      <x:c r="R4944" s="30" t="str">
        <x:v>1345</x:v>
      </x:c>
      <x:c r="S4944" s="30"/>
      <x:c r="T4944" s="30" t="str">
        <x:v>ОТВЕТЫ (2).docx</x:v>
      </x:c>
      <x:c r="U4944" s="30" t="str">
        <x:v>Расхождений с таблицей ответов не выявлено.</x:v>
      </x:c>
      <x:c r="V4944" s="87" t="str">
        <x:v>VERIFIED</x:v>
      </x:c>
      <x:c r="W4944" s="87"/>
      <x:c r="X4944" s="87"/>
      <x:c r="Y4944" s="87" t="n">
        <x:v>3</x:v>
      </x:c>
      <x:c r="Z4944" s="87" t="n">
        <x:v>3</x:v>
      </x:c>
      <x:c r="AA4944" s="87" t="str">
        <x:v>страница 1</x:v>
      </x:c>
      <x:c r="AB4944" s="87"/>
      <x:c r="AC4944" s="87" t="str">
        <x:v>VIS-EGKR-RUS-W25-TASK-951-P003</x:v>
      </x:c>
      <x:c r="AD4944" s="87" t="str">
        <x:v>VIS-EGKR-RUS-W25-KEY-ALL-P001</x:v>
      </x:c>
      <x:c r="AE4944" s="87" t="str">
        <x:v>TASK; KEY</x:v>
      </x:c>
      <x:c r="AF4944" s="87" t="str">
        <x:v>VIS-EGKR-RUS-W25-TASK-951-P003: 3; VIS-EGKR-RUS-W25-KEY-ALL-P001: 1</x:v>
      </x:c>
      <x:c r="AG4944" s="87" t="str">
        <x:v>RESOLVED</x:v>
      </x:c>
      <x:c r="AH4944" s="87" t="str">
        <x:v>CROP_VERIFIED</x:v>
      </x:c>
      <x:c r="AI4944" s="30"/>
      <x:c r="AJ4944" s="87" t="str">
        <x:v>clean</x:v>
      </x:c>
      <x:c r="AK4944" s="87" t="str">
        <x:v>clean-v0.10</x:v>
      </x:c>
      <x:c r="AL4944" s="87" t="str">
        <x:v>statgrad_clean_continuation_v0_10(1).xlsx</x:v>
      </x:c>
      <x:c r="AM4944" s="87" t="str">
        <x:v>RUS_EGKR_951</x:v>
      </x:c>
      <x:c r="AN4944" s="87" t="n">
        <x:v>4</x:v>
      </x:c>
    </x:row>
    <x:row r="4945">
      <x:c r="A4945" s="87" t="n">
        <x:v>4944</x:v>
      </x:c>
      <x:c r="B4945" s="87" t="str">
        <x:v>EGKR-W25-RUS-951-04</x:v>
      </x:c>
      <x:c r="C4945" s="87" t="str">
        <x:v>ЕГКР</x:v>
      </x:c>
      <x:c r="D4945" s="87"/>
      <x:c r="E4945" s="87" t="str">
        <x:v>Зима 2025</x:v>
      </x:c>
      <x:c r="F4945" s="87" t="str">
        <x:v>09.12.2025</x:v>
      </x:c>
      <x:c r="G4945" s="87" t="str">
        <x:v>Русский язык</x:v>
      </x:c>
      <x:c r="H4945" s="87" t="n">
        <x:v>11</x:v>
      </x:c>
      <x:c r="I4945" s="87"/>
      <x:c r="J4945" s="87" t="str">
        <x:v>951</x:v>
      </x:c>
      <x:c r="K4945" s="87" t="n">
        <x:v>4</x:v>
      </x:c>
      <x:c r="L4945" s="87" t="str">
        <x:v>Орфоэпические нормы</x:v>
      </x:c>
      <x:c r="M4945" s="30" t="str">
        <x:v>верно выделена буква. обозначающая ударный гласный звук. Запишите номера ответов. 1) красивЕе 2) положИть 3} иломбИровать 4) тУфля 5) сосредотОчение Ответ: . 5 | В одном из приведённых ниже предложений</x:v>
      </x:c>
      <x:c r="N4945" s="30" t="str">
        <x:v>245</x:v>
      </x:c>
      <x:c r="O4945" s="30" t="str">
        <x:v>Ответ перенесён из сводной таблицы и связан с исходным заданием.</x:v>
      </x:c>
      <x:c r="P4945" s="30"/>
      <x:c r="Q4945" s="30" t="str">
        <x:v>Ответ визуально сверён с таблицей ответов; условие привязано к исходной странице.</x:v>
      </x:c>
      <x:c r="R4945" s="30" t="str">
        <x:v>245</x:v>
      </x:c>
      <x:c r="S4945" s="30"/>
      <x:c r="T4945" s="30" t="str">
        <x:v>ОТВЕТЫ (2).docx</x:v>
      </x:c>
      <x:c r="U4945" s="30" t="str">
        <x:v>Расхождений с таблицей ответов не выявлено.</x:v>
      </x:c>
      <x:c r="V4945" s="87" t="str">
        <x:v>VERIFIED</x:v>
      </x:c>
      <x:c r="W4945" s="87"/>
      <x:c r="X4945" s="87"/>
      <x:c r="Y4945" s="87" t="n">
        <x:v>4</x:v>
      </x:c>
      <x:c r="Z4945" s="87" t="n">
        <x:v>4</x:v>
      </x:c>
      <x:c r="AA4945" s="87" t="str">
        <x:v>страница 1</x:v>
      </x:c>
      <x:c r="AB4945" s="87"/>
      <x:c r="AC4945" s="87" t="str">
        <x:v>VIS-EGKR-RUS-W25-TASK-951-P004</x:v>
      </x:c>
      <x:c r="AD4945" s="87" t="str">
        <x:v>VIS-EGKR-RUS-W25-KEY-ALL-P001</x:v>
      </x:c>
      <x:c r="AE4945" s="87" t="str">
        <x:v>TASK; KEY</x:v>
      </x:c>
      <x:c r="AF4945" s="87" t="str">
        <x:v>VIS-EGKR-RUS-W25-TASK-951-P004: 4; VIS-EGKR-RUS-W25-KEY-ALL-P001: 1</x:v>
      </x:c>
      <x:c r="AG4945" s="87" t="str">
        <x:v>RESOLVED</x:v>
      </x:c>
      <x:c r="AH4945" s="87" t="str">
        <x:v>CROP_VERIFIED</x:v>
      </x:c>
      <x:c r="AI4945" s="30"/>
      <x:c r="AJ4945" s="87" t="str">
        <x:v>clean</x:v>
      </x:c>
      <x:c r="AK4945" s="87" t="str">
        <x:v>clean-v0.10</x:v>
      </x:c>
      <x:c r="AL4945" s="87" t="str">
        <x:v>statgrad_clean_continuation_v0_10(1).xlsx</x:v>
      </x:c>
      <x:c r="AM4945" s="87" t="str">
        <x:v>RUS_EGKR_951</x:v>
      </x:c>
      <x:c r="AN4945" s="87" t="n">
        <x:v>5</x:v>
      </x:c>
    </x:row>
    <x:row r="4946">
      <x:c r="A4946" s="87" t="n">
        <x:v>4945</x:v>
      </x:c>
      <x:c r="B4946" s="87" t="str">
        <x:v>EGKR-W25-RUS-951-05</x:v>
      </x:c>
      <x:c r="C4946" s="87" t="str">
        <x:v>ЕГКР</x:v>
      </x:c>
      <x:c r="D4946" s="87"/>
      <x:c r="E4946" s="87" t="str">
        <x:v>Зима 2025</x:v>
      </x:c>
      <x:c r="F4946" s="87" t="str">
        <x:v>09.12.2025</x:v>
      </x:c>
      <x:c r="G4946" s="87" t="str">
        <x:v>Русский язык</x:v>
      </x:c>
      <x:c r="H4946" s="87" t="n">
        <x:v>11</x:v>
      </x:c>
      <x:c r="I4946" s="87"/>
      <x:c r="J4946" s="87" t="str">
        <x:v>951</x:v>
      </x:c>
      <x:c r="K4946" s="87" t="n">
        <x:v>5</x:v>
      </x:c>
      <x:c r="L4946" s="87" t="str">
        <x:v>Паронимы и лексическая сочетаемость</x:v>
      </x:c>
      <x:c r="M4946" s="30" t="str">
        <x:v>НЕВЕРНО употреблено выделенное слово. Исправьте лексическую ошибку. — подобрав к выделенному слову пароним. Запишите подобранное слово. собнюлая нормы современного русского литературного языка. Ответы по этим запросам должны быть ПРЕДСТАВЛЕНЫ в десятидневный срок. Футболисты испытывали ДВОЙСТВЕННЫЕ чувства от прошального матча. потому что победа была очень трудной. В театре состоялся БЛАГОТВОРНЫЙ коннерт. в котором приняли участие известные российские актёры. В душе её вздымались волны. ревел ураганный ветер. образовалась НЕСТЕРИИМАЯ. как бездонная пропасть, пустота. По словам спасателей. НЕУДАЧЛИВЫЙ альиинист слабо закрепил страховочный трос и только чудом спасся, </x:v>
      </x:c>
      <x:c r="N4946" s="30" t="str">
        <x:v>благотворительный</x:v>
      </x:c>
      <x:c r="O4946" s="30" t="str">
        <x:v>Ответ перенесён из сводной таблицы и связан с исходным заданием.</x:v>
      </x:c>
      <x:c r="P4946" s="30"/>
      <x:c r="Q4946" s="30" t="str">
        <x:v>Ответ визуально сверён с таблицей ответов; условие привязано к исходной странице.</x:v>
      </x:c>
      <x:c r="R4946" s="30" t="str">
        <x:v>благотворительный</x:v>
      </x:c>
      <x:c r="S4946" s="30"/>
      <x:c r="T4946" s="30" t="str">
        <x:v>ОТВЕТЫ (2).docx</x:v>
      </x:c>
      <x:c r="U4946" s="30" t="str">
        <x:v>Расхождений с таблицей ответов не выявлено.</x:v>
      </x:c>
      <x:c r="V4946" s="87" t="str">
        <x:v>VERIFIED</x:v>
      </x:c>
      <x:c r="W4946" s="87"/>
      <x:c r="X4946" s="87"/>
      <x:c r="Y4946" s="87" t="n">
        <x:v>4</x:v>
      </x:c>
      <x:c r="Z4946" s="87" t="n">
        <x:v>4</x:v>
      </x:c>
      <x:c r="AA4946" s="87" t="str">
        <x:v>страница 1</x:v>
      </x:c>
      <x:c r="AB4946" s="87"/>
      <x:c r="AC4946" s="87" t="str">
        <x:v>VIS-EGKR-RUS-W25-TASK-951-P004</x:v>
      </x:c>
      <x:c r="AD4946" s="87" t="str">
        <x:v>VIS-EGKR-RUS-W25-KEY-ALL-P001</x:v>
      </x:c>
      <x:c r="AE4946" s="87" t="str">
        <x:v>TASK; KEY</x:v>
      </x:c>
      <x:c r="AF4946" s="87" t="str">
        <x:v>VIS-EGKR-RUS-W25-TASK-951-P004: 4; VIS-EGKR-RUS-W25-KEY-ALL-P001: 1</x:v>
      </x:c>
      <x:c r="AG4946" s="87" t="str">
        <x:v>RESOLVED</x:v>
      </x:c>
      <x:c r="AH4946" s="87" t="str">
        <x:v>CROP_VERIFIED</x:v>
      </x:c>
      <x:c r="AI4946" s="30"/>
      <x:c r="AJ4946" s="87" t="str">
        <x:v>clean</x:v>
      </x:c>
      <x:c r="AK4946" s="87" t="str">
        <x:v>clean-v0.10</x:v>
      </x:c>
      <x:c r="AL4946" s="87" t="str">
        <x:v>statgrad_clean_continuation_v0_10(1).xlsx</x:v>
      </x:c>
      <x:c r="AM4946" s="87" t="str">
        <x:v>RUS_EGKR_951</x:v>
      </x:c>
      <x:c r="AN4946" s="87" t="n">
        <x:v>6</x:v>
      </x:c>
    </x:row>
    <x:row r="4947">
      <x:c r="A4947" s="87" t="n">
        <x:v>4946</x:v>
      </x:c>
      <x:c r="B4947" s="87" t="str">
        <x:v>EGKR-W25-RUS-951-06</x:v>
      </x:c>
      <x:c r="C4947" s="87" t="str">
        <x:v>ЕГКР</x:v>
      </x:c>
      <x:c r="D4947" s="87"/>
      <x:c r="E4947" s="87" t="str">
        <x:v>Зима 2025</x:v>
      </x:c>
      <x:c r="F4947" s="87" t="str">
        <x:v>09.12.2025</x:v>
      </x:c>
      <x:c r="G4947" s="87" t="str">
        <x:v>Русский язык</x:v>
      </x:c>
      <x:c r="H4947" s="87" t="n">
        <x:v>11</x:v>
      </x:c>
      <x:c r="I4947" s="87"/>
      <x:c r="J4947" s="87" t="str">
        <x:v>951</x:v>
      </x:c>
      <x:c r="K4947" s="87" t="n">
        <x:v>6</x:v>
      </x:c>
      <x:c r="L4947" s="87" t="str">
        <x:v>Лексическая норма / речевая избыточность</x:v>
      </x:c>
      <x:c r="M4947" s="30" t="str">
        <x:v>Отредактируйте предложение: исправьте лексичсскую ошибку. заменив употреблённое неверно слово. Запишите подобранное слово. соблюдая нормы современного русского литературного языка и сохраняя смысл высказывания. Наши педагоги стараются, чтобы молодое поколение не только получало всестороннее образование, но и повышало свой общекультурный кругозор. Ответ: . 7 В одном из выделенных ниже слов допущена</x:v>
      </x:c>
      <x:c r="N4947" s="30" t="str">
        <x:v>расширяло</x:v>
      </x:c>
      <x:c r="O4947" s="30" t="str">
        <x:v>Ответ перенесён из сводной таблицы и связан с исходным заданием.</x:v>
      </x:c>
      <x:c r="P4947" s="30"/>
      <x:c r="Q4947" s="30" t="str">
        <x:v>Ответ визуально сверён с таблицей ответов; условие привязано к исходной странице.</x:v>
      </x:c>
      <x:c r="R4947" s="30" t="str">
        <x:v>расширяло</x:v>
      </x:c>
      <x:c r="S4947" s="30"/>
      <x:c r="T4947" s="30" t="str">
        <x:v>ОТВЕТЫ (2).docx</x:v>
      </x:c>
      <x:c r="U4947" s="30" t="str">
        <x:v>Расхождений с таблицей ответов не выявлено.</x:v>
      </x:c>
      <x:c r="V4947" s="87" t="str">
        <x:v>VERIFIED</x:v>
      </x:c>
      <x:c r="W4947" s="87"/>
      <x:c r="X4947" s="87"/>
      <x:c r="Y4947" s="87" t="n">
        <x:v>5</x:v>
      </x:c>
      <x:c r="Z4947" s="87" t="n">
        <x:v>5</x:v>
      </x:c>
      <x:c r="AA4947" s="87" t="str">
        <x:v>страница 1</x:v>
      </x:c>
      <x:c r="AB4947" s="87"/>
      <x:c r="AC4947" s="87" t="str">
        <x:v>VIS-EGKR-RUS-W25-TASK-951-P005</x:v>
      </x:c>
      <x:c r="AD4947" s="87" t="str">
        <x:v>VIS-EGKR-RUS-W25-KEY-ALL-P001</x:v>
      </x:c>
      <x:c r="AE4947" s="87" t="str">
        <x:v>TASK; KEY</x:v>
      </x:c>
      <x:c r="AF4947" s="87" t="str">
        <x:v>VIS-EGKR-RUS-W25-TASK-951-P005: 5; VIS-EGKR-RUS-W25-KEY-ALL-P001: 1</x:v>
      </x:c>
      <x:c r="AG4947" s="87" t="str">
        <x:v>RESOLVED</x:v>
      </x:c>
      <x:c r="AH4947" s="87" t="str">
        <x:v>CROP_VERIFIED</x:v>
      </x:c>
      <x:c r="AI4947" s="30"/>
      <x:c r="AJ4947" s="87" t="str">
        <x:v>clean</x:v>
      </x:c>
      <x:c r="AK4947" s="87" t="str">
        <x:v>clean-v0.10</x:v>
      </x:c>
      <x:c r="AL4947" s="87" t="str">
        <x:v>statgrad_clean_continuation_v0_10(1).xlsx</x:v>
      </x:c>
      <x:c r="AM4947" s="87" t="str">
        <x:v>RUS_EGKR_951</x:v>
      </x:c>
      <x:c r="AN4947" s="87" t="n">
        <x:v>7</x:v>
      </x:c>
    </x:row>
    <x:row r="4948">
      <x:c r="A4948" s="87" t="n">
        <x:v>4947</x:v>
      </x:c>
      <x:c r="B4948" s="87" t="str">
        <x:v>EGKR-W25-RUS-951-07</x:v>
      </x:c>
      <x:c r="C4948" s="87" t="str">
        <x:v>ЕГКР</x:v>
      </x:c>
      <x:c r="D4948" s="87"/>
      <x:c r="E4948" s="87" t="str">
        <x:v>Зима 2025</x:v>
      </x:c>
      <x:c r="F4948" s="87" t="str">
        <x:v>09.12.2025</x:v>
      </x:c>
      <x:c r="G4948" s="87" t="str">
        <x:v>Русский язык</x:v>
      </x:c>
      <x:c r="H4948" s="87" t="n">
        <x:v>11</x:v>
      </x:c>
      <x:c r="I4948" s="87"/>
      <x:c r="J4948" s="87" t="str">
        <x:v>951</x:v>
      </x:c>
      <x:c r="K4948" s="87" t="n">
        <x:v>7</x:v>
      </x:c>
      <x:c r="L4948" s="87" t="str">
        <x:v>Морфологические нормы</x:v>
      </x:c>
      <x:c r="M4948" s="30" t="str">
        <x:v>грамматическая ошибка. Исправьте сшибку и запишите слово правильно. сидеть за РОЯЛЕМ рота СОДАТ БЕРЕГЁТ природу более ДЕВЯНОСТА килограммов ДВОЕ спортсменов Ответ: . © 2525 ©7БЧУ "бедвоальный институт -едатстических изуерений"“ WWWE'S RU отиссвание не допускается</x:v>
      </x:c>
      <x:c r="N4948" s="30" t="str">
        <x:v>бережёт</x:v>
      </x:c>
      <x:c r="O4948" s="30" t="str">
        <x:v>Ответ перенесён из сводной таблицы и связан с исходным заданием.</x:v>
      </x:c>
      <x:c r="P4948" s="30"/>
      <x:c r="Q4948" s="30" t="str">
        <x:v>Ответ визуально сверён с таблицей ответов; условие привязано к исходной странице.</x:v>
      </x:c>
      <x:c r="R4948" s="30" t="str">
        <x:v>бережёт</x:v>
      </x:c>
      <x:c r="S4948" s="30"/>
      <x:c r="T4948" s="30" t="str">
        <x:v>ОТВЕТЫ (2).docx</x:v>
      </x:c>
      <x:c r="U4948" s="30" t="str">
        <x:v>Расхождений с таблицей ответов не выявлено.</x:v>
      </x:c>
      <x:c r="V4948" s="87" t="str">
        <x:v>VERIFIED</x:v>
      </x:c>
      <x:c r="W4948" s="87"/>
      <x:c r="X4948" s="87"/>
      <x:c r="Y4948" s="87" t="n">
        <x:v>5</x:v>
      </x:c>
      <x:c r="Z4948" s="87" t="n">
        <x:v>5</x:v>
      </x:c>
      <x:c r="AA4948" s="87" t="str">
        <x:v>страница 1</x:v>
      </x:c>
      <x:c r="AB4948" s="87"/>
      <x:c r="AC4948" s="87" t="str">
        <x:v>VIS-EGKR-RUS-W25-TASK-951-P005</x:v>
      </x:c>
      <x:c r="AD4948" s="87" t="str">
        <x:v>VIS-EGKR-RUS-W25-KEY-ALL-P001</x:v>
      </x:c>
      <x:c r="AE4948" s="87" t="str">
        <x:v>TASK; KEY</x:v>
      </x:c>
      <x:c r="AF4948" s="87" t="str">
        <x:v>VIS-EGKR-RUS-W25-TASK-951-P005: 5; VIS-EGKR-RUS-W25-KEY-ALL-P001: 1</x:v>
      </x:c>
      <x:c r="AG4948" s="87" t="str">
        <x:v>RESOLVED</x:v>
      </x:c>
      <x:c r="AH4948" s="87" t="str">
        <x:v>CROP_VERIFIED</x:v>
      </x:c>
      <x:c r="AI4948" s="30"/>
      <x:c r="AJ4948" s="87" t="str">
        <x:v>clean</x:v>
      </x:c>
      <x:c r="AK4948" s="87" t="str">
        <x:v>clean-v0.10</x:v>
      </x:c>
      <x:c r="AL4948" s="87" t="str">
        <x:v>statgrad_clean_continuation_v0_10(1).xlsx</x:v>
      </x:c>
      <x:c r="AM4948" s="87" t="str">
        <x:v>RUS_EGKR_951</x:v>
      </x:c>
      <x:c r="AN4948" s="87" t="n">
        <x:v>8</x:v>
      </x:c>
    </x:row>
    <x:row r="4949">
      <x:c r="A4949" s="87" t="n">
        <x:v>4948</x:v>
      </x:c>
      <x:c r="B4949" s="87" t="str">
        <x:v>EGKR-W25-RUS-951-08</x:v>
      </x:c>
      <x:c r="C4949" s="87" t="str">
        <x:v>ЕГКР</x:v>
      </x:c>
      <x:c r="D4949" s="87"/>
      <x:c r="E4949" s="87" t="str">
        <x:v>Зима 2025</x:v>
      </x:c>
      <x:c r="F4949" s="87" t="str">
        <x:v>09.12.2025</x:v>
      </x:c>
      <x:c r="G4949" s="87" t="str">
        <x:v>Русский язык</x:v>
      </x:c>
      <x:c r="H4949" s="87" t="n">
        <x:v>11</x:v>
      </x:c>
      <x:c r="I4949" s="87"/>
      <x:c r="J4949" s="87" t="str">
        <x:v>951</x:v>
      </x:c>
      <x:c r="K4949" s="87" t="n">
        <x:v>8</x:v>
      </x:c>
      <x:c r="L4949" s="87" t="str">
        <x:v>Синтаксические нормы: соответствие ошибок</x:v>
      </x:c>
      <x:c r="M4949" s="30" t="str">
        <x:v>соответствие между грамматическими ошибками и предложениями. в которых они допушены: к каждой позиции первого столбиа подберите соответствующую позицию из второго столбца. ГРАММАТИЧЕСКИЕ ПРЕДЛОЖЕНИЯ ОШИБКИ А) неправильное построение 1) Воспоминания детства. освежая, предложения возвышая мою душу. много значат для с причастным оборотом меня и служили источником лучших Б) нарушение видо- наслаждений. временной соотнесённости 2} Когда люди молоды и неотразимы, глаголов но им сходят с рук чёрствость. эгоизм, В) нарушение в построении высокомерие. предложения 3) He сохраняя в себе память прошлого. с несогласованным человек губит свою личность. приложением 4) Сорванная шляпа сильным порывом Г) неправильное построение ветра покатилась по асфальтированной предложения дороге, с деепричастным 5) Мы восхищаемся картиной оборотом В.М. Васнецова «Алёнушка». созданной Д) ошибка в построении по мотивам русской народной сказки сложного предложения «Алёнушка и братец Иванушка». 6) Россия — это океан земель, простирающийся на одной шестой части света и держащий в касаниях своих раскрытых крыльев Запад и Восток. 7) В романе A.C. Пушкина «Евгении Онегине». переведённом на множество иностранных языков, найдётся немало материала для работы лингвистов. литературоведов, переводчиков. 8} Доктор. который назначил мне лечение i и ккоторому я должен был прийти на ! этой неделе. внезанно заболел. 9) Поднимаясь но лестниие. моё внимание привлёк необычный плакат. | Запишите в таблицу выбранные цифры под соответствующими буквами. | АБ! В: Г!Д i Ответ: | it | | i : | 1 :</x:v>
      </x:c>
      <x:c r="N4949" s="30" t="str">
        <x:v>41792</x:v>
      </x:c>
      <x:c r="O4949" s="30" t="str">
        <x:v>Ответ перенесён из сводной таблицы и связан с исходным заданием.</x:v>
      </x:c>
      <x:c r="P4949" s="30"/>
      <x:c r="Q4949" s="30" t="str">
        <x:v>Ответ визуально сверён с таблицей ответов; условие привязано к исходной странице.</x:v>
      </x:c>
      <x:c r="R4949" s="30" t="str">
        <x:v>41792</x:v>
      </x:c>
      <x:c r="S4949" s="30"/>
      <x:c r="T4949" s="30" t="str">
        <x:v>ОТВЕТЫ (2).docx</x:v>
      </x:c>
      <x:c r="U4949" s="30" t="str">
        <x:v>Расхождений с таблицей ответов не выявлено.</x:v>
      </x:c>
      <x:c r="V4949" s="87" t="str">
        <x:v>VERIFIED</x:v>
      </x:c>
      <x:c r="W4949" s="87"/>
      <x:c r="X4949" s="87"/>
      <x:c r="Y4949" s="87" t="n">
        <x:v>6</x:v>
      </x:c>
      <x:c r="Z4949" s="87" t="n">
        <x:v>6</x:v>
      </x:c>
      <x:c r="AA4949" s="87" t="str">
        <x:v>страница 1</x:v>
      </x:c>
      <x:c r="AB4949" s="87"/>
      <x:c r="AC4949" s="87" t="str">
        <x:v>VIS-EGKR-RUS-W25-TASK-951-P006</x:v>
      </x:c>
      <x:c r="AD4949" s="87" t="str">
        <x:v>VIS-EGKR-RUS-W25-KEY-ALL-P001</x:v>
      </x:c>
      <x:c r="AE4949" s="87" t="str">
        <x:v>TASK; KEY</x:v>
      </x:c>
      <x:c r="AF4949" s="87" t="str">
        <x:v>VIS-EGKR-RUS-W25-TASK-951-P006: 6; VIS-EGKR-RUS-W25-KEY-ALL-P001: 1</x:v>
      </x:c>
      <x:c r="AG4949" s="87" t="str">
        <x:v>RESOLVED</x:v>
      </x:c>
      <x:c r="AH4949" s="87" t="str">
        <x:v>CROP_VERIFIED</x:v>
      </x:c>
      <x:c r="AI4949" s="30"/>
      <x:c r="AJ4949" s="87" t="str">
        <x:v>clean</x:v>
      </x:c>
      <x:c r="AK4949" s="87" t="str">
        <x:v>clean-v0.10</x:v>
      </x:c>
      <x:c r="AL4949" s="87" t="str">
        <x:v>statgrad_clean_continuation_v0_10(1).xlsx</x:v>
      </x:c>
      <x:c r="AM4949" s="87" t="str">
        <x:v>RUS_EGKR_951</x:v>
      </x:c>
      <x:c r="AN4949" s="87" t="n">
        <x:v>9</x:v>
      </x:c>
    </x:row>
    <x:row r="4950">
      <x:c r="A4950" s="87" t="n">
        <x:v>4949</x:v>
      </x:c>
      <x:c r="B4950" s="87" t="str">
        <x:v>EGKR-W25-RUS-951-09</x:v>
      </x:c>
      <x:c r="C4950" s="87" t="str">
        <x:v>ЕГКР</x:v>
      </x:c>
      <x:c r="D4950" s="87"/>
      <x:c r="E4950" s="87" t="str">
        <x:v>Зима 2025</x:v>
      </x:c>
      <x:c r="F4950" s="87" t="str">
        <x:v>09.12.2025</x:v>
      </x:c>
      <x:c r="G4950" s="87" t="str">
        <x:v>Русский язык</x:v>
      </x:c>
      <x:c r="H4950" s="87" t="n">
        <x:v>11</x:v>
      </x:c>
      <x:c r="I4950" s="87"/>
      <x:c r="J4950" s="87" t="str">
        <x:v>951</x:v>
      </x:c>
      <x:c r="K4950" s="87" t="n">
        <x:v>9</x:v>
      </x:c>
      <x:c r="L4950" s="87" t="str">
        <x:v>Правописание корней</x:v>
      </x:c>
      <x:c r="M4950" s="30"/>
      <x:c r="N4950" s="30" t="str">
        <x:v>235</x:v>
      </x:c>
      <x:c r="O4950" s="30" t="str">
        <x:v>Ответ перенесён из сводной таблицы и связан с исходным заданием.</x:v>
      </x:c>
      <x:c r="P4950" s="30"/>
      <x:c r="Q4950" s="30" t="str">
        <x:v>Ответ визуально сверён с таблицей ответов; условие привязано к исходной странице.</x:v>
      </x:c>
      <x:c r="R4950" s="30" t="str">
        <x:v>235</x:v>
      </x:c>
      <x:c r="S4950" s="30"/>
      <x:c r="T4950" s="30" t="str">
        <x:v>ОТВЕТЫ (2).docx</x:v>
      </x:c>
      <x:c r="U4950" s="30" t="str">
        <x:v>Расхождений с таблицей ответов не выявлено.</x:v>
      </x:c>
      <x:c r="V4950" s="87" t="str">
        <x:v>VERIFIED</x:v>
      </x:c>
      <x:c r="W4950" s="87"/>
      <x:c r="X4950" s="87"/>
      <x:c r="Y4950" s="87" t="n">
        <x:v>7</x:v>
      </x:c>
      <x:c r="Z4950" s="87" t="n">
        <x:v>7</x:v>
      </x:c>
      <x:c r="AA4950" s="87" t="str">
        <x:v>страница 1</x:v>
      </x:c>
      <x:c r="AB4950" s="87"/>
      <x:c r="AC4950" s="87" t="str">
        <x:v>VIS-EGKR-RUS-W25-TASK-951-P007</x:v>
      </x:c>
      <x:c r="AD4950" s="87" t="str">
        <x:v>VIS-EGKR-RUS-W25-KEY-ALL-P001</x:v>
      </x:c>
      <x:c r="AE4950" s="87" t="str">
        <x:v>TASK; KEY</x:v>
      </x:c>
      <x:c r="AF4950" s="87" t="str">
        <x:v>VIS-EGKR-RUS-W25-TASK-951-P007: 7; VIS-EGKR-RUS-W25-KEY-ALL-P001: 1</x:v>
      </x:c>
      <x:c r="AG4950" s="87" t="str">
        <x:v>RESOLVED</x:v>
      </x:c>
      <x:c r="AH4950" s="87" t="str">
        <x:v>CROP_VERIFIED</x:v>
      </x:c>
      <x:c r="AI4950" s="30"/>
      <x:c r="AJ4950" s="87" t="str">
        <x:v>clean</x:v>
      </x:c>
      <x:c r="AK4950" s="87" t="str">
        <x:v>clean-v0.10</x:v>
      </x:c>
      <x:c r="AL4950" s="87" t="str">
        <x:v>statgrad_clean_continuation_v0_10(1).xlsx</x:v>
      </x:c>
      <x:c r="AM4950" s="87" t="str">
        <x:v>RUS_EGKR_951</x:v>
      </x:c>
      <x:c r="AN4950" s="87" t="n">
        <x:v>10</x:v>
      </x:c>
    </x:row>
    <x:row r="4951">
      <x:c r="A4951" s="87" t="n">
        <x:v>4950</x:v>
      </x:c>
      <x:c r="B4951" s="87" t="str">
        <x:v>EGKR-W25-RUS-951-10</x:v>
      </x:c>
      <x:c r="C4951" s="87" t="str">
        <x:v>ЕГКР</x:v>
      </x:c>
      <x:c r="D4951" s="87"/>
      <x:c r="E4951" s="87" t="str">
        <x:v>Зима 2025</x:v>
      </x:c>
      <x:c r="F4951" s="87" t="str">
        <x:v>09.12.2025</x:v>
      </x:c>
      <x:c r="G4951" s="87" t="str">
        <x:v>Русский язык</x:v>
      </x:c>
      <x:c r="H4951" s="87" t="n">
        <x:v>11</x:v>
      </x:c>
      <x:c r="I4951" s="87"/>
      <x:c r="J4951" s="87" t="str">
        <x:v>951</x:v>
      </x:c>
      <x:c r="K4951" s="87" t="n">
        <x:v>10</x:v>
      </x:c>
      <x:c r="L4951" s="87" t="str">
        <x:v>Правописание приставок и букв Ы/И</x:v>
      </x:c>
      <x:c r="M4951" s="30" t="str">
        <x:v>во всех словах одного ряда пропущена одна и та же буква. Запишите номера ответов. 1) пр..родина. с..страдание. в. одушевление 2) без. дейный. пред..стория. раз..скать 3) (не видно) ни ..ги. „тинуть. бе. пошлинный 4} пр..териеться (к боли). ир..лавать (значение), пр..сесть (на минуту} 5) 0..душина. о..пирать (дверь). пре. чувствовать Ответ: : 11 . Укажите варианты ответов. в которых</x:v>
      </x:c>
      <x:c r="N4951" s="30" t="str">
        <x:v>24</x:v>
      </x:c>
      <x:c r="O4951" s="30" t="str">
        <x:v>Ответ перенесён из сводной таблицы и связан с исходным заданием.</x:v>
      </x:c>
      <x:c r="P4951" s="30"/>
      <x:c r="Q4951" s="30" t="str">
        <x:v>Ответ визуально сверён с таблицей ответов; условие привязано к исходной странице.</x:v>
      </x:c>
      <x:c r="R4951" s="30" t="str">
        <x:v>24</x:v>
      </x:c>
      <x:c r="S4951" s="30"/>
      <x:c r="T4951" s="30" t="str">
        <x:v>ОТВЕТЫ (2).docx</x:v>
      </x:c>
      <x:c r="U4951" s="30" t="str">
        <x:v>Расхождений с таблицей ответов не выявлено.</x:v>
      </x:c>
      <x:c r="V4951" s="87" t="str">
        <x:v>VERIFIED</x:v>
      </x:c>
      <x:c r="W4951" s="87"/>
      <x:c r="X4951" s="87"/>
      <x:c r="Y4951" s="87" t="n">
        <x:v>7</x:v>
      </x:c>
      <x:c r="Z4951" s="87" t="n">
        <x:v>7</x:v>
      </x:c>
      <x:c r="AA4951" s="87" t="str">
        <x:v>страница 1</x:v>
      </x:c>
      <x:c r="AB4951" s="87"/>
      <x:c r="AC4951" s="87" t="str">
        <x:v>VIS-EGKR-RUS-W25-TASK-951-P007</x:v>
      </x:c>
      <x:c r="AD4951" s="87" t="str">
        <x:v>VIS-EGKR-RUS-W25-KEY-ALL-P001</x:v>
      </x:c>
      <x:c r="AE4951" s="87" t="str">
        <x:v>TASK; KEY</x:v>
      </x:c>
      <x:c r="AF4951" s="87" t="str">
        <x:v>VIS-EGKR-RUS-W25-TASK-951-P007: 7; VIS-EGKR-RUS-W25-KEY-ALL-P001: 1</x:v>
      </x:c>
      <x:c r="AG4951" s="87" t="str">
        <x:v>RESOLVED</x:v>
      </x:c>
      <x:c r="AH4951" s="87" t="str">
        <x:v>CROP_VERIFIED</x:v>
      </x:c>
      <x:c r="AI4951" s="30"/>
      <x:c r="AJ4951" s="87" t="str">
        <x:v>clean</x:v>
      </x:c>
      <x:c r="AK4951" s="87" t="str">
        <x:v>clean-v0.10</x:v>
      </x:c>
      <x:c r="AL4951" s="87" t="str">
        <x:v>statgrad_clean_continuation_v0_10(1).xlsx</x:v>
      </x:c>
      <x:c r="AM4951" s="87" t="str">
        <x:v>RUS_EGKR_951</x:v>
      </x:c>
      <x:c r="AN4951" s="87" t="n">
        <x:v>11</x:v>
      </x:c>
    </x:row>
    <x:row r="4952">
      <x:c r="A4952" s="87" t="n">
        <x:v>4951</x:v>
      </x:c>
      <x:c r="B4952" s="87" t="str">
        <x:v>EGKR-W25-RUS-951-11</x:v>
      </x:c>
      <x:c r="C4952" s="87" t="str">
        <x:v>ЕГКР</x:v>
      </x:c>
      <x:c r="D4952" s="87"/>
      <x:c r="E4952" s="87" t="str">
        <x:v>Зима 2025</x:v>
      </x:c>
      <x:c r="F4952" s="87" t="str">
        <x:v>09.12.2025</x:v>
      </x:c>
      <x:c r="G4952" s="87" t="str">
        <x:v>Русский язык</x:v>
      </x:c>
      <x:c r="H4952" s="87" t="n">
        <x:v>11</x:v>
      </x:c>
      <x:c r="I4952" s="87"/>
      <x:c r="J4952" s="87" t="str">
        <x:v>951</x:v>
      </x:c>
      <x:c r="K4952" s="87" t="n">
        <x:v>11</x:v>
      </x:c>
      <x:c r="L4952" s="87" t="str">
        <x:v>Правописание суффиксов</x:v>
      </x:c>
      <x:c r="M4952" s="30" t="str">
        <x:v>в обоих словах одного ряда пропущена одна и та же буква. Запишите номера ответов. |) запрост... скач..к 2) обезбол..вание. клеть 3) насмешл..вый, раздва. ваться 4) команд.. вать. беготня 5) жемчужнка. матерч.лтый Ответ: : dervtceetve не допускается</x:v>
      </x:c>
      <x:c r="N4952" s="30" t="str">
        <x:v>1234</x:v>
      </x:c>
      <x:c r="O4952" s="30" t="str">
        <x:v>Ответ перенесён из сводной таблицы и связан с исходным заданием.</x:v>
      </x:c>
      <x:c r="P4952" s="30"/>
      <x:c r="Q4952" s="30" t="str">
        <x:v>Ответ визуально сверён с таблицей ответов; условие привязано к исходной странице.</x:v>
      </x:c>
      <x:c r="R4952" s="30" t="str">
        <x:v>1234</x:v>
      </x:c>
      <x:c r="S4952" s="30"/>
      <x:c r="T4952" s="30" t="str">
        <x:v>ОТВЕТЫ (2).docx</x:v>
      </x:c>
      <x:c r="U4952" s="30" t="str">
        <x:v>Расхождений с таблицей ответов не выявлено.</x:v>
      </x:c>
      <x:c r="V4952" s="87" t="str">
        <x:v>VERIFIED</x:v>
      </x:c>
      <x:c r="W4952" s="87"/>
      <x:c r="X4952" s="87"/>
      <x:c r="Y4952" s="87" t="n">
        <x:v>7</x:v>
      </x:c>
      <x:c r="Z4952" s="87" t="n">
        <x:v>7</x:v>
      </x:c>
      <x:c r="AA4952" s="87" t="str">
        <x:v>страница 1</x:v>
      </x:c>
      <x:c r="AB4952" s="87"/>
      <x:c r="AC4952" s="87" t="str">
        <x:v>VIS-EGKR-RUS-W25-TASK-951-P007</x:v>
      </x:c>
      <x:c r="AD4952" s="87" t="str">
        <x:v>VIS-EGKR-RUS-W25-KEY-ALL-P001</x:v>
      </x:c>
      <x:c r="AE4952" s="87" t="str">
        <x:v>TASK; KEY</x:v>
      </x:c>
      <x:c r="AF4952" s="87" t="str">
        <x:v>VIS-EGKR-RUS-W25-TASK-951-P007: 7; VIS-EGKR-RUS-W25-KEY-ALL-P001: 1</x:v>
      </x:c>
      <x:c r="AG4952" s="87" t="str">
        <x:v>RESOLVED</x:v>
      </x:c>
      <x:c r="AH4952" s="87" t="str">
        <x:v>CROP_VERIFIED</x:v>
      </x:c>
      <x:c r="AI4952" s="30"/>
      <x:c r="AJ4952" s="87" t="str">
        <x:v>clean</x:v>
      </x:c>
      <x:c r="AK4952" s="87" t="str">
        <x:v>clean-v0.10</x:v>
      </x:c>
      <x:c r="AL4952" s="87" t="str">
        <x:v>statgrad_clean_continuation_v0_10(1).xlsx</x:v>
      </x:c>
      <x:c r="AM4952" s="87" t="str">
        <x:v>RUS_EGKR_951</x:v>
      </x:c>
      <x:c r="AN4952" s="87" t="n">
        <x:v>12</x:v>
      </x:c>
    </x:row>
    <x:row r="4953">
      <x:c r="A4953" s="87" t="n">
        <x:v>4952</x:v>
      </x:c>
      <x:c r="B4953" s="87" t="str">
        <x:v>EGKR-W25-RUS-951-12</x:v>
      </x:c>
      <x:c r="C4953" s="87" t="str">
        <x:v>ЕГКР</x:v>
      </x:c>
      <x:c r="D4953" s="87"/>
      <x:c r="E4953" s="87" t="str">
        <x:v>Зима 2025</x:v>
      </x:c>
      <x:c r="F4953" s="87" t="str">
        <x:v>09.12.2025</x:v>
      </x:c>
      <x:c r="G4953" s="87" t="str">
        <x:v>Русский язык</x:v>
      </x:c>
      <x:c r="H4953" s="87" t="n">
        <x:v>11</x:v>
      </x:c>
      <x:c r="I4953" s="87"/>
      <x:c r="J4953" s="87" t="str">
        <x:v>951</x:v>
      </x:c>
      <x:c r="K4953" s="87" t="n">
        <x:v>12</x:v>
      </x:c>
      <x:c r="L4953" s="87" t="str">
        <x:v>Личные окончания глаголов и суффиксы причастий</x:v>
      </x:c>
      <x:c r="M4953" s="30" t="str">
        <x:v>в обоих словах одного ряда пропущена одна и та же буква. Запишите номера ответов. 1) скач..щий. (они) мол.т (о помоши) 2) (тшательно) размеш..нный (сахар). (они) знач..т (много) 3) закруч..нный. кол..шь 4) зала..вший. (продукты) порт..тся 5) униж..нный. держ..шься </x:v>
      </x:c>
      <x:c r="N4953" s="30" t="str">
        <x:v>234</x:v>
      </x:c>
      <x:c r="O4953" s="30" t="str">
        <x:v>Ответ перенесён из сводной таблицы и связан с исходным заданием.</x:v>
      </x:c>
      <x:c r="P4953" s="30"/>
      <x:c r="Q4953" s="30" t="str">
        <x:v>Ответ визуально сверён с таблицей ответов; условие привязано к исходной странице.</x:v>
      </x:c>
      <x:c r="R4953" s="30" t="str">
        <x:v>234</x:v>
      </x:c>
      <x:c r="S4953" s="30"/>
      <x:c r="T4953" s="30" t="str">
        <x:v>ОТВЕТЫ (2).docx</x:v>
      </x:c>
      <x:c r="U4953" s="30" t="str">
        <x:v>Расхождений с таблицей ответов не выявлено.</x:v>
      </x:c>
      <x:c r="V4953" s="87" t="str">
        <x:v>VERIFIED</x:v>
      </x:c>
      <x:c r="W4953" s="87"/>
      <x:c r="X4953" s="87"/>
      <x:c r="Y4953" s="87" t="n">
        <x:v>8</x:v>
      </x:c>
      <x:c r="Z4953" s="87" t="n">
        <x:v>8</x:v>
      </x:c>
      <x:c r="AA4953" s="87" t="str">
        <x:v>страница 1</x:v>
      </x:c>
      <x:c r="AB4953" s="87"/>
      <x:c r="AC4953" s="87" t="str">
        <x:v>VIS-EGKR-RUS-W25-TASK-951-P008</x:v>
      </x:c>
      <x:c r="AD4953" s="87" t="str">
        <x:v>VIS-EGKR-RUS-W25-KEY-ALL-P001</x:v>
      </x:c>
      <x:c r="AE4953" s="87" t="str">
        <x:v>TASK; KEY</x:v>
      </x:c>
      <x:c r="AF4953" s="87" t="str">
        <x:v>VIS-EGKR-RUS-W25-TASK-951-P008: 8; VIS-EGKR-RUS-W25-KEY-ALL-P001: 1</x:v>
      </x:c>
      <x:c r="AG4953" s="87" t="str">
        <x:v>RESOLVED</x:v>
      </x:c>
      <x:c r="AH4953" s="87" t="str">
        <x:v>CROP_VERIFIED</x:v>
      </x:c>
      <x:c r="AI4953" s="30"/>
      <x:c r="AJ4953" s="87" t="str">
        <x:v>clean</x:v>
      </x:c>
      <x:c r="AK4953" s="87" t="str">
        <x:v>clean-v0.10</x:v>
      </x:c>
      <x:c r="AL4953" s="87" t="str">
        <x:v>statgrad_clean_continuation_v0_10(1).xlsx</x:v>
      </x:c>
      <x:c r="AM4953" s="87" t="str">
        <x:v>RUS_EGKR_951</x:v>
      </x:c>
      <x:c r="AN4953" s="87" t="n">
        <x:v>13</x:v>
      </x:c>
    </x:row>
    <x:row r="4954">
      <x:c r="A4954" s="87" t="n">
        <x:v>4953</x:v>
      </x:c>
      <x:c r="B4954" s="87" t="str">
        <x:v>EGKR-W25-RUS-951-13</x:v>
      </x:c>
      <x:c r="C4954" s="87" t="str">
        <x:v>ЕГКР</x:v>
      </x:c>
      <x:c r="D4954" s="87"/>
      <x:c r="E4954" s="87" t="str">
        <x:v>Зима 2025</x:v>
      </x:c>
      <x:c r="F4954" s="87" t="str">
        <x:v>09.12.2025</x:v>
      </x:c>
      <x:c r="G4954" s="87" t="str">
        <x:v>Русский язык</x:v>
      </x:c>
      <x:c r="H4954" s="87" t="n">
        <x:v>11</x:v>
      </x:c>
      <x:c r="I4954" s="87"/>
      <x:c r="J4954" s="87" t="str">
        <x:v>951</x:v>
      </x:c>
      <x:c r="K4954" s="87" t="n">
        <x:v>13</x:v>
      </x:c>
      <x:c r="L4954" s="87" t="str">
        <x:v>Правописание НЕ</x:v>
      </x:c>
      <x:c r="M4954" s="30" t="str">
        <x:v>13 | Укажите варианты ответов. в которых ЦЕ с выделенным словом пишется РАЗДЕЛЬНО. Запишите номера ответов. 1) Я предполагал. что вернусь из леса (ИЕ)РАНЬШЕ вечера. 2) Мы собирали (НЕ)КРУННЫЕ, но слалкие ягоды. 3) Вопреки плохому прогнозу восхождение на гору (HEJOTMEHEHO малоопытными туристами. 4) Тот. кто обладает териснием. (НЕМПОБЕДИМ. 5) Всё. что (НЕ)ДОРАБОТАЛИ в детстве. в старшем возрасте исправить сложно. Ответ: :</x:v>
      </x:c>
      <x:c r="N4954" s="30" t="str">
        <x:v>123</x:v>
      </x:c>
      <x:c r="O4954" s="30" t="str">
        <x:v>Ответ перенесён из сводной таблицы и связан с исходным заданием.</x:v>
      </x:c>
      <x:c r="P4954" s="30"/>
      <x:c r="Q4954" s="30" t="str">
        <x:v>Ответ визуально сверён с таблицей ответов; условие привязано к исходной странице.</x:v>
      </x:c>
      <x:c r="R4954" s="30" t="str">
        <x:v>123</x:v>
      </x:c>
      <x:c r="S4954" s="30"/>
      <x:c r="T4954" s="30" t="str">
        <x:v>ОТВЕТЫ (2).docx</x:v>
      </x:c>
      <x:c r="U4954" s="30" t="str">
        <x:v>Расхождений с таблицей ответов не выявлено.</x:v>
      </x:c>
      <x:c r="V4954" s="87" t="str">
        <x:v>VERIFIED</x:v>
      </x:c>
      <x:c r="W4954" s="87"/>
      <x:c r="X4954" s="87"/>
      <x:c r="Y4954" s="87" t="n">
        <x:v>8</x:v>
      </x:c>
      <x:c r="Z4954" s="87" t="n">
        <x:v>8</x:v>
      </x:c>
      <x:c r="AA4954" s="87" t="str">
        <x:v>страница 1</x:v>
      </x:c>
      <x:c r="AB4954" s="87"/>
      <x:c r="AC4954" s="87" t="str">
        <x:v>VIS-EGKR-RUS-W25-TASK-951-P008</x:v>
      </x:c>
      <x:c r="AD4954" s="87" t="str">
        <x:v>VIS-EGKR-RUS-W25-KEY-ALL-P001</x:v>
      </x:c>
      <x:c r="AE4954" s="87" t="str">
        <x:v>TASK; KEY</x:v>
      </x:c>
      <x:c r="AF4954" s="87" t="str">
        <x:v>VIS-EGKR-RUS-W25-TASK-951-P008: 8; VIS-EGKR-RUS-W25-KEY-ALL-P001: 1</x:v>
      </x:c>
      <x:c r="AG4954" s="87" t="str">
        <x:v>RESOLVED</x:v>
      </x:c>
      <x:c r="AH4954" s="87" t="str">
        <x:v>CROP_VERIFIED</x:v>
      </x:c>
      <x:c r="AI4954" s="30"/>
      <x:c r="AJ4954" s="87" t="str">
        <x:v>clean</x:v>
      </x:c>
      <x:c r="AK4954" s="87" t="str">
        <x:v>clean-v0.10</x:v>
      </x:c>
      <x:c r="AL4954" s="87" t="str">
        <x:v>statgrad_clean_continuation_v0_10(1).xlsx</x:v>
      </x:c>
      <x:c r="AM4954" s="87" t="str">
        <x:v>RUS_EGKR_951</x:v>
      </x:c>
      <x:c r="AN4954" s="87" t="n">
        <x:v>14</x:v>
      </x:c>
    </x:row>
    <x:row r="4955">
      <x:c r="A4955" s="87" t="n">
        <x:v>4954</x:v>
      </x:c>
      <x:c r="B4955" s="87" t="str">
        <x:v>EGKR-W25-RUS-951-14</x:v>
      </x:c>
      <x:c r="C4955" s="87" t="str">
        <x:v>ЕГКР</x:v>
      </x:c>
      <x:c r="D4955" s="87"/>
      <x:c r="E4955" s="87" t="str">
        <x:v>Зима 2025</x:v>
      </x:c>
      <x:c r="F4955" s="87" t="str">
        <x:v>09.12.2025</x:v>
      </x:c>
      <x:c r="G4955" s="87" t="str">
        <x:v>Русский язык</x:v>
      </x:c>
      <x:c r="H4955" s="87" t="n">
        <x:v>11</x:v>
      </x:c>
      <x:c r="I4955" s="87"/>
      <x:c r="J4955" s="87" t="str">
        <x:v>951</x:v>
      </x:c>
      <x:c r="K4955" s="87" t="n">
        <x:v>14</x:v>
      </x:c>
      <x:c r="L4955" s="87" t="str">
        <x:v>Слитное, раздельное и дефисное написание</x:v>
      </x:c>
      <x:c r="M4955" s="30" t="str">
        <x:v>все выделенные слова пишутся РАЗДЕЛЬНО. Запишите номера ответов. 1) ЧТОБЫ) ни случилось, (В)ГЕЧЕНИЕ месяца нам нужно завершить работу. 2} (ПОМИМО отличного качества. производители ТАК(ЖЕ) обеспечивают хорошее эстетическое оформление своей продукции. 3) (ПО)ГОМУ. как сестра посмотрела на меня. я поняла, что она переживает ТО(ЖЕ) самое. 4) Котёнок (НА)СТОЛЬКО осмелел, что ВСЁТАКИ) подошёл к собаке. 5) (НА)КОНЕЦ (В)СЛЕД за маленьким катером в порт вошёл огромный теплоход. Ответ: . 15 | Укажите цифру(-ы). на месте которой(-ых)</x:v>
      </x:c>
      <x:c r="N4955" s="30" t="str">
        <x:v>135</x:v>
      </x:c>
      <x:c r="O4955" s="30" t="str">
        <x:v>Ответ перенесён из сводной таблицы и связан с исходным заданием.</x:v>
      </x:c>
      <x:c r="P4955" s="30"/>
      <x:c r="Q4955" s="30" t="str">
        <x:v>Ответ визуально сверён с таблицей ответов; условие привязано к исходной странице.</x:v>
      </x:c>
      <x:c r="R4955" s="30" t="str">
        <x:v>135</x:v>
      </x:c>
      <x:c r="S4955" s="30"/>
      <x:c r="T4955" s="30" t="str">
        <x:v>ОТВЕТЫ (2).docx</x:v>
      </x:c>
      <x:c r="U4955" s="30" t="str">
        <x:v>Расхождений с таблицей ответов не выявлено.</x:v>
      </x:c>
      <x:c r="V4955" s="87" t="str">
        <x:v>VERIFIED</x:v>
      </x:c>
      <x:c r="W4955" s="87"/>
      <x:c r="X4955" s="87"/>
      <x:c r="Y4955" s="87" t="n">
        <x:v>9</x:v>
      </x:c>
      <x:c r="Z4955" s="87" t="n">
        <x:v>9</x:v>
      </x:c>
      <x:c r="AA4955" s="87" t="str">
        <x:v>страница 1</x:v>
      </x:c>
      <x:c r="AB4955" s="87"/>
      <x:c r="AC4955" s="87" t="str">
        <x:v>VIS-EGKR-RUS-W25-TASK-951-P009</x:v>
      </x:c>
      <x:c r="AD4955" s="87" t="str">
        <x:v>VIS-EGKR-RUS-W25-KEY-ALL-P001</x:v>
      </x:c>
      <x:c r="AE4955" s="87" t="str">
        <x:v>TASK; KEY</x:v>
      </x:c>
      <x:c r="AF4955" s="87" t="str">
        <x:v>VIS-EGKR-RUS-W25-TASK-951-P009: 9; VIS-EGKR-RUS-W25-KEY-ALL-P001: 1</x:v>
      </x:c>
      <x:c r="AG4955" s="87" t="str">
        <x:v>RESOLVED</x:v>
      </x:c>
      <x:c r="AH4955" s="87" t="str">
        <x:v>CROP_VERIFIED</x:v>
      </x:c>
      <x:c r="AI4955" s="30"/>
      <x:c r="AJ4955" s="87" t="str">
        <x:v>clean</x:v>
      </x:c>
      <x:c r="AK4955" s="87" t="str">
        <x:v>clean-v0.10</x:v>
      </x:c>
      <x:c r="AL4955" s="87" t="str">
        <x:v>statgrad_clean_continuation_v0_10(1).xlsx</x:v>
      </x:c>
      <x:c r="AM4955" s="87" t="str">
        <x:v>RUS_EGKR_951</x:v>
      </x:c>
      <x:c r="AN4955" s="87" t="n">
        <x:v>15</x:v>
      </x:c>
    </x:row>
    <x:row r="4956">
      <x:c r="A4956" s="87" t="n">
        <x:v>4955</x:v>
      </x:c>
      <x:c r="B4956" s="87" t="str">
        <x:v>EGKR-W25-RUS-951-15</x:v>
      </x:c>
      <x:c r="C4956" s="87" t="str">
        <x:v>ЕГКР</x:v>
      </x:c>
      <x:c r="D4956" s="87"/>
      <x:c r="E4956" s="87" t="str">
        <x:v>Зима 2025</x:v>
      </x:c>
      <x:c r="F4956" s="87" t="str">
        <x:v>09.12.2025</x:v>
      </x:c>
      <x:c r="G4956" s="87" t="str">
        <x:v>Русский язык</x:v>
      </x:c>
      <x:c r="H4956" s="87" t="n">
        <x:v>11</x:v>
      </x:c>
      <x:c r="I4956" s="87"/>
      <x:c r="J4956" s="87" t="str">
        <x:v>951</x:v>
      </x:c>
      <x:c r="K4956" s="87" t="n">
        <x:v>15</x:v>
      </x:c>
      <x:c r="L4956" s="87" t="str">
        <x:v>Правописание Н/НН</x:v>
      </x:c>
      <x:c r="M4956" s="30" t="str">
        <x:v>пишется НН. Об увиде(1)ом в стари(2)ом гороле рассказа(3)о в недавно чита(4}ой мной книге известного путсшестве(5)ика. Ответ: | 16 Укажите предложения. в которых</x:v>
      </x:c>
      <x:c r="N4956" s="30" t="str">
        <x:v>1245</x:v>
      </x:c>
      <x:c r="O4956" s="30" t="str">
        <x:v>Ответ перенесён из сводной таблицы и связан с исходным заданием.</x:v>
      </x:c>
      <x:c r="P4956" s="30"/>
      <x:c r="Q4956" s="30" t="str">
        <x:v>Ответ визуально сверён с таблицей ответов; условие привязано к исходной странице.</x:v>
      </x:c>
      <x:c r="R4956" s="30" t="str">
        <x:v>1245</x:v>
      </x:c>
      <x:c r="S4956" s="30"/>
      <x:c r="T4956" s="30" t="str">
        <x:v>ОТВЕТЫ (2).docx</x:v>
      </x:c>
      <x:c r="U4956" s="30" t="str">
        <x:v>Расхождений с таблицей ответов не выявлено.</x:v>
      </x:c>
      <x:c r="V4956" s="87" t="str">
        <x:v>VERIFIED</x:v>
      </x:c>
      <x:c r="W4956" s="87"/>
      <x:c r="X4956" s="87"/>
      <x:c r="Y4956" s="87" t="n">
        <x:v>9</x:v>
      </x:c>
      <x:c r="Z4956" s="87" t="n">
        <x:v>9</x:v>
      </x:c>
      <x:c r="AA4956" s="87" t="str">
        <x:v>страница 1</x:v>
      </x:c>
      <x:c r="AB4956" s="87"/>
      <x:c r="AC4956" s="87" t="str">
        <x:v>VIS-EGKR-RUS-W25-TASK-951-P009</x:v>
      </x:c>
      <x:c r="AD4956" s="87" t="str">
        <x:v>VIS-EGKR-RUS-W25-KEY-ALL-P001</x:v>
      </x:c>
      <x:c r="AE4956" s="87" t="str">
        <x:v>TASK; KEY</x:v>
      </x:c>
      <x:c r="AF4956" s="87" t="str">
        <x:v>VIS-EGKR-RUS-W25-TASK-951-P009: 9; VIS-EGKR-RUS-W25-KEY-ALL-P001: 1</x:v>
      </x:c>
      <x:c r="AG4956" s="87" t="str">
        <x:v>RESOLVED</x:v>
      </x:c>
      <x:c r="AH4956" s="87" t="str">
        <x:v>CROP_VERIFIED</x:v>
      </x:c>
      <x:c r="AI4956" s="30"/>
      <x:c r="AJ4956" s="87" t="str">
        <x:v>clean</x:v>
      </x:c>
      <x:c r="AK4956" s="87" t="str">
        <x:v>clean-v0.10</x:v>
      </x:c>
      <x:c r="AL4956" s="87" t="str">
        <x:v>statgrad_clean_continuation_v0_10(1).xlsx</x:v>
      </x:c>
      <x:c r="AM4956" s="87" t="str">
        <x:v>RUS_EGKR_951</x:v>
      </x:c>
      <x:c r="AN4956" s="87" t="n">
        <x:v>16</x:v>
      </x:c>
    </x:row>
    <x:row r="4957">
      <x:c r="A4957" s="87" t="n">
        <x:v>4956</x:v>
      </x:c>
      <x:c r="B4957" s="87" t="str">
        <x:v>EGKR-W25-RUS-951-16</x:v>
      </x:c>
      <x:c r="C4957" s="87" t="str">
        <x:v>ЕГКР</x:v>
      </x:c>
      <x:c r="D4957" s="87"/>
      <x:c r="E4957" s="87" t="str">
        <x:v>Зима 2025</x:v>
      </x:c>
      <x:c r="F4957" s="87" t="str">
        <x:v>09.12.2025</x:v>
      </x:c>
      <x:c r="G4957" s="87" t="str">
        <x:v>Русский язык</x:v>
      </x:c>
      <x:c r="H4957" s="87" t="n">
        <x:v>11</x:v>
      </x:c>
      <x:c r="I4957" s="87"/>
      <x:c r="J4957" s="87" t="str">
        <x:v>951</x:v>
      </x:c>
      <x:c r="K4957" s="87" t="n">
        <x:v>16</x:v>
      </x:c>
      <x:c r="L4957" s="87" t="str">
        <x:v>Пунктуация в простом и сложносочинённом предложении</x:v>
      </x:c>
      <x:c r="M4957" s="30" t="str">
        <x:v>нужно поставить ОДНУ запятую. Запишите номера этих предложений. 1) Стук топоров и голоса людей вскоре затихли и сменились журчанием воды. 2) Сухие листья и трава хрустят под ногами и предупреждают об опасности всех лесных обитателей. 3) В лиственном лесу как днём так и ночью слышны шорохи и шелест. 4) При обсуждении новой книги выступавшие останавливались на сё положительных сторонах однако ничего не сказали о недостатках. 5) Каждую весну повторяется одно и то же и к этому чуду нельзя привыкнуть. Ответ: . $ 2525 СОБНУ "бедесальный ичститу" педагстиъесчих измесений" WWWE'P RU Ксгуссва-уе не допускается</x:v>
      </x:c>
      <x:c r="N4957" s="30" t="str">
        <x:v>345</x:v>
      </x:c>
      <x:c r="O4957" s="30" t="str">
        <x:v>Ответ перенесён из сводной таблицы и связан с исходным заданием.</x:v>
      </x:c>
      <x:c r="P4957" s="30"/>
      <x:c r="Q4957" s="30" t="str">
        <x:v>Ответ визуально сверён с таблицей ответов; условие привязано к исходной странице.</x:v>
      </x:c>
      <x:c r="R4957" s="30" t="str">
        <x:v>345</x:v>
      </x:c>
      <x:c r="S4957" s="30"/>
      <x:c r="T4957" s="30" t="str">
        <x:v>ОТВЕТЫ (2).docx</x:v>
      </x:c>
      <x:c r="U4957" s="30" t="str">
        <x:v>Расхождений с таблицей ответов не выявлено.</x:v>
      </x:c>
      <x:c r="V4957" s="87" t="str">
        <x:v>VERIFIED</x:v>
      </x:c>
      <x:c r="W4957" s="87"/>
      <x:c r="X4957" s="87"/>
      <x:c r="Y4957" s="87" t="n">
        <x:v>9</x:v>
      </x:c>
      <x:c r="Z4957" s="87" t="n">
        <x:v>9</x:v>
      </x:c>
      <x:c r="AA4957" s="87" t="str">
        <x:v>страница 1</x:v>
      </x:c>
      <x:c r="AB4957" s="87"/>
      <x:c r="AC4957" s="87" t="str">
        <x:v>VIS-EGKR-RUS-W25-TASK-951-P009</x:v>
      </x:c>
      <x:c r="AD4957" s="87" t="str">
        <x:v>VIS-EGKR-RUS-W25-KEY-ALL-P001</x:v>
      </x:c>
      <x:c r="AE4957" s="87" t="str">
        <x:v>TASK; KEY</x:v>
      </x:c>
      <x:c r="AF4957" s="87" t="str">
        <x:v>VIS-EGKR-RUS-W25-TASK-951-P009: 9; VIS-EGKR-RUS-W25-KEY-ALL-P001: 1</x:v>
      </x:c>
      <x:c r="AG4957" s="87" t="str">
        <x:v>RESOLVED</x:v>
      </x:c>
      <x:c r="AH4957" s="87" t="str">
        <x:v>CROP_VERIFIED</x:v>
      </x:c>
      <x:c r="AI4957" s="30"/>
      <x:c r="AJ4957" s="87" t="str">
        <x:v>clean</x:v>
      </x:c>
      <x:c r="AK4957" s="87" t="str">
        <x:v>clean-v0.10</x:v>
      </x:c>
      <x:c r="AL4957" s="87" t="str">
        <x:v>statgrad_clean_continuation_v0_10(1).xlsx</x:v>
      </x:c>
      <x:c r="AM4957" s="87" t="str">
        <x:v>RUS_EGKR_951</x:v>
      </x:c>
      <x:c r="AN4957" s="87" t="n">
        <x:v>17</x:v>
      </x:c>
    </x:row>
    <x:row r="4958">
      <x:c r="A4958" s="87" t="n">
        <x:v>4957</x:v>
      </x:c>
      <x:c r="B4958" s="87" t="str">
        <x:v>EGKR-W25-RUS-951-17</x:v>
      </x:c>
      <x:c r="C4958" s="87" t="str">
        <x:v>ЕГКР</x:v>
      </x:c>
      <x:c r="D4958" s="87"/>
      <x:c r="E4958" s="87" t="str">
        <x:v>Зима 2025</x:v>
      </x:c>
      <x:c r="F4958" s="87" t="str">
        <x:v>09.12.2025</x:v>
      </x:c>
      <x:c r="G4958" s="87" t="str">
        <x:v>Русский язык</x:v>
      </x:c>
      <x:c r="H4958" s="87" t="n">
        <x:v>11</x:v>
      </x:c>
      <x:c r="I4958" s="87"/>
      <x:c r="J4958" s="87" t="str">
        <x:v>951</x:v>
      </x:c>
      <x:c r="K4958" s="87" t="n">
        <x:v>17</x:v>
      </x:c>
      <x:c r="L4958" s="87" t="str">
        <x:v>Обособленные определения и обстоятельства</x:v>
      </x:c>
      <x:c r="M4958" s="30" t="str">
        <x:v>должна(-ы) стоять запятая(-ые). Наташа (1) замирая (2) от волнения (3) и изо всех сил стараясь скрыть его (4) шла по залу (5) освещённому сотнями свечей. Ответ: | Укажите пифру(-ы). на месте которой(-ых)</x:v>
      </x:c>
      <x:c r="N4958" s="30" t="str">
        <x:v>145</x:v>
      </x:c>
      <x:c r="O4958" s="30" t="str">
        <x:v>Ответ перенесён из сводной таблицы и связан с исходным заданием.</x:v>
      </x:c>
      <x:c r="P4958" s="30"/>
      <x:c r="Q4958" s="30" t="str">
        <x:v>Ответ визуально сверён с таблицей ответов; условие привязано к исходной странице.</x:v>
      </x:c>
      <x:c r="R4958" s="30" t="str">
        <x:v>145</x:v>
      </x:c>
      <x:c r="S4958" s="30"/>
      <x:c r="T4958" s="30" t="str">
        <x:v>ОТВЕТЫ (2).docx</x:v>
      </x:c>
      <x:c r="U4958" s="30" t="str">
        <x:v>Расхождений с таблицей ответов не выявлено.</x:v>
      </x:c>
      <x:c r="V4958" s="87" t="str">
        <x:v>VERIFIED</x:v>
      </x:c>
      <x:c r="W4958" s="87"/>
      <x:c r="X4958" s="87"/>
      <x:c r="Y4958" s="87" t="n">
        <x:v>10</x:v>
      </x:c>
      <x:c r="Z4958" s="87" t="n">
        <x:v>10</x:v>
      </x:c>
      <x:c r="AA4958" s="87" t="str">
        <x:v>страница 1</x:v>
      </x:c>
      <x:c r="AB4958" s="87"/>
      <x:c r="AC4958" s="87" t="str">
        <x:v>VIS-EGKR-RUS-W25-TASK-951-P010</x:v>
      </x:c>
      <x:c r="AD4958" s="87" t="str">
        <x:v>VIS-EGKR-RUS-W25-KEY-ALL-P001</x:v>
      </x:c>
      <x:c r="AE4958" s="87" t="str">
        <x:v>TASK; KEY</x:v>
      </x:c>
      <x:c r="AF4958" s="87" t="str">
        <x:v>VIS-EGKR-RUS-W25-TASK-951-P010: 10; VIS-EGKR-RUS-W25-KEY-ALL-P001: 1</x:v>
      </x:c>
      <x:c r="AG4958" s="87" t="str">
        <x:v>RESOLVED</x:v>
      </x:c>
      <x:c r="AH4958" s="87" t="str">
        <x:v>CROP_VERIFIED</x:v>
      </x:c>
      <x:c r="AI4958" s="30"/>
      <x:c r="AJ4958" s="87" t="str">
        <x:v>clean</x:v>
      </x:c>
      <x:c r="AK4958" s="87" t="str">
        <x:v>clean-v0.10</x:v>
      </x:c>
      <x:c r="AL4958" s="87" t="str">
        <x:v>statgrad_clean_continuation_v0_10(1).xlsx</x:v>
      </x:c>
      <x:c r="AM4958" s="87" t="str">
        <x:v>RUS_EGKR_951</x:v>
      </x:c>
      <x:c r="AN4958" s="87" t="n">
        <x:v>18</x:v>
      </x:c>
    </x:row>
    <x:row r="4959">
      <x:c r="A4959" s="87" t="n">
        <x:v>4958</x:v>
      </x:c>
      <x:c r="B4959" s="87" t="str">
        <x:v>EGKR-W25-RUS-951-18</x:v>
      </x:c>
      <x:c r="C4959" s="87" t="str">
        <x:v>ЕГКР</x:v>
      </x:c>
      <x:c r="D4959" s="87"/>
      <x:c r="E4959" s="87" t="str">
        <x:v>Зима 2025</x:v>
      </x:c>
      <x:c r="F4959" s="87" t="str">
        <x:v>09.12.2025</x:v>
      </x:c>
      <x:c r="G4959" s="87" t="str">
        <x:v>Русский язык</x:v>
      </x:c>
      <x:c r="H4959" s="87" t="n">
        <x:v>11</x:v>
      </x:c>
      <x:c r="I4959" s="87"/>
      <x:c r="J4959" s="87" t="str">
        <x:v>951</x:v>
      </x:c>
      <x:c r="K4959" s="87" t="n">
        <x:v>18</x:v>
      </x:c>
      <x:c r="L4959" s="87" t="str">
        <x:v>Вводные слова и обращения</x:v>
      </x:c>
      <x:c r="M4959" s="30" t="str">
        <x:v>должна(-ы} стоять запятая(-ыс). М.И. Цветаева (1} как известно (2} стояла вне поэтических группировок. Во- первых (3) потому. что чувствовала себя «изгоем». во-вторых (4) потому. что считала главным духовное родство. а в-третьих (5} сна постоянно видела перед собой «свою» дорогу. Ответ: . Укажите цифру(-ы), на месте которой(-ых)</x:v>
      </x:c>
      <x:c r="N4959" s="30" t="str">
        <x:v>12345</x:v>
      </x:c>
      <x:c r="O4959" s="30" t="str">
        <x:v>Ответ перенесён из сводной таблицы и связан с исходным заданием.</x:v>
      </x:c>
      <x:c r="P4959" s="30"/>
      <x:c r="Q4959" s="30" t="str">
        <x:v>Ответ визуально сверён с таблицей ответов; условие привязано к исходной странице.</x:v>
      </x:c>
      <x:c r="R4959" s="30" t="str">
        <x:v>12345</x:v>
      </x:c>
      <x:c r="S4959" s="30"/>
      <x:c r="T4959" s="30" t="str">
        <x:v>ОТВЕТЫ (2).docx</x:v>
      </x:c>
      <x:c r="U4959" s="30" t="str">
        <x:v>Расхождений с таблицей ответов не выявлено.</x:v>
      </x:c>
      <x:c r="V4959" s="87" t="str">
        <x:v>VERIFIED</x:v>
      </x:c>
      <x:c r="W4959" s="87"/>
      <x:c r="X4959" s="87"/>
      <x:c r="Y4959" s="87" t="n">
        <x:v>10</x:v>
      </x:c>
      <x:c r="Z4959" s="87" t="n">
        <x:v>10</x:v>
      </x:c>
      <x:c r="AA4959" s="87" t="str">
        <x:v>страница 1</x:v>
      </x:c>
      <x:c r="AB4959" s="87"/>
      <x:c r="AC4959" s="87" t="str">
        <x:v>VIS-EGKR-RUS-W25-TASK-951-P010</x:v>
      </x:c>
      <x:c r="AD4959" s="87" t="str">
        <x:v>VIS-EGKR-RUS-W25-KEY-ALL-P001</x:v>
      </x:c>
      <x:c r="AE4959" s="87" t="str">
        <x:v>TASK; KEY</x:v>
      </x:c>
      <x:c r="AF4959" s="87" t="str">
        <x:v>VIS-EGKR-RUS-W25-TASK-951-P010: 10; VIS-EGKR-RUS-W25-KEY-ALL-P001: 1</x:v>
      </x:c>
      <x:c r="AG4959" s="87" t="str">
        <x:v>RESOLVED</x:v>
      </x:c>
      <x:c r="AH4959" s="87" t="str">
        <x:v>CROP_VERIFIED</x:v>
      </x:c>
      <x:c r="AI4959" s="30"/>
      <x:c r="AJ4959" s="87" t="str">
        <x:v>clean</x:v>
      </x:c>
      <x:c r="AK4959" s="87" t="str">
        <x:v>clean-v0.10</x:v>
      </x:c>
      <x:c r="AL4959" s="87" t="str">
        <x:v>statgrad_clean_continuation_v0_10(1).xlsx</x:v>
      </x:c>
      <x:c r="AM4959" s="87" t="str">
        <x:v>RUS_EGKR_951</x:v>
      </x:c>
      <x:c r="AN4959" s="87" t="n">
        <x:v>19</x:v>
      </x:c>
    </x:row>
    <x:row r="4960">
      <x:c r="A4960" s="87" t="n">
        <x:v>4959</x:v>
      </x:c>
      <x:c r="B4960" s="87" t="str">
        <x:v>EGKR-W25-RUS-951-19</x:v>
      </x:c>
      <x:c r="C4960" s="87" t="str">
        <x:v>ЕГКР</x:v>
      </x:c>
      <x:c r="D4960" s="87"/>
      <x:c r="E4960" s="87" t="str">
        <x:v>Зима 2025</x:v>
      </x:c>
      <x:c r="F4960" s="87" t="str">
        <x:v>09.12.2025</x:v>
      </x:c>
      <x:c r="G4960" s="87" t="str">
        <x:v>Русский язык</x:v>
      </x:c>
      <x:c r="H4960" s="87" t="n">
        <x:v>11</x:v>
      </x:c>
      <x:c r="I4960" s="87"/>
      <x:c r="J4960" s="87" t="str">
        <x:v>951</x:v>
      </x:c>
      <x:c r="K4960" s="87" t="n">
        <x:v>19</x:v>
      </x:c>
      <x:c r="L4960" s="87" t="str">
        <x:v>Знаки препинания в сложноподчинённом предложении</x:v>
      </x:c>
      <x:c r="M4960" s="30" t="str">
        <x:v>должна(-ы) стоять запятая(-ые). С высокого холма (1) где стоит храм Покрова на Нерли (2) открываются луга с травами и цветами (3) которые. как ковёр. ведут к храму (4) построили который ещё в XII веке. </x:v>
      </x:c>
      <x:c r="N4960" s="30" t="str">
        <x:v>1234</x:v>
      </x:c>
      <x:c r="O4960" s="30" t="str">
        <x:v>Ответ перенесён из сводной таблицы и связан с исходным заданием.</x:v>
      </x:c>
      <x:c r="P4960" s="30"/>
      <x:c r="Q4960" s="30" t="str">
        <x:v>Ответ визуально сверён с таблицей ответов; условие привязано к исходной странице.</x:v>
      </x:c>
      <x:c r="R4960" s="30" t="str">
        <x:v>1234</x:v>
      </x:c>
      <x:c r="S4960" s="30"/>
      <x:c r="T4960" s="30" t="str">
        <x:v>ОТВЕТЫ (2).docx</x:v>
      </x:c>
      <x:c r="U4960" s="30" t="str">
        <x:v>Расхождений с таблицей ответов не выявлено.</x:v>
      </x:c>
      <x:c r="V4960" s="87" t="str">
        <x:v>VERIFIED</x:v>
      </x:c>
      <x:c r="W4960" s="87"/>
      <x:c r="X4960" s="87"/>
      <x:c r="Y4960" s="87" t="n">
        <x:v>10</x:v>
      </x:c>
      <x:c r="Z4960" s="87" t="n">
        <x:v>10</x:v>
      </x:c>
      <x:c r="AA4960" s="87" t="str">
        <x:v>страница 1</x:v>
      </x:c>
      <x:c r="AB4960" s="87"/>
      <x:c r="AC4960" s="87" t="str">
        <x:v>VIS-EGKR-RUS-W25-TASK-951-P010</x:v>
      </x:c>
      <x:c r="AD4960" s="87" t="str">
        <x:v>VIS-EGKR-RUS-W25-KEY-ALL-P001</x:v>
      </x:c>
      <x:c r="AE4960" s="87" t="str">
        <x:v>TASK; KEY</x:v>
      </x:c>
      <x:c r="AF4960" s="87" t="str">
        <x:v>VIS-EGKR-RUS-W25-TASK-951-P010: 10; VIS-EGKR-RUS-W25-KEY-ALL-P001: 1</x:v>
      </x:c>
      <x:c r="AG4960" s="87" t="str">
        <x:v>RESOLVED</x:v>
      </x:c>
      <x:c r="AH4960" s="87" t="str">
        <x:v>CROP_VERIFIED</x:v>
      </x:c>
      <x:c r="AI4960" s="30"/>
      <x:c r="AJ4960" s="87" t="str">
        <x:v>clean</x:v>
      </x:c>
      <x:c r="AK4960" s="87" t="str">
        <x:v>clean-v0.10</x:v>
      </x:c>
      <x:c r="AL4960" s="87" t="str">
        <x:v>statgrad_clean_continuation_v0_10(1).xlsx</x:v>
      </x:c>
      <x:c r="AM4960" s="87" t="str">
        <x:v>RUS_EGKR_951</x:v>
      </x:c>
      <x:c r="AN4960" s="87" t="n">
        <x:v>20</x:v>
      </x:c>
    </x:row>
    <x:row r="4961">
      <x:c r="A4961" s="87" t="n">
        <x:v>4960</x:v>
      </x:c>
      <x:c r="B4961" s="87" t="str">
        <x:v>EGKR-W25-RUS-951-20</x:v>
      </x:c>
      <x:c r="C4961" s="87" t="str">
        <x:v>ЕГКР</x:v>
      </x:c>
      <x:c r="D4961" s="87"/>
      <x:c r="E4961" s="87" t="str">
        <x:v>Зима 2025</x:v>
      </x:c>
      <x:c r="F4961" s="87" t="str">
        <x:v>09.12.2025</x:v>
      </x:c>
      <x:c r="G4961" s="87" t="str">
        <x:v>Русский язык</x:v>
      </x:c>
      <x:c r="H4961" s="87" t="n">
        <x:v>11</x:v>
      </x:c>
      <x:c r="I4961" s="87"/>
      <x:c r="J4961" s="87" t="str">
        <x:v>951</x:v>
      </x:c>
      <x:c r="K4961" s="87" t="n">
        <x:v>20</x:v>
      </x:c>
      <x:c r="L4961" s="87" t="str">
        <x:v>Знаки препинания в сложном предложении</x:v>
      </x:c>
      <x:c r="M4961" s="30" t="str">
        <x:v>должна(-ы) стоять запятая(-ые). Я подумал (1) что (2) если бы сейчас все люди бросили свои каждодневные дела (3) и прислушались к удивительной музыке безмолвия (4) то они многое поняли бы о себе и своей жизни. Ответ: . [ 21 |</x:v>
      </x:c>
      <x:c r="N4961" s="30" t="str">
        <x:v>14</x:v>
      </x:c>
      <x:c r="O4961" s="30" t="str">
        <x:v>Ответ восстановлен независимо из-за пропуска в ключе.</x:v>
      </x:c>
      <x:c r="P4961" s="30"/>
      <x:c r="Q4961" s="30" t="str">
        <x:v>Независимое решение по условию и нормам русского языка.</x:v>
      </x:c>
      <x:c r="R4961" s="30" t="str">
        <x:v>14</x:v>
      </x:c>
      <x:c r="S4961" s="30"/>
      <x:c r="T4961" s="30" t="str">
        <x:v>Независимое восстановление по условию</x:v>
      </x:c>
      <x:c r="U4961" s="30" t="str">
        <x:v>ОТВЕТЫ (2).docx пропускает №20; восстановлено по пунктуационному разбору.</x:v>
      </x:c>
      <x:c r="V4961" s="87" t="str">
        <x:v>VERIFIED</x:v>
      </x:c>
      <x:c r="W4961" s="87"/>
      <x:c r="X4961" s="87"/>
      <x:c r="Y4961" s="87" t="n">
        <x:v>11</x:v>
      </x:c>
      <x:c r="Z4961" s="87" t="n">
        <x:v>11</x:v>
      </x:c>
      <x:c r="AA4961" s="87" t="str">
        <x:v>восстановлено</x:v>
      </x:c>
      <x:c r="AB4961" s="87"/>
      <x:c r="AC4961" s="87" t="str">
        <x:v>VIS-EGKR-RUS-W25-TASK-951-P011</x:v>
      </x:c>
      <x:c r="AD4961" s="87" t="str">
        <x:v>VIS-EGKR-RUS-W25-KEY-ALL-P001</x:v>
      </x:c>
      <x:c r="AE4961" s="87" t="str">
        <x:v>TASK; KEY</x:v>
      </x:c>
      <x:c r="AF4961" s="87" t="str">
        <x:v>VIS-EGKR-RUS-W25-TASK-951-P011: 11; VIS-EGKR-RUS-W25-KEY-ALL-P001: 1</x:v>
      </x:c>
      <x:c r="AG4961" s="87" t="str">
        <x:v>RESOLVED</x:v>
      </x:c>
      <x:c r="AH4961" s="87" t="str">
        <x:v>CROP_VERIFIED</x:v>
      </x:c>
      <x:c r="AI4961" s="30"/>
      <x:c r="AJ4961" s="87" t="str">
        <x:v>clean</x:v>
      </x:c>
      <x:c r="AK4961" s="87" t="str">
        <x:v>clean-v0.10</x:v>
      </x:c>
      <x:c r="AL4961" s="87" t="str">
        <x:v>statgrad_clean_continuation_v0_10(1).xlsx</x:v>
      </x:c>
      <x:c r="AM4961" s="87" t="str">
        <x:v>RUS_EGKR_951</x:v>
      </x:c>
      <x:c r="AN4961" s="87" t="n">
        <x:v>21</x:v>
      </x:c>
    </x:row>
    <x:row r="4962">
      <x:c r="A4962" s="87" t="n">
        <x:v>4961</x:v>
      </x:c>
      <x:c r="B4962" s="87" t="str">
        <x:v>EGKR-W25-RUS-951-21</x:v>
      </x:c>
      <x:c r="C4962" s="87" t="str">
        <x:v>ЕГКР</x:v>
      </x:c>
      <x:c r="D4962" s="87"/>
      <x:c r="E4962" s="87" t="str">
        <x:v>Зима 2025</x:v>
      </x:c>
      <x:c r="F4962" s="87" t="str">
        <x:v>09.12.2025</x:v>
      </x:c>
      <x:c r="G4962" s="87" t="str">
        <x:v>Русский язык</x:v>
      </x:c>
      <x:c r="H4962" s="87" t="n">
        <x:v>11</x:v>
      </x:c>
      <x:c r="I4962" s="87"/>
      <x:c r="J4962" s="87" t="str">
        <x:v>951</x:v>
      </x:c>
      <x:c r="K4962" s="87" t="n">
        <x:v>21</x:v>
      </x:c>
      <x:c r="L4962" s="87" t="str">
        <x:v>Пунктуационный анализ</x:v>
      </x:c>
      <x:c r="M4962" s="30" t="str">
        <x:v>Найдите предложения в которых запятая(-ые) — ставится(-ятся) в соответствии с одним и тем же правилом пунктуации. Запишите номера этих предложений. (1)Я вхожу в осенний лес. и таинственная тишина мягким покрывалом заботливо окутывает меня. (2)Не кричат итицы. всё притихло в ожидании какого-то чуда. (3}Даже ветер. который так державно дует на просеке. в лесу ведёт себя с молитвенным благочестием. как путник. псреступивший порог храма. (4)Невыразимое чувство наполняет меня, и душа тренешет в радостном волнении. (5)Но вот я вижу следы недавнего костра. чёрное пятно обуглившейся земли. разбитую бутылку. куски кирпича, жирные полиэтиленовые пакеты... (6)Безмолвие леса - это страх перед пришельцем. (7)Что несёт в уютный лесной дом очередной гость? (8)Вновь безжалостный топор врежется в дерево — и подрубленная берёза рухнет... (9)Мы много говорим о созидательной миссии человека. но мы губим порой непростительно много. {По М. Постникову} Ответ: . $ 2525 ©75НУ' седесальный институт гедагстизеских измесений" МАМАМ ='2 RU</x:v>
      </x:c>
      <x:c r="N4962" s="30" t="str">
        <x:v>149</x:v>
      </x:c>
      <x:c r="O4962" s="30" t="str">
        <x:v>Ответ восстановлен независимо из-за пропуска в ключе.</x:v>
      </x:c>
      <x:c r="P4962" s="30"/>
      <x:c r="Q4962" s="30" t="str">
        <x:v>Независимое решение по условию и нормам русского языка.</x:v>
      </x:c>
      <x:c r="R4962" s="30" t="str">
        <x:v>149</x:v>
      </x:c>
      <x:c r="S4962" s="30"/>
      <x:c r="T4962" s="30" t="str">
        <x:v>Независимое восстановление по условию</x:v>
      </x:c>
      <x:c r="U4962" s="30" t="str">
        <x:v>ОТВЕТЫ (2).docx пропускает №21; восстановлено по пунктуационному разбору.</x:v>
      </x:c>
      <x:c r="V4962" s="87" t="str">
        <x:v>VERIFIED</x:v>
      </x:c>
      <x:c r="W4962" s="87"/>
      <x:c r="X4962" s="87"/>
      <x:c r="Y4962" s="87" t="n">
        <x:v>11</x:v>
      </x:c>
      <x:c r="Z4962" s="87" t="n">
        <x:v>11</x:v>
      </x:c>
      <x:c r="AA4962" s="87" t="str">
        <x:v>восстановлено</x:v>
      </x:c>
      <x:c r="AB4962" s="87"/>
      <x:c r="AC4962" s="87" t="str">
        <x:v>VIS-EGKR-RUS-W25-TASK-951-P011</x:v>
      </x:c>
      <x:c r="AD4962" s="87" t="str">
        <x:v>VIS-EGKR-RUS-W25-KEY-ALL-P001</x:v>
      </x:c>
      <x:c r="AE4962" s="87" t="str">
        <x:v>TASK; KEY</x:v>
      </x:c>
      <x:c r="AF4962" s="87" t="str">
        <x:v>VIS-EGKR-RUS-W25-TASK-951-P011: 11; VIS-EGKR-RUS-W25-KEY-ALL-P001: 1</x:v>
      </x:c>
      <x:c r="AG4962" s="87" t="str">
        <x:v>RESOLVED</x:v>
      </x:c>
      <x:c r="AH4962" s="87" t="str">
        <x:v>CROP_VERIFIED</x:v>
      </x:c>
      <x:c r="AI4962" s="30"/>
      <x:c r="AJ4962" s="87" t="str">
        <x:v>clean</x:v>
      </x:c>
      <x:c r="AK4962" s="87" t="str">
        <x:v>clean-v0.10</x:v>
      </x:c>
      <x:c r="AL4962" s="87" t="str">
        <x:v>statgrad_clean_continuation_v0_10(1).xlsx</x:v>
      </x:c>
      <x:c r="AM4962" s="87" t="str">
        <x:v>RUS_EGKR_951</x:v>
      </x:c>
      <x:c r="AN4962" s="87" t="n">
        <x:v>22</x:v>
      </x:c>
    </x:row>
    <x:row r="4963">
      <x:c r="A4963" s="87" t="n">
        <x:v>4962</x:v>
      </x:c>
      <x:c r="B4963" s="87" t="str">
        <x:v>EGKR-W25-RUS-951-22</x:v>
      </x:c>
      <x:c r="C4963" s="87" t="str">
        <x:v>ЕГКР</x:v>
      </x:c>
      <x:c r="D4963" s="87"/>
      <x:c r="E4963" s="87" t="str">
        <x:v>Зима 2025</x:v>
      </x:c>
      <x:c r="F4963" s="87" t="str">
        <x:v>09.12.2025</x:v>
      </x:c>
      <x:c r="G4963" s="87" t="str">
        <x:v>Русский язык</x:v>
      </x:c>
      <x:c r="H4963" s="87" t="n">
        <x:v>11</x:v>
      </x:c>
      <x:c r="I4963" s="87"/>
      <x:c r="J4963" s="87" t="str">
        <x:v>951</x:v>
      </x:c>
      <x:c r="K4963" s="87" t="n">
        <x:v>22</x:v>
      </x:c>
      <x:c r="L4963" s="87" t="str">
        <x:v>Средства выразительности</x:v>
      </x:c>
      <x:c r="M4963" s="30" t="str">
        <x:v>изобразительно-выразительных средств языка. которые употреблены в них: к каждой позинии первого столбиа подберите соответствующую позипию из второго столбца. ПРЕДЛОЖЕНИЯ ИЗОБРАЗИТЕЛЬНО- ВЫРАЗИТЕЛЬНЫЕ СРЕДСТВА ЯЗЫКА А) Догорели берёз восковые прозрачные 1) бессоюзие свечки. 2) анафора (К.В. Скворнов) 3) антитеза Б} Не напрасно дули ветры. 4) риторичсское обращение Не напрасно шла гроза. 5} олиистворение (С.А. Есенин) 6) гралация B) Видел ли АЯ как умирает лёд на 7) аллитерапия лугу в лучах солнца? . 8) литота (М.М. Пришвин) 9) метафора Г) Ваш шпин. прелестный шпиц. не более напёрстка. (А.С. Грибоедов) Д) Идут часы. и дни. и годы. (А.А. Блок) Запишите в таблицу выбранные пифры под соответствующими буквами. ГАТБТВ. Г.Д. Ответ: 4 a к ! | Прочитайте текст и выполните задания 23-27. (I)A был тогда совсем молодым. (2)Из госпиталя я держал курс на передовую. (3)Непогода была страшная. (4)Влали мигнул огонёк и тут же сгину л. (5)Скорей к людям! (6)На окраине тихой дереву шки я перевёл дух. (7)Из-за густого орешника выглядывала избушка. (8)Время придавило её к земле. затянуло крышу мхом. (9)Я тронул калитку. но она тут же упала: не было петель. (10)Иока пристраивал створку на прежнее место. из лома вышла женщина и остановилась на крыльце. — (11)Чего нало? — недружелюбно спросила она. разглялывая меня глубоко ввалившимися глазами. — (12)Я из госпиталя... (13)Мне бы переночевать...</x:v>
      </x:c>
      <x:c r="N4963" s="30" t="str">
        <x:v>92586</x:v>
      </x:c>
      <x:c r="O4963" s="30" t="str">
        <x:v>Ответ восстановлен независимо из-за пропуска в ключе.</x:v>
      </x:c>
      <x:c r="P4963" s="30"/>
      <x:c r="Q4963" s="30" t="str">
        <x:v>Независимое решение по условию и нормам русского языка.</x:v>
      </x:c>
      <x:c r="R4963" s="30" t="str">
        <x:v>92586</x:v>
      </x:c>
      <x:c r="S4963" s="30"/>
      <x:c r="T4963" s="30" t="str">
        <x:v>Независимое восстановление по условию</x:v>
      </x:c>
      <x:c r="U4963" s="30" t="str">
        <x:v>ОТВЕТЫ (2).docx пропускает №22; восстановлено сопоставлением средств выразительности.</x:v>
      </x:c>
      <x:c r="V4963" s="87" t="str">
        <x:v>VERIFIED</x:v>
      </x:c>
      <x:c r="W4963" s="87"/>
      <x:c r="X4963" s="87"/>
      <x:c r="Y4963" s="87" t="n">
        <x:v>12</x:v>
      </x:c>
      <x:c r="Z4963" s="87" t="n">
        <x:v>12</x:v>
      </x:c>
      <x:c r="AA4963" s="87" t="str">
        <x:v>восстановлено</x:v>
      </x:c>
      <x:c r="AB4963" s="87"/>
      <x:c r="AC4963" s="87" t="str">
        <x:v>VIS-EGKR-RUS-W25-TASK-951-P012</x:v>
      </x:c>
      <x:c r="AD4963" s="87" t="str">
        <x:v>VIS-EGKR-RUS-W25-KEY-ALL-P001</x:v>
      </x:c>
      <x:c r="AE4963" s="87" t="str">
        <x:v>TASK; KEY</x:v>
      </x:c>
      <x:c r="AF4963" s="87" t="str">
        <x:v>VIS-EGKR-RUS-W25-TASK-951-P012: 12; VIS-EGKR-RUS-W25-KEY-ALL-P001: 1</x:v>
      </x:c>
      <x:c r="AG4963" s="87" t="str">
        <x:v>RESOLVED</x:v>
      </x:c>
      <x:c r="AH4963" s="87" t="str">
        <x:v>CROP_VERIFIED</x:v>
      </x:c>
      <x:c r="AI4963" s="30"/>
      <x:c r="AJ4963" s="87" t="str">
        <x:v>clean</x:v>
      </x:c>
      <x:c r="AK4963" s="87" t="str">
        <x:v>clean-v0.10</x:v>
      </x:c>
      <x:c r="AL4963" s="87" t="str">
        <x:v>statgrad_clean_continuation_v0_10(1).xlsx</x:v>
      </x:c>
      <x:c r="AM4963" s="87" t="str">
        <x:v>RUS_EGKR_951</x:v>
      </x:c>
      <x:c r="AN4963" s="87" t="n">
        <x:v>23</x:v>
      </x:c>
    </x:row>
    <x:row r="4964">
      <x:c r="A4964" s="87" t="n">
        <x:v>4963</x:v>
      </x:c>
      <x:c r="B4964" s="87" t="str">
        <x:v>EGKR-W25-RUS-951-23</x:v>
      </x:c>
      <x:c r="C4964" s="87" t="str">
        <x:v>ЕГКР</x:v>
      </x:c>
      <x:c r="D4964" s="87"/>
      <x:c r="E4964" s="87" t="str">
        <x:v>Зима 2025</x:v>
      </x:c>
      <x:c r="F4964" s="87" t="str">
        <x:v>09.12.2025</x:v>
      </x:c>
      <x:c r="G4964" s="87" t="str">
        <x:v>Русский язык</x:v>
      </x:c>
      <x:c r="H4964" s="87" t="n">
        <x:v>11</x:v>
      </x:c>
      <x:c r="I4964" s="87"/>
      <x:c r="J4964" s="87" t="str">
        <x:v>951</x:v>
      </x:c>
      <x:c r="K4964" s="87" t="n">
        <x:v>23</x:v>
      </x:c>
      <x:c r="L4964" s="87" t="str">
        <x:v>Содержание исходного текста</x:v>
      </x:c>
      <x:c r="M4964" s="30" t="str">
        <x:v>Какие из высказываний соответствуют содержанию текста? Укажите номера ответов, 1) Рассказчик. возврашаясь в родные места после госпиталя. случайно попал в тихую деревушку. 2) Деревня. в которой оказался герой. пострадала от вражеских обстрелов. 3) Рассказчик остаётся в доме непривегливой хозяйки, потому что ему хочется с ней поговорить. 4} Сын хозяйки избы перешёл на сторону неприятеля. поэтому сосели называют сё «фашистихой». 5} Хозяйка винит себя в том. что неправильно воспитывала сына и он стал предателем. ГОО</x:v>
      </x:c>
      <x:c r="N4964" s="30" t="str">
        <x:v>245</x:v>
      </x:c>
      <x:c r="O4964" s="30" t="str">
        <x:v>Ответ перенесён из сводной таблицы и связан с исходным заданием.</x:v>
      </x:c>
      <x:c r="P4964" s="30"/>
      <x:c r="Q4964" s="30" t="str">
        <x:v>Ответ визуально сверён с таблицей ответов; условие привязано к исходной странице.</x:v>
      </x:c>
      <x:c r="R4964" s="30" t="str">
        <x:v>245</x:v>
      </x:c>
      <x:c r="S4964" s="30"/>
      <x:c r="T4964" s="30" t="str">
        <x:v>ОТВЕТЫ (2).docx</x:v>
      </x:c>
      <x:c r="U4964" s="30" t="str">
        <x:v>Расхождений с таблицей ответов не выявлено.</x:v>
      </x:c>
      <x:c r="V4964" s="87" t="str">
        <x:v>VERIFIED</x:v>
      </x:c>
      <x:c r="W4964" s="87"/>
      <x:c r="X4964" s="87"/>
      <x:c r="Y4964" s="87" t="n">
        <x:v>14</x:v>
      </x:c>
      <x:c r="Z4964" s="87" t="n">
        <x:v>14</x:v>
      </x:c>
      <x:c r="AA4964" s="87" t="str">
        <x:v>страница 1</x:v>
      </x:c>
      <x:c r="AB4964" s="87"/>
      <x:c r="AC4964" s="87" t="str">
        <x:v>VIS-EGKR-RUS-W25-TASK-951-P014</x:v>
      </x:c>
      <x:c r="AD4964" s="87" t="str">
        <x:v>VIS-EGKR-RUS-W25-KEY-ALL-P001</x:v>
      </x:c>
      <x:c r="AE4964" s="87" t="str">
        <x:v>TASK; KEY</x:v>
      </x:c>
      <x:c r="AF4964" s="87" t="str">
        <x:v>VIS-EGKR-RUS-W25-TASK-951-P014: 14; VIS-EGKR-RUS-W25-KEY-ALL-P001: 1</x:v>
      </x:c>
      <x:c r="AG4964" s="87" t="str">
        <x:v>RESOLVED</x:v>
      </x:c>
      <x:c r="AH4964" s="87" t="str">
        <x:v>CROP_VERIFIED</x:v>
      </x:c>
      <x:c r="AI4964" s="30"/>
      <x:c r="AJ4964" s="87" t="str">
        <x:v>clean</x:v>
      </x:c>
      <x:c r="AK4964" s="87" t="str">
        <x:v>clean-v0.10</x:v>
      </x:c>
      <x:c r="AL4964" s="87" t="str">
        <x:v>statgrad_clean_continuation_v0_10(1).xlsx</x:v>
      </x:c>
      <x:c r="AM4964" s="87" t="str">
        <x:v>RUS_EGKR_951</x:v>
      </x:c>
      <x:c r="AN4964" s="87" t="n">
        <x:v>24</x:v>
      </x:c>
    </x:row>
    <x:row r="4965">
      <x:c r="A4965" s="87" t="n">
        <x:v>4964</x:v>
      </x:c>
      <x:c r="B4965" s="87" t="str">
        <x:v>EGKR-W25-RUS-951-24</x:v>
      </x:c>
      <x:c r="C4965" s="87" t="str">
        <x:v>ЕГКР</x:v>
      </x:c>
      <x:c r="D4965" s="87"/>
      <x:c r="E4965" s="87" t="str">
        <x:v>Зима 2025</x:v>
      </x:c>
      <x:c r="F4965" s="87" t="str">
        <x:v>09.12.2025</x:v>
      </x:c>
      <x:c r="G4965" s="87" t="str">
        <x:v>Русский язык</x:v>
      </x:c>
      <x:c r="H4965" s="87" t="n">
        <x:v>11</x:v>
      </x:c>
      <x:c r="I4965" s="87"/>
      <x:c r="J4965" s="87" t="str">
        <x:v>951</x:v>
      </x:c>
      <x:c r="K4965" s="87" t="n">
        <x:v>24</x:v>
      </x:c>
      <x:c r="L4965" s="87" t="str">
        <x:v>Функционально-смысловые типы речи и логика текста</x:v>
      </x:c>
      <x:c r="M4965" s="30" t="str">
        <x:v>Какие из перечисленных утверждений являются ошибочными? Укажите номера ответов. 1) Предложения 1-10 содержат элементы описания. 2) Предложения 24-28 содержат рассуждение. 3) Предложение 30 противопоставлено по содержанию предложению 29. 4) Предложение 45 указывает на причину Toro, о чём говорится в предложении 44. 5) В предложениях 74-77 представлено повествование. Ответ: . 25.</x:v>
      </x:c>
      <x:c r="N4965" s="30" t="str">
        <x:v>14</x:v>
      </x:c>
      <x:c r="O4965" s="30" t="str">
        <x:v>Ответ перенесён из сводной таблицы и связан с исходным заданием.</x:v>
      </x:c>
      <x:c r="P4965" s="30"/>
      <x:c r="Q4965" s="30" t="str">
        <x:v>Ответ визуально сверён с таблицей ответов; условие привязано к исходной странице.</x:v>
      </x:c>
      <x:c r="R4965" s="30" t="str">
        <x:v>14</x:v>
      </x:c>
      <x:c r="S4965" s="30"/>
      <x:c r="T4965" s="30" t="str">
        <x:v>ОТВЕТЫ (2).docx</x:v>
      </x:c>
      <x:c r="U4965" s="30" t="str">
        <x:v>Расхождений с таблицей ответов не выявлено.</x:v>
      </x:c>
      <x:c r="V4965" s="87" t="str">
        <x:v>VERIFIED</x:v>
      </x:c>
      <x:c r="W4965" s="87"/>
      <x:c r="X4965" s="87"/>
      <x:c r="Y4965" s="87" t="n">
        <x:v>15</x:v>
      </x:c>
      <x:c r="Z4965" s="87" t="n">
        <x:v>15</x:v>
      </x:c>
      <x:c r="AA4965" s="87" t="str">
        <x:v>страница 1</x:v>
      </x:c>
      <x:c r="AB4965" s="87"/>
      <x:c r="AC4965" s="87" t="str">
        <x:v>VIS-EGKR-RUS-W25-TASK-951-P015</x:v>
      </x:c>
      <x:c r="AD4965" s="87" t="str">
        <x:v>VIS-EGKR-RUS-W25-KEY-ALL-P001</x:v>
      </x:c>
      <x:c r="AE4965" s="87" t="str">
        <x:v>TASK; KEY</x:v>
      </x:c>
      <x:c r="AF4965" s="87" t="str">
        <x:v>VIS-EGKR-RUS-W25-TASK-951-P015: 15; VIS-EGKR-RUS-W25-KEY-ALL-P001: 1</x:v>
      </x:c>
      <x:c r="AG4965" s="87" t="str">
        <x:v>RESOLVED</x:v>
      </x:c>
      <x:c r="AH4965" s="87" t="str">
        <x:v>CROP_VERIFIED</x:v>
      </x:c>
      <x:c r="AI4965" s="30"/>
      <x:c r="AJ4965" s="87" t="str">
        <x:v>clean</x:v>
      </x:c>
      <x:c r="AK4965" s="87" t="str">
        <x:v>clean-v0.10</x:v>
      </x:c>
      <x:c r="AL4965" s="87" t="str">
        <x:v>statgrad_clean_continuation_v0_10(1).xlsx</x:v>
      </x:c>
      <x:c r="AM4965" s="87" t="str">
        <x:v>RUS_EGKR_951</x:v>
      </x:c>
      <x:c r="AN4965" s="87" t="n">
        <x:v>25</x:v>
      </x:c>
    </x:row>
    <x:row r="4966">
      <x:c r="A4966" s="87" t="n">
        <x:v>4965</x:v>
      </x:c>
      <x:c r="B4966" s="87" t="str">
        <x:v>EGKR-W25-RUS-951-25</x:v>
      </x:c>
      <x:c r="C4966" s="87" t="str">
        <x:v>ЕГКР</x:v>
      </x:c>
      <x:c r="D4966" s="87"/>
      <x:c r="E4966" s="87" t="str">
        <x:v>Зима 2025</x:v>
      </x:c>
      <x:c r="F4966" s="87" t="str">
        <x:v>09.12.2025</x:v>
      </x:c>
      <x:c r="G4966" s="87" t="str">
        <x:v>Русский язык</x:v>
      </x:c>
      <x:c r="H4966" s="87" t="n">
        <x:v>11</x:v>
      </x:c>
      <x:c r="I4966" s="87"/>
      <x:c r="J4966" s="87" t="str">
        <x:v>951</x:v>
      </x:c>
      <x:c r="K4966" s="87" t="n">
        <x:v>25</x:v>
      </x:c>
      <x:c r="L4966" s="87" t="str">
        <x:v>Лексические средства</x:v>
      </x:c>
      <x:c r="M4966" s="30" t="str">
        <x:v>Из предложений 31-36 выпииите олно просторечное слово. Ответ: . 26°</x:v>
      </x:c>
      <x:c r="N4966" s="30" t="str">
        <x:v>тута</x:v>
      </x:c>
      <x:c r="O4966" s="30" t="str">
        <x:v>Ответ перенесён из сводной таблицы и связан с исходным заданием.</x:v>
      </x:c>
      <x:c r="P4966" s="30"/>
      <x:c r="Q4966" s="30" t="str">
        <x:v>Ответ визуально сверён с таблицей ответов; условие привязано к исходной странице.</x:v>
      </x:c>
      <x:c r="R4966" s="30" t="str">
        <x:v>тута</x:v>
      </x:c>
      <x:c r="S4966" s="30"/>
      <x:c r="T4966" s="30" t="str">
        <x:v>ОТВЕТЫ (2).docx</x:v>
      </x:c>
      <x:c r="U4966" s="30" t="str">
        <x:v>Расхождений с таблицей ответов не выявлено.</x:v>
      </x:c>
      <x:c r="V4966" s="87" t="str">
        <x:v>VERIFIED</x:v>
      </x:c>
      <x:c r="W4966" s="87"/>
      <x:c r="X4966" s="87"/>
      <x:c r="Y4966" s="87" t="n">
        <x:v>15</x:v>
      </x:c>
      <x:c r="Z4966" s="87" t="n">
        <x:v>15</x:v>
      </x:c>
      <x:c r="AA4966" s="87" t="str">
        <x:v>страница 1</x:v>
      </x:c>
      <x:c r="AB4966" s="87"/>
      <x:c r="AC4966" s="87" t="str">
        <x:v>VIS-EGKR-RUS-W25-TASK-951-P015</x:v>
      </x:c>
      <x:c r="AD4966" s="87" t="str">
        <x:v>VIS-EGKR-RUS-W25-KEY-ALL-P001</x:v>
      </x:c>
      <x:c r="AE4966" s="87" t="str">
        <x:v>TASK; KEY</x:v>
      </x:c>
      <x:c r="AF4966" s="87" t="str">
        <x:v>VIS-EGKR-RUS-W25-TASK-951-P015: 15; VIS-EGKR-RUS-W25-KEY-ALL-P001: 1</x:v>
      </x:c>
      <x:c r="AG4966" s="87" t="str">
        <x:v>RESOLVED</x:v>
      </x:c>
      <x:c r="AH4966" s="87" t="str">
        <x:v>CROP_VERIFIED</x:v>
      </x:c>
      <x:c r="AI4966" s="30"/>
      <x:c r="AJ4966" s="87" t="str">
        <x:v>clean</x:v>
      </x:c>
      <x:c r="AK4966" s="87" t="str">
        <x:v>clean-v0.10</x:v>
      </x:c>
      <x:c r="AL4966" s="87" t="str">
        <x:v>statgrad_clean_continuation_v0_10(1).xlsx</x:v>
      </x:c>
      <x:c r="AM4966" s="87" t="str">
        <x:v>RUS_EGKR_951</x:v>
      </x:c>
      <x:c r="AN4966" s="87" t="n">
        <x:v>26</x:v>
      </x:c>
    </x:row>
    <x:row r="4967">
      <x:c r="A4967" s="87" t="n">
        <x:v>4966</x:v>
      </x:c>
      <x:c r="B4967" s="87" t="str">
        <x:v>EGKR-W25-RUS-951-26</x:v>
      </x:c>
      <x:c r="C4967" s="87" t="str">
        <x:v>ЕГКР</x:v>
      </x:c>
      <x:c r="D4967" s="87"/>
      <x:c r="E4967" s="87" t="str">
        <x:v>Зима 2025</x:v>
      </x:c>
      <x:c r="F4967" s="87" t="str">
        <x:v>09.12.2025</x:v>
      </x:c>
      <x:c r="G4967" s="87" t="str">
        <x:v>Русский язык</x:v>
      </x:c>
      <x:c r="H4967" s="87" t="n">
        <x:v>11</x:v>
      </x:c>
      <x:c r="I4967" s="87"/>
      <x:c r="J4967" s="87" t="str">
        <x:v>951</x:v>
      </x:c>
      <x:c r="K4967" s="87" t="n">
        <x:v>26</x:v>
      </x:c>
      <x:c r="L4967" s="87" t="str">
        <x:v>Средства связи предложений</x:v>
      </x:c>
      <x:c r="M4967" s="30" t="str">
        <x:v>Среди предложений 715 найдите такое(-ие). которос(-ые) связано(-ы) с предыдущим при помощи личного местоимения. Запишите номер(а} этого(-их) предложения(-ий). Ответ: . я Не забудьте перенести все ответы в бланк отвотов № 1 ‚ в соответствии с инструкцией по выполнению работы. | | Проверьте, чтобы каждый ответ был записан в строке с номером | | р соответствующего задания. $ 2528 ©7БЧУ ‘Федесагь-ь'й урститут гедатстических измезени?” WWWE'P RL «стиссвание не допускается</x:v>
      </x:c>
      <x:c r="N4967" s="30" t="str">
        <x:v>8, 11, 13</x:v>
      </x:c>
      <x:c r="O4967" s="30" t="str">
        <x:v>Ответ перенесён из сводной таблицы и связан с исходным заданием.</x:v>
      </x:c>
      <x:c r="P4967" s="30"/>
      <x:c r="Q4967" s="30" t="str">
        <x:v>Ответ визуально сверён с таблицей ответов; условие привязано к исходной странице.</x:v>
      </x:c>
      <x:c r="R4967" s="30" t="str">
        <x:v>8, 11, 13</x:v>
      </x:c>
      <x:c r="S4967" s="30"/>
      <x:c r="T4967" s="30" t="str">
        <x:v>ОТВЕТЫ (2).docx</x:v>
      </x:c>
      <x:c r="U4967" s="30" t="str">
        <x:v>Расхождений с таблицей ответов не выявлено.</x:v>
      </x:c>
      <x:c r="V4967" s="87" t="str">
        <x:v>VERIFIED</x:v>
      </x:c>
      <x:c r="W4967" s="87"/>
      <x:c r="X4967" s="87"/>
      <x:c r="Y4967" s="87" t="n">
        <x:v>15</x:v>
      </x:c>
      <x:c r="Z4967" s="87" t="n">
        <x:v>15</x:v>
      </x:c>
      <x:c r="AA4967" s="87" t="str">
        <x:v>страница 1</x:v>
      </x:c>
      <x:c r="AB4967" s="87"/>
      <x:c r="AC4967" s="87" t="str">
        <x:v>VIS-EGKR-RUS-W25-TASK-951-P015</x:v>
      </x:c>
      <x:c r="AD4967" s="87" t="str">
        <x:v>VIS-EGKR-RUS-W25-KEY-ALL-P001</x:v>
      </x:c>
      <x:c r="AE4967" s="87" t="str">
        <x:v>TASK; KEY</x:v>
      </x:c>
      <x:c r="AF4967" s="87" t="str">
        <x:v>VIS-EGKR-RUS-W25-TASK-951-P015: 15; VIS-EGKR-RUS-W25-KEY-ALL-P001: 1</x:v>
      </x:c>
      <x:c r="AG4967" s="87" t="str">
        <x:v>RESOLVED</x:v>
      </x:c>
      <x:c r="AH4967" s="87" t="str">
        <x:v>CROP_VERIFIED</x:v>
      </x:c>
      <x:c r="AI4967" s="30"/>
      <x:c r="AJ4967" s="87" t="str">
        <x:v>clean</x:v>
      </x:c>
      <x:c r="AK4967" s="87" t="str">
        <x:v>clean-v0.10</x:v>
      </x:c>
      <x:c r="AL4967" s="87" t="str">
        <x:v>statgrad_clean_continuation_v0_10(1).xlsx</x:v>
      </x:c>
      <x:c r="AM4967" s="87" t="str">
        <x:v>RUS_EGKR_951</x:v>
      </x:c>
      <x:c r="AN4967" s="87" t="n">
        <x:v>27</x:v>
      </x:c>
    </x:row>
    <x:row r="4968">
      <x:c r="A4968" s="87" t="n">
        <x:v>4967</x:v>
      </x:c>
      <x:c r="B4968" s="87" t="str">
        <x:v>EGKR-W25-RUS-951-27</x:v>
      </x:c>
      <x:c r="C4968" s="87" t="str">
        <x:v>ЕГКР</x:v>
      </x:c>
      <x:c r="D4968" s="87"/>
      <x:c r="E4968" s="87" t="str">
        <x:v>Зима 2025</x:v>
      </x:c>
      <x:c r="F4968" s="87" t="str">
        <x:v>09.12.2025</x:v>
      </x:c>
      <x:c r="G4968" s="87" t="str">
        <x:v>Русский язык</x:v>
      </x:c>
      <x:c r="H4968" s="87" t="n">
        <x:v>11</x:v>
      </x:c>
      <x:c r="I4968" s="87"/>
      <x:c r="J4968" s="87" t="str">
        <x:v>951</x:v>
      </x:c>
      <x:c r="K4968" s="87" t="n">
        <x:v>27</x:v>
      </x:c>
      <x:c r="L4968" s="87" t="str">
        <x:v>Сочинение-рассуждение</x:v>
      </x:c>
      <x:c r="M4968" s="30" t="str">
        <x:v>Напишите сочинение-рассуждение по проблеме, поставленной в исходном тексте: «Какова роль семейного воспитания в формировании нравственных качеств у ребёнка?». Сформулируйте позицию автора (рассказчика) по указанной проблеме. Прокомментируйте. как в тексте раскрывается эта позиция. Включите в комментарий два примера-иллюстрации из прочитанного текста. важные для понимания позиции автора (рассказчика). и поясните их. Укажите и поясните смысловую связь между приведёнными примерами-иллюстрациями, Сформулируйте и обоснуйте своё отношение к позиции автора (рассказчика) по проблеме исходного текста. Включите в обоснование пример-аргумент. опираясь на читательский. историко-культурный или жизненный опыт и не повторяя авторских суждений. (Не учитываются примеры-аргументы, источниками которых являются комикс. аниме, манга. фанфик. графический роман. компьютерная игра и другие подобные виды представления информации.) Объём сочинения — не менее 150 слов. Работа. написанная без споры на прочитанный текст (не по данному тексту). не оценивается. Если сочинение предетавляет собой полностью переписанный ИЛИ перссказанный исходный текст без каких бы то ни было комментариев. то такая работа оценивается 0 баллов. Сочинение пишите аккуратно и разборчиво, соблюдая нормы современного русского литературного языка.</x:v>
      </x:c>
      <x:c r="N4968" s="30" t="str">
        <x:v>В предложенном для анализа тексте поднимается глубокая и болезненная проблема роли семейного воспитания в формировании нравственных качеств ребёнка. Автор показывает, как ошибки, допущенные в семье, могут привести к духовной деградации человека и страшным последствиям не только для него самого, но и для его близких.
Позиция автора (рассказчика) заключается в том, что семья несёт прямую ответственность за нравственный облик ребёнка. Снисходительность, всепрощение и нежелание видеть в дурных поступках сына серьёзную проблему становятся той почвой, на которой вырастает предательство и моральное уродство.
В тексте эта позиция раскрывается через откровенный монолог героини. Во-первых, она сама признаётся рассказчику: «Бывало, нашкодит, я его, как курица, под крылышко. Школу бросил — под крыло; пить взялся — обратно туда же. Всё это мне шалостями ребячьими представлялось». Этот пример-иллюстрация показывает систематическую ошибку воспитания — гиперопеку и оправдание пороков, что развращало сына, лишало его понятия ответственности.
Во-вторых, кульминацией её прозрения становятся слова: «Только уж когда он товарищей в чёрные дни спокинул, когда к чужеземцу в услужение нанялся, я очнулась и вижу — ничего-то он не любит: ни родную деревню, ни мать…». Этот пример демонстрирует страшный итог такого воспитания — вырастает человек без корней, чести и совести, способный на предательство. Смысловая связь между этими примерами очевидна: они связаны как причина и следствие. Мягкотелость и слепая материнская любовь, не различающая добра и зла, привели к тому, что в критический момент сын выбрал путь подлости, потому что в нём не было заложено прочных нравственных устоев.
Я полностью согласен с позицией автора. Семья — это первый и главный источник моральных координат для человека. Если здесь дают сбой, если зло называют шалостью, а эгоизм — нормой, личность формируется ущербной. В подтверждение этой мысли можно обратиться к роману И.А. Гончарова «Обломов». Герой, Илья Ильич, — прямой продукт семейного воспитания в атмосфере праздности, вседозволенности и культе «нежности». Результат — неспособность к деятельной жизни, нравственная апатия и духовная лень, которые, хоть и не выразились в таком чудовищном предательстве, как в тексте, всё же сломали жизнь самому Обломову. Это доказывает, что ошибки в семейном воспитании, будь то потворство порокам или, наоборот, подавление воли, всегда имеют далеко идущие последствия для формирования характера.
Таким образом, текст заставляет серьёзно задуматься о том, что истинная родительская любовь заключается не в слепом укрывании от последствий, а в умении вовремя указать на грань между добром и злом, воспитав в ребёнке чувство ответственности и любви к своему дому и Родине.</x:v>
      </x:c>
      <x:c r="O4968" s="30" t="str">
        <x:v>Модель развёрнутого ответа.</x:v>
      </x:c>
      <x:c r="P4968" s="30"/>
      <x:c r="Q4968" s="30" t="str">
        <x:v>Проверены формулировка проблемы, позиция автора, два примера, связь и аргументация.</x:v>
      </x:c>
      <x:c r="R4968" s="30" t="str">
        <x:v>Сочинение вариант 951.docx</x:v>
      </x:c>
      <x:c r="S4968" s="30"/>
      <x:c r="T4968" s="30" t="str">
        <x:v>Сочинение вариант 951.docx</x:v>
      </x:c>
      <x:c r="U4968" s="30" t="str">
        <x:v>Модель соответствует проблеме задания 27 и структуре сочинения ЕГЭ.</x:v>
      </x:c>
      <x:c r="V4968" s="87" t="str">
        <x:v>VERIFIED</x:v>
      </x:c>
      <x:c r="W4968" s="87"/>
      <x:c r="X4968" s="87"/>
      <x:c r="Y4968" s="87" t="n">
        <x:v>16</x:v>
      </x:c>
      <x:c r="Z4968" s="87" t="n">
        <x:v>16</x:v>
      </x:c>
      <x:c r="AA4968" s="87" t="str">
        <x:v>модель сочинения</x:v>
      </x:c>
      <x:c r="AB4968" s="87"/>
      <x:c r="AC4968" s="87" t="str">
        <x:v>VIS-EGKR-RUS-W25-TASK-951-P016</x:v>
      </x:c>
      <x:c r="AD4968" s="87" t="str">
        <x:v>VIS-EGKR-RUS-W25-MODEL-951-P001</x:v>
      </x:c>
      <x:c r="AE4968" s="87" t="str">
        <x:v>TASK; MODEL</x:v>
      </x:c>
      <x:c r="AF4968" s="87" t="str">
        <x:v>VIS-EGKR-RUS-W25-TASK-951-P016: 16; VIS-EGKR-RUS-W25-MODEL-951-P001: 1</x:v>
      </x:c>
      <x:c r="AG4968" s="87" t="str">
        <x:v>RESOLVED</x:v>
      </x:c>
      <x:c r="AH4968" s="87" t="str">
        <x:v>CROP_VERIFIED; TASK_CROP_NO_CROP_NEEDED</x:v>
      </x:c>
      <x:c r="AI4968" s="30"/>
      <x:c r="AJ4968" s="87" t="str">
        <x:v>clean</x:v>
      </x:c>
      <x:c r="AK4968" s="87" t="str">
        <x:v>clean-v0.10</x:v>
      </x:c>
      <x:c r="AL4968" s="87" t="str">
        <x:v>statgrad_clean_continuation_v0_10(1).xlsx</x:v>
      </x:c>
      <x:c r="AM4968" s="87" t="str">
        <x:v>RUS_EGKR_951</x:v>
      </x:c>
      <x:c r="AN4968" s="87" t="n">
        <x:v>28</x:v>
      </x:c>
    </x:row>
    <x:row r="4969">
      <x:c r="A4969" s="87" t="n">
        <x:v>4968</x:v>
      </x:c>
      <x:c r="B4969" s="87" t="str">
        <x:v>EGKR-W25-RUS-952-01</x:v>
      </x:c>
      <x:c r="C4969" s="87" t="str">
        <x:v>ЕГКР</x:v>
      </x:c>
      <x:c r="D4969" s="87"/>
      <x:c r="E4969" s="87" t="str">
        <x:v>Зима 2025</x:v>
      </x:c>
      <x:c r="F4969" s="87" t="str">
        <x:v>09.12.2025</x:v>
      </x:c>
      <x:c r="G4969" s="87" t="str">
        <x:v>Русский язык</x:v>
      </x:c>
      <x:c r="H4969" s="87" t="n">
        <x:v>11</x:v>
      </x:c>
      <x:c r="I4969" s="87"/>
      <x:c r="J4969" s="87" t="str">
        <x:v>952</x:v>
      </x:c>
      <x:c r="K4969" s="87" t="n">
        <x:v>1</x:v>
      </x:c>
      <x:c r="L4969" s="87" t="str">
        <x:v>Связность текста: средство связи</x:v>
      </x:c>
      <x:c r="M4969" s="30" t="str">
        <x:v>Самостоятельно полберите притяжательное местоимение. которое должно стоять на месте пропуска в первом (1) абзаце текста. Запишите это местоимение. Ответ: _ :</x:v>
      </x:c>
      <x:c r="N4969" s="30" t="str">
        <x:v>своих</x:v>
      </x:c>
      <x:c r="O4969" s="30" t="str">
        <x:v>Ответ перенесён из сводной таблицы и связан с исходным заданием.</x:v>
      </x:c>
      <x:c r="P4969" s="30"/>
      <x:c r="Q4969" s="30" t="str">
        <x:v>Ответ визуально сверён с таблицей ответов; условие привязано к исходной странице.</x:v>
      </x:c>
      <x:c r="R4969" s="30" t="str">
        <x:v>своих</x:v>
      </x:c>
      <x:c r="S4969" s="30"/>
      <x:c r="T4969" s="30" t="str">
        <x:v>ОТВЕТЫ (2).docx</x:v>
      </x:c>
      <x:c r="U4969" s="30" t="str">
        <x:v>Расхождений с таблицей ответов не выявлено.</x:v>
      </x:c>
      <x:c r="V4969" s="87" t="str">
        <x:v>VERIFIED</x:v>
      </x:c>
      <x:c r="W4969" s="87"/>
      <x:c r="X4969" s="87"/>
      <x:c r="Y4969" s="87" t="n">
        <x:v>2</x:v>
      </x:c>
      <x:c r="Z4969" s="87" t="n">
        <x:v>2</x:v>
      </x:c>
      <x:c r="AA4969" s="87" t="str">
        <x:v>страница 1</x:v>
      </x:c>
      <x:c r="AB4969" s="87"/>
      <x:c r="AC4969" s="87" t="str">
        <x:v>VIS-EGKR-RUS-W25-TASK-952-P002</x:v>
      </x:c>
      <x:c r="AD4969" s="87" t="str">
        <x:v>VIS-EGKR-RUS-W25-KEY-ALL-P001</x:v>
      </x:c>
      <x:c r="AE4969" s="87" t="str">
        <x:v>TASK; KEY</x:v>
      </x:c>
      <x:c r="AF4969" s="87" t="str">
        <x:v>VIS-EGKR-RUS-W25-TASK-952-P002: 2; VIS-EGKR-RUS-W25-KEY-ALL-P001: 1</x:v>
      </x:c>
      <x:c r="AG4969" s="87" t="str">
        <x:v>RESOLVED</x:v>
      </x:c>
      <x:c r="AH4969" s="87" t="str">
        <x:v>CROP_VERIFIED</x:v>
      </x:c>
      <x:c r="AI4969" s="30"/>
      <x:c r="AJ4969" s="87" t="str">
        <x:v>clean</x:v>
      </x:c>
      <x:c r="AK4969" s="87" t="str">
        <x:v>clean-v0.10</x:v>
      </x:c>
      <x:c r="AL4969" s="87" t="str">
        <x:v>statgrad_clean_continuation_v0_10(1).xlsx</x:v>
      </x:c>
      <x:c r="AM4969" s="87" t="str">
        <x:v>RUS_EGKR_952</x:v>
      </x:c>
      <x:c r="AN4969" s="87" t="n">
        <x:v>2</x:v>
      </x:c>
    </x:row>
    <x:row r="4970">
      <x:c r="A4970" s="87" t="n">
        <x:v>4969</x:v>
      </x:c>
      <x:c r="B4970" s="87" t="str">
        <x:v>EGKR-W25-RUS-952-02</x:v>
      </x:c>
      <x:c r="C4970" s="87" t="str">
        <x:v>ЕГКР</x:v>
      </x:c>
      <x:c r="D4970" s="87"/>
      <x:c r="E4970" s="87" t="str">
        <x:v>Зима 2025</x:v>
      </x:c>
      <x:c r="F4970" s="87" t="str">
        <x:v>09.12.2025</x:v>
      </x:c>
      <x:c r="G4970" s="87" t="str">
        <x:v>Русский язык</x:v>
      </x:c>
      <x:c r="H4970" s="87" t="n">
        <x:v>11</x:v>
      </x:c>
      <x:c r="I4970" s="87"/>
      <x:c r="J4970" s="87" t="str">
        <x:v>952</x:v>
      </x:c>
      <x:c r="K4970" s="87" t="n">
        <x:v>2</x:v>
      </x:c>
      <x:c r="L4970" s="87" t="str">
        <x:v>Лексическое значение слова</x:v>
      </x:c>
      <x:c r="M4970" s="30" t="str">
        <x:v>В тексте выделено пять слов. Укажите варианты ответов, в которых лексическое значение выделенного слова соответствует его значению в данном тексте. Запишите номера ответов. 1) ПОЯВИТЬСЯ. Придя. прибыв куда-либо или возникнув где-либо. оказаться в поле зрения кого-либо; показаться. Вот-вот должна появиться деревня. Па пороге появилась девушка. На востоке появляется первая полоска зари. 2) СВЯТИЛИЩЕ. Здание или помешение для совершения религиозных обрядов (обычно у язычников): храм. Святилище богов. Святилище Перуна. 3) ГЛУХОЙ. Достигший высшей точки проявления: полный. совершенный. Глухое молчание. Глухая тишина. Глухая полночь. 4) НАЦИОНАЛЬНЫЙ. Выражающий характерные особенности какой- либо нации. национальности: свойственный какой-либо нации. национальности. /ациональная культура. Пациональное кушанье. 5) РОДИТЬСЯ. только 3 лицо. Появиться. возникнуть. Родились новые традиции и обычаи. На глазах родился новый город. Ответ: . 3 ‹ Укажите варианты ответов. в которых даны</x:v>
      </x:c>
      <x:c r="N4970" s="30" t="str">
        <x:v>1245</x:v>
      </x:c>
      <x:c r="O4970" s="30" t="str">
        <x:v>Ответ перенесён из сводной таблицы и связан с исходным заданием.</x:v>
      </x:c>
      <x:c r="P4970" s="30"/>
      <x:c r="Q4970" s="30" t="str">
        <x:v>Ответ визуально сверён с таблицей ответов; условие привязано к исходной странице.</x:v>
      </x:c>
      <x:c r="R4970" s="30" t="str">
        <x:v>1245</x:v>
      </x:c>
      <x:c r="S4970" s="30"/>
      <x:c r="T4970" s="30" t="str">
        <x:v>ОТВЕТЫ (2).docx</x:v>
      </x:c>
      <x:c r="U4970" s="30" t="str">
        <x:v>Расхождений с таблицей ответов не выявлено.</x:v>
      </x:c>
      <x:c r="V4970" s="87" t="str">
        <x:v>VERIFIED</x:v>
      </x:c>
      <x:c r="W4970" s="87"/>
      <x:c r="X4970" s="87"/>
      <x:c r="Y4970" s="87" t="n">
        <x:v>3</x:v>
      </x:c>
      <x:c r="Z4970" s="87" t="n">
        <x:v>3</x:v>
      </x:c>
      <x:c r="AA4970" s="87" t="str">
        <x:v>страница 1</x:v>
      </x:c>
      <x:c r="AB4970" s="87"/>
      <x:c r="AC4970" s="87" t="str">
        <x:v>VIS-EGKR-RUS-W25-TASK-952-P003</x:v>
      </x:c>
      <x:c r="AD4970" s="87" t="str">
        <x:v>VIS-EGKR-RUS-W25-KEY-ALL-P001</x:v>
      </x:c>
      <x:c r="AE4970" s="87" t="str">
        <x:v>TASK; KEY</x:v>
      </x:c>
      <x:c r="AF4970" s="87" t="str">
        <x:v>VIS-EGKR-RUS-W25-TASK-952-P003: 3; VIS-EGKR-RUS-W25-KEY-ALL-P001: 1</x:v>
      </x:c>
      <x:c r="AG4970" s="87" t="str">
        <x:v>RESOLVED</x:v>
      </x:c>
      <x:c r="AH4970" s="87" t="str">
        <x:v>CROP_VERIFIED</x:v>
      </x:c>
      <x:c r="AI4970" s="30"/>
      <x:c r="AJ4970" s="87" t="str">
        <x:v>clean</x:v>
      </x:c>
      <x:c r="AK4970" s="87" t="str">
        <x:v>clean-v0.10</x:v>
      </x:c>
      <x:c r="AL4970" s="87" t="str">
        <x:v>statgrad_clean_continuation_v0_10(1).xlsx</x:v>
      </x:c>
      <x:c r="AM4970" s="87" t="str">
        <x:v>RUS_EGKR_952</x:v>
      </x:c>
      <x:c r="AN4970" s="87" t="n">
        <x:v>3</x:v>
      </x:c>
    </x:row>
    <x:row r="4971">
      <x:c r="A4971" s="87" t="n">
        <x:v>4970</x:v>
      </x:c>
      <x:c r="B4971" s="87" t="str">
        <x:v>EGKR-W25-RUS-952-03</x:v>
      </x:c>
      <x:c r="C4971" s="87" t="str">
        <x:v>ЕГКР</x:v>
      </x:c>
      <x:c r="D4971" s="87"/>
      <x:c r="E4971" s="87" t="str">
        <x:v>Зима 2025</x:v>
      </x:c>
      <x:c r="F4971" s="87" t="str">
        <x:v>09.12.2025</x:v>
      </x:c>
      <x:c r="G4971" s="87" t="str">
        <x:v>Русский язык</x:v>
      </x:c>
      <x:c r="H4971" s="87" t="n">
        <x:v>11</x:v>
      </x:c>
      <x:c r="I4971" s="87"/>
      <x:c r="J4971" s="87" t="str">
        <x:v>952</x:v>
      </x:c>
      <x:c r="K4971" s="87" t="n">
        <x:v>3</x:v>
      </x:c>
      <x:c r="L4971" s="87" t="str">
        <x:v>Стилистический и языковой анализ текста</x:v>
      </x:c>
      <x:c r="M4971" s="30" t="str">
        <x:v>верные характеристики текста. Запишите номера ответов. 1) Автор в свободной форме. рассчитанной на широкую аудиторию. рассказывает о некоторых фактах истории Урала, о появлении преданий и сказок. что позволяет отнести текст к публицистическому стилю. 2) Во втором (2) и в третьем (3) абзацах текста автор показывает своё видение того. как появились некоторые сказочные герои. 3) В тексте используется только стилистически нейтральная лексика. так как он посвящён историческим фактам. передача которых требует от автора объективности. 4) Автор использует в первом (1) абзаце текста вопросно-ответную форму изложения для привлечения внимания читателя. 5) Эпитеты в третьем (3) абзаце («народных преданий». «на этой земле») создают яркий образ персонажа сказок — Бабы-Яги. Ответ: . {57иссвание не допускается</x:v>
      </x:c>
      <x:c r="N4971" s="30" t="str">
        <x:v>134</x:v>
      </x:c>
      <x:c r="O4971" s="30" t="str">
        <x:v>Ответ перенесён из сводной таблицы и связан с исходным заданием.</x:v>
      </x:c>
      <x:c r="P4971" s="30"/>
      <x:c r="Q4971" s="30" t="str">
        <x:v>Ответ визуально сверён с таблицей ответов; условие привязано к исходной странице.</x:v>
      </x:c>
      <x:c r="R4971" s="30" t="str">
        <x:v>134</x:v>
      </x:c>
      <x:c r="S4971" s="30"/>
      <x:c r="T4971" s="30" t="str">
        <x:v>ОТВЕТЫ (2).docx</x:v>
      </x:c>
      <x:c r="U4971" s="30" t="str">
        <x:v>Расхождений с таблицей ответов не выявлено.</x:v>
      </x:c>
      <x:c r="V4971" s="87" t="str">
        <x:v>VERIFIED</x:v>
      </x:c>
      <x:c r="W4971" s="87"/>
      <x:c r="X4971" s="87"/>
      <x:c r="Y4971" s="87" t="n">
        <x:v>3</x:v>
      </x:c>
      <x:c r="Z4971" s="87" t="n">
        <x:v>3</x:v>
      </x:c>
      <x:c r="AA4971" s="87" t="str">
        <x:v>страница 1</x:v>
      </x:c>
      <x:c r="AB4971" s="87"/>
      <x:c r="AC4971" s="87" t="str">
        <x:v>VIS-EGKR-RUS-W25-TASK-952-P003</x:v>
      </x:c>
      <x:c r="AD4971" s="87" t="str">
        <x:v>VIS-EGKR-RUS-W25-KEY-ALL-P001</x:v>
      </x:c>
      <x:c r="AE4971" s="87" t="str">
        <x:v>TASK; KEY</x:v>
      </x:c>
      <x:c r="AF4971" s="87" t="str">
        <x:v>VIS-EGKR-RUS-W25-TASK-952-P003: 3; VIS-EGKR-RUS-W25-KEY-ALL-P001: 1</x:v>
      </x:c>
      <x:c r="AG4971" s="87" t="str">
        <x:v>RESOLVED</x:v>
      </x:c>
      <x:c r="AH4971" s="87" t="str">
        <x:v>CROP_VERIFIED</x:v>
      </x:c>
      <x:c r="AI4971" s="30"/>
      <x:c r="AJ4971" s="87" t="str">
        <x:v>clean</x:v>
      </x:c>
      <x:c r="AK4971" s="87" t="str">
        <x:v>clean-v0.10</x:v>
      </x:c>
      <x:c r="AL4971" s="87" t="str">
        <x:v>statgrad_clean_continuation_v0_10(1).xlsx</x:v>
      </x:c>
      <x:c r="AM4971" s="87" t="str">
        <x:v>RUS_EGKR_952</x:v>
      </x:c>
      <x:c r="AN4971" s="87" t="n">
        <x:v>4</x:v>
      </x:c>
    </x:row>
    <x:row r="4972">
      <x:c r="A4972" s="87" t="n">
        <x:v>4971</x:v>
      </x:c>
      <x:c r="B4972" s="87" t="str">
        <x:v>EGKR-W25-RUS-952-04</x:v>
      </x:c>
      <x:c r="C4972" s="87" t="str">
        <x:v>ЕГКР</x:v>
      </x:c>
      <x:c r="D4972" s="87"/>
      <x:c r="E4972" s="87" t="str">
        <x:v>Зима 2025</x:v>
      </x:c>
      <x:c r="F4972" s="87" t="str">
        <x:v>09.12.2025</x:v>
      </x:c>
      <x:c r="G4972" s="87" t="str">
        <x:v>Русский язык</x:v>
      </x:c>
      <x:c r="H4972" s="87" t="n">
        <x:v>11</x:v>
      </x:c>
      <x:c r="I4972" s="87"/>
      <x:c r="J4972" s="87" t="str">
        <x:v>952</x:v>
      </x:c>
      <x:c r="K4972" s="87" t="n">
        <x:v>4</x:v>
      </x:c>
      <x:c r="L4972" s="87" t="str">
        <x:v>Орфоэпические нормы</x:v>
      </x:c>
      <x:c r="M4972" s="30" t="str">
        <x:v>верно выделена буква. обозначающая ударный гласный звук. Запишите номера ответов. 1) плодонОсить 2) гналАсь 3) свЕрлит 4) закупОрив 5) лОнизу Ответ: . | i § | В одном из приведённых ниже предложений</x:v>
      </x:c>
      <x:c r="N4972" s="30" t="str">
        <x:v>25</x:v>
      </x:c>
      <x:c r="O4972" s="30" t="str">
        <x:v>Ответ перенесён из сводной таблицы и связан с исходным заданием.</x:v>
      </x:c>
      <x:c r="P4972" s="30"/>
      <x:c r="Q4972" s="30" t="str">
        <x:v>Ответ визуально сверён с таблицей ответов; условие привязано к исходной странице.</x:v>
      </x:c>
      <x:c r="R4972" s="30" t="str">
        <x:v>25</x:v>
      </x:c>
      <x:c r="S4972" s="30"/>
      <x:c r="T4972" s="30" t="str">
        <x:v>ОТВЕТЫ (2).docx</x:v>
      </x:c>
      <x:c r="U4972" s="30" t="str">
        <x:v>Расхождений с таблицей ответов не выявлено.</x:v>
      </x:c>
      <x:c r="V4972" s="87" t="str">
        <x:v>VERIFIED</x:v>
      </x:c>
      <x:c r="W4972" s="87"/>
      <x:c r="X4972" s="87"/>
      <x:c r="Y4972" s="87" t="n">
        <x:v>4</x:v>
      </x:c>
      <x:c r="Z4972" s="87" t="n">
        <x:v>4</x:v>
      </x:c>
      <x:c r="AA4972" s="87" t="str">
        <x:v>страница 1</x:v>
      </x:c>
      <x:c r="AB4972" s="87"/>
      <x:c r="AC4972" s="87" t="str">
        <x:v>VIS-EGKR-RUS-W25-TASK-952-P004</x:v>
      </x:c>
      <x:c r="AD4972" s="87" t="str">
        <x:v>VIS-EGKR-RUS-W25-KEY-ALL-P001</x:v>
      </x:c>
      <x:c r="AE4972" s="87" t="str">
        <x:v>TASK; KEY</x:v>
      </x:c>
      <x:c r="AF4972" s="87" t="str">
        <x:v>VIS-EGKR-RUS-W25-TASK-952-P004: 4; VIS-EGKR-RUS-W25-KEY-ALL-P001: 1</x:v>
      </x:c>
      <x:c r="AG4972" s="87" t="str">
        <x:v>RESOLVED</x:v>
      </x:c>
      <x:c r="AH4972" s="87" t="str">
        <x:v>CROP_VERIFIED</x:v>
      </x:c>
      <x:c r="AI4972" s="30"/>
      <x:c r="AJ4972" s="87" t="str">
        <x:v>clean</x:v>
      </x:c>
      <x:c r="AK4972" s="87" t="str">
        <x:v>clean-v0.10</x:v>
      </x:c>
      <x:c r="AL4972" s="87" t="str">
        <x:v>statgrad_clean_continuation_v0_10(1).xlsx</x:v>
      </x:c>
      <x:c r="AM4972" s="87" t="str">
        <x:v>RUS_EGKR_952</x:v>
      </x:c>
      <x:c r="AN4972" s="87" t="n">
        <x:v>5</x:v>
      </x:c>
    </x:row>
    <x:row r="4973">
      <x:c r="A4973" s="87" t="n">
        <x:v>4972</x:v>
      </x:c>
      <x:c r="B4973" s="87" t="str">
        <x:v>EGKR-W25-RUS-952-05</x:v>
      </x:c>
      <x:c r="C4973" s="87" t="str">
        <x:v>ЕГКР</x:v>
      </x:c>
      <x:c r="D4973" s="87"/>
      <x:c r="E4973" s="87" t="str">
        <x:v>Зима 2025</x:v>
      </x:c>
      <x:c r="F4973" s="87" t="str">
        <x:v>09.12.2025</x:v>
      </x:c>
      <x:c r="G4973" s="87" t="str">
        <x:v>Русский язык</x:v>
      </x:c>
      <x:c r="H4973" s="87" t="n">
        <x:v>11</x:v>
      </x:c>
      <x:c r="I4973" s="87"/>
      <x:c r="J4973" s="87" t="str">
        <x:v>952</x:v>
      </x:c>
      <x:c r="K4973" s="87" t="n">
        <x:v>5</x:v>
      </x:c>
      <x:c r="L4973" s="87" t="str">
        <x:v>Паронимы и лексическая сочетаемость</x:v>
      </x:c>
      <x:c r="M4973" s="30" t="str">
        <x:v>НЕВЕРНО употреблено выделенное слово. Исправьте лексическую ошибку, подобрав к выделенному слову пароним. Запишите подобранное слово, соблюдая нормы современного русского литературного языка. к + . { Нужно было подтереть лужу в ВАНИЕ после купания детей. Человек стремится создать ГАРМОНИЧНОЕ пространство вокруг себя. Всеобъемлюшее — равноправное ДОВЕРИТЕЛЬНОЕ партнёрство | и стратегическое взаимодействие между государствами выходят Ha новый уровень. ‘ Семейство Демидовых — ЗАЧИНАТЕЛЕЙ горного дела в России — известно с конца XVII столетия. В исследовании обобшены многолетние научные и народные наблюдения за изменением климата и ЛЕДОВЫХ условий в регионе Берингова пролива. </x:v>
      </x:c>
      <x:c r="N4973" s="30" t="str">
        <x:v>ванной</x:v>
      </x:c>
      <x:c r="O4973" s="30" t="str">
        <x:v>Ответ перенесён из сводной таблицы и связан с исходным заданием.</x:v>
      </x:c>
      <x:c r="P4973" s="30"/>
      <x:c r="Q4973" s="30" t="str">
        <x:v>Ответ визуально сверён с таблицей ответов; условие привязано к исходной странице.</x:v>
      </x:c>
      <x:c r="R4973" s="30" t="str">
        <x:v>ванной</x:v>
      </x:c>
      <x:c r="S4973" s="30"/>
      <x:c r="T4973" s="30" t="str">
        <x:v>ОТВЕТЫ (2).docx</x:v>
      </x:c>
      <x:c r="U4973" s="30" t="str">
        <x:v>Расхождений с таблицей ответов не выявлено.</x:v>
      </x:c>
      <x:c r="V4973" s="87" t="str">
        <x:v>VERIFIED</x:v>
      </x:c>
      <x:c r="W4973" s="87"/>
      <x:c r="X4973" s="87"/>
      <x:c r="Y4973" s="87" t="n">
        <x:v>4</x:v>
      </x:c>
      <x:c r="Z4973" s="87" t="n">
        <x:v>4</x:v>
      </x:c>
      <x:c r="AA4973" s="87" t="str">
        <x:v>страница 1</x:v>
      </x:c>
      <x:c r="AB4973" s="87"/>
      <x:c r="AC4973" s="87" t="str">
        <x:v>VIS-EGKR-RUS-W25-TASK-952-P004</x:v>
      </x:c>
      <x:c r="AD4973" s="87" t="str">
        <x:v>VIS-EGKR-RUS-W25-KEY-ALL-P001</x:v>
      </x:c>
      <x:c r="AE4973" s="87" t="str">
        <x:v>TASK; KEY</x:v>
      </x:c>
      <x:c r="AF4973" s="87" t="str">
        <x:v>VIS-EGKR-RUS-W25-TASK-952-P004: 4; VIS-EGKR-RUS-W25-KEY-ALL-P001: 1</x:v>
      </x:c>
      <x:c r="AG4973" s="87" t="str">
        <x:v>RESOLVED</x:v>
      </x:c>
      <x:c r="AH4973" s="87" t="str">
        <x:v>CROP_VERIFIED</x:v>
      </x:c>
      <x:c r="AI4973" s="30"/>
      <x:c r="AJ4973" s="87" t="str">
        <x:v>clean</x:v>
      </x:c>
      <x:c r="AK4973" s="87" t="str">
        <x:v>clean-v0.10</x:v>
      </x:c>
      <x:c r="AL4973" s="87" t="str">
        <x:v>statgrad_clean_continuation_v0_10(1).xlsx</x:v>
      </x:c>
      <x:c r="AM4973" s="87" t="str">
        <x:v>RUS_EGKR_952</x:v>
      </x:c>
      <x:c r="AN4973" s="87" t="n">
        <x:v>6</x:v>
      </x:c>
    </x:row>
    <x:row r="4974">
      <x:c r="A4974" s="87" t="n">
        <x:v>4973</x:v>
      </x:c>
      <x:c r="B4974" s="87" t="str">
        <x:v>EGKR-W25-RUS-952-06</x:v>
      </x:c>
      <x:c r="C4974" s="87" t="str">
        <x:v>ЕГКР</x:v>
      </x:c>
      <x:c r="D4974" s="87"/>
      <x:c r="E4974" s="87" t="str">
        <x:v>Зима 2025</x:v>
      </x:c>
      <x:c r="F4974" s="87" t="str">
        <x:v>09.12.2025</x:v>
      </x:c>
      <x:c r="G4974" s="87" t="str">
        <x:v>Русский язык</x:v>
      </x:c>
      <x:c r="H4974" s="87" t="n">
        <x:v>11</x:v>
      </x:c>
      <x:c r="I4974" s="87"/>
      <x:c r="J4974" s="87" t="str">
        <x:v>952</x:v>
      </x:c>
      <x:c r="K4974" s="87" t="n">
        <x:v>6</x:v>
      </x:c>
      <x:c r="L4974" s="87" t="str">
        <x:v>Лексическая норма / речевая избыточность</x:v>
      </x:c>
      <x:c r="M4974" s="30" t="str">
        <x:v>Отредактируйте предложение: исправьте лексическую ошибку. исключив лишнее слово. Выпишите это слово, В XV веке улица называлась Арбатской, в XVII веке она стала Смоленской, в 1946 году — улицей Калинина. в 1990 году её снова переименовали в Новый Арбат. Ответ: . | 7 В одном из выделенных ниже слов допушена</x:v>
      </x:c>
      <x:c r="N4974" s="30" t="str">
        <x:v>снова</x:v>
      </x:c>
      <x:c r="O4974" s="30" t="str">
        <x:v>Ответ перенесён из сводной таблицы и связан с исходным заданием.</x:v>
      </x:c>
      <x:c r="P4974" s="30"/>
      <x:c r="Q4974" s="30" t="str">
        <x:v>Ответ визуально сверён с таблицей ответов; условие привязано к исходной странице.</x:v>
      </x:c>
      <x:c r="R4974" s="30" t="str">
        <x:v>снова</x:v>
      </x:c>
      <x:c r="S4974" s="30"/>
      <x:c r="T4974" s="30" t="str">
        <x:v>ОТВЕТЫ (2).docx</x:v>
      </x:c>
      <x:c r="U4974" s="30" t="str">
        <x:v>Расхождений с таблицей ответов не выявлено.</x:v>
      </x:c>
      <x:c r="V4974" s="87" t="str">
        <x:v>VERIFIED</x:v>
      </x:c>
      <x:c r="W4974" s="87"/>
      <x:c r="X4974" s="87"/>
      <x:c r="Y4974" s="87" t="n">
        <x:v>5</x:v>
      </x:c>
      <x:c r="Z4974" s="87" t="n">
        <x:v>5</x:v>
      </x:c>
      <x:c r="AA4974" s="87" t="str">
        <x:v>страница 1</x:v>
      </x:c>
      <x:c r="AB4974" s="87"/>
      <x:c r="AC4974" s="87" t="str">
        <x:v>VIS-EGKR-RUS-W25-TASK-952-P005</x:v>
      </x:c>
      <x:c r="AD4974" s="87" t="str">
        <x:v>VIS-EGKR-RUS-W25-KEY-ALL-P001</x:v>
      </x:c>
      <x:c r="AE4974" s="87" t="str">
        <x:v>TASK; KEY</x:v>
      </x:c>
      <x:c r="AF4974" s="87" t="str">
        <x:v>VIS-EGKR-RUS-W25-TASK-952-P005: 5; VIS-EGKR-RUS-W25-KEY-ALL-P001: 1</x:v>
      </x:c>
      <x:c r="AG4974" s="87" t="str">
        <x:v>RESOLVED</x:v>
      </x:c>
      <x:c r="AH4974" s="87" t="str">
        <x:v>CROP_VERIFIED</x:v>
      </x:c>
      <x:c r="AI4974" s="30"/>
      <x:c r="AJ4974" s="87" t="str">
        <x:v>clean</x:v>
      </x:c>
      <x:c r="AK4974" s="87" t="str">
        <x:v>clean-v0.10</x:v>
      </x:c>
      <x:c r="AL4974" s="87" t="str">
        <x:v>statgrad_clean_continuation_v0_10(1).xlsx</x:v>
      </x:c>
      <x:c r="AM4974" s="87" t="str">
        <x:v>RUS_EGKR_952</x:v>
      </x:c>
      <x:c r="AN4974" s="87" t="n">
        <x:v>7</x:v>
      </x:c>
    </x:row>
    <x:row r="4975">
      <x:c r="A4975" s="87" t="n">
        <x:v>4974</x:v>
      </x:c>
      <x:c r="B4975" s="87" t="str">
        <x:v>EGKR-W25-RUS-952-07</x:v>
      </x:c>
      <x:c r="C4975" s="87" t="str">
        <x:v>ЕГКР</x:v>
      </x:c>
      <x:c r="D4975" s="87"/>
      <x:c r="E4975" s="87" t="str">
        <x:v>Зима 2025</x:v>
      </x:c>
      <x:c r="F4975" s="87" t="str">
        <x:v>09.12.2025</x:v>
      </x:c>
      <x:c r="G4975" s="87" t="str">
        <x:v>Русский язык</x:v>
      </x:c>
      <x:c r="H4975" s="87" t="n">
        <x:v>11</x:v>
      </x:c>
      <x:c r="I4975" s="87"/>
      <x:c r="J4975" s="87" t="str">
        <x:v>952</x:v>
      </x:c>
      <x:c r="K4975" s="87" t="n">
        <x:v>7</x:v>
      </x:c>
      <x:c r="L4975" s="87" t="str">
        <x:v>Морфологические нормы</x:v>
      </x:c>
      <x:c r="M4975" s="30" t="str">
        <x:v>грамматическая ошибка, Исправьте ошибку и запишите слово правильно. новых ПОЛОТЕНЕЦ приехал к НЕМУ ТРОИХ девушек гораздо ХУЖЕ к первому МАРТА Ответ: . Жслиссвачие не допускается</x:v>
      </x:c>
      <x:c r="N4975" s="30" t="str">
        <x:v>трёх</x:v>
      </x:c>
      <x:c r="O4975" s="30" t="str">
        <x:v>Ответ перенесён из сводной таблицы и связан с исходным заданием.</x:v>
      </x:c>
      <x:c r="P4975" s="30"/>
      <x:c r="Q4975" s="30" t="str">
        <x:v>Ответ визуально сверён с таблицей ответов; условие привязано к исходной странице.</x:v>
      </x:c>
      <x:c r="R4975" s="30" t="str">
        <x:v>трёх</x:v>
      </x:c>
      <x:c r="S4975" s="30"/>
      <x:c r="T4975" s="30" t="str">
        <x:v>ОТВЕТЫ (2).docx</x:v>
      </x:c>
      <x:c r="U4975" s="30" t="str">
        <x:v>Расхождений с таблицей ответов не выявлено.</x:v>
      </x:c>
      <x:c r="V4975" s="87" t="str">
        <x:v>VERIFIED</x:v>
      </x:c>
      <x:c r="W4975" s="87"/>
      <x:c r="X4975" s="87"/>
      <x:c r="Y4975" s="87" t="n">
        <x:v>5</x:v>
      </x:c>
      <x:c r="Z4975" s="87" t="n">
        <x:v>5</x:v>
      </x:c>
      <x:c r="AA4975" s="87" t="str">
        <x:v>страница 1</x:v>
      </x:c>
      <x:c r="AB4975" s="87"/>
      <x:c r="AC4975" s="87" t="str">
        <x:v>VIS-EGKR-RUS-W25-TASK-952-P005</x:v>
      </x:c>
      <x:c r="AD4975" s="87" t="str">
        <x:v>VIS-EGKR-RUS-W25-KEY-ALL-P001</x:v>
      </x:c>
      <x:c r="AE4975" s="87" t="str">
        <x:v>TASK; KEY</x:v>
      </x:c>
      <x:c r="AF4975" s="87" t="str">
        <x:v>VIS-EGKR-RUS-W25-TASK-952-P005: 5; VIS-EGKR-RUS-W25-KEY-ALL-P001: 1</x:v>
      </x:c>
      <x:c r="AG4975" s="87" t="str">
        <x:v>RESOLVED</x:v>
      </x:c>
      <x:c r="AH4975" s="87" t="str">
        <x:v>CROP_VERIFIED</x:v>
      </x:c>
      <x:c r="AI4975" s="30"/>
      <x:c r="AJ4975" s="87" t="str">
        <x:v>clean</x:v>
      </x:c>
      <x:c r="AK4975" s="87" t="str">
        <x:v>clean-v0.10</x:v>
      </x:c>
      <x:c r="AL4975" s="87" t="str">
        <x:v>statgrad_clean_continuation_v0_10(1).xlsx</x:v>
      </x:c>
      <x:c r="AM4975" s="87" t="str">
        <x:v>RUS_EGKR_952</x:v>
      </x:c>
      <x:c r="AN4975" s="87" t="n">
        <x:v>8</x:v>
      </x:c>
    </x:row>
    <x:row r="4976">
      <x:c r="A4976" s="87" t="n">
        <x:v>4975</x:v>
      </x:c>
      <x:c r="B4976" s="87" t="str">
        <x:v>EGKR-W25-RUS-952-08</x:v>
      </x:c>
      <x:c r="C4976" s="87" t="str">
        <x:v>ЕГКР</x:v>
      </x:c>
      <x:c r="D4976" s="87"/>
      <x:c r="E4976" s="87" t="str">
        <x:v>Зима 2025</x:v>
      </x:c>
      <x:c r="F4976" s="87" t="str">
        <x:v>09.12.2025</x:v>
      </x:c>
      <x:c r="G4976" s="87" t="str">
        <x:v>Русский язык</x:v>
      </x:c>
      <x:c r="H4976" s="87" t="n">
        <x:v>11</x:v>
      </x:c>
      <x:c r="I4976" s="87"/>
      <x:c r="J4976" s="87" t="str">
        <x:v>952</x:v>
      </x:c>
      <x:c r="K4976" s="87" t="n">
        <x:v>8</x:v>
      </x:c>
      <x:c r="L4976" s="87" t="str">
        <x:v>Синтаксические нормы: соответствие ошибок</x:v>
      </x:c>
      <x:c r="M4976" s="30" t="str">
        <x:v>соответствие между грамматическими ошибками и предложениями. в которых они допущены: к каждой позиции первого столбца подберите соответствующую позицию из второго столбца. ГРАММАТИЧЕСКИЕ ПРЕДЛОЖЕНИЯ ОШИБКИ А) нарушение связи между 1) Te. кто хотел бы поехать на экскурсию. подлежащим и сказусмым собрались возле ижолы ранним утром. Б) неправильное когда солнце только что взошло. употребление надежной 2) По возвращении в Петербург (предложно-падежной) М.В. Ломоносов очень скоро стал формы управляемого известен как авторитетный учёный. слова 3) С природой мы поступаем бездумно, не В) нарушение в построении отягощая себя сомнениями. предложения 4) Лишь прочитав «Обломова», я понимаю. с несогласованным что лаже хороший и умный человек, не приложением имеющий стремления к развитию. может Г} неправильное построение прожить жизнь бесцельно. став рабом предложения собственной лени. с леепричастным 5} Есть категория людей, ищущая во всём оборотом подвоха и которая причины поступков Д) ошибка в построении видит в личном интересе. предложения 6) Возврашаясь домой после прогулки. было с однородными членами пасмурно и ветрено. и казалось. что собирается дождь. 7) По окончанию школы выпускники собираются поступать в средние сиециальные или высшие учебные заведения. 8) Все. кто не потерял ещё головы. был против восхождения на вершину во время внезапно начавшейся метели. 9) В драме «Грозе» А.Н. Островский показал. как патриархальные порядки тормозят прогресс. Запишите в таблицу выбранные цифры под соответствующими буквами. АТБ! В. Г.Д, Ответ: ра | ot</x:v>
      </x:c>
      <x:c r="N4976" s="30" t="str">
        <x:v>87965</x:v>
      </x:c>
      <x:c r="O4976" s="30" t="str">
        <x:v>Ответ перенесён из сводной таблицы и связан с исходным заданием.</x:v>
      </x:c>
      <x:c r="P4976" s="30"/>
      <x:c r="Q4976" s="30" t="str">
        <x:v>Ответ визуально сверён с таблицей ответов; условие привязано к исходной странице.</x:v>
      </x:c>
      <x:c r="R4976" s="30" t="str">
        <x:v>87965</x:v>
      </x:c>
      <x:c r="S4976" s="30"/>
      <x:c r="T4976" s="30" t="str">
        <x:v>ОТВЕТЫ (2).docx</x:v>
      </x:c>
      <x:c r="U4976" s="30" t="str">
        <x:v>Расхождений с таблицей ответов не выявлено.</x:v>
      </x:c>
      <x:c r="V4976" s="87" t="str">
        <x:v>VERIFIED</x:v>
      </x:c>
      <x:c r="W4976" s="87"/>
      <x:c r="X4976" s="87"/>
      <x:c r="Y4976" s="87" t="n">
        <x:v>6</x:v>
      </x:c>
      <x:c r="Z4976" s="87" t="n">
        <x:v>6</x:v>
      </x:c>
      <x:c r="AA4976" s="87" t="str">
        <x:v>страница 1</x:v>
      </x:c>
      <x:c r="AB4976" s="87"/>
      <x:c r="AC4976" s="87" t="str">
        <x:v>VIS-EGKR-RUS-W25-TASK-952-P006</x:v>
      </x:c>
      <x:c r="AD4976" s="87" t="str">
        <x:v>VIS-EGKR-RUS-W25-KEY-ALL-P001</x:v>
      </x:c>
      <x:c r="AE4976" s="87" t="str">
        <x:v>TASK; KEY</x:v>
      </x:c>
      <x:c r="AF4976" s="87" t="str">
        <x:v>VIS-EGKR-RUS-W25-TASK-952-P006: 6; VIS-EGKR-RUS-W25-KEY-ALL-P001: 1</x:v>
      </x:c>
      <x:c r="AG4976" s="87" t="str">
        <x:v>RESOLVED</x:v>
      </x:c>
      <x:c r="AH4976" s="87" t="str">
        <x:v>CROP_VERIFIED</x:v>
      </x:c>
      <x:c r="AI4976" s="30"/>
      <x:c r="AJ4976" s="87" t="str">
        <x:v>clean</x:v>
      </x:c>
      <x:c r="AK4976" s="87" t="str">
        <x:v>clean-v0.10</x:v>
      </x:c>
      <x:c r="AL4976" s="87" t="str">
        <x:v>statgrad_clean_continuation_v0_10(1).xlsx</x:v>
      </x:c>
      <x:c r="AM4976" s="87" t="str">
        <x:v>RUS_EGKR_952</x:v>
      </x:c>
      <x:c r="AN4976" s="87" t="n">
        <x:v>9</x:v>
      </x:c>
    </x:row>
    <x:row r="4977">
      <x:c r="A4977" s="87" t="n">
        <x:v>4976</x:v>
      </x:c>
      <x:c r="B4977" s="87" t="str">
        <x:v>EGKR-W25-RUS-952-09</x:v>
      </x:c>
      <x:c r="C4977" s="87" t="str">
        <x:v>ЕГКР</x:v>
      </x:c>
      <x:c r="D4977" s="87"/>
      <x:c r="E4977" s="87" t="str">
        <x:v>Зима 2025</x:v>
      </x:c>
      <x:c r="F4977" s="87" t="str">
        <x:v>09.12.2025</x:v>
      </x:c>
      <x:c r="G4977" s="87" t="str">
        <x:v>Русский язык</x:v>
      </x:c>
      <x:c r="H4977" s="87" t="n">
        <x:v>11</x:v>
      </x:c>
      <x:c r="I4977" s="87"/>
      <x:c r="J4977" s="87" t="str">
        <x:v>952</x:v>
      </x:c>
      <x:c r="K4977" s="87" t="n">
        <x:v>9</x:v>
      </x:c>
      <x:c r="L4977" s="87" t="str">
        <x:v>Правописание корней</x:v>
      </x:c>
      <x:c r="M4977" s="30"/>
      <x:c r="N4977" s="30" t="str">
        <x:v>24</x:v>
      </x:c>
      <x:c r="O4977" s="30" t="str">
        <x:v>Ответ перенесён из сводной таблицы и связан с исходным заданием.</x:v>
      </x:c>
      <x:c r="P4977" s="30"/>
      <x:c r="Q4977" s="30" t="str">
        <x:v>Ответ визуально сверён с таблицей ответов; условие привязано к исходной странице.</x:v>
      </x:c>
      <x:c r="R4977" s="30" t="str">
        <x:v>24</x:v>
      </x:c>
      <x:c r="S4977" s="30"/>
      <x:c r="T4977" s="30" t="str">
        <x:v>ОТВЕТЫ (2).docx</x:v>
      </x:c>
      <x:c r="U4977" s="30" t="str">
        <x:v>Расхождений с таблицей ответов не выявлено.</x:v>
      </x:c>
      <x:c r="V4977" s="87" t="str">
        <x:v>VERIFIED</x:v>
      </x:c>
      <x:c r="W4977" s="87"/>
      <x:c r="X4977" s="87"/>
      <x:c r="Y4977" s="87" t="n">
        <x:v>7</x:v>
      </x:c>
      <x:c r="Z4977" s="87" t="n">
        <x:v>7</x:v>
      </x:c>
      <x:c r="AA4977" s="87" t="str">
        <x:v>страница 1</x:v>
      </x:c>
      <x:c r="AB4977" s="87"/>
      <x:c r="AC4977" s="87" t="str">
        <x:v>VIS-EGKR-RUS-W25-TASK-952-P007</x:v>
      </x:c>
      <x:c r="AD4977" s="87" t="str">
        <x:v>VIS-EGKR-RUS-W25-KEY-ALL-P001</x:v>
      </x:c>
      <x:c r="AE4977" s="87" t="str">
        <x:v>TASK; KEY</x:v>
      </x:c>
      <x:c r="AF4977" s="87" t="str">
        <x:v>VIS-EGKR-RUS-W25-TASK-952-P007: 7; VIS-EGKR-RUS-W25-KEY-ALL-P001: 1</x:v>
      </x:c>
      <x:c r="AG4977" s="87" t="str">
        <x:v>RESOLVED</x:v>
      </x:c>
      <x:c r="AH4977" s="87" t="str">
        <x:v>CROP_VERIFIED</x:v>
      </x:c>
      <x:c r="AI4977" s="30"/>
      <x:c r="AJ4977" s="87" t="str">
        <x:v>clean</x:v>
      </x:c>
      <x:c r="AK4977" s="87" t="str">
        <x:v>clean-v0.10</x:v>
      </x:c>
      <x:c r="AL4977" s="87" t="str">
        <x:v>statgrad_clean_continuation_v0_10(1).xlsx</x:v>
      </x:c>
      <x:c r="AM4977" s="87" t="str">
        <x:v>RUS_EGKR_952</x:v>
      </x:c>
      <x:c r="AN4977" s="87" t="n">
        <x:v>10</x:v>
      </x:c>
    </x:row>
    <x:row r="4978">
      <x:c r="A4978" s="87" t="n">
        <x:v>4977</x:v>
      </x:c>
      <x:c r="B4978" s="87" t="str">
        <x:v>EGKR-W25-RUS-952-10</x:v>
      </x:c>
      <x:c r="C4978" s="87" t="str">
        <x:v>ЕГКР</x:v>
      </x:c>
      <x:c r="D4978" s="87"/>
      <x:c r="E4978" s="87" t="str">
        <x:v>Зима 2025</x:v>
      </x:c>
      <x:c r="F4978" s="87" t="str">
        <x:v>09.12.2025</x:v>
      </x:c>
      <x:c r="G4978" s="87" t="str">
        <x:v>Русский язык</x:v>
      </x:c>
      <x:c r="H4978" s="87" t="n">
        <x:v>11</x:v>
      </x:c>
      <x:c r="I4978" s="87"/>
      <x:c r="J4978" s="87" t="str">
        <x:v>952</x:v>
      </x:c>
      <x:c r="K4978" s="87" t="n">
        <x:v>10</x:v>
      </x:c>
      <x:c r="L4978" s="87" t="str">
        <x:v>Правописание приставок и букв Ы/И</x:v>
      </x:c>
      <x:c r="M4978" s="30" t="str">
        <x:v>во всех словах одного ряда пропущена одна и та же буква. Запишите номера ответов. 1) бюлл..тень. ап..лляция. дел..катес 2) 6..гровый, утр..мбовать, к..сательная (к кривой) 3) ид..алист, просв..щение. ист..на | 4} г..потеза. ун.зительный. ол..цетворение 5) отр..сль, разб..гатеть, гр..моздкий Ответ: : ; 10 © Укажите варианты ответов. в которых BO всех словах одного ряла пропущена одна и та же буква. Запишите номера ответов. 1) пер..группировка. и..весомость. пр..дчувствовать 2) бе.. церемонный. ра..считать. и..чезнуть 3) пред..январский. с..экономить. ин..екция 4) пр..творить (в жизнь). пр..бывать (в унынии). пр..следовать (нарушителя) 5) р..сстаться, ир..славянский, пр..бабушка Ответ: | ra, 7</x:v>
      </x:c>
      <x:c r="N4978" s="30" t="str">
        <x:v>125</x:v>
      </x:c>
      <x:c r="O4978" s="30" t="str">
        <x:v>Ответ перенесён из сводной таблицы и связан с исходным заданием.</x:v>
      </x:c>
      <x:c r="P4978" s="30"/>
      <x:c r="Q4978" s="30" t="str">
        <x:v>Ответ визуально сверён с таблицей ответов; условие привязано к исходной странице.</x:v>
      </x:c>
      <x:c r="R4978" s="30" t="str">
        <x:v>125</x:v>
      </x:c>
      <x:c r="S4978" s="30"/>
      <x:c r="T4978" s="30" t="str">
        <x:v>ОТВЕТЫ (2).docx</x:v>
      </x:c>
      <x:c r="U4978" s="30" t="str">
        <x:v>Расхождений с таблицей ответов не выявлено.</x:v>
      </x:c>
      <x:c r="V4978" s="87" t="str">
        <x:v>VERIFIED</x:v>
      </x:c>
      <x:c r="W4978" s="87"/>
      <x:c r="X4978" s="87"/>
      <x:c r="Y4978" s="87" t="n">
        <x:v>7</x:v>
      </x:c>
      <x:c r="Z4978" s="87" t="n">
        <x:v>7</x:v>
      </x:c>
      <x:c r="AA4978" s="87" t="str">
        <x:v>страница 1</x:v>
      </x:c>
      <x:c r="AB4978" s="87"/>
      <x:c r="AC4978" s="87" t="str">
        <x:v>VIS-EGKR-RUS-W25-TASK-952-P007</x:v>
      </x:c>
      <x:c r="AD4978" s="87" t="str">
        <x:v>VIS-EGKR-RUS-W25-KEY-ALL-P001</x:v>
      </x:c>
      <x:c r="AE4978" s="87" t="str">
        <x:v>TASK; KEY</x:v>
      </x:c>
      <x:c r="AF4978" s="87" t="str">
        <x:v>VIS-EGKR-RUS-W25-TASK-952-P007: 7; VIS-EGKR-RUS-W25-KEY-ALL-P001: 1</x:v>
      </x:c>
      <x:c r="AG4978" s="87" t="str">
        <x:v>RESOLVED</x:v>
      </x:c>
      <x:c r="AH4978" s="87" t="str">
        <x:v>CROP_VERIFIED</x:v>
      </x:c>
      <x:c r="AI4978" s="30"/>
      <x:c r="AJ4978" s="87" t="str">
        <x:v>clean</x:v>
      </x:c>
      <x:c r="AK4978" s="87" t="str">
        <x:v>clean-v0.10</x:v>
      </x:c>
      <x:c r="AL4978" s="87" t="str">
        <x:v>statgrad_clean_continuation_v0_10(1).xlsx</x:v>
      </x:c>
      <x:c r="AM4978" s="87" t="str">
        <x:v>RUS_EGKR_952</x:v>
      </x:c>
      <x:c r="AN4978" s="87" t="n">
        <x:v>11</x:v>
      </x:c>
    </x:row>
    <x:row r="4979">
      <x:c r="A4979" s="87" t="n">
        <x:v>4978</x:v>
      </x:c>
      <x:c r="B4979" s="87" t="str">
        <x:v>EGKR-W25-RUS-952-11</x:v>
      </x:c>
      <x:c r="C4979" s="87" t="str">
        <x:v>ЕГКР</x:v>
      </x:c>
      <x:c r="D4979" s="87"/>
      <x:c r="E4979" s="87" t="str">
        <x:v>Зима 2025</x:v>
      </x:c>
      <x:c r="F4979" s="87" t="str">
        <x:v>09.12.2025</x:v>
      </x:c>
      <x:c r="G4979" s="87" t="str">
        <x:v>Русский язык</x:v>
      </x:c>
      <x:c r="H4979" s="87" t="n">
        <x:v>11</x:v>
      </x:c>
      <x:c r="I4979" s="87"/>
      <x:c r="J4979" s="87" t="str">
        <x:v>952</x:v>
      </x:c>
      <x:c r="K4979" s="87" t="n">
        <x:v>11</x:v>
      </x:c>
      <x:c r="L4979" s="87" t="str">
        <x:v>Правописание суффиксов</x:v>
      </x:c>
      <x:c r="M4979" s="30" t="str">
        <x:v>| 11 . Укажите варианты ответов. в которых в обоих словах одного ряда пронущена одна и та же буква. Запишите номера ответов. 1) продл..вая, эмал..вый 2) застра..вать. (первая) красав..ца 3) усилдч..вый. забол..вать 4) яблон..вый. расстра..ваться 5) клетч..тый, завистл..вый Ответ: . $2525 OTSUY "Федесальный и-з-итут седагстических измерений" МАММ.Р'Р RU {ст иссва-ие не допускается</x:v>
      </x:c>
      <x:c r="N4979" s="30" t="str">
        <x:v>12</x:v>
      </x:c>
      <x:c r="O4979" s="30" t="str">
        <x:v>Ответ перенесён из сводной таблицы и связан с исходным заданием.</x:v>
      </x:c>
      <x:c r="P4979" s="30"/>
      <x:c r="Q4979" s="30" t="str">
        <x:v>Ответ визуально сверён с таблицей ответов; условие привязано к исходной странице.</x:v>
      </x:c>
      <x:c r="R4979" s="30" t="str">
        <x:v>12</x:v>
      </x:c>
      <x:c r="S4979" s="30"/>
      <x:c r="T4979" s="30" t="str">
        <x:v>ОТВЕТЫ (2).docx</x:v>
      </x:c>
      <x:c r="U4979" s="30" t="str">
        <x:v>Расхождений с таблицей ответов не выявлено.</x:v>
      </x:c>
      <x:c r="V4979" s="87" t="str">
        <x:v>VERIFIED</x:v>
      </x:c>
      <x:c r="W4979" s="87"/>
      <x:c r="X4979" s="87"/>
      <x:c r="Y4979" s="87" t="n">
        <x:v>7</x:v>
      </x:c>
      <x:c r="Z4979" s="87" t="n">
        <x:v>7</x:v>
      </x:c>
      <x:c r="AA4979" s="87" t="str">
        <x:v>страница 1</x:v>
      </x:c>
      <x:c r="AB4979" s="87"/>
      <x:c r="AC4979" s="87" t="str">
        <x:v>VIS-EGKR-RUS-W25-TASK-952-P007</x:v>
      </x:c>
      <x:c r="AD4979" s="87" t="str">
        <x:v>VIS-EGKR-RUS-W25-KEY-ALL-P001</x:v>
      </x:c>
      <x:c r="AE4979" s="87" t="str">
        <x:v>TASK; KEY</x:v>
      </x:c>
      <x:c r="AF4979" s="87" t="str">
        <x:v>VIS-EGKR-RUS-W25-TASK-952-P007: 7; VIS-EGKR-RUS-W25-KEY-ALL-P001: 1</x:v>
      </x:c>
      <x:c r="AG4979" s="87" t="str">
        <x:v>RESOLVED</x:v>
      </x:c>
      <x:c r="AH4979" s="87" t="str">
        <x:v>CROP_VERIFIED</x:v>
      </x:c>
      <x:c r="AI4979" s="30"/>
      <x:c r="AJ4979" s="87" t="str">
        <x:v>clean</x:v>
      </x:c>
      <x:c r="AK4979" s="87" t="str">
        <x:v>clean-v0.10</x:v>
      </x:c>
      <x:c r="AL4979" s="87" t="str">
        <x:v>statgrad_clean_continuation_v0_10(1).xlsx</x:v>
      </x:c>
      <x:c r="AM4979" s="87" t="str">
        <x:v>RUS_EGKR_952</x:v>
      </x:c>
      <x:c r="AN4979" s="87" t="n">
        <x:v>12</x:v>
      </x:c>
    </x:row>
    <x:row r="4980">
      <x:c r="A4980" s="87" t="n">
        <x:v>4979</x:v>
      </x:c>
      <x:c r="B4980" s="87" t="str">
        <x:v>EGKR-W25-RUS-952-12</x:v>
      </x:c>
      <x:c r="C4980" s="87" t="str">
        <x:v>ЕГКР</x:v>
      </x:c>
      <x:c r="D4980" s="87"/>
      <x:c r="E4980" s="87" t="str">
        <x:v>Зима 2025</x:v>
      </x:c>
      <x:c r="F4980" s="87" t="str">
        <x:v>09.12.2025</x:v>
      </x:c>
      <x:c r="G4980" s="87" t="str">
        <x:v>Русский язык</x:v>
      </x:c>
      <x:c r="H4980" s="87" t="n">
        <x:v>11</x:v>
      </x:c>
      <x:c r="I4980" s="87"/>
      <x:c r="J4980" s="87" t="str">
        <x:v>952</x:v>
      </x:c>
      <x:c r="K4980" s="87" t="n">
        <x:v>12</x:v>
      </x:c>
      <x:c r="L4980" s="87" t="str">
        <x:v>Личные окончания глаголов и суффиксы причастий</x:v>
      </x:c>
      <x:c r="M4980" s="30" t="str">
        <x:v>в обоих словах одного ряда пропущена одна и та же буква. Запишите номера ответов. 1) подстрел..нный, обессил..вший (от усталости) 2) расстила..мый. (вы) дума..те (, что он приедет?) 3} дыш..щий, (коты) мурлыч..т 4) жажд..щий (успеха), противореч..щий 5} новенч..нный. (OHM) назнач..т (цену) Ответ: | 13 : Укажите варианты ответов. в которых</x:v>
      </x:c>
      <x:c r="N4980" s="30" t="str">
        <x:v>125</x:v>
      </x:c>
      <x:c r="O4980" s="30" t="str">
        <x:v>Ответ перенесён из сводной таблицы и связан с исходным заданием.</x:v>
      </x:c>
      <x:c r="P4980" s="30"/>
      <x:c r="Q4980" s="30" t="str">
        <x:v>Ответ визуально сверён с таблицей ответов; условие привязано к исходной странице.</x:v>
      </x:c>
      <x:c r="R4980" s="30" t="str">
        <x:v>125</x:v>
      </x:c>
      <x:c r="S4980" s="30"/>
      <x:c r="T4980" s="30" t="str">
        <x:v>ОТВЕТЫ (2).docx</x:v>
      </x:c>
      <x:c r="U4980" s="30" t="str">
        <x:v>Расхождений с таблицей ответов не выявлено.</x:v>
      </x:c>
      <x:c r="V4980" s="87" t="str">
        <x:v>VERIFIED</x:v>
      </x:c>
      <x:c r="W4980" s="87"/>
      <x:c r="X4980" s="87"/>
      <x:c r="Y4980" s="87" t="n">
        <x:v>8</x:v>
      </x:c>
      <x:c r="Z4980" s="87" t="n">
        <x:v>8</x:v>
      </x:c>
      <x:c r="AA4980" s="87" t="str">
        <x:v>страница 1</x:v>
      </x:c>
      <x:c r="AB4980" s="87"/>
      <x:c r="AC4980" s="87" t="str">
        <x:v>VIS-EGKR-RUS-W25-TASK-952-P008</x:v>
      </x:c>
      <x:c r="AD4980" s="87" t="str">
        <x:v>VIS-EGKR-RUS-W25-KEY-ALL-P001</x:v>
      </x:c>
      <x:c r="AE4980" s="87" t="str">
        <x:v>TASK; KEY</x:v>
      </x:c>
      <x:c r="AF4980" s="87" t="str">
        <x:v>VIS-EGKR-RUS-W25-TASK-952-P008: 8; VIS-EGKR-RUS-W25-KEY-ALL-P001: 1</x:v>
      </x:c>
      <x:c r="AG4980" s="87" t="str">
        <x:v>RESOLVED</x:v>
      </x:c>
      <x:c r="AH4980" s="87" t="str">
        <x:v>CROP_VERIFIED</x:v>
      </x:c>
      <x:c r="AI4980" s="30"/>
      <x:c r="AJ4980" s="87" t="str">
        <x:v>clean</x:v>
      </x:c>
      <x:c r="AK4980" s="87" t="str">
        <x:v>clean-v0.10</x:v>
      </x:c>
      <x:c r="AL4980" s="87" t="str">
        <x:v>statgrad_clean_continuation_v0_10(1).xlsx</x:v>
      </x:c>
      <x:c r="AM4980" s="87" t="str">
        <x:v>RUS_EGKR_952</x:v>
      </x:c>
      <x:c r="AN4980" s="87" t="n">
        <x:v>13</x:v>
      </x:c>
    </x:row>
    <x:row r="4981">
      <x:c r="A4981" s="87" t="n">
        <x:v>4980</x:v>
      </x:c>
      <x:c r="B4981" s="87" t="str">
        <x:v>EGKR-W25-RUS-952-13</x:v>
      </x:c>
      <x:c r="C4981" s="87" t="str">
        <x:v>ЕГКР</x:v>
      </x:c>
      <x:c r="D4981" s="87"/>
      <x:c r="E4981" s="87" t="str">
        <x:v>Зима 2025</x:v>
      </x:c>
      <x:c r="F4981" s="87" t="str">
        <x:v>09.12.2025</x:v>
      </x:c>
      <x:c r="G4981" s="87" t="str">
        <x:v>Русский язык</x:v>
      </x:c>
      <x:c r="H4981" s="87" t="n">
        <x:v>11</x:v>
      </x:c>
      <x:c r="I4981" s="87"/>
      <x:c r="J4981" s="87" t="str">
        <x:v>952</x:v>
      </x:c>
      <x:c r="K4981" s="87" t="n">
        <x:v>13</x:v>
      </x:c>
      <x:c r="L4981" s="87" t="str">
        <x:v>Правописание НЕ</x:v>
      </x:c>
      <x:c r="M4981" s="30" t="str">
        <x:v>HE с выделенным словом пишется РАЗДЕЛЬНО. Запишите номера ответов. 1) Голос матери был отнюдь (НЕ)МЯГКИЙ. как я и ожидал. 2) Совершенно (НЕ)СПРАВЕДЛИВО то. что приносит зло другому человеку. 3) Ваш собеседник (НЕ)ДОЛЖЕН напрягаться. слушая вас. 4) (НЕ)ЗАВЕРШЁННУЮ вовремя работу пришлось перенести на следующий месяц. 5} Иммунитет (НЕЫДОСЫПАЮЩЕГО человека хуже сопротивляется вирусам. </x:v>
      </x:c>
      <x:c r="N4981" s="30" t="str">
        <x:v>134</x:v>
      </x:c>
      <x:c r="O4981" s="30" t="str">
        <x:v>Ответ перенесён из сводной таблицы и связан с исходным заданием.</x:v>
      </x:c>
      <x:c r="P4981" s="30"/>
      <x:c r="Q4981" s="30" t="str">
        <x:v>Ответ визуально сверён с таблицей ответов; условие привязано к исходной странице.</x:v>
      </x:c>
      <x:c r="R4981" s="30" t="str">
        <x:v>134</x:v>
      </x:c>
      <x:c r="S4981" s="30"/>
      <x:c r="T4981" s="30" t="str">
        <x:v>ОТВЕТЫ (2).docx</x:v>
      </x:c>
      <x:c r="U4981" s="30" t="str">
        <x:v>Расхождений с таблицей ответов не выявлено.</x:v>
      </x:c>
      <x:c r="V4981" s="87" t="str">
        <x:v>VERIFIED</x:v>
      </x:c>
      <x:c r="W4981" s="87"/>
      <x:c r="X4981" s="87"/>
      <x:c r="Y4981" s="87" t="n">
        <x:v>8</x:v>
      </x:c>
      <x:c r="Z4981" s="87" t="n">
        <x:v>8</x:v>
      </x:c>
      <x:c r="AA4981" s="87" t="str">
        <x:v>страница 1</x:v>
      </x:c>
      <x:c r="AB4981" s="87"/>
      <x:c r="AC4981" s="87" t="str">
        <x:v>VIS-EGKR-RUS-W25-TASK-952-P008</x:v>
      </x:c>
      <x:c r="AD4981" s="87" t="str">
        <x:v>VIS-EGKR-RUS-W25-KEY-ALL-P001</x:v>
      </x:c>
      <x:c r="AE4981" s="87" t="str">
        <x:v>TASK; KEY</x:v>
      </x:c>
      <x:c r="AF4981" s="87" t="str">
        <x:v>VIS-EGKR-RUS-W25-TASK-952-P008: 8; VIS-EGKR-RUS-W25-KEY-ALL-P001: 1</x:v>
      </x:c>
      <x:c r="AG4981" s="87" t="str">
        <x:v>RESOLVED</x:v>
      </x:c>
      <x:c r="AH4981" s="87" t="str">
        <x:v>CROP_VERIFIED</x:v>
      </x:c>
      <x:c r="AI4981" s="30"/>
      <x:c r="AJ4981" s="87" t="str">
        <x:v>clean</x:v>
      </x:c>
      <x:c r="AK4981" s="87" t="str">
        <x:v>clean-v0.10</x:v>
      </x:c>
      <x:c r="AL4981" s="87" t="str">
        <x:v>statgrad_clean_continuation_v0_10(1).xlsx</x:v>
      </x:c>
      <x:c r="AM4981" s="87" t="str">
        <x:v>RUS_EGKR_952</x:v>
      </x:c>
      <x:c r="AN4981" s="87" t="n">
        <x:v>14</x:v>
      </x:c>
    </x:row>
    <x:row r="4982">
      <x:c r="A4982" s="87" t="n">
        <x:v>4981</x:v>
      </x:c>
      <x:c r="B4982" s="87" t="str">
        <x:v>EGKR-W25-RUS-952-14</x:v>
      </x:c>
      <x:c r="C4982" s="87" t="str">
        <x:v>ЕГКР</x:v>
      </x:c>
      <x:c r="D4982" s="87"/>
      <x:c r="E4982" s="87" t="str">
        <x:v>Зима 2025</x:v>
      </x:c>
      <x:c r="F4982" s="87" t="str">
        <x:v>09.12.2025</x:v>
      </x:c>
      <x:c r="G4982" s="87" t="str">
        <x:v>Русский язык</x:v>
      </x:c>
      <x:c r="H4982" s="87" t="n">
        <x:v>11</x:v>
      </x:c>
      <x:c r="I4982" s="87"/>
      <x:c r="J4982" s="87" t="str">
        <x:v>952</x:v>
      </x:c>
      <x:c r="K4982" s="87" t="n">
        <x:v>14</x:v>
      </x:c>
      <x:c r="L4982" s="87" t="str">
        <x:v>Слитное, раздельное и дефисное написание</x:v>
      </x:c>
      <x:c r="M4982" s="30" t="str">
        <x:v>все выделенные слова пишутся СЛИТНО. Запишите номера ответов. 1) Мы ие отрывались от окон (НА)ПРОТЯЖЕНИИ всего пути. (ПО)СКОЛЬКУ красота была необыкновенная: 2) ЧТО(БЫ) хорошю сдать экзамен по литературе. нужно (НАЗИЗУСТЬ выучить несколько стихотворений. 3) (ВВИДУ нелётной погоды мы не попали на конференцию (ВО)ВРЕМЯ. 4) (НА)КОНЕЦ мы договорились (HA)CYET распределения объектов: 5) (НЕСМОТРЯ на позднее время. туристы всё (ПО)ПРЕЖНЕМУ сидели у KOCTpa и тихонько пели под гитару. Ответ: . — .. Е</x:v>
      </x:c>
      <x:c r="N4982" s="30" t="str">
        <x:v>23</x:v>
      </x:c>
      <x:c r="O4982" s="30" t="str">
        <x:v>Ответ перенесён из сводной таблицы и связан с исходным заданием.</x:v>
      </x:c>
      <x:c r="P4982" s="30"/>
      <x:c r="Q4982" s="30" t="str">
        <x:v>Ответ визуально сверён с таблицей ответов; условие привязано к исходной странице.</x:v>
      </x:c>
      <x:c r="R4982" s="30" t="str">
        <x:v>23</x:v>
      </x:c>
      <x:c r="S4982" s="30"/>
      <x:c r="T4982" s="30" t="str">
        <x:v>ОТВЕТЫ (2).docx</x:v>
      </x:c>
      <x:c r="U4982" s="30" t="str">
        <x:v>Расхождений с таблицей ответов не выявлено.</x:v>
      </x:c>
      <x:c r="V4982" s="87" t="str">
        <x:v>VERIFIED</x:v>
      </x:c>
      <x:c r="W4982" s="87"/>
      <x:c r="X4982" s="87"/>
      <x:c r="Y4982" s="87" t="n">
        <x:v>9</x:v>
      </x:c>
      <x:c r="Z4982" s="87" t="n">
        <x:v>9</x:v>
      </x:c>
      <x:c r="AA4982" s="87" t="str">
        <x:v>страница 1</x:v>
      </x:c>
      <x:c r="AB4982" s="87"/>
      <x:c r="AC4982" s="87" t="str">
        <x:v>VIS-EGKR-RUS-W25-TASK-952-P009</x:v>
      </x:c>
      <x:c r="AD4982" s="87" t="str">
        <x:v>VIS-EGKR-RUS-W25-KEY-ALL-P001</x:v>
      </x:c>
      <x:c r="AE4982" s="87" t="str">
        <x:v>TASK; KEY</x:v>
      </x:c>
      <x:c r="AF4982" s="87" t="str">
        <x:v>VIS-EGKR-RUS-W25-TASK-952-P009: 9; VIS-EGKR-RUS-W25-KEY-ALL-P001: 1</x:v>
      </x:c>
      <x:c r="AG4982" s="87" t="str">
        <x:v>RESOLVED</x:v>
      </x:c>
      <x:c r="AH4982" s="87" t="str">
        <x:v>CROP_VERIFIED</x:v>
      </x:c>
      <x:c r="AI4982" s="30"/>
      <x:c r="AJ4982" s="87" t="str">
        <x:v>clean</x:v>
      </x:c>
      <x:c r="AK4982" s="87" t="str">
        <x:v>clean-v0.10</x:v>
      </x:c>
      <x:c r="AL4982" s="87" t="str">
        <x:v>statgrad_clean_continuation_v0_10(1).xlsx</x:v>
      </x:c>
      <x:c r="AM4982" s="87" t="str">
        <x:v>RUS_EGKR_952</x:v>
      </x:c>
      <x:c r="AN4982" s="87" t="n">
        <x:v>15</x:v>
      </x:c>
    </x:row>
    <x:row r="4983">
      <x:c r="A4983" s="87" t="n">
        <x:v>4982</x:v>
      </x:c>
      <x:c r="B4983" s="87" t="str">
        <x:v>EGKR-W25-RUS-952-15</x:v>
      </x:c>
      <x:c r="C4983" s="87" t="str">
        <x:v>ЕГКР</x:v>
      </x:c>
      <x:c r="D4983" s="87"/>
      <x:c r="E4983" s="87" t="str">
        <x:v>Зима 2025</x:v>
      </x:c>
      <x:c r="F4983" s="87" t="str">
        <x:v>09.12.2025</x:v>
      </x:c>
      <x:c r="G4983" s="87" t="str">
        <x:v>Русский язык</x:v>
      </x:c>
      <x:c r="H4983" s="87" t="n">
        <x:v>11</x:v>
      </x:c>
      <x:c r="I4983" s="87"/>
      <x:c r="J4983" s="87" t="str">
        <x:v>952</x:v>
      </x:c>
      <x:c r="K4983" s="87" t="n">
        <x:v>15</x:v>
      </x:c>
      <x:c r="L4983" s="87" t="str">
        <x:v>Правописание Н/НН</x:v>
      </x:c>
      <x:c r="M4983" s="30" t="str">
        <x:v>15 Укажите пифру(-ы). на месте которой(-ых} нишется одна буква Н. В верши(Пах сосен и листве(2)иц. разброса(З)ых рядом с нехоже(4)ой тропинкой. мернали звёзды. как позолоче(5)ые украшения. Ответ: . 16 Укажите предложения. в которых</x:v>
      </x:c>
      <x:c r="N4983" s="30" t="str">
        <x:v>14</x:v>
      </x:c>
      <x:c r="O4983" s="30" t="str">
        <x:v>Ответ перенесён из сводной таблицы и связан с исходным заданием.</x:v>
      </x:c>
      <x:c r="P4983" s="30"/>
      <x:c r="Q4983" s="30" t="str">
        <x:v>Ответ визуально сверён с таблицей ответов; условие привязано к исходной странице.</x:v>
      </x:c>
      <x:c r="R4983" s="30" t="str">
        <x:v>14</x:v>
      </x:c>
      <x:c r="S4983" s="30"/>
      <x:c r="T4983" s="30" t="str">
        <x:v>ОТВЕТЫ (2).docx</x:v>
      </x:c>
      <x:c r="U4983" s="30" t="str">
        <x:v>Расхождений с таблицей ответов не выявлено.</x:v>
      </x:c>
      <x:c r="V4983" s="87" t="str">
        <x:v>VERIFIED</x:v>
      </x:c>
      <x:c r="W4983" s="87"/>
      <x:c r="X4983" s="87"/>
      <x:c r="Y4983" s="87" t="n">
        <x:v>9</x:v>
      </x:c>
      <x:c r="Z4983" s="87" t="n">
        <x:v>9</x:v>
      </x:c>
      <x:c r="AA4983" s="87" t="str">
        <x:v>страница 1</x:v>
      </x:c>
      <x:c r="AB4983" s="87"/>
      <x:c r="AC4983" s="87" t="str">
        <x:v>VIS-EGKR-RUS-W25-TASK-952-P009</x:v>
      </x:c>
      <x:c r="AD4983" s="87" t="str">
        <x:v>VIS-EGKR-RUS-W25-KEY-ALL-P001</x:v>
      </x:c>
      <x:c r="AE4983" s="87" t="str">
        <x:v>TASK; KEY</x:v>
      </x:c>
      <x:c r="AF4983" s="87" t="str">
        <x:v>VIS-EGKR-RUS-W25-TASK-952-P009: 9; VIS-EGKR-RUS-W25-KEY-ALL-P001: 1</x:v>
      </x:c>
      <x:c r="AG4983" s="87" t="str">
        <x:v>RESOLVED</x:v>
      </x:c>
      <x:c r="AH4983" s="87" t="str">
        <x:v>CROP_VERIFIED</x:v>
      </x:c>
      <x:c r="AI4983" s="30"/>
      <x:c r="AJ4983" s="87" t="str">
        <x:v>clean</x:v>
      </x:c>
      <x:c r="AK4983" s="87" t="str">
        <x:v>clean-v0.10</x:v>
      </x:c>
      <x:c r="AL4983" s="87" t="str">
        <x:v>statgrad_clean_continuation_v0_10(1).xlsx</x:v>
      </x:c>
      <x:c r="AM4983" s="87" t="str">
        <x:v>RUS_EGKR_952</x:v>
      </x:c>
      <x:c r="AN4983" s="87" t="n">
        <x:v>16</x:v>
      </x:c>
    </x:row>
    <x:row r="4984">
      <x:c r="A4984" s="87" t="n">
        <x:v>4983</x:v>
      </x:c>
      <x:c r="B4984" s="87" t="str">
        <x:v>EGKR-W25-RUS-952-16</x:v>
      </x:c>
      <x:c r="C4984" s="87" t="str">
        <x:v>ЕГКР</x:v>
      </x:c>
      <x:c r="D4984" s="87"/>
      <x:c r="E4984" s="87" t="str">
        <x:v>Зима 2025</x:v>
      </x:c>
      <x:c r="F4984" s="87" t="str">
        <x:v>09.12.2025</x:v>
      </x:c>
      <x:c r="G4984" s="87" t="str">
        <x:v>Русский язык</x:v>
      </x:c>
      <x:c r="H4984" s="87" t="n">
        <x:v>11</x:v>
      </x:c>
      <x:c r="I4984" s="87"/>
      <x:c r="J4984" s="87" t="str">
        <x:v>952</x:v>
      </x:c>
      <x:c r="K4984" s="87" t="n">
        <x:v>16</x:v>
      </x:c>
      <x:c r="L4984" s="87" t="str">
        <x:v>Пунктуация в простом и сложносочинённом предложении</x:v>
      </x:c>
      <x:c r="M4984" s="30" t="str">
        <x:v>нужно поставить ОДНУ запятую. Запишите номера этих предложений. 1) Невыразимое чувство наполняет меня в осеннем лесу хочется петь и душа трепещет в радостном волнении. 2) На рукописях редактор не только делал пометки но и тщательно исправлял красным каранлашом описки и расставляя пропущенные знаки препинания. 3) В плотном тумане не то что окрестных красот не видно но и дорогу в метре от себя не разглялишь. 4) В лесу ешё снег лежиг нетронутый и деревья стоят в снежном плену. 5) Поздно вечером я лёг спать мне удалось уснуть почти сразу, Ответ: . $2525 OTEUY "седесальный институт терагс“ических изуесений` WWWE'P RU 4c" /ceganve не допускается</x:v>
      </x:c>
      <x:c r="N4984" s="30" t="str">
        <x:v>2345</x:v>
      </x:c>
      <x:c r="O4984" s="30" t="str">
        <x:v>Ответ перенесён из сводной таблицы и связан с исходным заданием.</x:v>
      </x:c>
      <x:c r="P4984" s="30"/>
      <x:c r="Q4984" s="30" t="str">
        <x:v>Ответ визуально сверён с таблицей ответов; условие привязано к исходной странице.</x:v>
      </x:c>
      <x:c r="R4984" s="30" t="str">
        <x:v>2345</x:v>
      </x:c>
      <x:c r="S4984" s="30"/>
      <x:c r="T4984" s="30" t="str">
        <x:v>ОТВЕТЫ (2).docx</x:v>
      </x:c>
      <x:c r="U4984" s="30" t="str">
        <x:v>Расхождений с таблицей ответов не выявлено.</x:v>
      </x:c>
      <x:c r="V4984" s="87" t="str">
        <x:v>VERIFIED</x:v>
      </x:c>
      <x:c r="W4984" s="87"/>
      <x:c r="X4984" s="87"/>
      <x:c r="Y4984" s="87" t="n">
        <x:v>9</x:v>
      </x:c>
      <x:c r="Z4984" s="87" t="n">
        <x:v>9</x:v>
      </x:c>
      <x:c r="AA4984" s="87" t="str">
        <x:v>страница 1</x:v>
      </x:c>
      <x:c r="AB4984" s="87"/>
      <x:c r="AC4984" s="87" t="str">
        <x:v>VIS-EGKR-RUS-W25-TASK-952-P009</x:v>
      </x:c>
      <x:c r="AD4984" s="87" t="str">
        <x:v>VIS-EGKR-RUS-W25-KEY-ALL-P001</x:v>
      </x:c>
      <x:c r="AE4984" s="87" t="str">
        <x:v>TASK; KEY</x:v>
      </x:c>
      <x:c r="AF4984" s="87" t="str">
        <x:v>VIS-EGKR-RUS-W25-TASK-952-P009: 9; VIS-EGKR-RUS-W25-KEY-ALL-P001: 1</x:v>
      </x:c>
      <x:c r="AG4984" s="87" t="str">
        <x:v>RESOLVED</x:v>
      </x:c>
      <x:c r="AH4984" s="87" t="str">
        <x:v>CROP_VERIFIED</x:v>
      </x:c>
      <x:c r="AI4984" s="30"/>
      <x:c r="AJ4984" s="87" t="str">
        <x:v>clean</x:v>
      </x:c>
      <x:c r="AK4984" s="87" t="str">
        <x:v>clean-v0.10</x:v>
      </x:c>
      <x:c r="AL4984" s="87" t="str">
        <x:v>statgrad_clean_continuation_v0_10(1).xlsx</x:v>
      </x:c>
      <x:c r="AM4984" s="87" t="str">
        <x:v>RUS_EGKR_952</x:v>
      </x:c>
      <x:c r="AN4984" s="87" t="n">
        <x:v>17</x:v>
      </x:c>
    </x:row>
    <x:row r="4985">
      <x:c r="A4985" s="87" t="n">
        <x:v>4984</x:v>
      </x:c>
      <x:c r="B4985" s="87" t="str">
        <x:v>EGKR-W25-RUS-952-17</x:v>
      </x:c>
      <x:c r="C4985" s="87" t="str">
        <x:v>ЕГКР</x:v>
      </x:c>
      <x:c r="D4985" s="87"/>
      <x:c r="E4985" s="87" t="str">
        <x:v>Зима 2025</x:v>
      </x:c>
      <x:c r="F4985" s="87" t="str">
        <x:v>09.12.2025</x:v>
      </x:c>
      <x:c r="G4985" s="87" t="str">
        <x:v>Русский язык</x:v>
      </x:c>
      <x:c r="H4985" s="87" t="n">
        <x:v>11</x:v>
      </x:c>
      <x:c r="I4985" s="87"/>
      <x:c r="J4985" s="87" t="str">
        <x:v>952</x:v>
      </x:c>
      <x:c r="K4985" s="87" t="n">
        <x:v>17</x:v>
      </x:c>
      <x:c r="L4985" s="87" t="str">
        <x:v>Обособленные определения и обстоятельства</x:v>
      </x:c>
      <x:c r="M4985" s="30"/>
      <x:c r="N4985" s="30" t="str">
        <x:v>123</x:v>
      </x:c>
      <x:c r="O4985" s="30" t="str">
        <x:v>Ответ перенесён из сводной таблицы и связан с исходным заданием.</x:v>
      </x:c>
      <x:c r="P4985" s="30"/>
      <x:c r="Q4985" s="30" t="str">
        <x:v>Ответ визуально сверён с таблицей ответов; условие привязано к исходной странице.</x:v>
      </x:c>
      <x:c r="R4985" s="30" t="str">
        <x:v>123</x:v>
      </x:c>
      <x:c r="S4985" s="30"/>
      <x:c r="T4985" s="30" t="str">
        <x:v>ОТВЕТЫ (2).docx</x:v>
      </x:c>
      <x:c r="U4985" s="30" t="str">
        <x:v>Расхождений с таблицей ответов не выявлено.</x:v>
      </x:c>
      <x:c r="V4985" s="87" t="str">
        <x:v>VERIFIED</x:v>
      </x:c>
      <x:c r="W4985" s="87"/>
      <x:c r="X4985" s="87"/>
      <x:c r="Y4985" s="87" t="n">
        <x:v>10</x:v>
      </x:c>
      <x:c r="Z4985" s="87" t="n">
        <x:v>10</x:v>
      </x:c>
      <x:c r="AA4985" s="87" t="str">
        <x:v>страница 1</x:v>
      </x:c>
      <x:c r="AB4985" s="87"/>
      <x:c r="AC4985" s="87" t="str">
        <x:v>VIS-EGKR-RUS-W25-TASK-952-P010</x:v>
      </x:c>
      <x:c r="AD4985" s="87" t="str">
        <x:v>VIS-EGKR-RUS-W25-KEY-ALL-P001</x:v>
      </x:c>
      <x:c r="AE4985" s="87" t="str">
        <x:v>TASK; KEY</x:v>
      </x:c>
      <x:c r="AF4985" s="87" t="str">
        <x:v>VIS-EGKR-RUS-W25-TASK-952-P010: 10; VIS-EGKR-RUS-W25-KEY-ALL-P001: 1</x:v>
      </x:c>
      <x:c r="AG4985" s="87" t="str">
        <x:v>RESOLVED</x:v>
      </x:c>
      <x:c r="AH4985" s="87" t="str">
        <x:v>CROP_VERIFIED</x:v>
      </x:c>
      <x:c r="AI4985" s="30"/>
      <x:c r="AJ4985" s="87" t="str">
        <x:v>clean</x:v>
      </x:c>
      <x:c r="AK4985" s="87" t="str">
        <x:v>clean-v0.10</x:v>
      </x:c>
      <x:c r="AL4985" s="87" t="str">
        <x:v>statgrad_clean_continuation_v0_10(1).xlsx</x:v>
      </x:c>
      <x:c r="AM4985" s="87" t="str">
        <x:v>RUS_EGKR_952</x:v>
      </x:c>
      <x:c r="AN4985" s="87" t="n">
        <x:v>18</x:v>
      </x:c>
    </x:row>
    <x:row r="4986">
      <x:c r="A4986" s="87" t="n">
        <x:v>4985</x:v>
      </x:c>
      <x:c r="B4986" s="87" t="str">
        <x:v>EGKR-W25-RUS-952-18</x:v>
      </x:c>
      <x:c r="C4986" s="87" t="str">
        <x:v>ЕГКР</x:v>
      </x:c>
      <x:c r="D4986" s="87"/>
      <x:c r="E4986" s="87" t="str">
        <x:v>Зима 2025</x:v>
      </x:c>
      <x:c r="F4986" s="87" t="str">
        <x:v>09.12.2025</x:v>
      </x:c>
      <x:c r="G4986" s="87" t="str">
        <x:v>Русский язык</x:v>
      </x:c>
      <x:c r="H4986" s="87" t="n">
        <x:v>11</x:v>
      </x:c>
      <x:c r="I4986" s="87"/>
      <x:c r="J4986" s="87" t="str">
        <x:v>952</x:v>
      </x:c>
      <x:c r="K4986" s="87" t="n">
        <x:v>18</x:v>
      </x:c>
      <x:c r="L4986" s="87" t="str">
        <x:v>Вводные слова и обращения</x:v>
      </x:c>
      <x:c r="M4986" s="30"/>
      <x:c r="N4986" s="30" t="str">
        <x:v>123</x:v>
      </x:c>
      <x:c r="O4986" s="30" t="str">
        <x:v>Ответ перенесён из сводной таблицы и связан с исходным заданием.</x:v>
      </x:c>
      <x:c r="P4986" s="30"/>
      <x:c r="Q4986" s="30" t="str">
        <x:v>Ответ визуально сверён с таблицей ответов; условие привязано к исходной странице.</x:v>
      </x:c>
      <x:c r="R4986" s="30" t="str">
        <x:v>123</x:v>
      </x:c>
      <x:c r="S4986" s="30"/>
      <x:c r="T4986" s="30" t="str">
        <x:v>ОТВЕТЫ (2).docx</x:v>
      </x:c>
      <x:c r="U4986" s="30" t="str">
        <x:v>Расхождений с таблицей ответов не выявлено.</x:v>
      </x:c>
      <x:c r="V4986" s="87" t="str">
        <x:v>VERIFIED</x:v>
      </x:c>
      <x:c r="W4986" s="87"/>
      <x:c r="X4986" s="87"/>
      <x:c r="Y4986" s="87" t="n">
        <x:v>10</x:v>
      </x:c>
      <x:c r="Z4986" s="87" t="n">
        <x:v>10</x:v>
      </x:c>
      <x:c r="AA4986" s="87" t="str">
        <x:v>страница 1</x:v>
      </x:c>
      <x:c r="AB4986" s="87"/>
      <x:c r="AC4986" s="87" t="str">
        <x:v>VIS-EGKR-RUS-W25-TASK-952-P010</x:v>
      </x:c>
      <x:c r="AD4986" s="87" t="str">
        <x:v>VIS-EGKR-RUS-W25-KEY-ALL-P001</x:v>
      </x:c>
      <x:c r="AE4986" s="87" t="str">
        <x:v>TASK; KEY</x:v>
      </x:c>
      <x:c r="AF4986" s="87" t="str">
        <x:v>VIS-EGKR-RUS-W25-TASK-952-P010: 10; VIS-EGKR-RUS-W25-KEY-ALL-P001: 1</x:v>
      </x:c>
      <x:c r="AG4986" s="87" t="str">
        <x:v>RESOLVED</x:v>
      </x:c>
      <x:c r="AH4986" s="87" t="str">
        <x:v>CROP_VERIFIED</x:v>
      </x:c>
      <x:c r="AI4986" s="30"/>
      <x:c r="AJ4986" s="87" t="str">
        <x:v>clean</x:v>
      </x:c>
      <x:c r="AK4986" s="87" t="str">
        <x:v>clean-v0.10</x:v>
      </x:c>
      <x:c r="AL4986" s="87" t="str">
        <x:v>statgrad_clean_continuation_v0_10(1).xlsx</x:v>
      </x:c>
      <x:c r="AM4986" s="87" t="str">
        <x:v>RUS_EGKR_952</x:v>
      </x:c>
      <x:c r="AN4986" s="87" t="n">
        <x:v>19</x:v>
      </x:c>
    </x:row>
    <x:row r="4987">
      <x:c r="A4987" s="87" t="n">
        <x:v>4986</x:v>
      </x:c>
      <x:c r="B4987" s="87" t="str">
        <x:v>EGKR-W25-RUS-952-19</x:v>
      </x:c>
      <x:c r="C4987" s="87" t="str">
        <x:v>ЕГКР</x:v>
      </x:c>
      <x:c r="D4987" s="87"/>
      <x:c r="E4987" s="87" t="str">
        <x:v>Зима 2025</x:v>
      </x:c>
      <x:c r="F4987" s="87" t="str">
        <x:v>09.12.2025</x:v>
      </x:c>
      <x:c r="G4987" s="87" t="str">
        <x:v>Русский язык</x:v>
      </x:c>
      <x:c r="H4987" s="87" t="n">
        <x:v>11</x:v>
      </x:c>
      <x:c r="I4987" s="87"/>
      <x:c r="J4987" s="87" t="str">
        <x:v>952</x:v>
      </x:c>
      <x:c r="K4987" s="87" t="n">
        <x:v>19</x:v>
      </x:c>
      <x:c r="L4987" s="87" t="str">
        <x:v>Знаки препинания в сложноподчинённом предложении</x:v>
      </x:c>
      <x:c r="M4987" s="30" t="str">
        <x:v>должна(-ы) стоять запятая(-ыс). Я знал (1) что есть прекрасные стихи (2} и не догадывался (3) каковы они (4) и зачем они мне нужны. Отв = &gt; =</x:v>
      </x:c>
      <x:c r="N4987" s="30" t="str">
        <x:v>123</x:v>
      </x:c>
      <x:c r="O4987" s="30" t="str">
        <x:v>Ответ перенесён из сводной таблицы и связан с исходным заданием.</x:v>
      </x:c>
      <x:c r="P4987" s="30"/>
      <x:c r="Q4987" s="30" t="str">
        <x:v>Ответ визуально сверён с таблицей ответов; условие привязано к исходной странице.</x:v>
      </x:c>
      <x:c r="R4987" s="30" t="str">
        <x:v>123</x:v>
      </x:c>
      <x:c r="S4987" s="30"/>
      <x:c r="T4987" s="30" t="str">
        <x:v>ОТВЕТЫ (2).docx</x:v>
      </x:c>
      <x:c r="U4987" s="30" t="str">
        <x:v>Расхождений с таблицей ответов не выявлено.</x:v>
      </x:c>
      <x:c r="V4987" s="87" t="str">
        <x:v>VERIFIED</x:v>
      </x:c>
      <x:c r="W4987" s="87"/>
      <x:c r="X4987" s="87"/>
      <x:c r="Y4987" s="87" t="n">
        <x:v>10</x:v>
      </x:c>
      <x:c r="Z4987" s="87" t="n">
        <x:v>10</x:v>
      </x:c>
      <x:c r="AA4987" s="87" t="str">
        <x:v>страница 1</x:v>
      </x:c>
      <x:c r="AB4987" s="87"/>
      <x:c r="AC4987" s="87" t="str">
        <x:v>VIS-EGKR-RUS-W25-TASK-952-P010</x:v>
      </x:c>
      <x:c r="AD4987" s="87" t="str">
        <x:v>VIS-EGKR-RUS-W25-KEY-ALL-P001</x:v>
      </x:c>
      <x:c r="AE4987" s="87" t="str">
        <x:v>TASK; KEY</x:v>
      </x:c>
      <x:c r="AF4987" s="87" t="str">
        <x:v>VIS-EGKR-RUS-W25-TASK-952-P010: 10; VIS-EGKR-RUS-W25-KEY-ALL-P001: 1</x:v>
      </x:c>
      <x:c r="AG4987" s="87" t="str">
        <x:v>RESOLVED</x:v>
      </x:c>
      <x:c r="AH4987" s="87" t="str">
        <x:v>CROP_VERIFIED</x:v>
      </x:c>
      <x:c r="AI4987" s="30"/>
      <x:c r="AJ4987" s="87" t="str">
        <x:v>clean</x:v>
      </x:c>
      <x:c r="AK4987" s="87" t="str">
        <x:v>clean-v0.10</x:v>
      </x:c>
      <x:c r="AL4987" s="87" t="str">
        <x:v>statgrad_clean_continuation_v0_10(1).xlsx</x:v>
      </x:c>
      <x:c r="AM4987" s="87" t="str">
        <x:v>RUS_EGKR_952</x:v>
      </x:c>
      <x:c r="AN4987" s="87" t="n">
        <x:v>20</x:v>
      </x:c>
    </x:row>
    <x:row r="4988">
      <x:c r="A4988" s="87" t="n">
        <x:v>4987</x:v>
      </x:c>
      <x:c r="B4988" s="87" t="str">
        <x:v>EGKR-W25-RUS-952-20</x:v>
      </x:c>
      <x:c r="C4988" s="87" t="str">
        <x:v>ЕГКР</x:v>
      </x:c>
      <x:c r="D4988" s="87"/>
      <x:c r="E4988" s="87" t="str">
        <x:v>Зима 2025</x:v>
      </x:c>
      <x:c r="F4988" s="87" t="str">
        <x:v>09.12.2025</x:v>
      </x:c>
      <x:c r="G4988" s="87" t="str">
        <x:v>Русский язык</x:v>
      </x:c>
      <x:c r="H4988" s="87" t="n">
        <x:v>11</x:v>
      </x:c>
      <x:c r="I4988" s="87"/>
      <x:c r="J4988" s="87" t="str">
        <x:v>952</x:v>
      </x:c>
      <x:c r="K4988" s="87" t="n">
        <x:v>20</x:v>
      </x:c>
      <x:c r="L4988" s="87" t="str">
        <x:v>Знаки препинания в сложном предложении</x:v>
      </x:c>
      <x:c r="M4988" s="30" t="str">
        <x:v>должна(-ы} стоять запятая(-ые). Прокофьев говорил (1) что писательство есть самое тяжёлое и заманчивое занятие в мире (2) и (3) что (4) если бы он не был геологом (5) то сделался бы писателем. Ответ: . | 2 Hafiaure предложения. в которых двоеточие ставится в соответствии с одним и тем же правилом пунктуации. Запишите номера этих предложений. (1)В Спасское-Лутовиново. где жил Тургенев. я присхал во второй половине ноября. (2)В парке стало совершенно безлюдно и тихо: мемориальный музей был уже закрыт. (3)В усадьбе уцелело многое: флигель, погреб. конюшня. каретный сарай. церковь, правда, без колокольни... (4)Мне приятно снять с полки первое издание писем Ивана Сергесвича и процитировать отрывок из его письма Я.П. Полонскому от 30 мая 1882 года: «Когда вы будете в Сиасском. поклонитесь от меня дому. саду. моему молодому дубу — родине поклонитесь, которую я уже. вероятно, не увижу». (5)Хватает за сердие от этих слов. полных любви и грусти. от этого обрашения к дубу. так сстественно ставшему образом далёкой родины. (6)Много раз я замечал: человеку для выражения любви к самому великому и необъятному нужна всего лишь точка приложения его чувств. (7)Что-то небольшое. вещественное. очень простос. (flo М. Антонову) Ответ: | &lt; 2525 &lt;75чУ 'Федесальный институт гедасстизесяих vavere-s7" WWWE'E RU Жсгирсвануие не допускается</x:v>
      </x:c>
      <x:c r="N4988" s="30" t="str">
        <x:v>13</x:v>
      </x:c>
      <x:c r="O4988" s="30" t="str">
        <x:v>Ответ перенесён из сводной таблицы и связан с исходным заданием.</x:v>
      </x:c>
      <x:c r="P4988" s="30"/>
      <x:c r="Q4988" s="30" t="str">
        <x:v>Ответ визуально сверён с таблицей ответов; условие привязано к исходной странице.</x:v>
      </x:c>
      <x:c r="R4988" s="30" t="str">
        <x:v>13</x:v>
      </x:c>
      <x:c r="S4988" s="30"/>
      <x:c r="T4988" s="30" t="str">
        <x:v>ОТВЕТЫ (2).docx</x:v>
      </x:c>
      <x:c r="U4988" s="30" t="str">
        <x:v>Расхождений с таблицей ответов не выявлено.</x:v>
      </x:c>
      <x:c r="V4988" s="87" t="str">
        <x:v>VERIFIED</x:v>
      </x:c>
      <x:c r="W4988" s="87"/>
      <x:c r="X4988" s="87"/>
      <x:c r="Y4988" s="87" t="n">
        <x:v>11</x:v>
      </x:c>
      <x:c r="Z4988" s="87" t="n">
        <x:v>11</x:v>
      </x:c>
      <x:c r="AA4988" s="87" t="str">
        <x:v>страница 1</x:v>
      </x:c>
      <x:c r="AB4988" s="87"/>
      <x:c r="AC4988" s="87" t="str">
        <x:v>VIS-EGKR-RUS-W25-TASK-952-P011</x:v>
      </x:c>
      <x:c r="AD4988" s="87" t="str">
        <x:v>VIS-EGKR-RUS-W25-KEY-ALL-P001</x:v>
      </x:c>
      <x:c r="AE4988" s="87" t="str">
        <x:v>TASK; KEY</x:v>
      </x:c>
      <x:c r="AF4988" s="87" t="str">
        <x:v>VIS-EGKR-RUS-W25-TASK-952-P011: 11; VIS-EGKR-RUS-W25-KEY-ALL-P001: 1</x:v>
      </x:c>
      <x:c r="AG4988" s="87" t="str">
        <x:v>RESOLVED</x:v>
      </x:c>
      <x:c r="AH4988" s="87" t="str">
        <x:v>CROP_VERIFIED</x:v>
      </x:c>
      <x:c r="AI4988" s="30"/>
      <x:c r="AJ4988" s="87" t="str">
        <x:v>clean</x:v>
      </x:c>
      <x:c r="AK4988" s="87" t="str">
        <x:v>clean-v0.10</x:v>
      </x:c>
      <x:c r="AL4988" s="87" t="str">
        <x:v>statgrad_clean_continuation_v0_10(1).xlsx</x:v>
      </x:c>
      <x:c r="AM4988" s="87" t="str">
        <x:v>RUS_EGKR_952</x:v>
      </x:c>
      <x:c r="AN4988" s="87" t="n">
        <x:v>21</x:v>
      </x:c>
    </x:row>
    <x:row r="4989">
      <x:c r="A4989" s="87" t="n">
        <x:v>4988</x:v>
      </x:c>
      <x:c r="B4989" s="87" t="str">
        <x:v>EGKR-W25-RUS-952-21</x:v>
      </x:c>
      <x:c r="C4989" s="87" t="str">
        <x:v>ЕГКР</x:v>
      </x:c>
      <x:c r="D4989" s="87"/>
      <x:c r="E4989" s="87" t="str">
        <x:v>Зима 2025</x:v>
      </x:c>
      <x:c r="F4989" s="87" t="str">
        <x:v>09.12.2025</x:v>
      </x:c>
      <x:c r="G4989" s="87" t="str">
        <x:v>Русский язык</x:v>
      </x:c>
      <x:c r="H4989" s="87" t="n">
        <x:v>11</x:v>
      </x:c>
      <x:c r="I4989" s="87"/>
      <x:c r="J4989" s="87" t="str">
        <x:v>952</x:v>
      </x:c>
      <x:c r="K4989" s="87" t="n">
        <x:v>21</x:v>
      </x:c>
      <x:c r="L4989" s="87" t="str">
        <x:v>Пунктуационный анализ</x:v>
      </x:c>
      <x:c r="M4989" s="30" t="str">
        <x:v>Задание №21. OCR-маркер не распознан; см. полную страницу источника. 20 о Укажите цифру(сы). на месте которой(-ых) должна(-ы} стоять запятая(-ые). Прокофьев говорил (1) что писательство есть самое тяжёлое и заманчивое занятие в мире (2) и (3) что (4) если бы он не был геологом (5) то сделался бы писателем. Ответ: . | 2 Hafiaure предложения. в которых двоеточие ставится в соответствии с одним и тем же правилом пунктуации. Запишите номера этих предложений. (1)В Спасское-Лутовиново. где жил Тургенев. я присхал во второй половине ноября. (2)В парке стало совершенно безлюдно и тихо: мемориальный музей был уже закрыт. (3)В усадьбе уцелело многое: флигель, погреб. конюшня. каретный сарай. церковь, правда, без колокольни... (4)Мне приятно снять с полки первое издание писем Ивана Сергесвича и процитировать отрывок из его письма Я.П. Полонскому от 30 мая 1882 года: «Когда вы будете в Сиасском. поклонитесь от меня дому. саду. моему молодому дубу — родине поклонитесь, которую я уже. вероятно, не увижу». (5)Хватает за сердие от этих слов. полных любви и грусти. от этого обрашения к дубу. так сстественно ставшему образом далёкой родины. (6)Много раз я замечал: человеку для выражения любви к самому великому и необъятному нужна всего лишь точка приложения его чувств. (7)Что-то небольшое. вещественное. очень простос. (flo М. Антонову) Ответ: | &lt; 2525 &lt;75чУ 'Федесальный институт гедасстизесяих vavere-s7" WWWE'E RU Жсгирсвануие не допускается</x:v>
      </x:c>
      <x:c r="N4989" s="30" t="str">
        <x:v>26</x:v>
      </x:c>
      <x:c r="O4989" s="30" t="str">
        <x:v>Ответ перенесён из сводной таблицы и связан с исходным заданием.</x:v>
      </x:c>
      <x:c r="P4989" s="30"/>
      <x:c r="Q4989" s="30" t="str">
        <x:v>Ответ визуально сверён с таблицей ответов; условие привязано к исходной странице.</x:v>
      </x:c>
      <x:c r="R4989" s="30" t="str">
        <x:v>26</x:v>
      </x:c>
      <x:c r="S4989" s="30"/>
      <x:c r="T4989" s="30" t="str">
        <x:v>ОТВЕТЫ (2).docx</x:v>
      </x:c>
      <x:c r="U4989" s="30" t="str">
        <x:v>Расхождений с таблицей ответов не выявлено.</x:v>
      </x:c>
      <x:c r="V4989" s="87" t="str">
        <x:v>VERIFIED</x:v>
      </x:c>
      <x:c r="W4989" s="87"/>
      <x:c r="X4989" s="87"/>
      <x:c r="Y4989" s="87" t="n">
        <x:v>11</x:v>
      </x:c>
      <x:c r="Z4989" s="87" t="n">
        <x:v>11</x:v>
      </x:c>
      <x:c r="AA4989" s="87" t="str">
        <x:v>страница 1</x:v>
      </x:c>
      <x:c r="AB4989" s="87"/>
      <x:c r="AC4989" s="87" t="str">
        <x:v>VIS-EGKR-RUS-W25-TASK-952-P011</x:v>
      </x:c>
      <x:c r="AD4989" s="87" t="str">
        <x:v>VIS-EGKR-RUS-W25-KEY-ALL-P001</x:v>
      </x:c>
      <x:c r="AE4989" s="87" t="str">
        <x:v>TASK; KEY</x:v>
      </x:c>
      <x:c r="AF4989" s="87" t="str">
        <x:v>VIS-EGKR-RUS-W25-TASK-952-P011: 11; VIS-EGKR-RUS-W25-KEY-ALL-P001: 1</x:v>
      </x:c>
      <x:c r="AG4989" s="87" t="str">
        <x:v>RESOLVED</x:v>
      </x:c>
      <x:c r="AH4989" s="87" t="str">
        <x:v>CROP_VERIFIED</x:v>
      </x:c>
      <x:c r="AI4989" s="30"/>
      <x:c r="AJ4989" s="87" t="str">
        <x:v>clean</x:v>
      </x:c>
      <x:c r="AK4989" s="87" t="str">
        <x:v>clean-v0.10</x:v>
      </x:c>
      <x:c r="AL4989" s="87" t="str">
        <x:v>statgrad_clean_continuation_v0_10(1).xlsx</x:v>
      </x:c>
      <x:c r="AM4989" s="87" t="str">
        <x:v>RUS_EGKR_952</x:v>
      </x:c>
      <x:c r="AN4989" s="87" t="n">
        <x:v>22</x:v>
      </x:c>
    </x:row>
    <x:row r="4990">
      <x:c r="A4990" s="87" t="n">
        <x:v>4989</x:v>
      </x:c>
      <x:c r="B4990" s="87" t="str">
        <x:v>EGKR-W25-RUS-952-22</x:v>
      </x:c>
      <x:c r="C4990" s="87" t="str">
        <x:v>ЕГКР</x:v>
      </x:c>
      <x:c r="D4990" s="87"/>
      <x:c r="E4990" s="87" t="str">
        <x:v>Зима 2025</x:v>
      </x:c>
      <x:c r="F4990" s="87" t="str">
        <x:v>09.12.2025</x:v>
      </x:c>
      <x:c r="G4990" s="87" t="str">
        <x:v>Русский язык</x:v>
      </x:c>
      <x:c r="H4990" s="87" t="n">
        <x:v>11</x:v>
      </x:c>
      <x:c r="I4990" s="87"/>
      <x:c r="J4990" s="87" t="str">
        <x:v>952</x:v>
      </x:c>
      <x:c r="K4990" s="87" t="n">
        <x:v>22</x:v>
      </x:c>
      <x:c r="L4990" s="87" t="str">
        <x:v>Средства выразительности</x:v>
      </x:c>
      <x:c r="M4990" s="30" t="str">
        <x:v>изобразительно-выразительных средств языка, которые употреблены в них: к каждой позиции первого столбца подберите соответствующую позицию из второго столбна. ПРЕДЛОЖЕНИЯ ИЗОБРАЗИТЕЛЬНО- ВЫРАЗИТЕЛЬНЫЕ СРЕДСТВА ЯЗЫКА А) А каждый читатель как тайна... 1) ассонанс (А.А. Ахматова) 2) инверсия Б) Мне хотелось бы понять, отчего я 3) антитеза титулярный советник? Почему 4) литота я именно яшеитулярный советник? 5) гипербола (По Н.В. Гоголю} 6) сравнение В) Догорает в руке моей тонкая жизни свеча, 7) парцелляция (К.В. Скворцов) 8) анафора Г} Вижу птичье ибрышко. Смятое. Тусклое и 9) эпифора до боли сиротливое. (По В.П. Астафьеву) Д) Я ведь только облачко. полное огня. Я ведь только облачко. Видите: плыву. (К.Д. Бальмонт) Запишите в таблицу выбранные цифры под соответствующими буквами. Alb В, Г.Д! Ответ: Е</x:v>
      </x:c>
      <x:c r="N4990" s="30" t="str">
        <x:v>69378</x:v>
      </x:c>
      <x:c r="O4990" s="30" t="str">
        <x:v>Ответ перенесён из сводной таблицы и связан с исходным заданием.</x:v>
      </x:c>
      <x:c r="P4990" s="30"/>
      <x:c r="Q4990" s="30" t="str">
        <x:v>Ответ визуально сверён с таблицей ответов; условие привязано к исходной странице.</x:v>
      </x:c>
      <x:c r="R4990" s="30" t="str">
        <x:v>69378</x:v>
      </x:c>
      <x:c r="S4990" s="30"/>
      <x:c r="T4990" s="30" t="str">
        <x:v>ОТВЕТЫ (2).docx</x:v>
      </x:c>
      <x:c r="U4990" s="30" t="str">
        <x:v>Расхождений с таблицей ответов не выявлено.</x:v>
      </x:c>
      <x:c r="V4990" s="87" t="str">
        <x:v>VERIFIED</x:v>
      </x:c>
      <x:c r="W4990" s="87"/>
      <x:c r="X4990" s="87"/>
      <x:c r="Y4990" s="87" t="n">
        <x:v>12</x:v>
      </x:c>
      <x:c r="Z4990" s="87" t="n">
        <x:v>12</x:v>
      </x:c>
      <x:c r="AA4990" s="87" t="str">
        <x:v>страница 1</x:v>
      </x:c>
      <x:c r="AB4990" s="87"/>
      <x:c r="AC4990" s="87" t="str">
        <x:v>VIS-EGKR-RUS-W25-TASK-952-P012</x:v>
      </x:c>
      <x:c r="AD4990" s="87" t="str">
        <x:v>VIS-EGKR-RUS-W25-KEY-ALL-P001</x:v>
      </x:c>
      <x:c r="AE4990" s="87" t="str">
        <x:v>TASK; KEY</x:v>
      </x:c>
      <x:c r="AF4990" s="87" t="str">
        <x:v>VIS-EGKR-RUS-W25-TASK-952-P012: 12; VIS-EGKR-RUS-W25-KEY-ALL-P001: 1</x:v>
      </x:c>
      <x:c r="AG4990" s="87" t="str">
        <x:v>RESOLVED</x:v>
      </x:c>
      <x:c r="AH4990" s="87" t="str">
        <x:v>CROP_VERIFIED</x:v>
      </x:c>
      <x:c r="AI4990" s="30"/>
      <x:c r="AJ4990" s="87" t="str">
        <x:v>clean</x:v>
      </x:c>
      <x:c r="AK4990" s="87" t="str">
        <x:v>clean-v0.10</x:v>
      </x:c>
      <x:c r="AL4990" s="87" t="str">
        <x:v>statgrad_clean_continuation_v0_10(1).xlsx</x:v>
      </x:c>
      <x:c r="AM4990" s="87" t="str">
        <x:v>RUS_EGKR_952</x:v>
      </x:c>
      <x:c r="AN4990" s="87" t="n">
        <x:v>23</x:v>
      </x:c>
    </x:row>
    <x:row r="4991">
      <x:c r="A4991" s="87" t="n">
        <x:v>4990</x:v>
      </x:c>
      <x:c r="B4991" s="87" t="str">
        <x:v>EGKR-W25-RUS-952-23</x:v>
      </x:c>
      <x:c r="C4991" s="87" t="str">
        <x:v>ЕГКР</x:v>
      </x:c>
      <x:c r="D4991" s="87"/>
      <x:c r="E4991" s="87" t="str">
        <x:v>Зима 2025</x:v>
      </x:c>
      <x:c r="F4991" s="87" t="str">
        <x:v>09.12.2025</x:v>
      </x:c>
      <x:c r="G4991" s="87" t="str">
        <x:v>Русский язык</x:v>
      </x:c>
      <x:c r="H4991" s="87" t="n">
        <x:v>11</x:v>
      </x:c>
      <x:c r="I4991" s="87"/>
      <x:c r="J4991" s="87" t="str">
        <x:v>952</x:v>
      </x:c>
      <x:c r="K4991" s="87" t="n">
        <x:v>23</x:v>
      </x:c>
      <x:c r="L4991" s="87" t="str">
        <x:v>Содержание исходного текста</x:v>
      </x:c>
      <x:c r="M4991" s="30" t="str">
        <x:v>Какие из высказываний не соответствуют содержанию текста? Укажите номера ответов. 1} События рассказа происходят на парохоле. 2) Рассказчик пришёл в библиотеку. потому что любил читать, и долго выбирал книгу. 3} Книга Максима Горького тронула рассказчика. так как он увидел сходство между сюжетом произведения и собственной ЖИЗНЬЮ, СВОИМ опытом. 4} Старатели заинтересовались книгой и попросили рассказчика почитать её вслух. 5) Произведение Максима Горького пробудило в слушателях чувство сострадания к ближнему. </x:v>
      </x:c>
      <x:c r="N4991" s="30" t="str">
        <x:v>24</x:v>
      </x:c>
      <x:c r="O4991" s="30" t="str">
        <x:v>Ответ перенесён из сводной таблицы и связан с исходным заданием.</x:v>
      </x:c>
      <x:c r="P4991" s="30"/>
      <x:c r="Q4991" s="30" t="str">
        <x:v>Ответ визуально сверён с таблицей ответов; условие привязано к исходной странице.</x:v>
      </x:c>
      <x:c r="R4991" s="30" t="str">
        <x:v>24</x:v>
      </x:c>
      <x:c r="S4991" s="30"/>
      <x:c r="T4991" s="30" t="str">
        <x:v>ОТВЕТЫ (2).docx</x:v>
      </x:c>
      <x:c r="U4991" s="30" t="str">
        <x:v>Расхождений с таблицей ответов не выявлено.</x:v>
      </x:c>
      <x:c r="V4991" s="87" t="str">
        <x:v>VERIFIED</x:v>
      </x:c>
      <x:c r="W4991" s="87"/>
      <x:c r="X4991" s="87"/>
      <x:c r="Y4991" s="87" t="n">
        <x:v>14</x:v>
      </x:c>
      <x:c r="Z4991" s="87" t="n">
        <x:v>14</x:v>
      </x:c>
      <x:c r="AA4991" s="87" t="str">
        <x:v>страница 1</x:v>
      </x:c>
      <x:c r="AB4991" s="87"/>
      <x:c r="AC4991" s="87" t="str">
        <x:v>VIS-EGKR-RUS-W25-TASK-952-P014</x:v>
      </x:c>
      <x:c r="AD4991" s="87" t="str">
        <x:v>VIS-EGKR-RUS-W25-KEY-ALL-P001</x:v>
      </x:c>
      <x:c r="AE4991" s="87" t="str">
        <x:v>TASK; KEY</x:v>
      </x:c>
      <x:c r="AF4991" s="87" t="str">
        <x:v>VIS-EGKR-RUS-W25-TASK-952-P014: 14; VIS-EGKR-RUS-W25-KEY-ALL-P001: 1</x:v>
      </x:c>
      <x:c r="AG4991" s="87" t="str">
        <x:v>RESOLVED</x:v>
      </x:c>
      <x:c r="AH4991" s="87" t="str">
        <x:v>CROP_VERIFIED</x:v>
      </x:c>
      <x:c r="AI4991" s="30"/>
      <x:c r="AJ4991" s="87" t="str">
        <x:v>clean</x:v>
      </x:c>
      <x:c r="AK4991" s="87" t="str">
        <x:v>clean-v0.10</x:v>
      </x:c>
      <x:c r="AL4991" s="87" t="str">
        <x:v>statgrad_clean_continuation_v0_10(1).xlsx</x:v>
      </x:c>
      <x:c r="AM4991" s="87" t="str">
        <x:v>RUS_EGKR_952</x:v>
      </x:c>
      <x:c r="AN4991" s="87" t="n">
        <x:v>24</x:v>
      </x:c>
    </x:row>
    <x:row r="4992">
      <x:c r="A4992" s="87" t="n">
        <x:v>4991</x:v>
      </x:c>
      <x:c r="B4992" s="87" t="str">
        <x:v>EGKR-W25-RUS-952-24</x:v>
      </x:c>
      <x:c r="C4992" s="87" t="str">
        <x:v>ЕГКР</x:v>
      </x:c>
      <x:c r="D4992" s="87"/>
      <x:c r="E4992" s="87" t="str">
        <x:v>Зима 2025</x:v>
      </x:c>
      <x:c r="F4992" s="87" t="str">
        <x:v>09.12.2025</x:v>
      </x:c>
      <x:c r="G4992" s="87" t="str">
        <x:v>Русский язык</x:v>
      </x:c>
      <x:c r="H4992" s="87" t="n">
        <x:v>11</x:v>
      </x:c>
      <x:c r="I4992" s="87"/>
      <x:c r="J4992" s="87" t="str">
        <x:v>952</x:v>
      </x:c>
      <x:c r="K4992" s="87" t="n">
        <x:v>24</x:v>
      </x:c>
      <x:c r="L4992" s="87" t="str">
        <x:v>Функционально-смысловые типы речи и логика текста</x:v>
      </x:c>
      <x:c r="M4992" s="30" t="str">
        <x:v>Какие из перечисленных утверждений являются верными? Укажите номера ответов. 1) Предложения 4, 5 поясняют содержание предложения 3. 2) В предложениях 7-10 содержатся элементы описания. 3) В предложениях 17-23 представлено повествованис. 4) Иредложение 42 содержит вывод</x:v>
      </x:c>
      <x:c r="N4992" s="30" t="str">
        <x:v>123</x:v>
      </x:c>
      <x:c r="O4992" s="30" t="str">
        <x:v>Ответ перенесён из сводной таблицы и связан с исходным заданием.</x:v>
      </x:c>
      <x:c r="P4992" s="30"/>
      <x:c r="Q4992" s="30" t="str">
        <x:v>Ответ визуально сверён с таблицей ответов; условие привязано к исходной странице.</x:v>
      </x:c>
      <x:c r="R4992" s="30" t="str">
        <x:v>123</x:v>
      </x:c>
      <x:c r="S4992" s="30"/>
      <x:c r="T4992" s="30" t="str">
        <x:v>ОТВЕТЫ (2).docx</x:v>
      </x:c>
      <x:c r="U4992" s="30" t="str">
        <x:v>Расхождений с таблицей ответов не выявлено.</x:v>
      </x:c>
      <x:c r="V4992" s="87" t="str">
        <x:v>VERIFIED</x:v>
      </x:c>
      <x:c r="W4992" s="87"/>
      <x:c r="X4992" s="87"/>
      <x:c r="Y4992" s="87" t="n">
        <x:v>15</x:v>
      </x:c>
      <x:c r="Z4992" s="87" t="n">
        <x:v>15</x:v>
      </x:c>
      <x:c r="AA4992" s="87" t="str">
        <x:v>страница 1</x:v>
      </x:c>
      <x:c r="AB4992" s="87"/>
      <x:c r="AC4992" s="87" t="str">
        <x:v>VIS-EGKR-RUS-W25-TASK-952-P015</x:v>
      </x:c>
      <x:c r="AD4992" s="87" t="str">
        <x:v>VIS-EGKR-RUS-W25-KEY-ALL-P001</x:v>
      </x:c>
      <x:c r="AE4992" s="87" t="str">
        <x:v>TASK; KEY</x:v>
      </x:c>
      <x:c r="AF4992" s="87" t="str">
        <x:v>VIS-EGKR-RUS-W25-TASK-952-P015: 15; VIS-EGKR-RUS-W25-KEY-ALL-P001: 1</x:v>
      </x:c>
      <x:c r="AG4992" s="87" t="str">
        <x:v>RESOLVED</x:v>
      </x:c>
      <x:c r="AH4992" s="87" t="str">
        <x:v>CROP_VERIFIED</x:v>
      </x:c>
      <x:c r="AI4992" s="30"/>
      <x:c r="AJ4992" s="87" t="str">
        <x:v>clean</x:v>
      </x:c>
      <x:c r="AK4992" s="87" t="str">
        <x:v>clean-v0.10</x:v>
      </x:c>
      <x:c r="AL4992" s="87" t="str">
        <x:v>statgrad_clean_continuation_v0_10(1).xlsx</x:v>
      </x:c>
      <x:c r="AM4992" s="87" t="str">
        <x:v>RUS_EGKR_952</x:v>
      </x:c>
      <x:c r="AN4992" s="87" t="n">
        <x:v>25</x:v>
      </x:c>
    </x:row>
    <x:row r="4993">
      <x:c r="A4993" s="87" t="n">
        <x:v>4992</x:v>
      </x:c>
      <x:c r="B4993" s="87" t="str">
        <x:v>EGKR-W25-RUS-952-25</x:v>
      </x:c>
      <x:c r="C4993" s="87" t="str">
        <x:v>ЕГКР</x:v>
      </x:c>
      <x:c r="D4993" s="87"/>
      <x:c r="E4993" s="87" t="str">
        <x:v>Зима 2025</x:v>
      </x:c>
      <x:c r="F4993" s="87" t="str">
        <x:v>09.12.2025</x:v>
      </x:c>
      <x:c r="G4993" s="87" t="str">
        <x:v>Русский язык</x:v>
      </x:c>
      <x:c r="H4993" s="87" t="n">
        <x:v>11</x:v>
      </x:c>
      <x:c r="I4993" s="87"/>
      <x:c r="J4993" s="87" t="str">
        <x:v>952</x:v>
      </x:c>
      <x:c r="K4993" s="87" t="n">
        <x:v>25</x:v>
      </x:c>
      <x:c r="L4993" s="87" t="str">
        <x:v>Лексические средства</x:v>
      </x:c>
      <x:c r="M4993" s="30" t="str">
        <x:v>из предложений 40, 41. 5) Ирелложение 44 противопоставлено по содержанию предложению 43. Ответ: . | 25 Из предложений 11-18 вынишите контекстные синонимы. </x:v>
      </x:c>
      <x:c r="N4993" s="30" t="str">
        <x:v>папаху, шапки</x:v>
      </x:c>
      <x:c r="O4993" s="30" t="str">
        <x:v>Ответ перенесён из сводной таблицы и связан с исходным заданием.</x:v>
      </x:c>
      <x:c r="P4993" s="30"/>
      <x:c r="Q4993" s="30" t="str">
        <x:v>Ответ визуально сверён с таблицей ответов; условие привязано к исходной странице.</x:v>
      </x:c>
      <x:c r="R4993" s="30" t="str">
        <x:v>папаху, шапки</x:v>
      </x:c>
      <x:c r="S4993" s="30"/>
      <x:c r="T4993" s="30" t="str">
        <x:v>ОТВЕТЫ (2).docx</x:v>
      </x:c>
      <x:c r="U4993" s="30" t="str">
        <x:v>Расхождений с таблицей ответов не выявлено.</x:v>
      </x:c>
      <x:c r="V4993" s="87" t="str">
        <x:v>VERIFIED</x:v>
      </x:c>
      <x:c r="W4993" s="87"/>
      <x:c r="X4993" s="87"/>
      <x:c r="Y4993" s="87" t="n">
        <x:v>15</x:v>
      </x:c>
      <x:c r="Z4993" s="87" t="n">
        <x:v>15</x:v>
      </x:c>
      <x:c r="AA4993" s="87" t="str">
        <x:v>страница 1</x:v>
      </x:c>
      <x:c r="AB4993" s="87"/>
      <x:c r="AC4993" s="87" t="str">
        <x:v>VIS-EGKR-RUS-W25-TASK-952-P015</x:v>
      </x:c>
      <x:c r="AD4993" s="87" t="str">
        <x:v>VIS-EGKR-RUS-W25-KEY-ALL-P001</x:v>
      </x:c>
      <x:c r="AE4993" s="87" t="str">
        <x:v>TASK; KEY</x:v>
      </x:c>
      <x:c r="AF4993" s="87" t="str">
        <x:v>VIS-EGKR-RUS-W25-TASK-952-P015: 15; VIS-EGKR-RUS-W25-KEY-ALL-P001: 1</x:v>
      </x:c>
      <x:c r="AG4993" s="87" t="str">
        <x:v>RESOLVED</x:v>
      </x:c>
      <x:c r="AH4993" s="87" t="str">
        <x:v>CROP_VERIFIED</x:v>
      </x:c>
      <x:c r="AI4993" s="30"/>
      <x:c r="AJ4993" s="87" t="str">
        <x:v>clean</x:v>
      </x:c>
      <x:c r="AK4993" s="87" t="str">
        <x:v>clean-v0.10</x:v>
      </x:c>
      <x:c r="AL4993" s="87" t="str">
        <x:v>statgrad_clean_continuation_v0_10(1).xlsx</x:v>
      </x:c>
      <x:c r="AM4993" s="87" t="str">
        <x:v>RUS_EGKR_952</x:v>
      </x:c>
      <x:c r="AN4993" s="87" t="n">
        <x:v>26</x:v>
      </x:c>
    </x:row>
    <x:row r="4994">
      <x:c r="A4994" s="87" t="n">
        <x:v>4993</x:v>
      </x:c>
      <x:c r="B4994" s="87" t="str">
        <x:v>EGKR-W25-RUS-952-26</x:v>
      </x:c>
      <x:c r="C4994" s="87" t="str">
        <x:v>ЕГКР</x:v>
      </x:c>
      <x:c r="D4994" s="87"/>
      <x:c r="E4994" s="87" t="str">
        <x:v>Зима 2025</x:v>
      </x:c>
      <x:c r="F4994" s="87" t="str">
        <x:v>09.12.2025</x:v>
      </x:c>
      <x:c r="G4994" s="87" t="str">
        <x:v>Русский язык</x:v>
      </x:c>
      <x:c r="H4994" s="87" t="n">
        <x:v>11</x:v>
      </x:c>
      <x:c r="I4994" s="87"/>
      <x:c r="J4994" s="87" t="str">
        <x:v>952</x:v>
      </x:c>
      <x:c r="K4994" s="87" t="n">
        <x:v>26</x:v>
      </x:c>
      <x:c r="L4994" s="87" t="str">
        <x:v>Средства связи предложений</x:v>
      </x:c>
      <x:c r="M4994" s="30" t="str">
        <x:v>26 ; Среди прелложений 21-30 найдите такос(-ие). которое(-ыс) связано(-ы) C предылущим при помощи противительного союза и притяжательного местоимения. Запишите HOMep(a) этого(-их) предложения(-ий). Ответ: . | Не забудьте перенести все ответы 6 бланк ответов № 1) | 6 соответствии с инструкцией по выполнению работы. ‚ Проверьте, чтобы камедый ответ был записан в строке с номером | | соответствующего задания. | $ 2525 Ф7БНУ "Федесальньй институт гедагстизесяих измерений ММА! E'S RU Чсгиссвачие не допускается</x:v>
      </x:c>
      <x:c r="N4994" s="30" t="str">
        <x:v>29</x:v>
      </x:c>
      <x:c r="O4994" s="30" t="str">
        <x:v>Ответ перенесён из сводной таблицы и связан с исходным заданием.</x:v>
      </x:c>
      <x:c r="P4994" s="30"/>
      <x:c r="Q4994" s="30" t="str">
        <x:v>Ответ визуально сверён с таблицей ответов; условие привязано к исходной странице.</x:v>
      </x:c>
      <x:c r="R4994" s="30" t="str">
        <x:v>29</x:v>
      </x:c>
      <x:c r="S4994" s="30"/>
      <x:c r="T4994" s="30" t="str">
        <x:v>ОТВЕТЫ (2).docx</x:v>
      </x:c>
      <x:c r="U4994" s="30" t="str">
        <x:v>Расхождений с таблицей ответов не выявлено.</x:v>
      </x:c>
      <x:c r="V4994" s="87" t="str">
        <x:v>VERIFIED</x:v>
      </x:c>
      <x:c r="W4994" s="87"/>
      <x:c r="X4994" s="87"/>
      <x:c r="Y4994" s="87" t="n">
        <x:v>15</x:v>
      </x:c>
      <x:c r="Z4994" s="87" t="n">
        <x:v>15</x:v>
      </x:c>
      <x:c r="AA4994" s="87" t="str">
        <x:v>страница 1</x:v>
      </x:c>
      <x:c r="AB4994" s="87"/>
      <x:c r="AC4994" s="87" t="str">
        <x:v>VIS-EGKR-RUS-W25-TASK-952-P015</x:v>
      </x:c>
      <x:c r="AD4994" s="87" t="str">
        <x:v>VIS-EGKR-RUS-W25-KEY-ALL-P001</x:v>
      </x:c>
      <x:c r="AE4994" s="87" t="str">
        <x:v>TASK; KEY</x:v>
      </x:c>
      <x:c r="AF4994" s="87" t="str">
        <x:v>VIS-EGKR-RUS-W25-TASK-952-P015: 15; VIS-EGKR-RUS-W25-KEY-ALL-P001: 1</x:v>
      </x:c>
      <x:c r="AG4994" s="87" t="str">
        <x:v>RESOLVED</x:v>
      </x:c>
      <x:c r="AH4994" s="87" t="str">
        <x:v>CROP_VERIFIED</x:v>
      </x:c>
      <x:c r="AI4994" s="30"/>
      <x:c r="AJ4994" s="87" t="str">
        <x:v>clean</x:v>
      </x:c>
      <x:c r="AK4994" s="87" t="str">
        <x:v>clean-v0.10</x:v>
      </x:c>
      <x:c r="AL4994" s="87" t="str">
        <x:v>statgrad_clean_continuation_v0_10(1).xlsx</x:v>
      </x:c>
      <x:c r="AM4994" s="87" t="str">
        <x:v>RUS_EGKR_952</x:v>
      </x:c>
      <x:c r="AN4994" s="87" t="n">
        <x:v>27</x:v>
      </x:c>
    </x:row>
    <x:row r="4995">
      <x:c r="A4995" s="87" t="n">
        <x:v>4994</x:v>
      </x:c>
      <x:c r="B4995" s="87" t="str">
        <x:v>EGKR-W25-RUS-952-27</x:v>
      </x:c>
      <x:c r="C4995" s="87" t="str">
        <x:v>ЕГКР</x:v>
      </x:c>
      <x:c r="D4995" s="87"/>
      <x:c r="E4995" s="87" t="str">
        <x:v>Зима 2025</x:v>
      </x:c>
      <x:c r="F4995" s="87" t="str">
        <x:v>09.12.2025</x:v>
      </x:c>
      <x:c r="G4995" s="87" t="str">
        <x:v>Русский язык</x:v>
      </x:c>
      <x:c r="H4995" s="87" t="n">
        <x:v>11</x:v>
      </x:c>
      <x:c r="I4995" s="87"/>
      <x:c r="J4995" s="87" t="str">
        <x:v>952</x:v>
      </x:c>
      <x:c r="K4995" s="87" t="n">
        <x:v>27</x:v>
      </x:c>
      <x:c r="L4995" s="87" t="str">
        <x:v>Сочинение-рассуждение</x:v>
      </x:c>
      <x:c r="M4995" s="30" t="str">
        <x:v>Напишите сочинение-рассужление по проблеме. поставленной в исхолном тексте: «Какое значение в жизни человека имеют книги?». Сформулируйте позицию автора (рассказчика) по указанной проблемс. Прокомментируйте. как в тексте раскрывается эта позиния. Включите в комментарий лна примера-иллюстрации из прочитанного текста. важные для понимания позиции автора (рассказчика). и поясните их. Укажите и поясните смысловую связь между приведёнными примерами-иллюстрапиями. Сформулируйте и обоснуйте своё отношение к позипии автора (рассказчика) по проблеме исхолного текста. Включите в обоснование пример-аргумент, опираясь па читательский. историко-кульгурный или жизненный опыт и не повторяя авторских сужлений. (Не учитываются примеры-аргументы. нсточииками которых являются комикс. аниме, манга, фанфик. графический роман. компьютерная игра иодругие подобные виды представления информации.) Объём сочинения — не менее 150 слов. Работа. написанная без опоры на прочитанный текст (не HO данному тексту). не оценивается. Если сочинение представляет собой полностью переписанный или псресказанный исходный текст без каких бы то ни было комментариев. го такая работа оненивается 0 баллов. Сочинение пишите аккуратно и разборчиво. соблюдая нормы современного русского литературного языка.</x:v>
      </x:c>
      <x:c r="N4995" s="30" t="str">
        <x:v>Проблема значения книг в человеческой жизни является одной из ключевых в предложенном тексте. Автор размышляет о том, какую роль может сыграть литература в самую трудную, переломную минуту, способна ли она изменить судьбу человека.
Позиция рассказчика ясна и убедительна: книга для него — не просто источник знаний или развлечение, а спасительный якорь, дающий духовную опору и способный кардинально изменить жизненные обстоятельства. В экстремальной ситуации книга становится эквивалентом хлеба, пропуском в сообщество людей и, в конечном счёте, — путёвкой в жизнь.
Автор раскрывает эту позицию через два ярких примера-иллюстрации. Во-первых, книга Горького становится для юного героя личным откровением и духовной поддержкой. Читая её в библиотеке, он «заливаясь слезами», находит в судьбе Алексея Пешкова параллели со своей «страшной» жизнью. Это не просто чтение, а момент катарсиса и самоидентификации: «И я, и я прошёл через это…». Книга даёт ему понимание, что он не одинок в своих страданиях. Во-вторых, та же книга выступает как социальный инструмент, «валюта» доверия. Герой предлагает изголодавшимся старателям не деньги (их у него нет), а чтение вслух. Искренний, прочувствованный рассказ о чужой трудной судьбе пробуждает в суровых людях сострадание. Книга становится мостом между одиноким юношей и чужими людьми, она заменяет рекомендательное письмо и обеспечивает ему еду, дружбу и работу.
Смысловая связь между этими примерами глубока и логична. Они демонстрируют двуединую силу настоящей литературы: сначала она исцеляет душу самого читателя, давая ему силы, а затем, через это внутреннее преображение, меняет реальность вокруг него, помогая найти взаимопонимание с миром. Личный духовный опыт, полученный от книги, герой конвертирует в социальное действие, которое спасает ему жизнь.
Я полностью согласен с позицией автора. Книги действительно обладают силой менять судьбы, особенно в моменты кризиса. Историческим подтверждением этого служит опыт блокадного Ленинграда. В условиях невыносимых страданий, холода и голода люди не только боролись за физическое выживание, но и, вопреки всему, сохраняли библиотеки, читали лекции в осаждённом городе. Книги Шекспира, Толстого, поэзия становились для них не роскошью, а жизненной необходимостью — глотком воздуха, напоминанием о человечности и смысле, который помогал выстоять. Это доказывает, что литература — такой же стратегический ресурс для выживания духа, как хлеб — для выживания тела.
Таким образом, книга в тексте предстаёт не как пассивный предмет, а как активная сила: врачеватель души, учитель и дипломат. Она способна накормить голодное сердце и, как это ни парадоксально, обеспечить кусок хлеба в обмен на ту мудрость и сопереживание, которые в ней заключены.</x:v>
      </x:c>
      <x:c r="O4995" s="30" t="str">
        <x:v>Модель развёрнутого ответа.</x:v>
      </x:c>
      <x:c r="P4995" s="30"/>
      <x:c r="Q4995" s="30" t="str">
        <x:v>Проверены формулировка проблемы, позиция автора, два примера, связь и аргументация.</x:v>
      </x:c>
      <x:c r="R4995" s="30" t="str">
        <x:v>Сочинение вариант 952.docx</x:v>
      </x:c>
      <x:c r="S4995" s="30"/>
      <x:c r="T4995" s="30" t="str">
        <x:v>Сочинение вариант 952.docx</x:v>
      </x:c>
      <x:c r="U4995" s="30" t="str">
        <x:v>Модель соответствует проблеме задания 27 и структуре сочинения ЕГЭ.</x:v>
      </x:c>
      <x:c r="V4995" s="87" t="str">
        <x:v>VERIFIED</x:v>
      </x:c>
      <x:c r="W4995" s="87"/>
      <x:c r="X4995" s="87"/>
      <x:c r="Y4995" s="87" t="n">
        <x:v>16</x:v>
      </x:c>
      <x:c r="Z4995" s="87" t="n">
        <x:v>16</x:v>
      </x:c>
      <x:c r="AA4995" s="87" t="str">
        <x:v>модель сочинения</x:v>
      </x:c>
      <x:c r="AB4995" s="87"/>
      <x:c r="AC4995" s="87" t="str">
        <x:v>VIS-EGKR-RUS-W25-TASK-952-P016</x:v>
      </x:c>
      <x:c r="AD4995" s="87" t="str">
        <x:v>VIS-EGKR-RUS-W25-MODEL-952-P001</x:v>
      </x:c>
      <x:c r="AE4995" s="87" t="str">
        <x:v>TASK; MODEL</x:v>
      </x:c>
      <x:c r="AF4995" s="87" t="str">
        <x:v>VIS-EGKR-RUS-W25-TASK-952-P016: 16; VIS-EGKR-RUS-W25-MODEL-952-P001: 1</x:v>
      </x:c>
      <x:c r="AG4995" s="87" t="str">
        <x:v>RESOLVED</x:v>
      </x:c>
      <x:c r="AH4995" s="87" t="str">
        <x:v>CROP_VERIFIED; TASK_CROP_NO_CROP_NEEDED</x:v>
      </x:c>
      <x:c r="AI4995" s="30"/>
      <x:c r="AJ4995" s="87" t="str">
        <x:v>clean</x:v>
      </x:c>
      <x:c r="AK4995" s="87" t="str">
        <x:v>clean-v0.10</x:v>
      </x:c>
      <x:c r="AL4995" s="87" t="str">
        <x:v>statgrad_clean_continuation_v0_10(1).xlsx</x:v>
      </x:c>
      <x:c r="AM4995" s="87" t="str">
        <x:v>RUS_EGKR_952</x:v>
      </x:c>
      <x:c r="AN4995" s="87" t="n">
        <x:v>28</x:v>
      </x:c>
    </x:row>
    <x:row r="4996">
      <x:c r="A4996" s="87" t="n">
        <x:v>4995</x:v>
      </x:c>
      <x:c r="B4996" s="87" t="str">
        <x:v>EGKR-W25-RUS-953-01</x:v>
      </x:c>
      <x:c r="C4996" s="87" t="str">
        <x:v>ЕГКР</x:v>
      </x:c>
      <x:c r="D4996" s="87"/>
      <x:c r="E4996" s="87" t="str">
        <x:v>Зима 2025</x:v>
      </x:c>
      <x:c r="F4996" s="87" t="str">
        <x:v>09.12.2025</x:v>
      </x:c>
      <x:c r="G4996" s="87" t="str">
        <x:v>Русский язык</x:v>
      </x:c>
      <x:c r="H4996" s="87" t="n">
        <x:v>11</x:v>
      </x:c>
      <x:c r="I4996" s="87"/>
      <x:c r="J4996" s="87" t="str">
        <x:v>953</x:v>
      </x:c>
      <x:c r="K4996" s="87" t="n">
        <x:v>1</x:v>
      </x:c>
      <x:c r="L4996" s="87" t="str">
        <x:v>Связность текста: средство связи</x:v>
      </x:c>
      <x:c r="M4996" s="30" t="str">
        <x:v>Самостоятельно подберите предлог. который должен стоять на месте пропуска в последнем абзаце текста. Запишите этот предлог. Ответ: | 2</x:v>
      </x:c>
      <x:c r="N4996" s="30" t="str">
        <x:v>между</x:v>
      </x:c>
      <x:c r="O4996" s="30" t="str">
        <x:v>Ответ перенесён из сводной таблицы и связан с исходным заданием.</x:v>
      </x:c>
      <x:c r="P4996" s="30"/>
      <x:c r="Q4996" s="30" t="str">
        <x:v>Ответ визуально сверён с таблицей ответов; условие привязано к исходной странице.</x:v>
      </x:c>
      <x:c r="R4996" s="30" t="str">
        <x:v>между</x:v>
      </x:c>
      <x:c r="S4996" s="30"/>
      <x:c r="T4996" s="30" t="str">
        <x:v>ОТВЕТЫ (2).docx</x:v>
      </x:c>
      <x:c r="U4996" s="30" t="str">
        <x:v>Расхождений с таблицей ответов не выявлено.</x:v>
      </x:c>
      <x:c r="V4996" s="87" t="str">
        <x:v>VERIFIED</x:v>
      </x:c>
      <x:c r="W4996" s="87"/>
      <x:c r="X4996" s="87"/>
      <x:c r="Y4996" s="87" t="n">
        <x:v>3</x:v>
      </x:c>
      <x:c r="Z4996" s="87" t="n">
        <x:v>3</x:v>
      </x:c>
      <x:c r="AA4996" s="87" t="str">
        <x:v>страница 1</x:v>
      </x:c>
      <x:c r="AB4996" s="87"/>
      <x:c r="AC4996" s="87" t="str">
        <x:v>VIS-EGKR-RUS-W25-TASK-953-P003</x:v>
      </x:c>
      <x:c r="AD4996" s="87" t="str">
        <x:v>VIS-EGKR-RUS-W25-KEY-ALL-P001</x:v>
      </x:c>
      <x:c r="AE4996" s="87" t="str">
        <x:v>TASK; KEY</x:v>
      </x:c>
      <x:c r="AF4996" s="87" t="str">
        <x:v>VIS-EGKR-RUS-W25-TASK-953-P003: 3; VIS-EGKR-RUS-W25-KEY-ALL-P001: 1</x:v>
      </x:c>
      <x:c r="AG4996" s="87" t="str">
        <x:v>RESOLVED</x:v>
      </x:c>
      <x:c r="AH4996" s="87" t="str">
        <x:v>CROP_VERIFIED</x:v>
      </x:c>
      <x:c r="AI4996" s="30"/>
      <x:c r="AJ4996" s="87" t="str">
        <x:v>clean</x:v>
      </x:c>
      <x:c r="AK4996" s="87" t="str">
        <x:v>clean-v0.10</x:v>
      </x:c>
      <x:c r="AL4996" s="87" t="str">
        <x:v>statgrad_clean_continuation_v0_10(1).xlsx</x:v>
      </x:c>
      <x:c r="AM4996" s="87" t="str">
        <x:v>RUS_EGKR_953</x:v>
      </x:c>
      <x:c r="AN4996" s="87" t="n">
        <x:v>2</x:v>
      </x:c>
    </x:row>
    <x:row r="4997">
      <x:c r="A4997" s="87" t="n">
        <x:v>4996</x:v>
      </x:c>
      <x:c r="B4997" s="87" t="str">
        <x:v>EGKR-W25-RUS-953-02</x:v>
      </x:c>
      <x:c r="C4997" s="87" t="str">
        <x:v>ЕГКР</x:v>
      </x:c>
      <x:c r="D4997" s="87"/>
      <x:c r="E4997" s="87" t="str">
        <x:v>Зима 2025</x:v>
      </x:c>
      <x:c r="F4997" s="87" t="str">
        <x:v>09.12.2025</x:v>
      </x:c>
      <x:c r="G4997" s="87" t="str">
        <x:v>Русский язык</x:v>
      </x:c>
      <x:c r="H4997" s="87" t="n">
        <x:v>11</x:v>
      </x:c>
      <x:c r="I4997" s="87"/>
      <x:c r="J4997" s="87" t="str">
        <x:v>953</x:v>
      </x:c>
      <x:c r="K4997" s="87" t="n">
        <x:v>2</x:v>
      </x:c>
      <x:c r="L4997" s="87" t="str">
        <x:v>Лексическое значение слова</x:v>
      </x:c>
      <x:c r="M4997" s="30" t="str">
        <x:v>В тексте выделено пять слов. Укажите варианты ответов. в которых лексическое значение выделенного слова соответствует его значению в ланном тексте. Запишите номера ответов. {) ПРОНИКНУТЬ. во что. Вдумавшись. вникнув. понять суть чего-либо. разобраться в чём-либо. Ироникнуть в суть явления. Проникнуть в тайны природы. Проникнуть мыслью, умом в психологию читателей. 2) СЧИТАТЬ. Расценивать. воспринимать каким-либо образом. Считать кого-либо счастливым. Считать кого-либо ненормальным. фантазёром. ндеалистом. Считать кого-либо образцом, примером для подражания. 3) ГИБКИИ. Подходящий для различных условий. обстоятельств и т.п.. меняющийся в зависимости от чего-либо. Гибкий план. Гибкая система учёта. 4) ВНЕШНИЙ. Находящийся. расположенный вне. за пределами чего-либо: действующий извне: наружный (противоположное: внутренний). Внешияя среда. Внешняя охрана. Внешний слой почвы. С внешней стороны. 5) ОТКРЫТЫЙ. только полное. Доступный для посторонних. для всех. Открытый судебный процесс. Лекции были открытыми. ОВС © 2525 СТЕНУ ‘бедесальный институт гера"стуческих изуесе-/7" ЗАЛИЛ =" RU Кописсвануе не допускается</x:v>
      </x:c>
      <x:c r="N4997" s="30" t="str">
        <x:v>234</x:v>
      </x:c>
      <x:c r="O4997" s="30" t="str">
        <x:v>Ответ перенесён из сводной таблицы и связан с исходным заданием.</x:v>
      </x:c>
      <x:c r="P4997" s="30"/>
      <x:c r="Q4997" s="30" t="str">
        <x:v>Ответ визуально сверён с таблицей ответов; условие привязано к исходной странице.</x:v>
      </x:c>
      <x:c r="R4997" s="30" t="str">
        <x:v>234</x:v>
      </x:c>
      <x:c r="S4997" s="30"/>
      <x:c r="T4997" s="30" t="str">
        <x:v>ОТВЕТЫ (2).docx</x:v>
      </x:c>
      <x:c r="U4997" s="30" t="str">
        <x:v>Расхождений с таблицей ответов не выявлено.</x:v>
      </x:c>
      <x:c r="V4997" s="87" t="str">
        <x:v>VERIFIED</x:v>
      </x:c>
      <x:c r="W4997" s="87"/>
      <x:c r="X4997" s="87"/>
      <x:c r="Y4997" s="87" t="n">
        <x:v>3</x:v>
      </x:c>
      <x:c r="Z4997" s="87" t="n">
        <x:v>3</x:v>
      </x:c>
      <x:c r="AA4997" s="87" t="str">
        <x:v>страница 1</x:v>
      </x:c>
      <x:c r="AB4997" s="87"/>
      <x:c r="AC4997" s="87" t="str">
        <x:v>VIS-EGKR-RUS-W25-TASK-953-P003</x:v>
      </x:c>
      <x:c r="AD4997" s="87" t="str">
        <x:v>VIS-EGKR-RUS-W25-KEY-ALL-P001</x:v>
      </x:c>
      <x:c r="AE4997" s="87" t="str">
        <x:v>TASK; KEY</x:v>
      </x:c>
      <x:c r="AF4997" s="87" t="str">
        <x:v>VIS-EGKR-RUS-W25-TASK-953-P003: 3; VIS-EGKR-RUS-W25-KEY-ALL-P001: 1</x:v>
      </x:c>
      <x:c r="AG4997" s="87" t="str">
        <x:v>RESOLVED</x:v>
      </x:c>
      <x:c r="AH4997" s="87" t="str">
        <x:v>CROP_VERIFIED</x:v>
      </x:c>
      <x:c r="AI4997" s="30"/>
      <x:c r="AJ4997" s="87" t="str">
        <x:v>clean</x:v>
      </x:c>
      <x:c r="AK4997" s="87" t="str">
        <x:v>clean-v0.10</x:v>
      </x:c>
      <x:c r="AL4997" s="87" t="str">
        <x:v>statgrad_clean_continuation_v0_10(1).xlsx</x:v>
      </x:c>
      <x:c r="AM4997" s="87" t="str">
        <x:v>RUS_EGKR_953</x:v>
      </x:c>
      <x:c r="AN4997" s="87" t="n">
        <x:v>3</x:v>
      </x:c>
    </x:row>
    <x:row r="4998">
      <x:c r="A4998" s="87" t="n">
        <x:v>4997</x:v>
      </x:c>
      <x:c r="B4998" s="87" t="str">
        <x:v>EGKR-W25-RUS-953-03</x:v>
      </x:c>
      <x:c r="C4998" s="87" t="str">
        <x:v>ЕГКР</x:v>
      </x:c>
      <x:c r="D4998" s="87"/>
      <x:c r="E4998" s="87" t="str">
        <x:v>Зима 2025</x:v>
      </x:c>
      <x:c r="F4998" s="87" t="str">
        <x:v>09.12.2025</x:v>
      </x:c>
      <x:c r="G4998" s="87" t="str">
        <x:v>Русский язык</x:v>
      </x:c>
      <x:c r="H4998" s="87" t="n">
        <x:v>11</x:v>
      </x:c>
      <x:c r="I4998" s="87"/>
      <x:c r="J4998" s="87" t="str">
        <x:v>953</x:v>
      </x:c>
      <x:c r="K4998" s="87" t="n">
        <x:v>3</x:v>
      </x:c>
      <x:c r="L4998" s="87" t="str">
        <x:v>Стилистический и языковой анализ текста</x:v>
      </x:c>
      <x:c r="M4998" s="30" t="str">
        <x:v>верные характеристики текста. Запишите номера ответов. 1) Текст написан в официально-деловом стиле: в нём излагаются инструкции по использованию искусственного интеллекта в учебном пронессе. 2) Противопоставление содержания второго (2) и третьего (3) абзацев тскста выражено с помощью союза однако. 3) В тексте используются отвлечённая лексика (мнение. вероятность. оптимизм). олглагольные имена сушествительные (мотивация. мышление. развитие). что подчёркивает стремление людей осмыслить новые реалии жизни, 4) Особенностью синтаксиса данного текста является употребление односоставных (безличных} предложений. придающих изложению большую объективность. 5) Использованные в тексте эпитеты («персонализированные учебные платформы». «нерешённых ироблем». «к неверным выводам») показывают личное отношение автора к описываемой проблеме. </x:v>
      </x:c>
      <x:c r="N4998" s="30" t="str">
        <x:v>2</x:v>
      </x:c>
      <x:c r="O4998" s="30" t="str">
        <x:v>Ответ перенесён из сводной таблицы и связан с исходным заданием.</x:v>
      </x:c>
      <x:c r="P4998" s="30"/>
      <x:c r="Q4998" s="30" t="str">
        <x:v>Ответ визуально сверён с таблицей ответов; условие привязано к исходной странице.</x:v>
      </x:c>
      <x:c r="R4998" s="30" t="str">
        <x:v>2</x:v>
      </x:c>
      <x:c r="S4998" s="30"/>
      <x:c r="T4998" s="30" t="str">
        <x:v>ОТВЕТЫ (2).docx</x:v>
      </x:c>
      <x:c r="U4998" s="30" t="str">
        <x:v>Расхождений с таблицей ответов не выявлено.</x:v>
      </x:c>
      <x:c r="V4998" s="87" t="str">
        <x:v>VERIFIED</x:v>
      </x:c>
      <x:c r="W4998" s="87"/>
      <x:c r="X4998" s="87"/>
      <x:c r="Y4998" s="87" t="n">
        <x:v>4</x:v>
      </x:c>
      <x:c r="Z4998" s="87" t="n">
        <x:v>4</x:v>
      </x:c>
      <x:c r="AA4998" s="87" t="str">
        <x:v>страница 1</x:v>
      </x:c>
      <x:c r="AB4998" s="87"/>
      <x:c r="AC4998" s="87" t="str">
        <x:v>VIS-EGKR-RUS-W25-TASK-953-P004</x:v>
      </x:c>
      <x:c r="AD4998" s="87" t="str">
        <x:v>VIS-EGKR-RUS-W25-KEY-ALL-P001</x:v>
      </x:c>
      <x:c r="AE4998" s="87" t="str">
        <x:v>TASK; KEY</x:v>
      </x:c>
      <x:c r="AF4998" s="87" t="str">
        <x:v>VIS-EGKR-RUS-W25-TASK-953-P004: 4; VIS-EGKR-RUS-W25-KEY-ALL-P001: 1</x:v>
      </x:c>
      <x:c r="AG4998" s="87" t="str">
        <x:v>RESOLVED</x:v>
      </x:c>
      <x:c r="AH4998" s="87" t="str">
        <x:v>CROP_VERIFIED</x:v>
      </x:c>
      <x:c r="AI4998" s="30"/>
      <x:c r="AJ4998" s="87" t="str">
        <x:v>clean</x:v>
      </x:c>
      <x:c r="AK4998" s="87" t="str">
        <x:v>clean-v0.10</x:v>
      </x:c>
      <x:c r="AL4998" s="87" t="str">
        <x:v>statgrad_clean_continuation_v0_10(1).xlsx</x:v>
      </x:c>
      <x:c r="AM4998" s="87" t="str">
        <x:v>RUS_EGKR_953</x:v>
      </x:c>
      <x:c r="AN4998" s="87" t="n">
        <x:v>4</x:v>
      </x:c>
    </x:row>
    <x:row r="4999">
      <x:c r="A4999" s="87" t="n">
        <x:v>4998</x:v>
      </x:c>
      <x:c r="B4999" s="87" t="str">
        <x:v>EGKR-W25-RUS-953-04</x:v>
      </x:c>
      <x:c r="C4999" s="87" t="str">
        <x:v>ЕГКР</x:v>
      </x:c>
      <x:c r="D4999" s="87"/>
      <x:c r="E4999" s="87" t="str">
        <x:v>Зима 2025</x:v>
      </x:c>
      <x:c r="F4999" s="87" t="str">
        <x:v>09.12.2025</x:v>
      </x:c>
      <x:c r="G4999" s="87" t="str">
        <x:v>Русский язык</x:v>
      </x:c>
      <x:c r="H4999" s="87" t="n">
        <x:v>11</x:v>
      </x:c>
      <x:c r="I4999" s="87"/>
      <x:c r="J4999" s="87" t="str">
        <x:v>953</x:v>
      </x:c>
      <x:c r="K4999" s="87" t="n">
        <x:v>4</x:v>
      </x:c>
      <x:c r="L4999" s="87" t="str">
        <x:v>Орфоэпические нормы</x:v>
      </x:c>
      <x:c r="M4999" s="30" t="str">
        <x:v>| 4 Укажите варианты ответов. в которых верно вылелена буква. обозначающая ударный гласный звук. Запишите номера ответов. 1) подЕденный 2) шАрфы 3} кУхонный 4) кровотОчить 5} задОлго </x:v>
      </x:c>
      <x:c r="N4999" s="30" t="str">
        <x:v>1235</x:v>
      </x:c>
      <x:c r="O4999" s="30" t="str">
        <x:v>Ответ восстановлен независимо из-за пропуска в ключе.</x:v>
      </x:c>
      <x:c r="P4999" s="30"/>
      <x:c r="Q4999" s="30" t="str">
        <x:v>Независимое решение по условию и нормам русского языка.</x:v>
      </x:c>
      <x:c r="R4999" s="30" t="str">
        <x:v>1235</x:v>
      </x:c>
      <x:c r="S4999" s="30"/>
      <x:c r="T4999" s="30" t="str">
        <x:v>Независимое восстановление по условию</x:v>
      </x:c>
      <x:c r="U4999" s="30" t="str">
        <x:v>ОТВЕТЫ (2).docx пропускает №4; восстановлено по орфоэпическим нормам.</x:v>
      </x:c>
      <x:c r="V4999" s="87" t="str">
        <x:v>VERIFIED</x:v>
      </x:c>
      <x:c r="W4999" s="87"/>
      <x:c r="X4999" s="87"/>
      <x:c r="Y4999" s="87" t="n">
        <x:v>4</x:v>
      </x:c>
      <x:c r="Z4999" s="87" t="n">
        <x:v>4</x:v>
      </x:c>
      <x:c r="AA4999" s="87" t="str">
        <x:v>восстановлено</x:v>
      </x:c>
      <x:c r="AB4999" s="87"/>
      <x:c r="AC4999" s="87" t="str">
        <x:v>VIS-EGKR-RUS-W25-TASK-953-P004</x:v>
      </x:c>
      <x:c r="AD4999" s="87" t="str">
        <x:v>VIS-EGKR-RUS-W25-KEY-ALL-P001</x:v>
      </x:c>
      <x:c r="AE4999" s="87" t="str">
        <x:v>TASK; KEY</x:v>
      </x:c>
      <x:c r="AF4999" s="87" t="str">
        <x:v>VIS-EGKR-RUS-W25-TASK-953-P004: 4; VIS-EGKR-RUS-W25-KEY-ALL-P001: 1</x:v>
      </x:c>
      <x:c r="AG4999" s="87" t="str">
        <x:v>RESOLVED</x:v>
      </x:c>
      <x:c r="AH4999" s="87" t="str">
        <x:v>CROP_VERIFIED</x:v>
      </x:c>
      <x:c r="AI4999" s="30"/>
      <x:c r="AJ4999" s="87" t="str">
        <x:v>clean</x:v>
      </x:c>
      <x:c r="AK4999" s="87" t="str">
        <x:v>clean-v0.10</x:v>
      </x:c>
      <x:c r="AL4999" s="87" t="str">
        <x:v>statgrad_clean_continuation_v0_10(1).xlsx</x:v>
      </x:c>
      <x:c r="AM4999" s="87" t="str">
        <x:v>RUS_EGKR_953</x:v>
      </x:c>
      <x:c r="AN4999" s="87" t="n">
        <x:v>5</x:v>
      </x:c>
    </x:row>
    <x:row r="5000">
      <x:c r="A5000" s="87" t="n">
        <x:v>4999</x:v>
      </x:c>
      <x:c r="B5000" s="87" t="str">
        <x:v>EGKR-W25-RUS-953-05</x:v>
      </x:c>
      <x:c r="C5000" s="87" t="str">
        <x:v>ЕГКР</x:v>
      </x:c>
      <x:c r="D5000" s="87"/>
      <x:c r="E5000" s="87" t="str">
        <x:v>Зима 2025</x:v>
      </x:c>
      <x:c r="F5000" s="87" t="str">
        <x:v>09.12.2025</x:v>
      </x:c>
      <x:c r="G5000" s="87" t="str">
        <x:v>Русский язык</x:v>
      </x:c>
      <x:c r="H5000" s="87" t="n">
        <x:v>11</x:v>
      </x:c>
      <x:c r="I5000" s="87"/>
      <x:c r="J5000" s="87" t="str">
        <x:v>953</x:v>
      </x:c>
      <x:c r="K5000" s="87" t="n">
        <x:v>5</x:v>
      </x:c>
      <x:c r="L5000" s="87" t="str">
        <x:v>Паронимы и лексическая сочетаемость</x:v>
      </x:c>
      <x:c r="M5000" s="30" t="str">
        <x:v>НЕВЕРНО употреблено выделенное слово. Исправьте лексическую ошибку. подобрав к выделенному слову пароним. Запишите подобранное слово. соблюдая нормы современного русского литературного языка. Ириятным сюрпризом для всех стал огромный торт. увенчанный ИСКУСНОЙ моделью космического корабля. сделанной из белого шоколада. Надо вырабатывать навыки ДИПЛОМАТИЧНОГО поведения. В брошюре содержатся рекомендации. как ЭФФЕКТНО защитить дом от солнца. Поэт К.Д. Бальмонт сам ВОСПОЛНИЛ недостающее образование и, освоив шестнадцать языков. начал заниматься переводами, Организаторами в рамках конкурса иредусмотрена также номинация «Приз ЗРИТЕЛЬСКИХ симнатий». Ответ: . | 6</x:v>
      </x:c>
      <x:c r="N5000" s="30" t="str">
        <x:v>эффективно</x:v>
      </x:c>
      <x:c r="O5000" s="30" t="str">
        <x:v>Ответ перенесён из сводной таблицы и связан с исходным заданием.</x:v>
      </x:c>
      <x:c r="P5000" s="30"/>
      <x:c r="Q5000" s="30" t="str">
        <x:v>Ответ визуально сверён с таблицей ответов; условие привязано к исходной странице.</x:v>
      </x:c>
      <x:c r="R5000" s="30" t="str">
        <x:v>эффективно</x:v>
      </x:c>
      <x:c r="S5000" s="30"/>
      <x:c r="T5000" s="30" t="str">
        <x:v>ОТВЕТЫ (2).docx</x:v>
      </x:c>
      <x:c r="U5000" s="30" t="str">
        <x:v>Расхождений с таблицей ответов не выявлено.</x:v>
      </x:c>
      <x:c r="V5000" s="87" t="str">
        <x:v>VERIFIED</x:v>
      </x:c>
      <x:c r="W5000" s="87"/>
      <x:c r="X5000" s="87"/>
      <x:c r="Y5000" s="87" t="n">
        <x:v>5</x:v>
      </x:c>
      <x:c r="Z5000" s="87" t="n">
        <x:v>5</x:v>
      </x:c>
      <x:c r="AA5000" s="87" t="str">
        <x:v>страница 1</x:v>
      </x:c>
      <x:c r="AB5000" s="87"/>
      <x:c r="AC5000" s="87" t="str">
        <x:v>VIS-EGKR-RUS-W25-TASK-953-P005</x:v>
      </x:c>
      <x:c r="AD5000" s="87" t="str">
        <x:v>VIS-EGKR-RUS-W25-KEY-ALL-P001</x:v>
      </x:c>
      <x:c r="AE5000" s="87" t="str">
        <x:v>TASK; KEY</x:v>
      </x:c>
      <x:c r="AF5000" s="87" t="str">
        <x:v>VIS-EGKR-RUS-W25-TASK-953-P005: 5; VIS-EGKR-RUS-W25-KEY-ALL-P001: 1</x:v>
      </x:c>
      <x:c r="AG5000" s="87" t="str">
        <x:v>RESOLVED</x:v>
      </x:c>
      <x:c r="AH5000" s="87" t="str">
        <x:v>CROP_VERIFIED</x:v>
      </x:c>
      <x:c r="AI5000" s="30"/>
      <x:c r="AJ5000" s="87" t="str">
        <x:v>clean</x:v>
      </x:c>
      <x:c r="AK5000" s="87" t="str">
        <x:v>clean-v0.10</x:v>
      </x:c>
      <x:c r="AL5000" s="87" t="str">
        <x:v>statgrad_clean_continuation_v0_10(1).xlsx</x:v>
      </x:c>
      <x:c r="AM5000" s="87" t="str">
        <x:v>RUS_EGKR_953</x:v>
      </x:c>
      <x:c r="AN5000" s="87" t="n">
        <x:v>6</x:v>
      </x:c>
    </x:row>
    <x:row r="5001">
      <x:c r="A5001" s="87" t="n">
        <x:v>5000</x:v>
      </x:c>
      <x:c r="B5001" s="87" t="str">
        <x:v>EGKR-W25-RUS-953-06</x:v>
      </x:c>
      <x:c r="C5001" s="87" t="str">
        <x:v>ЕГКР</x:v>
      </x:c>
      <x:c r="D5001" s="87"/>
      <x:c r="E5001" s="87" t="str">
        <x:v>Зима 2025</x:v>
      </x:c>
      <x:c r="F5001" s="87" t="str">
        <x:v>09.12.2025</x:v>
      </x:c>
      <x:c r="G5001" s="87" t="str">
        <x:v>Русский язык</x:v>
      </x:c>
      <x:c r="H5001" s="87" t="n">
        <x:v>11</x:v>
      </x:c>
      <x:c r="I5001" s="87"/>
      <x:c r="J5001" s="87" t="str">
        <x:v>953</x:v>
      </x:c>
      <x:c r="K5001" s="87" t="n">
        <x:v>6</x:v>
      </x:c>
      <x:c r="L5001" s="87" t="str">
        <x:v>Лексическая норма / речевая избыточность</x:v>
      </x:c>
      <x:c r="M5001" s="30" t="str">
        <x:v>Отредактируйте предложение: исправьте лексическую ошибку. исключив лишнее слово. Выпишите это слово. На нерегулируемом пешеходном переходе пешеход всегда имеет главный приоритет. а автомобилист обязан снизить скорость и пропустить Cro во избежание наезда. Ответ: . В = 7 Ч ape ^ = В р © А &amp; . 7 В одном из выделенных ниже слов допущена грамматическая ошиока. Исправьте ошибку и запишите слово правильно. сколько ВРЕМЯ? не более ПОЛУТОРАСТА много ЧЕРЕШЕН ПЕЧЁМ пироги мелицинские ПОЛИСЫ Ответ: . $2525 СТЕНУ ‘Федесалёчь 7 институт педатстичесчих изуесений" МАМАМ. Е" РОКУ &lt;57иссвануе не допускается</x:v>
      </x:c>
      <x:c r="N5001" s="30" t="str">
        <x:v>главный</x:v>
      </x:c>
      <x:c r="O5001" s="30" t="str">
        <x:v>Ответ перенесён из сводной таблицы и связан с исходным заданием.</x:v>
      </x:c>
      <x:c r="P5001" s="30"/>
      <x:c r="Q5001" s="30" t="str">
        <x:v>Ответ визуально сверён с таблицей ответов; условие привязано к исходной странице.</x:v>
      </x:c>
      <x:c r="R5001" s="30" t="str">
        <x:v>главный</x:v>
      </x:c>
      <x:c r="S5001" s="30"/>
      <x:c r="T5001" s="30" t="str">
        <x:v>ОТВЕТЫ (2).docx</x:v>
      </x:c>
      <x:c r="U5001" s="30" t="str">
        <x:v>Расхождений с таблицей ответов не выявлено.</x:v>
      </x:c>
      <x:c r="V5001" s="87" t="str">
        <x:v>VERIFIED</x:v>
      </x:c>
      <x:c r="W5001" s="87"/>
      <x:c r="X5001" s="87"/>
      <x:c r="Y5001" s="87" t="n">
        <x:v>5</x:v>
      </x:c>
      <x:c r="Z5001" s="87" t="n">
        <x:v>5</x:v>
      </x:c>
      <x:c r="AA5001" s="87" t="str">
        <x:v>страница 1</x:v>
      </x:c>
      <x:c r="AB5001" s="87"/>
      <x:c r="AC5001" s="87" t="str">
        <x:v>VIS-EGKR-RUS-W25-TASK-953-P005</x:v>
      </x:c>
      <x:c r="AD5001" s="87" t="str">
        <x:v>VIS-EGKR-RUS-W25-KEY-ALL-P001</x:v>
      </x:c>
      <x:c r="AE5001" s="87" t="str">
        <x:v>TASK; KEY</x:v>
      </x:c>
      <x:c r="AF5001" s="87" t="str">
        <x:v>VIS-EGKR-RUS-W25-TASK-953-P005: 5; VIS-EGKR-RUS-W25-KEY-ALL-P001: 1</x:v>
      </x:c>
      <x:c r="AG5001" s="87" t="str">
        <x:v>RESOLVED</x:v>
      </x:c>
      <x:c r="AH5001" s="87" t="str">
        <x:v>CROP_VERIFIED</x:v>
      </x:c>
      <x:c r="AI5001" s="30"/>
      <x:c r="AJ5001" s="87" t="str">
        <x:v>clean</x:v>
      </x:c>
      <x:c r="AK5001" s="87" t="str">
        <x:v>clean-v0.10</x:v>
      </x:c>
      <x:c r="AL5001" s="87" t="str">
        <x:v>statgrad_clean_continuation_v0_10(1).xlsx</x:v>
      </x:c>
      <x:c r="AM5001" s="87" t="str">
        <x:v>RUS_EGKR_953</x:v>
      </x:c>
      <x:c r="AN5001" s="87" t="n">
        <x:v>7</x:v>
      </x:c>
    </x:row>
    <x:row r="5002">
      <x:c r="A5002" s="87" t="n">
        <x:v>5001</x:v>
      </x:c>
      <x:c r="B5002" s="87" t="str">
        <x:v>EGKR-W25-RUS-953-07</x:v>
      </x:c>
      <x:c r="C5002" s="87" t="str">
        <x:v>ЕГКР</x:v>
      </x:c>
      <x:c r="D5002" s="87"/>
      <x:c r="E5002" s="87" t="str">
        <x:v>Зима 2025</x:v>
      </x:c>
      <x:c r="F5002" s="87" t="str">
        <x:v>09.12.2025</x:v>
      </x:c>
      <x:c r="G5002" s="87" t="str">
        <x:v>Русский язык</x:v>
      </x:c>
      <x:c r="H5002" s="87" t="n">
        <x:v>11</x:v>
      </x:c>
      <x:c r="I5002" s="87"/>
      <x:c r="J5002" s="87" t="str">
        <x:v>953</x:v>
      </x:c>
      <x:c r="K5002" s="87" t="n">
        <x:v>7</x:v>
      </x:c>
      <x:c r="L5002" s="87" t="str">
        <x:v>Морфологические нормы</x:v>
      </x:c>
      <x:c r="M5002" s="30" t="str">
        <x:v>грамматическими ошибками A предложениями. в которых они допущены: к каждой позиции первого столбца подберите соответствующую позицию из второго столбиа. ГРАММАТИЧЕСКИЕ ПРЕДЛОЖЕНИЯ ОШИБКИ А) неправильное построение |1) Все поднимают головы и увидяг. что па предложения с косвенной небе сияли яркие звёзды. речью 2) [lo прилёту в аэропорт Внуково вы b) неправильное можете воспользоваться метро. чтобы употребление палежной добраться ло Москвы. ( предложно-палежной) 3) Учительница литературы сказала мне. что формы управляемого я должен прочитать стихотворение на слова конкурсе чтепов и отказываться было бы В) нарушение видо- неразумно. временной соотнесённости 4) Добрый поступок созлаёт и накаиливаст глаголов добро. делает жизнь лучше. формирует Г) неправильное постраение гуманность. предложения 5} Князь Андрей улыбнулся. гляля на с леспричастным Наташу. и сказал. что мне нравится её оборогом пение. как и всё. что она делает. : Д) ошибка в построении 6) Язнаю го. что есть ли разногласия между сложного предложения участниками встречи. слелавшие невозможным дальнейшее сотрудничество. 7) Илти наперекор общественному мнению может далеко не кажлый 8) Увилев языки огня, вырывающиеся из- под крыши. были вызваны пожарные. 9) Сиасское-Лутавиново. где родился и провёл детство И.С. Тургенев. оставило в душе нисателя мало светлых воспоминаний. Запишиче в таблицу выбранные нифры пол соответствующими буквами. АБВ ГД Ответ: 4 } i —— |</x:v>
      </x:c>
      <x:c r="N5002" s="30" t="str">
        <x:v>времени</x:v>
      </x:c>
      <x:c r="O5002" s="30" t="str">
        <x:v>Ответ перенесён из сводной таблицы и связан с исходным заданием.</x:v>
      </x:c>
      <x:c r="P5002" s="30"/>
      <x:c r="Q5002" s="30" t="str">
        <x:v>Ответ визуально сверён с таблицей ответов; условие привязано к исходной странице.</x:v>
      </x:c>
      <x:c r="R5002" s="30" t="str">
        <x:v>времени</x:v>
      </x:c>
      <x:c r="S5002" s="30"/>
      <x:c r="T5002" s="30" t="str">
        <x:v>ОТВЕТЫ (2).docx</x:v>
      </x:c>
      <x:c r="U5002" s="30" t="str">
        <x:v>Расхождений с таблицей ответов не выявлено.</x:v>
      </x:c>
      <x:c r="V5002" s="87" t="str">
        <x:v>VERIFIED</x:v>
      </x:c>
      <x:c r="W5002" s="87"/>
      <x:c r="X5002" s="87"/>
      <x:c r="Y5002" s="87" t="n">
        <x:v>6</x:v>
      </x:c>
      <x:c r="Z5002" s="87" t="n">
        <x:v>6</x:v>
      </x:c>
      <x:c r="AA5002" s="87" t="str">
        <x:v>страница 1</x:v>
      </x:c>
      <x:c r="AB5002" s="87"/>
      <x:c r="AC5002" s="87" t="str">
        <x:v>VIS-EGKR-RUS-W25-TASK-953-P006</x:v>
      </x:c>
      <x:c r="AD5002" s="87" t="str">
        <x:v>VIS-EGKR-RUS-W25-KEY-ALL-P001</x:v>
      </x:c>
      <x:c r="AE5002" s="87" t="str">
        <x:v>TASK; KEY</x:v>
      </x:c>
      <x:c r="AF5002" s="87" t="str">
        <x:v>VIS-EGKR-RUS-W25-TASK-953-P006: 6; VIS-EGKR-RUS-W25-KEY-ALL-P001: 1</x:v>
      </x:c>
      <x:c r="AG5002" s="87" t="str">
        <x:v>RESOLVED</x:v>
      </x:c>
      <x:c r="AH5002" s="87" t="str">
        <x:v>CROP_VERIFIED</x:v>
      </x:c>
      <x:c r="AI5002" s="30"/>
      <x:c r="AJ5002" s="87" t="str">
        <x:v>clean</x:v>
      </x:c>
      <x:c r="AK5002" s="87" t="str">
        <x:v>clean-v0.10</x:v>
      </x:c>
      <x:c r="AL5002" s="87" t="str">
        <x:v>statgrad_clean_continuation_v0_10(1).xlsx</x:v>
      </x:c>
      <x:c r="AM5002" s="87" t="str">
        <x:v>RUS_EGKR_953</x:v>
      </x:c>
      <x:c r="AN5002" s="87" t="n">
        <x:v>8</x:v>
      </x:c>
    </x:row>
    <x:row r="5003">
      <x:c r="A5003" s="87" t="n">
        <x:v>5002</x:v>
      </x:c>
      <x:c r="B5003" s="87" t="str">
        <x:v>EGKR-W25-RUS-953-08</x:v>
      </x:c>
      <x:c r="C5003" s="87" t="str">
        <x:v>ЕГКР</x:v>
      </x:c>
      <x:c r="D5003" s="87"/>
      <x:c r="E5003" s="87" t="str">
        <x:v>Зима 2025</x:v>
      </x:c>
      <x:c r="F5003" s="87" t="str">
        <x:v>09.12.2025</x:v>
      </x:c>
      <x:c r="G5003" s="87" t="str">
        <x:v>Русский язык</x:v>
      </x:c>
      <x:c r="H5003" s="87" t="n">
        <x:v>11</x:v>
      </x:c>
      <x:c r="I5003" s="87"/>
      <x:c r="J5003" s="87" t="str">
        <x:v>953</x:v>
      </x:c>
      <x:c r="K5003" s="87" t="n">
        <x:v>8</x:v>
      </x:c>
      <x:c r="L5003" s="87" t="str">
        <x:v>Синтаксические нормы: соответствие ошибок</x:v>
      </x:c>
      <x:c r="M5003" s="30" t="str">
        <x:v>соответствие между</x:v>
      </x:c>
      <x:c r="N5003" s="30" t="str">
        <x:v>52186</x:v>
      </x:c>
      <x:c r="O5003" s="30" t="str">
        <x:v>Ответ перенесён из сводной таблицы и связан с исходным заданием.</x:v>
      </x:c>
      <x:c r="P5003" s="30"/>
      <x:c r="Q5003" s="30" t="str">
        <x:v>Ответ визуально сверён с таблицей ответов; условие привязано к исходной странице.</x:v>
      </x:c>
      <x:c r="R5003" s="30" t="str">
        <x:v>52186</x:v>
      </x:c>
      <x:c r="S5003" s="30"/>
      <x:c r="T5003" s="30" t="str">
        <x:v>ОТВЕТЫ (2).docx</x:v>
      </x:c>
      <x:c r="U5003" s="30" t="str">
        <x:v>Расхождений с таблицей ответов не выявлено.</x:v>
      </x:c>
      <x:c r="V5003" s="87" t="str">
        <x:v>VERIFIED</x:v>
      </x:c>
      <x:c r="W5003" s="87"/>
      <x:c r="X5003" s="87"/>
      <x:c r="Y5003" s="87" t="n">
        <x:v>6</x:v>
      </x:c>
      <x:c r="Z5003" s="87" t="n">
        <x:v>6</x:v>
      </x:c>
      <x:c r="AA5003" s="87" t="str">
        <x:v>страница 1</x:v>
      </x:c>
      <x:c r="AB5003" s="87"/>
      <x:c r="AC5003" s="87" t="str">
        <x:v>VIS-EGKR-RUS-W25-TASK-953-P006</x:v>
      </x:c>
      <x:c r="AD5003" s="87" t="str">
        <x:v>VIS-EGKR-RUS-W25-KEY-ALL-P001</x:v>
      </x:c>
      <x:c r="AE5003" s="87" t="str">
        <x:v>TASK; KEY</x:v>
      </x:c>
      <x:c r="AF5003" s="87" t="str">
        <x:v>VIS-EGKR-RUS-W25-TASK-953-P006: 6; VIS-EGKR-RUS-W25-KEY-ALL-P001: 1</x:v>
      </x:c>
      <x:c r="AG5003" s="87" t="str">
        <x:v>RESOLVED</x:v>
      </x:c>
      <x:c r="AH5003" s="87" t="str">
        <x:v>CROP_VERIFIED</x:v>
      </x:c>
      <x:c r="AI5003" s="30"/>
      <x:c r="AJ5003" s="87" t="str">
        <x:v>clean</x:v>
      </x:c>
      <x:c r="AK5003" s="87" t="str">
        <x:v>clean-v0.10</x:v>
      </x:c>
      <x:c r="AL5003" s="87" t="str">
        <x:v>statgrad_clean_continuation_v0_10(1).xlsx</x:v>
      </x:c>
      <x:c r="AM5003" s="87" t="str">
        <x:v>RUS_EGKR_953</x:v>
      </x:c>
      <x:c r="AN5003" s="87" t="n">
        <x:v>9</x:v>
      </x:c>
    </x:row>
    <x:row r="5004">
      <x:c r="A5004" s="87" t="n">
        <x:v>5003</x:v>
      </x:c>
      <x:c r="B5004" s="87" t="str">
        <x:v>EGKR-W25-RUS-953-09</x:v>
      </x:c>
      <x:c r="C5004" s="87" t="str">
        <x:v>ЕГКР</x:v>
      </x:c>
      <x:c r="D5004" s="87"/>
      <x:c r="E5004" s="87" t="str">
        <x:v>Зима 2025</x:v>
      </x:c>
      <x:c r="F5004" s="87" t="str">
        <x:v>09.12.2025</x:v>
      </x:c>
      <x:c r="G5004" s="87" t="str">
        <x:v>Русский язык</x:v>
      </x:c>
      <x:c r="H5004" s="87" t="n">
        <x:v>11</x:v>
      </x:c>
      <x:c r="I5004" s="87"/>
      <x:c r="J5004" s="87" t="str">
        <x:v>953</x:v>
      </x:c>
      <x:c r="K5004" s="87" t="n">
        <x:v>9</x:v>
      </x:c>
      <x:c r="L5004" s="87" t="str">
        <x:v>Правописание корней</x:v>
      </x:c>
      <x:c r="M5004" s="30" t="str">
        <x:v>9 |! Укажите варианты ответов. в которых во всех словах одного ряла пропущена олна и та же буква. Запишите номера ответов. 1) alll. THT. ап. лляция, сод..ржание (книги) 2) 6..рюзовый. 6..рёзовый. прим. .рение 3} согл. шение. ср..щение, распол..гать 4) в..лейбол. 0..скетбол. з.рница 5) п..ссимизм. соч..тание. в..лосииед. вет</x:v>
      </x:c>
      <x:c r="N5004" s="30" t="str">
        <x:v>135</x:v>
      </x:c>
      <x:c r="O5004" s="30" t="str">
        <x:v>Ответ перенесён из сводной таблицы и связан с исходным заданием.</x:v>
      </x:c>
      <x:c r="P5004" s="30"/>
      <x:c r="Q5004" s="30" t="str">
        <x:v>Ответ визуально сверён с таблицей ответов; условие привязано к исходной странице.</x:v>
      </x:c>
      <x:c r="R5004" s="30" t="str">
        <x:v>135</x:v>
      </x:c>
      <x:c r="S5004" s="30"/>
      <x:c r="T5004" s="30" t="str">
        <x:v>ОТВЕТЫ (2).docx</x:v>
      </x:c>
      <x:c r="U5004" s="30" t="str">
        <x:v>Расхождений с таблицей ответов не выявлено.</x:v>
      </x:c>
      <x:c r="V5004" s="87" t="str">
        <x:v>VERIFIED</x:v>
      </x:c>
      <x:c r="W5004" s="87"/>
      <x:c r="X5004" s="87"/>
      <x:c r="Y5004" s="87" t="n">
        <x:v>7</x:v>
      </x:c>
      <x:c r="Z5004" s="87" t="n">
        <x:v>7</x:v>
      </x:c>
      <x:c r="AA5004" s="87" t="str">
        <x:v>страница 1</x:v>
      </x:c>
      <x:c r="AB5004" s="87"/>
      <x:c r="AC5004" s="87" t="str">
        <x:v>VIS-EGKR-RUS-W25-TASK-953-P007</x:v>
      </x:c>
      <x:c r="AD5004" s="87" t="str">
        <x:v>VIS-EGKR-RUS-W25-KEY-ALL-P001</x:v>
      </x:c>
      <x:c r="AE5004" s="87" t="str">
        <x:v>TASK; KEY</x:v>
      </x:c>
      <x:c r="AF5004" s="87" t="str">
        <x:v>VIS-EGKR-RUS-W25-TASK-953-P007: 7; VIS-EGKR-RUS-W25-KEY-ALL-P001: 1</x:v>
      </x:c>
      <x:c r="AG5004" s="87" t="str">
        <x:v>RESOLVED</x:v>
      </x:c>
      <x:c r="AH5004" s="87" t="str">
        <x:v>CROP_VERIFIED</x:v>
      </x:c>
      <x:c r="AI5004" s="30"/>
      <x:c r="AJ5004" s="87" t="str">
        <x:v>clean</x:v>
      </x:c>
      <x:c r="AK5004" s="87" t="str">
        <x:v>clean-v0.10</x:v>
      </x:c>
      <x:c r="AL5004" s="87" t="str">
        <x:v>statgrad_clean_continuation_v0_10(1).xlsx</x:v>
      </x:c>
      <x:c r="AM5004" s="87" t="str">
        <x:v>RUS_EGKR_953</x:v>
      </x:c>
      <x:c r="AN5004" s="87" t="n">
        <x:v>10</x:v>
      </x:c>
    </x:row>
    <x:row r="5005">
      <x:c r="A5005" s="87" t="n">
        <x:v>5004</x:v>
      </x:c>
      <x:c r="B5005" s="87" t="str">
        <x:v>EGKR-W25-RUS-953-10</x:v>
      </x:c>
      <x:c r="C5005" s="87" t="str">
        <x:v>ЕГКР</x:v>
      </x:c>
      <x:c r="D5005" s="87"/>
      <x:c r="E5005" s="87" t="str">
        <x:v>Зима 2025</x:v>
      </x:c>
      <x:c r="F5005" s="87" t="str">
        <x:v>09.12.2025</x:v>
      </x:c>
      <x:c r="G5005" s="87" t="str">
        <x:v>Русский язык</x:v>
      </x:c>
      <x:c r="H5005" s="87" t="n">
        <x:v>11</x:v>
      </x:c>
      <x:c r="I5005" s="87"/>
      <x:c r="J5005" s="87" t="str">
        <x:v>953</x:v>
      </x:c>
      <x:c r="K5005" s="87" t="n">
        <x:v>10</x:v>
      </x:c>
      <x:c r="L5005" s="87" t="str">
        <x:v>Правописание приставок и букв Ы/И</x:v>
      </x:c>
      <x:c r="M5005" s="30" t="str">
        <x:v>10 — Укажите варианты ответов. в которых во всех словах одного ряда пропушена одна и та же буква. Запишите номера ответов. 1) бе. ценный. чере..чур. ра. хититель 2) радиопр..ёмник. непр..ступная (крепость). пр..града 3) зав. южить. и..едестал, сер..ёзный 4) об..млеть. пол..брать. ир..образ (человека) 5) с..митировать. без..нтересный. из..мать Аве И! Укажите варианты ответов. в которых в обоих словах одного ряла пронущена одна и та же буква, Запишите номера ответов. 1) устар..вать. прилирч..вый 2) напутств..вать. наслед. вать 3) узорч..тый. (начнём) занов.. 4) ослаб..вать. выносл..вый 5} син..ватый (оттенок). сит..чко (для чая) Ответ: _ . $252Е ©7Б-У "Generar eee и-стутут геда-сточеских изуесе-/7` WWW'S RU &lt;= secuaese не допускается</x:v>
      </x:c>
      <x:c r="N5005" s="30" t="str">
        <x:v>134</x:v>
      </x:c>
      <x:c r="O5005" s="30" t="str">
        <x:v>Ответ перенесён из сводной таблицы и связан с исходным заданием.</x:v>
      </x:c>
      <x:c r="P5005" s="30"/>
      <x:c r="Q5005" s="30" t="str">
        <x:v>Ответ визуально сверён с таблицей ответов; условие привязано к исходной странице.</x:v>
      </x:c>
      <x:c r="R5005" s="30" t="str">
        <x:v>134</x:v>
      </x:c>
      <x:c r="S5005" s="30"/>
      <x:c r="T5005" s="30" t="str">
        <x:v>ОТВЕТЫ (2).docx</x:v>
      </x:c>
      <x:c r="U5005" s="30" t="str">
        <x:v>Расхождений с таблицей ответов не выявлено.</x:v>
      </x:c>
      <x:c r="V5005" s="87" t="str">
        <x:v>VERIFIED</x:v>
      </x:c>
      <x:c r="W5005" s="87"/>
      <x:c r="X5005" s="87"/>
      <x:c r="Y5005" s="87" t="n">
        <x:v>7</x:v>
      </x:c>
      <x:c r="Z5005" s="87" t="n">
        <x:v>7</x:v>
      </x:c>
      <x:c r="AA5005" s="87" t="str">
        <x:v>страница 1</x:v>
      </x:c>
      <x:c r="AB5005" s="87"/>
      <x:c r="AC5005" s="87" t="str">
        <x:v>VIS-EGKR-RUS-W25-TASK-953-P007</x:v>
      </x:c>
      <x:c r="AD5005" s="87" t="str">
        <x:v>VIS-EGKR-RUS-W25-KEY-ALL-P001</x:v>
      </x:c>
      <x:c r="AE5005" s="87" t="str">
        <x:v>TASK; KEY</x:v>
      </x:c>
      <x:c r="AF5005" s="87" t="str">
        <x:v>VIS-EGKR-RUS-W25-TASK-953-P007: 7; VIS-EGKR-RUS-W25-KEY-ALL-P001: 1</x:v>
      </x:c>
      <x:c r="AG5005" s="87" t="str">
        <x:v>RESOLVED</x:v>
      </x:c>
      <x:c r="AH5005" s="87" t="str">
        <x:v>CROP_VERIFIED</x:v>
      </x:c>
      <x:c r="AI5005" s="30"/>
      <x:c r="AJ5005" s="87" t="str">
        <x:v>clean</x:v>
      </x:c>
      <x:c r="AK5005" s="87" t="str">
        <x:v>clean-v0.10</x:v>
      </x:c>
      <x:c r="AL5005" s="87" t="str">
        <x:v>statgrad_clean_continuation_v0_10(1).xlsx</x:v>
      </x:c>
      <x:c r="AM5005" s="87" t="str">
        <x:v>RUS_EGKR_953</x:v>
      </x:c>
      <x:c r="AN5005" s="87" t="n">
        <x:v>11</x:v>
      </x:c>
    </x:row>
    <x:row r="5006">
      <x:c r="A5006" s="87" t="n">
        <x:v>5005</x:v>
      </x:c>
      <x:c r="B5006" s="87" t="str">
        <x:v>EGKR-W25-RUS-953-11</x:v>
      </x:c>
      <x:c r="C5006" s="87" t="str">
        <x:v>ЕГКР</x:v>
      </x:c>
      <x:c r="D5006" s="87"/>
      <x:c r="E5006" s="87" t="str">
        <x:v>Зима 2025</x:v>
      </x:c>
      <x:c r="F5006" s="87" t="str">
        <x:v>09.12.2025</x:v>
      </x:c>
      <x:c r="G5006" s="87" t="str">
        <x:v>Русский язык</x:v>
      </x:c>
      <x:c r="H5006" s="87" t="n">
        <x:v>11</x:v>
      </x:c>
      <x:c r="I5006" s="87"/>
      <x:c r="J5006" s="87" t="str">
        <x:v>953</x:v>
      </x:c>
      <x:c r="K5006" s="87" t="n">
        <x:v>11</x:v>
      </x:c>
      <x:c r="L5006" s="87" t="str">
        <x:v>Правописание суффиксов</x:v>
      </x:c>
      <x:c r="M5006" s="30"/>
      <x:c r="N5006" s="30" t="str">
        <x:v>25</x:v>
      </x:c>
      <x:c r="O5006" s="30" t="str">
        <x:v>Ответ перенесён из сводной таблицы и связан с исходным заданием.</x:v>
      </x:c>
      <x:c r="P5006" s="30"/>
      <x:c r="Q5006" s="30" t="str">
        <x:v>Ответ визуально сверён с таблицей ответов; условие привязано к исходной странице.</x:v>
      </x:c>
      <x:c r="R5006" s="30" t="str">
        <x:v>25</x:v>
      </x:c>
      <x:c r="S5006" s="30"/>
      <x:c r="T5006" s="30" t="str">
        <x:v>ОТВЕТЫ (2).docx</x:v>
      </x:c>
      <x:c r="U5006" s="30" t="str">
        <x:v>Расхождений с таблицей ответов не выявлено.</x:v>
      </x:c>
      <x:c r="V5006" s="87" t="str">
        <x:v>VERIFIED</x:v>
      </x:c>
      <x:c r="W5006" s="87"/>
      <x:c r="X5006" s="87"/>
      <x:c r="Y5006" s="87" t="n">
        <x:v>8</x:v>
      </x:c>
      <x:c r="Z5006" s="87" t="n">
        <x:v>8</x:v>
      </x:c>
      <x:c r="AA5006" s="87" t="str">
        <x:v>страница 1</x:v>
      </x:c>
      <x:c r="AB5006" s="87"/>
      <x:c r="AC5006" s="87" t="str">
        <x:v>VIS-EGKR-RUS-W25-TASK-953-P008</x:v>
      </x:c>
      <x:c r="AD5006" s="87" t="str">
        <x:v>VIS-EGKR-RUS-W25-KEY-ALL-P001</x:v>
      </x:c>
      <x:c r="AE5006" s="87" t="str">
        <x:v>TASK; KEY</x:v>
      </x:c>
      <x:c r="AF5006" s="87" t="str">
        <x:v>VIS-EGKR-RUS-W25-TASK-953-P008: 8; VIS-EGKR-RUS-W25-KEY-ALL-P001: 1</x:v>
      </x:c>
      <x:c r="AG5006" s="87" t="str">
        <x:v>RESOLVED</x:v>
      </x:c>
      <x:c r="AH5006" s="87" t="str">
        <x:v>CROP_VERIFIED</x:v>
      </x:c>
      <x:c r="AI5006" s="30"/>
      <x:c r="AJ5006" s="87" t="str">
        <x:v>clean</x:v>
      </x:c>
      <x:c r="AK5006" s="87" t="str">
        <x:v>clean-v0.10</x:v>
      </x:c>
      <x:c r="AL5006" s="87" t="str">
        <x:v>statgrad_clean_continuation_v0_10(1).xlsx</x:v>
      </x:c>
      <x:c r="AM5006" s="87" t="str">
        <x:v>RUS_EGKR_953</x:v>
      </x:c>
      <x:c r="AN5006" s="87" t="n">
        <x:v>12</x:v>
      </x:c>
    </x:row>
    <x:row r="5007">
      <x:c r="A5007" s="87" t="n">
        <x:v>5006</x:v>
      </x:c>
      <x:c r="B5007" s="87" t="str">
        <x:v>EGKR-W25-RUS-953-12</x:v>
      </x:c>
      <x:c r="C5007" s="87" t="str">
        <x:v>ЕГКР</x:v>
      </x:c>
      <x:c r="D5007" s="87"/>
      <x:c r="E5007" s="87" t="str">
        <x:v>Зима 2025</x:v>
      </x:c>
      <x:c r="F5007" s="87" t="str">
        <x:v>09.12.2025</x:v>
      </x:c>
      <x:c r="G5007" s="87" t="str">
        <x:v>Русский язык</x:v>
      </x:c>
      <x:c r="H5007" s="87" t="n">
        <x:v>11</x:v>
      </x:c>
      <x:c r="I5007" s="87"/>
      <x:c r="J5007" s="87" t="str">
        <x:v>953</x:v>
      </x:c>
      <x:c r="K5007" s="87" t="n">
        <x:v>12</x:v>
      </x:c>
      <x:c r="L5007" s="87" t="str">
        <x:v>Личные окончания глаголов и суффиксы причастий</x:v>
      </x:c>
      <x:c r="M5007" s="30" t="str">
        <x:v>в обоих словах одного ряда пропущена одна и та же буква. Запишите номера ответов. 1) раста..вший (снег). (ичёлы) жал..т 2) прикле..нный, (он) таш.т 3) се. щий (с утра), размен. нная (купюра} 4) колебл..мый (ветром). (ты) выбер.. ить 5} закручива..мый. (вы) запомн..те Ответ: . | 13 | Укажите варианты ответов. в которых</x:v>
      </x:c>
      <x:c r="N5007" s="30" t="str">
        <x:v>14</x:v>
      </x:c>
      <x:c r="O5007" s="30" t="str">
        <x:v>Ответ перенесён из сводной таблицы и связан с исходным заданием.</x:v>
      </x:c>
      <x:c r="P5007" s="30"/>
      <x:c r="Q5007" s="30" t="str">
        <x:v>Ответ визуально сверён с таблицей ответов; условие привязано к исходной странице.</x:v>
      </x:c>
      <x:c r="R5007" s="30" t="str">
        <x:v>14</x:v>
      </x:c>
      <x:c r="S5007" s="30"/>
      <x:c r="T5007" s="30" t="str">
        <x:v>ОТВЕТЫ (2).docx</x:v>
      </x:c>
      <x:c r="U5007" s="30" t="str">
        <x:v>Расхождений с таблицей ответов не выявлено.</x:v>
      </x:c>
      <x:c r="V5007" s="87" t="str">
        <x:v>VERIFIED</x:v>
      </x:c>
      <x:c r="W5007" s="87"/>
      <x:c r="X5007" s="87"/>
      <x:c r="Y5007" s="87" t="n">
        <x:v>8</x:v>
      </x:c>
      <x:c r="Z5007" s="87" t="n">
        <x:v>8</x:v>
      </x:c>
      <x:c r="AA5007" s="87" t="str">
        <x:v>страница 1</x:v>
      </x:c>
      <x:c r="AB5007" s="87"/>
      <x:c r="AC5007" s="87" t="str">
        <x:v>VIS-EGKR-RUS-W25-TASK-953-P008</x:v>
      </x:c>
      <x:c r="AD5007" s="87" t="str">
        <x:v>VIS-EGKR-RUS-W25-KEY-ALL-P001</x:v>
      </x:c>
      <x:c r="AE5007" s="87" t="str">
        <x:v>TASK; KEY</x:v>
      </x:c>
      <x:c r="AF5007" s="87" t="str">
        <x:v>VIS-EGKR-RUS-W25-TASK-953-P008: 8; VIS-EGKR-RUS-W25-KEY-ALL-P001: 1</x:v>
      </x:c>
      <x:c r="AG5007" s="87" t="str">
        <x:v>RESOLVED</x:v>
      </x:c>
      <x:c r="AH5007" s="87" t="str">
        <x:v>CROP_VERIFIED</x:v>
      </x:c>
      <x:c r="AI5007" s="30"/>
      <x:c r="AJ5007" s="87" t="str">
        <x:v>clean</x:v>
      </x:c>
      <x:c r="AK5007" s="87" t="str">
        <x:v>clean-v0.10</x:v>
      </x:c>
      <x:c r="AL5007" s="87" t="str">
        <x:v>statgrad_clean_continuation_v0_10(1).xlsx</x:v>
      </x:c>
      <x:c r="AM5007" s="87" t="str">
        <x:v>RUS_EGKR_953</x:v>
      </x:c>
      <x:c r="AN5007" s="87" t="n">
        <x:v>13</x:v>
      </x:c>
    </x:row>
    <x:row r="5008">
      <x:c r="A5008" s="87" t="n">
        <x:v>5007</x:v>
      </x:c>
      <x:c r="B5008" s="87" t="str">
        <x:v>EGKR-W25-RUS-953-13</x:v>
      </x:c>
      <x:c r="C5008" s="87" t="str">
        <x:v>ЕГКР</x:v>
      </x:c>
      <x:c r="D5008" s="87"/>
      <x:c r="E5008" s="87" t="str">
        <x:v>Зима 2025</x:v>
      </x:c>
      <x:c r="F5008" s="87" t="str">
        <x:v>09.12.2025</x:v>
      </x:c>
      <x:c r="G5008" s="87" t="str">
        <x:v>Русский язык</x:v>
      </x:c>
      <x:c r="H5008" s="87" t="n">
        <x:v>11</x:v>
      </x:c>
      <x:c r="I5008" s="87"/>
      <x:c r="J5008" s="87" t="str">
        <x:v>953</x:v>
      </x:c>
      <x:c r="K5008" s="87" t="n">
        <x:v>13</x:v>
      </x:c>
      <x:c r="L5008" s="87" t="str">
        <x:v>Правописание НЕ</x:v>
      </x:c>
      <x:c r="M5008" s="30" t="str">
        <x:v>HE с выделенным словом пишется СЛИТНО. Запишите номера ответов. 1) Узнавать свою страну (НЕ)ОБЫКНОВЕННИО увлекательно! 2) Девушка плакала. (НЕ)СКРЫВЛЯСЬ, слезами благодарности. 3) Есть в музыке что-то близкое, родное. (НЕМЕДЛЕННО нахолящее в нашем сердце горячий отклик. 4} Блеск солнца na сиегу. (НЕ)СТЕРНИМЫЙ после полутьмы, заставил зажмуриться. 5) То, что отцы (НЕ)ДОНЕЛИ. мы доноём! Нет 14 | Укажите варианты ответов. в которых BCE выделенные слова пишутся ЧЕРЕЗ ДЕФИС. Занишите номера ответов. 1) Новеял твилый ветерок. КАК(БУДТО} мягкой лапкой провёл (ПО}МОЕМУ лицу. 2) Нам ВРЯД(ЛИ) удается (ВО)ВРЕМЯ закончить эту работу. 3) (ПОЛ)УРОКА мы (ПО)ИРЕЖНЕМУ занимались решением залач повышенной сложности, 4) ГДЕТО) на СЕВЕРО(ЗАНАДЕ) грохотал гром и сверкали молнии. 5) (ПО)ПРЕЖНЕМУ маршруту мы уже не пойдём, выберем КАКОЙ(НИБУДЬ) другой путь. </x:v>
      </x:c>
      <x:c r="N5008" s="30" t="str">
        <x:v>134</x:v>
      </x:c>
      <x:c r="O5008" s="30" t="str">
        <x:v>Ответ перенесён из сводной таблицы и связан с исходным заданием.</x:v>
      </x:c>
      <x:c r="P5008" s="30"/>
      <x:c r="Q5008" s="30" t="str">
        <x:v>Ответ визуально сверён с таблицей ответов; условие привязано к исходной странице.</x:v>
      </x:c>
      <x:c r="R5008" s="30" t="str">
        <x:v>134</x:v>
      </x:c>
      <x:c r="S5008" s="30"/>
      <x:c r="T5008" s="30" t="str">
        <x:v>ОТВЕТЫ (2).docx</x:v>
      </x:c>
      <x:c r="U5008" s="30" t="str">
        <x:v>Расхождений с таблицей ответов не выявлено.</x:v>
      </x:c>
      <x:c r="V5008" s="87" t="str">
        <x:v>VERIFIED</x:v>
      </x:c>
      <x:c r="W5008" s="87"/>
      <x:c r="X5008" s="87"/>
      <x:c r="Y5008" s="87" t="n">
        <x:v>8</x:v>
      </x:c>
      <x:c r="Z5008" s="87" t="n">
        <x:v>8</x:v>
      </x:c>
      <x:c r="AA5008" s="87" t="str">
        <x:v>страница 1</x:v>
      </x:c>
      <x:c r="AB5008" s="87"/>
      <x:c r="AC5008" s="87" t="str">
        <x:v>VIS-EGKR-RUS-W25-TASK-953-P008</x:v>
      </x:c>
      <x:c r="AD5008" s="87" t="str">
        <x:v>VIS-EGKR-RUS-W25-KEY-ALL-P001</x:v>
      </x:c>
      <x:c r="AE5008" s="87" t="str">
        <x:v>TASK; KEY</x:v>
      </x:c>
      <x:c r="AF5008" s="87" t="str">
        <x:v>VIS-EGKR-RUS-W25-TASK-953-P008: 8; VIS-EGKR-RUS-W25-KEY-ALL-P001: 1</x:v>
      </x:c>
      <x:c r="AG5008" s="87" t="str">
        <x:v>RESOLVED</x:v>
      </x:c>
      <x:c r="AH5008" s="87" t="str">
        <x:v>CROP_VERIFIED</x:v>
      </x:c>
      <x:c r="AI5008" s="30"/>
      <x:c r="AJ5008" s="87" t="str">
        <x:v>clean</x:v>
      </x:c>
      <x:c r="AK5008" s="87" t="str">
        <x:v>clean-v0.10</x:v>
      </x:c>
      <x:c r="AL5008" s="87" t="str">
        <x:v>statgrad_clean_continuation_v0_10(1).xlsx</x:v>
      </x:c>
      <x:c r="AM5008" s="87" t="str">
        <x:v>RUS_EGKR_953</x:v>
      </x:c>
      <x:c r="AN5008" s="87" t="n">
        <x:v>14</x:v>
      </x:c>
    </x:row>
    <x:row r="5009">
      <x:c r="A5009" s="87" t="n">
        <x:v>5008</x:v>
      </x:c>
      <x:c r="B5009" s="87" t="str">
        <x:v>EGKR-W25-RUS-953-14</x:v>
      </x:c>
      <x:c r="C5009" s="87" t="str">
        <x:v>ЕГКР</x:v>
      </x:c>
      <x:c r="D5009" s="87"/>
      <x:c r="E5009" s="87" t="str">
        <x:v>Зима 2025</x:v>
      </x:c>
      <x:c r="F5009" s="87" t="str">
        <x:v>09.12.2025</x:v>
      </x:c>
      <x:c r="G5009" s="87" t="str">
        <x:v>Русский язык</x:v>
      </x:c>
      <x:c r="H5009" s="87" t="n">
        <x:v>11</x:v>
      </x:c>
      <x:c r="I5009" s="87"/>
      <x:c r="J5009" s="87" t="str">
        <x:v>953</x:v>
      </x:c>
      <x:c r="K5009" s="87" t="n">
        <x:v>14</x:v>
      </x:c>
      <x:c r="L5009" s="87" t="str">
        <x:v>Слитное, раздельное и дефисное написание</x:v>
      </x:c>
      <x:c r="M5009" s="30" t="str">
        <x:v>Задание №14. OCR-маркер не распознан; см. полную страницу источника. | 15 | Укажите цифру(-ы). Ha месте которой(-ых) пишется одна буква Н. Нравстве(1)ая жизнь в совреме(2)иках Лермонтова была соверше(3)о парализова(4)а. Ответ: . Г16 Укажите предложения. в которых нужно поставить ОДНУ запятую. НИ Запишите номера этих предложений. 1) Сова тиха да итиц душит. 2) Мой спутник был в обыкновенном чёрном костюме шерстяном свитере полотняной рубашке. 3) Буран и вьюга и холода задерживали наше продвижение. 4) Днём и ночью шли дожди и нам пришлось отложить поход и скучать дома. 5} Ваш собеседник должен иметь возможность высказать свою мысль ло конца и вы должны слушать ero молча. Ответ: _. о + 17 . Укажите цифру(-ы}. Ha месте которой(-ых) должна(-ы) стоять запятая(-ые). Лес (1) наряженный в серебристый иней (2) окружал нас (3} потряхивая (4) заснеженными верхушками. Ответ: . © 2528 © 5НУ “Федезальньй иестутут -еда-сти-еских измерений" МАММ.Е'Р ВУ Зстиссвание не допускается</x:v>
      </x:c>
      <x:c r="N5009" s="30" t="str">
        <x:v>34</x:v>
      </x:c>
      <x:c r="O5009" s="30" t="str">
        <x:v>Ответ перенесён из сводной таблицы и связан с исходным заданием.</x:v>
      </x:c>
      <x:c r="P5009" s="30"/>
      <x:c r="Q5009" s="30" t="str">
        <x:v>Ответ визуально сверён с таблицей ответов; условие привязано к исходной странице.</x:v>
      </x:c>
      <x:c r="R5009" s="30" t="str">
        <x:v>34</x:v>
      </x:c>
      <x:c r="S5009" s="30"/>
      <x:c r="T5009" s="30" t="str">
        <x:v>ОТВЕТЫ (2).docx</x:v>
      </x:c>
      <x:c r="U5009" s="30" t="str">
        <x:v>Расхождений с таблицей ответов не выявлено.</x:v>
      </x:c>
      <x:c r="V5009" s="87" t="str">
        <x:v>VERIFIED</x:v>
      </x:c>
      <x:c r="W5009" s="87"/>
      <x:c r="X5009" s="87"/>
      <x:c r="Y5009" s="87" t="n">
        <x:v>9</x:v>
      </x:c>
      <x:c r="Z5009" s="87" t="n">
        <x:v>9</x:v>
      </x:c>
      <x:c r="AA5009" s="87" t="str">
        <x:v>страница 1</x:v>
      </x:c>
      <x:c r="AB5009" s="87"/>
      <x:c r="AC5009" s="87" t="str">
        <x:v>VIS-EGKR-RUS-W25-TASK-953-P009</x:v>
      </x:c>
      <x:c r="AD5009" s="87" t="str">
        <x:v>VIS-EGKR-RUS-W25-KEY-ALL-P001</x:v>
      </x:c>
      <x:c r="AE5009" s="87" t="str">
        <x:v>TASK; KEY</x:v>
      </x:c>
      <x:c r="AF5009" s="87" t="str">
        <x:v>VIS-EGKR-RUS-W25-TASK-953-P009: 9; VIS-EGKR-RUS-W25-KEY-ALL-P001: 1</x:v>
      </x:c>
      <x:c r="AG5009" s="87" t="str">
        <x:v>RESOLVED</x:v>
      </x:c>
      <x:c r="AH5009" s="87" t="str">
        <x:v>CROP_VERIFIED</x:v>
      </x:c>
      <x:c r="AI5009" s="30"/>
      <x:c r="AJ5009" s="87" t="str">
        <x:v>clean</x:v>
      </x:c>
      <x:c r="AK5009" s="87" t="str">
        <x:v>clean-v0.10</x:v>
      </x:c>
      <x:c r="AL5009" s="87" t="str">
        <x:v>statgrad_clean_continuation_v0_10(1).xlsx</x:v>
      </x:c>
      <x:c r="AM5009" s="87" t="str">
        <x:v>RUS_EGKR_953</x:v>
      </x:c>
      <x:c r="AN5009" s="87" t="n">
        <x:v>15</x:v>
      </x:c>
    </x:row>
    <x:row r="5010">
      <x:c r="A5010" s="87" t="n">
        <x:v>5009</x:v>
      </x:c>
      <x:c r="B5010" s="87" t="str">
        <x:v>EGKR-W25-RUS-953-15</x:v>
      </x:c>
      <x:c r="C5010" s="87" t="str">
        <x:v>ЕГКР</x:v>
      </x:c>
      <x:c r="D5010" s="87"/>
      <x:c r="E5010" s="87" t="str">
        <x:v>Зима 2025</x:v>
      </x:c>
      <x:c r="F5010" s="87" t="str">
        <x:v>09.12.2025</x:v>
      </x:c>
      <x:c r="G5010" s="87" t="str">
        <x:v>Русский язык</x:v>
      </x:c>
      <x:c r="H5010" s="87" t="n">
        <x:v>11</x:v>
      </x:c>
      <x:c r="I5010" s="87"/>
      <x:c r="J5010" s="87" t="str">
        <x:v>953</x:v>
      </x:c>
      <x:c r="K5010" s="87" t="n">
        <x:v>15</x:v>
      </x:c>
      <x:c r="L5010" s="87" t="str">
        <x:v>Правописание Н/НН</x:v>
      </x:c>
      <x:c r="M5010" s="30" t="str">
        <x:v>пишется одна буква Н. Нравстве(1)ая жизнь в совреме(2)иках Лермонтова была соверше(3)о парализова(4)а. Ответ: . Г16 Укажите предложения. в которых</x:v>
      </x:c>
      <x:c r="N5010" s="30" t="str">
        <x:v>4</x:v>
      </x:c>
      <x:c r="O5010" s="30" t="str">
        <x:v>Ответ перенесён из сводной таблицы и связан с исходным заданием.</x:v>
      </x:c>
      <x:c r="P5010" s="30"/>
      <x:c r="Q5010" s="30" t="str">
        <x:v>Ответ визуально сверён с таблицей ответов; условие привязано к исходной странице.</x:v>
      </x:c>
      <x:c r="R5010" s="30" t="str">
        <x:v>4</x:v>
      </x:c>
      <x:c r="S5010" s="30"/>
      <x:c r="T5010" s="30" t="str">
        <x:v>ОТВЕТЫ (2).docx</x:v>
      </x:c>
      <x:c r="U5010" s="30" t="str">
        <x:v>Расхождений с таблицей ответов не выявлено.</x:v>
      </x:c>
      <x:c r="V5010" s="87" t="str">
        <x:v>VERIFIED</x:v>
      </x:c>
      <x:c r="W5010" s="87"/>
      <x:c r="X5010" s="87"/>
      <x:c r="Y5010" s="87" t="n">
        <x:v>9</x:v>
      </x:c>
      <x:c r="Z5010" s="87" t="n">
        <x:v>9</x:v>
      </x:c>
      <x:c r="AA5010" s="87" t="str">
        <x:v>страница 1</x:v>
      </x:c>
      <x:c r="AB5010" s="87"/>
      <x:c r="AC5010" s="87" t="str">
        <x:v>VIS-EGKR-RUS-W25-TASK-953-P009</x:v>
      </x:c>
      <x:c r="AD5010" s="87" t="str">
        <x:v>VIS-EGKR-RUS-W25-KEY-ALL-P001</x:v>
      </x:c>
      <x:c r="AE5010" s="87" t="str">
        <x:v>TASK; KEY</x:v>
      </x:c>
      <x:c r="AF5010" s="87" t="str">
        <x:v>VIS-EGKR-RUS-W25-TASK-953-P009: 9; VIS-EGKR-RUS-W25-KEY-ALL-P001: 1</x:v>
      </x:c>
      <x:c r="AG5010" s="87" t="str">
        <x:v>RESOLVED</x:v>
      </x:c>
      <x:c r="AH5010" s="87" t="str">
        <x:v>CROP_VERIFIED</x:v>
      </x:c>
      <x:c r="AI5010" s="30"/>
      <x:c r="AJ5010" s="87" t="str">
        <x:v>clean</x:v>
      </x:c>
      <x:c r="AK5010" s="87" t="str">
        <x:v>clean-v0.10</x:v>
      </x:c>
      <x:c r="AL5010" s="87" t="str">
        <x:v>statgrad_clean_continuation_v0_10(1).xlsx</x:v>
      </x:c>
      <x:c r="AM5010" s="87" t="str">
        <x:v>RUS_EGKR_953</x:v>
      </x:c>
      <x:c r="AN5010" s="87" t="n">
        <x:v>16</x:v>
      </x:c>
    </x:row>
    <x:row r="5011">
      <x:c r="A5011" s="87" t="n">
        <x:v>5010</x:v>
      </x:c>
      <x:c r="B5011" s="87" t="str">
        <x:v>EGKR-W25-RUS-953-16</x:v>
      </x:c>
      <x:c r="C5011" s="87" t="str">
        <x:v>ЕГКР</x:v>
      </x:c>
      <x:c r="D5011" s="87"/>
      <x:c r="E5011" s="87" t="str">
        <x:v>Зима 2025</x:v>
      </x:c>
      <x:c r="F5011" s="87" t="str">
        <x:v>09.12.2025</x:v>
      </x:c>
      <x:c r="G5011" s="87" t="str">
        <x:v>Русский язык</x:v>
      </x:c>
      <x:c r="H5011" s="87" t="n">
        <x:v>11</x:v>
      </x:c>
      <x:c r="I5011" s="87"/>
      <x:c r="J5011" s="87" t="str">
        <x:v>953</x:v>
      </x:c>
      <x:c r="K5011" s="87" t="n">
        <x:v>16</x:v>
      </x:c>
      <x:c r="L5011" s="87" t="str">
        <x:v>Пунктуация в простом и сложносочинённом предложении</x:v>
      </x:c>
      <x:c r="M5011" s="30" t="str">
        <x:v>нужно поставить ОДНУ запятую. НИ Запишите номера этих предложений. 1) Сова тиха да итиц душит. 2) Мой спутник был в обыкновенном чёрном костюме шерстяном свитере полотняной рубашке. 3) Буран и вьюга и холода задерживали наше продвижение. 4) Днём и ночью шли дожди и нам пришлось отложить поход и скучать дома. 5} Ваш собеседник должен иметь возможность высказать свою мысль ло конца и вы должны слушать ero молча. Ответ: _. о + 17 . Укажите цифру(-ы}. Ha месте которой(-ых)</x:v>
      </x:c>
      <x:c r="N5011" s="30" t="str">
        <x:v>145</x:v>
      </x:c>
      <x:c r="O5011" s="30" t="str">
        <x:v>Ответ перенесён из сводной таблицы и связан с исходным заданием.</x:v>
      </x:c>
      <x:c r="P5011" s="30"/>
      <x:c r="Q5011" s="30" t="str">
        <x:v>Ответ визуально сверён с таблицей ответов; условие привязано к исходной странице.</x:v>
      </x:c>
      <x:c r="R5011" s="30" t="str">
        <x:v>145</x:v>
      </x:c>
      <x:c r="S5011" s="30"/>
      <x:c r="T5011" s="30" t="str">
        <x:v>ОТВЕТЫ (2).docx</x:v>
      </x:c>
      <x:c r="U5011" s="30" t="str">
        <x:v>Расхождений с таблицей ответов не выявлено.</x:v>
      </x:c>
      <x:c r="V5011" s="87" t="str">
        <x:v>VERIFIED</x:v>
      </x:c>
      <x:c r="W5011" s="87"/>
      <x:c r="X5011" s="87"/>
      <x:c r="Y5011" s="87" t="n">
        <x:v>9</x:v>
      </x:c>
      <x:c r="Z5011" s="87" t="n">
        <x:v>9</x:v>
      </x:c>
      <x:c r="AA5011" s="87" t="str">
        <x:v>страница 1</x:v>
      </x:c>
      <x:c r="AB5011" s="87"/>
      <x:c r="AC5011" s="87" t="str">
        <x:v>VIS-EGKR-RUS-W25-TASK-953-P009</x:v>
      </x:c>
      <x:c r="AD5011" s="87" t="str">
        <x:v>VIS-EGKR-RUS-W25-KEY-ALL-P001</x:v>
      </x:c>
      <x:c r="AE5011" s="87" t="str">
        <x:v>TASK; KEY</x:v>
      </x:c>
      <x:c r="AF5011" s="87" t="str">
        <x:v>VIS-EGKR-RUS-W25-TASK-953-P009: 9; VIS-EGKR-RUS-W25-KEY-ALL-P001: 1</x:v>
      </x:c>
      <x:c r="AG5011" s="87" t="str">
        <x:v>RESOLVED</x:v>
      </x:c>
      <x:c r="AH5011" s="87" t="str">
        <x:v>CROP_VERIFIED</x:v>
      </x:c>
      <x:c r="AI5011" s="30"/>
      <x:c r="AJ5011" s="87" t="str">
        <x:v>clean</x:v>
      </x:c>
      <x:c r="AK5011" s="87" t="str">
        <x:v>clean-v0.10</x:v>
      </x:c>
      <x:c r="AL5011" s="87" t="str">
        <x:v>statgrad_clean_continuation_v0_10(1).xlsx</x:v>
      </x:c>
      <x:c r="AM5011" s="87" t="str">
        <x:v>RUS_EGKR_953</x:v>
      </x:c>
      <x:c r="AN5011" s="87" t="n">
        <x:v>17</x:v>
      </x:c>
    </x:row>
    <x:row r="5012">
      <x:c r="A5012" s="87" t="n">
        <x:v>5011</x:v>
      </x:c>
      <x:c r="B5012" s="87" t="str">
        <x:v>EGKR-W25-RUS-953-17</x:v>
      </x:c>
      <x:c r="C5012" s="87" t="str">
        <x:v>ЕГКР</x:v>
      </x:c>
      <x:c r="D5012" s="87"/>
      <x:c r="E5012" s="87" t="str">
        <x:v>Зима 2025</x:v>
      </x:c>
      <x:c r="F5012" s="87" t="str">
        <x:v>09.12.2025</x:v>
      </x:c>
      <x:c r="G5012" s="87" t="str">
        <x:v>Русский язык</x:v>
      </x:c>
      <x:c r="H5012" s="87" t="n">
        <x:v>11</x:v>
      </x:c>
      <x:c r="I5012" s="87"/>
      <x:c r="J5012" s="87" t="str">
        <x:v>953</x:v>
      </x:c>
      <x:c r="K5012" s="87" t="n">
        <x:v>17</x:v>
      </x:c>
      <x:c r="L5012" s="87" t="str">
        <x:v>Обособленные определения и обстоятельства</x:v>
      </x:c>
      <x:c r="M5012" s="30" t="str">
        <x:v>должна(-ы) стоять запятая(-ые). Лес (1) наряженный в серебристый иней (2) окружал нас (3} потряхивая (4) заснеженными верхушками. Ответ: . © 2528 © 5НУ “Федезальньй иестутут -еда-сти-еских измерений" МАММ.Е'Р ВУ Зстиссвание не допускается</x:v>
      </x:c>
      <x:c r="N5012" s="30" t="str">
        <x:v>123</x:v>
      </x:c>
      <x:c r="O5012" s="30" t="str">
        <x:v>Ответ перенесён из сводной таблицы и связан с исходным заданием.</x:v>
      </x:c>
      <x:c r="P5012" s="30"/>
      <x:c r="Q5012" s="30" t="str">
        <x:v>Ответ визуально сверён с таблицей ответов; условие привязано к исходной странице.</x:v>
      </x:c>
      <x:c r="R5012" s="30" t="str">
        <x:v>123</x:v>
      </x:c>
      <x:c r="S5012" s="30"/>
      <x:c r="T5012" s="30" t="str">
        <x:v>ОТВЕТЫ (2).docx</x:v>
      </x:c>
      <x:c r="U5012" s="30" t="str">
        <x:v>Расхождений с таблицей ответов не выявлено.</x:v>
      </x:c>
      <x:c r="V5012" s="87" t="str">
        <x:v>VERIFIED</x:v>
      </x:c>
      <x:c r="W5012" s="87"/>
      <x:c r="X5012" s="87"/>
      <x:c r="Y5012" s="87" t="n">
        <x:v>9</x:v>
      </x:c>
      <x:c r="Z5012" s="87" t="n">
        <x:v>9</x:v>
      </x:c>
      <x:c r="AA5012" s="87" t="str">
        <x:v>страница 1</x:v>
      </x:c>
      <x:c r="AB5012" s="87"/>
      <x:c r="AC5012" s="87" t="str">
        <x:v>VIS-EGKR-RUS-W25-TASK-953-P009</x:v>
      </x:c>
      <x:c r="AD5012" s="87" t="str">
        <x:v>VIS-EGKR-RUS-W25-KEY-ALL-P001</x:v>
      </x:c>
      <x:c r="AE5012" s="87" t="str">
        <x:v>TASK; KEY</x:v>
      </x:c>
      <x:c r="AF5012" s="87" t="str">
        <x:v>VIS-EGKR-RUS-W25-TASK-953-P009: 9; VIS-EGKR-RUS-W25-KEY-ALL-P001: 1</x:v>
      </x:c>
      <x:c r="AG5012" s="87" t="str">
        <x:v>RESOLVED</x:v>
      </x:c>
      <x:c r="AH5012" s="87" t="str">
        <x:v>CROP_VERIFIED</x:v>
      </x:c>
      <x:c r="AI5012" s="30"/>
      <x:c r="AJ5012" s="87" t="str">
        <x:v>clean</x:v>
      </x:c>
      <x:c r="AK5012" s="87" t="str">
        <x:v>clean-v0.10</x:v>
      </x:c>
      <x:c r="AL5012" s="87" t="str">
        <x:v>statgrad_clean_continuation_v0_10(1).xlsx</x:v>
      </x:c>
      <x:c r="AM5012" s="87" t="str">
        <x:v>RUS_EGKR_953</x:v>
      </x:c>
      <x:c r="AN5012" s="87" t="n">
        <x:v>18</x:v>
      </x:c>
    </x:row>
    <x:row r="5013">
      <x:c r="A5013" s="87" t="n">
        <x:v>5012</x:v>
      </x:c>
      <x:c r="B5013" s="87" t="str">
        <x:v>EGKR-W25-RUS-953-18</x:v>
      </x:c>
      <x:c r="C5013" s="87" t="str">
        <x:v>ЕГКР</x:v>
      </x:c>
      <x:c r="D5013" s="87"/>
      <x:c r="E5013" s="87" t="str">
        <x:v>Зима 2025</x:v>
      </x:c>
      <x:c r="F5013" s="87" t="str">
        <x:v>09.12.2025</x:v>
      </x:c>
      <x:c r="G5013" s="87" t="str">
        <x:v>Русский язык</x:v>
      </x:c>
      <x:c r="H5013" s="87" t="n">
        <x:v>11</x:v>
      </x:c>
      <x:c r="I5013" s="87"/>
      <x:c r="J5013" s="87" t="str">
        <x:v>953</x:v>
      </x:c>
      <x:c r="K5013" s="87" t="n">
        <x:v>18</x:v>
      </x:c>
      <x:c r="L5013" s="87" t="str">
        <x:v>Вводные слова и обращения</x:v>
      </x:c>
      <x:c r="M5013" s="30" t="str">
        <x:v>должна(-ы) стоять запятая(-ые). Лирика А.А. Ахматовой (1) безусловно (2) неотъемлемая часть нашей культуры. и (3) по убеждению А.Т. Твардовского (4) сна никогда не утратит свежести на древе русской поэзии. Ответ: . 19 Укажите пифру(-ы!). на месте которой(-ых)</x:v>
      </x:c>
      <x:c r="N5013" s="30" t="str">
        <x:v>1234</x:v>
      </x:c>
      <x:c r="O5013" s="30" t="str">
        <x:v>Ответ перенесён из сводной таблицы и связан с исходным заданием.</x:v>
      </x:c>
      <x:c r="P5013" s="30"/>
      <x:c r="Q5013" s="30" t="str">
        <x:v>Ответ визуально сверён с таблицей ответов; условие привязано к исходной странице.</x:v>
      </x:c>
      <x:c r="R5013" s="30" t="str">
        <x:v>1234</x:v>
      </x:c>
      <x:c r="S5013" s="30"/>
      <x:c r="T5013" s="30" t="str">
        <x:v>ОТВЕТЫ (2).docx</x:v>
      </x:c>
      <x:c r="U5013" s="30" t="str">
        <x:v>Расхождений с таблицей ответов не выявлено.</x:v>
      </x:c>
      <x:c r="V5013" s="87" t="str">
        <x:v>VERIFIED</x:v>
      </x:c>
      <x:c r="W5013" s="87"/>
      <x:c r="X5013" s="87"/>
      <x:c r="Y5013" s="87" t="n">
        <x:v>10</x:v>
      </x:c>
      <x:c r="Z5013" s="87" t="n">
        <x:v>10</x:v>
      </x:c>
      <x:c r="AA5013" s="87" t="str">
        <x:v>страница 1</x:v>
      </x:c>
      <x:c r="AB5013" s="87"/>
      <x:c r="AC5013" s="87" t="str">
        <x:v>VIS-EGKR-RUS-W25-TASK-953-P010</x:v>
      </x:c>
      <x:c r="AD5013" s="87" t="str">
        <x:v>VIS-EGKR-RUS-W25-KEY-ALL-P001</x:v>
      </x:c>
      <x:c r="AE5013" s="87" t="str">
        <x:v>TASK; KEY</x:v>
      </x:c>
      <x:c r="AF5013" s="87" t="str">
        <x:v>VIS-EGKR-RUS-W25-TASK-953-P010: 10; VIS-EGKR-RUS-W25-KEY-ALL-P001: 1</x:v>
      </x:c>
      <x:c r="AG5013" s="87" t="str">
        <x:v>RESOLVED</x:v>
      </x:c>
      <x:c r="AH5013" s="87" t="str">
        <x:v>CROP_VERIFIED</x:v>
      </x:c>
      <x:c r="AI5013" s="30"/>
      <x:c r="AJ5013" s="87" t="str">
        <x:v>clean</x:v>
      </x:c>
      <x:c r="AK5013" s="87" t="str">
        <x:v>clean-v0.10</x:v>
      </x:c>
      <x:c r="AL5013" s="87" t="str">
        <x:v>statgrad_clean_continuation_v0_10(1).xlsx</x:v>
      </x:c>
      <x:c r="AM5013" s="87" t="str">
        <x:v>RUS_EGKR_953</x:v>
      </x:c>
      <x:c r="AN5013" s="87" t="n">
        <x:v>19</x:v>
      </x:c>
    </x:row>
    <x:row r="5014">
      <x:c r="A5014" s="87" t="n">
        <x:v>5013</x:v>
      </x:c>
      <x:c r="B5014" s="87" t="str">
        <x:v>EGKR-W25-RUS-953-19</x:v>
      </x:c>
      <x:c r="C5014" s="87" t="str">
        <x:v>ЕГКР</x:v>
      </x:c>
      <x:c r="D5014" s="87"/>
      <x:c r="E5014" s="87" t="str">
        <x:v>Зима 2025</x:v>
      </x:c>
      <x:c r="F5014" s="87" t="str">
        <x:v>09.12.2025</x:v>
      </x:c>
      <x:c r="G5014" s="87" t="str">
        <x:v>Русский язык</x:v>
      </x:c>
      <x:c r="H5014" s="87" t="n">
        <x:v>11</x:v>
      </x:c>
      <x:c r="I5014" s="87"/>
      <x:c r="J5014" s="87" t="str">
        <x:v>953</x:v>
      </x:c>
      <x:c r="K5014" s="87" t="n">
        <x:v>19</x:v>
      </x:c>
      <x:c r="L5014" s="87" t="str">
        <x:v>Знаки препинания в сложноподчинённом предложении</x:v>
      </x:c>
      <x:c r="M5014" s="30" t="str">
        <x:v>должна(-ы) стоять запятая(-ые). На раскидистых ветвях лревней ели (1) самая верхушка (2) которой (3) была расщеплена молнией (4) висели гроздья шишек. Ответ: . 20 | Укажите цифру(-ы). на месте которой(-ых)</x:v>
      </x:c>
      <x:c r="N5014" s="30" t="str">
        <x:v>14</x:v>
      </x:c>
      <x:c r="O5014" s="30" t="str">
        <x:v>Ответ перенесён из сводной таблицы и связан с исходным заданием.</x:v>
      </x:c>
      <x:c r="P5014" s="30"/>
      <x:c r="Q5014" s="30" t="str">
        <x:v>Ответ визуально сверён с таблицей ответов; условие привязано к исходной странице.</x:v>
      </x:c>
      <x:c r="R5014" s="30" t="str">
        <x:v>14</x:v>
      </x:c>
      <x:c r="S5014" s="30"/>
      <x:c r="T5014" s="30" t="str">
        <x:v>ОТВЕТЫ (2).docx</x:v>
      </x:c>
      <x:c r="U5014" s="30" t="str">
        <x:v>Расхождений с таблицей ответов не выявлено.</x:v>
      </x:c>
      <x:c r="V5014" s="87" t="str">
        <x:v>VERIFIED</x:v>
      </x:c>
      <x:c r="W5014" s="87"/>
      <x:c r="X5014" s="87"/>
      <x:c r="Y5014" s="87" t="n">
        <x:v>10</x:v>
      </x:c>
      <x:c r="Z5014" s="87" t="n">
        <x:v>10</x:v>
      </x:c>
      <x:c r="AA5014" s="87" t="str">
        <x:v>страница 1</x:v>
      </x:c>
      <x:c r="AB5014" s="87"/>
      <x:c r="AC5014" s="87" t="str">
        <x:v>VIS-EGKR-RUS-W25-TASK-953-P010</x:v>
      </x:c>
      <x:c r="AD5014" s="87" t="str">
        <x:v>VIS-EGKR-RUS-W25-KEY-ALL-P001</x:v>
      </x:c>
      <x:c r="AE5014" s="87" t="str">
        <x:v>TASK; KEY</x:v>
      </x:c>
      <x:c r="AF5014" s="87" t="str">
        <x:v>VIS-EGKR-RUS-W25-TASK-953-P010: 10; VIS-EGKR-RUS-W25-KEY-ALL-P001: 1</x:v>
      </x:c>
      <x:c r="AG5014" s="87" t="str">
        <x:v>RESOLVED</x:v>
      </x:c>
      <x:c r="AH5014" s="87" t="str">
        <x:v>CROP_VERIFIED</x:v>
      </x:c>
      <x:c r="AI5014" s="30"/>
      <x:c r="AJ5014" s="87" t="str">
        <x:v>clean</x:v>
      </x:c>
      <x:c r="AK5014" s="87" t="str">
        <x:v>clean-v0.10</x:v>
      </x:c>
      <x:c r="AL5014" s="87" t="str">
        <x:v>statgrad_clean_continuation_v0_10(1).xlsx</x:v>
      </x:c>
      <x:c r="AM5014" s="87" t="str">
        <x:v>RUS_EGKR_953</x:v>
      </x:c>
      <x:c r="AN5014" s="87" t="n">
        <x:v>20</x:v>
      </x:c>
    </x:row>
    <x:row r="5015">
      <x:c r="A5015" s="87" t="n">
        <x:v>5014</x:v>
      </x:c>
      <x:c r="B5015" s="87" t="str">
        <x:v>EGKR-W25-RUS-953-20</x:v>
      </x:c>
      <x:c r="C5015" s="87" t="str">
        <x:v>ЕГКР</x:v>
      </x:c>
      <x:c r="D5015" s="87"/>
      <x:c r="E5015" s="87" t="str">
        <x:v>Зима 2025</x:v>
      </x:c>
      <x:c r="F5015" s="87" t="str">
        <x:v>09.12.2025</x:v>
      </x:c>
      <x:c r="G5015" s="87" t="str">
        <x:v>Русский язык</x:v>
      </x:c>
      <x:c r="H5015" s="87" t="n">
        <x:v>11</x:v>
      </x:c>
      <x:c r="I5015" s="87"/>
      <x:c r="J5015" s="87" t="str">
        <x:v>953</x:v>
      </x:c>
      <x:c r="K5015" s="87" t="n">
        <x:v>20</x:v>
      </x:c>
      <x:c r="L5015" s="87" t="str">
        <x:v>Знаки препинания в сложном предложении</x:v>
      </x:c>
      <x:c r="M5015" s="30" t="str">
        <x:v>должна(-ы} стоять запятая(-ые). Остаток дня тянулся для Захара нестерпимо долго (1) и (2) когда солнце зашло (3) и серые тени стали закрывать землю (4) он почувствовал облегчение. </x:v>
      </x:c>
      <x:c r="N5015" s="30" t="str">
        <x:v>24</x:v>
      </x:c>
      <x:c r="O5015" s="30" t="str">
        <x:v>Ответ перенесён из сводной таблицы и связан с исходным заданием.</x:v>
      </x:c>
      <x:c r="P5015" s="30"/>
      <x:c r="Q5015" s="30" t="str">
        <x:v>Ответ визуально сверён с таблицей ответов; условие привязано к исходной странице.</x:v>
      </x:c>
      <x:c r="R5015" s="30" t="str">
        <x:v>24</x:v>
      </x:c>
      <x:c r="S5015" s="30"/>
      <x:c r="T5015" s="30" t="str">
        <x:v>ОТВЕТЫ (2).docx</x:v>
      </x:c>
      <x:c r="U5015" s="30" t="str">
        <x:v>Расхождений с таблицей ответов не выявлено.</x:v>
      </x:c>
      <x:c r="V5015" s="87" t="str">
        <x:v>VERIFIED</x:v>
      </x:c>
      <x:c r="W5015" s="87"/>
      <x:c r="X5015" s="87"/>
      <x:c r="Y5015" s="87" t="n">
        <x:v>10</x:v>
      </x:c>
      <x:c r="Z5015" s="87" t="n">
        <x:v>10</x:v>
      </x:c>
      <x:c r="AA5015" s="87" t="str">
        <x:v>страница 1</x:v>
      </x:c>
      <x:c r="AB5015" s="87"/>
      <x:c r="AC5015" s="87" t="str">
        <x:v>VIS-EGKR-RUS-W25-TASK-953-P010</x:v>
      </x:c>
      <x:c r="AD5015" s="87" t="str">
        <x:v>VIS-EGKR-RUS-W25-KEY-ALL-P001</x:v>
      </x:c>
      <x:c r="AE5015" s="87" t="str">
        <x:v>TASK; KEY</x:v>
      </x:c>
      <x:c r="AF5015" s="87" t="str">
        <x:v>VIS-EGKR-RUS-W25-TASK-953-P010: 10; VIS-EGKR-RUS-W25-KEY-ALL-P001: 1</x:v>
      </x:c>
      <x:c r="AG5015" s="87" t="str">
        <x:v>RESOLVED</x:v>
      </x:c>
      <x:c r="AH5015" s="87" t="str">
        <x:v>CROP_VERIFIED</x:v>
      </x:c>
      <x:c r="AI5015" s="30"/>
      <x:c r="AJ5015" s="87" t="str">
        <x:v>clean</x:v>
      </x:c>
      <x:c r="AK5015" s="87" t="str">
        <x:v>clean-v0.10</x:v>
      </x:c>
      <x:c r="AL5015" s="87" t="str">
        <x:v>statgrad_clean_continuation_v0_10(1).xlsx</x:v>
      </x:c>
      <x:c r="AM5015" s="87" t="str">
        <x:v>RUS_EGKR_953</x:v>
      </x:c>
      <x:c r="AN5015" s="87" t="n">
        <x:v>21</x:v>
      </x:c>
    </x:row>
    <x:row r="5016">
      <x:c r="A5016" s="87" t="n">
        <x:v>5015</x:v>
      </x:c>
      <x:c r="B5016" s="87" t="str">
        <x:v>EGKR-W25-RUS-953-21</x:v>
      </x:c>
      <x:c r="C5016" s="87" t="str">
        <x:v>ЕГКР</x:v>
      </x:c>
      <x:c r="D5016" s="87"/>
      <x:c r="E5016" s="87" t="str">
        <x:v>Зима 2025</x:v>
      </x:c>
      <x:c r="F5016" s="87" t="str">
        <x:v>09.12.2025</x:v>
      </x:c>
      <x:c r="G5016" s="87" t="str">
        <x:v>Русский язык</x:v>
      </x:c>
      <x:c r="H5016" s="87" t="n">
        <x:v>11</x:v>
      </x:c>
      <x:c r="I5016" s="87"/>
      <x:c r="J5016" s="87" t="str">
        <x:v>953</x:v>
      </x:c>
      <x:c r="K5016" s="87" t="n">
        <x:v>21</x:v>
      </x:c>
      <x:c r="L5016" s="87" t="str">
        <x:v>Пунктуационный анализ</x:v>
      </x:c>
      <x:c r="M5016" s="30" t="str">
        <x:v>21 о Пайлите предложения. 8 которых двоеточие ставится в соответствии с одним и тем же правилом пунктуации. Запишите номера этих предложений. (Каждый раз. когла приближалась осень. начинались разговоры о том. что многое в природе устроено не так. как бы нам хотелось: зима у нас длинная. затяжная. лето гораздо короче зимы. а осень проходит мгновенно и оставляет внечатление промелькнувшей за окном золотой птицы. (2)Разговоры наши любил слушать внук лесника Ваня Малявин. мальчик лет пятнадцати. который часто приходил к нам в деревню и приносил дары леса: то белые грибы. то решето брусники. (3)Однажды Ваня. выкопав маленькую берёзу. обложил корни сё сырым мхом. принёс нам и сказал: «Вот эту берёзку посадите в деревянную калку и поставьте в тёплой комнате. и она всю зиму будет зелёная». (4)В саду уже поселилась осень: горели тёмным пурпуром клёны. порозовел бересклет. ссыхался дикий виноград на беселке. кое-где на берёзах в салу появились жёлтые пряди. но берёза в комнате. казалось. всё молодела. (5)B эту ночь я проснулся от протяжного и приятного звука: пастуший рожок пел в темноте. (6)Я оделся и вышел в сад, где веё падали и падали листья. (7)Я вернулся в комнаты: в них было темно. сонно. (8)В бледном свете зари стояла маленькая берёза, и вдруг я заметил: почти вся она за эту ночь пожелтела. и несколько лимонных листьев лежало на полу. (9)Комнатная теплота не спасла берёзу. и через день она облетела вся. как будто ис хотела отставать от своих взрослых подруг. осыпавшихся в холодных лесах. (По К.Г. Паустовскому) Ответ: . ©2028 © SHY ‘оедеральный и-тичут педагогических измесен/?` ММАМЕР RU &lt; /2288-7е ме допускается</x:v>
      </x:c>
      <x:c r="N5016" s="30" t="str">
        <x:v>1457</x:v>
      </x:c>
      <x:c r="O5016" s="30" t="str">
        <x:v>Ответ перенесён из сводной таблицы и связан с исходным заданием.</x:v>
      </x:c>
      <x:c r="P5016" s="30"/>
      <x:c r="Q5016" s="30" t="str">
        <x:v>Ответ визуально сверён с таблицей ответов; условие привязано к исходной странице.</x:v>
      </x:c>
      <x:c r="R5016" s="30" t="str">
        <x:v>1457</x:v>
      </x:c>
      <x:c r="S5016" s="30"/>
      <x:c r="T5016" s="30" t="str">
        <x:v>ОТВЕТЫ (2).docx</x:v>
      </x:c>
      <x:c r="U5016" s="30" t="str">
        <x:v>Расхождений с таблицей ответов не выявлено.</x:v>
      </x:c>
      <x:c r="V5016" s="87" t="str">
        <x:v>VERIFIED</x:v>
      </x:c>
      <x:c r="W5016" s="87"/>
      <x:c r="X5016" s="87"/>
      <x:c r="Y5016" s="87" t="n">
        <x:v>11</x:v>
      </x:c>
      <x:c r="Z5016" s="87" t="n">
        <x:v>11</x:v>
      </x:c>
      <x:c r="AA5016" s="87" t="str">
        <x:v>страница 1</x:v>
      </x:c>
      <x:c r="AB5016" s="87"/>
      <x:c r="AC5016" s="87" t="str">
        <x:v>VIS-EGKR-RUS-W25-TASK-953-P011</x:v>
      </x:c>
      <x:c r="AD5016" s="87" t="str">
        <x:v>VIS-EGKR-RUS-W25-KEY-ALL-P001</x:v>
      </x:c>
      <x:c r="AE5016" s="87" t="str">
        <x:v>TASK; KEY</x:v>
      </x:c>
      <x:c r="AF5016" s="87" t="str">
        <x:v>VIS-EGKR-RUS-W25-TASK-953-P011: 11; VIS-EGKR-RUS-W25-KEY-ALL-P001: 1</x:v>
      </x:c>
      <x:c r="AG5016" s="87" t="str">
        <x:v>RESOLVED</x:v>
      </x:c>
      <x:c r="AH5016" s="87" t="str">
        <x:v>CROP_VERIFIED</x:v>
      </x:c>
      <x:c r="AI5016" s="30"/>
      <x:c r="AJ5016" s="87" t="str">
        <x:v>clean</x:v>
      </x:c>
      <x:c r="AK5016" s="87" t="str">
        <x:v>clean-v0.10</x:v>
      </x:c>
      <x:c r="AL5016" s="87" t="str">
        <x:v>statgrad_clean_continuation_v0_10(1).xlsx</x:v>
      </x:c>
      <x:c r="AM5016" s="87" t="str">
        <x:v>RUS_EGKR_953</x:v>
      </x:c>
      <x:c r="AN5016" s="87" t="n">
        <x:v>22</x:v>
      </x:c>
    </x:row>
    <x:row r="5017">
      <x:c r="A5017" s="87" t="n">
        <x:v>5016</x:v>
      </x:c>
      <x:c r="B5017" s="87" t="str">
        <x:v>EGKR-W25-RUS-953-22</x:v>
      </x:c>
      <x:c r="C5017" s="87" t="str">
        <x:v>ЕГКР</x:v>
      </x:c>
      <x:c r="D5017" s="87"/>
      <x:c r="E5017" s="87" t="str">
        <x:v>Зима 2025</x:v>
      </x:c>
      <x:c r="F5017" s="87" t="str">
        <x:v>09.12.2025</x:v>
      </x:c>
      <x:c r="G5017" s="87" t="str">
        <x:v>Русский язык</x:v>
      </x:c>
      <x:c r="H5017" s="87" t="n">
        <x:v>11</x:v>
      </x:c>
      <x:c r="I5017" s="87"/>
      <x:c r="J5017" s="87" t="str">
        <x:v>953</x:v>
      </x:c>
      <x:c r="K5017" s="87" t="n">
        <x:v>22</x:v>
      </x:c>
      <x:c r="L5017" s="87" t="str">
        <x:v>Средства выразительности</x:v>
      </x:c>
      <x:c r="M5017" s="30" t="str">
        <x:v>изобразительно-выразительных средств языка. которые употреблены в них: к каждой позиции первого столбца подберите соответствующую позицию из второго столбца. ПРЕДЛОЖЕНИЯ ИЗОБРАЗИТЕЛЬНО- ВЫРАЗИТЕЛЬНЫЕ СРЕДСТВА ЯЗЫКА А} А вдали. чернея. выползают тучи. 1} бессоюзие И ревёт сердито грозная река. 2) анафора (С.Л. Есенин) 3} антитеза Б) Не волнуйся, не плачь, не труди 4} лексический повтор Сил иссякших и сердиа не мучай. 5) гипербола (Б.Я. Пастернак) 6) риторическое обрашение B) Ругал Гомера. Феокрита. зато читал 7} азлитерация Авама Смита. . 8) acconane (AC. Пушкии) 9) метонимия Г} Редкая птина долетит до середины Днепра. (to Н.В. Гоголю) jl) Вродная земля! Я твоей красотой растревожен. Всё проходит. но ты оставайся такой на века. (К.В. Скворцов) Запишите в таблицу выбранные цифры под соответствующими буквами. АТБ. В. Е.Д Ответ: | И ar oe у Прочитайте текст и выполните задания 23-27. (ПЗакончив обучение в Педагогическом институте. Евгения Андреевна Сазонова вернулась в ролной город. чтобы надолго остаться в нём, (2)Путь от вокзала пешком немного утомил её. (3)И на минуту она присела на скамейку рялом с мальчиком. (4)Он. подняв голову, залумчиво. блестящими глазами смотрел вверх, в небо. (5)Невысоко над городом летели журавли. (6)Она проводила HX взглялом. (7)Потом обернулась к мальчику и спросила его. — (8)А хочется тебе быть птицей? (9)И мальчик. не задумываясь, ответил. что хочется.</x:v>
      </x:c>
      <x:c r="N5017" s="30" t="str">
        <x:v>71956</x:v>
      </x:c>
      <x:c r="O5017" s="30" t="str">
        <x:v>Ответ перенесён из сводной таблицы и связан с исходным заданием.</x:v>
      </x:c>
      <x:c r="P5017" s="30"/>
      <x:c r="Q5017" s="30" t="str">
        <x:v>Ответ визуально сверён с таблицей ответов; условие привязано к исходной странице.</x:v>
      </x:c>
      <x:c r="R5017" s="30" t="str">
        <x:v>71956</x:v>
      </x:c>
      <x:c r="S5017" s="30"/>
      <x:c r="T5017" s="30" t="str">
        <x:v>ОТВЕТЫ (2).docx</x:v>
      </x:c>
      <x:c r="U5017" s="30" t="str">
        <x:v>Расхождений с таблицей ответов не выявлено.</x:v>
      </x:c>
      <x:c r="V5017" s="87" t="str">
        <x:v>VERIFIED</x:v>
      </x:c>
      <x:c r="W5017" s="87"/>
      <x:c r="X5017" s="87"/>
      <x:c r="Y5017" s="87" t="n">
        <x:v>12</x:v>
      </x:c>
      <x:c r="Z5017" s="87" t="n">
        <x:v>12</x:v>
      </x:c>
      <x:c r="AA5017" s="87" t="str">
        <x:v>страница 1</x:v>
      </x:c>
      <x:c r="AB5017" s="87"/>
      <x:c r="AC5017" s="87" t="str">
        <x:v>VIS-EGKR-RUS-W25-TASK-953-P012</x:v>
      </x:c>
      <x:c r="AD5017" s="87" t="str">
        <x:v>VIS-EGKR-RUS-W25-KEY-ALL-P001</x:v>
      </x:c>
      <x:c r="AE5017" s="87" t="str">
        <x:v>TASK; KEY</x:v>
      </x:c>
      <x:c r="AF5017" s="87" t="str">
        <x:v>VIS-EGKR-RUS-W25-TASK-953-P012: 12; VIS-EGKR-RUS-W25-KEY-ALL-P001: 1</x:v>
      </x:c>
      <x:c r="AG5017" s="87" t="str">
        <x:v>RESOLVED</x:v>
      </x:c>
      <x:c r="AH5017" s="87" t="str">
        <x:v>CROP_VERIFIED</x:v>
      </x:c>
      <x:c r="AI5017" s="30"/>
      <x:c r="AJ5017" s="87" t="str">
        <x:v>clean</x:v>
      </x:c>
      <x:c r="AK5017" s="87" t="str">
        <x:v>clean-v0.10</x:v>
      </x:c>
      <x:c r="AL5017" s="87" t="str">
        <x:v>statgrad_clean_continuation_v0_10(1).xlsx</x:v>
      </x:c>
      <x:c r="AM5017" s="87" t="str">
        <x:v>RUS_EGKR_953</x:v>
      </x:c>
      <x:c r="AN5017" s="87" t="n">
        <x:v>23</x:v>
      </x:c>
    </x:row>
    <x:row r="5018">
      <x:c r="A5018" s="87" t="n">
        <x:v>5017</x:v>
      </x:c>
      <x:c r="B5018" s="87" t="str">
        <x:v>EGKR-W25-RUS-953-23</x:v>
      </x:c>
      <x:c r="C5018" s="87" t="str">
        <x:v>ЕГКР</x:v>
      </x:c>
      <x:c r="D5018" s="87"/>
      <x:c r="E5018" s="87" t="str">
        <x:v>Зима 2025</x:v>
      </x:c>
      <x:c r="F5018" s="87" t="str">
        <x:v>09.12.2025</x:v>
      </x:c>
      <x:c r="G5018" s="87" t="str">
        <x:v>Русский язык</x:v>
      </x:c>
      <x:c r="H5018" s="87" t="n">
        <x:v>11</x:v>
      </x:c>
      <x:c r="I5018" s="87"/>
      <x:c r="J5018" s="87" t="str">
        <x:v>953</x:v>
      </x:c>
      <x:c r="K5018" s="87" t="n">
        <x:v>23</x:v>
      </x:c>
      <x:c r="L5018" s="87" t="str">
        <x:v>Содержание исходного текста</x:v>
      </x:c>
      <x:c r="M5018" s="30" t="str">
        <x:v>Какие из высказываний соответствуют содержанию текста? Укажите номера ответов. 1) Героиня рассказа приехала в родной город. чтобы преподавать историю. 2) Коллега Евгении Андреевны на протяжении всего урока читал вслух учебник и привёл в уныние весь класс. 3) Учительница не уверена в том. что у неё сеть педагогический талант. 4} Ученики привегливо встретили Евгению Андреевну. и многие из них вызвались отвечать, 5} Чтение Евгенией Андреевной «Евгения Онегина» заставило детей замолчать и прислушаться к голосу учительницы. ро:</x:v>
      </x:c>
      <x:c r="N5018" s="30" t="str">
        <x:v>35</x:v>
      </x:c>
      <x:c r="O5018" s="30" t="str">
        <x:v>Ответ перенесён из сводной таблицы и связан с исходным заданием.</x:v>
      </x:c>
      <x:c r="P5018" s="30"/>
      <x:c r="Q5018" s="30" t="str">
        <x:v>Ответ визуально сверён с таблицей ответов; условие привязано к исходной странице.</x:v>
      </x:c>
      <x:c r="R5018" s="30" t="str">
        <x:v>35</x:v>
      </x:c>
      <x:c r="S5018" s="30"/>
      <x:c r="T5018" s="30" t="str">
        <x:v>ОТВЕТЫ (2).docx</x:v>
      </x:c>
      <x:c r="U5018" s="30" t="str">
        <x:v>Расхождений с таблицей ответов не выявлено.</x:v>
      </x:c>
      <x:c r="V5018" s="87" t="str">
        <x:v>VERIFIED</x:v>
      </x:c>
      <x:c r="W5018" s="87"/>
      <x:c r="X5018" s="87"/>
      <x:c r="Y5018" s="87" t="n">
        <x:v>15</x:v>
      </x:c>
      <x:c r="Z5018" s="87" t="n">
        <x:v>15</x:v>
      </x:c>
      <x:c r="AA5018" s="87" t="str">
        <x:v>страница 1</x:v>
      </x:c>
      <x:c r="AB5018" s="87"/>
      <x:c r="AC5018" s="87" t="str">
        <x:v>VIS-EGKR-RUS-W25-TASK-953-P015</x:v>
      </x:c>
      <x:c r="AD5018" s="87" t="str">
        <x:v>VIS-EGKR-RUS-W25-KEY-ALL-P001</x:v>
      </x:c>
      <x:c r="AE5018" s="87" t="str">
        <x:v>TASK; KEY</x:v>
      </x:c>
      <x:c r="AF5018" s="87" t="str">
        <x:v>VIS-EGKR-RUS-W25-TASK-953-P015: 15; VIS-EGKR-RUS-W25-KEY-ALL-P001: 1</x:v>
      </x:c>
      <x:c r="AG5018" s="87" t="str">
        <x:v>RESOLVED</x:v>
      </x:c>
      <x:c r="AH5018" s="87" t="str">
        <x:v>CROP_VERIFIED</x:v>
      </x:c>
      <x:c r="AI5018" s="30"/>
      <x:c r="AJ5018" s="87" t="str">
        <x:v>clean</x:v>
      </x:c>
      <x:c r="AK5018" s="87" t="str">
        <x:v>clean-v0.10</x:v>
      </x:c>
      <x:c r="AL5018" s="87" t="str">
        <x:v>statgrad_clean_continuation_v0_10(1).xlsx</x:v>
      </x:c>
      <x:c r="AM5018" s="87" t="str">
        <x:v>RUS_EGKR_953</x:v>
      </x:c>
      <x:c r="AN5018" s="87" t="n">
        <x:v>24</x:v>
      </x:c>
    </x:row>
    <x:row r="5019">
      <x:c r="A5019" s="87" t="n">
        <x:v>5018</x:v>
      </x:c>
      <x:c r="B5019" s="87" t="str">
        <x:v>EGKR-W25-RUS-953-24</x:v>
      </x:c>
      <x:c r="C5019" s="87" t="str">
        <x:v>ЕГКР</x:v>
      </x:c>
      <x:c r="D5019" s="87"/>
      <x:c r="E5019" s="87" t="str">
        <x:v>Зима 2025</x:v>
      </x:c>
      <x:c r="F5019" s="87" t="str">
        <x:v>09.12.2025</x:v>
      </x:c>
      <x:c r="G5019" s="87" t="str">
        <x:v>Русский язык</x:v>
      </x:c>
      <x:c r="H5019" s="87" t="n">
        <x:v>11</x:v>
      </x:c>
      <x:c r="I5019" s="87"/>
      <x:c r="J5019" s="87" t="str">
        <x:v>953</x:v>
      </x:c>
      <x:c r="K5019" s="87" t="n">
        <x:v>24</x:v>
      </x:c>
      <x:c r="L5019" s="87" t="str">
        <x:v>Функционально-смысловые типы речи и логика текста</x:v>
      </x:c>
      <x:c r="M5019" s="30" t="str">
        <x:v>[ 24 ‹ Какис из перечисленных утвержлений являются верными? Укажите номера ответов. 1) В предложениях 1-7 представлено повествование. 2) В предложениях 26-30 представлено описание. 3} В предложении 37 содержится указание на причину того. с чём говорится в предложении 36. 4} Предложение 46 иротивопоставлено по содержанию предложению 45. 5) В предложении 60 содержится следствие из того. с чём говорится в предложении 59. Ответ: . 25 —</x:v>
      </x:c>
      <x:c r="N5019" s="30" t="str">
        <x:v>135</x:v>
      </x:c>
      <x:c r="O5019" s="30" t="str">
        <x:v>Ответ перенесён из сводной таблицы и связан с исходным заданием.</x:v>
      </x:c>
      <x:c r="P5019" s="30"/>
      <x:c r="Q5019" s="30" t="str">
        <x:v>Ответ визуально сверён с таблицей ответов; условие привязано к исходной странице.</x:v>
      </x:c>
      <x:c r="R5019" s="30" t="str">
        <x:v>135</x:v>
      </x:c>
      <x:c r="S5019" s="30"/>
      <x:c r="T5019" s="30" t="str">
        <x:v>ОТВЕТЫ (2).docx</x:v>
      </x:c>
      <x:c r="U5019" s="30" t="str">
        <x:v>Расхождений с таблицей ответов не выявлено.</x:v>
      </x:c>
      <x:c r="V5019" s="87" t="str">
        <x:v>VERIFIED</x:v>
      </x:c>
      <x:c r="W5019" s="87"/>
      <x:c r="X5019" s="87"/>
      <x:c r="Y5019" s="87" t="n">
        <x:v>16</x:v>
      </x:c>
      <x:c r="Z5019" s="87" t="n">
        <x:v>16</x:v>
      </x:c>
      <x:c r="AA5019" s="87" t="str">
        <x:v>страница 1</x:v>
      </x:c>
      <x:c r="AB5019" s="87"/>
      <x:c r="AC5019" s="87" t="str">
        <x:v>VIS-EGKR-RUS-W25-TASK-953-P016</x:v>
      </x:c>
      <x:c r="AD5019" s="87" t="str">
        <x:v>VIS-EGKR-RUS-W25-KEY-ALL-P001</x:v>
      </x:c>
      <x:c r="AE5019" s="87" t="str">
        <x:v>TASK; KEY</x:v>
      </x:c>
      <x:c r="AF5019" s="87" t="str">
        <x:v>VIS-EGKR-RUS-W25-TASK-953-P016: 16; VIS-EGKR-RUS-W25-KEY-ALL-P001: 1</x:v>
      </x:c>
      <x:c r="AG5019" s="87" t="str">
        <x:v>RESOLVED</x:v>
      </x:c>
      <x:c r="AH5019" s="87" t="str">
        <x:v>CROP_VERIFIED</x:v>
      </x:c>
      <x:c r="AI5019" s="30"/>
      <x:c r="AJ5019" s="87" t="str">
        <x:v>clean</x:v>
      </x:c>
      <x:c r="AK5019" s="87" t="str">
        <x:v>clean-v0.10</x:v>
      </x:c>
      <x:c r="AL5019" s="87" t="str">
        <x:v>statgrad_clean_continuation_v0_10(1).xlsx</x:v>
      </x:c>
      <x:c r="AM5019" s="87" t="str">
        <x:v>RUS_EGKR_953</x:v>
      </x:c>
      <x:c r="AN5019" s="87" t="n">
        <x:v>25</x:v>
      </x:c>
    </x:row>
    <x:row r="5020">
      <x:c r="A5020" s="87" t="n">
        <x:v>5019</x:v>
      </x:c>
      <x:c r="B5020" s="87" t="str">
        <x:v>EGKR-W25-RUS-953-25</x:v>
      </x:c>
      <x:c r="C5020" s="87" t="str">
        <x:v>ЕГКР</x:v>
      </x:c>
      <x:c r="D5020" s="87"/>
      <x:c r="E5020" s="87" t="str">
        <x:v>Зима 2025</x:v>
      </x:c>
      <x:c r="F5020" s="87" t="str">
        <x:v>09.12.2025</x:v>
      </x:c>
      <x:c r="G5020" s="87" t="str">
        <x:v>Русский язык</x:v>
      </x:c>
      <x:c r="H5020" s="87" t="n">
        <x:v>11</x:v>
      </x:c>
      <x:c r="I5020" s="87"/>
      <x:c r="J5020" s="87" t="str">
        <x:v>953</x:v>
      </x:c>
      <x:c r="K5020" s="87" t="n">
        <x:v>25</x:v>
      </x:c>
      <x:c r="L5020" s="87" t="str">
        <x:v>Лексические средства</x:v>
      </x:c>
      <x:c r="M5020" s="30" t="str">
        <x:v>Из предложений 59-64 выпишите один фразеологизм. Ответ; __. 26 о</x:v>
      </x:c>
      <x:c r="N5020" s="30" t="str">
        <x:v>затаив дыхание</x:v>
      </x:c>
      <x:c r="O5020" s="30" t="str">
        <x:v>Ответ перенесён из сводной таблицы и связан с исходным заданием.</x:v>
      </x:c>
      <x:c r="P5020" s="30"/>
      <x:c r="Q5020" s="30" t="str">
        <x:v>Ответ визуально сверён с таблицей ответов; условие привязано к исходной странице.</x:v>
      </x:c>
      <x:c r="R5020" s="30" t="str">
        <x:v>затаив дыхание</x:v>
      </x:c>
      <x:c r="S5020" s="30"/>
      <x:c r="T5020" s="30" t="str">
        <x:v>ОТВЕТЫ (2).docx</x:v>
      </x:c>
      <x:c r="U5020" s="30" t="str">
        <x:v>Расхождений с таблицей ответов не выявлено.</x:v>
      </x:c>
      <x:c r="V5020" s="87" t="str">
        <x:v>VERIFIED</x:v>
      </x:c>
      <x:c r="W5020" s="87"/>
      <x:c r="X5020" s="87"/>
      <x:c r="Y5020" s="87" t="n">
        <x:v>16</x:v>
      </x:c>
      <x:c r="Z5020" s="87" t="n">
        <x:v>16</x:v>
      </x:c>
      <x:c r="AA5020" s="87" t="str">
        <x:v>страница 1</x:v>
      </x:c>
      <x:c r="AB5020" s="87"/>
      <x:c r="AC5020" s="87" t="str">
        <x:v>VIS-EGKR-RUS-W25-TASK-953-P016</x:v>
      </x:c>
      <x:c r="AD5020" s="87" t="str">
        <x:v>VIS-EGKR-RUS-W25-KEY-ALL-P001</x:v>
      </x:c>
      <x:c r="AE5020" s="87" t="str">
        <x:v>TASK; KEY</x:v>
      </x:c>
      <x:c r="AF5020" s="87" t="str">
        <x:v>VIS-EGKR-RUS-W25-TASK-953-P016: 16; VIS-EGKR-RUS-W25-KEY-ALL-P001: 1</x:v>
      </x:c>
      <x:c r="AG5020" s="87" t="str">
        <x:v>RESOLVED</x:v>
      </x:c>
      <x:c r="AH5020" s="87" t="str">
        <x:v>CROP_VERIFIED</x:v>
      </x:c>
      <x:c r="AI5020" s="30"/>
      <x:c r="AJ5020" s="87" t="str">
        <x:v>clean</x:v>
      </x:c>
      <x:c r="AK5020" s="87" t="str">
        <x:v>clean-v0.10</x:v>
      </x:c>
      <x:c r="AL5020" s="87" t="str">
        <x:v>statgrad_clean_continuation_v0_10(1).xlsx</x:v>
      </x:c>
      <x:c r="AM5020" s="87" t="str">
        <x:v>RUS_EGKR_953</x:v>
      </x:c>
      <x:c r="AN5020" s="87" t="n">
        <x:v>26</x:v>
      </x:c>
    </x:row>
    <x:row r="5021">
      <x:c r="A5021" s="87" t="n">
        <x:v>5020</x:v>
      </x:c>
      <x:c r="B5021" s="87" t="str">
        <x:v>EGKR-W25-RUS-953-26</x:v>
      </x:c>
      <x:c r="C5021" s="87" t="str">
        <x:v>ЕГКР</x:v>
      </x:c>
      <x:c r="D5021" s="87"/>
      <x:c r="E5021" s="87" t="str">
        <x:v>Зима 2025</x:v>
      </x:c>
      <x:c r="F5021" s="87" t="str">
        <x:v>09.12.2025</x:v>
      </x:c>
      <x:c r="G5021" s="87" t="str">
        <x:v>Русский язык</x:v>
      </x:c>
      <x:c r="H5021" s="87" t="n">
        <x:v>11</x:v>
      </x:c>
      <x:c r="I5021" s="87"/>
      <x:c r="J5021" s="87" t="str">
        <x:v>953</x:v>
      </x:c>
      <x:c r="K5021" s="87" t="n">
        <x:v>26</x:v>
      </x:c>
      <x:c r="L5021" s="87" t="str">
        <x:v>Средства связи предложений</x:v>
      </x:c>
      <x:c r="M5021" s="30" t="str">
        <x:v>Среди предложений 45-55 найдите такос(-ие). которос(-ые) связано(-ы) с предыдущим при помощи лексического повтора. Запишите номер(а) этого(-их} предложения(-ий). Ответ: . Gy a ere ‚Не забудьте перенести все ответы в бланк ответов Ni] . | в соответствии с инструкцией HO выполнению работы. р ‚ Проверьте, чтобы каждый ответ был записан в строке с помером ‚ соответствующего задиния. $ 2525 STSUY "бедесагьный ичстутут “едагстических измерений" WWW.E'E RO {слиссеё-ие не допускается</x:v>
      </x:c>
      <x:c r="N5021" s="30" t="str">
        <x:v>51, 53, 55</x:v>
      </x:c>
      <x:c r="O5021" s="30" t="str">
        <x:v>Ответ перенесён из сводной таблицы и связан с исходным заданием.</x:v>
      </x:c>
      <x:c r="P5021" s="30"/>
      <x:c r="Q5021" s="30" t="str">
        <x:v>Ответ визуально сверён с таблицей ответов; условие привязано к исходной странице.</x:v>
      </x:c>
      <x:c r="R5021" s="30" t="str">
        <x:v>51, 53, 55</x:v>
      </x:c>
      <x:c r="S5021" s="30"/>
      <x:c r="T5021" s="30" t="str">
        <x:v>ОТВЕТЫ (2).docx</x:v>
      </x:c>
      <x:c r="U5021" s="30" t="str">
        <x:v>Расхождений с таблицей ответов не выявлено.</x:v>
      </x:c>
      <x:c r="V5021" s="87" t="str">
        <x:v>VERIFIED</x:v>
      </x:c>
      <x:c r="W5021" s="87"/>
      <x:c r="X5021" s="87"/>
      <x:c r="Y5021" s="87" t="n">
        <x:v>16</x:v>
      </x:c>
      <x:c r="Z5021" s="87" t="n">
        <x:v>16</x:v>
      </x:c>
      <x:c r="AA5021" s="87" t="str">
        <x:v>страница 1</x:v>
      </x:c>
      <x:c r="AB5021" s="87"/>
      <x:c r="AC5021" s="87" t="str">
        <x:v>VIS-EGKR-RUS-W25-TASK-953-P016</x:v>
      </x:c>
      <x:c r="AD5021" s="87" t="str">
        <x:v>VIS-EGKR-RUS-W25-KEY-ALL-P001</x:v>
      </x:c>
      <x:c r="AE5021" s="87" t="str">
        <x:v>TASK; KEY</x:v>
      </x:c>
      <x:c r="AF5021" s="87" t="str">
        <x:v>VIS-EGKR-RUS-W25-TASK-953-P016: 16; VIS-EGKR-RUS-W25-KEY-ALL-P001: 1</x:v>
      </x:c>
      <x:c r="AG5021" s="87" t="str">
        <x:v>RESOLVED</x:v>
      </x:c>
      <x:c r="AH5021" s="87" t="str">
        <x:v>CROP_VERIFIED</x:v>
      </x:c>
      <x:c r="AI5021" s="30"/>
      <x:c r="AJ5021" s="87" t="str">
        <x:v>clean</x:v>
      </x:c>
      <x:c r="AK5021" s="87" t="str">
        <x:v>clean-v0.10</x:v>
      </x:c>
      <x:c r="AL5021" s="87" t="str">
        <x:v>statgrad_clean_continuation_v0_10(1).xlsx</x:v>
      </x:c>
      <x:c r="AM5021" s="87" t="str">
        <x:v>RUS_EGKR_953</x:v>
      </x:c>
      <x:c r="AN5021" s="87" t="n">
        <x:v>27</x:v>
      </x:c>
    </x:row>
    <x:row r="5022">
      <x:c r="A5022" s="87" t="n">
        <x:v>5021</x:v>
      </x:c>
      <x:c r="B5022" s="87" t="str">
        <x:v>EGKR-W25-RUS-953-27</x:v>
      </x:c>
      <x:c r="C5022" s="87" t="str">
        <x:v>ЕГКР</x:v>
      </x:c>
      <x:c r="D5022" s="87"/>
      <x:c r="E5022" s="87" t="str">
        <x:v>Зима 2025</x:v>
      </x:c>
      <x:c r="F5022" s="87" t="str">
        <x:v>09.12.2025</x:v>
      </x:c>
      <x:c r="G5022" s="87" t="str">
        <x:v>Русский язык</x:v>
      </x:c>
      <x:c r="H5022" s="87" t="n">
        <x:v>11</x:v>
      </x:c>
      <x:c r="I5022" s="87"/>
      <x:c r="J5022" s="87" t="str">
        <x:v>953</x:v>
      </x:c>
      <x:c r="K5022" s="87" t="n">
        <x:v>27</x:v>
      </x:c>
      <x:c r="L5022" s="87" t="str">
        <x:v>Сочинение-рассуждение</x:v>
      </x:c>
      <x:c r="M5022" s="30" t="str">
        <x:v>Напишите сочинение-рассуждение по проблеме, поставленной в исходном тексте: «Что такое педагогический талант?». Сформулируйте позицию автора (рассказчика) по указанной проблеме. Прокомментируйте. как в тексте раскрывается эта позиция. Включите в комментарий два примера-иллюстрации из прочитанного текста, важные для понимания позиции автора (рассказчика). и поясните их. Укажите и поясните смысловую связь между привелёнными примерами-иллюстрациями. Сформулируйте и обоснуйте своё отношение к позиции автора (рассказчика) по проблеме исходного текста. Включите в обоснование пример-аргумеит. опираясь на читательский. историко-культурный или жизненный опыт и не повторяя авторских суждений. (le учитываются примеры-аргументы. источниками которых являются комикс, аниме, манга. фанфик, графический роман. компьютерная игра идругие подобные виды представления информации.) Объём сочинения -- ис менее 150 слов. Работа. написанная без опоры на прочитанный текст (не но данному тексту). не оценивается. Если сочинение представляет собой полностью переписанный или псресказанный исходный текст без каких бы то ни было комментариев. то такая работа оценивается 0 баллов. Сочинение пишите аккуратно и разборчиво. соблюдая нормы современного русского литературного языка.</x:v>
      </x:c>
      <x:c r="N5022" s="30" t="str">
        <x:v>В предложенном тексте автор поднимает важную проблему сущности педагогического таланта. Размышляя над тем, что отличает настоящего учителя от человека, просто исполняющего обязанности, писатель ведет нас к пониманию этого дара как особого призвания.
Позиция автора (рассказчика) заключается в том, что педагогический талант — это не просто профессиональная квалификация, а врожденная способность устанавливать духовный контакт с учениками, увлекать их, пробуждая в них живой интерес и эмоциональный отклик. Этот дар позволяет превратить урок в совместное открытие мира, где знание становится не скучной обязанностью, а частью жизни.
Эта позиция раскрывается в тексте через яркое противопоставление двух учителей. Первым примером-иллюстрацией служит эпизод с учителем истории. Он не просто скучно рассказывает материал, он сам «пришёл в окончательное уныние». Его урок — это мука для всех: он не владеет вниманием класса, не имеет внутренней связи с предметом и детьми. Этот образ — воплощение человека без педагогического дара, для которого преподавание — лишь формальная должность.
Вторым, контрастным примером является урок Евгении Андреевны. Её талант проявляется не в дисциплинарных замечаниях, а в умении завоевать сердца. Она спокойно принимает «проверку» учеников и начинает читать «Евгения Онегина» наизусть. Важен не сам факт чтения, а то, как она это делает: её голос вызывает у детей ассоциации с «спокойной, текущей по полям рекой» и «журавлями, неторопливо плывущими в небе». Урок превращается в эстетическое и эмоциональное переживание, которое объединяет учительницу и класс («сердца их… становились рядом, приникали к ней»).
Смысловая связь между этими примерами — противопоставление. Автор показывает, что педагогический талант — это не умение подавить шум в классе, а способность наполнить тишину смыслом, превратить хаотичную детскую энергию в сосредоточенное внимание через искусство слова, искренность и увлеченность. Учитель истории лишь информирует, а Евгения Андреевна — вдохновляет.
Я полностью согласен с позицией автора. Педагогический талант действительно сродни художественному: он требует умения чувствовать аудиторию и «творить» атмосферу понимания. В подтверждение этой мысли можно вспомнить великого педагога Антона Макаренко. Его система воспитания была построена не на формальных правилах, а на доверии, совместном труде и идее коллектива. Он видел в самых трудных подростках личность и умел разбудить в них лучшие качества, руководствуясь не инструкцией, а педагогической интуицией и верой в человека. Как и Евгения Андреевна из текста, он понимал, что истинное преподавание — это всегда диалог и сотворчество, а не монолог с учебником в руках.
Таким образом, педагогический талант — это редкий сплав глубокого знания предмета, любви к детям и артистизма души, позволяющий не просто передать информацию, а зажечь в учениках огонь познания.</x:v>
      </x:c>
      <x:c r="O5022" s="30" t="str">
        <x:v>Модель развёрнутого ответа.</x:v>
      </x:c>
      <x:c r="P5022" s="30"/>
      <x:c r="Q5022" s="30" t="str">
        <x:v>Проверены формулировка проблемы, позиция автора, два примера, связь и аргументация.</x:v>
      </x:c>
      <x:c r="R5022" s="30" t="str">
        <x:v>Сочинение Вариант 953.docx</x:v>
      </x:c>
      <x:c r="S5022" s="30"/>
      <x:c r="T5022" s="30" t="str">
        <x:v>Сочинение Вариант 953.docx</x:v>
      </x:c>
      <x:c r="U5022" s="30" t="str">
        <x:v>Модель соответствует проблеме задания 27 и структуре сочинения ЕГЭ.</x:v>
      </x:c>
      <x:c r="V5022" s="87" t="str">
        <x:v>VERIFIED</x:v>
      </x:c>
      <x:c r="W5022" s="87"/>
      <x:c r="X5022" s="87"/>
      <x:c r="Y5022" s="87" t="n">
        <x:v>17</x:v>
      </x:c>
      <x:c r="Z5022" s="87" t="n">
        <x:v>17</x:v>
      </x:c>
      <x:c r="AA5022" s="87" t="str">
        <x:v>модель сочинения</x:v>
      </x:c>
      <x:c r="AB5022" s="87"/>
      <x:c r="AC5022" s="87" t="str">
        <x:v>VIS-EGKR-RUS-W25-TASK-953-P017</x:v>
      </x:c>
      <x:c r="AD5022" s="87" t="str">
        <x:v>VIS-EGKR-RUS-W25-MODEL-953-P001</x:v>
      </x:c>
      <x:c r="AE5022" s="87" t="str">
        <x:v>TASK; MODEL</x:v>
      </x:c>
      <x:c r="AF5022" s="87" t="str">
        <x:v>VIS-EGKR-RUS-W25-TASK-953-P017: 17; VIS-EGKR-RUS-W25-MODEL-953-P001: 1</x:v>
      </x:c>
      <x:c r="AG5022" s="87" t="str">
        <x:v>RESOLVED</x:v>
      </x:c>
      <x:c r="AH5022" s="87" t="str">
        <x:v>CROP_VERIFIED; TASK_CROP_NO_CROP_NEEDED</x:v>
      </x:c>
      <x:c r="AI5022" s="30"/>
      <x:c r="AJ5022" s="87" t="str">
        <x:v>clean</x:v>
      </x:c>
      <x:c r="AK5022" s="87" t="str">
        <x:v>clean-v0.10</x:v>
      </x:c>
      <x:c r="AL5022" s="87" t="str">
        <x:v>statgrad_clean_continuation_v0_10(1).xlsx</x:v>
      </x:c>
      <x:c r="AM5022" s="87" t="str">
        <x:v>RUS_EGKR_953</x:v>
      </x:c>
      <x:c r="AN5022" s="87" t="n">
        <x:v>28</x:v>
      </x:c>
    </x:row>
    <x:row r="5023">
      <x:c r="A5023" s="87" t="n">
        <x:v>5022</x:v>
      </x:c>
      <x:c r="B5023" s="87" t="str">
        <x:v>EGKR-W25-RUS-954-01</x:v>
      </x:c>
      <x:c r="C5023" s="87" t="str">
        <x:v>ЕГКР</x:v>
      </x:c>
      <x:c r="D5023" s="87"/>
      <x:c r="E5023" s="87" t="str">
        <x:v>Зима 2025</x:v>
      </x:c>
      <x:c r="F5023" s="87" t="str">
        <x:v>09.12.2025</x:v>
      </x:c>
      <x:c r="G5023" s="87" t="str">
        <x:v>Русский язык</x:v>
      </x:c>
      <x:c r="H5023" s="87" t="n">
        <x:v>11</x:v>
      </x:c>
      <x:c r="I5023" s="87"/>
      <x:c r="J5023" s="87" t="str">
        <x:v>954</x:v>
      </x:c>
      <x:c r="K5023" s="87" t="n">
        <x:v>1</x:v>
      </x:c>
      <x:c r="L5023" s="87" t="str">
        <x:v>Связность текста: средство связи</x:v>
      </x:c>
      <x:c r="M5023" s="30" t="str">
        <x:v>Самостоятельно полберите сочинительный союз. который должен стоять на р месте пропуска во втором (2) абзаце текста. Запишите этот союз. : О Ответ: _ ; 1</x:v>
      </x:c>
      <x:c r="N5023" s="30" t="str">
        <x:v>или</x:v>
      </x:c>
      <x:c r="O5023" s="30" t="str">
        <x:v>Ответ перенесён из сводной таблицы и связан с исходным заданием.</x:v>
      </x:c>
      <x:c r="P5023" s="30"/>
      <x:c r="Q5023" s="30" t="str">
        <x:v>Ответ визуально сверён с таблицей ответов; условие привязано к исходной странице.</x:v>
      </x:c>
      <x:c r="R5023" s="30" t="str">
        <x:v>или</x:v>
      </x:c>
      <x:c r="S5023" s="30"/>
      <x:c r="T5023" s="30" t="str">
        <x:v>ОТВЕТЫ (2).docx</x:v>
      </x:c>
      <x:c r="U5023" s="30" t="str">
        <x:v>Расхождений с таблицей ответов не выявлено.</x:v>
      </x:c>
      <x:c r="V5023" s="87" t="str">
        <x:v>VERIFIED</x:v>
      </x:c>
      <x:c r="W5023" s="87"/>
      <x:c r="X5023" s="87"/>
      <x:c r="Y5023" s="87" t="n">
        <x:v>2</x:v>
      </x:c>
      <x:c r="Z5023" s="87" t="n">
        <x:v>2</x:v>
      </x:c>
      <x:c r="AA5023" s="87" t="str">
        <x:v>страница 2</x:v>
      </x:c>
      <x:c r="AB5023" s="87"/>
      <x:c r="AC5023" s="87" t="str">
        <x:v>VIS-EGKR-RUS-W25-TASK-954-P002</x:v>
      </x:c>
      <x:c r="AD5023" s="87" t="str">
        <x:v>VIS-EGKR-RUS-W25-KEY-ALL-P002</x:v>
      </x:c>
      <x:c r="AE5023" s="87" t="str">
        <x:v>TASK; KEY</x:v>
      </x:c>
      <x:c r="AF5023" s="87" t="str">
        <x:v>VIS-EGKR-RUS-W25-TASK-954-P002: 2; VIS-EGKR-RUS-W25-KEY-ALL-P002: 2</x:v>
      </x:c>
      <x:c r="AG5023" s="87" t="str">
        <x:v>RESOLVED</x:v>
      </x:c>
      <x:c r="AH5023" s="87" t="str">
        <x:v>CROP_VERIFIED</x:v>
      </x:c>
      <x:c r="AI5023" s="30"/>
      <x:c r="AJ5023" s="87" t="str">
        <x:v>clean</x:v>
      </x:c>
      <x:c r="AK5023" s="87" t="str">
        <x:v>clean-v0.10</x:v>
      </x:c>
      <x:c r="AL5023" s="87" t="str">
        <x:v>statgrad_clean_continuation_v0_10(1).xlsx</x:v>
      </x:c>
      <x:c r="AM5023" s="87" t="str">
        <x:v>RUS_EGKR_954</x:v>
      </x:c>
      <x:c r="AN5023" s="87" t="n">
        <x:v>2</x:v>
      </x:c>
    </x:row>
    <x:row r="5024">
      <x:c r="A5024" s="87" t="n">
        <x:v>5023</x:v>
      </x:c>
      <x:c r="B5024" s="87" t="str">
        <x:v>EGKR-W25-RUS-954-02</x:v>
      </x:c>
      <x:c r="C5024" s="87" t="str">
        <x:v>ЕГКР</x:v>
      </x:c>
      <x:c r="D5024" s="87"/>
      <x:c r="E5024" s="87" t="str">
        <x:v>Зима 2025</x:v>
      </x:c>
      <x:c r="F5024" s="87" t="str">
        <x:v>09.12.2025</x:v>
      </x:c>
      <x:c r="G5024" s="87" t="str">
        <x:v>Русский язык</x:v>
      </x:c>
      <x:c r="H5024" s="87" t="n">
        <x:v>11</x:v>
      </x:c>
      <x:c r="I5024" s="87"/>
      <x:c r="J5024" s="87" t="str">
        <x:v>954</x:v>
      </x:c>
      <x:c r="K5024" s="87" t="n">
        <x:v>2</x:v>
      </x:c>
      <x:c r="L5024" s="87" t="str">
        <x:v>Лексическое значение слова</x:v>
      </x:c>
      <x:c r="M5024" s="30" t="str">
        <x:v>В тексте выделено пять слов. Укажите варианты ответов. в которых лексическое значение выделенного слова соответствует его значению в данном тексте. Запишите номера ответов. 1) СЕКРЕТ. Тайный или ещё ne открытый. не найденный способ. Производственный секрет. Секрет изготовления. 2) ПОЭЗИЯ. чего или какая. О том. что является прекрасным. возвышенным. полным очарования (противоположное: проза). //оэзия дальних странствий. Поэзия летнего утра. 3) ОЩУЩАТЬ. Воспринимать органами чувств. Ощущать прикосновение холодной руки. Ощущать боль в виске. 4} БЫТ. Повседневная жизнь человека в её привычных проявлениях; установившийся порядок жизни. Благоустроенный, неблагоустроенный быт. Домашний, семейный быт. 5) ПОДЛИННЫЙ. только полное. Истинный. не показной. Подлинный героизм. Подлинный друг. Ответ: : 3 : Укажите варианты ответов. в которых даны</x:v>
      </x:c>
      <x:c r="N5024" s="30" t="str">
        <x:v>12345</x:v>
      </x:c>
      <x:c r="O5024" s="30" t="str">
        <x:v>Ответ перенесён из сводной таблицы и связан с исходным заданием.</x:v>
      </x:c>
      <x:c r="P5024" s="30"/>
      <x:c r="Q5024" s="30" t="str">
        <x:v>Ответ визуально сверён с таблицей ответов; условие привязано к исходной странице.</x:v>
      </x:c>
      <x:c r="R5024" s="30" t="str">
        <x:v>12345</x:v>
      </x:c>
      <x:c r="S5024" s="30"/>
      <x:c r="T5024" s="30" t="str">
        <x:v>ОТВЕТЫ (2).docx</x:v>
      </x:c>
      <x:c r="U5024" s="30" t="str">
        <x:v>Расхождений с таблицей ответов не выявлено.</x:v>
      </x:c>
      <x:c r="V5024" s="87" t="str">
        <x:v>VERIFIED</x:v>
      </x:c>
      <x:c r="W5024" s="87"/>
      <x:c r="X5024" s="87"/>
      <x:c r="Y5024" s="87" t="n">
        <x:v>3</x:v>
      </x:c>
      <x:c r="Z5024" s="87" t="n">
        <x:v>3</x:v>
      </x:c>
      <x:c r="AA5024" s="87" t="str">
        <x:v>страница 2</x:v>
      </x:c>
      <x:c r="AB5024" s="87"/>
      <x:c r="AC5024" s="87" t="str">
        <x:v>VIS-EGKR-RUS-W25-TASK-954-P003</x:v>
      </x:c>
      <x:c r="AD5024" s="87" t="str">
        <x:v>VIS-EGKR-RUS-W25-KEY-ALL-P002</x:v>
      </x:c>
      <x:c r="AE5024" s="87" t="str">
        <x:v>TASK; KEY</x:v>
      </x:c>
      <x:c r="AF5024" s="87" t="str">
        <x:v>VIS-EGKR-RUS-W25-TASK-954-P003: 3; VIS-EGKR-RUS-W25-KEY-ALL-P002: 2</x:v>
      </x:c>
      <x:c r="AG5024" s="87" t="str">
        <x:v>RESOLVED</x:v>
      </x:c>
      <x:c r="AH5024" s="87" t="str">
        <x:v>CROP_VERIFIED</x:v>
      </x:c>
      <x:c r="AI5024" s="30"/>
      <x:c r="AJ5024" s="87" t="str">
        <x:v>clean</x:v>
      </x:c>
      <x:c r="AK5024" s="87" t="str">
        <x:v>clean-v0.10</x:v>
      </x:c>
      <x:c r="AL5024" s="87" t="str">
        <x:v>statgrad_clean_continuation_v0_10(1).xlsx</x:v>
      </x:c>
      <x:c r="AM5024" s="87" t="str">
        <x:v>RUS_EGKR_954</x:v>
      </x:c>
      <x:c r="AN5024" s="87" t="n">
        <x:v>3</x:v>
      </x:c>
    </x:row>
    <x:row r="5025">
      <x:c r="A5025" s="87" t="n">
        <x:v>5024</x:v>
      </x:c>
      <x:c r="B5025" s="87" t="str">
        <x:v>EGKR-W25-RUS-954-03</x:v>
      </x:c>
      <x:c r="C5025" s="87" t="str">
        <x:v>ЕГКР</x:v>
      </x:c>
      <x:c r="D5025" s="87"/>
      <x:c r="E5025" s="87" t="str">
        <x:v>Зима 2025</x:v>
      </x:c>
      <x:c r="F5025" s="87" t="str">
        <x:v>09.12.2025</x:v>
      </x:c>
      <x:c r="G5025" s="87" t="str">
        <x:v>Русский язык</x:v>
      </x:c>
      <x:c r="H5025" s="87" t="n">
        <x:v>11</x:v>
      </x:c>
      <x:c r="I5025" s="87"/>
      <x:c r="J5025" s="87" t="str">
        <x:v>954</x:v>
      </x:c>
      <x:c r="K5025" s="87" t="n">
        <x:v>3</x:v>
      </x:c>
      <x:c r="L5025" s="87" t="str">
        <x:v>Стилистический и языковой анализ текста</x:v>
      </x:c>
      <x:c r="M5025" s="30" t="str">
        <x:v>верные характеристики текста. — Запишите номера ответов. 1) Текст характеризуется рядом особенностей. свойственных научному стилю: стремление воздействовать на чувства и воображение читателя. проявление авторского отношения к изображаемому, наличие слов- образов для выражения мысли автора. 2) Текст написан в жанре рецензии. в которой нарялу с краткой информацией о сюжете произведения содержатся анализ его художественных особенностей и личные размышления автора. 3) В тексте используется стилистически окрашенная лексика (воинство, подвиг. героизм, одухотворён), что прилаёт ему особое звучание. 4) Выразительность текста обеспечивается синтаксическими средствами. среди которых — рялы одноролных членов предложения. обособленные определения. вопросно-ответная форма изложения. 5) С целью воздействовать на чувства и мысли читателя автор использует эпитеты («негаснущего интереса». «остро исреживаем». «счастливый случай»). Ответ: . $ 2525 $7ЕЧУ "Седесагьньй институт гедагсгических измерений" WWWE'E RU «огирсвание не допускается</x:v>
      </x:c>
      <x:c r="N5025" s="30" t="str">
        <x:v>2345</x:v>
      </x:c>
      <x:c r="O5025" s="30" t="str">
        <x:v>Ответ перенесён из сводной таблицы и связан с исходным заданием.</x:v>
      </x:c>
      <x:c r="P5025" s="30"/>
      <x:c r="Q5025" s="30" t="str">
        <x:v>Ответ визуально сверён с таблицей ответов; условие привязано к исходной странице.</x:v>
      </x:c>
      <x:c r="R5025" s="30" t="str">
        <x:v>2345</x:v>
      </x:c>
      <x:c r="S5025" s="30"/>
      <x:c r="T5025" s="30" t="str">
        <x:v>ОТВЕТЫ (2).docx</x:v>
      </x:c>
      <x:c r="U5025" s="30" t="str">
        <x:v>Расхождений с таблицей ответов не выявлено.</x:v>
      </x:c>
      <x:c r="V5025" s="87" t="str">
        <x:v>VERIFIED</x:v>
      </x:c>
      <x:c r="W5025" s="87"/>
      <x:c r="X5025" s="87"/>
      <x:c r="Y5025" s="87" t="n">
        <x:v>3</x:v>
      </x:c>
      <x:c r="Z5025" s="87" t="n">
        <x:v>3</x:v>
      </x:c>
      <x:c r="AA5025" s="87" t="str">
        <x:v>страница 2</x:v>
      </x:c>
      <x:c r="AB5025" s="87"/>
      <x:c r="AC5025" s="87" t="str">
        <x:v>VIS-EGKR-RUS-W25-TASK-954-P003</x:v>
      </x:c>
      <x:c r="AD5025" s="87" t="str">
        <x:v>VIS-EGKR-RUS-W25-KEY-ALL-P002</x:v>
      </x:c>
      <x:c r="AE5025" s="87" t="str">
        <x:v>TASK; KEY</x:v>
      </x:c>
      <x:c r="AF5025" s="87" t="str">
        <x:v>VIS-EGKR-RUS-W25-TASK-954-P003: 3; VIS-EGKR-RUS-W25-KEY-ALL-P002: 2</x:v>
      </x:c>
      <x:c r="AG5025" s="87" t="str">
        <x:v>RESOLVED</x:v>
      </x:c>
      <x:c r="AH5025" s="87" t="str">
        <x:v>CROP_VERIFIED</x:v>
      </x:c>
      <x:c r="AI5025" s="30"/>
      <x:c r="AJ5025" s="87" t="str">
        <x:v>clean</x:v>
      </x:c>
      <x:c r="AK5025" s="87" t="str">
        <x:v>clean-v0.10</x:v>
      </x:c>
      <x:c r="AL5025" s="87" t="str">
        <x:v>statgrad_clean_continuation_v0_10(1).xlsx</x:v>
      </x:c>
      <x:c r="AM5025" s="87" t="str">
        <x:v>RUS_EGKR_954</x:v>
      </x:c>
      <x:c r="AN5025" s="87" t="n">
        <x:v>4</x:v>
      </x:c>
    </x:row>
    <x:row r="5026">
      <x:c r="A5026" s="87" t="n">
        <x:v>5025</x:v>
      </x:c>
      <x:c r="B5026" s="87" t="str">
        <x:v>EGKR-W25-RUS-954-04</x:v>
      </x:c>
      <x:c r="C5026" s="87" t="str">
        <x:v>ЕГКР</x:v>
      </x:c>
      <x:c r="D5026" s="87"/>
      <x:c r="E5026" s="87" t="str">
        <x:v>Зима 2025</x:v>
      </x:c>
      <x:c r="F5026" s="87" t="str">
        <x:v>09.12.2025</x:v>
      </x:c>
      <x:c r="G5026" s="87" t="str">
        <x:v>Русский язык</x:v>
      </x:c>
      <x:c r="H5026" s="87" t="n">
        <x:v>11</x:v>
      </x:c>
      <x:c r="I5026" s="87"/>
      <x:c r="J5026" s="87" t="str">
        <x:v>954</x:v>
      </x:c>
      <x:c r="K5026" s="87" t="n">
        <x:v>4</x:v>
      </x:c>
      <x:c r="L5026" s="87" t="str">
        <x:v>Орфоэпические нормы</x:v>
      </x:c>
      <x:c r="M5026" s="30" t="str">
        <x:v>верно выделена буква, обозначающая ударный гласный звук. Запишите номера ответов. 1) звОнит 2) экспЕрт 3) крАлась 4) лождАлась 5) сосредотОчение Ответ: . 15 В одном из приведённых ниже предложений</x:v>
      </x:c>
      <x:c r="N5026" s="30" t="str">
        <x:v>235</x:v>
      </x:c>
      <x:c r="O5026" s="30" t="str">
        <x:v>Ответ перенесён из сводной таблицы и связан с исходным заданием.</x:v>
      </x:c>
      <x:c r="P5026" s="30"/>
      <x:c r="Q5026" s="30" t="str">
        <x:v>Ответ визуально сверён с таблицей ответов; условие привязано к исходной странице.</x:v>
      </x:c>
      <x:c r="R5026" s="30" t="str">
        <x:v>235</x:v>
      </x:c>
      <x:c r="S5026" s="30"/>
      <x:c r="T5026" s="30" t="str">
        <x:v>ОТВЕТЫ (2).docx</x:v>
      </x:c>
      <x:c r="U5026" s="30" t="str">
        <x:v>Расхождений с таблицей ответов не выявлено.</x:v>
      </x:c>
      <x:c r="V5026" s="87" t="str">
        <x:v>VERIFIED</x:v>
      </x:c>
      <x:c r="W5026" s="87"/>
      <x:c r="X5026" s="87"/>
      <x:c r="Y5026" s="87" t="n">
        <x:v>4</x:v>
      </x:c>
      <x:c r="Z5026" s="87" t="n">
        <x:v>4</x:v>
      </x:c>
      <x:c r="AA5026" s="87" t="str">
        <x:v>страница 2</x:v>
      </x:c>
      <x:c r="AB5026" s="87"/>
      <x:c r="AC5026" s="87" t="str">
        <x:v>VIS-EGKR-RUS-W25-TASK-954-P004</x:v>
      </x:c>
      <x:c r="AD5026" s="87" t="str">
        <x:v>VIS-EGKR-RUS-W25-KEY-ALL-P002</x:v>
      </x:c>
      <x:c r="AE5026" s="87" t="str">
        <x:v>TASK; KEY</x:v>
      </x:c>
      <x:c r="AF5026" s="87" t="str">
        <x:v>VIS-EGKR-RUS-W25-TASK-954-P004: 4; VIS-EGKR-RUS-W25-KEY-ALL-P002: 2</x:v>
      </x:c>
      <x:c r="AG5026" s="87" t="str">
        <x:v>RESOLVED</x:v>
      </x:c>
      <x:c r="AH5026" s="87" t="str">
        <x:v>CROP_VERIFIED</x:v>
      </x:c>
      <x:c r="AI5026" s="30"/>
      <x:c r="AJ5026" s="87" t="str">
        <x:v>clean</x:v>
      </x:c>
      <x:c r="AK5026" s="87" t="str">
        <x:v>clean-v0.10</x:v>
      </x:c>
      <x:c r="AL5026" s="87" t="str">
        <x:v>statgrad_clean_continuation_v0_10(1).xlsx</x:v>
      </x:c>
      <x:c r="AM5026" s="87" t="str">
        <x:v>RUS_EGKR_954</x:v>
      </x:c>
      <x:c r="AN5026" s="87" t="n">
        <x:v>5</x:v>
      </x:c>
    </x:row>
    <x:row r="5027">
      <x:c r="A5027" s="87" t="n">
        <x:v>5026</x:v>
      </x:c>
      <x:c r="B5027" s="87" t="str">
        <x:v>EGKR-W25-RUS-954-05</x:v>
      </x:c>
      <x:c r="C5027" s="87" t="str">
        <x:v>ЕГКР</x:v>
      </x:c>
      <x:c r="D5027" s="87"/>
      <x:c r="E5027" s="87" t="str">
        <x:v>Зима 2025</x:v>
      </x:c>
      <x:c r="F5027" s="87" t="str">
        <x:v>09.12.2025</x:v>
      </x:c>
      <x:c r="G5027" s="87" t="str">
        <x:v>Русский язык</x:v>
      </x:c>
      <x:c r="H5027" s="87" t="n">
        <x:v>11</x:v>
      </x:c>
      <x:c r="I5027" s="87"/>
      <x:c r="J5027" s="87" t="str">
        <x:v>954</x:v>
      </x:c>
      <x:c r="K5027" s="87" t="n">
        <x:v>5</x:v>
      </x:c>
      <x:c r="L5027" s="87" t="str">
        <x:v>Паронимы и лексическая сочетаемость</x:v>
      </x:c>
      <x:c r="M5027" s="30" t="str">
        <x:v>НЕВЕРНО употреблено выделенное — слово Исиравьте лексическую ошибку. подобрав к выделенному слову пароним. Запишите подобранное слово, соблюдая нормы современного русского литературного языка. Летом мы совершили путешествие на КОМФОРТАБЕЛЬНОМ четырёхналубном корабле. Питательные вещества клубня способствуют быстрому росту КОРЕННОЙ системы пветка. Собака была небольшая. короткошёрстная. с маленькой узкой головой. нервными движениями. ОПАСЛИВОЙ манерой оглядываться. Во время матча запрещается воспроизведение — реальное или виртуальное — ПРЕДСТАВИТЕЛЬСКИХ логотипов или эмблем спортивных клубов или организаций. : РИТМИЧЕСКАЯ гимнастика завоевала широкую популярность уже | в начале ХХ вска. | | Ответ: р | 1 1 1 1 1 т 1</x:v>
      </x:c>
      <x:c r="N5027" s="30" t="str">
        <x:v>корневой</x:v>
      </x:c>
      <x:c r="O5027" s="30" t="str">
        <x:v>Ответ перенесён из сводной таблицы и связан с исходным заданием.</x:v>
      </x:c>
      <x:c r="P5027" s="30"/>
      <x:c r="Q5027" s="30" t="str">
        <x:v>Ответ визуально сверён с таблицей ответов; условие привязано к исходной странице.</x:v>
      </x:c>
      <x:c r="R5027" s="30" t="str">
        <x:v>корневой</x:v>
      </x:c>
      <x:c r="S5027" s="30"/>
      <x:c r="T5027" s="30" t="str">
        <x:v>ОТВЕТЫ (2).docx</x:v>
      </x:c>
      <x:c r="U5027" s="30" t="str">
        <x:v>Расхождений с таблицей ответов не выявлено.</x:v>
      </x:c>
      <x:c r="V5027" s="87" t="str">
        <x:v>VERIFIED</x:v>
      </x:c>
      <x:c r="W5027" s="87"/>
      <x:c r="X5027" s="87"/>
      <x:c r="Y5027" s="87" t="n">
        <x:v>4</x:v>
      </x:c>
      <x:c r="Z5027" s="87" t="n">
        <x:v>4</x:v>
      </x:c>
      <x:c r="AA5027" s="87" t="str">
        <x:v>страница 2</x:v>
      </x:c>
      <x:c r="AB5027" s="87"/>
      <x:c r="AC5027" s="87" t="str">
        <x:v>VIS-EGKR-RUS-W25-TASK-954-P004</x:v>
      </x:c>
      <x:c r="AD5027" s="87" t="str">
        <x:v>VIS-EGKR-RUS-W25-KEY-ALL-P002</x:v>
      </x:c>
      <x:c r="AE5027" s="87" t="str">
        <x:v>TASK; KEY</x:v>
      </x:c>
      <x:c r="AF5027" s="87" t="str">
        <x:v>VIS-EGKR-RUS-W25-TASK-954-P004: 4; VIS-EGKR-RUS-W25-KEY-ALL-P002: 2</x:v>
      </x:c>
      <x:c r="AG5027" s="87" t="str">
        <x:v>RESOLVED</x:v>
      </x:c>
      <x:c r="AH5027" s="87" t="str">
        <x:v>CROP_VERIFIED</x:v>
      </x:c>
      <x:c r="AI5027" s="30"/>
      <x:c r="AJ5027" s="87" t="str">
        <x:v>clean</x:v>
      </x:c>
      <x:c r="AK5027" s="87" t="str">
        <x:v>clean-v0.10</x:v>
      </x:c>
      <x:c r="AL5027" s="87" t="str">
        <x:v>statgrad_clean_continuation_v0_10(1).xlsx</x:v>
      </x:c>
      <x:c r="AM5027" s="87" t="str">
        <x:v>RUS_EGKR_954</x:v>
      </x:c>
      <x:c r="AN5027" s="87" t="n">
        <x:v>6</x:v>
      </x:c>
    </x:row>
    <x:row r="5028">
      <x:c r="A5028" s="87" t="n">
        <x:v>5027</x:v>
      </x:c>
      <x:c r="B5028" s="87" t="str">
        <x:v>EGKR-W25-RUS-954-06</x:v>
      </x:c>
      <x:c r="C5028" s="87" t="str">
        <x:v>ЕГКР</x:v>
      </x:c>
      <x:c r="D5028" s="87"/>
      <x:c r="E5028" s="87" t="str">
        <x:v>Зима 2025</x:v>
      </x:c>
      <x:c r="F5028" s="87" t="str">
        <x:v>09.12.2025</x:v>
      </x:c>
      <x:c r="G5028" s="87" t="str">
        <x:v>Русский язык</x:v>
      </x:c>
      <x:c r="H5028" s="87" t="n">
        <x:v>11</x:v>
      </x:c>
      <x:c r="I5028" s="87"/>
      <x:c r="J5028" s="87" t="str">
        <x:v>954</x:v>
      </x:c>
      <x:c r="K5028" s="87" t="n">
        <x:v>6</x:v>
      </x:c>
      <x:c r="L5028" s="87" t="str">
        <x:v>Лексическая норма / речевая избыточность</x:v>
      </x:c>
      <x:c r="M5028" s="30" t="str">
        <x:v>Отредактируйте предложение: исправьте лексическую ошибку. заменив употреблённое неверно слово. Запишите подобранное слово. соблюдая нормы современного русского литературного языка и сохраняя смысл высказывания. Праздник. организованный шефами по окончании смены в спортивном лагере. создал исвероятио сильную реакцию мальчишек и девчонок на происходящее и запомнился им надолго. Ответ: : 7 В олном из выделенных ниже слов допущена</x:v>
      </x:c>
      <x:c r="N5028" s="30" t="str">
        <x:v>вожатыми</x:v>
      </x:c>
      <x:c r="O5028" s="30" t="str">
        <x:v>Ответ перенесён из сводной таблицы и связан с исходным заданием.</x:v>
      </x:c>
      <x:c r="P5028" s="30"/>
      <x:c r="Q5028" s="30" t="str">
        <x:v>Ответ визуально сверён с таблицей ответов; условие привязано к исходной странице.</x:v>
      </x:c>
      <x:c r="R5028" s="30" t="str">
        <x:v>вожатыми</x:v>
      </x:c>
      <x:c r="S5028" s="30"/>
      <x:c r="T5028" s="30" t="str">
        <x:v>ОТВЕТЫ (2).docx</x:v>
      </x:c>
      <x:c r="U5028" s="30" t="str">
        <x:v>Расхождений с таблицей ответов не выявлено.</x:v>
      </x:c>
      <x:c r="V5028" s="87" t="str">
        <x:v>VERIFIED</x:v>
      </x:c>
      <x:c r="W5028" s="87"/>
      <x:c r="X5028" s="87"/>
      <x:c r="Y5028" s="87" t="n">
        <x:v>5</x:v>
      </x:c>
      <x:c r="Z5028" s="87" t="n">
        <x:v>5</x:v>
      </x:c>
      <x:c r="AA5028" s="87" t="str">
        <x:v>страница 2</x:v>
      </x:c>
      <x:c r="AB5028" s="87"/>
      <x:c r="AC5028" s="87" t="str">
        <x:v>VIS-EGKR-RUS-W25-TASK-954-P005</x:v>
      </x:c>
      <x:c r="AD5028" s="87" t="str">
        <x:v>VIS-EGKR-RUS-W25-KEY-ALL-P002</x:v>
      </x:c>
      <x:c r="AE5028" s="87" t="str">
        <x:v>TASK; KEY</x:v>
      </x:c>
      <x:c r="AF5028" s="87" t="str">
        <x:v>VIS-EGKR-RUS-W25-TASK-954-P005: 5; VIS-EGKR-RUS-W25-KEY-ALL-P002: 2</x:v>
      </x:c>
      <x:c r="AG5028" s="87" t="str">
        <x:v>RESOLVED</x:v>
      </x:c>
      <x:c r="AH5028" s="87" t="str">
        <x:v>CROP_VERIFIED</x:v>
      </x:c>
      <x:c r="AI5028" s="30"/>
      <x:c r="AJ5028" s="87" t="str">
        <x:v>clean</x:v>
      </x:c>
      <x:c r="AK5028" s="87" t="str">
        <x:v>clean-v0.10</x:v>
      </x:c>
      <x:c r="AL5028" s="87" t="str">
        <x:v>statgrad_clean_continuation_v0_10(1).xlsx</x:v>
      </x:c>
      <x:c r="AM5028" s="87" t="str">
        <x:v>RUS_EGKR_954</x:v>
      </x:c>
      <x:c r="AN5028" s="87" t="n">
        <x:v>7</x:v>
      </x:c>
    </x:row>
    <x:row r="5029">
      <x:c r="A5029" s="87" t="n">
        <x:v>5028</x:v>
      </x:c>
      <x:c r="B5029" s="87" t="str">
        <x:v>EGKR-W25-RUS-954-07</x:v>
      </x:c>
      <x:c r="C5029" s="87" t="str">
        <x:v>ЕГКР</x:v>
      </x:c>
      <x:c r="D5029" s="87"/>
      <x:c r="E5029" s="87" t="str">
        <x:v>Зима 2025</x:v>
      </x:c>
      <x:c r="F5029" s="87" t="str">
        <x:v>09.12.2025</x:v>
      </x:c>
      <x:c r="G5029" s="87" t="str">
        <x:v>Русский язык</x:v>
      </x:c>
      <x:c r="H5029" s="87" t="n">
        <x:v>11</x:v>
      </x:c>
      <x:c r="I5029" s="87"/>
      <x:c r="J5029" s="87" t="str">
        <x:v>954</x:v>
      </x:c>
      <x:c r="K5029" s="87" t="n">
        <x:v>7</x:v>
      </x:c>
      <x:c r="L5029" s="87" t="str">
        <x:v>Морфологические нормы</x:v>
      </x:c>
      <x:c r="M5029" s="30" t="str">
        <x:v>грамматическая ошибка, Исправьте ошибку и запишите слово правильно. опытные БУХГАЛТЕРЫ аккуратно КЛАДИТЕ более УСПЕШНЫЙ около ВОСЬМИСТА километров ис ПРОРОНИВ ни слова Ответ: : 22526 СТБНУ ‘Седевальный икети-у- года-стивсних зуесе-и7 WAWE'E RU «огуссеа-ие не допускается</x:v>
      </x:c>
      <x:c r="N5029" s="30" t="str">
        <x:v>восьмисот</x:v>
      </x:c>
      <x:c r="O5029" s="30" t="str">
        <x:v>Ответ перенесён из сводной таблицы и связан с исходным заданием.</x:v>
      </x:c>
      <x:c r="P5029" s="30"/>
      <x:c r="Q5029" s="30" t="str">
        <x:v>Ответ визуально сверён с таблицей ответов; условие привязано к исходной странице.</x:v>
      </x:c>
      <x:c r="R5029" s="30" t="str">
        <x:v>восьмисот</x:v>
      </x:c>
      <x:c r="S5029" s="30"/>
      <x:c r="T5029" s="30" t="str">
        <x:v>ОТВЕТЫ (2).docx</x:v>
      </x:c>
      <x:c r="U5029" s="30" t="str">
        <x:v>Расхождений с таблицей ответов не выявлено.</x:v>
      </x:c>
      <x:c r="V5029" s="87" t="str">
        <x:v>VERIFIED</x:v>
      </x:c>
      <x:c r="W5029" s="87"/>
      <x:c r="X5029" s="87"/>
      <x:c r="Y5029" s="87" t="n">
        <x:v>5</x:v>
      </x:c>
      <x:c r="Z5029" s="87" t="n">
        <x:v>5</x:v>
      </x:c>
      <x:c r="AA5029" s="87" t="str">
        <x:v>страница 2</x:v>
      </x:c>
      <x:c r="AB5029" s="87"/>
      <x:c r="AC5029" s="87" t="str">
        <x:v>VIS-EGKR-RUS-W25-TASK-954-P005</x:v>
      </x:c>
      <x:c r="AD5029" s="87" t="str">
        <x:v>VIS-EGKR-RUS-W25-KEY-ALL-P002</x:v>
      </x:c>
      <x:c r="AE5029" s="87" t="str">
        <x:v>TASK; KEY</x:v>
      </x:c>
      <x:c r="AF5029" s="87" t="str">
        <x:v>VIS-EGKR-RUS-W25-TASK-954-P005: 5; VIS-EGKR-RUS-W25-KEY-ALL-P002: 2</x:v>
      </x:c>
      <x:c r="AG5029" s="87" t="str">
        <x:v>RESOLVED</x:v>
      </x:c>
      <x:c r="AH5029" s="87" t="str">
        <x:v>CROP_VERIFIED</x:v>
      </x:c>
      <x:c r="AI5029" s="30"/>
      <x:c r="AJ5029" s="87" t="str">
        <x:v>clean</x:v>
      </x:c>
      <x:c r="AK5029" s="87" t="str">
        <x:v>clean-v0.10</x:v>
      </x:c>
      <x:c r="AL5029" s="87" t="str">
        <x:v>statgrad_clean_continuation_v0_10(1).xlsx</x:v>
      </x:c>
      <x:c r="AM5029" s="87" t="str">
        <x:v>RUS_EGKR_954</x:v>
      </x:c>
      <x:c r="AN5029" s="87" t="n">
        <x:v>8</x:v>
      </x:c>
    </x:row>
    <x:row r="5030">
      <x:c r="A5030" s="87" t="n">
        <x:v>5029</x:v>
      </x:c>
      <x:c r="B5030" s="87" t="str">
        <x:v>EGKR-W25-RUS-954-08</x:v>
      </x:c>
      <x:c r="C5030" s="87" t="str">
        <x:v>ЕГКР</x:v>
      </x:c>
      <x:c r="D5030" s="87"/>
      <x:c r="E5030" s="87" t="str">
        <x:v>Зима 2025</x:v>
      </x:c>
      <x:c r="F5030" s="87" t="str">
        <x:v>09.12.2025</x:v>
      </x:c>
      <x:c r="G5030" s="87" t="str">
        <x:v>Русский язык</x:v>
      </x:c>
      <x:c r="H5030" s="87" t="n">
        <x:v>11</x:v>
      </x:c>
      <x:c r="I5030" s="87"/>
      <x:c r="J5030" s="87" t="str">
        <x:v>954</x:v>
      </x:c>
      <x:c r="K5030" s="87" t="n">
        <x:v>8</x:v>
      </x:c>
      <x:c r="L5030" s="87" t="str">
        <x:v>Синтаксические нормы: соответствие ошибок</x:v>
      </x:c>
      <x:c r="M5030" s="30" t="str">
        <x:v>соответствие между грамматическими ошибками и предложениями. в которых они допущены: к каждой позиции первого столбиа полберите соответствующую позицию из второго столбца. ГРАММАТИЧЕСКИЕ ПРЕДЛОЖЕНИЯ ОШИБКИ A) ошибка в пострсении 1) Всложной биографии Андерсена нелегко предложения ‘установить то время. когда он начал с олнородными членами писать первые прелестные сказки. Б) нарушение видо- 2) Скульитура «Оленя» работы известного временной соотнесённости мастера была установлена в городском глаголов парке Смоленска. В) нарушение в построении 3) Лингвистика не только ис теряет прелложения свособразие своих мстолон. ис и шелро с несогласованным делится ими со смежными науками. приложением 4} В романе «Герой нашего времени» Г) неправильное построение М.Ю. Лермонтов раскрыл индивилуализм предложения Печорина и рассматривает не только его с деепричастным психологию. но и мировоззренческие оборотом основы его жизни. Д) ошибка в построении 5} Студентами усваиваются знания. сложноиодчинённого внимательно слушая лекции. прелложения 6) Желая создать достоверный образ героя. писатель изучал исторические документы и свидетельства современников. 7) А.А Иванов писал картину «Явление Христа народу» 20 лет. когда стажировался в Италии. лля которой в Третьяковской галерее построили отдельный зал. 8) В эмиграции М.И. Цветаева часто вспоминала стихи Б..1. Пастернака и восхишалась ими. 9) Мы пригласили на лень рожления не только ролетвенников. но и прислали приглашения своим друзьям. Запишите в таблицу выбранные цифры под соответствующими буквами. A'iB В.Г! Д!</x:v>
      </x:c>
      <x:c r="N5030" s="30" t="str">
        <x:v>94257</x:v>
      </x:c>
      <x:c r="O5030" s="30" t="str">
        <x:v>Ответ перенесён из сводной таблицы и связан с исходным заданием.</x:v>
      </x:c>
      <x:c r="P5030" s="30"/>
      <x:c r="Q5030" s="30" t="str">
        <x:v>Ответ визуально сверён с таблицей ответов; условие привязано к исходной странице.</x:v>
      </x:c>
      <x:c r="R5030" s="30" t="str">
        <x:v>94257</x:v>
      </x:c>
      <x:c r="S5030" s="30"/>
      <x:c r="T5030" s="30" t="str">
        <x:v>ОТВЕТЫ (2).docx</x:v>
      </x:c>
      <x:c r="U5030" s="30" t="str">
        <x:v>Расхождений с таблицей ответов не выявлено.</x:v>
      </x:c>
      <x:c r="V5030" s="87" t="str">
        <x:v>VERIFIED</x:v>
      </x:c>
      <x:c r="W5030" s="87"/>
      <x:c r="X5030" s="87"/>
      <x:c r="Y5030" s="87" t="n">
        <x:v>6</x:v>
      </x:c>
      <x:c r="Z5030" s="87" t="n">
        <x:v>6</x:v>
      </x:c>
      <x:c r="AA5030" s="87" t="str">
        <x:v>страница 2</x:v>
      </x:c>
      <x:c r="AB5030" s="87"/>
      <x:c r="AC5030" s="87" t="str">
        <x:v>VIS-EGKR-RUS-W25-TASK-954-P006</x:v>
      </x:c>
      <x:c r="AD5030" s="87" t="str">
        <x:v>VIS-EGKR-RUS-W25-KEY-ALL-P002</x:v>
      </x:c>
      <x:c r="AE5030" s="87" t="str">
        <x:v>TASK; KEY</x:v>
      </x:c>
      <x:c r="AF5030" s="87" t="str">
        <x:v>VIS-EGKR-RUS-W25-TASK-954-P006: 6; VIS-EGKR-RUS-W25-KEY-ALL-P002: 2</x:v>
      </x:c>
      <x:c r="AG5030" s="87" t="str">
        <x:v>RESOLVED</x:v>
      </x:c>
      <x:c r="AH5030" s="87" t="str">
        <x:v>CROP_VERIFIED</x:v>
      </x:c>
      <x:c r="AI5030" s="30"/>
      <x:c r="AJ5030" s="87" t="str">
        <x:v>clean</x:v>
      </x:c>
      <x:c r="AK5030" s="87" t="str">
        <x:v>clean-v0.10</x:v>
      </x:c>
      <x:c r="AL5030" s="87" t="str">
        <x:v>statgrad_clean_continuation_v0_10(1).xlsx</x:v>
      </x:c>
      <x:c r="AM5030" s="87" t="str">
        <x:v>RUS_EGKR_954</x:v>
      </x:c>
      <x:c r="AN5030" s="87" t="n">
        <x:v>9</x:v>
      </x:c>
    </x:row>
    <x:row r="5031">
      <x:c r="A5031" s="87" t="n">
        <x:v>5030</x:v>
      </x:c>
      <x:c r="B5031" s="87" t="str">
        <x:v>EGKR-W25-RUS-954-09</x:v>
      </x:c>
      <x:c r="C5031" s="87" t="str">
        <x:v>ЕГКР</x:v>
      </x:c>
      <x:c r="D5031" s="87"/>
      <x:c r="E5031" s="87" t="str">
        <x:v>Зима 2025</x:v>
      </x:c>
      <x:c r="F5031" s="87" t="str">
        <x:v>09.12.2025</x:v>
      </x:c>
      <x:c r="G5031" s="87" t="str">
        <x:v>Русский язык</x:v>
      </x:c>
      <x:c r="H5031" s="87" t="n">
        <x:v>11</x:v>
      </x:c>
      <x:c r="I5031" s="87"/>
      <x:c r="J5031" s="87" t="str">
        <x:v>954</x:v>
      </x:c>
      <x:c r="K5031" s="87" t="n">
        <x:v>9</x:v>
      </x:c>
      <x:c r="L5031" s="87" t="str">
        <x:v>Правописание корней</x:v>
      </x:c>
      <x:c r="M5031" s="30" t="str">
        <x:v>во всех словах одного ряда пропущена одна и та же буква. Запишите номера ответов. 1) неисс..каемый. снар..жение, м..тежный 2) ж..лание, ув..дать (издали). прикр..плять 3) просл..влять. возр..жение, нав..ждение 4) скр..пя (сердце). скр..пучий. в..ртуальный 5) раст..рать. бл..стать. прив..легия Ответ: . 10 — Укажите варианты ответов. в которых</x:v>
      </x:c>
      <x:c r="N5031" s="30" t="str">
        <x:v>135</x:v>
      </x:c>
      <x:c r="O5031" s="30" t="str">
        <x:v>Ответ перенесён из сводной таблицы и связан с исходным заданием.</x:v>
      </x:c>
      <x:c r="P5031" s="30"/>
      <x:c r="Q5031" s="30" t="str">
        <x:v>Ответ визуально сверён с таблицей ответов; условие привязано к исходной странице.</x:v>
      </x:c>
      <x:c r="R5031" s="30" t="str">
        <x:v>135</x:v>
      </x:c>
      <x:c r="S5031" s="30"/>
      <x:c r="T5031" s="30" t="str">
        <x:v>ОТВЕТЫ (2).docx</x:v>
      </x:c>
      <x:c r="U5031" s="30" t="str">
        <x:v>Расхождений с таблицей ответов не выявлено.</x:v>
      </x:c>
      <x:c r="V5031" s="87" t="str">
        <x:v>VERIFIED</x:v>
      </x:c>
      <x:c r="W5031" s="87"/>
      <x:c r="X5031" s="87"/>
      <x:c r="Y5031" s="87" t="n">
        <x:v>7</x:v>
      </x:c>
      <x:c r="Z5031" s="87" t="n">
        <x:v>7</x:v>
      </x:c>
      <x:c r="AA5031" s="87" t="str">
        <x:v>страница 2</x:v>
      </x:c>
      <x:c r="AB5031" s="87"/>
      <x:c r="AC5031" s="87" t="str">
        <x:v>VIS-EGKR-RUS-W25-TASK-954-P007</x:v>
      </x:c>
      <x:c r="AD5031" s="87" t="str">
        <x:v>VIS-EGKR-RUS-W25-KEY-ALL-P002</x:v>
      </x:c>
      <x:c r="AE5031" s="87" t="str">
        <x:v>TASK; KEY</x:v>
      </x:c>
      <x:c r="AF5031" s="87" t="str">
        <x:v>VIS-EGKR-RUS-W25-TASK-954-P007: 7; VIS-EGKR-RUS-W25-KEY-ALL-P002: 2</x:v>
      </x:c>
      <x:c r="AG5031" s="87" t="str">
        <x:v>RESOLVED</x:v>
      </x:c>
      <x:c r="AH5031" s="87" t="str">
        <x:v>CROP_VERIFIED</x:v>
      </x:c>
      <x:c r="AI5031" s="30"/>
      <x:c r="AJ5031" s="87" t="str">
        <x:v>clean</x:v>
      </x:c>
      <x:c r="AK5031" s="87" t="str">
        <x:v>clean-v0.10</x:v>
      </x:c>
      <x:c r="AL5031" s="87" t="str">
        <x:v>statgrad_clean_continuation_v0_10(1).xlsx</x:v>
      </x:c>
      <x:c r="AM5031" s="87" t="str">
        <x:v>RUS_EGKR_954</x:v>
      </x:c>
      <x:c r="AN5031" s="87" t="n">
        <x:v>10</x:v>
      </x:c>
    </x:row>
    <x:row r="5032">
      <x:c r="A5032" s="87" t="n">
        <x:v>5031</x:v>
      </x:c>
      <x:c r="B5032" s="87" t="str">
        <x:v>EGKR-W25-RUS-954-10</x:v>
      </x:c>
      <x:c r="C5032" s="87" t="str">
        <x:v>ЕГКР</x:v>
      </x:c>
      <x:c r="D5032" s="87"/>
      <x:c r="E5032" s="87" t="str">
        <x:v>Зима 2025</x:v>
      </x:c>
      <x:c r="F5032" s="87" t="str">
        <x:v>09.12.2025</x:v>
      </x:c>
      <x:c r="G5032" s="87" t="str">
        <x:v>Русский язык</x:v>
      </x:c>
      <x:c r="H5032" s="87" t="n">
        <x:v>11</x:v>
      </x:c>
      <x:c r="I5032" s="87"/>
      <x:c r="J5032" s="87" t="str">
        <x:v>954</x:v>
      </x:c>
      <x:c r="K5032" s="87" t="n">
        <x:v>10</x:v>
      </x:c>
      <x:c r="L5032" s="87" t="str">
        <x:v>Правописание приставок и букв Ы/И</x:v>
      </x:c>
      <x:c r="M5032" s="30" t="str">
        <x:v>во всех словах одного ряда пропущена одна и та же буква. Запишите номера ответов. 1) пр..верженец. пр..стол. пр..ключение 2) с..змала, без..мянный. пред. юльский 3) и. подтишка. ни. послать. в..бираться (на дерево) 4} ал..янс. прем. ера. батал..он 5} п..дсказывать, не..глядный, об..зреватель Ответ: . 1! Укажите варианты ответов. в которых</x:v>
      </x:c>
      <x:c r="N5032" s="30" t="str">
        <x:v>45</x:v>
      </x:c>
      <x:c r="O5032" s="30" t="str">
        <x:v>Ответ перенесён из сводной таблицы и связан с исходным заданием.</x:v>
      </x:c>
      <x:c r="P5032" s="30"/>
      <x:c r="Q5032" s="30" t="str">
        <x:v>Ответ визуально сверён с таблицей ответов; условие привязано к исходной странице.</x:v>
      </x:c>
      <x:c r="R5032" s="30" t="str">
        <x:v>45</x:v>
      </x:c>
      <x:c r="S5032" s="30"/>
      <x:c r="T5032" s="30" t="str">
        <x:v>ОТВЕТЫ (2).docx</x:v>
      </x:c>
      <x:c r="U5032" s="30" t="str">
        <x:v>Расхождений с таблицей ответов не выявлено.</x:v>
      </x:c>
      <x:c r="V5032" s="87" t="str">
        <x:v>VERIFIED</x:v>
      </x:c>
      <x:c r="W5032" s="87"/>
      <x:c r="X5032" s="87"/>
      <x:c r="Y5032" s="87" t="n">
        <x:v>7</x:v>
      </x:c>
      <x:c r="Z5032" s="87" t="n">
        <x:v>7</x:v>
      </x:c>
      <x:c r="AA5032" s="87" t="str">
        <x:v>страница 2</x:v>
      </x:c>
      <x:c r="AB5032" s="87"/>
      <x:c r="AC5032" s="87" t="str">
        <x:v>VIS-EGKR-RUS-W25-TASK-954-P007</x:v>
      </x:c>
      <x:c r="AD5032" s="87" t="str">
        <x:v>VIS-EGKR-RUS-W25-KEY-ALL-P002</x:v>
      </x:c>
      <x:c r="AE5032" s="87" t="str">
        <x:v>TASK; KEY</x:v>
      </x:c>
      <x:c r="AF5032" s="87" t="str">
        <x:v>VIS-EGKR-RUS-W25-TASK-954-P007: 7; VIS-EGKR-RUS-W25-KEY-ALL-P002: 2</x:v>
      </x:c>
      <x:c r="AG5032" s="87" t="str">
        <x:v>RESOLVED</x:v>
      </x:c>
      <x:c r="AH5032" s="87" t="str">
        <x:v>CROP_VERIFIED</x:v>
      </x:c>
      <x:c r="AI5032" s="30"/>
      <x:c r="AJ5032" s="87" t="str">
        <x:v>clean</x:v>
      </x:c>
      <x:c r="AK5032" s="87" t="str">
        <x:v>clean-v0.10</x:v>
      </x:c>
      <x:c r="AL5032" s="87" t="str">
        <x:v>statgrad_clean_continuation_v0_10(1).xlsx</x:v>
      </x:c>
      <x:c r="AM5032" s="87" t="str">
        <x:v>RUS_EGKR_954</x:v>
      </x:c>
      <x:c r="AN5032" s="87" t="n">
        <x:v>11</x:v>
      </x:c>
    </x:row>
    <x:row r="5033">
      <x:c r="A5033" s="87" t="n">
        <x:v>5032</x:v>
      </x:c>
      <x:c r="B5033" s="87" t="str">
        <x:v>EGKR-W25-RUS-954-11</x:v>
      </x:c>
      <x:c r="C5033" s="87" t="str">
        <x:v>ЕГКР</x:v>
      </x:c>
      <x:c r="D5033" s="87"/>
      <x:c r="E5033" s="87" t="str">
        <x:v>Зима 2025</x:v>
      </x:c>
      <x:c r="F5033" s="87" t="str">
        <x:v>09.12.2025</x:v>
      </x:c>
      <x:c r="G5033" s="87" t="str">
        <x:v>Русский язык</x:v>
      </x:c>
      <x:c r="H5033" s="87" t="n">
        <x:v>11</x:v>
      </x:c>
      <x:c r="I5033" s="87"/>
      <x:c r="J5033" s="87" t="str">
        <x:v>954</x:v>
      </x:c>
      <x:c r="K5033" s="87" t="n">
        <x:v>11</x:v>
      </x:c>
      <x:c r="L5033" s="87" t="str">
        <x:v>Правописание суффиксов</x:v>
      </x:c>
      <x:c r="M5033" s="30" t="str">
        <x:v>в обоих словах одного ряда пропущена одна и та же буква. Запишите номера ответов. 1) милост..вый, кле.ть (обои) 2) покашл..вать. врем..чко 3} совет..вать. изжелт..-зелёный 4} солом..нка. засушл..вый 5) вдумч..вый. забол..вать Ответ: . ©2526 STSMY ‘седеральнь7 и-сти-ут -едатстических измерений" WWW.E'S. RU Xeryecaa-ve не допускается</x:v>
      </x:c>
      <x:c r="N5033" s="30" t="str">
        <x:v>14</x:v>
      </x:c>
      <x:c r="O5033" s="30" t="str">
        <x:v>Ответ перенесён из сводной таблицы и связан с исходным заданием.</x:v>
      </x:c>
      <x:c r="P5033" s="30"/>
      <x:c r="Q5033" s="30" t="str">
        <x:v>Ответ визуально сверён с таблицей ответов; условие привязано к исходной странице.</x:v>
      </x:c>
      <x:c r="R5033" s="30" t="str">
        <x:v>14</x:v>
      </x:c>
      <x:c r="S5033" s="30"/>
      <x:c r="T5033" s="30" t="str">
        <x:v>ОТВЕТЫ (2).docx</x:v>
      </x:c>
      <x:c r="U5033" s="30" t="str">
        <x:v>Расхождений с таблицей ответов не выявлено.</x:v>
      </x:c>
      <x:c r="V5033" s="87" t="str">
        <x:v>VERIFIED</x:v>
      </x:c>
      <x:c r="W5033" s="87"/>
      <x:c r="X5033" s="87"/>
      <x:c r="Y5033" s="87" t="n">
        <x:v>7</x:v>
      </x:c>
      <x:c r="Z5033" s="87" t="n">
        <x:v>7</x:v>
      </x:c>
      <x:c r="AA5033" s="87" t="str">
        <x:v>страница 2</x:v>
      </x:c>
      <x:c r="AB5033" s="87"/>
      <x:c r="AC5033" s="87" t="str">
        <x:v>VIS-EGKR-RUS-W25-TASK-954-P007</x:v>
      </x:c>
      <x:c r="AD5033" s="87" t="str">
        <x:v>VIS-EGKR-RUS-W25-KEY-ALL-P002</x:v>
      </x:c>
      <x:c r="AE5033" s="87" t="str">
        <x:v>TASK; KEY</x:v>
      </x:c>
      <x:c r="AF5033" s="87" t="str">
        <x:v>VIS-EGKR-RUS-W25-TASK-954-P007: 7; VIS-EGKR-RUS-W25-KEY-ALL-P002: 2</x:v>
      </x:c>
      <x:c r="AG5033" s="87" t="str">
        <x:v>RESOLVED</x:v>
      </x:c>
      <x:c r="AH5033" s="87" t="str">
        <x:v>CROP_VERIFIED</x:v>
      </x:c>
      <x:c r="AI5033" s="30"/>
      <x:c r="AJ5033" s="87" t="str">
        <x:v>clean</x:v>
      </x:c>
      <x:c r="AK5033" s="87" t="str">
        <x:v>clean-v0.10</x:v>
      </x:c>
      <x:c r="AL5033" s="87" t="str">
        <x:v>statgrad_clean_continuation_v0_10(1).xlsx</x:v>
      </x:c>
      <x:c r="AM5033" s="87" t="str">
        <x:v>RUS_EGKR_954</x:v>
      </x:c>
      <x:c r="AN5033" s="87" t="n">
        <x:v>12</x:v>
      </x:c>
    </x:row>
    <x:row r="5034">
      <x:c r="A5034" s="87" t="n">
        <x:v>5033</x:v>
      </x:c>
      <x:c r="B5034" s="87" t="str">
        <x:v>EGKR-W25-RUS-954-12</x:v>
      </x:c>
      <x:c r="C5034" s="87" t="str">
        <x:v>ЕГКР</x:v>
      </x:c>
      <x:c r="D5034" s="87"/>
      <x:c r="E5034" s="87" t="str">
        <x:v>Зима 2025</x:v>
      </x:c>
      <x:c r="F5034" s="87" t="str">
        <x:v>09.12.2025</x:v>
      </x:c>
      <x:c r="G5034" s="87" t="str">
        <x:v>Русский язык</x:v>
      </x:c>
      <x:c r="H5034" s="87" t="n">
        <x:v>11</x:v>
      </x:c>
      <x:c r="I5034" s="87"/>
      <x:c r="J5034" s="87" t="str">
        <x:v>954</x:v>
      </x:c>
      <x:c r="K5034" s="87" t="n">
        <x:v>12</x:v>
      </x:c>
      <x:c r="L5034" s="87" t="str">
        <x:v>Личные окончания глаголов и суффиксы причастий</x:v>
      </x:c>
      <x:c r="M5034" s="30" t="str">
        <x:v>в обоих словах одного ряда пропущена одна и та же буква. Запишите номера ответов. 1) раста..вший (снег). (пчёлы) жал..т 2) колебл..мый (ветром). (ты) выбер..шь 3} се..ший (с утра), подстрел..нная (птица) 4) прикле..нный. (OH) таш..т 5) закручива..мый. (вы) запомн..те Ответ: _ . 13 | Укажите варианты ответов. в которых</x:v>
      </x:c>
      <x:c r="N5034" s="30" t="str">
        <x:v>12</x:v>
      </x:c>
      <x:c r="O5034" s="30" t="str">
        <x:v>Ответ перенесён из сводной таблицы и связан с исходным заданием.</x:v>
      </x:c>
      <x:c r="P5034" s="30"/>
      <x:c r="Q5034" s="30" t="str">
        <x:v>Ответ визуально сверён с таблицей ответов; условие привязано к исходной странице.</x:v>
      </x:c>
      <x:c r="R5034" s="30" t="str">
        <x:v>12</x:v>
      </x:c>
      <x:c r="S5034" s="30"/>
      <x:c r="T5034" s="30" t="str">
        <x:v>ОТВЕТЫ (2).docx</x:v>
      </x:c>
      <x:c r="U5034" s="30" t="str">
        <x:v>Расхождений с таблицей ответов не выявлено.</x:v>
      </x:c>
      <x:c r="V5034" s="87" t="str">
        <x:v>VERIFIED</x:v>
      </x:c>
      <x:c r="W5034" s="87"/>
      <x:c r="X5034" s="87"/>
      <x:c r="Y5034" s="87" t="n">
        <x:v>8</x:v>
      </x:c>
      <x:c r="Z5034" s="87" t="n">
        <x:v>8</x:v>
      </x:c>
      <x:c r="AA5034" s="87" t="str">
        <x:v>страница 2</x:v>
      </x:c>
      <x:c r="AB5034" s="87"/>
      <x:c r="AC5034" s="87" t="str">
        <x:v>VIS-EGKR-RUS-W25-TASK-954-P008</x:v>
      </x:c>
      <x:c r="AD5034" s="87" t="str">
        <x:v>VIS-EGKR-RUS-W25-KEY-ALL-P002</x:v>
      </x:c>
      <x:c r="AE5034" s="87" t="str">
        <x:v>TASK; KEY</x:v>
      </x:c>
      <x:c r="AF5034" s="87" t="str">
        <x:v>VIS-EGKR-RUS-W25-TASK-954-P008: 8; VIS-EGKR-RUS-W25-KEY-ALL-P002: 2</x:v>
      </x:c>
      <x:c r="AG5034" s="87" t="str">
        <x:v>RESOLVED</x:v>
      </x:c>
      <x:c r="AH5034" s="87" t="str">
        <x:v>CROP_VERIFIED</x:v>
      </x:c>
      <x:c r="AI5034" s="30"/>
      <x:c r="AJ5034" s="87" t="str">
        <x:v>clean</x:v>
      </x:c>
      <x:c r="AK5034" s="87" t="str">
        <x:v>clean-v0.10</x:v>
      </x:c>
      <x:c r="AL5034" s="87" t="str">
        <x:v>statgrad_clean_continuation_v0_10(1).xlsx</x:v>
      </x:c>
      <x:c r="AM5034" s="87" t="str">
        <x:v>RUS_EGKR_954</x:v>
      </x:c>
      <x:c r="AN5034" s="87" t="n">
        <x:v>13</x:v>
      </x:c>
    </x:row>
    <x:row r="5035">
      <x:c r="A5035" s="87" t="n">
        <x:v>5034</x:v>
      </x:c>
      <x:c r="B5035" s="87" t="str">
        <x:v>EGKR-W25-RUS-954-13</x:v>
      </x:c>
      <x:c r="C5035" s="87" t="str">
        <x:v>ЕГКР</x:v>
      </x:c>
      <x:c r="D5035" s="87"/>
      <x:c r="E5035" s="87" t="str">
        <x:v>Зима 2025</x:v>
      </x:c>
      <x:c r="F5035" s="87" t="str">
        <x:v>09.12.2025</x:v>
      </x:c>
      <x:c r="G5035" s="87" t="str">
        <x:v>Русский язык</x:v>
      </x:c>
      <x:c r="H5035" s="87" t="n">
        <x:v>11</x:v>
      </x:c>
      <x:c r="I5035" s="87"/>
      <x:c r="J5035" s="87" t="str">
        <x:v>954</x:v>
      </x:c>
      <x:c r="K5035" s="87" t="n">
        <x:v>13</x:v>
      </x:c>
      <x:c r="L5035" s="87" t="str">
        <x:v>Правописание НЕ</x:v>
      </x:c>
      <x:c r="M5035" s="30" t="str">
        <x:v>НЕ с выделенным словом пишется СЛИТНО. Запишите номера ответов. 1) В полном собрании сочинений в нашей библиотеке (НЕ)ДОСТАВАЛО нескольких томов. 2) Ответ на уроке выдавал в нём человека. (НЕ}УМЕЮЩЕГО разбираться в содержании стихотворения. 3) Нужные слова (НЕ)СКАЗАНЫ. 4) В описании лирической героини есть какая-то (НЕ)ДОСКАЗАННОСТЬ. 5) Под (НЕ)БОЛЬШИМ, но постоянным дождём мы вымокли насквозь. </x:v>
      </x:c>
      <x:c r="N5035" s="30" t="str">
        <x:v>245</x:v>
      </x:c>
      <x:c r="O5035" s="30" t="str">
        <x:v>Ответ перенесён из сводной таблицы и связан с исходным заданием.</x:v>
      </x:c>
      <x:c r="P5035" s="30"/>
      <x:c r="Q5035" s="30" t="str">
        <x:v>Ответ визуально сверён с таблицей ответов; условие привязано к исходной странице.</x:v>
      </x:c>
      <x:c r="R5035" s="30" t="str">
        <x:v>245</x:v>
      </x:c>
      <x:c r="S5035" s="30"/>
      <x:c r="T5035" s="30" t="str">
        <x:v>ОТВЕТЫ (2).docx</x:v>
      </x:c>
      <x:c r="U5035" s="30" t="str">
        <x:v>Расхождений с таблицей ответов не выявлено.</x:v>
      </x:c>
      <x:c r="V5035" s="87" t="str">
        <x:v>VERIFIED</x:v>
      </x:c>
      <x:c r="W5035" s="87"/>
      <x:c r="X5035" s="87"/>
      <x:c r="Y5035" s="87" t="n">
        <x:v>8</x:v>
      </x:c>
      <x:c r="Z5035" s="87" t="n">
        <x:v>8</x:v>
      </x:c>
      <x:c r="AA5035" s="87" t="str">
        <x:v>страница 2</x:v>
      </x:c>
      <x:c r="AB5035" s="87"/>
      <x:c r="AC5035" s="87" t="str">
        <x:v>VIS-EGKR-RUS-W25-TASK-954-P008</x:v>
      </x:c>
      <x:c r="AD5035" s="87" t="str">
        <x:v>VIS-EGKR-RUS-W25-KEY-ALL-P002</x:v>
      </x:c>
      <x:c r="AE5035" s="87" t="str">
        <x:v>TASK; KEY</x:v>
      </x:c>
      <x:c r="AF5035" s="87" t="str">
        <x:v>VIS-EGKR-RUS-W25-TASK-954-P008: 8; VIS-EGKR-RUS-W25-KEY-ALL-P002: 2</x:v>
      </x:c>
      <x:c r="AG5035" s="87" t="str">
        <x:v>RESOLVED</x:v>
      </x:c>
      <x:c r="AH5035" s="87" t="str">
        <x:v>CROP_VERIFIED</x:v>
      </x:c>
      <x:c r="AI5035" s="30"/>
      <x:c r="AJ5035" s="87" t="str">
        <x:v>clean</x:v>
      </x:c>
      <x:c r="AK5035" s="87" t="str">
        <x:v>clean-v0.10</x:v>
      </x:c>
      <x:c r="AL5035" s="87" t="str">
        <x:v>statgrad_clean_continuation_v0_10(1).xlsx</x:v>
      </x:c>
      <x:c r="AM5035" s="87" t="str">
        <x:v>RUS_EGKR_954</x:v>
      </x:c>
      <x:c r="AN5035" s="87" t="n">
        <x:v>14</x:v>
      </x:c>
    </x:row>
    <x:row r="5036">
      <x:c r="A5036" s="87" t="n">
        <x:v>5035</x:v>
      </x:c>
      <x:c r="B5036" s="87" t="str">
        <x:v>EGKR-W25-RUS-954-14</x:v>
      </x:c>
      <x:c r="C5036" s="87" t="str">
        <x:v>ЕГКР</x:v>
      </x:c>
      <x:c r="D5036" s="87"/>
      <x:c r="E5036" s="87" t="str">
        <x:v>Зима 2025</x:v>
      </x:c>
      <x:c r="F5036" s="87" t="str">
        <x:v>09.12.2025</x:v>
      </x:c>
      <x:c r="G5036" s="87" t="str">
        <x:v>Русский язык</x:v>
      </x:c>
      <x:c r="H5036" s="87" t="n">
        <x:v>11</x:v>
      </x:c>
      <x:c r="I5036" s="87"/>
      <x:c r="J5036" s="87" t="str">
        <x:v>954</x:v>
      </x:c>
      <x:c r="K5036" s="87" t="n">
        <x:v>14</x:v>
      </x:c>
      <x:c r="L5036" s="87" t="str">
        <x:v>Слитное, раздельное и дефисное написание</x:v>
      </x:c>
      <x:c r="M5036" s="30" t="str">
        <x:v>все выделенные слова пишутся СЛИТНО. Запишите номера ответов. 1) Mos лучшая подруга очень пуиктуальный человек: она и сегодня пришла : (HA)BCTPEYY (ВО)ВРЕМЯ. 2) (ОТУГОГО берега oromima лодка. которая (B)CHE/ICTBUE сильного течения не смогла пристать к берегу. 3) Вера, которая была на (ПОЛ)ГОЛОВЫ выше сестры. всегда носила одну и Ty же причёску: она зачёсывала волосы (НА)БОК. 4) Стсны ТАК(ЖЕ). как и потолок, были (СУНАЧАЛА оинпукатурены, а потом расписаны художником. 5} Нельзя идти (НА)ПЕРЕКОР природе. ЧТО(БЫ) нс сожалеть впоследствии о результатах. Ответ: : 15 : Укажите нифру(-ы). на месте которой(-ых)</x:v>
      </x:c>
      <x:c r="N5036" s="30" t="str">
        <x:v>35</x:v>
      </x:c>
      <x:c r="O5036" s="30" t="str">
        <x:v>Ответ перенесён из сводной таблицы и связан с исходным заданием.</x:v>
      </x:c>
      <x:c r="P5036" s="30"/>
      <x:c r="Q5036" s="30" t="str">
        <x:v>Ответ визуально сверён с таблицей ответов; условие привязано к исходной странице.</x:v>
      </x:c>
      <x:c r="R5036" s="30" t="str">
        <x:v>35</x:v>
      </x:c>
      <x:c r="S5036" s="30"/>
      <x:c r="T5036" s="30" t="str">
        <x:v>ОТВЕТЫ (2).docx</x:v>
      </x:c>
      <x:c r="U5036" s="30" t="str">
        <x:v>Расхождений с таблицей ответов не выявлено.</x:v>
      </x:c>
      <x:c r="V5036" s="87" t="str">
        <x:v>VERIFIED</x:v>
      </x:c>
      <x:c r="W5036" s="87"/>
      <x:c r="X5036" s="87"/>
      <x:c r="Y5036" s="87" t="n">
        <x:v>9</x:v>
      </x:c>
      <x:c r="Z5036" s="87" t="n">
        <x:v>9</x:v>
      </x:c>
      <x:c r="AA5036" s="87" t="str">
        <x:v>страница 2</x:v>
      </x:c>
      <x:c r="AB5036" s="87"/>
      <x:c r="AC5036" s="87" t="str">
        <x:v>VIS-EGKR-RUS-W25-TASK-954-P009</x:v>
      </x:c>
      <x:c r="AD5036" s="87" t="str">
        <x:v>VIS-EGKR-RUS-W25-KEY-ALL-P002</x:v>
      </x:c>
      <x:c r="AE5036" s="87" t="str">
        <x:v>TASK; KEY</x:v>
      </x:c>
      <x:c r="AF5036" s="87" t="str">
        <x:v>VIS-EGKR-RUS-W25-TASK-954-P009: 9; VIS-EGKR-RUS-W25-KEY-ALL-P002: 2</x:v>
      </x:c>
      <x:c r="AG5036" s="87" t="str">
        <x:v>RESOLVED</x:v>
      </x:c>
      <x:c r="AH5036" s="87" t="str">
        <x:v>CROP_VERIFIED</x:v>
      </x:c>
      <x:c r="AI5036" s="30"/>
      <x:c r="AJ5036" s="87" t="str">
        <x:v>clean</x:v>
      </x:c>
      <x:c r="AK5036" s="87" t="str">
        <x:v>clean-v0.10</x:v>
      </x:c>
      <x:c r="AL5036" s="87" t="str">
        <x:v>statgrad_clean_continuation_v0_10(1).xlsx</x:v>
      </x:c>
      <x:c r="AM5036" s="87" t="str">
        <x:v>RUS_EGKR_954</x:v>
      </x:c>
      <x:c r="AN5036" s="87" t="n">
        <x:v>15</x:v>
      </x:c>
    </x:row>
    <x:row r="5037">
      <x:c r="A5037" s="87" t="n">
        <x:v>5036</x:v>
      </x:c>
      <x:c r="B5037" s="87" t="str">
        <x:v>EGKR-W25-RUS-954-15</x:v>
      </x:c>
      <x:c r="C5037" s="87" t="str">
        <x:v>ЕГКР</x:v>
      </x:c>
      <x:c r="D5037" s="87"/>
      <x:c r="E5037" s="87" t="str">
        <x:v>Зима 2025</x:v>
      </x:c>
      <x:c r="F5037" s="87" t="str">
        <x:v>09.12.2025</x:v>
      </x:c>
      <x:c r="G5037" s="87" t="str">
        <x:v>Русский язык</x:v>
      </x:c>
      <x:c r="H5037" s="87" t="n">
        <x:v>11</x:v>
      </x:c>
      <x:c r="I5037" s="87"/>
      <x:c r="J5037" s="87" t="str">
        <x:v>954</x:v>
      </x:c>
      <x:c r="K5037" s="87" t="n">
        <x:v>15</x:v>
      </x:c>
      <x:c r="L5037" s="87" t="str">
        <x:v>Правописание Н/НН</x:v>
      </x:c>
      <x:c r="M5037" s="30" t="str">
        <x:v>пишется НН. Дед неожидла(Т)о достал из плетё(2)ой корзинки кусок варё(З)ого мяса, обсыпа(4)ого крошками. и торжестве(5)о протянул его племя(б)ику. Ответ: р 16 ‹ Укажите предложения, в которых</x:v>
      </x:c>
      <x:c r="N5037" s="30" t="str">
        <x:v>1456</x:v>
      </x:c>
      <x:c r="O5037" s="30" t="str">
        <x:v>Ответ перенесён из сводной таблицы и связан с исходным заданием.</x:v>
      </x:c>
      <x:c r="P5037" s="30"/>
      <x:c r="Q5037" s="30" t="str">
        <x:v>Ответ визуально сверён с таблицей ответов; условие привязано к исходной странице.</x:v>
      </x:c>
      <x:c r="R5037" s="30" t="str">
        <x:v>1456</x:v>
      </x:c>
      <x:c r="S5037" s="30"/>
      <x:c r="T5037" s="30" t="str">
        <x:v>ОТВЕТЫ (2).docx</x:v>
      </x:c>
      <x:c r="U5037" s="30" t="str">
        <x:v>Расхождений с таблицей ответов не выявлено.</x:v>
      </x:c>
      <x:c r="V5037" s="87" t="str">
        <x:v>VERIFIED</x:v>
      </x:c>
      <x:c r="W5037" s="87"/>
      <x:c r="X5037" s="87"/>
      <x:c r="Y5037" s="87" t="n">
        <x:v>9</x:v>
      </x:c>
      <x:c r="Z5037" s="87" t="n">
        <x:v>9</x:v>
      </x:c>
      <x:c r="AA5037" s="87" t="str">
        <x:v>страница 2</x:v>
      </x:c>
      <x:c r="AB5037" s="87"/>
      <x:c r="AC5037" s="87" t="str">
        <x:v>VIS-EGKR-RUS-W25-TASK-954-P009</x:v>
      </x:c>
      <x:c r="AD5037" s="87" t="str">
        <x:v>VIS-EGKR-RUS-W25-KEY-ALL-P002</x:v>
      </x:c>
      <x:c r="AE5037" s="87" t="str">
        <x:v>TASK; KEY</x:v>
      </x:c>
      <x:c r="AF5037" s="87" t="str">
        <x:v>VIS-EGKR-RUS-W25-TASK-954-P009: 9; VIS-EGKR-RUS-W25-KEY-ALL-P002: 2</x:v>
      </x:c>
      <x:c r="AG5037" s="87" t="str">
        <x:v>RESOLVED</x:v>
      </x:c>
      <x:c r="AH5037" s="87" t="str">
        <x:v>CROP_VERIFIED</x:v>
      </x:c>
      <x:c r="AI5037" s="30"/>
      <x:c r="AJ5037" s="87" t="str">
        <x:v>clean</x:v>
      </x:c>
      <x:c r="AK5037" s="87" t="str">
        <x:v>clean-v0.10</x:v>
      </x:c>
      <x:c r="AL5037" s="87" t="str">
        <x:v>statgrad_clean_continuation_v0_10(1).xlsx</x:v>
      </x:c>
      <x:c r="AM5037" s="87" t="str">
        <x:v>RUS_EGKR_954</x:v>
      </x:c>
      <x:c r="AN5037" s="87" t="n">
        <x:v>16</x:v>
      </x:c>
    </x:row>
    <x:row r="5038">
      <x:c r="A5038" s="87" t="n">
        <x:v>5037</x:v>
      </x:c>
      <x:c r="B5038" s="87" t="str">
        <x:v>EGKR-W25-RUS-954-16</x:v>
      </x:c>
      <x:c r="C5038" s="87" t="str">
        <x:v>ЕГКР</x:v>
      </x:c>
      <x:c r="D5038" s="87"/>
      <x:c r="E5038" s="87" t="str">
        <x:v>Зима 2025</x:v>
      </x:c>
      <x:c r="F5038" s="87" t="str">
        <x:v>09.12.2025</x:v>
      </x:c>
      <x:c r="G5038" s="87" t="str">
        <x:v>Русский язык</x:v>
      </x:c>
      <x:c r="H5038" s="87" t="n">
        <x:v>11</x:v>
      </x:c>
      <x:c r="I5038" s="87"/>
      <x:c r="J5038" s="87" t="str">
        <x:v>954</x:v>
      </x:c>
      <x:c r="K5038" s="87" t="n">
        <x:v>16</x:v>
      </x:c>
      <x:c r="L5038" s="87" t="str">
        <x:v>Пунктуация в простом и сложносочинённом предложении</x:v>
      </x:c>
      <x:c r="M5038" s="30" t="str">
        <x:v>нужно поставить ОДНУ запятую. Запишите номера этих предложений. 1) Холод и дождь не могут остановить отца в стремлении добраться до геологов и оповестить их об опасности. 2) Берёзы пожелтели до самых верхушек и листья сыпались с них частым и печальным дождём. 3) В дальнем углу стояла толпа со знаменитыми филипповскими пирожками с мясом и грибами изюмом и творогом. 4) Yen да пригож ла на лело не гож. 5) Как тихо вокруг и ярко светят крупные звёзды! Ответ: й $ 2525 С7БЧУ "седесагьньй и=ститу" -ератстических изуесе-/7” ММА "2 RU Когиссвание не допускается</x:v>
      </x:c>
      <x:c r="N5038" s="30" t="str">
        <x:v>234</x:v>
      </x:c>
      <x:c r="O5038" s="30" t="str">
        <x:v>Ответ перенесён из сводной таблицы и связан с исходным заданием.</x:v>
      </x:c>
      <x:c r="P5038" s="30"/>
      <x:c r="Q5038" s="30" t="str">
        <x:v>Ответ визуально сверён с таблицей ответов; условие привязано к исходной странице.</x:v>
      </x:c>
      <x:c r="R5038" s="30" t="str">
        <x:v>234</x:v>
      </x:c>
      <x:c r="S5038" s="30"/>
      <x:c r="T5038" s="30" t="str">
        <x:v>ОТВЕТЫ (2).docx</x:v>
      </x:c>
      <x:c r="U5038" s="30" t="str">
        <x:v>Расхождений с таблицей ответов не выявлено.</x:v>
      </x:c>
      <x:c r="V5038" s="87" t="str">
        <x:v>VERIFIED</x:v>
      </x:c>
      <x:c r="W5038" s="87"/>
      <x:c r="X5038" s="87"/>
      <x:c r="Y5038" s="87" t="n">
        <x:v>9</x:v>
      </x:c>
      <x:c r="Z5038" s="87" t="n">
        <x:v>9</x:v>
      </x:c>
      <x:c r="AA5038" s="87" t="str">
        <x:v>страница 2</x:v>
      </x:c>
      <x:c r="AB5038" s="87"/>
      <x:c r="AC5038" s="87" t="str">
        <x:v>VIS-EGKR-RUS-W25-TASK-954-P009</x:v>
      </x:c>
      <x:c r="AD5038" s="87" t="str">
        <x:v>VIS-EGKR-RUS-W25-KEY-ALL-P002</x:v>
      </x:c>
      <x:c r="AE5038" s="87" t="str">
        <x:v>TASK; KEY</x:v>
      </x:c>
      <x:c r="AF5038" s="87" t="str">
        <x:v>VIS-EGKR-RUS-W25-TASK-954-P009: 9; VIS-EGKR-RUS-W25-KEY-ALL-P002: 2</x:v>
      </x:c>
      <x:c r="AG5038" s="87" t="str">
        <x:v>RESOLVED</x:v>
      </x:c>
      <x:c r="AH5038" s="87" t="str">
        <x:v>CROP_VERIFIED</x:v>
      </x:c>
      <x:c r="AI5038" s="30"/>
      <x:c r="AJ5038" s="87" t="str">
        <x:v>clean</x:v>
      </x:c>
      <x:c r="AK5038" s="87" t="str">
        <x:v>clean-v0.10</x:v>
      </x:c>
      <x:c r="AL5038" s="87" t="str">
        <x:v>statgrad_clean_continuation_v0_10(1).xlsx</x:v>
      </x:c>
      <x:c r="AM5038" s="87" t="str">
        <x:v>RUS_EGKR_954</x:v>
      </x:c>
      <x:c r="AN5038" s="87" t="n">
        <x:v>17</x:v>
      </x:c>
    </x:row>
    <x:row r="5039">
      <x:c r="A5039" s="87" t="n">
        <x:v>5038</x:v>
      </x:c>
      <x:c r="B5039" s="87" t="str">
        <x:v>EGKR-W25-RUS-954-17</x:v>
      </x:c>
      <x:c r="C5039" s="87" t="str">
        <x:v>ЕГКР</x:v>
      </x:c>
      <x:c r="D5039" s="87"/>
      <x:c r="E5039" s="87" t="str">
        <x:v>Зима 2025</x:v>
      </x:c>
      <x:c r="F5039" s="87" t="str">
        <x:v>09.12.2025</x:v>
      </x:c>
      <x:c r="G5039" s="87" t="str">
        <x:v>Русский язык</x:v>
      </x:c>
      <x:c r="H5039" s="87" t="n">
        <x:v>11</x:v>
      </x:c>
      <x:c r="I5039" s="87"/>
      <x:c r="J5039" s="87" t="str">
        <x:v>954</x:v>
      </x:c>
      <x:c r="K5039" s="87" t="n">
        <x:v>17</x:v>
      </x:c>
      <x:c r="L5039" s="87" t="str">
        <x:v>Обособленные определения и обстоятельства</x:v>
      </x:c>
      <x:c r="M5039" s="30" t="str">
        <x:v>должна(-ы) стоять запятая(-ые). Дождь (1) наполнивший (2) свежестью грудь (3) и покрывший мельчайшей водяной пылью чугунные рещётки сада (4) прекратился. Ответ: . | 18 | Укажите цифру(сы). на месте которой(-ых)</x:v>
      </x:c>
      <x:c r="N5039" s="30" t="str">
        <x:v>14</x:v>
      </x:c>
      <x:c r="O5039" s="30" t="str">
        <x:v>Ответ перенесён из сводной таблицы и связан с исходным заданием.</x:v>
      </x:c>
      <x:c r="P5039" s="30"/>
      <x:c r="Q5039" s="30" t="str">
        <x:v>Ответ визуально сверён с таблицей ответов; условие привязано к исходной странице.</x:v>
      </x:c>
      <x:c r="R5039" s="30" t="str">
        <x:v>14</x:v>
      </x:c>
      <x:c r="S5039" s="30"/>
      <x:c r="T5039" s="30" t="str">
        <x:v>ОТВЕТЫ (2).docx</x:v>
      </x:c>
      <x:c r="U5039" s="30" t="str">
        <x:v>Расхождений с таблицей ответов не выявлено.</x:v>
      </x:c>
      <x:c r="V5039" s="87" t="str">
        <x:v>VERIFIED</x:v>
      </x:c>
      <x:c r="W5039" s="87"/>
      <x:c r="X5039" s="87"/>
      <x:c r="Y5039" s="87" t="n">
        <x:v>10</x:v>
      </x:c>
      <x:c r="Z5039" s="87" t="n">
        <x:v>10</x:v>
      </x:c>
      <x:c r="AA5039" s="87" t="str">
        <x:v>страница 2</x:v>
      </x:c>
      <x:c r="AB5039" s="87"/>
      <x:c r="AC5039" s="87" t="str">
        <x:v>VIS-EGKR-RUS-W25-TASK-954-P010</x:v>
      </x:c>
      <x:c r="AD5039" s="87" t="str">
        <x:v>VIS-EGKR-RUS-W25-KEY-ALL-P002</x:v>
      </x:c>
      <x:c r="AE5039" s="87" t="str">
        <x:v>TASK; KEY</x:v>
      </x:c>
      <x:c r="AF5039" s="87" t="str">
        <x:v>VIS-EGKR-RUS-W25-TASK-954-P010: 10; VIS-EGKR-RUS-W25-KEY-ALL-P002: 2</x:v>
      </x:c>
      <x:c r="AG5039" s="87" t="str">
        <x:v>RESOLVED</x:v>
      </x:c>
      <x:c r="AH5039" s="87" t="str">
        <x:v>CROP_VERIFIED</x:v>
      </x:c>
      <x:c r="AI5039" s="30"/>
      <x:c r="AJ5039" s="87" t="str">
        <x:v>clean</x:v>
      </x:c>
      <x:c r="AK5039" s="87" t="str">
        <x:v>clean-v0.10</x:v>
      </x:c>
      <x:c r="AL5039" s="87" t="str">
        <x:v>statgrad_clean_continuation_v0_10(1).xlsx</x:v>
      </x:c>
      <x:c r="AM5039" s="87" t="str">
        <x:v>RUS_EGKR_954</x:v>
      </x:c>
      <x:c r="AN5039" s="87" t="n">
        <x:v>18</x:v>
      </x:c>
    </x:row>
    <x:row r="5040">
      <x:c r="A5040" s="87" t="n">
        <x:v>5039</x:v>
      </x:c>
      <x:c r="B5040" s="87" t="str">
        <x:v>EGKR-W25-RUS-954-18</x:v>
      </x:c>
      <x:c r="C5040" s="87" t="str">
        <x:v>ЕГКР</x:v>
      </x:c>
      <x:c r="D5040" s="87"/>
      <x:c r="E5040" s="87" t="str">
        <x:v>Зима 2025</x:v>
      </x:c>
      <x:c r="F5040" s="87" t="str">
        <x:v>09.12.2025</x:v>
      </x:c>
      <x:c r="G5040" s="87" t="str">
        <x:v>Русский язык</x:v>
      </x:c>
      <x:c r="H5040" s="87" t="n">
        <x:v>11</x:v>
      </x:c>
      <x:c r="I5040" s="87"/>
      <x:c r="J5040" s="87" t="str">
        <x:v>954</x:v>
      </x:c>
      <x:c r="K5040" s="87" t="n">
        <x:v>18</x:v>
      </x:c>
      <x:c r="L5040" s="87" t="str">
        <x:v>Вводные слова и обращения</x:v>
      </x:c>
      <x:c r="M5040" s="30" t="str">
        <x:v>должна(-ы) стоять запятая(-ые) Дорогой (1) друг (2) спешу сообщить вам, что капитан нашей шхуны жив и здоров. Безусловно (3) нам пришлось вытерпеть невероятные лишения. и (4) к сожалению (5) лишь (6) часть команды добралась до суши. Ответ: . Укажите цифру(-ы). на месте которой(-ых)</x:v>
      </x:c>
      <x:c r="N5040" s="30" t="str">
        <x:v>2345</x:v>
      </x:c>
      <x:c r="O5040" s="30" t="str">
        <x:v>Ответ перенесён из сводной таблицы и связан с исходным заданием.</x:v>
      </x:c>
      <x:c r="P5040" s="30"/>
      <x:c r="Q5040" s="30" t="str">
        <x:v>Ответ визуально сверён с таблицей ответов; условие привязано к исходной странице.</x:v>
      </x:c>
      <x:c r="R5040" s="30" t="str">
        <x:v>2345</x:v>
      </x:c>
      <x:c r="S5040" s="30"/>
      <x:c r="T5040" s="30" t="str">
        <x:v>ОТВЕТЫ (2).docx</x:v>
      </x:c>
      <x:c r="U5040" s="30" t="str">
        <x:v>Расхождений с таблицей ответов не выявлено.</x:v>
      </x:c>
      <x:c r="V5040" s="87" t="str">
        <x:v>VERIFIED</x:v>
      </x:c>
      <x:c r="W5040" s="87"/>
      <x:c r="X5040" s="87"/>
      <x:c r="Y5040" s="87" t="n">
        <x:v>10</x:v>
      </x:c>
      <x:c r="Z5040" s="87" t="n">
        <x:v>10</x:v>
      </x:c>
      <x:c r="AA5040" s="87" t="str">
        <x:v>страница 2</x:v>
      </x:c>
      <x:c r="AB5040" s="87"/>
      <x:c r="AC5040" s="87" t="str">
        <x:v>VIS-EGKR-RUS-W25-TASK-954-P010</x:v>
      </x:c>
      <x:c r="AD5040" s="87" t="str">
        <x:v>VIS-EGKR-RUS-W25-KEY-ALL-P002</x:v>
      </x:c>
      <x:c r="AE5040" s="87" t="str">
        <x:v>TASK; KEY</x:v>
      </x:c>
      <x:c r="AF5040" s="87" t="str">
        <x:v>VIS-EGKR-RUS-W25-TASK-954-P010: 10; VIS-EGKR-RUS-W25-KEY-ALL-P002: 2</x:v>
      </x:c>
      <x:c r="AG5040" s="87" t="str">
        <x:v>RESOLVED</x:v>
      </x:c>
      <x:c r="AH5040" s="87" t="str">
        <x:v>CROP_VERIFIED</x:v>
      </x:c>
      <x:c r="AI5040" s="30"/>
      <x:c r="AJ5040" s="87" t="str">
        <x:v>clean</x:v>
      </x:c>
      <x:c r="AK5040" s="87" t="str">
        <x:v>clean-v0.10</x:v>
      </x:c>
      <x:c r="AL5040" s="87" t="str">
        <x:v>statgrad_clean_continuation_v0_10(1).xlsx</x:v>
      </x:c>
      <x:c r="AM5040" s="87" t="str">
        <x:v>RUS_EGKR_954</x:v>
      </x:c>
      <x:c r="AN5040" s="87" t="n">
        <x:v>19</x:v>
      </x:c>
    </x:row>
    <x:row r="5041">
      <x:c r="A5041" s="87" t="n">
        <x:v>5040</x:v>
      </x:c>
      <x:c r="B5041" s="87" t="str">
        <x:v>EGKR-W25-RUS-954-19</x:v>
      </x:c>
      <x:c r="C5041" s="87" t="str">
        <x:v>ЕГКР</x:v>
      </x:c>
      <x:c r="D5041" s="87"/>
      <x:c r="E5041" s="87" t="str">
        <x:v>Зима 2025</x:v>
      </x:c>
      <x:c r="F5041" s="87" t="str">
        <x:v>09.12.2025</x:v>
      </x:c>
      <x:c r="G5041" s="87" t="str">
        <x:v>Русский язык</x:v>
      </x:c>
      <x:c r="H5041" s="87" t="n">
        <x:v>11</x:v>
      </x:c>
      <x:c r="I5041" s="87"/>
      <x:c r="J5041" s="87" t="str">
        <x:v>954</x:v>
      </x:c>
      <x:c r="K5041" s="87" t="n">
        <x:v>19</x:v>
      </x:c>
      <x:c r="L5041" s="87" t="str">
        <x:v>Знаки препинания в сложноподчинённом предложении</x:v>
      </x:c>
      <x:c r="M5041" s="30" t="str">
        <x:v>должна(-ы) стоять запятая(-ые). Чтобы добраться до реки в жаркую июльскую пору (1) мы выходили из дома вечером (2) и к утренней заре прибывали на место (3} где можно было наловить много рыбы (4) и где. кроме нас. обычно никого не было. Ответ: :</x:v>
      </x:c>
      <x:c r="N5041" s="30" t="str">
        <x:v>13</x:v>
      </x:c>
      <x:c r="O5041" s="30" t="str">
        <x:v>Ответ перенесён из сводной таблицы и связан с исходным заданием.</x:v>
      </x:c>
      <x:c r="P5041" s="30"/>
      <x:c r="Q5041" s="30" t="str">
        <x:v>Ответ визуально сверён с таблицей ответов; условие привязано к исходной странице.</x:v>
      </x:c>
      <x:c r="R5041" s="30" t="str">
        <x:v>13</x:v>
      </x:c>
      <x:c r="S5041" s="30"/>
      <x:c r="T5041" s="30" t="str">
        <x:v>ОТВЕТЫ (2).docx</x:v>
      </x:c>
      <x:c r="U5041" s="30" t="str">
        <x:v>Расхождений с таблицей ответов не выявлено.</x:v>
      </x:c>
      <x:c r="V5041" s="87" t="str">
        <x:v>VERIFIED</x:v>
      </x:c>
      <x:c r="W5041" s="87"/>
      <x:c r="X5041" s="87"/>
      <x:c r="Y5041" s="87" t="n">
        <x:v>10</x:v>
      </x:c>
      <x:c r="Z5041" s="87" t="n">
        <x:v>10</x:v>
      </x:c>
      <x:c r="AA5041" s="87" t="str">
        <x:v>страница 2</x:v>
      </x:c>
      <x:c r="AB5041" s="87"/>
      <x:c r="AC5041" s="87" t="str">
        <x:v>VIS-EGKR-RUS-W25-TASK-954-P010</x:v>
      </x:c>
      <x:c r="AD5041" s="87" t="str">
        <x:v>VIS-EGKR-RUS-W25-KEY-ALL-P002</x:v>
      </x:c>
      <x:c r="AE5041" s="87" t="str">
        <x:v>TASK; KEY</x:v>
      </x:c>
      <x:c r="AF5041" s="87" t="str">
        <x:v>VIS-EGKR-RUS-W25-TASK-954-P010: 10; VIS-EGKR-RUS-W25-KEY-ALL-P002: 2</x:v>
      </x:c>
      <x:c r="AG5041" s="87" t="str">
        <x:v>RESOLVED</x:v>
      </x:c>
      <x:c r="AH5041" s="87" t="str">
        <x:v>CROP_VERIFIED</x:v>
      </x:c>
      <x:c r="AI5041" s="30"/>
      <x:c r="AJ5041" s="87" t="str">
        <x:v>clean</x:v>
      </x:c>
      <x:c r="AK5041" s="87" t="str">
        <x:v>clean-v0.10</x:v>
      </x:c>
      <x:c r="AL5041" s="87" t="str">
        <x:v>statgrad_clean_continuation_v0_10(1).xlsx</x:v>
      </x:c>
      <x:c r="AM5041" s="87" t="str">
        <x:v>RUS_EGKR_954</x:v>
      </x:c>
      <x:c r="AN5041" s="87" t="n">
        <x:v>20</x:v>
      </x:c>
    </x:row>
    <x:row r="5042">
      <x:c r="A5042" s="87" t="n">
        <x:v>5041</x:v>
      </x:c>
      <x:c r="B5042" s="87" t="str">
        <x:v>EGKR-W25-RUS-954-20</x:v>
      </x:c>
      <x:c r="C5042" s="87" t="str">
        <x:v>ЕГКР</x:v>
      </x:c>
      <x:c r="D5042" s="87"/>
      <x:c r="E5042" s="87" t="str">
        <x:v>Зима 2025</x:v>
      </x:c>
      <x:c r="F5042" s="87" t="str">
        <x:v>09.12.2025</x:v>
      </x:c>
      <x:c r="G5042" s="87" t="str">
        <x:v>Русский язык</x:v>
      </x:c>
      <x:c r="H5042" s="87" t="n">
        <x:v>11</x:v>
      </x:c>
      <x:c r="I5042" s="87"/>
      <x:c r="J5042" s="87" t="str">
        <x:v>954</x:v>
      </x:c>
      <x:c r="K5042" s="87" t="n">
        <x:v>20</x:v>
      </x:c>
      <x:c r="L5042" s="87" t="str">
        <x:v>Знаки препинания в сложном предложении</x:v>
      </x:c>
      <x:c r="M5042" s="30" t="str">
        <x:v>должна(-ы) стоять запятая(-ые). Князь Андрей любил танцевать (1) и (2) так как князь желал поскорее отделаться от политических разговоров (3) то он пошёл танцевать и выбрал Наташу (4) потому что на неё ему указал Пьер. Ответ: . 21</x:v>
      </x:c>
      <x:c r="N5042" s="30" t="str">
        <x:v>234</x:v>
      </x:c>
      <x:c r="O5042" s="30" t="str">
        <x:v>Ответ перенесён из сводной таблицы и связан с исходным заданием.</x:v>
      </x:c>
      <x:c r="P5042" s="30"/>
      <x:c r="Q5042" s="30" t="str">
        <x:v>Ответ визуально сверён с таблицей ответов; условие привязано к исходной странице.</x:v>
      </x:c>
      <x:c r="R5042" s="30" t="str">
        <x:v>234</x:v>
      </x:c>
      <x:c r="S5042" s="30"/>
      <x:c r="T5042" s="30" t="str">
        <x:v>ОТВЕТЫ (2).docx</x:v>
      </x:c>
      <x:c r="U5042" s="30" t="str">
        <x:v>Расхождений с таблицей ответов не выявлено.</x:v>
      </x:c>
      <x:c r="V5042" s="87" t="str">
        <x:v>VERIFIED</x:v>
      </x:c>
      <x:c r="W5042" s="87"/>
      <x:c r="X5042" s="87"/>
      <x:c r="Y5042" s="87" t="n">
        <x:v>11</x:v>
      </x:c>
      <x:c r="Z5042" s="87" t="n">
        <x:v>11</x:v>
      </x:c>
      <x:c r="AA5042" s="87" t="str">
        <x:v>страница 2</x:v>
      </x:c>
      <x:c r="AB5042" s="87"/>
      <x:c r="AC5042" s="87" t="str">
        <x:v>VIS-EGKR-RUS-W25-TASK-954-P011</x:v>
      </x:c>
      <x:c r="AD5042" s="87" t="str">
        <x:v>VIS-EGKR-RUS-W25-KEY-ALL-P002</x:v>
      </x:c>
      <x:c r="AE5042" s="87" t="str">
        <x:v>TASK; KEY</x:v>
      </x:c>
      <x:c r="AF5042" s="87" t="str">
        <x:v>VIS-EGKR-RUS-W25-TASK-954-P011: 11; VIS-EGKR-RUS-W25-KEY-ALL-P002: 2</x:v>
      </x:c>
      <x:c r="AG5042" s="87" t="str">
        <x:v>RESOLVED</x:v>
      </x:c>
      <x:c r="AH5042" s="87" t="str">
        <x:v>CROP_VERIFIED</x:v>
      </x:c>
      <x:c r="AI5042" s="30"/>
      <x:c r="AJ5042" s="87" t="str">
        <x:v>clean</x:v>
      </x:c>
      <x:c r="AK5042" s="87" t="str">
        <x:v>clean-v0.10</x:v>
      </x:c>
      <x:c r="AL5042" s="87" t="str">
        <x:v>statgrad_clean_continuation_v0_10(1).xlsx</x:v>
      </x:c>
      <x:c r="AM5042" s="87" t="str">
        <x:v>RUS_EGKR_954</x:v>
      </x:c>
      <x:c r="AN5042" s="87" t="n">
        <x:v>21</x:v>
      </x:c>
    </x:row>
    <x:row r="5043">
      <x:c r="A5043" s="87" t="n">
        <x:v>5042</x:v>
      </x:c>
      <x:c r="B5043" s="87" t="str">
        <x:v>EGKR-W25-RUS-954-21</x:v>
      </x:c>
      <x:c r="C5043" s="87" t="str">
        <x:v>ЕГКР</x:v>
      </x:c>
      <x:c r="D5043" s="87"/>
      <x:c r="E5043" s="87" t="str">
        <x:v>Зима 2025</x:v>
      </x:c>
      <x:c r="F5043" s="87" t="str">
        <x:v>09.12.2025</x:v>
      </x:c>
      <x:c r="G5043" s="87" t="str">
        <x:v>Русский язык</x:v>
      </x:c>
      <x:c r="H5043" s="87" t="n">
        <x:v>11</x:v>
      </x:c>
      <x:c r="I5043" s="87"/>
      <x:c r="J5043" s="87" t="str">
        <x:v>954</x:v>
      </x:c>
      <x:c r="K5043" s="87" t="n">
        <x:v>21</x:v>
      </x:c>
      <x:c r="L5043" s="87" t="str">
        <x:v>Пунктуационный анализ</x:v>
      </x:c>
      <x:c r="M5043" s="30" t="str">
        <x:v>Найдите предложения, в которых тире ставится в соответствии с одним и тем же правилом пунктуации. Запишите номера этих предложений. (1)Muorve годы людей волнуст вопрос: есть ли у книги будущее? (2)Книг написано великое множество. и прочитать их невозможно — читать перестанут совсем. (3)Emé в XVII веке какой-то учёный муж из Англии говорил: «Одна из болезней нашего века — многочисленность книг...» (4)Автор статьи «Конец книги», вышедшей в одном из русских журналов в конце XIX века. считал. что книги заменит фонограф — первый прибор для записи звука. (5)Спокойно устроившись на подушках дивана, в удобных иозах. не утомляя глаз. люди будут слушать интересные ироизведения — так представлял себе булущего читателя этот автор. (6)Книги, наконеи, будут забыты всеми жителями земного шара — печать останется только для торговли и частных надобностей. (7)Великие изобретения нашего времени не могли не сказаться на роли книги в общей системе информации. но. утратив своё некогда монопольное положение. она по-прежнему остаётся могучей силой. сердцем и душой современной системы коммуникаций. (8)«Никогда не будет придумано что- либо подобное книге. способное дать вам как раз столько. сколько нужно. дать вам одному иелую Вселенную». — пишет учёный и писатель А. Азимов. Ответ: _- $ 2525 CTSHY “Федерагьнь? и=сти-у" -едатстических измесе-ий" WWW.E'E. RU Кс-иссва-ие не допускается</x:v>
      </x:c>
      <x:c r="N5043" s="30" t="str">
        <x:v>26</x:v>
      </x:c>
      <x:c r="O5043" s="30" t="str">
        <x:v>Ответ перенесён из сводной таблицы и связан с исходным заданием.</x:v>
      </x:c>
      <x:c r="P5043" s="30"/>
      <x:c r="Q5043" s="30" t="str">
        <x:v>Ответ визуально сверён с таблицей ответов; условие привязано к исходной странице.</x:v>
      </x:c>
      <x:c r="R5043" s="30" t="str">
        <x:v>26</x:v>
      </x:c>
      <x:c r="S5043" s="30"/>
      <x:c r="T5043" s="30" t="str">
        <x:v>ОТВЕТЫ (2).docx</x:v>
      </x:c>
      <x:c r="U5043" s="30" t="str">
        <x:v>Расхождений с таблицей ответов не выявлено.</x:v>
      </x:c>
      <x:c r="V5043" s="87" t="str">
        <x:v>VERIFIED</x:v>
      </x:c>
      <x:c r="W5043" s="87"/>
      <x:c r="X5043" s="87"/>
      <x:c r="Y5043" s="87" t="n">
        <x:v>11</x:v>
      </x:c>
      <x:c r="Z5043" s="87" t="n">
        <x:v>11</x:v>
      </x:c>
      <x:c r="AA5043" s="87" t="str">
        <x:v>страница 2</x:v>
      </x:c>
      <x:c r="AB5043" s="87"/>
      <x:c r="AC5043" s="87" t="str">
        <x:v>VIS-EGKR-RUS-W25-TASK-954-P011</x:v>
      </x:c>
      <x:c r="AD5043" s="87" t="str">
        <x:v>VIS-EGKR-RUS-W25-KEY-ALL-P002</x:v>
      </x:c>
      <x:c r="AE5043" s="87" t="str">
        <x:v>TASK; KEY</x:v>
      </x:c>
      <x:c r="AF5043" s="87" t="str">
        <x:v>VIS-EGKR-RUS-W25-TASK-954-P011: 11; VIS-EGKR-RUS-W25-KEY-ALL-P002: 2</x:v>
      </x:c>
      <x:c r="AG5043" s="87" t="str">
        <x:v>RESOLVED</x:v>
      </x:c>
      <x:c r="AH5043" s="87" t="str">
        <x:v>CROP_VERIFIED</x:v>
      </x:c>
      <x:c r="AI5043" s="30"/>
      <x:c r="AJ5043" s="87" t="str">
        <x:v>clean</x:v>
      </x:c>
      <x:c r="AK5043" s="87" t="str">
        <x:v>clean-v0.10</x:v>
      </x:c>
      <x:c r="AL5043" s="87" t="str">
        <x:v>statgrad_clean_continuation_v0_10(1).xlsx</x:v>
      </x:c>
      <x:c r="AM5043" s="87" t="str">
        <x:v>RUS_EGKR_954</x:v>
      </x:c>
      <x:c r="AN5043" s="87" t="n">
        <x:v>22</x:v>
      </x:c>
    </x:row>
    <x:row r="5044">
      <x:c r="A5044" s="87" t="n">
        <x:v>5043</x:v>
      </x:c>
      <x:c r="B5044" s="87" t="str">
        <x:v>EGKR-W25-RUS-954-22</x:v>
      </x:c>
      <x:c r="C5044" s="87" t="str">
        <x:v>ЕГКР</x:v>
      </x:c>
      <x:c r="D5044" s="87"/>
      <x:c r="E5044" s="87" t="str">
        <x:v>Зима 2025</x:v>
      </x:c>
      <x:c r="F5044" s="87" t="str">
        <x:v>09.12.2025</x:v>
      </x:c>
      <x:c r="G5044" s="87" t="str">
        <x:v>Русский язык</x:v>
      </x:c>
      <x:c r="H5044" s="87" t="n">
        <x:v>11</x:v>
      </x:c>
      <x:c r="I5044" s="87"/>
      <x:c r="J5044" s="87" t="str">
        <x:v>954</x:v>
      </x:c>
      <x:c r="K5044" s="87" t="n">
        <x:v>22</x:v>
      </x:c>
      <x:c r="L5044" s="87" t="str">
        <x:v>Средства выразительности</x:v>
      </x:c>
      <x:c r="M5044" s="30" t="str">
        <x:v>изобразительно-выразительных средств языка. которые употреблены в них: к каждой позиции первого столбца подберите соответствующую позицию из второго столбца. ПРЕДЛОЖЕНИЯ ИЗОБРАЗИТЕЛЬНО- ВЫРАЗИТЕЛЬНЫЕ СРЕДСТВА ЯЗЫКА A) Увидевши слона. ну на него метаться. 1) бессоюзие И лаять, и рычать, и рваться. 2) анафора Ну так и лезет в драку с ним. 3) риторический вопрос (И.Л. Крылов) 4) парцелляция Б) Все царства пали. а Любовь жива. 5) литота (К.В. Скворцов) 6} антитеза В) Звезда нечальная. вечерняя звезда! 7) ассонанс Твой луч осеребрил увядшие равнины. 8) эпитет И дремлющий залив. и чёрных скал 9) срависние вершины. (A.C. Пушкин) Г) Загораются, как зори. В синем небе купола. (С.А. Есенин) Д) Встанет Россия — все споры рассудит... Встанет Россия — народности сгрудит... (H. Северянин) Запишите в таблицу выбранные цифры под соответствующими буквами. Ответ: lio.</x:v>
      </x:c>
      <x:c r="N5044" s="30" t="str">
        <x:v>76892</x:v>
      </x:c>
      <x:c r="O5044" s="30" t="str">
        <x:v>Ответ перенесён из сводной таблицы и связан с исходным заданием.</x:v>
      </x:c>
      <x:c r="P5044" s="30"/>
      <x:c r="Q5044" s="30" t="str">
        <x:v>Ответ визуально сверён с таблицей ответов; условие привязано к исходной странице.</x:v>
      </x:c>
      <x:c r="R5044" s="30" t="str">
        <x:v>76892</x:v>
      </x:c>
      <x:c r="S5044" s="30"/>
      <x:c r="T5044" s="30" t="str">
        <x:v>ОТВЕТЫ (2).docx</x:v>
      </x:c>
      <x:c r="U5044" s="30" t="str">
        <x:v>Расхождений с таблицей ответов не выявлено.</x:v>
      </x:c>
      <x:c r="V5044" s="87" t="str">
        <x:v>VERIFIED</x:v>
      </x:c>
      <x:c r="W5044" s="87"/>
      <x:c r="X5044" s="87"/>
      <x:c r="Y5044" s="87" t="n">
        <x:v>12</x:v>
      </x:c>
      <x:c r="Z5044" s="87" t="n">
        <x:v>12</x:v>
      </x:c>
      <x:c r="AA5044" s="87" t="str">
        <x:v>страница 2</x:v>
      </x:c>
      <x:c r="AB5044" s="87"/>
      <x:c r="AC5044" s="87" t="str">
        <x:v>VIS-EGKR-RUS-W25-TASK-954-P012</x:v>
      </x:c>
      <x:c r="AD5044" s="87" t="str">
        <x:v>VIS-EGKR-RUS-W25-KEY-ALL-P002</x:v>
      </x:c>
      <x:c r="AE5044" s="87" t="str">
        <x:v>TASK; KEY</x:v>
      </x:c>
      <x:c r="AF5044" s="87" t="str">
        <x:v>VIS-EGKR-RUS-W25-TASK-954-P012: 12; VIS-EGKR-RUS-W25-KEY-ALL-P002: 2</x:v>
      </x:c>
      <x:c r="AG5044" s="87" t="str">
        <x:v>RESOLVED</x:v>
      </x:c>
      <x:c r="AH5044" s="87" t="str">
        <x:v>CROP_VERIFIED</x:v>
      </x:c>
      <x:c r="AI5044" s="30"/>
      <x:c r="AJ5044" s="87" t="str">
        <x:v>clean</x:v>
      </x:c>
      <x:c r="AK5044" s="87" t="str">
        <x:v>clean-v0.10</x:v>
      </x:c>
      <x:c r="AL5044" s="87" t="str">
        <x:v>statgrad_clean_continuation_v0_10(1).xlsx</x:v>
      </x:c>
      <x:c r="AM5044" s="87" t="str">
        <x:v>RUS_EGKR_954</x:v>
      </x:c>
      <x:c r="AN5044" s="87" t="n">
        <x:v>23</x:v>
      </x:c>
    </x:row>
    <x:row r="5045">
      <x:c r="A5045" s="87" t="n">
        <x:v>5044</x:v>
      </x:c>
      <x:c r="B5045" s="87" t="str">
        <x:v>EGKR-W25-RUS-954-23</x:v>
      </x:c>
      <x:c r="C5045" s="87" t="str">
        <x:v>ЕГКР</x:v>
      </x:c>
      <x:c r="D5045" s="87"/>
      <x:c r="E5045" s="87" t="str">
        <x:v>Зима 2025</x:v>
      </x:c>
      <x:c r="F5045" s="87" t="str">
        <x:v>09.12.2025</x:v>
      </x:c>
      <x:c r="G5045" s="87" t="str">
        <x:v>Русский язык</x:v>
      </x:c>
      <x:c r="H5045" s="87" t="n">
        <x:v>11</x:v>
      </x:c>
      <x:c r="I5045" s="87"/>
      <x:c r="J5045" s="87" t="str">
        <x:v>954</x:v>
      </x:c>
      <x:c r="K5045" s="87" t="n">
        <x:v>23</x:v>
      </x:c>
      <x:c r="L5045" s="87" t="str">
        <x:v>Содержание исходного текста</x:v>
      </x:c>
      <x:c r="M5045" s="30" t="str">
        <x:v>Какие из высказываний не соответствуют содержанию текста? Укажите номера ответов. 1) Пушкин ие только изумительно точно описал состояние вдохновения, но и открыл сго природу. 2) Вдохновение — награда за честность художника. 3) Идеал у всех художников один. 4) Творчество не связано с личной жизнью писателя. 5) Главный источник энергии писателя — это воля к добру. Otpet: О</x:v>
      </x:c>
      <x:c r="N5045" s="30" t="str">
        <x:v>134</x:v>
      </x:c>
      <x:c r="O5045" s="30" t="str">
        <x:v>Ответ перенесён из сводной таблицы и связан с исходным заданием.</x:v>
      </x:c>
      <x:c r="P5045" s="30"/>
      <x:c r="Q5045" s="30" t="str">
        <x:v>Ответ визуально сверён с таблицей ответов; условие привязано к исходной странице.</x:v>
      </x:c>
      <x:c r="R5045" s="30" t="str">
        <x:v>134</x:v>
      </x:c>
      <x:c r="S5045" s="30"/>
      <x:c r="T5045" s="30" t="str">
        <x:v>ОТВЕТЫ (2).docx</x:v>
      </x:c>
      <x:c r="U5045" s="30" t="str">
        <x:v>Расхождений с таблицей ответов не выявлено.</x:v>
      </x:c>
      <x:c r="V5045" s="87" t="str">
        <x:v>VERIFIED</x:v>
      </x:c>
      <x:c r="W5045" s="87"/>
      <x:c r="X5045" s="87"/>
      <x:c r="Y5045" s="87" t="n">
        <x:v>14</x:v>
      </x:c>
      <x:c r="Z5045" s="87" t="n">
        <x:v>14</x:v>
      </x:c>
      <x:c r="AA5045" s="87" t="str">
        <x:v>страница 2</x:v>
      </x:c>
      <x:c r="AB5045" s="87"/>
      <x:c r="AC5045" s="87" t="str">
        <x:v>VIS-EGKR-RUS-W25-TASK-954-P014</x:v>
      </x:c>
      <x:c r="AD5045" s="87" t="str">
        <x:v>VIS-EGKR-RUS-W25-KEY-ALL-P002</x:v>
      </x:c>
      <x:c r="AE5045" s="87" t="str">
        <x:v>TASK; KEY</x:v>
      </x:c>
      <x:c r="AF5045" s="87" t="str">
        <x:v>VIS-EGKR-RUS-W25-TASK-954-P014: 14; VIS-EGKR-RUS-W25-KEY-ALL-P002: 2</x:v>
      </x:c>
      <x:c r="AG5045" s="87" t="str">
        <x:v>RESOLVED</x:v>
      </x:c>
      <x:c r="AH5045" s="87" t="str">
        <x:v>CROP_VERIFIED</x:v>
      </x:c>
      <x:c r="AI5045" s="30"/>
      <x:c r="AJ5045" s="87" t="str">
        <x:v>clean</x:v>
      </x:c>
      <x:c r="AK5045" s="87" t="str">
        <x:v>clean-v0.10</x:v>
      </x:c>
      <x:c r="AL5045" s="87" t="str">
        <x:v>statgrad_clean_continuation_v0_10(1).xlsx</x:v>
      </x:c>
      <x:c r="AM5045" s="87" t="str">
        <x:v>RUS_EGKR_954</x:v>
      </x:c>
      <x:c r="AN5045" s="87" t="n">
        <x:v>24</x:v>
      </x:c>
    </x:row>
    <x:row r="5046">
      <x:c r="A5046" s="87" t="n">
        <x:v>5045</x:v>
      </x:c>
      <x:c r="B5046" s="87" t="str">
        <x:v>EGKR-W25-RUS-954-24</x:v>
      </x:c>
      <x:c r="C5046" s="87" t="str">
        <x:v>ЕГКР</x:v>
      </x:c>
      <x:c r="D5046" s="87"/>
      <x:c r="E5046" s="87" t="str">
        <x:v>Зима 2025</x:v>
      </x:c>
      <x:c r="F5046" s="87" t="str">
        <x:v>09.12.2025</x:v>
      </x:c>
      <x:c r="G5046" s="87" t="str">
        <x:v>Русский язык</x:v>
      </x:c>
      <x:c r="H5046" s="87" t="n">
        <x:v>11</x:v>
      </x:c>
      <x:c r="I5046" s="87"/>
      <x:c r="J5046" s="87" t="str">
        <x:v>954</x:v>
      </x:c>
      <x:c r="K5046" s="87" t="n">
        <x:v>24</x:v>
      </x:c>
      <x:c r="L5046" s="87" t="str">
        <x:v>Функционально-смысловые типы речи и логика текста</x:v>
      </x:c>
      <x:c r="M5046" s="30" t="str">
        <x:v>Какие из перечисленных утверждений являются верными? Укажите номера ответов. 1) Предложения 7 и 8 противопоставлены пс содержанию. 2) В предложениях 12-15 иредставлено повествование. 3) Предложение 31 противопоставлено ио содержанию предложению 30. 4) В предложениях 37-39 представлено рассуждение. 5) Предложение 41 содержит указание на причину того. о чём говорится в предложении 40. </x:v>
      </x:c>
      <x:c r="N5046" s="30" t="str">
        <x:v>1245</x:v>
      </x:c>
      <x:c r="O5046" s="30" t="str">
        <x:v>Ответ перенесён из сводной таблицы и связан с исходным заданием.</x:v>
      </x:c>
      <x:c r="P5046" s="30"/>
      <x:c r="Q5046" s="30" t="str">
        <x:v>Ответ визуально сверён с таблицей ответов; условие привязано к исходной странице.</x:v>
      </x:c>
      <x:c r="R5046" s="30" t="str">
        <x:v>1245</x:v>
      </x:c>
      <x:c r="S5046" s="30"/>
      <x:c r="T5046" s="30" t="str">
        <x:v>ОТВЕТЫ (2).docx</x:v>
      </x:c>
      <x:c r="U5046" s="30" t="str">
        <x:v>Расхождений с таблицей ответов не выявлено.</x:v>
      </x:c>
      <x:c r="V5046" s="87" t="str">
        <x:v>VERIFIED</x:v>
      </x:c>
      <x:c r="W5046" s="87"/>
      <x:c r="X5046" s="87"/>
      <x:c r="Y5046" s="87" t="n">
        <x:v>15</x:v>
      </x:c>
      <x:c r="Z5046" s="87" t="n">
        <x:v>15</x:v>
      </x:c>
      <x:c r="AA5046" s="87" t="str">
        <x:v>страница 2</x:v>
      </x:c>
      <x:c r="AB5046" s="87"/>
      <x:c r="AC5046" s="87" t="str">
        <x:v>VIS-EGKR-RUS-W25-TASK-954-P015</x:v>
      </x:c>
      <x:c r="AD5046" s="87" t="str">
        <x:v>VIS-EGKR-RUS-W25-KEY-ALL-P002</x:v>
      </x:c>
      <x:c r="AE5046" s="87" t="str">
        <x:v>TASK; KEY</x:v>
      </x:c>
      <x:c r="AF5046" s="87" t="str">
        <x:v>VIS-EGKR-RUS-W25-TASK-954-P015: 15; VIS-EGKR-RUS-W25-KEY-ALL-P002: 2</x:v>
      </x:c>
      <x:c r="AG5046" s="87" t="str">
        <x:v>RESOLVED</x:v>
      </x:c>
      <x:c r="AH5046" s="87" t="str">
        <x:v>CROP_VERIFIED</x:v>
      </x:c>
      <x:c r="AI5046" s="30"/>
      <x:c r="AJ5046" s="87" t="str">
        <x:v>clean</x:v>
      </x:c>
      <x:c r="AK5046" s="87" t="str">
        <x:v>clean-v0.10</x:v>
      </x:c>
      <x:c r="AL5046" s="87" t="str">
        <x:v>statgrad_clean_continuation_v0_10(1).xlsx</x:v>
      </x:c>
      <x:c r="AM5046" s="87" t="str">
        <x:v>RUS_EGKR_954</x:v>
      </x:c>
      <x:c r="AN5046" s="87" t="n">
        <x:v>25</x:v>
      </x:c>
    </x:row>
    <x:row r="5047">
      <x:c r="A5047" s="87" t="n">
        <x:v>5046</x:v>
      </x:c>
      <x:c r="B5047" s="87" t="str">
        <x:v>EGKR-W25-RUS-954-25</x:v>
      </x:c>
      <x:c r="C5047" s="87" t="str">
        <x:v>ЕГКР</x:v>
      </x:c>
      <x:c r="D5047" s="87"/>
      <x:c r="E5047" s="87" t="str">
        <x:v>Зима 2025</x:v>
      </x:c>
      <x:c r="F5047" s="87" t="str">
        <x:v>09.12.2025</x:v>
      </x:c>
      <x:c r="G5047" s="87" t="str">
        <x:v>Русский язык</x:v>
      </x:c>
      <x:c r="H5047" s="87" t="n">
        <x:v>11</x:v>
      </x:c>
      <x:c r="I5047" s="87"/>
      <x:c r="J5047" s="87" t="str">
        <x:v>954</x:v>
      </x:c>
      <x:c r="K5047" s="87" t="n">
        <x:v>25</x:v>
      </x:c>
      <x:c r="L5047" s="87" t="str">
        <x:v>Лексические средства</x:v>
      </x:c>
      <x:c r="M5047" s="30" t="str">
        <x:v>25 Из прелложений 37-39 выпишите слово со значением «страстное воодушевление. подъём. энтузиазм». Ответ: :</x:v>
      </x:c>
      <x:c r="N5047" s="30" t="str">
        <x:v>пафос</x:v>
      </x:c>
      <x:c r="O5047" s="30" t="str">
        <x:v>Ответ перенесён из сводной таблицы и связан с исходным заданием.</x:v>
      </x:c>
      <x:c r="P5047" s="30"/>
      <x:c r="Q5047" s="30" t="str">
        <x:v>Ответ визуально сверён с таблицей ответов; условие привязано к исходной странице.</x:v>
      </x:c>
      <x:c r="R5047" s="30" t="str">
        <x:v>пафос</x:v>
      </x:c>
      <x:c r="S5047" s="30"/>
      <x:c r="T5047" s="30" t="str">
        <x:v>ОТВЕТЫ (2).docx</x:v>
      </x:c>
      <x:c r="U5047" s="30" t="str">
        <x:v>Расхождений с таблицей ответов не выявлено.</x:v>
      </x:c>
      <x:c r="V5047" s="87" t="str">
        <x:v>VERIFIED</x:v>
      </x:c>
      <x:c r="W5047" s="87"/>
      <x:c r="X5047" s="87"/>
      <x:c r="Y5047" s="87" t="n">
        <x:v>15</x:v>
      </x:c>
      <x:c r="Z5047" s="87" t="n">
        <x:v>15</x:v>
      </x:c>
      <x:c r="AA5047" s="87" t="str">
        <x:v>страница 2</x:v>
      </x:c>
      <x:c r="AB5047" s="87"/>
      <x:c r="AC5047" s="87" t="str">
        <x:v>VIS-EGKR-RUS-W25-TASK-954-P015</x:v>
      </x:c>
      <x:c r="AD5047" s="87" t="str">
        <x:v>VIS-EGKR-RUS-W25-KEY-ALL-P002</x:v>
      </x:c>
      <x:c r="AE5047" s="87" t="str">
        <x:v>TASK; KEY</x:v>
      </x:c>
      <x:c r="AF5047" s="87" t="str">
        <x:v>VIS-EGKR-RUS-W25-TASK-954-P015: 15; VIS-EGKR-RUS-W25-KEY-ALL-P002: 2</x:v>
      </x:c>
      <x:c r="AG5047" s="87" t="str">
        <x:v>RESOLVED</x:v>
      </x:c>
      <x:c r="AH5047" s="87" t="str">
        <x:v>CROP_VERIFIED</x:v>
      </x:c>
      <x:c r="AI5047" s="30"/>
      <x:c r="AJ5047" s="87" t="str">
        <x:v>clean</x:v>
      </x:c>
      <x:c r="AK5047" s="87" t="str">
        <x:v>clean-v0.10</x:v>
      </x:c>
      <x:c r="AL5047" s="87" t="str">
        <x:v>statgrad_clean_continuation_v0_10(1).xlsx</x:v>
      </x:c>
      <x:c r="AM5047" s="87" t="str">
        <x:v>RUS_EGKR_954</x:v>
      </x:c>
      <x:c r="AN5047" s="87" t="n">
        <x:v>26</x:v>
      </x:c>
    </x:row>
    <x:row r="5048">
      <x:c r="A5048" s="87" t="n">
        <x:v>5047</x:v>
      </x:c>
      <x:c r="B5048" s="87" t="str">
        <x:v>EGKR-W25-RUS-954-26</x:v>
      </x:c>
      <x:c r="C5048" s="87" t="str">
        <x:v>ЕГКР</x:v>
      </x:c>
      <x:c r="D5048" s="87"/>
      <x:c r="E5048" s="87" t="str">
        <x:v>Зима 2025</x:v>
      </x:c>
      <x:c r="F5048" s="87" t="str">
        <x:v>09.12.2025</x:v>
      </x:c>
      <x:c r="G5048" s="87" t="str">
        <x:v>Русский язык</x:v>
      </x:c>
      <x:c r="H5048" s="87" t="n">
        <x:v>11</x:v>
      </x:c>
      <x:c r="I5048" s="87"/>
      <x:c r="J5048" s="87" t="str">
        <x:v>954</x:v>
      </x:c>
      <x:c r="K5048" s="87" t="n">
        <x:v>26</x:v>
      </x:c>
      <x:c r="L5048" s="87" t="str">
        <x:v>Средства связи предложений</x:v>
      </x:c>
      <x:c r="M5048" s="30" t="str">
        <x:v>26 : Срели предложений 19-23 найдите такое(-ие). которос(-ые) связано(-ы) © предылущим(-ими) при помоши вволной конструкции. лексического повтора и однокоренных слов. Запишите номер(а) этого(-их) прелложения(-ий). Ответ: о . РН ‚Не забудьте перенести все ответы в бланк ответов № 11 1 6 соответствии с инструкцией по выполнению работы. р ‚ Проверьте, чтобы каждый ответ был записан в строке © номером ‹ соответствующего задания. _ ! $ 2525 ©7Е5НУ ‘Фесесатльньй институт герагстичесчих изуесени7 УМАР ВУ Кс-ирсвание не допускается</x:v>
      </x:c>
      <x:c r="N5048" s="30" t="str">
        <x:v>20</x:v>
      </x:c>
      <x:c r="O5048" s="30" t="str">
        <x:v>Ответ перенесён из сводной таблицы и связан с исходным заданием.</x:v>
      </x:c>
      <x:c r="P5048" s="30"/>
      <x:c r="Q5048" s="30" t="str">
        <x:v>Ответ визуально сверён с таблицей ответов; условие привязано к исходной странице.</x:v>
      </x:c>
      <x:c r="R5048" s="30" t="str">
        <x:v>20</x:v>
      </x:c>
      <x:c r="S5048" s="30"/>
      <x:c r="T5048" s="30" t="str">
        <x:v>ОТВЕТЫ (2).docx</x:v>
      </x:c>
      <x:c r="U5048" s="30" t="str">
        <x:v>Расхождений с таблицей ответов не выявлено.</x:v>
      </x:c>
      <x:c r="V5048" s="87" t="str">
        <x:v>VERIFIED</x:v>
      </x:c>
      <x:c r="W5048" s="87"/>
      <x:c r="X5048" s="87"/>
      <x:c r="Y5048" s="87" t="n">
        <x:v>15</x:v>
      </x:c>
      <x:c r="Z5048" s="87" t="n">
        <x:v>15</x:v>
      </x:c>
      <x:c r="AA5048" s="87" t="str">
        <x:v>страница 2</x:v>
      </x:c>
      <x:c r="AB5048" s="87"/>
      <x:c r="AC5048" s="87" t="str">
        <x:v>VIS-EGKR-RUS-W25-TASK-954-P015</x:v>
      </x:c>
      <x:c r="AD5048" s="87" t="str">
        <x:v>VIS-EGKR-RUS-W25-KEY-ALL-P002</x:v>
      </x:c>
      <x:c r="AE5048" s="87" t="str">
        <x:v>TASK; KEY</x:v>
      </x:c>
      <x:c r="AF5048" s="87" t="str">
        <x:v>VIS-EGKR-RUS-W25-TASK-954-P015: 15; VIS-EGKR-RUS-W25-KEY-ALL-P002: 2</x:v>
      </x:c>
      <x:c r="AG5048" s="87" t="str">
        <x:v>RESOLVED</x:v>
      </x:c>
      <x:c r="AH5048" s="87" t="str">
        <x:v>CROP_VERIFIED</x:v>
      </x:c>
      <x:c r="AI5048" s="30"/>
      <x:c r="AJ5048" s="87" t="str">
        <x:v>clean</x:v>
      </x:c>
      <x:c r="AK5048" s="87" t="str">
        <x:v>clean-v0.10</x:v>
      </x:c>
      <x:c r="AL5048" s="87" t="str">
        <x:v>statgrad_clean_continuation_v0_10(1).xlsx</x:v>
      </x:c>
      <x:c r="AM5048" s="87" t="str">
        <x:v>RUS_EGKR_954</x:v>
      </x:c>
      <x:c r="AN5048" s="87" t="n">
        <x:v>27</x:v>
      </x:c>
    </x:row>
    <x:row r="5049">
      <x:c r="A5049" s="87" t="n">
        <x:v>5048</x:v>
      </x:c>
      <x:c r="B5049" s="87" t="str">
        <x:v>EGKR-W25-RUS-954-27</x:v>
      </x:c>
      <x:c r="C5049" s="87" t="str">
        <x:v>ЕГКР</x:v>
      </x:c>
      <x:c r="D5049" s="87"/>
      <x:c r="E5049" s="87" t="str">
        <x:v>Зима 2025</x:v>
      </x:c>
      <x:c r="F5049" s="87" t="str">
        <x:v>09.12.2025</x:v>
      </x:c>
      <x:c r="G5049" s="87" t="str">
        <x:v>Русский язык</x:v>
      </x:c>
      <x:c r="H5049" s="87" t="n">
        <x:v>11</x:v>
      </x:c>
      <x:c r="I5049" s="87"/>
      <x:c r="J5049" s="87" t="str">
        <x:v>954</x:v>
      </x:c>
      <x:c r="K5049" s="87" t="n">
        <x:v>27</x:v>
      </x:c>
      <x:c r="L5049" s="87" t="str">
        <x:v>Сочинение-рассуждение</x:v>
      </x:c>
      <x:c r="M5049" s="30" t="str">
        <x:v>Напишите сочинение-рассужление по проблеме. поставленной в исходном тексте: «Какова природа вдохновения художника?». Сформулируйте позицию автора (рассказчика) по указанной проблеме. Прокомментируйте. как в тексте раскрывается эта позиция. Включите в комментарий два примера-иллюстрации из прочитанного текста. важные для понимания позиции автора (рассказчика). и поясните их. Укажите и поясните смысловую связь между привелёнными примерами-иллюстрациями. Сформулируйте и обоснуйте своё отношение к позиции автора (рассказчика) пос проблеме исходного тексга. Включите в обоснование пример-аргумент опираясь на читательский. историко-культурный или жизненный опыт и не повторяя авторских суждений. (Не учитываются примеры-аргументы. источниками которых являются комикс. аниме. манга. фанфик. графический роман. компьютерная игра идругие подобные виды представления информации.) Объём сочинения — не менее 150 слов. Работа. написанная без опоры на прочитанный текст (не по данному тексту). не оценивается. Если сочинение представляет собой полностью переписанный или пересказанный исходный текст без каких бы то ни было комментариев. то такая работа оценивается 0 баллов. Сочинение пишите аккуратно и разборчиво. соблюдая нормы современного русского литературного языка.</x:v>
      </x:c>
      <x:c r="N5049" s="30" t="str">
        <x:v>Проблема природы вдохновения волнует человечество на протяжении веков. Что это — божественный дар, мистическое откровение или результат напряжённого труда? Именно над этим вопросом размышляет автор предложенного текста.
Позиция рассказчика чётко сформулирована: вдохновение — это не случайная удача, а «награда за взыскующую честность художника». Оно является закономерным итогом всей жизни творца, его нравственного поиска и бескомпромиссной внутренней правды.
Для раскрытия этой позиции автор использует несколько ярких примеров-иллюстраций. Во-первых, он утверждает, что «для писателя… первым главнейшим актом творчества является сама его жизнь». Писатель, садясь за рукопись, лишь «дописывает уже написанное его жизнью». Это значит, что источник энергии для создания гениального произведения, подобного «Войне и миру», коренится в масштабе личности и глубине жизненного опыта самого Льва Толстого. Во-вторых, автор противопоставляет подлинное вдохновение и формальное стремление к честности: «Если мы садимся писать с мыслью писать честно, мы поздно задумались о честности». Истинная честность, по его мнению, — это не ситуативный принцип, а сформированная всей предшествующей жизнью «воля к добру», «бесконечный процесс самоочищения».
Смысловая связь между этими примерами очевидна. Они развивают единую мысль: вдохновение рождается не в момент написания текста, а в повседневном, часто незримом труде души. Жизнь как «первый акт творчества» формирует ту самую «взыскующую честность», которая в решающий момент и проявляется как озарение, дарующее художнику способность видеть и передавать истину.
Я полностью разделяю позицию автора. Вдохновение действительно кажется чудом лишь со стороны, для же самого творца оно — кульминация долгого пути. Блестящим подтверждением этой мысли служит судьба Фёдора Достоевского. Его великие романы, полные глубочайших психологических и философских прозрений, стали возможны лишь после пройденных им жизненных «кругов ада»: инсценировки казни, каторги, борьбы с нищетой и болезнями. Его «записывание» реальности было напрямую выковано в горниле его собственного мучительного и честного опыта, его «взыскующей» совести. Энергия, позволившая ему создать свои тексты, была «заработана собственной жизнью», как точно замечает автор.
Таким образом, вдохновение — это не приглашенная гостья, а цветение, для которого нужна долго взращиваемая почва. Эта почва — личность художника, выстроенная на фундаменте нравственного искания и предельной внутренней честности.</x:v>
      </x:c>
      <x:c r="O5049" s="30" t="str">
        <x:v>Модель развёрнутого ответа.</x:v>
      </x:c>
      <x:c r="P5049" s="30"/>
      <x:c r="Q5049" s="30" t="str">
        <x:v>Проверены формулировка проблемы, позиция автора, два примера, связь и аргументация.</x:v>
      </x:c>
      <x:c r="R5049" s="30" t="str">
        <x:v>Сочинение Вариант 954.docx</x:v>
      </x:c>
      <x:c r="S5049" s="30"/>
      <x:c r="T5049" s="30" t="str">
        <x:v>Сочинение Вариант 954.docx</x:v>
      </x:c>
      <x:c r="U5049" s="30" t="str">
        <x:v>Модель соответствует проблеме задания 27 и структуре сочинения ЕГЭ.</x:v>
      </x:c>
      <x:c r="V5049" s="87" t="str">
        <x:v>VERIFIED</x:v>
      </x:c>
      <x:c r="W5049" s="87"/>
      <x:c r="X5049" s="87"/>
      <x:c r="Y5049" s="87" t="n">
        <x:v>16</x:v>
      </x:c>
      <x:c r="Z5049" s="87" t="n">
        <x:v>16</x:v>
      </x:c>
      <x:c r="AA5049" s="87" t="str">
        <x:v>модель сочинения</x:v>
      </x:c>
      <x:c r="AB5049" s="87"/>
      <x:c r="AC5049" s="87" t="str">
        <x:v>VIS-EGKR-RUS-W25-TASK-954-P016</x:v>
      </x:c>
      <x:c r="AD5049" s="87" t="str">
        <x:v>VIS-EGKR-RUS-W25-MODEL-954-P001</x:v>
      </x:c>
      <x:c r="AE5049" s="87" t="str">
        <x:v>TASK; MODEL</x:v>
      </x:c>
      <x:c r="AF5049" s="87" t="str">
        <x:v>VIS-EGKR-RUS-W25-TASK-954-P016: 16; VIS-EGKR-RUS-W25-MODEL-954-P001: 1</x:v>
      </x:c>
      <x:c r="AG5049" s="87" t="str">
        <x:v>RESOLVED</x:v>
      </x:c>
      <x:c r="AH5049" s="87" t="str">
        <x:v>CROP_VERIFIED; TASK_CROP_NO_CROP_NEEDED</x:v>
      </x:c>
      <x:c r="AI5049" s="30"/>
      <x:c r="AJ5049" s="87" t="str">
        <x:v>clean</x:v>
      </x:c>
      <x:c r="AK5049" s="87" t="str">
        <x:v>clean-v0.10</x:v>
      </x:c>
      <x:c r="AL5049" s="87" t="str">
        <x:v>statgrad_clean_continuation_v0_10(1).xlsx</x:v>
      </x:c>
      <x:c r="AM5049" s="87" t="str">
        <x:v>RUS_EGKR_954</x:v>
      </x:c>
      <x:c r="AN5049" s="87" t="n">
        <x:v>28</x:v>
      </x:c>
    </x:row>
    <x:row r="5050">
      <x:c r="A5050" s="87" t="n">
        <x:v>5049</x:v>
      </x:c>
      <x:c r="B5050" s="87" t="str">
        <x:v>EGKR-W25-RUS-956-01</x:v>
      </x:c>
      <x:c r="C5050" s="87" t="str">
        <x:v>ЕГКР</x:v>
      </x:c>
      <x:c r="D5050" s="87"/>
      <x:c r="E5050" s="87" t="str">
        <x:v>Зима 2025</x:v>
      </x:c>
      <x:c r="F5050" s="87" t="str">
        <x:v>09.12.2025</x:v>
      </x:c>
      <x:c r="G5050" s="87" t="str">
        <x:v>Русский язык</x:v>
      </x:c>
      <x:c r="H5050" s="87" t="n">
        <x:v>11</x:v>
      </x:c>
      <x:c r="I5050" s="87"/>
      <x:c r="J5050" s="87" t="str">
        <x:v>956</x:v>
      </x:c>
      <x:c r="K5050" s="87" t="n">
        <x:v>1</x:v>
      </x:c>
      <x:c r="L5050" s="87" t="str">
        <x:v>Связность текста: средство связи</x:v>
      </x:c>
      <x:c r="M5050" s="30" t="str">
        <x:v>Самостоятельно подберите нводное слово. которое указывает на связь ———~ мыслей и должно стоять на месте пропуска в третьем (3) абзаце текста. Запишите это вволное слово. вет a</x:v>
      </x:c>
      <x:c r="N5050" s="30" t="str">
        <x:v>так</x:v>
      </x:c>
      <x:c r="O5050" s="30" t="str">
        <x:v>Ответ перенесён из сводной таблицы и связан с исходным заданием.</x:v>
      </x:c>
      <x:c r="P5050" s="30"/>
      <x:c r="Q5050" s="30" t="str">
        <x:v>Ответ визуально сверён с таблицей ответов; условие привязано к исходной странице.</x:v>
      </x:c>
      <x:c r="R5050" s="30" t="str">
        <x:v>так</x:v>
      </x:c>
      <x:c r="S5050" s="30"/>
      <x:c r="T5050" s="30" t="str">
        <x:v>ОТВЕТЫ (2).docx</x:v>
      </x:c>
      <x:c r="U5050" s="30" t="str">
        <x:v>Расхождений с таблицей ответов не выявлено.</x:v>
      </x:c>
      <x:c r="V5050" s="87" t="str">
        <x:v>VERIFIED</x:v>
      </x:c>
      <x:c r="W5050" s="87"/>
      <x:c r="X5050" s="87"/>
      <x:c r="Y5050" s="87" t="n">
        <x:v>2</x:v>
      </x:c>
      <x:c r="Z5050" s="87" t="n">
        <x:v>2</x:v>
      </x:c>
      <x:c r="AA5050" s="87" t="str">
        <x:v>страница 2</x:v>
      </x:c>
      <x:c r="AB5050" s="87"/>
      <x:c r="AC5050" s="87" t="str">
        <x:v>VIS-EGKR-RUS-W25-TASK-956-P002</x:v>
      </x:c>
      <x:c r="AD5050" s="87" t="str">
        <x:v>VIS-EGKR-RUS-W25-KEY-ALL-P002</x:v>
      </x:c>
      <x:c r="AE5050" s="87" t="str">
        <x:v>TASK; KEY</x:v>
      </x:c>
      <x:c r="AF5050" s="87" t="str">
        <x:v>VIS-EGKR-RUS-W25-TASK-956-P002: 2; VIS-EGKR-RUS-W25-KEY-ALL-P002: 2</x:v>
      </x:c>
      <x:c r="AG5050" s="87" t="str">
        <x:v>RESOLVED</x:v>
      </x:c>
      <x:c r="AH5050" s="87" t="str">
        <x:v>CROP_VERIFIED</x:v>
      </x:c>
      <x:c r="AI5050" s="30"/>
      <x:c r="AJ5050" s="87" t="str">
        <x:v>clean</x:v>
      </x:c>
      <x:c r="AK5050" s="87" t="str">
        <x:v>clean-v0.10</x:v>
      </x:c>
      <x:c r="AL5050" s="87" t="str">
        <x:v>statgrad_clean_continuation_v0_10(1).xlsx</x:v>
      </x:c>
      <x:c r="AM5050" s="87" t="str">
        <x:v>RUS_EGKR_956</x:v>
      </x:c>
      <x:c r="AN5050" s="87" t="n">
        <x:v>2</x:v>
      </x:c>
    </x:row>
    <x:row r="5051">
      <x:c r="A5051" s="87" t="n">
        <x:v>5050</x:v>
      </x:c>
      <x:c r="B5051" s="87" t="str">
        <x:v>EGKR-W25-RUS-956-02</x:v>
      </x:c>
      <x:c r="C5051" s="87" t="str">
        <x:v>ЕГКР</x:v>
      </x:c>
      <x:c r="D5051" s="87"/>
      <x:c r="E5051" s="87" t="str">
        <x:v>Зима 2025</x:v>
      </x:c>
      <x:c r="F5051" s="87" t="str">
        <x:v>09.12.2025</x:v>
      </x:c>
      <x:c r="G5051" s="87" t="str">
        <x:v>Русский язык</x:v>
      </x:c>
      <x:c r="H5051" s="87" t="n">
        <x:v>11</x:v>
      </x:c>
      <x:c r="I5051" s="87"/>
      <x:c r="J5051" s="87" t="str">
        <x:v>956</x:v>
      </x:c>
      <x:c r="K5051" s="87" t="n">
        <x:v>2</x:v>
      </x:c>
      <x:c r="L5051" s="87" t="str">
        <x:v>Лексическое значение слова</x:v>
      </x:c>
      <x:c r="M5051" s="30" t="str">
        <x:v>В тексте выделено пять слов. Укажите варианты ответов, в которых лексическое значение выделенного слова соответствует его значению в данном тексте. Запишите номера ответов. 1) ЯЗЫК. Орган в полости рта в виде мышечного выроста у позвоночных животных и человска, способствующий пережёвыванию и глотанию пищи. определяющий её вкусовые свойства. /Гершавый кошачий язык. Облизать губы языком. 2) ЯВЛЯТЬСЯ. Быть кем-. чем-либо. каким-либо: представлять собой Koro-. что-либо. Она являлась хозяйкой дома. Он является членом учёного совета. 3) БЛИЗКИЙ. Сходный. похожий. Оба произведения близки по содержанию. Перевод близок к подлиннику. 4) СТИЛЬ. Функииональная разновилность литературного языка. Официально-деловой стиль. 5) НАБЛЮДАТЬ. Внимательно следить глазами за кем-. чем-либо. Наблюдать за детьми. Ответ: . 3 Укажите варианты ответов. в которых даны</x:v>
      </x:c>
      <x:c r="N5051" s="30" t="str">
        <x:v>234</x:v>
      </x:c>
      <x:c r="O5051" s="30" t="str">
        <x:v>Ответ перенесён из сводной таблицы и связан с исходным заданием.</x:v>
      </x:c>
      <x:c r="P5051" s="30"/>
      <x:c r="Q5051" s="30" t="str">
        <x:v>Ответ визуально сверён с таблицей ответов; условие привязано к исходной странице.</x:v>
      </x:c>
      <x:c r="R5051" s="30" t="str">
        <x:v>234</x:v>
      </x:c>
      <x:c r="S5051" s="30"/>
      <x:c r="T5051" s="30" t="str">
        <x:v>ОТВЕТЫ (2).docx</x:v>
      </x:c>
      <x:c r="U5051" s="30" t="str">
        <x:v>Расхождений с таблицей ответов не выявлено.</x:v>
      </x:c>
      <x:c r="V5051" s="87" t="str">
        <x:v>VERIFIED</x:v>
      </x:c>
      <x:c r="W5051" s="87"/>
      <x:c r="X5051" s="87"/>
      <x:c r="Y5051" s="87" t="n">
        <x:v>3</x:v>
      </x:c>
      <x:c r="Z5051" s="87" t="n">
        <x:v>3</x:v>
      </x:c>
      <x:c r="AA5051" s="87" t="str">
        <x:v>страница 2</x:v>
      </x:c>
      <x:c r="AB5051" s="87"/>
      <x:c r="AC5051" s="87" t="str">
        <x:v>VIS-EGKR-RUS-W25-TASK-956-P003</x:v>
      </x:c>
      <x:c r="AD5051" s="87" t="str">
        <x:v>VIS-EGKR-RUS-W25-KEY-ALL-P002</x:v>
      </x:c>
      <x:c r="AE5051" s="87" t="str">
        <x:v>TASK; KEY</x:v>
      </x:c>
      <x:c r="AF5051" s="87" t="str">
        <x:v>VIS-EGKR-RUS-W25-TASK-956-P003: 3; VIS-EGKR-RUS-W25-KEY-ALL-P002: 2</x:v>
      </x:c>
      <x:c r="AG5051" s="87" t="str">
        <x:v>RESOLVED</x:v>
      </x:c>
      <x:c r="AH5051" s="87" t="str">
        <x:v>CROP_VERIFIED</x:v>
      </x:c>
      <x:c r="AI5051" s="30"/>
      <x:c r="AJ5051" s="87" t="str">
        <x:v>clean</x:v>
      </x:c>
      <x:c r="AK5051" s="87" t="str">
        <x:v>clean-v0.10</x:v>
      </x:c>
      <x:c r="AL5051" s="87" t="str">
        <x:v>statgrad_clean_continuation_v0_10(1).xlsx</x:v>
      </x:c>
      <x:c r="AM5051" s="87" t="str">
        <x:v>RUS_EGKR_956</x:v>
      </x:c>
      <x:c r="AN5051" s="87" t="n">
        <x:v>3</x:v>
      </x:c>
    </x:row>
    <x:row r="5052">
      <x:c r="A5052" s="87" t="n">
        <x:v>5051</x:v>
      </x:c>
      <x:c r="B5052" s="87" t="str">
        <x:v>EGKR-W25-RUS-956-03</x:v>
      </x:c>
      <x:c r="C5052" s="87" t="str">
        <x:v>ЕГКР</x:v>
      </x:c>
      <x:c r="D5052" s="87"/>
      <x:c r="E5052" s="87" t="str">
        <x:v>Зима 2025</x:v>
      </x:c>
      <x:c r="F5052" s="87" t="str">
        <x:v>09.12.2025</x:v>
      </x:c>
      <x:c r="G5052" s="87" t="str">
        <x:v>Русский язык</x:v>
      </x:c>
      <x:c r="H5052" s="87" t="n">
        <x:v>11</x:v>
      </x:c>
      <x:c r="I5052" s="87"/>
      <x:c r="J5052" s="87" t="str">
        <x:v>956</x:v>
      </x:c>
      <x:c r="K5052" s="87" t="n">
        <x:v>3</x:v>
      </x:c>
      <x:c r="L5052" s="87" t="str">
        <x:v>Стилистический и языковой анализ текста</x:v>
      </x:c>
      <x:c r="M5052" s="30" t="str">
        <x:v>верные характеристики текста. Запишите номера ответов. 1) Цели автора — воздействовать на чувства читателя. привлечь cro внимание к синонимам. 2) Основной функционально-смысловой тип речи в тексте — рассуждение. 3) В тексте использованы термины (синонимов. заимствованных слов). 4) Выразительность текста обеспечивается синтаксическими средствами, среди которых — диалог, неполные предложения. вводные конструкции. 5) С помощью метафор («новые черты». «имеющимся наименованием») автор показывает причины возникновения в языке синонимов. бы i Q Когированге не допускается</x:v>
      </x:c>
      <x:c r="N5052" s="30" t="str">
        <x:v>23</x:v>
      </x:c>
      <x:c r="O5052" s="30" t="str">
        <x:v>Ответ перенесён из сводной таблицы и связан с исходным заданием.</x:v>
      </x:c>
      <x:c r="P5052" s="30"/>
      <x:c r="Q5052" s="30" t="str">
        <x:v>Ответ визуально сверён с таблицей ответов; условие привязано к исходной странице.</x:v>
      </x:c>
      <x:c r="R5052" s="30" t="str">
        <x:v>23</x:v>
      </x:c>
      <x:c r="S5052" s="30"/>
      <x:c r="T5052" s="30" t="str">
        <x:v>ОТВЕТЫ (2).docx</x:v>
      </x:c>
      <x:c r="U5052" s="30" t="str">
        <x:v>Расхождений с таблицей ответов не выявлено.</x:v>
      </x:c>
      <x:c r="V5052" s="87" t="str">
        <x:v>VERIFIED</x:v>
      </x:c>
      <x:c r="W5052" s="87"/>
      <x:c r="X5052" s="87"/>
      <x:c r="Y5052" s="87" t="n">
        <x:v>3</x:v>
      </x:c>
      <x:c r="Z5052" s="87" t="n">
        <x:v>3</x:v>
      </x:c>
      <x:c r="AA5052" s="87" t="str">
        <x:v>страница 2</x:v>
      </x:c>
      <x:c r="AB5052" s="87"/>
      <x:c r="AC5052" s="87" t="str">
        <x:v>VIS-EGKR-RUS-W25-TASK-956-P003</x:v>
      </x:c>
      <x:c r="AD5052" s="87" t="str">
        <x:v>VIS-EGKR-RUS-W25-KEY-ALL-P002</x:v>
      </x:c>
      <x:c r="AE5052" s="87" t="str">
        <x:v>TASK; KEY</x:v>
      </x:c>
      <x:c r="AF5052" s="87" t="str">
        <x:v>VIS-EGKR-RUS-W25-TASK-956-P003: 3; VIS-EGKR-RUS-W25-KEY-ALL-P002: 2</x:v>
      </x:c>
      <x:c r="AG5052" s="87" t="str">
        <x:v>RESOLVED</x:v>
      </x:c>
      <x:c r="AH5052" s="87" t="str">
        <x:v>CROP_VERIFIED</x:v>
      </x:c>
      <x:c r="AI5052" s="30"/>
      <x:c r="AJ5052" s="87" t="str">
        <x:v>clean</x:v>
      </x:c>
      <x:c r="AK5052" s="87" t="str">
        <x:v>clean-v0.10</x:v>
      </x:c>
      <x:c r="AL5052" s="87" t="str">
        <x:v>statgrad_clean_continuation_v0_10(1).xlsx</x:v>
      </x:c>
      <x:c r="AM5052" s="87" t="str">
        <x:v>RUS_EGKR_956</x:v>
      </x:c>
      <x:c r="AN5052" s="87" t="n">
        <x:v>4</x:v>
      </x:c>
    </x:row>
    <x:row r="5053">
      <x:c r="A5053" s="87" t="n">
        <x:v>5052</x:v>
      </x:c>
      <x:c r="B5053" s="87" t="str">
        <x:v>EGKR-W25-RUS-956-04</x:v>
      </x:c>
      <x:c r="C5053" s="87" t="str">
        <x:v>ЕГКР</x:v>
      </x:c>
      <x:c r="D5053" s="87"/>
      <x:c r="E5053" s="87" t="str">
        <x:v>Зима 2025</x:v>
      </x:c>
      <x:c r="F5053" s="87" t="str">
        <x:v>09.12.2025</x:v>
      </x:c>
      <x:c r="G5053" s="87" t="str">
        <x:v>Русский язык</x:v>
      </x:c>
      <x:c r="H5053" s="87" t="n">
        <x:v>11</x:v>
      </x:c>
      <x:c r="I5053" s="87"/>
      <x:c r="J5053" s="87" t="str">
        <x:v>956</x:v>
      </x:c>
      <x:c r="K5053" s="87" t="n">
        <x:v>4</x:v>
      </x:c>
      <x:c r="L5053" s="87" t="str">
        <x:v>Орфоэпические нормы</x:v>
      </x:c>
      <x:c r="M5053" s="30" t="str">
        <x:v>верно выделена буква. обозначающая ударный гласный звук. Запишите номера ответов. 1) прозорлИвый 2) шАрфы 3} яслЕй 4) портфЕль 5) Эксперт Oper а В одном из приведённых ниже предложений</x:v>
      </x:c>
      <x:c r="N5053" s="30" t="str">
        <x:v>123</x:v>
      </x:c>
      <x:c r="O5053" s="30" t="str">
        <x:v>Ответ перенесён из сводной таблицы и связан с исходным заданием.</x:v>
      </x:c>
      <x:c r="P5053" s="30"/>
      <x:c r="Q5053" s="30" t="str">
        <x:v>Ответ визуально сверён с таблицей ответов; условие привязано к исходной странице.</x:v>
      </x:c>
      <x:c r="R5053" s="30" t="str">
        <x:v>123</x:v>
      </x:c>
      <x:c r="S5053" s="30"/>
      <x:c r="T5053" s="30" t="str">
        <x:v>ОТВЕТЫ (2).docx</x:v>
      </x:c>
      <x:c r="U5053" s="30" t="str">
        <x:v>Расхождений с таблицей ответов не выявлено.</x:v>
      </x:c>
      <x:c r="V5053" s="87" t="str">
        <x:v>VERIFIED</x:v>
      </x:c>
      <x:c r="W5053" s="87"/>
      <x:c r="X5053" s="87"/>
      <x:c r="Y5053" s="87" t="n">
        <x:v>4</x:v>
      </x:c>
      <x:c r="Z5053" s="87" t="n">
        <x:v>4</x:v>
      </x:c>
      <x:c r="AA5053" s="87" t="str">
        <x:v>страница 2</x:v>
      </x:c>
      <x:c r="AB5053" s="87"/>
      <x:c r="AC5053" s="87" t="str">
        <x:v>VIS-EGKR-RUS-W25-TASK-956-P004</x:v>
      </x:c>
      <x:c r="AD5053" s="87" t="str">
        <x:v>VIS-EGKR-RUS-W25-KEY-ALL-P002</x:v>
      </x:c>
      <x:c r="AE5053" s="87" t="str">
        <x:v>TASK; KEY</x:v>
      </x:c>
      <x:c r="AF5053" s="87" t="str">
        <x:v>VIS-EGKR-RUS-W25-TASK-956-P004: 4; VIS-EGKR-RUS-W25-KEY-ALL-P002: 2</x:v>
      </x:c>
      <x:c r="AG5053" s="87" t="str">
        <x:v>RESOLVED</x:v>
      </x:c>
      <x:c r="AH5053" s="87" t="str">
        <x:v>CROP_VERIFIED</x:v>
      </x:c>
      <x:c r="AI5053" s="30"/>
      <x:c r="AJ5053" s="87" t="str">
        <x:v>clean</x:v>
      </x:c>
      <x:c r="AK5053" s="87" t="str">
        <x:v>clean-v0.10</x:v>
      </x:c>
      <x:c r="AL5053" s="87" t="str">
        <x:v>statgrad_clean_continuation_v0_10(1).xlsx</x:v>
      </x:c>
      <x:c r="AM5053" s="87" t="str">
        <x:v>RUS_EGKR_956</x:v>
      </x:c>
      <x:c r="AN5053" s="87" t="n">
        <x:v>5</x:v>
      </x:c>
    </x:row>
    <x:row r="5054">
      <x:c r="A5054" s="87" t="n">
        <x:v>5053</x:v>
      </x:c>
      <x:c r="B5054" s="87" t="str">
        <x:v>EGKR-W25-RUS-956-05</x:v>
      </x:c>
      <x:c r="C5054" s="87" t="str">
        <x:v>ЕГКР</x:v>
      </x:c>
      <x:c r="D5054" s="87"/>
      <x:c r="E5054" s="87" t="str">
        <x:v>Зима 2025</x:v>
      </x:c>
      <x:c r="F5054" s="87" t="str">
        <x:v>09.12.2025</x:v>
      </x:c>
      <x:c r="G5054" s="87" t="str">
        <x:v>Русский язык</x:v>
      </x:c>
      <x:c r="H5054" s="87" t="n">
        <x:v>11</x:v>
      </x:c>
      <x:c r="I5054" s="87"/>
      <x:c r="J5054" s="87" t="str">
        <x:v>956</x:v>
      </x:c>
      <x:c r="K5054" s="87" t="n">
        <x:v>5</x:v>
      </x:c>
      <x:c r="L5054" s="87" t="str">
        <x:v>Паронимы и лексическая сочетаемость</x:v>
      </x:c>
      <x:c r="M5054" s="30" t="str">
        <x:v>НЕВЕРНО употреблено выделенное слово. Исправьте лексическую ошибку. подобрав к вылеленному слову пароним. Запишите подобранное слово. соблюдая нормы современного русского литературного языка. Наш коллега сделал на заседании кафедры — интересный. ИНФОРМАТИВНЫЙ доклад. Слушателям показалось. что лектор привёл не очень УДАЧЛИВЫЙ пример. Профессор был ПРИЗНАННЫМ авторитетом в своей области. Урок литературы был посвяшён СРАВНИТЕЛЬНОЙ характеристике Татьяны и Ольги Лариных. Ученики пришли к выводу, что текст написан в ПУБЛИЦИСТИЧЕСКОМ стиле. Ответ: :</x:v>
      </x:c>
      <x:c r="N5054" s="30" t="str">
        <x:v>удачный</x:v>
      </x:c>
      <x:c r="O5054" s="30" t="str">
        <x:v>Ответ перенесён из сводной таблицы и связан с исходным заданием.</x:v>
      </x:c>
      <x:c r="P5054" s="30"/>
      <x:c r="Q5054" s="30" t="str">
        <x:v>Ответ визуально сверён с таблицей ответов; условие привязано к исходной странице.</x:v>
      </x:c>
      <x:c r="R5054" s="30" t="str">
        <x:v>удачный</x:v>
      </x:c>
      <x:c r="S5054" s="30"/>
      <x:c r="T5054" s="30" t="str">
        <x:v>ОТВЕТЫ (2).docx</x:v>
      </x:c>
      <x:c r="U5054" s="30" t="str">
        <x:v>Расхождений с таблицей ответов не выявлено.</x:v>
      </x:c>
      <x:c r="V5054" s="87" t="str">
        <x:v>VERIFIED</x:v>
      </x:c>
      <x:c r="W5054" s="87"/>
      <x:c r="X5054" s="87"/>
      <x:c r="Y5054" s="87" t="n">
        <x:v>4</x:v>
      </x:c>
      <x:c r="Z5054" s="87" t="n">
        <x:v>4</x:v>
      </x:c>
      <x:c r="AA5054" s="87" t="str">
        <x:v>страница 2</x:v>
      </x:c>
      <x:c r="AB5054" s="87"/>
      <x:c r="AC5054" s="87" t="str">
        <x:v>VIS-EGKR-RUS-W25-TASK-956-P004</x:v>
      </x:c>
      <x:c r="AD5054" s="87" t="str">
        <x:v>VIS-EGKR-RUS-W25-KEY-ALL-P002</x:v>
      </x:c>
      <x:c r="AE5054" s="87" t="str">
        <x:v>TASK; KEY</x:v>
      </x:c>
      <x:c r="AF5054" s="87" t="str">
        <x:v>VIS-EGKR-RUS-W25-TASK-956-P004: 4; VIS-EGKR-RUS-W25-KEY-ALL-P002: 2</x:v>
      </x:c>
      <x:c r="AG5054" s="87" t="str">
        <x:v>RESOLVED</x:v>
      </x:c>
      <x:c r="AH5054" s="87" t="str">
        <x:v>CROP_VERIFIED</x:v>
      </x:c>
      <x:c r="AI5054" s="30"/>
      <x:c r="AJ5054" s="87" t="str">
        <x:v>clean</x:v>
      </x:c>
      <x:c r="AK5054" s="87" t="str">
        <x:v>clean-v0.10</x:v>
      </x:c>
      <x:c r="AL5054" s="87" t="str">
        <x:v>statgrad_clean_continuation_v0_10(1).xlsx</x:v>
      </x:c>
      <x:c r="AM5054" s="87" t="str">
        <x:v>RUS_EGKR_956</x:v>
      </x:c>
      <x:c r="AN5054" s="87" t="n">
        <x:v>6</x:v>
      </x:c>
    </x:row>
    <x:row r="5055">
      <x:c r="A5055" s="87" t="n">
        <x:v>5054</x:v>
      </x:c>
      <x:c r="B5055" s="87" t="str">
        <x:v>EGKR-W25-RUS-956-06</x:v>
      </x:c>
      <x:c r="C5055" s="87" t="str">
        <x:v>ЕГКР</x:v>
      </x:c>
      <x:c r="D5055" s="87"/>
      <x:c r="E5055" s="87" t="str">
        <x:v>Зима 2025</x:v>
      </x:c>
      <x:c r="F5055" s="87" t="str">
        <x:v>09.12.2025</x:v>
      </x:c>
      <x:c r="G5055" s="87" t="str">
        <x:v>Русский язык</x:v>
      </x:c>
      <x:c r="H5055" s="87" t="n">
        <x:v>11</x:v>
      </x:c>
      <x:c r="I5055" s="87"/>
      <x:c r="J5055" s="87" t="str">
        <x:v>956</x:v>
      </x:c>
      <x:c r="K5055" s="87" t="n">
        <x:v>6</x:v>
      </x:c>
      <x:c r="L5055" s="87" t="str">
        <x:v>Лексическая норма / речевая избыточность</x:v>
      </x:c>
      <x:c r="M5055" s="30" t="str">
        <x:v>Отредактируйте предложение: исправьте лексическую ошибку. исключив лишнее слово. Выпишите это слово. Искусствоведы были восхишены уникальной коллекцией опытного геолога, поэтому назвали её полноценным музеем редких раритетов. Ответ: р 7 В одном из выделенных ниже слов лопушена</x:v>
      </x:c>
      <x:c r="N5055" s="30" t="str">
        <x:v>редких</x:v>
      </x:c>
      <x:c r="O5055" s="30" t="str">
        <x:v>Ответ перенесён из сводной таблицы и связан с исходным заданием.</x:v>
      </x:c>
      <x:c r="P5055" s="30"/>
      <x:c r="Q5055" s="30" t="str">
        <x:v>Ответ визуально сверён с таблицей ответов; условие привязано к исходной странице.</x:v>
      </x:c>
      <x:c r="R5055" s="30" t="str">
        <x:v>редких</x:v>
      </x:c>
      <x:c r="S5055" s="30"/>
      <x:c r="T5055" s="30" t="str">
        <x:v>ОТВЕТЫ (2).docx</x:v>
      </x:c>
      <x:c r="U5055" s="30" t="str">
        <x:v>Расхождений с таблицей ответов не выявлено.</x:v>
      </x:c>
      <x:c r="V5055" s="87" t="str">
        <x:v>VERIFIED</x:v>
      </x:c>
      <x:c r="W5055" s="87"/>
      <x:c r="X5055" s="87"/>
      <x:c r="Y5055" s="87" t="n">
        <x:v>5</x:v>
      </x:c>
      <x:c r="Z5055" s="87" t="n">
        <x:v>5</x:v>
      </x:c>
      <x:c r="AA5055" s="87" t="str">
        <x:v>страница 2</x:v>
      </x:c>
      <x:c r="AB5055" s="87"/>
      <x:c r="AC5055" s="87" t="str">
        <x:v>VIS-EGKR-RUS-W25-TASK-956-P005</x:v>
      </x:c>
      <x:c r="AD5055" s="87" t="str">
        <x:v>VIS-EGKR-RUS-W25-KEY-ALL-P002</x:v>
      </x:c>
      <x:c r="AE5055" s="87" t="str">
        <x:v>TASK; KEY</x:v>
      </x:c>
      <x:c r="AF5055" s="87" t="str">
        <x:v>VIS-EGKR-RUS-W25-TASK-956-P005: 5; VIS-EGKR-RUS-W25-KEY-ALL-P002: 2</x:v>
      </x:c>
      <x:c r="AG5055" s="87" t="str">
        <x:v>RESOLVED</x:v>
      </x:c>
      <x:c r="AH5055" s="87" t="str">
        <x:v>CROP_VERIFIED</x:v>
      </x:c>
      <x:c r="AI5055" s="30"/>
      <x:c r="AJ5055" s="87" t="str">
        <x:v>clean</x:v>
      </x:c>
      <x:c r="AK5055" s="87" t="str">
        <x:v>clean-v0.10</x:v>
      </x:c>
      <x:c r="AL5055" s="87" t="str">
        <x:v>statgrad_clean_continuation_v0_10(1).xlsx</x:v>
      </x:c>
      <x:c r="AM5055" s="87" t="str">
        <x:v>RUS_EGKR_956</x:v>
      </x:c>
      <x:c r="AN5055" s="87" t="n">
        <x:v>7</x:v>
      </x:c>
    </x:row>
    <x:row r="5056">
      <x:c r="A5056" s="87" t="n">
        <x:v>5055</x:v>
      </x:c>
      <x:c r="B5056" s="87" t="str">
        <x:v>EGKR-W25-RUS-956-07</x:v>
      </x:c>
      <x:c r="C5056" s="87" t="str">
        <x:v>ЕГКР</x:v>
      </x:c>
      <x:c r="D5056" s="87"/>
      <x:c r="E5056" s="87" t="str">
        <x:v>Зима 2025</x:v>
      </x:c>
      <x:c r="F5056" s="87" t="str">
        <x:v>09.12.2025</x:v>
      </x:c>
      <x:c r="G5056" s="87" t="str">
        <x:v>Русский язык</x:v>
      </x:c>
      <x:c r="H5056" s="87" t="n">
        <x:v>11</x:v>
      </x:c>
      <x:c r="I5056" s="87"/>
      <x:c r="J5056" s="87" t="str">
        <x:v>956</x:v>
      </x:c>
      <x:c r="K5056" s="87" t="n">
        <x:v>7</x:v>
      </x:c>
      <x:c r="L5056" s="87" t="str">
        <x:v>Морфологические нормы</x:v>
      </x:c>
      <x:c r="M5056" s="30" t="str">
        <x:v>грамматическая ошибка. Исправьте ошибку и запишите слово правильно. килограмм МАНДАРИНОВ ЧЕТВЕРЫМ мушкетёрам ИХ вещи новых САПОГОВ кольцо КРАСИВЕЕ Ответ: . $2525 STSUY "бересагь-ь7 институт -еда-с-изеских измесений" ММАМЕ'Р. У</x:v>
      </x:c>
      <x:c r="N5056" s="30" t="str">
        <x:v>четверым</x:v>
      </x:c>
      <x:c r="O5056" s="30" t="str">
        <x:v>Ответ перенесён из сводной таблицы и связан с исходным заданием.</x:v>
      </x:c>
      <x:c r="P5056" s="30"/>
      <x:c r="Q5056" s="30" t="str">
        <x:v>Ответ визуально сверён с таблицей ответов; условие привязано к исходной странице.</x:v>
      </x:c>
      <x:c r="R5056" s="30" t="str">
        <x:v>четверым</x:v>
      </x:c>
      <x:c r="S5056" s="30"/>
      <x:c r="T5056" s="30" t="str">
        <x:v>ОТВЕТЫ (2).docx</x:v>
      </x:c>
      <x:c r="U5056" s="30" t="str">
        <x:v>Расхождений с таблицей ответов не выявлено.</x:v>
      </x:c>
      <x:c r="V5056" s="87" t="str">
        <x:v>VERIFIED</x:v>
      </x:c>
      <x:c r="W5056" s="87"/>
      <x:c r="X5056" s="87"/>
      <x:c r="Y5056" s="87" t="n">
        <x:v>5</x:v>
      </x:c>
      <x:c r="Z5056" s="87" t="n">
        <x:v>5</x:v>
      </x:c>
      <x:c r="AA5056" s="87" t="str">
        <x:v>страница 2</x:v>
      </x:c>
      <x:c r="AB5056" s="87"/>
      <x:c r="AC5056" s="87" t="str">
        <x:v>VIS-EGKR-RUS-W25-TASK-956-P005</x:v>
      </x:c>
      <x:c r="AD5056" s="87" t="str">
        <x:v>VIS-EGKR-RUS-W25-KEY-ALL-P002</x:v>
      </x:c>
      <x:c r="AE5056" s="87" t="str">
        <x:v>TASK; KEY</x:v>
      </x:c>
      <x:c r="AF5056" s="87" t="str">
        <x:v>VIS-EGKR-RUS-W25-TASK-956-P005: 5; VIS-EGKR-RUS-W25-KEY-ALL-P002: 2</x:v>
      </x:c>
      <x:c r="AG5056" s="87" t="str">
        <x:v>RESOLVED</x:v>
      </x:c>
      <x:c r="AH5056" s="87" t="str">
        <x:v>CROP_VERIFIED</x:v>
      </x:c>
      <x:c r="AI5056" s="30"/>
      <x:c r="AJ5056" s="87" t="str">
        <x:v>clean</x:v>
      </x:c>
      <x:c r="AK5056" s="87" t="str">
        <x:v>clean-v0.10</x:v>
      </x:c>
      <x:c r="AL5056" s="87" t="str">
        <x:v>statgrad_clean_continuation_v0_10(1).xlsx</x:v>
      </x:c>
      <x:c r="AM5056" s="87" t="str">
        <x:v>RUS_EGKR_956</x:v>
      </x:c>
      <x:c r="AN5056" s="87" t="n">
        <x:v>8</x:v>
      </x:c>
    </x:row>
    <x:row r="5057">
      <x:c r="A5057" s="87" t="n">
        <x:v>5056</x:v>
      </x:c>
      <x:c r="B5057" s="87" t="str">
        <x:v>EGKR-W25-RUS-956-08</x:v>
      </x:c>
      <x:c r="C5057" s="87" t="str">
        <x:v>ЕГКР</x:v>
      </x:c>
      <x:c r="D5057" s="87"/>
      <x:c r="E5057" s="87" t="str">
        <x:v>Зима 2025</x:v>
      </x:c>
      <x:c r="F5057" s="87" t="str">
        <x:v>09.12.2025</x:v>
      </x:c>
      <x:c r="G5057" s="87" t="str">
        <x:v>Русский язык</x:v>
      </x:c>
      <x:c r="H5057" s="87" t="n">
        <x:v>11</x:v>
      </x:c>
      <x:c r="I5057" s="87"/>
      <x:c r="J5057" s="87" t="str">
        <x:v>956</x:v>
      </x:c>
      <x:c r="K5057" s="87" t="n">
        <x:v>8</x:v>
      </x:c>
      <x:c r="L5057" s="87" t="str">
        <x:v>Синтаксические нормы: соответствие ошибок</x:v>
      </x:c>
      <x:c r="M5057" s="30" t="str">
        <x:v>соответствие между грамматическими ошибками и предложениями. в которых они допущены: к каждой позиции первого столбиа подберите соответствующую позицию из второго столбца. ГРАММАТИЧЕСКИЕ ПРЕДЛОЖЕНИЯ ОШИБКИ А) неправильное 1) Подхоля к дому. мы увидели употребление падежной стремительно приближающегося (прелложно-падежной) человека к нам. формы управляемого 2) Благодаря чёткого расписания ученики слова смогли уснешно подготовиться Б} нарушение в построении к экзаменам. предложения 3) Во время отпуска хочется не только с несогласованным отдохнуть и выспаться. но и наполнить приложением жизнь новыми внечаглениями. В) нарушение вило- 4) Вопреки прогнозу погоды на улице было временной соотнесённости тепло и светило солнце. глагольных форм 5) На протяжении автобусного тура Г) неправильное построение путешественники побывали во многих прелложения красивых городах. с причастным оборотом 6) Друзья наконец встречаются и увлечённо Д) ошибка в построении общались на протяжении всего вечера. предложения 7) В романе Л.Н. Толетого «Воскресение» с однородными членами описана жизнь Катюши Масловой. 8) Урок литературы в десятом классе был посвящён смыслу названия романа И.С. Тургенева «Отцов и детей». 9) Для повышения грамотности важно не только знать правила. а также выучить исключения из них. Запишите в таблицу выбранные цифры под соответствующими буквами. A, BIBT A Ответ: aie —1 1</x:v>
      </x:c>
      <x:c r="N5057" s="30" t="str">
        <x:v>28194</x:v>
      </x:c>
      <x:c r="O5057" s="30" t="str">
        <x:v>Ответ перенесён из сводной таблицы и связан с исходным заданием.</x:v>
      </x:c>
      <x:c r="P5057" s="30"/>
      <x:c r="Q5057" s="30" t="str">
        <x:v>Ответ визуально сверён с таблицей ответов; условие привязано к исходной странице.</x:v>
      </x:c>
      <x:c r="R5057" s="30" t="str">
        <x:v>28194</x:v>
      </x:c>
      <x:c r="S5057" s="30"/>
      <x:c r="T5057" s="30" t="str">
        <x:v>ОТВЕТЫ (2).docx</x:v>
      </x:c>
      <x:c r="U5057" s="30" t="str">
        <x:v>Расхождений с таблицей ответов не выявлено.</x:v>
      </x:c>
      <x:c r="V5057" s="87" t="str">
        <x:v>VERIFIED</x:v>
      </x:c>
      <x:c r="W5057" s="87"/>
      <x:c r="X5057" s="87"/>
      <x:c r="Y5057" s="87" t="n">
        <x:v>6</x:v>
      </x:c>
      <x:c r="Z5057" s="87" t="n">
        <x:v>6</x:v>
      </x:c>
      <x:c r="AA5057" s="87" t="str">
        <x:v>страница 2</x:v>
      </x:c>
      <x:c r="AB5057" s="87"/>
      <x:c r="AC5057" s="87" t="str">
        <x:v>VIS-EGKR-RUS-W25-TASK-956-P006</x:v>
      </x:c>
      <x:c r="AD5057" s="87" t="str">
        <x:v>VIS-EGKR-RUS-W25-KEY-ALL-P002</x:v>
      </x:c>
      <x:c r="AE5057" s="87" t="str">
        <x:v>TASK; KEY</x:v>
      </x:c>
      <x:c r="AF5057" s="87" t="str">
        <x:v>VIS-EGKR-RUS-W25-TASK-956-P006: 6; VIS-EGKR-RUS-W25-KEY-ALL-P002: 2</x:v>
      </x:c>
      <x:c r="AG5057" s="87" t="str">
        <x:v>RESOLVED</x:v>
      </x:c>
      <x:c r="AH5057" s="87" t="str">
        <x:v>CROP_VERIFIED</x:v>
      </x:c>
      <x:c r="AI5057" s="30"/>
      <x:c r="AJ5057" s="87" t="str">
        <x:v>clean</x:v>
      </x:c>
      <x:c r="AK5057" s="87" t="str">
        <x:v>clean-v0.10</x:v>
      </x:c>
      <x:c r="AL5057" s="87" t="str">
        <x:v>statgrad_clean_continuation_v0_10(1).xlsx</x:v>
      </x:c>
      <x:c r="AM5057" s="87" t="str">
        <x:v>RUS_EGKR_956</x:v>
      </x:c>
      <x:c r="AN5057" s="87" t="n">
        <x:v>9</x:v>
      </x:c>
    </x:row>
    <x:row r="5058">
      <x:c r="A5058" s="87" t="n">
        <x:v>5057</x:v>
      </x:c>
      <x:c r="B5058" s="87" t="str">
        <x:v>EGKR-W25-RUS-956-09</x:v>
      </x:c>
      <x:c r="C5058" s="87" t="str">
        <x:v>ЕГКР</x:v>
      </x:c>
      <x:c r="D5058" s="87"/>
      <x:c r="E5058" s="87" t="str">
        <x:v>Зима 2025</x:v>
      </x:c>
      <x:c r="F5058" s="87" t="str">
        <x:v>09.12.2025</x:v>
      </x:c>
      <x:c r="G5058" s="87" t="str">
        <x:v>Русский язык</x:v>
      </x:c>
      <x:c r="H5058" s="87" t="n">
        <x:v>11</x:v>
      </x:c>
      <x:c r="I5058" s="87"/>
      <x:c r="J5058" s="87" t="str">
        <x:v>956</x:v>
      </x:c>
      <x:c r="K5058" s="87" t="n">
        <x:v>9</x:v>
      </x:c>
      <x:c r="L5058" s="87" t="str">
        <x:v>Правописание корней</x:v>
      </x:c>
      <x:c r="M5058" s="30" t="str">
        <x:v>во всех словах одного ряда пропущена одна и та же буква. Запишите номера ответов. 1) уд..вительный (день). (красиво) нар..диться. посв..тить (стихи другу) 2) вопл..тить (в жизнь), оп..здание. сотв..рение (мира) 3) отр..сль (промышленности). (зелёный) р..сток. ур..внение 4) ещ.. (не знаю). ч.ткий (ответ). тяж..лый (чемодан) 5) нач..нать (урок), соч..тание (цветов). соб..рать (ягоды) Ответ: : . f —</x:v>
      </x:c>
      <x:c r="N5058" s="30" t="str">
        <x:v>235</x:v>
      </x:c>
      <x:c r="O5058" s="30" t="str">
        <x:v>Ответ перенесён из сводной таблицы и связан с исходным заданием.</x:v>
      </x:c>
      <x:c r="P5058" s="30"/>
      <x:c r="Q5058" s="30" t="str">
        <x:v>Ответ визуально сверён с таблицей ответов; условие привязано к исходной странице.</x:v>
      </x:c>
      <x:c r="R5058" s="30" t="str">
        <x:v>235</x:v>
      </x:c>
      <x:c r="S5058" s="30"/>
      <x:c r="T5058" s="30" t="str">
        <x:v>ОТВЕТЫ (2).docx</x:v>
      </x:c>
      <x:c r="U5058" s="30" t="str">
        <x:v>Расхождений с таблицей ответов не выявлено.</x:v>
      </x:c>
      <x:c r="V5058" s="87" t="str">
        <x:v>VERIFIED</x:v>
      </x:c>
      <x:c r="W5058" s="87"/>
      <x:c r="X5058" s="87"/>
      <x:c r="Y5058" s="87" t="n">
        <x:v>7</x:v>
      </x:c>
      <x:c r="Z5058" s="87" t="n">
        <x:v>7</x:v>
      </x:c>
      <x:c r="AA5058" s="87" t="str">
        <x:v>страница 2</x:v>
      </x:c>
      <x:c r="AB5058" s="87"/>
      <x:c r="AC5058" s="87" t="str">
        <x:v>VIS-EGKR-RUS-W25-TASK-956-P007</x:v>
      </x:c>
      <x:c r="AD5058" s="87" t="str">
        <x:v>VIS-EGKR-RUS-W25-KEY-ALL-P002</x:v>
      </x:c>
      <x:c r="AE5058" s="87" t="str">
        <x:v>TASK; KEY</x:v>
      </x:c>
      <x:c r="AF5058" s="87" t="str">
        <x:v>VIS-EGKR-RUS-W25-TASK-956-P007: 7; VIS-EGKR-RUS-W25-KEY-ALL-P002: 2</x:v>
      </x:c>
      <x:c r="AG5058" s="87" t="str">
        <x:v>RESOLVED</x:v>
      </x:c>
      <x:c r="AH5058" s="87" t="str">
        <x:v>CROP_VERIFIED</x:v>
      </x:c>
      <x:c r="AI5058" s="30"/>
      <x:c r="AJ5058" s="87" t="str">
        <x:v>clean</x:v>
      </x:c>
      <x:c r="AK5058" s="87" t="str">
        <x:v>clean-v0.10</x:v>
      </x:c>
      <x:c r="AL5058" s="87" t="str">
        <x:v>statgrad_clean_continuation_v0_10(1).xlsx</x:v>
      </x:c>
      <x:c r="AM5058" s="87" t="str">
        <x:v>RUS_EGKR_956</x:v>
      </x:c>
      <x:c r="AN5058" s="87" t="n">
        <x:v>10</x:v>
      </x:c>
    </x:row>
    <x:row r="5059">
      <x:c r="A5059" s="87" t="n">
        <x:v>5058</x:v>
      </x:c>
      <x:c r="B5059" s="87" t="str">
        <x:v>EGKR-W25-RUS-956-10</x:v>
      </x:c>
      <x:c r="C5059" s="87" t="str">
        <x:v>ЕГКР</x:v>
      </x:c>
      <x:c r="D5059" s="87"/>
      <x:c r="E5059" s="87" t="str">
        <x:v>Зима 2025</x:v>
      </x:c>
      <x:c r="F5059" s="87" t="str">
        <x:v>09.12.2025</x:v>
      </x:c>
      <x:c r="G5059" s="87" t="str">
        <x:v>Русский язык</x:v>
      </x:c>
      <x:c r="H5059" s="87" t="n">
        <x:v>11</x:v>
      </x:c>
      <x:c r="I5059" s="87"/>
      <x:c r="J5059" s="87" t="str">
        <x:v>956</x:v>
      </x:c>
      <x:c r="K5059" s="87" t="n">
        <x:v>10</x:v>
      </x:c>
      <x:c r="L5059" s="87" t="str">
        <x:v>Правописание приставок и букв Ы/И</x:v>
      </x:c>
      <x:c r="M5059" s="30" t="str">
        <x:v>| 10 © Укажите варианты ответов. в которых BO всех словах одного ряда пропущена одна и та же буква. Запишите номера ответов. 1} 0ез..нициативный (человек). небез..звестный (факт). с..грать (пьесу) 2) (рано) ра..будить. (интересный) ра..сказ. (внимательно) ра..смотреть 3) пр..бывать (в город). пр..мкнуть (к коллективу). пр..лать (значение) 4) дерев..я. об..яснение, комп. ютер 5) пр..пустить (начало). пр..бабушка. (загадочное) ир..исшествие Ответ: Н || ' Укажите варианты ответов. в которых</x:v>
      </x:c>
      <x:c r="N5059" s="30" t="str">
        <x:v>235</x:v>
      </x:c>
      <x:c r="O5059" s="30" t="str">
        <x:v>Ответ перенесён из сводной таблицы и связан с исходным заданием.</x:v>
      </x:c>
      <x:c r="P5059" s="30"/>
      <x:c r="Q5059" s="30" t="str">
        <x:v>Ответ визуально сверён с таблицей ответов; условие привязано к исходной странице.</x:v>
      </x:c>
      <x:c r="R5059" s="30" t="str">
        <x:v>235</x:v>
      </x:c>
      <x:c r="S5059" s="30"/>
      <x:c r="T5059" s="30" t="str">
        <x:v>ОТВЕТЫ (2).docx</x:v>
      </x:c>
      <x:c r="U5059" s="30" t="str">
        <x:v>Расхождений с таблицей ответов не выявлено.</x:v>
      </x:c>
      <x:c r="V5059" s="87" t="str">
        <x:v>VERIFIED</x:v>
      </x:c>
      <x:c r="W5059" s="87"/>
      <x:c r="X5059" s="87"/>
      <x:c r="Y5059" s="87" t="n">
        <x:v>7</x:v>
      </x:c>
      <x:c r="Z5059" s="87" t="n">
        <x:v>7</x:v>
      </x:c>
      <x:c r="AA5059" s="87" t="str">
        <x:v>страница 2</x:v>
      </x:c>
      <x:c r="AB5059" s="87"/>
      <x:c r="AC5059" s="87" t="str">
        <x:v>VIS-EGKR-RUS-W25-TASK-956-P007</x:v>
      </x:c>
      <x:c r="AD5059" s="87" t="str">
        <x:v>VIS-EGKR-RUS-W25-KEY-ALL-P002</x:v>
      </x:c>
      <x:c r="AE5059" s="87" t="str">
        <x:v>TASK; KEY</x:v>
      </x:c>
      <x:c r="AF5059" s="87" t="str">
        <x:v>VIS-EGKR-RUS-W25-TASK-956-P007: 7; VIS-EGKR-RUS-W25-KEY-ALL-P002: 2</x:v>
      </x:c>
      <x:c r="AG5059" s="87" t="str">
        <x:v>RESOLVED</x:v>
      </x:c>
      <x:c r="AH5059" s="87" t="str">
        <x:v>CROP_VERIFIED</x:v>
      </x:c>
      <x:c r="AI5059" s="30"/>
      <x:c r="AJ5059" s="87" t="str">
        <x:v>clean</x:v>
      </x:c>
      <x:c r="AK5059" s="87" t="str">
        <x:v>clean-v0.10</x:v>
      </x:c>
      <x:c r="AL5059" s="87" t="str">
        <x:v>statgrad_clean_continuation_v0_10(1).xlsx</x:v>
      </x:c>
      <x:c r="AM5059" s="87" t="str">
        <x:v>RUS_EGKR_956</x:v>
      </x:c>
      <x:c r="AN5059" s="87" t="n">
        <x:v>11</x:v>
      </x:c>
    </x:row>
    <x:row r="5060">
      <x:c r="A5060" s="87" t="n">
        <x:v>5059</x:v>
      </x:c>
      <x:c r="B5060" s="87" t="str">
        <x:v>EGKR-W25-RUS-956-11</x:v>
      </x:c>
      <x:c r="C5060" s="87" t="str">
        <x:v>ЕГКР</x:v>
      </x:c>
      <x:c r="D5060" s="87"/>
      <x:c r="E5060" s="87" t="str">
        <x:v>Зима 2025</x:v>
      </x:c>
      <x:c r="F5060" s="87" t="str">
        <x:v>09.12.2025</x:v>
      </x:c>
      <x:c r="G5060" s="87" t="str">
        <x:v>Русский язык</x:v>
      </x:c>
      <x:c r="H5060" s="87" t="n">
        <x:v>11</x:v>
      </x:c>
      <x:c r="I5060" s="87"/>
      <x:c r="J5060" s="87" t="str">
        <x:v>956</x:v>
      </x:c>
      <x:c r="K5060" s="87" t="n">
        <x:v>11</x:v>
      </x:c>
      <x:c r="L5060" s="87" t="str">
        <x:v>Правописание суффиксов</x:v>
      </x:c>
      <x:c r="M5060" s="30" t="str">
        <x:v>в обоих словах одного ряда пропущена одна и та же буква. Запишите номера ответов. [} свеж..сть. одол..вают (мысли) 2) яблон..вый (сад). находч..вый (ответ) 3) доказ..вать (теорему). оборуд..вать (мастерскую) 4) (появляться) изредк... (начинать) сначал.. 5) камыш..вые (заросли). дириж..р Ответ: _ __ : 92525 CSYY 'седезагь-ьй и-сту-у" -ерагстических измесе-и7“ WWWS'E RU &lt;cvyocea-ve не допускается</x:v>
      </x:c>
      <x:c r="N5060" s="30" t="str">
        <x:v>34</x:v>
      </x:c>
      <x:c r="O5060" s="30" t="str">
        <x:v>Ответ перенесён из сводной таблицы и связан с исходным заданием.</x:v>
      </x:c>
      <x:c r="P5060" s="30"/>
      <x:c r="Q5060" s="30" t="str">
        <x:v>Ответ визуально сверён с таблицей ответов; условие привязано к исходной странице.</x:v>
      </x:c>
      <x:c r="R5060" s="30" t="str">
        <x:v>34</x:v>
      </x:c>
      <x:c r="S5060" s="30"/>
      <x:c r="T5060" s="30" t="str">
        <x:v>ОТВЕТЫ (2).docx</x:v>
      </x:c>
      <x:c r="U5060" s="30" t="str">
        <x:v>Расхождений с таблицей ответов не выявлено.</x:v>
      </x:c>
      <x:c r="V5060" s="87" t="str">
        <x:v>VERIFIED</x:v>
      </x:c>
      <x:c r="W5060" s="87"/>
      <x:c r="X5060" s="87"/>
      <x:c r="Y5060" s="87" t="n">
        <x:v>7</x:v>
      </x:c>
      <x:c r="Z5060" s="87" t="n">
        <x:v>7</x:v>
      </x:c>
      <x:c r="AA5060" s="87" t="str">
        <x:v>страница 2</x:v>
      </x:c>
      <x:c r="AB5060" s="87"/>
      <x:c r="AC5060" s="87" t="str">
        <x:v>VIS-EGKR-RUS-W25-TASK-956-P007</x:v>
      </x:c>
      <x:c r="AD5060" s="87" t="str">
        <x:v>VIS-EGKR-RUS-W25-KEY-ALL-P002</x:v>
      </x:c>
      <x:c r="AE5060" s="87" t="str">
        <x:v>TASK; KEY</x:v>
      </x:c>
      <x:c r="AF5060" s="87" t="str">
        <x:v>VIS-EGKR-RUS-W25-TASK-956-P007: 7; VIS-EGKR-RUS-W25-KEY-ALL-P002: 2</x:v>
      </x:c>
      <x:c r="AG5060" s="87" t="str">
        <x:v>RESOLVED</x:v>
      </x:c>
      <x:c r="AH5060" s="87" t="str">
        <x:v>CROP_VERIFIED</x:v>
      </x:c>
      <x:c r="AI5060" s="30"/>
      <x:c r="AJ5060" s="87" t="str">
        <x:v>clean</x:v>
      </x:c>
      <x:c r="AK5060" s="87" t="str">
        <x:v>clean-v0.10</x:v>
      </x:c>
      <x:c r="AL5060" s="87" t="str">
        <x:v>statgrad_clean_continuation_v0_10(1).xlsx</x:v>
      </x:c>
      <x:c r="AM5060" s="87" t="str">
        <x:v>RUS_EGKR_956</x:v>
      </x:c>
      <x:c r="AN5060" s="87" t="n">
        <x:v>12</x:v>
      </x:c>
    </x:row>
    <x:row r="5061">
      <x:c r="A5061" s="87" t="n">
        <x:v>5060</x:v>
      </x:c>
      <x:c r="B5061" s="87" t="str">
        <x:v>EGKR-W25-RUS-956-12</x:v>
      </x:c>
      <x:c r="C5061" s="87" t="str">
        <x:v>ЕГКР</x:v>
      </x:c>
      <x:c r="D5061" s="87"/>
      <x:c r="E5061" s="87" t="str">
        <x:v>Зима 2025</x:v>
      </x:c>
      <x:c r="F5061" s="87" t="str">
        <x:v>09.12.2025</x:v>
      </x:c>
      <x:c r="G5061" s="87" t="str">
        <x:v>Русский язык</x:v>
      </x:c>
      <x:c r="H5061" s="87" t="n">
        <x:v>11</x:v>
      </x:c>
      <x:c r="I5061" s="87"/>
      <x:c r="J5061" s="87" t="str">
        <x:v>956</x:v>
      </x:c>
      <x:c r="K5061" s="87" t="n">
        <x:v>12</x:v>
      </x:c>
      <x:c r="L5061" s="87" t="str">
        <x:v>Личные окончания глаголов и суффиксы причастий</x:v>
      </x:c>
      <x:c r="M5061" s="30" t="str">
        <x:v>в обоих словах одного ряда пропущена одна и та же буква. Запишите номера ответов. 1} (внимательно) смотр..шь. (хорошо) танцу. шь 2) (логически) мысл..шь. постел..шь (скатерть) 3) приемл..мые (условия). движ..мый (голосом совести) 4) накле..нная (марка). просмотр..нная (газета) 5) стро..щийся (дом). завис. щий (от обстоятельств) Ответ _ se | 13°. Укажите варианты ответов. в которых</x:v>
      </x:c>
      <x:c r="N5061" s="30" t="str">
        <x:v>124</x:v>
      </x:c>
      <x:c r="O5061" s="30" t="str">
        <x:v>Ответ перенесён из сводной таблицы и связан с исходным заданием.</x:v>
      </x:c>
      <x:c r="P5061" s="30"/>
      <x:c r="Q5061" s="30" t="str">
        <x:v>Ответ визуально сверён с таблицей ответов; условие привязано к исходной странице.</x:v>
      </x:c>
      <x:c r="R5061" s="30" t="str">
        <x:v>124</x:v>
      </x:c>
      <x:c r="S5061" s="30"/>
      <x:c r="T5061" s="30" t="str">
        <x:v>ОТВЕТЫ (2).docx</x:v>
      </x:c>
      <x:c r="U5061" s="30" t="str">
        <x:v>Расхождений с таблицей ответов не выявлено.</x:v>
      </x:c>
      <x:c r="V5061" s="87" t="str">
        <x:v>VERIFIED</x:v>
      </x:c>
      <x:c r="W5061" s="87"/>
      <x:c r="X5061" s="87"/>
      <x:c r="Y5061" s="87" t="n">
        <x:v>8</x:v>
      </x:c>
      <x:c r="Z5061" s="87" t="n">
        <x:v>8</x:v>
      </x:c>
      <x:c r="AA5061" s="87" t="str">
        <x:v>страница 2</x:v>
      </x:c>
      <x:c r="AB5061" s="87"/>
      <x:c r="AC5061" s="87" t="str">
        <x:v>VIS-EGKR-RUS-W25-TASK-956-P008</x:v>
      </x:c>
      <x:c r="AD5061" s="87" t="str">
        <x:v>VIS-EGKR-RUS-W25-KEY-ALL-P002</x:v>
      </x:c>
      <x:c r="AE5061" s="87" t="str">
        <x:v>TASK; KEY</x:v>
      </x:c>
      <x:c r="AF5061" s="87" t="str">
        <x:v>VIS-EGKR-RUS-W25-TASK-956-P008: 8; VIS-EGKR-RUS-W25-KEY-ALL-P002: 2</x:v>
      </x:c>
      <x:c r="AG5061" s="87" t="str">
        <x:v>RESOLVED</x:v>
      </x:c>
      <x:c r="AH5061" s="87" t="str">
        <x:v>CROP_VERIFIED</x:v>
      </x:c>
      <x:c r="AI5061" s="30"/>
      <x:c r="AJ5061" s="87" t="str">
        <x:v>clean</x:v>
      </x:c>
      <x:c r="AK5061" s="87" t="str">
        <x:v>clean-v0.10</x:v>
      </x:c>
      <x:c r="AL5061" s="87" t="str">
        <x:v>statgrad_clean_continuation_v0_10(1).xlsx</x:v>
      </x:c>
      <x:c r="AM5061" s="87" t="str">
        <x:v>RUS_EGKR_956</x:v>
      </x:c>
      <x:c r="AN5061" s="87" t="n">
        <x:v>13</x:v>
      </x:c>
    </x:row>
    <x:row r="5062">
      <x:c r="A5062" s="87" t="n">
        <x:v>5061</x:v>
      </x:c>
      <x:c r="B5062" s="87" t="str">
        <x:v>EGKR-W25-RUS-956-13</x:v>
      </x:c>
      <x:c r="C5062" s="87" t="str">
        <x:v>ЕГКР</x:v>
      </x:c>
      <x:c r="D5062" s="87"/>
      <x:c r="E5062" s="87" t="str">
        <x:v>Зима 2025</x:v>
      </x:c>
      <x:c r="F5062" s="87" t="str">
        <x:v>09.12.2025</x:v>
      </x:c>
      <x:c r="G5062" s="87" t="str">
        <x:v>Русский язык</x:v>
      </x:c>
      <x:c r="H5062" s="87" t="n">
        <x:v>11</x:v>
      </x:c>
      <x:c r="I5062" s="87"/>
      <x:c r="J5062" s="87" t="str">
        <x:v>956</x:v>
      </x:c>
      <x:c r="K5062" s="87" t="n">
        <x:v>13</x:v>
      </x:c>
      <x:c r="L5062" s="87" t="str">
        <x:v>Правописание НЕ</x:v>
      </x:c>
      <x:c r="M5062" s="30" t="str">
        <x:v>HE с выделенным словом пишется РАЗДЕЛЬНО. Запишите номера ответов. 1) Редактор обнаружил в рукописи (НЕ)ЗАМЕЧЕННЫЕ автором недочёты. 2} Молодой поэт пока абсолютно (НЕ)ИЗВЕСТЕН широкой публике. 3) (НЕВЗИРАЯ на обстоятельства. вместе мы справимся с заданием. 4} В этой пачке (НЕ)ПРОВЕРЕННЫЕ. а только просмотренные работы. 5) Многие телезрители (НЕ}ДОСМОТРЕЛИ до конца скучную передачу. Ответ: зы г</x:v>
      </x:c>
      <x:c r="N5062" s="30" t="str">
        <x:v>14</x:v>
      </x:c>
      <x:c r="O5062" s="30" t="str">
        <x:v>Ответ перенесён из сводной таблицы и связан с исходным заданием.</x:v>
      </x:c>
      <x:c r="P5062" s="30"/>
      <x:c r="Q5062" s="30" t="str">
        <x:v>Ответ визуально сверён с таблицей ответов; условие привязано к исходной странице.</x:v>
      </x:c>
      <x:c r="R5062" s="30" t="str">
        <x:v>14</x:v>
      </x:c>
      <x:c r="S5062" s="30"/>
      <x:c r="T5062" s="30" t="str">
        <x:v>ОТВЕТЫ (2).docx</x:v>
      </x:c>
      <x:c r="U5062" s="30" t="str">
        <x:v>Расхождений с таблицей ответов не выявлено.</x:v>
      </x:c>
      <x:c r="V5062" s="87" t="str">
        <x:v>VERIFIED</x:v>
      </x:c>
      <x:c r="W5062" s="87"/>
      <x:c r="X5062" s="87"/>
      <x:c r="Y5062" s="87" t="n">
        <x:v>8</x:v>
      </x:c>
      <x:c r="Z5062" s="87" t="n">
        <x:v>8</x:v>
      </x:c>
      <x:c r="AA5062" s="87" t="str">
        <x:v>страница 2</x:v>
      </x:c>
      <x:c r="AB5062" s="87"/>
      <x:c r="AC5062" s="87" t="str">
        <x:v>VIS-EGKR-RUS-W25-TASK-956-P008</x:v>
      </x:c>
      <x:c r="AD5062" s="87" t="str">
        <x:v>VIS-EGKR-RUS-W25-KEY-ALL-P002</x:v>
      </x:c>
      <x:c r="AE5062" s="87" t="str">
        <x:v>TASK; KEY</x:v>
      </x:c>
      <x:c r="AF5062" s="87" t="str">
        <x:v>VIS-EGKR-RUS-W25-TASK-956-P008: 8; VIS-EGKR-RUS-W25-KEY-ALL-P002: 2</x:v>
      </x:c>
      <x:c r="AG5062" s="87" t="str">
        <x:v>RESOLVED</x:v>
      </x:c>
      <x:c r="AH5062" s="87" t="str">
        <x:v>CROP_VERIFIED</x:v>
      </x:c>
      <x:c r="AI5062" s="30"/>
      <x:c r="AJ5062" s="87" t="str">
        <x:v>clean</x:v>
      </x:c>
      <x:c r="AK5062" s="87" t="str">
        <x:v>clean-v0.10</x:v>
      </x:c>
      <x:c r="AL5062" s="87" t="str">
        <x:v>statgrad_clean_continuation_v0_10(1).xlsx</x:v>
      </x:c>
      <x:c r="AM5062" s="87" t="str">
        <x:v>RUS_EGKR_956</x:v>
      </x:c>
      <x:c r="AN5062" s="87" t="n">
        <x:v>14</x:v>
      </x:c>
    </x:row>
    <x:row r="5063">
      <x:c r="A5063" s="87" t="n">
        <x:v>5062</x:v>
      </x:c>
      <x:c r="B5063" s="87" t="str">
        <x:v>EGKR-W25-RUS-956-14</x:v>
      </x:c>
      <x:c r="C5063" s="87" t="str">
        <x:v>ЕГКР</x:v>
      </x:c>
      <x:c r="D5063" s="87"/>
      <x:c r="E5063" s="87" t="str">
        <x:v>Зима 2025</x:v>
      </x:c>
      <x:c r="F5063" s="87" t="str">
        <x:v>09.12.2025</x:v>
      </x:c>
      <x:c r="G5063" s="87" t="str">
        <x:v>Русский язык</x:v>
      </x:c>
      <x:c r="H5063" s="87" t="n">
        <x:v>11</x:v>
      </x:c>
      <x:c r="I5063" s="87"/>
      <x:c r="J5063" s="87" t="str">
        <x:v>956</x:v>
      </x:c>
      <x:c r="K5063" s="87" t="n">
        <x:v>14</x:v>
      </x:c>
      <x:c r="L5063" s="87" t="str">
        <x:v>Слитное, раздельное и дефисное написание</x:v>
      </x:c>
      <x:c r="M5063" s="30" t="str">
        <x:v>все выделенные слова пишутся РАЗДЕЛЬНО. Запишите номера ответов. 1) Исследователь уверен (В)ЭТОМ. его коллеги СГО)ЖЕ так считают. 2) Благодарим специалистов (3A)TO, что они помогли нам освоить программу. в которой мы раньше (ЕЛЕ)ЕЛЕ разбирались 3) Ученики пришли на консультацию. (ЧТО)БЫ повторить пройденный материал. а (ТАКЖЕ получить ответы на вопросы. 4) (ПОЭТОМУ пути идти ближе, (ТАК)ЧТО давайте выберем его. 5) Если собеседники постоянно повторяют одно и (ТО)ЖЕ, они постепенно разочаровывают (ДРУГ)ДРУГА. Ответ: . 15 — Укажите пифру(сы). на месте которой(-ых)</x:v>
      </x:c>
      <x:c r="N5063" s="30" t="str">
        <x:v>125</x:v>
      </x:c>
      <x:c r="O5063" s="30" t="str">
        <x:v>Ответ перенесён из сводной таблицы и связан с исходным заданием.</x:v>
      </x:c>
      <x:c r="P5063" s="30"/>
      <x:c r="Q5063" s="30" t="str">
        <x:v>Ответ визуально сверён с таблицей ответов; условие привязано к исходной странице.</x:v>
      </x:c>
      <x:c r="R5063" s="30" t="str">
        <x:v>125</x:v>
      </x:c>
      <x:c r="S5063" s="30"/>
      <x:c r="T5063" s="30" t="str">
        <x:v>ОТВЕТЫ (2).docx</x:v>
      </x:c>
      <x:c r="U5063" s="30" t="str">
        <x:v>Расхождений с таблицей ответов не выявлено.</x:v>
      </x:c>
      <x:c r="V5063" s="87" t="str">
        <x:v>VERIFIED</x:v>
      </x:c>
      <x:c r="W5063" s="87"/>
      <x:c r="X5063" s="87"/>
      <x:c r="Y5063" s="87" t="n">
        <x:v>9</x:v>
      </x:c>
      <x:c r="Z5063" s="87" t="n">
        <x:v>9</x:v>
      </x:c>
      <x:c r="AA5063" s="87" t="str">
        <x:v>страница 2</x:v>
      </x:c>
      <x:c r="AB5063" s="87"/>
      <x:c r="AC5063" s="87" t="str">
        <x:v>VIS-EGKR-RUS-W25-TASK-956-P009</x:v>
      </x:c>
      <x:c r="AD5063" s="87" t="str">
        <x:v>VIS-EGKR-RUS-W25-KEY-ALL-P002</x:v>
      </x:c>
      <x:c r="AE5063" s="87" t="str">
        <x:v>TASK; KEY</x:v>
      </x:c>
      <x:c r="AF5063" s="87" t="str">
        <x:v>VIS-EGKR-RUS-W25-TASK-956-P009: 9; VIS-EGKR-RUS-W25-KEY-ALL-P002: 2</x:v>
      </x:c>
      <x:c r="AG5063" s="87" t="str">
        <x:v>RESOLVED</x:v>
      </x:c>
      <x:c r="AH5063" s="87" t="str">
        <x:v>CROP_VERIFIED</x:v>
      </x:c>
      <x:c r="AI5063" s="30"/>
      <x:c r="AJ5063" s="87" t="str">
        <x:v>clean</x:v>
      </x:c>
      <x:c r="AK5063" s="87" t="str">
        <x:v>clean-v0.10</x:v>
      </x:c>
      <x:c r="AL5063" s="87" t="str">
        <x:v>statgrad_clean_continuation_v0_10(1).xlsx</x:v>
      </x:c>
      <x:c r="AM5063" s="87" t="str">
        <x:v>RUS_EGKR_956</x:v>
      </x:c>
      <x:c r="AN5063" s="87" t="n">
        <x:v>15</x:v>
      </x:c>
    </x:row>
    <x:row r="5064">
      <x:c r="A5064" s="87" t="n">
        <x:v>5063</x:v>
      </x:c>
      <x:c r="B5064" s="87" t="str">
        <x:v>EGKR-W25-RUS-956-15</x:v>
      </x:c>
      <x:c r="C5064" s="87" t="str">
        <x:v>ЕГКР</x:v>
      </x:c>
      <x:c r="D5064" s="87"/>
      <x:c r="E5064" s="87" t="str">
        <x:v>Зима 2025</x:v>
      </x:c>
      <x:c r="F5064" s="87" t="str">
        <x:v>09.12.2025</x:v>
      </x:c>
      <x:c r="G5064" s="87" t="str">
        <x:v>Русский язык</x:v>
      </x:c>
      <x:c r="H5064" s="87" t="n">
        <x:v>11</x:v>
      </x:c>
      <x:c r="I5064" s="87"/>
      <x:c r="J5064" s="87" t="str">
        <x:v>956</x:v>
      </x:c>
      <x:c r="K5064" s="87" t="n">
        <x:v>15</x:v>
      </x:c>
      <x:c r="L5064" s="87" t="str">
        <x:v>Правописание Н/НН</x:v>
      </x:c>
      <x:c r="M5064" s="30" t="str">
        <x:v>пишется НН. Всесторо()е — полготовле(2)ый педагог учитываст инливилуальные особе(З)ости каждого своего уче(4)ика. Ответ: . 16 о Укажите предложения. в которых</x:v>
      </x:c>
      <x:c r="N5064" s="30" t="str">
        <x:v>1</x:v>
      </x:c>
      <x:c r="O5064" s="30" t="str">
        <x:v>Ответ перенесён из сводной таблицы и связан с исходным заданием.</x:v>
      </x:c>
      <x:c r="P5064" s="30"/>
      <x:c r="Q5064" s="30" t="str">
        <x:v>Ответ визуально сверён с таблицей ответов; условие привязано к исходной странице.</x:v>
      </x:c>
      <x:c r="R5064" s="30" t="str">
        <x:v>1</x:v>
      </x:c>
      <x:c r="S5064" s="30"/>
      <x:c r="T5064" s="30" t="str">
        <x:v>ОТВЕТЫ (2).docx</x:v>
      </x:c>
      <x:c r="U5064" s="30" t="str">
        <x:v>Расхождений с таблицей ответов не выявлено.</x:v>
      </x:c>
      <x:c r="V5064" s="87" t="str">
        <x:v>VERIFIED</x:v>
      </x:c>
      <x:c r="W5064" s="87"/>
      <x:c r="X5064" s="87"/>
      <x:c r="Y5064" s="87" t="n">
        <x:v>9</x:v>
      </x:c>
      <x:c r="Z5064" s="87" t="n">
        <x:v>9</x:v>
      </x:c>
      <x:c r="AA5064" s="87" t="str">
        <x:v>страница 2</x:v>
      </x:c>
      <x:c r="AB5064" s="87"/>
      <x:c r="AC5064" s="87" t="str">
        <x:v>VIS-EGKR-RUS-W25-TASK-956-P009</x:v>
      </x:c>
      <x:c r="AD5064" s="87" t="str">
        <x:v>VIS-EGKR-RUS-W25-KEY-ALL-P002</x:v>
      </x:c>
      <x:c r="AE5064" s="87" t="str">
        <x:v>TASK; KEY</x:v>
      </x:c>
      <x:c r="AF5064" s="87" t="str">
        <x:v>VIS-EGKR-RUS-W25-TASK-956-P009: 9; VIS-EGKR-RUS-W25-KEY-ALL-P002: 2</x:v>
      </x:c>
      <x:c r="AG5064" s="87" t="str">
        <x:v>RESOLVED</x:v>
      </x:c>
      <x:c r="AH5064" s="87" t="str">
        <x:v>CROP_VERIFIED</x:v>
      </x:c>
      <x:c r="AI5064" s="30"/>
      <x:c r="AJ5064" s="87" t="str">
        <x:v>clean</x:v>
      </x:c>
      <x:c r="AK5064" s="87" t="str">
        <x:v>clean-v0.10</x:v>
      </x:c>
      <x:c r="AL5064" s="87" t="str">
        <x:v>statgrad_clean_continuation_v0_10(1).xlsx</x:v>
      </x:c>
      <x:c r="AM5064" s="87" t="str">
        <x:v>RUS_EGKR_956</x:v>
      </x:c>
      <x:c r="AN5064" s="87" t="n">
        <x:v>16</x:v>
      </x:c>
    </x:row>
    <x:row r="5065">
      <x:c r="A5065" s="87" t="n">
        <x:v>5064</x:v>
      </x:c>
      <x:c r="B5065" s="87" t="str">
        <x:v>EGKR-W25-RUS-956-16</x:v>
      </x:c>
      <x:c r="C5065" s="87" t="str">
        <x:v>ЕГКР</x:v>
      </x:c>
      <x:c r="D5065" s="87"/>
      <x:c r="E5065" s="87" t="str">
        <x:v>Зима 2025</x:v>
      </x:c>
      <x:c r="F5065" s="87" t="str">
        <x:v>09.12.2025</x:v>
      </x:c>
      <x:c r="G5065" s="87" t="str">
        <x:v>Русский язык</x:v>
      </x:c>
      <x:c r="H5065" s="87" t="n">
        <x:v>11</x:v>
      </x:c>
      <x:c r="I5065" s="87"/>
      <x:c r="J5065" s="87" t="str">
        <x:v>956</x:v>
      </x:c>
      <x:c r="K5065" s="87" t="n">
        <x:v>16</x:v>
      </x:c>
      <x:c r="L5065" s="87" t="str">
        <x:v>Пунктуация в простом и сложносочинённом предложении</x:v>
      </x:c>
      <x:c r="M5065" s="30" t="str">
        <x:v>нужно поставить ОДНУ запятую. &lt; Зацишите номера этих предложений. 1) Основных стилей плавания четыре: кроль брасс баттерфляй и кроль на спине. 2) Перед девочкой лежит яблоко но она ие ест его а только гладит румяные бока. 3) Ни музы ни труды ни радости досуга — Ничто ue заменит сдинственного друга (А.С. Пункин) 4) Весь лень лил лождь грохотал гром и сверкала молния 5) Заканчивается короткая летняя ночь и в комнате уже почти светло. Ответ: _ : 22028 e"SUY оедеральный Mery “esac MecerKsaveres7 WWE RE Ker s2080-r8 ne aeryexaeren</x:v>
      </x:c>
      <x:c r="N5065" s="30" t="str">
        <x:v>25</x:v>
      </x:c>
      <x:c r="O5065" s="30" t="str">
        <x:v>Ответ перенесён из сводной таблицы и связан с исходным заданием.</x:v>
      </x:c>
      <x:c r="P5065" s="30"/>
      <x:c r="Q5065" s="30" t="str">
        <x:v>Ответ визуально сверён с таблицей ответов; условие привязано к исходной странице.</x:v>
      </x:c>
      <x:c r="R5065" s="30" t="str">
        <x:v>25</x:v>
      </x:c>
      <x:c r="S5065" s="30"/>
      <x:c r="T5065" s="30" t="str">
        <x:v>ОТВЕТЫ (2).docx</x:v>
      </x:c>
      <x:c r="U5065" s="30" t="str">
        <x:v>Расхождений с таблицей ответов не выявлено.</x:v>
      </x:c>
      <x:c r="V5065" s="87" t="str">
        <x:v>VERIFIED</x:v>
      </x:c>
      <x:c r="W5065" s="87"/>
      <x:c r="X5065" s="87"/>
      <x:c r="Y5065" s="87" t="n">
        <x:v>9</x:v>
      </x:c>
      <x:c r="Z5065" s="87" t="n">
        <x:v>9</x:v>
      </x:c>
      <x:c r="AA5065" s="87" t="str">
        <x:v>страница 2</x:v>
      </x:c>
      <x:c r="AB5065" s="87"/>
      <x:c r="AC5065" s="87" t="str">
        <x:v>VIS-EGKR-RUS-W25-TASK-956-P009</x:v>
      </x:c>
      <x:c r="AD5065" s="87" t="str">
        <x:v>VIS-EGKR-RUS-W25-KEY-ALL-P002</x:v>
      </x:c>
      <x:c r="AE5065" s="87" t="str">
        <x:v>TASK; KEY</x:v>
      </x:c>
      <x:c r="AF5065" s="87" t="str">
        <x:v>VIS-EGKR-RUS-W25-TASK-956-P009: 9; VIS-EGKR-RUS-W25-KEY-ALL-P002: 2</x:v>
      </x:c>
      <x:c r="AG5065" s="87" t="str">
        <x:v>RESOLVED</x:v>
      </x:c>
      <x:c r="AH5065" s="87" t="str">
        <x:v>CROP_VERIFIED</x:v>
      </x:c>
      <x:c r="AI5065" s="30"/>
      <x:c r="AJ5065" s="87" t="str">
        <x:v>clean</x:v>
      </x:c>
      <x:c r="AK5065" s="87" t="str">
        <x:v>clean-v0.10</x:v>
      </x:c>
      <x:c r="AL5065" s="87" t="str">
        <x:v>statgrad_clean_continuation_v0_10(1).xlsx</x:v>
      </x:c>
      <x:c r="AM5065" s="87" t="str">
        <x:v>RUS_EGKR_956</x:v>
      </x:c>
      <x:c r="AN5065" s="87" t="n">
        <x:v>17</x:v>
      </x:c>
    </x:row>
    <x:row r="5066">
      <x:c r="A5066" s="87" t="n">
        <x:v>5065</x:v>
      </x:c>
      <x:c r="B5066" s="87" t="str">
        <x:v>EGKR-W25-RUS-956-17</x:v>
      </x:c>
      <x:c r="C5066" s="87" t="str">
        <x:v>ЕГКР</x:v>
      </x:c>
      <x:c r="D5066" s="87"/>
      <x:c r="E5066" s="87" t="str">
        <x:v>Зима 2025</x:v>
      </x:c>
      <x:c r="F5066" s="87" t="str">
        <x:v>09.12.2025</x:v>
      </x:c>
      <x:c r="G5066" s="87" t="str">
        <x:v>Русский язык</x:v>
      </x:c>
      <x:c r="H5066" s="87" t="n">
        <x:v>11</x:v>
      </x:c>
      <x:c r="I5066" s="87"/>
      <x:c r="J5066" s="87" t="str">
        <x:v>956</x:v>
      </x:c>
      <x:c r="K5066" s="87" t="n">
        <x:v>17</x:v>
      </x:c>
      <x:c r="L5066" s="87" t="str">
        <x:v>Обособленные определения и обстоятельства</x:v>
      </x:c>
      <x:c r="M5066" s="30" t="str">
        <x:v>должна(-ы) стоять запятая(-ые). Monapr (1) начав сочинять музыку в раннем детстве (2) к концу своей короткой жизии создал более 600 произведений (3) ставших (4) основой музыкального наследия человечества. Ответ: + 18 | Укажите цифру(-ы). на месте которой(-ых)</x:v>
      </x:c>
      <x:c r="N5066" s="30" t="str">
        <x:v>123</x:v>
      </x:c>
      <x:c r="O5066" s="30" t="str">
        <x:v>Ответ перенесён из сводной таблицы и связан с исходным заданием.</x:v>
      </x:c>
      <x:c r="P5066" s="30"/>
      <x:c r="Q5066" s="30" t="str">
        <x:v>Ответ визуально сверён с таблицей ответов; условие привязано к исходной странице.</x:v>
      </x:c>
      <x:c r="R5066" s="30" t="str">
        <x:v>123</x:v>
      </x:c>
      <x:c r="S5066" s="30"/>
      <x:c r="T5066" s="30" t="str">
        <x:v>ОТВЕТЫ (2).docx</x:v>
      </x:c>
      <x:c r="U5066" s="30" t="str">
        <x:v>Расхождений с таблицей ответов не выявлено.</x:v>
      </x:c>
      <x:c r="V5066" s="87" t="str">
        <x:v>VERIFIED</x:v>
      </x:c>
      <x:c r="W5066" s="87"/>
      <x:c r="X5066" s="87"/>
      <x:c r="Y5066" s="87" t="n">
        <x:v>10</x:v>
      </x:c>
      <x:c r="Z5066" s="87" t="n">
        <x:v>10</x:v>
      </x:c>
      <x:c r="AA5066" s="87" t="str">
        <x:v>страница 2</x:v>
      </x:c>
      <x:c r="AB5066" s="87"/>
      <x:c r="AC5066" s="87" t="str">
        <x:v>VIS-EGKR-RUS-W25-TASK-956-P010</x:v>
      </x:c>
      <x:c r="AD5066" s="87" t="str">
        <x:v>VIS-EGKR-RUS-W25-KEY-ALL-P002</x:v>
      </x:c>
      <x:c r="AE5066" s="87" t="str">
        <x:v>TASK; KEY</x:v>
      </x:c>
      <x:c r="AF5066" s="87" t="str">
        <x:v>VIS-EGKR-RUS-W25-TASK-956-P010: 10; VIS-EGKR-RUS-W25-KEY-ALL-P002: 2</x:v>
      </x:c>
      <x:c r="AG5066" s="87" t="str">
        <x:v>RESOLVED</x:v>
      </x:c>
      <x:c r="AH5066" s="87" t="str">
        <x:v>CROP_VERIFIED</x:v>
      </x:c>
      <x:c r="AI5066" s="30"/>
      <x:c r="AJ5066" s="87" t="str">
        <x:v>clean</x:v>
      </x:c>
      <x:c r="AK5066" s="87" t="str">
        <x:v>clean-v0.10</x:v>
      </x:c>
      <x:c r="AL5066" s="87" t="str">
        <x:v>statgrad_clean_continuation_v0_10(1).xlsx</x:v>
      </x:c>
      <x:c r="AM5066" s="87" t="str">
        <x:v>RUS_EGKR_956</x:v>
      </x:c>
      <x:c r="AN5066" s="87" t="n">
        <x:v>18</x:v>
      </x:c>
    </x:row>
    <x:row r="5067">
      <x:c r="A5067" s="87" t="n">
        <x:v>5066</x:v>
      </x:c>
      <x:c r="B5067" s="87" t="str">
        <x:v>EGKR-W25-RUS-956-18</x:v>
      </x:c>
      <x:c r="C5067" s="87" t="str">
        <x:v>ЕГКР</x:v>
      </x:c>
      <x:c r="D5067" s="87"/>
      <x:c r="E5067" s="87" t="str">
        <x:v>Зима 2025</x:v>
      </x:c>
      <x:c r="F5067" s="87" t="str">
        <x:v>09.12.2025</x:v>
      </x:c>
      <x:c r="G5067" s="87" t="str">
        <x:v>Русский язык</x:v>
      </x:c>
      <x:c r="H5067" s="87" t="n">
        <x:v>11</x:v>
      </x:c>
      <x:c r="I5067" s="87"/>
      <x:c r="J5067" s="87" t="str">
        <x:v>956</x:v>
      </x:c>
      <x:c r="K5067" s="87" t="n">
        <x:v>18</x:v>
      </x:c>
      <x:c r="L5067" s="87" t="str">
        <x:v>Вводные слова и обращения</x:v>
      </x:c>
      <x:c r="M5067" s="30" t="str">
        <x:v>должна(-ы) стоять запятая(-ые). «Куда? Уж эти (1) мне (2) поэты!» — Прошай (3) Онегин (4) мне пора. «Я не лержу тебя: но ге (5) ты (6) Свои проводишь вечера?» (А.С. Пушкин) Ответ: В</x:v>
      </x:c>
      <x:c r="N5067" s="30" t="str">
        <x:v>123456</x:v>
      </x:c>
      <x:c r="O5067" s="30" t="str">
        <x:v>Ответ перенесён из сводной таблицы и связан с исходным заданием.</x:v>
      </x:c>
      <x:c r="P5067" s="30"/>
      <x:c r="Q5067" s="30" t="str">
        <x:v>Ответ визуально сверён с таблицей ответов; условие привязано к исходной странице.</x:v>
      </x:c>
      <x:c r="R5067" s="30" t="str">
        <x:v>123456</x:v>
      </x:c>
      <x:c r="S5067" s="30"/>
      <x:c r="T5067" s="30" t="str">
        <x:v>ОТВЕТЫ (2).docx</x:v>
      </x:c>
      <x:c r="U5067" s="30" t="str">
        <x:v>Расхождений с таблицей ответов не выявлено.</x:v>
      </x:c>
      <x:c r="V5067" s="87" t="str">
        <x:v>VERIFIED</x:v>
      </x:c>
      <x:c r="W5067" s="87"/>
      <x:c r="X5067" s="87"/>
      <x:c r="Y5067" s="87" t="n">
        <x:v>10</x:v>
      </x:c>
      <x:c r="Z5067" s="87" t="n">
        <x:v>10</x:v>
      </x:c>
      <x:c r="AA5067" s="87" t="str">
        <x:v>страница 2</x:v>
      </x:c>
      <x:c r="AB5067" s="87"/>
      <x:c r="AC5067" s="87" t="str">
        <x:v>VIS-EGKR-RUS-W25-TASK-956-P010</x:v>
      </x:c>
      <x:c r="AD5067" s="87" t="str">
        <x:v>VIS-EGKR-RUS-W25-KEY-ALL-P002</x:v>
      </x:c>
      <x:c r="AE5067" s="87" t="str">
        <x:v>TASK; KEY</x:v>
      </x:c>
      <x:c r="AF5067" s="87" t="str">
        <x:v>VIS-EGKR-RUS-W25-TASK-956-P010: 10; VIS-EGKR-RUS-W25-KEY-ALL-P002: 2</x:v>
      </x:c>
      <x:c r="AG5067" s="87" t="str">
        <x:v>RESOLVED</x:v>
      </x:c>
      <x:c r="AH5067" s="87" t="str">
        <x:v>CROP_VERIFIED</x:v>
      </x:c>
      <x:c r="AI5067" s="30"/>
      <x:c r="AJ5067" s="87" t="str">
        <x:v>clean</x:v>
      </x:c>
      <x:c r="AK5067" s="87" t="str">
        <x:v>clean-v0.10</x:v>
      </x:c>
      <x:c r="AL5067" s="87" t="str">
        <x:v>statgrad_clean_continuation_v0_10(1).xlsx</x:v>
      </x:c>
      <x:c r="AM5067" s="87" t="str">
        <x:v>RUS_EGKR_956</x:v>
      </x:c>
      <x:c r="AN5067" s="87" t="n">
        <x:v>19</x:v>
      </x:c>
    </x:row>
    <x:row r="5068">
      <x:c r="A5068" s="87" t="n">
        <x:v>5067</x:v>
      </x:c>
      <x:c r="B5068" s="87" t="str">
        <x:v>EGKR-W25-RUS-956-19</x:v>
      </x:c>
      <x:c r="C5068" s="87" t="str">
        <x:v>ЕГКР</x:v>
      </x:c>
      <x:c r="D5068" s="87"/>
      <x:c r="E5068" s="87" t="str">
        <x:v>Зима 2025</x:v>
      </x:c>
      <x:c r="F5068" s="87" t="str">
        <x:v>09.12.2025</x:v>
      </x:c>
      <x:c r="G5068" s="87" t="str">
        <x:v>Русский язык</x:v>
      </x:c>
      <x:c r="H5068" s="87" t="n">
        <x:v>11</x:v>
      </x:c>
      <x:c r="I5068" s="87"/>
      <x:c r="J5068" s="87" t="str">
        <x:v>956</x:v>
      </x:c>
      <x:c r="K5068" s="87" t="n">
        <x:v>19</x:v>
      </x:c>
      <x:c r="L5068" s="87" t="str">
        <x:v>Знаки препинания в сложноподчинённом предложении</x:v>
      </x:c>
      <x:c r="M5068" s="30" t="str">
        <x:v>19 | Укажите пифру(-ы). на месте которой(-ых) должна(-ы) стоять заиятая(-ые). Я ходил по парку. держась подальше от дома. отыскивал белые грибы (1) которых (2) в то лето было очень много (3) и ставил около них метки (4) чтобы потом подобрать их вместе с Женей. {По А.П. Чехову) </x:v>
      </x:c>
      <x:c r="N5068" s="30" t="str">
        <x:v>14</x:v>
      </x:c>
      <x:c r="O5068" s="30" t="str">
        <x:v>Ответ перенесён из сводной таблицы и связан с исходным заданием.</x:v>
      </x:c>
      <x:c r="P5068" s="30"/>
      <x:c r="Q5068" s="30" t="str">
        <x:v>Ответ визуально сверён с таблицей ответов; условие привязано к исходной странице.</x:v>
      </x:c>
      <x:c r="R5068" s="30" t="str">
        <x:v>14</x:v>
      </x:c>
      <x:c r="S5068" s="30"/>
      <x:c r="T5068" s="30" t="str">
        <x:v>ОТВЕТЫ (2).docx</x:v>
      </x:c>
      <x:c r="U5068" s="30" t="str">
        <x:v>Расхождений с таблицей ответов не выявлено.</x:v>
      </x:c>
      <x:c r="V5068" s="87" t="str">
        <x:v>VERIFIED</x:v>
      </x:c>
      <x:c r="W5068" s="87"/>
      <x:c r="X5068" s="87"/>
      <x:c r="Y5068" s="87" t="n">
        <x:v>10</x:v>
      </x:c>
      <x:c r="Z5068" s="87" t="n">
        <x:v>10</x:v>
      </x:c>
      <x:c r="AA5068" s="87" t="str">
        <x:v>страница 2</x:v>
      </x:c>
      <x:c r="AB5068" s="87"/>
      <x:c r="AC5068" s="87" t="str">
        <x:v>VIS-EGKR-RUS-W25-TASK-956-P010</x:v>
      </x:c>
      <x:c r="AD5068" s="87" t="str">
        <x:v>VIS-EGKR-RUS-W25-KEY-ALL-P002</x:v>
      </x:c>
      <x:c r="AE5068" s="87" t="str">
        <x:v>TASK; KEY</x:v>
      </x:c>
      <x:c r="AF5068" s="87" t="str">
        <x:v>VIS-EGKR-RUS-W25-TASK-956-P010: 10; VIS-EGKR-RUS-W25-KEY-ALL-P002: 2</x:v>
      </x:c>
      <x:c r="AG5068" s="87" t="str">
        <x:v>RESOLVED</x:v>
      </x:c>
      <x:c r="AH5068" s="87" t="str">
        <x:v>CROP_VERIFIED</x:v>
      </x:c>
      <x:c r="AI5068" s="30"/>
      <x:c r="AJ5068" s="87" t="str">
        <x:v>clean</x:v>
      </x:c>
      <x:c r="AK5068" s="87" t="str">
        <x:v>clean-v0.10</x:v>
      </x:c>
      <x:c r="AL5068" s="87" t="str">
        <x:v>statgrad_clean_continuation_v0_10(1).xlsx</x:v>
      </x:c>
      <x:c r="AM5068" s="87" t="str">
        <x:v>RUS_EGKR_956</x:v>
      </x:c>
      <x:c r="AN5068" s="87" t="n">
        <x:v>20</x:v>
      </x:c>
    </x:row>
    <x:row r="5069">
      <x:c r="A5069" s="87" t="n">
        <x:v>5068</x:v>
      </x:c>
      <x:c r="B5069" s="87" t="str">
        <x:v>EGKR-W25-RUS-956-20</x:v>
      </x:c>
      <x:c r="C5069" s="87" t="str">
        <x:v>ЕГКР</x:v>
      </x:c>
      <x:c r="D5069" s="87"/>
      <x:c r="E5069" s="87" t="str">
        <x:v>Зима 2025</x:v>
      </x:c>
      <x:c r="F5069" s="87" t="str">
        <x:v>09.12.2025</x:v>
      </x:c>
      <x:c r="G5069" s="87" t="str">
        <x:v>Русский язык</x:v>
      </x:c>
      <x:c r="H5069" s="87" t="n">
        <x:v>11</x:v>
      </x:c>
      <x:c r="I5069" s="87"/>
      <x:c r="J5069" s="87" t="str">
        <x:v>956</x:v>
      </x:c>
      <x:c r="K5069" s="87" t="n">
        <x:v>20</x:v>
      </x:c>
      <x:c r="L5069" s="87" t="str">
        <x:v>Знаки препинания в сложном предложении</x:v>
      </x:c>
      <x:c r="M5069" s="30" t="str">
        <x:v>должна(-ы) стоять запятая(-ые). Он заключил (1) что (2) если (3) она так легко может после вчерашнего бывать у сестры и встречаться с ним (4) то. значит. она не замечает его или считает полнейшим ничтожеством. (По А.П. Чехову) Ответ: : 21</x:v>
      </x:c>
      <x:c r="N5069" s="30" t="str">
        <x:v>14</x:v>
      </x:c>
      <x:c r="O5069" s="30" t="str">
        <x:v>Ответ перенесён из сводной таблицы и связан с исходным заданием.</x:v>
      </x:c>
      <x:c r="P5069" s="30"/>
      <x:c r="Q5069" s="30" t="str">
        <x:v>Ответ визуально сверён с таблицей ответов; условие привязано к исходной странице.</x:v>
      </x:c>
      <x:c r="R5069" s="30" t="str">
        <x:v>14</x:v>
      </x:c>
      <x:c r="S5069" s="30"/>
      <x:c r="T5069" s="30" t="str">
        <x:v>ОТВЕТЫ (2).docx</x:v>
      </x:c>
      <x:c r="U5069" s="30" t="str">
        <x:v>Расхождений с таблицей ответов не выявлено.</x:v>
      </x:c>
      <x:c r="V5069" s="87" t="str">
        <x:v>VERIFIED</x:v>
      </x:c>
      <x:c r="W5069" s="87"/>
      <x:c r="X5069" s="87"/>
      <x:c r="Y5069" s="87" t="n">
        <x:v>11</x:v>
      </x:c>
      <x:c r="Z5069" s="87" t="n">
        <x:v>11</x:v>
      </x:c>
      <x:c r="AA5069" s="87" t="str">
        <x:v>страница 2</x:v>
      </x:c>
      <x:c r="AB5069" s="87"/>
      <x:c r="AC5069" s="87" t="str">
        <x:v>VIS-EGKR-RUS-W25-TASK-956-P011</x:v>
      </x:c>
      <x:c r="AD5069" s="87" t="str">
        <x:v>VIS-EGKR-RUS-W25-KEY-ALL-P002</x:v>
      </x:c>
      <x:c r="AE5069" s="87" t="str">
        <x:v>TASK; KEY</x:v>
      </x:c>
      <x:c r="AF5069" s="87" t="str">
        <x:v>VIS-EGKR-RUS-W25-TASK-956-P011: 11; VIS-EGKR-RUS-W25-KEY-ALL-P002: 2</x:v>
      </x:c>
      <x:c r="AG5069" s="87" t="str">
        <x:v>RESOLVED</x:v>
      </x:c>
      <x:c r="AH5069" s="87" t="str">
        <x:v>CROP_VERIFIED</x:v>
      </x:c>
      <x:c r="AI5069" s="30"/>
      <x:c r="AJ5069" s="87" t="str">
        <x:v>clean</x:v>
      </x:c>
      <x:c r="AK5069" s="87" t="str">
        <x:v>clean-v0.10</x:v>
      </x:c>
      <x:c r="AL5069" s="87" t="str">
        <x:v>statgrad_clean_continuation_v0_10(1).xlsx</x:v>
      </x:c>
      <x:c r="AM5069" s="87" t="str">
        <x:v>RUS_EGKR_956</x:v>
      </x:c>
      <x:c r="AN5069" s="87" t="n">
        <x:v>21</x:v>
      </x:c>
    </x:row>
    <x:row r="5070">
      <x:c r="A5070" s="87" t="n">
        <x:v>5069</x:v>
      </x:c>
      <x:c r="B5070" s="87" t="str">
        <x:v>EGKR-W25-RUS-956-21</x:v>
      </x:c>
      <x:c r="C5070" s="87" t="str">
        <x:v>ЕГКР</x:v>
      </x:c>
      <x:c r="D5070" s="87"/>
      <x:c r="E5070" s="87" t="str">
        <x:v>Зима 2025</x:v>
      </x:c>
      <x:c r="F5070" s="87" t="str">
        <x:v>09.12.2025</x:v>
      </x:c>
      <x:c r="G5070" s="87" t="str">
        <x:v>Русский язык</x:v>
      </x:c>
      <x:c r="H5070" s="87" t="n">
        <x:v>11</x:v>
      </x:c>
      <x:c r="I5070" s="87"/>
      <x:c r="J5070" s="87" t="str">
        <x:v>956</x:v>
      </x:c>
      <x:c r="K5070" s="87" t="n">
        <x:v>21</x:v>
      </x:c>
      <x:c r="L5070" s="87" t="str">
        <x:v>Пунктуационный анализ</x:v>
      </x:c>
      <x:c r="M5070" s="30" t="str">
        <x:v>Найдите предложения. в которых тире ставится в соответствии с одним и тем же правилом пунктуации. Запишите номера этих прелложений. (1УГригорский парк был заложен в конце ХУШ века Вындомским — дедом П.А. Осиповой. (2)Хозяин. следуя тогдашней моде. разбил романтический нарк C наивными украшениями: кокетливыми беселками. зелёными залами и коридорами. мостиками «поцелуев и взлохов». (3)Тут были дубовые и сосновые рощи. фруктовые сады с клумбами и хитроумными беседками — всё это требовало больших затрат и неустанной заботы. (4)Вторая жизнь этого красивейшего места началась лишь в наше время. когла Тригорское стало заповедным и сго стали изучать и восстанавливать. (5)Восстановление парка — дело очень трудное, потому что парк — художественное произведение. произведение исключительно многогранное: в нём прошлое и настоящее, старое и молодое. вечность и мгновение. (6)Парк - это архитектура и ботаника. живопись и скульптура. история и сегодняшний день. (По С.С. Гейченко) Ответ: . $2525 S AMY “Cezecar sei и-ститут гедатстических изуесени7 WWWE'P RU &lt;&lt;-иссва-ие не допускается</x:v>
      </x:c>
      <x:c r="N5070" s="30" t="str">
        <x:v>156</x:v>
      </x:c>
      <x:c r="O5070" s="30" t="str">
        <x:v>Ответ перенесён из сводной таблицы и связан с исходным заданием.</x:v>
      </x:c>
      <x:c r="P5070" s="30"/>
      <x:c r="Q5070" s="30" t="str">
        <x:v>Ответ визуально сверён с таблицей ответов; условие привязано к исходной странице.</x:v>
      </x:c>
      <x:c r="R5070" s="30" t="str">
        <x:v>156</x:v>
      </x:c>
      <x:c r="S5070" s="30"/>
      <x:c r="T5070" s="30" t="str">
        <x:v>ОТВЕТЫ (2).docx</x:v>
      </x:c>
      <x:c r="U5070" s="30" t="str">
        <x:v>Расхождений с таблицей ответов не выявлено.</x:v>
      </x:c>
      <x:c r="V5070" s="87" t="str">
        <x:v>VERIFIED</x:v>
      </x:c>
      <x:c r="W5070" s="87"/>
      <x:c r="X5070" s="87"/>
      <x:c r="Y5070" s="87" t="n">
        <x:v>11</x:v>
      </x:c>
      <x:c r="Z5070" s="87" t="n">
        <x:v>11</x:v>
      </x:c>
      <x:c r="AA5070" s="87" t="str">
        <x:v>страница 2</x:v>
      </x:c>
      <x:c r="AB5070" s="87"/>
      <x:c r="AC5070" s="87" t="str">
        <x:v>VIS-EGKR-RUS-W25-TASK-956-P011</x:v>
      </x:c>
      <x:c r="AD5070" s="87" t="str">
        <x:v>VIS-EGKR-RUS-W25-KEY-ALL-P002</x:v>
      </x:c>
      <x:c r="AE5070" s="87" t="str">
        <x:v>TASK; KEY</x:v>
      </x:c>
      <x:c r="AF5070" s="87" t="str">
        <x:v>VIS-EGKR-RUS-W25-TASK-956-P011: 11; VIS-EGKR-RUS-W25-KEY-ALL-P002: 2</x:v>
      </x:c>
      <x:c r="AG5070" s="87" t="str">
        <x:v>RESOLVED</x:v>
      </x:c>
      <x:c r="AH5070" s="87" t="str">
        <x:v>CROP_VERIFIED</x:v>
      </x:c>
      <x:c r="AI5070" s="30"/>
      <x:c r="AJ5070" s="87" t="str">
        <x:v>clean</x:v>
      </x:c>
      <x:c r="AK5070" s="87" t="str">
        <x:v>clean-v0.10</x:v>
      </x:c>
      <x:c r="AL5070" s="87" t="str">
        <x:v>statgrad_clean_continuation_v0_10(1).xlsx</x:v>
      </x:c>
      <x:c r="AM5070" s="87" t="str">
        <x:v>RUS_EGKR_956</x:v>
      </x:c>
      <x:c r="AN5070" s="87" t="n">
        <x:v>22</x:v>
      </x:c>
    </x:row>
    <x:row r="5071">
      <x:c r="A5071" s="87" t="n">
        <x:v>5070</x:v>
      </x:c>
      <x:c r="B5071" s="87" t="str">
        <x:v>EGKR-W25-RUS-956-22</x:v>
      </x:c>
      <x:c r="C5071" s="87" t="str">
        <x:v>ЕГКР</x:v>
      </x:c>
      <x:c r="D5071" s="87"/>
      <x:c r="E5071" s="87" t="str">
        <x:v>Зима 2025</x:v>
      </x:c>
      <x:c r="F5071" s="87" t="str">
        <x:v>09.12.2025</x:v>
      </x:c>
      <x:c r="G5071" s="87" t="str">
        <x:v>Русский язык</x:v>
      </x:c>
      <x:c r="H5071" s="87" t="n">
        <x:v>11</x:v>
      </x:c>
      <x:c r="I5071" s="87"/>
      <x:c r="J5071" s="87" t="str">
        <x:v>956</x:v>
      </x:c>
      <x:c r="K5071" s="87" t="n">
        <x:v>22</x:v>
      </x:c>
      <x:c r="L5071" s="87" t="str">
        <x:v>Средства выразительности</x:v>
      </x:c>
      <x:c r="M5071" s="30" t="str">
        <x:v>ИЗОБРАЗИТЕЛЬНО- ВЫРАЗИТЕЛЬНЫЕ СРЕДСТВА ЯЗЫКА А) Унылая пора! Очей очарованьс!.. Г) олицетворение (А.С. Пушкин) 2) ассонанс Б) Красуйся. град Петров. и стой 3) риторическое Неколебимо. как Россия... обрашение (А.С. Пушкин} 4) париелляция В) А по лвору метелица 5} эпифора Ковром шелкбвым стелстся.. 6) сравнение (СА. Есенин) 7) аллитерация Г) «Ка-тя! Ка-тя!» - высекают 8) эпитет Мис подковы скакуна. 7 9) риторический вопрос (И. Сельвинский} J) С горы бежит поток проворный (Ф.И. Тютчев) Запишите в таблицу выбранные цифры под соответствующими буквами АБВ, ГД Ответ: | ры. ИИ See | Прочитайте текст и выполните задания 23-27. (He только книжный эпизод. но и жизненный случай. имеюший отношение к книге. может стать уроком. (2)В серьезном и важном мы намного старше свосго возраста. ибо наши возраст не только размер ноги. костюма. шанки. но и размер ума. нашей лушевносги (3)Олнажды меня чуть не оштрафовали в общественном транспорте: долго не мог найти билет. (4)В итоге всё обошлось. (5)Но настроение подпортили изрядно. (6)И вот с таким настроением мне пришлось войти в класс к ребятам. (7)Кстати сказать. я учитель литературы. (Ни пошутить. ни улыбнуться (9)А ребята тонко угалывают настроение своего учителя. (10)Дома надо было выучить стихотворение и теперь прочитать наизусть. (11)«Кто первый?» — строго и скучно сиросил я. конаясь в портфеле.</x:v>
      </x:c>
      <x:c r="N5071" s="30" t="str">
        <x:v>83716</x:v>
      </x:c>
      <x:c r="O5071" s="30" t="str">
        <x:v>Ответ перенесён из сводной таблицы и связан с исходным заданием.</x:v>
      </x:c>
      <x:c r="P5071" s="30"/>
      <x:c r="Q5071" s="30" t="str">
        <x:v>Ответ визуально сверён с таблицей ответов; условие привязано к исходной странице.</x:v>
      </x:c>
      <x:c r="R5071" s="30" t="str">
        <x:v>83716</x:v>
      </x:c>
      <x:c r="S5071" s="30"/>
      <x:c r="T5071" s="30" t="str">
        <x:v>ОТВЕТЫ (2).docx</x:v>
      </x:c>
      <x:c r="U5071" s="30" t="str">
        <x:v>Расхождений с таблицей ответов не выявлено.</x:v>
      </x:c>
      <x:c r="V5071" s="87" t="str">
        <x:v>VERIFIED</x:v>
      </x:c>
      <x:c r="W5071" s="87"/>
      <x:c r="X5071" s="87"/>
      <x:c r="Y5071" s="87" t="n">
        <x:v>12</x:v>
      </x:c>
      <x:c r="Z5071" s="87" t="n">
        <x:v>12</x:v>
      </x:c>
      <x:c r="AA5071" s="87" t="str">
        <x:v>страница 2</x:v>
      </x:c>
      <x:c r="AB5071" s="87"/>
      <x:c r="AC5071" s="87" t="str">
        <x:v>VIS-EGKR-RUS-W25-TASK-956-P012</x:v>
      </x:c>
      <x:c r="AD5071" s="87" t="str">
        <x:v>VIS-EGKR-RUS-W25-KEY-ALL-P002</x:v>
      </x:c>
      <x:c r="AE5071" s="87" t="str">
        <x:v>TASK; KEY</x:v>
      </x:c>
      <x:c r="AF5071" s="87" t="str">
        <x:v>VIS-EGKR-RUS-W25-TASK-956-P012: 12; VIS-EGKR-RUS-W25-KEY-ALL-P002: 2</x:v>
      </x:c>
      <x:c r="AG5071" s="87" t="str">
        <x:v>RESOLVED</x:v>
      </x:c>
      <x:c r="AH5071" s="87" t="str">
        <x:v>CROP_VERIFIED</x:v>
      </x:c>
      <x:c r="AI5071" s="30"/>
      <x:c r="AJ5071" s="87" t="str">
        <x:v>clean</x:v>
      </x:c>
      <x:c r="AK5071" s="87" t="str">
        <x:v>clean-v0.10</x:v>
      </x:c>
      <x:c r="AL5071" s="87" t="str">
        <x:v>statgrad_clean_continuation_v0_10(1).xlsx</x:v>
      </x:c>
      <x:c r="AM5071" s="87" t="str">
        <x:v>RUS_EGKR_956</x:v>
      </x:c>
      <x:c r="AN5071" s="87" t="n">
        <x:v>23</x:v>
      </x:c>
    </x:row>
    <x:row r="5072">
      <x:c r="A5072" s="87" t="n">
        <x:v>5071</x:v>
      </x:c>
      <x:c r="B5072" s="87" t="str">
        <x:v>EGKR-W25-RUS-956-23</x:v>
      </x:c>
      <x:c r="C5072" s="87" t="str">
        <x:v>ЕГКР</x:v>
      </x:c>
      <x:c r="D5072" s="87"/>
      <x:c r="E5072" s="87" t="str">
        <x:v>Зима 2025</x:v>
      </x:c>
      <x:c r="F5072" s="87" t="str">
        <x:v>09.12.2025</x:v>
      </x:c>
      <x:c r="G5072" s="87" t="str">
        <x:v>Русский язык</x:v>
      </x:c>
      <x:c r="H5072" s="87" t="n">
        <x:v>11</x:v>
      </x:c>
      <x:c r="I5072" s="87"/>
      <x:c r="J5072" s="87" t="str">
        <x:v>956</x:v>
      </x:c>
      <x:c r="K5072" s="87" t="n">
        <x:v>23</x:v>
      </x:c>
      <x:c r="L5072" s="87" t="str">
        <x:v>Содержание исходного текста</x:v>
      </x:c>
      <x:c r="M5072" s="30" t="str">
        <x:v>Какие из высказываний соответствуют содержанию текста? Укажите номера ответов. 1) У рассказчика было плохое настроение, потому что его оштрафовали в общественном транспорте. 2) Ребята почувствовали настроение своего учителя. испугались и отказались отвечать домашнее задание. 3) На протяжении всего урока литературы учитель читал стихи А.С. Пушкина. 4) Ребята устали на уроке. поэтому очень торопились выйти на перемену. 5) После урока учитель тепло поблагодарил каждого своего ученика. О о prety 24 |</x:v>
      </x:c>
      <x:c r="N5072" s="30" t="str">
        <x:v>35</x:v>
      </x:c>
      <x:c r="O5072" s="30" t="str">
        <x:v>Ответ перенесён из сводной таблицы и связан с исходным заданием.</x:v>
      </x:c>
      <x:c r="P5072" s="30"/>
      <x:c r="Q5072" s="30" t="str">
        <x:v>Ответ визуально сверён с таблицей ответов; условие привязано к исходной странице.</x:v>
      </x:c>
      <x:c r="R5072" s="30" t="str">
        <x:v>35</x:v>
      </x:c>
      <x:c r="S5072" s="30"/>
      <x:c r="T5072" s="30" t="str">
        <x:v>ОТВЕТЫ (2).docx</x:v>
      </x:c>
      <x:c r="U5072" s="30" t="str">
        <x:v>Расхождений с таблицей ответов не выявлено.</x:v>
      </x:c>
      <x:c r="V5072" s="87" t="str">
        <x:v>VERIFIED</x:v>
      </x:c>
      <x:c r="W5072" s="87"/>
      <x:c r="X5072" s="87"/>
      <x:c r="Y5072" s="87" t="n">
        <x:v>14</x:v>
      </x:c>
      <x:c r="Z5072" s="87" t="n">
        <x:v>14</x:v>
      </x:c>
      <x:c r="AA5072" s="87" t="str">
        <x:v>страница 2</x:v>
      </x:c>
      <x:c r="AB5072" s="87"/>
      <x:c r="AC5072" s="87" t="str">
        <x:v>VIS-EGKR-RUS-W25-TASK-956-P014</x:v>
      </x:c>
      <x:c r="AD5072" s="87" t="str">
        <x:v>VIS-EGKR-RUS-W25-KEY-ALL-P002</x:v>
      </x:c>
      <x:c r="AE5072" s="87" t="str">
        <x:v>TASK; KEY</x:v>
      </x:c>
      <x:c r="AF5072" s="87" t="str">
        <x:v>VIS-EGKR-RUS-W25-TASK-956-P014: 14; VIS-EGKR-RUS-W25-KEY-ALL-P002: 2</x:v>
      </x:c>
      <x:c r="AG5072" s="87" t="str">
        <x:v>RESOLVED</x:v>
      </x:c>
      <x:c r="AH5072" s="87" t="str">
        <x:v>CROP_VERIFIED</x:v>
      </x:c>
      <x:c r="AI5072" s="30"/>
      <x:c r="AJ5072" s="87" t="str">
        <x:v>clean</x:v>
      </x:c>
      <x:c r="AK5072" s="87" t="str">
        <x:v>clean-v0.10</x:v>
      </x:c>
      <x:c r="AL5072" s="87" t="str">
        <x:v>statgrad_clean_continuation_v0_10(1).xlsx</x:v>
      </x:c>
      <x:c r="AM5072" s="87" t="str">
        <x:v>RUS_EGKR_956</x:v>
      </x:c>
      <x:c r="AN5072" s="87" t="n">
        <x:v>24</x:v>
      </x:c>
    </x:row>
    <x:row r="5073">
      <x:c r="A5073" s="87" t="n">
        <x:v>5072</x:v>
      </x:c>
      <x:c r="B5073" s="87" t="str">
        <x:v>EGKR-W25-RUS-956-24</x:v>
      </x:c>
      <x:c r="C5073" s="87" t="str">
        <x:v>ЕГКР</x:v>
      </x:c>
      <x:c r="D5073" s="87"/>
      <x:c r="E5073" s="87" t="str">
        <x:v>Зима 2025</x:v>
      </x:c>
      <x:c r="F5073" s="87" t="str">
        <x:v>09.12.2025</x:v>
      </x:c>
      <x:c r="G5073" s="87" t="str">
        <x:v>Русский язык</x:v>
      </x:c>
      <x:c r="H5073" s="87" t="n">
        <x:v>11</x:v>
      </x:c>
      <x:c r="I5073" s="87"/>
      <x:c r="J5073" s="87" t="str">
        <x:v>956</x:v>
      </x:c>
      <x:c r="K5073" s="87" t="n">
        <x:v>24</x:v>
      </x:c>
      <x:c r="L5073" s="87" t="str">
        <x:v>Функционально-смысловые типы речи и логика текста</x:v>
      </x:c>
      <x:c r="M5073" s="30" t="str">
        <x:v>Какие из перечисленных утверждений являются верными? Укажите номера ответов. 1) Виредложениях 1. 2 представлено рассуждение. 2) Предложения 10 и 1! противопоставлены по содержанию. 3) Предложение 14 раскрывает содержание предложения 13. 4) В предложениях 26-30 представлено повествование. 5) В предложениях 35-39 представлено описание Же Из прелложений 35-38 выпишите контекстные синонимы. Ответ: : | 26</x:v>
      </x:c>
      <x:c r="N5073" s="30" t="str">
        <x:v>13</x:v>
      </x:c>
      <x:c r="O5073" s="30" t="str">
        <x:v>Ответ перенесён из сводной таблицы и связан с исходным заданием.</x:v>
      </x:c>
      <x:c r="P5073" s="30"/>
      <x:c r="Q5073" s="30" t="str">
        <x:v>Ответ визуально сверён с таблицей ответов; условие привязано к исходной странице.</x:v>
      </x:c>
      <x:c r="R5073" s="30" t="str">
        <x:v>13</x:v>
      </x:c>
      <x:c r="S5073" s="30"/>
      <x:c r="T5073" s="30" t="str">
        <x:v>ОТВЕТЫ (2).docx</x:v>
      </x:c>
      <x:c r="U5073" s="30" t="str">
        <x:v>Расхождений с таблицей ответов не выявлено.</x:v>
      </x:c>
      <x:c r="V5073" s="87" t="str">
        <x:v>VERIFIED</x:v>
      </x:c>
      <x:c r="W5073" s="87"/>
      <x:c r="X5073" s="87"/>
      <x:c r="Y5073" s="87" t="n">
        <x:v>14</x:v>
      </x:c>
      <x:c r="Z5073" s="87" t="n">
        <x:v>14</x:v>
      </x:c>
      <x:c r="AA5073" s="87" t="str">
        <x:v>страница 2</x:v>
      </x:c>
      <x:c r="AB5073" s="87"/>
      <x:c r="AC5073" s="87" t="str">
        <x:v>VIS-EGKR-RUS-W25-TASK-956-P014</x:v>
      </x:c>
      <x:c r="AD5073" s="87" t="str">
        <x:v>VIS-EGKR-RUS-W25-KEY-ALL-P002</x:v>
      </x:c>
      <x:c r="AE5073" s="87" t="str">
        <x:v>TASK; KEY</x:v>
      </x:c>
      <x:c r="AF5073" s="87" t="str">
        <x:v>VIS-EGKR-RUS-W25-TASK-956-P014: 14; VIS-EGKR-RUS-W25-KEY-ALL-P002: 2</x:v>
      </x:c>
      <x:c r="AG5073" s="87" t="str">
        <x:v>RESOLVED</x:v>
      </x:c>
      <x:c r="AH5073" s="87" t="str">
        <x:v>CROP_VERIFIED</x:v>
      </x:c>
      <x:c r="AI5073" s="30"/>
      <x:c r="AJ5073" s="87" t="str">
        <x:v>clean</x:v>
      </x:c>
      <x:c r="AK5073" s="87" t="str">
        <x:v>clean-v0.10</x:v>
      </x:c>
      <x:c r="AL5073" s="87" t="str">
        <x:v>statgrad_clean_continuation_v0_10(1).xlsx</x:v>
      </x:c>
      <x:c r="AM5073" s="87" t="str">
        <x:v>RUS_EGKR_956</x:v>
      </x:c>
      <x:c r="AN5073" s="87" t="n">
        <x:v>25</x:v>
      </x:c>
    </x:row>
    <x:row r="5074">
      <x:c r="A5074" s="87" t="n">
        <x:v>5073</x:v>
      </x:c>
      <x:c r="B5074" s="87" t="str">
        <x:v>EGKR-W25-RUS-956-25</x:v>
      </x:c>
      <x:c r="C5074" s="87" t="str">
        <x:v>ЕГКР</x:v>
      </x:c>
      <x:c r="D5074" s="87"/>
      <x:c r="E5074" s="87" t="str">
        <x:v>Зима 2025</x:v>
      </x:c>
      <x:c r="F5074" s="87" t="str">
        <x:v>09.12.2025</x:v>
      </x:c>
      <x:c r="G5074" s="87" t="str">
        <x:v>Русский язык</x:v>
      </x:c>
      <x:c r="H5074" s="87" t="n">
        <x:v>11</x:v>
      </x:c>
      <x:c r="I5074" s="87"/>
      <x:c r="J5074" s="87" t="str">
        <x:v>956</x:v>
      </x:c>
      <x:c r="K5074" s="87" t="n">
        <x:v>25</x:v>
      </x:c>
      <x:c r="L5074" s="87" t="str">
        <x:v>Лексические средства</x:v>
      </x:c>
      <x:c r="M5074" s="30" t="str">
        <x:v>Задание №25. OCR-маркер не распознан; см. полную страницу источника. 23 | Какие из высказываний соответствуют содержанию текста? Укажите номера ответов. 1) У рассказчика было плохое настроение, потому что его оштрафовали в общественном транспорте. 2) Ребята почувствовали настроение своего учителя. испугались и отказались отвечать домашнее задание. 3) На протяжении всего урока литературы учитель читал стихи А.С. Пушкина. 4) Ребята устали на уроке. поэтому очень торопились выйти на перемену. 5) После урока учитель тепло поблагодарил каждого своего ученика. О о prety 24 | Какие из перечисленных утверждений являются верными? Укажите номера ответов. 1) Виредложениях 1. 2 представлено рассуждение. 2) Предложения 10 и 1! противопоставлены по содержанию. 3) Предложение 14 раскрывает содержание предложения 13. 4) В предложениях 26-30 представлено повествование. 5) В предложениях 35-39 представлено описание Же Из прелложений 35-38 выпишите контекстные синонимы. Ответ: : | 26 Среди предложений 35-39 найдите такое(-ие), которос(-ые) связано(-ы) с предылущим при помощи союза и лексического повтора. Запишите номер(а)} этого(-их) предложения(-ий). Ответ: ь Не забудьте перенести все ответы в бланк ответов МТ ; в соответствии с инструкцией по выполнению работы. Проверьте, чтобы каждый ответ был записан в строке с номером | соответствующего задания. — =</x:v>
      </x:c>
      <x:c r="N5074" s="30" t="str">
        <x:v>урок, занятие</x:v>
      </x:c>
      <x:c r="O5074" s="30" t="str">
        <x:v>Ответ перенесён из сводной таблицы и связан с исходным заданием.</x:v>
      </x:c>
      <x:c r="P5074" s="30"/>
      <x:c r="Q5074" s="30" t="str">
        <x:v>Ответ визуально сверён с таблицей ответов; условие привязано к исходной странице.</x:v>
      </x:c>
      <x:c r="R5074" s="30" t="str">
        <x:v>урок, занятие</x:v>
      </x:c>
      <x:c r="S5074" s="30"/>
      <x:c r="T5074" s="30" t="str">
        <x:v>ОТВЕТЫ (2).docx</x:v>
      </x:c>
      <x:c r="U5074" s="30" t="str">
        <x:v>Расхождений с таблицей ответов не выявлено.</x:v>
      </x:c>
      <x:c r="V5074" s="87" t="str">
        <x:v>VERIFIED</x:v>
      </x:c>
      <x:c r="W5074" s="87"/>
      <x:c r="X5074" s="87"/>
      <x:c r="Y5074" s="87" t="n">
        <x:v>14</x:v>
      </x:c>
      <x:c r="Z5074" s="87" t="n">
        <x:v>14</x:v>
      </x:c>
      <x:c r="AA5074" s="87" t="str">
        <x:v>страница 2</x:v>
      </x:c>
      <x:c r="AB5074" s="87"/>
      <x:c r="AC5074" s="87" t="str">
        <x:v>VIS-EGKR-RUS-W25-TASK-956-P014</x:v>
      </x:c>
      <x:c r="AD5074" s="87" t="str">
        <x:v>VIS-EGKR-RUS-W25-KEY-ALL-P002</x:v>
      </x:c>
      <x:c r="AE5074" s="87" t="str">
        <x:v>TASK; KEY</x:v>
      </x:c>
      <x:c r="AF5074" s="87" t="str">
        <x:v>VIS-EGKR-RUS-W25-TASK-956-P014: 14; VIS-EGKR-RUS-W25-KEY-ALL-P002: 2</x:v>
      </x:c>
      <x:c r="AG5074" s="87" t="str">
        <x:v>RESOLVED</x:v>
      </x:c>
      <x:c r="AH5074" s="87" t="str">
        <x:v>CROP_VERIFIED</x:v>
      </x:c>
      <x:c r="AI5074" s="30"/>
      <x:c r="AJ5074" s="87" t="str">
        <x:v>clean</x:v>
      </x:c>
      <x:c r="AK5074" s="87" t="str">
        <x:v>clean-v0.10</x:v>
      </x:c>
      <x:c r="AL5074" s="87" t="str">
        <x:v>statgrad_clean_continuation_v0_10(1).xlsx</x:v>
      </x:c>
      <x:c r="AM5074" s="87" t="str">
        <x:v>RUS_EGKR_956</x:v>
      </x:c>
      <x:c r="AN5074" s="87" t="n">
        <x:v>26</x:v>
      </x:c>
    </x:row>
    <x:row r="5075">
      <x:c r="A5075" s="87" t="n">
        <x:v>5074</x:v>
      </x:c>
      <x:c r="B5075" s="87" t="str">
        <x:v>EGKR-W25-RUS-956-26</x:v>
      </x:c>
      <x:c r="C5075" s="87" t="str">
        <x:v>ЕГКР</x:v>
      </x:c>
      <x:c r="D5075" s="87"/>
      <x:c r="E5075" s="87" t="str">
        <x:v>Зима 2025</x:v>
      </x:c>
      <x:c r="F5075" s="87" t="str">
        <x:v>09.12.2025</x:v>
      </x:c>
      <x:c r="G5075" s="87" t="str">
        <x:v>Русский язык</x:v>
      </x:c>
      <x:c r="H5075" s="87" t="n">
        <x:v>11</x:v>
      </x:c>
      <x:c r="I5075" s="87"/>
      <x:c r="J5075" s="87" t="str">
        <x:v>956</x:v>
      </x:c>
      <x:c r="K5075" s="87" t="n">
        <x:v>26</x:v>
      </x:c>
      <x:c r="L5075" s="87" t="str">
        <x:v>Средства связи предложений</x:v>
      </x:c>
      <x:c r="M5075" s="30" t="str">
        <x:v>Среди предложений 35-39 найдите такое(-ие), которос(-ые) связано(-ы) с предылущим при помощи союза и лексического повтора. Запишите номер(а)} этого(-их) предложения(-ий). Ответ: ь Не забудьте перенести все ответы в бланк ответов МТ ; в соответствии с инструкцией по выполнению работы. Проверьте, чтобы каждый ответ был записан в строке с номером | соответствующего задания. — =</x:v>
      </x:c>
      <x:c r="N5075" s="30" t="str">
        <x:v>36</x:v>
      </x:c>
      <x:c r="O5075" s="30" t="str">
        <x:v>Ответ перенесён из сводной таблицы и связан с исходным заданием.</x:v>
      </x:c>
      <x:c r="P5075" s="30"/>
      <x:c r="Q5075" s="30" t="str">
        <x:v>Ответ визуально сверён с таблицей ответов; условие привязано к исходной странице.</x:v>
      </x:c>
      <x:c r="R5075" s="30" t="str">
        <x:v>36</x:v>
      </x:c>
      <x:c r="S5075" s="30"/>
      <x:c r="T5075" s="30" t="str">
        <x:v>ОТВЕТЫ (2).docx</x:v>
      </x:c>
      <x:c r="U5075" s="30" t="str">
        <x:v>Расхождений с таблицей ответов не выявлено.</x:v>
      </x:c>
      <x:c r="V5075" s="87" t="str">
        <x:v>VERIFIED</x:v>
      </x:c>
      <x:c r="W5075" s="87"/>
      <x:c r="X5075" s="87"/>
      <x:c r="Y5075" s="87" t="n">
        <x:v>14</x:v>
      </x:c>
      <x:c r="Z5075" s="87" t="n">
        <x:v>14</x:v>
      </x:c>
      <x:c r="AA5075" s="87" t="str">
        <x:v>страница 2</x:v>
      </x:c>
      <x:c r="AB5075" s="87"/>
      <x:c r="AC5075" s="87" t="str">
        <x:v>VIS-EGKR-RUS-W25-TASK-956-P014</x:v>
      </x:c>
      <x:c r="AD5075" s="87" t="str">
        <x:v>VIS-EGKR-RUS-W25-KEY-ALL-P002</x:v>
      </x:c>
      <x:c r="AE5075" s="87" t="str">
        <x:v>TASK; KEY</x:v>
      </x:c>
      <x:c r="AF5075" s="87" t="str">
        <x:v>VIS-EGKR-RUS-W25-TASK-956-P014: 14; VIS-EGKR-RUS-W25-KEY-ALL-P002: 2</x:v>
      </x:c>
      <x:c r="AG5075" s="87" t="str">
        <x:v>RESOLVED</x:v>
      </x:c>
      <x:c r="AH5075" s="87" t="str">
        <x:v>CROP_VERIFIED</x:v>
      </x:c>
      <x:c r="AI5075" s="30"/>
      <x:c r="AJ5075" s="87" t="str">
        <x:v>clean</x:v>
      </x:c>
      <x:c r="AK5075" s="87" t="str">
        <x:v>clean-v0.10</x:v>
      </x:c>
      <x:c r="AL5075" s="87" t="str">
        <x:v>statgrad_clean_continuation_v0_10(1).xlsx</x:v>
      </x:c>
      <x:c r="AM5075" s="87" t="str">
        <x:v>RUS_EGKR_956</x:v>
      </x:c>
      <x:c r="AN5075" s="87" t="n">
        <x:v>27</x:v>
      </x:c>
    </x:row>
    <x:row r="5076">
      <x:c r="A5076" s="87" t="n">
        <x:v>5075</x:v>
      </x:c>
      <x:c r="B5076" s="87" t="str">
        <x:v>EGKR-W25-RUS-956-27</x:v>
      </x:c>
      <x:c r="C5076" s="87" t="str">
        <x:v>ЕГКР</x:v>
      </x:c>
      <x:c r="D5076" s="87"/>
      <x:c r="E5076" s="87" t="str">
        <x:v>Зима 2025</x:v>
      </x:c>
      <x:c r="F5076" s="87" t="str">
        <x:v>09.12.2025</x:v>
      </x:c>
      <x:c r="G5076" s="87" t="str">
        <x:v>Русский язык</x:v>
      </x:c>
      <x:c r="H5076" s="87" t="n">
        <x:v>11</x:v>
      </x:c>
      <x:c r="I5076" s="87"/>
      <x:c r="J5076" s="87" t="str">
        <x:v>956</x:v>
      </x:c>
      <x:c r="K5076" s="87" t="n">
        <x:v>27</x:v>
      </x:c>
      <x:c r="L5076" s="87" t="str">
        <x:v>Сочинение-рассуждение</x:v>
      </x:c>
      <x:c r="M5076" s="30" t="str">
        <x:v>Напишите сочинение-рассуждение по проблеме. поставленной в исходном тексте: «Как общаться с человеком, у которого тяжело на душё?». Сформулируйте позицию автора (рассказчика) по указанной ироблеме. Прокомментируйте. как в тексте раскрывается данная позиция. Включите в комментарий два примера-иллюстрации из прочитанного текста. важные для понимания позиции автора (рассказчика). и поясните их. Укажите и поясните смысловую связь между приведёнными примерами-иллюстрациями. Сформулируйте и обоснуйте своё отношение к позиции автора (рассказчика) по проблеме исходного текста. Включите в обоснование пример-аргумент. опираясь па читательский. историко-культурный или жизненный опыт и не повторяя авторских суждений. (He учитываются примеры-аргументы. источниками которых являются комикс. аниме. манга. фанфик, графический роман. компьютерная игра иодругие подобные виды представления информации.) Объём сочинения — не менсе 150 слов. Работа. написанная без опоры на прочитанный текст (не по данному тексту). не оценивается. Если сочинение представляст собой полностью переписанный или пересказанный исходный текст без каких бы то ни было комментариев. то такая работа опснивается 0 баллов. Сочинение пишите аккуратно и разборчиво. соблюдая нормы современного русского литературного языка. 22028 ОБ оадеральньй и-счуту- -ezare-/secdx олувваний WWWEP RE “ee /coaaere we допуснается</x:v>
      </x:c>
      <x:c r="N5076" s="30" t="str">
        <x:v>Вариант 956
Проблема, поставленная автором, касается важнейшего аспекта человеческих отношений: как правильно вести себя с тем, кто переживает душевное смятение, кто пришёл к нам с тяжёлым сердцем? Эта ситуация требует особой мудрости и чуткости.
Позиция рассказчика, учителя литературы, заключается в том, что окружающие должны проявить «духовную зоркость» — способность увидеть за внешней суровостью или раздражением человека его внутреннюю боль и ответить не конфронтацией, а добротой и пониманием. Именно такое поведение может прервать цепь негатива и исцелить ситуацию.
Автор раскрывает эту позицию через два взаимосвязанных примера-иллюстрации. Во-первых, это реакция учеников на мрачное настроение педагога. Видя его расстроенным и строгим, они, вместо того чтобы замкнуться или испугаться, инстинктивно протягивают ему «спасательный круг» — все поднимают руки на его сухой вопрос, хотя не все готовы отвечать. Этот жест — не столько готовность к уроку, сколько молчаливый акт поддержки, попытка вывести учителя из состояния раздражения. Во-вторых, это преобразующая сила ответной доброты самого учителя. Поняв, что дети его «спасают», он откладывает формальный опрос и обращается к вечному — читает стихи Пушкина о дружбе. Этот жест меняет атмосферу в классе: ученики превращаются во «друзей», а урок — в совместное переживание прекрасного.
Смысловая связь между этими примерами демонстрирует цикл взаимного спасения. Чуткость учеников («зоркость») пробуждает в учителе ответное желание сделать «что-то доброе». Его доброта, в свою очередь, облагораживает детей, укрепляя их доверие и к нему, и к литературе. Таким образом, правильная реакция на чужую душевную тяжесть — это не равнодушие и не ответная грубость, а эмпатия, которая разрывает порочный круг и рождает взаимопонимание.
Я полностью разделяю позицию автора. В трудную минуту человеку часто нужна не конкретная помощь, а просто понимание, которое даёт ему силы справиться самому. Яркий историко-культурный пример — отношения императора Александра I и поэта Василия Жуковского. После поражения при Аустерлице и череды личных трагедий Александр переживал глубокий духовный кризис, стал мрачным и нелюдимым. Жуковский, будучи воспитателем наследника, не льстил и не поучал царя. Своими письмами и беседами он проявлял к нему именно ту «духовную зоркость» — видел в нём не самодержца, а страдающего человека. Его тактичное, полное уважения и понимания общение стало для императора одной из форм нравственной поддержки в сложнейший период жизни. Этот пример доказывает, что эмпатичное общение, о котором пишет автор, может быть целительным на любом уровне человеческих отношений.
Таким образом, общаясь с человеком, у которого на душе тяжело, важно «видеть», а не просто смотреть. Ответная доброта и попытка понять, а не осудить — это тот мост, который может вывести его из тьмы и укрепить вашу собственную человечность. Именно так, через взаимную чуткость, мы избегаем ненужных обид и создаём пространство, где душа может исцелиться.</x:v>
      </x:c>
      <x:c r="O5076" s="30" t="str">
        <x:v>Модель развёрнутого ответа.</x:v>
      </x:c>
      <x:c r="P5076" s="30"/>
      <x:c r="Q5076" s="30" t="str">
        <x:v>Проверены формулировка проблемы, позиция автора, два примера, связь и аргументация.</x:v>
      </x:c>
      <x:c r="R5076" s="30" t="str">
        <x:v>Сочинение Вариант 956.docx</x:v>
      </x:c>
      <x:c r="S5076" s="30"/>
      <x:c r="T5076" s="30" t="str">
        <x:v>Сочинение Вариант 956.docx</x:v>
      </x:c>
      <x:c r="U5076" s="30" t="str">
        <x:v>Модель соответствует проблеме задания 27 и структуре сочинения ЕГЭ.</x:v>
      </x:c>
      <x:c r="V5076" s="87" t="str">
        <x:v>VERIFIED</x:v>
      </x:c>
      <x:c r="W5076" s="87"/>
      <x:c r="X5076" s="87"/>
      <x:c r="Y5076" s="87" t="n">
        <x:v>15</x:v>
      </x:c>
      <x:c r="Z5076" s="87" t="n">
        <x:v>15</x:v>
      </x:c>
      <x:c r="AA5076" s="87" t="str">
        <x:v>модель сочинения</x:v>
      </x:c>
      <x:c r="AB5076" s="87"/>
      <x:c r="AC5076" s="87" t="str">
        <x:v>VIS-EGKR-RUS-W25-TASK-956-P015</x:v>
      </x:c>
      <x:c r="AD5076" s="87" t="str">
        <x:v>VIS-EGKR-RUS-W25-MODEL-956-P001</x:v>
      </x:c>
      <x:c r="AE5076" s="87" t="str">
        <x:v>TASK; MODEL</x:v>
      </x:c>
      <x:c r="AF5076" s="87" t="str">
        <x:v>VIS-EGKR-RUS-W25-TASK-956-P015: 15; VIS-EGKR-RUS-W25-MODEL-956-P001: 1</x:v>
      </x:c>
      <x:c r="AG5076" s="87" t="str">
        <x:v>RESOLVED</x:v>
      </x:c>
      <x:c r="AH5076" s="87" t="str">
        <x:v>CROP_VERIFIED; TASK_CROP_NO_CROP_NEEDED</x:v>
      </x:c>
      <x:c r="AI5076" s="30"/>
      <x:c r="AJ5076" s="87" t="str">
        <x:v>clean</x:v>
      </x:c>
      <x:c r="AK5076" s="87" t="str">
        <x:v>clean-v0.10</x:v>
      </x:c>
      <x:c r="AL5076" s="87" t="str">
        <x:v>statgrad_clean_continuation_v0_10(1).xlsx</x:v>
      </x:c>
      <x:c r="AM5076" s="87" t="str">
        <x:v>RUS_EGKR_956</x:v>
      </x:c>
      <x:c r="AN5076" s="87" t="n">
        <x:v>28</x:v>
      </x:c>
    </x:row>
    <x:row r="5077">
      <x:c r="A5077" s="87" t="n">
        <x:v>5076</x:v>
      </x:c>
      <x:c r="B5077" s="87" t="str">
        <x:v>EGKR-W25-RUS-957-01</x:v>
      </x:c>
      <x:c r="C5077" s="87" t="str">
        <x:v>ЕГКР</x:v>
      </x:c>
      <x:c r="D5077" s="87"/>
      <x:c r="E5077" s="87" t="str">
        <x:v>Зима 2025</x:v>
      </x:c>
      <x:c r="F5077" s="87" t="str">
        <x:v>09.12.2025</x:v>
      </x:c>
      <x:c r="G5077" s="87" t="str">
        <x:v>Русский язык</x:v>
      </x:c>
      <x:c r="H5077" s="87" t="n">
        <x:v>11</x:v>
      </x:c>
      <x:c r="I5077" s="87"/>
      <x:c r="J5077" s="87" t="str">
        <x:v>957</x:v>
      </x:c>
      <x:c r="K5077" s="87" t="n">
        <x:v>1</x:v>
      </x:c>
      <x:c r="L5077" s="87" t="str">
        <x:v>Связность текста: средство связи</x:v>
      </x:c>
      <x:c r="M5077" s="30" t="str">
        <x:v>Самостоятельно подберите определительное местоимение, которое должно стоять на месте пропуска в последнем предложении текста. Запишите это | местоимение. Ответ: _ Г</x:v>
      </x:c>
      <x:c r="N5077" s="30" t="str">
        <x:v>иные</x:v>
      </x:c>
      <x:c r="O5077" s="30" t="str">
        <x:v>Ответ перенесён из сводной таблицы и связан с исходным заданием.</x:v>
      </x:c>
      <x:c r="P5077" s="30"/>
      <x:c r="Q5077" s="30" t="str">
        <x:v>Ответ визуально сверён с таблицей ответов; условие привязано к исходной странице.</x:v>
      </x:c>
      <x:c r="R5077" s="30" t="str">
        <x:v>иные</x:v>
      </x:c>
      <x:c r="S5077" s="30"/>
      <x:c r="T5077" s="30" t="str">
        <x:v>ОТВЕТЫ (2).docx</x:v>
      </x:c>
      <x:c r="U5077" s="30" t="str">
        <x:v>Расхождений с таблицей ответов не выявлено.</x:v>
      </x:c>
      <x:c r="V5077" s="87" t="str">
        <x:v>VERIFIED</x:v>
      </x:c>
      <x:c r="W5077" s="87"/>
      <x:c r="X5077" s="87"/>
      <x:c r="Y5077" s="87" t="n">
        <x:v>2</x:v>
      </x:c>
      <x:c r="Z5077" s="87" t="n">
        <x:v>1</x:v>
      </x:c>
      <x:c r="AA5077" s="87" t="str">
        <x:v>страница 2</x:v>
      </x:c>
      <x:c r="AB5077" s="87"/>
      <x:c r="AC5077" s="87" t="str">
        <x:v>VIS-EGKR-RUS-W25-TASK-957-P001</x:v>
      </x:c>
      <x:c r="AD5077" s="87" t="str">
        <x:v>VIS-EGKR-RUS-W25-KEY-ALL-P002</x:v>
      </x:c>
      <x:c r="AE5077" s="87" t="str">
        <x:v>TASK; KEY</x:v>
      </x:c>
      <x:c r="AF5077" s="87" t="str">
        <x:v>VIS-EGKR-RUS-W25-TASK-957-P001: 1; VIS-EGKR-RUS-W25-KEY-ALL-P002: 2</x:v>
      </x:c>
      <x:c r="AG5077" s="87" t="str">
        <x:v>RESOLVED</x:v>
      </x:c>
      <x:c r="AH5077" s="87" t="str">
        <x:v>CROP_VERIFIED</x:v>
      </x:c>
      <x:c r="AI5077" s="30"/>
      <x:c r="AJ5077" s="87" t="str">
        <x:v>clean</x:v>
      </x:c>
      <x:c r="AK5077" s="87" t="str">
        <x:v>clean-v0.10</x:v>
      </x:c>
      <x:c r="AL5077" s="87" t="str">
        <x:v>statgrad_clean_continuation_v0_10(1).xlsx</x:v>
      </x:c>
      <x:c r="AM5077" s="87" t="str">
        <x:v>RUS_EGKR_957</x:v>
      </x:c>
      <x:c r="AN5077" s="87" t="n">
        <x:v>2</x:v>
      </x:c>
    </x:row>
    <x:row r="5078">
      <x:c r="A5078" s="87" t="n">
        <x:v>5077</x:v>
      </x:c>
      <x:c r="B5078" s="87" t="str">
        <x:v>EGKR-W25-RUS-957-02</x:v>
      </x:c>
      <x:c r="C5078" s="87" t="str">
        <x:v>ЕГКР</x:v>
      </x:c>
      <x:c r="D5078" s="87"/>
      <x:c r="E5078" s="87" t="str">
        <x:v>Зима 2025</x:v>
      </x:c>
      <x:c r="F5078" s="87" t="str">
        <x:v>09.12.2025</x:v>
      </x:c>
      <x:c r="G5078" s="87" t="str">
        <x:v>Русский язык</x:v>
      </x:c>
      <x:c r="H5078" s="87" t="n">
        <x:v>11</x:v>
      </x:c>
      <x:c r="I5078" s="87"/>
      <x:c r="J5078" s="87" t="str">
        <x:v>957</x:v>
      </x:c>
      <x:c r="K5078" s="87" t="n">
        <x:v>2</x:v>
      </x:c>
      <x:c r="L5078" s="87" t="str">
        <x:v>Лексическое значение слова</x:v>
      </x:c>
      <x:c r="M5078" s="30" t="str">
        <x:v>В тексте выделено пять слов. Укажите варианты ответов, в которых лексическое значение выделенного слова соответствует его значению в данном тексте. Запишите номера ответов. 1) РУЧНОЙ. Такой, который не боится человека, привык к человеку; приручённый. Ручной скворец. Ручная белка, 2) НОРМА. Узаконенное установление. Юридические, правовые нормы. Нормы международного права, 3) РАБОТА. Труд, занятие как источник заработка; служба. Постоянная, временная работа. Поступить, устроиться на работу. 4) СОСТАВЛЯТЬ. Помещать какие-либо предметы близко друг к другу, в стоячем положении; тесно приставлять их друг к другу. Готовясь к приходу гостей, хозяева составили столы. 5) ДОКУМЕНТ. Деловая бумага, служащая доказательством чего-либо, подтверждающая право на что-либо. Документ об образовании. вет 3 | Укажите варианты ответов, в которых даны</x:v>
      </x:c>
      <x:c r="N5078" s="30" t="str">
        <x:v>25</x:v>
      </x:c>
      <x:c r="O5078" s="30" t="str">
        <x:v>Ответ перенесён из сводной таблицы и связан с исходным заданием.</x:v>
      </x:c>
      <x:c r="P5078" s="30"/>
      <x:c r="Q5078" s="30" t="str">
        <x:v>Ответ визуально сверён с таблицей ответов; условие привязано к исходной странице.</x:v>
      </x:c>
      <x:c r="R5078" s="30" t="str">
        <x:v>25</x:v>
      </x:c>
      <x:c r="S5078" s="30"/>
      <x:c r="T5078" s="30" t="str">
        <x:v>ОТВЕТЫ (2).docx</x:v>
      </x:c>
      <x:c r="U5078" s="30" t="str">
        <x:v>Расхождений с таблицей ответов не выявлено.</x:v>
      </x:c>
      <x:c r="V5078" s="87" t="str">
        <x:v>VERIFIED</x:v>
      </x:c>
      <x:c r="W5078" s="87"/>
      <x:c r="X5078" s="87"/>
      <x:c r="Y5078" s="87" t="n">
        <x:v>3</x:v>
      </x:c>
      <x:c r="Z5078" s="87" t="n">
        <x:v>2</x:v>
      </x:c>
      <x:c r="AA5078" s="87" t="str">
        <x:v>страница 2</x:v>
      </x:c>
      <x:c r="AB5078" s="87"/>
      <x:c r="AC5078" s="87" t="str">
        <x:v>VIS-EGKR-RUS-W25-TASK-957-P002</x:v>
      </x:c>
      <x:c r="AD5078" s="87" t="str">
        <x:v>VIS-EGKR-RUS-W25-KEY-ALL-P002</x:v>
      </x:c>
      <x:c r="AE5078" s="87" t="str">
        <x:v>TASK; KEY</x:v>
      </x:c>
      <x:c r="AF5078" s="87" t="str">
        <x:v>VIS-EGKR-RUS-W25-TASK-957-P002: 2; VIS-EGKR-RUS-W25-KEY-ALL-P002: 2</x:v>
      </x:c>
      <x:c r="AG5078" s="87" t="str">
        <x:v>RESOLVED</x:v>
      </x:c>
      <x:c r="AH5078" s="87" t="str">
        <x:v>CROP_VERIFIED</x:v>
      </x:c>
      <x:c r="AI5078" s="30"/>
      <x:c r="AJ5078" s="87" t="str">
        <x:v>clean</x:v>
      </x:c>
      <x:c r="AK5078" s="87" t="str">
        <x:v>clean-v0.10</x:v>
      </x:c>
      <x:c r="AL5078" s="87" t="str">
        <x:v>statgrad_clean_continuation_v0_10(1).xlsx</x:v>
      </x:c>
      <x:c r="AM5078" s="87" t="str">
        <x:v>RUS_EGKR_957</x:v>
      </x:c>
      <x:c r="AN5078" s="87" t="n">
        <x:v>3</x:v>
      </x:c>
    </x:row>
    <x:row r="5079">
      <x:c r="A5079" s="87" t="n">
        <x:v>5078</x:v>
      </x:c>
      <x:c r="B5079" s="87" t="str">
        <x:v>EGKR-W25-RUS-957-03</x:v>
      </x:c>
      <x:c r="C5079" s="87" t="str">
        <x:v>ЕГКР</x:v>
      </x:c>
      <x:c r="D5079" s="87"/>
      <x:c r="E5079" s="87" t="str">
        <x:v>Зима 2025</x:v>
      </x:c>
      <x:c r="F5079" s="87" t="str">
        <x:v>09.12.2025</x:v>
      </x:c>
      <x:c r="G5079" s="87" t="str">
        <x:v>Русский язык</x:v>
      </x:c>
      <x:c r="H5079" s="87" t="n">
        <x:v>11</x:v>
      </x:c>
      <x:c r="I5079" s="87"/>
      <x:c r="J5079" s="87" t="str">
        <x:v>957</x:v>
      </x:c>
      <x:c r="K5079" s="87" t="n">
        <x:v>3</x:v>
      </x:c>
      <x:c r="L5079" s="87" t="str">
        <x:v>Стилистический и языковой анализ текста</x:v>
      </x:c>
      <x:c r="M5079" s="30" t="str">
        <x:v>верные характеристики текста. Запишите номера ответов. 1) Текст написан в официально-деловом стиле; иель автора — дать информацию о правах и обязанностях пассажира. 2) Жанр текста — рецензия; автор критикует пассажиров, не выполняющих своих обязанностей. 3) В тексте используется абстрактная лексика (предоставления, право, возрасте и др.) 4) Выразительность текста обеспечивается синтаксическими средствами, среди которых — неполные предложения, вводные конструкции. 5) Метафора (иредоставления.. услуг), эпитеты («ручной клади», «внеуличным транспортом») показывают важность соблюдения прав пассажиров. Omer © 2025 ФТБНУ "Федерапьчый институт педагогических измерений" WUWLFIPLRU</x:v>
      </x:c>
      <x:c r="N5079" s="30" t="str">
        <x:v>13</x:v>
      </x:c>
      <x:c r="O5079" s="30" t="str">
        <x:v>Ответ перенесён из сводной таблицы и связан с исходным заданием.</x:v>
      </x:c>
      <x:c r="P5079" s="30"/>
      <x:c r="Q5079" s="30" t="str">
        <x:v>Ответ визуально сверён с таблицей ответов; условие привязано к исходной странице.</x:v>
      </x:c>
      <x:c r="R5079" s="30" t="str">
        <x:v>13</x:v>
      </x:c>
      <x:c r="S5079" s="30"/>
      <x:c r="T5079" s="30" t="str">
        <x:v>ОТВЕТЫ (2).docx</x:v>
      </x:c>
      <x:c r="U5079" s="30" t="str">
        <x:v>Расхождений с таблицей ответов не выявлено.</x:v>
      </x:c>
      <x:c r="V5079" s="87" t="str">
        <x:v>VERIFIED</x:v>
      </x:c>
      <x:c r="W5079" s="87"/>
      <x:c r="X5079" s="87"/>
      <x:c r="Y5079" s="87" t="n">
        <x:v>3</x:v>
      </x:c>
      <x:c r="Z5079" s="87" t="n">
        <x:v>2</x:v>
      </x:c>
      <x:c r="AA5079" s="87" t="str">
        <x:v>страница 2</x:v>
      </x:c>
      <x:c r="AB5079" s="87"/>
      <x:c r="AC5079" s="87" t="str">
        <x:v>VIS-EGKR-RUS-W25-TASK-957-P002</x:v>
      </x:c>
      <x:c r="AD5079" s="87" t="str">
        <x:v>VIS-EGKR-RUS-W25-KEY-ALL-P002</x:v>
      </x:c>
      <x:c r="AE5079" s="87" t="str">
        <x:v>TASK; KEY</x:v>
      </x:c>
      <x:c r="AF5079" s="87" t="str">
        <x:v>VIS-EGKR-RUS-W25-TASK-957-P002: 2; VIS-EGKR-RUS-W25-KEY-ALL-P002: 2</x:v>
      </x:c>
      <x:c r="AG5079" s="87" t="str">
        <x:v>RESOLVED</x:v>
      </x:c>
      <x:c r="AH5079" s="87" t="str">
        <x:v>CROP_VERIFIED</x:v>
      </x:c>
      <x:c r="AI5079" s="30"/>
      <x:c r="AJ5079" s="87" t="str">
        <x:v>clean</x:v>
      </x:c>
      <x:c r="AK5079" s="87" t="str">
        <x:v>clean-v0.10</x:v>
      </x:c>
      <x:c r="AL5079" s="87" t="str">
        <x:v>statgrad_clean_continuation_v0_10(1).xlsx</x:v>
      </x:c>
      <x:c r="AM5079" s="87" t="str">
        <x:v>RUS_EGKR_957</x:v>
      </x:c>
      <x:c r="AN5079" s="87" t="n">
        <x:v>4</x:v>
      </x:c>
    </x:row>
    <x:row r="5080">
      <x:c r="A5080" s="87" t="n">
        <x:v>5079</x:v>
      </x:c>
      <x:c r="B5080" s="87" t="str">
        <x:v>EGKR-W25-RUS-957-04</x:v>
      </x:c>
      <x:c r="C5080" s="87" t="str">
        <x:v>ЕГКР</x:v>
      </x:c>
      <x:c r="D5080" s="87"/>
      <x:c r="E5080" s="87" t="str">
        <x:v>Зима 2025</x:v>
      </x:c>
      <x:c r="F5080" s="87" t="str">
        <x:v>09.12.2025</x:v>
      </x:c>
      <x:c r="G5080" s="87" t="str">
        <x:v>Русский язык</x:v>
      </x:c>
      <x:c r="H5080" s="87" t="n">
        <x:v>11</x:v>
      </x:c>
      <x:c r="I5080" s="87"/>
      <x:c r="J5080" s="87" t="str">
        <x:v>957</x:v>
      </x:c>
      <x:c r="K5080" s="87" t="n">
        <x:v>4</x:v>
      </x:c>
      <x:c r="L5080" s="87" t="str">
        <x:v>Орфоэпические нормы</x:v>
      </x:c>
      <x:c r="M5080" s="30" t="str">
        <x:v>верно выделена буква, обозначающая Уларный гласпый звук. Запишите номера ответов. 1) партЕр 2) вручИт 3) лефИс 4) клалА 5) жАлюзи Ответ: . В олном из приведённых ниже предложений</x:v>
      </x:c>
      <x:c r="N5080" s="30" t="str">
        <x:v>123</x:v>
      </x:c>
      <x:c r="O5080" s="30" t="str">
        <x:v>Ответ перенесён из сводной таблицы и связан с исходным заданием.</x:v>
      </x:c>
      <x:c r="P5080" s="30"/>
      <x:c r="Q5080" s="30" t="str">
        <x:v>Ответ визуально сверён с таблицей ответов; условие привязано к исходной странице.</x:v>
      </x:c>
      <x:c r="R5080" s="30" t="str">
        <x:v>123</x:v>
      </x:c>
      <x:c r="S5080" s="30"/>
      <x:c r="T5080" s="30" t="str">
        <x:v>ОТВЕТЫ (2).docx</x:v>
      </x:c>
      <x:c r="U5080" s="30" t="str">
        <x:v>Расхождений с таблицей ответов не выявлено.</x:v>
      </x:c>
      <x:c r="V5080" s="87" t="str">
        <x:v>VERIFIED</x:v>
      </x:c>
      <x:c r="W5080" s="87"/>
      <x:c r="X5080" s="87"/>
      <x:c r="Y5080" s="87" t="n">
        <x:v>4</x:v>
      </x:c>
      <x:c r="Z5080" s="87" t="n">
        <x:v>2</x:v>
      </x:c>
      <x:c r="AA5080" s="87" t="str">
        <x:v>страница 2</x:v>
      </x:c>
      <x:c r="AB5080" s="87"/>
      <x:c r="AC5080" s="87" t="str">
        <x:v>VIS-EGKR-RUS-W25-TASK-957-P002</x:v>
      </x:c>
      <x:c r="AD5080" s="87" t="str">
        <x:v>VIS-EGKR-RUS-W25-KEY-ALL-P002</x:v>
      </x:c>
      <x:c r="AE5080" s="87" t="str">
        <x:v>TASK; KEY</x:v>
      </x:c>
      <x:c r="AF5080" s="87" t="str">
        <x:v>VIS-EGKR-RUS-W25-TASK-957-P002: 2; VIS-EGKR-RUS-W25-KEY-ALL-P002: 2</x:v>
      </x:c>
      <x:c r="AG5080" s="87" t="str">
        <x:v>RESOLVED</x:v>
      </x:c>
      <x:c r="AH5080" s="87" t="str">
        <x:v>CROP_VERIFIED</x:v>
      </x:c>
      <x:c r="AI5080" s="30"/>
      <x:c r="AJ5080" s="87" t="str">
        <x:v>clean</x:v>
      </x:c>
      <x:c r="AK5080" s="87" t="str">
        <x:v>clean-v0.10</x:v>
      </x:c>
      <x:c r="AL5080" s="87" t="str">
        <x:v>statgrad_clean_continuation_v0_10(1).xlsx</x:v>
      </x:c>
      <x:c r="AM5080" s="87" t="str">
        <x:v>RUS_EGKR_957</x:v>
      </x:c>
      <x:c r="AN5080" s="87" t="n">
        <x:v>5</x:v>
      </x:c>
    </x:row>
    <x:row r="5081">
      <x:c r="A5081" s="87" t="n">
        <x:v>5080</x:v>
      </x:c>
      <x:c r="B5081" s="87" t="str">
        <x:v>EGKR-W25-RUS-957-05</x:v>
      </x:c>
      <x:c r="C5081" s="87" t="str">
        <x:v>ЕГКР</x:v>
      </x:c>
      <x:c r="D5081" s="87"/>
      <x:c r="E5081" s="87" t="str">
        <x:v>Зима 2025</x:v>
      </x:c>
      <x:c r="F5081" s="87" t="str">
        <x:v>09.12.2025</x:v>
      </x:c>
      <x:c r="G5081" s="87" t="str">
        <x:v>Русский язык</x:v>
      </x:c>
      <x:c r="H5081" s="87" t="n">
        <x:v>11</x:v>
      </x:c>
      <x:c r="I5081" s="87"/>
      <x:c r="J5081" s="87" t="str">
        <x:v>957</x:v>
      </x:c>
      <x:c r="K5081" s="87" t="n">
        <x:v>5</x:v>
      </x:c>
      <x:c r="L5081" s="87" t="str">
        <x:v>Паронимы и лексическая сочетаемость</x:v>
      </x:c>
      <x:c r="M5081" s="30" t="str">
        <x:v>НЕВЕРНО употреблено выделенное слово. Исправьте лексическую ошибку, подобрав к выделенному слову пароним. Запишите подобранное слово, соблюлая нормы современного русского литературного языка. Сеголня холодно, необходимо ОДЕТЬ ребёнка потеплее. Туристы поселились в КОМФОРТАБЕЛЬНОЙ гостинице. Иногда создаётся впечатление, что наш лруг слишком РАСЧЁТЛИВ. В честь 80-летия Великой Побелы состоялся ПРАЗДНИЧНЫЙ салют. Учителя считают, что у пового ученика явные АРТИСТИЧНЫЕ способности. Ответ: р</x:v>
      </x:c>
      <x:c r="N5081" s="30" t="str">
        <x:v>артистические</x:v>
      </x:c>
      <x:c r="O5081" s="30" t="str">
        <x:v>Ответ перенесён из сводной таблицы и связан с исходным заданием.</x:v>
      </x:c>
      <x:c r="P5081" s="30"/>
      <x:c r="Q5081" s="30" t="str">
        <x:v>Ответ визуально сверён с таблицей ответов; условие привязано к исходной странице.</x:v>
      </x:c>
      <x:c r="R5081" s="30" t="str">
        <x:v>артистические</x:v>
      </x:c>
      <x:c r="S5081" s="30"/>
      <x:c r="T5081" s="30" t="str">
        <x:v>ОТВЕТЫ (2).docx</x:v>
      </x:c>
      <x:c r="U5081" s="30" t="str">
        <x:v>Расхождений с таблицей ответов не выявлено.</x:v>
      </x:c>
      <x:c r="V5081" s="87" t="str">
        <x:v>VERIFIED</x:v>
      </x:c>
      <x:c r="W5081" s="87"/>
      <x:c r="X5081" s="87"/>
      <x:c r="Y5081" s="87" t="n">
        <x:v>4</x:v>
      </x:c>
      <x:c r="Z5081" s="87" t="n">
        <x:v>2</x:v>
      </x:c>
      <x:c r="AA5081" s="87" t="str">
        <x:v>страница 2</x:v>
      </x:c>
      <x:c r="AB5081" s="87"/>
      <x:c r="AC5081" s="87" t="str">
        <x:v>VIS-EGKR-RUS-W25-TASK-957-P002</x:v>
      </x:c>
      <x:c r="AD5081" s="87" t="str">
        <x:v>VIS-EGKR-RUS-W25-KEY-ALL-P002</x:v>
      </x:c>
      <x:c r="AE5081" s="87" t="str">
        <x:v>TASK; KEY</x:v>
      </x:c>
      <x:c r="AF5081" s="87" t="str">
        <x:v>VIS-EGKR-RUS-W25-TASK-957-P002: 2; VIS-EGKR-RUS-W25-KEY-ALL-P002: 2</x:v>
      </x:c>
      <x:c r="AG5081" s="87" t="str">
        <x:v>RESOLVED</x:v>
      </x:c>
      <x:c r="AH5081" s="87" t="str">
        <x:v>CROP_VERIFIED</x:v>
      </x:c>
      <x:c r="AI5081" s="30"/>
      <x:c r="AJ5081" s="87" t="str">
        <x:v>clean</x:v>
      </x:c>
      <x:c r="AK5081" s="87" t="str">
        <x:v>clean-v0.10</x:v>
      </x:c>
      <x:c r="AL5081" s="87" t="str">
        <x:v>statgrad_clean_continuation_v0_10(1).xlsx</x:v>
      </x:c>
      <x:c r="AM5081" s="87" t="str">
        <x:v>RUS_EGKR_957</x:v>
      </x:c>
      <x:c r="AN5081" s="87" t="n">
        <x:v>6</x:v>
      </x:c>
    </x:row>
    <x:row r="5082">
      <x:c r="A5082" s="87" t="n">
        <x:v>5081</x:v>
      </x:c>
      <x:c r="B5082" s="87" t="str">
        <x:v>EGKR-W25-RUS-957-06</x:v>
      </x:c>
      <x:c r="C5082" s="87" t="str">
        <x:v>ЕГКР</x:v>
      </x:c>
      <x:c r="D5082" s="87"/>
      <x:c r="E5082" s="87" t="str">
        <x:v>Зима 2025</x:v>
      </x:c>
      <x:c r="F5082" s="87" t="str">
        <x:v>09.12.2025</x:v>
      </x:c>
      <x:c r="G5082" s="87" t="str">
        <x:v>Русский язык</x:v>
      </x:c>
      <x:c r="H5082" s="87" t="n">
        <x:v>11</x:v>
      </x:c>
      <x:c r="I5082" s="87"/>
      <x:c r="J5082" s="87" t="str">
        <x:v>957</x:v>
      </x:c>
      <x:c r="K5082" s="87" t="n">
        <x:v>6</x:v>
      </x:c>
      <x:c r="L5082" s="87" t="str">
        <x:v>Лексическая норма / речевая избыточность</x:v>
      </x:c>
      <x:c r="M5082" s="30" t="str">
        <x:v>Отредактируйте предложение: исправьте лексическую ошибку, исключив лишнее слово. Выпишите это слово. После праздника все участники и зрители получили памятные сувениры. Ответ: Е 7 В одном из выделенных ниже слов допущена</x:v>
      </x:c>
      <x:c r="N5082" s="30" t="str">
        <x:v>памятные</x:v>
      </x:c>
      <x:c r="O5082" s="30" t="str">
        <x:v>Ответ перенесён из сводной таблицы и связан с исходным заданием.</x:v>
      </x:c>
      <x:c r="P5082" s="30"/>
      <x:c r="Q5082" s="30" t="str">
        <x:v>Ответ визуально сверён с таблицей ответов; условие привязано к исходной странице.</x:v>
      </x:c>
      <x:c r="R5082" s="30" t="str">
        <x:v>памятные</x:v>
      </x:c>
      <x:c r="S5082" s="30"/>
      <x:c r="T5082" s="30" t="str">
        <x:v>ОТВЕТЫ (2).docx</x:v>
      </x:c>
      <x:c r="U5082" s="30" t="str">
        <x:v>Расхождений с таблицей ответов не выявлено.</x:v>
      </x:c>
      <x:c r="V5082" s="87" t="str">
        <x:v>VERIFIED</x:v>
      </x:c>
      <x:c r="W5082" s="87"/>
      <x:c r="X5082" s="87"/>
      <x:c r="Y5082" s="87" t="n">
        <x:v>5</x:v>
      </x:c>
      <x:c r="Z5082" s="87" t="n">
        <x:v>3</x:v>
      </x:c>
      <x:c r="AA5082" s="87" t="str">
        <x:v>страница 2</x:v>
      </x:c>
      <x:c r="AB5082" s="87"/>
      <x:c r="AC5082" s="87" t="str">
        <x:v>VIS-EGKR-RUS-W25-TASK-957-P003</x:v>
      </x:c>
      <x:c r="AD5082" s="87" t="str">
        <x:v>VIS-EGKR-RUS-W25-KEY-ALL-P002</x:v>
      </x:c>
      <x:c r="AE5082" s="87" t="str">
        <x:v>TASK; KEY</x:v>
      </x:c>
      <x:c r="AF5082" s="87" t="str">
        <x:v>VIS-EGKR-RUS-W25-TASK-957-P003: 3; VIS-EGKR-RUS-W25-KEY-ALL-P002: 2</x:v>
      </x:c>
      <x:c r="AG5082" s="87" t="str">
        <x:v>RESOLVED</x:v>
      </x:c>
      <x:c r="AH5082" s="87" t="str">
        <x:v>CROP_VERIFIED</x:v>
      </x:c>
      <x:c r="AI5082" s="30"/>
      <x:c r="AJ5082" s="87" t="str">
        <x:v>clean</x:v>
      </x:c>
      <x:c r="AK5082" s="87" t="str">
        <x:v>clean-v0.10</x:v>
      </x:c>
      <x:c r="AL5082" s="87" t="str">
        <x:v>statgrad_clean_continuation_v0_10(1).xlsx</x:v>
      </x:c>
      <x:c r="AM5082" s="87" t="str">
        <x:v>RUS_EGKR_957</x:v>
      </x:c>
      <x:c r="AN5082" s="87" t="n">
        <x:v>7</x:v>
      </x:c>
    </x:row>
    <x:row r="5083">
      <x:c r="A5083" s="87" t="n">
        <x:v>5082</x:v>
      </x:c>
      <x:c r="B5083" s="87" t="str">
        <x:v>EGKR-W25-RUS-957-07</x:v>
      </x:c>
      <x:c r="C5083" s="87" t="str">
        <x:v>ЕГКР</x:v>
      </x:c>
      <x:c r="D5083" s="87"/>
      <x:c r="E5083" s="87" t="str">
        <x:v>Зима 2025</x:v>
      </x:c>
      <x:c r="F5083" s="87" t="str">
        <x:v>09.12.2025</x:v>
      </x:c>
      <x:c r="G5083" s="87" t="str">
        <x:v>Русский язык</x:v>
      </x:c>
      <x:c r="H5083" s="87" t="n">
        <x:v>11</x:v>
      </x:c>
      <x:c r="I5083" s="87"/>
      <x:c r="J5083" s="87" t="str">
        <x:v>957</x:v>
      </x:c>
      <x:c r="K5083" s="87" t="n">
        <x:v>7</x:v>
      </x:c>
      <x:c r="L5083" s="87" t="str">
        <x:v>Морфологические нормы</x:v>
      </x:c>
      <x:c r="M5083" s="30" t="str">
        <x:v>грамматическая ошибка. Исправьте ошибку и запишите слово правильно. ПОЛОЖИ в сумку ИХНИЙ брат пара НОСКОВ опытные ДИРЕКТОРА. ПЯТИСОТ участников Ответ: Е Копирсвание не допускается</x:v>
      </x:c>
      <x:c r="N5083" s="30" t="str">
        <x:v>их</x:v>
      </x:c>
      <x:c r="O5083" s="30" t="str">
        <x:v>Ответ перенесён из сводной таблицы и связан с исходным заданием.</x:v>
      </x:c>
      <x:c r="P5083" s="30"/>
      <x:c r="Q5083" s="30" t="str">
        <x:v>Ответ визуально сверён с таблицей ответов; условие привязано к исходной странице.</x:v>
      </x:c>
      <x:c r="R5083" s="30" t="str">
        <x:v>их</x:v>
      </x:c>
      <x:c r="S5083" s="30"/>
      <x:c r="T5083" s="30" t="str">
        <x:v>ОТВЕТЫ (2).docx</x:v>
      </x:c>
      <x:c r="U5083" s="30" t="str">
        <x:v>Расхождений с таблицей ответов не выявлено.</x:v>
      </x:c>
      <x:c r="V5083" s="87" t="str">
        <x:v>VERIFIED</x:v>
      </x:c>
      <x:c r="W5083" s="87"/>
      <x:c r="X5083" s="87"/>
      <x:c r="Y5083" s="87" t="n">
        <x:v>5</x:v>
      </x:c>
      <x:c r="Z5083" s="87" t="n">
        <x:v>3</x:v>
      </x:c>
      <x:c r="AA5083" s="87" t="str">
        <x:v>страница 2</x:v>
      </x:c>
      <x:c r="AB5083" s="87"/>
      <x:c r="AC5083" s="87" t="str">
        <x:v>VIS-EGKR-RUS-W25-TASK-957-P003</x:v>
      </x:c>
      <x:c r="AD5083" s="87" t="str">
        <x:v>VIS-EGKR-RUS-W25-KEY-ALL-P002</x:v>
      </x:c>
      <x:c r="AE5083" s="87" t="str">
        <x:v>TASK; KEY</x:v>
      </x:c>
      <x:c r="AF5083" s="87" t="str">
        <x:v>VIS-EGKR-RUS-W25-TASK-957-P003: 3; VIS-EGKR-RUS-W25-KEY-ALL-P002: 2</x:v>
      </x:c>
      <x:c r="AG5083" s="87" t="str">
        <x:v>RESOLVED</x:v>
      </x:c>
      <x:c r="AH5083" s="87" t="str">
        <x:v>CROP_VERIFIED</x:v>
      </x:c>
      <x:c r="AI5083" s="30"/>
      <x:c r="AJ5083" s="87" t="str">
        <x:v>clean</x:v>
      </x:c>
      <x:c r="AK5083" s="87" t="str">
        <x:v>clean-v0.10</x:v>
      </x:c>
      <x:c r="AL5083" s="87" t="str">
        <x:v>statgrad_clean_continuation_v0_10(1).xlsx</x:v>
      </x:c>
      <x:c r="AM5083" s="87" t="str">
        <x:v>RUS_EGKR_957</x:v>
      </x:c>
      <x:c r="AN5083" s="87" t="n">
        <x:v>8</x:v>
      </x:c>
    </x:row>
    <x:row r="5084">
      <x:c r="A5084" s="87" t="n">
        <x:v>5083</x:v>
      </x:c>
      <x:c r="B5084" s="87" t="str">
        <x:v>EGKR-W25-RUS-957-08</x:v>
      </x:c>
      <x:c r="C5084" s="87" t="str">
        <x:v>ЕГКР</x:v>
      </x:c>
      <x:c r="D5084" s="87"/>
      <x:c r="E5084" s="87" t="str">
        <x:v>Зима 2025</x:v>
      </x:c>
      <x:c r="F5084" s="87" t="str">
        <x:v>09.12.2025</x:v>
      </x:c>
      <x:c r="G5084" s="87" t="str">
        <x:v>Русский язык</x:v>
      </x:c>
      <x:c r="H5084" s="87" t="n">
        <x:v>11</x:v>
      </x:c>
      <x:c r="I5084" s="87"/>
      <x:c r="J5084" s="87" t="str">
        <x:v>957</x:v>
      </x:c>
      <x:c r="K5084" s="87" t="n">
        <x:v>8</x:v>
      </x:c>
      <x:c r="L5084" s="87" t="str">
        <x:v>Синтаксические нормы: соответствие ошибок</x:v>
      </x:c>
      <x:c r="M5084" s="30" t="str">
        <x:v>соответствие между грамматическими — ошибками и предложениями, в которых они допущены: к каждой позиции первого столбца подберите соответствующую позицию из второго столбца. | ГРАММАТИЧЕСКИЕ ПРЕДЛОЖЕНИЯ ОШИБКИ А) неправильное построение 1) Наши педагоги не только любят своих предложения выпускников, а также гордятся ими. с однородными членами 2) Случайно встретив друзей, ребятам стало Б) неправильное построение очень приятно и весело. предложения с косвенной 3) Пришедшие гости раньше назначенного речью времени помогли хозяевам накрыть В) нарушение в построении на стол. предложения 4) Водная экскурсия состоится при с несогласованным благоприятных погодных условиях. приложением. 5) В третьей главе романа А.С. Пушкина. Г) неправильное построение «Евгений Онегин» главный герой предложения спрашивает Ленского, что где ты свои с деепричастным оборотом проводишь вечера. Д) ошибка в построении 6) Acconanc — это один из видов звукописи, предложения повторение одинаковых гласных звуков с причастным оборотом в целях усиления выразительности художественной речи в поэзии, реже — в прозе. 7) В повести Л.Н. Толстого «Детстве» показано становление личности главного repos. 8) Переходя дорогу, будьте очень внимательны, убелитссь в полной | ‘безопасности. 9) Научно-методический семинар проходил согласно намеченному плану. Запишите в таблицу выбранные цифры под соответствующими буквами. | </x:v>
      </x:c>
      <x:c r="N5084" s="30" t="str">
        <x:v>15723</x:v>
      </x:c>
      <x:c r="O5084" s="30" t="str">
        <x:v>Ответ перенесён из сводной таблицы и связан с исходным заданием.</x:v>
      </x:c>
      <x:c r="P5084" s="30"/>
      <x:c r="Q5084" s="30" t="str">
        <x:v>Ответ визуально сверён с таблицей ответов; условие привязано к исходной странице.</x:v>
      </x:c>
      <x:c r="R5084" s="30" t="str">
        <x:v>15723</x:v>
      </x:c>
      <x:c r="S5084" s="30"/>
      <x:c r="T5084" s="30" t="str">
        <x:v>ОТВЕТЫ (2).docx</x:v>
      </x:c>
      <x:c r="U5084" s="30" t="str">
        <x:v>Расхождений с таблицей ответов не выявлено.</x:v>
      </x:c>
      <x:c r="V5084" s="87" t="str">
        <x:v>VERIFIED</x:v>
      </x:c>
      <x:c r="W5084" s="87"/>
      <x:c r="X5084" s="87"/>
      <x:c r="Y5084" s="87" t="n">
        <x:v>6</x:v>
      </x:c>
      <x:c r="Z5084" s="87" t="n">
        <x:v>3</x:v>
      </x:c>
      <x:c r="AA5084" s="87" t="str">
        <x:v>страница 2</x:v>
      </x:c>
      <x:c r="AB5084" s="87"/>
      <x:c r="AC5084" s="87" t="str">
        <x:v>VIS-EGKR-RUS-W25-TASK-957-P003</x:v>
      </x:c>
      <x:c r="AD5084" s="87" t="str">
        <x:v>VIS-EGKR-RUS-W25-KEY-ALL-P002</x:v>
      </x:c>
      <x:c r="AE5084" s="87" t="str">
        <x:v>TASK; KEY</x:v>
      </x:c>
      <x:c r="AF5084" s="87" t="str">
        <x:v>VIS-EGKR-RUS-W25-TASK-957-P003: 3; VIS-EGKR-RUS-W25-KEY-ALL-P002: 2</x:v>
      </x:c>
      <x:c r="AG5084" s="87" t="str">
        <x:v>RESOLVED</x:v>
      </x:c>
      <x:c r="AH5084" s="87" t="str">
        <x:v>CROP_VERIFIED</x:v>
      </x:c>
      <x:c r="AI5084" s="30"/>
      <x:c r="AJ5084" s="87" t="str">
        <x:v>clean</x:v>
      </x:c>
      <x:c r="AK5084" s="87" t="str">
        <x:v>clean-v0.10</x:v>
      </x:c>
      <x:c r="AL5084" s="87" t="str">
        <x:v>statgrad_clean_continuation_v0_10(1).xlsx</x:v>
      </x:c>
      <x:c r="AM5084" s="87" t="str">
        <x:v>RUS_EGKR_957</x:v>
      </x:c>
      <x:c r="AN5084" s="87" t="n">
        <x:v>9</x:v>
      </x:c>
    </x:row>
    <x:row r="5085">
      <x:c r="A5085" s="87" t="n">
        <x:v>5084</x:v>
      </x:c>
      <x:c r="B5085" s="87" t="str">
        <x:v>EGKR-W25-RUS-957-09</x:v>
      </x:c>
      <x:c r="C5085" s="87" t="str">
        <x:v>ЕГКР</x:v>
      </x:c>
      <x:c r="D5085" s="87"/>
      <x:c r="E5085" s="87" t="str">
        <x:v>Зима 2025</x:v>
      </x:c>
      <x:c r="F5085" s="87" t="str">
        <x:v>09.12.2025</x:v>
      </x:c>
      <x:c r="G5085" s="87" t="str">
        <x:v>Русский язык</x:v>
      </x:c>
      <x:c r="H5085" s="87" t="n">
        <x:v>11</x:v>
      </x:c>
      <x:c r="I5085" s="87"/>
      <x:c r="J5085" s="87" t="str">
        <x:v>957</x:v>
      </x:c>
      <x:c r="K5085" s="87" t="n">
        <x:v>9</x:v>
      </x:c>
      <x:c r="L5085" s="87" t="str">
        <x:v>Правописание корней</x:v>
      </x:c>
      <x:c r="M5085" s="30"/>
      <x:c r="N5085" s="30" t="str">
        <x:v>14</x:v>
      </x:c>
      <x:c r="O5085" s="30" t="str">
        <x:v>Ответ перенесён из сводной таблицы и связан с исходным заданием.</x:v>
      </x:c>
      <x:c r="P5085" s="30"/>
      <x:c r="Q5085" s="30" t="str">
        <x:v>Ответ визуально сверён с таблицей ответов; условие привязано к исходной странице.</x:v>
      </x:c>
      <x:c r="R5085" s="30" t="str">
        <x:v>14</x:v>
      </x:c>
      <x:c r="S5085" s="30"/>
      <x:c r="T5085" s="30" t="str">
        <x:v>ОТВЕТЫ (2).docx</x:v>
      </x:c>
      <x:c r="U5085" s="30" t="str">
        <x:v>Расхождений с таблицей ответов не выявлено.</x:v>
      </x:c>
      <x:c r="V5085" s="87" t="str">
        <x:v>VERIFIED</x:v>
      </x:c>
      <x:c r="W5085" s="87"/>
      <x:c r="X5085" s="87"/>
      <x:c r="Y5085" s="87" t="n">
        <x:v>7</x:v>
      </x:c>
      <x:c r="Z5085" s="87" t="n">
        <x:v>4</x:v>
      </x:c>
      <x:c r="AA5085" s="87" t="str">
        <x:v>страница 2</x:v>
      </x:c>
      <x:c r="AB5085" s="87"/>
      <x:c r="AC5085" s="87" t="str">
        <x:v>VIS-EGKR-RUS-W25-TASK-957-P004</x:v>
      </x:c>
      <x:c r="AD5085" s="87" t="str">
        <x:v>VIS-EGKR-RUS-W25-KEY-ALL-P002</x:v>
      </x:c>
      <x:c r="AE5085" s="87" t="str">
        <x:v>TASK; KEY</x:v>
      </x:c>
      <x:c r="AF5085" s="87" t="str">
        <x:v>VIS-EGKR-RUS-W25-TASK-957-P004: 4; VIS-EGKR-RUS-W25-KEY-ALL-P002: 2</x:v>
      </x:c>
      <x:c r="AG5085" s="87" t="str">
        <x:v>RESOLVED</x:v>
      </x:c>
      <x:c r="AH5085" s="87" t="str">
        <x:v>CROP_VERIFIED</x:v>
      </x:c>
      <x:c r="AI5085" s="30"/>
      <x:c r="AJ5085" s="87" t="str">
        <x:v>clean</x:v>
      </x:c>
      <x:c r="AK5085" s="87" t="str">
        <x:v>clean-v0.10</x:v>
      </x:c>
      <x:c r="AL5085" s="87" t="str">
        <x:v>statgrad_clean_continuation_v0_10(1).xlsx</x:v>
      </x:c>
      <x:c r="AM5085" s="87" t="str">
        <x:v>RUS_EGKR_957</x:v>
      </x:c>
      <x:c r="AN5085" s="87" t="n">
        <x:v>10</x:v>
      </x:c>
    </x:row>
    <x:row r="5086">
      <x:c r="A5086" s="87" t="n">
        <x:v>5085</x:v>
      </x:c>
      <x:c r="B5086" s="87" t="str">
        <x:v>EGKR-W25-RUS-957-10</x:v>
      </x:c>
      <x:c r="C5086" s="87" t="str">
        <x:v>ЕГКР</x:v>
      </x:c>
      <x:c r="D5086" s="87"/>
      <x:c r="E5086" s="87" t="str">
        <x:v>Зима 2025</x:v>
      </x:c>
      <x:c r="F5086" s="87" t="str">
        <x:v>09.12.2025</x:v>
      </x:c>
      <x:c r="G5086" s="87" t="str">
        <x:v>Русский язык</x:v>
      </x:c>
      <x:c r="H5086" s="87" t="n">
        <x:v>11</x:v>
      </x:c>
      <x:c r="I5086" s="87"/>
      <x:c r="J5086" s="87" t="str">
        <x:v>957</x:v>
      </x:c>
      <x:c r="K5086" s="87" t="n">
        <x:v>10</x:v>
      </x:c>
      <x:c r="L5086" s="87" t="str">
        <x:v>Правописание приставок и букв Ы/И</x:v>
      </x:c>
      <x:c r="M5086" s="30" t="str">
        <x:v>во всех словах одного ряда пропущена одна и та же буква. Запишите номера ответов. 1) пр..красное (выступление), пр..чулливый (узор), пр..одолеть (лень) 2) бе.вкусица, „держанный (характер), ра..считывать (на успех) 3) пр. детавление, пр. способление, непр..ступный (утёс) 4) (паучные) из.. скания, пред..стория, с..грать (вальс) 5) cy6..ekr, под..Фм, трёх. язычный (словарь) Ответ: г far] Укажите варианты ответов, в которых</x:v>
      </x:c>
      <x:c r="N5086" s="30" t="str">
        <x:v>45</x:v>
      </x:c>
      <x:c r="O5086" s="30" t="str">
        <x:v>Ответ перенесён из сводной таблицы и связан с исходным заданием.</x:v>
      </x:c>
      <x:c r="P5086" s="30"/>
      <x:c r="Q5086" s="30" t="str">
        <x:v>Ответ визуально сверён с таблицей ответов; условие привязано к исходной странице.</x:v>
      </x:c>
      <x:c r="R5086" s="30" t="str">
        <x:v>45</x:v>
      </x:c>
      <x:c r="S5086" s="30"/>
      <x:c r="T5086" s="30" t="str">
        <x:v>ОТВЕТЫ (2).docx</x:v>
      </x:c>
      <x:c r="U5086" s="30" t="str">
        <x:v>Расхождений с таблицей ответов не выявлено.</x:v>
      </x:c>
      <x:c r="V5086" s="87" t="str">
        <x:v>VERIFIED</x:v>
      </x:c>
      <x:c r="W5086" s="87"/>
      <x:c r="X5086" s="87"/>
      <x:c r="Y5086" s="87" t="n">
        <x:v>7</x:v>
      </x:c>
      <x:c r="Z5086" s="87" t="n">
        <x:v>4</x:v>
      </x:c>
      <x:c r="AA5086" s="87" t="str">
        <x:v>страница 2</x:v>
      </x:c>
      <x:c r="AB5086" s="87"/>
      <x:c r="AC5086" s="87" t="str">
        <x:v>VIS-EGKR-RUS-W25-TASK-957-P004</x:v>
      </x:c>
      <x:c r="AD5086" s="87" t="str">
        <x:v>VIS-EGKR-RUS-W25-KEY-ALL-P002</x:v>
      </x:c>
      <x:c r="AE5086" s="87" t="str">
        <x:v>TASK; KEY</x:v>
      </x:c>
      <x:c r="AF5086" s="87" t="str">
        <x:v>VIS-EGKR-RUS-W25-TASK-957-P004: 4; VIS-EGKR-RUS-W25-KEY-ALL-P002: 2</x:v>
      </x:c>
      <x:c r="AG5086" s="87" t="str">
        <x:v>RESOLVED</x:v>
      </x:c>
      <x:c r="AH5086" s="87" t="str">
        <x:v>CROP_VERIFIED</x:v>
      </x:c>
      <x:c r="AI5086" s="30"/>
      <x:c r="AJ5086" s="87" t="str">
        <x:v>clean</x:v>
      </x:c>
      <x:c r="AK5086" s="87" t="str">
        <x:v>clean-v0.10</x:v>
      </x:c>
      <x:c r="AL5086" s="87" t="str">
        <x:v>statgrad_clean_continuation_v0_10(1).xlsx</x:v>
      </x:c>
      <x:c r="AM5086" s="87" t="str">
        <x:v>RUS_EGKR_957</x:v>
      </x:c>
      <x:c r="AN5086" s="87" t="n">
        <x:v>11</x:v>
      </x:c>
    </x:row>
    <x:row r="5087">
      <x:c r="A5087" s="87" t="n">
        <x:v>5086</x:v>
      </x:c>
      <x:c r="B5087" s="87" t="str">
        <x:v>EGKR-W25-RUS-957-11</x:v>
      </x:c>
      <x:c r="C5087" s="87" t="str">
        <x:v>ЕГКР</x:v>
      </x:c>
      <x:c r="D5087" s="87"/>
      <x:c r="E5087" s="87" t="str">
        <x:v>Зима 2025</x:v>
      </x:c>
      <x:c r="F5087" s="87" t="str">
        <x:v>09.12.2025</x:v>
      </x:c>
      <x:c r="G5087" s="87" t="str">
        <x:v>Русский язык</x:v>
      </x:c>
      <x:c r="H5087" s="87" t="n">
        <x:v>11</x:v>
      </x:c>
      <x:c r="I5087" s="87"/>
      <x:c r="J5087" s="87" t="str">
        <x:v>957</x:v>
      </x:c>
      <x:c r="K5087" s="87" t="n">
        <x:v>11</x:v>
      </x:c>
      <x:c r="L5087" s="87" t="str">
        <x:v>Правописание суффиксов</x:v>
      </x:c>
      <x:c r="M5087" s="30" t="str">
        <x:v>в обоих словах одного ряда пропущена одна и та же буква. Запишите номера ответов. 1) человеч. ство, досто..нство 2) продл..вать (подписку), застр..вать 3) (молодой) красав..и, пугов..ца 4) улыбч.вый (человек), залив. стый (смех) 5) доклал..вать, приказ. вать Ответ: и . ©2025 ФТЕНУ "оедьральный институт педагогических измерений" VANFIP| RU</x:v>
      </x:c>
      <x:c r="N5087" s="30" t="str">
        <x:v>245</x:v>
      </x:c>
      <x:c r="O5087" s="30" t="str">
        <x:v>Ответ перенесён из сводной таблицы и связан с исходным заданием.</x:v>
      </x:c>
      <x:c r="P5087" s="30"/>
      <x:c r="Q5087" s="30" t="str">
        <x:v>Ответ визуально сверён с таблицей ответов; условие привязано к исходной странице.</x:v>
      </x:c>
      <x:c r="R5087" s="30" t="str">
        <x:v>245</x:v>
      </x:c>
      <x:c r="S5087" s="30"/>
      <x:c r="T5087" s="30" t="str">
        <x:v>ОТВЕТЫ (2).docx</x:v>
      </x:c>
      <x:c r="U5087" s="30" t="str">
        <x:v>Расхождений с таблицей ответов не выявлено.</x:v>
      </x:c>
      <x:c r="V5087" s="87" t="str">
        <x:v>VERIFIED</x:v>
      </x:c>
      <x:c r="W5087" s="87"/>
      <x:c r="X5087" s="87"/>
      <x:c r="Y5087" s="87" t="n">
        <x:v>7</x:v>
      </x:c>
      <x:c r="Z5087" s="87" t="n">
        <x:v>4</x:v>
      </x:c>
      <x:c r="AA5087" s="87" t="str">
        <x:v>страница 2</x:v>
      </x:c>
      <x:c r="AB5087" s="87"/>
      <x:c r="AC5087" s="87" t="str">
        <x:v>VIS-EGKR-RUS-W25-TASK-957-P004</x:v>
      </x:c>
      <x:c r="AD5087" s="87" t="str">
        <x:v>VIS-EGKR-RUS-W25-KEY-ALL-P002</x:v>
      </x:c>
      <x:c r="AE5087" s="87" t="str">
        <x:v>TASK; KEY</x:v>
      </x:c>
      <x:c r="AF5087" s="87" t="str">
        <x:v>VIS-EGKR-RUS-W25-TASK-957-P004: 4; VIS-EGKR-RUS-W25-KEY-ALL-P002: 2</x:v>
      </x:c>
      <x:c r="AG5087" s="87" t="str">
        <x:v>RESOLVED</x:v>
      </x:c>
      <x:c r="AH5087" s="87" t="str">
        <x:v>CROP_VERIFIED</x:v>
      </x:c>
      <x:c r="AI5087" s="30"/>
      <x:c r="AJ5087" s="87" t="str">
        <x:v>clean</x:v>
      </x:c>
      <x:c r="AK5087" s="87" t="str">
        <x:v>clean-v0.10</x:v>
      </x:c>
      <x:c r="AL5087" s="87" t="str">
        <x:v>statgrad_clean_continuation_v0_10(1).xlsx</x:v>
      </x:c>
      <x:c r="AM5087" s="87" t="str">
        <x:v>RUS_EGKR_957</x:v>
      </x:c>
      <x:c r="AN5087" s="87" t="n">
        <x:v>12</x:v>
      </x:c>
    </x:row>
    <x:row r="5088">
      <x:c r="A5088" s="87" t="n">
        <x:v>5087</x:v>
      </x:c>
      <x:c r="B5088" s="87" t="str">
        <x:v>EGKR-W25-RUS-957-12</x:v>
      </x:c>
      <x:c r="C5088" s="87" t="str">
        <x:v>ЕГКР</x:v>
      </x:c>
      <x:c r="D5088" s="87"/>
      <x:c r="E5088" s="87" t="str">
        <x:v>Зима 2025</x:v>
      </x:c>
      <x:c r="F5088" s="87" t="str">
        <x:v>09.12.2025</x:v>
      </x:c>
      <x:c r="G5088" s="87" t="str">
        <x:v>Русский язык</x:v>
      </x:c>
      <x:c r="H5088" s="87" t="n">
        <x:v>11</x:v>
      </x:c>
      <x:c r="I5088" s="87"/>
      <x:c r="J5088" s="87" t="str">
        <x:v>957</x:v>
      </x:c>
      <x:c r="K5088" s="87" t="n">
        <x:v>12</x:v>
      </x:c>
      <x:c r="L5088" s="87" t="str">
        <x:v>Личные окончания глаголов и суффиксы причастий</x:v>
      </x:c>
      <x:c r="M5088" s="30" t="str">
        <x:v>Задание №12. OCR-маркер не распознан; см. полную страницу источника. Укажите варианты ответов, в которых в обоих словах олного ряда пропущена одна и та же буква. Запишите номера ответов. 1) колыш..щийся (флаг), плещ. щиеся (в воде дети) | 2) (хорошо) сльш..шь, (внимательно) смотр. шь | 3) (художник) рису. т, (пианист) игра.л | 4) засе. иное (поле), законч..нная (работа) | 5) (они логично) рассужда. л, кле.щий (каранлаш) | | Ответ: . | | | Укажите варианты ответов, в которых HE (HM) © выделенным словом пишется РАЗДЕЛЬНО. Запишите номера ответов. 1) Как (НИ)СТАРАЛСЯ студент, всё равно у него не получалось приходить вовремя. 2) (НЕСМОТРЯ на дождь, экскурсия прошла успешно. 3) Психологи советуют находить положительные моменты даже в (НЕПРИЯТНОСТЯХ. 4) Оговорка докладчика не осталась (НЕ)ЗАМЕЧЕННОЙ слушателями. 5) (НИЧТО не сможет помешать осуществлению наших планов. </x:v>
      </x:c>
      <x:c r="N5088" s="30" t="str">
        <x:v>123</x:v>
      </x:c>
      <x:c r="O5088" s="30" t="str">
        <x:v>Ответ перенесён из сводной таблицы и связан с исходным заданием.</x:v>
      </x:c>
      <x:c r="P5088" s="30"/>
      <x:c r="Q5088" s="30" t="str">
        <x:v>Ответ визуально сверён с таблицей ответов; условие привязано к исходной странице.</x:v>
      </x:c>
      <x:c r="R5088" s="30" t="str">
        <x:v>123</x:v>
      </x:c>
      <x:c r="S5088" s="30"/>
      <x:c r="T5088" s="30" t="str">
        <x:v>ОТВЕТЫ (2).docx</x:v>
      </x:c>
      <x:c r="U5088" s="30" t="str">
        <x:v>Расхождений с таблицей ответов не выявлено.</x:v>
      </x:c>
      <x:c r="V5088" s="87" t="str">
        <x:v>VERIFIED</x:v>
      </x:c>
      <x:c r="W5088" s="87"/>
      <x:c r="X5088" s="87"/>
      <x:c r="Y5088" s="87" t="n">
        <x:v>8</x:v>
      </x:c>
      <x:c r="Z5088" s="87" t="n">
        <x:v>4</x:v>
      </x:c>
      <x:c r="AA5088" s="87" t="str">
        <x:v>страница 2</x:v>
      </x:c>
      <x:c r="AB5088" s="87"/>
      <x:c r="AC5088" s="87" t="str">
        <x:v>VIS-EGKR-RUS-W25-TASK-957-P004</x:v>
      </x:c>
      <x:c r="AD5088" s="87" t="str">
        <x:v>VIS-EGKR-RUS-W25-KEY-ALL-P002</x:v>
      </x:c>
      <x:c r="AE5088" s="87" t="str">
        <x:v>TASK; KEY</x:v>
      </x:c>
      <x:c r="AF5088" s="87" t="str">
        <x:v>VIS-EGKR-RUS-W25-TASK-957-P004: 4; VIS-EGKR-RUS-W25-KEY-ALL-P002: 2</x:v>
      </x:c>
      <x:c r="AG5088" s="87" t="str">
        <x:v>RESOLVED</x:v>
      </x:c>
      <x:c r="AH5088" s="87" t="str">
        <x:v>CROP_VERIFIED</x:v>
      </x:c>
      <x:c r="AI5088" s="30"/>
      <x:c r="AJ5088" s="87" t="str">
        <x:v>clean</x:v>
      </x:c>
      <x:c r="AK5088" s="87" t="str">
        <x:v>clean-v0.10</x:v>
      </x:c>
      <x:c r="AL5088" s="87" t="str">
        <x:v>statgrad_clean_continuation_v0_10(1).xlsx</x:v>
      </x:c>
      <x:c r="AM5088" s="87" t="str">
        <x:v>RUS_EGKR_957</x:v>
      </x:c>
      <x:c r="AN5088" s="87" t="n">
        <x:v>13</x:v>
      </x:c>
    </x:row>
    <x:row r="5089">
      <x:c r="A5089" s="87" t="n">
        <x:v>5088</x:v>
      </x:c>
      <x:c r="B5089" s="87" t="str">
        <x:v>EGKR-W25-RUS-957-13</x:v>
      </x:c>
      <x:c r="C5089" s="87" t="str">
        <x:v>ЕГКР</x:v>
      </x:c>
      <x:c r="D5089" s="87"/>
      <x:c r="E5089" s="87" t="str">
        <x:v>Зима 2025</x:v>
      </x:c>
      <x:c r="F5089" s="87" t="str">
        <x:v>09.12.2025</x:v>
      </x:c>
      <x:c r="G5089" s="87" t="str">
        <x:v>Русский язык</x:v>
      </x:c>
      <x:c r="H5089" s="87" t="n">
        <x:v>11</x:v>
      </x:c>
      <x:c r="I5089" s="87"/>
      <x:c r="J5089" s="87" t="str">
        <x:v>957</x:v>
      </x:c>
      <x:c r="K5089" s="87" t="n">
        <x:v>13</x:v>
      </x:c>
      <x:c r="L5089" s="87" t="str">
        <x:v>Правописание НЕ</x:v>
      </x:c>
      <x:c r="M5089" s="30" t="str">
        <x:v>Задание №13. OCR-маркер не распознан; см. полную страницу источника. Укажите варианты ответов, в которых в обоих словах олного ряда пропущена одна и та же буква. Запишите номера ответов. 1) колыш..щийся (флаг), плещ. щиеся (в воде дети) | 2) (хорошо) сльш..шь, (внимательно) смотр. шь | 3) (художник) рису. т, (пианист) игра.л | 4) засе. иное (поле), законч..нная (работа) | 5) (они логично) рассужда. л, кле.щий (каранлаш) | | Ответ: . | | | Укажите варианты ответов, в которых HE (HM) © выделенным словом пишется РАЗДЕЛЬНО. Запишите номера ответов. 1) Как (НИ)СТАРАЛСЯ студент, всё равно у него не получалось приходить вовремя. 2) (НЕСМОТРЯ на дождь, экскурсия прошла успешно. 3) Психологи советуют находить положительные моменты даже в (НЕПРИЯТНОСТЯХ. 4) Оговорка докладчика не осталась (НЕ)ЗАМЕЧЕННОЙ слушателями. 5) (НИЧТО не сможет помешать осуществлению наших планов. </x:v>
      </x:c>
      <x:c r="N5089" s="30" t="str">
        <x:v>14</x:v>
      </x:c>
      <x:c r="O5089" s="30" t="str">
        <x:v>Ответ перенесён из сводной таблицы и связан с исходным заданием.</x:v>
      </x:c>
      <x:c r="P5089" s="30"/>
      <x:c r="Q5089" s="30" t="str">
        <x:v>Ответ визуально сверён с таблицей ответов; условие привязано к исходной странице.</x:v>
      </x:c>
      <x:c r="R5089" s="30" t="str">
        <x:v>14</x:v>
      </x:c>
      <x:c r="S5089" s="30"/>
      <x:c r="T5089" s="30" t="str">
        <x:v>ОТВЕТЫ (2).docx</x:v>
      </x:c>
      <x:c r="U5089" s="30" t="str">
        <x:v>Расхождений с таблицей ответов не выявлено.</x:v>
      </x:c>
      <x:c r="V5089" s="87" t="str">
        <x:v>VERIFIED</x:v>
      </x:c>
      <x:c r="W5089" s="87"/>
      <x:c r="X5089" s="87"/>
      <x:c r="Y5089" s="87" t="n">
        <x:v>8</x:v>
      </x:c>
      <x:c r="Z5089" s="87" t="n">
        <x:v>4</x:v>
      </x:c>
      <x:c r="AA5089" s="87" t="str">
        <x:v>страница 2</x:v>
      </x:c>
      <x:c r="AB5089" s="87"/>
      <x:c r="AC5089" s="87" t="str">
        <x:v>VIS-EGKR-RUS-W25-TASK-957-P004</x:v>
      </x:c>
      <x:c r="AD5089" s="87" t="str">
        <x:v>VIS-EGKR-RUS-W25-KEY-ALL-P002</x:v>
      </x:c>
      <x:c r="AE5089" s="87" t="str">
        <x:v>TASK; KEY</x:v>
      </x:c>
      <x:c r="AF5089" s="87" t="str">
        <x:v>VIS-EGKR-RUS-W25-TASK-957-P004: 4; VIS-EGKR-RUS-W25-KEY-ALL-P002: 2</x:v>
      </x:c>
      <x:c r="AG5089" s="87" t="str">
        <x:v>RESOLVED</x:v>
      </x:c>
      <x:c r="AH5089" s="87" t="str">
        <x:v>CROP_VERIFIED</x:v>
      </x:c>
      <x:c r="AI5089" s="30"/>
      <x:c r="AJ5089" s="87" t="str">
        <x:v>clean</x:v>
      </x:c>
      <x:c r="AK5089" s="87" t="str">
        <x:v>clean-v0.10</x:v>
      </x:c>
      <x:c r="AL5089" s="87" t="str">
        <x:v>statgrad_clean_continuation_v0_10(1).xlsx</x:v>
      </x:c>
      <x:c r="AM5089" s="87" t="str">
        <x:v>RUS_EGKR_957</x:v>
      </x:c>
      <x:c r="AN5089" s="87" t="n">
        <x:v>14</x:v>
      </x:c>
    </x:row>
    <x:row r="5090">
      <x:c r="A5090" s="87" t="n">
        <x:v>5089</x:v>
      </x:c>
      <x:c r="B5090" s="87" t="str">
        <x:v>EGKR-W25-RUS-957-14</x:v>
      </x:c>
      <x:c r="C5090" s="87" t="str">
        <x:v>ЕГКР</x:v>
      </x:c>
      <x:c r="D5090" s="87"/>
      <x:c r="E5090" s="87" t="str">
        <x:v>Зима 2025</x:v>
      </x:c>
      <x:c r="F5090" s="87" t="str">
        <x:v>09.12.2025</x:v>
      </x:c>
      <x:c r="G5090" s="87" t="str">
        <x:v>Русский язык</x:v>
      </x:c>
      <x:c r="H5090" s="87" t="n">
        <x:v>11</x:v>
      </x:c>
      <x:c r="I5090" s="87"/>
      <x:c r="J5090" s="87" t="str">
        <x:v>957</x:v>
      </x:c>
      <x:c r="K5090" s="87" t="n">
        <x:v>14</x:v>
      </x:c>
      <x:c r="L5090" s="87" t="str">
        <x:v>Слитное, раздельное и дефисное написание</x:v>
      </x:c>
      <x:c r="M5090" s="30" t="str">
        <x:v>все выделенные слова пишутся СЛИТНО. Запишите номера ответов. 1) (ВТЕЧЕНИЕ дня профессор занимался изучением (СРЕДНЕВЕКОВЫХ рукописей. 2) (ВПОСЛЕДСТВИИ оказалось, что (PABHO)MEPHASI нагрузка помогает успешно подготовиться к экзамену. 3) (ОБЩЕИЗВЕСТНО, что осиовное (ПРОТИВОРЕЧИЕ переходного возраста — желание подростка стать взрослым. 4) (ЖЕЛЕЗНО)ДОРОЖНЫЙ туризм становится (ВСЁ)БОЛЕЕ популярным. 5) Старшая сестра надела (СВЕТЛОСИНИЙ костюм, младшая - (CEPEBPHCTO)YEPHOE платье. Ответ: _ . [8] Укажите цифрус-ы), на месте которой(-ых)</x:v>
      </x:c>
      <x:c r="N5090" s="30" t="str">
        <x:v>23</x:v>
      </x:c>
      <x:c r="O5090" s="30" t="str">
        <x:v>Ответ перенесён из сводной таблицы и связан с исходным заданием.</x:v>
      </x:c>
      <x:c r="P5090" s="30"/>
      <x:c r="Q5090" s="30" t="str">
        <x:v>Ответ визуально сверён с таблицей ответов; условие привязано к исходной странице.</x:v>
      </x:c>
      <x:c r="R5090" s="30" t="str">
        <x:v>23</x:v>
      </x:c>
      <x:c r="S5090" s="30"/>
      <x:c r="T5090" s="30" t="str">
        <x:v>ОТВЕТЫ (2).docx</x:v>
      </x:c>
      <x:c r="U5090" s="30" t="str">
        <x:v>Расхождений с таблицей ответов не выявлено.</x:v>
      </x:c>
      <x:c r="V5090" s="87" t="str">
        <x:v>VERIFIED</x:v>
      </x:c>
      <x:c r="W5090" s="87"/>
      <x:c r="X5090" s="87"/>
      <x:c r="Y5090" s="87" t="n">
        <x:v>9</x:v>
      </x:c>
      <x:c r="Z5090" s="87" t="n">
        <x:v>5</x:v>
      </x:c>
      <x:c r="AA5090" s="87" t="str">
        <x:v>страница 2</x:v>
      </x:c>
      <x:c r="AB5090" s="87"/>
      <x:c r="AC5090" s="87" t="str">
        <x:v>VIS-EGKR-RUS-W25-TASK-957-P005</x:v>
      </x:c>
      <x:c r="AD5090" s="87" t="str">
        <x:v>VIS-EGKR-RUS-W25-KEY-ALL-P002</x:v>
      </x:c>
      <x:c r="AE5090" s="87" t="str">
        <x:v>TASK; KEY</x:v>
      </x:c>
      <x:c r="AF5090" s="87" t="str">
        <x:v>VIS-EGKR-RUS-W25-TASK-957-P005: 5; VIS-EGKR-RUS-W25-KEY-ALL-P002: 2</x:v>
      </x:c>
      <x:c r="AG5090" s="87" t="str">
        <x:v>RESOLVED</x:v>
      </x:c>
      <x:c r="AH5090" s="87" t="str">
        <x:v>CROP_VERIFIED</x:v>
      </x:c>
      <x:c r="AI5090" s="30"/>
      <x:c r="AJ5090" s="87" t="str">
        <x:v>clean</x:v>
      </x:c>
      <x:c r="AK5090" s="87" t="str">
        <x:v>clean-v0.10</x:v>
      </x:c>
      <x:c r="AL5090" s="87" t="str">
        <x:v>statgrad_clean_continuation_v0_10(1).xlsx</x:v>
      </x:c>
      <x:c r="AM5090" s="87" t="str">
        <x:v>RUS_EGKR_957</x:v>
      </x:c>
      <x:c r="AN5090" s="87" t="n">
        <x:v>15</x:v>
      </x:c>
    </x:row>
    <x:row r="5091">
      <x:c r="A5091" s="87" t="n">
        <x:v>5090</x:v>
      </x:c>
      <x:c r="B5091" s="87" t="str">
        <x:v>EGKR-W25-RUS-957-15</x:v>
      </x:c>
      <x:c r="C5091" s="87" t="str">
        <x:v>ЕГКР</x:v>
      </x:c>
      <x:c r="D5091" s="87"/>
      <x:c r="E5091" s="87" t="str">
        <x:v>Зима 2025</x:v>
      </x:c>
      <x:c r="F5091" s="87" t="str">
        <x:v>09.12.2025</x:v>
      </x:c>
      <x:c r="G5091" s="87" t="str">
        <x:v>Русский язык</x:v>
      </x:c>
      <x:c r="H5091" s="87" t="n">
        <x:v>11</x:v>
      </x:c>
      <x:c r="I5091" s="87"/>
      <x:c r="J5091" s="87" t="str">
        <x:v>957</x:v>
      </x:c>
      <x:c r="K5091" s="87" t="n">
        <x:v>15</x:v>
      </x:c>
      <x:c r="L5091" s="87" t="str">
        <x:v>Правописание Н/НН</x:v>
      </x:c>
      <x:c r="M5091" s="30" t="str">
        <x:v>пишется НН. Ha стекля(Г)ом блюде лежали жаре@)ый картофель, солё(З)ые огурцы и маринова(4)ые грибы. Ответ: . Укажите прелложения, в которых</x:v>
      </x:c>
      <x:c r="N5091" s="30" t="str">
        <x:v>14</x:v>
      </x:c>
      <x:c r="O5091" s="30" t="str">
        <x:v>Ответ перенесён из сводной таблицы и связан с исходным заданием.</x:v>
      </x:c>
      <x:c r="P5091" s="30"/>
      <x:c r="Q5091" s="30" t="str">
        <x:v>Ответ визуально сверён с таблицей ответов; условие привязано к исходной странице.</x:v>
      </x:c>
      <x:c r="R5091" s="30" t="str">
        <x:v>14</x:v>
      </x:c>
      <x:c r="S5091" s="30"/>
      <x:c r="T5091" s="30" t="str">
        <x:v>ОТВЕТЫ (2).docx</x:v>
      </x:c>
      <x:c r="U5091" s="30" t="str">
        <x:v>Расхождений с таблицей ответов не выявлено.</x:v>
      </x:c>
      <x:c r="V5091" s="87" t="str">
        <x:v>VERIFIED</x:v>
      </x:c>
      <x:c r="W5091" s="87"/>
      <x:c r="X5091" s="87"/>
      <x:c r="Y5091" s="87" t="n">
        <x:v>9</x:v>
      </x:c>
      <x:c r="Z5091" s="87" t="n">
        <x:v>5</x:v>
      </x:c>
      <x:c r="AA5091" s="87" t="str">
        <x:v>страница 2</x:v>
      </x:c>
      <x:c r="AB5091" s="87"/>
      <x:c r="AC5091" s="87" t="str">
        <x:v>VIS-EGKR-RUS-W25-TASK-957-P005</x:v>
      </x:c>
      <x:c r="AD5091" s="87" t="str">
        <x:v>VIS-EGKR-RUS-W25-KEY-ALL-P002</x:v>
      </x:c>
      <x:c r="AE5091" s="87" t="str">
        <x:v>TASK; KEY</x:v>
      </x:c>
      <x:c r="AF5091" s="87" t="str">
        <x:v>VIS-EGKR-RUS-W25-TASK-957-P005: 5; VIS-EGKR-RUS-W25-KEY-ALL-P002: 2</x:v>
      </x:c>
      <x:c r="AG5091" s="87" t="str">
        <x:v>RESOLVED</x:v>
      </x:c>
      <x:c r="AH5091" s="87" t="str">
        <x:v>CROP_VERIFIED</x:v>
      </x:c>
      <x:c r="AI5091" s="30"/>
      <x:c r="AJ5091" s="87" t="str">
        <x:v>clean</x:v>
      </x:c>
      <x:c r="AK5091" s="87" t="str">
        <x:v>clean-v0.10</x:v>
      </x:c>
      <x:c r="AL5091" s="87" t="str">
        <x:v>statgrad_clean_continuation_v0_10(1).xlsx</x:v>
      </x:c>
      <x:c r="AM5091" s="87" t="str">
        <x:v>RUS_EGKR_957</x:v>
      </x:c>
      <x:c r="AN5091" s="87" t="n">
        <x:v>16</x:v>
      </x:c>
    </x:row>
    <x:row r="5092">
      <x:c r="A5092" s="87" t="n">
        <x:v>5091</x:v>
      </x:c>
      <x:c r="B5092" s="87" t="str">
        <x:v>EGKR-W25-RUS-957-16</x:v>
      </x:c>
      <x:c r="C5092" s="87" t="str">
        <x:v>ЕГКР</x:v>
      </x:c>
      <x:c r="D5092" s="87"/>
      <x:c r="E5092" s="87" t="str">
        <x:v>Зима 2025</x:v>
      </x:c>
      <x:c r="F5092" s="87" t="str">
        <x:v>09.12.2025</x:v>
      </x:c>
      <x:c r="G5092" s="87" t="str">
        <x:v>Русский язык</x:v>
      </x:c>
      <x:c r="H5092" s="87" t="n">
        <x:v>11</x:v>
      </x:c>
      <x:c r="I5092" s="87"/>
      <x:c r="J5092" s="87" t="str">
        <x:v>957</x:v>
      </x:c>
      <x:c r="K5092" s="87" t="n">
        <x:v>16</x:v>
      </x:c>
      <x:c r="L5092" s="87" t="str">
        <x:v>Пунктуация в простом и сложносочинённом предложении</x:v>
      </x:c>
      <x:c r="M5092" s="30" t="str">
        <x:v>нужно поставить ОДНУ запятую. Запишите номера этих предложений. 1) Bo всякой книге предисловие есть первая и вместе с тем последняя вещь. 2) Предисловие служит или объяснением цели сочинения или оправданием и ответом на критику. 3) Наша публика не угалывает шутки не чувствует иронии. 4) Эта книга испьмала на себе ешё недавно несчастную доверчивость некоторых читателей и даже журналов к буквальному значению слов. 5) Разговор этим кончился и мы продолжали молча идти друг полле друга. Ответ: : (02028 ЭГБНУ-едоральный институт negaronnecanvanepemh WNW FPLRU</x:v>
      </x:c>
      <x:c r="N5092" s="30" t="str">
        <x:v>235</x:v>
      </x:c>
      <x:c r="O5092" s="30" t="str">
        <x:v>Ответ перенесён из сводной таблицы и связан с исходным заданием.</x:v>
      </x:c>
      <x:c r="P5092" s="30"/>
      <x:c r="Q5092" s="30" t="str">
        <x:v>Ответ визуально сверён с таблицей ответов; условие привязано к исходной странице.</x:v>
      </x:c>
      <x:c r="R5092" s="30" t="str">
        <x:v>235</x:v>
      </x:c>
      <x:c r="S5092" s="30"/>
      <x:c r="T5092" s="30" t="str">
        <x:v>ОТВЕТЫ (2).docx</x:v>
      </x:c>
      <x:c r="U5092" s="30" t="str">
        <x:v>Расхождений с таблицей ответов не выявлено.</x:v>
      </x:c>
      <x:c r="V5092" s="87" t="str">
        <x:v>VERIFIED</x:v>
      </x:c>
      <x:c r="W5092" s="87"/>
      <x:c r="X5092" s="87"/>
      <x:c r="Y5092" s="87" t="n">
        <x:v>9</x:v>
      </x:c>
      <x:c r="Z5092" s="87" t="n">
        <x:v>5</x:v>
      </x:c>
      <x:c r="AA5092" s="87" t="str">
        <x:v>страница 2</x:v>
      </x:c>
      <x:c r="AB5092" s="87"/>
      <x:c r="AC5092" s="87" t="str">
        <x:v>VIS-EGKR-RUS-W25-TASK-957-P005</x:v>
      </x:c>
      <x:c r="AD5092" s="87" t="str">
        <x:v>VIS-EGKR-RUS-W25-KEY-ALL-P002</x:v>
      </x:c>
      <x:c r="AE5092" s="87" t="str">
        <x:v>TASK; KEY</x:v>
      </x:c>
      <x:c r="AF5092" s="87" t="str">
        <x:v>VIS-EGKR-RUS-W25-TASK-957-P005: 5; VIS-EGKR-RUS-W25-KEY-ALL-P002: 2</x:v>
      </x:c>
      <x:c r="AG5092" s="87" t="str">
        <x:v>RESOLVED</x:v>
      </x:c>
      <x:c r="AH5092" s="87" t="str">
        <x:v>CROP_VERIFIED</x:v>
      </x:c>
      <x:c r="AI5092" s="30"/>
      <x:c r="AJ5092" s="87" t="str">
        <x:v>clean</x:v>
      </x:c>
      <x:c r="AK5092" s="87" t="str">
        <x:v>clean-v0.10</x:v>
      </x:c>
      <x:c r="AL5092" s="87" t="str">
        <x:v>statgrad_clean_continuation_v0_10(1).xlsx</x:v>
      </x:c>
      <x:c r="AM5092" s="87" t="str">
        <x:v>RUS_EGKR_957</x:v>
      </x:c>
      <x:c r="AN5092" s="87" t="n">
        <x:v>17</x:v>
      </x:c>
    </x:row>
    <x:row r="5093">
      <x:c r="A5093" s="87" t="n">
        <x:v>5092</x:v>
      </x:c>
      <x:c r="B5093" s="87" t="str">
        <x:v>EGKR-W25-RUS-957-17</x:v>
      </x:c>
      <x:c r="C5093" s="87" t="str">
        <x:v>ЕГКР</x:v>
      </x:c>
      <x:c r="D5093" s="87"/>
      <x:c r="E5093" s="87" t="str">
        <x:v>Зима 2025</x:v>
      </x:c>
      <x:c r="F5093" s="87" t="str">
        <x:v>09.12.2025</x:v>
      </x:c>
      <x:c r="G5093" s="87" t="str">
        <x:v>Русский язык</x:v>
      </x:c>
      <x:c r="H5093" s="87" t="n">
        <x:v>11</x:v>
      </x:c>
      <x:c r="I5093" s="87"/>
      <x:c r="J5093" s="87" t="str">
        <x:v>957</x:v>
      </x:c>
      <x:c r="K5093" s="87" t="n">
        <x:v>17</x:v>
      </x:c>
      <x:c r="L5093" s="87" t="str">
        <x:v>Обособленные определения и обстоятельства</x:v>
      </x:c>
      <x:c r="M5093" s="30" t="str">
        <x:v>должна(-ы) стоять запятая(-ые). За ущельем и впереди нас тёмно-синие вершины гор (1) изрытые морщинами (2) покрытые слоями снега (3) рисовались на бледном небосклоне (4) ещё сохранявшем (5) последний отблеск зари. (По М.Ю. Лермонтову) Ответ: Укажите пифру(-ы), на месте которой(-ых)</x:v>
      </x:c>
      <x:c r="N5093" s="30" t="str">
        <x:v>1234</x:v>
      </x:c>
      <x:c r="O5093" s="30" t="str">
        <x:v>Ответ перенесён из сводной таблицы и связан с исходным заданием.</x:v>
      </x:c>
      <x:c r="P5093" s="30"/>
      <x:c r="Q5093" s="30" t="str">
        <x:v>Ответ визуально сверён с таблицей ответов; условие привязано к исходной странице.</x:v>
      </x:c>
      <x:c r="R5093" s="30" t="str">
        <x:v>1234</x:v>
      </x:c>
      <x:c r="S5093" s="30"/>
      <x:c r="T5093" s="30" t="str">
        <x:v>ОТВЕТЫ (2).docx</x:v>
      </x:c>
      <x:c r="U5093" s="30" t="str">
        <x:v>Расхождений с таблицей ответов не выявлено.</x:v>
      </x:c>
      <x:c r="V5093" s="87" t="str">
        <x:v>VERIFIED</x:v>
      </x:c>
      <x:c r="W5093" s="87"/>
      <x:c r="X5093" s="87"/>
      <x:c r="Y5093" s="87" t="n">
        <x:v>10</x:v>
      </x:c>
      <x:c r="Z5093" s="87" t="n">
        <x:v>5</x:v>
      </x:c>
      <x:c r="AA5093" s="87" t="str">
        <x:v>страница 2</x:v>
      </x:c>
      <x:c r="AB5093" s="87"/>
      <x:c r="AC5093" s="87" t="str">
        <x:v>VIS-EGKR-RUS-W25-TASK-957-P005</x:v>
      </x:c>
      <x:c r="AD5093" s="87" t="str">
        <x:v>VIS-EGKR-RUS-W25-KEY-ALL-P002</x:v>
      </x:c>
      <x:c r="AE5093" s="87" t="str">
        <x:v>TASK; KEY</x:v>
      </x:c>
      <x:c r="AF5093" s="87" t="str">
        <x:v>VIS-EGKR-RUS-W25-TASK-957-P005: 5; VIS-EGKR-RUS-W25-KEY-ALL-P002: 2</x:v>
      </x:c>
      <x:c r="AG5093" s="87" t="str">
        <x:v>RESOLVED</x:v>
      </x:c>
      <x:c r="AH5093" s="87" t="str">
        <x:v>CROP_VERIFIED</x:v>
      </x:c>
      <x:c r="AI5093" s="30"/>
      <x:c r="AJ5093" s="87" t="str">
        <x:v>clean</x:v>
      </x:c>
      <x:c r="AK5093" s="87" t="str">
        <x:v>clean-v0.10</x:v>
      </x:c>
      <x:c r="AL5093" s="87" t="str">
        <x:v>statgrad_clean_continuation_v0_10(1).xlsx</x:v>
      </x:c>
      <x:c r="AM5093" s="87" t="str">
        <x:v>RUS_EGKR_957</x:v>
      </x:c>
      <x:c r="AN5093" s="87" t="n">
        <x:v>18</x:v>
      </x:c>
    </x:row>
    <x:row r="5094">
      <x:c r="A5094" s="87" t="n">
        <x:v>5093</x:v>
      </x:c>
      <x:c r="B5094" s="87" t="str">
        <x:v>EGKR-W25-RUS-957-18</x:v>
      </x:c>
      <x:c r="C5094" s="87" t="str">
        <x:v>ЕГКР</x:v>
      </x:c>
      <x:c r="D5094" s="87"/>
      <x:c r="E5094" s="87" t="str">
        <x:v>Зима 2025</x:v>
      </x:c>
      <x:c r="F5094" s="87" t="str">
        <x:v>09.12.2025</x:v>
      </x:c>
      <x:c r="G5094" s="87" t="str">
        <x:v>Русский язык</x:v>
      </x:c>
      <x:c r="H5094" s="87" t="n">
        <x:v>11</x:v>
      </x:c>
      <x:c r="I5094" s="87"/>
      <x:c r="J5094" s="87" t="str">
        <x:v>957</x:v>
      </x:c>
      <x:c r="K5094" s="87" t="n">
        <x:v>18</x:v>
      </x:c>
      <x:c r="L5094" s="87" t="str">
        <x:v>Вводные слова и обращения</x:v>
      </x:c>
      <x:c r="M5094" s="30" t="str">
        <x:v>должна(-ы) стоять запятая(-ые). Каждый день слышу про (1) вас (2) и всё собираюсь к вам потолковать (3) как говорится (4) по душам... Голубчик (5) позвольте с вами поговорить. (По А.П. Чехову) Omer; Укажите цифру(-ы), на месте которой(-ых)</x:v>
      </x:c>
      <x:c r="N5094" s="30" t="str">
        <x:v>2345</x:v>
      </x:c>
      <x:c r="O5094" s="30" t="str">
        <x:v>Ответ перенесён из сводной таблицы и связан с исходным заданием.</x:v>
      </x:c>
      <x:c r="P5094" s="30"/>
      <x:c r="Q5094" s="30" t="str">
        <x:v>Ответ визуально сверён с таблицей ответов; условие привязано к исходной странице.</x:v>
      </x:c>
      <x:c r="R5094" s="30" t="str">
        <x:v>2345</x:v>
      </x:c>
      <x:c r="S5094" s="30"/>
      <x:c r="T5094" s="30" t="str">
        <x:v>ОТВЕТЫ (2).docx</x:v>
      </x:c>
      <x:c r="U5094" s="30" t="str">
        <x:v>Расхождений с таблицей ответов не выявлено.</x:v>
      </x:c>
      <x:c r="V5094" s="87" t="str">
        <x:v>VERIFIED</x:v>
      </x:c>
      <x:c r="W5094" s="87"/>
      <x:c r="X5094" s="87"/>
      <x:c r="Y5094" s="87" t="n">
        <x:v>10</x:v>
      </x:c>
      <x:c r="Z5094" s="87" t="n">
        <x:v>5</x:v>
      </x:c>
      <x:c r="AA5094" s="87" t="str">
        <x:v>страница 2</x:v>
      </x:c>
      <x:c r="AB5094" s="87"/>
      <x:c r="AC5094" s="87" t="str">
        <x:v>VIS-EGKR-RUS-W25-TASK-957-P005</x:v>
      </x:c>
      <x:c r="AD5094" s="87" t="str">
        <x:v>VIS-EGKR-RUS-W25-KEY-ALL-P002</x:v>
      </x:c>
      <x:c r="AE5094" s="87" t="str">
        <x:v>TASK; KEY</x:v>
      </x:c>
      <x:c r="AF5094" s="87" t="str">
        <x:v>VIS-EGKR-RUS-W25-TASK-957-P005: 5; VIS-EGKR-RUS-W25-KEY-ALL-P002: 2</x:v>
      </x:c>
      <x:c r="AG5094" s="87" t="str">
        <x:v>RESOLVED</x:v>
      </x:c>
      <x:c r="AH5094" s="87" t="str">
        <x:v>CROP_VERIFIED</x:v>
      </x:c>
      <x:c r="AI5094" s="30"/>
      <x:c r="AJ5094" s="87" t="str">
        <x:v>clean</x:v>
      </x:c>
      <x:c r="AK5094" s="87" t="str">
        <x:v>clean-v0.10</x:v>
      </x:c>
      <x:c r="AL5094" s="87" t="str">
        <x:v>statgrad_clean_continuation_v0_10(1).xlsx</x:v>
      </x:c>
      <x:c r="AM5094" s="87" t="str">
        <x:v>RUS_EGKR_957</x:v>
      </x:c>
      <x:c r="AN5094" s="87" t="n">
        <x:v>19</x:v>
      </x:c>
    </x:row>
    <x:row r="5095">
      <x:c r="A5095" s="87" t="n">
        <x:v>5094</x:v>
      </x:c>
      <x:c r="B5095" s="87" t="str">
        <x:v>EGKR-W25-RUS-957-19</x:v>
      </x:c>
      <x:c r="C5095" s="87" t="str">
        <x:v>ЕГКР</x:v>
      </x:c>
      <x:c r="D5095" s="87"/>
      <x:c r="E5095" s="87" t="str">
        <x:v>Зима 2025</x:v>
      </x:c>
      <x:c r="F5095" s="87" t="str">
        <x:v>09.12.2025</x:v>
      </x:c>
      <x:c r="G5095" s="87" t="str">
        <x:v>Русский язык</x:v>
      </x:c>
      <x:c r="H5095" s="87" t="n">
        <x:v>11</x:v>
      </x:c>
      <x:c r="I5095" s="87"/>
      <x:c r="J5095" s="87" t="str">
        <x:v>957</x:v>
      </x:c>
      <x:c r="K5095" s="87" t="n">
        <x:v>19</x:v>
      </x:c>
      <x:c r="L5095" s="87" t="str">
        <x:v>Знаки препинания в сложноподчинённом предложении</x:v>
      </x:c>
      <x:c r="M5095" s="30" t="str">
        <x:v>должна(-ы) стоять запятая(-ые). Публика ещё не знает (1) что в порядочном обществе и в порядочной книге явная брань не может иметь места (2) и (3) что современная образованность изобрела орудие более острое (4) которое, под одеждою лести, наносит неотразимый и верный удар. (По М.Ю. Лермонтову) Ответ: г</x:v>
      </x:c>
      <x:c r="N5095" s="30" t="str">
        <x:v>1234</x:v>
      </x:c>
      <x:c r="O5095" s="30" t="str">
        <x:v>Ответ перенесён из сводной таблицы и связан с исходным заданием.</x:v>
      </x:c>
      <x:c r="P5095" s="30"/>
      <x:c r="Q5095" s="30" t="str">
        <x:v>Ответ визуально сверён с таблицей ответов; условие привязано к исходной странице.</x:v>
      </x:c>
      <x:c r="R5095" s="30" t="str">
        <x:v>1234</x:v>
      </x:c>
      <x:c r="S5095" s="30"/>
      <x:c r="T5095" s="30" t="str">
        <x:v>ОТВЕТЫ (2).docx</x:v>
      </x:c>
      <x:c r="U5095" s="30" t="str">
        <x:v>Расхождений с таблицей ответов не выявлено.</x:v>
      </x:c>
      <x:c r="V5095" s="87" t="str">
        <x:v>VERIFIED</x:v>
      </x:c>
      <x:c r="W5095" s="87"/>
      <x:c r="X5095" s="87"/>
      <x:c r="Y5095" s="87" t="n">
        <x:v>10</x:v>
      </x:c>
      <x:c r="Z5095" s="87" t="n">
        <x:v>5</x:v>
      </x:c>
      <x:c r="AA5095" s="87" t="str">
        <x:v>страница 2</x:v>
      </x:c>
      <x:c r="AB5095" s="87"/>
      <x:c r="AC5095" s="87" t="str">
        <x:v>VIS-EGKR-RUS-W25-TASK-957-P005</x:v>
      </x:c>
      <x:c r="AD5095" s="87" t="str">
        <x:v>VIS-EGKR-RUS-W25-KEY-ALL-P002</x:v>
      </x:c>
      <x:c r="AE5095" s="87" t="str">
        <x:v>TASK; KEY</x:v>
      </x:c>
      <x:c r="AF5095" s="87" t="str">
        <x:v>VIS-EGKR-RUS-W25-TASK-957-P005: 5; VIS-EGKR-RUS-W25-KEY-ALL-P002: 2</x:v>
      </x:c>
      <x:c r="AG5095" s="87" t="str">
        <x:v>RESOLVED</x:v>
      </x:c>
      <x:c r="AH5095" s="87" t="str">
        <x:v>CROP_VERIFIED</x:v>
      </x:c>
      <x:c r="AI5095" s="30"/>
      <x:c r="AJ5095" s="87" t="str">
        <x:v>clean</x:v>
      </x:c>
      <x:c r="AK5095" s="87" t="str">
        <x:v>clean-v0.10</x:v>
      </x:c>
      <x:c r="AL5095" s="87" t="str">
        <x:v>statgrad_clean_continuation_v0_10(1).xlsx</x:v>
      </x:c>
      <x:c r="AM5095" s="87" t="str">
        <x:v>RUS_EGKR_957</x:v>
      </x:c>
      <x:c r="AN5095" s="87" t="n">
        <x:v>20</x:v>
      </x:c>
    </x:row>
    <x:row r="5096">
      <x:c r="A5096" s="87" t="n">
        <x:v>5095</x:v>
      </x:c>
      <x:c r="B5096" s="87" t="str">
        <x:v>EGKR-W25-RUS-957-20</x:v>
      </x:c>
      <x:c r="C5096" s="87" t="str">
        <x:v>ЕГКР</x:v>
      </x:c>
      <x:c r="D5096" s="87"/>
      <x:c r="E5096" s="87" t="str">
        <x:v>Зима 2025</x:v>
      </x:c>
      <x:c r="F5096" s="87" t="str">
        <x:v>09.12.2025</x:v>
      </x:c>
      <x:c r="G5096" s="87" t="str">
        <x:v>Русский язык</x:v>
      </x:c>
      <x:c r="H5096" s="87" t="n">
        <x:v>11</x:v>
      </x:c>
      <x:c r="I5096" s="87"/>
      <x:c r="J5096" s="87" t="str">
        <x:v>957</x:v>
      </x:c>
      <x:c r="K5096" s="87" t="n">
        <x:v>20</x:v>
      </x:c>
      <x:c r="L5096" s="87" t="str">
        <x:v>Знаки препинания в сложном предложении</x:v>
      </x:c>
      <x:c r="M5096" s="30" t="str">
        <x:v>должна(-ы) стоять запятая(-ые). Не находите ли вы (1) что (2) если бы (3) силу воли вы затратили на что-нибудь другое (4) то ваша жизнь была бы продуктивнее во всех отношениях? (По АЛ. Чехову) Ответ: к</x:v>
      </x:c>
      <x:c r="N5096" s="30" t="str">
        <x:v>14</x:v>
      </x:c>
      <x:c r="O5096" s="30" t="str">
        <x:v>Ответ перенесён из сводной таблицы и связан с исходным заданием.</x:v>
      </x:c>
      <x:c r="P5096" s="30"/>
      <x:c r="Q5096" s="30" t="str">
        <x:v>Ответ визуально сверён с таблицей ответов; условие привязано к исходной странице.</x:v>
      </x:c>
      <x:c r="R5096" s="30" t="str">
        <x:v>14</x:v>
      </x:c>
      <x:c r="S5096" s="30"/>
      <x:c r="T5096" s="30" t="str">
        <x:v>ОТВЕТЫ (2).docx</x:v>
      </x:c>
      <x:c r="U5096" s="30" t="str">
        <x:v>Расхождений с таблицей ответов не выявлено.</x:v>
      </x:c>
      <x:c r="V5096" s="87" t="str">
        <x:v>VERIFIED</x:v>
      </x:c>
      <x:c r="W5096" s="87"/>
      <x:c r="X5096" s="87"/>
      <x:c r="Y5096" s="87" t="n">
        <x:v>11</x:v>
      </x:c>
      <x:c r="Z5096" s="87" t="n">
        <x:v>6</x:v>
      </x:c>
      <x:c r="AA5096" s="87" t="str">
        <x:v>страница 2</x:v>
      </x:c>
      <x:c r="AB5096" s="87"/>
      <x:c r="AC5096" s="87" t="str">
        <x:v>VIS-EGKR-RUS-W25-TASK-957-P006</x:v>
      </x:c>
      <x:c r="AD5096" s="87" t="str">
        <x:v>VIS-EGKR-RUS-W25-KEY-ALL-P002</x:v>
      </x:c>
      <x:c r="AE5096" s="87" t="str">
        <x:v>TASK; KEY</x:v>
      </x:c>
      <x:c r="AF5096" s="87" t="str">
        <x:v>VIS-EGKR-RUS-W25-TASK-957-P006: 6; VIS-EGKR-RUS-W25-KEY-ALL-P002: 2</x:v>
      </x:c>
      <x:c r="AG5096" s="87" t="str">
        <x:v>RESOLVED</x:v>
      </x:c>
      <x:c r="AH5096" s="87" t="str">
        <x:v>CROP_VERIFIED</x:v>
      </x:c>
      <x:c r="AI5096" s="30"/>
      <x:c r="AJ5096" s="87" t="str">
        <x:v>clean</x:v>
      </x:c>
      <x:c r="AK5096" s="87" t="str">
        <x:v>clean-v0.10</x:v>
      </x:c>
      <x:c r="AL5096" s="87" t="str">
        <x:v>statgrad_clean_continuation_v0_10(1).xlsx</x:v>
      </x:c>
      <x:c r="AM5096" s="87" t="str">
        <x:v>RUS_EGKR_957</x:v>
      </x:c>
      <x:c r="AN5096" s="87" t="n">
        <x:v>21</x:v>
      </x:c>
    </x:row>
    <x:row r="5097">
      <x:c r="A5097" s="87" t="n">
        <x:v>5096</x:v>
      </x:c>
      <x:c r="B5097" s="87" t="str">
        <x:v>EGKR-W25-RUS-957-21</x:v>
      </x:c>
      <x:c r="C5097" s="87" t="str">
        <x:v>ЕГКР</x:v>
      </x:c>
      <x:c r="D5097" s="87"/>
      <x:c r="E5097" s="87" t="str">
        <x:v>Зима 2025</x:v>
      </x:c>
      <x:c r="F5097" s="87" t="str">
        <x:v>09.12.2025</x:v>
      </x:c>
      <x:c r="G5097" s="87" t="str">
        <x:v>Русский язык</x:v>
      </x:c>
      <x:c r="H5097" s="87" t="n">
        <x:v>11</x:v>
      </x:c>
      <x:c r="I5097" s="87"/>
      <x:c r="J5097" s="87" t="str">
        <x:v>957</x:v>
      </x:c>
      <x:c r="K5097" s="87" t="n">
        <x:v>21</x:v>
      </x:c>
      <x:c r="L5097" s="87" t="str">
        <x:v>Пунктуационный анализ</x:v>
      </x:c>
      <x:c r="M5097" s="30" t="str">
        <x:v>Найдите предложения в которых запятаясые) — ставится(-ятся) в соответствии с одним и тем же правилом пунктуации. Запишите номера. этих предложений. (ПГерой Нашего Времени, милостивые государи мои, точно, портрет: это портрет, составленный из пороков всего нашего поколения, в полном их развитии. (2)Вы мне опять скажете, что человек не может быть так дурев, а я вам скажу, что, ежели вы верили возможности существования всех трагических и романтических злодеев, отчего же вы не веруете в действительность Печорина? (3)Если вы любовались вымыслами гораздо более ужасными и уролливыми, отчего же этот характер не находит у вас пощалы? (4)Уж не оттого ли, что в нём больше правды, нежели бы вы того желали?.. (По М.Ю. Лермонтову) Ответ: ‘ © 2025 ФИБНУ ‘редиральный институт подагиичесих ирмрений WAW-FIPLRU “orupona.e мо aonyexsoren</x:v>
      </x:c>
      <x:c r="N5097" s="30" t="str">
        <x:v>234</x:v>
      </x:c>
      <x:c r="O5097" s="30" t="str">
        <x:v>Ответ перенесён из сводной таблицы и связан с исходным заданием.</x:v>
      </x:c>
      <x:c r="P5097" s="30"/>
      <x:c r="Q5097" s="30" t="str">
        <x:v>Ответ визуально сверён с таблицей ответов; условие привязано к исходной странице.</x:v>
      </x:c>
      <x:c r="R5097" s="30" t="str">
        <x:v>234</x:v>
      </x:c>
      <x:c r="S5097" s="30"/>
      <x:c r="T5097" s="30" t="str">
        <x:v>ОТВЕТЫ (2).docx</x:v>
      </x:c>
      <x:c r="U5097" s="30" t="str">
        <x:v>Расхождений с таблицей ответов не выявлено.</x:v>
      </x:c>
      <x:c r="V5097" s="87" t="str">
        <x:v>VERIFIED</x:v>
      </x:c>
      <x:c r="W5097" s="87"/>
      <x:c r="X5097" s="87"/>
      <x:c r="Y5097" s="87" t="n">
        <x:v>11</x:v>
      </x:c>
      <x:c r="Z5097" s="87" t="n">
        <x:v>6</x:v>
      </x:c>
      <x:c r="AA5097" s="87" t="str">
        <x:v>страница 2</x:v>
      </x:c>
      <x:c r="AB5097" s="87"/>
      <x:c r="AC5097" s="87" t="str">
        <x:v>VIS-EGKR-RUS-W25-TASK-957-P006</x:v>
      </x:c>
      <x:c r="AD5097" s="87" t="str">
        <x:v>VIS-EGKR-RUS-W25-KEY-ALL-P002</x:v>
      </x:c>
      <x:c r="AE5097" s="87" t="str">
        <x:v>TASK; KEY</x:v>
      </x:c>
      <x:c r="AF5097" s="87" t="str">
        <x:v>VIS-EGKR-RUS-W25-TASK-957-P006: 6; VIS-EGKR-RUS-W25-KEY-ALL-P002: 2</x:v>
      </x:c>
      <x:c r="AG5097" s="87" t="str">
        <x:v>RESOLVED</x:v>
      </x:c>
      <x:c r="AH5097" s="87" t="str">
        <x:v>CROP_VERIFIED</x:v>
      </x:c>
      <x:c r="AI5097" s="30"/>
      <x:c r="AJ5097" s="87" t="str">
        <x:v>clean</x:v>
      </x:c>
      <x:c r="AK5097" s="87" t="str">
        <x:v>clean-v0.10</x:v>
      </x:c>
      <x:c r="AL5097" s="87" t="str">
        <x:v>statgrad_clean_continuation_v0_10(1).xlsx</x:v>
      </x:c>
      <x:c r="AM5097" s="87" t="str">
        <x:v>RUS_EGKR_957</x:v>
      </x:c>
      <x:c r="AN5097" s="87" t="n">
        <x:v>22</x:v>
      </x:c>
    </x:row>
    <x:row r="5098">
      <x:c r="A5098" s="87" t="n">
        <x:v>5097</x:v>
      </x:c>
      <x:c r="B5098" s="87" t="str">
        <x:v>EGKR-W25-RUS-957-22</x:v>
      </x:c>
      <x:c r="C5098" s="87" t="str">
        <x:v>ЕГКР</x:v>
      </x:c>
      <x:c r="D5098" s="87"/>
      <x:c r="E5098" s="87" t="str">
        <x:v>Зима 2025</x:v>
      </x:c>
      <x:c r="F5098" s="87" t="str">
        <x:v>09.12.2025</x:v>
      </x:c>
      <x:c r="G5098" s="87" t="str">
        <x:v>Русский язык</x:v>
      </x:c>
      <x:c r="H5098" s="87" t="n">
        <x:v>11</x:v>
      </x:c>
      <x:c r="I5098" s="87"/>
      <x:c r="J5098" s="87" t="str">
        <x:v>957</x:v>
      </x:c>
      <x:c r="K5098" s="87" t="n">
        <x:v>22</x:v>
      </x:c>
      <x:c r="L5098" s="87" t="str">
        <x:v>Средства выразительности</x:v>
      </x:c>
      <x:c r="M5098" s="30" t="str">
        <x:v>изобразительно-выразительных средств языка, которые употреблены в них: х каждой позиции первого столбца подберите соответствующую позицию из второго столбца. ПРЕДЛОЖЕНИЯ ИЗОБРАЗИТЕЛЬНО- ВЫРАЗИТЕЛЬНЫЕ СРЕДСТВА ЯЗЫКА. А) Туда, где за тучей белеет гора, 1) многосоюзие Туда, rue синеют морскио xpaa, 2) зититеза | Тула, где гуляем лишь ветер... да я! 3) метонимия (А.С. Пушкин) 4) градация Б) Нолюблю тебя, родина кроткая! 5) литота (С.А. Всенин) 6) метафора В) «.,08 вето Ba cepedpe, 7) риторическое обращение Ha золоте едал... 8) анафора (А.С. Грибоелов) gS эпитет Г) Всё отвергал: законы! совесть! веру! (А.С. Грибоедов) 7) Над ним луч солнца золотой... (М.Ю. Пермонтов) Запишите в таблицу выбранные цифры под соответствующими буквами. Ав [в] г[д Ответ: ДЕ. Прочитайте текст и выполните задания 23-27. (1)Был со мною случай. (2)Это хорошо, что ваша школа совсем близко от вашего дома: иной раз, не надевая пальто, можно быстро добежать. (З)А вот я добираюсь до школы (места своей работы) сперва на автобусе, затем на метро, а там ещё и пешком минут десять приходится идти. (4)В общей сложности трачу на всё про всё больше часа. (5)Жалко даром терять время! (6)Но ничего не поделаешь... (Автобус и метро давно уже стали для меня читальным залом на колёсах. (8)Я же не просто учитель, а учитель литературы. (9)Отыскать местечко и сесть не всегда удаётся, да и нерасчётливо: то женщине, то пожилому мужчине всё равно уступить надо. (10)Оттого и не сажусь, а где-нибудь в уголке достану из портфеля книгу и читаю, даже кое-какие пометки делаю. (11)Слегка, конечно, и карандашом, чтобы потом стереть. (12)В дороге читаю только личные книги, библиотечные — никогда. (13)С ними ещё бережнее и аккуратнее надо обращаться. |</x:v>
      </x:c>
      <x:c r="N5098" s="30" t="str">
        <x:v>87349</x:v>
      </x:c>
      <x:c r="O5098" s="30" t="str">
        <x:v>Ответ перенесён из сводной таблицы и связан с исходным заданием.</x:v>
      </x:c>
      <x:c r="P5098" s="30"/>
      <x:c r="Q5098" s="30" t="str">
        <x:v>Ответ визуально сверён с таблицей ответов; условие привязано к исходной странице.</x:v>
      </x:c>
      <x:c r="R5098" s="30" t="str">
        <x:v>87349</x:v>
      </x:c>
      <x:c r="S5098" s="30"/>
      <x:c r="T5098" s="30" t="str">
        <x:v>ОТВЕТЫ (2).docx</x:v>
      </x:c>
      <x:c r="U5098" s="30" t="str">
        <x:v>Расхождений с таблицей ответов не выявлено.</x:v>
      </x:c>
      <x:c r="V5098" s="87" t="str">
        <x:v>VERIFIED</x:v>
      </x:c>
      <x:c r="W5098" s="87"/>
      <x:c r="X5098" s="87"/>
      <x:c r="Y5098" s="87" t="n">
        <x:v>12</x:v>
      </x:c>
      <x:c r="Z5098" s="87" t="n">
        <x:v>6</x:v>
      </x:c>
      <x:c r="AA5098" s="87" t="str">
        <x:v>страница 2</x:v>
      </x:c>
      <x:c r="AB5098" s="87"/>
      <x:c r="AC5098" s="87" t="str">
        <x:v>VIS-EGKR-RUS-W25-TASK-957-P006</x:v>
      </x:c>
      <x:c r="AD5098" s="87" t="str">
        <x:v>VIS-EGKR-RUS-W25-KEY-ALL-P002</x:v>
      </x:c>
      <x:c r="AE5098" s="87" t="str">
        <x:v>TASK; KEY</x:v>
      </x:c>
      <x:c r="AF5098" s="87" t="str">
        <x:v>VIS-EGKR-RUS-W25-TASK-957-P006: 6; VIS-EGKR-RUS-W25-KEY-ALL-P002: 2</x:v>
      </x:c>
      <x:c r="AG5098" s="87" t="str">
        <x:v>RESOLVED</x:v>
      </x:c>
      <x:c r="AH5098" s="87" t="str">
        <x:v>CROP_VERIFIED</x:v>
      </x:c>
      <x:c r="AI5098" s="30"/>
      <x:c r="AJ5098" s="87" t="str">
        <x:v>clean</x:v>
      </x:c>
      <x:c r="AK5098" s="87" t="str">
        <x:v>clean-v0.10</x:v>
      </x:c>
      <x:c r="AL5098" s="87" t="str">
        <x:v>statgrad_clean_continuation_v0_10(1).xlsx</x:v>
      </x:c>
      <x:c r="AM5098" s="87" t="str">
        <x:v>RUS_EGKR_957</x:v>
      </x:c>
      <x:c r="AN5098" s="87" t="n">
        <x:v>23</x:v>
      </x:c>
    </x:row>
    <x:row r="5099">
      <x:c r="A5099" s="87" t="n">
        <x:v>5098</x:v>
      </x:c>
      <x:c r="B5099" s="87" t="str">
        <x:v>EGKR-W25-RUS-957-23</x:v>
      </x:c>
      <x:c r="C5099" s="87" t="str">
        <x:v>ЕГКР</x:v>
      </x:c>
      <x:c r="D5099" s="87"/>
      <x:c r="E5099" s="87" t="str">
        <x:v>Зима 2025</x:v>
      </x:c>
      <x:c r="F5099" s="87" t="str">
        <x:v>09.12.2025</x:v>
      </x:c>
      <x:c r="G5099" s="87" t="str">
        <x:v>Русский язык</x:v>
      </x:c>
      <x:c r="H5099" s="87" t="n">
        <x:v>11</x:v>
      </x:c>
      <x:c r="I5099" s="87"/>
      <x:c r="J5099" s="87" t="str">
        <x:v>957</x:v>
      </x:c>
      <x:c r="K5099" s="87" t="n">
        <x:v>23</x:v>
      </x:c>
      <x:c r="L5099" s="87" t="str">
        <x:v>Содержание исходного текста</x:v>
      </x:c>
      <x:c r="M5099" s="30" t="str">
        <x:v>Задание №23. OCR-маркер не распознан; см. полную страницу источника. Какие из перечисленных утверждений являются верными? Укажите номера ответов. 1) В предложениях 4-6 представлено описание. 2) Предложения 8 и 9 противопоставлены по содержанию. 3) В предложении 13 содержится указание на причину того, о чём говорится | в предложении 12. 4) В предложениях 17-19 представлено повествование. 5) В предложениях 22-24 прелставлено рассуждение. Ответ: 7 . Из предложений 1-6 выпишите один фразеологизм. Ответ: — . Среди предложений 30-34 найдите такое(-ие), которое(-ые) связано(-ы) &lt; предыдущим при помощи лексического повтора. Запишите номер(а) этого(-их) предложения(-ий). Ответ: _ : He забудыпе перенести все ответы в бланк ответов № 1 | в соответствии с инструкцией по выполнению работы. | Проверьте, чтобы каждый ответ был записан в строке с номером соответствующего задания.</x:v>
      </x:c>
      <x:c r="N5099" s="30" t="str">
        <x:v>145</x:v>
      </x:c>
      <x:c r="O5099" s="30" t="str">
        <x:v>Ответ перенесён из сводной таблицы и связан с исходным заданием.</x:v>
      </x:c>
      <x:c r="P5099" s="30"/>
      <x:c r="Q5099" s="30" t="str">
        <x:v>Ответ визуально сверён с таблицей ответов; условие привязано к исходной странице.</x:v>
      </x:c>
      <x:c r="R5099" s="30" t="str">
        <x:v>145</x:v>
      </x:c>
      <x:c r="S5099" s="30"/>
      <x:c r="T5099" s="30" t="str">
        <x:v>ОТВЕТЫ (2).docx</x:v>
      </x:c>
      <x:c r="U5099" s="30" t="str">
        <x:v>Расхождений с таблицей ответов не выявлено.</x:v>
      </x:c>
      <x:c r="V5099" s="87" t="str">
        <x:v>VERIFIED</x:v>
      </x:c>
      <x:c r="W5099" s="87"/>
      <x:c r="X5099" s="87"/>
      <x:c r="Y5099" s="87" t="n">
        <x:v>14</x:v>
      </x:c>
      <x:c r="Z5099" s="87" t="n">
        <x:v>7</x:v>
      </x:c>
      <x:c r="AA5099" s="87" t="str">
        <x:v>страница 2</x:v>
      </x:c>
      <x:c r="AB5099" s="87"/>
      <x:c r="AC5099" s="87" t="str">
        <x:v>VIS-EGKR-RUS-W25-TASK-957-P007</x:v>
      </x:c>
      <x:c r="AD5099" s="87" t="str">
        <x:v>VIS-EGKR-RUS-W25-KEY-ALL-P002</x:v>
      </x:c>
      <x:c r="AE5099" s="87" t="str">
        <x:v>TASK; KEY</x:v>
      </x:c>
      <x:c r="AF5099" s="87" t="str">
        <x:v>VIS-EGKR-RUS-W25-TASK-957-P007: 7; VIS-EGKR-RUS-W25-KEY-ALL-P002: 2</x:v>
      </x:c>
      <x:c r="AG5099" s="87" t="str">
        <x:v>RESOLVED</x:v>
      </x:c>
      <x:c r="AH5099" s="87" t="str">
        <x:v>CROP_VERIFIED</x:v>
      </x:c>
      <x:c r="AI5099" s="30"/>
      <x:c r="AJ5099" s="87" t="str">
        <x:v>clean</x:v>
      </x:c>
      <x:c r="AK5099" s="87" t="str">
        <x:v>clean-v0.10</x:v>
      </x:c>
      <x:c r="AL5099" s="87" t="str">
        <x:v>statgrad_clean_continuation_v0_10(1).xlsx</x:v>
      </x:c>
      <x:c r="AM5099" s="87" t="str">
        <x:v>RUS_EGKR_957</x:v>
      </x:c>
      <x:c r="AN5099" s="87" t="n">
        <x:v>24</x:v>
      </x:c>
    </x:row>
    <x:row r="5100">
      <x:c r="A5100" s="87" t="n">
        <x:v>5099</x:v>
      </x:c>
      <x:c r="B5100" s="87" t="str">
        <x:v>EGKR-W25-RUS-957-24</x:v>
      </x:c>
      <x:c r="C5100" s="87" t="str">
        <x:v>ЕГКР</x:v>
      </x:c>
      <x:c r="D5100" s="87"/>
      <x:c r="E5100" s="87" t="str">
        <x:v>Зима 2025</x:v>
      </x:c>
      <x:c r="F5100" s="87" t="str">
        <x:v>09.12.2025</x:v>
      </x:c>
      <x:c r="G5100" s="87" t="str">
        <x:v>Русский язык</x:v>
      </x:c>
      <x:c r="H5100" s="87" t="n">
        <x:v>11</x:v>
      </x:c>
      <x:c r="I5100" s="87"/>
      <x:c r="J5100" s="87" t="str">
        <x:v>957</x:v>
      </x:c>
      <x:c r="K5100" s="87" t="n">
        <x:v>24</x:v>
      </x:c>
      <x:c r="L5100" s="87" t="str">
        <x:v>Функционально-смысловые типы речи и логика текста</x:v>
      </x:c>
      <x:c r="M5100" s="30" t="str">
        <x:v>Задание №24. OCR-маркер не распознан; см. полную страницу источника. ___ Часть 2 Для ответа па задание 27 используйте БЛАНК ОТВЕТОВ №2. | Напишите сочинение-рассуждение по проблеме, поставленной в исходном тексте: «Как поступить человеку, ставшему свидетелем незаслуженного обвинения в нечестности?» Сформулируйте позицию автора (рассказчика) по указанной проблеме. Прокомментируйте, как в тексте раскрывается данная позиция. Включите в комментарий два примера-иллюстрации из прочитанного текста, важные для понимания позиции автора (рассказчика), и поясните их. Укажите и поясните смысловую связь между приведенными примерами-иллюстрациями. (Сформулируйте и обоснуйте своё отношение к позиции автора (рассказчика) по проблеме исходного текста. Включите в обоснование пример-аргумент; опираясь на читательский, историко-культурный или жизненный опыт и не повторяя авторских суждений. (Меучитываются примеры-аргументы, источниками которых являются комикс, аниме, манга, фанфик, графический роман, компьютерная игра иодругие подобные ‘виды представления информации.) Объём сочинения — не менее 150 слов. Работа, написанная без опоры Ha прочитанный текст (не по данному тексту), не оценивается. Если сочинение представляет собой полностью переписанный или пересказанный исходный текст без каких бы то пи было комментариев, то такая работа оценивается ( баллов. Сочипепие пишите аккуратно и разборчиво, соблюдая нормы соременного русского литературного языка. ©2025 ФТЕНУ ‘</x:v>
      </x:c>
      <x:c r="N5100" s="30" t="str">
        <x:v>345</x:v>
      </x:c>
      <x:c r="O5100" s="30" t="str">
        <x:v>Ответ перенесён из сводной таблицы и связан с исходным заданием.</x:v>
      </x:c>
      <x:c r="P5100" s="30"/>
      <x:c r="Q5100" s="30" t="str">
        <x:v>Ответ визуально сверён с таблицей ответов; условие привязано к исходной странице.</x:v>
      </x:c>
      <x:c r="R5100" s="30" t="str">
        <x:v>345</x:v>
      </x:c>
      <x:c r="S5100" s="30"/>
      <x:c r="T5100" s="30" t="str">
        <x:v>ОТВЕТЫ (2).docx</x:v>
      </x:c>
      <x:c r="U5100" s="30" t="str">
        <x:v>Расхождений с таблицей ответов не выявлено.</x:v>
      </x:c>
      <x:c r="V5100" s="87" t="str">
        <x:v>VERIFIED</x:v>
      </x:c>
      <x:c r="W5100" s="87"/>
      <x:c r="X5100" s="87"/>
      <x:c r="Y5100" s="87" t="n">
        <x:v>15</x:v>
      </x:c>
      <x:c r="Z5100" s="87" t="n">
        <x:v>8</x:v>
      </x:c>
      <x:c r="AA5100" s="87" t="str">
        <x:v>страница 2</x:v>
      </x:c>
      <x:c r="AB5100" s="87"/>
      <x:c r="AC5100" s="87" t="str">
        <x:v>VIS-EGKR-RUS-W25-TASK-957-P008</x:v>
      </x:c>
      <x:c r="AD5100" s="87" t="str">
        <x:v>VIS-EGKR-RUS-W25-KEY-ALL-P002</x:v>
      </x:c>
      <x:c r="AE5100" s="87" t="str">
        <x:v>TASK; KEY</x:v>
      </x:c>
      <x:c r="AF5100" s="87" t="str">
        <x:v>VIS-EGKR-RUS-W25-TASK-957-P008: 8; VIS-EGKR-RUS-W25-KEY-ALL-P002: 2</x:v>
      </x:c>
      <x:c r="AG5100" s="87" t="str">
        <x:v>RESOLVED</x:v>
      </x:c>
      <x:c r="AH5100" s="87" t="str">
        <x:v>CROP_VERIFIED; TASK_CROP_NO_CROP_NEEDED</x:v>
      </x:c>
      <x:c r="AI5100" s="30"/>
      <x:c r="AJ5100" s="87" t="str">
        <x:v>clean</x:v>
      </x:c>
      <x:c r="AK5100" s="87" t="str">
        <x:v>clean-v0.10</x:v>
      </x:c>
      <x:c r="AL5100" s="87" t="str">
        <x:v>statgrad_clean_continuation_v0_10(1).xlsx</x:v>
      </x:c>
      <x:c r="AM5100" s="87" t="str">
        <x:v>RUS_EGKR_957</x:v>
      </x:c>
      <x:c r="AN5100" s="87" t="n">
        <x:v>25</x:v>
      </x:c>
    </x:row>
    <x:row r="5101">
      <x:c r="A5101" s="87" t="n">
        <x:v>5100</x:v>
      </x:c>
      <x:c r="B5101" s="87" t="str">
        <x:v>EGKR-W25-RUS-957-25</x:v>
      </x:c>
      <x:c r="C5101" s="87" t="str">
        <x:v>ЕГКР</x:v>
      </x:c>
      <x:c r="D5101" s="87"/>
      <x:c r="E5101" s="87" t="str">
        <x:v>Зима 2025</x:v>
      </x:c>
      <x:c r="F5101" s="87" t="str">
        <x:v>09.12.2025</x:v>
      </x:c>
      <x:c r="G5101" s="87" t="str">
        <x:v>Русский язык</x:v>
      </x:c>
      <x:c r="H5101" s="87" t="n">
        <x:v>11</x:v>
      </x:c>
      <x:c r="I5101" s="87"/>
      <x:c r="J5101" s="87" t="str">
        <x:v>957</x:v>
      </x:c>
      <x:c r="K5101" s="87" t="n">
        <x:v>25</x:v>
      </x:c>
      <x:c r="L5101" s="87" t="str">
        <x:v>Лексические средства</x:v>
      </x:c>
      <x:c r="M5101" s="30" t="str">
        <x:v>Задание №25. OCR-маркер не распознан; см. полную страницу источника. ___ Часть 2 Для ответа па задание 27 используйте БЛАНК ОТВЕТОВ №2. | Напишите сочинение-рассуждение по проблеме, поставленной в исходном тексте: «Как поступить человеку, ставшему свидетелем незаслуженного обвинения в нечестности?» Сформулируйте позицию автора (рассказчика) по указанной проблеме. Прокомментируйте, как в тексте раскрывается данная позиция. Включите в комментарий два примера-иллюстрации из прочитанного текста, важные для понимания позиции автора (рассказчика), и поясните их. Укажите и поясните смысловую связь между приведенными примерами-иллюстрациями. (Сформулируйте и обоснуйте своё отношение к позиции автора (рассказчика) по проблеме исходного текста. Включите в обоснование пример-аргумент; опираясь на читательский, историко-культурный или жизненный опыт и не повторяя авторских суждений. (Меучитываются примеры-аргументы, источниками которых являются комикс, аниме, манга, фанфик, графический роман, компьютерная игра иодругие подобные ‘виды представления информации.) Объём сочинения — не менее 150 слов. Работа, написанная без опоры Ha прочитанный текст (не по данному тексту), не оценивается. Если сочинение представляет собой полностью переписанный или пересказанный исходный текст без каких бы то пи было комментариев, то такая работа оценивается ( баллов. Сочипепие пишите аккуратно и разборчиво, соблюдая нормы соременного русского литературного языка. ©2025 ФТЕНУ ‘</x:v>
      </x:c>
      <x:c r="N5101" s="30" t="str">
        <x:v>даром терять время</x:v>
      </x:c>
      <x:c r="O5101" s="30" t="str">
        <x:v>Ответ перенесён из сводной таблицы и связан с исходным заданием.</x:v>
      </x:c>
      <x:c r="P5101" s="30"/>
      <x:c r="Q5101" s="30" t="str">
        <x:v>Ответ визуально сверён с таблицей ответов; условие привязано к исходной странице.</x:v>
      </x:c>
      <x:c r="R5101" s="30" t="str">
        <x:v>даром терять время</x:v>
      </x:c>
      <x:c r="S5101" s="30"/>
      <x:c r="T5101" s="30" t="str">
        <x:v>ОТВЕТЫ (2).docx</x:v>
      </x:c>
      <x:c r="U5101" s="30" t="str">
        <x:v>Расхождений с таблицей ответов не выявлено.</x:v>
      </x:c>
      <x:c r="V5101" s="87" t="str">
        <x:v>VERIFIED</x:v>
      </x:c>
      <x:c r="W5101" s="87"/>
      <x:c r="X5101" s="87"/>
      <x:c r="Y5101" s="87" t="n">
        <x:v>15</x:v>
      </x:c>
      <x:c r="Z5101" s="87" t="n">
        <x:v>8</x:v>
      </x:c>
      <x:c r="AA5101" s="87" t="str">
        <x:v>страница 2</x:v>
      </x:c>
      <x:c r="AB5101" s="87"/>
      <x:c r="AC5101" s="87" t="str">
        <x:v>VIS-EGKR-RUS-W25-TASK-957-P008</x:v>
      </x:c>
      <x:c r="AD5101" s="87" t="str">
        <x:v>VIS-EGKR-RUS-W25-KEY-ALL-P002</x:v>
      </x:c>
      <x:c r="AE5101" s="87" t="str">
        <x:v>TASK; KEY</x:v>
      </x:c>
      <x:c r="AF5101" s="87" t="str">
        <x:v>VIS-EGKR-RUS-W25-TASK-957-P008: 8; VIS-EGKR-RUS-W25-KEY-ALL-P002: 2</x:v>
      </x:c>
      <x:c r="AG5101" s="87" t="str">
        <x:v>RESOLVED</x:v>
      </x:c>
      <x:c r="AH5101" s="87" t="str">
        <x:v>CROP_VERIFIED; TASK_CROP_NO_CROP_NEEDED</x:v>
      </x:c>
      <x:c r="AI5101" s="30"/>
      <x:c r="AJ5101" s="87" t="str">
        <x:v>clean</x:v>
      </x:c>
      <x:c r="AK5101" s="87" t="str">
        <x:v>clean-v0.10</x:v>
      </x:c>
      <x:c r="AL5101" s="87" t="str">
        <x:v>statgrad_clean_continuation_v0_10(1).xlsx</x:v>
      </x:c>
      <x:c r="AM5101" s="87" t="str">
        <x:v>RUS_EGKR_957</x:v>
      </x:c>
      <x:c r="AN5101" s="87" t="n">
        <x:v>26</x:v>
      </x:c>
    </x:row>
    <x:row r="5102">
      <x:c r="A5102" s="87" t="n">
        <x:v>5101</x:v>
      </x:c>
      <x:c r="B5102" s="87" t="str">
        <x:v>EGKR-W25-RUS-957-26</x:v>
      </x:c>
      <x:c r="C5102" s="87" t="str">
        <x:v>ЕГКР</x:v>
      </x:c>
      <x:c r="D5102" s="87"/>
      <x:c r="E5102" s="87" t="str">
        <x:v>Зима 2025</x:v>
      </x:c>
      <x:c r="F5102" s="87" t="str">
        <x:v>09.12.2025</x:v>
      </x:c>
      <x:c r="G5102" s="87" t="str">
        <x:v>Русский язык</x:v>
      </x:c>
      <x:c r="H5102" s="87" t="n">
        <x:v>11</x:v>
      </x:c>
      <x:c r="I5102" s="87"/>
      <x:c r="J5102" s="87" t="str">
        <x:v>957</x:v>
      </x:c>
      <x:c r="K5102" s="87" t="n">
        <x:v>26</x:v>
      </x:c>
      <x:c r="L5102" s="87" t="str">
        <x:v>Средства связи предложений</x:v>
      </x:c>
      <x:c r="M5102" s="30" t="str">
        <x:v>Задание №26. OCR-маркер не распознан; см. полную страницу источника. ___ Часть 2 Для ответа па задание 27 используйте БЛАНК ОТВЕТОВ №2. | Напишите сочинение-рассуждение по проблеме, поставленной в исходном тексте: «Как поступить человеку, ставшему свидетелем незаслуженного обвинения в нечестности?» Сформулируйте позицию автора (рассказчика) по указанной проблеме. Прокомментируйте, как в тексте раскрывается данная позиция. Включите в комментарий два примера-иллюстрации из прочитанного текста, важные для понимания позиции автора (рассказчика), и поясните их. Укажите и поясните смысловую связь между приведенными примерами-иллюстрациями. (Сформулируйте и обоснуйте своё отношение к позиции автора (рассказчика) по проблеме исходного текста. Включите в обоснование пример-аргумент; опираясь на читательский, историко-культурный или жизненный опыт и не повторяя авторских суждений. (Меучитываются примеры-аргументы, источниками которых являются комикс, аниме, манга, фанфик, графический роман, компьютерная игра иодругие подобные ‘виды представления информации.) Объём сочинения — не менее 150 слов. Работа, написанная без опоры Ha прочитанный текст (не по данному тексту), не оценивается. Если сочинение представляет собой полностью переписанный или пересказанный исходный текст без каких бы то пи было комментариев, то такая работа оценивается ( баллов. Сочипепие пишите аккуратно и разборчиво, соблюдая нормы соременного русского литературного языка. ©2025 ФТЕНУ ‘</x:v>
      </x:c>
      <x:c r="N5102" s="30" t="str">
        <x:v>31, 34</x:v>
      </x:c>
      <x:c r="O5102" s="30" t="str">
        <x:v>Ответ перенесён из сводной таблицы и связан с исходным заданием.</x:v>
      </x:c>
      <x:c r="P5102" s="30"/>
      <x:c r="Q5102" s="30" t="str">
        <x:v>Ответ визуально сверён с таблицей ответов; условие привязано к исходной странице.</x:v>
      </x:c>
      <x:c r="R5102" s="30" t="str">
        <x:v>31, 34</x:v>
      </x:c>
      <x:c r="S5102" s="30"/>
      <x:c r="T5102" s="30" t="str">
        <x:v>ОТВЕТЫ (2).docx</x:v>
      </x:c>
      <x:c r="U5102" s="30" t="str">
        <x:v>Расхождений с таблицей ответов не выявлено.</x:v>
      </x:c>
      <x:c r="V5102" s="87" t="str">
        <x:v>VERIFIED</x:v>
      </x:c>
      <x:c r="W5102" s="87"/>
      <x:c r="X5102" s="87"/>
      <x:c r="Y5102" s="87" t="n">
        <x:v>15</x:v>
      </x:c>
      <x:c r="Z5102" s="87" t="n">
        <x:v>8</x:v>
      </x:c>
      <x:c r="AA5102" s="87" t="str">
        <x:v>страница 2</x:v>
      </x:c>
      <x:c r="AB5102" s="87"/>
      <x:c r="AC5102" s="87" t="str">
        <x:v>VIS-EGKR-RUS-W25-TASK-957-P008</x:v>
      </x:c>
      <x:c r="AD5102" s="87" t="str">
        <x:v>VIS-EGKR-RUS-W25-KEY-ALL-P002</x:v>
      </x:c>
      <x:c r="AE5102" s="87" t="str">
        <x:v>TASK; KEY</x:v>
      </x:c>
      <x:c r="AF5102" s="87" t="str">
        <x:v>VIS-EGKR-RUS-W25-TASK-957-P008: 8; VIS-EGKR-RUS-W25-KEY-ALL-P002: 2</x:v>
      </x:c>
      <x:c r="AG5102" s="87" t="str">
        <x:v>RESOLVED</x:v>
      </x:c>
      <x:c r="AH5102" s="87" t="str">
        <x:v>CROP_VERIFIED; TASK_CROP_NO_CROP_NEEDED</x:v>
      </x:c>
      <x:c r="AI5102" s="30"/>
      <x:c r="AJ5102" s="87" t="str">
        <x:v>clean</x:v>
      </x:c>
      <x:c r="AK5102" s="87" t="str">
        <x:v>clean-v0.10</x:v>
      </x:c>
      <x:c r="AL5102" s="87" t="str">
        <x:v>statgrad_clean_continuation_v0_10(1).xlsx</x:v>
      </x:c>
      <x:c r="AM5102" s="87" t="str">
        <x:v>RUS_EGKR_957</x:v>
      </x:c>
      <x:c r="AN5102" s="87" t="n">
        <x:v>27</x:v>
      </x:c>
    </x:row>
    <x:row r="5103">
      <x:c r="A5103" s="87" t="n">
        <x:v>5102</x:v>
      </x:c>
      <x:c r="B5103" s="87" t="str">
        <x:v>EGKR-W25-RUS-957-27</x:v>
      </x:c>
      <x:c r="C5103" s="87" t="str">
        <x:v>ЕГКР</x:v>
      </x:c>
      <x:c r="D5103" s="87"/>
      <x:c r="E5103" s="87" t="str">
        <x:v>Зима 2025</x:v>
      </x:c>
      <x:c r="F5103" s="87" t="str">
        <x:v>09.12.2025</x:v>
      </x:c>
      <x:c r="G5103" s="87" t="str">
        <x:v>Русский язык</x:v>
      </x:c>
      <x:c r="H5103" s="87" t="n">
        <x:v>11</x:v>
      </x:c>
      <x:c r="I5103" s="87"/>
      <x:c r="J5103" s="87" t="str">
        <x:v>957</x:v>
      </x:c>
      <x:c r="K5103" s="87" t="n">
        <x:v>27</x:v>
      </x:c>
      <x:c r="L5103" s="87" t="str">
        <x:v>Сочинение-рассуждение</x:v>
      </x:c>
      <x:c r="M5103" s="30" t="str">
        <x:v>Задание №27. OCR-маркер не распознан; см. полную страницу источника. </x:v>
      </x:c>
      <x:c r="N5103" s="30" t="str">
        <x:v>В предложенном тексте автор поднимает важную нравственную проблему: как должен поступить человек, увидев, что другого незаслуженно обвиняют в нечестности? Сталкиваясь с подобной ситуацией, свидетель оказывается перед выбором: остаться безучастным наблюдателем, присоединиться к хорду подозрений или попытаться восстановить справедливость.
Позиция автора (рассказчика) по этой проблеме выражена ясно: истинное человеческое участие проявляется не в поспешном осуждении, а в способности вдумчиво разобраться в ситуации и заступиться за несправедливо обвинённого, даже если это требует внутренних усилий и противостоит общему настроению. Автор убеждён, что такая позиция основывается на размышлении и внутренней принципиальности, а не на слепой защите.
В тексте эта позиция раскрывается через контрастное поведение пассажиров автобуса. Первый пример-иллюстрация — это реакция мужчины с газетой. Узнав, что женщина «видела, как вы клали» билет, он тут же с недовольством возражает: «Как же видела, если только вошла?». Его реакция мгновенна и поверхностна. Он не пытается понять суть, а лишь ищет формальный повод для подтверждения своего подозрения, с удовольствием видя в рассказчике «нарушителя». Второй пример — поведение женщины с сумкой. Она, несмотря на неудобства (держится за поручень и тяжёлую сумку), проявляет участие. Её ключевая фраза: «Вы получше поищите, гражданин. Да не спешите». Важнее всего авторский комментарий к её поступку: «Она видела, потому что размышляла». Это означает, что её заступничество — результат не бездумного желания защитить, а внимательного, осмысленного наблюдения и внутренней уверенности в невиновности человека.
Смысловая связь между этими примерами — противопоставление. Автор показывает два типа реакции: автоматическое, почти злорадное осуждение (мужчина) и осознанное, человечное участие, основанное на вдумчивости (женщина). Именно вторая модель поведения, по мысли автора, является правильной и приводит к восстановлению справедливости, что и происходит в финале эпизода: контролёр поверил именно женщине.
Я полностью согласен с позицией автора. В ситуации, когда человека торопливо осуждают, важно не поддаваться стадному чувству, а сохранять трезвость ума и способность к эмпатии. Бездумное подозрение разрушает доверие в обществе, тогда как разумная защита невиновного укрепляет его. В подтверждение этой мысли можно вспомнить героя романа Ф. М. Достоевского «Преступление и наказание» Разумихина. Когда все вокруг, включая следователя Порфирия Петровича, начинают подозревать в убийстве Родиона Раскольникова, Разумихин, хотя и смущённый странным поведением друга, горячо и убеждённо заступается за него, не веря в его виновность. Его защита основана не на слепоте, а на глубоком знании характера Раскольникова и нежелании принимать скоропалительные выводы. Этот пример из литературы показывает, что принципиальная поддержка в момент несправедливого обвинения — это проявление настоящей человеческой порядочности и силы духа.
Таким образом, став свидетелем незаслуженного обвинения, человек должен, по возможности, проявить гражданское мужество — не спешить с осуждением, а помочь восстановить истину. Именно так, как это сделала простая женщина в автобусе, чья вдумчивость и слово помогли разрешить неприятную ситуацию.</x:v>
      </x:c>
      <x:c r="O5103" s="30" t="str">
        <x:v>Модель развёрнутого ответа.</x:v>
      </x:c>
      <x:c r="P5103" s="30"/>
      <x:c r="Q5103" s="30" t="str">
        <x:v>Проверены формулировка проблемы, позиция автора, два примера, связь и аргументация.</x:v>
      </x:c>
      <x:c r="R5103" s="30" t="str">
        <x:v>Сочинение Вариант 957.docx</x:v>
      </x:c>
      <x:c r="S5103" s="30"/>
      <x:c r="T5103" s="30" t="str">
        <x:v>Сочинение Вариант 957.docx</x:v>
      </x:c>
      <x:c r="U5103" s="30" t="str">
        <x:v>Модель соответствует проблеме задания 27 и структуре сочинения ЕГЭ.</x:v>
      </x:c>
      <x:c r="V5103" s="87" t="str">
        <x:v>VERIFIED</x:v>
      </x:c>
      <x:c r="W5103" s="87"/>
      <x:c r="X5103" s="87"/>
      <x:c r="Y5103" s="87" t="n">
        <x:v>16</x:v>
      </x:c>
      <x:c r="Z5103" s="87" t="n">
        <x:v>8</x:v>
      </x:c>
      <x:c r="AA5103" s="87" t="str">
        <x:v>модель сочинения</x:v>
      </x:c>
      <x:c r="AB5103" s="87"/>
      <x:c r="AC5103" s="87" t="str">
        <x:v>VIS-EGKR-RUS-W25-TASK-957-P008</x:v>
      </x:c>
      <x:c r="AD5103" s="87" t="str">
        <x:v>VIS-EGKR-RUS-W25-MODEL-957-P001</x:v>
      </x:c>
      <x:c r="AE5103" s="87" t="str">
        <x:v>TASK; MODEL</x:v>
      </x:c>
      <x:c r="AF5103" s="87" t="str">
        <x:v>VIS-EGKR-RUS-W25-TASK-957-P008: 8; VIS-EGKR-RUS-W25-MODEL-957-P001: 1</x:v>
      </x:c>
      <x:c r="AG5103" s="87" t="str">
        <x:v>RESOLVED</x:v>
      </x:c>
      <x:c r="AH5103" s="87" t="str">
        <x:v>CROP_VERIFIED</x:v>
      </x:c>
      <x:c r="AI5103" s="30"/>
      <x:c r="AJ5103" s="87" t="str">
        <x:v>clean</x:v>
      </x:c>
      <x:c r="AK5103" s="87" t="str">
        <x:v>clean-v0.10</x:v>
      </x:c>
      <x:c r="AL5103" s="87" t="str">
        <x:v>statgrad_clean_continuation_v0_10(1).xlsx</x:v>
      </x:c>
      <x:c r="AM5103" s="87" t="str">
        <x:v>RUS_EGKR_957</x:v>
      </x:c>
      <x:c r="AN5103" s="87" t="n">
        <x:v>28</x:v>
      </x:c>
    </x:row>
    <x:row r="5104">
      <x:c r="A5104" s="87" t="n">
        <x:v>5103</x:v>
      </x:c>
      <x:c r="B5104" s="87" t="str">
        <x:v>EGKR-W25-RUS-958-01</x:v>
      </x:c>
      <x:c r="C5104" s="87" t="str">
        <x:v>ЕГКР</x:v>
      </x:c>
      <x:c r="D5104" s="87"/>
      <x:c r="E5104" s="87" t="str">
        <x:v>Зима 2025</x:v>
      </x:c>
      <x:c r="F5104" s="87" t="str">
        <x:v>09.12.2025</x:v>
      </x:c>
      <x:c r="G5104" s="87" t="str">
        <x:v>Русский язык</x:v>
      </x:c>
      <x:c r="H5104" s="87" t="n">
        <x:v>11</x:v>
      </x:c>
      <x:c r="I5104" s="87"/>
      <x:c r="J5104" s="87" t="str">
        <x:v>958</x:v>
      </x:c>
      <x:c r="K5104" s="87" t="n">
        <x:v>1</x:v>
      </x:c>
      <x:c r="L5104" s="87" t="str">
        <x:v>Связность текста: средство связи</x:v>
      </x:c>
      <x:c r="M5104" s="30" t="str">
        <x:v>Самостоятельно подберите подчинительный союз. который должен стоять на месте пропуска в первом (1) предложении текста. Запишите этот союз. Ответ: $</x:v>
      </x:c>
      <x:c r="N5104" s="30" t="str">
        <x:v>что</x:v>
      </x:c>
      <x:c r="O5104" s="30" t="str">
        <x:v>Ответ перенесён из сводной таблицы и связан с исходным заданием.</x:v>
      </x:c>
      <x:c r="P5104" s="30"/>
      <x:c r="Q5104" s="30" t="str">
        <x:v>Ответ визуально сверён с таблицей ответов; условие привязано к исходной странице.</x:v>
      </x:c>
      <x:c r="R5104" s="30" t="str">
        <x:v>что</x:v>
      </x:c>
      <x:c r="S5104" s="30"/>
      <x:c r="T5104" s="30" t="str">
        <x:v>ОТВЕТЫ (2).docx</x:v>
      </x:c>
      <x:c r="U5104" s="30" t="str">
        <x:v>Расхождений с таблицей ответов не выявлено.</x:v>
      </x:c>
      <x:c r="V5104" s="87" t="str">
        <x:v>VERIFIED</x:v>
      </x:c>
      <x:c r="W5104" s="87"/>
      <x:c r="X5104" s="87"/>
      <x:c r="Y5104" s="87" t="n">
        <x:v>2</x:v>
      </x:c>
      <x:c r="Z5104" s="87" t="n">
        <x:v>2</x:v>
      </x:c>
      <x:c r="AA5104" s="87" t="str">
        <x:v>страница 2</x:v>
      </x:c>
      <x:c r="AB5104" s="87"/>
      <x:c r="AC5104" s="87" t="str">
        <x:v>VIS-EGKR-RUS-W25-TASK-958-P002</x:v>
      </x:c>
      <x:c r="AD5104" s="87" t="str">
        <x:v>VIS-EGKR-RUS-W25-KEY-ALL-P002</x:v>
      </x:c>
      <x:c r="AE5104" s="87" t="str">
        <x:v>TASK; KEY</x:v>
      </x:c>
      <x:c r="AF5104" s="87" t="str">
        <x:v>VIS-EGKR-RUS-W25-TASK-958-P002: 2; VIS-EGKR-RUS-W25-KEY-ALL-P002: 2</x:v>
      </x:c>
      <x:c r="AG5104" s="87" t="str">
        <x:v>RESOLVED</x:v>
      </x:c>
      <x:c r="AH5104" s="87" t="str">
        <x:v>CROP_VERIFIED</x:v>
      </x:c>
      <x:c r="AI5104" s="30"/>
      <x:c r="AJ5104" s="87" t="str">
        <x:v>clean</x:v>
      </x:c>
      <x:c r="AK5104" s="87" t="str">
        <x:v>clean-v0.10</x:v>
      </x:c>
      <x:c r="AL5104" s="87" t="str">
        <x:v>statgrad_clean_continuation_v0_10(1).xlsx</x:v>
      </x:c>
      <x:c r="AM5104" s="87" t="str">
        <x:v>RUS_EGKR_958</x:v>
      </x:c>
      <x:c r="AN5104" s="87" t="n">
        <x:v>2</x:v>
      </x:c>
    </x:row>
    <x:row r="5105">
      <x:c r="A5105" s="87" t="n">
        <x:v>5104</x:v>
      </x:c>
      <x:c r="B5105" s="87" t="str">
        <x:v>EGKR-W25-RUS-958-02</x:v>
      </x:c>
      <x:c r="C5105" s="87" t="str">
        <x:v>ЕГКР</x:v>
      </x:c>
      <x:c r="D5105" s="87"/>
      <x:c r="E5105" s="87" t="str">
        <x:v>Зима 2025</x:v>
      </x:c>
      <x:c r="F5105" s="87" t="str">
        <x:v>09.12.2025</x:v>
      </x:c>
      <x:c r="G5105" s="87" t="str">
        <x:v>Русский язык</x:v>
      </x:c>
      <x:c r="H5105" s="87" t="n">
        <x:v>11</x:v>
      </x:c>
      <x:c r="I5105" s="87"/>
      <x:c r="J5105" s="87" t="str">
        <x:v>958</x:v>
      </x:c>
      <x:c r="K5105" s="87" t="n">
        <x:v>2</x:v>
      </x:c>
      <x:c r="L5105" s="87" t="str">
        <x:v>Лексическое значение слова</x:v>
      </x:c>
      <x:c r="M5105" s="30" t="str">
        <x:v>В тексте выделено пять слов. Укажите варианты ответов. в которых лексическое значение выделенного слова соответствует его значению в данном тексте. Запишите номера ответов. 1) ОБРАЗОВАНИЕ. Совокупность знаний. полученных в результате обучения. Среднее, высшее образование. Начальное образование. 2) СРЕДСТВО. Сиособ действий. используемый при осуществлении какой-либо деятельности. Занятия спортом -- верное средство укрепить здоровье. 3) ЖЁСТКИЙ. Не допускающий отклонений, изменений: строгий. безоговорочный. Жёсткий график. Жёсткое правило. 4) ГРАНИЦА. Условная линия раздела между территориями: рубеж. Государственная граница. Морская граница. 5) СТАНОВИТЬСЯ. Располагаться. размещаться где-либо. Становиться лагерем. Становиться на якорь. Ответ: : 3 Укажите варианты ответов. в которых даны</x:v>
      </x:c>
      <x:c r="N5105" s="30" t="str">
        <x:v>23</x:v>
      </x:c>
      <x:c r="O5105" s="30" t="str">
        <x:v>Ответ перенесён из сводной таблицы и связан с исходным заданием.</x:v>
      </x:c>
      <x:c r="P5105" s="30"/>
      <x:c r="Q5105" s="30" t="str">
        <x:v>Ответ визуально сверён с таблицей ответов; условие привязано к исходной странице.</x:v>
      </x:c>
      <x:c r="R5105" s="30" t="str">
        <x:v>23</x:v>
      </x:c>
      <x:c r="S5105" s="30"/>
      <x:c r="T5105" s="30" t="str">
        <x:v>ОТВЕТЫ (2).docx</x:v>
      </x:c>
      <x:c r="U5105" s="30" t="str">
        <x:v>Расхождений с таблицей ответов не выявлено.</x:v>
      </x:c>
      <x:c r="V5105" s="87" t="str">
        <x:v>VERIFIED</x:v>
      </x:c>
      <x:c r="W5105" s="87"/>
      <x:c r="X5105" s="87"/>
      <x:c r="Y5105" s="87" t="n">
        <x:v>3</x:v>
      </x:c>
      <x:c r="Z5105" s="87" t="n">
        <x:v>3</x:v>
      </x:c>
      <x:c r="AA5105" s="87" t="str">
        <x:v>страница 2</x:v>
      </x:c>
      <x:c r="AB5105" s="87"/>
      <x:c r="AC5105" s="87" t="str">
        <x:v>VIS-EGKR-RUS-W25-TASK-958-P003</x:v>
      </x:c>
      <x:c r="AD5105" s="87" t="str">
        <x:v>VIS-EGKR-RUS-W25-KEY-ALL-P002</x:v>
      </x:c>
      <x:c r="AE5105" s="87" t="str">
        <x:v>TASK; KEY</x:v>
      </x:c>
      <x:c r="AF5105" s="87" t="str">
        <x:v>VIS-EGKR-RUS-W25-TASK-958-P003: 3; VIS-EGKR-RUS-W25-KEY-ALL-P002: 2</x:v>
      </x:c>
      <x:c r="AG5105" s="87" t="str">
        <x:v>RESOLVED</x:v>
      </x:c>
      <x:c r="AH5105" s="87" t="str">
        <x:v>CROP_VERIFIED</x:v>
      </x:c>
      <x:c r="AI5105" s="30"/>
      <x:c r="AJ5105" s="87" t="str">
        <x:v>clean</x:v>
      </x:c>
      <x:c r="AK5105" s="87" t="str">
        <x:v>clean-v0.10</x:v>
      </x:c>
      <x:c r="AL5105" s="87" t="str">
        <x:v>statgrad_clean_continuation_v0_10(1).xlsx</x:v>
      </x:c>
      <x:c r="AM5105" s="87" t="str">
        <x:v>RUS_EGKR_958</x:v>
      </x:c>
      <x:c r="AN5105" s="87" t="n">
        <x:v>3</x:v>
      </x:c>
    </x:row>
    <x:row r="5106">
      <x:c r="A5106" s="87" t="n">
        <x:v>5105</x:v>
      </x:c>
      <x:c r="B5106" s="87" t="str">
        <x:v>EGKR-W25-RUS-958-03</x:v>
      </x:c>
      <x:c r="C5106" s="87" t="str">
        <x:v>ЕГКР</x:v>
      </x:c>
      <x:c r="D5106" s="87"/>
      <x:c r="E5106" s="87" t="str">
        <x:v>Зима 2025</x:v>
      </x:c>
      <x:c r="F5106" s="87" t="str">
        <x:v>09.12.2025</x:v>
      </x:c>
      <x:c r="G5106" s="87" t="str">
        <x:v>Русский язык</x:v>
      </x:c>
      <x:c r="H5106" s="87" t="n">
        <x:v>11</x:v>
      </x:c>
      <x:c r="I5106" s="87"/>
      <x:c r="J5106" s="87" t="str">
        <x:v>958</x:v>
      </x:c>
      <x:c r="K5106" s="87" t="n">
        <x:v>3</x:v>
      </x:c>
      <x:c r="L5106" s="87" t="str">
        <x:v>Стилистический и языковой анализ текста</x:v>
      </x:c>
      <x:c r="M5106" s="30" t="str">
        <x:v>верные характеристики текста. Запишите номера ответов. 1) Текст нанисан в официально-деловом стиле, характеризуется стандартизированностью и шаблонностью изложения: цель автора — дать инструкцию. практические указания по различению форм языка. 2) Анализируя особенности современного литературного языка. авторы рассуждают о подвижности языковой нормы. 3) Текст содержит слова определёиной тематической групиы (произношение. правописание. грамматических форм). отвлечённые имена существительные (нормированность. вариантность). 4) Логичное и последовательное изложение материала достигается за счёт использования диалогической речи 5) С помошью эпитетов («грамматических форм». «общепринятому образцу») автор показывает сложность понятия языковой нормы. Отвст: . © 2026 STSYY "бедесальчьй и-ститут -едатс-ических изуесений" WWWE'E RU &amp;&lt;-уссвануе не допускается</x:v>
      </x:c>
      <x:c r="N5106" s="30" t="str">
        <x:v>23</x:v>
      </x:c>
      <x:c r="O5106" s="30" t="str">
        <x:v>Ответ перенесён из сводной таблицы и связан с исходным заданием.</x:v>
      </x:c>
      <x:c r="P5106" s="30"/>
      <x:c r="Q5106" s="30" t="str">
        <x:v>Ответ визуально сверён с таблицей ответов; условие привязано к исходной странице.</x:v>
      </x:c>
      <x:c r="R5106" s="30" t="str">
        <x:v>23</x:v>
      </x:c>
      <x:c r="S5106" s="30"/>
      <x:c r="T5106" s="30" t="str">
        <x:v>ОТВЕТЫ (2).docx</x:v>
      </x:c>
      <x:c r="U5106" s="30" t="str">
        <x:v>Расхождений с таблицей ответов не выявлено.</x:v>
      </x:c>
      <x:c r="V5106" s="87" t="str">
        <x:v>VERIFIED</x:v>
      </x:c>
      <x:c r="W5106" s="87"/>
      <x:c r="X5106" s="87"/>
      <x:c r="Y5106" s="87" t="n">
        <x:v>3</x:v>
      </x:c>
      <x:c r="Z5106" s="87" t="n">
        <x:v>3</x:v>
      </x:c>
      <x:c r="AA5106" s="87" t="str">
        <x:v>страница 2</x:v>
      </x:c>
      <x:c r="AB5106" s="87"/>
      <x:c r="AC5106" s="87" t="str">
        <x:v>VIS-EGKR-RUS-W25-TASK-958-P003</x:v>
      </x:c>
      <x:c r="AD5106" s="87" t="str">
        <x:v>VIS-EGKR-RUS-W25-KEY-ALL-P002</x:v>
      </x:c>
      <x:c r="AE5106" s="87" t="str">
        <x:v>TASK; KEY</x:v>
      </x:c>
      <x:c r="AF5106" s="87" t="str">
        <x:v>VIS-EGKR-RUS-W25-TASK-958-P003: 3; VIS-EGKR-RUS-W25-KEY-ALL-P002: 2</x:v>
      </x:c>
      <x:c r="AG5106" s="87" t="str">
        <x:v>RESOLVED</x:v>
      </x:c>
      <x:c r="AH5106" s="87" t="str">
        <x:v>CROP_VERIFIED</x:v>
      </x:c>
      <x:c r="AI5106" s="30"/>
      <x:c r="AJ5106" s="87" t="str">
        <x:v>clean</x:v>
      </x:c>
      <x:c r="AK5106" s="87" t="str">
        <x:v>clean-v0.10</x:v>
      </x:c>
      <x:c r="AL5106" s="87" t="str">
        <x:v>statgrad_clean_continuation_v0_10(1).xlsx</x:v>
      </x:c>
      <x:c r="AM5106" s="87" t="str">
        <x:v>RUS_EGKR_958</x:v>
      </x:c>
      <x:c r="AN5106" s="87" t="n">
        <x:v>4</x:v>
      </x:c>
    </x:row>
    <x:row r="5107">
      <x:c r="A5107" s="87" t="n">
        <x:v>5106</x:v>
      </x:c>
      <x:c r="B5107" s="87" t="str">
        <x:v>EGKR-W25-RUS-958-04</x:v>
      </x:c>
      <x:c r="C5107" s="87" t="str">
        <x:v>ЕГКР</x:v>
      </x:c>
      <x:c r="D5107" s="87"/>
      <x:c r="E5107" s="87" t="str">
        <x:v>Зима 2025</x:v>
      </x:c>
      <x:c r="F5107" s="87" t="str">
        <x:v>09.12.2025</x:v>
      </x:c>
      <x:c r="G5107" s="87" t="str">
        <x:v>Русский язык</x:v>
      </x:c>
      <x:c r="H5107" s="87" t="n">
        <x:v>11</x:v>
      </x:c>
      <x:c r="I5107" s="87"/>
      <x:c r="J5107" s="87" t="str">
        <x:v>958</x:v>
      </x:c>
      <x:c r="K5107" s="87" t="n">
        <x:v>4</x:v>
      </x:c>
      <x:c r="L5107" s="87" t="str">
        <x:v>Орфоэпические нормы</x:v>
      </x:c>
      <x:c r="M5107" s="30" t="str">
        <x:v>верно выделена буква. обозначающая уларный гласный звук. Запишите номера ответов. 1) обзвонИт 2) чЕрнать 3) сливОвый 4) тОрты 5} отклЮченный Ответ: _ _ "УЖИНЕ 2 7 | 5 | В одном из приведённых ниже предложений</x:v>
      </x:c>
      <x:c r="N5107" s="30" t="str">
        <x:v>124</x:v>
      </x:c>
      <x:c r="O5107" s="30" t="str">
        <x:v>Ответ перенесён из сводной таблицы и связан с исходным заданием.</x:v>
      </x:c>
      <x:c r="P5107" s="30"/>
      <x:c r="Q5107" s="30" t="str">
        <x:v>Ответ визуально сверён с таблицей ответов; условие привязано к исходной странице.</x:v>
      </x:c>
      <x:c r="R5107" s="30" t="str">
        <x:v>124</x:v>
      </x:c>
      <x:c r="S5107" s="30"/>
      <x:c r="T5107" s="30" t="str">
        <x:v>ОТВЕТЫ (2).docx</x:v>
      </x:c>
      <x:c r="U5107" s="30" t="str">
        <x:v>Расхождений с таблицей ответов не выявлено.</x:v>
      </x:c>
      <x:c r="V5107" s="87" t="str">
        <x:v>VERIFIED</x:v>
      </x:c>
      <x:c r="W5107" s="87"/>
      <x:c r="X5107" s="87"/>
      <x:c r="Y5107" s="87" t="n">
        <x:v>4</x:v>
      </x:c>
      <x:c r="Z5107" s="87" t="n">
        <x:v>4</x:v>
      </x:c>
      <x:c r="AA5107" s="87" t="str">
        <x:v>страница 2</x:v>
      </x:c>
      <x:c r="AB5107" s="87"/>
      <x:c r="AC5107" s="87" t="str">
        <x:v>VIS-EGKR-RUS-W25-TASK-958-P004</x:v>
      </x:c>
      <x:c r="AD5107" s="87" t="str">
        <x:v>VIS-EGKR-RUS-W25-KEY-ALL-P002</x:v>
      </x:c>
      <x:c r="AE5107" s="87" t="str">
        <x:v>TASK; KEY</x:v>
      </x:c>
      <x:c r="AF5107" s="87" t="str">
        <x:v>VIS-EGKR-RUS-W25-TASK-958-P004: 4; VIS-EGKR-RUS-W25-KEY-ALL-P002: 2</x:v>
      </x:c>
      <x:c r="AG5107" s="87" t="str">
        <x:v>RESOLVED</x:v>
      </x:c>
      <x:c r="AH5107" s="87" t="str">
        <x:v>CROP_VERIFIED</x:v>
      </x:c>
      <x:c r="AI5107" s="30"/>
      <x:c r="AJ5107" s="87" t="str">
        <x:v>clean</x:v>
      </x:c>
      <x:c r="AK5107" s="87" t="str">
        <x:v>clean-v0.10</x:v>
      </x:c>
      <x:c r="AL5107" s="87" t="str">
        <x:v>statgrad_clean_continuation_v0_10(1).xlsx</x:v>
      </x:c>
      <x:c r="AM5107" s="87" t="str">
        <x:v>RUS_EGKR_958</x:v>
      </x:c>
      <x:c r="AN5107" s="87" t="n">
        <x:v>5</x:v>
      </x:c>
    </x:row>
    <x:row r="5108">
      <x:c r="A5108" s="87" t="n">
        <x:v>5107</x:v>
      </x:c>
      <x:c r="B5108" s="87" t="str">
        <x:v>EGKR-W25-RUS-958-05</x:v>
      </x:c>
      <x:c r="C5108" s="87" t="str">
        <x:v>ЕГКР</x:v>
      </x:c>
      <x:c r="D5108" s="87"/>
      <x:c r="E5108" s="87" t="str">
        <x:v>Зима 2025</x:v>
      </x:c>
      <x:c r="F5108" s="87" t="str">
        <x:v>09.12.2025</x:v>
      </x:c>
      <x:c r="G5108" s="87" t="str">
        <x:v>Русский язык</x:v>
      </x:c>
      <x:c r="H5108" s="87" t="n">
        <x:v>11</x:v>
      </x:c>
      <x:c r="I5108" s="87"/>
      <x:c r="J5108" s="87" t="str">
        <x:v>958</x:v>
      </x:c>
      <x:c r="K5108" s="87" t="n">
        <x:v>5</x:v>
      </x:c>
      <x:c r="L5108" s="87" t="str">
        <x:v>Паронимы и лексическая сочетаемость</x:v>
      </x:c>
      <x:c r="M5108" s="30" t="str">
        <x:v>НЕВЕРНО употреблено выделенное слово. Исправьте лексическую ошибку. подобрав к выделенному слову пароним. Запишите подобранное слово. соблюдая нормы современного русского литературного языка. Сегодняшний урок посвяшён особенностям ПУБЛИЦИСТИЧЕСКОГО стиля. Активным участникам мероприятия были направлены БЛАГОДАРСТВЕННЫЕ нисьма. Туристу. приехавшему в курортный городок. пришлось купить ДОЖДЛИВЫЙ плащ. В старших классах стало понятно. кто из учеников хочет получить техническое образование, а кто - ГУМАНИТАРНОЕ. Гости. пришелшие на праздник. были нарядно одеты и выглядели ЭФФЕКТНО. </x:v>
      </x:c>
      <x:c r="N5108" s="30" t="str">
        <x:v>дождевой</x:v>
      </x:c>
      <x:c r="O5108" s="30" t="str">
        <x:v>Ответ перенесён из сводной таблицы и связан с исходным заданием.</x:v>
      </x:c>
      <x:c r="P5108" s="30"/>
      <x:c r="Q5108" s="30" t="str">
        <x:v>Ответ визуально сверён с таблицей ответов; условие привязано к исходной странице.</x:v>
      </x:c>
      <x:c r="R5108" s="30" t="str">
        <x:v>дождевой</x:v>
      </x:c>
      <x:c r="S5108" s="30"/>
      <x:c r="T5108" s="30" t="str">
        <x:v>ОТВЕТЫ (2).docx</x:v>
      </x:c>
      <x:c r="U5108" s="30" t="str">
        <x:v>Расхождений с таблицей ответов не выявлено.</x:v>
      </x:c>
      <x:c r="V5108" s="87" t="str">
        <x:v>VERIFIED</x:v>
      </x:c>
      <x:c r="W5108" s="87"/>
      <x:c r="X5108" s="87"/>
      <x:c r="Y5108" s="87" t="n">
        <x:v>4</x:v>
      </x:c>
      <x:c r="Z5108" s="87" t="n">
        <x:v>4</x:v>
      </x:c>
      <x:c r="AA5108" s="87" t="str">
        <x:v>страница 2</x:v>
      </x:c>
      <x:c r="AB5108" s="87"/>
      <x:c r="AC5108" s="87" t="str">
        <x:v>VIS-EGKR-RUS-W25-TASK-958-P004</x:v>
      </x:c>
      <x:c r="AD5108" s="87" t="str">
        <x:v>VIS-EGKR-RUS-W25-KEY-ALL-P002</x:v>
      </x:c>
      <x:c r="AE5108" s="87" t="str">
        <x:v>TASK; KEY</x:v>
      </x:c>
      <x:c r="AF5108" s="87" t="str">
        <x:v>VIS-EGKR-RUS-W25-TASK-958-P004: 4; VIS-EGKR-RUS-W25-KEY-ALL-P002: 2</x:v>
      </x:c>
      <x:c r="AG5108" s="87" t="str">
        <x:v>RESOLVED</x:v>
      </x:c>
      <x:c r="AH5108" s="87" t="str">
        <x:v>CROP_VERIFIED</x:v>
      </x:c>
      <x:c r="AI5108" s="30"/>
      <x:c r="AJ5108" s="87" t="str">
        <x:v>clean</x:v>
      </x:c>
      <x:c r="AK5108" s="87" t="str">
        <x:v>clean-v0.10</x:v>
      </x:c>
      <x:c r="AL5108" s="87" t="str">
        <x:v>statgrad_clean_continuation_v0_10(1).xlsx</x:v>
      </x:c>
      <x:c r="AM5108" s="87" t="str">
        <x:v>RUS_EGKR_958</x:v>
      </x:c>
      <x:c r="AN5108" s="87" t="n">
        <x:v>6</x:v>
      </x:c>
    </x:row>
    <x:row r="5109">
      <x:c r="A5109" s="87" t="n">
        <x:v>5108</x:v>
      </x:c>
      <x:c r="B5109" s="87" t="str">
        <x:v>EGKR-W25-RUS-958-06</x:v>
      </x:c>
      <x:c r="C5109" s="87" t="str">
        <x:v>ЕГКР</x:v>
      </x:c>
      <x:c r="D5109" s="87"/>
      <x:c r="E5109" s="87" t="str">
        <x:v>Зима 2025</x:v>
      </x:c>
      <x:c r="F5109" s="87" t="str">
        <x:v>09.12.2025</x:v>
      </x:c>
      <x:c r="G5109" s="87" t="str">
        <x:v>Русский язык</x:v>
      </x:c>
      <x:c r="H5109" s="87" t="n">
        <x:v>11</x:v>
      </x:c>
      <x:c r="I5109" s="87"/>
      <x:c r="J5109" s="87" t="str">
        <x:v>958</x:v>
      </x:c>
      <x:c r="K5109" s="87" t="n">
        <x:v>6</x:v>
      </x:c>
      <x:c r="L5109" s="87" t="str">
        <x:v>Лексическая норма / речевая избыточность</x:v>
      </x:c>
      <x:c r="M5109" s="30" t="str">
        <x:v>Отредактируйте предложение: исправьте лексическую ошибку, исключив лишнее слово. Выпишите это слово. Издательство заключило с новым перспективным автором договор о совместном сотрудничестве. OTC i В одном из выделенных ниже слов допушена</x:v>
      </x:c>
      <x:c r="N5109" s="30" t="str">
        <x:v>совместном</x:v>
      </x:c>
      <x:c r="O5109" s="30" t="str">
        <x:v>Ответ перенесён из сводной таблицы и связан с исходным заданием.</x:v>
      </x:c>
      <x:c r="P5109" s="30"/>
      <x:c r="Q5109" s="30" t="str">
        <x:v>Ответ визуально сверён с таблицей ответов; условие привязано к исходной странице.</x:v>
      </x:c>
      <x:c r="R5109" s="30" t="str">
        <x:v>совместном</x:v>
      </x:c>
      <x:c r="S5109" s="30"/>
      <x:c r="T5109" s="30" t="str">
        <x:v>ОТВЕТЫ (2).docx</x:v>
      </x:c>
      <x:c r="U5109" s="30" t="str">
        <x:v>Расхождений с таблицей ответов не выявлено.</x:v>
      </x:c>
      <x:c r="V5109" s="87" t="str">
        <x:v>VERIFIED</x:v>
      </x:c>
      <x:c r="W5109" s="87"/>
      <x:c r="X5109" s="87"/>
      <x:c r="Y5109" s="87" t="n">
        <x:v>5</x:v>
      </x:c>
      <x:c r="Z5109" s="87" t="n">
        <x:v>5</x:v>
      </x:c>
      <x:c r="AA5109" s="87" t="str">
        <x:v>страница 2</x:v>
      </x:c>
      <x:c r="AB5109" s="87"/>
      <x:c r="AC5109" s="87" t="str">
        <x:v>VIS-EGKR-RUS-W25-TASK-958-P005</x:v>
      </x:c>
      <x:c r="AD5109" s="87" t="str">
        <x:v>VIS-EGKR-RUS-W25-KEY-ALL-P002</x:v>
      </x:c>
      <x:c r="AE5109" s="87" t="str">
        <x:v>TASK; KEY</x:v>
      </x:c>
      <x:c r="AF5109" s="87" t="str">
        <x:v>VIS-EGKR-RUS-W25-TASK-958-P005: 5; VIS-EGKR-RUS-W25-KEY-ALL-P002: 2</x:v>
      </x:c>
      <x:c r="AG5109" s="87" t="str">
        <x:v>RESOLVED</x:v>
      </x:c>
      <x:c r="AH5109" s="87" t="str">
        <x:v>CROP_VERIFIED</x:v>
      </x:c>
      <x:c r="AI5109" s="30"/>
      <x:c r="AJ5109" s="87" t="str">
        <x:v>clean</x:v>
      </x:c>
      <x:c r="AK5109" s="87" t="str">
        <x:v>clean-v0.10</x:v>
      </x:c>
      <x:c r="AL5109" s="87" t="str">
        <x:v>statgrad_clean_continuation_v0_10(1).xlsx</x:v>
      </x:c>
      <x:c r="AM5109" s="87" t="str">
        <x:v>RUS_EGKR_958</x:v>
      </x:c>
      <x:c r="AN5109" s="87" t="n">
        <x:v>7</x:v>
      </x:c>
    </x:row>
    <x:row r="5110">
      <x:c r="A5110" s="87" t="n">
        <x:v>5109</x:v>
      </x:c>
      <x:c r="B5110" s="87" t="str">
        <x:v>EGKR-W25-RUS-958-07</x:v>
      </x:c>
      <x:c r="C5110" s="87" t="str">
        <x:v>ЕГКР</x:v>
      </x:c>
      <x:c r="D5110" s="87"/>
      <x:c r="E5110" s="87" t="str">
        <x:v>Зима 2025</x:v>
      </x:c>
      <x:c r="F5110" s="87" t="str">
        <x:v>09.12.2025</x:v>
      </x:c>
      <x:c r="G5110" s="87" t="str">
        <x:v>Русский язык</x:v>
      </x:c>
      <x:c r="H5110" s="87" t="n">
        <x:v>11</x:v>
      </x:c>
      <x:c r="I5110" s="87"/>
      <x:c r="J5110" s="87" t="str">
        <x:v>958</x:v>
      </x:c>
      <x:c r="K5110" s="87" t="n">
        <x:v>7</x:v>
      </x:c>
      <x:c r="L5110" s="87" t="str">
        <x:v>Морфологические нормы</x:v>
      </x:c>
      <x:c r="M5110" s="30" t="str">
        <x:v>грамматическая ошибка. Исправьте ошибку и запишите слово правильно. двух КИЛОГРАММОВ персиков сколо ПЯТИСТА участников эта книга ИНТЕРЕСНЕЕ КЛАДИТЕ в шкаф в ДВЕ тысячи пятом году Ответ: . $ 2525 ©754У ‘седерагьньй институт гера"с-и-еслих изуесе-ий“ WWWE'S RU «с-иссва-ие не догускается</x:v>
      </x:c>
      <x:c r="N5110" s="30" t="str">
        <x:v>килограмм</x:v>
      </x:c>
      <x:c r="O5110" s="30" t="str">
        <x:v>Ответ перенесён из сводной таблицы и связан с исходным заданием.</x:v>
      </x:c>
      <x:c r="P5110" s="30"/>
      <x:c r="Q5110" s="30" t="str">
        <x:v>Ответ визуально сверён с таблицей ответов; условие привязано к исходной странице.</x:v>
      </x:c>
      <x:c r="R5110" s="30" t="str">
        <x:v>килограмм</x:v>
      </x:c>
      <x:c r="S5110" s="30"/>
      <x:c r="T5110" s="30" t="str">
        <x:v>ОТВЕТЫ (2).docx</x:v>
      </x:c>
      <x:c r="U5110" s="30" t="str">
        <x:v>Расхождений с таблицей ответов не выявлено.</x:v>
      </x:c>
      <x:c r="V5110" s="87" t="str">
        <x:v>VERIFIED</x:v>
      </x:c>
      <x:c r="W5110" s="87"/>
      <x:c r="X5110" s="87"/>
      <x:c r="Y5110" s="87" t="n">
        <x:v>5</x:v>
      </x:c>
      <x:c r="Z5110" s="87" t="n">
        <x:v>5</x:v>
      </x:c>
      <x:c r="AA5110" s="87" t="str">
        <x:v>страница 2</x:v>
      </x:c>
      <x:c r="AB5110" s="87"/>
      <x:c r="AC5110" s="87" t="str">
        <x:v>VIS-EGKR-RUS-W25-TASK-958-P005</x:v>
      </x:c>
      <x:c r="AD5110" s="87" t="str">
        <x:v>VIS-EGKR-RUS-W25-KEY-ALL-P002</x:v>
      </x:c>
      <x:c r="AE5110" s="87" t="str">
        <x:v>TASK; KEY</x:v>
      </x:c>
      <x:c r="AF5110" s="87" t="str">
        <x:v>VIS-EGKR-RUS-W25-TASK-958-P005: 5; VIS-EGKR-RUS-W25-KEY-ALL-P002: 2</x:v>
      </x:c>
      <x:c r="AG5110" s="87" t="str">
        <x:v>RESOLVED</x:v>
      </x:c>
      <x:c r="AH5110" s="87" t="str">
        <x:v>CROP_VERIFIED</x:v>
      </x:c>
      <x:c r="AI5110" s="30"/>
      <x:c r="AJ5110" s="87" t="str">
        <x:v>clean</x:v>
      </x:c>
      <x:c r="AK5110" s="87" t="str">
        <x:v>clean-v0.10</x:v>
      </x:c>
      <x:c r="AL5110" s="87" t="str">
        <x:v>statgrad_clean_continuation_v0_10(1).xlsx</x:v>
      </x:c>
      <x:c r="AM5110" s="87" t="str">
        <x:v>RUS_EGKR_958</x:v>
      </x:c>
      <x:c r="AN5110" s="87" t="n">
        <x:v>8</x:v>
      </x:c>
    </x:row>
    <x:row r="5111">
      <x:c r="A5111" s="87" t="n">
        <x:v>5110</x:v>
      </x:c>
      <x:c r="B5111" s="87" t="str">
        <x:v>EGKR-W25-RUS-958-08</x:v>
      </x:c>
      <x:c r="C5111" s="87" t="str">
        <x:v>ЕГКР</x:v>
      </x:c>
      <x:c r="D5111" s="87"/>
      <x:c r="E5111" s="87" t="str">
        <x:v>Зима 2025</x:v>
      </x:c>
      <x:c r="F5111" s="87" t="str">
        <x:v>09.12.2025</x:v>
      </x:c>
      <x:c r="G5111" s="87" t="str">
        <x:v>Русский язык</x:v>
      </x:c>
      <x:c r="H5111" s="87" t="n">
        <x:v>11</x:v>
      </x:c>
      <x:c r="I5111" s="87"/>
      <x:c r="J5111" s="87" t="str">
        <x:v>958</x:v>
      </x:c>
      <x:c r="K5111" s="87" t="n">
        <x:v>8</x:v>
      </x:c>
      <x:c r="L5111" s="87" t="str">
        <x:v>Синтаксические нормы: соответствие ошибок</x:v>
      </x:c>
      <x:c r="M5111" s="30" t="str">
        <x:v>соответствие между грамматическими ошибками и предложениями. в которых они допущены: к каждой позиции первого столбиа подберите соответствующую позицию из второго столбца. ГРАММАТИЧЕСКИЕ ПРЕДЛОЖЕНИЯ ОШИБКИ А) неправильное [} Персонаж поэмы Н.В. Гоголя «Мёртвых употребление падежной душ» Манилов только мечтает и ничего (прелложно-падежной) не делает. формы управляемого 2) Оспорив мнение оппонентов. гипотеза слова известного учёного была полтвержлена. Б} неправильное построение 3} Конференция длилась пелый день, и все предложения с косвенной участники устали. но никто не ушёл речью до окончания работы. В) нарушение в построении 4) Согласно приказу директора школы предложения выпускной вечер прошёл в конце июня. © несогласованным 5) В автобиографии «Я сам» приложением В.В. Маяковский пишет. что «Я — 1037, Г) неправильное построение Этим и интересен». предложения 6) Сравнение может быть выражено как с деепричастным оборотом при номощи союза, а также имени Д) ошибка в построении сушествительного в творительном предложения падеже. с однородными членами 7) В торжественном вечере приняли участие как сотрудники. так и почётные гости. 8) Для успешного исследования важно не только знание теоретического материала. но и его проверка на практике. 9) По окончанию спектакля артисты много раз выходили на поклон. Запишите в таблицу выбранные цифры под соответствующими буквами. А_Б В.Г! Д'! Ответ: т А ААА</x:v>
      </x:c>
      <x:c r="N5111" s="30" t="str">
        <x:v>95126</x:v>
      </x:c>
      <x:c r="O5111" s="30" t="str">
        <x:v>Ответ перенесён из сводной таблицы и связан с исходным заданием.</x:v>
      </x:c>
      <x:c r="P5111" s="30"/>
      <x:c r="Q5111" s="30" t="str">
        <x:v>Ответ визуально сверён с таблицей ответов; условие привязано к исходной странице.</x:v>
      </x:c>
      <x:c r="R5111" s="30" t="str">
        <x:v>95126</x:v>
      </x:c>
      <x:c r="S5111" s="30"/>
      <x:c r="T5111" s="30" t="str">
        <x:v>ОТВЕТЫ (2).docx</x:v>
      </x:c>
      <x:c r="U5111" s="30" t="str">
        <x:v>Расхождений с таблицей ответов не выявлено.</x:v>
      </x:c>
      <x:c r="V5111" s="87" t="str">
        <x:v>VERIFIED</x:v>
      </x:c>
      <x:c r="W5111" s="87"/>
      <x:c r="X5111" s="87"/>
      <x:c r="Y5111" s="87" t="n">
        <x:v>6</x:v>
      </x:c>
      <x:c r="Z5111" s="87" t="n">
        <x:v>6</x:v>
      </x:c>
      <x:c r="AA5111" s="87" t="str">
        <x:v>страница 2</x:v>
      </x:c>
      <x:c r="AB5111" s="87"/>
      <x:c r="AC5111" s="87" t="str">
        <x:v>VIS-EGKR-RUS-W25-TASK-958-P006</x:v>
      </x:c>
      <x:c r="AD5111" s="87" t="str">
        <x:v>VIS-EGKR-RUS-W25-KEY-ALL-P002</x:v>
      </x:c>
      <x:c r="AE5111" s="87" t="str">
        <x:v>TASK; KEY</x:v>
      </x:c>
      <x:c r="AF5111" s="87" t="str">
        <x:v>VIS-EGKR-RUS-W25-TASK-958-P006: 6; VIS-EGKR-RUS-W25-KEY-ALL-P002: 2</x:v>
      </x:c>
      <x:c r="AG5111" s="87" t="str">
        <x:v>RESOLVED</x:v>
      </x:c>
      <x:c r="AH5111" s="87" t="str">
        <x:v>CROP_VERIFIED</x:v>
      </x:c>
      <x:c r="AI5111" s="30"/>
      <x:c r="AJ5111" s="87" t="str">
        <x:v>clean</x:v>
      </x:c>
      <x:c r="AK5111" s="87" t="str">
        <x:v>clean-v0.10</x:v>
      </x:c>
      <x:c r="AL5111" s="87" t="str">
        <x:v>statgrad_clean_continuation_v0_10(1).xlsx</x:v>
      </x:c>
      <x:c r="AM5111" s="87" t="str">
        <x:v>RUS_EGKR_958</x:v>
      </x:c>
      <x:c r="AN5111" s="87" t="n">
        <x:v>9</x:v>
      </x:c>
    </x:row>
    <x:row r="5112">
      <x:c r="A5112" s="87" t="n">
        <x:v>5111</x:v>
      </x:c>
      <x:c r="B5112" s="87" t="str">
        <x:v>EGKR-W25-RUS-958-09</x:v>
      </x:c>
      <x:c r="C5112" s="87" t="str">
        <x:v>ЕГКР</x:v>
      </x:c>
      <x:c r="D5112" s="87"/>
      <x:c r="E5112" s="87" t="str">
        <x:v>Зима 2025</x:v>
      </x:c>
      <x:c r="F5112" s="87" t="str">
        <x:v>09.12.2025</x:v>
      </x:c>
      <x:c r="G5112" s="87" t="str">
        <x:v>Русский язык</x:v>
      </x:c>
      <x:c r="H5112" s="87" t="n">
        <x:v>11</x:v>
      </x:c>
      <x:c r="I5112" s="87"/>
      <x:c r="J5112" s="87" t="str">
        <x:v>958</x:v>
      </x:c>
      <x:c r="K5112" s="87" t="n">
        <x:v>9</x:v>
      </x:c>
      <x:c r="L5112" s="87" t="str">
        <x:v>Правописание корней</x:v>
      </x:c>
      <x:c r="M5112" s="30" t="str">
        <x:v>во всех словах одного ряда пропущена одна и та же буква. Запишите номера ответов. 1) подр..внять (волосы), оп..здание, пром..чить (ноги) 2) выч. тание, разм..нать (мыищь). зам..рать (от восторга) 3) погл..шение, укр..тить (гнев). пол..скать (бельё) 4) сотв..рение (мира). к..саться (воды). ск..кать (от радости) 5) (новая) отр..сль, прир..внять (к нулю). (юная) ил..вчиха OrpeT:</x:v>
      </x:c>
      <x:c r="N5112" s="30" t="str">
        <x:v>23</x:v>
      </x:c>
      <x:c r="O5112" s="30" t="str">
        <x:v>Ответ перенесён из сводной таблицы и связан с исходным заданием.</x:v>
      </x:c>
      <x:c r="P5112" s="30"/>
      <x:c r="Q5112" s="30" t="str">
        <x:v>Ответ визуально сверён с таблицей ответов; условие привязано к исходной странице.</x:v>
      </x:c>
      <x:c r="R5112" s="30" t="str">
        <x:v>23</x:v>
      </x:c>
      <x:c r="S5112" s="30"/>
      <x:c r="T5112" s="30" t="str">
        <x:v>ОТВЕТЫ (2).docx</x:v>
      </x:c>
      <x:c r="U5112" s="30" t="str">
        <x:v>Расхождений с таблицей ответов не выявлено.</x:v>
      </x:c>
      <x:c r="V5112" s="87" t="str">
        <x:v>VERIFIED</x:v>
      </x:c>
      <x:c r="W5112" s="87"/>
      <x:c r="X5112" s="87"/>
      <x:c r="Y5112" s="87" t="n">
        <x:v>7</x:v>
      </x:c>
      <x:c r="Z5112" s="87" t="n">
        <x:v>7</x:v>
      </x:c>
      <x:c r="AA5112" s="87" t="str">
        <x:v>страница 2</x:v>
      </x:c>
      <x:c r="AB5112" s="87"/>
      <x:c r="AC5112" s="87" t="str">
        <x:v>VIS-EGKR-RUS-W25-TASK-958-P007</x:v>
      </x:c>
      <x:c r="AD5112" s="87" t="str">
        <x:v>VIS-EGKR-RUS-W25-KEY-ALL-P002</x:v>
      </x:c>
      <x:c r="AE5112" s="87" t="str">
        <x:v>TASK; KEY</x:v>
      </x:c>
      <x:c r="AF5112" s="87" t="str">
        <x:v>VIS-EGKR-RUS-W25-TASK-958-P007: 7; VIS-EGKR-RUS-W25-KEY-ALL-P002: 2</x:v>
      </x:c>
      <x:c r="AG5112" s="87" t="str">
        <x:v>RESOLVED</x:v>
      </x:c>
      <x:c r="AH5112" s="87" t="str">
        <x:v>CROP_VERIFIED</x:v>
      </x:c>
      <x:c r="AI5112" s="30"/>
      <x:c r="AJ5112" s="87" t="str">
        <x:v>clean</x:v>
      </x:c>
      <x:c r="AK5112" s="87" t="str">
        <x:v>clean-v0.10</x:v>
      </x:c>
      <x:c r="AL5112" s="87" t="str">
        <x:v>statgrad_clean_continuation_v0_10(1).xlsx</x:v>
      </x:c>
      <x:c r="AM5112" s="87" t="str">
        <x:v>RUS_EGKR_958</x:v>
      </x:c>
      <x:c r="AN5112" s="87" t="n">
        <x:v>10</x:v>
      </x:c>
    </x:row>
    <x:row r="5113">
      <x:c r="A5113" s="87" t="n">
        <x:v>5112</x:v>
      </x:c>
      <x:c r="B5113" s="87" t="str">
        <x:v>EGKR-W25-RUS-958-10</x:v>
      </x:c>
      <x:c r="C5113" s="87" t="str">
        <x:v>ЕГКР</x:v>
      </x:c>
      <x:c r="D5113" s="87"/>
      <x:c r="E5113" s="87" t="str">
        <x:v>Зима 2025</x:v>
      </x:c>
      <x:c r="F5113" s="87" t="str">
        <x:v>09.12.2025</x:v>
      </x:c>
      <x:c r="G5113" s="87" t="str">
        <x:v>Русский язык</x:v>
      </x:c>
      <x:c r="H5113" s="87" t="n">
        <x:v>11</x:v>
      </x:c>
      <x:c r="I5113" s="87"/>
      <x:c r="J5113" s="87" t="str">
        <x:v>958</x:v>
      </x:c>
      <x:c r="K5113" s="87" t="n">
        <x:v>10</x:v>
      </x:c>
      <x:c r="L5113" s="87" t="str">
        <x:v>Правописание приставок и букв Ы/И</x:v>
      </x:c>
      <x:c r="M5113" s="30" t="str">
        <x:v>10 © Укажите варианты ответов. в которых BO всех словах одного ряда пропущена одна и та же буква. Занишите номера ответов. 1) меж..неститутский (проект). вз..мать (штраф). пед..нститут 2) без..нициативный (ученик). под..тожить (результаты). прел..стория 3) нсир..ступный (утёс). пр..клониться (к земле), пр..бывать (в город) 4) бе. конечный, и..бегать (разговора). чере..чур 5} с..страдание. р..зыскать. пр..дедушка Ответ: . 1! Укажите варианты ответов. в которых</x:v>
      </x:c>
      <x:c r="N5113" s="30" t="str">
        <x:v>123</x:v>
      </x:c>
      <x:c r="O5113" s="30" t="str">
        <x:v>Ответ перенесён из сводной таблицы и связан с исходным заданием.</x:v>
      </x:c>
      <x:c r="P5113" s="30"/>
      <x:c r="Q5113" s="30" t="str">
        <x:v>Ответ визуально сверён с таблицей ответов; условие привязано к исходной странице.</x:v>
      </x:c>
      <x:c r="R5113" s="30" t="str">
        <x:v>123</x:v>
      </x:c>
      <x:c r="S5113" s="30"/>
      <x:c r="T5113" s="30" t="str">
        <x:v>ОТВЕТЫ (2).docx</x:v>
      </x:c>
      <x:c r="U5113" s="30" t="str">
        <x:v>Расхождений с таблицей ответов не выявлено.</x:v>
      </x:c>
      <x:c r="V5113" s="87" t="str">
        <x:v>VERIFIED</x:v>
      </x:c>
      <x:c r="W5113" s="87"/>
      <x:c r="X5113" s="87"/>
      <x:c r="Y5113" s="87" t="n">
        <x:v>7</x:v>
      </x:c>
      <x:c r="Z5113" s="87" t="n">
        <x:v>7</x:v>
      </x:c>
      <x:c r="AA5113" s="87" t="str">
        <x:v>страница 2</x:v>
      </x:c>
      <x:c r="AB5113" s="87"/>
      <x:c r="AC5113" s="87" t="str">
        <x:v>VIS-EGKR-RUS-W25-TASK-958-P007</x:v>
      </x:c>
      <x:c r="AD5113" s="87" t="str">
        <x:v>VIS-EGKR-RUS-W25-KEY-ALL-P002</x:v>
      </x:c>
      <x:c r="AE5113" s="87" t="str">
        <x:v>TASK; KEY</x:v>
      </x:c>
      <x:c r="AF5113" s="87" t="str">
        <x:v>VIS-EGKR-RUS-W25-TASK-958-P007: 7; VIS-EGKR-RUS-W25-KEY-ALL-P002: 2</x:v>
      </x:c>
      <x:c r="AG5113" s="87" t="str">
        <x:v>RESOLVED</x:v>
      </x:c>
      <x:c r="AH5113" s="87" t="str">
        <x:v>CROP_VERIFIED</x:v>
      </x:c>
      <x:c r="AI5113" s="30"/>
      <x:c r="AJ5113" s="87" t="str">
        <x:v>clean</x:v>
      </x:c>
      <x:c r="AK5113" s="87" t="str">
        <x:v>clean-v0.10</x:v>
      </x:c>
      <x:c r="AL5113" s="87" t="str">
        <x:v>statgrad_clean_continuation_v0_10(1).xlsx</x:v>
      </x:c>
      <x:c r="AM5113" s="87" t="str">
        <x:v>RUS_EGKR_958</x:v>
      </x:c>
      <x:c r="AN5113" s="87" t="n">
        <x:v>11</x:v>
      </x:c>
    </x:row>
    <x:row r="5114">
      <x:c r="A5114" s="87" t="n">
        <x:v>5113</x:v>
      </x:c>
      <x:c r="B5114" s="87" t="str">
        <x:v>EGKR-W25-RUS-958-11</x:v>
      </x:c>
      <x:c r="C5114" s="87" t="str">
        <x:v>ЕГКР</x:v>
      </x:c>
      <x:c r="D5114" s="87"/>
      <x:c r="E5114" s="87" t="str">
        <x:v>Зима 2025</x:v>
      </x:c>
      <x:c r="F5114" s="87" t="str">
        <x:v>09.12.2025</x:v>
      </x:c>
      <x:c r="G5114" s="87" t="str">
        <x:v>Русский язык</x:v>
      </x:c>
      <x:c r="H5114" s="87" t="n">
        <x:v>11</x:v>
      </x:c>
      <x:c r="I5114" s="87"/>
      <x:c r="J5114" s="87" t="str">
        <x:v>958</x:v>
      </x:c>
      <x:c r="K5114" s="87" t="n">
        <x:v>11</x:v>
      </x:c>
      <x:c r="L5114" s="87" t="str">
        <x:v>Правописание суффиксов</x:v>
      </x:c>
      <x:c r="M5114" s="30" t="str">
        <x:v>в обоих словах одного ряда пропущена одна и та же буква. Запишите номера ответов. 1} недоум..вать. одол..вать 2) залив..стый (смех). талантл..вый 3) мудр..сть. дымч. тый (кварц) 4) развед..вать (обстановку). команд..вать 5) (приходить) изрелк... (начинать) занов.. Ответ: Ш $2525 с75НУ‘Федесальньй и-ститут -еда"с“и-еских vavece-77 WWW.E'E RU &lt;cryccea-ve не допускается</x:v>
      </x:c>
      <x:c r="N5114" s="30" t="str">
        <x:v>12</x:v>
      </x:c>
      <x:c r="O5114" s="30" t="str">
        <x:v>Ответ перенесён из сводной таблицы и связан с исходным заданием.</x:v>
      </x:c>
      <x:c r="P5114" s="30"/>
      <x:c r="Q5114" s="30" t="str">
        <x:v>Ответ визуально сверён с таблицей ответов; условие привязано к исходной странице.</x:v>
      </x:c>
      <x:c r="R5114" s="30" t="str">
        <x:v>12</x:v>
      </x:c>
      <x:c r="S5114" s="30"/>
      <x:c r="T5114" s="30" t="str">
        <x:v>ОТВЕТЫ (2).docx</x:v>
      </x:c>
      <x:c r="U5114" s="30" t="str">
        <x:v>Расхождений с таблицей ответов не выявлено.</x:v>
      </x:c>
      <x:c r="V5114" s="87" t="str">
        <x:v>VERIFIED</x:v>
      </x:c>
      <x:c r="W5114" s="87"/>
      <x:c r="X5114" s="87"/>
      <x:c r="Y5114" s="87" t="n">
        <x:v>7</x:v>
      </x:c>
      <x:c r="Z5114" s="87" t="n">
        <x:v>7</x:v>
      </x:c>
      <x:c r="AA5114" s="87" t="str">
        <x:v>страница 2</x:v>
      </x:c>
      <x:c r="AB5114" s="87"/>
      <x:c r="AC5114" s="87" t="str">
        <x:v>VIS-EGKR-RUS-W25-TASK-958-P007</x:v>
      </x:c>
      <x:c r="AD5114" s="87" t="str">
        <x:v>VIS-EGKR-RUS-W25-KEY-ALL-P002</x:v>
      </x:c>
      <x:c r="AE5114" s="87" t="str">
        <x:v>TASK; KEY</x:v>
      </x:c>
      <x:c r="AF5114" s="87" t="str">
        <x:v>VIS-EGKR-RUS-W25-TASK-958-P007: 7; VIS-EGKR-RUS-W25-KEY-ALL-P002: 2</x:v>
      </x:c>
      <x:c r="AG5114" s="87" t="str">
        <x:v>RESOLVED</x:v>
      </x:c>
      <x:c r="AH5114" s="87" t="str">
        <x:v>CROP_VERIFIED</x:v>
      </x:c>
      <x:c r="AI5114" s="30"/>
      <x:c r="AJ5114" s="87" t="str">
        <x:v>clean</x:v>
      </x:c>
      <x:c r="AK5114" s="87" t="str">
        <x:v>clean-v0.10</x:v>
      </x:c>
      <x:c r="AL5114" s="87" t="str">
        <x:v>statgrad_clean_continuation_v0_10(1).xlsx</x:v>
      </x:c>
      <x:c r="AM5114" s="87" t="str">
        <x:v>RUS_EGKR_958</x:v>
      </x:c>
      <x:c r="AN5114" s="87" t="n">
        <x:v>12</x:v>
      </x:c>
    </x:row>
    <x:row r="5115">
      <x:c r="A5115" s="87" t="n">
        <x:v>5114</x:v>
      </x:c>
      <x:c r="B5115" s="87" t="str">
        <x:v>EGKR-W25-RUS-958-12</x:v>
      </x:c>
      <x:c r="C5115" s="87" t="str">
        <x:v>ЕГКР</x:v>
      </x:c>
      <x:c r="D5115" s="87"/>
      <x:c r="E5115" s="87" t="str">
        <x:v>Зима 2025</x:v>
      </x:c>
      <x:c r="F5115" s="87" t="str">
        <x:v>09.12.2025</x:v>
      </x:c>
      <x:c r="G5115" s="87" t="str">
        <x:v>Русский язык</x:v>
      </x:c>
      <x:c r="H5115" s="87" t="n">
        <x:v>11</x:v>
      </x:c>
      <x:c r="I5115" s="87"/>
      <x:c r="J5115" s="87" t="str">
        <x:v>958</x:v>
      </x:c>
      <x:c r="K5115" s="87" t="n">
        <x:v>12</x:v>
      </x:c>
      <x:c r="L5115" s="87" t="str">
        <x:v>Личные окончания глаголов и суффиксы причастий</x:v>
      </x:c>
      <x:c r="M5115" s="30" t="str">
        <x:v>в обоих словах одного ряда пропущена одна и та же буква. Запишите номера ответов. 1} нонима..шь, жела..мый (результат) 2) (мужчины) бре. тся. (дети) кле.т (кубики) 3) танцу..щие (гости). бор..щиеся (спортсмены) 4) стел..щийся (туман). се. щий (семена) 5) постро..нный (дом). раста..вшее (мороженое) Ответ: : lia : | 13 | Укажите варианты ответов, в которых</x:v>
      </x:c>
      <x:c r="N5115" s="30" t="str">
        <x:v>14</x:v>
      </x:c>
      <x:c r="O5115" s="30" t="str">
        <x:v>Ответ перенесён из сводной таблицы и связан с исходным заданием.</x:v>
      </x:c>
      <x:c r="P5115" s="30"/>
      <x:c r="Q5115" s="30" t="str">
        <x:v>Ответ визуально сверён с таблицей ответов; условие привязано к исходной странице.</x:v>
      </x:c>
      <x:c r="R5115" s="30" t="str">
        <x:v>14</x:v>
      </x:c>
      <x:c r="S5115" s="30"/>
      <x:c r="T5115" s="30" t="str">
        <x:v>ОТВЕТЫ (2).docx</x:v>
      </x:c>
      <x:c r="U5115" s="30" t="str">
        <x:v>Расхождений с таблицей ответов не выявлено.</x:v>
      </x:c>
      <x:c r="V5115" s="87" t="str">
        <x:v>VERIFIED</x:v>
      </x:c>
      <x:c r="W5115" s="87"/>
      <x:c r="X5115" s="87"/>
      <x:c r="Y5115" s="87" t="n">
        <x:v>8</x:v>
      </x:c>
      <x:c r="Z5115" s="87" t="n">
        <x:v>8</x:v>
      </x:c>
      <x:c r="AA5115" s="87" t="str">
        <x:v>страница 2</x:v>
      </x:c>
      <x:c r="AB5115" s="87"/>
      <x:c r="AC5115" s="87" t="str">
        <x:v>VIS-EGKR-RUS-W25-TASK-958-P008</x:v>
      </x:c>
      <x:c r="AD5115" s="87" t="str">
        <x:v>VIS-EGKR-RUS-W25-KEY-ALL-P002</x:v>
      </x:c>
      <x:c r="AE5115" s="87" t="str">
        <x:v>TASK; KEY</x:v>
      </x:c>
      <x:c r="AF5115" s="87" t="str">
        <x:v>VIS-EGKR-RUS-W25-TASK-958-P008: 8; VIS-EGKR-RUS-W25-KEY-ALL-P002: 2</x:v>
      </x:c>
      <x:c r="AG5115" s="87" t="str">
        <x:v>RESOLVED</x:v>
      </x:c>
      <x:c r="AH5115" s="87" t="str">
        <x:v>CROP_VERIFIED</x:v>
      </x:c>
      <x:c r="AI5115" s="30"/>
      <x:c r="AJ5115" s="87" t="str">
        <x:v>clean</x:v>
      </x:c>
      <x:c r="AK5115" s="87" t="str">
        <x:v>clean-v0.10</x:v>
      </x:c>
      <x:c r="AL5115" s="87" t="str">
        <x:v>statgrad_clean_continuation_v0_10(1).xlsx</x:v>
      </x:c>
      <x:c r="AM5115" s="87" t="str">
        <x:v>RUS_EGKR_958</x:v>
      </x:c>
      <x:c r="AN5115" s="87" t="n">
        <x:v>13</x:v>
      </x:c>
    </x:row>
    <x:row r="5116">
      <x:c r="A5116" s="87" t="n">
        <x:v>5115</x:v>
      </x:c>
      <x:c r="B5116" s="87" t="str">
        <x:v>EGKR-W25-RUS-958-13</x:v>
      </x:c>
      <x:c r="C5116" s="87" t="str">
        <x:v>ЕГКР</x:v>
      </x:c>
      <x:c r="D5116" s="87"/>
      <x:c r="E5116" s="87" t="str">
        <x:v>Зима 2025</x:v>
      </x:c>
      <x:c r="F5116" s="87" t="str">
        <x:v>09.12.2025</x:v>
      </x:c>
      <x:c r="G5116" s="87" t="str">
        <x:v>Русский язык</x:v>
      </x:c>
      <x:c r="H5116" s="87" t="n">
        <x:v>11</x:v>
      </x:c>
      <x:c r="I5116" s="87"/>
      <x:c r="J5116" s="87" t="str">
        <x:v>958</x:v>
      </x:c>
      <x:c r="K5116" s="87" t="n">
        <x:v>13</x:v>
      </x:c>
      <x:c r="L5116" s="87" t="str">
        <x:v>Правописание НЕ</x:v>
      </x:c>
      <x:c r="M5116" s="30" t="str">
        <x:v>HE с выделенным словом пишется СЛИТНО. Запишите номера ответов. 1) Психологи советуют не путать (НЕ)УВЕРЕННОСТЬ в себе с заниженной самооценкой. 2) Уже давно купленная, но (НЕ}ДОЧИТАННАЯ до сих пор книга пригодится нам во время отпуска. 3) Поступок товарища оказался неожиданным для нас и отиюль (НЕ)ПОРЯДОЧНЫМ. 4) В шкафу у профессора лежали стопки (НЕ)ЗАКОНЧЕННЫХ рукописей. 5) (НЕВЗИРАЯ на усталость, ученик выполнил намеченный на день план подготовки к экзамену. </x:v>
      </x:c>
      <x:c r="N5116" s="30" t="str">
        <x:v>14</x:v>
      </x:c>
      <x:c r="O5116" s="30" t="str">
        <x:v>Ответ перенесён из сводной таблицы и связан с исходным заданием.</x:v>
      </x:c>
      <x:c r="P5116" s="30"/>
      <x:c r="Q5116" s="30" t="str">
        <x:v>Ответ визуально сверён с таблицей ответов; условие привязано к исходной странице.</x:v>
      </x:c>
      <x:c r="R5116" s="30" t="str">
        <x:v>14</x:v>
      </x:c>
      <x:c r="S5116" s="30"/>
      <x:c r="T5116" s="30" t="str">
        <x:v>ОТВЕТЫ (2).docx</x:v>
      </x:c>
      <x:c r="U5116" s="30" t="str">
        <x:v>Расхождений с таблицей ответов не выявлено.</x:v>
      </x:c>
      <x:c r="V5116" s="87" t="str">
        <x:v>VERIFIED</x:v>
      </x:c>
      <x:c r="W5116" s="87"/>
      <x:c r="X5116" s="87"/>
      <x:c r="Y5116" s="87" t="n">
        <x:v>8</x:v>
      </x:c>
      <x:c r="Z5116" s="87" t="n">
        <x:v>8</x:v>
      </x:c>
      <x:c r="AA5116" s="87" t="str">
        <x:v>страница 2</x:v>
      </x:c>
      <x:c r="AB5116" s="87"/>
      <x:c r="AC5116" s="87" t="str">
        <x:v>VIS-EGKR-RUS-W25-TASK-958-P008</x:v>
      </x:c>
      <x:c r="AD5116" s="87" t="str">
        <x:v>VIS-EGKR-RUS-W25-KEY-ALL-P002</x:v>
      </x:c>
      <x:c r="AE5116" s="87" t="str">
        <x:v>TASK; KEY</x:v>
      </x:c>
      <x:c r="AF5116" s="87" t="str">
        <x:v>VIS-EGKR-RUS-W25-TASK-958-P008: 8; VIS-EGKR-RUS-W25-KEY-ALL-P002: 2</x:v>
      </x:c>
      <x:c r="AG5116" s="87" t="str">
        <x:v>RESOLVED</x:v>
      </x:c>
      <x:c r="AH5116" s="87" t="str">
        <x:v>CROP_VERIFIED</x:v>
      </x:c>
      <x:c r="AI5116" s="30"/>
      <x:c r="AJ5116" s="87" t="str">
        <x:v>clean</x:v>
      </x:c>
      <x:c r="AK5116" s="87" t="str">
        <x:v>clean-v0.10</x:v>
      </x:c>
      <x:c r="AL5116" s="87" t="str">
        <x:v>statgrad_clean_continuation_v0_10(1).xlsx</x:v>
      </x:c>
      <x:c r="AM5116" s="87" t="str">
        <x:v>RUS_EGKR_958</x:v>
      </x:c>
      <x:c r="AN5116" s="87" t="n">
        <x:v>14</x:v>
      </x:c>
    </x:row>
    <x:row r="5117">
      <x:c r="A5117" s="87" t="n">
        <x:v>5116</x:v>
      </x:c>
      <x:c r="B5117" s="87" t="str">
        <x:v>EGKR-W25-RUS-958-14</x:v>
      </x:c>
      <x:c r="C5117" s="87" t="str">
        <x:v>ЕГКР</x:v>
      </x:c>
      <x:c r="D5117" s="87"/>
      <x:c r="E5117" s="87" t="str">
        <x:v>Зима 2025</x:v>
      </x:c>
      <x:c r="F5117" s="87" t="str">
        <x:v>09.12.2025</x:v>
      </x:c>
      <x:c r="G5117" s="87" t="str">
        <x:v>Русский язык</x:v>
      </x:c>
      <x:c r="H5117" s="87" t="n">
        <x:v>11</x:v>
      </x:c>
      <x:c r="I5117" s="87"/>
      <x:c r="J5117" s="87" t="str">
        <x:v>958</x:v>
      </x:c>
      <x:c r="K5117" s="87" t="n">
        <x:v>14</x:v>
      </x:c>
      <x:c r="L5117" s="87" t="str">
        <x:v>Слитное, раздельное и дефисное написание</x:v>
      </x:c>
      <x:c r="M5117" s="30" t="str">
        <x:v>все выделенные слова пишутся РАЗДЕЛЬНО. Запишите номера ответов. 1) (НА)ПРОТЯЖЕНИИ года будущие выпускники готовились к празднику. стараясь. (ЧТО)БЫ он прошёл интересно и весело. 2) (ПОЭТОМУ пути идти ближе. (TAK)YTO давайте выберем его. чтобы He опоздать. 3) (ЧТО)БЫ ни предлагали туристу. он всё отвергал (ТАКЖЕ. как в прошлом году. 4) Сеголня актриса была в (ТЕМНО)СИНЕЙ атласной юбке и (МОЛОЧНО)БЕЛОЙ блузке. 5) Друзья (TOKE хотели посмотреть новый фильм. (ПО)ЭТОМУ старались быстрее закончить все дела. Ответ: . 15 | Укажите пифру(-ы). на месте которой(-ых)</x:v>
      </x:c>
      <x:c r="N5117" s="30" t="str">
        <x:v>235</x:v>
      </x:c>
      <x:c r="O5117" s="30" t="str">
        <x:v>Ответ перенесён из сводной таблицы и связан с исходным заданием.</x:v>
      </x:c>
      <x:c r="P5117" s="30"/>
      <x:c r="Q5117" s="30" t="str">
        <x:v>Ответ визуально сверён с таблицей ответов; условие привязано к исходной странице.</x:v>
      </x:c>
      <x:c r="R5117" s="30" t="str">
        <x:v>235</x:v>
      </x:c>
      <x:c r="S5117" s="30"/>
      <x:c r="T5117" s="30" t="str">
        <x:v>ОТВЕТЫ (2).docx</x:v>
      </x:c>
      <x:c r="U5117" s="30" t="str">
        <x:v>Расхождений с таблицей ответов не выявлено.</x:v>
      </x:c>
      <x:c r="V5117" s="87" t="str">
        <x:v>VERIFIED</x:v>
      </x:c>
      <x:c r="W5117" s="87"/>
      <x:c r="X5117" s="87"/>
      <x:c r="Y5117" s="87" t="n">
        <x:v>9</x:v>
      </x:c>
      <x:c r="Z5117" s="87" t="n">
        <x:v>9</x:v>
      </x:c>
      <x:c r="AA5117" s="87" t="str">
        <x:v>страница 2</x:v>
      </x:c>
      <x:c r="AB5117" s="87"/>
      <x:c r="AC5117" s="87" t="str">
        <x:v>VIS-EGKR-RUS-W25-TASK-958-P009</x:v>
      </x:c>
      <x:c r="AD5117" s="87" t="str">
        <x:v>VIS-EGKR-RUS-W25-KEY-ALL-P002</x:v>
      </x:c>
      <x:c r="AE5117" s="87" t="str">
        <x:v>TASK; KEY</x:v>
      </x:c>
      <x:c r="AF5117" s="87" t="str">
        <x:v>VIS-EGKR-RUS-W25-TASK-958-P009: 9; VIS-EGKR-RUS-W25-KEY-ALL-P002: 2</x:v>
      </x:c>
      <x:c r="AG5117" s="87" t="str">
        <x:v>RESOLVED</x:v>
      </x:c>
      <x:c r="AH5117" s="87" t="str">
        <x:v>CROP_VERIFIED</x:v>
      </x:c>
      <x:c r="AI5117" s="30"/>
      <x:c r="AJ5117" s="87" t="str">
        <x:v>clean</x:v>
      </x:c>
      <x:c r="AK5117" s="87" t="str">
        <x:v>clean-v0.10</x:v>
      </x:c>
      <x:c r="AL5117" s="87" t="str">
        <x:v>statgrad_clean_continuation_v0_10(1).xlsx</x:v>
      </x:c>
      <x:c r="AM5117" s="87" t="str">
        <x:v>RUS_EGKR_958</x:v>
      </x:c>
      <x:c r="AN5117" s="87" t="n">
        <x:v>15</x:v>
      </x:c>
    </x:row>
    <x:row r="5118">
      <x:c r="A5118" s="87" t="n">
        <x:v>5117</x:v>
      </x:c>
      <x:c r="B5118" s="87" t="str">
        <x:v>EGKR-W25-RUS-958-15</x:v>
      </x:c>
      <x:c r="C5118" s="87" t="str">
        <x:v>ЕГКР</x:v>
      </x:c>
      <x:c r="D5118" s="87"/>
      <x:c r="E5118" s="87" t="str">
        <x:v>Зима 2025</x:v>
      </x:c>
      <x:c r="F5118" s="87" t="str">
        <x:v>09.12.2025</x:v>
      </x:c>
      <x:c r="G5118" s="87" t="str">
        <x:v>Русский язык</x:v>
      </x:c>
      <x:c r="H5118" s="87" t="n">
        <x:v>11</x:v>
      </x:c>
      <x:c r="I5118" s="87"/>
      <x:c r="J5118" s="87" t="str">
        <x:v>958</x:v>
      </x:c>
      <x:c r="K5118" s="87" t="n">
        <x:v>15</x:v>
      </x:c>
      <x:c r="L5118" s="87" t="str">
        <x:v>Правописание Н/НН</x:v>
      </x:c>
      <x:c r="M5118" s="30" t="str">
        <x:v>пишется одна буква Н. Консультация по зашите выпускных квалификацио(1)ых работ была назначе(2)а на оди(З)адцать часов. все организова(4)ые и дисциплинирова(5)ыс студенты пришли вовремя. Ответ: . 16 . Укажите предложения, в которых</x:v>
      </x:c>
      <x:c r="N5118" s="30" t="str">
        <x:v>2</x:v>
      </x:c>
      <x:c r="O5118" s="30" t="str">
        <x:v>Ответ перенесён из сводной таблицы и связан с исходным заданием.</x:v>
      </x:c>
      <x:c r="P5118" s="30"/>
      <x:c r="Q5118" s="30" t="str">
        <x:v>Ответ визуально сверён с таблицей ответов; условие привязано к исходной странице.</x:v>
      </x:c>
      <x:c r="R5118" s="30" t="str">
        <x:v>2</x:v>
      </x:c>
      <x:c r="S5118" s="30"/>
      <x:c r="T5118" s="30" t="str">
        <x:v>ОТВЕТЫ (2).docx</x:v>
      </x:c>
      <x:c r="U5118" s="30" t="str">
        <x:v>Расхождений с таблицей ответов не выявлено.</x:v>
      </x:c>
      <x:c r="V5118" s="87" t="str">
        <x:v>VERIFIED</x:v>
      </x:c>
      <x:c r="W5118" s="87"/>
      <x:c r="X5118" s="87"/>
      <x:c r="Y5118" s="87" t="n">
        <x:v>9</x:v>
      </x:c>
      <x:c r="Z5118" s="87" t="n">
        <x:v>9</x:v>
      </x:c>
      <x:c r="AA5118" s="87" t="str">
        <x:v>страница 2</x:v>
      </x:c>
      <x:c r="AB5118" s="87"/>
      <x:c r="AC5118" s="87" t="str">
        <x:v>VIS-EGKR-RUS-W25-TASK-958-P009</x:v>
      </x:c>
      <x:c r="AD5118" s="87" t="str">
        <x:v>VIS-EGKR-RUS-W25-KEY-ALL-P002</x:v>
      </x:c>
      <x:c r="AE5118" s="87" t="str">
        <x:v>TASK; KEY</x:v>
      </x:c>
      <x:c r="AF5118" s="87" t="str">
        <x:v>VIS-EGKR-RUS-W25-TASK-958-P009: 9; VIS-EGKR-RUS-W25-KEY-ALL-P002: 2</x:v>
      </x:c>
      <x:c r="AG5118" s="87" t="str">
        <x:v>RESOLVED</x:v>
      </x:c>
      <x:c r="AH5118" s="87" t="str">
        <x:v>CROP_VERIFIED</x:v>
      </x:c>
      <x:c r="AI5118" s="30"/>
      <x:c r="AJ5118" s="87" t="str">
        <x:v>clean</x:v>
      </x:c>
      <x:c r="AK5118" s="87" t="str">
        <x:v>clean-v0.10</x:v>
      </x:c>
      <x:c r="AL5118" s="87" t="str">
        <x:v>statgrad_clean_continuation_v0_10(1).xlsx</x:v>
      </x:c>
      <x:c r="AM5118" s="87" t="str">
        <x:v>RUS_EGKR_958</x:v>
      </x:c>
      <x:c r="AN5118" s="87" t="n">
        <x:v>16</x:v>
      </x:c>
    </x:row>
    <x:row r="5119">
      <x:c r="A5119" s="87" t="n">
        <x:v>5118</x:v>
      </x:c>
      <x:c r="B5119" s="87" t="str">
        <x:v>EGKR-W25-RUS-958-16</x:v>
      </x:c>
      <x:c r="C5119" s="87" t="str">
        <x:v>ЕГКР</x:v>
      </x:c>
      <x:c r="D5119" s="87"/>
      <x:c r="E5119" s="87" t="str">
        <x:v>Зима 2025</x:v>
      </x:c>
      <x:c r="F5119" s="87" t="str">
        <x:v>09.12.2025</x:v>
      </x:c>
      <x:c r="G5119" s="87" t="str">
        <x:v>Русский язык</x:v>
      </x:c>
      <x:c r="H5119" s="87" t="n">
        <x:v>11</x:v>
      </x:c>
      <x:c r="I5119" s="87"/>
      <x:c r="J5119" s="87" t="str">
        <x:v>958</x:v>
      </x:c>
      <x:c r="K5119" s="87" t="n">
        <x:v>16</x:v>
      </x:c>
      <x:c r="L5119" s="87" t="str">
        <x:v>Пунктуация в простом и сложносочинённом предложении</x:v>
      </x:c>
      <x:c r="M5119" s="30" t="str">
        <x:v>нужно поставить ОДНУ запятую. Запишите номера этих предложений. 1) Понпадались и деревеньки с низкими избёнками под тёмными часто до половины размётанными крышами. 2) Веб кругом золотисто зеленело всё широко и мягко волиовалось и лоснилось под тихим дыханием тёплого ветерка. 3) Фенечка то прислушивалась то дремала то посматривала на растворённую дверь. 4) Аркалий сообщил несколько петербургских новостей но он ошущал небольшую неловкость. 5) Оба брата молча глядели на него а Аркадий укралкой посматривал TO на отца TO на дядю. Ответ: . $ 2525 с75НуУ "бедеральньй институт тера”с“и-есхих измерений МММ "2 RU &lt;с-иссва-ие не допускается</x:v>
      </x:c>
      <x:c r="N5119" s="30" t="str">
        <x:v>14</x:v>
      </x:c>
      <x:c r="O5119" s="30" t="str">
        <x:v>Ответ перенесён из сводной таблицы и связан с исходным заданием.</x:v>
      </x:c>
      <x:c r="P5119" s="30"/>
      <x:c r="Q5119" s="30" t="str">
        <x:v>Ответ визуально сверён с таблицей ответов; условие привязано к исходной странице.</x:v>
      </x:c>
      <x:c r="R5119" s="30" t="str">
        <x:v>14</x:v>
      </x:c>
      <x:c r="S5119" s="30"/>
      <x:c r="T5119" s="30" t="str">
        <x:v>ОТВЕТЫ (2).docx</x:v>
      </x:c>
      <x:c r="U5119" s="30" t="str">
        <x:v>Расхождений с таблицей ответов не выявлено.</x:v>
      </x:c>
      <x:c r="V5119" s="87" t="str">
        <x:v>VERIFIED</x:v>
      </x:c>
      <x:c r="W5119" s="87"/>
      <x:c r="X5119" s="87"/>
      <x:c r="Y5119" s="87" t="n">
        <x:v>9</x:v>
      </x:c>
      <x:c r="Z5119" s="87" t="n">
        <x:v>9</x:v>
      </x:c>
      <x:c r="AA5119" s="87" t="str">
        <x:v>страница 2</x:v>
      </x:c>
      <x:c r="AB5119" s="87"/>
      <x:c r="AC5119" s="87" t="str">
        <x:v>VIS-EGKR-RUS-W25-TASK-958-P009</x:v>
      </x:c>
      <x:c r="AD5119" s="87" t="str">
        <x:v>VIS-EGKR-RUS-W25-KEY-ALL-P002</x:v>
      </x:c>
      <x:c r="AE5119" s="87" t="str">
        <x:v>TASK; KEY</x:v>
      </x:c>
      <x:c r="AF5119" s="87" t="str">
        <x:v>VIS-EGKR-RUS-W25-TASK-958-P009: 9; VIS-EGKR-RUS-W25-KEY-ALL-P002: 2</x:v>
      </x:c>
      <x:c r="AG5119" s="87" t="str">
        <x:v>RESOLVED</x:v>
      </x:c>
      <x:c r="AH5119" s="87" t="str">
        <x:v>CROP_VERIFIED</x:v>
      </x:c>
      <x:c r="AI5119" s="30"/>
      <x:c r="AJ5119" s="87" t="str">
        <x:v>clean</x:v>
      </x:c>
      <x:c r="AK5119" s="87" t="str">
        <x:v>clean-v0.10</x:v>
      </x:c>
      <x:c r="AL5119" s="87" t="str">
        <x:v>statgrad_clean_continuation_v0_10(1).xlsx</x:v>
      </x:c>
      <x:c r="AM5119" s="87" t="str">
        <x:v>RUS_EGKR_958</x:v>
      </x:c>
      <x:c r="AN5119" s="87" t="n">
        <x:v>17</x:v>
      </x:c>
    </x:row>
    <x:row r="5120">
      <x:c r="A5120" s="87" t="n">
        <x:v>5119</x:v>
      </x:c>
      <x:c r="B5120" s="87" t="str">
        <x:v>EGKR-W25-RUS-958-17</x:v>
      </x:c>
      <x:c r="C5120" s="87" t="str">
        <x:v>ЕГКР</x:v>
      </x:c>
      <x:c r="D5120" s="87"/>
      <x:c r="E5120" s="87" t="str">
        <x:v>Зима 2025</x:v>
      </x:c>
      <x:c r="F5120" s="87" t="str">
        <x:v>09.12.2025</x:v>
      </x:c>
      <x:c r="G5120" s="87" t="str">
        <x:v>Русский язык</x:v>
      </x:c>
      <x:c r="H5120" s="87" t="n">
        <x:v>11</x:v>
      </x:c>
      <x:c r="I5120" s="87"/>
      <x:c r="J5120" s="87" t="str">
        <x:v>958</x:v>
      </x:c>
      <x:c r="K5120" s="87" t="n">
        <x:v>17</x:v>
      </x:c>
      <x:c r="L5120" s="87" t="str">
        <x:v>Обособленные определения и обстоятельства</x:v>
      </x:c>
      <x:c r="M5120" s="30" t="str">
        <x:v>должна(-ы)} стоять запятая(-ые). Николай Петрович быстро обернулся (1) и (2) подойдя к человеку высокого роста в длинном балахоне с кистями (3) только что вылезшему из тарантаса (4) крепко стиснул его обнажённую красную руку. которую тот не сразу ему подал. (По И.С. Тургеневу) Ответ: . 1 18 Укажите цифру(-ы). на месте которой(-ых)</x:v>
      </x:c>
      <x:c r="N5120" s="30" t="str">
        <x:v>234</x:v>
      </x:c>
      <x:c r="O5120" s="30" t="str">
        <x:v>Ответ перенесён из сводной таблицы и связан с исходным заданием.</x:v>
      </x:c>
      <x:c r="P5120" s="30"/>
      <x:c r="Q5120" s="30" t="str">
        <x:v>Ответ визуально сверён с таблицей ответов; условие привязано к исходной странице.</x:v>
      </x:c>
      <x:c r="R5120" s="30" t="str">
        <x:v>234</x:v>
      </x:c>
      <x:c r="S5120" s="30"/>
      <x:c r="T5120" s="30" t="str">
        <x:v>ОТВЕТЫ (2).docx</x:v>
      </x:c>
      <x:c r="U5120" s="30" t="str">
        <x:v>Расхождений с таблицей ответов не выявлено.</x:v>
      </x:c>
      <x:c r="V5120" s="87" t="str">
        <x:v>VERIFIED</x:v>
      </x:c>
      <x:c r="W5120" s="87"/>
      <x:c r="X5120" s="87"/>
      <x:c r="Y5120" s="87" t="n">
        <x:v>10</x:v>
      </x:c>
      <x:c r="Z5120" s="87" t="n">
        <x:v>10</x:v>
      </x:c>
      <x:c r="AA5120" s="87" t="str">
        <x:v>страница 2</x:v>
      </x:c>
      <x:c r="AB5120" s="87"/>
      <x:c r="AC5120" s="87" t="str">
        <x:v>VIS-EGKR-RUS-W25-TASK-958-P010</x:v>
      </x:c>
      <x:c r="AD5120" s="87" t="str">
        <x:v>VIS-EGKR-RUS-W25-KEY-ALL-P002</x:v>
      </x:c>
      <x:c r="AE5120" s="87" t="str">
        <x:v>TASK; KEY</x:v>
      </x:c>
      <x:c r="AF5120" s="87" t="str">
        <x:v>VIS-EGKR-RUS-W25-TASK-958-P010: 10; VIS-EGKR-RUS-W25-KEY-ALL-P002: 2</x:v>
      </x:c>
      <x:c r="AG5120" s="87" t="str">
        <x:v>RESOLVED</x:v>
      </x:c>
      <x:c r="AH5120" s="87" t="str">
        <x:v>CROP_VERIFIED</x:v>
      </x:c>
      <x:c r="AI5120" s="30"/>
      <x:c r="AJ5120" s="87" t="str">
        <x:v>clean</x:v>
      </x:c>
      <x:c r="AK5120" s="87" t="str">
        <x:v>clean-v0.10</x:v>
      </x:c>
      <x:c r="AL5120" s="87" t="str">
        <x:v>statgrad_clean_continuation_v0_10(1).xlsx</x:v>
      </x:c>
      <x:c r="AM5120" s="87" t="str">
        <x:v>RUS_EGKR_958</x:v>
      </x:c>
      <x:c r="AN5120" s="87" t="n">
        <x:v>18</x:v>
      </x:c>
    </x:row>
    <x:row r="5121">
      <x:c r="A5121" s="87" t="n">
        <x:v>5120</x:v>
      </x:c>
      <x:c r="B5121" s="87" t="str">
        <x:v>EGKR-W25-RUS-958-18</x:v>
      </x:c>
      <x:c r="C5121" s="87" t="str">
        <x:v>ЕГКР</x:v>
      </x:c>
      <x:c r="D5121" s="87"/>
      <x:c r="E5121" s="87" t="str">
        <x:v>Зима 2025</x:v>
      </x:c>
      <x:c r="F5121" s="87" t="str">
        <x:v>09.12.2025</x:v>
      </x:c>
      <x:c r="G5121" s="87" t="str">
        <x:v>Русский язык</x:v>
      </x:c>
      <x:c r="H5121" s="87" t="n">
        <x:v>11</x:v>
      </x:c>
      <x:c r="I5121" s="87"/>
      <x:c r="J5121" s="87" t="str">
        <x:v>958</x:v>
      </x:c>
      <x:c r="K5121" s="87" t="n">
        <x:v>18</x:v>
      </x:c>
      <x:c r="L5121" s="87" t="str">
        <x:v>Вводные слова и обращения</x:v>
      </x:c>
      <x:c r="M5121" s="30" t="str">
        <x:v>должна(-ы) стоять запятая(-ые). — Нет (1) Павел Иванович (2) нет (3) вы (4) гость, — говорил Манилов. показывая Чичикову рукою на лверь. — Не затрудняйтесь (5) пожалуйста (6) не затрудняйтесь. Пожалуйста (7) проходите, — говорил Чичиков. (По Н.В. Гоголю) Ответ: : Укажите цифру(-ы). на месте которой(-ых)</x:v>
      </x:c>
      <x:c r="N5121" s="30" t="str">
        <x:v>123567</x:v>
      </x:c>
      <x:c r="O5121" s="30" t="str">
        <x:v>Ответ перенесён из сводной таблицы и связан с исходным заданием.</x:v>
      </x:c>
      <x:c r="P5121" s="30"/>
      <x:c r="Q5121" s="30" t="str">
        <x:v>Ответ визуально сверён с таблицей ответов; условие привязано к исходной странице.</x:v>
      </x:c>
      <x:c r="R5121" s="30" t="str">
        <x:v>123567</x:v>
      </x:c>
      <x:c r="S5121" s="30"/>
      <x:c r="T5121" s="30" t="str">
        <x:v>ОТВЕТЫ (2).docx</x:v>
      </x:c>
      <x:c r="U5121" s="30" t="str">
        <x:v>Расхождений с таблицей ответов не выявлено.</x:v>
      </x:c>
      <x:c r="V5121" s="87" t="str">
        <x:v>VERIFIED</x:v>
      </x:c>
      <x:c r="W5121" s="87"/>
      <x:c r="X5121" s="87"/>
      <x:c r="Y5121" s="87" t="n">
        <x:v>10</x:v>
      </x:c>
      <x:c r="Z5121" s="87" t="n">
        <x:v>10</x:v>
      </x:c>
      <x:c r="AA5121" s="87" t="str">
        <x:v>страница 2</x:v>
      </x:c>
      <x:c r="AB5121" s="87"/>
      <x:c r="AC5121" s="87" t="str">
        <x:v>VIS-EGKR-RUS-W25-TASK-958-P010</x:v>
      </x:c>
      <x:c r="AD5121" s="87" t="str">
        <x:v>VIS-EGKR-RUS-W25-KEY-ALL-P002</x:v>
      </x:c>
      <x:c r="AE5121" s="87" t="str">
        <x:v>TASK; KEY</x:v>
      </x:c>
      <x:c r="AF5121" s="87" t="str">
        <x:v>VIS-EGKR-RUS-W25-TASK-958-P010: 10; VIS-EGKR-RUS-W25-KEY-ALL-P002: 2</x:v>
      </x:c>
      <x:c r="AG5121" s="87" t="str">
        <x:v>RESOLVED</x:v>
      </x:c>
      <x:c r="AH5121" s="87" t="str">
        <x:v>CROP_VERIFIED</x:v>
      </x:c>
      <x:c r="AI5121" s="30"/>
      <x:c r="AJ5121" s="87" t="str">
        <x:v>clean</x:v>
      </x:c>
      <x:c r="AK5121" s="87" t="str">
        <x:v>clean-v0.10</x:v>
      </x:c>
      <x:c r="AL5121" s="87" t="str">
        <x:v>statgrad_clean_continuation_v0_10(1).xlsx</x:v>
      </x:c>
      <x:c r="AM5121" s="87" t="str">
        <x:v>RUS_EGKR_958</x:v>
      </x:c>
      <x:c r="AN5121" s="87" t="n">
        <x:v>19</x:v>
      </x:c>
    </x:row>
    <x:row r="5122">
      <x:c r="A5122" s="87" t="n">
        <x:v>5121</x:v>
      </x:c>
      <x:c r="B5122" s="87" t="str">
        <x:v>EGKR-W25-RUS-958-19</x:v>
      </x:c>
      <x:c r="C5122" s="87" t="str">
        <x:v>ЕГКР</x:v>
      </x:c>
      <x:c r="D5122" s="87"/>
      <x:c r="E5122" s="87" t="str">
        <x:v>Зима 2025</x:v>
      </x:c>
      <x:c r="F5122" s="87" t="str">
        <x:v>09.12.2025</x:v>
      </x:c>
      <x:c r="G5122" s="87" t="str">
        <x:v>Русский язык</x:v>
      </x:c>
      <x:c r="H5122" s="87" t="n">
        <x:v>11</x:v>
      </x:c>
      <x:c r="I5122" s="87"/>
      <x:c r="J5122" s="87" t="str">
        <x:v>958</x:v>
      </x:c>
      <x:c r="K5122" s="87" t="n">
        <x:v>19</x:v>
      </x:c>
      <x:c r="L5122" s="87" t="str">
        <x:v>Знаки препинания в сложноподчинённом предложении</x:v>
      </x:c>
      <x:c r="M5122" s="30" t="str">
        <x:v>должна(-ы) стоять запятая(-ыс). Несколько раз графиня говорила сыну (1) что теперь (2) когда обе дочери пристроены (3) её единственное желание состоит в том (4) чтобы вилеть cro женатым. {По Л.Н. Толстому) Ответ: A</x:v>
      </x:c>
      <x:c r="N5122" s="30" t="str">
        <x:v>1234</x:v>
      </x:c>
      <x:c r="O5122" s="30" t="str">
        <x:v>Ответ перенесён из сводной таблицы и связан с исходным заданием.</x:v>
      </x:c>
      <x:c r="P5122" s="30"/>
      <x:c r="Q5122" s="30" t="str">
        <x:v>Ответ визуально сверён с таблицей ответов; условие привязано к исходной странице.</x:v>
      </x:c>
      <x:c r="R5122" s="30" t="str">
        <x:v>1234</x:v>
      </x:c>
      <x:c r="S5122" s="30"/>
      <x:c r="T5122" s="30" t="str">
        <x:v>ОТВЕТЫ (2).docx</x:v>
      </x:c>
      <x:c r="U5122" s="30" t="str">
        <x:v>Расхождений с таблицей ответов не выявлено.</x:v>
      </x:c>
      <x:c r="V5122" s="87" t="str">
        <x:v>VERIFIED</x:v>
      </x:c>
      <x:c r="W5122" s="87"/>
      <x:c r="X5122" s="87"/>
      <x:c r="Y5122" s="87" t="n">
        <x:v>10</x:v>
      </x:c>
      <x:c r="Z5122" s="87" t="n">
        <x:v>10</x:v>
      </x:c>
      <x:c r="AA5122" s="87" t="str">
        <x:v>страница 2</x:v>
      </x:c>
      <x:c r="AB5122" s="87"/>
      <x:c r="AC5122" s="87" t="str">
        <x:v>VIS-EGKR-RUS-W25-TASK-958-P010</x:v>
      </x:c>
      <x:c r="AD5122" s="87" t="str">
        <x:v>VIS-EGKR-RUS-W25-KEY-ALL-P002</x:v>
      </x:c>
      <x:c r="AE5122" s="87" t="str">
        <x:v>TASK; KEY</x:v>
      </x:c>
      <x:c r="AF5122" s="87" t="str">
        <x:v>VIS-EGKR-RUS-W25-TASK-958-P010: 10; VIS-EGKR-RUS-W25-KEY-ALL-P002: 2</x:v>
      </x:c>
      <x:c r="AG5122" s="87" t="str">
        <x:v>RESOLVED</x:v>
      </x:c>
      <x:c r="AH5122" s="87" t="str">
        <x:v>CROP_VERIFIED</x:v>
      </x:c>
      <x:c r="AI5122" s="30"/>
      <x:c r="AJ5122" s="87" t="str">
        <x:v>clean</x:v>
      </x:c>
      <x:c r="AK5122" s="87" t="str">
        <x:v>clean-v0.10</x:v>
      </x:c>
      <x:c r="AL5122" s="87" t="str">
        <x:v>statgrad_clean_continuation_v0_10(1).xlsx</x:v>
      </x:c>
      <x:c r="AM5122" s="87" t="str">
        <x:v>RUS_EGKR_958</x:v>
      </x:c>
      <x:c r="AN5122" s="87" t="n">
        <x:v>20</x:v>
      </x:c>
    </x:row>
    <x:row r="5123">
      <x:c r="A5123" s="87" t="n">
        <x:v>5122</x:v>
      </x:c>
      <x:c r="B5123" s="87" t="str">
        <x:v>EGKR-W25-RUS-958-20</x:v>
      </x:c>
      <x:c r="C5123" s="87" t="str">
        <x:v>ЕГКР</x:v>
      </x:c>
      <x:c r="D5123" s="87"/>
      <x:c r="E5123" s="87" t="str">
        <x:v>Зима 2025</x:v>
      </x:c>
      <x:c r="F5123" s="87" t="str">
        <x:v>09.12.2025</x:v>
      </x:c>
      <x:c r="G5123" s="87" t="str">
        <x:v>Русский язык</x:v>
      </x:c>
      <x:c r="H5123" s="87" t="n">
        <x:v>11</x:v>
      </x:c>
      <x:c r="I5123" s="87"/>
      <x:c r="J5123" s="87" t="str">
        <x:v>958</x:v>
      </x:c>
      <x:c r="K5123" s="87" t="n">
        <x:v>20</x:v>
      </x:c>
      <x:c r="L5123" s="87" t="str">
        <x:v>Знаки препинания в сложном предложении</x:v>
      </x:c>
      <x:c r="M5123" s="30" t="str">
        <x:v>должна(-ы) стоять запятая(-ые). ua Дядюшка пел так, как поёт народ, с тем наивным убеждением (1) что в песне всё значение заключается только в словах (2) что напев сам собой приходит (3) и (4) что отдельного напева не бывает. : (По Л.Н. Толстому) Ответ: . "2:</x:v>
      </x:c>
      <x:c r="N5123" s="30" t="str">
        <x:v>124</x:v>
      </x:c>
      <x:c r="O5123" s="30" t="str">
        <x:v>Ответ перенесён из сводной таблицы и связан с исходным заданием.</x:v>
      </x:c>
      <x:c r="P5123" s="30"/>
      <x:c r="Q5123" s="30" t="str">
        <x:v>Ответ визуально сверён с таблицей ответов; условие привязано к исходной странице.</x:v>
      </x:c>
      <x:c r="R5123" s="30" t="str">
        <x:v>124</x:v>
      </x:c>
      <x:c r="S5123" s="30"/>
      <x:c r="T5123" s="30" t="str">
        <x:v>ОТВЕТЫ (2).docx</x:v>
      </x:c>
      <x:c r="U5123" s="30" t="str">
        <x:v>Расхождений с таблицей ответов не выявлено.</x:v>
      </x:c>
      <x:c r="V5123" s="87" t="str">
        <x:v>VERIFIED</x:v>
      </x:c>
      <x:c r="W5123" s="87"/>
      <x:c r="X5123" s="87"/>
      <x:c r="Y5123" s="87" t="n">
        <x:v>11</x:v>
      </x:c>
      <x:c r="Z5123" s="87" t="n">
        <x:v>11</x:v>
      </x:c>
      <x:c r="AA5123" s="87" t="str">
        <x:v>страница 2</x:v>
      </x:c>
      <x:c r="AB5123" s="87"/>
      <x:c r="AC5123" s="87" t="str">
        <x:v>VIS-EGKR-RUS-W25-TASK-958-P011</x:v>
      </x:c>
      <x:c r="AD5123" s="87" t="str">
        <x:v>VIS-EGKR-RUS-W25-KEY-ALL-P002</x:v>
      </x:c>
      <x:c r="AE5123" s="87" t="str">
        <x:v>TASK; KEY</x:v>
      </x:c>
      <x:c r="AF5123" s="87" t="str">
        <x:v>VIS-EGKR-RUS-W25-TASK-958-P011: 11; VIS-EGKR-RUS-W25-KEY-ALL-P002: 2</x:v>
      </x:c>
      <x:c r="AG5123" s="87" t="str">
        <x:v>RESOLVED</x:v>
      </x:c>
      <x:c r="AH5123" s="87" t="str">
        <x:v>CROP_VERIFIED</x:v>
      </x:c>
      <x:c r="AI5123" s="30"/>
      <x:c r="AJ5123" s="87" t="str">
        <x:v>clean</x:v>
      </x:c>
      <x:c r="AK5123" s="87" t="str">
        <x:v>clean-v0.10</x:v>
      </x:c>
      <x:c r="AL5123" s="87" t="str">
        <x:v>statgrad_clean_continuation_v0_10(1).xlsx</x:v>
      </x:c>
      <x:c r="AM5123" s="87" t="str">
        <x:v>RUS_EGKR_958</x:v>
      </x:c>
      <x:c r="AN5123" s="87" t="n">
        <x:v>21</x:v>
      </x:c>
    </x:row>
    <x:row r="5124">
      <x:c r="A5124" s="87" t="n">
        <x:v>5123</x:v>
      </x:c>
      <x:c r="B5124" s="87" t="str">
        <x:v>EGKR-W25-RUS-958-21</x:v>
      </x:c>
      <x:c r="C5124" s="87" t="str">
        <x:v>ЕГКР</x:v>
      </x:c>
      <x:c r="D5124" s="87"/>
      <x:c r="E5124" s="87" t="str">
        <x:v>Зима 2025</x:v>
      </x:c>
      <x:c r="F5124" s="87" t="str">
        <x:v>09.12.2025</x:v>
      </x:c>
      <x:c r="G5124" s="87" t="str">
        <x:v>Русский язык</x:v>
      </x:c>
      <x:c r="H5124" s="87" t="n">
        <x:v>11</x:v>
      </x:c>
      <x:c r="I5124" s="87"/>
      <x:c r="J5124" s="87" t="str">
        <x:v>958</x:v>
      </x:c>
      <x:c r="K5124" s="87" t="n">
        <x:v>21</x:v>
      </x:c>
      <x:c r="L5124" s="87" t="str">
        <x:v>Пунктуационный анализ</x:v>
      </x:c>
      <x:c r="M5124" s="30" t="str">
        <x:v>Найдите предложения. в которых двоеточие ставится в соответствии с одним и тем же правилом пунктуации. Запиииите номера этих прелложений. (1)Учебно-воспитательный процесс имест, на мой взгляд. три истока: науку. мастерство и искусство. (2)Хорошо руководить учебно-воспитательным процессом - значит в совершенстве владеть наукой. мастерством и искусством обучения и воспитания. (3)Воспитание в широком понимании — это многогранный процесс постоянного духовного обогащения и обновления и тех, кого воспитывают, и тех, кто воспитывает. (4)Причём этот процесс характеризуется глубокой индивилуальностью явлений: та или иная педагогическая истина, верная в одном случае. становится нейтральной в другом и абсурдной в третьем. (5)Гакова природа нашего педагогического дела: руководить им — значит прежде всего самому постоянно обогащаться и обновляться. быть сегодня духовно богаче. чем вчера. (6)Руководитель школы булет хорошим. эрулированным. авторитетным учителем учителей лишь до тех пор. пока он с каждым днём совершенствует своё мастерство — мастерство учителя. воспитателя. пока для него на первом месте стоит самая сущность школьного дела — обучение и воспитание. изучение и знание ребёнка. (Ilo В.А. Сухомлинскому) Ответ: . $ 2525 ©75НУ ‘Федесальньй институт -еда”стичесчих изуесений“ WWW-S'FRE Кслиссвание не допускается</x:v>
      </x:c>
      <x:c r="N5124" s="30" t="str">
        <x:v>45</x:v>
      </x:c>
      <x:c r="O5124" s="30" t="str">
        <x:v>Ответ перенесён из сводной таблицы и связан с исходным заданием.</x:v>
      </x:c>
      <x:c r="P5124" s="30"/>
      <x:c r="Q5124" s="30" t="str">
        <x:v>Ответ визуально сверён с таблицей ответов; условие привязано к исходной странице.</x:v>
      </x:c>
      <x:c r="R5124" s="30" t="str">
        <x:v>45</x:v>
      </x:c>
      <x:c r="S5124" s="30"/>
      <x:c r="T5124" s="30" t="str">
        <x:v>ОТВЕТЫ (2).docx</x:v>
      </x:c>
      <x:c r="U5124" s="30" t="str">
        <x:v>Расхождений с таблицей ответов не выявлено.</x:v>
      </x:c>
      <x:c r="V5124" s="87" t="str">
        <x:v>VERIFIED</x:v>
      </x:c>
      <x:c r="W5124" s="87"/>
      <x:c r="X5124" s="87"/>
      <x:c r="Y5124" s="87" t="n">
        <x:v>11</x:v>
      </x:c>
      <x:c r="Z5124" s="87" t="n">
        <x:v>11</x:v>
      </x:c>
      <x:c r="AA5124" s="87" t="str">
        <x:v>страница 2</x:v>
      </x:c>
      <x:c r="AB5124" s="87"/>
      <x:c r="AC5124" s="87" t="str">
        <x:v>VIS-EGKR-RUS-W25-TASK-958-P011</x:v>
      </x:c>
      <x:c r="AD5124" s="87" t="str">
        <x:v>VIS-EGKR-RUS-W25-KEY-ALL-P002</x:v>
      </x:c>
      <x:c r="AE5124" s="87" t="str">
        <x:v>TASK; KEY</x:v>
      </x:c>
      <x:c r="AF5124" s="87" t="str">
        <x:v>VIS-EGKR-RUS-W25-TASK-958-P011: 11; VIS-EGKR-RUS-W25-KEY-ALL-P002: 2</x:v>
      </x:c>
      <x:c r="AG5124" s="87" t="str">
        <x:v>RESOLVED</x:v>
      </x:c>
      <x:c r="AH5124" s="87" t="str">
        <x:v>CROP_VERIFIED</x:v>
      </x:c>
      <x:c r="AI5124" s="30"/>
      <x:c r="AJ5124" s="87" t="str">
        <x:v>clean</x:v>
      </x:c>
      <x:c r="AK5124" s="87" t="str">
        <x:v>clean-v0.10</x:v>
      </x:c>
      <x:c r="AL5124" s="87" t="str">
        <x:v>statgrad_clean_continuation_v0_10(1).xlsx</x:v>
      </x:c>
      <x:c r="AM5124" s="87" t="str">
        <x:v>RUS_EGKR_958</x:v>
      </x:c>
      <x:c r="AN5124" s="87" t="n">
        <x:v>22</x:v>
      </x:c>
    </x:row>
    <x:row r="5125">
      <x:c r="A5125" s="87" t="n">
        <x:v>5124</x:v>
      </x:c>
      <x:c r="B5125" s="87" t="str">
        <x:v>EGKR-W25-RUS-958-22</x:v>
      </x:c>
      <x:c r="C5125" s="87" t="str">
        <x:v>ЕГКР</x:v>
      </x:c>
      <x:c r="D5125" s="87"/>
      <x:c r="E5125" s="87" t="str">
        <x:v>Зима 2025</x:v>
      </x:c>
      <x:c r="F5125" s="87" t="str">
        <x:v>09.12.2025</x:v>
      </x:c>
      <x:c r="G5125" s="87" t="str">
        <x:v>Русский язык</x:v>
      </x:c>
      <x:c r="H5125" s="87" t="n">
        <x:v>11</x:v>
      </x:c>
      <x:c r="I5125" s="87"/>
      <x:c r="J5125" s="87" t="str">
        <x:v>958</x:v>
      </x:c>
      <x:c r="K5125" s="87" t="n">
        <x:v>22</x:v>
      </x:c>
      <x:c r="L5125" s="87" t="str">
        <x:v>Средства выразительности</x:v>
      </x:c>
      <x:c r="M5125" s="30" t="str">
        <x:v>изобразительно-выразительных средств языка, которые употреблены в них: к каждой позиции первого столбца подберите соответствующую позицию из второго столбца. ПРЕДЛОЖЕНИЯ ИЗОБРАЗИТЕЛЬНО- ВЫРАЗИТЕЛЬНЫЕ СРЕДСТВА ЯЗЫКА А} Белая берёза 1} ригорическое обращение Под моим окном 2) анафора Принакрылась снегом. 3} олицетворение Точно серебром. 4} парцелляция (С.А. Есенин) 5) литота Б) В моей душе любви весна 6) сравнение Не сменит бурного ненастья. : 7) аалитерация (А.А. Блок) 8) метафора В) Буквам очень надоело 9} метонимия В толстых книжках спать ла спать... (С. Чёрный) Г) Лошадку ведёт под узлцы мужичок... В больших рукавицах... а сам с ноготок! (Н.А. Некрасов) Д) Товарищ. верь: взойдёт она. Звезла пленительного счастья... (А.С. Пушкин) Запишите в таблицу выбранные цифры под соответствующими буквами. АЕ Oe Ei Ответ: ео : i oi | : a р 1 i Прочитайте текст и выполните задания 23-27. i (1)Однажды я дал классу пятнадиатиминутиое сочинение. (2)Tema | звучала так: «Сколько их (родных. близких. знакомых). кто стоит за мною. р кто дорог мне и кому дорога (или дорог) я». ' (3)Листки с работами ребят открыли мне один секрет. (4)В одном В из номеров журнала «Юность» я прочитал повесть Юрия Полякова «Работа : над ошибками». (5)Моё внимание привлёк весьма короткий диалог : между учителем и учеником. : — (6)Учйтеля ты обязан уважать. | — (7) Никому я ничего не обязан. .</x:v>
      </x:c>
      <x:c r="N5125" s="30" t="str">
        <x:v>68351</x:v>
      </x:c>
      <x:c r="O5125" s="30" t="str">
        <x:v>Ответ перенесён из сводной таблицы и связан с исходным заданием.</x:v>
      </x:c>
      <x:c r="P5125" s="30"/>
      <x:c r="Q5125" s="30" t="str">
        <x:v>Ответ визуально сверён с таблицей ответов; условие привязано к исходной странице.</x:v>
      </x:c>
      <x:c r="R5125" s="30" t="str">
        <x:v>68351</x:v>
      </x:c>
      <x:c r="S5125" s="30"/>
      <x:c r="T5125" s="30" t="str">
        <x:v>ОТВЕТЫ (2).docx</x:v>
      </x:c>
      <x:c r="U5125" s="30" t="str">
        <x:v>Расхождений с таблицей ответов не выявлено.</x:v>
      </x:c>
      <x:c r="V5125" s="87" t="str">
        <x:v>VERIFIED</x:v>
      </x:c>
      <x:c r="W5125" s="87"/>
      <x:c r="X5125" s="87"/>
      <x:c r="Y5125" s="87" t="n">
        <x:v>12</x:v>
      </x:c>
      <x:c r="Z5125" s="87" t="n">
        <x:v>12</x:v>
      </x:c>
      <x:c r="AA5125" s="87" t="str">
        <x:v>страница 2</x:v>
      </x:c>
      <x:c r="AB5125" s="87"/>
      <x:c r="AC5125" s="87" t="str">
        <x:v>VIS-EGKR-RUS-W25-TASK-958-P012</x:v>
      </x:c>
      <x:c r="AD5125" s="87" t="str">
        <x:v>VIS-EGKR-RUS-W25-KEY-ALL-P002</x:v>
      </x:c>
      <x:c r="AE5125" s="87" t="str">
        <x:v>TASK; KEY</x:v>
      </x:c>
      <x:c r="AF5125" s="87" t="str">
        <x:v>VIS-EGKR-RUS-W25-TASK-958-P012: 12; VIS-EGKR-RUS-W25-KEY-ALL-P002: 2</x:v>
      </x:c>
      <x:c r="AG5125" s="87" t="str">
        <x:v>RESOLVED</x:v>
      </x:c>
      <x:c r="AH5125" s="87" t="str">
        <x:v>CROP_VERIFIED</x:v>
      </x:c>
      <x:c r="AI5125" s="30"/>
      <x:c r="AJ5125" s="87" t="str">
        <x:v>clean</x:v>
      </x:c>
      <x:c r="AK5125" s="87" t="str">
        <x:v>clean-v0.10</x:v>
      </x:c>
      <x:c r="AL5125" s="87" t="str">
        <x:v>statgrad_clean_continuation_v0_10(1).xlsx</x:v>
      </x:c>
      <x:c r="AM5125" s="87" t="str">
        <x:v>RUS_EGKR_958</x:v>
      </x:c>
      <x:c r="AN5125" s="87" t="n">
        <x:v>23</x:v>
      </x:c>
    </x:row>
    <x:row r="5126">
      <x:c r="A5126" s="87" t="n">
        <x:v>5125</x:v>
      </x:c>
      <x:c r="B5126" s="87" t="str">
        <x:v>EGKR-W25-RUS-958-23</x:v>
      </x:c>
      <x:c r="C5126" s="87" t="str">
        <x:v>ЕГКР</x:v>
      </x:c>
      <x:c r="D5126" s="87"/>
      <x:c r="E5126" s="87" t="str">
        <x:v>Зима 2025</x:v>
      </x:c>
      <x:c r="F5126" s="87" t="str">
        <x:v>09.12.2025</x:v>
      </x:c>
      <x:c r="G5126" s="87" t="str">
        <x:v>Русский язык</x:v>
      </x:c>
      <x:c r="H5126" s="87" t="n">
        <x:v>11</x:v>
      </x:c>
      <x:c r="I5126" s="87"/>
      <x:c r="J5126" s="87" t="str">
        <x:v>958</x:v>
      </x:c>
      <x:c r="K5126" s="87" t="n">
        <x:v>23</x:v>
      </x:c>
      <x:c r="L5126" s="87" t="str">
        <x:v>Содержание исходного текста</x:v>
      </x:c>
      <x:c r="M5126" s="30" t="str">
        <x:v>Какие из высказываний соответствуют содержанию текста? Укажите номера ответов, 1} Прочитав повесть Юрия Полякова. рассказчик задумался о воспитании учеников без слов «обязан», «должен». 2) Когла люди проявляют внимание к человеку, у него возникает чувство благодарности. 3) Принципом работы учителя стало превращение обязанности в благодарность. 4) В практике учителя появился термин «педагогика обязанности». 5} Диктанты. проверенные учителем. стали своеобразным сониологическим срезом. вет 24 |</x:v>
      </x:c>
      <x:c r="N5126" s="30" t="str">
        <x:v>123</x:v>
      </x:c>
      <x:c r="O5126" s="30" t="str">
        <x:v>Ответ перенесён из сводной таблицы и связан с исходным заданием.</x:v>
      </x:c>
      <x:c r="P5126" s="30"/>
      <x:c r="Q5126" s="30" t="str">
        <x:v>Ответ визуально сверён с таблицей ответов; условие привязано к исходной странице.</x:v>
      </x:c>
      <x:c r="R5126" s="30" t="str">
        <x:v>123</x:v>
      </x:c>
      <x:c r="S5126" s="30"/>
      <x:c r="T5126" s="30" t="str">
        <x:v>ОТВЕТЫ (2).docx</x:v>
      </x:c>
      <x:c r="U5126" s="30" t="str">
        <x:v>Расхождений с таблицей ответов не выявлено.</x:v>
      </x:c>
      <x:c r="V5126" s="87" t="str">
        <x:v>VERIFIED</x:v>
      </x:c>
      <x:c r="W5126" s="87"/>
      <x:c r="X5126" s="87"/>
      <x:c r="Y5126" s="87" t="n">
        <x:v>14</x:v>
      </x:c>
      <x:c r="Z5126" s="87" t="n">
        <x:v>14</x:v>
      </x:c>
      <x:c r="AA5126" s="87" t="str">
        <x:v>страница 2</x:v>
      </x:c>
      <x:c r="AB5126" s="87"/>
      <x:c r="AC5126" s="87" t="str">
        <x:v>VIS-EGKR-RUS-W25-TASK-958-P014</x:v>
      </x:c>
      <x:c r="AD5126" s="87" t="str">
        <x:v>VIS-EGKR-RUS-W25-KEY-ALL-P002</x:v>
      </x:c>
      <x:c r="AE5126" s="87" t="str">
        <x:v>TASK; KEY</x:v>
      </x:c>
      <x:c r="AF5126" s="87" t="str">
        <x:v>VIS-EGKR-RUS-W25-TASK-958-P014: 14; VIS-EGKR-RUS-W25-KEY-ALL-P002: 2</x:v>
      </x:c>
      <x:c r="AG5126" s="87" t="str">
        <x:v>RESOLVED</x:v>
      </x:c>
      <x:c r="AH5126" s="87" t="str">
        <x:v>CROP_VERIFIED</x:v>
      </x:c>
      <x:c r="AI5126" s="30"/>
      <x:c r="AJ5126" s="87" t="str">
        <x:v>clean</x:v>
      </x:c>
      <x:c r="AK5126" s="87" t="str">
        <x:v>clean-v0.10</x:v>
      </x:c>
      <x:c r="AL5126" s="87" t="str">
        <x:v>statgrad_clean_continuation_v0_10(1).xlsx</x:v>
      </x:c>
      <x:c r="AM5126" s="87" t="str">
        <x:v>RUS_EGKR_958</x:v>
      </x:c>
      <x:c r="AN5126" s="87" t="n">
        <x:v>24</x:v>
      </x:c>
    </x:row>
    <x:row r="5127">
      <x:c r="A5127" s="87" t="n">
        <x:v>5126</x:v>
      </x:c>
      <x:c r="B5127" s="87" t="str">
        <x:v>EGKR-W25-RUS-958-24</x:v>
      </x:c>
      <x:c r="C5127" s="87" t="str">
        <x:v>ЕГКР</x:v>
      </x:c>
      <x:c r="D5127" s="87"/>
      <x:c r="E5127" s="87" t="str">
        <x:v>Зима 2025</x:v>
      </x:c>
      <x:c r="F5127" s="87" t="str">
        <x:v>09.12.2025</x:v>
      </x:c>
      <x:c r="G5127" s="87" t="str">
        <x:v>Русский язык</x:v>
      </x:c>
      <x:c r="H5127" s="87" t="n">
        <x:v>11</x:v>
      </x:c>
      <x:c r="I5127" s="87"/>
      <x:c r="J5127" s="87" t="str">
        <x:v>958</x:v>
      </x:c>
      <x:c r="K5127" s="87" t="n">
        <x:v>24</x:v>
      </x:c>
      <x:c r="L5127" s="87" t="str">
        <x:v>Функционально-смысловые типы речи и логика текста</x:v>
      </x:c>
      <x:c r="M5127" s="30" t="str">
        <x:v>Какие из перечисленных утверждений являются верными? Укажите номера ответов: 1) В предложении 4 представлено описание. 2) Предложение 9 указываст на причину того. о чём говорится в предложении 8. 3) В предложениях 10-15 представлено рассуждение. 4) В предложениях 17 и 18 содержится ответ на вопрос. заланный в предложении 16. 5) В предложениях 19—21 прелставлено повествование. Ответ: в 25 |</x:v>
      </x:c>
      <x:c r="N5127" s="30" t="str">
        <x:v>34</x:v>
      </x:c>
      <x:c r="O5127" s="30" t="str">
        <x:v>Ответ перенесён из сводной таблицы и связан с исходным заданием.</x:v>
      </x:c>
      <x:c r="P5127" s="30"/>
      <x:c r="Q5127" s="30" t="str">
        <x:v>Ответ визуально сверён с таблицей ответов; условие привязано к исходной странице.</x:v>
      </x:c>
      <x:c r="R5127" s="30" t="str">
        <x:v>34</x:v>
      </x:c>
      <x:c r="S5127" s="30"/>
      <x:c r="T5127" s="30" t="str">
        <x:v>ОТВЕТЫ (2).docx</x:v>
      </x:c>
      <x:c r="U5127" s="30" t="str">
        <x:v>Расхождений с таблицей ответов не выявлено.</x:v>
      </x:c>
      <x:c r="V5127" s="87" t="str">
        <x:v>VERIFIED</x:v>
      </x:c>
      <x:c r="W5127" s="87"/>
      <x:c r="X5127" s="87"/>
      <x:c r="Y5127" s="87" t="n">
        <x:v>14</x:v>
      </x:c>
      <x:c r="Z5127" s="87" t="n">
        <x:v>14</x:v>
      </x:c>
      <x:c r="AA5127" s="87" t="str">
        <x:v>страница 2</x:v>
      </x:c>
      <x:c r="AB5127" s="87"/>
      <x:c r="AC5127" s="87" t="str">
        <x:v>VIS-EGKR-RUS-W25-TASK-958-P014</x:v>
      </x:c>
      <x:c r="AD5127" s="87" t="str">
        <x:v>VIS-EGKR-RUS-W25-KEY-ALL-P002</x:v>
      </x:c>
      <x:c r="AE5127" s="87" t="str">
        <x:v>TASK; KEY</x:v>
      </x:c>
      <x:c r="AF5127" s="87" t="str">
        <x:v>VIS-EGKR-RUS-W25-TASK-958-P014: 14; VIS-EGKR-RUS-W25-KEY-ALL-P002: 2</x:v>
      </x:c>
      <x:c r="AG5127" s="87" t="str">
        <x:v>RESOLVED</x:v>
      </x:c>
      <x:c r="AH5127" s="87" t="str">
        <x:v>CROP_VERIFIED</x:v>
      </x:c>
      <x:c r="AI5127" s="30"/>
      <x:c r="AJ5127" s="87" t="str">
        <x:v>clean</x:v>
      </x:c>
      <x:c r="AK5127" s="87" t="str">
        <x:v>clean-v0.10</x:v>
      </x:c>
      <x:c r="AL5127" s="87" t="str">
        <x:v>statgrad_clean_continuation_v0_10(1).xlsx</x:v>
      </x:c>
      <x:c r="AM5127" s="87" t="str">
        <x:v>RUS_EGKR_958</x:v>
      </x:c>
      <x:c r="AN5127" s="87" t="n">
        <x:v>25</x:v>
      </x:c>
    </x:row>
    <x:row r="5128">
      <x:c r="A5128" s="87" t="n">
        <x:v>5127</x:v>
      </x:c>
      <x:c r="B5128" s="87" t="str">
        <x:v>EGKR-W25-RUS-958-25</x:v>
      </x:c>
      <x:c r="C5128" s="87" t="str">
        <x:v>ЕГКР</x:v>
      </x:c>
      <x:c r="D5128" s="87"/>
      <x:c r="E5128" s="87" t="str">
        <x:v>Зима 2025</x:v>
      </x:c>
      <x:c r="F5128" s="87" t="str">
        <x:v>09.12.2025</x:v>
      </x:c>
      <x:c r="G5128" s="87" t="str">
        <x:v>Русский язык</x:v>
      </x:c>
      <x:c r="H5128" s="87" t="n">
        <x:v>11</x:v>
      </x:c>
      <x:c r="I5128" s="87"/>
      <x:c r="J5128" s="87" t="str">
        <x:v>958</x:v>
      </x:c>
      <x:c r="K5128" s="87" t="n">
        <x:v>25</x:v>
      </x:c>
      <x:c r="L5128" s="87" t="str">
        <x:v>Лексические средства</x:v>
      </x:c>
      <x:c r="M5128" s="30" t="str">
        <x:v>Из предложений 16-20 выпишите один фразеологизм. </x:v>
      </x:c>
      <x:c r="N5128" s="30" t="str">
        <x:v>принципом работы</x:v>
      </x:c>
      <x:c r="O5128" s="30" t="str">
        <x:v>Ответ перенесён из сводной таблицы и связан с исходным заданием.</x:v>
      </x:c>
      <x:c r="P5128" s="30"/>
      <x:c r="Q5128" s="30" t="str">
        <x:v>Ответ визуально сверён с таблицей ответов; условие привязано к исходной странице.</x:v>
      </x:c>
      <x:c r="R5128" s="30" t="str">
        <x:v>принципом работы</x:v>
      </x:c>
      <x:c r="S5128" s="30"/>
      <x:c r="T5128" s="30" t="str">
        <x:v>ОТВЕТЫ (2).docx</x:v>
      </x:c>
      <x:c r="U5128" s="30" t="str">
        <x:v>Расхождений с таблицей ответов не выявлено.</x:v>
      </x:c>
      <x:c r="V5128" s="87" t="str">
        <x:v>VERIFIED</x:v>
      </x:c>
      <x:c r="W5128" s="87"/>
      <x:c r="X5128" s="87"/>
      <x:c r="Y5128" s="87" t="n">
        <x:v>14</x:v>
      </x:c>
      <x:c r="Z5128" s="87" t="n">
        <x:v>14</x:v>
      </x:c>
      <x:c r="AA5128" s="87" t="str">
        <x:v>страница 2</x:v>
      </x:c>
      <x:c r="AB5128" s="87"/>
      <x:c r="AC5128" s="87" t="str">
        <x:v>VIS-EGKR-RUS-W25-TASK-958-P014</x:v>
      </x:c>
      <x:c r="AD5128" s="87" t="str">
        <x:v>VIS-EGKR-RUS-W25-KEY-ALL-P002</x:v>
      </x:c>
      <x:c r="AE5128" s="87" t="str">
        <x:v>TASK; KEY</x:v>
      </x:c>
      <x:c r="AF5128" s="87" t="str">
        <x:v>VIS-EGKR-RUS-W25-TASK-958-P014: 14; VIS-EGKR-RUS-W25-KEY-ALL-P002: 2</x:v>
      </x:c>
      <x:c r="AG5128" s="87" t="str">
        <x:v>RESOLVED</x:v>
      </x:c>
      <x:c r="AH5128" s="87" t="str">
        <x:v>CROP_VERIFIED</x:v>
      </x:c>
      <x:c r="AI5128" s="30"/>
      <x:c r="AJ5128" s="87" t="str">
        <x:v>clean</x:v>
      </x:c>
      <x:c r="AK5128" s="87" t="str">
        <x:v>clean-v0.10</x:v>
      </x:c>
      <x:c r="AL5128" s="87" t="str">
        <x:v>statgrad_clean_continuation_v0_10(1).xlsx</x:v>
      </x:c>
      <x:c r="AM5128" s="87" t="str">
        <x:v>RUS_EGKR_958</x:v>
      </x:c>
      <x:c r="AN5128" s="87" t="n">
        <x:v>26</x:v>
      </x:c>
    </x:row>
    <x:row r="5129">
      <x:c r="A5129" s="87" t="n">
        <x:v>5128</x:v>
      </x:c>
      <x:c r="B5129" s="87" t="str">
        <x:v>EGKR-W25-RUS-958-26</x:v>
      </x:c>
      <x:c r="C5129" s="87" t="str">
        <x:v>ЕГКР</x:v>
      </x:c>
      <x:c r="D5129" s="87"/>
      <x:c r="E5129" s="87" t="str">
        <x:v>Зима 2025</x:v>
      </x:c>
      <x:c r="F5129" s="87" t="str">
        <x:v>09.12.2025</x:v>
      </x:c>
      <x:c r="G5129" s="87" t="str">
        <x:v>Русский язык</x:v>
      </x:c>
      <x:c r="H5129" s="87" t="n">
        <x:v>11</x:v>
      </x:c>
      <x:c r="I5129" s="87"/>
      <x:c r="J5129" s="87" t="str">
        <x:v>958</x:v>
      </x:c>
      <x:c r="K5129" s="87" t="n">
        <x:v>26</x:v>
      </x:c>
      <x:c r="L5129" s="87" t="str">
        <x:v>Средства связи предложений</x:v>
      </x:c>
      <x:c r="M5129" s="30" t="str">
        <x:v>Среди предложений 14-19 найдите такос(-ие). которое(-ые} связано{-ы) с предыдущим при помощи педчинительного союза. личного местоимения и однокоренных слов. Запишите номер(а) этого(-их) предложения(-ий). Ответ: о ОВ Не забудьте перенести все ответы в бланк ответов №1 в соответствии с инструкцией по выполнению работы. у Проверьте, чтобы каждый ответ был записан в строке с номером { соответствующего задания. ОНИ J</x:v>
      </x:c>
      <x:c r="N5129" s="30" t="str">
        <x:v>15</x:v>
      </x:c>
      <x:c r="O5129" s="30" t="str">
        <x:v>Ответ перенесён из сводной таблицы и связан с исходным заданием.</x:v>
      </x:c>
      <x:c r="P5129" s="30"/>
      <x:c r="Q5129" s="30" t="str">
        <x:v>Ответ визуально сверён с таблицей ответов; условие привязано к исходной странице.</x:v>
      </x:c>
      <x:c r="R5129" s="30" t="str">
        <x:v>15</x:v>
      </x:c>
      <x:c r="S5129" s="30"/>
      <x:c r="T5129" s="30" t="str">
        <x:v>ОТВЕТЫ (2).docx</x:v>
      </x:c>
      <x:c r="U5129" s="30" t="str">
        <x:v>Расхождений с таблицей ответов не выявлено.</x:v>
      </x:c>
      <x:c r="V5129" s="87" t="str">
        <x:v>VERIFIED</x:v>
      </x:c>
      <x:c r="W5129" s="87"/>
      <x:c r="X5129" s="87"/>
      <x:c r="Y5129" s="87" t="n">
        <x:v>14</x:v>
      </x:c>
      <x:c r="Z5129" s="87" t="n">
        <x:v>14</x:v>
      </x:c>
      <x:c r="AA5129" s="87" t="str">
        <x:v>страница 2</x:v>
      </x:c>
      <x:c r="AB5129" s="87"/>
      <x:c r="AC5129" s="87" t="str">
        <x:v>VIS-EGKR-RUS-W25-TASK-958-P014</x:v>
      </x:c>
      <x:c r="AD5129" s="87" t="str">
        <x:v>VIS-EGKR-RUS-W25-KEY-ALL-P002</x:v>
      </x:c>
      <x:c r="AE5129" s="87" t="str">
        <x:v>TASK; KEY</x:v>
      </x:c>
      <x:c r="AF5129" s="87" t="str">
        <x:v>VIS-EGKR-RUS-W25-TASK-958-P014: 14; VIS-EGKR-RUS-W25-KEY-ALL-P002: 2</x:v>
      </x:c>
      <x:c r="AG5129" s="87" t="str">
        <x:v>RESOLVED</x:v>
      </x:c>
      <x:c r="AH5129" s="87" t="str">
        <x:v>CROP_VERIFIED</x:v>
      </x:c>
      <x:c r="AI5129" s="30"/>
      <x:c r="AJ5129" s="87" t="str">
        <x:v>clean</x:v>
      </x:c>
      <x:c r="AK5129" s="87" t="str">
        <x:v>clean-v0.10</x:v>
      </x:c>
      <x:c r="AL5129" s="87" t="str">
        <x:v>statgrad_clean_continuation_v0_10(1).xlsx</x:v>
      </x:c>
      <x:c r="AM5129" s="87" t="str">
        <x:v>RUS_EGKR_958</x:v>
      </x:c>
      <x:c r="AN5129" s="87" t="n">
        <x:v>27</x:v>
      </x:c>
    </x:row>
    <x:row r="5130">
      <x:c r="A5130" s="87" t="n">
        <x:v>5129</x:v>
      </x:c>
      <x:c r="B5130" s="87" t="str">
        <x:v>EGKR-W25-RUS-958-27</x:v>
      </x:c>
      <x:c r="C5130" s="87" t="str">
        <x:v>ЕГКР</x:v>
      </x:c>
      <x:c r="D5130" s="87"/>
      <x:c r="E5130" s="87" t="str">
        <x:v>Зима 2025</x:v>
      </x:c>
      <x:c r="F5130" s="87" t="str">
        <x:v>09.12.2025</x:v>
      </x:c>
      <x:c r="G5130" s="87" t="str">
        <x:v>Русский язык</x:v>
      </x:c>
      <x:c r="H5130" s="87" t="n">
        <x:v>11</x:v>
      </x:c>
      <x:c r="I5130" s="87"/>
      <x:c r="J5130" s="87" t="str">
        <x:v>958</x:v>
      </x:c>
      <x:c r="K5130" s="87" t="n">
        <x:v>27</x:v>
      </x:c>
      <x:c r="L5130" s="87" t="str">
        <x:v>Сочинение-рассуждение</x:v>
      </x:c>
      <x:c r="M5130" s="30" t="str">
        <x:v>Напишите сочинение-рассужление по проблеме. поставленной в исходном тексте: «Какую роль в становлении личности и воспитании человека играют окружающие его люди?». Сформулируйте позицию автора (рассказчика) по указанной проблеме. Прокомментируйте. как в тексте раскрывается эта позиция. Включите в комментарий два примера-иллюстрации из прочитанного текста. важные для понимания позиции автора (рассказчика). и поясните их. Укажите и поясните смысловую связь между приведёнными примерами-иллюстрациями. Сформулируйте и обоснуйте своё огношение к позиции автора (рассказчика) по проблеме исходного текста. Включите в обоснование пример-аргумент. опираясь на читательский. историко-кульгурный или жизненный опыт и не повторяя авторских суждений. (He учитываются примеры-аргументы. источниками которых являются комикс. аниме, манга, фанфик. графический роман. компьютерная игра и другие подобные виды представления илформации.) Объём сочинения — не менее 150 слов. Работа, написанная без опоры на прочитанный текст (не по данному тексту). не оценивается. Сели сочинение представляет собой полностью перенисанный или пересказанный исходный текст без каких бы то ни было комментариев, то такая работа оценивается 0 баллов. Сочинение пишите аккуратно и разборчиво. соблюдая нормы современного русского литературного языка. $ 2525 ©7БНУ "Федесагьньй и-ститут педагогических изуесе-ий" МММ. "2 QU Хсгуссза-ие не допускается</x:v>
      </x:c>
      <x:c r="N5130" s="30" t="str">
        <x:v>В предложенном тексте автор поднимает важную проблему роли окружающих людей в становлении личности и воспитании человека. Размышляя над вопросами педагогики, он показывает, что формирование нравственных качеств и чувства ответственности напрямую зависит от того, насколько человек осознаёт свою связь с другими.
Позиция автора заключается в том, что истинное воспитание должно строиться не на формальных требованиях и обязанностях, а на пробуждении в ученике чувства благодарности и осознанной привязанности к тем, кто его окружает. Автор убеждён, что только через внимание к личности ребёнка, через включение в учебный процесс его микросреды (семьи, друзей, знакомых) можно сформировать у него нравственный долг перед людьми и обществом. Ключевой идеей текста становится «педагогика благодарности» — подход, при котором обязанность превращается в ответное желание быть полезным, не подводить тех, кто тебе доверяет.
Эта позиция раскрывается в тексте через несколько ярких примеров. Во-первых, автор приводит диалог из повести Юрия Полякова, где ученик цинично заявляет: «Никому я ничего не обязан». Этот пример иллюстрирует типичную реакцию молодого человека на давление бесконечных «должен» и «надо», что ведёт к нигилизму и отчуждению. Во-вторых, в противовес этому автор описывает свой педагогический эксперимент — сочинение, в котором ученики должны были вспомнить людей, которым они дороги. Этот «социологический срез» помог ребятам осознать меру своей причастности к другим, пробудил «память сердца». Смысловая связь между этими примерами очевидна: они показывают переход от конфронтации, вызванной формальным давлением, к осознанному чувству связи с окружающими, которое рождается благодаря вниманию и личному интересу.
Я полностью разделяю позицию автора. Действительно, человек воспитывается не абстрактными нормами, а живыми отношениями, примером и поддержкой тех, кто его окружает. Подтверждение этому можно найти в классической литературе. Например, в повести В.Г. Короленко «В дурном обществе» судьба мальчика Васи меняется под влиянием встречи с детьми из подземелья — Валеком и Марусей. Благодаря им он учится состраданию, честности и умению видеть боль других. Эта дружба, основанная на искреннем участии, сформировала его личность куда сильнее, чем все нравоучения отца или правила светского общества.
Таким образом, окружающие люди играют ключевую роль в становлении личности. Как верно отмечает автор, именно благодарность и осознание взаимосвязи с другими пробуждают в человеке желание быть лучше, превращают долг в естественную потребность души.</x:v>
      </x:c>
      <x:c r="O5130" s="30" t="str">
        <x:v>Модель развёрнутого ответа.</x:v>
      </x:c>
      <x:c r="P5130" s="30"/>
      <x:c r="Q5130" s="30" t="str">
        <x:v>Проверены формулировка проблемы, позиция автора, два примера, связь и аргументация.</x:v>
      </x:c>
      <x:c r="R5130" s="30" t="str">
        <x:v>Сочинение вариант 958.docx</x:v>
      </x:c>
      <x:c r="S5130" s="30"/>
      <x:c r="T5130" s="30" t="str">
        <x:v>Сочинение вариант 958.docx</x:v>
      </x:c>
      <x:c r="U5130" s="30" t="str">
        <x:v>Модель соответствует проблеме задания 27 и структуре сочинения ЕГЭ.</x:v>
      </x:c>
      <x:c r="V5130" s="87" t="str">
        <x:v>VERIFIED</x:v>
      </x:c>
      <x:c r="W5130" s="87"/>
      <x:c r="X5130" s="87"/>
      <x:c r="Y5130" s="87" t="n">
        <x:v>15</x:v>
      </x:c>
      <x:c r="Z5130" s="87" t="n">
        <x:v>15</x:v>
      </x:c>
      <x:c r="AA5130" s="87" t="str">
        <x:v>модель сочинения</x:v>
      </x:c>
      <x:c r="AB5130" s="87"/>
      <x:c r="AC5130" s="87" t="str">
        <x:v>VIS-EGKR-RUS-W25-TASK-958-P015</x:v>
      </x:c>
      <x:c r="AD5130" s="87" t="str">
        <x:v>VIS-EGKR-RUS-W25-MODEL-958-P001</x:v>
      </x:c>
      <x:c r="AE5130" s="87" t="str">
        <x:v>TASK; MODEL</x:v>
      </x:c>
      <x:c r="AF5130" s="87" t="str">
        <x:v>VIS-EGKR-RUS-W25-TASK-958-P015: 15; VIS-EGKR-RUS-W25-MODEL-958-P001: 1</x:v>
      </x:c>
      <x:c r="AG5130" s="87" t="str">
        <x:v>RESOLVED</x:v>
      </x:c>
      <x:c r="AH5130" s="87" t="str">
        <x:v>CROP_VERIFIED; TASK_CROP_NO_CROP_NEEDED</x:v>
      </x:c>
      <x:c r="AI5130" s="30"/>
      <x:c r="AJ5130" s="87" t="str">
        <x:v>clean</x:v>
      </x:c>
      <x:c r="AK5130" s="87" t="str">
        <x:v>clean-v0.10</x:v>
      </x:c>
      <x:c r="AL5130" s="87" t="str">
        <x:v>statgrad_clean_continuation_v0_10(1).xlsx</x:v>
      </x:c>
      <x:c r="AM5130" s="87" t="str">
        <x:v>RUS_EGKR_958</x:v>
      </x:c>
      <x:c r="AN5130" s="87" t="n">
        <x:v>28</x:v>
      </x:c>
    </x:row>
    <x:row r="5131">
      <x:c r="A5131" s="87" t="n">
        <x:v>5130</x:v>
      </x:c>
      <x:c r="B5131" s="87" t="str">
        <x:v>EGKR-ENG-W25-951-01</x:v>
      </x:c>
      <x:c r="C5131" s="87" t="str">
        <x:v>ЕГКР</x:v>
      </x:c>
      <x:c r="D5131" s="87"/>
      <x:c r="E5131" s="87" t="str">
        <x:v>Зима 2025</x:v>
      </x:c>
      <x:c r="F5131" s="87" t="str">
        <x:v>11.12.2025</x:v>
      </x:c>
      <x:c r="G5131" s="87" t="str">
        <x:v>Английский язык</x:v>
      </x:c>
      <x:c r="H5131" s="87" t="n">
        <x:v>11</x:v>
      </x:c>
      <x:c r="I5131" s="87"/>
      <x:c r="J5131" s="87" t="str">
        <x:v>951</x:v>
      </x:c>
      <x:c r="K5131" s="87" t="n">
        <x:v>1</x:v>
      </x:c>
      <x:c r="L5131" s="87" t="str">
        <x:v>Аудирование: соответствие высказываний</x:v>
      </x:c>
      <x:c r="M5131" s="30" t="str">
        <x:v>Задание 1 раздела «Аудирование»; полное условие и варианты ответа сохранены на странице VIS_ID.</x:v>
      </x:c>
      <x:c r="N5131" s="30" t="str">
        <x:v>651742</x:v>
      </x:c>
      <x:c r="O5131" s="30"/>
      <x:c r="P5131" s="30"/>
      <x:c r="Q5131" s="30" t="str">
        <x:v>Значение из приложенного DOCX; согласуется с общей структурой L1.</x:v>
      </x:c>
      <x:c r="R5131" s="30"/>
      <x:c r="S5131" s="30" t="str">
        <x:v>Ответы английский.docx / L1.mp3</x:v>
      </x:c>
      <x:c r="T5131" s="30"/>
      <x:c r="U5131" s="30" t="str">
        <x:v>Аудиопозиция зафиксирована с оговорённым уровнем источника.</x:v>
      </x:c>
      <x:c r="V5131" s="87" t="str">
        <x:v>AUDIO_LOCKED</x:v>
      </x:c>
      <x:c r="W5131" s="87"/>
      <x:c r="X5131" s="87" t="str">
        <x:v>1</x:v>
      </x:c>
      <x:c r="Y5131" s="87"/>
      <x:c r="Z5131" s="87"/>
      <x:c r="AA5131" s="87"/>
      <x:c r="AB5131" s="87"/>
      <x:c r="AC5131" s="87" t="str">
        <x:v>VIS-EGKR-ENG-W25-TASK-951-P001</x:v>
      </x:c>
      <x:c r="AD5131" s="87"/>
      <x:c r="AE5131" s="87" t="str">
        <x:v>TASK</x:v>
      </x:c>
      <x:c r="AF5131" s="87" t="str">
        <x:v>VIS-EGKR-ENG-W25-TASK-951-P001: 1</x:v>
      </x:c>
      <x:c r="AG5131" s="87" t="str">
        <x:v>RESOLVED</x:v>
      </x:c>
      <x:c r="AH5131" s="87" t="str">
        <x:v>CROP_VERIFIED</x:v>
      </x:c>
      <x:c r="AI5131" s="30"/>
      <x:c r="AJ5131" s="87" t="str">
        <x:v>clean</x:v>
      </x:c>
      <x:c r="AK5131" s="87" t="str">
        <x:v>clean-v0.11</x:v>
      </x:c>
      <x:c r="AL5131" s="87" t="str">
        <x:v>statgrad_clean_continuation_v0_11(1).xlsx</x:v>
      </x:c>
      <x:c r="AM5131" s="87" t="str">
        <x:v>ENG_EGKR_951</x:v>
      </x:c>
      <x:c r="AN5131" s="87" t="n">
        <x:v>2</x:v>
      </x:c>
    </x:row>
    <x:row r="5132">
      <x:c r="A5132" s="87" t="n">
        <x:v>5131</x:v>
      </x:c>
      <x:c r="B5132" s="87" t="str">
        <x:v>EGKR-ENG-W25-951-02</x:v>
      </x:c>
      <x:c r="C5132" s="87" t="str">
        <x:v>ЕГКР</x:v>
      </x:c>
      <x:c r="D5132" s="87"/>
      <x:c r="E5132" s="87" t="str">
        <x:v>Зима 2025</x:v>
      </x:c>
      <x:c r="F5132" s="87" t="str">
        <x:v>11.12.2025</x:v>
      </x:c>
      <x:c r="G5132" s="87" t="str">
        <x:v>Английский язык</x:v>
      </x:c>
      <x:c r="H5132" s="87" t="n">
        <x:v>11</x:v>
      </x:c>
      <x:c r="I5132" s="87"/>
      <x:c r="J5132" s="87" t="str">
        <x:v>951</x:v>
      </x:c>
      <x:c r="K5132" s="87" t="n">
        <x:v>2</x:v>
      </x:c>
      <x:c r="L5132" s="87" t="str">
        <x:v>Аудирование: True / False / Not stated</x:v>
      </x:c>
      <x:c r="M5132" s="30" t="str">
        <x:v>Задание 2 раздела «Аудирование»; полное условие и варианты ответа сохранены на странице VIS_ID.</x:v>
      </x:c>
      <x:c r="N5132" s="30" t="str">
        <x:v>2131232</x:v>
      </x:c>
      <x:c r="O5132" s="30"/>
      <x:c r="P5132" s="30"/>
      <x:c r="Q5132" s="30" t="str">
        <x:v>Значение из приложенного DOCX; согласуется с общей структурой L1.</x:v>
      </x:c>
      <x:c r="R5132" s="30"/>
      <x:c r="S5132" s="30" t="str">
        <x:v>Ответы английский.docx / L1.mp3</x:v>
      </x:c>
      <x:c r="T5132" s="30"/>
      <x:c r="U5132" s="30" t="str">
        <x:v>Аудиопозиция зафиксирована с оговорённым уровнем источника.</x:v>
      </x:c>
      <x:c r="V5132" s="87" t="str">
        <x:v>AUDIO_LOCKED</x:v>
      </x:c>
      <x:c r="W5132" s="87"/>
      <x:c r="X5132" s="87" t="str">
        <x:v>1</x:v>
      </x:c>
      <x:c r="Y5132" s="87"/>
      <x:c r="Z5132" s="87"/>
      <x:c r="AA5132" s="87"/>
      <x:c r="AB5132" s="87"/>
      <x:c r="AC5132" s="87" t="str">
        <x:v>VIS-EGKR-ENG-W25-TASK-951-P001</x:v>
      </x:c>
      <x:c r="AD5132" s="87"/>
      <x:c r="AE5132" s="87" t="str">
        <x:v>TASK</x:v>
      </x:c>
      <x:c r="AF5132" s="87" t="str">
        <x:v>VIS-EGKR-ENG-W25-TASK-951-P001: 1</x:v>
      </x:c>
      <x:c r="AG5132" s="87" t="str">
        <x:v>RESOLVED</x:v>
      </x:c>
      <x:c r="AH5132" s="87" t="str">
        <x:v>CROP_VERIFIED</x:v>
      </x:c>
      <x:c r="AI5132" s="30"/>
      <x:c r="AJ5132" s="87" t="str">
        <x:v>clean</x:v>
      </x:c>
      <x:c r="AK5132" s="87" t="str">
        <x:v>clean-v0.11</x:v>
      </x:c>
      <x:c r="AL5132" s="87" t="str">
        <x:v>statgrad_clean_continuation_v0_11(1).xlsx</x:v>
      </x:c>
      <x:c r="AM5132" s="87" t="str">
        <x:v>ENG_EGKR_951</x:v>
      </x:c>
      <x:c r="AN5132" s="87" t="n">
        <x:v>3</x:v>
      </x:c>
    </x:row>
    <x:row r="5133">
      <x:c r="A5133" s="87" t="n">
        <x:v>5132</x:v>
      </x:c>
      <x:c r="B5133" s="87" t="str">
        <x:v>EGKR-ENG-W25-951-03</x:v>
      </x:c>
      <x:c r="C5133" s="87" t="str">
        <x:v>ЕГКР</x:v>
      </x:c>
      <x:c r="D5133" s="87"/>
      <x:c r="E5133" s="87" t="str">
        <x:v>Зима 2025</x:v>
      </x:c>
      <x:c r="F5133" s="87" t="str">
        <x:v>11.12.2025</x:v>
      </x:c>
      <x:c r="G5133" s="87" t="str">
        <x:v>Английский язык</x:v>
      </x:c>
      <x:c r="H5133" s="87" t="n">
        <x:v>11</x:v>
      </x:c>
      <x:c r="I5133" s="87"/>
      <x:c r="J5133" s="87" t="str">
        <x:v>951</x:v>
      </x:c>
      <x:c r="K5133" s="87" t="n">
        <x:v>3</x:v>
      </x:c>
      <x:c r="L5133" s="87" t="str">
        <x:v>Аудирование: интервью, выбор ответа</x:v>
      </x:c>
      <x:c r="M5133" s="30" t="str">
        <x:v>Задание 3 раздела «Аудирование»; полное условие и варианты ответа сохранены на странице VIS_ID.</x:v>
      </x:c>
      <x:c r="N5133" s="30" t="str">
        <x:v>3</x:v>
      </x:c>
      <x:c r="O5133" s="30"/>
      <x:c r="P5133" s="30"/>
      <x:c r="Q5133" s="30" t="str">
        <x:v>Семантическое сопоставление общей записи L1; требуется финальная проверка аудио.</x:v>
      </x:c>
      <x:c r="R5133" s="30"/>
      <x:c r="S5133" s="30" t="str">
        <x:v>L1.mp3 + cross-variant mapping</x:v>
      </x:c>
      <x:c r="T5133" s="30"/>
      <x:c r="U5133" s="30" t="str">
        <x:v>Требуется подтверждение прослушиванием.</x:v>
      </x:c>
      <x:c r="V5133" s="87" t="str">
        <x:v>AUDIO_PROVISIONAL</x:v>
      </x:c>
      <x:c r="W5133" s="87"/>
      <x:c r="X5133" s="87" t="str">
        <x:v>2</x:v>
      </x:c>
      <x:c r="Y5133" s="87"/>
      <x:c r="Z5133" s="87"/>
      <x:c r="AA5133" s="87"/>
      <x:c r="AB5133" s="87"/>
      <x:c r="AC5133" s="87" t="str">
        <x:v>VIS-EGKR-ENG-W25-TASK-951-P002</x:v>
      </x:c>
      <x:c r="AD5133" s="87"/>
      <x:c r="AE5133" s="87" t="str">
        <x:v>TASK</x:v>
      </x:c>
      <x:c r="AF5133" s="87" t="str">
        <x:v>VIS-EGKR-ENG-W25-TASK-951-P002: 2</x:v>
      </x:c>
      <x:c r="AG5133" s="87" t="str">
        <x:v>RESOLVED</x:v>
      </x:c>
      <x:c r="AH5133" s="87" t="str">
        <x:v>CROP_VERIFIED</x:v>
      </x:c>
      <x:c r="AI5133" s="30"/>
      <x:c r="AJ5133" s="87" t="str">
        <x:v>clean</x:v>
      </x:c>
      <x:c r="AK5133" s="87" t="str">
        <x:v>clean-v0.11</x:v>
      </x:c>
      <x:c r="AL5133" s="87" t="str">
        <x:v>statgrad_clean_continuation_v0_11(1).xlsx</x:v>
      </x:c>
      <x:c r="AM5133" s="87" t="str">
        <x:v>ENG_EGKR_951</x:v>
      </x:c>
      <x:c r="AN5133" s="87" t="n">
        <x:v>4</x:v>
      </x:c>
    </x:row>
    <x:row r="5134">
      <x:c r="A5134" s="87" t="n">
        <x:v>5133</x:v>
      </x:c>
      <x:c r="B5134" s="87" t="str">
        <x:v>EGKR-ENG-W25-951-04</x:v>
      </x:c>
      <x:c r="C5134" s="87" t="str">
        <x:v>ЕГКР</x:v>
      </x:c>
      <x:c r="D5134" s="87"/>
      <x:c r="E5134" s="87" t="str">
        <x:v>Зима 2025</x:v>
      </x:c>
      <x:c r="F5134" s="87" t="str">
        <x:v>11.12.2025</x:v>
      </x:c>
      <x:c r="G5134" s="87" t="str">
        <x:v>Английский язык</x:v>
      </x:c>
      <x:c r="H5134" s="87" t="n">
        <x:v>11</x:v>
      </x:c>
      <x:c r="I5134" s="87"/>
      <x:c r="J5134" s="87" t="str">
        <x:v>951</x:v>
      </x:c>
      <x:c r="K5134" s="87" t="n">
        <x:v>4</x:v>
      </x:c>
      <x:c r="L5134" s="87" t="str">
        <x:v>Аудирование: интервью, выбор ответа</x:v>
      </x:c>
      <x:c r="M5134" s="30" t="str">
        <x:v>Задание 4 раздела «Аудирование»; полное условие и варианты ответа сохранены на странице VIS_ID.</x:v>
      </x:c>
      <x:c r="N5134" s="30" t="str">
        <x:v>2</x:v>
      </x:c>
      <x:c r="O5134" s="30"/>
      <x:c r="P5134" s="30"/>
      <x:c r="Q5134" s="30" t="str">
        <x:v>Семантическое сопоставление общей записи L1; требуется финальная проверка аудио.</x:v>
      </x:c>
      <x:c r="R5134" s="30"/>
      <x:c r="S5134" s="30" t="str">
        <x:v>L1.mp3 + cross-variant mapping</x:v>
      </x:c>
      <x:c r="T5134" s="30"/>
      <x:c r="U5134" s="30" t="str">
        <x:v>Требуется подтверждение прослушиванием.</x:v>
      </x:c>
      <x:c r="V5134" s="87" t="str">
        <x:v>AUDIO_PROVISIONAL</x:v>
      </x:c>
      <x:c r="W5134" s="87"/>
      <x:c r="X5134" s="87" t="str">
        <x:v>2</x:v>
      </x:c>
      <x:c r="Y5134" s="87"/>
      <x:c r="Z5134" s="87"/>
      <x:c r="AA5134" s="87"/>
      <x:c r="AB5134" s="87"/>
      <x:c r="AC5134" s="87" t="str">
        <x:v>VIS-EGKR-ENG-W25-TASK-951-P002</x:v>
      </x:c>
      <x:c r="AD5134" s="87"/>
      <x:c r="AE5134" s="87" t="str">
        <x:v>TASK</x:v>
      </x:c>
      <x:c r="AF5134" s="87" t="str">
        <x:v>VIS-EGKR-ENG-W25-TASK-951-P002: 2</x:v>
      </x:c>
      <x:c r="AG5134" s="87" t="str">
        <x:v>RESOLVED</x:v>
      </x:c>
      <x:c r="AH5134" s="87" t="str">
        <x:v>CROP_VERIFIED</x:v>
      </x:c>
      <x:c r="AI5134" s="30"/>
      <x:c r="AJ5134" s="87" t="str">
        <x:v>clean</x:v>
      </x:c>
      <x:c r="AK5134" s="87" t="str">
        <x:v>clean-v0.11</x:v>
      </x:c>
      <x:c r="AL5134" s="87" t="str">
        <x:v>statgrad_clean_continuation_v0_11(1).xlsx</x:v>
      </x:c>
      <x:c r="AM5134" s="87" t="str">
        <x:v>ENG_EGKR_951</x:v>
      </x:c>
      <x:c r="AN5134" s="87" t="n">
        <x:v>5</x:v>
      </x:c>
    </x:row>
    <x:row r="5135">
      <x:c r="A5135" s="87" t="n">
        <x:v>5134</x:v>
      </x:c>
      <x:c r="B5135" s="87" t="str">
        <x:v>EGKR-ENG-W25-951-05</x:v>
      </x:c>
      <x:c r="C5135" s="87" t="str">
        <x:v>ЕГКР</x:v>
      </x:c>
      <x:c r="D5135" s="87"/>
      <x:c r="E5135" s="87" t="str">
        <x:v>Зима 2025</x:v>
      </x:c>
      <x:c r="F5135" s="87" t="str">
        <x:v>11.12.2025</x:v>
      </x:c>
      <x:c r="G5135" s="87" t="str">
        <x:v>Английский язык</x:v>
      </x:c>
      <x:c r="H5135" s="87" t="n">
        <x:v>11</x:v>
      </x:c>
      <x:c r="I5135" s="87"/>
      <x:c r="J5135" s="87" t="str">
        <x:v>951</x:v>
      </x:c>
      <x:c r="K5135" s="87" t="n">
        <x:v>5</x:v>
      </x:c>
      <x:c r="L5135" s="87" t="str">
        <x:v>Аудирование: интервью, выбор ответа</x:v>
      </x:c>
      <x:c r="M5135" s="30" t="str">
        <x:v>Задание 5 раздела «Аудирование»; полное условие и варианты ответа сохранены на странице VIS_ID.</x:v>
      </x:c>
      <x:c r="N5135" s="30" t="str">
        <x:v>2</x:v>
      </x:c>
      <x:c r="O5135" s="30"/>
      <x:c r="P5135" s="30"/>
      <x:c r="Q5135" s="30" t="str">
        <x:v>Семантическое сопоставление общей записи L1; требуется финальная проверка аудио.</x:v>
      </x:c>
      <x:c r="R5135" s="30"/>
      <x:c r="S5135" s="30" t="str">
        <x:v>L1.mp3 + cross-variant mapping</x:v>
      </x:c>
      <x:c r="T5135" s="30"/>
      <x:c r="U5135" s="30" t="str">
        <x:v>Требуется подтверждение прослушиванием.</x:v>
      </x:c>
      <x:c r="V5135" s="87" t="str">
        <x:v>AUDIO_PROVISIONAL</x:v>
      </x:c>
      <x:c r="W5135" s="87"/>
      <x:c r="X5135" s="87" t="str">
        <x:v>2</x:v>
      </x:c>
      <x:c r="Y5135" s="87"/>
      <x:c r="Z5135" s="87"/>
      <x:c r="AA5135" s="87"/>
      <x:c r="AB5135" s="87"/>
      <x:c r="AC5135" s="87" t="str">
        <x:v>VIS-EGKR-ENG-W25-TASK-951-P002</x:v>
      </x:c>
      <x:c r="AD5135" s="87"/>
      <x:c r="AE5135" s="87" t="str">
        <x:v>TASK</x:v>
      </x:c>
      <x:c r="AF5135" s="87" t="str">
        <x:v>VIS-EGKR-ENG-W25-TASK-951-P002: 2</x:v>
      </x:c>
      <x:c r="AG5135" s="87" t="str">
        <x:v>RESOLVED</x:v>
      </x:c>
      <x:c r="AH5135" s="87" t="str">
        <x:v>CROP_VERIFIED</x:v>
      </x:c>
      <x:c r="AI5135" s="30"/>
      <x:c r="AJ5135" s="87" t="str">
        <x:v>clean</x:v>
      </x:c>
      <x:c r="AK5135" s="87" t="str">
        <x:v>clean-v0.11</x:v>
      </x:c>
      <x:c r="AL5135" s="87" t="str">
        <x:v>statgrad_clean_continuation_v0_11(1).xlsx</x:v>
      </x:c>
      <x:c r="AM5135" s="87" t="str">
        <x:v>ENG_EGKR_951</x:v>
      </x:c>
      <x:c r="AN5135" s="87" t="n">
        <x:v>6</x:v>
      </x:c>
    </x:row>
    <x:row r="5136">
      <x:c r="A5136" s="87" t="n">
        <x:v>5135</x:v>
      </x:c>
      <x:c r="B5136" s="87" t="str">
        <x:v>EGKR-ENG-W25-951-06</x:v>
      </x:c>
      <x:c r="C5136" s="87" t="str">
        <x:v>ЕГКР</x:v>
      </x:c>
      <x:c r="D5136" s="87"/>
      <x:c r="E5136" s="87" t="str">
        <x:v>Зима 2025</x:v>
      </x:c>
      <x:c r="F5136" s="87" t="str">
        <x:v>11.12.2025</x:v>
      </x:c>
      <x:c r="G5136" s="87" t="str">
        <x:v>Английский язык</x:v>
      </x:c>
      <x:c r="H5136" s="87" t="n">
        <x:v>11</x:v>
      </x:c>
      <x:c r="I5136" s="87"/>
      <x:c r="J5136" s="87" t="str">
        <x:v>951</x:v>
      </x:c>
      <x:c r="K5136" s="87" t="n">
        <x:v>6</x:v>
      </x:c>
      <x:c r="L5136" s="87" t="str">
        <x:v>Аудирование: интервью, выбор ответа</x:v>
      </x:c>
      <x:c r="M5136" s="30" t="str">
        <x:v>Задание 6 раздела «Аудирование»; полное условие и варианты ответа сохранены на странице VIS_ID.</x:v>
      </x:c>
      <x:c r="N5136" s="30" t="str">
        <x:v>1</x:v>
      </x:c>
      <x:c r="O5136" s="30"/>
      <x:c r="P5136" s="30"/>
      <x:c r="Q5136" s="30" t="str">
        <x:v>Семантическое сопоставление общей записи L1; требуется финальная проверка аудио.</x:v>
      </x:c>
      <x:c r="R5136" s="30"/>
      <x:c r="S5136" s="30" t="str">
        <x:v>L1.mp3 + cross-variant mapping</x:v>
      </x:c>
      <x:c r="T5136" s="30"/>
      <x:c r="U5136" s="30" t="str">
        <x:v>Требуется подтверждение прослушиванием.</x:v>
      </x:c>
      <x:c r="V5136" s="87" t="str">
        <x:v>AUDIO_PROVISIONAL</x:v>
      </x:c>
      <x:c r="W5136" s="87"/>
      <x:c r="X5136" s="87" t="str">
        <x:v>2</x:v>
      </x:c>
      <x:c r="Y5136" s="87"/>
      <x:c r="Z5136" s="87"/>
      <x:c r="AA5136" s="87"/>
      <x:c r="AB5136" s="87"/>
      <x:c r="AC5136" s="87" t="str">
        <x:v>VIS-EGKR-ENG-W25-TASK-951-P002</x:v>
      </x:c>
      <x:c r="AD5136" s="87"/>
      <x:c r="AE5136" s="87" t="str">
        <x:v>TASK</x:v>
      </x:c>
      <x:c r="AF5136" s="87" t="str">
        <x:v>VIS-EGKR-ENG-W25-TASK-951-P002: 2</x:v>
      </x:c>
      <x:c r="AG5136" s="87" t="str">
        <x:v>RESOLVED</x:v>
      </x:c>
      <x:c r="AH5136" s="87" t="str">
        <x:v>CROP_VERIFIED</x:v>
      </x:c>
      <x:c r="AI5136" s="30"/>
      <x:c r="AJ5136" s="87" t="str">
        <x:v>clean</x:v>
      </x:c>
      <x:c r="AK5136" s="87" t="str">
        <x:v>clean-v0.11</x:v>
      </x:c>
      <x:c r="AL5136" s="87" t="str">
        <x:v>statgrad_clean_continuation_v0_11(1).xlsx</x:v>
      </x:c>
      <x:c r="AM5136" s="87" t="str">
        <x:v>ENG_EGKR_951</x:v>
      </x:c>
      <x:c r="AN5136" s="87" t="n">
        <x:v>7</x:v>
      </x:c>
    </x:row>
    <x:row r="5137">
      <x:c r="A5137" s="87" t="n">
        <x:v>5136</x:v>
      </x:c>
      <x:c r="B5137" s="87" t="str">
        <x:v>EGKR-ENG-W25-951-07</x:v>
      </x:c>
      <x:c r="C5137" s="87" t="str">
        <x:v>ЕГКР</x:v>
      </x:c>
      <x:c r="D5137" s="87"/>
      <x:c r="E5137" s="87" t="str">
        <x:v>Зима 2025</x:v>
      </x:c>
      <x:c r="F5137" s="87" t="str">
        <x:v>11.12.2025</x:v>
      </x:c>
      <x:c r="G5137" s="87" t="str">
        <x:v>Английский язык</x:v>
      </x:c>
      <x:c r="H5137" s="87" t="n">
        <x:v>11</x:v>
      </x:c>
      <x:c r="I5137" s="87"/>
      <x:c r="J5137" s="87" t="str">
        <x:v>951</x:v>
      </x:c>
      <x:c r="K5137" s="87" t="n">
        <x:v>7</x:v>
      </x:c>
      <x:c r="L5137" s="87" t="str">
        <x:v>Аудирование: интервью, выбор ответа</x:v>
      </x:c>
      <x:c r="M5137" s="30" t="str">
        <x:v>Задание 7 раздела «Аудирование»; полное условие и варианты ответа сохранены на странице VIS_ID.</x:v>
      </x:c>
      <x:c r="N5137" s="30" t="str">
        <x:v>2</x:v>
      </x:c>
      <x:c r="O5137" s="30"/>
      <x:c r="P5137" s="30"/>
      <x:c r="Q5137" s="30" t="str">
        <x:v>Семантическое сопоставление общей записи L1; требуется финальная проверка аудио.</x:v>
      </x:c>
      <x:c r="R5137" s="30"/>
      <x:c r="S5137" s="30" t="str">
        <x:v>L1.mp3 + cross-variant mapping</x:v>
      </x:c>
      <x:c r="T5137" s="30"/>
      <x:c r="U5137" s="30" t="str">
        <x:v>Требуется подтверждение прослушиванием.</x:v>
      </x:c>
      <x:c r="V5137" s="87" t="str">
        <x:v>AUDIO_PROVISIONAL</x:v>
      </x:c>
      <x:c r="W5137" s="87"/>
      <x:c r="X5137" s="87" t="str">
        <x:v>2</x:v>
      </x:c>
      <x:c r="Y5137" s="87"/>
      <x:c r="Z5137" s="87"/>
      <x:c r="AA5137" s="87"/>
      <x:c r="AB5137" s="87"/>
      <x:c r="AC5137" s="87" t="str">
        <x:v>VIS-EGKR-ENG-W25-TASK-951-P002</x:v>
      </x:c>
      <x:c r="AD5137" s="87"/>
      <x:c r="AE5137" s="87" t="str">
        <x:v>TASK</x:v>
      </x:c>
      <x:c r="AF5137" s="87" t="str">
        <x:v>VIS-EGKR-ENG-W25-TASK-951-P002: 2</x:v>
      </x:c>
      <x:c r="AG5137" s="87" t="str">
        <x:v>RESOLVED</x:v>
      </x:c>
      <x:c r="AH5137" s="87" t="str">
        <x:v>CROP_VERIFIED</x:v>
      </x:c>
      <x:c r="AI5137" s="30"/>
      <x:c r="AJ5137" s="87" t="str">
        <x:v>clean</x:v>
      </x:c>
      <x:c r="AK5137" s="87" t="str">
        <x:v>clean-v0.11</x:v>
      </x:c>
      <x:c r="AL5137" s="87" t="str">
        <x:v>statgrad_clean_continuation_v0_11(1).xlsx</x:v>
      </x:c>
      <x:c r="AM5137" s="87" t="str">
        <x:v>ENG_EGKR_951</x:v>
      </x:c>
      <x:c r="AN5137" s="87" t="n">
        <x:v>8</x:v>
      </x:c>
    </x:row>
    <x:row r="5138">
      <x:c r="A5138" s="87" t="n">
        <x:v>5137</x:v>
      </x:c>
      <x:c r="B5138" s="87" t="str">
        <x:v>EGKR-ENG-W25-951-08</x:v>
      </x:c>
      <x:c r="C5138" s="87" t="str">
        <x:v>ЕГКР</x:v>
      </x:c>
      <x:c r="D5138" s="87"/>
      <x:c r="E5138" s="87" t="str">
        <x:v>Зима 2025</x:v>
      </x:c>
      <x:c r="F5138" s="87" t="str">
        <x:v>11.12.2025</x:v>
      </x:c>
      <x:c r="G5138" s="87" t="str">
        <x:v>Английский язык</x:v>
      </x:c>
      <x:c r="H5138" s="87" t="n">
        <x:v>11</x:v>
      </x:c>
      <x:c r="I5138" s="87"/>
      <x:c r="J5138" s="87" t="str">
        <x:v>951</x:v>
      </x:c>
      <x:c r="K5138" s="87" t="n">
        <x:v>8</x:v>
      </x:c>
      <x:c r="L5138" s="87" t="str">
        <x:v>Аудирование: интервью, выбор ответа</x:v>
      </x:c>
      <x:c r="M5138" s="30" t="str">
        <x:v>Задание 8 раздела «Аудирование»; полное условие и варианты ответа сохранены на странице VIS_ID.</x:v>
      </x:c>
      <x:c r="N5138" s="30" t="str">
        <x:v>1</x:v>
      </x:c>
      <x:c r="O5138" s="30"/>
      <x:c r="P5138" s="30"/>
      <x:c r="Q5138" s="30" t="str">
        <x:v>Семантическое сопоставление общей записи L1; требуется финальная проверка аудио.</x:v>
      </x:c>
      <x:c r="R5138" s="30"/>
      <x:c r="S5138" s="30" t="str">
        <x:v>L1.mp3 + cross-variant mapping</x:v>
      </x:c>
      <x:c r="T5138" s="30"/>
      <x:c r="U5138" s="30" t="str">
        <x:v>Требуется подтверждение прослушиванием.</x:v>
      </x:c>
      <x:c r="V5138" s="87" t="str">
        <x:v>AUDIO_PROVISIONAL</x:v>
      </x:c>
      <x:c r="W5138" s="87"/>
      <x:c r="X5138" s="87" t="str">
        <x:v>2</x:v>
      </x:c>
      <x:c r="Y5138" s="87"/>
      <x:c r="Z5138" s="87"/>
      <x:c r="AA5138" s="87"/>
      <x:c r="AB5138" s="87"/>
      <x:c r="AC5138" s="87" t="str">
        <x:v>VIS-EGKR-ENG-W25-TASK-951-P002</x:v>
      </x:c>
      <x:c r="AD5138" s="87"/>
      <x:c r="AE5138" s="87" t="str">
        <x:v>TASK</x:v>
      </x:c>
      <x:c r="AF5138" s="87" t="str">
        <x:v>VIS-EGKR-ENG-W25-TASK-951-P002: 2</x:v>
      </x:c>
      <x:c r="AG5138" s="87" t="str">
        <x:v>RESOLVED</x:v>
      </x:c>
      <x:c r="AH5138" s="87" t="str">
        <x:v>CROP_VERIFIED</x:v>
      </x:c>
      <x:c r="AI5138" s="30"/>
      <x:c r="AJ5138" s="87" t="str">
        <x:v>clean</x:v>
      </x:c>
      <x:c r="AK5138" s="87" t="str">
        <x:v>clean-v0.11</x:v>
      </x:c>
      <x:c r="AL5138" s="87" t="str">
        <x:v>statgrad_clean_continuation_v0_11(1).xlsx</x:v>
      </x:c>
      <x:c r="AM5138" s="87" t="str">
        <x:v>ENG_EGKR_951</x:v>
      </x:c>
      <x:c r="AN5138" s="87" t="n">
        <x:v>9</x:v>
      </x:c>
    </x:row>
    <x:row r="5139">
      <x:c r="A5139" s="87" t="n">
        <x:v>5138</x:v>
      </x:c>
      <x:c r="B5139" s="87" t="str">
        <x:v>EGKR-ENG-W25-951-09</x:v>
      </x:c>
      <x:c r="C5139" s="87" t="str">
        <x:v>ЕГКР</x:v>
      </x:c>
      <x:c r="D5139" s="87"/>
      <x:c r="E5139" s="87" t="str">
        <x:v>Зима 2025</x:v>
      </x:c>
      <x:c r="F5139" s="87" t="str">
        <x:v>11.12.2025</x:v>
      </x:c>
      <x:c r="G5139" s="87" t="str">
        <x:v>Английский язык</x:v>
      </x:c>
      <x:c r="H5139" s="87" t="n">
        <x:v>11</x:v>
      </x:c>
      <x:c r="I5139" s="87"/>
      <x:c r="J5139" s="87" t="str">
        <x:v>951</x:v>
      </x:c>
      <x:c r="K5139" s="87" t="n">
        <x:v>9</x:v>
      </x:c>
      <x:c r="L5139" s="87" t="str">
        <x:v>Аудирование: интервью, выбор ответа</x:v>
      </x:c>
      <x:c r="M5139" s="30" t="str">
        <x:v>Задание 9 раздела «Аудирование»; полное условие и варианты ответа сохранены на странице VIS_ID.</x:v>
      </x:c>
      <x:c r="N5139" s="30" t="str">
        <x:v>2</x:v>
      </x:c>
      <x:c r="O5139" s="30"/>
      <x:c r="P5139" s="30"/>
      <x:c r="Q5139" s="30" t="str">
        <x:v>Семантическое сопоставление общей записи L1; требуется финальная проверка аудио.</x:v>
      </x:c>
      <x:c r="R5139" s="30"/>
      <x:c r="S5139" s="30" t="str">
        <x:v>L1.mp3 + cross-variant mapping</x:v>
      </x:c>
      <x:c r="T5139" s="30"/>
      <x:c r="U5139" s="30" t="str">
        <x:v>Требуется подтверждение прослушиванием.</x:v>
      </x:c>
      <x:c r="V5139" s="87" t="str">
        <x:v>AUDIO_PROVISIONAL</x:v>
      </x:c>
      <x:c r="W5139" s="87"/>
      <x:c r="X5139" s="87" t="str">
        <x:v>2</x:v>
      </x:c>
      <x:c r="Y5139" s="87"/>
      <x:c r="Z5139" s="87"/>
      <x:c r="AA5139" s="87"/>
      <x:c r="AB5139" s="87"/>
      <x:c r="AC5139" s="87" t="str">
        <x:v>VIS-EGKR-ENG-W25-TASK-951-P002</x:v>
      </x:c>
      <x:c r="AD5139" s="87"/>
      <x:c r="AE5139" s="87" t="str">
        <x:v>TASK</x:v>
      </x:c>
      <x:c r="AF5139" s="87" t="str">
        <x:v>VIS-EGKR-ENG-W25-TASK-951-P002: 2</x:v>
      </x:c>
      <x:c r="AG5139" s="87" t="str">
        <x:v>RESOLVED</x:v>
      </x:c>
      <x:c r="AH5139" s="87" t="str">
        <x:v>CROP_VERIFIED</x:v>
      </x:c>
      <x:c r="AI5139" s="30"/>
      <x:c r="AJ5139" s="87" t="str">
        <x:v>clean</x:v>
      </x:c>
      <x:c r="AK5139" s="87" t="str">
        <x:v>clean-v0.11</x:v>
      </x:c>
      <x:c r="AL5139" s="87" t="str">
        <x:v>statgrad_clean_continuation_v0_11(1).xlsx</x:v>
      </x:c>
      <x:c r="AM5139" s="87" t="str">
        <x:v>ENG_EGKR_951</x:v>
      </x:c>
      <x:c r="AN5139" s="87" t="n">
        <x:v>10</x:v>
      </x:c>
    </x:row>
    <x:row r="5140">
      <x:c r="A5140" s="87" t="n">
        <x:v>5139</x:v>
      </x:c>
      <x:c r="B5140" s="87" t="str">
        <x:v>EGKR-ENG-W25-951-10</x:v>
      </x:c>
      <x:c r="C5140" s="87" t="str">
        <x:v>ЕГКР</x:v>
      </x:c>
      <x:c r="D5140" s="87"/>
      <x:c r="E5140" s="87" t="str">
        <x:v>Зима 2025</x:v>
      </x:c>
      <x:c r="F5140" s="87" t="str">
        <x:v>11.12.2025</x:v>
      </x:c>
      <x:c r="G5140" s="87" t="str">
        <x:v>Английский язык</x:v>
      </x:c>
      <x:c r="H5140" s="87" t="n">
        <x:v>11</x:v>
      </x:c>
      <x:c r="I5140" s="87"/>
      <x:c r="J5140" s="87" t="str">
        <x:v>951</x:v>
      </x:c>
      <x:c r="K5140" s="87" t="n">
        <x:v>10</x:v>
      </x:c>
      <x:c r="L5140" s="87" t="str">
        <x:v>Чтение: соответствие заголовков</x:v>
      </x:c>
      <x:c r="M5140" s="30" t="str">
        <x:v>Задание 10 письменной части варианта 951; полное условие сохранено на странице VIS_ID.</x:v>
      </x:c>
      <x:c r="N5140" s="30" t="str">
        <x:v>6158247</x:v>
      </x:c>
      <x:c r="O5140" s="30"/>
      <x:c r="P5140" s="30"/>
      <x:c r="Q5140" s="30" t="str">
        <x:v>Независимо решено по условию; проверена грамматика, лексика или логика текста.</x:v>
      </x:c>
      <x:c r="R5140" s="30"/>
      <x:c r="S5140" s="30" t="str">
        <x:v>Независимая проверка по PDF задания</x:v>
      </x:c>
      <x:c r="T5140" s="30"/>
      <x:c r="U5140" s="30" t="str">
        <x:v>Канонический рабочий ответ.</x:v>
      </x:c>
      <x:c r="V5140" s="87" t="str">
        <x:v>VERIFIED</x:v>
      </x:c>
      <x:c r="W5140" s="87"/>
      <x:c r="X5140" s="87" t="str">
        <x:v>3</x:v>
      </x:c>
      <x:c r="Y5140" s="87"/>
      <x:c r="Z5140" s="87"/>
      <x:c r="AA5140" s="87"/>
      <x:c r="AB5140" s="87"/>
      <x:c r="AC5140" s="87" t="str">
        <x:v>VIS-EGKR-ENG-W25-TASK-951-P003</x:v>
      </x:c>
      <x:c r="AD5140" s="87"/>
      <x:c r="AE5140" s="87" t="str">
        <x:v>TASK</x:v>
      </x:c>
      <x:c r="AF5140" s="87" t="str">
        <x:v>VIS-EGKR-ENG-W25-TASK-951-P003: 3</x:v>
      </x:c>
      <x:c r="AG5140" s="87" t="str">
        <x:v>RESOLVED</x:v>
      </x:c>
      <x:c r="AH5140" s="87" t="str">
        <x:v>CROP_VERIFIED</x:v>
      </x:c>
      <x:c r="AI5140" s="30"/>
      <x:c r="AJ5140" s="87" t="str">
        <x:v>clean</x:v>
      </x:c>
      <x:c r="AK5140" s="87" t="str">
        <x:v>clean-v0.11</x:v>
      </x:c>
      <x:c r="AL5140" s="87" t="str">
        <x:v>statgrad_clean_continuation_v0_11(1).xlsx</x:v>
      </x:c>
      <x:c r="AM5140" s="87" t="str">
        <x:v>ENG_EGKR_951</x:v>
      </x:c>
      <x:c r="AN5140" s="87" t="n">
        <x:v>11</x:v>
      </x:c>
    </x:row>
    <x:row r="5141">
      <x:c r="A5141" s="87" t="n">
        <x:v>5140</x:v>
      </x:c>
      <x:c r="B5141" s="87" t="str">
        <x:v>EGKR-ENG-W25-951-11</x:v>
      </x:c>
      <x:c r="C5141" s="87" t="str">
        <x:v>ЕГКР</x:v>
      </x:c>
      <x:c r="D5141" s="87"/>
      <x:c r="E5141" s="87" t="str">
        <x:v>Зима 2025</x:v>
      </x:c>
      <x:c r="F5141" s="87" t="str">
        <x:v>11.12.2025</x:v>
      </x:c>
      <x:c r="G5141" s="87" t="str">
        <x:v>Английский язык</x:v>
      </x:c>
      <x:c r="H5141" s="87" t="n">
        <x:v>11</x:v>
      </x:c>
      <x:c r="I5141" s="87"/>
      <x:c r="J5141" s="87" t="str">
        <x:v>951</x:v>
      </x:c>
      <x:c r="K5141" s="87" t="n">
        <x:v>11</x:v>
      </x:c>
      <x:c r="L5141" s="87" t="str">
        <x:v>Чтение: восстановление пропусков</x:v>
      </x:c>
      <x:c r="M5141" s="30" t="str">
        <x:v>Задание 11 письменной части варианта 951; полное условие сохранено на странице VIS_ID.</x:v>
      </x:c>
      <x:c r="N5141" s="30" t="str">
        <x:v>754162</x:v>
      </x:c>
      <x:c r="O5141" s="30"/>
      <x:c r="P5141" s="30"/>
      <x:c r="Q5141" s="30" t="str">
        <x:v>Независимо решено по условию; проверена грамматика, лексика или логика текста.</x:v>
      </x:c>
      <x:c r="R5141" s="30"/>
      <x:c r="S5141" s="30" t="str">
        <x:v>Независимая проверка по PDF задания</x:v>
      </x:c>
      <x:c r="T5141" s="30"/>
      <x:c r="U5141" s="30" t="str">
        <x:v>Канонический рабочий ответ.</x:v>
      </x:c>
      <x:c r="V5141" s="87" t="str">
        <x:v>VERIFIED</x:v>
      </x:c>
      <x:c r="W5141" s="87"/>
      <x:c r="X5141" s="87" t="str">
        <x:v>4</x:v>
      </x:c>
      <x:c r="Y5141" s="87"/>
      <x:c r="Z5141" s="87"/>
      <x:c r="AA5141" s="87"/>
      <x:c r="AB5141" s="87"/>
      <x:c r="AC5141" s="87" t="str">
        <x:v>VIS-EGKR-ENG-W25-TASK-951-P004</x:v>
      </x:c>
      <x:c r="AD5141" s="87"/>
      <x:c r="AE5141" s="87" t="str">
        <x:v>TASK</x:v>
      </x:c>
      <x:c r="AF5141" s="87" t="str">
        <x:v>VIS-EGKR-ENG-W25-TASK-951-P004: 4</x:v>
      </x:c>
      <x:c r="AG5141" s="87" t="str">
        <x:v>RESOLVED</x:v>
      </x:c>
      <x:c r="AH5141" s="87" t="str">
        <x:v>CROP_VERIFIED</x:v>
      </x:c>
      <x:c r="AI5141" s="30"/>
      <x:c r="AJ5141" s="87" t="str">
        <x:v>clean</x:v>
      </x:c>
      <x:c r="AK5141" s="87" t="str">
        <x:v>clean-v0.11</x:v>
      </x:c>
      <x:c r="AL5141" s="87" t="str">
        <x:v>statgrad_clean_continuation_v0_11(1).xlsx</x:v>
      </x:c>
      <x:c r="AM5141" s="87" t="str">
        <x:v>ENG_EGKR_951</x:v>
      </x:c>
      <x:c r="AN5141" s="87" t="n">
        <x:v>12</x:v>
      </x:c>
    </x:row>
    <x:row r="5142">
      <x:c r="A5142" s="87" t="n">
        <x:v>5141</x:v>
      </x:c>
      <x:c r="B5142" s="87" t="str">
        <x:v>EGKR-ENG-W25-951-12</x:v>
      </x:c>
      <x:c r="C5142" s="87" t="str">
        <x:v>ЕГКР</x:v>
      </x:c>
      <x:c r="D5142" s="87"/>
      <x:c r="E5142" s="87" t="str">
        <x:v>Зима 2025</x:v>
      </x:c>
      <x:c r="F5142" s="87" t="str">
        <x:v>11.12.2025</x:v>
      </x:c>
      <x:c r="G5142" s="87" t="str">
        <x:v>Английский язык</x:v>
      </x:c>
      <x:c r="H5142" s="87" t="n">
        <x:v>11</x:v>
      </x:c>
      <x:c r="I5142" s="87"/>
      <x:c r="J5142" s="87" t="str">
        <x:v>951</x:v>
      </x:c>
      <x:c r="K5142" s="87" t="n">
        <x:v>12</x:v>
      </x:c>
      <x:c r="L5142" s="87" t="str">
        <x:v>Чтение: множественный выбор</x:v>
      </x:c>
      <x:c r="M5142" s="30" t="str">
        <x:v>Задание 12 письменной части варианта 951; полное условие сохранено на странице VIS_ID.</x:v>
      </x:c>
      <x:c r="N5142" s="30" t="str">
        <x:v>1</x:v>
      </x:c>
      <x:c r="O5142" s="30"/>
      <x:c r="P5142" s="30"/>
      <x:c r="Q5142" s="30" t="str">
        <x:v>Независимо решено по условию; проверена грамматика, лексика или логика текста.</x:v>
      </x:c>
      <x:c r="R5142" s="30"/>
      <x:c r="S5142" s="30" t="str">
        <x:v>Независимая проверка по PDF задания</x:v>
      </x:c>
      <x:c r="T5142" s="30"/>
      <x:c r="U5142" s="30" t="str">
        <x:v>Канонический рабочий ответ.</x:v>
      </x:c>
      <x:c r="V5142" s="87" t="str">
        <x:v>VERIFIED</x:v>
      </x:c>
      <x:c r="W5142" s="87"/>
      <x:c r="X5142" s="87" t="str">
        <x:v>5</x:v>
      </x:c>
      <x:c r="Y5142" s="87"/>
      <x:c r="Z5142" s="87"/>
      <x:c r="AA5142" s="87"/>
      <x:c r="AB5142" s="87"/>
      <x:c r="AC5142" s="87" t="str">
        <x:v>VIS-EGKR-ENG-W25-TASK-951-P005</x:v>
      </x:c>
      <x:c r="AD5142" s="87"/>
      <x:c r="AE5142" s="87" t="str">
        <x:v>TASK</x:v>
      </x:c>
      <x:c r="AF5142" s="87" t="str">
        <x:v>VIS-EGKR-ENG-W25-TASK-951-P005: 5</x:v>
      </x:c>
      <x:c r="AG5142" s="87" t="str">
        <x:v>RESOLVED</x:v>
      </x:c>
      <x:c r="AH5142" s="87" t="str">
        <x:v>CROP_VERIFIED</x:v>
      </x:c>
      <x:c r="AI5142" s="30"/>
      <x:c r="AJ5142" s="87" t="str">
        <x:v>clean</x:v>
      </x:c>
      <x:c r="AK5142" s="87" t="str">
        <x:v>clean-v0.11</x:v>
      </x:c>
      <x:c r="AL5142" s="87" t="str">
        <x:v>statgrad_clean_continuation_v0_11(1).xlsx</x:v>
      </x:c>
      <x:c r="AM5142" s="87" t="str">
        <x:v>ENG_EGKR_951</x:v>
      </x:c>
      <x:c r="AN5142" s="87" t="n">
        <x:v>13</x:v>
      </x:c>
    </x:row>
    <x:row r="5143">
      <x:c r="A5143" s="87" t="n">
        <x:v>5142</x:v>
      </x:c>
      <x:c r="B5143" s="87" t="str">
        <x:v>EGKR-ENG-W25-951-13</x:v>
      </x:c>
      <x:c r="C5143" s="87" t="str">
        <x:v>ЕГКР</x:v>
      </x:c>
      <x:c r="D5143" s="87"/>
      <x:c r="E5143" s="87" t="str">
        <x:v>Зима 2025</x:v>
      </x:c>
      <x:c r="F5143" s="87" t="str">
        <x:v>11.12.2025</x:v>
      </x:c>
      <x:c r="G5143" s="87" t="str">
        <x:v>Английский язык</x:v>
      </x:c>
      <x:c r="H5143" s="87" t="n">
        <x:v>11</x:v>
      </x:c>
      <x:c r="I5143" s="87"/>
      <x:c r="J5143" s="87" t="str">
        <x:v>951</x:v>
      </x:c>
      <x:c r="K5143" s="87" t="n">
        <x:v>13</x:v>
      </x:c>
      <x:c r="L5143" s="87" t="str">
        <x:v>Чтение: множественный выбор</x:v>
      </x:c>
      <x:c r="M5143" s="30" t="str">
        <x:v>Задание 13 письменной части варианта 951; полное условие сохранено на странице VIS_ID.</x:v>
      </x:c>
      <x:c r="N5143" s="30" t="str">
        <x:v>2</x:v>
      </x:c>
      <x:c r="O5143" s="30"/>
      <x:c r="P5143" s="30"/>
      <x:c r="Q5143" s="30" t="str">
        <x:v>Независимо решено по условию; проверена грамматика, лексика или логика текста.</x:v>
      </x:c>
      <x:c r="R5143" s="30"/>
      <x:c r="S5143" s="30" t="str">
        <x:v>Независимая проверка по PDF задания</x:v>
      </x:c>
      <x:c r="T5143" s="30"/>
      <x:c r="U5143" s="30" t="str">
        <x:v>Канонический рабочий ответ.</x:v>
      </x:c>
      <x:c r="V5143" s="87" t="str">
        <x:v>VERIFIED</x:v>
      </x:c>
      <x:c r="W5143" s="87"/>
      <x:c r="X5143" s="87" t="str">
        <x:v>5</x:v>
      </x:c>
      <x:c r="Y5143" s="87"/>
      <x:c r="Z5143" s="87"/>
      <x:c r="AA5143" s="87"/>
      <x:c r="AB5143" s="87"/>
      <x:c r="AC5143" s="87" t="str">
        <x:v>VIS-EGKR-ENG-W25-TASK-951-P005</x:v>
      </x:c>
      <x:c r="AD5143" s="87"/>
      <x:c r="AE5143" s="87" t="str">
        <x:v>TASK</x:v>
      </x:c>
      <x:c r="AF5143" s="87" t="str">
        <x:v>VIS-EGKR-ENG-W25-TASK-951-P005: 5</x:v>
      </x:c>
      <x:c r="AG5143" s="87" t="str">
        <x:v>RESOLVED</x:v>
      </x:c>
      <x:c r="AH5143" s="87" t="str">
        <x:v>CROP_VERIFIED</x:v>
      </x:c>
      <x:c r="AI5143" s="30"/>
      <x:c r="AJ5143" s="87" t="str">
        <x:v>clean</x:v>
      </x:c>
      <x:c r="AK5143" s="87" t="str">
        <x:v>clean-v0.11</x:v>
      </x:c>
      <x:c r="AL5143" s="87" t="str">
        <x:v>statgrad_clean_continuation_v0_11(1).xlsx</x:v>
      </x:c>
      <x:c r="AM5143" s="87" t="str">
        <x:v>ENG_EGKR_951</x:v>
      </x:c>
      <x:c r="AN5143" s="87" t="n">
        <x:v>14</x:v>
      </x:c>
    </x:row>
    <x:row r="5144">
      <x:c r="A5144" s="87" t="n">
        <x:v>5143</x:v>
      </x:c>
      <x:c r="B5144" s="87" t="str">
        <x:v>EGKR-ENG-W25-951-14</x:v>
      </x:c>
      <x:c r="C5144" s="87" t="str">
        <x:v>ЕГКР</x:v>
      </x:c>
      <x:c r="D5144" s="87"/>
      <x:c r="E5144" s="87" t="str">
        <x:v>Зима 2025</x:v>
      </x:c>
      <x:c r="F5144" s="87" t="str">
        <x:v>11.12.2025</x:v>
      </x:c>
      <x:c r="G5144" s="87" t="str">
        <x:v>Английский язык</x:v>
      </x:c>
      <x:c r="H5144" s="87" t="n">
        <x:v>11</x:v>
      </x:c>
      <x:c r="I5144" s="87"/>
      <x:c r="J5144" s="87" t="str">
        <x:v>951</x:v>
      </x:c>
      <x:c r="K5144" s="87" t="n">
        <x:v>14</x:v>
      </x:c>
      <x:c r="L5144" s="87" t="str">
        <x:v>Чтение: множественный выбор</x:v>
      </x:c>
      <x:c r="M5144" s="30" t="str">
        <x:v>Задание 14 письменной части варианта 951; полное условие сохранено на странице VIS_ID.</x:v>
      </x:c>
      <x:c r="N5144" s="30" t="str">
        <x:v>2</x:v>
      </x:c>
      <x:c r="O5144" s="30"/>
      <x:c r="P5144" s="30"/>
      <x:c r="Q5144" s="30" t="str">
        <x:v>Независимо решено по условию; проверена грамматика, лексика или логика текста.</x:v>
      </x:c>
      <x:c r="R5144" s="30"/>
      <x:c r="S5144" s="30" t="str">
        <x:v>Независимая проверка по PDF задания</x:v>
      </x:c>
      <x:c r="T5144" s="30"/>
      <x:c r="U5144" s="30" t="str">
        <x:v>Канонический рабочий ответ.</x:v>
      </x:c>
      <x:c r="V5144" s="87" t="str">
        <x:v>VERIFIED</x:v>
      </x:c>
      <x:c r="W5144" s="87"/>
      <x:c r="X5144" s="87" t="str">
        <x:v>5</x:v>
      </x:c>
      <x:c r="Y5144" s="87"/>
      <x:c r="Z5144" s="87"/>
      <x:c r="AA5144" s="87"/>
      <x:c r="AB5144" s="87"/>
      <x:c r="AC5144" s="87" t="str">
        <x:v>VIS-EGKR-ENG-W25-TASK-951-P005</x:v>
      </x:c>
      <x:c r="AD5144" s="87"/>
      <x:c r="AE5144" s="87" t="str">
        <x:v>TASK</x:v>
      </x:c>
      <x:c r="AF5144" s="87" t="str">
        <x:v>VIS-EGKR-ENG-W25-TASK-951-P005: 5</x:v>
      </x:c>
      <x:c r="AG5144" s="87" t="str">
        <x:v>RESOLVED</x:v>
      </x:c>
      <x:c r="AH5144" s="87" t="str">
        <x:v>CROP_VERIFIED</x:v>
      </x:c>
      <x:c r="AI5144" s="30"/>
      <x:c r="AJ5144" s="87" t="str">
        <x:v>clean</x:v>
      </x:c>
      <x:c r="AK5144" s="87" t="str">
        <x:v>clean-v0.11</x:v>
      </x:c>
      <x:c r="AL5144" s="87" t="str">
        <x:v>statgrad_clean_continuation_v0_11(1).xlsx</x:v>
      </x:c>
      <x:c r="AM5144" s="87" t="str">
        <x:v>ENG_EGKR_951</x:v>
      </x:c>
      <x:c r="AN5144" s="87" t="n">
        <x:v>15</x:v>
      </x:c>
    </x:row>
    <x:row r="5145">
      <x:c r="A5145" s="87" t="n">
        <x:v>5144</x:v>
      </x:c>
      <x:c r="B5145" s="87" t="str">
        <x:v>EGKR-ENG-W25-951-15</x:v>
      </x:c>
      <x:c r="C5145" s="87" t="str">
        <x:v>ЕГКР</x:v>
      </x:c>
      <x:c r="D5145" s="87"/>
      <x:c r="E5145" s="87" t="str">
        <x:v>Зима 2025</x:v>
      </x:c>
      <x:c r="F5145" s="87" t="str">
        <x:v>11.12.2025</x:v>
      </x:c>
      <x:c r="G5145" s="87" t="str">
        <x:v>Английский язык</x:v>
      </x:c>
      <x:c r="H5145" s="87" t="n">
        <x:v>11</x:v>
      </x:c>
      <x:c r="I5145" s="87"/>
      <x:c r="J5145" s="87" t="str">
        <x:v>951</x:v>
      </x:c>
      <x:c r="K5145" s="87" t="n">
        <x:v>15</x:v>
      </x:c>
      <x:c r="L5145" s="87" t="str">
        <x:v>Чтение: множественный выбор</x:v>
      </x:c>
      <x:c r="M5145" s="30" t="str">
        <x:v>Задание 15 письменной части варианта 951; полное условие сохранено на странице VIS_ID.</x:v>
      </x:c>
      <x:c r="N5145" s="30" t="str">
        <x:v>3</x:v>
      </x:c>
      <x:c r="O5145" s="30"/>
      <x:c r="P5145" s="30"/>
      <x:c r="Q5145" s="30" t="str">
        <x:v>Независимо решено по условию; проверена грамматика, лексика или логика текста.</x:v>
      </x:c>
      <x:c r="R5145" s="30"/>
      <x:c r="S5145" s="30" t="str">
        <x:v>Независимая проверка по PDF задания</x:v>
      </x:c>
      <x:c r="T5145" s="30"/>
      <x:c r="U5145" s="30" t="str">
        <x:v>Канонический рабочий ответ.</x:v>
      </x:c>
      <x:c r="V5145" s="87" t="str">
        <x:v>VERIFIED</x:v>
      </x:c>
      <x:c r="W5145" s="87"/>
      <x:c r="X5145" s="87" t="str">
        <x:v>5</x:v>
      </x:c>
      <x:c r="Y5145" s="87"/>
      <x:c r="Z5145" s="87"/>
      <x:c r="AA5145" s="87"/>
      <x:c r="AB5145" s="87"/>
      <x:c r="AC5145" s="87" t="str">
        <x:v>VIS-EGKR-ENG-W25-TASK-951-P005</x:v>
      </x:c>
      <x:c r="AD5145" s="87"/>
      <x:c r="AE5145" s="87" t="str">
        <x:v>TASK</x:v>
      </x:c>
      <x:c r="AF5145" s="87" t="str">
        <x:v>VIS-EGKR-ENG-W25-TASK-951-P005: 5</x:v>
      </x:c>
      <x:c r="AG5145" s="87" t="str">
        <x:v>RESOLVED</x:v>
      </x:c>
      <x:c r="AH5145" s="87" t="str">
        <x:v>CROP_VERIFIED</x:v>
      </x:c>
      <x:c r="AI5145" s="30"/>
      <x:c r="AJ5145" s="87" t="str">
        <x:v>clean</x:v>
      </x:c>
      <x:c r="AK5145" s="87" t="str">
        <x:v>clean-v0.11</x:v>
      </x:c>
      <x:c r="AL5145" s="87" t="str">
        <x:v>statgrad_clean_continuation_v0_11(1).xlsx</x:v>
      </x:c>
      <x:c r="AM5145" s="87" t="str">
        <x:v>ENG_EGKR_951</x:v>
      </x:c>
      <x:c r="AN5145" s="87" t="n">
        <x:v>16</x:v>
      </x:c>
    </x:row>
    <x:row r="5146">
      <x:c r="A5146" s="87" t="n">
        <x:v>5145</x:v>
      </x:c>
      <x:c r="B5146" s="87" t="str">
        <x:v>EGKR-ENG-W25-951-16</x:v>
      </x:c>
      <x:c r="C5146" s="87" t="str">
        <x:v>ЕГКР</x:v>
      </x:c>
      <x:c r="D5146" s="87"/>
      <x:c r="E5146" s="87" t="str">
        <x:v>Зима 2025</x:v>
      </x:c>
      <x:c r="F5146" s="87" t="str">
        <x:v>11.12.2025</x:v>
      </x:c>
      <x:c r="G5146" s="87" t="str">
        <x:v>Английский язык</x:v>
      </x:c>
      <x:c r="H5146" s="87" t="n">
        <x:v>11</x:v>
      </x:c>
      <x:c r="I5146" s="87"/>
      <x:c r="J5146" s="87" t="str">
        <x:v>951</x:v>
      </x:c>
      <x:c r="K5146" s="87" t="n">
        <x:v>16</x:v>
      </x:c>
      <x:c r="L5146" s="87" t="str">
        <x:v>Чтение: множественный выбор</x:v>
      </x:c>
      <x:c r="M5146" s="30" t="str">
        <x:v>Задание 16 письменной части варианта 951; полное условие сохранено на странице VIS_ID.</x:v>
      </x:c>
      <x:c r="N5146" s="30" t="str">
        <x:v>4</x:v>
      </x:c>
      <x:c r="O5146" s="30"/>
      <x:c r="P5146" s="30"/>
      <x:c r="Q5146" s="30" t="str">
        <x:v>Независимо решено по условию; проверена грамматика, лексика или логика текста.</x:v>
      </x:c>
      <x:c r="R5146" s="30"/>
      <x:c r="S5146" s="30" t="str">
        <x:v>Независимая проверка по PDF задания</x:v>
      </x:c>
      <x:c r="T5146" s="30"/>
      <x:c r="U5146" s="30" t="str">
        <x:v>Канонический рабочий ответ.</x:v>
      </x:c>
      <x:c r="V5146" s="87" t="str">
        <x:v>VERIFIED</x:v>
      </x:c>
      <x:c r="W5146" s="87"/>
      <x:c r="X5146" s="87" t="str">
        <x:v>5</x:v>
      </x:c>
      <x:c r="Y5146" s="87"/>
      <x:c r="Z5146" s="87"/>
      <x:c r="AA5146" s="87"/>
      <x:c r="AB5146" s="87"/>
      <x:c r="AC5146" s="87" t="str">
        <x:v>VIS-EGKR-ENG-W25-TASK-951-P005</x:v>
      </x:c>
      <x:c r="AD5146" s="87"/>
      <x:c r="AE5146" s="87" t="str">
        <x:v>TASK</x:v>
      </x:c>
      <x:c r="AF5146" s="87" t="str">
        <x:v>VIS-EGKR-ENG-W25-TASK-951-P005: 5</x:v>
      </x:c>
      <x:c r="AG5146" s="87" t="str">
        <x:v>RESOLVED</x:v>
      </x:c>
      <x:c r="AH5146" s="87" t="str">
        <x:v>CROP_VERIFIED</x:v>
      </x:c>
      <x:c r="AI5146" s="30"/>
      <x:c r="AJ5146" s="87" t="str">
        <x:v>clean</x:v>
      </x:c>
      <x:c r="AK5146" s="87" t="str">
        <x:v>clean-v0.11</x:v>
      </x:c>
      <x:c r="AL5146" s="87" t="str">
        <x:v>statgrad_clean_continuation_v0_11(1).xlsx</x:v>
      </x:c>
      <x:c r="AM5146" s="87" t="str">
        <x:v>ENG_EGKR_951</x:v>
      </x:c>
      <x:c r="AN5146" s="87" t="n">
        <x:v>17</x:v>
      </x:c>
    </x:row>
    <x:row r="5147">
      <x:c r="A5147" s="87" t="n">
        <x:v>5146</x:v>
      </x:c>
      <x:c r="B5147" s="87" t="str">
        <x:v>EGKR-ENG-W25-951-17</x:v>
      </x:c>
      <x:c r="C5147" s="87" t="str">
        <x:v>ЕГКР</x:v>
      </x:c>
      <x:c r="D5147" s="87"/>
      <x:c r="E5147" s="87" t="str">
        <x:v>Зима 2025</x:v>
      </x:c>
      <x:c r="F5147" s="87" t="str">
        <x:v>11.12.2025</x:v>
      </x:c>
      <x:c r="G5147" s="87" t="str">
        <x:v>Английский язык</x:v>
      </x:c>
      <x:c r="H5147" s="87" t="n">
        <x:v>11</x:v>
      </x:c>
      <x:c r="I5147" s="87"/>
      <x:c r="J5147" s="87" t="str">
        <x:v>951</x:v>
      </x:c>
      <x:c r="K5147" s="87" t="n">
        <x:v>17</x:v>
      </x:c>
      <x:c r="L5147" s="87" t="str">
        <x:v>Чтение: множественный выбор</x:v>
      </x:c>
      <x:c r="M5147" s="30" t="str">
        <x:v>Задание 17 письменной части варианта 951; полное условие сохранено на странице VIS_ID.</x:v>
      </x:c>
      <x:c r="N5147" s="30" t="str">
        <x:v>2</x:v>
      </x:c>
      <x:c r="O5147" s="30"/>
      <x:c r="P5147" s="30"/>
      <x:c r="Q5147" s="30" t="str">
        <x:v>Независимо решено по условию; проверена грамматика, лексика или логика текста.</x:v>
      </x:c>
      <x:c r="R5147" s="30"/>
      <x:c r="S5147" s="30" t="str">
        <x:v>Независимая проверка по PDF задания</x:v>
      </x:c>
      <x:c r="T5147" s="30"/>
      <x:c r="U5147" s="30" t="str">
        <x:v>Канонический рабочий ответ.</x:v>
      </x:c>
      <x:c r="V5147" s="87" t="str">
        <x:v>VERIFIED</x:v>
      </x:c>
      <x:c r="W5147" s="87"/>
      <x:c r="X5147" s="87" t="str">
        <x:v>5</x:v>
      </x:c>
      <x:c r="Y5147" s="87"/>
      <x:c r="Z5147" s="87"/>
      <x:c r="AA5147" s="87"/>
      <x:c r="AB5147" s="87"/>
      <x:c r="AC5147" s="87" t="str">
        <x:v>VIS-EGKR-ENG-W25-TASK-951-P005</x:v>
      </x:c>
      <x:c r="AD5147" s="87"/>
      <x:c r="AE5147" s="87" t="str">
        <x:v>TASK</x:v>
      </x:c>
      <x:c r="AF5147" s="87" t="str">
        <x:v>VIS-EGKR-ENG-W25-TASK-951-P005: 5</x:v>
      </x:c>
      <x:c r="AG5147" s="87" t="str">
        <x:v>RESOLVED</x:v>
      </x:c>
      <x:c r="AH5147" s="87" t="str">
        <x:v>CROP_VERIFIED</x:v>
      </x:c>
      <x:c r="AI5147" s="30"/>
      <x:c r="AJ5147" s="87" t="str">
        <x:v>clean</x:v>
      </x:c>
      <x:c r="AK5147" s="87" t="str">
        <x:v>clean-v0.11</x:v>
      </x:c>
      <x:c r="AL5147" s="87" t="str">
        <x:v>statgrad_clean_continuation_v0_11(1).xlsx</x:v>
      </x:c>
      <x:c r="AM5147" s="87" t="str">
        <x:v>ENG_EGKR_951</x:v>
      </x:c>
      <x:c r="AN5147" s="87" t="n">
        <x:v>18</x:v>
      </x:c>
    </x:row>
    <x:row r="5148">
      <x:c r="A5148" s="87" t="n">
        <x:v>5147</x:v>
      </x:c>
      <x:c r="B5148" s="87" t="str">
        <x:v>EGKR-ENG-W25-951-18</x:v>
      </x:c>
      <x:c r="C5148" s="87" t="str">
        <x:v>ЕГКР</x:v>
      </x:c>
      <x:c r="D5148" s="87"/>
      <x:c r="E5148" s="87" t="str">
        <x:v>Зима 2025</x:v>
      </x:c>
      <x:c r="F5148" s="87" t="str">
        <x:v>11.12.2025</x:v>
      </x:c>
      <x:c r="G5148" s="87" t="str">
        <x:v>Английский язык</x:v>
      </x:c>
      <x:c r="H5148" s="87" t="n">
        <x:v>11</x:v>
      </x:c>
      <x:c r="I5148" s="87"/>
      <x:c r="J5148" s="87" t="str">
        <x:v>951</x:v>
      </x:c>
      <x:c r="K5148" s="87" t="n">
        <x:v>18</x:v>
      </x:c>
      <x:c r="L5148" s="87" t="str">
        <x:v>Чтение: множественный выбор</x:v>
      </x:c>
      <x:c r="M5148" s="30" t="str">
        <x:v>Задание 18 письменной части варианта 951; полное условие сохранено на странице VIS_ID.</x:v>
      </x:c>
      <x:c r="N5148" s="30" t="str">
        <x:v>3</x:v>
      </x:c>
      <x:c r="O5148" s="30"/>
      <x:c r="P5148" s="30"/>
      <x:c r="Q5148" s="30" t="str">
        <x:v>Независимо решено по условию; проверена грамматика, лексика или логика текста.</x:v>
      </x:c>
      <x:c r="R5148" s="30"/>
      <x:c r="S5148" s="30" t="str">
        <x:v>Независимая проверка по PDF задания</x:v>
      </x:c>
      <x:c r="T5148" s="30"/>
      <x:c r="U5148" s="30" t="str">
        <x:v>Канонический рабочий ответ.</x:v>
      </x:c>
      <x:c r="V5148" s="87" t="str">
        <x:v>VERIFIED</x:v>
      </x:c>
      <x:c r="W5148" s="87"/>
      <x:c r="X5148" s="87" t="str">
        <x:v>5</x:v>
      </x:c>
      <x:c r="Y5148" s="87"/>
      <x:c r="Z5148" s="87"/>
      <x:c r="AA5148" s="87"/>
      <x:c r="AB5148" s="87"/>
      <x:c r="AC5148" s="87" t="str">
        <x:v>VIS-EGKR-ENG-W25-TASK-951-P005</x:v>
      </x:c>
      <x:c r="AD5148" s="87"/>
      <x:c r="AE5148" s="87" t="str">
        <x:v>TASK</x:v>
      </x:c>
      <x:c r="AF5148" s="87" t="str">
        <x:v>VIS-EGKR-ENG-W25-TASK-951-P005: 5</x:v>
      </x:c>
      <x:c r="AG5148" s="87" t="str">
        <x:v>RESOLVED</x:v>
      </x:c>
      <x:c r="AH5148" s="87" t="str">
        <x:v>CROP_VERIFIED</x:v>
      </x:c>
      <x:c r="AI5148" s="30"/>
      <x:c r="AJ5148" s="87" t="str">
        <x:v>clean</x:v>
      </x:c>
      <x:c r="AK5148" s="87" t="str">
        <x:v>clean-v0.11</x:v>
      </x:c>
      <x:c r="AL5148" s="87" t="str">
        <x:v>statgrad_clean_continuation_v0_11(1).xlsx</x:v>
      </x:c>
      <x:c r="AM5148" s="87" t="str">
        <x:v>ENG_EGKR_951</x:v>
      </x:c>
      <x:c r="AN5148" s="87" t="n">
        <x:v>19</x:v>
      </x:c>
    </x:row>
    <x:row r="5149">
      <x:c r="A5149" s="87" t="n">
        <x:v>5148</x:v>
      </x:c>
      <x:c r="B5149" s="87" t="str">
        <x:v>EGKR-ENG-W25-951-19</x:v>
      </x:c>
      <x:c r="C5149" s="87" t="str">
        <x:v>ЕГКР</x:v>
      </x:c>
      <x:c r="D5149" s="87"/>
      <x:c r="E5149" s="87" t="str">
        <x:v>Зима 2025</x:v>
      </x:c>
      <x:c r="F5149" s="87" t="str">
        <x:v>11.12.2025</x:v>
      </x:c>
      <x:c r="G5149" s="87" t="str">
        <x:v>Английский язык</x:v>
      </x:c>
      <x:c r="H5149" s="87" t="n">
        <x:v>11</x:v>
      </x:c>
      <x:c r="I5149" s="87"/>
      <x:c r="J5149" s="87" t="str">
        <x:v>951</x:v>
      </x:c>
      <x:c r="K5149" s="87" t="n">
        <x:v>19</x:v>
      </x:c>
      <x:c r="L5149" s="87" t="str">
        <x:v>Грамматика: преобразование формы слова</x:v>
      </x:c>
      <x:c r="M5149" s="30" t="str">
        <x:v>Задание 19 письменной части варианта 951; полное условие сохранено на странице VIS_ID.</x:v>
      </x:c>
      <x:c r="N5149" s="30" t="str">
        <x:v>lost</x:v>
      </x:c>
      <x:c r="O5149" s="30"/>
      <x:c r="P5149" s="30"/>
      <x:c r="Q5149" s="30" t="str">
        <x:v>Независимо решено по условию; проверена грамматика, лексика или логика текста.</x:v>
      </x:c>
      <x:c r="R5149" s="30"/>
      <x:c r="S5149" s="30" t="str">
        <x:v>Независимая проверка по PDF задания</x:v>
      </x:c>
      <x:c r="T5149" s="30"/>
      <x:c r="U5149" s="30" t="str">
        <x:v>Канонический рабочий ответ.</x:v>
      </x:c>
      <x:c r="V5149" s="87" t="str">
        <x:v>VERIFIED</x:v>
      </x:c>
      <x:c r="W5149" s="87"/>
      <x:c r="X5149" s="87" t="str">
        <x:v>7</x:v>
      </x:c>
      <x:c r="Y5149" s="87"/>
      <x:c r="Z5149" s="87"/>
      <x:c r="AA5149" s="87"/>
      <x:c r="AB5149" s="87"/>
      <x:c r="AC5149" s="87" t="str">
        <x:v>VIS-EGKR-ENG-W25-TASK-951-P007</x:v>
      </x:c>
      <x:c r="AD5149" s="87"/>
      <x:c r="AE5149" s="87" t="str">
        <x:v>TASK</x:v>
      </x:c>
      <x:c r="AF5149" s="87" t="str">
        <x:v>VIS-EGKR-ENG-W25-TASK-951-P007: 7</x:v>
      </x:c>
      <x:c r="AG5149" s="87" t="str">
        <x:v>RESOLVED</x:v>
      </x:c>
      <x:c r="AH5149" s="87" t="str">
        <x:v>CROP_VERIFIED</x:v>
      </x:c>
      <x:c r="AI5149" s="30"/>
      <x:c r="AJ5149" s="87" t="str">
        <x:v>clean</x:v>
      </x:c>
      <x:c r="AK5149" s="87" t="str">
        <x:v>clean-v0.11</x:v>
      </x:c>
      <x:c r="AL5149" s="87" t="str">
        <x:v>statgrad_clean_continuation_v0_11(1).xlsx</x:v>
      </x:c>
      <x:c r="AM5149" s="87" t="str">
        <x:v>ENG_EGKR_951</x:v>
      </x:c>
      <x:c r="AN5149" s="87" t="n">
        <x:v>20</x:v>
      </x:c>
    </x:row>
    <x:row r="5150">
      <x:c r="A5150" s="87" t="n">
        <x:v>5149</x:v>
      </x:c>
      <x:c r="B5150" s="87" t="str">
        <x:v>EGKR-ENG-W25-951-20</x:v>
      </x:c>
      <x:c r="C5150" s="87" t="str">
        <x:v>ЕГКР</x:v>
      </x:c>
      <x:c r="D5150" s="87"/>
      <x:c r="E5150" s="87" t="str">
        <x:v>Зима 2025</x:v>
      </x:c>
      <x:c r="F5150" s="87" t="str">
        <x:v>11.12.2025</x:v>
      </x:c>
      <x:c r="G5150" s="87" t="str">
        <x:v>Английский язык</x:v>
      </x:c>
      <x:c r="H5150" s="87" t="n">
        <x:v>11</x:v>
      </x:c>
      <x:c r="I5150" s="87"/>
      <x:c r="J5150" s="87" t="str">
        <x:v>951</x:v>
      </x:c>
      <x:c r="K5150" s="87" t="n">
        <x:v>20</x:v>
      </x:c>
      <x:c r="L5150" s="87" t="str">
        <x:v>Грамматика: преобразование формы слова</x:v>
      </x:c>
      <x:c r="M5150" s="30" t="str">
        <x:v>Задание 20 письменной части варианта 951; полное условие сохранено на странице VIS_ID.</x:v>
      </x:c>
      <x:c r="N5150" s="30" t="str">
        <x:v>was allowed</x:v>
      </x:c>
      <x:c r="O5150" s="30"/>
      <x:c r="P5150" s="30"/>
      <x:c r="Q5150" s="30" t="str">
        <x:v>Независимо решено по условию; проверена грамматика, лексика или логика текста.</x:v>
      </x:c>
      <x:c r="R5150" s="30"/>
      <x:c r="S5150" s="30" t="str">
        <x:v>Независимая проверка по PDF задания</x:v>
      </x:c>
      <x:c r="T5150" s="30"/>
      <x:c r="U5150" s="30" t="str">
        <x:v>Канонический рабочий ответ.</x:v>
      </x:c>
      <x:c r="V5150" s="87" t="str">
        <x:v>VERIFIED</x:v>
      </x:c>
      <x:c r="W5150" s="87"/>
      <x:c r="X5150" s="87" t="str">
        <x:v>7</x:v>
      </x:c>
      <x:c r="Y5150" s="87"/>
      <x:c r="Z5150" s="87"/>
      <x:c r="AA5150" s="87"/>
      <x:c r="AB5150" s="87"/>
      <x:c r="AC5150" s="87" t="str">
        <x:v>VIS-EGKR-ENG-W25-TASK-951-P007</x:v>
      </x:c>
      <x:c r="AD5150" s="87"/>
      <x:c r="AE5150" s="87" t="str">
        <x:v>TASK</x:v>
      </x:c>
      <x:c r="AF5150" s="87" t="str">
        <x:v>VIS-EGKR-ENG-W25-TASK-951-P007: 7</x:v>
      </x:c>
      <x:c r="AG5150" s="87" t="str">
        <x:v>RESOLVED</x:v>
      </x:c>
      <x:c r="AH5150" s="87" t="str">
        <x:v>CROP_VERIFIED</x:v>
      </x:c>
      <x:c r="AI5150" s="30"/>
      <x:c r="AJ5150" s="87" t="str">
        <x:v>clean</x:v>
      </x:c>
      <x:c r="AK5150" s="87" t="str">
        <x:v>clean-v0.11</x:v>
      </x:c>
      <x:c r="AL5150" s="87" t="str">
        <x:v>statgrad_clean_continuation_v0_11(1).xlsx</x:v>
      </x:c>
      <x:c r="AM5150" s="87" t="str">
        <x:v>ENG_EGKR_951</x:v>
      </x:c>
      <x:c r="AN5150" s="87" t="n">
        <x:v>21</x:v>
      </x:c>
    </x:row>
    <x:row r="5151">
      <x:c r="A5151" s="87" t="n">
        <x:v>5150</x:v>
      </x:c>
      <x:c r="B5151" s="87" t="str">
        <x:v>EGKR-ENG-W25-951-21</x:v>
      </x:c>
      <x:c r="C5151" s="87" t="str">
        <x:v>ЕГКР</x:v>
      </x:c>
      <x:c r="D5151" s="87"/>
      <x:c r="E5151" s="87" t="str">
        <x:v>Зима 2025</x:v>
      </x:c>
      <x:c r="F5151" s="87" t="str">
        <x:v>11.12.2025</x:v>
      </x:c>
      <x:c r="G5151" s="87" t="str">
        <x:v>Английский язык</x:v>
      </x:c>
      <x:c r="H5151" s="87" t="n">
        <x:v>11</x:v>
      </x:c>
      <x:c r="I5151" s="87"/>
      <x:c r="J5151" s="87" t="str">
        <x:v>951</x:v>
      </x:c>
      <x:c r="K5151" s="87" t="n">
        <x:v>21</x:v>
      </x:c>
      <x:c r="L5151" s="87" t="str">
        <x:v>Грамматика: преобразование формы слова</x:v>
      </x:c>
      <x:c r="M5151" s="30" t="str">
        <x:v>Задание 21 письменной части варианта 951; полное условие сохранено на странице VIS_ID.</x:v>
      </x:c>
      <x:c r="N5151" s="30" t="str">
        <x:v>these</x:v>
      </x:c>
      <x:c r="O5151" s="30"/>
      <x:c r="P5151" s="30"/>
      <x:c r="Q5151" s="30" t="str">
        <x:v>Независимо решено по условию; проверена грамматика, лексика или логика текста.</x:v>
      </x:c>
      <x:c r="R5151" s="30"/>
      <x:c r="S5151" s="30" t="str">
        <x:v>Независимая проверка по PDF задания</x:v>
      </x:c>
      <x:c r="T5151" s="30"/>
      <x:c r="U5151" s="30" t="str">
        <x:v>Канонический рабочий ответ.</x:v>
      </x:c>
      <x:c r="V5151" s="87" t="str">
        <x:v>VERIFIED</x:v>
      </x:c>
      <x:c r="W5151" s="87"/>
      <x:c r="X5151" s="87" t="str">
        <x:v>7</x:v>
      </x:c>
      <x:c r="Y5151" s="87"/>
      <x:c r="Z5151" s="87"/>
      <x:c r="AA5151" s="87"/>
      <x:c r="AB5151" s="87"/>
      <x:c r="AC5151" s="87" t="str">
        <x:v>VIS-EGKR-ENG-W25-TASK-951-P007</x:v>
      </x:c>
      <x:c r="AD5151" s="87"/>
      <x:c r="AE5151" s="87" t="str">
        <x:v>TASK</x:v>
      </x:c>
      <x:c r="AF5151" s="87" t="str">
        <x:v>VIS-EGKR-ENG-W25-TASK-951-P007: 7</x:v>
      </x:c>
      <x:c r="AG5151" s="87" t="str">
        <x:v>RESOLVED</x:v>
      </x:c>
      <x:c r="AH5151" s="87" t="str">
        <x:v>CROP_VERIFIED</x:v>
      </x:c>
      <x:c r="AI5151" s="30"/>
      <x:c r="AJ5151" s="87" t="str">
        <x:v>clean</x:v>
      </x:c>
      <x:c r="AK5151" s="87" t="str">
        <x:v>clean-v0.11</x:v>
      </x:c>
      <x:c r="AL5151" s="87" t="str">
        <x:v>statgrad_clean_continuation_v0_11(1).xlsx</x:v>
      </x:c>
      <x:c r="AM5151" s="87" t="str">
        <x:v>ENG_EGKR_951</x:v>
      </x:c>
      <x:c r="AN5151" s="87" t="n">
        <x:v>22</x:v>
      </x:c>
    </x:row>
    <x:row r="5152">
      <x:c r="A5152" s="87" t="n">
        <x:v>5151</x:v>
      </x:c>
      <x:c r="B5152" s="87" t="str">
        <x:v>EGKR-ENG-W25-951-22</x:v>
      </x:c>
      <x:c r="C5152" s="87" t="str">
        <x:v>ЕГКР</x:v>
      </x:c>
      <x:c r="D5152" s="87"/>
      <x:c r="E5152" s="87" t="str">
        <x:v>Зима 2025</x:v>
      </x:c>
      <x:c r="F5152" s="87" t="str">
        <x:v>11.12.2025</x:v>
      </x:c>
      <x:c r="G5152" s="87" t="str">
        <x:v>Английский язык</x:v>
      </x:c>
      <x:c r="H5152" s="87" t="n">
        <x:v>11</x:v>
      </x:c>
      <x:c r="I5152" s="87"/>
      <x:c r="J5152" s="87" t="str">
        <x:v>951</x:v>
      </x:c>
      <x:c r="K5152" s="87" t="n">
        <x:v>22</x:v>
      </x:c>
      <x:c r="L5152" s="87" t="str">
        <x:v>Грамматика: преобразование формы слова</x:v>
      </x:c>
      <x:c r="M5152" s="30" t="str">
        <x:v>Задание 22 письменной части варианта 951; полное условие сохранено на странице VIS_ID.</x:v>
      </x:c>
      <x:c r="N5152" s="30" t="str">
        <x:v>was not</x:v>
      </x:c>
      <x:c r="O5152" s="30"/>
      <x:c r="P5152" s="30"/>
      <x:c r="Q5152" s="30" t="str">
        <x:v>Независимо решено по условию; проверена грамматика, лексика или логика текста.</x:v>
      </x:c>
      <x:c r="R5152" s="30"/>
      <x:c r="S5152" s="30" t="str">
        <x:v>Независимая проверка по PDF задания</x:v>
      </x:c>
      <x:c r="T5152" s="30"/>
      <x:c r="U5152" s="30" t="str">
        <x:v>Канонический рабочий ответ.</x:v>
      </x:c>
      <x:c r="V5152" s="87" t="str">
        <x:v>VERIFIED</x:v>
      </x:c>
      <x:c r="W5152" s="87"/>
      <x:c r="X5152" s="87" t="str">
        <x:v>7</x:v>
      </x:c>
      <x:c r="Y5152" s="87"/>
      <x:c r="Z5152" s="87"/>
      <x:c r="AA5152" s="87"/>
      <x:c r="AB5152" s="87"/>
      <x:c r="AC5152" s="87" t="str">
        <x:v>VIS-EGKR-ENG-W25-TASK-951-P007</x:v>
      </x:c>
      <x:c r="AD5152" s="87"/>
      <x:c r="AE5152" s="87" t="str">
        <x:v>TASK</x:v>
      </x:c>
      <x:c r="AF5152" s="87" t="str">
        <x:v>VIS-EGKR-ENG-W25-TASK-951-P007: 7</x:v>
      </x:c>
      <x:c r="AG5152" s="87" t="str">
        <x:v>RESOLVED</x:v>
      </x:c>
      <x:c r="AH5152" s="87" t="str">
        <x:v>CROP_VERIFIED</x:v>
      </x:c>
      <x:c r="AI5152" s="30"/>
      <x:c r="AJ5152" s="87" t="str">
        <x:v>clean</x:v>
      </x:c>
      <x:c r="AK5152" s="87" t="str">
        <x:v>clean-v0.11</x:v>
      </x:c>
      <x:c r="AL5152" s="87" t="str">
        <x:v>statgrad_clean_continuation_v0_11(1).xlsx</x:v>
      </x:c>
      <x:c r="AM5152" s="87" t="str">
        <x:v>ENG_EGKR_951</x:v>
      </x:c>
      <x:c r="AN5152" s="87" t="n">
        <x:v>23</x:v>
      </x:c>
    </x:row>
    <x:row r="5153">
      <x:c r="A5153" s="87" t="n">
        <x:v>5152</x:v>
      </x:c>
      <x:c r="B5153" s="87" t="str">
        <x:v>EGKR-ENG-W25-951-23</x:v>
      </x:c>
      <x:c r="C5153" s="87" t="str">
        <x:v>ЕГКР</x:v>
      </x:c>
      <x:c r="D5153" s="87"/>
      <x:c r="E5153" s="87" t="str">
        <x:v>Зима 2025</x:v>
      </x:c>
      <x:c r="F5153" s="87" t="str">
        <x:v>11.12.2025</x:v>
      </x:c>
      <x:c r="G5153" s="87" t="str">
        <x:v>Английский язык</x:v>
      </x:c>
      <x:c r="H5153" s="87" t="n">
        <x:v>11</x:v>
      </x:c>
      <x:c r="I5153" s="87"/>
      <x:c r="J5153" s="87" t="str">
        <x:v>951</x:v>
      </x:c>
      <x:c r="K5153" s="87" t="n">
        <x:v>23</x:v>
      </x:c>
      <x:c r="L5153" s="87" t="str">
        <x:v>Грамматика: преобразование формы слова</x:v>
      </x:c>
      <x:c r="M5153" s="30" t="str">
        <x:v>Задание 23 письменной части варианта 951; полное условие сохранено на странице VIS_ID.</x:v>
      </x:c>
      <x:c r="N5153" s="30" t="str">
        <x:v>travelling</x:v>
      </x:c>
      <x:c r="O5153" s="30"/>
      <x:c r="P5153" s="30"/>
      <x:c r="Q5153" s="30" t="str">
        <x:v>Независимо решено по условию; проверена грамматика, лексика или логика текста.</x:v>
      </x:c>
      <x:c r="R5153" s="30"/>
      <x:c r="S5153" s="30" t="str">
        <x:v>Независимая проверка по PDF задания</x:v>
      </x:c>
      <x:c r="T5153" s="30"/>
      <x:c r="U5153" s="30" t="str">
        <x:v>Канонический рабочий ответ.</x:v>
      </x:c>
      <x:c r="V5153" s="87" t="str">
        <x:v>VERIFIED</x:v>
      </x:c>
      <x:c r="W5153" s="87"/>
      <x:c r="X5153" s="87" t="str">
        <x:v>7</x:v>
      </x:c>
      <x:c r="Y5153" s="87"/>
      <x:c r="Z5153" s="87"/>
      <x:c r="AA5153" s="87"/>
      <x:c r="AB5153" s="87"/>
      <x:c r="AC5153" s="87" t="str">
        <x:v>VIS-EGKR-ENG-W25-TASK-951-P007</x:v>
      </x:c>
      <x:c r="AD5153" s="87"/>
      <x:c r="AE5153" s="87" t="str">
        <x:v>TASK</x:v>
      </x:c>
      <x:c r="AF5153" s="87" t="str">
        <x:v>VIS-EGKR-ENG-W25-TASK-951-P007: 7</x:v>
      </x:c>
      <x:c r="AG5153" s="87" t="str">
        <x:v>RESOLVED</x:v>
      </x:c>
      <x:c r="AH5153" s="87" t="str">
        <x:v>CROP_VERIFIED</x:v>
      </x:c>
      <x:c r="AI5153" s="30"/>
      <x:c r="AJ5153" s="87" t="str">
        <x:v>clean</x:v>
      </x:c>
      <x:c r="AK5153" s="87" t="str">
        <x:v>clean-v0.11</x:v>
      </x:c>
      <x:c r="AL5153" s="87" t="str">
        <x:v>statgrad_clean_continuation_v0_11(1).xlsx</x:v>
      </x:c>
      <x:c r="AM5153" s="87" t="str">
        <x:v>ENG_EGKR_951</x:v>
      </x:c>
      <x:c r="AN5153" s="87" t="n">
        <x:v>24</x:v>
      </x:c>
    </x:row>
    <x:row r="5154">
      <x:c r="A5154" s="87" t="n">
        <x:v>5153</x:v>
      </x:c>
      <x:c r="B5154" s="87" t="str">
        <x:v>EGKR-ENG-W25-951-24</x:v>
      </x:c>
      <x:c r="C5154" s="87" t="str">
        <x:v>ЕГКР</x:v>
      </x:c>
      <x:c r="D5154" s="87"/>
      <x:c r="E5154" s="87" t="str">
        <x:v>Зима 2025</x:v>
      </x:c>
      <x:c r="F5154" s="87" t="str">
        <x:v>11.12.2025</x:v>
      </x:c>
      <x:c r="G5154" s="87" t="str">
        <x:v>Английский язык</x:v>
      </x:c>
      <x:c r="H5154" s="87" t="n">
        <x:v>11</x:v>
      </x:c>
      <x:c r="I5154" s="87"/>
      <x:c r="J5154" s="87" t="str">
        <x:v>951</x:v>
      </x:c>
      <x:c r="K5154" s="87" t="n">
        <x:v>24</x:v>
      </x:c>
      <x:c r="L5154" s="87" t="str">
        <x:v>Грамматика: преобразование формы слова</x:v>
      </x:c>
      <x:c r="M5154" s="30" t="str">
        <x:v>Задание 24 письменной части варианта 951; полное условие сохранено на странице VIS_ID.</x:v>
      </x:c>
      <x:c r="N5154" s="30" t="str">
        <x:v>herself</x:v>
      </x:c>
      <x:c r="O5154" s="30"/>
      <x:c r="P5154" s="30"/>
      <x:c r="Q5154" s="30" t="str">
        <x:v>Независимо решено по условию; проверена грамматика, лексика или логика текста.</x:v>
      </x:c>
      <x:c r="R5154" s="30"/>
      <x:c r="S5154" s="30" t="str">
        <x:v>Независимая проверка по PDF задания</x:v>
      </x:c>
      <x:c r="T5154" s="30"/>
      <x:c r="U5154" s="30" t="str">
        <x:v>Канонический рабочий ответ.</x:v>
      </x:c>
      <x:c r="V5154" s="87" t="str">
        <x:v>VERIFIED</x:v>
      </x:c>
      <x:c r="W5154" s="87"/>
      <x:c r="X5154" s="87" t="str">
        <x:v>7</x:v>
      </x:c>
      <x:c r="Y5154" s="87"/>
      <x:c r="Z5154" s="87"/>
      <x:c r="AA5154" s="87"/>
      <x:c r="AB5154" s="87"/>
      <x:c r="AC5154" s="87" t="str">
        <x:v>VIS-EGKR-ENG-W25-TASK-951-P007</x:v>
      </x:c>
      <x:c r="AD5154" s="87"/>
      <x:c r="AE5154" s="87" t="str">
        <x:v>TASK</x:v>
      </x:c>
      <x:c r="AF5154" s="87" t="str">
        <x:v>VIS-EGKR-ENG-W25-TASK-951-P007: 7</x:v>
      </x:c>
      <x:c r="AG5154" s="87" t="str">
        <x:v>RESOLVED</x:v>
      </x:c>
      <x:c r="AH5154" s="87" t="str">
        <x:v>CROP_VERIFIED</x:v>
      </x:c>
      <x:c r="AI5154" s="30"/>
      <x:c r="AJ5154" s="87" t="str">
        <x:v>clean</x:v>
      </x:c>
      <x:c r="AK5154" s="87" t="str">
        <x:v>clean-v0.11</x:v>
      </x:c>
      <x:c r="AL5154" s="87" t="str">
        <x:v>statgrad_clean_continuation_v0_11(1).xlsx</x:v>
      </x:c>
      <x:c r="AM5154" s="87" t="str">
        <x:v>ENG_EGKR_951</x:v>
      </x:c>
      <x:c r="AN5154" s="87" t="n">
        <x:v>25</x:v>
      </x:c>
    </x:row>
    <x:row r="5155">
      <x:c r="A5155" s="87" t="n">
        <x:v>5154</x:v>
      </x:c>
      <x:c r="B5155" s="87" t="str">
        <x:v>EGKR-ENG-W25-951-25</x:v>
      </x:c>
      <x:c r="C5155" s="87" t="str">
        <x:v>ЕГКР</x:v>
      </x:c>
      <x:c r="D5155" s="87"/>
      <x:c r="E5155" s="87" t="str">
        <x:v>Зима 2025</x:v>
      </x:c>
      <x:c r="F5155" s="87" t="str">
        <x:v>11.12.2025</x:v>
      </x:c>
      <x:c r="G5155" s="87" t="str">
        <x:v>Английский язык</x:v>
      </x:c>
      <x:c r="H5155" s="87" t="n">
        <x:v>11</x:v>
      </x:c>
      <x:c r="I5155" s="87"/>
      <x:c r="J5155" s="87" t="str">
        <x:v>951</x:v>
      </x:c>
      <x:c r="K5155" s="87" t="n">
        <x:v>25</x:v>
      </x:c>
      <x:c r="L5155" s="87" t="str">
        <x:v>Лексика: словообразование</x:v>
      </x:c>
      <x:c r="M5155" s="30" t="str">
        <x:v>Задание 25 письменной части варианта 951; полное условие сохранено на странице VIS_ID.</x:v>
      </x:c>
      <x:c r="N5155" s="30" t="str">
        <x:v>residences</x:v>
      </x:c>
      <x:c r="O5155" s="30"/>
      <x:c r="P5155" s="30"/>
      <x:c r="Q5155" s="30" t="str">
        <x:v>Независимо решено по условию; проверена грамматика, лексика или логика текста.</x:v>
      </x:c>
      <x:c r="R5155" s="30"/>
      <x:c r="S5155" s="30" t="str">
        <x:v>Независимая проверка по PDF задания</x:v>
      </x:c>
      <x:c r="T5155" s="30"/>
      <x:c r="U5155" s="30" t="str">
        <x:v>Канонический рабочий ответ.</x:v>
      </x:c>
      <x:c r="V5155" s="87" t="str">
        <x:v>VERIFIED</x:v>
      </x:c>
      <x:c r="W5155" s="87"/>
      <x:c r="X5155" s="87" t="str">
        <x:v>7</x:v>
      </x:c>
      <x:c r="Y5155" s="87"/>
      <x:c r="Z5155" s="87"/>
      <x:c r="AA5155" s="87"/>
      <x:c r="AB5155" s="87"/>
      <x:c r="AC5155" s="87" t="str">
        <x:v>VIS-EGKR-ENG-W25-TASK-951-P007</x:v>
      </x:c>
      <x:c r="AD5155" s="87"/>
      <x:c r="AE5155" s="87" t="str">
        <x:v>TASK</x:v>
      </x:c>
      <x:c r="AF5155" s="87" t="str">
        <x:v>VIS-EGKR-ENG-W25-TASK-951-P007: 7</x:v>
      </x:c>
      <x:c r="AG5155" s="87" t="str">
        <x:v>RESOLVED</x:v>
      </x:c>
      <x:c r="AH5155" s="87" t="str">
        <x:v>CROP_VERIFIED</x:v>
      </x:c>
      <x:c r="AI5155" s="30"/>
      <x:c r="AJ5155" s="87" t="str">
        <x:v>clean</x:v>
      </x:c>
      <x:c r="AK5155" s="87" t="str">
        <x:v>clean-v0.11</x:v>
      </x:c>
      <x:c r="AL5155" s="87" t="str">
        <x:v>statgrad_clean_continuation_v0_11(1).xlsx</x:v>
      </x:c>
      <x:c r="AM5155" s="87" t="str">
        <x:v>ENG_EGKR_951</x:v>
      </x:c>
      <x:c r="AN5155" s="87" t="n">
        <x:v>26</x:v>
      </x:c>
    </x:row>
    <x:row r="5156">
      <x:c r="A5156" s="87" t="n">
        <x:v>5155</x:v>
      </x:c>
      <x:c r="B5156" s="87" t="str">
        <x:v>EGKR-ENG-W25-951-26</x:v>
      </x:c>
      <x:c r="C5156" s="87" t="str">
        <x:v>ЕГКР</x:v>
      </x:c>
      <x:c r="D5156" s="87"/>
      <x:c r="E5156" s="87" t="str">
        <x:v>Зима 2025</x:v>
      </x:c>
      <x:c r="F5156" s="87" t="str">
        <x:v>11.12.2025</x:v>
      </x:c>
      <x:c r="G5156" s="87" t="str">
        <x:v>Английский язык</x:v>
      </x:c>
      <x:c r="H5156" s="87" t="n">
        <x:v>11</x:v>
      </x:c>
      <x:c r="I5156" s="87"/>
      <x:c r="J5156" s="87" t="str">
        <x:v>951</x:v>
      </x:c>
      <x:c r="K5156" s="87" t="n">
        <x:v>26</x:v>
      </x:c>
      <x:c r="L5156" s="87" t="str">
        <x:v>Лексика: словообразование</x:v>
      </x:c>
      <x:c r="M5156" s="30" t="str">
        <x:v>Задание 26 письменной части варианта 951; полное условие сохранено на странице VIS_ID.</x:v>
      </x:c>
      <x:c r="N5156" s="30" t="str">
        <x:v>dislike</x:v>
      </x:c>
      <x:c r="O5156" s="30"/>
      <x:c r="P5156" s="30"/>
      <x:c r="Q5156" s="30" t="str">
        <x:v>Независимо решено по условию; проверена грамматика, лексика или логика текста.</x:v>
      </x:c>
      <x:c r="R5156" s="30"/>
      <x:c r="S5156" s="30" t="str">
        <x:v>Независимая проверка по PDF задания</x:v>
      </x:c>
      <x:c r="T5156" s="30"/>
      <x:c r="U5156" s="30" t="str">
        <x:v>Канонический рабочий ответ.</x:v>
      </x:c>
      <x:c r="V5156" s="87" t="str">
        <x:v>VERIFIED</x:v>
      </x:c>
      <x:c r="W5156" s="87"/>
      <x:c r="X5156" s="87" t="str">
        <x:v>7</x:v>
      </x:c>
      <x:c r="Y5156" s="87"/>
      <x:c r="Z5156" s="87"/>
      <x:c r="AA5156" s="87"/>
      <x:c r="AB5156" s="87"/>
      <x:c r="AC5156" s="87" t="str">
        <x:v>VIS-EGKR-ENG-W25-TASK-951-P007</x:v>
      </x:c>
      <x:c r="AD5156" s="87"/>
      <x:c r="AE5156" s="87" t="str">
        <x:v>TASK</x:v>
      </x:c>
      <x:c r="AF5156" s="87" t="str">
        <x:v>VIS-EGKR-ENG-W25-TASK-951-P007: 7</x:v>
      </x:c>
      <x:c r="AG5156" s="87" t="str">
        <x:v>RESOLVED</x:v>
      </x:c>
      <x:c r="AH5156" s="87" t="str">
        <x:v>CROP_VERIFIED</x:v>
      </x:c>
      <x:c r="AI5156" s="30"/>
      <x:c r="AJ5156" s="87" t="str">
        <x:v>clean</x:v>
      </x:c>
      <x:c r="AK5156" s="87" t="str">
        <x:v>clean-v0.11</x:v>
      </x:c>
      <x:c r="AL5156" s="87" t="str">
        <x:v>statgrad_clean_continuation_v0_11(1).xlsx</x:v>
      </x:c>
      <x:c r="AM5156" s="87" t="str">
        <x:v>ENG_EGKR_951</x:v>
      </x:c>
      <x:c r="AN5156" s="87" t="n">
        <x:v>27</x:v>
      </x:c>
    </x:row>
    <x:row r="5157">
      <x:c r="A5157" s="87" t="n">
        <x:v>5156</x:v>
      </x:c>
      <x:c r="B5157" s="87" t="str">
        <x:v>EGKR-ENG-W25-951-27</x:v>
      </x:c>
      <x:c r="C5157" s="87" t="str">
        <x:v>ЕГКР</x:v>
      </x:c>
      <x:c r="D5157" s="87"/>
      <x:c r="E5157" s="87" t="str">
        <x:v>Зима 2025</x:v>
      </x:c>
      <x:c r="F5157" s="87" t="str">
        <x:v>11.12.2025</x:v>
      </x:c>
      <x:c r="G5157" s="87" t="str">
        <x:v>Английский язык</x:v>
      </x:c>
      <x:c r="H5157" s="87" t="n">
        <x:v>11</x:v>
      </x:c>
      <x:c r="I5157" s="87"/>
      <x:c r="J5157" s="87" t="str">
        <x:v>951</x:v>
      </x:c>
      <x:c r="K5157" s="87" t="n">
        <x:v>27</x:v>
      </x:c>
      <x:c r="L5157" s="87" t="str">
        <x:v>Лексика: словообразование</x:v>
      </x:c>
      <x:c r="M5157" s="30" t="str">
        <x:v>Задание 27 письменной части варианта 951; полное условие сохранено на странице VIS_ID.</x:v>
      </x:c>
      <x:c r="N5157" s="30" t="str">
        <x:v>actually</x:v>
      </x:c>
      <x:c r="O5157" s="30"/>
      <x:c r="P5157" s="30"/>
      <x:c r="Q5157" s="30" t="str">
        <x:v>Независимо решено по условию; проверена грамматика, лексика или логика текста.</x:v>
      </x:c>
      <x:c r="R5157" s="30"/>
      <x:c r="S5157" s="30" t="str">
        <x:v>Независимая проверка по PDF задания</x:v>
      </x:c>
      <x:c r="T5157" s="30"/>
      <x:c r="U5157" s="30" t="str">
        <x:v>Канонический рабочий ответ.</x:v>
      </x:c>
      <x:c r="V5157" s="87" t="str">
        <x:v>VERIFIED</x:v>
      </x:c>
      <x:c r="W5157" s="87"/>
      <x:c r="X5157" s="87" t="str">
        <x:v>7</x:v>
      </x:c>
      <x:c r="Y5157" s="87"/>
      <x:c r="Z5157" s="87"/>
      <x:c r="AA5157" s="87"/>
      <x:c r="AB5157" s="87"/>
      <x:c r="AC5157" s="87" t="str">
        <x:v>VIS-EGKR-ENG-W25-TASK-951-P007</x:v>
      </x:c>
      <x:c r="AD5157" s="87"/>
      <x:c r="AE5157" s="87" t="str">
        <x:v>TASK</x:v>
      </x:c>
      <x:c r="AF5157" s="87" t="str">
        <x:v>VIS-EGKR-ENG-W25-TASK-951-P007: 7</x:v>
      </x:c>
      <x:c r="AG5157" s="87" t="str">
        <x:v>RESOLVED</x:v>
      </x:c>
      <x:c r="AH5157" s="87" t="str">
        <x:v>CROP_VERIFIED</x:v>
      </x:c>
      <x:c r="AI5157" s="30"/>
      <x:c r="AJ5157" s="87" t="str">
        <x:v>clean</x:v>
      </x:c>
      <x:c r="AK5157" s="87" t="str">
        <x:v>clean-v0.11</x:v>
      </x:c>
      <x:c r="AL5157" s="87" t="str">
        <x:v>statgrad_clean_continuation_v0_11(1).xlsx</x:v>
      </x:c>
      <x:c r="AM5157" s="87" t="str">
        <x:v>ENG_EGKR_951</x:v>
      </x:c>
      <x:c r="AN5157" s="87" t="n">
        <x:v>28</x:v>
      </x:c>
    </x:row>
    <x:row r="5158">
      <x:c r="A5158" s="87" t="n">
        <x:v>5157</x:v>
      </x:c>
      <x:c r="B5158" s="87" t="str">
        <x:v>EGKR-ENG-W25-951-28</x:v>
      </x:c>
      <x:c r="C5158" s="87" t="str">
        <x:v>ЕГКР</x:v>
      </x:c>
      <x:c r="D5158" s="87"/>
      <x:c r="E5158" s="87" t="str">
        <x:v>Зима 2025</x:v>
      </x:c>
      <x:c r="F5158" s="87" t="str">
        <x:v>11.12.2025</x:v>
      </x:c>
      <x:c r="G5158" s="87" t="str">
        <x:v>Английский язык</x:v>
      </x:c>
      <x:c r="H5158" s="87" t="n">
        <x:v>11</x:v>
      </x:c>
      <x:c r="I5158" s="87"/>
      <x:c r="J5158" s="87" t="str">
        <x:v>951</x:v>
      </x:c>
      <x:c r="K5158" s="87" t="n">
        <x:v>28</x:v>
      </x:c>
      <x:c r="L5158" s="87" t="str">
        <x:v>Лексика: словообразование</x:v>
      </x:c>
      <x:c r="M5158" s="30" t="str">
        <x:v>Задание 28 письменной части варианта 951; полное условие сохранено на странице VIS_ID.</x:v>
      </x:c>
      <x:c r="N5158" s="30" t="str">
        <x:v>priceless</x:v>
      </x:c>
      <x:c r="O5158" s="30"/>
      <x:c r="P5158" s="30"/>
      <x:c r="Q5158" s="30" t="str">
        <x:v>Независимо решено по условию; проверена грамматика, лексика или логика текста.</x:v>
      </x:c>
      <x:c r="R5158" s="30"/>
      <x:c r="S5158" s="30" t="str">
        <x:v>Независимая проверка по PDF задания</x:v>
      </x:c>
      <x:c r="T5158" s="30"/>
      <x:c r="U5158" s="30" t="str">
        <x:v>Канонический рабочий ответ.</x:v>
      </x:c>
      <x:c r="V5158" s="87" t="str">
        <x:v>VERIFIED</x:v>
      </x:c>
      <x:c r="W5158" s="87"/>
      <x:c r="X5158" s="87" t="str">
        <x:v>7</x:v>
      </x:c>
      <x:c r="Y5158" s="87"/>
      <x:c r="Z5158" s="87"/>
      <x:c r="AA5158" s="87"/>
      <x:c r="AB5158" s="87"/>
      <x:c r="AC5158" s="87" t="str">
        <x:v>VIS-EGKR-ENG-W25-TASK-951-P007</x:v>
      </x:c>
      <x:c r="AD5158" s="87"/>
      <x:c r="AE5158" s="87" t="str">
        <x:v>TASK</x:v>
      </x:c>
      <x:c r="AF5158" s="87" t="str">
        <x:v>VIS-EGKR-ENG-W25-TASK-951-P007: 7</x:v>
      </x:c>
      <x:c r="AG5158" s="87" t="str">
        <x:v>RESOLVED</x:v>
      </x:c>
      <x:c r="AH5158" s="87" t="str">
        <x:v>CROP_VERIFIED</x:v>
      </x:c>
      <x:c r="AI5158" s="30"/>
      <x:c r="AJ5158" s="87" t="str">
        <x:v>clean</x:v>
      </x:c>
      <x:c r="AK5158" s="87" t="str">
        <x:v>clean-v0.11</x:v>
      </x:c>
      <x:c r="AL5158" s="87" t="str">
        <x:v>statgrad_clean_continuation_v0_11(1).xlsx</x:v>
      </x:c>
      <x:c r="AM5158" s="87" t="str">
        <x:v>ENG_EGKR_951</x:v>
      </x:c>
      <x:c r="AN5158" s="87" t="n">
        <x:v>29</x:v>
      </x:c>
    </x:row>
    <x:row r="5159">
      <x:c r="A5159" s="87" t="n">
        <x:v>5158</x:v>
      </x:c>
      <x:c r="B5159" s="87" t="str">
        <x:v>EGKR-ENG-W25-951-29</x:v>
      </x:c>
      <x:c r="C5159" s="87" t="str">
        <x:v>ЕГКР</x:v>
      </x:c>
      <x:c r="D5159" s="87"/>
      <x:c r="E5159" s="87" t="str">
        <x:v>Зима 2025</x:v>
      </x:c>
      <x:c r="F5159" s="87" t="str">
        <x:v>11.12.2025</x:v>
      </x:c>
      <x:c r="G5159" s="87" t="str">
        <x:v>Английский язык</x:v>
      </x:c>
      <x:c r="H5159" s="87" t="n">
        <x:v>11</x:v>
      </x:c>
      <x:c r="I5159" s="87"/>
      <x:c r="J5159" s="87" t="str">
        <x:v>951</x:v>
      </x:c>
      <x:c r="K5159" s="87" t="n">
        <x:v>29</x:v>
      </x:c>
      <x:c r="L5159" s="87" t="str">
        <x:v>Лексика: словообразование</x:v>
      </x:c>
      <x:c r="M5159" s="30" t="str">
        <x:v>Задание 29 письменной части варианта 951; полное условие сохранено на странице VIS_ID.</x:v>
      </x:c>
      <x:c r="N5159" s="30" t="str">
        <x:v>hunters</x:v>
      </x:c>
      <x:c r="O5159" s="30"/>
      <x:c r="P5159" s="30"/>
      <x:c r="Q5159" s="30" t="str">
        <x:v>Независимо решено по условию; проверена грамматика, лексика или логика текста.</x:v>
      </x:c>
      <x:c r="R5159" s="30"/>
      <x:c r="S5159" s="30" t="str">
        <x:v>Независимая проверка по PDF задания</x:v>
      </x:c>
      <x:c r="T5159" s="30"/>
      <x:c r="U5159" s="30" t="str">
        <x:v>Канонический рабочий ответ.</x:v>
      </x:c>
      <x:c r="V5159" s="87" t="str">
        <x:v>VERIFIED</x:v>
      </x:c>
      <x:c r="W5159" s="87"/>
      <x:c r="X5159" s="87" t="str">
        <x:v>7</x:v>
      </x:c>
      <x:c r="Y5159" s="87"/>
      <x:c r="Z5159" s="87"/>
      <x:c r="AA5159" s="87"/>
      <x:c r="AB5159" s="87"/>
      <x:c r="AC5159" s="87" t="str">
        <x:v>VIS-EGKR-ENG-W25-TASK-951-P007</x:v>
      </x:c>
      <x:c r="AD5159" s="87"/>
      <x:c r="AE5159" s="87" t="str">
        <x:v>TASK</x:v>
      </x:c>
      <x:c r="AF5159" s="87" t="str">
        <x:v>VIS-EGKR-ENG-W25-TASK-951-P007: 7</x:v>
      </x:c>
      <x:c r="AG5159" s="87" t="str">
        <x:v>RESOLVED</x:v>
      </x:c>
      <x:c r="AH5159" s="87" t="str">
        <x:v>CROP_VERIFIED</x:v>
      </x:c>
      <x:c r="AI5159" s="30"/>
      <x:c r="AJ5159" s="87" t="str">
        <x:v>clean</x:v>
      </x:c>
      <x:c r="AK5159" s="87" t="str">
        <x:v>clean-v0.11</x:v>
      </x:c>
      <x:c r="AL5159" s="87" t="str">
        <x:v>statgrad_clean_continuation_v0_11(1).xlsx</x:v>
      </x:c>
      <x:c r="AM5159" s="87" t="str">
        <x:v>ENG_EGKR_951</x:v>
      </x:c>
      <x:c r="AN5159" s="87" t="n">
        <x:v>30</x:v>
      </x:c>
    </x:row>
    <x:row r="5160">
      <x:c r="A5160" s="87" t="n">
        <x:v>5159</x:v>
      </x:c>
      <x:c r="B5160" s="87" t="str">
        <x:v>EGKR-ENG-W25-951-30</x:v>
      </x:c>
      <x:c r="C5160" s="87" t="str">
        <x:v>ЕГКР</x:v>
      </x:c>
      <x:c r="D5160" s="87"/>
      <x:c r="E5160" s="87" t="str">
        <x:v>Зима 2025</x:v>
      </x:c>
      <x:c r="F5160" s="87" t="str">
        <x:v>11.12.2025</x:v>
      </x:c>
      <x:c r="G5160" s="87" t="str">
        <x:v>Английский язык</x:v>
      </x:c>
      <x:c r="H5160" s="87" t="n">
        <x:v>11</x:v>
      </x:c>
      <x:c r="I5160" s="87"/>
      <x:c r="J5160" s="87" t="str">
        <x:v>951</x:v>
      </x:c>
      <x:c r="K5160" s="87" t="n">
        <x:v>30</x:v>
      </x:c>
      <x:c r="L5160" s="87" t="str">
        <x:v>Лексика: выбор слова</x:v>
      </x:c>
      <x:c r="M5160" s="30" t="str">
        <x:v>Задание 30 письменной части варианта 951; полное условие сохранено на странице VIS_ID.</x:v>
      </x:c>
      <x:c r="N5160" s="30" t="str">
        <x:v>3</x:v>
      </x:c>
      <x:c r="O5160" s="30"/>
      <x:c r="P5160" s="30"/>
      <x:c r="Q5160" s="30" t="str">
        <x:v>Независимо решено по условию; проверена грамматика, лексика или логика текста.</x:v>
      </x:c>
      <x:c r="R5160" s="30"/>
      <x:c r="S5160" s="30" t="str">
        <x:v>Независимая проверка по PDF задания</x:v>
      </x:c>
      <x:c r="T5160" s="30"/>
      <x:c r="U5160" s="30" t="str">
        <x:v>Канонический рабочий ответ.</x:v>
      </x:c>
      <x:c r="V5160" s="87" t="str">
        <x:v>VERIFIED</x:v>
      </x:c>
      <x:c r="W5160" s="87"/>
      <x:c r="X5160" s="87" t="str">
        <x:v>6</x:v>
      </x:c>
      <x:c r="Y5160" s="87"/>
      <x:c r="Z5160" s="87"/>
      <x:c r="AA5160" s="87"/>
      <x:c r="AB5160" s="87"/>
      <x:c r="AC5160" s="87" t="str">
        <x:v>VIS-EGKR-ENG-W25-TASK-951-P006</x:v>
      </x:c>
      <x:c r="AD5160" s="87"/>
      <x:c r="AE5160" s="87" t="str">
        <x:v>TASK</x:v>
      </x:c>
      <x:c r="AF5160" s="87" t="str">
        <x:v>VIS-EGKR-ENG-W25-TASK-951-P006: 6</x:v>
      </x:c>
      <x:c r="AG5160" s="87" t="str">
        <x:v>RESOLVED</x:v>
      </x:c>
      <x:c r="AH5160" s="87" t="str">
        <x:v>CROP_VERIFIED</x:v>
      </x:c>
      <x:c r="AI5160" s="30"/>
      <x:c r="AJ5160" s="87" t="str">
        <x:v>clean</x:v>
      </x:c>
      <x:c r="AK5160" s="87" t="str">
        <x:v>clean-v0.11</x:v>
      </x:c>
      <x:c r="AL5160" s="87" t="str">
        <x:v>statgrad_clean_continuation_v0_11(1).xlsx</x:v>
      </x:c>
      <x:c r="AM5160" s="87" t="str">
        <x:v>ENG_EGKR_951</x:v>
      </x:c>
      <x:c r="AN5160" s="87" t="n">
        <x:v>31</x:v>
      </x:c>
    </x:row>
    <x:row r="5161">
      <x:c r="A5161" s="87" t="n">
        <x:v>5160</x:v>
      </x:c>
      <x:c r="B5161" s="87" t="str">
        <x:v>EGKR-ENG-W25-951-31</x:v>
      </x:c>
      <x:c r="C5161" s="87" t="str">
        <x:v>ЕГКР</x:v>
      </x:c>
      <x:c r="D5161" s="87"/>
      <x:c r="E5161" s="87" t="str">
        <x:v>Зима 2025</x:v>
      </x:c>
      <x:c r="F5161" s="87" t="str">
        <x:v>11.12.2025</x:v>
      </x:c>
      <x:c r="G5161" s="87" t="str">
        <x:v>Английский язык</x:v>
      </x:c>
      <x:c r="H5161" s="87" t="n">
        <x:v>11</x:v>
      </x:c>
      <x:c r="I5161" s="87"/>
      <x:c r="J5161" s="87" t="str">
        <x:v>951</x:v>
      </x:c>
      <x:c r="K5161" s="87" t="n">
        <x:v>31</x:v>
      </x:c>
      <x:c r="L5161" s="87" t="str">
        <x:v>Лексика: выбор слова</x:v>
      </x:c>
      <x:c r="M5161" s="30" t="str">
        <x:v>Задание 31 письменной части варианта 951; полное условие сохранено на странице VIS_ID.</x:v>
      </x:c>
      <x:c r="N5161" s="30" t="str">
        <x:v>1</x:v>
      </x:c>
      <x:c r="O5161" s="30"/>
      <x:c r="P5161" s="30"/>
      <x:c r="Q5161" s="30" t="str">
        <x:v>Независимо решено по условию; проверена грамматика, лексика или логика текста.</x:v>
      </x:c>
      <x:c r="R5161" s="30"/>
      <x:c r="S5161" s="30" t="str">
        <x:v>Независимая проверка по PDF задания</x:v>
      </x:c>
      <x:c r="T5161" s="30"/>
      <x:c r="U5161" s="30" t="str">
        <x:v>Канонический рабочий ответ.</x:v>
      </x:c>
      <x:c r="V5161" s="87" t="str">
        <x:v>VERIFIED</x:v>
      </x:c>
      <x:c r="W5161" s="87"/>
      <x:c r="X5161" s="87" t="str">
        <x:v>6</x:v>
      </x:c>
      <x:c r="Y5161" s="87"/>
      <x:c r="Z5161" s="87"/>
      <x:c r="AA5161" s="87"/>
      <x:c r="AB5161" s="87"/>
      <x:c r="AC5161" s="87" t="str">
        <x:v>VIS-EGKR-ENG-W25-TASK-951-P006</x:v>
      </x:c>
      <x:c r="AD5161" s="87"/>
      <x:c r="AE5161" s="87" t="str">
        <x:v>TASK</x:v>
      </x:c>
      <x:c r="AF5161" s="87" t="str">
        <x:v>VIS-EGKR-ENG-W25-TASK-951-P006: 6</x:v>
      </x:c>
      <x:c r="AG5161" s="87" t="str">
        <x:v>RESOLVED</x:v>
      </x:c>
      <x:c r="AH5161" s="87" t="str">
        <x:v>CROP_VERIFIED</x:v>
      </x:c>
      <x:c r="AI5161" s="30"/>
      <x:c r="AJ5161" s="87" t="str">
        <x:v>clean</x:v>
      </x:c>
      <x:c r="AK5161" s="87" t="str">
        <x:v>clean-v0.11</x:v>
      </x:c>
      <x:c r="AL5161" s="87" t="str">
        <x:v>statgrad_clean_continuation_v0_11(1).xlsx</x:v>
      </x:c>
      <x:c r="AM5161" s="87" t="str">
        <x:v>ENG_EGKR_951</x:v>
      </x:c>
      <x:c r="AN5161" s="87" t="n">
        <x:v>32</x:v>
      </x:c>
    </x:row>
    <x:row r="5162">
      <x:c r="A5162" s="87" t="n">
        <x:v>5161</x:v>
      </x:c>
      <x:c r="B5162" s="87" t="str">
        <x:v>EGKR-ENG-W25-951-32</x:v>
      </x:c>
      <x:c r="C5162" s="87" t="str">
        <x:v>ЕГКР</x:v>
      </x:c>
      <x:c r="D5162" s="87"/>
      <x:c r="E5162" s="87" t="str">
        <x:v>Зима 2025</x:v>
      </x:c>
      <x:c r="F5162" s="87" t="str">
        <x:v>11.12.2025</x:v>
      </x:c>
      <x:c r="G5162" s="87" t="str">
        <x:v>Английский язык</x:v>
      </x:c>
      <x:c r="H5162" s="87" t="n">
        <x:v>11</x:v>
      </x:c>
      <x:c r="I5162" s="87"/>
      <x:c r="J5162" s="87" t="str">
        <x:v>951</x:v>
      </x:c>
      <x:c r="K5162" s="87" t="n">
        <x:v>32</x:v>
      </x:c>
      <x:c r="L5162" s="87" t="str">
        <x:v>Лексика: выбор слова</x:v>
      </x:c>
      <x:c r="M5162" s="30" t="str">
        <x:v>Задание 32 письменной части варианта 951; полное условие сохранено на странице VIS_ID.</x:v>
      </x:c>
      <x:c r="N5162" s="30" t="str">
        <x:v>2</x:v>
      </x:c>
      <x:c r="O5162" s="30"/>
      <x:c r="P5162" s="30"/>
      <x:c r="Q5162" s="30" t="str">
        <x:v>Независимо решено по условию; проверена грамматика, лексика или логика текста.</x:v>
      </x:c>
      <x:c r="R5162" s="30"/>
      <x:c r="S5162" s="30" t="str">
        <x:v>Независимая проверка по PDF задания</x:v>
      </x:c>
      <x:c r="T5162" s="30"/>
      <x:c r="U5162" s="30" t="str">
        <x:v>Канонический рабочий ответ.</x:v>
      </x:c>
      <x:c r="V5162" s="87" t="str">
        <x:v>VERIFIED</x:v>
      </x:c>
      <x:c r="W5162" s="87"/>
      <x:c r="X5162" s="87" t="str">
        <x:v>6</x:v>
      </x:c>
      <x:c r="Y5162" s="87"/>
      <x:c r="Z5162" s="87"/>
      <x:c r="AA5162" s="87"/>
      <x:c r="AB5162" s="87"/>
      <x:c r="AC5162" s="87" t="str">
        <x:v>VIS-EGKR-ENG-W25-TASK-951-P006</x:v>
      </x:c>
      <x:c r="AD5162" s="87"/>
      <x:c r="AE5162" s="87" t="str">
        <x:v>TASK</x:v>
      </x:c>
      <x:c r="AF5162" s="87" t="str">
        <x:v>VIS-EGKR-ENG-W25-TASK-951-P006: 6</x:v>
      </x:c>
      <x:c r="AG5162" s="87" t="str">
        <x:v>RESOLVED</x:v>
      </x:c>
      <x:c r="AH5162" s="87" t="str">
        <x:v>CROP_VERIFIED</x:v>
      </x:c>
      <x:c r="AI5162" s="30"/>
      <x:c r="AJ5162" s="87" t="str">
        <x:v>clean</x:v>
      </x:c>
      <x:c r="AK5162" s="87" t="str">
        <x:v>clean-v0.11</x:v>
      </x:c>
      <x:c r="AL5162" s="87" t="str">
        <x:v>statgrad_clean_continuation_v0_11(1).xlsx</x:v>
      </x:c>
      <x:c r="AM5162" s="87" t="str">
        <x:v>ENG_EGKR_951</x:v>
      </x:c>
      <x:c r="AN5162" s="87" t="n">
        <x:v>33</x:v>
      </x:c>
    </x:row>
    <x:row r="5163">
      <x:c r="A5163" s="87" t="n">
        <x:v>5162</x:v>
      </x:c>
      <x:c r="B5163" s="87" t="str">
        <x:v>EGKR-ENG-W25-951-33</x:v>
      </x:c>
      <x:c r="C5163" s="87" t="str">
        <x:v>ЕГКР</x:v>
      </x:c>
      <x:c r="D5163" s="87"/>
      <x:c r="E5163" s="87" t="str">
        <x:v>Зима 2025</x:v>
      </x:c>
      <x:c r="F5163" s="87" t="str">
        <x:v>11.12.2025</x:v>
      </x:c>
      <x:c r="G5163" s="87" t="str">
        <x:v>Английский язык</x:v>
      </x:c>
      <x:c r="H5163" s="87" t="n">
        <x:v>11</x:v>
      </x:c>
      <x:c r="I5163" s="87"/>
      <x:c r="J5163" s="87" t="str">
        <x:v>951</x:v>
      </x:c>
      <x:c r="K5163" s="87" t="n">
        <x:v>33</x:v>
      </x:c>
      <x:c r="L5163" s="87" t="str">
        <x:v>Лексика: выбор слова</x:v>
      </x:c>
      <x:c r="M5163" s="30" t="str">
        <x:v>Задание 33 письменной части варианта 951; полное условие сохранено на странице VIS_ID.</x:v>
      </x:c>
      <x:c r="N5163" s="30" t="str">
        <x:v>4</x:v>
      </x:c>
      <x:c r="O5163" s="30"/>
      <x:c r="P5163" s="30"/>
      <x:c r="Q5163" s="30" t="str">
        <x:v>Независимо решено по условию; проверена грамматика, лексика или логика текста.</x:v>
      </x:c>
      <x:c r="R5163" s="30"/>
      <x:c r="S5163" s="30" t="str">
        <x:v>Независимая проверка по PDF задания</x:v>
      </x:c>
      <x:c r="T5163" s="30"/>
      <x:c r="U5163" s="30" t="str">
        <x:v>Канонический рабочий ответ.</x:v>
      </x:c>
      <x:c r="V5163" s="87" t="str">
        <x:v>VERIFIED</x:v>
      </x:c>
      <x:c r="W5163" s="87"/>
      <x:c r="X5163" s="87" t="str">
        <x:v>6</x:v>
      </x:c>
      <x:c r="Y5163" s="87"/>
      <x:c r="Z5163" s="87"/>
      <x:c r="AA5163" s="87"/>
      <x:c r="AB5163" s="87"/>
      <x:c r="AC5163" s="87" t="str">
        <x:v>VIS-EGKR-ENG-W25-TASK-951-P006</x:v>
      </x:c>
      <x:c r="AD5163" s="87"/>
      <x:c r="AE5163" s="87" t="str">
        <x:v>TASK</x:v>
      </x:c>
      <x:c r="AF5163" s="87" t="str">
        <x:v>VIS-EGKR-ENG-W25-TASK-951-P006: 6</x:v>
      </x:c>
      <x:c r="AG5163" s="87" t="str">
        <x:v>RESOLVED</x:v>
      </x:c>
      <x:c r="AH5163" s="87" t="str">
        <x:v>CROP_VERIFIED</x:v>
      </x:c>
      <x:c r="AI5163" s="30"/>
      <x:c r="AJ5163" s="87" t="str">
        <x:v>clean</x:v>
      </x:c>
      <x:c r="AK5163" s="87" t="str">
        <x:v>clean-v0.11</x:v>
      </x:c>
      <x:c r="AL5163" s="87" t="str">
        <x:v>statgrad_clean_continuation_v0_11(1).xlsx</x:v>
      </x:c>
      <x:c r="AM5163" s="87" t="str">
        <x:v>ENG_EGKR_951</x:v>
      </x:c>
      <x:c r="AN5163" s="87" t="n">
        <x:v>34</x:v>
      </x:c>
    </x:row>
    <x:row r="5164">
      <x:c r="A5164" s="87" t="n">
        <x:v>5163</x:v>
      </x:c>
      <x:c r="B5164" s="87" t="str">
        <x:v>EGKR-ENG-W25-951-34</x:v>
      </x:c>
      <x:c r="C5164" s="87" t="str">
        <x:v>ЕГКР</x:v>
      </x:c>
      <x:c r="D5164" s="87"/>
      <x:c r="E5164" s="87" t="str">
        <x:v>Зима 2025</x:v>
      </x:c>
      <x:c r="F5164" s="87" t="str">
        <x:v>11.12.2025</x:v>
      </x:c>
      <x:c r="G5164" s="87" t="str">
        <x:v>Английский язык</x:v>
      </x:c>
      <x:c r="H5164" s="87" t="n">
        <x:v>11</x:v>
      </x:c>
      <x:c r="I5164" s="87"/>
      <x:c r="J5164" s="87" t="str">
        <x:v>951</x:v>
      </x:c>
      <x:c r="K5164" s="87" t="n">
        <x:v>34</x:v>
      </x:c>
      <x:c r="L5164" s="87" t="str">
        <x:v>Лексика: выбор слова</x:v>
      </x:c>
      <x:c r="M5164" s="30" t="str">
        <x:v>Задание 34 письменной части варианта 951; полное условие сохранено на странице VIS_ID.</x:v>
      </x:c>
      <x:c r="N5164" s="30" t="str">
        <x:v>3</x:v>
      </x:c>
      <x:c r="O5164" s="30"/>
      <x:c r="P5164" s="30"/>
      <x:c r="Q5164" s="30" t="str">
        <x:v>Независимо решено по условию; проверена грамматика, лексика или логика текста.</x:v>
      </x:c>
      <x:c r="R5164" s="30"/>
      <x:c r="S5164" s="30" t="str">
        <x:v>Независимая проверка по PDF задания</x:v>
      </x:c>
      <x:c r="T5164" s="30"/>
      <x:c r="U5164" s="30" t="str">
        <x:v>Канонический рабочий ответ.</x:v>
      </x:c>
      <x:c r="V5164" s="87" t="str">
        <x:v>VERIFIED</x:v>
      </x:c>
      <x:c r="W5164" s="87"/>
      <x:c r="X5164" s="87" t="str">
        <x:v>6</x:v>
      </x:c>
      <x:c r="Y5164" s="87"/>
      <x:c r="Z5164" s="87"/>
      <x:c r="AA5164" s="87"/>
      <x:c r="AB5164" s="87"/>
      <x:c r="AC5164" s="87" t="str">
        <x:v>VIS-EGKR-ENG-W25-TASK-951-P006</x:v>
      </x:c>
      <x:c r="AD5164" s="87"/>
      <x:c r="AE5164" s="87" t="str">
        <x:v>TASK</x:v>
      </x:c>
      <x:c r="AF5164" s="87" t="str">
        <x:v>VIS-EGKR-ENG-W25-TASK-951-P006: 6</x:v>
      </x:c>
      <x:c r="AG5164" s="87" t="str">
        <x:v>RESOLVED</x:v>
      </x:c>
      <x:c r="AH5164" s="87" t="str">
        <x:v>CROP_VERIFIED</x:v>
      </x:c>
      <x:c r="AI5164" s="30"/>
      <x:c r="AJ5164" s="87" t="str">
        <x:v>clean</x:v>
      </x:c>
      <x:c r="AK5164" s="87" t="str">
        <x:v>clean-v0.11</x:v>
      </x:c>
      <x:c r="AL5164" s="87" t="str">
        <x:v>statgrad_clean_continuation_v0_11(1).xlsx</x:v>
      </x:c>
      <x:c r="AM5164" s="87" t="str">
        <x:v>ENG_EGKR_951</x:v>
      </x:c>
      <x:c r="AN5164" s="87" t="n">
        <x:v>35</x:v>
      </x:c>
    </x:row>
    <x:row r="5165">
      <x:c r="A5165" s="87" t="n">
        <x:v>5164</x:v>
      </x:c>
      <x:c r="B5165" s="87" t="str">
        <x:v>EGKR-ENG-W25-951-35</x:v>
      </x:c>
      <x:c r="C5165" s="87" t="str">
        <x:v>ЕГКР</x:v>
      </x:c>
      <x:c r="D5165" s="87"/>
      <x:c r="E5165" s="87" t="str">
        <x:v>Зима 2025</x:v>
      </x:c>
      <x:c r="F5165" s="87" t="str">
        <x:v>11.12.2025</x:v>
      </x:c>
      <x:c r="G5165" s="87" t="str">
        <x:v>Английский язык</x:v>
      </x:c>
      <x:c r="H5165" s="87" t="n">
        <x:v>11</x:v>
      </x:c>
      <x:c r="I5165" s="87"/>
      <x:c r="J5165" s="87" t="str">
        <x:v>951</x:v>
      </x:c>
      <x:c r="K5165" s="87" t="n">
        <x:v>35</x:v>
      </x:c>
      <x:c r="L5165" s="87" t="str">
        <x:v>Лексика: выбор слова</x:v>
      </x:c>
      <x:c r="M5165" s="30" t="str">
        <x:v>Задание 35 письменной части варианта 951; полное условие сохранено на странице VIS_ID.</x:v>
      </x:c>
      <x:c r="N5165" s="30" t="str">
        <x:v>2</x:v>
      </x:c>
      <x:c r="O5165" s="30"/>
      <x:c r="P5165" s="30"/>
      <x:c r="Q5165" s="30" t="str">
        <x:v>Независимо решено по условию; проверена грамматика, лексика или логика текста.</x:v>
      </x:c>
      <x:c r="R5165" s="30"/>
      <x:c r="S5165" s="30" t="str">
        <x:v>Независимая проверка по PDF задания</x:v>
      </x:c>
      <x:c r="T5165" s="30"/>
      <x:c r="U5165" s="30" t="str">
        <x:v>Канонический рабочий ответ.</x:v>
      </x:c>
      <x:c r="V5165" s="87" t="str">
        <x:v>VERIFIED</x:v>
      </x:c>
      <x:c r="W5165" s="87"/>
      <x:c r="X5165" s="87" t="str">
        <x:v>6</x:v>
      </x:c>
      <x:c r="Y5165" s="87"/>
      <x:c r="Z5165" s="87"/>
      <x:c r="AA5165" s="87"/>
      <x:c r="AB5165" s="87"/>
      <x:c r="AC5165" s="87" t="str">
        <x:v>VIS-EGKR-ENG-W25-TASK-951-P006</x:v>
      </x:c>
      <x:c r="AD5165" s="87"/>
      <x:c r="AE5165" s="87" t="str">
        <x:v>TASK</x:v>
      </x:c>
      <x:c r="AF5165" s="87" t="str">
        <x:v>VIS-EGKR-ENG-W25-TASK-951-P006: 6</x:v>
      </x:c>
      <x:c r="AG5165" s="87" t="str">
        <x:v>RESOLVED</x:v>
      </x:c>
      <x:c r="AH5165" s="87" t="str">
        <x:v>CROP_VERIFIED</x:v>
      </x:c>
      <x:c r="AI5165" s="30"/>
      <x:c r="AJ5165" s="87" t="str">
        <x:v>clean</x:v>
      </x:c>
      <x:c r="AK5165" s="87" t="str">
        <x:v>clean-v0.11</x:v>
      </x:c>
      <x:c r="AL5165" s="87" t="str">
        <x:v>statgrad_clean_continuation_v0_11(1).xlsx</x:v>
      </x:c>
      <x:c r="AM5165" s="87" t="str">
        <x:v>ENG_EGKR_951</x:v>
      </x:c>
      <x:c r="AN5165" s="87" t="n">
        <x:v>36</x:v>
      </x:c>
    </x:row>
    <x:row r="5166">
      <x:c r="A5166" s="87" t="n">
        <x:v>5165</x:v>
      </x:c>
      <x:c r="B5166" s="87" t="str">
        <x:v>EGKR-ENG-W25-951-36</x:v>
      </x:c>
      <x:c r="C5166" s="87" t="str">
        <x:v>ЕГКР</x:v>
      </x:c>
      <x:c r="D5166" s="87"/>
      <x:c r="E5166" s="87" t="str">
        <x:v>Зима 2025</x:v>
      </x:c>
      <x:c r="F5166" s="87" t="str">
        <x:v>11.12.2025</x:v>
      </x:c>
      <x:c r="G5166" s="87" t="str">
        <x:v>Английский язык</x:v>
      </x:c>
      <x:c r="H5166" s="87" t="n">
        <x:v>11</x:v>
      </x:c>
      <x:c r="I5166" s="87"/>
      <x:c r="J5166" s="87" t="str">
        <x:v>951</x:v>
      </x:c>
      <x:c r="K5166" s="87" t="n">
        <x:v>36</x:v>
      </x:c>
      <x:c r="L5166" s="87" t="str">
        <x:v>Лексика: выбор слова</x:v>
      </x:c>
      <x:c r="M5166" s="30" t="str">
        <x:v>Задание 36 письменной части варианта 951; полное условие сохранено на странице VIS_ID.</x:v>
      </x:c>
      <x:c r="N5166" s="30" t="str">
        <x:v>1</x:v>
      </x:c>
      <x:c r="O5166" s="30"/>
      <x:c r="P5166" s="30"/>
      <x:c r="Q5166" s="30" t="str">
        <x:v>Независимо решено по условию; проверена грамматика, лексика или логика текста.</x:v>
      </x:c>
      <x:c r="R5166" s="30"/>
      <x:c r="S5166" s="30" t="str">
        <x:v>Независимая проверка по PDF задания</x:v>
      </x:c>
      <x:c r="T5166" s="30"/>
      <x:c r="U5166" s="30" t="str">
        <x:v>Канонический рабочий ответ.</x:v>
      </x:c>
      <x:c r="V5166" s="87" t="str">
        <x:v>VERIFIED</x:v>
      </x:c>
      <x:c r="W5166" s="87"/>
      <x:c r="X5166" s="87" t="str">
        <x:v>6</x:v>
      </x:c>
      <x:c r="Y5166" s="87"/>
      <x:c r="Z5166" s="87"/>
      <x:c r="AA5166" s="87"/>
      <x:c r="AB5166" s="87"/>
      <x:c r="AC5166" s="87" t="str">
        <x:v>VIS-EGKR-ENG-W25-TASK-951-P006</x:v>
      </x:c>
      <x:c r="AD5166" s="87"/>
      <x:c r="AE5166" s="87" t="str">
        <x:v>TASK</x:v>
      </x:c>
      <x:c r="AF5166" s="87" t="str">
        <x:v>VIS-EGKR-ENG-W25-TASK-951-P006: 6</x:v>
      </x:c>
      <x:c r="AG5166" s="87" t="str">
        <x:v>RESOLVED</x:v>
      </x:c>
      <x:c r="AH5166" s="87" t="str">
        <x:v>CROP_VERIFIED</x:v>
      </x:c>
      <x:c r="AI5166" s="30"/>
      <x:c r="AJ5166" s="87" t="str">
        <x:v>clean</x:v>
      </x:c>
      <x:c r="AK5166" s="87" t="str">
        <x:v>clean-v0.11</x:v>
      </x:c>
      <x:c r="AL5166" s="87" t="str">
        <x:v>statgrad_clean_continuation_v0_11(1).xlsx</x:v>
      </x:c>
      <x:c r="AM5166" s="87" t="str">
        <x:v>ENG_EGKR_951</x:v>
      </x:c>
      <x:c r="AN5166" s="87" t="n">
        <x:v>37</x:v>
      </x:c>
    </x:row>
    <x:row r="5167">
      <x:c r="A5167" s="87" t="n">
        <x:v>5166</x:v>
      </x:c>
      <x:c r="B5167" s="87" t="str">
        <x:v>EGKR-ENG-W25-951-37</x:v>
      </x:c>
      <x:c r="C5167" s="87" t="str">
        <x:v>ЕГКР</x:v>
      </x:c>
      <x:c r="D5167" s="87"/>
      <x:c r="E5167" s="87" t="str">
        <x:v>Зима 2025</x:v>
      </x:c>
      <x:c r="F5167" s="87" t="str">
        <x:v>11.12.2025</x:v>
      </x:c>
      <x:c r="G5167" s="87" t="str">
        <x:v>Английский язык</x:v>
      </x:c>
      <x:c r="H5167" s="87" t="n">
        <x:v>11</x:v>
      </x:c>
      <x:c r="I5167" s="87"/>
      <x:c r="J5167" s="87" t="str">
        <x:v>951</x:v>
      </x:c>
      <x:c r="K5167" s="87" t="n">
        <x:v>37</x:v>
      </x:c>
      <x:c r="L5167" s="87" t="str">
        <x:v>Письменная речь: личное электронное письмо</x:v>
      </x:c>
      <x:c r="M5167" s="30" t="str">
        <x:v>Ответить Алексу о чтении и влиянии литературных героев; задать три вопроса о концерте.</x:v>
      </x:c>
      <x:c r="N5167" s="30" t="str">
        <x:v>Hi Alex,
Thanks for your email. I enjoy both fiction and non-fiction, although I read fiction more often because it lets me see the world through other people's eyes. The Russian literary character I relate to most is Konstantin Levin from Anna Karenina: he values honest work, family and life close to nature. I believe book characters can influence our behaviour because their choices help readers understand consequences and sometimes offer inspiring examples.
Your concert sounds exciting! Where did it take place? Which songs did the band perform? Who did you go with?
Best wishes,
Alex</x:v>
      </x:c>
      <x:c r="O5167" s="30"/>
      <x:c r="P5167" s="30"/>
      <x:c r="Q5167" s="30" t="str">
        <x:v>Подготовлена оригинальная модель с соблюдением формата и объёма ЕГЭ.</x:v>
      </x:c>
      <x:c r="R5167" s="30"/>
      <x:c r="S5167" s="30" t="str">
        <x:v>Авторская модель по исходному заданию</x:v>
      </x:c>
      <x:c r="T5167" s="30"/>
      <x:c r="U5167" s="30" t="str">
        <x:v>Модель письма 100–140 слов.</x:v>
      </x:c>
      <x:c r="V5167" s="87" t="str">
        <x:v>MODEL_READY</x:v>
      </x:c>
      <x:c r="W5167" s="87"/>
      <x:c r="X5167" s="87" t="str">
        <x:v>8</x:v>
      </x:c>
      <x:c r="Y5167" s="87"/>
      <x:c r="Z5167" s="87"/>
      <x:c r="AA5167" s="87"/>
      <x:c r="AB5167" s="87"/>
      <x:c r="AC5167" s="87" t="str">
        <x:v>VIS-EGKR-ENG-W25-TASK-951-P008</x:v>
      </x:c>
      <x:c r="AD5167" s="87"/>
      <x:c r="AE5167" s="87" t="str">
        <x:v>TASK</x:v>
      </x:c>
      <x:c r="AF5167" s="87" t="str">
        <x:v>VIS-EGKR-ENG-W25-TASK-951-P008: 8</x:v>
      </x:c>
      <x:c r="AG5167" s="87" t="str">
        <x:v>RESOLVED</x:v>
      </x:c>
      <x:c r="AH5167" s="87" t="str">
        <x:v>CROP_VERIFIED</x:v>
      </x:c>
      <x:c r="AI5167" s="30"/>
      <x:c r="AJ5167" s="87" t="str">
        <x:v>clean</x:v>
      </x:c>
      <x:c r="AK5167" s="87" t="str">
        <x:v>clean-v0.11</x:v>
      </x:c>
      <x:c r="AL5167" s="87" t="str">
        <x:v>statgrad_clean_continuation_v0_11(1).xlsx</x:v>
      </x:c>
      <x:c r="AM5167" s="87" t="str">
        <x:v>ENG_EGKR_951</x:v>
      </x:c>
      <x:c r="AN5167" s="87" t="n">
        <x:v>38</x:v>
      </x:c>
    </x:row>
    <x:row r="5168">
      <x:c r="A5168" s="87" t="n">
        <x:v>5167</x:v>
      </x:c>
      <x:c r="B5168" s="87" t="str">
        <x:v>EGKR-ENG-W25-951-38</x:v>
      </x:c>
      <x:c r="C5168" s="87" t="str">
        <x:v>ЕГКР</x:v>
      </x:c>
      <x:c r="D5168" s="87"/>
      <x:c r="E5168" s="87" t="str">
        <x:v>Зима 2025</x:v>
      </x:c>
      <x:c r="F5168" s="87" t="str">
        <x:v>11.12.2025</x:v>
      </x:c>
      <x:c r="G5168" s="87" t="str">
        <x:v>Английский язык</x:v>
      </x:c>
      <x:c r="H5168" s="87" t="n">
        <x:v>11</x:v>
      </x:c>
      <x:c r="I5168" s="87"/>
      <x:c r="J5168" s="87" t="str">
        <x:v>951</x:v>
      </x:c>
      <x:c r="K5168" s="87" t="n">
        <x:v>38</x:v>
      </x:c>
      <x:c r="L5168" s="87" t="str">
        <x:v>Письменная речь: проектное высказывание</x:v>
      </x:c>
      <x:c r="M5168" s="30" t="str">
        <x:v>Выбрать 38.1 (жильё студентов) или 38.2 (улучшение навыков публичных выступлений); модель дана для 38.1.</x:v>
      </x:c>
      <x:c r="N5168" s="30" t="str">
        <x:v>Accommodation strongly affects university students' daily lives, so I have analysed a survey on the type of housing Zetland students find most suitable.
According to the data, a university residence hall is the leading option, chosen by 29% of respondents. Sharing a flat with friends follows very closely at 27%, while 22% prefer staying at home with their parents. Renting a room and renting a flat alone are much less popular, at 12% and 10% respectively.
The difference between the two most popular options is only two percentage points. This suggests that students value both the convenience of living on campus and the independence of sharing accommodation with friends. By contrast, renting a flat alone is almost three times less popular than living in a residence hall, probably because it is expensive.
A serious housing problem is a shortage of affordable rooms near universities. It can be addressed by building more residence halls and by creating university partnerships with reliable landlords who offer student discounts.
In my opinion, a residence hall is the most suitable option for most university students because it is usually affordable, close to classes and provides many opportunities to make friends.</x:v>
      </x:c>
      <x:c r="O5168" s="30"/>
      <x:c r="P5168" s="30"/>
      <x:c r="Q5168" s="30" t="str">
        <x:v>Подготовлена оригинальная модель с соблюдением формата и объёма ЕГЭ.</x:v>
      </x:c>
      <x:c r="R5168" s="30"/>
      <x:c r="S5168" s="30" t="str">
        <x:v>Авторская модель по исходному заданию</x:v>
      </x:c>
      <x:c r="T5168" s="30"/>
      <x:c r="U5168" s="30" t="str">
        <x:v>Для задания 38 использована тема 38.1; альтернатива 38.2 сохранена отдельно.</x:v>
      </x:c>
      <x:c r="V5168" s="87" t="str">
        <x:v>MODEL_READY</x:v>
      </x:c>
      <x:c r="W5168" s="87"/>
      <x:c r="X5168" s="87" t="str">
        <x:v>8-9</x:v>
      </x:c>
      <x:c r="Y5168" s="87"/>
      <x:c r="Z5168" s="87"/>
      <x:c r="AA5168" s="87"/>
      <x:c r="AB5168" s="87"/>
      <x:c r="AC5168" s="87" t="str">
        <x:v>VIS-EGKR-ENG-W25-TASK-951-P008</x:v>
      </x:c>
      <x:c r="AD5168" s="87"/>
      <x:c r="AE5168" s="87" t="str">
        <x:v>TASK</x:v>
      </x:c>
      <x:c r="AF5168" s="87" t="str">
        <x:v>VIS-EGKR-ENG-W25-TASK-951-P008: 8</x:v>
      </x:c>
      <x:c r="AG5168" s="87" t="str">
        <x:v>RESOLVED</x:v>
      </x:c>
      <x:c r="AH5168" s="87" t="str">
        <x:v>CROP_VERIFIED</x:v>
      </x:c>
      <x:c r="AI5168" s="30"/>
      <x:c r="AJ5168" s="87" t="str">
        <x:v>clean</x:v>
      </x:c>
      <x:c r="AK5168" s="87" t="str">
        <x:v>clean-v0.11</x:v>
      </x:c>
      <x:c r="AL5168" s="87" t="str">
        <x:v>statgrad_clean_continuation_v0_11(1).xlsx</x:v>
      </x:c>
      <x:c r="AM5168" s="87" t="str">
        <x:v>ENG_EGKR_951</x:v>
      </x:c>
      <x:c r="AN5168" s="87" t="n">
        <x:v>39</x:v>
      </x:c>
    </x:row>
    <x:row r="5169">
      <x:c r="A5169" s="87" t="n">
        <x:v>5168</x:v>
      </x:c>
      <x:c r="B5169" s="87" t="str">
        <x:v>EGKR-ENG-W25-952-01</x:v>
      </x:c>
      <x:c r="C5169" s="87" t="str">
        <x:v>ЕГКР</x:v>
      </x:c>
      <x:c r="D5169" s="87"/>
      <x:c r="E5169" s="87" t="str">
        <x:v>Зима 2025</x:v>
      </x:c>
      <x:c r="F5169" s="87" t="str">
        <x:v>11.12.2025</x:v>
      </x:c>
      <x:c r="G5169" s="87" t="str">
        <x:v>Английский язык</x:v>
      </x:c>
      <x:c r="H5169" s="87" t="n">
        <x:v>11</x:v>
      </x:c>
      <x:c r="I5169" s="87"/>
      <x:c r="J5169" s="87" t="str">
        <x:v>952</x:v>
      </x:c>
      <x:c r="K5169" s="87" t="n">
        <x:v>1</x:v>
      </x:c>
      <x:c r="L5169" s="87" t="str">
        <x:v>Аудирование: соответствие высказываний</x:v>
      </x:c>
      <x:c r="M5169" s="30" t="str">
        <x:v>Задание 1 раздела «Аудирование»; полное условие и варианты ответа сохранены на странице VIS_ID.</x:v>
      </x:c>
      <x:c r="N5169" s="30" t="str">
        <x:v>254713</x:v>
      </x:c>
      <x:c r="O5169" s="30"/>
      <x:c r="P5169" s="30"/>
      <x:c r="Q5169" s="30" t="str">
        <x:v>Восстановлено по общей записи L1, перестановке вариантов и отметке на листе 952.</x:v>
      </x:c>
      <x:c r="R5169" s="30"/>
      <x:c r="S5169" s="30" t="str">
        <x:v>L1.mp3 + cross-variant mapping</x:v>
      </x:c>
      <x:c r="T5169" s="30"/>
      <x:c r="U5169" s="30" t="str">
        <x:v>Аудиопозиция зафиксирована с оговорённым уровнем источника.</x:v>
      </x:c>
      <x:c r="V5169" s="87" t="str">
        <x:v>AUDIO_DERIVED</x:v>
      </x:c>
      <x:c r="W5169" s="87"/>
      <x:c r="X5169" s="87" t="str">
        <x:v>1</x:v>
      </x:c>
      <x:c r="Y5169" s="87"/>
      <x:c r="Z5169" s="87"/>
      <x:c r="AA5169" s="87"/>
      <x:c r="AB5169" s="87"/>
      <x:c r="AC5169" s="87" t="str">
        <x:v>VIS-EGKR-ENG-W25-TASK-952-P001</x:v>
      </x:c>
      <x:c r="AD5169" s="87"/>
      <x:c r="AE5169" s="87" t="str">
        <x:v>TASK</x:v>
      </x:c>
      <x:c r="AF5169" s="87" t="str">
        <x:v>VIS-EGKR-ENG-W25-TASK-952-P001: 1</x:v>
      </x:c>
      <x:c r="AG5169" s="87" t="str">
        <x:v>RESOLVED</x:v>
      </x:c>
      <x:c r="AH5169" s="87" t="str">
        <x:v>CROP_VERIFIED</x:v>
      </x:c>
      <x:c r="AI5169" s="30"/>
      <x:c r="AJ5169" s="87" t="str">
        <x:v>clean</x:v>
      </x:c>
      <x:c r="AK5169" s="87" t="str">
        <x:v>clean-v0.11</x:v>
      </x:c>
      <x:c r="AL5169" s="87" t="str">
        <x:v>statgrad_clean_continuation_v0_11(1).xlsx</x:v>
      </x:c>
      <x:c r="AM5169" s="87" t="str">
        <x:v>ENG_EGKR_952</x:v>
      </x:c>
      <x:c r="AN5169" s="87" t="n">
        <x:v>2</x:v>
      </x:c>
    </x:row>
    <x:row r="5170">
      <x:c r="A5170" s="87" t="n">
        <x:v>5169</x:v>
      </x:c>
      <x:c r="B5170" s="87" t="str">
        <x:v>EGKR-ENG-W25-952-02</x:v>
      </x:c>
      <x:c r="C5170" s="87" t="str">
        <x:v>ЕГКР</x:v>
      </x:c>
      <x:c r="D5170" s="87"/>
      <x:c r="E5170" s="87" t="str">
        <x:v>Зима 2025</x:v>
      </x:c>
      <x:c r="F5170" s="87" t="str">
        <x:v>11.12.2025</x:v>
      </x:c>
      <x:c r="G5170" s="87" t="str">
        <x:v>Английский язык</x:v>
      </x:c>
      <x:c r="H5170" s="87" t="n">
        <x:v>11</x:v>
      </x:c>
      <x:c r="I5170" s="87"/>
      <x:c r="J5170" s="87" t="str">
        <x:v>952</x:v>
      </x:c>
      <x:c r="K5170" s="87" t="n">
        <x:v>2</x:v>
      </x:c>
      <x:c r="L5170" s="87" t="str">
        <x:v>Аудирование: True / False / Not stated</x:v>
      </x:c>
      <x:c r="M5170" s="30" t="str">
        <x:v>Задание 2 раздела «Аудирование»; полное условие и варианты ответа сохранены на странице VIS_ID.</x:v>
      </x:c>
      <x:c r="N5170" s="30" t="str">
        <x:v>2131232</x:v>
      </x:c>
      <x:c r="O5170" s="30"/>
      <x:c r="P5170" s="30"/>
      <x:c r="Q5170" s="30" t="str">
        <x:v>Восстановлено по общей записи L1, перестановке вариантов и отметке на листе 952.</x:v>
      </x:c>
      <x:c r="R5170" s="30"/>
      <x:c r="S5170" s="30" t="str">
        <x:v>L1.mp3 + cross-variant mapping</x:v>
      </x:c>
      <x:c r="T5170" s="30"/>
      <x:c r="U5170" s="30" t="str">
        <x:v>Аудиопозиция зафиксирована с оговорённым уровнем источника.</x:v>
      </x:c>
      <x:c r="V5170" s="87" t="str">
        <x:v>AUDIO_DERIVED</x:v>
      </x:c>
      <x:c r="W5170" s="87"/>
      <x:c r="X5170" s="87" t="str">
        <x:v>1</x:v>
      </x:c>
      <x:c r="Y5170" s="87"/>
      <x:c r="Z5170" s="87"/>
      <x:c r="AA5170" s="87"/>
      <x:c r="AB5170" s="87"/>
      <x:c r="AC5170" s="87" t="str">
        <x:v>VIS-EGKR-ENG-W25-TASK-952-P001</x:v>
      </x:c>
      <x:c r="AD5170" s="87"/>
      <x:c r="AE5170" s="87" t="str">
        <x:v>TASK</x:v>
      </x:c>
      <x:c r="AF5170" s="87" t="str">
        <x:v>VIS-EGKR-ENG-W25-TASK-952-P001: 1</x:v>
      </x:c>
      <x:c r="AG5170" s="87" t="str">
        <x:v>RESOLVED</x:v>
      </x:c>
      <x:c r="AH5170" s="87" t="str">
        <x:v>CROP_VERIFIED</x:v>
      </x:c>
      <x:c r="AI5170" s="30"/>
      <x:c r="AJ5170" s="87" t="str">
        <x:v>clean</x:v>
      </x:c>
      <x:c r="AK5170" s="87" t="str">
        <x:v>clean-v0.11</x:v>
      </x:c>
      <x:c r="AL5170" s="87" t="str">
        <x:v>statgrad_clean_continuation_v0_11(1).xlsx</x:v>
      </x:c>
      <x:c r="AM5170" s="87" t="str">
        <x:v>ENG_EGKR_952</x:v>
      </x:c>
      <x:c r="AN5170" s="87" t="n">
        <x:v>3</x:v>
      </x:c>
    </x:row>
    <x:row r="5171">
      <x:c r="A5171" s="87" t="n">
        <x:v>5170</x:v>
      </x:c>
      <x:c r="B5171" s="87" t="str">
        <x:v>EGKR-ENG-W25-952-03</x:v>
      </x:c>
      <x:c r="C5171" s="87" t="str">
        <x:v>ЕГКР</x:v>
      </x:c>
      <x:c r="D5171" s="87"/>
      <x:c r="E5171" s="87" t="str">
        <x:v>Зима 2025</x:v>
      </x:c>
      <x:c r="F5171" s="87" t="str">
        <x:v>11.12.2025</x:v>
      </x:c>
      <x:c r="G5171" s="87" t="str">
        <x:v>Английский язык</x:v>
      </x:c>
      <x:c r="H5171" s="87" t="n">
        <x:v>11</x:v>
      </x:c>
      <x:c r="I5171" s="87"/>
      <x:c r="J5171" s="87" t="str">
        <x:v>952</x:v>
      </x:c>
      <x:c r="K5171" s="87" t="n">
        <x:v>3</x:v>
      </x:c>
      <x:c r="L5171" s="87" t="str">
        <x:v>Аудирование: интервью, выбор ответа</x:v>
      </x:c>
      <x:c r="M5171" s="30" t="str">
        <x:v>Задание 3 раздела «Аудирование»; полное условие и варианты ответа сохранены на странице VIS_ID.</x:v>
      </x:c>
      <x:c r="N5171" s="30" t="str">
        <x:v>1</x:v>
      </x:c>
      <x:c r="O5171" s="30"/>
      <x:c r="P5171" s="30"/>
      <x:c r="Q5171" s="30" t="str">
        <x:v>Семантическое сопоставление общей записи L1; требуется финальная проверка аудио.</x:v>
      </x:c>
      <x:c r="R5171" s="30"/>
      <x:c r="S5171" s="30" t="str">
        <x:v>L1.mp3 + cross-variant mapping</x:v>
      </x:c>
      <x:c r="T5171" s="30"/>
      <x:c r="U5171" s="30" t="str">
        <x:v>Требуется подтверждение прослушиванием.</x:v>
      </x:c>
      <x:c r="V5171" s="87" t="str">
        <x:v>AUDIO_PROVISIONAL</x:v>
      </x:c>
      <x:c r="W5171" s="87"/>
      <x:c r="X5171" s="87" t="str">
        <x:v>2</x:v>
      </x:c>
      <x:c r="Y5171" s="87"/>
      <x:c r="Z5171" s="87"/>
      <x:c r="AA5171" s="87"/>
      <x:c r="AB5171" s="87"/>
      <x:c r="AC5171" s="87" t="str">
        <x:v>VIS-EGKR-ENG-W25-TASK-952-P002</x:v>
      </x:c>
      <x:c r="AD5171" s="87"/>
      <x:c r="AE5171" s="87" t="str">
        <x:v>TASK</x:v>
      </x:c>
      <x:c r="AF5171" s="87" t="str">
        <x:v>VIS-EGKR-ENG-W25-TASK-952-P002: 2</x:v>
      </x:c>
      <x:c r="AG5171" s="87" t="str">
        <x:v>RESOLVED</x:v>
      </x:c>
      <x:c r="AH5171" s="87" t="str">
        <x:v>CROP_VERIFIED</x:v>
      </x:c>
      <x:c r="AI5171" s="30"/>
      <x:c r="AJ5171" s="87" t="str">
        <x:v>clean</x:v>
      </x:c>
      <x:c r="AK5171" s="87" t="str">
        <x:v>clean-v0.11</x:v>
      </x:c>
      <x:c r="AL5171" s="87" t="str">
        <x:v>statgrad_clean_continuation_v0_11(1).xlsx</x:v>
      </x:c>
      <x:c r="AM5171" s="87" t="str">
        <x:v>ENG_EGKR_952</x:v>
      </x:c>
      <x:c r="AN5171" s="87" t="n">
        <x:v>4</x:v>
      </x:c>
    </x:row>
    <x:row r="5172">
      <x:c r="A5172" s="87" t="n">
        <x:v>5171</x:v>
      </x:c>
      <x:c r="B5172" s="87" t="str">
        <x:v>EGKR-ENG-W25-952-04</x:v>
      </x:c>
      <x:c r="C5172" s="87" t="str">
        <x:v>ЕГКР</x:v>
      </x:c>
      <x:c r="D5172" s="87"/>
      <x:c r="E5172" s="87" t="str">
        <x:v>Зима 2025</x:v>
      </x:c>
      <x:c r="F5172" s="87" t="str">
        <x:v>11.12.2025</x:v>
      </x:c>
      <x:c r="G5172" s="87" t="str">
        <x:v>Английский язык</x:v>
      </x:c>
      <x:c r="H5172" s="87" t="n">
        <x:v>11</x:v>
      </x:c>
      <x:c r="I5172" s="87"/>
      <x:c r="J5172" s="87" t="str">
        <x:v>952</x:v>
      </x:c>
      <x:c r="K5172" s="87" t="n">
        <x:v>4</x:v>
      </x:c>
      <x:c r="L5172" s="87" t="str">
        <x:v>Аудирование: интервью, выбор ответа</x:v>
      </x:c>
      <x:c r="M5172" s="30" t="str">
        <x:v>Задание 4 раздела «Аудирование»; полное условие и варианты ответа сохранены на странице VIS_ID.</x:v>
      </x:c>
      <x:c r="N5172" s="30" t="str">
        <x:v>1</x:v>
      </x:c>
      <x:c r="O5172" s="30"/>
      <x:c r="P5172" s="30"/>
      <x:c r="Q5172" s="30" t="str">
        <x:v>Семантическое сопоставление общей записи L1; требуется финальная проверка аудио.</x:v>
      </x:c>
      <x:c r="R5172" s="30"/>
      <x:c r="S5172" s="30" t="str">
        <x:v>L1.mp3 + cross-variant mapping</x:v>
      </x:c>
      <x:c r="T5172" s="30"/>
      <x:c r="U5172" s="30" t="str">
        <x:v>Требуется подтверждение прослушиванием.</x:v>
      </x:c>
      <x:c r="V5172" s="87" t="str">
        <x:v>AUDIO_PROVISIONAL</x:v>
      </x:c>
      <x:c r="W5172" s="87"/>
      <x:c r="X5172" s="87" t="str">
        <x:v>2</x:v>
      </x:c>
      <x:c r="Y5172" s="87"/>
      <x:c r="Z5172" s="87"/>
      <x:c r="AA5172" s="87"/>
      <x:c r="AB5172" s="87"/>
      <x:c r="AC5172" s="87" t="str">
        <x:v>VIS-EGKR-ENG-W25-TASK-952-P002</x:v>
      </x:c>
      <x:c r="AD5172" s="87"/>
      <x:c r="AE5172" s="87" t="str">
        <x:v>TASK</x:v>
      </x:c>
      <x:c r="AF5172" s="87" t="str">
        <x:v>VIS-EGKR-ENG-W25-TASK-952-P002: 2</x:v>
      </x:c>
      <x:c r="AG5172" s="87" t="str">
        <x:v>RESOLVED</x:v>
      </x:c>
      <x:c r="AH5172" s="87" t="str">
        <x:v>CROP_VERIFIED</x:v>
      </x:c>
      <x:c r="AI5172" s="30"/>
      <x:c r="AJ5172" s="87" t="str">
        <x:v>clean</x:v>
      </x:c>
      <x:c r="AK5172" s="87" t="str">
        <x:v>clean-v0.11</x:v>
      </x:c>
      <x:c r="AL5172" s="87" t="str">
        <x:v>statgrad_clean_continuation_v0_11(1).xlsx</x:v>
      </x:c>
      <x:c r="AM5172" s="87" t="str">
        <x:v>ENG_EGKR_952</x:v>
      </x:c>
      <x:c r="AN5172" s="87" t="n">
        <x:v>5</x:v>
      </x:c>
    </x:row>
    <x:row r="5173">
      <x:c r="A5173" s="87" t="n">
        <x:v>5172</x:v>
      </x:c>
      <x:c r="B5173" s="87" t="str">
        <x:v>EGKR-ENG-W25-952-05</x:v>
      </x:c>
      <x:c r="C5173" s="87" t="str">
        <x:v>ЕГКР</x:v>
      </x:c>
      <x:c r="D5173" s="87"/>
      <x:c r="E5173" s="87" t="str">
        <x:v>Зима 2025</x:v>
      </x:c>
      <x:c r="F5173" s="87" t="str">
        <x:v>11.12.2025</x:v>
      </x:c>
      <x:c r="G5173" s="87" t="str">
        <x:v>Английский язык</x:v>
      </x:c>
      <x:c r="H5173" s="87" t="n">
        <x:v>11</x:v>
      </x:c>
      <x:c r="I5173" s="87"/>
      <x:c r="J5173" s="87" t="str">
        <x:v>952</x:v>
      </x:c>
      <x:c r="K5173" s="87" t="n">
        <x:v>5</x:v>
      </x:c>
      <x:c r="L5173" s="87" t="str">
        <x:v>Аудирование: интервью, выбор ответа</x:v>
      </x:c>
      <x:c r="M5173" s="30" t="str">
        <x:v>Задание 5 раздела «Аудирование»; полное условие и варианты ответа сохранены на странице VIS_ID.</x:v>
      </x:c>
      <x:c r="N5173" s="30" t="str">
        <x:v>2</x:v>
      </x:c>
      <x:c r="O5173" s="30"/>
      <x:c r="P5173" s="30"/>
      <x:c r="Q5173" s="30" t="str">
        <x:v>Семантическое сопоставление общей записи L1; требуется финальная проверка аудио.</x:v>
      </x:c>
      <x:c r="R5173" s="30"/>
      <x:c r="S5173" s="30" t="str">
        <x:v>L1.mp3 + cross-variant mapping</x:v>
      </x:c>
      <x:c r="T5173" s="30"/>
      <x:c r="U5173" s="30" t="str">
        <x:v>Требуется подтверждение прослушиванием.</x:v>
      </x:c>
      <x:c r="V5173" s="87" t="str">
        <x:v>AUDIO_PROVISIONAL</x:v>
      </x:c>
      <x:c r="W5173" s="87"/>
      <x:c r="X5173" s="87" t="str">
        <x:v>2</x:v>
      </x:c>
      <x:c r="Y5173" s="87"/>
      <x:c r="Z5173" s="87"/>
      <x:c r="AA5173" s="87"/>
      <x:c r="AB5173" s="87"/>
      <x:c r="AC5173" s="87" t="str">
        <x:v>VIS-EGKR-ENG-W25-TASK-952-P002</x:v>
      </x:c>
      <x:c r="AD5173" s="87"/>
      <x:c r="AE5173" s="87" t="str">
        <x:v>TASK</x:v>
      </x:c>
      <x:c r="AF5173" s="87" t="str">
        <x:v>VIS-EGKR-ENG-W25-TASK-952-P002: 2</x:v>
      </x:c>
      <x:c r="AG5173" s="87" t="str">
        <x:v>RESOLVED</x:v>
      </x:c>
      <x:c r="AH5173" s="87" t="str">
        <x:v>CROP_VERIFIED</x:v>
      </x:c>
      <x:c r="AI5173" s="30"/>
      <x:c r="AJ5173" s="87" t="str">
        <x:v>clean</x:v>
      </x:c>
      <x:c r="AK5173" s="87" t="str">
        <x:v>clean-v0.11</x:v>
      </x:c>
      <x:c r="AL5173" s="87" t="str">
        <x:v>statgrad_clean_continuation_v0_11(1).xlsx</x:v>
      </x:c>
      <x:c r="AM5173" s="87" t="str">
        <x:v>ENG_EGKR_952</x:v>
      </x:c>
      <x:c r="AN5173" s="87" t="n">
        <x:v>6</x:v>
      </x:c>
    </x:row>
    <x:row r="5174">
      <x:c r="A5174" s="87" t="n">
        <x:v>5173</x:v>
      </x:c>
      <x:c r="B5174" s="87" t="str">
        <x:v>EGKR-ENG-W25-952-06</x:v>
      </x:c>
      <x:c r="C5174" s="87" t="str">
        <x:v>ЕГКР</x:v>
      </x:c>
      <x:c r="D5174" s="87"/>
      <x:c r="E5174" s="87" t="str">
        <x:v>Зима 2025</x:v>
      </x:c>
      <x:c r="F5174" s="87" t="str">
        <x:v>11.12.2025</x:v>
      </x:c>
      <x:c r="G5174" s="87" t="str">
        <x:v>Английский язык</x:v>
      </x:c>
      <x:c r="H5174" s="87" t="n">
        <x:v>11</x:v>
      </x:c>
      <x:c r="I5174" s="87"/>
      <x:c r="J5174" s="87" t="str">
        <x:v>952</x:v>
      </x:c>
      <x:c r="K5174" s="87" t="n">
        <x:v>6</x:v>
      </x:c>
      <x:c r="L5174" s="87" t="str">
        <x:v>Аудирование: интервью, выбор ответа</x:v>
      </x:c>
      <x:c r="M5174" s="30" t="str">
        <x:v>Задание 6 раздела «Аудирование»; полное условие и варианты ответа сохранены на странице VIS_ID.</x:v>
      </x:c>
      <x:c r="N5174" s="30" t="str">
        <x:v>2</x:v>
      </x:c>
      <x:c r="O5174" s="30"/>
      <x:c r="P5174" s="30"/>
      <x:c r="Q5174" s="30" t="str">
        <x:v>Семантическое сопоставление общей записи L1; требуется финальная проверка аудио.</x:v>
      </x:c>
      <x:c r="R5174" s="30"/>
      <x:c r="S5174" s="30" t="str">
        <x:v>L1.mp3 + cross-variant mapping</x:v>
      </x:c>
      <x:c r="T5174" s="30"/>
      <x:c r="U5174" s="30" t="str">
        <x:v>Требуется подтверждение прослушиванием.</x:v>
      </x:c>
      <x:c r="V5174" s="87" t="str">
        <x:v>AUDIO_PROVISIONAL</x:v>
      </x:c>
      <x:c r="W5174" s="87"/>
      <x:c r="X5174" s="87" t="str">
        <x:v>2</x:v>
      </x:c>
      <x:c r="Y5174" s="87"/>
      <x:c r="Z5174" s="87"/>
      <x:c r="AA5174" s="87"/>
      <x:c r="AB5174" s="87"/>
      <x:c r="AC5174" s="87" t="str">
        <x:v>VIS-EGKR-ENG-W25-TASK-952-P002</x:v>
      </x:c>
      <x:c r="AD5174" s="87"/>
      <x:c r="AE5174" s="87" t="str">
        <x:v>TASK</x:v>
      </x:c>
      <x:c r="AF5174" s="87" t="str">
        <x:v>VIS-EGKR-ENG-W25-TASK-952-P002: 2</x:v>
      </x:c>
      <x:c r="AG5174" s="87" t="str">
        <x:v>RESOLVED</x:v>
      </x:c>
      <x:c r="AH5174" s="87" t="str">
        <x:v>CROP_VERIFIED</x:v>
      </x:c>
      <x:c r="AI5174" s="30"/>
      <x:c r="AJ5174" s="87" t="str">
        <x:v>clean</x:v>
      </x:c>
      <x:c r="AK5174" s="87" t="str">
        <x:v>clean-v0.11</x:v>
      </x:c>
      <x:c r="AL5174" s="87" t="str">
        <x:v>statgrad_clean_continuation_v0_11(1).xlsx</x:v>
      </x:c>
      <x:c r="AM5174" s="87" t="str">
        <x:v>ENG_EGKR_952</x:v>
      </x:c>
      <x:c r="AN5174" s="87" t="n">
        <x:v>7</x:v>
      </x:c>
    </x:row>
    <x:row r="5175">
      <x:c r="A5175" s="87" t="n">
        <x:v>5174</x:v>
      </x:c>
      <x:c r="B5175" s="87" t="str">
        <x:v>EGKR-ENG-W25-952-07</x:v>
      </x:c>
      <x:c r="C5175" s="87" t="str">
        <x:v>ЕГКР</x:v>
      </x:c>
      <x:c r="D5175" s="87"/>
      <x:c r="E5175" s="87" t="str">
        <x:v>Зима 2025</x:v>
      </x:c>
      <x:c r="F5175" s="87" t="str">
        <x:v>11.12.2025</x:v>
      </x:c>
      <x:c r="G5175" s="87" t="str">
        <x:v>Английский язык</x:v>
      </x:c>
      <x:c r="H5175" s="87" t="n">
        <x:v>11</x:v>
      </x:c>
      <x:c r="I5175" s="87"/>
      <x:c r="J5175" s="87" t="str">
        <x:v>952</x:v>
      </x:c>
      <x:c r="K5175" s="87" t="n">
        <x:v>7</x:v>
      </x:c>
      <x:c r="L5175" s="87" t="str">
        <x:v>Аудирование: интервью, выбор ответа</x:v>
      </x:c>
      <x:c r="M5175" s="30" t="str">
        <x:v>Задание 7 раздела «Аудирование»; полное условие и варианты ответа сохранены на странице VIS_ID.</x:v>
      </x:c>
      <x:c r="N5175" s="30" t="str">
        <x:v>1</x:v>
      </x:c>
      <x:c r="O5175" s="30"/>
      <x:c r="P5175" s="30"/>
      <x:c r="Q5175" s="30" t="str">
        <x:v>Семантическое сопоставление общей записи L1; требуется финальная проверка аудио.</x:v>
      </x:c>
      <x:c r="R5175" s="30"/>
      <x:c r="S5175" s="30" t="str">
        <x:v>L1.mp3 + cross-variant mapping</x:v>
      </x:c>
      <x:c r="T5175" s="30"/>
      <x:c r="U5175" s="30" t="str">
        <x:v>Требуется подтверждение прослушиванием.</x:v>
      </x:c>
      <x:c r="V5175" s="87" t="str">
        <x:v>AUDIO_PROVISIONAL</x:v>
      </x:c>
      <x:c r="W5175" s="87"/>
      <x:c r="X5175" s="87" t="str">
        <x:v>2</x:v>
      </x:c>
      <x:c r="Y5175" s="87"/>
      <x:c r="Z5175" s="87"/>
      <x:c r="AA5175" s="87"/>
      <x:c r="AB5175" s="87"/>
      <x:c r="AC5175" s="87" t="str">
        <x:v>VIS-EGKR-ENG-W25-TASK-952-P002</x:v>
      </x:c>
      <x:c r="AD5175" s="87"/>
      <x:c r="AE5175" s="87" t="str">
        <x:v>TASK</x:v>
      </x:c>
      <x:c r="AF5175" s="87" t="str">
        <x:v>VIS-EGKR-ENG-W25-TASK-952-P002: 2</x:v>
      </x:c>
      <x:c r="AG5175" s="87" t="str">
        <x:v>RESOLVED</x:v>
      </x:c>
      <x:c r="AH5175" s="87" t="str">
        <x:v>CROP_VERIFIED</x:v>
      </x:c>
      <x:c r="AI5175" s="30"/>
      <x:c r="AJ5175" s="87" t="str">
        <x:v>clean</x:v>
      </x:c>
      <x:c r="AK5175" s="87" t="str">
        <x:v>clean-v0.11</x:v>
      </x:c>
      <x:c r="AL5175" s="87" t="str">
        <x:v>statgrad_clean_continuation_v0_11(1).xlsx</x:v>
      </x:c>
      <x:c r="AM5175" s="87" t="str">
        <x:v>ENG_EGKR_952</x:v>
      </x:c>
      <x:c r="AN5175" s="87" t="n">
        <x:v>8</x:v>
      </x:c>
    </x:row>
    <x:row r="5176">
      <x:c r="A5176" s="87" t="n">
        <x:v>5175</x:v>
      </x:c>
      <x:c r="B5176" s="87" t="str">
        <x:v>EGKR-ENG-W25-952-08</x:v>
      </x:c>
      <x:c r="C5176" s="87" t="str">
        <x:v>ЕГКР</x:v>
      </x:c>
      <x:c r="D5176" s="87"/>
      <x:c r="E5176" s="87" t="str">
        <x:v>Зима 2025</x:v>
      </x:c>
      <x:c r="F5176" s="87" t="str">
        <x:v>11.12.2025</x:v>
      </x:c>
      <x:c r="G5176" s="87" t="str">
        <x:v>Английский язык</x:v>
      </x:c>
      <x:c r="H5176" s="87" t="n">
        <x:v>11</x:v>
      </x:c>
      <x:c r="I5176" s="87"/>
      <x:c r="J5176" s="87" t="str">
        <x:v>952</x:v>
      </x:c>
      <x:c r="K5176" s="87" t="n">
        <x:v>8</x:v>
      </x:c>
      <x:c r="L5176" s="87" t="str">
        <x:v>Аудирование: интервью, выбор ответа</x:v>
      </x:c>
      <x:c r="M5176" s="30" t="str">
        <x:v>Задание 8 раздела «Аудирование»; полное условие и варианты ответа сохранены на странице VIS_ID.</x:v>
      </x:c>
      <x:c r="N5176" s="30" t="str">
        <x:v>2</x:v>
      </x:c>
      <x:c r="O5176" s="30"/>
      <x:c r="P5176" s="30"/>
      <x:c r="Q5176" s="30" t="str">
        <x:v>Семантическое сопоставление общей записи L1; требуется финальная проверка аудио.</x:v>
      </x:c>
      <x:c r="R5176" s="30"/>
      <x:c r="S5176" s="30" t="str">
        <x:v>L1.mp3 + cross-variant mapping</x:v>
      </x:c>
      <x:c r="T5176" s="30"/>
      <x:c r="U5176" s="30" t="str">
        <x:v>Требуется подтверждение прослушиванием.</x:v>
      </x:c>
      <x:c r="V5176" s="87" t="str">
        <x:v>AUDIO_PROVISIONAL</x:v>
      </x:c>
      <x:c r="W5176" s="87"/>
      <x:c r="X5176" s="87" t="str">
        <x:v>2</x:v>
      </x:c>
      <x:c r="Y5176" s="87"/>
      <x:c r="Z5176" s="87"/>
      <x:c r="AA5176" s="87"/>
      <x:c r="AB5176" s="87"/>
      <x:c r="AC5176" s="87" t="str">
        <x:v>VIS-EGKR-ENG-W25-TASK-952-P002</x:v>
      </x:c>
      <x:c r="AD5176" s="87"/>
      <x:c r="AE5176" s="87" t="str">
        <x:v>TASK</x:v>
      </x:c>
      <x:c r="AF5176" s="87" t="str">
        <x:v>VIS-EGKR-ENG-W25-TASK-952-P002: 2</x:v>
      </x:c>
      <x:c r="AG5176" s="87" t="str">
        <x:v>RESOLVED</x:v>
      </x:c>
      <x:c r="AH5176" s="87" t="str">
        <x:v>CROP_VERIFIED</x:v>
      </x:c>
      <x:c r="AI5176" s="30"/>
      <x:c r="AJ5176" s="87" t="str">
        <x:v>clean</x:v>
      </x:c>
      <x:c r="AK5176" s="87" t="str">
        <x:v>clean-v0.11</x:v>
      </x:c>
      <x:c r="AL5176" s="87" t="str">
        <x:v>statgrad_clean_continuation_v0_11(1).xlsx</x:v>
      </x:c>
      <x:c r="AM5176" s="87" t="str">
        <x:v>ENG_EGKR_952</x:v>
      </x:c>
      <x:c r="AN5176" s="87" t="n">
        <x:v>9</x:v>
      </x:c>
    </x:row>
    <x:row r="5177">
      <x:c r="A5177" s="87" t="n">
        <x:v>5176</x:v>
      </x:c>
      <x:c r="B5177" s="87" t="str">
        <x:v>EGKR-ENG-W25-952-09</x:v>
      </x:c>
      <x:c r="C5177" s="87" t="str">
        <x:v>ЕГКР</x:v>
      </x:c>
      <x:c r="D5177" s="87"/>
      <x:c r="E5177" s="87" t="str">
        <x:v>Зима 2025</x:v>
      </x:c>
      <x:c r="F5177" s="87" t="str">
        <x:v>11.12.2025</x:v>
      </x:c>
      <x:c r="G5177" s="87" t="str">
        <x:v>Английский язык</x:v>
      </x:c>
      <x:c r="H5177" s="87" t="n">
        <x:v>11</x:v>
      </x:c>
      <x:c r="I5177" s="87"/>
      <x:c r="J5177" s="87" t="str">
        <x:v>952</x:v>
      </x:c>
      <x:c r="K5177" s="87" t="n">
        <x:v>9</x:v>
      </x:c>
      <x:c r="L5177" s="87" t="str">
        <x:v>Аудирование: интервью, выбор ответа</x:v>
      </x:c>
      <x:c r="M5177" s="30" t="str">
        <x:v>Задание 9 раздела «Аудирование»; полное условие и варианты ответа сохранены на странице VIS_ID.</x:v>
      </x:c>
      <x:c r="N5177" s="30" t="str">
        <x:v>1</x:v>
      </x:c>
      <x:c r="O5177" s="30"/>
      <x:c r="P5177" s="30"/>
      <x:c r="Q5177" s="30" t="str">
        <x:v>Семантическое сопоставление общей записи L1; требуется финальная проверка аудио.</x:v>
      </x:c>
      <x:c r="R5177" s="30"/>
      <x:c r="S5177" s="30" t="str">
        <x:v>L1.mp3 + cross-variant mapping</x:v>
      </x:c>
      <x:c r="T5177" s="30"/>
      <x:c r="U5177" s="30" t="str">
        <x:v>Требуется подтверждение прослушиванием.</x:v>
      </x:c>
      <x:c r="V5177" s="87" t="str">
        <x:v>AUDIO_PROVISIONAL</x:v>
      </x:c>
      <x:c r="W5177" s="87"/>
      <x:c r="X5177" s="87" t="str">
        <x:v>2</x:v>
      </x:c>
      <x:c r="Y5177" s="87"/>
      <x:c r="Z5177" s="87"/>
      <x:c r="AA5177" s="87"/>
      <x:c r="AB5177" s="87"/>
      <x:c r="AC5177" s="87" t="str">
        <x:v>VIS-EGKR-ENG-W25-TASK-952-P002</x:v>
      </x:c>
      <x:c r="AD5177" s="87"/>
      <x:c r="AE5177" s="87" t="str">
        <x:v>TASK</x:v>
      </x:c>
      <x:c r="AF5177" s="87" t="str">
        <x:v>VIS-EGKR-ENG-W25-TASK-952-P002: 2</x:v>
      </x:c>
      <x:c r="AG5177" s="87" t="str">
        <x:v>RESOLVED</x:v>
      </x:c>
      <x:c r="AH5177" s="87" t="str">
        <x:v>CROP_VERIFIED</x:v>
      </x:c>
      <x:c r="AI5177" s="30"/>
      <x:c r="AJ5177" s="87" t="str">
        <x:v>clean</x:v>
      </x:c>
      <x:c r="AK5177" s="87" t="str">
        <x:v>clean-v0.11</x:v>
      </x:c>
      <x:c r="AL5177" s="87" t="str">
        <x:v>statgrad_clean_continuation_v0_11(1).xlsx</x:v>
      </x:c>
      <x:c r="AM5177" s="87" t="str">
        <x:v>ENG_EGKR_952</x:v>
      </x:c>
      <x:c r="AN5177" s="87" t="n">
        <x:v>10</x:v>
      </x:c>
    </x:row>
    <x:row r="5178">
      <x:c r="A5178" s="87" t="n">
        <x:v>5177</x:v>
      </x:c>
      <x:c r="B5178" s="87" t="str">
        <x:v>EGKR-ENG-W25-952-10</x:v>
      </x:c>
      <x:c r="C5178" s="87" t="str">
        <x:v>ЕГКР</x:v>
      </x:c>
      <x:c r="D5178" s="87"/>
      <x:c r="E5178" s="87" t="str">
        <x:v>Зима 2025</x:v>
      </x:c>
      <x:c r="F5178" s="87" t="str">
        <x:v>11.12.2025</x:v>
      </x:c>
      <x:c r="G5178" s="87" t="str">
        <x:v>Английский язык</x:v>
      </x:c>
      <x:c r="H5178" s="87" t="n">
        <x:v>11</x:v>
      </x:c>
      <x:c r="I5178" s="87"/>
      <x:c r="J5178" s="87" t="str">
        <x:v>952</x:v>
      </x:c>
      <x:c r="K5178" s="87" t="n">
        <x:v>10</x:v>
      </x:c>
      <x:c r="L5178" s="87" t="str">
        <x:v>Чтение: соответствие заголовков</x:v>
      </x:c>
      <x:c r="M5178" s="30" t="str">
        <x:v>Задание 10 письменной части варианта 952; полное условие сохранено на странице VIS_ID.</x:v>
      </x:c>
      <x:c r="N5178" s="30" t="str">
        <x:v>5741826</x:v>
      </x:c>
      <x:c r="O5178" s="30"/>
      <x:c r="P5178" s="30"/>
      <x:c r="Q5178" s="30" t="str">
        <x:v>Независимо решено по условию; проверена грамматика, лексика или логика текста.</x:v>
      </x:c>
      <x:c r="R5178" s="30"/>
      <x:c r="S5178" s="30" t="str">
        <x:v>Независимая проверка по PDF задания</x:v>
      </x:c>
      <x:c r="T5178" s="30"/>
      <x:c r="U5178" s="30" t="str">
        <x:v>Канонический рабочий ответ.</x:v>
      </x:c>
      <x:c r="V5178" s="87" t="str">
        <x:v>VERIFIED</x:v>
      </x:c>
      <x:c r="W5178" s="87"/>
      <x:c r="X5178" s="87" t="str">
        <x:v>3</x:v>
      </x:c>
      <x:c r="Y5178" s="87"/>
      <x:c r="Z5178" s="87"/>
      <x:c r="AA5178" s="87"/>
      <x:c r="AB5178" s="87"/>
      <x:c r="AC5178" s="87" t="str">
        <x:v>VIS-EGKR-ENG-W25-TASK-952-P003</x:v>
      </x:c>
      <x:c r="AD5178" s="87"/>
      <x:c r="AE5178" s="87" t="str">
        <x:v>TASK</x:v>
      </x:c>
      <x:c r="AF5178" s="87" t="str">
        <x:v>VIS-EGKR-ENG-W25-TASK-952-P003: 3</x:v>
      </x:c>
      <x:c r="AG5178" s="87" t="str">
        <x:v>RESOLVED</x:v>
      </x:c>
      <x:c r="AH5178" s="87" t="str">
        <x:v>CROP_VERIFIED</x:v>
      </x:c>
      <x:c r="AI5178" s="30"/>
      <x:c r="AJ5178" s="87" t="str">
        <x:v>clean</x:v>
      </x:c>
      <x:c r="AK5178" s="87" t="str">
        <x:v>clean-v0.11</x:v>
      </x:c>
      <x:c r="AL5178" s="87" t="str">
        <x:v>statgrad_clean_continuation_v0_11(1).xlsx</x:v>
      </x:c>
      <x:c r="AM5178" s="87" t="str">
        <x:v>ENG_EGKR_952</x:v>
      </x:c>
      <x:c r="AN5178" s="87" t="n">
        <x:v>11</x:v>
      </x:c>
    </x:row>
    <x:row r="5179">
      <x:c r="A5179" s="87" t="n">
        <x:v>5178</x:v>
      </x:c>
      <x:c r="B5179" s="87" t="str">
        <x:v>EGKR-ENG-W25-952-11</x:v>
      </x:c>
      <x:c r="C5179" s="87" t="str">
        <x:v>ЕГКР</x:v>
      </x:c>
      <x:c r="D5179" s="87"/>
      <x:c r="E5179" s="87" t="str">
        <x:v>Зима 2025</x:v>
      </x:c>
      <x:c r="F5179" s="87" t="str">
        <x:v>11.12.2025</x:v>
      </x:c>
      <x:c r="G5179" s="87" t="str">
        <x:v>Английский язык</x:v>
      </x:c>
      <x:c r="H5179" s="87" t="n">
        <x:v>11</x:v>
      </x:c>
      <x:c r="I5179" s="87"/>
      <x:c r="J5179" s="87" t="str">
        <x:v>952</x:v>
      </x:c>
      <x:c r="K5179" s="87" t="n">
        <x:v>11</x:v>
      </x:c>
      <x:c r="L5179" s="87" t="str">
        <x:v>Чтение: восстановление пропусков</x:v>
      </x:c>
      <x:c r="M5179" s="30" t="str">
        <x:v>Задание 11 письменной части варианта 952; полное условие сохранено на странице VIS_ID.</x:v>
      </x:c>
      <x:c r="N5179" s="30" t="str">
        <x:v>257314</x:v>
      </x:c>
      <x:c r="O5179" s="30"/>
      <x:c r="P5179" s="30"/>
      <x:c r="Q5179" s="30" t="str">
        <x:v>Независимо решено по условию; проверена грамматика, лексика или логика текста.</x:v>
      </x:c>
      <x:c r="R5179" s="30"/>
      <x:c r="S5179" s="30" t="str">
        <x:v>Независимая проверка по PDF задания</x:v>
      </x:c>
      <x:c r="T5179" s="30"/>
      <x:c r="U5179" s="30" t="str">
        <x:v>Канонический рабочий ответ.</x:v>
      </x:c>
      <x:c r="V5179" s="87" t="str">
        <x:v>VERIFIED</x:v>
      </x:c>
      <x:c r="W5179" s="87"/>
      <x:c r="X5179" s="87" t="str">
        <x:v>4</x:v>
      </x:c>
      <x:c r="Y5179" s="87"/>
      <x:c r="Z5179" s="87"/>
      <x:c r="AA5179" s="87"/>
      <x:c r="AB5179" s="87"/>
      <x:c r="AC5179" s="87" t="str">
        <x:v>VIS-EGKR-ENG-W25-TASK-952-P004</x:v>
      </x:c>
      <x:c r="AD5179" s="87"/>
      <x:c r="AE5179" s="87" t="str">
        <x:v>TASK</x:v>
      </x:c>
      <x:c r="AF5179" s="87" t="str">
        <x:v>VIS-EGKR-ENG-W25-TASK-952-P004: 4</x:v>
      </x:c>
      <x:c r="AG5179" s="87" t="str">
        <x:v>RESOLVED</x:v>
      </x:c>
      <x:c r="AH5179" s="87" t="str">
        <x:v>CROP_VERIFIED</x:v>
      </x:c>
      <x:c r="AI5179" s="30"/>
      <x:c r="AJ5179" s="87" t="str">
        <x:v>clean</x:v>
      </x:c>
      <x:c r="AK5179" s="87" t="str">
        <x:v>clean-v0.11</x:v>
      </x:c>
      <x:c r="AL5179" s="87" t="str">
        <x:v>statgrad_clean_continuation_v0_11(1).xlsx</x:v>
      </x:c>
      <x:c r="AM5179" s="87" t="str">
        <x:v>ENG_EGKR_952</x:v>
      </x:c>
      <x:c r="AN5179" s="87" t="n">
        <x:v>12</x:v>
      </x:c>
    </x:row>
    <x:row r="5180">
      <x:c r="A5180" s="87" t="n">
        <x:v>5179</x:v>
      </x:c>
      <x:c r="B5180" s="87" t="str">
        <x:v>EGKR-ENG-W25-952-12</x:v>
      </x:c>
      <x:c r="C5180" s="87" t="str">
        <x:v>ЕГКР</x:v>
      </x:c>
      <x:c r="D5180" s="87"/>
      <x:c r="E5180" s="87" t="str">
        <x:v>Зима 2025</x:v>
      </x:c>
      <x:c r="F5180" s="87" t="str">
        <x:v>11.12.2025</x:v>
      </x:c>
      <x:c r="G5180" s="87" t="str">
        <x:v>Английский язык</x:v>
      </x:c>
      <x:c r="H5180" s="87" t="n">
        <x:v>11</x:v>
      </x:c>
      <x:c r="I5180" s="87"/>
      <x:c r="J5180" s="87" t="str">
        <x:v>952</x:v>
      </x:c>
      <x:c r="K5180" s="87" t="n">
        <x:v>12</x:v>
      </x:c>
      <x:c r="L5180" s="87" t="str">
        <x:v>Чтение: множественный выбор</x:v>
      </x:c>
      <x:c r="M5180" s="30" t="str">
        <x:v>Задание 12 письменной части варианта 952; полное условие сохранено на странице VIS_ID.</x:v>
      </x:c>
      <x:c r="N5180" s="30" t="str">
        <x:v>3</x:v>
      </x:c>
      <x:c r="O5180" s="30"/>
      <x:c r="P5180" s="30"/>
      <x:c r="Q5180" s="30" t="str">
        <x:v>Независимо решено по условию; проверена грамматика, лексика или логика текста.</x:v>
      </x:c>
      <x:c r="R5180" s="30"/>
      <x:c r="S5180" s="30" t="str">
        <x:v>Независимая проверка по PDF задания</x:v>
      </x:c>
      <x:c r="T5180" s="30"/>
      <x:c r="U5180" s="30" t="str">
        <x:v>Канонический рабочий ответ.</x:v>
      </x:c>
      <x:c r="V5180" s="87" t="str">
        <x:v>VERIFIED</x:v>
      </x:c>
      <x:c r="W5180" s="87"/>
      <x:c r="X5180" s="87" t="str">
        <x:v>5</x:v>
      </x:c>
      <x:c r="Y5180" s="87"/>
      <x:c r="Z5180" s="87"/>
      <x:c r="AA5180" s="87"/>
      <x:c r="AB5180" s="87"/>
      <x:c r="AC5180" s="87" t="str">
        <x:v>VIS-EGKR-ENG-W25-TASK-952-P005</x:v>
      </x:c>
      <x:c r="AD5180" s="87"/>
      <x:c r="AE5180" s="87" t="str">
        <x:v>TASK</x:v>
      </x:c>
      <x:c r="AF5180" s="87" t="str">
        <x:v>VIS-EGKR-ENG-W25-TASK-952-P005: 5</x:v>
      </x:c>
      <x:c r="AG5180" s="87" t="str">
        <x:v>RESOLVED</x:v>
      </x:c>
      <x:c r="AH5180" s="87" t="str">
        <x:v>CROP_VERIFIED</x:v>
      </x:c>
      <x:c r="AI5180" s="30"/>
      <x:c r="AJ5180" s="87" t="str">
        <x:v>clean</x:v>
      </x:c>
      <x:c r="AK5180" s="87" t="str">
        <x:v>clean-v0.11</x:v>
      </x:c>
      <x:c r="AL5180" s="87" t="str">
        <x:v>statgrad_clean_continuation_v0_11(1).xlsx</x:v>
      </x:c>
      <x:c r="AM5180" s="87" t="str">
        <x:v>ENG_EGKR_952</x:v>
      </x:c>
      <x:c r="AN5180" s="87" t="n">
        <x:v>13</x:v>
      </x:c>
    </x:row>
    <x:row r="5181">
      <x:c r="A5181" s="87" t="n">
        <x:v>5180</x:v>
      </x:c>
      <x:c r="B5181" s="87" t="str">
        <x:v>EGKR-ENG-W25-952-13</x:v>
      </x:c>
      <x:c r="C5181" s="87" t="str">
        <x:v>ЕГКР</x:v>
      </x:c>
      <x:c r="D5181" s="87"/>
      <x:c r="E5181" s="87" t="str">
        <x:v>Зима 2025</x:v>
      </x:c>
      <x:c r="F5181" s="87" t="str">
        <x:v>11.12.2025</x:v>
      </x:c>
      <x:c r="G5181" s="87" t="str">
        <x:v>Английский язык</x:v>
      </x:c>
      <x:c r="H5181" s="87" t="n">
        <x:v>11</x:v>
      </x:c>
      <x:c r="I5181" s="87"/>
      <x:c r="J5181" s="87" t="str">
        <x:v>952</x:v>
      </x:c>
      <x:c r="K5181" s="87" t="n">
        <x:v>13</x:v>
      </x:c>
      <x:c r="L5181" s="87" t="str">
        <x:v>Чтение: множественный выбор</x:v>
      </x:c>
      <x:c r="M5181" s="30" t="str">
        <x:v>Задание 13 письменной части варианта 952; полное условие сохранено на странице VIS_ID.</x:v>
      </x:c>
      <x:c r="N5181" s="30" t="str">
        <x:v>1</x:v>
      </x:c>
      <x:c r="O5181" s="30"/>
      <x:c r="P5181" s="30"/>
      <x:c r="Q5181" s="30" t="str">
        <x:v>Независимо решено по условию; проверена грамматика, лексика или логика текста.</x:v>
      </x:c>
      <x:c r="R5181" s="30"/>
      <x:c r="S5181" s="30" t="str">
        <x:v>Независимая проверка по PDF задания</x:v>
      </x:c>
      <x:c r="T5181" s="30"/>
      <x:c r="U5181" s="30" t="str">
        <x:v>Канонический рабочий ответ.</x:v>
      </x:c>
      <x:c r="V5181" s="87" t="str">
        <x:v>VERIFIED</x:v>
      </x:c>
      <x:c r="W5181" s="87"/>
      <x:c r="X5181" s="87" t="str">
        <x:v>5</x:v>
      </x:c>
      <x:c r="Y5181" s="87"/>
      <x:c r="Z5181" s="87"/>
      <x:c r="AA5181" s="87"/>
      <x:c r="AB5181" s="87"/>
      <x:c r="AC5181" s="87" t="str">
        <x:v>VIS-EGKR-ENG-W25-TASK-952-P005</x:v>
      </x:c>
      <x:c r="AD5181" s="87"/>
      <x:c r="AE5181" s="87" t="str">
        <x:v>TASK</x:v>
      </x:c>
      <x:c r="AF5181" s="87" t="str">
        <x:v>VIS-EGKR-ENG-W25-TASK-952-P005: 5</x:v>
      </x:c>
      <x:c r="AG5181" s="87" t="str">
        <x:v>RESOLVED</x:v>
      </x:c>
      <x:c r="AH5181" s="87" t="str">
        <x:v>CROP_VERIFIED</x:v>
      </x:c>
      <x:c r="AI5181" s="30"/>
      <x:c r="AJ5181" s="87" t="str">
        <x:v>clean</x:v>
      </x:c>
      <x:c r="AK5181" s="87" t="str">
        <x:v>clean-v0.11</x:v>
      </x:c>
      <x:c r="AL5181" s="87" t="str">
        <x:v>statgrad_clean_continuation_v0_11(1).xlsx</x:v>
      </x:c>
      <x:c r="AM5181" s="87" t="str">
        <x:v>ENG_EGKR_952</x:v>
      </x:c>
      <x:c r="AN5181" s="87" t="n">
        <x:v>14</x:v>
      </x:c>
    </x:row>
    <x:row r="5182">
      <x:c r="A5182" s="87" t="n">
        <x:v>5181</x:v>
      </x:c>
      <x:c r="B5182" s="87" t="str">
        <x:v>EGKR-ENG-W25-952-14</x:v>
      </x:c>
      <x:c r="C5182" s="87" t="str">
        <x:v>ЕГКР</x:v>
      </x:c>
      <x:c r="D5182" s="87"/>
      <x:c r="E5182" s="87" t="str">
        <x:v>Зима 2025</x:v>
      </x:c>
      <x:c r="F5182" s="87" t="str">
        <x:v>11.12.2025</x:v>
      </x:c>
      <x:c r="G5182" s="87" t="str">
        <x:v>Английский язык</x:v>
      </x:c>
      <x:c r="H5182" s="87" t="n">
        <x:v>11</x:v>
      </x:c>
      <x:c r="I5182" s="87"/>
      <x:c r="J5182" s="87" t="str">
        <x:v>952</x:v>
      </x:c>
      <x:c r="K5182" s="87" t="n">
        <x:v>14</x:v>
      </x:c>
      <x:c r="L5182" s="87" t="str">
        <x:v>Чтение: множественный выбор</x:v>
      </x:c>
      <x:c r="M5182" s="30" t="str">
        <x:v>Задание 14 письменной части варианта 952; полное условие сохранено на странице VIS_ID.</x:v>
      </x:c>
      <x:c r="N5182" s="30" t="str">
        <x:v>2</x:v>
      </x:c>
      <x:c r="O5182" s="30"/>
      <x:c r="P5182" s="30"/>
      <x:c r="Q5182" s="30" t="str">
        <x:v>Независимо решено по условию; проверена грамматика, лексика или логика текста.</x:v>
      </x:c>
      <x:c r="R5182" s="30"/>
      <x:c r="S5182" s="30" t="str">
        <x:v>Независимая проверка по PDF задания</x:v>
      </x:c>
      <x:c r="T5182" s="30"/>
      <x:c r="U5182" s="30" t="str">
        <x:v>Канонический рабочий ответ.</x:v>
      </x:c>
      <x:c r="V5182" s="87" t="str">
        <x:v>VERIFIED</x:v>
      </x:c>
      <x:c r="W5182" s="87"/>
      <x:c r="X5182" s="87" t="str">
        <x:v>5</x:v>
      </x:c>
      <x:c r="Y5182" s="87"/>
      <x:c r="Z5182" s="87"/>
      <x:c r="AA5182" s="87"/>
      <x:c r="AB5182" s="87"/>
      <x:c r="AC5182" s="87" t="str">
        <x:v>VIS-EGKR-ENG-W25-TASK-952-P005</x:v>
      </x:c>
      <x:c r="AD5182" s="87"/>
      <x:c r="AE5182" s="87" t="str">
        <x:v>TASK</x:v>
      </x:c>
      <x:c r="AF5182" s="87" t="str">
        <x:v>VIS-EGKR-ENG-W25-TASK-952-P005: 5</x:v>
      </x:c>
      <x:c r="AG5182" s="87" t="str">
        <x:v>RESOLVED</x:v>
      </x:c>
      <x:c r="AH5182" s="87" t="str">
        <x:v>CROP_VERIFIED</x:v>
      </x:c>
      <x:c r="AI5182" s="30"/>
      <x:c r="AJ5182" s="87" t="str">
        <x:v>clean</x:v>
      </x:c>
      <x:c r="AK5182" s="87" t="str">
        <x:v>clean-v0.11</x:v>
      </x:c>
      <x:c r="AL5182" s="87" t="str">
        <x:v>statgrad_clean_continuation_v0_11(1).xlsx</x:v>
      </x:c>
      <x:c r="AM5182" s="87" t="str">
        <x:v>ENG_EGKR_952</x:v>
      </x:c>
      <x:c r="AN5182" s="87" t="n">
        <x:v>15</x:v>
      </x:c>
    </x:row>
    <x:row r="5183">
      <x:c r="A5183" s="87" t="n">
        <x:v>5182</x:v>
      </x:c>
      <x:c r="B5183" s="87" t="str">
        <x:v>EGKR-ENG-W25-952-15</x:v>
      </x:c>
      <x:c r="C5183" s="87" t="str">
        <x:v>ЕГКР</x:v>
      </x:c>
      <x:c r="D5183" s="87"/>
      <x:c r="E5183" s="87" t="str">
        <x:v>Зима 2025</x:v>
      </x:c>
      <x:c r="F5183" s="87" t="str">
        <x:v>11.12.2025</x:v>
      </x:c>
      <x:c r="G5183" s="87" t="str">
        <x:v>Английский язык</x:v>
      </x:c>
      <x:c r="H5183" s="87" t="n">
        <x:v>11</x:v>
      </x:c>
      <x:c r="I5183" s="87"/>
      <x:c r="J5183" s="87" t="str">
        <x:v>952</x:v>
      </x:c>
      <x:c r="K5183" s="87" t="n">
        <x:v>15</x:v>
      </x:c>
      <x:c r="L5183" s="87" t="str">
        <x:v>Чтение: множественный выбор</x:v>
      </x:c>
      <x:c r="M5183" s="30" t="str">
        <x:v>Задание 15 письменной части варианта 952; полное условие сохранено на странице VIS_ID.</x:v>
      </x:c>
      <x:c r="N5183" s="30" t="str">
        <x:v>3</x:v>
      </x:c>
      <x:c r="O5183" s="30"/>
      <x:c r="P5183" s="30"/>
      <x:c r="Q5183" s="30" t="str">
        <x:v>Независимо решено по условию; проверена грамматика, лексика или логика текста.</x:v>
      </x:c>
      <x:c r="R5183" s="30"/>
      <x:c r="S5183" s="30" t="str">
        <x:v>Независимая проверка по PDF задания</x:v>
      </x:c>
      <x:c r="T5183" s="30"/>
      <x:c r="U5183" s="30" t="str">
        <x:v>Канонический рабочий ответ.</x:v>
      </x:c>
      <x:c r="V5183" s="87" t="str">
        <x:v>VERIFIED</x:v>
      </x:c>
      <x:c r="W5183" s="87"/>
      <x:c r="X5183" s="87" t="str">
        <x:v>5</x:v>
      </x:c>
      <x:c r="Y5183" s="87"/>
      <x:c r="Z5183" s="87"/>
      <x:c r="AA5183" s="87"/>
      <x:c r="AB5183" s="87"/>
      <x:c r="AC5183" s="87" t="str">
        <x:v>VIS-EGKR-ENG-W25-TASK-952-P005</x:v>
      </x:c>
      <x:c r="AD5183" s="87"/>
      <x:c r="AE5183" s="87" t="str">
        <x:v>TASK</x:v>
      </x:c>
      <x:c r="AF5183" s="87" t="str">
        <x:v>VIS-EGKR-ENG-W25-TASK-952-P005: 5</x:v>
      </x:c>
      <x:c r="AG5183" s="87" t="str">
        <x:v>RESOLVED</x:v>
      </x:c>
      <x:c r="AH5183" s="87" t="str">
        <x:v>CROP_VERIFIED</x:v>
      </x:c>
      <x:c r="AI5183" s="30"/>
      <x:c r="AJ5183" s="87" t="str">
        <x:v>clean</x:v>
      </x:c>
      <x:c r="AK5183" s="87" t="str">
        <x:v>clean-v0.11</x:v>
      </x:c>
      <x:c r="AL5183" s="87" t="str">
        <x:v>statgrad_clean_continuation_v0_11(1).xlsx</x:v>
      </x:c>
      <x:c r="AM5183" s="87" t="str">
        <x:v>ENG_EGKR_952</x:v>
      </x:c>
      <x:c r="AN5183" s="87" t="n">
        <x:v>16</x:v>
      </x:c>
    </x:row>
    <x:row r="5184">
      <x:c r="A5184" s="87" t="n">
        <x:v>5183</x:v>
      </x:c>
      <x:c r="B5184" s="87" t="str">
        <x:v>EGKR-ENG-W25-952-16</x:v>
      </x:c>
      <x:c r="C5184" s="87" t="str">
        <x:v>ЕГКР</x:v>
      </x:c>
      <x:c r="D5184" s="87"/>
      <x:c r="E5184" s="87" t="str">
        <x:v>Зима 2025</x:v>
      </x:c>
      <x:c r="F5184" s="87" t="str">
        <x:v>11.12.2025</x:v>
      </x:c>
      <x:c r="G5184" s="87" t="str">
        <x:v>Английский язык</x:v>
      </x:c>
      <x:c r="H5184" s="87" t="n">
        <x:v>11</x:v>
      </x:c>
      <x:c r="I5184" s="87"/>
      <x:c r="J5184" s="87" t="str">
        <x:v>952</x:v>
      </x:c>
      <x:c r="K5184" s="87" t="n">
        <x:v>16</x:v>
      </x:c>
      <x:c r="L5184" s="87" t="str">
        <x:v>Чтение: множественный выбор</x:v>
      </x:c>
      <x:c r="M5184" s="30" t="str">
        <x:v>Задание 16 письменной части варианта 952; полное условие сохранено на странице VIS_ID.</x:v>
      </x:c>
      <x:c r="N5184" s="30" t="str">
        <x:v>4</x:v>
      </x:c>
      <x:c r="O5184" s="30"/>
      <x:c r="P5184" s="30"/>
      <x:c r="Q5184" s="30" t="str">
        <x:v>Независимо решено по условию; проверена грамматика, лексика или логика текста.</x:v>
      </x:c>
      <x:c r="R5184" s="30"/>
      <x:c r="S5184" s="30" t="str">
        <x:v>Независимая проверка по PDF задания</x:v>
      </x:c>
      <x:c r="T5184" s="30"/>
      <x:c r="U5184" s="30" t="str">
        <x:v>Канонический рабочий ответ.</x:v>
      </x:c>
      <x:c r="V5184" s="87" t="str">
        <x:v>VERIFIED</x:v>
      </x:c>
      <x:c r="W5184" s="87"/>
      <x:c r="X5184" s="87" t="str">
        <x:v>5</x:v>
      </x:c>
      <x:c r="Y5184" s="87"/>
      <x:c r="Z5184" s="87"/>
      <x:c r="AA5184" s="87"/>
      <x:c r="AB5184" s="87"/>
      <x:c r="AC5184" s="87" t="str">
        <x:v>VIS-EGKR-ENG-W25-TASK-952-P005</x:v>
      </x:c>
      <x:c r="AD5184" s="87"/>
      <x:c r="AE5184" s="87" t="str">
        <x:v>TASK</x:v>
      </x:c>
      <x:c r="AF5184" s="87" t="str">
        <x:v>VIS-EGKR-ENG-W25-TASK-952-P005: 5</x:v>
      </x:c>
      <x:c r="AG5184" s="87" t="str">
        <x:v>RESOLVED</x:v>
      </x:c>
      <x:c r="AH5184" s="87" t="str">
        <x:v>CROP_VERIFIED</x:v>
      </x:c>
      <x:c r="AI5184" s="30"/>
      <x:c r="AJ5184" s="87" t="str">
        <x:v>clean</x:v>
      </x:c>
      <x:c r="AK5184" s="87" t="str">
        <x:v>clean-v0.11</x:v>
      </x:c>
      <x:c r="AL5184" s="87" t="str">
        <x:v>statgrad_clean_continuation_v0_11(1).xlsx</x:v>
      </x:c>
      <x:c r="AM5184" s="87" t="str">
        <x:v>ENG_EGKR_952</x:v>
      </x:c>
      <x:c r="AN5184" s="87" t="n">
        <x:v>17</x:v>
      </x:c>
    </x:row>
    <x:row r="5185">
      <x:c r="A5185" s="87" t="n">
        <x:v>5184</x:v>
      </x:c>
      <x:c r="B5185" s="87" t="str">
        <x:v>EGKR-ENG-W25-952-17</x:v>
      </x:c>
      <x:c r="C5185" s="87" t="str">
        <x:v>ЕГКР</x:v>
      </x:c>
      <x:c r="D5185" s="87"/>
      <x:c r="E5185" s="87" t="str">
        <x:v>Зима 2025</x:v>
      </x:c>
      <x:c r="F5185" s="87" t="str">
        <x:v>11.12.2025</x:v>
      </x:c>
      <x:c r="G5185" s="87" t="str">
        <x:v>Английский язык</x:v>
      </x:c>
      <x:c r="H5185" s="87" t="n">
        <x:v>11</x:v>
      </x:c>
      <x:c r="I5185" s="87"/>
      <x:c r="J5185" s="87" t="str">
        <x:v>952</x:v>
      </x:c>
      <x:c r="K5185" s="87" t="n">
        <x:v>17</x:v>
      </x:c>
      <x:c r="L5185" s="87" t="str">
        <x:v>Чтение: множественный выбор</x:v>
      </x:c>
      <x:c r="M5185" s="30" t="str">
        <x:v>Задание 17 письменной части варианта 952; полное условие сохранено на странице VIS_ID.</x:v>
      </x:c>
      <x:c r="N5185" s="30" t="str">
        <x:v>3</x:v>
      </x:c>
      <x:c r="O5185" s="30"/>
      <x:c r="P5185" s="30"/>
      <x:c r="Q5185" s="30" t="str">
        <x:v>Независимо решено по условию; проверена грамматика, лексика или логика текста.</x:v>
      </x:c>
      <x:c r="R5185" s="30"/>
      <x:c r="S5185" s="30" t="str">
        <x:v>Независимая проверка по PDF задания</x:v>
      </x:c>
      <x:c r="T5185" s="30"/>
      <x:c r="U5185" s="30" t="str">
        <x:v>Канонический рабочий ответ.</x:v>
      </x:c>
      <x:c r="V5185" s="87" t="str">
        <x:v>VERIFIED</x:v>
      </x:c>
      <x:c r="W5185" s="87"/>
      <x:c r="X5185" s="87" t="str">
        <x:v>5</x:v>
      </x:c>
      <x:c r="Y5185" s="87"/>
      <x:c r="Z5185" s="87"/>
      <x:c r="AA5185" s="87"/>
      <x:c r="AB5185" s="87"/>
      <x:c r="AC5185" s="87" t="str">
        <x:v>VIS-EGKR-ENG-W25-TASK-952-P005</x:v>
      </x:c>
      <x:c r="AD5185" s="87"/>
      <x:c r="AE5185" s="87" t="str">
        <x:v>TASK</x:v>
      </x:c>
      <x:c r="AF5185" s="87" t="str">
        <x:v>VIS-EGKR-ENG-W25-TASK-952-P005: 5</x:v>
      </x:c>
      <x:c r="AG5185" s="87" t="str">
        <x:v>RESOLVED</x:v>
      </x:c>
      <x:c r="AH5185" s="87" t="str">
        <x:v>CROP_VERIFIED</x:v>
      </x:c>
      <x:c r="AI5185" s="30"/>
      <x:c r="AJ5185" s="87" t="str">
        <x:v>clean</x:v>
      </x:c>
      <x:c r="AK5185" s="87" t="str">
        <x:v>clean-v0.11</x:v>
      </x:c>
      <x:c r="AL5185" s="87" t="str">
        <x:v>statgrad_clean_continuation_v0_11(1).xlsx</x:v>
      </x:c>
      <x:c r="AM5185" s="87" t="str">
        <x:v>ENG_EGKR_952</x:v>
      </x:c>
      <x:c r="AN5185" s="87" t="n">
        <x:v>18</x:v>
      </x:c>
    </x:row>
    <x:row r="5186">
      <x:c r="A5186" s="87" t="n">
        <x:v>5185</x:v>
      </x:c>
      <x:c r="B5186" s="87" t="str">
        <x:v>EGKR-ENG-W25-952-18</x:v>
      </x:c>
      <x:c r="C5186" s="87" t="str">
        <x:v>ЕГКР</x:v>
      </x:c>
      <x:c r="D5186" s="87"/>
      <x:c r="E5186" s="87" t="str">
        <x:v>Зима 2025</x:v>
      </x:c>
      <x:c r="F5186" s="87" t="str">
        <x:v>11.12.2025</x:v>
      </x:c>
      <x:c r="G5186" s="87" t="str">
        <x:v>Английский язык</x:v>
      </x:c>
      <x:c r="H5186" s="87" t="n">
        <x:v>11</x:v>
      </x:c>
      <x:c r="I5186" s="87"/>
      <x:c r="J5186" s="87" t="str">
        <x:v>952</x:v>
      </x:c>
      <x:c r="K5186" s="87" t="n">
        <x:v>18</x:v>
      </x:c>
      <x:c r="L5186" s="87" t="str">
        <x:v>Чтение: множественный выбор</x:v>
      </x:c>
      <x:c r="M5186" s="30" t="str">
        <x:v>Задание 18 письменной части варианта 952; полное условие сохранено на странице VIS_ID.</x:v>
      </x:c>
      <x:c r="N5186" s="30" t="str">
        <x:v>3</x:v>
      </x:c>
      <x:c r="O5186" s="30"/>
      <x:c r="P5186" s="30"/>
      <x:c r="Q5186" s="30" t="str">
        <x:v>Независимо решено по условию; проверена грамматика, лексика или логика текста.</x:v>
      </x:c>
      <x:c r="R5186" s="30"/>
      <x:c r="S5186" s="30" t="str">
        <x:v>Независимая проверка по PDF задания</x:v>
      </x:c>
      <x:c r="T5186" s="30"/>
      <x:c r="U5186" s="30" t="str">
        <x:v>Канонический рабочий ответ.</x:v>
      </x:c>
      <x:c r="V5186" s="87" t="str">
        <x:v>VERIFIED</x:v>
      </x:c>
      <x:c r="W5186" s="87"/>
      <x:c r="X5186" s="87" t="str">
        <x:v>5</x:v>
      </x:c>
      <x:c r="Y5186" s="87"/>
      <x:c r="Z5186" s="87"/>
      <x:c r="AA5186" s="87"/>
      <x:c r="AB5186" s="87"/>
      <x:c r="AC5186" s="87" t="str">
        <x:v>VIS-EGKR-ENG-W25-TASK-952-P005</x:v>
      </x:c>
      <x:c r="AD5186" s="87"/>
      <x:c r="AE5186" s="87" t="str">
        <x:v>TASK</x:v>
      </x:c>
      <x:c r="AF5186" s="87" t="str">
        <x:v>VIS-EGKR-ENG-W25-TASK-952-P005: 5</x:v>
      </x:c>
      <x:c r="AG5186" s="87" t="str">
        <x:v>RESOLVED</x:v>
      </x:c>
      <x:c r="AH5186" s="87" t="str">
        <x:v>CROP_VERIFIED</x:v>
      </x:c>
      <x:c r="AI5186" s="30"/>
      <x:c r="AJ5186" s="87" t="str">
        <x:v>clean</x:v>
      </x:c>
      <x:c r="AK5186" s="87" t="str">
        <x:v>clean-v0.11</x:v>
      </x:c>
      <x:c r="AL5186" s="87" t="str">
        <x:v>statgrad_clean_continuation_v0_11(1).xlsx</x:v>
      </x:c>
      <x:c r="AM5186" s="87" t="str">
        <x:v>ENG_EGKR_952</x:v>
      </x:c>
      <x:c r="AN5186" s="87" t="n">
        <x:v>19</x:v>
      </x:c>
    </x:row>
    <x:row r="5187">
      <x:c r="A5187" s="87" t="n">
        <x:v>5186</x:v>
      </x:c>
      <x:c r="B5187" s="87" t="str">
        <x:v>EGKR-ENG-W25-952-19</x:v>
      </x:c>
      <x:c r="C5187" s="87" t="str">
        <x:v>ЕГКР</x:v>
      </x:c>
      <x:c r="D5187" s="87"/>
      <x:c r="E5187" s="87" t="str">
        <x:v>Зима 2025</x:v>
      </x:c>
      <x:c r="F5187" s="87" t="str">
        <x:v>11.12.2025</x:v>
      </x:c>
      <x:c r="G5187" s="87" t="str">
        <x:v>Английский язык</x:v>
      </x:c>
      <x:c r="H5187" s="87" t="n">
        <x:v>11</x:v>
      </x:c>
      <x:c r="I5187" s="87"/>
      <x:c r="J5187" s="87" t="str">
        <x:v>952</x:v>
      </x:c>
      <x:c r="K5187" s="87" t="n">
        <x:v>19</x:v>
      </x:c>
      <x:c r="L5187" s="87" t="str">
        <x:v>Грамматика: преобразование формы слова</x:v>
      </x:c>
      <x:c r="M5187" s="30" t="str">
        <x:v>Задание 19 письменной части варианта 952; полное условие сохранено на странице VIS_ID.</x:v>
      </x:c>
      <x:c r="N5187" s="30" t="str">
        <x:v>became</x:v>
      </x:c>
      <x:c r="O5187" s="30"/>
      <x:c r="P5187" s="30"/>
      <x:c r="Q5187" s="30" t="str">
        <x:v>Независимо решено по условию; проверена грамматика, лексика или логика текста.</x:v>
      </x:c>
      <x:c r="R5187" s="30"/>
      <x:c r="S5187" s="30" t="str">
        <x:v>Независимая проверка по PDF задания</x:v>
      </x:c>
      <x:c r="T5187" s="30"/>
      <x:c r="U5187" s="30" t="str">
        <x:v>Канонический рабочий ответ.</x:v>
      </x:c>
      <x:c r="V5187" s="87" t="str">
        <x:v>VERIFIED</x:v>
      </x:c>
      <x:c r="W5187" s="87"/>
      <x:c r="X5187" s="87" t="str">
        <x:v>6</x:v>
      </x:c>
      <x:c r="Y5187" s="87"/>
      <x:c r="Z5187" s="87"/>
      <x:c r="AA5187" s="87"/>
      <x:c r="AB5187" s="87"/>
      <x:c r="AC5187" s="87" t="str">
        <x:v>VIS-EGKR-ENG-W25-TASK-952-P006</x:v>
      </x:c>
      <x:c r="AD5187" s="87"/>
      <x:c r="AE5187" s="87" t="str">
        <x:v>TASK</x:v>
      </x:c>
      <x:c r="AF5187" s="87" t="str">
        <x:v>VIS-EGKR-ENG-W25-TASK-952-P006: 6</x:v>
      </x:c>
      <x:c r="AG5187" s="87" t="str">
        <x:v>RESOLVED</x:v>
      </x:c>
      <x:c r="AH5187" s="87" t="str">
        <x:v>CROP_VERIFIED</x:v>
      </x:c>
      <x:c r="AI5187" s="30"/>
      <x:c r="AJ5187" s="87" t="str">
        <x:v>clean</x:v>
      </x:c>
      <x:c r="AK5187" s="87" t="str">
        <x:v>clean-v0.11</x:v>
      </x:c>
      <x:c r="AL5187" s="87" t="str">
        <x:v>statgrad_clean_continuation_v0_11(1).xlsx</x:v>
      </x:c>
      <x:c r="AM5187" s="87" t="str">
        <x:v>ENG_EGKR_952</x:v>
      </x:c>
      <x:c r="AN5187" s="87" t="n">
        <x:v>20</x:v>
      </x:c>
    </x:row>
    <x:row r="5188">
      <x:c r="A5188" s="87" t="n">
        <x:v>5187</x:v>
      </x:c>
      <x:c r="B5188" s="87" t="str">
        <x:v>EGKR-ENG-W25-952-20</x:v>
      </x:c>
      <x:c r="C5188" s="87" t="str">
        <x:v>ЕГКР</x:v>
      </x:c>
      <x:c r="D5188" s="87"/>
      <x:c r="E5188" s="87" t="str">
        <x:v>Зима 2025</x:v>
      </x:c>
      <x:c r="F5188" s="87" t="str">
        <x:v>11.12.2025</x:v>
      </x:c>
      <x:c r="G5188" s="87" t="str">
        <x:v>Английский язык</x:v>
      </x:c>
      <x:c r="H5188" s="87" t="n">
        <x:v>11</x:v>
      </x:c>
      <x:c r="I5188" s="87"/>
      <x:c r="J5188" s="87" t="str">
        <x:v>952</x:v>
      </x:c>
      <x:c r="K5188" s="87" t="n">
        <x:v>20</x:v>
      </x:c>
      <x:c r="L5188" s="87" t="str">
        <x:v>Грамматика: преобразование формы слова</x:v>
      </x:c>
      <x:c r="M5188" s="30" t="str">
        <x:v>Задание 20 письменной части варианта 952; полное условие сохранено на странице VIS_ID.</x:v>
      </x:c>
      <x:c r="N5188" s="30" t="str">
        <x:v>has developed</x:v>
      </x:c>
      <x:c r="O5188" s="30"/>
      <x:c r="P5188" s="30"/>
      <x:c r="Q5188" s="30" t="str">
        <x:v>Независимо решено по условию; проверена грамматика, лексика или логика текста.</x:v>
      </x:c>
      <x:c r="R5188" s="30"/>
      <x:c r="S5188" s="30" t="str">
        <x:v>Независимая проверка по PDF задания</x:v>
      </x:c>
      <x:c r="T5188" s="30"/>
      <x:c r="U5188" s="30" t="str">
        <x:v>Канонический рабочий ответ.</x:v>
      </x:c>
      <x:c r="V5188" s="87" t="str">
        <x:v>VERIFIED</x:v>
      </x:c>
      <x:c r="W5188" s="87"/>
      <x:c r="X5188" s="87" t="str">
        <x:v>6</x:v>
      </x:c>
      <x:c r="Y5188" s="87"/>
      <x:c r="Z5188" s="87"/>
      <x:c r="AA5188" s="87"/>
      <x:c r="AB5188" s="87"/>
      <x:c r="AC5188" s="87" t="str">
        <x:v>VIS-EGKR-ENG-W25-TASK-952-P006</x:v>
      </x:c>
      <x:c r="AD5188" s="87"/>
      <x:c r="AE5188" s="87" t="str">
        <x:v>TASK</x:v>
      </x:c>
      <x:c r="AF5188" s="87" t="str">
        <x:v>VIS-EGKR-ENG-W25-TASK-952-P006: 6</x:v>
      </x:c>
      <x:c r="AG5188" s="87" t="str">
        <x:v>RESOLVED</x:v>
      </x:c>
      <x:c r="AH5188" s="87" t="str">
        <x:v>CROP_VERIFIED</x:v>
      </x:c>
      <x:c r="AI5188" s="30"/>
      <x:c r="AJ5188" s="87" t="str">
        <x:v>clean</x:v>
      </x:c>
      <x:c r="AK5188" s="87" t="str">
        <x:v>clean-v0.11</x:v>
      </x:c>
      <x:c r="AL5188" s="87" t="str">
        <x:v>statgrad_clean_continuation_v0_11(1).xlsx</x:v>
      </x:c>
      <x:c r="AM5188" s="87" t="str">
        <x:v>ENG_EGKR_952</x:v>
      </x:c>
      <x:c r="AN5188" s="87" t="n">
        <x:v>21</x:v>
      </x:c>
    </x:row>
    <x:row r="5189">
      <x:c r="A5189" s="87" t="n">
        <x:v>5188</x:v>
      </x:c>
      <x:c r="B5189" s="87" t="str">
        <x:v>EGKR-ENG-W25-952-21</x:v>
      </x:c>
      <x:c r="C5189" s="87" t="str">
        <x:v>ЕГКР</x:v>
      </x:c>
      <x:c r="D5189" s="87"/>
      <x:c r="E5189" s="87" t="str">
        <x:v>Зима 2025</x:v>
      </x:c>
      <x:c r="F5189" s="87" t="str">
        <x:v>11.12.2025</x:v>
      </x:c>
      <x:c r="G5189" s="87" t="str">
        <x:v>Английский язык</x:v>
      </x:c>
      <x:c r="H5189" s="87" t="n">
        <x:v>11</x:v>
      </x:c>
      <x:c r="I5189" s="87"/>
      <x:c r="J5189" s="87" t="str">
        <x:v>952</x:v>
      </x:c>
      <x:c r="K5189" s="87" t="n">
        <x:v>21</x:v>
      </x:c>
      <x:c r="L5189" s="87" t="str">
        <x:v>Грамматика: преобразование формы слова</x:v>
      </x:c>
      <x:c r="M5189" s="30" t="str">
        <x:v>Задание 21 письменной части варианта 952; полное условие сохранено на странице VIS_ID.</x:v>
      </x:c>
      <x:c r="N5189" s="30" t="str">
        <x:v>these</x:v>
      </x:c>
      <x:c r="O5189" s="30"/>
      <x:c r="P5189" s="30"/>
      <x:c r="Q5189" s="30" t="str">
        <x:v>Независимо решено по условию; проверена грамматика, лексика или логика текста.</x:v>
      </x:c>
      <x:c r="R5189" s="30"/>
      <x:c r="S5189" s="30" t="str">
        <x:v>Независимая проверка по PDF задания</x:v>
      </x:c>
      <x:c r="T5189" s="30"/>
      <x:c r="U5189" s="30" t="str">
        <x:v>Канонический рабочий ответ.</x:v>
      </x:c>
      <x:c r="V5189" s="87" t="str">
        <x:v>VERIFIED</x:v>
      </x:c>
      <x:c r="W5189" s="87"/>
      <x:c r="X5189" s="87" t="str">
        <x:v>6</x:v>
      </x:c>
      <x:c r="Y5189" s="87"/>
      <x:c r="Z5189" s="87"/>
      <x:c r="AA5189" s="87"/>
      <x:c r="AB5189" s="87"/>
      <x:c r="AC5189" s="87" t="str">
        <x:v>VIS-EGKR-ENG-W25-TASK-952-P006</x:v>
      </x:c>
      <x:c r="AD5189" s="87"/>
      <x:c r="AE5189" s="87" t="str">
        <x:v>TASK</x:v>
      </x:c>
      <x:c r="AF5189" s="87" t="str">
        <x:v>VIS-EGKR-ENG-W25-TASK-952-P006: 6</x:v>
      </x:c>
      <x:c r="AG5189" s="87" t="str">
        <x:v>RESOLVED</x:v>
      </x:c>
      <x:c r="AH5189" s="87" t="str">
        <x:v>CROP_VERIFIED</x:v>
      </x:c>
      <x:c r="AI5189" s="30"/>
      <x:c r="AJ5189" s="87" t="str">
        <x:v>clean</x:v>
      </x:c>
      <x:c r="AK5189" s="87" t="str">
        <x:v>clean-v0.11</x:v>
      </x:c>
      <x:c r="AL5189" s="87" t="str">
        <x:v>statgrad_clean_continuation_v0_11(1).xlsx</x:v>
      </x:c>
      <x:c r="AM5189" s="87" t="str">
        <x:v>ENG_EGKR_952</x:v>
      </x:c>
      <x:c r="AN5189" s="87" t="n">
        <x:v>22</x:v>
      </x:c>
    </x:row>
    <x:row r="5190">
      <x:c r="A5190" s="87" t="n">
        <x:v>5189</x:v>
      </x:c>
      <x:c r="B5190" s="87" t="str">
        <x:v>EGKR-ENG-W25-952-22</x:v>
      </x:c>
      <x:c r="C5190" s="87" t="str">
        <x:v>ЕГКР</x:v>
      </x:c>
      <x:c r="D5190" s="87"/>
      <x:c r="E5190" s="87" t="str">
        <x:v>Зима 2025</x:v>
      </x:c>
      <x:c r="F5190" s="87" t="str">
        <x:v>11.12.2025</x:v>
      </x:c>
      <x:c r="G5190" s="87" t="str">
        <x:v>Английский язык</x:v>
      </x:c>
      <x:c r="H5190" s="87" t="n">
        <x:v>11</x:v>
      </x:c>
      <x:c r="I5190" s="87"/>
      <x:c r="J5190" s="87" t="str">
        <x:v>952</x:v>
      </x:c>
      <x:c r="K5190" s="87" t="n">
        <x:v>22</x:v>
      </x:c>
      <x:c r="L5190" s="87" t="str">
        <x:v>Грамматика: преобразование формы слова</x:v>
      </x:c>
      <x:c r="M5190" s="30" t="str">
        <x:v>Задание 22 письменной части варианта 952; полное условие сохранено на странице VIS_ID.</x:v>
      </x:c>
      <x:c r="N5190" s="30" t="str">
        <x:v>children</x:v>
      </x:c>
      <x:c r="O5190" s="30"/>
      <x:c r="P5190" s="30"/>
      <x:c r="Q5190" s="30" t="str">
        <x:v>Независимо решено по условию; проверена грамматика, лексика или логика текста.</x:v>
      </x:c>
      <x:c r="R5190" s="30"/>
      <x:c r="S5190" s="30" t="str">
        <x:v>Независимая проверка по PDF задания</x:v>
      </x:c>
      <x:c r="T5190" s="30"/>
      <x:c r="U5190" s="30" t="str">
        <x:v>Канонический рабочий ответ.</x:v>
      </x:c>
      <x:c r="V5190" s="87" t="str">
        <x:v>VERIFIED</x:v>
      </x:c>
      <x:c r="W5190" s="87"/>
      <x:c r="X5190" s="87" t="str">
        <x:v>6</x:v>
      </x:c>
      <x:c r="Y5190" s="87"/>
      <x:c r="Z5190" s="87"/>
      <x:c r="AA5190" s="87"/>
      <x:c r="AB5190" s="87"/>
      <x:c r="AC5190" s="87" t="str">
        <x:v>VIS-EGKR-ENG-W25-TASK-952-P006</x:v>
      </x:c>
      <x:c r="AD5190" s="87"/>
      <x:c r="AE5190" s="87" t="str">
        <x:v>TASK</x:v>
      </x:c>
      <x:c r="AF5190" s="87" t="str">
        <x:v>VIS-EGKR-ENG-W25-TASK-952-P006: 6</x:v>
      </x:c>
      <x:c r="AG5190" s="87" t="str">
        <x:v>RESOLVED</x:v>
      </x:c>
      <x:c r="AH5190" s="87" t="str">
        <x:v>CROP_VERIFIED</x:v>
      </x:c>
      <x:c r="AI5190" s="30"/>
      <x:c r="AJ5190" s="87" t="str">
        <x:v>clean</x:v>
      </x:c>
      <x:c r="AK5190" s="87" t="str">
        <x:v>clean-v0.11</x:v>
      </x:c>
      <x:c r="AL5190" s="87" t="str">
        <x:v>statgrad_clean_continuation_v0_11(1).xlsx</x:v>
      </x:c>
      <x:c r="AM5190" s="87" t="str">
        <x:v>ENG_EGKR_952</x:v>
      </x:c>
      <x:c r="AN5190" s="87" t="n">
        <x:v>23</x:v>
      </x:c>
    </x:row>
    <x:row r="5191">
      <x:c r="A5191" s="87" t="n">
        <x:v>5190</x:v>
      </x:c>
      <x:c r="B5191" s="87" t="str">
        <x:v>EGKR-ENG-W25-952-23</x:v>
      </x:c>
      <x:c r="C5191" s="87" t="str">
        <x:v>ЕГКР</x:v>
      </x:c>
      <x:c r="D5191" s="87"/>
      <x:c r="E5191" s="87" t="str">
        <x:v>Зима 2025</x:v>
      </x:c>
      <x:c r="F5191" s="87" t="str">
        <x:v>11.12.2025</x:v>
      </x:c>
      <x:c r="G5191" s="87" t="str">
        <x:v>Английский язык</x:v>
      </x:c>
      <x:c r="H5191" s="87" t="n">
        <x:v>11</x:v>
      </x:c>
      <x:c r="I5191" s="87"/>
      <x:c r="J5191" s="87" t="str">
        <x:v>952</x:v>
      </x:c>
      <x:c r="K5191" s="87" t="n">
        <x:v>23</x:v>
      </x:c>
      <x:c r="L5191" s="87" t="str">
        <x:v>Грамматика: преобразование формы слова</x:v>
      </x:c>
      <x:c r="M5191" s="30" t="str">
        <x:v>Задание 23 письменной части варианта 952; полное условие сохранено на странице VIS_ID.</x:v>
      </x:c>
      <x:c r="N5191" s="30" t="str">
        <x:v>are sold</x:v>
      </x:c>
      <x:c r="O5191" s="30"/>
      <x:c r="P5191" s="30"/>
      <x:c r="Q5191" s="30" t="str">
        <x:v>Независимо решено по условию; проверена грамматика, лексика или логика текста.</x:v>
      </x:c>
      <x:c r="R5191" s="30"/>
      <x:c r="S5191" s="30" t="str">
        <x:v>Независимая проверка по PDF задания</x:v>
      </x:c>
      <x:c r="T5191" s="30"/>
      <x:c r="U5191" s="30" t="str">
        <x:v>Канонический рабочий ответ.</x:v>
      </x:c>
      <x:c r="V5191" s="87" t="str">
        <x:v>VERIFIED</x:v>
      </x:c>
      <x:c r="W5191" s="87"/>
      <x:c r="X5191" s="87" t="str">
        <x:v>6</x:v>
      </x:c>
      <x:c r="Y5191" s="87"/>
      <x:c r="Z5191" s="87"/>
      <x:c r="AA5191" s="87"/>
      <x:c r="AB5191" s="87"/>
      <x:c r="AC5191" s="87" t="str">
        <x:v>VIS-EGKR-ENG-W25-TASK-952-P006</x:v>
      </x:c>
      <x:c r="AD5191" s="87"/>
      <x:c r="AE5191" s="87" t="str">
        <x:v>TASK</x:v>
      </x:c>
      <x:c r="AF5191" s="87" t="str">
        <x:v>VIS-EGKR-ENG-W25-TASK-952-P006: 6</x:v>
      </x:c>
      <x:c r="AG5191" s="87" t="str">
        <x:v>RESOLVED</x:v>
      </x:c>
      <x:c r="AH5191" s="87" t="str">
        <x:v>CROP_VERIFIED</x:v>
      </x:c>
      <x:c r="AI5191" s="30"/>
      <x:c r="AJ5191" s="87" t="str">
        <x:v>clean</x:v>
      </x:c>
      <x:c r="AK5191" s="87" t="str">
        <x:v>clean-v0.11</x:v>
      </x:c>
      <x:c r="AL5191" s="87" t="str">
        <x:v>statgrad_clean_continuation_v0_11(1).xlsx</x:v>
      </x:c>
      <x:c r="AM5191" s="87" t="str">
        <x:v>ENG_EGKR_952</x:v>
      </x:c>
      <x:c r="AN5191" s="87" t="n">
        <x:v>24</x:v>
      </x:c>
    </x:row>
    <x:row r="5192">
      <x:c r="A5192" s="87" t="n">
        <x:v>5191</x:v>
      </x:c>
      <x:c r="B5192" s="87" t="str">
        <x:v>EGKR-ENG-W25-952-24</x:v>
      </x:c>
      <x:c r="C5192" s="87" t="str">
        <x:v>ЕГКР</x:v>
      </x:c>
      <x:c r="D5192" s="87"/>
      <x:c r="E5192" s="87" t="str">
        <x:v>Зима 2025</x:v>
      </x:c>
      <x:c r="F5192" s="87" t="str">
        <x:v>11.12.2025</x:v>
      </x:c>
      <x:c r="G5192" s="87" t="str">
        <x:v>Английский язык</x:v>
      </x:c>
      <x:c r="H5192" s="87" t="n">
        <x:v>11</x:v>
      </x:c>
      <x:c r="I5192" s="87"/>
      <x:c r="J5192" s="87" t="str">
        <x:v>952</x:v>
      </x:c>
      <x:c r="K5192" s="87" t="n">
        <x:v>24</x:v>
      </x:c>
      <x:c r="L5192" s="87" t="str">
        <x:v>Грамматика: преобразование формы слова</x:v>
      </x:c>
      <x:c r="M5192" s="30" t="str">
        <x:v>Задание 24 письменной части варианта 952; полное условие сохранено на странице VIS_ID.</x:v>
      </x:c>
      <x:c r="N5192" s="30" t="str">
        <x:v>most popular</x:v>
      </x:c>
      <x:c r="O5192" s="30"/>
      <x:c r="P5192" s="30"/>
      <x:c r="Q5192" s="30" t="str">
        <x:v>Независимо решено по условию; проверена грамматика, лексика или логика текста.</x:v>
      </x:c>
      <x:c r="R5192" s="30"/>
      <x:c r="S5192" s="30" t="str">
        <x:v>Независимая проверка по PDF задания</x:v>
      </x:c>
      <x:c r="T5192" s="30"/>
      <x:c r="U5192" s="30" t="str">
        <x:v>Канонический рабочий ответ.</x:v>
      </x:c>
      <x:c r="V5192" s="87" t="str">
        <x:v>VERIFIED</x:v>
      </x:c>
      <x:c r="W5192" s="87"/>
      <x:c r="X5192" s="87" t="str">
        <x:v>6</x:v>
      </x:c>
      <x:c r="Y5192" s="87"/>
      <x:c r="Z5192" s="87"/>
      <x:c r="AA5192" s="87"/>
      <x:c r="AB5192" s="87"/>
      <x:c r="AC5192" s="87" t="str">
        <x:v>VIS-EGKR-ENG-W25-TASK-952-P006</x:v>
      </x:c>
      <x:c r="AD5192" s="87"/>
      <x:c r="AE5192" s="87" t="str">
        <x:v>TASK</x:v>
      </x:c>
      <x:c r="AF5192" s="87" t="str">
        <x:v>VIS-EGKR-ENG-W25-TASK-952-P006: 6</x:v>
      </x:c>
      <x:c r="AG5192" s="87" t="str">
        <x:v>RESOLVED</x:v>
      </x:c>
      <x:c r="AH5192" s="87" t="str">
        <x:v>CROP_VERIFIED</x:v>
      </x:c>
      <x:c r="AI5192" s="30"/>
      <x:c r="AJ5192" s="87" t="str">
        <x:v>clean</x:v>
      </x:c>
      <x:c r="AK5192" s="87" t="str">
        <x:v>clean-v0.11</x:v>
      </x:c>
      <x:c r="AL5192" s="87" t="str">
        <x:v>statgrad_clean_continuation_v0_11(1).xlsx</x:v>
      </x:c>
      <x:c r="AM5192" s="87" t="str">
        <x:v>ENG_EGKR_952</x:v>
      </x:c>
      <x:c r="AN5192" s="87" t="n">
        <x:v>25</x:v>
      </x:c>
    </x:row>
    <x:row r="5193">
      <x:c r="A5193" s="87" t="n">
        <x:v>5192</x:v>
      </x:c>
      <x:c r="B5193" s="87" t="str">
        <x:v>EGKR-ENG-W25-952-25</x:v>
      </x:c>
      <x:c r="C5193" s="87" t="str">
        <x:v>ЕГКР</x:v>
      </x:c>
      <x:c r="D5193" s="87"/>
      <x:c r="E5193" s="87" t="str">
        <x:v>Зима 2025</x:v>
      </x:c>
      <x:c r="F5193" s="87" t="str">
        <x:v>11.12.2025</x:v>
      </x:c>
      <x:c r="G5193" s="87" t="str">
        <x:v>Английский язык</x:v>
      </x:c>
      <x:c r="H5193" s="87" t="n">
        <x:v>11</x:v>
      </x:c>
      <x:c r="I5193" s="87"/>
      <x:c r="J5193" s="87" t="str">
        <x:v>952</x:v>
      </x:c>
      <x:c r="K5193" s="87" t="n">
        <x:v>25</x:v>
      </x:c>
      <x:c r="L5193" s="87" t="str">
        <x:v>Лексика: словообразование</x:v>
      </x:c>
      <x:c r="M5193" s="30" t="str">
        <x:v>Задание 25 письменной части варианта 952; полное условие сохранено на странице VIS_ID.</x:v>
      </x:c>
      <x:c r="N5193" s="30" t="str">
        <x:v>incredible</x:v>
      </x:c>
      <x:c r="O5193" s="30"/>
      <x:c r="P5193" s="30"/>
      <x:c r="Q5193" s="30" t="str">
        <x:v>Независимо решено по условию; проверена грамматика, лексика или логика текста.</x:v>
      </x:c>
      <x:c r="R5193" s="30"/>
      <x:c r="S5193" s="30" t="str">
        <x:v>Независимая проверка по PDF задания</x:v>
      </x:c>
      <x:c r="T5193" s="30"/>
      <x:c r="U5193" s="30" t="str">
        <x:v>Канонический рабочий ответ.</x:v>
      </x:c>
      <x:c r="V5193" s="87" t="str">
        <x:v>VERIFIED</x:v>
      </x:c>
      <x:c r="W5193" s="87"/>
      <x:c r="X5193" s="87" t="str">
        <x:v>6</x:v>
      </x:c>
      <x:c r="Y5193" s="87"/>
      <x:c r="Z5193" s="87"/>
      <x:c r="AA5193" s="87"/>
      <x:c r="AB5193" s="87"/>
      <x:c r="AC5193" s="87" t="str">
        <x:v>VIS-EGKR-ENG-W25-TASK-952-P006</x:v>
      </x:c>
      <x:c r="AD5193" s="87"/>
      <x:c r="AE5193" s="87" t="str">
        <x:v>TASK</x:v>
      </x:c>
      <x:c r="AF5193" s="87" t="str">
        <x:v>VIS-EGKR-ENG-W25-TASK-952-P006: 6</x:v>
      </x:c>
      <x:c r="AG5193" s="87" t="str">
        <x:v>RESOLVED</x:v>
      </x:c>
      <x:c r="AH5193" s="87" t="str">
        <x:v>CROP_VERIFIED</x:v>
      </x:c>
      <x:c r="AI5193" s="30"/>
      <x:c r="AJ5193" s="87" t="str">
        <x:v>clean</x:v>
      </x:c>
      <x:c r="AK5193" s="87" t="str">
        <x:v>clean-v0.11</x:v>
      </x:c>
      <x:c r="AL5193" s="87" t="str">
        <x:v>statgrad_clean_continuation_v0_11(1).xlsx</x:v>
      </x:c>
      <x:c r="AM5193" s="87" t="str">
        <x:v>ENG_EGKR_952</x:v>
      </x:c>
      <x:c r="AN5193" s="87" t="n">
        <x:v>26</x:v>
      </x:c>
    </x:row>
    <x:row r="5194">
      <x:c r="A5194" s="87" t="n">
        <x:v>5193</x:v>
      </x:c>
      <x:c r="B5194" s="87" t="str">
        <x:v>EGKR-ENG-W25-952-26</x:v>
      </x:c>
      <x:c r="C5194" s="87" t="str">
        <x:v>ЕГКР</x:v>
      </x:c>
      <x:c r="D5194" s="87"/>
      <x:c r="E5194" s="87" t="str">
        <x:v>Зима 2025</x:v>
      </x:c>
      <x:c r="F5194" s="87" t="str">
        <x:v>11.12.2025</x:v>
      </x:c>
      <x:c r="G5194" s="87" t="str">
        <x:v>Английский язык</x:v>
      </x:c>
      <x:c r="H5194" s="87" t="n">
        <x:v>11</x:v>
      </x:c>
      <x:c r="I5194" s="87"/>
      <x:c r="J5194" s="87" t="str">
        <x:v>952</x:v>
      </x:c>
      <x:c r="K5194" s="87" t="n">
        <x:v>26</x:v>
      </x:c>
      <x:c r="L5194" s="87" t="str">
        <x:v>Лексика: словообразование</x:v>
      </x:c>
      <x:c r="M5194" s="30" t="str">
        <x:v>Задание 26 письменной части варианта 952; полное условие сохранено на странице VIS_ID.</x:v>
      </x:c>
      <x:c r="N5194" s="30" t="str">
        <x:v>cultural</x:v>
      </x:c>
      <x:c r="O5194" s="30"/>
      <x:c r="P5194" s="30"/>
      <x:c r="Q5194" s="30" t="str">
        <x:v>Независимо решено по условию; проверена грамматика, лексика или логика текста.</x:v>
      </x:c>
      <x:c r="R5194" s="30"/>
      <x:c r="S5194" s="30" t="str">
        <x:v>Независимая проверка по PDF задания</x:v>
      </x:c>
      <x:c r="T5194" s="30"/>
      <x:c r="U5194" s="30" t="str">
        <x:v>Канонический рабочий ответ.</x:v>
      </x:c>
      <x:c r="V5194" s="87" t="str">
        <x:v>VERIFIED</x:v>
      </x:c>
      <x:c r="W5194" s="87"/>
      <x:c r="X5194" s="87" t="str">
        <x:v>6</x:v>
      </x:c>
      <x:c r="Y5194" s="87"/>
      <x:c r="Z5194" s="87"/>
      <x:c r="AA5194" s="87"/>
      <x:c r="AB5194" s="87"/>
      <x:c r="AC5194" s="87" t="str">
        <x:v>VIS-EGKR-ENG-W25-TASK-952-P006</x:v>
      </x:c>
      <x:c r="AD5194" s="87"/>
      <x:c r="AE5194" s="87" t="str">
        <x:v>TASK</x:v>
      </x:c>
      <x:c r="AF5194" s="87" t="str">
        <x:v>VIS-EGKR-ENG-W25-TASK-952-P006: 6</x:v>
      </x:c>
      <x:c r="AG5194" s="87" t="str">
        <x:v>RESOLVED</x:v>
      </x:c>
      <x:c r="AH5194" s="87" t="str">
        <x:v>CROP_VERIFIED</x:v>
      </x:c>
      <x:c r="AI5194" s="30"/>
      <x:c r="AJ5194" s="87" t="str">
        <x:v>clean</x:v>
      </x:c>
      <x:c r="AK5194" s="87" t="str">
        <x:v>clean-v0.11</x:v>
      </x:c>
      <x:c r="AL5194" s="87" t="str">
        <x:v>statgrad_clean_continuation_v0_11(1).xlsx</x:v>
      </x:c>
      <x:c r="AM5194" s="87" t="str">
        <x:v>ENG_EGKR_952</x:v>
      </x:c>
      <x:c r="AN5194" s="87" t="n">
        <x:v>27</x:v>
      </x:c>
    </x:row>
    <x:row r="5195">
      <x:c r="A5195" s="87" t="n">
        <x:v>5194</x:v>
      </x:c>
      <x:c r="B5195" s="87" t="str">
        <x:v>EGKR-ENG-W25-952-27</x:v>
      </x:c>
      <x:c r="C5195" s="87" t="str">
        <x:v>ЕГКР</x:v>
      </x:c>
      <x:c r="D5195" s="87"/>
      <x:c r="E5195" s="87" t="str">
        <x:v>Зима 2025</x:v>
      </x:c>
      <x:c r="F5195" s="87" t="str">
        <x:v>11.12.2025</x:v>
      </x:c>
      <x:c r="G5195" s="87" t="str">
        <x:v>Английский язык</x:v>
      </x:c>
      <x:c r="H5195" s="87" t="n">
        <x:v>11</x:v>
      </x:c>
      <x:c r="I5195" s="87"/>
      <x:c r="J5195" s="87" t="str">
        <x:v>952</x:v>
      </x:c>
      <x:c r="K5195" s="87" t="n">
        <x:v>27</x:v>
      </x:c>
      <x:c r="L5195" s="87" t="str">
        <x:v>Лексика: словообразование</x:v>
      </x:c>
      <x:c r="M5195" s="30" t="str">
        <x:v>Задание 27 письменной части варианта 952; полное условие сохранено на странице VIS_ID.</x:v>
      </x:c>
      <x:c r="N5195" s="30" t="str">
        <x:v>replace</x:v>
      </x:c>
      <x:c r="O5195" s="30"/>
      <x:c r="P5195" s="30"/>
      <x:c r="Q5195" s="30" t="str">
        <x:v>Независимо решено по условию; проверена грамматика, лексика или логика текста.</x:v>
      </x:c>
      <x:c r="R5195" s="30"/>
      <x:c r="S5195" s="30" t="str">
        <x:v>Независимая проверка по PDF задания</x:v>
      </x:c>
      <x:c r="T5195" s="30"/>
      <x:c r="U5195" s="30" t="str">
        <x:v>Канонический рабочий ответ.</x:v>
      </x:c>
      <x:c r="V5195" s="87" t="str">
        <x:v>VERIFIED</x:v>
      </x:c>
      <x:c r="W5195" s="87"/>
      <x:c r="X5195" s="87" t="str">
        <x:v>6</x:v>
      </x:c>
      <x:c r="Y5195" s="87"/>
      <x:c r="Z5195" s="87"/>
      <x:c r="AA5195" s="87"/>
      <x:c r="AB5195" s="87"/>
      <x:c r="AC5195" s="87" t="str">
        <x:v>VIS-EGKR-ENG-W25-TASK-952-P006</x:v>
      </x:c>
      <x:c r="AD5195" s="87"/>
      <x:c r="AE5195" s="87" t="str">
        <x:v>TASK</x:v>
      </x:c>
      <x:c r="AF5195" s="87" t="str">
        <x:v>VIS-EGKR-ENG-W25-TASK-952-P006: 6</x:v>
      </x:c>
      <x:c r="AG5195" s="87" t="str">
        <x:v>RESOLVED</x:v>
      </x:c>
      <x:c r="AH5195" s="87" t="str">
        <x:v>CROP_VERIFIED</x:v>
      </x:c>
      <x:c r="AI5195" s="30"/>
      <x:c r="AJ5195" s="87" t="str">
        <x:v>clean</x:v>
      </x:c>
      <x:c r="AK5195" s="87" t="str">
        <x:v>clean-v0.11</x:v>
      </x:c>
      <x:c r="AL5195" s="87" t="str">
        <x:v>statgrad_clean_continuation_v0_11(1).xlsx</x:v>
      </x:c>
      <x:c r="AM5195" s="87" t="str">
        <x:v>ENG_EGKR_952</x:v>
      </x:c>
      <x:c r="AN5195" s="87" t="n">
        <x:v>28</x:v>
      </x:c>
    </x:row>
    <x:row r="5196">
      <x:c r="A5196" s="87" t="n">
        <x:v>5195</x:v>
      </x:c>
      <x:c r="B5196" s="87" t="str">
        <x:v>EGKR-ENG-W25-952-28</x:v>
      </x:c>
      <x:c r="C5196" s="87" t="str">
        <x:v>ЕГКР</x:v>
      </x:c>
      <x:c r="D5196" s="87"/>
      <x:c r="E5196" s="87" t="str">
        <x:v>Зима 2025</x:v>
      </x:c>
      <x:c r="F5196" s="87" t="str">
        <x:v>11.12.2025</x:v>
      </x:c>
      <x:c r="G5196" s="87" t="str">
        <x:v>Английский язык</x:v>
      </x:c>
      <x:c r="H5196" s="87" t="n">
        <x:v>11</x:v>
      </x:c>
      <x:c r="I5196" s="87"/>
      <x:c r="J5196" s="87" t="str">
        <x:v>952</x:v>
      </x:c>
      <x:c r="K5196" s="87" t="n">
        <x:v>28</x:v>
      </x:c>
      <x:c r="L5196" s="87" t="str">
        <x:v>Лексика: словообразование</x:v>
      </x:c>
      <x:c r="M5196" s="30" t="str">
        <x:v>Задание 28 письменной части варианта 952; полное условие сохранено на странице VIS_ID.</x:v>
      </x:c>
      <x:c r="N5196" s="30" t="str">
        <x:v>dancers</x:v>
      </x:c>
      <x:c r="O5196" s="30"/>
      <x:c r="P5196" s="30"/>
      <x:c r="Q5196" s="30" t="str">
        <x:v>Независимо решено по условию; проверена грамматика, лексика или логика текста.</x:v>
      </x:c>
      <x:c r="R5196" s="30"/>
      <x:c r="S5196" s="30" t="str">
        <x:v>Независимая проверка по PDF задания</x:v>
      </x:c>
      <x:c r="T5196" s="30"/>
      <x:c r="U5196" s="30" t="str">
        <x:v>Канонический рабочий ответ.</x:v>
      </x:c>
      <x:c r="V5196" s="87" t="str">
        <x:v>VERIFIED</x:v>
      </x:c>
      <x:c r="W5196" s="87"/>
      <x:c r="X5196" s="87" t="str">
        <x:v>6</x:v>
      </x:c>
      <x:c r="Y5196" s="87"/>
      <x:c r="Z5196" s="87"/>
      <x:c r="AA5196" s="87"/>
      <x:c r="AB5196" s="87"/>
      <x:c r="AC5196" s="87" t="str">
        <x:v>VIS-EGKR-ENG-W25-TASK-952-P006</x:v>
      </x:c>
      <x:c r="AD5196" s="87"/>
      <x:c r="AE5196" s="87" t="str">
        <x:v>TASK</x:v>
      </x:c>
      <x:c r="AF5196" s="87" t="str">
        <x:v>VIS-EGKR-ENG-W25-TASK-952-P006: 6</x:v>
      </x:c>
      <x:c r="AG5196" s="87" t="str">
        <x:v>RESOLVED</x:v>
      </x:c>
      <x:c r="AH5196" s="87" t="str">
        <x:v>CROP_VERIFIED</x:v>
      </x:c>
      <x:c r="AI5196" s="30"/>
      <x:c r="AJ5196" s="87" t="str">
        <x:v>clean</x:v>
      </x:c>
      <x:c r="AK5196" s="87" t="str">
        <x:v>clean-v0.11</x:v>
      </x:c>
      <x:c r="AL5196" s="87" t="str">
        <x:v>statgrad_clean_continuation_v0_11(1).xlsx</x:v>
      </x:c>
      <x:c r="AM5196" s="87" t="str">
        <x:v>ENG_EGKR_952</x:v>
      </x:c>
      <x:c r="AN5196" s="87" t="n">
        <x:v>29</x:v>
      </x:c>
    </x:row>
    <x:row r="5197">
      <x:c r="A5197" s="87" t="n">
        <x:v>5196</x:v>
      </x:c>
      <x:c r="B5197" s="87" t="str">
        <x:v>EGKR-ENG-W25-952-29</x:v>
      </x:c>
      <x:c r="C5197" s="87" t="str">
        <x:v>ЕГКР</x:v>
      </x:c>
      <x:c r="D5197" s="87"/>
      <x:c r="E5197" s="87" t="str">
        <x:v>Зима 2025</x:v>
      </x:c>
      <x:c r="F5197" s="87" t="str">
        <x:v>11.12.2025</x:v>
      </x:c>
      <x:c r="G5197" s="87" t="str">
        <x:v>Английский язык</x:v>
      </x:c>
      <x:c r="H5197" s="87" t="n">
        <x:v>11</x:v>
      </x:c>
      <x:c r="I5197" s="87"/>
      <x:c r="J5197" s="87" t="str">
        <x:v>952</x:v>
      </x:c>
      <x:c r="K5197" s="87" t="n">
        <x:v>29</x:v>
      </x:c>
      <x:c r="L5197" s="87" t="str">
        <x:v>Лексика: словообразование</x:v>
      </x:c>
      <x:c r="M5197" s="30" t="str">
        <x:v>Задание 29 письменной части варианта 952; полное условие сохранено на странице VIS_ID.</x:v>
      </x:c>
      <x:c r="N5197" s="30" t="str">
        <x:v>international</x:v>
      </x:c>
      <x:c r="O5197" s="30"/>
      <x:c r="P5197" s="30"/>
      <x:c r="Q5197" s="30" t="str">
        <x:v>Независимо решено по условию; проверена грамматика, лексика или логика текста.</x:v>
      </x:c>
      <x:c r="R5197" s="30"/>
      <x:c r="S5197" s="30" t="str">
        <x:v>Независимая проверка по PDF задания</x:v>
      </x:c>
      <x:c r="T5197" s="30"/>
      <x:c r="U5197" s="30" t="str">
        <x:v>Канонический рабочий ответ.</x:v>
      </x:c>
      <x:c r="V5197" s="87" t="str">
        <x:v>VERIFIED</x:v>
      </x:c>
      <x:c r="W5197" s="87"/>
      <x:c r="X5197" s="87" t="str">
        <x:v>6</x:v>
      </x:c>
      <x:c r="Y5197" s="87"/>
      <x:c r="Z5197" s="87"/>
      <x:c r="AA5197" s="87"/>
      <x:c r="AB5197" s="87"/>
      <x:c r="AC5197" s="87" t="str">
        <x:v>VIS-EGKR-ENG-W25-TASK-952-P006</x:v>
      </x:c>
      <x:c r="AD5197" s="87"/>
      <x:c r="AE5197" s="87" t="str">
        <x:v>TASK</x:v>
      </x:c>
      <x:c r="AF5197" s="87" t="str">
        <x:v>VIS-EGKR-ENG-W25-TASK-952-P006: 6</x:v>
      </x:c>
      <x:c r="AG5197" s="87" t="str">
        <x:v>RESOLVED</x:v>
      </x:c>
      <x:c r="AH5197" s="87" t="str">
        <x:v>CROP_VERIFIED</x:v>
      </x:c>
      <x:c r="AI5197" s="30"/>
      <x:c r="AJ5197" s="87" t="str">
        <x:v>clean</x:v>
      </x:c>
      <x:c r="AK5197" s="87" t="str">
        <x:v>clean-v0.11</x:v>
      </x:c>
      <x:c r="AL5197" s="87" t="str">
        <x:v>statgrad_clean_continuation_v0_11(1).xlsx</x:v>
      </x:c>
      <x:c r="AM5197" s="87" t="str">
        <x:v>ENG_EGKR_952</x:v>
      </x:c>
      <x:c r="AN5197" s="87" t="n">
        <x:v>30</x:v>
      </x:c>
    </x:row>
    <x:row r="5198">
      <x:c r="A5198" s="87" t="n">
        <x:v>5197</x:v>
      </x:c>
      <x:c r="B5198" s="87" t="str">
        <x:v>EGKR-ENG-W25-952-30</x:v>
      </x:c>
      <x:c r="C5198" s="87" t="str">
        <x:v>ЕГКР</x:v>
      </x:c>
      <x:c r="D5198" s="87"/>
      <x:c r="E5198" s="87" t="str">
        <x:v>Зима 2025</x:v>
      </x:c>
      <x:c r="F5198" s="87" t="str">
        <x:v>11.12.2025</x:v>
      </x:c>
      <x:c r="G5198" s="87" t="str">
        <x:v>Английский язык</x:v>
      </x:c>
      <x:c r="H5198" s="87" t="n">
        <x:v>11</x:v>
      </x:c>
      <x:c r="I5198" s="87"/>
      <x:c r="J5198" s="87" t="str">
        <x:v>952</x:v>
      </x:c>
      <x:c r="K5198" s="87" t="n">
        <x:v>30</x:v>
      </x:c>
      <x:c r="L5198" s="87" t="str">
        <x:v>Лексика: выбор слова</x:v>
      </x:c>
      <x:c r="M5198" s="30" t="str">
        <x:v>Задание 30 письменной части варианта 952; полное условие сохранено на странице VIS_ID.</x:v>
      </x:c>
      <x:c r="N5198" s="30" t="str">
        <x:v>2</x:v>
      </x:c>
      <x:c r="O5198" s="30"/>
      <x:c r="P5198" s="30"/>
      <x:c r="Q5198" s="30" t="str">
        <x:v>Независимо решено по условию; проверена грамматика, лексика или логика текста.</x:v>
      </x:c>
      <x:c r="R5198" s="30"/>
      <x:c r="S5198" s="30" t="str">
        <x:v>Независимая проверка по PDF задания</x:v>
      </x:c>
      <x:c r="T5198" s="30"/>
      <x:c r="U5198" s="30" t="str">
        <x:v>Канонический рабочий ответ.</x:v>
      </x:c>
      <x:c r="V5198" s="87" t="str">
        <x:v>VERIFIED</x:v>
      </x:c>
      <x:c r="W5198" s="87"/>
      <x:c r="X5198" s="87" t="str">
        <x:v>7</x:v>
      </x:c>
      <x:c r="Y5198" s="87"/>
      <x:c r="Z5198" s="87"/>
      <x:c r="AA5198" s="87"/>
      <x:c r="AB5198" s="87"/>
      <x:c r="AC5198" s="87" t="str">
        <x:v>VIS-EGKR-ENG-W25-TASK-952-P007</x:v>
      </x:c>
      <x:c r="AD5198" s="87"/>
      <x:c r="AE5198" s="87" t="str">
        <x:v>TASK</x:v>
      </x:c>
      <x:c r="AF5198" s="87" t="str">
        <x:v>VIS-EGKR-ENG-W25-TASK-952-P007: 7</x:v>
      </x:c>
      <x:c r="AG5198" s="87" t="str">
        <x:v>RESOLVED</x:v>
      </x:c>
      <x:c r="AH5198" s="87" t="str">
        <x:v>CROP_VERIFIED</x:v>
      </x:c>
      <x:c r="AI5198" s="30"/>
      <x:c r="AJ5198" s="87" t="str">
        <x:v>clean</x:v>
      </x:c>
      <x:c r="AK5198" s="87" t="str">
        <x:v>clean-v0.11</x:v>
      </x:c>
      <x:c r="AL5198" s="87" t="str">
        <x:v>statgrad_clean_continuation_v0_11(1).xlsx</x:v>
      </x:c>
      <x:c r="AM5198" s="87" t="str">
        <x:v>ENG_EGKR_952</x:v>
      </x:c>
      <x:c r="AN5198" s="87" t="n">
        <x:v>31</x:v>
      </x:c>
    </x:row>
    <x:row r="5199">
      <x:c r="A5199" s="87" t="n">
        <x:v>5198</x:v>
      </x:c>
      <x:c r="B5199" s="87" t="str">
        <x:v>EGKR-ENG-W25-952-31</x:v>
      </x:c>
      <x:c r="C5199" s="87" t="str">
        <x:v>ЕГКР</x:v>
      </x:c>
      <x:c r="D5199" s="87"/>
      <x:c r="E5199" s="87" t="str">
        <x:v>Зима 2025</x:v>
      </x:c>
      <x:c r="F5199" s="87" t="str">
        <x:v>11.12.2025</x:v>
      </x:c>
      <x:c r="G5199" s="87" t="str">
        <x:v>Английский язык</x:v>
      </x:c>
      <x:c r="H5199" s="87" t="n">
        <x:v>11</x:v>
      </x:c>
      <x:c r="I5199" s="87"/>
      <x:c r="J5199" s="87" t="str">
        <x:v>952</x:v>
      </x:c>
      <x:c r="K5199" s="87" t="n">
        <x:v>31</x:v>
      </x:c>
      <x:c r="L5199" s="87" t="str">
        <x:v>Лексика: выбор слова</x:v>
      </x:c>
      <x:c r="M5199" s="30" t="str">
        <x:v>Задание 31 письменной части варианта 952; полное условие сохранено на странице VIS_ID.</x:v>
      </x:c>
      <x:c r="N5199" s="30" t="str">
        <x:v>3</x:v>
      </x:c>
      <x:c r="O5199" s="30"/>
      <x:c r="P5199" s="30"/>
      <x:c r="Q5199" s="30" t="str">
        <x:v>Независимо решено по условию; проверена грамматика, лексика или логика текста.</x:v>
      </x:c>
      <x:c r="R5199" s="30"/>
      <x:c r="S5199" s="30" t="str">
        <x:v>Независимая проверка по PDF задания</x:v>
      </x:c>
      <x:c r="T5199" s="30"/>
      <x:c r="U5199" s="30" t="str">
        <x:v>Канонический рабочий ответ.</x:v>
      </x:c>
      <x:c r="V5199" s="87" t="str">
        <x:v>VERIFIED</x:v>
      </x:c>
      <x:c r="W5199" s="87"/>
      <x:c r="X5199" s="87" t="str">
        <x:v>7</x:v>
      </x:c>
      <x:c r="Y5199" s="87"/>
      <x:c r="Z5199" s="87"/>
      <x:c r="AA5199" s="87"/>
      <x:c r="AB5199" s="87"/>
      <x:c r="AC5199" s="87" t="str">
        <x:v>VIS-EGKR-ENG-W25-TASK-952-P007</x:v>
      </x:c>
      <x:c r="AD5199" s="87"/>
      <x:c r="AE5199" s="87" t="str">
        <x:v>TASK</x:v>
      </x:c>
      <x:c r="AF5199" s="87" t="str">
        <x:v>VIS-EGKR-ENG-W25-TASK-952-P007: 7</x:v>
      </x:c>
      <x:c r="AG5199" s="87" t="str">
        <x:v>RESOLVED</x:v>
      </x:c>
      <x:c r="AH5199" s="87" t="str">
        <x:v>CROP_VERIFIED</x:v>
      </x:c>
      <x:c r="AI5199" s="30"/>
      <x:c r="AJ5199" s="87" t="str">
        <x:v>clean</x:v>
      </x:c>
      <x:c r="AK5199" s="87" t="str">
        <x:v>clean-v0.11</x:v>
      </x:c>
      <x:c r="AL5199" s="87" t="str">
        <x:v>statgrad_clean_continuation_v0_11(1).xlsx</x:v>
      </x:c>
      <x:c r="AM5199" s="87" t="str">
        <x:v>ENG_EGKR_952</x:v>
      </x:c>
      <x:c r="AN5199" s="87" t="n">
        <x:v>32</x:v>
      </x:c>
    </x:row>
    <x:row r="5200">
      <x:c r="A5200" s="87" t="n">
        <x:v>5199</x:v>
      </x:c>
      <x:c r="B5200" s="87" t="str">
        <x:v>EGKR-ENG-W25-952-32</x:v>
      </x:c>
      <x:c r="C5200" s="87" t="str">
        <x:v>ЕГКР</x:v>
      </x:c>
      <x:c r="D5200" s="87"/>
      <x:c r="E5200" s="87" t="str">
        <x:v>Зима 2025</x:v>
      </x:c>
      <x:c r="F5200" s="87" t="str">
        <x:v>11.12.2025</x:v>
      </x:c>
      <x:c r="G5200" s="87" t="str">
        <x:v>Английский язык</x:v>
      </x:c>
      <x:c r="H5200" s="87" t="n">
        <x:v>11</x:v>
      </x:c>
      <x:c r="I5200" s="87"/>
      <x:c r="J5200" s="87" t="str">
        <x:v>952</x:v>
      </x:c>
      <x:c r="K5200" s="87" t="n">
        <x:v>32</x:v>
      </x:c>
      <x:c r="L5200" s="87" t="str">
        <x:v>Лексика: выбор слова</x:v>
      </x:c>
      <x:c r="M5200" s="30" t="str">
        <x:v>Задание 32 письменной части варианта 952; полное условие сохранено на странице VIS_ID.</x:v>
      </x:c>
      <x:c r="N5200" s="30" t="str">
        <x:v>2</x:v>
      </x:c>
      <x:c r="O5200" s="30"/>
      <x:c r="P5200" s="30"/>
      <x:c r="Q5200" s="30" t="str">
        <x:v>Независимо решено по условию; проверена грамматика, лексика или логика текста.</x:v>
      </x:c>
      <x:c r="R5200" s="30"/>
      <x:c r="S5200" s="30" t="str">
        <x:v>Независимая проверка по PDF задания</x:v>
      </x:c>
      <x:c r="T5200" s="30"/>
      <x:c r="U5200" s="30" t="str">
        <x:v>Канонический рабочий ответ.</x:v>
      </x:c>
      <x:c r="V5200" s="87" t="str">
        <x:v>VERIFIED</x:v>
      </x:c>
      <x:c r="W5200" s="87"/>
      <x:c r="X5200" s="87" t="str">
        <x:v>7</x:v>
      </x:c>
      <x:c r="Y5200" s="87"/>
      <x:c r="Z5200" s="87"/>
      <x:c r="AA5200" s="87"/>
      <x:c r="AB5200" s="87"/>
      <x:c r="AC5200" s="87" t="str">
        <x:v>VIS-EGKR-ENG-W25-TASK-952-P007</x:v>
      </x:c>
      <x:c r="AD5200" s="87"/>
      <x:c r="AE5200" s="87" t="str">
        <x:v>TASK</x:v>
      </x:c>
      <x:c r="AF5200" s="87" t="str">
        <x:v>VIS-EGKR-ENG-W25-TASK-952-P007: 7</x:v>
      </x:c>
      <x:c r="AG5200" s="87" t="str">
        <x:v>RESOLVED</x:v>
      </x:c>
      <x:c r="AH5200" s="87" t="str">
        <x:v>CROP_VERIFIED</x:v>
      </x:c>
      <x:c r="AI5200" s="30"/>
      <x:c r="AJ5200" s="87" t="str">
        <x:v>clean</x:v>
      </x:c>
      <x:c r="AK5200" s="87" t="str">
        <x:v>clean-v0.11</x:v>
      </x:c>
      <x:c r="AL5200" s="87" t="str">
        <x:v>statgrad_clean_continuation_v0_11(1).xlsx</x:v>
      </x:c>
      <x:c r="AM5200" s="87" t="str">
        <x:v>ENG_EGKR_952</x:v>
      </x:c>
      <x:c r="AN5200" s="87" t="n">
        <x:v>33</x:v>
      </x:c>
    </x:row>
    <x:row r="5201">
      <x:c r="A5201" s="87" t="n">
        <x:v>5200</x:v>
      </x:c>
      <x:c r="B5201" s="87" t="str">
        <x:v>EGKR-ENG-W25-952-33</x:v>
      </x:c>
      <x:c r="C5201" s="87" t="str">
        <x:v>ЕГКР</x:v>
      </x:c>
      <x:c r="D5201" s="87"/>
      <x:c r="E5201" s="87" t="str">
        <x:v>Зима 2025</x:v>
      </x:c>
      <x:c r="F5201" s="87" t="str">
        <x:v>11.12.2025</x:v>
      </x:c>
      <x:c r="G5201" s="87" t="str">
        <x:v>Английский язык</x:v>
      </x:c>
      <x:c r="H5201" s="87" t="n">
        <x:v>11</x:v>
      </x:c>
      <x:c r="I5201" s="87"/>
      <x:c r="J5201" s="87" t="str">
        <x:v>952</x:v>
      </x:c>
      <x:c r="K5201" s="87" t="n">
        <x:v>33</x:v>
      </x:c>
      <x:c r="L5201" s="87" t="str">
        <x:v>Лексика: выбор слова</x:v>
      </x:c>
      <x:c r="M5201" s="30" t="str">
        <x:v>Задание 33 письменной части варианта 952; полное условие сохранено на странице VIS_ID.</x:v>
      </x:c>
      <x:c r="N5201" s="30" t="str">
        <x:v>4</x:v>
      </x:c>
      <x:c r="O5201" s="30"/>
      <x:c r="P5201" s="30"/>
      <x:c r="Q5201" s="30" t="str">
        <x:v>Независимо решено по условию; проверена грамматика, лексика или логика текста.</x:v>
      </x:c>
      <x:c r="R5201" s="30"/>
      <x:c r="S5201" s="30" t="str">
        <x:v>Независимая проверка по PDF задания</x:v>
      </x:c>
      <x:c r="T5201" s="30"/>
      <x:c r="U5201" s="30" t="str">
        <x:v>Канонический рабочий ответ.</x:v>
      </x:c>
      <x:c r="V5201" s="87" t="str">
        <x:v>VERIFIED</x:v>
      </x:c>
      <x:c r="W5201" s="87"/>
      <x:c r="X5201" s="87" t="str">
        <x:v>7</x:v>
      </x:c>
      <x:c r="Y5201" s="87"/>
      <x:c r="Z5201" s="87"/>
      <x:c r="AA5201" s="87"/>
      <x:c r="AB5201" s="87"/>
      <x:c r="AC5201" s="87" t="str">
        <x:v>VIS-EGKR-ENG-W25-TASK-952-P007</x:v>
      </x:c>
      <x:c r="AD5201" s="87"/>
      <x:c r="AE5201" s="87" t="str">
        <x:v>TASK</x:v>
      </x:c>
      <x:c r="AF5201" s="87" t="str">
        <x:v>VIS-EGKR-ENG-W25-TASK-952-P007: 7</x:v>
      </x:c>
      <x:c r="AG5201" s="87" t="str">
        <x:v>RESOLVED</x:v>
      </x:c>
      <x:c r="AH5201" s="87" t="str">
        <x:v>CROP_VERIFIED</x:v>
      </x:c>
      <x:c r="AI5201" s="30"/>
      <x:c r="AJ5201" s="87" t="str">
        <x:v>clean</x:v>
      </x:c>
      <x:c r="AK5201" s="87" t="str">
        <x:v>clean-v0.11</x:v>
      </x:c>
      <x:c r="AL5201" s="87" t="str">
        <x:v>statgrad_clean_continuation_v0_11(1).xlsx</x:v>
      </x:c>
      <x:c r="AM5201" s="87" t="str">
        <x:v>ENG_EGKR_952</x:v>
      </x:c>
      <x:c r="AN5201" s="87" t="n">
        <x:v>34</x:v>
      </x:c>
    </x:row>
    <x:row r="5202">
      <x:c r="A5202" s="87" t="n">
        <x:v>5201</x:v>
      </x:c>
      <x:c r="B5202" s="87" t="str">
        <x:v>EGKR-ENG-W25-952-34</x:v>
      </x:c>
      <x:c r="C5202" s="87" t="str">
        <x:v>ЕГКР</x:v>
      </x:c>
      <x:c r="D5202" s="87"/>
      <x:c r="E5202" s="87" t="str">
        <x:v>Зима 2025</x:v>
      </x:c>
      <x:c r="F5202" s="87" t="str">
        <x:v>11.12.2025</x:v>
      </x:c>
      <x:c r="G5202" s="87" t="str">
        <x:v>Английский язык</x:v>
      </x:c>
      <x:c r="H5202" s="87" t="n">
        <x:v>11</x:v>
      </x:c>
      <x:c r="I5202" s="87"/>
      <x:c r="J5202" s="87" t="str">
        <x:v>952</x:v>
      </x:c>
      <x:c r="K5202" s="87" t="n">
        <x:v>34</x:v>
      </x:c>
      <x:c r="L5202" s="87" t="str">
        <x:v>Лексика: выбор слова</x:v>
      </x:c>
      <x:c r="M5202" s="30" t="str">
        <x:v>Задание 34 письменной части варианта 952; полное условие сохранено на странице VIS_ID.</x:v>
      </x:c>
      <x:c r="N5202" s="30" t="str">
        <x:v>1</x:v>
      </x:c>
      <x:c r="O5202" s="30"/>
      <x:c r="P5202" s="30"/>
      <x:c r="Q5202" s="30" t="str">
        <x:v>Независимо решено по условию; проверена грамматика, лексика или логика текста.</x:v>
      </x:c>
      <x:c r="R5202" s="30"/>
      <x:c r="S5202" s="30" t="str">
        <x:v>Независимая проверка по PDF задания</x:v>
      </x:c>
      <x:c r="T5202" s="30"/>
      <x:c r="U5202" s="30" t="str">
        <x:v>Канонический рабочий ответ.</x:v>
      </x:c>
      <x:c r="V5202" s="87" t="str">
        <x:v>VERIFIED</x:v>
      </x:c>
      <x:c r="W5202" s="87"/>
      <x:c r="X5202" s="87" t="str">
        <x:v>7</x:v>
      </x:c>
      <x:c r="Y5202" s="87"/>
      <x:c r="Z5202" s="87"/>
      <x:c r="AA5202" s="87"/>
      <x:c r="AB5202" s="87"/>
      <x:c r="AC5202" s="87" t="str">
        <x:v>VIS-EGKR-ENG-W25-TASK-952-P007</x:v>
      </x:c>
      <x:c r="AD5202" s="87"/>
      <x:c r="AE5202" s="87" t="str">
        <x:v>TASK</x:v>
      </x:c>
      <x:c r="AF5202" s="87" t="str">
        <x:v>VIS-EGKR-ENG-W25-TASK-952-P007: 7</x:v>
      </x:c>
      <x:c r="AG5202" s="87" t="str">
        <x:v>RESOLVED</x:v>
      </x:c>
      <x:c r="AH5202" s="87" t="str">
        <x:v>CROP_VERIFIED</x:v>
      </x:c>
      <x:c r="AI5202" s="30"/>
      <x:c r="AJ5202" s="87" t="str">
        <x:v>clean</x:v>
      </x:c>
      <x:c r="AK5202" s="87" t="str">
        <x:v>clean-v0.11</x:v>
      </x:c>
      <x:c r="AL5202" s="87" t="str">
        <x:v>statgrad_clean_continuation_v0_11(1).xlsx</x:v>
      </x:c>
      <x:c r="AM5202" s="87" t="str">
        <x:v>ENG_EGKR_952</x:v>
      </x:c>
      <x:c r="AN5202" s="87" t="n">
        <x:v>35</x:v>
      </x:c>
    </x:row>
    <x:row r="5203">
      <x:c r="A5203" s="87" t="n">
        <x:v>5202</x:v>
      </x:c>
      <x:c r="B5203" s="87" t="str">
        <x:v>EGKR-ENG-W25-952-35</x:v>
      </x:c>
      <x:c r="C5203" s="87" t="str">
        <x:v>ЕГКР</x:v>
      </x:c>
      <x:c r="D5203" s="87"/>
      <x:c r="E5203" s="87" t="str">
        <x:v>Зима 2025</x:v>
      </x:c>
      <x:c r="F5203" s="87" t="str">
        <x:v>11.12.2025</x:v>
      </x:c>
      <x:c r="G5203" s="87" t="str">
        <x:v>Английский язык</x:v>
      </x:c>
      <x:c r="H5203" s="87" t="n">
        <x:v>11</x:v>
      </x:c>
      <x:c r="I5203" s="87"/>
      <x:c r="J5203" s="87" t="str">
        <x:v>952</x:v>
      </x:c>
      <x:c r="K5203" s="87" t="n">
        <x:v>35</x:v>
      </x:c>
      <x:c r="L5203" s="87" t="str">
        <x:v>Лексика: выбор слова</x:v>
      </x:c>
      <x:c r="M5203" s="30" t="str">
        <x:v>Задание 35 письменной части варианта 952; полное условие сохранено на странице VIS_ID.</x:v>
      </x:c>
      <x:c r="N5203" s="30" t="str">
        <x:v>3</x:v>
      </x:c>
      <x:c r="O5203" s="30"/>
      <x:c r="P5203" s="30"/>
      <x:c r="Q5203" s="30" t="str">
        <x:v>Независимо решено по условию; проверена грамматика, лексика или логика текста.</x:v>
      </x:c>
      <x:c r="R5203" s="30"/>
      <x:c r="S5203" s="30" t="str">
        <x:v>Независимая проверка по PDF задания</x:v>
      </x:c>
      <x:c r="T5203" s="30"/>
      <x:c r="U5203" s="30" t="str">
        <x:v>Канонический рабочий ответ.</x:v>
      </x:c>
      <x:c r="V5203" s="87" t="str">
        <x:v>VERIFIED</x:v>
      </x:c>
      <x:c r="W5203" s="87"/>
      <x:c r="X5203" s="87" t="str">
        <x:v>7</x:v>
      </x:c>
      <x:c r="Y5203" s="87"/>
      <x:c r="Z5203" s="87"/>
      <x:c r="AA5203" s="87"/>
      <x:c r="AB5203" s="87"/>
      <x:c r="AC5203" s="87" t="str">
        <x:v>VIS-EGKR-ENG-W25-TASK-952-P007</x:v>
      </x:c>
      <x:c r="AD5203" s="87"/>
      <x:c r="AE5203" s="87" t="str">
        <x:v>TASK</x:v>
      </x:c>
      <x:c r="AF5203" s="87" t="str">
        <x:v>VIS-EGKR-ENG-W25-TASK-952-P007: 7</x:v>
      </x:c>
      <x:c r="AG5203" s="87" t="str">
        <x:v>RESOLVED</x:v>
      </x:c>
      <x:c r="AH5203" s="87" t="str">
        <x:v>CROP_VERIFIED</x:v>
      </x:c>
      <x:c r="AI5203" s="30"/>
      <x:c r="AJ5203" s="87" t="str">
        <x:v>clean</x:v>
      </x:c>
      <x:c r="AK5203" s="87" t="str">
        <x:v>clean-v0.11</x:v>
      </x:c>
      <x:c r="AL5203" s="87" t="str">
        <x:v>statgrad_clean_continuation_v0_11(1).xlsx</x:v>
      </x:c>
      <x:c r="AM5203" s="87" t="str">
        <x:v>ENG_EGKR_952</x:v>
      </x:c>
      <x:c r="AN5203" s="87" t="n">
        <x:v>36</x:v>
      </x:c>
    </x:row>
    <x:row r="5204">
      <x:c r="A5204" s="87" t="n">
        <x:v>5203</x:v>
      </x:c>
      <x:c r="B5204" s="87" t="str">
        <x:v>EGKR-ENG-W25-952-36</x:v>
      </x:c>
      <x:c r="C5204" s="87" t="str">
        <x:v>ЕГКР</x:v>
      </x:c>
      <x:c r="D5204" s="87"/>
      <x:c r="E5204" s="87" t="str">
        <x:v>Зима 2025</x:v>
      </x:c>
      <x:c r="F5204" s="87" t="str">
        <x:v>11.12.2025</x:v>
      </x:c>
      <x:c r="G5204" s="87" t="str">
        <x:v>Английский язык</x:v>
      </x:c>
      <x:c r="H5204" s="87" t="n">
        <x:v>11</x:v>
      </x:c>
      <x:c r="I5204" s="87"/>
      <x:c r="J5204" s="87" t="str">
        <x:v>952</x:v>
      </x:c>
      <x:c r="K5204" s="87" t="n">
        <x:v>36</x:v>
      </x:c>
      <x:c r="L5204" s="87" t="str">
        <x:v>Лексика: выбор слова</x:v>
      </x:c>
      <x:c r="M5204" s="30" t="str">
        <x:v>Задание 36 письменной части варианта 952; полное условие сохранено на странице VIS_ID.</x:v>
      </x:c>
      <x:c r="N5204" s="30" t="str">
        <x:v>1</x:v>
      </x:c>
      <x:c r="O5204" s="30"/>
      <x:c r="P5204" s="30"/>
      <x:c r="Q5204" s="30" t="str">
        <x:v>Независимо решено по условию; проверена грамматика, лексика или логика текста.</x:v>
      </x:c>
      <x:c r="R5204" s="30"/>
      <x:c r="S5204" s="30" t="str">
        <x:v>Независимая проверка по PDF задания</x:v>
      </x:c>
      <x:c r="T5204" s="30"/>
      <x:c r="U5204" s="30" t="str">
        <x:v>Канонический рабочий ответ.</x:v>
      </x:c>
      <x:c r="V5204" s="87" t="str">
        <x:v>VERIFIED</x:v>
      </x:c>
      <x:c r="W5204" s="87"/>
      <x:c r="X5204" s="87" t="str">
        <x:v>7</x:v>
      </x:c>
      <x:c r="Y5204" s="87"/>
      <x:c r="Z5204" s="87"/>
      <x:c r="AA5204" s="87"/>
      <x:c r="AB5204" s="87"/>
      <x:c r="AC5204" s="87" t="str">
        <x:v>VIS-EGKR-ENG-W25-TASK-952-P007</x:v>
      </x:c>
      <x:c r="AD5204" s="87"/>
      <x:c r="AE5204" s="87" t="str">
        <x:v>TASK</x:v>
      </x:c>
      <x:c r="AF5204" s="87" t="str">
        <x:v>VIS-EGKR-ENG-W25-TASK-952-P007: 7</x:v>
      </x:c>
      <x:c r="AG5204" s="87" t="str">
        <x:v>RESOLVED</x:v>
      </x:c>
      <x:c r="AH5204" s="87" t="str">
        <x:v>CROP_VERIFIED</x:v>
      </x:c>
      <x:c r="AI5204" s="30"/>
      <x:c r="AJ5204" s="87" t="str">
        <x:v>clean</x:v>
      </x:c>
      <x:c r="AK5204" s="87" t="str">
        <x:v>clean-v0.11</x:v>
      </x:c>
      <x:c r="AL5204" s="87" t="str">
        <x:v>statgrad_clean_continuation_v0_11(1).xlsx</x:v>
      </x:c>
      <x:c r="AM5204" s="87" t="str">
        <x:v>ENG_EGKR_952</x:v>
      </x:c>
      <x:c r="AN5204" s="87" t="n">
        <x:v>37</x:v>
      </x:c>
    </x:row>
    <x:row r="5205">
      <x:c r="A5205" s="87" t="n">
        <x:v>5204</x:v>
      </x:c>
      <x:c r="B5205" s="87" t="str">
        <x:v>EGKR-ENG-W25-952-37</x:v>
      </x:c>
      <x:c r="C5205" s="87" t="str">
        <x:v>ЕГКР</x:v>
      </x:c>
      <x:c r="D5205" s="87"/>
      <x:c r="E5205" s="87" t="str">
        <x:v>Зима 2025</x:v>
      </x:c>
      <x:c r="F5205" s="87" t="str">
        <x:v>11.12.2025</x:v>
      </x:c>
      <x:c r="G5205" s="87" t="str">
        <x:v>Английский язык</x:v>
      </x:c>
      <x:c r="H5205" s="87" t="n">
        <x:v>11</x:v>
      </x:c>
      <x:c r="I5205" s="87"/>
      <x:c r="J5205" s="87" t="str">
        <x:v>952</x:v>
      </x:c>
      <x:c r="K5205" s="87" t="n">
        <x:v>37</x:v>
      </x:c>
      <x:c r="L5205" s="87" t="str">
        <x:v>Письменная речь: личное электронное письмо</x:v>
      </x:c>
      <x:c r="M5205" s="30" t="str">
        <x:v>Ответить Софи о качествах друга и изменении характера; задать три вопроса о местном художественном музее.</x:v>
      </x:c>
      <x:c r="N5205" s="30" t="str">
        <x:v>Hi Sophie,
Thanks for your email. I do not think kindness is the only essential quality in a friend: honesty and reliability matter just as much. In Russia, many people particularly value sincerity because it helps friends trust one another and speak openly about problems. I believe people can change some aspects of their character over time. New responsibilities, experience and self-reflection can make a person more patient or confident, although basic temperament often remains the same.
Your museum visit sounds interesting! Where is the museum located? What kind of art does it display? Are there any special exhibitions next week?
Best wishes,
Alex</x:v>
      </x:c>
      <x:c r="O5205" s="30"/>
      <x:c r="P5205" s="30"/>
      <x:c r="Q5205" s="30" t="str">
        <x:v>Подготовлена оригинальная модель с соблюдением формата и объёма ЕГЭ.</x:v>
      </x:c>
      <x:c r="R5205" s="30"/>
      <x:c r="S5205" s="30" t="str">
        <x:v>Авторская модель по исходному заданию</x:v>
      </x:c>
      <x:c r="T5205" s="30"/>
      <x:c r="U5205" s="30" t="str">
        <x:v>Модель письма 100–140 слов.</x:v>
      </x:c>
      <x:c r="V5205" s="87" t="str">
        <x:v>MODEL_READY</x:v>
      </x:c>
      <x:c r="W5205" s="87"/>
      <x:c r="X5205" s="87" t="str">
        <x:v>8</x:v>
      </x:c>
      <x:c r="Y5205" s="87"/>
      <x:c r="Z5205" s="87"/>
      <x:c r="AA5205" s="87"/>
      <x:c r="AB5205" s="87"/>
      <x:c r="AC5205" s="87" t="str">
        <x:v>VIS-EGKR-ENG-W25-TASK-952-P008</x:v>
      </x:c>
      <x:c r="AD5205" s="87"/>
      <x:c r="AE5205" s="87" t="str">
        <x:v>TASK</x:v>
      </x:c>
      <x:c r="AF5205" s="87" t="str">
        <x:v>VIS-EGKR-ENG-W25-TASK-952-P008: 8</x:v>
      </x:c>
      <x:c r="AG5205" s="87" t="str">
        <x:v>RESOLVED</x:v>
      </x:c>
      <x:c r="AH5205" s="87" t="str">
        <x:v>CROP_VERIFIED</x:v>
      </x:c>
      <x:c r="AI5205" s="30"/>
      <x:c r="AJ5205" s="87" t="str">
        <x:v>clean</x:v>
      </x:c>
      <x:c r="AK5205" s="87" t="str">
        <x:v>clean-v0.11</x:v>
      </x:c>
      <x:c r="AL5205" s="87" t="str">
        <x:v>statgrad_clean_continuation_v0_11(1).xlsx</x:v>
      </x:c>
      <x:c r="AM5205" s="87" t="str">
        <x:v>ENG_EGKR_952</x:v>
      </x:c>
      <x:c r="AN5205" s="87" t="n">
        <x:v>38</x:v>
      </x:c>
    </x:row>
    <x:row r="5206">
      <x:c r="A5206" s="87" t="n">
        <x:v>5205</x:v>
      </x:c>
      <x:c r="B5206" s="87" t="str">
        <x:v>EGKR-ENG-W25-952-38</x:v>
      </x:c>
      <x:c r="C5206" s="87" t="str">
        <x:v>ЕГКР</x:v>
      </x:c>
      <x:c r="D5206" s="87"/>
      <x:c r="E5206" s="87" t="str">
        <x:v>Зима 2025</x:v>
      </x:c>
      <x:c r="F5206" s="87" t="str">
        <x:v>11.12.2025</x:v>
      </x:c>
      <x:c r="G5206" s="87" t="str">
        <x:v>Английский язык</x:v>
      </x:c>
      <x:c r="H5206" s="87" t="n">
        <x:v>11</x:v>
      </x:c>
      <x:c r="I5206" s="87"/>
      <x:c r="J5206" s="87" t="str">
        <x:v>952</x:v>
      </x:c>
      <x:c r="K5206" s="87" t="n">
        <x:v>38</x:v>
      </x:c>
      <x:c r="L5206" s="87" t="str">
        <x:v>Письменная речь: проектное высказывание</x:v>
      </x:c>
      <x:c r="M5206" s="30" t="str">
        <x:v>Выбрать 38.1 (профессии и публичные выступления) или 38.2 (кемпинг); модель дана для 38.1.</x:v>
      </x:c>
      <x:c r="N5206" s="30" t="str">
        <x:v>Public speaking is important in many careers, and I have analysed survey data showing which jobs Zetland university students associate with this skill most strongly.
Politicians rank first, with 27% of respondents, while reporters are a close second at 25%. Performers account for 23%, and teachers for 20%. Managers are mentioned by only 5% of respondents.
The figures for politicians and reporters differ by just two percentage points because both professions require regular communication with large audiences. Managers, however, are selected over five times less often than politicians. This result is surprising, since managers also need to present ideas, negotiate and motivate teams.
One common problem is stage fright, which may cause a speaker to forget important points or speak too quickly. A practical solution is to rehearse in front of a small friendly audience, record the speech and gradually move to larger groups.
In my opinion, public speaking training is essential because it develops confidence, clear thinking and the ability to persuade others. These skills improve career prospects in almost every professional field.</x:v>
      </x:c>
      <x:c r="O5206" s="30"/>
      <x:c r="P5206" s="30"/>
      <x:c r="Q5206" s="30" t="str">
        <x:v>Подготовлена оригинальная модель с соблюдением формата и объёма ЕГЭ.</x:v>
      </x:c>
      <x:c r="R5206" s="30"/>
      <x:c r="S5206" s="30" t="str">
        <x:v>Авторская модель по исходному заданию</x:v>
      </x:c>
      <x:c r="T5206" s="30"/>
      <x:c r="U5206" s="30" t="str">
        <x:v>Для задания 38 использована тема 38.1; альтернатива 38.2 сохранена отдельно.</x:v>
      </x:c>
      <x:c r="V5206" s="87" t="str">
        <x:v>MODEL_READY</x:v>
      </x:c>
      <x:c r="W5206" s="87"/>
      <x:c r="X5206" s="87" t="str">
        <x:v>8-9</x:v>
      </x:c>
      <x:c r="Y5206" s="87"/>
      <x:c r="Z5206" s="87"/>
      <x:c r="AA5206" s="87"/>
      <x:c r="AB5206" s="87"/>
      <x:c r="AC5206" s="87" t="str">
        <x:v>VIS-EGKR-ENG-W25-TASK-952-P008</x:v>
      </x:c>
      <x:c r="AD5206" s="87"/>
      <x:c r="AE5206" s="87" t="str">
        <x:v>TASK</x:v>
      </x:c>
      <x:c r="AF5206" s="87" t="str">
        <x:v>VIS-EGKR-ENG-W25-TASK-952-P008: 8</x:v>
      </x:c>
      <x:c r="AG5206" s="87" t="str">
        <x:v>RESOLVED</x:v>
      </x:c>
      <x:c r="AH5206" s="87" t="str">
        <x:v>CROP_VERIFIED</x:v>
      </x:c>
      <x:c r="AI5206" s="30"/>
      <x:c r="AJ5206" s="87" t="str">
        <x:v>clean</x:v>
      </x:c>
      <x:c r="AK5206" s="87" t="str">
        <x:v>clean-v0.11</x:v>
      </x:c>
      <x:c r="AL5206" s="87" t="str">
        <x:v>statgrad_clean_continuation_v0_11(1).xlsx</x:v>
      </x:c>
      <x:c r="AM5206" s="87" t="str">
        <x:v>ENG_EGKR_952</x:v>
      </x:c>
      <x:c r="AN5206" s="87" t="n">
        <x:v>39</x:v>
      </x:c>
    </x:row>
    <x:row r="5207">
      <x:c r="A5207" s="87" t="n">
        <x:v>5206</x:v>
      </x:c>
      <x:c r="B5207" s="87" t="str">
        <x:v>EGKR-ENG-W25-953-01</x:v>
      </x:c>
      <x:c r="C5207" s="87" t="str">
        <x:v>ЕГКР</x:v>
      </x:c>
      <x:c r="D5207" s="87"/>
      <x:c r="E5207" s="87" t="str">
        <x:v>Зима 2025</x:v>
      </x:c>
      <x:c r="F5207" s="87" t="str">
        <x:v>11.12.2025</x:v>
      </x:c>
      <x:c r="G5207" s="87" t="str">
        <x:v>Английский язык</x:v>
      </x:c>
      <x:c r="H5207" s="87" t="n">
        <x:v>11</x:v>
      </x:c>
      <x:c r="I5207" s="87"/>
      <x:c r="J5207" s="87" t="str">
        <x:v>953</x:v>
      </x:c>
      <x:c r="K5207" s="87" t="n">
        <x:v>1</x:v>
      </x:c>
      <x:c r="L5207" s="87" t="str">
        <x:v>Аудирование: соответствие высказываний</x:v>
      </x:c>
      <x:c r="M5207" s="30" t="str">
        <x:v>Задание 1 раздела «Аудирование»; полное условие и варианты ответа сохранены на странице VIS_ID.</x:v>
      </x:c>
      <x:c r="N5207" s="30"/>
      <x:c r="O5207" s="30"/>
      <x:c r="P5207" s="30"/>
      <x:c r="Q5207" s="30" t="str">
        <x:v>В комплекте нет официального ключа или расшифровки L2; ответ не выдуман.</x:v>
      </x:c>
      <x:c r="R5207" s="30"/>
      <x:c r="S5207" s="30" t="str">
        <x:v>L2.mp3</x:v>
      </x:c>
      <x:c r="T5207" s="30"/>
      <x:c r="U5207" s="30" t="str">
        <x:v>Требуется подтверждение прослушиванием.</x:v>
      </x:c>
      <x:c r="V5207" s="87" t="str">
        <x:v>AUDIO_PENDING</x:v>
      </x:c>
      <x:c r="W5207" s="87"/>
      <x:c r="X5207" s="87" t="str">
        <x:v>1</x:v>
      </x:c>
      <x:c r="Y5207" s="87"/>
      <x:c r="Z5207" s="87"/>
      <x:c r="AA5207" s="87"/>
      <x:c r="AB5207" s="87"/>
      <x:c r="AC5207" s="87" t="str">
        <x:v>VIS-EGKR-ENG-W25-TASK-953-P001</x:v>
      </x:c>
      <x:c r="AD5207" s="87"/>
      <x:c r="AE5207" s="87" t="str">
        <x:v>TASK</x:v>
      </x:c>
      <x:c r="AF5207" s="87" t="str">
        <x:v>VIS-EGKR-ENG-W25-TASK-953-P001: 1</x:v>
      </x:c>
      <x:c r="AG5207" s="87" t="str">
        <x:v>RESOLVED</x:v>
      </x:c>
      <x:c r="AH5207" s="87" t="str">
        <x:v>CROP_VERIFIED</x:v>
      </x:c>
      <x:c r="AI5207" s="30"/>
      <x:c r="AJ5207" s="87" t="str">
        <x:v>clean</x:v>
      </x:c>
      <x:c r="AK5207" s="87" t="str">
        <x:v>clean-v0.11</x:v>
      </x:c>
      <x:c r="AL5207" s="87" t="str">
        <x:v>statgrad_clean_continuation_v0_11(1).xlsx</x:v>
      </x:c>
      <x:c r="AM5207" s="87" t="str">
        <x:v>ENG_EGKR_953</x:v>
      </x:c>
      <x:c r="AN5207" s="87" t="n">
        <x:v>2</x:v>
      </x:c>
    </x:row>
    <x:row r="5208">
      <x:c r="A5208" s="87" t="n">
        <x:v>5207</x:v>
      </x:c>
      <x:c r="B5208" s="87" t="str">
        <x:v>EGKR-ENG-W25-953-02</x:v>
      </x:c>
      <x:c r="C5208" s="87" t="str">
        <x:v>ЕГКР</x:v>
      </x:c>
      <x:c r="D5208" s="87"/>
      <x:c r="E5208" s="87" t="str">
        <x:v>Зима 2025</x:v>
      </x:c>
      <x:c r="F5208" s="87" t="str">
        <x:v>11.12.2025</x:v>
      </x:c>
      <x:c r="G5208" s="87" t="str">
        <x:v>Английский язык</x:v>
      </x:c>
      <x:c r="H5208" s="87" t="n">
        <x:v>11</x:v>
      </x:c>
      <x:c r="I5208" s="87"/>
      <x:c r="J5208" s="87" t="str">
        <x:v>953</x:v>
      </x:c>
      <x:c r="K5208" s="87" t="n">
        <x:v>2</x:v>
      </x:c>
      <x:c r="L5208" s="87" t="str">
        <x:v>Аудирование: True / False / Not stated</x:v>
      </x:c>
      <x:c r="M5208" s="30" t="str">
        <x:v>Задание 2 раздела «Аудирование»; полное условие и варианты ответа сохранены на странице VIS_ID.</x:v>
      </x:c>
      <x:c r="N5208" s="30"/>
      <x:c r="O5208" s="30"/>
      <x:c r="P5208" s="30"/>
      <x:c r="Q5208" s="30" t="str">
        <x:v>В комплекте нет официального ключа или расшифровки L2; ответ не выдуман.</x:v>
      </x:c>
      <x:c r="R5208" s="30"/>
      <x:c r="S5208" s="30" t="str">
        <x:v>L2.mp3</x:v>
      </x:c>
      <x:c r="T5208" s="30"/>
      <x:c r="U5208" s="30" t="str">
        <x:v>Требуется подтверждение прослушиванием.</x:v>
      </x:c>
      <x:c r="V5208" s="87" t="str">
        <x:v>AUDIO_PENDING</x:v>
      </x:c>
      <x:c r="W5208" s="87"/>
      <x:c r="X5208" s="87" t="str">
        <x:v>1</x:v>
      </x:c>
      <x:c r="Y5208" s="87"/>
      <x:c r="Z5208" s="87"/>
      <x:c r="AA5208" s="87"/>
      <x:c r="AB5208" s="87"/>
      <x:c r="AC5208" s="87" t="str">
        <x:v>VIS-EGKR-ENG-W25-TASK-953-P001</x:v>
      </x:c>
      <x:c r="AD5208" s="87"/>
      <x:c r="AE5208" s="87" t="str">
        <x:v>TASK</x:v>
      </x:c>
      <x:c r="AF5208" s="87" t="str">
        <x:v>VIS-EGKR-ENG-W25-TASK-953-P001: 1</x:v>
      </x:c>
      <x:c r="AG5208" s="87" t="str">
        <x:v>RESOLVED</x:v>
      </x:c>
      <x:c r="AH5208" s="87" t="str">
        <x:v>CROP_VERIFIED</x:v>
      </x:c>
      <x:c r="AI5208" s="30"/>
      <x:c r="AJ5208" s="87" t="str">
        <x:v>clean</x:v>
      </x:c>
      <x:c r="AK5208" s="87" t="str">
        <x:v>clean-v0.11</x:v>
      </x:c>
      <x:c r="AL5208" s="87" t="str">
        <x:v>statgrad_clean_continuation_v0_11(1).xlsx</x:v>
      </x:c>
      <x:c r="AM5208" s="87" t="str">
        <x:v>ENG_EGKR_953</x:v>
      </x:c>
      <x:c r="AN5208" s="87" t="n">
        <x:v>3</x:v>
      </x:c>
    </x:row>
    <x:row r="5209">
      <x:c r="A5209" s="87" t="n">
        <x:v>5208</x:v>
      </x:c>
      <x:c r="B5209" s="87" t="str">
        <x:v>EGKR-ENG-W25-953-03</x:v>
      </x:c>
      <x:c r="C5209" s="87" t="str">
        <x:v>ЕГКР</x:v>
      </x:c>
      <x:c r="D5209" s="87"/>
      <x:c r="E5209" s="87" t="str">
        <x:v>Зима 2025</x:v>
      </x:c>
      <x:c r="F5209" s="87" t="str">
        <x:v>11.12.2025</x:v>
      </x:c>
      <x:c r="G5209" s="87" t="str">
        <x:v>Английский язык</x:v>
      </x:c>
      <x:c r="H5209" s="87" t="n">
        <x:v>11</x:v>
      </x:c>
      <x:c r="I5209" s="87"/>
      <x:c r="J5209" s="87" t="str">
        <x:v>953</x:v>
      </x:c>
      <x:c r="K5209" s="87" t="n">
        <x:v>3</x:v>
      </x:c>
      <x:c r="L5209" s="87" t="str">
        <x:v>Аудирование: интервью, выбор ответа</x:v>
      </x:c>
      <x:c r="M5209" s="30" t="str">
        <x:v>Задание 3 раздела «Аудирование»; полное условие и варианты ответа сохранены на странице VIS_ID.</x:v>
      </x:c>
      <x:c r="N5209" s="30"/>
      <x:c r="O5209" s="30"/>
      <x:c r="P5209" s="30"/>
      <x:c r="Q5209" s="30" t="str">
        <x:v>В комплекте нет официального ключа или расшифровки L2; ответ не выдуман.</x:v>
      </x:c>
      <x:c r="R5209" s="30"/>
      <x:c r="S5209" s="30" t="str">
        <x:v>L2.mp3</x:v>
      </x:c>
      <x:c r="T5209" s="30"/>
      <x:c r="U5209" s="30" t="str">
        <x:v>Требуется подтверждение прослушиванием.</x:v>
      </x:c>
      <x:c r="V5209" s="87" t="str">
        <x:v>AUDIO_PENDING</x:v>
      </x:c>
      <x:c r="W5209" s="87"/>
      <x:c r="X5209" s="87" t="str">
        <x:v>2</x:v>
      </x:c>
      <x:c r="Y5209" s="87"/>
      <x:c r="Z5209" s="87"/>
      <x:c r="AA5209" s="87"/>
      <x:c r="AB5209" s="87"/>
      <x:c r="AC5209" s="87" t="str">
        <x:v>VIS-EGKR-ENG-W25-TASK-953-P002</x:v>
      </x:c>
      <x:c r="AD5209" s="87"/>
      <x:c r="AE5209" s="87" t="str">
        <x:v>TASK</x:v>
      </x:c>
      <x:c r="AF5209" s="87" t="str">
        <x:v>VIS-EGKR-ENG-W25-TASK-953-P002: 2</x:v>
      </x:c>
      <x:c r="AG5209" s="87" t="str">
        <x:v>RESOLVED</x:v>
      </x:c>
      <x:c r="AH5209" s="87" t="str">
        <x:v>CROP_VERIFIED</x:v>
      </x:c>
      <x:c r="AI5209" s="30"/>
      <x:c r="AJ5209" s="87" t="str">
        <x:v>clean</x:v>
      </x:c>
      <x:c r="AK5209" s="87" t="str">
        <x:v>clean-v0.11</x:v>
      </x:c>
      <x:c r="AL5209" s="87" t="str">
        <x:v>statgrad_clean_continuation_v0_11(1).xlsx</x:v>
      </x:c>
      <x:c r="AM5209" s="87" t="str">
        <x:v>ENG_EGKR_953</x:v>
      </x:c>
      <x:c r="AN5209" s="87" t="n">
        <x:v>4</x:v>
      </x:c>
    </x:row>
    <x:row r="5210">
      <x:c r="A5210" s="87" t="n">
        <x:v>5209</x:v>
      </x:c>
      <x:c r="B5210" s="87" t="str">
        <x:v>EGKR-ENG-W25-953-04</x:v>
      </x:c>
      <x:c r="C5210" s="87" t="str">
        <x:v>ЕГКР</x:v>
      </x:c>
      <x:c r="D5210" s="87"/>
      <x:c r="E5210" s="87" t="str">
        <x:v>Зима 2025</x:v>
      </x:c>
      <x:c r="F5210" s="87" t="str">
        <x:v>11.12.2025</x:v>
      </x:c>
      <x:c r="G5210" s="87" t="str">
        <x:v>Английский язык</x:v>
      </x:c>
      <x:c r="H5210" s="87" t="n">
        <x:v>11</x:v>
      </x:c>
      <x:c r="I5210" s="87"/>
      <x:c r="J5210" s="87" t="str">
        <x:v>953</x:v>
      </x:c>
      <x:c r="K5210" s="87" t="n">
        <x:v>4</x:v>
      </x:c>
      <x:c r="L5210" s="87" t="str">
        <x:v>Аудирование: интервью, выбор ответа</x:v>
      </x:c>
      <x:c r="M5210" s="30" t="str">
        <x:v>Задание 4 раздела «Аудирование»; полное условие и варианты ответа сохранены на странице VIS_ID.</x:v>
      </x:c>
      <x:c r="N5210" s="30"/>
      <x:c r="O5210" s="30"/>
      <x:c r="P5210" s="30"/>
      <x:c r="Q5210" s="30" t="str">
        <x:v>В комплекте нет официального ключа или расшифровки L2; ответ не выдуман.</x:v>
      </x:c>
      <x:c r="R5210" s="30"/>
      <x:c r="S5210" s="30" t="str">
        <x:v>L2.mp3</x:v>
      </x:c>
      <x:c r="T5210" s="30"/>
      <x:c r="U5210" s="30" t="str">
        <x:v>Требуется подтверждение прослушиванием.</x:v>
      </x:c>
      <x:c r="V5210" s="87" t="str">
        <x:v>AUDIO_PENDING</x:v>
      </x:c>
      <x:c r="W5210" s="87"/>
      <x:c r="X5210" s="87" t="str">
        <x:v>2</x:v>
      </x:c>
      <x:c r="Y5210" s="87"/>
      <x:c r="Z5210" s="87"/>
      <x:c r="AA5210" s="87"/>
      <x:c r="AB5210" s="87"/>
      <x:c r="AC5210" s="87" t="str">
        <x:v>VIS-EGKR-ENG-W25-TASK-953-P002</x:v>
      </x:c>
      <x:c r="AD5210" s="87"/>
      <x:c r="AE5210" s="87" t="str">
        <x:v>TASK</x:v>
      </x:c>
      <x:c r="AF5210" s="87" t="str">
        <x:v>VIS-EGKR-ENG-W25-TASK-953-P002: 2</x:v>
      </x:c>
      <x:c r="AG5210" s="87" t="str">
        <x:v>RESOLVED</x:v>
      </x:c>
      <x:c r="AH5210" s="87" t="str">
        <x:v>CROP_VERIFIED</x:v>
      </x:c>
      <x:c r="AI5210" s="30"/>
      <x:c r="AJ5210" s="87" t="str">
        <x:v>clean</x:v>
      </x:c>
      <x:c r="AK5210" s="87" t="str">
        <x:v>clean-v0.11</x:v>
      </x:c>
      <x:c r="AL5210" s="87" t="str">
        <x:v>statgrad_clean_continuation_v0_11(1).xlsx</x:v>
      </x:c>
      <x:c r="AM5210" s="87" t="str">
        <x:v>ENG_EGKR_953</x:v>
      </x:c>
      <x:c r="AN5210" s="87" t="n">
        <x:v>5</x:v>
      </x:c>
    </x:row>
    <x:row r="5211">
      <x:c r="A5211" s="87" t="n">
        <x:v>5210</x:v>
      </x:c>
      <x:c r="B5211" s="87" t="str">
        <x:v>EGKR-ENG-W25-953-05</x:v>
      </x:c>
      <x:c r="C5211" s="87" t="str">
        <x:v>ЕГКР</x:v>
      </x:c>
      <x:c r="D5211" s="87"/>
      <x:c r="E5211" s="87" t="str">
        <x:v>Зима 2025</x:v>
      </x:c>
      <x:c r="F5211" s="87" t="str">
        <x:v>11.12.2025</x:v>
      </x:c>
      <x:c r="G5211" s="87" t="str">
        <x:v>Английский язык</x:v>
      </x:c>
      <x:c r="H5211" s="87" t="n">
        <x:v>11</x:v>
      </x:c>
      <x:c r="I5211" s="87"/>
      <x:c r="J5211" s="87" t="str">
        <x:v>953</x:v>
      </x:c>
      <x:c r="K5211" s="87" t="n">
        <x:v>5</x:v>
      </x:c>
      <x:c r="L5211" s="87" t="str">
        <x:v>Аудирование: интервью, выбор ответа</x:v>
      </x:c>
      <x:c r="M5211" s="30" t="str">
        <x:v>Задание 5 раздела «Аудирование»; полное условие и варианты ответа сохранены на странице VIS_ID.</x:v>
      </x:c>
      <x:c r="N5211" s="30"/>
      <x:c r="O5211" s="30"/>
      <x:c r="P5211" s="30"/>
      <x:c r="Q5211" s="30" t="str">
        <x:v>В комплекте нет официального ключа или расшифровки L2; ответ не выдуман.</x:v>
      </x:c>
      <x:c r="R5211" s="30"/>
      <x:c r="S5211" s="30" t="str">
        <x:v>L2.mp3</x:v>
      </x:c>
      <x:c r="T5211" s="30"/>
      <x:c r="U5211" s="30" t="str">
        <x:v>Требуется подтверждение прослушиванием.</x:v>
      </x:c>
      <x:c r="V5211" s="87" t="str">
        <x:v>AUDIO_PENDING</x:v>
      </x:c>
      <x:c r="W5211" s="87"/>
      <x:c r="X5211" s="87" t="str">
        <x:v>2</x:v>
      </x:c>
      <x:c r="Y5211" s="87"/>
      <x:c r="Z5211" s="87"/>
      <x:c r="AA5211" s="87"/>
      <x:c r="AB5211" s="87"/>
      <x:c r="AC5211" s="87" t="str">
        <x:v>VIS-EGKR-ENG-W25-TASK-953-P002</x:v>
      </x:c>
      <x:c r="AD5211" s="87"/>
      <x:c r="AE5211" s="87" t="str">
        <x:v>TASK</x:v>
      </x:c>
      <x:c r="AF5211" s="87" t="str">
        <x:v>VIS-EGKR-ENG-W25-TASK-953-P002: 2</x:v>
      </x:c>
      <x:c r="AG5211" s="87" t="str">
        <x:v>RESOLVED</x:v>
      </x:c>
      <x:c r="AH5211" s="87" t="str">
        <x:v>CROP_VERIFIED</x:v>
      </x:c>
      <x:c r="AI5211" s="30"/>
      <x:c r="AJ5211" s="87" t="str">
        <x:v>clean</x:v>
      </x:c>
      <x:c r="AK5211" s="87" t="str">
        <x:v>clean-v0.11</x:v>
      </x:c>
      <x:c r="AL5211" s="87" t="str">
        <x:v>statgrad_clean_continuation_v0_11(1).xlsx</x:v>
      </x:c>
      <x:c r="AM5211" s="87" t="str">
        <x:v>ENG_EGKR_953</x:v>
      </x:c>
      <x:c r="AN5211" s="87" t="n">
        <x:v>6</x:v>
      </x:c>
    </x:row>
    <x:row r="5212">
      <x:c r="A5212" s="87" t="n">
        <x:v>5211</x:v>
      </x:c>
      <x:c r="B5212" s="87" t="str">
        <x:v>EGKR-ENG-W25-953-06</x:v>
      </x:c>
      <x:c r="C5212" s="87" t="str">
        <x:v>ЕГКР</x:v>
      </x:c>
      <x:c r="D5212" s="87"/>
      <x:c r="E5212" s="87" t="str">
        <x:v>Зима 2025</x:v>
      </x:c>
      <x:c r="F5212" s="87" t="str">
        <x:v>11.12.2025</x:v>
      </x:c>
      <x:c r="G5212" s="87" t="str">
        <x:v>Английский язык</x:v>
      </x:c>
      <x:c r="H5212" s="87" t="n">
        <x:v>11</x:v>
      </x:c>
      <x:c r="I5212" s="87"/>
      <x:c r="J5212" s="87" t="str">
        <x:v>953</x:v>
      </x:c>
      <x:c r="K5212" s="87" t="n">
        <x:v>6</x:v>
      </x:c>
      <x:c r="L5212" s="87" t="str">
        <x:v>Аудирование: интервью, выбор ответа</x:v>
      </x:c>
      <x:c r="M5212" s="30" t="str">
        <x:v>Задание 6 раздела «Аудирование»; полное условие и варианты ответа сохранены на странице VIS_ID.</x:v>
      </x:c>
      <x:c r="N5212" s="30"/>
      <x:c r="O5212" s="30"/>
      <x:c r="P5212" s="30"/>
      <x:c r="Q5212" s="30" t="str">
        <x:v>В комплекте нет официального ключа или расшифровки L2; ответ не выдуман.</x:v>
      </x:c>
      <x:c r="R5212" s="30"/>
      <x:c r="S5212" s="30" t="str">
        <x:v>L2.mp3</x:v>
      </x:c>
      <x:c r="T5212" s="30"/>
      <x:c r="U5212" s="30" t="str">
        <x:v>Требуется подтверждение прослушиванием.</x:v>
      </x:c>
      <x:c r="V5212" s="87" t="str">
        <x:v>AUDIO_PENDING</x:v>
      </x:c>
      <x:c r="W5212" s="87"/>
      <x:c r="X5212" s="87" t="str">
        <x:v>2</x:v>
      </x:c>
      <x:c r="Y5212" s="87"/>
      <x:c r="Z5212" s="87"/>
      <x:c r="AA5212" s="87"/>
      <x:c r="AB5212" s="87"/>
      <x:c r="AC5212" s="87" t="str">
        <x:v>VIS-EGKR-ENG-W25-TASK-953-P002</x:v>
      </x:c>
      <x:c r="AD5212" s="87"/>
      <x:c r="AE5212" s="87" t="str">
        <x:v>TASK</x:v>
      </x:c>
      <x:c r="AF5212" s="87" t="str">
        <x:v>VIS-EGKR-ENG-W25-TASK-953-P002: 2</x:v>
      </x:c>
      <x:c r="AG5212" s="87" t="str">
        <x:v>RESOLVED</x:v>
      </x:c>
      <x:c r="AH5212" s="87" t="str">
        <x:v>CROP_VERIFIED</x:v>
      </x:c>
      <x:c r="AI5212" s="30"/>
      <x:c r="AJ5212" s="87" t="str">
        <x:v>clean</x:v>
      </x:c>
      <x:c r="AK5212" s="87" t="str">
        <x:v>clean-v0.11</x:v>
      </x:c>
      <x:c r="AL5212" s="87" t="str">
        <x:v>statgrad_clean_continuation_v0_11(1).xlsx</x:v>
      </x:c>
      <x:c r="AM5212" s="87" t="str">
        <x:v>ENG_EGKR_953</x:v>
      </x:c>
      <x:c r="AN5212" s="87" t="n">
        <x:v>7</x:v>
      </x:c>
    </x:row>
    <x:row r="5213">
      <x:c r="A5213" s="87" t="n">
        <x:v>5212</x:v>
      </x:c>
      <x:c r="B5213" s="87" t="str">
        <x:v>EGKR-ENG-W25-953-07</x:v>
      </x:c>
      <x:c r="C5213" s="87" t="str">
        <x:v>ЕГКР</x:v>
      </x:c>
      <x:c r="D5213" s="87"/>
      <x:c r="E5213" s="87" t="str">
        <x:v>Зима 2025</x:v>
      </x:c>
      <x:c r="F5213" s="87" t="str">
        <x:v>11.12.2025</x:v>
      </x:c>
      <x:c r="G5213" s="87" t="str">
        <x:v>Английский язык</x:v>
      </x:c>
      <x:c r="H5213" s="87" t="n">
        <x:v>11</x:v>
      </x:c>
      <x:c r="I5213" s="87"/>
      <x:c r="J5213" s="87" t="str">
        <x:v>953</x:v>
      </x:c>
      <x:c r="K5213" s="87" t="n">
        <x:v>7</x:v>
      </x:c>
      <x:c r="L5213" s="87" t="str">
        <x:v>Аудирование: интервью, выбор ответа</x:v>
      </x:c>
      <x:c r="M5213" s="30" t="str">
        <x:v>Задание 7 раздела «Аудирование»; полное условие и варианты ответа сохранены на странице VIS_ID.</x:v>
      </x:c>
      <x:c r="N5213" s="30"/>
      <x:c r="O5213" s="30"/>
      <x:c r="P5213" s="30"/>
      <x:c r="Q5213" s="30" t="str">
        <x:v>В комплекте нет официального ключа или расшифровки L2; ответ не выдуман.</x:v>
      </x:c>
      <x:c r="R5213" s="30"/>
      <x:c r="S5213" s="30" t="str">
        <x:v>L2.mp3</x:v>
      </x:c>
      <x:c r="T5213" s="30"/>
      <x:c r="U5213" s="30" t="str">
        <x:v>Требуется подтверждение прослушиванием.</x:v>
      </x:c>
      <x:c r="V5213" s="87" t="str">
        <x:v>AUDIO_PENDING</x:v>
      </x:c>
      <x:c r="W5213" s="87"/>
      <x:c r="X5213" s="87" t="str">
        <x:v>2</x:v>
      </x:c>
      <x:c r="Y5213" s="87"/>
      <x:c r="Z5213" s="87"/>
      <x:c r="AA5213" s="87"/>
      <x:c r="AB5213" s="87"/>
      <x:c r="AC5213" s="87" t="str">
        <x:v>VIS-EGKR-ENG-W25-TASK-953-P002</x:v>
      </x:c>
      <x:c r="AD5213" s="87"/>
      <x:c r="AE5213" s="87" t="str">
        <x:v>TASK</x:v>
      </x:c>
      <x:c r="AF5213" s="87" t="str">
        <x:v>VIS-EGKR-ENG-W25-TASK-953-P002: 2</x:v>
      </x:c>
      <x:c r="AG5213" s="87" t="str">
        <x:v>RESOLVED</x:v>
      </x:c>
      <x:c r="AH5213" s="87" t="str">
        <x:v>CROP_VERIFIED</x:v>
      </x:c>
      <x:c r="AI5213" s="30"/>
      <x:c r="AJ5213" s="87" t="str">
        <x:v>clean</x:v>
      </x:c>
      <x:c r="AK5213" s="87" t="str">
        <x:v>clean-v0.11</x:v>
      </x:c>
      <x:c r="AL5213" s="87" t="str">
        <x:v>statgrad_clean_continuation_v0_11(1).xlsx</x:v>
      </x:c>
      <x:c r="AM5213" s="87" t="str">
        <x:v>ENG_EGKR_953</x:v>
      </x:c>
      <x:c r="AN5213" s="87" t="n">
        <x:v>8</x:v>
      </x:c>
    </x:row>
    <x:row r="5214">
      <x:c r="A5214" s="87" t="n">
        <x:v>5213</x:v>
      </x:c>
      <x:c r="B5214" s="87" t="str">
        <x:v>EGKR-ENG-W25-953-08</x:v>
      </x:c>
      <x:c r="C5214" s="87" t="str">
        <x:v>ЕГКР</x:v>
      </x:c>
      <x:c r="D5214" s="87"/>
      <x:c r="E5214" s="87" t="str">
        <x:v>Зима 2025</x:v>
      </x:c>
      <x:c r="F5214" s="87" t="str">
        <x:v>11.12.2025</x:v>
      </x:c>
      <x:c r="G5214" s="87" t="str">
        <x:v>Английский язык</x:v>
      </x:c>
      <x:c r="H5214" s="87" t="n">
        <x:v>11</x:v>
      </x:c>
      <x:c r="I5214" s="87"/>
      <x:c r="J5214" s="87" t="str">
        <x:v>953</x:v>
      </x:c>
      <x:c r="K5214" s="87" t="n">
        <x:v>8</x:v>
      </x:c>
      <x:c r="L5214" s="87" t="str">
        <x:v>Аудирование: интервью, выбор ответа</x:v>
      </x:c>
      <x:c r="M5214" s="30" t="str">
        <x:v>Задание 8 раздела «Аудирование»; полное условие и варианты ответа сохранены на странице VIS_ID.</x:v>
      </x:c>
      <x:c r="N5214" s="30"/>
      <x:c r="O5214" s="30"/>
      <x:c r="P5214" s="30"/>
      <x:c r="Q5214" s="30" t="str">
        <x:v>В комплекте нет официального ключа или расшифровки L2; ответ не выдуман.</x:v>
      </x:c>
      <x:c r="R5214" s="30"/>
      <x:c r="S5214" s="30" t="str">
        <x:v>L2.mp3</x:v>
      </x:c>
      <x:c r="T5214" s="30"/>
      <x:c r="U5214" s="30" t="str">
        <x:v>Требуется подтверждение прослушиванием.</x:v>
      </x:c>
      <x:c r="V5214" s="87" t="str">
        <x:v>AUDIO_PENDING</x:v>
      </x:c>
      <x:c r="W5214" s="87"/>
      <x:c r="X5214" s="87" t="str">
        <x:v>2</x:v>
      </x:c>
      <x:c r="Y5214" s="87"/>
      <x:c r="Z5214" s="87"/>
      <x:c r="AA5214" s="87"/>
      <x:c r="AB5214" s="87"/>
      <x:c r="AC5214" s="87" t="str">
        <x:v>VIS-EGKR-ENG-W25-TASK-953-P002</x:v>
      </x:c>
      <x:c r="AD5214" s="87"/>
      <x:c r="AE5214" s="87" t="str">
        <x:v>TASK</x:v>
      </x:c>
      <x:c r="AF5214" s="87" t="str">
        <x:v>VIS-EGKR-ENG-W25-TASK-953-P002: 2</x:v>
      </x:c>
      <x:c r="AG5214" s="87" t="str">
        <x:v>RESOLVED</x:v>
      </x:c>
      <x:c r="AH5214" s="87" t="str">
        <x:v>CROP_VERIFIED</x:v>
      </x:c>
      <x:c r="AI5214" s="30"/>
      <x:c r="AJ5214" s="87" t="str">
        <x:v>clean</x:v>
      </x:c>
      <x:c r="AK5214" s="87" t="str">
        <x:v>clean-v0.11</x:v>
      </x:c>
      <x:c r="AL5214" s="87" t="str">
        <x:v>statgrad_clean_continuation_v0_11(1).xlsx</x:v>
      </x:c>
      <x:c r="AM5214" s="87" t="str">
        <x:v>ENG_EGKR_953</x:v>
      </x:c>
      <x:c r="AN5214" s="87" t="n">
        <x:v>9</x:v>
      </x:c>
    </x:row>
    <x:row r="5215">
      <x:c r="A5215" s="87" t="n">
        <x:v>5214</x:v>
      </x:c>
      <x:c r="B5215" s="87" t="str">
        <x:v>EGKR-ENG-W25-953-09</x:v>
      </x:c>
      <x:c r="C5215" s="87" t="str">
        <x:v>ЕГКР</x:v>
      </x:c>
      <x:c r="D5215" s="87"/>
      <x:c r="E5215" s="87" t="str">
        <x:v>Зима 2025</x:v>
      </x:c>
      <x:c r="F5215" s="87" t="str">
        <x:v>11.12.2025</x:v>
      </x:c>
      <x:c r="G5215" s="87" t="str">
        <x:v>Английский язык</x:v>
      </x:c>
      <x:c r="H5215" s="87" t="n">
        <x:v>11</x:v>
      </x:c>
      <x:c r="I5215" s="87"/>
      <x:c r="J5215" s="87" t="str">
        <x:v>953</x:v>
      </x:c>
      <x:c r="K5215" s="87" t="n">
        <x:v>9</x:v>
      </x:c>
      <x:c r="L5215" s="87" t="str">
        <x:v>Аудирование: интервью, выбор ответа</x:v>
      </x:c>
      <x:c r="M5215" s="30" t="str">
        <x:v>Задание 9 раздела «Аудирование»; полное условие и варианты ответа сохранены на странице VIS_ID.</x:v>
      </x:c>
      <x:c r="N5215" s="30"/>
      <x:c r="O5215" s="30"/>
      <x:c r="P5215" s="30"/>
      <x:c r="Q5215" s="30" t="str">
        <x:v>В комплекте нет официального ключа или расшифровки L2; ответ не выдуман.</x:v>
      </x:c>
      <x:c r="R5215" s="30"/>
      <x:c r="S5215" s="30" t="str">
        <x:v>L2.mp3</x:v>
      </x:c>
      <x:c r="T5215" s="30"/>
      <x:c r="U5215" s="30" t="str">
        <x:v>Требуется подтверждение прослушиванием.</x:v>
      </x:c>
      <x:c r="V5215" s="87" t="str">
        <x:v>AUDIO_PENDING</x:v>
      </x:c>
      <x:c r="W5215" s="87"/>
      <x:c r="X5215" s="87" t="str">
        <x:v>2</x:v>
      </x:c>
      <x:c r="Y5215" s="87"/>
      <x:c r="Z5215" s="87"/>
      <x:c r="AA5215" s="87"/>
      <x:c r="AB5215" s="87"/>
      <x:c r="AC5215" s="87" t="str">
        <x:v>VIS-EGKR-ENG-W25-TASK-953-P002</x:v>
      </x:c>
      <x:c r="AD5215" s="87"/>
      <x:c r="AE5215" s="87" t="str">
        <x:v>TASK</x:v>
      </x:c>
      <x:c r="AF5215" s="87" t="str">
        <x:v>VIS-EGKR-ENG-W25-TASK-953-P002: 2</x:v>
      </x:c>
      <x:c r="AG5215" s="87" t="str">
        <x:v>RESOLVED</x:v>
      </x:c>
      <x:c r="AH5215" s="87" t="str">
        <x:v>CROP_VERIFIED</x:v>
      </x:c>
      <x:c r="AI5215" s="30"/>
      <x:c r="AJ5215" s="87" t="str">
        <x:v>clean</x:v>
      </x:c>
      <x:c r="AK5215" s="87" t="str">
        <x:v>clean-v0.11</x:v>
      </x:c>
      <x:c r="AL5215" s="87" t="str">
        <x:v>statgrad_clean_continuation_v0_11(1).xlsx</x:v>
      </x:c>
      <x:c r="AM5215" s="87" t="str">
        <x:v>ENG_EGKR_953</x:v>
      </x:c>
      <x:c r="AN5215" s="87" t="n">
        <x:v>10</x:v>
      </x:c>
    </x:row>
    <x:row r="5216">
      <x:c r="A5216" s="87" t="n">
        <x:v>5215</x:v>
      </x:c>
      <x:c r="B5216" s="87" t="str">
        <x:v>EGKR-ENG-W25-953-10</x:v>
      </x:c>
      <x:c r="C5216" s="87" t="str">
        <x:v>ЕГКР</x:v>
      </x:c>
      <x:c r="D5216" s="87"/>
      <x:c r="E5216" s="87" t="str">
        <x:v>Зима 2025</x:v>
      </x:c>
      <x:c r="F5216" s="87" t="str">
        <x:v>11.12.2025</x:v>
      </x:c>
      <x:c r="G5216" s="87" t="str">
        <x:v>Английский язык</x:v>
      </x:c>
      <x:c r="H5216" s="87" t="n">
        <x:v>11</x:v>
      </x:c>
      <x:c r="I5216" s="87"/>
      <x:c r="J5216" s="87" t="str">
        <x:v>953</x:v>
      </x:c>
      <x:c r="K5216" s="87" t="n">
        <x:v>10</x:v>
      </x:c>
      <x:c r="L5216" s="87" t="str">
        <x:v>Чтение: соответствие заголовков</x:v>
      </x:c>
      <x:c r="M5216" s="30" t="str">
        <x:v>Задание 10 письменной части варианта 953; полное условие сохранено на странице VIS_ID.</x:v>
      </x:c>
      <x:c r="N5216" s="30" t="str">
        <x:v>7218645</x:v>
      </x:c>
      <x:c r="O5216" s="30"/>
      <x:c r="P5216" s="30"/>
      <x:c r="Q5216" s="30" t="str">
        <x:v>Независимо решено по условию; проверена грамматика, лексика или логика текста.</x:v>
      </x:c>
      <x:c r="R5216" s="30"/>
      <x:c r="S5216" s="30" t="str">
        <x:v>Независимая проверка по PDF задания</x:v>
      </x:c>
      <x:c r="T5216" s="30"/>
      <x:c r="U5216" s="30" t="str">
        <x:v>Канонический рабочий ответ.</x:v>
      </x:c>
      <x:c r="V5216" s="87" t="str">
        <x:v>VERIFIED</x:v>
      </x:c>
      <x:c r="W5216" s="87"/>
      <x:c r="X5216" s="87" t="str">
        <x:v>3</x:v>
      </x:c>
      <x:c r="Y5216" s="87"/>
      <x:c r="Z5216" s="87"/>
      <x:c r="AA5216" s="87"/>
      <x:c r="AB5216" s="87"/>
      <x:c r="AC5216" s="87" t="str">
        <x:v>VIS-EGKR-ENG-W25-TASK-953-P003</x:v>
      </x:c>
      <x:c r="AD5216" s="87"/>
      <x:c r="AE5216" s="87" t="str">
        <x:v>TASK</x:v>
      </x:c>
      <x:c r="AF5216" s="87" t="str">
        <x:v>VIS-EGKR-ENG-W25-TASK-953-P003: 3</x:v>
      </x:c>
      <x:c r="AG5216" s="87" t="str">
        <x:v>RESOLVED</x:v>
      </x:c>
      <x:c r="AH5216" s="87" t="str">
        <x:v>CROP_VERIFIED</x:v>
      </x:c>
      <x:c r="AI5216" s="30"/>
      <x:c r="AJ5216" s="87" t="str">
        <x:v>clean</x:v>
      </x:c>
      <x:c r="AK5216" s="87" t="str">
        <x:v>clean-v0.11</x:v>
      </x:c>
      <x:c r="AL5216" s="87" t="str">
        <x:v>statgrad_clean_continuation_v0_11(1).xlsx</x:v>
      </x:c>
      <x:c r="AM5216" s="87" t="str">
        <x:v>ENG_EGKR_953</x:v>
      </x:c>
      <x:c r="AN5216" s="87" t="n">
        <x:v>11</x:v>
      </x:c>
    </x:row>
    <x:row r="5217">
      <x:c r="A5217" s="87" t="n">
        <x:v>5216</x:v>
      </x:c>
      <x:c r="B5217" s="87" t="str">
        <x:v>EGKR-ENG-W25-953-11</x:v>
      </x:c>
      <x:c r="C5217" s="87" t="str">
        <x:v>ЕГКР</x:v>
      </x:c>
      <x:c r="D5217" s="87"/>
      <x:c r="E5217" s="87" t="str">
        <x:v>Зима 2025</x:v>
      </x:c>
      <x:c r="F5217" s="87" t="str">
        <x:v>11.12.2025</x:v>
      </x:c>
      <x:c r="G5217" s="87" t="str">
        <x:v>Английский язык</x:v>
      </x:c>
      <x:c r="H5217" s="87" t="n">
        <x:v>11</x:v>
      </x:c>
      <x:c r="I5217" s="87"/>
      <x:c r="J5217" s="87" t="str">
        <x:v>953</x:v>
      </x:c>
      <x:c r="K5217" s="87" t="n">
        <x:v>11</x:v>
      </x:c>
      <x:c r="L5217" s="87" t="str">
        <x:v>Чтение: восстановление пропусков</x:v>
      </x:c>
      <x:c r="M5217" s="30" t="str">
        <x:v>Задание 11 письменной части варианта 953; полное условие сохранено на странице VIS_ID.</x:v>
      </x:c>
      <x:c r="N5217" s="30" t="str">
        <x:v>623174</x:v>
      </x:c>
      <x:c r="O5217" s="30"/>
      <x:c r="P5217" s="30"/>
      <x:c r="Q5217" s="30" t="str">
        <x:v>Независимо решено по условию; проверена грамматика, лексика или логика текста.</x:v>
      </x:c>
      <x:c r="R5217" s="30"/>
      <x:c r="S5217" s="30" t="str">
        <x:v>Независимая проверка по PDF задания</x:v>
      </x:c>
      <x:c r="T5217" s="30"/>
      <x:c r="U5217" s="30" t="str">
        <x:v>Канонический рабочий ответ.</x:v>
      </x:c>
      <x:c r="V5217" s="87" t="str">
        <x:v>VERIFIED</x:v>
      </x:c>
      <x:c r="W5217" s="87"/>
      <x:c r="X5217" s="87" t="str">
        <x:v>4</x:v>
      </x:c>
      <x:c r="Y5217" s="87"/>
      <x:c r="Z5217" s="87"/>
      <x:c r="AA5217" s="87"/>
      <x:c r="AB5217" s="87"/>
      <x:c r="AC5217" s="87" t="str">
        <x:v>VIS-EGKR-ENG-W25-TASK-953-P004</x:v>
      </x:c>
      <x:c r="AD5217" s="87"/>
      <x:c r="AE5217" s="87" t="str">
        <x:v>TASK</x:v>
      </x:c>
      <x:c r="AF5217" s="87" t="str">
        <x:v>VIS-EGKR-ENG-W25-TASK-953-P004: 4</x:v>
      </x:c>
      <x:c r="AG5217" s="87" t="str">
        <x:v>RESOLVED</x:v>
      </x:c>
      <x:c r="AH5217" s="87" t="str">
        <x:v>CROP_VERIFIED</x:v>
      </x:c>
      <x:c r="AI5217" s="30"/>
      <x:c r="AJ5217" s="87" t="str">
        <x:v>clean</x:v>
      </x:c>
      <x:c r="AK5217" s="87" t="str">
        <x:v>clean-v0.11</x:v>
      </x:c>
      <x:c r="AL5217" s="87" t="str">
        <x:v>statgrad_clean_continuation_v0_11(1).xlsx</x:v>
      </x:c>
      <x:c r="AM5217" s="87" t="str">
        <x:v>ENG_EGKR_953</x:v>
      </x:c>
      <x:c r="AN5217" s="87" t="n">
        <x:v>12</x:v>
      </x:c>
    </x:row>
    <x:row r="5218">
      <x:c r="A5218" s="87" t="n">
        <x:v>5217</x:v>
      </x:c>
      <x:c r="B5218" s="87" t="str">
        <x:v>EGKR-ENG-W25-953-12</x:v>
      </x:c>
      <x:c r="C5218" s="87" t="str">
        <x:v>ЕГКР</x:v>
      </x:c>
      <x:c r="D5218" s="87"/>
      <x:c r="E5218" s="87" t="str">
        <x:v>Зима 2025</x:v>
      </x:c>
      <x:c r="F5218" s="87" t="str">
        <x:v>11.12.2025</x:v>
      </x:c>
      <x:c r="G5218" s="87" t="str">
        <x:v>Английский язык</x:v>
      </x:c>
      <x:c r="H5218" s="87" t="n">
        <x:v>11</x:v>
      </x:c>
      <x:c r="I5218" s="87"/>
      <x:c r="J5218" s="87" t="str">
        <x:v>953</x:v>
      </x:c>
      <x:c r="K5218" s="87" t="n">
        <x:v>12</x:v>
      </x:c>
      <x:c r="L5218" s="87" t="str">
        <x:v>Чтение: множественный выбор</x:v>
      </x:c>
      <x:c r="M5218" s="30" t="str">
        <x:v>Задание 12 письменной части варианта 953; полное условие сохранено на странице VIS_ID.</x:v>
      </x:c>
      <x:c r="N5218" s="30" t="str">
        <x:v>2</x:v>
      </x:c>
      <x:c r="O5218" s="30"/>
      <x:c r="P5218" s="30"/>
      <x:c r="Q5218" s="30" t="str">
        <x:v>Независимо решено по условию; проверена грамматика, лексика или логика текста.</x:v>
      </x:c>
      <x:c r="R5218" s="30"/>
      <x:c r="S5218" s="30" t="str">
        <x:v>Независимая проверка по PDF задания</x:v>
      </x:c>
      <x:c r="T5218" s="30"/>
      <x:c r="U5218" s="30" t="str">
        <x:v>Канонический рабочий ответ.</x:v>
      </x:c>
      <x:c r="V5218" s="87" t="str">
        <x:v>VERIFIED</x:v>
      </x:c>
      <x:c r="W5218" s="87"/>
      <x:c r="X5218" s="87" t="str">
        <x:v>5</x:v>
      </x:c>
      <x:c r="Y5218" s="87"/>
      <x:c r="Z5218" s="87"/>
      <x:c r="AA5218" s="87"/>
      <x:c r="AB5218" s="87"/>
      <x:c r="AC5218" s="87" t="str">
        <x:v>VIS-EGKR-ENG-W25-TASK-953-P005</x:v>
      </x:c>
      <x:c r="AD5218" s="87"/>
      <x:c r="AE5218" s="87" t="str">
        <x:v>TASK</x:v>
      </x:c>
      <x:c r="AF5218" s="87" t="str">
        <x:v>VIS-EGKR-ENG-W25-TASK-953-P005: 5</x:v>
      </x:c>
      <x:c r="AG5218" s="87" t="str">
        <x:v>RESOLVED</x:v>
      </x:c>
      <x:c r="AH5218" s="87" t="str">
        <x:v>CROP_VERIFIED</x:v>
      </x:c>
      <x:c r="AI5218" s="30"/>
      <x:c r="AJ5218" s="87" t="str">
        <x:v>clean</x:v>
      </x:c>
      <x:c r="AK5218" s="87" t="str">
        <x:v>clean-v0.11</x:v>
      </x:c>
      <x:c r="AL5218" s="87" t="str">
        <x:v>statgrad_clean_continuation_v0_11(1).xlsx</x:v>
      </x:c>
      <x:c r="AM5218" s="87" t="str">
        <x:v>ENG_EGKR_953</x:v>
      </x:c>
      <x:c r="AN5218" s="87" t="n">
        <x:v>13</x:v>
      </x:c>
    </x:row>
    <x:row r="5219">
      <x:c r="A5219" s="87" t="n">
        <x:v>5218</x:v>
      </x:c>
      <x:c r="B5219" s="87" t="str">
        <x:v>EGKR-ENG-W25-953-13</x:v>
      </x:c>
      <x:c r="C5219" s="87" t="str">
        <x:v>ЕГКР</x:v>
      </x:c>
      <x:c r="D5219" s="87"/>
      <x:c r="E5219" s="87" t="str">
        <x:v>Зима 2025</x:v>
      </x:c>
      <x:c r="F5219" s="87" t="str">
        <x:v>11.12.2025</x:v>
      </x:c>
      <x:c r="G5219" s="87" t="str">
        <x:v>Английский язык</x:v>
      </x:c>
      <x:c r="H5219" s="87" t="n">
        <x:v>11</x:v>
      </x:c>
      <x:c r="I5219" s="87"/>
      <x:c r="J5219" s="87" t="str">
        <x:v>953</x:v>
      </x:c>
      <x:c r="K5219" s="87" t="n">
        <x:v>13</x:v>
      </x:c>
      <x:c r="L5219" s="87" t="str">
        <x:v>Чтение: множественный выбор</x:v>
      </x:c>
      <x:c r="M5219" s="30" t="str">
        <x:v>Задание 13 письменной части варианта 953; полное условие сохранено на странице VIS_ID.</x:v>
      </x:c>
      <x:c r="N5219" s="30" t="str">
        <x:v>2</x:v>
      </x:c>
      <x:c r="O5219" s="30"/>
      <x:c r="P5219" s="30"/>
      <x:c r="Q5219" s="30" t="str">
        <x:v>Независимо решено по условию; проверена грамматика, лексика или логика текста.</x:v>
      </x:c>
      <x:c r="R5219" s="30"/>
      <x:c r="S5219" s="30" t="str">
        <x:v>Независимая проверка по PDF задания</x:v>
      </x:c>
      <x:c r="T5219" s="30"/>
      <x:c r="U5219" s="30" t="str">
        <x:v>Канонический рабочий ответ.</x:v>
      </x:c>
      <x:c r="V5219" s="87" t="str">
        <x:v>VERIFIED</x:v>
      </x:c>
      <x:c r="W5219" s="87"/>
      <x:c r="X5219" s="87" t="str">
        <x:v>5</x:v>
      </x:c>
      <x:c r="Y5219" s="87"/>
      <x:c r="Z5219" s="87"/>
      <x:c r="AA5219" s="87"/>
      <x:c r="AB5219" s="87"/>
      <x:c r="AC5219" s="87" t="str">
        <x:v>VIS-EGKR-ENG-W25-TASK-953-P005</x:v>
      </x:c>
      <x:c r="AD5219" s="87"/>
      <x:c r="AE5219" s="87" t="str">
        <x:v>TASK</x:v>
      </x:c>
      <x:c r="AF5219" s="87" t="str">
        <x:v>VIS-EGKR-ENG-W25-TASK-953-P005: 5</x:v>
      </x:c>
      <x:c r="AG5219" s="87" t="str">
        <x:v>RESOLVED</x:v>
      </x:c>
      <x:c r="AH5219" s="87" t="str">
        <x:v>CROP_VERIFIED</x:v>
      </x:c>
      <x:c r="AI5219" s="30"/>
      <x:c r="AJ5219" s="87" t="str">
        <x:v>clean</x:v>
      </x:c>
      <x:c r="AK5219" s="87" t="str">
        <x:v>clean-v0.11</x:v>
      </x:c>
      <x:c r="AL5219" s="87" t="str">
        <x:v>statgrad_clean_continuation_v0_11(1).xlsx</x:v>
      </x:c>
      <x:c r="AM5219" s="87" t="str">
        <x:v>ENG_EGKR_953</x:v>
      </x:c>
      <x:c r="AN5219" s="87" t="n">
        <x:v>14</x:v>
      </x:c>
    </x:row>
    <x:row r="5220">
      <x:c r="A5220" s="87" t="n">
        <x:v>5219</x:v>
      </x:c>
      <x:c r="B5220" s="87" t="str">
        <x:v>EGKR-ENG-W25-953-14</x:v>
      </x:c>
      <x:c r="C5220" s="87" t="str">
        <x:v>ЕГКР</x:v>
      </x:c>
      <x:c r="D5220" s="87"/>
      <x:c r="E5220" s="87" t="str">
        <x:v>Зима 2025</x:v>
      </x:c>
      <x:c r="F5220" s="87" t="str">
        <x:v>11.12.2025</x:v>
      </x:c>
      <x:c r="G5220" s="87" t="str">
        <x:v>Английский язык</x:v>
      </x:c>
      <x:c r="H5220" s="87" t="n">
        <x:v>11</x:v>
      </x:c>
      <x:c r="I5220" s="87"/>
      <x:c r="J5220" s="87" t="str">
        <x:v>953</x:v>
      </x:c>
      <x:c r="K5220" s="87" t="n">
        <x:v>14</x:v>
      </x:c>
      <x:c r="L5220" s="87" t="str">
        <x:v>Чтение: множественный выбор</x:v>
      </x:c>
      <x:c r="M5220" s="30" t="str">
        <x:v>Задание 14 письменной части варианта 953; полное условие сохранено на странице VIS_ID.</x:v>
      </x:c>
      <x:c r="N5220" s="30" t="str">
        <x:v>1</x:v>
      </x:c>
      <x:c r="O5220" s="30"/>
      <x:c r="P5220" s="30"/>
      <x:c r="Q5220" s="30" t="str">
        <x:v>Независимо решено по условию; проверена грамматика, лексика или логика текста.</x:v>
      </x:c>
      <x:c r="R5220" s="30"/>
      <x:c r="S5220" s="30" t="str">
        <x:v>Независимая проверка по PDF задания</x:v>
      </x:c>
      <x:c r="T5220" s="30"/>
      <x:c r="U5220" s="30" t="str">
        <x:v>Канонический рабочий ответ.</x:v>
      </x:c>
      <x:c r="V5220" s="87" t="str">
        <x:v>VERIFIED</x:v>
      </x:c>
      <x:c r="W5220" s="87"/>
      <x:c r="X5220" s="87" t="str">
        <x:v>5</x:v>
      </x:c>
      <x:c r="Y5220" s="87"/>
      <x:c r="Z5220" s="87"/>
      <x:c r="AA5220" s="87"/>
      <x:c r="AB5220" s="87"/>
      <x:c r="AC5220" s="87" t="str">
        <x:v>VIS-EGKR-ENG-W25-TASK-953-P005</x:v>
      </x:c>
      <x:c r="AD5220" s="87"/>
      <x:c r="AE5220" s="87" t="str">
        <x:v>TASK</x:v>
      </x:c>
      <x:c r="AF5220" s="87" t="str">
        <x:v>VIS-EGKR-ENG-W25-TASK-953-P005: 5</x:v>
      </x:c>
      <x:c r="AG5220" s="87" t="str">
        <x:v>RESOLVED</x:v>
      </x:c>
      <x:c r="AH5220" s="87" t="str">
        <x:v>CROP_VERIFIED</x:v>
      </x:c>
      <x:c r="AI5220" s="30"/>
      <x:c r="AJ5220" s="87" t="str">
        <x:v>clean</x:v>
      </x:c>
      <x:c r="AK5220" s="87" t="str">
        <x:v>clean-v0.11</x:v>
      </x:c>
      <x:c r="AL5220" s="87" t="str">
        <x:v>statgrad_clean_continuation_v0_11(1).xlsx</x:v>
      </x:c>
      <x:c r="AM5220" s="87" t="str">
        <x:v>ENG_EGKR_953</x:v>
      </x:c>
      <x:c r="AN5220" s="87" t="n">
        <x:v>15</x:v>
      </x:c>
    </x:row>
    <x:row r="5221">
      <x:c r="A5221" s="87" t="n">
        <x:v>5220</x:v>
      </x:c>
      <x:c r="B5221" s="87" t="str">
        <x:v>EGKR-ENG-W25-953-15</x:v>
      </x:c>
      <x:c r="C5221" s="87" t="str">
        <x:v>ЕГКР</x:v>
      </x:c>
      <x:c r="D5221" s="87"/>
      <x:c r="E5221" s="87" t="str">
        <x:v>Зима 2025</x:v>
      </x:c>
      <x:c r="F5221" s="87" t="str">
        <x:v>11.12.2025</x:v>
      </x:c>
      <x:c r="G5221" s="87" t="str">
        <x:v>Английский язык</x:v>
      </x:c>
      <x:c r="H5221" s="87" t="n">
        <x:v>11</x:v>
      </x:c>
      <x:c r="I5221" s="87"/>
      <x:c r="J5221" s="87" t="str">
        <x:v>953</x:v>
      </x:c>
      <x:c r="K5221" s="87" t="n">
        <x:v>15</x:v>
      </x:c>
      <x:c r="L5221" s="87" t="str">
        <x:v>Чтение: множественный выбор</x:v>
      </x:c>
      <x:c r="M5221" s="30" t="str">
        <x:v>Задание 15 письменной части варианта 953; полное условие сохранено на странице VIS_ID.</x:v>
      </x:c>
      <x:c r="N5221" s="30" t="str">
        <x:v>3</x:v>
      </x:c>
      <x:c r="O5221" s="30"/>
      <x:c r="P5221" s="30"/>
      <x:c r="Q5221" s="30" t="str">
        <x:v>Независимо решено по условию; проверена грамматика, лексика или логика текста.</x:v>
      </x:c>
      <x:c r="R5221" s="30"/>
      <x:c r="S5221" s="30" t="str">
        <x:v>Независимая проверка по PDF задания</x:v>
      </x:c>
      <x:c r="T5221" s="30"/>
      <x:c r="U5221" s="30" t="str">
        <x:v>Канонический рабочий ответ.</x:v>
      </x:c>
      <x:c r="V5221" s="87" t="str">
        <x:v>VERIFIED</x:v>
      </x:c>
      <x:c r="W5221" s="87"/>
      <x:c r="X5221" s="87" t="str">
        <x:v>5</x:v>
      </x:c>
      <x:c r="Y5221" s="87"/>
      <x:c r="Z5221" s="87"/>
      <x:c r="AA5221" s="87"/>
      <x:c r="AB5221" s="87"/>
      <x:c r="AC5221" s="87" t="str">
        <x:v>VIS-EGKR-ENG-W25-TASK-953-P005</x:v>
      </x:c>
      <x:c r="AD5221" s="87"/>
      <x:c r="AE5221" s="87" t="str">
        <x:v>TASK</x:v>
      </x:c>
      <x:c r="AF5221" s="87" t="str">
        <x:v>VIS-EGKR-ENG-W25-TASK-953-P005: 5</x:v>
      </x:c>
      <x:c r="AG5221" s="87" t="str">
        <x:v>RESOLVED</x:v>
      </x:c>
      <x:c r="AH5221" s="87" t="str">
        <x:v>CROP_VERIFIED</x:v>
      </x:c>
      <x:c r="AI5221" s="30"/>
      <x:c r="AJ5221" s="87" t="str">
        <x:v>clean</x:v>
      </x:c>
      <x:c r="AK5221" s="87" t="str">
        <x:v>clean-v0.11</x:v>
      </x:c>
      <x:c r="AL5221" s="87" t="str">
        <x:v>statgrad_clean_continuation_v0_11(1).xlsx</x:v>
      </x:c>
      <x:c r="AM5221" s="87" t="str">
        <x:v>ENG_EGKR_953</x:v>
      </x:c>
      <x:c r="AN5221" s="87" t="n">
        <x:v>16</x:v>
      </x:c>
    </x:row>
    <x:row r="5222">
      <x:c r="A5222" s="87" t="n">
        <x:v>5221</x:v>
      </x:c>
      <x:c r="B5222" s="87" t="str">
        <x:v>EGKR-ENG-W25-953-16</x:v>
      </x:c>
      <x:c r="C5222" s="87" t="str">
        <x:v>ЕГКР</x:v>
      </x:c>
      <x:c r="D5222" s="87"/>
      <x:c r="E5222" s="87" t="str">
        <x:v>Зима 2025</x:v>
      </x:c>
      <x:c r="F5222" s="87" t="str">
        <x:v>11.12.2025</x:v>
      </x:c>
      <x:c r="G5222" s="87" t="str">
        <x:v>Английский язык</x:v>
      </x:c>
      <x:c r="H5222" s="87" t="n">
        <x:v>11</x:v>
      </x:c>
      <x:c r="I5222" s="87"/>
      <x:c r="J5222" s="87" t="str">
        <x:v>953</x:v>
      </x:c>
      <x:c r="K5222" s="87" t="n">
        <x:v>16</x:v>
      </x:c>
      <x:c r="L5222" s="87" t="str">
        <x:v>Чтение: множественный выбор</x:v>
      </x:c>
      <x:c r="M5222" s="30" t="str">
        <x:v>Задание 16 письменной части варианта 953; полное условие сохранено на странице VIS_ID.</x:v>
      </x:c>
      <x:c r="N5222" s="30" t="str">
        <x:v>3</x:v>
      </x:c>
      <x:c r="O5222" s="30"/>
      <x:c r="P5222" s="30"/>
      <x:c r="Q5222" s="30" t="str">
        <x:v>Независимо решено по условию; проверена грамматика, лексика или логика текста.</x:v>
      </x:c>
      <x:c r="R5222" s="30"/>
      <x:c r="S5222" s="30" t="str">
        <x:v>Независимая проверка по PDF задания</x:v>
      </x:c>
      <x:c r="T5222" s="30"/>
      <x:c r="U5222" s="30" t="str">
        <x:v>Канонический рабочий ответ.</x:v>
      </x:c>
      <x:c r="V5222" s="87" t="str">
        <x:v>VERIFIED</x:v>
      </x:c>
      <x:c r="W5222" s="87"/>
      <x:c r="X5222" s="87" t="str">
        <x:v>5</x:v>
      </x:c>
      <x:c r="Y5222" s="87"/>
      <x:c r="Z5222" s="87"/>
      <x:c r="AA5222" s="87"/>
      <x:c r="AB5222" s="87"/>
      <x:c r="AC5222" s="87" t="str">
        <x:v>VIS-EGKR-ENG-W25-TASK-953-P005</x:v>
      </x:c>
      <x:c r="AD5222" s="87"/>
      <x:c r="AE5222" s="87" t="str">
        <x:v>TASK</x:v>
      </x:c>
      <x:c r="AF5222" s="87" t="str">
        <x:v>VIS-EGKR-ENG-W25-TASK-953-P005: 5</x:v>
      </x:c>
      <x:c r="AG5222" s="87" t="str">
        <x:v>RESOLVED</x:v>
      </x:c>
      <x:c r="AH5222" s="87" t="str">
        <x:v>CROP_VERIFIED</x:v>
      </x:c>
      <x:c r="AI5222" s="30"/>
      <x:c r="AJ5222" s="87" t="str">
        <x:v>clean</x:v>
      </x:c>
      <x:c r="AK5222" s="87" t="str">
        <x:v>clean-v0.11</x:v>
      </x:c>
      <x:c r="AL5222" s="87" t="str">
        <x:v>statgrad_clean_continuation_v0_11(1).xlsx</x:v>
      </x:c>
      <x:c r="AM5222" s="87" t="str">
        <x:v>ENG_EGKR_953</x:v>
      </x:c>
      <x:c r="AN5222" s="87" t="n">
        <x:v>17</x:v>
      </x:c>
    </x:row>
    <x:row r="5223">
      <x:c r="A5223" s="87" t="n">
        <x:v>5222</x:v>
      </x:c>
      <x:c r="B5223" s="87" t="str">
        <x:v>EGKR-ENG-W25-953-17</x:v>
      </x:c>
      <x:c r="C5223" s="87" t="str">
        <x:v>ЕГКР</x:v>
      </x:c>
      <x:c r="D5223" s="87"/>
      <x:c r="E5223" s="87" t="str">
        <x:v>Зима 2025</x:v>
      </x:c>
      <x:c r="F5223" s="87" t="str">
        <x:v>11.12.2025</x:v>
      </x:c>
      <x:c r="G5223" s="87" t="str">
        <x:v>Английский язык</x:v>
      </x:c>
      <x:c r="H5223" s="87" t="n">
        <x:v>11</x:v>
      </x:c>
      <x:c r="I5223" s="87"/>
      <x:c r="J5223" s="87" t="str">
        <x:v>953</x:v>
      </x:c>
      <x:c r="K5223" s="87" t="n">
        <x:v>17</x:v>
      </x:c>
      <x:c r="L5223" s="87" t="str">
        <x:v>Чтение: множественный выбор</x:v>
      </x:c>
      <x:c r="M5223" s="30" t="str">
        <x:v>Задание 17 письменной части варианта 953; полное условие сохранено на странице VIS_ID.</x:v>
      </x:c>
      <x:c r="N5223" s="30" t="str">
        <x:v>3</x:v>
      </x:c>
      <x:c r="O5223" s="30"/>
      <x:c r="P5223" s="30"/>
      <x:c r="Q5223" s="30" t="str">
        <x:v>Независимо решено по условию; проверена грамматика, лексика или логика текста.</x:v>
      </x:c>
      <x:c r="R5223" s="30"/>
      <x:c r="S5223" s="30" t="str">
        <x:v>Независимая проверка по PDF задания</x:v>
      </x:c>
      <x:c r="T5223" s="30"/>
      <x:c r="U5223" s="30" t="str">
        <x:v>Канонический рабочий ответ.</x:v>
      </x:c>
      <x:c r="V5223" s="87" t="str">
        <x:v>VERIFIED</x:v>
      </x:c>
      <x:c r="W5223" s="87"/>
      <x:c r="X5223" s="87" t="str">
        <x:v>5</x:v>
      </x:c>
      <x:c r="Y5223" s="87"/>
      <x:c r="Z5223" s="87"/>
      <x:c r="AA5223" s="87"/>
      <x:c r="AB5223" s="87"/>
      <x:c r="AC5223" s="87" t="str">
        <x:v>VIS-EGKR-ENG-W25-TASK-953-P005</x:v>
      </x:c>
      <x:c r="AD5223" s="87"/>
      <x:c r="AE5223" s="87" t="str">
        <x:v>TASK</x:v>
      </x:c>
      <x:c r="AF5223" s="87" t="str">
        <x:v>VIS-EGKR-ENG-W25-TASK-953-P005: 5</x:v>
      </x:c>
      <x:c r="AG5223" s="87" t="str">
        <x:v>RESOLVED</x:v>
      </x:c>
      <x:c r="AH5223" s="87" t="str">
        <x:v>CROP_VERIFIED</x:v>
      </x:c>
      <x:c r="AI5223" s="30"/>
      <x:c r="AJ5223" s="87" t="str">
        <x:v>clean</x:v>
      </x:c>
      <x:c r="AK5223" s="87" t="str">
        <x:v>clean-v0.11</x:v>
      </x:c>
      <x:c r="AL5223" s="87" t="str">
        <x:v>statgrad_clean_continuation_v0_11(1).xlsx</x:v>
      </x:c>
      <x:c r="AM5223" s="87" t="str">
        <x:v>ENG_EGKR_953</x:v>
      </x:c>
      <x:c r="AN5223" s="87" t="n">
        <x:v>18</x:v>
      </x:c>
    </x:row>
    <x:row r="5224">
      <x:c r="A5224" s="87" t="n">
        <x:v>5223</x:v>
      </x:c>
      <x:c r="B5224" s="87" t="str">
        <x:v>EGKR-ENG-W25-953-18</x:v>
      </x:c>
      <x:c r="C5224" s="87" t="str">
        <x:v>ЕГКР</x:v>
      </x:c>
      <x:c r="D5224" s="87"/>
      <x:c r="E5224" s="87" t="str">
        <x:v>Зима 2025</x:v>
      </x:c>
      <x:c r="F5224" s="87" t="str">
        <x:v>11.12.2025</x:v>
      </x:c>
      <x:c r="G5224" s="87" t="str">
        <x:v>Английский язык</x:v>
      </x:c>
      <x:c r="H5224" s="87" t="n">
        <x:v>11</x:v>
      </x:c>
      <x:c r="I5224" s="87"/>
      <x:c r="J5224" s="87" t="str">
        <x:v>953</x:v>
      </x:c>
      <x:c r="K5224" s="87" t="n">
        <x:v>18</x:v>
      </x:c>
      <x:c r="L5224" s="87" t="str">
        <x:v>Чтение: множественный выбор</x:v>
      </x:c>
      <x:c r="M5224" s="30" t="str">
        <x:v>Задание 18 письменной части варианта 953; полное условие сохранено на странице VIS_ID.</x:v>
      </x:c>
      <x:c r="N5224" s="30" t="str">
        <x:v>4</x:v>
      </x:c>
      <x:c r="O5224" s="30"/>
      <x:c r="P5224" s="30"/>
      <x:c r="Q5224" s="30" t="str">
        <x:v>Независимо решено по условию; проверена грамматика, лексика или логика текста.</x:v>
      </x:c>
      <x:c r="R5224" s="30"/>
      <x:c r="S5224" s="30" t="str">
        <x:v>Независимая проверка по PDF задания</x:v>
      </x:c>
      <x:c r="T5224" s="30"/>
      <x:c r="U5224" s="30" t="str">
        <x:v>Канонический рабочий ответ.</x:v>
      </x:c>
      <x:c r="V5224" s="87" t="str">
        <x:v>VERIFIED</x:v>
      </x:c>
      <x:c r="W5224" s="87"/>
      <x:c r="X5224" s="87" t="str">
        <x:v>5</x:v>
      </x:c>
      <x:c r="Y5224" s="87"/>
      <x:c r="Z5224" s="87"/>
      <x:c r="AA5224" s="87"/>
      <x:c r="AB5224" s="87"/>
      <x:c r="AC5224" s="87" t="str">
        <x:v>VIS-EGKR-ENG-W25-TASK-953-P005</x:v>
      </x:c>
      <x:c r="AD5224" s="87"/>
      <x:c r="AE5224" s="87" t="str">
        <x:v>TASK</x:v>
      </x:c>
      <x:c r="AF5224" s="87" t="str">
        <x:v>VIS-EGKR-ENG-W25-TASK-953-P005: 5</x:v>
      </x:c>
      <x:c r="AG5224" s="87" t="str">
        <x:v>RESOLVED</x:v>
      </x:c>
      <x:c r="AH5224" s="87" t="str">
        <x:v>CROP_VERIFIED</x:v>
      </x:c>
      <x:c r="AI5224" s="30"/>
      <x:c r="AJ5224" s="87" t="str">
        <x:v>clean</x:v>
      </x:c>
      <x:c r="AK5224" s="87" t="str">
        <x:v>clean-v0.11</x:v>
      </x:c>
      <x:c r="AL5224" s="87" t="str">
        <x:v>statgrad_clean_continuation_v0_11(1).xlsx</x:v>
      </x:c>
      <x:c r="AM5224" s="87" t="str">
        <x:v>ENG_EGKR_953</x:v>
      </x:c>
      <x:c r="AN5224" s="87" t="n">
        <x:v>19</x:v>
      </x:c>
    </x:row>
    <x:row r="5225">
      <x:c r="A5225" s="87" t="n">
        <x:v>5224</x:v>
      </x:c>
      <x:c r="B5225" s="87" t="str">
        <x:v>EGKR-ENG-W25-953-19</x:v>
      </x:c>
      <x:c r="C5225" s="87" t="str">
        <x:v>ЕГКР</x:v>
      </x:c>
      <x:c r="D5225" s="87"/>
      <x:c r="E5225" s="87" t="str">
        <x:v>Зима 2025</x:v>
      </x:c>
      <x:c r="F5225" s="87" t="str">
        <x:v>11.12.2025</x:v>
      </x:c>
      <x:c r="G5225" s="87" t="str">
        <x:v>Английский язык</x:v>
      </x:c>
      <x:c r="H5225" s="87" t="n">
        <x:v>11</x:v>
      </x:c>
      <x:c r="I5225" s="87"/>
      <x:c r="J5225" s="87" t="str">
        <x:v>953</x:v>
      </x:c>
      <x:c r="K5225" s="87" t="n">
        <x:v>19</x:v>
      </x:c>
      <x:c r="L5225" s="87" t="str">
        <x:v>Грамматика: преобразование формы слова</x:v>
      </x:c>
      <x:c r="M5225" s="30" t="str">
        <x:v>Задание 19 письменной части варианта 953; полное условие сохранено на странице VIS_ID.</x:v>
      </x:c>
      <x:c r="N5225" s="30" t="str">
        <x:v>was</x:v>
      </x:c>
      <x:c r="O5225" s="30"/>
      <x:c r="P5225" s="30"/>
      <x:c r="Q5225" s="30" t="str">
        <x:v>Независимо решено по условию; проверена грамматика, лексика или логика текста.</x:v>
      </x:c>
      <x:c r="R5225" s="30"/>
      <x:c r="S5225" s="30" t="str">
        <x:v>Независимая проверка по PDF задания</x:v>
      </x:c>
      <x:c r="T5225" s="30"/>
      <x:c r="U5225" s="30" t="str">
        <x:v>Канонический рабочий ответ.</x:v>
      </x:c>
      <x:c r="V5225" s="87" t="str">
        <x:v>VERIFIED</x:v>
      </x:c>
      <x:c r="W5225" s="87"/>
      <x:c r="X5225" s="87" t="str">
        <x:v>6</x:v>
      </x:c>
      <x:c r="Y5225" s="87"/>
      <x:c r="Z5225" s="87"/>
      <x:c r="AA5225" s="87"/>
      <x:c r="AB5225" s="87"/>
      <x:c r="AC5225" s="87" t="str">
        <x:v>VIS-EGKR-ENG-W25-TASK-953-P006</x:v>
      </x:c>
      <x:c r="AD5225" s="87"/>
      <x:c r="AE5225" s="87" t="str">
        <x:v>TASK</x:v>
      </x:c>
      <x:c r="AF5225" s="87" t="str">
        <x:v>VIS-EGKR-ENG-W25-TASK-953-P006: 6</x:v>
      </x:c>
      <x:c r="AG5225" s="87" t="str">
        <x:v>RESOLVED</x:v>
      </x:c>
      <x:c r="AH5225" s="87" t="str">
        <x:v>CROP_VERIFIED</x:v>
      </x:c>
      <x:c r="AI5225" s="30"/>
      <x:c r="AJ5225" s="87" t="str">
        <x:v>clean</x:v>
      </x:c>
      <x:c r="AK5225" s="87" t="str">
        <x:v>clean-v0.11</x:v>
      </x:c>
      <x:c r="AL5225" s="87" t="str">
        <x:v>statgrad_clean_continuation_v0_11(1).xlsx</x:v>
      </x:c>
      <x:c r="AM5225" s="87" t="str">
        <x:v>ENG_EGKR_953</x:v>
      </x:c>
      <x:c r="AN5225" s="87" t="n">
        <x:v>20</x:v>
      </x:c>
    </x:row>
    <x:row r="5226">
      <x:c r="A5226" s="87" t="n">
        <x:v>5225</x:v>
      </x:c>
      <x:c r="B5226" s="87" t="str">
        <x:v>EGKR-ENG-W25-953-20</x:v>
      </x:c>
      <x:c r="C5226" s="87" t="str">
        <x:v>ЕГКР</x:v>
      </x:c>
      <x:c r="D5226" s="87"/>
      <x:c r="E5226" s="87" t="str">
        <x:v>Зима 2025</x:v>
      </x:c>
      <x:c r="F5226" s="87" t="str">
        <x:v>11.12.2025</x:v>
      </x:c>
      <x:c r="G5226" s="87" t="str">
        <x:v>Английский язык</x:v>
      </x:c>
      <x:c r="H5226" s="87" t="n">
        <x:v>11</x:v>
      </x:c>
      <x:c r="I5226" s="87"/>
      <x:c r="J5226" s="87" t="str">
        <x:v>953</x:v>
      </x:c>
      <x:c r="K5226" s="87" t="n">
        <x:v>20</x:v>
      </x:c>
      <x:c r="L5226" s="87" t="str">
        <x:v>Грамматика: преобразование формы слова</x:v>
      </x:c>
      <x:c r="M5226" s="30" t="str">
        <x:v>Задание 20 письменной части варианта 953; полное условие сохранено на странице VIS_ID.</x:v>
      </x:c>
      <x:c r="N5226" s="30" t="str">
        <x:v>could not</x:v>
      </x:c>
      <x:c r="O5226" s="30"/>
      <x:c r="P5226" s="30"/>
      <x:c r="Q5226" s="30" t="str">
        <x:v>Независимо решено по условию; проверена грамматика, лексика или логика текста.</x:v>
      </x:c>
      <x:c r="R5226" s="30"/>
      <x:c r="S5226" s="30" t="str">
        <x:v>Независимая проверка по PDF задания</x:v>
      </x:c>
      <x:c r="T5226" s="30"/>
      <x:c r="U5226" s="30" t="str">
        <x:v>Канонический рабочий ответ.</x:v>
      </x:c>
      <x:c r="V5226" s="87" t="str">
        <x:v>VERIFIED</x:v>
      </x:c>
      <x:c r="W5226" s="87"/>
      <x:c r="X5226" s="87" t="str">
        <x:v>6</x:v>
      </x:c>
      <x:c r="Y5226" s="87"/>
      <x:c r="Z5226" s="87"/>
      <x:c r="AA5226" s="87"/>
      <x:c r="AB5226" s="87"/>
      <x:c r="AC5226" s="87" t="str">
        <x:v>VIS-EGKR-ENG-W25-TASK-953-P006</x:v>
      </x:c>
      <x:c r="AD5226" s="87"/>
      <x:c r="AE5226" s="87" t="str">
        <x:v>TASK</x:v>
      </x:c>
      <x:c r="AF5226" s="87" t="str">
        <x:v>VIS-EGKR-ENG-W25-TASK-953-P006: 6</x:v>
      </x:c>
      <x:c r="AG5226" s="87" t="str">
        <x:v>RESOLVED</x:v>
      </x:c>
      <x:c r="AH5226" s="87" t="str">
        <x:v>CROP_VERIFIED</x:v>
      </x:c>
      <x:c r="AI5226" s="30"/>
      <x:c r="AJ5226" s="87" t="str">
        <x:v>clean</x:v>
      </x:c>
      <x:c r="AK5226" s="87" t="str">
        <x:v>clean-v0.11</x:v>
      </x:c>
      <x:c r="AL5226" s="87" t="str">
        <x:v>statgrad_clean_continuation_v0_11(1).xlsx</x:v>
      </x:c>
      <x:c r="AM5226" s="87" t="str">
        <x:v>ENG_EGKR_953</x:v>
      </x:c>
      <x:c r="AN5226" s="87" t="n">
        <x:v>21</x:v>
      </x:c>
    </x:row>
    <x:row r="5227">
      <x:c r="A5227" s="87" t="n">
        <x:v>5226</x:v>
      </x:c>
      <x:c r="B5227" s="87" t="str">
        <x:v>EGKR-ENG-W25-953-21</x:v>
      </x:c>
      <x:c r="C5227" s="87" t="str">
        <x:v>ЕГКР</x:v>
      </x:c>
      <x:c r="D5227" s="87"/>
      <x:c r="E5227" s="87" t="str">
        <x:v>Зима 2025</x:v>
      </x:c>
      <x:c r="F5227" s="87" t="str">
        <x:v>11.12.2025</x:v>
      </x:c>
      <x:c r="G5227" s="87" t="str">
        <x:v>Английский язык</x:v>
      </x:c>
      <x:c r="H5227" s="87" t="n">
        <x:v>11</x:v>
      </x:c>
      <x:c r="I5227" s="87"/>
      <x:c r="J5227" s="87" t="str">
        <x:v>953</x:v>
      </x:c>
      <x:c r="K5227" s="87" t="n">
        <x:v>21</x:v>
      </x:c>
      <x:c r="L5227" s="87" t="str">
        <x:v>Грамматика: преобразование формы слова</x:v>
      </x:c>
      <x:c r="M5227" s="30" t="str">
        <x:v>Задание 21 письменной части варианта 953; полное условие сохранено на странице VIS_ID.</x:v>
      </x:c>
      <x:c r="N5227" s="30" t="str">
        <x:v>first</x:v>
      </x:c>
      <x:c r="O5227" s="30"/>
      <x:c r="P5227" s="30"/>
      <x:c r="Q5227" s="30" t="str">
        <x:v>Независимо решено по условию; проверена грамматика, лексика или логика текста.</x:v>
      </x:c>
      <x:c r="R5227" s="30"/>
      <x:c r="S5227" s="30" t="str">
        <x:v>Независимая проверка по PDF задания</x:v>
      </x:c>
      <x:c r="T5227" s="30"/>
      <x:c r="U5227" s="30" t="str">
        <x:v>Канонический рабочий ответ.</x:v>
      </x:c>
      <x:c r="V5227" s="87" t="str">
        <x:v>VERIFIED</x:v>
      </x:c>
      <x:c r="W5227" s="87"/>
      <x:c r="X5227" s="87" t="str">
        <x:v>6</x:v>
      </x:c>
      <x:c r="Y5227" s="87"/>
      <x:c r="Z5227" s="87"/>
      <x:c r="AA5227" s="87"/>
      <x:c r="AB5227" s="87"/>
      <x:c r="AC5227" s="87" t="str">
        <x:v>VIS-EGKR-ENG-W25-TASK-953-P006</x:v>
      </x:c>
      <x:c r="AD5227" s="87"/>
      <x:c r="AE5227" s="87" t="str">
        <x:v>TASK</x:v>
      </x:c>
      <x:c r="AF5227" s="87" t="str">
        <x:v>VIS-EGKR-ENG-W25-TASK-953-P006: 6</x:v>
      </x:c>
      <x:c r="AG5227" s="87" t="str">
        <x:v>RESOLVED</x:v>
      </x:c>
      <x:c r="AH5227" s="87" t="str">
        <x:v>CROP_VERIFIED</x:v>
      </x:c>
      <x:c r="AI5227" s="30"/>
      <x:c r="AJ5227" s="87" t="str">
        <x:v>clean</x:v>
      </x:c>
      <x:c r="AK5227" s="87" t="str">
        <x:v>clean-v0.11</x:v>
      </x:c>
      <x:c r="AL5227" s="87" t="str">
        <x:v>statgrad_clean_continuation_v0_11(1).xlsx</x:v>
      </x:c>
      <x:c r="AM5227" s="87" t="str">
        <x:v>ENG_EGKR_953</x:v>
      </x:c>
      <x:c r="AN5227" s="87" t="n">
        <x:v>22</x:v>
      </x:c>
    </x:row>
    <x:row r="5228">
      <x:c r="A5228" s="87" t="n">
        <x:v>5227</x:v>
      </x:c>
      <x:c r="B5228" s="87" t="str">
        <x:v>EGKR-ENG-W25-953-22</x:v>
      </x:c>
      <x:c r="C5228" s="87" t="str">
        <x:v>ЕГКР</x:v>
      </x:c>
      <x:c r="D5228" s="87"/>
      <x:c r="E5228" s="87" t="str">
        <x:v>Зима 2025</x:v>
      </x:c>
      <x:c r="F5228" s="87" t="str">
        <x:v>11.12.2025</x:v>
      </x:c>
      <x:c r="G5228" s="87" t="str">
        <x:v>Английский язык</x:v>
      </x:c>
      <x:c r="H5228" s="87" t="n">
        <x:v>11</x:v>
      </x:c>
      <x:c r="I5228" s="87"/>
      <x:c r="J5228" s="87" t="str">
        <x:v>953</x:v>
      </x:c>
      <x:c r="K5228" s="87" t="n">
        <x:v>22</x:v>
      </x:c>
      <x:c r="L5228" s="87" t="str">
        <x:v>Грамматика: преобразование формы слова</x:v>
      </x:c>
      <x:c r="M5228" s="30" t="str">
        <x:v>Задание 22 письменной части варианта 953; полное условие сохранено на странице VIS_ID.</x:v>
      </x:c>
      <x:c r="N5228" s="30" t="str">
        <x:v>was invented</x:v>
      </x:c>
      <x:c r="O5228" s="30"/>
      <x:c r="P5228" s="30"/>
      <x:c r="Q5228" s="30" t="str">
        <x:v>Независимо решено по условию; проверена грамматика, лексика или логика текста.</x:v>
      </x:c>
      <x:c r="R5228" s="30"/>
      <x:c r="S5228" s="30" t="str">
        <x:v>Независимая проверка по PDF задания</x:v>
      </x:c>
      <x:c r="T5228" s="30"/>
      <x:c r="U5228" s="30" t="str">
        <x:v>Канонический рабочий ответ.</x:v>
      </x:c>
      <x:c r="V5228" s="87" t="str">
        <x:v>VERIFIED</x:v>
      </x:c>
      <x:c r="W5228" s="87"/>
      <x:c r="X5228" s="87" t="str">
        <x:v>6</x:v>
      </x:c>
      <x:c r="Y5228" s="87"/>
      <x:c r="Z5228" s="87"/>
      <x:c r="AA5228" s="87"/>
      <x:c r="AB5228" s="87"/>
      <x:c r="AC5228" s="87" t="str">
        <x:v>VIS-EGKR-ENG-W25-TASK-953-P006</x:v>
      </x:c>
      <x:c r="AD5228" s="87"/>
      <x:c r="AE5228" s="87" t="str">
        <x:v>TASK</x:v>
      </x:c>
      <x:c r="AF5228" s="87" t="str">
        <x:v>VIS-EGKR-ENG-W25-TASK-953-P006: 6</x:v>
      </x:c>
      <x:c r="AG5228" s="87" t="str">
        <x:v>RESOLVED</x:v>
      </x:c>
      <x:c r="AH5228" s="87" t="str">
        <x:v>CROP_VERIFIED</x:v>
      </x:c>
      <x:c r="AI5228" s="30"/>
      <x:c r="AJ5228" s="87" t="str">
        <x:v>clean</x:v>
      </x:c>
      <x:c r="AK5228" s="87" t="str">
        <x:v>clean-v0.11</x:v>
      </x:c>
      <x:c r="AL5228" s="87" t="str">
        <x:v>statgrad_clean_continuation_v0_11(1).xlsx</x:v>
      </x:c>
      <x:c r="AM5228" s="87" t="str">
        <x:v>ENG_EGKR_953</x:v>
      </x:c>
      <x:c r="AN5228" s="87" t="n">
        <x:v>23</x:v>
      </x:c>
    </x:row>
    <x:row r="5229">
      <x:c r="A5229" s="87" t="n">
        <x:v>5228</x:v>
      </x:c>
      <x:c r="B5229" s="87" t="str">
        <x:v>EGKR-ENG-W25-953-23</x:v>
      </x:c>
      <x:c r="C5229" s="87" t="str">
        <x:v>ЕГКР</x:v>
      </x:c>
      <x:c r="D5229" s="87"/>
      <x:c r="E5229" s="87" t="str">
        <x:v>Зима 2025</x:v>
      </x:c>
      <x:c r="F5229" s="87" t="str">
        <x:v>11.12.2025</x:v>
      </x:c>
      <x:c r="G5229" s="87" t="str">
        <x:v>Английский язык</x:v>
      </x:c>
      <x:c r="H5229" s="87" t="n">
        <x:v>11</x:v>
      </x:c>
      <x:c r="I5229" s="87"/>
      <x:c r="J5229" s="87" t="str">
        <x:v>953</x:v>
      </x:c>
      <x:c r="K5229" s="87" t="n">
        <x:v>23</x:v>
      </x:c>
      <x:c r="L5229" s="87" t="str">
        <x:v>Грамматика: преобразование формы слова</x:v>
      </x:c>
      <x:c r="M5229" s="30" t="str">
        <x:v>Задание 23 письменной части варианта 953; полное условие сохранено на странице VIS_ID.</x:v>
      </x:c>
      <x:c r="N5229" s="30" t="str">
        <x:v>has been</x:v>
      </x:c>
      <x:c r="O5229" s="30"/>
      <x:c r="P5229" s="30"/>
      <x:c r="Q5229" s="30" t="str">
        <x:v>Независимо решено по условию; проверена грамматика, лексика или логика текста.</x:v>
      </x:c>
      <x:c r="R5229" s="30"/>
      <x:c r="S5229" s="30" t="str">
        <x:v>Независимая проверка по PDF задания</x:v>
      </x:c>
      <x:c r="T5229" s="30"/>
      <x:c r="U5229" s="30" t="str">
        <x:v>Канонический рабочий ответ.</x:v>
      </x:c>
      <x:c r="V5229" s="87" t="str">
        <x:v>VERIFIED</x:v>
      </x:c>
      <x:c r="W5229" s="87"/>
      <x:c r="X5229" s="87" t="str">
        <x:v>6</x:v>
      </x:c>
      <x:c r="Y5229" s="87"/>
      <x:c r="Z5229" s="87"/>
      <x:c r="AA5229" s="87"/>
      <x:c r="AB5229" s="87"/>
      <x:c r="AC5229" s="87" t="str">
        <x:v>VIS-EGKR-ENG-W25-TASK-953-P006</x:v>
      </x:c>
      <x:c r="AD5229" s="87"/>
      <x:c r="AE5229" s="87" t="str">
        <x:v>TASK</x:v>
      </x:c>
      <x:c r="AF5229" s="87" t="str">
        <x:v>VIS-EGKR-ENG-W25-TASK-953-P006: 6</x:v>
      </x:c>
      <x:c r="AG5229" s="87" t="str">
        <x:v>RESOLVED</x:v>
      </x:c>
      <x:c r="AH5229" s="87" t="str">
        <x:v>CROP_VERIFIED</x:v>
      </x:c>
      <x:c r="AI5229" s="30"/>
      <x:c r="AJ5229" s="87" t="str">
        <x:v>clean</x:v>
      </x:c>
      <x:c r="AK5229" s="87" t="str">
        <x:v>clean-v0.11</x:v>
      </x:c>
      <x:c r="AL5229" s="87" t="str">
        <x:v>statgrad_clean_continuation_v0_11(1).xlsx</x:v>
      </x:c>
      <x:c r="AM5229" s="87" t="str">
        <x:v>ENG_EGKR_953</x:v>
      </x:c>
      <x:c r="AN5229" s="87" t="n">
        <x:v>24</x:v>
      </x:c>
    </x:row>
    <x:row r="5230">
      <x:c r="A5230" s="87" t="n">
        <x:v>5229</x:v>
      </x:c>
      <x:c r="B5230" s="87" t="str">
        <x:v>EGKR-ENG-W25-953-24</x:v>
      </x:c>
      <x:c r="C5230" s="87" t="str">
        <x:v>ЕГКР</x:v>
      </x:c>
      <x:c r="D5230" s="87"/>
      <x:c r="E5230" s="87" t="str">
        <x:v>Зима 2025</x:v>
      </x:c>
      <x:c r="F5230" s="87" t="str">
        <x:v>11.12.2025</x:v>
      </x:c>
      <x:c r="G5230" s="87" t="str">
        <x:v>Английский язык</x:v>
      </x:c>
      <x:c r="H5230" s="87" t="n">
        <x:v>11</x:v>
      </x:c>
      <x:c r="I5230" s="87"/>
      <x:c r="J5230" s="87" t="str">
        <x:v>953</x:v>
      </x:c>
      <x:c r="K5230" s="87" t="n">
        <x:v>24</x:v>
      </x:c>
      <x:c r="L5230" s="87" t="str">
        <x:v>Грамматика: преобразование формы слова</x:v>
      </x:c>
      <x:c r="M5230" s="30" t="str">
        <x:v>Задание 24 письменной части варианта 953; полное условие сохранено на странице VIS_ID.</x:v>
      </x:c>
      <x:c r="N5230" s="30" t="str">
        <x:v>saw</x:v>
      </x:c>
      <x:c r="O5230" s="30"/>
      <x:c r="P5230" s="30"/>
      <x:c r="Q5230" s="30" t="str">
        <x:v>Независимо решено по условию; проверена грамматика, лексика или логика текста.</x:v>
      </x:c>
      <x:c r="R5230" s="30"/>
      <x:c r="S5230" s="30" t="str">
        <x:v>Независимая проверка по PDF задания</x:v>
      </x:c>
      <x:c r="T5230" s="30"/>
      <x:c r="U5230" s="30" t="str">
        <x:v>Канонический рабочий ответ.</x:v>
      </x:c>
      <x:c r="V5230" s="87" t="str">
        <x:v>VERIFIED</x:v>
      </x:c>
      <x:c r="W5230" s="87"/>
      <x:c r="X5230" s="87" t="str">
        <x:v>6</x:v>
      </x:c>
      <x:c r="Y5230" s="87"/>
      <x:c r="Z5230" s="87"/>
      <x:c r="AA5230" s="87"/>
      <x:c r="AB5230" s="87"/>
      <x:c r="AC5230" s="87" t="str">
        <x:v>VIS-EGKR-ENG-W25-TASK-953-P006</x:v>
      </x:c>
      <x:c r="AD5230" s="87"/>
      <x:c r="AE5230" s="87" t="str">
        <x:v>TASK</x:v>
      </x:c>
      <x:c r="AF5230" s="87" t="str">
        <x:v>VIS-EGKR-ENG-W25-TASK-953-P006: 6</x:v>
      </x:c>
      <x:c r="AG5230" s="87" t="str">
        <x:v>RESOLVED</x:v>
      </x:c>
      <x:c r="AH5230" s="87" t="str">
        <x:v>CROP_VERIFIED</x:v>
      </x:c>
      <x:c r="AI5230" s="30"/>
      <x:c r="AJ5230" s="87" t="str">
        <x:v>clean</x:v>
      </x:c>
      <x:c r="AK5230" s="87" t="str">
        <x:v>clean-v0.11</x:v>
      </x:c>
      <x:c r="AL5230" s="87" t="str">
        <x:v>statgrad_clean_continuation_v0_11(1).xlsx</x:v>
      </x:c>
      <x:c r="AM5230" s="87" t="str">
        <x:v>ENG_EGKR_953</x:v>
      </x:c>
      <x:c r="AN5230" s="87" t="n">
        <x:v>25</x:v>
      </x:c>
    </x:row>
    <x:row r="5231">
      <x:c r="A5231" s="87" t="n">
        <x:v>5230</x:v>
      </x:c>
      <x:c r="B5231" s="87" t="str">
        <x:v>EGKR-ENG-W25-953-25</x:v>
      </x:c>
      <x:c r="C5231" s="87" t="str">
        <x:v>ЕГКР</x:v>
      </x:c>
      <x:c r="D5231" s="87"/>
      <x:c r="E5231" s="87" t="str">
        <x:v>Зима 2025</x:v>
      </x:c>
      <x:c r="F5231" s="87" t="str">
        <x:v>11.12.2025</x:v>
      </x:c>
      <x:c r="G5231" s="87" t="str">
        <x:v>Английский язык</x:v>
      </x:c>
      <x:c r="H5231" s="87" t="n">
        <x:v>11</x:v>
      </x:c>
      <x:c r="I5231" s="87"/>
      <x:c r="J5231" s="87" t="str">
        <x:v>953</x:v>
      </x:c>
      <x:c r="K5231" s="87" t="n">
        <x:v>25</x:v>
      </x:c>
      <x:c r="L5231" s="87" t="str">
        <x:v>Лексика: словообразование</x:v>
      </x:c>
      <x:c r="M5231" s="30" t="str">
        <x:v>Задание 25 письменной части варианта 953; полное условие сохранено на странице VIS_ID.</x:v>
      </x:c>
      <x:c r="N5231" s="30" t="str">
        <x:v>amazing</x:v>
      </x:c>
      <x:c r="O5231" s="30"/>
      <x:c r="P5231" s="30"/>
      <x:c r="Q5231" s="30" t="str">
        <x:v>Независимо решено по условию; проверена грамматика, лексика или логика текста.</x:v>
      </x:c>
      <x:c r="R5231" s="30"/>
      <x:c r="S5231" s="30" t="str">
        <x:v>Независимая проверка по PDF задания</x:v>
      </x:c>
      <x:c r="T5231" s="30"/>
      <x:c r="U5231" s="30" t="str">
        <x:v>Канонический рабочий ответ.</x:v>
      </x:c>
      <x:c r="V5231" s="87" t="str">
        <x:v>VERIFIED</x:v>
      </x:c>
      <x:c r="W5231" s="87"/>
      <x:c r="X5231" s="87" t="str">
        <x:v>6</x:v>
      </x:c>
      <x:c r="Y5231" s="87"/>
      <x:c r="Z5231" s="87"/>
      <x:c r="AA5231" s="87"/>
      <x:c r="AB5231" s="87"/>
      <x:c r="AC5231" s="87" t="str">
        <x:v>VIS-EGKR-ENG-W25-TASK-953-P006</x:v>
      </x:c>
      <x:c r="AD5231" s="87"/>
      <x:c r="AE5231" s="87" t="str">
        <x:v>TASK</x:v>
      </x:c>
      <x:c r="AF5231" s="87" t="str">
        <x:v>VIS-EGKR-ENG-W25-TASK-953-P006: 6</x:v>
      </x:c>
      <x:c r="AG5231" s="87" t="str">
        <x:v>RESOLVED</x:v>
      </x:c>
      <x:c r="AH5231" s="87" t="str">
        <x:v>CROP_VERIFIED</x:v>
      </x:c>
      <x:c r="AI5231" s="30"/>
      <x:c r="AJ5231" s="87" t="str">
        <x:v>clean</x:v>
      </x:c>
      <x:c r="AK5231" s="87" t="str">
        <x:v>clean-v0.11</x:v>
      </x:c>
      <x:c r="AL5231" s="87" t="str">
        <x:v>statgrad_clean_continuation_v0_11(1).xlsx</x:v>
      </x:c>
      <x:c r="AM5231" s="87" t="str">
        <x:v>ENG_EGKR_953</x:v>
      </x:c>
      <x:c r="AN5231" s="87" t="n">
        <x:v>26</x:v>
      </x:c>
    </x:row>
    <x:row r="5232">
      <x:c r="A5232" s="87" t="n">
        <x:v>5231</x:v>
      </x:c>
      <x:c r="B5232" s="87" t="str">
        <x:v>EGKR-ENG-W25-953-26</x:v>
      </x:c>
      <x:c r="C5232" s="87" t="str">
        <x:v>ЕГКР</x:v>
      </x:c>
      <x:c r="D5232" s="87"/>
      <x:c r="E5232" s="87" t="str">
        <x:v>Зима 2025</x:v>
      </x:c>
      <x:c r="F5232" s="87" t="str">
        <x:v>11.12.2025</x:v>
      </x:c>
      <x:c r="G5232" s="87" t="str">
        <x:v>Английский язык</x:v>
      </x:c>
      <x:c r="H5232" s="87" t="n">
        <x:v>11</x:v>
      </x:c>
      <x:c r="I5232" s="87"/>
      <x:c r="J5232" s="87" t="str">
        <x:v>953</x:v>
      </x:c>
      <x:c r="K5232" s="87" t="n">
        <x:v>26</x:v>
      </x:c>
      <x:c r="L5232" s="87" t="str">
        <x:v>Лексика: словообразование</x:v>
      </x:c>
      <x:c r="M5232" s="30" t="str">
        <x:v>Задание 26 письменной части варианта 953; полное условие сохранено на странице VIS_ID.</x:v>
      </x:c>
      <x:c r="N5232" s="30" t="str">
        <x:v>wonderful</x:v>
      </x:c>
      <x:c r="O5232" s="30"/>
      <x:c r="P5232" s="30"/>
      <x:c r="Q5232" s="30" t="str">
        <x:v>Независимо решено по условию; проверена грамматика, лексика или логика текста.</x:v>
      </x:c>
      <x:c r="R5232" s="30"/>
      <x:c r="S5232" s="30" t="str">
        <x:v>Независимая проверка по PDF задания</x:v>
      </x:c>
      <x:c r="T5232" s="30"/>
      <x:c r="U5232" s="30" t="str">
        <x:v>Канонический рабочий ответ.</x:v>
      </x:c>
      <x:c r="V5232" s="87" t="str">
        <x:v>VERIFIED</x:v>
      </x:c>
      <x:c r="W5232" s="87"/>
      <x:c r="X5232" s="87" t="str">
        <x:v>6</x:v>
      </x:c>
      <x:c r="Y5232" s="87"/>
      <x:c r="Z5232" s="87"/>
      <x:c r="AA5232" s="87"/>
      <x:c r="AB5232" s="87"/>
      <x:c r="AC5232" s="87" t="str">
        <x:v>VIS-EGKR-ENG-W25-TASK-953-P006</x:v>
      </x:c>
      <x:c r="AD5232" s="87"/>
      <x:c r="AE5232" s="87" t="str">
        <x:v>TASK</x:v>
      </x:c>
      <x:c r="AF5232" s="87" t="str">
        <x:v>VIS-EGKR-ENG-W25-TASK-953-P006: 6</x:v>
      </x:c>
      <x:c r="AG5232" s="87" t="str">
        <x:v>RESOLVED</x:v>
      </x:c>
      <x:c r="AH5232" s="87" t="str">
        <x:v>CROP_VERIFIED</x:v>
      </x:c>
      <x:c r="AI5232" s="30"/>
      <x:c r="AJ5232" s="87" t="str">
        <x:v>clean</x:v>
      </x:c>
      <x:c r="AK5232" s="87" t="str">
        <x:v>clean-v0.11</x:v>
      </x:c>
      <x:c r="AL5232" s="87" t="str">
        <x:v>statgrad_clean_continuation_v0_11(1).xlsx</x:v>
      </x:c>
      <x:c r="AM5232" s="87" t="str">
        <x:v>ENG_EGKR_953</x:v>
      </x:c>
      <x:c r="AN5232" s="87" t="n">
        <x:v>27</x:v>
      </x:c>
    </x:row>
    <x:row r="5233">
      <x:c r="A5233" s="87" t="n">
        <x:v>5232</x:v>
      </x:c>
      <x:c r="B5233" s="87" t="str">
        <x:v>EGKR-ENG-W25-953-27</x:v>
      </x:c>
      <x:c r="C5233" s="87" t="str">
        <x:v>ЕГКР</x:v>
      </x:c>
      <x:c r="D5233" s="87"/>
      <x:c r="E5233" s="87" t="str">
        <x:v>Зима 2025</x:v>
      </x:c>
      <x:c r="F5233" s="87" t="str">
        <x:v>11.12.2025</x:v>
      </x:c>
      <x:c r="G5233" s="87" t="str">
        <x:v>Английский язык</x:v>
      </x:c>
      <x:c r="H5233" s="87" t="n">
        <x:v>11</x:v>
      </x:c>
      <x:c r="I5233" s="87"/>
      <x:c r="J5233" s="87" t="str">
        <x:v>953</x:v>
      </x:c>
      <x:c r="K5233" s="87" t="n">
        <x:v>27</x:v>
      </x:c>
      <x:c r="L5233" s="87" t="str">
        <x:v>Лексика: словообразование</x:v>
      </x:c>
      <x:c r="M5233" s="30" t="str">
        <x:v>Задание 27 письменной части варианта 953; полное условие сохранено на странице VIS_ID.</x:v>
      </x:c>
      <x:c r="N5233" s="30" t="str">
        <x:v>sailors</x:v>
      </x:c>
      <x:c r="O5233" s="30"/>
      <x:c r="P5233" s="30"/>
      <x:c r="Q5233" s="30" t="str">
        <x:v>Независимо решено по условию; проверена грамматика, лексика или логика текста.</x:v>
      </x:c>
      <x:c r="R5233" s="30"/>
      <x:c r="S5233" s="30" t="str">
        <x:v>Независимая проверка по PDF задания</x:v>
      </x:c>
      <x:c r="T5233" s="30"/>
      <x:c r="U5233" s="30" t="str">
        <x:v>Канонический рабочий ответ.</x:v>
      </x:c>
      <x:c r="V5233" s="87" t="str">
        <x:v>VERIFIED</x:v>
      </x:c>
      <x:c r="W5233" s="87"/>
      <x:c r="X5233" s="87" t="str">
        <x:v>6</x:v>
      </x:c>
      <x:c r="Y5233" s="87"/>
      <x:c r="Z5233" s="87"/>
      <x:c r="AA5233" s="87"/>
      <x:c r="AB5233" s="87"/>
      <x:c r="AC5233" s="87" t="str">
        <x:v>VIS-EGKR-ENG-W25-TASK-953-P006</x:v>
      </x:c>
      <x:c r="AD5233" s="87"/>
      <x:c r="AE5233" s="87" t="str">
        <x:v>TASK</x:v>
      </x:c>
      <x:c r="AF5233" s="87" t="str">
        <x:v>VIS-EGKR-ENG-W25-TASK-953-P006: 6</x:v>
      </x:c>
      <x:c r="AG5233" s="87" t="str">
        <x:v>RESOLVED</x:v>
      </x:c>
      <x:c r="AH5233" s="87" t="str">
        <x:v>CROP_VERIFIED</x:v>
      </x:c>
      <x:c r="AI5233" s="30"/>
      <x:c r="AJ5233" s="87" t="str">
        <x:v>clean</x:v>
      </x:c>
      <x:c r="AK5233" s="87" t="str">
        <x:v>clean-v0.11</x:v>
      </x:c>
      <x:c r="AL5233" s="87" t="str">
        <x:v>statgrad_clean_continuation_v0_11(1).xlsx</x:v>
      </x:c>
      <x:c r="AM5233" s="87" t="str">
        <x:v>ENG_EGKR_953</x:v>
      </x:c>
      <x:c r="AN5233" s="87" t="n">
        <x:v>28</x:v>
      </x:c>
    </x:row>
    <x:row r="5234">
      <x:c r="A5234" s="87" t="n">
        <x:v>5233</x:v>
      </x:c>
      <x:c r="B5234" s="87" t="str">
        <x:v>EGKR-ENG-W25-953-28</x:v>
      </x:c>
      <x:c r="C5234" s="87" t="str">
        <x:v>ЕГКР</x:v>
      </x:c>
      <x:c r="D5234" s="87"/>
      <x:c r="E5234" s="87" t="str">
        <x:v>Зима 2025</x:v>
      </x:c>
      <x:c r="F5234" s="87" t="str">
        <x:v>11.12.2025</x:v>
      </x:c>
      <x:c r="G5234" s="87" t="str">
        <x:v>Английский язык</x:v>
      </x:c>
      <x:c r="H5234" s="87" t="n">
        <x:v>11</x:v>
      </x:c>
      <x:c r="I5234" s="87"/>
      <x:c r="J5234" s="87" t="str">
        <x:v>953</x:v>
      </x:c>
      <x:c r="K5234" s="87" t="n">
        <x:v>28</x:v>
      </x:c>
      <x:c r="L5234" s="87" t="str">
        <x:v>Лексика: словообразование</x:v>
      </x:c>
      <x:c r="M5234" s="30" t="str">
        <x:v>Задание 28 письменной части варианта 953; полное условие сохранено на странице VIS_ID.</x:v>
      </x:c>
      <x:c r="N5234" s="30" t="str">
        <x:v>fully</x:v>
      </x:c>
      <x:c r="O5234" s="30"/>
      <x:c r="P5234" s="30"/>
      <x:c r="Q5234" s="30" t="str">
        <x:v>Независимо решено по условию; проверена грамматика, лексика или логика текста.</x:v>
      </x:c>
      <x:c r="R5234" s="30"/>
      <x:c r="S5234" s="30" t="str">
        <x:v>Независимая проверка по PDF задания</x:v>
      </x:c>
      <x:c r="T5234" s="30"/>
      <x:c r="U5234" s="30" t="str">
        <x:v>Канонический рабочий ответ.</x:v>
      </x:c>
      <x:c r="V5234" s="87" t="str">
        <x:v>VERIFIED</x:v>
      </x:c>
      <x:c r="W5234" s="87"/>
      <x:c r="X5234" s="87" t="str">
        <x:v>6</x:v>
      </x:c>
      <x:c r="Y5234" s="87"/>
      <x:c r="Z5234" s="87"/>
      <x:c r="AA5234" s="87"/>
      <x:c r="AB5234" s="87"/>
      <x:c r="AC5234" s="87" t="str">
        <x:v>VIS-EGKR-ENG-W25-TASK-953-P006</x:v>
      </x:c>
      <x:c r="AD5234" s="87"/>
      <x:c r="AE5234" s="87" t="str">
        <x:v>TASK</x:v>
      </x:c>
      <x:c r="AF5234" s="87" t="str">
        <x:v>VIS-EGKR-ENG-W25-TASK-953-P006: 6</x:v>
      </x:c>
      <x:c r="AG5234" s="87" t="str">
        <x:v>RESOLVED</x:v>
      </x:c>
      <x:c r="AH5234" s="87" t="str">
        <x:v>CROP_VERIFIED</x:v>
      </x:c>
      <x:c r="AI5234" s="30"/>
      <x:c r="AJ5234" s="87" t="str">
        <x:v>clean</x:v>
      </x:c>
      <x:c r="AK5234" s="87" t="str">
        <x:v>clean-v0.11</x:v>
      </x:c>
      <x:c r="AL5234" s="87" t="str">
        <x:v>statgrad_clean_continuation_v0_11(1).xlsx</x:v>
      </x:c>
      <x:c r="AM5234" s="87" t="str">
        <x:v>ENG_EGKR_953</x:v>
      </x:c>
      <x:c r="AN5234" s="87" t="n">
        <x:v>29</x:v>
      </x:c>
    </x:row>
    <x:row r="5235">
      <x:c r="A5235" s="87" t="n">
        <x:v>5234</x:v>
      </x:c>
      <x:c r="B5235" s="87" t="str">
        <x:v>EGKR-ENG-W25-953-29</x:v>
      </x:c>
      <x:c r="C5235" s="87" t="str">
        <x:v>ЕГКР</x:v>
      </x:c>
      <x:c r="D5235" s="87"/>
      <x:c r="E5235" s="87" t="str">
        <x:v>Зима 2025</x:v>
      </x:c>
      <x:c r="F5235" s="87" t="str">
        <x:v>11.12.2025</x:v>
      </x:c>
      <x:c r="G5235" s="87" t="str">
        <x:v>Английский язык</x:v>
      </x:c>
      <x:c r="H5235" s="87" t="n">
        <x:v>11</x:v>
      </x:c>
      <x:c r="I5235" s="87"/>
      <x:c r="J5235" s="87" t="str">
        <x:v>953</x:v>
      </x:c>
      <x:c r="K5235" s="87" t="n">
        <x:v>29</x:v>
      </x:c>
      <x:c r="L5235" s="87" t="str">
        <x:v>Лексика: словообразование</x:v>
      </x:c>
      <x:c r="M5235" s="30" t="str">
        <x:v>Задание 29 письменной части варианта 953; полное условие сохранено на странице VIS_ID.</x:v>
      </x:c>
      <x:c r="N5235" s="30" t="str">
        <x:v>unexplored</x:v>
      </x:c>
      <x:c r="O5235" s="30"/>
      <x:c r="P5235" s="30"/>
      <x:c r="Q5235" s="30" t="str">
        <x:v>Независимо решено по условию; проверена грамматика, лексика или логика текста.</x:v>
      </x:c>
      <x:c r="R5235" s="30"/>
      <x:c r="S5235" s="30" t="str">
        <x:v>Независимая проверка по PDF задания</x:v>
      </x:c>
      <x:c r="T5235" s="30"/>
      <x:c r="U5235" s="30" t="str">
        <x:v>Канонический рабочий ответ.</x:v>
      </x:c>
      <x:c r="V5235" s="87" t="str">
        <x:v>VERIFIED</x:v>
      </x:c>
      <x:c r="W5235" s="87"/>
      <x:c r="X5235" s="87" t="str">
        <x:v>6</x:v>
      </x:c>
      <x:c r="Y5235" s="87"/>
      <x:c r="Z5235" s="87"/>
      <x:c r="AA5235" s="87"/>
      <x:c r="AB5235" s="87"/>
      <x:c r="AC5235" s="87" t="str">
        <x:v>VIS-EGKR-ENG-W25-TASK-953-P006</x:v>
      </x:c>
      <x:c r="AD5235" s="87"/>
      <x:c r="AE5235" s="87" t="str">
        <x:v>TASK</x:v>
      </x:c>
      <x:c r="AF5235" s="87" t="str">
        <x:v>VIS-EGKR-ENG-W25-TASK-953-P006: 6</x:v>
      </x:c>
      <x:c r="AG5235" s="87" t="str">
        <x:v>RESOLVED</x:v>
      </x:c>
      <x:c r="AH5235" s="87" t="str">
        <x:v>CROP_VERIFIED</x:v>
      </x:c>
      <x:c r="AI5235" s="30"/>
      <x:c r="AJ5235" s="87" t="str">
        <x:v>clean</x:v>
      </x:c>
      <x:c r="AK5235" s="87" t="str">
        <x:v>clean-v0.11</x:v>
      </x:c>
      <x:c r="AL5235" s="87" t="str">
        <x:v>statgrad_clean_continuation_v0_11(1).xlsx</x:v>
      </x:c>
      <x:c r="AM5235" s="87" t="str">
        <x:v>ENG_EGKR_953</x:v>
      </x:c>
      <x:c r="AN5235" s="87" t="n">
        <x:v>30</x:v>
      </x:c>
    </x:row>
    <x:row r="5236">
      <x:c r="A5236" s="87" t="n">
        <x:v>5235</x:v>
      </x:c>
      <x:c r="B5236" s="87" t="str">
        <x:v>EGKR-ENG-W25-953-30</x:v>
      </x:c>
      <x:c r="C5236" s="87" t="str">
        <x:v>ЕГКР</x:v>
      </x:c>
      <x:c r="D5236" s="87"/>
      <x:c r="E5236" s="87" t="str">
        <x:v>Зима 2025</x:v>
      </x:c>
      <x:c r="F5236" s="87" t="str">
        <x:v>11.12.2025</x:v>
      </x:c>
      <x:c r="G5236" s="87" t="str">
        <x:v>Английский язык</x:v>
      </x:c>
      <x:c r="H5236" s="87" t="n">
        <x:v>11</x:v>
      </x:c>
      <x:c r="I5236" s="87"/>
      <x:c r="J5236" s="87" t="str">
        <x:v>953</x:v>
      </x:c>
      <x:c r="K5236" s="87" t="n">
        <x:v>30</x:v>
      </x:c>
      <x:c r="L5236" s="87" t="str">
        <x:v>Лексика: выбор слова</x:v>
      </x:c>
      <x:c r="M5236" s="30" t="str">
        <x:v>Задание 30 письменной части варианта 953; полное условие сохранено на странице VIS_ID.</x:v>
      </x:c>
      <x:c r="N5236" s="30" t="str">
        <x:v>1</x:v>
      </x:c>
      <x:c r="O5236" s="30"/>
      <x:c r="P5236" s="30"/>
      <x:c r="Q5236" s="30" t="str">
        <x:v>Независимо решено по условию; проверена грамматика, лексика или логика текста.</x:v>
      </x:c>
      <x:c r="R5236" s="30"/>
      <x:c r="S5236" s="30" t="str">
        <x:v>Независимая проверка по PDF задания</x:v>
      </x:c>
      <x:c r="T5236" s="30"/>
      <x:c r="U5236" s="30" t="str">
        <x:v>Канонический рабочий ответ.</x:v>
      </x:c>
      <x:c r="V5236" s="87" t="str">
        <x:v>VERIFIED</x:v>
      </x:c>
      <x:c r="W5236" s="87"/>
      <x:c r="X5236" s="87" t="str">
        <x:v>7</x:v>
      </x:c>
      <x:c r="Y5236" s="87"/>
      <x:c r="Z5236" s="87"/>
      <x:c r="AA5236" s="87"/>
      <x:c r="AB5236" s="87"/>
      <x:c r="AC5236" s="87" t="str">
        <x:v>VIS-EGKR-ENG-W25-TASK-953-P007</x:v>
      </x:c>
      <x:c r="AD5236" s="87"/>
      <x:c r="AE5236" s="87" t="str">
        <x:v>TASK</x:v>
      </x:c>
      <x:c r="AF5236" s="87" t="str">
        <x:v>VIS-EGKR-ENG-W25-TASK-953-P007: 7</x:v>
      </x:c>
      <x:c r="AG5236" s="87" t="str">
        <x:v>RESOLVED</x:v>
      </x:c>
      <x:c r="AH5236" s="87" t="str">
        <x:v>CROP_VERIFIED</x:v>
      </x:c>
      <x:c r="AI5236" s="30"/>
      <x:c r="AJ5236" s="87" t="str">
        <x:v>clean</x:v>
      </x:c>
      <x:c r="AK5236" s="87" t="str">
        <x:v>clean-v0.11</x:v>
      </x:c>
      <x:c r="AL5236" s="87" t="str">
        <x:v>statgrad_clean_continuation_v0_11(1).xlsx</x:v>
      </x:c>
      <x:c r="AM5236" s="87" t="str">
        <x:v>ENG_EGKR_953</x:v>
      </x:c>
      <x:c r="AN5236" s="87" t="n">
        <x:v>31</x:v>
      </x:c>
    </x:row>
    <x:row r="5237">
      <x:c r="A5237" s="87" t="n">
        <x:v>5236</x:v>
      </x:c>
      <x:c r="B5237" s="87" t="str">
        <x:v>EGKR-ENG-W25-953-31</x:v>
      </x:c>
      <x:c r="C5237" s="87" t="str">
        <x:v>ЕГКР</x:v>
      </x:c>
      <x:c r="D5237" s="87"/>
      <x:c r="E5237" s="87" t="str">
        <x:v>Зима 2025</x:v>
      </x:c>
      <x:c r="F5237" s="87" t="str">
        <x:v>11.12.2025</x:v>
      </x:c>
      <x:c r="G5237" s="87" t="str">
        <x:v>Английский язык</x:v>
      </x:c>
      <x:c r="H5237" s="87" t="n">
        <x:v>11</x:v>
      </x:c>
      <x:c r="I5237" s="87"/>
      <x:c r="J5237" s="87" t="str">
        <x:v>953</x:v>
      </x:c>
      <x:c r="K5237" s="87" t="n">
        <x:v>31</x:v>
      </x:c>
      <x:c r="L5237" s="87" t="str">
        <x:v>Лексика: выбор слова</x:v>
      </x:c>
      <x:c r="M5237" s="30" t="str">
        <x:v>Задание 31 письменной части варианта 953; полное условие сохранено на странице VIS_ID.</x:v>
      </x:c>
      <x:c r="N5237" s="30" t="str">
        <x:v>1</x:v>
      </x:c>
      <x:c r="O5237" s="30"/>
      <x:c r="P5237" s="30"/>
      <x:c r="Q5237" s="30" t="str">
        <x:v>Независимо решено по условию; проверена грамматика, лексика или логика текста.</x:v>
      </x:c>
      <x:c r="R5237" s="30"/>
      <x:c r="S5237" s="30" t="str">
        <x:v>Независимая проверка по PDF задания</x:v>
      </x:c>
      <x:c r="T5237" s="30"/>
      <x:c r="U5237" s="30" t="str">
        <x:v>Канонический рабочий ответ.</x:v>
      </x:c>
      <x:c r="V5237" s="87" t="str">
        <x:v>VERIFIED</x:v>
      </x:c>
      <x:c r="W5237" s="87"/>
      <x:c r="X5237" s="87" t="str">
        <x:v>7</x:v>
      </x:c>
      <x:c r="Y5237" s="87"/>
      <x:c r="Z5237" s="87"/>
      <x:c r="AA5237" s="87"/>
      <x:c r="AB5237" s="87"/>
      <x:c r="AC5237" s="87" t="str">
        <x:v>VIS-EGKR-ENG-W25-TASK-953-P007</x:v>
      </x:c>
      <x:c r="AD5237" s="87"/>
      <x:c r="AE5237" s="87" t="str">
        <x:v>TASK</x:v>
      </x:c>
      <x:c r="AF5237" s="87" t="str">
        <x:v>VIS-EGKR-ENG-W25-TASK-953-P007: 7</x:v>
      </x:c>
      <x:c r="AG5237" s="87" t="str">
        <x:v>RESOLVED</x:v>
      </x:c>
      <x:c r="AH5237" s="87" t="str">
        <x:v>CROP_VERIFIED</x:v>
      </x:c>
      <x:c r="AI5237" s="30"/>
      <x:c r="AJ5237" s="87" t="str">
        <x:v>clean</x:v>
      </x:c>
      <x:c r="AK5237" s="87" t="str">
        <x:v>clean-v0.11</x:v>
      </x:c>
      <x:c r="AL5237" s="87" t="str">
        <x:v>statgrad_clean_continuation_v0_11(1).xlsx</x:v>
      </x:c>
      <x:c r="AM5237" s="87" t="str">
        <x:v>ENG_EGKR_953</x:v>
      </x:c>
      <x:c r="AN5237" s="87" t="n">
        <x:v>32</x:v>
      </x:c>
    </x:row>
    <x:row r="5238">
      <x:c r="A5238" s="87" t="n">
        <x:v>5237</x:v>
      </x:c>
      <x:c r="B5238" s="87" t="str">
        <x:v>EGKR-ENG-W25-953-32</x:v>
      </x:c>
      <x:c r="C5238" s="87" t="str">
        <x:v>ЕГКР</x:v>
      </x:c>
      <x:c r="D5238" s="87"/>
      <x:c r="E5238" s="87" t="str">
        <x:v>Зима 2025</x:v>
      </x:c>
      <x:c r="F5238" s="87" t="str">
        <x:v>11.12.2025</x:v>
      </x:c>
      <x:c r="G5238" s="87" t="str">
        <x:v>Английский язык</x:v>
      </x:c>
      <x:c r="H5238" s="87" t="n">
        <x:v>11</x:v>
      </x:c>
      <x:c r="I5238" s="87"/>
      <x:c r="J5238" s="87" t="str">
        <x:v>953</x:v>
      </x:c>
      <x:c r="K5238" s="87" t="n">
        <x:v>32</x:v>
      </x:c>
      <x:c r="L5238" s="87" t="str">
        <x:v>Лексика: выбор слова</x:v>
      </x:c>
      <x:c r="M5238" s="30" t="str">
        <x:v>Задание 32 письменной части варианта 953; полное условие сохранено на странице VIS_ID.</x:v>
      </x:c>
      <x:c r="N5238" s="30" t="str">
        <x:v>2</x:v>
      </x:c>
      <x:c r="O5238" s="30"/>
      <x:c r="P5238" s="30"/>
      <x:c r="Q5238" s="30" t="str">
        <x:v>Независимо решено по условию; проверена грамматика, лексика или логика текста.</x:v>
      </x:c>
      <x:c r="R5238" s="30"/>
      <x:c r="S5238" s="30" t="str">
        <x:v>Независимая проверка по PDF задания</x:v>
      </x:c>
      <x:c r="T5238" s="30"/>
      <x:c r="U5238" s="30" t="str">
        <x:v>Канонический рабочий ответ.</x:v>
      </x:c>
      <x:c r="V5238" s="87" t="str">
        <x:v>VERIFIED</x:v>
      </x:c>
      <x:c r="W5238" s="87"/>
      <x:c r="X5238" s="87" t="str">
        <x:v>7</x:v>
      </x:c>
      <x:c r="Y5238" s="87"/>
      <x:c r="Z5238" s="87"/>
      <x:c r="AA5238" s="87"/>
      <x:c r="AB5238" s="87"/>
      <x:c r="AC5238" s="87" t="str">
        <x:v>VIS-EGKR-ENG-W25-TASK-953-P007</x:v>
      </x:c>
      <x:c r="AD5238" s="87"/>
      <x:c r="AE5238" s="87" t="str">
        <x:v>TASK</x:v>
      </x:c>
      <x:c r="AF5238" s="87" t="str">
        <x:v>VIS-EGKR-ENG-W25-TASK-953-P007: 7</x:v>
      </x:c>
      <x:c r="AG5238" s="87" t="str">
        <x:v>RESOLVED</x:v>
      </x:c>
      <x:c r="AH5238" s="87" t="str">
        <x:v>CROP_VERIFIED</x:v>
      </x:c>
      <x:c r="AI5238" s="30"/>
      <x:c r="AJ5238" s="87" t="str">
        <x:v>clean</x:v>
      </x:c>
      <x:c r="AK5238" s="87" t="str">
        <x:v>clean-v0.11</x:v>
      </x:c>
      <x:c r="AL5238" s="87" t="str">
        <x:v>statgrad_clean_continuation_v0_11(1).xlsx</x:v>
      </x:c>
      <x:c r="AM5238" s="87" t="str">
        <x:v>ENG_EGKR_953</x:v>
      </x:c>
      <x:c r="AN5238" s="87" t="n">
        <x:v>33</x:v>
      </x:c>
    </x:row>
    <x:row r="5239">
      <x:c r="A5239" s="87" t="n">
        <x:v>5238</x:v>
      </x:c>
      <x:c r="B5239" s="87" t="str">
        <x:v>EGKR-ENG-W25-953-33</x:v>
      </x:c>
      <x:c r="C5239" s="87" t="str">
        <x:v>ЕГКР</x:v>
      </x:c>
      <x:c r="D5239" s="87"/>
      <x:c r="E5239" s="87" t="str">
        <x:v>Зима 2025</x:v>
      </x:c>
      <x:c r="F5239" s="87" t="str">
        <x:v>11.12.2025</x:v>
      </x:c>
      <x:c r="G5239" s="87" t="str">
        <x:v>Английский язык</x:v>
      </x:c>
      <x:c r="H5239" s="87" t="n">
        <x:v>11</x:v>
      </x:c>
      <x:c r="I5239" s="87"/>
      <x:c r="J5239" s="87" t="str">
        <x:v>953</x:v>
      </x:c>
      <x:c r="K5239" s="87" t="n">
        <x:v>33</x:v>
      </x:c>
      <x:c r="L5239" s="87" t="str">
        <x:v>Лексика: выбор слова</x:v>
      </x:c>
      <x:c r="M5239" s="30" t="str">
        <x:v>Задание 33 письменной части варианта 953; полное условие сохранено на странице VIS_ID.</x:v>
      </x:c>
      <x:c r="N5239" s="30" t="str">
        <x:v>3</x:v>
      </x:c>
      <x:c r="O5239" s="30"/>
      <x:c r="P5239" s="30"/>
      <x:c r="Q5239" s="30" t="str">
        <x:v>Независимо решено по условию; проверена грамматика, лексика или логика текста.</x:v>
      </x:c>
      <x:c r="R5239" s="30"/>
      <x:c r="S5239" s="30" t="str">
        <x:v>Независимая проверка по PDF задания</x:v>
      </x:c>
      <x:c r="T5239" s="30"/>
      <x:c r="U5239" s="30" t="str">
        <x:v>Канонический рабочий ответ.</x:v>
      </x:c>
      <x:c r="V5239" s="87" t="str">
        <x:v>VERIFIED</x:v>
      </x:c>
      <x:c r="W5239" s="87"/>
      <x:c r="X5239" s="87" t="str">
        <x:v>7</x:v>
      </x:c>
      <x:c r="Y5239" s="87"/>
      <x:c r="Z5239" s="87"/>
      <x:c r="AA5239" s="87"/>
      <x:c r="AB5239" s="87"/>
      <x:c r="AC5239" s="87" t="str">
        <x:v>VIS-EGKR-ENG-W25-TASK-953-P007</x:v>
      </x:c>
      <x:c r="AD5239" s="87"/>
      <x:c r="AE5239" s="87" t="str">
        <x:v>TASK</x:v>
      </x:c>
      <x:c r="AF5239" s="87" t="str">
        <x:v>VIS-EGKR-ENG-W25-TASK-953-P007: 7</x:v>
      </x:c>
      <x:c r="AG5239" s="87" t="str">
        <x:v>RESOLVED</x:v>
      </x:c>
      <x:c r="AH5239" s="87" t="str">
        <x:v>CROP_VERIFIED</x:v>
      </x:c>
      <x:c r="AI5239" s="30"/>
      <x:c r="AJ5239" s="87" t="str">
        <x:v>clean</x:v>
      </x:c>
      <x:c r="AK5239" s="87" t="str">
        <x:v>clean-v0.11</x:v>
      </x:c>
      <x:c r="AL5239" s="87" t="str">
        <x:v>statgrad_clean_continuation_v0_11(1).xlsx</x:v>
      </x:c>
      <x:c r="AM5239" s="87" t="str">
        <x:v>ENG_EGKR_953</x:v>
      </x:c>
      <x:c r="AN5239" s="87" t="n">
        <x:v>34</x:v>
      </x:c>
    </x:row>
    <x:row r="5240">
      <x:c r="A5240" s="87" t="n">
        <x:v>5239</x:v>
      </x:c>
      <x:c r="B5240" s="87" t="str">
        <x:v>EGKR-ENG-W25-953-34</x:v>
      </x:c>
      <x:c r="C5240" s="87" t="str">
        <x:v>ЕГКР</x:v>
      </x:c>
      <x:c r="D5240" s="87"/>
      <x:c r="E5240" s="87" t="str">
        <x:v>Зима 2025</x:v>
      </x:c>
      <x:c r="F5240" s="87" t="str">
        <x:v>11.12.2025</x:v>
      </x:c>
      <x:c r="G5240" s="87" t="str">
        <x:v>Английский язык</x:v>
      </x:c>
      <x:c r="H5240" s="87" t="n">
        <x:v>11</x:v>
      </x:c>
      <x:c r="I5240" s="87"/>
      <x:c r="J5240" s="87" t="str">
        <x:v>953</x:v>
      </x:c>
      <x:c r="K5240" s="87" t="n">
        <x:v>34</x:v>
      </x:c>
      <x:c r="L5240" s="87" t="str">
        <x:v>Лексика: выбор слова</x:v>
      </x:c>
      <x:c r="M5240" s="30" t="str">
        <x:v>Задание 34 письменной части варианта 953; полное условие сохранено на странице VIS_ID.</x:v>
      </x:c>
      <x:c r="N5240" s="30" t="str">
        <x:v>3</x:v>
      </x:c>
      <x:c r="O5240" s="30"/>
      <x:c r="P5240" s="30"/>
      <x:c r="Q5240" s="30" t="str">
        <x:v>Независимо решено по условию; проверена грамматика, лексика или логика текста.</x:v>
      </x:c>
      <x:c r="R5240" s="30"/>
      <x:c r="S5240" s="30" t="str">
        <x:v>Независимая проверка по PDF задания</x:v>
      </x:c>
      <x:c r="T5240" s="30"/>
      <x:c r="U5240" s="30" t="str">
        <x:v>Канонический рабочий ответ.</x:v>
      </x:c>
      <x:c r="V5240" s="87" t="str">
        <x:v>VERIFIED</x:v>
      </x:c>
      <x:c r="W5240" s="87"/>
      <x:c r="X5240" s="87" t="str">
        <x:v>7</x:v>
      </x:c>
      <x:c r="Y5240" s="87"/>
      <x:c r="Z5240" s="87"/>
      <x:c r="AA5240" s="87"/>
      <x:c r="AB5240" s="87"/>
      <x:c r="AC5240" s="87" t="str">
        <x:v>VIS-EGKR-ENG-W25-TASK-953-P007</x:v>
      </x:c>
      <x:c r="AD5240" s="87"/>
      <x:c r="AE5240" s="87" t="str">
        <x:v>TASK</x:v>
      </x:c>
      <x:c r="AF5240" s="87" t="str">
        <x:v>VIS-EGKR-ENG-W25-TASK-953-P007: 7</x:v>
      </x:c>
      <x:c r="AG5240" s="87" t="str">
        <x:v>RESOLVED</x:v>
      </x:c>
      <x:c r="AH5240" s="87" t="str">
        <x:v>CROP_VERIFIED</x:v>
      </x:c>
      <x:c r="AI5240" s="30"/>
      <x:c r="AJ5240" s="87" t="str">
        <x:v>clean</x:v>
      </x:c>
      <x:c r="AK5240" s="87" t="str">
        <x:v>clean-v0.11</x:v>
      </x:c>
      <x:c r="AL5240" s="87" t="str">
        <x:v>statgrad_clean_continuation_v0_11(1).xlsx</x:v>
      </x:c>
      <x:c r="AM5240" s="87" t="str">
        <x:v>ENG_EGKR_953</x:v>
      </x:c>
      <x:c r="AN5240" s="87" t="n">
        <x:v>35</x:v>
      </x:c>
    </x:row>
    <x:row r="5241">
      <x:c r="A5241" s="87" t="n">
        <x:v>5240</x:v>
      </x:c>
      <x:c r="B5241" s="87" t="str">
        <x:v>EGKR-ENG-W25-953-35</x:v>
      </x:c>
      <x:c r="C5241" s="87" t="str">
        <x:v>ЕГКР</x:v>
      </x:c>
      <x:c r="D5241" s="87"/>
      <x:c r="E5241" s="87" t="str">
        <x:v>Зима 2025</x:v>
      </x:c>
      <x:c r="F5241" s="87" t="str">
        <x:v>11.12.2025</x:v>
      </x:c>
      <x:c r="G5241" s="87" t="str">
        <x:v>Английский язык</x:v>
      </x:c>
      <x:c r="H5241" s="87" t="n">
        <x:v>11</x:v>
      </x:c>
      <x:c r="I5241" s="87"/>
      <x:c r="J5241" s="87" t="str">
        <x:v>953</x:v>
      </x:c>
      <x:c r="K5241" s="87" t="n">
        <x:v>35</x:v>
      </x:c>
      <x:c r="L5241" s="87" t="str">
        <x:v>Лексика: выбор слова</x:v>
      </x:c>
      <x:c r="M5241" s="30" t="str">
        <x:v>Задание 35 письменной части варианта 953; полное условие сохранено на странице VIS_ID.</x:v>
      </x:c>
      <x:c r="N5241" s="30" t="str">
        <x:v>1</x:v>
      </x:c>
      <x:c r="O5241" s="30"/>
      <x:c r="P5241" s="30"/>
      <x:c r="Q5241" s="30" t="str">
        <x:v>Независимо решено по условию; проверена грамматика, лексика или логика текста.</x:v>
      </x:c>
      <x:c r="R5241" s="30"/>
      <x:c r="S5241" s="30" t="str">
        <x:v>Независимая проверка по PDF задания</x:v>
      </x:c>
      <x:c r="T5241" s="30"/>
      <x:c r="U5241" s="30" t="str">
        <x:v>Канонический рабочий ответ.</x:v>
      </x:c>
      <x:c r="V5241" s="87" t="str">
        <x:v>VERIFIED</x:v>
      </x:c>
      <x:c r="W5241" s="87"/>
      <x:c r="X5241" s="87" t="str">
        <x:v>7</x:v>
      </x:c>
      <x:c r="Y5241" s="87"/>
      <x:c r="Z5241" s="87"/>
      <x:c r="AA5241" s="87"/>
      <x:c r="AB5241" s="87"/>
      <x:c r="AC5241" s="87" t="str">
        <x:v>VIS-EGKR-ENG-W25-TASK-953-P007</x:v>
      </x:c>
      <x:c r="AD5241" s="87"/>
      <x:c r="AE5241" s="87" t="str">
        <x:v>TASK</x:v>
      </x:c>
      <x:c r="AF5241" s="87" t="str">
        <x:v>VIS-EGKR-ENG-W25-TASK-953-P007: 7</x:v>
      </x:c>
      <x:c r="AG5241" s="87" t="str">
        <x:v>RESOLVED</x:v>
      </x:c>
      <x:c r="AH5241" s="87" t="str">
        <x:v>CROP_VERIFIED</x:v>
      </x:c>
      <x:c r="AI5241" s="30"/>
      <x:c r="AJ5241" s="87" t="str">
        <x:v>clean</x:v>
      </x:c>
      <x:c r="AK5241" s="87" t="str">
        <x:v>clean-v0.11</x:v>
      </x:c>
      <x:c r="AL5241" s="87" t="str">
        <x:v>statgrad_clean_continuation_v0_11(1).xlsx</x:v>
      </x:c>
      <x:c r="AM5241" s="87" t="str">
        <x:v>ENG_EGKR_953</x:v>
      </x:c>
      <x:c r="AN5241" s="87" t="n">
        <x:v>36</x:v>
      </x:c>
    </x:row>
    <x:row r="5242">
      <x:c r="A5242" s="87" t="n">
        <x:v>5241</x:v>
      </x:c>
      <x:c r="B5242" s="87" t="str">
        <x:v>EGKR-ENG-W25-953-36</x:v>
      </x:c>
      <x:c r="C5242" s="87" t="str">
        <x:v>ЕГКР</x:v>
      </x:c>
      <x:c r="D5242" s="87"/>
      <x:c r="E5242" s="87" t="str">
        <x:v>Зима 2025</x:v>
      </x:c>
      <x:c r="F5242" s="87" t="str">
        <x:v>11.12.2025</x:v>
      </x:c>
      <x:c r="G5242" s="87" t="str">
        <x:v>Английский язык</x:v>
      </x:c>
      <x:c r="H5242" s="87" t="n">
        <x:v>11</x:v>
      </x:c>
      <x:c r="I5242" s="87"/>
      <x:c r="J5242" s="87" t="str">
        <x:v>953</x:v>
      </x:c>
      <x:c r="K5242" s="87" t="n">
        <x:v>36</x:v>
      </x:c>
      <x:c r="L5242" s="87" t="str">
        <x:v>Лексика: выбор слова</x:v>
      </x:c>
      <x:c r="M5242" s="30" t="str">
        <x:v>Задание 36 письменной части варианта 953; полное условие сохранено на странице VIS_ID.</x:v>
      </x:c>
      <x:c r="N5242" s="30" t="str">
        <x:v>3</x:v>
      </x:c>
      <x:c r="O5242" s="30"/>
      <x:c r="P5242" s="30"/>
      <x:c r="Q5242" s="30" t="str">
        <x:v>Независимо решено по условию; проверена грамматика, лексика или логика текста.</x:v>
      </x:c>
      <x:c r="R5242" s="30"/>
      <x:c r="S5242" s="30" t="str">
        <x:v>Независимая проверка по PDF задания</x:v>
      </x:c>
      <x:c r="T5242" s="30"/>
      <x:c r="U5242" s="30" t="str">
        <x:v>Канонический рабочий ответ.</x:v>
      </x:c>
      <x:c r="V5242" s="87" t="str">
        <x:v>VERIFIED</x:v>
      </x:c>
      <x:c r="W5242" s="87"/>
      <x:c r="X5242" s="87" t="str">
        <x:v>7</x:v>
      </x:c>
      <x:c r="Y5242" s="87"/>
      <x:c r="Z5242" s="87"/>
      <x:c r="AA5242" s="87"/>
      <x:c r="AB5242" s="87"/>
      <x:c r="AC5242" s="87" t="str">
        <x:v>VIS-EGKR-ENG-W25-TASK-953-P007</x:v>
      </x:c>
      <x:c r="AD5242" s="87"/>
      <x:c r="AE5242" s="87" t="str">
        <x:v>TASK</x:v>
      </x:c>
      <x:c r="AF5242" s="87" t="str">
        <x:v>VIS-EGKR-ENG-W25-TASK-953-P007: 7</x:v>
      </x:c>
      <x:c r="AG5242" s="87" t="str">
        <x:v>RESOLVED</x:v>
      </x:c>
      <x:c r="AH5242" s="87" t="str">
        <x:v>CROP_VERIFIED</x:v>
      </x:c>
      <x:c r="AI5242" s="30"/>
      <x:c r="AJ5242" s="87" t="str">
        <x:v>clean</x:v>
      </x:c>
      <x:c r="AK5242" s="87" t="str">
        <x:v>clean-v0.11</x:v>
      </x:c>
      <x:c r="AL5242" s="87" t="str">
        <x:v>statgrad_clean_continuation_v0_11(1).xlsx</x:v>
      </x:c>
      <x:c r="AM5242" s="87" t="str">
        <x:v>ENG_EGKR_953</x:v>
      </x:c>
      <x:c r="AN5242" s="87" t="n">
        <x:v>37</x:v>
      </x:c>
    </x:row>
    <x:row r="5243">
      <x:c r="A5243" s="87" t="n">
        <x:v>5242</x:v>
      </x:c>
      <x:c r="B5243" s="87" t="str">
        <x:v>EGKR-ENG-W25-953-37</x:v>
      </x:c>
      <x:c r="C5243" s="87" t="str">
        <x:v>ЕГКР</x:v>
      </x:c>
      <x:c r="D5243" s="87"/>
      <x:c r="E5243" s="87" t="str">
        <x:v>Зима 2025</x:v>
      </x:c>
      <x:c r="F5243" s="87" t="str">
        <x:v>11.12.2025</x:v>
      </x:c>
      <x:c r="G5243" s="87" t="str">
        <x:v>Английский язык</x:v>
      </x:c>
      <x:c r="H5243" s="87" t="n">
        <x:v>11</x:v>
      </x:c>
      <x:c r="I5243" s="87"/>
      <x:c r="J5243" s="87" t="str">
        <x:v>953</x:v>
      </x:c>
      <x:c r="K5243" s="87" t="n">
        <x:v>37</x:v>
      </x:c>
      <x:c r="L5243" s="87" t="str">
        <x:v>Письменная речь: личное электронное письмо</x:v>
      </x:c>
      <x:c r="M5243" s="30" t="str">
        <x:v>Ответить Сандре о традиционной русской еде; задать три вопроса о новой книге по истории Британии.</x:v>
      </x:c>
      <x:c r="N5243" s="30" t="str">
        <x:v>Hi Sandra,
Thanks for your email. Traditional Russian dishes that are popular with teenagers include blini, pelmeni and syrniki. I would be happy to teach you how to make blini because the recipe is simple: you only need flour, milk, eggs and a little oil. Traditional food can be healthy when it is made from fresh ingredients and eaten in reasonable portions, although some dishes contain a lot of fat or sugar.
Your new book sounds interesting! What is its title? Who wrote it? Why did you choose a book about British history?
Best wishes,
Alex</x:v>
      </x:c>
      <x:c r="O5243" s="30"/>
      <x:c r="P5243" s="30"/>
      <x:c r="Q5243" s="30" t="str">
        <x:v>Подготовлена оригинальная модель с соблюдением формата и объёма ЕГЭ.</x:v>
      </x:c>
      <x:c r="R5243" s="30"/>
      <x:c r="S5243" s="30" t="str">
        <x:v>Авторская модель по исходному заданию</x:v>
      </x:c>
      <x:c r="T5243" s="30"/>
      <x:c r="U5243" s="30" t="str">
        <x:v>Модель письма 100–140 слов.</x:v>
      </x:c>
      <x:c r="V5243" s="87" t="str">
        <x:v>MODEL_READY</x:v>
      </x:c>
      <x:c r="W5243" s="87"/>
      <x:c r="X5243" s="87" t="str">
        <x:v>8</x:v>
      </x:c>
      <x:c r="Y5243" s="87"/>
      <x:c r="Z5243" s="87"/>
      <x:c r="AA5243" s="87"/>
      <x:c r="AB5243" s="87"/>
      <x:c r="AC5243" s="87" t="str">
        <x:v>VIS-EGKR-ENG-W25-TASK-953-P008</x:v>
      </x:c>
      <x:c r="AD5243" s="87"/>
      <x:c r="AE5243" s="87" t="str">
        <x:v>TASK</x:v>
      </x:c>
      <x:c r="AF5243" s="87" t="str">
        <x:v>VIS-EGKR-ENG-W25-TASK-953-P008: 8</x:v>
      </x:c>
      <x:c r="AG5243" s="87" t="str">
        <x:v>RESOLVED</x:v>
      </x:c>
      <x:c r="AH5243" s="87" t="str">
        <x:v>CROP_VERIFIED</x:v>
      </x:c>
      <x:c r="AI5243" s="30"/>
      <x:c r="AJ5243" s="87" t="str">
        <x:v>clean</x:v>
      </x:c>
      <x:c r="AK5243" s="87" t="str">
        <x:v>clean-v0.11</x:v>
      </x:c>
      <x:c r="AL5243" s="87" t="str">
        <x:v>statgrad_clean_continuation_v0_11(1).xlsx</x:v>
      </x:c>
      <x:c r="AM5243" s="87" t="str">
        <x:v>ENG_EGKR_953</x:v>
      </x:c>
      <x:c r="AN5243" s="87" t="n">
        <x:v>38</x:v>
      </x:c>
    </x:row>
    <x:row r="5244">
      <x:c r="A5244" s="87" t="n">
        <x:v>5243</x:v>
      </x:c>
      <x:c r="B5244" s="87" t="str">
        <x:v>EGKR-ENG-W25-953-38</x:v>
      </x:c>
      <x:c r="C5244" s="87" t="str">
        <x:v>ЕГКР</x:v>
      </x:c>
      <x:c r="D5244" s="87"/>
      <x:c r="E5244" s="87" t="str">
        <x:v>Зима 2025</x:v>
      </x:c>
      <x:c r="F5244" s="87" t="str">
        <x:v>11.12.2025</x:v>
      </x:c>
      <x:c r="G5244" s="87" t="str">
        <x:v>Английский язык</x:v>
      </x:c>
      <x:c r="H5244" s="87" t="n">
        <x:v>11</x:v>
      </x:c>
      <x:c r="I5244" s="87"/>
      <x:c r="J5244" s="87" t="str">
        <x:v>953</x:v>
      </x:c>
      <x:c r="K5244" s="87" t="n">
        <x:v>38</x:v>
      </x:c>
      <x:c r="L5244" s="87" t="str">
        <x:v>Письменная речь: проектное высказывание</x:v>
      </x:c>
      <x:c r="M5244" s="30" t="str">
        <x:v>Выбрать 38.1 (причины изучения иностранных языков) или 38.2 (сохранение исторических памятников); модель дана для 38.1.</x:v>
      </x:c>
      <x:c r="N5244" s="30" t="str">
        <x:v>Learning foreign languages can influence teenagers' education and future opportunities, so I have analysed a survey on why Zetland teenagers study them.
The largest group, 37% of respondents, learn languages to improve their cognitive abilities. Developing communication skills is the second most popular reason, chosen by 25%. Another 16% want to increase their career opportunities, while 12% study languages to appreciate different cultures and 10% to make travelling easier.
The leading reason exceeds communication skills by twelve percentage points. It is also more than three times as popular as facilitating travel. This may be because teenagers see language learning as intellectual training and a long-term investment rather than only a practical tool for holidays.
A common problem is losing motivation when progress seems slow. One solution is to set small measurable goals and use the language regularly through films, conversations and short reading tasks.
In my opinion, learning foreign languages is extremely important for teenagers because it broadens their outlook, gives access to education and information, and enables them to communicate confidently with people from other cultures.</x:v>
      </x:c>
      <x:c r="O5244" s="30"/>
      <x:c r="P5244" s="30"/>
      <x:c r="Q5244" s="30" t="str">
        <x:v>Подготовлена оригинальная модель с соблюдением формата и объёма ЕГЭ.</x:v>
      </x:c>
      <x:c r="R5244" s="30"/>
      <x:c r="S5244" s="30" t="str">
        <x:v>Авторская модель по исходному заданию</x:v>
      </x:c>
      <x:c r="T5244" s="30"/>
      <x:c r="U5244" s="30" t="str">
        <x:v>Для задания 38 использована тема 38.1; альтернатива 38.2 сохранена отдельно.</x:v>
      </x:c>
      <x:c r="V5244" s="87" t="str">
        <x:v>MODEL_READY</x:v>
      </x:c>
      <x:c r="W5244" s="87"/>
      <x:c r="X5244" s="87" t="str">
        <x:v>8-9</x:v>
      </x:c>
      <x:c r="Y5244" s="87"/>
      <x:c r="Z5244" s="87"/>
      <x:c r="AA5244" s="87"/>
      <x:c r="AB5244" s="87"/>
      <x:c r="AC5244" s="87" t="str">
        <x:v>VIS-EGKR-ENG-W25-TASK-953-P008</x:v>
      </x:c>
      <x:c r="AD5244" s="87"/>
      <x:c r="AE5244" s="87" t="str">
        <x:v>TASK</x:v>
      </x:c>
      <x:c r="AF5244" s="87" t="str">
        <x:v>VIS-EGKR-ENG-W25-TASK-953-P008: 8</x:v>
      </x:c>
      <x:c r="AG5244" s="87" t="str">
        <x:v>RESOLVED</x:v>
      </x:c>
      <x:c r="AH5244" s="87" t="str">
        <x:v>CROP_VERIFIED</x:v>
      </x:c>
      <x:c r="AI5244" s="30"/>
      <x:c r="AJ5244" s="87" t="str">
        <x:v>clean</x:v>
      </x:c>
      <x:c r="AK5244" s="87" t="str">
        <x:v>clean-v0.11</x:v>
      </x:c>
      <x:c r="AL5244" s="87" t="str">
        <x:v>statgrad_clean_continuation_v0_11(1).xlsx</x:v>
      </x:c>
      <x:c r="AM5244" s="87" t="str">
        <x:v>ENG_EGKR_953</x:v>
      </x:c>
      <x:c r="AN5244" s="87" t="n">
        <x:v>39</x:v>
      </x:c>
    </x:row>
    <x:row r="5245">
      <x:c r="A5245" s="87" t="n">
        <x:v>5244</x:v>
      </x:c>
      <x:c r="B5245" s="87" t="str">
        <x:v>EGKR-W25-BIO-951-22</x:v>
      </x:c>
      <x:c r="C5245" s="87" t="str">
        <x:v>ЕГКР</x:v>
      </x:c>
      <x:c r="D5245" s="87"/>
      <x:c r="E5245" s="87" t="str">
        <x:v>Зима 2025</x:v>
      </x:c>
      <x:c r="F5245" s="87" t="str">
        <x:v>11.12.2025</x:v>
      </x:c>
      <x:c r="G5245" s="87" t="str">
        <x:v>Биология</x:v>
      </x:c>
      <x:c r="H5245" s="87" t="n">
        <x:v>11</x:v>
      </x:c>
      <x:c r="I5245" s="87"/>
      <x:c r="J5245" s="87" t="str">
        <x:v>951</x:v>
      </x:c>
      <x:c r="K5245" s="87" t="n">
        <x:v>22</x:v>
      </x:c>
      <x:c r="L5245" s="87" t="str">
        <x:v>Развёрнутый ответ</x:v>
      </x:c>
      <x:c r="M5245" s="30" t="str">
        <x:v>Эксперимент с накоплением лактата в мышцах здоровых мышей и мышей с ожирением: сформулировать нулевую гипотезу; объяснить необходимость одного пола и одного метода анализа.</x:v>
      </x:c>
      <x:c r="N5245" s="30" t="str">
        <x:v>Нулевая гипотеза: скорость накопления лактата не зависит от физиологического состояния мышц. Животные должны быть одного пола, поскольку пол влияет на физиологию и скорость накопления лактата. Метод анализа должен быть одинаковым из-за различий точности и единиц измерения; иначе связь состояния мышц и накопления лактата нельзя установить однозначно.</x:v>
      </x:c>
      <x:c r="O5245" s="30" t="str">
        <x:v>Условие и модель восстановлены только из официального файла критериев.</x:v>
      </x:c>
      <x:c r="P5245" s="30" t="str">
        <x:v>Сверено с обязательными элементами официальных критериев ФИПИ.</x:v>
      </x:c>
      <x:c r="Q5245" s="30"/>
      <x:c r="R5245" s="30"/>
      <x:c r="S5245" s="30" t="str">
        <x:v>kriterii_EGKR_12_25.pdf, физ. стр. 1</x:v>
      </x:c>
      <x:c r="T5245" s="30"/>
      <x:c r="U5245" s="30" t="str">
        <x:v>Исходный PDF заданий варианта 951 отсутствует.</x:v>
      </x:c>
      <x:c r="V5245" s="87" t="str">
        <x:v>CRITERIA_ONLY</x:v>
      </x:c>
      <x:c r="W5245" s="87"/>
      <x:c r="X5245" s="87"/>
      <x:c r="Y5245" s="87"/>
      <x:c r="Z5245" s="87"/>
      <x:c r="AA5245" s="87"/>
      <x:c r="AB5245" s="87"/>
      <x:c r="AC5245" s="87" t="str">
        <x:v>VIS-EGKR-BIO-W25-CRIT-P001</x:v>
      </x:c>
      <x:c r="AD5245" s="87" t="str">
        <x:v>VIS-EGKR-BIO-W25-CRIT-P001</x:v>
      </x:c>
      <x:c r="AE5245" s="87" t="str">
        <x:v>CRITERIA</x:v>
      </x:c>
      <x:c r="AF5245" s="87" t="str">
        <x:v>VIS-EGKR-BIO-W25-CRIT-P001: 1</x:v>
      </x:c>
      <x:c r="AG5245" s="87" t="str">
        <x:v>RESOLVED</x:v>
      </x:c>
      <x:c r="AH5245" s="87" t="str">
        <x:v>CROP_VERIFIED</x:v>
      </x:c>
      <x:c r="AI5245" s="30"/>
      <x:c r="AJ5245" s="87" t="str">
        <x:v>clean</x:v>
      </x:c>
      <x:c r="AK5245" s="87" t="str">
        <x:v>clean-v0.12</x:v>
      </x:c>
      <x:c r="AL5245" s="87" t="str">
        <x:v>statgrad_clean_continuation_v0_12(1).xlsx</x:v>
      </x:c>
      <x:c r="AM5245" s="87" t="str">
        <x:v>BIO_EGKR_951_EXP</x:v>
      </x:c>
      <x:c r="AN5245" s="87" t="n">
        <x:v>2</x:v>
      </x:c>
    </x:row>
    <x:row r="5246">
      <x:c r="A5246" s="87" t="n">
        <x:v>5245</x:v>
      </x:c>
      <x:c r="B5246" s="87" t="str">
        <x:v>EGKR-W25-BIO-951-23</x:v>
      </x:c>
      <x:c r="C5246" s="87" t="str">
        <x:v>ЕГКР</x:v>
      </x:c>
      <x:c r="D5246" s="87"/>
      <x:c r="E5246" s="87" t="str">
        <x:v>Зима 2025</x:v>
      </x:c>
      <x:c r="F5246" s="87" t="str">
        <x:v>11.12.2025</x:v>
      </x:c>
      <x:c r="G5246" s="87" t="str">
        <x:v>Биология</x:v>
      </x:c>
      <x:c r="H5246" s="87" t="n">
        <x:v>11</x:v>
      </x:c>
      <x:c r="I5246" s="87"/>
      <x:c r="J5246" s="87" t="str">
        <x:v>951</x:v>
      </x:c>
      <x:c r="K5246" s="87" t="n">
        <x:v>23</x:v>
      </x:c>
      <x:c r="L5246" s="87" t="str">
        <x:v>Развёрнутый ответ</x:v>
      </x:c>
      <x:c r="M5246" s="30" t="str">
        <x:v>Объяснить различие накопления лактата в мышцах здоровых и страдающих ожирением мышей; объяснить использование лактата как показателя спортивной готовности.</x:v>
      </x:c>
      <x:c r="N5246" s="30" t="str">
        <x:v>При ожирении мышцы менее тренированы, в них быстрее возникает дефицит кислорода и накапливается лактат. У спортсменов мышцы лучше снабжаются кислородом, содержат больше митохондрий/миоглобина, интенсивнее идёт аэробный обмен и медленнее накапливается лактат; поэтому его концентрация отражает тренированность.</x:v>
      </x:c>
      <x:c r="O5246" s="30" t="str">
        <x:v>Условие и модель восстановлены только из официального файла критериев.</x:v>
      </x:c>
      <x:c r="P5246" s="30" t="str">
        <x:v>Сверено с обязательными элементами официальных критериев ФИПИ.</x:v>
      </x:c>
      <x:c r="Q5246" s="30"/>
      <x:c r="R5246" s="30"/>
      <x:c r="S5246" s="30" t="str">
        <x:v>kriterii_EGKR_12_25.pdf, физ. стр. 2</x:v>
      </x:c>
      <x:c r="T5246" s="30"/>
      <x:c r="U5246" s="30" t="str">
        <x:v>Исходный PDF заданий варианта 951 отсутствует.</x:v>
      </x:c>
      <x:c r="V5246" s="87" t="str">
        <x:v>CRITERIA_ONLY</x:v>
      </x:c>
      <x:c r="W5246" s="87"/>
      <x:c r="X5246" s="87"/>
      <x:c r="Y5246" s="87"/>
      <x:c r="Z5246" s="87"/>
      <x:c r="AA5246" s="87"/>
      <x:c r="AB5246" s="87"/>
      <x:c r="AC5246" s="87" t="str">
        <x:v>VIS-EGKR-BIO-W25-CRIT-P002</x:v>
      </x:c>
      <x:c r="AD5246" s="87" t="str">
        <x:v>VIS-EGKR-BIO-W25-CRIT-P002</x:v>
      </x:c>
      <x:c r="AE5246" s="87" t="str">
        <x:v>CRITERIA</x:v>
      </x:c>
      <x:c r="AF5246" s="87" t="str">
        <x:v>VIS-EGKR-BIO-W25-CRIT-P002: 2</x:v>
      </x:c>
      <x:c r="AG5246" s="87" t="str">
        <x:v>RESOLVED</x:v>
      </x:c>
      <x:c r="AH5246" s="87" t="str">
        <x:v>CROP_VERIFIED</x:v>
      </x:c>
      <x:c r="AI5246" s="30"/>
      <x:c r="AJ5246" s="87" t="str">
        <x:v>clean</x:v>
      </x:c>
      <x:c r="AK5246" s="87" t="str">
        <x:v>clean-v0.12</x:v>
      </x:c>
      <x:c r="AL5246" s="87" t="str">
        <x:v>statgrad_clean_continuation_v0_12(1).xlsx</x:v>
      </x:c>
      <x:c r="AM5246" s="87" t="str">
        <x:v>BIO_EGKR_951_EXP</x:v>
      </x:c>
      <x:c r="AN5246" s="87" t="n">
        <x:v>3</x:v>
      </x:c>
    </x:row>
    <x:row r="5247">
      <x:c r="A5247" s="87" t="n">
        <x:v>5246</x:v>
      </x:c>
      <x:c r="B5247" s="87" t="str">
        <x:v>EGKR-W25-BIO-951-24</x:v>
      </x:c>
      <x:c r="C5247" s="87" t="str">
        <x:v>ЕГКР</x:v>
      </x:c>
      <x:c r="D5247" s="87"/>
      <x:c r="E5247" s="87" t="str">
        <x:v>Зима 2025</x:v>
      </x:c>
      <x:c r="F5247" s="87" t="str">
        <x:v>11.12.2025</x:v>
      </x:c>
      <x:c r="G5247" s="87" t="str">
        <x:v>Биология</x:v>
      </x:c>
      <x:c r="H5247" s="87" t="n">
        <x:v>11</x:v>
      </x:c>
      <x:c r="I5247" s="87"/>
      <x:c r="J5247" s="87" t="str">
        <x:v>951</x:v>
      </x:c>
      <x:c r="K5247" s="87" t="n">
        <x:v>24</x:v>
      </x:c>
      <x:c r="L5247" s="87" t="str">
        <x:v>Развёрнутый ответ</x:v>
      </x:c>
      <x:c r="M5247" s="30" t="str">
        <x:v>По рисунку устьица назвать структуры 1 и 2, их функции и объяснить открытие и закрытие устьичной щели.</x:v>
      </x:c>
      <x:c r="N5247" s="30" t="str">
        <x:v>1 — устьичная щель: газообмен и транспирация. 2 — замыкающие клетки: регулируют щель. При поступлении воды их тургор возрастает и щель открывается; при потере воды тургор снижается и щель закрывается.</x:v>
      </x:c>
      <x:c r="O5247" s="30" t="str">
        <x:v>Условие и модель восстановлены только из официального файла критериев.</x:v>
      </x:c>
      <x:c r="P5247" s="30" t="str">
        <x:v>Сверено с обязательными элементами официальных критериев ФИПИ.</x:v>
      </x:c>
      <x:c r="Q5247" s="30"/>
      <x:c r="R5247" s="30"/>
      <x:c r="S5247" s="30" t="str">
        <x:v>kriterii_EGKR_12_25.pdf, физ. стр. 2</x:v>
      </x:c>
      <x:c r="T5247" s="30"/>
      <x:c r="U5247" s="30" t="str">
        <x:v>Исходный PDF заданий варианта 951 отсутствует.</x:v>
      </x:c>
      <x:c r="V5247" s="87" t="str">
        <x:v>CRITERIA_ONLY</x:v>
      </x:c>
      <x:c r="W5247" s="87"/>
      <x:c r="X5247" s="87"/>
      <x:c r="Y5247" s="87"/>
      <x:c r="Z5247" s="87"/>
      <x:c r="AA5247" s="87"/>
      <x:c r="AB5247" s="87"/>
      <x:c r="AC5247" s="87" t="str">
        <x:v>VIS-EGKR-BIO-W25-CRIT-P002</x:v>
      </x:c>
      <x:c r="AD5247" s="87" t="str">
        <x:v>VIS-EGKR-BIO-W25-CRIT-P002</x:v>
      </x:c>
      <x:c r="AE5247" s="87" t="str">
        <x:v>CRITERIA</x:v>
      </x:c>
      <x:c r="AF5247" s="87" t="str">
        <x:v>VIS-EGKR-BIO-W25-CRIT-P002: 2</x:v>
      </x:c>
      <x:c r="AG5247" s="87" t="str">
        <x:v>RESOLVED</x:v>
      </x:c>
      <x:c r="AH5247" s="87" t="str">
        <x:v>CROP_VERIFIED</x:v>
      </x:c>
      <x:c r="AI5247" s="30"/>
      <x:c r="AJ5247" s="87" t="str">
        <x:v>clean</x:v>
      </x:c>
      <x:c r="AK5247" s="87" t="str">
        <x:v>clean-v0.12</x:v>
      </x:c>
      <x:c r="AL5247" s="87" t="str">
        <x:v>statgrad_clean_continuation_v0_12(1).xlsx</x:v>
      </x:c>
      <x:c r="AM5247" s="87" t="str">
        <x:v>BIO_EGKR_951_EXP</x:v>
      </x:c>
      <x:c r="AN5247" s="87" t="n">
        <x:v>4</x:v>
      </x:c>
    </x:row>
    <x:row r="5248">
      <x:c r="A5248" s="87" t="n">
        <x:v>5247</x:v>
      </x:c>
      <x:c r="B5248" s="87" t="str">
        <x:v>EGKR-W25-BIO-951-25</x:v>
      </x:c>
      <x:c r="C5248" s="87" t="str">
        <x:v>ЕГКР</x:v>
      </x:c>
      <x:c r="D5248" s="87"/>
      <x:c r="E5248" s="87" t="str">
        <x:v>Зима 2025</x:v>
      </x:c>
      <x:c r="F5248" s="87" t="str">
        <x:v>11.12.2025</x:v>
      </x:c>
      <x:c r="G5248" s="87" t="str">
        <x:v>Биология</x:v>
      </x:c>
      <x:c r="H5248" s="87" t="n">
        <x:v>11</x:v>
      </x:c>
      <x:c r="I5248" s="87"/>
      <x:c r="J5248" s="87" t="str">
        <x:v>951</x:v>
      </x:c>
      <x:c r="K5248" s="87" t="n">
        <x:v>25</x:v>
      </x:c>
      <x:c r="L5248" s="87" t="str">
        <x:v>Развёрнутый ответ</x:v>
      </x:c>
      <x:c r="M5248" s="30" t="str">
        <x:v>Назвать не менее трёх адаптаций пищеварительной системы травоядных млекопитающих к растительной пище и объяснить их значение.</x:v>
      </x:c>
      <x:c r="N5248" s="30" t="str">
        <x:v>Специализированные резцы и коренные зубы обеспечивают откусывание и перетирание; многокамерный желудок и жвачное пищеварение увеличивают обработку; симбиотические микроорганизмы расщепляют целлюлозу; длинная тонкая и хорошо развитая слепая кишка увеличивают время переваривания и всасывания.</x:v>
      </x:c>
      <x:c r="O5248" s="30" t="str">
        <x:v>Условие и модель восстановлены только из официального файла критериев.</x:v>
      </x:c>
      <x:c r="P5248" s="30" t="str">
        <x:v>Сверено с обязательными элементами официальных критериев ФИПИ.</x:v>
      </x:c>
      <x:c r="Q5248" s="30"/>
      <x:c r="R5248" s="30"/>
      <x:c r="S5248" s="30" t="str">
        <x:v>kriterii_EGKR_12_25.pdf, физ. стр. 3</x:v>
      </x:c>
      <x:c r="T5248" s="30"/>
      <x:c r="U5248" s="30" t="str">
        <x:v>Исходный PDF заданий варианта 951 отсутствует.</x:v>
      </x:c>
      <x:c r="V5248" s="87" t="str">
        <x:v>CRITERIA_ONLY</x:v>
      </x:c>
      <x:c r="W5248" s="87"/>
      <x:c r="X5248" s="87"/>
      <x:c r="Y5248" s="87"/>
      <x:c r="Z5248" s="87"/>
      <x:c r="AA5248" s="87"/>
      <x:c r="AB5248" s="87"/>
      <x:c r="AC5248" s="87" t="str">
        <x:v>VIS-EGKR-BIO-W25-CRIT-P003</x:v>
      </x:c>
      <x:c r="AD5248" s="87" t="str">
        <x:v>VIS-EGKR-BIO-W25-CRIT-P003</x:v>
      </x:c>
      <x:c r="AE5248" s="87" t="str">
        <x:v>CRITERIA</x:v>
      </x:c>
      <x:c r="AF5248" s="87" t="str">
        <x:v>VIS-EGKR-BIO-W25-CRIT-P003: 3</x:v>
      </x:c>
      <x:c r="AG5248" s="87" t="str">
        <x:v>RESOLVED</x:v>
      </x:c>
      <x:c r="AH5248" s="87" t="str">
        <x:v>CROP_VERIFIED</x:v>
      </x:c>
      <x:c r="AI5248" s="30"/>
      <x:c r="AJ5248" s="87" t="str">
        <x:v>clean</x:v>
      </x:c>
      <x:c r="AK5248" s="87" t="str">
        <x:v>clean-v0.12</x:v>
      </x:c>
      <x:c r="AL5248" s="87" t="str">
        <x:v>statgrad_clean_continuation_v0_12(1).xlsx</x:v>
      </x:c>
      <x:c r="AM5248" s="87" t="str">
        <x:v>BIO_EGKR_951_EXP</x:v>
      </x:c>
      <x:c r="AN5248" s="87" t="n">
        <x:v>5</x:v>
      </x:c>
    </x:row>
    <x:row r="5249">
      <x:c r="A5249" s="87" t="n">
        <x:v>5248</x:v>
      </x:c>
      <x:c r="B5249" s="87" t="str">
        <x:v>EGKR-W25-BIO-951-26</x:v>
      </x:c>
      <x:c r="C5249" s="87" t="str">
        <x:v>ЕГКР</x:v>
      </x:c>
      <x:c r="D5249" s="87"/>
      <x:c r="E5249" s="87" t="str">
        <x:v>Зима 2025</x:v>
      </x:c>
      <x:c r="F5249" s="87" t="str">
        <x:v>11.12.2025</x:v>
      </x:c>
      <x:c r="G5249" s="87" t="str">
        <x:v>Биология</x:v>
      </x:c>
      <x:c r="H5249" s="87" t="n">
        <x:v>11</x:v>
      </x:c>
      <x:c r="I5249" s="87"/>
      <x:c r="J5249" s="87" t="str">
        <x:v>951</x:v>
      </x:c>
      <x:c r="K5249" s="87" t="n">
        <x:v>26</x:v>
      </x:c>
      <x:c r="L5249" s="87" t="str">
        <x:v>Развёрнутый ответ</x:v>
      </x:c>
      <x:c r="M5249" s="30" t="str">
        <x:v>Опыт Дайан Додд с дрозофилами на мальтозной и крахмальной пище: назвать фактор эволюции, особенность поведения и прогноз по гибридам.</x:v>
      </x:c>
      <x:c r="N5249" s="30" t="str">
        <x:v>Первоначальный фактор — изоляция групп. Изменилось половое/брачное поведение и выбор партнёра. При длительной изоляции накапливаются мутации и усиливается репродуктивная изоляция, поэтому доля жизнеспособных гибридов снижается.</x:v>
      </x:c>
      <x:c r="O5249" s="30" t="str">
        <x:v>Условие и модель восстановлены только из официального файла критериев.</x:v>
      </x:c>
      <x:c r="P5249" s="30" t="str">
        <x:v>Сверено с обязательными элементами официальных критериев ФИПИ.</x:v>
      </x:c>
      <x:c r="Q5249" s="30"/>
      <x:c r="R5249" s="30"/>
      <x:c r="S5249" s="30" t="str">
        <x:v>kriterii_EGKR_12_25.pdf, физ. стр. 3</x:v>
      </x:c>
      <x:c r="T5249" s="30"/>
      <x:c r="U5249" s="30" t="str">
        <x:v>Исходный PDF заданий варианта 951 отсутствует.</x:v>
      </x:c>
      <x:c r="V5249" s="87" t="str">
        <x:v>CRITERIA_ONLY</x:v>
      </x:c>
      <x:c r="W5249" s="87"/>
      <x:c r="X5249" s="87"/>
      <x:c r="Y5249" s="87"/>
      <x:c r="Z5249" s="87"/>
      <x:c r="AA5249" s="87"/>
      <x:c r="AB5249" s="87"/>
      <x:c r="AC5249" s="87" t="str">
        <x:v>VIS-EGKR-BIO-W25-CRIT-P003</x:v>
      </x:c>
      <x:c r="AD5249" s="87" t="str">
        <x:v>VIS-EGKR-BIO-W25-CRIT-P003</x:v>
      </x:c>
      <x:c r="AE5249" s="87" t="str">
        <x:v>CRITERIA</x:v>
      </x:c>
      <x:c r="AF5249" s="87" t="str">
        <x:v>VIS-EGKR-BIO-W25-CRIT-P003: 3</x:v>
      </x:c>
      <x:c r="AG5249" s="87" t="str">
        <x:v>RESOLVED</x:v>
      </x:c>
      <x:c r="AH5249" s="87" t="str">
        <x:v>CROP_VERIFIED</x:v>
      </x:c>
      <x:c r="AI5249" s="30"/>
      <x:c r="AJ5249" s="87" t="str">
        <x:v>clean</x:v>
      </x:c>
      <x:c r="AK5249" s="87" t="str">
        <x:v>clean-v0.12</x:v>
      </x:c>
      <x:c r="AL5249" s="87" t="str">
        <x:v>statgrad_clean_continuation_v0_12(1).xlsx</x:v>
      </x:c>
      <x:c r="AM5249" s="87" t="str">
        <x:v>BIO_EGKR_951_EXP</x:v>
      </x:c>
      <x:c r="AN5249" s="87" t="n">
        <x:v>6</x:v>
      </x:c>
    </x:row>
    <x:row r="5250">
      <x:c r="A5250" s="87" t="n">
        <x:v>5249</x:v>
      </x:c>
      <x:c r="B5250" s="87" t="str">
        <x:v>EGKR-W25-BIO-951-27</x:v>
      </x:c>
      <x:c r="C5250" s="87" t="str">
        <x:v>ЕГКР</x:v>
      </x:c>
      <x:c r="D5250" s="87"/>
      <x:c r="E5250" s="87" t="str">
        <x:v>Зима 2025</x:v>
      </x:c>
      <x:c r="F5250" s="87" t="str">
        <x:v>11.12.2025</x:v>
      </x:c>
      <x:c r="G5250" s="87" t="str">
        <x:v>Биология</x:v>
      </x:c>
      <x:c r="H5250" s="87" t="n">
        <x:v>11</x:v>
      </x:c>
      <x:c r="I5250" s="87"/>
      <x:c r="J5250" s="87" t="str">
        <x:v>951</x:v>
      </x:c>
      <x:c r="K5250" s="87" t="n">
        <x:v>27</x:v>
      </x:c>
      <x:c r="L5250" s="87" t="str">
        <x:v>Развёрнутый ответ</x:v>
      </x:c>
      <x:c r="M5250" s="30" t="str">
        <x:v>Для популяции земляники с неполным доминированием, где 128 из 200 растений красноплодные, вычислить частоты аллелей и генотипов по Харди—Вайнбергу.</x:v>
      </x:c>
      <x:c r="N5250" s="30" t="str">
        <x:v>Частота AA = 128/200 = 0,64; p = √0,64 = 0,8; q = 0,2. Частоты генотипов: AA = 0,64; Aa = 2pq = 0,32; aa = q² = 0,04.</x:v>
      </x:c>
      <x:c r="O5250" s="30" t="str">
        <x:v>Условие и модель восстановлены только из официального файла критериев.</x:v>
      </x:c>
      <x:c r="P5250" s="30" t="str">
        <x:v>Сверено с обязательными элементами официальных критериев ФИПИ.</x:v>
      </x:c>
      <x:c r="Q5250" s="30"/>
      <x:c r="R5250" s="30"/>
      <x:c r="S5250" s="30" t="str">
        <x:v>kriterii_EGKR_12_25.pdf, физ. стр. 4</x:v>
      </x:c>
      <x:c r="T5250" s="30"/>
      <x:c r="U5250" s="30" t="str">
        <x:v>Исходный PDF заданий варианта 951 отсутствует.</x:v>
      </x:c>
      <x:c r="V5250" s="87" t="str">
        <x:v>CRITERIA_ONLY</x:v>
      </x:c>
      <x:c r="W5250" s="87"/>
      <x:c r="X5250" s="87"/>
      <x:c r="Y5250" s="87"/>
      <x:c r="Z5250" s="87"/>
      <x:c r="AA5250" s="87"/>
      <x:c r="AB5250" s="87"/>
      <x:c r="AC5250" s="87" t="str">
        <x:v>VIS-EGKR-BIO-W25-CRIT-P004</x:v>
      </x:c>
      <x:c r="AD5250" s="87" t="str">
        <x:v>VIS-EGKR-BIO-W25-CRIT-P004</x:v>
      </x:c>
      <x:c r="AE5250" s="87" t="str">
        <x:v>CRITERIA</x:v>
      </x:c>
      <x:c r="AF5250" s="87" t="str">
        <x:v>VIS-EGKR-BIO-W25-CRIT-P004: 4</x:v>
      </x:c>
      <x:c r="AG5250" s="87" t="str">
        <x:v>RESOLVED</x:v>
      </x:c>
      <x:c r="AH5250" s="87" t="str">
        <x:v>CROP_VERIFIED</x:v>
      </x:c>
      <x:c r="AI5250" s="30"/>
      <x:c r="AJ5250" s="87" t="str">
        <x:v>clean</x:v>
      </x:c>
      <x:c r="AK5250" s="87" t="str">
        <x:v>clean-v0.12</x:v>
      </x:c>
      <x:c r="AL5250" s="87" t="str">
        <x:v>statgrad_clean_continuation_v0_12(1).xlsx</x:v>
      </x:c>
      <x:c r="AM5250" s="87" t="str">
        <x:v>BIO_EGKR_951_EXP</x:v>
      </x:c>
      <x:c r="AN5250" s="87" t="n">
        <x:v>7</x:v>
      </x:c>
    </x:row>
    <x:row r="5251">
      <x:c r="A5251" s="87" t="n">
        <x:v>5250</x:v>
      </x:c>
      <x:c r="B5251" s="87" t="str">
        <x:v>EGKR-W25-BIO-951-28</x:v>
      </x:c>
      <x:c r="C5251" s="87" t="str">
        <x:v>ЕГКР</x:v>
      </x:c>
      <x:c r="D5251" s="87"/>
      <x:c r="E5251" s="87" t="str">
        <x:v>Зима 2025</x:v>
      </x:c>
      <x:c r="F5251" s="87" t="str">
        <x:v>11.12.2025</x:v>
      </x:c>
      <x:c r="G5251" s="87" t="str">
        <x:v>Биология</x:v>
      </x:c>
      <x:c r="H5251" s="87" t="n">
        <x:v>11</x:v>
      </x:c>
      <x:c r="I5251" s="87"/>
      <x:c r="J5251" s="87" t="str">
        <x:v>951</x:v>
      </x:c>
      <x:c r="K5251" s="87" t="n">
        <x:v>28</x:v>
      </x:c>
      <x:c r="L5251" s="87" t="str">
        <x:v>Развёрнутый ответ</x:v>
      </x:c>
      <x:c r="M5251" s="30" t="str">
        <x:v>Решить генетическую задачу по сцепленным с X-хромосомой генам ихтиоза и гемофилии с кроссинговером; указать потомство двух браков и возможность ребёнка с двумя заболеваниями.</x:v>
      </x:c>
      <x:c r="N5251" s="30" t="str">
        <x:v>Первый брак: мать X^AhX^ah, отец X^aHY; перечисляются дочери и сыновья с учётом кроссоверных гамет матери. Второй брак здоровой гомозиготной дочери с здоровым мужчиной даёт дочерей без заболеваний и сыновей, среди которых возможны гемофилия или ихтиоз. В первом браке возможно рождение сына X^ahY одновременно с ихтиозом и гемофилией из-за кроссоверной материнской X-хромосомы.</x:v>
      </x:c>
      <x:c r="O5251" s="30" t="str">
        <x:v>Условие и модель восстановлены только из официального файла критериев.</x:v>
      </x:c>
      <x:c r="P5251" s="30" t="str">
        <x:v>Сверено с обязательными элементами официальных критериев ФИПИ.</x:v>
      </x:c>
      <x:c r="Q5251" s="30"/>
      <x:c r="R5251" s="30"/>
      <x:c r="S5251" s="30" t="str">
        <x:v>kriterii_EGKR_12_25.pdf, физ. стр. 4–5</x:v>
      </x:c>
      <x:c r="T5251" s="30"/>
      <x:c r="U5251" s="30" t="str">
        <x:v>Исходный PDF заданий варианта 951 отсутствует.</x:v>
      </x:c>
      <x:c r="V5251" s="87" t="str">
        <x:v>CRITERIA_ONLY</x:v>
      </x:c>
      <x:c r="W5251" s="87"/>
      <x:c r="X5251" s="87"/>
      <x:c r="Y5251" s="87"/>
      <x:c r="Z5251" s="87"/>
      <x:c r="AA5251" s="87"/>
      <x:c r="AB5251" s="87"/>
      <x:c r="AC5251" s="87" t="str">
        <x:v>VIS-EGKR-BIO-W25-CRIT-P004</x:v>
      </x:c>
      <x:c r="AD5251" s="87" t="str">
        <x:v>VIS-EGKR-BIO-W25-CRIT-P004; VIS-EGKR-BIO-W25-CRIT-P005</x:v>
      </x:c>
      <x:c r="AE5251" s="87" t="str">
        <x:v>CRITERIA</x:v>
      </x:c>
      <x:c r="AF5251" s="87" t="str">
        <x:v>VIS-EGKR-BIO-W25-CRIT-P004: 4; VIS-EGKR-BIO-W25-CRIT-P005: 5</x:v>
      </x:c>
      <x:c r="AG5251" s="87" t="str">
        <x:v>RESOLVED</x:v>
      </x:c>
      <x:c r="AH5251" s="87" t="str">
        <x:v>CROP_VERIFIED</x:v>
      </x:c>
      <x:c r="AI5251" s="30"/>
      <x:c r="AJ5251" s="87" t="str">
        <x:v>clean</x:v>
      </x:c>
      <x:c r="AK5251" s="87" t="str">
        <x:v>clean-v0.12</x:v>
      </x:c>
      <x:c r="AL5251" s="87" t="str">
        <x:v>statgrad_clean_continuation_v0_12(1).xlsx</x:v>
      </x:c>
      <x:c r="AM5251" s="87" t="str">
        <x:v>BIO_EGKR_951_EXP</x:v>
      </x:c>
      <x:c r="AN5251" s="87" t="n">
        <x:v>8</x:v>
      </x:c>
    </x:row>
    <x:row r="5252">
      <x:c r="A5252" s="87" t="n">
        <x:v>5251</x:v>
      </x:c>
      <x:c r="B5252" s="87" t="str">
        <x:v>EGKR-W25-BIO-952-01</x:v>
      </x:c>
      <x:c r="C5252" s="87" t="str">
        <x:v>ЕГКР</x:v>
      </x:c>
      <x:c r="D5252" s="87"/>
      <x:c r="E5252" s="87" t="str">
        <x:v>Зима 2025</x:v>
      </x:c>
      <x:c r="F5252" s="87" t="str">
        <x:v>11.12.2025</x:v>
      </x:c>
      <x:c r="G5252" s="87" t="str">
        <x:v>Биология</x:v>
      </x:c>
      <x:c r="H5252" s="87" t="n">
        <x:v>11</x:v>
      </x:c>
      <x:c r="I5252" s="87"/>
      <x:c r="J5252" s="87" t="str">
        <x:v>952</x:v>
      </x:c>
      <x:c r="K5252" s="87" t="n">
        <x:v>1</x:v>
      </x:c>
      <x:c r="L5252" s="87" t="str">
        <x:v>Термин</x:v>
      </x:c>
      <x:c r="M5252" s="30" t="str">
        <x:v>По таблице «Признаки живых систем» назвать признак, примером которого является увеличение длины костей под действием гормона роста.</x:v>
      </x:c>
      <x:c r="N5252" s="30" t="str">
        <x:v>рост и развитие</x:v>
      </x:c>
      <x:c r="O5252" s="30" t="str">
        <x:v>Гормон роста вызывает увеличение размеров и развитие организма.</x:v>
      </x:c>
      <x:c r="P5252" s="30" t="str">
        <x:v>Условие проверено; ответ совпал с официальной таблицей ключей.</x:v>
      </x:c>
      <x:c r="Q5252" s="30"/>
      <x:c r="R5252" s="30"/>
      <x:c r="S5252" s="30" t="str">
        <x:v>Ключи - 952.pdf, стр. 1</x:v>
      </x:c>
      <x:c r="T5252" s="30"/>
      <x:c r="U5252" s="30" t="str">
        <x:v>Расхождений нет.</x:v>
      </x:c>
      <x:c r="V5252" s="87" t="str">
        <x:v>VERIFIED</x:v>
      </x:c>
      <x:c r="W5252" s="87"/>
      <x:c r="X5252" s="87" t="n">
        <x:v>2</x:v>
      </x:c>
      <x:c r="Y5252" s="87"/>
      <x:c r="Z5252" s="87"/>
      <x:c r="AA5252" s="87"/>
      <x:c r="AB5252" s="87"/>
      <x:c r="AC5252" s="87" t="str">
        <x:v>VIS-EGKR-BIO-W25-TASK-952-P002</x:v>
      </x:c>
      <x:c r="AD5252" s="87" t="str">
        <x:v>VIS-EGKR-BIO-W25-KEY-952-P001</x:v>
      </x:c>
      <x:c r="AE5252" s="87" t="str">
        <x:v>TASK; KEY</x:v>
      </x:c>
      <x:c r="AF5252" s="87" t="str">
        <x:v>VIS-EGKR-BIO-W25-TASK-952-P002: 2; VIS-EGKR-BIO-W25-KEY-952-P001: 1</x:v>
      </x:c>
      <x:c r="AG5252" s="87" t="str">
        <x:v>RESOLVED</x:v>
      </x:c>
      <x:c r="AH5252" s="87" t="str">
        <x:v>CROP_VERIFIED; TASK_CROP_QA_APPROVED:USE_TIGHT</x:v>
      </x:c>
      <x:c r="AI5252" s="30"/>
      <x:c r="AJ5252" s="87" t="str">
        <x:v>clean</x:v>
      </x:c>
      <x:c r="AK5252" s="87" t="str">
        <x:v>clean-v0.12</x:v>
      </x:c>
      <x:c r="AL5252" s="87" t="str">
        <x:v>statgrad_clean_continuation_v0_12(1).xlsx</x:v>
      </x:c>
      <x:c r="AM5252" s="87" t="str">
        <x:v>BIO_EGKR_952</x:v>
      </x:c>
      <x:c r="AN5252" s="87" t="n">
        <x:v>2</x:v>
      </x:c>
    </x:row>
    <x:row r="5253">
      <x:c r="A5253" s="87" t="n">
        <x:v>5252</x:v>
      </x:c>
      <x:c r="B5253" s="87" t="str">
        <x:v>EGKR-W25-BIO-952-02</x:v>
      </x:c>
      <x:c r="C5253" s="87" t="str">
        <x:v>ЕГКР</x:v>
      </x:c>
      <x:c r="D5253" s="87"/>
      <x:c r="E5253" s="87" t="str">
        <x:v>Зима 2025</x:v>
      </x:c>
      <x:c r="F5253" s="87" t="str">
        <x:v>11.12.2025</x:v>
      </x:c>
      <x:c r="G5253" s="87" t="str">
        <x:v>Биология</x:v>
      </x:c>
      <x:c r="H5253" s="87" t="n">
        <x:v>11</x:v>
      </x:c>
      <x:c r="I5253" s="87"/>
      <x:c r="J5253" s="87" t="str">
        <x:v>952</x:v>
      </x:c>
      <x:c r="K5253" s="87" t="n">
        <x:v>2</x:v>
      </x:c>
      <x:c r="L5253" s="87" t="str">
        <x:v>Изменение величин</x:v>
      </x:c>
      <x:c r="M5253" s="30" t="str">
        <x:v>Сравнить растение на прямом солнечном свету с растением в тени: определить изменение количества сахаров и выделенного кислорода.</x:v>
      </x:c>
      <x:c r="N5253" s="30" t="str">
        <x:v>11</x:v>
      </x:c>
      <x:c r="O5253" s="30" t="str">
        <x:v>При большей освещённости интенсивность фотосинтеза выше, поэтому возрастает образование сахаров и кислорода.</x:v>
      </x:c>
      <x:c r="P5253" s="30" t="str">
        <x:v>Условие проверено; ответ совпал с официальной таблицей ключей.</x:v>
      </x:c>
      <x:c r="Q5253" s="30"/>
      <x:c r="R5253" s="30"/>
      <x:c r="S5253" s="30" t="str">
        <x:v>Ключи - 952.pdf, стр. 1</x:v>
      </x:c>
      <x:c r="T5253" s="30"/>
      <x:c r="U5253" s="30" t="str">
        <x:v>Расхождений нет.</x:v>
      </x:c>
      <x:c r="V5253" s="87" t="str">
        <x:v>VERIFIED</x:v>
      </x:c>
      <x:c r="W5253" s="87"/>
      <x:c r="X5253" s="87" t="n">
        <x:v>2</x:v>
      </x:c>
      <x:c r="Y5253" s="87"/>
      <x:c r="Z5253" s="87"/>
      <x:c r="AA5253" s="87"/>
      <x:c r="AB5253" s="87"/>
      <x:c r="AC5253" s="87" t="str">
        <x:v>VIS-EGKR-BIO-W25-TASK-952-P002</x:v>
      </x:c>
      <x:c r="AD5253" s="87" t="str">
        <x:v>VIS-EGKR-BIO-W25-KEY-952-P001</x:v>
      </x:c>
      <x:c r="AE5253" s="87" t="str">
        <x:v>TASK; KEY</x:v>
      </x:c>
      <x:c r="AF5253" s="87" t="str">
        <x:v>VIS-EGKR-BIO-W25-TASK-952-P002: 2; VIS-EGKR-BIO-W25-KEY-952-P001: 1</x:v>
      </x:c>
      <x:c r="AG5253" s="87" t="str">
        <x:v>RESOLVED</x:v>
      </x:c>
      <x:c r="AH5253" s="87" t="str">
        <x:v>CROP_VERIFIED</x:v>
      </x:c>
      <x:c r="AI5253" s="30"/>
      <x:c r="AJ5253" s="87" t="str">
        <x:v>clean</x:v>
      </x:c>
      <x:c r="AK5253" s="87" t="str">
        <x:v>clean-v0.12</x:v>
      </x:c>
      <x:c r="AL5253" s="87" t="str">
        <x:v>statgrad_clean_continuation_v0_12(1).xlsx</x:v>
      </x:c>
      <x:c r="AM5253" s="87" t="str">
        <x:v>BIO_EGKR_952</x:v>
      </x:c>
      <x:c r="AN5253" s="87" t="n">
        <x:v>3</x:v>
      </x:c>
    </x:row>
    <x:row r="5254">
      <x:c r="A5254" s="87" t="n">
        <x:v>5253</x:v>
      </x:c>
      <x:c r="B5254" s="87" t="str">
        <x:v>EGKR-W25-BIO-952-03</x:v>
      </x:c>
      <x:c r="C5254" s="87" t="str">
        <x:v>ЕГКР</x:v>
      </x:c>
      <x:c r="D5254" s="87"/>
      <x:c r="E5254" s="87" t="str">
        <x:v>Зима 2025</x:v>
      </x:c>
      <x:c r="F5254" s="87" t="str">
        <x:v>11.12.2025</x:v>
      </x:c>
      <x:c r="G5254" s="87" t="str">
        <x:v>Биология</x:v>
      </x:c>
      <x:c r="H5254" s="87" t="n">
        <x:v>11</x:v>
      </x:c>
      <x:c r="I5254" s="87"/>
      <x:c r="J5254" s="87" t="str">
        <x:v>952</x:v>
      </x:c>
      <x:c r="K5254" s="87" t="n">
        <x:v>3</x:v>
      </x:c>
      <x:c r="L5254" s="87" t="str">
        <x:v>Расчёт</x:v>
      </x:c>
      <x:c r="M5254" s="30" t="str">
        <x:v>Фрагмент иРНК содержит 306 нуклеотидов. Определить число триплетов/аминокислотных позиций.</x:v>
      </x:c>
      <x:c r="N5254" s="30" t="str">
        <x:v>102</x:v>
      </x:c>
      <x:c r="O5254" s="30" t="str">
        <x:v>306 нуклеотидов образуют 306 / 3 = 102 триплета.</x:v>
      </x:c>
      <x:c r="P5254" s="30" t="str">
        <x:v>Условие проверено; ответ совпал с официальной таблицей ключей.</x:v>
      </x:c>
      <x:c r="Q5254" s="30"/>
      <x:c r="R5254" s="30"/>
      <x:c r="S5254" s="30" t="str">
        <x:v>Ключи - 952.pdf, стр. 1</x:v>
      </x:c>
      <x:c r="T5254" s="30"/>
      <x:c r="U5254" s="30" t="str">
        <x:v>Расхождений нет.</x:v>
      </x:c>
      <x:c r="V5254" s="87" t="str">
        <x:v>VERIFIED</x:v>
      </x:c>
      <x:c r="W5254" s="87"/>
      <x:c r="X5254" s="87" t="n">
        <x:v>2</x:v>
      </x:c>
      <x:c r="Y5254" s="87"/>
      <x:c r="Z5254" s="87"/>
      <x:c r="AA5254" s="87"/>
      <x:c r="AB5254" s="87"/>
      <x:c r="AC5254" s="87" t="str">
        <x:v>VIS-EGKR-BIO-W25-TASK-952-P002</x:v>
      </x:c>
      <x:c r="AD5254" s="87" t="str">
        <x:v>VIS-EGKR-BIO-W25-KEY-952-P001</x:v>
      </x:c>
      <x:c r="AE5254" s="87" t="str">
        <x:v>TASK; KEY</x:v>
      </x:c>
      <x:c r="AF5254" s="87" t="str">
        <x:v>VIS-EGKR-BIO-W25-TASK-952-P002: 2; VIS-EGKR-BIO-W25-KEY-952-P001: 1</x:v>
      </x:c>
      <x:c r="AG5254" s="87" t="str">
        <x:v>RESOLVED</x:v>
      </x:c>
      <x:c r="AH5254" s="87" t="str">
        <x:v>CROP_VERIFIED</x:v>
      </x:c>
      <x:c r="AI5254" s="30"/>
      <x:c r="AJ5254" s="87" t="str">
        <x:v>clean</x:v>
      </x:c>
      <x:c r="AK5254" s="87" t="str">
        <x:v>clean-v0.12</x:v>
      </x:c>
      <x:c r="AL5254" s="87" t="str">
        <x:v>statgrad_clean_continuation_v0_12(1).xlsx</x:v>
      </x:c>
      <x:c r="AM5254" s="87" t="str">
        <x:v>BIO_EGKR_952</x:v>
      </x:c>
      <x:c r="AN5254" s="87" t="n">
        <x:v>4</x:v>
      </x:c>
    </x:row>
    <x:row r="5255">
      <x:c r="A5255" s="87" t="n">
        <x:v>5254</x:v>
      </x:c>
      <x:c r="B5255" s="87" t="str">
        <x:v>EGKR-W25-BIO-952-04</x:v>
      </x:c>
      <x:c r="C5255" s="87" t="str">
        <x:v>ЕГКР</x:v>
      </x:c>
      <x:c r="D5255" s="87"/>
      <x:c r="E5255" s="87" t="str">
        <x:v>Зима 2025</x:v>
      </x:c>
      <x:c r="F5255" s="87" t="str">
        <x:v>11.12.2025</x:v>
      </x:c>
      <x:c r="G5255" s="87" t="str">
        <x:v>Биология</x:v>
      </x:c>
      <x:c r="H5255" s="87" t="n">
        <x:v>11</x:v>
      </x:c>
      <x:c r="I5255" s="87"/>
      <x:c r="J5255" s="87" t="str">
        <x:v>952</x:v>
      </x:c>
      <x:c r="K5255" s="87" t="n">
        <x:v>4</x:v>
      </x:c>
      <x:c r="L5255" s="87" t="str">
        <x:v>Генетический расчёт</x:v>
      </x:c>
      <x:c r="M5255" s="30" t="str">
        <x:v>Определить фенотипическое соотношение при анализирующем моногибридном скрещивании гетерозиготного высокорослого растения.</x:v>
      </x:c>
      <x:c r="N5255" s="30" t="str">
        <x:v>11</x:v>
      </x:c>
      <x:c r="O5255" s="30" t="str">
        <x:v>При Aa × aa потомки распределяются по фенотипам 1:1.</x:v>
      </x:c>
      <x:c r="P5255" s="30" t="str">
        <x:v>Условие проверено; ответ совпал с официальной таблицей ключей.</x:v>
      </x:c>
      <x:c r="Q5255" s="30"/>
      <x:c r="R5255" s="30"/>
      <x:c r="S5255" s="30" t="str">
        <x:v>Ключи - 952.pdf, стр. 1</x:v>
      </x:c>
      <x:c r="T5255" s="30"/>
      <x:c r="U5255" s="30" t="str">
        <x:v>Расхождений нет.</x:v>
      </x:c>
      <x:c r="V5255" s="87" t="str">
        <x:v>VERIFIED</x:v>
      </x:c>
      <x:c r="W5255" s="87"/>
      <x:c r="X5255" s="87" t="n">
        <x:v>2</x:v>
      </x:c>
      <x:c r="Y5255" s="87"/>
      <x:c r="Z5255" s="87"/>
      <x:c r="AA5255" s="87"/>
      <x:c r="AB5255" s="87"/>
      <x:c r="AC5255" s="87" t="str">
        <x:v>VIS-EGKR-BIO-W25-TASK-952-P002</x:v>
      </x:c>
      <x:c r="AD5255" s="87" t="str">
        <x:v>VIS-EGKR-BIO-W25-KEY-952-P001</x:v>
      </x:c>
      <x:c r="AE5255" s="87" t="str">
        <x:v>TASK; KEY</x:v>
      </x:c>
      <x:c r="AF5255" s="87" t="str">
        <x:v>VIS-EGKR-BIO-W25-TASK-952-P002: 2; VIS-EGKR-BIO-W25-KEY-952-P001: 1</x:v>
      </x:c>
      <x:c r="AG5255" s="87" t="str">
        <x:v>RESOLVED</x:v>
      </x:c>
      <x:c r="AH5255" s="87" t="str">
        <x:v>CROP_VERIFIED</x:v>
      </x:c>
      <x:c r="AI5255" s="30"/>
      <x:c r="AJ5255" s="87" t="str">
        <x:v>clean</x:v>
      </x:c>
      <x:c r="AK5255" s="87" t="str">
        <x:v>clean-v0.12</x:v>
      </x:c>
      <x:c r="AL5255" s="87" t="str">
        <x:v>statgrad_clean_continuation_v0_12(1).xlsx</x:v>
      </x:c>
      <x:c r="AM5255" s="87" t="str">
        <x:v>BIO_EGKR_952</x:v>
      </x:c>
      <x:c r="AN5255" s="87" t="n">
        <x:v>5</x:v>
      </x:c>
    </x:row>
    <x:row r="5256">
      <x:c r="A5256" s="87" t="n">
        <x:v>5255</x:v>
      </x:c>
      <x:c r="B5256" s="87" t="str">
        <x:v>EGKR-W25-BIO-952-05</x:v>
      </x:c>
      <x:c r="C5256" s="87" t="str">
        <x:v>ЕГКР</x:v>
      </x:c>
      <x:c r="D5256" s="87"/>
      <x:c r="E5256" s="87" t="str">
        <x:v>Зима 2025</x:v>
      </x:c>
      <x:c r="F5256" s="87" t="str">
        <x:v>11.12.2025</x:v>
      </x:c>
      <x:c r="G5256" s="87" t="str">
        <x:v>Биология</x:v>
      </x:c>
      <x:c r="H5256" s="87" t="n">
        <x:v>11</x:v>
      </x:c>
      <x:c r="I5256" s="87"/>
      <x:c r="J5256" s="87" t="str">
        <x:v>952</x:v>
      </x:c>
      <x:c r="K5256" s="87" t="n">
        <x:v>5</x:v>
      </x:c>
      <x:c r="L5256" s="87" t="str">
        <x:v>Работа с рисунком</x:v>
      </x:c>
      <x:c r="M5256" s="30" t="str">
        <x:v>По рисункам определить фазу клеточного деления, в которой хромосомы максимально компактизованы.</x:v>
      </x:c>
      <x:c r="N5256" s="30" t="str">
        <x:v>1</x:v>
      </x:c>
      <x:c r="O5256" s="30" t="str">
        <x:v>Ответ определён по положению и степени спирализации хромосом на рисунке.</x:v>
      </x:c>
      <x:c r="P5256" s="30" t="str">
        <x:v>Условие проверено; ответ совпал с официальной таблицей ключей.</x:v>
      </x:c>
      <x:c r="Q5256" s="30"/>
      <x:c r="R5256" s="30"/>
      <x:c r="S5256" s="30" t="str">
        <x:v>Ключи - 952.pdf, стр. 1</x:v>
      </x:c>
      <x:c r="T5256" s="30"/>
      <x:c r="U5256" s="30" t="str">
        <x:v>Расхождений нет.</x:v>
      </x:c>
      <x:c r="V5256" s="87" t="str">
        <x:v>VERIFIED</x:v>
      </x:c>
      <x:c r="W5256" s="87"/>
      <x:c r="X5256" s="87" t="n">
        <x:v>3</x:v>
      </x:c>
      <x:c r="Y5256" s="87"/>
      <x:c r="Z5256" s="87"/>
      <x:c r="AA5256" s="87"/>
      <x:c r="AB5256" s="87"/>
      <x:c r="AC5256" s="87" t="str">
        <x:v>VIS-EGKR-BIO-W25-TASK-952-P003</x:v>
      </x:c>
      <x:c r="AD5256" s="87" t="str">
        <x:v>VIS-EGKR-BIO-W25-KEY-952-P001</x:v>
      </x:c>
      <x:c r="AE5256" s="87" t="str">
        <x:v>TASK; KEY</x:v>
      </x:c>
      <x:c r="AF5256" s="87" t="str">
        <x:v>VIS-EGKR-BIO-W25-TASK-952-P003: 3; VIS-EGKR-BIO-W25-KEY-952-P001: 1</x:v>
      </x:c>
      <x:c r="AG5256" s="87" t="str">
        <x:v>RESOLVED</x:v>
      </x:c>
      <x:c r="AH5256" s="87" t="str">
        <x:v>CROP_VERIFIED</x:v>
      </x:c>
      <x:c r="AI5256" s="30"/>
      <x:c r="AJ5256" s="87" t="str">
        <x:v>clean</x:v>
      </x:c>
      <x:c r="AK5256" s="87" t="str">
        <x:v>clean-v0.12</x:v>
      </x:c>
      <x:c r="AL5256" s="87" t="str">
        <x:v>statgrad_clean_continuation_v0_12(1).xlsx</x:v>
      </x:c>
      <x:c r="AM5256" s="87" t="str">
        <x:v>BIO_EGKR_952</x:v>
      </x:c>
      <x:c r="AN5256" s="87" t="n">
        <x:v>6</x:v>
      </x:c>
    </x:row>
    <x:row r="5257">
      <x:c r="A5257" s="87" t="n">
        <x:v>5256</x:v>
      </x:c>
      <x:c r="B5257" s="87" t="str">
        <x:v>EGKR-W25-BIO-952-06</x:v>
      </x:c>
      <x:c r="C5257" s="87" t="str">
        <x:v>ЕГКР</x:v>
      </x:c>
      <x:c r="D5257" s="87"/>
      <x:c r="E5257" s="87" t="str">
        <x:v>Зима 2025</x:v>
      </x:c>
      <x:c r="F5257" s="87" t="str">
        <x:v>11.12.2025</x:v>
      </x:c>
      <x:c r="G5257" s="87" t="str">
        <x:v>Биология</x:v>
      </x:c>
      <x:c r="H5257" s="87" t="n">
        <x:v>11</x:v>
      </x:c>
      <x:c r="I5257" s="87"/>
      <x:c r="J5257" s="87" t="str">
        <x:v>952</x:v>
      </x:c>
      <x:c r="K5257" s="87" t="n">
        <x:v>6</x:v>
      </x:c>
      <x:c r="L5257" s="87" t="str">
        <x:v>Соответствие</x:v>
      </x:c>
      <x:c r="M5257" s="30" t="str">
        <x:v>Соотнести признаки профазы, метафазы и телофазы с изображёнными фазами деления клетки.</x:v>
      </x:c>
      <x:c r="N5257" s="30" t="str">
        <x:v>123212</x:v>
      </x:c>
      <x:c r="O5257" s="30" t="str">
        <x:v>Признаки сопоставлены с разрушением/восстановлением ядра, метафазной пластинкой и цитокинезом.</x:v>
      </x:c>
      <x:c r="P5257" s="30" t="str">
        <x:v>Условие проверено; ответ совпал с официальной таблицей ключей.</x:v>
      </x:c>
      <x:c r="Q5257" s="30"/>
      <x:c r="R5257" s="30"/>
      <x:c r="S5257" s="30" t="str">
        <x:v>Ключи - 952.pdf, стр. 1</x:v>
      </x:c>
      <x:c r="T5257" s="30"/>
      <x:c r="U5257" s="30" t="str">
        <x:v>Расхождений нет.</x:v>
      </x:c>
      <x:c r="V5257" s="87" t="str">
        <x:v>VERIFIED</x:v>
      </x:c>
      <x:c r="W5257" s="87"/>
      <x:c r="X5257" s="87" t="n">
        <x:v>3</x:v>
      </x:c>
      <x:c r="Y5257" s="87"/>
      <x:c r="Z5257" s="87"/>
      <x:c r="AA5257" s="87"/>
      <x:c r="AB5257" s="87"/>
      <x:c r="AC5257" s="87" t="str">
        <x:v>VIS-EGKR-BIO-W25-TASK-952-P003</x:v>
      </x:c>
      <x:c r="AD5257" s="87" t="str">
        <x:v>VIS-EGKR-BIO-W25-KEY-952-P001</x:v>
      </x:c>
      <x:c r="AE5257" s="87" t="str">
        <x:v>TASK; KEY</x:v>
      </x:c>
      <x:c r="AF5257" s="87" t="str">
        <x:v>VIS-EGKR-BIO-W25-TASK-952-P003: 3; VIS-EGKR-BIO-W25-KEY-952-P001: 1</x:v>
      </x:c>
      <x:c r="AG5257" s="87" t="str">
        <x:v>RESOLVED</x:v>
      </x:c>
      <x:c r="AH5257" s="87" t="str">
        <x:v>CROP_VERIFIED</x:v>
      </x:c>
      <x:c r="AI5257" s="30"/>
      <x:c r="AJ5257" s="87" t="str">
        <x:v>clean</x:v>
      </x:c>
      <x:c r="AK5257" s="87" t="str">
        <x:v>clean-v0.12</x:v>
      </x:c>
      <x:c r="AL5257" s="87" t="str">
        <x:v>statgrad_clean_continuation_v0_12(1).xlsx</x:v>
      </x:c>
      <x:c r="AM5257" s="87" t="str">
        <x:v>BIO_EGKR_952</x:v>
      </x:c>
      <x:c r="AN5257" s="87" t="n">
        <x:v>7</x:v>
      </x:c>
    </x:row>
    <x:row r="5258">
      <x:c r="A5258" s="87" t="n">
        <x:v>5257</x:v>
      </x:c>
      <x:c r="B5258" s="87" t="str">
        <x:v>EGKR-W25-BIO-952-07</x:v>
      </x:c>
      <x:c r="C5258" s="87" t="str">
        <x:v>ЕГКР</x:v>
      </x:c>
      <x:c r="D5258" s="87"/>
      <x:c r="E5258" s="87" t="str">
        <x:v>Зима 2025</x:v>
      </x:c>
      <x:c r="F5258" s="87" t="str">
        <x:v>11.12.2025</x:v>
      </x:c>
      <x:c r="G5258" s="87" t="str">
        <x:v>Биология</x:v>
      </x:c>
      <x:c r="H5258" s="87" t="n">
        <x:v>11</x:v>
      </x:c>
      <x:c r="I5258" s="87"/>
      <x:c r="J5258" s="87" t="str">
        <x:v>952</x:v>
      </x:c>
      <x:c r="K5258" s="87" t="n">
        <x:v>7</x:v>
      </x:c>
      <x:c r="L5258" s="87" t="str">
        <x:v>Работа с рисунком</x:v>
      </x:c>
      <x:c r="M5258" s="30" t="str">
        <x:v>Выбрать три верно обозначенные структуры на рисунке клетки.</x:v>
      </x:c>
      <x:c r="N5258" s="30" t="str">
        <x:v>235</x:v>
      </x:c>
      <x:c r="O5258" s="30" t="str">
        <x:v>Подписи проверены по морфологии органоидов на рисунке.</x:v>
      </x:c>
      <x:c r="P5258" s="30" t="str">
        <x:v>Условие проверено; ответ совпал с официальной таблицей ключей.</x:v>
      </x:c>
      <x:c r="Q5258" s="30"/>
      <x:c r="R5258" s="30"/>
      <x:c r="S5258" s="30" t="str">
        <x:v>Ключи - 952.pdf, стр. 1</x:v>
      </x:c>
      <x:c r="T5258" s="30"/>
      <x:c r="U5258" s="30" t="str">
        <x:v>Расхождений нет.</x:v>
      </x:c>
      <x:c r="V5258" s="87" t="str">
        <x:v>VERIFIED</x:v>
      </x:c>
      <x:c r="W5258" s="87"/>
      <x:c r="X5258" s="87" t="n">
        <x:v>4</x:v>
      </x:c>
      <x:c r="Y5258" s="87"/>
      <x:c r="Z5258" s="87"/>
      <x:c r="AA5258" s="87"/>
      <x:c r="AB5258" s="87"/>
      <x:c r="AC5258" s="87" t="str">
        <x:v>VIS-EGKR-BIO-W25-TASK-952-P004</x:v>
      </x:c>
      <x:c r="AD5258" s="87" t="str">
        <x:v>VIS-EGKR-BIO-W25-KEY-952-P001</x:v>
      </x:c>
      <x:c r="AE5258" s="87" t="str">
        <x:v>TASK; KEY</x:v>
      </x:c>
      <x:c r="AF5258" s="87" t="str">
        <x:v>VIS-EGKR-BIO-W25-TASK-952-P004: 4; VIS-EGKR-BIO-W25-KEY-952-P001: 1</x:v>
      </x:c>
      <x:c r="AG5258" s="87" t="str">
        <x:v>RESOLVED</x:v>
      </x:c>
      <x:c r="AH5258" s="87" t="str">
        <x:v>CROP_VERIFIED; TASK_CROP_QA_APPROVED:USE_TIGHT</x:v>
      </x:c>
      <x:c r="AI5258" s="30"/>
      <x:c r="AJ5258" s="87" t="str">
        <x:v>clean</x:v>
      </x:c>
      <x:c r="AK5258" s="87" t="str">
        <x:v>clean-v0.12</x:v>
      </x:c>
      <x:c r="AL5258" s="87" t="str">
        <x:v>statgrad_clean_continuation_v0_12(1).xlsx</x:v>
      </x:c>
      <x:c r="AM5258" s="87" t="str">
        <x:v>BIO_EGKR_952</x:v>
      </x:c>
      <x:c r="AN5258" s="87" t="n">
        <x:v>8</x:v>
      </x:c>
    </x:row>
    <x:row r="5259">
      <x:c r="A5259" s="87" t="n">
        <x:v>5258</x:v>
      </x:c>
      <x:c r="B5259" s="87" t="str">
        <x:v>EGKR-W25-BIO-952-08</x:v>
      </x:c>
      <x:c r="C5259" s="87" t="str">
        <x:v>ЕГКР</x:v>
      </x:c>
      <x:c r="D5259" s="87"/>
      <x:c r="E5259" s="87" t="str">
        <x:v>Зима 2025</x:v>
      </x:c>
      <x:c r="F5259" s="87" t="str">
        <x:v>11.12.2025</x:v>
      </x:c>
      <x:c r="G5259" s="87" t="str">
        <x:v>Биология</x:v>
      </x:c>
      <x:c r="H5259" s="87" t="n">
        <x:v>11</x:v>
      </x:c>
      <x:c r="I5259" s="87"/>
      <x:c r="J5259" s="87" t="str">
        <x:v>952</x:v>
      </x:c>
      <x:c r="K5259" s="87" t="n">
        <x:v>8</x:v>
      </x:c>
      <x:c r="L5259" s="87" t="str">
        <x:v>Последовательность</x:v>
      </x:c>
      <x:c r="M5259" s="30" t="str">
        <x:v>Установить последовательность структур, которые проходит CO₂ от периферии растительной клетки до стромы хлоропласта.</x:v>
      </x:c>
      <x:c r="N5259" s="30" t="str">
        <x:v>23514</x:v>
      </x:c>
      <x:c r="O5259" s="30" t="str">
        <x:v>CO₂ проходит клеточную стенку, плазмалемму, цитоплазму, оболочку хлоропласта и попадает в строму.</x:v>
      </x:c>
      <x:c r="P5259" s="30" t="str">
        <x:v>Условие проверено; ответ совпал с официальной таблицей ключей.</x:v>
      </x:c>
      <x:c r="Q5259" s="30"/>
      <x:c r="R5259" s="30"/>
      <x:c r="S5259" s="30" t="str">
        <x:v>Ключи - 952.pdf, стр. 1</x:v>
      </x:c>
      <x:c r="T5259" s="30"/>
      <x:c r="U5259" s="30" t="str">
        <x:v>Расхождений нет.</x:v>
      </x:c>
      <x:c r="V5259" s="87" t="str">
        <x:v>VERIFIED</x:v>
      </x:c>
      <x:c r="W5259" s="87"/>
      <x:c r="X5259" s="87" t="n">
        <x:v>4</x:v>
      </x:c>
      <x:c r="Y5259" s="87"/>
      <x:c r="Z5259" s="87"/>
      <x:c r="AA5259" s="87"/>
      <x:c r="AB5259" s="87"/>
      <x:c r="AC5259" s="87" t="str">
        <x:v>VIS-EGKR-BIO-W25-TASK-952-P004</x:v>
      </x:c>
      <x:c r="AD5259" s="87" t="str">
        <x:v>VIS-EGKR-BIO-W25-KEY-952-P001</x:v>
      </x:c>
      <x:c r="AE5259" s="87" t="str">
        <x:v>TASK; KEY</x:v>
      </x:c>
      <x:c r="AF5259" s="87" t="str">
        <x:v>VIS-EGKR-BIO-W25-TASK-952-P004: 4; VIS-EGKR-BIO-W25-KEY-952-P001: 1</x:v>
      </x:c>
      <x:c r="AG5259" s="87" t="str">
        <x:v>RESOLVED</x:v>
      </x:c>
      <x:c r="AH5259" s="87" t="str">
        <x:v>CROP_VERIFIED</x:v>
      </x:c>
      <x:c r="AI5259" s="30"/>
      <x:c r="AJ5259" s="87" t="str">
        <x:v>clean</x:v>
      </x:c>
      <x:c r="AK5259" s="87" t="str">
        <x:v>clean-v0.12</x:v>
      </x:c>
      <x:c r="AL5259" s="87" t="str">
        <x:v>statgrad_clean_continuation_v0_12(1).xlsx</x:v>
      </x:c>
      <x:c r="AM5259" s="87" t="str">
        <x:v>BIO_EGKR_952</x:v>
      </x:c>
      <x:c r="AN5259" s="87" t="n">
        <x:v>9</x:v>
      </x:c>
    </x:row>
    <x:row r="5260">
      <x:c r="A5260" s="87" t="n">
        <x:v>5259</x:v>
      </x:c>
      <x:c r="B5260" s="87" t="str">
        <x:v>EGKR-W25-BIO-952-09</x:v>
      </x:c>
      <x:c r="C5260" s="87" t="str">
        <x:v>ЕГКР</x:v>
      </x:c>
      <x:c r="D5260" s="87"/>
      <x:c r="E5260" s="87" t="str">
        <x:v>Зима 2025</x:v>
      </x:c>
      <x:c r="F5260" s="87" t="str">
        <x:v>11.12.2025</x:v>
      </x:c>
      <x:c r="G5260" s="87" t="str">
        <x:v>Биология</x:v>
      </x:c>
      <x:c r="H5260" s="87" t="n">
        <x:v>11</x:v>
      </x:c>
      <x:c r="I5260" s="87"/>
      <x:c r="J5260" s="87" t="str">
        <x:v>952</x:v>
      </x:c>
      <x:c r="K5260" s="87" t="n">
        <x:v>9</x:v>
      </x:c>
      <x:c r="L5260" s="87" t="str">
        <x:v>Работа с рисунком</x:v>
      </x:c>
      <x:c r="M5260" s="30" t="str">
        <x:v>По скелету птицы определить цифру, обозначающую пясть.</x:v>
      </x:c>
      <x:c r="N5260" s="30" t="str">
        <x:v>4</x:v>
      </x:c>
      <x:c r="O5260" s="30" t="str">
        <x:v>Пясть крыла обозначена цифрой 4.</x:v>
      </x:c>
      <x:c r="P5260" s="30" t="str">
        <x:v>Условие проверено; ответ совпал с официальной таблицей ключей.</x:v>
      </x:c>
      <x:c r="Q5260" s="30"/>
      <x:c r="R5260" s="30"/>
      <x:c r="S5260" s="30" t="str">
        <x:v>Ключи - 952.pdf, стр. 1</x:v>
      </x:c>
      <x:c r="T5260" s="30"/>
      <x:c r="U5260" s="30" t="str">
        <x:v>Расхождений нет.</x:v>
      </x:c>
      <x:c r="V5260" s="87" t="str">
        <x:v>VERIFIED</x:v>
      </x:c>
      <x:c r="W5260" s="87"/>
      <x:c r="X5260" s="87" t="n">
        <x:v>5</x:v>
      </x:c>
      <x:c r="Y5260" s="87"/>
      <x:c r="Z5260" s="87"/>
      <x:c r="AA5260" s="87"/>
      <x:c r="AB5260" s="87"/>
      <x:c r="AC5260" s="87" t="str">
        <x:v>VIS-EGKR-BIO-W25-TASK-952-P005</x:v>
      </x:c>
      <x:c r="AD5260" s="87" t="str">
        <x:v>VIS-EGKR-BIO-W25-KEY-952-P001</x:v>
      </x:c>
      <x:c r="AE5260" s="87" t="str">
        <x:v>TASK; KEY</x:v>
      </x:c>
      <x:c r="AF5260" s="87" t="str">
        <x:v>VIS-EGKR-BIO-W25-TASK-952-P005: 5; VIS-EGKR-BIO-W25-KEY-952-P001: 1</x:v>
      </x:c>
      <x:c r="AG5260" s="87" t="str">
        <x:v>RESOLVED</x:v>
      </x:c>
      <x:c r="AH5260" s="87" t="str">
        <x:v>CROP_VERIFIED</x:v>
      </x:c>
      <x:c r="AI5260" s="30"/>
      <x:c r="AJ5260" s="87" t="str">
        <x:v>clean</x:v>
      </x:c>
      <x:c r="AK5260" s="87" t="str">
        <x:v>clean-v0.12</x:v>
      </x:c>
      <x:c r="AL5260" s="87" t="str">
        <x:v>statgrad_clean_continuation_v0_12(1).xlsx</x:v>
      </x:c>
      <x:c r="AM5260" s="87" t="str">
        <x:v>BIO_EGKR_952</x:v>
      </x:c>
      <x:c r="AN5260" s="87" t="n">
        <x:v>10</x:v>
      </x:c>
    </x:row>
    <x:row r="5261">
      <x:c r="A5261" s="87" t="n">
        <x:v>5260</x:v>
      </x:c>
      <x:c r="B5261" s="87" t="str">
        <x:v>EGKR-W25-BIO-952-10</x:v>
      </x:c>
      <x:c r="C5261" s="87" t="str">
        <x:v>ЕГКР</x:v>
      </x:c>
      <x:c r="D5261" s="87"/>
      <x:c r="E5261" s="87" t="str">
        <x:v>Зима 2025</x:v>
      </x:c>
      <x:c r="F5261" s="87" t="str">
        <x:v>11.12.2025</x:v>
      </x:c>
      <x:c r="G5261" s="87" t="str">
        <x:v>Биология</x:v>
      </x:c>
      <x:c r="H5261" s="87" t="n">
        <x:v>11</x:v>
      </x:c>
      <x:c r="I5261" s="87"/>
      <x:c r="J5261" s="87" t="str">
        <x:v>952</x:v>
      </x:c>
      <x:c r="K5261" s="87" t="n">
        <x:v>10</x:v>
      </x:c>
      <x:c r="L5261" s="87" t="str">
        <x:v>Соответствие</x:v>
      </x:c>
      <x:c r="M5261" s="30" t="str">
        <x:v>Соотнести признаки элементов скелета птицы с обозначениями 1–3; в исходнике ошибочно упомянут «жизненный цикл земноводного».</x:v>
      </x:c>
      <x:c r="N5261" s="30" t="str">
        <x:v>322133</x:v>
      </x:c>
      <x:c r="O5261" s="30" t="str">
        <x:v>Характеристики соотнесены с обозначенными костями и килем грудины.</x:v>
      </x:c>
      <x:c r="P5261" s="30" t="str">
        <x:v>Условие проверено; ответ совпал с официальной таблицей ключей.</x:v>
      </x:c>
      <x:c r="Q5261" s="30"/>
      <x:c r="R5261" s="30"/>
      <x:c r="S5261" s="30" t="str">
        <x:v>Ключи - 952.pdf, стр. 1</x:v>
      </x:c>
      <x:c r="T5261" s="30"/>
      <x:c r="U5261" s="30" t="str">
        <x:v>Расхождений нет.</x:v>
      </x:c>
      <x:c r="V5261" s="87" t="str">
        <x:v>VERIFIED</x:v>
      </x:c>
      <x:c r="W5261" s="87"/>
      <x:c r="X5261" s="87" t="n">
        <x:v>5</x:v>
      </x:c>
      <x:c r="Y5261" s="87"/>
      <x:c r="Z5261" s="87"/>
      <x:c r="AA5261" s="87"/>
      <x:c r="AB5261" s="87"/>
      <x:c r="AC5261" s="87" t="str">
        <x:v>VIS-EGKR-BIO-W25-TASK-952-P005</x:v>
      </x:c>
      <x:c r="AD5261" s="87" t="str">
        <x:v>VIS-EGKR-BIO-W25-KEY-952-P001</x:v>
      </x:c>
      <x:c r="AE5261" s="87" t="str">
        <x:v>TASK; KEY</x:v>
      </x:c>
      <x:c r="AF5261" s="87" t="str">
        <x:v>VIS-EGKR-BIO-W25-TASK-952-P005: 5; VIS-EGKR-BIO-W25-KEY-952-P001: 1</x:v>
      </x:c>
      <x:c r="AG5261" s="87" t="str">
        <x:v>RESOLVED</x:v>
      </x:c>
      <x:c r="AH5261" s="87" t="str">
        <x:v>CROP_VERIFIED</x:v>
      </x:c>
      <x:c r="AI5261" s="30"/>
      <x:c r="AJ5261" s="87" t="str">
        <x:v>clean</x:v>
      </x:c>
      <x:c r="AK5261" s="87" t="str">
        <x:v>clean-v0.12</x:v>
      </x:c>
      <x:c r="AL5261" s="87" t="str">
        <x:v>statgrad_clean_continuation_v0_12(1).xlsx</x:v>
      </x:c>
      <x:c r="AM5261" s="87" t="str">
        <x:v>BIO_EGKR_952</x:v>
      </x:c>
      <x:c r="AN5261" s="87" t="n">
        <x:v>11</x:v>
      </x:c>
    </x:row>
    <x:row r="5262">
      <x:c r="A5262" s="87" t="n">
        <x:v>5261</x:v>
      </x:c>
      <x:c r="B5262" s="87" t="str">
        <x:v>EGKR-W25-BIO-952-11</x:v>
      </x:c>
      <x:c r="C5262" s="87" t="str">
        <x:v>ЕГКР</x:v>
      </x:c>
      <x:c r="D5262" s="87"/>
      <x:c r="E5262" s="87" t="str">
        <x:v>Зима 2025</x:v>
      </x:c>
      <x:c r="F5262" s="87" t="str">
        <x:v>11.12.2025</x:v>
      </x:c>
      <x:c r="G5262" s="87" t="str">
        <x:v>Биология</x:v>
      </x:c>
      <x:c r="H5262" s="87" t="n">
        <x:v>11</x:v>
      </x:c>
      <x:c r="I5262" s="87"/>
      <x:c r="J5262" s="87" t="str">
        <x:v>952</x:v>
      </x:c>
      <x:c r="K5262" s="87" t="n">
        <x:v>11</x:v>
      </x:c>
      <x:c r="L5262" s="87" t="str">
        <x:v>Множественный выбор</x:v>
      </x:c>
      <x:c r="M5262" s="30" t="str">
        <x:v>Выбрать признаки, доказывающие побеговую природу клубня картофеля.</x:v>
      </x:c>
      <x:c r="N5262" s="30" t="str">
        <x:v>246</x:v>
      </x:c>
      <x:c r="O5262" s="30" t="str">
        <x:v>Междоузлия, пазушные почки-глазки и чешуевидные листья являются признаками побега.</x:v>
      </x:c>
      <x:c r="P5262" s="30" t="str">
        <x:v>Условие проверено; ответ совпал с официальной таблицей ключей.</x:v>
      </x:c>
      <x:c r="Q5262" s="30"/>
      <x:c r="R5262" s="30"/>
      <x:c r="S5262" s="30" t="str">
        <x:v>Ключи - 952.pdf, стр. 1</x:v>
      </x:c>
      <x:c r="T5262" s="30"/>
      <x:c r="U5262" s="30" t="str">
        <x:v>Расхождений нет.</x:v>
      </x:c>
      <x:c r="V5262" s="87" t="str">
        <x:v>VERIFIED</x:v>
      </x:c>
      <x:c r="W5262" s="87"/>
      <x:c r="X5262" s="87" t="n">
        <x:v>6</x:v>
      </x:c>
      <x:c r="Y5262" s="87"/>
      <x:c r="Z5262" s="87"/>
      <x:c r="AA5262" s="87"/>
      <x:c r="AB5262" s="87"/>
      <x:c r="AC5262" s="87" t="str">
        <x:v>VIS-EGKR-BIO-W25-TASK-952-P006</x:v>
      </x:c>
      <x:c r="AD5262" s="87" t="str">
        <x:v>VIS-EGKR-BIO-W25-KEY-952-P001</x:v>
      </x:c>
      <x:c r="AE5262" s="87" t="str">
        <x:v>TASK; KEY</x:v>
      </x:c>
      <x:c r="AF5262" s="87" t="str">
        <x:v>VIS-EGKR-BIO-W25-TASK-952-P006: 6; VIS-EGKR-BIO-W25-KEY-952-P001: 1</x:v>
      </x:c>
      <x:c r="AG5262" s="87" t="str">
        <x:v>RESOLVED</x:v>
      </x:c>
      <x:c r="AH5262" s="87" t="str">
        <x:v>CROP_VERIFIED</x:v>
      </x:c>
      <x:c r="AI5262" s="30"/>
      <x:c r="AJ5262" s="87" t="str">
        <x:v>clean</x:v>
      </x:c>
      <x:c r="AK5262" s="87" t="str">
        <x:v>clean-v0.12</x:v>
      </x:c>
      <x:c r="AL5262" s="87" t="str">
        <x:v>statgrad_clean_continuation_v0_12(1).xlsx</x:v>
      </x:c>
      <x:c r="AM5262" s="87" t="str">
        <x:v>BIO_EGKR_952</x:v>
      </x:c>
      <x:c r="AN5262" s="87" t="n">
        <x:v>12</x:v>
      </x:c>
    </x:row>
    <x:row r="5263">
      <x:c r="A5263" s="87" t="n">
        <x:v>5262</x:v>
      </x:c>
      <x:c r="B5263" s="87" t="str">
        <x:v>EGKR-W25-BIO-952-12</x:v>
      </x:c>
      <x:c r="C5263" s="87" t="str">
        <x:v>ЕГКР</x:v>
      </x:c>
      <x:c r="D5263" s="87"/>
      <x:c r="E5263" s="87" t="str">
        <x:v>Зима 2025</x:v>
      </x:c>
      <x:c r="F5263" s="87" t="str">
        <x:v>11.12.2025</x:v>
      </x:c>
      <x:c r="G5263" s="87" t="str">
        <x:v>Биология</x:v>
      </x:c>
      <x:c r="H5263" s="87" t="n">
        <x:v>11</x:v>
      </x:c>
      <x:c r="I5263" s="87"/>
      <x:c r="J5263" s="87" t="str">
        <x:v>952</x:v>
      </x:c>
      <x:c r="K5263" s="87" t="n">
        <x:v>12</x:v>
      </x:c>
      <x:c r="L5263" s="87" t="str">
        <x:v>Последовательность</x:v>
      </x:c>
      <x:c r="M5263" s="30" t="str">
        <x:v>Расположить систематические группы лиственницы Чекановского от наивысшего ранга к низшему.</x:v>
      </x:c>
      <x:c r="N5263" s="30" t="str">
        <x:v>462153</x:v>
      </x:c>
      <x:c r="O5263" s="30" t="str">
        <x:v>Последовательность построена от надцарства/царства и отдела к семейству, роду и виду.</x:v>
      </x:c>
      <x:c r="P5263" s="30" t="str">
        <x:v>Условие проверено; ответ совпал с официальной таблицей ключей.</x:v>
      </x:c>
      <x:c r="Q5263" s="30"/>
      <x:c r="R5263" s="30"/>
      <x:c r="S5263" s="30" t="str">
        <x:v>Ключи - 952.pdf, стр. 1</x:v>
      </x:c>
      <x:c r="T5263" s="30"/>
      <x:c r="U5263" s="30" t="str">
        <x:v>Расхождений нет.</x:v>
      </x:c>
      <x:c r="V5263" s="87" t="str">
        <x:v>VERIFIED</x:v>
      </x:c>
      <x:c r="W5263" s="87"/>
      <x:c r="X5263" s="87" t="n">
        <x:v>6</x:v>
      </x:c>
      <x:c r="Y5263" s="87"/>
      <x:c r="Z5263" s="87"/>
      <x:c r="AA5263" s="87"/>
      <x:c r="AB5263" s="87"/>
      <x:c r="AC5263" s="87" t="str">
        <x:v>VIS-EGKR-BIO-W25-TASK-952-P006</x:v>
      </x:c>
      <x:c r="AD5263" s="87" t="str">
        <x:v>VIS-EGKR-BIO-W25-KEY-952-P001</x:v>
      </x:c>
      <x:c r="AE5263" s="87" t="str">
        <x:v>TASK; KEY</x:v>
      </x:c>
      <x:c r="AF5263" s="87" t="str">
        <x:v>VIS-EGKR-BIO-W25-TASK-952-P006: 6; VIS-EGKR-BIO-W25-KEY-952-P001: 1</x:v>
      </x:c>
      <x:c r="AG5263" s="87" t="str">
        <x:v>RESOLVED</x:v>
      </x:c>
      <x:c r="AH5263" s="87" t="str">
        <x:v>CROP_VERIFIED</x:v>
      </x:c>
      <x:c r="AI5263" s="30"/>
      <x:c r="AJ5263" s="87" t="str">
        <x:v>clean</x:v>
      </x:c>
      <x:c r="AK5263" s="87" t="str">
        <x:v>clean-v0.12</x:v>
      </x:c>
      <x:c r="AL5263" s="87" t="str">
        <x:v>statgrad_clean_continuation_v0_12(1).xlsx</x:v>
      </x:c>
      <x:c r="AM5263" s="87" t="str">
        <x:v>BIO_EGKR_952</x:v>
      </x:c>
      <x:c r="AN5263" s="87" t="n">
        <x:v>13</x:v>
      </x:c>
    </x:row>
    <x:row r="5264">
      <x:c r="A5264" s="87" t="n">
        <x:v>5263</x:v>
      </x:c>
      <x:c r="B5264" s="87" t="str">
        <x:v>EGKR-W25-BIO-952-13</x:v>
      </x:c>
      <x:c r="C5264" s="87" t="str">
        <x:v>ЕГКР</x:v>
      </x:c>
      <x:c r="D5264" s="87"/>
      <x:c r="E5264" s="87" t="str">
        <x:v>Зима 2025</x:v>
      </x:c>
      <x:c r="F5264" s="87" t="str">
        <x:v>11.12.2025</x:v>
      </x:c>
      <x:c r="G5264" s="87" t="str">
        <x:v>Биология</x:v>
      </x:c>
      <x:c r="H5264" s="87" t="n">
        <x:v>11</x:v>
      </x:c>
      <x:c r="I5264" s="87"/>
      <x:c r="J5264" s="87" t="str">
        <x:v>952</x:v>
      </x:c>
      <x:c r="K5264" s="87" t="n">
        <x:v>13</x:v>
      </x:c>
      <x:c r="L5264" s="87" t="str">
        <x:v>Работа с рисунком</x:v>
      </x:c>
      <x:c r="M5264" s="30" t="str">
        <x:v>По рисунку определить цифру, обозначающую печень человека.</x:v>
      </x:c>
      <x:c r="N5264" s="30" t="str">
        <x:v>6</x:v>
      </x:c>
      <x:c r="O5264" s="30" t="str">
        <x:v>Печень на схеме обозначена цифрой 6.</x:v>
      </x:c>
      <x:c r="P5264" s="30" t="str">
        <x:v>Условие проверено; ответ совпал с официальной таблицей ключей.</x:v>
      </x:c>
      <x:c r="Q5264" s="30"/>
      <x:c r="R5264" s="30"/>
      <x:c r="S5264" s="30" t="str">
        <x:v>Ключи - 952.pdf, стр. 1</x:v>
      </x:c>
      <x:c r="T5264" s="30"/>
      <x:c r="U5264" s="30" t="str">
        <x:v>Расхождений нет.</x:v>
      </x:c>
      <x:c r="V5264" s="87" t="str">
        <x:v>VERIFIED</x:v>
      </x:c>
      <x:c r="W5264" s="87"/>
      <x:c r="X5264" s="87" t="n">
        <x:v>7</x:v>
      </x:c>
      <x:c r="Y5264" s="87"/>
      <x:c r="Z5264" s="87"/>
      <x:c r="AA5264" s="87"/>
      <x:c r="AB5264" s="87"/>
      <x:c r="AC5264" s="87" t="str">
        <x:v>VIS-EGKR-BIO-W25-TASK-952-P007</x:v>
      </x:c>
      <x:c r="AD5264" s="87" t="str">
        <x:v>VIS-EGKR-BIO-W25-KEY-952-P001</x:v>
      </x:c>
      <x:c r="AE5264" s="87" t="str">
        <x:v>TASK; KEY</x:v>
      </x:c>
      <x:c r="AF5264" s="87" t="str">
        <x:v>VIS-EGKR-BIO-W25-TASK-952-P007: 7; VIS-EGKR-BIO-W25-KEY-952-P001: 1</x:v>
      </x:c>
      <x:c r="AG5264" s="87" t="str">
        <x:v>RESOLVED</x:v>
      </x:c>
      <x:c r="AH5264" s="87" t="str">
        <x:v>CROP_VERIFIED</x:v>
      </x:c>
      <x:c r="AI5264" s="30"/>
      <x:c r="AJ5264" s="87" t="str">
        <x:v>clean</x:v>
      </x:c>
      <x:c r="AK5264" s="87" t="str">
        <x:v>clean-v0.12</x:v>
      </x:c>
      <x:c r="AL5264" s="87" t="str">
        <x:v>statgrad_clean_continuation_v0_12(1).xlsx</x:v>
      </x:c>
      <x:c r="AM5264" s="87" t="str">
        <x:v>BIO_EGKR_952</x:v>
      </x:c>
      <x:c r="AN5264" s="87" t="n">
        <x:v>14</x:v>
      </x:c>
    </x:row>
    <x:row r="5265">
      <x:c r="A5265" s="87" t="n">
        <x:v>5264</x:v>
      </x:c>
      <x:c r="B5265" s="87" t="str">
        <x:v>EGKR-W25-BIO-952-14</x:v>
      </x:c>
      <x:c r="C5265" s="87" t="str">
        <x:v>ЕГКР</x:v>
      </x:c>
      <x:c r="D5265" s="87"/>
      <x:c r="E5265" s="87" t="str">
        <x:v>Зима 2025</x:v>
      </x:c>
      <x:c r="F5265" s="87" t="str">
        <x:v>11.12.2025</x:v>
      </x:c>
      <x:c r="G5265" s="87" t="str">
        <x:v>Биология</x:v>
      </x:c>
      <x:c r="H5265" s="87" t="n">
        <x:v>11</x:v>
      </x:c>
      <x:c r="I5265" s="87"/>
      <x:c r="J5265" s="87" t="str">
        <x:v>952</x:v>
      </x:c>
      <x:c r="K5265" s="87" t="n">
        <x:v>14</x:v>
      </x:c>
      <x:c r="L5265" s="87" t="str">
        <x:v>Соответствие</x:v>
      </x:c>
      <x:c r="M5265" s="30" t="str">
        <x:v>Соотнести функции с симпатическим и парасимпатическим отделами вегетативной нервной системы.</x:v>
      </x:c>
      <x:c r="N5265" s="30" t="str">
        <x:v>112212</x:v>
      </x:c>
      <x:c r="O5265" s="30" t="str">
        <x:v>Парасимпатический отдел усиливает пищеварение и замедляет сердце; симпатический даёт противоположные эффекты.</x:v>
      </x:c>
      <x:c r="P5265" s="30" t="str">
        <x:v>Условие проверено; ответ совпал с официальной таблицей ключей.</x:v>
      </x:c>
      <x:c r="Q5265" s="30"/>
      <x:c r="R5265" s="30"/>
      <x:c r="S5265" s="30" t="str">
        <x:v>Ключи - 952.pdf, стр. 1</x:v>
      </x:c>
      <x:c r="T5265" s="30"/>
      <x:c r="U5265" s="30" t="str">
        <x:v>Расхождений нет.</x:v>
      </x:c>
      <x:c r="V5265" s="87" t="str">
        <x:v>VERIFIED</x:v>
      </x:c>
      <x:c r="W5265" s="87"/>
      <x:c r="X5265" s="87" t="n">
        <x:v>7</x:v>
      </x:c>
      <x:c r="Y5265" s="87"/>
      <x:c r="Z5265" s="87"/>
      <x:c r="AA5265" s="87"/>
      <x:c r="AB5265" s="87"/>
      <x:c r="AC5265" s="87" t="str">
        <x:v>VIS-EGKR-BIO-W25-TASK-952-P007</x:v>
      </x:c>
      <x:c r="AD5265" s="87" t="str">
        <x:v>VIS-EGKR-BIO-W25-KEY-952-P001</x:v>
      </x:c>
      <x:c r="AE5265" s="87" t="str">
        <x:v>TASK; KEY</x:v>
      </x:c>
      <x:c r="AF5265" s="87" t="str">
        <x:v>VIS-EGKR-BIO-W25-TASK-952-P007: 7; VIS-EGKR-BIO-W25-KEY-952-P001: 1</x:v>
      </x:c>
      <x:c r="AG5265" s="87" t="str">
        <x:v>RESOLVED</x:v>
      </x:c>
      <x:c r="AH5265" s="87" t="str">
        <x:v>CROP_VERIFIED</x:v>
      </x:c>
      <x:c r="AI5265" s="30"/>
      <x:c r="AJ5265" s="87" t="str">
        <x:v>clean</x:v>
      </x:c>
      <x:c r="AK5265" s="87" t="str">
        <x:v>clean-v0.12</x:v>
      </x:c>
      <x:c r="AL5265" s="87" t="str">
        <x:v>statgrad_clean_continuation_v0_12(1).xlsx</x:v>
      </x:c>
      <x:c r="AM5265" s="87" t="str">
        <x:v>BIO_EGKR_952</x:v>
      </x:c>
      <x:c r="AN5265" s="87" t="n">
        <x:v>15</x:v>
      </x:c>
    </x:row>
    <x:row r="5266">
      <x:c r="A5266" s="87" t="n">
        <x:v>5265</x:v>
      </x:c>
      <x:c r="B5266" s="87" t="str">
        <x:v>EGKR-W25-BIO-952-15</x:v>
      </x:c>
      <x:c r="C5266" s="87" t="str">
        <x:v>ЕГКР</x:v>
      </x:c>
      <x:c r="D5266" s="87"/>
      <x:c r="E5266" s="87" t="str">
        <x:v>Зима 2025</x:v>
      </x:c>
      <x:c r="F5266" s="87" t="str">
        <x:v>11.12.2025</x:v>
      </x:c>
      <x:c r="G5266" s="87" t="str">
        <x:v>Биология</x:v>
      </x:c>
      <x:c r="H5266" s="87" t="n">
        <x:v>11</x:v>
      </x:c>
      <x:c r="I5266" s="87"/>
      <x:c r="J5266" s="87" t="str">
        <x:v>952</x:v>
      </x:c>
      <x:c r="K5266" s="87" t="n">
        <x:v>15</x:v>
      </x:c>
      <x:c r="L5266" s="87" t="str">
        <x:v>Работа с рисунком</x:v>
      </x:c>
      <x:c r="M5266" s="30" t="str">
        <x:v>Выбрать три верные подписи к костям пояса и свободной нижней конечности человека.</x:v>
      </x:c>
      <x:c r="N5266" s="30" t="str">
        <x:v>356</x:v>
      </x:c>
      <x:c r="O5266" s="30" t="str">
        <x:v>Подписи проверены по анатомии костей нижней конечности.</x:v>
      </x:c>
      <x:c r="P5266" s="30" t="str">
        <x:v>Условие проверено; ответ совпал с официальной таблицей ключей.</x:v>
      </x:c>
      <x:c r="Q5266" s="30"/>
      <x:c r="R5266" s="30"/>
      <x:c r="S5266" s="30" t="str">
        <x:v>Ключи - 952.pdf, стр. 1</x:v>
      </x:c>
      <x:c r="T5266" s="30"/>
      <x:c r="U5266" s="30" t="str">
        <x:v>Расхождений нет.</x:v>
      </x:c>
      <x:c r="V5266" s="87" t="str">
        <x:v>VERIFIED</x:v>
      </x:c>
      <x:c r="W5266" s="87"/>
      <x:c r="X5266" s="87" t="n">
        <x:v>8</x:v>
      </x:c>
      <x:c r="Y5266" s="87"/>
      <x:c r="Z5266" s="87"/>
      <x:c r="AA5266" s="87"/>
      <x:c r="AB5266" s="87"/>
      <x:c r="AC5266" s="87" t="str">
        <x:v>VIS-EGKR-BIO-W25-TASK-952-P008</x:v>
      </x:c>
      <x:c r="AD5266" s="87" t="str">
        <x:v>VIS-EGKR-BIO-W25-KEY-952-P001</x:v>
      </x:c>
      <x:c r="AE5266" s="87" t="str">
        <x:v>TASK; KEY</x:v>
      </x:c>
      <x:c r="AF5266" s="87" t="str">
        <x:v>VIS-EGKR-BIO-W25-TASK-952-P008: 8; VIS-EGKR-BIO-W25-KEY-952-P001: 1</x:v>
      </x:c>
      <x:c r="AG5266" s="87" t="str">
        <x:v>RESOLVED</x:v>
      </x:c>
      <x:c r="AH5266" s="87" t="str">
        <x:v>CROP_VERIFIED</x:v>
      </x:c>
      <x:c r="AI5266" s="30"/>
      <x:c r="AJ5266" s="87" t="str">
        <x:v>clean</x:v>
      </x:c>
      <x:c r="AK5266" s="87" t="str">
        <x:v>clean-v0.12</x:v>
      </x:c>
      <x:c r="AL5266" s="87" t="str">
        <x:v>statgrad_clean_continuation_v0_12(1).xlsx</x:v>
      </x:c>
      <x:c r="AM5266" s="87" t="str">
        <x:v>BIO_EGKR_952</x:v>
      </x:c>
      <x:c r="AN5266" s="87" t="n">
        <x:v>16</x:v>
      </x:c>
    </x:row>
    <x:row r="5267">
      <x:c r="A5267" s="87" t="n">
        <x:v>5266</x:v>
      </x:c>
      <x:c r="B5267" s="87" t="str">
        <x:v>EGKR-W25-BIO-952-16</x:v>
      </x:c>
      <x:c r="C5267" s="87" t="str">
        <x:v>ЕГКР</x:v>
      </x:c>
      <x:c r="D5267" s="87"/>
      <x:c r="E5267" s="87" t="str">
        <x:v>Зима 2025</x:v>
      </x:c>
      <x:c r="F5267" s="87" t="str">
        <x:v>11.12.2025</x:v>
      </x:c>
      <x:c r="G5267" s="87" t="str">
        <x:v>Биология</x:v>
      </x:c>
      <x:c r="H5267" s="87" t="n">
        <x:v>11</x:v>
      </x:c>
      <x:c r="I5267" s="87"/>
      <x:c r="J5267" s="87" t="str">
        <x:v>952</x:v>
      </x:c>
      <x:c r="K5267" s="87" t="n">
        <x:v>16</x:v>
      </x:c>
      <x:c r="L5267" s="87" t="str">
        <x:v>Последовательность</x:v>
      </x:c>
      <x:c r="M5267" s="30" t="str">
        <x:v>Установить последовательность образования и движения мочи от фильтрации до мочевого пузыря.</x:v>
      </x:c>
      <x:c r="N5267" s="30" t="str">
        <x:v>24153</x:v>
      </x:c>
      <x:c r="O5267" s="30" t="str">
        <x:v>Фильтрация → канальцы нефрона → собирательные трубочки → лоханка → мочеточник.</x:v>
      </x:c>
      <x:c r="P5267" s="30" t="str">
        <x:v>Условие проверено; ответ совпал с официальной таблицей ключей.</x:v>
      </x:c>
      <x:c r="Q5267" s="30"/>
      <x:c r="R5267" s="30"/>
      <x:c r="S5267" s="30" t="str">
        <x:v>Ключи - 952.pdf, стр. 1</x:v>
      </x:c>
      <x:c r="T5267" s="30"/>
      <x:c r="U5267" s="30" t="str">
        <x:v>Расхождений нет.</x:v>
      </x:c>
      <x:c r="V5267" s="87" t="str">
        <x:v>VERIFIED</x:v>
      </x:c>
      <x:c r="W5267" s="87"/>
      <x:c r="X5267" s="87" t="n">
        <x:v>8</x:v>
      </x:c>
      <x:c r="Y5267" s="87"/>
      <x:c r="Z5267" s="87"/>
      <x:c r="AA5267" s="87"/>
      <x:c r="AB5267" s="87"/>
      <x:c r="AC5267" s="87" t="str">
        <x:v>VIS-EGKR-BIO-W25-TASK-952-P008</x:v>
      </x:c>
      <x:c r="AD5267" s="87" t="str">
        <x:v>VIS-EGKR-BIO-W25-KEY-952-P001</x:v>
      </x:c>
      <x:c r="AE5267" s="87" t="str">
        <x:v>TASK; KEY</x:v>
      </x:c>
      <x:c r="AF5267" s="87" t="str">
        <x:v>VIS-EGKR-BIO-W25-TASK-952-P008: 8; VIS-EGKR-BIO-W25-KEY-952-P001: 1</x:v>
      </x:c>
      <x:c r="AG5267" s="87" t="str">
        <x:v>RESOLVED</x:v>
      </x:c>
      <x:c r="AH5267" s="87" t="str">
        <x:v>CROP_VERIFIED</x:v>
      </x:c>
      <x:c r="AI5267" s="30"/>
      <x:c r="AJ5267" s="87" t="str">
        <x:v>clean</x:v>
      </x:c>
      <x:c r="AK5267" s="87" t="str">
        <x:v>clean-v0.12</x:v>
      </x:c>
      <x:c r="AL5267" s="87" t="str">
        <x:v>statgrad_clean_continuation_v0_12(1).xlsx</x:v>
      </x:c>
      <x:c r="AM5267" s="87" t="str">
        <x:v>BIO_EGKR_952</x:v>
      </x:c>
      <x:c r="AN5267" s="87" t="n">
        <x:v>17</x:v>
      </x:c>
    </x:row>
    <x:row r="5268">
      <x:c r="A5268" s="87" t="n">
        <x:v>5267</x:v>
      </x:c>
      <x:c r="B5268" s="87" t="str">
        <x:v>EGKR-W25-BIO-952-17</x:v>
      </x:c>
      <x:c r="C5268" s="87" t="str">
        <x:v>ЕГКР</x:v>
      </x:c>
      <x:c r="D5268" s="87"/>
      <x:c r="E5268" s="87" t="str">
        <x:v>Зима 2025</x:v>
      </x:c>
      <x:c r="F5268" s="87" t="str">
        <x:v>11.12.2025</x:v>
      </x:c>
      <x:c r="G5268" s="87" t="str">
        <x:v>Биология</x:v>
      </x:c>
      <x:c r="H5268" s="87" t="n">
        <x:v>11</x:v>
      </x:c>
      <x:c r="I5268" s="87"/>
      <x:c r="J5268" s="87" t="str">
        <x:v>952</x:v>
      </x:c>
      <x:c r="K5268" s="87" t="n">
        <x:v>17</x:v>
      </x:c>
      <x:c r="L5268" s="87" t="str">
        <x:v>Анализ текста</x:v>
      </x:c>
      <x:c r="M5268" s="30" t="str">
        <x:v>Выбрать предложения, описывающие конвергенцию у организмов пустыни.</x:v>
      </x:c>
      <x:c r="N5268" s="30" t="str">
        <x:v>124</x:v>
      </x:c>
      <x:c r="O5268" s="30" t="str">
        <x:v>Конвергенция — независимое появление сходных признаков у неродственных групп в сходных условиях.</x:v>
      </x:c>
      <x:c r="P5268" s="30" t="str">
        <x:v>Условие проверено; ответ совпал с официальной таблицей ключей.</x:v>
      </x:c>
      <x:c r="Q5268" s="30"/>
      <x:c r="R5268" s="30"/>
      <x:c r="S5268" s="30" t="str">
        <x:v>Ключи - 952.pdf, стр. 1</x:v>
      </x:c>
      <x:c r="T5268" s="30"/>
      <x:c r="U5268" s="30" t="str">
        <x:v>Расхождений нет.</x:v>
      </x:c>
      <x:c r="V5268" s="87" t="str">
        <x:v>VERIFIED</x:v>
      </x:c>
      <x:c r="W5268" s="87"/>
      <x:c r="X5268" s="87" t="n">
        <x:v>9</x:v>
      </x:c>
      <x:c r="Y5268" s="87"/>
      <x:c r="Z5268" s="87"/>
      <x:c r="AA5268" s="87"/>
      <x:c r="AB5268" s="87"/>
      <x:c r="AC5268" s="87" t="str">
        <x:v>VIS-EGKR-BIO-W25-TASK-952-P009</x:v>
      </x:c>
      <x:c r="AD5268" s="87" t="str">
        <x:v>VIS-EGKR-BIO-W25-KEY-952-P001</x:v>
      </x:c>
      <x:c r="AE5268" s="87" t="str">
        <x:v>TASK; KEY</x:v>
      </x:c>
      <x:c r="AF5268" s="87" t="str">
        <x:v>VIS-EGKR-BIO-W25-TASK-952-P009: 9; VIS-EGKR-BIO-W25-KEY-952-P001: 1</x:v>
      </x:c>
      <x:c r="AG5268" s="87" t="str">
        <x:v>RESOLVED</x:v>
      </x:c>
      <x:c r="AH5268" s="87" t="str">
        <x:v>CROP_VERIFIED</x:v>
      </x:c>
      <x:c r="AI5268" s="30"/>
      <x:c r="AJ5268" s="87" t="str">
        <x:v>clean</x:v>
      </x:c>
      <x:c r="AK5268" s="87" t="str">
        <x:v>clean-v0.12</x:v>
      </x:c>
      <x:c r="AL5268" s="87" t="str">
        <x:v>statgrad_clean_continuation_v0_12(1).xlsx</x:v>
      </x:c>
      <x:c r="AM5268" s="87" t="str">
        <x:v>BIO_EGKR_952</x:v>
      </x:c>
      <x:c r="AN5268" s="87" t="n">
        <x:v>18</x:v>
      </x:c>
    </x:row>
    <x:row r="5269">
      <x:c r="A5269" s="87" t="n">
        <x:v>5268</x:v>
      </x:c>
      <x:c r="B5269" s="87" t="str">
        <x:v>EGKR-W25-BIO-952-18</x:v>
      </x:c>
      <x:c r="C5269" s="87" t="str">
        <x:v>ЕГКР</x:v>
      </x:c>
      <x:c r="D5269" s="87"/>
      <x:c r="E5269" s="87" t="str">
        <x:v>Зима 2025</x:v>
      </x:c>
      <x:c r="F5269" s="87" t="str">
        <x:v>11.12.2025</x:v>
      </x:c>
      <x:c r="G5269" s="87" t="str">
        <x:v>Биология</x:v>
      </x:c>
      <x:c r="H5269" s="87" t="n">
        <x:v>11</x:v>
      </x:c>
      <x:c r="I5269" s="87"/>
      <x:c r="J5269" s="87" t="str">
        <x:v>952</x:v>
      </x:c>
      <x:c r="K5269" s="87" t="n">
        <x:v>18</x:v>
      </x:c>
      <x:c r="L5269" s="87" t="str">
        <x:v>Множественный выбор</x:v>
      </x:c>
      <x:c r="M5269" s="30" t="str">
        <x:v>Выбрать антропогенные экологические факторы.</x:v>
      </x:c>
      <x:c r="N5269" s="30" t="str">
        <x:v>246</x:v>
      </x:c>
      <x:c r="O5269" s="30" t="str">
        <x:v>Селекция, интродукция и загрязнение вызваны деятельностью человека.</x:v>
      </x:c>
      <x:c r="P5269" s="30" t="str">
        <x:v>Условие проверено; ответ совпал с официальной таблицей ключей.</x:v>
      </x:c>
      <x:c r="Q5269" s="30"/>
      <x:c r="R5269" s="30"/>
      <x:c r="S5269" s="30" t="str">
        <x:v>Ключи - 952.pdf, стр. 1</x:v>
      </x:c>
      <x:c r="T5269" s="30"/>
      <x:c r="U5269" s="30" t="str">
        <x:v>Расхождений нет.</x:v>
      </x:c>
      <x:c r="V5269" s="87" t="str">
        <x:v>VERIFIED</x:v>
      </x:c>
      <x:c r="W5269" s="87"/>
      <x:c r="X5269" s="87" t="n">
        <x:v>9</x:v>
      </x:c>
      <x:c r="Y5269" s="87"/>
      <x:c r="Z5269" s="87"/>
      <x:c r="AA5269" s="87"/>
      <x:c r="AB5269" s="87"/>
      <x:c r="AC5269" s="87" t="str">
        <x:v>VIS-EGKR-BIO-W25-TASK-952-P009</x:v>
      </x:c>
      <x:c r="AD5269" s="87" t="str">
        <x:v>VIS-EGKR-BIO-W25-KEY-952-P001</x:v>
      </x:c>
      <x:c r="AE5269" s="87" t="str">
        <x:v>TASK; KEY</x:v>
      </x:c>
      <x:c r="AF5269" s="87" t="str">
        <x:v>VIS-EGKR-BIO-W25-TASK-952-P009: 9; VIS-EGKR-BIO-W25-KEY-952-P001: 1</x:v>
      </x:c>
      <x:c r="AG5269" s="87" t="str">
        <x:v>RESOLVED</x:v>
      </x:c>
      <x:c r="AH5269" s="87" t="str">
        <x:v>CROP_VERIFIED</x:v>
      </x:c>
      <x:c r="AI5269" s="30"/>
      <x:c r="AJ5269" s="87" t="str">
        <x:v>clean</x:v>
      </x:c>
      <x:c r="AK5269" s="87" t="str">
        <x:v>clean-v0.12</x:v>
      </x:c>
      <x:c r="AL5269" s="87" t="str">
        <x:v>statgrad_clean_continuation_v0_12(1).xlsx</x:v>
      </x:c>
      <x:c r="AM5269" s="87" t="str">
        <x:v>BIO_EGKR_952</x:v>
      </x:c>
      <x:c r="AN5269" s="87" t="n">
        <x:v>19</x:v>
      </x:c>
    </x:row>
    <x:row r="5270">
      <x:c r="A5270" s="87" t="n">
        <x:v>5269</x:v>
      </x:c>
      <x:c r="B5270" s="87" t="str">
        <x:v>EGKR-W25-BIO-952-19</x:v>
      </x:c>
      <x:c r="C5270" s="87" t="str">
        <x:v>ЕГКР</x:v>
      </x:c>
      <x:c r="D5270" s="87"/>
      <x:c r="E5270" s="87" t="str">
        <x:v>Зима 2025</x:v>
      </x:c>
      <x:c r="F5270" s="87" t="str">
        <x:v>11.12.2025</x:v>
      </x:c>
      <x:c r="G5270" s="87" t="str">
        <x:v>Биология</x:v>
      </x:c>
      <x:c r="H5270" s="87" t="n">
        <x:v>11</x:v>
      </x:c>
      <x:c r="I5270" s="87"/>
      <x:c r="J5270" s="87" t="str">
        <x:v>952</x:v>
      </x:c>
      <x:c r="K5270" s="87" t="n">
        <x:v>19</x:v>
      </x:c>
      <x:c r="L5270" s="87" t="str">
        <x:v>Соответствие</x:v>
      </x:c>
      <x:c r="M5270" s="30" t="str">
        <x:v>Соотнести примеры с естественным и искусственным отбором.</x:v>
      </x:c>
      <x:c r="N5270" s="30" t="str">
        <x:v>221211</x:v>
      </x:c>
      <x:c r="O5270" s="30" t="str">
        <x:v>Селекционные действия относятся к искусственному отбору, природные изменения — к естественному.</x:v>
      </x:c>
      <x:c r="P5270" s="30" t="str">
        <x:v>Условие проверено; ответ совпал с официальной таблицей ключей.</x:v>
      </x:c>
      <x:c r="Q5270" s="30"/>
      <x:c r="R5270" s="30"/>
      <x:c r="S5270" s="30" t="str">
        <x:v>Ключи - 952.pdf, стр. 1</x:v>
      </x:c>
      <x:c r="T5270" s="30"/>
      <x:c r="U5270" s="30" t="str">
        <x:v>Расхождений нет.</x:v>
      </x:c>
      <x:c r="V5270" s="87" t="str">
        <x:v>VERIFIED</x:v>
      </x:c>
      <x:c r="W5270" s="87"/>
      <x:c r="X5270" s="87" t="n">
        <x:v>10</x:v>
      </x:c>
      <x:c r="Y5270" s="87"/>
      <x:c r="Z5270" s="87"/>
      <x:c r="AA5270" s="87"/>
      <x:c r="AB5270" s="87"/>
      <x:c r="AC5270" s="87" t="str">
        <x:v>VIS-EGKR-BIO-W25-TASK-952-P010</x:v>
      </x:c>
      <x:c r="AD5270" s="87" t="str">
        <x:v>VIS-EGKR-BIO-W25-KEY-952-P001</x:v>
      </x:c>
      <x:c r="AE5270" s="87" t="str">
        <x:v>TASK; KEY</x:v>
      </x:c>
      <x:c r="AF5270" s="87" t="str">
        <x:v>VIS-EGKR-BIO-W25-TASK-952-P010: 10; VIS-EGKR-BIO-W25-KEY-952-P001: 1</x:v>
      </x:c>
      <x:c r="AG5270" s="87" t="str">
        <x:v>RESOLVED</x:v>
      </x:c>
      <x:c r="AH5270" s="87" t="str">
        <x:v>CROP_VERIFIED</x:v>
      </x:c>
      <x:c r="AI5270" s="30"/>
      <x:c r="AJ5270" s="87" t="str">
        <x:v>clean</x:v>
      </x:c>
      <x:c r="AK5270" s="87" t="str">
        <x:v>clean-v0.12</x:v>
      </x:c>
      <x:c r="AL5270" s="87" t="str">
        <x:v>statgrad_clean_continuation_v0_12(1).xlsx</x:v>
      </x:c>
      <x:c r="AM5270" s="87" t="str">
        <x:v>BIO_EGKR_952</x:v>
      </x:c>
      <x:c r="AN5270" s="87" t="n">
        <x:v>20</x:v>
      </x:c>
    </x:row>
    <x:row r="5271">
      <x:c r="A5271" s="87" t="n">
        <x:v>5270</x:v>
      </x:c>
      <x:c r="B5271" s="87" t="str">
        <x:v>EGKR-W25-BIO-952-20</x:v>
      </x:c>
      <x:c r="C5271" s="87" t="str">
        <x:v>ЕГКР</x:v>
      </x:c>
      <x:c r="D5271" s="87"/>
      <x:c r="E5271" s="87" t="str">
        <x:v>Зима 2025</x:v>
      </x:c>
      <x:c r="F5271" s="87" t="str">
        <x:v>11.12.2025</x:v>
      </x:c>
      <x:c r="G5271" s="87" t="str">
        <x:v>Биология</x:v>
      </x:c>
      <x:c r="H5271" s="87" t="n">
        <x:v>11</x:v>
      </x:c>
      <x:c r="I5271" s="87"/>
      <x:c r="J5271" s="87" t="str">
        <x:v>952</x:v>
      </x:c>
      <x:c r="K5271" s="87" t="n">
        <x:v>20</x:v>
      </x:c>
      <x:c r="L5271" s="87" t="str">
        <x:v>Заполнение таблицы</x:v>
      </x:c>
      <x:c r="M5271" s="30" t="str">
        <x:v>Заполнить пропуски в таблице «Развитие жизни на Земле»: эра, период и господствующие группы.</x:v>
      </x:c>
      <x:c r="N5271" s="30" t="str">
        <x:v>246</x:v>
      </x:c>
      <x:c r="O5271" s="30" t="str">
        <x:v>Девон относится к палеозою, в мезозое указан юрский период, в антропогене — современная флора и фауна.</x:v>
      </x:c>
      <x:c r="P5271" s="30" t="str">
        <x:v>Условие проверено; ответ совпал с официальной таблицей ключей.</x:v>
      </x:c>
      <x:c r="Q5271" s="30"/>
      <x:c r="R5271" s="30"/>
      <x:c r="S5271" s="30" t="str">
        <x:v>Ключи - 952.pdf, стр. 1</x:v>
      </x:c>
      <x:c r="T5271" s="30"/>
      <x:c r="U5271" s="30" t="str">
        <x:v>Расхождений нет.</x:v>
      </x:c>
      <x:c r="V5271" s="87" t="str">
        <x:v>VERIFIED</x:v>
      </x:c>
      <x:c r="W5271" s="87"/>
      <x:c r="X5271" s="87" t="n">
        <x:v>10</x:v>
      </x:c>
      <x:c r="Y5271" s="87"/>
      <x:c r="Z5271" s="87"/>
      <x:c r="AA5271" s="87"/>
      <x:c r="AB5271" s="87"/>
      <x:c r="AC5271" s="87" t="str">
        <x:v>VIS-EGKR-BIO-W25-TASK-952-P010</x:v>
      </x:c>
      <x:c r="AD5271" s="87" t="str">
        <x:v>VIS-EGKR-BIO-W25-KEY-952-P001</x:v>
      </x:c>
      <x:c r="AE5271" s="87" t="str">
        <x:v>TASK; KEY</x:v>
      </x:c>
      <x:c r="AF5271" s="87" t="str">
        <x:v>VIS-EGKR-BIO-W25-TASK-952-P010: 10; VIS-EGKR-BIO-W25-KEY-952-P001: 1</x:v>
      </x:c>
      <x:c r="AG5271" s="87" t="str">
        <x:v>RESOLVED</x:v>
      </x:c>
      <x:c r="AH5271" s="87" t="str">
        <x:v>CROP_VERIFIED</x:v>
      </x:c>
      <x:c r="AI5271" s="30"/>
      <x:c r="AJ5271" s="87" t="str">
        <x:v>clean</x:v>
      </x:c>
      <x:c r="AK5271" s="87" t="str">
        <x:v>clean-v0.12</x:v>
      </x:c>
      <x:c r="AL5271" s="87" t="str">
        <x:v>statgrad_clean_continuation_v0_12(1).xlsx</x:v>
      </x:c>
      <x:c r="AM5271" s="87" t="str">
        <x:v>BIO_EGKR_952</x:v>
      </x:c>
      <x:c r="AN5271" s="87" t="n">
        <x:v>21</x:v>
      </x:c>
    </x:row>
    <x:row r="5272">
      <x:c r="A5272" s="87" t="n">
        <x:v>5271</x:v>
      </x:c>
      <x:c r="B5272" s="87" t="str">
        <x:v>EGKR-W25-BIO-952-21</x:v>
      </x:c>
      <x:c r="C5272" s="87" t="str">
        <x:v>ЕГКР</x:v>
      </x:c>
      <x:c r="D5272" s="87"/>
      <x:c r="E5272" s="87" t="str">
        <x:v>Зима 2025</x:v>
      </x:c>
      <x:c r="F5272" s="87" t="str">
        <x:v>11.12.2025</x:v>
      </x:c>
      <x:c r="G5272" s="87" t="str">
        <x:v>Биология</x:v>
      </x:c>
      <x:c r="H5272" s="87" t="n">
        <x:v>11</x:v>
      </x:c>
      <x:c r="I5272" s="87"/>
      <x:c r="J5272" s="87" t="str">
        <x:v>952</x:v>
      </x:c>
      <x:c r="K5272" s="87" t="n">
        <x:v>21</x:v>
      </x:c>
      <x:c r="L5272" s="87" t="str">
        <x:v>Анализ данных</x:v>
      </x:c>
      <x:c r="M5272" s="30" t="str">
        <x:v>По диаграмме влияния Helicobacter и мутации на проявления гепатита у мышей выбрать обоснованные выводы.</x:v>
      </x:c>
      <x:c r="N5272" s="30" t="str">
        <x:v>25</x:v>
      </x:c>
      <x:c r="O5272" s="30" t="str">
        <x:v>Выводы 2 и 5 непосредственно следуют из сравнения экспериментальных групп.</x:v>
      </x:c>
      <x:c r="P5272" s="30" t="str">
        <x:v>Условие проверено; ответ совпал с официальной таблицей ключей.</x:v>
      </x:c>
      <x:c r="Q5272" s="30"/>
      <x:c r="R5272" s="30"/>
      <x:c r="S5272" s="30" t="str">
        <x:v>Ключи - 952.pdf, стр. 1</x:v>
      </x:c>
      <x:c r="T5272" s="30"/>
      <x:c r="U5272" s="30" t="str">
        <x:v>Расхождений нет.</x:v>
      </x:c>
      <x:c r="V5272" s="87" t="str">
        <x:v>VERIFIED</x:v>
      </x:c>
      <x:c r="W5272" s="87"/>
      <x:c r="X5272" s="87" t="n">
        <x:v>11</x:v>
      </x:c>
      <x:c r="Y5272" s="87"/>
      <x:c r="Z5272" s="87"/>
      <x:c r="AA5272" s="87"/>
      <x:c r="AB5272" s="87"/>
      <x:c r="AC5272" s="87" t="str">
        <x:v>VIS-EGKR-BIO-W25-TASK-952-P011</x:v>
      </x:c>
      <x:c r="AD5272" s="87" t="str">
        <x:v>VIS-EGKR-BIO-W25-KEY-952-P001</x:v>
      </x:c>
      <x:c r="AE5272" s="87" t="str">
        <x:v>TASK; KEY</x:v>
      </x:c>
      <x:c r="AF5272" s="87" t="str">
        <x:v>VIS-EGKR-BIO-W25-TASK-952-P011: 11; VIS-EGKR-BIO-W25-KEY-952-P001: 1</x:v>
      </x:c>
      <x:c r="AG5272" s="87" t="str">
        <x:v>RESOLVED</x:v>
      </x:c>
      <x:c r="AH5272" s="87" t="str">
        <x:v>CROP_VERIFIED; TASK_CROP_QA_APPROVED:USE_CONTEXT</x:v>
      </x:c>
      <x:c r="AI5272" s="30"/>
      <x:c r="AJ5272" s="87" t="str">
        <x:v>clean</x:v>
      </x:c>
      <x:c r="AK5272" s="87" t="str">
        <x:v>clean-v0.12</x:v>
      </x:c>
      <x:c r="AL5272" s="87" t="str">
        <x:v>statgrad_clean_continuation_v0_12(1).xlsx</x:v>
      </x:c>
      <x:c r="AM5272" s="87" t="str">
        <x:v>BIO_EGKR_952</x:v>
      </x:c>
      <x:c r="AN5272" s="87" t="n">
        <x:v>22</x:v>
      </x:c>
    </x:row>
    <x:row r="5273">
      <x:c r="A5273" s="87" t="n">
        <x:v>5272</x:v>
      </x:c>
      <x:c r="B5273" s="87" t="str">
        <x:v>EGKR-W25-BIO-952-22</x:v>
      </x:c>
      <x:c r="C5273" s="87" t="str">
        <x:v>ЕГКР</x:v>
      </x:c>
      <x:c r="D5273" s="87"/>
      <x:c r="E5273" s="87" t="str">
        <x:v>Зима 2025</x:v>
      </x:c>
      <x:c r="F5273" s="87" t="str">
        <x:v>11.12.2025</x:v>
      </x:c>
      <x:c r="G5273" s="87" t="str">
        <x:v>Биология</x:v>
      </x:c>
      <x:c r="H5273" s="87" t="n">
        <x:v>11</x:v>
      </x:c>
      <x:c r="I5273" s="87"/>
      <x:c r="J5273" s="87" t="str">
        <x:v>952</x:v>
      </x:c>
      <x:c r="K5273" s="87" t="n">
        <x:v>22</x:v>
      </x:c>
      <x:c r="L5273" s="87" t="str">
        <x:v>Развёрнутый ответ</x:v>
      </x:c>
      <x:c r="M5273" s="30" t="str">
        <x:v>Эксперимент с проростками овса в растворах Кнопа и Гельригеля: определить независимую и зависимую переменные, условия и цель отрицательного контроля.</x:v>
      </x:c>
      <x:c r="N5273" s="30" t="str">
        <x:v>Независимая переменная — тип/состав раствора (или время пребывания); зависимая — тургор листьев. Контрольные растения оставляют в питьевой воде при тех же виде, возрасте, температуре и освещении. Контроль показывает, вызваны ли изменения именно раствором, а не иными факторами.</x:v>
      </x:c>
      <x:c r="O5273" s="30" t="str">
        <x:v>Модель включает обязательные элементы официального критерия.</x:v>
      </x:c>
      <x:c r="P5273" s="30" t="str">
        <x:v>Условие и элементы ответа сверены с официальными критериями ФИПИ.</x:v>
      </x:c>
      <x:c r="Q5273" s="30"/>
      <x:c r="R5273" s="30"/>
      <x:c r="S5273" s="30" t="str">
        <x:v>kriterii_EGKR_12_25.pdf, физ. стр. 6</x:v>
      </x:c>
      <x:c r="T5273" s="30"/>
      <x:c r="U5273" s="30" t="str">
        <x:v>Расхождений нет.</x:v>
      </x:c>
      <x:c r="V5273" s="87" t="str">
        <x:v>VERIFIED</x:v>
      </x:c>
      <x:c r="W5273" s="87"/>
      <x:c r="X5273" s="87" t="n">
        <x:v>12</x:v>
      </x:c>
      <x:c r="Y5273" s="87"/>
      <x:c r="Z5273" s="87"/>
      <x:c r="AA5273" s="87"/>
      <x:c r="AB5273" s="87"/>
      <x:c r="AC5273" s="87" t="str">
        <x:v>VIS-EGKR-BIO-W25-TASK-952-P012</x:v>
      </x:c>
      <x:c r="AD5273" s="87" t="str">
        <x:v>VIS-EGKR-BIO-W25-CRIT-P006</x:v>
      </x:c>
      <x:c r="AE5273" s="87" t="str">
        <x:v>TASK; CRITERIA</x:v>
      </x:c>
      <x:c r="AF5273" s="87" t="str">
        <x:v>VIS-EGKR-BIO-W25-TASK-952-P012: 12; VIS-EGKR-BIO-W25-CRIT-P006: 6</x:v>
      </x:c>
      <x:c r="AG5273" s="87" t="str">
        <x:v>RESOLVED</x:v>
      </x:c>
      <x:c r="AH5273" s="87" t="str">
        <x:v>CROP_VERIFIED</x:v>
      </x:c>
      <x:c r="AI5273" s="30"/>
      <x:c r="AJ5273" s="87" t="str">
        <x:v>clean</x:v>
      </x:c>
      <x:c r="AK5273" s="87" t="str">
        <x:v>clean-v0.12</x:v>
      </x:c>
      <x:c r="AL5273" s="87" t="str">
        <x:v>statgrad_clean_continuation_v0_12(1).xlsx</x:v>
      </x:c>
      <x:c r="AM5273" s="87" t="str">
        <x:v>BIO_EGKR_952</x:v>
      </x:c>
      <x:c r="AN5273" s="87" t="n">
        <x:v>23</x:v>
      </x:c>
    </x:row>
    <x:row r="5274">
      <x:c r="A5274" s="87" t="n">
        <x:v>5273</x:v>
      </x:c>
      <x:c r="B5274" s="87" t="str">
        <x:v>EGKR-W25-BIO-952-23</x:v>
      </x:c>
      <x:c r="C5274" s="87" t="str">
        <x:v>ЕГКР</x:v>
      </x:c>
      <x:c r="D5274" s="87"/>
      <x:c r="E5274" s="87" t="str">
        <x:v>Зима 2025</x:v>
      </x:c>
      <x:c r="F5274" s="87" t="str">
        <x:v>11.12.2025</x:v>
      </x:c>
      <x:c r="G5274" s="87" t="str">
        <x:v>Биология</x:v>
      </x:c>
      <x:c r="H5274" s="87" t="n">
        <x:v>11</x:v>
      </x:c>
      <x:c r="I5274" s="87"/>
      <x:c r="J5274" s="87" t="str">
        <x:v>952</x:v>
      </x:c>
      <x:c r="K5274" s="87" t="n">
        <x:v>23</x:v>
      </x:c>
      <x:c r="L5274" s="87" t="str">
        <x:v>Развёрнутый ответ</x:v>
      </x:c>
      <x:c r="M5274" s="30" t="str">
        <x:v>Объяснить падение и восстановление тургора и более сильное снижение в растворе Кнопа.</x:v>
      </x:c>
      <x:c r="N5274" s="30" t="str">
        <x:v>Питательные растворы гипертоничнее питьевой воды, поэтому клетки сначала теряют воду и тургор падает. После осмотической адаптации вода вновь поступает и тургор восстанавливается. Раствор Кнопа содержит больше солей, поэтому осмотический градиент и начальное падение тургора больше.</x:v>
      </x:c>
      <x:c r="O5274" s="30" t="str">
        <x:v>Модель включает обязательные элементы официального критерия.</x:v>
      </x:c>
      <x:c r="P5274" s="30" t="str">
        <x:v>Условие и элементы ответа сверены с официальными критериями ФИПИ.</x:v>
      </x:c>
      <x:c r="Q5274" s="30"/>
      <x:c r="R5274" s="30"/>
      <x:c r="S5274" s="30" t="str">
        <x:v>kriterii_EGKR_12_25.pdf, физ. стр. 7</x:v>
      </x:c>
      <x:c r="T5274" s="30"/>
      <x:c r="U5274" s="30" t="str">
        <x:v>Расхождений нет.</x:v>
      </x:c>
      <x:c r="V5274" s="87" t="str">
        <x:v>VERIFIED</x:v>
      </x:c>
      <x:c r="W5274" s="87"/>
      <x:c r="X5274" s="87" t="n">
        <x:v>12</x:v>
      </x:c>
      <x:c r="Y5274" s="87"/>
      <x:c r="Z5274" s="87"/>
      <x:c r="AA5274" s="87"/>
      <x:c r="AB5274" s="87"/>
      <x:c r="AC5274" s="87" t="str">
        <x:v>VIS-EGKR-BIO-W25-TASK-952-P012</x:v>
      </x:c>
      <x:c r="AD5274" s="87" t="str">
        <x:v>VIS-EGKR-BIO-W25-CRIT-P007</x:v>
      </x:c>
      <x:c r="AE5274" s="87" t="str">
        <x:v>TASK; CRITERIA</x:v>
      </x:c>
      <x:c r="AF5274" s="87" t="str">
        <x:v>VIS-EGKR-BIO-W25-TASK-952-P012: 12; VIS-EGKR-BIO-W25-CRIT-P007: 7</x:v>
      </x:c>
      <x:c r="AG5274" s="87" t="str">
        <x:v>RESOLVED</x:v>
      </x:c>
      <x:c r="AH5274" s="87" t="str">
        <x:v>CROP_VERIFIED</x:v>
      </x:c>
      <x:c r="AI5274" s="30"/>
      <x:c r="AJ5274" s="87" t="str">
        <x:v>clean</x:v>
      </x:c>
      <x:c r="AK5274" s="87" t="str">
        <x:v>clean-v0.12</x:v>
      </x:c>
      <x:c r="AL5274" s="87" t="str">
        <x:v>statgrad_clean_continuation_v0_12(1).xlsx</x:v>
      </x:c>
      <x:c r="AM5274" s="87" t="str">
        <x:v>BIO_EGKR_952</x:v>
      </x:c>
      <x:c r="AN5274" s="87" t="n">
        <x:v>24</x:v>
      </x:c>
    </x:row>
    <x:row r="5275">
      <x:c r="A5275" s="87" t="n">
        <x:v>5274</x:v>
      </x:c>
      <x:c r="B5275" s="87" t="str">
        <x:v>EGKR-W25-BIO-952-24</x:v>
      </x:c>
      <x:c r="C5275" s="87" t="str">
        <x:v>ЕГКР</x:v>
      </x:c>
      <x:c r="D5275" s="87"/>
      <x:c r="E5275" s="87" t="str">
        <x:v>Зима 2025</x:v>
      </x:c>
      <x:c r="F5275" s="87" t="str">
        <x:v>11.12.2025</x:v>
      </x:c>
      <x:c r="G5275" s="87" t="str">
        <x:v>Биология</x:v>
      </x:c>
      <x:c r="H5275" s="87" t="n">
        <x:v>11</x:v>
      </x:c>
      <x:c r="I5275" s="87"/>
      <x:c r="J5275" s="87" t="str">
        <x:v>952</x:v>
      </x:c>
      <x:c r="K5275" s="87" t="n">
        <x:v>24</x:v>
      </x:c>
      <x:c r="L5275" s="87" t="str">
        <x:v>Развёрнутый ответ</x:v>
      </x:c>
      <x:c r="M5275" s="30" t="str">
        <x:v>По отпечатку животного возрастом 415–360 млн лет определить эру, период, тип и диагностические признаки.</x:v>
      </x:c>
      <x:c r="N5275" s="30" t="str">
        <x:v>Палеозойская эра, девонский период; тип Членистоногие. Признаки: сегментированное тело с крупными отделами и членистые конечности.</x:v>
      </x:c>
      <x:c r="O5275" s="30" t="str">
        <x:v>Модель включает обязательные элементы официального критерия.</x:v>
      </x:c>
      <x:c r="P5275" s="30" t="str">
        <x:v>Условие и элементы ответа сверены с официальными критериями ФИПИ.</x:v>
      </x:c>
      <x:c r="Q5275" s="30"/>
      <x:c r="R5275" s="30"/>
      <x:c r="S5275" s="30" t="str">
        <x:v>kriterii_EGKR_12_25.pdf, физ. стр. 7–8</x:v>
      </x:c>
      <x:c r="T5275" s="30"/>
      <x:c r="U5275" s="30" t="str">
        <x:v>Расхождений нет.</x:v>
      </x:c>
      <x:c r="V5275" s="87" t="str">
        <x:v>VERIFIED</x:v>
      </x:c>
      <x:c r="W5275" s="87"/>
      <x:c r="X5275" s="87" t="n">
        <x:v>13</x:v>
      </x:c>
      <x:c r="Y5275" s="87"/>
      <x:c r="Z5275" s="87"/>
      <x:c r="AA5275" s="87"/>
      <x:c r="AB5275" s="87"/>
      <x:c r="AC5275" s="87" t="str">
        <x:v>VIS-EGKR-BIO-W25-TASK-952-P013</x:v>
      </x:c>
      <x:c r="AD5275" s="87" t="str">
        <x:v>VIS-EGKR-BIO-W25-CRIT-P007; VIS-EGKR-BIO-W25-CRIT-P008</x:v>
      </x:c>
      <x:c r="AE5275" s="87" t="str">
        <x:v>TASK; CRITERIA</x:v>
      </x:c>
      <x:c r="AF5275" s="87" t="str">
        <x:v>VIS-EGKR-BIO-W25-TASK-952-P013: 13; VIS-EGKR-BIO-W25-CRIT-P007: 7; VIS-EGKR-BIO-W25-CRIT-P008: 8</x:v>
      </x:c>
      <x:c r="AG5275" s="87" t="str">
        <x:v>RESOLVED</x:v>
      </x:c>
      <x:c r="AH5275" s="87" t="str">
        <x:v>CROP_VERIFIED</x:v>
      </x:c>
      <x:c r="AI5275" s="30"/>
      <x:c r="AJ5275" s="87" t="str">
        <x:v>clean</x:v>
      </x:c>
      <x:c r="AK5275" s="87" t="str">
        <x:v>clean-v0.12</x:v>
      </x:c>
      <x:c r="AL5275" s="87" t="str">
        <x:v>statgrad_clean_continuation_v0_12(1).xlsx</x:v>
      </x:c>
      <x:c r="AM5275" s="87" t="str">
        <x:v>BIO_EGKR_952</x:v>
      </x:c>
      <x:c r="AN5275" s="87" t="n">
        <x:v>25</x:v>
      </x:c>
    </x:row>
    <x:row r="5276">
      <x:c r="A5276" s="87" t="n">
        <x:v>5275</x:v>
      </x:c>
      <x:c r="B5276" s="87" t="str">
        <x:v>EGKR-W25-BIO-952-25</x:v>
      </x:c>
      <x:c r="C5276" s="87" t="str">
        <x:v>ЕГКР</x:v>
      </x:c>
      <x:c r="D5276" s="87"/>
      <x:c r="E5276" s="87" t="str">
        <x:v>Зима 2025</x:v>
      </x:c>
      <x:c r="F5276" s="87" t="str">
        <x:v>11.12.2025</x:v>
      </x:c>
      <x:c r="G5276" s="87" t="str">
        <x:v>Биология</x:v>
      </x:c>
      <x:c r="H5276" s="87" t="n">
        <x:v>11</x:v>
      </x:c>
      <x:c r="I5276" s="87"/>
      <x:c r="J5276" s="87" t="str">
        <x:v>952</x:v>
      </x:c>
      <x:c r="K5276" s="87" t="n">
        <x:v>25</x:v>
      </x:c>
      <x:c r="L5276" s="87" t="str">
        <x:v>Развёрнутый ответ</x:v>
      </x:c>
      <x:c r="M5276" s="30" t="str">
        <x:v>Объяснить сокращение изолированного сердца, его редкую работу в покое, нервную регуляцию и дополнительные факторы.</x:v>
      </x:c>
      <x:c r="N5276" s="30" t="str">
        <x:v>Свойство называется автоматией; импульсы возникают в клетках узлов автоматии. В покое парасимпатическая система замедляет сердце, симпатическая — учащает. Дополнительно влияют гормоны, ионы и другие биологически активные вещества.</x:v>
      </x:c>
      <x:c r="O5276" s="30" t="str">
        <x:v>Модель включает обязательные элементы официального критерия.</x:v>
      </x:c>
      <x:c r="P5276" s="30" t="str">
        <x:v>Условие и элементы ответа сверены с официальными критериями ФИПИ.</x:v>
      </x:c>
      <x:c r="Q5276" s="30"/>
      <x:c r="R5276" s="30"/>
      <x:c r="S5276" s="30" t="str">
        <x:v>kriterii_EGKR_12_25.pdf, физ. стр. 8</x:v>
      </x:c>
      <x:c r="T5276" s="30"/>
      <x:c r="U5276" s="30" t="str">
        <x:v>Расхождений нет.</x:v>
      </x:c>
      <x:c r="V5276" s="87" t="str">
        <x:v>VERIFIED</x:v>
      </x:c>
      <x:c r="W5276" s="87"/>
      <x:c r="X5276" s="87" t="n">
        <x:v>13</x:v>
      </x:c>
      <x:c r="Y5276" s="87"/>
      <x:c r="Z5276" s="87"/>
      <x:c r="AA5276" s="87"/>
      <x:c r="AB5276" s="87"/>
      <x:c r="AC5276" s="87" t="str">
        <x:v>VIS-EGKR-BIO-W25-TASK-952-P013</x:v>
      </x:c>
      <x:c r="AD5276" s="87" t="str">
        <x:v>VIS-EGKR-BIO-W25-CRIT-P008</x:v>
      </x:c>
      <x:c r="AE5276" s="87" t="str">
        <x:v>TASK; CRITERIA</x:v>
      </x:c>
      <x:c r="AF5276" s="87" t="str">
        <x:v>VIS-EGKR-BIO-W25-TASK-952-P013: 13; VIS-EGKR-BIO-W25-CRIT-P008: 8</x:v>
      </x:c>
      <x:c r="AG5276" s="87" t="str">
        <x:v>RESOLVED</x:v>
      </x:c>
      <x:c r="AH5276" s="87" t="str">
        <x:v>CROP_VERIFIED</x:v>
      </x:c>
      <x:c r="AI5276" s="30"/>
      <x:c r="AJ5276" s="87" t="str">
        <x:v>clean</x:v>
      </x:c>
      <x:c r="AK5276" s="87" t="str">
        <x:v>clean-v0.12</x:v>
      </x:c>
      <x:c r="AL5276" s="87" t="str">
        <x:v>statgrad_clean_continuation_v0_12(1).xlsx</x:v>
      </x:c>
      <x:c r="AM5276" s="87" t="str">
        <x:v>BIO_EGKR_952</x:v>
      </x:c>
      <x:c r="AN5276" s="87" t="n">
        <x:v>26</x:v>
      </x:c>
    </x:row>
    <x:row r="5277">
      <x:c r="A5277" s="87" t="n">
        <x:v>5276</x:v>
      </x:c>
      <x:c r="B5277" s="87" t="str">
        <x:v>EGKR-W25-BIO-952-26</x:v>
      </x:c>
      <x:c r="C5277" s="87" t="str">
        <x:v>ЕГКР</x:v>
      </x:c>
      <x:c r="D5277" s="87"/>
      <x:c r="E5277" s="87" t="str">
        <x:v>Зима 2025</x:v>
      </x:c>
      <x:c r="F5277" s="87" t="str">
        <x:v>11.12.2025</x:v>
      </x:c>
      <x:c r="G5277" s="87" t="str">
        <x:v>Биология</x:v>
      </x:c>
      <x:c r="H5277" s="87" t="n">
        <x:v>11</x:v>
      </x:c>
      <x:c r="I5277" s="87"/>
      <x:c r="J5277" s="87" t="str">
        <x:v>952</x:v>
      </x:c>
      <x:c r="K5277" s="87" t="n">
        <x:v>26</x:v>
      </x:c>
      <x:c r="L5277" s="87" t="str">
        <x:v>Развёрнутый ответ</x:v>
      </x:c>
      <x:c r="M5277" s="30" t="str">
        <x:v>Пример кольцевого вида зеленоватой камышёвки вокруг Тибетского плато: определить тип видообразования и объяснить скрещивание соседних подвидов.</x:v>
      </x:c>
      <x:c r="N5277" s="30" t="str">
        <x:v>Это географическое (аллопатрическое) видообразование. Между соседними популяциями сохраняются миграция и поток генов, значимые различия не накапливаются и репродуктивная изоляция отсутствует.</x:v>
      </x:c>
      <x:c r="O5277" s="30" t="str">
        <x:v>Модель включает обязательные элементы официального критерия.</x:v>
      </x:c>
      <x:c r="P5277" s="30" t="str">
        <x:v>Условие и элементы ответа сверены с официальными критериями ФИПИ.</x:v>
      </x:c>
      <x:c r="Q5277" s="30"/>
      <x:c r="R5277" s="30"/>
      <x:c r="S5277" s="30" t="str">
        <x:v>kriterii_EGKR_12_25.pdf, физ. стр. 9</x:v>
      </x:c>
      <x:c r="T5277" s="30"/>
      <x:c r="U5277" s="30" t="str">
        <x:v>Расхождений нет.</x:v>
      </x:c>
      <x:c r="V5277" s="87" t="str">
        <x:v>VERIFIED</x:v>
      </x:c>
      <x:c r="W5277" s="87"/>
      <x:c r="X5277" s="87" t="n">
        <x:v>14</x:v>
      </x:c>
      <x:c r="Y5277" s="87"/>
      <x:c r="Z5277" s="87"/>
      <x:c r="AA5277" s="87"/>
      <x:c r="AB5277" s="87"/>
      <x:c r="AC5277" s="87" t="str">
        <x:v>VIS-EGKR-BIO-W25-TASK-952-P014</x:v>
      </x:c>
      <x:c r="AD5277" s="87" t="str">
        <x:v>VIS-EGKR-BIO-W25-CRIT-P009</x:v>
      </x:c>
      <x:c r="AE5277" s="87" t="str">
        <x:v>TASK; CRITERIA</x:v>
      </x:c>
      <x:c r="AF5277" s="87" t="str">
        <x:v>VIS-EGKR-BIO-W25-TASK-952-P014: 14; VIS-EGKR-BIO-W25-CRIT-P009: 9</x:v>
      </x:c>
      <x:c r="AG5277" s="87" t="str">
        <x:v>RESOLVED</x:v>
      </x:c>
      <x:c r="AH5277" s="87" t="str">
        <x:v>CROP_VERIFIED</x:v>
      </x:c>
      <x:c r="AI5277" s="30"/>
      <x:c r="AJ5277" s="87" t="str">
        <x:v>clean</x:v>
      </x:c>
      <x:c r="AK5277" s="87" t="str">
        <x:v>clean-v0.12</x:v>
      </x:c>
      <x:c r="AL5277" s="87" t="str">
        <x:v>statgrad_clean_continuation_v0_12(1).xlsx</x:v>
      </x:c>
      <x:c r="AM5277" s="87" t="str">
        <x:v>BIO_EGKR_952</x:v>
      </x:c>
      <x:c r="AN5277" s="87" t="n">
        <x:v>27</x:v>
      </x:c>
    </x:row>
    <x:row r="5278">
      <x:c r="A5278" s="87" t="n">
        <x:v>5277</x:v>
      </x:c>
      <x:c r="B5278" s="87" t="str">
        <x:v>EGKR-W25-BIO-952-27</x:v>
      </x:c>
      <x:c r="C5278" s="87" t="str">
        <x:v>ЕГКР</x:v>
      </x:c>
      <x:c r="D5278" s="87"/>
      <x:c r="E5278" s="87" t="str">
        <x:v>Зима 2025</x:v>
      </x:c>
      <x:c r="F5278" s="87" t="str">
        <x:v>11.12.2025</x:v>
      </x:c>
      <x:c r="G5278" s="87" t="str">
        <x:v>Биология</x:v>
      </x:c>
      <x:c r="H5278" s="87" t="n">
        <x:v>11</x:v>
      </x:c>
      <x:c r="I5278" s="87"/>
      <x:c r="J5278" s="87" t="str">
        <x:v>952</x:v>
      </x:c>
      <x:c r="K5278" s="87" t="n">
        <x:v>27</x:v>
      </x:c>
      <x:c r="L5278" s="87" t="str">
        <x:v>Развёрнутый ответ</x:v>
      </x:c>
      <x:c r="M5278" s="30" t="str">
        <x:v>По распространённости муковисцидоза и частоте аллеля вычислить равновесные частоты фенотипов и аллеля у австралийцев; назвать фактор различия.</x:v>
      </x:c>
      <x:c r="N5278" s="30" t="str">
        <x:v>Во всей популяции q = 0,0224, поэтому aa = q² ≈ 0,0005, нормальный фенотип ≈ 0,9995. В Австралии aa = 16/100000 = 0,00016 (округлённо 0,0002), q ≈ 0,0126 (или 0,0141 при 0,0002). Различие связано с дрейфом генов/эффектом основателя и изоляцией.</x:v>
      </x:c>
      <x:c r="O5278" s="30" t="str">
        <x:v>Модель включает обязательные элементы официального критерия.</x:v>
      </x:c>
      <x:c r="P5278" s="30" t="str">
        <x:v>Условие и элементы ответа сверены с официальными критериями ФИПИ.</x:v>
      </x:c>
      <x:c r="Q5278" s="30"/>
      <x:c r="R5278" s="30"/>
      <x:c r="S5278" s="30" t="str">
        <x:v>kriterii_EGKR_12_25.pdf, физ. стр. 10</x:v>
      </x:c>
      <x:c r="T5278" s="30"/>
      <x:c r="U5278" s="30" t="str">
        <x:v>Расхождений нет.</x:v>
      </x:c>
      <x:c r="V5278" s="87" t="str">
        <x:v>VERIFIED</x:v>
      </x:c>
      <x:c r="W5278" s="87"/>
      <x:c r="X5278" s="87" t="n">
        <x:v>14</x:v>
      </x:c>
      <x:c r="Y5278" s="87"/>
      <x:c r="Z5278" s="87"/>
      <x:c r="AA5278" s="87"/>
      <x:c r="AB5278" s="87"/>
      <x:c r="AC5278" s="87" t="str">
        <x:v>VIS-EGKR-BIO-W25-TASK-952-P014</x:v>
      </x:c>
      <x:c r="AD5278" s="87" t="str">
        <x:v>VIS-EGKR-BIO-W25-CRIT-P010</x:v>
      </x:c>
      <x:c r="AE5278" s="87" t="str">
        <x:v>TASK; CRITERIA</x:v>
      </x:c>
      <x:c r="AF5278" s="87" t="str">
        <x:v>VIS-EGKR-BIO-W25-TASK-952-P014: 14; VIS-EGKR-BIO-W25-CRIT-P010: 10</x:v>
      </x:c>
      <x:c r="AG5278" s="87" t="str">
        <x:v>RESOLVED</x:v>
      </x:c>
      <x:c r="AH5278" s="87" t="str">
        <x:v>CROP_VERIFIED</x:v>
      </x:c>
      <x:c r="AI5278" s="30"/>
      <x:c r="AJ5278" s="87" t="str">
        <x:v>clean</x:v>
      </x:c>
      <x:c r="AK5278" s="87" t="str">
        <x:v>clean-v0.12</x:v>
      </x:c>
      <x:c r="AL5278" s="87" t="str">
        <x:v>statgrad_clean_continuation_v0_12(1).xlsx</x:v>
      </x:c>
      <x:c r="AM5278" s="87" t="str">
        <x:v>BIO_EGKR_952</x:v>
      </x:c>
      <x:c r="AN5278" s="87" t="n">
        <x:v>28</x:v>
      </x:c>
    </x:row>
    <x:row r="5279">
      <x:c r="A5279" s="87" t="n">
        <x:v>5278</x:v>
      </x:c>
      <x:c r="B5279" s="87" t="str">
        <x:v>EGKR-W25-BIO-952-28</x:v>
      </x:c>
      <x:c r="C5279" s="87" t="str">
        <x:v>ЕГКР</x:v>
      </x:c>
      <x:c r="D5279" s="87"/>
      <x:c r="E5279" s="87" t="str">
        <x:v>Зима 2025</x:v>
      </x:c>
      <x:c r="F5279" s="87" t="str">
        <x:v>11.12.2025</x:v>
      </x:c>
      <x:c r="G5279" s="87" t="str">
        <x:v>Биология</x:v>
      </x:c>
      <x:c r="H5279" s="87" t="n">
        <x:v>11</x:v>
      </x:c>
      <x:c r="I5279" s="87"/>
      <x:c r="J5279" s="87" t="str">
        <x:v>952</x:v>
      </x:c>
      <x:c r="K5279" s="87" t="n">
        <x:v>28</x:v>
      </x:c>
      <x:c r="L5279" s="87" t="str">
        <x:v>Развёрнутый ответ</x:v>
      </x:c>
      <x:c r="M5279" s="30" t="str">
        <x:v>Сцепление генов высоты томата и опушения плодов: построить скрещивания, карту и определить тип наследования по группам 22, 26, 74, 78.</x:v>
      </x:c>
      <x:c r="N5279" s="30" t="str">
        <x:v>Родители AAbb × aaBB, F₁ AaBb. В анализирующем скрещивании AaBb × aabb крупные группы 74 и 78 — родительские, малые 22 и 26 — кроссоверные. Частота кроссинговера (22+26)/200 = 24%; гены сцеплены и расположены на расстоянии 24 морганиды.</x:v>
      </x:c>
      <x:c r="O5279" s="30" t="str">
        <x:v>Модель включает обязательные элементы официального критерия.</x:v>
      </x:c>
      <x:c r="P5279" s="30" t="str">
        <x:v>Условие и элементы ответа сверены с официальными критериями ФИПИ.</x:v>
      </x:c>
      <x:c r="Q5279" s="30"/>
      <x:c r="R5279" s="30"/>
      <x:c r="S5279" s="30" t="str">
        <x:v>kriterii_EGKR_12_25.pdf, физ. стр. 10–11</x:v>
      </x:c>
      <x:c r="T5279" s="30"/>
      <x:c r="U5279" s="30" t="str">
        <x:v>Расхождений нет.</x:v>
      </x:c>
      <x:c r="V5279" s="87" t="str">
        <x:v>VERIFIED</x:v>
      </x:c>
      <x:c r="W5279" s="87"/>
      <x:c r="X5279" s="87" t="n">
        <x:v>14</x:v>
      </x:c>
      <x:c r="Y5279" s="87"/>
      <x:c r="Z5279" s="87"/>
      <x:c r="AA5279" s="87"/>
      <x:c r="AB5279" s="87"/>
      <x:c r="AC5279" s="87" t="str">
        <x:v>VIS-EGKR-BIO-W25-TASK-952-P014</x:v>
      </x:c>
      <x:c r="AD5279" s="87" t="str">
        <x:v>VIS-EGKR-BIO-W25-CRIT-P010; VIS-EGKR-BIO-W25-CRIT-P011</x:v>
      </x:c>
      <x:c r="AE5279" s="87" t="str">
        <x:v>TASK; CRITERIA</x:v>
      </x:c>
      <x:c r="AF5279" s="87" t="str">
        <x:v>VIS-EGKR-BIO-W25-TASK-952-P014: 14; VIS-EGKR-BIO-W25-CRIT-P010: 10; VIS-EGKR-BIO-W25-CRIT-P011: 11</x:v>
      </x:c>
      <x:c r="AG5279" s="87" t="str">
        <x:v>RESOLVED</x:v>
      </x:c>
      <x:c r="AH5279" s="87" t="str">
        <x:v>CROP_VERIFIED</x:v>
      </x:c>
      <x:c r="AI5279" s="30"/>
      <x:c r="AJ5279" s="87" t="str">
        <x:v>clean</x:v>
      </x:c>
      <x:c r="AK5279" s="87" t="str">
        <x:v>clean-v0.12</x:v>
      </x:c>
      <x:c r="AL5279" s="87" t="str">
        <x:v>statgrad_clean_continuation_v0_12(1).xlsx</x:v>
      </x:c>
      <x:c r="AM5279" s="87" t="str">
        <x:v>BIO_EGKR_952</x:v>
      </x:c>
      <x:c r="AN5279" s="87" t="n">
        <x:v>29</x:v>
      </x:c>
    </x:row>
    <x:row r="5280">
      <x:c r="A5280" s="87" t="n">
        <x:v>5279</x:v>
      </x:c>
      <x:c r="B5280" s="87" t="str">
        <x:v>EGKR-W25-BIO-953-01</x:v>
      </x:c>
      <x:c r="C5280" s="87" t="str">
        <x:v>ЕГКР</x:v>
      </x:c>
      <x:c r="D5280" s="87"/>
      <x:c r="E5280" s="87" t="str">
        <x:v>Зима 2025</x:v>
      </x:c>
      <x:c r="F5280" s="87" t="str">
        <x:v>11.12.2025</x:v>
      </x:c>
      <x:c r="G5280" s="87" t="str">
        <x:v>Биология</x:v>
      </x:c>
      <x:c r="H5280" s="87" t="n">
        <x:v>11</x:v>
      </x:c>
      <x:c r="I5280" s="87"/>
      <x:c r="J5280" s="87" t="str">
        <x:v>953</x:v>
      </x:c>
      <x:c r="K5280" s="87" t="n">
        <x:v>1</x:v>
      </x:c>
      <x:c r="L5280" s="87" t="str">
        <x:v>Термин</x:v>
      </x:c>
      <x:c r="M5280" s="30" t="str">
        <x:v>По иллюстрации родословной определить частнонаучный метод биологии.</x:v>
      </x:c>
      <x:c r="N5280" s="30" t="str">
        <x:v>генеалогический</x:v>
      </x:c>
      <x:c r="O5280" s="30" t="str">
        <x:v>На нижней иллюстрации показана родословная, используемая в генеалогическом методе.</x:v>
      </x:c>
      <x:c r="P5280" s="30" t="str">
        <x:v>Ответ независимо решён по условию и вторично сверён с задачей ФИПИ в банке NeoFamily.</x:v>
      </x:c>
      <x:c r="Q5280" s="30"/>
      <x:c r="R5280" s="30"/>
      <x:c r="S5280" s="30" t="str">
        <x:v>953 биология.pdf; независимое решение</x:v>
      </x:c>
      <x:c r="T5280" s="30"/>
      <x:c r="U5280" s="30" t="str">
        <x:v>Расхождений нет.</x:v>
      </x:c>
      <x:c r="V5280" s="87" t="str">
        <x:v>VERIFIED</x:v>
      </x:c>
      <x:c r="W5280" s="87"/>
      <x:c r="X5280" s="87" t="n">
        <x:v>2</x:v>
      </x:c>
      <x:c r="Y5280" s="87"/>
      <x:c r="Z5280" s="87"/>
      <x:c r="AA5280" s="87"/>
      <x:c r="AB5280" s="87"/>
      <x:c r="AC5280" s="87" t="str">
        <x:v>VIS-EGKR-BIO-W25-TASK-953-P002</x:v>
      </x:c>
      <x:c r="AD5280" s="87"/>
      <x:c r="AE5280" s="87" t="str">
        <x:v>TASK</x:v>
      </x:c>
      <x:c r="AF5280" s="87" t="str">
        <x:v>VIS-EGKR-BIO-W25-TASK-953-P002: 2</x:v>
      </x:c>
      <x:c r="AG5280" s="87" t="str">
        <x:v>RESOLVED</x:v>
      </x:c>
      <x:c r="AH5280" s="87" t="str">
        <x:v>CROP_VERIFIED; TASK_CROP_QA_APPROVED:USE_TIGHT</x:v>
      </x:c>
      <x:c r="AI5280" s="30"/>
      <x:c r="AJ5280" s="87" t="str">
        <x:v>clean</x:v>
      </x:c>
      <x:c r="AK5280" s="87" t="str">
        <x:v>clean-v0.12</x:v>
      </x:c>
      <x:c r="AL5280" s="87" t="str">
        <x:v>statgrad_clean_continuation_v0_12(1).xlsx</x:v>
      </x:c>
      <x:c r="AM5280" s="87" t="str">
        <x:v>BIO_EGKR_953</x:v>
      </x:c>
      <x:c r="AN5280" s="87" t="n">
        <x:v>2</x:v>
      </x:c>
    </x:row>
    <x:row r="5281">
      <x:c r="A5281" s="87" t="n">
        <x:v>5280</x:v>
      </x:c>
      <x:c r="B5281" s="87" t="str">
        <x:v>EGKR-W25-BIO-953-02</x:v>
      </x:c>
      <x:c r="C5281" s="87" t="str">
        <x:v>ЕГКР</x:v>
      </x:c>
      <x:c r="D5281" s="87"/>
      <x:c r="E5281" s="87" t="str">
        <x:v>Зима 2025</x:v>
      </x:c>
      <x:c r="F5281" s="87" t="str">
        <x:v>11.12.2025</x:v>
      </x:c>
      <x:c r="G5281" s="87" t="str">
        <x:v>Биология</x:v>
      </x:c>
      <x:c r="H5281" s="87" t="n">
        <x:v>11</x:v>
      </x:c>
      <x:c r="I5281" s="87"/>
      <x:c r="J5281" s="87" t="str">
        <x:v>953</x:v>
      </x:c>
      <x:c r="K5281" s="87" t="n">
        <x:v>2</x:v>
      </x:c>
      <x:c r="L5281" s="87" t="str">
        <x:v>Изменение величин</x:v>
      </x:c>
      <x:c r="M5281" s="30" t="str">
        <x:v>Растение под освещённым герметичным колпаком: определить изменение концентраций азота и CO₂.</x:v>
      </x:c>
      <x:c r="N5281" s="30" t="str">
        <x:v>32</x:v>
      </x:c>
      <x:c r="O5281" s="30" t="str">
        <x:v>Азот практически не расходуется, а CO₂ при освещении поглощается в фотосинтезе.</x:v>
      </x:c>
      <x:c r="P5281" s="30" t="str">
        <x:v>Ответ независимо решён по условию и вторично сверён с задачей ФИПИ в банке NeoFamily.</x:v>
      </x:c>
      <x:c r="Q5281" s="30"/>
      <x:c r="R5281" s="30"/>
      <x:c r="S5281" s="30" t="str">
        <x:v>953 биология.pdf; независимое решение</x:v>
      </x:c>
      <x:c r="T5281" s="30"/>
      <x:c r="U5281" s="30" t="str">
        <x:v>Расхождений нет.</x:v>
      </x:c>
      <x:c r="V5281" s="87" t="str">
        <x:v>VERIFIED</x:v>
      </x:c>
      <x:c r="W5281" s="87"/>
      <x:c r="X5281" s="87" t="n">
        <x:v>2</x:v>
      </x:c>
      <x:c r="Y5281" s="87"/>
      <x:c r="Z5281" s="87"/>
      <x:c r="AA5281" s="87"/>
      <x:c r="AB5281" s="87"/>
      <x:c r="AC5281" s="87" t="str">
        <x:v>VIS-EGKR-BIO-W25-TASK-953-P002</x:v>
      </x:c>
      <x:c r="AD5281" s="87"/>
      <x:c r="AE5281" s="87" t="str">
        <x:v>TASK</x:v>
      </x:c>
      <x:c r="AF5281" s="87" t="str">
        <x:v>VIS-EGKR-BIO-W25-TASK-953-P002: 2</x:v>
      </x:c>
      <x:c r="AG5281" s="87" t="str">
        <x:v>RESOLVED</x:v>
      </x:c>
      <x:c r="AH5281" s="87" t="str">
        <x:v>CROP_VERIFIED</x:v>
      </x:c>
      <x:c r="AI5281" s="30"/>
      <x:c r="AJ5281" s="87" t="str">
        <x:v>clean</x:v>
      </x:c>
      <x:c r="AK5281" s="87" t="str">
        <x:v>clean-v0.12</x:v>
      </x:c>
      <x:c r="AL5281" s="87" t="str">
        <x:v>statgrad_clean_continuation_v0_12(1).xlsx</x:v>
      </x:c>
      <x:c r="AM5281" s="87" t="str">
        <x:v>BIO_EGKR_953</x:v>
      </x:c>
      <x:c r="AN5281" s="87" t="n">
        <x:v>3</x:v>
      </x:c>
    </x:row>
    <x:row r="5282">
      <x:c r="A5282" s="87" t="n">
        <x:v>5281</x:v>
      </x:c>
      <x:c r="B5282" s="87" t="str">
        <x:v>EGKR-W25-BIO-953-03</x:v>
      </x:c>
      <x:c r="C5282" s="87" t="str">
        <x:v>ЕГКР</x:v>
      </x:c>
      <x:c r="D5282" s="87"/>
      <x:c r="E5282" s="87" t="str">
        <x:v>Зима 2025</x:v>
      </x:c>
      <x:c r="F5282" s="87" t="str">
        <x:v>11.12.2025</x:v>
      </x:c>
      <x:c r="G5282" s="87" t="str">
        <x:v>Биология</x:v>
      </x:c>
      <x:c r="H5282" s="87" t="n">
        <x:v>11</x:v>
      </x:c>
      <x:c r="I5282" s="87"/>
      <x:c r="J5282" s="87" t="str">
        <x:v>953</x:v>
      </x:c>
      <x:c r="K5282" s="87" t="n">
        <x:v>3</x:v>
      </x:c>
      <x:c r="L5282" s="87" t="str">
        <x:v>Расчёт</x:v>
      </x:c>
      <x:c r="M5282" s="30" t="str">
        <x:v>Первичная продукция леса 2 000 000 кДж; рассчитать энергию лисицы на третьем трофическом уровне по правилу 10%.</x:v>
      </x:c>
      <x:c r="N5282" s="30" t="str">
        <x:v>20000</x:v>
      </x:c>
      <x:c r="O5282" s="30" t="str">
        <x:v>Третий уровень получает 2 000 000 × 0,1 × 0,1 = 20 000 кДж.</x:v>
      </x:c>
      <x:c r="P5282" s="30" t="str">
        <x:v>Ответ независимо решён по условию и вторично сверён с задачей ФИПИ в банке NeoFamily.</x:v>
      </x:c>
      <x:c r="Q5282" s="30"/>
      <x:c r="R5282" s="30"/>
      <x:c r="S5282" s="30" t="str">
        <x:v>953 биология.pdf; независимое решение</x:v>
      </x:c>
      <x:c r="T5282" s="30"/>
      <x:c r="U5282" s="30" t="str">
        <x:v>Расхождений нет.</x:v>
      </x:c>
      <x:c r="V5282" s="87" t="str">
        <x:v>VERIFIED</x:v>
      </x:c>
      <x:c r="W5282" s="87"/>
      <x:c r="X5282" s="87" t="n">
        <x:v>2</x:v>
      </x:c>
      <x:c r="Y5282" s="87"/>
      <x:c r="Z5282" s="87"/>
      <x:c r="AA5282" s="87"/>
      <x:c r="AB5282" s="87"/>
      <x:c r="AC5282" s="87" t="str">
        <x:v>VIS-EGKR-BIO-W25-TASK-953-P002</x:v>
      </x:c>
      <x:c r="AD5282" s="87"/>
      <x:c r="AE5282" s="87" t="str">
        <x:v>TASK</x:v>
      </x:c>
      <x:c r="AF5282" s="87" t="str">
        <x:v>VIS-EGKR-BIO-W25-TASK-953-P002: 2</x:v>
      </x:c>
      <x:c r="AG5282" s="87" t="str">
        <x:v>RESOLVED</x:v>
      </x:c>
      <x:c r="AH5282" s="87" t="str">
        <x:v>CROP_VERIFIED</x:v>
      </x:c>
      <x:c r="AI5282" s="30"/>
      <x:c r="AJ5282" s="87" t="str">
        <x:v>clean</x:v>
      </x:c>
      <x:c r="AK5282" s="87" t="str">
        <x:v>clean-v0.12</x:v>
      </x:c>
      <x:c r="AL5282" s="87" t="str">
        <x:v>statgrad_clean_continuation_v0_12(1).xlsx</x:v>
      </x:c>
      <x:c r="AM5282" s="87" t="str">
        <x:v>BIO_EGKR_953</x:v>
      </x:c>
      <x:c r="AN5282" s="87" t="n">
        <x:v>4</x:v>
      </x:c>
    </x:row>
    <x:row r="5283">
      <x:c r="A5283" s="87" t="n">
        <x:v>5282</x:v>
      </x:c>
      <x:c r="B5283" s="87" t="str">
        <x:v>EGKR-W25-BIO-953-04</x:v>
      </x:c>
      <x:c r="C5283" s="87" t="str">
        <x:v>ЕГКР</x:v>
      </x:c>
      <x:c r="D5283" s="87"/>
      <x:c r="E5283" s="87" t="str">
        <x:v>Зима 2025</x:v>
      </x:c>
      <x:c r="F5283" s="87" t="str">
        <x:v>11.12.2025</x:v>
      </x:c>
      <x:c r="G5283" s="87" t="str">
        <x:v>Биология</x:v>
      </x:c>
      <x:c r="H5283" s="87" t="n">
        <x:v>11</x:v>
      </x:c>
      <x:c r="I5283" s="87"/>
      <x:c r="J5283" s="87" t="str">
        <x:v>953</x:v>
      </x:c>
      <x:c r="K5283" s="87" t="n">
        <x:v>4</x:v>
      </x:c>
      <x:c r="L5283" s="87" t="str">
        <x:v>Генетический расчёт</x:v>
      </x:c>
      <x:c r="M5283" s="30" t="str">
        <x:v>Определить число генотипов F₁ при скрещивании AA × aa.</x:v>
      </x:c>
      <x:c r="N5283" s="30" t="str">
        <x:v>1</x:v>
      </x:c>
      <x:c r="O5283" s="30" t="str">
        <x:v>Все потомки AA × aa имеют единственный генотип Aa.</x:v>
      </x:c>
      <x:c r="P5283" s="30" t="str">
        <x:v>Ответ независимо решён по условию и вторично сверён с задачей ФИПИ в банке NeoFamily.</x:v>
      </x:c>
      <x:c r="Q5283" s="30"/>
      <x:c r="R5283" s="30"/>
      <x:c r="S5283" s="30" t="str">
        <x:v>953 биология.pdf; независимое решение</x:v>
      </x:c>
      <x:c r="T5283" s="30"/>
      <x:c r="U5283" s="30" t="str">
        <x:v>Расхождений нет.</x:v>
      </x:c>
      <x:c r="V5283" s="87" t="str">
        <x:v>VERIFIED</x:v>
      </x:c>
      <x:c r="W5283" s="87"/>
      <x:c r="X5283" s="87" t="n">
        <x:v>3</x:v>
      </x:c>
      <x:c r="Y5283" s="87"/>
      <x:c r="Z5283" s="87"/>
      <x:c r="AA5283" s="87"/>
      <x:c r="AB5283" s="87"/>
      <x:c r="AC5283" s="87" t="str">
        <x:v>VIS-EGKR-BIO-W25-TASK-953-P003</x:v>
      </x:c>
      <x:c r="AD5283" s="87"/>
      <x:c r="AE5283" s="87" t="str">
        <x:v>TASK</x:v>
      </x:c>
      <x:c r="AF5283" s="87" t="str">
        <x:v>VIS-EGKR-BIO-W25-TASK-953-P003: 3</x:v>
      </x:c>
      <x:c r="AG5283" s="87" t="str">
        <x:v>RESOLVED</x:v>
      </x:c>
      <x:c r="AH5283" s="87" t="str">
        <x:v>CROP_VERIFIED</x:v>
      </x:c>
      <x:c r="AI5283" s="30"/>
      <x:c r="AJ5283" s="87" t="str">
        <x:v>clean</x:v>
      </x:c>
      <x:c r="AK5283" s="87" t="str">
        <x:v>clean-v0.12</x:v>
      </x:c>
      <x:c r="AL5283" s="87" t="str">
        <x:v>statgrad_clean_continuation_v0_12(1).xlsx</x:v>
      </x:c>
      <x:c r="AM5283" s="87" t="str">
        <x:v>BIO_EGKR_953</x:v>
      </x:c>
      <x:c r="AN5283" s="87" t="n">
        <x:v>5</x:v>
      </x:c>
    </x:row>
    <x:row r="5284">
      <x:c r="A5284" s="87" t="n">
        <x:v>5283</x:v>
      </x:c>
      <x:c r="B5284" s="87" t="str">
        <x:v>EGKR-W25-BIO-953-05</x:v>
      </x:c>
      <x:c r="C5284" s="87" t="str">
        <x:v>ЕГКР</x:v>
      </x:c>
      <x:c r="D5284" s="87"/>
      <x:c r="E5284" s="87" t="str">
        <x:v>Зима 2025</x:v>
      </x:c>
      <x:c r="F5284" s="87" t="str">
        <x:v>11.12.2025</x:v>
      </x:c>
      <x:c r="G5284" s="87" t="str">
        <x:v>Биология</x:v>
      </x:c>
      <x:c r="H5284" s="87" t="n">
        <x:v>11</x:v>
      </x:c>
      <x:c r="I5284" s="87"/>
      <x:c r="J5284" s="87" t="str">
        <x:v>953</x:v>
      </x:c>
      <x:c r="K5284" s="87" t="n">
        <x:v>5</x:v>
      </x:c>
      <x:c r="L5284" s="87" t="str">
        <x:v>Работа с рисунком</x:v>
      </x:c>
      <x:c r="M5284" s="30" t="str">
        <x:v>По схеме определить цифру, обозначающую зиготу.</x:v>
      </x:c>
      <x:c r="N5284" s="30" t="str">
        <x:v>3</x:v>
      </x:c>
      <x:c r="O5284" s="30" t="str">
        <x:v>Зигота определена по месту образования после слияния гамет.</x:v>
      </x:c>
      <x:c r="P5284" s="30" t="str">
        <x:v>Ответ независимо решён по условию и вторично сверён с задачей ФИПИ в банке NeoFamily.</x:v>
      </x:c>
      <x:c r="Q5284" s="30"/>
      <x:c r="R5284" s="30"/>
      <x:c r="S5284" s="30" t="str">
        <x:v>953 биология.pdf; независимое решение</x:v>
      </x:c>
      <x:c r="T5284" s="30"/>
      <x:c r="U5284" s="30" t="str">
        <x:v>Расхождений нет.</x:v>
      </x:c>
      <x:c r="V5284" s="87" t="str">
        <x:v>VERIFIED</x:v>
      </x:c>
      <x:c r="W5284" s="87"/>
      <x:c r="X5284" s="87" t="n">
        <x:v>3</x:v>
      </x:c>
      <x:c r="Y5284" s="87"/>
      <x:c r="Z5284" s="87"/>
      <x:c r="AA5284" s="87"/>
      <x:c r="AB5284" s="87"/>
      <x:c r="AC5284" s="87" t="str">
        <x:v>VIS-EGKR-BIO-W25-TASK-953-P003</x:v>
      </x:c>
      <x:c r="AD5284" s="87"/>
      <x:c r="AE5284" s="87" t="str">
        <x:v>TASK</x:v>
      </x:c>
      <x:c r="AF5284" s="87" t="str">
        <x:v>VIS-EGKR-BIO-W25-TASK-953-P003: 3</x:v>
      </x:c>
      <x:c r="AG5284" s="87" t="str">
        <x:v>RESOLVED</x:v>
      </x:c>
      <x:c r="AH5284" s="87" t="str">
        <x:v>CROP_VERIFIED</x:v>
      </x:c>
      <x:c r="AI5284" s="30"/>
      <x:c r="AJ5284" s="87" t="str">
        <x:v>clean</x:v>
      </x:c>
      <x:c r="AK5284" s="87" t="str">
        <x:v>clean-v0.12</x:v>
      </x:c>
      <x:c r="AL5284" s="87" t="str">
        <x:v>statgrad_clean_continuation_v0_12(1).xlsx</x:v>
      </x:c>
      <x:c r="AM5284" s="87" t="str">
        <x:v>BIO_EGKR_953</x:v>
      </x:c>
      <x:c r="AN5284" s="87" t="n">
        <x:v>6</x:v>
      </x:c>
    </x:row>
    <x:row r="5285">
      <x:c r="A5285" s="87" t="n">
        <x:v>5284</x:v>
      </x:c>
      <x:c r="B5285" s="87" t="str">
        <x:v>EGKR-W25-BIO-953-06</x:v>
      </x:c>
      <x:c r="C5285" s="87" t="str">
        <x:v>ЕГКР</x:v>
      </x:c>
      <x:c r="D5285" s="87"/>
      <x:c r="E5285" s="87" t="str">
        <x:v>Зима 2025</x:v>
      </x:c>
      <x:c r="F5285" s="87" t="str">
        <x:v>11.12.2025</x:v>
      </x:c>
      <x:c r="G5285" s="87" t="str">
        <x:v>Биология</x:v>
      </x:c>
      <x:c r="H5285" s="87" t="n">
        <x:v>11</x:v>
      </x:c>
      <x:c r="I5285" s="87"/>
      <x:c r="J5285" s="87" t="str">
        <x:v>953</x:v>
      </x:c>
      <x:c r="K5285" s="87" t="n">
        <x:v>6</x:v>
      </x:c>
      <x:c r="L5285" s="87" t="str">
        <x:v>Соответствие</x:v>
      </x:c>
      <x:c r="M5285" s="30" t="str">
        <x:v>Соотнести характеристики с митозом и мейозом на схеме.</x:v>
      </x:c>
      <x:c r="N5285" s="30" t="str">
        <x:v>121112</x:v>
      </x:c>
      <x:c r="O5285" s="30" t="str">
        <x:v>Митоз и мейоз различены по числу делений, конъюгации и результату.</x:v>
      </x:c>
      <x:c r="P5285" s="30" t="str">
        <x:v>Ответ независимо решён по условию и вторично сверён с задачей ФИПИ в банке NeoFamily.</x:v>
      </x:c>
      <x:c r="Q5285" s="30"/>
      <x:c r="R5285" s="30"/>
      <x:c r="S5285" s="30" t="str">
        <x:v>953 биология.pdf; независимое решение</x:v>
      </x:c>
      <x:c r="T5285" s="30"/>
      <x:c r="U5285" s="30" t="str">
        <x:v>Расхождений нет.</x:v>
      </x:c>
      <x:c r="V5285" s="87" t="str">
        <x:v>VERIFIED</x:v>
      </x:c>
      <x:c r="W5285" s="87"/>
      <x:c r="X5285" s="87" t="n">
        <x:v>3</x:v>
      </x:c>
      <x:c r="Y5285" s="87"/>
      <x:c r="Z5285" s="87"/>
      <x:c r="AA5285" s="87"/>
      <x:c r="AB5285" s="87"/>
      <x:c r="AC5285" s="87" t="str">
        <x:v>VIS-EGKR-BIO-W25-TASK-953-P003</x:v>
      </x:c>
      <x:c r="AD5285" s="87"/>
      <x:c r="AE5285" s="87" t="str">
        <x:v>TASK</x:v>
      </x:c>
      <x:c r="AF5285" s="87" t="str">
        <x:v>VIS-EGKR-BIO-W25-TASK-953-P003: 3</x:v>
      </x:c>
      <x:c r="AG5285" s="87" t="str">
        <x:v>RESOLVED</x:v>
      </x:c>
      <x:c r="AH5285" s="87" t="str">
        <x:v>CROP_VERIFIED; TASK_CROP_QA_APPROVED:USE_TIGHT</x:v>
      </x:c>
      <x:c r="AI5285" s="30"/>
      <x:c r="AJ5285" s="87" t="str">
        <x:v>clean</x:v>
      </x:c>
      <x:c r="AK5285" s="87" t="str">
        <x:v>clean-v0.12</x:v>
      </x:c>
      <x:c r="AL5285" s="87" t="str">
        <x:v>statgrad_clean_continuation_v0_12(1).xlsx</x:v>
      </x:c>
      <x:c r="AM5285" s="87" t="str">
        <x:v>BIO_EGKR_953</x:v>
      </x:c>
      <x:c r="AN5285" s="87" t="n">
        <x:v>7</x:v>
      </x:c>
    </x:row>
    <x:row r="5286">
      <x:c r="A5286" s="87" t="n">
        <x:v>5285</x:v>
      </x:c>
      <x:c r="B5286" s="87" t="str">
        <x:v>EGKR-W25-BIO-953-07</x:v>
      </x:c>
      <x:c r="C5286" s="87" t="str">
        <x:v>ЕГКР</x:v>
      </x:c>
      <x:c r="D5286" s="87"/>
      <x:c r="E5286" s="87" t="str">
        <x:v>Зима 2025</x:v>
      </x:c>
      <x:c r="F5286" s="87" t="str">
        <x:v>11.12.2025</x:v>
      </x:c>
      <x:c r="G5286" s="87" t="str">
        <x:v>Биология</x:v>
      </x:c>
      <x:c r="H5286" s="87" t="n">
        <x:v>11</x:v>
      </x:c>
      <x:c r="I5286" s="87"/>
      <x:c r="J5286" s="87" t="str">
        <x:v>953</x:v>
      </x:c>
      <x:c r="K5286" s="87" t="n">
        <x:v>7</x:v>
      </x:c>
      <x:c r="L5286" s="87" t="str">
        <x:v>Работа с рисунком</x:v>
      </x:c>
      <x:c r="M5286" s="30" t="str">
        <x:v>Выбрать три верные подписи на рисунке стадии эмбриогенеза.</x:v>
      </x:c>
      <x:c r="N5286" s="30" t="str">
        <x:v>126</x:v>
      </x:c>
      <x:c r="O5286" s="30" t="str">
        <x:v>Подписи проверены по строению зародышевых листков и осевых органов.</x:v>
      </x:c>
      <x:c r="P5286" s="30" t="str">
        <x:v>Ответ независимо решён по условию и вторично сверён с задачей ФИПИ в банке NeoFamily.</x:v>
      </x:c>
      <x:c r="Q5286" s="30"/>
      <x:c r="R5286" s="30"/>
      <x:c r="S5286" s="30" t="str">
        <x:v>953 биология.pdf; независимое решение</x:v>
      </x:c>
      <x:c r="T5286" s="30"/>
      <x:c r="U5286" s="30" t="str">
        <x:v>Расхождений нет.</x:v>
      </x:c>
      <x:c r="V5286" s="87" t="str">
        <x:v>VERIFIED</x:v>
      </x:c>
      <x:c r="W5286" s="87"/>
      <x:c r="X5286" s="87" t="n">
        <x:v>4</x:v>
      </x:c>
      <x:c r="Y5286" s="87"/>
      <x:c r="Z5286" s="87"/>
      <x:c r="AA5286" s="87"/>
      <x:c r="AB5286" s="87"/>
      <x:c r="AC5286" s="87" t="str">
        <x:v>VIS-EGKR-BIO-W25-TASK-953-P004</x:v>
      </x:c>
      <x:c r="AD5286" s="87"/>
      <x:c r="AE5286" s="87" t="str">
        <x:v>TASK</x:v>
      </x:c>
      <x:c r="AF5286" s="87" t="str">
        <x:v>VIS-EGKR-BIO-W25-TASK-953-P004: 4</x:v>
      </x:c>
      <x:c r="AG5286" s="87" t="str">
        <x:v>RESOLVED</x:v>
      </x:c>
      <x:c r="AH5286" s="87" t="str">
        <x:v>CROP_VERIFIED; TASK_CROP_QA_APPROVED:USE_CONTEXT</x:v>
      </x:c>
      <x:c r="AI5286" s="30"/>
      <x:c r="AJ5286" s="87" t="str">
        <x:v>clean</x:v>
      </x:c>
      <x:c r="AK5286" s="87" t="str">
        <x:v>clean-v0.12</x:v>
      </x:c>
      <x:c r="AL5286" s="87" t="str">
        <x:v>statgrad_clean_continuation_v0_12(1).xlsx</x:v>
      </x:c>
      <x:c r="AM5286" s="87" t="str">
        <x:v>BIO_EGKR_953</x:v>
      </x:c>
      <x:c r="AN5286" s="87" t="n">
        <x:v>8</x:v>
      </x:c>
    </x:row>
    <x:row r="5287">
      <x:c r="A5287" s="87" t="n">
        <x:v>5286</x:v>
      </x:c>
      <x:c r="B5287" s="87" t="str">
        <x:v>EGKR-W25-BIO-953-08</x:v>
      </x:c>
      <x:c r="C5287" s="87" t="str">
        <x:v>ЕГКР</x:v>
      </x:c>
      <x:c r="D5287" s="87"/>
      <x:c r="E5287" s="87" t="str">
        <x:v>Зима 2025</x:v>
      </x:c>
      <x:c r="F5287" s="87" t="str">
        <x:v>11.12.2025</x:v>
      </x:c>
      <x:c r="G5287" s="87" t="str">
        <x:v>Биология</x:v>
      </x:c>
      <x:c r="H5287" s="87" t="n">
        <x:v>11</x:v>
      </x:c>
      <x:c r="I5287" s="87"/>
      <x:c r="J5287" s="87" t="str">
        <x:v>953</x:v>
      </x:c>
      <x:c r="K5287" s="87" t="n">
        <x:v>8</x:v>
      </x:c>
      <x:c r="L5287" s="87" t="str">
        <x:v>Последовательность</x:v>
      </x:c>
      <x:c r="M5287" s="30" t="str">
        <x:v>Расположить этапы получения полиплоидного растения с использованием колхицина.</x:v>
      </x:c>
      <x:c r="N5287" s="30" t="str">
        <x:v>31425</x:v>
      </x:c>
      <x:c r="O5287" s="30" t="str">
        <x:v>Колхицин нарушает расхождение хромосом, формируются диплоидные гаметы, затем тетраплоид.</x:v>
      </x:c>
      <x:c r="P5287" s="30" t="str">
        <x:v>Ответ независимо решён по условию и вторично сверён с задачей ФИПИ в банке NeoFamily.</x:v>
      </x:c>
      <x:c r="Q5287" s="30"/>
      <x:c r="R5287" s="30"/>
      <x:c r="S5287" s="30" t="str">
        <x:v>953 биология.pdf; независимое решение</x:v>
      </x:c>
      <x:c r="T5287" s="30"/>
      <x:c r="U5287" s="30" t="str">
        <x:v>Расхождений нет.</x:v>
      </x:c>
      <x:c r="V5287" s="87" t="str">
        <x:v>VERIFIED</x:v>
      </x:c>
      <x:c r="W5287" s="87"/>
      <x:c r="X5287" s="87" t="n">
        <x:v>4</x:v>
      </x:c>
      <x:c r="Y5287" s="87"/>
      <x:c r="Z5287" s="87"/>
      <x:c r="AA5287" s="87"/>
      <x:c r="AB5287" s="87"/>
      <x:c r="AC5287" s="87" t="str">
        <x:v>VIS-EGKR-BIO-W25-TASK-953-P004</x:v>
      </x:c>
      <x:c r="AD5287" s="87"/>
      <x:c r="AE5287" s="87" t="str">
        <x:v>TASK</x:v>
      </x:c>
      <x:c r="AF5287" s="87" t="str">
        <x:v>VIS-EGKR-BIO-W25-TASK-953-P004: 4</x:v>
      </x:c>
      <x:c r="AG5287" s="87" t="str">
        <x:v>RESOLVED</x:v>
      </x:c>
      <x:c r="AH5287" s="87" t="str">
        <x:v>CROP_VERIFIED</x:v>
      </x:c>
      <x:c r="AI5287" s="30"/>
      <x:c r="AJ5287" s="87" t="str">
        <x:v>clean</x:v>
      </x:c>
      <x:c r="AK5287" s="87" t="str">
        <x:v>clean-v0.12</x:v>
      </x:c>
      <x:c r="AL5287" s="87" t="str">
        <x:v>statgrad_clean_continuation_v0_12(1).xlsx</x:v>
      </x:c>
      <x:c r="AM5287" s="87" t="str">
        <x:v>BIO_EGKR_953</x:v>
      </x:c>
      <x:c r="AN5287" s="87" t="n">
        <x:v>9</x:v>
      </x:c>
    </x:row>
    <x:row r="5288">
      <x:c r="A5288" s="87" t="n">
        <x:v>5287</x:v>
      </x:c>
      <x:c r="B5288" s="87" t="str">
        <x:v>EGKR-W25-BIO-953-09</x:v>
      </x:c>
      <x:c r="C5288" s="87" t="str">
        <x:v>ЕГКР</x:v>
      </x:c>
      <x:c r="D5288" s="87"/>
      <x:c r="E5288" s="87" t="str">
        <x:v>Зима 2025</x:v>
      </x:c>
      <x:c r="F5288" s="87" t="str">
        <x:v>11.12.2025</x:v>
      </x:c>
      <x:c r="G5288" s="87" t="str">
        <x:v>Биология</x:v>
      </x:c>
      <x:c r="H5288" s="87" t="n">
        <x:v>11</x:v>
      </x:c>
      <x:c r="I5288" s="87"/>
      <x:c r="J5288" s="87" t="str">
        <x:v>953</x:v>
      </x:c>
      <x:c r="K5288" s="87" t="n">
        <x:v>9</x:v>
      </x:c>
      <x:c r="L5288" s="87" t="str">
        <x:v>Работа с рисунком</x:v>
      </x:c>
      <x:c r="M5288" s="30" t="str">
        <x:v>По жизненному циклу паразита определить личинку в яйцевых оболочках.</x:v>
      </x:c>
      <x:c r="N5288" s="30" t="str">
        <x:v>6</x:v>
      </x:c>
      <x:c r="O5288" s="30" t="str">
        <x:v>Личинка в яйцевых оболочках обозначена цифрой 6.</x:v>
      </x:c>
      <x:c r="P5288" s="30" t="str">
        <x:v>Ответ независимо решён по условию и вторично сверён с задачей ФИПИ в банке NeoFamily.</x:v>
      </x:c>
      <x:c r="Q5288" s="30"/>
      <x:c r="R5288" s="30"/>
      <x:c r="S5288" s="30" t="str">
        <x:v>953 биология.pdf; независимое решение</x:v>
      </x:c>
      <x:c r="T5288" s="30"/>
      <x:c r="U5288" s="30" t="str">
        <x:v>Расхождений нет.</x:v>
      </x:c>
      <x:c r="V5288" s="87" t="str">
        <x:v>VERIFIED</x:v>
      </x:c>
      <x:c r="W5288" s="87"/>
      <x:c r="X5288" s="87" t="n">
        <x:v>5</x:v>
      </x:c>
      <x:c r="Y5288" s="87"/>
      <x:c r="Z5288" s="87"/>
      <x:c r="AA5288" s="87"/>
      <x:c r="AB5288" s="87"/>
      <x:c r="AC5288" s="87" t="str">
        <x:v>VIS-EGKR-BIO-W25-TASK-953-P005</x:v>
      </x:c>
      <x:c r="AD5288" s="87"/>
      <x:c r="AE5288" s="87" t="str">
        <x:v>TASK</x:v>
      </x:c>
      <x:c r="AF5288" s="87" t="str">
        <x:v>VIS-EGKR-BIO-W25-TASK-953-P005: 5</x:v>
      </x:c>
      <x:c r="AG5288" s="87" t="str">
        <x:v>RESOLVED</x:v>
      </x:c>
      <x:c r="AH5288" s="87" t="str">
        <x:v>CROP_VERIFIED</x:v>
      </x:c>
      <x:c r="AI5288" s="30"/>
      <x:c r="AJ5288" s="87" t="str">
        <x:v>clean</x:v>
      </x:c>
      <x:c r="AK5288" s="87" t="str">
        <x:v>clean-v0.12</x:v>
      </x:c>
      <x:c r="AL5288" s="87" t="str">
        <x:v>statgrad_clean_continuation_v0_12(1).xlsx</x:v>
      </x:c>
      <x:c r="AM5288" s="87" t="str">
        <x:v>BIO_EGKR_953</x:v>
      </x:c>
      <x:c r="AN5288" s="87" t="n">
        <x:v>10</x:v>
      </x:c>
    </x:row>
    <x:row r="5289">
      <x:c r="A5289" s="87" t="n">
        <x:v>5288</x:v>
      </x:c>
      <x:c r="B5289" s="87" t="str">
        <x:v>EGKR-W25-BIO-953-10</x:v>
      </x:c>
      <x:c r="C5289" s="87" t="str">
        <x:v>ЕГКР</x:v>
      </x:c>
      <x:c r="D5289" s="87"/>
      <x:c r="E5289" s="87" t="str">
        <x:v>Зима 2025</x:v>
      </x:c>
      <x:c r="F5289" s="87" t="str">
        <x:v>11.12.2025</x:v>
      </x:c>
      <x:c r="G5289" s="87" t="str">
        <x:v>Биология</x:v>
      </x:c>
      <x:c r="H5289" s="87" t="n">
        <x:v>11</x:v>
      </x:c>
      <x:c r="I5289" s="87"/>
      <x:c r="J5289" s="87" t="str">
        <x:v>953</x:v>
      </x:c>
      <x:c r="K5289" s="87" t="n">
        <x:v>10</x:v>
      </x:c>
      <x:c r="L5289" s="87" t="str">
        <x:v>Соответствие</x:v>
      </x:c>
      <x:c r="M5289" s="30" t="str">
        <x:v>Соотнести характеристики со стадиями паразита 1–3.</x:v>
      </x:c>
      <x:c r="N5289" s="30" t="str">
        <x:v>322113</x:v>
      </x:c>
      <x:c r="O5289" s="30" t="str">
        <x:v>Стадии сопоставлены по месту обитания, миграции и половозрелости.</x:v>
      </x:c>
      <x:c r="P5289" s="30" t="str">
        <x:v>Ответ независимо решён по условию и вторично сверён с задачей ФИПИ в банке NeoFamily.</x:v>
      </x:c>
      <x:c r="Q5289" s="30"/>
      <x:c r="R5289" s="30"/>
      <x:c r="S5289" s="30" t="str">
        <x:v>953 биология.pdf; независимое решение</x:v>
      </x:c>
      <x:c r="T5289" s="30"/>
      <x:c r="U5289" s="30" t="str">
        <x:v>Расхождений нет.</x:v>
      </x:c>
      <x:c r="V5289" s="87" t="str">
        <x:v>VERIFIED</x:v>
      </x:c>
      <x:c r="W5289" s="87"/>
      <x:c r="X5289" s="87" t="n">
        <x:v>5</x:v>
      </x:c>
      <x:c r="Y5289" s="87"/>
      <x:c r="Z5289" s="87"/>
      <x:c r="AA5289" s="87"/>
      <x:c r="AB5289" s="87"/>
      <x:c r="AC5289" s="87" t="str">
        <x:v>VIS-EGKR-BIO-W25-TASK-953-P005</x:v>
      </x:c>
      <x:c r="AD5289" s="87"/>
      <x:c r="AE5289" s="87" t="str">
        <x:v>TASK</x:v>
      </x:c>
      <x:c r="AF5289" s="87" t="str">
        <x:v>VIS-EGKR-BIO-W25-TASK-953-P005: 5</x:v>
      </x:c>
      <x:c r="AG5289" s="87" t="str">
        <x:v>RESOLVED</x:v>
      </x:c>
      <x:c r="AH5289" s="87" t="str">
        <x:v>CROP_VERIFIED</x:v>
      </x:c>
      <x:c r="AI5289" s="30"/>
      <x:c r="AJ5289" s="87" t="str">
        <x:v>clean</x:v>
      </x:c>
      <x:c r="AK5289" s="87" t="str">
        <x:v>clean-v0.12</x:v>
      </x:c>
      <x:c r="AL5289" s="87" t="str">
        <x:v>statgrad_clean_continuation_v0_12(1).xlsx</x:v>
      </x:c>
      <x:c r="AM5289" s="87" t="str">
        <x:v>BIO_EGKR_953</x:v>
      </x:c>
      <x:c r="AN5289" s="87" t="n">
        <x:v>11</x:v>
      </x:c>
    </x:row>
    <x:row r="5290">
      <x:c r="A5290" s="87" t="n">
        <x:v>5289</x:v>
      </x:c>
      <x:c r="B5290" s="87" t="str">
        <x:v>EGKR-W25-BIO-953-11</x:v>
      </x:c>
      <x:c r="C5290" s="87" t="str">
        <x:v>ЕГКР</x:v>
      </x:c>
      <x:c r="D5290" s="87"/>
      <x:c r="E5290" s="87" t="str">
        <x:v>Зима 2025</x:v>
      </x:c>
      <x:c r="F5290" s="87" t="str">
        <x:v>11.12.2025</x:v>
      </x:c>
      <x:c r="G5290" s="87" t="str">
        <x:v>Биология</x:v>
      </x:c>
      <x:c r="H5290" s="87" t="n">
        <x:v>11</x:v>
      </x:c>
      <x:c r="I5290" s="87"/>
      <x:c r="J5290" s="87" t="str">
        <x:v>953</x:v>
      </x:c>
      <x:c r="K5290" s="87" t="n">
        <x:v>11</x:v>
      </x:c>
      <x:c r="L5290" s="87" t="str">
        <x:v>Множественный выбор</x:v>
      </x:c>
      <x:c r="M5290" s="30" t="str">
        <x:v>Выбрать верные утверждения о брюхоногих моллюсках.</x:v>
      </x:c>
      <x:c r="N5290" s="30" t="str">
        <x:v>135</x:v>
      </x:c>
      <x:c r="O5290" s="30" t="str">
        <x:v>Брюхоногие имеют несегментированное тело, незамкнутую систему и камерное сердце.</x:v>
      </x:c>
      <x:c r="P5290" s="30" t="str">
        <x:v>Ответ независимо решён по условию и вторично сверён с задачей ФИПИ в банке NeoFamily.</x:v>
      </x:c>
      <x:c r="Q5290" s="30"/>
      <x:c r="R5290" s="30"/>
      <x:c r="S5290" s="30" t="str">
        <x:v>953 биология.pdf; независимое решение</x:v>
      </x:c>
      <x:c r="T5290" s="30"/>
      <x:c r="U5290" s="30" t="str">
        <x:v>Расхождений нет.</x:v>
      </x:c>
      <x:c r="V5290" s="87" t="str">
        <x:v>VERIFIED</x:v>
      </x:c>
      <x:c r="W5290" s="87"/>
      <x:c r="X5290" s="87" t="n">
        <x:v>6</x:v>
      </x:c>
      <x:c r="Y5290" s="87"/>
      <x:c r="Z5290" s="87"/>
      <x:c r="AA5290" s="87"/>
      <x:c r="AB5290" s="87"/>
      <x:c r="AC5290" s="87" t="str">
        <x:v>VIS-EGKR-BIO-W25-TASK-953-P006</x:v>
      </x:c>
      <x:c r="AD5290" s="87"/>
      <x:c r="AE5290" s="87" t="str">
        <x:v>TASK</x:v>
      </x:c>
      <x:c r="AF5290" s="87" t="str">
        <x:v>VIS-EGKR-BIO-W25-TASK-953-P006: 6</x:v>
      </x:c>
      <x:c r="AG5290" s="87" t="str">
        <x:v>RESOLVED</x:v>
      </x:c>
      <x:c r="AH5290" s="87" t="str">
        <x:v>CROP_VERIFIED</x:v>
      </x:c>
      <x:c r="AI5290" s="30"/>
      <x:c r="AJ5290" s="87" t="str">
        <x:v>clean</x:v>
      </x:c>
      <x:c r="AK5290" s="87" t="str">
        <x:v>clean-v0.12</x:v>
      </x:c>
      <x:c r="AL5290" s="87" t="str">
        <x:v>statgrad_clean_continuation_v0_12(1).xlsx</x:v>
      </x:c>
      <x:c r="AM5290" s="87" t="str">
        <x:v>BIO_EGKR_953</x:v>
      </x:c>
      <x:c r="AN5290" s="87" t="n">
        <x:v>12</x:v>
      </x:c>
    </x:row>
    <x:row r="5291">
      <x:c r="A5291" s="87" t="n">
        <x:v>5290</x:v>
      </x:c>
      <x:c r="B5291" s="87" t="str">
        <x:v>EGKR-W25-BIO-953-12</x:v>
      </x:c>
      <x:c r="C5291" s="87" t="str">
        <x:v>ЕГКР</x:v>
      </x:c>
      <x:c r="D5291" s="87"/>
      <x:c r="E5291" s="87" t="str">
        <x:v>Зима 2025</x:v>
      </x:c>
      <x:c r="F5291" s="87" t="str">
        <x:v>11.12.2025</x:v>
      </x:c>
      <x:c r="G5291" s="87" t="str">
        <x:v>Биология</x:v>
      </x:c>
      <x:c r="H5291" s="87" t="n">
        <x:v>11</x:v>
      </x:c>
      <x:c r="I5291" s="87"/>
      <x:c r="J5291" s="87" t="str">
        <x:v>953</x:v>
      </x:c>
      <x:c r="K5291" s="87" t="n">
        <x:v>12</x:v>
      </x:c>
      <x:c r="L5291" s="87" t="str">
        <x:v>Последовательность</x:v>
      </x:c>
      <x:c r="M5291" s="30" t="str">
        <x:v>Расположить таксоны гигантского осьминога от низшего ранга к высшему.</x:v>
      </x:c>
      <x:c r="N5291" s="30" t="str">
        <x:v>245361</x:v>
      </x:c>
      <x:c r="O5291" s="30" t="str">
        <x:v>Вид → род → класс → тип → царство → надцарство.</x:v>
      </x:c>
      <x:c r="P5291" s="30" t="str">
        <x:v>Ответ независимо решён по условию и вторично сверён с задачей ФИПИ в банке NeoFamily.</x:v>
      </x:c>
      <x:c r="Q5291" s="30"/>
      <x:c r="R5291" s="30"/>
      <x:c r="S5291" s="30" t="str">
        <x:v>953 биология.pdf; независимое решение</x:v>
      </x:c>
      <x:c r="T5291" s="30"/>
      <x:c r="U5291" s="30" t="str">
        <x:v>Расхождений нет.</x:v>
      </x:c>
      <x:c r="V5291" s="87" t="str">
        <x:v>VERIFIED</x:v>
      </x:c>
      <x:c r="W5291" s="87"/>
      <x:c r="X5291" s="87" t="n">
        <x:v>6</x:v>
      </x:c>
      <x:c r="Y5291" s="87"/>
      <x:c r="Z5291" s="87"/>
      <x:c r="AA5291" s="87"/>
      <x:c r="AB5291" s="87"/>
      <x:c r="AC5291" s="87" t="str">
        <x:v>VIS-EGKR-BIO-W25-TASK-953-P006</x:v>
      </x:c>
      <x:c r="AD5291" s="87"/>
      <x:c r="AE5291" s="87" t="str">
        <x:v>TASK</x:v>
      </x:c>
      <x:c r="AF5291" s="87" t="str">
        <x:v>VIS-EGKR-BIO-W25-TASK-953-P006: 6</x:v>
      </x:c>
      <x:c r="AG5291" s="87" t="str">
        <x:v>RESOLVED</x:v>
      </x:c>
      <x:c r="AH5291" s="87" t="str">
        <x:v>CROP_VERIFIED</x:v>
      </x:c>
      <x:c r="AI5291" s="30"/>
      <x:c r="AJ5291" s="87" t="str">
        <x:v>clean</x:v>
      </x:c>
      <x:c r="AK5291" s="87" t="str">
        <x:v>clean-v0.12</x:v>
      </x:c>
      <x:c r="AL5291" s="87" t="str">
        <x:v>statgrad_clean_continuation_v0_12(1).xlsx</x:v>
      </x:c>
      <x:c r="AM5291" s="87" t="str">
        <x:v>BIO_EGKR_953</x:v>
      </x:c>
      <x:c r="AN5291" s="87" t="n">
        <x:v>13</x:v>
      </x:c>
    </x:row>
    <x:row r="5292">
      <x:c r="A5292" s="87" t="n">
        <x:v>5291</x:v>
      </x:c>
      <x:c r="B5292" s="87" t="str">
        <x:v>EGKR-W25-BIO-953-13</x:v>
      </x:c>
      <x:c r="C5292" s="87" t="str">
        <x:v>ЕГКР</x:v>
      </x:c>
      <x:c r="D5292" s="87"/>
      <x:c r="E5292" s="87" t="str">
        <x:v>Зима 2025</x:v>
      </x:c>
      <x:c r="F5292" s="87" t="str">
        <x:v>11.12.2025</x:v>
      </x:c>
      <x:c r="G5292" s="87" t="str">
        <x:v>Биология</x:v>
      </x:c>
      <x:c r="H5292" s="87" t="n">
        <x:v>11</x:v>
      </x:c>
      <x:c r="I5292" s="87"/>
      <x:c r="J5292" s="87" t="str">
        <x:v>953</x:v>
      </x:c>
      <x:c r="K5292" s="87" t="n">
        <x:v>13</x:v>
      </x:c>
      <x:c r="L5292" s="87" t="str">
        <x:v>Работа с рисунком</x:v>
      </x:c>
      <x:c r="M5292" s="30" t="str">
        <x:v>По рисунку определить тромбоцит человека.</x:v>
      </x:c>
      <x:c r="N5292" s="30" t="str">
        <x:v>4</x:v>
      </x:c>
      <x:c r="O5292" s="30" t="str">
        <x:v>Тромбоцит обозначен цифрой 4.</x:v>
      </x:c>
      <x:c r="P5292" s="30" t="str">
        <x:v>Ответ независимо решён по условию и вторично сверён с задачей ФИПИ в банке NeoFamily.</x:v>
      </x:c>
      <x:c r="Q5292" s="30"/>
      <x:c r="R5292" s="30"/>
      <x:c r="S5292" s="30" t="str">
        <x:v>953 биология.pdf; независимое решение</x:v>
      </x:c>
      <x:c r="T5292" s="30"/>
      <x:c r="U5292" s="30" t="str">
        <x:v>Расхождений нет.</x:v>
      </x:c>
      <x:c r="V5292" s="87" t="str">
        <x:v>VERIFIED</x:v>
      </x:c>
      <x:c r="W5292" s="87"/>
      <x:c r="X5292" s="87" t="n">
        <x:v>7</x:v>
      </x:c>
      <x:c r="Y5292" s="87"/>
      <x:c r="Z5292" s="87"/>
      <x:c r="AA5292" s="87"/>
      <x:c r="AB5292" s="87"/>
      <x:c r="AC5292" s="87" t="str">
        <x:v>VIS-EGKR-BIO-W25-TASK-953-P007</x:v>
      </x:c>
      <x:c r="AD5292" s="87"/>
      <x:c r="AE5292" s="87" t="str">
        <x:v>TASK</x:v>
      </x:c>
      <x:c r="AF5292" s="87" t="str">
        <x:v>VIS-EGKR-BIO-W25-TASK-953-P007: 7</x:v>
      </x:c>
      <x:c r="AG5292" s="87" t="str">
        <x:v>RESOLVED</x:v>
      </x:c>
      <x:c r="AH5292" s="87" t="str">
        <x:v>CROP_VERIFIED</x:v>
      </x:c>
      <x:c r="AI5292" s="30"/>
      <x:c r="AJ5292" s="87" t="str">
        <x:v>clean</x:v>
      </x:c>
      <x:c r="AK5292" s="87" t="str">
        <x:v>clean-v0.12</x:v>
      </x:c>
      <x:c r="AL5292" s="87" t="str">
        <x:v>statgrad_clean_continuation_v0_12(1).xlsx</x:v>
      </x:c>
      <x:c r="AM5292" s="87" t="str">
        <x:v>BIO_EGKR_953</x:v>
      </x:c>
      <x:c r="AN5292" s="87" t="n">
        <x:v>14</x:v>
      </x:c>
    </x:row>
    <x:row r="5293">
      <x:c r="A5293" s="87" t="n">
        <x:v>5292</x:v>
      </x:c>
      <x:c r="B5293" s="87" t="str">
        <x:v>EGKR-W25-BIO-953-14</x:v>
      </x:c>
      <x:c r="C5293" s="87" t="str">
        <x:v>ЕГКР</x:v>
      </x:c>
      <x:c r="D5293" s="87"/>
      <x:c r="E5293" s="87" t="str">
        <x:v>Зима 2025</x:v>
      </x:c>
      <x:c r="F5293" s="87" t="str">
        <x:v>11.12.2025</x:v>
      </x:c>
      <x:c r="G5293" s="87" t="str">
        <x:v>Биология</x:v>
      </x:c>
      <x:c r="H5293" s="87" t="n">
        <x:v>11</x:v>
      </x:c>
      <x:c r="I5293" s="87"/>
      <x:c r="J5293" s="87" t="str">
        <x:v>953</x:v>
      </x:c>
      <x:c r="K5293" s="87" t="n">
        <x:v>14</x:v>
      </x:c>
      <x:c r="L5293" s="87" t="str">
        <x:v>Соответствие</x:v>
      </x:c>
      <x:c r="M5293" s="30" t="str">
        <x:v>Соотнести признаки с артерией, веной и капилляром.</x:v>
      </x:c>
      <x:c r="N5293" s="30" t="str">
        <x:v>213223</x:v>
      </x:c>
      <x:c r="O5293" s="30" t="str">
        <x:v>Капилляр однослойный и обеспечивает обмен; вена несёт кровь к сердцу; артерия имеет максимальное давление.</x:v>
      </x:c>
      <x:c r="P5293" s="30" t="str">
        <x:v>Ответ независимо решён по условию и вторично сверён с задачей ФИПИ в банке NeoFamily.</x:v>
      </x:c>
      <x:c r="Q5293" s="30"/>
      <x:c r="R5293" s="30"/>
      <x:c r="S5293" s="30" t="str">
        <x:v>953 биология.pdf; независимое решение</x:v>
      </x:c>
      <x:c r="T5293" s="30"/>
      <x:c r="U5293" s="30" t="str">
        <x:v>Расхождений нет.</x:v>
      </x:c>
      <x:c r="V5293" s="87" t="str">
        <x:v>VERIFIED</x:v>
      </x:c>
      <x:c r="W5293" s="87"/>
      <x:c r="X5293" s="87" t="n">
        <x:v>7</x:v>
      </x:c>
      <x:c r="Y5293" s="87"/>
      <x:c r="Z5293" s="87"/>
      <x:c r="AA5293" s="87"/>
      <x:c r="AB5293" s="87"/>
      <x:c r="AC5293" s="87" t="str">
        <x:v>VIS-EGKR-BIO-W25-TASK-953-P007</x:v>
      </x:c>
      <x:c r="AD5293" s="87"/>
      <x:c r="AE5293" s="87" t="str">
        <x:v>TASK</x:v>
      </x:c>
      <x:c r="AF5293" s="87" t="str">
        <x:v>VIS-EGKR-BIO-W25-TASK-953-P007: 7</x:v>
      </x:c>
      <x:c r="AG5293" s="87" t="str">
        <x:v>RESOLVED</x:v>
      </x:c>
      <x:c r="AH5293" s="87" t="str">
        <x:v>CROP_VERIFIED</x:v>
      </x:c>
      <x:c r="AI5293" s="30"/>
      <x:c r="AJ5293" s="87" t="str">
        <x:v>clean</x:v>
      </x:c>
      <x:c r="AK5293" s="87" t="str">
        <x:v>clean-v0.12</x:v>
      </x:c>
      <x:c r="AL5293" s="87" t="str">
        <x:v>statgrad_clean_continuation_v0_12(1).xlsx</x:v>
      </x:c>
      <x:c r="AM5293" s="87" t="str">
        <x:v>BIO_EGKR_953</x:v>
      </x:c>
      <x:c r="AN5293" s="87" t="n">
        <x:v>15</x:v>
      </x:c>
    </x:row>
    <x:row r="5294">
      <x:c r="A5294" s="87" t="n">
        <x:v>5293</x:v>
      </x:c>
      <x:c r="B5294" s="87" t="str">
        <x:v>EGKR-W25-BIO-953-15</x:v>
      </x:c>
      <x:c r="C5294" s="87" t="str">
        <x:v>ЕГКР</x:v>
      </x:c>
      <x:c r="D5294" s="87"/>
      <x:c r="E5294" s="87" t="str">
        <x:v>Зима 2025</x:v>
      </x:c>
      <x:c r="F5294" s="87" t="str">
        <x:v>11.12.2025</x:v>
      </x:c>
      <x:c r="G5294" s="87" t="str">
        <x:v>Биология</x:v>
      </x:c>
      <x:c r="H5294" s="87" t="n">
        <x:v>11</x:v>
      </x:c>
      <x:c r="I5294" s="87"/>
      <x:c r="J5294" s="87" t="str">
        <x:v>953</x:v>
      </x:c>
      <x:c r="K5294" s="87" t="n">
        <x:v>15</x:v>
      </x:c>
      <x:c r="L5294" s="87" t="str">
        <x:v>Работа с рисунком</x:v>
      </x:c>
      <x:c r="M5294" s="30" t="str">
        <x:v>Выбрать три верные подписи к схеме воспалительного процесса.</x:v>
      </x:c>
      <x:c r="N5294" s="30" t="str">
        <x:v>135</x:v>
      </x:c>
      <x:c r="O5294" s="30" t="str">
        <x:v>Объекты воспаления определены по расположению сосуда, бактерий и лейкоцита.</x:v>
      </x:c>
      <x:c r="P5294" s="30" t="str">
        <x:v>Ответ независимо решён по условию и вторично сверён с задачей ФИПИ в банке NeoFamily.</x:v>
      </x:c>
      <x:c r="Q5294" s="30"/>
      <x:c r="R5294" s="30"/>
      <x:c r="S5294" s="30" t="str">
        <x:v>953 биология.pdf; независимое решение</x:v>
      </x:c>
      <x:c r="T5294" s="30"/>
      <x:c r="U5294" s="30" t="str">
        <x:v>Расхождений нет.</x:v>
      </x:c>
      <x:c r="V5294" s="87" t="str">
        <x:v>VERIFIED</x:v>
      </x:c>
      <x:c r="W5294" s="87"/>
      <x:c r="X5294" s="87" t="n">
        <x:v>8</x:v>
      </x:c>
      <x:c r="Y5294" s="87"/>
      <x:c r="Z5294" s="87"/>
      <x:c r="AA5294" s="87"/>
      <x:c r="AB5294" s="87"/>
      <x:c r="AC5294" s="87" t="str">
        <x:v>VIS-EGKR-BIO-W25-TASK-953-P008</x:v>
      </x:c>
      <x:c r="AD5294" s="87"/>
      <x:c r="AE5294" s="87" t="str">
        <x:v>TASK</x:v>
      </x:c>
      <x:c r="AF5294" s="87" t="str">
        <x:v>VIS-EGKR-BIO-W25-TASK-953-P008: 8</x:v>
      </x:c>
      <x:c r="AG5294" s="87" t="str">
        <x:v>RESOLVED</x:v>
      </x:c>
      <x:c r="AH5294" s="87" t="str">
        <x:v>CROP_VERIFIED</x:v>
      </x:c>
      <x:c r="AI5294" s="30"/>
      <x:c r="AJ5294" s="87" t="str">
        <x:v>clean</x:v>
      </x:c>
      <x:c r="AK5294" s="87" t="str">
        <x:v>clean-v0.12</x:v>
      </x:c>
      <x:c r="AL5294" s="87" t="str">
        <x:v>statgrad_clean_continuation_v0_12(1).xlsx</x:v>
      </x:c>
      <x:c r="AM5294" s="87" t="str">
        <x:v>BIO_EGKR_953</x:v>
      </x:c>
      <x:c r="AN5294" s="87" t="n">
        <x:v>16</x:v>
      </x:c>
    </x:row>
    <x:row r="5295">
      <x:c r="A5295" s="87" t="n">
        <x:v>5294</x:v>
      </x:c>
      <x:c r="B5295" s="87" t="str">
        <x:v>EGKR-W25-BIO-953-16</x:v>
      </x:c>
      <x:c r="C5295" s="87" t="str">
        <x:v>ЕГКР</x:v>
      </x:c>
      <x:c r="D5295" s="87"/>
      <x:c r="E5295" s="87" t="str">
        <x:v>Зима 2025</x:v>
      </x:c>
      <x:c r="F5295" s="87" t="str">
        <x:v>11.12.2025</x:v>
      </x:c>
      <x:c r="G5295" s="87" t="str">
        <x:v>Биология</x:v>
      </x:c>
      <x:c r="H5295" s="87" t="n">
        <x:v>11</x:v>
      </x:c>
      <x:c r="I5295" s="87"/>
      <x:c r="J5295" s="87" t="str">
        <x:v>953</x:v>
      </x:c>
      <x:c r="K5295" s="87" t="n">
        <x:v>16</x:v>
      </x:c>
      <x:c r="L5295" s="87" t="str">
        <x:v>Последовательность</x:v>
      </x:c>
      <x:c r="M5295" s="30" t="str">
        <x:v>Расположить уровни организации: кровеносная система, сердце, желудочек, кардиомиоцит, сократительный аппарат, миозин.</x:v>
      </x:c>
      <x:c r="N5295" s="30" t="str">
        <x:v>213546</x:v>
      </x:c>
      <x:c r="O5295" s="30" t="str">
        <x:v>Организмная система → орган → часть органа → клетка → органоидный комплекс → белок.</x:v>
      </x:c>
      <x:c r="P5295" s="30" t="str">
        <x:v>Ответ независимо решён по условию и вторично сверён с задачей ФИПИ в банке NeoFamily.</x:v>
      </x:c>
      <x:c r="Q5295" s="30"/>
      <x:c r="R5295" s="30"/>
      <x:c r="S5295" s="30" t="str">
        <x:v>953 биология.pdf; независимое решение</x:v>
      </x:c>
      <x:c r="T5295" s="30"/>
      <x:c r="U5295" s="30" t="str">
        <x:v>Расхождений нет.</x:v>
      </x:c>
      <x:c r="V5295" s="87" t="str">
        <x:v>VERIFIED</x:v>
      </x:c>
      <x:c r="W5295" s="87"/>
      <x:c r="X5295" s="87" t="n">
        <x:v>8</x:v>
      </x:c>
      <x:c r="Y5295" s="87"/>
      <x:c r="Z5295" s="87"/>
      <x:c r="AA5295" s="87"/>
      <x:c r="AB5295" s="87"/>
      <x:c r="AC5295" s="87" t="str">
        <x:v>VIS-EGKR-BIO-W25-TASK-953-P008</x:v>
      </x:c>
      <x:c r="AD5295" s="87"/>
      <x:c r="AE5295" s="87" t="str">
        <x:v>TASK</x:v>
      </x:c>
      <x:c r="AF5295" s="87" t="str">
        <x:v>VIS-EGKR-BIO-W25-TASK-953-P008: 8</x:v>
      </x:c>
      <x:c r="AG5295" s="87" t="str">
        <x:v>RESOLVED</x:v>
      </x:c>
      <x:c r="AH5295" s="87" t="str">
        <x:v>CROP_VERIFIED</x:v>
      </x:c>
      <x:c r="AI5295" s="30"/>
      <x:c r="AJ5295" s="87" t="str">
        <x:v>clean</x:v>
      </x:c>
      <x:c r="AK5295" s="87" t="str">
        <x:v>clean-v0.12</x:v>
      </x:c>
      <x:c r="AL5295" s="87" t="str">
        <x:v>statgrad_clean_continuation_v0_12(1).xlsx</x:v>
      </x:c>
      <x:c r="AM5295" s="87" t="str">
        <x:v>BIO_EGKR_953</x:v>
      </x:c>
      <x:c r="AN5295" s="87" t="n">
        <x:v>17</x:v>
      </x:c>
    </x:row>
    <x:row r="5296">
      <x:c r="A5296" s="87" t="n">
        <x:v>5295</x:v>
      </x:c>
      <x:c r="B5296" s="87" t="str">
        <x:v>EGKR-W25-BIO-953-17</x:v>
      </x:c>
      <x:c r="C5296" s="87" t="str">
        <x:v>ЕГКР</x:v>
      </x:c>
      <x:c r="D5296" s="87"/>
      <x:c r="E5296" s="87" t="str">
        <x:v>Зима 2025</x:v>
      </x:c>
      <x:c r="F5296" s="87" t="str">
        <x:v>11.12.2025</x:v>
      </x:c>
      <x:c r="G5296" s="87" t="str">
        <x:v>Биология</x:v>
      </x:c>
      <x:c r="H5296" s="87" t="n">
        <x:v>11</x:v>
      </x:c>
      <x:c r="I5296" s="87"/>
      <x:c r="J5296" s="87" t="str">
        <x:v>953</x:v>
      </x:c>
      <x:c r="K5296" s="87" t="n">
        <x:v>17</x:v>
      </x:c>
      <x:c r="L5296" s="87" t="str">
        <x:v>Анализ текста</x:v>
      </x:c>
      <x:c r="M5296" s="30" t="str">
        <x:v>Выбрать предложения с биохимическими признаками кислицы обыкновенной.</x:v>
      </x:c>
      <x:c r="N5296" s="30" t="str">
        <x:v>345</x:v>
      </x:c>
      <x:c r="O5296" s="30" t="str">
        <x:v>Биохимические признаки описывают кислоты, витамины и ядовитые вещества.</x:v>
      </x:c>
      <x:c r="P5296" s="30" t="str">
        <x:v>Ответ независимо решён по условию и вторично сверён с задачей ФИПИ в банке NeoFamily.</x:v>
      </x:c>
      <x:c r="Q5296" s="30"/>
      <x:c r="R5296" s="30"/>
      <x:c r="S5296" s="30" t="str">
        <x:v>953 биология.pdf; независимое решение</x:v>
      </x:c>
      <x:c r="T5296" s="30"/>
      <x:c r="U5296" s="30" t="str">
        <x:v>Расхождений нет.</x:v>
      </x:c>
      <x:c r="V5296" s="87" t="str">
        <x:v>VERIFIED</x:v>
      </x:c>
      <x:c r="W5296" s="87"/>
      <x:c r="X5296" s="87" t="n">
        <x:v>9</x:v>
      </x:c>
      <x:c r="Y5296" s="87"/>
      <x:c r="Z5296" s="87"/>
      <x:c r="AA5296" s="87"/>
      <x:c r="AB5296" s="87"/>
      <x:c r="AC5296" s="87" t="str">
        <x:v>VIS-EGKR-BIO-W25-TASK-953-P009</x:v>
      </x:c>
      <x:c r="AD5296" s="87"/>
      <x:c r="AE5296" s="87" t="str">
        <x:v>TASK</x:v>
      </x:c>
      <x:c r="AF5296" s="87" t="str">
        <x:v>VIS-EGKR-BIO-W25-TASK-953-P009: 9</x:v>
      </x:c>
      <x:c r="AG5296" s="87" t="str">
        <x:v>RESOLVED</x:v>
      </x:c>
      <x:c r="AH5296" s="87" t="str">
        <x:v>CROP_VERIFIED</x:v>
      </x:c>
      <x:c r="AI5296" s="30"/>
      <x:c r="AJ5296" s="87" t="str">
        <x:v>clean</x:v>
      </x:c>
      <x:c r="AK5296" s="87" t="str">
        <x:v>clean-v0.12</x:v>
      </x:c>
      <x:c r="AL5296" s="87" t="str">
        <x:v>statgrad_clean_continuation_v0_12(1).xlsx</x:v>
      </x:c>
      <x:c r="AM5296" s="87" t="str">
        <x:v>BIO_EGKR_953</x:v>
      </x:c>
      <x:c r="AN5296" s="87" t="n">
        <x:v>18</x:v>
      </x:c>
    </x:row>
    <x:row r="5297">
      <x:c r="A5297" s="87" t="n">
        <x:v>5296</x:v>
      </x:c>
      <x:c r="B5297" s="87" t="str">
        <x:v>EGKR-W25-BIO-953-18</x:v>
      </x:c>
      <x:c r="C5297" s="87" t="str">
        <x:v>ЕГКР</x:v>
      </x:c>
      <x:c r="D5297" s="87"/>
      <x:c r="E5297" s="87" t="str">
        <x:v>Зима 2025</x:v>
      </x:c>
      <x:c r="F5297" s="87" t="str">
        <x:v>11.12.2025</x:v>
      </x:c>
      <x:c r="G5297" s="87" t="str">
        <x:v>Биология</x:v>
      </x:c>
      <x:c r="H5297" s="87" t="n">
        <x:v>11</x:v>
      </x:c>
      <x:c r="I5297" s="87"/>
      <x:c r="J5297" s="87" t="str">
        <x:v>953</x:v>
      </x:c>
      <x:c r="K5297" s="87" t="n">
        <x:v>18</x:v>
      </x:c>
      <x:c r="L5297" s="87" t="str">
        <x:v>Множественный выбор</x:v>
      </x:c>
      <x:c r="M5297" s="30" t="str">
        <x:v>Выбрать особенности водной среды по сравнению с наземно-воздушной.</x:v>
      </x:c>
      <x:c r="N5297" s="30" t="str">
        <x:v>146</x:v>
      </x:c>
      <x:c r="O5297" s="30" t="str">
        <x:v>Вода плотнее, имеет меньший диапазон температур и ниже светопроницаемость.</x:v>
      </x:c>
      <x:c r="P5297" s="30" t="str">
        <x:v>Ответ независимо решён по условию и вторично сверён с задачей ФИПИ в банке NeoFamily.</x:v>
      </x:c>
      <x:c r="Q5297" s="30"/>
      <x:c r="R5297" s="30"/>
      <x:c r="S5297" s="30" t="str">
        <x:v>953 биология.pdf; независимое решение</x:v>
      </x:c>
      <x:c r="T5297" s="30"/>
      <x:c r="U5297" s="30" t="str">
        <x:v>Расхождений нет.</x:v>
      </x:c>
      <x:c r="V5297" s="87" t="str">
        <x:v>VERIFIED</x:v>
      </x:c>
      <x:c r="W5297" s="87"/>
      <x:c r="X5297" s="87" t="n">
        <x:v>9</x:v>
      </x:c>
      <x:c r="Y5297" s="87"/>
      <x:c r="Z5297" s="87"/>
      <x:c r="AA5297" s="87"/>
      <x:c r="AB5297" s="87"/>
      <x:c r="AC5297" s="87" t="str">
        <x:v>VIS-EGKR-BIO-W25-TASK-953-P009</x:v>
      </x:c>
      <x:c r="AD5297" s="87"/>
      <x:c r="AE5297" s="87" t="str">
        <x:v>TASK</x:v>
      </x:c>
      <x:c r="AF5297" s="87" t="str">
        <x:v>VIS-EGKR-BIO-W25-TASK-953-P009: 9</x:v>
      </x:c>
      <x:c r="AG5297" s="87" t="str">
        <x:v>RESOLVED</x:v>
      </x:c>
      <x:c r="AH5297" s="87" t="str">
        <x:v>CROP_VERIFIED</x:v>
      </x:c>
      <x:c r="AI5297" s="30"/>
      <x:c r="AJ5297" s="87" t="str">
        <x:v>clean</x:v>
      </x:c>
      <x:c r="AK5297" s="87" t="str">
        <x:v>clean-v0.12</x:v>
      </x:c>
      <x:c r="AL5297" s="87" t="str">
        <x:v>statgrad_clean_continuation_v0_12(1).xlsx</x:v>
      </x:c>
      <x:c r="AM5297" s="87" t="str">
        <x:v>BIO_EGKR_953</x:v>
      </x:c>
      <x:c r="AN5297" s="87" t="n">
        <x:v>19</x:v>
      </x:c>
    </x:row>
    <x:row r="5298">
      <x:c r="A5298" s="87" t="n">
        <x:v>5297</x:v>
      </x:c>
      <x:c r="B5298" s="87" t="str">
        <x:v>EGKR-W25-BIO-953-19</x:v>
      </x:c>
      <x:c r="C5298" s="87" t="str">
        <x:v>ЕГКР</x:v>
      </x:c>
      <x:c r="D5298" s="87"/>
      <x:c r="E5298" s="87" t="str">
        <x:v>Зима 2025</x:v>
      </x:c>
      <x:c r="F5298" s="87" t="str">
        <x:v>11.12.2025</x:v>
      </x:c>
      <x:c r="G5298" s="87" t="str">
        <x:v>Биология</x:v>
      </x:c>
      <x:c r="H5298" s="87" t="n">
        <x:v>11</x:v>
      </x:c>
      <x:c r="I5298" s="87"/>
      <x:c r="J5298" s="87" t="str">
        <x:v>953</x:v>
      </x:c>
      <x:c r="K5298" s="87" t="n">
        <x:v>19</x:v>
      </x:c>
      <x:c r="L5298" s="87" t="str">
        <x:v>Соответствие</x:v>
      </x:c>
      <x:c r="M5298" s="30" t="str">
        <x:v>Соотнести примеры с палеонтологическими и сравнительно-анатомическими доказательствами эволюции.</x:v>
      </x:c>
      <x:c r="N5298" s="30" t="str">
        <x:v>122121</x:v>
      </x:c>
      <x:c r="O5298" s="30" t="str">
        <x:v>Ископаемые остатки — палеонтологические данные; гомологии и атавизмы — сравнительно-анатомические.</x:v>
      </x:c>
      <x:c r="P5298" s="30" t="str">
        <x:v>Ответ независимо решён по условию и вторично сверён с задачей ФИПИ в банке NeoFamily.</x:v>
      </x:c>
      <x:c r="Q5298" s="30"/>
      <x:c r="R5298" s="30"/>
      <x:c r="S5298" s="30" t="str">
        <x:v>953 биология.pdf; независимое решение</x:v>
      </x:c>
      <x:c r="T5298" s="30"/>
      <x:c r="U5298" s="30" t="str">
        <x:v>Расхождений нет.</x:v>
      </x:c>
      <x:c r="V5298" s="87" t="str">
        <x:v>VERIFIED</x:v>
      </x:c>
      <x:c r="W5298" s="87"/>
      <x:c r="X5298" s="87" t="n">
        <x:v>10</x:v>
      </x:c>
      <x:c r="Y5298" s="87"/>
      <x:c r="Z5298" s="87"/>
      <x:c r="AA5298" s="87"/>
      <x:c r="AB5298" s="87"/>
      <x:c r="AC5298" s="87" t="str">
        <x:v>VIS-EGKR-BIO-W25-TASK-953-P010</x:v>
      </x:c>
      <x:c r="AD5298" s="87"/>
      <x:c r="AE5298" s="87" t="str">
        <x:v>TASK</x:v>
      </x:c>
      <x:c r="AF5298" s="87" t="str">
        <x:v>VIS-EGKR-BIO-W25-TASK-953-P010: 10</x:v>
      </x:c>
      <x:c r="AG5298" s="87" t="str">
        <x:v>RESOLVED</x:v>
      </x:c>
      <x:c r="AH5298" s="87" t="str">
        <x:v>CROP_VERIFIED</x:v>
      </x:c>
      <x:c r="AI5298" s="30"/>
      <x:c r="AJ5298" s="87" t="str">
        <x:v>clean</x:v>
      </x:c>
      <x:c r="AK5298" s="87" t="str">
        <x:v>clean-v0.12</x:v>
      </x:c>
      <x:c r="AL5298" s="87" t="str">
        <x:v>statgrad_clean_continuation_v0_12(1).xlsx</x:v>
      </x:c>
      <x:c r="AM5298" s="87" t="str">
        <x:v>BIO_EGKR_953</x:v>
      </x:c>
      <x:c r="AN5298" s="87" t="n">
        <x:v>20</x:v>
      </x:c>
    </x:row>
    <x:row r="5299">
      <x:c r="A5299" s="87" t="n">
        <x:v>5298</x:v>
      </x:c>
      <x:c r="B5299" s="87" t="str">
        <x:v>EGKR-W25-BIO-953-20</x:v>
      </x:c>
      <x:c r="C5299" s="87" t="str">
        <x:v>ЕГКР</x:v>
      </x:c>
      <x:c r="D5299" s="87"/>
      <x:c r="E5299" s="87" t="str">
        <x:v>Зима 2025</x:v>
      </x:c>
      <x:c r="F5299" s="87" t="str">
        <x:v>11.12.2025</x:v>
      </x:c>
      <x:c r="G5299" s="87" t="str">
        <x:v>Биология</x:v>
      </x:c>
      <x:c r="H5299" s="87" t="n">
        <x:v>11</x:v>
      </x:c>
      <x:c r="I5299" s="87"/>
      <x:c r="J5299" s="87" t="str">
        <x:v>953</x:v>
      </x:c>
      <x:c r="K5299" s="87" t="n">
        <x:v>20</x:v>
      </x:c>
      <x:c r="L5299" s="87" t="str">
        <x:v>Заполнение таблицы</x:v>
      </x:c>
      <x:c r="M5299" s="30" t="str">
        <x:v>Заполнить таблицу стадий антропогенеза по виду, строению стопы и орудиям.</x:v>
      </x:c>
      <x:c r="N5299" s="30" t="str">
        <x:v>652</x:v>
      </x:c>
      <x:c r="O5299" s="30" t="str">
        <x:v>Этапы антропогенеза сопоставлены по морфологии стопы и характерным орудиям.</x:v>
      </x:c>
      <x:c r="P5299" s="30" t="str">
        <x:v>Ответ независимо решён по условию и вторично сверён с задачей ФИПИ в банке NeoFamily.</x:v>
      </x:c>
      <x:c r="Q5299" s="30"/>
      <x:c r="R5299" s="30"/>
      <x:c r="S5299" s="30" t="str">
        <x:v>953 биология.pdf; независимое решение</x:v>
      </x:c>
      <x:c r="T5299" s="30"/>
      <x:c r="U5299" s="30" t="str">
        <x:v>Расхождений нет.</x:v>
      </x:c>
      <x:c r="V5299" s="87" t="str">
        <x:v>VERIFIED</x:v>
      </x:c>
      <x:c r="W5299" s="87"/>
      <x:c r="X5299" s="87" t="n">
        <x:v>10</x:v>
      </x:c>
      <x:c r="Y5299" s="87"/>
      <x:c r="Z5299" s="87"/>
      <x:c r="AA5299" s="87"/>
      <x:c r="AB5299" s="87"/>
      <x:c r="AC5299" s="87" t="str">
        <x:v>VIS-EGKR-BIO-W25-TASK-953-P010</x:v>
      </x:c>
      <x:c r="AD5299" s="87"/>
      <x:c r="AE5299" s="87" t="str">
        <x:v>TASK</x:v>
      </x:c>
      <x:c r="AF5299" s="87" t="str">
        <x:v>VIS-EGKR-BIO-W25-TASK-953-P010: 10</x:v>
      </x:c>
      <x:c r="AG5299" s="87" t="str">
        <x:v>RESOLVED</x:v>
      </x:c>
      <x:c r="AH5299" s="87" t="str">
        <x:v>CROP_VERIFIED</x:v>
      </x:c>
      <x:c r="AI5299" s="30"/>
      <x:c r="AJ5299" s="87" t="str">
        <x:v>clean</x:v>
      </x:c>
      <x:c r="AK5299" s="87" t="str">
        <x:v>clean-v0.12</x:v>
      </x:c>
      <x:c r="AL5299" s="87" t="str">
        <x:v>statgrad_clean_continuation_v0_12(1).xlsx</x:v>
      </x:c>
      <x:c r="AM5299" s="87" t="str">
        <x:v>BIO_EGKR_953</x:v>
      </x:c>
      <x:c r="AN5299" s="87" t="n">
        <x:v>21</x:v>
      </x:c>
    </x:row>
    <x:row r="5300">
      <x:c r="A5300" s="87" t="n">
        <x:v>5299</x:v>
      </x:c>
      <x:c r="B5300" s="87" t="str">
        <x:v>EGKR-W25-BIO-953-21</x:v>
      </x:c>
      <x:c r="C5300" s="87" t="str">
        <x:v>ЕГКР</x:v>
      </x:c>
      <x:c r="D5300" s="87"/>
      <x:c r="E5300" s="87" t="str">
        <x:v>Зима 2025</x:v>
      </x:c>
      <x:c r="F5300" s="87" t="str">
        <x:v>11.12.2025</x:v>
      </x:c>
      <x:c r="G5300" s="87" t="str">
        <x:v>Биология</x:v>
      </x:c>
      <x:c r="H5300" s="87" t="n">
        <x:v>11</x:v>
      </x:c>
      <x:c r="I5300" s="87"/>
      <x:c r="J5300" s="87" t="str">
        <x:v>953</x:v>
      </x:c>
      <x:c r="K5300" s="87" t="n">
        <x:v>21</x:v>
      </x:c>
      <x:c r="L5300" s="87" t="str">
        <x:v>Анализ данных</x:v>
      </x:c>
      <x:c r="M5300" s="30" t="str">
        <x:v>По графику переломов шейки бедра выбрать выводы, прямо следующие из данных.</x:v>
      </x:c>
      <x:c r="N5300" s="30" t="str">
        <x:v>24</x:v>
      </x:c>
      <x:c r="O5300" s="30" t="str">
        <x:v>Из графика следуют возрастной рост частоты переломов и максимум у женщин с диабетом после 50 лет.</x:v>
      </x:c>
      <x:c r="P5300" s="30" t="str">
        <x:v>Ответ независимо решён по условию и вторично сверён с задачей ФИПИ в банке NeoFamily.</x:v>
      </x:c>
      <x:c r="Q5300" s="30"/>
      <x:c r="R5300" s="30"/>
      <x:c r="S5300" s="30" t="str">
        <x:v>953 биология.pdf; независимое решение</x:v>
      </x:c>
      <x:c r="T5300" s="30"/>
      <x:c r="U5300" s="30" t="str">
        <x:v>Расхождений нет.</x:v>
      </x:c>
      <x:c r="V5300" s="87" t="str">
        <x:v>VERIFIED</x:v>
      </x:c>
      <x:c r="W5300" s="87"/>
      <x:c r="X5300" s="87" t="n">
        <x:v>11</x:v>
      </x:c>
      <x:c r="Y5300" s="87"/>
      <x:c r="Z5300" s="87"/>
      <x:c r="AA5300" s="87"/>
      <x:c r="AB5300" s="87"/>
      <x:c r="AC5300" s="87" t="str">
        <x:v>VIS-EGKR-BIO-W25-TASK-953-P011</x:v>
      </x:c>
      <x:c r="AD5300" s="87"/>
      <x:c r="AE5300" s="87" t="str">
        <x:v>TASK</x:v>
      </x:c>
      <x:c r="AF5300" s="87" t="str">
        <x:v>VIS-EGKR-BIO-W25-TASK-953-P011: 11</x:v>
      </x:c>
      <x:c r="AG5300" s="87" t="str">
        <x:v>RESOLVED</x:v>
      </x:c>
      <x:c r="AH5300" s="87" t="str">
        <x:v>CROP_VERIFIED</x:v>
      </x:c>
      <x:c r="AI5300" s="30"/>
      <x:c r="AJ5300" s="87" t="str">
        <x:v>clean</x:v>
      </x:c>
      <x:c r="AK5300" s="87" t="str">
        <x:v>clean-v0.12</x:v>
      </x:c>
      <x:c r="AL5300" s="87" t="str">
        <x:v>statgrad_clean_continuation_v0_12(1).xlsx</x:v>
      </x:c>
      <x:c r="AM5300" s="87" t="str">
        <x:v>BIO_EGKR_953</x:v>
      </x:c>
      <x:c r="AN5300" s="87" t="n">
        <x:v>22</x:v>
      </x:c>
    </x:row>
    <x:row r="5301">
      <x:c r="A5301" s="87" t="n">
        <x:v>5300</x:v>
      </x:c>
      <x:c r="B5301" s="87" t="str">
        <x:v>EGKR-W25-BIO-953-22</x:v>
      </x:c>
      <x:c r="C5301" s="87" t="str">
        <x:v>ЕГКР</x:v>
      </x:c>
      <x:c r="D5301" s="87"/>
      <x:c r="E5301" s="87" t="str">
        <x:v>Зима 2025</x:v>
      </x:c>
      <x:c r="F5301" s="87" t="str">
        <x:v>11.12.2025</x:v>
      </x:c>
      <x:c r="G5301" s="87" t="str">
        <x:v>Биология</x:v>
      </x:c>
      <x:c r="H5301" s="87" t="n">
        <x:v>11</x:v>
      </x:c>
      <x:c r="I5301" s="87"/>
      <x:c r="J5301" s="87" t="str">
        <x:v>953</x:v>
      </x:c>
      <x:c r="K5301" s="87" t="n">
        <x:v>22</x:v>
      </x:c>
      <x:c r="L5301" s="87" t="str">
        <x:v>Развёрнутый ответ</x:v>
      </x:c>
      <x:c r="M5301" s="30" t="str">
        <x:v>Культура кардиомиоцитов при снижении кислорода: сформулировать нулевую гипотезу, объяснить закисление и необходимость повторов.</x:v>
      </x:c>
      <x:c r="N5301" s="30" t="str">
        <x:v>Нулевая гипотеза: потребление глюкозы не зависит от концентрации кислорода. При гипоксии идёт молочнокислое брожение и накапливается лактат. Независимые повторы повышают достоверность и снижают влияние индивидуальной изменчивости.</x:v>
      </x:c>
      <x:c r="O5301" s="30" t="str">
        <x:v>Модель включает обязательные элементы официального критерия.</x:v>
      </x:c>
      <x:c r="P5301" s="30" t="str">
        <x:v>Условие и элементы ответа сверены с официальными критериями ФИПИ.</x:v>
      </x:c>
      <x:c r="Q5301" s="30"/>
      <x:c r="R5301" s="30"/>
      <x:c r="S5301" s="30" t="str">
        <x:v>kriterii_EGKR_12_25.pdf, физ. стр. 12</x:v>
      </x:c>
      <x:c r="T5301" s="30"/>
      <x:c r="U5301" s="30" t="str">
        <x:v>Расхождений нет.</x:v>
      </x:c>
      <x:c r="V5301" s="87" t="str">
        <x:v>VERIFIED</x:v>
      </x:c>
      <x:c r="W5301" s="87"/>
      <x:c r="X5301" s="87" t="n">
        <x:v>12</x:v>
      </x:c>
      <x:c r="Y5301" s="87"/>
      <x:c r="Z5301" s="87"/>
      <x:c r="AA5301" s="87"/>
      <x:c r="AB5301" s="87"/>
      <x:c r="AC5301" s="87" t="str">
        <x:v>VIS-EGKR-BIO-W25-TASK-953-P012</x:v>
      </x:c>
      <x:c r="AD5301" s="87" t="str">
        <x:v>VIS-EGKR-BIO-W25-CRIT-P012</x:v>
      </x:c>
      <x:c r="AE5301" s="87" t="str">
        <x:v>TASK; CRITERIA</x:v>
      </x:c>
      <x:c r="AF5301" s="87" t="str">
        <x:v>VIS-EGKR-BIO-W25-TASK-953-P012: 12; VIS-EGKR-BIO-W25-CRIT-P012: 12</x:v>
      </x:c>
      <x:c r="AG5301" s="87" t="str">
        <x:v>RESOLVED</x:v>
      </x:c>
      <x:c r="AH5301" s="87" t="str">
        <x:v>CROP_VERIFIED</x:v>
      </x:c>
      <x:c r="AI5301" s="30"/>
      <x:c r="AJ5301" s="87" t="str">
        <x:v>clean</x:v>
      </x:c>
      <x:c r="AK5301" s="87" t="str">
        <x:v>clean-v0.12</x:v>
      </x:c>
      <x:c r="AL5301" s="87" t="str">
        <x:v>statgrad_clean_continuation_v0_12(1).xlsx</x:v>
      </x:c>
      <x:c r="AM5301" s="87" t="str">
        <x:v>BIO_EGKR_953</x:v>
      </x:c>
      <x:c r="AN5301" s="87" t="n">
        <x:v>23</x:v>
      </x:c>
    </x:row>
    <x:row r="5302">
      <x:c r="A5302" s="87" t="n">
        <x:v>5301</x:v>
      </x:c>
      <x:c r="B5302" s="87" t="str">
        <x:v>EGKR-W25-BIO-953-23</x:v>
      </x:c>
      <x:c r="C5302" s="87" t="str">
        <x:v>ЕГКР</x:v>
      </x:c>
      <x:c r="D5302" s="87"/>
      <x:c r="E5302" s="87" t="str">
        <x:v>Зима 2025</x:v>
      </x:c>
      <x:c r="F5302" s="87" t="str">
        <x:v>11.12.2025</x:v>
      </x:c>
      <x:c r="G5302" s="87" t="str">
        <x:v>Биология</x:v>
      </x:c>
      <x:c r="H5302" s="87" t="n">
        <x:v>11</x:v>
      </x:c>
      <x:c r="I5302" s="87"/>
      <x:c r="J5302" s="87" t="str">
        <x:v>953</x:v>
      </x:c>
      <x:c r="K5302" s="87" t="n">
        <x:v>23</x:v>
      </x:c>
      <x:c r="L5302" s="87" t="str">
        <x:v>Развёрнутый ответ</x:v>
      </x:c>
      <x:c r="M5302" s="30" t="str">
        <x:v>Объяснить сохранение синтеза АТФ при гипоксии и эффект ротенона — ингибитора дыхательной цепи.</x:v>
      </x:c>
      <x:c r="N5302" s="30" t="str">
        <x:v>Потребность в АТФ сохраняется, поэтому усиливается бескислородный гликолиз и расход глюкозы. Ротенон блокирует электрон-транспортную цепь и окислительное фосфорилирование на внутренней мембране митохондрий; митохондриальный синтез АТФ прекращается.</x:v>
      </x:c>
      <x:c r="O5302" s="30" t="str">
        <x:v>Модель включает обязательные элементы официального критерия.</x:v>
      </x:c>
      <x:c r="P5302" s="30" t="str">
        <x:v>Условие и элементы ответа сверены с официальными критериями ФИПИ.</x:v>
      </x:c>
      <x:c r="Q5302" s="30"/>
      <x:c r="R5302" s="30"/>
      <x:c r="S5302" s="30" t="str">
        <x:v>kriterii_EGKR_12_25.pdf, физ. стр. 13</x:v>
      </x:c>
      <x:c r="T5302" s="30"/>
      <x:c r="U5302" s="30" t="str">
        <x:v>Расхождений нет.</x:v>
      </x:c>
      <x:c r="V5302" s="87" t="str">
        <x:v>VERIFIED</x:v>
      </x:c>
      <x:c r="W5302" s="87"/>
      <x:c r="X5302" s="87" t="n">
        <x:v>12</x:v>
      </x:c>
      <x:c r="Y5302" s="87"/>
      <x:c r="Z5302" s="87"/>
      <x:c r="AA5302" s="87"/>
      <x:c r="AB5302" s="87"/>
      <x:c r="AC5302" s="87" t="str">
        <x:v>VIS-EGKR-BIO-W25-TASK-953-P012</x:v>
      </x:c>
      <x:c r="AD5302" s="87" t="str">
        <x:v>VIS-EGKR-BIO-W25-CRIT-P013</x:v>
      </x:c>
      <x:c r="AE5302" s="87" t="str">
        <x:v>TASK; CRITERIA</x:v>
      </x:c>
      <x:c r="AF5302" s="87" t="str">
        <x:v>VIS-EGKR-BIO-W25-TASK-953-P012: 12; VIS-EGKR-BIO-W25-CRIT-P013: 13</x:v>
      </x:c>
      <x:c r="AG5302" s="87" t="str">
        <x:v>RESOLVED</x:v>
      </x:c>
      <x:c r="AH5302" s="87" t="str">
        <x:v>CROP_VERIFIED</x:v>
      </x:c>
      <x:c r="AI5302" s="30"/>
      <x:c r="AJ5302" s="87" t="str">
        <x:v>clean</x:v>
      </x:c>
      <x:c r="AK5302" s="87" t="str">
        <x:v>clean-v0.12</x:v>
      </x:c>
      <x:c r="AL5302" s="87" t="str">
        <x:v>statgrad_clean_continuation_v0_12(1).xlsx</x:v>
      </x:c>
      <x:c r="AM5302" s="87" t="str">
        <x:v>BIO_EGKR_953</x:v>
      </x:c>
      <x:c r="AN5302" s="87" t="n">
        <x:v>24</x:v>
      </x:c>
    </x:row>
    <x:row r="5303">
      <x:c r="A5303" s="87" t="n">
        <x:v>5302</x:v>
      </x:c>
      <x:c r="B5303" s="87" t="str">
        <x:v>EGKR-W25-BIO-953-24</x:v>
      </x:c>
      <x:c r="C5303" s="87" t="str">
        <x:v>ЕГКР</x:v>
      </x:c>
      <x:c r="D5303" s="87"/>
      <x:c r="E5303" s="87" t="str">
        <x:v>Зима 2025</x:v>
      </x:c>
      <x:c r="F5303" s="87" t="str">
        <x:v>11.12.2025</x:v>
      </x:c>
      <x:c r="G5303" s="87" t="str">
        <x:v>Биология</x:v>
      </x:c>
      <x:c r="H5303" s="87" t="n">
        <x:v>11</x:v>
      </x:c>
      <x:c r="I5303" s="87"/>
      <x:c r="J5303" s="87" t="str">
        <x:v>953</x:v>
      </x:c>
      <x:c r="K5303" s="87" t="n">
        <x:v>24</x:v>
      </x:c>
      <x:c r="L5303" s="87" t="str">
        <x:v>Развёрнутый ответ</x:v>
      </x:c>
      <x:c r="M5303" s="30" t="str">
        <x:v>По рисунку зуба назвать структуры 1–3 и их функции.</x:v>
      </x:c>
      <x:c r="N5303" s="30" t="str">
        <x:v>1 — эмаль, защищает зуб; 2 — дентин, образует прочную основу; 3 — пульпа, сосуды питают зуб, а нервы обеспечивают чувствительность.</x:v>
      </x:c>
      <x:c r="O5303" s="30" t="str">
        <x:v>Модель включает обязательные элементы официального критерия.</x:v>
      </x:c>
      <x:c r="P5303" s="30" t="str">
        <x:v>Условие и элементы ответа сверены с официальными критериями ФИПИ.</x:v>
      </x:c>
      <x:c r="Q5303" s="30"/>
      <x:c r="R5303" s="30"/>
      <x:c r="S5303" s="30" t="str">
        <x:v>kriterii_EGKR_12_25.pdf, физ. стр. 13</x:v>
      </x:c>
      <x:c r="T5303" s="30"/>
      <x:c r="U5303" s="30" t="str">
        <x:v>Расхождений нет.</x:v>
      </x:c>
      <x:c r="V5303" s="87" t="str">
        <x:v>VERIFIED</x:v>
      </x:c>
      <x:c r="W5303" s="87"/>
      <x:c r="X5303" s="87" t="n">
        <x:v>12</x:v>
      </x:c>
      <x:c r="Y5303" s="87"/>
      <x:c r="Z5303" s="87"/>
      <x:c r="AA5303" s="87"/>
      <x:c r="AB5303" s="87"/>
      <x:c r="AC5303" s="87" t="str">
        <x:v>VIS-EGKR-BIO-W25-TASK-953-P012</x:v>
      </x:c>
      <x:c r="AD5303" s="87" t="str">
        <x:v>VIS-EGKR-BIO-W25-CRIT-P013</x:v>
      </x:c>
      <x:c r="AE5303" s="87" t="str">
        <x:v>TASK; CRITERIA</x:v>
      </x:c>
      <x:c r="AF5303" s="87" t="str">
        <x:v>VIS-EGKR-BIO-W25-TASK-953-P012: 12; VIS-EGKR-BIO-W25-CRIT-P013: 13</x:v>
      </x:c>
      <x:c r="AG5303" s="87" t="str">
        <x:v>RESOLVED</x:v>
      </x:c>
      <x:c r="AH5303" s="87" t="str">
        <x:v>CROP_VERIFIED</x:v>
      </x:c>
      <x:c r="AI5303" s="30"/>
      <x:c r="AJ5303" s="87" t="str">
        <x:v>clean</x:v>
      </x:c>
      <x:c r="AK5303" s="87" t="str">
        <x:v>clean-v0.12</x:v>
      </x:c>
      <x:c r="AL5303" s="87" t="str">
        <x:v>statgrad_clean_continuation_v0_12(1).xlsx</x:v>
      </x:c>
      <x:c r="AM5303" s="87" t="str">
        <x:v>BIO_EGKR_953</x:v>
      </x:c>
      <x:c r="AN5303" s="87" t="n">
        <x:v>25</x:v>
      </x:c>
    </x:row>
    <x:row r="5304">
      <x:c r="A5304" s="87" t="n">
        <x:v>5303</x:v>
      </x:c>
      <x:c r="B5304" s="87" t="str">
        <x:v>EGKR-W25-BIO-953-25</x:v>
      </x:c>
      <x:c r="C5304" s="87" t="str">
        <x:v>ЕГКР</x:v>
      </x:c>
      <x:c r="D5304" s="87"/>
      <x:c r="E5304" s="87" t="str">
        <x:v>Зима 2025</x:v>
      </x:c>
      <x:c r="F5304" s="87" t="str">
        <x:v>11.12.2025</x:v>
      </x:c>
      <x:c r="G5304" s="87" t="str">
        <x:v>Биология</x:v>
      </x:c>
      <x:c r="H5304" s="87" t="n">
        <x:v>11</x:v>
      </x:c>
      <x:c r="I5304" s="87"/>
      <x:c r="J5304" s="87" t="str">
        <x:v>953</x:v>
      </x:c>
      <x:c r="K5304" s="87" t="n">
        <x:v>25</x:v>
      </x:c>
      <x:c r="L5304" s="87" t="str">
        <x:v>Развёрнутый ответ</x:v>
      </x:c>
      <x:c r="M5304" s="30" t="str">
        <x:v>Объяснить функцию миоглобина, большее содержание в левом желудочке и число пептидных цепей.</x:v>
      </x:c>
      <x:c r="N5304" s="30" t="str">
        <x:v>Миоглобин связывает и запасает кислород. Левый желудочек работает с большей нагрузкой и нуждается в большем количестве кислорода. Молекула миоглобина состоит из одной полипептидной цепи.</x:v>
      </x:c>
      <x:c r="O5304" s="30" t="str">
        <x:v>Модель включает обязательные элементы официального критерия.</x:v>
      </x:c>
      <x:c r="P5304" s="30" t="str">
        <x:v>Условие и элементы ответа сверены с официальными критериями ФИПИ.</x:v>
      </x:c>
      <x:c r="Q5304" s="30"/>
      <x:c r="R5304" s="30"/>
      <x:c r="S5304" s="30" t="str">
        <x:v>kriterii_EGKR_12_25.pdf, физ. стр. 14</x:v>
      </x:c>
      <x:c r="T5304" s="30"/>
      <x:c r="U5304" s="30" t="str">
        <x:v>Расхождений нет.</x:v>
      </x:c>
      <x:c r="V5304" s="87" t="str">
        <x:v>VERIFIED</x:v>
      </x:c>
      <x:c r="W5304" s="87"/>
      <x:c r="X5304" s="87" t="n">
        <x:v>12</x:v>
      </x:c>
      <x:c r="Y5304" s="87"/>
      <x:c r="Z5304" s="87"/>
      <x:c r="AA5304" s="87"/>
      <x:c r="AB5304" s="87"/>
      <x:c r="AC5304" s="87" t="str">
        <x:v>VIS-EGKR-BIO-W25-TASK-953-P012</x:v>
      </x:c>
      <x:c r="AD5304" s="87" t="str">
        <x:v>VIS-EGKR-BIO-W25-CRIT-P014</x:v>
      </x:c>
      <x:c r="AE5304" s="87" t="str">
        <x:v>TASK; CRITERIA</x:v>
      </x:c>
      <x:c r="AF5304" s="87" t="str">
        <x:v>VIS-EGKR-BIO-W25-TASK-953-P012: 12; VIS-EGKR-BIO-W25-CRIT-P014: 14</x:v>
      </x:c>
      <x:c r="AG5304" s="87" t="str">
        <x:v>RESOLVED</x:v>
      </x:c>
      <x:c r="AH5304" s="87" t="str">
        <x:v>CROP_VERIFIED</x:v>
      </x:c>
      <x:c r="AI5304" s="30"/>
      <x:c r="AJ5304" s="87" t="str">
        <x:v>clean</x:v>
      </x:c>
      <x:c r="AK5304" s="87" t="str">
        <x:v>clean-v0.12</x:v>
      </x:c>
      <x:c r="AL5304" s="87" t="str">
        <x:v>statgrad_clean_continuation_v0_12(1).xlsx</x:v>
      </x:c>
      <x:c r="AM5304" s="87" t="str">
        <x:v>BIO_EGKR_953</x:v>
      </x:c>
      <x:c r="AN5304" s="87" t="n">
        <x:v>26</x:v>
      </x:c>
    </x:row>
    <x:row r="5305">
      <x:c r="A5305" s="87" t="n">
        <x:v>5304</x:v>
      </x:c>
      <x:c r="B5305" s="87" t="str">
        <x:v>EGKR-W25-BIO-953-26</x:v>
      </x:c>
      <x:c r="C5305" s="87" t="str">
        <x:v>ЕГКР</x:v>
      </x:c>
      <x:c r="D5305" s="87"/>
      <x:c r="E5305" s="87" t="str">
        <x:v>Зима 2025</x:v>
      </x:c>
      <x:c r="F5305" s="87" t="str">
        <x:v>11.12.2025</x:v>
      </x:c>
      <x:c r="G5305" s="87" t="str">
        <x:v>Биология</x:v>
      </x:c>
      <x:c r="H5305" s="87" t="n">
        <x:v>11</x:v>
      </x:c>
      <x:c r="I5305" s="87"/>
      <x:c r="J5305" s="87" t="str">
        <x:v>953</x:v>
      </x:c>
      <x:c r="K5305" s="87" t="n">
        <x:v>26</x:v>
      </x:c>
      <x:c r="L5305" s="87" t="str">
        <x:v>Развёрнутый ответ</x:v>
      </x:c>
      <x:c r="M5305" s="30" t="str">
        <x:v>Объяснить продвижение переносимых насекомыми инфекций на север, назвать парниковый газ и причину тяжёлого течения у северных жителей.</x:v>
      </x:c>
      <x:c r="N5305" s="30" t="str">
        <x:v>Изменение газового состава усиливает потепление; северный климат становится пригодным для переносчиков. Значимый газ — CO₂, метан или водяной пар. У жителей новых ареалов отсутствует сформированный иммунитет, поэтому болезнь тяжелее и распространяется быстрее.</x:v>
      </x:c>
      <x:c r="O5305" s="30" t="str">
        <x:v>Модель включает обязательные элементы официального критерия.</x:v>
      </x:c>
      <x:c r="P5305" s="30" t="str">
        <x:v>Условие и элементы ответа сверены с официальными критериями ФИПИ.</x:v>
      </x:c>
      <x:c r="Q5305" s="30"/>
      <x:c r="R5305" s="30"/>
      <x:c r="S5305" s="30" t="str">
        <x:v>kriterii_EGKR_12_25.pdf, физ. стр. 14</x:v>
      </x:c>
      <x:c r="T5305" s="30"/>
      <x:c r="U5305" s="30" t="str">
        <x:v>Расхождений нет.</x:v>
      </x:c>
      <x:c r="V5305" s="87" t="str">
        <x:v>VERIFIED</x:v>
      </x:c>
      <x:c r="W5305" s="87"/>
      <x:c r="X5305" s="87" t="n">
        <x:v>12</x:v>
      </x:c>
      <x:c r="Y5305" s="87"/>
      <x:c r="Z5305" s="87"/>
      <x:c r="AA5305" s="87"/>
      <x:c r="AB5305" s="87"/>
      <x:c r="AC5305" s="87" t="str">
        <x:v>VIS-EGKR-BIO-W25-TASK-953-P012</x:v>
      </x:c>
      <x:c r="AD5305" s="87" t="str">
        <x:v>VIS-EGKR-BIO-W25-CRIT-P014</x:v>
      </x:c>
      <x:c r="AE5305" s="87" t="str">
        <x:v>TASK; CRITERIA</x:v>
      </x:c>
      <x:c r="AF5305" s="87" t="str">
        <x:v>VIS-EGKR-BIO-W25-TASK-953-P012: 12; VIS-EGKR-BIO-W25-CRIT-P014: 14</x:v>
      </x:c>
      <x:c r="AG5305" s="87" t="str">
        <x:v>RESOLVED</x:v>
      </x:c>
      <x:c r="AH5305" s="87" t="str">
        <x:v>CROP_VERIFIED</x:v>
      </x:c>
      <x:c r="AI5305" s="30"/>
      <x:c r="AJ5305" s="87" t="str">
        <x:v>clean</x:v>
      </x:c>
      <x:c r="AK5305" s="87" t="str">
        <x:v>clean-v0.12</x:v>
      </x:c>
      <x:c r="AL5305" s="87" t="str">
        <x:v>statgrad_clean_continuation_v0_12(1).xlsx</x:v>
      </x:c>
      <x:c r="AM5305" s="87" t="str">
        <x:v>BIO_EGKR_953</x:v>
      </x:c>
      <x:c r="AN5305" s="87" t="n">
        <x:v>27</x:v>
      </x:c>
    </x:row>
    <x:row r="5306">
      <x:c r="A5306" s="87" t="n">
        <x:v>5305</x:v>
      </x:c>
      <x:c r="B5306" s="87" t="str">
        <x:v>EGKR-W25-BIO-953-27</x:v>
      </x:c>
      <x:c r="C5306" s="87" t="str">
        <x:v>ЕГКР</x:v>
      </x:c>
      <x:c r="D5306" s="87"/>
      <x:c r="E5306" s="87" t="str">
        <x:v>Зима 2025</x:v>
      </x:c>
      <x:c r="F5306" s="87" t="str">
        <x:v>11.12.2025</x:v>
      </x:c>
      <x:c r="G5306" s="87" t="str">
        <x:v>Биология</x:v>
      </x:c>
      <x:c r="H5306" s="87" t="n">
        <x:v>11</x:v>
      </x:c>
      <x:c r="I5306" s="87"/>
      <x:c r="J5306" s="87" t="str">
        <x:v>953</x:v>
      </x:c>
      <x:c r="K5306" s="87" t="n">
        <x:v>27</x:v>
      </x:c>
      <x:c r="L5306" s="87" t="str">
        <x:v>Развёрнутый ответ</x:v>
      </x:c>
      <x:c r="M5306" s="30" t="str">
        <x:v>По фрагменту гена Euplotes определить иРНК и полипептид с учётом сдвига рамки после стоп-кодона.</x:v>
      </x:c>
      <x:c r="N5306" s="30" t="str">
        <x:v>иРНК: 5′-ГАЦУАУГГУЦЦУАУААГГГАГЦА-3′ (кодирующая часть от АУГ). АУГ кодирует метионин, в рамке встречается УАА; после сдвига рамки возникает кодон ААГ. Полипептид: мет–вал–лей–лиз–гли–ала.</x:v>
      </x:c>
      <x:c r="O5306" s="30" t="str">
        <x:v>Модель включает обязательные элементы официального критерия.</x:v>
      </x:c>
      <x:c r="P5306" s="30" t="str">
        <x:v>Условие и элементы ответа сверены с официальными критериями ФИПИ.</x:v>
      </x:c>
      <x:c r="Q5306" s="30"/>
      <x:c r="R5306" s="30"/>
      <x:c r="S5306" s="30" t="str">
        <x:v>kriterii_EGKR_12_25.pdf, физ. стр. 15</x:v>
      </x:c>
      <x:c r="T5306" s="30"/>
      <x:c r="U5306" s="30" t="str">
        <x:v>Расхождений нет.</x:v>
      </x:c>
      <x:c r="V5306" s="87" t="str">
        <x:v>VERIFIED</x:v>
      </x:c>
      <x:c r="W5306" s="87"/>
      <x:c r="X5306" s="87" t="n">
        <x:v>13</x:v>
      </x:c>
      <x:c r="Y5306" s="87"/>
      <x:c r="Z5306" s="87"/>
      <x:c r="AA5306" s="87"/>
      <x:c r="AB5306" s="87"/>
      <x:c r="AC5306" s="87" t="str">
        <x:v>VIS-EGKR-BIO-W25-TASK-953-P013</x:v>
      </x:c>
      <x:c r="AD5306" s="87" t="str">
        <x:v>VIS-EGKR-BIO-W25-CRIT-P015</x:v>
      </x:c>
      <x:c r="AE5306" s="87" t="str">
        <x:v>TASK; CRITERIA</x:v>
      </x:c>
      <x:c r="AF5306" s="87" t="str">
        <x:v>VIS-EGKR-BIO-W25-TASK-953-P013: 13; VIS-EGKR-BIO-W25-CRIT-P015: 15</x:v>
      </x:c>
      <x:c r="AG5306" s="87" t="str">
        <x:v>RESOLVED</x:v>
      </x:c>
      <x:c r="AH5306" s="87" t="str">
        <x:v>CROP_VERIFIED</x:v>
      </x:c>
      <x:c r="AI5306" s="30"/>
      <x:c r="AJ5306" s="87" t="str">
        <x:v>clean</x:v>
      </x:c>
      <x:c r="AK5306" s="87" t="str">
        <x:v>clean-v0.12</x:v>
      </x:c>
      <x:c r="AL5306" s="87" t="str">
        <x:v>statgrad_clean_continuation_v0_12(1).xlsx</x:v>
      </x:c>
      <x:c r="AM5306" s="87" t="str">
        <x:v>BIO_EGKR_953</x:v>
      </x:c>
      <x:c r="AN5306" s="87" t="n">
        <x:v>28</x:v>
      </x:c>
    </x:row>
    <x:row r="5307">
      <x:c r="A5307" s="87" t="n">
        <x:v>5306</x:v>
      </x:c>
      <x:c r="B5307" s="87" t="str">
        <x:v>EGKR-W25-BIO-953-28</x:v>
      </x:c>
      <x:c r="C5307" s="87" t="str">
        <x:v>ЕГКР</x:v>
      </x:c>
      <x:c r="D5307" s="87"/>
      <x:c r="E5307" s="87" t="str">
        <x:v>Зима 2025</x:v>
      </x:c>
      <x:c r="F5307" s="87" t="str">
        <x:v>11.12.2025</x:v>
      </x:c>
      <x:c r="G5307" s="87" t="str">
        <x:v>Биология</x:v>
      </x:c>
      <x:c r="H5307" s="87" t="n">
        <x:v>11</x:v>
      </x:c>
      <x:c r="I5307" s="87"/>
      <x:c r="J5307" s="87" t="str">
        <x:v>953</x:v>
      </x:c>
      <x:c r="K5307" s="87" t="n">
        <x:v>28</x:v>
      </x:c>
      <x:c r="L5307" s="87" t="str">
        <x:v>Развёрнутый ответ</x:v>
      </x:c>
      <x:c r="M5307" s="30" t="str">
        <x:v>Ген аномалии кисти в псевдоаутосомном участке и X-сцепленный ихтиоз: решить два брака и определить возможность двух заболеваний.</x:v>
      </x:c>
      <x:c r="N5307" s="30" t="str">
        <x:v>В первом браке учитываются кроссоверные гаметы гетерозиготного мужчины и X^ab матери; перечисляются дочери и сыновья. Дочь с аномалией имеет X^abX^AB и во втором браке образует в том числе кроссоверную гамету X^Ab. Сын X^AbY^a наследует аномалию кисти и ихтиоз, поэтому сочетание заболеваний возможно.</x:v>
      </x:c>
      <x:c r="O5307" s="30" t="str">
        <x:v>Модель включает обязательные элементы официального критерия.</x:v>
      </x:c>
      <x:c r="P5307" s="30" t="str">
        <x:v>Условие и элементы ответа сверены с официальными критериями ФИПИ.</x:v>
      </x:c>
      <x:c r="Q5307" s="30"/>
      <x:c r="R5307" s="30"/>
      <x:c r="S5307" s="30" t="str">
        <x:v>kriterii_EGKR_12_25.pdf, физ. стр. 16</x:v>
      </x:c>
      <x:c r="T5307" s="30"/>
      <x:c r="U5307" s="30" t="str">
        <x:v>Расхождений нет.</x:v>
      </x:c>
      <x:c r="V5307" s="87" t="str">
        <x:v>VERIFIED</x:v>
      </x:c>
      <x:c r="W5307" s="87"/>
      <x:c r="X5307" s="87" t="n">
        <x:v>14</x:v>
      </x:c>
      <x:c r="Y5307" s="87"/>
      <x:c r="Z5307" s="87"/>
      <x:c r="AA5307" s="87"/>
      <x:c r="AB5307" s="87"/>
      <x:c r="AC5307" s="87" t="str">
        <x:v>VIS-EGKR-BIO-W25-TASK-953-P014</x:v>
      </x:c>
      <x:c r="AD5307" s="87" t="str">
        <x:v>VIS-EGKR-BIO-W25-CRIT-P016</x:v>
      </x:c>
      <x:c r="AE5307" s="87" t="str">
        <x:v>TASK; CRITERIA</x:v>
      </x:c>
      <x:c r="AF5307" s="87" t="str">
        <x:v>VIS-EGKR-BIO-W25-TASK-953-P014: 14; VIS-EGKR-BIO-W25-CRIT-P016: 16</x:v>
      </x:c>
      <x:c r="AG5307" s="87" t="str">
        <x:v>RESOLVED</x:v>
      </x:c>
      <x:c r="AH5307" s="87" t="str">
        <x:v>CROP_VERIFIED</x:v>
      </x:c>
      <x:c r="AI5307" s="30"/>
      <x:c r="AJ5307" s="87" t="str">
        <x:v>clean</x:v>
      </x:c>
      <x:c r="AK5307" s="87" t="str">
        <x:v>clean-v0.12</x:v>
      </x:c>
      <x:c r="AL5307" s="87" t="str">
        <x:v>statgrad_clean_continuation_v0_12(1).xlsx</x:v>
      </x:c>
      <x:c r="AM5307" s="87" t="str">
        <x:v>BIO_EGKR_953</x:v>
      </x:c>
      <x:c r="AN5307" s="87" t="n">
        <x:v>29</x:v>
      </x:c>
    </x:row>
    <x:row r="5308">
      <x:c r="A5308" s="87" t="n">
        <x:v>5307</x:v>
      </x:c>
      <x:c r="B5308" s="87" t="str">
        <x:v>EGKR-W25-HIST-951-01</x:v>
      </x:c>
      <x:c r="C5308" s="87" t="str">
        <x:v>ЕГКР</x:v>
      </x:c>
      <x:c r="D5308" s="87"/>
      <x:c r="E5308" s="87" t="str">
        <x:v>Зима 2025</x:v>
      </x:c>
      <x:c r="F5308" s="87" t="str">
        <x:v>11.12.2025</x:v>
      </x:c>
      <x:c r="G5308" s="87" t="str">
        <x:v>История</x:v>
      </x:c>
      <x:c r="H5308" s="87" t="n">
        <x:v>11</x:v>
      </x:c>
      <x:c r="I5308" s="87"/>
      <x:c r="J5308" s="87" t="str">
        <x:v>951</x:v>
      </x:c>
      <x:c r="K5308" s="87" t="n">
        <x:v>1</x:v>
      </x:c>
      <x:c r="L5308" s="87" t="str">
        <x:v>Краткий ответ</x:v>
      </x:c>
      <x:c r="M5308" s="30" t="str">
        <x:v>Соотнести освобождение Вены, введение всеобщей воинской повинности, указ об урочных летах и паспортную систему с годами.</x:v>
      </x:c>
      <x:c r="N5308" s="30" t="str">
        <x:v>6314</x:v>
      </x:c>
      <x:c r="O5308" s="30" t="str">
        <x:v>1945; 1874; 1597; 1932.</x:v>
      </x:c>
      <x:c r="P5308" s="30" t="str">
        <x:v>Проверено в пределах сохранившегося фрагмента.</x:v>
      </x:c>
      <x:c r="Q5308" s="30"/>
      <x:c r="R5308" s="30"/>
      <x:c r="S5308" s="30" t="str">
        <x:v>951.docx</x:v>
      </x:c>
      <x:c r="T5308" s="30"/>
      <x:c r="U5308" s="30" t="str">
        <x:v>Задание сохранено фрагментом DOCX.</x:v>
      </x:c>
      <x:c r="V5308" s="87" t="str">
        <x:v>VERIFIED</x:v>
      </x:c>
      <x:c r="W5308" s="87"/>
      <x:c r="X5308" s="87" t="str">
        <x:v>DOCX 2</x:v>
      </x:c>
      <x:c r="Y5308" s="87"/>
      <x:c r="Z5308" s="87"/>
      <x:c r="AA5308" s="87"/>
      <x:c r="AB5308" s="87"/>
      <x:c r="AC5308" s="87" t="str">
        <x:v>VIS-EGKR-HIST-W25-DOC-951-P002</x:v>
      </x:c>
      <x:c r="AD5308" s="87"/>
      <x:c r="AE5308" s="87" t="str">
        <x:v>PARTIAL_SOURCE</x:v>
      </x:c>
      <x:c r="AF5308" s="87" t="str">
        <x:v>VIS-EGKR-HIST-W25-DOC-951-P002: 2</x:v>
      </x:c>
      <x:c r="AG5308" s="87" t="str">
        <x:v>RESOLVED</x:v>
      </x:c>
      <x:c r="AH5308" s="87" t="str">
        <x:v>CROP_VERIFIED</x:v>
      </x:c>
      <x:c r="AI5308" s="30"/>
      <x:c r="AJ5308" s="87" t="str">
        <x:v>clean</x:v>
      </x:c>
      <x:c r="AK5308" s="87" t="str">
        <x:v>clean-v0.13</x:v>
      </x:c>
      <x:c r="AL5308" s="87" t="str">
        <x:v>statgrad_clean_continuation_v0_13(1).xlsx</x:v>
      </x:c>
      <x:c r="AM5308" s="87" t="str">
        <x:v>HIST_EGKR_951_PART</x:v>
      </x:c>
      <x:c r="AN5308" s="87" t="n">
        <x:v>2</x:v>
      </x:c>
    </x:row>
    <x:row r="5309">
      <x:c r="A5309" s="87" t="n">
        <x:v>5308</x:v>
      </x:c>
      <x:c r="B5309" s="87" t="str">
        <x:v>EGKR-W25-HIST-951-02</x:v>
      </x:c>
      <x:c r="C5309" s="87" t="str">
        <x:v>ЕГКР</x:v>
      </x:c>
      <x:c r="D5309" s="87"/>
      <x:c r="E5309" s="87" t="str">
        <x:v>Зима 2025</x:v>
      </x:c>
      <x:c r="F5309" s="87" t="str">
        <x:v>11.12.2025</x:v>
      </x:c>
      <x:c r="G5309" s="87" t="str">
        <x:v>История</x:v>
      </x:c>
      <x:c r="H5309" s="87" t="n">
        <x:v>11</x:v>
      </x:c>
      <x:c r="I5309" s="87"/>
      <x:c r="J5309" s="87" t="str">
        <x:v>951</x:v>
      </x:c>
      <x:c r="K5309" s="87" t="n">
        <x:v>2</x:v>
      </x:c>
      <x:c r="L5309" s="87" t="str">
        <x:v>Краткий ответ</x:v>
      </x:c>
      <x:c r="M5309" s="30" t="str">
        <x:v>Расположить в хронологическом порядке вхождение Пскова, стояние на Угре и казнь Карла I.</x:v>
      </x:c>
      <x:c r="N5309" s="30" t="str">
        <x:v>213</x:v>
      </x:c>
      <x:c r="O5309" s="30" t="str">
        <x:v>Стояние на Угре — 1480, Псков — 1510, казнь Карла I — 1649.</x:v>
      </x:c>
      <x:c r="P5309" s="30" t="str">
        <x:v>Проверено в пределах сохранившегося фрагмента.</x:v>
      </x:c>
      <x:c r="Q5309" s="30"/>
      <x:c r="R5309" s="30"/>
      <x:c r="S5309" s="30" t="str">
        <x:v>951.docx</x:v>
      </x:c>
      <x:c r="T5309" s="30"/>
      <x:c r="U5309" s="30" t="str">
        <x:v>Задание сохранено фрагментом DOCX.</x:v>
      </x:c>
      <x:c r="V5309" s="87" t="str">
        <x:v>VERIFIED</x:v>
      </x:c>
      <x:c r="W5309" s="87"/>
      <x:c r="X5309" s="87" t="str">
        <x:v>DOCX 2</x:v>
      </x:c>
      <x:c r="Y5309" s="87"/>
      <x:c r="Z5309" s="87"/>
      <x:c r="AA5309" s="87"/>
      <x:c r="AB5309" s="87"/>
      <x:c r="AC5309" s="87" t="str">
        <x:v>VIS-EGKR-HIST-W25-DOC-951-P002</x:v>
      </x:c>
      <x:c r="AD5309" s="87"/>
      <x:c r="AE5309" s="87" t="str">
        <x:v>PARTIAL_SOURCE</x:v>
      </x:c>
      <x:c r="AF5309" s="87" t="str">
        <x:v>VIS-EGKR-HIST-W25-DOC-951-P002: 2</x:v>
      </x:c>
      <x:c r="AG5309" s="87" t="str">
        <x:v>RESOLVED</x:v>
      </x:c>
      <x:c r="AH5309" s="87" t="str">
        <x:v>CROP_VERIFIED</x:v>
      </x:c>
      <x:c r="AI5309" s="30"/>
      <x:c r="AJ5309" s="87" t="str">
        <x:v>clean</x:v>
      </x:c>
      <x:c r="AK5309" s="87" t="str">
        <x:v>clean-v0.13</x:v>
      </x:c>
      <x:c r="AL5309" s="87" t="str">
        <x:v>statgrad_clean_continuation_v0_13(1).xlsx</x:v>
      </x:c>
      <x:c r="AM5309" s="87" t="str">
        <x:v>HIST_EGKR_951_PART</x:v>
      </x:c>
      <x:c r="AN5309" s="87" t="n">
        <x:v>3</x:v>
      </x:c>
    </x:row>
    <x:row r="5310">
      <x:c r="A5310" s="87" t="n">
        <x:v>5309</x:v>
      </x:c>
      <x:c r="B5310" s="87" t="str">
        <x:v>EGKR-W25-HIST-951-03</x:v>
      </x:c>
      <x:c r="C5310" s="87" t="str">
        <x:v>ЕГКР</x:v>
      </x:c>
      <x:c r="D5310" s="87"/>
      <x:c r="E5310" s="87" t="str">
        <x:v>Зима 2025</x:v>
      </x:c>
      <x:c r="F5310" s="87" t="str">
        <x:v>11.12.2025</x:v>
      </x:c>
      <x:c r="G5310" s="87" t="str">
        <x:v>История</x:v>
      </x:c>
      <x:c r="H5310" s="87" t="n">
        <x:v>11</x:v>
      </x:c>
      <x:c r="I5310" s="87"/>
      <x:c r="J5310" s="87" t="str">
        <x:v>951</x:v>
      </x:c>
      <x:c r="K5310" s="87" t="n">
        <x:v>3</x:v>
      </x:c>
      <x:c r="L5310" s="87" t="str">
        <x:v>Краткий ответ</x:v>
      </x:c>
      <x:c r="M5310" s="30" t="str">
        <x:v>Соотнести процессы и факты: начало политической раздробленности, внешнеполитический процесс, политика Николая I и коллективизация.</x:v>
      </x:c>
      <x:c r="N5310" s="30" t="str">
        <x:v>6145</x:v>
      </x:c>
      <x:c r="O5310" s="30" t="str">
        <x:v>Ответ 6145 сохранён в исходном фрагменте; все четыре позиции визуально присутствуют.</x:v>
      </x:c>
      <x:c r="P5310" s="30" t="str">
        <x:v>Проверено в пределах сохранившегося фрагмента.</x:v>
      </x:c>
      <x:c r="Q5310" s="30"/>
      <x:c r="R5310" s="30"/>
      <x:c r="S5310" s="30" t="str">
        <x:v>951.docx</x:v>
      </x:c>
      <x:c r="T5310" s="30"/>
      <x:c r="U5310" s="30" t="str">
        <x:v>Задание сохранено фрагментом DOCX.</x:v>
      </x:c>
      <x:c r="V5310" s="87" t="str">
        <x:v>VERIFIED</x:v>
      </x:c>
      <x:c r="W5310" s="87"/>
      <x:c r="X5310" s="87" t="str">
        <x:v>DOCX 2</x:v>
      </x:c>
      <x:c r="Y5310" s="87"/>
      <x:c r="Z5310" s="87"/>
      <x:c r="AA5310" s="87"/>
      <x:c r="AB5310" s="87"/>
      <x:c r="AC5310" s="87" t="str">
        <x:v>VIS-EGKR-HIST-W25-DOC-951-P002</x:v>
      </x:c>
      <x:c r="AD5310" s="87"/>
      <x:c r="AE5310" s="87" t="str">
        <x:v>PARTIAL_SOURCE</x:v>
      </x:c>
      <x:c r="AF5310" s="87" t="str">
        <x:v>VIS-EGKR-HIST-W25-DOC-951-P002: 2</x:v>
      </x:c>
      <x:c r="AG5310" s="87" t="str">
        <x:v>RESOLVED</x:v>
      </x:c>
      <x:c r="AH5310" s="87" t="str">
        <x:v>CROP_VERIFIED</x:v>
      </x:c>
      <x:c r="AI5310" s="30"/>
      <x:c r="AJ5310" s="87" t="str">
        <x:v>clean</x:v>
      </x:c>
      <x:c r="AK5310" s="87" t="str">
        <x:v>clean-v0.13</x:v>
      </x:c>
      <x:c r="AL5310" s="87" t="str">
        <x:v>statgrad_clean_continuation_v0_13(1).xlsx</x:v>
      </x:c>
      <x:c r="AM5310" s="87" t="str">
        <x:v>HIST_EGKR_951_PART</x:v>
      </x:c>
      <x:c r="AN5310" s="87" t="n">
        <x:v>4</x:v>
      </x:c>
    </x:row>
    <x:row r="5311">
      <x:c r="A5311" s="87" t="n">
        <x:v>5310</x:v>
      </x:c>
      <x:c r="B5311" s="87" t="str">
        <x:v>EGKR-W25-HIST-951-04</x:v>
      </x:c>
      <x:c r="C5311" s="87" t="str">
        <x:v>ЕГКР</x:v>
      </x:c>
      <x:c r="D5311" s="87"/>
      <x:c r="E5311" s="87" t="str">
        <x:v>Зима 2025</x:v>
      </x:c>
      <x:c r="F5311" s="87" t="str">
        <x:v>11.12.2025</x:v>
      </x:c>
      <x:c r="G5311" s="87" t="str">
        <x:v>История</x:v>
      </x:c>
      <x:c r="H5311" s="87" t="n">
        <x:v>11</x:v>
      </x:c>
      <x:c r="I5311" s="87"/>
      <x:c r="J5311" s="87" t="str">
        <x:v>951</x:v>
      </x:c>
      <x:c r="K5311" s="87" t="n">
        <x:v>4</x:v>
      </x:c>
      <x:c r="L5311" s="87" t="str">
        <x:v>Краткий ответ</x:v>
      </x:c>
      <x:c r="M5311" s="30" t="str">
        <x:v>Заполнить таблицу по Магнитогорску, русско-японской войне, российско-китайскому договору и Царскому Селу.</x:v>
      </x:c>
      <x:c r="N5311" s="30" t="str">
        <x:v>547189</x:v>
      </x:c>
      <x:c r="O5311" s="30" t="str">
        <x:v>Строительство Магнитогорского комбината; Мукден; Айгунский договор; железная дорога до Царского Села.</x:v>
      </x:c>
      <x:c r="P5311" s="30" t="str">
        <x:v>Проверено в пределах сохранившегося фрагмента.</x:v>
      </x:c>
      <x:c r="Q5311" s="30"/>
      <x:c r="R5311" s="30"/>
      <x:c r="S5311" s="30" t="str">
        <x:v>951.docx</x:v>
      </x:c>
      <x:c r="T5311" s="30"/>
      <x:c r="U5311" s="30" t="str">
        <x:v>Задание сохранено фрагментом DOCX.</x:v>
      </x:c>
      <x:c r="V5311" s="87" t="str">
        <x:v>VERIFIED</x:v>
      </x:c>
      <x:c r="W5311" s="87"/>
      <x:c r="X5311" s="87" t="str">
        <x:v>DOCX 2</x:v>
      </x:c>
      <x:c r="Y5311" s="87"/>
      <x:c r="Z5311" s="87"/>
      <x:c r="AA5311" s="87"/>
      <x:c r="AB5311" s="87"/>
      <x:c r="AC5311" s="87" t="str">
        <x:v>VIS-EGKR-HIST-W25-DOC-951-P002</x:v>
      </x:c>
      <x:c r="AD5311" s="87"/>
      <x:c r="AE5311" s="87" t="str">
        <x:v>PARTIAL_SOURCE</x:v>
      </x:c>
      <x:c r="AF5311" s="87" t="str">
        <x:v>VIS-EGKR-HIST-W25-DOC-951-P002: 2</x:v>
      </x:c>
      <x:c r="AG5311" s="87" t="str">
        <x:v>RESOLVED</x:v>
      </x:c>
      <x:c r="AH5311" s="87" t="str">
        <x:v>CROP_VERIFIED</x:v>
      </x:c>
      <x:c r="AI5311" s="30"/>
      <x:c r="AJ5311" s="87" t="str">
        <x:v>clean</x:v>
      </x:c>
      <x:c r="AK5311" s="87" t="str">
        <x:v>clean-v0.13</x:v>
      </x:c>
      <x:c r="AL5311" s="87" t="str">
        <x:v>statgrad_clean_continuation_v0_13(1).xlsx</x:v>
      </x:c>
      <x:c r="AM5311" s="87" t="str">
        <x:v>HIST_EGKR_951_PART</x:v>
      </x:c>
      <x:c r="AN5311" s="87" t="n">
        <x:v>5</x:v>
      </x:c>
    </x:row>
    <x:row r="5312">
      <x:c r="A5312" s="87" t="n">
        <x:v>5311</x:v>
      </x:c>
      <x:c r="B5312" s="87" t="str">
        <x:v>EGKR-W25-HIST-951-11</x:v>
      </x:c>
      <x:c r="C5312" s="87" t="str">
        <x:v>ЕГКР</x:v>
      </x:c>
      <x:c r="D5312" s="87"/>
      <x:c r="E5312" s="87" t="str">
        <x:v>Зима 2025</x:v>
      </x:c>
      <x:c r="F5312" s="87" t="str">
        <x:v>11.12.2025</x:v>
      </x:c>
      <x:c r="G5312" s="87" t="str">
        <x:v>История</x:v>
      </x:c>
      <x:c r="H5312" s="87" t="n">
        <x:v>11</x:v>
      </x:c>
      <x:c r="I5312" s="87"/>
      <x:c r="J5312" s="87" t="str">
        <x:v>951</x:v>
      </x:c>
      <x:c r="K5312" s="87" t="n">
        <x:v>11</x:v>
      </x:c>
      <x:c r="L5312" s="87" t="str">
        <x:v>Краткий ответ</x:v>
      </x:c>
      <x:c r="M5312" s="30" t="str">
        <x:v>По описанию похода армии Миниха назвать город-крепость на Перекопском перешейке.</x:v>
      </x:c>
      <x:c r="N5312" s="30" t="str">
        <x:v>Перекоп</x:v>
      </x:c>
      <x:c r="O5312" s="30" t="str">
        <x:v>В тексте описан выход армии к Перекопу и последующий вход в Крым.</x:v>
      </x:c>
      <x:c r="P5312" s="30" t="str">
        <x:v>Проверено в пределах сохранившегося фрагмента.</x:v>
      </x:c>
      <x:c r="Q5312" s="30"/>
      <x:c r="R5312" s="30"/>
      <x:c r="S5312" s="30" t="str">
        <x:v>951.docx</x:v>
      </x:c>
      <x:c r="T5312" s="30"/>
      <x:c r="U5312" s="30" t="str">
        <x:v>Схема отсутствует, но название однозначно определяется из текста.</x:v>
      </x:c>
      <x:c r="V5312" s="87" t="str">
        <x:v>SOURCE_GAP_RECOVERED</x:v>
      </x:c>
      <x:c r="W5312" s="87"/>
      <x:c r="X5312" s="87" t="str">
        <x:v>DOCX 3</x:v>
      </x:c>
      <x:c r="Y5312" s="87"/>
      <x:c r="Z5312" s="87"/>
      <x:c r="AA5312" s="87"/>
      <x:c r="AB5312" s="87"/>
      <x:c r="AC5312" s="87" t="str">
        <x:v>VIS-EGKR-HIST-W25-DOC-951-P003</x:v>
      </x:c>
      <x:c r="AD5312" s="87"/>
      <x:c r="AE5312" s="87" t="str">
        <x:v>PARTIAL_SOURCE</x:v>
      </x:c>
      <x:c r="AF5312" s="87" t="str">
        <x:v>VIS-EGKR-HIST-W25-DOC-951-P003: 3</x:v>
      </x:c>
      <x:c r="AG5312" s="87" t="str">
        <x:v>RESOLVED</x:v>
      </x:c>
      <x:c r="AH5312" s="87" t="str">
        <x:v>CROP_VERIFIED</x:v>
      </x:c>
      <x:c r="AI5312" s="30"/>
      <x:c r="AJ5312" s="87" t="str">
        <x:v>clean</x:v>
      </x:c>
      <x:c r="AK5312" s="87" t="str">
        <x:v>clean-v0.13</x:v>
      </x:c>
      <x:c r="AL5312" s="87" t="str">
        <x:v>statgrad_clean_continuation_v0_13(1).xlsx</x:v>
      </x:c>
      <x:c r="AM5312" s="87" t="str">
        <x:v>HIST_EGKR_951_PART</x:v>
      </x:c>
      <x:c r="AN5312" s="87" t="n">
        <x:v>6</x:v>
      </x:c>
    </x:row>
    <x:row r="5313">
      <x:c r="A5313" s="87" t="n">
        <x:v>5312</x:v>
      </x:c>
      <x:c r="B5313" s="87" t="str">
        <x:v>EGKR-W25-HIST-951-12</x:v>
      </x:c>
      <x:c r="C5313" s="87" t="str">
        <x:v>ЕГКР</x:v>
      </x:c>
      <x:c r="D5313" s="87"/>
      <x:c r="E5313" s="87" t="str">
        <x:v>Зима 2025</x:v>
      </x:c>
      <x:c r="F5313" s="87" t="str">
        <x:v>11.12.2025</x:v>
      </x:c>
      <x:c r="G5313" s="87" t="str">
        <x:v>История</x:v>
      </x:c>
      <x:c r="H5313" s="87" t="n">
        <x:v>11</x:v>
      </x:c>
      <x:c r="I5313" s="87"/>
      <x:c r="J5313" s="87" t="str">
        <x:v>951</x:v>
      </x:c>
      <x:c r="K5313" s="87" t="n">
        <x:v>12</x:v>
      </x:c>
      <x:c r="L5313" s="87" t="str">
        <x:v>Краткий ответ</x:v>
      </x:c>
      <x:c r="M5313" s="30" t="str">
        <x:v>Выбрать верные суждения по отсутствующей в архиве схеме русско-турецкой войны 1735–1739 гг.</x:v>
      </x:c>
      <x:c r="N5313" s="30"/>
      <x:c r="O5313" s="30" t="str">
        <x:v>Сама карта в архиве отсутствует, поэтому окончательный набор суждений не фиксируется.</x:v>
      </x:c>
      <x:c r="P5313" s="30" t="str">
        <x:v>Проверено в пределах сохранившегося фрагмента.</x:v>
      </x:c>
      <x:c r="Q5313" s="30"/>
      <x:c r="R5313" s="30"/>
      <x:c r="S5313" s="30" t="str">
        <x:v>951.docx</x:v>
      </x:c>
      <x:c r="T5313" s="30"/>
      <x:c r="U5313" s="30" t="str">
        <x:v>В архиве нет схемы, на которую ссылается задание.</x:v>
      </x:c>
      <x:c r="V5313" s="87" t="str">
        <x:v>SOURCE_GAP</x:v>
      </x:c>
      <x:c r="W5313" s="87"/>
      <x:c r="X5313" s="87" t="str">
        <x:v>DOCX 3</x:v>
      </x:c>
      <x:c r="Y5313" s="87"/>
      <x:c r="Z5313" s="87"/>
      <x:c r="AA5313" s="87"/>
      <x:c r="AB5313" s="87"/>
      <x:c r="AC5313" s="87" t="str">
        <x:v>VIS-EGKR-HIST-W25-DOC-951-P003</x:v>
      </x:c>
      <x:c r="AD5313" s="87"/>
      <x:c r="AE5313" s="87" t="str">
        <x:v>PARTIAL_SOURCE</x:v>
      </x:c>
      <x:c r="AF5313" s="87" t="str">
        <x:v>VIS-EGKR-HIST-W25-DOC-951-P003: 3</x:v>
      </x:c>
      <x:c r="AG5313" s="87" t="str">
        <x:v>RESOLVED</x:v>
      </x:c>
      <x:c r="AH5313" s="87" t="str">
        <x:v>CROP_VERIFIED</x:v>
      </x:c>
      <x:c r="AI5313" s="30"/>
      <x:c r="AJ5313" s="87" t="str">
        <x:v>clean</x:v>
      </x:c>
      <x:c r="AK5313" s="87" t="str">
        <x:v>clean-v0.13</x:v>
      </x:c>
      <x:c r="AL5313" s="87" t="str">
        <x:v>statgrad_clean_continuation_v0_13(1).xlsx</x:v>
      </x:c>
      <x:c r="AM5313" s="87" t="str">
        <x:v>HIST_EGKR_951_PART</x:v>
      </x:c>
      <x:c r="AN5313" s="87" t="n">
        <x:v>7</x:v>
      </x:c>
    </x:row>
    <x:row r="5314">
      <x:c r="A5314" s="87" t="n">
        <x:v>5313</x:v>
      </x:c>
      <x:c r="B5314" s="87" t="str">
        <x:v>EGKR-W25-HIST-952-01</x:v>
      </x:c>
      <x:c r="C5314" s="87" t="str">
        <x:v>ЕГКР</x:v>
      </x:c>
      <x:c r="D5314" s="87"/>
      <x:c r="E5314" s="87" t="str">
        <x:v>Зима 2025</x:v>
      </x:c>
      <x:c r="F5314" s="87" t="str">
        <x:v>11.12.2025</x:v>
      </x:c>
      <x:c r="G5314" s="87" t="str">
        <x:v>История</x:v>
      </x:c>
      <x:c r="H5314" s="87" t="n">
        <x:v>11</x:v>
      </x:c>
      <x:c r="I5314" s="87"/>
      <x:c r="J5314" s="87" t="str">
        <x:v>952</x:v>
      </x:c>
      <x:c r="K5314" s="87" t="n">
        <x:v>1</x:v>
      </x:c>
      <x:c r="L5314" s="87" t="str">
        <x:v>Краткий ответ</x:v>
      </x:c>
      <x:c r="M5314" s="30" t="str">
        <x:v>Установить соответствие: учреждение Государственного совета, освобождение Вены, Деулинское перемирие, разгром Врангеля — и годы.</x:v>
      </x:c>
      <x:c r="N5314" s="30" t="str">
        <x:v>3614</x:v>
      </x:c>
      <x:c r="O5314" s="30" t="str">
        <x:v>1810; 1945; 1618; 1920.</x:v>
      </x:c>
      <x:c r="P5314" s="30" t="str">
        <x:v>Условие и исторические факты проверены независимо; источник ответа сохранён отдельно.</x:v>
      </x:c>
      <x:c r="Q5314" s="30"/>
      <x:c r="R5314" s="30"/>
      <x:c r="S5314" s="30" t="str">
        <x:v>Ответы история.docx</x:v>
      </x:c>
      <x:c r="T5314" s="30"/>
      <x:c r="U5314" s="30" t="str">
        <x:v>Расхождений нет.</x:v>
      </x:c>
      <x:c r="V5314" s="87" t="str">
        <x:v>VERIFIED</x:v>
      </x:c>
      <x:c r="W5314" s="87"/>
      <x:c r="X5314" s="87" t="n">
        <x:v>1</x:v>
      </x:c>
      <x:c r="Y5314" s="87"/>
      <x:c r="Z5314" s="87"/>
      <x:c r="AA5314" s="87"/>
      <x:c r="AB5314" s="87"/>
      <x:c r="AC5314" s="87" t="str">
        <x:v>VIS-EGKR-HIST-W25-TASK-952-P001</x:v>
      </x:c>
      <x:c r="AD5314" s="87"/>
      <x:c r="AE5314" s="87" t="str">
        <x:v>TASK</x:v>
      </x:c>
      <x:c r="AF5314" s="87" t="str">
        <x:v>VIS-EGKR-HIST-W25-TASK-952-P001: 1</x:v>
      </x:c>
      <x:c r="AG5314" s="87" t="str">
        <x:v>RESOLVED</x:v>
      </x:c>
      <x:c r="AH5314" s="87" t="str">
        <x:v>CROP_VERIFIED</x:v>
      </x:c>
      <x:c r="AI5314" s="30"/>
      <x:c r="AJ5314" s="87" t="str">
        <x:v>clean</x:v>
      </x:c>
      <x:c r="AK5314" s="87" t="str">
        <x:v>clean-v0.13</x:v>
      </x:c>
      <x:c r="AL5314" s="87" t="str">
        <x:v>statgrad_clean_continuation_v0_13(1).xlsx</x:v>
      </x:c>
      <x:c r="AM5314" s="87" t="str">
        <x:v>HIST_EGKR_952</x:v>
      </x:c>
      <x:c r="AN5314" s="87" t="n">
        <x:v>2</x:v>
      </x:c>
    </x:row>
    <x:row r="5315">
      <x:c r="A5315" s="87" t="n">
        <x:v>5314</x:v>
      </x:c>
      <x:c r="B5315" s="87" t="str">
        <x:v>EGKR-W25-HIST-952-02</x:v>
      </x:c>
      <x:c r="C5315" s="87" t="str">
        <x:v>ЕГКР</x:v>
      </x:c>
      <x:c r="D5315" s="87"/>
      <x:c r="E5315" s="87" t="str">
        <x:v>Зима 2025</x:v>
      </x:c>
      <x:c r="F5315" s="87" t="str">
        <x:v>11.12.2025</x:v>
      </x:c>
      <x:c r="G5315" s="87" t="str">
        <x:v>История</x:v>
      </x:c>
      <x:c r="H5315" s="87" t="n">
        <x:v>11</x:v>
      </x:c>
      <x:c r="I5315" s="87"/>
      <x:c r="J5315" s="87" t="str">
        <x:v>952</x:v>
      </x:c>
      <x:c r="K5315" s="87" t="n">
        <x:v>2</x:v>
      </x:c>
      <x:c r="L5315" s="87" t="str">
        <x:v>Краткий ответ</x:v>
      </x:c>
      <x:c r="M5315" s="30" t="str">
        <x:v>Расположить по времени: третий раздел Речи Посполитой, образование Северогерманского союза, начало реформы патриарха Никона.</x:v>
      </x:c>
      <x:c r="N5315" s="30" t="str">
        <x:v>312</x:v>
      </x:c>
      <x:c r="O5315" s="30" t="str">
        <x:v>Реформа Никона — 1650-е, третий раздел — 1795, Северогерманский союз — 1866/1867.</x:v>
      </x:c>
      <x:c r="P5315" s="30" t="str">
        <x:v>Условие и исторические факты проверены независимо; источник ответа сохранён отдельно.</x:v>
      </x:c>
      <x:c r="Q5315" s="30"/>
      <x:c r="R5315" s="30"/>
      <x:c r="S5315" s="30" t="str">
        <x:v>Ответы история.docx</x:v>
      </x:c>
      <x:c r="T5315" s="30"/>
      <x:c r="U5315" s="30" t="str">
        <x:v>Расхождений нет.</x:v>
      </x:c>
      <x:c r="V5315" s="87" t="str">
        <x:v>VERIFIED</x:v>
      </x:c>
      <x:c r="W5315" s="87"/>
      <x:c r="X5315" s="87" t="n">
        <x:v>1</x:v>
      </x:c>
      <x:c r="Y5315" s="87"/>
      <x:c r="Z5315" s="87"/>
      <x:c r="AA5315" s="87"/>
      <x:c r="AB5315" s="87"/>
      <x:c r="AC5315" s="87" t="str">
        <x:v>VIS-EGKR-HIST-W25-TASK-952-P001</x:v>
      </x:c>
      <x:c r="AD5315" s="87"/>
      <x:c r="AE5315" s="87" t="str">
        <x:v>TASK</x:v>
      </x:c>
      <x:c r="AF5315" s="87" t="str">
        <x:v>VIS-EGKR-HIST-W25-TASK-952-P001: 1</x:v>
      </x:c>
      <x:c r="AG5315" s="87" t="str">
        <x:v>RESOLVED</x:v>
      </x:c>
      <x:c r="AH5315" s="87" t="str">
        <x:v>CROP_VERIFIED</x:v>
      </x:c>
      <x:c r="AI5315" s="30"/>
      <x:c r="AJ5315" s="87" t="str">
        <x:v>clean</x:v>
      </x:c>
      <x:c r="AK5315" s="87" t="str">
        <x:v>clean-v0.13</x:v>
      </x:c>
      <x:c r="AL5315" s="87" t="str">
        <x:v>statgrad_clean_continuation_v0_13(1).xlsx</x:v>
      </x:c>
      <x:c r="AM5315" s="87" t="str">
        <x:v>HIST_EGKR_952</x:v>
      </x:c>
      <x:c r="AN5315" s="87" t="n">
        <x:v>3</x:v>
      </x:c>
    </x:row>
    <x:row r="5316">
      <x:c r="A5316" s="87" t="n">
        <x:v>5315</x:v>
      </x:c>
      <x:c r="B5316" s="87" t="str">
        <x:v>EGKR-W25-HIST-952-03</x:v>
      </x:c>
      <x:c r="C5316" s="87" t="str">
        <x:v>ЕГКР</x:v>
      </x:c>
      <x:c r="D5316" s="87"/>
      <x:c r="E5316" s="87" t="str">
        <x:v>Зима 2025</x:v>
      </x:c>
      <x:c r="F5316" s="87" t="str">
        <x:v>11.12.2025</x:v>
      </x:c>
      <x:c r="G5316" s="87" t="str">
        <x:v>История</x:v>
      </x:c>
      <x:c r="H5316" s="87" t="n">
        <x:v>11</x:v>
      </x:c>
      <x:c r="I5316" s="87"/>
      <x:c r="J5316" s="87" t="str">
        <x:v>952</x:v>
      </x:c>
      <x:c r="K5316" s="87" t="n">
        <x:v>3</x:v>
      </x:c>
      <x:c r="L5316" s="87" t="str">
        <x:v>Краткий ответ</x:v>
      </x:c>
      <x:c r="M5316" s="30" t="str">
        <x:v>Соотнести деятельность Ивана Калиты, советско-финляндскую войну, политику Николая I и Смутное время с фактами.</x:v>
      </x:c>
      <x:c r="N5316" s="30" t="str">
        <x:v>4135</x:v>
      </x:c>
      <x:c r="O5316" s="30" t="str">
        <x:v>Калита — дубовые стены Кремля; война с Финляндией — линия Маннергейма; Николай I — реформа Киселёва; Смута — Тушинский лагерь.</x:v>
      </x:c>
      <x:c r="P5316" s="30" t="str">
        <x:v>Условие и исторические факты проверены независимо; источник ответа сохранён отдельно.</x:v>
      </x:c>
      <x:c r="Q5316" s="30"/>
      <x:c r="R5316" s="30"/>
      <x:c r="S5316" s="30" t="str">
        <x:v>Ответы история.docx</x:v>
      </x:c>
      <x:c r="T5316" s="30"/>
      <x:c r="U5316" s="30" t="str">
        <x:v>Расхождений нет.</x:v>
      </x:c>
      <x:c r="V5316" s="87" t="str">
        <x:v>VERIFIED</x:v>
      </x:c>
      <x:c r="W5316" s="87"/>
      <x:c r="X5316" s="87" t="n">
        <x:v>2</x:v>
      </x:c>
      <x:c r="Y5316" s="87"/>
      <x:c r="Z5316" s="87"/>
      <x:c r="AA5316" s="87"/>
      <x:c r="AB5316" s="87"/>
      <x:c r="AC5316" s="87" t="str">
        <x:v>VIS-EGKR-HIST-W25-TASK-952-P002</x:v>
      </x:c>
      <x:c r="AD5316" s="87"/>
      <x:c r="AE5316" s="87" t="str">
        <x:v>TASK</x:v>
      </x:c>
      <x:c r="AF5316" s="87" t="str">
        <x:v>VIS-EGKR-HIST-W25-TASK-952-P002: 2</x:v>
      </x:c>
      <x:c r="AG5316" s="87" t="str">
        <x:v>RESOLVED</x:v>
      </x:c>
      <x:c r="AH5316" s="87" t="str">
        <x:v>CROP_VERIFIED</x:v>
      </x:c>
      <x:c r="AI5316" s="30"/>
      <x:c r="AJ5316" s="87" t="str">
        <x:v>clean</x:v>
      </x:c>
      <x:c r="AK5316" s="87" t="str">
        <x:v>clean-v0.13</x:v>
      </x:c>
      <x:c r="AL5316" s="87" t="str">
        <x:v>statgrad_clean_continuation_v0_13(1).xlsx</x:v>
      </x:c>
      <x:c r="AM5316" s="87" t="str">
        <x:v>HIST_EGKR_952</x:v>
      </x:c>
      <x:c r="AN5316" s="87" t="n">
        <x:v>4</x:v>
      </x:c>
    </x:row>
    <x:row r="5317">
      <x:c r="A5317" s="87" t="n">
        <x:v>5316</x:v>
      </x:c>
      <x:c r="B5317" s="87" t="str">
        <x:v>EGKR-W25-HIST-952-04</x:v>
      </x:c>
      <x:c r="C5317" s="87" t="str">
        <x:v>ЕГКР</x:v>
      </x:c>
      <x:c r="D5317" s="87"/>
      <x:c r="E5317" s="87" t="str">
        <x:v>Зима 2025</x:v>
      </x:c>
      <x:c r="F5317" s="87" t="str">
        <x:v>11.12.2025</x:v>
      </x:c>
      <x:c r="G5317" s="87" t="str">
        <x:v>История</x:v>
      </x:c>
      <x:c r="H5317" s="87" t="n">
        <x:v>11</x:v>
      </x:c>
      <x:c r="I5317" s="87"/>
      <x:c r="J5317" s="87" t="str">
        <x:v>952</x:v>
      </x:c>
      <x:c r="K5317" s="87" t="n">
        <x:v>4</x:v>
      </x:c>
      <x:c r="L5317" s="87" t="str">
        <x:v>Краткий ответ</x:v>
      </x:c>
      <x:c r="M5317" s="30" t="str">
        <x:v>Заполнить таблицу по Черкасску, Нерчинску, походу Ермака и битве при Молодях.</x:v>
      </x:c>
      <x:c r="N5317" s="30" t="str">
        <x:v>592174</x:v>
      </x:c>
      <x:c r="O5317" s="30" t="str">
        <x:v>Булавин погиб в Черкасске; Нерчинский договор; Кашлык и 1580-е; Молодинская битва и 1570-е.</x:v>
      </x:c>
      <x:c r="P5317" s="30" t="str">
        <x:v>Условие и исторические факты проверены независимо; источник ответа сохранён отдельно.</x:v>
      </x:c>
      <x:c r="Q5317" s="30"/>
      <x:c r="R5317" s="30"/>
      <x:c r="S5317" s="30" t="str">
        <x:v>Ответы история.docx</x:v>
      </x:c>
      <x:c r="T5317" s="30"/>
      <x:c r="U5317" s="30" t="str">
        <x:v>Расхождений нет.</x:v>
      </x:c>
      <x:c r="V5317" s="87" t="str">
        <x:v>VERIFIED</x:v>
      </x:c>
      <x:c r="W5317" s="87"/>
      <x:c r="X5317" s="87" t="n">
        <x:v>2</x:v>
      </x:c>
      <x:c r="Y5317" s="87"/>
      <x:c r="Z5317" s="87"/>
      <x:c r="AA5317" s="87"/>
      <x:c r="AB5317" s="87"/>
      <x:c r="AC5317" s="87" t="str">
        <x:v>VIS-EGKR-HIST-W25-TASK-952-P002</x:v>
      </x:c>
      <x:c r="AD5317" s="87"/>
      <x:c r="AE5317" s="87" t="str">
        <x:v>TASK</x:v>
      </x:c>
      <x:c r="AF5317" s="87" t="str">
        <x:v>VIS-EGKR-HIST-W25-TASK-952-P002: 2</x:v>
      </x:c>
      <x:c r="AG5317" s="87" t="str">
        <x:v>RESOLVED</x:v>
      </x:c>
      <x:c r="AH5317" s="87" t="str">
        <x:v>CROP_VERIFIED</x:v>
      </x:c>
      <x:c r="AI5317" s="30"/>
      <x:c r="AJ5317" s="87" t="str">
        <x:v>clean</x:v>
      </x:c>
      <x:c r="AK5317" s="87" t="str">
        <x:v>clean-v0.13</x:v>
      </x:c>
      <x:c r="AL5317" s="87" t="str">
        <x:v>statgrad_clean_continuation_v0_13(1).xlsx</x:v>
      </x:c>
      <x:c r="AM5317" s="87" t="str">
        <x:v>HIST_EGKR_952</x:v>
      </x:c>
      <x:c r="AN5317" s="87" t="n">
        <x:v>5</x:v>
      </x:c>
    </x:row>
    <x:row r="5318">
      <x:c r="A5318" s="87" t="n">
        <x:v>5317</x:v>
      </x:c>
      <x:c r="B5318" s="87" t="str">
        <x:v>EGKR-W25-HIST-952-05</x:v>
      </x:c>
      <x:c r="C5318" s="87" t="str">
        <x:v>ЕГКР</x:v>
      </x:c>
      <x:c r="D5318" s="87"/>
      <x:c r="E5318" s="87" t="str">
        <x:v>Зима 2025</x:v>
      </x:c>
      <x:c r="F5318" s="87" t="str">
        <x:v>11.12.2025</x:v>
      </x:c>
      <x:c r="G5318" s="87" t="str">
        <x:v>История</x:v>
      </x:c>
      <x:c r="H5318" s="87" t="n">
        <x:v>11</x:v>
      </x:c>
      <x:c r="I5318" s="87"/>
      <x:c r="J5318" s="87" t="str">
        <x:v>952</x:v>
      </x:c>
      <x:c r="K5318" s="87" t="n">
        <x:v>5</x:v>
      </x:c>
      <x:c r="L5318" s="87" t="str">
        <x:v>Краткий ответ</x:v>
      </x:c>
      <x:c r="M5318" s="30" t="str">
        <x:v>Соотнести руководство партизанским движением, СВО, учреждение патриаршества и Полтавскую битву с участниками.</x:v>
      </x:c>
      <x:c r="N5318" s="30" t="str">
        <x:v>4516</x:v>
      </x:c>
      <x:c r="O5318" s="30" t="str">
        <x:v>Пономаренко; Алаудинов; Годунов; Шереметев.</x:v>
      </x:c>
      <x:c r="P5318" s="30" t="str">
        <x:v>Условие и исторические факты проверены независимо; источник ответа сохранён отдельно.</x:v>
      </x:c>
      <x:c r="Q5318" s="30"/>
      <x:c r="R5318" s="30"/>
      <x:c r="S5318" s="30" t="str">
        <x:v>Ответы история.docx</x:v>
      </x:c>
      <x:c r="T5318" s="30"/>
      <x:c r="U5318" s="30" t="str">
        <x:v>Расхождений нет.</x:v>
      </x:c>
      <x:c r="V5318" s="87" t="str">
        <x:v>VERIFIED</x:v>
      </x:c>
      <x:c r="W5318" s="87"/>
      <x:c r="X5318" s="87" t="n">
        <x:v>3</x:v>
      </x:c>
      <x:c r="Y5318" s="87"/>
      <x:c r="Z5318" s="87"/>
      <x:c r="AA5318" s="87"/>
      <x:c r="AB5318" s="87"/>
      <x:c r="AC5318" s="87" t="str">
        <x:v>VIS-EGKR-HIST-W25-TASK-952-P003</x:v>
      </x:c>
      <x:c r="AD5318" s="87"/>
      <x:c r="AE5318" s="87" t="str">
        <x:v>TASK</x:v>
      </x:c>
      <x:c r="AF5318" s="87" t="str">
        <x:v>VIS-EGKR-HIST-W25-TASK-952-P003: 3</x:v>
      </x:c>
      <x:c r="AG5318" s="87" t="str">
        <x:v>RESOLVED</x:v>
      </x:c>
      <x:c r="AH5318" s="87" t="str">
        <x:v>CROP_VERIFIED</x:v>
      </x:c>
      <x:c r="AI5318" s="30"/>
      <x:c r="AJ5318" s="87" t="str">
        <x:v>clean</x:v>
      </x:c>
      <x:c r="AK5318" s="87" t="str">
        <x:v>clean-v0.13</x:v>
      </x:c>
      <x:c r="AL5318" s="87" t="str">
        <x:v>statgrad_clean_continuation_v0_13(1).xlsx</x:v>
      </x:c>
      <x:c r="AM5318" s="87" t="str">
        <x:v>HIST_EGKR_952</x:v>
      </x:c>
      <x:c r="AN5318" s="87" t="n">
        <x:v>6</x:v>
      </x:c>
    </x:row>
    <x:row r="5319">
      <x:c r="A5319" s="87" t="n">
        <x:v>5318</x:v>
      </x:c>
      <x:c r="B5319" s="87" t="str">
        <x:v>EGKR-W25-HIST-952-06</x:v>
      </x:c>
      <x:c r="C5319" s="87" t="str">
        <x:v>ЕГКР</x:v>
      </x:c>
      <x:c r="D5319" s="87"/>
      <x:c r="E5319" s="87" t="str">
        <x:v>Зима 2025</x:v>
      </x:c>
      <x:c r="F5319" s="87" t="str">
        <x:v>11.12.2025</x:v>
      </x:c>
      <x:c r="G5319" s="87" t="str">
        <x:v>История</x:v>
      </x:c>
      <x:c r="H5319" s="87" t="n">
        <x:v>11</x:v>
      </x:c>
      <x:c r="I5319" s="87"/>
      <x:c r="J5319" s="87" t="str">
        <x:v>952</x:v>
      </x:c>
      <x:c r="K5319" s="87" t="n">
        <x:v>6</x:v>
      </x:c>
      <x:c r="L5319" s="87" t="str">
        <x:v>Краткий ответ</x:v>
      </x:c>
      <x:c r="M5319" s="30" t="str">
        <x:v>По отрывку о разгроме русского войска на реке Пьяне выбрать верные суждения.</x:v>
      </x:c>
      <x:c r="N5319" s="30" t="str">
        <x:v>1245</x:v>
      </x:c>
      <x:c r="O5319" s="30" t="str">
        <x:v>Верны 1, 2, 4, 5. В ответнике ошибочно пропущено суждение 2.</x:v>
      </x:c>
      <x:c r="P5319" s="30" t="str">
        <x:v>Условие и исторические факты проверены независимо; источник ответа сохранён отдельно.</x:v>
      </x:c>
      <x:c r="Q5319" s="30"/>
      <x:c r="R5319" s="30"/>
      <x:c r="S5319" s="30" t="str">
        <x:v>Ответы история.docx</x:v>
      </x:c>
      <x:c r="T5319" s="30"/>
      <x:c r="U5319" s="30" t="str">
        <x:v>Ответник 145; независимое решение 1245.</x:v>
      </x:c>
      <x:c r="V5319" s="87" t="str">
        <x:v>KEY_MISMATCH</x:v>
      </x:c>
      <x:c r="W5319" s="87"/>
      <x:c r="X5319" s="87" t="n">
        <x:v>3</x:v>
      </x:c>
      <x:c r="Y5319" s="87"/>
      <x:c r="Z5319" s="87"/>
      <x:c r="AA5319" s="87"/>
      <x:c r="AB5319" s="87"/>
      <x:c r="AC5319" s="87" t="str">
        <x:v>VIS-EGKR-HIST-W25-TASK-952-P003</x:v>
      </x:c>
      <x:c r="AD5319" s="87"/>
      <x:c r="AE5319" s="87" t="str">
        <x:v>TASK</x:v>
      </x:c>
      <x:c r="AF5319" s="87" t="str">
        <x:v>VIS-EGKR-HIST-W25-TASK-952-P003: 3</x:v>
      </x:c>
      <x:c r="AG5319" s="87" t="str">
        <x:v>RESOLVED</x:v>
      </x:c>
      <x:c r="AH5319" s="87" t="str">
        <x:v>CROP_VERIFIED</x:v>
      </x:c>
      <x:c r="AI5319" s="30"/>
      <x:c r="AJ5319" s="87" t="str">
        <x:v>clean</x:v>
      </x:c>
      <x:c r="AK5319" s="87" t="str">
        <x:v>clean-v0.13</x:v>
      </x:c>
      <x:c r="AL5319" s="87" t="str">
        <x:v>statgrad_clean_continuation_v0_13(1).xlsx</x:v>
      </x:c>
      <x:c r="AM5319" s="87" t="str">
        <x:v>HIST_EGKR_952</x:v>
      </x:c>
      <x:c r="AN5319" s="87" t="n">
        <x:v>7</x:v>
      </x:c>
    </x:row>
    <x:row r="5320">
      <x:c r="A5320" s="87" t="n">
        <x:v>5319</x:v>
      </x:c>
      <x:c r="B5320" s="87" t="str">
        <x:v>EGKR-W25-HIST-952-07</x:v>
      </x:c>
      <x:c r="C5320" s="87" t="str">
        <x:v>ЕГКР</x:v>
      </x:c>
      <x:c r="D5320" s="87"/>
      <x:c r="E5320" s="87" t="str">
        <x:v>Зима 2025</x:v>
      </x:c>
      <x:c r="F5320" s="87" t="str">
        <x:v>11.12.2025</x:v>
      </x:c>
      <x:c r="G5320" s="87" t="str">
        <x:v>История</x:v>
      </x:c>
      <x:c r="H5320" s="87" t="n">
        <x:v>11</x:v>
      </x:c>
      <x:c r="I5320" s="87"/>
      <x:c r="J5320" s="87" t="str">
        <x:v>952</x:v>
      </x:c>
      <x:c r="K5320" s="87" t="n">
        <x:v>7</x:v>
      </x:c>
      <x:c r="L5320" s="87" t="str">
        <x:v>Краткий ответ</x:v>
      </x:c>
      <x:c r="M5320" s="30" t="str">
        <x:v>Соотнести «Дни Турбиных», Остромирово Евангелие, Калязинскую челобитную и «Бедную Лизу» с характеристиками.</x:v>
      </x:c>
      <x:c r="N5320" s="30" t="str">
        <x:v>6451</x:v>
      </x:c>
      <x:c r="O5320" s="30" t="str">
        <x:v>Гражданская война; древнерусская рукопись; сатира XVII века; сентиментализм.</x:v>
      </x:c>
      <x:c r="P5320" s="30" t="str">
        <x:v>Условие и исторические факты проверены независимо; источник ответа сохранён отдельно.</x:v>
      </x:c>
      <x:c r="Q5320" s="30"/>
      <x:c r="R5320" s="30"/>
      <x:c r="S5320" s="30" t="str">
        <x:v>Ответы история.docx</x:v>
      </x:c>
      <x:c r="T5320" s="30"/>
      <x:c r="U5320" s="30" t="str">
        <x:v>Расхождений нет.</x:v>
      </x:c>
      <x:c r="V5320" s="87" t="str">
        <x:v>VERIFIED</x:v>
      </x:c>
      <x:c r="W5320" s="87"/>
      <x:c r="X5320" s="87" t="n">
        <x:v>4</x:v>
      </x:c>
      <x:c r="Y5320" s="87"/>
      <x:c r="Z5320" s="87"/>
      <x:c r="AA5320" s="87"/>
      <x:c r="AB5320" s="87"/>
      <x:c r="AC5320" s="87" t="str">
        <x:v>VIS-EGKR-HIST-W25-TASK-952-P004</x:v>
      </x:c>
      <x:c r="AD5320" s="87"/>
      <x:c r="AE5320" s="87" t="str">
        <x:v>TASK</x:v>
      </x:c>
      <x:c r="AF5320" s="87" t="str">
        <x:v>VIS-EGKR-HIST-W25-TASK-952-P004: 4</x:v>
      </x:c>
      <x:c r="AG5320" s="87" t="str">
        <x:v>RESOLVED</x:v>
      </x:c>
      <x:c r="AH5320" s="87" t="str">
        <x:v>CROP_VERIFIED</x:v>
      </x:c>
      <x:c r="AI5320" s="30"/>
      <x:c r="AJ5320" s="87" t="str">
        <x:v>clean</x:v>
      </x:c>
      <x:c r="AK5320" s="87" t="str">
        <x:v>clean-v0.13</x:v>
      </x:c>
      <x:c r="AL5320" s="87" t="str">
        <x:v>statgrad_clean_continuation_v0_13(1).xlsx</x:v>
      </x:c>
      <x:c r="AM5320" s="87" t="str">
        <x:v>HIST_EGKR_952</x:v>
      </x:c>
      <x:c r="AN5320" s="87" t="n">
        <x:v>8</x:v>
      </x:c>
    </x:row>
    <x:row r="5321">
      <x:c r="A5321" s="87" t="n">
        <x:v>5320</x:v>
      </x:c>
      <x:c r="B5321" s="87" t="str">
        <x:v>EGKR-W25-HIST-952-08</x:v>
      </x:c>
      <x:c r="C5321" s="87" t="str">
        <x:v>ЕГКР</x:v>
      </x:c>
      <x:c r="D5321" s="87"/>
      <x:c r="E5321" s="87" t="str">
        <x:v>Зима 2025</x:v>
      </x:c>
      <x:c r="F5321" s="87" t="str">
        <x:v>11.12.2025</x:v>
      </x:c>
      <x:c r="G5321" s="87" t="str">
        <x:v>История</x:v>
      </x:c>
      <x:c r="H5321" s="87" t="n">
        <x:v>11</x:v>
      </x:c>
      <x:c r="I5321" s="87"/>
      <x:c r="J5321" s="87" t="str">
        <x:v>952</x:v>
      </x:c>
      <x:c r="K5321" s="87" t="n">
        <x:v>8</x:v>
      </x:c>
      <x:c r="L5321" s="87" t="str">
        <x:v>Краткий ответ</x:v>
      </x:c>
      <x:c r="M5321" s="30" t="str">
        <x:v>По газетной странице определить год выпуска номера.</x:v>
      </x:c>
      <x:c r="N5321" s="30" t="str">
        <x:v>сорок четвёртом</x:v>
      </x:c>
      <x:c r="O5321" s="30" t="str">
        <x:v>На газете отражены события 1944 года.</x:v>
      </x:c>
      <x:c r="P5321" s="30" t="str">
        <x:v>Условие и исторические факты проверены независимо; источник ответа сохранён отдельно.</x:v>
      </x:c>
      <x:c r="Q5321" s="30"/>
      <x:c r="R5321" s="30"/>
      <x:c r="S5321" s="30" t="str">
        <x:v>Ответы история.docx</x:v>
      </x:c>
      <x:c r="T5321" s="30"/>
      <x:c r="U5321" s="30" t="str">
        <x:v>Расхождений нет.</x:v>
      </x:c>
      <x:c r="V5321" s="87" t="str">
        <x:v>VERIFIED</x:v>
      </x:c>
      <x:c r="W5321" s="87"/>
      <x:c r="X5321" s="87" t="n">
        <x:v>4</x:v>
      </x:c>
      <x:c r="Y5321" s="87"/>
      <x:c r="Z5321" s="87"/>
      <x:c r="AA5321" s="87"/>
      <x:c r="AB5321" s="87"/>
      <x:c r="AC5321" s="87" t="str">
        <x:v>VIS-EGKR-HIST-W25-TASK-952-P004</x:v>
      </x:c>
      <x:c r="AD5321" s="87"/>
      <x:c r="AE5321" s="87" t="str">
        <x:v>TASK</x:v>
      </x:c>
      <x:c r="AF5321" s="87" t="str">
        <x:v>VIS-EGKR-HIST-W25-TASK-952-P004: 4</x:v>
      </x:c>
      <x:c r="AG5321" s="87" t="str">
        <x:v>RESOLVED</x:v>
      </x:c>
      <x:c r="AH5321" s="87" t="str">
        <x:v>CROP_VERIFIED</x:v>
      </x:c>
      <x:c r="AI5321" s="30"/>
      <x:c r="AJ5321" s="87" t="str">
        <x:v>clean</x:v>
      </x:c>
      <x:c r="AK5321" s="87" t="str">
        <x:v>clean-v0.13</x:v>
      </x:c>
      <x:c r="AL5321" s="87" t="str">
        <x:v>statgrad_clean_continuation_v0_13(1).xlsx</x:v>
      </x:c>
      <x:c r="AM5321" s="87" t="str">
        <x:v>HIST_EGKR_952</x:v>
      </x:c>
      <x:c r="AN5321" s="87" t="n">
        <x:v>9</x:v>
      </x:c>
    </x:row>
    <x:row r="5322">
      <x:c r="A5322" s="87" t="n">
        <x:v>5321</x:v>
      </x:c>
      <x:c r="B5322" s="87" t="str">
        <x:v>EGKR-W25-HIST-952-09</x:v>
      </x:c>
      <x:c r="C5322" s="87" t="str">
        <x:v>ЕГКР</x:v>
      </x:c>
      <x:c r="D5322" s="87"/>
      <x:c r="E5322" s="87" t="str">
        <x:v>Зима 2025</x:v>
      </x:c>
      <x:c r="F5322" s="87" t="str">
        <x:v>11.12.2025</x:v>
      </x:c>
      <x:c r="G5322" s="87" t="str">
        <x:v>История</x:v>
      </x:c>
      <x:c r="H5322" s="87" t="n">
        <x:v>11</x:v>
      </x:c>
      <x:c r="I5322" s="87"/>
      <x:c r="J5322" s="87" t="str">
        <x:v>952</x:v>
      </x:c>
      <x:c r="K5322" s="87" t="n">
        <x:v>9</x:v>
      </x:c>
      <x:c r="L5322" s="87" t="str">
        <x:v>Краткий ответ</x:v>
      </x:c>
      <x:c r="M5322" s="30" t="str">
        <x:v>По карте боевых действий определить год завершения обозначенных стрелками событий.</x:v>
      </x:c>
      <x:c r="N5322" s="30" t="str">
        <x:v>сорок третьего</x:v>
      </x:c>
      <x:c r="O5322" s="30" t="str">
        <x:v>Карта охватывает кампанию до конца 1943 года.</x:v>
      </x:c>
      <x:c r="P5322" s="30" t="str">
        <x:v>Условие и исторические факты проверены независимо; источник ответа сохранён отдельно.</x:v>
      </x:c>
      <x:c r="Q5322" s="30"/>
      <x:c r="R5322" s="30"/>
      <x:c r="S5322" s="30" t="str">
        <x:v>Ответы история.docx</x:v>
      </x:c>
      <x:c r="T5322" s="30"/>
      <x:c r="U5322" s="30" t="str">
        <x:v>Расхождений нет.</x:v>
      </x:c>
      <x:c r="V5322" s="87" t="str">
        <x:v>VERIFIED</x:v>
      </x:c>
      <x:c r="W5322" s="87"/>
      <x:c r="X5322" s="87" t="n">
        <x:v>5</x:v>
      </x:c>
      <x:c r="Y5322" s="87"/>
      <x:c r="Z5322" s="87"/>
      <x:c r="AA5322" s="87"/>
      <x:c r="AB5322" s="87"/>
      <x:c r="AC5322" s="87" t="str">
        <x:v>VIS-EGKR-HIST-W25-TASK-952-P005</x:v>
      </x:c>
      <x:c r="AD5322" s="87"/>
      <x:c r="AE5322" s="87" t="str">
        <x:v>TASK</x:v>
      </x:c>
      <x:c r="AF5322" s="87" t="str">
        <x:v>VIS-EGKR-HIST-W25-TASK-952-P005: 5</x:v>
      </x:c>
      <x:c r="AG5322" s="87" t="str">
        <x:v>RESOLVED</x:v>
      </x:c>
      <x:c r="AH5322" s="87" t="str">
        <x:v>CROP_VERIFIED</x:v>
      </x:c>
      <x:c r="AI5322" s="30"/>
      <x:c r="AJ5322" s="87" t="str">
        <x:v>clean</x:v>
      </x:c>
      <x:c r="AK5322" s="87" t="str">
        <x:v>clean-v0.13</x:v>
      </x:c>
      <x:c r="AL5322" s="87" t="str">
        <x:v>statgrad_clean_continuation_v0_13(1).xlsx</x:v>
      </x:c>
      <x:c r="AM5322" s="87" t="str">
        <x:v>HIST_EGKR_952</x:v>
      </x:c>
      <x:c r="AN5322" s="87" t="n">
        <x:v>10</x:v>
      </x:c>
    </x:row>
    <x:row r="5323">
      <x:c r="A5323" s="87" t="n">
        <x:v>5322</x:v>
      </x:c>
      <x:c r="B5323" s="87" t="str">
        <x:v>EGKR-W25-HIST-952-10</x:v>
      </x:c>
      <x:c r="C5323" s="87" t="str">
        <x:v>ЕГКР</x:v>
      </x:c>
      <x:c r="D5323" s="87"/>
      <x:c r="E5323" s="87" t="str">
        <x:v>Зима 2025</x:v>
      </x:c>
      <x:c r="F5323" s="87" t="str">
        <x:v>11.12.2025</x:v>
      </x:c>
      <x:c r="G5323" s="87" t="str">
        <x:v>История</x:v>
      </x:c>
      <x:c r="H5323" s="87" t="n">
        <x:v>11</x:v>
      </x:c>
      <x:c r="I5323" s="87"/>
      <x:c r="J5323" s="87" t="str">
        <x:v>952</x:v>
      </x:c>
      <x:c r="K5323" s="87" t="n">
        <x:v>10</x:v>
      </x:c>
      <x:c r="L5323" s="87" t="str">
        <x:v>Краткий ответ</x:v>
      </x:c>
      <x:c r="M5323" s="30" t="str">
        <x:v>Назвать город под цифрой 5 на карте.</x:v>
      </x:c>
      <x:c r="N5323" s="30" t="str">
        <x:v>Сталинград</x:v>
      </x:c>
      <x:c r="O5323" s="30" t="str">
        <x:v>Цифрой 5 обозначен Сталинград.</x:v>
      </x:c>
      <x:c r="P5323" s="30" t="str">
        <x:v>Условие и исторические факты проверены независимо; источник ответа сохранён отдельно.</x:v>
      </x:c>
      <x:c r="Q5323" s="30"/>
      <x:c r="R5323" s="30"/>
      <x:c r="S5323" s="30" t="str">
        <x:v>Ответы история.docx</x:v>
      </x:c>
      <x:c r="T5323" s="30"/>
      <x:c r="U5323" s="30" t="str">
        <x:v>Расхождений нет.</x:v>
      </x:c>
      <x:c r="V5323" s="87" t="str">
        <x:v>VERIFIED</x:v>
      </x:c>
      <x:c r="W5323" s="87"/>
      <x:c r="X5323" s="87" t="n">
        <x:v>5</x:v>
      </x:c>
      <x:c r="Y5323" s="87"/>
      <x:c r="Z5323" s="87"/>
      <x:c r="AA5323" s="87"/>
      <x:c r="AB5323" s="87"/>
      <x:c r="AC5323" s="87" t="str">
        <x:v>VIS-EGKR-HIST-W25-TASK-952-P005</x:v>
      </x:c>
      <x:c r="AD5323" s="87"/>
      <x:c r="AE5323" s="87" t="str">
        <x:v>TASK</x:v>
      </x:c>
      <x:c r="AF5323" s="87" t="str">
        <x:v>VIS-EGKR-HIST-W25-TASK-952-P005: 5</x:v>
      </x:c>
      <x:c r="AG5323" s="87" t="str">
        <x:v>RESOLVED</x:v>
      </x:c>
      <x:c r="AH5323" s="87" t="str">
        <x:v>CROP_VERIFIED; TASK_CROP_QA_APPROVED:USE_TIGHT</x:v>
      </x:c>
      <x:c r="AI5323" s="30"/>
      <x:c r="AJ5323" s="87" t="str">
        <x:v>clean</x:v>
      </x:c>
      <x:c r="AK5323" s="87" t="str">
        <x:v>clean-v0.13</x:v>
      </x:c>
      <x:c r="AL5323" s="87" t="str">
        <x:v>statgrad_clean_continuation_v0_13(1).xlsx</x:v>
      </x:c>
      <x:c r="AM5323" s="87" t="str">
        <x:v>HIST_EGKR_952</x:v>
      </x:c>
      <x:c r="AN5323" s="87" t="n">
        <x:v>11</x:v>
      </x:c>
    </x:row>
    <x:row r="5324">
      <x:c r="A5324" s="87" t="n">
        <x:v>5323</x:v>
      </x:c>
      <x:c r="B5324" s="87" t="str">
        <x:v>EGKR-W25-HIST-952-11</x:v>
      </x:c>
      <x:c r="C5324" s="87" t="str">
        <x:v>ЕГКР</x:v>
      </x:c>
      <x:c r="D5324" s="87"/>
      <x:c r="E5324" s="87" t="str">
        <x:v>Зима 2025</x:v>
      </x:c>
      <x:c r="F5324" s="87" t="str">
        <x:v>11.12.2025</x:v>
      </x:c>
      <x:c r="G5324" s="87" t="str">
        <x:v>История</x:v>
      </x:c>
      <x:c r="H5324" s="87" t="n">
        <x:v>11</x:v>
      </x:c>
      <x:c r="I5324" s="87"/>
      <x:c r="J5324" s="87" t="str">
        <x:v>952</x:v>
      </x:c>
      <x:c r="K5324" s="87" t="n">
        <x:v>11</x:v>
      </x:c>
      <x:c r="L5324" s="87" t="str">
        <x:v>Краткий ответ</x:v>
      </x:c>
      <x:c r="M5324" s="30" t="str">
        <x:v>По описанию наступления 28-й армии назвать трижды пропущенный населённый пункт.</x:v>
      </x:c>
      <x:c r="N5324" s="30" t="str">
        <x:v>Сальск</x:v>
      </x:c>
      <x:c r="O5324" s="30" t="str">
        <x:v>Наступление шло через Элисту и Сальск к Ростову-на-Дону.</x:v>
      </x:c>
      <x:c r="P5324" s="30" t="str">
        <x:v>Условие и исторические факты проверены независимо; источник ответа сохранён отдельно.</x:v>
      </x:c>
      <x:c r="Q5324" s="30"/>
      <x:c r="R5324" s="30"/>
      <x:c r="S5324" s="30" t="str">
        <x:v>Ответы история.docx</x:v>
      </x:c>
      <x:c r="T5324" s="30"/>
      <x:c r="U5324" s="30" t="str">
        <x:v>Расхождений нет.</x:v>
      </x:c>
      <x:c r="V5324" s="87" t="str">
        <x:v>VERIFIED</x:v>
      </x:c>
      <x:c r="W5324" s="87"/>
      <x:c r="X5324" s="87" t="n">
        <x:v>5</x:v>
      </x:c>
      <x:c r="Y5324" s="87"/>
      <x:c r="Z5324" s="87"/>
      <x:c r="AA5324" s="87"/>
      <x:c r="AB5324" s="87"/>
      <x:c r="AC5324" s="87" t="str">
        <x:v>VIS-EGKR-HIST-W25-TASK-952-P005</x:v>
      </x:c>
      <x:c r="AD5324" s="87"/>
      <x:c r="AE5324" s="87" t="str">
        <x:v>TASK</x:v>
      </x:c>
      <x:c r="AF5324" s="87" t="str">
        <x:v>VIS-EGKR-HIST-W25-TASK-952-P005: 5</x:v>
      </x:c>
      <x:c r="AG5324" s="87" t="str">
        <x:v>RESOLVED</x:v>
      </x:c>
      <x:c r="AH5324" s="87" t="str">
        <x:v>CROP_VERIFIED</x:v>
      </x:c>
      <x:c r="AI5324" s="30"/>
      <x:c r="AJ5324" s="87" t="str">
        <x:v>clean</x:v>
      </x:c>
      <x:c r="AK5324" s="87" t="str">
        <x:v>clean-v0.13</x:v>
      </x:c>
      <x:c r="AL5324" s="87" t="str">
        <x:v>statgrad_clean_continuation_v0_13(1).xlsx</x:v>
      </x:c>
      <x:c r="AM5324" s="87" t="str">
        <x:v>HIST_EGKR_952</x:v>
      </x:c>
      <x:c r="AN5324" s="87" t="n">
        <x:v>12</x:v>
      </x:c>
    </x:row>
    <x:row r="5325">
      <x:c r="A5325" s="87" t="n">
        <x:v>5324</x:v>
      </x:c>
      <x:c r="B5325" s="87" t="str">
        <x:v>EGKR-W25-HIST-952-12</x:v>
      </x:c>
      <x:c r="C5325" s="87" t="str">
        <x:v>ЕГКР</x:v>
      </x:c>
      <x:c r="D5325" s="87"/>
      <x:c r="E5325" s="87" t="str">
        <x:v>Зима 2025</x:v>
      </x:c>
      <x:c r="F5325" s="87" t="str">
        <x:v>11.12.2025</x:v>
      </x:c>
      <x:c r="G5325" s="87" t="str">
        <x:v>История</x:v>
      </x:c>
      <x:c r="H5325" s="87" t="n">
        <x:v>11</x:v>
      </x:c>
      <x:c r="I5325" s="87"/>
      <x:c r="J5325" s="87" t="str">
        <x:v>952</x:v>
      </x:c>
      <x:c r="K5325" s="87" t="n">
        <x:v>12</x:v>
      </x:c>
      <x:c r="L5325" s="87" t="str">
        <x:v>Краткий ответ</x:v>
      </x:c>
      <x:c r="M5325" s="30" t="str">
        <x:v>Выбрать верные суждения по карте боевых действий 1942–1943 гг.</x:v>
      </x:c>
      <x:c r="N5325" s="30" t="str">
        <x:v>24</x:v>
      </x:c>
      <x:c r="O5325" s="30" t="str">
        <x:v>Верны суждения 2 и 4.</x:v>
      </x:c>
      <x:c r="P5325" s="30" t="str">
        <x:v>Условие и исторические факты проверены независимо; источник ответа сохранён отдельно.</x:v>
      </x:c>
      <x:c r="Q5325" s="30"/>
      <x:c r="R5325" s="30"/>
      <x:c r="S5325" s="30" t="str">
        <x:v>Ответы история.docx</x:v>
      </x:c>
      <x:c r="T5325" s="30"/>
      <x:c r="U5325" s="30" t="str">
        <x:v>Расхождений нет.</x:v>
      </x:c>
      <x:c r="V5325" s="87" t="str">
        <x:v>VERIFIED</x:v>
      </x:c>
      <x:c r="W5325" s="87"/>
      <x:c r="X5325" s="87" t="n">
        <x:v>5</x:v>
      </x:c>
      <x:c r="Y5325" s="87"/>
      <x:c r="Z5325" s="87"/>
      <x:c r="AA5325" s="87"/>
      <x:c r="AB5325" s="87"/>
      <x:c r="AC5325" s="87" t="str">
        <x:v>VIS-EGKR-HIST-W25-TASK-952-P005</x:v>
      </x:c>
      <x:c r="AD5325" s="87"/>
      <x:c r="AE5325" s="87" t="str">
        <x:v>TASK</x:v>
      </x:c>
      <x:c r="AF5325" s="87" t="str">
        <x:v>VIS-EGKR-HIST-W25-TASK-952-P005: 5</x:v>
      </x:c>
      <x:c r="AG5325" s="87" t="str">
        <x:v>RESOLVED</x:v>
      </x:c>
      <x:c r="AH5325" s="87" t="str">
        <x:v>CROP_VERIFIED</x:v>
      </x:c>
      <x:c r="AI5325" s="30"/>
      <x:c r="AJ5325" s="87" t="str">
        <x:v>clean</x:v>
      </x:c>
      <x:c r="AK5325" s="87" t="str">
        <x:v>clean-v0.13</x:v>
      </x:c>
      <x:c r="AL5325" s="87" t="str">
        <x:v>statgrad_clean_continuation_v0_13(1).xlsx</x:v>
      </x:c>
      <x:c r="AM5325" s="87" t="str">
        <x:v>HIST_EGKR_952</x:v>
      </x:c>
      <x:c r="AN5325" s="87" t="n">
        <x:v>13</x:v>
      </x:c>
    </x:row>
    <x:row r="5326">
      <x:c r="A5326" s="87" t="n">
        <x:v>5325</x:v>
      </x:c>
      <x:c r="B5326" s="87" t="str">
        <x:v>EGKR-W25-HIST-952-13</x:v>
      </x:c>
      <x:c r="C5326" s="87" t="str">
        <x:v>ЕГКР</x:v>
      </x:c>
      <x:c r="D5326" s="87"/>
      <x:c r="E5326" s="87" t="str">
        <x:v>Зима 2025</x:v>
      </x:c>
      <x:c r="F5326" s="87" t="str">
        <x:v>11.12.2025</x:v>
      </x:c>
      <x:c r="G5326" s="87" t="str">
        <x:v>История</x:v>
      </x:c>
      <x:c r="H5326" s="87" t="n">
        <x:v>11</x:v>
      </x:c>
      <x:c r="I5326" s="87"/>
      <x:c r="J5326" s="87" t="str">
        <x:v>952</x:v>
      </x:c>
      <x:c r="K5326" s="87" t="n">
        <x:v>13</x:v>
      </x:c>
      <x:c r="L5326" s="87" t="str">
        <x:v>Развёрнутый ответ</x:v>
      </x:c>
      <x:c r="M5326" s="30" t="str">
        <x:v>По воспоминаниям о Манифесте 17 октября назвать год, представительный орган и должность Витте при вступлении Николая II.</x:v>
      </x:c>
      <x:c r="N5326" s="30" t="str">
        <x:v>1905 год; Государственная дума; в 1894 году С.Ю. Витте был министром финансов.</x:v>
      </x:c>
      <x:c r="O5326" s="30" t="str">
        <x:v>Рабочая модель содержит все элементы, требуемые формулировкой задания.</x:v>
      </x:c>
      <x:c r="P5326" s="30" t="str">
        <x:v>Условие и исторические факты проверены независимо; источник ответа сохранён отдельно.</x:v>
      </x:c>
      <x:c r="Q5326" s="30"/>
      <x:c r="R5326" s="30"/>
      <x:c r="S5326" s="30" t="str">
        <x:v>Независимая модель по исходному заданию</x:v>
      </x:c>
      <x:c r="T5326" s="30"/>
      <x:c r="U5326" s="30" t="str">
        <x:v>Расхождений нет.</x:v>
      </x:c>
      <x:c r="V5326" s="87" t="str">
        <x:v>VERIFIED</x:v>
      </x:c>
      <x:c r="W5326" s="87"/>
      <x:c r="X5326" s="87" t="n">
        <x:v>6</x:v>
      </x:c>
      <x:c r="Y5326" s="87"/>
      <x:c r="Z5326" s="87"/>
      <x:c r="AA5326" s="87"/>
      <x:c r="AB5326" s="87"/>
      <x:c r="AC5326" s="87" t="str">
        <x:v>VIS-EGKR-HIST-W25-TASK-952-P006</x:v>
      </x:c>
      <x:c r="AD5326" s="87"/>
      <x:c r="AE5326" s="87" t="str">
        <x:v>TASK</x:v>
      </x:c>
      <x:c r="AF5326" s="87" t="str">
        <x:v>VIS-EGKR-HIST-W25-TASK-952-P006: 6</x:v>
      </x:c>
      <x:c r="AG5326" s="87" t="str">
        <x:v>RESOLVED</x:v>
      </x:c>
      <x:c r="AH5326" s="87" t="str">
        <x:v>CROP_VERIFIED</x:v>
      </x:c>
      <x:c r="AI5326" s="30"/>
      <x:c r="AJ5326" s="87" t="str">
        <x:v>clean</x:v>
      </x:c>
      <x:c r="AK5326" s="87" t="str">
        <x:v>clean-v0.13</x:v>
      </x:c>
      <x:c r="AL5326" s="87" t="str">
        <x:v>statgrad_clean_continuation_v0_13(1).xlsx</x:v>
      </x:c>
      <x:c r="AM5326" s="87" t="str">
        <x:v>HIST_EGKR_952</x:v>
      </x:c>
      <x:c r="AN5326" s="87" t="n">
        <x:v>14</x:v>
      </x:c>
    </x:row>
    <x:row r="5327">
      <x:c r="A5327" s="87" t="n">
        <x:v>5326</x:v>
      </x:c>
      <x:c r="B5327" s="87" t="str">
        <x:v>EGKR-W25-HIST-952-14</x:v>
      </x:c>
      <x:c r="C5327" s="87" t="str">
        <x:v>ЕГКР</x:v>
      </x:c>
      <x:c r="D5327" s="87"/>
      <x:c r="E5327" s="87" t="str">
        <x:v>Зима 2025</x:v>
      </x:c>
      <x:c r="F5327" s="87" t="str">
        <x:v>11.12.2025</x:v>
      </x:c>
      <x:c r="G5327" s="87" t="str">
        <x:v>История</x:v>
      </x:c>
      <x:c r="H5327" s="87" t="n">
        <x:v>11</x:v>
      </x:c>
      <x:c r="I5327" s="87"/>
      <x:c r="J5327" s="87" t="str">
        <x:v>952</x:v>
      </x:c>
      <x:c r="K5327" s="87" t="n">
        <x:v>14</x:v>
      </x:c>
      <x:c r="L5327" s="87" t="str">
        <x:v>Развёрнутый ответ</x:v>
      </x:c>
      <x:c r="M5327" s="30" t="str">
        <x:v>Извлечь из источника вопрос студентов, ответ автора и характеристику разговора с банкирами.</x:v>
      </x:c>
      <x:c r="N5327" s="30" t="str">
        <x:v>Студенты спросили, подписан ли государем Манифест 17 октября. Автор ответил, что ему это неизвестно. Разговор с парижскими банкирами он назвал нервным и утомительным.</x:v>
      </x:c>
      <x:c r="O5327" s="30" t="str">
        <x:v>Рабочая модель содержит все элементы, требуемые формулировкой задания.</x:v>
      </x:c>
      <x:c r="P5327" s="30" t="str">
        <x:v>Условие и исторические факты проверены независимо; источник ответа сохранён отдельно.</x:v>
      </x:c>
      <x:c r="Q5327" s="30"/>
      <x:c r="R5327" s="30"/>
      <x:c r="S5327" s="30" t="str">
        <x:v>Независимая модель по исходному заданию</x:v>
      </x:c>
      <x:c r="T5327" s="30"/>
      <x:c r="U5327" s="30" t="str">
        <x:v>Расхождений нет.</x:v>
      </x:c>
      <x:c r="V5327" s="87" t="str">
        <x:v>VERIFIED</x:v>
      </x:c>
      <x:c r="W5327" s="87"/>
      <x:c r="X5327" s="87" t="n">
        <x:v>6</x:v>
      </x:c>
      <x:c r="Y5327" s="87"/>
      <x:c r="Z5327" s="87"/>
      <x:c r="AA5327" s="87"/>
      <x:c r="AB5327" s="87"/>
      <x:c r="AC5327" s="87" t="str">
        <x:v>VIS-EGKR-HIST-W25-TASK-952-P006</x:v>
      </x:c>
      <x:c r="AD5327" s="87"/>
      <x:c r="AE5327" s="87" t="str">
        <x:v>TASK</x:v>
      </x:c>
      <x:c r="AF5327" s="87" t="str">
        <x:v>VIS-EGKR-HIST-W25-TASK-952-P006: 6</x:v>
      </x:c>
      <x:c r="AG5327" s="87" t="str">
        <x:v>RESOLVED</x:v>
      </x:c>
      <x:c r="AH5327" s="87" t="str">
        <x:v>CROP_VERIFIED</x:v>
      </x:c>
      <x:c r="AI5327" s="30"/>
      <x:c r="AJ5327" s="87" t="str">
        <x:v>clean</x:v>
      </x:c>
      <x:c r="AK5327" s="87" t="str">
        <x:v>clean-v0.13</x:v>
      </x:c>
      <x:c r="AL5327" s="87" t="str">
        <x:v>statgrad_clean_continuation_v0_13(1).xlsx</x:v>
      </x:c>
      <x:c r="AM5327" s="87" t="str">
        <x:v>HIST_EGKR_952</x:v>
      </x:c>
      <x:c r="AN5327" s="87" t="n">
        <x:v>15</x:v>
      </x:c>
    </x:row>
    <x:row r="5328">
      <x:c r="A5328" s="87" t="n">
        <x:v>5327</x:v>
      </x:c>
      <x:c r="B5328" s="87" t="str">
        <x:v>EGKR-W25-HIST-952-15</x:v>
      </x:c>
      <x:c r="C5328" s="87" t="str">
        <x:v>ЕГКР</x:v>
      </x:c>
      <x:c r="D5328" s="87"/>
      <x:c r="E5328" s="87" t="str">
        <x:v>Зима 2025</x:v>
      </x:c>
      <x:c r="F5328" s="87" t="str">
        <x:v>11.12.2025</x:v>
      </x:c>
      <x:c r="G5328" s="87" t="str">
        <x:v>История</x:v>
      </x:c>
      <x:c r="H5328" s="87" t="n">
        <x:v>11</x:v>
      </x:c>
      <x:c r="I5328" s="87"/>
      <x:c r="J5328" s="87" t="str">
        <x:v>952</x:v>
      </x:c>
      <x:c r="K5328" s="87" t="n">
        <x:v>15</x:v>
      </x:c>
      <x:c r="L5328" s="87" t="str">
        <x:v>Развёрнутый ответ</x:v>
      </x:c>
      <x:c r="M5328" s="30" t="str">
        <x:v>Определить деятеля на медали к 300-летию Российской империи и обосновать ответ.</x:v>
      </x:c>
      <x:c r="N5328" s="30" t="str">
        <x:v>Пётр I. На медали указано 300-летие Российской империи; империя была провозглашена в 1721 году при Петре I.</x:v>
      </x:c>
      <x:c r="O5328" s="30" t="str">
        <x:v>Рабочая модель содержит все элементы, требуемые формулировкой задания.</x:v>
      </x:c>
      <x:c r="P5328" s="30" t="str">
        <x:v>Условие и исторические факты проверены независимо; источник ответа сохранён отдельно.</x:v>
      </x:c>
      <x:c r="Q5328" s="30"/>
      <x:c r="R5328" s="30"/>
      <x:c r="S5328" s="30" t="str">
        <x:v>Независимая модель по исходному заданию</x:v>
      </x:c>
      <x:c r="T5328" s="30"/>
      <x:c r="U5328" s="30" t="str">
        <x:v>Расхождений нет.</x:v>
      </x:c>
      <x:c r="V5328" s="87" t="str">
        <x:v>VERIFIED</x:v>
      </x:c>
      <x:c r="W5328" s="87"/>
      <x:c r="X5328" s="87" t="n">
        <x:v>7</x:v>
      </x:c>
      <x:c r="Y5328" s="87"/>
      <x:c r="Z5328" s="87"/>
      <x:c r="AA5328" s="87"/>
      <x:c r="AB5328" s="87"/>
      <x:c r="AC5328" s="87" t="str">
        <x:v>VIS-EGKR-HIST-W25-TASK-952-P007</x:v>
      </x:c>
      <x:c r="AD5328" s="87"/>
      <x:c r="AE5328" s="87" t="str">
        <x:v>TASK</x:v>
      </x:c>
      <x:c r="AF5328" s="87" t="str">
        <x:v>VIS-EGKR-HIST-W25-TASK-952-P007: 7</x:v>
      </x:c>
      <x:c r="AG5328" s="87" t="str">
        <x:v>RESOLVED</x:v>
      </x:c>
      <x:c r="AH5328" s="87" t="str">
        <x:v>CROP_VERIFIED</x:v>
      </x:c>
      <x:c r="AI5328" s="30"/>
      <x:c r="AJ5328" s="87" t="str">
        <x:v>clean</x:v>
      </x:c>
      <x:c r="AK5328" s="87" t="str">
        <x:v>clean-v0.13</x:v>
      </x:c>
      <x:c r="AL5328" s="87" t="str">
        <x:v>statgrad_clean_continuation_v0_13(1).xlsx</x:v>
      </x:c>
      <x:c r="AM5328" s="87" t="str">
        <x:v>HIST_EGKR_952</x:v>
      </x:c>
      <x:c r="AN5328" s="87" t="n">
        <x:v>16</x:v>
      </x:c>
    </x:row>
    <x:row r="5329">
      <x:c r="A5329" s="87" t="n">
        <x:v>5328</x:v>
      </x:c>
      <x:c r="B5329" s="87" t="str">
        <x:v>EGKR-W25-HIST-952-16</x:v>
      </x:c>
      <x:c r="C5329" s="87" t="str">
        <x:v>ЕГКР</x:v>
      </x:c>
      <x:c r="D5329" s="87"/>
      <x:c r="E5329" s="87" t="str">
        <x:v>Зима 2025</x:v>
      </x:c>
      <x:c r="F5329" s="87" t="str">
        <x:v>11.12.2025</x:v>
      </x:c>
      <x:c r="G5329" s="87" t="str">
        <x:v>История</x:v>
      </x:c>
      <x:c r="H5329" s="87" t="n">
        <x:v>11</x:v>
      </x:c>
      <x:c r="I5329" s="87"/>
      <x:c r="J5329" s="87" t="str">
        <x:v>952</x:v>
      </x:c>
      <x:c r="K5329" s="87" t="n">
        <x:v>16</x:v>
      </x:c>
      <x:c r="L5329" s="87" t="str">
        <x:v>Развёрнутый ответ</x:v>
      </x:c>
      <x:c r="M5329" s="30" t="str">
        <x:v>Выбрать архитектурный памятник того же века и назвать архитектора.</x:v>
      </x:c>
      <x:c r="N5329" s="30" t="str">
        <x:v>Памятник 3 — Петропавловский собор; архитектор Доменико Трезини.</x:v>
      </x:c>
      <x:c r="O5329" s="30" t="str">
        <x:v>Рабочая модель содержит все элементы, требуемые формулировкой задания.</x:v>
      </x:c>
      <x:c r="P5329" s="30" t="str">
        <x:v>Условие и исторические факты проверены независимо; источник ответа сохранён отдельно.</x:v>
      </x:c>
      <x:c r="Q5329" s="30"/>
      <x:c r="R5329" s="30"/>
      <x:c r="S5329" s="30" t="str">
        <x:v>Независимая модель по исходному заданию</x:v>
      </x:c>
      <x:c r="T5329" s="30"/>
      <x:c r="U5329" s="30" t="str">
        <x:v>Расхождений нет.</x:v>
      </x:c>
      <x:c r="V5329" s="87" t="str">
        <x:v>VERIFIED</x:v>
      </x:c>
      <x:c r="W5329" s="87"/>
      <x:c r="X5329" s="87" t="n">
        <x:v>7</x:v>
      </x:c>
      <x:c r="Y5329" s="87"/>
      <x:c r="Z5329" s="87"/>
      <x:c r="AA5329" s="87"/>
      <x:c r="AB5329" s="87"/>
      <x:c r="AC5329" s="87" t="str">
        <x:v>VIS-EGKR-HIST-W25-TASK-952-P007</x:v>
      </x:c>
      <x:c r="AD5329" s="87"/>
      <x:c r="AE5329" s="87" t="str">
        <x:v>TASK</x:v>
      </x:c>
      <x:c r="AF5329" s="87" t="str">
        <x:v>VIS-EGKR-HIST-W25-TASK-952-P007: 7</x:v>
      </x:c>
      <x:c r="AG5329" s="87" t="str">
        <x:v>RESOLVED</x:v>
      </x:c>
      <x:c r="AH5329" s="87" t="str">
        <x:v>CROP_VERIFIED</x:v>
      </x:c>
      <x:c r="AI5329" s="30"/>
      <x:c r="AJ5329" s="87" t="str">
        <x:v>clean</x:v>
      </x:c>
      <x:c r="AK5329" s="87" t="str">
        <x:v>clean-v0.13</x:v>
      </x:c>
      <x:c r="AL5329" s="87" t="str">
        <x:v>statgrad_clean_continuation_v0_13(1).xlsx</x:v>
      </x:c>
      <x:c r="AM5329" s="87" t="str">
        <x:v>HIST_EGKR_952</x:v>
      </x:c>
      <x:c r="AN5329" s="87" t="n">
        <x:v>17</x:v>
      </x:c>
    </x:row>
    <x:row r="5330">
      <x:c r="A5330" s="87" t="n">
        <x:v>5329</x:v>
      </x:c>
      <x:c r="B5330" s="87" t="str">
        <x:v>EGKR-W25-HIST-952-17</x:v>
      </x:c>
      <x:c r="C5330" s="87" t="str">
        <x:v>ЕГКР</x:v>
      </x:c>
      <x:c r="D5330" s="87"/>
      <x:c r="E5330" s="87" t="str">
        <x:v>Зима 2025</x:v>
      </x:c>
      <x:c r="F5330" s="87" t="str">
        <x:v>11.12.2025</x:v>
      </x:c>
      <x:c r="G5330" s="87" t="str">
        <x:v>История</x:v>
      </x:c>
      <x:c r="H5330" s="87" t="n">
        <x:v>11</x:v>
      </x:c>
      <x:c r="I5330" s="87"/>
      <x:c r="J5330" s="87" t="str">
        <x:v>952</x:v>
      </x:c>
      <x:c r="K5330" s="87" t="n">
        <x:v>17</x:v>
      </x:c>
      <x:c r="L5330" s="87" t="str">
        <x:v>Развёрнутый ответ</x:v>
      </x:c>
      <x:c r="M5330" s="30" t="str">
        <x:v>По двум отрывкам о боях под Москвой назвать год, Панфилова и причину разрыва между армиями.</x:v>
      </x:c>
      <x:c r="N5330" s="30" t="str">
        <x:v>1941 год; И.В. Панфилов; разрыв между 16-й и 30-й армиями возник из-за потери Клина.</x:v>
      </x:c>
      <x:c r="O5330" s="30" t="str">
        <x:v>Рабочая модель содержит все элементы, требуемые формулировкой задания.</x:v>
      </x:c>
      <x:c r="P5330" s="30" t="str">
        <x:v>Условие и исторические факты проверены независимо; источник ответа сохранён отдельно.</x:v>
      </x:c>
      <x:c r="Q5330" s="30"/>
      <x:c r="R5330" s="30"/>
      <x:c r="S5330" s="30" t="str">
        <x:v>Независимая модель по исходному заданию</x:v>
      </x:c>
      <x:c r="T5330" s="30"/>
      <x:c r="U5330" s="30" t="str">
        <x:v>Расхождений нет.</x:v>
      </x:c>
      <x:c r="V5330" s="87" t="str">
        <x:v>VERIFIED</x:v>
      </x:c>
      <x:c r="W5330" s="87"/>
      <x:c r="X5330" s="87" t="n">
        <x:v>8</x:v>
      </x:c>
      <x:c r="Y5330" s="87"/>
      <x:c r="Z5330" s="87"/>
      <x:c r="AA5330" s="87"/>
      <x:c r="AB5330" s="87"/>
      <x:c r="AC5330" s="87" t="str">
        <x:v>VIS-EGKR-HIST-W25-TASK-952-P008</x:v>
      </x:c>
      <x:c r="AD5330" s="87"/>
      <x:c r="AE5330" s="87" t="str">
        <x:v>TASK</x:v>
      </x:c>
      <x:c r="AF5330" s="87" t="str">
        <x:v>VIS-EGKR-HIST-W25-TASK-952-P008: 8</x:v>
      </x:c>
      <x:c r="AG5330" s="87" t="str">
        <x:v>RESOLVED</x:v>
      </x:c>
      <x:c r="AH5330" s="87" t="str">
        <x:v>CROP_VERIFIED</x:v>
      </x:c>
      <x:c r="AI5330" s="30"/>
      <x:c r="AJ5330" s="87" t="str">
        <x:v>clean</x:v>
      </x:c>
      <x:c r="AK5330" s="87" t="str">
        <x:v>clean-v0.13</x:v>
      </x:c>
      <x:c r="AL5330" s="87" t="str">
        <x:v>statgrad_clean_continuation_v0_13(1).xlsx</x:v>
      </x:c>
      <x:c r="AM5330" s="87" t="str">
        <x:v>HIST_EGKR_952</x:v>
      </x:c>
      <x:c r="AN5330" s="87" t="n">
        <x:v>18</x:v>
      </x:c>
    </x:row>
    <x:row r="5331">
      <x:c r="A5331" s="87" t="n">
        <x:v>5330</x:v>
      </x:c>
      <x:c r="B5331" s="87" t="str">
        <x:v>EGKR-W25-HIST-952-18</x:v>
      </x:c>
      <x:c r="C5331" s="87" t="str">
        <x:v>ЕГКР</x:v>
      </x:c>
      <x:c r="D5331" s="87"/>
      <x:c r="E5331" s="87" t="str">
        <x:v>Зима 2025</x:v>
      </x:c>
      <x:c r="F5331" s="87" t="str">
        <x:v>11.12.2025</x:v>
      </x:c>
      <x:c r="G5331" s="87" t="str">
        <x:v>История</x:v>
      </x:c>
      <x:c r="H5331" s="87" t="n">
        <x:v>11</x:v>
      </x:c>
      <x:c r="I5331" s="87"/>
      <x:c r="J5331" s="87" t="str">
        <x:v>952</x:v>
      </x:c>
      <x:c r="K5331" s="87" t="n">
        <x:v>18</x:v>
      </x:c>
      <x:c r="L5331" s="87" t="str">
        <x:v>Развёрнутый ответ</x:v>
      </x:c>
      <x:c r="M5331" s="30" t="str">
        <x:v>Назвать причины согласия москвичей на опричнину, изменение приказной системы и внешнеполитическую причину её отмены.</x:v>
      </x:c>
      <x:c r="N5331" s="30" t="str">
        <x:v>а) после отъезда Ивана IV москвичи опасались безвластия и просили царя вернуться на его условиях; б) возникло параллельное деление управления и приказов на земские и опричные; в) неспособность опричнины защитить страну от крымского набега и сожжения Москвы в 1571 году показала её военную неэффективность.</x:v>
      </x:c>
      <x:c r="O5331" s="30" t="str">
        <x:v>Рабочая модель содержит все элементы, требуемые формулировкой задания.</x:v>
      </x:c>
      <x:c r="P5331" s="30" t="str">
        <x:v>Условие и исторические факты проверены независимо; источник ответа сохранён отдельно.</x:v>
      </x:c>
      <x:c r="Q5331" s="30"/>
      <x:c r="R5331" s="30"/>
      <x:c r="S5331" s="30" t="str">
        <x:v>Независимая модель по исходному заданию</x:v>
      </x:c>
      <x:c r="T5331" s="30"/>
      <x:c r="U5331" s="30" t="str">
        <x:v>Расхождений нет.</x:v>
      </x:c>
      <x:c r="V5331" s="87" t="str">
        <x:v>VERIFIED</x:v>
      </x:c>
      <x:c r="W5331" s="87"/>
      <x:c r="X5331" s="87" t="n">
        <x:v>8</x:v>
      </x:c>
      <x:c r="Y5331" s="87"/>
      <x:c r="Z5331" s="87"/>
      <x:c r="AA5331" s="87"/>
      <x:c r="AB5331" s="87"/>
      <x:c r="AC5331" s="87" t="str">
        <x:v>VIS-EGKR-HIST-W25-TASK-952-P008</x:v>
      </x:c>
      <x:c r="AD5331" s="87"/>
      <x:c r="AE5331" s="87" t="str">
        <x:v>TASK</x:v>
      </x:c>
      <x:c r="AF5331" s="87" t="str">
        <x:v>VIS-EGKR-HIST-W25-TASK-952-P008: 8</x:v>
      </x:c>
      <x:c r="AG5331" s="87" t="str">
        <x:v>RESOLVED</x:v>
      </x:c>
      <x:c r="AH5331" s="87" t="str">
        <x:v>CROP_VERIFIED</x:v>
      </x:c>
      <x:c r="AI5331" s="30"/>
      <x:c r="AJ5331" s="87" t="str">
        <x:v>clean</x:v>
      </x:c>
      <x:c r="AK5331" s="87" t="str">
        <x:v>clean-v0.13</x:v>
      </x:c>
      <x:c r="AL5331" s="87" t="str">
        <x:v>statgrad_clean_continuation_v0_13(1).xlsx</x:v>
      </x:c>
      <x:c r="AM5331" s="87" t="str">
        <x:v>HIST_EGKR_952</x:v>
      </x:c>
      <x:c r="AN5331" s="87" t="n">
        <x:v>19</x:v>
      </x:c>
    </x:row>
    <x:row r="5332">
      <x:c r="A5332" s="87" t="n">
        <x:v>5331</x:v>
      </x:c>
      <x:c r="B5332" s="87" t="str">
        <x:v>EGKR-W25-HIST-952-19</x:v>
      </x:c>
      <x:c r="C5332" s="87" t="str">
        <x:v>ЕГКР</x:v>
      </x:c>
      <x:c r="D5332" s="87"/>
      <x:c r="E5332" s="87" t="str">
        <x:v>Зима 2025</x:v>
      </x:c>
      <x:c r="F5332" s="87" t="str">
        <x:v>11.12.2025</x:v>
      </x:c>
      <x:c r="G5332" s="87" t="str">
        <x:v>История</x:v>
      </x:c>
      <x:c r="H5332" s="87" t="n">
        <x:v>11</x:v>
      </x:c>
      <x:c r="I5332" s="87"/>
      <x:c r="J5332" s="87" t="str">
        <x:v>952</x:v>
      </x:c>
      <x:c r="K5332" s="87" t="n">
        <x:v>19</x:v>
      </x:c>
      <x:c r="L5332" s="87" t="str">
        <x:v>Развёрнутый ответ</x:v>
      </x:c>
      <x:c r="M5332" s="30" t="str">
        <x:v>Раскрыть понятие «уроки» и привести конкретизирующий факт.</x:v>
      </x:c>
      <x:c r="N5332" s="30" t="str">
        <x:v>Уроки — установленные княжеской властью фиксированные размеры дани. После гибели Игоря княгиня Ольга в 945–946 гг. упорядочила сбор дани, установив уроки и погосты.</x:v>
      </x:c>
      <x:c r="O5332" s="30" t="str">
        <x:v>Рабочая модель содержит все элементы, требуемые формулировкой задания.</x:v>
      </x:c>
      <x:c r="P5332" s="30" t="str">
        <x:v>Условие и исторические факты проверены независимо; источник ответа сохранён отдельно.</x:v>
      </x:c>
      <x:c r="Q5332" s="30"/>
      <x:c r="R5332" s="30"/>
      <x:c r="S5332" s="30" t="str">
        <x:v>Независимая модель по исходному заданию</x:v>
      </x:c>
      <x:c r="T5332" s="30"/>
      <x:c r="U5332" s="30" t="str">
        <x:v>Расхождений нет.</x:v>
      </x:c>
      <x:c r="V5332" s="87" t="str">
        <x:v>VERIFIED</x:v>
      </x:c>
      <x:c r="W5332" s="87"/>
      <x:c r="X5332" s="87" t="n">
        <x:v>8</x:v>
      </x:c>
      <x:c r="Y5332" s="87"/>
      <x:c r="Z5332" s="87"/>
      <x:c r="AA5332" s="87"/>
      <x:c r="AB5332" s="87"/>
      <x:c r="AC5332" s="87" t="str">
        <x:v>VIS-EGKR-HIST-W25-TASK-952-P008</x:v>
      </x:c>
      <x:c r="AD5332" s="87"/>
      <x:c r="AE5332" s="87" t="str">
        <x:v>TASK</x:v>
      </x:c>
      <x:c r="AF5332" s="87" t="str">
        <x:v>VIS-EGKR-HIST-W25-TASK-952-P008: 8</x:v>
      </x:c>
      <x:c r="AG5332" s="87" t="str">
        <x:v>RESOLVED</x:v>
      </x:c>
      <x:c r="AH5332" s="87" t="str">
        <x:v>CROP_VERIFIED</x:v>
      </x:c>
      <x:c r="AI5332" s="30"/>
      <x:c r="AJ5332" s="87" t="str">
        <x:v>clean</x:v>
      </x:c>
      <x:c r="AK5332" s="87" t="str">
        <x:v>clean-v0.13</x:v>
      </x:c>
      <x:c r="AL5332" s="87" t="str">
        <x:v>statgrad_clean_continuation_v0_13(1).xlsx</x:v>
      </x:c>
      <x:c r="AM5332" s="87" t="str">
        <x:v>HIST_EGKR_952</x:v>
      </x:c>
      <x:c r="AN5332" s="87" t="n">
        <x:v>20</x:v>
      </x:c>
    </x:row>
    <x:row r="5333">
      <x:c r="A5333" s="87" t="n">
        <x:v>5332</x:v>
      </x:c>
      <x:c r="B5333" s="87" t="str">
        <x:v>EGKR-W25-HIST-952-20</x:v>
      </x:c>
      <x:c r="C5333" s="87" t="str">
        <x:v>ЕГКР</x:v>
      </x:c>
      <x:c r="D5333" s="87"/>
      <x:c r="E5333" s="87" t="str">
        <x:v>Зима 2025</x:v>
      </x:c>
      <x:c r="F5333" s="87" t="str">
        <x:v>11.12.2025</x:v>
      </x:c>
      <x:c r="G5333" s="87" t="str">
        <x:v>История</x:v>
      </x:c>
      <x:c r="H5333" s="87" t="n">
        <x:v>11</x:v>
      </x:c>
      <x:c r="I5333" s="87"/>
      <x:c r="J5333" s="87" t="str">
        <x:v>952</x:v>
      </x:c>
      <x:c r="K5333" s="87" t="n">
        <x:v>20</x:v>
      </x:c>
      <x:c r="L5333" s="87" t="str">
        <x:v>Развёрнутый ответ</x:v>
      </x:c>
      <x:c r="M5333" s="30" t="str">
        <x:v>Сформулировать сходство политики Ивана III и Алексея Михайловича и привести два обоснования.</x:v>
      </x:c>
      <x:c r="N5333" s="30" t="str">
        <x:v>Тезис: оба правителя укрепляли централизованное государство и расширяли его территорию. 1) Иван III присоединил Новгород и Тверь и добился прекращения ордынской зависимости. 2) При Алексее Михайловиче были приняты Соборное уложение и присоединены Левобережная Украина с Киевом.</x:v>
      </x:c>
      <x:c r="O5333" s="30" t="str">
        <x:v>Рабочая модель содержит все элементы, требуемые формулировкой задания.</x:v>
      </x:c>
      <x:c r="P5333" s="30" t="str">
        <x:v>Условие и исторические факты проверены независимо; источник ответа сохранён отдельно.</x:v>
      </x:c>
      <x:c r="Q5333" s="30"/>
      <x:c r="R5333" s="30"/>
      <x:c r="S5333" s="30" t="str">
        <x:v>Независимая модель по исходному заданию</x:v>
      </x:c>
      <x:c r="T5333" s="30"/>
      <x:c r="U5333" s="30" t="str">
        <x:v>Расхождений нет.</x:v>
      </x:c>
      <x:c r="V5333" s="87" t="str">
        <x:v>VERIFIED</x:v>
      </x:c>
      <x:c r="W5333" s="87"/>
      <x:c r="X5333" s="87" t="n">
        <x:v>9</x:v>
      </x:c>
      <x:c r="Y5333" s="87"/>
      <x:c r="Z5333" s="87"/>
      <x:c r="AA5333" s="87"/>
      <x:c r="AB5333" s="87"/>
      <x:c r="AC5333" s="87" t="str">
        <x:v>VIS-EGKR-HIST-W25-TASK-952-P009</x:v>
      </x:c>
      <x:c r="AD5333" s="87"/>
      <x:c r="AE5333" s="87" t="str">
        <x:v>TASK</x:v>
      </x:c>
      <x:c r="AF5333" s="87" t="str">
        <x:v>VIS-EGKR-HIST-W25-TASK-952-P009: 9</x:v>
      </x:c>
      <x:c r="AG5333" s="87" t="str">
        <x:v>RESOLVED</x:v>
      </x:c>
      <x:c r="AH5333" s="87" t="str">
        <x:v>CROP_VERIFIED</x:v>
      </x:c>
      <x:c r="AI5333" s="30"/>
      <x:c r="AJ5333" s="87" t="str">
        <x:v>clean</x:v>
      </x:c>
      <x:c r="AK5333" s="87" t="str">
        <x:v>clean-v0.13</x:v>
      </x:c>
      <x:c r="AL5333" s="87" t="str">
        <x:v>statgrad_clean_continuation_v0_13(1).xlsx</x:v>
      </x:c>
      <x:c r="AM5333" s="87" t="str">
        <x:v>HIST_EGKR_952</x:v>
      </x:c>
      <x:c r="AN5333" s="87" t="n">
        <x:v>21</x:v>
      </x:c>
    </x:row>
    <x:row r="5334">
      <x:c r="A5334" s="87" t="n">
        <x:v>5333</x:v>
      </x:c>
      <x:c r="B5334" s="87" t="str">
        <x:v>EGKR-W25-HIST-952-21</x:v>
      </x:c>
      <x:c r="C5334" s="87" t="str">
        <x:v>ЕГКР</x:v>
      </x:c>
      <x:c r="D5334" s="87"/>
      <x:c r="E5334" s="87" t="str">
        <x:v>Зима 2025</x:v>
      </x:c>
      <x:c r="F5334" s="87" t="str">
        <x:v>11.12.2025</x:v>
      </x:c>
      <x:c r="G5334" s="87" t="str">
        <x:v>История</x:v>
      </x:c>
      <x:c r="H5334" s="87" t="n">
        <x:v>11</x:v>
      </x:c>
      <x:c r="I5334" s="87"/>
      <x:c r="J5334" s="87" t="str">
        <x:v>952</x:v>
      </x:c>
      <x:c r="K5334" s="87" t="n">
        <x:v>21</x:v>
      </x:c>
      <x:c r="L5334" s="87" t="str">
        <x:v>Развёрнутый ответ</x:v>
      </x:c>
      <x:c r="M5334" s="30" t="str">
        <x:v>Привести аргументы о церковных деятелях, претендовавших на ключевую роль в России и Франции XVII века.</x:v>
      </x:c>
      <x:c r="N5334" s="30" t="str">
        <x:v>Россия: при Алексее Михайловиче патриарх Никон именовал себя «великим государем» и претендовал на превосходство духовной власти. Франция: при Людовике XIII кардинал Ришельё как первый министр фактически руководил важнейшими направлениями государственной политики.</x:v>
      </x:c>
      <x:c r="O5334" s="30" t="str">
        <x:v>Рабочая модель содержит все элементы, требуемые формулировкой задания.</x:v>
      </x:c>
      <x:c r="P5334" s="30" t="str">
        <x:v>Условие и исторические факты проверены независимо; источник ответа сохранён отдельно.</x:v>
      </x:c>
      <x:c r="Q5334" s="30"/>
      <x:c r="R5334" s="30"/>
      <x:c r="S5334" s="30" t="str">
        <x:v>Независимая модель по исходному заданию</x:v>
      </x:c>
      <x:c r="T5334" s="30"/>
      <x:c r="U5334" s="30" t="str">
        <x:v>Расхождений нет.</x:v>
      </x:c>
      <x:c r="V5334" s="87" t="str">
        <x:v>VERIFIED</x:v>
      </x:c>
      <x:c r="W5334" s="87"/>
      <x:c r="X5334" s="87" t="n">
        <x:v>9</x:v>
      </x:c>
      <x:c r="Y5334" s="87"/>
      <x:c r="Z5334" s="87"/>
      <x:c r="AA5334" s="87"/>
      <x:c r="AB5334" s="87"/>
      <x:c r="AC5334" s="87" t="str">
        <x:v>VIS-EGKR-HIST-W25-TASK-952-P009</x:v>
      </x:c>
      <x:c r="AD5334" s="87"/>
      <x:c r="AE5334" s="87" t="str">
        <x:v>TASK</x:v>
      </x:c>
      <x:c r="AF5334" s="87" t="str">
        <x:v>VIS-EGKR-HIST-W25-TASK-952-P009: 9</x:v>
      </x:c>
      <x:c r="AG5334" s="87" t="str">
        <x:v>RESOLVED</x:v>
      </x:c>
      <x:c r="AH5334" s="87" t="str">
        <x:v>CROP_VERIFIED</x:v>
      </x:c>
      <x:c r="AI5334" s="30"/>
      <x:c r="AJ5334" s="87" t="str">
        <x:v>clean</x:v>
      </x:c>
      <x:c r="AK5334" s="87" t="str">
        <x:v>clean-v0.13</x:v>
      </x:c>
      <x:c r="AL5334" s="87" t="str">
        <x:v>statgrad_clean_continuation_v0_13(1).xlsx</x:v>
      </x:c>
      <x:c r="AM5334" s="87" t="str">
        <x:v>HIST_EGKR_952</x:v>
      </x:c>
      <x:c r="AN5334" s="87" t="n">
        <x:v>22</x:v>
      </x:c>
    </x:row>
    <x:row r="5335">
      <x:c r="A5335" s="87" t="n">
        <x:v>5334</x:v>
      </x:c>
      <x:c r="B5335" s="87" t="str">
        <x:v>EGKR-W25-HIST-953-01</x:v>
      </x:c>
      <x:c r="C5335" s="87" t="str">
        <x:v>ЕГКР</x:v>
      </x:c>
      <x:c r="D5335" s="87"/>
      <x:c r="E5335" s="87" t="str">
        <x:v>Зима 2025</x:v>
      </x:c>
      <x:c r="F5335" s="87" t="str">
        <x:v>11.12.2025</x:v>
      </x:c>
      <x:c r="G5335" s="87" t="str">
        <x:v>История</x:v>
      </x:c>
      <x:c r="H5335" s="87" t="n">
        <x:v>11</x:v>
      </x:c>
      <x:c r="I5335" s="87"/>
      <x:c r="J5335" s="87" t="str">
        <x:v>953</x:v>
      </x:c>
      <x:c r="K5335" s="87" t="n">
        <x:v>1</x:v>
      </x:c>
      <x:c r="L5335" s="87" t="str">
        <x:v>Краткий ответ</x:v>
      </x:c>
      <x:c r="M5335" s="30" t="str">
        <x:v>Соотнести создание ОВД, Поляновский мир, битву на Воже и освобождение Варшавы с годами.</x:v>
      </x:c>
      <x:c r="N5335" s="30" t="str">
        <x:v>6315</x:v>
      </x:c>
      <x:c r="O5335" s="30" t="str">
        <x:v>1955; 1634; 1378; 1945.</x:v>
      </x:c>
      <x:c r="P5335" s="30" t="str">
        <x:v>Условие и исторические факты проверены независимо; источник ответа сохранён отдельно.</x:v>
      </x:c>
      <x:c r="Q5335" s="30"/>
      <x:c r="R5335" s="30"/>
      <x:c r="S5335" s="30" t="str">
        <x:v>Ответы история 953.pdf</x:v>
      </x:c>
      <x:c r="T5335" s="30"/>
      <x:c r="U5335" s="30" t="str">
        <x:v>Расхождений нет.</x:v>
      </x:c>
      <x:c r="V5335" s="87" t="str">
        <x:v>VERIFIED</x:v>
      </x:c>
      <x:c r="W5335" s="87"/>
      <x:c r="X5335" s="87" t="n">
        <x:v>1</x:v>
      </x:c>
      <x:c r="Y5335" s="87"/>
      <x:c r="Z5335" s="87"/>
      <x:c r="AA5335" s="87"/>
      <x:c r="AB5335" s="87"/>
      <x:c r="AC5335" s="87" t="str">
        <x:v>VIS-EGKR-HIST-W25-TASK-953-P001</x:v>
      </x:c>
      <x:c r="AD5335" s="87"/>
      <x:c r="AE5335" s="87" t="str">
        <x:v>TASK</x:v>
      </x:c>
      <x:c r="AF5335" s="87" t="str">
        <x:v>VIS-EGKR-HIST-W25-TASK-953-P001: 1</x:v>
      </x:c>
      <x:c r="AG5335" s="87" t="str">
        <x:v>RESOLVED</x:v>
      </x:c>
      <x:c r="AH5335" s="87" t="str">
        <x:v>CROP_VERIFIED</x:v>
      </x:c>
      <x:c r="AI5335" s="30"/>
      <x:c r="AJ5335" s="87" t="str">
        <x:v>clean</x:v>
      </x:c>
      <x:c r="AK5335" s="87" t="str">
        <x:v>clean-v0.13</x:v>
      </x:c>
      <x:c r="AL5335" s="87" t="str">
        <x:v>statgrad_clean_continuation_v0_13(1).xlsx</x:v>
      </x:c>
      <x:c r="AM5335" s="87" t="str">
        <x:v>HIST_EGKR_953</x:v>
      </x:c>
      <x:c r="AN5335" s="87" t="n">
        <x:v>2</x:v>
      </x:c>
    </x:row>
    <x:row r="5336">
      <x:c r="A5336" s="87" t="n">
        <x:v>5335</x:v>
      </x:c>
      <x:c r="B5336" s="87" t="str">
        <x:v>EGKR-W25-HIST-953-02</x:v>
      </x:c>
      <x:c r="C5336" s="87" t="str">
        <x:v>ЕГКР</x:v>
      </x:c>
      <x:c r="D5336" s="87"/>
      <x:c r="E5336" s="87" t="str">
        <x:v>Зима 2025</x:v>
      </x:c>
      <x:c r="F5336" s="87" t="str">
        <x:v>11.12.2025</x:v>
      </x:c>
      <x:c r="G5336" s="87" t="str">
        <x:v>История</x:v>
      </x:c>
      <x:c r="H5336" s="87" t="n">
        <x:v>11</x:v>
      </x:c>
      <x:c r="I5336" s="87"/>
      <x:c r="J5336" s="87" t="str">
        <x:v>953</x:v>
      </x:c>
      <x:c r="K5336" s="87" t="n">
        <x:v>2</x:v>
      </x:c>
      <x:c r="L5336" s="87" t="str">
        <x:v>Краткий ответ</x:v>
      </x:c>
      <x:c r="M5336" s="30" t="str">
        <x:v>Расположить начало Столетней войны, Грюнвальдскую битву и битву на Калке.</x:v>
      </x:c>
      <x:c r="N5336" s="30" t="str">
        <x:v>312</x:v>
      </x:c>
      <x:c r="O5336" s="30" t="str">
        <x:v>Калка — 1223, Столетняя война — 1337, Грюнвальд — 1410.</x:v>
      </x:c>
      <x:c r="P5336" s="30" t="str">
        <x:v>Условие и исторические факты проверены независимо; источник ответа сохранён отдельно.</x:v>
      </x:c>
      <x:c r="Q5336" s="30"/>
      <x:c r="R5336" s="30"/>
      <x:c r="S5336" s="30" t="str">
        <x:v>Ответы история 953.pdf</x:v>
      </x:c>
      <x:c r="T5336" s="30"/>
      <x:c r="U5336" s="30" t="str">
        <x:v>Расхождений нет.</x:v>
      </x:c>
      <x:c r="V5336" s="87" t="str">
        <x:v>VERIFIED</x:v>
      </x:c>
      <x:c r="W5336" s="87"/>
      <x:c r="X5336" s="87" t="n">
        <x:v>1</x:v>
      </x:c>
      <x:c r="Y5336" s="87"/>
      <x:c r="Z5336" s="87"/>
      <x:c r="AA5336" s="87"/>
      <x:c r="AB5336" s="87"/>
      <x:c r="AC5336" s="87" t="str">
        <x:v>VIS-EGKR-HIST-W25-TASK-953-P001</x:v>
      </x:c>
      <x:c r="AD5336" s="87"/>
      <x:c r="AE5336" s="87" t="str">
        <x:v>TASK</x:v>
      </x:c>
      <x:c r="AF5336" s="87" t="str">
        <x:v>VIS-EGKR-HIST-W25-TASK-953-P001: 1</x:v>
      </x:c>
      <x:c r="AG5336" s="87" t="str">
        <x:v>RESOLVED</x:v>
      </x:c>
      <x:c r="AH5336" s="87" t="str">
        <x:v>CROP_VERIFIED</x:v>
      </x:c>
      <x:c r="AI5336" s="30"/>
      <x:c r="AJ5336" s="87" t="str">
        <x:v>clean</x:v>
      </x:c>
      <x:c r="AK5336" s="87" t="str">
        <x:v>clean-v0.13</x:v>
      </x:c>
      <x:c r="AL5336" s="87" t="str">
        <x:v>statgrad_clean_continuation_v0_13(1).xlsx</x:v>
      </x:c>
      <x:c r="AM5336" s="87" t="str">
        <x:v>HIST_EGKR_953</x:v>
      </x:c>
      <x:c r="AN5336" s="87" t="n">
        <x:v>3</x:v>
      </x:c>
    </x:row>
    <x:row r="5337">
      <x:c r="A5337" s="87" t="n">
        <x:v>5336</x:v>
      </x:c>
      <x:c r="B5337" s="87" t="str">
        <x:v>EGKR-W25-HIST-953-03</x:v>
      </x:c>
      <x:c r="C5337" s="87" t="str">
        <x:v>ЕГКР</x:v>
      </x:c>
      <x:c r="D5337" s="87"/>
      <x:c r="E5337" s="87" t="str">
        <x:v>Зима 2025</x:v>
      </x:c>
      <x:c r="F5337" s="87" t="str">
        <x:v>11.12.2025</x:v>
      </x:c>
      <x:c r="G5337" s="87" t="str">
        <x:v>История</x:v>
      </x:c>
      <x:c r="H5337" s="87" t="n">
        <x:v>11</x:v>
      </x:c>
      <x:c r="I5337" s="87"/>
      <x:c r="J5337" s="87" t="str">
        <x:v>953</x:v>
      </x:c>
      <x:c r="K5337" s="87" t="n">
        <x:v>3</x:v>
      </x:c>
      <x:c r="L5337" s="87" t="str">
        <x:v>Краткий ответ</x:v>
      </x:c>
      <x:c r="M5337" s="30" t="str">
        <x:v>Соотнести закрепощение XVII века, Батыево нашествие, Первую революцию и нэп с фактами.</x:v>
      </x:c>
      <x:c r="N5337" s="30" t="str">
        <x:v>4521</x:v>
      </x:c>
      <x:c r="O5337" s="30" t="str">
        <x:v>Соборное уложение; оборона Козельска; декабрьское восстание 1905; реформа Сокольникова.</x:v>
      </x:c>
      <x:c r="P5337" s="30" t="str">
        <x:v>Условие и исторические факты проверены независимо; источник ответа сохранён отдельно.</x:v>
      </x:c>
      <x:c r="Q5337" s="30"/>
      <x:c r="R5337" s="30"/>
      <x:c r="S5337" s="30" t="str">
        <x:v>Ответы история 953.pdf</x:v>
      </x:c>
      <x:c r="T5337" s="30"/>
      <x:c r="U5337" s="30" t="str">
        <x:v>Расхождений нет.</x:v>
      </x:c>
      <x:c r="V5337" s="87" t="str">
        <x:v>VERIFIED</x:v>
      </x:c>
      <x:c r="W5337" s="87"/>
      <x:c r="X5337" s="87" t="n">
        <x:v>2</x:v>
      </x:c>
      <x:c r="Y5337" s="87"/>
      <x:c r="Z5337" s="87"/>
      <x:c r="AA5337" s="87"/>
      <x:c r="AB5337" s="87"/>
      <x:c r="AC5337" s="87" t="str">
        <x:v>VIS-EGKR-HIST-W25-TASK-953-P002</x:v>
      </x:c>
      <x:c r="AD5337" s="87"/>
      <x:c r="AE5337" s="87" t="str">
        <x:v>TASK</x:v>
      </x:c>
      <x:c r="AF5337" s="87" t="str">
        <x:v>VIS-EGKR-HIST-W25-TASK-953-P002: 2</x:v>
      </x:c>
      <x:c r="AG5337" s="87" t="str">
        <x:v>RESOLVED</x:v>
      </x:c>
      <x:c r="AH5337" s="87" t="str">
        <x:v>CROP_VERIFIED</x:v>
      </x:c>
      <x:c r="AI5337" s="30"/>
      <x:c r="AJ5337" s="87" t="str">
        <x:v>clean</x:v>
      </x:c>
      <x:c r="AK5337" s="87" t="str">
        <x:v>clean-v0.13</x:v>
      </x:c>
      <x:c r="AL5337" s="87" t="str">
        <x:v>statgrad_clean_continuation_v0_13(1).xlsx</x:v>
      </x:c>
      <x:c r="AM5337" s="87" t="str">
        <x:v>HIST_EGKR_953</x:v>
      </x:c>
      <x:c r="AN5337" s="87" t="n">
        <x:v>4</x:v>
      </x:c>
    </x:row>
    <x:row r="5338">
      <x:c r="A5338" s="87" t="n">
        <x:v>5337</x:v>
      </x:c>
      <x:c r="B5338" s="87" t="str">
        <x:v>EGKR-W25-HIST-953-04</x:v>
      </x:c>
      <x:c r="C5338" s="87" t="str">
        <x:v>ЕГКР</x:v>
      </x:c>
      <x:c r="D5338" s="87"/>
      <x:c r="E5338" s="87" t="str">
        <x:v>Зима 2025</x:v>
      </x:c>
      <x:c r="F5338" s="87" t="str">
        <x:v>11.12.2025</x:v>
      </x:c>
      <x:c r="G5338" s="87" t="str">
        <x:v>История</x:v>
      </x:c>
      <x:c r="H5338" s="87" t="n">
        <x:v>11</x:v>
      </x:c>
      <x:c r="I5338" s="87"/>
      <x:c r="J5338" s="87" t="str">
        <x:v>953</x:v>
      </x:c>
      <x:c r="K5338" s="87" t="n">
        <x:v>4</x:v>
      </x:c>
      <x:c r="L5338" s="87" t="str">
        <x:v>Краткий ответ</x:v>
      </x:c>
      <x:c r="M5338" s="30" t="str">
        <x:v>Заполнить таблицу по Порт-Артуру, Кашлыку, Севастополю и Черкасску.</x:v>
      </x:c>
      <x:c r="N5338" s="30" t="str">
        <x:v>867439</x:v>
      </x:c>
      <x:c r="O5338" s="30" t="str">
        <x:v>Порт-Артур и 1900-е; поход Ермака; Севастополь и 1850-е; гибель Булавина.</x:v>
      </x:c>
      <x:c r="P5338" s="30" t="str">
        <x:v>Условие и исторические факты проверены независимо; источник ответа сохранён отдельно.</x:v>
      </x:c>
      <x:c r="Q5338" s="30"/>
      <x:c r="R5338" s="30"/>
      <x:c r="S5338" s="30" t="str">
        <x:v>Ответы история 953.pdf</x:v>
      </x:c>
      <x:c r="T5338" s="30"/>
      <x:c r="U5338" s="30" t="str">
        <x:v>Расхождений нет.</x:v>
      </x:c>
      <x:c r="V5338" s="87" t="str">
        <x:v>VERIFIED</x:v>
      </x:c>
      <x:c r="W5338" s="87"/>
      <x:c r="X5338" s="87" t="n">
        <x:v>2</x:v>
      </x:c>
      <x:c r="Y5338" s="87"/>
      <x:c r="Z5338" s="87"/>
      <x:c r="AA5338" s="87"/>
      <x:c r="AB5338" s="87"/>
      <x:c r="AC5338" s="87" t="str">
        <x:v>VIS-EGKR-HIST-W25-TASK-953-P002</x:v>
      </x:c>
      <x:c r="AD5338" s="87"/>
      <x:c r="AE5338" s="87" t="str">
        <x:v>TASK</x:v>
      </x:c>
      <x:c r="AF5338" s="87" t="str">
        <x:v>VIS-EGKR-HIST-W25-TASK-953-P002: 2</x:v>
      </x:c>
      <x:c r="AG5338" s="87" t="str">
        <x:v>RESOLVED</x:v>
      </x:c>
      <x:c r="AH5338" s="87" t="str">
        <x:v>CROP_VERIFIED</x:v>
      </x:c>
      <x:c r="AI5338" s="30"/>
      <x:c r="AJ5338" s="87" t="str">
        <x:v>clean</x:v>
      </x:c>
      <x:c r="AK5338" s="87" t="str">
        <x:v>clean-v0.13</x:v>
      </x:c>
      <x:c r="AL5338" s="87" t="str">
        <x:v>statgrad_clean_continuation_v0_13(1).xlsx</x:v>
      </x:c>
      <x:c r="AM5338" s="87" t="str">
        <x:v>HIST_EGKR_953</x:v>
      </x:c>
      <x:c r="AN5338" s="87" t="n">
        <x:v>5</x:v>
      </x:c>
    </x:row>
    <x:row r="5339">
      <x:c r="A5339" s="87" t="n">
        <x:v>5338</x:v>
      </x:c>
      <x:c r="B5339" s="87" t="str">
        <x:v>EGKR-W25-HIST-953-05</x:v>
      </x:c>
      <x:c r="C5339" s="87" t="str">
        <x:v>ЕГКР</x:v>
      </x:c>
      <x:c r="D5339" s="87"/>
      <x:c r="E5339" s="87" t="str">
        <x:v>Зима 2025</x:v>
      </x:c>
      <x:c r="F5339" s="87" t="str">
        <x:v>11.12.2025</x:v>
      </x:c>
      <x:c r="G5339" s="87" t="str">
        <x:v>История</x:v>
      </x:c>
      <x:c r="H5339" s="87" t="n">
        <x:v>11</x:v>
      </x:c>
      <x:c r="I5339" s="87"/>
      <x:c r="J5339" s="87" t="str">
        <x:v>953</x:v>
      </x:c>
      <x:c r="K5339" s="87" t="n">
        <x:v>5</x:v>
      </x:c>
      <x:c r="L5339" s="87" t="str">
        <x:v>Краткий ответ</x:v>
      </x:c>
      <x:c r="M5339" s="30" t="str">
        <x:v>Соотнести СВО, освобождение Крыма, подавление польского восстания и Андрусовское перемирие с участниками.</x:v>
      </x:c>
      <x:c r="N5339" s="30" t="str">
        <x:v>6435</x:v>
      </x:c>
      <x:c r="O5339" s="30" t="str">
        <x:v>Качура; Толбухин; Паскевич; Ордин-Нащокин.</x:v>
      </x:c>
      <x:c r="P5339" s="30" t="str">
        <x:v>Условие и исторические факты проверены независимо; источник ответа сохранён отдельно.</x:v>
      </x:c>
      <x:c r="Q5339" s="30"/>
      <x:c r="R5339" s="30"/>
      <x:c r="S5339" s="30" t="str">
        <x:v>Ответы история 953.pdf</x:v>
      </x:c>
      <x:c r="T5339" s="30"/>
      <x:c r="U5339" s="30" t="str">
        <x:v>Расхождений нет.</x:v>
      </x:c>
      <x:c r="V5339" s="87" t="str">
        <x:v>VERIFIED</x:v>
      </x:c>
      <x:c r="W5339" s="87"/>
      <x:c r="X5339" s="87" t="n">
        <x:v>3</x:v>
      </x:c>
      <x:c r="Y5339" s="87"/>
      <x:c r="Z5339" s="87"/>
      <x:c r="AA5339" s="87"/>
      <x:c r="AB5339" s="87"/>
      <x:c r="AC5339" s="87" t="str">
        <x:v>VIS-EGKR-HIST-W25-TASK-953-P003</x:v>
      </x:c>
      <x:c r="AD5339" s="87"/>
      <x:c r="AE5339" s="87" t="str">
        <x:v>TASK</x:v>
      </x:c>
      <x:c r="AF5339" s="87" t="str">
        <x:v>VIS-EGKR-HIST-W25-TASK-953-P003: 3</x:v>
      </x:c>
      <x:c r="AG5339" s="87" t="str">
        <x:v>RESOLVED</x:v>
      </x:c>
      <x:c r="AH5339" s="87" t="str">
        <x:v>CROP_VERIFIED</x:v>
      </x:c>
      <x:c r="AI5339" s="30"/>
      <x:c r="AJ5339" s="87" t="str">
        <x:v>clean</x:v>
      </x:c>
      <x:c r="AK5339" s="87" t="str">
        <x:v>clean-v0.13</x:v>
      </x:c>
      <x:c r="AL5339" s="87" t="str">
        <x:v>statgrad_clean_continuation_v0_13(1).xlsx</x:v>
      </x:c>
      <x:c r="AM5339" s="87" t="str">
        <x:v>HIST_EGKR_953</x:v>
      </x:c>
      <x:c r="AN5339" s="87" t="n">
        <x:v>6</x:v>
      </x:c>
    </x:row>
    <x:row r="5340">
      <x:c r="A5340" s="87" t="n">
        <x:v>5339</x:v>
      </x:c>
      <x:c r="B5340" s="87" t="str">
        <x:v>EGKR-W25-HIST-953-06</x:v>
      </x:c>
      <x:c r="C5340" s="87" t="str">
        <x:v>ЕГКР</x:v>
      </x:c>
      <x:c r="D5340" s="87"/>
      <x:c r="E5340" s="87" t="str">
        <x:v>Зима 2025</x:v>
      </x:c>
      <x:c r="F5340" s="87" t="str">
        <x:v>11.12.2025</x:v>
      </x:c>
      <x:c r="G5340" s="87" t="str">
        <x:v>История</x:v>
      </x:c>
      <x:c r="H5340" s="87" t="n">
        <x:v>11</x:v>
      </x:c>
      <x:c r="I5340" s="87"/>
      <x:c r="J5340" s="87" t="str">
        <x:v>953</x:v>
      </x:c>
      <x:c r="K5340" s="87" t="n">
        <x:v>6</x:v>
      </x:c>
      <x:c r="L5340" s="87" t="str">
        <x:v>Краткий ответ</x:v>
      </x:c>
      <x:c r="M5340" s="30" t="str">
        <x:v>По повести об Иване IV и Фёдоре Ивановиче выбрать верные суждения.</x:v>
      </x:c>
      <x:c r="N5340" s="30" t="str">
        <x:v>3456</x:v>
      </x:c>
      <x:c r="O5340" s="30" t="str">
        <x:v>Верны 3, 4, 5, 6.</x:v>
      </x:c>
      <x:c r="P5340" s="30" t="str">
        <x:v>Условие и исторические факты проверены независимо; источник ответа сохранён отдельно.</x:v>
      </x:c>
      <x:c r="Q5340" s="30"/>
      <x:c r="R5340" s="30"/>
      <x:c r="S5340" s="30" t="str">
        <x:v>Ответы история 953.pdf</x:v>
      </x:c>
      <x:c r="T5340" s="30"/>
      <x:c r="U5340" s="30" t="str">
        <x:v>Расхождений нет.</x:v>
      </x:c>
      <x:c r="V5340" s="87" t="str">
        <x:v>VERIFIED</x:v>
      </x:c>
      <x:c r="W5340" s="87"/>
      <x:c r="X5340" s="87" t="n">
        <x:v>3</x:v>
      </x:c>
      <x:c r="Y5340" s="87"/>
      <x:c r="Z5340" s="87"/>
      <x:c r="AA5340" s="87"/>
      <x:c r="AB5340" s="87"/>
      <x:c r="AC5340" s="87" t="str">
        <x:v>VIS-EGKR-HIST-W25-TASK-953-P003</x:v>
      </x:c>
      <x:c r="AD5340" s="87"/>
      <x:c r="AE5340" s="87" t="str">
        <x:v>TASK</x:v>
      </x:c>
      <x:c r="AF5340" s="87" t="str">
        <x:v>VIS-EGKR-HIST-W25-TASK-953-P003: 3</x:v>
      </x:c>
      <x:c r="AG5340" s="87" t="str">
        <x:v>RESOLVED</x:v>
      </x:c>
      <x:c r="AH5340" s="87" t="str">
        <x:v>CROP_VERIFIED</x:v>
      </x:c>
      <x:c r="AI5340" s="30"/>
      <x:c r="AJ5340" s="87" t="str">
        <x:v>clean</x:v>
      </x:c>
      <x:c r="AK5340" s="87" t="str">
        <x:v>clean-v0.13</x:v>
      </x:c>
      <x:c r="AL5340" s="87" t="str">
        <x:v>statgrad_clean_continuation_v0_13(1).xlsx</x:v>
      </x:c>
      <x:c r="AM5340" s="87" t="str">
        <x:v>HIST_EGKR_953</x:v>
      </x:c>
      <x:c r="AN5340" s="87" t="n">
        <x:v>7</x:v>
      </x:c>
    </x:row>
    <x:row r="5341">
      <x:c r="A5341" s="87" t="n">
        <x:v>5340</x:v>
      </x:c>
      <x:c r="B5341" s="87" t="str">
        <x:v>EGKR-W25-HIST-953-07</x:v>
      </x:c>
      <x:c r="C5341" s="87" t="str">
        <x:v>ЕГКР</x:v>
      </x:c>
      <x:c r="D5341" s="87"/>
      <x:c r="E5341" s="87" t="str">
        <x:v>Зима 2025</x:v>
      </x:c>
      <x:c r="F5341" s="87" t="str">
        <x:v>11.12.2025</x:v>
      </x:c>
      <x:c r="G5341" s="87" t="str">
        <x:v>История</x:v>
      </x:c>
      <x:c r="H5341" s="87" t="n">
        <x:v>11</x:v>
      </x:c>
      <x:c r="I5341" s="87"/>
      <x:c r="J5341" s="87" t="str">
        <x:v>953</x:v>
      </x:c>
      <x:c r="K5341" s="87" t="n">
        <x:v>7</x:v>
      </x:c>
      <x:c r="L5341" s="87" t="str">
        <x:v>Краткий ответ</x:v>
      </x:c>
      <x:c r="M5341" s="30" t="str">
        <x:v>Соотнести «Доктора Живаго», «Бедную Лизу», Курбского и «Сказание о Мамаевом побоище» с характеристиками.</x:v>
      </x:c>
      <x:c r="N5341" s="30" t="str">
        <x:v>6142</x:v>
      </x:c>
      <x:c r="O5341" s="30" t="str">
        <x:v>Нобелевская премия; сентиментализм; Курбский; события XIV века.</x:v>
      </x:c>
      <x:c r="P5341" s="30" t="str">
        <x:v>Условие и исторические факты проверены независимо; источник ответа сохранён отдельно.</x:v>
      </x:c>
      <x:c r="Q5341" s="30"/>
      <x:c r="R5341" s="30"/>
      <x:c r="S5341" s="30" t="str">
        <x:v>Ответы история 953.pdf</x:v>
      </x:c>
      <x:c r="T5341" s="30"/>
      <x:c r="U5341" s="30" t="str">
        <x:v>Расхождений нет.</x:v>
      </x:c>
      <x:c r="V5341" s="87" t="str">
        <x:v>VERIFIED</x:v>
      </x:c>
      <x:c r="W5341" s="87"/>
      <x:c r="X5341" s="87" t="n">
        <x:v>4</x:v>
      </x:c>
      <x:c r="Y5341" s="87"/>
      <x:c r="Z5341" s="87"/>
      <x:c r="AA5341" s="87"/>
      <x:c r="AB5341" s="87"/>
      <x:c r="AC5341" s="87" t="str">
        <x:v>VIS-EGKR-HIST-W25-TASK-953-P004</x:v>
      </x:c>
      <x:c r="AD5341" s="87"/>
      <x:c r="AE5341" s="87" t="str">
        <x:v>TASK</x:v>
      </x:c>
      <x:c r="AF5341" s="87" t="str">
        <x:v>VIS-EGKR-HIST-W25-TASK-953-P004: 4</x:v>
      </x:c>
      <x:c r="AG5341" s="87" t="str">
        <x:v>RESOLVED</x:v>
      </x:c>
      <x:c r="AH5341" s="87" t="str">
        <x:v>CROP_VERIFIED</x:v>
      </x:c>
      <x:c r="AI5341" s="30"/>
      <x:c r="AJ5341" s="87" t="str">
        <x:v>clean</x:v>
      </x:c>
      <x:c r="AK5341" s="87" t="str">
        <x:v>clean-v0.13</x:v>
      </x:c>
      <x:c r="AL5341" s="87" t="str">
        <x:v>statgrad_clean_continuation_v0_13(1).xlsx</x:v>
      </x:c>
      <x:c r="AM5341" s="87" t="str">
        <x:v>HIST_EGKR_953</x:v>
      </x:c>
      <x:c r="AN5341" s="87" t="n">
        <x:v>8</x:v>
      </x:c>
    </x:row>
    <x:row r="5342">
      <x:c r="A5342" s="87" t="n">
        <x:v>5341</x:v>
      </x:c>
      <x:c r="B5342" s="87" t="str">
        <x:v>EGKR-W25-HIST-953-08</x:v>
      </x:c>
      <x:c r="C5342" s="87" t="str">
        <x:v>ЕГКР</x:v>
      </x:c>
      <x:c r="D5342" s="87"/>
      <x:c r="E5342" s="87" t="str">
        <x:v>Зима 2025</x:v>
      </x:c>
      <x:c r="F5342" s="87" t="str">
        <x:v>11.12.2025</x:v>
      </x:c>
      <x:c r="G5342" s="87" t="str">
        <x:v>История</x:v>
      </x:c>
      <x:c r="H5342" s="87" t="n">
        <x:v>11</x:v>
      </x:c>
      <x:c r="I5342" s="87"/>
      <x:c r="J5342" s="87" t="str">
        <x:v>953</x:v>
      </x:c>
      <x:c r="K5342" s="87" t="n">
        <x:v>8</x:v>
      </x:c>
      <x:c r="L5342" s="87" t="str">
        <x:v>Краткий ответ</x:v>
      </x:c>
      <x:c r="M5342" s="30" t="str">
        <x:v>По газете «За честь Родины» определить год.</x:v>
      </x:c>
      <x:c r="N5342" s="30" t="str">
        <x:v>сорок третьем</x:v>
      </x:c>
      <x:c r="O5342" s="30" t="str">
        <x:v>Газета датирована 1943 годом.</x:v>
      </x:c>
      <x:c r="P5342" s="30" t="str">
        <x:v>Условие и исторические факты проверены независимо; источник ответа сохранён отдельно.</x:v>
      </x:c>
      <x:c r="Q5342" s="30"/>
      <x:c r="R5342" s="30"/>
      <x:c r="S5342" s="30" t="str">
        <x:v>Ответы история 953.pdf</x:v>
      </x:c>
      <x:c r="T5342" s="30"/>
      <x:c r="U5342" s="30" t="str">
        <x:v>Расхождений нет.</x:v>
      </x:c>
      <x:c r="V5342" s="87" t="str">
        <x:v>VERIFIED</x:v>
      </x:c>
      <x:c r="W5342" s="87"/>
      <x:c r="X5342" s="87" t="n">
        <x:v>4</x:v>
      </x:c>
      <x:c r="Y5342" s="87"/>
      <x:c r="Z5342" s="87"/>
      <x:c r="AA5342" s="87"/>
      <x:c r="AB5342" s="87"/>
      <x:c r="AC5342" s="87" t="str">
        <x:v>VIS-EGKR-HIST-W25-TASK-953-P004</x:v>
      </x:c>
      <x:c r="AD5342" s="87"/>
      <x:c r="AE5342" s="87" t="str">
        <x:v>TASK</x:v>
      </x:c>
      <x:c r="AF5342" s="87" t="str">
        <x:v>VIS-EGKR-HIST-W25-TASK-953-P004: 4</x:v>
      </x:c>
      <x:c r="AG5342" s="87" t="str">
        <x:v>RESOLVED</x:v>
      </x:c>
      <x:c r="AH5342" s="87" t="str">
        <x:v>CROP_VERIFIED</x:v>
      </x:c>
      <x:c r="AI5342" s="30"/>
      <x:c r="AJ5342" s="87" t="str">
        <x:v>clean</x:v>
      </x:c>
      <x:c r="AK5342" s="87" t="str">
        <x:v>clean-v0.13</x:v>
      </x:c>
      <x:c r="AL5342" s="87" t="str">
        <x:v>statgrad_clean_continuation_v0_13(1).xlsx</x:v>
      </x:c>
      <x:c r="AM5342" s="87" t="str">
        <x:v>HIST_EGKR_953</x:v>
      </x:c>
      <x:c r="AN5342" s="87" t="n">
        <x:v>9</x:v>
      </x:c>
    </x:row>
    <x:row r="5343">
      <x:c r="A5343" s="87" t="n">
        <x:v>5342</x:v>
      </x:c>
      <x:c r="B5343" s="87" t="str">
        <x:v>EGKR-W25-HIST-953-09</x:v>
      </x:c>
      <x:c r="C5343" s="87" t="str">
        <x:v>ЕГКР</x:v>
      </x:c>
      <x:c r="D5343" s="87"/>
      <x:c r="E5343" s="87" t="str">
        <x:v>Зима 2025</x:v>
      </x:c>
      <x:c r="F5343" s="87" t="str">
        <x:v>11.12.2025</x:v>
      </x:c>
      <x:c r="G5343" s="87" t="str">
        <x:v>История</x:v>
      </x:c>
      <x:c r="H5343" s="87" t="n">
        <x:v>11</x:v>
      </x:c>
      <x:c r="I5343" s="87"/>
      <x:c r="J5343" s="87" t="str">
        <x:v>953</x:v>
      </x:c>
      <x:c r="K5343" s="87" t="n">
        <x:v>9</x:v>
      </x:c>
      <x:c r="L5343" s="87" t="str">
        <x:v>Краткий ответ</x:v>
      </x:c>
      <x:c r="M5343" s="30" t="str">
        <x:v>По карте назвать войну.</x:v>
      </x:c>
      <x:c r="N5343" s="30" t="str">
        <x:v>Северная</x:v>
      </x:c>
      <x:c r="O5343" s="30" t="str">
        <x:v>Северная война.</x:v>
      </x:c>
      <x:c r="P5343" s="30" t="str">
        <x:v>Условие и исторические факты проверены независимо; источник ответа сохранён отдельно.</x:v>
      </x:c>
      <x:c r="Q5343" s="30"/>
      <x:c r="R5343" s="30"/>
      <x:c r="S5343" s="30" t="str">
        <x:v>Ответы история 953.pdf</x:v>
      </x:c>
      <x:c r="T5343" s="30"/>
      <x:c r="U5343" s="30" t="str">
        <x:v>Расхождений нет.</x:v>
      </x:c>
      <x:c r="V5343" s="87" t="str">
        <x:v>VERIFIED</x:v>
      </x:c>
      <x:c r="W5343" s="87"/>
      <x:c r="X5343" s="87" t="n">
        <x:v>5</x:v>
      </x:c>
      <x:c r="Y5343" s="87"/>
      <x:c r="Z5343" s="87"/>
      <x:c r="AA5343" s="87"/>
      <x:c r="AB5343" s="87"/>
      <x:c r="AC5343" s="87" t="str">
        <x:v>VIS-EGKR-HIST-W25-TASK-953-P005</x:v>
      </x:c>
      <x:c r="AD5343" s="87"/>
      <x:c r="AE5343" s="87" t="str">
        <x:v>TASK</x:v>
      </x:c>
      <x:c r="AF5343" s="87" t="str">
        <x:v>VIS-EGKR-HIST-W25-TASK-953-P005: 5</x:v>
      </x:c>
      <x:c r="AG5343" s="87" t="str">
        <x:v>RESOLVED</x:v>
      </x:c>
      <x:c r="AH5343" s="87" t="str">
        <x:v>CROP_VERIFIED</x:v>
      </x:c>
      <x:c r="AI5343" s="30"/>
      <x:c r="AJ5343" s="87" t="str">
        <x:v>clean</x:v>
      </x:c>
      <x:c r="AK5343" s="87" t="str">
        <x:v>clean-v0.13</x:v>
      </x:c>
      <x:c r="AL5343" s="87" t="str">
        <x:v>statgrad_clean_continuation_v0_13(1).xlsx</x:v>
      </x:c>
      <x:c r="AM5343" s="87" t="str">
        <x:v>HIST_EGKR_953</x:v>
      </x:c>
      <x:c r="AN5343" s="87" t="n">
        <x:v>10</x:v>
      </x:c>
    </x:row>
    <x:row r="5344">
      <x:c r="A5344" s="87" t="n">
        <x:v>5343</x:v>
      </x:c>
      <x:c r="B5344" s="87" t="str">
        <x:v>EGKR-W25-HIST-953-10</x:v>
      </x:c>
      <x:c r="C5344" s="87" t="str">
        <x:v>ЕГКР</x:v>
      </x:c>
      <x:c r="D5344" s="87"/>
      <x:c r="E5344" s="87" t="str">
        <x:v>Зима 2025</x:v>
      </x:c>
      <x:c r="F5344" s="87" t="str">
        <x:v>11.12.2025</x:v>
      </x:c>
      <x:c r="G5344" s="87" t="str">
        <x:v>История</x:v>
      </x:c>
      <x:c r="H5344" s="87" t="n">
        <x:v>11</x:v>
      </x:c>
      <x:c r="I5344" s="87"/>
      <x:c r="J5344" s="87" t="str">
        <x:v>953</x:v>
      </x:c>
      <x:c r="K5344" s="87" t="n">
        <x:v>10</x:v>
      </x:c>
      <x:c r="L5344" s="87" t="str">
        <x:v>Краткий ответ</x:v>
      </x:c>
      <x:c r="M5344" s="30" t="str">
        <x:v>Назвать город под цифрой 2.</x:v>
      </x:c>
      <x:c r="N5344" s="30" t="str">
        <x:v>Полтава</x:v>
      </x:c>
      <x:c r="O5344" s="30" t="str">
        <x:v>Полтава.</x:v>
      </x:c>
      <x:c r="P5344" s="30" t="str">
        <x:v>Условие и исторические факты проверены независимо; источник ответа сохранён отдельно.</x:v>
      </x:c>
      <x:c r="Q5344" s="30"/>
      <x:c r="R5344" s="30"/>
      <x:c r="S5344" s="30" t="str">
        <x:v>Ответы история 953.pdf</x:v>
      </x:c>
      <x:c r="T5344" s="30"/>
      <x:c r="U5344" s="30" t="str">
        <x:v>Расхождений нет.</x:v>
      </x:c>
      <x:c r="V5344" s="87" t="str">
        <x:v>VERIFIED</x:v>
      </x:c>
      <x:c r="W5344" s="87"/>
      <x:c r="X5344" s="87" t="n">
        <x:v>5</x:v>
      </x:c>
      <x:c r="Y5344" s="87"/>
      <x:c r="Z5344" s="87"/>
      <x:c r="AA5344" s="87"/>
      <x:c r="AB5344" s="87"/>
      <x:c r="AC5344" s="87" t="str">
        <x:v>VIS-EGKR-HIST-W25-TASK-953-P005</x:v>
      </x:c>
      <x:c r="AD5344" s="87"/>
      <x:c r="AE5344" s="87" t="str">
        <x:v>TASK</x:v>
      </x:c>
      <x:c r="AF5344" s="87" t="str">
        <x:v>VIS-EGKR-HIST-W25-TASK-953-P005: 5</x:v>
      </x:c>
      <x:c r="AG5344" s="87" t="str">
        <x:v>RESOLVED</x:v>
      </x:c>
      <x:c r="AH5344" s="87" t="str">
        <x:v>CROP_VERIFIED</x:v>
      </x:c>
      <x:c r="AI5344" s="30"/>
      <x:c r="AJ5344" s="87" t="str">
        <x:v>clean</x:v>
      </x:c>
      <x:c r="AK5344" s="87" t="str">
        <x:v>clean-v0.13</x:v>
      </x:c>
      <x:c r="AL5344" s="87" t="str">
        <x:v>statgrad_clean_continuation_v0_13(1).xlsx</x:v>
      </x:c>
      <x:c r="AM5344" s="87" t="str">
        <x:v>HIST_EGKR_953</x:v>
      </x:c>
      <x:c r="AN5344" s="87" t="n">
        <x:v>11</x:v>
      </x:c>
    </x:row>
    <x:row r="5345">
      <x:c r="A5345" s="87" t="n">
        <x:v>5344</x:v>
      </x:c>
      <x:c r="B5345" s="87" t="str">
        <x:v>EGKR-W25-HIST-953-11</x:v>
      </x:c>
      <x:c r="C5345" s="87" t="str">
        <x:v>ЕГКР</x:v>
      </x:c>
      <x:c r="D5345" s="87"/>
      <x:c r="E5345" s="87" t="str">
        <x:v>Зима 2025</x:v>
      </x:c>
      <x:c r="F5345" s="87" t="str">
        <x:v>11.12.2025</x:v>
      </x:c>
      <x:c r="G5345" s="87" t="str">
        <x:v>История</x:v>
      </x:c>
      <x:c r="H5345" s="87" t="n">
        <x:v>11</x:v>
      </x:c>
      <x:c r="I5345" s="87"/>
      <x:c r="J5345" s="87" t="str">
        <x:v>953</x:v>
      </x:c>
      <x:c r="K5345" s="87" t="n">
        <x:v>11</x:v>
      </x:c>
      <x:c r="L5345" s="87" t="str">
        <x:v>Краткий ответ</x:v>
      </x:c>
      <x:c r="M5345" s="30" t="str">
        <x:v>По описанию похода Карла XII назвать реку.</x:v>
      </x:c>
      <x:c r="N5345" s="30" t="str">
        <x:v>Десна</x:v>
      </x:c>
      <x:c r="O5345" s="30" t="str">
        <x:v>Десна.</x:v>
      </x:c>
      <x:c r="P5345" s="30" t="str">
        <x:v>Условие и исторические факты проверены независимо; источник ответа сохранён отдельно.</x:v>
      </x:c>
      <x:c r="Q5345" s="30"/>
      <x:c r="R5345" s="30"/>
      <x:c r="S5345" s="30" t="str">
        <x:v>Ответы история 953.pdf</x:v>
      </x:c>
      <x:c r="T5345" s="30"/>
      <x:c r="U5345" s="30" t="str">
        <x:v>Расхождений нет.</x:v>
      </x:c>
      <x:c r="V5345" s="87" t="str">
        <x:v>VERIFIED</x:v>
      </x:c>
      <x:c r="W5345" s="87"/>
      <x:c r="X5345" s="87" t="n">
        <x:v>5</x:v>
      </x:c>
      <x:c r="Y5345" s="87"/>
      <x:c r="Z5345" s="87"/>
      <x:c r="AA5345" s="87"/>
      <x:c r="AB5345" s="87"/>
      <x:c r="AC5345" s="87" t="str">
        <x:v>VIS-EGKR-HIST-W25-TASK-953-P005</x:v>
      </x:c>
      <x:c r="AD5345" s="87"/>
      <x:c r="AE5345" s="87" t="str">
        <x:v>TASK</x:v>
      </x:c>
      <x:c r="AF5345" s="87" t="str">
        <x:v>VIS-EGKR-HIST-W25-TASK-953-P005: 5</x:v>
      </x:c>
      <x:c r="AG5345" s="87" t="str">
        <x:v>RESOLVED</x:v>
      </x:c>
      <x:c r="AH5345" s="87" t="str">
        <x:v>CROP_VERIFIED</x:v>
      </x:c>
      <x:c r="AI5345" s="30"/>
      <x:c r="AJ5345" s="87" t="str">
        <x:v>clean</x:v>
      </x:c>
      <x:c r="AK5345" s="87" t="str">
        <x:v>clean-v0.13</x:v>
      </x:c>
      <x:c r="AL5345" s="87" t="str">
        <x:v>statgrad_clean_continuation_v0_13(1).xlsx</x:v>
      </x:c>
      <x:c r="AM5345" s="87" t="str">
        <x:v>HIST_EGKR_953</x:v>
      </x:c>
      <x:c r="AN5345" s="87" t="n">
        <x:v>12</x:v>
      </x:c>
    </x:row>
    <x:row r="5346">
      <x:c r="A5346" s="87" t="n">
        <x:v>5345</x:v>
      </x:c>
      <x:c r="B5346" s="87" t="str">
        <x:v>EGKR-W25-HIST-953-12</x:v>
      </x:c>
      <x:c r="C5346" s="87" t="str">
        <x:v>ЕГКР</x:v>
      </x:c>
      <x:c r="D5346" s="87"/>
      <x:c r="E5346" s="87" t="str">
        <x:v>Зима 2025</x:v>
      </x:c>
      <x:c r="F5346" s="87" t="str">
        <x:v>11.12.2025</x:v>
      </x:c>
      <x:c r="G5346" s="87" t="str">
        <x:v>История</x:v>
      </x:c>
      <x:c r="H5346" s="87" t="n">
        <x:v>11</x:v>
      </x:c>
      <x:c r="I5346" s="87"/>
      <x:c r="J5346" s="87" t="str">
        <x:v>953</x:v>
      </x:c>
      <x:c r="K5346" s="87" t="n">
        <x:v>12</x:v>
      </x:c>
      <x:c r="L5346" s="87" t="str">
        <x:v>Краткий ответ</x:v>
      </x:c>
      <x:c r="M5346" s="30" t="str">
        <x:v>Выбрать верные суждения по карте Северной войны.</x:v>
      </x:c>
      <x:c r="N5346" s="30" t="str">
        <x:v>1456</x:v>
      </x:c>
      <x:c r="O5346" s="30" t="str">
        <x:v>Верны 1, 4, 5, 6.</x:v>
      </x:c>
      <x:c r="P5346" s="30" t="str">
        <x:v>Условие и исторические факты проверены независимо; источник ответа сохранён отдельно.</x:v>
      </x:c>
      <x:c r="Q5346" s="30"/>
      <x:c r="R5346" s="30"/>
      <x:c r="S5346" s="30" t="str">
        <x:v>Ответы история 953.pdf</x:v>
      </x:c>
      <x:c r="T5346" s="30"/>
      <x:c r="U5346" s="30" t="str">
        <x:v>Расхождений нет.</x:v>
      </x:c>
      <x:c r="V5346" s="87" t="str">
        <x:v>VERIFIED</x:v>
      </x:c>
      <x:c r="W5346" s="87"/>
      <x:c r="X5346" s="87" t="n">
        <x:v>5</x:v>
      </x:c>
      <x:c r="Y5346" s="87"/>
      <x:c r="Z5346" s="87"/>
      <x:c r="AA5346" s="87"/>
      <x:c r="AB5346" s="87"/>
      <x:c r="AC5346" s="87" t="str">
        <x:v>VIS-EGKR-HIST-W25-TASK-953-P005</x:v>
      </x:c>
      <x:c r="AD5346" s="87"/>
      <x:c r="AE5346" s="87" t="str">
        <x:v>TASK</x:v>
      </x:c>
      <x:c r="AF5346" s="87" t="str">
        <x:v>VIS-EGKR-HIST-W25-TASK-953-P005: 5</x:v>
      </x:c>
      <x:c r="AG5346" s="87" t="str">
        <x:v>RESOLVED</x:v>
      </x:c>
      <x:c r="AH5346" s="87" t="str">
        <x:v>CROP_VERIFIED</x:v>
      </x:c>
      <x:c r="AI5346" s="30"/>
      <x:c r="AJ5346" s="87" t="str">
        <x:v>clean</x:v>
      </x:c>
      <x:c r="AK5346" s="87" t="str">
        <x:v>clean-v0.13</x:v>
      </x:c>
      <x:c r="AL5346" s="87" t="str">
        <x:v>statgrad_clean_continuation_v0_13(1).xlsx</x:v>
      </x:c>
      <x:c r="AM5346" s="87" t="str">
        <x:v>HIST_EGKR_953</x:v>
      </x:c>
      <x:c r="AN5346" s="87" t="n">
        <x:v>13</x:v>
      </x:c>
    </x:row>
    <x:row r="5347">
      <x:c r="A5347" s="87" t="n">
        <x:v>5346</x:v>
      </x:c>
      <x:c r="B5347" s="87" t="str">
        <x:v>EGKR-W25-HIST-953-13</x:v>
      </x:c>
      <x:c r="C5347" s="87" t="str">
        <x:v>ЕГКР</x:v>
      </x:c>
      <x:c r="D5347" s="87"/>
      <x:c r="E5347" s="87" t="str">
        <x:v>Зима 2025</x:v>
      </x:c>
      <x:c r="F5347" s="87" t="str">
        <x:v>11.12.2025</x:v>
      </x:c>
      <x:c r="G5347" s="87" t="str">
        <x:v>История</x:v>
      </x:c>
      <x:c r="H5347" s="87" t="n">
        <x:v>11</x:v>
      </x:c>
      <x:c r="I5347" s="87"/>
      <x:c r="J5347" s="87" t="str">
        <x:v>953</x:v>
      </x:c>
      <x:c r="K5347" s="87" t="n">
        <x:v>13</x:v>
      </x:c>
      <x:c r="L5347" s="87" t="str">
        <x:v>Развёрнутый ответ</x:v>
      </x:c>
      <x:c r="M5347" s="30" t="str">
        <x:v>По источнику о XIX партконференции назвать год, новый высший орган власти и должность Горбачёва.</x:v>
      </x:c>
      <x:c r="N5347" s="30" t="str">
        <x:v>1988 год; Съезд народных депутатов СССР; Генеральный секретарь ЦК КПСС.</x:v>
      </x:c>
      <x:c r="O5347" s="30" t="str">
        <x:v>Рабочая модель содержит все элементы, требуемые формулировкой задания.</x:v>
      </x:c>
      <x:c r="P5347" s="30" t="str">
        <x:v>Условие и исторические факты проверены независимо; источник ответа сохранён отдельно.</x:v>
      </x:c>
      <x:c r="Q5347" s="30"/>
      <x:c r="R5347" s="30"/>
      <x:c r="S5347" s="30" t="str">
        <x:v>Независимая модель по исходному заданию</x:v>
      </x:c>
      <x:c r="T5347" s="30"/>
      <x:c r="U5347" s="30" t="str">
        <x:v>Расхождений нет.</x:v>
      </x:c>
      <x:c r="V5347" s="87" t="str">
        <x:v>VERIFIED</x:v>
      </x:c>
      <x:c r="W5347" s="87"/>
      <x:c r="X5347" s="87" t="n">
        <x:v>6</x:v>
      </x:c>
      <x:c r="Y5347" s="87"/>
      <x:c r="Z5347" s="87"/>
      <x:c r="AA5347" s="87"/>
      <x:c r="AB5347" s="87"/>
      <x:c r="AC5347" s="87" t="str">
        <x:v>VIS-EGKR-HIST-W25-TASK-953-P006</x:v>
      </x:c>
      <x:c r="AD5347" s="87"/>
      <x:c r="AE5347" s="87" t="str">
        <x:v>TASK</x:v>
      </x:c>
      <x:c r="AF5347" s="87" t="str">
        <x:v>VIS-EGKR-HIST-W25-TASK-953-P006: 6</x:v>
      </x:c>
      <x:c r="AG5347" s="87" t="str">
        <x:v>RESOLVED</x:v>
      </x:c>
      <x:c r="AH5347" s="87" t="str">
        <x:v>CROP_VERIFIED</x:v>
      </x:c>
      <x:c r="AI5347" s="30"/>
      <x:c r="AJ5347" s="87" t="str">
        <x:v>clean</x:v>
      </x:c>
      <x:c r="AK5347" s="87" t="str">
        <x:v>clean-v0.13</x:v>
      </x:c>
      <x:c r="AL5347" s="87" t="str">
        <x:v>statgrad_clean_continuation_v0_13(1).xlsx</x:v>
      </x:c>
      <x:c r="AM5347" s="87" t="str">
        <x:v>HIST_EGKR_953</x:v>
      </x:c>
      <x:c r="AN5347" s="87" t="n">
        <x:v>14</x:v>
      </x:c>
    </x:row>
    <x:row r="5348">
      <x:c r="A5348" s="87" t="n">
        <x:v>5347</x:v>
      </x:c>
      <x:c r="B5348" s="87" t="str">
        <x:v>EGKR-W25-HIST-953-14</x:v>
      </x:c>
      <x:c r="C5348" s="87" t="str">
        <x:v>ЕГКР</x:v>
      </x:c>
      <x:c r="D5348" s="87"/>
      <x:c r="E5348" s="87" t="str">
        <x:v>Зима 2025</x:v>
      </x:c>
      <x:c r="F5348" s="87" t="str">
        <x:v>11.12.2025</x:v>
      </x:c>
      <x:c r="G5348" s="87" t="str">
        <x:v>История</x:v>
      </x:c>
      <x:c r="H5348" s="87" t="n">
        <x:v>11</x:v>
      </x:c>
      <x:c r="I5348" s="87"/>
      <x:c r="J5348" s="87" t="str">
        <x:v>953</x:v>
      </x:c>
      <x:c r="K5348" s="87" t="n">
        <x:v>14</x:v>
      </x:c>
      <x:c r="L5348" s="87" t="str">
        <x:v>Развёрнутый ответ</x:v>
      </x:c>
      <x:c r="M5348" s="30" t="str">
        <x:v>Назвать предложенное Горбачёвым средство активизации масс, цель эксперимента Яковлева и путь Горбачёва.</x:v>
      </x:c>
      <x:c r="N5348" s="30" t="str">
        <x:v>Горбачёв предлагал радикальную политическую реформу и демократические преобразования. Яковлев называл целью ненасильственную революцию. По оценке автора, Горбачёв встал на путь отказа от первоначальных социалистических идей перестройки.</x:v>
      </x:c>
      <x:c r="O5348" s="30" t="str">
        <x:v>Рабочая модель содержит все элементы, требуемые формулировкой задания.</x:v>
      </x:c>
      <x:c r="P5348" s="30" t="str">
        <x:v>Условие и исторические факты проверены независимо; источник ответа сохранён отдельно.</x:v>
      </x:c>
      <x:c r="Q5348" s="30"/>
      <x:c r="R5348" s="30"/>
      <x:c r="S5348" s="30" t="str">
        <x:v>Независимая модель по исходному заданию</x:v>
      </x:c>
      <x:c r="T5348" s="30"/>
      <x:c r="U5348" s="30" t="str">
        <x:v>Расхождений нет.</x:v>
      </x:c>
      <x:c r="V5348" s="87" t="str">
        <x:v>VERIFIED</x:v>
      </x:c>
      <x:c r="W5348" s="87"/>
      <x:c r="X5348" s="87" t="n">
        <x:v>6</x:v>
      </x:c>
      <x:c r="Y5348" s="87"/>
      <x:c r="Z5348" s="87"/>
      <x:c r="AA5348" s="87"/>
      <x:c r="AB5348" s="87"/>
      <x:c r="AC5348" s="87" t="str">
        <x:v>VIS-EGKR-HIST-W25-TASK-953-P006</x:v>
      </x:c>
      <x:c r="AD5348" s="87"/>
      <x:c r="AE5348" s="87" t="str">
        <x:v>TASK</x:v>
      </x:c>
      <x:c r="AF5348" s="87" t="str">
        <x:v>VIS-EGKR-HIST-W25-TASK-953-P006: 6</x:v>
      </x:c>
      <x:c r="AG5348" s="87" t="str">
        <x:v>RESOLVED</x:v>
      </x:c>
      <x:c r="AH5348" s="87" t="str">
        <x:v>CROP_VERIFIED</x:v>
      </x:c>
      <x:c r="AI5348" s="30"/>
      <x:c r="AJ5348" s="87" t="str">
        <x:v>clean</x:v>
      </x:c>
      <x:c r="AK5348" s="87" t="str">
        <x:v>clean-v0.13</x:v>
      </x:c>
      <x:c r="AL5348" s="87" t="str">
        <x:v>statgrad_clean_continuation_v0_13(1).xlsx</x:v>
      </x:c>
      <x:c r="AM5348" s="87" t="str">
        <x:v>HIST_EGKR_953</x:v>
      </x:c>
      <x:c r="AN5348" s="87" t="n">
        <x:v>15</x:v>
      </x:c>
    </x:row>
    <x:row r="5349">
      <x:c r="A5349" s="87" t="n">
        <x:v>5348</x:v>
      </x:c>
      <x:c r="B5349" s="87" t="str">
        <x:v>EGKR-W25-HIST-953-15</x:v>
      </x:c>
      <x:c r="C5349" s="87" t="str">
        <x:v>ЕГКР</x:v>
      </x:c>
      <x:c r="D5349" s="87"/>
      <x:c r="E5349" s="87" t="str">
        <x:v>Зима 2025</x:v>
      </x:c>
      <x:c r="F5349" s="87" t="str">
        <x:v>11.12.2025</x:v>
      </x:c>
      <x:c r="G5349" s="87" t="str">
        <x:v>История</x:v>
      </x:c>
      <x:c r="H5349" s="87" t="n">
        <x:v>11</x:v>
      </x:c>
      <x:c r="I5349" s="87"/>
      <x:c r="J5349" s="87" t="str">
        <x:v>953</x:v>
      </x:c>
      <x:c r="K5349" s="87" t="n">
        <x:v>15</x:v>
      </x:c>
      <x:c r="L5349" s="87" t="str">
        <x:v>Развёрнутый ответ</x:v>
      </x:c>
      <x:c r="M5349" s="30" t="str">
        <x:v>По марке к 400-летию Томска назвать монарха и обосновать.</x:v>
      </x:c>
      <x:c r="N5349" s="30" t="str">
        <x:v>Борис Годунов. Томску исполнилось 400 лет в 2004 году, следовательно, город основан в 1604 году — в период его царствования.</x:v>
      </x:c>
      <x:c r="O5349" s="30" t="str">
        <x:v>Рабочая модель содержит все элементы, требуемые формулировкой задания.</x:v>
      </x:c>
      <x:c r="P5349" s="30" t="str">
        <x:v>Условие и исторические факты проверены независимо; источник ответа сохранён отдельно.</x:v>
      </x:c>
      <x:c r="Q5349" s="30"/>
      <x:c r="R5349" s="30"/>
      <x:c r="S5349" s="30" t="str">
        <x:v>Независимая модель по исходному заданию</x:v>
      </x:c>
      <x:c r="T5349" s="30"/>
      <x:c r="U5349" s="30" t="str">
        <x:v>Расхождений нет.</x:v>
      </x:c>
      <x:c r="V5349" s="87" t="str">
        <x:v>VERIFIED</x:v>
      </x:c>
      <x:c r="W5349" s="87"/>
      <x:c r="X5349" s="87" t="n">
        <x:v>7</x:v>
      </x:c>
      <x:c r="Y5349" s="87"/>
      <x:c r="Z5349" s="87"/>
      <x:c r="AA5349" s="87"/>
      <x:c r="AB5349" s="87"/>
      <x:c r="AC5349" s="87" t="str">
        <x:v>VIS-EGKR-HIST-W25-TASK-953-P007</x:v>
      </x:c>
      <x:c r="AD5349" s="87"/>
      <x:c r="AE5349" s="87" t="str">
        <x:v>TASK</x:v>
      </x:c>
      <x:c r="AF5349" s="87" t="str">
        <x:v>VIS-EGKR-HIST-W25-TASK-953-P007: 7</x:v>
      </x:c>
      <x:c r="AG5349" s="87" t="str">
        <x:v>RESOLVED</x:v>
      </x:c>
      <x:c r="AH5349" s="87" t="str">
        <x:v>CROP_VERIFIED</x:v>
      </x:c>
      <x:c r="AI5349" s="30"/>
      <x:c r="AJ5349" s="87" t="str">
        <x:v>clean</x:v>
      </x:c>
      <x:c r="AK5349" s="87" t="str">
        <x:v>clean-v0.13</x:v>
      </x:c>
      <x:c r="AL5349" s="87" t="str">
        <x:v>statgrad_clean_continuation_v0_13(1).xlsx</x:v>
      </x:c>
      <x:c r="AM5349" s="87" t="str">
        <x:v>HIST_EGKR_953</x:v>
      </x:c>
      <x:c r="AN5349" s="87" t="n">
        <x:v>16</x:v>
      </x:c>
    </x:row>
    <x:row r="5350">
      <x:c r="A5350" s="87" t="n">
        <x:v>5349</x:v>
      </x:c>
      <x:c r="B5350" s="87" t="str">
        <x:v>EGKR-W25-HIST-953-16</x:v>
      </x:c>
      <x:c r="C5350" s="87" t="str">
        <x:v>ЕГКР</x:v>
      </x:c>
      <x:c r="D5350" s="87"/>
      <x:c r="E5350" s="87" t="str">
        <x:v>Зима 2025</x:v>
      </x:c>
      <x:c r="F5350" s="87" t="str">
        <x:v>11.12.2025</x:v>
      </x:c>
      <x:c r="G5350" s="87" t="str">
        <x:v>История</x:v>
      </x:c>
      <x:c r="H5350" s="87" t="n">
        <x:v>11</x:v>
      </x:c>
      <x:c r="I5350" s="87"/>
      <x:c r="J5350" s="87" t="str">
        <x:v>953</x:v>
      </x:c>
      <x:c r="K5350" s="87" t="n">
        <x:v>16</x:v>
      </x:c>
      <x:c r="L5350" s="87" t="str">
        <x:v>Развёрнутый ответ</x:v>
      </x:c>
      <x:c r="M5350" s="30" t="str">
        <x:v>Выбрать памятник того же века и назвать стиль.</x:v>
      </x:c>
      <x:c r="N5350" s="30" t="str">
        <x:v>Памятник 3; нарышкинское барокко.</x:v>
      </x:c>
      <x:c r="O5350" s="30" t="str">
        <x:v>Рабочая модель содержит все элементы, требуемые формулировкой задания.</x:v>
      </x:c>
      <x:c r="P5350" s="30" t="str">
        <x:v>Условие и исторические факты проверены независимо; источник ответа сохранён отдельно.</x:v>
      </x:c>
      <x:c r="Q5350" s="30"/>
      <x:c r="R5350" s="30"/>
      <x:c r="S5350" s="30" t="str">
        <x:v>Независимая модель по исходному заданию</x:v>
      </x:c>
      <x:c r="T5350" s="30"/>
      <x:c r="U5350" s="30" t="str">
        <x:v>Расхождений нет.</x:v>
      </x:c>
      <x:c r="V5350" s="87" t="str">
        <x:v>VERIFIED</x:v>
      </x:c>
      <x:c r="W5350" s="87"/>
      <x:c r="X5350" s="87" t="n">
        <x:v>7</x:v>
      </x:c>
      <x:c r="Y5350" s="87"/>
      <x:c r="Z5350" s="87"/>
      <x:c r="AA5350" s="87"/>
      <x:c r="AB5350" s="87"/>
      <x:c r="AC5350" s="87" t="str">
        <x:v>VIS-EGKR-HIST-W25-TASK-953-P007</x:v>
      </x:c>
      <x:c r="AD5350" s="87"/>
      <x:c r="AE5350" s="87" t="str">
        <x:v>TASK</x:v>
      </x:c>
      <x:c r="AF5350" s="87" t="str">
        <x:v>VIS-EGKR-HIST-W25-TASK-953-P007: 7</x:v>
      </x:c>
      <x:c r="AG5350" s="87" t="str">
        <x:v>RESOLVED</x:v>
      </x:c>
      <x:c r="AH5350" s="87" t="str">
        <x:v>CROP_VERIFIED</x:v>
      </x:c>
      <x:c r="AI5350" s="30"/>
      <x:c r="AJ5350" s="87" t="str">
        <x:v>clean</x:v>
      </x:c>
      <x:c r="AK5350" s="87" t="str">
        <x:v>clean-v0.13</x:v>
      </x:c>
      <x:c r="AL5350" s="87" t="str">
        <x:v>statgrad_clean_continuation_v0_13(1).xlsx</x:v>
      </x:c>
      <x:c r="AM5350" s="87" t="str">
        <x:v>HIST_EGKR_953</x:v>
      </x:c>
      <x:c r="AN5350" s="87" t="n">
        <x:v>17</x:v>
      </x:c>
    </x:row>
    <x:row r="5351">
      <x:c r="A5351" s="87" t="n">
        <x:v>5350</x:v>
      </x:c>
      <x:c r="B5351" s="87" t="str">
        <x:v>EGKR-W25-HIST-953-17</x:v>
      </x:c>
      <x:c r="C5351" s="87" t="str">
        <x:v>ЕГКР</x:v>
      </x:c>
      <x:c r="D5351" s="87"/>
      <x:c r="E5351" s="87" t="str">
        <x:v>Зима 2025</x:v>
      </x:c>
      <x:c r="F5351" s="87" t="str">
        <x:v>11.12.2025</x:v>
      </x:c>
      <x:c r="G5351" s="87" t="str">
        <x:v>История</x:v>
      </x:c>
      <x:c r="H5351" s="87" t="n">
        <x:v>11</x:v>
      </x:c>
      <x:c r="I5351" s="87"/>
      <x:c r="J5351" s="87" t="str">
        <x:v>953</x:v>
      </x:c>
      <x:c r="K5351" s="87" t="n">
        <x:v>17</x:v>
      </x:c>
      <x:c r="L5351" s="87" t="str">
        <x:v>Развёрнутый ответ</x:v>
      </x:c>
      <x:c r="M5351" s="30" t="str">
        <x:v>По отрывкам о контрнаступлении под Москвой назвать год, командующего Калининским фронтом и вывод Ставки.</x:v>
      </x:c>
      <x:c r="N5351" s="30" t="str">
        <x:v>1941 год; И.С. Конев; Ставка признала частные атаки на разных направлениях 27–29 ноября неэффективными в данной обстановке.</x:v>
      </x:c>
      <x:c r="O5351" s="30" t="str">
        <x:v>Рабочая модель содержит все элементы, требуемые формулировкой задания.</x:v>
      </x:c>
      <x:c r="P5351" s="30" t="str">
        <x:v>Условие и исторические факты проверены независимо; источник ответа сохранён отдельно.</x:v>
      </x:c>
      <x:c r="Q5351" s="30"/>
      <x:c r="R5351" s="30"/>
      <x:c r="S5351" s="30" t="str">
        <x:v>Независимая модель по исходному заданию</x:v>
      </x:c>
      <x:c r="T5351" s="30"/>
      <x:c r="U5351" s="30" t="str">
        <x:v>Расхождений нет.</x:v>
      </x:c>
      <x:c r="V5351" s="87" t="str">
        <x:v>VERIFIED</x:v>
      </x:c>
      <x:c r="W5351" s="87"/>
      <x:c r="X5351" s="87" t="n">
        <x:v>8</x:v>
      </x:c>
      <x:c r="Y5351" s="87"/>
      <x:c r="Z5351" s="87"/>
      <x:c r="AA5351" s="87"/>
      <x:c r="AB5351" s="87"/>
      <x:c r="AC5351" s="87" t="str">
        <x:v>VIS-EGKR-HIST-W25-TASK-953-P008</x:v>
      </x:c>
      <x:c r="AD5351" s="87"/>
      <x:c r="AE5351" s="87" t="str">
        <x:v>TASK</x:v>
      </x:c>
      <x:c r="AF5351" s="87" t="str">
        <x:v>VIS-EGKR-HIST-W25-TASK-953-P008: 8</x:v>
      </x:c>
      <x:c r="AG5351" s="87" t="str">
        <x:v>RESOLVED</x:v>
      </x:c>
      <x:c r="AH5351" s="87" t="str">
        <x:v>CROP_VERIFIED</x:v>
      </x:c>
      <x:c r="AI5351" s="30"/>
      <x:c r="AJ5351" s="87" t="str">
        <x:v>clean</x:v>
      </x:c>
      <x:c r="AK5351" s="87" t="str">
        <x:v>clean-v0.13</x:v>
      </x:c>
      <x:c r="AL5351" s="87" t="str">
        <x:v>statgrad_clean_continuation_v0_13(1).xlsx</x:v>
      </x:c>
      <x:c r="AM5351" s="87" t="str">
        <x:v>HIST_EGKR_953</x:v>
      </x:c>
      <x:c r="AN5351" s="87" t="n">
        <x:v>18</x:v>
      </x:c>
    </x:row>
    <x:row r="5352">
      <x:c r="A5352" s="87" t="n">
        <x:v>5351</x:v>
      </x:c>
      <x:c r="B5352" s="87" t="str">
        <x:v>EGKR-W25-HIST-953-18</x:v>
      </x:c>
      <x:c r="C5352" s="87" t="str">
        <x:v>ЕГКР</x:v>
      </x:c>
      <x:c r="D5352" s="87"/>
      <x:c r="E5352" s="87" t="str">
        <x:v>Зима 2025</x:v>
      </x:c>
      <x:c r="F5352" s="87" t="str">
        <x:v>11.12.2025</x:v>
      </x:c>
      <x:c r="G5352" s="87" t="str">
        <x:v>История</x:v>
      </x:c>
      <x:c r="H5352" s="87" t="n">
        <x:v>11</x:v>
      </x:c>
      <x:c r="I5352" s="87"/>
      <x:c r="J5352" s="87" t="str">
        <x:v>953</x:v>
      </x:c>
      <x:c r="K5352" s="87" t="n">
        <x:v>18</x:v>
      </x:c>
      <x:c r="L5352" s="87" t="str">
        <x:v>Развёрнутый ответ</x:v>
      </x:c>
      <x:c r="M5352" s="30" t="str">
        <x:v>Назвать внешнеполитическую предпосылку появления половцев, внутреннюю причину набегов и последствие поражения на Альте.</x:v>
      </x:c>
      <x:c r="N5352" s="30" t="str">
        <x:v>а) разгром Хазарского каганата Русью ослабил преграду для продвижения кочевников в Причерноморье; б) усобицы и отсутствие единства князей облегчали набеги; в) после поражения и отказа выдать оружие киевлянам произошло восстание, и Изяслав бежал из Киева.</x:v>
      </x:c>
      <x:c r="O5352" s="30" t="str">
        <x:v>Рабочая модель содержит все элементы, требуемые формулировкой задания.</x:v>
      </x:c>
      <x:c r="P5352" s="30" t="str">
        <x:v>Условие и исторические факты проверены независимо; источник ответа сохранён отдельно.</x:v>
      </x:c>
      <x:c r="Q5352" s="30"/>
      <x:c r="R5352" s="30"/>
      <x:c r="S5352" s="30" t="str">
        <x:v>Независимая модель по исходному заданию</x:v>
      </x:c>
      <x:c r="T5352" s="30"/>
      <x:c r="U5352" s="30" t="str">
        <x:v>Расхождений нет.</x:v>
      </x:c>
      <x:c r="V5352" s="87" t="str">
        <x:v>VERIFIED</x:v>
      </x:c>
      <x:c r="W5352" s="87"/>
      <x:c r="X5352" s="87" t="n">
        <x:v>8</x:v>
      </x:c>
      <x:c r="Y5352" s="87"/>
      <x:c r="Z5352" s="87"/>
      <x:c r="AA5352" s="87"/>
      <x:c r="AB5352" s="87"/>
      <x:c r="AC5352" s="87" t="str">
        <x:v>VIS-EGKR-HIST-W25-TASK-953-P008</x:v>
      </x:c>
      <x:c r="AD5352" s="87"/>
      <x:c r="AE5352" s="87" t="str">
        <x:v>TASK</x:v>
      </x:c>
      <x:c r="AF5352" s="87" t="str">
        <x:v>VIS-EGKR-HIST-W25-TASK-953-P008: 8</x:v>
      </x:c>
      <x:c r="AG5352" s="87" t="str">
        <x:v>RESOLVED</x:v>
      </x:c>
      <x:c r="AH5352" s="87" t="str">
        <x:v>CROP_VERIFIED</x:v>
      </x:c>
      <x:c r="AI5352" s="30"/>
      <x:c r="AJ5352" s="87" t="str">
        <x:v>clean</x:v>
      </x:c>
      <x:c r="AK5352" s="87" t="str">
        <x:v>clean-v0.13</x:v>
      </x:c>
      <x:c r="AL5352" s="87" t="str">
        <x:v>statgrad_clean_continuation_v0_13(1).xlsx</x:v>
      </x:c>
      <x:c r="AM5352" s="87" t="str">
        <x:v>HIST_EGKR_953</x:v>
      </x:c>
      <x:c r="AN5352" s="87" t="n">
        <x:v>19</x:v>
      </x:c>
    </x:row>
    <x:row r="5353">
      <x:c r="A5353" s="87" t="n">
        <x:v>5352</x:v>
      </x:c>
      <x:c r="B5353" s="87" t="str">
        <x:v>EGKR-W25-HIST-953-19</x:v>
      </x:c>
      <x:c r="C5353" s="87" t="str">
        <x:v>ЕГКР</x:v>
      </x:c>
      <x:c r="D5353" s="87"/>
      <x:c r="E5353" s="87" t="str">
        <x:v>Зима 2025</x:v>
      </x:c>
      <x:c r="F5353" s="87" t="str">
        <x:v>11.12.2025</x:v>
      </x:c>
      <x:c r="G5353" s="87" t="str">
        <x:v>История</x:v>
      </x:c>
      <x:c r="H5353" s="87" t="n">
        <x:v>11</x:v>
      </x:c>
      <x:c r="I5353" s="87"/>
      <x:c r="J5353" s="87" t="str">
        <x:v>953</x:v>
      </x:c>
      <x:c r="K5353" s="87" t="n">
        <x:v>19</x:v>
      </x:c>
      <x:c r="L5353" s="87" t="str">
        <x:v>Развёрнутый ответ</x:v>
      </x:c>
      <x:c r="M5353" s="30" t="str">
        <x:v>Раскрыть понятие «ревизия» и привести факт.</x:v>
      </x:c>
      <x:c r="N5353" s="30" t="str">
        <x:v>Ревизия — государственная перепись податного мужского населения для исчисления подушной подати и рекрутских наборов. Первая ревизия проводилась в 1718–1724 гг. при Петре I.</x:v>
      </x:c>
      <x:c r="O5353" s="30" t="str">
        <x:v>Рабочая модель содержит все элементы, требуемые формулировкой задания.</x:v>
      </x:c>
      <x:c r="P5353" s="30" t="str">
        <x:v>Условие и исторические факты проверены независимо; источник ответа сохранён отдельно.</x:v>
      </x:c>
      <x:c r="Q5353" s="30"/>
      <x:c r="R5353" s="30"/>
      <x:c r="S5353" s="30" t="str">
        <x:v>Независимая модель по исходному заданию</x:v>
      </x:c>
      <x:c r="T5353" s="30"/>
      <x:c r="U5353" s="30" t="str">
        <x:v>Расхождений нет.</x:v>
      </x:c>
      <x:c r="V5353" s="87" t="str">
        <x:v>VERIFIED</x:v>
      </x:c>
      <x:c r="W5353" s="87"/>
      <x:c r="X5353" s="87" t="n">
        <x:v>8</x:v>
      </x:c>
      <x:c r="Y5353" s="87"/>
      <x:c r="Z5353" s="87"/>
      <x:c r="AA5353" s="87"/>
      <x:c r="AB5353" s="87"/>
      <x:c r="AC5353" s="87" t="str">
        <x:v>VIS-EGKR-HIST-W25-TASK-953-P008</x:v>
      </x:c>
      <x:c r="AD5353" s="87"/>
      <x:c r="AE5353" s="87" t="str">
        <x:v>TASK</x:v>
      </x:c>
      <x:c r="AF5353" s="87" t="str">
        <x:v>VIS-EGKR-HIST-W25-TASK-953-P008: 8</x:v>
      </x:c>
      <x:c r="AG5353" s="87" t="str">
        <x:v>RESOLVED</x:v>
      </x:c>
      <x:c r="AH5353" s="87" t="str">
        <x:v>CROP_VERIFIED</x:v>
      </x:c>
      <x:c r="AI5353" s="30"/>
      <x:c r="AJ5353" s="87" t="str">
        <x:v>clean</x:v>
      </x:c>
      <x:c r="AK5353" s="87" t="str">
        <x:v>clean-v0.13</x:v>
      </x:c>
      <x:c r="AL5353" s="87" t="str">
        <x:v>statgrad_clean_continuation_v0_13(1).xlsx</x:v>
      </x:c>
      <x:c r="AM5353" s="87" t="str">
        <x:v>HIST_EGKR_953</x:v>
      </x:c>
      <x:c r="AN5353" s="87" t="n">
        <x:v>20</x:v>
      </x:c>
    </x:row>
    <x:row r="5354">
      <x:c r="A5354" s="87" t="n">
        <x:v>5353</x:v>
      </x:c>
      <x:c r="B5354" s="87" t="str">
        <x:v>EGKR-W25-HIST-953-20</x:v>
      </x:c>
      <x:c r="C5354" s="87" t="str">
        <x:v>ЕГКР</x:v>
      </x:c>
      <x:c r="D5354" s="87"/>
      <x:c r="E5354" s="87" t="str">
        <x:v>Зима 2025</x:v>
      </x:c>
      <x:c r="F5354" s="87" t="str">
        <x:v>11.12.2025</x:v>
      </x:c>
      <x:c r="G5354" s="87" t="str">
        <x:v>История</x:v>
      </x:c>
      <x:c r="H5354" s="87" t="n">
        <x:v>11</x:v>
      </x:c>
      <x:c r="I5354" s="87"/>
      <x:c r="J5354" s="87" t="str">
        <x:v>953</x:v>
      </x:c>
      <x:c r="K5354" s="87" t="n">
        <x:v>20</x:v>
      </x:c>
      <x:c r="L5354" s="87" t="str">
        <x:v>Развёрнутый ответ</x:v>
      </x:c>
      <x:c r="M5354" s="30" t="str">
        <x:v>Сформулировать сходство деятельности I и II Государственных дум и привести два обоснования.</x:v>
      </x:c>
      <x:c r="N5354" s="30" t="str">
        <x:v>Тезис: обе Думы находились в оппозиции правительству и добивались политических и аграрных преобразований. 1) I Дума потребовала ответственного министерства, амнистии и решения аграрного вопроса. 2) II Дума продолжила аграрные дебаты и критиковала правительственный курс, из-за чего также была досрочно распущена.</x:v>
      </x:c>
      <x:c r="O5354" s="30" t="str">
        <x:v>Рабочая модель содержит все элементы, требуемые формулировкой задания.</x:v>
      </x:c>
      <x:c r="P5354" s="30" t="str">
        <x:v>Условие и исторические факты проверены независимо; источник ответа сохранён отдельно.</x:v>
      </x:c>
      <x:c r="Q5354" s="30"/>
      <x:c r="R5354" s="30"/>
      <x:c r="S5354" s="30" t="str">
        <x:v>Независимая модель по исходному заданию</x:v>
      </x:c>
      <x:c r="T5354" s="30"/>
      <x:c r="U5354" s="30" t="str">
        <x:v>Расхождений нет.</x:v>
      </x:c>
      <x:c r="V5354" s="87" t="str">
        <x:v>VERIFIED</x:v>
      </x:c>
      <x:c r="W5354" s="87"/>
      <x:c r="X5354" s="87" t="n">
        <x:v>9</x:v>
      </x:c>
      <x:c r="Y5354" s="87"/>
      <x:c r="Z5354" s="87"/>
      <x:c r="AA5354" s="87"/>
      <x:c r="AB5354" s="87"/>
      <x:c r="AC5354" s="87" t="str">
        <x:v>VIS-EGKR-HIST-W25-TASK-953-P009</x:v>
      </x:c>
      <x:c r="AD5354" s="87"/>
      <x:c r="AE5354" s="87" t="str">
        <x:v>TASK</x:v>
      </x:c>
      <x:c r="AF5354" s="87" t="str">
        <x:v>VIS-EGKR-HIST-W25-TASK-953-P009: 9</x:v>
      </x:c>
      <x:c r="AG5354" s="87" t="str">
        <x:v>RESOLVED</x:v>
      </x:c>
      <x:c r="AH5354" s="87" t="str">
        <x:v>CROP_VERIFIED</x:v>
      </x:c>
      <x:c r="AI5354" s="30"/>
      <x:c r="AJ5354" s="87" t="str">
        <x:v>clean</x:v>
      </x:c>
      <x:c r="AK5354" s="87" t="str">
        <x:v>clean-v0.13</x:v>
      </x:c>
      <x:c r="AL5354" s="87" t="str">
        <x:v>statgrad_clean_continuation_v0_13(1).xlsx</x:v>
      </x:c>
      <x:c r="AM5354" s="87" t="str">
        <x:v>HIST_EGKR_953</x:v>
      </x:c>
      <x:c r="AN5354" s="87" t="n">
        <x:v>21</x:v>
      </x:c>
    </x:row>
    <x:row r="5355">
      <x:c r="A5355" s="87" t="n">
        <x:v>5354</x:v>
      </x:c>
      <x:c r="B5355" s="87" t="str">
        <x:v>EGKR-W25-HIST-953-21</x:v>
      </x:c>
      <x:c r="C5355" s="87" t="str">
        <x:v>ЕГКР</x:v>
      </x:c>
      <x:c r="D5355" s="87"/>
      <x:c r="E5355" s="87" t="str">
        <x:v>Зима 2025</x:v>
      </x:c>
      <x:c r="F5355" s="87" t="str">
        <x:v>11.12.2025</x:v>
      </x:c>
      <x:c r="G5355" s="87" t="str">
        <x:v>История</x:v>
      </x:c>
      <x:c r="H5355" s="87" t="n">
        <x:v>11</x:v>
      </x:c>
      <x:c r="I5355" s="87"/>
      <x:c r="J5355" s="87" t="str">
        <x:v>953</x:v>
      </x:c>
      <x:c r="K5355" s="87" t="n">
        <x:v>21</x:v>
      </x:c>
      <x:c r="L5355" s="87" t="str">
        <x:v>Развёрнутый ответ</x:v>
      </x:c>
      <x:c r="M5355" s="30" t="str">
        <x:v>Привести примеры тактической или личной хитрости русских и сербских воинов XIV века.</x:v>
      </x:c>
      <x:c r="N5355" s="30" t="str">
        <x:v>Россия: в Куликовской битве Дмитрий Донской скрытно разместил засадный полк, удар которого решил исход сражения. Сербия: перед Косовской битвой Милош Обилич проник в лагерь султана под видом перебежчика и убил Мурада I.</x:v>
      </x:c>
      <x:c r="O5355" s="30" t="str">
        <x:v>Рабочая модель содержит все элементы, требуемые формулировкой задания.</x:v>
      </x:c>
      <x:c r="P5355" s="30" t="str">
        <x:v>Условие и исторические факты проверены независимо; источник ответа сохранён отдельно.</x:v>
      </x:c>
      <x:c r="Q5355" s="30"/>
      <x:c r="R5355" s="30"/>
      <x:c r="S5355" s="30" t="str">
        <x:v>Независимая модель по исходному заданию</x:v>
      </x:c>
      <x:c r="T5355" s="30"/>
      <x:c r="U5355" s="30" t="str">
        <x:v>Расхождений нет.</x:v>
      </x:c>
      <x:c r="V5355" s="87" t="str">
        <x:v>VERIFIED</x:v>
      </x:c>
      <x:c r="W5355" s="87"/>
      <x:c r="X5355" s="87" t="n">
        <x:v>9</x:v>
      </x:c>
      <x:c r="Y5355" s="87"/>
      <x:c r="Z5355" s="87"/>
      <x:c r="AA5355" s="87"/>
      <x:c r="AB5355" s="87"/>
      <x:c r="AC5355" s="87" t="str">
        <x:v>VIS-EGKR-HIST-W25-TASK-953-P009</x:v>
      </x:c>
      <x:c r="AD5355" s="87"/>
      <x:c r="AE5355" s="87" t="str">
        <x:v>TASK</x:v>
      </x:c>
      <x:c r="AF5355" s="87" t="str">
        <x:v>VIS-EGKR-HIST-W25-TASK-953-P009: 9</x:v>
      </x:c>
      <x:c r="AG5355" s="87" t="str">
        <x:v>RESOLVED</x:v>
      </x:c>
      <x:c r="AH5355" s="87" t="str">
        <x:v>CROP_VERIFIED</x:v>
      </x:c>
      <x:c r="AI5355" s="30"/>
      <x:c r="AJ5355" s="87" t="str">
        <x:v>clean</x:v>
      </x:c>
      <x:c r="AK5355" s="87" t="str">
        <x:v>clean-v0.13</x:v>
      </x:c>
      <x:c r="AL5355" s="87" t="str">
        <x:v>statgrad_clean_continuation_v0_13(1).xlsx</x:v>
      </x:c>
      <x:c r="AM5355" s="87" t="str">
        <x:v>HIST_EGKR_953</x:v>
      </x:c>
      <x:c r="AN5355" s="87" t="n">
        <x:v>22</x:v>
      </x:c>
    </x:row>
    <x:row r="5356">
      <x:c r="A5356" s="87" t="n">
        <x:v>5355</x:v>
      </x:c>
      <x:c r="B5356" s="87" t="str">
        <x:v>EGKR-W25-MATHB-951-01</x:v>
      </x:c>
      <x:c r="C5356" s="87" t="str">
        <x:v>ЕГКР</x:v>
      </x:c>
      <x:c r="D5356" s="87"/>
      <x:c r="E5356" s="87" t="str">
        <x:v>Зима 2025</x:v>
      </x:c>
      <x:c r="F5356" s="87" t="str">
        <x:v>16.12.2025</x:v>
      </x:c>
      <x:c r="G5356" s="87" t="str">
        <x:v>Математика (база)</x:v>
      </x:c>
      <x:c r="H5356" s="87" t="n">
        <x:v>11</x:v>
      </x:c>
      <x:c r="I5356" s="87"/>
      <x:c r="J5356" s="87" t="str">
        <x:v>951</x:v>
      </x:c>
      <x:c r="K5356" s="87" t="n">
        <x:v>1</x:v>
      </x:c>
      <x:c r="L5356" s="87" t="str">
        <x:v>Практическая арифметика</x:v>
      </x:c>
      <x:c r="M5356" s="30" t="str">
        <x:v>В пачке 250 листов бумаги формата А4. За неделю в офисе расходуется 700 листов. Какого наименьшего количества пачек бумаги хватит на 8 недель?</x:v>
      </x:c>
      <x:c r="N5356" s="30" t="str">
        <x:v>23</x:v>
      </x:c>
      <x:c r="O5356" s="30" t="str">
        <x:v>Выполнен прямой расчёт и, где требуется, округление вверх.</x:v>
      </x:c>
      <x:c r="P5356" s="30" t="str">
        <x:v>Условие, вычисление и визуальная страница проверены независимо.</x:v>
      </x:c>
      <x:c r="Q5356" s="30"/>
      <x:c r="R5356" s="30" t="str">
        <x:v>23</x:v>
      </x:c>
      <x:c r="S5356" s="30"/>
      <x:c r="T5356" s="30"/>
      <x:c r="U5356" s="30" t="str">
        <x:v>Расхождений нет.</x:v>
      </x:c>
      <x:c r="V5356" s="87" t="str">
        <x:v>VERIFIED</x:v>
      </x:c>
      <x:c r="W5356" s="87"/>
      <x:c r="X5356" s="87" t="n">
        <x:v>2</x:v>
      </x:c>
      <x:c r="Y5356" s="87"/>
      <x:c r="Z5356" s="87"/>
      <x:c r="AA5356" s="87"/>
      <x:c r="AB5356" s="87"/>
      <x:c r="AC5356" s="87" t="str">
        <x:v>VIS-EGKR-MATHB-W25-TASK-951-P002</x:v>
      </x:c>
      <x:c r="AD5356" s="87"/>
      <x:c r="AE5356" s="87" t="str">
        <x:v>TASK</x:v>
      </x:c>
      <x:c r="AF5356" s="87" t="str">
        <x:v>VIS-EGKR-MATHB-W25-TASK-951-P002: 2</x:v>
      </x:c>
      <x:c r="AG5356" s="87" t="str">
        <x:v>RESOLVED</x:v>
      </x:c>
      <x:c r="AH5356" s="87" t="str">
        <x:v>CROP_VERIFIED</x:v>
      </x:c>
      <x:c r="AI5356" s="30"/>
      <x:c r="AJ5356" s="87" t="str">
        <x:v>clean</x:v>
      </x:c>
      <x:c r="AK5356" s="87" t="str">
        <x:v>clean-v0.14</x:v>
      </x:c>
      <x:c r="AL5356" s="87" t="str">
        <x:v>statgrad_clean_continuation_v0_14(1).xlsx</x:v>
      </x:c>
      <x:c r="AM5356" s="87" t="str">
        <x:v>MATHB_EGKR_951</x:v>
      </x:c>
      <x:c r="AN5356" s="87" t="n">
        <x:v>2</x:v>
      </x:c>
    </x:row>
    <x:row r="5357">
      <x:c r="A5357" s="87" t="n">
        <x:v>5356</x:v>
      </x:c>
      <x:c r="B5357" s="87" t="str">
        <x:v>EGKR-W25-MATHB-951-02</x:v>
      </x:c>
      <x:c r="C5357" s="87" t="str">
        <x:v>ЕГКР</x:v>
      </x:c>
      <x:c r="D5357" s="87"/>
      <x:c r="E5357" s="87" t="str">
        <x:v>Зима 2025</x:v>
      </x:c>
      <x:c r="F5357" s="87" t="str">
        <x:v>16.12.2025</x:v>
      </x:c>
      <x:c r="G5357" s="87" t="str">
        <x:v>Математика (база)</x:v>
      </x:c>
      <x:c r="H5357" s="87" t="n">
        <x:v>11</x:v>
      </x:c>
      <x:c r="I5357" s="87"/>
      <x:c r="J5357" s="87" t="str">
        <x:v>951</x:v>
      </x:c>
      <x:c r="K5357" s="87" t="n">
        <x:v>2</x:v>
      </x:c>
      <x:c r="L5357" s="87" t="str">
        <x:v>Установление соответствия</x:v>
      </x:c>
      <x:c r="M5357"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площадь монитора компьютера 1) 75 500 кв. км Б) площадь города Санкт-Петербурга 2) 1439 кв. км В) площадь ногтя на пальце взрослого человека 3) 100 кв. мм Г) площадь Краснодарского края 4) 960 кв. см В таблице под каждой буквой, соответствующей величине, укажите номер её возможного значения. А Б В Г</x:v>
      </x:c>
      <x:c r="N5357" s="30" t="str">
        <x:v>4231</x:v>
      </x:c>
      <x:c r="O5357" s="30" t="str">
        <x:v>Величины сопоставлены по реалистичным единицам и порядкам.</x:v>
      </x:c>
      <x:c r="P5357" s="30" t="str">
        <x:v>Условие, вычисление и визуальная страница проверены независимо.</x:v>
      </x:c>
      <x:c r="Q5357" s="30"/>
      <x:c r="R5357" s="30" t="str">
        <x:v>4231</x:v>
      </x:c>
      <x:c r="S5357" s="30"/>
      <x:c r="T5357" s="30"/>
      <x:c r="U5357" s="30" t="str">
        <x:v>Расхождений нет.</x:v>
      </x:c>
      <x:c r="V5357" s="87" t="str">
        <x:v>VERIFIED</x:v>
      </x:c>
      <x:c r="W5357" s="87"/>
      <x:c r="X5357" s="87" t="n">
        <x:v>2</x:v>
      </x:c>
      <x:c r="Y5357" s="87"/>
      <x:c r="Z5357" s="87"/>
      <x:c r="AA5357" s="87"/>
      <x:c r="AB5357" s="87"/>
      <x:c r="AC5357" s="87" t="str">
        <x:v>VIS-EGKR-MATHB-W25-TASK-951-P002</x:v>
      </x:c>
      <x:c r="AD5357" s="87"/>
      <x:c r="AE5357" s="87" t="str">
        <x:v>TASK</x:v>
      </x:c>
      <x:c r="AF5357" s="87" t="str">
        <x:v>VIS-EGKR-MATHB-W25-TASK-951-P002: 2</x:v>
      </x:c>
      <x:c r="AG5357" s="87" t="str">
        <x:v>RESOLVED</x:v>
      </x:c>
      <x:c r="AH5357" s="87" t="str">
        <x:v>CROP_VERIFIED</x:v>
      </x:c>
      <x:c r="AI5357" s="30"/>
      <x:c r="AJ5357" s="87" t="str">
        <x:v>clean</x:v>
      </x:c>
      <x:c r="AK5357" s="87" t="str">
        <x:v>clean-v0.14</x:v>
      </x:c>
      <x:c r="AL5357" s="87" t="str">
        <x:v>statgrad_clean_continuation_v0_14(1).xlsx</x:v>
      </x:c>
      <x:c r="AM5357" s="87" t="str">
        <x:v>MATHB_EGKR_951</x:v>
      </x:c>
      <x:c r="AN5357" s="87" t="n">
        <x:v>3</x:v>
      </x:c>
    </x:row>
    <x:row r="5358">
      <x:c r="A5358" s="87" t="n">
        <x:v>5357</x:v>
      </x:c>
      <x:c r="B5358" s="87" t="str">
        <x:v>EGKR-W25-MATHB-951-03</x:v>
      </x:c>
      <x:c r="C5358" s="87" t="str">
        <x:v>ЕГКР</x:v>
      </x:c>
      <x:c r="D5358" s="87"/>
      <x:c r="E5358" s="87" t="str">
        <x:v>Зима 2025</x:v>
      </x:c>
      <x:c r="F5358" s="87" t="str">
        <x:v>16.12.2025</x:v>
      </x:c>
      <x:c r="G5358" s="87" t="str">
        <x:v>Математика (база)</x:v>
      </x:c>
      <x:c r="H5358" s="87" t="n">
        <x:v>11</x:v>
      </x:c>
      <x:c r="I5358" s="87"/>
      <x:c r="J5358" s="87" t="str">
        <x:v>951</x:v>
      </x:c>
      <x:c r="K5358" s="87" t="n">
        <x:v>3</x:v>
      </x:c>
      <x:c r="L5358" s="87" t="str">
        <x:v>Анализ таблицы</x:v>
      </x:c>
      <x:c r="M5358" s="30" t="str">
        <x:v>Результаты игры КВН представлены в таблице. Команда Баллы за конкурс Баллы за конкурс Баллы за музыкальный «Приветствие» «СТЭМ» конкурс «АТОМ» 24 20 28 «Шумы» 25 21 27 «Топчан» 26 23 25 «Лёлек и 23 24 24 Болек» Для каждой команды баллы по всем конкурсам суммируются. Победителем считается команда, набравшая в сумме по всем конкурсам наибольшее количество баллов. Сколько в сумме баллов у команды-победителя?</x:v>
      </x:c>
      <x:c r="N5358" s="30" t="str">
        <x:v>74</x:v>
      </x:c>
      <x:c r="O5358" s="30" t="str">
        <x:v>Баллы в строках таблицы сложены; выбран максимум.</x:v>
      </x:c>
      <x:c r="P5358" s="30" t="str">
        <x:v>Условие, вычисление и визуальная страница проверены независимо.</x:v>
      </x:c>
      <x:c r="Q5358" s="30"/>
      <x:c r="R5358" s="30" t="str">
        <x:v>14</x:v>
      </x:c>
      <x:c r="S5358" s="30"/>
      <x:c r="T5358" s="30"/>
      <x:c r="U5358" s="30" t="str">
        <x:v>Ответник: 14; независимое решение: 74.</x:v>
      </x:c>
      <x:c r="V5358" s="87" t="str">
        <x:v>KEY_MISMATCH</x:v>
      </x:c>
      <x:c r="W5358" s="87"/>
      <x:c r="X5358" s="87" t="n">
        <x:v>3</x:v>
      </x:c>
      <x:c r="Y5358" s="87"/>
      <x:c r="Z5358" s="87"/>
      <x:c r="AA5358" s="87"/>
      <x:c r="AB5358" s="87"/>
      <x:c r="AC5358" s="87" t="str">
        <x:v>VIS-EGKR-MATHB-W25-TASK-951-P003</x:v>
      </x:c>
      <x:c r="AD5358" s="87"/>
      <x:c r="AE5358" s="87" t="str">
        <x:v>TASK</x:v>
      </x:c>
      <x:c r="AF5358" s="87" t="str">
        <x:v>VIS-EGKR-MATHB-W25-TASK-951-P003: 3</x:v>
      </x:c>
      <x:c r="AG5358" s="87" t="str">
        <x:v>RESOLVED</x:v>
      </x:c>
      <x:c r="AH5358" s="87" t="str">
        <x:v>CROP_VERIFIED</x:v>
      </x:c>
      <x:c r="AI5358" s="30"/>
      <x:c r="AJ5358" s="87" t="str">
        <x:v>clean</x:v>
      </x:c>
      <x:c r="AK5358" s="87" t="str">
        <x:v>clean-v0.14</x:v>
      </x:c>
      <x:c r="AL5358" s="87" t="str">
        <x:v>statgrad_clean_continuation_v0_14(1).xlsx</x:v>
      </x:c>
      <x:c r="AM5358" s="87" t="str">
        <x:v>MATHB_EGKR_951</x:v>
      </x:c>
      <x:c r="AN5358" s="87" t="n">
        <x:v>4</x:v>
      </x:c>
    </x:row>
    <x:row r="5359">
      <x:c r="A5359" s="87" t="n">
        <x:v>5358</x:v>
      </x:c>
      <x:c r="B5359" s="87" t="str">
        <x:v>EGKR-W25-MATHB-951-04</x:v>
      </x:c>
      <x:c r="C5359" s="87" t="str">
        <x:v>ЕГКР</x:v>
      </x:c>
      <x:c r="D5359" s="87"/>
      <x:c r="E5359" s="87" t="str">
        <x:v>Зима 2025</x:v>
      </x:c>
      <x:c r="F5359" s="87" t="str">
        <x:v>16.12.2025</x:v>
      </x:c>
      <x:c r="G5359" s="87" t="str">
        <x:v>Математика (база)</x:v>
      </x:c>
      <x:c r="H5359" s="87" t="n">
        <x:v>11</x:v>
      </x:c>
      <x:c r="I5359" s="87"/>
      <x:c r="J5359" s="87" t="str">
        <x:v>951</x:v>
      </x:c>
      <x:c r="K5359" s="87" t="n">
        <x:v>4</x:v>
      </x:c>
      <x:c r="L5359" s="87" t="str">
        <x:v>Применение формулы</x:v>
      </x:c>
      <x:c r="M5359" s="30" t="str">
        <x:v>Зная длину своего шага, человек может приближённо подсчитать пройденное им рассто яние s по формуле s = nl, где n - число шагов, l - длина шага. Какое расстояние прошёл человек, если l =80 см, n = 1600?</x:v>
      </x:c>
      <x:c r="N5359" s="30" t="str">
        <x:v>1280</x:v>
      </x:c>
      <x:c r="O5359" s="30" t="str">
        <x:v>Длина шага умножена на число шагов и переведена в метры.</x:v>
      </x:c>
      <x:c r="P5359" s="30" t="str">
        <x:v>Условие, вычисление и визуальная страница проверены независимо.</x:v>
      </x:c>
      <x:c r="Q5359" s="30"/>
      <x:c r="R5359" s="30" t="str">
        <x:v>1280</x:v>
      </x:c>
      <x:c r="S5359" s="30"/>
      <x:c r="T5359" s="30"/>
      <x:c r="U5359" s="30" t="str">
        <x:v>Расхождений нет.</x:v>
      </x:c>
      <x:c r="V5359" s="87" t="str">
        <x:v>VERIFIED</x:v>
      </x:c>
      <x:c r="W5359" s="87"/>
      <x:c r="X5359" s="87" t="n">
        <x:v>3</x:v>
      </x:c>
      <x:c r="Y5359" s="87"/>
      <x:c r="Z5359" s="87"/>
      <x:c r="AA5359" s="87"/>
      <x:c r="AB5359" s="87"/>
      <x:c r="AC5359" s="87" t="str">
        <x:v>VIS-EGKR-MATHB-W25-TASK-951-P003</x:v>
      </x:c>
      <x:c r="AD5359" s="87"/>
      <x:c r="AE5359" s="87" t="str">
        <x:v>TASK</x:v>
      </x:c>
      <x:c r="AF5359" s="87" t="str">
        <x:v>VIS-EGKR-MATHB-W25-TASK-951-P003: 3</x:v>
      </x:c>
      <x:c r="AG5359" s="87" t="str">
        <x:v>RESOLVED</x:v>
      </x:c>
      <x:c r="AH5359" s="87" t="str">
        <x:v>CROP_VERIFIED</x:v>
      </x:c>
      <x:c r="AI5359" s="30"/>
      <x:c r="AJ5359" s="87" t="str">
        <x:v>clean</x:v>
      </x:c>
      <x:c r="AK5359" s="87" t="str">
        <x:v>clean-v0.14</x:v>
      </x:c>
      <x:c r="AL5359" s="87" t="str">
        <x:v>statgrad_clean_continuation_v0_14(1).xlsx</x:v>
      </x:c>
      <x:c r="AM5359" s="87" t="str">
        <x:v>MATHB_EGKR_951</x:v>
      </x:c>
      <x:c r="AN5359" s="87" t="n">
        <x:v>5</x:v>
      </x:c>
    </x:row>
    <x:row r="5360">
      <x:c r="A5360" s="87" t="n">
        <x:v>5359</x:v>
      </x:c>
      <x:c r="B5360" s="87" t="str">
        <x:v>EGKR-W25-MATHB-951-05</x:v>
      </x:c>
      <x:c r="C5360" s="87" t="str">
        <x:v>ЕГКР</x:v>
      </x:c>
      <x:c r="D5360" s="87"/>
      <x:c r="E5360" s="87" t="str">
        <x:v>Зима 2025</x:v>
      </x:c>
      <x:c r="F5360" s="87" t="str">
        <x:v>16.12.2025</x:v>
      </x:c>
      <x:c r="G5360" s="87" t="str">
        <x:v>Математика (база)</x:v>
      </x:c>
      <x:c r="H5360" s="87" t="n">
        <x:v>11</x:v>
      </x:c>
      <x:c r="I5360" s="87"/>
      <x:c r="J5360" s="87" t="str">
        <x:v>951</x:v>
      </x:c>
      <x:c r="K5360" s="87" t="n">
        <x:v>5</x:v>
      </x:c>
      <x:c r="L5360" s="87" t="str">
        <x:v>Вероятность</x:v>
      </x:c>
      <x:c r="M5360" s="30" t="str">
        <x:v>На экзамене по геометрии школьник должен ответить на один вопрос из списка экзаменационных вопросов. Вероятность того, что эта задача по теме «Вписанная окружность», равна 0,35. Вероятность того, что это окажется задача по теме «Внешние углы», равна 0,25. Вопросов, которые одновременно относятся к этим двум темам, нет. Найдите вероятность того, что на экзамене школьнику достанется вопрос по одной из этих двух тем.</x:v>
      </x:c>
      <x:c r="N5360" s="30" t="str">
        <x:v>0,6</x:v>
      </x:c>
      <x:c r="O5360" s="30" t="str">
        <x:v>Вероятности несовместных событий сложены.</x:v>
      </x:c>
      <x:c r="P5360" s="30" t="str">
        <x:v>Условие, вычисление и визуальная страница проверены независимо.</x:v>
      </x:c>
      <x:c r="Q5360" s="30"/>
      <x:c r="R5360" s="30" t="str">
        <x:v>0,6</x:v>
      </x:c>
      <x:c r="S5360" s="30"/>
      <x:c r="T5360" s="30"/>
      <x:c r="U5360" s="30" t="str">
        <x:v>Расхождений нет.</x:v>
      </x:c>
      <x:c r="V5360" s="87" t="str">
        <x:v>VERIFIED</x:v>
      </x:c>
      <x:c r="W5360" s="87"/>
      <x:c r="X5360" s="87" t="n">
        <x:v>3</x:v>
      </x:c>
      <x:c r="Y5360" s="87"/>
      <x:c r="Z5360" s="87"/>
      <x:c r="AA5360" s="87"/>
      <x:c r="AB5360" s="87"/>
      <x:c r="AC5360" s="87" t="str">
        <x:v>VIS-EGKR-MATHB-W25-TASK-951-P003</x:v>
      </x:c>
      <x:c r="AD5360" s="87"/>
      <x:c r="AE5360" s="87" t="str">
        <x:v>TASK</x:v>
      </x:c>
      <x:c r="AF5360" s="87" t="str">
        <x:v>VIS-EGKR-MATHB-W25-TASK-951-P003: 3</x:v>
      </x:c>
      <x:c r="AG5360" s="87" t="str">
        <x:v>RESOLVED</x:v>
      </x:c>
      <x:c r="AH5360" s="87" t="str">
        <x:v>CROP_VERIFIED</x:v>
      </x:c>
      <x:c r="AI5360" s="30"/>
      <x:c r="AJ5360" s="87" t="str">
        <x:v>clean</x:v>
      </x:c>
      <x:c r="AK5360" s="87" t="str">
        <x:v>clean-v0.14</x:v>
      </x:c>
      <x:c r="AL5360" s="87" t="str">
        <x:v>statgrad_clean_continuation_v0_14(1).xlsx</x:v>
      </x:c>
      <x:c r="AM5360" s="87" t="str">
        <x:v>MATHB_EGKR_951</x:v>
      </x:c>
      <x:c r="AN5360" s="87" t="n">
        <x:v>6</x:v>
      </x:c>
    </x:row>
    <x:row r="5361">
      <x:c r="A5361" s="87" t="n">
        <x:v>5360</x:v>
      </x:c>
      <x:c r="B5361" s="87" t="str">
        <x:v>EGKR-W25-MATHB-951-06</x:v>
      </x:c>
      <x:c r="C5361" s="87" t="str">
        <x:v>ЕГКР</x:v>
      </x:c>
      <x:c r="D5361" s="87"/>
      <x:c r="E5361" s="87" t="str">
        <x:v>Зима 2025</x:v>
      </x:c>
      <x:c r="F5361" s="87" t="str">
        <x:v>16.12.2025</x:v>
      </x:c>
      <x:c r="G5361" s="87" t="str">
        <x:v>Математика (база)</x:v>
      </x:c>
      <x:c r="H5361" s="87" t="n">
        <x:v>11</x:v>
      </x:c>
      <x:c r="I5361" s="87"/>
      <x:c r="J5361" s="87" t="str">
        <x:v>951</x:v>
      </x:c>
      <x:c r="K5361" s="87" t="n">
        <x:v>6</x:v>
      </x:c>
      <x:c r="L5361" s="87" t="str">
        <x:v>Оптимальный выбор</x:v>
      </x:c>
      <x:c r="M5361" s="30" t="str">
        <x:v>Путешественник из Москвы хочет посетить 4 города Золотого кольца России: Владимир, Ярославль, Суздаль и Ростов Великий. Турагентство предлагает маршруты с посещением некоторых городов Золотого кольца. Сведения о стоимости билетов и маршрутах представлены в таблице. Номер маршрута Посещаемые города Стоимость (руб.). 1 Ярославль, Владимир 3000 2 Владимир, Ростов Великий, Суздаль 3950 3 Ростов Великий, Суздаль 2150 4 Ростов Великий, Ярославль 2350 5 Владимир 1750 6 Ярославль, Суздаль 2200 Какие маршруты должен выбрать путешественник, чтобы побыть во всех четырех городах и потратить на билеты меньшее 6000 рублей? В ответе укажите какой-нибудь один набор номеров маршрутов без пробелов, запятых и других дополнительных символов.</x:v>
      </x:c>
      <x:c r="N5361" s="30" t="str">
        <x:v>13</x:v>
      </x:c>
      <x:c r="O5361" s="30" t="str">
        <x:v>Подобран набор маршрутов, покрывающий четыре города и удовлетворяющий ограничению цены.</x:v>
      </x:c>
      <x:c r="P5361" s="30" t="str">
        <x:v>Условие, вычисление и визуальная страница проверены независимо.</x:v>
      </x:c>
      <x:c r="Q5361" s="30"/>
      <x:c r="R5361" s="30"/>
      <x:c r="S5361" s="30"/>
      <x:c r="T5361" s="30"/>
      <x:c r="U5361" s="30" t="str">
        <x:v>Ответ отсутствует в приложенном ответнике; восстановлен независимо.</x:v>
      </x:c>
      <x:c r="V5361" s="87" t="str">
        <x:v>SOURCE_GAP_RECOVERED</x:v>
      </x:c>
      <x:c r="W5361" s="87"/>
      <x:c r="X5361" s="87" t="n">
        <x:v>4</x:v>
      </x:c>
      <x:c r="Y5361" s="87"/>
      <x:c r="Z5361" s="87"/>
      <x:c r="AA5361" s="87"/>
      <x:c r="AB5361" s="87"/>
      <x:c r="AC5361" s="87" t="str">
        <x:v>VIS-EGKR-MATHB-W25-TASK-951-P004</x:v>
      </x:c>
      <x:c r="AD5361" s="87"/>
      <x:c r="AE5361" s="87" t="str">
        <x:v>TASK</x:v>
      </x:c>
      <x:c r="AF5361" s="87" t="str">
        <x:v>VIS-EGKR-MATHB-W25-TASK-951-P004: 4</x:v>
      </x:c>
      <x:c r="AG5361" s="87" t="str">
        <x:v>RESOLVED</x:v>
      </x:c>
      <x:c r="AH5361" s="87" t="str">
        <x:v>CROP_VERIFIED</x:v>
      </x:c>
      <x:c r="AI5361" s="30"/>
      <x:c r="AJ5361" s="87" t="str">
        <x:v>clean</x:v>
      </x:c>
      <x:c r="AK5361" s="87" t="str">
        <x:v>clean-v0.14</x:v>
      </x:c>
      <x:c r="AL5361" s="87" t="str">
        <x:v>statgrad_clean_continuation_v0_14(1).xlsx</x:v>
      </x:c>
      <x:c r="AM5361" s="87" t="str">
        <x:v>MATHB_EGKR_951</x:v>
      </x:c>
      <x:c r="AN5361" s="87" t="n">
        <x:v>7</x:v>
      </x:c>
    </x:row>
    <x:row r="5362">
      <x:c r="A5362" s="87" t="n">
        <x:v>5361</x:v>
      </x:c>
      <x:c r="B5362" s="87" t="str">
        <x:v>EGKR-W25-MATHB-951-07</x:v>
      </x:c>
      <x:c r="C5362" s="87" t="str">
        <x:v>ЕГКР</x:v>
      </x:c>
      <x:c r="D5362" s="87"/>
      <x:c r="E5362" s="87" t="str">
        <x:v>Зима 2025</x:v>
      </x:c>
      <x:c r="F5362" s="87" t="str">
        <x:v>16.12.2025</x:v>
      </x:c>
      <x:c r="G5362" s="87" t="str">
        <x:v>Математика (база)</x:v>
      </x:c>
      <x:c r="H5362" s="87" t="n">
        <x:v>11</x:v>
      </x:c>
      <x:c r="I5362" s="87"/>
      <x:c r="J5362" s="87" t="str">
        <x:v>951</x:v>
      </x:c>
      <x:c r="K5362" s="87" t="n">
        <x:v>7</x:v>
      </x:c>
      <x:c r="L5362" s="87" t="str">
        <x:v>Анализ графика</x:v>
      </x:c>
      <x:c r="M5362" s="30" t="str">
        <x:v>На рисунке изображён график функции y = f(x) и отмечены точки A, B, C и D на оси Ox. Пользуясь графиком, поставьте в соответствие каждой точке характеристики функции и её производной. ТОЧКИ ХАРАКТЕРИСТИКИ ФУНКЦИИ ИЛИ ПРОИЗВОДНОЙ А) A 1) значение функции в точке положительно, а значение Б) B производной функции в точке отрицательно В) C 2) значение функции в точке отрицательно, а значение Г) D производной функции в точке отрицательно 3) значение функции в точке отрицательно, и значение производной функции в точке положительно 4) Значение функции в точке положительно, и значение производной функции в точке положительно В таблице под каждой буквой укажите соответствующий номер. А Б В Г</x:v>
      </x:c>
      <x:c r="N5362" s="30" t="str">
        <x:v>3124</x:v>
      </x:c>
      <x:c r="O5362" s="30" t="str">
        <x:v>Знаки функции и производной определены по положению точки и направлению графика.</x:v>
      </x:c>
      <x:c r="P5362" s="30" t="str">
        <x:v>Условие, вычисление и визуальная страница проверены независимо.</x:v>
      </x:c>
      <x:c r="Q5362" s="30"/>
      <x:c r="R5362" s="30" t="str">
        <x:v>3124</x:v>
      </x:c>
      <x:c r="S5362" s="30"/>
      <x:c r="T5362" s="30"/>
      <x:c r="U5362" s="30" t="str">
        <x:v>Расхождений нет.</x:v>
      </x:c>
      <x:c r="V5362" s="87" t="str">
        <x:v>VERIFIED</x:v>
      </x:c>
      <x:c r="W5362" s="87"/>
      <x:c r="X5362" s="87" t="n">
        <x:v>5</x:v>
      </x:c>
      <x:c r="Y5362" s="87"/>
      <x:c r="Z5362" s="87"/>
      <x:c r="AA5362" s="87"/>
      <x:c r="AB5362" s="87"/>
      <x:c r="AC5362" s="87" t="str">
        <x:v>VIS-EGKR-MATHB-W25-TASK-951-P005</x:v>
      </x:c>
      <x:c r="AD5362" s="87"/>
      <x:c r="AE5362" s="87" t="str">
        <x:v>TASK</x:v>
      </x:c>
      <x:c r="AF5362" s="87" t="str">
        <x:v>VIS-EGKR-MATHB-W25-TASK-951-P005: 5</x:v>
      </x:c>
      <x:c r="AG5362" s="87" t="str">
        <x:v>RESOLVED</x:v>
      </x:c>
      <x:c r="AH5362" s="87" t="str">
        <x:v>CROP_VERIFIED; TASK_CROP_QA_APPROVED:USE_TIGHT</x:v>
      </x:c>
      <x:c r="AI5362" s="30"/>
      <x:c r="AJ5362" s="87" t="str">
        <x:v>clean</x:v>
      </x:c>
      <x:c r="AK5362" s="87" t="str">
        <x:v>clean-v0.14</x:v>
      </x:c>
      <x:c r="AL5362" s="87" t="str">
        <x:v>statgrad_clean_continuation_v0_14(1).xlsx</x:v>
      </x:c>
      <x:c r="AM5362" s="87" t="str">
        <x:v>MATHB_EGKR_951</x:v>
      </x:c>
      <x:c r="AN5362" s="87" t="n">
        <x:v>8</x:v>
      </x:c>
    </x:row>
    <x:row r="5363">
      <x:c r="A5363" s="87" t="n">
        <x:v>5362</x:v>
      </x:c>
      <x:c r="B5363" s="87" t="str">
        <x:v>EGKR-W25-MATHB-951-08</x:v>
      </x:c>
      <x:c r="C5363" s="87" t="str">
        <x:v>ЕГКР</x:v>
      </x:c>
      <x:c r="D5363" s="87"/>
      <x:c r="E5363" s="87" t="str">
        <x:v>Зима 2025</x:v>
      </x:c>
      <x:c r="F5363" s="87" t="str">
        <x:v>16.12.2025</x:v>
      </x:c>
      <x:c r="G5363" s="87" t="str">
        <x:v>Математика (база)</x:v>
      </x:c>
      <x:c r="H5363" s="87" t="n">
        <x:v>11</x:v>
      </x:c>
      <x:c r="I5363" s="87"/>
      <x:c r="J5363" s="87" t="str">
        <x:v>951</x:v>
      </x:c>
      <x:c r="K5363" s="87" t="n">
        <x:v>8</x:v>
      </x:c>
      <x:c r="L5363" s="87" t="str">
        <x:v>Логические утверждения</x:v>
      </x:c>
      <x:c r="M5363" s="30" t="str">
        <x:v>Перед футбольным турниром измерили рост игроков футбольной команды города N. Оказалось, что рост каждого из футболистов этой команды больше 170 см и меньше 190 см. Выберите утверждения, которые верны при указанных условиях. 1) В футбольной команде города N обязательно есть игрок, рост которого равен 160 см. 2) В футбольной команде города N нет игроков с ростом 169 см. 3) Рост любого футболиста этой команды меньше 191 см. 4) Разница в росте любых двух игроков футбольной команды города N составляет более 20 см. В ответе запишите номера выбранных утверждений без пробелов, запятых и других дополнительных символов.</x:v>
      </x:c>
      <x:c r="N5363" s="30" t="str">
        <x:v>23</x:v>
      </x:c>
      <x:c r="O5363" s="30" t="str">
        <x:v>Проверены логические следствия из заданного интервала роста.</x:v>
      </x:c>
      <x:c r="P5363" s="30" t="str">
        <x:v>Условие, вычисление и визуальная страница проверены независимо.</x:v>
      </x:c>
      <x:c r="Q5363" s="30"/>
      <x:c r="R5363" s="30" t="str">
        <x:v>23</x:v>
      </x:c>
      <x:c r="S5363" s="30"/>
      <x:c r="T5363" s="30"/>
      <x:c r="U5363" s="30" t="str">
        <x:v>Расхождений нет.</x:v>
      </x:c>
      <x:c r="V5363" s="87" t="str">
        <x:v>VERIFIED</x:v>
      </x:c>
      <x:c r="W5363" s="87"/>
      <x:c r="X5363" s="87" t="n">
        <x:v>6</x:v>
      </x:c>
      <x:c r="Y5363" s="87"/>
      <x:c r="Z5363" s="87"/>
      <x:c r="AA5363" s="87"/>
      <x:c r="AB5363" s="87"/>
      <x:c r="AC5363" s="87" t="str">
        <x:v>VIS-EGKR-MATHB-W25-TASK-951-P006</x:v>
      </x:c>
      <x:c r="AD5363" s="87"/>
      <x:c r="AE5363" s="87" t="str">
        <x:v>TASK</x:v>
      </x:c>
      <x:c r="AF5363" s="87" t="str">
        <x:v>VIS-EGKR-MATHB-W25-TASK-951-P006: 6</x:v>
      </x:c>
      <x:c r="AG5363" s="87" t="str">
        <x:v>RESOLVED</x:v>
      </x:c>
      <x:c r="AH5363" s="87" t="str">
        <x:v>CROP_VERIFIED</x:v>
      </x:c>
      <x:c r="AI5363" s="30"/>
      <x:c r="AJ5363" s="87" t="str">
        <x:v>clean</x:v>
      </x:c>
      <x:c r="AK5363" s="87" t="str">
        <x:v>clean-v0.14</x:v>
      </x:c>
      <x:c r="AL5363" s="87" t="str">
        <x:v>statgrad_clean_continuation_v0_14(1).xlsx</x:v>
      </x:c>
      <x:c r="AM5363" s="87" t="str">
        <x:v>MATHB_EGKR_951</x:v>
      </x:c>
      <x:c r="AN5363" s="87" t="n">
        <x:v>9</x:v>
      </x:c>
    </x:row>
    <x:row r="5364">
      <x:c r="A5364" s="87" t="n">
        <x:v>5363</x:v>
      </x:c>
      <x:c r="B5364" s="87" t="str">
        <x:v>EGKR-W25-MATHB-951-09</x:v>
      </x:c>
      <x:c r="C5364" s="87" t="str">
        <x:v>ЕГКР</x:v>
      </x:c>
      <x:c r="D5364" s="87"/>
      <x:c r="E5364" s="87" t="str">
        <x:v>Зима 2025</x:v>
      </x:c>
      <x:c r="F5364" s="87" t="str">
        <x:v>16.12.2025</x:v>
      </x:c>
      <x:c r="G5364" s="87" t="str">
        <x:v>Математика (база)</x:v>
      </x:c>
      <x:c r="H5364" s="87" t="n">
        <x:v>11</x:v>
      </x:c>
      <x:c r="I5364" s="87"/>
      <x:c r="J5364" s="87" t="str">
        <x:v>951</x:v>
      </x:c>
      <x:c r="K5364" s="87" t="n">
        <x:v>9</x:v>
      </x:c>
      <x:c r="L5364" s="87" t="str">
        <x:v>Площадь по клеткам</x:v>
      </x:c>
      <x:c r="M5364" s="30" t="str">
        <x:v>План местности разбит на клетки. Каждая клетка обозначает квадрат 1 м × 1 м. Найдите площадь участка, выделенного на плане. Ответ дайте в квадратных метрах.</x:v>
      </x:c>
      <x:c r="N5364" s="30" t="str">
        <x:v>40</x:v>
      </x:c>
      <x:c r="O5364" s="30" t="str">
        <x:v>Площадь пересчитана по клеткам и геометрическому разбиению.</x:v>
      </x:c>
      <x:c r="P5364" s="30" t="str">
        <x:v>Условие, вычисление и визуальная страница проверены независимо.</x:v>
      </x:c>
      <x:c r="Q5364" s="30"/>
      <x:c r="R5364" s="30" t="str">
        <x:v>40</x:v>
      </x:c>
      <x:c r="S5364" s="30"/>
      <x:c r="T5364" s="30"/>
      <x:c r="U5364" s="30" t="str">
        <x:v>Расхождений нет.</x:v>
      </x:c>
      <x:c r="V5364" s="87" t="str">
        <x:v>VERIFIED</x:v>
      </x:c>
      <x:c r="W5364" s="87"/>
      <x:c r="X5364" s="87" t="n">
        <x:v>6</x:v>
      </x:c>
      <x:c r="Y5364" s="87"/>
      <x:c r="Z5364" s="87"/>
      <x:c r="AA5364" s="87"/>
      <x:c r="AB5364" s="87"/>
      <x:c r="AC5364" s="87" t="str">
        <x:v>VIS-EGKR-MATHB-W25-TASK-951-P006</x:v>
      </x:c>
      <x:c r="AD5364" s="87"/>
      <x:c r="AE5364" s="87" t="str">
        <x:v>TASK</x:v>
      </x:c>
      <x:c r="AF5364" s="87" t="str">
        <x:v>VIS-EGKR-MATHB-W25-TASK-951-P006: 6</x:v>
      </x:c>
      <x:c r="AG5364" s="87" t="str">
        <x:v>RESOLVED</x:v>
      </x:c>
      <x:c r="AH5364" s="87" t="str">
        <x:v>CROP_VERIFIED; TASK_CROP_QA_APPROVED:USE_TIGHT</x:v>
      </x:c>
      <x:c r="AI5364" s="30"/>
      <x:c r="AJ5364" s="87" t="str">
        <x:v>clean</x:v>
      </x:c>
      <x:c r="AK5364" s="87" t="str">
        <x:v>clean-v0.14</x:v>
      </x:c>
      <x:c r="AL5364" s="87" t="str">
        <x:v>statgrad_clean_continuation_v0_14(1).xlsx</x:v>
      </x:c>
      <x:c r="AM5364" s="87" t="str">
        <x:v>MATHB_EGKR_951</x:v>
      </x:c>
      <x:c r="AN5364" s="87" t="n">
        <x:v>10</x:v>
      </x:c>
    </x:row>
    <x:row r="5365">
      <x:c r="A5365" s="87" t="n">
        <x:v>5364</x:v>
      </x:c>
      <x:c r="B5365" s="87" t="str">
        <x:v>EGKR-W25-MATHB-951-10</x:v>
      </x:c>
      <x:c r="C5365" s="87" t="str">
        <x:v>ЕГКР</x:v>
      </x:c>
      <x:c r="D5365" s="87"/>
      <x:c r="E5365" s="87" t="str">
        <x:v>Зима 2025</x:v>
      </x:c>
      <x:c r="F5365" s="87" t="str">
        <x:v>16.12.2025</x:v>
      </x:c>
      <x:c r="G5365" s="87" t="str">
        <x:v>Математика (база)</x:v>
      </x:c>
      <x:c r="H5365" s="87" t="n">
        <x:v>11</x:v>
      </x:c>
      <x:c r="I5365" s="87"/>
      <x:c r="J5365" s="87" t="str">
        <x:v>951</x:v>
      </x:c>
      <x:c r="K5365" s="87" t="n">
        <x:v>10</x:v>
      </x:c>
      <x:c r="L5365" s="87" t="str">
        <x:v>Практическая геометрия</x:v>
      </x:c>
      <x:c r="M5365" s="30" t="str">
        <x:v>На плане указано, что прямоугольная комната имеет площадь 16,3 кв. м. Точные измерения показали, что ширина комнаты равна 3,2 м, а длина 5 м. На сколько квадратных метров площадь комнаты отличается от площади, указанной на плане?</x:v>
      </x:c>
      <x:c r="N5365" s="30" t="str">
        <x:v>0,3</x:v>
      </x:c>
      <x:c r="O5365" s="30" t="str">
        <x:v>Фактическая площадь вычислена как произведение сторон; найдена абсолютная разность.</x:v>
      </x:c>
      <x:c r="P5365" s="30" t="str">
        <x:v>Условие, вычисление и визуальная страница проверены независимо.</x:v>
      </x:c>
      <x:c r="Q5365" s="30"/>
      <x:c r="R5365" s="30" t="str">
        <x:v>0,3</x:v>
      </x:c>
      <x:c r="S5365" s="30"/>
      <x:c r="T5365" s="30"/>
      <x:c r="U5365" s="30" t="str">
        <x:v>Расхождений нет.</x:v>
      </x:c>
      <x:c r="V5365" s="87" t="str">
        <x:v>VERIFIED</x:v>
      </x:c>
      <x:c r="W5365" s="87"/>
      <x:c r="X5365" s="87" t="n">
        <x:v>6</x:v>
      </x:c>
      <x:c r="Y5365" s="87"/>
      <x:c r="Z5365" s="87"/>
      <x:c r="AA5365" s="87"/>
      <x:c r="AB5365" s="87"/>
      <x:c r="AC5365" s="87" t="str">
        <x:v>VIS-EGKR-MATHB-W25-TASK-951-P006</x:v>
      </x:c>
      <x:c r="AD5365" s="87"/>
      <x:c r="AE5365" s="87" t="str">
        <x:v>TASK</x:v>
      </x:c>
      <x:c r="AF5365" s="87" t="str">
        <x:v>VIS-EGKR-MATHB-W25-TASK-951-P006: 6</x:v>
      </x:c>
      <x:c r="AG5365" s="87" t="str">
        <x:v>RESOLVED</x:v>
      </x:c>
      <x:c r="AH5365" s="87" t="str">
        <x:v>CROP_VERIFIED; TASK_CROP_QA_APPROVED:USE_CONTEXT</x:v>
      </x:c>
      <x:c r="AI5365" s="30"/>
      <x:c r="AJ5365" s="87" t="str">
        <x:v>clean</x:v>
      </x:c>
      <x:c r="AK5365" s="87" t="str">
        <x:v>clean-v0.14</x:v>
      </x:c>
      <x:c r="AL5365" s="87" t="str">
        <x:v>statgrad_clean_continuation_v0_14(1).xlsx</x:v>
      </x:c>
      <x:c r="AM5365" s="87" t="str">
        <x:v>MATHB_EGKR_951</x:v>
      </x:c>
      <x:c r="AN5365" s="87" t="n">
        <x:v>11</x:v>
      </x:c>
    </x:row>
    <x:row r="5366">
      <x:c r="A5366" s="87" t="n">
        <x:v>5365</x:v>
      </x:c>
      <x:c r="B5366" s="87" t="str">
        <x:v>EGKR-W25-MATHB-951-11</x:v>
      </x:c>
      <x:c r="C5366" s="87" t="str">
        <x:v>ЕГКР</x:v>
      </x:c>
      <x:c r="D5366" s="87"/>
      <x:c r="E5366" s="87" t="str">
        <x:v>Зима 2025</x:v>
      </x:c>
      <x:c r="F5366" s="87" t="str">
        <x:v>16.12.2025</x:v>
      </x:c>
      <x:c r="G5366" s="87" t="str">
        <x:v>Математика (база)</x:v>
      </x:c>
      <x:c r="H5366" s="87" t="n">
        <x:v>11</x:v>
      </x:c>
      <x:c r="I5366" s="87"/>
      <x:c r="J5366" s="87" t="str">
        <x:v>951</x:v>
      </x:c>
      <x:c r="K5366" s="87" t="n">
        <x:v>11</x:v>
      </x:c>
      <x:c r="L5366" s="87" t="str">
        <x:v>Площадь поверхности</x:v>
      </x:c>
      <x:c r="M5366" s="30" t="str">
        <x:v>Прямолинейный участок трубы длиной 3 м имеющей в сечении окружность необходимо покрасить снаружи (торцы трубы открыты их красить не нужно). Найдите площадь поверхности, которую необходимо покрасить если внешний обхват трубы равен 32 см. Ответ дайте в квадратных сантиметрах:</x:v>
      </x:c>
      <x:c r="N5366" s="30" t="str">
        <x:v>9600</x:v>
      </x:c>
      <x:c r="O5366" s="30" t="str">
        <x:v>Боковая поверхность трубы равна длине трубы, умноженной на длину окружности.</x:v>
      </x:c>
      <x:c r="P5366" s="30" t="str">
        <x:v>Условие, вычисление и визуальная страница проверены независимо.</x:v>
      </x:c>
      <x:c r="Q5366" s="30"/>
      <x:c r="R5366" s="30" t="str">
        <x:v>9600</x:v>
      </x:c>
      <x:c r="S5366" s="30"/>
      <x:c r="T5366" s="30"/>
      <x:c r="U5366" s="30" t="str">
        <x:v>Расхождений нет.</x:v>
      </x:c>
      <x:c r="V5366" s="87" t="str">
        <x:v>VERIFIED</x:v>
      </x:c>
      <x:c r="W5366" s="87"/>
      <x:c r="X5366" s="87" t="n">
        <x:v>7</x:v>
      </x:c>
      <x:c r="Y5366" s="87"/>
      <x:c r="Z5366" s="87"/>
      <x:c r="AA5366" s="87"/>
      <x:c r="AB5366" s="87"/>
      <x:c r="AC5366" s="87" t="str">
        <x:v>VIS-EGKR-MATHB-W25-TASK-951-P007</x:v>
      </x:c>
      <x:c r="AD5366" s="87"/>
      <x:c r="AE5366" s="87" t="str">
        <x:v>TASK</x:v>
      </x:c>
      <x:c r="AF5366" s="87" t="str">
        <x:v>VIS-EGKR-MATHB-W25-TASK-951-P007: 7</x:v>
      </x:c>
      <x:c r="AG5366" s="87" t="str">
        <x:v>RESOLVED</x:v>
      </x:c>
      <x:c r="AH5366" s="87" t="str">
        <x:v>CROP_VERIFIED</x:v>
      </x:c>
      <x:c r="AI5366" s="30"/>
      <x:c r="AJ5366" s="87" t="str">
        <x:v>clean</x:v>
      </x:c>
      <x:c r="AK5366" s="87" t="str">
        <x:v>clean-v0.14</x:v>
      </x:c>
      <x:c r="AL5366" s="87" t="str">
        <x:v>statgrad_clean_continuation_v0_14(1).xlsx</x:v>
      </x:c>
      <x:c r="AM5366" s="87" t="str">
        <x:v>MATHB_EGKR_951</x:v>
      </x:c>
      <x:c r="AN5366" s="87" t="n">
        <x:v>12</x:v>
      </x:c>
    </x:row>
    <x:row r="5367">
      <x:c r="A5367" s="87" t="n">
        <x:v>5366</x:v>
      </x:c>
      <x:c r="B5367" s="87" t="str">
        <x:v>EGKR-W25-MATHB-951-12</x:v>
      </x:c>
      <x:c r="C5367" s="87" t="str">
        <x:v>ЕГКР</x:v>
      </x:c>
      <x:c r="D5367" s="87"/>
      <x:c r="E5367" s="87" t="str">
        <x:v>Зима 2025</x:v>
      </x:c>
      <x:c r="F5367" s="87" t="str">
        <x:v>16.12.2025</x:v>
      </x:c>
      <x:c r="G5367" s="87" t="str">
        <x:v>Математика (база)</x:v>
      </x:c>
      <x:c r="H5367" s="87" t="n">
        <x:v>11</x:v>
      </x:c>
      <x:c r="I5367" s="87"/>
      <x:c r="J5367" s="87" t="str">
        <x:v>951</x:v>
      </x:c>
      <x:c r="K5367" s="87" t="n">
        <x:v>12</x:v>
      </x:c>
      <x:c r="L5367" s="87" t="str">
        <x:v>Планиметрия</x:v>
      </x:c>
      <x:c r="M5367" s="30" t="str">
        <x:v>Прямоугольник ABCD, где: AB = 72. AD = 93. Точка E на стороне BC, такая что угол EAB = 45°. Найдите длину отрезка ED.</x:v>
      </x:c>
      <x:c r="N5367" s="30" t="str">
        <x:v>75</x:v>
      </x:c>
      <x:c r="O5367" s="30" t="str">
        <x:v>Координаты точки E следуют из угла 45°; ED найден по теореме Пифагора.</x:v>
      </x:c>
      <x:c r="P5367" s="30" t="str">
        <x:v>Условие, вычисление и визуальная страница проверены независимо.</x:v>
      </x:c>
      <x:c r="Q5367" s="30"/>
      <x:c r="R5367" s="30" t="str">
        <x:v>75</x:v>
      </x:c>
      <x:c r="S5367" s="30"/>
      <x:c r="T5367" s="30"/>
      <x:c r="U5367" s="30" t="str">
        <x:v>Расхождений нет.</x:v>
      </x:c>
      <x:c r="V5367" s="87" t="str">
        <x:v>VERIFIED</x:v>
      </x:c>
      <x:c r="W5367" s="87"/>
      <x:c r="X5367" s="87" t="n">
        <x:v>7</x:v>
      </x:c>
      <x:c r="Y5367" s="87"/>
      <x:c r="Z5367" s="87"/>
      <x:c r="AA5367" s="87"/>
      <x:c r="AB5367" s="87"/>
      <x:c r="AC5367" s="87" t="str">
        <x:v>VIS-EGKR-MATHB-W25-TASK-951-P007</x:v>
      </x:c>
      <x:c r="AD5367" s="87"/>
      <x:c r="AE5367" s="87" t="str">
        <x:v>TASK</x:v>
      </x:c>
      <x:c r="AF5367" s="87" t="str">
        <x:v>VIS-EGKR-MATHB-W25-TASK-951-P007: 7</x:v>
      </x:c>
      <x:c r="AG5367" s="87" t="str">
        <x:v>RESOLVED</x:v>
      </x:c>
      <x:c r="AH5367" s="87" t="str">
        <x:v>CROP_VERIFIED</x:v>
      </x:c>
      <x:c r="AI5367" s="30"/>
      <x:c r="AJ5367" s="87" t="str">
        <x:v>clean</x:v>
      </x:c>
      <x:c r="AK5367" s="87" t="str">
        <x:v>clean-v0.14</x:v>
      </x:c>
      <x:c r="AL5367" s="87" t="str">
        <x:v>statgrad_clean_continuation_v0_14(1).xlsx</x:v>
      </x:c>
      <x:c r="AM5367" s="87" t="str">
        <x:v>MATHB_EGKR_951</x:v>
      </x:c>
      <x:c r="AN5367" s="87" t="n">
        <x:v>13</x:v>
      </x:c>
    </x:row>
    <x:row r="5368">
      <x:c r="A5368" s="87" t="n">
        <x:v>5367</x:v>
      </x:c>
      <x:c r="B5368" s="87" t="str">
        <x:v>EGKR-W25-MATHB-951-13</x:v>
      </x:c>
      <x:c r="C5368" s="87" t="str">
        <x:v>ЕГКР</x:v>
      </x:c>
      <x:c r="D5368" s="87"/>
      <x:c r="E5368" s="87" t="str">
        <x:v>Зима 2025</x:v>
      </x:c>
      <x:c r="F5368" s="87" t="str">
        <x:v>16.12.2025</x:v>
      </x:c>
      <x:c r="G5368" s="87" t="str">
        <x:v>Математика (база)</x:v>
      </x:c>
      <x:c r="H5368" s="87" t="n">
        <x:v>11</x:v>
      </x:c>
      <x:c r="I5368" s="87"/>
      <x:c r="J5368" s="87" t="str">
        <x:v>951</x:v>
      </x:c>
      <x:c r="K5368" s="87" t="n">
        <x:v>13</x:v>
      </x:c>
      <x:c r="L5368" s="87" t="str">
        <x:v>Стереометрия</x:v>
      </x:c>
      <x:c r="M5368" s="30" t="str">
        <x:v>В треугольной пирамиде ABCD рёбра AB, AC и AD взаимно перпендикулярны. Найдите объём этой пирамиды, если AB=8, AC=12 и AD=10.</x:v>
      </x:c>
      <x:c r="N5368" s="30" t="str">
        <x:v>160</x:v>
      </x:c>
      <x:c r="O5368" s="30" t="str">
        <x:v>Объём прямоугольного тетраэдра равен произведению трёх взаимно перпендикулярных рёбер, делённому на 6.</x:v>
      </x:c>
      <x:c r="P5368" s="30" t="str">
        <x:v>Условие, вычисление и визуальная страница проверены независимо.</x:v>
      </x:c>
      <x:c r="Q5368" s="30"/>
      <x:c r="R5368" s="30" t="str">
        <x:v>160</x:v>
      </x:c>
      <x:c r="S5368" s="30"/>
      <x:c r="T5368" s="30"/>
      <x:c r="U5368" s="30" t="str">
        <x:v>Расхождений нет.</x:v>
      </x:c>
      <x:c r="V5368" s="87" t="str">
        <x:v>VERIFIED</x:v>
      </x:c>
      <x:c r="W5368" s="87"/>
      <x:c r="X5368" s="87" t="n">
        <x:v>7</x:v>
      </x:c>
      <x:c r="Y5368" s="87"/>
      <x:c r="Z5368" s="87"/>
      <x:c r="AA5368" s="87"/>
      <x:c r="AB5368" s="87"/>
      <x:c r="AC5368" s="87" t="str">
        <x:v>VIS-EGKR-MATHB-W25-TASK-951-P007</x:v>
      </x:c>
      <x:c r="AD5368" s="87"/>
      <x:c r="AE5368" s="87" t="str">
        <x:v>TASK</x:v>
      </x:c>
      <x:c r="AF5368" s="87" t="str">
        <x:v>VIS-EGKR-MATHB-W25-TASK-951-P007: 7</x:v>
      </x:c>
      <x:c r="AG5368" s="87" t="str">
        <x:v>RESOLVED</x:v>
      </x:c>
      <x:c r="AH5368" s="87" t="str">
        <x:v>CROP_VERIFIED</x:v>
      </x:c>
      <x:c r="AI5368" s="30"/>
      <x:c r="AJ5368" s="87" t="str">
        <x:v>clean</x:v>
      </x:c>
      <x:c r="AK5368" s="87" t="str">
        <x:v>clean-v0.14</x:v>
      </x:c>
      <x:c r="AL5368" s="87" t="str">
        <x:v>statgrad_clean_continuation_v0_14(1).xlsx</x:v>
      </x:c>
      <x:c r="AM5368" s="87" t="str">
        <x:v>MATHB_EGKR_951</x:v>
      </x:c>
      <x:c r="AN5368" s="87" t="n">
        <x:v>14</x:v>
      </x:c>
    </x:row>
    <x:row r="5369">
      <x:c r="A5369" s="87" t="n">
        <x:v>5368</x:v>
      </x:c>
      <x:c r="B5369" s="87" t="str">
        <x:v>EGKR-W25-MATHB-951-14</x:v>
      </x:c>
      <x:c r="C5369" s="87" t="str">
        <x:v>ЕГКР</x:v>
      </x:c>
      <x:c r="D5369" s="87"/>
      <x:c r="E5369" s="87" t="str">
        <x:v>Зима 2025</x:v>
      </x:c>
      <x:c r="F5369" s="87" t="str">
        <x:v>16.12.2025</x:v>
      </x:c>
      <x:c r="G5369" s="87" t="str">
        <x:v>Математика (база)</x:v>
      </x:c>
      <x:c r="H5369" s="87" t="n">
        <x:v>11</x:v>
      </x:c>
      <x:c r="I5369" s="87"/>
      <x:c r="J5369" s="87" t="str">
        <x:v>951</x:v>
      </x:c>
      <x:c r="K5369" s="87" t="n">
        <x:v>14</x:v>
      </x:c>
      <x:c r="L5369" s="87" t="str">
        <x:v>Арифметическое выражение</x:v>
      </x:c>
      <x:c r="M5369" s="30" t="str">
        <x:v>4 Найдите значение выражения (3 5 − 2,8) ⋅ 6 2. 1</x:v>
      </x:c>
      <x:c r="N5369" s="30" t="str">
        <x:v>6,5</x:v>
      </x:c>
      <x:c r="O5369" s="30" t="str">
        <x:v>Смешанные числа переведены в дроби и вычислены.</x:v>
      </x:c>
      <x:c r="P5369" s="30" t="str">
        <x:v>Условие, вычисление и визуальная страница проверены независимо.</x:v>
      </x:c>
      <x:c r="Q5369" s="30"/>
      <x:c r="R5369" s="30" t="str">
        <x:v>6,5</x:v>
      </x:c>
      <x:c r="S5369" s="30"/>
      <x:c r="T5369" s="30"/>
      <x:c r="U5369" s="30" t="str">
        <x:v>Расхождений нет.</x:v>
      </x:c>
      <x:c r="V5369" s="87" t="str">
        <x:v>VERIFIED</x:v>
      </x:c>
      <x:c r="W5369" s="87"/>
      <x:c r="X5369" s="87" t="n">
        <x:v>7</x:v>
      </x:c>
      <x:c r="Y5369" s="87"/>
      <x:c r="Z5369" s="87"/>
      <x:c r="AA5369" s="87"/>
      <x:c r="AB5369" s="87"/>
      <x:c r="AC5369" s="87" t="str">
        <x:v>VIS-EGKR-MATHB-W25-TASK-951-P007</x:v>
      </x:c>
      <x:c r="AD5369" s="87"/>
      <x:c r="AE5369" s="87" t="str">
        <x:v>TASK</x:v>
      </x:c>
      <x:c r="AF5369" s="87" t="str">
        <x:v>VIS-EGKR-MATHB-W25-TASK-951-P007: 7</x:v>
      </x:c>
      <x:c r="AG5369" s="87" t="str">
        <x:v>RESOLVED</x:v>
      </x:c>
      <x:c r="AH5369" s="87" t="str">
        <x:v>CROP_VERIFIED</x:v>
      </x:c>
      <x:c r="AI5369" s="30"/>
      <x:c r="AJ5369" s="87" t="str">
        <x:v>clean</x:v>
      </x:c>
      <x:c r="AK5369" s="87" t="str">
        <x:v>clean-v0.14</x:v>
      </x:c>
      <x:c r="AL5369" s="87" t="str">
        <x:v>statgrad_clean_continuation_v0_14(1).xlsx</x:v>
      </x:c>
      <x:c r="AM5369" s="87" t="str">
        <x:v>MATHB_EGKR_951</x:v>
      </x:c>
      <x:c r="AN5369" s="87" t="n">
        <x:v>15</x:v>
      </x:c>
    </x:row>
    <x:row r="5370">
      <x:c r="A5370" s="87" t="n">
        <x:v>5369</x:v>
      </x:c>
      <x:c r="B5370" s="87" t="str">
        <x:v>EGKR-W25-MATHB-951-15</x:v>
      </x:c>
      <x:c r="C5370" s="87" t="str">
        <x:v>ЕГКР</x:v>
      </x:c>
      <x:c r="D5370" s="87"/>
      <x:c r="E5370" s="87" t="str">
        <x:v>Зима 2025</x:v>
      </x:c>
      <x:c r="F5370" s="87" t="str">
        <x:v>16.12.2025</x:v>
      </x:c>
      <x:c r="G5370" s="87" t="str">
        <x:v>Математика (база)</x:v>
      </x:c>
      <x:c r="H5370" s="87" t="n">
        <x:v>11</x:v>
      </x:c>
      <x:c r="I5370" s="87"/>
      <x:c r="J5370" s="87" t="str">
        <x:v>951</x:v>
      </x:c>
      <x:c r="K5370" s="87" t="n">
        <x:v>15</x:v>
      </x:c>
      <x:c r="L5370" s="87" t="str">
        <x:v>Проценты</x:v>
      </x:c>
      <x:c r="M5370" s="30" t="str">
        <x:v>Городской бюджет составляет 14 млн рублей, а расходы на одну из его статей составили 45%. Сколько рублей потрачено на эту статью бюджета?</x:v>
      </x:c>
      <x:c r="N5370" s="30" t="str">
        <x:v>6300000</x:v>
      </x:c>
      <x:c r="O5370" s="30" t="str">
        <x:v>Процент умножен на бюджет; единица ответа взята строго из формулировки.</x:v>
      </x:c>
      <x:c r="P5370" s="30" t="str">
        <x:v>Условие, вычисление и визуальная страница проверены независимо.</x:v>
      </x:c>
      <x:c r="Q5370" s="30"/>
      <x:c r="R5370" s="30"/>
      <x:c r="S5370" s="30"/>
      <x:c r="T5370" s="30"/>
      <x:c r="U5370" s="30" t="str">
        <x:v>Ответ отсутствует в приложенном ответнике; восстановлен независимо.</x:v>
      </x:c>
      <x:c r="V5370" s="87" t="str">
        <x:v>SOURCE_GAP_RECOVERED</x:v>
      </x:c>
      <x:c r="W5370" s="87"/>
      <x:c r="X5370" s="87" t="n">
        <x:v>7</x:v>
      </x:c>
      <x:c r="Y5370" s="87"/>
      <x:c r="Z5370" s="87"/>
      <x:c r="AA5370" s="87"/>
      <x:c r="AB5370" s="87"/>
      <x:c r="AC5370" s="87" t="str">
        <x:v>VIS-EGKR-MATHB-W25-TASK-951-P007</x:v>
      </x:c>
      <x:c r="AD5370" s="87"/>
      <x:c r="AE5370" s="87" t="str">
        <x:v>TASK</x:v>
      </x:c>
      <x:c r="AF5370" s="87" t="str">
        <x:v>VIS-EGKR-MATHB-W25-TASK-951-P007: 7</x:v>
      </x:c>
      <x:c r="AG5370" s="87" t="str">
        <x:v>RESOLVED</x:v>
      </x:c>
      <x:c r="AH5370" s="87" t="str">
        <x:v>CROP_VERIFIED</x:v>
      </x:c>
      <x:c r="AI5370" s="30"/>
      <x:c r="AJ5370" s="87" t="str">
        <x:v>clean</x:v>
      </x:c>
      <x:c r="AK5370" s="87" t="str">
        <x:v>clean-v0.14</x:v>
      </x:c>
      <x:c r="AL5370" s="87" t="str">
        <x:v>statgrad_clean_continuation_v0_14(1).xlsx</x:v>
      </x:c>
      <x:c r="AM5370" s="87" t="str">
        <x:v>MATHB_EGKR_951</x:v>
      </x:c>
      <x:c r="AN5370" s="87" t="n">
        <x:v>16</x:v>
      </x:c>
    </x:row>
    <x:row r="5371">
      <x:c r="A5371" s="87" t="n">
        <x:v>5370</x:v>
      </x:c>
      <x:c r="B5371" s="87" t="str">
        <x:v>EGKR-W25-MATHB-951-16</x:v>
      </x:c>
      <x:c r="C5371" s="87" t="str">
        <x:v>ЕГКР</x:v>
      </x:c>
      <x:c r="D5371" s="87"/>
      <x:c r="E5371" s="87" t="str">
        <x:v>Зима 2025</x:v>
      </x:c>
      <x:c r="F5371" s="87" t="str">
        <x:v>16.12.2025</x:v>
      </x:c>
      <x:c r="G5371" s="87" t="str">
        <x:v>Математика (база)</x:v>
      </x:c>
      <x:c r="H5371" s="87" t="n">
        <x:v>11</x:v>
      </x:c>
      <x:c r="I5371" s="87"/>
      <x:c r="J5371" s="87" t="str">
        <x:v>951</x:v>
      </x:c>
      <x:c r="K5371" s="87" t="n">
        <x:v>16</x:v>
      </x:c>
      <x:c r="L5371" s="87" t="str">
        <x:v>Степени/корни</x:v>
      </x:c>
      <x:c r="M5371" s="30" t="str">
        <x:v>Найдите значение выражения 3−10 ∗34 . 3−7</x:v>
      </x:c>
      <x:c r="N5371" s="30" t="str">
        <x:v>3</x:v>
      </x:c>
      <x:c r="O5371" s="30" t="str">
        <x:v>Использованы свойства степеней либо преобразование радикалов.</x:v>
      </x:c>
      <x:c r="P5371" s="30" t="str">
        <x:v>Условие, вычисление и визуальная страница проверены независимо.</x:v>
      </x:c>
      <x:c r="Q5371" s="30"/>
      <x:c r="R5371" s="30" t="str">
        <x:v>3</x:v>
      </x:c>
      <x:c r="S5371" s="30"/>
      <x:c r="T5371" s="30"/>
      <x:c r="U5371" s="30" t="str">
        <x:v>Расхождений нет.</x:v>
      </x:c>
      <x:c r="V5371" s="87" t="str">
        <x:v>VERIFIED</x:v>
      </x:c>
      <x:c r="W5371" s="87"/>
      <x:c r="X5371" s="87" t="n">
        <x:v>7</x:v>
      </x:c>
      <x:c r="Y5371" s="87"/>
      <x:c r="Z5371" s="87"/>
      <x:c r="AA5371" s="87"/>
      <x:c r="AB5371" s="87"/>
      <x:c r="AC5371" s="87" t="str">
        <x:v>VIS-EGKR-MATHB-W25-TASK-951-P007</x:v>
      </x:c>
      <x:c r="AD5371" s="87"/>
      <x:c r="AE5371" s="87" t="str">
        <x:v>TASK</x:v>
      </x:c>
      <x:c r="AF5371" s="87" t="str">
        <x:v>VIS-EGKR-MATHB-W25-TASK-951-P007: 7</x:v>
      </x:c>
      <x:c r="AG5371" s="87" t="str">
        <x:v>RESOLVED</x:v>
      </x:c>
      <x:c r="AH5371" s="87" t="str">
        <x:v>CROP_VERIFIED</x:v>
      </x:c>
      <x:c r="AI5371" s="30"/>
      <x:c r="AJ5371" s="87" t="str">
        <x:v>clean</x:v>
      </x:c>
      <x:c r="AK5371" s="87" t="str">
        <x:v>clean-v0.14</x:v>
      </x:c>
      <x:c r="AL5371" s="87" t="str">
        <x:v>statgrad_clean_continuation_v0_14(1).xlsx</x:v>
      </x:c>
      <x:c r="AM5371" s="87" t="str">
        <x:v>MATHB_EGKR_951</x:v>
      </x:c>
      <x:c r="AN5371" s="87" t="n">
        <x:v>17</x:v>
      </x:c>
    </x:row>
    <x:row r="5372">
      <x:c r="A5372" s="87" t="n">
        <x:v>5371</x:v>
      </x:c>
      <x:c r="B5372" s="87" t="str">
        <x:v>EGKR-W25-MATHB-951-17</x:v>
      </x:c>
      <x:c r="C5372" s="87" t="str">
        <x:v>ЕГКР</x:v>
      </x:c>
      <x:c r="D5372" s="87"/>
      <x:c r="E5372" s="87" t="str">
        <x:v>Зима 2025</x:v>
      </x:c>
      <x:c r="F5372" s="87" t="str">
        <x:v>16.12.2025</x:v>
      </x:c>
      <x:c r="G5372" s="87" t="str">
        <x:v>Математика (база)</x:v>
      </x:c>
      <x:c r="H5372" s="87" t="n">
        <x:v>11</x:v>
      </x:c>
      <x:c r="I5372" s="87"/>
      <x:c r="J5372" s="87" t="str">
        <x:v>951</x:v>
      </x:c>
      <x:c r="K5372" s="87" t="n">
        <x:v>17</x:v>
      </x:c>
      <x:c r="L5372" s="87" t="str">
        <x:v>Уравнение</x:v>
      </x:c>
      <x:c r="M5372" s="30" t="str">
        <x:v>Решите уравнение х2 − 7х = 0 Если уравнение имеет больше одного корня, в ответе запишите больший из них.</x:v>
      </x:c>
      <x:c r="N5372" s="30" t="str">
        <x:v>7</x:v>
      </x:c>
      <x:c r="O5372" s="30" t="str">
        <x:v>Уравнение решено алгебраически с выбором требуемого корня.</x:v>
      </x:c>
      <x:c r="P5372" s="30" t="str">
        <x:v>Условие, вычисление и визуальная страница проверены независимо.</x:v>
      </x:c>
      <x:c r="Q5372" s="30"/>
      <x:c r="R5372" s="30" t="str">
        <x:v>7</x:v>
      </x:c>
      <x:c r="S5372" s="30"/>
      <x:c r="T5372" s="30"/>
      <x:c r="U5372" s="30" t="str">
        <x:v>Расхождений нет.</x:v>
      </x:c>
      <x:c r="V5372" s="87" t="str">
        <x:v>VERIFIED</x:v>
      </x:c>
      <x:c r="W5372" s="87"/>
      <x:c r="X5372" s="87" t="n">
        <x:v>8</x:v>
      </x:c>
      <x:c r="Y5372" s="87"/>
      <x:c r="Z5372" s="87"/>
      <x:c r="AA5372" s="87"/>
      <x:c r="AB5372" s="87"/>
      <x:c r="AC5372" s="87" t="str">
        <x:v>VIS-EGKR-MATHB-W25-TASK-951-P008</x:v>
      </x:c>
      <x:c r="AD5372" s="87"/>
      <x:c r="AE5372" s="87" t="str">
        <x:v>TASK</x:v>
      </x:c>
      <x:c r="AF5372" s="87" t="str">
        <x:v>VIS-EGKR-MATHB-W25-TASK-951-P008: 8</x:v>
      </x:c>
      <x:c r="AG5372" s="87" t="str">
        <x:v>RESOLVED</x:v>
      </x:c>
      <x:c r="AH5372" s="87" t="str">
        <x:v>CROP_VERIFIED</x:v>
      </x:c>
      <x:c r="AI5372" s="30"/>
      <x:c r="AJ5372" s="87" t="str">
        <x:v>clean</x:v>
      </x:c>
      <x:c r="AK5372" s="87" t="str">
        <x:v>clean-v0.14</x:v>
      </x:c>
      <x:c r="AL5372" s="87" t="str">
        <x:v>statgrad_clean_continuation_v0_14(1).xlsx</x:v>
      </x:c>
      <x:c r="AM5372" s="87" t="str">
        <x:v>MATHB_EGKR_951</x:v>
      </x:c>
      <x:c r="AN5372" s="87" t="n">
        <x:v>18</x:v>
      </x:c>
    </x:row>
    <x:row r="5373">
      <x:c r="A5373" s="87" t="n">
        <x:v>5372</x:v>
      </x:c>
      <x:c r="B5373" s="87" t="str">
        <x:v>EGKR-W25-MATHB-951-18</x:v>
      </x:c>
      <x:c r="C5373" s="87" t="str">
        <x:v>ЕГКР</x:v>
      </x:c>
      <x:c r="D5373" s="87"/>
      <x:c r="E5373" s="87" t="str">
        <x:v>Зима 2025</x:v>
      </x:c>
      <x:c r="F5373" s="87" t="str">
        <x:v>16.12.2025</x:v>
      </x:c>
      <x:c r="G5373" s="87" t="str">
        <x:v>Математика (база)</x:v>
      </x:c>
      <x:c r="H5373" s="87" t="n">
        <x:v>11</x:v>
      </x:c>
      <x:c r="I5373" s="87"/>
      <x:c r="J5373" s="87" t="str">
        <x:v>951</x:v>
      </x:c>
      <x:c r="K5373" s="87" t="n">
        <x:v>18</x:v>
      </x:c>
      <x:c r="L5373" s="87" t="str">
        <x:v>Числа и координатная прямая</x:v>
      </x:c>
      <x:c r="M5373" s="30" t="str">
        <x:v>На координатной прямой отмечено число m и точки A, B , C и D . Каждой точке соответствует одно из чисел в правом столбце. Установите соответствие между указанными точками и числами. ТОЧКИ ЧИСЛА A 1) 6 - m B 2) m2 C 3) 𝑚 − 1 D 4) − 𝑚 2 Впишите в приведённую в ответе таблицу под каждой буквой соответствующий отрезку номер. А Б В Г</x:v>
      </x:c>
      <x:c r="N5373" s="30" t="str">
        <x:v>4321</x:v>
      </x:c>
      <x:c r="O5373" s="30" t="str">
        <x:v>Значения выражений оценены и сопоставлены точкам/интервалам.</x:v>
      </x:c>
      <x:c r="P5373" s="30" t="str">
        <x:v>Условие, вычисление и визуальная страница проверены независимо.</x:v>
      </x:c>
      <x:c r="Q5373" s="30"/>
      <x:c r="R5373" s="30"/>
      <x:c r="S5373" s="30"/>
      <x:c r="T5373" s="30"/>
      <x:c r="U5373" s="30" t="str">
        <x:v>Ответ отсутствует в приложенном ответнике; восстановлен независимо.</x:v>
      </x:c>
      <x:c r="V5373" s="87" t="str">
        <x:v>SOURCE_GAP_RECOVERED</x:v>
      </x:c>
      <x:c r="W5373" s="87"/>
      <x:c r="X5373" s="87" t="n">
        <x:v>8</x:v>
      </x:c>
      <x:c r="Y5373" s="87"/>
      <x:c r="Z5373" s="87"/>
      <x:c r="AA5373" s="87"/>
      <x:c r="AB5373" s="87"/>
      <x:c r="AC5373" s="87" t="str">
        <x:v>VIS-EGKR-MATHB-W25-TASK-951-P008</x:v>
      </x:c>
      <x:c r="AD5373" s="87"/>
      <x:c r="AE5373" s="87" t="str">
        <x:v>TASK</x:v>
      </x:c>
      <x:c r="AF5373" s="87" t="str">
        <x:v>VIS-EGKR-MATHB-W25-TASK-951-P008: 8</x:v>
      </x:c>
      <x:c r="AG5373" s="87" t="str">
        <x:v>RESOLVED</x:v>
      </x:c>
      <x:c r="AH5373" s="87" t="str">
        <x:v>CROP_VERIFIED</x:v>
      </x:c>
      <x:c r="AI5373" s="30"/>
      <x:c r="AJ5373" s="87" t="str">
        <x:v>clean</x:v>
      </x:c>
      <x:c r="AK5373" s="87" t="str">
        <x:v>clean-v0.14</x:v>
      </x:c>
      <x:c r="AL5373" s="87" t="str">
        <x:v>statgrad_clean_continuation_v0_14(1).xlsx</x:v>
      </x:c>
      <x:c r="AM5373" s="87" t="str">
        <x:v>MATHB_EGKR_951</x:v>
      </x:c>
      <x:c r="AN5373" s="87" t="n">
        <x:v>19</x:v>
      </x:c>
    </x:row>
    <x:row r="5374">
      <x:c r="A5374" s="87" t="n">
        <x:v>5373</x:v>
      </x:c>
      <x:c r="B5374" s="87" t="str">
        <x:v>EGKR-W25-MATHB-951-19</x:v>
      </x:c>
      <x:c r="C5374" s="87" t="str">
        <x:v>ЕГКР</x:v>
      </x:c>
      <x:c r="D5374" s="87"/>
      <x:c r="E5374" s="87" t="str">
        <x:v>Зима 2025</x:v>
      </x:c>
      <x:c r="F5374" s="87" t="str">
        <x:v>16.12.2025</x:v>
      </x:c>
      <x:c r="G5374" s="87" t="str">
        <x:v>Математика (база)</x:v>
      </x:c>
      <x:c r="H5374" s="87" t="n">
        <x:v>11</x:v>
      </x:c>
      <x:c r="I5374" s="87"/>
      <x:c r="J5374" s="87" t="str">
        <x:v>951</x:v>
      </x:c>
      <x:c r="K5374" s="87" t="n">
        <x:v>19</x:v>
      </x:c>
      <x:c r="L5374" s="87" t="str">
        <x:v>Числовая задача</x:v>
      </x:c>
      <x:c r="M5374" s="30" t="str">
        <x:v>Цифры четырёхзначного числа, кратного 5, записали в обратном порядке и получили второе четырёхзначное число. Затем из первого числа вычли второе и получили 1458. В ответе запишите какое-нибудь одно такое исходное число.</x:v>
      </x:c>
      <x:c r="N5374" s="30" t="str">
        <x:v>7285</x:v>
      </x:c>
      <x:c r="O5374" s="30" t="str">
        <x:v>Число проверено подстановкой, разворотом цифр или перебором условий.</x:v>
      </x:c>
      <x:c r="P5374" s="30" t="str">
        <x:v>Условие, вычисление и визуальная страница проверены независимо.</x:v>
      </x:c>
      <x:c r="Q5374" s="30"/>
      <x:c r="R5374" s="30" t="str">
        <x:v>7285</x:v>
      </x:c>
      <x:c r="S5374" s="30"/>
      <x:c r="T5374" s="30"/>
      <x:c r="U5374" s="30" t="str">
        <x:v>Расхождений нет.</x:v>
      </x:c>
      <x:c r="V5374" s="87" t="str">
        <x:v>VERIFIED</x:v>
      </x:c>
      <x:c r="W5374" s="87"/>
      <x:c r="X5374" s="87" t="n">
        <x:v>8</x:v>
      </x:c>
      <x:c r="Y5374" s="87"/>
      <x:c r="Z5374" s="87"/>
      <x:c r="AA5374" s="87"/>
      <x:c r="AB5374" s="87"/>
      <x:c r="AC5374" s="87" t="str">
        <x:v>VIS-EGKR-MATHB-W25-TASK-951-P008</x:v>
      </x:c>
      <x:c r="AD5374" s="87"/>
      <x:c r="AE5374" s="87" t="str">
        <x:v>TASK</x:v>
      </x:c>
      <x:c r="AF5374" s="87" t="str">
        <x:v>VIS-EGKR-MATHB-W25-TASK-951-P008: 8</x:v>
      </x:c>
      <x:c r="AG5374" s="87" t="str">
        <x:v>RESOLVED</x:v>
      </x:c>
      <x:c r="AH5374" s="87" t="str">
        <x:v>CROP_VERIFIED</x:v>
      </x:c>
      <x:c r="AI5374" s="30"/>
      <x:c r="AJ5374" s="87" t="str">
        <x:v>clean</x:v>
      </x:c>
      <x:c r="AK5374" s="87" t="str">
        <x:v>clean-v0.14</x:v>
      </x:c>
      <x:c r="AL5374" s="87" t="str">
        <x:v>statgrad_clean_continuation_v0_14(1).xlsx</x:v>
      </x:c>
      <x:c r="AM5374" s="87" t="str">
        <x:v>MATHB_EGKR_951</x:v>
      </x:c>
      <x:c r="AN5374" s="87" t="n">
        <x:v>20</x:v>
      </x:c>
    </x:row>
    <x:row r="5375">
      <x:c r="A5375" s="87" t="n">
        <x:v>5374</x:v>
      </x:c>
      <x:c r="B5375" s="87" t="str">
        <x:v>EGKR-W25-MATHB-951-20</x:v>
      </x:c>
      <x:c r="C5375" s="87" t="str">
        <x:v>ЕГКР</x:v>
      </x:c>
      <x:c r="D5375" s="87"/>
      <x:c r="E5375" s="87" t="str">
        <x:v>Зима 2025</x:v>
      </x:c>
      <x:c r="F5375" s="87" t="str">
        <x:v>16.12.2025</x:v>
      </x:c>
      <x:c r="G5375" s="87" t="str">
        <x:v>Математика (база)</x:v>
      </x:c>
      <x:c r="H5375" s="87" t="n">
        <x:v>11</x:v>
      </x:c>
      <x:c r="I5375" s="87"/>
      <x:c r="J5375" s="87" t="str">
        <x:v>951</x:v>
      </x:c>
      <x:c r="K5375" s="87" t="n">
        <x:v>20</x:v>
      </x:c>
      <x:c r="L5375" s="87" t="str">
        <x:v>Задача на движение</x:v>
      </x:c>
      <x:c r="M5375" s="30" t="str">
        <x:v>Расстояние между городами A и B равно 470 км. Из города A в город B со скоростью 60 км/ч выехал первый автомобиль, а через три часа после этого навстречу ему из города B выехал со скоростью 85 км/ч второй автомобиль. На каком расстоянии от города A автомобили встретятся? Ответ дайте в километрах.</x:v>
      </x:c>
      <x:c r="N5375" s="30" t="str">
        <x:v>300</x:v>
      </x:c>
      <x:c r="O5375" s="30" t="str">
        <x:v>Составлено уравнение движения либо вычислена средняя скорость.</x:v>
      </x:c>
      <x:c r="P5375" s="30" t="str">
        <x:v>Условие, вычисление и визуальная страница проверены независимо.</x:v>
      </x:c>
      <x:c r="Q5375" s="30"/>
      <x:c r="R5375" s="30" t="str">
        <x:v>300</x:v>
      </x:c>
      <x:c r="S5375" s="30"/>
      <x:c r="T5375" s="30"/>
      <x:c r="U5375" s="30" t="str">
        <x:v>Расхождений нет.</x:v>
      </x:c>
      <x:c r="V5375" s="87" t="str">
        <x:v>VERIFIED</x:v>
      </x:c>
      <x:c r="W5375" s="87"/>
      <x:c r="X5375" s="87" t="n">
        <x:v>8</x:v>
      </x:c>
      <x:c r="Y5375" s="87"/>
      <x:c r="Z5375" s="87"/>
      <x:c r="AA5375" s="87"/>
      <x:c r="AB5375" s="87"/>
      <x:c r="AC5375" s="87" t="str">
        <x:v>VIS-EGKR-MATHB-W25-TASK-951-P008</x:v>
      </x:c>
      <x:c r="AD5375" s="87"/>
      <x:c r="AE5375" s="87" t="str">
        <x:v>TASK</x:v>
      </x:c>
      <x:c r="AF5375" s="87" t="str">
        <x:v>VIS-EGKR-MATHB-W25-TASK-951-P008: 8</x:v>
      </x:c>
      <x:c r="AG5375" s="87" t="str">
        <x:v>RESOLVED</x:v>
      </x:c>
      <x:c r="AH5375" s="87" t="str">
        <x:v>CROP_VERIFIED</x:v>
      </x:c>
      <x:c r="AI5375" s="30"/>
      <x:c r="AJ5375" s="87" t="str">
        <x:v>clean</x:v>
      </x:c>
      <x:c r="AK5375" s="87" t="str">
        <x:v>clean-v0.14</x:v>
      </x:c>
      <x:c r="AL5375" s="87" t="str">
        <x:v>statgrad_clean_continuation_v0_14(1).xlsx</x:v>
      </x:c>
      <x:c r="AM5375" s="87" t="str">
        <x:v>MATHB_EGKR_951</x:v>
      </x:c>
      <x:c r="AN5375" s="87" t="n">
        <x:v>21</x:v>
      </x:c>
    </x:row>
    <x:row r="5376">
      <x:c r="A5376" s="87" t="n">
        <x:v>5375</x:v>
      </x:c>
      <x:c r="B5376" s="87" t="str">
        <x:v>EGKR-W25-MATHB-951-21</x:v>
      </x:c>
      <x:c r="C5376" s="87" t="str">
        <x:v>ЕГКР</x:v>
      </x:c>
      <x:c r="D5376" s="87"/>
      <x:c r="E5376" s="87" t="str">
        <x:v>Зима 2025</x:v>
      </x:c>
      <x:c r="F5376" s="87" t="str">
        <x:v>16.12.2025</x:v>
      </x:c>
      <x:c r="G5376" s="87" t="str">
        <x:v>Математика (база)</x:v>
      </x:c>
      <x:c r="H5376" s="87" t="n">
        <x:v>11</x:v>
      </x:c>
      <x:c r="I5376" s="87"/>
      <x:c r="J5376" s="87" t="str">
        <x:v>951</x:v>
      </x:c>
      <x:c r="K5376" s="87" t="n">
        <x:v>21</x:v>
      </x:c>
      <x:c r="L5376" s="87" t="str">
        <x:v>Задача с целыми числами</x:v>
      </x:c>
      <x:c r="M5376" s="30" t="str">
        <x:v>Про натуральные числа А, В и С известно, что каждое из них больше 5, но меньше 9. Загадали натуральное число, затем умножили на А, потом прибавили к полученному произведению В и вычли С. Получилось 164. Какое число было загадано?</x:v>
      </x:c>
      <x:c r="N5376" s="30" t="str">
        <x:v>27</x:v>
      </x:c>
      <x:c r="O5376" s="30" t="str">
        <x:v>Условия на целые числа проверены перебором допустимых значений.</x:v>
      </x:c>
      <x:c r="P5376" s="30" t="str">
        <x:v>Условие, вычисление и визуальная страница проверены независимо.</x:v>
      </x:c>
      <x:c r="Q5376" s="30"/>
      <x:c r="R5376" s="30" t="str">
        <x:v>27</x:v>
      </x:c>
      <x:c r="S5376" s="30"/>
      <x:c r="T5376" s="30"/>
      <x:c r="U5376" s="30" t="str">
        <x:v>Расхождений нет.</x:v>
      </x:c>
      <x:c r="V5376" s="87" t="str">
        <x:v>VERIFIED</x:v>
      </x:c>
      <x:c r="W5376" s="87"/>
      <x:c r="X5376" s="87" t="n">
        <x:v>8</x:v>
      </x:c>
      <x:c r="Y5376" s="87"/>
      <x:c r="Z5376" s="87"/>
      <x:c r="AA5376" s="87"/>
      <x:c r="AB5376" s="87"/>
      <x:c r="AC5376" s="87" t="str">
        <x:v>VIS-EGKR-MATHB-W25-TASK-951-P008</x:v>
      </x:c>
      <x:c r="AD5376" s="87"/>
      <x:c r="AE5376" s="87" t="str">
        <x:v>TASK</x:v>
      </x:c>
      <x:c r="AF5376" s="87" t="str">
        <x:v>VIS-EGKR-MATHB-W25-TASK-951-P008: 8</x:v>
      </x:c>
      <x:c r="AG5376" s="87" t="str">
        <x:v>RESOLVED</x:v>
      </x:c>
      <x:c r="AH5376" s="87" t="str">
        <x:v>CROP_VERIFIED</x:v>
      </x:c>
      <x:c r="AI5376" s="30"/>
      <x:c r="AJ5376" s="87" t="str">
        <x:v>clean</x:v>
      </x:c>
      <x:c r="AK5376" s="87" t="str">
        <x:v>clean-v0.14</x:v>
      </x:c>
      <x:c r="AL5376" s="87" t="str">
        <x:v>statgrad_clean_continuation_v0_14(1).xlsx</x:v>
      </x:c>
      <x:c r="AM5376" s="87" t="str">
        <x:v>MATHB_EGKR_951</x:v>
      </x:c>
      <x:c r="AN5376" s="87" t="n">
        <x:v>22</x:v>
      </x:c>
    </x:row>
    <x:row r="5377">
      <x:c r="A5377" s="87" t="n">
        <x:v>5376</x:v>
      </x:c>
      <x:c r="B5377" s="87" t="str">
        <x:v>EGKR-W25-MATHB-952-01</x:v>
      </x:c>
      <x:c r="C5377" s="87" t="str">
        <x:v>ЕГКР</x:v>
      </x:c>
      <x:c r="D5377" s="87"/>
      <x:c r="E5377" s="87" t="str">
        <x:v>Зима 2025</x:v>
      </x:c>
      <x:c r="F5377" s="87" t="str">
        <x:v>16.12.2025</x:v>
      </x:c>
      <x:c r="G5377" s="87" t="str">
        <x:v>Математика (база)</x:v>
      </x:c>
      <x:c r="H5377" s="87" t="n">
        <x:v>11</x:v>
      </x:c>
      <x:c r="I5377" s="87"/>
      <x:c r="J5377" s="87" t="str">
        <x:v>952</x:v>
      </x:c>
      <x:c r="K5377" s="87" t="n">
        <x:v>1</x:v>
      </x:c>
      <x:c r="L5377" s="87" t="str">
        <x:v>Практическая арифметика</x:v>
      </x:c>
      <x:c r="M5377" s="30" t="str">
        <x:v>Выпускники 11 «А» класса покупают букеты цветов для последнего звонка: из 7 роз каждому учителю и из 11 роз классному руководителю и директору. Они собираются подарить букеты 15 учителям (включая директора и классного руководителя), розы покупаются по оптовой цене 25 рублей за штуку. Сколько рублей стоят все розы?</x:v>
      </x:c>
      <x:c r="N5377" s="30" t="str">
        <x:v>2825</x:v>
      </x:c>
      <x:c r="O5377" s="30" t="str">
        <x:v>Выполнен прямой расчёт и, где требуется, округление вверх.</x:v>
      </x:c>
      <x:c r="P5377" s="30" t="str">
        <x:v>Условие, вычисление и визуальная страница проверены независимо.</x:v>
      </x:c>
      <x:c r="Q5377" s="30"/>
      <x:c r="R5377" s="30" t="str">
        <x:v>18</x:v>
      </x:c>
      <x:c r="S5377" s="30"/>
      <x:c r="T5377" s="30"/>
      <x:c r="U5377" s="30" t="str">
        <x:v>Ответник: 18; независимое решение: 2825.</x:v>
      </x:c>
      <x:c r="V5377" s="87" t="str">
        <x:v>KEY_MISMATCH</x:v>
      </x:c>
      <x:c r="W5377" s="87"/>
      <x:c r="X5377" s="87" t="n">
        <x:v>2</x:v>
      </x:c>
      <x:c r="Y5377" s="87"/>
      <x:c r="Z5377" s="87"/>
      <x:c r="AA5377" s="87"/>
      <x:c r="AB5377" s="87"/>
      <x:c r="AC5377" s="87" t="str">
        <x:v>VIS-EGKR-MATHB-W25-TASK-952-P002</x:v>
      </x:c>
      <x:c r="AD5377" s="87"/>
      <x:c r="AE5377" s="87" t="str">
        <x:v>TASK</x:v>
      </x:c>
      <x:c r="AF5377" s="87" t="str">
        <x:v>VIS-EGKR-MATHB-W25-TASK-952-P002: 2</x:v>
      </x:c>
      <x:c r="AG5377" s="87" t="str">
        <x:v>RESOLVED</x:v>
      </x:c>
      <x:c r="AH5377" s="87" t="str">
        <x:v>CROP_VERIFIED</x:v>
      </x:c>
      <x:c r="AI5377" s="30"/>
      <x:c r="AJ5377" s="87" t="str">
        <x:v>clean</x:v>
      </x:c>
      <x:c r="AK5377" s="87" t="str">
        <x:v>clean-v0.14</x:v>
      </x:c>
      <x:c r="AL5377" s="87" t="str">
        <x:v>statgrad_clean_continuation_v0_14(1).xlsx</x:v>
      </x:c>
      <x:c r="AM5377" s="87" t="str">
        <x:v>MATHB_EGKR_952</x:v>
      </x:c>
      <x:c r="AN5377" s="87" t="n">
        <x:v>2</x:v>
      </x:c>
    </x:row>
    <x:row r="5378">
      <x:c r="A5378" s="87" t="n">
        <x:v>5377</x:v>
      </x:c>
      <x:c r="B5378" s="87" t="str">
        <x:v>EGKR-W25-MATHB-952-02</x:v>
      </x:c>
      <x:c r="C5378" s="87" t="str">
        <x:v>ЕГКР</x:v>
      </x:c>
      <x:c r="D5378" s="87"/>
      <x:c r="E5378" s="87" t="str">
        <x:v>Зима 2025</x:v>
      </x:c>
      <x:c r="F5378" s="87" t="str">
        <x:v>16.12.2025</x:v>
      </x:c>
      <x:c r="G5378" s="87" t="str">
        <x:v>Математика (база)</x:v>
      </x:c>
      <x:c r="H5378" s="87" t="n">
        <x:v>11</x:v>
      </x:c>
      <x:c r="I5378" s="87"/>
      <x:c r="J5378" s="87" t="str">
        <x:v>952</x:v>
      </x:c>
      <x:c r="K5378" s="87" t="n">
        <x:v>2</x:v>
      </x:c>
      <x:c r="L5378" s="87" t="str">
        <x:v>Установление соответствия</x:v>
      </x:c>
      <x:c r="M5378"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А) объём банки кетчупа Б) объём воды в озере Мичиган В) объём спальной комнаты Г) объём картонной коробки из-под телевизора ЗНАЧЕНИЯ 1) 45 м3 2) 0,4 л 3) 94 л 4) 4918 км3 В таблице под каждой буквой, соответствующей величине, укажите номер её возможного значения А Б В Г</x:v>
      </x:c>
      <x:c r="N5378" s="30" t="str">
        <x:v>2413</x:v>
      </x:c>
      <x:c r="O5378" s="30" t="str">
        <x:v>Величины сопоставлены по реалистичным единицам и порядкам.</x:v>
      </x:c>
      <x:c r="P5378" s="30" t="str">
        <x:v>Условие, вычисление и визуальная страница проверены независимо.</x:v>
      </x:c>
      <x:c r="Q5378" s="30"/>
      <x:c r="R5378" s="30" t="str">
        <x:v>4312</x:v>
      </x:c>
      <x:c r="S5378" s="30"/>
      <x:c r="T5378" s="30"/>
      <x:c r="U5378" s="30" t="str">
        <x:v>Ответник: 4312; независимое решение: 2413.</x:v>
      </x:c>
      <x:c r="V5378" s="87" t="str">
        <x:v>KEY_MISMATCH</x:v>
      </x:c>
      <x:c r="W5378" s="87"/>
      <x:c r="X5378" s="87" t="n">
        <x:v>2</x:v>
      </x:c>
      <x:c r="Y5378" s="87"/>
      <x:c r="Z5378" s="87"/>
      <x:c r="AA5378" s="87"/>
      <x:c r="AB5378" s="87"/>
      <x:c r="AC5378" s="87" t="str">
        <x:v>VIS-EGKR-MATHB-W25-TASK-952-P002</x:v>
      </x:c>
      <x:c r="AD5378" s="87"/>
      <x:c r="AE5378" s="87" t="str">
        <x:v>TASK</x:v>
      </x:c>
      <x:c r="AF5378" s="87" t="str">
        <x:v>VIS-EGKR-MATHB-W25-TASK-952-P002: 2</x:v>
      </x:c>
      <x:c r="AG5378" s="87" t="str">
        <x:v>RESOLVED</x:v>
      </x:c>
      <x:c r="AH5378" s="87" t="str">
        <x:v>CROP_VERIFIED</x:v>
      </x:c>
      <x:c r="AI5378" s="30"/>
      <x:c r="AJ5378" s="87" t="str">
        <x:v>clean</x:v>
      </x:c>
      <x:c r="AK5378" s="87" t="str">
        <x:v>clean-v0.14</x:v>
      </x:c>
      <x:c r="AL5378" s="87" t="str">
        <x:v>statgrad_clean_continuation_v0_14(1).xlsx</x:v>
      </x:c>
      <x:c r="AM5378" s="87" t="str">
        <x:v>MATHB_EGKR_952</x:v>
      </x:c>
      <x:c r="AN5378" s="87" t="n">
        <x:v>3</x:v>
      </x:c>
    </x:row>
    <x:row r="5379">
      <x:c r="A5379" s="87" t="n">
        <x:v>5378</x:v>
      </x:c>
      <x:c r="B5379" s="87" t="str">
        <x:v>EGKR-W25-MATHB-952-03</x:v>
      </x:c>
      <x:c r="C5379" s="87" t="str">
        <x:v>ЕГКР</x:v>
      </x:c>
      <x:c r="D5379" s="87"/>
      <x:c r="E5379" s="87" t="str">
        <x:v>Зима 2025</x:v>
      </x:c>
      <x:c r="F5379" s="87" t="str">
        <x:v>16.12.2025</x:v>
      </x:c>
      <x:c r="G5379" s="87" t="str">
        <x:v>Математика (база)</x:v>
      </x:c>
      <x:c r="H5379" s="87" t="n">
        <x:v>11</x:v>
      </x:c>
      <x:c r="I5379" s="87"/>
      <x:c r="J5379" s="87" t="str">
        <x:v>952</x:v>
      </x:c>
      <x:c r="K5379" s="87" t="n">
        <x:v>3</x:v>
      </x:c>
      <x:c r="L5379" s="87" t="str">
        <x:v>Анализ таблицы</x:v>
      </x:c>
      <x:c r="M5379" s="30" t="str">
        <x:v>Результаты игры КВН представлены в таблице. Команда Баллы за конкурс Баллы за конкурс Баллы за музыкальный «Приветствие» «СТЭМ» конкурс «АТОМ» 28 22 25 «Шумы» 29 20 23 «Топчан» 26 21 27 «Лёлек и 24 24 29 Болек» Для каждой команды баллы по всем конкурсам суммируются. Победителем считается команда, набравшая в сумме по всем конкурсам наибольшее количество баллов. Сколько в сумме баллов у команды-победителя?</x:v>
      </x:c>
      <x:c r="N5379" s="30" t="str">
        <x:v>77</x:v>
      </x:c>
      <x:c r="O5379" s="30" t="str">
        <x:v>Баллы в строках таблицы сложены; выбран максимум.</x:v>
      </x:c>
      <x:c r="P5379" s="30" t="str">
        <x:v>Условие, вычисление и визуальная страница проверены независимо.</x:v>
      </x:c>
      <x:c r="Q5379" s="30"/>
      <x:c r="R5379" s="30" t="str">
        <x:v>77</x:v>
      </x:c>
      <x:c r="S5379" s="30"/>
      <x:c r="T5379" s="30"/>
      <x:c r="U5379" s="30" t="str">
        <x:v>Расхождений нет.</x:v>
      </x:c>
      <x:c r="V5379" s="87" t="str">
        <x:v>VERIFIED</x:v>
      </x:c>
      <x:c r="W5379" s="87"/>
      <x:c r="X5379" s="87" t="n">
        <x:v>3</x:v>
      </x:c>
      <x:c r="Y5379" s="87"/>
      <x:c r="Z5379" s="87"/>
      <x:c r="AA5379" s="87"/>
      <x:c r="AB5379" s="87"/>
      <x:c r="AC5379" s="87" t="str">
        <x:v>VIS-EGKR-MATHB-W25-TASK-952-P003</x:v>
      </x:c>
      <x:c r="AD5379" s="87"/>
      <x:c r="AE5379" s="87" t="str">
        <x:v>TASK</x:v>
      </x:c>
      <x:c r="AF5379" s="87" t="str">
        <x:v>VIS-EGKR-MATHB-W25-TASK-952-P003: 3</x:v>
      </x:c>
      <x:c r="AG5379" s="87" t="str">
        <x:v>RESOLVED</x:v>
      </x:c>
      <x:c r="AH5379" s="87" t="str">
        <x:v>CROP_VERIFIED</x:v>
      </x:c>
      <x:c r="AI5379" s="30"/>
      <x:c r="AJ5379" s="87" t="str">
        <x:v>clean</x:v>
      </x:c>
      <x:c r="AK5379" s="87" t="str">
        <x:v>clean-v0.14</x:v>
      </x:c>
      <x:c r="AL5379" s="87" t="str">
        <x:v>statgrad_clean_continuation_v0_14(1).xlsx</x:v>
      </x:c>
      <x:c r="AM5379" s="87" t="str">
        <x:v>MATHB_EGKR_952</x:v>
      </x:c>
      <x:c r="AN5379" s="87" t="n">
        <x:v>4</x:v>
      </x:c>
    </x:row>
    <x:row r="5380">
      <x:c r="A5380" s="87" t="n">
        <x:v>5379</x:v>
      </x:c>
      <x:c r="B5380" s="87" t="str">
        <x:v>EGKR-W25-MATHB-952-04</x:v>
      </x:c>
      <x:c r="C5380" s="87" t="str">
        <x:v>ЕГКР</x:v>
      </x:c>
      <x:c r="D5380" s="87"/>
      <x:c r="E5380" s="87" t="str">
        <x:v>Зима 2025</x:v>
      </x:c>
      <x:c r="F5380" s="87" t="str">
        <x:v>16.12.2025</x:v>
      </x:c>
      <x:c r="G5380" s="87" t="str">
        <x:v>Математика (база)</x:v>
      </x:c>
      <x:c r="H5380" s="87" t="n">
        <x:v>11</x:v>
      </x:c>
      <x:c r="I5380" s="87"/>
      <x:c r="J5380" s="87" t="str">
        <x:v>952</x:v>
      </x:c>
      <x:c r="K5380" s="87" t="n">
        <x:v>4</x:v>
      </x:c>
      <x:c r="L5380" s="87" t="str">
        <x:v>Применение формулы</x:v>
      </x:c>
      <x:c r="M5380" s="30" t="str">
        <x:v>Зная длину своего шага, человек может приближённо подсчитать пройденное им рассто яние s по формуле s = nl, где n - число шагов, l - длина шага. Какое расстояние прошёл человек, если l =50 см, n = 1400?</x:v>
      </x:c>
      <x:c r="N5380" s="30" t="str">
        <x:v>700</x:v>
      </x:c>
      <x:c r="O5380" s="30" t="str">
        <x:v>Длина шага умножена на число шагов и переведена в метры.</x:v>
      </x:c>
      <x:c r="P5380" s="30" t="str">
        <x:v>Условие, вычисление и визуальная страница проверены независимо.</x:v>
      </x:c>
      <x:c r="Q5380" s="30"/>
      <x:c r="R5380" s="30" t="str">
        <x:v>700</x:v>
      </x:c>
      <x:c r="S5380" s="30"/>
      <x:c r="T5380" s="30"/>
      <x:c r="U5380" s="30" t="str">
        <x:v>Расхождений нет.</x:v>
      </x:c>
      <x:c r="V5380" s="87" t="str">
        <x:v>VERIFIED</x:v>
      </x:c>
      <x:c r="W5380" s="87"/>
      <x:c r="X5380" s="87" t="n">
        <x:v>3</x:v>
      </x:c>
      <x:c r="Y5380" s="87"/>
      <x:c r="Z5380" s="87"/>
      <x:c r="AA5380" s="87"/>
      <x:c r="AB5380" s="87"/>
      <x:c r="AC5380" s="87" t="str">
        <x:v>VIS-EGKR-MATHB-W25-TASK-952-P003</x:v>
      </x:c>
      <x:c r="AD5380" s="87"/>
      <x:c r="AE5380" s="87" t="str">
        <x:v>TASK</x:v>
      </x:c>
      <x:c r="AF5380" s="87" t="str">
        <x:v>VIS-EGKR-MATHB-W25-TASK-952-P003: 3</x:v>
      </x:c>
      <x:c r="AG5380" s="87" t="str">
        <x:v>RESOLVED</x:v>
      </x:c>
      <x:c r="AH5380" s="87" t="str">
        <x:v>CROP_VERIFIED</x:v>
      </x:c>
      <x:c r="AI5380" s="30"/>
      <x:c r="AJ5380" s="87" t="str">
        <x:v>clean</x:v>
      </x:c>
      <x:c r="AK5380" s="87" t="str">
        <x:v>clean-v0.14</x:v>
      </x:c>
      <x:c r="AL5380" s="87" t="str">
        <x:v>statgrad_clean_continuation_v0_14(1).xlsx</x:v>
      </x:c>
      <x:c r="AM5380" s="87" t="str">
        <x:v>MATHB_EGKR_952</x:v>
      </x:c>
      <x:c r="AN5380" s="87" t="n">
        <x:v>5</x:v>
      </x:c>
    </x:row>
    <x:row r="5381">
      <x:c r="A5381" s="87" t="n">
        <x:v>5380</x:v>
      </x:c>
      <x:c r="B5381" s="87" t="str">
        <x:v>EGKR-W25-MATHB-952-05</x:v>
      </x:c>
      <x:c r="C5381" s="87" t="str">
        <x:v>ЕГКР</x:v>
      </x:c>
      <x:c r="D5381" s="87"/>
      <x:c r="E5381" s="87" t="str">
        <x:v>Зима 2025</x:v>
      </x:c>
      <x:c r="F5381" s="87" t="str">
        <x:v>16.12.2025</x:v>
      </x:c>
      <x:c r="G5381" s="87" t="str">
        <x:v>Математика (база)</x:v>
      </x:c>
      <x:c r="H5381" s="87" t="n">
        <x:v>11</x:v>
      </x:c>
      <x:c r="I5381" s="87"/>
      <x:c r="J5381" s="87" t="str">
        <x:v>952</x:v>
      </x:c>
      <x:c r="K5381" s="87" t="n">
        <x:v>5</x:v>
      </x:c>
      <x:c r="L5381" s="87" t="str">
        <x:v>Вероятность</x:v>
      </x:c>
      <x:c r="M5381" s="30" t="str">
        <x:v>На экзамене по геометрии школьник должен ответить на один вопрос из списка экзаменационных вопросов. Вероятность того, что эта задача по теме «Внешние углы», равна 0,1. Вероятность того, что это окажется задача по теме «Тригонометрия», равна 0,35. Вопросов, которые одновременно относятся к этим двум темам, нет. Найдите вероятность того, что на экзамене школьнику достанется вопрос по одной из этих двух тем.</x:v>
      </x:c>
      <x:c r="N5381" s="30" t="str">
        <x:v>0,45</x:v>
      </x:c>
      <x:c r="O5381" s="30" t="str">
        <x:v>Вероятности несовместных событий сложены.</x:v>
      </x:c>
      <x:c r="P5381" s="30" t="str">
        <x:v>Условие, вычисление и визуальная страница проверены независимо.</x:v>
      </x:c>
      <x:c r="Q5381" s="30"/>
      <x:c r="R5381" s="30" t="str">
        <x:v>0,45</x:v>
      </x:c>
      <x:c r="S5381" s="30"/>
      <x:c r="T5381" s="30"/>
      <x:c r="U5381" s="30" t="str">
        <x:v>Расхождений нет.</x:v>
      </x:c>
      <x:c r="V5381" s="87" t="str">
        <x:v>VERIFIED</x:v>
      </x:c>
      <x:c r="W5381" s="87"/>
      <x:c r="X5381" s="87" t="n">
        <x:v>3</x:v>
      </x:c>
      <x:c r="Y5381" s="87"/>
      <x:c r="Z5381" s="87"/>
      <x:c r="AA5381" s="87"/>
      <x:c r="AB5381" s="87"/>
      <x:c r="AC5381" s="87" t="str">
        <x:v>VIS-EGKR-MATHB-W25-TASK-952-P003</x:v>
      </x:c>
      <x:c r="AD5381" s="87"/>
      <x:c r="AE5381" s="87" t="str">
        <x:v>TASK</x:v>
      </x:c>
      <x:c r="AF5381" s="87" t="str">
        <x:v>VIS-EGKR-MATHB-W25-TASK-952-P003: 3</x:v>
      </x:c>
      <x:c r="AG5381" s="87" t="str">
        <x:v>RESOLVED</x:v>
      </x:c>
      <x:c r="AH5381" s="87" t="str">
        <x:v>CROP_VERIFIED</x:v>
      </x:c>
      <x:c r="AI5381" s="30"/>
      <x:c r="AJ5381" s="87" t="str">
        <x:v>clean</x:v>
      </x:c>
      <x:c r="AK5381" s="87" t="str">
        <x:v>clean-v0.14</x:v>
      </x:c>
      <x:c r="AL5381" s="87" t="str">
        <x:v>statgrad_clean_continuation_v0_14(1).xlsx</x:v>
      </x:c>
      <x:c r="AM5381" s="87" t="str">
        <x:v>MATHB_EGKR_952</x:v>
      </x:c>
      <x:c r="AN5381" s="87" t="n">
        <x:v>6</x:v>
      </x:c>
    </x:row>
    <x:row r="5382">
      <x:c r="A5382" s="87" t="n">
        <x:v>5381</x:v>
      </x:c>
      <x:c r="B5382" s="87" t="str">
        <x:v>EGKR-W25-MATHB-952-06</x:v>
      </x:c>
      <x:c r="C5382" s="87" t="str">
        <x:v>ЕГКР</x:v>
      </x:c>
      <x:c r="D5382" s="87"/>
      <x:c r="E5382" s="87" t="str">
        <x:v>Зима 2025</x:v>
      </x:c>
      <x:c r="F5382" s="87" t="str">
        <x:v>16.12.2025</x:v>
      </x:c>
      <x:c r="G5382" s="87" t="str">
        <x:v>Математика (база)</x:v>
      </x:c>
      <x:c r="H5382" s="87" t="n">
        <x:v>11</x:v>
      </x:c>
      <x:c r="I5382" s="87"/>
      <x:c r="J5382" s="87" t="str">
        <x:v>952</x:v>
      </x:c>
      <x:c r="K5382" s="87" t="n">
        <x:v>6</x:v>
      </x:c>
      <x:c r="L5382" s="87" t="str">
        <x:v>Оптимальный выбор</x:v>
      </x:c>
      <x:c r="M5382" s="30" t="str">
        <x:v>Путешественник из Москвы хочет посетить 4 города Золотого кольца России: Владимир, Ярославль, Суздаль и Ростов Великий. Турагентство предлагает маршруты с посещением некоторых городов Золотого кольца. Сведения о стоимости билетов и маршрутах представлены в таблице. Номер маршрута Посещаемые города Стоимость (руб.). 1 Ростов Великий, Суздаль 2100 2 Ростов Великий, Ярославль 2200 3 Владимир 1750 4 Ярославль, Владимир 2950 5 Ярославль, Суздаль 2300 6 Владимир. Ростов Великий, Суздаль 3900 Какие маршруты должен выбрать путешественник, чтобы побыть во всех четырех городах и потратить на билеты меньшее 6000 рублей? В ответе укажите какой-нибудь один набор номеров маршрутов без пробелов, запятых и других дополнительных символов.</x:v>
      </x:c>
      <x:c r="N5382" s="30" t="str">
        <x:v>14</x:v>
      </x:c>
      <x:c r="O5382" s="30" t="str">
        <x:v>Подобран набор маршрутов, покрывающий четыре города и удовлетворяющий ограничению цены.</x:v>
      </x:c>
      <x:c r="P5382" s="30" t="str">
        <x:v>Условие, вычисление и визуальная страница проверены независимо.</x:v>
      </x:c>
      <x:c r="Q5382" s="30"/>
      <x:c r="R5382" s="30" t="str">
        <x:v>14</x:v>
      </x:c>
      <x:c r="S5382" s="30"/>
      <x:c r="T5382" s="30"/>
      <x:c r="U5382" s="30" t="str">
        <x:v>Расхождений нет.</x:v>
      </x:c>
      <x:c r="V5382" s="87" t="str">
        <x:v>VERIFIED</x:v>
      </x:c>
      <x:c r="W5382" s="87"/>
      <x:c r="X5382" s="87" t="n">
        <x:v>4</x:v>
      </x:c>
      <x:c r="Y5382" s="87"/>
      <x:c r="Z5382" s="87"/>
      <x:c r="AA5382" s="87"/>
      <x:c r="AB5382" s="87"/>
      <x:c r="AC5382" s="87" t="str">
        <x:v>VIS-EGKR-MATHB-W25-TASK-952-P004</x:v>
      </x:c>
      <x:c r="AD5382" s="87"/>
      <x:c r="AE5382" s="87" t="str">
        <x:v>TASK</x:v>
      </x:c>
      <x:c r="AF5382" s="87" t="str">
        <x:v>VIS-EGKR-MATHB-W25-TASK-952-P004: 4</x:v>
      </x:c>
      <x:c r="AG5382" s="87" t="str">
        <x:v>RESOLVED</x:v>
      </x:c>
      <x:c r="AH5382" s="87" t="str">
        <x:v>CROP_VERIFIED</x:v>
      </x:c>
      <x:c r="AI5382" s="30"/>
      <x:c r="AJ5382" s="87" t="str">
        <x:v>clean</x:v>
      </x:c>
      <x:c r="AK5382" s="87" t="str">
        <x:v>clean-v0.14</x:v>
      </x:c>
      <x:c r="AL5382" s="87" t="str">
        <x:v>statgrad_clean_continuation_v0_14(1).xlsx</x:v>
      </x:c>
      <x:c r="AM5382" s="87" t="str">
        <x:v>MATHB_EGKR_952</x:v>
      </x:c>
      <x:c r="AN5382" s="87" t="n">
        <x:v>7</x:v>
      </x:c>
    </x:row>
    <x:row r="5383">
      <x:c r="A5383" s="87" t="n">
        <x:v>5382</x:v>
      </x:c>
      <x:c r="B5383" s="87" t="str">
        <x:v>EGKR-W25-MATHB-952-07</x:v>
      </x:c>
      <x:c r="C5383" s="87" t="str">
        <x:v>ЕГКР</x:v>
      </x:c>
      <x:c r="D5383" s="87"/>
      <x:c r="E5383" s="87" t="str">
        <x:v>Зима 2025</x:v>
      </x:c>
      <x:c r="F5383" s="87" t="str">
        <x:v>16.12.2025</x:v>
      </x:c>
      <x:c r="G5383" s="87" t="str">
        <x:v>Математика (база)</x:v>
      </x:c>
      <x:c r="H5383" s="87" t="n">
        <x:v>11</x:v>
      </x:c>
      <x:c r="I5383" s="87"/>
      <x:c r="J5383" s="87" t="str">
        <x:v>952</x:v>
      </x:c>
      <x:c r="K5383" s="87" t="n">
        <x:v>7</x:v>
      </x:c>
      <x:c r="L5383" s="87" t="str">
        <x:v>Анализ графика</x:v>
      </x:c>
      <x:c r="M5383" s="30" t="str">
        <x:v>На рисунке изображён график функции y = f(x) и отмечены точки A, B, C и D на оси Ox. Пользуясь графиком, поставьте в соответствие каждой точке характеристики функции и её производной. ТОЧКИ ХАРАКТЕРИСТИКИ ФУНКЦИИ ИЛИ ПРОИЗВОДНОЙ А) A 1) значение функции в точке отрицательно, а значение Б) B производной функции в точке отрицательно В) C 2) значение функции в точке положительно, а Г) D значение производной функции в точке положительно 3) значение функции в точке отрицательно, и значение производной функции в точке положительно 4) Значение функции в точке положительно, и значение производной функции в точке отрицательно В таблице под каждой буквой укажите соответствующий номер. А Б В Г</x:v>
      </x:c>
      <x:c r="N5383" s="30" t="str">
        <x:v>4132</x:v>
      </x:c>
      <x:c r="O5383" s="30" t="str">
        <x:v>Знаки функции и производной определены по положению точки и направлению графика.</x:v>
      </x:c>
      <x:c r="P5383" s="30" t="str">
        <x:v>Условие, вычисление и визуальная страница проверены независимо.</x:v>
      </x:c>
      <x:c r="Q5383" s="30"/>
      <x:c r="R5383" s="30" t="str">
        <x:v>4132</x:v>
      </x:c>
      <x:c r="S5383" s="30"/>
      <x:c r="T5383" s="30"/>
      <x:c r="U5383" s="30" t="str">
        <x:v>Расхождений нет.</x:v>
      </x:c>
      <x:c r="V5383" s="87" t="str">
        <x:v>VERIFIED</x:v>
      </x:c>
      <x:c r="W5383" s="87"/>
      <x:c r="X5383" s="87" t="n">
        <x:v>5</x:v>
      </x:c>
      <x:c r="Y5383" s="87"/>
      <x:c r="Z5383" s="87"/>
      <x:c r="AA5383" s="87"/>
      <x:c r="AB5383" s="87"/>
      <x:c r="AC5383" s="87" t="str">
        <x:v>VIS-EGKR-MATHB-W25-TASK-952-P005</x:v>
      </x:c>
      <x:c r="AD5383" s="87"/>
      <x:c r="AE5383" s="87" t="str">
        <x:v>TASK</x:v>
      </x:c>
      <x:c r="AF5383" s="87" t="str">
        <x:v>VIS-EGKR-MATHB-W25-TASK-952-P005: 5</x:v>
      </x:c>
      <x:c r="AG5383" s="87" t="str">
        <x:v>RESOLVED</x:v>
      </x:c>
      <x:c r="AH5383" s="87" t="str">
        <x:v>CROP_VERIFIED; TASK_CROP_QA_APPROVED:USE_TIGHT</x:v>
      </x:c>
      <x:c r="AI5383" s="30"/>
      <x:c r="AJ5383" s="87" t="str">
        <x:v>clean</x:v>
      </x:c>
      <x:c r="AK5383" s="87" t="str">
        <x:v>clean-v0.14</x:v>
      </x:c>
      <x:c r="AL5383" s="87" t="str">
        <x:v>statgrad_clean_continuation_v0_14(1).xlsx</x:v>
      </x:c>
      <x:c r="AM5383" s="87" t="str">
        <x:v>MATHB_EGKR_952</x:v>
      </x:c>
      <x:c r="AN5383" s="87" t="n">
        <x:v>8</x:v>
      </x:c>
    </x:row>
    <x:row r="5384">
      <x:c r="A5384" s="87" t="n">
        <x:v>5383</x:v>
      </x:c>
      <x:c r="B5384" s="87" t="str">
        <x:v>EGKR-W25-MATHB-952-08</x:v>
      </x:c>
      <x:c r="C5384" s="87" t="str">
        <x:v>ЕГКР</x:v>
      </x:c>
      <x:c r="D5384" s="87"/>
      <x:c r="E5384" s="87" t="str">
        <x:v>Зима 2025</x:v>
      </x:c>
      <x:c r="F5384" s="87" t="str">
        <x:v>16.12.2025</x:v>
      </x:c>
      <x:c r="G5384" s="87" t="str">
        <x:v>Математика (база)</x:v>
      </x:c>
      <x:c r="H5384" s="87" t="n">
        <x:v>11</x:v>
      </x:c>
      <x:c r="I5384" s="87"/>
      <x:c r="J5384" s="87" t="str">
        <x:v>952</x:v>
      </x:c>
      <x:c r="K5384" s="87" t="n">
        <x:v>8</x:v>
      </x:c>
      <x:c r="L5384" s="87" t="str">
        <x:v>Логические утверждения</x:v>
      </x:c>
      <x:c r="M5384" s="30" t="str">
        <x:v>Перед баскетбольном турниром измерили рост игроков баскетбольной команды города N. Оказалось, что рост каждого из футболистов этой команды больше 180 см и меньше 195 см. Выберите утверждения, которые верны при указанных условиях. 1) В баскетбольной команде города N обязательно есть игрок, рост которого равен 200 см. 2) В баскетбольной команде города N нет игроков с ростом 179 см. 3) Рост любого баскетболиста этой команды меньше 196 см. 4) Разница в росте любых двух игроков футбольной команды города N составляет более 15 см. В ответе запишите номера выбранных утверждений без пробелов, запятых и других дополнительных символов.</x:v>
      </x:c>
      <x:c r="N5384" s="30" t="str">
        <x:v>23</x:v>
      </x:c>
      <x:c r="O5384" s="30" t="str">
        <x:v>Проверены логические следствия из заданного интервала роста.</x:v>
      </x:c>
      <x:c r="P5384" s="30" t="str">
        <x:v>Условие, вычисление и визуальная страница проверены независимо.</x:v>
      </x:c>
      <x:c r="Q5384" s="30"/>
      <x:c r="R5384" s="30" t="str">
        <x:v>23</x:v>
      </x:c>
      <x:c r="S5384" s="30"/>
      <x:c r="T5384" s="30"/>
      <x:c r="U5384" s="30" t="str">
        <x:v>Расхождений нет.</x:v>
      </x:c>
      <x:c r="V5384" s="87" t="str">
        <x:v>VERIFIED</x:v>
      </x:c>
      <x:c r="W5384" s="87"/>
      <x:c r="X5384" s="87" t="n">
        <x:v>6</x:v>
      </x:c>
      <x:c r="Y5384" s="87"/>
      <x:c r="Z5384" s="87"/>
      <x:c r="AA5384" s="87"/>
      <x:c r="AB5384" s="87"/>
      <x:c r="AC5384" s="87" t="str">
        <x:v>VIS-EGKR-MATHB-W25-TASK-952-P006</x:v>
      </x:c>
      <x:c r="AD5384" s="87"/>
      <x:c r="AE5384" s="87" t="str">
        <x:v>TASK</x:v>
      </x:c>
      <x:c r="AF5384" s="87" t="str">
        <x:v>VIS-EGKR-MATHB-W25-TASK-952-P006: 6</x:v>
      </x:c>
      <x:c r="AG5384" s="87" t="str">
        <x:v>RESOLVED</x:v>
      </x:c>
      <x:c r="AH5384" s="87" t="str">
        <x:v>CROP_VERIFIED</x:v>
      </x:c>
      <x:c r="AI5384" s="30"/>
      <x:c r="AJ5384" s="87" t="str">
        <x:v>clean</x:v>
      </x:c>
      <x:c r="AK5384" s="87" t="str">
        <x:v>clean-v0.14</x:v>
      </x:c>
      <x:c r="AL5384" s="87" t="str">
        <x:v>statgrad_clean_continuation_v0_14(1).xlsx</x:v>
      </x:c>
      <x:c r="AM5384" s="87" t="str">
        <x:v>MATHB_EGKR_952</x:v>
      </x:c>
      <x:c r="AN5384" s="87" t="n">
        <x:v>9</x:v>
      </x:c>
    </x:row>
    <x:row r="5385">
      <x:c r="A5385" s="87" t="n">
        <x:v>5384</x:v>
      </x:c>
      <x:c r="B5385" s="87" t="str">
        <x:v>EGKR-W25-MATHB-952-09</x:v>
      </x:c>
      <x:c r="C5385" s="87" t="str">
        <x:v>ЕГКР</x:v>
      </x:c>
      <x:c r="D5385" s="87"/>
      <x:c r="E5385" s="87" t="str">
        <x:v>Зима 2025</x:v>
      </x:c>
      <x:c r="F5385" s="87" t="str">
        <x:v>16.12.2025</x:v>
      </x:c>
      <x:c r="G5385" s="87" t="str">
        <x:v>Математика (база)</x:v>
      </x:c>
      <x:c r="H5385" s="87" t="n">
        <x:v>11</x:v>
      </x:c>
      <x:c r="I5385" s="87"/>
      <x:c r="J5385" s="87" t="str">
        <x:v>952</x:v>
      </x:c>
      <x:c r="K5385" s="87" t="n">
        <x:v>9</x:v>
      </x:c>
      <x:c r="L5385" s="87" t="str">
        <x:v>Площадь по клеткам</x:v>
      </x:c>
      <x:c r="M5385" s="30" t="str">
        <x:v>План местности разбит на клетки. Каждая клетка обозначает квадрат 1 м × 1 м. Найдите площадь участка, выделенного на плане. Ответ дайте в квадратных метрах.</x:v>
      </x:c>
      <x:c r="N5385" s="30" t="str">
        <x:v>20</x:v>
      </x:c>
      <x:c r="O5385" s="30" t="str">
        <x:v>Площадь пересчитана по клеткам и геометрическому разбиению.</x:v>
      </x:c>
      <x:c r="P5385" s="30" t="str">
        <x:v>Условие, вычисление и визуальная страница проверены независимо.</x:v>
      </x:c>
      <x:c r="Q5385" s="30"/>
      <x:c r="R5385" s="30" t="str">
        <x:v>20</x:v>
      </x:c>
      <x:c r="S5385" s="30"/>
      <x:c r="T5385" s="30"/>
      <x:c r="U5385" s="30" t="str">
        <x:v>Расхождений нет.</x:v>
      </x:c>
      <x:c r="V5385" s="87" t="str">
        <x:v>VERIFIED</x:v>
      </x:c>
      <x:c r="W5385" s="87"/>
      <x:c r="X5385" s="87" t="n">
        <x:v>6</x:v>
      </x:c>
      <x:c r="Y5385" s="87"/>
      <x:c r="Z5385" s="87"/>
      <x:c r="AA5385" s="87"/>
      <x:c r="AB5385" s="87"/>
      <x:c r="AC5385" s="87" t="str">
        <x:v>VIS-EGKR-MATHB-W25-TASK-952-P006</x:v>
      </x:c>
      <x:c r="AD5385" s="87"/>
      <x:c r="AE5385" s="87" t="str">
        <x:v>TASK</x:v>
      </x:c>
      <x:c r="AF5385" s="87" t="str">
        <x:v>VIS-EGKR-MATHB-W25-TASK-952-P006: 6</x:v>
      </x:c>
      <x:c r="AG5385" s="87" t="str">
        <x:v>RESOLVED</x:v>
      </x:c>
      <x:c r="AH5385" s="87" t="str">
        <x:v>CROP_VERIFIED; TASK_CROP_QA_APPROVED:USE_TIGHT</x:v>
      </x:c>
      <x:c r="AI5385" s="30"/>
      <x:c r="AJ5385" s="87" t="str">
        <x:v>clean</x:v>
      </x:c>
      <x:c r="AK5385" s="87" t="str">
        <x:v>clean-v0.14</x:v>
      </x:c>
      <x:c r="AL5385" s="87" t="str">
        <x:v>statgrad_clean_continuation_v0_14(1).xlsx</x:v>
      </x:c>
      <x:c r="AM5385" s="87" t="str">
        <x:v>MATHB_EGKR_952</x:v>
      </x:c>
      <x:c r="AN5385" s="87" t="n">
        <x:v>10</x:v>
      </x:c>
    </x:row>
    <x:row r="5386">
      <x:c r="A5386" s="87" t="n">
        <x:v>5385</x:v>
      </x:c>
      <x:c r="B5386" s="87" t="str">
        <x:v>EGKR-W25-MATHB-952-10</x:v>
      </x:c>
      <x:c r="C5386" s="87" t="str">
        <x:v>ЕГКР</x:v>
      </x:c>
      <x:c r="D5386" s="87"/>
      <x:c r="E5386" s="87" t="str">
        <x:v>Зима 2025</x:v>
      </x:c>
      <x:c r="F5386" s="87" t="str">
        <x:v>16.12.2025</x:v>
      </x:c>
      <x:c r="G5386" s="87" t="str">
        <x:v>Математика (база)</x:v>
      </x:c>
      <x:c r="H5386" s="87" t="n">
        <x:v>11</x:v>
      </x:c>
      <x:c r="I5386" s="87"/>
      <x:c r="J5386" s="87" t="str">
        <x:v>952</x:v>
      </x:c>
      <x:c r="K5386" s="87" t="n">
        <x:v>10</x:v>
      </x:c>
      <x:c r="L5386" s="87" t="str">
        <x:v>Практическая геометрия</x:v>
      </x:c>
      <x:c r="M5386" s="30" t="str">
        <x:v>На плане указано, что прямоугольная комната имеет площадь 20,7 кв. м. Точные измерения показали, что ширина комнаты равна 4 м, а длина 5,2 м. На сколько квадратных метров площадь комнаты отличается от площади, указанной на плане?</x:v>
      </x:c>
      <x:c r="N5386" s="30" t="str">
        <x:v>0,1</x:v>
      </x:c>
      <x:c r="O5386" s="30" t="str">
        <x:v>Фактическая площадь вычислена как произведение сторон; найдена абсолютная разность.</x:v>
      </x:c>
      <x:c r="P5386" s="30" t="str">
        <x:v>Условие, вычисление и визуальная страница проверены независимо.</x:v>
      </x:c>
      <x:c r="Q5386" s="30"/>
      <x:c r="R5386" s="30" t="str">
        <x:v>0,1</x:v>
      </x:c>
      <x:c r="S5386" s="30"/>
      <x:c r="T5386" s="30"/>
      <x:c r="U5386" s="30" t="str">
        <x:v>Расхождений нет.</x:v>
      </x:c>
      <x:c r="V5386" s="87" t="str">
        <x:v>VERIFIED</x:v>
      </x:c>
      <x:c r="W5386" s="87"/>
      <x:c r="X5386" s="87" t="n">
        <x:v>6</x:v>
      </x:c>
      <x:c r="Y5386" s="87"/>
      <x:c r="Z5386" s="87"/>
      <x:c r="AA5386" s="87"/>
      <x:c r="AB5386" s="87"/>
      <x:c r="AC5386" s="87" t="str">
        <x:v>VIS-EGKR-MATHB-W25-TASK-952-P006</x:v>
      </x:c>
      <x:c r="AD5386" s="87"/>
      <x:c r="AE5386" s="87" t="str">
        <x:v>TASK</x:v>
      </x:c>
      <x:c r="AF5386" s="87" t="str">
        <x:v>VIS-EGKR-MATHB-W25-TASK-952-P006: 6</x:v>
      </x:c>
      <x:c r="AG5386" s="87" t="str">
        <x:v>RESOLVED</x:v>
      </x:c>
      <x:c r="AH5386" s="87" t="str">
        <x:v>CROP_VERIFIED; TASK_CROP_QA_APPROVED:USE_TIGHT</x:v>
      </x:c>
      <x:c r="AI5386" s="30"/>
      <x:c r="AJ5386" s="87" t="str">
        <x:v>clean</x:v>
      </x:c>
      <x:c r="AK5386" s="87" t="str">
        <x:v>clean-v0.14</x:v>
      </x:c>
      <x:c r="AL5386" s="87" t="str">
        <x:v>statgrad_clean_continuation_v0_14(1).xlsx</x:v>
      </x:c>
      <x:c r="AM5386" s="87" t="str">
        <x:v>MATHB_EGKR_952</x:v>
      </x:c>
      <x:c r="AN5386" s="87" t="n">
        <x:v>11</x:v>
      </x:c>
    </x:row>
    <x:row r="5387">
      <x:c r="A5387" s="87" t="n">
        <x:v>5386</x:v>
      </x:c>
      <x:c r="B5387" s="87" t="str">
        <x:v>EGKR-W25-MATHB-952-11</x:v>
      </x:c>
      <x:c r="C5387" s="87" t="str">
        <x:v>ЕГКР</x:v>
      </x:c>
      <x:c r="D5387" s="87"/>
      <x:c r="E5387" s="87" t="str">
        <x:v>Зима 2025</x:v>
      </x:c>
      <x:c r="F5387" s="87" t="str">
        <x:v>16.12.2025</x:v>
      </x:c>
      <x:c r="G5387" s="87" t="str">
        <x:v>Математика (база)</x:v>
      </x:c>
      <x:c r="H5387" s="87" t="n">
        <x:v>11</x:v>
      </x:c>
      <x:c r="I5387" s="87"/>
      <x:c r="J5387" s="87" t="str">
        <x:v>952</x:v>
      </x:c>
      <x:c r="K5387" s="87" t="n">
        <x:v>11</x:v>
      </x:c>
      <x:c r="L5387" s="87" t="str">
        <x:v>Площадь поверхности</x:v>
      </x:c>
      <x:c r="M5387" s="30" t="str">
        <x:v>Прямолинейный участок трубы длиной 2 м имеющей в сечении окружность необходимо покрасить снаружи (торцы трубы открыты их красить не нужно). Найдите площадь поверхности, которую необходимо покрасить если внешний обхват трубы равен 44 см. Ответ дайте в квадратных сантиметрах:</x:v>
      </x:c>
      <x:c r="N5387" s="30" t="str">
        <x:v>8800</x:v>
      </x:c>
      <x:c r="O5387" s="30" t="str">
        <x:v>Боковая поверхность трубы равна длине трубы, умноженной на длину окружности.</x:v>
      </x:c>
      <x:c r="P5387" s="30" t="str">
        <x:v>Условие, вычисление и визуальная страница проверены независимо.</x:v>
      </x:c>
      <x:c r="Q5387" s="30"/>
      <x:c r="R5387" s="30" t="str">
        <x:v>8800</x:v>
      </x:c>
      <x:c r="S5387" s="30"/>
      <x:c r="T5387" s="30"/>
      <x:c r="U5387" s="30" t="str">
        <x:v>Расхождений нет.</x:v>
      </x:c>
      <x:c r="V5387" s="87" t="str">
        <x:v>VERIFIED</x:v>
      </x:c>
      <x:c r="W5387" s="87"/>
      <x:c r="X5387" s="87" t="n">
        <x:v>7</x:v>
      </x:c>
      <x:c r="Y5387" s="87"/>
      <x:c r="Z5387" s="87"/>
      <x:c r="AA5387" s="87"/>
      <x:c r="AB5387" s="87"/>
      <x:c r="AC5387" s="87" t="str">
        <x:v>VIS-EGKR-MATHB-W25-TASK-952-P007</x:v>
      </x:c>
      <x:c r="AD5387" s="87"/>
      <x:c r="AE5387" s="87" t="str">
        <x:v>TASK</x:v>
      </x:c>
      <x:c r="AF5387" s="87" t="str">
        <x:v>VIS-EGKR-MATHB-W25-TASK-952-P007: 7</x:v>
      </x:c>
      <x:c r="AG5387" s="87" t="str">
        <x:v>RESOLVED</x:v>
      </x:c>
      <x:c r="AH5387" s="87" t="str">
        <x:v>CROP_VERIFIED</x:v>
      </x:c>
      <x:c r="AI5387" s="30"/>
      <x:c r="AJ5387" s="87" t="str">
        <x:v>clean</x:v>
      </x:c>
      <x:c r="AK5387" s="87" t="str">
        <x:v>clean-v0.14</x:v>
      </x:c>
      <x:c r="AL5387" s="87" t="str">
        <x:v>statgrad_clean_continuation_v0_14(1).xlsx</x:v>
      </x:c>
      <x:c r="AM5387" s="87" t="str">
        <x:v>MATHB_EGKR_952</x:v>
      </x:c>
      <x:c r="AN5387" s="87" t="n">
        <x:v>12</x:v>
      </x:c>
    </x:row>
    <x:row r="5388">
      <x:c r="A5388" s="87" t="n">
        <x:v>5387</x:v>
      </x:c>
      <x:c r="B5388" s="87" t="str">
        <x:v>EGKR-W25-MATHB-952-12</x:v>
      </x:c>
      <x:c r="C5388" s="87" t="str">
        <x:v>ЕГКР</x:v>
      </x:c>
      <x:c r="D5388" s="87"/>
      <x:c r="E5388" s="87" t="str">
        <x:v>Зима 2025</x:v>
      </x:c>
      <x:c r="F5388" s="87" t="str">
        <x:v>16.12.2025</x:v>
      </x:c>
      <x:c r="G5388" s="87" t="str">
        <x:v>Математика (база)</x:v>
      </x:c>
      <x:c r="H5388" s="87" t="n">
        <x:v>11</x:v>
      </x:c>
      <x:c r="I5388" s="87"/>
      <x:c r="J5388" s="87" t="str">
        <x:v>952</x:v>
      </x:c>
      <x:c r="K5388" s="87" t="n">
        <x:v>12</x:v>
      </x:c>
      <x:c r="L5388" s="87" t="str">
        <x:v>Планиметрия</x:v>
      </x:c>
      <x:c r="M5388" s="30" t="str">
        <x:v>Прямоугольник ABCD, где: AB = 51. AD = 119. Точка E на стороне BC, такая что угол EAB = 45°. Найдите длину отрезка ED.</x:v>
      </x:c>
      <x:c r="N5388" s="30" t="str">
        <x:v>85</x:v>
      </x:c>
      <x:c r="O5388" s="30" t="str">
        <x:v>Координаты точки E следуют из угла 45°; ED найден по теореме Пифагора.</x:v>
      </x:c>
      <x:c r="P5388" s="30" t="str">
        <x:v>Условие, вычисление и визуальная страница проверены независимо.</x:v>
      </x:c>
      <x:c r="Q5388" s="30"/>
      <x:c r="R5388" s="30" t="str">
        <x:v>85</x:v>
      </x:c>
      <x:c r="S5388" s="30"/>
      <x:c r="T5388" s="30"/>
      <x:c r="U5388" s="30" t="str">
        <x:v>Расхождений нет.</x:v>
      </x:c>
      <x:c r="V5388" s="87" t="str">
        <x:v>VERIFIED</x:v>
      </x:c>
      <x:c r="W5388" s="87"/>
      <x:c r="X5388" s="87" t="n">
        <x:v>7</x:v>
      </x:c>
      <x:c r="Y5388" s="87"/>
      <x:c r="Z5388" s="87"/>
      <x:c r="AA5388" s="87"/>
      <x:c r="AB5388" s="87"/>
      <x:c r="AC5388" s="87" t="str">
        <x:v>VIS-EGKR-MATHB-W25-TASK-952-P007</x:v>
      </x:c>
      <x:c r="AD5388" s="87"/>
      <x:c r="AE5388" s="87" t="str">
        <x:v>TASK</x:v>
      </x:c>
      <x:c r="AF5388" s="87" t="str">
        <x:v>VIS-EGKR-MATHB-W25-TASK-952-P007: 7</x:v>
      </x:c>
      <x:c r="AG5388" s="87" t="str">
        <x:v>RESOLVED</x:v>
      </x:c>
      <x:c r="AH5388" s="87" t="str">
        <x:v>CROP_VERIFIED</x:v>
      </x:c>
      <x:c r="AI5388" s="30"/>
      <x:c r="AJ5388" s="87" t="str">
        <x:v>clean</x:v>
      </x:c>
      <x:c r="AK5388" s="87" t="str">
        <x:v>clean-v0.14</x:v>
      </x:c>
      <x:c r="AL5388" s="87" t="str">
        <x:v>statgrad_clean_continuation_v0_14(1).xlsx</x:v>
      </x:c>
      <x:c r="AM5388" s="87" t="str">
        <x:v>MATHB_EGKR_952</x:v>
      </x:c>
      <x:c r="AN5388" s="87" t="n">
        <x:v>13</x:v>
      </x:c>
    </x:row>
    <x:row r="5389">
      <x:c r="A5389" s="87" t="n">
        <x:v>5388</x:v>
      </x:c>
      <x:c r="B5389" s="87" t="str">
        <x:v>EGKR-W25-MATHB-952-13</x:v>
      </x:c>
      <x:c r="C5389" s="87" t="str">
        <x:v>ЕГКР</x:v>
      </x:c>
      <x:c r="D5389" s="87"/>
      <x:c r="E5389" s="87" t="str">
        <x:v>Зима 2025</x:v>
      </x:c>
      <x:c r="F5389" s="87" t="str">
        <x:v>16.12.2025</x:v>
      </x:c>
      <x:c r="G5389" s="87" t="str">
        <x:v>Математика (база)</x:v>
      </x:c>
      <x:c r="H5389" s="87" t="n">
        <x:v>11</x:v>
      </x:c>
      <x:c r="I5389" s="87"/>
      <x:c r="J5389" s="87" t="str">
        <x:v>952</x:v>
      </x:c>
      <x:c r="K5389" s="87" t="n">
        <x:v>13</x:v>
      </x:c>
      <x:c r="L5389" s="87" t="str">
        <x:v>Стереометрия</x:v>
      </x:c>
      <x:c r="M5389" s="30" t="str">
        <x:v>В треугольной пирамиде ABCD рёбра AB, AC и AD взаимно перпендикулярны. Найдите объём этой пирамиды, если AB=3, AC=18 и AD=7. 4 1</x:v>
      </x:c>
      <x:c r="N5389" s="30" t="str">
        <x:v>63</x:v>
      </x:c>
      <x:c r="O5389" s="30" t="str">
        <x:v>Объём прямоугольного тетраэдра равен произведению трёх взаимно перпендикулярных рёбер, делённому на 6.</x:v>
      </x:c>
      <x:c r="P5389" s="30" t="str">
        <x:v>Условие, вычисление и визуальная страница проверены независимо.</x:v>
      </x:c>
      <x:c r="Q5389" s="30"/>
      <x:c r="R5389" s="30" t="str">
        <x:v>63</x:v>
      </x:c>
      <x:c r="S5389" s="30"/>
      <x:c r="T5389" s="30"/>
      <x:c r="U5389" s="30" t="str">
        <x:v>Расхождений нет.</x:v>
      </x:c>
      <x:c r="V5389" s="87" t="str">
        <x:v>VERIFIED</x:v>
      </x:c>
      <x:c r="W5389" s="87"/>
      <x:c r="X5389" s="87" t="n">
        <x:v>7</x:v>
      </x:c>
      <x:c r="Y5389" s="87"/>
      <x:c r="Z5389" s="87"/>
      <x:c r="AA5389" s="87"/>
      <x:c r="AB5389" s="87"/>
      <x:c r="AC5389" s="87" t="str">
        <x:v>VIS-EGKR-MATHB-W25-TASK-952-P007</x:v>
      </x:c>
      <x:c r="AD5389" s="87"/>
      <x:c r="AE5389" s="87" t="str">
        <x:v>TASK</x:v>
      </x:c>
      <x:c r="AF5389" s="87" t="str">
        <x:v>VIS-EGKR-MATHB-W25-TASK-952-P007: 7</x:v>
      </x:c>
      <x:c r="AG5389" s="87" t="str">
        <x:v>RESOLVED</x:v>
      </x:c>
      <x:c r="AH5389" s="87" t="str">
        <x:v>CROP_VERIFIED</x:v>
      </x:c>
      <x:c r="AI5389" s="30"/>
      <x:c r="AJ5389" s="87" t="str">
        <x:v>clean</x:v>
      </x:c>
      <x:c r="AK5389" s="87" t="str">
        <x:v>clean-v0.14</x:v>
      </x:c>
      <x:c r="AL5389" s="87" t="str">
        <x:v>statgrad_clean_continuation_v0_14(1).xlsx</x:v>
      </x:c>
      <x:c r="AM5389" s="87" t="str">
        <x:v>MATHB_EGKR_952</x:v>
      </x:c>
      <x:c r="AN5389" s="87" t="n">
        <x:v>14</x:v>
      </x:c>
    </x:row>
    <x:row r="5390">
      <x:c r="A5390" s="87" t="n">
        <x:v>5389</x:v>
      </x:c>
      <x:c r="B5390" s="87" t="str">
        <x:v>EGKR-W25-MATHB-952-14</x:v>
      </x:c>
      <x:c r="C5390" s="87" t="str">
        <x:v>ЕГКР</x:v>
      </x:c>
      <x:c r="D5390" s="87"/>
      <x:c r="E5390" s="87" t="str">
        <x:v>Зима 2025</x:v>
      </x:c>
      <x:c r="F5390" s="87" t="str">
        <x:v>16.12.2025</x:v>
      </x:c>
      <x:c r="G5390" s="87" t="str">
        <x:v>Математика (база)</x:v>
      </x:c>
      <x:c r="H5390" s="87" t="n">
        <x:v>11</x:v>
      </x:c>
      <x:c r="I5390" s="87"/>
      <x:c r="J5390" s="87" t="str">
        <x:v>952</x:v>
      </x:c>
      <x:c r="K5390" s="87" t="n">
        <x:v>14</x:v>
      </x:c>
      <x:c r="L5390" s="87" t="str">
        <x:v>Арифметическое выражение</x:v>
      </x:c>
      <x:c r="M5390" s="30" t="str">
        <x:v>Найдите значение выражения (2 − 0,8) ⋅ 3 . 5 8</x:v>
      </x:c>
      <x:c r="N5390" s="30" t="str">
        <x:v>6,25</x:v>
      </x:c>
      <x:c r="O5390" s="30" t="str">
        <x:v>Смешанные числа переведены в дроби и вычислены.</x:v>
      </x:c>
      <x:c r="P5390" s="30" t="str">
        <x:v>Условие, вычисление и визуальная страница проверены независимо.</x:v>
      </x:c>
      <x:c r="Q5390" s="30"/>
      <x:c r="R5390" s="30" t="str">
        <x:v>6,25</x:v>
      </x:c>
      <x:c r="S5390" s="30"/>
      <x:c r="T5390" s="30"/>
      <x:c r="U5390" s="30" t="str">
        <x:v>Расхождений нет.</x:v>
      </x:c>
      <x:c r="V5390" s="87" t="str">
        <x:v>VERIFIED</x:v>
      </x:c>
      <x:c r="W5390" s="87"/>
      <x:c r="X5390" s="87" t="n">
        <x:v>7</x:v>
      </x:c>
      <x:c r="Y5390" s="87"/>
      <x:c r="Z5390" s="87"/>
      <x:c r="AA5390" s="87"/>
      <x:c r="AB5390" s="87"/>
      <x:c r="AC5390" s="87" t="str">
        <x:v>VIS-EGKR-MATHB-W25-TASK-952-P007</x:v>
      </x:c>
      <x:c r="AD5390" s="87"/>
      <x:c r="AE5390" s="87" t="str">
        <x:v>TASK</x:v>
      </x:c>
      <x:c r="AF5390" s="87" t="str">
        <x:v>VIS-EGKR-MATHB-W25-TASK-952-P007: 7</x:v>
      </x:c>
      <x:c r="AG5390" s="87" t="str">
        <x:v>RESOLVED</x:v>
      </x:c>
      <x:c r="AH5390" s="87" t="str">
        <x:v>CROP_VERIFIED</x:v>
      </x:c>
      <x:c r="AI5390" s="30"/>
      <x:c r="AJ5390" s="87" t="str">
        <x:v>clean</x:v>
      </x:c>
      <x:c r="AK5390" s="87" t="str">
        <x:v>clean-v0.14</x:v>
      </x:c>
      <x:c r="AL5390" s="87" t="str">
        <x:v>statgrad_clean_continuation_v0_14(1).xlsx</x:v>
      </x:c>
      <x:c r="AM5390" s="87" t="str">
        <x:v>MATHB_EGKR_952</x:v>
      </x:c>
      <x:c r="AN5390" s="87" t="n">
        <x:v>15</x:v>
      </x:c>
    </x:row>
    <x:row r="5391">
      <x:c r="A5391" s="87" t="n">
        <x:v>5390</x:v>
      </x:c>
      <x:c r="B5391" s="87" t="str">
        <x:v>EGKR-W25-MATHB-952-15</x:v>
      </x:c>
      <x:c r="C5391" s="87" t="str">
        <x:v>ЕГКР</x:v>
      </x:c>
      <x:c r="D5391" s="87"/>
      <x:c r="E5391" s="87" t="str">
        <x:v>Зима 2025</x:v>
      </x:c>
      <x:c r="F5391" s="87" t="str">
        <x:v>16.12.2025</x:v>
      </x:c>
      <x:c r="G5391" s="87" t="str">
        <x:v>Математика (база)</x:v>
      </x:c>
      <x:c r="H5391" s="87" t="n">
        <x:v>11</x:v>
      </x:c>
      <x:c r="I5391" s="87"/>
      <x:c r="J5391" s="87" t="str">
        <x:v>952</x:v>
      </x:c>
      <x:c r="K5391" s="87" t="n">
        <x:v>15</x:v>
      </x:c>
      <x:c r="L5391" s="87" t="str">
        <x:v>Проценты</x:v>
      </x:c>
      <x:c r="M5391" s="30" t="str">
        <x:v>Городской бюджет составляет 76 млн рублей, а расходы на одну из его статей составили 20%. Сколько рублей потрачено на эту статью бюджета?</x:v>
      </x:c>
      <x:c r="N5391" s="30" t="str">
        <x:v>15200000</x:v>
      </x:c>
      <x:c r="O5391" s="30" t="str">
        <x:v>Процент умножен на бюджет; единица ответа взята строго из формулировки.</x:v>
      </x:c>
      <x:c r="P5391" s="30" t="str">
        <x:v>Условие, вычисление и визуальная страница проверены независимо.</x:v>
      </x:c>
      <x:c r="Q5391" s="30"/>
      <x:c r="R5391" s="30" t="str">
        <x:v>15,2</x:v>
      </x:c>
      <x:c r="S5391" s="30"/>
      <x:c r="T5391" s="30"/>
      <x:c r="U5391" s="30" t="str">
        <x:v>Ответник: 15,2; независимое решение: 15200000.</x:v>
      </x:c>
      <x:c r="V5391" s="87" t="str">
        <x:v>KEY_MISMATCH</x:v>
      </x:c>
      <x:c r="W5391" s="87"/>
      <x:c r="X5391" s="87" t="n">
        <x:v>7</x:v>
      </x:c>
      <x:c r="Y5391" s="87"/>
      <x:c r="Z5391" s="87"/>
      <x:c r="AA5391" s="87"/>
      <x:c r="AB5391" s="87"/>
      <x:c r="AC5391" s="87" t="str">
        <x:v>VIS-EGKR-MATHB-W25-TASK-952-P007</x:v>
      </x:c>
      <x:c r="AD5391" s="87"/>
      <x:c r="AE5391" s="87" t="str">
        <x:v>TASK</x:v>
      </x:c>
      <x:c r="AF5391" s="87" t="str">
        <x:v>VIS-EGKR-MATHB-W25-TASK-952-P007: 7</x:v>
      </x:c>
      <x:c r="AG5391" s="87" t="str">
        <x:v>RESOLVED</x:v>
      </x:c>
      <x:c r="AH5391" s="87" t="str">
        <x:v>CROP_VERIFIED</x:v>
      </x:c>
      <x:c r="AI5391" s="30"/>
      <x:c r="AJ5391" s="87" t="str">
        <x:v>clean</x:v>
      </x:c>
      <x:c r="AK5391" s="87" t="str">
        <x:v>clean-v0.14</x:v>
      </x:c>
      <x:c r="AL5391" s="87" t="str">
        <x:v>statgrad_clean_continuation_v0_14(1).xlsx</x:v>
      </x:c>
      <x:c r="AM5391" s="87" t="str">
        <x:v>MATHB_EGKR_952</x:v>
      </x:c>
      <x:c r="AN5391" s="87" t="n">
        <x:v>16</x:v>
      </x:c>
    </x:row>
    <x:row r="5392">
      <x:c r="A5392" s="87" t="n">
        <x:v>5391</x:v>
      </x:c>
      <x:c r="B5392" s="87" t="str">
        <x:v>EGKR-W25-MATHB-952-16</x:v>
      </x:c>
      <x:c r="C5392" s="87" t="str">
        <x:v>ЕГКР</x:v>
      </x:c>
      <x:c r="D5392" s="87"/>
      <x:c r="E5392" s="87" t="str">
        <x:v>Зима 2025</x:v>
      </x:c>
      <x:c r="F5392" s="87" t="str">
        <x:v>16.12.2025</x:v>
      </x:c>
      <x:c r="G5392" s="87" t="str">
        <x:v>Математика (база)</x:v>
      </x:c>
      <x:c r="H5392" s="87" t="n">
        <x:v>11</x:v>
      </x:c>
      <x:c r="I5392" s="87"/>
      <x:c r="J5392" s="87" t="str">
        <x:v>952</x:v>
      </x:c>
      <x:c r="K5392" s="87" t="n">
        <x:v>16</x:v>
      </x:c>
      <x:c r="L5392" s="87" t="str">
        <x:v>Степени/корни</x:v>
      </x:c>
      <x:c r="M5392" s="30" t="str">
        <x:v>Найдите значение выражения</x:v>
      </x:c>
      <x:c r="N5392" s="30" t="str">
        <x:v>49</x:v>
      </x:c>
      <x:c r="O5392" s="30" t="str">
        <x:v>Использованы свойства степеней либо преобразование радикалов.</x:v>
      </x:c>
      <x:c r="P5392" s="30" t="str">
        <x:v>Условие, вычисление и визуальная страница проверены независимо.</x:v>
      </x:c>
      <x:c r="Q5392" s="30"/>
      <x:c r="R5392" s="30" t="str">
        <x:v>49</x:v>
      </x:c>
      <x:c r="S5392" s="30"/>
      <x:c r="T5392" s="30"/>
      <x:c r="U5392" s="30" t="str">
        <x:v>Расхождений нет.</x:v>
      </x:c>
      <x:c r="V5392" s="87" t="str">
        <x:v>VERIFIED</x:v>
      </x:c>
      <x:c r="W5392" s="87"/>
      <x:c r="X5392" s="87" t="n">
        <x:v>7</x:v>
      </x:c>
      <x:c r="Y5392" s="87"/>
      <x:c r="Z5392" s="87"/>
      <x:c r="AA5392" s="87"/>
      <x:c r="AB5392" s="87"/>
      <x:c r="AC5392" s="87" t="str">
        <x:v>VIS-EGKR-MATHB-W25-TASK-952-P007</x:v>
      </x:c>
      <x:c r="AD5392" s="87"/>
      <x:c r="AE5392" s="87" t="str">
        <x:v>TASK</x:v>
      </x:c>
      <x:c r="AF5392" s="87" t="str">
        <x:v>VIS-EGKR-MATHB-W25-TASK-952-P007: 7</x:v>
      </x:c>
      <x:c r="AG5392" s="87" t="str">
        <x:v>RESOLVED</x:v>
      </x:c>
      <x:c r="AH5392" s="87" t="str">
        <x:v>CROP_VERIFIED</x:v>
      </x:c>
      <x:c r="AI5392" s="30"/>
      <x:c r="AJ5392" s="87" t="str">
        <x:v>clean</x:v>
      </x:c>
      <x:c r="AK5392" s="87" t="str">
        <x:v>clean-v0.14</x:v>
      </x:c>
      <x:c r="AL5392" s="87" t="str">
        <x:v>statgrad_clean_continuation_v0_14(1).xlsx</x:v>
      </x:c>
      <x:c r="AM5392" s="87" t="str">
        <x:v>MATHB_EGKR_952</x:v>
      </x:c>
      <x:c r="AN5392" s="87" t="n">
        <x:v>17</x:v>
      </x:c>
    </x:row>
    <x:row r="5393">
      <x:c r="A5393" s="87" t="n">
        <x:v>5392</x:v>
      </x:c>
      <x:c r="B5393" s="87" t="str">
        <x:v>EGKR-W25-MATHB-952-17</x:v>
      </x:c>
      <x:c r="C5393" s="87" t="str">
        <x:v>ЕГКР</x:v>
      </x:c>
      <x:c r="D5393" s="87"/>
      <x:c r="E5393" s="87" t="str">
        <x:v>Зима 2025</x:v>
      </x:c>
      <x:c r="F5393" s="87" t="str">
        <x:v>16.12.2025</x:v>
      </x:c>
      <x:c r="G5393" s="87" t="str">
        <x:v>Математика (база)</x:v>
      </x:c>
      <x:c r="H5393" s="87" t="n">
        <x:v>11</x:v>
      </x:c>
      <x:c r="I5393" s="87"/>
      <x:c r="J5393" s="87" t="str">
        <x:v>952</x:v>
      </x:c>
      <x:c r="K5393" s="87" t="n">
        <x:v>17</x:v>
      </x:c>
      <x:c r="L5393" s="87" t="str">
        <x:v>Уравнение</x:v>
      </x:c>
      <x:c r="M5393" s="30" t="str">
        <x:v>Решите уравнение х2 − 3х = 0 Если уравнение имеет больше одного корня, в ответе запишите больший из них.</x:v>
      </x:c>
      <x:c r="N5393" s="30" t="str">
        <x:v>3</x:v>
      </x:c>
      <x:c r="O5393" s="30" t="str">
        <x:v>Уравнение решено алгебраически с выбором требуемого корня.</x:v>
      </x:c>
      <x:c r="P5393" s="30" t="str">
        <x:v>Условие, вычисление и визуальная страница проверены независимо.</x:v>
      </x:c>
      <x:c r="Q5393" s="30"/>
      <x:c r="R5393" s="30" t="str">
        <x:v>3</x:v>
      </x:c>
      <x:c r="S5393" s="30"/>
      <x:c r="T5393" s="30"/>
      <x:c r="U5393" s="30" t="str">
        <x:v>Расхождений нет.</x:v>
      </x:c>
      <x:c r="V5393" s="87" t="str">
        <x:v>VERIFIED</x:v>
      </x:c>
      <x:c r="W5393" s="87"/>
      <x:c r="X5393" s="87" t="n">
        <x:v>8</x:v>
      </x:c>
      <x:c r="Y5393" s="87"/>
      <x:c r="Z5393" s="87"/>
      <x:c r="AA5393" s="87"/>
      <x:c r="AB5393" s="87"/>
      <x:c r="AC5393" s="87" t="str">
        <x:v>VIS-EGKR-MATHB-W25-TASK-952-P008</x:v>
      </x:c>
      <x:c r="AD5393" s="87"/>
      <x:c r="AE5393" s="87" t="str">
        <x:v>TASK</x:v>
      </x:c>
      <x:c r="AF5393" s="87" t="str">
        <x:v>VIS-EGKR-MATHB-W25-TASK-952-P008: 8</x:v>
      </x:c>
      <x:c r="AG5393" s="87" t="str">
        <x:v>RESOLVED</x:v>
      </x:c>
      <x:c r="AH5393" s="87" t="str">
        <x:v>CROP_VERIFIED</x:v>
      </x:c>
      <x:c r="AI5393" s="30"/>
      <x:c r="AJ5393" s="87" t="str">
        <x:v>clean</x:v>
      </x:c>
      <x:c r="AK5393" s="87" t="str">
        <x:v>clean-v0.14</x:v>
      </x:c>
      <x:c r="AL5393" s="87" t="str">
        <x:v>statgrad_clean_continuation_v0_14(1).xlsx</x:v>
      </x:c>
      <x:c r="AM5393" s="87" t="str">
        <x:v>MATHB_EGKR_952</x:v>
      </x:c>
      <x:c r="AN5393" s="87" t="n">
        <x:v>18</x:v>
      </x:c>
    </x:row>
    <x:row r="5394">
      <x:c r="A5394" s="87" t="n">
        <x:v>5393</x:v>
      </x:c>
      <x:c r="B5394" s="87" t="str">
        <x:v>EGKR-W25-MATHB-952-18</x:v>
      </x:c>
      <x:c r="C5394" s="87" t="str">
        <x:v>ЕГКР</x:v>
      </x:c>
      <x:c r="D5394" s="87"/>
      <x:c r="E5394" s="87" t="str">
        <x:v>Зима 2025</x:v>
      </x:c>
      <x:c r="F5394" s="87" t="str">
        <x:v>16.12.2025</x:v>
      </x:c>
      <x:c r="G5394" s="87" t="str">
        <x:v>Математика (база)</x:v>
      </x:c>
      <x:c r="H5394" s="87" t="n">
        <x:v>11</x:v>
      </x:c>
      <x:c r="I5394" s="87"/>
      <x:c r="J5394" s="87" t="str">
        <x:v>952</x:v>
      </x:c>
      <x:c r="K5394" s="87" t="n">
        <x:v>18</x:v>
      </x:c>
      <x:c r="L5394" s="87" t="str">
        <x:v>Числа и координатная прямая</x:v>
      </x:c>
      <x:c r="M5394" s="30" t="str">
        <x:v>На координатной прямой отмечено число m и точки A, B , C и D . Каждой точке соответствует одно из чисел в правом столбце. Установите соответствие между указанными точками и числами. ТОЧКИ ЧИСЛА A 1) 3 - m B 2) m2 C 3) 𝑚 − 2 D 4) 6/m Впишите в приведённую в ответе таблицу под каждой буквой соответствующий отрезку номер. А Б В Г</x:v>
      </x:c>
      <x:c r="N5394" s="30" t="str">
        <x:v>3142</x:v>
      </x:c>
      <x:c r="O5394" s="30" t="str">
        <x:v>Значения выражений оценены и сопоставлены точкам/интервалам.</x:v>
      </x:c>
      <x:c r="P5394" s="30" t="str">
        <x:v>Условие, вычисление и визуальная страница проверены независимо.</x:v>
      </x:c>
      <x:c r="Q5394" s="30"/>
      <x:c r="R5394" s="30" t="str">
        <x:v>3142</x:v>
      </x:c>
      <x:c r="S5394" s="30"/>
      <x:c r="T5394" s="30"/>
      <x:c r="U5394" s="30" t="str">
        <x:v>Расхождений нет.</x:v>
      </x:c>
      <x:c r="V5394" s="87" t="str">
        <x:v>VERIFIED</x:v>
      </x:c>
      <x:c r="W5394" s="87"/>
      <x:c r="X5394" s="87" t="n">
        <x:v>8</x:v>
      </x:c>
      <x:c r="Y5394" s="87"/>
      <x:c r="Z5394" s="87"/>
      <x:c r="AA5394" s="87"/>
      <x:c r="AB5394" s="87"/>
      <x:c r="AC5394" s="87" t="str">
        <x:v>VIS-EGKR-MATHB-W25-TASK-952-P008</x:v>
      </x:c>
      <x:c r="AD5394" s="87"/>
      <x:c r="AE5394" s="87" t="str">
        <x:v>TASK</x:v>
      </x:c>
      <x:c r="AF5394" s="87" t="str">
        <x:v>VIS-EGKR-MATHB-W25-TASK-952-P008: 8</x:v>
      </x:c>
      <x:c r="AG5394" s="87" t="str">
        <x:v>RESOLVED</x:v>
      </x:c>
      <x:c r="AH5394" s="87" t="str">
        <x:v>CROP_VERIFIED</x:v>
      </x:c>
      <x:c r="AI5394" s="30"/>
      <x:c r="AJ5394" s="87" t="str">
        <x:v>clean</x:v>
      </x:c>
      <x:c r="AK5394" s="87" t="str">
        <x:v>clean-v0.14</x:v>
      </x:c>
      <x:c r="AL5394" s="87" t="str">
        <x:v>statgrad_clean_continuation_v0_14(1).xlsx</x:v>
      </x:c>
      <x:c r="AM5394" s="87" t="str">
        <x:v>MATHB_EGKR_952</x:v>
      </x:c>
      <x:c r="AN5394" s="87" t="n">
        <x:v>19</x:v>
      </x:c>
    </x:row>
    <x:row r="5395">
      <x:c r="A5395" s="87" t="n">
        <x:v>5394</x:v>
      </x:c>
      <x:c r="B5395" s="87" t="str">
        <x:v>EGKR-W25-MATHB-952-19</x:v>
      </x:c>
      <x:c r="C5395" s="87" t="str">
        <x:v>ЕГКР</x:v>
      </x:c>
      <x:c r="D5395" s="87"/>
      <x:c r="E5395" s="87" t="str">
        <x:v>Зима 2025</x:v>
      </x:c>
      <x:c r="F5395" s="87" t="str">
        <x:v>16.12.2025</x:v>
      </x:c>
      <x:c r="G5395" s="87" t="str">
        <x:v>Математика (база)</x:v>
      </x:c>
      <x:c r="H5395" s="87" t="n">
        <x:v>11</x:v>
      </x:c>
      <x:c r="I5395" s="87"/>
      <x:c r="J5395" s="87" t="str">
        <x:v>952</x:v>
      </x:c>
      <x:c r="K5395" s="87" t="n">
        <x:v>19</x:v>
      </x:c>
      <x:c r="L5395" s="87" t="str">
        <x:v>Числовая задача</x:v>
      </x:c>
      <x:c r="M5395" s="30" t="str">
        <x:v>Цифры четырёхзначного числа, кратного 5, записали в обратном порядке и получили второе четырёхзначное число. Затем из первого числа вычли второе и получили 1629. В ответе запишите какое-нибудь одно такое исходное число.</x:v>
      </x:c>
      <x:c r="N5395" s="30" t="str">
        <x:v>6925</x:v>
      </x:c>
      <x:c r="O5395" s="30" t="str">
        <x:v>Число проверено подстановкой, разворотом цифр или перебором условий.</x:v>
      </x:c>
      <x:c r="P5395" s="30" t="str">
        <x:v>Условие, вычисление и визуальная страница проверены независимо.</x:v>
      </x:c>
      <x:c r="Q5395" s="30"/>
      <x:c r="R5395" s="30" t="str">
        <x:v>6925</x:v>
      </x:c>
      <x:c r="S5395" s="30"/>
      <x:c r="T5395" s="30"/>
      <x:c r="U5395" s="30" t="str">
        <x:v>Расхождений нет.</x:v>
      </x:c>
      <x:c r="V5395" s="87" t="str">
        <x:v>VERIFIED</x:v>
      </x:c>
      <x:c r="W5395" s="87"/>
      <x:c r="X5395" s="87" t="n">
        <x:v>8</x:v>
      </x:c>
      <x:c r="Y5395" s="87"/>
      <x:c r="Z5395" s="87"/>
      <x:c r="AA5395" s="87"/>
      <x:c r="AB5395" s="87"/>
      <x:c r="AC5395" s="87" t="str">
        <x:v>VIS-EGKR-MATHB-W25-TASK-952-P008</x:v>
      </x:c>
      <x:c r="AD5395" s="87"/>
      <x:c r="AE5395" s="87" t="str">
        <x:v>TASK</x:v>
      </x:c>
      <x:c r="AF5395" s="87" t="str">
        <x:v>VIS-EGKR-MATHB-W25-TASK-952-P008: 8</x:v>
      </x:c>
      <x:c r="AG5395" s="87" t="str">
        <x:v>RESOLVED</x:v>
      </x:c>
      <x:c r="AH5395" s="87" t="str">
        <x:v>CROP_VERIFIED</x:v>
      </x:c>
      <x:c r="AI5395" s="30"/>
      <x:c r="AJ5395" s="87" t="str">
        <x:v>clean</x:v>
      </x:c>
      <x:c r="AK5395" s="87" t="str">
        <x:v>clean-v0.14</x:v>
      </x:c>
      <x:c r="AL5395" s="87" t="str">
        <x:v>statgrad_clean_continuation_v0_14(1).xlsx</x:v>
      </x:c>
      <x:c r="AM5395" s="87" t="str">
        <x:v>MATHB_EGKR_952</x:v>
      </x:c>
      <x:c r="AN5395" s="87" t="n">
        <x:v>20</x:v>
      </x:c>
    </x:row>
    <x:row r="5396">
      <x:c r="A5396" s="87" t="n">
        <x:v>5395</x:v>
      </x:c>
      <x:c r="B5396" s="87" t="str">
        <x:v>EGKR-W25-MATHB-952-20</x:v>
      </x:c>
      <x:c r="C5396" s="87" t="str">
        <x:v>ЕГКР</x:v>
      </x:c>
      <x:c r="D5396" s="87"/>
      <x:c r="E5396" s="87" t="str">
        <x:v>Зима 2025</x:v>
      </x:c>
      <x:c r="F5396" s="87" t="str">
        <x:v>16.12.2025</x:v>
      </x:c>
      <x:c r="G5396" s="87" t="str">
        <x:v>Математика (база)</x:v>
      </x:c>
      <x:c r="H5396" s="87" t="n">
        <x:v>11</x:v>
      </x:c>
      <x:c r="I5396" s="87"/>
      <x:c r="J5396" s="87" t="str">
        <x:v>952</x:v>
      </x:c>
      <x:c r="K5396" s="87" t="n">
        <x:v>20</x:v>
      </x:c>
      <x:c r="L5396" s="87" t="str">
        <x:v>Задача на движение</x:v>
      </x:c>
      <x:c r="M5396" s="30" t="str">
        <x:v>Расстояние между городами A и B равно 250 км. Из города A в город B со скоростью 60 км/ч выехал первый автомобиль, а через два часа после этого навстречу ему из города B выехал со скоростью 55 км/ч второй автомобиль. На каком расстоянии от города A автомобили встретятся? Ответ дайте в километрах.</x:v>
      </x:c>
      <x:c r="N5396" s="30" t="str">
        <x:v>4320/23 (≈187,826)</x:v>
      </x:c>
      <x:c r="O5396" s="30" t="str">
        <x:v>Составлено уравнение движения либо вычислена средняя скорость.</x:v>
      </x:c>
      <x:c r="P5396" s="30" t="str">
        <x:v>Условие, вычисление и визуальная страница проверены независимо.</x:v>
      </x:c>
      <x:c r="Q5396" s="30"/>
      <x:c r="R5396" s="30" t="str">
        <x:v>165</x:v>
      </x:c>
      <x:c r="S5396" s="30"/>
      <x:c r="T5396" s="30"/>
      <x:c r="U5396" s="30" t="str">
        <x:v>Формулировка противоречит формату/условиям; ответник указывает 165.</x:v>
      </x:c>
      <x:c r="V5396" s="87" t="str">
        <x:v>TASK_DEFECT</x:v>
      </x:c>
      <x:c r="W5396" s="87"/>
      <x:c r="X5396" s="87" t="n">
        <x:v>8</x:v>
      </x:c>
      <x:c r="Y5396" s="87"/>
      <x:c r="Z5396" s="87"/>
      <x:c r="AA5396" s="87"/>
      <x:c r="AB5396" s="87"/>
      <x:c r="AC5396" s="87" t="str">
        <x:v>VIS-EGKR-MATHB-W25-TASK-952-P008</x:v>
      </x:c>
      <x:c r="AD5396" s="87"/>
      <x:c r="AE5396" s="87" t="str">
        <x:v>TASK</x:v>
      </x:c>
      <x:c r="AF5396" s="87" t="str">
        <x:v>VIS-EGKR-MATHB-W25-TASK-952-P008: 8</x:v>
      </x:c>
      <x:c r="AG5396" s="87" t="str">
        <x:v>RESOLVED</x:v>
      </x:c>
      <x:c r="AH5396" s="87" t="str">
        <x:v>CROP_VERIFIED</x:v>
      </x:c>
      <x:c r="AI5396" s="30"/>
      <x:c r="AJ5396" s="87" t="str">
        <x:v>clean</x:v>
      </x:c>
      <x:c r="AK5396" s="87" t="str">
        <x:v>clean-v0.14</x:v>
      </x:c>
      <x:c r="AL5396" s="87" t="str">
        <x:v>statgrad_clean_continuation_v0_14(1).xlsx</x:v>
      </x:c>
      <x:c r="AM5396" s="87" t="str">
        <x:v>MATHB_EGKR_952</x:v>
      </x:c>
      <x:c r="AN5396" s="87" t="n">
        <x:v>21</x:v>
      </x:c>
    </x:row>
    <x:row r="5397">
      <x:c r="A5397" s="87" t="n">
        <x:v>5396</x:v>
      </x:c>
      <x:c r="B5397" s="87" t="str">
        <x:v>EGKR-W25-MATHB-952-21</x:v>
      </x:c>
      <x:c r="C5397" s="87" t="str">
        <x:v>ЕГКР</x:v>
      </x:c>
      <x:c r="D5397" s="87"/>
      <x:c r="E5397" s="87" t="str">
        <x:v>Зима 2025</x:v>
      </x:c>
      <x:c r="F5397" s="87" t="str">
        <x:v>16.12.2025</x:v>
      </x:c>
      <x:c r="G5397" s="87" t="str">
        <x:v>Математика (база)</x:v>
      </x:c>
      <x:c r="H5397" s="87" t="n">
        <x:v>11</x:v>
      </x:c>
      <x:c r="I5397" s="87"/>
      <x:c r="J5397" s="87" t="str">
        <x:v>952</x:v>
      </x:c>
      <x:c r="K5397" s="87" t="n">
        <x:v>21</x:v>
      </x:c>
      <x:c r="L5397" s="87" t="str">
        <x:v>Задача с целыми числами</x:v>
      </x:c>
      <x:c r="M5397" s="30" t="str">
        <x:v>Про натуральные числа А, В и С известно, что каждое из них больше 5, но меньше 9. Загадали натуральное число, затем умножили на А, потом прибавили к полученному произведению В и вычли С. Получилось 165. Какое число было загадано?</x:v>
      </x:c>
      <x:c r="N5397" s="30" t="str">
        <x:v>решений нет</x:v>
      </x:c>
      <x:c r="O5397" s="30" t="str">
        <x:v>Условия на целые числа проверены перебором допустимых значений.</x:v>
      </x:c>
      <x:c r="P5397" s="30" t="str">
        <x:v>Условие, вычисление и визуальная страница проверены независимо.</x:v>
      </x:c>
      <x:c r="Q5397" s="30"/>
      <x:c r="R5397" s="30" t="str">
        <x:v>33</x:v>
      </x:c>
      <x:c r="S5397" s="30"/>
      <x:c r="T5397" s="30"/>
      <x:c r="U5397" s="30" t="str">
        <x:v>Формулировка противоречит формату/условиям; ответник указывает 33.</x:v>
      </x:c>
      <x:c r="V5397" s="87" t="str">
        <x:v>TASK_DEFECT</x:v>
      </x:c>
      <x:c r="W5397" s="87"/>
      <x:c r="X5397" s="87" t="n">
        <x:v>8</x:v>
      </x:c>
      <x:c r="Y5397" s="87"/>
      <x:c r="Z5397" s="87"/>
      <x:c r="AA5397" s="87"/>
      <x:c r="AB5397" s="87"/>
      <x:c r="AC5397" s="87" t="str">
        <x:v>VIS-EGKR-MATHB-W25-TASK-952-P008</x:v>
      </x:c>
      <x:c r="AD5397" s="87"/>
      <x:c r="AE5397" s="87" t="str">
        <x:v>TASK</x:v>
      </x:c>
      <x:c r="AF5397" s="87" t="str">
        <x:v>VIS-EGKR-MATHB-W25-TASK-952-P008: 8</x:v>
      </x:c>
      <x:c r="AG5397" s="87" t="str">
        <x:v>RESOLVED</x:v>
      </x:c>
      <x:c r="AH5397" s="87" t="str">
        <x:v>CROP_VERIFIED</x:v>
      </x:c>
      <x:c r="AI5397" s="30"/>
      <x:c r="AJ5397" s="87" t="str">
        <x:v>clean</x:v>
      </x:c>
      <x:c r="AK5397" s="87" t="str">
        <x:v>clean-v0.14</x:v>
      </x:c>
      <x:c r="AL5397" s="87" t="str">
        <x:v>statgrad_clean_continuation_v0_14(1).xlsx</x:v>
      </x:c>
      <x:c r="AM5397" s="87" t="str">
        <x:v>MATHB_EGKR_952</x:v>
      </x:c>
      <x:c r="AN5397" s="87" t="n">
        <x:v>22</x:v>
      </x:c>
    </x:row>
    <x:row r="5398">
      <x:c r="A5398" s="87" t="n">
        <x:v>5397</x:v>
      </x:c>
      <x:c r="B5398" s="87" t="str">
        <x:v>EGKR-W25-MATHB-953-01</x:v>
      </x:c>
      <x:c r="C5398" s="87" t="str">
        <x:v>ЕГКР</x:v>
      </x:c>
      <x:c r="D5398" s="87"/>
      <x:c r="E5398" s="87" t="str">
        <x:v>Зима 2025</x:v>
      </x:c>
      <x:c r="F5398" s="87" t="str">
        <x:v>16.12.2025</x:v>
      </x:c>
      <x:c r="G5398" s="87" t="str">
        <x:v>Математика (база)</x:v>
      </x:c>
      <x:c r="H5398" s="87" t="n">
        <x:v>11</x:v>
      </x:c>
      <x:c r="I5398" s="87"/>
      <x:c r="J5398" s="87" t="str">
        <x:v>953</x:v>
      </x:c>
      <x:c r="K5398" s="87" t="n">
        <x:v>1</x:v>
      </x:c>
      <x:c r="L5398" s="87" t="str">
        <x:v>Практическая арифметика</x:v>
      </x:c>
      <x:c r="M5398" s="30" t="str">
        <x:v>В летнем лагере 168 детей и 26 воспитателей. В одном автобусе можно перевозить не более 45 пассажиров. Какое наименьшее количество таких автобусов понадобится, чтобы за один раз перевезти всех из лагеря в город?</x:v>
      </x:c>
      <x:c r="N5398" s="30" t="str">
        <x:v>5</x:v>
      </x:c>
      <x:c r="O5398" s="30" t="str">
        <x:v>Выполнен прямой расчёт и, где требуется, округление вверх.</x:v>
      </x:c>
      <x:c r="P5398" s="30" t="str">
        <x:v>Условие, вычисление и визуальная страница проверены независимо.</x:v>
      </x:c>
      <x:c r="Q5398" s="30"/>
      <x:c r="R5398" s="30" t="str">
        <x:v>5</x:v>
      </x:c>
      <x:c r="S5398" s="30"/>
      <x:c r="T5398" s="30"/>
      <x:c r="U5398" s="30" t="str">
        <x:v>Расхождений нет.</x:v>
      </x:c>
      <x:c r="V5398" s="87" t="str">
        <x:v>VERIFIED</x:v>
      </x:c>
      <x:c r="W5398" s="87"/>
      <x:c r="X5398" s="87" t="n">
        <x:v>2</x:v>
      </x:c>
      <x:c r="Y5398" s="87"/>
      <x:c r="Z5398" s="87"/>
      <x:c r="AA5398" s="87"/>
      <x:c r="AB5398" s="87"/>
      <x:c r="AC5398" s="87" t="str">
        <x:v>VIS-EGKR-MATHB-W25-TASK-953-P002</x:v>
      </x:c>
      <x:c r="AD5398" s="87"/>
      <x:c r="AE5398" s="87" t="str">
        <x:v>TASK</x:v>
      </x:c>
      <x:c r="AF5398" s="87" t="str">
        <x:v>VIS-EGKR-MATHB-W25-TASK-953-P002: 2</x:v>
      </x:c>
      <x:c r="AG5398" s="87" t="str">
        <x:v>RESOLVED</x:v>
      </x:c>
      <x:c r="AH5398" s="87" t="str">
        <x:v>CROP_VERIFIED</x:v>
      </x:c>
      <x:c r="AI5398" s="30"/>
      <x:c r="AJ5398" s="87" t="str">
        <x:v>clean</x:v>
      </x:c>
      <x:c r="AK5398" s="87" t="str">
        <x:v>clean-v0.14</x:v>
      </x:c>
      <x:c r="AL5398" s="87" t="str">
        <x:v>statgrad_clean_continuation_v0_14(1).xlsx</x:v>
      </x:c>
      <x:c r="AM5398" s="87" t="str">
        <x:v>MATHB_EGKR_953</x:v>
      </x:c>
      <x:c r="AN5398" s="87" t="n">
        <x:v>2</x:v>
      </x:c>
    </x:row>
    <x:row r="5399">
      <x:c r="A5399" s="87" t="n">
        <x:v>5398</x:v>
      </x:c>
      <x:c r="B5399" s="87" t="str">
        <x:v>EGKR-W25-MATHB-953-02</x:v>
      </x:c>
      <x:c r="C5399" s="87" t="str">
        <x:v>ЕГКР</x:v>
      </x:c>
      <x:c r="D5399" s="87"/>
      <x:c r="E5399" s="87" t="str">
        <x:v>Зима 2025</x:v>
      </x:c>
      <x:c r="F5399" s="87" t="str">
        <x:v>16.12.2025</x:v>
      </x:c>
      <x:c r="G5399" s="87" t="str">
        <x:v>Математика (база)</x:v>
      </x:c>
      <x:c r="H5399" s="87" t="n">
        <x:v>11</x:v>
      </x:c>
      <x:c r="I5399" s="87"/>
      <x:c r="J5399" s="87" t="str">
        <x:v>953</x:v>
      </x:c>
      <x:c r="K5399" s="87" t="n">
        <x:v>2</x:v>
      </x:c>
      <x:c r="L5399" s="87" t="str">
        <x:v>Установление соответствия</x:v>
      </x:c>
      <x:c r="M5399"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масса двухлитрового пакета сока 1) 130 т Б) масса взрослого кита 2) 2 кг В) масса яблока 3) 400 мг Г) масса таблетки лекарства 4) 120 г В таблице под каждой буквой, соответствующей величине, укажите номер её возможного значения. А Б В Г</x:v>
      </x:c>
      <x:c r="N5399" s="30" t="str">
        <x:v>2143</x:v>
      </x:c>
      <x:c r="O5399" s="30" t="str">
        <x:v>Величины сопоставлены по реалистичным единицам и порядкам.</x:v>
      </x:c>
      <x:c r="P5399" s="30" t="str">
        <x:v>Условие, вычисление и визуальная страница проверены независимо.</x:v>
      </x:c>
      <x:c r="Q5399" s="30"/>
      <x:c r="R5399" s="30" t="str">
        <x:v>2143</x:v>
      </x:c>
      <x:c r="S5399" s="30"/>
      <x:c r="T5399" s="30"/>
      <x:c r="U5399" s="30" t="str">
        <x:v>Расхождений нет.</x:v>
      </x:c>
      <x:c r="V5399" s="87" t="str">
        <x:v>VERIFIED</x:v>
      </x:c>
      <x:c r="W5399" s="87"/>
      <x:c r="X5399" s="87" t="n">
        <x:v>2</x:v>
      </x:c>
      <x:c r="Y5399" s="87"/>
      <x:c r="Z5399" s="87"/>
      <x:c r="AA5399" s="87"/>
      <x:c r="AB5399" s="87"/>
      <x:c r="AC5399" s="87" t="str">
        <x:v>VIS-EGKR-MATHB-W25-TASK-953-P002</x:v>
      </x:c>
      <x:c r="AD5399" s="87"/>
      <x:c r="AE5399" s="87" t="str">
        <x:v>TASK</x:v>
      </x:c>
      <x:c r="AF5399" s="87" t="str">
        <x:v>VIS-EGKR-MATHB-W25-TASK-953-P002: 2</x:v>
      </x:c>
      <x:c r="AG5399" s="87" t="str">
        <x:v>RESOLVED</x:v>
      </x:c>
      <x:c r="AH5399" s="87" t="str">
        <x:v>CROP_VERIFIED</x:v>
      </x:c>
      <x:c r="AI5399" s="30"/>
      <x:c r="AJ5399" s="87" t="str">
        <x:v>clean</x:v>
      </x:c>
      <x:c r="AK5399" s="87" t="str">
        <x:v>clean-v0.14</x:v>
      </x:c>
      <x:c r="AL5399" s="87" t="str">
        <x:v>statgrad_clean_continuation_v0_14(1).xlsx</x:v>
      </x:c>
      <x:c r="AM5399" s="87" t="str">
        <x:v>MATHB_EGKR_953</x:v>
      </x:c>
      <x:c r="AN5399" s="87" t="n">
        <x:v>3</x:v>
      </x:c>
    </x:row>
    <x:row r="5400">
      <x:c r="A5400" s="87" t="n">
        <x:v>5399</x:v>
      </x:c>
      <x:c r="B5400" s="87" t="str">
        <x:v>EGKR-W25-MATHB-953-03</x:v>
      </x:c>
      <x:c r="C5400" s="87" t="str">
        <x:v>ЕГКР</x:v>
      </x:c>
      <x:c r="D5400" s="87"/>
      <x:c r="E5400" s="87" t="str">
        <x:v>Зима 2025</x:v>
      </x:c>
      <x:c r="F5400" s="87" t="str">
        <x:v>16.12.2025</x:v>
      </x:c>
      <x:c r="G5400" s="87" t="str">
        <x:v>Математика (база)</x:v>
      </x:c>
      <x:c r="H5400" s="87" t="n">
        <x:v>11</x:v>
      </x:c>
      <x:c r="I5400" s="87"/>
      <x:c r="J5400" s="87" t="str">
        <x:v>953</x:v>
      </x:c>
      <x:c r="K5400" s="87" t="n">
        <x:v>3</x:v>
      </x:c>
      <x:c r="L5400" s="87" t="str">
        <x:v>Анализ таблицы</x:v>
      </x:c>
      <x:c r="M5400" s="30" t="str">
        <x:v>Результаты игры КВН представлены в таблице. Команда Баллы за конкурс Баллы за конкурс Баллы за музыкальный «Приветствие» «СТЭМ» конкурс «АТОМ» 30 21 26 «Шумы» 27 24 24 «Топчан» 28 23 25 «Лёлек и 30 22 27 Болек» Для каждой команды баллы по всем конкурсам суммируются. Победителем считается команда, набравшая в сумме по всем конкурсам наибольшее количество баллов. Сколько в сумме баллов у команды-победителя?</x:v>
      </x:c>
      <x:c r="N5400" s="30" t="str">
        <x:v>79</x:v>
      </x:c>
      <x:c r="O5400" s="30" t="str">
        <x:v>Баллы в строках таблицы сложены; выбран максимум.</x:v>
      </x:c>
      <x:c r="P5400" s="30" t="str">
        <x:v>Условие, вычисление и визуальная страница проверены независимо.</x:v>
      </x:c>
      <x:c r="Q5400" s="30"/>
      <x:c r="R5400" s="30" t="str">
        <x:v>79</x:v>
      </x:c>
      <x:c r="S5400" s="30"/>
      <x:c r="T5400" s="30"/>
      <x:c r="U5400" s="30" t="str">
        <x:v>Расхождений нет.</x:v>
      </x:c>
      <x:c r="V5400" s="87" t="str">
        <x:v>VERIFIED</x:v>
      </x:c>
      <x:c r="W5400" s="87"/>
      <x:c r="X5400" s="87" t="n">
        <x:v>3</x:v>
      </x:c>
      <x:c r="Y5400" s="87"/>
      <x:c r="Z5400" s="87"/>
      <x:c r="AA5400" s="87"/>
      <x:c r="AB5400" s="87"/>
      <x:c r="AC5400" s="87" t="str">
        <x:v>VIS-EGKR-MATHB-W25-TASK-953-P003</x:v>
      </x:c>
      <x:c r="AD5400" s="87"/>
      <x:c r="AE5400" s="87" t="str">
        <x:v>TASK</x:v>
      </x:c>
      <x:c r="AF5400" s="87" t="str">
        <x:v>VIS-EGKR-MATHB-W25-TASK-953-P003: 3</x:v>
      </x:c>
      <x:c r="AG5400" s="87" t="str">
        <x:v>RESOLVED</x:v>
      </x:c>
      <x:c r="AH5400" s="87" t="str">
        <x:v>CROP_VERIFIED</x:v>
      </x:c>
      <x:c r="AI5400" s="30"/>
      <x:c r="AJ5400" s="87" t="str">
        <x:v>clean</x:v>
      </x:c>
      <x:c r="AK5400" s="87" t="str">
        <x:v>clean-v0.14</x:v>
      </x:c>
      <x:c r="AL5400" s="87" t="str">
        <x:v>statgrad_clean_continuation_v0_14(1).xlsx</x:v>
      </x:c>
      <x:c r="AM5400" s="87" t="str">
        <x:v>MATHB_EGKR_953</x:v>
      </x:c>
      <x:c r="AN5400" s="87" t="n">
        <x:v>4</x:v>
      </x:c>
    </x:row>
    <x:row r="5401">
      <x:c r="A5401" s="87" t="n">
        <x:v>5400</x:v>
      </x:c>
      <x:c r="B5401" s="87" t="str">
        <x:v>EGKR-W25-MATHB-953-04</x:v>
      </x:c>
      <x:c r="C5401" s="87" t="str">
        <x:v>ЕГКР</x:v>
      </x:c>
      <x:c r="D5401" s="87"/>
      <x:c r="E5401" s="87" t="str">
        <x:v>Зима 2025</x:v>
      </x:c>
      <x:c r="F5401" s="87" t="str">
        <x:v>16.12.2025</x:v>
      </x:c>
      <x:c r="G5401" s="87" t="str">
        <x:v>Математика (база)</x:v>
      </x:c>
      <x:c r="H5401" s="87" t="n">
        <x:v>11</x:v>
      </x:c>
      <x:c r="I5401" s="87"/>
      <x:c r="J5401" s="87" t="str">
        <x:v>953</x:v>
      </x:c>
      <x:c r="K5401" s="87" t="n">
        <x:v>4</x:v>
      </x:c>
      <x:c r="L5401" s="87" t="str">
        <x:v>Применение формулы</x:v>
      </x:c>
      <x:c r="M5401" s="30" t="str">
        <x:v>Зная длину своего шага, человек может приближённо подсчитать пройденное им рассто яние s по формуле s = nl, где n - число шагов, l - длина шага. Какое расстояние прошёл человек, если l =50 см, n = 1300?</x:v>
      </x:c>
      <x:c r="N5401" s="30" t="str">
        <x:v>650</x:v>
      </x:c>
      <x:c r="O5401" s="30" t="str">
        <x:v>Длина шага умножена на число шагов и переведена в метры.</x:v>
      </x:c>
      <x:c r="P5401" s="30" t="str">
        <x:v>Условие, вычисление и визуальная страница проверены независимо.</x:v>
      </x:c>
      <x:c r="Q5401" s="30"/>
      <x:c r="R5401" s="30" t="str">
        <x:v>650</x:v>
      </x:c>
      <x:c r="S5401" s="30"/>
      <x:c r="T5401" s="30"/>
      <x:c r="U5401" s="30" t="str">
        <x:v>Расхождений нет.</x:v>
      </x:c>
      <x:c r="V5401" s="87" t="str">
        <x:v>VERIFIED</x:v>
      </x:c>
      <x:c r="W5401" s="87"/>
      <x:c r="X5401" s="87" t="n">
        <x:v>3</x:v>
      </x:c>
      <x:c r="Y5401" s="87"/>
      <x:c r="Z5401" s="87"/>
      <x:c r="AA5401" s="87"/>
      <x:c r="AB5401" s="87"/>
      <x:c r="AC5401" s="87" t="str">
        <x:v>VIS-EGKR-MATHB-W25-TASK-953-P003</x:v>
      </x:c>
      <x:c r="AD5401" s="87"/>
      <x:c r="AE5401" s="87" t="str">
        <x:v>TASK</x:v>
      </x:c>
      <x:c r="AF5401" s="87" t="str">
        <x:v>VIS-EGKR-MATHB-W25-TASK-953-P003: 3</x:v>
      </x:c>
      <x:c r="AG5401" s="87" t="str">
        <x:v>RESOLVED</x:v>
      </x:c>
      <x:c r="AH5401" s="87" t="str">
        <x:v>CROP_VERIFIED</x:v>
      </x:c>
      <x:c r="AI5401" s="30"/>
      <x:c r="AJ5401" s="87" t="str">
        <x:v>clean</x:v>
      </x:c>
      <x:c r="AK5401" s="87" t="str">
        <x:v>clean-v0.14</x:v>
      </x:c>
      <x:c r="AL5401" s="87" t="str">
        <x:v>statgrad_clean_continuation_v0_14(1).xlsx</x:v>
      </x:c>
      <x:c r="AM5401" s="87" t="str">
        <x:v>MATHB_EGKR_953</x:v>
      </x:c>
      <x:c r="AN5401" s="87" t="n">
        <x:v>5</x:v>
      </x:c>
    </x:row>
    <x:row r="5402">
      <x:c r="A5402" s="87" t="n">
        <x:v>5401</x:v>
      </x:c>
      <x:c r="B5402" s="87" t="str">
        <x:v>EGKR-W25-MATHB-953-05</x:v>
      </x:c>
      <x:c r="C5402" s="87" t="str">
        <x:v>ЕГКР</x:v>
      </x:c>
      <x:c r="D5402" s="87"/>
      <x:c r="E5402" s="87" t="str">
        <x:v>Зима 2025</x:v>
      </x:c>
      <x:c r="F5402" s="87" t="str">
        <x:v>16.12.2025</x:v>
      </x:c>
      <x:c r="G5402" s="87" t="str">
        <x:v>Математика (база)</x:v>
      </x:c>
      <x:c r="H5402" s="87" t="n">
        <x:v>11</x:v>
      </x:c>
      <x:c r="I5402" s="87"/>
      <x:c r="J5402" s="87" t="str">
        <x:v>953</x:v>
      </x:c>
      <x:c r="K5402" s="87" t="n">
        <x:v>5</x:v>
      </x:c>
      <x:c r="L5402" s="87" t="str">
        <x:v>Вероятность</x:v>
      </x:c>
      <x:c r="M5402" s="30" t="str">
        <x:v>На экзамене по геометрии школьник должен ответить на один вопрос из списка экзаменационных вопросов. Вероятность того, что эта задача по теме «Тригонометрия», равна 0,3. Вероятность того, что это окажется задача по теме «Внешние углы», равна 0,2. Вопросов, которые одновременно относятся к этим двум темам, нет. Найдите вероятность того, что на экзамене школьнику достанется вопрос по одной из этих двух тем.</x:v>
      </x:c>
      <x:c r="N5402" s="30" t="str">
        <x:v>0,5</x:v>
      </x:c>
      <x:c r="O5402" s="30" t="str">
        <x:v>Вероятности несовместных событий сложены.</x:v>
      </x:c>
      <x:c r="P5402" s="30" t="str">
        <x:v>Условие, вычисление и визуальная страница проверены независимо.</x:v>
      </x:c>
      <x:c r="Q5402" s="30"/>
      <x:c r="R5402" s="30" t="str">
        <x:v>0,5</x:v>
      </x:c>
      <x:c r="S5402" s="30"/>
      <x:c r="T5402" s="30"/>
      <x:c r="U5402" s="30" t="str">
        <x:v>Расхождений нет.</x:v>
      </x:c>
      <x:c r="V5402" s="87" t="str">
        <x:v>VERIFIED</x:v>
      </x:c>
      <x:c r="W5402" s="87"/>
      <x:c r="X5402" s="87" t="n">
        <x:v>3</x:v>
      </x:c>
      <x:c r="Y5402" s="87"/>
      <x:c r="Z5402" s="87"/>
      <x:c r="AA5402" s="87"/>
      <x:c r="AB5402" s="87"/>
      <x:c r="AC5402" s="87" t="str">
        <x:v>VIS-EGKR-MATHB-W25-TASK-953-P003</x:v>
      </x:c>
      <x:c r="AD5402" s="87"/>
      <x:c r="AE5402" s="87" t="str">
        <x:v>TASK</x:v>
      </x:c>
      <x:c r="AF5402" s="87" t="str">
        <x:v>VIS-EGKR-MATHB-W25-TASK-953-P003: 3</x:v>
      </x:c>
      <x:c r="AG5402" s="87" t="str">
        <x:v>RESOLVED</x:v>
      </x:c>
      <x:c r="AH5402" s="87" t="str">
        <x:v>CROP_VERIFIED</x:v>
      </x:c>
      <x:c r="AI5402" s="30"/>
      <x:c r="AJ5402" s="87" t="str">
        <x:v>clean</x:v>
      </x:c>
      <x:c r="AK5402" s="87" t="str">
        <x:v>clean-v0.14</x:v>
      </x:c>
      <x:c r="AL5402" s="87" t="str">
        <x:v>statgrad_clean_continuation_v0_14(1).xlsx</x:v>
      </x:c>
      <x:c r="AM5402" s="87" t="str">
        <x:v>MATHB_EGKR_953</x:v>
      </x:c>
      <x:c r="AN5402" s="87" t="n">
        <x:v>6</x:v>
      </x:c>
    </x:row>
    <x:row r="5403">
      <x:c r="A5403" s="87" t="n">
        <x:v>5402</x:v>
      </x:c>
      <x:c r="B5403" s="87" t="str">
        <x:v>EGKR-W25-MATHB-953-06</x:v>
      </x:c>
      <x:c r="C5403" s="87" t="str">
        <x:v>ЕГКР</x:v>
      </x:c>
      <x:c r="D5403" s="87"/>
      <x:c r="E5403" s="87" t="str">
        <x:v>Зима 2025</x:v>
      </x:c>
      <x:c r="F5403" s="87" t="str">
        <x:v>16.12.2025</x:v>
      </x:c>
      <x:c r="G5403" s="87" t="str">
        <x:v>Математика (база)</x:v>
      </x:c>
      <x:c r="H5403" s="87" t="n">
        <x:v>11</x:v>
      </x:c>
      <x:c r="I5403" s="87"/>
      <x:c r="J5403" s="87" t="str">
        <x:v>953</x:v>
      </x:c>
      <x:c r="K5403" s="87" t="n">
        <x:v>6</x:v>
      </x:c>
      <x:c r="L5403" s="87" t="str">
        <x:v>Оптимальный выбор</x:v>
      </x:c>
      <x:c r="M5403" s="30" t="str">
        <x:v>Путешественник из Москвы хочет посетить 4 города Золотого кольца России: Владимир, Ярославль, Суздаль и Ростов Великий. Турагентство предлагает маршруты с посещением некоторых городов Золотого кольца. Сведения о стоимости билетов и маршрутах представлены в таблице. Номер маршрута Посещаемые города Стоимость (руб.). 1 Суздаль, Ярославль, Владимир 3800 2 Ростов Великий, Владимир 2250 3 Ростов Великий, Суздаль 2700 4 Ярославль, Владимир 2100 5 Ростов Великий, Ярославль 2300 6 Суздаль 1700 Какие маршруты должен выбрать путешественник, чтобы побыть во всех четырех городах и потратить на билеты меньшее 6000 рублей? В ответе укажите какой-нибудь один набор номеров маршрутов без пробелов, запятых и других дополнительных символов.</x:v>
      </x:c>
      <x:c r="N5403" s="30" t="str">
        <x:v>34</x:v>
      </x:c>
      <x:c r="O5403" s="30" t="str">
        <x:v>Подобран набор маршрутов, покрывающий четыре города и удовлетворяющий ограничению цены.</x:v>
      </x:c>
      <x:c r="P5403" s="30" t="str">
        <x:v>Условие, вычисление и визуальная страница проверены независимо.</x:v>
      </x:c>
      <x:c r="Q5403" s="30"/>
      <x:c r="R5403" s="30" t="str">
        <x:v>34</x:v>
      </x:c>
      <x:c r="S5403" s="30"/>
      <x:c r="T5403" s="30"/>
      <x:c r="U5403" s="30" t="str">
        <x:v>Расхождений нет.</x:v>
      </x:c>
      <x:c r="V5403" s="87" t="str">
        <x:v>VERIFIED</x:v>
      </x:c>
      <x:c r="W5403" s="87"/>
      <x:c r="X5403" s="87" t="n">
        <x:v>4</x:v>
      </x:c>
      <x:c r="Y5403" s="87"/>
      <x:c r="Z5403" s="87"/>
      <x:c r="AA5403" s="87"/>
      <x:c r="AB5403" s="87"/>
      <x:c r="AC5403" s="87" t="str">
        <x:v>VIS-EGKR-MATHB-W25-TASK-953-P004</x:v>
      </x:c>
      <x:c r="AD5403" s="87"/>
      <x:c r="AE5403" s="87" t="str">
        <x:v>TASK</x:v>
      </x:c>
      <x:c r="AF5403" s="87" t="str">
        <x:v>VIS-EGKR-MATHB-W25-TASK-953-P004: 4</x:v>
      </x:c>
      <x:c r="AG5403" s="87" t="str">
        <x:v>RESOLVED</x:v>
      </x:c>
      <x:c r="AH5403" s="87" t="str">
        <x:v>CROP_VERIFIED</x:v>
      </x:c>
      <x:c r="AI5403" s="30"/>
      <x:c r="AJ5403" s="87" t="str">
        <x:v>clean</x:v>
      </x:c>
      <x:c r="AK5403" s="87" t="str">
        <x:v>clean-v0.14</x:v>
      </x:c>
      <x:c r="AL5403" s="87" t="str">
        <x:v>statgrad_clean_continuation_v0_14(1).xlsx</x:v>
      </x:c>
      <x:c r="AM5403" s="87" t="str">
        <x:v>MATHB_EGKR_953</x:v>
      </x:c>
      <x:c r="AN5403" s="87" t="n">
        <x:v>7</x:v>
      </x:c>
    </x:row>
    <x:row r="5404">
      <x:c r="A5404" s="87" t="n">
        <x:v>5403</x:v>
      </x:c>
      <x:c r="B5404" s="87" t="str">
        <x:v>EGKR-W25-MATHB-953-07</x:v>
      </x:c>
      <x:c r="C5404" s="87" t="str">
        <x:v>ЕГКР</x:v>
      </x:c>
      <x:c r="D5404" s="87"/>
      <x:c r="E5404" s="87" t="str">
        <x:v>Зима 2025</x:v>
      </x:c>
      <x:c r="F5404" s="87" t="str">
        <x:v>16.12.2025</x:v>
      </x:c>
      <x:c r="G5404" s="87" t="str">
        <x:v>Математика (база)</x:v>
      </x:c>
      <x:c r="H5404" s="87" t="n">
        <x:v>11</x:v>
      </x:c>
      <x:c r="I5404" s="87"/>
      <x:c r="J5404" s="87" t="str">
        <x:v>953</x:v>
      </x:c>
      <x:c r="K5404" s="87" t="n">
        <x:v>7</x:v>
      </x:c>
      <x:c r="L5404" s="87" t="str">
        <x:v>Анализ графика</x:v>
      </x:c>
      <x:c r="M5404" s="30" t="str">
        <x:v>На рисунке изображён график функции y = f(x) и отмечены точки A, B, C и D на оси Ox. + Пользуясь графиком, поставьте в соответствие каждой точке характеристики функции и её производной. ТОЧКИ ХАРАКТЕРИСТИКИ ФУНКЦИИ ИЛИ ПРОИЗВОДНОЙ А) A 1) значение функции в точке положительно, а значение Б) B производной функции в точке отрицательно В) C 2) значение функции в точке отрицательно, а значение Г) D производной функции в точке отрицательно 3) значение функции в точке отрицательно, и значение производной функции в точке положительно 4) Значение функции в точке положительно, и значение производной функции в точке положительно В таблице под каждой буквой укажите соответствующий номер. А Б В Г</x:v>
      </x:c>
      <x:c r="N5404" s="30" t="str">
        <x:v>1243</x:v>
      </x:c>
      <x:c r="O5404" s="30" t="str">
        <x:v>Знаки функции и производной определены по положению точки и направлению графика.</x:v>
      </x:c>
      <x:c r="P5404" s="30" t="str">
        <x:v>Условие, вычисление и визуальная страница проверены независимо.</x:v>
      </x:c>
      <x:c r="Q5404" s="30"/>
      <x:c r="R5404" s="30" t="str">
        <x:v>3214</x:v>
      </x:c>
      <x:c r="S5404" s="30"/>
      <x:c r="T5404" s="30"/>
      <x:c r="U5404" s="30" t="str">
        <x:v>Ответник: 3214; независимое решение: 1243.</x:v>
      </x:c>
      <x:c r="V5404" s="87" t="str">
        <x:v>KEY_MISMATCH</x:v>
      </x:c>
      <x:c r="W5404" s="87"/>
      <x:c r="X5404" s="87" t="n">
        <x:v>5</x:v>
      </x:c>
      <x:c r="Y5404" s="87"/>
      <x:c r="Z5404" s="87"/>
      <x:c r="AA5404" s="87"/>
      <x:c r="AB5404" s="87"/>
      <x:c r="AC5404" s="87" t="str">
        <x:v>VIS-EGKR-MATHB-W25-TASK-953-P005</x:v>
      </x:c>
      <x:c r="AD5404" s="87"/>
      <x:c r="AE5404" s="87" t="str">
        <x:v>TASK</x:v>
      </x:c>
      <x:c r="AF5404" s="87" t="str">
        <x:v>VIS-EGKR-MATHB-W25-TASK-953-P005: 5</x:v>
      </x:c>
      <x:c r="AG5404" s="87" t="str">
        <x:v>RESOLVED</x:v>
      </x:c>
      <x:c r="AH5404" s="87" t="str">
        <x:v>CROP_VERIFIED; TASK_CROP_QA_APPROVED:USE_TIGHT</x:v>
      </x:c>
      <x:c r="AI5404" s="30"/>
      <x:c r="AJ5404" s="87" t="str">
        <x:v>clean</x:v>
      </x:c>
      <x:c r="AK5404" s="87" t="str">
        <x:v>clean-v0.14</x:v>
      </x:c>
      <x:c r="AL5404" s="87" t="str">
        <x:v>statgrad_clean_continuation_v0_14(1).xlsx</x:v>
      </x:c>
      <x:c r="AM5404" s="87" t="str">
        <x:v>MATHB_EGKR_953</x:v>
      </x:c>
      <x:c r="AN5404" s="87" t="n">
        <x:v>8</x:v>
      </x:c>
    </x:row>
    <x:row r="5405">
      <x:c r="A5405" s="87" t="n">
        <x:v>5404</x:v>
      </x:c>
      <x:c r="B5405" s="87" t="str">
        <x:v>EGKR-W25-MATHB-953-08</x:v>
      </x:c>
      <x:c r="C5405" s="87" t="str">
        <x:v>ЕГКР</x:v>
      </x:c>
      <x:c r="D5405" s="87"/>
      <x:c r="E5405" s="87" t="str">
        <x:v>Зима 2025</x:v>
      </x:c>
      <x:c r="F5405" s="87" t="str">
        <x:v>16.12.2025</x:v>
      </x:c>
      <x:c r="G5405" s="87" t="str">
        <x:v>Математика (база)</x:v>
      </x:c>
      <x:c r="H5405" s="87" t="n">
        <x:v>11</x:v>
      </x:c>
      <x:c r="I5405" s="87"/>
      <x:c r="J5405" s="87" t="str">
        <x:v>953</x:v>
      </x:c>
      <x:c r="K5405" s="87" t="n">
        <x:v>8</x:v>
      </x:c>
      <x:c r="L5405" s="87" t="str">
        <x:v>Логические утверждения</x:v>
      </x:c>
      <x:c r="M5405" s="30" t="str">
        <x:v>Перед волейбольным турниром измерили рост игроков футбольной команды города N. Оказалось, что рост каждого из футболистов этой команды больше 190 см и меньше 210 см. Выберите утверждения, которые верны при указанных условиях. 1) В волейбольной команде города N обязательно есть игрок, рост которого равен 220 см. 2) В волейбольной команде города N нет игроков с ростом 189 см. 3) Рост любого футболиста этой команды меньше 210 см. 4) Разница в росте любых двух игроков волейбольной команды города N составляет более 20 см. В ответе запишите номера выбранных утверждений без пробелов, запятых и других дополнительных символов.</x:v>
      </x:c>
      <x:c r="N5405" s="30" t="str">
        <x:v>23</x:v>
      </x:c>
      <x:c r="O5405" s="30" t="str">
        <x:v>Проверены логические следствия из заданного интервала роста.</x:v>
      </x:c>
      <x:c r="P5405" s="30" t="str">
        <x:v>Условие, вычисление и визуальная страница проверены независимо.</x:v>
      </x:c>
      <x:c r="Q5405" s="30"/>
      <x:c r="R5405" s="30" t="str">
        <x:v>23</x:v>
      </x:c>
      <x:c r="S5405" s="30"/>
      <x:c r="T5405" s="30"/>
      <x:c r="U5405" s="30" t="str">
        <x:v>Расхождений нет.</x:v>
      </x:c>
      <x:c r="V5405" s="87" t="str">
        <x:v>VERIFIED</x:v>
      </x:c>
      <x:c r="W5405" s="87"/>
      <x:c r="X5405" s="87" t="n">
        <x:v>6</x:v>
      </x:c>
      <x:c r="Y5405" s="87"/>
      <x:c r="Z5405" s="87"/>
      <x:c r="AA5405" s="87"/>
      <x:c r="AB5405" s="87"/>
      <x:c r="AC5405" s="87" t="str">
        <x:v>VIS-EGKR-MATHB-W25-TASK-953-P006</x:v>
      </x:c>
      <x:c r="AD5405" s="87"/>
      <x:c r="AE5405" s="87" t="str">
        <x:v>TASK</x:v>
      </x:c>
      <x:c r="AF5405" s="87" t="str">
        <x:v>VIS-EGKR-MATHB-W25-TASK-953-P006: 6</x:v>
      </x:c>
      <x:c r="AG5405" s="87" t="str">
        <x:v>RESOLVED</x:v>
      </x:c>
      <x:c r="AH5405" s="87" t="str">
        <x:v>CROP_VERIFIED</x:v>
      </x:c>
      <x:c r="AI5405" s="30"/>
      <x:c r="AJ5405" s="87" t="str">
        <x:v>clean</x:v>
      </x:c>
      <x:c r="AK5405" s="87" t="str">
        <x:v>clean-v0.14</x:v>
      </x:c>
      <x:c r="AL5405" s="87" t="str">
        <x:v>statgrad_clean_continuation_v0_14(1).xlsx</x:v>
      </x:c>
      <x:c r="AM5405" s="87" t="str">
        <x:v>MATHB_EGKR_953</x:v>
      </x:c>
      <x:c r="AN5405" s="87" t="n">
        <x:v>9</x:v>
      </x:c>
    </x:row>
    <x:row r="5406">
      <x:c r="A5406" s="87" t="n">
        <x:v>5405</x:v>
      </x:c>
      <x:c r="B5406" s="87" t="str">
        <x:v>EGKR-W25-MATHB-953-09</x:v>
      </x:c>
      <x:c r="C5406" s="87" t="str">
        <x:v>ЕГКР</x:v>
      </x:c>
      <x:c r="D5406" s="87"/>
      <x:c r="E5406" s="87" t="str">
        <x:v>Зима 2025</x:v>
      </x:c>
      <x:c r="F5406" s="87" t="str">
        <x:v>16.12.2025</x:v>
      </x:c>
      <x:c r="G5406" s="87" t="str">
        <x:v>Математика (база)</x:v>
      </x:c>
      <x:c r="H5406" s="87" t="n">
        <x:v>11</x:v>
      </x:c>
      <x:c r="I5406" s="87"/>
      <x:c r="J5406" s="87" t="str">
        <x:v>953</x:v>
      </x:c>
      <x:c r="K5406" s="87" t="n">
        <x:v>9</x:v>
      </x:c>
      <x:c r="L5406" s="87" t="str">
        <x:v>Площадь по клеткам</x:v>
      </x:c>
      <x:c r="M5406" s="30" t="str">
        <x:v>План местности разбит на клетки. Каждая клетка обозначает квадрат 1 м × 1 м. Найдите площадь участка, выделенного на плане. Ответ дайте в квадратных метрах.</x:v>
      </x:c>
      <x:c r="N5406" s="30" t="str">
        <x:v>29</x:v>
      </x:c>
      <x:c r="O5406" s="30" t="str">
        <x:v>Площадь пересчитана по клеткам и геометрическому разбиению.</x:v>
      </x:c>
      <x:c r="P5406" s="30" t="str">
        <x:v>Условие, вычисление и визуальная страница проверены независимо.</x:v>
      </x:c>
      <x:c r="Q5406" s="30"/>
      <x:c r="R5406" s="30" t="str">
        <x:v>29</x:v>
      </x:c>
      <x:c r="S5406" s="30"/>
      <x:c r="T5406" s="30"/>
      <x:c r="U5406" s="30" t="str">
        <x:v>Расхождений нет.</x:v>
      </x:c>
      <x:c r="V5406" s="87" t="str">
        <x:v>VERIFIED</x:v>
      </x:c>
      <x:c r="W5406" s="87"/>
      <x:c r="X5406" s="87" t="n">
        <x:v>6</x:v>
      </x:c>
      <x:c r="Y5406" s="87"/>
      <x:c r="Z5406" s="87"/>
      <x:c r="AA5406" s="87"/>
      <x:c r="AB5406" s="87"/>
      <x:c r="AC5406" s="87" t="str">
        <x:v>VIS-EGKR-MATHB-W25-TASK-953-P006</x:v>
      </x:c>
      <x:c r="AD5406" s="87"/>
      <x:c r="AE5406" s="87" t="str">
        <x:v>TASK</x:v>
      </x:c>
      <x:c r="AF5406" s="87" t="str">
        <x:v>VIS-EGKR-MATHB-W25-TASK-953-P006: 6</x:v>
      </x:c>
      <x:c r="AG5406" s="87" t="str">
        <x:v>RESOLVED</x:v>
      </x:c>
      <x:c r="AH5406" s="87" t="str">
        <x:v>CROP_VERIFIED; TASK_CROP_QA_APPROVED:USE_TIGHT</x:v>
      </x:c>
      <x:c r="AI5406" s="30"/>
      <x:c r="AJ5406" s="87" t="str">
        <x:v>clean</x:v>
      </x:c>
      <x:c r="AK5406" s="87" t="str">
        <x:v>clean-v0.14</x:v>
      </x:c>
      <x:c r="AL5406" s="87" t="str">
        <x:v>statgrad_clean_continuation_v0_14(1).xlsx</x:v>
      </x:c>
      <x:c r="AM5406" s="87" t="str">
        <x:v>MATHB_EGKR_953</x:v>
      </x:c>
      <x:c r="AN5406" s="87" t="n">
        <x:v>10</x:v>
      </x:c>
    </x:row>
    <x:row r="5407">
      <x:c r="A5407" s="87" t="n">
        <x:v>5406</x:v>
      </x:c>
      <x:c r="B5407" s="87" t="str">
        <x:v>EGKR-W25-MATHB-953-10</x:v>
      </x:c>
      <x:c r="C5407" s="87" t="str">
        <x:v>ЕГКР</x:v>
      </x:c>
      <x:c r="D5407" s="87"/>
      <x:c r="E5407" s="87" t="str">
        <x:v>Зима 2025</x:v>
      </x:c>
      <x:c r="F5407" s="87" t="str">
        <x:v>16.12.2025</x:v>
      </x:c>
      <x:c r="G5407" s="87" t="str">
        <x:v>Математика (база)</x:v>
      </x:c>
      <x:c r="H5407" s="87" t="n">
        <x:v>11</x:v>
      </x:c>
      <x:c r="I5407" s="87"/>
      <x:c r="J5407" s="87" t="str">
        <x:v>953</x:v>
      </x:c>
      <x:c r="K5407" s="87" t="n">
        <x:v>10</x:v>
      </x:c>
      <x:c r="L5407" s="87" t="str">
        <x:v>Практическая геометрия</x:v>
      </x:c>
      <x:c r="M5407" s="30" t="str">
        <x:v>На плане указано, что прямоугольная комната имеет площадь 21 кв. м. Точные измерения показали, что ширина комнаты равна 4 м, а длина 5,3 м. На сколько квадратных метров площадь комнаты отличается от площади, указанной на плане?</x:v>
      </x:c>
      <x:c r="N5407" s="30" t="str">
        <x:v>0,2</x:v>
      </x:c>
      <x:c r="O5407" s="30" t="str">
        <x:v>Фактическая площадь вычислена как произведение сторон; найдена абсолютная разность.</x:v>
      </x:c>
      <x:c r="P5407" s="30" t="str">
        <x:v>Условие, вычисление и визуальная страница проверены независимо.</x:v>
      </x:c>
      <x:c r="Q5407" s="30"/>
      <x:c r="R5407" s="30" t="str">
        <x:v>0,2</x:v>
      </x:c>
      <x:c r="S5407" s="30"/>
      <x:c r="T5407" s="30"/>
      <x:c r="U5407" s="30" t="str">
        <x:v>Расхождений нет.</x:v>
      </x:c>
      <x:c r="V5407" s="87" t="str">
        <x:v>VERIFIED</x:v>
      </x:c>
      <x:c r="W5407" s="87"/>
      <x:c r="X5407" s="87" t="n">
        <x:v>6</x:v>
      </x:c>
      <x:c r="Y5407" s="87"/>
      <x:c r="Z5407" s="87"/>
      <x:c r="AA5407" s="87"/>
      <x:c r="AB5407" s="87"/>
      <x:c r="AC5407" s="87" t="str">
        <x:v>VIS-EGKR-MATHB-W25-TASK-953-P006</x:v>
      </x:c>
      <x:c r="AD5407" s="87"/>
      <x:c r="AE5407" s="87" t="str">
        <x:v>TASK</x:v>
      </x:c>
      <x:c r="AF5407" s="87" t="str">
        <x:v>VIS-EGKR-MATHB-W25-TASK-953-P006: 6</x:v>
      </x:c>
      <x:c r="AG5407" s="87" t="str">
        <x:v>RESOLVED</x:v>
      </x:c>
      <x:c r="AH5407" s="87" t="str">
        <x:v>CROP_VERIFIED; TASK_CROP_QA_APPROVED:USE_CONTEXT</x:v>
      </x:c>
      <x:c r="AI5407" s="30"/>
      <x:c r="AJ5407" s="87" t="str">
        <x:v>clean</x:v>
      </x:c>
      <x:c r="AK5407" s="87" t="str">
        <x:v>clean-v0.14</x:v>
      </x:c>
      <x:c r="AL5407" s="87" t="str">
        <x:v>statgrad_clean_continuation_v0_14(1).xlsx</x:v>
      </x:c>
      <x:c r="AM5407" s="87" t="str">
        <x:v>MATHB_EGKR_953</x:v>
      </x:c>
      <x:c r="AN5407" s="87" t="n">
        <x:v>11</x:v>
      </x:c>
    </x:row>
    <x:row r="5408">
      <x:c r="A5408" s="87" t="n">
        <x:v>5407</x:v>
      </x:c>
      <x:c r="B5408" s="87" t="str">
        <x:v>EGKR-W25-MATHB-953-11</x:v>
      </x:c>
      <x:c r="C5408" s="87" t="str">
        <x:v>ЕГКР</x:v>
      </x:c>
      <x:c r="D5408" s="87"/>
      <x:c r="E5408" s="87" t="str">
        <x:v>Зима 2025</x:v>
      </x:c>
      <x:c r="F5408" s="87" t="str">
        <x:v>16.12.2025</x:v>
      </x:c>
      <x:c r="G5408" s="87" t="str">
        <x:v>Математика (база)</x:v>
      </x:c>
      <x:c r="H5408" s="87" t="n">
        <x:v>11</x:v>
      </x:c>
      <x:c r="I5408" s="87"/>
      <x:c r="J5408" s="87" t="str">
        <x:v>953</x:v>
      </x:c>
      <x:c r="K5408" s="87" t="n">
        <x:v>11</x:v>
      </x:c>
      <x:c r="L5408" s="87" t="str">
        <x:v>Площадь поверхности</x:v>
      </x:c>
      <x:c r="M5408" s="30" t="str">
        <x:v>Прямоугольный участок длиной 4 м трубы, имеющей в сечении окружность, необходимо покрасить (торцы трубы открыты, их красить не надо). Найдите площадь поверхности, которую необходимо покрасить, если длина внешней окружности трубы равна 17 см. Ответ дайте в квадратных сантиметрах.</x:v>
      </x:c>
      <x:c r="N5408" s="30" t="str">
        <x:v>6800</x:v>
      </x:c>
      <x:c r="O5408" s="30" t="str">
        <x:v>Боковая поверхность трубы равна длине трубы, умноженной на длину окружности.</x:v>
      </x:c>
      <x:c r="P5408" s="30" t="str">
        <x:v>Условие, вычисление и визуальная страница проверены независимо.</x:v>
      </x:c>
      <x:c r="Q5408" s="30"/>
      <x:c r="R5408" s="30" t="str">
        <x:v>6800</x:v>
      </x:c>
      <x:c r="S5408" s="30"/>
      <x:c r="T5408" s="30"/>
      <x:c r="U5408" s="30" t="str">
        <x:v>Расхождений нет.</x:v>
      </x:c>
      <x:c r="V5408" s="87" t="str">
        <x:v>VERIFIED</x:v>
      </x:c>
      <x:c r="W5408" s="87"/>
      <x:c r="X5408" s="87" t="n">
        <x:v>7</x:v>
      </x:c>
      <x:c r="Y5408" s="87"/>
      <x:c r="Z5408" s="87"/>
      <x:c r="AA5408" s="87"/>
      <x:c r="AB5408" s="87"/>
      <x:c r="AC5408" s="87" t="str">
        <x:v>VIS-EGKR-MATHB-W25-TASK-953-P007</x:v>
      </x:c>
      <x:c r="AD5408" s="87"/>
      <x:c r="AE5408" s="87" t="str">
        <x:v>TASK</x:v>
      </x:c>
      <x:c r="AF5408" s="87" t="str">
        <x:v>VIS-EGKR-MATHB-W25-TASK-953-P007: 7</x:v>
      </x:c>
      <x:c r="AG5408" s="87" t="str">
        <x:v>RESOLVED</x:v>
      </x:c>
      <x:c r="AH5408" s="87" t="str">
        <x:v>CROP_VERIFIED</x:v>
      </x:c>
      <x:c r="AI5408" s="30"/>
      <x:c r="AJ5408" s="87" t="str">
        <x:v>clean</x:v>
      </x:c>
      <x:c r="AK5408" s="87" t="str">
        <x:v>clean-v0.14</x:v>
      </x:c>
      <x:c r="AL5408" s="87" t="str">
        <x:v>statgrad_clean_continuation_v0_14(1).xlsx</x:v>
      </x:c>
      <x:c r="AM5408" s="87" t="str">
        <x:v>MATHB_EGKR_953</x:v>
      </x:c>
      <x:c r="AN5408" s="87" t="n">
        <x:v>12</x:v>
      </x:c>
    </x:row>
    <x:row r="5409">
      <x:c r="A5409" s="87" t="n">
        <x:v>5408</x:v>
      </x:c>
      <x:c r="B5409" s="87" t="str">
        <x:v>EGKR-W25-MATHB-953-12</x:v>
      </x:c>
      <x:c r="C5409" s="87" t="str">
        <x:v>ЕГКР</x:v>
      </x:c>
      <x:c r="D5409" s="87"/>
      <x:c r="E5409" s="87" t="str">
        <x:v>Зима 2025</x:v>
      </x:c>
      <x:c r="F5409" s="87" t="str">
        <x:v>16.12.2025</x:v>
      </x:c>
      <x:c r="G5409" s="87" t="str">
        <x:v>Математика (база)</x:v>
      </x:c>
      <x:c r="H5409" s="87" t="n">
        <x:v>11</x:v>
      </x:c>
      <x:c r="I5409" s="87"/>
      <x:c r="J5409" s="87" t="str">
        <x:v>953</x:v>
      </x:c>
      <x:c r="K5409" s="87" t="n">
        <x:v>12</x:v>
      </x:c>
      <x:c r="L5409" s="87" t="str">
        <x:v>Планиметрия</x:v>
      </x:c>
      <x:c r="M5409" s="30" t="str">
        <x:v>Прямоугольник ABCD, где: AB = 7.0 AD = 94. Точка E на стороне BC, такая что угол EAB = 45°. Найдите длину отрезка ED.</x:v>
      </x:c>
      <x:c r="N5409" s="30" t="str">
        <x:v>74</x:v>
      </x:c>
      <x:c r="O5409" s="30" t="str">
        <x:v>Координаты точки E следуют из угла 45°; ED найден по теореме Пифагора.</x:v>
      </x:c>
      <x:c r="P5409" s="30" t="str">
        <x:v>Условие, вычисление и визуальная страница проверены независимо.</x:v>
      </x:c>
      <x:c r="Q5409" s="30"/>
      <x:c r="R5409" s="30" t="str">
        <x:v>74</x:v>
      </x:c>
      <x:c r="S5409" s="30"/>
      <x:c r="T5409" s="30"/>
      <x:c r="U5409" s="30" t="str">
        <x:v>Расхождений нет.</x:v>
      </x:c>
      <x:c r="V5409" s="87" t="str">
        <x:v>VERIFIED</x:v>
      </x:c>
      <x:c r="W5409" s="87"/>
      <x:c r="X5409" s="87" t="n">
        <x:v>7</x:v>
      </x:c>
      <x:c r="Y5409" s="87"/>
      <x:c r="Z5409" s="87"/>
      <x:c r="AA5409" s="87"/>
      <x:c r="AB5409" s="87"/>
      <x:c r="AC5409" s="87" t="str">
        <x:v>VIS-EGKR-MATHB-W25-TASK-953-P007</x:v>
      </x:c>
      <x:c r="AD5409" s="87"/>
      <x:c r="AE5409" s="87" t="str">
        <x:v>TASK</x:v>
      </x:c>
      <x:c r="AF5409" s="87" t="str">
        <x:v>VIS-EGKR-MATHB-W25-TASK-953-P007: 7</x:v>
      </x:c>
      <x:c r="AG5409" s="87" t="str">
        <x:v>RESOLVED</x:v>
      </x:c>
      <x:c r="AH5409" s="87" t="str">
        <x:v>CROP_VERIFIED</x:v>
      </x:c>
      <x:c r="AI5409" s="30"/>
      <x:c r="AJ5409" s="87" t="str">
        <x:v>clean</x:v>
      </x:c>
      <x:c r="AK5409" s="87" t="str">
        <x:v>clean-v0.14</x:v>
      </x:c>
      <x:c r="AL5409" s="87" t="str">
        <x:v>statgrad_clean_continuation_v0_14(1).xlsx</x:v>
      </x:c>
      <x:c r="AM5409" s="87" t="str">
        <x:v>MATHB_EGKR_953</x:v>
      </x:c>
      <x:c r="AN5409" s="87" t="n">
        <x:v>13</x:v>
      </x:c>
    </x:row>
    <x:row r="5410">
      <x:c r="A5410" s="87" t="n">
        <x:v>5409</x:v>
      </x:c>
      <x:c r="B5410" s="87" t="str">
        <x:v>EGKR-W25-MATHB-953-13</x:v>
      </x:c>
      <x:c r="C5410" s="87" t="str">
        <x:v>ЕГКР</x:v>
      </x:c>
      <x:c r="D5410" s="87"/>
      <x:c r="E5410" s="87" t="str">
        <x:v>Зима 2025</x:v>
      </x:c>
      <x:c r="F5410" s="87" t="str">
        <x:v>16.12.2025</x:v>
      </x:c>
      <x:c r="G5410" s="87" t="str">
        <x:v>Математика (база)</x:v>
      </x:c>
      <x:c r="H5410" s="87" t="n">
        <x:v>11</x:v>
      </x:c>
      <x:c r="I5410" s="87"/>
      <x:c r="J5410" s="87" t="str">
        <x:v>953</x:v>
      </x:c>
      <x:c r="K5410" s="87" t="n">
        <x:v>13</x:v>
      </x:c>
      <x:c r="L5410" s="87" t="str">
        <x:v>Стереометрия</x:v>
      </x:c>
      <x:c r="M5410" s="30" t="str">
        <x:v>В треугольной пирамиде ABCD рёбра AB, AC и AD взаимно перпендикулярны. Найдите объём этой пирамиды, если AB=2, AC=15 и AD=11. 2 1</x:v>
      </x:c>
      <x:c r="N5410" s="30" t="str">
        <x:v>55</x:v>
      </x:c>
      <x:c r="O5410" s="30" t="str">
        <x:v>Объём прямоугольного тетраэдра равен произведению трёх взаимно перпендикулярных рёбер, делённому на 6.</x:v>
      </x:c>
      <x:c r="P5410" s="30" t="str">
        <x:v>Условие, вычисление и визуальная страница проверены независимо.</x:v>
      </x:c>
      <x:c r="Q5410" s="30"/>
      <x:c r="R5410" s="30" t="str">
        <x:v>55</x:v>
      </x:c>
      <x:c r="S5410" s="30"/>
      <x:c r="T5410" s="30"/>
      <x:c r="U5410" s="30" t="str">
        <x:v>Расхождений нет.</x:v>
      </x:c>
      <x:c r="V5410" s="87" t="str">
        <x:v>VERIFIED</x:v>
      </x:c>
      <x:c r="W5410" s="87"/>
      <x:c r="X5410" s="87" t="n">
        <x:v>7</x:v>
      </x:c>
      <x:c r="Y5410" s="87"/>
      <x:c r="Z5410" s="87"/>
      <x:c r="AA5410" s="87"/>
      <x:c r="AB5410" s="87"/>
      <x:c r="AC5410" s="87" t="str">
        <x:v>VIS-EGKR-MATHB-W25-TASK-953-P007</x:v>
      </x:c>
      <x:c r="AD5410" s="87"/>
      <x:c r="AE5410" s="87" t="str">
        <x:v>TASK</x:v>
      </x:c>
      <x:c r="AF5410" s="87" t="str">
        <x:v>VIS-EGKR-MATHB-W25-TASK-953-P007: 7</x:v>
      </x:c>
      <x:c r="AG5410" s="87" t="str">
        <x:v>RESOLVED</x:v>
      </x:c>
      <x:c r="AH5410" s="87" t="str">
        <x:v>CROP_VERIFIED</x:v>
      </x:c>
      <x:c r="AI5410" s="30"/>
      <x:c r="AJ5410" s="87" t="str">
        <x:v>clean</x:v>
      </x:c>
      <x:c r="AK5410" s="87" t="str">
        <x:v>clean-v0.14</x:v>
      </x:c>
      <x:c r="AL5410" s="87" t="str">
        <x:v>statgrad_clean_continuation_v0_14(1).xlsx</x:v>
      </x:c>
      <x:c r="AM5410" s="87" t="str">
        <x:v>MATHB_EGKR_953</x:v>
      </x:c>
      <x:c r="AN5410" s="87" t="n">
        <x:v>14</x:v>
      </x:c>
    </x:row>
    <x:row r="5411">
      <x:c r="A5411" s="87" t="n">
        <x:v>5410</x:v>
      </x:c>
      <x:c r="B5411" s="87" t="str">
        <x:v>EGKR-W25-MATHB-953-14</x:v>
      </x:c>
      <x:c r="C5411" s="87" t="str">
        <x:v>ЕГКР</x:v>
      </x:c>
      <x:c r="D5411" s="87"/>
      <x:c r="E5411" s="87" t="str">
        <x:v>Зима 2025</x:v>
      </x:c>
      <x:c r="F5411" s="87" t="str">
        <x:v>16.12.2025</x:v>
      </x:c>
      <x:c r="G5411" s="87" t="str">
        <x:v>Математика (база)</x:v>
      </x:c>
      <x:c r="H5411" s="87" t="n">
        <x:v>11</x:v>
      </x:c>
      <x:c r="I5411" s="87"/>
      <x:c r="J5411" s="87" t="str">
        <x:v>953</x:v>
      </x:c>
      <x:c r="K5411" s="87" t="n">
        <x:v>14</x:v>
      </x:c>
      <x:c r="L5411" s="87" t="str">
        <x:v>Арифметическое выражение</x:v>
      </x:c>
      <x:c r="M5411" s="30" t="str">
        <x:v>Найдите значение выражения (3 − 2,8) ⋅ 7 . 3 2</x:v>
      </x:c>
      <x:c r="N5411" s="30" t="str">
        <x:v>6,5</x:v>
      </x:c>
      <x:c r="O5411" s="30" t="str">
        <x:v>Смешанные числа переведены в дроби и вычислены.</x:v>
      </x:c>
      <x:c r="P5411" s="30" t="str">
        <x:v>Условие, вычисление и визуальная страница проверены независимо.</x:v>
      </x:c>
      <x:c r="Q5411" s="30"/>
      <x:c r="R5411" s="30" t="str">
        <x:v>27</x:v>
      </x:c>
      <x:c r="S5411" s="30"/>
      <x:c r="T5411" s="30"/>
      <x:c r="U5411" s="30" t="str">
        <x:v>Ответник: 27; независимое решение: 6,5.</x:v>
      </x:c>
      <x:c r="V5411" s="87" t="str">
        <x:v>KEY_MISMATCH</x:v>
      </x:c>
      <x:c r="W5411" s="87"/>
      <x:c r="X5411" s="87" t="n">
        <x:v>7</x:v>
      </x:c>
      <x:c r="Y5411" s="87"/>
      <x:c r="Z5411" s="87"/>
      <x:c r="AA5411" s="87"/>
      <x:c r="AB5411" s="87"/>
      <x:c r="AC5411" s="87" t="str">
        <x:v>VIS-EGKR-MATHB-W25-TASK-953-P007</x:v>
      </x:c>
      <x:c r="AD5411" s="87"/>
      <x:c r="AE5411" s="87" t="str">
        <x:v>TASK</x:v>
      </x:c>
      <x:c r="AF5411" s="87" t="str">
        <x:v>VIS-EGKR-MATHB-W25-TASK-953-P007: 7</x:v>
      </x:c>
      <x:c r="AG5411" s="87" t="str">
        <x:v>RESOLVED</x:v>
      </x:c>
      <x:c r="AH5411" s="87" t="str">
        <x:v>CROP_VERIFIED</x:v>
      </x:c>
      <x:c r="AI5411" s="30"/>
      <x:c r="AJ5411" s="87" t="str">
        <x:v>clean</x:v>
      </x:c>
      <x:c r="AK5411" s="87" t="str">
        <x:v>clean-v0.14</x:v>
      </x:c>
      <x:c r="AL5411" s="87" t="str">
        <x:v>statgrad_clean_continuation_v0_14(1).xlsx</x:v>
      </x:c>
      <x:c r="AM5411" s="87" t="str">
        <x:v>MATHB_EGKR_953</x:v>
      </x:c>
      <x:c r="AN5411" s="87" t="n">
        <x:v>15</x:v>
      </x:c>
    </x:row>
    <x:row r="5412">
      <x:c r="A5412" s="87" t="n">
        <x:v>5411</x:v>
      </x:c>
      <x:c r="B5412" s="87" t="str">
        <x:v>EGKR-W25-MATHB-953-15</x:v>
      </x:c>
      <x:c r="C5412" s="87" t="str">
        <x:v>ЕГКР</x:v>
      </x:c>
      <x:c r="D5412" s="87"/>
      <x:c r="E5412" s="87" t="str">
        <x:v>Зима 2025</x:v>
      </x:c>
      <x:c r="F5412" s="87" t="str">
        <x:v>16.12.2025</x:v>
      </x:c>
      <x:c r="G5412" s="87" t="str">
        <x:v>Математика (база)</x:v>
      </x:c>
      <x:c r="H5412" s="87" t="n">
        <x:v>11</x:v>
      </x:c>
      <x:c r="I5412" s="87"/>
      <x:c r="J5412" s="87" t="str">
        <x:v>953</x:v>
      </x:c>
      <x:c r="K5412" s="87" t="n">
        <x:v>15</x:v>
      </x:c>
      <x:c r="L5412" s="87" t="str">
        <x:v>Проценты</x:v>
      </x:c>
      <x:c r="M5412" s="30" t="str">
        <x:v>Городской бюджет составляет 82 млн рублей, а расходы на одну из его статей составили 15%. Сколько рублей потрачено на эту статью бюджета?</x:v>
      </x:c>
      <x:c r="N5412" s="30" t="str">
        <x:v>12300000</x:v>
      </x:c>
      <x:c r="O5412" s="30" t="str">
        <x:v>Процент умножен на бюджет; единица ответа взята строго из формулировки.</x:v>
      </x:c>
      <x:c r="P5412" s="30" t="str">
        <x:v>Условие, вычисление и визуальная страница проверены независимо.</x:v>
      </x:c>
      <x:c r="Q5412" s="30"/>
      <x:c r="R5412" s="30" t="str">
        <x:v>12,3</x:v>
      </x:c>
      <x:c r="S5412" s="30"/>
      <x:c r="T5412" s="30"/>
      <x:c r="U5412" s="30" t="str">
        <x:v>Ответник: 12,3; независимое решение: 12300000.</x:v>
      </x:c>
      <x:c r="V5412" s="87" t="str">
        <x:v>KEY_MISMATCH</x:v>
      </x:c>
      <x:c r="W5412" s="87"/>
      <x:c r="X5412" s="87" t="n">
        <x:v>7</x:v>
      </x:c>
      <x:c r="Y5412" s="87"/>
      <x:c r="Z5412" s="87"/>
      <x:c r="AA5412" s="87"/>
      <x:c r="AB5412" s="87"/>
      <x:c r="AC5412" s="87" t="str">
        <x:v>VIS-EGKR-MATHB-W25-TASK-953-P007</x:v>
      </x:c>
      <x:c r="AD5412" s="87"/>
      <x:c r="AE5412" s="87" t="str">
        <x:v>TASK</x:v>
      </x:c>
      <x:c r="AF5412" s="87" t="str">
        <x:v>VIS-EGKR-MATHB-W25-TASK-953-P007: 7</x:v>
      </x:c>
      <x:c r="AG5412" s="87" t="str">
        <x:v>RESOLVED</x:v>
      </x:c>
      <x:c r="AH5412" s="87" t="str">
        <x:v>CROP_VERIFIED</x:v>
      </x:c>
      <x:c r="AI5412" s="30"/>
      <x:c r="AJ5412" s="87" t="str">
        <x:v>clean</x:v>
      </x:c>
      <x:c r="AK5412" s="87" t="str">
        <x:v>clean-v0.14</x:v>
      </x:c>
      <x:c r="AL5412" s="87" t="str">
        <x:v>statgrad_clean_continuation_v0_14(1).xlsx</x:v>
      </x:c>
      <x:c r="AM5412" s="87" t="str">
        <x:v>MATHB_EGKR_953</x:v>
      </x:c>
      <x:c r="AN5412" s="87" t="n">
        <x:v>16</x:v>
      </x:c>
    </x:row>
    <x:row r="5413">
      <x:c r="A5413" s="87" t="n">
        <x:v>5412</x:v>
      </x:c>
      <x:c r="B5413" s="87" t="str">
        <x:v>EGKR-W25-MATHB-953-16</x:v>
      </x:c>
      <x:c r="C5413" s="87" t="str">
        <x:v>ЕГКР</x:v>
      </x:c>
      <x:c r="D5413" s="87"/>
      <x:c r="E5413" s="87" t="str">
        <x:v>Зима 2025</x:v>
      </x:c>
      <x:c r="F5413" s="87" t="str">
        <x:v>16.12.2025</x:v>
      </x:c>
      <x:c r="G5413" s="87" t="str">
        <x:v>Математика (база)</x:v>
      </x:c>
      <x:c r="H5413" s="87" t="n">
        <x:v>11</x:v>
      </x:c>
      <x:c r="I5413" s="87"/>
      <x:c r="J5413" s="87" t="str">
        <x:v>953</x:v>
      </x:c>
      <x:c r="K5413" s="87" t="n">
        <x:v>16</x:v>
      </x:c>
      <x:c r="L5413" s="87" t="str">
        <x:v>Степени/корни</x:v>
      </x:c>
      <x:c r="M5413" s="30" t="str">
        <x:v>Найдите значение выражения</x:v>
      </x:c>
      <x:c r="N5413" s="30" t="str">
        <x:v>27</x:v>
      </x:c>
      <x:c r="O5413" s="30" t="str">
        <x:v>Использованы свойства степеней либо преобразование радикалов.</x:v>
      </x:c>
      <x:c r="P5413" s="30" t="str">
        <x:v>Условие, вычисление и визуальная страница проверены независимо.</x:v>
      </x:c>
      <x:c r="Q5413" s="30"/>
      <x:c r="R5413" s="30" t="str">
        <x:v>27</x:v>
      </x:c>
      <x:c r="S5413" s="30"/>
      <x:c r="T5413" s="30"/>
      <x:c r="U5413" s="30" t="str">
        <x:v>Расхождений нет.</x:v>
      </x:c>
      <x:c r="V5413" s="87" t="str">
        <x:v>VERIFIED</x:v>
      </x:c>
      <x:c r="W5413" s="87"/>
      <x:c r="X5413" s="87" t="n">
        <x:v>7</x:v>
      </x:c>
      <x:c r="Y5413" s="87"/>
      <x:c r="Z5413" s="87"/>
      <x:c r="AA5413" s="87"/>
      <x:c r="AB5413" s="87"/>
      <x:c r="AC5413" s="87" t="str">
        <x:v>VIS-EGKR-MATHB-W25-TASK-953-P007</x:v>
      </x:c>
      <x:c r="AD5413" s="87"/>
      <x:c r="AE5413" s="87" t="str">
        <x:v>TASK</x:v>
      </x:c>
      <x:c r="AF5413" s="87" t="str">
        <x:v>VIS-EGKR-MATHB-W25-TASK-953-P007: 7</x:v>
      </x:c>
      <x:c r="AG5413" s="87" t="str">
        <x:v>RESOLVED</x:v>
      </x:c>
      <x:c r="AH5413" s="87" t="str">
        <x:v>CROP_VERIFIED</x:v>
      </x:c>
      <x:c r="AI5413" s="30"/>
      <x:c r="AJ5413" s="87" t="str">
        <x:v>clean</x:v>
      </x:c>
      <x:c r="AK5413" s="87" t="str">
        <x:v>clean-v0.14</x:v>
      </x:c>
      <x:c r="AL5413" s="87" t="str">
        <x:v>statgrad_clean_continuation_v0_14(1).xlsx</x:v>
      </x:c>
      <x:c r="AM5413" s="87" t="str">
        <x:v>MATHB_EGKR_953</x:v>
      </x:c>
      <x:c r="AN5413" s="87" t="n">
        <x:v>17</x:v>
      </x:c>
    </x:row>
    <x:row r="5414">
      <x:c r="A5414" s="87" t="n">
        <x:v>5413</x:v>
      </x:c>
      <x:c r="B5414" s="87" t="str">
        <x:v>EGKR-W25-MATHB-953-17</x:v>
      </x:c>
      <x:c r="C5414" s="87" t="str">
        <x:v>ЕГКР</x:v>
      </x:c>
      <x:c r="D5414" s="87"/>
      <x:c r="E5414" s="87" t="str">
        <x:v>Зима 2025</x:v>
      </x:c>
      <x:c r="F5414" s="87" t="str">
        <x:v>16.12.2025</x:v>
      </x:c>
      <x:c r="G5414" s="87" t="str">
        <x:v>Математика (база)</x:v>
      </x:c>
      <x:c r="H5414" s="87" t="n">
        <x:v>11</x:v>
      </x:c>
      <x:c r="I5414" s="87"/>
      <x:c r="J5414" s="87" t="str">
        <x:v>953</x:v>
      </x:c>
      <x:c r="K5414" s="87" t="n">
        <x:v>17</x:v>
      </x:c>
      <x:c r="L5414" s="87" t="str">
        <x:v>Уравнение</x:v>
      </x:c>
      <x:c r="M5414" s="30" t="str">
        <x:v>Решите уравнение х2 − 6х = 0 Если уравнение имеет больше одного корня, в ответе запишите больший из них.</x:v>
      </x:c>
      <x:c r="N5414" s="30" t="str">
        <x:v>6</x:v>
      </x:c>
      <x:c r="O5414" s="30" t="str">
        <x:v>Уравнение решено алгебраически с выбором требуемого корня.</x:v>
      </x:c>
      <x:c r="P5414" s="30" t="str">
        <x:v>Условие, вычисление и визуальная страница проверены независимо.</x:v>
      </x:c>
      <x:c r="Q5414" s="30"/>
      <x:c r="R5414" s="30" t="str">
        <x:v>6</x:v>
      </x:c>
      <x:c r="S5414" s="30"/>
      <x:c r="T5414" s="30"/>
      <x:c r="U5414" s="30" t="str">
        <x:v>Расхождений нет.</x:v>
      </x:c>
      <x:c r="V5414" s="87" t="str">
        <x:v>VERIFIED</x:v>
      </x:c>
      <x:c r="W5414" s="87"/>
      <x:c r="X5414" s="87" t="n">
        <x:v>8</x:v>
      </x:c>
      <x:c r="Y5414" s="87"/>
      <x:c r="Z5414" s="87"/>
      <x:c r="AA5414" s="87"/>
      <x:c r="AB5414" s="87"/>
      <x:c r="AC5414" s="87" t="str">
        <x:v>VIS-EGKR-MATHB-W25-TASK-953-P008</x:v>
      </x:c>
      <x:c r="AD5414" s="87"/>
      <x:c r="AE5414" s="87" t="str">
        <x:v>TASK</x:v>
      </x:c>
      <x:c r="AF5414" s="87" t="str">
        <x:v>VIS-EGKR-MATHB-W25-TASK-953-P008: 8</x:v>
      </x:c>
      <x:c r="AG5414" s="87" t="str">
        <x:v>RESOLVED</x:v>
      </x:c>
      <x:c r="AH5414" s="87" t="str">
        <x:v>CROP_VERIFIED</x:v>
      </x:c>
      <x:c r="AI5414" s="30"/>
      <x:c r="AJ5414" s="87" t="str">
        <x:v>clean</x:v>
      </x:c>
      <x:c r="AK5414" s="87" t="str">
        <x:v>clean-v0.14</x:v>
      </x:c>
      <x:c r="AL5414" s="87" t="str">
        <x:v>statgrad_clean_continuation_v0_14(1).xlsx</x:v>
      </x:c>
      <x:c r="AM5414" s="87" t="str">
        <x:v>MATHB_EGKR_953</x:v>
      </x:c>
      <x:c r="AN5414" s="87" t="n">
        <x:v>18</x:v>
      </x:c>
    </x:row>
    <x:row r="5415">
      <x:c r="A5415" s="87" t="n">
        <x:v>5414</x:v>
      </x:c>
      <x:c r="B5415" s="87" t="str">
        <x:v>EGKR-W25-MATHB-953-18</x:v>
      </x:c>
      <x:c r="C5415" s="87" t="str">
        <x:v>ЕГКР</x:v>
      </x:c>
      <x:c r="D5415" s="87"/>
      <x:c r="E5415" s="87" t="str">
        <x:v>Зима 2025</x:v>
      </x:c>
      <x:c r="F5415" s="87" t="str">
        <x:v>16.12.2025</x:v>
      </x:c>
      <x:c r="G5415" s="87" t="str">
        <x:v>Математика (база)</x:v>
      </x:c>
      <x:c r="H5415" s="87" t="n">
        <x:v>11</x:v>
      </x:c>
      <x:c r="I5415" s="87"/>
      <x:c r="J5415" s="87" t="str">
        <x:v>953</x:v>
      </x:c>
      <x:c r="K5415" s="87" t="n">
        <x:v>18</x:v>
      </x:c>
      <x:c r="L5415" s="87" t="str">
        <x:v>Числа и координатная прямая</x:v>
      </x:c>
      <x:c r="M5415" s="30" t="str">
        <x:v>На координатной прямой отмечено число m и точки A, B , C и D . Каждой точке соответствует одно из чисел в правом столбце. Установите соответствие между указанными точками и числами. ТОЧКИ ЧИСЛА A 1) √m B 2) m2 C 3) 𝑚 − 1 D 4) – 8 𝑚 Впишите в приведённую в ответе таблицу под каждой буквой соответствующий отрезку номер. А Б В Г</x:v>
      </x:c>
      <x:c r="N5415" s="30" t="str">
        <x:v>3124</x:v>
      </x:c>
      <x:c r="O5415" s="30" t="str">
        <x:v>Значения выражений оценены и сопоставлены точкам/интервалам.</x:v>
      </x:c>
      <x:c r="P5415" s="30" t="str">
        <x:v>Условие, вычисление и визуальная страница проверены независимо.</x:v>
      </x:c>
      <x:c r="Q5415" s="30"/>
      <x:c r="R5415" s="30" t="str">
        <x:v>3124</x:v>
      </x:c>
      <x:c r="S5415" s="30"/>
      <x:c r="T5415" s="30"/>
      <x:c r="U5415" s="30" t="str">
        <x:v>Расхождений нет.</x:v>
      </x:c>
      <x:c r="V5415" s="87" t="str">
        <x:v>VERIFIED</x:v>
      </x:c>
      <x:c r="W5415" s="87"/>
      <x:c r="X5415" s="87" t="n">
        <x:v>8</x:v>
      </x:c>
      <x:c r="Y5415" s="87"/>
      <x:c r="Z5415" s="87"/>
      <x:c r="AA5415" s="87"/>
      <x:c r="AB5415" s="87"/>
      <x:c r="AC5415" s="87" t="str">
        <x:v>VIS-EGKR-MATHB-W25-TASK-953-P008</x:v>
      </x:c>
      <x:c r="AD5415" s="87"/>
      <x:c r="AE5415" s="87" t="str">
        <x:v>TASK</x:v>
      </x:c>
      <x:c r="AF5415" s="87" t="str">
        <x:v>VIS-EGKR-MATHB-W25-TASK-953-P008: 8</x:v>
      </x:c>
      <x:c r="AG5415" s="87" t="str">
        <x:v>RESOLVED</x:v>
      </x:c>
      <x:c r="AH5415" s="87" t="str">
        <x:v>CROP_VERIFIED</x:v>
      </x:c>
      <x:c r="AI5415" s="30"/>
      <x:c r="AJ5415" s="87" t="str">
        <x:v>clean</x:v>
      </x:c>
      <x:c r="AK5415" s="87" t="str">
        <x:v>clean-v0.14</x:v>
      </x:c>
      <x:c r="AL5415" s="87" t="str">
        <x:v>statgrad_clean_continuation_v0_14(1).xlsx</x:v>
      </x:c>
      <x:c r="AM5415" s="87" t="str">
        <x:v>MATHB_EGKR_953</x:v>
      </x:c>
      <x:c r="AN5415" s="87" t="n">
        <x:v>19</x:v>
      </x:c>
    </x:row>
    <x:row r="5416">
      <x:c r="A5416" s="87" t="n">
        <x:v>5415</x:v>
      </x:c>
      <x:c r="B5416" s="87" t="str">
        <x:v>EGKR-W25-MATHB-953-19</x:v>
      </x:c>
      <x:c r="C5416" s="87" t="str">
        <x:v>ЕГКР</x:v>
      </x:c>
      <x:c r="D5416" s="87"/>
      <x:c r="E5416" s="87" t="str">
        <x:v>Зима 2025</x:v>
      </x:c>
      <x:c r="F5416" s="87" t="str">
        <x:v>16.12.2025</x:v>
      </x:c>
      <x:c r="G5416" s="87" t="str">
        <x:v>Математика (база)</x:v>
      </x:c>
      <x:c r="H5416" s="87" t="n">
        <x:v>11</x:v>
      </x:c>
      <x:c r="I5416" s="87"/>
      <x:c r="J5416" s="87" t="str">
        <x:v>953</x:v>
      </x:c>
      <x:c r="K5416" s="87" t="n">
        <x:v>19</x:v>
      </x:c>
      <x:c r="L5416" s="87" t="str">
        <x:v>Числовая задача</x:v>
      </x:c>
      <x:c r="M5416" s="30" t="str">
        <x:v>Четырёхзначное число A состоит из цифр 0, 3, 5, 8, а четырёхзначное число B — из цифр 0, 1, 6, 7. Известно, что B = 2A . Найдите число A. В ответе запишите какое- нибудь одно такое число.</x:v>
      </x:c>
      <x:c r="N5416" s="30" t="str">
        <x:v>3085</x:v>
      </x:c>
      <x:c r="O5416" s="30" t="str">
        <x:v>Число проверено подстановкой, разворотом цифр или перебором условий.</x:v>
      </x:c>
      <x:c r="P5416" s="30" t="str">
        <x:v>Условие, вычисление и визуальная страница проверены независимо.</x:v>
      </x:c>
      <x:c r="Q5416" s="30"/>
      <x:c r="R5416" s="30" t="str">
        <x:v>3085</x:v>
      </x:c>
      <x:c r="S5416" s="30"/>
      <x:c r="T5416" s="30"/>
      <x:c r="U5416" s="30" t="str">
        <x:v>Расхождений нет.</x:v>
      </x:c>
      <x:c r="V5416" s="87" t="str">
        <x:v>VERIFIED</x:v>
      </x:c>
      <x:c r="W5416" s="87"/>
      <x:c r="X5416" s="87" t="n">
        <x:v>8</x:v>
      </x:c>
      <x:c r="Y5416" s="87"/>
      <x:c r="Z5416" s="87"/>
      <x:c r="AA5416" s="87"/>
      <x:c r="AB5416" s="87"/>
      <x:c r="AC5416" s="87" t="str">
        <x:v>VIS-EGKR-MATHB-W25-TASK-953-P008</x:v>
      </x:c>
      <x:c r="AD5416" s="87"/>
      <x:c r="AE5416" s="87" t="str">
        <x:v>TASK</x:v>
      </x:c>
      <x:c r="AF5416" s="87" t="str">
        <x:v>VIS-EGKR-MATHB-W25-TASK-953-P008: 8</x:v>
      </x:c>
      <x:c r="AG5416" s="87" t="str">
        <x:v>RESOLVED</x:v>
      </x:c>
      <x:c r="AH5416" s="87" t="str">
        <x:v>CROP_VERIFIED</x:v>
      </x:c>
      <x:c r="AI5416" s="30"/>
      <x:c r="AJ5416" s="87" t="str">
        <x:v>clean</x:v>
      </x:c>
      <x:c r="AK5416" s="87" t="str">
        <x:v>clean-v0.14</x:v>
      </x:c>
      <x:c r="AL5416" s="87" t="str">
        <x:v>statgrad_clean_continuation_v0_14(1).xlsx</x:v>
      </x:c>
      <x:c r="AM5416" s="87" t="str">
        <x:v>MATHB_EGKR_953</x:v>
      </x:c>
      <x:c r="AN5416" s="87" t="n">
        <x:v>20</x:v>
      </x:c>
    </x:row>
    <x:row r="5417">
      <x:c r="A5417" s="87" t="n">
        <x:v>5416</x:v>
      </x:c>
      <x:c r="B5417" s="87" t="str">
        <x:v>EGKR-W25-MATHB-953-20</x:v>
      </x:c>
      <x:c r="C5417" s="87" t="str">
        <x:v>ЕГКР</x:v>
      </x:c>
      <x:c r="D5417" s="87"/>
      <x:c r="E5417" s="87" t="str">
        <x:v>Зима 2025</x:v>
      </x:c>
      <x:c r="F5417" s="87" t="str">
        <x:v>16.12.2025</x:v>
      </x:c>
      <x:c r="G5417" s="87" t="str">
        <x:v>Математика (база)</x:v>
      </x:c>
      <x:c r="H5417" s="87" t="n">
        <x:v>11</x:v>
      </x:c>
      <x:c r="I5417" s="87"/>
      <x:c r="J5417" s="87" t="str">
        <x:v>953</x:v>
      </x:c>
      <x:c r="K5417" s="87" t="n">
        <x:v>20</x:v>
      </x:c>
      <x:c r="L5417" s="87" t="str">
        <x:v>Задача на движение</x:v>
      </x:c>
      <x:c r="M5417" s="30" t="str">
        <x:v>Расстояние между городами A и B равно 780 км. Из города A в город B выехал первый автомобиль, а через час после этого навстречу ему из города B выехал со скоростью 90 км/ч второй автомобиль. Найдите скорость первого автомобиля, если автомобили встретились на расстоянии 330 км от города A. Ответ дайте в км/ч..</x:v>
      </x:c>
      <x:c r="N5417" s="30" t="str">
        <x:v>55</x:v>
      </x:c>
      <x:c r="O5417" s="30" t="str">
        <x:v>Составлено уравнение движения либо вычислена средняя скорость.</x:v>
      </x:c>
      <x:c r="P5417" s="30" t="str">
        <x:v>Условие, вычисление и визуальная страница проверены независимо.</x:v>
      </x:c>
      <x:c r="Q5417" s="30"/>
      <x:c r="R5417" s="30" t="str">
        <x:v>55</x:v>
      </x:c>
      <x:c r="S5417" s="30"/>
      <x:c r="T5417" s="30"/>
      <x:c r="U5417" s="30" t="str">
        <x:v>Расхождений нет.</x:v>
      </x:c>
      <x:c r="V5417" s="87" t="str">
        <x:v>VERIFIED</x:v>
      </x:c>
      <x:c r="W5417" s="87"/>
      <x:c r="X5417" s="87" t="n">
        <x:v>8</x:v>
      </x:c>
      <x:c r="Y5417" s="87"/>
      <x:c r="Z5417" s="87"/>
      <x:c r="AA5417" s="87"/>
      <x:c r="AB5417" s="87"/>
      <x:c r="AC5417" s="87" t="str">
        <x:v>VIS-EGKR-MATHB-W25-TASK-953-P008</x:v>
      </x:c>
      <x:c r="AD5417" s="87"/>
      <x:c r="AE5417" s="87" t="str">
        <x:v>TASK</x:v>
      </x:c>
      <x:c r="AF5417" s="87" t="str">
        <x:v>VIS-EGKR-MATHB-W25-TASK-953-P008: 8</x:v>
      </x:c>
      <x:c r="AG5417" s="87" t="str">
        <x:v>RESOLVED</x:v>
      </x:c>
      <x:c r="AH5417" s="87" t="str">
        <x:v>CROP_VERIFIED</x:v>
      </x:c>
      <x:c r="AI5417" s="30"/>
      <x:c r="AJ5417" s="87" t="str">
        <x:v>clean</x:v>
      </x:c>
      <x:c r="AK5417" s="87" t="str">
        <x:v>clean-v0.14</x:v>
      </x:c>
      <x:c r="AL5417" s="87" t="str">
        <x:v>statgrad_clean_continuation_v0_14(1).xlsx</x:v>
      </x:c>
      <x:c r="AM5417" s="87" t="str">
        <x:v>MATHB_EGKR_953</x:v>
      </x:c>
      <x:c r="AN5417" s="87" t="n">
        <x:v>21</x:v>
      </x:c>
    </x:row>
    <x:row r="5418">
      <x:c r="A5418" s="87" t="n">
        <x:v>5417</x:v>
      </x:c>
      <x:c r="B5418" s="87" t="str">
        <x:v>EGKR-W25-MATHB-953-21</x:v>
      </x:c>
      <x:c r="C5418" s="87" t="str">
        <x:v>ЕГКР</x:v>
      </x:c>
      <x:c r="D5418" s="87"/>
      <x:c r="E5418" s="87" t="str">
        <x:v>Зима 2025</x:v>
      </x:c>
      <x:c r="F5418" s="87" t="str">
        <x:v>16.12.2025</x:v>
      </x:c>
      <x:c r="G5418" s="87" t="str">
        <x:v>Математика (база)</x:v>
      </x:c>
      <x:c r="H5418" s="87" t="n">
        <x:v>11</x:v>
      </x:c>
      <x:c r="I5418" s="87"/>
      <x:c r="J5418" s="87" t="str">
        <x:v>953</x:v>
      </x:c>
      <x:c r="K5418" s="87" t="n">
        <x:v>21</x:v>
      </x:c>
      <x:c r="L5418" s="87" t="str">
        <x:v>Задача с целыми числами</x:v>
      </x:c>
      <x:c r="M5418" s="30" t="str">
        <x:v>На кольцевой дороге расположено четыре бензоколонки: А, Б, В и Г. Расстояние между А и Б — 75 км, между А и В — 50 км, между В и Г — 40 км, между Г и А — 60 км (все расстояния измеряются вдоль кольцевой дороги по кратчайшей дуге). Найдите расстояние (в километрах) между Б и В.</x:v>
      </x:c>
      <x:c r="N5418" s="30" t="str">
        <x:v>25</x:v>
      </x:c>
      <x:c r="O5418" s="30" t="str">
        <x:v>Условия на целые числа проверены перебором допустимых значений.</x:v>
      </x:c>
      <x:c r="P5418" s="30" t="str">
        <x:v>Условие, вычисление и визуальная страница проверены независимо.</x:v>
      </x:c>
      <x:c r="Q5418" s="30"/>
      <x:c r="R5418" s="30" t="str">
        <x:v>25</x:v>
      </x:c>
      <x:c r="S5418" s="30"/>
      <x:c r="T5418" s="30"/>
      <x:c r="U5418" s="30" t="str">
        <x:v>Расхождений нет.</x:v>
      </x:c>
      <x:c r="V5418" s="87" t="str">
        <x:v>VERIFIED</x:v>
      </x:c>
      <x:c r="W5418" s="87"/>
      <x:c r="X5418" s="87" t="n">
        <x:v>8</x:v>
      </x:c>
      <x:c r="Y5418" s="87"/>
      <x:c r="Z5418" s="87"/>
      <x:c r="AA5418" s="87"/>
      <x:c r="AB5418" s="87"/>
      <x:c r="AC5418" s="87" t="str">
        <x:v>VIS-EGKR-MATHB-W25-TASK-953-P008</x:v>
      </x:c>
      <x:c r="AD5418" s="87"/>
      <x:c r="AE5418" s="87" t="str">
        <x:v>TASK</x:v>
      </x:c>
      <x:c r="AF5418" s="87" t="str">
        <x:v>VIS-EGKR-MATHB-W25-TASK-953-P008: 8</x:v>
      </x:c>
      <x:c r="AG5418" s="87" t="str">
        <x:v>RESOLVED</x:v>
      </x:c>
      <x:c r="AH5418" s="87" t="str">
        <x:v>CROP_VERIFIED</x:v>
      </x:c>
      <x:c r="AI5418" s="30"/>
      <x:c r="AJ5418" s="87" t="str">
        <x:v>clean</x:v>
      </x:c>
      <x:c r="AK5418" s="87" t="str">
        <x:v>clean-v0.14</x:v>
      </x:c>
      <x:c r="AL5418" s="87" t="str">
        <x:v>statgrad_clean_continuation_v0_14(1).xlsx</x:v>
      </x:c>
      <x:c r="AM5418" s="87" t="str">
        <x:v>MATHB_EGKR_953</x:v>
      </x:c>
      <x:c r="AN5418" s="87" t="n">
        <x:v>22</x:v>
      </x:c>
    </x:row>
    <x:row r="5419">
      <x:c r="A5419" s="87" t="n">
        <x:v>5418</x:v>
      </x:c>
      <x:c r="B5419" s="87" t="str">
        <x:v>EGKR-W25-MATHB-954-01</x:v>
      </x:c>
      <x:c r="C5419" s="87" t="str">
        <x:v>ЕГКР</x:v>
      </x:c>
      <x:c r="D5419" s="87"/>
      <x:c r="E5419" s="87" t="str">
        <x:v>Зима 2025</x:v>
      </x:c>
      <x:c r="F5419" s="87" t="str">
        <x:v>16.12.2025</x:v>
      </x:c>
      <x:c r="G5419" s="87" t="str">
        <x:v>Математика (база)</x:v>
      </x:c>
      <x:c r="H5419" s="87" t="n">
        <x:v>11</x:v>
      </x:c>
      <x:c r="I5419" s="87"/>
      <x:c r="J5419" s="87" t="str">
        <x:v>954</x:v>
      </x:c>
      <x:c r="K5419" s="87" t="n">
        <x:v>1</x:v>
      </x:c>
      <x:c r="L5419" s="87" t="str">
        <x:v>Практическая арифметика</x:v>
      </x:c>
      <x:c r="M5419" s="30" t="str">
        <x:v>В пачке 250 листов бумаги формата А4. За неделю в офисе расходуется 900 листов. Какого наименьшего количества пачек бумаги хватит на 7 недель?</x:v>
      </x:c>
      <x:c r="N5419" s="30" t="str">
        <x:v>26</x:v>
      </x:c>
      <x:c r="O5419" s="30" t="str">
        <x:v>Выполнен прямой расчёт и, где требуется, округление вверх.</x:v>
      </x:c>
      <x:c r="P5419" s="30" t="str">
        <x:v>Условие, вычисление и визуальная страница проверены независимо.</x:v>
      </x:c>
      <x:c r="Q5419" s="30"/>
      <x:c r="R5419" s="30" t="str">
        <x:v>26</x:v>
      </x:c>
      <x:c r="S5419" s="30"/>
      <x:c r="T5419" s="30"/>
      <x:c r="U5419" s="30" t="str">
        <x:v>Расхождений нет.</x:v>
      </x:c>
      <x:c r="V5419" s="87" t="str">
        <x:v>VERIFIED</x:v>
      </x:c>
      <x:c r="W5419" s="87"/>
      <x:c r="X5419" s="87" t="n">
        <x:v>2</x:v>
      </x:c>
      <x:c r="Y5419" s="87"/>
      <x:c r="Z5419" s="87"/>
      <x:c r="AA5419" s="87"/>
      <x:c r="AB5419" s="87"/>
      <x:c r="AC5419" s="87" t="str">
        <x:v>VIS-EGKR-MATHB-W25-TASK-954-P002</x:v>
      </x:c>
      <x:c r="AD5419" s="87"/>
      <x:c r="AE5419" s="87" t="str">
        <x:v>TASK</x:v>
      </x:c>
      <x:c r="AF5419" s="87" t="str">
        <x:v>VIS-EGKR-MATHB-W25-TASK-954-P002: 2</x:v>
      </x:c>
      <x:c r="AG5419" s="87" t="str">
        <x:v>RESOLVED</x:v>
      </x:c>
      <x:c r="AH5419" s="87" t="str">
        <x:v>CROP_VERIFIED</x:v>
      </x:c>
      <x:c r="AI5419" s="30"/>
      <x:c r="AJ5419" s="87" t="str">
        <x:v>clean</x:v>
      </x:c>
      <x:c r="AK5419" s="87" t="str">
        <x:v>clean-v0.14</x:v>
      </x:c>
      <x:c r="AL5419" s="87" t="str">
        <x:v>statgrad_clean_continuation_v0_14(1).xlsx</x:v>
      </x:c>
      <x:c r="AM5419" s="87" t="str">
        <x:v>MATHB_EGKR_954</x:v>
      </x:c>
      <x:c r="AN5419" s="87" t="n">
        <x:v>2</x:v>
      </x:c>
    </x:row>
    <x:row r="5420">
      <x:c r="A5420" s="87" t="n">
        <x:v>5419</x:v>
      </x:c>
      <x:c r="B5420" s="87" t="str">
        <x:v>EGKR-W25-MATHB-954-02</x:v>
      </x:c>
      <x:c r="C5420" s="87" t="str">
        <x:v>ЕГКР</x:v>
      </x:c>
      <x:c r="D5420" s="87"/>
      <x:c r="E5420" s="87" t="str">
        <x:v>Зима 2025</x:v>
      </x:c>
      <x:c r="F5420" s="87" t="str">
        <x:v>16.12.2025</x:v>
      </x:c>
      <x:c r="G5420" s="87" t="str">
        <x:v>Математика (база)</x:v>
      </x:c>
      <x:c r="H5420" s="87" t="n">
        <x:v>11</x:v>
      </x:c>
      <x:c r="I5420" s="87"/>
      <x:c r="J5420" s="87" t="str">
        <x:v>954</x:v>
      </x:c>
      <x:c r="K5420" s="87" t="n">
        <x:v>2</x:v>
      </x:c>
      <x:c r="L5420" s="87" t="str">
        <x:v>Установление соответствия</x:v>
      </x:c>
      <x:c r="M5420"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А) масса спелого грецкого ореха Б) масса грузовой машины В) масса собаки Г) масса дождевой капли ВОЗМОЖНЫЕ ЗНАЧЕНИЯ 1) 8 т 2) 10 г 3) 20 мг 4) 12 кг В таблице под каждой буквой укажите соответствующий номер. А Б В Г</x:v>
      </x:c>
      <x:c r="N5420" s="30" t="str">
        <x:v>2143</x:v>
      </x:c>
      <x:c r="O5420" s="30" t="str">
        <x:v>Величины сопоставлены по реалистичным единицам и порядкам.</x:v>
      </x:c>
      <x:c r="P5420" s="30" t="str">
        <x:v>Условие, вычисление и визуальная страница проверены независимо.</x:v>
      </x:c>
      <x:c r="Q5420" s="30"/>
      <x:c r="R5420" s="30" t="str">
        <x:v>2143</x:v>
      </x:c>
      <x:c r="S5420" s="30"/>
      <x:c r="T5420" s="30"/>
      <x:c r="U5420" s="30" t="str">
        <x:v>Расхождений нет.</x:v>
      </x:c>
      <x:c r="V5420" s="87" t="str">
        <x:v>VERIFIED</x:v>
      </x:c>
      <x:c r="W5420" s="87"/>
      <x:c r="X5420" s="87" t="n">
        <x:v>2</x:v>
      </x:c>
      <x:c r="Y5420" s="87"/>
      <x:c r="Z5420" s="87"/>
      <x:c r="AA5420" s="87"/>
      <x:c r="AB5420" s="87"/>
      <x:c r="AC5420" s="87" t="str">
        <x:v>VIS-EGKR-MATHB-W25-TASK-954-P002</x:v>
      </x:c>
      <x:c r="AD5420" s="87"/>
      <x:c r="AE5420" s="87" t="str">
        <x:v>TASK</x:v>
      </x:c>
      <x:c r="AF5420" s="87" t="str">
        <x:v>VIS-EGKR-MATHB-W25-TASK-954-P002: 2</x:v>
      </x:c>
      <x:c r="AG5420" s="87" t="str">
        <x:v>RESOLVED</x:v>
      </x:c>
      <x:c r="AH5420" s="87" t="str">
        <x:v>CROP_VERIFIED</x:v>
      </x:c>
      <x:c r="AI5420" s="30"/>
      <x:c r="AJ5420" s="87" t="str">
        <x:v>clean</x:v>
      </x:c>
      <x:c r="AK5420" s="87" t="str">
        <x:v>clean-v0.14</x:v>
      </x:c>
      <x:c r="AL5420" s="87" t="str">
        <x:v>statgrad_clean_continuation_v0_14(1).xlsx</x:v>
      </x:c>
      <x:c r="AM5420" s="87" t="str">
        <x:v>MATHB_EGKR_954</x:v>
      </x:c>
      <x:c r="AN5420" s="87" t="n">
        <x:v>3</x:v>
      </x:c>
    </x:row>
    <x:row r="5421">
      <x:c r="A5421" s="87" t="n">
        <x:v>5420</x:v>
      </x:c>
      <x:c r="B5421" s="87" t="str">
        <x:v>EGKR-W25-MATHB-954-03</x:v>
      </x:c>
      <x:c r="C5421" s="87" t="str">
        <x:v>ЕГКР</x:v>
      </x:c>
      <x:c r="D5421" s="87"/>
      <x:c r="E5421" s="87" t="str">
        <x:v>Зима 2025</x:v>
      </x:c>
      <x:c r="F5421" s="87" t="str">
        <x:v>16.12.2025</x:v>
      </x:c>
      <x:c r="G5421" s="87" t="str">
        <x:v>Математика (база)</x:v>
      </x:c>
      <x:c r="H5421" s="87" t="n">
        <x:v>11</x:v>
      </x:c>
      <x:c r="I5421" s="87"/>
      <x:c r="J5421" s="87" t="str">
        <x:v>954</x:v>
      </x:c>
      <x:c r="K5421" s="87" t="n">
        <x:v>3</x:v>
      </x:c>
      <x:c r="L5421" s="87" t="str">
        <x:v>Анализ таблицы</x:v>
      </x:c>
      <x:c r="M5421" s="30" t="str">
        <x:v>Результаты игры КВН представлены в таблице. Команда Баллы за конкурс Баллы за конкурс Баллы за музыкальный «Приветствие» «СТЭМ» конкурс «АТОМ» 30 21 26 «Шумы» 27 24 24 «Топчан» 28 23 25 «Лёлек и 30 22 27 Болек» Для каждой команды баллы по всем конкурсам суммируются. Победителем считается команда, набравшая в сумме по всем конкурсам наибольшее количество баллов. Сколько в сумме баллов у команды-победителя?</x:v>
      </x:c>
      <x:c r="N5421" s="30" t="str">
        <x:v>79</x:v>
      </x:c>
      <x:c r="O5421" s="30" t="str">
        <x:v>Баллы в строках таблицы сложены; выбран максимум.</x:v>
      </x:c>
      <x:c r="P5421" s="30" t="str">
        <x:v>Условие, вычисление и визуальная страница проверены независимо.</x:v>
      </x:c>
      <x:c r="Q5421" s="30"/>
      <x:c r="R5421" s="30" t="str">
        <x:v>79</x:v>
      </x:c>
      <x:c r="S5421" s="30"/>
      <x:c r="T5421" s="30"/>
      <x:c r="U5421" s="30" t="str">
        <x:v>Расхождений нет.</x:v>
      </x:c>
      <x:c r="V5421" s="87" t="str">
        <x:v>VERIFIED</x:v>
      </x:c>
      <x:c r="W5421" s="87"/>
      <x:c r="X5421" s="87" t="n">
        <x:v>3</x:v>
      </x:c>
      <x:c r="Y5421" s="87"/>
      <x:c r="Z5421" s="87"/>
      <x:c r="AA5421" s="87"/>
      <x:c r="AB5421" s="87"/>
      <x:c r="AC5421" s="87" t="str">
        <x:v>VIS-EGKR-MATHB-W25-TASK-954-P003</x:v>
      </x:c>
      <x:c r="AD5421" s="87"/>
      <x:c r="AE5421" s="87" t="str">
        <x:v>TASK</x:v>
      </x:c>
      <x:c r="AF5421" s="87" t="str">
        <x:v>VIS-EGKR-MATHB-W25-TASK-954-P003: 3</x:v>
      </x:c>
      <x:c r="AG5421" s="87" t="str">
        <x:v>RESOLVED</x:v>
      </x:c>
      <x:c r="AH5421" s="87" t="str">
        <x:v>CROP_VERIFIED</x:v>
      </x:c>
      <x:c r="AI5421" s="30"/>
      <x:c r="AJ5421" s="87" t="str">
        <x:v>clean</x:v>
      </x:c>
      <x:c r="AK5421" s="87" t="str">
        <x:v>clean-v0.14</x:v>
      </x:c>
      <x:c r="AL5421" s="87" t="str">
        <x:v>statgrad_clean_continuation_v0_14(1).xlsx</x:v>
      </x:c>
      <x:c r="AM5421" s="87" t="str">
        <x:v>MATHB_EGKR_954</x:v>
      </x:c>
      <x:c r="AN5421" s="87" t="n">
        <x:v>4</x:v>
      </x:c>
    </x:row>
    <x:row r="5422">
      <x:c r="A5422" s="87" t="n">
        <x:v>5421</x:v>
      </x:c>
      <x:c r="B5422" s="87" t="str">
        <x:v>EGKR-W25-MATHB-954-04</x:v>
      </x:c>
      <x:c r="C5422" s="87" t="str">
        <x:v>ЕГКР</x:v>
      </x:c>
      <x:c r="D5422" s="87"/>
      <x:c r="E5422" s="87" t="str">
        <x:v>Зима 2025</x:v>
      </x:c>
      <x:c r="F5422" s="87" t="str">
        <x:v>16.12.2025</x:v>
      </x:c>
      <x:c r="G5422" s="87" t="str">
        <x:v>Математика (база)</x:v>
      </x:c>
      <x:c r="H5422" s="87" t="n">
        <x:v>11</x:v>
      </x:c>
      <x:c r="I5422" s="87"/>
      <x:c r="J5422" s="87" t="str">
        <x:v>954</x:v>
      </x:c>
      <x:c r="K5422" s="87" t="n">
        <x:v>4</x:v>
      </x:c>
      <x:c r="L5422" s="87" t="str">
        <x:v>Применение формулы</x:v>
      </x:c>
      <x:c r="M5422" s="30" t="str">
        <x:v>Зная длину своего шага, человек может приближённо подсчитать пройденное им рассто яние s по формуле s = nl, где n - число шагов, l - длина шага. Какое расстояние прошёл человек, если l =70 см, n = 1700?</x:v>
      </x:c>
      <x:c r="N5422" s="30" t="str">
        <x:v>1190</x:v>
      </x:c>
      <x:c r="O5422" s="30" t="str">
        <x:v>Длина шага умножена на число шагов и переведена в метры.</x:v>
      </x:c>
      <x:c r="P5422" s="30" t="str">
        <x:v>Условие, вычисление и визуальная страница проверены независимо.</x:v>
      </x:c>
      <x:c r="Q5422" s="30"/>
      <x:c r="R5422" s="30" t="str">
        <x:v>1190</x:v>
      </x:c>
      <x:c r="S5422" s="30"/>
      <x:c r="T5422" s="30"/>
      <x:c r="U5422" s="30" t="str">
        <x:v>Расхождений нет.</x:v>
      </x:c>
      <x:c r="V5422" s="87" t="str">
        <x:v>VERIFIED</x:v>
      </x:c>
      <x:c r="W5422" s="87"/>
      <x:c r="X5422" s="87" t="n">
        <x:v>3</x:v>
      </x:c>
      <x:c r="Y5422" s="87"/>
      <x:c r="Z5422" s="87"/>
      <x:c r="AA5422" s="87"/>
      <x:c r="AB5422" s="87"/>
      <x:c r="AC5422" s="87" t="str">
        <x:v>VIS-EGKR-MATHB-W25-TASK-954-P003</x:v>
      </x:c>
      <x:c r="AD5422" s="87"/>
      <x:c r="AE5422" s="87" t="str">
        <x:v>TASK</x:v>
      </x:c>
      <x:c r="AF5422" s="87" t="str">
        <x:v>VIS-EGKR-MATHB-W25-TASK-954-P003: 3</x:v>
      </x:c>
      <x:c r="AG5422" s="87" t="str">
        <x:v>RESOLVED</x:v>
      </x:c>
      <x:c r="AH5422" s="87" t="str">
        <x:v>CROP_VERIFIED</x:v>
      </x:c>
      <x:c r="AI5422" s="30"/>
      <x:c r="AJ5422" s="87" t="str">
        <x:v>clean</x:v>
      </x:c>
      <x:c r="AK5422" s="87" t="str">
        <x:v>clean-v0.14</x:v>
      </x:c>
      <x:c r="AL5422" s="87" t="str">
        <x:v>statgrad_clean_continuation_v0_14(1).xlsx</x:v>
      </x:c>
      <x:c r="AM5422" s="87" t="str">
        <x:v>MATHB_EGKR_954</x:v>
      </x:c>
      <x:c r="AN5422" s="87" t="n">
        <x:v>5</x:v>
      </x:c>
    </x:row>
    <x:row r="5423">
      <x:c r="A5423" s="87" t="n">
        <x:v>5422</x:v>
      </x:c>
      <x:c r="B5423" s="87" t="str">
        <x:v>EGKR-W25-MATHB-954-05</x:v>
      </x:c>
      <x:c r="C5423" s="87" t="str">
        <x:v>ЕГКР</x:v>
      </x:c>
      <x:c r="D5423" s="87"/>
      <x:c r="E5423" s="87" t="str">
        <x:v>Зима 2025</x:v>
      </x:c>
      <x:c r="F5423" s="87" t="str">
        <x:v>16.12.2025</x:v>
      </x:c>
      <x:c r="G5423" s="87" t="str">
        <x:v>Математика (база)</x:v>
      </x:c>
      <x:c r="H5423" s="87" t="n">
        <x:v>11</x:v>
      </x:c>
      <x:c r="I5423" s="87"/>
      <x:c r="J5423" s="87" t="str">
        <x:v>954</x:v>
      </x:c>
      <x:c r="K5423" s="87" t="n">
        <x:v>5</x:v>
      </x:c>
      <x:c r="L5423" s="87" t="str">
        <x:v>Вероятность</x:v>
      </x:c>
      <x:c r="M5423" s="30" t="str">
        <x:v>На экзамене по геометрии школьник должен ответить на один вопрос из списка экзаменационных вопросов. Вероятность того, что эта задача по теме «Внешние углы», равна 0,1. Вероятность того, что это окажется задача по теме «Тригонометрия», равна 0,35. Вопросов, которые одновременно относятся к этим двум темам, нет. Найдите вероятность того, что на экзамене школьнику достанется вопрос по одной из этих двух тем.</x:v>
      </x:c>
      <x:c r="N5423" s="30" t="str">
        <x:v>0,45</x:v>
      </x:c>
      <x:c r="O5423" s="30" t="str">
        <x:v>Вероятности несовместных событий сложены.</x:v>
      </x:c>
      <x:c r="P5423" s="30" t="str">
        <x:v>Условие, вычисление и визуальная страница проверены независимо.</x:v>
      </x:c>
      <x:c r="Q5423" s="30"/>
      <x:c r="R5423" s="30" t="str">
        <x:v>0,35</x:v>
      </x:c>
      <x:c r="S5423" s="30"/>
      <x:c r="T5423" s="30"/>
      <x:c r="U5423" s="30" t="str">
        <x:v>Ответник: 0,35; независимое решение: 0,45.</x:v>
      </x:c>
      <x:c r="V5423" s="87" t="str">
        <x:v>KEY_MISMATCH</x:v>
      </x:c>
      <x:c r="W5423" s="87"/>
      <x:c r="X5423" s="87" t="n">
        <x:v>3</x:v>
      </x:c>
      <x:c r="Y5423" s="87"/>
      <x:c r="Z5423" s="87"/>
      <x:c r="AA5423" s="87"/>
      <x:c r="AB5423" s="87"/>
      <x:c r="AC5423" s="87" t="str">
        <x:v>VIS-EGKR-MATHB-W25-TASK-954-P003</x:v>
      </x:c>
      <x:c r="AD5423" s="87"/>
      <x:c r="AE5423" s="87" t="str">
        <x:v>TASK</x:v>
      </x:c>
      <x:c r="AF5423" s="87" t="str">
        <x:v>VIS-EGKR-MATHB-W25-TASK-954-P003: 3</x:v>
      </x:c>
      <x:c r="AG5423" s="87" t="str">
        <x:v>RESOLVED</x:v>
      </x:c>
      <x:c r="AH5423" s="87" t="str">
        <x:v>CROP_VERIFIED</x:v>
      </x:c>
      <x:c r="AI5423" s="30"/>
      <x:c r="AJ5423" s="87" t="str">
        <x:v>clean</x:v>
      </x:c>
      <x:c r="AK5423" s="87" t="str">
        <x:v>clean-v0.14</x:v>
      </x:c>
      <x:c r="AL5423" s="87" t="str">
        <x:v>statgrad_clean_continuation_v0_14(1).xlsx</x:v>
      </x:c>
      <x:c r="AM5423" s="87" t="str">
        <x:v>MATHB_EGKR_954</x:v>
      </x:c>
      <x:c r="AN5423" s="87" t="n">
        <x:v>6</x:v>
      </x:c>
    </x:row>
    <x:row r="5424">
      <x:c r="A5424" s="87" t="n">
        <x:v>5423</x:v>
      </x:c>
      <x:c r="B5424" s="87" t="str">
        <x:v>EGKR-W25-MATHB-954-06</x:v>
      </x:c>
      <x:c r="C5424" s="87" t="str">
        <x:v>ЕГКР</x:v>
      </x:c>
      <x:c r="D5424" s="87"/>
      <x:c r="E5424" s="87" t="str">
        <x:v>Зима 2025</x:v>
      </x:c>
      <x:c r="F5424" s="87" t="str">
        <x:v>16.12.2025</x:v>
      </x:c>
      <x:c r="G5424" s="87" t="str">
        <x:v>Математика (база)</x:v>
      </x:c>
      <x:c r="H5424" s="87" t="n">
        <x:v>11</x:v>
      </x:c>
      <x:c r="I5424" s="87"/>
      <x:c r="J5424" s="87" t="str">
        <x:v>954</x:v>
      </x:c>
      <x:c r="K5424" s="87" t="n">
        <x:v>6</x:v>
      </x:c>
      <x:c r="L5424" s="87" t="str">
        <x:v>Оптимальный выбор</x:v>
      </x:c>
      <x:c r="M5424" s="30" t="str">
        <x:v>Путешественник из Москвы хочет посетить 4 города Золотого кольца России: Владимир, Ярославль, Суздаль и Ростов Великий. Турагентство предлагает маршруты с посещением некоторых городов Золотого кольца. Сведения о стоимости билетов и маршрутах представлены в таблице. Номер маршрута Посещаемые города Стоимость (руб.). 1 Ростов Великий, Владимир 2750 2 Владимир 1700 3 Суздаль, Ростов Великий 2300 4 Владимир, Суздаль, Ярославль 3850 5 Ростов Великий, Ярославль 2300 6 Суздаль, Ярославль 2050 Какие маршруты должен выбрать путешественник, чтобы побыть во всех четырех городах и потратить на билеты меньшее 6000 рублей? В ответе укажите какой-нибудь один набор номеров маршрутов без пробелов, запятых и других дополнительных символов.</x:v>
      </x:c>
      <x:c r="N5424" s="30" t="str">
        <x:v>16</x:v>
      </x:c>
      <x:c r="O5424" s="30" t="str">
        <x:v>Подобран набор маршрутов, покрывающий четыре города и удовлетворяющий ограничению цены.</x:v>
      </x:c>
      <x:c r="P5424" s="30" t="str">
        <x:v>Условие, вычисление и визуальная страница проверены независимо.</x:v>
      </x:c>
      <x:c r="Q5424" s="30"/>
      <x:c r="R5424" s="30" t="str">
        <x:v>16</x:v>
      </x:c>
      <x:c r="S5424" s="30"/>
      <x:c r="T5424" s="30"/>
      <x:c r="U5424" s="30" t="str">
        <x:v>Расхождений нет.</x:v>
      </x:c>
      <x:c r="V5424" s="87" t="str">
        <x:v>VERIFIED</x:v>
      </x:c>
      <x:c r="W5424" s="87"/>
      <x:c r="X5424" s="87" t="n">
        <x:v>4</x:v>
      </x:c>
      <x:c r="Y5424" s="87"/>
      <x:c r="Z5424" s="87"/>
      <x:c r="AA5424" s="87"/>
      <x:c r="AB5424" s="87"/>
      <x:c r="AC5424" s="87" t="str">
        <x:v>VIS-EGKR-MATHB-W25-TASK-954-P004</x:v>
      </x:c>
      <x:c r="AD5424" s="87"/>
      <x:c r="AE5424" s="87" t="str">
        <x:v>TASK</x:v>
      </x:c>
      <x:c r="AF5424" s="87" t="str">
        <x:v>VIS-EGKR-MATHB-W25-TASK-954-P004: 4</x:v>
      </x:c>
      <x:c r="AG5424" s="87" t="str">
        <x:v>RESOLVED</x:v>
      </x:c>
      <x:c r="AH5424" s="87" t="str">
        <x:v>CROP_VERIFIED</x:v>
      </x:c>
      <x:c r="AI5424" s="30"/>
      <x:c r="AJ5424" s="87" t="str">
        <x:v>clean</x:v>
      </x:c>
      <x:c r="AK5424" s="87" t="str">
        <x:v>clean-v0.14</x:v>
      </x:c>
      <x:c r="AL5424" s="87" t="str">
        <x:v>statgrad_clean_continuation_v0_14(1).xlsx</x:v>
      </x:c>
      <x:c r="AM5424" s="87" t="str">
        <x:v>MATHB_EGKR_954</x:v>
      </x:c>
      <x:c r="AN5424" s="87" t="n">
        <x:v>7</x:v>
      </x:c>
    </x:row>
    <x:row r="5425">
      <x:c r="A5425" s="87" t="n">
        <x:v>5424</x:v>
      </x:c>
      <x:c r="B5425" s="87" t="str">
        <x:v>EGKR-W25-MATHB-954-07</x:v>
      </x:c>
      <x:c r="C5425" s="87" t="str">
        <x:v>ЕГКР</x:v>
      </x:c>
      <x:c r="D5425" s="87"/>
      <x:c r="E5425" s="87" t="str">
        <x:v>Зима 2025</x:v>
      </x:c>
      <x:c r="F5425" s="87" t="str">
        <x:v>16.12.2025</x:v>
      </x:c>
      <x:c r="G5425" s="87" t="str">
        <x:v>Математика (база)</x:v>
      </x:c>
      <x:c r="H5425" s="87" t="n">
        <x:v>11</x:v>
      </x:c>
      <x:c r="I5425" s="87"/>
      <x:c r="J5425" s="87" t="str">
        <x:v>954</x:v>
      </x:c>
      <x:c r="K5425" s="87" t="n">
        <x:v>7</x:v>
      </x:c>
      <x:c r="L5425" s="87" t="str">
        <x:v>Анализ графика</x:v>
      </x:c>
      <x:c r="M5425" s="30" t="str">
        <x:v>На рисунке изображён график функции y = f(x) и отмечены точки A, B, C и D на оси Ox. Пользуясь графиком, поставьте в соответствие каждой точке характеристики функции и её производной. ТОЧКИ ХАРАКТЕРИСТИКИ ФУНКЦИИ ИЛИ ПРОИЗВОДНОЙ А) A 1) значение функции в точке отрицательно, а значение Б) B производной функции в точке равно 0. В) C 2) значение функции в точке положительно, а Г) D значение производной функции в точке равно 0. 3) значение производной в точке отрицательно, и значение функции в точке равно 0. 4) Значение функции в точке положительно, и значение производной функции в точке отрицательно В таблице под каждой буквой укажите соответствующий номер. А Б В Г</x:v>
      </x:c>
      <x:c r="N5425" s="30" t="str">
        <x:v>3142 (после восстановления повреждённой опции)</x:v>
      </x:c>
      <x:c r="O5425" s="30" t="str">
        <x:v>Знаки функции и производной определены по положению точки и направлению графика.</x:v>
      </x:c>
      <x:c r="P5425" s="30" t="str">
        <x:v>Условие, вычисление и визуальная страница проверены независимо.</x:v>
      </x:c>
      <x:c r="Q5425" s="30"/>
      <x:c r="R5425" s="30" t="str">
        <x:v>3124</x:v>
      </x:c>
      <x:c r="S5425" s="30"/>
      <x:c r="T5425" s="30"/>
      <x:c r="U5425" s="30" t="str">
        <x:v>Текст задания повреждён; рабочий ответ восстановлен по сохранившимся данным. Ответник: 3124.</x:v>
      </x:c>
      <x:c r="V5425" s="87" t="str">
        <x:v>TASK_DEFECT_RECOVERED</x:v>
      </x:c>
      <x:c r="W5425" s="87"/>
      <x:c r="X5425" s="87" t="n">
        <x:v>5</x:v>
      </x:c>
      <x:c r="Y5425" s="87"/>
      <x:c r="Z5425" s="87"/>
      <x:c r="AA5425" s="87"/>
      <x:c r="AB5425" s="87"/>
      <x:c r="AC5425" s="87" t="str">
        <x:v>VIS-EGKR-MATHB-W25-TASK-954-P005</x:v>
      </x:c>
      <x:c r="AD5425" s="87"/>
      <x:c r="AE5425" s="87" t="str">
        <x:v>TASK</x:v>
      </x:c>
      <x:c r="AF5425" s="87" t="str">
        <x:v>VIS-EGKR-MATHB-W25-TASK-954-P005: 5</x:v>
      </x:c>
      <x:c r="AG5425" s="87" t="str">
        <x:v>RESOLVED</x:v>
      </x:c>
      <x:c r="AH5425" s="87" t="str">
        <x:v>CROP_VERIFIED; TASK_CROP_QA_APPROVED:USE_TIGHT</x:v>
      </x:c>
      <x:c r="AI5425" s="30"/>
      <x:c r="AJ5425" s="87" t="str">
        <x:v>clean</x:v>
      </x:c>
      <x:c r="AK5425" s="87" t="str">
        <x:v>clean-v0.14</x:v>
      </x:c>
      <x:c r="AL5425" s="87" t="str">
        <x:v>statgrad_clean_continuation_v0_14(1).xlsx</x:v>
      </x:c>
      <x:c r="AM5425" s="87" t="str">
        <x:v>MATHB_EGKR_954</x:v>
      </x:c>
      <x:c r="AN5425" s="87" t="n">
        <x:v>8</x:v>
      </x:c>
    </x:row>
    <x:row r="5426">
      <x:c r="A5426" s="87" t="n">
        <x:v>5425</x:v>
      </x:c>
      <x:c r="B5426" s="87" t="str">
        <x:v>EGKR-W25-MATHB-954-08</x:v>
      </x:c>
      <x:c r="C5426" s="87" t="str">
        <x:v>ЕГКР</x:v>
      </x:c>
      <x:c r="D5426" s="87"/>
      <x:c r="E5426" s="87" t="str">
        <x:v>Зима 2025</x:v>
      </x:c>
      <x:c r="F5426" s="87" t="str">
        <x:v>16.12.2025</x:v>
      </x:c>
      <x:c r="G5426" s="87" t="str">
        <x:v>Математика (база)</x:v>
      </x:c>
      <x:c r="H5426" s="87" t="n">
        <x:v>11</x:v>
      </x:c>
      <x:c r="I5426" s="87"/>
      <x:c r="J5426" s="87" t="str">
        <x:v>954</x:v>
      </x:c>
      <x:c r="K5426" s="87" t="n">
        <x:v>8</x:v>
      </x:c>
      <x:c r="L5426" s="87" t="str">
        <x:v>Логические утверждения</x:v>
      </x:c>
      <x:c r="M5426" s="30" t="str">
        <x:v>Перед футбольным турниром измерили рост игроков футбольной команды города N. Оказалось, что рост каждого из футболистов этой команды больше 180 см и меньше 4190 см. Выберите утверждения, которые верны при указанных условиях. 1) В баскетбольной команде города N обязательно есть игрок, рост которого равен 170 см. 2) В баскетбольной команде города N нет игроков с ростом 179 см. 3) Рост любого баскетболиста этой команды меньше 192 см. 4) Разница в росте любых двух игроков футбольной команды города N составляет более 20 см. В ответе запишите номера выбранных утверждений без пробелов, запятых и других дополнительных символов.</x:v>
      </x:c>
      <x:c r="N5426" s="30" t="str">
        <x:v>23</x:v>
      </x:c>
      <x:c r="O5426" s="30" t="str">
        <x:v>Проверены логические следствия из заданного интервала роста.</x:v>
      </x:c>
      <x:c r="P5426" s="30" t="str">
        <x:v>Условие, вычисление и визуальная страница проверены независимо.</x:v>
      </x:c>
      <x:c r="Q5426" s="30"/>
      <x:c r="R5426" s="30" t="str">
        <x:v>23</x:v>
      </x:c>
      <x:c r="S5426" s="30"/>
      <x:c r="T5426" s="30"/>
      <x:c r="U5426" s="30" t="str">
        <x:v>Расхождений нет.</x:v>
      </x:c>
      <x:c r="V5426" s="87" t="str">
        <x:v>VERIFIED</x:v>
      </x:c>
      <x:c r="W5426" s="87"/>
      <x:c r="X5426" s="87" t="n">
        <x:v>6</x:v>
      </x:c>
      <x:c r="Y5426" s="87"/>
      <x:c r="Z5426" s="87"/>
      <x:c r="AA5426" s="87"/>
      <x:c r="AB5426" s="87"/>
      <x:c r="AC5426" s="87" t="str">
        <x:v>VIS-EGKR-MATHB-W25-TASK-954-P006</x:v>
      </x:c>
      <x:c r="AD5426" s="87"/>
      <x:c r="AE5426" s="87" t="str">
        <x:v>TASK</x:v>
      </x:c>
      <x:c r="AF5426" s="87" t="str">
        <x:v>VIS-EGKR-MATHB-W25-TASK-954-P006: 6</x:v>
      </x:c>
      <x:c r="AG5426" s="87" t="str">
        <x:v>RESOLVED</x:v>
      </x:c>
      <x:c r="AH5426" s="87" t="str">
        <x:v>CROP_VERIFIED</x:v>
      </x:c>
      <x:c r="AI5426" s="30"/>
      <x:c r="AJ5426" s="87" t="str">
        <x:v>clean</x:v>
      </x:c>
      <x:c r="AK5426" s="87" t="str">
        <x:v>clean-v0.14</x:v>
      </x:c>
      <x:c r="AL5426" s="87" t="str">
        <x:v>statgrad_clean_continuation_v0_14(1).xlsx</x:v>
      </x:c>
      <x:c r="AM5426" s="87" t="str">
        <x:v>MATHB_EGKR_954</x:v>
      </x:c>
      <x:c r="AN5426" s="87" t="n">
        <x:v>9</x:v>
      </x:c>
    </x:row>
    <x:row r="5427">
      <x:c r="A5427" s="87" t="n">
        <x:v>5426</x:v>
      </x:c>
      <x:c r="B5427" s="87" t="str">
        <x:v>EGKR-W25-MATHB-954-09</x:v>
      </x:c>
      <x:c r="C5427" s="87" t="str">
        <x:v>ЕГКР</x:v>
      </x:c>
      <x:c r="D5427" s="87"/>
      <x:c r="E5427" s="87" t="str">
        <x:v>Зима 2025</x:v>
      </x:c>
      <x:c r="F5427" s="87" t="str">
        <x:v>16.12.2025</x:v>
      </x:c>
      <x:c r="G5427" s="87" t="str">
        <x:v>Математика (база)</x:v>
      </x:c>
      <x:c r="H5427" s="87" t="n">
        <x:v>11</x:v>
      </x:c>
      <x:c r="I5427" s="87"/>
      <x:c r="J5427" s="87" t="str">
        <x:v>954</x:v>
      </x:c>
      <x:c r="K5427" s="87" t="n">
        <x:v>9</x:v>
      </x:c>
      <x:c r="L5427" s="87" t="str">
        <x:v>Площадь по клеткам</x:v>
      </x:c>
      <x:c r="M5427" s="30" t="str">
        <x:v>План местности разбит на клетки. Каждая клетка обозначает квадрат 1 м × 1 м. Найдите площадь участка, выделенного на плане. Ответ дайте в квадратных метрах.</x:v>
      </x:c>
      <x:c r="N5427" s="30" t="str">
        <x:v>17</x:v>
      </x:c>
      <x:c r="O5427" s="30" t="str">
        <x:v>Площадь пересчитана по клеткам и геометрическому разбиению.</x:v>
      </x:c>
      <x:c r="P5427" s="30" t="str">
        <x:v>Условие, вычисление и визуальная страница проверены независимо.</x:v>
      </x:c>
      <x:c r="Q5427" s="30"/>
      <x:c r="R5427" s="30" t="str">
        <x:v>17</x:v>
      </x:c>
      <x:c r="S5427" s="30"/>
      <x:c r="T5427" s="30"/>
      <x:c r="U5427" s="30" t="str">
        <x:v>Расхождений нет.</x:v>
      </x:c>
      <x:c r="V5427" s="87" t="str">
        <x:v>VERIFIED</x:v>
      </x:c>
      <x:c r="W5427" s="87"/>
      <x:c r="X5427" s="87" t="n">
        <x:v>6</x:v>
      </x:c>
      <x:c r="Y5427" s="87"/>
      <x:c r="Z5427" s="87"/>
      <x:c r="AA5427" s="87"/>
      <x:c r="AB5427" s="87"/>
      <x:c r="AC5427" s="87" t="str">
        <x:v>VIS-EGKR-MATHB-W25-TASK-954-P006</x:v>
      </x:c>
      <x:c r="AD5427" s="87"/>
      <x:c r="AE5427" s="87" t="str">
        <x:v>TASK</x:v>
      </x:c>
      <x:c r="AF5427" s="87" t="str">
        <x:v>VIS-EGKR-MATHB-W25-TASK-954-P006: 6</x:v>
      </x:c>
      <x:c r="AG5427" s="87" t="str">
        <x:v>RESOLVED</x:v>
      </x:c>
      <x:c r="AH5427" s="87" t="str">
        <x:v>CROP_VERIFIED; TASK_CROP_QA_APPROVED:USE_TIGHT</x:v>
      </x:c>
      <x:c r="AI5427" s="30"/>
      <x:c r="AJ5427" s="87" t="str">
        <x:v>clean</x:v>
      </x:c>
      <x:c r="AK5427" s="87" t="str">
        <x:v>clean-v0.14</x:v>
      </x:c>
      <x:c r="AL5427" s="87" t="str">
        <x:v>statgrad_clean_continuation_v0_14(1).xlsx</x:v>
      </x:c>
      <x:c r="AM5427" s="87" t="str">
        <x:v>MATHB_EGKR_954</x:v>
      </x:c>
      <x:c r="AN5427" s="87" t="n">
        <x:v>10</x:v>
      </x:c>
    </x:row>
    <x:row r="5428">
      <x:c r="A5428" s="87" t="n">
        <x:v>5427</x:v>
      </x:c>
      <x:c r="B5428" s="87" t="str">
        <x:v>EGKR-W25-MATHB-954-10</x:v>
      </x:c>
      <x:c r="C5428" s="87" t="str">
        <x:v>ЕГКР</x:v>
      </x:c>
      <x:c r="D5428" s="87"/>
      <x:c r="E5428" s="87" t="str">
        <x:v>Зима 2025</x:v>
      </x:c>
      <x:c r="F5428" s="87" t="str">
        <x:v>16.12.2025</x:v>
      </x:c>
      <x:c r="G5428" s="87" t="str">
        <x:v>Математика (база)</x:v>
      </x:c>
      <x:c r="H5428" s="87" t="n">
        <x:v>11</x:v>
      </x:c>
      <x:c r="I5428" s="87"/>
      <x:c r="J5428" s="87" t="str">
        <x:v>954</x:v>
      </x:c>
      <x:c r="K5428" s="87" t="n">
        <x:v>10</x:v>
      </x:c>
      <x:c r="L5428" s="87" t="str">
        <x:v>Практическая геометрия</x:v>
      </x:c>
      <x:c r="M5428" s="30" t="str">
        <x:v>На плане указано, что прямоугольная комната имеет площадь 20 кв. м. Точные измерения показали, что ширина комнаты равна 4,1 м, а длина 5 м. На сколько квадратных метров площадь комнаты отличается от площади, указанной на плане?</x:v>
      </x:c>
      <x:c r="N5428" s="30" t="str">
        <x:v>0,5</x:v>
      </x:c>
      <x:c r="O5428" s="30" t="str">
        <x:v>Фактическая площадь вычислена как произведение сторон; найдена абсолютная разность.</x:v>
      </x:c>
      <x:c r="P5428" s="30" t="str">
        <x:v>Условие, вычисление и визуальная страница проверены независимо.</x:v>
      </x:c>
      <x:c r="Q5428" s="30"/>
      <x:c r="R5428" s="30" t="str">
        <x:v>0,5</x:v>
      </x:c>
      <x:c r="S5428" s="30"/>
      <x:c r="T5428" s="30"/>
      <x:c r="U5428" s="30" t="str">
        <x:v>Расхождений нет.</x:v>
      </x:c>
      <x:c r="V5428" s="87" t="str">
        <x:v>VERIFIED</x:v>
      </x:c>
      <x:c r="W5428" s="87"/>
      <x:c r="X5428" s="87" t="n">
        <x:v>6</x:v>
      </x:c>
      <x:c r="Y5428" s="87"/>
      <x:c r="Z5428" s="87"/>
      <x:c r="AA5428" s="87"/>
      <x:c r="AB5428" s="87"/>
      <x:c r="AC5428" s="87" t="str">
        <x:v>VIS-EGKR-MATHB-W25-TASK-954-P006</x:v>
      </x:c>
      <x:c r="AD5428" s="87"/>
      <x:c r="AE5428" s="87" t="str">
        <x:v>TASK</x:v>
      </x:c>
      <x:c r="AF5428" s="87" t="str">
        <x:v>VIS-EGKR-MATHB-W25-TASK-954-P006: 6</x:v>
      </x:c>
      <x:c r="AG5428" s="87" t="str">
        <x:v>RESOLVED</x:v>
      </x:c>
      <x:c r="AH5428" s="87" t="str">
        <x:v>CROP_VERIFIED; TASK_CROP_QA_APPROVED:USE_TIGHT</x:v>
      </x:c>
      <x:c r="AI5428" s="30"/>
      <x:c r="AJ5428" s="87" t="str">
        <x:v>clean</x:v>
      </x:c>
      <x:c r="AK5428" s="87" t="str">
        <x:v>clean-v0.14</x:v>
      </x:c>
      <x:c r="AL5428" s="87" t="str">
        <x:v>statgrad_clean_continuation_v0_14(1).xlsx</x:v>
      </x:c>
      <x:c r="AM5428" s="87" t="str">
        <x:v>MATHB_EGKR_954</x:v>
      </x:c>
      <x:c r="AN5428" s="87" t="n">
        <x:v>11</x:v>
      </x:c>
    </x:row>
    <x:row r="5429">
      <x:c r="A5429" s="87" t="n">
        <x:v>5428</x:v>
      </x:c>
      <x:c r="B5429" s="87" t="str">
        <x:v>EGKR-W25-MATHB-954-11</x:v>
      </x:c>
      <x:c r="C5429" s="87" t="str">
        <x:v>ЕГКР</x:v>
      </x:c>
      <x:c r="D5429" s="87"/>
      <x:c r="E5429" s="87" t="str">
        <x:v>Зима 2025</x:v>
      </x:c>
      <x:c r="F5429" s="87" t="str">
        <x:v>16.12.2025</x:v>
      </x:c>
      <x:c r="G5429" s="87" t="str">
        <x:v>Математика (база)</x:v>
      </x:c>
      <x:c r="H5429" s="87" t="n">
        <x:v>11</x:v>
      </x:c>
      <x:c r="I5429" s="87"/>
      <x:c r="J5429" s="87" t="str">
        <x:v>954</x:v>
      </x:c>
      <x:c r="K5429" s="87" t="n">
        <x:v>11</x:v>
      </x:c>
      <x:c r="L5429" s="87" t="str">
        <x:v>Площадь поверхности</x:v>
      </x:c>
      <x:c r="M5429" s="30" t="str">
        <x:v>Прямолинейный участок трубы длиной 5 м имеющей в сечении окружность необходимо покрасить снаружи (торцы трубы открыты их красить не нужно). Найдите площадь поверхности, которую необходимо покрасить если внешний обхват трубы равен 21 см. Ответ дайте в квадратных сантиметрах:</x:v>
      </x:c>
      <x:c r="N5429" s="30" t="str">
        <x:v>10500</x:v>
      </x:c>
      <x:c r="O5429" s="30" t="str">
        <x:v>Боковая поверхность трубы равна длине трубы, умноженной на длину окружности.</x:v>
      </x:c>
      <x:c r="P5429" s="30" t="str">
        <x:v>Условие, вычисление и визуальная страница проверены независимо.</x:v>
      </x:c>
      <x:c r="Q5429" s="30"/>
      <x:c r="R5429" s="30" t="str">
        <x:v>10500</x:v>
      </x:c>
      <x:c r="S5429" s="30"/>
      <x:c r="T5429" s="30"/>
      <x:c r="U5429" s="30" t="str">
        <x:v>Расхождений нет.</x:v>
      </x:c>
      <x:c r="V5429" s="87" t="str">
        <x:v>VERIFIED</x:v>
      </x:c>
      <x:c r="W5429" s="87"/>
      <x:c r="X5429" s="87" t="n">
        <x:v>7</x:v>
      </x:c>
      <x:c r="Y5429" s="87"/>
      <x:c r="Z5429" s="87"/>
      <x:c r="AA5429" s="87"/>
      <x:c r="AB5429" s="87"/>
      <x:c r="AC5429" s="87" t="str">
        <x:v>VIS-EGKR-MATHB-W25-TASK-954-P007</x:v>
      </x:c>
      <x:c r="AD5429" s="87"/>
      <x:c r="AE5429" s="87" t="str">
        <x:v>TASK</x:v>
      </x:c>
      <x:c r="AF5429" s="87" t="str">
        <x:v>VIS-EGKR-MATHB-W25-TASK-954-P007: 7</x:v>
      </x:c>
      <x:c r="AG5429" s="87" t="str">
        <x:v>RESOLVED</x:v>
      </x:c>
      <x:c r="AH5429" s="87" t="str">
        <x:v>CROP_VERIFIED</x:v>
      </x:c>
      <x:c r="AI5429" s="30"/>
      <x:c r="AJ5429" s="87" t="str">
        <x:v>clean</x:v>
      </x:c>
      <x:c r="AK5429" s="87" t="str">
        <x:v>clean-v0.14</x:v>
      </x:c>
      <x:c r="AL5429" s="87" t="str">
        <x:v>statgrad_clean_continuation_v0_14(1).xlsx</x:v>
      </x:c>
      <x:c r="AM5429" s="87" t="str">
        <x:v>MATHB_EGKR_954</x:v>
      </x:c>
      <x:c r="AN5429" s="87" t="n">
        <x:v>12</x:v>
      </x:c>
    </x:row>
    <x:row r="5430">
      <x:c r="A5430" s="87" t="n">
        <x:v>5429</x:v>
      </x:c>
      <x:c r="B5430" s="87" t="str">
        <x:v>EGKR-W25-MATHB-954-12</x:v>
      </x:c>
      <x:c r="C5430" s="87" t="str">
        <x:v>ЕГКР</x:v>
      </x:c>
      <x:c r="D5430" s="87"/>
      <x:c r="E5430" s="87" t="str">
        <x:v>Зима 2025</x:v>
      </x:c>
      <x:c r="F5430" s="87" t="str">
        <x:v>16.12.2025</x:v>
      </x:c>
      <x:c r="G5430" s="87" t="str">
        <x:v>Математика (база)</x:v>
      </x:c>
      <x:c r="H5430" s="87" t="n">
        <x:v>11</x:v>
      </x:c>
      <x:c r="I5430" s="87"/>
      <x:c r="J5430" s="87" t="str">
        <x:v>954</x:v>
      </x:c>
      <x:c r="K5430" s="87" t="n">
        <x:v>12</x:v>
      </x:c>
      <x:c r="L5430" s="87" t="str">
        <x:v>Планиметрия</x:v>
      </x:c>
      <x:c r="M5430" s="30" t="str">
        <x:v>Прямоугольник ABCD, где: AB = 36. AD = 113. Точка E на стороне BC, такая что угол EAB = 45°. Найдите длину отрезка ED.</x:v>
      </x:c>
      <x:c r="N5430" s="30" t="str">
        <x:v>85</x:v>
      </x:c>
      <x:c r="O5430" s="30" t="str">
        <x:v>Координаты точки E следуют из угла 45°; ED найден по теореме Пифагора.</x:v>
      </x:c>
      <x:c r="P5430" s="30" t="str">
        <x:v>Условие, вычисление и визуальная страница проверены независимо.</x:v>
      </x:c>
      <x:c r="Q5430" s="30"/>
      <x:c r="R5430" s="30" t="str">
        <x:v>85</x:v>
      </x:c>
      <x:c r="S5430" s="30"/>
      <x:c r="T5430" s="30"/>
      <x:c r="U5430" s="30" t="str">
        <x:v>Расхождений нет.</x:v>
      </x:c>
      <x:c r="V5430" s="87" t="str">
        <x:v>VERIFIED</x:v>
      </x:c>
      <x:c r="W5430" s="87"/>
      <x:c r="X5430" s="87" t="n">
        <x:v>7</x:v>
      </x:c>
      <x:c r="Y5430" s="87"/>
      <x:c r="Z5430" s="87"/>
      <x:c r="AA5430" s="87"/>
      <x:c r="AB5430" s="87"/>
      <x:c r="AC5430" s="87" t="str">
        <x:v>VIS-EGKR-MATHB-W25-TASK-954-P007</x:v>
      </x:c>
      <x:c r="AD5430" s="87"/>
      <x:c r="AE5430" s="87" t="str">
        <x:v>TASK</x:v>
      </x:c>
      <x:c r="AF5430" s="87" t="str">
        <x:v>VIS-EGKR-MATHB-W25-TASK-954-P007: 7</x:v>
      </x:c>
      <x:c r="AG5430" s="87" t="str">
        <x:v>RESOLVED</x:v>
      </x:c>
      <x:c r="AH5430" s="87" t="str">
        <x:v>CROP_VERIFIED</x:v>
      </x:c>
      <x:c r="AI5430" s="30"/>
      <x:c r="AJ5430" s="87" t="str">
        <x:v>clean</x:v>
      </x:c>
      <x:c r="AK5430" s="87" t="str">
        <x:v>clean-v0.14</x:v>
      </x:c>
      <x:c r="AL5430" s="87" t="str">
        <x:v>statgrad_clean_continuation_v0_14(1).xlsx</x:v>
      </x:c>
      <x:c r="AM5430" s="87" t="str">
        <x:v>MATHB_EGKR_954</x:v>
      </x:c>
      <x:c r="AN5430" s="87" t="n">
        <x:v>13</x:v>
      </x:c>
    </x:row>
    <x:row r="5431">
      <x:c r="A5431" s="87" t="n">
        <x:v>5430</x:v>
      </x:c>
      <x:c r="B5431" s="87" t="str">
        <x:v>EGKR-W25-MATHB-954-13</x:v>
      </x:c>
      <x:c r="C5431" s="87" t="str">
        <x:v>ЕГКР</x:v>
      </x:c>
      <x:c r="D5431" s="87"/>
      <x:c r="E5431" s="87" t="str">
        <x:v>Зима 2025</x:v>
      </x:c>
      <x:c r="F5431" s="87" t="str">
        <x:v>16.12.2025</x:v>
      </x:c>
      <x:c r="G5431" s="87" t="str">
        <x:v>Математика (база)</x:v>
      </x:c>
      <x:c r="H5431" s="87" t="n">
        <x:v>11</x:v>
      </x:c>
      <x:c r="I5431" s="87"/>
      <x:c r="J5431" s="87" t="str">
        <x:v>954</x:v>
      </x:c>
      <x:c r="K5431" s="87" t="n">
        <x:v>13</x:v>
      </x:c>
      <x:c r="L5431" s="87" t="str">
        <x:v>Стереометрия</x:v>
      </x:c>
      <x:c r="M5431" s="30" t="str">
        <x:v>В треугольной пирамиде ABCD рёбра AB, AC и AD взаимно перпендикулярны. Найдите объём этой пирамиды, если AB=3, AC=14 и AD=8. 3 1</x:v>
      </x:c>
      <x:c r="N5431" s="30" t="str">
        <x:v>56</x:v>
      </x:c>
      <x:c r="O5431" s="30" t="str">
        <x:v>Объём прямоугольного тетраэдра равен произведению трёх взаимно перпендикулярных рёбер, делённому на 6.</x:v>
      </x:c>
      <x:c r="P5431" s="30" t="str">
        <x:v>Условие, вычисление и визуальная страница проверены независимо.</x:v>
      </x:c>
      <x:c r="Q5431" s="30"/>
      <x:c r="R5431" s="30" t="str">
        <x:v>56</x:v>
      </x:c>
      <x:c r="S5431" s="30"/>
      <x:c r="T5431" s="30"/>
      <x:c r="U5431" s="30" t="str">
        <x:v>Расхождений нет.</x:v>
      </x:c>
      <x:c r="V5431" s="87" t="str">
        <x:v>VERIFIED</x:v>
      </x:c>
      <x:c r="W5431" s="87"/>
      <x:c r="X5431" s="87" t="n">
        <x:v>7</x:v>
      </x:c>
      <x:c r="Y5431" s="87"/>
      <x:c r="Z5431" s="87"/>
      <x:c r="AA5431" s="87"/>
      <x:c r="AB5431" s="87"/>
      <x:c r="AC5431" s="87" t="str">
        <x:v>VIS-EGKR-MATHB-W25-TASK-954-P007</x:v>
      </x:c>
      <x:c r="AD5431" s="87"/>
      <x:c r="AE5431" s="87" t="str">
        <x:v>TASK</x:v>
      </x:c>
      <x:c r="AF5431" s="87" t="str">
        <x:v>VIS-EGKR-MATHB-W25-TASK-954-P007: 7</x:v>
      </x:c>
      <x:c r="AG5431" s="87" t="str">
        <x:v>RESOLVED</x:v>
      </x:c>
      <x:c r="AH5431" s="87" t="str">
        <x:v>CROP_VERIFIED</x:v>
      </x:c>
      <x:c r="AI5431" s="30"/>
      <x:c r="AJ5431" s="87" t="str">
        <x:v>clean</x:v>
      </x:c>
      <x:c r="AK5431" s="87" t="str">
        <x:v>clean-v0.14</x:v>
      </x:c>
      <x:c r="AL5431" s="87" t="str">
        <x:v>statgrad_clean_continuation_v0_14(1).xlsx</x:v>
      </x:c>
      <x:c r="AM5431" s="87" t="str">
        <x:v>MATHB_EGKR_954</x:v>
      </x:c>
      <x:c r="AN5431" s="87" t="n">
        <x:v>14</x:v>
      </x:c>
    </x:row>
    <x:row r="5432">
      <x:c r="A5432" s="87" t="n">
        <x:v>5431</x:v>
      </x:c>
      <x:c r="B5432" s="87" t="str">
        <x:v>EGKR-W25-MATHB-954-14</x:v>
      </x:c>
      <x:c r="C5432" s="87" t="str">
        <x:v>ЕГКР</x:v>
      </x:c>
      <x:c r="D5432" s="87"/>
      <x:c r="E5432" s="87" t="str">
        <x:v>Зима 2025</x:v>
      </x:c>
      <x:c r="F5432" s="87" t="str">
        <x:v>16.12.2025</x:v>
      </x:c>
      <x:c r="G5432" s="87" t="str">
        <x:v>Математика (база)</x:v>
      </x:c>
      <x:c r="H5432" s="87" t="n">
        <x:v>11</x:v>
      </x:c>
      <x:c r="I5432" s="87"/>
      <x:c r="J5432" s="87" t="str">
        <x:v>954</x:v>
      </x:c>
      <x:c r="K5432" s="87" t="n">
        <x:v>14</x:v>
      </x:c>
      <x:c r="L5432" s="87" t="str">
        <x:v>Арифметическое выражение</x:v>
      </x:c>
      <x:c r="M5432" s="30" t="str">
        <x:v>Найдите значение выражения (2 − 1,4) ⋅ 7 . 5 2</x:v>
      </x:c>
      <x:c r="N5432" s="30" t="str">
        <x:v>9</x:v>
      </x:c>
      <x:c r="O5432" s="30" t="str">
        <x:v>Смешанные числа переведены в дроби и вычислены.</x:v>
      </x:c>
      <x:c r="P5432" s="30" t="str">
        <x:v>Условие, вычисление и визуальная страница проверены независимо.</x:v>
      </x:c>
      <x:c r="Q5432" s="30"/>
      <x:c r="R5432" s="30" t="str">
        <x:v>9</x:v>
      </x:c>
      <x:c r="S5432" s="30"/>
      <x:c r="T5432" s="30"/>
      <x:c r="U5432" s="30" t="str">
        <x:v>Расхождений нет.</x:v>
      </x:c>
      <x:c r="V5432" s="87" t="str">
        <x:v>VERIFIED</x:v>
      </x:c>
      <x:c r="W5432" s="87"/>
      <x:c r="X5432" s="87" t="n">
        <x:v>7</x:v>
      </x:c>
      <x:c r="Y5432" s="87"/>
      <x:c r="Z5432" s="87"/>
      <x:c r="AA5432" s="87"/>
      <x:c r="AB5432" s="87"/>
      <x:c r="AC5432" s="87" t="str">
        <x:v>VIS-EGKR-MATHB-W25-TASK-954-P007</x:v>
      </x:c>
      <x:c r="AD5432" s="87"/>
      <x:c r="AE5432" s="87" t="str">
        <x:v>TASK</x:v>
      </x:c>
      <x:c r="AF5432" s="87" t="str">
        <x:v>VIS-EGKR-MATHB-W25-TASK-954-P007: 7</x:v>
      </x:c>
      <x:c r="AG5432" s="87" t="str">
        <x:v>RESOLVED</x:v>
      </x:c>
      <x:c r="AH5432" s="87" t="str">
        <x:v>CROP_VERIFIED</x:v>
      </x:c>
      <x:c r="AI5432" s="30"/>
      <x:c r="AJ5432" s="87" t="str">
        <x:v>clean</x:v>
      </x:c>
      <x:c r="AK5432" s="87" t="str">
        <x:v>clean-v0.14</x:v>
      </x:c>
      <x:c r="AL5432" s="87" t="str">
        <x:v>statgrad_clean_continuation_v0_14(1).xlsx</x:v>
      </x:c>
      <x:c r="AM5432" s="87" t="str">
        <x:v>MATHB_EGKR_954</x:v>
      </x:c>
      <x:c r="AN5432" s="87" t="n">
        <x:v>15</x:v>
      </x:c>
    </x:row>
    <x:row r="5433">
      <x:c r="A5433" s="87" t="n">
        <x:v>5432</x:v>
      </x:c>
      <x:c r="B5433" s="87" t="str">
        <x:v>EGKR-W25-MATHB-954-15</x:v>
      </x:c>
      <x:c r="C5433" s="87" t="str">
        <x:v>ЕГКР</x:v>
      </x:c>
      <x:c r="D5433" s="87"/>
      <x:c r="E5433" s="87" t="str">
        <x:v>Зима 2025</x:v>
      </x:c>
      <x:c r="F5433" s="87" t="str">
        <x:v>16.12.2025</x:v>
      </x:c>
      <x:c r="G5433" s="87" t="str">
        <x:v>Математика (база)</x:v>
      </x:c>
      <x:c r="H5433" s="87" t="n">
        <x:v>11</x:v>
      </x:c>
      <x:c r="I5433" s="87"/>
      <x:c r="J5433" s="87" t="str">
        <x:v>954</x:v>
      </x:c>
      <x:c r="K5433" s="87" t="n">
        <x:v>15</x:v>
      </x:c>
      <x:c r="L5433" s="87" t="str">
        <x:v>Проценты</x:v>
      </x:c>
      <x:c r="M5433" s="30" t="str">
        <x:v>Городской бюджет составляет 27 млн рублей, а расходы на одну из его статей составили 10%. Сколько рублей потрачено на эту статью бюджета?</x:v>
      </x:c>
      <x:c r="N5433" s="30" t="str">
        <x:v>2700000</x:v>
      </x:c>
      <x:c r="O5433" s="30" t="str">
        <x:v>Процент умножен на бюджет; единица ответа взята строго из формулировки.</x:v>
      </x:c>
      <x:c r="P5433" s="30" t="str">
        <x:v>Условие, вычисление и визуальная страница проверены независимо.</x:v>
      </x:c>
      <x:c r="Q5433" s="30"/>
      <x:c r="R5433" s="30" t="str">
        <x:v>2,7</x:v>
      </x:c>
      <x:c r="S5433" s="30"/>
      <x:c r="T5433" s="30"/>
      <x:c r="U5433" s="30" t="str">
        <x:v>Ответник: 2,7; независимое решение: 2700000.</x:v>
      </x:c>
      <x:c r="V5433" s="87" t="str">
        <x:v>KEY_MISMATCH</x:v>
      </x:c>
      <x:c r="W5433" s="87"/>
      <x:c r="X5433" s="87" t="n">
        <x:v>7</x:v>
      </x:c>
      <x:c r="Y5433" s="87"/>
      <x:c r="Z5433" s="87"/>
      <x:c r="AA5433" s="87"/>
      <x:c r="AB5433" s="87"/>
      <x:c r="AC5433" s="87" t="str">
        <x:v>VIS-EGKR-MATHB-W25-TASK-954-P007</x:v>
      </x:c>
      <x:c r="AD5433" s="87"/>
      <x:c r="AE5433" s="87" t="str">
        <x:v>TASK</x:v>
      </x:c>
      <x:c r="AF5433" s="87" t="str">
        <x:v>VIS-EGKR-MATHB-W25-TASK-954-P007: 7</x:v>
      </x:c>
      <x:c r="AG5433" s="87" t="str">
        <x:v>RESOLVED</x:v>
      </x:c>
      <x:c r="AH5433" s="87" t="str">
        <x:v>CROP_VERIFIED</x:v>
      </x:c>
      <x:c r="AI5433" s="30"/>
      <x:c r="AJ5433" s="87" t="str">
        <x:v>clean</x:v>
      </x:c>
      <x:c r="AK5433" s="87" t="str">
        <x:v>clean-v0.14</x:v>
      </x:c>
      <x:c r="AL5433" s="87" t="str">
        <x:v>statgrad_clean_continuation_v0_14(1).xlsx</x:v>
      </x:c>
      <x:c r="AM5433" s="87" t="str">
        <x:v>MATHB_EGKR_954</x:v>
      </x:c>
      <x:c r="AN5433" s="87" t="n">
        <x:v>16</x:v>
      </x:c>
    </x:row>
    <x:row r="5434">
      <x:c r="A5434" s="87" t="n">
        <x:v>5433</x:v>
      </x:c>
      <x:c r="B5434" s="87" t="str">
        <x:v>EGKR-W25-MATHB-954-16</x:v>
      </x:c>
      <x:c r="C5434" s="87" t="str">
        <x:v>ЕГКР</x:v>
      </x:c>
      <x:c r="D5434" s="87"/>
      <x:c r="E5434" s="87" t="str">
        <x:v>Зима 2025</x:v>
      </x:c>
      <x:c r="F5434" s="87" t="str">
        <x:v>16.12.2025</x:v>
      </x:c>
      <x:c r="G5434" s="87" t="str">
        <x:v>Математика (база)</x:v>
      </x:c>
      <x:c r="H5434" s="87" t="n">
        <x:v>11</x:v>
      </x:c>
      <x:c r="I5434" s="87"/>
      <x:c r="J5434" s="87" t="str">
        <x:v>954</x:v>
      </x:c>
      <x:c r="K5434" s="87" t="n">
        <x:v>16</x:v>
      </x:c>
      <x:c r="L5434" s="87" t="str">
        <x:v>Степени/корни</x:v>
      </x:c>
      <x:c r="M5434" s="30" t="str">
        <x:v>Найдите значение выражения</x:v>
      </x:c>
      <x:c r="N5434" s="30" t="str">
        <x:v>25</x:v>
      </x:c>
      <x:c r="O5434" s="30" t="str">
        <x:v>Использованы свойства степеней либо преобразование радикалов.</x:v>
      </x:c>
      <x:c r="P5434" s="30" t="str">
        <x:v>Условие, вычисление и визуальная страница проверены независимо.</x:v>
      </x:c>
      <x:c r="Q5434" s="30"/>
      <x:c r="R5434" s="30" t="str">
        <x:v>25</x:v>
      </x:c>
      <x:c r="S5434" s="30"/>
      <x:c r="T5434" s="30"/>
      <x:c r="U5434" s="30" t="str">
        <x:v>Расхождений нет.</x:v>
      </x:c>
      <x:c r="V5434" s="87" t="str">
        <x:v>VERIFIED</x:v>
      </x:c>
      <x:c r="W5434" s="87"/>
      <x:c r="X5434" s="87" t="n">
        <x:v>7</x:v>
      </x:c>
      <x:c r="Y5434" s="87"/>
      <x:c r="Z5434" s="87"/>
      <x:c r="AA5434" s="87"/>
      <x:c r="AB5434" s="87"/>
      <x:c r="AC5434" s="87" t="str">
        <x:v>VIS-EGKR-MATHB-W25-TASK-954-P007</x:v>
      </x:c>
      <x:c r="AD5434" s="87"/>
      <x:c r="AE5434" s="87" t="str">
        <x:v>TASK</x:v>
      </x:c>
      <x:c r="AF5434" s="87" t="str">
        <x:v>VIS-EGKR-MATHB-W25-TASK-954-P007: 7</x:v>
      </x:c>
      <x:c r="AG5434" s="87" t="str">
        <x:v>RESOLVED</x:v>
      </x:c>
      <x:c r="AH5434" s="87" t="str">
        <x:v>CROP_VERIFIED</x:v>
      </x:c>
      <x:c r="AI5434" s="30"/>
      <x:c r="AJ5434" s="87" t="str">
        <x:v>clean</x:v>
      </x:c>
      <x:c r="AK5434" s="87" t="str">
        <x:v>clean-v0.14</x:v>
      </x:c>
      <x:c r="AL5434" s="87" t="str">
        <x:v>statgrad_clean_continuation_v0_14(1).xlsx</x:v>
      </x:c>
      <x:c r="AM5434" s="87" t="str">
        <x:v>MATHB_EGKR_954</x:v>
      </x:c>
      <x:c r="AN5434" s="87" t="n">
        <x:v>17</x:v>
      </x:c>
    </x:row>
    <x:row r="5435">
      <x:c r="A5435" s="87" t="n">
        <x:v>5434</x:v>
      </x:c>
      <x:c r="B5435" s="87" t="str">
        <x:v>EGKR-W25-MATHB-954-17</x:v>
      </x:c>
      <x:c r="C5435" s="87" t="str">
        <x:v>ЕГКР</x:v>
      </x:c>
      <x:c r="D5435" s="87"/>
      <x:c r="E5435" s="87" t="str">
        <x:v>Зима 2025</x:v>
      </x:c>
      <x:c r="F5435" s="87" t="str">
        <x:v>16.12.2025</x:v>
      </x:c>
      <x:c r="G5435" s="87" t="str">
        <x:v>Математика (база)</x:v>
      </x:c>
      <x:c r="H5435" s="87" t="n">
        <x:v>11</x:v>
      </x:c>
      <x:c r="I5435" s="87"/>
      <x:c r="J5435" s="87" t="str">
        <x:v>954</x:v>
      </x:c>
      <x:c r="K5435" s="87" t="n">
        <x:v>17</x:v>
      </x:c>
      <x:c r="L5435" s="87" t="str">
        <x:v>Уравнение</x:v>
      </x:c>
      <x:c r="M5435" s="30" t="str">
        <x:v>Решите уравнение х2 − 4х = 0 Если уравнение имеет больше одного корня, в ответе запишите больший из них.</x:v>
      </x:c>
      <x:c r="N5435" s="30" t="str">
        <x:v>4</x:v>
      </x:c>
      <x:c r="O5435" s="30" t="str">
        <x:v>Уравнение решено алгебраически с выбором требуемого корня.</x:v>
      </x:c>
      <x:c r="P5435" s="30" t="str">
        <x:v>Условие, вычисление и визуальная страница проверены независимо.</x:v>
      </x:c>
      <x:c r="Q5435" s="30"/>
      <x:c r="R5435" s="30" t="str">
        <x:v>4</x:v>
      </x:c>
      <x:c r="S5435" s="30"/>
      <x:c r="T5435" s="30"/>
      <x:c r="U5435" s="30" t="str">
        <x:v>Расхождений нет.</x:v>
      </x:c>
      <x:c r="V5435" s="87" t="str">
        <x:v>VERIFIED</x:v>
      </x:c>
      <x:c r="W5435" s="87"/>
      <x:c r="X5435" s="87" t="n">
        <x:v>8</x:v>
      </x:c>
      <x:c r="Y5435" s="87"/>
      <x:c r="Z5435" s="87"/>
      <x:c r="AA5435" s="87"/>
      <x:c r="AB5435" s="87"/>
      <x:c r="AC5435" s="87" t="str">
        <x:v>VIS-EGKR-MATHB-W25-TASK-954-P008</x:v>
      </x:c>
      <x:c r="AD5435" s="87"/>
      <x:c r="AE5435" s="87" t="str">
        <x:v>TASK</x:v>
      </x:c>
      <x:c r="AF5435" s="87" t="str">
        <x:v>VIS-EGKR-MATHB-W25-TASK-954-P008: 8</x:v>
      </x:c>
      <x:c r="AG5435" s="87" t="str">
        <x:v>RESOLVED</x:v>
      </x:c>
      <x:c r="AH5435" s="87" t="str">
        <x:v>CROP_VERIFIED</x:v>
      </x:c>
      <x:c r="AI5435" s="30"/>
      <x:c r="AJ5435" s="87" t="str">
        <x:v>clean</x:v>
      </x:c>
      <x:c r="AK5435" s="87" t="str">
        <x:v>clean-v0.14</x:v>
      </x:c>
      <x:c r="AL5435" s="87" t="str">
        <x:v>statgrad_clean_continuation_v0_14(1).xlsx</x:v>
      </x:c>
      <x:c r="AM5435" s="87" t="str">
        <x:v>MATHB_EGKR_954</x:v>
      </x:c>
      <x:c r="AN5435" s="87" t="n">
        <x:v>18</x:v>
      </x:c>
    </x:row>
    <x:row r="5436">
      <x:c r="A5436" s="87" t="n">
        <x:v>5435</x:v>
      </x:c>
      <x:c r="B5436" s="87" t="str">
        <x:v>EGKR-W25-MATHB-954-18</x:v>
      </x:c>
      <x:c r="C5436" s="87" t="str">
        <x:v>ЕГКР</x:v>
      </x:c>
      <x:c r="D5436" s="87"/>
      <x:c r="E5436" s="87" t="str">
        <x:v>Зима 2025</x:v>
      </x:c>
      <x:c r="F5436" s="87" t="str">
        <x:v>16.12.2025</x:v>
      </x:c>
      <x:c r="G5436" s="87" t="str">
        <x:v>Математика (база)</x:v>
      </x:c>
      <x:c r="H5436" s="87" t="n">
        <x:v>11</x:v>
      </x:c>
      <x:c r="I5436" s="87"/>
      <x:c r="J5436" s="87" t="str">
        <x:v>954</x:v>
      </x:c>
      <x:c r="K5436" s="87" t="n">
        <x:v>18</x:v>
      </x:c>
      <x:c r="L5436" s="87" t="str">
        <x:v>Числа и координатная прямая</x:v>
      </x:c>
      <x:c r="M5436" s="30" t="str">
        <x:v>На координатной прямой отмечено число m и точки A, B , C и D . Каждой точке соответствует одно из чисел в правом столбце. Установите соответствие между указанными точками и числами. ТОЧКИ ЧИСЛА A 1) 4 - m B 2) m2 C 3) √ 𝑚 +1 D 4) -2/m Впишите в приведённую в ответе таблицу под каждой буквой соответствующий отрезку номер. А Б В Г</x:v>
      </x:c>
      <x:c r="N5436" s="30" t="str">
        <x:v>4231</x:v>
      </x:c>
      <x:c r="O5436" s="30" t="str">
        <x:v>Значения выражений оценены и сопоставлены точкам/интервалам.</x:v>
      </x:c>
      <x:c r="P5436" s="30" t="str">
        <x:v>Условие, вычисление и визуальная страница проверены независимо.</x:v>
      </x:c>
      <x:c r="Q5436" s="30"/>
      <x:c r="R5436" s="30" t="str">
        <x:v>4231</x:v>
      </x:c>
      <x:c r="S5436" s="30"/>
      <x:c r="T5436" s="30"/>
      <x:c r="U5436" s="30" t="str">
        <x:v>Расхождений нет.</x:v>
      </x:c>
      <x:c r="V5436" s="87" t="str">
        <x:v>VERIFIED</x:v>
      </x:c>
      <x:c r="W5436" s="87"/>
      <x:c r="X5436" s="87" t="n">
        <x:v>8</x:v>
      </x:c>
      <x:c r="Y5436" s="87"/>
      <x:c r="Z5436" s="87"/>
      <x:c r="AA5436" s="87"/>
      <x:c r="AB5436" s="87"/>
      <x:c r="AC5436" s="87" t="str">
        <x:v>VIS-EGKR-MATHB-W25-TASK-954-P008</x:v>
      </x:c>
      <x:c r="AD5436" s="87"/>
      <x:c r="AE5436" s="87" t="str">
        <x:v>TASK</x:v>
      </x:c>
      <x:c r="AF5436" s="87" t="str">
        <x:v>VIS-EGKR-MATHB-W25-TASK-954-P008: 8</x:v>
      </x:c>
      <x:c r="AG5436" s="87" t="str">
        <x:v>RESOLVED</x:v>
      </x:c>
      <x:c r="AH5436" s="87" t="str">
        <x:v>CROP_VERIFIED</x:v>
      </x:c>
      <x:c r="AI5436" s="30"/>
      <x:c r="AJ5436" s="87" t="str">
        <x:v>clean</x:v>
      </x:c>
      <x:c r="AK5436" s="87" t="str">
        <x:v>clean-v0.14</x:v>
      </x:c>
      <x:c r="AL5436" s="87" t="str">
        <x:v>statgrad_clean_continuation_v0_14(1).xlsx</x:v>
      </x:c>
      <x:c r="AM5436" s="87" t="str">
        <x:v>MATHB_EGKR_954</x:v>
      </x:c>
      <x:c r="AN5436" s="87" t="n">
        <x:v>19</x:v>
      </x:c>
    </x:row>
    <x:row r="5437">
      <x:c r="A5437" s="87" t="n">
        <x:v>5436</x:v>
      </x:c>
      <x:c r="B5437" s="87" t="str">
        <x:v>EGKR-W25-MATHB-954-19</x:v>
      </x:c>
      <x:c r="C5437" s="87" t="str">
        <x:v>ЕГКР</x:v>
      </x:c>
      <x:c r="D5437" s="87"/>
      <x:c r="E5437" s="87" t="str">
        <x:v>Зима 2025</x:v>
      </x:c>
      <x:c r="F5437" s="87" t="str">
        <x:v>16.12.2025</x:v>
      </x:c>
      <x:c r="G5437" s="87" t="str">
        <x:v>Математика (база)</x:v>
      </x:c>
      <x:c r="H5437" s="87" t="n">
        <x:v>11</x:v>
      </x:c>
      <x:c r="I5437" s="87"/>
      <x:c r="J5437" s="87" t="str">
        <x:v>954</x:v>
      </x:c>
      <x:c r="K5437" s="87" t="n">
        <x:v>19</x:v>
      </x:c>
      <x:c r="L5437" s="87" t="str">
        <x:v>Числовая задача</x:v>
      </x:c>
      <x:c r="M5437" s="30" t="str">
        <x:v>Цифры четырёхзначного числа, кратного 5, записали в обратном порядке и получили второе четырёхзначное число. Затем из первого числа вычли второе и получили 3627. В ответе запишите какое-нибудь одно такое исходное число.</x:v>
      </x:c>
      <x:c r="N5437" s="30" t="str">
        <x:v>8925</x:v>
      </x:c>
      <x:c r="O5437" s="30" t="str">
        <x:v>Число проверено подстановкой, разворотом цифр или перебором условий.</x:v>
      </x:c>
      <x:c r="P5437" s="30" t="str">
        <x:v>Условие, вычисление и визуальная страница проверены независимо.</x:v>
      </x:c>
      <x:c r="Q5437" s="30"/>
      <x:c r="R5437" s="30" t="str">
        <x:v>8925</x:v>
      </x:c>
      <x:c r="S5437" s="30"/>
      <x:c r="T5437" s="30"/>
      <x:c r="U5437" s="30" t="str">
        <x:v>Расхождений нет.</x:v>
      </x:c>
      <x:c r="V5437" s="87" t="str">
        <x:v>VERIFIED</x:v>
      </x:c>
      <x:c r="W5437" s="87"/>
      <x:c r="X5437" s="87" t="n">
        <x:v>8</x:v>
      </x:c>
      <x:c r="Y5437" s="87"/>
      <x:c r="Z5437" s="87"/>
      <x:c r="AA5437" s="87"/>
      <x:c r="AB5437" s="87"/>
      <x:c r="AC5437" s="87" t="str">
        <x:v>VIS-EGKR-MATHB-W25-TASK-954-P008</x:v>
      </x:c>
      <x:c r="AD5437" s="87"/>
      <x:c r="AE5437" s="87" t="str">
        <x:v>TASK</x:v>
      </x:c>
      <x:c r="AF5437" s="87" t="str">
        <x:v>VIS-EGKR-MATHB-W25-TASK-954-P008: 8</x:v>
      </x:c>
      <x:c r="AG5437" s="87" t="str">
        <x:v>RESOLVED</x:v>
      </x:c>
      <x:c r="AH5437" s="87" t="str">
        <x:v>CROP_VERIFIED</x:v>
      </x:c>
      <x:c r="AI5437" s="30"/>
      <x:c r="AJ5437" s="87" t="str">
        <x:v>clean</x:v>
      </x:c>
      <x:c r="AK5437" s="87" t="str">
        <x:v>clean-v0.14</x:v>
      </x:c>
      <x:c r="AL5437" s="87" t="str">
        <x:v>statgrad_clean_continuation_v0_14(1).xlsx</x:v>
      </x:c>
      <x:c r="AM5437" s="87" t="str">
        <x:v>MATHB_EGKR_954</x:v>
      </x:c>
      <x:c r="AN5437" s="87" t="n">
        <x:v>20</x:v>
      </x:c>
    </x:row>
    <x:row r="5438">
      <x:c r="A5438" s="87" t="n">
        <x:v>5437</x:v>
      </x:c>
      <x:c r="B5438" s="87" t="str">
        <x:v>EGKR-W25-MATHB-954-20</x:v>
      </x:c>
      <x:c r="C5438" s="87" t="str">
        <x:v>ЕГКР</x:v>
      </x:c>
      <x:c r="D5438" s="87"/>
      <x:c r="E5438" s="87" t="str">
        <x:v>Зима 2025</x:v>
      </x:c>
      <x:c r="F5438" s="87" t="str">
        <x:v>16.12.2025</x:v>
      </x:c>
      <x:c r="G5438" s="87" t="str">
        <x:v>Математика (база)</x:v>
      </x:c>
      <x:c r="H5438" s="87" t="n">
        <x:v>11</x:v>
      </x:c>
      <x:c r="I5438" s="87"/>
      <x:c r="J5438" s="87" t="str">
        <x:v>954</x:v>
      </x:c>
      <x:c r="K5438" s="87" t="n">
        <x:v>20</x:v>
      </x:c>
      <x:c r="L5438" s="87" t="str">
        <x:v>Задача на движение</x:v>
      </x:c>
      <x:c r="M5438" s="30" t="str">
        <x:v>Расстояние между городами A и B равно 760 км. Из города A в город B со скоростью 60 км/ч выехал первый автомобиль, а через час после этого навстречу ему из города B выехал со скоростью 90 км/ч второй автомобиль. На каком расстоянии от города A автомобили встретятся? Ответ дайте в километрах.</x:v>
      </x:c>
      <x:c r="N5438" s="30" t="str">
        <x:v>340</x:v>
      </x:c>
      <x:c r="O5438" s="30" t="str">
        <x:v>Составлено уравнение движения либо вычислена средняя скорость.</x:v>
      </x:c>
      <x:c r="P5438" s="30" t="str">
        <x:v>Условие, вычисление и визуальная страница проверены независимо.</x:v>
      </x:c>
      <x:c r="Q5438" s="30"/>
      <x:c r="R5438" s="30" t="str">
        <x:v>400</x:v>
      </x:c>
      <x:c r="S5438" s="30"/>
      <x:c r="T5438" s="30"/>
      <x:c r="U5438" s="30" t="str">
        <x:v>Ответник: 400; независимое решение: 340.</x:v>
      </x:c>
      <x:c r="V5438" s="87" t="str">
        <x:v>KEY_MISMATCH</x:v>
      </x:c>
      <x:c r="W5438" s="87"/>
      <x:c r="X5438" s="87" t="n">
        <x:v>8</x:v>
      </x:c>
      <x:c r="Y5438" s="87"/>
      <x:c r="Z5438" s="87"/>
      <x:c r="AA5438" s="87"/>
      <x:c r="AB5438" s="87"/>
      <x:c r="AC5438" s="87" t="str">
        <x:v>VIS-EGKR-MATHB-W25-TASK-954-P008</x:v>
      </x:c>
      <x:c r="AD5438" s="87"/>
      <x:c r="AE5438" s="87" t="str">
        <x:v>TASK</x:v>
      </x:c>
      <x:c r="AF5438" s="87" t="str">
        <x:v>VIS-EGKR-MATHB-W25-TASK-954-P008: 8</x:v>
      </x:c>
      <x:c r="AG5438" s="87" t="str">
        <x:v>RESOLVED</x:v>
      </x:c>
      <x:c r="AH5438" s="87" t="str">
        <x:v>CROP_VERIFIED</x:v>
      </x:c>
      <x:c r="AI5438" s="30"/>
      <x:c r="AJ5438" s="87" t="str">
        <x:v>clean</x:v>
      </x:c>
      <x:c r="AK5438" s="87" t="str">
        <x:v>clean-v0.14</x:v>
      </x:c>
      <x:c r="AL5438" s="87" t="str">
        <x:v>statgrad_clean_continuation_v0_14(1).xlsx</x:v>
      </x:c>
      <x:c r="AM5438" s="87" t="str">
        <x:v>MATHB_EGKR_954</x:v>
      </x:c>
      <x:c r="AN5438" s="87" t="n">
        <x:v>21</x:v>
      </x:c>
    </x:row>
    <x:row r="5439">
      <x:c r="A5439" s="87" t="n">
        <x:v>5438</x:v>
      </x:c>
      <x:c r="B5439" s="87" t="str">
        <x:v>EGKR-W25-MATHB-954-21</x:v>
      </x:c>
      <x:c r="C5439" s="87" t="str">
        <x:v>ЕГКР</x:v>
      </x:c>
      <x:c r="D5439" s="87"/>
      <x:c r="E5439" s="87" t="str">
        <x:v>Зима 2025</x:v>
      </x:c>
      <x:c r="F5439" s="87" t="str">
        <x:v>16.12.2025</x:v>
      </x:c>
      <x:c r="G5439" s="87" t="str">
        <x:v>Математика (база)</x:v>
      </x:c>
      <x:c r="H5439" s="87" t="n">
        <x:v>11</x:v>
      </x:c>
      <x:c r="I5439" s="87"/>
      <x:c r="J5439" s="87" t="str">
        <x:v>954</x:v>
      </x:c>
      <x:c r="K5439" s="87" t="n">
        <x:v>21</x:v>
      </x:c>
      <x:c r="L5439" s="87" t="str">
        <x:v>Задача с целыми числами</x:v>
      </x:c>
      <x:c r="M5439" s="30" t="str">
        <x:v>Про натуральные числа А, В и С известно, что каждое из них больше 6, но меньше 10. Загадали натуральное число, затем умножили на А, потом прибавили к полученному произведению В и вычли С. Получилось 195. Какое число было загадано?</x:v>
      </x:c>
      <x:c r="N5439" s="30" t="str">
        <x:v>28</x:v>
      </x:c>
      <x:c r="O5439" s="30" t="str">
        <x:v>Условия на целые числа проверены перебором допустимых значений.</x:v>
      </x:c>
      <x:c r="P5439" s="30" t="str">
        <x:v>Условие, вычисление и визуальная страница проверены независимо.</x:v>
      </x:c>
      <x:c r="Q5439" s="30"/>
      <x:c r="R5439" s="30" t="str">
        <x:v>28</x:v>
      </x:c>
      <x:c r="S5439" s="30"/>
      <x:c r="T5439" s="30"/>
      <x:c r="U5439" s="30" t="str">
        <x:v>Расхождений нет.</x:v>
      </x:c>
      <x:c r="V5439" s="87" t="str">
        <x:v>VERIFIED</x:v>
      </x:c>
      <x:c r="W5439" s="87"/>
      <x:c r="X5439" s="87" t="n">
        <x:v>8</x:v>
      </x:c>
      <x:c r="Y5439" s="87"/>
      <x:c r="Z5439" s="87"/>
      <x:c r="AA5439" s="87"/>
      <x:c r="AB5439" s="87"/>
      <x:c r="AC5439" s="87" t="str">
        <x:v>VIS-EGKR-MATHB-W25-TASK-954-P008</x:v>
      </x:c>
      <x:c r="AD5439" s="87"/>
      <x:c r="AE5439" s="87" t="str">
        <x:v>TASK</x:v>
      </x:c>
      <x:c r="AF5439" s="87" t="str">
        <x:v>VIS-EGKR-MATHB-W25-TASK-954-P008: 8</x:v>
      </x:c>
      <x:c r="AG5439" s="87" t="str">
        <x:v>RESOLVED</x:v>
      </x:c>
      <x:c r="AH5439" s="87" t="str">
        <x:v>CROP_VERIFIED</x:v>
      </x:c>
      <x:c r="AI5439" s="30"/>
      <x:c r="AJ5439" s="87" t="str">
        <x:v>clean</x:v>
      </x:c>
      <x:c r="AK5439" s="87" t="str">
        <x:v>clean-v0.14</x:v>
      </x:c>
      <x:c r="AL5439" s="87" t="str">
        <x:v>statgrad_clean_continuation_v0_14(1).xlsx</x:v>
      </x:c>
      <x:c r="AM5439" s="87" t="str">
        <x:v>MATHB_EGKR_954</x:v>
      </x:c>
      <x:c r="AN5439" s="87" t="n">
        <x:v>22</x:v>
      </x:c>
    </x:row>
    <x:row r="5440">
      <x:c r="A5440" s="87" t="n">
        <x:v>5439</x:v>
      </x:c>
      <x:c r="B5440" s="87" t="str">
        <x:v>EGKR-W25-MATHB-955-01</x:v>
      </x:c>
      <x:c r="C5440" s="87" t="str">
        <x:v>ЕГКР</x:v>
      </x:c>
      <x:c r="D5440" s="87"/>
      <x:c r="E5440" s="87" t="str">
        <x:v>Зима 2025</x:v>
      </x:c>
      <x:c r="F5440" s="87" t="str">
        <x:v>16.12.2025</x:v>
      </x:c>
      <x:c r="G5440" s="87" t="str">
        <x:v>Математика (база)</x:v>
      </x:c>
      <x:c r="H5440" s="87" t="n">
        <x:v>11</x:v>
      </x:c>
      <x:c r="I5440" s="87"/>
      <x:c r="J5440" s="87" t="str">
        <x:v>955</x:v>
      </x:c>
      <x:c r="K5440" s="87" t="n">
        <x:v>1</x:v>
      </x:c>
      <x:c r="L5440" s="87" t="str">
        <x:v>Практическая арифметика</x:v>
      </x:c>
      <x:c r="M5440" s="30" t="str">
        <x:v>В пачке 500 листов бумаги формата А4. За неделю в офисе расходуется 900 листов. Какого наименьшего количества пачек бумаги хватит на 7 недель?</x:v>
      </x:c>
      <x:c r="N5440" s="30" t="str">
        <x:v>13</x:v>
      </x:c>
      <x:c r="O5440" s="30" t="str">
        <x:v>Выполнен прямой расчёт и, где требуется, округление вверх.</x:v>
      </x:c>
      <x:c r="P5440" s="30" t="str">
        <x:v>Условие, вычисление и визуальная страница проверены независимо.</x:v>
      </x:c>
      <x:c r="Q5440" s="30"/>
      <x:c r="R5440" s="30" t="str">
        <x:v>13</x:v>
      </x:c>
      <x:c r="S5440" s="30"/>
      <x:c r="T5440" s="30"/>
      <x:c r="U5440" s="30" t="str">
        <x:v>Расхождений нет.</x:v>
      </x:c>
      <x:c r="V5440" s="87" t="str">
        <x:v>VERIFIED</x:v>
      </x:c>
      <x:c r="W5440" s="87"/>
      <x:c r="X5440" s="87" t="n">
        <x:v>2</x:v>
      </x:c>
      <x:c r="Y5440" s="87"/>
      <x:c r="Z5440" s="87"/>
      <x:c r="AA5440" s="87"/>
      <x:c r="AB5440" s="87"/>
      <x:c r="AC5440" s="87" t="str">
        <x:v>VIS-EGKR-MATHB-W25-TASK-955-P002</x:v>
      </x:c>
      <x:c r="AD5440" s="87"/>
      <x:c r="AE5440" s="87" t="str">
        <x:v>TASK</x:v>
      </x:c>
      <x:c r="AF5440" s="87" t="str">
        <x:v>VIS-EGKR-MATHB-W25-TASK-955-P002: 2</x:v>
      </x:c>
      <x:c r="AG5440" s="87" t="str">
        <x:v>RESOLVED</x:v>
      </x:c>
      <x:c r="AH5440" s="87" t="str">
        <x:v>CROP_VERIFIED</x:v>
      </x:c>
      <x:c r="AI5440" s="30"/>
      <x:c r="AJ5440" s="87" t="str">
        <x:v>clean</x:v>
      </x:c>
      <x:c r="AK5440" s="87" t="str">
        <x:v>clean-v0.14</x:v>
      </x:c>
      <x:c r="AL5440" s="87" t="str">
        <x:v>statgrad_clean_continuation_v0_14(1).xlsx</x:v>
      </x:c>
      <x:c r="AM5440" s="87" t="str">
        <x:v>MATHB_EGKR_955</x:v>
      </x:c>
      <x:c r="AN5440" s="87" t="n">
        <x:v>2</x:v>
      </x:c>
    </x:row>
    <x:row r="5441">
      <x:c r="A5441" s="87" t="n">
        <x:v>5440</x:v>
      </x:c>
      <x:c r="B5441" s="87" t="str">
        <x:v>EGKR-W25-MATHB-955-02</x:v>
      </x:c>
      <x:c r="C5441" s="87" t="str">
        <x:v>ЕГКР</x:v>
      </x:c>
      <x:c r="D5441" s="87"/>
      <x:c r="E5441" s="87" t="str">
        <x:v>Зима 2025</x:v>
      </x:c>
      <x:c r="F5441" s="87" t="str">
        <x:v>16.12.2025</x:v>
      </x:c>
      <x:c r="G5441" s="87" t="str">
        <x:v>Математика (база)</x:v>
      </x:c>
      <x:c r="H5441" s="87" t="n">
        <x:v>11</x:v>
      </x:c>
      <x:c r="I5441" s="87"/>
      <x:c r="J5441" s="87" t="str">
        <x:v>955</x:v>
      </x:c>
      <x:c r="K5441" s="87" t="n">
        <x:v>2</x:v>
      </x:c>
      <x:c r="L5441" s="87" t="str">
        <x:v>Установление соответствия</x:v>
      </x:c>
      <x:c r="M5441"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A) масса кухонного холодильника Б) масса автобуса B) масса активного вещества в таблетке Г) масса карандаша ЗНАЧЕНИЯ 1) 500 мг 2) 15 г 3) 18 т 4) 38 кг В таблице под каждой буквой, соответствующей величине, укажите номер её возможного значения. А Б В Г</x:v>
      </x:c>
      <x:c r="N5441" s="30" t="str">
        <x:v>4312</x:v>
      </x:c>
      <x:c r="O5441" s="30" t="str">
        <x:v>Величины сопоставлены по реалистичным единицам и порядкам.</x:v>
      </x:c>
      <x:c r="P5441" s="30" t="str">
        <x:v>Условие, вычисление и визуальная страница проверены независимо.</x:v>
      </x:c>
      <x:c r="Q5441" s="30"/>
      <x:c r="R5441" s="30" t="str">
        <x:v>4312</x:v>
      </x:c>
      <x:c r="S5441" s="30"/>
      <x:c r="T5441" s="30"/>
      <x:c r="U5441" s="30" t="str">
        <x:v>Расхождений нет.</x:v>
      </x:c>
      <x:c r="V5441" s="87" t="str">
        <x:v>VERIFIED</x:v>
      </x:c>
      <x:c r="W5441" s="87"/>
      <x:c r="X5441" s="87" t="n">
        <x:v>2</x:v>
      </x:c>
      <x:c r="Y5441" s="87"/>
      <x:c r="Z5441" s="87"/>
      <x:c r="AA5441" s="87"/>
      <x:c r="AB5441" s="87"/>
      <x:c r="AC5441" s="87" t="str">
        <x:v>VIS-EGKR-MATHB-W25-TASK-955-P002</x:v>
      </x:c>
      <x:c r="AD5441" s="87"/>
      <x:c r="AE5441" s="87" t="str">
        <x:v>TASK</x:v>
      </x:c>
      <x:c r="AF5441" s="87" t="str">
        <x:v>VIS-EGKR-MATHB-W25-TASK-955-P002: 2</x:v>
      </x:c>
      <x:c r="AG5441" s="87" t="str">
        <x:v>RESOLVED</x:v>
      </x:c>
      <x:c r="AH5441" s="87" t="str">
        <x:v>CROP_VERIFIED</x:v>
      </x:c>
      <x:c r="AI5441" s="30"/>
      <x:c r="AJ5441" s="87" t="str">
        <x:v>clean</x:v>
      </x:c>
      <x:c r="AK5441" s="87" t="str">
        <x:v>clean-v0.14</x:v>
      </x:c>
      <x:c r="AL5441" s="87" t="str">
        <x:v>statgrad_clean_continuation_v0_14(1).xlsx</x:v>
      </x:c>
      <x:c r="AM5441" s="87" t="str">
        <x:v>MATHB_EGKR_955</x:v>
      </x:c>
      <x:c r="AN5441" s="87" t="n">
        <x:v>3</x:v>
      </x:c>
    </x:row>
    <x:row r="5442">
      <x:c r="A5442" s="87" t="n">
        <x:v>5441</x:v>
      </x:c>
      <x:c r="B5442" s="87" t="str">
        <x:v>EGKR-W25-MATHB-955-03</x:v>
      </x:c>
      <x:c r="C5442" s="87" t="str">
        <x:v>ЕГКР</x:v>
      </x:c>
      <x:c r="D5442" s="87"/>
      <x:c r="E5442" s="87" t="str">
        <x:v>Зима 2025</x:v>
      </x:c>
      <x:c r="F5442" s="87" t="str">
        <x:v>16.12.2025</x:v>
      </x:c>
      <x:c r="G5442" s="87" t="str">
        <x:v>Математика (база)</x:v>
      </x:c>
      <x:c r="H5442" s="87" t="n">
        <x:v>11</x:v>
      </x:c>
      <x:c r="I5442" s="87"/>
      <x:c r="J5442" s="87" t="str">
        <x:v>955</x:v>
      </x:c>
      <x:c r="K5442" s="87" t="n">
        <x:v>3</x:v>
      </x:c>
      <x:c r="L5442" s="87" t="str">
        <x:v>Анализ таблицы</x:v>
      </x:c>
      <x:c r="M5442" s="30" t="str">
        <x:v>Результаты игры КВН представлены в таблице. Команда Баллы за конкурс Баллы за конкурс Баллы за музыкальный «Приветствие» «СТЭМ» конкурс «АТОМ» 25 27 20 «Шумы» 21 24 25 «Топчан» 25 22 26 «Лёлек и 24 26 25 Болек» Для каждой команды баллы по всем конкурсам суммируются. Победителем считается команда, набравшая в сумме по всем конкурсам наибольшее количество баллов. Сколько в сумме баллов у команды-победителя?</x:v>
      </x:c>
      <x:c r="N5442" s="30" t="str">
        <x:v>75</x:v>
      </x:c>
      <x:c r="O5442" s="30" t="str">
        <x:v>Баллы в строках таблицы сложены; выбран максимум.</x:v>
      </x:c>
      <x:c r="P5442" s="30" t="str">
        <x:v>Условие, вычисление и визуальная страница проверены независимо.</x:v>
      </x:c>
      <x:c r="Q5442" s="30"/>
      <x:c r="R5442" s="30" t="str">
        <x:v>75</x:v>
      </x:c>
      <x:c r="S5442" s="30"/>
      <x:c r="T5442" s="30"/>
      <x:c r="U5442" s="30" t="str">
        <x:v>Расхождений нет.</x:v>
      </x:c>
      <x:c r="V5442" s="87" t="str">
        <x:v>VERIFIED</x:v>
      </x:c>
      <x:c r="W5442" s="87"/>
      <x:c r="X5442" s="87" t="n">
        <x:v>3</x:v>
      </x:c>
      <x:c r="Y5442" s="87"/>
      <x:c r="Z5442" s="87"/>
      <x:c r="AA5442" s="87"/>
      <x:c r="AB5442" s="87"/>
      <x:c r="AC5442" s="87" t="str">
        <x:v>VIS-EGKR-MATHB-W25-TASK-955-P003</x:v>
      </x:c>
      <x:c r="AD5442" s="87"/>
      <x:c r="AE5442" s="87" t="str">
        <x:v>TASK</x:v>
      </x:c>
      <x:c r="AF5442" s="87" t="str">
        <x:v>VIS-EGKR-MATHB-W25-TASK-955-P003: 3</x:v>
      </x:c>
      <x:c r="AG5442" s="87" t="str">
        <x:v>RESOLVED</x:v>
      </x:c>
      <x:c r="AH5442" s="87" t="str">
        <x:v>CROP_VERIFIED</x:v>
      </x:c>
      <x:c r="AI5442" s="30"/>
      <x:c r="AJ5442" s="87" t="str">
        <x:v>clean</x:v>
      </x:c>
      <x:c r="AK5442" s="87" t="str">
        <x:v>clean-v0.14</x:v>
      </x:c>
      <x:c r="AL5442" s="87" t="str">
        <x:v>statgrad_clean_continuation_v0_14(1).xlsx</x:v>
      </x:c>
      <x:c r="AM5442" s="87" t="str">
        <x:v>MATHB_EGKR_955</x:v>
      </x:c>
      <x:c r="AN5442" s="87" t="n">
        <x:v>4</x:v>
      </x:c>
    </x:row>
    <x:row r="5443">
      <x:c r="A5443" s="87" t="n">
        <x:v>5442</x:v>
      </x:c>
      <x:c r="B5443" s="87" t="str">
        <x:v>EGKR-W25-MATHB-955-04</x:v>
      </x:c>
      <x:c r="C5443" s="87" t="str">
        <x:v>ЕГКР</x:v>
      </x:c>
      <x:c r="D5443" s="87"/>
      <x:c r="E5443" s="87" t="str">
        <x:v>Зима 2025</x:v>
      </x:c>
      <x:c r="F5443" s="87" t="str">
        <x:v>16.12.2025</x:v>
      </x:c>
      <x:c r="G5443" s="87" t="str">
        <x:v>Математика (база)</x:v>
      </x:c>
      <x:c r="H5443" s="87" t="n">
        <x:v>11</x:v>
      </x:c>
      <x:c r="I5443" s="87"/>
      <x:c r="J5443" s="87" t="str">
        <x:v>955</x:v>
      </x:c>
      <x:c r="K5443" s="87" t="n">
        <x:v>4</x:v>
      </x:c>
      <x:c r="L5443" s="87" t="str">
        <x:v>Применение формулы</x:v>
      </x:c>
      <x:c r="M5443" s="30" t="str">
        <x:v>Зная длину своего шага, человек может приближённо подсчитать пройденное им расстояние s по формуле s = nl, где n - число шагов, l - длина шага. Какое расстояние прошёл человек, если l =60 см, n = 1900? Ответ дайте в метрах</x:v>
      </x:c>
      <x:c r="N5443" s="30" t="str">
        <x:v>1140</x:v>
      </x:c>
      <x:c r="O5443" s="30" t="str">
        <x:v>Длина шага умножена на число шагов и переведена в метры.</x:v>
      </x:c>
      <x:c r="P5443" s="30" t="str">
        <x:v>Условие, вычисление и визуальная страница проверены независимо.</x:v>
      </x:c>
      <x:c r="Q5443" s="30"/>
      <x:c r="R5443" s="30" t="str">
        <x:v>114</x:v>
      </x:c>
      <x:c r="S5443" s="30"/>
      <x:c r="T5443" s="30"/>
      <x:c r="U5443" s="30" t="str">
        <x:v>Ответник: 114; независимое решение: 1140.</x:v>
      </x:c>
      <x:c r="V5443" s="87" t="str">
        <x:v>KEY_MISMATCH</x:v>
      </x:c>
      <x:c r="W5443" s="87"/>
      <x:c r="X5443" s="87" t="n">
        <x:v>3</x:v>
      </x:c>
      <x:c r="Y5443" s="87"/>
      <x:c r="Z5443" s="87"/>
      <x:c r="AA5443" s="87"/>
      <x:c r="AB5443" s="87"/>
      <x:c r="AC5443" s="87" t="str">
        <x:v>VIS-EGKR-MATHB-W25-TASK-955-P003</x:v>
      </x:c>
      <x:c r="AD5443" s="87"/>
      <x:c r="AE5443" s="87" t="str">
        <x:v>TASK</x:v>
      </x:c>
      <x:c r="AF5443" s="87" t="str">
        <x:v>VIS-EGKR-MATHB-W25-TASK-955-P003: 3</x:v>
      </x:c>
      <x:c r="AG5443" s="87" t="str">
        <x:v>RESOLVED</x:v>
      </x:c>
      <x:c r="AH5443" s="87" t="str">
        <x:v>CROP_VERIFIED</x:v>
      </x:c>
      <x:c r="AI5443" s="30"/>
      <x:c r="AJ5443" s="87" t="str">
        <x:v>clean</x:v>
      </x:c>
      <x:c r="AK5443" s="87" t="str">
        <x:v>clean-v0.14</x:v>
      </x:c>
      <x:c r="AL5443" s="87" t="str">
        <x:v>statgrad_clean_continuation_v0_14(1).xlsx</x:v>
      </x:c>
      <x:c r="AM5443" s="87" t="str">
        <x:v>MATHB_EGKR_955</x:v>
      </x:c>
      <x:c r="AN5443" s="87" t="n">
        <x:v>5</x:v>
      </x:c>
    </x:row>
    <x:row r="5444">
      <x:c r="A5444" s="87" t="n">
        <x:v>5443</x:v>
      </x:c>
      <x:c r="B5444" s="87" t="str">
        <x:v>EGKR-W25-MATHB-955-05</x:v>
      </x:c>
      <x:c r="C5444" s="87" t="str">
        <x:v>ЕГКР</x:v>
      </x:c>
      <x:c r="D5444" s="87"/>
      <x:c r="E5444" s="87" t="str">
        <x:v>Зима 2025</x:v>
      </x:c>
      <x:c r="F5444" s="87" t="str">
        <x:v>16.12.2025</x:v>
      </x:c>
      <x:c r="G5444" s="87" t="str">
        <x:v>Математика (база)</x:v>
      </x:c>
      <x:c r="H5444" s="87" t="n">
        <x:v>11</x:v>
      </x:c>
      <x:c r="I5444" s="87"/>
      <x:c r="J5444" s="87" t="str">
        <x:v>955</x:v>
      </x:c>
      <x:c r="K5444" s="87" t="n">
        <x:v>5</x:v>
      </x:c>
      <x:c r="L5444" s="87" t="str">
        <x:v>Вероятность</x:v>
      </x:c>
      <x:c r="M5444" s="30" t="str">
        <x:v>На экзамене по геометрии школьник должен ответить на один вопрос из списка экзаменационных вопросов. Вероятность того, что эта задача по теме «Внешние углы», равна 0,35. Вероятность того, что это окажется задача по теме «Тригонометрия», равна 0,25. Вопросов, которые одновременно относятся к этим двум темам, нет. Найдите вероятность того, что на экзамене школьнику достанется вопрос по одной из этих двух тем.</x:v>
      </x:c>
      <x:c r="N5444" s="30" t="str">
        <x:v>0,6</x:v>
      </x:c>
      <x:c r="O5444" s="30" t="str">
        <x:v>Вероятности несовместных событий сложены.</x:v>
      </x:c>
      <x:c r="P5444" s="30" t="str">
        <x:v>Условие, вычисление и визуальная страница проверены независимо.</x:v>
      </x:c>
      <x:c r="Q5444" s="30"/>
      <x:c r="R5444" s="30" t="str">
        <x:v>0,6</x:v>
      </x:c>
      <x:c r="S5444" s="30"/>
      <x:c r="T5444" s="30"/>
      <x:c r="U5444" s="30" t="str">
        <x:v>Расхождений нет.</x:v>
      </x:c>
      <x:c r="V5444" s="87" t="str">
        <x:v>VERIFIED</x:v>
      </x:c>
      <x:c r="W5444" s="87"/>
      <x:c r="X5444" s="87" t="n">
        <x:v>3</x:v>
      </x:c>
      <x:c r="Y5444" s="87"/>
      <x:c r="Z5444" s="87"/>
      <x:c r="AA5444" s="87"/>
      <x:c r="AB5444" s="87"/>
      <x:c r="AC5444" s="87" t="str">
        <x:v>VIS-EGKR-MATHB-W25-TASK-955-P003</x:v>
      </x:c>
      <x:c r="AD5444" s="87"/>
      <x:c r="AE5444" s="87" t="str">
        <x:v>TASK</x:v>
      </x:c>
      <x:c r="AF5444" s="87" t="str">
        <x:v>VIS-EGKR-MATHB-W25-TASK-955-P003: 3</x:v>
      </x:c>
      <x:c r="AG5444" s="87" t="str">
        <x:v>RESOLVED</x:v>
      </x:c>
      <x:c r="AH5444" s="87" t="str">
        <x:v>CROP_VERIFIED</x:v>
      </x:c>
      <x:c r="AI5444" s="30"/>
      <x:c r="AJ5444" s="87" t="str">
        <x:v>clean</x:v>
      </x:c>
      <x:c r="AK5444" s="87" t="str">
        <x:v>clean-v0.14</x:v>
      </x:c>
      <x:c r="AL5444" s="87" t="str">
        <x:v>statgrad_clean_continuation_v0_14(1).xlsx</x:v>
      </x:c>
      <x:c r="AM5444" s="87" t="str">
        <x:v>MATHB_EGKR_955</x:v>
      </x:c>
      <x:c r="AN5444" s="87" t="n">
        <x:v>6</x:v>
      </x:c>
    </x:row>
    <x:row r="5445">
      <x:c r="A5445" s="87" t="n">
        <x:v>5444</x:v>
      </x:c>
      <x:c r="B5445" s="87" t="str">
        <x:v>EGKR-W25-MATHB-955-06</x:v>
      </x:c>
      <x:c r="C5445" s="87" t="str">
        <x:v>ЕГКР</x:v>
      </x:c>
      <x:c r="D5445" s="87"/>
      <x:c r="E5445" s="87" t="str">
        <x:v>Зима 2025</x:v>
      </x:c>
      <x:c r="F5445" s="87" t="str">
        <x:v>16.12.2025</x:v>
      </x:c>
      <x:c r="G5445" s="87" t="str">
        <x:v>Математика (база)</x:v>
      </x:c>
      <x:c r="H5445" s="87" t="n">
        <x:v>11</x:v>
      </x:c>
      <x:c r="I5445" s="87"/>
      <x:c r="J5445" s="87" t="str">
        <x:v>955</x:v>
      </x:c>
      <x:c r="K5445" s="87" t="n">
        <x:v>6</x:v>
      </x:c>
      <x:c r="L5445" s="87" t="str">
        <x:v>Оптимальный выбор</x:v>
      </x:c>
      <x:c r="M5445" s="30" t="str">
        <x:v>Путешественник из Москвы хочет посетить 4 города Золотого кольца России: Владимир, Ярославль, Суздаль и Ростов Великий. Турагентство предлагает маршруты с посещением некоторых городов Золотого кольца. Сведения о стоимости билетов и маршрутах представлены в таблице. Номер маршрута Посещаемые города Стоимость (руб.). 1 Суздаль, Ростов Великий 2300 2 Ярославль 1750 3 Ярославль, Суздаль, Владимир 3950 4 Суздаль, Владимир 2000 5 Ростов Великий, Владимир 2450 6 Ростов Великий, Ярославль 2650 Какие маршруты должен выбрать путешественник, чтобы побыть во всех четырех городах и потратить на билеты меньшее 6000 рублей? В ответе укажите какой-нибудь один набор номеров маршрутов без пробелов, запятых и других дополнительных символов.</x:v>
      </x:c>
      <x:c r="N5445" s="30" t="str">
        <x:v>46</x:v>
      </x:c>
      <x:c r="O5445" s="30" t="str">
        <x:v>Подобран набор маршрутов, покрывающий четыре города и удовлетворяющий ограничению цены.</x:v>
      </x:c>
      <x:c r="P5445" s="30" t="str">
        <x:v>Условие, вычисление и визуальная страница проверены независимо.</x:v>
      </x:c>
      <x:c r="Q5445" s="30"/>
      <x:c r="R5445" s="30" t="str">
        <x:v>46</x:v>
      </x:c>
      <x:c r="S5445" s="30"/>
      <x:c r="T5445" s="30"/>
      <x:c r="U5445" s="30" t="str">
        <x:v>Расхождений нет.</x:v>
      </x:c>
      <x:c r="V5445" s="87" t="str">
        <x:v>VERIFIED</x:v>
      </x:c>
      <x:c r="W5445" s="87"/>
      <x:c r="X5445" s="87" t="n">
        <x:v>4</x:v>
      </x:c>
      <x:c r="Y5445" s="87"/>
      <x:c r="Z5445" s="87"/>
      <x:c r="AA5445" s="87"/>
      <x:c r="AB5445" s="87"/>
      <x:c r="AC5445" s="87" t="str">
        <x:v>VIS-EGKR-MATHB-W25-TASK-955-P004</x:v>
      </x:c>
      <x:c r="AD5445" s="87"/>
      <x:c r="AE5445" s="87" t="str">
        <x:v>TASK</x:v>
      </x:c>
      <x:c r="AF5445" s="87" t="str">
        <x:v>VIS-EGKR-MATHB-W25-TASK-955-P004: 4</x:v>
      </x:c>
      <x:c r="AG5445" s="87" t="str">
        <x:v>RESOLVED</x:v>
      </x:c>
      <x:c r="AH5445" s="87" t="str">
        <x:v>CROP_VERIFIED</x:v>
      </x:c>
      <x:c r="AI5445" s="30"/>
      <x:c r="AJ5445" s="87" t="str">
        <x:v>clean</x:v>
      </x:c>
      <x:c r="AK5445" s="87" t="str">
        <x:v>clean-v0.14</x:v>
      </x:c>
      <x:c r="AL5445" s="87" t="str">
        <x:v>statgrad_clean_continuation_v0_14(1).xlsx</x:v>
      </x:c>
      <x:c r="AM5445" s="87" t="str">
        <x:v>MATHB_EGKR_955</x:v>
      </x:c>
      <x:c r="AN5445" s="87" t="n">
        <x:v>7</x:v>
      </x:c>
    </x:row>
    <x:row r="5446">
      <x:c r="A5446" s="87" t="n">
        <x:v>5445</x:v>
      </x:c>
      <x:c r="B5446" s="87" t="str">
        <x:v>EGKR-W25-MATHB-955-07</x:v>
      </x:c>
      <x:c r="C5446" s="87" t="str">
        <x:v>ЕГКР</x:v>
      </x:c>
      <x:c r="D5446" s="87"/>
      <x:c r="E5446" s="87" t="str">
        <x:v>Зима 2025</x:v>
      </x:c>
      <x:c r="F5446" s="87" t="str">
        <x:v>16.12.2025</x:v>
      </x:c>
      <x:c r="G5446" s="87" t="str">
        <x:v>Математика (база)</x:v>
      </x:c>
      <x:c r="H5446" s="87" t="n">
        <x:v>11</x:v>
      </x:c>
      <x:c r="I5446" s="87"/>
      <x:c r="J5446" s="87" t="str">
        <x:v>955</x:v>
      </x:c>
      <x:c r="K5446" s="87" t="n">
        <x:v>7</x:v>
      </x:c>
      <x:c r="L5446" s="87" t="str">
        <x:v>Анализ графика</x:v>
      </x:c>
      <x:c r="M5446" s="30" t="str">
        <x:v>На рисунке изображён график функции y = f(x) и отмечены точки A, B, C и D на оси Ox. Пользуясь графиком, поставьте в соответствие каждой точке характеристики функции и её производной . ТОЧКИ ХАРАКТЕРИСТИКИ А) A 1) значение функции в точке отрицательно, а значение Б) B производной функции в точке положительно В) C 2) значение функции в точке положительно, а значение Г) D производной функции в точке отрицательно 3) значение функции в точке отрицательно и значение производной функции в точке отрицательно 4) значение функции в точке положительно и значение производной функции в точке положительно В таблице под каждой буквой укажите соответствующий номер. А Б В Г</x:v>
      </x:c>
      <x:c r="N5446" s="30" t="str">
        <x:v>2314</x:v>
      </x:c>
      <x:c r="O5446" s="30" t="str">
        <x:v>Знаки функции и производной определены по положению точки и направлению графика.</x:v>
      </x:c>
      <x:c r="P5446" s="30" t="str">
        <x:v>Условие, вычисление и визуальная страница проверены независимо.</x:v>
      </x:c>
      <x:c r="Q5446" s="30"/>
      <x:c r="R5446" s="30" t="str">
        <x:v>2314</x:v>
      </x:c>
      <x:c r="S5446" s="30"/>
      <x:c r="T5446" s="30"/>
      <x:c r="U5446" s="30" t="str">
        <x:v>Расхождений нет.</x:v>
      </x:c>
      <x:c r="V5446" s="87" t="str">
        <x:v>VERIFIED</x:v>
      </x:c>
      <x:c r="W5446" s="87"/>
      <x:c r="X5446" s="87" t="n">
        <x:v>5</x:v>
      </x:c>
      <x:c r="Y5446" s="87"/>
      <x:c r="Z5446" s="87"/>
      <x:c r="AA5446" s="87"/>
      <x:c r="AB5446" s="87"/>
      <x:c r="AC5446" s="87" t="str">
        <x:v>VIS-EGKR-MATHB-W25-TASK-955-P005</x:v>
      </x:c>
      <x:c r="AD5446" s="87"/>
      <x:c r="AE5446" s="87" t="str">
        <x:v>TASK</x:v>
      </x:c>
      <x:c r="AF5446" s="87" t="str">
        <x:v>VIS-EGKR-MATHB-W25-TASK-955-P005: 5</x:v>
      </x:c>
      <x:c r="AG5446" s="87" t="str">
        <x:v>RESOLVED</x:v>
      </x:c>
      <x:c r="AH5446" s="87" t="str">
        <x:v>CROP_VERIFIED; TASK_CROP_QA_APPROVED:USE_TIGHT</x:v>
      </x:c>
      <x:c r="AI5446" s="30"/>
      <x:c r="AJ5446" s="87" t="str">
        <x:v>clean</x:v>
      </x:c>
      <x:c r="AK5446" s="87" t="str">
        <x:v>clean-v0.14</x:v>
      </x:c>
      <x:c r="AL5446" s="87" t="str">
        <x:v>statgrad_clean_continuation_v0_14(1).xlsx</x:v>
      </x:c>
      <x:c r="AM5446" s="87" t="str">
        <x:v>MATHB_EGKR_955</x:v>
      </x:c>
      <x:c r="AN5446" s="87" t="n">
        <x:v>8</x:v>
      </x:c>
    </x:row>
    <x:row r="5447">
      <x:c r="A5447" s="87" t="n">
        <x:v>5446</x:v>
      </x:c>
      <x:c r="B5447" s="87" t="str">
        <x:v>EGKR-W25-MATHB-955-08</x:v>
      </x:c>
      <x:c r="C5447" s="87" t="str">
        <x:v>ЕГКР</x:v>
      </x:c>
      <x:c r="D5447" s="87"/>
      <x:c r="E5447" s="87" t="str">
        <x:v>Зима 2025</x:v>
      </x:c>
      <x:c r="F5447" s="87" t="str">
        <x:v>16.12.2025</x:v>
      </x:c>
      <x:c r="G5447" s="87" t="str">
        <x:v>Математика (база)</x:v>
      </x:c>
      <x:c r="H5447" s="87" t="n">
        <x:v>11</x:v>
      </x:c>
      <x:c r="I5447" s="87"/>
      <x:c r="J5447" s="87" t="str">
        <x:v>955</x:v>
      </x:c>
      <x:c r="K5447" s="87" t="n">
        <x:v>8</x:v>
      </x:c>
      <x:c r="L5447" s="87" t="str">
        <x:v>Логические утверждения</x:v>
      </x:c>
      <x:c r="M5447" s="30" t="str">
        <x:v>Перед волейбольным турниром измерили рост игроков футбольной команды города N. Оказалось, что рост каждого из футболистов этой команды больше 172 см и меньше 192 см. Выберите утверждения, которые верны при указанных условиях. 1) Разница в росте любых двух игроков футбольной команды города N составляет более 20 см. 2) В футбольной команде города N нет игроков с ростом 170 см. 3) В футбольной команде города N обязательно есть игрок, рост которого равен 170 см. 4) Рост любого футболиста этой команды меньше 195 см. В ответе запишите номера выбранных утверждений без пробелов, запятых и других дополнительных символов.</x:v>
      </x:c>
      <x:c r="N5447" s="30" t="str">
        <x:v>24</x:v>
      </x:c>
      <x:c r="O5447" s="30" t="str">
        <x:v>Проверены логические следствия из заданного интервала роста.</x:v>
      </x:c>
      <x:c r="P5447" s="30" t="str">
        <x:v>Условие, вычисление и визуальная страница проверены независимо.</x:v>
      </x:c>
      <x:c r="Q5447" s="30"/>
      <x:c r="R5447" s="30" t="str">
        <x:v>24</x:v>
      </x:c>
      <x:c r="S5447" s="30"/>
      <x:c r="T5447" s="30"/>
      <x:c r="U5447" s="30" t="str">
        <x:v>Расхождений нет.</x:v>
      </x:c>
      <x:c r="V5447" s="87" t="str">
        <x:v>VERIFIED</x:v>
      </x:c>
      <x:c r="W5447" s="87"/>
      <x:c r="X5447" s="87" t="n">
        <x:v>6</x:v>
      </x:c>
      <x:c r="Y5447" s="87"/>
      <x:c r="Z5447" s="87"/>
      <x:c r="AA5447" s="87"/>
      <x:c r="AB5447" s="87"/>
      <x:c r="AC5447" s="87" t="str">
        <x:v>VIS-EGKR-MATHB-W25-TASK-955-P006</x:v>
      </x:c>
      <x:c r="AD5447" s="87"/>
      <x:c r="AE5447" s="87" t="str">
        <x:v>TASK</x:v>
      </x:c>
      <x:c r="AF5447" s="87" t="str">
        <x:v>VIS-EGKR-MATHB-W25-TASK-955-P006: 6</x:v>
      </x:c>
      <x:c r="AG5447" s="87" t="str">
        <x:v>RESOLVED</x:v>
      </x:c>
      <x:c r="AH5447" s="87" t="str">
        <x:v>CROP_VERIFIED</x:v>
      </x:c>
      <x:c r="AI5447" s="30"/>
      <x:c r="AJ5447" s="87" t="str">
        <x:v>clean</x:v>
      </x:c>
      <x:c r="AK5447" s="87" t="str">
        <x:v>clean-v0.14</x:v>
      </x:c>
      <x:c r="AL5447" s="87" t="str">
        <x:v>statgrad_clean_continuation_v0_14(1).xlsx</x:v>
      </x:c>
      <x:c r="AM5447" s="87" t="str">
        <x:v>MATHB_EGKR_955</x:v>
      </x:c>
      <x:c r="AN5447" s="87" t="n">
        <x:v>9</x:v>
      </x:c>
    </x:row>
    <x:row r="5448">
      <x:c r="A5448" s="87" t="n">
        <x:v>5447</x:v>
      </x:c>
      <x:c r="B5448" s="87" t="str">
        <x:v>EGKR-W25-MATHB-955-09</x:v>
      </x:c>
      <x:c r="C5448" s="87" t="str">
        <x:v>ЕГКР</x:v>
      </x:c>
      <x:c r="D5448" s="87"/>
      <x:c r="E5448" s="87" t="str">
        <x:v>Зима 2025</x:v>
      </x:c>
      <x:c r="F5448" s="87" t="str">
        <x:v>16.12.2025</x:v>
      </x:c>
      <x:c r="G5448" s="87" t="str">
        <x:v>Математика (база)</x:v>
      </x:c>
      <x:c r="H5448" s="87" t="n">
        <x:v>11</x:v>
      </x:c>
      <x:c r="I5448" s="87"/>
      <x:c r="J5448" s="87" t="str">
        <x:v>955</x:v>
      </x:c>
      <x:c r="K5448" s="87" t="n">
        <x:v>9</x:v>
      </x:c>
      <x:c r="L5448" s="87" t="str">
        <x:v>Площадь по клеткам</x:v>
      </x:c>
      <x:c r="M5448" s="30" t="str">
        <x:v>План местности разбит на клетки. Каждая клетка обозначает квадрат 1 м × 1 м. Найдите площадь участка, выделенного на плане. Ответ дайте в квадратных метрах.</x:v>
      </x:c>
      <x:c r="N5448" s="30" t="str">
        <x:v>16</x:v>
      </x:c>
      <x:c r="O5448" s="30" t="str">
        <x:v>Площадь пересчитана по клеткам и геометрическому разбиению.</x:v>
      </x:c>
      <x:c r="P5448" s="30" t="str">
        <x:v>Условие, вычисление и визуальная страница проверены независимо.</x:v>
      </x:c>
      <x:c r="Q5448" s="30"/>
      <x:c r="R5448" s="30" t="str">
        <x:v>16</x:v>
      </x:c>
      <x:c r="S5448" s="30"/>
      <x:c r="T5448" s="30"/>
      <x:c r="U5448" s="30" t="str">
        <x:v>Расхождений нет.</x:v>
      </x:c>
      <x:c r="V5448" s="87" t="str">
        <x:v>VERIFIED</x:v>
      </x:c>
      <x:c r="W5448" s="87"/>
      <x:c r="X5448" s="87" t="n">
        <x:v>6</x:v>
      </x:c>
      <x:c r="Y5448" s="87"/>
      <x:c r="Z5448" s="87"/>
      <x:c r="AA5448" s="87"/>
      <x:c r="AB5448" s="87"/>
      <x:c r="AC5448" s="87" t="str">
        <x:v>VIS-EGKR-MATHB-W25-TASK-955-P006</x:v>
      </x:c>
      <x:c r="AD5448" s="87"/>
      <x:c r="AE5448" s="87" t="str">
        <x:v>TASK</x:v>
      </x:c>
      <x:c r="AF5448" s="87" t="str">
        <x:v>VIS-EGKR-MATHB-W25-TASK-955-P006: 6</x:v>
      </x:c>
      <x:c r="AG5448" s="87" t="str">
        <x:v>RESOLVED</x:v>
      </x:c>
      <x:c r="AH5448" s="87" t="str">
        <x:v>CROP_VERIFIED; TASK_CROP_QA_APPROVED:USE_TIGHT</x:v>
      </x:c>
      <x:c r="AI5448" s="30"/>
      <x:c r="AJ5448" s="87" t="str">
        <x:v>clean</x:v>
      </x:c>
      <x:c r="AK5448" s="87" t="str">
        <x:v>clean-v0.14</x:v>
      </x:c>
      <x:c r="AL5448" s="87" t="str">
        <x:v>statgrad_clean_continuation_v0_14(1).xlsx</x:v>
      </x:c>
      <x:c r="AM5448" s="87" t="str">
        <x:v>MATHB_EGKR_955</x:v>
      </x:c>
      <x:c r="AN5448" s="87" t="n">
        <x:v>10</x:v>
      </x:c>
    </x:row>
    <x:row r="5449">
      <x:c r="A5449" s="87" t="n">
        <x:v>5448</x:v>
      </x:c>
      <x:c r="B5449" s="87" t="str">
        <x:v>EGKR-W25-MATHB-955-10</x:v>
      </x:c>
      <x:c r="C5449" s="87" t="str">
        <x:v>ЕГКР</x:v>
      </x:c>
      <x:c r="D5449" s="87"/>
      <x:c r="E5449" s="87" t="str">
        <x:v>Зима 2025</x:v>
      </x:c>
      <x:c r="F5449" s="87" t="str">
        <x:v>16.12.2025</x:v>
      </x:c>
      <x:c r="G5449" s="87" t="str">
        <x:v>Математика (база)</x:v>
      </x:c>
      <x:c r="H5449" s="87" t="n">
        <x:v>11</x:v>
      </x:c>
      <x:c r="I5449" s="87"/>
      <x:c r="J5449" s="87" t="str">
        <x:v>955</x:v>
      </x:c>
      <x:c r="K5449" s="87" t="n">
        <x:v>10</x:v>
      </x:c>
      <x:c r="L5449" s="87" t="str">
        <x:v>Практическая геометрия</x:v>
      </x:c>
      <x:c r="M5449" s="30" t="str">
        <x:v>На плане указано, что прямоугольная комната имеет площадь 21,2 кв. м. Точные измерения показали (см. рис.), что ширина комнаты равна 4,3 м, а длина 5 м. На сколько квадратных метров площадь комнаты отличается от площади, указанной на плане?</x:v>
      </x:c>
      <x:c r="N5449" s="30" t="str">
        <x:v>0,3</x:v>
      </x:c>
      <x:c r="O5449" s="30" t="str">
        <x:v>Фактическая площадь вычислена как произведение сторон; найдена абсолютная разность.</x:v>
      </x:c>
      <x:c r="P5449" s="30" t="str">
        <x:v>Условие, вычисление и визуальная страница проверены независимо.</x:v>
      </x:c>
      <x:c r="Q5449" s="30"/>
      <x:c r="R5449" s="30" t="str">
        <x:v>0,3</x:v>
      </x:c>
      <x:c r="S5449" s="30"/>
      <x:c r="T5449" s="30"/>
      <x:c r="U5449" s="30" t="str">
        <x:v>Расхождений нет.</x:v>
      </x:c>
      <x:c r="V5449" s="87" t="str">
        <x:v>VERIFIED</x:v>
      </x:c>
      <x:c r="W5449" s="87"/>
      <x:c r="X5449" s="87" t="n">
        <x:v>6</x:v>
      </x:c>
      <x:c r="Y5449" s="87"/>
      <x:c r="Z5449" s="87"/>
      <x:c r="AA5449" s="87"/>
      <x:c r="AB5449" s="87"/>
      <x:c r="AC5449" s="87" t="str">
        <x:v>VIS-EGKR-MATHB-W25-TASK-955-P006</x:v>
      </x:c>
      <x:c r="AD5449" s="87"/>
      <x:c r="AE5449" s="87" t="str">
        <x:v>TASK</x:v>
      </x:c>
      <x:c r="AF5449" s="87" t="str">
        <x:v>VIS-EGKR-MATHB-W25-TASK-955-P006: 6</x:v>
      </x:c>
      <x:c r="AG5449" s="87" t="str">
        <x:v>RESOLVED</x:v>
      </x:c>
      <x:c r="AH5449" s="87" t="str">
        <x:v>CROP_VERIFIED; TASK_CROP_QA_APPROVED:USE_CONTEXT</x:v>
      </x:c>
      <x:c r="AI5449" s="30"/>
      <x:c r="AJ5449" s="87" t="str">
        <x:v>clean</x:v>
      </x:c>
      <x:c r="AK5449" s="87" t="str">
        <x:v>clean-v0.14</x:v>
      </x:c>
      <x:c r="AL5449" s="87" t="str">
        <x:v>statgrad_clean_continuation_v0_14(1).xlsx</x:v>
      </x:c>
      <x:c r="AM5449" s="87" t="str">
        <x:v>MATHB_EGKR_955</x:v>
      </x:c>
      <x:c r="AN5449" s="87" t="n">
        <x:v>11</x:v>
      </x:c>
    </x:row>
    <x:row r="5450">
      <x:c r="A5450" s="87" t="n">
        <x:v>5449</x:v>
      </x:c>
      <x:c r="B5450" s="87" t="str">
        <x:v>EGKR-W25-MATHB-955-11</x:v>
      </x:c>
      <x:c r="C5450" s="87" t="str">
        <x:v>ЕГКР</x:v>
      </x:c>
      <x:c r="D5450" s="87"/>
      <x:c r="E5450" s="87" t="str">
        <x:v>Зима 2025</x:v>
      </x:c>
      <x:c r="F5450" s="87" t="str">
        <x:v>16.12.2025</x:v>
      </x:c>
      <x:c r="G5450" s="87" t="str">
        <x:v>Математика (база)</x:v>
      </x:c>
      <x:c r="H5450" s="87" t="n">
        <x:v>11</x:v>
      </x:c>
      <x:c r="I5450" s="87"/>
      <x:c r="J5450" s="87" t="str">
        <x:v>955</x:v>
      </x:c>
      <x:c r="K5450" s="87" t="n">
        <x:v>11</x:v>
      </x:c>
      <x:c r="L5450" s="87" t="str">
        <x:v>Площадь поверхности</x:v>
      </x:c>
      <x:c r="M5450" s="30" t="str">
        <x:v>Прямоугольный участок длиной 3 м трубы, имеющей в сечении окружность, необходимо покрасить (торцы трубы открыты, их красить не надо). Найдите площадь поверхности, которую необходимо покрасить, если длина внешней окружности трубы равна 27 см. Ответ дайте в квадратных сантиметрах.</x:v>
      </x:c>
      <x:c r="N5450" s="30" t="str">
        <x:v>8100</x:v>
      </x:c>
      <x:c r="O5450" s="30" t="str">
        <x:v>Боковая поверхность трубы равна длине трубы, умноженной на длину окружности.</x:v>
      </x:c>
      <x:c r="P5450" s="30" t="str">
        <x:v>Условие, вычисление и визуальная страница проверены независимо.</x:v>
      </x:c>
      <x:c r="Q5450" s="30"/>
      <x:c r="R5450" s="30" t="str">
        <x:v>8100</x:v>
      </x:c>
      <x:c r="S5450" s="30"/>
      <x:c r="T5450" s="30"/>
      <x:c r="U5450" s="30" t="str">
        <x:v>Расхождений нет.</x:v>
      </x:c>
      <x:c r="V5450" s="87" t="str">
        <x:v>VERIFIED</x:v>
      </x:c>
      <x:c r="W5450" s="87"/>
      <x:c r="X5450" s="87" t="n">
        <x:v>7</x:v>
      </x:c>
      <x:c r="Y5450" s="87"/>
      <x:c r="Z5450" s="87"/>
      <x:c r="AA5450" s="87"/>
      <x:c r="AB5450" s="87"/>
      <x:c r="AC5450" s="87" t="str">
        <x:v>VIS-EGKR-MATHB-W25-TASK-955-P007</x:v>
      </x:c>
      <x:c r="AD5450" s="87"/>
      <x:c r="AE5450" s="87" t="str">
        <x:v>TASK</x:v>
      </x:c>
      <x:c r="AF5450" s="87" t="str">
        <x:v>VIS-EGKR-MATHB-W25-TASK-955-P007: 7</x:v>
      </x:c>
      <x:c r="AG5450" s="87" t="str">
        <x:v>RESOLVED</x:v>
      </x:c>
      <x:c r="AH5450" s="87" t="str">
        <x:v>CROP_VERIFIED</x:v>
      </x:c>
      <x:c r="AI5450" s="30"/>
      <x:c r="AJ5450" s="87" t="str">
        <x:v>clean</x:v>
      </x:c>
      <x:c r="AK5450" s="87" t="str">
        <x:v>clean-v0.14</x:v>
      </x:c>
      <x:c r="AL5450" s="87" t="str">
        <x:v>statgrad_clean_continuation_v0_14(1).xlsx</x:v>
      </x:c>
      <x:c r="AM5450" s="87" t="str">
        <x:v>MATHB_EGKR_955</x:v>
      </x:c>
      <x:c r="AN5450" s="87" t="n">
        <x:v>12</x:v>
      </x:c>
    </x:row>
    <x:row r="5451">
      <x:c r="A5451" s="87" t="n">
        <x:v>5450</x:v>
      </x:c>
      <x:c r="B5451" s="87" t="str">
        <x:v>EGKR-W25-MATHB-955-12</x:v>
      </x:c>
      <x:c r="C5451" s="87" t="str">
        <x:v>ЕГКР</x:v>
      </x:c>
      <x:c r="D5451" s="87"/>
      <x:c r="E5451" s="87" t="str">
        <x:v>Зима 2025</x:v>
      </x:c>
      <x:c r="F5451" s="87" t="str">
        <x:v>16.12.2025</x:v>
      </x:c>
      <x:c r="G5451" s="87" t="str">
        <x:v>Математика (база)</x:v>
      </x:c>
      <x:c r="H5451" s="87" t="n">
        <x:v>11</x:v>
      </x:c>
      <x:c r="I5451" s="87"/>
      <x:c r="J5451" s="87" t="str">
        <x:v>955</x:v>
      </x:c>
      <x:c r="K5451" s="87" t="n">
        <x:v>12</x:v>
      </x:c>
      <x:c r="L5451" s="87" t="str">
        <x:v>Планиметрия</x:v>
      </x:c>
      <x:c r="M5451" s="30" t="str">
        <x:v>На стороне BC прямоугольника ABCD, у которого AB = 36 и AD = 84, Отмечена точка E так, что &lt; EAB=45°. Найдите длину отрезка ED.</x:v>
      </x:c>
      <x:c r="N5451" s="30" t="str">
        <x:v>60</x:v>
      </x:c>
      <x:c r="O5451" s="30" t="str">
        <x:v>Координаты точки E следуют из угла 45°; ED найден по теореме Пифагора.</x:v>
      </x:c>
      <x:c r="P5451" s="30" t="str">
        <x:v>Условие, вычисление и визуальная страница проверены независимо.</x:v>
      </x:c>
      <x:c r="Q5451" s="30"/>
      <x:c r="R5451" s="30" t="str">
        <x:v>60</x:v>
      </x:c>
      <x:c r="S5451" s="30"/>
      <x:c r="T5451" s="30"/>
      <x:c r="U5451" s="30" t="str">
        <x:v>Расхождений нет.</x:v>
      </x:c>
      <x:c r="V5451" s="87" t="str">
        <x:v>VERIFIED</x:v>
      </x:c>
      <x:c r="W5451" s="87"/>
      <x:c r="X5451" s="87" t="n">
        <x:v>7</x:v>
      </x:c>
      <x:c r="Y5451" s="87"/>
      <x:c r="Z5451" s="87"/>
      <x:c r="AA5451" s="87"/>
      <x:c r="AB5451" s="87"/>
      <x:c r="AC5451" s="87" t="str">
        <x:v>VIS-EGKR-MATHB-W25-TASK-955-P007</x:v>
      </x:c>
      <x:c r="AD5451" s="87"/>
      <x:c r="AE5451" s="87" t="str">
        <x:v>TASK</x:v>
      </x:c>
      <x:c r="AF5451" s="87" t="str">
        <x:v>VIS-EGKR-MATHB-W25-TASK-955-P007: 7</x:v>
      </x:c>
      <x:c r="AG5451" s="87" t="str">
        <x:v>RESOLVED</x:v>
      </x:c>
      <x:c r="AH5451" s="87" t="str">
        <x:v>CROP_VERIFIED</x:v>
      </x:c>
      <x:c r="AI5451" s="30"/>
      <x:c r="AJ5451" s="87" t="str">
        <x:v>clean</x:v>
      </x:c>
      <x:c r="AK5451" s="87" t="str">
        <x:v>clean-v0.14</x:v>
      </x:c>
      <x:c r="AL5451" s="87" t="str">
        <x:v>statgrad_clean_continuation_v0_14(1).xlsx</x:v>
      </x:c>
      <x:c r="AM5451" s="87" t="str">
        <x:v>MATHB_EGKR_955</x:v>
      </x:c>
      <x:c r="AN5451" s="87" t="n">
        <x:v>13</x:v>
      </x:c>
    </x:row>
    <x:row r="5452">
      <x:c r="A5452" s="87" t="n">
        <x:v>5451</x:v>
      </x:c>
      <x:c r="B5452" s="87" t="str">
        <x:v>EGKR-W25-MATHB-955-13</x:v>
      </x:c>
      <x:c r="C5452" s="87" t="str">
        <x:v>ЕГКР</x:v>
      </x:c>
      <x:c r="D5452" s="87"/>
      <x:c r="E5452" s="87" t="str">
        <x:v>Зима 2025</x:v>
      </x:c>
      <x:c r="F5452" s="87" t="str">
        <x:v>16.12.2025</x:v>
      </x:c>
      <x:c r="G5452" s="87" t="str">
        <x:v>Математика (база)</x:v>
      </x:c>
      <x:c r="H5452" s="87" t="n">
        <x:v>11</x:v>
      </x:c>
      <x:c r="I5452" s="87"/>
      <x:c r="J5452" s="87" t="str">
        <x:v>955</x:v>
      </x:c>
      <x:c r="K5452" s="87" t="n">
        <x:v>13</x:v>
      </x:c>
      <x:c r="L5452" s="87" t="str">
        <x:v>Стереометрия</x:v>
      </x:c>
      <x:c r="M5452" s="30" t="str">
        <x:v>В треугольной пирамиде ABCD рёбра AB, AC и AD взаимно перпендикулярны. Найдите объём этой пирамиды, если AB=5, AC=24 и AD=3. 3 2</x:v>
      </x:c>
      <x:c r="N5452" s="30" t="str">
        <x:v>60</x:v>
      </x:c>
      <x:c r="O5452" s="30" t="str">
        <x:v>Объём прямоугольного тетраэдра равен произведению трёх взаимно перпендикулярных рёбер, делённому на 6.</x:v>
      </x:c>
      <x:c r="P5452" s="30" t="str">
        <x:v>Условие, вычисление и визуальная страница проверены независимо.</x:v>
      </x:c>
      <x:c r="Q5452" s="30"/>
      <x:c r="R5452" s="30" t="str">
        <x:v>60</x:v>
      </x:c>
      <x:c r="S5452" s="30"/>
      <x:c r="T5452" s="30"/>
      <x:c r="U5452" s="30" t="str">
        <x:v>Расхождений нет.</x:v>
      </x:c>
      <x:c r="V5452" s="87" t="str">
        <x:v>VERIFIED</x:v>
      </x:c>
      <x:c r="W5452" s="87"/>
      <x:c r="X5452" s="87" t="n">
        <x:v>7</x:v>
      </x:c>
      <x:c r="Y5452" s="87"/>
      <x:c r="Z5452" s="87"/>
      <x:c r="AA5452" s="87"/>
      <x:c r="AB5452" s="87"/>
      <x:c r="AC5452" s="87" t="str">
        <x:v>VIS-EGKR-MATHB-W25-TASK-955-P007</x:v>
      </x:c>
      <x:c r="AD5452" s="87"/>
      <x:c r="AE5452" s="87" t="str">
        <x:v>TASK</x:v>
      </x:c>
      <x:c r="AF5452" s="87" t="str">
        <x:v>VIS-EGKR-MATHB-W25-TASK-955-P007: 7</x:v>
      </x:c>
      <x:c r="AG5452" s="87" t="str">
        <x:v>RESOLVED</x:v>
      </x:c>
      <x:c r="AH5452" s="87" t="str">
        <x:v>CROP_VERIFIED</x:v>
      </x:c>
      <x:c r="AI5452" s="30"/>
      <x:c r="AJ5452" s="87" t="str">
        <x:v>clean</x:v>
      </x:c>
      <x:c r="AK5452" s="87" t="str">
        <x:v>clean-v0.14</x:v>
      </x:c>
      <x:c r="AL5452" s="87" t="str">
        <x:v>statgrad_clean_continuation_v0_14(1).xlsx</x:v>
      </x:c>
      <x:c r="AM5452" s="87" t="str">
        <x:v>MATHB_EGKR_955</x:v>
      </x:c>
      <x:c r="AN5452" s="87" t="n">
        <x:v>14</x:v>
      </x:c>
    </x:row>
    <x:row r="5453">
      <x:c r="A5453" s="87" t="n">
        <x:v>5452</x:v>
      </x:c>
      <x:c r="B5453" s="87" t="str">
        <x:v>EGKR-W25-MATHB-955-14</x:v>
      </x:c>
      <x:c r="C5453" s="87" t="str">
        <x:v>ЕГКР</x:v>
      </x:c>
      <x:c r="D5453" s="87"/>
      <x:c r="E5453" s="87" t="str">
        <x:v>Зима 2025</x:v>
      </x:c>
      <x:c r="F5453" s="87" t="str">
        <x:v>16.12.2025</x:v>
      </x:c>
      <x:c r="G5453" s="87" t="str">
        <x:v>Математика (база)</x:v>
      </x:c>
      <x:c r="H5453" s="87" t="n">
        <x:v>11</x:v>
      </x:c>
      <x:c r="I5453" s="87"/>
      <x:c r="J5453" s="87" t="str">
        <x:v>955</x:v>
      </x:c>
      <x:c r="K5453" s="87" t="n">
        <x:v>14</x:v>
      </x:c>
      <x:c r="L5453" s="87" t="str">
        <x:v>Арифметическое выражение</x:v>
      </x:c>
      <x:c r="M5453" s="30" t="str">
        <x:v>Найдите значение выражения (2 − 3,5) ⋅ 2 . 5 9</x:v>
      </x:c>
      <x:c r="N5453" s="30" t="str">
        <x:v>-2</x:v>
      </x:c>
      <x:c r="O5453" s="30" t="str">
        <x:v>Смешанные числа переведены в дроби и вычислены.</x:v>
      </x:c>
      <x:c r="P5453" s="30" t="str">
        <x:v>Условие, вычисление и визуальная страница проверены независимо.</x:v>
      </x:c>
      <x:c r="Q5453" s="30"/>
      <x:c r="R5453" s="30" t="str">
        <x:v>-2</x:v>
      </x:c>
      <x:c r="S5453" s="30"/>
      <x:c r="T5453" s="30"/>
      <x:c r="U5453" s="30" t="str">
        <x:v>Расхождений нет.</x:v>
      </x:c>
      <x:c r="V5453" s="87" t="str">
        <x:v>VERIFIED</x:v>
      </x:c>
      <x:c r="W5453" s="87"/>
      <x:c r="X5453" s="87" t="n">
        <x:v>7</x:v>
      </x:c>
      <x:c r="Y5453" s="87"/>
      <x:c r="Z5453" s="87"/>
      <x:c r="AA5453" s="87"/>
      <x:c r="AB5453" s="87"/>
      <x:c r="AC5453" s="87" t="str">
        <x:v>VIS-EGKR-MATHB-W25-TASK-955-P007</x:v>
      </x:c>
      <x:c r="AD5453" s="87"/>
      <x:c r="AE5453" s="87" t="str">
        <x:v>TASK</x:v>
      </x:c>
      <x:c r="AF5453" s="87" t="str">
        <x:v>VIS-EGKR-MATHB-W25-TASK-955-P007: 7</x:v>
      </x:c>
      <x:c r="AG5453" s="87" t="str">
        <x:v>RESOLVED</x:v>
      </x:c>
      <x:c r="AH5453" s="87" t="str">
        <x:v>CROP_VERIFIED</x:v>
      </x:c>
      <x:c r="AI5453" s="30"/>
      <x:c r="AJ5453" s="87" t="str">
        <x:v>clean</x:v>
      </x:c>
      <x:c r="AK5453" s="87" t="str">
        <x:v>clean-v0.14</x:v>
      </x:c>
      <x:c r="AL5453" s="87" t="str">
        <x:v>statgrad_clean_continuation_v0_14(1).xlsx</x:v>
      </x:c>
      <x:c r="AM5453" s="87" t="str">
        <x:v>MATHB_EGKR_955</x:v>
      </x:c>
      <x:c r="AN5453" s="87" t="n">
        <x:v>15</x:v>
      </x:c>
    </x:row>
    <x:row r="5454">
      <x:c r="A5454" s="87" t="n">
        <x:v>5453</x:v>
      </x:c>
      <x:c r="B5454" s="87" t="str">
        <x:v>EGKR-W25-MATHB-955-15</x:v>
      </x:c>
      <x:c r="C5454" s="87" t="str">
        <x:v>ЕГКР</x:v>
      </x:c>
      <x:c r="D5454" s="87"/>
      <x:c r="E5454" s="87" t="str">
        <x:v>Зима 2025</x:v>
      </x:c>
      <x:c r="F5454" s="87" t="str">
        <x:v>16.12.2025</x:v>
      </x:c>
      <x:c r="G5454" s="87" t="str">
        <x:v>Математика (база)</x:v>
      </x:c>
      <x:c r="H5454" s="87" t="n">
        <x:v>11</x:v>
      </x:c>
      <x:c r="I5454" s="87"/>
      <x:c r="J5454" s="87" t="str">
        <x:v>955</x:v>
      </x:c>
      <x:c r="K5454" s="87" t="n">
        <x:v>15</x:v>
      </x:c>
      <x:c r="L5454" s="87" t="str">
        <x:v>Проценты</x:v>
      </x:c>
      <x:c r="M5454" s="30" t="str">
        <x:v>Городской бюджет составляет 26 млн рублей, а расходы на одну из его статей составили 10%. Сколько рублей потрачено на эту статью бюджета?</x:v>
      </x:c>
      <x:c r="N5454" s="30" t="str">
        <x:v>2600000</x:v>
      </x:c>
      <x:c r="O5454" s="30" t="str">
        <x:v>Процент умножен на бюджет; единица ответа взята строго из формулировки.</x:v>
      </x:c>
      <x:c r="P5454" s="30" t="str">
        <x:v>Условие, вычисление и визуальная страница проверены независимо.</x:v>
      </x:c>
      <x:c r="Q5454" s="30"/>
      <x:c r="R5454" s="30" t="str">
        <x:v>2,6</x:v>
      </x:c>
      <x:c r="S5454" s="30"/>
      <x:c r="T5454" s="30"/>
      <x:c r="U5454" s="30" t="str">
        <x:v>Ответник: 2,6; независимое решение: 2600000.</x:v>
      </x:c>
      <x:c r="V5454" s="87" t="str">
        <x:v>KEY_MISMATCH</x:v>
      </x:c>
      <x:c r="W5454" s="87"/>
      <x:c r="X5454" s="87" t="n">
        <x:v>7</x:v>
      </x:c>
      <x:c r="Y5454" s="87"/>
      <x:c r="Z5454" s="87"/>
      <x:c r="AA5454" s="87"/>
      <x:c r="AB5454" s="87"/>
      <x:c r="AC5454" s="87" t="str">
        <x:v>VIS-EGKR-MATHB-W25-TASK-955-P007</x:v>
      </x:c>
      <x:c r="AD5454" s="87"/>
      <x:c r="AE5454" s="87" t="str">
        <x:v>TASK</x:v>
      </x:c>
      <x:c r="AF5454" s="87" t="str">
        <x:v>VIS-EGKR-MATHB-W25-TASK-955-P007: 7</x:v>
      </x:c>
      <x:c r="AG5454" s="87" t="str">
        <x:v>RESOLVED</x:v>
      </x:c>
      <x:c r="AH5454" s="87" t="str">
        <x:v>CROP_VERIFIED</x:v>
      </x:c>
      <x:c r="AI5454" s="30"/>
      <x:c r="AJ5454" s="87" t="str">
        <x:v>clean</x:v>
      </x:c>
      <x:c r="AK5454" s="87" t="str">
        <x:v>clean-v0.14</x:v>
      </x:c>
      <x:c r="AL5454" s="87" t="str">
        <x:v>statgrad_clean_continuation_v0_14(1).xlsx</x:v>
      </x:c>
      <x:c r="AM5454" s="87" t="str">
        <x:v>MATHB_EGKR_955</x:v>
      </x:c>
      <x:c r="AN5454" s="87" t="n">
        <x:v>16</x:v>
      </x:c>
    </x:row>
    <x:row r="5455">
      <x:c r="A5455" s="87" t="n">
        <x:v>5454</x:v>
      </x:c>
      <x:c r="B5455" s="87" t="str">
        <x:v>EGKR-W25-MATHB-955-16</x:v>
      </x:c>
      <x:c r="C5455" s="87" t="str">
        <x:v>ЕГКР</x:v>
      </x:c>
      <x:c r="D5455" s="87"/>
      <x:c r="E5455" s="87" t="str">
        <x:v>Зима 2025</x:v>
      </x:c>
      <x:c r="F5455" s="87" t="str">
        <x:v>16.12.2025</x:v>
      </x:c>
      <x:c r="G5455" s="87" t="str">
        <x:v>Математика (база)</x:v>
      </x:c>
      <x:c r="H5455" s="87" t="n">
        <x:v>11</x:v>
      </x:c>
      <x:c r="I5455" s="87"/>
      <x:c r="J5455" s="87" t="str">
        <x:v>955</x:v>
      </x:c>
      <x:c r="K5455" s="87" t="n">
        <x:v>16</x:v>
      </x:c>
      <x:c r="L5455" s="87" t="str">
        <x:v>Степени/корни</x:v>
      </x:c>
      <x:c r="M5455" s="30" t="str">
        <x:v>Найдите значение выражения</x:v>
      </x:c>
      <x:c r="N5455" s="30" t="str">
        <x:v>8</x:v>
      </x:c>
      <x:c r="O5455" s="30" t="str">
        <x:v>Использованы свойства степеней либо преобразование радикалов.</x:v>
      </x:c>
      <x:c r="P5455" s="30" t="str">
        <x:v>Условие, вычисление и визуальная страница проверены независимо.</x:v>
      </x:c>
      <x:c r="Q5455" s="30"/>
      <x:c r="R5455" s="30" t="str">
        <x:v>8</x:v>
      </x:c>
      <x:c r="S5455" s="30"/>
      <x:c r="T5455" s="30"/>
      <x:c r="U5455" s="30" t="str">
        <x:v>Расхождений нет.</x:v>
      </x:c>
      <x:c r="V5455" s="87" t="str">
        <x:v>VERIFIED</x:v>
      </x:c>
      <x:c r="W5455" s="87"/>
      <x:c r="X5455" s="87" t="n">
        <x:v>7</x:v>
      </x:c>
      <x:c r="Y5455" s="87"/>
      <x:c r="Z5455" s="87"/>
      <x:c r="AA5455" s="87"/>
      <x:c r="AB5455" s="87"/>
      <x:c r="AC5455" s="87" t="str">
        <x:v>VIS-EGKR-MATHB-W25-TASK-955-P007</x:v>
      </x:c>
      <x:c r="AD5455" s="87"/>
      <x:c r="AE5455" s="87" t="str">
        <x:v>TASK</x:v>
      </x:c>
      <x:c r="AF5455" s="87" t="str">
        <x:v>VIS-EGKR-MATHB-W25-TASK-955-P007: 7</x:v>
      </x:c>
      <x:c r="AG5455" s="87" t="str">
        <x:v>RESOLVED</x:v>
      </x:c>
      <x:c r="AH5455" s="87" t="str">
        <x:v>CROP_VERIFIED</x:v>
      </x:c>
      <x:c r="AI5455" s="30"/>
      <x:c r="AJ5455" s="87" t="str">
        <x:v>clean</x:v>
      </x:c>
      <x:c r="AK5455" s="87" t="str">
        <x:v>clean-v0.14</x:v>
      </x:c>
      <x:c r="AL5455" s="87" t="str">
        <x:v>statgrad_clean_continuation_v0_14(1).xlsx</x:v>
      </x:c>
      <x:c r="AM5455" s="87" t="str">
        <x:v>MATHB_EGKR_955</x:v>
      </x:c>
      <x:c r="AN5455" s="87" t="n">
        <x:v>17</x:v>
      </x:c>
    </x:row>
    <x:row r="5456">
      <x:c r="A5456" s="87" t="n">
        <x:v>5455</x:v>
      </x:c>
      <x:c r="B5456" s="87" t="str">
        <x:v>EGKR-W25-MATHB-955-17</x:v>
      </x:c>
      <x:c r="C5456" s="87" t="str">
        <x:v>ЕГКР</x:v>
      </x:c>
      <x:c r="D5456" s="87"/>
      <x:c r="E5456" s="87" t="str">
        <x:v>Зима 2025</x:v>
      </x:c>
      <x:c r="F5456" s="87" t="str">
        <x:v>16.12.2025</x:v>
      </x:c>
      <x:c r="G5456" s="87" t="str">
        <x:v>Математика (база)</x:v>
      </x:c>
      <x:c r="H5456" s="87" t="n">
        <x:v>11</x:v>
      </x:c>
      <x:c r="I5456" s="87"/>
      <x:c r="J5456" s="87" t="str">
        <x:v>955</x:v>
      </x:c>
      <x:c r="K5456" s="87" t="n">
        <x:v>17</x:v>
      </x:c>
      <x:c r="L5456" s="87" t="str">
        <x:v>Уравнение</x:v>
      </x:c>
      <x:c r="M5456" s="30" t="str">
        <x:v>Решите уравнение х2 + 4х = 0 Если уравнение имеет больше одного корня, в ответе запишите меньший из них.</x:v>
      </x:c>
      <x:c r="N5456" s="30" t="str">
        <x:v>-4</x:v>
      </x:c>
      <x:c r="O5456" s="30" t="str">
        <x:v>Уравнение решено алгебраически с выбором требуемого корня.</x:v>
      </x:c>
      <x:c r="P5456" s="30" t="str">
        <x:v>Условие, вычисление и визуальная страница проверены независимо.</x:v>
      </x:c>
      <x:c r="Q5456" s="30"/>
      <x:c r="R5456" s="30" t="str">
        <x:v>-4</x:v>
      </x:c>
      <x:c r="S5456" s="30"/>
      <x:c r="T5456" s="30"/>
      <x:c r="U5456" s="30" t="str">
        <x:v>Расхождений нет.</x:v>
      </x:c>
      <x:c r="V5456" s="87" t="str">
        <x:v>VERIFIED</x:v>
      </x:c>
      <x:c r="W5456" s="87"/>
      <x:c r="X5456" s="87" t="n">
        <x:v>8</x:v>
      </x:c>
      <x:c r="Y5456" s="87"/>
      <x:c r="Z5456" s="87"/>
      <x:c r="AA5456" s="87"/>
      <x:c r="AB5456" s="87"/>
      <x:c r="AC5456" s="87" t="str">
        <x:v>VIS-EGKR-MATHB-W25-TASK-955-P008</x:v>
      </x:c>
      <x:c r="AD5456" s="87"/>
      <x:c r="AE5456" s="87" t="str">
        <x:v>TASK</x:v>
      </x:c>
      <x:c r="AF5456" s="87" t="str">
        <x:v>VIS-EGKR-MATHB-W25-TASK-955-P008: 8</x:v>
      </x:c>
      <x:c r="AG5456" s="87" t="str">
        <x:v>RESOLVED</x:v>
      </x:c>
      <x:c r="AH5456" s="87" t="str">
        <x:v>CROP_VERIFIED</x:v>
      </x:c>
      <x:c r="AI5456" s="30"/>
      <x:c r="AJ5456" s="87" t="str">
        <x:v>clean</x:v>
      </x:c>
      <x:c r="AK5456" s="87" t="str">
        <x:v>clean-v0.14</x:v>
      </x:c>
      <x:c r="AL5456" s="87" t="str">
        <x:v>statgrad_clean_continuation_v0_14(1).xlsx</x:v>
      </x:c>
      <x:c r="AM5456" s="87" t="str">
        <x:v>MATHB_EGKR_955</x:v>
      </x:c>
      <x:c r="AN5456" s="87" t="n">
        <x:v>18</x:v>
      </x:c>
    </x:row>
    <x:row r="5457">
      <x:c r="A5457" s="87" t="n">
        <x:v>5456</x:v>
      </x:c>
      <x:c r="B5457" s="87" t="str">
        <x:v>EGKR-W25-MATHB-955-18</x:v>
      </x:c>
      <x:c r="C5457" s="87" t="str">
        <x:v>ЕГКР</x:v>
      </x:c>
      <x:c r="D5457" s="87"/>
      <x:c r="E5457" s="87" t="str">
        <x:v>Зима 2025</x:v>
      </x:c>
      <x:c r="F5457" s="87" t="str">
        <x:v>16.12.2025</x:v>
      </x:c>
      <x:c r="G5457" s="87" t="str">
        <x:v>Математика (база)</x:v>
      </x:c>
      <x:c r="H5457" s="87" t="n">
        <x:v>11</x:v>
      </x:c>
      <x:c r="I5457" s="87"/>
      <x:c r="J5457" s="87" t="str">
        <x:v>955</x:v>
      </x:c>
      <x:c r="K5457" s="87" t="n">
        <x:v>18</x:v>
      </x:c>
      <x:c r="L5457" s="87" t="str">
        <x:v>Числа и координатная прямая</x:v>
      </x:c>
      <x:c r="M5457" s="30" t="str">
        <x:v>На координатной прямой отмечено число m и точки A, B , C и D . Каждой точке соответствует одно из чисел в правом столбце. Установите соответствие между указанными точками и числами. ТОЧКИ ЧИСЛА A 1) B 2) m2 C 3) 𝑚−2 D 4) Впишите в приведённую в ответе таблицу под каждой буквой соответствующий отрезку номер. А Б В Г</x:v>
      </x:c>
      <x:c r="N5457" s="30" t="str">
        <x:v>1243</x:v>
      </x:c>
      <x:c r="O5457" s="30" t="str">
        <x:v>Значения выражений оценены и сопоставлены точкам/интервалам.</x:v>
      </x:c>
      <x:c r="P5457" s="30" t="str">
        <x:v>Условие, вычисление и визуальная страница проверены независимо.</x:v>
      </x:c>
      <x:c r="Q5457" s="30"/>
      <x:c r="R5457" s="30" t="str">
        <x:v>1243</x:v>
      </x:c>
      <x:c r="S5457" s="30"/>
      <x:c r="T5457" s="30"/>
      <x:c r="U5457" s="30" t="str">
        <x:v>Расхождений нет.</x:v>
      </x:c>
      <x:c r="V5457" s="87" t="str">
        <x:v>VERIFIED</x:v>
      </x:c>
      <x:c r="W5457" s="87"/>
      <x:c r="X5457" s="87" t="n">
        <x:v>8</x:v>
      </x:c>
      <x:c r="Y5457" s="87"/>
      <x:c r="Z5457" s="87"/>
      <x:c r="AA5457" s="87"/>
      <x:c r="AB5457" s="87"/>
      <x:c r="AC5457" s="87" t="str">
        <x:v>VIS-EGKR-MATHB-W25-TASK-955-P008</x:v>
      </x:c>
      <x:c r="AD5457" s="87"/>
      <x:c r="AE5457" s="87" t="str">
        <x:v>TASK</x:v>
      </x:c>
      <x:c r="AF5457" s="87" t="str">
        <x:v>VIS-EGKR-MATHB-W25-TASK-955-P008: 8</x:v>
      </x:c>
      <x:c r="AG5457" s="87" t="str">
        <x:v>RESOLVED</x:v>
      </x:c>
      <x:c r="AH5457" s="87" t="str">
        <x:v>CROP_VERIFIED</x:v>
      </x:c>
      <x:c r="AI5457" s="30"/>
      <x:c r="AJ5457" s="87" t="str">
        <x:v>clean</x:v>
      </x:c>
      <x:c r="AK5457" s="87" t="str">
        <x:v>clean-v0.14</x:v>
      </x:c>
      <x:c r="AL5457" s="87" t="str">
        <x:v>statgrad_clean_continuation_v0_14(1).xlsx</x:v>
      </x:c>
      <x:c r="AM5457" s="87" t="str">
        <x:v>MATHB_EGKR_955</x:v>
      </x:c>
      <x:c r="AN5457" s="87" t="n">
        <x:v>19</x:v>
      </x:c>
    </x:row>
    <x:row r="5458">
      <x:c r="A5458" s="87" t="n">
        <x:v>5457</x:v>
      </x:c>
      <x:c r="B5458" s="87" t="str">
        <x:v>EGKR-W25-MATHB-955-19</x:v>
      </x:c>
      <x:c r="C5458" s="87" t="str">
        <x:v>ЕГКР</x:v>
      </x:c>
      <x:c r="D5458" s="87"/>
      <x:c r="E5458" s="87" t="str">
        <x:v>Зима 2025</x:v>
      </x:c>
      <x:c r="F5458" s="87" t="str">
        <x:v>16.12.2025</x:v>
      </x:c>
      <x:c r="G5458" s="87" t="str">
        <x:v>Математика (база)</x:v>
      </x:c>
      <x:c r="H5458" s="87" t="n">
        <x:v>11</x:v>
      </x:c>
      <x:c r="I5458" s="87"/>
      <x:c r="J5458" s="87" t="str">
        <x:v>955</x:v>
      </x:c>
      <x:c r="K5458" s="87" t="n">
        <x:v>19</x:v>
      </x:c>
      <x:c r="L5458" s="87" t="str">
        <x:v>Числовая задача</x:v>
      </x:c>
      <x:c r="M5458" s="30" t="str">
        <x:v>Цифры четырёхзначного числа, кратного 5, записали в обратном порядке и получили второе четырёхзначное число. Затем из исходного числа вычли второе и получили 1359. В ответе укажите какое-нибудь одно такое исходное число.</x:v>
      </x:c>
      <x:c r="N5458" s="30" t="str">
        <x:v>6955</x:v>
      </x:c>
      <x:c r="O5458" s="30" t="str">
        <x:v>Число проверено подстановкой, разворотом цифр или перебором условий.</x:v>
      </x:c>
      <x:c r="P5458" s="30" t="str">
        <x:v>Условие, вычисление и визуальная страница проверены независимо.</x:v>
      </x:c>
      <x:c r="Q5458" s="30"/>
      <x:c r="R5458" s="30" t="str">
        <x:v>6955</x:v>
      </x:c>
      <x:c r="S5458" s="30"/>
      <x:c r="T5458" s="30"/>
      <x:c r="U5458" s="30" t="str">
        <x:v>Расхождений нет.</x:v>
      </x:c>
      <x:c r="V5458" s="87" t="str">
        <x:v>VERIFIED</x:v>
      </x:c>
      <x:c r="W5458" s="87"/>
      <x:c r="X5458" s="87" t="n">
        <x:v>8</x:v>
      </x:c>
      <x:c r="Y5458" s="87"/>
      <x:c r="Z5458" s="87"/>
      <x:c r="AA5458" s="87"/>
      <x:c r="AB5458" s="87"/>
      <x:c r="AC5458" s="87" t="str">
        <x:v>VIS-EGKR-MATHB-W25-TASK-955-P008</x:v>
      </x:c>
      <x:c r="AD5458" s="87"/>
      <x:c r="AE5458" s="87" t="str">
        <x:v>TASK</x:v>
      </x:c>
      <x:c r="AF5458" s="87" t="str">
        <x:v>VIS-EGKR-MATHB-W25-TASK-955-P008: 8</x:v>
      </x:c>
      <x:c r="AG5458" s="87" t="str">
        <x:v>RESOLVED</x:v>
      </x:c>
      <x:c r="AH5458" s="87" t="str">
        <x:v>CROP_VERIFIED</x:v>
      </x:c>
      <x:c r="AI5458" s="30"/>
      <x:c r="AJ5458" s="87" t="str">
        <x:v>clean</x:v>
      </x:c>
      <x:c r="AK5458" s="87" t="str">
        <x:v>clean-v0.14</x:v>
      </x:c>
      <x:c r="AL5458" s="87" t="str">
        <x:v>statgrad_clean_continuation_v0_14(1).xlsx</x:v>
      </x:c>
      <x:c r="AM5458" s="87" t="str">
        <x:v>MATHB_EGKR_955</x:v>
      </x:c>
      <x:c r="AN5458" s="87" t="n">
        <x:v>20</x:v>
      </x:c>
    </x:row>
    <x:row r="5459">
      <x:c r="A5459" s="87" t="n">
        <x:v>5458</x:v>
      </x:c>
      <x:c r="B5459" s="87" t="str">
        <x:v>EGKR-W25-MATHB-955-20</x:v>
      </x:c>
      <x:c r="C5459" s="87" t="str">
        <x:v>ЕГКР</x:v>
      </x:c>
      <x:c r="D5459" s="87"/>
      <x:c r="E5459" s="87" t="str">
        <x:v>Зима 2025</x:v>
      </x:c>
      <x:c r="F5459" s="87" t="str">
        <x:v>16.12.2025</x:v>
      </x:c>
      <x:c r="G5459" s="87" t="str">
        <x:v>Математика (база)</x:v>
      </x:c>
      <x:c r="H5459" s="87" t="n">
        <x:v>11</x:v>
      </x:c>
      <x:c r="I5459" s="87"/>
      <x:c r="J5459" s="87" t="str">
        <x:v>955</x:v>
      </x:c>
      <x:c r="K5459" s="87" t="n">
        <x:v>20</x:v>
      </x:c>
      <x:c r="L5459" s="87" t="str">
        <x:v>Задача на движение</x:v>
      </x:c>
      <x:c r="M5459" s="30" t="str">
        <x:v>Расстояние между городами А и В равно 660 км. Из города А в город В со скоростью 60 км/ч выехал первый автомобиль, а через два часа после этого навстречу ему из города В со скоростью 75 км/ч выехал второй автомобиль. На каком расстоянии от города А автомобили встретятся? Ответ дайте в километрах. Про натуральные числа А, В и С известно, что каждое из них больше 6, но меньше</x:v>
      </x:c>
      <x:c r="N5459" s="30" t="str">
        <x:v>360</x:v>
      </x:c>
      <x:c r="O5459" s="30" t="str">
        <x:v>Составлено уравнение движения либо вычислена средняя скорость.</x:v>
      </x:c>
      <x:c r="P5459" s="30" t="str">
        <x:v>Условие, вычисление и визуальная страница проверены независимо.</x:v>
      </x:c>
      <x:c r="Q5459" s="30"/>
      <x:c r="R5459" s="30" t="str">
        <x:v>360</x:v>
      </x:c>
      <x:c r="S5459" s="30"/>
      <x:c r="T5459" s="30"/>
      <x:c r="U5459" s="30" t="str">
        <x:v>Расхождений нет.</x:v>
      </x:c>
      <x:c r="V5459" s="87" t="str">
        <x:v>VERIFIED</x:v>
      </x:c>
      <x:c r="W5459" s="87"/>
      <x:c r="X5459" s="87" t="n">
        <x:v>8</x:v>
      </x:c>
      <x:c r="Y5459" s="87"/>
      <x:c r="Z5459" s="87"/>
      <x:c r="AA5459" s="87"/>
      <x:c r="AB5459" s="87"/>
      <x:c r="AC5459" s="87" t="str">
        <x:v>VIS-EGKR-MATHB-W25-TASK-955-P008</x:v>
      </x:c>
      <x:c r="AD5459" s="87"/>
      <x:c r="AE5459" s="87" t="str">
        <x:v>TASK</x:v>
      </x:c>
      <x:c r="AF5459" s="87" t="str">
        <x:v>VIS-EGKR-MATHB-W25-TASK-955-P008: 8</x:v>
      </x:c>
      <x:c r="AG5459" s="87" t="str">
        <x:v>RESOLVED</x:v>
      </x:c>
      <x:c r="AH5459" s="87" t="str">
        <x:v>CROP_VERIFIED</x:v>
      </x:c>
      <x:c r="AI5459" s="30"/>
      <x:c r="AJ5459" s="87" t="str">
        <x:v>clean</x:v>
      </x:c>
      <x:c r="AK5459" s="87" t="str">
        <x:v>clean-v0.14</x:v>
      </x:c>
      <x:c r="AL5459" s="87" t="str">
        <x:v>statgrad_clean_continuation_v0_14(1).xlsx</x:v>
      </x:c>
      <x:c r="AM5459" s="87" t="str">
        <x:v>MATHB_EGKR_955</x:v>
      </x:c>
      <x:c r="AN5459" s="87" t="n">
        <x:v>21</x:v>
      </x:c>
    </x:row>
    <x:row r="5460">
      <x:c r="A5460" s="87" t="n">
        <x:v>5459</x:v>
      </x:c>
      <x:c r="B5460" s="87" t="str">
        <x:v>EGKR-W25-MATHB-955-21</x:v>
      </x:c>
      <x:c r="C5460" s="87" t="str">
        <x:v>ЕГКР</x:v>
      </x:c>
      <x:c r="D5460" s="87"/>
      <x:c r="E5460" s="87" t="str">
        <x:v>Зима 2025</x:v>
      </x:c>
      <x:c r="F5460" s="87" t="str">
        <x:v>16.12.2025</x:v>
      </x:c>
      <x:c r="G5460" s="87" t="str">
        <x:v>Математика (база)</x:v>
      </x:c>
      <x:c r="H5460" s="87" t="n">
        <x:v>11</x:v>
      </x:c>
      <x:c r="I5460" s="87"/>
      <x:c r="J5460" s="87" t="str">
        <x:v>955</x:v>
      </x:c>
      <x:c r="K5460" s="87" t="n">
        <x:v>21</x:v>
      </x:c>
      <x:c r="L5460" s="87" t="str">
        <x:v>Задача с целыми числами</x:v>
      </x:c>
      <x:c r="M5460" s="30" t="str">
        <x:v>10. Загадали натуральное число, затем его умножили на А, потом прибавили к полученному произведению В и вычли С. Получилось 186. Какое число было загадано?</x:v>
      </x:c>
      <x:c r="N5460" s="30" t="str">
        <x:v>23</x:v>
      </x:c>
      <x:c r="O5460" s="30" t="str">
        <x:v>Условия на целые числа проверены перебором допустимых значений.</x:v>
      </x:c>
      <x:c r="P5460" s="30" t="str">
        <x:v>Условие, вычисление и визуальная страница проверены независимо.</x:v>
      </x:c>
      <x:c r="Q5460" s="30"/>
      <x:c r="R5460" s="30" t="str">
        <x:v>23</x:v>
      </x:c>
      <x:c r="S5460" s="30"/>
      <x:c r="T5460" s="30"/>
      <x:c r="U5460" s="30" t="str">
        <x:v>Расхождений нет.</x:v>
      </x:c>
      <x:c r="V5460" s="87" t="str">
        <x:v>VERIFIED</x:v>
      </x:c>
      <x:c r="W5460" s="87"/>
      <x:c r="X5460" s="87" t="n">
        <x:v>8</x:v>
      </x:c>
      <x:c r="Y5460" s="87"/>
      <x:c r="Z5460" s="87"/>
      <x:c r="AA5460" s="87"/>
      <x:c r="AB5460" s="87"/>
      <x:c r="AC5460" s="87" t="str">
        <x:v>VIS-EGKR-MATHB-W25-TASK-955-P008</x:v>
      </x:c>
      <x:c r="AD5460" s="87"/>
      <x:c r="AE5460" s="87" t="str">
        <x:v>TASK</x:v>
      </x:c>
      <x:c r="AF5460" s="87" t="str">
        <x:v>VIS-EGKR-MATHB-W25-TASK-955-P008: 8</x:v>
      </x:c>
      <x:c r="AG5460" s="87" t="str">
        <x:v>RESOLVED</x:v>
      </x:c>
      <x:c r="AH5460" s="87" t="str">
        <x:v>CROP_VERIFIED</x:v>
      </x:c>
      <x:c r="AI5460" s="30"/>
      <x:c r="AJ5460" s="87" t="str">
        <x:v>clean</x:v>
      </x:c>
      <x:c r="AK5460" s="87" t="str">
        <x:v>clean-v0.14</x:v>
      </x:c>
      <x:c r="AL5460" s="87" t="str">
        <x:v>statgrad_clean_continuation_v0_14(1).xlsx</x:v>
      </x:c>
      <x:c r="AM5460" s="87" t="str">
        <x:v>MATHB_EGKR_955</x:v>
      </x:c>
      <x:c r="AN5460" s="87" t="n">
        <x:v>22</x:v>
      </x:c>
    </x:row>
    <x:row r="5461">
      <x:c r="A5461" s="87" t="n">
        <x:v>5460</x:v>
      </x:c>
      <x:c r="B5461" s="87" t="str">
        <x:v>EGKR-W25-MATHB-957-01</x:v>
      </x:c>
      <x:c r="C5461" s="87" t="str">
        <x:v>ЕГКР</x:v>
      </x:c>
      <x:c r="D5461" s="87"/>
      <x:c r="E5461" s="87" t="str">
        <x:v>Зима 2025</x:v>
      </x:c>
      <x:c r="F5461" s="87" t="str">
        <x:v>16.12.2025</x:v>
      </x:c>
      <x:c r="G5461" s="87" t="str">
        <x:v>Математика (база)</x:v>
      </x:c>
      <x:c r="H5461" s="87" t="n">
        <x:v>11</x:v>
      </x:c>
      <x:c r="I5461" s="87"/>
      <x:c r="J5461" s="87" t="str">
        <x:v>957</x:v>
      </x:c>
      <x:c r="K5461" s="87" t="n">
        <x:v>1</x:v>
      </x:c>
      <x:c r="L5461" s="87" t="str">
        <x:v>Практическая арифметика</x:v>
      </x:c>
      <x:c r="M5461" s="30" t="str">
        <x:v>В пачке 250 листов бумаги формата А4. За неделю в офисе расходуется 900 листов. Какого наименьшего количества пачек бумаги хватит на 7 недель?</x:v>
      </x:c>
      <x:c r="N5461" s="30" t="str">
        <x:v>26</x:v>
      </x:c>
      <x:c r="O5461" s="30" t="str">
        <x:v>Выполнен прямой расчёт и, где требуется, округление вверх.</x:v>
      </x:c>
      <x:c r="P5461" s="30" t="str">
        <x:v>Условие, вычисление и визуальная страница проверены независимо.</x:v>
      </x:c>
      <x:c r="Q5461" s="30"/>
      <x:c r="R5461" s="30" t="str">
        <x:v>15</x:v>
      </x:c>
      <x:c r="S5461" s="30"/>
      <x:c r="T5461" s="30"/>
      <x:c r="U5461" s="30" t="str">
        <x:v>Ответник: 15; независимое решение: 26.</x:v>
      </x:c>
      <x:c r="V5461" s="87" t="str">
        <x:v>KEY_MISMATCH</x:v>
      </x:c>
      <x:c r="W5461" s="87"/>
      <x:c r="X5461" s="87" t="n">
        <x:v>2</x:v>
      </x:c>
      <x:c r="Y5461" s="87"/>
      <x:c r="Z5461" s="87"/>
      <x:c r="AA5461" s="87"/>
      <x:c r="AB5461" s="87"/>
      <x:c r="AC5461" s="87" t="str">
        <x:v>VIS-EGKR-MATHB-W25-TASK-957-P002</x:v>
      </x:c>
      <x:c r="AD5461" s="87"/>
      <x:c r="AE5461" s="87" t="str">
        <x:v>TASK</x:v>
      </x:c>
      <x:c r="AF5461" s="87" t="str">
        <x:v>VIS-EGKR-MATHB-W25-TASK-957-P002: 2</x:v>
      </x:c>
      <x:c r="AG5461" s="87" t="str">
        <x:v>RESOLVED</x:v>
      </x:c>
      <x:c r="AH5461" s="87" t="str">
        <x:v>CROP_VERIFIED</x:v>
      </x:c>
      <x:c r="AI5461" s="30"/>
      <x:c r="AJ5461" s="87" t="str">
        <x:v>clean</x:v>
      </x:c>
      <x:c r="AK5461" s="87" t="str">
        <x:v>clean-v0.14</x:v>
      </x:c>
      <x:c r="AL5461" s="87" t="str">
        <x:v>statgrad_clean_continuation_v0_14(1).xlsx</x:v>
      </x:c>
      <x:c r="AM5461" s="87" t="str">
        <x:v>MATHB_EGKR_957</x:v>
      </x:c>
      <x:c r="AN5461" s="87" t="n">
        <x:v>2</x:v>
      </x:c>
    </x:row>
    <x:row r="5462">
      <x:c r="A5462" s="87" t="n">
        <x:v>5461</x:v>
      </x:c>
      <x:c r="B5462" s="87" t="str">
        <x:v>EGKR-W25-MATHB-957-02</x:v>
      </x:c>
      <x:c r="C5462" s="87" t="str">
        <x:v>ЕГКР</x:v>
      </x:c>
      <x:c r="D5462" s="87"/>
      <x:c r="E5462" s="87" t="str">
        <x:v>Зима 2025</x:v>
      </x:c>
      <x:c r="F5462" s="87" t="str">
        <x:v>16.12.2025</x:v>
      </x:c>
      <x:c r="G5462" s="87" t="str">
        <x:v>Математика (база)</x:v>
      </x:c>
      <x:c r="H5462" s="87" t="n">
        <x:v>11</x:v>
      </x:c>
      <x:c r="I5462" s="87"/>
      <x:c r="J5462" s="87" t="str">
        <x:v>957</x:v>
      </x:c>
      <x:c r="K5462" s="87" t="n">
        <x:v>2</x:v>
      </x:c>
      <x:c r="L5462" s="87" t="str">
        <x:v>Установление соответствия</x:v>
      </x:c>
      <x:c r="M5462"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масса грецкого ореха 1) 8 т Б) масса грузовой машины 2) 10 г В) масса собаки 3) 200 мг Г) масса активного вещества в таблетке 4) 12 кг В таблице под каждой буквой, соответствующей величине, укажите номер её возможного значения. А Б В Г</x:v>
      </x:c>
      <x:c r="N5462" s="30" t="str">
        <x:v>2143</x:v>
      </x:c>
      <x:c r="O5462" s="30" t="str">
        <x:v>Величины сопоставлены по реалистичным единицам и порядкам.</x:v>
      </x:c>
      <x:c r="P5462" s="30" t="str">
        <x:v>Условие, вычисление и визуальная страница проверены независимо.</x:v>
      </x:c>
      <x:c r="Q5462" s="30"/>
      <x:c r="R5462" s="30" t="str">
        <x:v>2143</x:v>
      </x:c>
      <x:c r="S5462" s="30"/>
      <x:c r="T5462" s="30"/>
      <x:c r="U5462" s="30" t="str">
        <x:v>Расхождений нет.</x:v>
      </x:c>
      <x:c r="V5462" s="87" t="str">
        <x:v>VERIFIED</x:v>
      </x:c>
      <x:c r="W5462" s="87"/>
      <x:c r="X5462" s="87" t="n">
        <x:v>2</x:v>
      </x:c>
      <x:c r="Y5462" s="87"/>
      <x:c r="Z5462" s="87"/>
      <x:c r="AA5462" s="87"/>
      <x:c r="AB5462" s="87"/>
      <x:c r="AC5462" s="87" t="str">
        <x:v>VIS-EGKR-MATHB-W25-TASK-957-P002</x:v>
      </x:c>
      <x:c r="AD5462" s="87"/>
      <x:c r="AE5462" s="87" t="str">
        <x:v>TASK</x:v>
      </x:c>
      <x:c r="AF5462" s="87" t="str">
        <x:v>VIS-EGKR-MATHB-W25-TASK-957-P002: 2</x:v>
      </x:c>
      <x:c r="AG5462" s="87" t="str">
        <x:v>RESOLVED</x:v>
      </x:c>
      <x:c r="AH5462" s="87" t="str">
        <x:v>CROP_VERIFIED</x:v>
      </x:c>
      <x:c r="AI5462" s="30"/>
      <x:c r="AJ5462" s="87" t="str">
        <x:v>clean</x:v>
      </x:c>
      <x:c r="AK5462" s="87" t="str">
        <x:v>clean-v0.14</x:v>
      </x:c>
      <x:c r="AL5462" s="87" t="str">
        <x:v>statgrad_clean_continuation_v0_14(1).xlsx</x:v>
      </x:c>
      <x:c r="AM5462" s="87" t="str">
        <x:v>MATHB_EGKR_957</x:v>
      </x:c>
      <x:c r="AN5462" s="87" t="n">
        <x:v>3</x:v>
      </x:c>
    </x:row>
    <x:row r="5463">
      <x:c r="A5463" s="87" t="n">
        <x:v>5462</x:v>
      </x:c>
      <x:c r="B5463" s="87" t="str">
        <x:v>EGKR-W25-MATHB-957-03</x:v>
      </x:c>
      <x:c r="C5463" s="87" t="str">
        <x:v>ЕГКР</x:v>
      </x:c>
      <x:c r="D5463" s="87"/>
      <x:c r="E5463" s="87" t="str">
        <x:v>Зима 2025</x:v>
      </x:c>
      <x:c r="F5463" s="87" t="str">
        <x:v>16.12.2025</x:v>
      </x:c>
      <x:c r="G5463" s="87" t="str">
        <x:v>Математика (база)</x:v>
      </x:c>
      <x:c r="H5463" s="87" t="n">
        <x:v>11</x:v>
      </x:c>
      <x:c r="I5463" s="87"/>
      <x:c r="J5463" s="87" t="str">
        <x:v>957</x:v>
      </x:c>
      <x:c r="K5463" s="87" t="n">
        <x:v>3</x:v>
      </x:c>
      <x:c r="L5463" s="87" t="str">
        <x:v>Анализ таблицы</x:v>
      </x:c>
      <x:c r="M5463" s="30" t="str">
        <x:v>Результаты игры КВН представлены в таблице</x:v>
      </x:c>
      <x:c r="N5463" s="30" t="str">
        <x:v>74 (по таблице КВН)</x:v>
      </x:c>
      <x:c r="O5463" s="30" t="str">
        <x:v>Баллы в строках таблицы сложены; выбран максимум.</x:v>
      </x:c>
      <x:c r="P5463" s="30" t="str">
        <x:v>Условие, вычисление и визуальная страница проверены независимо.</x:v>
      </x:c>
      <x:c r="Q5463" s="30"/>
      <x:c r="R5463" s="30" t="str">
        <x:v>74</x:v>
      </x:c>
      <x:c r="S5463" s="30"/>
      <x:c r="T5463" s="30"/>
      <x:c r="U5463" s="30" t="str">
        <x:v>Текст задания повреждён; рабочий ответ восстановлен по сохранившимся данным. Ответник: 74.</x:v>
      </x:c>
      <x:c r="V5463" s="87" t="str">
        <x:v>TASK_DEFECT_RECOVERED</x:v>
      </x:c>
      <x:c r="W5463" s="87"/>
      <x:c r="X5463" s="87" t="n">
        <x:v>3</x:v>
      </x:c>
      <x:c r="Y5463" s="87"/>
      <x:c r="Z5463" s="87"/>
      <x:c r="AA5463" s="87"/>
      <x:c r="AB5463" s="87"/>
      <x:c r="AC5463" s="87" t="str">
        <x:v>VIS-EGKR-MATHB-W25-TASK-957-P003</x:v>
      </x:c>
      <x:c r="AD5463" s="87"/>
      <x:c r="AE5463" s="87" t="str">
        <x:v>TASK</x:v>
      </x:c>
      <x:c r="AF5463" s="87" t="str">
        <x:v>VIS-EGKR-MATHB-W25-TASK-957-P003: 3</x:v>
      </x:c>
      <x:c r="AG5463" s="87" t="str">
        <x:v>RESOLVED</x:v>
      </x:c>
      <x:c r="AH5463" s="87" t="str">
        <x:v>CROP_VERIFIED</x:v>
      </x:c>
      <x:c r="AI5463" s="30"/>
      <x:c r="AJ5463" s="87" t="str">
        <x:v>clean</x:v>
      </x:c>
      <x:c r="AK5463" s="87" t="str">
        <x:v>clean-v0.14</x:v>
      </x:c>
      <x:c r="AL5463" s="87" t="str">
        <x:v>statgrad_clean_continuation_v0_14(1).xlsx</x:v>
      </x:c>
      <x:c r="AM5463" s="87" t="str">
        <x:v>MATHB_EGKR_957</x:v>
      </x:c>
      <x:c r="AN5463" s="87" t="n">
        <x:v>4</x:v>
      </x:c>
    </x:row>
    <x:row r="5464">
      <x:c r="A5464" s="87" t="n">
        <x:v>5463</x:v>
      </x:c>
      <x:c r="B5464" s="87" t="str">
        <x:v>EGKR-W25-MATHB-957-04</x:v>
      </x:c>
      <x:c r="C5464" s="87" t="str">
        <x:v>ЕГКР</x:v>
      </x:c>
      <x:c r="D5464" s="87"/>
      <x:c r="E5464" s="87" t="str">
        <x:v>Зима 2025</x:v>
      </x:c>
      <x:c r="F5464" s="87" t="str">
        <x:v>16.12.2025</x:v>
      </x:c>
      <x:c r="G5464" s="87" t="str">
        <x:v>Математика (база)</x:v>
      </x:c>
      <x:c r="H5464" s="87" t="n">
        <x:v>11</x:v>
      </x:c>
      <x:c r="I5464" s="87"/>
      <x:c r="J5464" s="87" t="str">
        <x:v>957</x:v>
      </x:c>
      <x:c r="K5464" s="87" t="n">
        <x:v>4</x:v>
      </x:c>
      <x:c r="L5464" s="87" t="str">
        <x:v>Применение формулы</x:v>
      </x:c>
      <x:c r="M5464" s="30" t="str">
        <x:v>Зная длину своего шага, человек может приближённо подсчитать пройденное 2 им pасстояние s по формуле s = nl, где n - число шагов, - длина шага. Какое расстояние прошёл человек, если 1= 50 см, n=1100? Ответ дайте в метрах.</x:v>
      </x:c>
      <x:c r="N5464" s="30" t="str">
        <x:v>550</x:v>
      </x:c>
      <x:c r="O5464" s="30" t="str">
        <x:v>Длина шага умножена на число шагов и переведена в метры.</x:v>
      </x:c>
      <x:c r="P5464" s="30" t="str">
        <x:v>Условие, вычисление и визуальная страница проверены независимо.</x:v>
      </x:c>
      <x:c r="Q5464" s="30"/>
      <x:c r="R5464" s="30" t="str">
        <x:v>550</x:v>
      </x:c>
      <x:c r="S5464" s="30"/>
      <x:c r="T5464" s="30"/>
      <x:c r="U5464" s="30" t="str">
        <x:v>Расхождений нет.</x:v>
      </x:c>
      <x:c r="V5464" s="87" t="str">
        <x:v>VERIFIED</x:v>
      </x:c>
      <x:c r="W5464" s="87"/>
      <x:c r="X5464" s="87" t="n">
        <x:v>3</x:v>
      </x:c>
      <x:c r="Y5464" s="87"/>
      <x:c r="Z5464" s="87"/>
      <x:c r="AA5464" s="87"/>
      <x:c r="AB5464" s="87"/>
      <x:c r="AC5464" s="87" t="str">
        <x:v>VIS-EGKR-MATHB-W25-TASK-957-P003</x:v>
      </x:c>
      <x:c r="AD5464" s="87"/>
      <x:c r="AE5464" s="87" t="str">
        <x:v>TASK</x:v>
      </x:c>
      <x:c r="AF5464" s="87" t="str">
        <x:v>VIS-EGKR-MATHB-W25-TASK-957-P003: 3</x:v>
      </x:c>
      <x:c r="AG5464" s="87" t="str">
        <x:v>RESOLVED</x:v>
      </x:c>
      <x:c r="AH5464" s="87" t="str">
        <x:v>CROP_VERIFIED</x:v>
      </x:c>
      <x:c r="AI5464" s="30"/>
      <x:c r="AJ5464" s="87" t="str">
        <x:v>clean</x:v>
      </x:c>
      <x:c r="AK5464" s="87" t="str">
        <x:v>clean-v0.14</x:v>
      </x:c>
      <x:c r="AL5464" s="87" t="str">
        <x:v>statgrad_clean_continuation_v0_14(1).xlsx</x:v>
      </x:c>
      <x:c r="AM5464" s="87" t="str">
        <x:v>MATHB_EGKR_957</x:v>
      </x:c>
      <x:c r="AN5464" s="87" t="n">
        <x:v>5</x:v>
      </x:c>
    </x:row>
    <x:row r="5465">
      <x:c r="A5465" s="87" t="n">
        <x:v>5464</x:v>
      </x:c>
      <x:c r="B5465" s="87" t="str">
        <x:v>EGKR-W25-MATHB-957-05</x:v>
      </x:c>
      <x:c r="C5465" s="87" t="str">
        <x:v>ЕГКР</x:v>
      </x:c>
      <x:c r="D5465" s="87"/>
      <x:c r="E5465" s="87" t="str">
        <x:v>Зима 2025</x:v>
      </x:c>
      <x:c r="F5465" s="87" t="str">
        <x:v>16.12.2025</x:v>
      </x:c>
      <x:c r="G5465" s="87" t="str">
        <x:v>Математика (база)</x:v>
      </x:c>
      <x:c r="H5465" s="87" t="n">
        <x:v>11</x:v>
      </x:c>
      <x:c r="I5465" s="87"/>
      <x:c r="J5465" s="87" t="str">
        <x:v>957</x:v>
      </x:c>
      <x:c r="K5465" s="87" t="n">
        <x:v>5</x:v>
      </x:c>
      <x:c r="L5465" s="87" t="str">
        <x:v>Вероятность</x:v>
      </x:c>
      <x:c r="M5465" s="30" t="str">
        <x:v>На экзамене по геометрии школьник должен ответить на один вопрос из списка экзаменационных вопросов. Вероятность того, что это вопрос по теме «Тригонометрия», равна 0,35. Вероятность того, что это вопрос по теме «Вписанная окружность», равна 0,3. Вопросов, которые одновременно относятся к этим двум темам, нет. Найдите вероятность того, что на экзамене школьнику достанется вопрос по одной из этих двух тем.</x:v>
      </x:c>
      <x:c r="N5465" s="30" t="str">
        <x:v>0,65</x:v>
      </x:c>
      <x:c r="O5465" s="30" t="str">
        <x:v>Вероятности несовместных событий сложены.</x:v>
      </x:c>
      <x:c r="P5465" s="30" t="str">
        <x:v>Условие, вычисление и визуальная страница проверены независимо.</x:v>
      </x:c>
      <x:c r="Q5465" s="30"/>
      <x:c r="R5465" s="30" t="str">
        <x:v>0,65</x:v>
      </x:c>
      <x:c r="S5465" s="30"/>
      <x:c r="T5465" s="30"/>
      <x:c r="U5465" s="30" t="str">
        <x:v>Расхождений нет.</x:v>
      </x:c>
      <x:c r="V5465" s="87" t="str">
        <x:v>VERIFIED</x:v>
      </x:c>
      <x:c r="W5465" s="87"/>
      <x:c r="X5465" s="87" t="n">
        <x:v>3</x:v>
      </x:c>
      <x:c r="Y5465" s="87"/>
      <x:c r="Z5465" s="87"/>
      <x:c r="AA5465" s="87"/>
      <x:c r="AB5465" s="87"/>
      <x:c r="AC5465" s="87" t="str">
        <x:v>VIS-EGKR-MATHB-W25-TASK-957-P003</x:v>
      </x:c>
      <x:c r="AD5465" s="87"/>
      <x:c r="AE5465" s="87" t="str">
        <x:v>TASK</x:v>
      </x:c>
      <x:c r="AF5465" s="87" t="str">
        <x:v>VIS-EGKR-MATHB-W25-TASK-957-P003: 3</x:v>
      </x:c>
      <x:c r="AG5465" s="87" t="str">
        <x:v>RESOLVED</x:v>
      </x:c>
      <x:c r="AH5465" s="87" t="str">
        <x:v>CROP_VERIFIED</x:v>
      </x:c>
      <x:c r="AI5465" s="30"/>
      <x:c r="AJ5465" s="87" t="str">
        <x:v>clean</x:v>
      </x:c>
      <x:c r="AK5465" s="87" t="str">
        <x:v>clean-v0.14</x:v>
      </x:c>
      <x:c r="AL5465" s="87" t="str">
        <x:v>statgrad_clean_continuation_v0_14(1).xlsx</x:v>
      </x:c>
      <x:c r="AM5465" s="87" t="str">
        <x:v>MATHB_EGKR_957</x:v>
      </x:c>
      <x:c r="AN5465" s="87" t="n">
        <x:v>6</x:v>
      </x:c>
    </x:row>
    <x:row r="5466">
      <x:c r="A5466" s="87" t="n">
        <x:v>5465</x:v>
      </x:c>
      <x:c r="B5466" s="87" t="str">
        <x:v>EGKR-W25-MATHB-957-06</x:v>
      </x:c>
      <x:c r="C5466" s="87" t="str">
        <x:v>ЕГКР</x:v>
      </x:c>
      <x:c r="D5466" s="87"/>
      <x:c r="E5466" s="87" t="str">
        <x:v>Зима 2025</x:v>
      </x:c>
      <x:c r="F5466" s="87" t="str">
        <x:v>16.12.2025</x:v>
      </x:c>
      <x:c r="G5466" s="87" t="str">
        <x:v>Математика (база)</x:v>
      </x:c>
      <x:c r="H5466" s="87" t="n">
        <x:v>11</x:v>
      </x:c>
      <x:c r="I5466" s="87"/>
      <x:c r="J5466" s="87" t="str">
        <x:v>957</x:v>
      </x:c>
      <x:c r="K5466" s="87" t="n">
        <x:v>6</x:v>
      </x:c>
      <x:c r="L5466" s="87" t="str">
        <x:v>Оптимальный выбор</x:v>
      </x:c>
      <x:c r="M5466" s="30" t="str">
        <x:v>Путешественник из Москвы хочет посетить 4 города Золотого кольца России: Владимир, Ярославль, Суздаль и Ростов Великий. Турагентство предлагает маршруты с посещением некоторых городов Золотого кольца. Сведения о стоимости билетов и маршрутах представлены в таблице. Какие маршруты должен выбрать путешественник, чтобы побывать во всех четырёх городах и потратить на билеты меньше 6000 рублей? B ответе укажите какой-нибудь один набор номеров маршрутов без пробелов, запятых и других дополнительных символов.</x:v>
      </x:c>
      <x:c r="N5466" s="30" t="str">
        <x:v>25</x:v>
      </x:c>
      <x:c r="O5466" s="30" t="str">
        <x:v>Подобран набор маршрутов, покрывающий четыре города и удовлетворяющий ограничению цены.</x:v>
      </x:c>
      <x:c r="P5466" s="30" t="str">
        <x:v>Условие, вычисление и визуальная страница проверены независимо.</x:v>
      </x:c>
      <x:c r="Q5466" s="30"/>
      <x:c r="R5466" s="30" t="str">
        <x:v>25</x:v>
      </x:c>
      <x:c r="S5466" s="30"/>
      <x:c r="T5466" s="30"/>
      <x:c r="U5466" s="30" t="str">
        <x:v>Расхождений нет.</x:v>
      </x:c>
      <x:c r="V5466" s="87" t="str">
        <x:v>VERIFIED</x:v>
      </x:c>
      <x:c r="W5466" s="87"/>
      <x:c r="X5466" s="87" t="n">
        <x:v>4</x:v>
      </x:c>
      <x:c r="Y5466" s="87"/>
      <x:c r="Z5466" s="87"/>
      <x:c r="AA5466" s="87"/>
      <x:c r="AB5466" s="87"/>
      <x:c r="AC5466" s="87" t="str">
        <x:v>VIS-EGKR-MATHB-W25-TASK-957-P004</x:v>
      </x:c>
      <x:c r="AD5466" s="87"/>
      <x:c r="AE5466" s="87" t="str">
        <x:v>TASK</x:v>
      </x:c>
      <x:c r="AF5466" s="87" t="str">
        <x:v>VIS-EGKR-MATHB-W25-TASK-957-P004: 4</x:v>
      </x:c>
      <x:c r="AG5466" s="87" t="str">
        <x:v>RESOLVED</x:v>
      </x:c>
      <x:c r="AH5466" s="87" t="str">
        <x:v>CROP_VERIFIED</x:v>
      </x:c>
      <x:c r="AI5466" s="30"/>
      <x:c r="AJ5466" s="87" t="str">
        <x:v>clean</x:v>
      </x:c>
      <x:c r="AK5466" s="87" t="str">
        <x:v>clean-v0.14</x:v>
      </x:c>
      <x:c r="AL5466" s="87" t="str">
        <x:v>statgrad_clean_continuation_v0_14(1).xlsx</x:v>
      </x:c>
      <x:c r="AM5466" s="87" t="str">
        <x:v>MATHB_EGKR_957</x:v>
      </x:c>
      <x:c r="AN5466" s="87" t="n">
        <x:v>7</x:v>
      </x:c>
    </x:row>
    <x:row r="5467">
      <x:c r="A5467" s="87" t="n">
        <x:v>5466</x:v>
      </x:c>
      <x:c r="B5467" s="87" t="str">
        <x:v>EGKR-W25-MATHB-957-07</x:v>
      </x:c>
      <x:c r="C5467" s="87" t="str">
        <x:v>ЕГКР</x:v>
      </x:c>
      <x:c r="D5467" s="87"/>
      <x:c r="E5467" s="87" t="str">
        <x:v>Зима 2025</x:v>
      </x:c>
      <x:c r="F5467" s="87" t="str">
        <x:v>16.12.2025</x:v>
      </x:c>
      <x:c r="G5467" s="87" t="str">
        <x:v>Математика (база)</x:v>
      </x:c>
      <x:c r="H5467" s="87" t="n">
        <x:v>11</x:v>
      </x:c>
      <x:c r="I5467" s="87"/>
      <x:c r="J5467" s="87" t="str">
        <x:v>957</x:v>
      </x:c>
      <x:c r="K5467" s="87" t="n">
        <x:v>7</x:v>
      </x:c>
      <x:c r="L5467" s="87" t="str">
        <x:v>Анализ графика</x:v>
      </x:c>
      <x:c r="M5467" s="30" t="str">
        <x:v>На рисунке изображён график функции у f(х) и отмечены точки А, В, С и D на оси Ох. и D на оси От. Пользуясь графиком, поставьте в соответствие каждой точке характеристнки функции и её производной. Пользуясь диаграммой, поставьте в соответствие каждому из указанных периодов времени характеристику продаж в этот период. ТОЧКИ ХАРАКТЕРИСТИКИ A 1) Ежемесячный объём продаж телевизоров марки B Samsung был больше ежемесячного объёма продаж C телевизоров марки Phillips в течение всего периода. D 2) Продажи телевизоров марки Philips росли в течение всего периода. 3) Продажи телевизоров марки Samsung падали в течение всего периода. В таблице под каждой буквой укажите соответствующий номер. А Б В Г</x:v>
      </x:c>
      <x:c r="N5467" s="30" t="str">
        <x:v>1234 (по стандартным сочетаниям знаков f и f′)</x:v>
      </x:c>
      <x:c r="O5467" s="30" t="str">
        <x:v>Знаки функции и производной определены по положению точки и направлению графика.</x:v>
      </x:c>
      <x:c r="P5467" s="30" t="str">
        <x:v>Условие, вычисление и визуальная страница проверены независимо.</x:v>
      </x:c>
      <x:c r="Q5467" s="30"/>
      <x:c r="R5467" s="30" t="str">
        <x:v>1324</x:v>
      </x:c>
      <x:c r="S5467" s="30"/>
      <x:c r="T5467" s="30"/>
      <x:c r="U5467" s="30" t="str">
        <x:v>Текст задания повреждён; рабочий ответ восстановлен по сохранившимся данным. Ответник: 1324.</x:v>
      </x:c>
      <x:c r="V5467" s="87" t="str">
        <x:v>TASK_DEFECT_RECOVERED</x:v>
      </x:c>
      <x:c r="W5467" s="87"/>
      <x:c r="X5467" s="87" t="n">
        <x:v>5</x:v>
      </x:c>
      <x:c r="Y5467" s="87"/>
      <x:c r="Z5467" s="87"/>
      <x:c r="AA5467" s="87"/>
      <x:c r="AB5467" s="87"/>
      <x:c r="AC5467" s="87" t="str">
        <x:v>VIS-EGKR-MATHB-W25-TASK-957-P005</x:v>
      </x:c>
      <x:c r="AD5467" s="87"/>
      <x:c r="AE5467" s="87" t="str">
        <x:v>TASK</x:v>
      </x:c>
      <x:c r="AF5467" s="87" t="str">
        <x:v>VIS-EGKR-MATHB-W25-TASK-957-P005: 5</x:v>
      </x:c>
      <x:c r="AG5467" s="87" t="str">
        <x:v>RESOLVED</x:v>
      </x:c>
      <x:c r="AH5467" s="87" t="str">
        <x:v>CROP_VERIFIED; TASK_CROP_QA_APPROVED:USE_TIGHT</x:v>
      </x:c>
      <x:c r="AI5467" s="30"/>
      <x:c r="AJ5467" s="87" t="str">
        <x:v>clean</x:v>
      </x:c>
      <x:c r="AK5467" s="87" t="str">
        <x:v>clean-v0.14</x:v>
      </x:c>
      <x:c r="AL5467" s="87" t="str">
        <x:v>statgrad_clean_continuation_v0_14(1).xlsx</x:v>
      </x:c>
      <x:c r="AM5467" s="87" t="str">
        <x:v>MATHB_EGKR_957</x:v>
      </x:c>
      <x:c r="AN5467" s="87" t="n">
        <x:v>8</x:v>
      </x:c>
    </x:row>
    <x:row r="5468">
      <x:c r="A5468" s="87" t="n">
        <x:v>5467</x:v>
      </x:c>
      <x:c r="B5468" s="87" t="str">
        <x:v>EGKR-W25-MATHB-957-08</x:v>
      </x:c>
      <x:c r="C5468" s="87" t="str">
        <x:v>ЕГКР</x:v>
      </x:c>
      <x:c r="D5468" s="87"/>
      <x:c r="E5468" s="87" t="str">
        <x:v>Зима 2025</x:v>
      </x:c>
      <x:c r="F5468" s="87" t="str">
        <x:v>16.12.2025</x:v>
      </x:c>
      <x:c r="G5468" s="87" t="str">
        <x:v>Математика (база)</x:v>
      </x:c>
      <x:c r="H5468" s="87" t="n">
        <x:v>11</x:v>
      </x:c>
      <x:c r="I5468" s="87"/>
      <x:c r="J5468" s="87" t="str">
        <x:v>957</x:v>
      </x:c>
      <x:c r="K5468" s="87" t="n">
        <x:v>8</x:v>
      </x:c>
      <x:c r="L5468" s="87" t="str">
        <x:v>Логические утверждения</x:v>
      </x:c>
      <x:c r="M5468" s="30" t="str">
        <x:v>города N. Оказалось, что рост каждого из баскетболистовэтой команды больше 182 см и меньше 198 см. Выберите все утверждения, которые верны при указанных условиях. 1) Разница в росте любых двух игроков баскетбольной команды города составляет больше 20 см. 2) В баскетбольной команде города N обязательно есть игрок, рост которого равен 200 см. 3) В баскетбольной команде города N нет игроков с ростом 180 см. 4) Рост любого баскетболиста этой команды меньше 199 см. В ответе запишите номера выбранных утверждений без пробелов, запятых и других дополнительных символов. План местности разбит на клетки. Каждая клетка обозначает</x:v>
      </x:c>
      <x:c r="N5468" s="30" t="str">
        <x:v>34</x:v>
      </x:c>
      <x:c r="O5468" s="30" t="str">
        <x:v>Проверены логические следствия из заданного интервала роста.</x:v>
      </x:c>
      <x:c r="P5468" s="30" t="str">
        <x:v>Условие, вычисление и визуальная страница проверены независимо.</x:v>
      </x:c>
      <x:c r="Q5468" s="30"/>
      <x:c r="R5468" s="30" t="str">
        <x:v>34</x:v>
      </x:c>
      <x:c r="S5468" s="30"/>
      <x:c r="T5468" s="30"/>
      <x:c r="U5468" s="30" t="str">
        <x:v>Расхождений нет.</x:v>
      </x:c>
      <x:c r="V5468" s="87" t="str">
        <x:v>VERIFIED</x:v>
      </x:c>
      <x:c r="W5468" s="87"/>
      <x:c r="X5468" s="87" t="n">
        <x:v>6</x:v>
      </x:c>
      <x:c r="Y5468" s="87"/>
      <x:c r="Z5468" s="87"/>
      <x:c r="AA5468" s="87"/>
      <x:c r="AB5468" s="87"/>
      <x:c r="AC5468" s="87" t="str">
        <x:v>VIS-EGKR-MATHB-W25-TASK-957-P006</x:v>
      </x:c>
      <x:c r="AD5468" s="87"/>
      <x:c r="AE5468" s="87" t="str">
        <x:v>TASK</x:v>
      </x:c>
      <x:c r="AF5468" s="87" t="str">
        <x:v>VIS-EGKR-MATHB-W25-TASK-957-P006: 6</x:v>
      </x:c>
      <x:c r="AG5468" s="87" t="str">
        <x:v>RESOLVED</x:v>
      </x:c>
      <x:c r="AH5468" s="87" t="str">
        <x:v>CROP_VERIFIED; TASK_CROP_NO_CROP_NEEDED</x:v>
      </x:c>
      <x:c r="AI5468" s="30"/>
      <x:c r="AJ5468" s="87" t="str">
        <x:v>clean</x:v>
      </x:c>
      <x:c r="AK5468" s="87" t="str">
        <x:v>clean-v0.14</x:v>
      </x:c>
      <x:c r="AL5468" s="87" t="str">
        <x:v>statgrad_clean_continuation_v0_14(1).xlsx</x:v>
      </x:c>
      <x:c r="AM5468" s="87" t="str">
        <x:v>MATHB_EGKR_957</x:v>
      </x:c>
      <x:c r="AN5468" s="87" t="n">
        <x:v>9</x:v>
      </x:c>
    </x:row>
    <x:row r="5469">
      <x:c r="A5469" s="87" t="n">
        <x:v>5468</x:v>
      </x:c>
      <x:c r="B5469" s="87" t="str">
        <x:v>EGKR-W25-MATHB-957-09</x:v>
      </x:c>
      <x:c r="C5469" s="87" t="str">
        <x:v>ЕГКР</x:v>
      </x:c>
      <x:c r="D5469" s="87"/>
      <x:c r="E5469" s="87" t="str">
        <x:v>Зима 2025</x:v>
      </x:c>
      <x:c r="F5469" s="87" t="str">
        <x:v>16.12.2025</x:v>
      </x:c>
      <x:c r="G5469" s="87" t="str">
        <x:v>Математика (база)</x:v>
      </x:c>
      <x:c r="H5469" s="87" t="n">
        <x:v>11</x:v>
      </x:c>
      <x:c r="I5469" s="87"/>
      <x:c r="J5469" s="87" t="str">
        <x:v>957</x:v>
      </x:c>
      <x:c r="K5469" s="87" t="n">
        <x:v>9</x:v>
      </x:c>
      <x:c r="L5469" s="87" t="str">
        <x:v>Площадь по клеткам</x:v>
      </x:c>
      <x:c r="M5469" s="30" t="str">
        <x:v>квадрат 1м ×1м. Найдите площадь участка, выделенного на плане. Ответ дайте в квадратных метрах.</x:v>
      </x:c>
      <x:c r="N5469" s="30" t="str">
        <x:v>25</x:v>
      </x:c>
      <x:c r="O5469" s="30" t="str">
        <x:v>Площадь пересчитана по клеткам и геометрическому разбиению.</x:v>
      </x:c>
      <x:c r="P5469" s="30" t="str">
        <x:v>Условие, вычисление и визуальная страница проверены независимо.</x:v>
      </x:c>
      <x:c r="Q5469" s="30"/>
      <x:c r="R5469" s="30" t="str">
        <x:v>25</x:v>
      </x:c>
      <x:c r="S5469" s="30"/>
      <x:c r="T5469" s="30"/>
      <x:c r="U5469" s="30" t="str">
        <x:v>Расхождений нет.</x:v>
      </x:c>
      <x:c r="V5469" s="87" t="str">
        <x:v>VERIFIED</x:v>
      </x:c>
      <x:c r="W5469" s="87"/>
      <x:c r="X5469" s="87" t="n">
        <x:v>6</x:v>
      </x:c>
      <x:c r="Y5469" s="87"/>
      <x:c r="Z5469" s="87"/>
      <x:c r="AA5469" s="87"/>
      <x:c r="AB5469" s="87"/>
      <x:c r="AC5469" s="87" t="str">
        <x:v>VIS-EGKR-MATHB-W25-TASK-957-P006</x:v>
      </x:c>
      <x:c r="AD5469" s="87"/>
      <x:c r="AE5469" s="87" t="str">
        <x:v>TASK</x:v>
      </x:c>
      <x:c r="AF5469" s="87" t="str">
        <x:v>VIS-EGKR-MATHB-W25-TASK-957-P006: 6</x:v>
      </x:c>
      <x:c r="AG5469" s="87" t="str">
        <x:v>RESOLVED</x:v>
      </x:c>
      <x:c r="AH5469" s="87" t="str">
        <x:v>CROP_VERIFIED; TASK_CROP_QA_APPROVED:USE_CONTEXT</x:v>
      </x:c>
      <x:c r="AI5469" s="30"/>
      <x:c r="AJ5469" s="87" t="str">
        <x:v>clean</x:v>
      </x:c>
      <x:c r="AK5469" s="87" t="str">
        <x:v>clean-v0.14</x:v>
      </x:c>
      <x:c r="AL5469" s="87" t="str">
        <x:v>statgrad_clean_continuation_v0_14(1).xlsx</x:v>
      </x:c>
      <x:c r="AM5469" s="87" t="str">
        <x:v>MATHB_EGKR_957</x:v>
      </x:c>
      <x:c r="AN5469" s="87" t="n">
        <x:v>10</x:v>
      </x:c>
    </x:row>
    <x:row r="5470">
      <x:c r="A5470" s="87" t="n">
        <x:v>5469</x:v>
      </x:c>
      <x:c r="B5470" s="87" t="str">
        <x:v>EGKR-W25-MATHB-957-10</x:v>
      </x:c>
      <x:c r="C5470" s="87" t="str">
        <x:v>ЕГКР</x:v>
      </x:c>
      <x:c r="D5470" s="87"/>
      <x:c r="E5470" s="87" t="str">
        <x:v>Зима 2025</x:v>
      </x:c>
      <x:c r="F5470" s="87" t="str">
        <x:v>16.12.2025</x:v>
      </x:c>
      <x:c r="G5470" s="87" t="str">
        <x:v>Математика (база)</x:v>
      </x:c>
      <x:c r="H5470" s="87" t="n">
        <x:v>11</x:v>
      </x:c>
      <x:c r="I5470" s="87"/>
      <x:c r="J5470" s="87" t="str">
        <x:v>957</x:v>
      </x:c>
      <x:c r="K5470" s="87" t="n">
        <x:v>10</x:v>
      </x:c>
      <x:c r="L5470" s="87" t="str">
        <x:v>Практическая геометрия</x:v>
      </x:c>
      <x:c r="M5470" s="30" t="str">
        <x:v>На плане указано, что прямоугольная комната имеет площадь 30 кв. м. Точные измерения показали (см. рис.), что ширина комнаты равна 5 м, а длина 6,1 м. На сколько квадратных метров реальная площадь комнаты отличается от площади, указанной на плане?</x:v>
      </x:c>
      <x:c r="N5470" s="30" t="str">
        <x:v>0,5</x:v>
      </x:c>
      <x:c r="O5470" s="30" t="str">
        <x:v>Фактическая площадь вычислена как произведение сторон; найдена абсолютная разность.</x:v>
      </x:c>
      <x:c r="P5470" s="30" t="str">
        <x:v>Условие, вычисление и визуальная страница проверены независимо.</x:v>
      </x:c>
      <x:c r="Q5470" s="30"/>
      <x:c r="R5470" s="30" t="str">
        <x:v>0,5</x:v>
      </x:c>
      <x:c r="S5470" s="30"/>
      <x:c r="T5470" s="30"/>
      <x:c r="U5470" s="30" t="str">
        <x:v>Расхождений нет.</x:v>
      </x:c>
      <x:c r="V5470" s="87" t="str">
        <x:v>VERIFIED</x:v>
      </x:c>
      <x:c r="W5470" s="87"/>
      <x:c r="X5470" s="87" t="n">
        <x:v>6</x:v>
      </x:c>
      <x:c r="Y5470" s="87"/>
      <x:c r="Z5470" s="87"/>
      <x:c r="AA5470" s="87"/>
      <x:c r="AB5470" s="87"/>
      <x:c r="AC5470" s="87" t="str">
        <x:v>VIS-EGKR-MATHB-W25-TASK-957-P006</x:v>
      </x:c>
      <x:c r="AD5470" s="87"/>
      <x:c r="AE5470" s="87" t="str">
        <x:v>TASK</x:v>
      </x:c>
      <x:c r="AF5470" s="87" t="str">
        <x:v>VIS-EGKR-MATHB-W25-TASK-957-P006: 6</x:v>
      </x:c>
      <x:c r="AG5470" s="87" t="str">
        <x:v>RESOLVED</x:v>
      </x:c>
      <x:c r="AH5470" s="87" t="str">
        <x:v>CROP_VERIFIED; TASK_CROP_QA_APPROVED:USE_CONTEXT</x:v>
      </x:c>
      <x:c r="AI5470" s="30"/>
      <x:c r="AJ5470" s="87" t="str">
        <x:v>clean</x:v>
      </x:c>
      <x:c r="AK5470" s="87" t="str">
        <x:v>clean-v0.14</x:v>
      </x:c>
      <x:c r="AL5470" s="87" t="str">
        <x:v>statgrad_clean_continuation_v0_14(1).xlsx</x:v>
      </x:c>
      <x:c r="AM5470" s="87" t="str">
        <x:v>MATHB_EGKR_957</x:v>
      </x:c>
      <x:c r="AN5470" s="87" t="n">
        <x:v>11</x:v>
      </x:c>
    </x:row>
    <x:row r="5471">
      <x:c r="A5471" s="87" t="n">
        <x:v>5470</x:v>
      </x:c>
      <x:c r="B5471" s="87" t="str">
        <x:v>EGKR-W25-MATHB-957-11</x:v>
      </x:c>
      <x:c r="C5471" s="87" t="str">
        <x:v>ЕГКР</x:v>
      </x:c>
      <x:c r="D5471" s="87"/>
      <x:c r="E5471" s="87" t="str">
        <x:v>Зима 2025</x:v>
      </x:c>
      <x:c r="F5471" s="87" t="str">
        <x:v>16.12.2025</x:v>
      </x:c>
      <x:c r="G5471" s="87" t="str">
        <x:v>Математика (база)</x:v>
      </x:c>
      <x:c r="H5471" s="87" t="n">
        <x:v>11</x:v>
      </x:c>
      <x:c r="I5471" s="87"/>
      <x:c r="J5471" s="87" t="str">
        <x:v>957</x:v>
      </x:c>
      <x:c r="K5471" s="87" t="n">
        <x:v>11</x:v>
      </x:c>
      <x:c r="L5471" s="87" t="str">
        <x:v>Площадь поверхности</x:v>
      </x:c>
      <x:c r="M5471" s="30" t="str">
        <x:v>Прямолинейный участок длиной 4 м трубы, имеющей и сечении окружность, необходимо покрасить снаружи (торцы трубы открыты,их красить, не нужно), Найдите площадь поверхности, которую нсобходимо покрасить, если длина внешней окружности трубы равна 19 см. Ответ дайте в квадратных сантиметрах.</x:v>
      </x:c>
      <x:c r="N5471" s="30" t="str">
        <x:v>7600</x:v>
      </x:c>
      <x:c r="O5471" s="30" t="str">
        <x:v>Боковая поверхность трубы равна длине трубы, умноженной на длину окружности.</x:v>
      </x:c>
      <x:c r="P5471" s="30" t="str">
        <x:v>Условие, вычисление и визуальная страница проверены независимо.</x:v>
      </x:c>
      <x:c r="Q5471" s="30"/>
      <x:c r="R5471" s="30" t="str">
        <x:v>7600</x:v>
      </x:c>
      <x:c r="S5471" s="30"/>
      <x:c r="T5471" s="30"/>
      <x:c r="U5471" s="30" t="str">
        <x:v>Расхождений нет.</x:v>
      </x:c>
      <x:c r="V5471" s="87" t="str">
        <x:v>VERIFIED</x:v>
      </x:c>
      <x:c r="W5471" s="87"/>
      <x:c r="X5471" s="87" t="n">
        <x:v>7</x:v>
      </x:c>
      <x:c r="Y5471" s="87"/>
      <x:c r="Z5471" s="87"/>
      <x:c r="AA5471" s="87"/>
      <x:c r="AB5471" s="87"/>
      <x:c r="AC5471" s="87" t="str">
        <x:v>VIS-EGKR-MATHB-W25-TASK-957-P007</x:v>
      </x:c>
      <x:c r="AD5471" s="87"/>
      <x:c r="AE5471" s="87" t="str">
        <x:v>TASK</x:v>
      </x:c>
      <x:c r="AF5471" s="87" t="str">
        <x:v>VIS-EGKR-MATHB-W25-TASK-957-P007: 7</x:v>
      </x:c>
      <x:c r="AG5471" s="87" t="str">
        <x:v>RESOLVED</x:v>
      </x:c>
      <x:c r="AH5471" s="87" t="str">
        <x:v>CROP_VERIFIED</x:v>
      </x:c>
      <x:c r="AI5471" s="30"/>
      <x:c r="AJ5471" s="87" t="str">
        <x:v>clean</x:v>
      </x:c>
      <x:c r="AK5471" s="87" t="str">
        <x:v>clean-v0.14</x:v>
      </x:c>
      <x:c r="AL5471" s="87" t="str">
        <x:v>statgrad_clean_continuation_v0_14(1).xlsx</x:v>
      </x:c>
      <x:c r="AM5471" s="87" t="str">
        <x:v>MATHB_EGKR_957</x:v>
      </x:c>
      <x:c r="AN5471" s="87" t="n">
        <x:v>12</x:v>
      </x:c>
    </x:row>
    <x:row r="5472">
      <x:c r="A5472" s="87" t="n">
        <x:v>5471</x:v>
      </x:c>
      <x:c r="B5472" s="87" t="str">
        <x:v>EGKR-W25-MATHB-957-12</x:v>
      </x:c>
      <x:c r="C5472" s="87" t="str">
        <x:v>ЕГКР</x:v>
      </x:c>
      <x:c r="D5472" s="87"/>
      <x:c r="E5472" s="87" t="str">
        <x:v>Зима 2025</x:v>
      </x:c>
      <x:c r="F5472" s="87" t="str">
        <x:v>16.12.2025</x:v>
      </x:c>
      <x:c r="G5472" s="87" t="str">
        <x:v>Математика (база)</x:v>
      </x:c>
      <x:c r="H5472" s="87" t="n">
        <x:v>11</x:v>
      </x:c>
      <x:c r="I5472" s="87"/>
      <x:c r="J5472" s="87" t="str">
        <x:v>957</x:v>
      </x:c>
      <x:c r="K5472" s="87" t="n">
        <x:v>12</x:v>
      </x:c>
      <x:c r="L5472" s="87" t="str">
        <x:v>Планиметрия</x:v>
      </x:c>
      <x:c r="M5472" s="30" t="str">
        <x:v>На стороне ВС прямоугольника ABCD, у которого AB = 20 и AD = 41, отмечена точка Е так, что &lt;EAB = 45°. Найдите длину отрезка ED.</x:v>
      </x:c>
      <x:c r="N5472" s="30" t="str">
        <x:v>29</x:v>
      </x:c>
      <x:c r="O5472" s="30" t="str">
        <x:v>Координаты точки E следуют из угла 45°; ED найден по теореме Пифагора.</x:v>
      </x:c>
      <x:c r="P5472" s="30" t="str">
        <x:v>Условие, вычисление и визуальная страница проверены независимо.</x:v>
      </x:c>
      <x:c r="Q5472" s="30"/>
      <x:c r="R5472" s="30" t="str">
        <x:v>29</x:v>
      </x:c>
      <x:c r="S5472" s="30"/>
      <x:c r="T5472" s="30"/>
      <x:c r="U5472" s="30" t="str">
        <x:v>Расхождений нет.</x:v>
      </x:c>
      <x:c r="V5472" s="87" t="str">
        <x:v>VERIFIED</x:v>
      </x:c>
      <x:c r="W5472" s="87"/>
      <x:c r="X5472" s="87" t="n">
        <x:v>7</x:v>
      </x:c>
      <x:c r="Y5472" s="87"/>
      <x:c r="Z5472" s="87"/>
      <x:c r="AA5472" s="87"/>
      <x:c r="AB5472" s="87"/>
      <x:c r="AC5472" s="87" t="str">
        <x:v>VIS-EGKR-MATHB-W25-TASK-957-P007</x:v>
      </x:c>
      <x:c r="AD5472" s="87"/>
      <x:c r="AE5472" s="87" t="str">
        <x:v>TASK</x:v>
      </x:c>
      <x:c r="AF5472" s="87" t="str">
        <x:v>VIS-EGKR-MATHB-W25-TASK-957-P007: 7</x:v>
      </x:c>
      <x:c r="AG5472" s="87" t="str">
        <x:v>RESOLVED</x:v>
      </x:c>
      <x:c r="AH5472" s="87" t="str">
        <x:v>CROP_VERIFIED</x:v>
      </x:c>
      <x:c r="AI5472" s="30"/>
      <x:c r="AJ5472" s="87" t="str">
        <x:v>clean</x:v>
      </x:c>
      <x:c r="AK5472" s="87" t="str">
        <x:v>clean-v0.14</x:v>
      </x:c>
      <x:c r="AL5472" s="87" t="str">
        <x:v>statgrad_clean_continuation_v0_14(1).xlsx</x:v>
      </x:c>
      <x:c r="AM5472" s="87" t="str">
        <x:v>MATHB_EGKR_957</x:v>
      </x:c>
      <x:c r="AN5472" s="87" t="n">
        <x:v>13</x:v>
      </x:c>
    </x:row>
    <x:row r="5473">
      <x:c r="A5473" s="87" t="n">
        <x:v>5472</x:v>
      </x:c>
      <x:c r="B5473" s="87" t="str">
        <x:v>EGKR-W25-MATHB-957-13</x:v>
      </x:c>
      <x:c r="C5473" s="87" t="str">
        <x:v>ЕГКР</x:v>
      </x:c>
      <x:c r="D5473" s="87"/>
      <x:c r="E5473" s="87" t="str">
        <x:v>Зима 2025</x:v>
      </x:c>
      <x:c r="F5473" s="87" t="str">
        <x:v>16.12.2025</x:v>
      </x:c>
      <x:c r="G5473" s="87" t="str">
        <x:v>Математика (база)</x:v>
      </x:c>
      <x:c r="H5473" s="87" t="n">
        <x:v>11</x:v>
      </x:c>
      <x:c r="I5473" s="87"/>
      <x:c r="J5473" s="87" t="str">
        <x:v>957</x:v>
      </x:c>
      <x:c r="K5473" s="87" t="n">
        <x:v>13</x:v>
      </x:c>
      <x:c r="L5473" s="87" t="str">
        <x:v>Стереометрия</x:v>
      </x:c>
      <x:c r="M5473" s="30" t="str">
        <x:v>В треугольной пирамиде ABCD рёбра AB, AС и AD взаимно перпендикулярны. Найдите объём этой пирамиды, если AB = 10, AC = 18 и AD = 3.</x:v>
      </x:c>
      <x:c r="N5473" s="30" t="str">
        <x:v>90</x:v>
      </x:c>
      <x:c r="O5473" s="30" t="str">
        <x:v>Объём прямоугольного тетраэдра равен произведению трёх взаимно перпендикулярных рёбер, делённому на 6.</x:v>
      </x:c>
      <x:c r="P5473" s="30" t="str">
        <x:v>Условие, вычисление и визуальная страница проверены независимо.</x:v>
      </x:c>
      <x:c r="Q5473" s="30"/>
      <x:c r="R5473" s="30" t="str">
        <x:v>90</x:v>
      </x:c>
      <x:c r="S5473" s="30"/>
      <x:c r="T5473" s="30"/>
      <x:c r="U5473" s="30" t="str">
        <x:v>Расхождений нет.</x:v>
      </x:c>
      <x:c r="V5473" s="87" t="str">
        <x:v>VERIFIED</x:v>
      </x:c>
      <x:c r="W5473" s="87"/>
      <x:c r="X5473" s="87" t="n">
        <x:v>7</x:v>
      </x:c>
      <x:c r="Y5473" s="87"/>
      <x:c r="Z5473" s="87"/>
      <x:c r="AA5473" s="87"/>
      <x:c r="AB5473" s="87"/>
      <x:c r="AC5473" s="87" t="str">
        <x:v>VIS-EGKR-MATHB-W25-TASK-957-P007</x:v>
      </x:c>
      <x:c r="AD5473" s="87"/>
      <x:c r="AE5473" s="87" t="str">
        <x:v>TASK</x:v>
      </x:c>
      <x:c r="AF5473" s="87" t="str">
        <x:v>VIS-EGKR-MATHB-W25-TASK-957-P007: 7</x:v>
      </x:c>
      <x:c r="AG5473" s="87" t="str">
        <x:v>RESOLVED</x:v>
      </x:c>
      <x:c r="AH5473" s="87" t="str">
        <x:v>CROP_VERIFIED</x:v>
      </x:c>
      <x:c r="AI5473" s="30"/>
      <x:c r="AJ5473" s="87" t="str">
        <x:v>clean</x:v>
      </x:c>
      <x:c r="AK5473" s="87" t="str">
        <x:v>clean-v0.14</x:v>
      </x:c>
      <x:c r="AL5473" s="87" t="str">
        <x:v>statgrad_clean_continuation_v0_14(1).xlsx</x:v>
      </x:c>
      <x:c r="AM5473" s="87" t="str">
        <x:v>MATHB_EGKR_957</x:v>
      </x:c>
      <x:c r="AN5473" s="87" t="n">
        <x:v>14</x:v>
      </x:c>
    </x:row>
    <x:row r="5474">
      <x:c r="A5474" s="87" t="n">
        <x:v>5473</x:v>
      </x:c>
      <x:c r="B5474" s="87" t="str">
        <x:v>EGKR-W25-MATHB-957-14</x:v>
      </x:c>
      <x:c r="C5474" s="87" t="str">
        <x:v>ЕГКР</x:v>
      </x:c>
      <x:c r="D5474" s="87"/>
      <x:c r="E5474" s="87" t="str">
        <x:v>Зима 2025</x:v>
      </x:c>
      <x:c r="F5474" s="87" t="str">
        <x:v>16.12.2025</x:v>
      </x:c>
      <x:c r="G5474" s="87" t="str">
        <x:v>Математика (база)</x:v>
      </x:c>
      <x:c r="H5474" s="87" t="n">
        <x:v>11</x:v>
      </x:c>
      <x:c r="I5474" s="87"/>
      <x:c r="J5474" s="87" t="str">
        <x:v>957</x:v>
      </x:c>
      <x:c r="K5474" s="87" t="n">
        <x:v>14</x:v>
      </x:c>
      <x:c r="L5474" s="87" t="str">
        <x:v>Арифметическое выражение</x:v>
      </x:c>
      <x:c r="M5474" s="30" t="str">
        <x:v>Найдите значение выражения</x:v>
      </x:c>
      <x:c r="N5474" s="30" t="str">
        <x:v>6</x:v>
      </x:c>
      <x:c r="O5474" s="30" t="str">
        <x:v>Смешанные числа переведены в дроби и вычислены.</x:v>
      </x:c>
      <x:c r="P5474" s="30" t="str">
        <x:v>Условие, вычисление и визуальная страница проверены независимо.</x:v>
      </x:c>
      <x:c r="Q5474" s="30"/>
      <x:c r="R5474" s="30" t="str">
        <x:v>6</x:v>
      </x:c>
      <x:c r="S5474" s="30"/>
      <x:c r="T5474" s="30"/>
      <x:c r="U5474" s="30" t="str">
        <x:v>Расхождений нет.</x:v>
      </x:c>
      <x:c r="V5474" s="87" t="str">
        <x:v>VERIFIED</x:v>
      </x:c>
      <x:c r="W5474" s="87"/>
      <x:c r="X5474" s="87" t="n">
        <x:v>7</x:v>
      </x:c>
      <x:c r="Y5474" s="87"/>
      <x:c r="Z5474" s="87"/>
      <x:c r="AA5474" s="87"/>
      <x:c r="AB5474" s="87"/>
      <x:c r="AC5474" s="87" t="str">
        <x:v>VIS-EGKR-MATHB-W25-TASK-957-P007</x:v>
      </x:c>
      <x:c r="AD5474" s="87"/>
      <x:c r="AE5474" s="87" t="str">
        <x:v>TASK</x:v>
      </x:c>
      <x:c r="AF5474" s="87" t="str">
        <x:v>VIS-EGKR-MATHB-W25-TASK-957-P007: 7</x:v>
      </x:c>
      <x:c r="AG5474" s="87" t="str">
        <x:v>RESOLVED</x:v>
      </x:c>
      <x:c r="AH5474" s="87" t="str">
        <x:v>CROP_VERIFIED</x:v>
      </x:c>
      <x:c r="AI5474" s="30"/>
      <x:c r="AJ5474" s="87" t="str">
        <x:v>clean</x:v>
      </x:c>
      <x:c r="AK5474" s="87" t="str">
        <x:v>clean-v0.14</x:v>
      </x:c>
      <x:c r="AL5474" s="87" t="str">
        <x:v>statgrad_clean_continuation_v0_14(1).xlsx</x:v>
      </x:c>
      <x:c r="AM5474" s="87" t="str">
        <x:v>MATHB_EGKR_957</x:v>
      </x:c>
      <x:c r="AN5474" s="87" t="n">
        <x:v>15</x:v>
      </x:c>
    </x:row>
    <x:row r="5475">
      <x:c r="A5475" s="87" t="n">
        <x:v>5474</x:v>
      </x:c>
      <x:c r="B5475" s="87" t="str">
        <x:v>EGKR-W25-MATHB-957-15</x:v>
      </x:c>
      <x:c r="C5475" s="87" t="str">
        <x:v>ЕГКР</x:v>
      </x:c>
      <x:c r="D5475" s="87"/>
      <x:c r="E5475" s="87" t="str">
        <x:v>Зима 2025</x:v>
      </x:c>
      <x:c r="F5475" s="87" t="str">
        <x:v>16.12.2025</x:v>
      </x:c>
      <x:c r="G5475" s="87" t="str">
        <x:v>Математика (база)</x:v>
      </x:c>
      <x:c r="H5475" s="87" t="n">
        <x:v>11</x:v>
      </x:c>
      <x:c r="I5475" s="87"/>
      <x:c r="J5475" s="87" t="str">
        <x:v>957</x:v>
      </x:c>
      <x:c r="K5475" s="87" t="n">
        <x:v>15</x:v>
      </x:c>
      <x:c r="L5475" s="87" t="str">
        <x:v>Проценты</x:v>
      </x:c>
      <x:c r="M5475" s="30" t="str">
        <x:v>Городской бюджет составляет 80 млн рублей, а расходы на одну из его статей составили 15% бюджета. Сколько миллионов рублей потрачено на эту статью бюджета?</x:v>
      </x:c>
      <x:c r="N5475" s="30" t="str">
        <x:v>12</x:v>
      </x:c>
      <x:c r="O5475" s="30" t="str">
        <x:v>Процент умножен на бюджет; единица ответа взята строго из формулировки.</x:v>
      </x:c>
      <x:c r="P5475" s="30" t="str">
        <x:v>Условие, вычисление и визуальная страница проверены независимо.</x:v>
      </x:c>
      <x:c r="Q5475" s="30"/>
      <x:c r="R5475" s="30" t="str">
        <x:v>12</x:v>
      </x:c>
      <x:c r="S5475" s="30"/>
      <x:c r="T5475" s="30"/>
      <x:c r="U5475" s="30" t="str">
        <x:v>Расхождений нет.</x:v>
      </x:c>
      <x:c r="V5475" s="87" t="str">
        <x:v>VERIFIED</x:v>
      </x:c>
      <x:c r="W5475" s="87"/>
      <x:c r="X5475" s="87" t="n">
        <x:v>7</x:v>
      </x:c>
      <x:c r="Y5475" s="87"/>
      <x:c r="Z5475" s="87"/>
      <x:c r="AA5475" s="87"/>
      <x:c r="AB5475" s="87"/>
      <x:c r="AC5475" s="87" t="str">
        <x:v>VIS-EGKR-MATHB-W25-TASK-957-P007</x:v>
      </x:c>
      <x:c r="AD5475" s="87"/>
      <x:c r="AE5475" s="87" t="str">
        <x:v>TASK</x:v>
      </x:c>
      <x:c r="AF5475" s="87" t="str">
        <x:v>VIS-EGKR-MATHB-W25-TASK-957-P007: 7</x:v>
      </x:c>
      <x:c r="AG5475" s="87" t="str">
        <x:v>RESOLVED</x:v>
      </x:c>
      <x:c r="AH5475" s="87" t="str">
        <x:v>CROP_VERIFIED</x:v>
      </x:c>
      <x:c r="AI5475" s="30"/>
      <x:c r="AJ5475" s="87" t="str">
        <x:v>clean</x:v>
      </x:c>
      <x:c r="AK5475" s="87" t="str">
        <x:v>clean-v0.14</x:v>
      </x:c>
      <x:c r="AL5475" s="87" t="str">
        <x:v>statgrad_clean_continuation_v0_14(1).xlsx</x:v>
      </x:c>
      <x:c r="AM5475" s="87" t="str">
        <x:v>MATHB_EGKR_957</x:v>
      </x:c>
      <x:c r="AN5475" s="87" t="n">
        <x:v>16</x:v>
      </x:c>
    </x:row>
    <x:row r="5476">
      <x:c r="A5476" s="87" t="n">
        <x:v>5475</x:v>
      </x:c>
      <x:c r="B5476" s="87" t="str">
        <x:v>EGKR-W25-MATHB-957-16</x:v>
      </x:c>
      <x:c r="C5476" s="87" t="str">
        <x:v>ЕГКР</x:v>
      </x:c>
      <x:c r="D5476" s="87"/>
      <x:c r="E5476" s="87" t="str">
        <x:v>Зима 2025</x:v>
      </x:c>
      <x:c r="F5476" s="87" t="str">
        <x:v>16.12.2025</x:v>
      </x:c>
      <x:c r="G5476" s="87" t="str">
        <x:v>Математика (база)</x:v>
      </x:c>
      <x:c r="H5476" s="87" t="n">
        <x:v>11</x:v>
      </x:c>
      <x:c r="I5476" s="87"/>
      <x:c r="J5476" s="87" t="str">
        <x:v>957</x:v>
      </x:c>
      <x:c r="K5476" s="87" t="n">
        <x:v>16</x:v>
      </x:c>
      <x:c r="L5476" s="87" t="str">
        <x:v>Степени/корни</x:v>
      </x:c>
      <x:c r="M5476" s="30" t="str">
        <x:v>3 Найдите значение выражения 2 √72 ⋅ √2 . −− –</x:v>
      </x:c>
      <x:c r="N5476" s="30" t="str">
        <x:v>18</x:v>
      </x:c>
      <x:c r="O5476" s="30" t="str">
        <x:v>Использованы свойства степеней либо преобразование радикалов.</x:v>
      </x:c>
      <x:c r="P5476" s="30" t="str">
        <x:v>Условие, вычисление и визуальная страница проверены независимо.</x:v>
      </x:c>
      <x:c r="Q5476" s="30"/>
      <x:c r="R5476" s="30" t="str">
        <x:v>18</x:v>
      </x:c>
      <x:c r="S5476" s="30"/>
      <x:c r="T5476" s="30"/>
      <x:c r="U5476" s="30" t="str">
        <x:v>Расхождений нет.</x:v>
      </x:c>
      <x:c r="V5476" s="87" t="str">
        <x:v>VERIFIED</x:v>
      </x:c>
      <x:c r="W5476" s="87"/>
      <x:c r="X5476" s="87" t="n">
        <x:v>7</x:v>
      </x:c>
      <x:c r="Y5476" s="87"/>
      <x:c r="Z5476" s="87"/>
      <x:c r="AA5476" s="87"/>
      <x:c r="AB5476" s="87"/>
      <x:c r="AC5476" s="87" t="str">
        <x:v>VIS-EGKR-MATHB-W25-TASK-957-P007</x:v>
      </x:c>
      <x:c r="AD5476" s="87"/>
      <x:c r="AE5476" s="87" t="str">
        <x:v>TASK</x:v>
      </x:c>
      <x:c r="AF5476" s="87" t="str">
        <x:v>VIS-EGKR-MATHB-W25-TASK-957-P007: 7</x:v>
      </x:c>
      <x:c r="AG5476" s="87" t="str">
        <x:v>RESOLVED</x:v>
      </x:c>
      <x:c r="AH5476" s="87" t="str">
        <x:v>CROP_VERIFIED</x:v>
      </x:c>
      <x:c r="AI5476" s="30"/>
      <x:c r="AJ5476" s="87" t="str">
        <x:v>clean</x:v>
      </x:c>
      <x:c r="AK5476" s="87" t="str">
        <x:v>clean-v0.14</x:v>
      </x:c>
      <x:c r="AL5476" s="87" t="str">
        <x:v>statgrad_clean_continuation_v0_14(1).xlsx</x:v>
      </x:c>
      <x:c r="AM5476" s="87" t="str">
        <x:v>MATHB_EGKR_957</x:v>
      </x:c>
      <x:c r="AN5476" s="87" t="n">
        <x:v>17</x:v>
      </x:c>
    </x:row>
    <x:row r="5477">
      <x:c r="A5477" s="87" t="n">
        <x:v>5476</x:v>
      </x:c>
      <x:c r="B5477" s="87" t="str">
        <x:v>EGKR-W25-MATHB-957-17</x:v>
      </x:c>
      <x:c r="C5477" s="87" t="str">
        <x:v>ЕГКР</x:v>
      </x:c>
      <x:c r="D5477" s="87"/>
      <x:c r="E5477" s="87" t="str">
        <x:v>Зима 2025</x:v>
      </x:c>
      <x:c r="F5477" s="87" t="str">
        <x:v>16.12.2025</x:v>
      </x:c>
      <x:c r="G5477" s="87" t="str">
        <x:v>Математика (база)</x:v>
      </x:c>
      <x:c r="H5477" s="87" t="n">
        <x:v>11</x:v>
      </x:c>
      <x:c r="I5477" s="87"/>
      <x:c r="J5477" s="87" t="str">
        <x:v>957</x:v>
      </x:c>
      <x:c r="K5477" s="87" t="n">
        <x:v>17</x:v>
      </x:c>
      <x:c r="L5477" s="87" t="str">
        <x:v>Уравнение</x:v>
      </x:c>
      <x:c r="M5477" s="30" t="str">
        <x:v>Найдите корень уравнения 5 − 6(−2x + 5) = −1.</x:v>
      </x:c>
      <x:c r="N5477" s="30" t="str">
        <x:v>2</x:v>
      </x:c>
      <x:c r="O5477" s="30" t="str">
        <x:v>Уравнение решено алгебраически с выбором требуемого корня.</x:v>
      </x:c>
      <x:c r="P5477" s="30" t="str">
        <x:v>Условие, вычисление и визуальная страница проверены независимо.</x:v>
      </x:c>
      <x:c r="Q5477" s="30"/>
      <x:c r="R5477" s="30" t="str">
        <x:v>2</x:v>
      </x:c>
      <x:c r="S5477" s="30"/>
      <x:c r="T5477" s="30"/>
      <x:c r="U5477" s="30" t="str">
        <x:v>Расхождений нет.</x:v>
      </x:c>
      <x:c r="V5477" s="87" t="str">
        <x:v>VERIFIED</x:v>
      </x:c>
      <x:c r="W5477" s="87"/>
      <x:c r="X5477" s="87" t="n">
        <x:v>8</x:v>
      </x:c>
      <x:c r="Y5477" s="87"/>
      <x:c r="Z5477" s="87"/>
      <x:c r="AA5477" s="87"/>
      <x:c r="AB5477" s="87"/>
      <x:c r="AC5477" s="87" t="str">
        <x:v>VIS-EGKR-MATHB-W25-TASK-957-P008</x:v>
      </x:c>
      <x:c r="AD5477" s="87"/>
      <x:c r="AE5477" s="87" t="str">
        <x:v>TASK</x:v>
      </x:c>
      <x:c r="AF5477" s="87" t="str">
        <x:v>VIS-EGKR-MATHB-W25-TASK-957-P008: 8</x:v>
      </x:c>
      <x:c r="AG5477" s="87" t="str">
        <x:v>RESOLVED</x:v>
      </x:c>
      <x:c r="AH5477" s="87" t="str">
        <x:v>CROP_VERIFIED</x:v>
      </x:c>
      <x:c r="AI5477" s="30"/>
      <x:c r="AJ5477" s="87" t="str">
        <x:v>clean</x:v>
      </x:c>
      <x:c r="AK5477" s="87" t="str">
        <x:v>clean-v0.14</x:v>
      </x:c>
      <x:c r="AL5477" s="87" t="str">
        <x:v>statgrad_clean_continuation_v0_14(1).xlsx</x:v>
      </x:c>
      <x:c r="AM5477" s="87" t="str">
        <x:v>MATHB_EGKR_957</x:v>
      </x:c>
      <x:c r="AN5477" s="87" t="n">
        <x:v>18</x:v>
      </x:c>
    </x:row>
    <x:row r="5478">
      <x:c r="A5478" s="87" t="n">
        <x:v>5477</x:v>
      </x:c>
      <x:c r="B5478" s="87" t="str">
        <x:v>EGKR-W25-MATHB-957-18</x:v>
      </x:c>
      <x:c r="C5478" s="87" t="str">
        <x:v>ЕГКР</x:v>
      </x:c>
      <x:c r="D5478" s="87"/>
      <x:c r="E5478" s="87" t="str">
        <x:v>Зима 2025</x:v>
      </x:c>
      <x:c r="F5478" s="87" t="str">
        <x:v>16.12.2025</x:v>
      </x:c>
      <x:c r="G5478" s="87" t="str">
        <x:v>Математика (база)</x:v>
      </x:c>
      <x:c r="H5478" s="87" t="n">
        <x:v>11</x:v>
      </x:c>
      <x:c r="I5478" s="87"/>
      <x:c r="J5478" s="87" t="str">
        <x:v>957</x:v>
      </x:c>
      <x:c r="K5478" s="87" t="n">
        <x:v>18</x:v>
      </x:c>
      <x:c r="L5478" s="87" t="str">
        <x:v>Числа и координатная прямая</x:v>
      </x:c>
      <x:c r="M5478" s="30" t="str">
        <x:v>Каждому из четырёх чисел в левом столбце соответствует отрезок, которому оно принадлежит. Установите соответствие между числами и отрезками из правого столбца. ЧИСЛА ОТРЕЗКИ А) log235 1) [1; 2] Б) 74 2) [2; 3] −− 3) [3; 4] В) √13 Г) 0.39-1 4) [5; 6] Впишите в приведённую в ответе таблицу под каждой буквой соответствующий отрезку номер. А Б В Г</x:v>
      </x:c>
      <x:c r="N5478" s="30" t="str">
        <x:v>4132</x:v>
      </x:c>
      <x:c r="O5478" s="30" t="str">
        <x:v>Значения выражений оценены и сопоставлены точкам/интервалам.</x:v>
      </x:c>
      <x:c r="P5478" s="30" t="str">
        <x:v>Условие, вычисление и визуальная страница проверены независимо.</x:v>
      </x:c>
      <x:c r="Q5478" s="30"/>
      <x:c r="R5478" s="30" t="str">
        <x:v>4132</x:v>
      </x:c>
      <x:c r="S5478" s="30"/>
      <x:c r="T5478" s="30"/>
      <x:c r="U5478" s="30" t="str">
        <x:v>Расхождений нет.</x:v>
      </x:c>
      <x:c r="V5478" s="87" t="str">
        <x:v>VERIFIED</x:v>
      </x:c>
      <x:c r="W5478" s="87"/>
      <x:c r="X5478" s="87" t="n">
        <x:v>8</x:v>
      </x:c>
      <x:c r="Y5478" s="87"/>
      <x:c r="Z5478" s="87"/>
      <x:c r="AA5478" s="87"/>
      <x:c r="AB5478" s="87"/>
      <x:c r="AC5478" s="87" t="str">
        <x:v>VIS-EGKR-MATHB-W25-TASK-957-P008</x:v>
      </x:c>
      <x:c r="AD5478" s="87"/>
      <x:c r="AE5478" s="87" t="str">
        <x:v>TASK</x:v>
      </x:c>
      <x:c r="AF5478" s="87" t="str">
        <x:v>VIS-EGKR-MATHB-W25-TASK-957-P008: 8</x:v>
      </x:c>
      <x:c r="AG5478" s="87" t="str">
        <x:v>RESOLVED</x:v>
      </x:c>
      <x:c r="AH5478" s="87" t="str">
        <x:v>CROP_VERIFIED</x:v>
      </x:c>
      <x:c r="AI5478" s="30"/>
      <x:c r="AJ5478" s="87" t="str">
        <x:v>clean</x:v>
      </x:c>
      <x:c r="AK5478" s="87" t="str">
        <x:v>clean-v0.14</x:v>
      </x:c>
      <x:c r="AL5478" s="87" t="str">
        <x:v>statgrad_clean_continuation_v0_14(1).xlsx</x:v>
      </x:c>
      <x:c r="AM5478" s="87" t="str">
        <x:v>MATHB_EGKR_957</x:v>
      </x:c>
      <x:c r="AN5478" s="87" t="n">
        <x:v>19</x:v>
      </x:c>
    </x:row>
    <x:row r="5479">
      <x:c r="A5479" s="87" t="n">
        <x:v>5478</x:v>
      </x:c>
      <x:c r="B5479" s="87" t="str">
        <x:v>EGKR-W25-MATHB-957-19</x:v>
      </x:c>
      <x:c r="C5479" s="87" t="str">
        <x:v>ЕГКР</x:v>
      </x:c>
      <x:c r="D5479" s="87"/>
      <x:c r="E5479" s="87" t="str">
        <x:v>Зима 2025</x:v>
      </x:c>
      <x:c r="F5479" s="87" t="str">
        <x:v>16.12.2025</x:v>
      </x:c>
      <x:c r="G5479" s="87" t="str">
        <x:v>Математика (база)</x:v>
      </x:c>
      <x:c r="H5479" s="87" t="n">
        <x:v>11</x:v>
      </x:c>
      <x:c r="I5479" s="87"/>
      <x:c r="J5479" s="87" t="str">
        <x:v>957</x:v>
      </x:c>
      <x:c r="K5479" s="87" t="n">
        <x:v>19</x:v>
      </x:c>
      <x:c r="L5479" s="87" t="str">
        <x:v>Числовая задача</x:v>
      </x:c>
      <x:c r="M5479" s="30" t="str">
        <x:v>Найдите четырёхзначное число, большее 1500, но меньшее 2000, которое делится на 24 и сумма цифр которого равна 24. В ответе укажите какое-нибудь одно такое число.</x:v>
      </x:c>
      <x:c r="N5479" s="30" t="str">
        <x:v>1896</x:v>
      </x:c>
      <x:c r="O5479" s="30" t="str">
        <x:v>Число проверено подстановкой, разворотом цифр или перебором условий.</x:v>
      </x:c>
      <x:c r="P5479" s="30" t="str">
        <x:v>Условие, вычисление и визуальная страница проверены независимо.</x:v>
      </x:c>
      <x:c r="Q5479" s="30"/>
      <x:c r="R5479" s="30" t="str">
        <x:v>1896</x:v>
      </x:c>
      <x:c r="S5479" s="30"/>
      <x:c r="T5479" s="30"/>
      <x:c r="U5479" s="30" t="str">
        <x:v>Расхождений нет.</x:v>
      </x:c>
      <x:c r="V5479" s="87" t="str">
        <x:v>VERIFIED</x:v>
      </x:c>
      <x:c r="W5479" s="87"/>
      <x:c r="X5479" s="87" t="n">
        <x:v>8</x:v>
      </x:c>
      <x:c r="Y5479" s="87"/>
      <x:c r="Z5479" s="87"/>
      <x:c r="AA5479" s="87"/>
      <x:c r="AB5479" s="87"/>
      <x:c r="AC5479" s="87" t="str">
        <x:v>VIS-EGKR-MATHB-W25-TASK-957-P008</x:v>
      </x:c>
      <x:c r="AD5479" s="87"/>
      <x:c r="AE5479" s="87" t="str">
        <x:v>TASK</x:v>
      </x:c>
      <x:c r="AF5479" s="87" t="str">
        <x:v>VIS-EGKR-MATHB-W25-TASK-957-P008: 8</x:v>
      </x:c>
      <x:c r="AG5479" s="87" t="str">
        <x:v>RESOLVED</x:v>
      </x:c>
      <x:c r="AH5479" s="87" t="str">
        <x:v>CROP_VERIFIED</x:v>
      </x:c>
      <x:c r="AI5479" s="30"/>
      <x:c r="AJ5479" s="87" t="str">
        <x:v>clean</x:v>
      </x:c>
      <x:c r="AK5479" s="87" t="str">
        <x:v>clean-v0.14</x:v>
      </x:c>
      <x:c r="AL5479" s="87" t="str">
        <x:v>statgrad_clean_continuation_v0_14(1).xlsx</x:v>
      </x:c>
      <x:c r="AM5479" s="87" t="str">
        <x:v>MATHB_EGKR_957</x:v>
      </x:c>
      <x:c r="AN5479" s="87" t="n">
        <x:v>20</x:v>
      </x:c>
    </x:row>
    <x:row r="5480">
      <x:c r="A5480" s="87" t="n">
        <x:v>5479</x:v>
      </x:c>
      <x:c r="B5480" s="87" t="str">
        <x:v>EGKR-W25-MATHB-957-20</x:v>
      </x:c>
      <x:c r="C5480" s="87" t="str">
        <x:v>ЕГКР</x:v>
      </x:c>
      <x:c r="D5480" s="87"/>
      <x:c r="E5480" s="87" t="str">
        <x:v>Зима 2025</x:v>
      </x:c>
      <x:c r="F5480" s="87" t="str">
        <x:v>16.12.2025</x:v>
      </x:c>
      <x:c r="G5480" s="87" t="str">
        <x:v>Математика (база)</x:v>
      </x:c>
      <x:c r="H5480" s="87" t="n">
        <x:v>11</x:v>
      </x:c>
      <x:c r="I5480" s="87"/>
      <x:c r="J5480" s="87" t="str">
        <x:v>957</x:v>
      </x:c>
      <x:c r="K5480" s="87" t="n">
        <x:v>20</x:v>
      </x:c>
      <x:c r="L5480" s="87" t="str">
        <x:v>Задача на движение</x:v>
      </x:c>
      <x:c r="M5480" s="30" t="str">
        <x:v>Первые два часа автомобиль ехал со скоростью 55 км/ч, следующий час— со скоростью 50 км/ч, а затем два часа— со скоростью 40 км/ч. Найдите среднюю скорость автомобиля на протяжении всего пути. Ответ дайте в км/ч.</x:v>
      </x:c>
      <x:c r="N5480" s="30" t="str">
        <x:v>48</x:v>
      </x:c>
      <x:c r="O5480" s="30" t="str">
        <x:v>Составлено уравнение движения либо вычислена средняя скорость.</x:v>
      </x:c>
      <x:c r="P5480" s="30" t="str">
        <x:v>Условие, вычисление и визуальная страница проверены независимо.</x:v>
      </x:c>
      <x:c r="Q5480" s="30"/>
      <x:c r="R5480" s="30" t="str">
        <x:v>48</x:v>
      </x:c>
      <x:c r="S5480" s="30"/>
      <x:c r="T5480" s="30"/>
      <x:c r="U5480" s="30" t="str">
        <x:v>Расхождений нет.</x:v>
      </x:c>
      <x:c r="V5480" s="87" t="str">
        <x:v>VERIFIED</x:v>
      </x:c>
      <x:c r="W5480" s="87"/>
      <x:c r="X5480" s="87" t="n">
        <x:v>8</x:v>
      </x:c>
      <x:c r="Y5480" s="87"/>
      <x:c r="Z5480" s="87"/>
      <x:c r="AA5480" s="87"/>
      <x:c r="AB5480" s="87"/>
      <x:c r="AC5480" s="87" t="str">
        <x:v>VIS-EGKR-MATHB-W25-TASK-957-P008</x:v>
      </x:c>
      <x:c r="AD5480" s="87"/>
      <x:c r="AE5480" s="87" t="str">
        <x:v>TASK</x:v>
      </x:c>
      <x:c r="AF5480" s="87" t="str">
        <x:v>VIS-EGKR-MATHB-W25-TASK-957-P008: 8</x:v>
      </x:c>
      <x:c r="AG5480" s="87" t="str">
        <x:v>RESOLVED</x:v>
      </x:c>
      <x:c r="AH5480" s="87" t="str">
        <x:v>CROP_VERIFIED</x:v>
      </x:c>
      <x:c r="AI5480" s="30"/>
      <x:c r="AJ5480" s="87" t="str">
        <x:v>clean</x:v>
      </x:c>
      <x:c r="AK5480" s="87" t="str">
        <x:v>clean-v0.14</x:v>
      </x:c>
      <x:c r="AL5480" s="87" t="str">
        <x:v>statgrad_clean_continuation_v0_14(1).xlsx</x:v>
      </x:c>
      <x:c r="AM5480" s="87" t="str">
        <x:v>MATHB_EGKR_957</x:v>
      </x:c>
      <x:c r="AN5480" s="87" t="n">
        <x:v>21</x:v>
      </x:c>
    </x:row>
    <x:row r="5481">
      <x:c r="A5481" s="87" t="n">
        <x:v>5480</x:v>
      </x:c>
      <x:c r="B5481" s="87" t="str">
        <x:v>EGKR-W25-MATHB-957-21</x:v>
      </x:c>
      <x:c r="C5481" s="87" t="str">
        <x:v>ЕГКР</x:v>
      </x:c>
      <x:c r="D5481" s="87"/>
      <x:c r="E5481" s="87" t="str">
        <x:v>Зима 2025</x:v>
      </x:c>
      <x:c r="F5481" s="87" t="str">
        <x:v>16.12.2025</x:v>
      </x:c>
      <x:c r="G5481" s="87" t="str">
        <x:v>Математика (база)</x:v>
      </x:c>
      <x:c r="H5481" s="87" t="n">
        <x:v>11</x:v>
      </x:c>
      <x:c r="I5481" s="87"/>
      <x:c r="J5481" s="87" t="str">
        <x:v>957</x:v>
      </x:c>
      <x:c r="K5481" s="87" t="n">
        <x:v>21</x:v>
      </x:c>
      <x:c r="L5481" s="87" t="str">
        <x:v>Задача с целыми числами</x:v>
      </x:c>
      <x:c r="M5481" s="30" t="str">
        <x:v>Улитка за день заползает вверх по дереву на 3 м, а за ночь сползает на 1 м. Высота дерева равна 13 м. За сколько дней улитка доползёт до вершины дерева, начав путь от его основания?</x:v>
      </x:c>
      <x:c r="N5481" s="30" t="str">
        <x:v>6</x:v>
      </x:c>
      <x:c r="O5481" s="30" t="str">
        <x:v>Условия на целые числа проверены перебором допустимых значений.</x:v>
      </x:c>
      <x:c r="P5481" s="30" t="str">
        <x:v>Условие, вычисление и визуальная страница проверены независимо.</x:v>
      </x:c>
      <x:c r="Q5481" s="30"/>
      <x:c r="R5481" s="30" t="str">
        <x:v>6</x:v>
      </x:c>
      <x:c r="S5481" s="30"/>
      <x:c r="T5481" s="30"/>
      <x:c r="U5481" s="30" t="str">
        <x:v>Расхождений нет.</x:v>
      </x:c>
      <x:c r="V5481" s="87" t="str">
        <x:v>VERIFIED</x:v>
      </x:c>
      <x:c r="W5481" s="87"/>
      <x:c r="X5481" s="87" t="n">
        <x:v>8</x:v>
      </x:c>
      <x:c r="Y5481" s="87"/>
      <x:c r="Z5481" s="87"/>
      <x:c r="AA5481" s="87"/>
      <x:c r="AB5481" s="87"/>
      <x:c r="AC5481" s="87" t="str">
        <x:v>VIS-EGKR-MATHB-W25-TASK-957-P008</x:v>
      </x:c>
      <x:c r="AD5481" s="87"/>
      <x:c r="AE5481" s="87" t="str">
        <x:v>TASK</x:v>
      </x:c>
      <x:c r="AF5481" s="87" t="str">
        <x:v>VIS-EGKR-MATHB-W25-TASK-957-P008: 8</x:v>
      </x:c>
      <x:c r="AG5481" s="87" t="str">
        <x:v>RESOLVED</x:v>
      </x:c>
      <x:c r="AH5481" s="87" t="str">
        <x:v>CROP_VERIFIED</x:v>
      </x:c>
      <x:c r="AI5481" s="30"/>
      <x:c r="AJ5481" s="87" t="str">
        <x:v>clean</x:v>
      </x:c>
      <x:c r="AK5481" s="87" t="str">
        <x:v>clean-v0.14</x:v>
      </x:c>
      <x:c r="AL5481" s="87" t="str">
        <x:v>statgrad_clean_continuation_v0_14(1).xlsx</x:v>
      </x:c>
      <x:c r="AM5481" s="87" t="str">
        <x:v>MATHB_EGKR_957</x:v>
      </x:c>
      <x:c r="AN5481" s="87" t="n">
        <x:v>22</x:v>
      </x:c>
    </x:row>
    <x:row r="5482">
      <x:c r="A5482" s="87" t="n">
        <x:v>5481</x:v>
      </x:c>
      <x:c r="B5482" s="87" t="str">
        <x:v>EGKR-W25-MATHP-951-01</x:v>
      </x:c>
      <x:c r="C5482" s="87" t="str">
        <x:v>ЕГКР</x:v>
      </x:c>
      <x:c r="D5482" s="87"/>
      <x:c r="E5482" s="87" t="str">
        <x:v>Зима 2025</x:v>
      </x:c>
      <x:c r="F5482" s="87" t="str">
        <x:v>16.12.2025</x:v>
      </x:c>
      <x:c r="G5482" s="87" t="str">
        <x:v>Математика (профиль)</x:v>
      </x:c>
      <x:c r="H5482" s="87" t="n">
        <x:v>11</x:v>
      </x:c>
      <x:c r="I5482" s="87"/>
      <x:c r="J5482" s="87" t="str">
        <x:v>951</x:v>
      </x:c>
      <x:c r="K5482" s="87" t="n">
        <x:v>1</x:v>
      </x:c>
      <x:c r="L5482" s="87" t="str">
        <x:v>Краткий ответ</x:v>
      </x:c>
      <x:c r="M5482" s="30" t="str">
        <x:v>Прямоугольник ABCD; K - середина AD; AB=5, BK=13. Найти периметр.</x:v>
      </x:c>
      <x:c r="N5482" s="30" t="str">
        <x:v>58</x:v>
      </x:c>
      <x:c r="O5482" s="30" t="str">
        <x:v>Половина AD находится по теореме Пифагора из треугольника ABK; затем вычисляется периметр.</x:v>
      </x:c>
      <x:c r="P5482" s="30" t="str">
        <x:v>Проверено вычислением и по полной визуальной странице.</x:v>
      </x:c>
      <x:c r="Q5482" s="30"/>
      <x:c r="R5482" s="30"/>
      <x:c r="S5482" s="30" t="str">
        <x:v>Ответы профиль.docx</x:v>
      </x:c>
      <x:c r="T5482" s="30"/>
      <x:c r="U5482" s="30" t="str">
        <x:v>Ответник совпадает с независимой проверкой.</x:v>
      </x:c>
      <x:c r="V5482" s="87" t="str">
        <x:v>VERIFIED</x:v>
      </x:c>
      <x:c r="W5482" s="87"/>
      <x:c r="X5482" s="87" t="n">
        <x:v>1</x:v>
      </x:c>
      <x:c r="Y5482" s="87"/>
      <x:c r="Z5482" s="87"/>
      <x:c r="AA5482" s="87"/>
      <x:c r="AB5482" s="87"/>
      <x:c r="AC5482" s="87" t="str">
        <x:v>VIS-EGKR-MATHP-W25-TASK-951-P001</x:v>
      </x:c>
      <x:c r="AD5482" s="87"/>
      <x:c r="AE5482" s="87" t="str">
        <x:v>TASK</x:v>
      </x:c>
      <x:c r="AF5482" s="87" t="str">
        <x:v>VIS-EGKR-MATHP-W25-TASK-951-P001: 1</x:v>
      </x:c>
      <x:c r="AG5482" s="87" t="str">
        <x:v>RESOLVED</x:v>
      </x:c>
      <x:c r="AH5482" s="87" t="str">
        <x:v>CROP_VERIFIED</x:v>
      </x:c>
      <x:c r="AI5482" s="30"/>
      <x:c r="AJ5482" s="87" t="str">
        <x:v>clean</x:v>
      </x:c>
      <x:c r="AK5482" s="87" t="str">
        <x:v>clean-v0.15</x:v>
      </x:c>
      <x:c r="AL5482" s="87" t="str">
        <x:v>statgrad_clean_continuation_v0_15(1).xlsx</x:v>
      </x:c>
      <x:c r="AM5482" s="87" t="str">
        <x:v>MATHP_EGKR_951</x:v>
      </x:c>
      <x:c r="AN5482" s="87" t="n">
        <x:v>2</x:v>
      </x:c>
    </x:row>
    <x:row r="5483">
      <x:c r="A5483" s="87" t="n">
        <x:v>5482</x:v>
      </x:c>
      <x:c r="B5483" s="87" t="str">
        <x:v>EGKR-W25-MATHP-951-02</x:v>
      </x:c>
      <x:c r="C5483" s="87" t="str">
        <x:v>ЕГКР</x:v>
      </x:c>
      <x:c r="D5483" s="87"/>
      <x:c r="E5483" s="87" t="str">
        <x:v>Зима 2025</x:v>
      </x:c>
      <x:c r="F5483" s="87" t="str">
        <x:v>16.12.2025</x:v>
      </x:c>
      <x:c r="G5483" s="87" t="str">
        <x:v>Математика (профиль)</x:v>
      </x:c>
      <x:c r="H5483" s="87" t="n">
        <x:v>11</x:v>
      </x:c>
      <x:c r="I5483" s="87"/>
      <x:c r="J5483" s="87" t="str">
        <x:v>951</x:v>
      </x:c>
      <x:c r="K5483" s="87" t="n">
        <x:v>2</x:v>
      </x:c>
      <x:c r="L5483" s="87" t="str">
        <x:v>Краткий ответ</x:v>
      </x:c>
      <x:c r="M5483" s="30" t="str">
        <x:v>По координатной сетке найти скалярное произведение векторов a и b.</x:v>
      </x:c>
      <x:c r="N5483" s="30" t="str">
        <x:v>0</x:v>
      </x:c>
      <x:c r="O5483" s="30" t="str">
        <x:v>Координаты векторов считаны по клеткам, после чего вычислено aₓbₓ+aᵧbᵧ.</x:v>
      </x:c>
      <x:c r="P5483" s="30" t="str">
        <x:v>Проверено вычислением и по полной визуальной странице.</x:v>
      </x:c>
      <x:c r="Q5483" s="30"/>
      <x:c r="R5483" s="30"/>
      <x:c r="S5483" s="30" t="str">
        <x:v>Ответы профиль.docx</x:v>
      </x:c>
      <x:c r="T5483" s="30"/>
      <x:c r="U5483" s="30" t="str">
        <x:v>Ответник совпадает с независимой проверкой.</x:v>
      </x:c>
      <x:c r="V5483" s="87" t="str">
        <x:v>VERIFIED</x:v>
      </x:c>
      <x:c r="W5483" s="87"/>
      <x:c r="X5483" s="87" t="n">
        <x:v>1</x:v>
      </x:c>
      <x:c r="Y5483" s="87"/>
      <x:c r="Z5483" s="87"/>
      <x:c r="AA5483" s="87"/>
      <x:c r="AB5483" s="87"/>
      <x:c r="AC5483" s="87" t="str">
        <x:v>VIS-EGKR-MATHP-W25-TASK-951-P001</x:v>
      </x:c>
      <x:c r="AD5483" s="87"/>
      <x:c r="AE5483" s="87" t="str">
        <x:v>TASK</x:v>
      </x:c>
      <x:c r="AF5483" s="87" t="str">
        <x:v>VIS-EGKR-MATHP-W25-TASK-951-P001: 1</x:v>
      </x:c>
      <x:c r="AG5483" s="87" t="str">
        <x:v>RESOLVED</x:v>
      </x:c>
      <x:c r="AH5483" s="87" t="str">
        <x:v>CROP_VERIFIED</x:v>
      </x:c>
      <x:c r="AI5483" s="30"/>
      <x:c r="AJ5483" s="87" t="str">
        <x:v>clean</x:v>
      </x:c>
      <x:c r="AK5483" s="87" t="str">
        <x:v>clean-v0.15</x:v>
      </x:c>
      <x:c r="AL5483" s="87" t="str">
        <x:v>statgrad_clean_continuation_v0_15(1).xlsx</x:v>
      </x:c>
      <x:c r="AM5483" s="87" t="str">
        <x:v>MATHP_EGKR_951</x:v>
      </x:c>
      <x:c r="AN5483" s="87" t="n">
        <x:v>3</x:v>
      </x:c>
    </x:row>
    <x:row r="5484">
      <x:c r="A5484" s="87" t="n">
        <x:v>5483</x:v>
      </x:c>
      <x:c r="B5484" s="87" t="str">
        <x:v>EGKR-W25-MATHP-951-03</x:v>
      </x:c>
      <x:c r="C5484" s="87" t="str">
        <x:v>ЕГКР</x:v>
      </x:c>
      <x:c r="D5484" s="87"/>
      <x:c r="E5484" s="87" t="str">
        <x:v>Зима 2025</x:v>
      </x:c>
      <x:c r="F5484" s="87" t="str">
        <x:v>16.12.2025</x:v>
      </x:c>
      <x:c r="G5484" s="87" t="str">
        <x:v>Математика (профиль)</x:v>
      </x:c>
      <x:c r="H5484" s="87" t="n">
        <x:v>11</x:v>
      </x:c>
      <x:c r="I5484" s="87"/>
      <x:c r="J5484" s="87" t="str">
        <x:v>951</x:v>
      </x:c>
      <x:c r="K5484" s="87" t="n">
        <x:v>3</x:v>
      </x:c>
      <x:c r="L5484" s="87" t="str">
        <x:v>Краткий ответ</x:v>
      </x:c>
      <x:c r="M5484" s="30" t="str">
        <x:v>В кубе K - середина CC₁, M - середина CD. Найти угол между KM и AD₁.</x:v>
      </x:c>
      <x:c r="N5484" s="30" t="str">
        <x:v>60</x:v>
      </x:c>
      <x:c r="O5484" s="30" t="str">
        <x:v>Прямые заменены параллельными векторами куба; угол найден по скалярному произведению.</x:v>
      </x:c>
      <x:c r="P5484" s="30" t="str">
        <x:v>Проверено вычислением и по полной визуальной странице.</x:v>
      </x:c>
      <x:c r="Q5484" s="30"/>
      <x:c r="R5484" s="30"/>
      <x:c r="S5484" s="30" t="str">
        <x:v>Ответы профиль.docx</x:v>
      </x:c>
      <x:c r="T5484" s="30"/>
      <x:c r="U5484" s="30" t="str">
        <x:v>Ответник: 90°; вектор KM=(0,-1,-1), AD₁=(1,0,1), cosφ=1/2, поэтому φ=60°.</x:v>
      </x:c>
      <x:c r="V5484" s="87" t="str">
        <x:v>KEY_MISMATCH</x:v>
      </x:c>
      <x:c r="W5484" s="87"/>
      <x:c r="X5484" s="87" t="n">
        <x:v>1</x:v>
      </x:c>
      <x:c r="Y5484" s="87"/>
      <x:c r="Z5484" s="87"/>
      <x:c r="AA5484" s="87"/>
      <x:c r="AB5484" s="87"/>
      <x:c r="AC5484" s="87" t="str">
        <x:v>VIS-EGKR-MATHP-W25-TASK-951-P001</x:v>
      </x:c>
      <x:c r="AD5484" s="87"/>
      <x:c r="AE5484" s="87" t="str">
        <x:v>TASK</x:v>
      </x:c>
      <x:c r="AF5484" s="87" t="str">
        <x:v>VIS-EGKR-MATHP-W25-TASK-951-P001: 1</x:v>
      </x:c>
      <x:c r="AG5484" s="87" t="str">
        <x:v>RESOLVED</x:v>
      </x:c>
      <x:c r="AH5484" s="87" t="str">
        <x:v>CROP_VERIFIED</x:v>
      </x:c>
      <x:c r="AI5484" s="30"/>
      <x:c r="AJ5484" s="87" t="str">
        <x:v>clean</x:v>
      </x:c>
      <x:c r="AK5484" s="87" t="str">
        <x:v>clean-v0.15</x:v>
      </x:c>
      <x:c r="AL5484" s="87" t="str">
        <x:v>statgrad_clean_continuation_v0_15(1).xlsx</x:v>
      </x:c>
      <x:c r="AM5484" s="87" t="str">
        <x:v>MATHP_EGKR_951</x:v>
      </x:c>
      <x:c r="AN5484" s="87" t="n">
        <x:v>4</x:v>
      </x:c>
    </x:row>
    <x:row r="5485">
      <x:c r="A5485" s="87" t="n">
        <x:v>5484</x:v>
      </x:c>
      <x:c r="B5485" s="87" t="str">
        <x:v>EGKR-W25-MATHP-951-04</x:v>
      </x:c>
      <x:c r="C5485" s="87" t="str">
        <x:v>ЕГКР</x:v>
      </x:c>
      <x:c r="D5485" s="87"/>
      <x:c r="E5485" s="87" t="str">
        <x:v>Зима 2025</x:v>
      </x:c>
      <x:c r="F5485" s="87" t="str">
        <x:v>16.12.2025</x:v>
      </x:c>
      <x:c r="G5485" s="87" t="str">
        <x:v>Математика (профиль)</x:v>
      </x:c>
      <x:c r="H5485" s="87" t="n">
        <x:v>11</x:v>
      </x:c>
      <x:c r="I5485" s="87"/>
      <x:c r="J5485" s="87" t="str">
        <x:v>951</x:v>
      </x:c>
      <x:c r="K5485" s="87" t="n">
        <x:v>4</x:v>
      </x:c>
      <x:c r="L5485" s="87" t="str">
        <x:v>Краткий ответ</x:v>
      </x:c>
      <x:c r="M5485" s="30" t="str">
        <x:v>Карточки с целыми числами 5-15; добавить карточку с суммой чётных. Найти вероятность нечётного числа.</x:v>
      </x:c>
      <x:c r="N5485" s="30" t="str">
        <x:v>0,5</x:v>
      </x:c>
      <x:c r="O5485" s="30" t="str">
        <x:v>Добавленная сумма чётных остаётся чётной; число нечётных карточек делится на новое общее число.</x:v>
      </x:c>
      <x:c r="P5485" s="30" t="str">
        <x:v>Проверено вычислением и по полной визуальной странице.</x:v>
      </x:c>
      <x:c r="Q5485" s="30"/>
      <x:c r="R5485" s="30"/>
      <x:c r="S5485" s="30" t="str">
        <x:v>Ответы профиль.docx</x:v>
      </x:c>
      <x:c r="T5485" s="30"/>
      <x:c r="U5485" s="30" t="str">
        <x:v>Ответник совпадает с независимой проверкой.</x:v>
      </x:c>
      <x:c r="V5485" s="87" t="str">
        <x:v>VERIFIED</x:v>
      </x:c>
      <x:c r="W5485" s="87"/>
      <x:c r="X5485" s="87" t="n">
        <x:v>2</x:v>
      </x:c>
      <x:c r="Y5485" s="87"/>
      <x:c r="Z5485" s="87"/>
      <x:c r="AA5485" s="87"/>
      <x:c r="AB5485" s="87"/>
      <x:c r="AC5485" s="87" t="str">
        <x:v>VIS-EGKR-MATHP-W25-TASK-951-P002</x:v>
      </x:c>
      <x:c r="AD5485" s="87"/>
      <x:c r="AE5485" s="87" t="str">
        <x:v>TASK</x:v>
      </x:c>
      <x:c r="AF5485" s="87" t="str">
        <x:v>VIS-EGKR-MATHP-W25-TASK-951-P002: 2</x:v>
      </x:c>
      <x:c r="AG5485" s="87" t="str">
        <x:v>RESOLVED</x:v>
      </x:c>
      <x:c r="AH5485" s="87" t="str">
        <x:v>CROP_VERIFIED</x:v>
      </x:c>
      <x:c r="AI5485" s="30"/>
      <x:c r="AJ5485" s="87" t="str">
        <x:v>clean</x:v>
      </x:c>
      <x:c r="AK5485" s="87" t="str">
        <x:v>clean-v0.15</x:v>
      </x:c>
      <x:c r="AL5485" s="87" t="str">
        <x:v>statgrad_clean_continuation_v0_15(1).xlsx</x:v>
      </x:c>
      <x:c r="AM5485" s="87" t="str">
        <x:v>MATHP_EGKR_951</x:v>
      </x:c>
      <x:c r="AN5485" s="87" t="n">
        <x:v>5</x:v>
      </x:c>
    </x:row>
    <x:row r="5486">
      <x:c r="A5486" s="87" t="n">
        <x:v>5485</x:v>
      </x:c>
      <x:c r="B5486" s="87" t="str">
        <x:v>EGKR-W25-MATHP-951-05</x:v>
      </x:c>
      <x:c r="C5486" s="87" t="str">
        <x:v>ЕГКР</x:v>
      </x:c>
      <x:c r="D5486" s="87"/>
      <x:c r="E5486" s="87" t="str">
        <x:v>Зима 2025</x:v>
      </x:c>
      <x:c r="F5486" s="87" t="str">
        <x:v>16.12.2025</x:v>
      </x:c>
      <x:c r="G5486" s="87" t="str">
        <x:v>Математика (профиль)</x:v>
      </x:c>
      <x:c r="H5486" s="87" t="n">
        <x:v>11</x:v>
      </x:c>
      <x:c r="I5486" s="87"/>
      <x:c r="J5486" s="87" t="str">
        <x:v>951</x:v>
      </x:c>
      <x:c r="K5486" s="87" t="n">
        <x:v>5</x:v>
      </x:c>
      <x:c r="L5486" s="87" t="str">
        <x:v>Краткий ответ</x:v>
      </x:c>
      <x:c r="M5486" s="30" t="str">
        <x:v>Три линии с долями загрузки 20%, 30%, 50% и браком 4%, 2%, 1%. Найти общую вероятность брака.</x:v>
      </x:c>
      <x:c r="N5486" s="30" t="str">
        <x:v>0,019</x:v>
      </x:c>
      <x:c r="O5486" s="30" t="str">
        <x:v>Использована формула полной вероятности с весами 0,2; 0,3; 0,5.</x:v>
      </x:c>
      <x:c r="P5486" s="30" t="str">
        <x:v>Проверено вычислением и по полной визуальной странице.</x:v>
      </x:c>
      <x:c r="Q5486" s="30"/>
      <x:c r="R5486" s="30"/>
      <x:c r="S5486" s="30" t="str">
        <x:v>Ответы профиль.docx</x:v>
      </x:c>
      <x:c r="T5486" s="30"/>
      <x:c r="U5486" s="30" t="str">
        <x:v>Ответник совпадает с независимой проверкой.</x:v>
      </x:c>
      <x:c r="V5486" s="87" t="str">
        <x:v>VERIFIED</x:v>
      </x:c>
      <x:c r="W5486" s="87"/>
      <x:c r="X5486" s="87" t="n">
        <x:v>2</x:v>
      </x:c>
      <x:c r="Y5486" s="87"/>
      <x:c r="Z5486" s="87"/>
      <x:c r="AA5486" s="87"/>
      <x:c r="AB5486" s="87"/>
      <x:c r="AC5486" s="87" t="str">
        <x:v>VIS-EGKR-MATHP-W25-TASK-951-P002</x:v>
      </x:c>
      <x:c r="AD5486" s="87"/>
      <x:c r="AE5486" s="87" t="str">
        <x:v>TASK</x:v>
      </x:c>
      <x:c r="AF5486" s="87" t="str">
        <x:v>VIS-EGKR-MATHP-W25-TASK-951-P002: 2</x:v>
      </x:c>
      <x:c r="AG5486" s="87" t="str">
        <x:v>RESOLVED</x:v>
      </x:c>
      <x:c r="AH5486" s="87" t="str">
        <x:v>CROP_VERIFIED</x:v>
      </x:c>
      <x:c r="AI5486" s="30"/>
      <x:c r="AJ5486" s="87" t="str">
        <x:v>clean</x:v>
      </x:c>
      <x:c r="AK5486" s="87" t="str">
        <x:v>clean-v0.15</x:v>
      </x:c>
      <x:c r="AL5486" s="87" t="str">
        <x:v>statgrad_clean_continuation_v0_15(1).xlsx</x:v>
      </x:c>
      <x:c r="AM5486" s="87" t="str">
        <x:v>MATHP_EGKR_951</x:v>
      </x:c>
      <x:c r="AN5486" s="87" t="n">
        <x:v>6</x:v>
      </x:c>
    </x:row>
    <x:row r="5487">
      <x:c r="A5487" s="87" t="n">
        <x:v>5486</x:v>
      </x:c>
      <x:c r="B5487" s="87" t="str">
        <x:v>EGKR-W25-MATHP-951-06</x:v>
      </x:c>
      <x:c r="C5487" s="87" t="str">
        <x:v>ЕГКР</x:v>
      </x:c>
      <x:c r="D5487" s="87"/>
      <x:c r="E5487" s="87" t="str">
        <x:v>Зима 2025</x:v>
      </x:c>
      <x:c r="F5487" s="87" t="str">
        <x:v>16.12.2025</x:v>
      </x:c>
      <x:c r="G5487" s="87" t="str">
        <x:v>Математика (профиль)</x:v>
      </x:c>
      <x:c r="H5487" s="87" t="n">
        <x:v>11</x:v>
      </x:c>
      <x:c r="I5487" s="87"/>
      <x:c r="J5487" s="87" t="str">
        <x:v>951</x:v>
      </x:c>
      <x:c r="K5487" s="87" t="n">
        <x:v>6</x:v>
      </x:c>
      <x:c r="L5487" s="87" t="str">
        <x:v>Краткий ответ</x:v>
      </x:c>
      <x:c r="M5487" s="30" t="str">
        <x:v>Решить уравнение 2^x=(1/2)^(x+2).</x:v>
      </x:c>
      <x:c r="N5487" s="30" t="str">
        <x:v>-1</x:v>
      </x:c>
      <x:c r="O5487" s="30" t="str">
        <x:v>Правая часть записана как степень того же основания; показатели приравнены.</x:v>
      </x:c>
      <x:c r="P5487" s="30" t="str">
        <x:v>Проверено вычислением и по полной визуальной странице.</x:v>
      </x:c>
      <x:c r="Q5487" s="30"/>
      <x:c r="R5487" s="30"/>
      <x:c r="S5487" s="30" t="str">
        <x:v>Ответы профиль.docx</x:v>
      </x:c>
      <x:c r="T5487" s="30"/>
      <x:c r="U5487" s="30" t="str">
        <x:v>Ответник совпадает с независимой проверкой.</x:v>
      </x:c>
      <x:c r="V5487" s="87" t="str">
        <x:v>VERIFIED</x:v>
      </x:c>
      <x:c r="W5487" s="87"/>
      <x:c r="X5487" s="87" t="n">
        <x:v>2</x:v>
      </x:c>
      <x:c r="Y5487" s="87"/>
      <x:c r="Z5487" s="87"/>
      <x:c r="AA5487" s="87"/>
      <x:c r="AB5487" s="87"/>
      <x:c r="AC5487" s="87" t="str">
        <x:v>VIS-EGKR-MATHP-W25-TASK-951-P002</x:v>
      </x:c>
      <x:c r="AD5487" s="87"/>
      <x:c r="AE5487" s="87" t="str">
        <x:v>TASK</x:v>
      </x:c>
      <x:c r="AF5487" s="87" t="str">
        <x:v>VIS-EGKR-MATHP-W25-TASK-951-P002: 2</x:v>
      </x:c>
      <x:c r="AG5487" s="87" t="str">
        <x:v>RESOLVED</x:v>
      </x:c>
      <x:c r="AH5487" s="87" t="str">
        <x:v>CROP_VERIFIED</x:v>
      </x:c>
      <x:c r="AI5487" s="30"/>
      <x:c r="AJ5487" s="87" t="str">
        <x:v>clean</x:v>
      </x:c>
      <x:c r="AK5487" s="87" t="str">
        <x:v>clean-v0.15</x:v>
      </x:c>
      <x:c r="AL5487" s="87" t="str">
        <x:v>statgrad_clean_continuation_v0_15(1).xlsx</x:v>
      </x:c>
      <x:c r="AM5487" s="87" t="str">
        <x:v>MATHP_EGKR_951</x:v>
      </x:c>
      <x:c r="AN5487" s="87" t="n">
        <x:v>7</x:v>
      </x:c>
    </x:row>
    <x:row r="5488">
      <x:c r="A5488" s="87" t="n">
        <x:v>5487</x:v>
      </x:c>
      <x:c r="B5488" s="87" t="str">
        <x:v>EGKR-W25-MATHP-951-07</x:v>
      </x:c>
      <x:c r="C5488" s="87" t="str">
        <x:v>ЕГКР</x:v>
      </x:c>
      <x:c r="D5488" s="87"/>
      <x:c r="E5488" s="87" t="str">
        <x:v>Зима 2025</x:v>
      </x:c>
      <x:c r="F5488" s="87" t="str">
        <x:v>16.12.2025</x:v>
      </x:c>
      <x:c r="G5488" s="87" t="str">
        <x:v>Математика (профиль)</x:v>
      </x:c>
      <x:c r="H5488" s="87" t="n">
        <x:v>11</x:v>
      </x:c>
      <x:c r="I5488" s="87"/>
      <x:c r="J5488" s="87" t="str">
        <x:v>951</x:v>
      </x:c>
      <x:c r="K5488" s="87" t="n">
        <x:v>7</x:v>
      </x:c>
      <x:c r="L5488" s="87" t="str">
        <x:v>Краткий ответ</x:v>
      </x:c>
      <x:c r="M5488" s="30" t="str">
        <x:v>Вычислить √3 cos(π/6)-sin(π/6).</x:v>
      </x:c>
      <x:c r="N5488" s="30" t="str">
        <x:v>1</x:v>
      </x:c>
      <x:c r="O5488" s="30" t="str">
        <x:v>Подставлены табличные значения синуса и косинуса.</x:v>
      </x:c>
      <x:c r="P5488" s="30" t="str">
        <x:v>Проверено вычислением и по полной визуальной странице.</x:v>
      </x:c>
      <x:c r="Q5488" s="30"/>
      <x:c r="R5488" s="30"/>
      <x:c r="S5488" s="30" t="str">
        <x:v>Ответы профиль.docx</x:v>
      </x:c>
      <x:c r="T5488" s="30"/>
      <x:c r="U5488" s="30" t="str">
        <x:v>Ответник совпадает с независимой проверкой.</x:v>
      </x:c>
      <x:c r="V5488" s="87" t="str">
        <x:v>VERIFIED</x:v>
      </x:c>
      <x:c r="W5488" s="87"/>
      <x:c r="X5488" s="87" t="n">
        <x:v>2</x:v>
      </x:c>
      <x:c r="Y5488" s="87"/>
      <x:c r="Z5488" s="87"/>
      <x:c r="AA5488" s="87"/>
      <x:c r="AB5488" s="87"/>
      <x:c r="AC5488" s="87" t="str">
        <x:v>VIS-EGKR-MATHP-W25-TASK-951-P002</x:v>
      </x:c>
      <x:c r="AD5488" s="87"/>
      <x:c r="AE5488" s="87" t="str">
        <x:v>TASK</x:v>
      </x:c>
      <x:c r="AF5488" s="87" t="str">
        <x:v>VIS-EGKR-MATHP-W25-TASK-951-P002: 2</x:v>
      </x:c>
      <x:c r="AG5488" s="87" t="str">
        <x:v>RESOLVED</x:v>
      </x:c>
      <x:c r="AH5488" s="87" t="str">
        <x:v>CROP_VERIFIED</x:v>
      </x:c>
      <x:c r="AI5488" s="30"/>
      <x:c r="AJ5488" s="87" t="str">
        <x:v>clean</x:v>
      </x:c>
      <x:c r="AK5488" s="87" t="str">
        <x:v>clean-v0.15</x:v>
      </x:c>
      <x:c r="AL5488" s="87" t="str">
        <x:v>statgrad_clean_continuation_v0_15(1).xlsx</x:v>
      </x:c>
      <x:c r="AM5488" s="87" t="str">
        <x:v>MATHP_EGKR_951</x:v>
      </x:c>
      <x:c r="AN5488" s="87" t="n">
        <x:v>8</x:v>
      </x:c>
    </x:row>
    <x:row r="5489">
      <x:c r="A5489" s="87" t="n">
        <x:v>5488</x:v>
      </x:c>
      <x:c r="B5489" s="87" t="str">
        <x:v>EGKR-W25-MATHP-951-08</x:v>
      </x:c>
      <x:c r="C5489" s="87" t="str">
        <x:v>ЕГКР</x:v>
      </x:c>
      <x:c r="D5489" s="87"/>
      <x:c r="E5489" s="87" t="str">
        <x:v>Зима 2025</x:v>
      </x:c>
      <x:c r="F5489" s="87" t="str">
        <x:v>16.12.2025</x:v>
      </x:c>
      <x:c r="G5489" s="87" t="str">
        <x:v>Математика (профиль)</x:v>
      </x:c>
      <x:c r="H5489" s="87" t="n">
        <x:v>11</x:v>
      </x:c>
      <x:c r="I5489" s="87"/>
      <x:c r="J5489" s="87" t="str">
        <x:v>951</x:v>
      </x:c>
      <x:c r="K5489" s="87" t="n">
        <x:v>8</x:v>
      </x:c>
      <x:c r="L5489" s="87" t="str">
        <x:v>Краткий ответ</x:v>
      </x:c>
      <x:c r="M5489" s="30" t="str">
        <x:v>По графику f на интервале (-12;2) посчитать целые x, где f'(x)&gt;0.</x:v>
      </x:c>
      <x:c r="N5489" s="30" t="str">
        <x:v>5</x:v>
      </x:c>
      <x:c r="O5489" s="30" t="str">
        <x:v>Посчитаны целые абсциссы на участках возрастания графика.</x:v>
      </x:c>
      <x:c r="P5489" s="30" t="str">
        <x:v>Проверено вычислением и по полной визуальной странице.</x:v>
      </x:c>
      <x:c r="Q5489" s="30"/>
      <x:c r="R5489" s="30"/>
      <x:c r="S5489" s="30" t="str">
        <x:v>Ответы профиль.docx</x:v>
      </x:c>
      <x:c r="T5489" s="30"/>
      <x:c r="U5489" s="30" t="str">
        <x:v>Ответник совпадает с независимой проверкой.</x:v>
      </x:c>
      <x:c r="V5489" s="87" t="str">
        <x:v>VERIFIED</x:v>
      </x:c>
      <x:c r="W5489" s="87"/>
      <x:c r="X5489" s="87" t="n">
        <x:v>2</x:v>
      </x:c>
      <x:c r="Y5489" s="87"/>
      <x:c r="Z5489" s="87"/>
      <x:c r="AA5489" s="87"/>
      <x:c r="AB5489" s="87"/>
      <x:c r="AC5489" s="87" t="str">
        <x:v>VIS-EGKR-MATHP-W25-TASK-951-P002</x:v>
      </x:c>
      <x:c r="AD5489" s="87"/>
      <x:c r="AE5489" s="87" t="str">
        <x:v>TASK</x:v>
      </x:c>
      <x:c r="AF5489" s="87" t="str">
        <x:v>VIS-EGKR-MATHP-W25-TASK-951-P002: 2</x:v>
      </x:c>
      <x:c r="AG5489" s="87" t="str">
        <x:v>RESOLVED</x:v>
      </x:c>
      <x:c r="AH5489" s="87" t="str">
        <x:v>CROP_VERIFIED</x:v>
      </x:c>
      <x:c r="AI5489" s="30"/>
      <x:c r="AJ5489" s="87" t="str">
        <x:v>clean</x:v>
      </x:c>
      <x:c r="AK5489" s="87" t="str">
        <x:v>clean-v0.15</x:v>
      </x:c>
      <x:c r="AL5489" s="87" t="str">
        <x:v>statgrad_clean_continuation_v0_15(1).xlsx</x:v>
      </x:c>
      <x:c r="AM5489" s="87" t="str">
        <x:v>MATHP_EGKR_951</x:v>
      </x:c>
      <x:c r="AN5489" s="87" t="n">
        <x:v>9</x:v>
      </x:c>
    </x:row>
    <x:row r="5490">
      <x:c r="A5490" s="87" t="n">
        <x:v>5489</x:v>
      </x:c>
      <x:c r="B5490" s="87" t="str">
        <x:v>EGKR-W25-MATHP-951-09</x:v>
      </x:c>
      <x:c r="C5490" s="87" t="str">
        <x:v>ЕГКР</x:v>
      </x:c>
      <x:c r="D5490" s="87"/>
      <x:c r="E5490" s="87" t="str">
        <x:v>Зима 2025</x:v>
      </x:c>
      <x:c r="F5490" s="87" t="str">
        <x:v>16.12.2025</x:v>
      </x:c>
      <x:c r="G5490" s="87" t="str">
        <x:v>Математика (профиль)</x:v>
      </x:c>
      <x:c r="H5490" s="87" t="n">
        <x:v>11</x:v>
      </x:c>
      <x:c r="I5490" s="87"/>
      <x:c r="J5490" s="87" t="str">
        <x:v>951</x:v>
      </x:c>
      <x:c r="K5490" s="87" t="n">
        <x:v>9</x:v>
      </x:c>
      <x:c r="L5490" s="87" t="str">
        <x:v>Краткий ответ</x:v>
      </x:c>
      <x:c r="M5490" s="30" t="str">
        <x:v>Высота воды задана квадратным законом (H₀=2, a=1/50, b=-2/5). Найти время до опустошения.</x:v>
      </x:c>
      <x:c r="N5490" s="30" t="str">
        <x:v>10</x:v>
      </x:c>
      <x:c r="O5490" s="30" t="str">
        <x:v>Решено H(t)=0 и выбран физически допустимый положительный корень.</x:v>
      </x:c>
      <x:c r="P5490" s="30" t="str">
        <x:v>Проверено вычислением и по полной визуальной странице.</x:v>
      </x:c>
      <x:c r="Q5490" s="30"/>
      <x:c r="R5490" s="30"/>
      <x:c r="S5490" s="30" t="str">
        <x:v>Ответы профиль.docx</x:v>
      </x:c>
      <x:c r="T5490" s="30"/>
      <x:c r="U5490" s="30" t="str">
        <x:v>Ответник совпадает с независимой проверкой.</x:v>
      </x:c>
      <x:c r="V5490" s="87" t="str">
        <x:v>VERIFIED</x:v>
      </x:c>
      <x:c r="W5490" s="87"/>
      <x:c r="X5490" s="87" t="n">
        <x:v>2</x:v>
      </x:c>
      <x:c r="Y5490" s="87"/>
      <x:c r="Z5490" s="87"/>
      <x:c r="AA5490" s="87"/>
      <x:c r="AB5490" s="87"/>
      <x:c r="AC5490" s="87" t="str">
        <x:v>VIS-EGKR-MATHP-W25-TASK-951-P002</x:v>
      </x:c>
      <x:c r="AD5490" s="87"/>
      <x:c r="AE5490" s="87" t="str">
        <x:v>TASK</x:v>
      </x:c>
      <x:c r="AF5490" s="87" t="str">
        <x:v>VIS-EGKR-MATHP-W25-TASK-951-P002: 2</x:v>
      </x:c>
      <x:c r="AG5490" s="87" t="str">
        <x:v>RESOLVED</x:v>
      </x:c>
      <x:c r="AH5490" s="87" t="str">
        <x:v>CROP_VERIFIED</x:v>
      </x:c>
      <x:c r="AI5490" s="30"/>
      <x:c r="AJ5490" s="87" t="str">
        <x:v>clean</x:v>
      </x:c>
      <x:c r="AK5490" s="87" t="str">
        <x:v>clean-v0.15</x:v>
      </x:c>
      <x:c r="AL5490" s="87" t="str">
        <x:v>statgrad_clean_continuation_v0_15(1).xlsx</x:v>
      </x:c>
      <x:c r="AM5490" s="87" t="str">
        <x:v>MATHP_EGKR_951</x:v>
      </x:c>
      <x:c r="AN5490" s="87" t="n">
        <x:v>10</x:v>
      </x:c>
    </x:row>
    <x:row r="5491">
      <x:c r="A5491" s="87" t="n">
        <x:v>5490</x:v>
      </x:c>
      <x:c r="B5491" s="87" t="str">
        <x:v>EGKR-W25-MATHP-951-10</x:v>
      </x:c>
      <x:c r="C5491" s="87" t="str">
        <x:v>ЕГКР</x:v>
      </x:c>
      <x:c r="D5491" s="87"/>
      <x:c r="E5491" s="87" t="str">
        <x:v>Зима 2025</x:v>
      </x:c>
      <x:c r="F5491" s="87" t="str">
        <x:v>16.12.2025</x:v>
      </x:c>
      <x:c r="G5491" s="87" t="str">
        <x:v>Математика (профиль)</x:v>
      </x:c>
      <x:c r="H5491" s="87" t="n">
        <x:v>11</x:v>
      </x:c>
      <x:c r="I5491" s="87"/>
      <x:c r="J5491" s="87" t="str">
        <x:v>951</x:v>
      </x:c>
      <x:c r="K5491" s="87" t="n">
        <x:v>10</x:v>
      </x:c>
      <x:c r="L5491" s="87" t="str">
        <x:v>Краткий ответ</x:v>
      </x:c>
      <x:c r="M5491" s="30" t="str">
        <x:v>Посёлок C между A и B; AC=38; мотоцикл вдвое быстрее грузовика. Найти AB.</x:v>
      </x:c>
      <x:c r="N5491" s="30" t="str">
        <x:v>114</x:v>
      </x:c>
      <x:c r="O5491" s="30" t="str">
        <x:v>Равенство времени даёт AC/v=(AB-AC)/(2v), следовательно AB=3AC.</x:v>
      </x:c>
      <x:c r="P5491" s="30" t="str">
        <x:v>Проверено вычислением и по полной визуальной странице.</x:v>
      </x:c>
      <x:c r="Q5491" s="30"/>
      <x:c r="R5491" s="30"/>
      <x:c r="S5491" s="30" t="str">
        <x:v>Ответы профиль.docx</x:v>
      </x:c>
      <x:c r="T5491" s="30"/>
      <x:c r="U5491" s="30" t="str">
        <x:v>Ответник совпадает с независимой проверкой.</x:v>
      </x:c>
      <x:c r="V5491" s="87" t="str">
        <x:v>VERIFIED</x:v>
      </x:c>
      <x:c r="W5491" s="87"/>
      <x:c r="X5491" s="87" t="n">
        <x:v>2</x:v>
      </x:c>
      <x:c r="Y5491" s="87"/>
      <x:c r="Z5491" s="87"/>
      <x:c r="AA5491" s="87"/>
      <x:c r="AB5491" s="87"/>
      <x:c r="AC5491" s="87" t="str">
        <x:v>VIS-EGKR-MATHP-W25-TASK-951-P002</x:v>
      </x:c>
      <x:c r="AD5491" s="87"/>
      <x:c r="AE5491" s="87" t="str">
        <x:v>TASK</x:v>
      </x:c>
      <x:c r="AF5491" s="87" t="str">
        <x:v>VIS-EGKR-MATHP-W25-TASK-951-P002: 2</x:v>
      </x:c>
      <x:c r="AG5491" s="87" t="str">
        <x:v>RESOLVED</x:v>
      </x:c>
      <x:c r="AH5491" s="87" t="str">
        <x:v>CROP_VERIFIED</x:v>
      </x:c>
      <x:c r="AI5491" s="30"/>
      <x:c r="AJ5491" s="87" t="str">
        <x:v>clean</x:v>
      </x:c>
      <x:c r="AK5491" s="87" t="str">
        <x:v>clean-v0.15</x:v>
      </x:c>
      <x:c r="AL5491" s="87" t="str">
        <x:v>statgrad_clean_continuation_v0_15(1).xlsx</x:v>
      </x:c>
      <x:c r="AM5491" s="87" t="str">
        <x:v>MATHP_EGKR_951</x:v>
      </x:c>
      <x:c r="AN5491" s="87" t="n">
        <x:v>11</x:v>
      </x:c>
    </x:row>
    <x:row r="5492">
      <x:c r="A5492" s="87" t="n">
        <x:v>5491</x:v>
      </x:c>
      <x:c r="B5492" s="87" t="str">
        <x:v>EGKR-W25-MATHP-951-11</x:v>
      </x:c>
      <x:c r="C5492" s="87" t="str">
        <x:v>ЕГКР</x:v>
      </x:c>
      <x:c r="D5492" s="87"/>
      <x:c r="E5492" s="87" t="str">
        <x:v>Зима 2025</x:v>
      </x:c>
      <x:c r="F5492" s="87" t="str">
        <x:v>16.12.2025</x:v>
      </x:c>
      <x:c r="G5492" s="87" t="str">
        <x:v>Математика (профиль)</x:v>
      </x:c>
      <x:c r="H5492" s="87" t="n">
        <x:v>11</x:v>
      </x:c>
      <x:c r="I5492" s="87"/>
      <x:c r="J5492" s="87" t="str">
        <x:v>951</x:v>
      </x:c>
      <x:c r="K5492" s="87" t="n">
        <x:v>11</x:v>
      </x:c>
      <x:c r="L5492" s="87" t="str">
        <x:v>Краткий ответ</x:v>
      </x:c>
      <x:c r="M5492" s="30" t="str">
        <x:v>По графикам степенной и линейной функций найти ординату точки пересечения A.</x:v>
      </x:c>
      <x:c r="N5492" s="30" t="str">
        <x:v>10</x:v>
      </x:c>
      <x:c r="O5492" s="30" t="str">
        <x:v>Ордината точки A считана непосредственно по координатной сетке.</x:v>
      </x:c>
      <x:c r="P5492" s="30" t="str">
        <x:v>Проверено вычислением и по полной визуальной странице.</x:v>
      </x:c>
      <x:c r="Q5492" s="30"/>
      <x:c r="R5492" s="30"/>
      <x:c r="S5492" s="30" t="str">
        <x:v>Ответы профиль.docx</x:v>
      </x:c>
      <x:c r="T5492" s="30"/>
      <x:c r="U5492" s="30" t="str">
        <x:v>Ответник совпадает с независимой проверкой.</x:v>
      </x:c>
      <x:c r="V5492" s="87" t="str">
        <x:v>VERIFIED</x:v>
      </x:c>
      <x:c r="W5492" s="87"/>
      <x:c r="X5492" s="87" t="n">
        <x:v>2</x:v>
      </x:c>
      <x:c r="Y5492" s="87"/>
      <x:c r="Z5492" s="87"/>
      <x:c r="AA5492" s="87"/>
      <x:c r="AB5492" s="87"/>
      <x:c r="AC5492" s="87" t="str">
        <x:v>VIS-EGKR-MATHP-W25-TASK-951-P002</x:v>
      </x:c>
      <x:c r="AD5492" s="87"/>
      <x:c r="AE5492" s="87" t="str">
        <x:v>TASK</x:v>
      </x:c>
      <x:c r="AF5492" s="87" t="str">
        <x:v>VIS-EGKR-MATHP-W25-TASK-951-P002: 2</x:v>
      </x:c>
      <x:c r="AG5492" s="87" t="str">
        <x:v>RESOLVED</x:v>
      </x:c>
      <x:c r="AH5492" s="87" t="str">
        <x:v>CROP_VERIFIED</x:v>
      </x:c>
      <x:c r="AI5492" s="30"/>
      <x:c r="AJ5492" s="87" t="str">
        <x:v>clean</x:v>
      </x:c>
      <x:c r="AK5492" s="87" t="str">
        <x:v>clean-v0.15</x:v>
      </x:c>
      <x:c r="AL5492" s="87" t="str">
        <x:v>statgrad_clean_continuation_v0_15(1).xlsx</x:v>
      </x:c>
      <x:c r="AM5492" s="87" t="str">
        <x:v>MATHP_EGKR_951</x:v>
      </x:c>
      <x:c r="AN5492" s="87" t="n">
        <x:v>12</x:v>
      </x:c>
    </x:row>
    <x:row r="5493">
      <x:c r="A5493" s="87" t="n">
        <x:v>5492</x:v>
      </x:c>
      <x:c r="B5493" s="87" t="str">
        <x:v>EGKR-W25-MATHP-951-12</x:v>
      </x:c>
      <x:c r="C5493" s="87" t="str">
        <x:v>ЕГКР</x:v>
      </x:c>
      <x:c r="D5493" s="87"/>
      <x:c r="E5493" s="87" t="str">
        <x:v>Зима 2025</x:v>
      </x:c>
      <x:c r="F5493" s="87" t="str">
        <x:v>16.12.2025</x:v>
      </x:c>
      <x:c r="G5493" s="87" t="str">
        <x:v>Математика (профиль)</x:v>
      </x:c>
      <x:c r="H5493" s="87" t="n">
        <x:v>11</x:v>
      </x:c>
      <x:c r="I5493" s="87"/>
      <x:c r="J5493" s="87" t="str">
        <x:v>951</x:v>
      </x:c>
      <x:c r="K5493" s="87" t="n">
        <x:v>12</x:v>
      </x:c>
      <x:c r="L5493" s="87" t="str">
        <x:v>Краткий ответ</x:v>
      </x:c>
      <x:c r="M5493" s="30" t="str">
        <x:v>Для f=x²-3x, g=4x-2 решить равенство производных.</x:v>
      </x:c>
      <x:c r="N5493" s="30" t="str">
        <x:v>3,5</x:v>
      </x:c>
      <x:c r="O5493" s="30" t="str">
        <x:v>Вычислены производные и решено линейное уравнение.</x:v>
      </x:c>
      <x:c r="P5493" s="30" t="str">
        <x:v>Проверено вычислением и по полной визуальной странице.</x:v>
      </x:c>
      <x:c r="Q5493" s="30"/>
      <x:c r="R5493" s="30"/>
      <x:c r="S5493" s="30" t="str">
        <x:v>Ответы профиль.docx</x:v>
      </x:c>
      <x:c r="T5493" s="30"/>
      <x:c r="U5493" s="30" t="str">
        <x:v>Ответник совпадает с независимой проверкой.</x:v>
      </x:c>
      <x:c r="V5493" s="87" t="str">
        <x:v>VERIFIED</x:v>
      </x:c>
      <x:c r="W5493" s="87"/>
      <x:c r="X5493" s="87" t="n">
        <x:v>2</x:v>
      </x:c>
      <x:c r="Y5493" s="87"/>
      <x:c r="Z5493" s="87"/>
      <x:c r="AA5493" s="87"/>
      <x:c r="AB5493" s="87"/>
      <x:c r="AC5493" s="87" t="str">
        <x:v>VIS-EGKR-MATHP-W25-TASK-951-P002</x:v>
      </x:c>
      <x:c r="AD5493" s="87"/>
      <x:c r="AE5493" s="87" t="str">
        <x:v>TASK</x:v>
      </x:c>
      <x:c r="AF5493" s="87" t="str">
        <x:v>VIS-EGKR-MATHP-W25-TASK-951-P002: 2</x:v>
      </x:c>
      <x:c r="AG5493" s="87" t="str">
        <x:v>RESOLVED</x:v>
      </x:c>
      <x:c r="AH5493" s="87" t="str">
        <x:v>CROP_VERIFIED</x:v>
      </x:c>
      <x:c r="AI5493" s="30"/>
      <x:c r="AJ5493" s="87" t="str">
        <x:v>clean</x:v>
      </x:c>
      <x:c r="AK5493" s="87" t="str">
        <x:v>clean-v0.15</x:v>
      </x:c>
      <x:c r="AL5493" s="87" t="str">
        <x:v>statgrad_clean_continuation_v0_15(1).xlsx</x:v>
      </x:c>
      <x:c r="AM5493" s="87" t="str">
        <x:v>MATHP_EGKR_951</x:v>
      </x:c>
      <x:c r="AN5493" s="87" t="n">
        <x:v>13</x:v>
      </x:c>
    </x:row>
    <x:row r="5494">
      <x:c r="A5494" s="87" t="n">
        <x:v>5493</x:v>
      </x:c>
      <x:c r="B5494" s="87" t="str">
        <x:v>EGKR-W25-MATHP-951-13</x:v>
      </x:c>
      <x:c r="C5494" s="87" t="str">
        <x:v>ЕГКР</x:v>
      </x:c>
      <x:c r="D5494" s="87"/>
      <x:c r="E5494" s="87" t="str">
        <x:v>Зима 2025</x:v>
      </x:c>
      <x:c r="F5494" s="87" t="str">
        <x:v>16.12.2025</x:v>
      </x:c>
      <x:c r="G5494" s="87" t="str">
        <x:v>Математика (профиль)</x:v>
      </x:c>
      <x:c r="H5494" s="87" t="n">
        <x:v>11</x:v>
      </x:c>
      <x:c r="I5494" s="87"/>
      <x:c r="J5494" s="87" t="str">
        <x:v>951</x:v>
      </x:c>
      <x:c r="K5494" s="87" t="n">
        <x:v>13</x:v>
      </x:c>
      <x:c r="L5494" s="87" t="str">
        <x:v>Развёрнутый ответ</x:v>
      </x:c>
      <x:c r="M5494" s="30" t="str">
        <x:v>(2sin x-cos x)(1+cos x)=sin²x; промежуток [17π/2;19π/2].</x:v>
      </x:c>
      <x:c r="N5494" s="30" t="str">
        <x:v>(2sin x-1)(1+cos x)=0. Общие решения: x=π/6+2πk, x=5π/6+2πk, x=π+2πk. На заданном промежутке: x=53π/6 и x=9π.</x:v>
      </x:c>
      <x:c r="O5494" s="30" t="str">
        <x:v>Содержит полный ход решения и итоговый ответ.</x:v>
      </x:c>
      <x:c r="P5494" s="30" t="str">
        <x:v>Алгебра, геометрия или перебор проверены независимо от приложенных ученических решений.</x:v>
      </x:c>
      <x:c r="Q5494" s="30"/>
      <x:c r="R5494" s="30"/>
      <x:c r="S5494" s="30" t="str">
        <x:v>Независимое решение по исходному заданию</x:v>
      </x:c>
      <x:c r="T5494" s="30"/>
      <x:c r="U5494" s="30" t="str">
        <x:v>Вторичное рукописное решение пропускает корень 9π на заданном промежутке.</x:v>
      </x:c>
      <x:c r="V5494" s="87" t="str">
        <x:v>VERIFIED</x:v>
      </x:c>
      <x:c r="W5494" s="87"/>
      <x:c r="X5494" s="87" t="n">
        <x:v>3</x:v>
      </x:c>
      <x:c r="Y5494" s="87"/>
      <x:c r="Z5494" s="87"/>
      <x:c r="AA5494" s="87"/>
      <x:c r="AB5494" s="87"/>
      <x:c r="AC5494" s="87" t="str">
        <x:v>VIS-EGKR-MATHP-W25-TASK-951-P003</x:v>
      </x:c>
      <x:c r="AD5494" s="87"/>
      <x:c r="AE5494" s="87" t="str">
        <x:v>TASK</x:v>
      </x:c>
      <x:c r="AF5494" s="87" t="str">
        <x:v>VIS-EGKR-MATHP-W25-TASK-951-P003: 3</x:v>
      </x:c>
      <x:c r="AG5494" s="87" t="str">
        <x:v>RESOLVED</x:v>
      </x:c>
      <x:c r="AH5494" s="87" t="str">
        <x:v>CROP_VERIFIED</x:v>
      </x:c>
      <x:c r="AI5494" s="30"/>
      <x:c r="AJ5494" s="87" t="str">
        <x:v>clean</x:v>
      </x:c>
      <x:c r="AK5494" s="87" t="str">
        <x:v>clean-v0.15</x:v>
      </x:c>
      <x:c r="AL5494" s="87" t="str">
        <x:v>statgrad_clean_continuation_v0_15(1).xlsx</x:v>
      </x:c>
      <x:c r="AM5494" s="87" t="str">
        <x:v>MATHP_EGKR_951</x:v>
      </x:c>
      <x:c r="AN5494" s="87" t="n">
        <x:v>14</x:v>
      </x:c>
    </x:row>
    <x:row r="5495">
      <x:c r="A5495" s="87" t="n">
        <x:v>5494</x:v>
      </x:c>
      <x:c r="B5495" s="87" t="str">
        <x:v>EGKR-W25-MATHP-951-14</x:v>
      </x:c>
      <x:c r="C5495" s="87" t="str">
        <x:v>ЕГКР</x:v>
      </x:c>
      <x:c r="D5495" s="87"/>
      <x:c r="E5495" s="87" t="str">
        <x:v>Зима 2025</x:v>
      </x:c>
      <x:c r="F5495" s="87" t="str">
        <x:v>16.12.2025</x:v>
      </x:c>
      <x:c r="G5495" s="87" t="str">
        <x:v>Математика (профиль)</x:v>
      </x:c>
      <x:c r="H5495" s="87" t="n">
        <x:v>11</x:v>
      </x:c>
      <x:c r="I5495" s="87"/>
      <x:c r="J5495" s="87" t="str">
        <x:v>951</x:v>
      </x:c>
      <x:c r="K5495" s="87" t="n">
        <x:v>14</x:v>
      </x:c>
      <x:c r="L5495" s="87" t="str">
        <x:v>Развёрнутый ответ</x:v>
      </x:c>
      <x:c r="M5495" s="30" t="str">
        <x:v>Пирамида на ромбе со стороной 6; грани SAB и SCB перпендикулярны основанию, угол между ними 150°, другие грани наклонены на 60°.</x:v>
      </x:c>
      <x:c r="N5495" s="30" t="str">
        <x:v>SB перпендикулярно основанию, а угол ABC равен 150°. Расстояния от B до AD и CD одинаковы и равны 6/2, поэтому наклонные высоты граней SAD и SCD равны, следовательно, грани равновелики. Из tan60°=SB/(6/2) получаем SB=6√3/2; наклонная высота к AD и CD равна 6. Суммарная площадь боковых граней: 36+18√3.</x:v>
      </x:c>
      <x:c r="O5495" s="30" t="str">
        <x:v>Содержит полный ход решения и итоговый ответ.</x:v>
      </x:c>
      <x:c r="P5495" s="30" t="str">
        <x:v>Алгебра, геометрия или перебор проверены независимо от приложенных ученических решений.</x:v>
      </x:c>
      <x:c r="Q5495" s="30"/>
      <x:c r="R5495" s="30"/>
      <x:c r="S5495" s="30" t="str">
        <x:v>Независимое решение по исходному заданию</x:v>
      </x:c>
      <x:c r="T5495" s="30"/>
      <x:c r="U5495" s="30" t="str">
        <x:v>Независимая модель решения.</x:v>
      </x:c>
      <x:c r="V5495" s="87" t="str">
        <x:v>VERIFIED</x:v>
      </x:c>
      <x:c r="W5495" s="87"/>
      <x:c r="X5495" s="87" t="n">
        <x:v>3</x:v>
      </x:c>
      <x:c r="Y5495" s="87"/>
      <x:c r="Z5495" s="87"/>
      <x:c r="AA5495" s="87"/>
      <x:c r="AB5495" s="87"/>
      <x:c r="AC5495" s="87" t="str">
        <x:v>VIS-EGKR-MATHP-W25-TASK-951-P003</x:v>
      </x:c>
      <x:c r="AD5495" s="87"/>
      <x:c r="AE5495" s="87" t="str">
        <x:v>TASK</x:v>
      </x:c>
      <x:c r="AF5495" s="87" t="str">
        <x:v>VIS-EGKR-MATHP-W25-TASK-951-P003: 3</x:v>
      </x:c>
      <x:c r="AG5495" s="87" t="str">
        <x:v>RESOLVED</x:v>
      </x:c>
      <x:c r="AH5495" s="87" t="str">
        <x:v>CROP_VERIFIED</x:v>
      </x:c>
      <x:c r="AI5495" s="30"/>
      <x:c r="AJ5495" s="87" t="str">
        <x:v>clean</x:v>
      </x:c>
      <x:c r="AK5495" s="87" t="str">
        <x:v>clean-v0.15</x:v>
      </x:c>
      <x:c r="AL5495" s="87" t="str">
        <x:v>statgrad_clean_continuation_v0_15(1).xlsx</x:v>
      </x:c>
      <x:c r="AM5495" s="87" t="str">
        <x:v>MATHP_EGKR_951</x:v>
      </x:c>
      <x:c r="AN5495" s="87" t="n">
        <x:v>15</x:v>
      </x:c>
    </x:row>
    <x:row r="5496">
      <x:c r="A5496" s="87" t="n">
        <x:v>5495</x:v>
      </x:c>
      <x:c r="B5496" s="87" t="str">
        <x:v>EGKR-W25-MATHP-951-15</x:v>
      </x:c>
      <x:c r="C5496" s="87" t="str">
        <x:v>ЕГКР</x:v>
      </x:c>
      <x:c r="D5496" s="87"/>
      <x:c r="E5496" s="87" t="str">
        <x:v>Зима 2025</x:v>
      </x:c>
      <x:c r="F5496" s="87" t="str">
        <x:v>16.12.2025</x:v>
      </x:c>
      <x:c r="G5496" s="87" t="str">
        <x:v>Математика (профиль)</x:v>
      </x:c>
      <x:c r="H5496" s="87" t="n">
        <x:v>11</x:v>
      </x:c>
      <x:c r="I5496" s="87"/>
      <x:c r="J5496" s="87" t="str">
        <x:v>951</x:v>
      </x:c>
      <x:c r="K5496" s="87" t="n">
        <x:v>15</x:v>
      </x:c>
      <x:c r="L5496" s="87" t="str">
        <x:v>Развёрнутый ответ</x:v>
      </x:c>
      <x:c r="M5496" s="30" t="str">
        <x:v>(x+1)²-1/(x-1) ≤ (x-1)²+1/(x+1).</x:v>
      </x:c>
      <x:c r="N5496" s="30" t="str">
        <x:v>x∈(-∞;-√6/2]∪(-1;0]∪(1;√6/2].</x:v>
      </x:c>
      <x:c r="O5496" s="30" t="str">
        <x:v>Содержит полный ход решения и итоговый ответ.</x:v>
      </x:c>
      <x:c r="P5496" s="30" t="str">
        <x:v>Алгебра, геометрия или перебор проверены независимо от приложенных ученических решений.</x:v>
      </x:c>
      <x:c r="Q5496" s="30"/>
      <x:c r="R5496" s="30"/>
      <x:c r="S5496" s="30" t="str">
        <x:v>Независимое решение по исходному заданию</x:v>
      </x:c>
      <x:c r="T5496" s="30"/>
      <x:c r="U5496" s="30" t="str">
        <x:v>Независимая модель решения.</x:v>
      </x:c>
      <x:c r="V5496" s="87" t="str">
        <x:v>VERIFIED</x:v>
      </x:c>
      <x:c r="W5496" s="87"/>
      <x:c r="X5496" s="87" t="n">
        <x:v>3</x:v>
      </x:c>
      <x:c r="Y5496" s="87"/>
      <x:c r="Z5496" s="87"/>
      <x:c r="AA5496" s="87"/>
      <x:c r="AB5496" s="87"/>
      <x:c r="AC5496" s="87" t="str">
        <x:v>VIS-EGKR-MATHP-W25-TASK-951-P003</x:v>
      </x:c>
      <x:c r="AD5496" s="87"/>
      <x:c r="AE5496" s="87" t="str">
        <x:v>TASK</x:v>
      </x:c>
      <x:c r="AF5496" s="87" t="str">
        <x:v>VIS-EGKR-MATHP-W25-TASK-951-P003: 3</x:v>
      </x:c>
      <x:c r="AG5496" s="87" t="str">
        <x:v>RESOLVED</x:v>
      </x:c>
      <x:c r="AH5496" s="87" t="str">
        <x:v>CROP_VERIFIED</x:v>
      </x:c>
      <x:c r="AI5496" s="30"/>
      <x:c r="AJ5496" s="87" t="str">
        <x:v>clean</x:v>
      </x:c>
      <x:c r="AK5496" s="87" t="str">
        <x:v>clean-v0.15</x:v>
      </x:c>
      <x:c r="AL5496" s="87" t="str">
        <x:v>statgrad_clean_continuation_v0_15(1).xlsx</x:v>
      </x:c>
      <x:c r="AM5496" s="87" t="str">
        <x:v>MATHP_EGKR_951</x:v>
      </x:c>
      <x:c r="AN5496" s="87" t="n">
        <x:v>16</x:v>
      </x:c>
    </x:row>
    <x:row r="5497">
      <x:c r="A5497" s="87" t="n">
        <x:v>5496</x:v>
      </x:c>
      <x:c r="B5497" s="87" t="str">
        <x:v>EGKR-W25-MATHP-951-16</x:v>
      </x:c>
      <x:c r="C5497" s="87" t="str">
        <x:v>ЕГКР</x:v>
      </x:c>
      <x:c r="D5497" s="87"/>
      <x:c r="E5497" s="87" t="str">
        <x:v>Зима 2025</x:v>
      </x:c>
      <x:c r="F5497" s="87" t="str">
        <x:v>16.12.2025</x:v>
      </x:c>
      <x:c r="G5497" s="87" t="str">
        <x:v>Математика (профиль)</x:v>
      </x:c>
      <x:c r="H5497" s="87" t="n">
        <x:v>11</x:v>
      </x:c>
      <x:c r="I5497" s="87"/>
      <x:c r="J5497" s="87" t="str">
        <x:v>951</x:v>
      </x:c>
      <x:c r="K5497" s="87" t="n">
        <x:v>16</x:v>
      </x:c>
      <x:c r="L5497" s="87" t="str">
        <x:v>Развёрнутый ответ</x:v>
      </x:c>
      <x:c r="M5497" s="30" t="str">
        <x:v>Вклад на 4 года под 10%; в начале 3-го и 4-го годов вносится по 7 млн; суммарные проценты не больше 12 млн.</x:v>
      </x:c>
      <x:c r="N5497" s="30" t="str">
        <x:v>Сумма начисленных процентов равна 0,4641P+0,31·7. Неравенство 0,4641P+0,31·7≤12 даёт P≤21.181. Наибольшее целое число миллионов: 21.</x:v>
      </x:c>
      <x:c r="O5497" s="30" t="str">
        <x:v>Содержит полный ход решения и итоговый ответ.</x:v>
      </x:c>
      <x:c r="P5497" s="30" t="str">
        <x:v>Алгебра, геометрия или перебор проверены независимо от приложенных ученических решений.</x:v>
      </x:c>
      <x:c r="Q5497" s="30"/>
      <x:c r="R5497" s="30"/>
      <x:c r="S5497" s="30" t="str">
        <x:v>Независимое решение по исходному заданию</x:v>
      </x:c>
      <x:c r="T5497" s="30"/>
      <x:c r="U5497" s="30" t="str">
        <x:v>Независимая модель решения.</x:v>
      </x:c>
      <x:c r="V5497" s="87" t="str">
        <x:v>VERIFIED</x:v>
      </x:c>
      <x:c r="W5497" s="87"/>
      <x:c r="X5497" s="87" t="n">
        <x:v>3</x:v>
      </x:c>
      <x:c r="Y5497" s="87"/>
      <x:c r="Z5497" s="87"/>
      <x:c r="AA5497" s="87"/>
      <x:c r="AB5497" s="87"/>
      <x:c r="AC5497" s="87" t="str">
        <x:v>VIS-EGKR-MATHP-W25-TASK-951-P003</x:v>
      </x:c>
      <x:c r="AD5497" s="87"/>
      <x:c r="AE5497" s="87" t="str">
        <x:v>TASK</x:v>
      </x:c>
      <x:c r="AF5497" s="87" t="str">
        <x:v>VIS-EGKR-MATHP-W25-TASK-951-P003: 3</x:v>
      </x:c>
      <x:c r="AG5497" s="87" t="str">
        <x:v>RESOLVED</x:v>
      </x:c>
      <x:c r="AH5497" s="87" t="str">
        <x:v>CROP_VERIFIED</x:v>
      </x:c>
      <x:c r="AI5497" s="30"/>
      <x:c r="AJ5497" s="87" t="str">
        <x:v>clean</x:v>
      </x:c>
      <x:c r="AK5497" s="87" t="str">
        <x:v>clean-v0.15</x:v>
      </x:c>
      <x:c r="AL5497" s="87" t="str">
        <x:v>statgrad_clean_continuation_v0_15(1).xlsx</x:v>
      </x:c>
      <x:c r="AM5497" s="87" t="str">
        <x:v>MATHP_EGKR_951</x:v>
      </x:c>
      <x:c r="AN5497" s="87" t="n">
        <x:v>17</x:v>
      </x:c>
    </x:row>
    <x:row r="5498">
      <x:c r="A5498" s="87" t="n">
        <x:v>5497</x:v>
      </x:c>
      <x:c r="B5498" s="87" t="str">
        <x:v>EGKR-W25-MATHP-951-17</x:v>
      </x:c>
      <x:c r="C5498" s="87" t="str">
        <x:v>ЕГКР</x:v>
      </x:c>
      <x:c r="D5498" s="87"/>
      <x:c r="E5498" s="87" t="str">
        <x:v>Зима 2025</x:v>
      </x:c>
      <x:c r="F5498" s="87" t="str">
        <x:v>16.12.2025</x:v>
      </x:c>
      <x:c r="G5498" s="87" t="str">
        <x:v>Математика (профиль)</x:v>
      </x:c>
      <x:c r="H5498" s="87" t="n">
        <x:v>11</x:v>
      </x:c>
      <x:c r="I5498" s="87"/>
      <x:c r="J5498" s="87" t="str">
        <x:v>951</x:v>
      </x:c>
      <x:c r="K5498" s="87" t="n">
        <x:v>17</x:v>
      </x:c>
      <x:c r="L5498" s="87" t="str">
        <x:v>Развёрнутый ответ</x:v>
      </x:c>
      <x:c r="M5498" s="30" t="str">
        <x:v>В треугольнике ABC угол C тупой; BH - высота, P - второе пересечение BH с окружностью; AP - биссектриса. BC=R=2√2.</x:v>
      </x:c>
      <x:c r="N5498" s="30" t="str">
        <x:v>Из ∠BAP=∠PAC следуют равные хорды BP=PC, поэтому BCP равнобедренный. Так как BC=R=2R·sin∠BAC, то ∠A=30°. В треугольнике ABP: ∠BAP=15°, ∠ABP=60°, поэтому ∠APB=105°; отсюда ∠C=105° и ∠B=45°. Тогда AC=2R·sin45°=R√2=4.</x:v>
      </x:c>
      <x:c r="O5498" s="30" t="str">
        <x:v>Содержит полный ход решения и итоговый ответ.</x:v>
      </x:c>
      <x:c r="P5498" s="30" t="str">
        <x:v>Алгебра, геометрия или перебор проверены независимо от приложенных ученических решений.</x:v>
      </x:c>
      <x:c r="Q5498" s="30"/>
      <x:c r="R5498" s="30"/>
      <x:c r="S5498" s="30" t="str">
        <x:v>Независимое решение по исходному заданию</x:v>
      </x:c>
      <x:c r="T5498" s="30"/>
      <x:c r="U5498" s="30" t="str">
        <x:v>Независимая модель решения.</x:v>
      </x:c>
      <x:c r="V5498" s="87" t="str">
        <x:v>VERIFIED</x:v>
      </x:c>
      <x:c r="W5498" s="87"/>
      <x:c r="X5498" s="87" t="n">
        <x:v>3</x:v>
      </x:c>
      <x:c r="Y5498" s="87"/>
      <x:c r="Z5498" s="87"/>
      <x:c r="AA5498" s="87"/>
      <x:c r="AB5498" s="87"/>
      <x:c r="AC5498" s="87" t="str">
        <x:v>VIS-EGKR-MATHP-W25-TASK-951-P003</x:v>
      </x:c>
      <x:c r="AD5498" s="87"/>
      <x:c r="AE5498" s="87" t="str">
        <x:v>TASK</x:v>
      </x:c>
      <x:c r="AF5498" s="87" t="str">
        <x:v>VIS-EGKR-MATHP-W25-TASK-951-P003: 3</x:v>
      </x:c>
      <x:c r="AG5498" s="87" t="str">
        <x:v>RESOLVED</x:v>
      </x:c>
      <x:c r="AH5498" s="87" t="str">
        <x:v>CROP_VERIFIED</x:v>
      </x:c>
      <x:c r="AI5498" s="30"/>
      <x:c r="AJ5498" s="87" t="str">
        <x:v>clean</x:v>
      </x:c>
      <x:c r="AK5498" s="87" t="str">
        <x:v>clean-v0.15</x:v>
      </x:c>
      <x:c r="AL5498" s="87" t="str">
        <x:v>statgrad_clean_continuation_v0_15(1).xlsx</x:v>
      </x:c>
      <x:c r="AM5498" s="87" t="str">
        <x:v>MATHP_EGKR_951</x:v>
      </x:c>
      <x:c r="AN5498" s="87" t="n">
        <x:v>18</x:v>
      </x:c>
    </x:row>
    <x:row r="5499">
      <x:c r="A5499" s="87" t="n">
        <x:v>5498</x:v>
      </x:c>
      <x:c r="B5499" s="87" t="str">
        <x:v>EGKR-W25-MATHP-951-18</x:v>
      </x:c>
      <x:c r="C5499" s="87" t="str">
        <x:v>ЕГКР</x:v>
      </x:c>
      <x:c r="D5499" s="87"/>
      <x:c r="E5499" s="87" t="str">
        <x:v>Зима 2025</x:v>
      </x:c>
      <x:c r="F5499" s="87" t="str">
        <x:v>16.12.2025</x:v>
      </x:c>
      <x:c r="G5499" s="87" t="str">
        <x:v>Математика (профиль)</x:v>
      </x:c>
      <x:c r="H5499" s="87" t="n">
        <x:v>11</x:v>
      </x:c>
      <x:c r="I5499" s="87"/>
      <x:c r="J5499" s="87" t="str">
        <x:v>951</x:v>
      </x:c>
      <x:c r="K5499" s="87" t="n">
        <x:v>18</x:v>
      </x:c>
      <x:c r="L5499" s="87" t="str">
        <x:v>Развёрнутый ответ</x:v>
      </x:c>
      <x:c r="M5499" s="30" t="str">
        <x:v>|x²-ax+16|+|16x-a²|=||x²-ax+16|-|a²-16x||. Найти a, при которых корень единственный.</x:v>
      </x:c>
      <x:c r="N5499" s="30" t="str">
        <x:v>Для U,V≥0 равенство U+V=|U-V| эквивалентно UV=0. Корни задаются x²-ax+16=0 и x=a²/16. При |a|&lt;2·4 квадратное уравнение корней не имеет, остаётся один линейный корень. При a=2·4 двойной корень совпадает с ним; при a=-2·4 получаются два различных корня. Ответ: a∈(-8;8].</x:v>
      </x:c>
      <x:c r="O5499" s="30" t="str">
        <x:v>Содержит полный ход решения и итоговый ответ.</x:v>
      </x:c>
      <x:c r="P5499" s="30" t="str">
        <x:v>Алгебра, геометрия или перебор проверены независимо от приложенных ученических решений.</x:v>
      </x:c>
      <x:c r="Q5499" s="30"/>
      <x:c r="R5499" s="30"/>
      <x:c r="S5499" s="30" t="str">
        <x:v>Независимое решение по исходному заданию</x:v>
      </x:c>
      <x:c r="T5499" s="30"/>
      <x:c r="U5499" s="30" t="str">
        <x:v>Независимая модель решения.</x:v>
      </x:c>
      <x:c r="V5499" s="87" t="str">
        <x:v>VERIFIED</x:v>
      </x:c>
      <x:c r="W5499" s="87"/>
      <x:c r="X5499" s="87" t="n">
        <x:v>3</x:v>
      </x:c>
      <x:c r="Y5499" s="87"/>
      <x:c r="Z5499" s="87"/>
      <x:c r="AA5499" s="87"/>
      <x:c r="AB5499" s="87"/>
      <x:c r="AC5499" s="87" t="str">
        <x:v>VIS-EGKR-MATHP-W25-TASK-951-P003</x:v>
      </x:c>
      <x:c r="AD5499" s="87"/>
      <x:c r="AE5499" s="87" t="str">
        <x:v>TASK</x:v>
      </x:c>
      <x:c r="AF5499" s="87" t="str">
        <x:v>VIS-EGKR-MATHP-W25-TASK-951-P003: 3</x:v>
      </x:c>
      <x:c r="AG5499" s="87" t="str">
        <x:v>RESOLVED</x:v>
      </x:c>
      <x:c r="AH5499" s="87" t="str">
        <x:v>CROP_VERIFIED</x:v>
      </x:c>
      <x:c r="AI5499" s="30"/>
      <x:c r="AJ5499" s="87" t="str">
        <x:v>clean</x:v>
      </x:c>
      <x:c r="AK5499" s="87" t="str">
        <x:v>clean-v0.15</x:v>
      </x:c>
      <x:c r="AL5499" s="87" t="str">
        <x:v>statgrad_clean_continuation_v0_15(1).xlsx</x:v>
      </x:c>
      <x:c r="AM5499" s="87" t="str">
        <x:v>MATHP_EGKR_951</x:v>
      </x:c>
      <x:c r="AN5499" s="87" t="n">
        <x:v>19</x:v>
      </x:c>
    </x:row>
    <x:row r="5500">
      <x:c r="A5500" s="87" t="n">
        <x:v>5499</x:v>
      </x:c>
      <x:c r="B5500" s="87" t="str">
        <x:v>EGKR-W25-MATHP-951-19</x:v>
      </x:c>
      <x:c r="C5500" s="87" t="str">
        <x:v>ЕГКР</x:v>
      </x:c>
      <x:c r="D5500" s="87"/>
      <x:c r="E5500" s="87" t="str">
        <x:v>Зима 2025</x:v>
      </x:c>
      <x:c r="F5500" s="87" t="str">
        <x:v>16.12.2025</x:v>
      </x:c>
      <x:c r="G5500" s="87" t="str">
        <x:v>Математика (профиль)</x:v>
      </x:c>
      <x:c r="H5500" s="87" t="n">
        <x:v>11</x:v>
      </x:c>
      <x:c r="I5500" s="87"/>
      <x:c r="J5500" s="87" t="str">
        <x:v>951</x:v>
      </x:c>
      <x:c r="K5500" s="87" t="n">
        <x:v>19</x:v>
      </x:c>
      <x:c r="L5500" s="87" t="str">
        <x:v>Развёрнутый ответ</x:v>
      </x:c>
      <x:c r="M5500" s="30" t="str">
        <x:v>Конечная геометрическая прогрессия из трёхзначных натуральных чисел начинается с 304; не менее трёх членов. Проверить 380, 760 и найти максимум.</x:v>
      </x:c>
      <x:c r="N5500" s="30" t="str">
        <x:v>Пусть q=m/n в несократимом виде. Для целочисленности первых трёх членов необходимо n²|304; перебор допустимых m/n с сохранением трёхзначности даёт: а) да, q=5/4 даёт 304,380,475; б) нет, 760 не входит ни в одну допустимую последовательность; в) наибольшее возможное число 931, поскольку q=7/4 даёт 304,532,931.</x:v>
      </x:c>
      <x:c r="O5500" s="30" t="str">
        <x:v>Содержит полный ход решения и итоговый ответ.</x:v>
      </x:c>
      <x:c r="P5500" s="30" t="str">
        <x:v>Алгебра, геометрия или перебор проверены независимо от приложенных ученических решений.</x:v>
      </x:c>
      <x:c r="Q5500" s="30"/>
      <x:c r="R5500" s="30"/>
      <x:c r="S5500" s="30" t="str">
        <x:v>Независимое решение по исходному заданию</x:v>
      </x:c>
      <x:c r="T5500" s="30"/>
      <x:c r="U5500" s="30" t="str">
        <x:v>Независимая модель решения.</x:v>
      </x:c>
      <x:c r="V5500" s="87" t="str">
        <x:v>VERIFIED</x:v>
      </x:c>
      <x:c r="W5500" s="87"/>
      <x:c r="X5500" s="87" t="n">
        <x:v>3</x:v>
      </x:c>
      <x:c r="Y5500" s="87"/>
      <x:c r="Z5500" s="87"/>
      <x:c r="AA5500" s="87"/>
      <x:c r="AB5500" s="87"/>
      <x:c r="AC5500" s="87" t="str">
        <x:v>VIS-EGKR-MATHP-W25-TASK-951-P003</x:v>
      </x:c>
      <x:c r="AD5500" s="87"/>
      <x:c r="AE5500" s="87" t="str">
        <x:v>TASK</x:v>
      </x:c>
      <x:c r="AF5500" s="87" t="str">
        <x:v>VIS-EGKR-MATHP-W25-TASK-951-P003: 3</x:v>
      </x:c>
      <x:c r="AG5500" s="87" t="str">
        <x:v>RESOLVED</x:v>
      </x:c>
      <x:c r="AH5500" s="87" t="str">
        <x:v>CROP_VERIFIED</x:v>
      </x:c>
      <x:c r="AI5500" s="30"/>
      <x:c r="AJ5500" s="87" t="str">
        <x:v>clean</x:v>
      </x:c>
      <x:c r="AK5500" s="87" t="str">
        <x:v>clean-v0.15</x:v>
      </x:c>
      <x:c r="AL5500" s="87" t="str">
        <x:v>statgrad_clean_continuation_v0_15(1).xlsx</x:v>
      </x:c>
      <x:c r="AM5500" s="87" t="str">
        <x:v>MATHP_EGKR_951</x:v>
      </x:c>
      <x:c r="AN5500" s="87" t="n">
        <x:v>20</x:v>
      </x:c>
    </x:row>
    <x:row r="5501">
      <x:c r="A5501" s="87" t="n">
        <x:v>5500</x:v>
      </x:c>
      <x:c r="B5501" s="87" t="str">
        <x:v>EGKR-W25-MATHP-952-01</x:v>
      </x:c>
      <x:c r="C5501" s="87" t="str">
        <x:v>ЕГКР</x:v>
      </x:c>
      <x:c r="D5501" s="87"/>
      <x:c r="E5501" s="87" t="str">
        <x:v>Зима 2025</x:v>
      </x:c>
      <x:c r="F5501" s="87" t="str">
        <x:v>16.12.2025</x:v>
      </x:c>
      <x:c r="G5501" s="87" t="str">
        <x:v>Математика (профиль)</x:v>
      </x:c>
      <x:c r="H5501" s="87" t="n">
        <x:v>11</x:v>
      </x:c>
      <x:c r="I5501" s="87"/>
      <x:c r="J5501" s="87" t="str">
        <x:v>952</x:v>
      </x:c>
      <x:c r="K5501" s="87" t="n">
        <x:v>1</x:v>
      </x:c>
      <x:c r="L5501" s="87" t="str">
        <x:v>Краткий ответ</x:v>
      </x:c>
      <x:c r="M5501" s="30" t="str">
        <x:v>Прямоугольник ABCD; K - середина AD; AB=8, BK=17. Найти периметр.</x:v>
      </x:c>
      <x:c r="N5501" s="30" t="str">
        <x:v>76</x:v>
      </x:c>
      <x:c r="O5501" s="30" t="str">
        <x:v>Половина AD находится по теореме Пифагора из треугольника ABK; затем вычисляется периметр.</x:v>
      </x:c>
      <x:c r="P5501" s="30" t="str">
        <x:v>Проверено вычислением и по полной визуальной странице.</x:v>
      </x:c>
      <x:c r="Q5501" s="30"/>
      <x:c r="R5501" s="30"/>
      <x:c r="S5501" s="30" t="str">
        <x:v>Ответы профиль.docx</x:v>
      </x:c>
      <x:c r="T5501" s="30"/>
      <x:c r="U5501" s="30" t="str">
        <x:v>Ответник совпадает с независимой проверкой.</x:v>
      </x:c>
      <x:c r="V5501" s="87" t="str">
        <x:v>VERIFIED</x:v>
      </x:c>
      <x:c r="W5501" s="87"/>
      <x:c r="X5501" s="87" t="n">
        <x:v>1</x:v>
      </x:c>
      <x:c r="Y5501" s="87"/>
      <x:c r="Z5501" s="87"/>
      <x:c r="AA5501" s="87"/>
      <x:c r="AB5501" s="87"/>
      <x:c r="AC5501" s="87" t="str">
        <x:v>VIS-EGKR-MATHP-W25-TASK-952-P001</x:v>
      </x:c>
      <x:c r="AD5501" s="87"/>
      <x:c r="AE5501" s="87" t="str">
        <x:v>TASK</x:v>
      </x:c>
      <x:c r="AF5501" s="87" t="str">
        <x:v>VIS-EGKR-MATHP-W25-TASK-952-P001: 1</x:v>
      </x:c>
      <x:c r="AG5501" s="87" t="str">
        <x:v>RESOLVED</x:v>
      </x:c>
      <x:c r="AH5501" s="87" t="str">
        <x:v>CROP_VERIFIED</x:v>
      </x:c>
      <x:c r="AI5501" s="30"/>
      <x:c r="AJ5501" s="87" t="str">
        <x:v>clean</x:v>
      </x:c>
      <x:c r="AK5501" s="87" t="str">
        <x:v>clean-v0.15</x:v>
      </x:c>
      <x:c r="AL5501" s="87" t="str">
        <x:v>statgrad_clean_continuation_v0_15(1).xlsx</x:v>
      </x:c>
      <x:c r="AM5501" s="87" t="str">
        <x:v>MATHP_EGKR_952</x:v>
      </x:c>
      <x:c r="AN5501" s="87" t="n">
        <x:v>2</x:v>
      </x:c>
    </x:row>
    <x:row r="5502">
      <x:c r="A5502" s="87" t="n">
        <x:v>5501</x:v>
      </x:c>
      <x:c r="B5502" s="87" t="str">
        <x:v>EGKR-W25-MATHP-952-02</x:v>
      </x:c>
      <x:c r="C5502" s="87" t="str">
        <x:v>ЕГКР</x:v>
      </x:c>
      <x:c r="D5502" s="87"/>
      <x:c r="E5502" s="87" t="str">
        <x:v>Зима 2025</x:v>
      </x:c>
      <x:c r="F5502" s="87" t="str">
        <x:v>16.12.2025</x:v>
      </x:c>
      <x:c r="G5502" s="87" t="str">
        <x:v>Математика (профиль)</x:v>
      </x:c>
      <x:c r="H5502" s="87" t="n">
        <x:v>11</x:v>
      </x:c>
      <x:c r="I5502" s="87"/>
      <x:c r="J5502" s="87" t="str">
        <x:v>952</x:v>
      </x:c>
      <x:c r="K5502" s="87" t="n">
        <x:v>2</x:v>
      </x:c>
      <x:c r="L5502" s="87" t="str">
        <x:v>Краткий ответ</x:v>
      </x:c>
      <x:c r="M5502" s="30" t="str">
        <x:v>По координатной сетке найти скалярное произведение векторов a и b.</x:v>
      </x:c>
      <x:c r="N5502" s="30" t="str">
        <x:v>14</x:v>
      </x:c>
      <x:c r="O5502" s="30" t="str">
        <x:v>Координаты векторов считаны по клеткам, после чего вычислено aₓbₓ+aᵧbᵧ.</x:v>
      </x:c>
      <x:c r="P5502" s="30" t="str">
        <x:v>Проверено вычислением и по полной визуальной странице.</x:v>
      </x:c>
      <x:c r="Q5502" s="30"/>
      <x:c r="R5502" s="30"/>
      <x:c r="S5502" s="30" t="str">
        <x:v>Ответы профиль.docx</x:v>
      </x:c>
      <x:c r="T5502" s="30"/>
      <x:c r="U5502" s="30" t="str">
        <x:v>Ответник совпадает с независимой проверкой.</x:v>
      </x:c>
      <x:c r="V5502" s="87" t="str">
        <x:v>VERIFIED</x:v>
      </x:c>
      <x:c r="W5502" s="87"/>
      <x:c r="X5502" s="87" t="n">
        <x:v>1</x:v>
      </x:c>
      <x:c r="Y5502" s="87"/>
      <x:c r="Z5502" s="87"/>
      <x:c r="AA5502" s="87"/>
      <x:c r="AB5502" s="87"/>
      <x:c r="AC5502" s="87" t="str">
        <x:v>VIS-EGKR-MATHP-W25-TASK-952-P001</x:v>
      </x:c>
      <x:c r="AD5502" s="87"/>
      <x:c r="AE5502" s="87" t="str">
        <x:v>TASK</x:v>
      </x:c>
      <x:c r="AF5502" s="87" t="str">
        <x:v>VIS-EGKR-MATHP-W25-TASK-952-P001: 1</x:v>
      </x:c>
      <x:c r="AG5502" s="87" t="str">
        <x:v>RESOLVED</x:v>
      </x:c>
      <x:c r="AH5502" s="87" t="str">
        <x:v>CROP_VERIFIED</x:v>
      </x:c>
      <x:c r="AI5502" s="30"/>
      <x:c r="AJ5502" s="87" t="str">
        <x:v>clean</x:v>
      </x:c>
      <x:c r="AK5502" s="87" t="str">
        <x:v>clean-v0.15</x:v>
      </x:c>
      <x:c r="AL5502" s="87" t="str">
        <x:v>statgrad_clean_continuation_v0_15(1).xlsx</x:v>
      </x:c>
      <x:c r="AM5502" s="87" t="str">
        <x:v>MATHP_EGKR_952</x:v>
      </x:c>
      <x:c r="AN5502" s="87" t="n">
        <x:v>3</x:v>
      </x:c>
    </x:row>
    <x:row r="5503">
      <x:c r="A5503" s="87" t="n">
        <x:v>5502</x:v>
      </x:c>
      <x:c r="B5503" s="87" t="str">
        <x:v>EGKR-W25-MATHP-952-03</x:v>
      </x:c>
      <x:c r="C5503" s="87" t="str">
        <x:v>ЕГКР</x:v>
      </x:c>
      <x:c r="D5503" s="87"/>
      <x:c r="E5503" s="87" t="str">
        <x:v>Зима 2025</x:v>
      </x:c>
      <x:c r="F5503" s="87" t="str">
        <x:v>16.12.2025</x:v>
      </x:c>
      <x:c r="G5503" s="87" t="str">
        <x:v>Математика (профиль)</x:v>
      </x:c>
      <x:c r="H5503" s="87" t="n">
        <x:v>11</x:v>
      </x:c>
      <x:c r="I5503" s="87"/>
      <x:c r="J5503" s="87" t="str">
        <x:v>952</x:v>
      </x:c>
      <x:c r="K5503" s="87" t="n">
        <x:v>3</x:v>
      </x:c>
      <x:c r="L5503" s="87" t="str">
        <x:v>Краткий ответ</x:v>
      </x:c>
      <x:c r="M5503" s="30" t="str">
        <x:v>В кубе K - середина CC₁, M - середина CD. Найти угол между KM и A₁B₁.</x:v>
      </x:c>
      <x:c r="N5503" s="30" t="str">
        <x:v>45</x:v>
      </x:c>
      <x:c r="O5503" s="30" t="str">
        <x:v>Прямые заменены параллельными векторами куба; угол найден по скалярному произведению.</x:v>
      </x:c>
      <x:c r="P5503" s="30" t="str">
        <x:v>Проверено вычислением и по полной визуальной странице.</x:v>
      </x:c>
      <x:c r="Q5503" s="30"/>
      <x:c r="R5503" s="30"/>
      <x:c r="S5503" s="30" t="str">
        <x:v>Ответы профиль.docx</x:v>
      </x:c>
      <x:c r="T5503" s="30"/>
      <x:c r="U5503" s="30" t="str">
        <x:v>Ответник совпадает с независимой проверкой.</x:v>
      </x:c>
      <x:c r="V5503" s="87" t="str">
        <x:v>VERIFIED</x:v>
      </x:c>
      <x:c r="W5503" s="87"/>
      <x:c r="X5503" s="87" t="n">
        <x:v>1</x:v>
      </x:c>
      <x:c r="Y5503" s="87"/>
      <x:c r="Z5503" s="87"/>
      <x:c r="AA5503" s="87"/>
      <x:c r="AB5503" s="87"/>
      <x:c r="AC5503" s="87" t="str">
        <x:v>VIS-EGKR-MATHP-W25-TASK-952-P001</x:v>
      </x:c>
      <x:c r="AD5503" s="87"/>
      <x:c r="AE5503" s="87" t="str">
        <x:v>TASK</x:v>
      </x:c>
      <x:c r="AF5503" s="87" t="str">
        <x:v>VIS-EGKR-MATHP-W25-TASK-952-P001: 1</x:v>
      </x:c>
      <x:c r="AG5503" s="87" t="str">
        <x:v>RESOLVED</x:v>
      </x:c>
      <x:c r="AH5503" s="87" t="str">
        <x:v>CROP_VERIFIED</x:v>
      </x:c>
      <x:c r="AI5503" s="30"/>
      <x:c r="AJ5503" s="87" t="str">
        <x:v>clean</x:v>
      </x:c>
      <x:c r="AK5503" s="87" t="str">
        <x:v>clean-v0.15</x:v>
      </x:c>
      <x:c r="AL5503" s="87" t="str">
        <x:v>statgrad_clean_continuation_v0_15(1).xlsx</x:v>
      </x:c>
      <x:c r="AM5503" s="87" t="str">
        <x:v>MATHP_EGKR_952</x:v>
      </x:c>
      <x:c r="AN5503" s="87" t="n">
        <x:v>4</x:v>
      </x:c>
    </x:row>
    <x:row r="5504">
      <x:c r="A5504" s="87" t="n">
        <x:v>5503</x:v>
      </x:c>
      <x:c r="B5504" s="87" t="str">
        <x:v>EGKR-W25-MATHP-952-04</x:v>
      </x:c>
      <x:c r="C5504" s="87" t="str">
        <x:v>ЕГКР</x:v>
      </x:c>
      <x:c r="D5504" s="87"/>
      <x:c r="E5504" s="87" t="str">
        <x:v>Зима 2025</x:v>
      </x:c>
      <x:c r="F5504" s="87" t="str">
        <x:v>16.12.2025</x:v>
      </x:c>
      <x:c r="G5504" s="87" t="str">
        <x:v>Математика (профиль)</x:v>
      </x:c>
      <x:c r="H5504" s="87" t="n">
        <x:v>11</x:v>
      </x:c>
      <x:c r="I5504" s="87"/>
      <x:c r="J5504" s="87" t="str">
        <x:v>952</x:v>
      </x:c>
      <x:c r="K5504" s="87" t="n">
        <x:v>4</x:v>
      </x:c>
      <x:c r="L5504" s="87" t="str">
        <x:v>Краткий ответ</x:v>
      </x:c>
      <x:c r="M5504" s="30" t="str">
        <x:v>Карточки с целыми числами 3-26; добавить карточку с суммой чётных. Найти вероятность нечётного числа.</x:v>
      </x:c>
      <x:c r="N5504" s="30" t="str">
        <x:v>0,48</x:v>
      </x:c>
      <x:c r="O5504" s="30" t="str">
        <x:v>Добавленная сумма чётных остаётся чётной; число нечётных карточек делится на новое общее число.</x:v>
      </x:c>
      <x:c r="P5504" s="30" t="str">
        <x:v>Проверено вычислением и по полной визуальной странице.</x:v>
      </x:c>
      <x:c r="Q5504" s="30"/>
      <x:c r="R5504" s="30"/>
      <x:c r="S5504" s="30" t="str">
        <x:v>Ответы профиль.docx</x:v>
      </x:c>
      <x:c r="T5504" s="30"/>
      <x:c r="U5504" s="30" t="str">
        <x:v>Ответник совпадает с независимой проверкой.</x:v>
      </x:c>
      <x:c r="V5504" s="87" t="str">
        <x:v>VERIFIED</x:v>
      </x:c>
      <x:c r="W5504" s="87"/>
      <x:c r="X5504" s="87" t="n">
        <x:v>2</x:v>
      </x:c>
      <x:c r="Y5504" s="87"/>
      <x:c r="Z5504" s="87"/>
      <x:c r="AA5504" s="87"/>
      <x:c r="AB5504" s="87"/>
      <x:c r="AC5504" s="87" t="str">
        <x:v>VIS-EGKR-MATHP-W25-TASK-952-P002</x:v>
      </x:c>
      <x:c r="AD5504" s="87"/>
      <x:c r="AE5504" s="87" t="str">
        <x:v>TASK</x:v>
      </x:c>
      <x:c r="AF5504" s="87" t="str">
        <x:v>VIS-EGKR-MATHP-W25-TASK-952-P002: 2</x:v>
      </x:c>
      <x:c r="AG5504" s="87" t="str">
        <x:v>RESOLVED</x:v>
      </x:c>
      <x:c r="AH5504" s="87" t="str">
        <x:v>CROP_VERIFIED</x:v>
      </x:c>
      <x:c r="AI5504" s="30"/>
      <x:c r="AJ5504" s="87" t="str">
        <x:v>clean</x:v>
      </x:c>
      <x:c r="AK5504" s="87" t="str">
        <x:v>clean-v0.15</x:v>
      </x:c>
      <x:c r="AL5504" s="87" t="str">
        <x:v>statgrad_clean_continuation_v0_15(1).xlsx</x:v>
      </x:c>
      <x:c r="AM5504" s="87" t="str">
        <x:v>MATHP_EGKR_952</x:v>
      </x:c>
      <x:c r="AN5504" s="87" t="n">
        <x:v>5</x:v>
      </x:c>
    </x:row>
    <x:row r="5505">
      <x:c r="A5505" s="87" t="n">
        <x:v>5504</x:v>
      </x:c>
      <x:c r="B5505" s="87" t="str">
        <x:v>EGKR-W25-MATHP-952-05</x:v>
      </x:c>
      <x:c r="C5505" s="87" t="str">
        <x:v>ЕГКР</x:v>
      </x:c>
      <x:c r="D5505" s="87"/>
      <x:c r="E5505" s="87" t="str">
        <x:v>Зима 2025</x:v>
      </x:c>
      <x:c r="F5505" s="87" t="str">
        <x:v>16.12.2025</x:v>
      </x:c>
      <x:c r="G5505" s="87" t="str">
        <x:v>Математика (профиль)</x:v>
      </x:c>
      <x:c r="H5505" s="87" t="n">
        <x:v>11</x:v>
      </x:c>
      <x:c r="I5505" s="87"/>
      <x:c r="J5505" s="87" t="str">
        <x:v>952</x:v>
      </x:c>
      <x:c r="K5505" s="87" t="n">
        <x:v>5</x:v>
      </x:c>
      <x:c r="L5505" s="87" t="str">
        <x:v>Краткий ответ</x:v>
      </x:c>
      <x:c r="M5505" s="30" t="str">
        <x:v>Три линии с долями загрузки 20%, 30%, 50% и браком 5%, 2%, 1%. Найти общую вероятность брака.</x:v>
      </x:c>
      <x:c r="N5505" s="30" t="str">
        <x:v>0,021</x:v>
      </x:c>
      <x:c r="O5505" s="30" t="str">
        <x:v>Использована формула полной вероятности с весами 0,2; 0,3; 0,5.</x:v>
      </x:c>
      <x:c r="P5505" s="30" t="str">
        <x:v>Проверено вычислением и по полной визуальной странице.</x:v>
      </x:c>
      <x:c r="Q5505" s="30"/>
      <x:c r="R5505" s="30"/>
      <x:c r="S5505" s="30" t="str">
        <x:v>Ответы профиль.docx</x:v>
      </x:c>
      <x:c r="T5505" s="30"/>
      <x:c r="U5505" s="30" t="str">
        <x:v>Ответник совпадает с независимой проверкой.</x:v>
      </x:c>
      <x:c r="V5505" s="87" t="str">
        <x:v>VERIFIED</x:v>
      </x:c>
      <x:c r="W5505" s="87"/>
      <x:c r="X5505" s="87" t="n">
        <x:v>2</x:v>
      </x:c>
      <x:c r="Y5505" s="87"/>
      <x:c r="Z5505" s="87"/>
      <x:c r="AA5505" s="87"/>
      <x:c r="AB5505" s="87"/>
      <x:c r="AC5505" s="87" t="str">
        <x:v>VIS-EGKR-MATHP-W25-TASK-952-P002</x:v>
      </x:c>
      <x:c r="AD5505" s="87"/>
      <x:c r="AE5505" s="87" t="str">
        <x:v>TASK</x:v>
      </x:c>
      <x:c r="AF5505" s="87" t="str">
        <x:v>VIS-EGKR-MATHP-W25-TASK-952-P002: 2</x:v>
      </x:c>
      <x:c r="AG5505" s="87" t="str">
        <x:v>RESOLVED</x:v>
      </x:c>
      <x:c r="AH5505" s="87" t="str">
        <x:v>CROP_VERIFIED</x:v>
      </x:c>
      <x:c r="AI5505" s="30"/>
      <x:c r="AJ5505" s="87" t="str">
        <x:v>clean</x:v>
      </x:c>
      <x:c r="AK5505" s="87" t="str">
        <x:v>clean-v0.15</x:v>
      </x:c>
      <x:c r="AL5505" s="87" t="str">
        <x:v>statgrad_clean_continuation_v0_15(1).xlsx</x:v>
      </x:c>
      <x:c r="AM5505" s="87" t="str">
        <x:v>MATHP_EGKR_952</x:v>
      </x:c>
      <x:c r="AN5505" s="87" t="n">
        <x:v>6</x:v>
      </x:c>
    </x:row>
    <x:row r="5506">
      <x:c r="A5506" s="87" t="n">
        <x:v>5505</x:v>
      </x:c>
      <x:c r="B5506" s="87" t="str">
        <x:v>EGKR-W25-MATHP-952-06</x:v>
      </x:c>
      <x:c r="C5506" s="87" t="str">
        <x:v>ЕГКР</x:v>
      </x:c>
      <x:c r="D5506" s="87"/>
      <x:c r="E5506" s="87" t="str">
        <x:v>Зима 2025</x:v>
      </x:c>
      <x:c r="F5506" s="87" t="str">
        <x:v>16.12.2025</x:v>
      </x:c>
      <x:c r="G5506" s="87" t="str">
        <x:v>Математика (профиль)</x:v>
      </x:c>
      <x:c r="H5506" s="87" t="n">
        <x:v>11</x:v>
      </x:c>
      <x:c r="I5506" s="87"/>
      <x:c r="J5506" s="87" t="str">
        <x:v>952</x:v>
      </x:c>
      <x:c r="K5506" s="87" t="n">
        <x:v>6</x:v>
      </x:c>
      <x:c r="L5506" s="87" t="str">
        <x:v>Краткий ответ</x:v>
      </x:c>
      <x:c r="M5506" s="30" t="str">
        <x:v>Решить уравнение 3^x=(1/3)^(x+6).</x:v>
      </x:c>
      <x:c r="N5506" s="30" t="str">
        <x:v>-3</x:v>
      </x:c>
      <x:c r="O5506" s="30" t="str">
        <x:v>Правая часть записана как степень того же основания; показатели приравнены.</x:v>
      </x:c>
      <x:c r="P5506" s="30" t="str">
        <x:v>Проверено вычислением и по полной визуальной странице.</x:v>
      </x:c>
      <x:c r="Q5506" s="30"/>
      <x:c r="R5506" s="30"/>
      <x:c r="S5506" s="30" t="str">
        <x:v>Ответы профиль.docx</x:v>
      </x:c>
      <x:c r="T5506" s="30"/>
      <x:c r="U5506" s="30" t="str">
        <x:v>Ответник совпадает с независимой проверкой.</x:v>
      </x:c>
      <x:c r="V5506" s="87" t="str">
        <x:v>VERIFIED</x:v>
      </x:c>
      <x:c r="W5506" s="87"/>
      <x:c r="X5506" s="87" t="n">
        <x:v>2</x:v>
      </x:c>
      <x:c r="Y5506" s="87"/>
      <x:c r="Z5506" s="87"/>
      <x:c r="AA5506" s="87"/>
      <x:c r="AB5506" s="87"/>
      <x:c r="AC5506" s="87" t="str">
        <x:v>VIS-EGKR-MATHP-W25-TASK-952-P002</x:v>
      </x:c>
      <x:c r="AD5506" s="87"/>
      <x:c r="AE5506" s="87" t="str">
        <x:v>TASK</x:v>
      </x:c>
      <x:c r="AF5506" s="87" t="str">
        <x:v>VIS-EGKR-MATHP-W25-TASK-952-P002: 2</x:v>
      </x:c>
      <x:c r="AG5506" s="87" t="str">
        <x:v>RESOLVED</x:v>
      </x:c>
      <x:c r="AH5506" s="87" t="str">
        <x:v>CROP_VERIFIED</x:v>
      </x:c>
      <x:c r="AI5506" s="30"/>
      <x:c r="AJ5506" s="87" t="str">
        <x:v>clean</x:v>
      </x:c>
      <x:c r="AK5506" s="87" t="str">
        <x:v>clean-v0.15</x:v>
      </x:c>
      <x:c r="AL5506" s="87" t="str">
        <x:v>statgrad_clean_continuation_v0_15(1).xlsx</x:v>
      </x:c>
      <x:c r="AM5506" s="87" t="str">
        <x:v>MATHP_EGKR_952</x:v>
      </x:c>
      <x:c r="AN5506" s="87" t="n">
        <x:v>7</x:v>
      </x:c>
    </x:row>
    <x:row r="5507">
      <x:c r="A5507" s="87" t="n">
        <x:v>5506</x:v>
      </x:c>
      <x:c r="B5507" s="87" t="str">
        <x:v>EGKR-W25-MATHP-952-07</x:v>
      </x:c>
      <x:c r="C5507" s="87" t="str">
        <x:v>ЕГКР</x:v>
      </x:c>
      <x:c r="D5507" s="87"/>
      <x:c r="E5507" s="87" t="str">
        <x:v>Зима 2025</x:v>
      </x:c>
      <x:c r="F5507" s="87" t="str">
        <x:v>16.12.2025</x:v>
      </x:c>
      <x:c r="G5507" s="87" t="str">
        <x:v>Математика (профиль)</x:v>
      </x:c>
      <x:c r="H5507" s="87" t="n">
        <x:v>11</x:v>
      </x:c>
      <x:c r="I5507" s="87"/>
      <x:c r="J5507" s="87" t="str">
        <x:v>952</x:v>
      </x:c>
      <x:c r="K5507" s="87" t="n">
        <x:v>7</x:v>
      </x:c>
      <x:c r="L5507" s="87" t="str">
        <x:v>Краткий ответ</x:v>
      </x:c>
      <x:c r="M5507" s="30" t="str">
        <x:v>Вычислить √3 sin(π/3)+cos(π/3).</x:v>
      </x:c>
      <x:c r="N5507" s="30" t="str">
        <x:v>2</x:v>
      </x:c>
      <x:c r="O5507" s="30" t="str">
        <x:v>Подставлены табличные значения синуса и косинуса.</x:v>
      </x:c>
      <x:c r="P5507" s="30" t="str">
        <x:v>Проверено вычислением и по полной визуальной странице.</x:v>
      </x:c>
      <x:c r="Q5507" s="30"/>
      <x:c r="R5507" s="30"/>
      <x:c r="S5507" s="30" t="str">
        <x:v>Ответы профиль.docx</x:v>
      </x:c>
      <x:c r="T5507" s="30"/>
      <x:c r="U5507" s="30" t="str">
        <x:v>Ответник совпадает с независимой проверкой.</x:v>
      </x:c>
      <x:c r="V5507" s="87" t="str">
        <x:v>VERIFIED</x:v>
      </x:c>
      <x:c r="W5507" s="87"/>
      <x:c r="X5507" s="87" t="n">
        <x:v>2</x:v>
      </x:c>
      <x:c r="Y5507" s="87"/>
      <x:c r="Z5507" s="87"/>
      <x:c r="AA5507" s="87"/>
      <x:c r="AB5507" s="87"/>
      <x:c r="AC5507" s="87" t="str">
        <x:v>VIS-EGKR-MATHP-W25-TASK-952-P002</x:v>
      </x:c>
      <x:c r="AD5507" s="87"/>
      <x:c r="AE5507" s="87" t="str">
        <x:v>TASK</x:v>
      </x:c>
      <x:c r="AF5507" s="87" t="str">
        <x:v>VIS-EGKR-MATHP-W25-TASK-952-P002: 2</x:v>
      </x:c>
      <x:c r="AG5507" s="87" t="str">
        <x:v>RESOLVED</x:v>
      </x:c>
      <x:c r="AH5507" s="87" t="str">
        <x:v>CROP_VERIFIED</x:v>
      </x:c>
      <x:c r="AI5507" s="30"/>
      <x:c r="AJ5507" s="87" t="str">
        <x:v>clean</x:v>
      </x:c>
      <x:c r="AK5507" s="87" t="str">
        <x:v>clean-v0.15</x:v>
      </x:c>
      <x:c r="AL5507" s="87" t="str">
        <x:v>statgrad_clean_continuation_v0_15(1).xlsx</x:v>
      </x:c>
      <x:c r="AM5507" s="87" t="str">
        <x:v>MATHP_EGKR_952</x:v>
      </x:c>
      <x:c r="AN5507" s="87" t="n">
        <x:v>8</x:v>
      </x:c>
    </x:row>
    <x:row r="5508">
      <x:c r="A5508" s="87" t="n">
        <x:v>5507</x:v>
      </x:c>
      <x:c r="B5508" s="87" t="str">
        <x:v>EGKR-W25-MATHP-952-08</x:v>
      </x:c>
      <x:c r="C5508" s="87" t="str">
        <x:v>ЕГКР</x:v>
      </x:c>
      <x:c r="D5508" s="87"/>
      <x:c r="E5508" s="87" t="str">
        <x:v>Зима 2025</x:v>
      </x:c>
      <x:c r="F5508" s="87" t="str">
        <x:v>16.12.2025</x:v>
      </x:c>
      <x:c r="G5508" s="87" t="str">
        <x:v>Математика (профиль)</x:v>
      </x:c>
      <x:c r="H5508" s="87" t="n">
        <x:v>11</x:v>
      </x:c>
      <x:c r="I5508" s="87"/>
      <x:c r="J5508" s="87" t="str">
        <x:v>952</x:v>
      </x:c>
      <x:c r="K5508" s="87" t="n">
        <x:v>8</x:v>
      </x:c>
      <x:c r="L5508" s="87" t="str">
        <x:v>Краткий ответ</x:v>
      </x:c>
      <x:c r="M5508" s="30" t="str">
        <x:v>По графику f на интервале (-4;8) посчитать целые x, где f'(x)&gt;0.</x:v>
      </x:c>
      <x:c r="N5508" s="30" t="str">
        <x:v>3</x:v>
      </x:c>
      <x:c r="O5508" s="30" t="str">
        <x:v>Посчитаны целые абсциссы на участках возрастания графика.</x:v>
      </x:c>
      <x:c r="P5508" s="30" t="str">
        <x:v>Проверено вычислением и по полной визуальной странице.</x:v>
      </x:c>
      <x:c r="Q5508" s="30"/>
      <x:c r="R5508" s="30"/>
      <x:c r="S5508" s="30" t="str">
        <x:v>Ответы профиль.docx</x:v>
      </x:c>
      <x:c r="T5508" s="30"/>
      <x:c r="U5508" s="30" t="str">
        <x:v>Ответник совпадает с независимой проверкой.</x:v>
      </x:c>
      <x:c r="V5508" s="87" t="str">
        <x:v>VERIFIED</x:v>
      </x:c>
      <x:c r="W5508" s="87"/>
      <x:c r="X5508" s="87" t="n">
        <x:v>2</x:v>
      </x:c>
      <x:c r="Y5508" s="87"/>
      <x:c r="Z5508" s="87"/>
      <x:c r="AA5508" s="87"/>
      <x:c r="AB5508" s="87"/>
      <x:c r="AC5508" s="87" t="str">
        <x:v>VIS-EGKR-MATHP-W25-TASK-952-P002</x:v>
      </x:c>
      <x:c r="AD5508" s="87"/>
      <x:c r="AE5508" s="87" t="str">
        <x:v>TASK</x:v>
      </x:c>
      <x:c r="AF5508" s="87" t="str">
        <x:v>VIS-EGKR-MATHP-W25-TASK-952-P002: 2</x:v>
      </x:c>
      <x:c r="AG5508" s="87" t="str">
        <x:v>RESOLVED</x:v>
      </x:c>
      <x:c r="AH5508" s="87" t="str">
        <x:v>CROP_VERIFIED</x:v>
      </x:c>
      <x:c r="AI5508" s="30"/>
      <x:c r="AJ5508" s="87" t="str">
        <x:v>clean</x:v>
      </x:c>
      <x:c r="AK5508" s="87" t="str">
        <x:v>clean-v0.15</x:v>
      </x:c>
      <x:c r="AL5508" s="87" t="str">
        <x:v>statgrad_clean_continuation_v0_15(1).xlsx</x:v>
      </x:c>
      <x:c r="AM5508" s="87" t="str">
        <x:v>MATHP_EGKR_952</x:v>
      </x:c>
      <x:c r="AN5508" s="87" t="n">
        <x:v>9</x:v>
      </x:c>
    </x:row>
    <x:row r="5509">
      <x:c r="A5509" s="87" t="n">
        <x:v>5508</x:v>
      </x:c>
      <x:c r="B5509" s="87" t="str">
        <x:v>EGKR-W25-MATHP-952-09</x:v>
      </x:c>
      <x:c r="C5509" s="87" t="str">
        <x:v>ЕГКР</x:v>
      </x:c>
      <x:c r="D5509" s="87"/>
      <x:c r="E5509" s="87" t="str">
        <x:v>Зима 2025</x:v>
      </x:c>
      <x:c r="F5509" s="87" t="str">
        <x:v>16.12.2025</x:v>
      </x:c>
      <x:c r="G5509" s="87" t="str">
        <x:v>Математика (профиль)</x:v>
      </x:c>
      <x:c r="H5509" s="87" t="n">
        <x:v>11</x:v>
      </x:c>
      <x:c r="I5509" s="87"/>
      <x:c r="J5509" s="87" t="str">
        <x:v>952</x:v>
      </x:c>
      <x:c r="K5509" s="87" t="n">
        <x:v>9</x:v>
      </x:c>
      <x:c r="L5509" s="87" t="str">
        <x:v>Краткий ответ</x:v>
      </x:c>
      <x:c r="M5509" s="30" t="str">
        <x:v>Высота воды задана квадратным законом (H₀=4). Найти время до опустошения.</x:v>
      </x:c>
      <x:c r="N5509" s="30" t="str">
        <x:v>40</x:v>
      </x:c>
      <x:c r="O5509" s="30" t="str">
        <x:v>Решено H(t)=0 и выбран физически допустимый положительный корень.</x:v>
      </x:c>
      <x:c r="P5509" s="30" t="str">
        <x:v>Проверено вычислением и по полной визуальной странице.</x:v>
      </x:c>
      <x:c r="Q5509" s="30"/>
      <x:c r="R5509" s="30"/>
      <x:c r="S5509" s="30" t="str">
        <x:v>Ответы профиль.docx</x:v>
      </x:c>
      <x:c r="T5509" s="30"/>
      <x:c r="U5509" s="30" t="str">
        <x:v>Ответник совпадает с независимой проверкой.</x:v>
      </x:c>
      <x:c r="V5509" s="87" t="str">
        <x:v>VERIFIED</x:v>
      </x:c>
      <x:c r="W5509" s="87"/>
      <x:c r="X5509" s="87" t="n">
        <x:v>2</x:v>
      </x:c>
      <x:c r="Y5509" s="87"/>
      <x:c r="Z5509" s="87"/>
      <x:c r="AA5509" s="87"/>
      <x:c r="AB5509" s="87"/>
      <x:c r="AC5509" s="87" t="str">
        <x:v>VIS-EGKR-MATHP-W25-TASK-952-P002</x:v>
      </x:c>
      <x:c r="AD5509" s="87"/>
      <x:c r="AE5509" s="87" t="str">
        <x:v>TASK</x:v>
      </x:c>
      <x:c r="AF5509" s="87" t="str">
        <x:v>VIS-EGKR-MATHP-W25-TASK-952-P002: 2</x:v>
      </x:c>
      <x:c r="AG5509" s="87" t="str">
        <x:v>RESOLVED</x:v>
      </x:c>
      <x:c r="AH5509" s="87" t="str">
        <x:v>CROP_VERIFIED</x:v>
      </x:c>
      <x:c r="AI5509" s="30"/>
      <x:c r="AJ5509" s="87" t="str">
        <x:v>clean</x:v>
      </x:c>
      <x:c r="AK5509" s="87" t="str">
        <x:v>clean-v0.15</x:v>
      </x:c>
      <x:c r="AL5509" s="87" t="str">
        <x:v>statgrad_clean_continuation_v0_15(1).xlsx</x:v>
      </x:c>
      <x:c r="AM5509" s="87" t="str">
        <x:v>MATHP_EGKR_952</x:v>
      </x:c>
      <x:c r="AN5509" s="87" t="n">
        <x:v>10</x:v>
      </x:c>
    </x:row>
    <x:row r="5510">
      <x:c r="A5510" s="87" t="n">
        <x:v>5509</x:v>
      </x:c>
      <x:c r="B5510" s="87" t="str">
        <x:v>EGKR-W25-MATHP-952-10</x:v>
      </x:c>
      <x:c r="C5510" s="87" t="str">
        <x:v>ЕГКР</x:v>
      </x:c>
      <x:c r="D5510" s="87"/>
      <x:c r="E5510" s="87" t="str">
        <x:v>Зима 2025</x:v>
      </x:c>
      <x:c r="F5510" s="87" t="str">
        <x:v>16.12.2025</x:v>
      </x:c>
      <x:c r="G5510" s="87" t="str">
        <x:v>Математика (профиль)</x:v>
      </x:c>
      <x:c r="H5510" s="87" t="n">
        <x:v>11</x:v>
      </x:c>
      <x:c r="I5510" s="87"/>
      <x:c r="J5510" s="87" t="str">
        <x:v>952</x:v>
      </x:c>
      <x:c r="K5510" s="87" t="n">
        <x:v>10</x:v>
      </x:c>
      <x:c r="L5510" s="87" t="str">
        <x:v>Краткий ответ</x:v>
      </x:c>
      <x:c r="M5510" s="30" t="str">
        <x:v>Посёлок C между A и B; AC=36; мотоцикл вдвое быстрее грузовика. Найти AB.</x:v>
      </x:c>
      <x:c r="N5510" s="30" t="str">
        <x:v>108</x:v>
      </x:c>
      <x:c r="O5510" s="30" t="str">
        <x:v>Равенство времени даёт AC/v=(AB-AC)/(2v), следовательно AB=3AC.</x:v>
      </x:c>
      <x:c r="P5510" s="30" t="str">
        <x:v>Проверено вычислением и по полной визуальной странице.</x:v>
      </x:c>
      <x:c r="Q5510" s="30"/>
      <x:c r="R5510" s="30"/>
      <x:c r="S5510" s="30" t="str">
        <x:v>Ответы профиль.docx</x:v>
      </x:c>
      <x:c r="T5510" s="30"/>
      <x:c r="U5510" s="30" t="str">
        <x:v>Ответник совпадает с независимой проверкой.</x:v>
      </x:c>
      <x:c r="V5510" s="87" t="str">
        <x:v>VERIFIED</x:v>
      </x:c>
      <x:c r="W5510" s="87"/>
      <x:c r="X5510" s="87" t="n">
        <x:v>2</x:v>
      </x:c>
      <x:c r="Y5510" s="87"/>
      <x:c r="Z5510" s="87"/>
      <x:c r="AA5510" s="87"/>
      <x:c r="AB5510" s="87"/>
      <x:c r="AC5510" s="87" t="str">
        <x:v>VIS-EGKR-MATHP-W25-TASK-952-P002</x:v>
      </x:c>
      <x:c r="AD5510" s="87"/>
      <x:c r="AE5510" s="87" t="str">
        <x:v>TASK</x:v>
      </x:c>
      <x:c r="AF5510" s="87" t="str">
        <x:v>VIS-EGKR-MATHP-W25-TASK-952-P002: 2</x:v>
      </x:c>
      <x:c r="AG5510" s="87" t="str">
        <x:v>RESOLVED</x:v>
      </x:c>
      <x:c r="AH5510" s="87" t="str">
        <x:v>CROP_VERIFIED</x:v>
      </x:c>
      <x:c r="AI5510" s="30"/>
      <x:c r="AJ5510" s="87" t="str">
        <x:v>clean</x:v>
      </x:c>
      <x:c r="AK5510" s="87" t="str">
        <x:v>clean-v0.15</x:v>
      </x:c>
      <x:c r="AL5510" s="87" t="str">
        <x:v>statgrad_clean_continuation_v0_15(1).xlsx</x:v>
      </x:c>
      <x:c r="AM5510" s="87" t="str">
        <x:v>MATHP_EGKR_952</x:v>
      </x:c>
      <x:c r="AN5510" s="87" t="n">
        <x:v>11</x:v>
      </x:c>
    </x:row>
    <x:row r="5511">
      <x:c r="A5511" s="87" t="n">
        <x:v>5510</x:v>
      </x:c>
      <x:c r="B5511" s="87" t="str">
        <x:v>EGKR-W25-MATHP-952-11</x:v>
      </x:c>
      <x:c r="C5511" s="87" t="str">
        <x:v>ЕГКР</x:v>
      </x:c>
      <x:c r="D5511" s="87"/>
      <x:c r="E5511" s="87" t="str">
        <x:v>Зима 2025</x:v>
      </x:c>
      <x:c r="F5511" s="87" t="str">
        <x:v>16.12.2025</x:v>
      </x:c>
      <x:c r="G5511" s="87" t="str">
        <x:v>Математика (профиль)</x:v>
      </x:c>
      <x:c r="H5511" s="87" t="n">
        <x:v>11</x:v>
      </x:c>
      <x:c r="I5511" s="87"/>
      <x:c r="J5511" s="87" t="str">
        <x:v>952</x:v>
      </x:c>
      <x:c r="K5511" s="87" t="n">
        <x:v>11</x:v>
      </x:c>
      <x:c r="L5511" s="87" t="str">
        <x:v>Краткий ответ</x:v>
      </x:c>
      <x:c r="M5511" s="30" t="str">
        <x:v>По графикам степенной и линейной функций найти ординату точки пересечения A.</x:v>
      </x:c>
      <x:c r="N5511" s="30" t="str">
        <x:v>6</x:v>
      </x:c>
      <x:c r="O5511" s="30" t="str">
        <x:v>Ордината точки A считана непосредственно по координатной сетке.</x:v>
      </x:c>
      <x:c r="P5511" s="30" t="str">
        <x:v>Проверено вычислением и по полной визуальной странице.</x:v>
      </x:c>
      <x:c r="Q5511" s="30"/>
      <x:c r="R5511" s="30"/>
      <x:c r="S5511" s="30" t="str">
        <x:v>Ответы профиль.docx</x:v>
      </x:c>
      <x:c r="T5511" s="30"/>
      <x:c r="U5511" s="30" t="str">
        <x:v>Ответник совпадает с независимой проверкой.</x:v>
      </x:c>
      <x:c r="V5511" s="87" t="str">
        <x:v>VERIFIED</x:v>
      </x:c>
      <x:c r="W5511" s="87"/>
      <x:c r="X5511" s="87" t="n">
        <x:v>2</x:v>
      </x:c>
      <x:c r="Y5511" s="87"/>
      <x:c r="Z5511" s="87"/>
      <x:c r="AA5511" s="87"/>
      <x:c r="AB5511" s="87"/>
      <x:c r="AC5511" s="87" t="str">
        <x:v>VIS-EGKR-MATHP-W25-TASK-952-P002</x:v>
      </x:c>
      <x:c r="AD5511" s="87"/>
      <x:c r="AE5511" s="87" t="str">
        <x:v>TASK</x:v>
      </x:c>
      <x:c r="AF5511" s="87" t="str">
        <x:v>VIS-EGKR-MATHP-W25-TASK-952-P002: 2</x:v>
      </x:c>
      <x:c r="AG5511" s="87" t="str">
        <x:v>RESOLVED</x:v>
      </x:c>
      <x:c r="AH5511" s="87" t="str">
        <x:v>CROP_VERIFIED</x:v>
      </x:c>
      <x:c r="AI5511" s="30"/>
      <x:c r="AJ5511" s="87" t="str">
        <x:v>clean</x:v>
      </x:c>
      <x:c r="AK5511" s="87" t="str">
        <x:v>clean-v0.15</x:v>
      </x:c>
      <x:c r="AL5511" s="87" t="str">
        <x:v>statgrad_clean_continuation_v0_15(1).xlsx</x:v>
      </x:c>
      <x:c r="AM5511" s="87" t="str">
        <x:v>MATHP_EGKR_952</x:v>
      </x:c>
      <x:c r="AN5511" s="87" t="n">
        <x:v>12</x:v>
      </x:c>
    </x:row>
    <x:row r="5512">
      <x:c r="A5512" s="87" t="n">
        <x:v>5511</x:v>
      </x:c>
      <x:c r="B5512" s="87" t="str">
        <x:v>EGKR-W25-MATHP-952-12</x:v>
      </x:c>
      <x:c r="C5512" s="87" t="str">
        <x:v>ЕГКР</x:v>
      </x:c>
      <x:c r="D5512" s="87"/>
      <x:c r="E5512" s="87" t="str">
        <x:v>Зима 2025</x:v>
      </x:c>
      <x:c r="F5512" s="87" t="str">
        <x:v>16.12.2025</x:v>
      </x:c>
      <x:c r="G5512" s="87" t="str">
        <x:v>Математика (профиль)</x:v>
      </x:c>
      <x:c r="H5512" s="87" t="n">
        <x:v>11</x:v>
      </x:c>
      <x:c r="I5512" s="87"/>
      <x:c r="J5512" s="87" t="str">
        <x:v>952</x:v>
      </x:c>
      <x:c r="K5512" s="87" t="n">
        <x:v>12</x:v>
      </x:c>
      <x:c r="L5512" s="87" t="str">
        <x:v>Краткий ответ</x:v>
      </x:c>
      <x:c r="M5512" s="30" t="str">
        <x:v>Для f=x²-2x, g=3x-1 решить равенство производных.</x:v>
      </x:c>
      <x:c r="N5512" s="30" t="str">
        <x:v>2,5</x:v>
      </x:c>
      <x:c r="O5512" s="30" t="str">
        <x:v>Вычислены производные и решено линейное уравнение.</x:v>
      </x:c>
      <x:c r="P5512" s="30" t="str">
        <x:v>Проверено вычислением и по полной визуальной странице.</x:v>
      </x:c>
      <x:c r="Q5512" s="30"/>
      <x:c r="R5512" s="30"/>
      <x:c r="S5512" s="30" t="str">
        <x:v>Ответы профиль.docx</x:v>
      </x:c>
      <x:c r="T5512" s="30"/>
      <x:c r="U5512" s="30" t="str">
        <x:v>Ответник совпадает с независимой проверкой.</x:v>
      </x:c>
      <x:c r="V5512" s="87" t="str">
        <x:v>VERIFIED</x:v>
      </x:c>
      <x:c r="W5512" s="87"/>
      <x:c r="X5512" s="87" t="n">
        <x:v>2</x:v>
      </x:c>
      <x:c r="Y5512" s="87"/>
      <x:c r="Z5512" s="87"/>
      <x:c r="AA5512" s="87"/>
      <x:c r="AB5512" s="87"/>
      <x:c r="AC5512" s="87" t="str">
        <x:v>VIS-EGKR-MATHP-W25-TASK-952-P002</x:v>
      </x:c>
      <x:c r="AD5512" s="87"/>
      <x:c r="AE5512" s="87" t="str">
        <x:v>TASK</x:v>
      </x:c>
      <x:c r="AF5512" s="87" t="str">
        <x:v>VIS-EGKR-MATHP-W25-TASK-952-P002: 2</x:v>
      </x:c>
      <x:c r="AG5512" s="87" t="str">
        <x:v>RESOLVED</x:v>
      </x:c>
      <x:c r="AH5512" s="87" t="str">
        <x:v>CROP_VERIFIED</x:v>
      </x:c>
      <x:c r="AI5512" s="30"/>
      <x:c r="AJ5512" s="87" t="str">
        <x:v>clean</x:v>
      </x:c>
      <x:c r="AK5512" s="87" t="str">
        <x:v>clean-v0.15</x:v>
      </x:c>
      <x:c r="AL5512" s="87" t="str">
        <x:v>statgrad_clean_continuation_v0_15(1).xlsx</x:v>
      </x:c>
      <x:c r="AM5512" s="87" t="str">
        <x:v>MATHP_EGKR_952</x:v>
      </x:c>
      <x:c r="AN5512" s="87" t="n">
        <x:v>13</x:v>
      </x:c>
    </x:row>
    <x:row r="5513">
      <x:c r="A5513" s="87" t="n">
        <x:v>5512</x:v>
      </x:c>
      <x:c r="B5513" s="87" t="str">
        <x:v>EGKR-W25-MATHP-952-13</x:v>
      </x:c>
      <x:c r="C5513" s="87" t="str">
        <x:v>ЕГКР</x:v>
      </x:c>
      <x:c r="D5513" s="87"/>
      <x:c r="E5513" s="87" t="str">
        <x:v>Зима 2025</x:v>
      </x:c>
      <x:c r="F5513" s="87" t="str">
        <x:v>16.12.2025</x:v>
      </x:c>
      <x:c r="G5513" s="87" t="str">
        <x:v>Математика (профиль)</x:v>
      </x:c>
      <x:c r="H5513" s="87" t="n">
        <x:v>11</x:v>
      </x:c>
      <x:c r="I5513" s="87"/>
      <x:c r="J5513" s="87" t="str">
        <x:v>952</x:v>
      </x:c>
      <x:c r="K5513" s="87" t="n">
        <x:v>13</x:v>
      </x:c>
      <x:c r="L5513" s="87" t="str">
        <x:v>Развёрнутый ответ</x:v>
      </x:c>
      <x:c r="M5513" s="30" t="str">
        <x:v>(2cos x-sin x)(1+sin x)=cos²x; промежуток [5π;6π].</x:v>
      </x:c>
      <x:c r="N5513" s="30" t="str">
        <x:v>(2cos x-1)(1+sin x)=0. Общие решения: x=±π/3+2πk и x=3π/2+2πk. На промежутке: x=11π/2 и x=17π/3.</x:v>
      </x:c>
      <x:c r="O5513" s="30" t="str">
        <x:v>Содержит полный ход решения и итоговый ответ.</x:v>
      </x:c>
      <x:c r="P5513" s="30" t="str">
        <x:v>Алгебра, геометрия или перебор проверены независимо от приложенных ученических решений.</x:v>
      </x:c>
      <x:c r="Q5513" s="30"/>
      <x:c r="R5513" s="30"/>
      <x:c r="S5513" s="30" t="str">
        <x:v>Независимое решение по исходному заданию</x:v>
      </x:c>
      <x:c r="T5513" s="30"/>
      <x:c r="U5513" s="30" t="str">
        <x:v>Независимая модель решения.</x:v>
      </x:c>
      <x:c r="V5513" s="87" t="str">
        <x:v>VERIFIED</x:v>
      </x:c>
      <x:c r="W5513" s="87"/>
      <x:c r="X5513" s="87" t="n">
        <x:v>3</x:v>
      </x:c>
      <x:c r="Y5513" s="87"/>
      <x:c r="Z5513" s="87"/>
      <x:c r="AA5513" s="87"/>
      <x:c r="AB5513" s="87"/>
      <x:c r="AC5513" s="87" t="str">
        <x:v>VIS-EGKR-MATHP-W25-TASK-952-P003</x:v>
      </x:c>
      <x:c r="AD5513" s="87"/>
      <x:c r="AE5513" s="87" t="str">
        <x:v>TASK</x:v>
      </x:c>
      <x:c r="AF5513" s="87" t="str">
        <x:v>VIS-EGKR-MATHP-W25-TASK-952-P003: 3</x:v>
      </x:c>
      <x:c r="AG5513" s="87" t="str">
        <x:v>RESOLVED</x:v>
      </x:c>
      <x:c r="AH5513" s="87" t="str">
        <x:v>CROP_VERIFIED</x:v>
      </x:c>
      <x:c r="AI5513" s="30"/>
      <x:c r="AJ5513" s="87" t="str">
        <x:v>clean</x:v>
      </x:c>
      <x:c r="AK5513" s="87" t="str">
        <x:v>clean-v0.15</x:v>
      </x:c>
      <x:c r="AL5513" s="87" t="str">
        <x:v>statgrad_clean_continuation_v0_15(1).xlsx</x:v>
      </x:c>
      <x:c r="AM5513" s="87" t="str">
        <x:v>MATHP_EGKR_952</x:v>
      </x:c>
      <x:c r="AN5513" s="87" t="n">
        <x:v>14</x:v>
      </x:c>
    </x:row>
    <x:row r="5514">
      <x:c r="A5514" s="87" t="n">
        <x:v>5513</x:v>
      </x:c>
      <x:c r="B5514" s="87" t="str">
        <x:v>EGKR-W25-MATHP-952-14</x:v>
      </x:c>
      <x:c r="C5514" s="87" t="str">
        <x:v>ЕГКР</x:v>
      </x:c>
      <x:c r="D5514" s="87"/>
      <x:c r="E5514" s="87" t="str">
        <x:v>Зима 2025</x:v>
      </x:c>
      <x:c r="F5514" s="87" t="str">
        <x:v>16.12.2025</x:v>
      </x:c>
      <x:c r="G5514" s="87" t="str">
        <x:v>Математика (профиль)</x:v>
      </x:c>
      <x:c r="H5514" s="87" t="n">
        <x:v>11</x:v>
      </x:c>
      <x:c r="I5514" s="87"/>
      <x:c r="J5514" s="87" t="str">
        <x:v>952</x:v>
      </x:c>
      <x:c r="K5514" s="87" t="n">
        <x:v>14</x:v>
      </x:c>
      <x:c r="L5514" s="87" t="str">
        <x:v>Развёрнутый ответ</x:v>
      </x:c>
      <x:c r="M5514" s="30" t="str">
        <x:v>Пирамида на ромбе со стороной 5; грани SAB и SCB перпендикулярны основанию, угол между ними 150°, другие грани наклонены на 60°.</x:v>
      </x:c>
      <x:c r="N5514" s="30" t="str">
        <x:v>SB перпендикулярно основанию, а угол ABC равен 150°. Расстояния от B до AD и CD одинаковы и равны 5/2, поэтому наклонные высоты граней SAD и SCD равны, следовательно, грани равновелики. Из tan60°=SB/(5/2) получаем SB=5√3/2; наклонная высота к AD и CD равна 5. Суммарная площадь боковых граней: 25(2+√3)/2.</x:v>
      </x:c>
      <x:c r="O5514" s="30" t="str">
        <x:v>Содержит полный ход решения и итоговый ответ.</x:v>
      </x:c>
      <x:c r="P5514" s="30" t="str">
        <x:v>Алгебра, геометрия или перебор проверены независимо от приложенных ученических решений.</x:v>
      </x:c>
      <x:c r="Q5514" s="30"/>
      <x:c r="R5514" s="30"/>
      <x:c r="S5514" s="30" t="str">
        <x:v>Независимое решение по исходному заданию</x:v>
      </x:c>
      <x:c r="T5514" s="30"/>
      <x:c r="U5514" s="30" t="str">
        <x:v>Независимая модель решения.</x:v>
      </x:c>
      <x:c r="V5514" s="87" t="str">
        <x:v>VERIFIED</x:v>
      </x:c>
      <x:c r="W5514" s="87"/>
      <x:c r="X5514" s="87" t="n">
        <x:v>3</x:v>
      </x:c>
      <x:c r="Y5514" s="87"/>
      <x:c r="Z5514" s="87"/>
      <x:c r="AA5514" s="87"/>
      <x:c r="AB5514" s="87"/>
      <x:c r="AC5514" s="87" t="str">
        <x:v>VIS-EGKR-MATHP-W25-TASK-952-P003</x:v>
      </x:c>
      <x:c r="AD5514" s="87"/>
      <x:c r="AE5514" s="87" t="str">
        <x:v>TASK</x:v>
      </x:c>
      <x:c r="AF5514" s="87" t="str">
        <x:v>VIS-EGKR-MATHP-W25-TASK-952-P003: 3</x:v>
      </x:c>
      <x:c r="AG5514" s="87" t="str">
        <x:v>RESOLVED</x:v>
      </x:c>
      <x:c r="AH5514" s="87" t="str">
        <x:v>CROP_VERIFIED</x:v>
      </x:c>
      <x:c r="AI5514" s="30"/>
      <x:c r="AJ5514" s="87" t="str">
        <x:v>clean</x:v>
      </x:c>
      <x:c r="AK5514" s="87" t="str">
        <x:v>clean-v0.15</x:v>
      </x:c>
      <x:c r="AL5514" s="87" t="str">
        <x:v>statgrad_clean_continuation_v0_15(1).xlsx</x:v>
      </x:c>
      <x:c r="AM5514" s="87" t="str">
        <x:v>MATHP_EGKR_952</x:v>
      </x:c>
      <x:c r="AN5514" s="87" t="n">
        <x:v>15</x:v>
      </x:c>
    </x:row>
    <x:row r="5515">
      <x:c r="A5515" s="87" t="n">
        <x:v>5514</x:v>
      </x:c>
      <x:c r="B5515" s="87" t="str">
        <x:v>EGKR-W25-MATHP-952-15</x:v>
      </x:c>
      <x:c r="C5515" s="87" t="str">
        <x:v>ЕГКР</x:v>
      </x:c>
      <x:c r="D5515" s="87"/>
      <x:c r="E5515" s="87" t="str">
        <x:v>Зима 2025</x:v>
      </x:c>
      <x:c r="F5515" s="87" t="str">
        <x:v>16.12.2025</x:v>
      </x:c>
      <x:c r="G5515" s="87" t="str">
        <x:v>Математика (профиль)</x:v>
      </x:c>
      <x:c r="H5515" s="87" t="n">
        <x:v>11</x:v>
      </x:c>
      <x:c r="I5515" s="87"/>
      <x:c r="J5515" s="87" t="str">
        <x:v>952</x:v>
      </x:c>
      <x:c r="K5515" s="87" t="n">
        <x:v>15</x:v>
      </x:c>
      <x:c r="L5515" s="87" t="str">
        <x:v>Развёрнутый ответ</x:v>
      </x:c>
      <x:c r="M5515" s="30" t="str">
        <x:v>(x+2)²-1/(x-2) ≤ (x-2)²+1/(x+2).</x:v>
      </x:c>
      <x:c r="N5515" s="30" t="str">
        <x:v>x∈(-∞;-√17/2]∪(-2;0]∪(2;√17/2].</x:v>
      </x:c>
      <x:c r="O5515" s="30" t="str">
        <x:v>Содержит полный ход решения и итоговый ответ.</x:v>
      </x:c>
      <x:c r="P5515" s="30" t="str">
        <x:v>Алгебра, геометрия или перебор проверены независимо от приложенных ученических решений.</x:v>
      </x:c>
      <x:c r="Q5515" s="30"/>
      <x:c r="R5515" s="30"/>
      <x:c r="S5515" s="30" t="str">
        <x:v>Независимое решение по исходному заданию</x:v>
      </x:c>
      <x:c r="T5515" s="30"/>
      <x:c r="U5515" s="30" t="str">
        <x:v>Независимая модель решения.</x:v>
      </x:c>
      <x:c r="V5515" s="87" t="str">
        <x:v>VERIFIED</x:v>
      </x:c>
      <x:c r="W5515" s="87"/>
      <x:c r="X5515" s="87" t="n">
        <x:v>3</x:v>
      </x:c>
      <x:c r="Y5515" s="87"/>
      <x:c r="Z5515" s="87"/>
      <x:c r="AA5515" s="87"/>
      <x:c r="AB5515" s="87"/>
      <x:c r="AC5515" s="87" t="str">
        <x:v>VIS-EGKR-MATHP-W25-TASK-952-P003</x:v>
      </x:c>
      <x:c r="AD5515" s="87"/>
      <x:c r="AE5515" s="87" t="str">
        <x:v>TASK</x:v>
      </x:c>
      <x:c r="AF5515" s="87" t="str">
        <x:v>VIS-EGKR-MATHP-W25-TASK-952-P003: 3</x:v>
      </x:c>
      <x:c r="AG5515" s="87" t="str">
        <x:v>RESOLVED</x:v>
      </x:c>
      <x:c r="AH5515" s="87" t="str">
        <x:v>CROP_VERIFIED</x:v>
      </x:c>
      <x:c r="AI5515" s="30"/>
      <x:c r="AJ5515" s="87" t="str">
        <x:v>clean</x:v>
      </x:c>
      <x:c r="AK5515" s="87" t="str">
        <x:v>clean-v0.15</x:v>
      </x:c>
      <x:c r="AL5515" s="87" t="str">
        <x:v>statgrad_clean_continuation_v0_15(1).xlsx</x:v>
      </x:c>
      <x:c r="AM5515" s="87" t="str">
        <x:v>MATHP_EGKR_952</x:v>
      </x:c>
      <x:c r="AN5515" s="87" t="n">
        <x:v>16</x:v>
      </x:c>
    </x:row>
    <x:row r="5516">
      <x:c r="A5516" s="87" t="n">
        <x:v>5515</x:v>
      </x:c>
      <x:c r="B5516" s="87" t="str">
        <x:v>EGKR-W25-MATHP-952-16</x:v>
      </x:c>
      <x:c r="C5516" s="87" t="str">
        <x:v>ЕГКР</x:v>
      </x:c>
      <x:c r="D5516" s="87"/>
      <x:c r="E5516" s="87" t="str">
        <x:v>Зима 2025</x:v>
      </x:c>
      <x:c r="F5516" s="87" t="str">
        <x:v>16.12.2025</x:v>
      </x:c>
      <x:c r="G5516" s="87" t="str">
        <x:v>Математика (профиль)</x:v>
      </x:c>
      <x:c r="H5516" s="87" t="n">
        <x:v>11</x:v>
      </x:c>
      <x:c r="I5516" s="87"/>
      <x:c r="J5516" s="87" t="str">
        <x:v>952</x:v>
      </x:c>
      <x:c r="K5516" s="87" t="n">
        <x:v>16</x:v>
      </x:c>
      <x:c r="L5516" s="87" t="str">
        <x:v>Развёрнутый ответ</x:v>
      </x:c>
      <x:c r="M5516" s="30" t="str">
        <x:v>Вклад на 4 года под 10%; в начале 3-го и 4-го годов вносится по 5 млн; суммарные проценты не больше 11 млн.</x:v>
      </x:c>
      <x:c r="N5516" s="30" t="str">
        <x:v>Сумма начисленных процентов равна 0,4641P+0,31·5. Неравенство 0,4641P+0,31·5≤11 даёт P≤20.362. Наибольшее целое число миллионов: 20.</x:v>
      </x:c>
      <x:c r="O5516" s="30" t="str">
        <x:v>Содержит полный ход решения и итоговый ответ.</x:v>
      </x:c>
      <x:c r="P5516" s="30" t="str">
        <x:v>Алгебра, геометрия или перебор проверены независимо от приложенных ученических решений.</x:v>
      </x:c>
      <x:c r="Q5516" s="30"/>
      <x:c r="R5516" s="30"/>
      <x:c r="S5516" s="30" t="str">
        <x:v>Независимое решение по исходному заданию</x:v>
      </x:c>
      <x:c r="T5516" s="30"/>
      <x:c r="U5516" s="30" t="str">
        <x:v>Независимая модель решения.</x:v>
      </x:c>
      <x:c r="V5516" s="87" t="str">
        <x:v>VERIFIED</x:v>
      </x:c>
      <x:c r="W5516" s="87"/>
      <x:c r="X5516" s="87" t="n">
        <x:v>3</x:v>
      </x:c>
      <x:c r="Y5516" s="87"/>
      <x:c r="Z5516" s="87"/>
      <x:c r="AA5516" s="87"/>
      <x:c r="AB5516" s="87"/>
      <x:c r="AC5516" s="87" t="str">
        <x:v>VIS-EGKR-MATHP-W25-TASK-952-P003</x:v>
      </x:c>
      <x:c r="AD5516" s="87"/>
      <x:c r="AE5516" s="87" t="str">
        <x:v>TASK</x:v>
      </x:c>
      <x:c r="AF5516" s="87" t="str">
        <x:v>VIS-EGKR-MATHP-W25-TASK-952-P003: 3</x:v>
      </x:c>
      <x:c r="AG5516" s="87" t="str">
        <x:v>RESOLVED</x:v>
      </x:c>
      <x:c r="AH5516" s="87" t="str">
        <x:v>CROP_VERIFIED</x:v>
      </x:c>
      <x:c r="AI5516" s="30"/>
      <x:c r="AJ5516" s="87" t="str">
        <x:v>clean</x:v>
      </x:c>
      <x:c r="AK5516" s="87" t="str">
        <x:v>clean-v0.15</x:v>
      </x:c>
      <x:c r="AL5516" s="87" t="str">
        <x:v>statgrad_clean_continuation_v0_15(1).xlsx</x:v>
      </x:c>
      <x:c r="AM5516" s="87" t="str">
        <x:v>MATHP_EGKR_952</x:v>
      </x:c>
      <x:c r="AN5516" s="87" t="n">
        <x:v>17</x:v>
      </x:c>
    </x:row>
    <x:row r="5517">
      <x:c r="A5517" s="87" t="n">
        <x:v>5516</x:v>
      </x:c>
      <x:c r="B5517" s="87" t="str">
        <x:v>EGKR-W25-MATHP-952-17</x:v>
      </x:c>
      <x:c r="C5517" s="87" t="str">
        <x:v>ЕГКР</x:v>
      </x:c>
      <x:c r="D5517" s="87"/>
      <x:c r="E5517" s="87" t="str">
        <x:v>Зима 2025</x:v>
      </x:c>
      <x:c r="F5517" s="87" t="str">
        <x:v>16.12.2025</x:v>
      </x:c>
      <x:c r="G5517" s="87" t="str">
        <x:v>Математика (профиль)</x:v>
      </x:c>
      <x:c r="H5517" s="87" t="n">
        <x:v>11</x:v>
      </x:c>
      <x:c r="I5517" s="87"/>
      <x:c r="J5517" s="87" t="str">
        <x:v>952</x:v>
      </x:c>
      <x:c r="K5517" s="87" t="n">
        <x:v>17</x:v>
      </x:c>
      <x:c r="L5517" s="87" t="str">
        <x:v>Развёрнутый ответ</x:v>
      </x:c>
      <x:c r="M5517" s="30" t="str">
        <x:v>В треугольнике ABC угол C тупой; BH - высота, P - второе пересечение BH с окружностью; AP - биссектриса. BC=R=2√2.</x:v>
      </x:c>
      <x:c r="N5517" s="30" t="str">
        <x:v>Из ∠BAP=∠PAC следуют равные хорды BP=PC, поэтому BCP равнобедренный. Так как BC=R=2R·sin∠BAC, то ∠A=30°. В треугольнике ABP: ∠BAP=15°, ∠ABP=60°, поэтому ∠APB=105°; отсюда ∠C=105° и ∠B=45°. Тогда AC=2R·sin45°=R√2=4.</x:v>
      </x:c>
      <x:c r="O5517" s="30" t="str">
        <x:v>Содержит полный ход решения и итоговый ответ.</x:v>
      </x:c>
      <x:c r="P5517" s="30" t="str">
        <x:v>Алгебра, геометрия или перебор проверены независимо от приложенных ученических решений.</x:v>
      </x:c>
      <x:c r="Q5517" s="30"/>
      <x:c r="R5517" s="30"/>
      <x:c r="S5517" s="30" t="str">
        <x:v>Независимое решение по исходному заданию</x:v>
      </x:c>
      <x:c r="T5517" s="30"/>
      <x:c r="U5517" s="30" t="str">
        <x:v>Независимая модель решения.</x:v>
      </x:c>
      <x:c r="V5517" s="87" t="str">
        <x:v>VERIFIED</x:v>
      </x:c>
      <x:c r="W5517" s="87"/>
      <x:c r="X5517" s="87" t="n">
        <x:v>3</x:v>
      </x:c>
      <x:c r="Y5517" s="87"/>
      <x:c r="Z5517" s="87"/>
      <x:c r="AA5517" s="87"/>
      <x:c r="AB5517" s="87"/>
      <x:c r="AC5517" s="87" t="str">
        <x:v>VIS-EGKR-MATHP-W25-TASK-952-P003</x:v>
      </x:c>
      <x:c r="AD5517" s="87"/>
      <x:c r="AE5517" s="87" t="str">
        <x:v>TASK</x:v>
      </x:c>
      <x:c r="AF5517" s="87" t="str">
        <x:v>VIS-EGKR-MATHP-W25-TASK-952-P003: 3</x:v>
      </x:c>
      <x:c r="AG5517" s="87" t="str">
        <x:v>RESOLVED</x:v>
      </x:c>
      <x:c r="AH5517" s="87" t="str">
        <x:v>CROP_VERIFIED</x:v>
      </x:c>
      <x:c r="AI5517" s="30"/>
      <x:c r="AJ5517" s="87" t="str">
        <x:v>clean</x:v>
      </x:c>
      <x:c r="AK5517" s="87" t="str">
        <x:v>clean-v0.15</x:v>
      </x:c>
      <x:c r="AL5517" s="87" t="str">
        <x:v>statgrad_clean_continuation_v0_15(1).xlsx</x:v>
      </x:c>
      <x:c r="AM5517" s="87" t="str">
        <x:v>MATHP_EGKR_952</x:v>
      </x:c>
      <x:c r="AN5517" s="87" t="n">
        <x:v>18</x:v>
      </x:c>
    </x:row>
    <x:row r="5518">
      <x:c r="A5518" s="87" t="n">
        <x:v>5517</x:v>
      </x:c>
      <x:c r="B5518" s="87" t="str">
        <x:v>EGKR-W25-MATHP-952-18</x:v>
      </x:c>
      <x:c r="C5518" s="87" t="str">
        <x:v>ЕГКР</x:v>
      </x:c>
      <x:c r="D5518" s="87"/>
      <x:c r="E5518" s="87" t="str">
        <x:v>Зима 2025</x:v>
      </x:c>
      <x:c r="F5518" s="87" t="str">
        <x:v>16.12.2025</x:v>
      </x:c>
      <x:c r="G5518" s="87" t="str">
        <x:v>Математика (профиль)</x:v>
      </x:c>
      <x:c r="H5518" s="87" t="n">
        <x:v>11</x:v>
      </x:c>
      <x:c r="I5518" s="87"/>
      <x:c r="J5518" s="87" t="str">
        <x:v>952</x:v>
      </x:c>
      <x:c r="K5518" s="87" t="n">
        <x:v>18</x:v>
      </x:c>
      <x:c r="L5518" s="87" t="str">
        <x:v>Развёрнутый ответ</x:v>
      </x:c>
      <x:c r="M5518" s="30" t="str">
        <x:v>|x²-ax+16|+|16x-a²|=||x²-ax+16|-|a²-16x||. Найти a, при которых корень единственный.</x:v>
      </x:c>
      <x:c r="N5518" s="30" t="str">
        <x:v>Для U,V≥0 равенство U+V=|U-V| эквивалентно UV=0. Корни задаются x²-ax+16=0 и x=a²/16. При |a|&lt;2·4 квадратное уравнение корней не имеет, остаётся один линейный корень. При a=2·4 двойной корень совпадает с ним; при a=-2·4 получаются два различных корня. Ответ: a∈(-8;8].</x:v>
      </x:c>
      <x:c r="O5518" s="30" t="str">
        <x:v>Содержит полный ход решения и итоговый ответ.</x:v>
      </x:c>
      <x:c r="P5518" s="30" t="str">
        <x:v>Алгебра, геометрия или перебор проверены независимо от приложенных ученических решений.</x:v>
      </x:c>
      <x:c r="Q5518" s="30"/>
      <x:c r="R5518" s="30"/>
      <x:c r="S5518" s="30" t="str">
        <x:v>Независимое решение по исходному заданию</x:v>
      </x:c>
      <x:c r="T5518" s="30"/>
      <x:c r="U5518" s="30" t="str">
        <x:v>Независимая модель решения.</x:v>
      </x:c>
      <x:c r="V5518" s="87" t="str">
        <x:v>VERIFIED</x:v>
      </x:c>
      <x:c r="W5518" s="87"/>
      <x:c r="X5518" s="87" t="n">
        <x:v>3</x:v>
      </x:c>
      <x:c r="Y5518" s="87"/>
      <x:c r="Z5518" s="87"/>
      <x:c r="AA5518" s="87"/>
      <x:c r="AB5518" s="87"/>
      <x:c r="AC5518" s="87" t="str">
        <x:v>VIS-EGKR-MATHP-W25-TASK-952-P003</x:v>
      </x:c>
      <x:c r="AD5518" s="87"/>
      <x:c r="AE5518" s="87" t="str">
        <x:v>TASK</x:v>
      </x:c>
      <x:c r="AF5518" s="87" t="str">
        <x:v>VIS-EGKR-MATHP-W25-TASK-952-P003: 3</x:v>
      </x:c>
      <x:c r="AG5518" s="87" t="str">
        <x:v>RESOLVED</x:v>
      </x:c>
      <x:c r="AH5518" s="87" t="str">
        <x:v>CROP_VERIFIED</x:v>
      </x:c>
      <x:c r="AI5518" s="30"/>
      <x:c r="AJ5518" s="87" t="str">
        <x:v>clean</x:v>
      </x:c>
      <x:c r="AK5518" s="87" t="str">
        <x:v>clean-v0.15</x:v>
      </x:c>
      <x:c r="AL5518" s="87" t="str">
        <x:v>statgrad_clean_continuation_v0_15(1).xlsx</x:v>
      </x:c>
      <x:c r="AM5518" s="87" t="str">
        <x:v>MATHP_EGKR_952</x:v>
      </x:c>
      <x:c r="AN5518" s="87" t="n">
        <x:v>19</x:v>
      </x:c>
    </x:row>
    <x:row r="5519">
      <x:c r="A5519" s="87" t="n">
        <x:v>5518</x:v>
      </x:c>
      <x:c r="B5519" s="87" t="str">
        <x:v>EGKR-W25-MATHP-952-19</x:v>
      </x:c>
      <x:c r="C5519" s="87" t="str">
        <x:v>ЕГКР</x:v>
      </x:c>
      <x:c r="D5519" s="87"/>
      <x:c r="E5519" s="87" t="str">
        <x:v>Зима 2025</x:v>
      </x:c>
      <x:c r="F5519" s="87" t="str">
        <x:v>16.12.2025</x:v>
      </x:c>
      <x:c r="G5519" s="87" t="str">
        <x:v>Математика (профиль)</x:v>
      </x:c>
      <x:c r="H5519" s="87" t="n">
        <x:v>11</x:v>
      </x:c>
      <x:c r="I5519" s="87"/>
      <x:c r="J5519" s="87" t="str">
        <x:v>952</x:v>
      </x:c>
      <x:c r="K5519" s="87" t="n">
        <x:v>19</x:v>
      </x:c>
      <x:c r="L5519" s="87" t="str">
        <x:v>Развёрнутый ответ</x:v>
      </x:c>
      <x:c r="M5519" s="30" t="str">
        <x:v>Конечная геометрическая прогрессия из трёхзначных натуральных чисел начинается с 304; не менее трёх членов. Проверить 380, 760 и найти максимум.</x:v>
      </x:c>
      <x:c r="N5519" s="30" t="str">
        <x:v>Пусть q=m/n в несократимом виде. Для целочисленности первых трёх членов необходимо n²|304; перебор допустимых m/n с сохранением трёхзначности даёт: а) да, q=5/4 даёт 304,380,475; б) нет, 760 не входит ни в одну допустимую последовательность; в) наибольшее возможное число 931, поскольку q=7/4 даёт 304,532,931.</x:v>
      </x:c>
      <x:c r="O5519" s="30" t="str">
        <x:v>Содержит полный ход решения и итоговый ответ.</x:v>
      </x:c>
      <x:c r="P5519" s="30" t="str">
        <x:v>Алгебра, геометрия или перебор проверены независимо от приложенных ученических решений.</x:v>
      </x:c>
      <x:c r="Q5519" s="30"/>
      <x:c r="R5519" s="30"/>
      <x:c r="S5519" s="30" t="str">
        <x:v>Независимое решение по исходному заданию</x:v>
      </x:c>
      <x:c r="T5519" s="30"/>
      <x:c r="U5519" s="30" t="str">
        <x:v>Независимая модель решения.</x:v>
      </x:c>
      <x:c r="V5519" s="87" t="str">
        <x:v>VERIFIED</x:v>
      </x:c>
      <x:c r="W5519" s="87"/>
      <x:c r="X5519" s="87" t="n">
        <x:v>3</x:v>
      </x:c>
      <x:c r="Y5519" s="87"/>
      <x:c r="Z5519" s="87"/>
      <x:c r="AA5519" s="87"/>
      <x:c r="AB5519" s="87"/>
      <x:c r="AC5519" s="87" t="str">
        <x:v>VIS-EGKR-MATHP-W25-TASK-952-P003</x:v>
      </x:c>
      <x:c r="AD5519" s="87"/>
      <x:c r="AE5519" s="87" t="str">
        <x:v>TASK</x:v>
      </x:c>
      <x:c r="AF5519" s="87" t="str">
        <x:v>VIS-EGKR-MATHP-W25-TASK-952-P003: 3</x:v>
      </x:c>
      <x:c r="AG5519" s="87" t="str">
        <x:v>RESOLVED</x:v>
      </x:c>
      <x:c r="AH5519" s="87" t="str">
        <x:v>CROP_VERIFIED</x:v>
      </x:c>
      <x:c r="AI5519" s="30"/>
      <x:c r="AJ5519" s="87" t="str">
        <x:v>clean</x:v>
      </x:c>
      <x:c r="AK5519" s="87" t="str">
        <x:v>clean-v0.15</x:v>
      </x:c>
      <x:c r="AL5519" s="87" t="str">
        <x:v>statgrad_clean_continuation_v0_15(1).xlsx</x:v>
      </x:c>
      <x:c r="AM5519" s="87" t="str">
        <x:v>MATHP_EGKR_952</x:v>
      </x:c>
      <x:c r="AN5519" s="87" t="n">
        <x:v>20</x:v>
      </x:c>
    </x:row>
    <x:row r="5520">
      <x:c r="A5520" s="87" t="n">
        <x:v>5519</x:v>
      </x:c>
      <x:c r="B5520" s="87" t="str">
        <x:v>EGKR-W25-MATHP-953-01</x:v>
      </x:c>
      <x:c r="C5520" s="87" t="str">
        <x:v>ЕГКР</x:v>
      </x:c>
      <x:c r="D5520" s="87"/>
      <x:c r="E5520" s="87" t="str">
        <x:v>Зима 2025</x:v>
      </x:c>
      <x:c r="F5520" s="87" t="str">
        <x:v>16.12.2025</x:v>
      </x:c>
      <x:c r="G5520" s="87" t="str">
        <x:v>Математика (профиль)</x:v>
      </x:c>
      <x:c r="H5520" s="87" t="n">
        <x:v>11</x:v>
      </x:c>
      <x:c r="I5520" s="87"/>
      <x:c r="J5520" s="87" t="str">
        <x:v>953</x:v>
      </x:c>
      <x:c r="K5520" s="87" t="n">
        <x:v>1</x:v>
      </x:c>
      <x:c r="L5520" s="87" t="str">
        <x:v>Краткий ответ</x:v>
      </x:c>
      <x:c r="M5520" s="30" t="str">
        <x:v>Прямоугольник ABCD; K - середина AD; AB=6, BK=10. Найти периметр.</x:v>
      </x:c>
      <x:c r="N5520" s="30" t="str">
        <x:v>44</x:v>
      </x:c>
      <x:c r="O5520" s="30" t="str">
        <x:v>Половина AD находится по теореме Пифагора из треугольника ABK; затем вычисляется периметр.</x:v>
      </x:c>
      <x:c r="P5520" s="30" t="str">
        <x:v>Проверено вычислением и по полной визуальной странице.</x:v>
      </x:c>
      <x:c r="Q5520" s="30"/>
      <x:c r="R5520" s="30"/>
      <x:c r="S5520" s="30" t="str">
        <x:v>Ответы профиль.docx</x:v>
      </x:c>
      <x:c r="T5520" s="30"/>
      <x:c r="U5520" s="30" t="str">
        <x:v>Ответник совпадает с независимой проверкой.</x:v>
      </x:c>
      <x:c r="V5520" s="87" t="str">
        <x:v>VERIFIED</x:v>
      </x:c>
      <x:c r="W5520" s="87"/>
      <x:c r="X5520" s="87" t="n">
        <x:v>1</x:v>
      </x:c>
      <x:c r="Y5520" s="87"/>
      <x:c r="Z5520" s="87"/>
      <x:c r="AA5520" s="87"/>
      <x:c r="AB5520" s="87"/>
      <x:c r="AC5520" s="87" t="str">
        <x:v>VIS-EGKR-MATHP-W25-TASK-953-P001</x:v>
      </x:c>
      <x:c r="AD5520" s="87"/>
      <x:c r="AE5520" s="87" t="str">
        <x:v>TASK</x:v>
      </x:c>
      <x:c r="AF5520" s="87" t="str">
        <x:v>VIS-EGKR-MATHP-W25-TASK-953-P001: 1</x:v>
      </x:c>
      <x:c r="AG5520" s="87" t="str">
        <x:v>RESOLVED</x:v>
      </x:c>
      <x:c r="AH5520" s="87" t="str">
        <x:v>CROP_VERIFIED</x:v>
      </x:c>
      <x:c r="AI5520" s="30"/>
      <x:c r="AJ5520" s="87" t="str">
        <x:v>clean</x:v>
      </x:c>
      <x:c r="AK5520" s="87" t="str">
        <x:v>clean-v0.15</x:v>
      </x:c>
      <x:c r="AL5520" s="87" t="str">
        <x:v>statgrad_clean_continuation_v0_15(1).xlsx</x:v>
      </x:c>
      <x:c r="AM5520" s="87" t="str">
        <x:v>MATHP_EGKR_953</x:v>
      </x:c>
      <x:c r="AN5520" s="87" t="n">
        <x:v>2</x:v>
      </x:c>
    </x:row>
    <x:row r="5521">
      <x:c r="A5521" s="87" t="n">
        <x:v>5520</x:v>
      </x:c>
      <x:c r="B5521" s="87" t="str">
        <x:v>EGKR-W25-MATHP-953-02</x:v>
      </x:c>
      <x:c r="C5521" s="87" t="str">
        <x:v>ЕГКР</x:v>
      </x:c>
      <x:c r="D5521" s="87"/>
      <x:c r="E5521" s="87" t="str">
        <x:v>Зима 2025</x:v>
      </x:c>
      <x:c r="F5521" s="87" t="str">
        <x:v>16.12.2025</x:v>
      </x:c>
      <x:c r="G5521" s="87" t="str">
        <x:v>Математика (профиль)</x:v>
      </x:c>
      <x:c r="H5521" s="87" t="n">
        <x:v>11</x:v>
      </x:c>
      <x:c r="I5521" s="87"/>
      <x:c r="J5521" s="87" t="str">
        <x:v>953</x:v>
      </x:c>
      <x:c r="K5521" s="87" t="n">
        <x:v>2</x:v>
      </x:c>
      <x:c r="L5521" s="87" t="str">
        <x:v>Краткий ответ</x:v>
      </x:c>
      <x:c r="M5521" s="30" t="str">
        <x:v>По координатной сетке найти скалярное произведение векторов a и b.</x:v>
      </x:c>
      <x:c r="N5521" s="30" t="str">
        <x:v>15</x:v>
      </x:c>
      <x:c r="O5521" s="30" t="str">
        <x:v>Координаты векторов считаны по клеткам, после чего вычислено aₓbₓ+aᵧbᵧ.</x:v>
      </x:c>
      <x:c r="P5521" s="30" t="str">
        <x:v>Проверено вычислением и по полной визуальной странице.</x:v>
      </x:c>
      <x:c r="Q5521" s="30"/>
      <x:c r="R5521" s="30"/>
      <x:c r="S5521" s="30" t="str">
        <x:v>Ответы профиль.docx</x:v>
      </x:c>
      <x:c r="T5521" s="30"/>
      <x:c r="U5521" s="30" t="str">
        <x:v>Ответник совпадает с независимой проверкой.</x:v>
      </x:c>
      <x:c r="V5521" s="87" t="str">
        <x:v>VERIFIED</x:v>
      </x:c>
      <x:c r="W5521" s="87"/>
      <x:c r="X5521" s="87" t="n">
        <x:v>1</x:v>
      </x:c>
      <x:c r="Y5521" s="87"/>
      <x:c r="Z5521" s="87"/>
      <x:c r="AA5521" s="87"/>
      <x:c r="AB5521" s="87"/>
      <x:c r="AC5521" s="87" t="str">
        <x:v>VIS-EGKR-MATHP-W25-TASK-953-P001</x:v>
      </x:c>
      <x:c r="AD5521" s="87"/>
      <x:c r="AE5521" s="87" t="str">
        <x:v>TASK</x:v>
      </x:c>
      <x:c r="AF5521" s="87" t="str">
        <x:v>VIS-EGKR-MATHP-W25-TASK-953-P001: 1</x:v>
      </x:c>
      <x:c r="AG5521" s="87" t="str">
        <x:v>RESOLVED</x:v>
      </x:c>
      <x:c r="AH5521" s="87" t="str">
        <x:v>CROP_VERIFIED</x:v>
      </x:c>
      <x:c r="AI5521" s="30"/>
      <x:c r="AJ5521" s="87" t="str">
        <x:v>clean</x:v>
      </x:c>
      <x:c r="AK5521" s="87" t="str">
        <x:v>clean-v0.15</x:v>
      </x:c>
      <x:c r="AL5521" s="87" t="str">
        <x:v>statgrad_clean_continuation_v0_15(1).xlsx</x:v>
      </x:c>
      <x:c r="AM5521" s="87" t="str">
        <x:v>MATHP_EGKR_953</x:v>
      </x:c>
      <x:c r="AN5521" s="87" t="n">
        <x:v>3</x:v>
      </x:c>
    </x:row>
    <x:row r="5522">
      <x:c r="A5522" s="87" t="n">
        <x:v>5521</x:v>
      </x:c>
      <x:c r="B5522" s="87" t="str">
        <x:v>EGKR-W25-MATHP-953-03</x:v>
      </x:c>
      <x:c r="C5522" s="87" t="str">
        <x:v>ЕГКР</x:v>
      </x:c>
      <x:c r="D5522" s="87"/>
      <x:c r="E5522" s="87" t="str">
        <x:v>Зима 2025</x:v>
      </x:c>
      <x:c r="F5522" s="87" t="str">
        <x:v>16.12.2025</x:v>
      </x:c>
      <x:c r="G5522" s="87" t="str">
        <x:v>Математика (профиль)</x:v>
      </x:c>
      <x:c r="H5522" s="87" t="n">
        <x:v>11</x:v>
      </x:c>
      <x:c r="I5522" s="87"/>
      <x:c r="J5522" s="87" t="str">
        <x:v>953</x:v>
      </x:c>
      <x:c r="K5522" s="87" t="n">
        <x:v>3</x:v>
      </x:c>
      <x:c r="L5522" s="87" t="str">
        <x:v>Краткий ответ</x:v>
      </x:c>
      <x:c r="M5522" s="30" t="str">
        <x:v>В кубе K - середина CC₁, M - середина CD. Найти угол между KM и A₁B.</x:v>
      </x:c>
      <x:c r="N5522" s="30" t="str">
        <x:v>90</x:v>
      </x:c>
      <x:c r="O5522" s="30" t="str">
        <x:v>Прямые заменены параллельными векторами куба; угол найден по скалярному произведению.</x:v>
      </x:c>
      <x:c r="P5522" s="30" t="str">
        <x:v>Проверено вычислением и по полной визуальной странице.</x:v>
      </x:c>
      <x:c r="Q5522" s="30"/>
      <x:c r="R5522" s="30"/>
      <x:c r="S5522" s="30" t="str">
        <x:v>Ответы профиль.docx</x:v>
      </x:c>
      <x:c r="T5522" s="30"/>
      <x:c r="U5522" s="30" t="str">
        <x:v>Ответник совпадает с независимой проверкой.</x:v>
      </x:c>
      <x:c r="V5522" s="87" t="str">
        <x:v>VERIFIED</x:v>
      </x:c>
      <x:c r="W5522" s="87"/>
      <x:c r="X5522" s="87" t="n">
        <x:v>1</x:v>
      </x:c>
      <x:c r="Y5522" s="87"/>
      <x:c r="Z5522" s="87"/>
      <x:c r="AA5522" s="87"/>
      <x:c r="AB5522" s="87"/>
      <x:c r="AC5522" s="87" t="str">
        <x:v>VIS-EGKR-MATHP-W25-TASK-953-P001</x:v>
      </x:c>
      <x:c r="AD5522" s="87"/>
      <x:c r="AE5522" s="87" t="str">
        <x:v>TASK</x:v>
      </x:c>
      <x:c r="AF5522" s="87" t="str">
        <x:v>VIS-EGKR-MATHP-W25-TASK-953-P001: 1</x:v>
      </x:c>
      <x:c r="AG5522" s="87" t="str">
        <x:v>RESOLVED</x:v>
      </x:c>
      <x:c r="AH5522" s="87" t="str">
        <x:v>CROP_VERIFIED</x:v>
      </x:c>
      <x:c r="AI5522" s="30"/>
      <x:c r="AJ5522" s="87" t="str">
        <x:v>clean</x:v>
      </x:c>
      <x:c r="AK5522" s="87" t="str">
        <x:v>clean-v0.15</x:v>
      </x:c>
      <x:c r="AL5522" s="87" t="str">
        <x:v>statgrad_clean_continuation_v0_15(1).xlsx</x:v>
      </x:c>
      <x:c r="AM5522" s="87" t="str">
        <x:v>MATHP_EGKR_953</x:v>
      </x:c>
      <x:c r="AN5522" s="87" t="n">
        <x:v>4</x:v>
      </x:c>
    </x:row>
    <x:row r="5523">
      <x:c r="A5523" s="87" t="n">
        <x:v>5522</x:v>
      </x:c>
      <x:c r="B5523" s="87" t="str">
        <x:v>EGKR-W25-MATHP-953-04</x:v>
      </x:c>
      <x:c r="C5523" s="87" t="str">
        <x:v>ЕГКР</x:v>
      </x:c>
      <x:c r="D5523" s="87"/>
      <x:c r="E5523" s="87" t="str">
        <x:v>Зима 2025</x:v>
      </x:c>
      <x:c r="F5523" s="87" t="str">
        <x:v>16.12.2025</x:v>
      </x:c>
      <x:c r="G5523" s="87" t="str">
        <x:v>Математика (профиль)</x:v>
      </x:c>
      <x:c r="H5523" s="87" t="n">
        <x:v>11</x:v>
      </x:c>
      <x:c r="I5523" s="87"/>
      <x:c r="J5523" s="87" t="str">
        <x:v>953</x:v>
      </x:c>
      <x:c r="K5523" s="87" t="n">
        <x:v>4</x:v>
      </x:c>
      <x:c r="L5523" s="87" t="str">
        <x:v>Краткий ответ</x:v>
      </x:c>
      <x:c r="M5523" s="30" t="str">
        <x:v>Карточки с целыми числами 4-22; добавить карточку с суммой чётных. Найти вероятность нечётного числа.</x:v>
      </x:c>
      <x:c r="N5523" s="30" t="str">
        <x:v>0,45</x:v>
      </x:c>
      <x:c r="O5523" s="30" t="str">
        <x:v>Добавленная сумма чётных остаётся чётной; число нечётных карточек делится на новое общее число.</x:v>
      </x:c>
      <x:c r="P5523" s="30" t="str">
        <x:v>Проверено вычислением и по полной визуальной странице.</x:v>
      </x:c>
      <x:c r="Q5523" s="30"/>
      <x:c r="R5523" s="30"/>
      <x:c r="S5523" s="30" t="str">
        <x:v>Ответы профиль.docx</x:v>
      </x:c>
      <x:c r="T5523" s="30"/>
      <x:c r="U5523" s="30" t="str">
        <x:v>Ответник совпадает с независимой проверкой.</x:v>
      </x:c>
      <x:c r="V5523" s="87" t="str">
        <x:v>VERIFIED</x:v>
      </x:c>
      <x:c r="W5523" s="87"/>
      <x:c r="X5523" s="87" t="n">
        <x:v>2</x:v>
      </x:c>
      <x:c r="Y5523" s="87"/>
      <x:c r="Z5523" s="87"/>
      <x:c r="AA5523" s="87"/>
      <x:c r="AB5523" s="87"/>
      <x:c r="AC5523" s="87" t="str">
        <x:v>VIS-EGKR-MATHP-W25-TASK-953-P002</x:v>
      </x:c>
      <x:c r="AD5523" s="87"/>
      <x:c r="AE5523" s="87" t="str">
        <x:v>TASK</x:v>
      </x:c>
      <x:c r="AF5523" s="87" t="str">
        <x:v>VIS-EGKR-MATHP-W25-TASK-953-P002: 2</x:v>
      </x:c>
      <x:c r="AG5523" s="87" t="str">
        <x:v>RESOLVED</x:v>
      </x:c>
      <x:c r="AH5523" s="87" t="str">
        <x:v>CROP_VERIFIED</x:v>
      </x:c>
      <x:c r="AI5523" s="30"/>
      <x:c r="AJ5523" s="87" t="str">
        <x:v>clean</x:v>
      </x:c>
      <x:c r="AK5523" s="87" t="str">
        <x:v>clean-v0.15</x:v>
      </x:c>
      <x:c r="AL5523" s="87" t="str">
        <x:v>statgrad_clean_continuation_v0_15(1).xlsx</x:v>
      </x:c>
      <x:c r="AM5523" s="87" t="str">
        <x:v>MATHP_EGKR_953</x:v>
      </x:c>
      <x:c r="AN5523" s="87" t="n">
        <x:v>5</x:v>
      </x:c>
    </x:row>
    <x:row r="5524">
      <x:c r="A5524" s="87" t="n">
        <x:v>5523</x:v>
      </x:c>
      <x:c r="B5524" s="87" t="str">
        <x:v>EGKR-W25-MATHP-953-05</x:v>
      </x:c>
      <x:c r="C5524" s="87" t="str">
        <x:v>ЕГКР</x:v>
      </x:c>
      <x:c r="D5524" s="87"/>
      <x:c r="E5524" s="87" t="str">
        <x:v>Зима 2025</x:v>
      </x:c>
      <x:c r="F5524" s="87" t="str">
        <x:v>16.12.2025</x:v>
      </x:c>
      <x:c r="G5524" s="87" t="str">
        <x:v>Математика (профиль)</x:v>
      </x:c>
      <x:c r="H5524" s="87" t="n">
        <x:v>11</x:v>
      </x:c>
      <x:c r="I5524" s="87"/>
      <x:c r="J5524" s="87" t="str">
        <x:v>953</x:v>
      </x:c>
      <x:c r="K5524" s="87" t="n">
        <x:v>5</x:v>
      </x:c>
      <x:c r="L5524" s="87" t="str">
        <x:v>Краткий ответ</x:v>
      </x:c>
      <x:c r="M5524" s="30" t="str">
        <x:v>Три линии с долями загрузки 20%, 30%, 50% и браком 5%, 3%, 1%. Найти общую вероятность брака.</x:v>
      </x:c>
      <x:c r="N5524" s="30" t="str">
        <x:v>0,024</x:v>
      </x:c>
      <x:c r="O5524" s="30" t="str">
        <x:v>Использована формула полной вероятности с весами 0,2; 0,3; 0,5.</x:v>
      </x:c>
      <x:c r="P5524" s="30" t="str">
        <x:v>Проверено вычислением и по полной визуальной странице.</x:v>
      </x:c>
      <x:c r="Q5524" s="30"/>
      <x:c r="R5524" s="30"/>
      <x:c r="S5524" s="30" t="str">
        <x:v>Ответы профиль.docx</x:v>
      </x:c>
      <x:c r="T5524" s="30"/>
      <x:c r="U5524" s="30" t="str">
        <x:v>Ответник совпадает с независимой проверкой.</x:v>
      </x:c>
      <x:c r="V5524" s="87" t="str">
        <x:v>VERIFIED</x:v>
      </x:c>
      <x:c r="W5524" s="87"/>
      <x:c r="X5524" s="87" t="n">
        <x:v>2</x:v>
      </x:c>
      <x:c r="Y5524" s="87"/>
      <x:c r="Z5524" s="87"/>
      <x:c r="AA5524" s="87"/>
      <x:c r="AB5524" s="87"/>
      <x:c r="AC5524" s="87" t="str">
        <x:v>VIS-EGKR-MATHP-W25-TASK-953-P002</x:v>
      </x:c>
      <x:c r="AD5524" s="87"/>
      <x:c r="AE5524" s="87" t="str">
        <x:v>TASK</x:v>
      </x:c>
      <x:c r="AF5524" s="87" t="str">
        <x:v>VIS-EGKR-MATHP-W25-TASK-953-P002: 2</x:v>
      </x:c>
      <x:c r="AG5524" s="87" t="str">
        <x:v>RESOLVED</x:v>
      </x:c>
      <x:c r="AH5524" s="87" t="str">
        <x:v>CROP_VERIFIED</x:v>
      </x:c>
      <x:c r="AI5524" s="30"/>
      <x:c r="AJ5524" s="87" t="str">
        <x:v>clean</x:v>
      </x:c>
      <x:c r="AK5524" s="87" t="str">
        <x:v>clean-v0.15</x:v>
      </x:c>
      <x:c r="AL5524" s="87" t="str">
        <x:v>statgrad_clean_continuation_v0_15(1).xlsx</x:v>
      </x:c>
      <x:c r="AM5524" s="87" t="str">
        <x:v>MATHP_EGKR_953</x:v>
      </x:c>
      <x:c r="AN5524" s="87" t="n">
        <x:v>6</x:v>
      </x:c>
    </x:row>
    <x:row r="5525">
      <x:c r="A5525" s="87" t="n">
        <x:v>5524</x:v>
      </x:c>
      <x:c r="B5525" s="87" t="str">
        <x:v>EGKR-W25-MATHP-953-06</x:v>
      </x:c>
      <x:c r="C5525" s="87" t="str">
        <x:v>ЕГКР</x:v>
      </x:c>
      <x:c r="D5525" s="87"/>
      <x:c r="E5525" s="87" t="str">
        <x:v>Зима 2025</x:v>
      </x:c>
      <x:c r="F5525" s="87" t="str">
        <x:v>16.12.2025</x:v>
      </x:c>
      <x:c r="G5525" s="87" t="str">
        <x:v>Математика (профиль)</x:v>
      </x:c>
      <x:c r="H5525" s="87" t="n">
        <x:v>11</x:v>
      </x:c>
      <x:c r="I5525" s="87"/>
      <x:c r="J5525" s="87" t="str">
        <x:v>953</x:v>
      </x:c>
      <x:c r="K5525" s="87" t="n">
        <x:v>6</x:v>
      </x:c>
      <x:c r="L5525" s="87" t="str">
        <x:v>Краткий ответ</x:v>
      </x:c>
      <x:c r="M5525" s="30" t="str">
        <x:v>Решить уравнение 2^x=(1/2)^(x+4).</x:v>
      </x:c>
      <x:c r="N5525" s="30" t="str">
        <x:v>-2</x:v>
      </x:c>
      <x:c r="O5525" s="30" t="str">
        <x:v>Правая часть записана как степень того же основания; показатели приравнены.</x:v>
      </x:c>
      <x:c r="P5525" s="30" t="str">
        <x:v>Проверено вычислением и по полной визуальной странице.</x:v>
      </x:c>
      <x:c r="Q5525" s="30"/>
      <x:c r="R5525" s="30"/>
      <x:c r="S5525" s="30" t="str">
        <x:v>Ответы профиль.docx</x:v>
      </x:c>
      <x:c r="T5525" s="30"/>
      <x:c r="U5525" s="30" t="str">
        <x:v>Ответник совпадает с независимой проверкой.</x:v>
      </x:c>
      <x:c r="V5525" s="87" t="str">
        <x:v>VERIFIED</x:v>
      </x:c>
      <x:c r="W5525" s="87"/>
      <x:c r="X5525" s="87" t="n">
        <x:v>2</x:v>
      </x:c>
      <x:c r="Y5525" s="87"/>
      <x:c r="Z5525" s="87"/>
      <x:c r="AA5525" s="87"/>
      <x:c r="AB5525" s="87"/>
      <x:c r="AC5525" s="87" t="str">
        <x:v>VIS-EGKR-MATHP-W25-TASK-953-P002</x:v>
      </x:c>
      <x:c r="AD5525" s="87"/>
      <x:c r="AE5525" s="87" t="str">
        <x:v>TASK</x:v>
      </x:c>
      <x:c r="AF5525" s="87" t="str">
        <x:v>VIS-EGKR-MATHP-W25-TASK-953-P002: 2</x:v>
      </x:c>
      <x:c r="AG5525" s="87" t="str">
        <x:v>RESOLVED</x:v>
      </x:c>
      <x:c r="AH5525" s="87" t="str">
        <x:v>CROP_VERIFIED</x:v>
      </x:c>
      <x:c r="AI5525" s="30"/>
      <x:c r="AJ5525" s="87" t="str">
        <x:v>clean</x:v>
      </x:c>
      <x:c r="AK5525" s="87" t="str">
        <x:v>clean-v0.15</x:v>
      </x:c>
      <x:c r="AL5525" s="87" t="str">
        <x:v>statgrad_clean_continuation_v0_15(1).xlsx</x:v>
      </x:c>
      <x:c r="AM5525" s="87" t="str">
        <x:v>MATHP_EGKR_953</x:v>
      </x:c>
      <x:c r="AN5525" s="87" t="n">
        <x:v>7</x:v>
      </x:c>
    </x:row>
    <x:row r="5526">
      <x:c r="A5526" s="87" t="n">
        <x:v>5525</x:v>
      </x:c>
      <x:c r="B5526" s="87" t="str">
        <x:v>EGKR-W25-MATHP-953-07</x:v>
      </x:c>
      <x:c r="C5526" s="87" t="str">
        <x:v>ЕГКР</x:v>
      </x:c>
      <x:c r="D5526" s="87"/>
      <x:c r="E5526" s="87" t="str">
        <x:v>Зима 2025</x:v>
      </x:c>
      <x:c r="F5526" s="87" t="str">
        <x:v>16.12.2025</x:v>
      </x:c>
      <x:c r="G5526" s="87" t="str">
        <x:v>Математика (профиль)</x:v>
      </x:c>
      <x:c r="H5526" s="87" t="n">
        <x:v>11</x:v>
      </x:c>
      <x:c r="I5526" s="87"/>
      <x:c r="J5526" s="87" t="str">
        <x:v>953</x:v>
      </x:c>
      <x:c r="K5526" s="87" t="n">
        <x:v>7</x:v>
      </x:c>
      <x:c r="L5526" s="87" t="str">
        <x:v>Краткий ответ</x:v>
      </x:c>
      <x:c r="M5526" s="30" t="str">
        <x:v>Вычислить √3 cos(π/6)+sin(π/6).</x:v>
      </x:c>
      <x:c r="N5526" s="30" t="str">
        <x:v>2</x:v>
      </x:c>
      <x:c r="O5526" s="30" t="str">
        <x:v>Подставлены табличные значения синуса и косинуса.</x:v>
      </x:c>
      <x:c r="P5526" s="30" t="str">
        <x:v>Проверено вычислением и по полной визуальной странице.</x:v>
      </x:c>
      <x:c r="Q5526" s="30"/>
      <x:c r="R5526" s="30"/>
      <x:c r="S5526" s="30" t="str">
        <x:v>Ответы профиль.docx</x:v>
      </x:c>
      <x:c r="T5526" s="30"/>
      <x:c r="U5526" s="30" t="str">
        <x:v>Ответник совпадает с независимой проверкой.</x:v>
      </x:c>
      <x:c r="V5526" s="87" t="str">
        <x:v>VERIFIED</x:v>
      </x:c>
      <x:c r="W5526" s="87"/>
      <x:c r="X5526" s="87" t="n">
        <x:v>2</x:v>
      </x:c>
      <x:c r="Y5526" s="87"/>
      <x:c r="Z5526" s="87"/>
      <x:c r="AA5526" s="87"/>
      <x:c r="AB5526" s="87"/>
      <x:c r="AC5526" s="87" t="str">
        <x:v>VIS-EGKR-MATHP-W25-TASK-953-P002</x:v>
      </x:c>
      <x:c r="AD5526" s="87"/>
      <x:c r="AE5526" s="87" t="str">
        <x:v>TASK</x:v>
      </x:c>
      <x:c r="AF5526" s="87" t="str">
        <x:v>VIS-EGKR-MATHP-W25-TASK-953-P002: 2</x:v>
      </x:c>
      <x:c r="AG5526" s="87" t="str">
        <x:v>RESOLVED</x:v>
      </x:c>
      <x:c r="AH5526" s="87" t="str">
        <x:v>CROP_VERIFIED</x:v>
      </x:c>
      <x:c r="AI5526" s="30"/>
      <x:c r="AJ5526" s="87" t="str">
        <x:v>clean</x:v>
      </x:c>
      <x:c r="AK5526" s="87" t="str">
        <x:v>clean-v0.15</x:v>
      </x:c>
      <x:c r="AL5526" s="87" t="str">
        <x:v>statgrad_clean_continuation_v0_15(1).xlsx</x:v>
      </x:c>
      <x:c r="AM5526" s="87" t="str">
        <x:v>MATHP_EGKR_953</x:v>
      </x:c>
      <x:c r="AN5526" s="87" t="n">
        <x:v>8</x:v>
      </x:c>
    </x:row>
    <x:row r="5527">
      <x:c r="A5527" s="87" t="n">
        <x:v>5526</x:v>
      </x:c>
      <x:c r="B5527" s="87" t="str">
        <x:v>EGKR-W25-MATHP-953-08</x:v>
      </x:c>
      <x:c r="C5527" s="87" t="str">
        <x:v>ЕГКР</x:v>
      </x:c>
      <x:c r="D5527" s="87"/>
      <x:c r="E5527" s="87" t="str">
        <x:v>Зима 2025</x:v>
      </x:c>
      <x:c r="F5527" s="87" t="str">
        <x:v>16.12.2025</x:v>
      </x:c>
      <x:c r="G5527" s="87" t="str">
        <x:v>Математика (профиль)</x:v>
      </x:c>
      <x:c r="H5527" s="87" t="n">
        <x:v>11</x:v>
      </x:c>
      <x:c r="I5527" s="87"/>
      <x:c r="J5527" s="87" t="str">
        <x:v>953</x:v>
      </x:c>
      <x:c r="K5527" s="87" t="n">
        <x:v>8</x:v>
      </x:c>
      <x:c r="L5527" s="87" t="str">
        <x:v>Краткий ответ</x:v>
      </x:c>
      <x:c r="M5527" s="30" t="str">
        <x:v>По графику f на интервале (-1;10) посчитать целые x, где f'(x)&gt;0.</x:v>
      </x:c>
      <x:c r="N5527" s="30" t="str">
        <x:v>3</x:v>
      </x:c>
      <x:c r="O5527" s="30" t="str">
        <x:v>Посчитаны целые абсциссы на участках возрастания графика.</x:v>
      </x:c>
      <x:c r="P5527" s="30" t="str">
        <x:v>Проверено вычислением и по полной визуальной странице.</x:v>
      </x:c>
      <x:c r="Q5527" s="30"/>
      <x:c r="R5527" s="30"/>
      <x:c r="S5527" s="30" t="str">
        <x:v>Ответы профиль.docx</x:v>
      </x:c>
      <x:c r="T5527" s="30"/>
      <x:c r="U5527" s="30" t="str">
        <x:v>Ответник совпадает с независимой проверкой.</x:v>
      </x:c>
      <x:c r="V5527" s="87" t="str">
        <x:v>VERIFIED</x:v>
      </x:c>
      <x:c r="W5527" s="87"/>
      <x:c r="X5527" s="87" t="n">
        <x:v>2</x:v>
      </x:c>
      <x:c r="Y5527" s="87"/>
      <x:c r="Z5527" s="87"/>
      <x:c r="AA5527" s="87"/>
      <x:c r="AB5527" s="87"/>
      <x:c r="AC5527" s="87" t="str">
        <x:v>VIS-EGKR-MATHP-W25-TASK-953-P002</x:v>
      </x:c>
      <x:c r="AD5527" s="87"/>
      <x:c r="AE5527" s="87" t="str">
        <x:v>TASK</x:v>
      </x:c>
      <x:c r="AF5527" s="87" t="str">
        <x:v>VIS-EGKR-MATHP-W25-TASK-953-P002: 2</x:v>
      </x:c>
      <x:c r="AG5527" s="87" t="str">
        <x:v>RESOLVED</x:v>
      </x:c>
      <x:c r="AH5527" s="87" t="str">
        <x:v>CROP_VERIFIED</x:v>
      </x:c>
      <x:c r="AI5527" s="30"/>
      <x:c r="AJ5527" s="87" t="str">
        <x:v>clean</x:v>
      </x:c>
      <x:c r="AK5527" s="87" t="str">
        <x:v>clean-v0.15</x:v>
      </x:c>
      <x:c r="AL5527" s="87" t="str">
        <x:v>statgrad_clean_continuation_v0_15(1).xlsx</x:v>
      </x:c>
      <x:c r="AM5527" s="87" t="str">
        <x:v>MATHP_EGKR_953</x:v>
      </x:c>
      <x:c r="AN5527" s="87" t="n">
        <x:v>9</x:v>
      </x:c>
    </x:row>
    <x:row r="5528">
      <x:c r="A5528" s="87" t="n">
        <x:v>5527</x:v>
      </x:c>
      <x:c r="B5528" s="87" t="str">
        <x:v>EGKR-W25-MATHP-953-09</x:v>
      </x:c>
      <x:c r="C5528" s="87" t="str">
        <x:v>ЕГКР</x:v>
      </x:c>
      <x:c r="D5528" s="87"/>
      <x:c r="E5528" s="87" t="str">
        <x:v>Зима 2025</x:v>
      </x:c>
      <x:c r="F5528" s="87" t="str">
        <x:v>16.12.2025</x:v>
      </x:c>
      <x:c r="G5528" s="87" t="str">
        <x:v>Математика (профиль)</x:v>
      </x:c>
      <x:c r="H5528" s="87" t="n">
        <x:v>11</x:v>
      </x:c>
      <x:c r="I5528" s="87"/>
      <x:c r="J5528" s="87" t="str">
        <x:v>953</x:v>
      </x:c>
      <x:c r="K5528" s="87" t="n">
        <x:v>9</x:v>
      </x:c>
      <x:c r="L5528" s="87" t="str">
        <x:v>Краткий ответ</x:v>
      </x:c>
      <x:c r="M5528" s="30" t="str">
        <x:v>Высота воды задана квадратным законом (H₀=4). Найти время до опустошения.</x:v>
      </x:c>
      <x:c r="N5528" s="30" t="str">
        <x:v>20</x:v>
      </x:c>
      <x:c r="O5528" s="30" t="str">
        <x:v>Решено H(t)=0 и выбран физически допустимый положительный корень.</x:v>
      </x:c>
      <x:c r="P5528" s="30" t="str">
        <x:v>Проверено вычислением и по полной визуальной странице.</x:v>
      </x:c>
      <x:c r="Q5528" s="30"/>
      <x:c r="R5528" s="30"/>
      <x:c r="S5528" s="30" t="str">
        <x:v>Ответы профиль.docx</x:v>
      </x:c>
      <x:c r="T5528" s="30"/>
      <x:c r="U5528" s="30" t="str">
        <x:v>Ответник совпадает с независимой проверкой.</x:v>
      </x:c>
      <x:c r="V5528" s="87" t="str">
        <x:v>VERIFIED</x:v>
      </x:c>
      <x:c r="W5528" s="87"/>
      <x:c r="X5528" s="87" t="n">
        <x:v>2</x:v>
      </x:c>
      <x:c r="Y5528" s="87"/>
      <x:c r="Z5528" s="87"/>
      <x:c r="AA5528" s="87"/>
      <x:c r="AB5528" s="87"/>
      <x:c r="AC5528" s="87" t="str">
        <x:v>VIS-EGKR-MATHP-W25-TASK-953-P002</x:v>
      </x:c>
      <x:c r="AD5528" s="87"/>
      <x:c r="AE5528" s="87" t="str">
        <x:v>TASK</x:v>
      </x:c>
      <x:c r="AF5528" s="87" t="str">
        <x:v>VIS-EGKR-MATHP-W25-TASK-953-P002: 2</x:v>
      </x:c>
      <x:c r="AG5528" s="87" t="str">
        <x:v>RESOLVED</x:v>
      </x:c>
      <x:c r="AH5528" s="87" t="str">
        <x:v>CROP_VERIFIED</x:v>
      </x:c>
      <x:c r="AI5528" s="30"/>
      <x:c r="AJ5528" s="87" t="str">
        <x:v>clean</x:v>
      </x:c>
      <x:c r="AK5528" s="87" t="str">
        <x:v>clean-v0.15</x:v>
      </x:c>
      <x:c r="AL5528" s="87" t="str">
        <x:v>statgrad_clean_continuation_v0_15(1).xlsx</x:v>
      </x:c>
      <x:c r="AM5528" s="87" t="str">
        <x:v>MATHP_EGKR_953</x:v>
      </x:c>
      <x:c r="AN5528" s="87" t="n">
        <x:v>10</x:v>
      </x:c>
    </x:row>
    <x:row r="5529">
      <x:c r="A5529" s="87" t="n">
        <x:v>5528</x:v>
      </x:c>
      <x:c r="B5529" s="87" t="str">
        <x:v>EGKR-W25-MATHP-953-10</x:v>
      </x:c>
      <x:c r="C5529" s="87" t="str">
        <x:v>ЕГКР</x:v>
      </x:c>
      <x:c r="D5529" s="87"/>
      <x:c r="E5529" s="87" t="str">
        <x:v>Зима 2025</x:v>
      </x:c>
      <x:c r="F5529" s="87" t="str">
        <x:v>16.12.2025</x:v>
      </x:c>
      <x:c r="G5529" s="87" t="str">
        <x:v>Математика (профиль)</x:v>
      </x:c>
      <x:c r="H5529" s="87" t="n">
        <x:v>11</x:v>
      </x:c>
      <x:c r="I5529" s="87"/>
      <x:c r="J5529" s="87" t="str">
        <x:v>953</x:v>
      </x:c>
      <x:c r="K5529" s="87" t="n">
        <x:v>10</x:v>
      </x:c>
      <x:c r="L5529" s="87" t="str">
        <x:v>Краткий ответ</x:v>
      </x:c>
      <x:c r="M5529" s="30" t="str">
        <x:v>Посёлок C между A и B; AC=34; мотоцикл вдвое быстрее грузовика. Найти AB.</x:v>
      </x:c>
      <x:c r="N5529" s="30" t="str">
        <x:v>102</x:v>
      </x:c>
      <x:c r="O5529" s="30" t="str">
        <x:v>Равенство времени даёт AC/v=(AB-AC)/(2v), следовательно AB=3AC.</x:v>
      </x:c>
      <x:c r="P5529" s="30" t="str">
        <x:v>Проверено вычислением и по полной визуальной странице.</x:v>
      </x:c>
      <x:c r="Q5529" s="30"/>
      <x:c r="R5529" s="30"/>
      <x:c r="S5529" s="30" t="str">
        <x:v>Ответы профиль.docx</x:v>
      </x:c>
      <x:c r="T5529" s="30"/>
      <x:c r="U5529" s="30" t="str">
        <x:v>Ответник совпадает с независимой проверкой.</x:v>
      </x:c>
      <x:c r="V5529" s="87" t="str">
        <x:v>VERIFIED</x:v>
      </x:c>
      <x:c r="W5529" s="87"/>
      <x:c r="X5529" s="87" t="n">
        <x:v>2</x:v>
      </x:c>
      <x:c r="Y5529" s="87"/>
      <x:c r="Z5529" s="87"/>
      <x:c r="AA5529" s="87"/>
      <x:c r="AB5529" s="87"/>
      <x:c r="AC5529" s="87" t="str">
        <x:v>VIS-EGKR-MATHP-W25-TASK-953-P002</x:v>
      </x:c>
      <x:c r="AD5529" s="87"/>
      <x:c r="AE5529" s="87" t="str">
        <x:v>TASK</x:v>
      </x:c>
      <x:c r="AF5529" s="87" t="str">
        <x:v>VIS-EGKR-MATHP-W25-TASK-953-P002: 2</x:v>
      </x:c>
      <x:c r="AG5529" s="87" t="str">
        <x:v>RESOLVED</x:v>
      </x:c>
      <x:c r="AH5529" s="87" t="str">
        <x:v>CROP_VERIFIED</x:v>
      </x:c>
      <x:c r="AI5529" s="30"/>
      <x:c r="AJ5529" s="87" t="str">
        <x:v>clean</x:v>
      </x:c>
      <x:c r="AK5529" s="87" t="str">
        <x:v>clean-v0.15</x:v>
      </x:c>
      <x:c r="AL5529" s="87" t="str">
        <x:v>statgrad_clean_continuation_v0_15(1).xlsx</x:v>
      </x:c>
      <x:c r="AM5529" s="87" t="str">
        <x:v>MATHP_EGKR_953</x:v>
      </x:c>
      <x:c r="AN5529" s="87" t="n">
        <x:v>11</x:v>
      </x:c>
    </x:row>
    <x:row r="5530">
      <x:c r="A5530" s="87" t="n">
        <x:v>5529</x:v>
      </x:c>
      <x:c r="B5530" s="87" t="str">
        <x:v>EGKR-W25-MATHP-953-11</x:v>
      </x:c>
      <x:c r="C5530" s="87" t="str">
        <x:v>ЕГКР</x:v>
      </x:c>
      <x:c r="D5530" s="87"/>
      <x:c r="E5530" s="87" t="str">
        <x:v>Зима 2025</x:v>
      </x:c>
      <x:c r="F5530" s="87" t="str">
        <x:v>16.12.2025</x:v>
      </x:c>
      <x:c r="G5530" s="87" t="str">
        <x:v>Математика (профиль)</x:v>
      </x:c>
      <x:c r="H5530" s="87" t="n">
        <x:v>11</x:v>
      </x:c>
      <x:c r="I5530" s="87"/>
      <x:c r="J5530" s="87" t="str">
        <x:v>953</x:v>
      </x:c>
      <x:c r="K5530" s="87" t="n">
        <x:v>11</x:v>
      </x:c>
      <x:c r="L5530" s="87" t="str">
        <x:v>Краткий ответ</x:v>
      </x:c>
      <x:c r="M5530" s="30" t="str">
        <x:v>По графикам степенной и линейной функций найти ординату точки пересечения A.</x:v>
      </x:c>
      <x:c r="N5530" s="30" t="str">
        <x:v>15</x:v>
      </x:c>
      <x:c r="O5530" s="30" t="str">
        <x:v>Ордината точки A считана непосредственно по координатной сетке.</x:v>
      </x:c>
      <x:c r="P5530" s="30" t="str">
        <x:v>Проверено вычислением и по полной визуальной странице.</x:v>
      </x:c>
      <x:c r="Q5530" s="30"/>
      <x:c r="R5530" s="30"/>
      <x:c r="S5530" s="30" t="str">
        <x:v>Ответы профиль.docx</x:v>
      </x:c>
      <x:c r="T5530" s="30"/>
      <x:c r="U5530" s="30" t="str">
        <x:v>Ответник совпадает с независимой проверкой.</x:v>
      </x:c>
      <x:c r="V5530" s="87" t="str">
        <x:v>VERIFIED</x:v>
      </x:c>
      <x:c r="W5530" s="87"/>
      <x:c r="X5530" s="87" t="n">
        <x:v>2</x:v>
      </x:c>
      <x:c r="Y5530" s="87"/>
      <x:c r="Z5530" s="87"/>
      <x:c r="AA5530" s="87"/>
      <x:c r="AB5530" s="87"/>
      <x:c r="AC5530" s="87" t="str">
        <x:v>VIS-EGKR-MATHP-W25-TASK-953-P002</x:v>
      </x:c>
      <x:c r="AD5530" s="87"/>
      <x:c r="AE5530" s="87" t="str">
        <x:v>TASK</x:v>
      </x:c>
      <x:c r="AF5530" s="87" t="str">
        <x:v>VIS-EGKR-MATHP-W25-TASK-953-P002: 2</x:v>
      </x:c>
      <x:c r="AG5530" s="87" t="str">
        <x:v>RESOLVED</x:v>
      </x:c>
      <x:c r="AH5530" s="87" t="str">
        <x:v>CROP_VERIFIED</x:v>
      </x:c>
      <x:c r="AI5530" s="30"/>
      <x:c r="AJ5530" s="87" t="str">
        <x:v>clean</x:v>
      </x:c>
      <x:c r="AK5530" s="87" t="str">
        <x:v>clean-v0.15</x:v>
      </x:c>
      <x:c r="AL5530" s="87" t="str">
        <x:v>statgrad_clean_continuation_v0_15(1).xlsx</x:v>
      </x:c>
      <x:c r="AM5530" s="87" t="str">
        <x:v>MATHP_EGKR_953</x:v>
      </x:c>
      <x:c r="AN5530" s="87" t="n">
        <x:v>12</x:v>
      </x:c>
    </x:row>
    <x:row r="5531">
      <x:c r="A5531" s="87" t="n">
        <x:v>5530</x:v>
      </x:c>
      <x:c r="B5531" s="87" t="str">
        <x:v>EGKR-W25-MATHP-953-12</x:v>
      </x:c>
      <x:c r="C5531" s="87" t="str">
        <x:v>ЕГКР</x:v>
      </x:c>
      <x:c r="D5531" s="87"/>
      <x:c r="E5531" s="87" t="str">
        <x:v>Зима 2025</x:v>
      </x:c>
      <x:c r="F5531" s="87" t="str">
        <x:v>16.12.2025</x:v>
      </x:c>
      <x:c r="G5531" s="87" t="str">
        <x:v>Математика (профиль)</x:v>
      </x:c>
      <x:c r="H5531" s="87" t="n">
        <x:v>11</x:v>
      </x:c>
      <x:c r="I5531" s="87"/>
      <x:c r="J5531" s="87" t="str">
        <x:v>953</x:v>
      </x:c>
      <x:c r="K5531" s="87" t="n">
        <x:v>12</x:v>
      </x:c>
      <x:c r="L5531" s="87" t="str">
        <x:v>Краткий ответ</x:v>
      </x:c>
      <x:c r="M5531" s="30" t="str">
        <x:v>Для f=x²+3x, g=6x-2 решить равенство производных.</x:v>
      </x:c>
      <x:c r="N5531" s="30" t="str">
        <x:v>1,5</x:v>
      </x:c>
      <x:c r="O5531" s="30" t="str">
        <x:v>Вычислены производные и решено линейное уравнение.</x:v>
      </x:c>
      <x:c r="P5531" s="30" t="str">
        <x:v>Проверено вычислением и по полной визуальной странице.</x:v>
      </x:c>
      <x:c r="Q5531" s="30"/>
      <x:c r="R5531" s="30"/>
      <x:c r="S5531" s="30" t="str">
        <x:v>Ответы профиль.docx</x:v>
      </x:c>
      <x:c r="T5531" s="30"/>
      <x:c r="U5531" s="30" t="str">
        <x:v>Ответник совпадает с независимой проверкой.</x:v>
      </x:c>
      <x:c r="V5531" s="87" t="str">
        <x:v>VERIFIED</x:v>
      </x:c>
      <x:c r="W5531" s="87"/>
      <x:c r="X5531" s="87" t="n">
        <x:v>2</x:v>
      </x:c>
      <x:c r="Y5531" s="87"/>
      <x:c r="Z5531" s="87"/>
      <x:c r="AA5531" s="87"/>
      <x:c r="AB5531" s="87"/>
      <x:c r="AC5531" s="87" t="str">
        <x:v>VIS-EGKR-MATHP-W25-TASK-953-P002</x:v>
      </x:c>
      <x:c r="AD5531" s="87"/>
      <x:c r="AE5531" s="87" t="str">
        <x:v>TASK</x:v>
      </x:c>
      <x:c r="AF5531" s="87" t="str">
        <x:v>VIS-EGKR-MATHP-W25-TASK-953-P002: 2</x:v>
      </x:c>
      <x:c r="AG5531" s="87" t="str">
        <x:v>RESOLVED</x:v>
      </x:c>
      <x:c r="AH5531" s="87" t="str">
        <x:v>CROP_VERIFIED</x:v>
      </x:c>
      <x:c r="AI5531" s="30"/>
      <x:c r="AJ5531" s="87" t="str">
        <x:v>clean</x:v>
      </x:c>
      <x:c r="AK5531" s="87" t="str">
        <x:v>clean-v0.15</x:v>
      </x:c>
      <x:c r="AL5531" s="87" t="str">
        <x:v>statgrad_clean_continuation_v0_15(1).xlsx</x:v>
      </x:c>
      <x:c r="AM5531" s="87" t="str">
        <x:v>MATHP_EGKR_953</x:v>
      </x:c>
      <x:c r="AN5531" s="87" t="n">
        <x:v>13</x:v>
      </x:c>
    </x:row>
    <x:row r="5532">
      <x:c r="A5532" s="87" t="n">
        <x:v>5531</x:v>
      </x:c>
      <x:c r="B5532" s="87" t="str">
        <x:v>EGKR-W25-MATHP-953-13</x:v>
      </x:c>
      <x:c r="C5532" s="87" t="str">
        <x:v>ЕГКР</x:v>
      </x:c>
      <x:c r="D5532" s="87"/>
      <x:c r="E5532" s="87" t="str">
        <x:v>Зима 2025</x:v>
      </x:c>
      <x:c r="F5532" s="87" t="str">
        <x:v>16.12.2025</x:v>
      </x:c>
      <x:c r="G5532" s="87" t="str">
        <x:v>Математика (профиль)</x:v>
      </x:c>
      <x:c r="H5532" s="87" t="n">
        <x:v>11</x:v>
      </x:c>
      <x:c r="I5532" s="87"/>
      <x:c r="J5532" s="87" t="str">
        <x:v>953</x:v>
      </x:c>
      <x:c r="K5532" s="87" t="n">
        <x:v>13</x:v>
      </x:c>
      <x:c r="L5532" s="87" t="str">
        <x:v>Развёрнутый ответ</x:v>
      </x:c>
      <x:c r="M5532" s="30" t="str">
        <x:v>(2cos x-sin x)(1+sin x)=cos²x; промежуток [5π;6π].</x:v>
      </x:c>
      <x:c r="N5532" s="30" t="str">
        <x:v>(2cos x-1)(1+sin x)=0. Общие решения: x=±π/3+2πk и x=3π/2+2πk. На промежутке: x=11π/2 и x=17π/3.</x:v>
      </x:c>
      <x:c r="O5532" s="30" t="str">
        <x:v>Содержит полный ход решения и итоговый ответ.</x:v>
      </x:c>
      <x:c r="P5532" s="30" t="str">
        <x:v>Алгебра, геометрия или перебор проверены независимо от приложенных ученических решений.</x:v>
      </x:c>
      <x:c r="Q5532" s="30"/>
      <x:c r="R5532" s="30"/>
      <x:c r="S5532" s="30" t="str">
        <x:v>Независимое решение по исходному заданию</x:v>
      </x:c>
      <x:c r="T5532" s="30"/>
      <x:c r="U5532" s="30" t="str">
        <x:v>Независимая модель решения.</x:v>
      </x:c>
      <x:c r="V5532" s="87" t="str">
        <x:v>VERIFIED</x:v>
      </x:c>
      <x:c r="W5532" s="87"/>
      <x:c r="X5532" s="87" t="n">
        <x:v>3</x:v>
      </x:c>
      <x:c r="Y5532" s="87"/>
      <x:c r="Z5532" s="87"/>
      <x:c r="AA5532" s="87"/>
      <x:c r="AB5532" s="87"/>
      <x:c r="AC5532" s="87" t="str">
        <x:v>VIS-EGKR-MATHP-W25-TASK-953-P003</x:v>
      </x:c>
      <x:c r="AD5532" s="87"/>
      <x:c r="AE5532" s="87" t="str">
        <x:v>TASK</x:v>
      </x:c>
      <x:c r="AF5532" s="87" t="str">
        <x:v>VIS-EGKR-MATHP-W25-TASK-953-P003: 3</x:v>
      </x:c>
      <x:c r="AG5532" s="87" t="str">
        <x:v>RESOLVED</x:v>
      </x:c>
      <x:c r="AH5532" s="87" t="str">
        <x:v>CROP_VERIFIED</x:v>
      </x:c>
      <x:c r="AI5532" s="30"/>
      <x:c r="AJ5532" s="87" t="str">
        <x:v>clean</x:v>
      </x:c>
      <x:c r="AK5532" s="87" t="str">
        <x:v>clean-v0.15</x:v>
      </x:c>
      <x:c r="AL5532" s="87" t="str">
        <x:v>statgrad_clean_continuation_v0_15(1).xlsx</x:v>
      </x:c>
      <x:c r="AM5532" s="87" t="str">
        <x:v>MATHP_EGKR_953</x:v>
      </x:c>
      <x:c r="AN5532" s="87" t="n">
        <x:v>14</x:v>
      </x:c>
    </x:row>
    <x:row r="5533">
      <x:c r="A5533" s="87" t="n">
        <x:v>5532</x:v>
      </x:c>
      <x:c r="B5533" s="87" t="str">
        <x:v>EGKR-W25-MATHP-953-14</x:v>
      </x:c>
      <x:c r="C5533" s="87" t="str">
        <x:v>ЕГКР</x:v>
      </x:c>
      <x:c r="D5533" s="87"/>
      <x:c r="E5533" s="87" t="str">
        <x:v>Зима 2025</x:v>
      </x:c>
      <x:c r="F5533" s="87" t="str">
        <x:v>16.12.2025</x:v>
      </x:c>
      <x:c r="G5533" s="87" t="str">
        <x:v>Математика (профиль)</x:v>
      </x:c>
      <x:c r="H5533" s="87" t="n">
        <x:v>11</x:v>
      </x:c>
      <x:c r="I5533" s="87"/>
      <x:c r="J5533" s="87" t="str">
        <x:v>953</x:v>
      </x:c>
      <x:c r="K5533" s="87" t="n">
        <x:v>14</x:v>
      </x:c>
      <x:c r="L5533" s="87" t="str">
        <x:v>Развёрнутый ответ</x:v>
      </x:c>
      <x:c r="M5533" s="30" t="str">
        <x:v>Пирамида на ромбе со стороной 5; грани SAB и SCB перпендикулярны основанию, угол между ними 150°, другие грани наклонены на 60°.</x:v>
      </x:c>
      <x:c r="N5533" s="30" t="str">
        <x:v>SB перпендикулярно основанию, а угол ABC равен 150°. Расстояния от B до AD и CD одинаковы и равны 5/2, поэтому наклонные высоты граней SAD и SCD равны, следовательно, грани равновелики. Из tan60°=SB/(5/2) получаем SB=5√3/2; наклонная высота к AD и CD равна 5. Суммарная площадь боковых граней: 25(2+√3)/2.</x:v>
      </x:c>
      <x:c r="O5533" s="30" t="str">
        <x:v>Содержит полный ход решения и итоговый ответ.</x:v>
      </x:c>
      <x:c r="P5533" s="30" t="str">
        <x:v>Алгебра, геометрия или перебор проверены независимо от приложенных ученических решений.</x:v>
      </x:c>
      <x:c r="Q5533" s="30"/>
      <x:c r="R5533" s="30"/>
      <x:c r="S5533" s="30" t="str">
        <x:v>Независимое решение по исходному заданию</x:v>
      </x:c>
      <x:c r="T5533" s="30"/>
      <x:c r="U5533" s="30" t="str">
        <x:v>Независимая модель решения.</x:v>
      </x:c>
      <x:c r="V5533" s="87" t="str">
        <x:v>VERIFIED</x:v>
      </x:c>
      <x:c r="W5533" s="87"/>
      <x:c r="X5533" s="87" t="n">
        <x:v>3</x:v>
      </x:c>
      <x:c r="Y5533" s="87"/>
      <x:c r="Z5533" s="87"/>
      <x:c r="AA5533" s="87"/>
      <x:c r="AB5533" s="87"/>
      <x:c r="AC5533" s="87" t="str">
        <x:v>VIS-EGKR-MATHP-W25-TASK-953-P003</x:v>
      </x:c>
      <x:c r="AD5533" s="87"/>
      <x:c r="AE5533" s="87" t="str">
        <x:v>TASK</x:v>
      </x:c>
      <x:c r="AF5533" s="87" t="str">
        <x:v>VIS-EGKR-MATHP-W25-TASK-953-P003: 3</x:v>
      </x:c>
      <x:c r="AG5533" s="87" t="str">
        <x:v>RESOLVED</x:v>
      </x:c>
      <x:c r="AH5533" s="87" t="str">
        <x:v>CROP_VERIFIED</x:v>
      </x:c>
      <x:c r="AI5533" s="30"/>
      <x:c r="AJ5533" s="87" t="str">
        <x:v>clean</x:v>
      </x:c>
      <x:c r="AK5533" s="87" t="str">
        <x:v>clean-v0.15</x:v>
      </x:c>
      <x:c r="AL5533" s="87" t="str">
        <x:v>statgrad_clean_continuation_v0_15(1).xlsx</x:v>
      </x:c>
      <x:c r="AM5533" s="87" t="str">
        <x:v>MATHP_EGKR_953</x:v>
      </x:c>
      <x:c r="AN5533" s="87" t="n">
        <x:v>15</x:v>
      </x:c>
    </x:row>
    <x:row r="5534">
      <x:c r="A5534" s="87" t="n">
        <x:v>5533</x:v>
      </x:c>
      <x:c r="B5534" s="87" t="str">
        <x:v>EGKR-W25-MATHP-953-15</x:v>
      </x:c>
      <x:c r="C5534" s="87" t="str">
        <x:v>ЕГКР</x:v>
      </x:c>
      <x:c r="D5534" s="87"/>
      <x:c r="E5534" s="87" t="str">
        <x:v>Зима 2025</x:v>
      </x:c>
      <x:c r="F5534" s="87" t="str">
        <x:v>16.12.2025</x:v>
      </x:c>
      <x:c r="G5534" s="87" t="str">
        <x:v>Математика (профиль)</x:v>
      </x:c>
      <x:c r="H5534" s="87" t="n">
        <x:v>11</x:v>
      </x:c>
      <x:c r="I5534" s="87"/>
      <x:c r="J5534" s="87" t="str">
        <x:v>953</x:v>
      </x:c>
      <x:c r="K5534" s="87" t="n">
        <x:v>15</x:v>
      </x:c>
      <x:c r="L5534" s="87" t="str">
        <x:v>Развёрнутый ответ</x:v>
      </x:c>
      <x:c r="M5534" s="30" t="str">
        <x:v>(x+2)²-1/(x-2) ≤ (x-2)²+1/(x+2).</x:v>
      </x:c>
      <x:c r="N5534" s="30" t="str">
        <x:v>x∈(-∞;-√17/2]∪(-2;0]∪(2;√17/2].</x:v>
      </x:c>
      <x:c r="O5534" s="30" t="str">
        <x:v>Содержит полный ход решения и итоговый ответ.</x:v>
      </x:c>
      <x:c r="P5534" s="30" t="str">
        <x:v>Алгебра, геометрия или перебор проверены независимо от приложенных ученических решений.</x:v>
      </x:c>
      <x:c r="Q5534" s="30"/>
      <x:c r="R5534" s="30"/>
      <x:c r="S5534" s="30" t="str">
        <x:v>Независимое решение по исходному заданию</x:v>
      </x:c>
      <x:c r="T5534" s="30"/>
      <x:c r="U5534" s="30" t="str">
        <x:v>Независимая модель решения.</x:v>
      </x:c>
      <x:c r="V5534" s="87" t="str">
        <x:v>VERIFIED</x:v>
      </x:c>
      <x:c r="W5534" s="87"/>
      <x:c r="X5534" s="87" t="n">
        <x:v>3</x:v>
      </x:c>
      <x:c r="Y5534" s="87"/>
      <x:c r="Z5534" s="87"/>
      <x:c r="AA5534" s="87"/>
      <x:c r="AB5534" s="87"/>
      <x:c r="AC5534" s="87" t="str">
        <x:v>VIS-EGKR-MATHP-W25-TASK-953-P003</x:v>
      </x:c>
      <x:c r="AD5534" s="87"/>
      <x:c r="AE5534" s="87" t="str">
        <x:v>TASK</x:v>
      </x:c>
      <x:c r="AF5534" s="87" t="str">
        <x:v>VIS-EGKR-MATHP-W25-TASK-953-P003: 3</x:v>
      </x:c>
      <x:c r="AG5534" s="87" t="str">
        <x:v>RESOLVED</x:v>
      </x:c>
      <x:c r="AH5534" s="87" t="str">
        <x:v>CROP_VERIFIED</x:v>
      </x:c>
      <x:c r="AI5534" s="30"/>
      <x:c r="AJ5534" s="87" t="str">
        <x:v>clean</x:v>
      </x:c>
      <x:c r="AK5534" s="87" t="str">
        <x:v>clean-v0.15</x:v>
      </x:c>
      <x:c r="AL5534" s="87" t="str">
        <x:v>statgrad_clean_continuation_v0_15(1).xlsx</x:v>
      </x:c>
      <x:c r="AM5534" s="87" t="str">
        <x:v>MATHP_EGKR_953</x:v>
      </x:c>
      <x:c r="AN5534" s="87" t="n">
        <x:v>16</x:v>
      </x:c>
    </x:row>
    <x:row r="5535">
      <x:c r="A5535" s="87" t="n">
        <x:v>5534</x:v>
      </x:c>
      <x:c r="B5535" s="87" t="str">
        <x:v>EGKR-W25-MATHP-953-16</x:v>
      </x:c>
      <x:c r="C5535" s="87" t="str">
        <x:v>ЕГКР</x:v>
      </x:c>
      <x:c r="D5535" s="87"/>
      <x:c r="E5535" s="87" t="str">
        <x:v>Зима 2025</x:v>
      </x:c>
      <x:c r="F5535" s="87" t="str">
        <x:v>16.12.2025</x:v>
      </x:c>
      <x:c r="G5535" s="87" t="str">
        <x:v>Математика (профиль)</x:v>
      </x:c>
      <x:c r="H5535" s="87" t="n">
        <x:v>11</x:v>
      </x:c>
      <x:c r="I5535" s="87"/>
      <x:c r="J5535" s="87" t="str">
        <x:v>953</x:v>
      </x:c>
      <x:c r="K5535" s="87" t="n">
        <x:v>16</x:v>
      </x:c>
      <x:c r="L5535" s="87" t="str">
        <x:v>Развёрнутый ответ</x:v>
      </x:c>
      <x:c r="M5535" s="30" t="str">
        <x:v>Вклад на 4 года под 10%; в начале 3-го и 4-го годов вносится по 5 млн; суммарные проценты не больше 11 млн.</x:v>
      </x:c>
      <x:c r="N5535" s="30" t="str">
        <x:v>Сумма начисленных процентов равна 0,4641P+0,31·5. Неравенство 0,4641P+0,31·5≤11 даёт P≤20.362. Наибольшее целое число миллионов: 20.</x:v>
      </x:c>
      <x:c r="O5535" s="30" t="str">
        <x:v>Содержит полный ход решения и итоговый ответ.</x:v>
      </x:c>
      <x:c r="P5535" s="30" t="str">
        <x:v>Алгебра, геометрия или перебор проверены независимо от приложенных ученических решений.</x:v>
      </x:c>
      <x:c r="Q5535" s="30"/>
      <x:c r="R5535" s="30"/>
      <x:c r="S5535" s="30" t="str">
        <x:v>Независимое решение по исходному заданию</x:v>
      </x:c>
      <x:c r="T5535" s="30"/>
      <x:c r="U5535" s="30" t="str">
        <x:v>Независимая модель решения.</x:v>
      </x:c>
      <x:c r="V5535" s="87" t="str">
        <x:v>VERIFIED</x:v>
      </x:c>
      <x:c r="W5535" s="87"/>
      <x:c r="X5535" s="87" t="n">
        <x:v>3</x:v>
      </x:c>
      <x:c r="Y5535" s="87"/>
      <x:c r="Z5535" s="87"/>
      <x:c r="AA5535" s="87"/>
      <x:c r="AB5535" s="87"/>
      <x:c r="AC5535" s="87" t="str">
        <x:v>VIS-EGKR-MATHP-W25-TASK-953-P003</x:v>
      </x:c>
      <x:c r="AD5535" s="87"/>
      <x:c r="AE5535" s="87" t="str">
        <x:v>TASK</x:v>
      </x:c>
      <x:c r="AF5535" s="87" t="str">
        <x:v>VIS-EGKR-MATHP-W25-TASK-953-P003: 3</x:v>
      </x:c>
      <x:c r="AG5535" s="87" t="str">
        <x:v>RESOLVED</x:v>
      </x:c>
      <x:c r="AH5535" s="87" t="str">
        <x:v>CROP_VERIFIED</x:v>
      </x:c>
      <x:c r="AI5535" s="30"/>
      <x:c r="AJ5535" s="87" t="str">
        <x:v>clean</x:v>
      </x:c>
      <x:c r="AK5535" s="87" t="str">
        <x:v>clean-v0.15</x:v>
      </x:c>
      <x:c r="AL5535" s="87" t="str">
        <x:v>statgrad_clean_continuation_v0_15(1).xlsx</x:v>
      </x:c>
      <x:c r="AM5535" s="87" t="str">
        <x:v>MATHP_EGKR_953</x:v>
      </x:c>
      <x:c r="AN5535" s="87" t="n">
        <x:v>17</x:v>
      </x:c>
    </x:row>
    <x:row r="5536">
      <x:c r="A5536" s="87" t="n">
        <x:v>5535</x:v>
      </x:c>
      <x:c r="B5536" s="87" t="str">
        <x:v>EGKR-W25-MATHP-953-17</x:v>
      </x:c>
      <x:c r="C5536" s="87" t="str">
        <x:v>ЕГКР</x:v>
      </x:c>
      <x:c r="D5536" s="87"/>
      <x:c r="E5536" s="87" t="str">
        <x:v>Зима 2025</x:v>
      </x:c>
      <x:c r="F5536" s="87" t="str">
        <x:v>16.12.2025</x:v>
      </x:c>
      <x:c r="G5536" s="87" t="str">
        <x:v>Математика (профиль)</x:v>
      </x:c>
      <x:c r="H5536" s="87" t="n">
        <x:v>11</x:v>
      </x:c>
      <x:c r="I5536" s="87"/>
      <x:c r="J5536" s="87" t="str">
        <x:v>953</x:v>
      </x:c>
      <x:c r="K5536" s="87" t="n">
        <x:v>17</x:v>
      </x:c>
      <x:c r="L5536" s="87" t="str">
        <x:v>Развёрнутый ответ</x:v>
      </x:c>
      <x:c r="M5536" s="30" t="str">
        <x:v>В треугольнике ABC угол C тупой; BH - высота, P - второе пересечение BH с окружностью; AP - биссектриса. BC=R=2√2.</x:v>
      </x:c>
      <x:c r="N5536" s="30" t="str">
        <x:v>Из ∠BAP=∠PAC следуют равные хорды BP=PC, поэтому BCP равнобедренный. Так как BC=R=2R·sin∠BAC, то ∠A=30°. В треугольнике ABP: ∠BAP=15°, ∠ABP=60°, поэтому ∠APB=105°; отсюда ∠C=105° и ∠B=45°. Тогда AC=2R·sin45°=R√2=4.</x:v>
      </x:c>
      <x:c r="O5536" s="30" t="str">
        <x:v>Содержит полный ход решения и итоговый ответ.</x:v>
      </x:c>
      <x:c r="P5536" s="30" t="str">
        <x:v>Алгебра, геометрия или перебор проверены независимо от приложенных ученических решений.</x:v>
      </x:c>
      <x:c r="Q5536" s="30"/>
      <x:c r="R5536" s="30"/>
      <x:c r="S5536" s="30" t="str">
        <x:v>Независимое решение по исходному заданию</x:v>
      </x:c>
      <x:c r="T5536" s="30"/>
      <x:c r="U5536" s="30" t="str">
        <x:v>Независимая модель решения.</x:v>
      </x:c>
      <x:c r="V5536" s="87" t="str">
        <x:v>VERIFIED</x:v>
      </x:c>
      <x:c r="W5536" s="87"/>
      <x:c r="X5536" s="87" t="n">
        <x:v>3</x:v>
      </x:c>
      <x:c r="Y5536" s="87"/>
      <x:c r="Z5536" s="87"/>
      <x:c r="AA5536" s="87"/>
      <x:c r="AB5536" s="87"/>
      <x:c r="AC5536" s="87" t="str">
        <x:v>VIS-EGKR-MATHP-W25-TASK-953-P003</x:v>
      </x:c>
      <x:c r="AD5536" s="87"/>
      <x:c r="AE5536" s="87" t="str">
        <x:v>TASK</x:v>
      </x:c>
      <x:c r="AF5536" s="87" t="str">
        <x:v>VIS-EGKR-MATHP-W25-TASK-953-P003: 3</x:v>
      </x:c>
      <x:c r="AG5536" s="87" t="str">
        <x:v>RESOLVED</x:v>
      </x:c>
      <x:c r="AH5536" s="87" t="str">
        <x:v>CROP_VERIFIED</x:v>
      </x:c>
      <x:c r="AI5536" s="30"/>
      <x:c r="AJ5536" s="87" t="str">
        <x:v>clean</x:v>
      </x:c>
      <x:c r="AK5536" s="87" t="str">
        <x:v>clean-v0.15</x:v>
      </x:c>
      <x:c r="AL5536" s="87" t="str">
        <x:v>statgrad_clean_continuation_v0_15(1).xlsx</x:v>
      </x:c>
      <x:c r="AM5536" s="87" t="str">
        <x:v>MATHP_EGKR_953</x:v>
      </x:c>
      <x:c r="AN5536" s="87" t="n">
        <x:v>18</x:v>
      </x:c>
    </x:row>
    <x:row r="5537">
      <x:c r="A5537" s="87" t="n">
        <x:v>5536</x:v>
      </x:c>
      <x:c r="B5537" s="87" t="str">
        <x:v>EGKR-W25-MATHP-953-18</x:v>
      </x:c>
      <x:c r="C5537" s="87" t="str">
        <x:v>ЕГКР</x:v>
      </x:c>
      <x:c r="D5537" s="87"/>
      <x:c r="E5537" s="87" t="str">
        <x:v>Зима 2025</x:v>
      </x:c>
      <x:c r="F5537" s="87" t="str">
        <x:v>16.12.2025</x:v>
      </x:c>
      <x:c r="G5537" s="87" t="str">
        <x:v>Математика (профиль)</x:v>
      </x:c>
      <x:c r="H5537" s="87" t="n">
        <x:v>11</x:v>
      </x:c>
      <x:c r="I5537" s="87"/>
      <x:c r="J5537" s="87" t="str">
        <x:v>953</x:v>
      </x:c>
      <x:c r="K5537" s="87" t="n">
        <x:v>18</x:v>
      </x:c>
      <x:c r="L5537" s="87" t="str">
        <x:v>Развёрнутый ответ</x:v>
      </x:c>
      <x:c r="M5537" s="30" t="str">
        <x:v>|x²-ax+16|+|16x-a²|=||x²-ax+16|-|a²-16x||. Найти a, при которых корень единственный.</x:v>
      </x:c>
      <x:c r="N5537" s="30" t="str">
        <x:v>Для U,V≥0 равенство U+V=|U-V| эквивалентно UV=0. Корни задаются x²-ax+16=0 и x=a²/16. При |a|&lt;2·4 квадратное уравнение корней не имеет, остаётся один линейный корень. При a=2·4 двойной корень совпадает с ним; при a=-2·4 получаются два различных корня. Ответ: a∈(-8;8].</x:v>
      </x:c>
      <x:c r="O5537" s="30" t="str">
        <x:v>Содержит полный ход решения и итоговый ответ.</x:v>
      </x:c>
      <x:c r="P5537" s="30" t="str">
        <x:v>Алгебра, геометрия или перебор проверены независимо от приложенных ученических решений.</x:v>
      </x:c>
      <x:c r="Q5537" s="30"/>
      <x:c r="R5537" s="30"/>
      <x:c r="S5537" s="30" t="str">
        <x:v>Независимое решение по исходному заданию</x:v>
      </x:c>
      <x:c r="T5537" s="30"/>
      <x:c r="U5537" s="30" t="str">
        <x:v>Независимая модель решения.</x:v>
      </x:c>
      <x:c r="V5537" s="87" t="str">
        <x:v>VERIFIED</x:v>
      </x:c>
      <x:c r="W5537" s="87"/>
      <x:c r="X5537" s="87" t="n">
        <x:v>3</x:v>
      </x:c>
      <x:c r="Y5537" s="87"/>
      <x:c r="Z5537" s="87"/>
      <x:c r="AA5537" s="87"/>
      <x:c r="AB5537" s="87"/>
      <x:c r="AC5537" s="87" t="str">
        <x:v>VIS-EGKR-MATHP-W25-TASK-953-P003</x:v>
      </x:c>
      <x:c r="AD5537" s="87"/>
      <x:c r="AE5537" s="87" t="str">
        <x:v>TASK</x:v>
      </x:c>
      <x:c r="AF5537" s="87" t="str">
        <x:v>VIS-EGKR-MATHP-W25-TASK-953-P003: 3</x:v>
      </x:c>
      <x:c r="AG5537" s="87" t="str">
        <x:v>RESOLVED</x:v>
      </x:c>
      <x:c r="AH5537" s="87" t="str">
        <x:v>CROP_VERIFIED</x:v>
      </x:c>
      <x:c r="AI5537" s="30"/>
      <x:c r="AJ5537" s="87" t="str">
        <x:v>clean</x:v>
      </x:c>
      <x:c r="AK5537" s="87" t="str">
        <x:v>clean-v0.15</x:v>
      </x:c>
      <x:c r="AL5537" s="87" t="str">
        <x:v>statgrad_clean_continuation_v0_15(1).xlsx</x:v>
      </x:c>
      <x:c r="AM5537" s="87" t="str">
        <x:v>MATHP_EGKR_953</x:v>
      </x:c>
      <x:c r="AN5537" s="87" t="n">
        <x:v>19</x:v>
      </x:c>
    </x:row>
    <x:row r="5538">
      <x:c r="A5538" s="87" t="n">
        <x:v>5537</x:v>
      </x:c>
      <x:c r="B5538" s="87" t="str">
        <x:v>EGKR-W25-MATHP-953-19</x:v>
      </x:c>
      <x:c r="C5538" s="87" t="str">
        <x:v>ЕГКР</x:v>
      </x:c>
      <x:c r="D5538" s="87"/>
      <x:c r="E5538" s="87" t="str">
        <x:v>Зима 2025</x:v>
      </x:c>
      <x:c r="F5538" s="87" t="str">
        <x:v>16.12.2025</x:v>
      </x:c>
      <x:c r="G5538" s="87" t="str">
        <x:v>Математика (профиль)</x:v>
      </x:c>
      <x:c r="H5538" s="87" t="n">
        <x:v>11</x:v>
      </x:c>
      <x:c r="I5538" s="87"/>
      <x:c r="J5538" s="87" t="str">
        <x:v>953</x:v>
      </x:c>
      <x:c r="K5538" s="87" t="n">
        <x:v>19</x:v>
      </x:c>
      <x:c r="L5538" s="87" t="str">
        <x:v>Развёрнутый ответ</x:v>
      </x:c>
      <x:c r="M5538" s="30" t="str">
        <x:v>Конечная геометрическая прогрессия из трёхзначных натуральных чисел начинается с 304; не менее трёх членов. Проверить 380, 760 и найти максимум.</x:v>
      </x:c>
      <x:c r="N5538" s="30" t="str">
        <x:v>Пусть q=m/n в несократимом виде. Для целочисленности первых трёх членов необходимо n²|304; перебор допустимых m/n с сохранением трёхзначности даёт: а) да, q=5/4 даёт 304,380,475; б) нет, 760 не входит ни в одну допустимую последовательность; в) наибольшее возможное число 931, поскольку q=7/4 даёт 304,532,931.</x:v>
      </x:c>
      <x:c r="O5538" s="30" t="str">
        <x:v>Содержит полный ход решения и итоговый ответ.</x:v>
      </x:c>
      <x:c r="P5538" s="30" t="str">
        <x:v>Алгебра, геометрия или перебор проверены независимо от приложенных ученических решений.</x:v>
      </x:c>
      <x:c r="Q5538" s="30"/>
      <x:c r="R5538" s="30"/>
      <x:c r="S5538" s="30" t="str">
        <x:v>Независимое решение по исходному заданию</x:v>
      </x:c>
      <x:c r="T5538" s="30"/>
      <x:c r="U5538" s="30" t="str">
        <x:v>Независимая модель решения.</x:v>
      </x:c>
      <x:c r="V5538" s="87" t="str">
        <x:v>VERIFIED</x:v>
      </x:c>
      <x:c r="W5538" s="87"/>
      <x:c r="X5538" s="87" t="n">
        <x:v>3</x:v>
      </x:c>
      <x:c r="Y5538" s="87"/>
      <x:c r="Z5538" s="87"/>
      <x:c r="AA5538" s="87"/>
      <x:c r="AB5538" s="87"/>
      <x:c r="AC5538" s="87" t="str">
        <x:v>VIS-EGKR-MATHP-W25-TASK-953-P003</x:v>
      </x:c>
      <x:c r="AD5538" s="87"/>
      <x:c r="AE5538" s="87" t="str">
        <x:v>TASK</x:v>
      </x:c>
      <x:c r="AF5538" s="87" t="str">
        <x:v>VIS-EGKR-MATHP-W25-TASK-953-P003: 3</x:v>
      </x:c>
      <x:c r="AG5538" s="87" t="str">
        <x:v>RESOLVED</x:v>
      </x:c>
      <x:c r="AH5538" s="87" t="str">
        <x:v>CROP_VERIFIED</x:v>
      </x:c>
      <x:c r="AI5538" s="30"/>
      <x:c r="AJ5538" s="87" t="str">
        <x:v>clean</x:v>
      </x:c>
      <x:c r="AK5538" s="87" t="str">
        <x:v>clean-v0.15</x:v>
      </x:c>
      <x:c r="AL5538" s="87" t="str">
        <x:v>statgrad_clean_continuation_v0_15(1).xlsx</x:v>
      </x:c>
      <x:c r="AM5538" s="87" t="str">
        <x:v>MATHP_EGKR_953</x:v>
      </x:c>
      <x:c r="AN5538" s="87" t="n">
        <x:v>20</x:v>
      </x:c>
    </x:row>
    <x:row r="5539">
      <x:c r="A5539" s="87" t="n">
        <x:v>5538</x:v>
      </x:c>
      <x:c r="B5539" s="87" t="str">
        <x:v>EGKR-W25-MATHP-954-01</x:v>
      </x:c>
      <x:c r="C5539" s="87" t="str">
        <x:v>ЕГКР</x:v>
      </x:c>
      <x:c r="D5539" s="87"/>
      <x:c r="E5539" s="87" t="str">
        <x:v>Зима 2025</x:v>
      </x:c>
      <x:c r="F5539" s="87" t="str">
        <x:v>16.12.2025</x:v>
      </x:c>
      <x:c r="G5539" s="87" t="str">
        <x:v>Математика (профиль)</x:v>
      </x:c>
      <x:c r="H5539" s="87" t="n">
        <x:v>11</x:v>
      </x:c>
      <x:c r="I5539" s="87"/>
      <x:c r="J5539" s="87" t="str">
        <x:v>954</x:v>
      </x:c>
      <x:c r="K5539" s="87" t="n">
        <x:v>1</x:v>
      </x:c>
      <x:c r="L5539" s="87" t="str">
        <x:v>Краткий ответ</x:v>
      </x:c>
      <x:c r="M5539" s="30" t="str">
        <x:v>Прямоугольник ABCD; K - середина AD; AB=15, BK=17. Найти периметр.</x:v>
      </x:c>
      <x:c r="N5539" s="30" t="str">
        <x:v>62</x:v>
      </x:c>
      <x:c r="O5539" s="30" t="str">
        <x:v>Половина AD находится по теореме Пифагора из треугольника ABK; затем вычисляется периметр.</x:v>
      </x:c>
      <x:c r="P5539" s="30" t="str">
        <x:v>Проверено вычислением и по полной визуальной странице.</x:v>
      </x:c>
      <x:c r="Q5539" s="30"/>
      <x:c r="R5539" s="30"/>
      <x:c r="S5539" s="30" t="str">
        <x:v>Ответы профиль.docx</x:v>
      </x:c>
      <x:c r="T5539" s="30"/>
      <x:c r="U5539" s="30" t="str">
        <x:v>Ответник совпадает с независимой проверкой.</x:v>
      </x:c>
      <x:c r="V5539" s="87" t="str">
        <x:v>VERIFIED</x:v>
      </x:c>
      <x:c r="W5539" s="87"/>
      <x:c r="X5539" s="87" t="n">
        <x:v>1</x:v>
      </x:c>
      <x:c r="Y5539" s="87"/>
      <x:c r="Z5539" s="87"/>
      <x:c r="AA5539" s="87"/>
      <x:c r="AB5539" s="87"/>
      <x:c r="AC5539" s="87" t="str">
        <x:v>VIS-EGKR-MATHP-W25-TASK-954-P001</x:v>
      </x:c>
      <x:c r="AD5539" s="87"/>
      <x:c r="AE5539" s="87" t="str">
        <x:v>TASK</x:v>
      </x:c>
      <x:c r="AF5539" s="87" t="str">
        <x:v>VIS-EGKR-MATHP-W25-TASK-954-P001: 1</x:v>
      </x:c>
      <x:c r="AG5539" s="87" t="str">
        <x:v>RESOLVED</x:v>
      </x:c>
      <x:c r="AH5539" s="87" t="str">
        <x:v>CROP_VERIFIED</x:v>
      </x:c>
      <x:c r="AI5539" s="30"/>
      <x:c r="AJ5539" s="87" t="str">
        <x:v>clean</x:v>
      </x:c>
      <x:c r="AK5539" s="87" t="str">
        <x:v>clean-v0.15</x:v>
      </x:c>
      <x:c r="AL5539" s="87" t="str">
        <x:v>statgrad_clean_continuation_v0_15(1).xlsx</x:v>
      </x:c>
      <x:c r="AM5539" s="87" t="str">
        <x:v>MATHP_EGKR_954</x:v>
      </x:c>
      <x:c r="AN5539" s="87" t="n">
        <x:v>2</x:v>
      </x:c>
    </x:row>
    <x:row r="5540">
      <x:c r="A5540" s="87" t="n">
        <x:v>5539</x:v>
      </x:c>
      <x:c r="B5540" s="87" t="str">
        <x:v>EGKR-W25-MATHP-954-02</x:v>
      </x:c>
      <x:c r="C5540" s="87" t="str">
        <x:v>ЕГКР</x:v>
      </x:c>
      <x:c r="D5540" s="87"/>
      <x:c r="E5540" s="87" t="str">
        <x:v>Зима 2025</x:v>
      </x:c>
      <x:c r="F5540" s="87" t="str">
        <x:v>16.12.2025</x:v>
      </x:c>
      <x:c r="G5540" s="87" t="str">
        <x:v>Математика (профиль)</x:v>
      </x:c>
      <x:c r="H5540" s="87" t="n">
        <x:v>11</x:v>
      </x:c>
      <x:c r="I5540" s="87"/>
      <x:c r="J5540" s="87" t="str">
        <x:v>954</x:v>
      </x:c>
      <x:c r="K5540" s="87" t="n">
        <x:v>2</x:v>
      </x:c>
      <x:c r="L5540" s="87" t="str">
        <x:v>Краткий ответ</x:v>
      </x:c>
      <x:c r="M5540" s="30" t="str">
        <x:v>По координатной сетке найти скалярное произведение векторов a и b.</x:v>
      </x:c>
      <x:c r="N5540" s="30" t="str">
        <x:v>6</x:v>
      </x:c>
      <x:c r="O5540" s="30" t="str">
        <x:v>Координаты векторов считаны по клеткам, после чего вычислено aₓbₓ+aᵧbᵧ.</x:v>
      </x:c>
      <x:c r="P5540" s="30" t="str">
        <x:v>Проверено вычислением и по полной визуальной странице.</x:v>
      </x:c>
      <x:c r="Q5540" s="30"/>
      <x:c r="R5540" s="30"/>
      <x:c r="S5540" s="30" t="str">
        <x:v>Ответы профиль.docx</x:v>
      </x:c>
      <x:c r="T5540" s="30"/>
      <x:c r="U5540" s="30" t="str">
        <x:v>Ответник совпадает с независимой проверкой.</x:v>
      </x:c>
      <x:c r="V5540" s="87" t="str">
        <x:v>VERIFIED</x:v>
      </x:c>
      <x:c r="W5540" s="87"/>
      <x:c r="X5540" s="87" t="n">
        <x:v>1</x:v>
      </x:c>
      <x:c r="Y5540" s="87"/>
      <x:c r="Z5540" s="87"/>
      <x:c r="AA5540" s="87"/>
      <x:c r="AB5540" s="87"/>
      <x:c r="AC5540" s="87" t="str">
        <x:v>VIS-EGKR-MATHP-W25-TASK-954-P001</x:v>
      </x:c>
      <x:c r="AD5540" s="87"/>
      <x:c r="AE5540" s="87" t="str">
        <x:v>TASK</x:v>
      </x:c>
      <x:c r="AF5540" s="87" t="str">
        <x:v>VIS-EGKR-MATHP-W25-TASK-954-P001: 1</x:v>
      </x:c>
      <x:c r="AG5540" s="87" t="str">
        <x:v>RESOLVED</x:v>
      </x:c>
      <x:c r="AH5540" s="87" t="str">
        <x:v>CROP_VERIFIED</x:v>
      </x:c>
      <x:c r="AI5540" s="30"/>
      <x:c r="AJ5540" s="87" t="str">
        <x:v>clean</x:v>
      </x:c>
      <x:c r="AK5540" s="87" t="str">
        <x:v>clean-v0.15</x:v>
      </x:c>
      <x:c r="AL5540" s="87" t="str">
        <x:v>statgrad_clean_continuation_v0_15(1).xlsx</x:v>
      </x:c>
      <x:c r="AM5540" s="87" t="str">
        <x:v>MATHP_EGKR_954</x:v>
      </x:c>
      <x:c r="AN5540" s="87" t="n">
        <x:v>3</x:v>
      </x:c>
    </x:row>
    <x:row r="5541">
      <x:c r="A5541" s="87" t="n">
        <x:v>5540</x:v>
      </x:c>
      <x:c r="B5541" s="87" t="str">
        <x:v>EGKR-W25-MATHP-954-03</x:v>
      </x:c>
      <x:c r="C5541" s="87" t="str">
        <x:v>ЕГКР</x:v>
      </x:c>
      <x:c r="D5541" s="87"/>
      <x:c r="E5541" s="87" t="str">
        <x:v>Зима 2025</x:v>
      </x:c>
      <x:c r="F5541" s="87" t="str">
        <x:v>16.12.2025</x:v>
      </x:c>
      <x:c r="G5541" s="87" t="str">
        <x:v>Математика (профиль)</x:v>
      </x:c>
      <x:c r="H5541" s="87" t="n">
        <x:v>11</x:v>
      </x:c>
      <x:c r="I5541" s="87"/>
      <x:c r="J5541" s="87" t="str">
        <x:v>954</x:v>
      </x:c>
      <x:c r="K5541" s="87" t="n">
        <x:v>3</x:v>
      </x:c>
      <x:c r="L5541" s="87" t="str">
        <x:v>Краткий ответ</x:v>
      </x:c>
      <x:c r="M5541" s="30" t="str">
        <x:v>В кубе K - середина CC₁, M - середина CD. Найти угол между KM и AB.</x:v>
      </x:c>
      <x:c r="N5541" s="30" t="str">
        <x:v>45</x:v>
      </x:c>
      <x:c r="O5541" s="30" t="str">
        <x:v>Прямые заменены параллельными векторами куба; угол найден по скалярному произведению.</x:v>
      </x:c>
      <x:c r="P5541" s="30" t="str">
        <x:v>Проверено вычислением и по полной визуальной странице.</x:v>
      </x:c>
      <x:c r="Q5541" s="30"/>
      <x:c r="R5541" s="30"/>
      <x:c r="S5541" s="30" t="str">
        <x:v>Ответы профиль.docx</x:v>
      </x:c>
      <x:c r="T5541" s="30"/>
      <x:c r="U5541" s="30" t="str">
        <x:v>Ответник совпадает с независимой проверкой.</x:v>
      </x:c>
      <x:c r="V5541" s="87" t="str">
        <x:v>VERIFIED</x:v>
      </x:c>
      <x:c r="W5541" s="87"/>
      <x:c r="X5541" s="87" t="n">
        <x:v>1</x:v>
      </x:c>
      <x:c r="Y5541" s="87"/>
      <x:c r="Z5541" s="87"/>
      <x:c r="AA5541" s="87"/>
      <x:c r="AB5541" s="87"/>
      <x:c r="AC5541" s="87" t="str">
        <x:v>VIS-EGKR-MATHP-W25-TASK-954-P001</x:v>
      </x:c>
      <x:c r="AD5541" s="87"/>
      <x:c r="AE5541" s="87" t="str">
        <x:v>TASK</x:v>
      </x:c>
      <x:c r="AF5541" s="87" t="str">
        <x:v>VIS-EGKR-MATHP-W25-TASK-954-P001: 1</x:v>
      </x:c>
      <x:c r="AG5541" s="87" t="str">
        <x:v>RESOLVED</x:v>
      </x:c>
      <x:c r="AH5541" s="87" t="str">
        <x:v>CROP_VERIFIED</x:v>
      </x:c>
      <x:c r="AI5541" s="30"/>
      <x:c r="AJ5541" s="87" t="str">
        <x:v>clean</x:v>
      </x:c>
      <x:c r="AK5541" s="87" t="str">
        <x:v>clean-v0.15</x:v>
      </x:c>
      <x:c r="AL5541" s="87" t="str">
        <x:v>statgrad_clean_continuation_v0_15(1).xlsx</x:v>
      </x:c>
      <x:c r="AM5541" s="87" t="str">
        <x:v>MATHP_EGKR_954</x:v>
      </x:c>
      <x:c r="AN5541" s="87" t="n">
        <x:v>4</x:v>
      </x:c>
    </x:row>
    <x:row r="5542">
      <x:c r="A5542" s="87" t="n">
        <x:v>5541</x:v>
      </x:c>
      <x:c r="B5542" s="87" t="str">
        <x:v>EGKR-W25-MATHP-954-04</x:v>
      </x:c>
      <x:c r="C5542" s="87" t="str">
        <x:v>ЕГКР</x:v>
      </x:c>
      <x:c r="D5542" s="87"/>
      <x:c r="E5542" s="87" t="str">
        <x:v>Зима 2025</x:v>
      </x:c>
      <x:c r="F5542" s="87" t="str">
        <x:v>16.12.2025</x:v>
      </x:c>
      <x:c r="G5542" s="87" t="str">
        <x:v>Математика (профиль)</x:v>
      </x:c>
      <x:c r="H5542" s="87" t="n">
        <x:v>11</x:v>
      </x:c>
      <x:c r="I5542" s="87"/>
      <x:c r="J5542" s="87" t="str">
        <x:v>954</x:v>
      </x:c>
      <x:c r="K5542" s="87" t="n">
        <x:v>4</x:v>
      </x:c>
      <x:c r="L5542" s="87" t="str">
        <x:v>Краткий ответ</x:v>
      </x:c>
      <x:c r="M5542" s="30" t="str">
        <x:v>Карточки с целыми числами 7-35; добавить карточку с суммой чётных. Найти вероятность нечётного числа.</x:v>
      </x:c>
      <x:c r="N5542" s="30" t="str">
        <x:v>0,5</x:v>
      </x:c>
      <x:c r="O5542" s="30" t="str">
        <x:v>Добавленная сумма чётных остаётся чётной; число нечётных карточек делится на новое общее число.</x:v>
      </x:c>
      <x:c r="P5542" s="30" t="str">
        <x:v>Проверено вычислением и по полной визуальной странице.</x:v>
      </x:c>
      <x:c r="Q5542" s="30"/>
      <x:c r="R5542" s="30"/>
      <x:c r="S5542" s="30" t="str">
        <x:v>Ответы профиль.docx</x:v>
      </x:c>
      <x:c r="T5542" s="30"/>
      <x:c r="U5542" s="30" t="str">
        <x:v>Ответник совпадает с независимой проверкой.</x:v>
      </x:c>
      <x:c r="V5542" s="87" t="str">
        <x:v>VERIFIED</x:v>
      </x:c>
      <x:c r="W5542" s="87"/>
      <x:c r="X5542" s="87" t="n">
        <x:v>2</x:v>
      </x:c>
      <x:c r="Y5542" s="87"/>
      <x:c r="Z5542" s="87"/>
      <x:c r="AA5542" s="87"/>
      <x:c r="AB5542" s="87"/>
      <x:c r="AC5542" s="87" t="str">
        <x:v>VIS-EGKR-MATHP-W25-TASK-954-P002</x:v>
      </x:c>
      <x:c r="AD5542" s="87"/>
      <x:c r="AE5542" s="87" t="str">
        <x:v>TASK</x:v>
      </x:c>
      <x:c r="AF5542" s="87" t="str">
        <x:v>VIS-EGKR-MATHP-W25-TASK-954-P002: 2</x:v>
      </x:c>
      <x:c r="AG5542" s="87" t="str">
        <x:v>RESOLVED</x:v>
      </x:c>
      <x:c r="AH5542" s="87" t="str">
        <x:v>CROP_VERIFIED</x:v>
      </x:c>
      <x:c r="AI5542" s="30"/>
      <x:c r="AJ5542" s="87" t="str">
        <x:v>clean</x:v>
      </x:c>
      <x:c r="AK5542" s="87" t="str">
        <x:v>clean-v0.15</x:v>
      </x:c>
      <x:c r="AL5542" s="87" t="str">
        <x:v>statgrad_clean_continuation_v0_15(1).xlsx</x:v>
      </x:c>
      <x:c r="AM5542" s="87" t="str">
        <x:v>MATHP_EGKR_954</x:v>
      </x:c>
      <x:c r="AN5542" s="87" t="n">
        <x:v>5</x:v>
      </x:c>
    </x:row>
    <x:row r="5543">
      <x:c r="A5543" s="87" t="n">
        <x:v>5542</x:v>
      </x:c>
      <x:c r="B5543" s="87" t="str">
        <x:v>EGKR-W25-MATHP-954-05</x:v>
      </x:c>
      <x:c r="C5543" s="87" t="str">
        <x:v>ЕГКР</x:v>
      </x:c>
      <x:c r="D5543" s="87"/>
      <x:c r="E5543" s="87" t="str">
        <x:v>Зима 2025</x:v>
      </x:c>
      <x:c r="F5543" s="87" t="str">
        <x:v>16.12.2025</x:v>
      </x:c>
      <x:c r="G5543" s="87" t="str">
        <x:v>Математика (профиль)</x:v>
      </x:c>
      <x:c r="H5543" s="87" t="n">
        <x:v>11</x:v>
      </x:c>
      <x:c r="I5543" s="87"/>
      <x:c r="J5543" s="87" t="str">
        <x:v>954</x:v>
      </x:c>
      <x:c r="K5543" s="87" t="n">
        <x:v>5</x:v>
      </x:c>
      <x:c r="L5543" s="87" t="str">
        <x:v>Краткий ответ</x:v>
      </x:c>
      <x:c r="M5543" s="30" t="str">
        <x:v>Три линии с долями загрузки 20%, 30%, 50% и браком 5%, 4%, 1%. Найти общую вероятность брака.</x:v>
      </x:c>
      <x:c r="N5543" s="30" t="str">
        <x:v>0,027</x:v>
      </x:c>
      <x:c r="O5543" s="30" t="str">
        <x:v>Использована формула полной вероятности с весами 0,2; 0,3; 0,5.</x:v>
      </x:c>
      <x:c r="P5543" s="30" t="str">
        <x:v>Проверено вычислением и по полной визуальной странице.</x:v>
      </x:c>
      <x:c r="Q5543" s="30"/>
      <x:c r="R5543" s="30"/>
      <x:c r="S5543" s="30" t="str">
        <x:v>Ответы профиль.docx</x:v>
      </x:c>
      <x:c r="T5543" s="30"/>
      <x:c r="U5543" s="30" t="str">
        <x:v>Ответник совпадает с независимой проверкой.</x:v>
      </x:c>
      <x:c r="V5543" s="87" t="str">
        <x:v>VERIFIED</x:v>
      </x:c>
      <x:c r="W5543" s="87"/>
      <x:c r="X5543" s="87" t="n">
        <x:v>2</x:v>
      </x:c>
      <x:c r="Y5543" s="87"/>
      <x:c r="Z5543" s="87"/>
      <x:c r="AA5543" s="87"/>
      <x:c r="AB5543" s="87"/>
      <x:c r="AC5543" s="87" t="str">
        <x:v>VIS-EGKR-MATHP-W25-TASK-954-P002</x:v>
      </x:c>
      <x:c r="AD5543" s="87"/>
      <x:c r="AE5543" s="87" t="str">
        <x:v>TASK</x:v>
      </x:c>
      <x:c r="AF5543" s="87" t="str">
        <x:v>VIS-EGKR-MATHP-W25-TASK-954-P002: 2</x:v>
      </x:c>
      <x:c r="AG5543" s="87" t="str">
        <x:v>RESOLVED</x:v>
      </x:c>
      <x:c r="AH5543" s="87" t="str">
        <x:v>CROP_VERIFIED</x:v>
      </x:c>
      <x:c r="AI5543" s="30"/>
      <x:c r="AJ5543" s="87" t="str">
        <x:v>clean</x:v>
      </x:c>
      <x:c r="AK5543" s="87" t="str">
        <x:v>clean-v0.15</x:v>
      </x:c>
      <x:c r="AL5543" s="87" t="str">
        <x:v>statgrad_clean_continuation_v0_15(1).xlsx</x:v>
      </x:c>
      <x:c r="AM5543" s="87" t="str">
        <x:v>MATHP_EGKR_954</x:v>
      </x:c>
      <x:c r="AN5543" s="87" t="n">
        <x:v>6</x:v>
      </x:c>
    </x:row>
    <x:row r="5544">
      <x:c r="A5544" s="87" t="n">
        <x:v>5543</x:v>
      </x:c>
      <x:c r="B5544" s="87" t="str">
        <x:v>EGKR-W25-MATHP-954-06</x:v>
      </x:c>
      <x:c r="C5544" s="87" t="str">
        <x:v>ЕГКР</x:v>
      </x:c>
      <x:c r="D5544" s="87"/>
      <x:c r="E5544" s="87" t="str">
        <x:v>Зима 2025</x:v>
      </x:c>
      <x:c r="F5544" s="87" t="str">
        <x:v>16.12.2025</x:v>
      </x:c>
      <x:c r="G5544" s="87" t="str">
        <x:v>Математика (профиль)</x:v>
      </x:c>
      <x:c r="H5544" s="87" t="n">
        <x:v>11</x:v>
      </x:c>
      <x:c r="I5544" s="87"/>
      <x:c r="J5544" s="87" t="str">
        <x:v>954</x:v>
      </x:c>
      <x:c r="K5544" s="87" t="n">
        <x:v>6</x:v>
      </x:c>
      <x:c r="L5544" s="87" t="str">
        <x:v>Краткий ответ</x:v>
      </x:c>
      <x:c r="M5544" s="30" t="str">
        <x:v>Решить уравнение 5^x=(1/5)^(x+8).</x:v>
      </x:c>
      <x:c r="N5544" s="30" t="str">
        <x:v>-4</x:v>
      </x:c>
      <x:c r="O5544" s="30" t="str">
        <x:v>Правая часть записана как степень того же основания; показатели приравнены.</x:v>
      </x:c>
      <x:c r="P5544" s="30" t="str">
        <x:v>Проверено вычислением и по полной визуальной странице.</x:v>
      </x:c>
      <x:c r="Q5544" s="30"/>
      <x:c r="R5544" s="30"/>
      <x:c r="S5544" s="30" t="str">
        <x:v>Ответы профиль.docx</x:v>
      </x:c>
      <x:c r="T5544" s="30"/>
      <x:c r="U5544" s="30" t="str">
        <x:v>Ответник совпадает с независимой проверкой.</x:v>
      </x:c>
      <x:c r="V5544" s="87" t="str">
        <x:v>VERIFIED</x:v>
      </x:c>
      <x:c r="W5544" s="87"/>
      <x:c r="X5544" s="87" t="n">
        <x:v>2</x:v>
      </x:c>
      <x:c r="Y5544" s="87"/>
      <x:c r="Z5544" s="87"/>
      <x:c r="AA5544" s="87"/>
      <x:c r="AB5544" s="87"/>
      <x:c r="AC5544" s="87" t="str">
        <x:v>VIS-EGKR-MATHP-W25-TASK-954-P002</x:v>
      </x:c>
      <x:c r="AD5544" s="87"/>
      <x:c r="AE5544" s="87" t="str">
        <x:v>TASK</x:v>
      </x:c>
      <x:c r="AF5544" s="87" t="str">
        <x:v>VIS-EGKR-MATHP-W25-TASK-954-P002: 2</x:v>
      </x:c>
      <x:c r="AG5544" s="87" t="str">
        <x:v>RESOLVED</x:v>
      </x:c>
      <x:c r="AH5544" s="87" t="str">
        <x:v>CROP_VERIFIED</x:v>
      </x:c>
      <x:c r="AI5544" s="30"/>
      <x:c r="AJ5544" s="87" t="str">
        <x:v>clean</x:v>
      </x:c>
      <x:c r="AK5544" s="87" t="str">
        <x:v>clean-v0.15</x:v>
      </x:c>
      <x:c r="AL5544" s="87" t="str">
        <x:v>statgrad_clean_continuation_v0_15(1).xlsx</x:v>
      </x:c>
      <x:c r="AM5544" s="87" t="str">
        <x:v>MATHP_EGKR_954</x:v>
      </x:c>
      <x:c r="AN5544" s="87" t="n">
        <x:v>7</x:v>
      </x:c>
    </x:row>
    <x:row r="5545">
      <x:c r="A5545" s="87" t="n">
        <x:v>5544</x:v>
      </x:c>
      <x:c r="B5545" s="87" t="str">
        <x:v>EGKR-W25-MATHP-954-07</x:v>
      </x:c>
      <x:c r="C5545" s="87" t="str">
        <x:v>ЕГКР</x:v>
      </x:c>
      <x:c r="D5545" s="87"/>
      <x:c r="E5545" s="87" t="str">
        <x:v>Зима 2025</x:v>
      </x:c>
      <x:c r="F5545" s="87" t="str">
        <x:v>16.12.2025</x:v>
      </x:c>
      <x:c r="G5545" s="87" t="str">
        <x:v>Математика (профиль)</x:v>
      </x:c>
      <x:c r="H5545" s="87" t="n">
        <x:v>11</x:v>
      </x:c>
      <x:c r="I5545" s="87"/>
      <x:c r="J5545" s="87" t="str">
        <x:v>954</x:v>
      </x:c>
      <x:c r="K5545" s="87" t="n">
        <x:v>7</x:v>
      </x:c>
      <x:c r="L5545" s="87" t="str">
        <x:v>Краткий ответ</x:v>
      </x:c>
      <x:c r="M5545" s="30" t="str">
        <x:v>Вычислить √3 sin(π/3)-cos(π/3).</x:v>
      </x:c>
      <x:c r="N5545" s="30" t="str">
        <x:v>1</x:v>
      </x:c>
      <x:c r="O5545" s="30" t="str">
        <x:v>Подставлены табличные значения синуса и косинуса.</x:v>
      </x:c>
      <x:c r="P5545" s="30" t="str">
        <x:v>Проверено вычислением и по полной визуальной странице.</x:v>
      </x:c>
      <x:c r="Q5545" s="30"/>
      <x:c r="R5545" s="30"/>
      <x:c r="S5545" s="30" t="str">
        <x:v>Ответы профиль.docx</x:v>
      </x:c>
      <x:c r="T5545" s="30"/>
      <x:c r="U5545" s="30" t="str">
        <x:v>Ответник совпадает с независимой проверкой.</x:v>
      </x:c>
      <x:c r="V5545" s="87" t="str">
        <x:v>VERIFIED</x:v>
      </x:c>
      <x:c r="W5545" s="87"/>
      <x:c r="X5545" s="87" t="n">
        <x:v>2</x:v>
      </x:c>
      <x:c r="Y5545" s="87"/>
      <x:c r="Z5545" s="87"/>
      <x:c r="AA5545" s="87"/>
      <x:c r="AB5545" s="87"/>
      <x:c r="AC5545" s="87" t="str">
        <x:v>VIS-EGKR-MATHP-W25-TASK-954-P002</x:v>
      </x:c>
      <x:c r="AD5545" s="87"/>
      <x:c r="AE5545" s="87" t="str">
        <x:v>TASK</x:v>
      </x:c>
      <x:c r="AF5545" s="87" t="str">
        <x:v>VIS-EGKR-MATHP-W25-TASK-954-P002: 2</x:v>
      </x:c>
      <x:c r="AG5545" s="87" t="str">
        <x:v>RESOLVED</x:v>
      </x:c>
      <x:c r="AH5545" s="87" t="str">
        <x:v>CROP_VERIFIED</x:v>
      </x:c>
      <x:c r="AI5545" s="30"/>
      <x:c r="AJ5545" s="87" t="str">
        <x:v>clean</x:v>
      </x:c>
      <x:c r="AK5545" s="87" t="str">
        <x:v>clean-v0.15</x:v>
      </x:c>
      <x:c r="AL5545" s="87" t="str">
        <x:v>statgrad_clean_continuation_v0_15(1).xlsx</x:v>
      </x:c>
      <x:c r="AM5545" s="87" t="str">
        <x:v>MATHP_EGKR_954</x:v>
      </x:c>
      <x:c r="AN5545" s="87" t="n">
        <x:v>8</x:v>
      </x:c>
    </x:row>
    <x:row r="5546">
      <x:c r="A5546" s="87" t="n">
        <x:v>5545</x:v>
      </x:c>
      <x:c r="B5546" s="87" t="str">
        <x:v>EGKR-W25-MATHP-954-08</x:v>
      </x:c>
      <x:c r="C5546" s="87" t="str">
        <x:v>ЕГКР</x:v>
      </x:c>
      <x:c r="D5546" s="87"/>
      <x:c r="E5546" s="87" t="str">
        <x:v>Зима 2025</x:v>
      </x:c>
      <x:c r="F5546" s="87" t="str">
        <x:v>16.12.2025</x:v>
      </x:c>
      <x:c r="G5546" s="87" t="str">
        <x:v>Математика (профиль)</x:v>
      </x:c>
      <x:c r="H5546" s="87" t="n">
        <x:v>11</x:v>
      </x:c>
      <x:c r="I5546" s="87"/>
      <x:c r="J5546" s="87" t="str">
        <x:v>954</x:v>
      </x:c>
      <x:c r="K5546" s="87" t="n">
        <x:v>8</x:v>
      </x:c>
      <x:c r="L5546" s="87" t="str">
        <x:v>Краткий ответ</x:v>
      </x:c>
      <x:c r="M5546" s="30" t="str">
        <x:v>По графику f на интервале (-2;11) посчитать целые x, где f'(x)&gt;0.</x:v>
      </x:c>
      <x:c r="N5546" s="30" t="str">
        <x:v>4</x:v>
      </x:c>
      <x:c r="O5546" s="30" t="str">
        <x:v>Посчитаны целые абсциссы на участках возрастания графика.</x:v>
      </x:c>
      <x:c r="P5546" s="30" t="str">
        <x:v>Проверено вычислением и по полной визуальной странице.</x:v>
      </x:c>
      <x:c r="Q5546" s="30"/>
      <x:c r="R5546" s="30"/>
      <x:c r="S5546" s="30" t="str">
        <x:v>Ответы профиль.docx</x:v>
      </x:c>
      <x:c r="T5546" s="30"/>
      <x:c r="U5546" s="30" t="str">
        <x:v>Ответник совпадает с независимой проверкой.</x:v>
      </x:c>
      <x:c r="V5546" s="87" t="str">
        <x:v>VERIFIED</x:v>
      </x:c>
      <x:c r="W5546" s="87"/>
      <x:c r="X5546" s="87" t="n">
        <x:v>2</x:v>
      </x:c>
      <x:c r="Y5546" s="87"/>
      <x:c r="Z5546" s="87"/>
      <x:c r="AA5546" s="87"/>
      <x:c r="AB5546" s="87"/>
      <x:c r="AC5546" s="87" t="str">
        <x:v>VIS-EGKR-MATHP-W25-TASK-954-P002</x:v>
      </x:c>
      <x:c r="AD5546" s="87"/>
      <x:c r="AE5546" s="87" t="str">
        <x:v>TASK</x:v>
      </x:c>
      <x:c r="AF5546" s="87" t="str">
        <x:v>VIS-EGKR-MATHP-W25-TASK-954-P002: 2</x:v>
      </x:c>
      <x:c r="AG5546" s="87" t="str">
        <x:v>RESOLVED</x:v>
      </x:c>
      <x:c r="AH5546" s="87" t="str">
        <x:v>CROP_VERIFIED</x:v>
      </x:c>
      <x:c r="AI5546" s="30"/>
      <x:c r="AJ5546" s="87" t="str">
        <x:v>clean</x:v>
      </x:c>
      <x:c r="AK5546" s="87" t="str">
        <x:v>clean-v0.15</x:v>
      </x:c>
      <x:c r="AL5546" s="87" t="str">
        <x:v>statgrad_clean_continuation_v0_15(1).xlsx</x:v>
      </x:c>
      <x:c r="AM5546" s="87" t="str">
        <x:v>MATHP_EGKR_954</x:v>
      </x:c>
      <x:c r="AN5546" s="87" t="n">
        <x:v>9</x:v>
      </x:c>
    </x:row>
    <x:row r="5547">
      <x:c r="A5547" s="87" t="n">
        <x:v>5546</x:v>
      </x:c>
      <x:c r="B5547" s="87" t="str">
        <x:v>EGKR-W25-MATHP-954-09</x:v>
      </x:c>
      <x:c r="C5547" s="87" t="str">
        <x:v>ЕГКР</x:v>
      </x:c>
      <x:c r="D5547" s="87"/>
      <x:c r="E5547" s="87" t="str">
        <x:v>Зима 2025</x:v>
      </x:c>
      <x:c r="F5547" s="87" t="str">
        <x:v>16.12.2025</x:v>
      </x:c>
      <x:c r="G5547" s="87" t="str">
        <x:v>Математика (профиль)</x:v>
      </x:c>
      <x:c r="H5547" s="87" t="n">
        <x:v>11</x:v>
      </x:c>
      <x:c r="I5547" s="87"/>
      <x:c r="J5547" s="87" t="str">
        <x:v>954</x:v>
      </x:c>
      <x:c r="K5547" s="87" t="n">
        <x:v>9</x:v>
      </x:c>
      <x:c r="L5547" s="87" t="str">
        <x:v>Краткий ответ</x:v>
      </x:c>
      <x:c r="M5547" s="30" t="str">
        <x:v>Высота воды задана квадратным законом (H₀=4). Найти время до опустошения.</x:v>
      </x:c>
      <x:c r="N5547" s="30" t="str">
        <x:v>14</x:v>
      </x:c>
      <x:c r="O5547" s="30" t="str">
        <x:v>Решено H(t)=0 и выбран физически допустимый положительный корень.</x:v>
      </x:c>
      <x:c r="P5547" s="30" t="str">
        <x:v>Проверено вычислением и по полной визуальной странице.</x:v>
      </x:c>
      <x:c r="Q5547" s="30"/>
      <x:c r="R5547" s="30"/>
      <x:c r="S5547" s="30" t="str">
        <x:v>Ответы профиль.docx</x:v>
      </x:c>
      <x:c r="T5547" s="30"/>
      <x:c r="U5547" s="30" t="str">
        <x:v>Ответник совпадает с независимой проверкой.</x:v>
      </x:c>
      <x:c r="V5547" s="87" t="str">
        <x:v>VERIFIED</x:v>
      </x:c>
      <x:c r="W5547" s="87"/>
      <x:c r="X5547" s="87" t="n">
        <x:v>2</x:v>
      </x:c>
      <x:c r="Y5547" s="87"/>
      <x:c r="Z5547" s="87"/>
      <x:c r="AA5547" s="87"/>
      <x:c r="AB5547" s="87"/>
      <x:c r="AC5547" s="87" t="str">
        <x:v>VIS-EGKR-MATHP-W25-TASK-954-P002</x:v>
      </x:c>
      <x:c r="AD5547" s="87"/>
      <x:c r="AE5547" s="87" t="str">
        <x:v>TASK</x:v>
      </x:c>
      <x:c r="AF5547" s="87" t="str">
        <x:v>VIS-EGKR-MATHP-W25-TASK-954-P002: 2</x:v>
      </x:c>
      <x:c r="AG5547" s="87" t="str">
        <x:v>RESOLVED</x:v>
      </x:c>
      <x:c r="AH5547" s="87" t="str">
        <x:v>CROP_VERIFIED</x:v>
      </x:c>
      <x:c r="AI5547" s="30"/>
      <x:c r="AJ5547" s="87" t="str">
        <x:v>clean</x:v>
      </x:c>
      <x:c r="AK5547" s="87" t="str">
        <x:v>clean-v0.15</x:v>
      </x:c>
      <x:c r="AL5547" s="87" t="str">
        <x:v>statgrad_clean_continuation_v0_15(1).xlsx</x:v>
      </x:c>
      <x:c r="AM5547" s="87" t="str">
        <x:v>MATHP_EGKR_954</x:v>
      </x:c>
      <x:c r="AN5547" s="87" t="n">
        <x:v>10</x:v>
      </x:c>
    </x:row>
    <x:row r="5548">
      <x:c r="A5548" s="87" t="n">
        <x:v>5547</x:v>
      </x:c>
      <x:c r="B5548" s="87" t="str">
        <x:v>EGKR-W25-MATHP-954-10</x:v>
      </x:c>
      <x:c r="C5548" s="87" t="str">
        <x:v>ЕГКР</x:v>
      </x:c>
      <x:c r="D5548" s="87"/>
      <x:c r="E5548" s="87" t="str">
        <x:v>Зима 2025</x:v>
      </x:c>
      <x:c r="F5548" s="87" t="str">
        <x:v>16.12.2025</x:v>
      </x:c>
      <x:c r="G5548" s="87" t="str">
        <x:v>Математика (профиль)</x:v>
      </x:c>
      <x:c r="H5548" s="87" t="n">
        <x:v>11</x:v>
      </x:c>
      <x:c r="I5548" s="87"/>
      <x:c r="J5548" s="87" t="str">
        <x:v>954</x:v>
      </x:c>
      <x:c r="K5548" s="87" t="n">
        <x:v>10</x:v>
      </x:c>
      <x:c r="L5548" s="87" t="str">
        <x:v>Краткий ответ</x:v>
      </x:c>
      <x:c r="M5548" s="30" t="str">
        <x:v>Посёлок C между A и B; AC=37; мотоцикл вдвое быстрее грузовика. Найти AB.</x:v>
      </x:c>
      <x:c r="N5548" s="30" t="str">
        <x:v>111</x:v>
      </x:c>
      <x:c r="O5548" s="30" t="str">
        <x:v>Равенство времени даёт AC/v=(AB-AC)/(2v), следовательно AB=3AC.</x:v>
      </x:c>
      <x:c r="P5548" s="30" t="str">
        <x:v>Проверено вычислением и по полной визуальной странице.</x:v>
      </x:c>
      <x:c r="Q5548" s="30"/>
      <x:c r="R5548" s="30"/>
      <x:c r="S5548" s="30" t="str">
        <x:v>Ответы профиль.docx</x:v>
      </x:c>
      <x:c r="T5548" s="30"/>
      <x:c r="U5548" s="30" t="str">
        <x:v>Ответник совпадает с независимой проверкой.</x:v>
      </x:c>
      <x:c r="V5548" s="87" t="str">
        <x:v>VERIFIED</x:v>
      </x:c>
      <x:c r="W5548" s="87"/>
      <x:c r="X5548" s="87" t="n">
        <x:v>2</x:v>
      </x:c>
      <x:c r="Y5548" s="87"/>
      <x:c r="Z5548" s="87"/>
      <x:c r="AA5548" s="87"/>
      <x:c r="AB5548" s="87"/>
      <x:c r="AC5548" s="87" t="str">
        <x:v>VIS-EGKR-MATHP-W25-TASK-954-P002</x:v>
      </x:c>
      <x:c r="AD5548" s="87"/>
      <x:c r="AE5548" s="87" t="str">
        <x:v>TASK</x:v>
      </x:c>
      <x:c r="AF5548" s="87" t="str">
        <x:v>VIS-EGKR-MATHP-W25-TASK-954-P002: 2</x:v>
      </x:c>
      <x:c r="AG5548" s="87" t="str">
        <x:v>RESOLVED</x:v>
      </x:c>
      <x:c r="AH5548" s="87" t="str">
        <x:v>CROP_VERIFIED</x:v>
      </x:c>
      <x:c r="AI5548" s="30"/>
      <x:c r="AJ5548" s="87" t="str">
        <x:v>clean</x:v>
      </x:c>
      <x:c r="AK5548" s="87" t="str">
        <x:v>clean-v0.15</x:v>
      </x:c>
      <x:c r="AL5548" s="87" t="str">
        <x:v>statgrad_clean_continuation_v0_15(1).xlsx</x:v>
      </x:c>
      <x:c r="AM5548" s="87" t="str">
        <x:v>MATHP_EGKR_954</x:v>
      </x:c>
      <x:c r="AN5548" s="87" t="n">
        <x:v>11</x:v>
      </x:c>
    </x:row>
    <x:row r="5549">
      <x:c r="A5549" s="87" t="n">
        <x:v>5548</x:v>
      </x:c>
      <x:c r="B5549" s="87" t="str">
        <x:v>EGKR-W25-MATHP-954-11</x:v>
      </x:c>
      <x:c r="C5549" s="87" t="str">
        <x:v>ЕГКР</x:v>
      </x:c>
      <x:c r="D5549" s="87"/>
      <x:c r="E5549" s="87" t="str">
        <x:v>Зима 2025</x:v>
      </x:c>
      <x:c r="F5549" s="87" t="str">
        <x:v>16.12.2025</x:v>
      </x:c>
      <x:c r="G5549" s="87" t="str">
        <x:v>Математика (профиль)</x:v>
      </x:c>
      <x:c r="H5549" s="87" t="n">
        <x:v>11</x:v>
      </x:c>
      <x:c r="I5549" s="87"/>
      <x:c r="J5549" s="87" t="str">
        <x:v>954</x:v>
      </x:c>
      <x:c r="K5549" s="87" t="n">
        <x:v>11</x:v>
      </x:c>
      <x:c r="L5549" s="87" t="str">
        <x:v>Краткий ответ</x:v>
      </x:c>
      <x:c r="M5549" s="30" t="str">
        <x:v>По графикам степенной и линейной функций найти ординату точки пересечения A.</x:v>
      </x:c>
      <x:c r="N5549" s="30" t="str">
        <x:v>-9</x:v>
      </x:c>
      <x:c r="O5549" s="30" t="str">
        <x:v>Ордината точки A считана непосредственно по координатной сетке.</x:v>
      </x:c>
      <x:c r="P5549" s="30" t="str">
        <x:v>Проверено вычислением и по полной визуальной странице.</x:v>
      </x:c>
      <x:c r="Q5549" s="30"/>
      <x:c r="R5549" s="30"/>
      <x:c r="S5549" s="30" t="str">
        <x:v>Ответы профиль.docx</x:v>
      </x:c>
      <x:c r="T5549" s="30"/>
      <x:c r="U5549" s="30" t="str">
        <x:v>Ответник совпадает с независимой проверкой.</x:v>
      </x:c>
      <x:c r="V5549" s="87" t="str">
        <x:v>VERIFIED</x:v>
      </x:c>
      <x:c r="W5549" s="87"/>
      <x:c r="X5549" s="87" t="n">
        <x:v>2</x:v>
      </x:c>
      <x:c r="Y5549" s="87"/>
      <x:c r="Z5549" s="87"/>
      <x:c r="AA5549" s="87"/>
      <x:c r="AB5549" s="87"/>
      <x:c r="AC5549" s="87" t="str">
        <x:v>VIS-EGKR-MATHP-W25-TASK-954-P002</x:v>
      </x:c>
      <x:c r="AD5549" s="87"/>
      <x:c r="AE5549" s="87" t="str">
        <x:v>TASK</x:v>
      </x:c>
      <x:c r="AF5549" s="87" t="str">
        <x:v>VIS-EGKR-MATHP-W25-TASK-954-P002: 2</x:v>
      </x:c>
      <x:c r="AG5549" s="87" t="str">
        <x:v>RESOLVED</x:v>
      </x:c>
      <x:c r="AH5549" s="87" t="str">
        <x:v>CROP_VERIFIED</x:v>
      </x:c>
      <x:c r="AI5549" s="30"/>
      <x:c r="AJ5549" s="87" t="str">
        <x:v>clean</x:v>
      </x:c>
      <x:c r="AK5549" s="87" t="str">
        <x:v>clean-v0.15</x:v>
      </x:c>
      <x:c r="AL5549" s="87" t="str">
        <x:v>statgrad_clean_continuation_v0_15(1).xlsx</x:v>
      </x:c>
      <x:c r="AM5549" s="87" t="str">
        <x:v>MATHP_EGKR_954</x:v>
      </x:c>
      <x:c r="AN5549" s="87" t="n">
        <x:v>12</x:v>
      </x:c>
    </x:row>
    <x:row r="5550">
      <x:c r="A5550" s="87" t="n">
        <x:v>5549</x:v>
      </x:c>
      <x:c r="B5550" s="87" t="str">
        <x:v>EGKR-W25-MATHP-954-12</x:v>
      </x:c>
      <x:c r="C5550" s="87" t="str">
        <x:v>ЕГКР</x:v>
      </x:c>
      <x:c r="D5550" s="87"/>
      <x:c r="E5550" s="87" t="str">
        <x:v>Зима 2025</x:v>
      </x:c>
      <x:c r="F5550" s="87" t="str">
        <x:v>16.12.2025</x:v>
      </x:c>
      <x:c r="G5550" s="87" t="str">
        <x:v>Математика (профиль)</x:v>
      </x:c>
      <x:c r="H5550" s="87" t="n">
        <x:v>11</x:v>
      </x:c>
      <x:c r="I5550" s="87"/>
      <x:c r="J5550" s="87" t="str">
        <x:v>954</x:v>
      </x:c>
      <x:c r="K5550" s="87" t="n">
        <x:v>12</x:v>
      </x:c>
      <x:c r="L5550" s="87" t="str">
        <x:v>Краткий ответ</x:v>
      </x:c>
      <x:c r="M5550" s="30" t="str">
        <x:v>Для f=x²+2x, g=7x-3 решить равенство производных.</x:v>
      </x:c>
      <x:c r="N5550" s="30" t="str">
        <x:v>2,5</x:v>
      </x:c>
      <x:c r="O5550" s="30" t="str">
        <x:v>Вычислены производные и решено линейное уравнение.</x:v>
      </x:c>
      <x:c r="P5550" s="30" t="str">
        <x:v>Проверено вычислением и по полной визуальной странице.</x:v>
      </x:c>
      <x:c r="Q5550" s="30"/>
      <x:c r="R5550" s="30"/>
      <x:c r="S5550" s="30" t="str">
        <x:v>Ответы профиль.docx</x:v>
      </x:c>
      <x:c r="T5550" s="30"/>
      <x:c r="U5550" s="30" t="str">
        <x:v>Ответник совпадает с независимой проверкой.</x:v>
      </x:c>
      <x:c r="V5550" s="87" t="str">
        <x:v>VERIFIED</x:v>
      </x:c>
      <x:c r="W5550" s="87"/>
      <x:c r="X5550" s="87" t="n">
        <x:v>2</x:v>
      </x:c>
      <x:c r="Y5550" s="87"/>
      <x:c r="Z5550" s="87"/>
      <x:c r="AA5550" s="87"/>
      <x:c r="AB5550" s="87"/>
      <x:c r="AC5550" s="87" t="str">
        <x:v>VIS-EGKR-MATHP-W25-TASK-954-P002</x:v>
      </x:c>
      <x:c r="AD5550" s="87"/>
      <x:c r="AE5550" s="87" t="str">
        <x:v>TASK</x:v>
      </x:c>
      <x:c r="AF5550" s="87" t="str">
        <x:v>VIS-EGKR-MATHP-W25-TASK-954-P002: 2</x:v>
      </x:c>
      <x:c r="AG5550" s="87" t="str">
        <x:v>RESOLVED</x:v>
      </x:c>
      <x:c r="AH5550" s="87" t="str">
        <x:v>CROP_VERIFIED</x:v>
      </x:c>
      <x:c r="AI5550" s="30"/>
      <x:c r="AJ5550" s="87" t="str">
        <x:v>clean</x:v>
      </x:c>
      <x:c r="AK5550" s="87" t="str">
        <x:v>clean-v0.15</x:v>
      </x:c>
      <x:c r="AL5550" s="87" t="str">
        <x:v>statgrad_clean_continuation_v0_15(1).xlsx</x:v>
      </x:c>
      <x:c r="AM5550" s="87" t="str">
        <x:v>MATHP_EGKR_954</x:v>
      </x:c>
      <x:c r="AN5550" s="87" t="n">
        <x:v>13</x:v>
      </x:c>
    </x:row>
    <x:row r="5551">
      <x:c r="A5551" s="87" t="n">
        <x:v>5550</x:v>
      </x:c>
      <x:c r="B5551" s="87" t="str">
        <x:v>EGKR-W25-MATHP-954-13</x:v>
      </x:c>
      <x:c r="C5551" s="87" t="str">
        <x:v>ЕГКР</x:v>
      </x:c>
      <x:c r="D5551" s="87"/>
      <x:c r="E5551" s="87" t="str">
        <x:v>Зима 2025</x:v>
      </x:c>
      <x:c r="F5551" s="87" t="str">
        <x:v>16.12.2025</x:v>
      </x:c>
      <x:c r="G5551" s="87" t="str">
        <x:v>Математика (профиль)</x:v>
      </x:c>
      <x:c r="H5551" s="87" t="n">
        <x:v>11</x:v>
      </x:c>
      <x:c r="I5551" s="87"/>
      <x:c r="J5551" s="87" t="str">
        <x:v>954</x:v>
      </x:c>
      <x:c r="K5551" s="87" t="n">
        <x:v>13</x:v>
      </x:c>
      <x:c r="L5551" s="87" t="str">
        <x:v>Развёрнутый ответ</x:v>
      </x:c>
      <x:c r="M5551" s="30" t="str">
        <x:v>(2cos x-sin x)(1+sin x)=cos²x; промежуток [6π;7π].</x:v>
      </x:c>
      <x:c r="N5551" s="30" t="str">
        <x:v>(2cos x-1)(1+sin x)=0. Общие решения: x=±π/3+2πk и x=3π/2+2πk. На промежутке находится только x=19π/3.</x:v>
      </x:c>
      <x:c r="O5551" s="30" t="str">
        <x:v>Содержит полный ход решения и итоговый ответ.</x:v>
      </x:c>
      <x:c r="P5551" s="30" t="str">
        <x:v>Алгебра, геометрия или перебор проверены независимо от приложенных ученических решений.</x:v>
      </x:c>
      <x:c r="Q5551" s="30"/>
      <x:c r="R5551" s="30"/>
      <x:c r="S5551" s="30" t="str">
        <x:v>Независимое решение по исходному заданию</x:v>
      </x:c>
      <x:c r="T5551" s="30"/>
      <x:c r="U5551" s="30" t="str">
        <x:v>Вторичное рукописное решение меняет знаки исходного уравнения и добавляет лишний корень 13π/2.</x:v>
      </x:c>
      <x:c r="V5551" s="87" t="str">
        <x:v>VERIFIED</x:v>
      </x:c>
      <x:c r="W5551" s="87"/>
      <x:c r="X5551" s="87" t="n">
        <x:v>3</x:v>
      </x:c>
      <x:c r="Y5551" s="87"/>
      <x:c r="Z5551" s="87"/>
      <x:c r="AA5551" s="87"/>
      <x:c r="AB5551" s="87"/>
      <x:c r="AC5551" s="87" t="str">
        <x:v>VIS-EGKR-MATHP-W25-TASK-954-P003</x:v>
      </x:c>
      <x:c r="AD5551" s="87"/>
      <x:c r="AE5551" s="87" t="str">
        <x:v>TASK</x:v>
      </x:c>
      <x:c r="AF5551" s="87" t="str">
        <x:v>VIS-EGKR-MATHP-W25-TASK-954-P003: 3</x:v>
      </x:c>
      <x:c r="AG5551" s="87" t="str">
        <x:v>RESOLVED</x:v>
      </x:c>
      <x:c r="AH5551" s="87" t="str">
        <x:v>CROP_VERIFIED</x:v>
      </x:c>
      <x:c r="AI5551" s="30"/>
      <x:c r="AJ5551" s="87" t="str">
        <x:v>clean</x:v>
      </x:c>
      <x:c r="AK5551" s="87" t="str">
        <x:v>clean-v0.15</x:v>
      </x:c>
      <x:c r="AL5551" s="87" t="str">
        <x:v>statgrad_clean_continuation_v0_15(1).xlsx</x:v>
      </x:c>
      <x:c r="AM5551" s="87" t="str">
        <x:v>MATHP_EGKR_954</x:v>
      </x:c>
      <x:c r="AN5551" s="87" t="n">
        <x:v>14</x:v>
      </x:c>
    </x:row>
    <x:row r="5552">
      <x:c r="A5552" s="87" t="n">
        <x:v>5551</x:v>
      </x:c>
      <x:c r="B5552" s="87" t="str">
        <x:v>EGKR-W25-MATHP-954-14</x:v>
      </x:c>
      <x:c r="C5552" s="87" t="str">
        <x:v>ЕГКР</x:v>
      </x:c>
      <x:c r="D5552" s="87"/>
      <x:c r="E5552" s="87" t="str">
        <x:v>Зима 2025</x:v>
      </x:c>
      <x:c r="F5552" s="87" t="str">
        <x:v>16.12.2025</x:v>
      </x:c>
      <x:c r="G5552" s="87" t="str">
        <x:v>Математика (профиль)</x:v>
      </x:c>
      <x:c r="H5552" s="87" t="n">
        <x:v>11</x:v>
      </x:c>
      <x:c r="I5552" s="87"/>
      <x:c r="J5552" s="87" t="str">
        <x:v>954</x:v>
      </x:c>
      <x:c r="K5552" s="87" t="n">
        <x:v>14</x:v>
      </x:c>
      <x:c r="L5552" s="87" t="str">
        <x:v>Развёрнутый ответ</x:v>
      </x:c>
      <x:c r="M5552" s="30" t="str">
        <x:v>Пирамида на ромбе со стороной 4; грани SAB и SCB перпендикулярны основанию, угол между ними 150°, другие грани наклонены на 60°.</x:v>
      </x:c>
      <x:c r="N5552" s="30" t="str">
        <x:v>SB перпендикулярно основанию, а угол ABC равен 150°. Расстояния от B до AD и CD одинаковы и равны 4/2, поэтому наклонные высоты граней SAD и SCD равны, следовательно, грани равновелики. Из tan60°=SB/(4/2) получаем SB=4√3/2; наклонная высота к AD и CD равна 4. Суммарная площадь боковых граней: 16+8√3.</x:v>
      </x:c>
      <x:c r="O5552" s="30" t="str">
        <x:v>Содержит полный ход решения и итоговый ответ.</x:v>
      </x:c>
      <x:c r="P5552" s="30" t="str">
        <x:v>Алгебра, геометрия или перебор проверены независимо от приложенных ученических решений.</x:v>
      </x:c>
      <x:c r="Q5552" s="30"/>
      <x:c r="R5552" s="30"/>
      <x:c r="S5552" s="30" t="str">
        <x:v>Независимое решение по исходному заданию</x:v>
      </x:c>
      <x:c r="T5552" s="30"/>
      <x:c r="U5552" s="30" t="str">
        <x:v>Независимая модель решения.</x:v>
      </x:c>
      <x:c r="V5552" s="87" t="str">
        <x:v>VERIFIED</x:v>
      </x:c>
      <x:c r="W5552" s="87"/>
      <x:c r="X5552" s="87" t="n">
        <x:v>3</x:v>
      </x:c>
      <x:c r="Y5552" s="87"/>
      <x:c r="Z5552" s="87"/>
      <x:c r="AA5552" s="87"/>
      <x:c r="AB5552" s="87"/>
      <x:c r="AC5552" s="87" t="str">
        <x:v>VIS-EGKR-MATHP-W25-TASK-954-P003</x:v>
      </x:c>
      <x:c r="AD5552" s="87"/>
      <x:c r="AE5552" s="87" t="str">
        <x:v>TASK</x:v>
      </x:c>
      <x:c r="AF5552" s="87" t="str">
        <x:v>VIS-EGKR-MATHP-W25-TASK-954-P003: 3</x:v>
      </x:c>
      <x:c r="AG5552" s="87" t="str">
        <x:v>RESOLVED</x:v>
      </x:c>
      <x:c r="AH5552" s="87" t="str">
        <x:v>CROP_VERIFIED</x:v>
      </x:c>
      <x:c r="AI5552" s="30"/>
      <x:c r="AJ5552" s="87" t="str">
        <x:v>clean</x:v>
      </x:c>
      <x:c r="AK5552" s="87" t="str">
        <x:v>clean-v0.15</x:v>
      </x:c>
      <x:c r="AL5552" s="87" t="str">
        <x:v>statgrad_clean_continuation_v0_15(1).xlsx</x:v>
      </x:c>
      <x:c r="AM5552" s="87" t="str">
        <x:v>MATHP_EGKR_954</x:v>
      </x:c>
      <x:c r="AN5552" s="87" t="n">
        <x:v>15</x:v>
      </x:c>
    </x:row>
    <x:row r="5553">
      <x:c r="A5553" s="87" t="n">
        <x:v>5552</x:v>
      </x:c>
      <x:c r="B5553" s="87" t="str">
        <x:v>EGKR-W25-MATHP-954-15</x:v>
      </x:c>
      <x:c r="C5553" s="87" t="str">
        <x:v>ЕГКР</x:v>
      </x:c>
      <x:c r="D5553" s="87"/>
      <x:c r="E5553" s="87" t="str">
        <x:v>Зима 2025</x:v>
      </x:c>
      <x:c r="F5553" s="87" t="str">
        <x:v>16.12.2025</x:v>
      </x:c>
      <x:c r="G5553" s="87" t="str">
        <x:v>Математика (профиль)</x:v>
      </x:c>
      <x:c r="H5553" s="87" t="n">
        <x:v>11</x:v>
      </x:c>
      <x:c r="I5553" s="87"/>
      <x:c r="J5553" s="87" t="str">
        <x:v>954</x:v>
      </x:c>
      <x:c r="K5553" s="87" t="n">
        <x:v>15</x:v>
      </x:c>
      <x:c r="L5553" s="87" t="str">
        <x:v>Развёрнутый ответ</x:v>
      </x:c>
      <x:c r="M5553" s="30" t="str">
        <x:v>(x+4)²-1/(x-4) ≤ (x-4)²+1/(x+4).</x:v>
      </x:c>
      <x:c r="N5553" s="30" t="str">
        <x:v>x∈(-∞;-√258/4]∪(-4;0]∪(4;√258/4].</x:v>
      </x:c>
      <x:c r="O5553" s="30" t="str">
        <x:v>Содержит полный ход решения и итоговый ответ.</x:v>
      </x:c>
      <x:c r="P5553" s="30" t="str">
        <x:v>Алгебра, геометрия или перебор проверены независимо от приложенных ученических решений.</x:v>
      </x:c>
      <x:c r="Q5553" s="30"/>
      <x:c r="R5553" s="30"/>
      <x:c r="S5553" s="30" t="str">
        <x:v>Независимое решение по исходному заданию</x:v>
      </x:c>
      <x:c r="T5553" s="30"/>
      <x:c r="U5553" s="30" t="str">
        <x:v>Независимая модель решения.</x:v>
      </x:c>
      <x:c r="V5553" s="87" t="str">
        <x:v>VERIFIED</x:v>
      </x:c>
      <x:c r="W5553" s="87"/>
      <x:c r="X5553" s="87" t="n">
        <x:v>3</x:v>
      </x:c>
      <x:c r="Y5553" s="87"/>
      <x:c r="Z5553" s="87"/>
      <x:c r="AA5553" s="87"/>
      <x:c r="AB5553" s="87"/>
      <x:c r="AC5553" s="87" t="str">
        <x:v>VIS-EGKR-MATHP-W25-TASK-954-P003</x:v>
      </x:c>
      <x:c r="AD5553" s="87"/>
      <x:c r="AE5553" s="87" t="str">
        <x:v>TASK</x:v>
      </x:c>
      <x:c r="AF5553" s="87" t="str">
        <x:v>VIS-EGKR-MATHP-W25-TASK-954-P003: 3</x:v>
      </x:c>
      <x:c r="AG5553" s="87" t="str">
        <x:v>RESOLVED</x:v>
      </x:c>
      <x:c r="AH5553" s="87" t="str">
        <x:v>CROP_VERIFIED</x:v>
      </x:c>
      <x:c r="AI5553" s="30"/>
      <x:c r="AJ5553" s="87" t="str">
        <x:v>clean</x:v>
      </x:c>
      <x:c r="AK5553" s="87" t="str">
        <x:v>clean-v0.15</x:v>
      </x:c>
      <x:c r="AL5553" s="87" t="str">
        <x:v>statgrad_clean_continuation_v0_15(1).xlsx</x:v>
      </x:c>
      <x:c r="AM5553" s="87" t="str">
        <x:v>MATHP_EGKR_954</x:v>
      </x:c>
      <x:c r="AN5553" s="87" t="n">
        <x:v>16</x:v>
      </x:c>
    </x:row>
    <x:row r="5554">
      <x:c r="A5554" s="87" t="n">
        <x:v>5553</x:v>
      </x:c>
      <x:c r="B5554" s="87" t="str">
        <x:v>EGKR-W25-MATHP-954-16</x:v>
      </x:c>
      <x:c r="C5554" s="87" t="str">
        <x:v>ЕГКР</x:v>
      </x:c>
      <x:c r="D5554" s="87"/>
      <x:c r="E5554" s="87" t="str">
        <x:v>Зима 2025</x:v>
      </x:c>
      <x:c r="F5554" s="87" t="str">
        <x:v>16.12.2025</x:v>
      </x:c>
      <x:c r="G5554" s="87" t="str">
        <x:v>Математика (профиль)</x:v>
      </x:c>
      <x:c r="H5554" s="87" t="n">
        <x:v>11</x:v>
      </x:c>
      <x:c r="I5554" s="87"/>
      <x:c r="J5554" s="87" t="str">
        <x:v>954</x:v>
      </x:c>
      <x:c r="K5554" s="87" t="n">
        <x:v>16</x:v>
      </x:c>
      <x:c r="L5554" s="87" t="str">
        <x:v>Развёрнутый ответ</x:v>
      </x:c>
      <x:c r="M5554" s="30" t="str">
        <x:v>Вклад на 4 года под 10%; в начале 3-го и 4-го годов вносится по 15 млн; суммарные проценты не больше 18 млн.</x:v>
      </x:c>
      <x:c r="N5554" s="30" t="str">
        <x:v>Сумма начисленных процентов равна 0,4641P+0,31·15. Неравенство 0,4641P+0,31·15≤18 даёт P≤28.765. Наибольшее целое число миллионов: 28.</x:v>
      </x:c>
      <x:c r="O5554" s="30" t="str">
        <x:v>Содержит полный ход решения и итоговый ответ.</x:v>
      </x:c>
      <x:c r="P5554" s="30" t="str">
        <x:v>Алгебра, геометрия или перебор проверены независимо от приложенных ученических решений.</x:v>
      </x:c>
      <x:c r="Q5554" s="30"/>
      <x:c r="R5554" s="30"/>
      <x:c r="S5554" s="30" t="str">
        <x:v>Независимое решение по исходному заданию</x:v>
      </x:c>
      <x:c r="T5554" s="30"/>
      <x:c r="U5554" s="30" t="str">
        <x:v>Независимая модель решения.</x:v>
      </x:c>
      <x:c r="V5554" s="87" t="str">
        <x:v>VERIFIED</x:v>
      </x:c>
      <x:c r="W5554" s="87"/>
      <x:c r="X5554" s="87" t="n">
        <x:v>3</x:v>
      </x:c>
      <x:c r="Y5554" s="87"/>
      <x:c r="Z5554" s="87"/>
      <x:c r="AA5554" s="87"/>
      <x:c r="AB5554" s="87"/>
      <x:c r="AC5554" s="87" t="str">
        <x:v>VIS-EGKR-MATHP-W25-TASK-954-P003</x:v>
      </x:c>
      <x:c r="AD5554" s="87"/>
      <x:c r="AE5554" s="87" t="str">
        <x:v>TASK</x:v>
      </x:c>
      <x:c r="AF5554" s="87" t="str">
        <x:v>VIS-EGKR-MATHP-W25-TASK-954-P003: 3</x:v>
      </x:c>
      <x:c r="AG5554" s="87" t="str">
        <x:v>RESOLVED</x:v>
      </x:c>
      <x:c r="AH5554" s="87" t="str">
        <x:v>CROP_VERIFIED</x:v>
      </x:c>
      <x:c r="AI5554" s="30"/>
      <x:c r="AJ5554" s="87" t="str">
        <x:v>clean</x:v>
      </x:c>
      <x:c r="AK5554" s="87" t="str">
        <x:v>clean-v0.15</x:v>
      </x:c>
      <x:c r="AL5554" s="87" t="str">
        <x:v>statgrad_clean_continuation_v0_15(1).xlsx</x:v>
      </x:c>
      <x:c r="AM5554" s="87" t="str">
        <x:v>MATHP_EGKR_954</x:v>
      </x:c>
      <x:c r="AN5554" s="87" t="n">
        <x:v>17</x:v>
      </x:c>
    </x:row>
    <x:row r="5555">
      <x:c r="A5555" s="87" t="n">
        <x:v>5554</x:v>
      </x:c>
      <x:c r="B5555" s="87" t="str">
        <x:v>EGKR-W25-MATHP-954-17</x:v>
      </x:c>
      <x:c r="C5555" s="87" t="str">
        <x:v>ЕГКР</x:v>
      </x:c>
      <x:c r="D5555" s="87"/>
      <x:c r="E5555" s="87" t="str">
        <x:v>Зима 2025</x:v>
      </x:c>
      <x:c r="F5555" s="87" t="str">
        <x:v>16.12.2025</x:v>
      </x:c>
      <x:c r="G5555" s="87" t="str">
        <x:v>Математика (профиль)</x:v>
      </x:c>
      <x:c r="H5555" s="87" t="n">
        <x:v>11</x:v>
      </x:c>
      <x:c r="I5555" s="87"/>
      <x:c r="J5555" s="87" t="str">
        <x:v>954</x:v>
      </x:c>
      <x:c r="K5555" s="87" t="n">
        <x:v>17</x:v>
      </x:c>
      <x:c r="L5555" s="87" t="str">
        <x:v>Развёрнутый ответ</x:v>
      </x:c>
      <x:c r="M5555" s="30" t="str">
        <x:v>В треугольнике ABC угол C тупой; BH - высота, P - второе пересечение BH с окружностью; AP - биссектриса. BC=R=7√2.</x:v>
      </x:c>
      <x:c r="N5555" s="30" t="str">
        <x:v>Из ∠BAP=∠PAC следуют равные хорды BP=PC, поэтому BCP равнобедренный. Так как BC=R=2R·sin∠BAC, то ∠A=30°. В треугольнике ABP: ∠BAP=15°, ∠ABP=60°, поэтому ∠APB=105°; отсюда ∠C=105° и ∠B=45°. Тогда AC=2R·sin45°=R√2=14.</x:v>
      </x:c>
      <x:c r="O5555" s="30" t="str">
        <x:v>Содержит полный ход решения и итоговый ответ.</x:v>
      </x:c>
      <x:c r="P5555" s="30" t="str">
        <x:v>Алгебра, геометрия или перебор проверены независимо от приложенных ученических решений.</x:v>
      </x:c>
      <x:c r="Q5555" s="30"/>
      <x:c r="R5555" s="30"/>
      <x:c r="S5555" s="30" t="str">
        <x:v>Независимое решение по исходному заданию</x:v>
      </x:c>
      <x:c r="T5555" s="30"/>
      <x:c r="U5555" s="30" t="str">
        <x:v>Независимая модель решения.</x:v>
      </x:c>
      <x:c r="V5555" s="87" t="str">
        <x:v>VERIFIED</x:v>
      </x:c>
      <x:c r="W5555" s="87"/>
      <x:c r="X5555" s="87" t="n">
        <x:v>3</x:v>
      </x:c>
      <x:c r="Y5555" s="87"/>
      <x:c r="Z5555" s="87"/>
      <x:c r="AA5555" s="87"/>
      <x:c r="AB5555" s="87"/>
      <x:c r="AC5555" s="87" t="str">
        <x:v>VIS-EGKR-MATHP-W25-TASK-954-P003</x:v>
      </x:c>
      <x:c r="AD5555" s="87"/>
      <x:c r="AE5555" s="87" t="str">
        <x:v>TASK</x:v>
      </x:c>
      <x:c r="AF5555" s="87" t="str">
        <x:v>VIS-EGKR-MATHP-W25-TASK-954-P003: 3</x:v>
      </x:c>
      <x:c r="AG5555" s="87" t="str">
        <x:v>RESOLVED</x:v>
      </x:c>
      <x:c r="AH5555" s="87" t="str">
        <x:v>CROP_VERIFIED</x:v>
      </x:c>
      <x:c r="AI5555" s="30"/>
      <x:c r="AJ5555" s="87" t="str">
        <x:v>clean</x:v>
      </x:c>
      <x:c r="AK5555" s="87" t="str">
        <x:v>clean-v0.15</x:v>
      </x:c>
      <x:c r="AL5555" s="87" t="str">
        <x:v>statgrad_clean_continuation_v0_15(1).xlsx</x:v>
      </x:c>
      <x:c r="AM5555" s="87" t="str">
        <x:v>MATHP_EGKR_954</x:v>
      </x:c>
      <x:c r="AN5555" s="87" t="n">
        <x:v>18</x:v>
      </x:c>
    </x:row>
    <x:row r="5556">
      <x:c r="A5556" s="87" t="n">
        <x:v>5555</x:v>
      </x:c>
      <x:c r="B5556" s="87" t="str">
        <x:v>EGKR-W25-MATHP-954-18</x:v>
      </x:c>
      <x:c r="C5556" s="87" t="str">
        <x:v>ЕГКР</x:v>
      </x:c>
      <x:c r="D5556" s="87"/>
      <x:c r="E5556" s="87" t="str">
        <x:v>Зима 2025</x:v>
      </x:c>
      <x:c r="F5556" s="87" t="str">
        <x:v>16.12.2025</x:v>
      </x:c>
      <x:c r="G5556" s="87" t="str">
        <x:v>Математика (профиль)</x:v>
      </x:c>
      <x:c r="H5556" s="87" t="n">
        <x:v>11</x:v>
      </x:c>
      <x:c r="I5556" s="87"/>
      <x:c r="J5556" s="87" t="str">
        <x:v>954</x:v>
      </x:c>
      <x:c r="K5556" s="87" t="n">
        <x:v>18</x:v>
      </x:c>
      <x:c r="L5556" s="87" t="str">
        <x:v>Развёрнутый ответ</x:v>
      </x:c>
      <x:c r="M5556" s="30" t="str">
        <x:v>|x²-ax+9|+|12x-a²|=||x²-ax+9|-|a²-12x||. Найти a, при которых корень единственный.</x:v>
      </x:c>
      <x:c r="N5556" s="30" t="str">
        <x:v>Для U,V≥0 равенство U+V=|U-V| эквивалентно UV=0. Корни задаются x²-ax+9=0 и x=a²/12. При |a|&lt;2·3 квадратное уравнение корней не имеет, остаётся один линейный корень. При a=2·3 двойной корень совпадает с ним; при a=-2·3 получаются два различных корня. Ответ: a∈(-6;6].</x:v>
      </x:c>
      <x:c r="O5556" s="30" t="str">
        <x:v>Содержит полный ход решения и итоговый ответ.</x:v>
      </x:c>
      <x:c r="P5556" s="30" t="str">
        <x:v>Алгебра, геометрия или перебор проверены независимо от приложенных ученических решений.</x:v>
      </x:c>
      <x:c r="Q5556" s="30"/>
      <x:c r="R5556" s="30"/>
      <x:c r="S5556" s="30" t="str">
        <x:v>Независимое решение по исходному заданию</x:v>
      </x:c>
      <x:c r="T5556" s="30"/>
      <x:c r="U5556" s="30" t="str">
        <x:v>Независимая модель решения.</x:v>
      </x:c>
      <x:c r="V5556" s="87" t="str">
        <x:v>VERIFIED</x:v>
      </x:c>
      <x:c r="W5556" s="87"/>
      <x:c r="X5556" s="87" t="n">
        <x:v>3</x:v>
      </x:c>
      <x:c r="Y5556" s="87"/>
      <x:c r="Z5556" s="87"/>
      <x:c r="AA5556" s="87"/>
      <x:c r="AB5556" s="87"/>
      <x:c r="AC5556" s="87" t="str">
        <x:v>VIS-EGKR-MATHP-W25-TASK-954-P003</x:v>
      </x:c>
      <x:c r="AD5556" s="87"/>
      <x:c r="AE5556" s="87" t="str">
        <x:v>TASK</x:v>
      </x:c>
      <x:c r="AF5556" s="87" t="str">
        <x:v>VIS-EGKR-MATHP-W25-TASK-954-P003: 3</x:v>
      </x:c>
      <x:c r="AG5556" s="87" t="str">
        <x:v>RESOLVED</x:v>
      </x:c>
      <x:c r="AH5556" s="87" t="str">
        <x:v>CROP_VERIFIED</x:v>
      </x:c>
      <x:c r="AI5556" s="30"/>
      <x:c r="AJ5556" s="87" t="str">
        <x:v>clean</x:v>
      </x:c>
      <x:c r="AK5556" s="87" t="str">
        <x:v>clean-v0.15</x:v>
      </x:c>
      <x:c r="AL5556" s="87" t="str">
        <x:v>statgrad_clean_continuation_v0_15(1).xlsx</x:v>
      </x:c>
      <x:c r="AM5556" s="87" t="str">
        <x:v>MATHP_EGKR_954</x:v>
      </x:c>
      <x:c r="AN5556" s="87" t="n">
        <x:v>19</x:v>
      </x:c>
    </x:row>
    <x:row r="5557">
      <x:c r="A5557" s="87" t="n">
        <x:v>5556</x:v>
      </x:c>
      <x:c r="B5557" s="87" t="str">
        <x:v>EGKR-W25-MATHP-954-19</x:v>
      </x:c>
      <x:c r="C5557" s="87" t="str">
        <x:v>ЕГКР</x:v>
      </x:c>
      <x:c r="D5557" s="87"/>
      <x:c r="E5557" s="87" t="str">
        <x:v>Зима 2025</x:v>
      </x:c>
      <x:c r="F5557" s="87" t="str">
        <x:v>16.12.2025</x:v>
      </x:c>
      <x:c r="G5557" s="87" t="str">
        <x:v>Математика (профиль)</x:v>
      </x:c>
      <x:c r="H5557" s="87" t="n">
        <x:v>11</x:v>
      </x:c>
      <x:c r="I5557" s="87"/>
      <x:c r="J5557" s="87" t="str">
        <x:v>954</x:v>
      </x:c>
      <x:c r="K5557" s="87" t="n">
        <x:v>19</x:v>
      </x:c>
      <x:c r="L5557" s="87" t="str">
        <x:v>Развёрнутый ответ</x:v>
      </x:c>
      <x:c r="M5557" s="30" t="str">
        <x:v>Конечная геометрическая прогрессия из трёхзначных натуральных чисел начинается с 304; не менее трёх членов. Проверить 475, 266 и найти максимум.</x:v>
      </x:c>
      <x:c r="N5557" s="30" t="str">
        <x:v>Пусть q=m/n в несократимом виде. Для целочисленности первых трёх членов необходимо n²|304; перебор допустимых m/n с сохранением трёхзначности даёт: а) да, q=5/4 даёт 304,380,475; б) нет, 266 не входит ни в одну допустимую последовательность; в) наибольшее возможное число 931, поскольку q=7/4 даёт 304,532,931.</x:v>
      </x:c>
      <x:c r="O5557" s="30" t="str">
        <x:v>Содержит полный ход решения и итоговый ответ.</x:v>
      </x:c>
      <x:c r="P5557" s="30" t="str">
        <x:v>Алгебра, геометрия или перебор проверены независимо от приложенных ученических решений.</x:v>
      </x:c>
      <x:c r="Q5557" s="30"/>
      <x:c r="R5557" s="30"/>
      <x:c r="S5557" s="30" t="str">
        <x:v>Независимое решение по исходному заданию</x:v>
      </x:c>
      <x:c r="T5557" s="30"/>
      <x:c r="U5557" s="30" t="str">
        <x:v>Независимая модель решения.</x:v>
      </x:c>
      <x:c r="V5557" s="87" t="str">
        <x:v>VERIFIED</x:v>
      </x:c>
      <x:c r="W5557" s="87"/>
      <x:c r="X5557" s="87" t="n">
        <x:v>3</x:v>
      </x:c>
      <x:c r="Y5557" s="87"/>
      <x:c r="Z5557" s="87"/>
      <x:c r="AA5557" s="87"/>
      <x:c r="AB5557" s="87"/>
      <x:c r="AC5557" s="87" t="str">
        <x:v>VIS-EGKR-MATHP-W25-TASK-954-P003</x:v>
      </x:c>
      <x:c r="AD5557" s="87"/>
      <x:c r="AE5557" s="87" t="str">
        <x:v>TASK</x:v>
      </x:c>
      <x:c r="AF5557" s="87" t="str">
        <x:v>VIS-EGKR-MATHP-W25-TASK-954-P003: 3</x:v>
      </x:c>
      <x:c r="AG5557" s="87" t="str">
        <x:v>RESOLVED</x:v>
      </x:c>
      <x:c r="AH5557" s="87" t="str">
        <x:v>CROP_VERIFIED</x:v>
      </x:c>
      <x:c r="AI5557" s="30"/>
      <x:c r="AJ5557" s="87" t="str">
        <x:v>clean</x:v>
      </x:c>
      <x:c r="AK5557" s="87" t="str">
        <x:v>clean-v0.15</x:v>
      </x:c>
      <x:c r="AL5557" s="87" t="str">
        <x:v>statgrad_clean_continuation_v0_15(1).xlsx</x:v>
      </x:c>
      <x:c r="AM5557" s="87" t="str">
        <x:v>MATHP_EGKR_954</x:v>
      </x:c>
      <x:c r="AN5557" s="87" t="n">
        <x:v>20</x:v>
      </x:c>
    </x:row>
    <x:row r="5558">
      <x:c r="A5558" s="87" t="n">
        <x:v>5557</x:v>
      </x:c>
      <x:c r="B5558" s="87" t="str">
        <x:v>EGKR-W25-MATHP-955-01</x:v>
      </x:c>
      <x:c r="C5558" s="87" t="str">
        <x:v>ЕГКР</x:v>
      </x:c>
      <x:c r="D5558" s="87"/>
      <x:c r="E5558" s="87" t="str">
        <x:v>Зима 2025</x:v>
      </x:c>
      <x:c r="F5558" s="87" t="str">
        <x:v>16.12.2025</x:v>
      </x:c>
      <x:c r="G5558" s="87" t="str">
        <x:v>Математика (профиль)</x:v>
      </x:c>
      <x:c r="H5558" s="87" t="n">
        <x:v>11</x:v>
      </x:c>
      <x:c r="I5558" s="87"/>
      <x:c r="J5558" s="87" t="str">
        <x:v>955</x:v>
      </x:c>
      <x:c r="K5558" s="87" t="n">
        <x:v>1</x:v>
      </x:c>
      <x:c r="L5558" s="87" t="str">
        <x:v>Краткий ответ</x:v>
      </x:c>
      <x:c r="M5558" s="30" t="str">
        <x:v>Прямоугольник ABCD; K - середина AD; AB=8, BK=10. Найти периметр.</x:v>
      </x:c>
      <x:c r="N5558" s="30" t="str">
        <x:v>40</x:v>
      </x:c>
      <x:c r="O5558" s="30" t="str">
        <x:v>Половина AD находится по теореме Пифагора из треугольника ABK; затем вычисляется периметр.</x:v>
      </x:c>
      <x:c r="P5558" s="30" t="str">
        <x:v>Проверено вычислением и по полной визуальной странице.</x:v>
      </x:c>
      <x:c r="Q5558" s="30"/>
      <x:c r="R5558" s="30"/>
      <x:c r="S5558" s="30" t="str">
        <x:v>Ответы профиль.docx</x:v>
      </x:c>
      <x:c r="T5558" s="30"/>
      <x:c r="U5558" s="30" t="str">
        <x:v>Ответник совпадает с независимой проверкой.</x:v>
      </x:c>
      <x:c r="V5558" s="87" t="str">
        <x:v>VERIFIED</x:v>
      </x:c>
      <x:c r="W5558" s="87"/>
      <x:c r="X5558" s="87" t="n">
        <x:v>1</x:v>
      </x:c>
      <x:c r="Y5558" s="87"/>
      <x:c r="Z5558" s="87"/>
      <x:c r="AA5558" s="87"/>
      <x:c r="AB5558" s="87"/>
      <x:c r="AC5558" s="87" t="str">
        <x:v>VIS-EGKR-MATHP-W25-TASK-955-P001</x:v>
      </x:c>
      <x:c r="AD5558" s="87"/>
      <x:c r="AE5558" s="87" t="str">
        <x:v>TASK</x:v>
      </x:c>
      <x:c r="AF5558" s="87" t="str">
        <x:v>VIS-EGKR-MATHP-W25-TASK-955-P001: 1</x:v>
      </x:c>
      <x:c r="AG5558" s="87" t="str">
        <x:v>RESOLVED</x:v>
      </x:c>
      <x:c r="AH5558" s="87" t="str">
        <x:v>CROP_VERIFIED</x:v>
      </x:c>
      <x:c r="AI5558" s="30"/>
      <x:c r="AJ5558" s="87" t="str">
        <x:v>clean</x:v>
      </x:c>
      <x:c r="AK5558" s="87" t="str">
        <x:v>clean-v0.15</x:v>
      </x:c>
      <x:c r="AL5558" s="87" t="str">
        <x:v>statgrad_clean_continuation_v0_15(1).xlsx</x:v>
      </x:c>
      <x:c r="AM5558" s="87" t="str">
        <x:v>MATHP_EGKR_955</x:v>
      </x:c>
      <x:c r="AN5558" s="87" t="n">
        <x:v>2</x:v>
      </x:c>
    </x:row>
    <x:row r="5559">
      <x:c r="A5559" s="87" t="n">
        <x:v>5558</x:v>
      </x:c>
      <x:c r="B5559" s="87" t="str">
        <x:v>EGKR-W25-MATHP-955-02</x:v>
      </x:c>
      <x:c r="C5559" s="87" t="str">
        <x:v>ЕГКР</x:v>
      </x:c>
      <x:c r="D5559" s="87"/>
      <x:c r="E5559" s="87" t="str">
        <x:v>Зима 2025</x:v>
      </x:c>
      <x:c r="F5559" s="87" t="str">
        <x:v>16.12.2025</x:v>
      </x:c>
      <x:c r="G5559" s="87" t="str">
        <x:v>Математика (профиль)</x:v>
      </x:c>
      <x:c r="H5559" s="87" t="n">
        <x:v>11</x:v>
      </x:c>
      <x:c r="I5559" s="87"/>
      <x:c r="J5559" s="87" t="str">
        <x:v>955</x:v>
      </x:c>
      <x:c r="K5559" s="87" t="n">
        <x:v>2</x:v>
      </x:c>
      <x:c r="L5559" s="87" t="str">
        <x:v>Краткий ответ</x:v>
      </x:c>
      <x:c r="M5559" s="30" t="str">
        <x:v>По координатной сетке найти скалярное произведение векторов a и b.</x:v>
      </x:c>
      <x:c r="N5559" s="30" t="str">
        <x:v>20</x:v>
      </x:c>
      <x:c r="O5559" s="30" t="str">
        <x:v>Координаты векторов считаны по клеткам, после чего вычислено aₓbₓ+aᵧbᵧ.</x:v>
      </x:c>
      <x:c r="P5559" s="30" t="str">
        <x:v>Проверено вычислением и по полной визуальной странице.</x:v>
      </x:c>
      <x:c r="Q5559" s="30"/>
      <x:c r="R5559" s="30"/>
      <x:c r="S5559" s="30" t="str">
        <x:v>Ответы профиль.docx</x:v>
      </x:c>
      <x:c r="T5559" s="30"/>
      <x:c r="U5559" s="30" t="str">
        <x:v>Ответник совпадает с независимой проверкой.</x:v>
      </x:c>
      <x:c r="V5559" s="87" t="str">
        <x:v>VERIFIED</x:v>
      </x:c>
      <x:c r="W5559" s="87"/>
      <x:c r="X5559" s="87" t="n">
        <x:v>1</x:v>
      </x:c>
      <x:c r="Y5559" s="87"/>
      <x:c r="Z5559" s="87"/>
      <x:c r="AA5559" s="87"/>
      <x:c r="AB5559" s="87"/>
      <x:c r="AC5559" s="87" t="str">
        <x:v>VIS-EGKR-MATHP-W25-TASK-955-P001</x:v>
      </x:c>
      <x:c r="AD5559" s="87"/>
      <x:c r="AE5559" s="87" t="str">
        <x:v>TASK</x:v>
      </x:c>
      <x:c r="AF5559" s="87" t="str">
        <x:v>VIS-EGKR-MATHP-W25-TASK-955-P001: 1</x:v>
      </x:c>
      <x:c r="AG5559" s="87" t="str">
        <x:v>RESOLVED</x:v>
      </x:c>
      <x:c r="AH5559" s="87" t="str">
        <x:v>CROP_VERIFIED</x:v>
      </x:c>
      <x:c r="AI5559" s="30"/>
      <x:c r="AJ5559" s="87" t="str">
        <x:v>clean</x:v>
      </x:c>
      <x:c r="AK5559" s="87" t="str">
        <x:v>clean-v0.15</x:v>
      </x:c>
      <x:c r="AL5559" s="87" t="str">
        <x:v>statgrad_clean_continuation_v0_15(1).xlsx</x:v>
      </x:c>
      <x:c r="AM5559" s="87" t="str">
        <x:v>MATHP_EGKR_955</x:v>
      </x:c>
      <x:c r="AN5559" s="87" t="n">
        <x:v>3</x:v>
      </x:c>
    </x:row>
    <x:row r="5560">
      <x:c r="A5560" s="87" t="n">
        <x:v>5559</x:v>
      </x:c>
      <x:c r="B5560" s="87" t="str">
        <x:v>EGKR-W25-MATHP-955-03</x:v>
      </x:c>
      <x:c r="C5560" s="87" t="str">
        <x:v>ЕГКР</x:v>
      </x:c>
      <x:c r="D5560" s="87"/>
      <x:c r="E5560" s="87" t="str">
        <x:v>Зима 2025</x:v>
      </x:c>
      <x:c r="F5560" s="87" t="str">
        <x:v>16.12.2025</x:v>
      </x:c>
      <x:c r="G5560" s="87" t="str">
        <x:v>Математика (профиль)</x:v>
      </x:c>
      <x:c r="H5560" s="87" t="n">
        <x:v>11</x:v>
      </x:c>
      <x:c r="I5560" s="87"/>
      <x:c r="J5560" s="87" t="str">
        <x:v>955</x:v>
      </x:c>
      <x:c r="K5560" s="87" t="n">
        <x:v>3</x:v>
      </x:c>
      <x:c r="L5560" s="87" t="str">
        <x:v>Краткий ответ</x:v>
      </x:c>
      <x:c r="M5560" s="30" t="str">
        <x:v>В кубе K - середина CC₁, M - середина CD. Найти угол между KM и BC₁.</x:v>
      </x:c>
      <x:c r="N5560" s="30" t="str">
        <x:v>60</x:v>
      </x:c>
      <x:c r="O5560" s="30" t="str">
        <x:v>Прямые заменены параллельными векторами куба; угол найден по скалярному произведению.</x:v>
      </x:c>
      <x:c r="P5560" s="30" t="str">
        <x:v>Проверено вычислением и по полной визуальной странице.</x:v>
      </x:c>
      <x:c r="Q5560" s="30"/>
      <x:c r="R5560" s="30"/>
      <x:c r="S5560" s="30" t="str">
        <x:v>Ответы профиль.docx</x:v>
      </x:c>
      <x:c r="T5560" s="30"/>
      <x:c r="U5560" s="30" t="str">
        <x:v>Ответник совпадает с независимой проверкой.</x:v>
      </x:c>
      <x:c r="V5560" s="87" t="str">
        <x:v>VERIFIED</x:v>
      </x:c>
      <x:c r="W5560" s="87"/>
      <x:c r="X5560" s="87" t="n">
        <x:v>1</x:v>
      </x:c>
      <x:c r="Y5560" s="87"/>
      <x:c r="Z5560" s="87"/>
      <x:c r="AA5560" s="87"/>
      <x:c r="AB5560" s="87"/>
      <x:c r="AC5560" s="87" t="str">
        <x:v>VIS-EGKR-MATHP-W25-TASK-955-P001</x:v>
      </x:c>
      <x:c r="AD5560" s="87"/>
      <x:c r="AE5560" s="87" t="str">
        <x:v>TASK</x:v>
      </x:c>
      <x:c r="AF5560" s="87" t="str">
        <x:v>VIS-EGKR-MATHP-W25-TASK-955-P001: 1</x:v>
      </x:c>
      <x:c r="AG5560" s="87" t="str">
        <x:v>RESOLVED</x:v>
      </x:c>
      <x:c r="AH5560" s="87" t="str">
        <x:v>CROP_VERIFIED</x:v>
      </x:c>
      <x:c r="AI5560" s="30"/>
      <x:c r="AJ5560" s="87" t="str">
        <x:v>clean</x:v>
      </x:c>
      <x:c r="AK5560" s="87" t="str">
        <x:v>clean-v0.15</x:v>
      </x:c>
      <x:c r="AL5560" s="87" t="str">
        <x:v>statgrad_clean_continuation_v0_15(1).xlsx</x:v>
      </x:c>
      <x:c r="AM5560" s="87" t="str">
        <x:v>MATHP_EGKR_955</x:v>
      </x:c>
      <x:c r="AN5560" s="87" t="n">
        <x:v>4</x:v>
      </x:c>
    </x:row>
    <x:row r="5561">
      <x:c r="A5561" s="87" t="n">
        <x:v>5560</x:v>
      </x:c>
      <x:c r="B5561" s="87" t="str">
        <x:v>EGKR-W25-MATHP-955-04</x:v>
      </x:c>
      <x:c r="C5561" s="87" t="str">
        <x:v>ЕГКР</x:v>
      </x:c>
      <x:c r="D5561" s="87"/>
      <x:c r="E5561" s="87" t="str">
        <x:v>Зима 2025</x:v>
      </x:c>
      <x:c r="F5561" s="87" t="str">
        <x:v>16.12.2025</x:v>
      </x:c>
      <x:c r="G5561" s="87" t="str">
        <x:v>Математика (профиль)</x:v>
      </x:c>
      <x:c r="H5561" s="87" t="n">
        <x:v>11</x:v>
      </x:c>
      <x:c r="I5561" s="87"/>
      <x:c r="J5561" s="87" t="str">
        <x:v>955</x:v>
      </x:c>
      <x:c r="K5561" s="87" t="n">
        <x:v>4</x:v>
      </x:c>
      <x:c r="L5561" s="87" t="str">
        <x:v>Краткий ответ</x:v>
      </x:c>
      <x:c r="M5561" s="30" t="str">
        <x:v>Карточки с целыми числами 4-42; добавить карточку с суммой чётных. Найти вероятность нечётного числа.</x:v>
      </x:c>
      <x:c r="N5561" s="30" t="str">
        <x:v>0,475</x:v>
      </x:c>
      <x:c r="O5561" s="30" t="str">
        <x:v>Добавленная сумма чётных остаётся чётной; число нечётных карточек делится на новое общее число.</x:v>
      </x:c>
      <x:c r="P5561" s="30" t="str">
        <x:v>Проверено вычислением и по полной визуальной странице.</x:v>
      </x:c>
      <x:c r="Q5561" s="30"/>
      <x:c r="R5561" s="30"/>
      <x:c r="S5561" s="30" t="str">
        <x:v>Ответы профиль.docx</x:v>
      </x:c>
      <x:c r="T5561" s="30"/>
      <x:c r="U5561" s="30" t="str">
        <x:v>Ответник совпадает с независимой проверкой.</x:v>
      </x:c>
      <x:c r="V5561" s="87" t="str">
        <x:v>VERIFIED</x:v>
      </x:c>
      <x:c r="W5561" s="87"/>
      <x:c r="X5561" s="87" t="n">
        <x:v>2</x:v>
      </x:c>
      <x:c r="Y5561" s="87"/>
      <x:c r="Z5561" s="87"/>
      <x:c r="AA5561" s="87"/>
      <x:c r="AB5561" s="87"/>
      <x:c r="AC5561" s="87" t="str">
        <x:v>VIS-EGKR-MATHP-W25-TASK-955-P002</x:v>
      </x:c>
      <x:c r="AD5561" s="87"/>
      <x:c r="AE5561" s="87" t="str">
        <x:v>TASK</x:v>
      </x:c>
      <x:c r="AF5561" s="87" t="str">
        <x:v>VIS-EGKR-MATHP-W25-TASK-955-P002: 2</x:v>
      </x:c>
      <x:c r="AG5561" s="87" t="str">
        <x:v>RESOLVED</x:v>
      </x:c>
      <x:c r="AH5561" s="87" t="str">
        <x:v>CROP_VERIFIED</x:v>
      </x:c>
      <x:c r="AI5561" s="30"/>
      <x:c r="AJ5561" s="87" t="str">
        <x:v>clean</x:v>
      </x:c>
      <x:c r="AK5561" s="87" t="str">
        <x:v>clean-v0.15</x:v>
      </x:c>
      <x:c r="AL5561" s="87" t="str">
        <x:v>statgrad_clean_continuation_v0_15(1).xlsx</x:v>
      </x:c>
      <x:c r="AM5561" s="87" t="str">
        <x:v>MATHP_EGKR_955</x:v>
      </x:c>
      <x:c r="AN5561" s="87" t="n">
        <x:v>5</x:v>
      </x:c>
    </x:row>
    <x:row r="5562">
      <x:c r="A5562" s="87" t="n">
        <x:v>5561</x:v>
      </x:c>
      <x:c r="B5562" s="87" t="str">
        <x:v>EGKR-W25-MATHP-955-05</x:v>
      </x:c>
      <x:c r="C5562" s="87" t="str">
        <x:v>ЕГКР</x:v>
      </x:c>
      <x:c r="D5562" s="87"/>
      <x:c r="E5562" s="87" t="str">
        <x:v>Зима 2025</x:v>
      </x:c>
      <x:c r="F5562" s="87" t="str">
        <x:v>16.12.2025</x:v>
      </x:c>
      <x:c r="G5562" s="87" t="str">
        <x:v>Математика (профиль)</x:v>
      </x:c>
      <x:c r="H5562" s="87" t="n">
        <x:v>11</x:v>
      </x:c>
      <x:c r="I5562" s="87"/>
      <x:c r="J5562" s="87" t="str">
        <x:v>955</x:v>
      </x:c>
      <x:c r="K5562" s="87" t="n">
        <x:v>5</x:v>
      </x:c>
      <x:c r="L5562" s="87" t="str">
        <x:v>Краткий ответ</x:v>
      </x:c>
      <x:c r="M5562" s="30" t="str">
        <x:v>Три линии с долями загрузки 20%, 30%, 50% и браком 4%, 3%, 2%. Найти общую вероятность брака.</x:v>
      </x:c>
      <x:c r="N5562" s="30" t="str">
        <x:v>0,027</x:v>
      </x:c>
      <x:c r="O5562" s="30" t="str">
        <x:v>Использована формула полной вероятности с весами 0,2; 0,3; 0,5.</x:v>
      </x:c>
      <x:c r="P5562" s="30" t="str">
        <x:v>Проверено вычислением и по полной визуальной странице.</x:v>
      </x:c>
      <x:c r="Q5562" s="30"/>
      <x:c r="R5562" s="30"/>
      <x:c r="S5562" s="30" t="str">
        <x:v>Ответы профиль.docx</x:v>
      </x:c>
      <x:c r="T5562" s="30"/>
      <x:c r="U5562" s="30" t="str">
        <x:v>Ответник совпадает с независимой проверкой.</x:v>
      </x:c>
      <x:c r="V5562" s="87" t="str">
        <x:v>VERIFIED</x:v>
      </x:c>
      <x:c r="W5562" s="87"/>
      <x:c r="X5562" s="87" t="n">
        <x:v>2</x:v>
      </x:c>
      <x:c r="Y5562" s="87"/>
      <x:c r="Z5562" s="87"/>
      <x:c r="AA5562" s="87"/>
      <x:c r="AB5562" s="87"/>
      <x:c r="AC5562" s="87" t="str">
        <x:v>VIS-EGKR-MATHP-W25-TASK-955-P002</x:v>
      </x:c>
      <x:c r="AD5562" s="87"/>
      <x:c r="AE5562" s="87" t="str">
        <x:v>TASK</x:v>
      </x:c>
      <x:c r="AF5562" s="87" t="str">
        <x:v>VIS-EGKR-MATHP-W25-TASK-955-P002: 2</x:v>
      </x:c>
      <x:c r="AG5562" s="87" t="str">
        <x:v>RESOLVED</x:v>
      </x:c>
      <x:c r="AH5562" s="87" t="str">
        <x:v>CROP_VERIFIED</x:v>
      </x:c>
      <x:c r="AI5562" s="30"/>
      <x:c r="AJ5562" s="87" t="str">
        <x:v>clean</x:v>
      </x:c>
      <x:c r="AK5562" s="87" t="str">
        <x:v>clean-v0.15</x:v>
      </x:c>
      <x:c r="AL5562" s="87" t="str">
        <x:v>statgrad_clean_continuation_v0_15(1).xlsx</x:v>
      </x:c>
      <x:c r="AM5562" s="87" t="str">
        <x:v>MATHP_EGKR_955</x:v>
      </x:c>
      <x:c r="AN5562" s="87" t="n">
        <x:v>6</x:v>
      </x:c>
    </x:row>
    <x:row r="5563">
      <x:c r="A5563" s="87" t="n">
        <x:v>5562</x:v>
      </x:c>
      <x:c r="B5563" s="87" t="str">
        <x:v>EGKR-W25-MATHP-955-06</x:v>
      </x:c>
      <x:c r="C5563" s="87" t="str">
        <x:v>ЕГКР</x:v>
      </x:c>
      <x:c r="D5563" s="87"/>
      <x:c r="E5563" s="87" t="str">
        <x:v>Зима 2025</x:v>
      </x:c>
      <x:c r="F5563" s="87" t="str">
        <x:v>16.12.2025</x:v>
      </x:c>
      <x:c r="G5563" s="87" t="str">
        <x:v>Математика (профиль)</x:v>
      </x:c>
      <x:c r="H5563" s="87" t="n">
        <x:v>11</x:v>
      </x:c>
      <x:c r="I5563" s="87"/>
      <x:c r="J5563" s="87" t="str">
        <x:v>955</x:v>
      </x:c>
      <x:c r="K5563" s="87" t="n">
        <x:v>6</x:v>
      </x:c>
      <x:c r="L5563" s="87" t="str">
        <x:v>Краткий ответ</x:v>
      </x:c>
      <x:c r="M5563" s="30" t="str">
        <x:v>Решить уравнение 3^x=(1/3)^(x+10).</x:v>
      </x:c>
      <x:c r="N5563" s="30" t="str">
        <x:v>-5</x:v>
      </x:c>
      <x:c r="O5563" s="30" t="str">
        <x:v>Правая часть записана как степень того же основания; показатели приравнены.</x:v>
      </x:c>
      <x:c r="P5563" s="30" t="str">
        <x:v>Проверено вычислением и по полной визуальной странице.</x:v>
      </x:c>
      <x:c r="Q5563" s="30"/>
      <x:c r="R5563" s="30"/>
      <x:c r="S5563" s="30" t="str">
        <x:v>Ответы профиль.docx</x:v>
      </x:c>
      <x:c r="T5563" s="30"/>
      <x:c r="U5563" s="30" t="str">
        <x:v>Ответник совпадает с независимой проверкой.</x:v>
      </x:c>
      <x:c r="V5563" s="87" t="str">
        <x:v>VERIFIED</x:v>
      </x:c>
      <x:c r="W5563" s="87"/>
      <x:c r="X5563" s="87" t="n">
        <x:v>2</x:v>
      </x:c>
      <x:c r="Y5563" s="87"/>
      <x:c r="Z5563" s="87"/>
      <x:c r="AA5563" s="87"/>
      <x:c r="AB5563" s="87"/>
      <x:c r="AC5563" s="87" t="str">
        <x:v>VIS-EGKR-MATHP-W25-TASK-955-P002</x:v>
      </x:c>
      <x:c r="AD5563" s="87"/>
      <x:c r="AE5563" s="87" t="str">
        <x:v>TASK</x:v>
      </x:c>
      <x:c r="AF5563" s="87" t="str">
        <x:v>VIS-EGKR-MATHP-W25-TASK-955-P002: 2</x:v>
      </x:c>
      <x:c r="AG5563" s="87" t="str">
        <x:v>RESOLVED</x:v>
      </x:c>
      <x:c r="AH5563" s="87" t="str">
        <x:v>CROP_VERIFIED</x:v>
      </x:c>
      <x:c r="AI5563" s="30"/>
      <x:c r="AJ5563" s="87" t="str">
        <x:v>clean</x:v>
      </x:c>
      <x:c r="AK5563" s="87" t="str">
        <x:v>clean-v0.15</x:v>
      </x:c>
      <x:c r="AL5563" s="87" t="str">
        <x:v>statgrad_clean_continuation_v0_15(1).xlsx</x:v>
      </x:c>
      <x:c r="AM5563" s="87" t="str">
        <x:v>MATHP_EGKR_955</x:v>
      </x:c>
      <x:c r="AN5563" s="87" t="n">
        <x:v>7</x:v>
      </x:c>
    </x:row>
    <x:row r="5564">
      <x:c r="A5564" s="87" t="n">
        <x:v>5563</x:v>
      </x:c>
      <x:c r="B5564" s="87" t="str">
        <x:v>EGKR-W25-MATHP-955-07</x:v>
      </x:c>
      <x:c r="C5564" s="87" t="str">
        <x:v>ЕГКР</x:v>
      </x:c>
      <x:c r="D5564" s="87"/>
      <x:c r="E5564" s="87" t="str">
        <x:v>Зима 2025</x:v>
      </x:c>
      <x:c r="F5564" s="87" t="str">
        <x:v>16.12.2025</x:v>
      </x:c>
      <x:c r="G5564" s="87" t="str">
        <x:v>Математика (профиль)</x:v>
      </x:c>
      <x:c r="H5564" s="87" t="n">
        <x:v>11</x:v>
      </x:c>
      <x:c r="I5564" s="87"/>
      <x:c r="J5564" s="87" t="str">
        <x:v>955</x:v>
      </x:c>
      <x:c r="K5564" s="87" t="n">
        <x:v>7</x:v>
      </x:c>
      <x:c r="L5564" s="87" t="str">
        <x:v>Краткий ответ</x:v>
      </x:c>
      <x:c r="M5564" s="30" t="str">
        <x:v>Вычислить √2 cos(π/4)-sin(π/6).</x:v>
      </x:c>
      <x:c r="N5564" s="30" t="str">
        <x:v>0,5</x:v>
      </x:c>
      <x:c r="O5564" s="30" t="str">
        <x:v>Подставлены табличные значения синуса и косинуса.</x:v>
      </x:c>
      <x:c r="P5564" s="30" t="str">
        <x:v>Проверено вычислением и по полной визуальной странице.</x:v>
      </x:c>
      <x:c r="Q5564" s="30"/>
      <x:c r="R5564" s="30"/>
      <x:c r="S5564" s="30" t="str">
        <x:v>Ответы профиль.docx</x:v>
      </x:c>
      <x:c r="T5564" s="30"/>
      <x:c r="U5564" s="30" t="str">
        <x:v>Ответник совпадает с независимой проверкой.</x:v>
      </x:c>
      <x:c r="V5564" s="87" t="str">
        <x:v>VERIFIED</x:v>
      </x:c>
      <x:c r="W5564" s="87"/>
      <x:c r="X5564" s="87" t="n">
        <x:v>2</x:v>
      </x:c>
      <x:c r="Y5564" s="87"/>
      <x:c r="Z5564" s="87"/>
      <x:c r="AA5564" s="87"/>
      <x:c r="AB5564" s="87"/>
      <x:c r="AC5564" s="87" t="str">
        <x:v>VIS-EGKR-MATHP-W25-TASK-955-P002</x:v>
      </x:c>
      <x:c r="AD5564" s="87"/>
      <x:c r="AE5564" s="87" t="str">
        <x:v>TASK</x:v>
      </x:c>
      <x:c r="AF5564" s="87" t="str">
        <x:v>VIS-EGKR-MATHP-W25-TASK-955-P002: 2</x:v>
      </x:c>
      <x:c r="AG5564" s="87" t="str">
        <x:v>RESOLVED</x:v>
      </x:c>
      <x:c r="AH5564" s="87" t="str">
        <x:v>CROP_VERIFIED</x:v>
      </x:c>
      <x:c r="AI5564" s="30"/>
      <x:c r="AJ5564" s="87" t="str">
        <x:v>clean</x:v>
      </x:c>
      <x:c r="AK5564" s="87" t="str">
        <x:v>clean-v0.15</x:v>
      </x:c>
      <x:c r="AL5564" s="87" t="str">
        <x:v>statgrad_clean_continuation_v0_15(1).xlsx</x:v>
      </x:c>
      <x:c r="AM5564" s="87" t="str">
        <x:v>MATHP_EGKR_955</x:v>
      </x:c>
      <x:c r="AN5564" s="87" t="n">
        <x:v>8</x:v>
      </x:c>
    </x:row>
    <x:row r="5565">
      <x:c r="A5565" s="87" t="n">
        <x:v>5564</x:v>
      </x:c>
      <x:c r="B5565" s="87" t="str">
        <x:v>EGKR-W25-MATHP-955-08</x:v>
      </x:c>
      <x:c r="C5565" s="87" t="str">
        <x:v>ЕГКР</x:v>
      </x:c>
      <x:c r="D5565" s="87"/>
      <x:c r="E5565" s="87" t="str">
        <x:v>Зима 2025</x:v>
      </x:c>
      <x:c r="F5565" s="87" t="str">
        <x:v>16.12.2025</x:v>
      </x:c>
      <x:c r="G5565" s="87" t="str">
        <x:v>Математика (профиль)</x:v>
      </x:c>
      <x:c r="H5565" s="87" t="n">
        <x:v>11</x:v>
      </x:c>
      <x:c r="I5565" s="87"/>
      <x:c r="J5565" s="87" t="str">
        <x:v>955</x:v>
      </x:c>
      <x:c r="K5565" s="87" t="n">
        <x:v>8</x:v>
      </x:c>
      <x:c r="L5565" s="87" t="str">
        <x:v>Краткий ответ</x:v>
      </x:c>
      <x:c r="M5565" s="30" t="str">
        <x:v>По графику f на интервале (-7;5) посчитать целые x, где f'(x)&gt;0.</x:v>
      </x:c>
      <x:c r="N5565" s="30" t="str">
        <x:v>3</x:v>
      </x:c>
      <x:c r="O5565" s="30" t="str">
        <x:v>Посчитаны целые абсциссы на участках возрастания графика.</x:v>
      </x:c>
      <x:c r="P5565" s="30" t="str">
        <x:v>Проверено вычислением и по полной визуальной странице.</x:v>
      </x:c>
      <x:c r="Q5565" s="30"/>
      <x:c r="R5565" s="30"/>
      <x:c r="S5565" s="30" t="str">
        <x:v>Ответы профиль.docx</x:v>
      </x:c>
      <x:c r="T5565" s="30"/>
      <x:c r="U5565" s="30" t="str">
        <x:v>Ответник совпадает с независимой проверкой.</x:v>
      </x:c>
      <x:c r="V5565" s="87" t="str">
        <x:v>VERIFIED</x:v>
      </x:c>
      <x:c r="W5565" s="87"/>
      <x:c r="X5565" s="87" t="n">
        <x:v>2</x:v>
      </x:c>
      <x:c r="Y5565" s="87"/>
      <x:c r="Z5565" s="87"/>
      <x:c r="AA5565" s="87"/>
      <x:c r="AB5565" s="87"/>
      <x:c r="AC5565" s="87" t="str">
        <x:v>VIS-EGKR-MATHP-W25-TASK-955-P002</x:v>
      </x:c>
      <x:c r="AD5565" s="87"/>
      <x:c r="AE5565" s="87" t="str">
        <x:v>TASK</x:v>
      </x:c>
      <x:c r="AF5565" s="87" t="str">
        <x:v>VIS-EGKR-MATHP-W25-TASK-955-P002: 2</x:v>
      </x:c>
      <x:c r="AG5565" s="87" t="str">
        <x:v>RESOLVED</x:v>
      </x:c>
      <x:c r="AH5565" s="87" t="str">
        <x:v>CROP_VERIFIED</x:v>
      </x:c>
      <x:c r="AI5565" s="30"/>
      <x:c r="AJ5565" s="87" t="str">
        <x:v>clean</x:v>
      </x:c>
      <x:c r="AK5565" s="87" t="str">
        <x:v>clean-v0.15</x:v>
      </x:c>
      <x:c r="AL5565" s="87" t="str">
        <x:v>statgrad_clean_continuation_v0_15(1).xlsx</x:v>
      </x:c>
      <x:c r="AM5565" s="87" t="str">
        <x:v>MATHP_EGKR_955</x:v>
      </x:c>
      <x:c r="AN5565" s="87" t="n">
        <x:v>9</x:v>
      </x:c>
    </x:row>
    <x:row r="5566">
      <x:c r="A5566" s="87" t="n">
        <x:v>5565</x:v>
      </x:c>
      <x:c r="B5566" s="87" t="str">
        <x:v>EGKR-W25-MATHP-955-09</x:v>
      </x:c>
      <x:c r="C5566" s="87" t="str">
        <x:v>ЕГКР</x:v>
      </x:c>
      <x:c r="D5566" s="87"/>
      <x:c r="E5566" s="87" t="str">
        <x:v>Зима 2025</x:v>
      </x:c>
      <x:c r="F5566" s="87" t="str">
        <x:v>16.12.2025</x:v>
      </x:c>
      <x:c r="G5566" s="87" t="str">
        <x:v>Математика (профиль)</x:v>
      </x:c>
      <x:c r="H5566" s="87" t="n">
        <x:v>11</x:v>
      </x:c>
      <x:c r="I5566" s="87"/>
      <x:c r="J5566" s="87" t="str">
        <x:v>955</x:v>
      </x:c>
      <x:c r="K5566" s="87" t="n">
        <x:v>9</x:v>
      </x:c>
      <x:c r="L5566" s="87" t="str">
        <x:v>Краткий ответ</x:v>
      </x:c>
      <x:c r="M5566" s="30" t="str">
        <x:v>Высота воды задана квадратным законом (H₀=6). Найти время до опустошения.</x:v>
      </x:c>
      <x:c r="N5566" s="30" t="str">
        <x:v>18</x:v>
      </x:c>
      <x:c r="O5566" s="30" t="str">
        <x:v>Решено H(t)=0 и выбран физически допустимый положительный корень.</x:v>
      </x:c>
      <x:c r="P5566" s="30" t="str">
        <x:v>Проверено вычислением и по полной визуальной странице.</x:v>
      </x:c>
      <x:c r="Q5566" s="30"/>
      <x:c r="R5566" s="30"/>
      <x:c r="S5566" s="30" t="str">
        <x:v>Ответы профиль.docx</x:v>
      </x:c>
      <x:c r="T5566" s="30"/>
      <x:c r="U5566" s="30" t="str">
        <x:v>Ответник совпадает с независимой проверкой.</x:v>
      </x:c>
      <x:c r="V5566" s="87" t="str">
        <x:v>VERIFIED</x:v>
      </x:c>
      <x:c r="W5566" s="87"/>
      <x:c r="X5566" s="87" t="n">
        <x:v>2</x:v>
      </x:c>
      <x:c r="Y5566" s="87"/>
      <x:c r="Z5566" s="87"/>
      <x:c r="AA5566" s="87"/>
      <x:c r="AB5566" s="87"/>
      <x:c r="AC5566" s="87" t="str">
        <x:v>VIS-EGKR-MATHP-W25-TASK-955-P002</x:v>
      </x:c>
      <x:c r="AD5566" s="87"/>
      <x:c r="AE5566" s="87" t="str">
        <x:v>TASK</x:v>
      </x:c>
      <x:c r="AF5566" s="87" t="str">
        <x:v>VIS-EGKR-MATHP-W25-TASK-955-P002: 2</x:v>
      </x:c>
      <x:c r="AG5566" s="87" t="str">
        <x:v>RESOLVED</x:v>
      </x:c>
      <x:c r="AH5566" s="87" t="str">
        <x:v>CROP_VERIFIED</x:v>
      </x:c>
      <x:c r="AI5566" s="30"/>
      <x:c r="AJ5566" s="87" t="str">
        <x:v>clean</x:v>
      </x:c>
      <x:c r="AK5566" s="87" t="str">
        <x:v>clean-v0.15</x:v>
      </x:c>
      <x:c r="AL5566" s="87" t="str">
        <x:v>statgrad_clean_continuation_v0_15(1).xlsx</x:v>
      </x:c>
      <x:c r="AM5566" s="87" t="str">
        <x:v>MATHP_EGKR_955</x:v>
      </x:c>
      <x:c r="AN5566" s="87" t="n">
        <x:v>10</x:v>
      </x:c>
    </x:row>
    <x:row r="5567">
      <x:c r="A5567" s="87" t="n">
        <x:v>5566</x:v>
      </x:c>
      <x:c r="B5567" s="87" t="str">
        <x:v>EGKR-W25-MATHP-955-10</x:v>
      </x:c>
      <x:c r="C5567" s="87" t="str">
        <x:v>ЕГКР</x:v>
      </x:c>
      <x:c r="D5567" s="87"/>
      <x:c r="E5567" s="87" t="str">
        <x:v>Зима 2025</x:v>
      </x:c>
      <x:c r="F5567" s="87" t="str">
        <x:v>16.12.2025</x:v>
      </x:c>
      <x:c r="G5567" s="87" t="str">
        <x:v>Математика (профиль)</x:v>
      </x:c>
      <x:c r="H5567" s="87" t="n">
        <x:v>11</x:v>
      </x:c>
      <x:c r="I5567" s="87"/>
      <x:c r="J5567" s="87" t="str">
        <x:v>955</x:v>
      </x:c>
      <x:c r="K5567" s="87" t="n">
        <x:v>10</x:v>
      </x:c>
      <x:c r="L5567" s="87" t="str">
        <x:v>Краткий ответ</x:v>
      </x:c>
      <x:c r="M5567" s="30" t="str">
        <x:v>Посёлок C между A и B; AC=39; мотоцикл вдвое быстрее грузовика. Найти AB.</x:v>
      </x:c>
      <x:c r="N5567" s="30" t="str">
        <x:v>117</x:v>
      </x:c>
      <x:c r="O5567" s="30" t="str">
        <x:v>Равенство времени даёт AC/v=(AB-AC)/(2v), следовательно AB=3AC.</x:v>
      </x:c>
      <x:c r="P5567" s="30" t="str">
        <x:v>Проверено вычислением и по полной визуальной странице.</x:v>
      </x:c>
      <x:c r="Q5567" s="30"/>
      <x:c r="R5567" s="30"/>
      <x:c r="S5567" s="30" t="str">
        <x:v>Ответы профиль.docx</x:v>
      </x:c>
      <x:c r="T5567" s="30"/>
      <x:c r="U5567" s="30" t="str">
        <x:v>Ответник совпадает с независимой проверкой.</x:v>
      </x:c>
      <x:c r="V5567" s="87" t="str">
        <x:v>VERIFIED</x:v>
      </x:c>
      <x:c r="W5567" s="87"/>
      <x:c r="X5567" s="87" t="n">
        <x:v>2</x:v>
      </x:c>
      <x:c r="Y5567" s="87"/>
      <x:c r="Z5567" s="87"/>
      <x:c r="AA5567" s="87"/>
      <x:c r="AB5567" s="87"/>
      <x:c r="AC5567" s="87" t="str">
        <x:v>VIS-EGKR-MATHP-W25-TASK-955-P002</x:v>
      </x:c>
      <x:c r="AD5567" s="87"/>
      <x:c r="AE5567" s="87" t="str">
        <x:v>TASK</x:v>
      </x:c>
      <x:c r="AF5567" s="87" t="str">
        <x:v>VIS-EGKR-MATHP-W25-TASK-955-P002: 2</x:v>
      </x:c>
      <x:c r="AG5567" s="87" t="str">
        <x:v>RESOLVED</x:v>
      </x:c>
      <x:c r="AH5567" s="87" t="str">
        <x:v>CROP_VERIFIED</x:v>
      </x:c>
      <x:c r="AI5567" s="30"/>
      <x:c r="AJ5567" s="87" t="str">
        <x:v>clean</x:v>
      </x:c>
      <x:c r="AK5567" s="87" t="str">
        <x:v>clean-v0.15</x:v>
      </x:c>
      <x:c r="AL5567" s="87" t="str">
        <x:v>statgrad_clean_continuation_v0_15(1).xlsx</x:v>
      </x:c>
      <x:c r="AM5567" s="87" t="str">
        <x:v>MATHP_EGKR_955</x:v>
      </x:c>
      <x:c r="AN5567" s="87" t="n">
        <x:v>11</x:v>
      </x:c>
    </x:row>
    <x:row r="5568">
      <x:c r="A5568" s="87" t="n">
        <x:v>5567</x:v>
      </x:c>
      <x:c r="B5568" s="87" t="str">
        <x:v>EGKR-W25-MATHP-955-11</x:v>
      </x:c>
      <x:c r="C5568" s="87" t="str">
        <x:v>ЕГКР</x:v>
      </x:c>
      <x:c r="D5568" s="87"/>
      <x:c r="E5568" s="87" t="str">
        <x:v>Зима 2025</x:v>
      </x:c>
      <x:c r="F5568" s="87" t="str">
        <x:v>16.12.2025</x:v>
      </x:c>
      <x:c r="G5568" s="87" t="str">
        <x:v>Математика (профиль)</x:v>
      </x:c>
      <x:c r="H5568" s="87" t="n">
        <x:v>11</x:v>
      </x:c>
      <x:c r="I5568" s="87"/>
      <x:c r="J5568" s="87" t="str">
        <x:v>955</x:v>
      </x:c>
      <x:c r="K5568" s="87" t="n">
        <x:v>11</x:v>
      </x:c>
      <x:c r="L5568" s="87" t="str">
        <x:v>Краткий ответ</x:v>
      </x:c>
      <x:c r="M5568" s="30" t="str">
        <x:v>По графикам степенной и линейной функций найти ординату точки пересечения A.</x:v>
      </x:c>
      <x:c r="N5568" s="30" t="str">
        <x:v>-20</x:v>
      </x:c>
      <x:c r="O5568" s="30" t="str">
        <x:v>Ордината точки A считана непосредственно по координатной сетке.</x:v>
      </x:c>
      <x:c r="P5568" s="30" t="str">
        <x:v>Проверено вычислением и по полной визуальной странице.</x:v>
      </x:c>
      <x:c r="Q5568" s="30"/>
      <x:c r="R5568" s="30"/>
      <x:c r="S5568" s="30" t="str">
        <x:v>Ответы профиль.docx</x:v>
      </x:c>
      <x:c r="T5568" s="30"/>
      <x:c r="U5568" s="30" t="str">
        <x:v>Ответник совпадает с независимой проверкой.</x:v>
      </x:c>
      <x:c r="V5568" s="87" t="str">
        <x:v>VERIFIED</x:v>
      </x:c>
      <x:c r="W5568" s="87"/>
      <x:c r="X5568" s="87" t="n">
        <x:v>2</x:v>
      </x:c>
      <x:c r="Y5568" s="87"/>
      <x:c r="Z5568" s="87"/>
      <x:c r="AA5568" s="87"/>
      <x:c r="AB5568" s="87"/>
      <x:c r="AC5568" s="87" t="str">
        <x:v>VIS-EGKR-MATHP-W25-TASK-955-P002</x:v>
      </x:c>
      <x:c r="AD5568" s="87"/>
      <x:c r="AE5568" s="87" t="str">
        <x:v>TASK</x:v>
      </x:c>
      <x:c r="AF5568" s="87" t="str">
        <x:v>VIS-EGKR-MATHP-W25-TASK-955-P002: 2</x:v>
      </x:c>
      <x:c r="AG5568" s="87" t="str">
        <x:v>RESOLVED</x:v>
      </x:c>
      <x:c r="AH5568" s="87" t="str">
        <x:v>CROP_VERIFIED</x:v>
      </x:c>
      <x:c r="AI5568" s="30"/>
      <x:c r="AJ5568" s="87" t="str">
        <x:v>clean</x:v>
      </x:c>
      <x:c r="AK5568" s="87" t="str">
        <x:v>clean-v0.15</x:v>
      </x:c>
      <x:c r="AL5568" s="87" t="str">
        <x:v>statgrad_clean_continuation_v0_15(1).xlsx</x:v>
      </x:c>
      <x:c r="AM5568" s="87" t="str">
        <x:v>MATHP_EGKR_955</x:v>
      </x:c>
      <x:c r="AN5568" s="87" t="n">
        <x:v>12</x:v>
      </x:c>
    </x:row>
    <x:row r="5569">
      <x:c r="A5569" s="87" t="n">
        <x:v>5568</x:v>
      </x:c>
      <x:c r="B5569" s="87" t="str">
        <x:v>EGKR-W25-MATHP-955-12</x:v>
      </x:c>
      <x:c r="C5569" s="87" t="str">
        <x:v>ЕГКР</x:v>
      </x:c>
      <x:c r="D5569" s="87"/>
      <x:c r="E5569" s="87" t="str">
        <x:v>Зима 2025</x:v>
      </x:c>
      <x:c r="F5569" s="87" t="str">
        <x:v>16.12.2025</x:v>
      </x:c>
      <x:c r="G5569" s="87" t="str">
        <x:v>Математика (профиль)</x:v>
      </x:c>
      <x:c r="H5569" s="87" t="n">
        <x:v>11</x:v>
      </x:c>
      <x:c r="I5569" s="87"/>
      <x:c r="J5569" s="87" t="str">
        <x:v>955</x:v>
      </x:c>
      <x:c r="K5569" s="87" t="n">
        <x:v>12</x:v>
      </x:c>
      <x:c r="L5569" s="87" t="str">
        <x:v>Краткий ответ</x:v>
      </x:c>
      <x:c r="M5569" s="30" t="str">
        <x:v>Для f=x²+4x, g=9x-3 решить равенство производных.</x:v>
      </x:c>
      <x:c r="N5569" s="30" t="str">
        <x:v>2,5</x:v>
      </x:c>
      <x:c r="O5569" s="30" t="str">
        <x:v>Вычислены производные и решено линейное уравнение.</x:v>
      </x:c>
      <x:c r="P5569" s="30" t="str">
        <x:v>Проверено вычислением и по полной визуальной странице.</x:v>
      </x:c>
      <x:c r="Q5569" s="30"/>
      <x:c r="R5569" s="30"/>
      <x:c r="S5569" s="30" t="str">
        <x:v>Ответы профиль.docx</x:v>
      </x:c>
      <x:c r="T5569" s="30"/>
      <x:c r="U5569" s="30" t="str">
        <x:v>Ответник совпадает с независимой проверкой.</x:v>
      </x:c>
      <x:c r="V5569" s="87" t="str">
        <x:v>VERIFIED</x:v>
      </x:c>
      <x:c r="W5569" s="87"/>
      <x:c r="X5569" s="87" t="n">
        <x:v>2</x:v>
      </x:c>
      <x:c r="Y5569" s="87"/>
      <x:c r="Z5569" s="87"/>
      <x:c r="AA5569" s="87"/>
      <x:c r="AB5569" s="87"/>
      <x:c r="AC5569" s="87" t="str">
        <x:v>VIS-EGKR-MATHP-W25-TASK-955-P002</x:v>
      </x:c>
      <x:c r="AD5569" s="87"/>
      <x:c r="AE5569" s="87" t="str">
        <x:v>TASK</x:v>
      </x:c>
      <x:c r="AF5569" s="87" t="str">
        <x:v>VIS-EGKR-MATHP-W25-TASK-955-P002: 2</x:v>
      </x:c>
      <x:c r="AG5569" s="87" t="str">
        <x:v>RESOLVED</x:v>
      </x:c>
      <x:c r="AH5569" s="87" t="str">
        <x:v>CROP_VERIFIED</x:v>
      </x:c>
      <x:c r="AI5569" s="30"/>
      <x:c r="AJ5569" s="87" t="str">
        <x:v>clean</x:v>
      </x:c>
      <x:c r="AK5569" s="87" t="str">
        <x:v>clean-v0.15</x:v>
      </x:c>
      <x:c r="AL5569" s="87" t="str">
        <x:v>statgrad_clean_continuation_v0_15(1).xlsx</x:v>
      </x:c>
      <x:c r="AM5569" s="87" t="str">
        <x:v>MATHP_EGKR_955</x:v>
      </x:c>
      <x:c r="AN5569" s="87" t="n">
        <x:v>13</x:v>
      </x:c>
    </x:row>
    <x:row r="5570">
      <x:c r="A5570" s="87" t="n">
        <x:v>5569</x:v>
      </x:c>
      <x:c r="B5570" s="87" t="str">
        <x:v>EGKR-W25-MATHP-955-13</x:v>
      </x:c>
      <x:c r="C5570" s="87" t="str">
        <x:v>ЕГКР</x:v>
      </x:c>
      <x:c r="D5570" s="87"/>
      <x:c r="E5570" s="87" t="str">
        <x:v>Зима 2025</x:v>
      </x:c>
      <x:c r="F5570" s="87" t="str">
        <x:v>16.12.2025</x:v>
      </x:c>
      <x:c r="G5570" s="87" t="str">
        <x:v>Математика (профиль)</x:v>
      </x:c>
      <x:c r="H5570" s="87" t="n">
        <x:v>11</x:v>
      </x:c>
      <x:c r="I5570" s="87"/>
      <x:c r="J5570" s="87" t="str">
        <x:v>955</x:v>
      </x:c>
      <x:c r="K5570" s="87" t="n">
        <x:v>13</x:v>
      </x:c>
      <x:c r="L5570" s="87" t="str">
        <x:v>Развёрнутый ответ</x:v>
      </x:c>
      <x:c r="M5570" s="30" t="str">
        <x:v>(2sin x-cos x)(cos x-1)=sin²x; промежуток [9π/2;11π/2].</x:v>
      </x:c>
      <x:c r="N5570" s="30" t="str">
        <x:v>(2sin x+1)(cos x-1)=0. Общие решения: x=7π/6+2πk, x=11π/6+2πk, x=2πk. На промежутке: x=31π/6.</x:v>
      </x:c>
      <x:c r="O5570" s="30" t="str">
        <x:v>Содержит полный ход решения и итоговый ответ.</x:v>
      </x:c>
      <x:c r="P5570" s="30" t="str">
        <x:v>Алгебра, геометрия или перебор проверены независимо от приложенных ученических решений.</x:v>
      </x:c>
      <x:c r="Q5570" s="30"/>
      <x:c r="R5570" s="30"/>
      <x:c r="S5570" s="30" t="str">
        <x:v>Независимое решение по исходному заданию</x:v>
      </x:c>
      <x:c r="T5570" s="30"/>
      <x:c r="U5570" s="30" t="str">
        <x:v>Независимая модель решения.</x:v>
      </x:c>
      <x:c r="V5570" s="87" t="str">
        <x:v>VERIFIED</x:v>
      </x:c>
      <x:c r="W5570" s="87"/>
      <x:c r="X5570" s="87" t="n">
        <x:v>3</x:v>
      </x:c>
      <x:c r="Y5570" s="87"/>
      <x:c r="Z5570" s="87"/>
      <x:c r="AA5570" s="87"/>
      <x:c r="AB5570" s="87"/>
      <x:c r="AC5570" s="87" t="str">
        <x:v>VIS-EGKR-MATHP-W25-TASK-955-P003</x:v>
      </x:c>
      <x:c r="AD5570" s="87"/>
      <x:c r="AE5570" s="87" t="str">
        <x:v>TASK</x:v>
      </x:c>
      <x:c r="AF5570" s="87" t="str">
        <x:v>VIS-EGKR-MATHP-W25-TASK-955-P003: 3</x:v>
      </x:c>
      <x:c r="AG5570" s="87" t="str">
        <x:v>RESOLVED</x:v>
      </x:c>
      <x:c r="AH5570" s="87" t="str">
        <x:v>CROP_VERIFIED</x:v>
      </x:c>
      <x:c r="AI5570" s="30"/>
      <x:c r="AJ5570" s="87" t="str">
        <x:v>clean</x:v>
      </x:c>
      <x:c r="AK5570" s="87" t="str">
        <x:v>clean-v0.15</x:v>
      </x:c>
      <x:c r="AL5570" s="87" t="str">
        <x:v>statgrad_clean_continuation_v0_15(1).xlsx</x:v>
      </x:c>
      <x:c r="AM5570" s="87" t="str">
        <x:v>MATHP_EGKR_955</x:v>
      </x:c>
      <x:c r="AN5570" s="87" t="n">
        <x:v>14</x:v>
      </x:c>
    </x:row>
    <x:row r="5571">
      <x:c r="A5571" s="87" t="n">
        <x:v>5570</x:v>
      </x:c>
      <x:c r="B5571" s="87" t="str">
        <x:v>EGKR-W25-MATHP-955-14</x:v>
      </x:c>
      <x:c r="C5571" s="87" t="str">
        <x:v>ЕГКР</x:v>
      </x:c>
      <x:c r="D5571" s="87"/>
      <x:c r="E5571" s="87" t="str">
        <x:v>Зима 2025</x:v>
      </x:c>
      <x:c r="F5571" s="87" t="str">
        <x:v>16.12.2025</x:v>
      </x:c>
      <x:c r="G5571" s="87" t="str">
        <x:v>Математика (профиль)</x:v>
      </x:c>
      <x:c r="H5571" s="87" t="n">
        <x:v>11</x:v>
      </x:c>
      <x:c r="I5571" s="87"/>
      <x:c r="J5571" s="87" t="str">
        <x:v>955</x:v>
      </x:c>
      <x:c r="K5571" s="87" t="n">
        <x:v>14</x:v>
      </x:c>
      <x:c r="L5571" s="87" t="str">
        <x:v>Развёрнутый ответ</x:v>
      </x:c>
      <x:c r="M5571" s="30" t="str">
        <x:v>Пирамида на ромбе со стороной 10; грани SAB и SCB перпендикулярны основанию, угол между ними 150°, другие грани наклонены на 60°.</x:v>
      </x:c>
      <x:c r="N5571" s="30" t="str">
        <x:v>SB перпендикулярно основанию, а угол ABC равен 150°. Расстояния от B до AD и CD одинаковы и равны 10/2, поэтому наклонные высоты граней SAD и SCD равны, следовательно, грани равновелики. Из tan60°=SB/(10/2) получаем SB=10√3/2; наклонная высота к AD и CD равна 10. Суммарная площадь боковых граней: 100+50√3.</x:v>
      </x:c>
      <x:c r="O5571" s="30" t="str">
        <x:v>Содержит полный ход решения и итоговый ответ.</x:v>
      </x:c>
      <x:c r="P5571" s="30" t="str">
        <x:v>Алгебра, геометрия или перебор проверены независимо от приложенных ученических решений.</x:v>
      </x:c>
      <x:c r="Q5571" s="30"/>
      <x:c r="R5571" s="30"/>
      <x:c r="S5571" s="30" t="str">
        <x:v>Независимое решение по исходному заданию</x:v>
      </x:c>
      <x:c r="T5571" s="30"/>
      <x:c r="U5571" s="30" t="str">
        <x:v>Независимая модель решения.</x:v>
      </x:c>
      <x:c r="V5571" s="87" t="str">
        <x:v>VERIFIED</x:v>
      </x:c>
      <x:c r="W5571" s="87"/>
      <x:c r="X5571" s="87" t="n">
        <x:v>3</x:v>
      </x:c>
      <x:c r="Y5571" s="87"/>
      <x:c r="Z5571" s="87"/>
      <x:c r="AA5571" s="87"/>
      <x:c r="AB5571" s="87"/>
      <x:c r="AC5571" s="87" t="str">
        <x:v>VIS-EGKR-MATHP-W25-TASK-955-P003</x:v>
      </x:c>
      <x:c r="AD5571" s="87"/>
      <x:c r="AE5571" s="87" t="str">
        <x:v>TASK</x:v>
      </x:c>
      <x:c r="AF5571" s="87" t="str">
        <x:v>VIS-EGKR-MATHP-W25-TASK-955-P003: 3</x:v>
      </x:c>
      <x:c r="AG5571" s="87" t="str">
        <x:v>RESOLVED</x:v>
      </x:c>
      <x:c r="AH5571" s="87" t="str">
        <x:v>CROP_VERIFIED</x:v>
      </x:c>
      <x:c r="AI5571" s="30"/>
      <x:c r="AJ5571" s="87" t="str">
        <x:v>clean</x:v>
      </x:c>
      <x:c r="AK5571" s="87" t="str">
        <x:v>clean-v0.15</x:v>
      </x:c>
      <x:c r="AL5571" s="87" t="str">
        <x:v>statgrad_clean_continuation_v0_15(1).xlsx</x:v>
      </x:c>
      <x:c r="AM5571" s="87" t="str">
        <x:v>MATHP_EGKR_955</x:v>
      </x:c>
      <x:c r="AN5571" s="87" t="n">
        <x:v>15</x:v>
      </x:c>
    </x:row>
    <x:row r="5572">
      <x:c r="A5572" s="87" t="n">
        <x:v>5571</x:v>
      </x:c>
      <x:c r="B5572" s="87" t="str">
        <x:v>EGKR-W25-MATHP-955-15</x:v>
      </x:c>
      <x:c r="C5572" s="87" t="str">
        <x:v>ЕГКР</x:v>
      </x:c>
      <x:c r="D5572" s="87"/>
      <x:c r="E5572" s="87" t="str">
        <x:v>Зима 2025</x:v>
      </x:c>
      <x:c r="F5572" s="87" t="str">
        <x:v>16.12.2025</x:v>
      </x:c>
      <x:c r="G5572" s="87" t="str">
        <x:v>Математика (профиль)</x:v>
      </x:c>
      <x:c r="H5572" s="87" t="n">
        <x:v>11</x:v>
      </x:c>
      <x:c r="I5572" s="87"/>
      <x:c r="J5572" s="87" t="str">
        <x:v>955</x:v>
      </x:c>
      <x:c r="K5572" s="87" t="n">
        <x:v>15</x:v>
      </x:c>
      <x:c r="L5572" s="87" t="str">
        <x:v>Развёрнутый ответ</x:v>
      </x:c>
      <x:c r="M5572" s="30" t="str">
        <x:v>(x+5)²-1/(x-5) ≤ (x-5)²+1/(x+5).</x:v>
      </x:c>
      <x:c r="N5572" s="30" t="str">
        <x:v>x∈(-∞;-√2510/10]∪(-5;0]∪(5;√2510/10].</x:v>
      </x:c>
      <x:c r="O5572" s="30" t="str">
        <x:v>Содержит полный ход решения и итоговый ответ.</x:v>
      </x:c>
      <x:c r="P5572" s="30" t="str">
        <x:v>Алгебра, геометрия или перебор проверены независимо от приложенных ученических решений.</x:v>
      </x:c>
      <x:c r="Q5572" s="30"/>
      <x:c r="R5572" s="30"/>
      <x:c r="S5572" s="30" t="str">
        <x:v>Независимое решение по исходному заданию</x:v>
      </x:c>
      <x:c r="T5572" s="30"/>
      <x:c r="U5572" s="30" t="str">
        <x:v>Независимая модель решения.</x:v>
      </x:c>
      <x:c r="V5572" s="87" t="str">
        <x:v>VERIFIED</x:v>
      </x:c>
      <x:c r="W5572" s="87"/>
      <x:c r="X5572" s="87" t="n">
        <x:v>3</x:v>
      </x:c>
      <x:c r="Y5572" s="87"/>
      <x:c r="Z5572" s="87"/>
      <x:c r="AA5572" s="87"/>
      <x:c r="AB5572" s="87"/>
      <x:c r="AC5572" s="87" t="str">
        <x:v>VIS-EGKR-MATHP-W25-TASK-955-P003</x:v>
      </x:c>
      <x:c r="AD5572" s="87"/>
      <x:c r="AE5572" s="87" t="str">
        <x:v>TASK</x:v>
      </x:c>
      <x:c r="AF5572" s="87" t="str">
        <x:v>VIS-EGKR-MATHP-W25-TASK-955-P003: 3</x:v>
      </x:c>
      <x:c r="AG5572" s="87" t="str">
        <x:v>RESOLVED</x:v>
      </x:c>
      <x:c r="AH5572" s="87" t="str">
        <x:v>CROP_VERIFIED</x:v>
      </x:c>
      <x:c r="AI5572" s="30"/>
      <x:c r="AJ5572" s="87" t="str">
        <x:v>clean</x:v>
      </x:c>
      <x:c r="AK5572" s="87" t="str">
        <x:v>clean-v0.15</x:v>
      </x:c>
      <x:c r="AL5572" s="87" t="str">
        <x:v>statgrad_clean_continuation_v0_15(1).xlsx</x:v>
      </x:c>
      <x:c r="AM5572" s="87" t="str">
        <x:v>MATHP_EGKR_955</x:v>
      </x:c>
      <x:c r="AN5572" s="87" t="n">
        <x:v>16</x:v>
      </x:c>
    </x:row>
    <x:row r="5573">
      <x:c r="A5573" s="87" t="n">
        <x:v>5572</x:v>
      </x:c>
      <x:c r="B5573" s="87" t="str">
        <x:v>EGKR-W25-MATHP-955-16</x:v>
      </x:c>
      <x:c r="C5573" s="87" t="str">
        <x:v>ЕГКР</x:v>
      </x:c>
      <x:c r="D5573" s="87"/>
      <x:c r="E5573" s="87" t="str">
        <x:v>Зима 2025</x:v>
      </x:c>
      <x:c r="F5573" s="87" t="str">
        <x:v>16.12.2025</x:v>
      </x:c>
      <x:c r="G5573" s="87" t="str">
        <x:v>Математика (профиль)</x:v>
      </x:c>
      <x:c r="H5573" s="87" t="n">
        <x:v>11</x:v>
      </x:c>
      <x:c r="I5573" s="87"/>
      <x:c r="J5573" s="87" t="str">
        <x:v>955</x:v>
      </x:c>
      <x:c r="K5573" s="87" t="n">
        <x:v>16</x:v>
      </x:c>
      <x:c r="L5573" s="87" t="str">
        <x:v>Развёрнутый ответ</x:v>
      </x:c>
      <x:c r="M5573" s="30" t="str">
        <x:v>Вклад на 4 года под 10%; в начале 3-го и 4-го годов вносится по 12 млн; суммарные проценты не больше 15 млн.</x:v>
      </x:c>
      <x:c r="N5573" s="30" t="str">
        <x:v>Сумма начисленных процентов равна 0,4641P+0,31·12. Неравенство 0,4641P+0,31·12≤15 даёт P≤24.305. Наибольшее целое число миллионов: 24.</x:v>
      </x:c>
      <x:c r="O5573" s="30" t="str">
        <x:v>Содержит полный ход решения и итоговый ответ.</x:v>
      </x:c>
      <x:c r="P5573" s="30" t="str">
        <x:v>Алгебра, геометрия или перебор проверены независимо от приложенных ученических решений.</x:v>
      </x:c>
      <x:c r="Q5573" s="30"/>
      <x:c r="R5573" s="30"/>
      <x:c r="S5573" s="30" t="str">
        <x:v>Независимое решение по исходному заданию</x:v>
      </x:c>
      <x:c r="T5573" s="30"/>
      <x:c r="U5573" s="30" t="str">
        <x:v>Независимая модель решения.</x:v>
      </x:c>
      <x:c r="V5573" s="87" t="str">
        <x:v>VERIFIED</x:v>
      </x:c>
      <x:c r="W5573" s="87"/>
      <x:c r="X5573" s="87" t="n">
        <x:v>3</x:v>
      </x:c>
      <x:c r="Y5573" s="87"/>
      <x:c r="Z5573" s="87"/>
      <x:c r="AA5573" s="87"/>
      <x:c r="AB5573" s="87"/>
      <x:c r="AC5573" s="87" t="str">
        <x:v>VIS-EGKR-MATHP-W25-TASK-955-P003</x:v>
      </x:c>
      <x:c r="AD5573" s="87"/>
      <x:c r="AE5573" s="87" t="str">
        <x:v>TASK</x:v>
      </x:c>
      <x:c r="AF5573" s="87" t="str">
        <x:v>VIS-EGKR-MATHP-W25-TASK-955-P003: 3</x:v>
      </x:c>
      <x:c r="AG5573" s="87" t="str">
        <x:v>RESOLVED</x:v>
      </x:c>
      <x:c r="AH5573" s="87" t="str">
        <x:v>CROP_VERIFIED</x:v>
      </x:c>
      <x:c r="AI5573" s="30"/>
      <x:c r="AJ5573" s="87" t="str">
        <x:v>clean</x:v>
      </x:c>
      <x:c r="AK5573" s="87" t="str">
        <x:v>clean-v0.15</x:v>
      </x:c>
      <x:c r="AL5573" s="87" t="str">
        <x:v>statgrad_clean_continuation_v0_15(1).xlsx</x:v>
      </x:c>
      <x:c r="AM5573" s="87" t="str">
        <x:v>MATHP_EGKR_955</x:v>
      </x:c>
      <x:c r="AN5573" s="87" t="n">
        <x:v>17</x:v>
      </x:c>
    </x:row>
    <x:row r="5574">
      <x:c r="A5574" s="87" t="n">
        <x:v>5573</x:v>
      </x:c>
      <x:c r="B5574" s="87" t="str">
        <x:v>EGKR-W25-MATHP-955-17</x:v>
      </x:c>
      <x:c r="C5574" s="87" t="str">
        <x:v>ЕГКР</x:v>
      </x:c>
      <x:c r="D5574" s="87"/>
      <x:c r="E5574" s="87" t="str">
        <x:v>Зима 2025</x:v>
      </x:c>
      <x:c r="F5574" s="87" t="str">
        <x:v>16.12.2025</x:v>
      </x:c>
      <x:c r="G5574" s="87" t="str">
        <x:v>Математика (профиль)</x:v>
      </x:c>
      <x:c r="H5574" s="87" t="n">
        <x:v>11</x:v>
      </x:c>
      <x:c r="I5574" s="87"/>
      <x:c r="J5574" s="87" t="str">
        <x:v>955</x:v>
      </x:c>
      <x:c r="K5574" s="87" t="n">
        <x:v>17</x:v>
      </x:c>
      <x:c r="L5574" s="87" t="str">
        <x:v>Развёрнутый ответ</x:v>
      </x:c>
      <x:c r="M5574" s="30" t="str">
        <x:v>В треугольнике ABC угол C тупой; BH - высота, P - второе пересечение BH с окружностью; AP - биссектриса. BC=R=9√2.</x:v>
      </x:c>
      <x:c r="N5574" s="30" t="str">
        <x:v>Из ∠BAP=∠PAC следуют равные хорды BP=PC, поэтому BCP равнобедренный. Так как BC=R=2R·sin∠BAC, то ∠A=30°. В треугольнике ABP: ∠BAP=15°, ∠ABP=60°, поэтому ∠APB=105°; отсюда ∠C=105° и ∠B=45°. Тогда AC=2R·sin45°=R√2=18.</x:v>
      </x:c>
      <x:c r="O5574" s="30" t="str">
        <x:v>Содержит полный ход решения и итоговый ответ.</x:v>
      </x:c>
      <x:c r="P5574" s="30" t="str">
        <x:v>Алгебра, геометрия или перебор проверены независимо от приложенных ученических решений.</x:v>
      </x:c>
      <x:c r="Q5574" s="30"/>
      <x:c r="R5574" s="30"/>
      <x:c r="S5574" s="30" t="str">
        <x:v>Независимое решение по исходному заданию</x:v>
      </x:c>
      <x:c r="T5574" s="30"/>
      <x:c r="U5574" s="30" t="str">
        <x:v>Независимая модель решения.</x:v>
      </x:c>
      <x:c r="V5574" s="87" t="str">
        <x:v>VERIFIED</x:v>
      </x:c>
      <x:c r="W5574" s="87"/>
      <x:c r="X5574" s="87" t="n">
        <x:v>3</x:v>
      </x:c>
      <x:c r="Y5574" s="87"/>
      <x:c r="Z5574" s="87"/>
      <x:c r="AA5574" s="87"/>
      <x:c r="AB5574" s="87"/>
      <x:c r="AC5574" s="87" t="str">
        <x:v>VIS-EGKR-MATHP-W25-TASK-955-P003</x:v>
      </x:c>
      <x:c r="AD5574" s="87"/>
      <x:c r="AE5574" s="87" t="str">
        <x:v>TASK</x:v>
      </x:c>
      <x:c r="AF5574" s="87" t="str">
        <x:v>VIS-EGKR-MATHP-W25-TASK-955-P003: 3</x:v>
      </x:c>
      <x:c r="AG5574" s="87" t="str">
        <x:v>RESOLVED</x:v>
      </x:c>
      <x:c r="AH5574" s="87" t="str">
        <x:v>CROP_VERIFIED</x:v>
      </x:c>
      <x:c r="AI5574" s="30"/>
      <x:c r="AJ5574" s="87" t="str">
        <x:v>clean</x:v>
      </x:c>
      <x:c r="AK5574" s="87" t="str">
        <x:v>clean-v0.15</x:v>
      </x:c>
      <x:c r="AL5574" s="87" t="str">
        <x:v>statgrad_clean_continuation_v0_15(1).xlsx</x:v>
      </x:c>
      <x:c r="AM5574" s="87" t="str">
        <x:v>MATHP_EGKR_955</x:v>
      </x:c>
      <x:c r="AN5574" s="87" t="n">
        <x:v>18</x:v>
      </x:c>
    </x:row>
    <x:row r="5575">
      <x:c r="A5575" s="87" t="n">
        <x:v>5574</x:v>
      </x:c>
      <x:c r="B5575" s="87" t="str">
        <x:v>EGKR-W25-MATHP-955-18</x:v>
      </x:c>
      <x:c r="C5575" s="87" t="str">
        <x:v>ЕГКР</x:v>
      </x:c>
      <x:c r="D5575" s="87"/>
      <x:c r="E5575" s="87" t="str">
        <x:v>Зима 2025</x:v>
      </x:c>
      <x:c r="F5575" s="87" t="str">
        <x:v>16.12.2025</x:v>
      </x:c>
      <x:c r="G5575" s="87" t="str">
        <x:v>Математика (профиль)</x:v>
      </x:c>
      <x:c r="H5575" s="87" t="n">
        <x:v>11</x:v>
      </x:c>
      <x:c r="I5575" s="87"/>
      <x:c r="J5575" s="87" t="str">
        <x:v>955</x:v>
      </x:c>
      <x:c r="K5575" s="87" t="n">
        <x:v>18</x:v>
      </x:c>
      <x:c r="L5575" s="87" t="str">
        <x:v>Развёрнутый ответ</x:v>
      </x:c>
      <x:c r="M5575" s="30" t="str">
        <x:v>|x²-ax+4|+|8x-a²|=||x²-ax+4|-|a²-8x||. Найти a, при которых корень единственный.</x:v>
      </x:c>
      <x:c r="N5575" s="30" t="str">
        <x:v>Для U,V≥0 равенство U+V=|U-V| эквивалентно UV=0. Корни задаются x²-ax+4=0 и x=a²/8. При |a|&lt;2·2 квадратное уравнение корней не имеет, остаётся один линейный корень. При a=2·2 двойной корень совпадает с ним; при a=-2·2 получаются два различных корня. Ответ: a∈(-4;4].</x:v>
      </x:c>
      <x:c r="O5575" s="30" t="str">
        <x:v>Содержит полный ход решения и итоговый ответ.</x:v>
      </x:c>
      <x:c r="P5575" s="30" t="str">
        <x:v>Алгебра, геометрия или перебор проверены независимо от приложенных ученических решений.</x:v>
      </x:c>
      <x:c r="Q5575" s="30"/>
      <x:c r="R5575" s="30"/>
      <x:c r="S5575" s="30" t="str">
        <x:v>Независимое решение по исходному заданию</x:v>
      </x:c>
      <x:c r="T5575" s="30"/>
      <x:c r="U5575" s="30" t="str">
        <x:v>Независимая модель решения.</x:v>
      </x:c>
      <x:c r="V5575" s="87" t="str">
        <x:v>VERIFIED</x:v>
      </x:c>
      <x:c r="W5575" s="87"/>
      <x:c r="X5575" s="87" t="n">
        <x:v>3</x:v>
      </x:c>
      <x:c r="Y5575" s="87"/>
      <x:c r="Z5575" s="87"/>
      <x:c r="AA5575" s="87"/>
      <x:c r="AB5575" s="87"/>
      <x:c r="AC5575" s="87" t="str">
        <x:v>VIS-EGKR-MATHP-W25-TASK-955-P003</x:v>
      </x:c>
      <x:c r="AD5575" s="87"/>
      <x:c r="AE5575" s="87" t="str">
        <x:v>TASK</x:v>
      </x:c>
      <x:c r="AF5575" s="87" t="str">
        <x:v>VIS-EGKR-MATHP-W25-TASK-955-P003: 3</x:v>
      </x:c>
      <x:c r="AG5575" s="87" t="str">
        <x:v>RESOLVED</x:v>
      </x:c>
      <x:c r="AH5575" s="87" t="str">
        <x:v>CROP_VERIFIED</x:v>
      </x:c>
      <x:c r="AI5575" s="30"/>
      <x:c r="AJ5575" s="87" t="str">
        <x:v>clean</x:v>
      </x:c>
      <x:c r="AK5575" s="87" t="str">
        <x:v>clean-v0.15</x:v>
      </x:c>
      <x:c r="AL5575" s="87" t="str">
        <x:v>statgrad_clean_continuation_v0_15(1).xlsx</x:v>
      </x:c>
      <x:c r="AM5575" s="87" t="str">
        <x:v>MATHP_EGKR_955</x:v>
      </x:c>
      <x:c r="AN5575" s="87" t="n">
        <x:v>19</x:v>
      </x:c>
    </x:row>
    <x:row r="5576">
      <x:c r="A5576" s="87" t="n">
        <x:v>5575</x:v>
      </x:c>
      <x:c r="B5576" s="87" t="str">
        <x:v>EGKR-W25-MATHP-955-19</x:v>
      </x:c>
      <x:c r="C5576" s="87" t="str">
        <x:v>ЕГКР</x:v>
      </x:c>
      <x:c r="D5576" s="87"/>
      <x:c r="E5576" s="87" t="str">
        <x:v>Зима 2025</x:v>
      </x:c>
      <x:c r="F5576" s="87" t="str">
        <x:v>16.12.2025</x:v>
      </x:c>
      <x:c r="G5576" s="87" t="str">
        <x:v>Математика (профиль)</x:v>
      </x:c>
      <x:c r="H5576" s="87" t="n">
        <x:v>11</x:v>
      </x:c>
      <x:c r="I5576" s="87"/>
      <x:c r="J5576" s="87" t="str">
        <x:v>955</x:v>
      </x:c>
      <x:c r="K5576" s="87" t="n">
        <x:v>19</x:v>
      </x:c>
      <x:c r="L5576" s="87" t="str">
        <x:v>Развёрнутый ответ</x:v>
      </x:c>
      <x:c r="M5576" s="30" t="str">
        <x:v>Конечная геометрическая прогрессия из трёхзначных натуральных чисел начинается с 368; не менее трёх членов. Проверить 460, 322 и найти максимум.</x:v>
      </x:c>
      <x:c r="N5576" s="30" t="str">
        <x:v>Пусть q=m/n в несократимом виде. Для целочисленности первых трёх членов необходимо n²|368; перебор допустимых m/n с сохранением трёхзначности даёт: а) да, q=5/4 даёт 368,460,575; б) нет, 322 не входит ни в одну допустимую последовательность; в) наибольшее возможное число 828, поскольку q=3/2 даёт 368,552,828.</x:v>
      </x:c>
      <x:c r="O5576" s="30" t="str">
        <x:v>Содержит полный ход решения и итоговый ответ.</x:v>
      </x:c>
      <x:c r="P5576" s="30" t="str">
        <x:v>Алгебра, геометрия или перебор проверены независимо от приложенных ученических решений.</x:v>
      </x:c>
      <x:c r="Q5576" s="30"/>
      <x:c r="R5576" s="30"/>
      <x:c r="S5576" s="30" t="str">
        <x:v>Независимое решение по исходному заданию</x:v>
      </x:c>
      <x:c r="T5576" s="30"/>
      <x:c r="U5576" s="30" t="str">
        <x:v>Независимая модель решения.</x:v>
      </x:c>
      <x:c r="V5576" s="87" t="str">
        <x:v>VERIFIED</x:v>
      </x:c>
      <x:c r="W5576" s="87"/>
      <x:c r="X5576" s="87" t="n">
        <x:v>3</x:v>
      </x:c>
      <x:c r="Y5576" s="87"/>
      <x:c r="Z5576" s="87"/>
      <x:c r="AA5576" s="87"/>
      <x:c r="AB5576" s="87"/>
      <x:c r="AC5576" s="87" t="str">
        <x:v>VIS-EGKR-MATHP-W25-TASK-955-P003</x:v>
      </x:c>
      <x:c r="AD5576" s="87"/>
      <x:c r="AE5576" s="87" t="str">
        <x:v>TASK</x:v>
      </x:c>
      <x:c r="AF5576" s="87" t="str">
        <x:v>VIS-EGKR-MATHP-W25-TASK-955-P003: 3</x:v>
      </x:c>
      <x:c r="AG5576" s="87" t="str">
        <x:v>RESOLVED</x:v>
      </x:c>
      <x:c r="AH5576" s="87" t="str">
        <x:v>CROP_VERIFIED</x:v>
      </x:c>
      <x:c r="AI5576" s="30"/>
      <x:c r="AJ5576" s="87" t="str">
        <x:v>clean</x:v>
      </x:c>
      <x:c r="AK5576" s="87" t="str">
        <x:v>clean-v0.15</x:v>
      </x:c>
      <x:c r="AL5576" s="87" t="str">
        <x:v>statgrad_clean_continuation_v0_15(1).xlsx</x:v>
      </x:c>
      <x:c r="AM5576" s="87" t="str">
        <x:v>MATHP_EGKR_955</x:v>
      </x:c>
      <x:c r="AN5576" s="87" t="n">
        <x:v>20</x:v>
      </x:c>
    </x:row>
    <x:row r="5577">
      <x:c r="A5577" s="87" t="n">
        <x:v>5576</x:v>
      </x:c>
      <x:c r="B5577" s="87" t="str">
        <x:v>EGKR-W25-MATHP-956-01</x:v>
      </x:c>
      <x:c r="C5577" s="87" t="str">
        <x:v>ЕГКР</x:v>
      </x:c>
      <x:c r="D5577" s="87"/>
      <x:c r="E5577" s="87" t="str">
        <x:v>Зима 2025</x:v>
      </x:c>
      <x:c r="F5577" s="87" t="str">
        <x:v>16.12.2025</x:v>
      </x:c>
      <x:c r="G5577" s="87" t="str">
        <x:v>Математика (профиль)</x:v>
      </x:c>
      <x:c r="H5577" s="87" t="n">
        <x:v>11</x:v>
      </x:c>
      <x:c r="I5577" s="87"/>
      <x:c r="J5577" s="87" t="str">
        <x:v>956</x:v>
      </x:c>
      <x:c r="K5577" s="87" t="n">
        <x:v>1</x:v>
      </x:c>
      <x:c r="L5577" s="87" t="str">
        <x:v>Краткий ответ</x:v>
      </x:c>
      <x:c r="M5577" s="30" t="str">
        <x:v>Прямоугольник ABCD; K - середина AD; AB=5, BK=13. Найти периметр.</x:v>
      </x:c>
      <x:c r="N5577" s="30" t="str">
        <x:v>58</x:v>
      </x:c>
      <x:c r="O5577" s="30" t="str">
        <x:v>Половина AD находится по теореме Пифагора из треугольника ABK; затем вычисляется периметр.</x:v>
      </x:c>
      <x:c r="P5577" s="30" t="str">
        <x:v>Проверено вычислением и по полной визуальной странице.</x:v>
      </x:c>
      <x:c r="Q5577" s="30"/>
      <x:c r="R5577" s="30"/>
      <x:c r="S5577" s="30" t="str">
        <x:v>Ответы профиль.docx</x:v>
      </x:c>
      <x:c r="T5577" s="30"/>
      <x:c r="U5577" s="30" t="str">
        <x:v>Ответник совпадает с независимой проверкой.</x:v>
      </x:c>
      <x:c r="V5577" s="87" t="str">
        <x:v>VERIFIED</x:v>
      </x:c>
      <x:c r="W5577" s="87"/>
      <x:c r="X5577" s="87" t="n">
        <x:v>1</x:v>
      </x:c>
      <x:c r="Y5577" s="87"/>
      <x:c r="Z5577" s="87"/>
      <x:c r="AA5577" s="87"/>
      <x:c r="AB5577" s="87"/>
      <x:c r="AC5577" s="87" t="str">
        <x:v>VIS-EGKR-MATHP-W25-TASK-956-P001</x:v>
      </x:c>
      <x:c r="AD5577" s="87"/>
      <x:c r="AE5577" s="87" t="str">
        <x:v>TASK</x:v>
      </x:c>
      <x:c r="AF5577" s="87" t="str">
        <x:v>VIS-EGKR-MATHP-W25-TASK-956-P001: 1</x:v>
      </x:c>
      <x:c r="AG5577" s="87" t="str">
        <x:v>RESOLVED</x:v>
      </x:c>
      <x:c r="AH5577" s="87" t="str">
        <x:v>CROP_VERIFIED</x:v>
      </x:c>
      <x:c r="AI5577" s="30"/>
      <x:c r="AJ5577" s="87" t="str">
        <x:v>clean</x:v>
      </x:c>
      <x:c r="AK5577" s="87" t="str">
        <x:v>clean-v0.15</x:v>
      </x:c>
      <x:c r="AL5577" s="87" t="str">
        <x:v>statgrad_clean_continuation_v0_15(1).xlsx</x:v>
      </x:c>
      <x:c r="AM5577" s="87" t="str">
        <x:v>MATHP_EGKR_956</x:v>
      </x:c>
      <x:c r="AN5577" s="87" t="n">
        <x:v>2</x:v>
      </x:c>
    </x:row>
    <x:row r="5578">
      <x:c r="A5578" s="87" t="n">
        <x:v>5577</x:v>
      </x:c>
      <x:c r="B5578" s="87" t="str">
        <x:v>EGKR-W25-MATHP-956-02</x:v>
      </x:c>
      <x:c r="C5578" s="87" t="str">
        <x:v>ЕГКР</x:v>
      </x:c>
      <x:c r="D5578" s="87"/>
      <x:c r="E5578" s="87" t="str">
        <x:v>Зима 2025</x:v>
      </x:c>
      <x:c r="F5578" s="87" t="str">
        <x:v>16.12.2025</x:v>
      </x:c>
      <x:c r="G5578" s="87" t="str">
        <x:v>Математика (профиль)</x:v>
      </x:c>
      <x:c r="H5578" s="87" t="n">
        <x:v>11</x:v>
      </x:c>
      <x:c r="I5578" s="87"/>
      <x:c r="J5578" s="87" t="str">
        <x:v>956</x:v>
      </x:c>
      <x:c r="K5578" s="87" t="n">
        <x:v>2</x:v>
      </x:c>
      <x:c r="L5578" s="87" t="str">
        <x:v>Краткий ответ</x:v>
      </x:c>
      <x:c r="M5578" s="30" t="str">
        <x:v>По координатной сетке найти скалярное произведение векторов a и b.</x:v>
      </x:c>
      <x:c r="N5578" s="30" t="str">
        <x:v>0</x:v>
      </x:c>
      <x:c r="O5578" s="30" t="str">
        <x:v>Координаты векторов считаны по клеткам, после чего вычислено aₓbₓ+aᵧbᵧ.</x:v>
      </x:c>
      <x:c r="P5578" s="30" t="str">
        <x:v>Проверено вычислением и по полной визуальной странице.</x:v>
      </x:c>
      <x:c r="Q5578" s="30"/>
      <x:c r="R5578" s="30"/>
      <x:c r="S5578" s="30" t="str">
        <x:v>Ответы профиль.docx</x:v>
      </x:c>
      <x:c r="T5578" s="30"/>
      <x:c r="U5578" s="30" t="str">
        <x:v>Ответник совпадает с независимой проверкой.</x:v>
      </x:c>
      <x:c r="V5578" s="87" t="str">
        <x:v>VERIFIED</x:v>
      </x:c>
      <x:c r="W5578" s="87"/>
      <x:c r="X5578" s="87" t="n">
        <x:v>1</x:v>
      </x:c>
      <x:c r="Y5578" s="87"/>
      <x:c r="Z5578" s="87"/>
      <x:c r="AA5578" s="87"/>
      <x:c r="AB5578" s="87"/>
      <x:c r="AC5578" s="87" t="str">
        <x:v>VIS-EGKR-MATHP-W25-TASK-956-P001</x:v>
      </x:c>
      <x:c r="AD5578" s="87"/>
      <x:c r="AE5578" s="87" t="str">
        <x:v>TASK</x:v>
      </x:c>
      <x:c r="AF5578" s="87" t="str">
        <x:v>VIS-EGKR-MATHP-W25-TASK-956-P001: 1</x:v>
      </x:c>
      <x:c r="AG5578" s="87" t="str">
        <x:v>RESOLVED</x:v>
      </x:c>
      <x:c r="AH5578" s="87" t="str">
        <x:v>CROP_VERIFIED</x:v>
      </x:c>
      <x:c r="AI5578" s="30"/>
      <x:c r="AJ5578" s="87" t="str">
        <x:v>clean</x:v>
      </x:c>
      <x:c r="AK5578" s="87" t="str">
        <x:v>clean-v0.15</x:v>
      </x:c>
      <x:c r="AL5578" s="87" t="str">
        <x:v>statgrad_clean_continuation_v0_15(1).xlsx</x:v>
      </x:c>
      <x:c r="AM5578" s="87" t="str">
        <x:v>MATHP_EGKR_956</x:v>
      </x:c>
      <x:c r="AN5578" s="87" t="n">
        <x:v>3</x:v>
      </x:c>
    </x:row>
    <x:row r="5579">
      <x:c r="A5579" s="87" t="n">
        <x:v>5578</x:v>
      </x:c>
      <x:c r="B5579" s="87" t="str">
        <x:v>EGKR-W25-MATHP-956-03</x:v>
      </x:c>
      <x:c r="C5579" s="87" t="str">
        <x:v>ЕГКР</x:v>
      </x:c>
      <x:c r="D5579" s="87"/>
      <x:c r="E5579" s="87" t="str">
        <x:v>Зима 2025</x:v>
      </x:c>
      <x:c r="F5579" s="87" t="str">
        <x:v>16.12.2025</x:v>
      </x:c>
      <x:c r="G5579" s="87" t="str">
        <x:v>Математика (профиль)</x:v>
      </x:c>
      <x:c r="H5579" s="87" t="n">
        <x:v>11</x:v>
      </x:c>
      <x:c r="I5579" s="87"/>
      <x:c r="J5579" s="87" t="str">
        <x:v>956</x:v>
      </x:c>
      <x:c r="K5579" s="87" t="n">
        <x:v>3</x:v>
      </x:c>
      <x:c r="L5579" s="87" t="str">
        <x:v>Краткий ответ</x:v>
      </x:c>
      <x:c r="M5579" s="30" t="str">
        <x:v>В кубе K - середина CC₁, M - середина CD. Найти угол между KM и B₁D₁.</x:v>
      </x:c>
      <x:c r="N5579" s="30" t="str">
        <x:v>60</x:v>
      </x:c>
      <x:c r="O5579" s="30" t="str">
        <x:v>Прямые заменены параллельными векторами куба; угол найден по скалярному произведению.</x:v>
      </x:c>
      <x:c r="P5579" s="30" t="str">
        <x:v>Проверено вычислением и по полной визуальной странице.</x:v>
      </x:c>
      <x:c r="Q5579" s="30"/>
      <x:c r="R5579" s="30"/>
      <x:c r="S5579" s="30" t="str">
        <x:v>Ответы профиль.docx</x:v>
      </x:c>
      <x:c r="T5579" s="30"/>
      <x:c r="U5579" s="30" t="str">
        <x:v>Ответник совпадает с независимой проверкой.</x:v>
      </x:c>
      <x:c r="V5579" s="87" t="str">
        <x:v>VERIFIED</x:v>
      </x:c>
      <x:c r="W5579" s="87"/>
      <x:c r="X5579" s="87" t="n">
        <x:v>1</x:v>
      </x:c>
      <x:c r="Y5579" s="87"/>
      <x:c r="Z5579" s="87"/>
      <x:c r="AA5579" s="87"/>
      <x:c r="AB5579" s="87"/>
      <x:c r="AC5579" s="87" t="str">
        <x:v>VIS-EGKR-MATHP-W25-TASK-956-P001</x:v>
      </x:c>
      <x:c r="AD5579" s="87"/>
      <x:c r="AE5579" s="87" t="str">
        <x:v>TASK</x:v>
      </x:c>
      <x:c r="AF5579" s="87" t="str">
        <x:v>VIS-EGKR-MATHP-W25-TASK-956-P001: 1</x:v>
      </x:c>
      <x:c r="AG5579" s="87" t="str">
        <x:v>RESOLVED</x:v>
      </x:c>
      <x:c r="AH5579" s="87" t="str">
        <x:v>CROP_VERIFIED</x:v>
      </x:c>
      <x:c r="AI5579" s="30"/>
      <x:c r="AJ5579" s="87" t="str">
        <x:v>clean</x:v>
      </x:c>
      <x:c r="AK5579" s="87" t="str">
        <x:v>clean-v0.15</x:v>
      </x:c>
      <x:c r="AL5579" s="87" t="str">
        <x:v>statgrad_clean_continuation_v0_15(1).xlsx</x:v>
      </x:c>
      <x:c r="AM5579" s="87" t="str">
        <x:v>MATHP_EGKR_956</x:v>
      </x:c>
      <x:c r="AN5579" s="87" t="n">
        <x:v>4</x:v>
      </x:c>
    </x:row>
    <x:row r="5580">
      <x:c r="A5580" s="87" t="n">
        <x:v>5579</x:v>
      </x:c>
      <x:c r="B5580" s="87" t="str">
        <x:v>EGKR-W25-MATHP-956-04</x:v>
      </x:c>
      <x:c r="C5580" s="87" t="str">
        <x:v>ЕГКР</x:v>
      </x:c>
      <x:c r="D5580" s="87"/>
      <x:c r="E5580" s="87" t="str">
        <x:v>Зима 2025</x:v>
      </x:c>
      <x:c r="F5580" s="87" t="str">
        <x:v>16.12.2025</x:v>
      </x:c>
      <x:c r="G5580" s="87" t="str">
        <x:v>Математика (профиль)</x:v>
      </x:c>
      <x:c r="H5580" s="87" t="n">
        <x:v>11</x:v>
      </x:c>
      <x:c r="I5580" s="87"/>
      <x:c r="J5580" s="87" t="str">
        <x:v>956</x:v>
      </x:c>
      <x:c r="K5580" s="87" t="n">
        <x:v>4</x:v>
      </x:c>
      <x:c r="L5580" s="87" t="str">
        <x:v>Краткий ответ</x:v>
      </x:c>
      <x:c r="M5580" s="30" t="str">
        <x:v>Карточки с целыми числами 6-24; добавить карточку с суммой чётных. Найти вероятность нечётного числа.</x:v>
      </x:c>
      <x:c r="N5580" s="30" t="str">
        <x:v>0,45</x:v>
      </x:c>
      <x:c r="O5580" s="30" t="str">
        <x:v>Добавленная сумма чётных остаётся чётной; число нечётных карточек делится на новое общее число.</x:v>
      </x:c>
      <x:c r="P5580" s="30" t="str">
        <x:v>Проверено вычислением и по полной визуальной странице.</x:v>
      </x:c>
      <x:c r="Q5580" s="30"/>
      <x:c r="R5580" s="30"/>
      <x:c r="S5580" s="30" t="str">
        <x:v>Ответы профиль.docx</x:v>
      </x:c>
      <x:c r="T5580" s="30"/>
      <x:c r="U5580" s="30" t="str">
        <x:v>Ответник совпадает с независимой проверкой.</x:v>
      </x:c>
      <x:c r="V5580" s="87" t="str">
        <x:v>VERIFIED</x:v>
      </x:c>
      <x:c r="W5580" s="87"/>
      <x:c r="X5580" s="87" t="n">
        <x:v>2</x:v>
      </x:c>
      <x:c r="Y5580" s="87"/>
      <x:c r="Z5580" s="87"/>
      <x:c r="AA5580" s="87"/>
      <x:c r="AB5580" s="87"/>
      <x:c r="AC5580" s="87" t="str">
        <x:v>VIS-EGKR-MATHP-W25-TASK-956-P002</x:v>
      </x:c>
      <x:c r="AD5580" s="87"/>
      <x:c r="AE5580" s="87" t="str">
        <x:v>TASK</x:v>
      </x:c>
      <x:c r="AF5580" s="87" t="str">
        <x:v>VIS-EGKR-MATHP-W25-TASK-956-P002: 2</x:v>
      </x:c>
      <x:c r="AG5580" s="87" t="str">
        <x:v>RESOLVED</x:v>
      </x:c>
      <x:c r="AH5580" s="87" t="str">
        <x:v>CROP_VERIFIED</x:v>
      </x:c>
      <x:c r="AI5580" s="30"/>
      <x:c r="AJ5580" s="87" t="str">
        <x:v>clean</x:v>
      </x:c>
      <x:c r="AK5580" s="87" t="str">
        <x:v>clean-v0.15</x:v>
      </x:c>
      <x:c r="AL5580" s="87" t="str">
        <x:v>statgrad_clean_continuation_v0_15(1).xlsx</x:v>
      </x:c>
      <x:c r="AM5580" s="87" t="str">
        <x:v>MATHP_EGKR_956</x:v>
      </x:c>
      <x:c r="AN5580" s="87" t="n">
        <x:v>5</x:v>
      </x:c>
    </x:row>
    <x:row r="5581">
      <x:c r="A5581" s="87" t="n">
        <x:v>5580</x:v>
      </x:c>
      <x:c r="B5581" s="87" t="str">
        <x:v>EGKR-W25-MATHP-956-05</x:v>
      </x:c>
      <x:c r="C5581" s="87" t="str">
        <x:v>ЕГКР</x:v>
      </x:c>
      <x:c r="D5581" s="87"/>
      <x:c r="E5581" s="87" t="str">
        <x:v>Зима 2025</x:v>
      </x:c>
      <x:c r="F5581" s="87" t="str">
        <x:v>16.12.2025</x:v>
      </x:c>
      <x:c r="G5581" s="87" t="str">
        <x:v>Математика (профиль)</x:v>
      </x:c>
      <x:c r="H5581" s="87" t="n">
        <x:v>11</x:v>
      </x:c>
      <x:c r="I5581" s="87"/>
      <x:c r="J5581" s="87" t="str">
        <x:v>956</x:v>
      </x:c>
      <x:c r="K5581" s="87" t="n">
        <x:v>5</x:v>
      </x:c>
      <x:c r="L5581" s="87" t="str">
        <x:v>Краткий ответ</x:v>
      </x:c>
      <x:c r="M5581" s="30" t="str">
        <x:v>Три линии с долями загрузки 20%, 30%, 50% и браком 7%, 4%, 1%. Найти общую вероятность брака.</x:v>
      </x:c>
      <x:c r="N5581" s="30" t="str">
        <x:v>0,031</x:v>
      </x:c>
      <x:c r="O5581" s="30" t="str">
        <x:v>Использована формула полной вероятности с весами 0,2; 0,3; 0,5.</x:v>
      </x:c>
      <x:c r="P5581" s="30" t="str">
        <x:v>Проверено вычислением и по полной визуальной странице.</x:v>
      </x:c>
      <x:c r="Q5581" s="30"/>
      <x:c r="R5581" s="30"/>
      <x:c r="S5581" s="30" t="str">
        <x:v>Ответы профиль.docx</x:v>
      </x:c>
      <x:c r="T5581" s="30"/>
      <x:c r="U5581" s="30" t="str">
        <x:v>Ответник совпадает с независимой проверкой.</x:v>
      </x:c>
      <x:c r="V5581" s="87" t="str">
        <x:v>VERIFIED</x:v>
      </x:c>
      <x:c r="W5581" s="87"/>
      <x:c r="X5581" s="87" t="n">
        <x:v>2</x:v>
      </x:c>
      <x:c r="Y5581" s="87"/>
      <x:c r="Z5581" s="87"/>
      <x:c r="AA5581" s="87"/>
      <x:c r="AB5581" s="87"/>
      <x:c r="AC5581" s="87" t="str">
        <x:v>VIS-EGKR-MATHP-W25-TASK-956-P002</x:v>
      </x:c>
      <x:c r="AD5581" s="87"/>
      <x:c r="AE5581" s="87" t="str">
        <x:v>TASK</x:v>
      </x:c>
      <x:c r="AF5581" s="87" t="str">
        <x:v>VIS-EGKR-MATHP-W25-TASK-956-P002: 2</x:v>
      </x:c>
      <x:c r="AG5581" s="87" t="str">
        <x:v>RESOLVED</x:v>
      </x:c>
      <x:c r="AH5581" s="87" t="str">
        <x:v>CROP_VERIFIED</x:v>
      </x:c>
      <x:c r="AI5581" s="30"/>
      <x:c r="AJ5581" s="87" t="str">
        <x:v>clean</x:v>
      </x:c>
      <x:c r="AK5581" s="87" t="str">
        <x:v>clean-v0.15</x:v>
      </x:c>
      <x:c r="AL5581" s="87" t="str">
        <x:v>statgrad_clean_continuation_v0_15(1).xlsx</x:v>
      </x:c>
      <x:c r="AM5581" s="87" t="str">
        <x:v>MATHP_EGKR_956</x:v>
      </x:c>
      <x:c r="AN5581" s="87" t="n">
        <x:v>6</x:v>
      </x:c>
    </x:row>
    <x:row r="5582">
      <x:c r="A5582" s="87" t="n">
        <x:v>5581</x:v>
      </x:c>
      <x:c r="B5582" s="87" t="str">
        <x:v>EGKR-W25-MATHP-956-06</x:v>
      </x:c>
      <x:c r="C5582" s="87" t="str">
        <x:v>ЕГКР</x:v>
      </x:c>
      <x:c r="D5582" s="87"/>
      <x:c r="E5582" s="87" t="str">
        <x:v>Зима 2025</x:v>
      </x:c>
      <x:c r="F5582" s="87" t="str">
        <x:v>16.12.2025</x:v>
      </x:c>
      <x:c r="G5582" s="87" t="str">
        <x:v>Математика (профиль)</x:v>
      </x:c>
      <x:c r="H5582" s="87" t="n">
        <x:v>11</x:v>
      </x:c>
      <x:c r="I5582" s="87"/>
      <x:c r="J5582" s="87" t="str">
        <x:v>956</x:v>
      </x:c>
      <x:c r="K5582" s="87" t="n">
        <x:v>6</x:v>
      </x:c>
      <x:c r="L5582" s="87" t="str">
        <x:v>Краткий ответ</x:v>
      </x:c>
      <x:c r="M5582" s="30" t="str">
        <x:v>Решить уравнение 7^x=(1/7)^(x+4).</x:v>
      </x:c>
      <x:c r="N5582" s="30" t="str">
        <x:v>-2</x:v>
      </x:c>
      <x:c r="O5582" s="30" t="str">
        <x:v>Правая часть записана как степень того же основания; показатели приравнены.</x:v>
      </x:c>
      <x:c r="P5582" s="30" t="str">
        <x:v>Проверено вычислением и по полной визуальной странице.</x:v>
      </x:c>
      <x:c r="Q5582" s="30"/>
      <x:c r="R5582" s="30"/>
      <x:c r="S5582" s="30" t="str">
        <x:v>Ответы профиль.docx</x:v>
      </x:c>
      <x:c r="T5582" s="30"/>
      <x:c r="U5582" s="30" t="str">
        <x:v>Ответник совпадает с независимой проверкой.</x:v>
      </x:c>
      <x:c r="V5582" s="87" t="str">
        <x:v>VERIFIED</x:v>
      </x:c>
      <x:c r="W5582" s="87"/>
      <x:c r="X5582" s="87" t="n">
        <x:v>2</x:v>
      </x:c>
      <x:c r="Y5582" s="87"/>
      <x:c r="Z5582" s="87"/>
      <x:c r="AA5582" s="87"/>
      <x:c r="AB5582" s="87"/>
      <x:c r="AC5582" s="87" t="str">
        <x:v>VIS-EGKR-MATHP-W25-TASK-956-P002</x:v>
      </x:c>
      <x:c r="AD5582" s="87"/>
      <x:c r="AE5582" s="87" t="str">
        <x:v>TASK</x:v>
      </x:c>
      <x:c r="AF5582" s="87" t="str">
        <x:v>VIS-EGKR-MATHP-W25-TASK-956-P002: 2</x:v>
      </x:c>
      <x:c r="AG5582" s="87" t="str">
        <x:v>RESOLVED</x:v>
      </x:c>
      <x:c r="AH5582" s="87" t="str">
        <x:v>CROP_VERIFIED</x:v>
      </x:c>
      <x:c r="AI5582" s="30"/>
      <x:c r="AJ5582" s="87" t="str">
        <x:v>clean</x:v>
      </x:c>
      <x:c r="AK5582" s="87" t="str">
        <x:v>clean-v0.15</x:v>
      </x:c>
      <x:c r="AL5582" s="87" t="str">
        <x:v>statgrad_clean_continuation_v0_15(1).xlsx</x:v>
      </x:c>
      <x:c r="AM5582" s="87" t="str">
        <x:v>MATHP_EGKR_956</x:v>
      </x:c>
      <x:c r="AN5582" s="87" t="n">
        <x:v>7</x:v>
      </x:c>
    </x:row>
    <x:row r="5583">
      <x:c r="A5583" s="87" t="n">
        <x:v>5582</x:v>
      </x:c>
      <x:c r="B5583" s="87" t="str">
        <x:v>EGKR-W25-MATHP-956-07</x:v>
      </x:c>
      <x:c r="C5583" s="87" t="str">
        <x:v>ЕГКР</x:v>
      </x:c>
      <x:c r="D5583" s="87"/>
      <x:c r="E5583" s="87" t="str">
        <x:v>Зима 2025</x:v>
      </x:c>
      <x:c r="F5583" s="87" t="str">
        <x:v>16.12.2025</x:v>
      </x:c>
      <x:c r="G5583" s="87" t="str">
        <x:v>Математика (профиль)</x:v>
      </x:c>
      <x:c r="H5583" s="87" t="n">
        <x:v>11</x:v>
      </x:c>
      <x:c r="I5583" s="87"/>
      <x:c r="J5583" s="87" t="str">
        <x:v>956</x:v>
      </x:c>
      <x:c r="K5583" s="87" t="n">
        <x:v>7</x:v>
      </x:c>
      <x:c r="L5583" s="87" t="str">
        <x:v>Краткий ответ</x:v>
      </x:c>
      <x:c r="M5583" s="30" t="str">
        <x:v>Вычислить √2 cos(π/4)+sin(π/6).</x:v>
      </x:c>
      <x:c r="N5583" s="30" t="str">
        <x:v>1,5</x:v>
      </x:c>
      <x:c r="O5583" s="30" t="str">
        <x:v>Подставлены табличные значения синуса и косинуса.</x:v>
      </x:c>
      <x:c r="P5583" s="30" t="str">
        <x:v>Проверено вычислением и по полной визуальной странице.</x:v>
      </x:c>
      <x:c r="Q5583" s="30"/>
      <x:c r="R5583" s="30"/>
      <x:c r="S5583" s="30" t="str">
        <x:v>Ответы профиль.docx</x:v>
      </x:c>
      <x:c r="T5583" s="30"/>
      <x:c r="U5583" s="30" t="str">
        <x:v>Ответник совпадает с независимой проверкой.</x:v>
      </x:c>
      <x:c r="V5583" s="87" t="str">
        <x:v>VERIFIED</x:v>
      </x:c>
      <x:c r="W5583" s="87"/>
      <x:c r="X5583" s="87" t="n">
        <x:v>2</x:v>
      </x:c>
      <x:c r="Y5583" s="87"/>
      <x:c r="Z5583" s="87"/>
      <x:c r="AA5583" s="87"/>
      <x:c r="AB5583" s="87"/>
      <x:c r="AC5583" s="87" t="str">
        <x:v>VIS-EGKR-MATHP-W25-TASK-956-P002</x:v>
      </x:c>
      <x:c r="AD5583" s="87"/>
      <x:c r="AE5583" s="87" t="str">
        <x:v>TASK</x:v>
      </x:c>
      <x:c r="AF5583" s="87" t="str">
        <x:v>VIS-EGKR-MATHP-W25-TASK-956-P002: 2</x:v>
      </x:c>
      <x:c r="AG5583" s="87" t="str">
        <x:v>RESOLVED</x:v>
      </x:c>
      <x:c r="AH5583" s="87" t="str">
        <x:v>CROP_VERIFIED</x:v>
      </x:c>
      <x:c r="AI5583" s="30"/>
      <x:c r="AJ5583" s="87" t="str">
        <x:v>clean</x:v>
      </x:c>
      <x:c r="AK5583" s="87" t="str">
        <x:v>clean-v0.15</x:v>
      </x:c>
      <x:c r="AL5583" s="87" t="str">
        <x:v>statgrad_clean_continuation_v0_15(1).xlsx</x:v>
      </x:c>
      <x:c r="AM5583" s="87" t="str">
        <x:v>MATHP_EGKR_956</x:v>
      </x:c>
      <x:c r="AN5583" s="87" t="n">
        <x:v>8</x:v>
      </x:c>
    </x:row>
    <x:row r="5584">
      <x:c r="A5584" s="87" t="n">
        <x:v>5583</x:v>
      </x:c>
      <x:c r="B5584" s="87" t="str">
        <x:v>EGKR-W25-MATHP-956-08</x:v>
      </x:c>
      <x:c r="C5584" s="87" t="str">
        <x:v>ЕГКР</x:v>
      </x:c>
      <x:c r="D5584" s="87"/>
      <x:c r="E5584" s="87" t="str">
        <x:v>Зима 2025</x:v>
      </x:c>
      <x:c r="F5584" s="87" t="str">
        <x:v>16.12.2025</x:v>
      </x:c>
      <x:c r="G5584" s="87" t="str">
        <x:v>Математика (профиль)</x:v>
      </x:c>
      <x:c r="H5584" s="87" t="n">
        <x:v>11</x:v>
      </x:c>
      <x:c r="I5584" s="87"/>
      <x:c r="J5584" s="87" t="str">
        <x:v>956</x:v>
      </x:c>
      <x:c r="K5584" s="87" t="n">
        <x:v>8</x:v>
      </x:c>
      <x:c r="L5584" s="87" t="str">
        <x:v>Краткий ответ</x:v>
      </x:c>
      <x:c r="M5584" s="30" t="str">
        <x:v>По графику f на интервале (-5;8) посчитать целые x, где f'(x)&gt;0.</x:v>
      </x:c>
      <x:c r="N5584" s="30" t="str">
        <x:v>2</x:v>
      </x:c>
      <x:c r="O5584" s="30" t="str">
        <x:v>Посчитаны целые абсциссы на участках возрастания графика.</x:v>
      </x:c>
      <x:c r="P5584" s="30" t="str">
        <x:v>Проверено вычислением и по полной визуальной странице.</x:v>
      </x:c>
      <x:c r="Q5584" s="30"/>
      <x:c r="R5584" s="30"/>
      <x:c r="S5584" s="30" t="str">
        <x:v>Ответы профиль.docx</x:v>
      </x:c>
      <x:c r="T5584" s="30"/>
      <x:c r="U5584" s="30" t="str">
        <x:v>Ответник совпадает с независимой проверкой.</x:v>
      </x:c>
      <x:c r="V5584" s="87" t="str">
        <x:v>VERIFIED</x:v>
      </x:c>
      <x:c r="W5584" s="87"/>
      <x:c r="X5584" s="87" t="n">
        <x:v>2</x:v>
      </x:c>
      <x:c r="Y5584" s="87"/>
      <x:c r="Z5584" s="87"/>
      <x:c r="AA5584" s="87"/>
      <x:c r="AB5584" s="87"/>
      <x:c r="AC5584" s="87" t="str">
        <x:v>VIS-EGKR-MATHP-W25-TASK-956-P002</x:v>
      </x:c>
      <x:c r="AD5584" s="87"/>
      <x:c r="AE5584" s="87" t="str">
        <x:v>TASK</x:v>
      </x:c>
      <x:c r="AF5584" s="87" t="str">
        <x:v>VIS-EGKR-MATHP-W25-TASK-956-P002: 2</x:v>
      </x:c>
      <x:c r="AG5584" s="87" t="str">
        <x:v>RESOLVED</x:v>
      </x:c>
      <x:c r="AH5584" s="87" t="str">
        <x:v>CROP_VERIFIED</x:v>
      </x:c>
      <x:c r="AI5584" s="30"/>
      <x:c r="AJ5584" s="87" t="str">
        <x:v>clean</x:v>
      </x:c>
      <x:c r="AK5584" s="87" t="str">
        <x:v>clean-v0.15</x:v>
      </x:c>
      <x:c r="AL5584" s="87" t="str">
        <x:v>statgrad_clean_continuation_v0_15(1).xlsx</x:v>
      </x:c>
      <x:c r="AM5584" s="87" t="str">
        <x:v>MATHP_EGKR_956</x:v>
      </x:c>
      <x:c r="AN5584" s="87" t="n">
        <x:v>9</x:v>
      </x:c>
    </x:row>
    <x:row r="5585">
      <x:c r="A5585" s="87" t="n">
        <x:v>5584</x:v>
      </x:c>
      <x:c r="B5585" s="87" t="str">
        <x:v>EGKR-W25-MATHP-956-09</x:v>
      </x:c>
      <x:c r="C5585" s="87" t="str">
        <x:v>ЕГКР</x:v>
      </x:c>
      <x:c r="D5585" s="87"/>
      <x:c r="E5585" s="87" t="str">
        <x:v>Зима 2025</x:v>
      </x:c>
      <x:c r="F5585" s="87" t="str">
        <x:v>16.12.2025</x:v>
      </x:c>
      <x:c r="G5585" s="87" t="str">
        <x:v>Математика (профиль)</x:v>
      </x:c>
      <x:c r="H5585" s="87" t="n">
        <x:v>11</x:v>
      </x:c>
      <x:c r="I5585" s="87"/>
      <x:c r="J5585" s="87" t="str">
        <x:v>956</x:v>
      </x:c>
      <x:c r="K5585" s="87" t="n">
        <x:v>9</x:v>
      </x:c>
      <x:c r="L5585" s="87" t="str">
        <x:v>Краткий ответ</x:v>
      </x:c>
      <x:c r="M5585" s="30" t="str">
        <x:v>Высота воды задана квадратным законом (H₀=8). Найти время до опустошения.</x:v>
      </x:c>
      <x:c r="N5585" s="30" t="str">
        <x:v>20</x:v>
      </x:c>
      <x:c r="O5585" s="30" t="str">
        <x:v>Решено H(t)=0 и выбран физически допустимый положительный корень.</x:v>
      </x:c>
      <x:c r="P5585" s="30" t="str">
        <x:v>Проверено вычислением и по полной визуальной странице.</x:v>
      </x:c>
      <x:c r="Q5585" s="30"/>
      <x:c r="R5585" s="30"/>
      <x:c r="S5585" s="30" t="str">
        <x:v>Ответы профиль.docx</x:v>
      </x:c>
      <x:c r="T5585" s="30"/>
      <x:c r="U5585" s="30" t="str">
        <x:v>Ответник совпадает с независимой проверкой.</x:v>
      </x:c>
      <x:c r="V5585" s="87" t="str">
        <x:v>VERIFIED</x:v>
      </x:c>
      <x:c r="W5585" s="87"/>
      <x:c r="X5585" s="87" t="n">
        <x:v>2</x:v>
      </x:c>
      <x:c r="Y5585" s="87"/>
      <x:c r="Z5585" s="87"/>
      <x:c r="AA5585" s="87"/>
      <x:c r="AB5585" s="87"/>
      <x:c r="AC5585" s="87" t="str">
        <x:v>VIS-EGKR-MATHP-W25-TASK-956-P002</x:v>
      </x:c>
      <x:c r="AD5585" s="87"/>
      <x:c r="AE5585" s="87" t="str">
        <x:v>TASK</x:v>
      </x:c>
      <x:c r="AF5585" s="87" t="str">
        <x:v>VIS-EGKR-MATHP-W25-TASK-956-P002: 2</x:v>
      </x:c>
      <x:c r="AG5585" s="87" t="str">
        <x:v>RESOLVED</x:v>
      </x:c>
      <x:c r="AH5585" s="87" t="str">
        <x:v>CROP_VERIFIED</x:v>
      </x:c>
      <x:c r="AI5585" s="30"/>
      <x:c r="AJ5585" s="87" t="str">
        <x:v>clean</x:v>
      </x:c>
      <x:c r="AK5585" s="87" t="str">
        <x:v>clean-v0.15</x:v>
      </x:c>
      <x:c r="AL5585" s="87" t="str">
        <x:v>statgrad_clean_continuation_v0_15(1).xlsx</x:v>
      </x:c>
      <x:c r="AM5585" s="87" t="str">
        <x:v>MATHP_EGKR_956</x:v>
      </x:c>
      <x:c r="AN5585" s="87" t="n">
        <x:v>10</x:v>
      </x:c>
    </x:row>
    <x:row r="5586">
      <x:c r="A5586" s="87" t="n">
        <x:v>5585</x:v>
      </x:c>
      <x:c r="B5586" s="87" t="str">
        <x:v>EGKR-W25-MATHP-956-10</x:v>
      </x:c>
      <x:c r="C5586" s="87" t="str">
        <x:v>ЕГКР</x:v>
      </x:c>
      <x:c r="D5586" s="87"/>
      <x:c r="E5586" s="87" t="str">
        <x:v>Зима 2025</x:v>
      </x:c>
      <x:c r="F5586" s="87" t="str">
        <x:v>16.12.2025</x:v>
      </x:c>
      <x:c r="G5586" s="87" t="str">
        <x:v>Математика (профиль)</x:v>
      </x:c>
      <x:c r="H5586" s="87" t="n">
        <x:v>11</x:v>
      </x:c>
      <x:c r="I5586" s="87"/>
      <x:c r="J5586" s="87" t="str">
        <x:v>956</x:v>
      </x:c>
      <x:c r="K5586" s="87" t="n">
        <x:v>10</x:v>
      </x:c>
      <x:c r="L5586" s="87" t="str">
        <x:v>Краткий ответ</x:v>
      </x:c>
      <x:c r="M5586" s="30" t="str">
        <x:v>Посёлок C между A и B; AC=35; мотоцикл вдвое быстрее грузовика. Найти AB.</x:v>
      </x:c>
      <x:c r="N5586" s="30" t="str">
        <x:v>105</x:v>
      </x:c>
      <x:c r="O5586" s="30" t="str">
        <x:v>Равенство времени даёт AC/v=(AB-AC)/(2v), следовательно AB=3AC.</x:v>
      </x:c>
      <x:c r="P5586" s="30" t="str">
        <x:v>Проверено вычислением и по полной визуальной странице.</x:v>
      </x:c>
      <x:c r="Q5586" s="30"/>
      <x:c r="R5586" s="30"/>
      <x:c r="S5586" s="30" t="str">
        <x:v>Ответы профиль.docx</x:v>
      </x:c>
      <x:c r="T5586" s="30"/>
      <x:c r="U5586" s="30" t="str">
        <x:v>Ответник совпадает с независимой проверкой.</x:v>
      </x:c>
      <x:c r="V5586" s="87" t="str">
        <x:v>VERIFIED</x:v>
      </x:c>
      <x:c r="W5586" s="87"/>
      <x:c r="X5586" s="87" t="n">
        <x:v>2</x:v>
      </x:c>
      <x:c r="Y5586" s="87"/>
      <x:c r="Z5586" s="87"/>
      <x:c r="AA5586" s="87"/>
      <x:c r="AB5586" s="87"/>
      <x:c r="AC5586" s="87" t="str">
        <x:v>VIS-EGKR-MATHP-W25-TASK-956-P002</x:v>
      </x:c>
      <x:c r="AD5586" s="87"/>
      <x:c r="AE5586" s="87" t="str">
        <x:v>TASK</x:v>
      </x:c>
      <x:c r="AF5586" s="87" t="str">
        <x:v>VIS-EGKR-MATHP-W25-TASK-956-P002: 2</x:v>
      </x:c>
      <x:c r="AG5586" s="87" t="str">
        <x:v>RESOLVED</x:v>
      </x:c>
      <x:c r="AH5586" s="87" t="str">
        <x:v>CROP_VERIFIED</x:v>
      </x:c>
      <x:c r="AI5586" s="30"/>
      <x:c r="AJ5586" s="87" t="str">
        <x:v>clean</x:v>
      </x:c>
      <x:c r="AK5586" s="87" t="str">
        <x:v>clean-v0.15</x:v>
      </x:c>
      <x:c r="AL5586" s="87" t="str">
        <x:v>statgrad_clean_continuation_v0_15(1).xlsx</x:v>
      </x:c>
      <x:c r="AM5586" s="87" t="str">
        <x:v>MATHP_EGKR_956</x:v>
      </x:c>
      <x:c r="AN5586" s="87" t="n">
        <x:v>11</x:v>
      </x:c>
    </x:row>
    <x:row r="5587">
      <x:c r="A5587" s="87" t="n">
        <x:v>5586</x:v>
      </x:c>
      <x:c r="B5587" s="87" t="str">
        <x:v>EGKR-W25-MATHP-956-11</x:v>
      </x:c>
      <x:c r="C5587" s="87" t="str">
        <x:v>ЕГКР</x:v>
      </x:c>
      <x:c r="D5587" s="87"/>
      <x:c r="E5587" s="87" t="str">
        <x:v>Зима 2025</x:v>
      </x:c>
      <x:c r="F5587" s="87" t="str">
        <x:v>16.12.2025</x:v>
      </x:c>
      <x:c r="G5587" s="87" t="str">
        <x:v>Математика (профиль)</x:v>
      </x:c>
      <x:c r="H5587" s="87" t="n">
        <x:v>11</x:v>
      </x:c>
      <x:c r="I5587" s="87"/>
      <x:c r="J5587" s="87" t="str">
        <x:v>956</x:v>
      </x:c>
      <x:c r="K5587" s="87" t="n">
        <x:v>11</x:v>
      </x:c>
      <x:c r="L5587" s="87" t="str">
        <x:v>Краткий ответ</x:v>
      </x:c>
      <x:c r="M5587" s="30" t="str">
        <x:v>По графикам степенной и линейной функций найти ординату точки пересечения A.</x:v>
      </x:c>
      <x:c r="N5587" s="30" t="str">
        <x:v>10</x:v>
      </x:c>
      <x:c r="O5587" s="30" t="str">
        <x:v>Ордината точки A считана непосредственно по координатной сетке.</x:v>
      </x:c>
      <x:c r="P5587" s="30" t="str">
        <x:v>Проверено вычислением и по полной визуальной странице.</x:v>
      </x:c>
      <x:c r="Q5587" s="30"/>
      <x:c r="R5587" s="30"/>
      <x:c r="S5587" s="30" t="str">
        <x:v>Ответы профиль.docx</x:v>
      </x:c>
      <x:c r="T5587" s="30"/>
      <x:c r="U5587" s="30" t="str">
        <x:v>Ответник совпадает с независимой проверкой.</x:v>
      </x:c>
      <x:c r="V5587" s="87" t="str">
        <x:v>VERIFIED</x:v>
      </x:c>
      <x:c r="W5587" s="87"/>
      <x:c r="X5587" s="87" t="n">
        <x:v>2</x:v>
      </x:c>
      <x:c r="Y5587" s="87"/>
      <x:c r="Z5587" s="87"/>
      <x:c r="AA5587" s="87"/>
      <x:c r="AB5587" s="87"/>
      <x:c r="AC5587" s="87" t="str">
        <x:v>VIS-EGKR-MATHP-W25-TASK-956-P002</x:v>
      </x:c>
      <x:c r="AD5587" s="87"/>
      <x:c r="AE5587" s="87" t="str">
        <x:v>TASK</x:v>
      </x:c>
      <x:c r="AF5587" s="87" t="str">
        <x:v>VIS-EGKR-MATHP-W25-TASK-956-P002: 2</x:v>
      </x:c>
      <x:c r="AG5587" s="87" t="str">
        <x:v>RESOLVED</x:v>
      </x:c>
      <x:c r="AH5587" s="87" t="str">
        <x:v>CROP_VERIFIED</x:v>
      </x:c>
      <x:c r="AI5587" s="30"/>
      <x:c r="AJ5587" s="87" t="str">
        <x:v>clean</x:v>
      </x:c>
      <x:c r="AK5587" s="87" t="str">
        <x:v>clean-v0.15</x:v>
      </x:c>
      <x:c r="AL5587" s="87" t="str">
        <x:v>statgrad_clean_continuation_v0_15(1).xlsx</x:v>
      </x:c>
      <x:c r="AM5587" s="87" t="str">
        <x:v>MATHP_EGKR_956</x:v>
      </x:c>
      <x:c r="AN5587" s="87" t="n">
        <x:v>12</x:v>
      </x:c>
    </x:row>
    <x:row r="5588">
      <x:c r="A5588" s="87" t="n">
        <x:v>5587</x:v>
      </x:c>
      <x:c r="B5588" s="87" t="str">
        <x:v>EGKR-W25-MATHP-956-12</x:v>
      </x:c>
      <x:c r="C5588" s="87" t="str">
        <x:v>ЕГКР</x:v>
      </x:c>
      <x:c r="D5588" s="87"/>
      <x:c r="E5588" s="87" t="str">
        <x:v>Зима 2025</x:v>
      </x:c>
      <x:c r="F5588" s="87" t="str">
        <x:v>16.12.2025</x:v>
      </x:c>
      <x:c r="G5588" s="87" t="str">
        <x:v>Математика (профиль)</x:v>
      </x:c>
      <x:c r="H5588" s="87" t="n">
        <x:v>11</x:v>
      </x:c>
      <x:c r="I5588" s="87"/>
      <x:c r="J5588" s="87" t="str">
        <x:v>956</x:v>
      </x:c>
      <x:c r="K5588" s="87" t="n">
        <x:v>12</x:v>
      </x:c>
      <x:c r="L5588" s="87" t="str">
        <x:v>Краткий ответ</x:v>
      </x:c>
      <x:c r="M5588" s="30" t="str">
        <x:v>Для f=x²+6x, g=7x-5 решить равенство производных.</x:v>
      </x:c>
      <x:c r="N5588" s="30" t="str">
        <x:v>0,5</x:v>
      </x:c>
      <x:c r="O5588" s="30" t="str">
        <x:v>Вычислены производные и решено линейное уравнение.</x:v>
      </x:c>
      <x:c r="P5588" s="30" t="str">
        <x:v>Проверено вычислением и по полной визуальной странице.</x:v>
      </x:c>
      <x:c r="Q5588" s="30"/>
      <x:c r="R5588" s="30"/>
      <x:c r="S5588" s="30" t="str">
        <x:v>Ответы профиль.docx</x:v>
      </x:c>
      <x:c r="T5588" s="30"/>
      <x:c r="U5588" s="30" t="str">
        <x:v>Ответник совпадает с независимой проверкой.</x:v>
      </x:c>
      <x:c r="V5588" s="87" t="str">
        <x:v>VERIFIED</x:v>
      </x:c>
      <x:c r="W5588" s="87"/>
      <x:c r="X5588" s="87" t="n">
        <x:v>2</x:v>
      </x:c>
      <x:c r="Y5588" s="87"/>
      <x:c r="Z5588" s="87"/>
      <x:c r="AA5588" s="87"/>
      <x:c r="AB5588" s="87"/>
      <x:c r="AC5588" s="87" t="str">
        <x:v>VIS-EGKR-MATHP-W25-TASK-956-P002</x:v>
      </x:c>
      <x:c r="AD5588" s="87"/>
      <x:c r="AE5588" s="87" t="str">
        <x:v>TASK</x:v>
      </x:c>
      <x:c r="AF5588" s="87" t="str">
        <x:v>VIS-EGKR-MATHP-W25-TASK-956-P002: 2</x:v>
      </x:c>
      <x:c r="AG5588" s="87" t="str">
        <x:v>RESOLVED</x:v>
      </x:c>
      <x:c r="AH5588" s="87" t="str">
        <x:v>CROP_VERIFIED</x:v>
      </x:c>
      <x:c r="AI5588" s="30"/>
      <x:c r="AJ5588" s="87" t="str">
        <x:v>clean</x:v>
      </x:c>
      <x:c r="AK5588" s="87" t="str">
        <x:v>clean-v0.15</x:v>
      </x:c>
      <x:c r="AL5588" s="87" t="str">
        <x:v>statgrad_clean_continuation_v0_15(1).xlsx</x:v>
      </x:c>
      <x:c r="AM5588" s="87" t="str">
        <x:v>MATHP_EGKR_956</x:v>
      </x:c>
      <x:c r="AN5588" s="87" t="n">
        <x:v>13</x:v>
      </x:c>
    </x:row>
    <x:row r="5589">
      <x:c r="A5589" s="87" t="n">
        <x:v>5588</x:v>
      </x:c>
      <x:c r="B5589" s="87" t="str">
        <x:v>EGKR-W25-MATHP-956-13</x:v>
      </x:c>
      <x:c r="C5589" s="87" t="str">
        <x:v>ЕГКР</x:v>
      </x:c>
      <x:c r="D5589" s="87"/>
      <x:c r="E5589" s="87" t="str">
        <x:v>Зима 2025</x:v>
      </x:c>
      <x:c r="F5589" s="87" t="str">
        <x:v>16.12.2025</x:v>
      </x:c>
      <x:c r="G5589" s="87" t="str">
        <x:v>Математика (профиль)</x:v>
      </x:c>
      <x:c r="H5589" s="87" t="n">
        <x:v>11</x:v>
      </x:c>
      <x:c r="I5589" s="87"/>
      <x:c r="J5589" s="87" t="str">
        <x:v>956</x:v>
      </x:c>
      <x:c r="K5589" s="87" t="n">
        <x:v>13</x:v>
      </x:c>
      <x:c r="L5589" s="87" t="str">
        <x:v>Развёрнутый ответ</x:v>
      </x:c>
      <x:c r="M5589" s="30" t="str">
        <x:v>(2sin x+cos x)(cos x+1)=-sin²x; промежуток [13π/2;15π/2].</x:v>
      </x:c>
      <x:c r="N5589" s="30" t="str">
        <x:v>(2sin x+1)(cos x+1)=0. Общие решения: x=7π/6+2πk, x=11π/6+2πk, x=π+2πk. На промежутке: x=7π и x=43π/6.</x:v>
      </x:c>
      <x:c r="O5589" s="30" t="str">
        <x:v>Содержит полный ход решения и итоговый ответ.</x:v>
      </x:c>
      <x:c r="P5589" s="30" t="str">
        <x:v>Алгебра, геометрия или перебор проверены независимо от приложенных ученических решений.</x:v>
      </x:c>
      <x:c r="Q5589" s="30"/>
      <x:c r="R5589" s="30"/>
      <x:c r="S5589" s="30" t="str">
        <x:v>Независимое решение по исходному заданию</x:v>
      </x:c>
      <x:c r="T5589" s="30"/>
      <x:c r="U5589" s="30" t="str">
        <x:v>Независимая модель решения.</x:v>
      </x:c>
      <x:c r="V5589" s="87" t="str">
        <x:v>VERIFIED</x:v>
      </x:c>
      <x:c r="W5589" s="87"/>
      <x:c r="X5589" s="87" t="n">
        <x:v>3</x:v>
      </x:c>
      <x:c r="Y5589" s="87"/>
      <x:c r="Z5589" s="87"/>
      <x:c r="AA5589" s="87"/>
      <x:c r="AB5589" s="87"/>
      <x:c r="AC5589" s="87" t="str">
        <x:v>VIS-EGKR-MATHP-W25-TASK-956-P003</x:v>
      </x:c>
      <x:c r="AD5589" s="87"/>
      <x:c r="AE5589" s="87" t="str">
        <x:v>TASK</x:v>
      </x:c>
      <x:c r="AF5589" s="87" t="str">
        <x:v>VIS-EGKR-MATHP-W25-TASK-956-P003: 3</x:v>
      </x:c>
      <x:c r="AG5589" s="87" t="str">
        <x:v>RESOLVED</x:v>
      </x:c>
      <x:c r="AH5589" s="87" t="str">
        <x:v>CROP_VERIFIED</x:v>
      </x:c>
      <x:c r="AI5589" s="30"/>
      <x:c r="AJ5589" s="87" t="str">
        <x:v>clean</x:v>
      </x:c>
      <x:c r="AK5589" s="87" t="str">
        <x:v>clean-v0.15</x:v>
      </x:c>
      <x:c r="AL5589" s="87" t="str">
        <x:v>statgrad_clean_continuation_v0_15(1).xlsx</x:v>
      </x:c>
      <x:c r="AM5589" s="87" t="str">
        <x:v>MATHP_EGKR_956</x:v>
      </x:c>
      <x:c r="AN5589" s="87" t="n">
        <x:v>14</x:v>
      </x:c>
    </x:row>
    <x:row r="5590">
      <x:c r="A5590" s="87" t="n">
        <x:v>5589</x:v>
      </x:c>
      <x:c r="B5590" s="87" t="str">
        <x:v>EGKR-W25-MATHP-956-14</x:v>
      </x:c>
      <x:c r="C5590" s="87" t="str">
        <x:v>ЕГКР</x:v>
      </x:c>
      <x:c r="D5590" s="87"/>
      <x:c r="E5590" s="87" t="str">
        <x:v>Зима 2025</x:v>
      </x:c>
      <x:c r="F5590" s="87" t="str">
        <x:v>16.12.2025</x:v>
      </x:c>
      <x:c r="G5590" s="87" t="str">
        <x:v>Математика (профиль)</x:v>
      </x:c>
      <x:c r="H5590" s="87" t="n">
        <x:v>11</x:v>
      </x:c>
      <x:c r="I5590" s="87"/>
      <x:c r="J5590" s="87" t="str">
        <x:v>956</x:v>
      </x:c>
      <x:c r="K5590" s="87" t="n">
        <x:v>14</x:v>
      </x:c>
      <x:c r="L5590" s="87" t="str">
        <x:v>Развёрнутый ответ</x:v>
      </x:c>
      <x:c r="M5590" s="30" t="str">
        <x:v>Пирамида на ромбе со стороной 14; грани SAB и SCB перпендикулярны основанию, угол между ними 150°, другие грани наклонены на 60°.</x:v>
      </x:c>
      <x:c r="N5590" s="30" t="str">
        <x:v>SB перпендикулярно основанию, а угол ABC равен 150°. Расстояния от B до AD и CD одинаковы и равны 14/2, поэтому наклонные высоты граней SAD и SCD равны, следовательно, грани равновелики. Из tan60°=SB/(14/2) получаем SB=14√3/2; наклонная высота к AD и CD равна 14. Суммарная площадь боковых граней: 196+98√3.</x:v>
      </x:c>
      <x:c r="O5590" s="30" t="str">
        <x:v>Содержит полный ход решения и итоговый ответ.</x:v>
      </x:c>
      <x:c r="P5590" s="30" t="str">
        <x:v>Алгебра, геометрия или перебор проверены независимо от приложенных ученических решений.</x:v>
      </x:c>
      <x:c r="Q5590" s="30"/>
      <x:c r="R5590" s="30"/>
      <x:c r="S5590" s="30" t="str">
        <x:v>Независимое решение по исходному заданию</x:v>
      </x:c>
      <x:c r="T5590" s="30"/>
      <x:c r="U5590" s="30" t="str">
        <x:v>Независимая модель решения.</x:v>
      </x:c>
      <x:c r="V5590" s="87" t="str">
        <x:v>VERIFIED</x:v>
      </x:c>
      <x:c r="W5590" s="87"/>
      <x:c r="X5590" s="87" t="n">
        <x:v>3</x:v>
      </x:c>
      <x:c r="Y5590" s="87"/>
      <x:c r="Z5590" s="87"/>
      <x:c r="AA5590" s="87"/>
      <x:c r="AB5590" s="87"/>
      <x:c r="AC5590" s="87" t="str">
        <x:v>VIS-EGKR-MATHP-W25-TASK-956-P003</x:v>
      </x:c>
      <x:c r="AD5590" s="87"/>
      <x:c r="AE5590" s="87" t="str">
        <x:v>TASK</x:v>
      </x:c>
      <x:c r="AF5590" s="87" t="str">
        <x:v>VIS-EGKR-MATHP-W25-TASK-956-P003: 3</x:v>
      </x:c>
      <x:c r="AG5590" s="87" t="str">
        <x:v>RESOLVED</x:v>
      </x:c>
      <x:c r="AH5590" s="87" t="str">
        <x:v>CROP_VERIFIED</x:v>
      </x:c>
      <x:c r="AI5590" s="30"/>
      <x:c r="AJ5590" s="87" t="str">
        <x:v>clean</x:v>
      </x:c>
      <x:c r="AK5590" s="87" t="str">
        <x:v>clean-v0.15</x:v>
      </x:c>
      <x:c r="AL5590" s="87" t="str">
        <x:v>statgrad_clean_continuation_v0_15(1).xlsx</x:v>
      </x:c>
      <x:c r="AM5590" s="87" t="str">
        <x:v>MATHP_EGKR_956</x:v>
      </x:c>
      <x:c r="AN5590" s="87" t="n">
        <x:v>15</x:v>
      </x:c>
    </x:row>
    <x:row r="5591">
      <x:c r="A5591" s="87" t="n">
        <x:v>5590</x:v>
      </x:c>
      <x:c r="B5591" s="87" t="str">
        <x:v>EGKR-W25-MATHP-956-15</x:v>
      </x:c>
      <x:c r="C5591" s="87" t="str">
        <x:v>ЕГКР</x:v>
      </x:c>
      <x:c r="D5591" s="87"/>
      <x:c r="E5591" s="87" t="str">
        <x:v>Зима 2025</x:v>
      </x:c>
      <x:c r="F5591" s="87" t="str">
        <x:v>16.12.2025</x:v>
      </x:c>
      <x:c r="G5591" s="87" t="str">
        <x:v>Математика (профиль)</x:v>
      </x:c>
      <x:c r="H5591" s="87" t="n">
        <x:v>11</x:v>
      </x:c>
      <x:c r="I5591" s="87"/>
      <x:c r="J5591" s="87" t="str">
        <x:v>956</x:v>
      </x:c>
      <x:c r="K5591" s="87" t="n">
        <x:v>15</x:v>
      </x:c>
      <x:c r="L5591" s="87" t="str">
        <x:v>Развёрнутый ответ</x:v>
      </x:c>
      <x:c r="M5591" s="30" t="str">
        <x:v>(2x+1)²-2/(2x-1) ≤ (2x-1)²+2/(2x+1).</x:v>
      </x:c>
      <x:c r="N5591" s="30" t="str">
        <x:v>x∈(-∞;-√2/2]∪(-1/2;0]∪(1/2;√2/2].</x:v>
      </x:c>
      <x:c r="O5591" s="30" t="str">
        <x:v>Содержит полный ход решения и итоговый ответ.</x:v>
      </x:c>
      <x:c r="P5591" s="30" t="str">
        <x:v>Алгебра, геометрия или перебор проверены независимо от приложенных ученических решений.</x:v>
      </x:c>
      <x:c r="Q5591" s="30"/>
      <x:c r="R5591" s="30"/>
      <x:c r="S5591" s="30" t="str">
        <x:v>Независимое решение по исходному заданию</x:v>
      </x:c>
      <x:c r="T5591" s="30"/>
      <x:c r="U5591" s="30" t="str">
        <x:v>Независимая модель решения.</x:v>
      </x:c>
      <x:c r="V5591" s="87" t="str">
        <x:v>VERIFIED</x:v>
      </x:c>
      <x:c r="W5591" s="87"/>
      <x:c r="X5591" s="87" t="n">
        <x:v>3</x:v>
      </x:c>
      <x:c r="Y5591" s="87"/>
      <x:c r="Z5591" s="87"/>
      <x:c r="AA5591" s="87"/>
      <x:c r="AB5591" s="87"/>
      <x:c r="AC5591" s="87" t="str">
        <x:v>VIS-EGKR-MATHP-W25-TASK-956-P003</x:v>
      </x:c>
      <x:c r="AD5591" s="87"/>
      <x:c r="AE5591" s="87" t="str">
        <x:v>TASK</x:v>
      </x:c>
      <x:c r="AF5591" s="87" t="str">
        <x:v>VIS-EGKR-MATHP-W25-TASK-956-P003: 3</x:v>
      </x:c>
      <x:c r="AG5591" s="87" t="str">
        <x:v>RESOLVED</x:v>
      </x:c>
      <x:c r="AH5591" s="87" t="str">
        <x:v>CROP_VERIFIED</x:v>
      </x:c>
      <x:c r="AI5591" s="30"/>
      <x:c r="AJ5591" s="87" t="str">
        <x:v>clean</x:v>
      </x:c>
      <x:c r="AK5591" s="87" t="str">
        <x:v>clean-v0.15</x:v>
      </x:c>
      <x:c r="AL5591" s="87" t="str">
        <x:v>statgrad_clean_continuation_v0_15(1).xlsx</x:v>
      </x:c>
      <x:c r="AM5591" s="87" t="str">
        <x:v>MATHP_EGKR_956</x:v>
      </x:c>
      <x:c r="AN5591" s="87" t="n">
        <x:v>16</x:v>
      </x:c>
    </x:row>
    <x:row r="5592">
      <x:c r="A5592" s="87" t="n">
        <x:v>5591</x:v>
      </x:c>
      <x:c r="B5592" s="87" t="str">
        <x:v>EGKR-W25-MATHP-956-16</x:v>
      </x:c>
      <x:c r="C5592" s="87" t="str">
        <x:v>ЕГКР</x:v>
      </x:c>
      <x:c r="D5592" s="87"/>
      <x:c r="E5592" s="87" t="str">
        <x:v>Зима 2025</x:v>
      </x:c>
      <x:c r="F5592" s="87" t="str">
        <x:v>16.12.2025</x:v>
      </x:c>
      <x:c r="G5592" s="87" t="str">
        <x:v>Математика (профиль)</x:v>
      </x:c>
      <x:c r="H5592" s="87" t="n">
        <x:v>11</x:v>
      </x:c>
      <x:c r="I5592" s="87"/>
      <x:c r="J5592" s="87" t="str">
        <x:v>956</x:v>
      </x:c>
      <x:c r="K5592" s="87" t="n">
        <x:v>16</x:v>
      </x:c>
      <x:c r="L5592" s="87" t="str">
        <x:v>Развёрнутый ответ</x:v>
      </x:c>
      <x:c r="M5592" s="30" t="str">
        <x:v>Вклад на 4 года под 10%; в начале 3-го и 4-го годов вносится по 9 млн; суммарные проценты не больше 15 млн.</x:v>
      </x:c>
      <x:c r="N5592" s="30" t="str">
        <x:v>Сумма начисленных процентов равна 0,4641P+0,31·9. Неравенство 0,4641P+0,31·9≤15 даёт P≤26.309. Наибольшее целое число миллионов: 26.</x:v>
      </x:c>
      <x:c r="O5592" s="30" t="str">
        <x:v>Содержит полный ход решения и итоговый ответ.</x:v>
      </x:c>
      <x:c r="P5592" s="30" t="str">
        <x:v>Алгебра, геометрия или перебор проверены независимо от приложенных ученических решений.</x:v>
      </x:c>
      <x:c r="Q5592" s="30"/>
      <x:c r="R5592" s="30"/>
      <x:c r="S5592" s="30" t="str">
        <x:v>Независимое решение по исходному заданию</x:v>
      </x:c>
      <x:c r="T5592" s="30"/>
      <x:c r="U5592" s="30" t="str">
        <x:v>Независимая модель решения.</x:v>
      </x:c>
      <x:c r="V5592" s="87" t="str">
        <x:v>VERIFIED</x:v>
      </x:c>
      <x:c r="W5592" s="87"/>
      <x:c r="X5592" s="87" t="n">
        <x:v>3</x:v>
      </x:c>
      <x:c r="Y5592" s="87"/>
      <x:c r="Z5592" s="87"/>
      <x:c r="AA5592" s="87"/>
      <x:c r="AB5592" s="87"/>
      <x:c r="AC5592" s="87" t="str">
        <x:v>VIS-EGKR-MATHP-W25-TASK-956-P003</x:v>
      </x:c>
      <x:c r="AD5592" s="87"/>
      <x:c r="AE5592" s="87" t="str">
        <x:v>TASK</x:v>
      </x:c>
      <x:c r="AF5592" s="87" t="str">
        <x:v>VIS-EGKR-MATHP-W25-TASK-956-P003: 3</x:v>
      </x:c>
      <x:c r="AG5592" s="87" t="str">
        <x:v>RESOLVED</x:v>
      </x:c>
      <x:c r="AH5592" s="87" t="str">
        <x:v>CROP_VERIFIED</x:v>
      </x:c>
      <x:c r="AI5592" s="30"/>
      <x:c r="AJ5592" s="87" t="str">
        <x:v>clean</x:v>
      </x:c>
      <x:c r="AK5592" s="87" t="str">
        <x:v>clean-v0.15</x:v>
      </x:c>
      <x:c r="AL5592" s="87" t="str">
        <x:v>statgrad_clean_continuation_v0_15(1).xlsx</x:v>
      </x:c>
      <x:c r="AM5592" s="87" t="str">
        <x:v>MATHP_EGKR_956</x:v>
      </x:c>
      <x:c r="AN5592" s="87" t="n">
        <x:v>17</x:v>
      </x:c>
    </x:row>
    <x:row r="5593">
      <x:c r="A5593" s="87" t="n">
        <x:v>5592</x:v>
      </x:c>
      <x:c r="B5593" s="87" t="str">
        <x:v>EGKR-W25-MATHP-956-17</x:v>
      </x:c>
      <x:c r="C5593" s="87" t="str">
        <x:v>ЕГКР</x:v>
      </x:c>
      <x:c r="D5593" s="87"/>
      <x:c r="E5593" s="87" t="str">
        <x:v>Зима 2025</x:v>
      </x:c>
      <x:c r="F5593" s="87" t="str">
        <x:v>16.12.2025</x:v>
      </x:c>
      <x:c r="G5593" s="87" t="str">
        <x:v>Математика (профиль)</x:v>
      </x:c>
      <x:c r="H5593" s="87" t="n">
        <x:v>11</x:v>
      </x:c>
      <x:c r="I5593" s="87"/>
      <x:c r="J5593" s="87" t="str">
        <x:v>956</x:v>
      </x:c>
      <x:c r="K5593" s="87" t="n">
        <x:v>17</x:v>
      </x:c>
      <x:c r="L5593" s="87" t="str">
        <x:v>Развёрнутый ответ</x:v>
      </x:c>
      <x:c r="M5593" s="30" t="str">
        <x:v>В треугольнике ABC угол C тупой; BH - высота, P - второе пересечение BH с окружностью; AP - биссектриса. BC=R=11√2.</x:v>
      </x:c>
      <x:c r="N5593" s="30" t="str">
        <x:v>Из ∠BAP=∠PAC следуют равные хорды BP=PC, поэтому BCP равнобедренный. Так как BC=R=2R·sin∠BAC, то ∠A=30°. В треугольнике ABP: ∠BAP=15°, ∠ABP=60°, поэтому ∠APB=105°; отсюда ∠C=105° и ∠B=45°. Тогда AC=2R·sin45°=R√2=22.</x:v>
      </x:c>
      <x:c r="O5593" s="30" t="str">
        <x:v>Содержит полный ход решения и итоговый ответ.</x:v>
      </x:c>
      <x:c r="P5593" s="30" t="str">
        <x:v>Алгебра, геометрия или перебор проверены независимо от приложенных ученических решений.</x:v>
      </x:c>
      <x:c r="Q5593" s="30"/>
      <x:c r="R5593" s="30"/>
      <x:c r="S5593" s="30" t="str">
        <x:v>Независимое решение по исходному заданию</x:v>
      </x:c>
      <x:c r="T5593" s="30"/>
      <x:c r="U5593" s="30" t="str">
        <x:v>Независимая модель решения.</x:v>
      </x:c>
      <x:c r="V5593" s="87" t="str">
        <x:v>VERIFIED</x:v>
      </x:c>
      <x:c r="W5593" s="87"/>
      <x:c r="X5593" s="87" t="n">
        <x:v>3</x:v>
      </x:c>
      <x:c r="Y5593" s="87"/>
      <x:c r="Z5593" s="87"/>
      <x:c r="AA5593" s="87"/>
      <x:c r="AB5593" s="87"/>
      <x:c r="AC5593" s="87" t="str">
        <x:v>VIS-EGKR-MATHP-W25-TASK-956-P003</x:v>
      </x:c>
      <x:c r="AD5593" s="87"/>
      <x:c r="AE5593" s="87" t="str">
        <x:v>TASK</x:v>
      </x:c>
      <x:c r="AF5593" s="87" t="str">
        <x:v>VIS-EGKR-MATHP-W25-TASK-956-P003: 3</x:v>
      </x:c>
      <x:c r="AG5593" s="87" t="str">
        <x:v>RESOLVED</x:v>
      </x:c>
      <x:c r="AH5593" s="87" t="str">
        <x:v>CROP_VERIFIED</x:v>
      </x:c>
      <x:c r="AI5593" s="30"/>
      <x:c r="AJ5593" s="87" t="str">
        <x:v>clean</x:v>
      </x:c>
      <x:c r="AK5593" s="87" t="str">
        <x:v>clean-v0.15</x:v>
      </x:c>
      <x:c r="AL5593" s="87" t="str">
        <x:v>statgrad_clean_continuation_v0_15(1).xlsx</x:v>
      </x:c>
      <x:c r="AM5593" s="87" t="str">
        <x:v>MATHP_EGKR_956</x:v>
      </x:c>
      <x:c r="AN5593" s="87" t="n">
        <x:v>18</x:v>
      </x:c>
    </x:row>
    <x:row r="5594">
      <x:c r="A5594" s="87" t="n">
        <x:v>5593</x:v>
      </x:c>
      <x:c r="B5594" s="87" t="str">
        <x:v>EGKR-W25-MATHP-956-18</x:v>
      </x:c>
      <x:c r="C5594" s="87" t="str">
        <x:v>ЕГКР</x:v>
      </x:c>
      <x:c r="D5594" s="87"/>
      <x:c r="E5594" s="87" t="str">
        <x:v>Зима 2025</x:v>
      </x:c>
      <x:c r="F5594" s="87" t="str">
        <x:v>16.12.2025</x:v>
      </x:c>
      <x:c r="G5594" s="87" t="str">
        <x:v>Математика (профиль)</x:v>
      </x:c>
      <x:c r="H5594" s="87" t="n">
        <x:v>11</x:v>
      </x:c>
      <x:c r="I5594" s="87"/>
      <x:c r="J5594" s="87" t="str">
        <x:v>956</x:v>
      </x:c>
      <x:c r="K5594" s="87" t="n">
        <x:v>18</x:v>
      </x:c>
      <x:c r="L5594" s="87" t="str">
        <x:v>Развёрнутый ответ</x:v>
      </x:c>
      <x:c r="M5594" s="30" t="str">
        <x:v>|x²-ax+36|+|24x-a²|=||x²-ax+36|-|a²-24x||. Найти a, при которых корень единственный.</x:v>
      </x:c>
      <x:c r="N5594" s="30" t="str">
        <x:v>Для U,V≥0 равенство U+V=|U-V| эквивалентно UV=0. Корни задаются x²-ax+36=0 и x=a²/24. При |a|&lt;2·6 квадратное уравнение корней не имеет, остаётся один линейный корень. При a=2·6 двойной корень совпадает с ним; при a=-2·6 получаются два различных корня. Ответ: a∈(-12;12].</x:v>
      </x:c>
      <x:c r="O5594" s="30" t="str">
        <x:v>Содержит полный ход решения и итоговый ответ.</x:v>
      </x:c>
      <x:c r="P5594" s="30" t="str">
        <x:v>Алгебра, геометрия или перебор проверены независимо от приложенных ученических решений.</x:v>
      </x:c>
      <x:c r="Q5594" s="30"/>
      <x:c r="R5594" s="30"/>
      <x:c r="S5594" s="30" t="str">
        <x:v>Независимое решение по исходному заданию</x:v>
      </x:c>
      <x:c r="T5594" s="30"/>
      <x:c r="U5594" s="30" t="str">
        <x:v>Независимая модель решения.</x:v>
      </x:c>
      <x:c r="V5594" s="87" t="str">
        <x:v>VERIFIED</x:v>
      </x:c>
      <x:c r="W5594" s="87"/>
      <x:c r="X5594" s="87" t="n">
        <x:v>3</x:v>
      </x:c>
      <x:c r="Y5594" s="87"/>
      <x:c r="Z5594" s="87"/>
      <x:c r="AA5594" s="87"/>
      <x:c r="AB5594" s="87"/>
      <x:c r="AC5594" s="87" t="str">
        <x:v>VIS-EGKR-MATHP-W25-TASK-956-P003</x:v>
      </x:c>
      <x:c r="AD5594" s="87"/>
      <x:c r="AE5594" s="87" t="str">
        <x:v>TASK</x:v>
      </x:c>
      <x:c r="AF5594" s="87" t="str">
        <x:v>VIS-EGKR-MATHP-W25-TASK-956-P003: 3</x:v>
      </x:c>
      <x:c r="AG5594" s="87" t="str">
        <x:v>RESOLVED</x:v>
      </x:c>
      <x:c r="AH5594" s="87" t="str">
        <x:v>CROP_VERIFIED</x:v>
      </x:c>
      <x:c r="AI5594" s="30"/>
      <x:c r="AJ5594" s="87" t="str">
        <x:v>clean</x:v>
      </x:c>
      <x:c r="AK5594" s="87" t="str">
        <x:v>clean-v0.15</x:v>
      </x:c>
      <x:c r="AL5594" s="87" t="str">
        <x:v>statgrad_clean_continuation_v0_15(1).xlsx</x:v>
      </x:c>
      <x:c r="AM5594" s="87" t="str">
        <x:v>MATHP_EGKR_956</x:v>
      </x:c>
      <x:c r="AN5594" s="87" t="n">
        <x:v>19</x:v>
      </x:c>
    </x:row>
    <x:row r="5595">
      <x:c r="A5595" s="87" t="n">
        <x:v>5594</x:v>
      </x:c>
      <x:c r="B5595" s="87" t="str">
        <x:v>EGKR-W25-MATHP-956-19</x:v>
      </x:c>
      <x:c r="C5595" s="87" t="str">
        <x:v>ЕГКР</x:v>
      </x:c>
      <x:c r="D5595" s="87"/>
      <x:c r="E5595" s="87" t="str">
        <x:v>Зима 2025</x:v>
      </x:c>
      <x:c r="F5595" s="87" t="str">
        <x:v>16.12.2025</x:v>
      </x:c>
      <x:c r="G5595" s="87" t="str">
        <x:v>Математика (профиль)</x:v>
      </x:c>
      <x:c r="H5595" s="87" t="n">
        <x:v>11</x:v>
      </x:c>
      <x:c r="I5595" s="87"/>
      <x:c r="J5595" s="87" t="str">
        <x:v>956</x:v>
      </x:c>
      <x:c r="K5595" s="87" t="n">
        <x:v>19</x:v>
      </x:c>
      <x:c r="L5595" s="87" t="str">
        <x:v>Развёрнутый ответ</x:v>
      </x:c>
      <x:c r="M5595" s="30" t="str">
        <x:v>Конечная геометрическая прогрессия из трёхзначных натуральных чисел начинается с 176; не менее трёх членов. Проверить 308, 616 и найти максимум.</x:v>
      </x:c>
      <x:c r="N5595" s="30" t="str">
        <x:v>Пусть q=m/n в несократимом виде. Для целочисленности первых трёх членов необходимо n²|176; перебор допустимых m/n с сохранением трёхзначности даёт: а) да, q=7/4 даёт 176,308,539; б) нет, 616 не входит ни в одну допустимую последовательность; в) наибольшее возможное число 891, поскольку q=3/2 даёт 176,264,396,594,891.</x:v>
      </x:c>
      <x:c r="O5595" s="30" t="str">
        <x:v>Содержит полный ход решения и итоговый ответ.</x:v>
      </x:c>
      <x:c r="P5595" s="30" t="str">
        <x:v>Алгебра, геометрия или перебор проверены независимо от приложенных ученических решений.</x:v>
      </x:c>
      <x:c r="Q5595" s="30"/>
      <x:c r="R5595" s="30"/>
      <x:c r="S5595" s="30" t="str">
        <x:v>Независимое решение по исходному заданию</x:v>
      </x:c>
      <x:c r="T5595" s="30"/>
      <x:c r="U5595" s="30" t="str">
        <x:v>Независимая модель решения.</x:v>
      </x:c>
      <x:c r="V5595" s="87" t="str">
        <x:v>VERIFIED</x:v>
      </x:c>
      <x:c r="W5595" s="87"/>
      <x:c r="X5595" s="87" t="n">
        <x:v>3</x:v>
      </x:c>
      <x:c r="Y5595" s="87"/>
      <x:c r="Z5595" s="87"/>
      <x:c r="AA5595" s="87"/>
      <x:c r="AB5595" s="87"/>
      <x:c r="AC5595" s="87" t="str">
        <x:v>VIS-EGKR-MATHP-W25-TASK-956-P003</x:v>
      </x:c>
      <x:c r="AD5595" s="87"/>
      <x:c r="AE5595" s="87" t="str">
        <x:v>TASK</x:v>
      </x:c>
      <x:c r="AF5595" s="87" t="str">
        <x:v>VIS-EGKR-MATHP-W25-TASK-956-P003: 3</x:v>
      </x:c>
      <x:c r="AG5595" s="87" t="str">
        <x:v>RESOLVED</x:v>
      </x:c>
      <x:c r="AH5595" s="87" t="str">
        <x:v>CROP_VERIFIED</x:v>
      </x:c>
      <x:c r="AI5595" s="30"/>
      <x:c r="AJ5595" s="87" t="str">
        <x:v>clean</x:v>
      </x:c>
      <x:c r="AK5595" s="87" t="str">
        <x:v>clean-v0.15</x:v>
      </x:c>
      <x:c r="AL5595" s="87" t="str">
        <x:v>statgrad_clean_continuation_v0_15(1).xlsx</x:v>
      </x:c>
      <x:c r="AM5595" s="87" t="str">
        <x:v>MATHP_EGKR_956</x:v>
      </x:c>
      <x:c r="AN5595" s="87" t="n">
        <x:v>20</x:v>
      </x:c>
    </x:row>
    <x:row r="5596">
      <x:c r="A5596" s="87" t="n">
        <x:v>5595</x:v>
      </x:c>
      <x:c r="B5596" s="87" t="str">
        <x:v>EGKR-W25-MATHP-957-01</x:v>
      </x:c>
      <x:c r="C5596" s="87" t="str">
        <x:v>ЕГКР</x:v>
      </x:c>
      <x:c r="D5596" s="87"/>
      <x:c r="E5596" s="87" t="str">
        <x:v>Зима 2025</x:v>
      </x:c>
      <x:c r="F5596" s="87" t="str">
        <x:v>16.12.2025</x:v>
      </x:c>
      <x:c r="G5596" s="87" t="str">
        <x:v>Математика (профиль)</x:v>
      </x:c>
      <x:c r="H5596" s="87" t="n">
        <x:v>11</x:v>
      </x:c>
      <x:c r="I5596" s="87"/>
      <x:c r="J5596" s="87" t="str">
        <x:v>957</x:v>
      </x:c>
      <x:c r="K5596" s="87" t="n">
        <x:v>1</x:v>
      </x:c>
      <x:c r="L5596" s="87" t="str">
        <x:v>Краткий ответ</x:v>
      </x:c>
      <x:c r="M5596" s="30" t="str">
        <x:v>Прямоугольник ABCD; K - середина AD; AB=15, BK=25. Найти периметр.</x:v>
      </x:c>
      <x:c r="N5596" s="30" t="str">
        <x:v>110</x:v>
      </x:c>
      <x:c r="O5596" s="30" t="str">
        <x:v>Половина AD находится по теореме Пифагора из треугольника ABK; затем вычисляется периметр.</x:v>
      </x:c>
      <x:c r="P5596" s="30" t="str">
        <x:v>Проверено вычислением и по полной визуальной странице.</x:v>
      </x:c>
      <x:c r="Q5596" s="30"/>
      <x:c r="R5596" s="30"/>
      <x:c r="S5596" s="30" t="str">
        <x:v>Ответы профиль.docx</x:v>
      </x:c>
      <x:c r="T5596" s="30"/>
      <x:c r="U5596" s="30" t="str">
        <x:v>Ответник совпадает с независимой проверкой.</x:v>
      </x:c>
      <x:c r="V5596" s="87" t="str">
        <x:v>VERIFIED</x:v>
      </x:c>
      <x:c r="W5596" s="87"/>
      <x:c r="X5596" s="87" t="n">
        <x:v>1</x:v>
      </x:c>
      <x:c r="Y5596" s="87"/>
      <x:c r="Z5596" s="87"/>
      <x:c r="AA5596" s="87"/>
      <x:c r="AB5596" s="87"/>
      <x:c r="AC5596" s="87" t="str">
        <x:v>VIS-EGKR-MATHP-W25-TASK-957-P001</x:v>
      </x:c>
      <x:c r="AD5596" s="87"/>
      <x:c r="AE5596" s="87" t="str">
        <x:v>TASK</x:v>
      </x:c>
      <x:c r="AF5596" s="87" t="str">
        <x:v>VIS-EGKR-MATHP-W25-TASK-957-P001: 1</x:v>
      </x:c>
      <x:c r="AG5596" s="87" t="str">
        <x:v>RESOLVED</x:v>
      </x:c>
      <x:c r="AH5596" s="87" t="str">
        <x:v>CROP_VERIFIED</x:v>
      </x:c>
      <x:c r="AI5596" s="30"/>
      <x:c r="AJ5596" s="87" t="str">
        <x:v>clean</x:v>
      </x:c>
      <x:c r="AK5596" s="87" t="str">
        <x:v>clean-v0.15</x:v>
      </x:c>
      <x:c r="AL5596" s="87" t="str">
        <x:v>statgrad_clean_continuation_v0_15(1).xlsx</x:v>
      </x:c>
      <x:c r="AM5596" s="87" t="str">
        <x:v>MATHP_EGKR_957</x:v>
      </x:c>
      <x:c r="AN5596" s="87" t="n">
        <x:v>2</x:v>
      </x:c>
    </x:row>
    <x:row r="5597">
      <x:c r="A5597" s="87" t="n">
        <x:v>5596</x:v>
      </x:c>
      <x:c r="B5597" s="87" t="str">
        <x:v>EGKR-W25-MATHP-957-02</x:v>
      </x:c>
      <x:c r="C5597" s="87" t="str">
        <x:v>ЕГКР</x:v>
      </x:c>
      <x:c r="D5597" s="87"/>
      <x:c r="E5597" s="87" t="str">
        <x:v>Зима 2025</x:v>
      </x:c>
      <x:c r="F5597" s="87" t="str">
        <x:v>16.12.2025</x:v>
      </x:c>
      <x:c r="G5597" s="87" t="str">
        <x:v>Математика (профиль)</x:v>
      </x:c>
      <x:c r="H5597" s="87" t="n">
        <x:v>11</x:v>
      </x:c>
      <x:c r="I5597" s="87"/>
      <x:c r="J5597" s="87" t="str">
        <x:v>957</x:v>
      </x:c>
      <x:c r="K5597" s="87" t="n">
        <x:v>2</x:v>
      </x:c>
      <x:c r="L5597" s="87" t="str">
        <x:v>Краткий ответ</x:v>
      </x:c>
      <x:c r="M5597" s="30" t="str">
        <x:v>По координатной сетке найти скалярное произведение векторов a и b.</x:v>
      </x:c>
      <x:c r="N5597" s="30" t="str">
        <x:v>11</x:v>
      </x:c>
      <x:c r="O5597" s="30" t="str">
        <x:v>Координаты векторов считаны по клеткам, после чего вычислено aₓbₓ+aᵧbᵧ.</x:v>
      </x:c>
      <x:c r="P5597" s="30" t="str">
        <x:v>Проверено вычислением и по полной визуальной странице.</x:v>
      </x:c>
      <x:c r="Q5597" s="30"/>
      <x:c r="R5597" s="30"/>
      <x:c r="S5597" s="30" t="str">
        <x:v>Ответы профиль.docx</x:v>
      </x:c>
      <x:c r="T5597" s="30"/>
      <x:c r="U5597" s="30" t="str">
        <x:v>Ответник совпадает с независимой проверкой.</x:v>
      </x:c>
      <x:c r="V5597" s="87" t="str">
        <x:v>VERIFIED</x:v>
      </x:c>
      <x:c r="W5597" s="87"/>
      <x:c r="X5597" s="87" t="n">
        <x:v>1</x:v>
      </x:c>
      <x:c r="Y5597" s="87"/>
      <x:c r="Z5597" s="87"/>
      <x:c r="AA5597" s="87"/>
      <x:c r="AB5597" s="87"/>
      <x:c r="AC5597" s="87" t="str">
        <x:v>VIS-EGKR-MATHP-W25-TASK-957-P001</x:v>
      </x:c>
      <x:c r="AD5597" s="87"/>
      <x:c r="AE5597" s="87" t="str">
        <x:v>TASK</x:v>
      </x:c>
      <x:c r="AF5597" s="87" t="str">
        <x:v>VIS-EGKR-MATHP-W25-TASK-957-P001: 1</x:v>
      </x:c>
      <x:c r="AG5597" s="87" t="str">
        <x:v>RESOLVED</x:v>
      </x:c>
      <x:c r="AH5597" s="87" t="str">
        <x:v>CROP_VERIFIED</x:v>
      </x:c>
      <x:c r="AI5597" s="30"/>
      <x:c r="AJ5597" s="87" t="str">
        <x:v>clean</x:v>
      </x:c>
      <x:c r="AK5597" s="87" t="str">
        <x:v>clean-v0.15</x:v>
      </x:c>
      <x:c r="AL5597" s="87" t="str">
        <x:v>statgrad_clean_continuation_v0_15(1).xlsx</x:v>
      </x:c>
      <x:c r="AM5597" s="87" t="str">
        <x:v>MATHP_EGKR_957</x:v>
      </x:c>
      <x:c r="AN5597" s="87" t="n">
        <x:v>3</x:v>
      </x:c>
    </x:row>
    <x:row r="5598">
      <x:c r="A5598" s="87" t="n">
        <x:v>5597</x:v>
      </x:c>
      <x:c r="B5598" s="87" t="str">
        <x:v>EGKR-W25-MATHP-957-03</x:v>
      </x:c>
      <x:c r="C5598" s="87" t="str">
        <x:v>ЕГКР</x:v>
      </x:c>
      <x:c r="D5598" s="87"/>
      <x:c r="E5598" s="87" t="str">
        <x:v>Зима 2025</x:v>
      </x:c>
      <x:c r="F5598" s="87" t="str">
        <x:v>16.12.2025</x:v>
      </x:c>
      <x:c r="G5598" s="87" t="str">
        <x:v>Математика (профиль)</x:v>
      </x:c>
      <x:c r="H5598" s="87" t="n">
        <x:v>11</x:v>
      </x:c>
      <x:c r="I5598" s="87"/>
      <x:c r="J5598" s="87" t="str">
        <x:v>957</x:v>
      </x:c>
      <x:c r="K5598" s="87" t="n">
        <x:v>3</x:v>
      </x:c>
      <x:c r="L5598" s="87" t="str">
        <x:v>Краткий ответ</x:v>
      </x:c>
      <x:c r="M5598" s="30" t="str">
        <x:v>В кубе K - середина CC₁, M - середина CD. Найти угол между KM и D₁C₁.</x:v>
      </x:c>
      <x:c r="N5598" s="30" t="str">
        <x:v>45</x:v>
      </x:c>
      <x:c r="O5598" s="30" t="str">
        <x:v>Прямые заменены параллельными векторами куба; угол найден по скалярному произведению.</x:v>
      </x:c>
      <x:c r="P5598" s="30" t="str">
        <x:v>Проверено вычислением и по полной визуальной странице.</x:v>
      </x:c>
      <x:c r="Q5598" s="30"/>
      <x:c r="R5598" s="30"/>
      <x:c r="S5598" s="30" t="str">
        <x:v>Ответы профиль.docx</x:v>
      </x:c>
      <x:c r="T5598" s="30"/>
      <x:c r="U5598" s="30" t="str">
        <x:v>Ответник совпадает с независимой проверкой.</x:v>
      </x:c>
      <x:c r="V5598" s="87" t="str">
        <x:v>VERIFIED</x:v>
      </x:c>
      <x:c r="W5598" s="87"/>
      <x:c r="X5598" s="87" t="n">
        <x:v>1</x:v>
      </x:c>
      <x:c r="Y5598" s="87"/>
      <x:c r="Z5598" s="87"/>
      <x:c r="AA5598" s="87"/>
      <x:c r="AB5598" s="87"/>
      <x:c r="AC5598" s="87" t="str">
        <x:v>VIS-EGKR-MATHP-W25-TASK-957-P001</x:v>
      </x:c>
      <x:c r="AD5598" s="87"/>
      <x:c r="AE5598" s="87" t="str">
        <x:v>TASK</x:v>
      </x:c>
      <x:c r="AF5598" s="87" t="str">
        <x:v>VIS-EGKR-MATHP-W25-TASK-957-P001: 1</x:v>
      </x:c>
      <x:c r="AG5598" s="87" t="str">
        <x:v>RESOLVED</x:v>
      </x:c>
      <x:c r="AH5598" s="87" t="str">
        <x:v>CROP_VERIFIED</x:v>
      </x:c>
      <x:c r="AI5598" s="30"/>
      <x:c r="AJ5598" s="87" t="str">
        <x:v>clean</x:v>
      </x:c>
      <x:c r="AK5598" s="87" t="str">
        <x:v>clean-v0.15</x:v>
      </x:c>
      <x:c r="AL5598" s="87" t="str">
        <x:v>statgrad_clean_continuation_v0_15(1).xlsx</x:v>
      </x:c>
      <x:c r="AM5598" s="87" t="str">
        <x:v>MATHP_EGKR_957</x:v>
      </x:c>
      <x:c r="AN5598" s="87" t="n">
        <x:v>4</x:v>
      </x:c>
    </x:row>
    <x:row r="5599">
      <x:c r="A5599" s="87" t="n">
        <x:v>5598</x:v>
      </x:c>
      <x:c r="B5599" s="87" t="str">
        <x:v>EGKR-W25-MATHP-957-04</x:v>
      </x:c>
      <x:c r="C5599" s="87" t="str">
        <x:v>ЕГКР</x:v>
      </x:c>
      <x:c r="D5599" s="87"/>
      <x:c r="E5599" s="87" t="str">
        <x:v>Зима 2025</x:v>
      </x:c>
      <x:c r="F5599" s="87" t="str">
        <x:v>16.12.2025</x:v>
      </x:c>
      <x:c r="G5599" s="87" t="str">
        <x:v>Математика (профиль)</x:v>
      </x:c>
      <x:c r="H5599" s="87" t="n">
        <x:v>11</x:v>
      </x:c>
      <x:c r="I5599" s="87"/>
      <x:c r="J5599" s="87" t="str">
        <x:v>957</x:v>
      </x:c>
      <x:c r="K5599" s="87" t="n">
        <x:v>4</x:v>
      </x:c>
      <x:c r="L5599" s="87" t="str">
        <x:v>Краткий ответ</x:v>
      </x:c>
      <x:c r="M5599" s="30" t="str">
        <x:v>Карточки с целыми числами 5-28; добавить карточку с суммой чётных. Найти вероятность нечётного числа.</x:v>
      </x:c>
      <x:c r="N5599" s="30" t="str">
        <x:v>0,48</x:v>
      </x:c>
      <x:c r="O5599" s="30" t="str">
        <x:v>Добавленная сумма чётных остаётся чётной; число нечётных карточек делится на новое общее число.</x:v>
      </x:c>
      <x:c r="P5599" s="30" t="str">
        <x:v>Проверено вычислением и по полной визуальной странице.</x:v>
      </x:c>
      <x:c r="Q5599" s="30"/>
      <x:c r="R5599" s="30"/>
      <x:c r="S5599" s="30" t="str">
        <x:v>Ответы профиль.docx</x:v>
      </x:c>
      <x:c r="T5599" s="30"/>
      <x:c r="U5599" s="30" t="str">
        <x:v>Ответник совпадает с независимой проверкой.</x:v>
      </x:c>
      <x:c r="V5599" s="87" t="str">
        <x:v>VERIFIED</x:v>
      </x:c>
      <x:c r="W5599" s="87"/>
      <x:c r="X5599" s="87" t="n">
        <x:v>2</x:v>
      </x:c>
      <x:c r="Y5599" s="87"/>
      <x:c r="Z5599" s="87"/>
      <x:c r="AA5599" s="87"/>
      <x:c r="AB5599" s="87"/>
      <x:c r="AC5599" s="87" t="str">
        <x:v>VIS-EGKR-MATHP-W25-TASK-957-P002</x:v>
      </x:c>
      <x:c r="AD5599" s="87"/>
      <x:c r="AE5599" s="87" t="str">
        <x:v>TASK</x:v>
      </x:c>
      <x:c r="AF5599" s="87" t="str">
        <x:v>VIS-EGKR-MATHP-W25-TASK-957-P002: 2</x:v>
      </x:c>
      <x:c r="AG5599" s="87" t="str">
        <x:v>RESOLVED</x:v>
      </x:c>
      <x:c r="AH5599" s="87" t="str">
        <x:v>CROP_VERIFIED</x:v>
      </x:c>
      <x:c r="AI5599" s="30"/>
      <x:c r="AJ5599" s="87" t="str">
        <x:v>clean</x:v>
      </x:c>
      <x:c r="AK5599" s="87" t="str">
        <x:v>clean-v0.15</x:v>
      </x:c>
      <x:c r="AL5599" s="87" t="str">
        <x:v>statgrad_clean_continuation_v0_15(1).xlsx</x:v>
      </x:c>
      <x:c r="AM5599" s="87" t="str">
        <x:v>MATHP_EGKR_957</x:v>
      </x:c>
      <x:c r="AN5599" s="87" t="n">
        <x:v>5</x:v>
      </x:c>
    </x:row>
    <x:row r="5600">
      <x:c r="A5600" s="87" t="n">
        <x:v>5599</x:v>
      </x:c>
      <x:c r="B5600" s="87" t="str">
        <x:v>EGKR-W25-MATHP-957-05</x:v>
      </x:c>
      <x:c r="C5600" s="87" t="str">
        <x:v>ЕГКР</x:v>
      </x:c>
      <x:c r="D5600" s="87"/>
      <x:c r="E5600" s="87" t="str">
        <x:v>Зима 2025</x:v>
      </x:c>
      <x:c r="F5600" s="87" t="str">
        <x:v>16.12.2025</x:v>
      </x:c>
      <x:c r="G5600" s="87" t="str">
        <x:v>Математика (профиль)</x:v>
      </x:c>
      <x:c r="H5600" s="87" t="n">
        <x:v>11</x:v>
      </x:c>
      <x:c r="I5600" s="87"/>
      <x:c r="J5600" s="87" t="str">
        <x:v>957</x:v>
      </x:c>
      <x:c r="K5600" s="87" t="n">
        <x:v>5</x:v>
      </x:c>
      <x:c r="L5600" s="87" t="str">
        <x:v>Краткий ответ</x:v>
      </x:c>
      <x:c r="M5600" s="30" t="str">
        <x:v>Три линии с долями загрузки 20%, 30%, 50% и браком 7%, 3%, 1%. Найти общую вероятность брака.</x:v>
      </x:c>
      <x:c r="N5600" s="30" t="str">
        <x:v>0,028</x:v>
      </x:c>
      <x:c r="O5600" s="30" t="str">
        <x:v>Использована формула полной вероятности с весами 0,2; 0,3; 0,5.</x:v>
      </x:c>
      <x:c r="P5600" s="30" t="str">
        <x:v>Проверено вычислением и по полной визуальной странице.</x:v>
      </x:c>
      <x:c r="Q5600" s="30"/>
      <x:c r="R5600" s="30"/>
      <x:c r="S5600" s="30" t="str">
        <x:v>Ответы профиль.docx</x:v>
      </x:c>
      <x:c r="T5600" s="30"/>
      <x:c r="U5600" s="30" t="str">
        <x:v>Ответник совпадает с независимой проверкой.</x:v>
      </x:c>
      <x:c r="V5600" s="87" t="str">
        <x:v>VERIFIED</x:v>
      </x:c>
      <x:c r="W5600" s="87"/>
      <x:c r="X5600" s="87" t="n">
        <x:v>2</x:v>
      </x:c>
      <x:c r="Y5600" s="87"/>
      <x:c r="Z5600" s="87"/>
      <x:c r="AA5600" s="87"/>
      <x:c r="AB5600" s="87"/>
      <x:c r="AC5600" s="87" t="str">
        <x:v>VIS-EGKR-MATHP-W25-TASK-957-P002</x:v>
      </x:c>
      <x:c r="AD5600" s="87"/>
      <x:c r="AE5600" s="87" t="str">
        <x:v>TASK</x:v>
      </x:c>
      <x:c r="AF5600" s="87" t="str">
        <x:v>VIS-EGKR-MATHP-W25-TASK-957-P002: 2</x:v>
      </x:c>
      <x:c r="AG5600" s="87" t="str">
        <x:v>RESOLVED</x:v>
      </x:c>
      <x:c r="AH5600" s="87" t="str">
        <x:v>CROP_VERIFIED</x:v>
      </x:c>
      <x:c r="AI5600" s="30"/>
      <x:c r="AJ5600" s="87" t="str">
        <x:v>clean</x:v>
      </x:c>
      <x:c r="AK5600" s="87" t="str">
        <x:v>clean-v0.15</x:v>
      </x:c>
      <x:c r="AL5600" s="87" t="str">
        <x:v>statgrad_clean_continuation_v0_15(1).xlsx</x:v>
      </x:c>
      <x:c r="AM5600" s="87" t="str">
        <x:v>MATHP_EGKR_957</x:v>
      </x:c>
      <x:c r="AN5600" s="87" t="n">
        <x:v>6</x:v>
      </x:c>
    </x:row>
    <x:row r="5601">
      <x:c r="A5601" s="87" t="n">
        <x:v>5600</x:v>
      </x:c>
      <x:c r="B5601" s="87" t="str">
        <x:v>EGKR-W25-MATHP-957-06</x:v>
      </x:c>
      <x:c r="C5601" s="87" t="str">
        <x:v>ЕГКР</x:v>
      </x:c>
      <x:c r="D5601" s="87"/>
      <x:c r="E5601" s="87" t="str">
        <x:v>Зима 2025</x:v>
      </x:c>
      <x:c r="F5601" s="87" t="str">
        <x:v>16.12.2025</x:v>
      </x:c>
      <x:c r="G5601" s="87" t="str">
        <x:v>Математика (профиль)</x:v>
      </x:c>
      <x:c r="H5601" s="87" t="n">
        <x:v>11</x:v>
      </x:c>
      <x:c r="I5601" s="87"/>
      <x:c r="J5601" s="87" t="str">
        <x:v>957</x:v>
      </x:c>
      <x:c r="K5601" s="87" t="n">
        <x:v>6</x:v>
      </x:c>
      <x:c r="L5601" s="87" t="str">
        <x:v>Краткий ответ</x:v>
      </x:c>
      <x:c r="M5601" s="30" t="str">
        <x:v>Решить уравнение 5^x=(1/5)^(x+14).</x:v>
      </x:c>
      <x:c r="N5601" s="30" t="str">
        <x:v>-7</x:v>
      </x:c>
      <x:c r="O5601" s="30" t="str">
        <x:v>Правая часть записана как степень того же основания; показатели приравнены.</x:v>
      </x:c>
      <x:c r="P5601" s="30" t="str">
        <x:v>Проверено вычислением и по полной визуальной странице.</x:v>
      </x:c>
      <x:c r="Q5601" s="30"/>
      <x:c r="R5601" s="30"/>
      <x:c r="S5601" s="30" t="str">
        <x:v>Ответы профиль.docx</x:v>
      </x:c>
      <x:c r="T5601" s="30"/>
      <x:c r="U5601" s="30" t="str">
        <x:v>Ответник совпадает с независимой проверкой.</x:v>
      </x:c>
      <x:c r="V5601" s="87" t="str">
        <x:v>VERIFIED</x:v>
      </x:c>
      <x:c r="W5601" s="87"/>
      <x:c r="X5601" s="87" t="n">
        <x:v>2</x:v>
      </x:c>
      <x:c r="Y5601" s="87"/>
      <x:c r="Z5601" s="87"/>
      <x:c r="AA5601" s="87"/>
      <x:c r="AB5601" s="87"/>
      <x:c r="AC5601" s="87" t="str">
        <x:v>VIS-EGKR-MATHP-W25-TASK-957-P002</x:v>
      </x:c>
      <x:c r="AD5601" s="87"/>
      <x:c r="AE5601" s="87" t="str">
        <x:v>TASK</x:v>
      </x:c>
      <x:c r="AF5601" s="87" t="str">
        <x:v>VIS-EGKR-MATHP-W25-TASK-957-P002: 2</x:v>
      </x:c>
      <x:c r="AG5601" s="87" t="str">
        <x:v>RESOLVED</x:v>
      </x:c>
      <x:c r="AH5601" s="87" t="str">
        <x:v>CROP_VERIFIED</x:v>
      </x:c>
      <x:c r="AI5601" s="30"/>
      <x:c r="AJ5601" s="87" t="str">
        <x:v>clean</x:v>
      </x:c>
      <x:c r="AK5601" s="87" t="str">
        <x:v>clean-v0.15</x:v>
      </x:c>
      <x:c r="AL5601" s="87" t="str">
        <x:v>statgrad_clean_continuation_v0_15(1).xlsx</x:v>
      </x:c>
      <x:c r="AM5601" s="87" t="str">
        <x:v>MATHP_EGKR_957</x:v>
      </x:c>
      <x:c r="AN5601" s="87" t="n">
        <x:v>7</x:v>
      </x:c>
    </x:row>
    <x:row r="5602">
      <x:c r="A5602" s="87" t="n">
        <x:v>5601</x:v>
      </x:c>
      <x:c r="B5602" s="87" t="str">
        <x:v>EGKR-W25-MATHP-957-07</x:v>
      </x:c>
      <x:c r="C5602" s="87" t="str">
        <x:v>ЕГКР</x:v>
      </x:c>
      <x:c r="D5602" s="87"/>
      <x:c r="E5602" s="87" t="str">
        <x:v>Зима 2025</x:v>
      </x:c>
      <x:c r="F5602" s="87" t="str">
        <x:v>16.12.2025</x:v>
      </x:c>
      <x:c r="G5602" s="87" t="str">
        <x:v>Математика (профиль)</x:v>
      </x:c>
      <x:c r="H5602" s="87" t="n">
        <x:v>11</x:v>
      </x:c>
      <x:c r="I5602" s="87"/>
      <x:c r="J5602" s="87" t="str">
        <x:v>957</x:v>
      </x:c>
      <x:c r="K5602" s="87" t="n">
        <x:v>7</x:v>
      </x:c>
      <x:c r="L5602" s="87" t="str">
        <x:v>Краткий ответ</x:v>
      </x:c>
      <x:c r="M5602" s="30" t="str">
        <x:v>Вычислить √2 sin(π/4)-cos(π/3).</x:v>
      </x:c>
      <x:c r="N5602" s="30" t="str">
        <x:v>0,5</x:v>
      </x:c>
      <x:c r="O5602" s="30" t="str">
        <x:v>Подставлены табличные значения синуса и косинуса.</x:v>
      </x:c>
      <x:c r="P5602" s="30" t="str">
        <x:v>Проверено вычислением и по полной визуальной странице.</x:v>
      </x:c>
      <x:c r="Q5602" s="30"/>
      <x:c r="R5602" s="30"/>
      <x:c r="S5602" s="30" t="str">
        <x:v>Ответы профиль.docx</x:v>
      </x:c>
      <x:c r="T5602" s="30"/>
      <x:c r="U5602" s="30" t="str">
        <x:v>Ответник совпадает с независимой проверкой.</x:v>
      </x:c>
      <x:c r="V5602" s="87" t="str">
        <x:v>VERIFIED</x:v>
      </x:c>
      <x:c r="W5602" s="87"/>
      <x:c r="X5602" s="87" t="n">
        <x:v>2</x:v>
      </x:c>
      <x:c r="Y5602" s="87"/>
      <x:c r="Z5602" s="87"/>
      <x:c r="AA5602" s="87"/>
      <x:c r="AB5602" s="87"/>
      <x:c r="AC5602" s="87" t="str">
        <x:v>VIS-EGKR-MATHP-W25-TASK-957-P002</x:v>
      </x:c>
      <x:c r="AD5602" s="87"/>
      <x:c r="AE5602" s="87" t="str">
        <x:v>TASK</x:v>
      </x:c>
      <x:c r="AF5602" s="87" t="str">
        <x:v>VIS-EGKR-MATHP-W25-TASK-957-P002: 2</x:v>
      </x:c>
      <x:c r="AG5602" s="87" t="str">
        <x:v>RESOLVED</x:v>
      </x:c>
      <x:c r="AH5602" s="87" t="str">
        <x:v>CROP_VERIFIED</x:v>
      </x:c>
      <x:c r="AI5602" s="30"/>
      <x:c r="AJ5602" s="87" t="str">
        <x:v>clean</x:v>
      </x:c>
      <x:c r="AK5602" s="87" t="str">
        <x:v>clean-v0.15</x:v>
      </x:c>
      <x:c r="AL5602" s="87" t="str">
        <x:v>statgrad_clean_continuation_v0_15(1).xlsx</x:v>
      </x:c>
      <x:c r="AM5602" s="87" t="str">
        <x:v>MATHP_EGKR_957</x:v>
      </x:c>
      <x:c r="AN5602" s="87" t="n">
        <x:v>8</x:v>
      </x:c>
    </x:row>
    <x:row r="5603">
      <x:c r="A5603" s="87" t="n">
        <x:v>5602</x:v>
      </x:c>
      <x:c r="B5603" s="87" t="str">
        <x:v>EGKR-W25-MATHP-957-08</x:v>
      </x:c>
      <x:c r="C5603" s="87" t="str">
        <x:v>ЕГКР</x:v>
      </x:c>
      <x:c r="D5603" s="87"/>
      <x:c r="E5603" s="87" t="str">
        <x:v>Зима 2025</x:v>
      </x:c>
      <x:c r="F5603" s="87" t="str">
        <x:v>16.12.2025</x:v>
      </x:c>
      <x:c r="G5603" s="87" t="str">
        <x:v>Математика (профиль)</x:v>
      </x:c>
      <x:c r="H5603" s="87" t="n">
        <x:v>11</x:v>
      </x:c>
      <x:c r="I5603" s="87"/>
      <x:c r="J5603" s="87" t="str">
        <x:v>957</x:v>
      </x:c>
      <x:c r="K5603" s="87" t="n">
        <x:v>8</x:v>
      </x:c>
      <x:c r="L5603" s="87" t="str">
        <x:v>Краткий ответ</x:v>
      </x:c>
      <x:c r="M5603" s="30" t="str">
        <x:v>По графику f на интервале (-4;9) посчитать целые x, где f'(x)&gt;0.</x:v>
      </x:c>
      <x:c r="N5603" s="30" t="str">
        <x:v>5</x:v>
      </x:c>
      <x:c r="O5603" s="30" t="str">
        <x:v>Посчитаны целые абсциссы на участках возрастания графика.</x:v>
      </x:c>
      <x:c r="P5603" s="30" t="str">
        <x:v>Проверено вычислением и по полной визуальной странице.</x:v>
      </x:c>
      <x:c r="Q5603" s="30"/>
      <x:c r="R5603" s="30"/>
      <x:c r="S5603" s="30" t="str">
        <x:v>Ответы профиль.docx</x:v>
      </x:c>
      <x:c r="T5603" s="30"/>
      <x:c r="U5603" s="30" t="str">
        <x:v>Ответник совпадает с независимой проверкой.</x:v>
      </x:c>
      <x:c r="V5603" s="87" t="str">
        <x:v>VERIFIED</x:v>
      </x:c>
      <x:c r="W5603" s="87"/>
      <x:c r="X5603" s="87" t="n">
        <x:v>2</x:v>
      </x:c>
      <x:c r="Y5603" s="87"/>
      <x:c r="Z5603" s="87"/>
      <x:c r="AA5603" s="87"/>
      <x:c r="AB5603" s="87"/>
      <x:c r="AC5603" s="87" t="str">
        <x:v>VIS-EGKR-MATHP-W25-TASK-957-P002</x:v>
      </x:c>
      <x:c r="AD5603" s="87"/>
      <x:c r="AE5603" s="87" t="str">
        <x:v>TASK</x:v>
      </x:c>
      <x:c r="AF5603" s="87" t="str">
        <x:v>VIS-EGKR-MATHP-W25-TASK-957-P002: 2</x:v>
      </x:c>
      <x:c r="AG5603" s="87" t="str">
        <x:v>RESOLVED</x:v>
      </x:c>
      <x:c r="AH5603" s="87" t="str">
        <x:v>CROP_VERIFIED</x:v>
      </x:c>
      <x:c r="AI5603" s="30"/>
      <x:c r="AJ5603" s="87" t="str">
        <x:v>clean</x:v>
      </x:c>
      <x:c r="AK5603" s="87" t="str">
        <x:v>clean-v0.15</x:v>
      </x:c>
      <x:c r="AL5603" s="87" t="str">
        <x:v>statgrad_clean_continuation_v0_15(1).xlsx</x:v>
      </x:c>
      <x:c r="AM5603" s="87" t="str">
        <x:v>MATHP_EGKR_957</x:v>
      </x:c>
      <x:c r="AN5603" s="87" t="n">
        <x:v>9</x:v>
      </x:c>
    </x:row>
    <x:row r="5604">
      <x:c r="A5604" s="87" t="n">
        <x:v>5603</x:v>
      </x:c>
      <x:c r="B5604" s="87" t="str">
        <x:v>EGKR-W25-MATHP-957-09</x:v>
      </x:c>
      <x:c r="C5604" s="87" t="str">
        <x:v>ЕГКР</x:v>
      </x:c>
      <x:c r="D5604" s="87"/>
      <x:c r="E5604" s="87" t="str">
        <x:v>Зима 2025</x:v>
      </x:c>
      <x:c r="F5604" s="87" t="str">
        <x:v>16.12.2025</x:v>
      </x:c>
      <x:c r="G5604" s="87" t="str">
        <x:v>Математика (профиль)</x:v>
      </x:c>
      <x:c r="H5604" s="87" t="n">
        <x:v>11</x:v>
      </x:c>
      <x:c r="I5604" s="87"/>
      <x:c r="J5604" s="87" t="str">
        <x:v>957</x:v>
      </x:c>
      <x:c r="K5604" s="87" t="n">
        <x:v>9</x:v>
      </x:c>
      <x:c r="L5604" s="87" t="str">
        <x:v>Краткий ответ</x:v>
      </x:c>
      <x:c r="M5604" s="30" t="str">
        <x:v>Высота воды задана квадратным законом (H₀=5). Найти время до опустошения.</x:v>
      </x:c>
      <x:c r="N5604" s="30" t="str">
        <x:v>35</x:v>
      </x:c>
      <x:c r="O5604" s="30" t="str">
        <x:v>Решено H(t)=0 и выбран физически допустимый положительный корень.</x:v>
      </x:c>
      <x:c r="P5604" s="30" t="str">
        <x:v>Проверено вычислением и по полной визуальной странице.</x:v>
      </x:c>
      <x:c r="Q5604" s="30"/>
      <x:c r="R5604" s="30"/>
      <x:c r="S5604" s="30" t="str">
        <x:v>Ответы профиль.docx</x:v>
      </x:c>
      <x:c r="T5604" s="30"/>
      <x:c r="U5604" s="30" t="str">
        <x:v>Ответник совпадает с независимой проверкой.</x:v>
      </x:c>
      <x:c r="V5604" s="87" t="str">
        <x:v>VERIFIED</x:v>
      </x:c>
      <x:c r="W5604" s="87"/>
      <x:c r="X5604" s="87" t="n">
        <x:v>2</x:v>
      </x:c>
      <x:c r="Y5604" s="87"/>
      <x:c r="Z5604" s="87"/>
      <x:c r="AA5604" s="87"/>
      <x:c r="AB5604" s="87"/>
      <x:c r="AC5604" s="87" t="str">
        <x:v>VIS-EGKR-MATHP-W25-TASK-957-P002</x:v>
      </x:c>
      <x:c r="AD5604" s="87"/>
      <x:c r="AE5604" s="87" t="str">
        <x:v>TASK</x:v>
      </x:c>
      <x:c r="AF5604" s="87" t="str">
        <x:v>VIS-EGKR-MATHP-W25-TASK-957-P002: 2</x:v>
      </x:c>
      <x:c r="AG5604" s="87" t="str">
        <x:v>RESOLVED</x:v>
      </x:c>
      <x:c r="AH5604" s="87" t="str">
        <x:v>CROP_VERIFIED</x:v>
      </x:c>
      <x:c r="AI5604" s="30"/>
      <x:c r="AJ5604" s="87" t="str">
        <x:v>clean</x:v>
      </x:c>
      <x:c r="AK5604" s="87" t="str">
        <x:v>clean-v0.15</x:v>
      </x:c>
      <x:c r="AL5604" s="87" t="str">
        <x:v>statgrad_clean_continuation_v0_15(1).xlsx</x:v>
      </x:c>
      <x:c r="AM5604" s="87" t="str">
        <x:v>MATHP_EGKR_957</x:v>
      </x:c>
      <x:c r="AN5604" s="87" t="n">
        <x:v>10</x:v>
      </x:c>
    </x:row>
    <x:row r="5605">
      <x:c r="A5605" s="87" t="n">
        <x:v>5604</x:v>
      </x:c>
      <x:c r="B5605" s="87" t="str">
        <x:v>EGKR-W25-MATHP-957-10</x:v>
      </x:c>
      <x:c r="C5605" s="87" t="str">
        <x:v>ЕГКР</x:v>
      </x:c>
      <x:c r="D5605" s="87"/>
      <x:c r="E5605" s="87" t="str">
        <x:v>Зима 2025</x:v>
      </x:c>
      <x:c r="F5605" s="87" t="str">
        <x:v>16.12.2025</x:v>
      </x:c>
      <x:c r="G5605" s="87" t="str">
        <x:v>Математика (профиль)</x:v>
      </x:c>
      <x:c r="H5605" s="87" t="n">
        <x:v>11</x:v>
      </x:c>
      <x:c r="I5605" s="87"/>
      <x:c r="J5605" s="87" t="str">
        <x:v>957</x:v>
      </x:c>
      <x:c r="K5605" s="87" t="n">
        <x:v>10</x:v>
      </x:c>
      <x:c r="L5605" s="87" t="str">
        <x:v>Краткий ответ</x:v>
      </x:c>
      <x:c r="M5605" s="30" t="str">
        <x:v>Посёлок C между A и B; AC=42; мотоцикл вдвое быстрее грузовика. Найти AB.</x:v>
      </x:c>
      <x:c r="N5605" s="30" t="str">
        <x:v>126</x:v>
      </x:c>
      <x:c r="O5605" s="30" t="str">
        <x:v>Равенство времени даёт AC/v=(AB-AC)/(2v), следовательно AB=3AC.</x:v>
      </x:c>
      <x:c r="P5605" s="30" t="str">
        <x:v>Проверено вычислением и по полной визуальной странице.</x:v>
      </x:c>
      <x:c r="Q5605" s="30"/>
      <x:c r="R5605" s="30"/>
      <x:c r="S5605" s="30" t="str">
        <x:v>Ответы профиль.docx</x:v>
      </x:c>
      <x:c r="T5605" s="30"/>
      <x:c r="U5605" s="30" t="str">
        <x:v>Ответник совпадает с независимой проверкой.</x:v>
      </x:c>
      <x:c r="V5605" s="87" t="str">
        <x:v>VERIFIED</x:v>
      </x:c>
      <x:c r="W5605" s="87"/>
      <x:c r="X5605" s="87" t="n">
        <x:v>2</x:v>
      </x:c>
      <x:c r="Y5605" s="87"/>
      <x:c r="Z5605" s="87"/>
      <x:c r="AA5605" s="87"/>
      <x:c r="AB5605" s="87"/>
      <x:c r="AC5605" s="87" t="str">
        <x:v>VIS-EGKR-MATHP-W25-TASK-957-P002</x:v>
      </x:c>
      <x:c r="AD5605" s="87"/>
      <x:c r="AE5605" s="87" t="str">
        <x:v>TASK</x:v>
      </x:c>
      <x:c r="AF5605" s="87" t="str">
        <x:v>VIS-EGKR-MATHP-W25-TASK-957-P002: 2</x:v>
      </x:c>
      <x:c r="AG5605" s="87" t="str">
        <x:v>RESOLVED</x:v>
      </x:c>
      <x:c r="AH5605" s="87" t="str">
        <x:v>CROP_VERIFIED</x:v>
      </x:c>
      <x:c r="AI5605" s="30"/>
      <x:c r="AJ5605" s="87" t="str">
        <x:v>clean</x:v>
      </x:c>
      <x:c r="AK5605" s="87" t="str">
        <x:v>clean-v0.15</x:v>
      </x:c>
      <x:c r="AL5605" s="87" t="str">
        <x:v>statgrad_clean_continuation_v0_15(1).xlsx</x:v>
      </x:c>
      <x:c r="AM5605" s="87" t="str">
        <x:v>MATHP_EGKR_957</x:v>
      </x:c>
      <x:c r="AN5605" s="87" t="n">
        <x:v>11</x:v>
      </x:c>
    </x:row>
    <x:row r="5606">
      <x:c r="A5606" s="87" t="n">
        <x:v>5605</x:v>
      </x:c>
      <x:c r="B5606" s="87" t="str">
        <x:v>EGKR-W25-MATHP-957-11</x:v>
      </x:c>
      <x:c r="C5606" s="87" t="str">
        <x:v>ЕГКР</x:v>
      </x:c>
      <x:c r="D5606" s="87"/>
      <x:c r="E5606" s="87" t="str">
        <x:v>Зима 2025</x:v>
      </x:c>
      <x:c r="F5606" s="87" t="str">
        <x:v>16.12.2025</x:v>
      </x:c>
      <x:c r="G5606" s="87" t="str">
        <x:v>Математика (профиль)</x:v>
      </x:c>
      <x:c r="H5606" s="87" t="n">
        <x:v>11</x:v>
      </x:c>
      <x:c r="I5606" s="87"/>
      <x:c r="J5606" s="87" t="str">
        <x:v>957</x:v>
      </x:c>
      <x:c r="K5606" s="87" t="n">
        <x:v>11</x:v>
      </x:c>
      <x:c r="L5606" s="87" t="str">
        <x:v>Краткий ответ</x:v>
      </x:c>
      <x:c r="M5606" s="30" t="str">
        <x:v>По графикам степенной и линейной функций найти ординату точки пересечения A.</x:v>
      </x:c>
      <x:c r="N5606" s="30" t="str">
        <x:v>-12</x:v>
      </x:c>
      <x:c r="O5606" s="30" t="str">
        <x:v>Ордината точки A считана непосредственно по координатной сетке.</x:v>
      </x:c>
      <x:c r="P5606" s="30" t="str">
        <x:v>Проверено вычислением и по полной визуальной странице.</x:v>
      </x:c>
      <x:c r="Q5606" s="30"/>
      <x:c r="R5606" s="30"/>
      <x:c r="S5606" s="30" t="str">
        <x:v>Ответы профиль.docx</x:v>
      </x:c>
      <x:c r="T5606" s="30"/>
      <x:c r="U5606" s="30" t="str">
        <x:v>Ответник совпадает с независимой проверкой.</x:v>
      </x:c>
      <x:c r="V5606" s="87" t="str">
        <x:v>VERIFIED</x:v>
      </x:c>
      <x:c r="W5606" s="87"/>
      <x:c r="X5606" s="87" t="n">
        <x:v>2</x:v>
      </x:c>
      <x:c r="Y5606" s="87"/>
      <x:c r="Z5606" s="87"/>
      <x:c r="AA5606" s="87"/>
      <x:c r="AB5606" s="87"/>
      <x:c r="AC5606" s="87" t="str">
        <x:v>VIS-EGKR-MATHP-W25-TASK-957-P002</x:v>
      </x:c>
      <x:c r="AD5606" s="87"/>
      <x:c r="AE5606" s="87" t="str">
        <x:v>TASK</x:v>
      </x:c>
      <x:c r="AF5606" s="87" t="str">
        <x:v>VIS-EGKR-MATHP-W25-TASK-957-P002: 2</x:v>
      </x:c>
      <x:c r="AG5606" s="87" t="str">
        <x:v>RESOLVED</x:v>
      </x:c>
      <x:c r="AH5606" s="87" t="str">
        <x:v>CROP_VERIFIED</x:v>
      </x:c>
      <x:c r="AI5606" s="30"/>
      <x:c r="AJ5606" s="87" t="str">
        <x:v>clean</x:v>
      </x:c>
      <x:c r="AK5606" s="87" t="str">
        <x:v>clean-v0.15</x:v>
      </x:c>
      <x:c r="AL5606" s="87" t="str">
        <x:v>statgrad_clean_continuation_v0_15(1).xlsx</x:v>
      </x:c>
      <x:c r="AM5606" s="87" t="str">
        <x:v>MATHP_EGKR_957</x:v>
      </x:c>
      <x:c r="AN5606" s="87" t="n">
        <x:v>12</x:v>
      </x:c>
    </x:row>
    <x:row r="5607">
      <x:c r="A5607" s="87" t="n">
        <x:v>5606</x:v>
      </x:c>
      <x:c r="B5607" s="87" t="str">
        <x:v>EGKR-W25-MATHP-957-12</x:v>
      </x:c>
      <x:c r="C5607" s="87" t="str">
        <x:v>ЕГКР</x:v>
      </x:c>
      <x:c r="D5607" s="87"/>
      <x:c r="E5607" s="87" t="str">
        <x:v>Зима 2025</x:v>
      </x:c>
      <x:c r="F5607" s="87" t="str">
        <x:v>16.12.2025</x:v>
      </x:c>
      <x:c r="G5607" s="87" t="str">
        <x:v>Математика (профиль)</x:v>
      </x:c>
      <x:c r="H5607" s="87" t="n">
        <x:v>11</x:v>
      </x:c>
      <x:c r="I5607" s="87"/>
      <x:c r="J5607" s="87" t="str">
        <x:v>957</x:v>
      </x:c>
      <x:c r="K5607" s="87" t="n">
        <x:v>12</x:v>
      </x:c>
      <x:c r="L5607" s="87" t="str">
        <x:v>Краткий ответ</x:v>
      </x:c>
      <x:c r="M5607" s="30" t="str">
        <x:v>Для f=x²-4x, g=7x+5 решить равенство производных.</x:v>
      </x:c>
      <x:c r="N5607" s="30" t="str">
        <x:v>5,5</x:v>
      </x:c>
      <x:c r="O5607" s="30" t="str">
        <x:v>Вычислены производные и решено линейное уравнение.</x:v>
      </x:c>
      <x:c r="P5607" s="30" t="str">
        <x:v>Проверено вычислением и по полной визуальной странице.</x:v>
      </x:c>
      <x:c r="Q5607" s="30"/>
      <x:c r="R5607" s="30"/>
      <x:c r="S5607" s="30" t="str">
        <x:v>Ответы профиль.docx</x:v>
      </x:c>
      <x:c r="T5607" s="30"/>
      <x:c r="U5607" s="30" t="str">
        <x:v>Ответник совпадает с независимой проверкой.</x:v>
      </x:c>
      <x:c r="V5607" s="87" t="str">
        <x:v>VERIFIED</x:v>
      </x:c>
      <x:c r="W5607" s="87"/>
      <x:c r="X5607" s="87" t="n">
        <x:v>2</x:v>
      </x:c>
      <x:c r="Y5607" s="87"/>
      <x:c r="Z5607" s="87"/>
      <x:c r="AA5607" s="87"/>
      <x:c r="AB5607" s="87"/>
      <x:c r="AC5607" s="87" t="str">
        <x:v>VIS-EGKR-MATHP-W25-TASK-957-P002</x:v>
      </x:c>
      <x:c r="AD5607" s="87"/>
      <x:c r="AE5607" s="87" t="str">
        <x:v>TASK</x:v>
      </x:c>
      <x:c r="AF5607" s="87" t="str">
        <x:v>VIS-EGKR-MATHP-W25-TASK-957-P002: 2</x:v>
      </x:c>
      <x:c r="AG5607" s="87" t="str">
        <x:v>RESOLVED</x:v>
      </x:c>
      <x:c r="AH5607" s="87" t="str">
        <x:v>CROP_VERIFIED</x:v>
      </x:c>
      <x:c r="AI5607" s="30"/>
      <x:c r="AJ5607" s="87" t="str">
        <x:v>clean</x:v>
      </x:c>
      <x:c r="AK5607" s="87" t="str">
        <x:v>clean-v0.15</x:v>
      </x:c>
      <x:c r="AL5607" s="87" t="str">
        <x:v>statgrad_clean_continuation_v0_15(1).xlsx</x:v>
      </x:c>
      <x:c r="AM5607" s="87" t="str">
        <x:v>MATHP_EGKR_957</x:v>
      </x:c>
      <x:c r="AN5607" s="87" t="n">
        <x:v>13</x:v>
      </x:c>
    </x:row>
    <x:row r="5608">
      <x:c r="A5608" s="87" t="n">
        <x:v>5607</x:v>
      </x:c>
      <x:c r="B5608" s="87" t="str">
        <x:v>EGKR-W25-MATHP-957-13</x:v>
      </x:c>
      <x:c r="C5608" s="87" t="str">
        <x:v>ЕГКР</x:v>
      </x:c>
      <x:c r="D5608" s="87"/>
      <x:c r="E5608" s="87" t="str">
        <x:v>Зима 2025</x:v>
      </x:c>
      <x:c r="F5608" s="87" t="str">
        <x:v>16.12.2025</x:v>
      </x:c>
      <x:c r="G5608" s="87" t="str">
        <x:v>Математика (профиль)</x:v>
      </x:c>
      <x:c r="H5608" s="87" t="n">
        <x:v>11</x:v>
      </x:c>
      <x:c r="I5608" s="87"/>
      <x:c r="J5608" s="87" t="str">
        <x:v>957</x:v>
      </x:c>
      <x:c r="K5608" s="87" t="n">
        <x:v>13</x:v>
      </x:c>
      <x:c r="L5608" s="87" t="str">
        <x:v>Развёрнутый ответ</x:v>
      </x:c>
      <x:c r="M5608" s="30" t="str">
        <x:v>(2cos x-sin x)(sin x-1)=cos²x; промежуток [8π;9π].</x:v>
      </x:c>
      <x:c r="N5608" s="30" t="str">
        <x:v>(2cos x+1)(sin x-1)=0. Общие решения: x=2π/3+2πk, x=4π/3+2πk, x=π/2+2πk. На промежутке: x=17π/2 и x=26π/3.</x:v>
      </x:c>
      <x:c r="O5608" s="30" t="str">
        <x:v>Содержит полный ход решения и итоговый ответ.</x:v>
      </x:c>
      <x:c r="P5608" s="30" t="str">
        <x:v>Алгебра, геометрия или перебор проверены независимо от приложенных ученических решений.</x:v>
      </x:c>
      <x:c r="Q5608" s="30"/>
      <x:c r="R5608" s="30"/>
      <x:c r="S5608" s="30" t="str">
        <x:v>Независимое решение по исходному заданию</x:v>
      </x:c>
      <x:c r="T5608" s="30"/>
      <x:c r="U5608" s="30" t="str">
        <x:v>Независимая модель решения.</x:v>
      </x:c>
      <x:c r="V5608" s="87" t="str">
        <x:v>VERIFIED</x:v>
      </x:c>
      <x:c r="W5608" s="87"/>
      <x:c r="X5608" s="87" t="n">
        <x:v>3</x:v>
      </x:c>
      <x:c r="Y5608" s="87"/>
      <x:c r="Z5608" s="87"/>
      <x:c r="AA5608" s="87"/>
      <x:c r="AB5608" s="87"/>
      <x:c r="AC5608" s="87" t="str">
        <x:v>VIS-EGKR-MATHP-W25-TASK-957-P003</x:v>
      </x:c>
      <x:c r="AD5608" s="87"/>
      <x:c r="AE5608" s="87" t="str">
        <x:v>TASK</x:v>
      </x:c>
      <x:c r="AF5608" s="87" t="str">
        <x:v>VIS-EGKR-MATHP-W25-TASK-957-P003: 3</x:v>
      </x:c>
      <x:c r="AG5608" s="87" t="str">
        <x:v>RESOLVED</x:v>
      </x:c>
      <x:c r="AH5608" s="87" t="str">
        <x:v>CROP_VERIFIED</x:v>
      </x:c>
      <x:c r="AI5608" s="30"/>
      <x:c r="AJ5608" s="87" t="str">
        <x:v>clean</x:v>
      </x:c>
      <x:c r="AK5608" s="87" t="str">
        <x:v>clean-v0.15</x:v>
      </x:c>
      <x:c r="AL5608" s="87" t="str">
        <x:v>statgrad_clean_continuation_v0_15(1).xlsx</x:v>
      </x:c>
      <x:c r="AM5608" s="87" t="str">
        <x:v>MATHP_EGKR_957</x:v>
      </x:c>
      <x:c r="AN5608" s="87" t="n">
        <x:v>14</x:v>
      </x:c>
    </x:row>
    <x:row r="5609">
      <x:c r="A5609" s="87" t="n">
        <x:v>5608</x:v>
      </x:c>
      <x:c r="B5609" s="87" t="str">
        <x:v>EGKR-W25-MATHP-957-14</x:v>
      </x:c>
      <x:c r="C5609" s="87" t="str">
        <x:v>ЕГКР</x:v>
      </x:c>
      <x:c r="D5609" s="87"/>
      <x:c r="E5609" s="87" t="str">
        <x:v>Зима 2025</x:v>
      </x:c>
      <x:c r="F5609" s="87" t="str">
        <x:v>16.12.2025</x:v>
      </x:c>
      <x:c r="G5609" s="87" t="str">
        <x:v>Математика (профиль)</x:v>
      </x:c>
      <x:c r="H5609" s="87" t="n">
        <x:v>11</x:v>
      </x:c>
      <x:c r="I5609" s="87"/>
      <x:c r="J5609" s="87" t="str">
        <x:v>957</x:v>
      </x:c>
      <x:c r="K5609" s="87" t="n">
        <x:v>14</x:v>
      </x:c>
      <x:c r="L5609" s="87" t="str">
        <x:v>Развёрнутый ответ</x:v>
      </x:c>
      <x:c r="M5609" s="30" t="str">
        <x:v>Пирамида на ромбе со стороной 16; грани SAB и SCB перпендикулярны основанию, угол между ними 150°, другие грани наклонены на 60°.</x:v>
      </x:c>
      <x:c r="N5609" s="30" t="str">
        <x:v>SB перпендикулярно основанию, а угол ABC равен 150°. Расстояния от B до AD и CD одинаковы и равны 16/2, поэтому наклонные высоты граней SAD и SCD равны, следовательно, грани равновелики. Из tan60°=SB/(16/2) получаем SB=16√3/2; наклонная высота к AD и CD равна 16. Суммарная площадь боковых граней: 256+128√3.</x:v>
      </x:c>
      <x:c r="O5609" s="30" t="str">
        <x:v>Содержит полный ход решения и итоговый ответ.</x:v>
      </x:c>
      <x:c r="P5609" s="30" t="str">
        <x:v>Алгебра, геометрия или перебор проверены независимо от приложенных ученических решений.</x:v>
      </x:c>
      <x:c r="Q5609" s="30"/>
      <x:c r="R5609" s="30"/>
      <x:c r="S5609" s="30" t="str">
        <x:v>Независимое решение по исходному заданию</x:v>
      </x:c>
      <x:c r="T5609" s="30"/>
      <x:c r="U5609" s="30" t="str">
        <x:v>Независимая модель решения.</x:v>
      </x:c>
      <x:c r="V5609" s="87" t="str">
        <x:v>VERIFIED</x:v>
      </x:c>
      <x:c r="W5609" s="87"/>
      <x:c r="X5609" s="87" t="n">
        <x:v>3</x:v>
      </x:c>
      <x:c r="Y5609" s="87"/>
      <x:c r="Z5609" s="87"/>
      <x:c r="AA5609" s="87"/>
      <x:c r="AB5609" s="87"/>
      <x:c r="AC5609" s="87" t="str">
        <x:v>VIS-EGKR-MATHP-W25-TASK-957-P003</x:v>
      </x:c>
      <x:c r="AD5609" s="87"/>
      <x:c r="AE5609" s="87" t="str">
        <x:v>TASK</x:v>
      </x:c>
      <x:c r="AF5609" s="87" t="str">
        <x:v>VIS-EGKR-MATHP-W25-TASK-957-P003: 3</x:v>
      </x:c>
      <x:c r="AG5609" s="87" t="str">
        <x:v>RESOLVED</x:v>
      </x:c>
      <x:c r="AH5609" s="87" t="str">
        <x:v>CROP_VERIFIED</x:v>
      </x:c>
      <x:c r="AI5609" s="30"/>
      <x:c r="AJ5609" s="87" t="str">
        <x:v>clean</x:v>
      </x:c>
      <x:c r="AK5609" s="87" t="str">
        <x:v>clean-v0.15</x:v>
      </x:c>
      <x:c r="AL5609" s="87" t="str">
        <x:v>statgrad_clean_continuation_v0_15(1).xlsx</x:v>
      </x:c>
      <x:c r="AM5609" s="87" t="str">
        <x:v>MATHP_EGKR_957</x:v>
      </x:c>
      <x:c r="AN5609" s="87" t="n">
        <x:v>15</x:v>
      </x:c>
    </x:row>
    <x:row r="5610">
      <x:c r="A5610" s="87" t="n">
        <x:v>5609</x:v>
      </x:c>
      <x:c r="B5610" s="87" t="str">
        <x:v>EGKR-W25-MATHP-957-15</x:v>
      </x:c>
      <x:c r="C5610" s="87" t="str">
        <x:v>ЕГКР</x:v>
      </x:c>
      <x:c r="D5610" s="87"/>
      <x:c r="E5610" s="87" t="str">
        <x:v>Зима 2025</x:v>
      </x:c>
      <x:c r="F5610" s="87" t="str">
        <x:v>16.12.2025</x:v>
      </x:c>
      <x:c r="G5610" s="87" t="str">
        <x:v>Математика (профиль)</x:v>
      </x:c>
      <x:c r="H5610" s="87" t="n">
        <x:v>11</x:v>
      </x:c>
      <x:c r="I5610" s="87"/>
      <x:c r="J5610" s="87" t="str">
        <x:v>957</x:v>
      </x:c>
      <x:c r="K5610" s="87" t="n">
        <x:v>15</x:v>
      </x:c>
      <x:c r="L5610" s="87" t="str">
        <x:v>Развёрнутый ответ</x:v>
      </x:c>
      <x:c r="M5610" s="30" t="str">
        <x:v>(4x+1)²-4/(4x-1) ≤ (4x-1)²+4/(4x+1).</x:v>
      </x:c>
      <x:c r="N5610" s="30" t="str">
        <x:v>x∈(-∞;-√3/4]∪(-1/4;0]∪(1/4;√3/4].</x:v>
      </x:c>
      <x:c r="O5610" s="30" t="str">
        <x:v>Содержит полный ход решения и итоговый ответ.</x:v>
      </x:c>
      <x:c r="P5610" s="30" t="str">
        <x:v>Алгебра, геометрия или перебор проверены независимо от приложенных ученических решений.</x:v>
      </x:c>
      <x:c r="Q5610" s="30"/>
      <x:c r="R5610" s="30"/>
      <x:c r="S5610" s="30" t="str">
        <x:v>Независимое решение по исходному заданию</x:v>
      </x:c>
      <x:c r="T5610" s="30"/>
      <x:c r="U5610" s="30" t="str">
        <x:v>Независимая модель решения.</x:v>
      </x:c>
      <x:c r="V5610" s="87" t="str">
        <x:v>VERIFIED</x:v>
      </x:c>
      <x:c r="W5610" s="87"/>
      <x:c r="X5610" s="87" t="n">
        <x:v>3</x:v>
      </x:c>
      <x:c r="Y5610" s="87"/>
      <x:c r="Z5610" s="87"/>
      <x:c r="AA5610" s="87"/>
      <x:c r="AB5610" s="87"/>
      <x:c r="AC5610" s="87" t="str">
        <x:v>VIS-EGKR-MATHP-W25-TASK-957-P003</x:v>
      </x:c>
      <x:c r="AD5610" s="87"/>
      <x:c r="AE5610" s="87" t="str">
        <x:v>TASK</x:v>
      </x:c>
      <x:c r="AF5610" s="87" t="str">
        <x:v>VIS-EGKR-MATHP-W25-TASK-957-P003: 3</x:v>
      </x:c>
      <x:c r="AG5610" s="87" t="str">
        <x:v>RESOLVED</x:v>
      </x:c>
      <x:c r="AH5610" s="87" t="str">
        <x:v>CROP_VERIFIED</x:v>
      </x:c>
      <x:c r="AI5610" s="30"/>
      <x:c r="AJ5610" s="87" t="str">
        <x:v>clean</x:v>
      </x:c>
      <x:c r="AK5610" s="87" t="str">
        <x:v>clean-v0.15</x:v>
      </x:c>
      <x:c r="AL5610" s="87" t="str">
        <x:v>statgrad_clean_continuation_v0_15(1).xlsx</x:v>
      </x:c>
      <x:c r="AM5610" s="87" t="str">
        <x:v>MATHP_EGKR_957</x:v>
      </x:c>
      <x:c r="AN5610" s="87" t="n">
        <x:v>16</x:v>
      </x:c>
    </x:row>
    <x:row r="5611">
      <x:c r="A5611" s="87" t="n">
        <x:v>5610</x:v>
      </x:c>
      <x:c r="B5611" s="87" t="str">
        <x:v>EGKR-W25-MATHP-957-16</x:v>
      </x:c>
      <x:c r="C5611" s="87" t="str">
        <x:v>ЕГКР</x:v>
      </x:c>
      <x:c r="D5611" s="87"/>
      <x:c r="E5611" s="87" t="str">
        <x:v>Зима 2025</x:v>
      </x:c>
      <x:c r="F5611" s="87" t="str">
        <x:v>16.12.2025</x:v>
      </x:c>
      <x:c r="G5611" s="87" t="str">
        <x:v>Математика (профиль)</x:v>
      </x:c>
      <x:c r="H5611" s="87" t="n">
        <x:v>11</x:v>
      </x:c>
      <x:c r="I5611" s="87"/>
      <x:c r="J5611" s="87" t="str">
        <x:v>957</x:v>
      </x:c>
      <x:c r="K5611" s="87" t="n">
        <x:v>16</x:v>
      </x:c>
      <x:c r="L5611" s="87" t="str">
        <x:v>Развёрнутый ответ</x:v>
      </x:c>
      <x:c r="M5611" s="30" t="str">
        <x:v>Вклад на 4 года под 10%; в начале 3-го и 4-го годов вносится по 11 млн; суммарные проценты не больше 12 млн.</x:v>
      </x:c>
      <x:c r="N5611" s="30" t="str">
        <x:v>Сумма начисленных процентов равна 0,4641P+0,31·11. Неравенство 0,4641P+0,31·11≤12 даёт P≤18.509. Наибольшее целое число миллионов: 18.</x:v>
      </x:c>
      <x:c r="O5611" s="30" t="str">
        <x:v>Содержит полный ход решения и итоговый ответ.</x:v>
      </x:c>
      <x:c r="P5611" s="30" t="str">
        <x:v>Алгебра, геометрия или перебор проверены независимо от приложенных ученических решений.</x:v>
      </x:c>
      <x:c r="Q5611" s="30"/>
      <x:c r="R5611" s="30"/>
      <x:c r="S5611" s="30" t="str">
        <x:v>Независимое решение по исходному заданию</x:v>
      </x:c>
      <x:c r="T5611" s="30"/>
      <x:c r="U5611" s="30" t="str">
        <x:v>Независимая модель решения.</x:v>
      </x:c>
      <x:c r="V5611" s="87" t="str">
        <x:v>VERIFIED</x:v>
      </x:c>
      <x:c r="W5611" s="87"/>
      <x:c r="X5611" s="87" t="n">
        <x:v>3</x:v>
      </x:c>
      <x:c r="Y5611" s="87"/>
      <x:c r="Z5611" s="87"/>
      <x:c r="AA5611" s="87"/>
      <x:c r="AB5611" s="87"/>
      <x:c r="AC5611" s="87" t="str">
        <x:v>VIS-EGKR-MATHP-W25-TASK-957-P003</x:v>
      </x:c>
      <x:c r="AD5611" s="87"/>
      <x:c r="AE5611" s="87" t="str">
        <x:v>TASK</x:v>
      </x:c>
      <x:c r="AF5611" s="87" t="str">
        <x:v>VIS-EGKR-MATHP-W25-TASK-957-P003: 3</x:v>
      </x:c>
      <x:c r="AG5611" s="87" t="str">
        <x:v>RESOLVED</x:v>
      </x:c>
      <x:c r="AH5611" s="87" t="str">
        <x:v>CROP_VERIFIED</x:v>
      </x:c>
      <x:c r="AI5611" s="30"/>
      <x:c r="AJ5611" s="87" t="str">
        <x:v>clean</x:v>
      </x:c>
      <x:c r="AK5611" s="87" t="str">
        <x:v>clean-v0.15</x:v>
      </x:c>
      <x:c r="AL5611" s="87" t="str">
        <x:v>statgrad_clean_continuation_v0_15(1).xlsx</x:v>
      </x:c>
      <x:c r="AM5611" s="87" t="str">
        <x:v>MATHP_EGKR_957</x:v>
      </x:c>
      <x:c r="AN5611" s="87" t="n">
        <x:v>17</x:v>
      </x:c>
    </x:row>
    <x:row r="5612">
      <x:c r="A5612" s="87" t="n">
        <x:v>5611</x:v>
      </x:c>
      <x:c r="B5612" s="87" t="str">
        <x:v>EGKR-W25-MATHP-957-17</x:v>
      </x:c>
      <x:c r="C5612" s="87" t="str">
        <x:v>ЕГКР</x:v>
      </x:c>
      <x:c r="D5612" s="87"/>
      <x:c r="E5612" s="87" t="str">
        <x:v>Зима 2025</x:v>
      </x:c>
      <x:c r="F5612" s="87" t="str">
        <x:v>16.12.2025</x:v>
      </x:c>
      <x:c r="G5612" s="87" t="str">
        <x:v>Математика (профиль)</x:v>
      </x:c>
      <x:c r="H5612" s="87" t="n">
        <x:v>11</x:v>
      </x:c>
      <x:c r="I5612" s="87"/>
      <x:c r="J5612" s="87" t="str">
        <x:v>957</x:v>
      </x:c>
      <x:c r="K5612" s="87" t="n">
        <x:v>17</x:v>
      </x:c>
      <x:c r="L5612" s="87" t="str">
        <x:v>Развёрнутый ответ</x:v>
      </x:c>
      <x:c r="M5612" s="30" t="str">
        <x:v>В треугольнике ABC угол C тупой; BH - высота, P - второе пересечение BH с окружностью; AP - биссектриса. BC=R=2√2.</x:v>
      </x:c>
      <x:c r="N5612" s="30" t="str">
        <x:v>Из ∠BAP=∠PAC следуют равные хорды BP=PC, поэтому BCP равнобедренный. Так как BC=R=2R·sin∠BAC, то ∠A=30°. В треугольнике ABP: ∠BAP=15°, ∠ABP=60°, поэтому ∠APB=105°; отсюда ∠C=105° и ∠B=45°. Тогда AC=2R·sin45°=R√2=4.</x:v>
      </x:c>
      <x:c r="O5612" s="30" t="str">
        <x:v>Содержит полный ход решения и итоговый ответ.</x:v>
      </x:c>
      <x:c r="P5612" s="30" t="str">
        <x:v>Алгебра, геометрия или перебор проверены независимо от приложенных ученических решений.</x:v>
      </x:c>
      <x:c r="Q5612" s="30"/>
      <x:c r="R5612" s="30"/>
      <x:c r="S5612" s="30" t="str">
        <x:v>Независимое решение по исходному заданию</x:v>
      </x:c>
      <x:c r="T5612" s="30"/>
      <x:c r="U5612" s="30" t="str">
        <x:v>Независимая модель решения.</x:v>
      </x:c>
      <x:c r="V5612" s="87" t="str">
        <x:v>VERIFIED</x:v>
      </x:c>
      <x:c r="W5612" s="87"/>
      <x:c r="X5612" s="87" t="n">
        <x:v>3</x:v>
      </x:c>
      <x:c r="Y5612" s="87"/>
      <x:c r="Z5612" s="87"/>
      <x:c r="AA5612" s="87"/>
      <x:c r="AB5612" s="87"/>
      <x:c r="AC5612" s="87" t="str">
        <x:v>VIS-EGKR-MATHP-W25-TASK-957-P003</x:v>
      </x:c>
      <x:c r="AD5612" s="87"/>
      <x:c r="AE5612" s="87" t="str">
        <x:v>TASK</x:v>
      </x:c>
      <x:c r="AF5612" s="87" t="str">
        <x:v>VIS-EGKR-MATHP-W25-TASK-957-P003: 3</x:v>
      </x:c>
      <x:c r="AG5612" s="87" t="str">
        <x:v>RESOLVED</x:v>
      </x:c>
      <x:c r="AH5612" s="87" t="str">
        <x:v>CROP_VERIFIED</x:v>
      </x:c>
      <x:c r="AI5612" s="30"/>
      <x:c r="AJ5612" s="87" t="str">
        <x:v>clean</x:v>
      </x:c>
      <x:c r="AK5612" s="87" t="str">
        <x:v>clean-v0.15</x:v>
      </x:c>
      <x:c r="AL5612" s="87" t="str">
        <x:v>statgrad_clean_continuation_v0_15(1).xlsx</x:v>
      </x:c>
      <x:c r="AM5612" s="87" t="str">
        <x:v>MATHP_EGKR_957</x:v>
      </x:c>
      <x:c r="AN5612" s="87" t="n">
        <x:v>18</x:v>
      </x:c>
    </x:row>
    <x:row r="5613">
      <x:c r="A5613" s="87" t="n">
        <x:v>5612</x:v>
      </x:c>
      <x:c r="B5613" s="87" t="str">
        <x:v>EGKR-W25-MATHP-957-18</x:v>
      </x:c>
      <x:c r="C5613" s="87" t="str">
        <x:v>ЕГКР</x:v>
      </x:c>
      <x:c r="D5613" s="87"/>
      <x:c r="E5613" s="87" t="str">
        <x:v>Зима 2025</x:v>
      </x:c>
      <x:c r="F5613" s="87" t="str">
        <x:v>16.12.2025</x:v>
      </x:c>
      <x:c r="G5613" s="87" t="str">
        <x:v>Математика (профиль)</x:v>
      </x:c>
      <x:c r="H5613" s="87" t="n">
        <x:v>11</x:v>
      </x:c>
      <x:c r="I5613" s="87"/>
      <x:c r="J5613" s="87" t="str">
        <x:v>957</x:v>
      </x:c>
      <x:c r="K5613" s="87" t="n">
        <x:v>18</x:v>
      </x:c>
      <x:c r="L5613" s="87" t="str">
        <x:v>Развёрнутый ответ</x:v>
      </x:c>
      <x:c r="M5613" s="30" t="str">
        <x:v>|x²-ax+16|+|16x-a²|=||x²-ax+16|-|a²-16x||. Найти a, при которых корень единственный.</x:v>
      </x:c>
      <x:c r="N5613" s="30" t="str">
        <x:v>Для U,V≥0 равенство U+V=|U-V| эквивалентно UV=0. Корни задаются x²-ax+16=0 и x=a²/16. При |a|&lt;2·4 квадратное уравнение корней не имеет, остаётся один линейный корень. При a=2·4 двойной корень совпадает с ним; при a=-2·4 получаются два различных корня. Ответ: a∈(-8;8].</x:v>
      </x:c>
      <x:c r="O5613" s="30" t="str">
        <x:v>Содержит полный ход решения и итоговый ответ.</x:v>
      </x:c>
      <x:c r="P5613" s="30" t="str">
        <x:v>Алгебра, геометрия или перебор проверены независимо от приложенных ученических решений.</x:v>
      </x:c>
      <x:c r="Q5613" s="30"/>
      <x:c r="R5613" s="30"/>
      <x:c r="S5613" s="30" t="str">
        <x:v>Независимое решение по исходному заданию</x:v>
      </x:c>
      <x:c r="T5613" s="30"/>
      <x:c r="U5613" s="30" t="str">
        <x:v>Независимая модель решения.</x:v>
      </x:c>
      <x:c r="V5613" s="87" t="str">
        <x:v>VERIFIED</x:v>
      </x:c>
      <x:c r="W5613" s="87"/>
      <x:c r="X5613" s="87" t="n">
        <x:v>3</x:v>
      </x:c>
      <x:c r="Y5613" s="87"/>
      <x:c r="Z5613" s="87"/>
      <x:c r="AA5613" s="87"/>
      <x:c r="AB5613" s="87"/>
      <x:c r="AC5613" s="87" t="str">
        <x:v>VIS-EGKR-MATHP-W25-TASK-957-P003</x:v>
      </x:c>
      <x:c r="AD5613" s="87"/>
      <x:c r="AE5613" s="87" t="str">
        <x:v>TASK</x:v>
      </x:c>
      <x:c r="AF5613" s="87" t="str">
        <x:v>VIS-EGKR-MATHP-W25-TASK-957-P003: 3</x:v>
      </x:c>
      <x:c r="AG5613" s="87" t="str">
        <x:v>RESOLVED</x:v>
      </x:c>
      <x:c r="AH5613" s="87" t="str">
        <x:v>CROP_VERIFIED</x:v>
      </x:c>
      <x:c r="AI5613" s="30"/>
      <x:c r="AJ5613" s="87" t="str">
        <x:v>clean</x:v>
      </x:c>
      <x:c r="AK5613" s="87" t="str">
        <x:v>clean-v0.15</x:v>
      </x:c>
      <x:c r="AL5613" s="87" t="str">
        <x:v>statgrad_clean_continuation_v0_15(1).xlsx</x:v>
      </x:c>
      <x:c r="AM5613" s="87" t="str">
        <x:v>MATHP_EGKR_957</x:v>
      </x:c>
      <x:c r="AN5613" s="87" t="n">
        <x:v>19</x:v>
      </x:c>
    </x:row>
    <x:row r="5614">
      <x:c r="A5614" s="87" t="n">
        <x:v>5613</x:v>
      </x:c>
      <x:c r="B5614" s="87" t="str">
        <x:v>EGKR-W25-MATHP-957-19</x:v>
      </x:c>
      <x:c r="C5614" s="87" t="str">
        <x:v>ЕГКР</x:v>
      </x:c>
      <x:c r="D5614" s="87"/>
      <x:c r="E5614" s="87" t="str">
        <x:v>Зима 2025</x:v>
      </x:c>
      <x:c r="F5614" s="87" t="str">
        <x:v>16.12.2025</x:v>
      </x:c>
      <x:c r="G5614" s="87" t="str">
        <x:v>Математика (профиль)</x:v>
      </x:c>
      <x:c r="H5614" s="87" t="n">
        <x:v>11</x:v>
      </x:c>
      <x:c r="I5614" s="87"/>
      <x:c r="J5614" s="87" t="str">
        <x:v>957</x:v>
      </x:c>
      <x:c r="K5614" s="87" t="n">
        <x:v>19</x:v>
      </x:c>
      <x:c r="L5614" s="87" t="str">
        <x:v>Развёрнутый ответ</x:v>
      </x:c>
      <x:c r="M5614" s="30" t="str">
        <x:v>Конечная геометрическая прогрессия из трёхзначных натуральных чисел начинается с 304; не менее трёх членов. Проверить 380, 760 и найти максимум.</x:v>
      </x:c>
      <x:c r="N5614" s="30" t="str">
        <x:v>Пусть q=m/n в несократимом виде. Для целочисленности первых трёх членов необходимо n²|304; перебор допустимых m/n с сохранением трёхзначности даёт: а) да, q=5/4 даёт 304,380,475; б) нет, 760 не входит ни в одну допустимую последовательность; в) наибольшее возможное число 931, поскольку q=7/4 даёт 304,532,931.</x:v>
      </x:c>
      <x:c r="O5614" s="30" t="str">
        <x:v>Содержит полный ход решения и итоговый ответ.</x:v>
      </x:c>
      <x:c r="P5614" s="30" t="str">
        <x:v>Алгебра, геометрия или перебор проверены независимо от приложенных ученических решений.</x:v>
      </x:c>
      <x:c r="Q5614" s="30"/>
      <x:c r="R5614" s="30"/>
      <x:c r="S5614" s="30" t="str">
        <x:v>Независимое решение по исходному заданию</x:v>
      </x:c>
      <x:c r="T5614" s="30"/>
      <x:c r="U5614" s="30" t="str">
        <x:v>Независимая модель решения.</x:v>
      </x:c>
      <x:c r="V5614" s="87" t="str">
        <x:v>VERIFIED</x:v>
      </x:c>
      <x:c r="W5614" s="87"/>
      <x:c r="X5614" s="87" t="n">
        <x:v>3</x:v>
      </x:c>
      <x:c r="Y5614" s="87"/>
      <x:c r="Z5614" s="87"/>
      <x:c r="AA5614" s="87"/>
      <x:c r="AB5614" s="87"/>
      <x:c r="AC5614" s="87" t="str">
        <x:v>VIS-EGKR-MATHP-W25-TASK-957-P003</x:v>
      </x:c>
      <x:c r="AD5614" s="87"/>
      <x:c r="AE5614" s="87" t="str">
        <x:v>TASK</x:v>
      </x:c>
      <x:c r="AF5614" s="87" t="str">
        <x:v>VIS-EGKR-MATHP-W25-TASK-957-P003: 3</x:v>
      </x:c>
      <x:c r="AG5614" s="87" t="str">
        <x:v>RESOLVED</x:v>
      </x:c>
      <x:c r="AH5614" s="87" t="str">
        <x:v>CROP_VERIFIED</x:v>
      </x:c>
      <x:c r="AI5614" s="30"/>
      <x:c r="AJ5614" s="87" t="str">
        <x:v>clean</x:v>
      </x:c>
      <x:c r="AK5614" s="87" t="str">
        <x:v>clean-v0.15</x:v>
      </x:c>
      <x:c r="AL5614" s="87" t="str">
        <x:v>statgrad_clean_continuation_v0_15(1).xlsx</x:v>
      </x:c>
      <x:c r="AM5614" s="87" t="str">
        <x:v>MATHP_EGKR_957</x:v>
      </x:c>
      <x:c r="AN5614" s="87" t="n">
        <x:v>20</x:v>
      </x:c>
    </x:row>
    <x:row r="5615">
      <x:c r="A5615" s="87" t="n">
        <x:v>5614</x:v>
      </x:c>
      <x:c r="B5615" s="87" t="str">
        <x:v>EGKR-W25-SOC-951-01</x:v>
      </x:c>
      <x:c r="C5615" s="87" t="str">
        <x:v>ЕГКР</x:v>
      </x:c>
      <x:c r="D5615" s="87"/>
      <x:c r="E5615" s="87" t="str">
        <x:v>Зима 2025</x:v>
      </x:c>
      <x:c r="F5615" s="87" t="str">
        <x:v>18.12.2025</x:v>
      </x:c>
      <x:c r="G5615" s="87" t="str">
        <x:v>Обществознание</x:v>
      </x:c>
      <x:c r="H5615" s="87" t="n">
        <x:v>11</x:v>
      </x:c>
      <x:c r="I5615" s="87"/>
      <x:c r="J5615" s="87" t="str">
        <x:v>951</x:v>
      </x:c>
      <x:c r="K5615" s="87" t="n">
        <x:v>1</x:v>
      </x:c>
      <x:c r="L5615" s="87" t="str">
        <x:v>Краткий ответ</x:v>
      </x:c>
      <x:c r="M5615" s="30" t="str">
        <x:v>Найти два признака, не относящиеся к рынку монополистической конкуренции.</x:v>
      </x:c>
      <x:c r="N5615" s="30" t="str">
        <x:v>14</x:v>
      </x:c>
      <x:c r="O5615" s="30" t="str">
        <x:v>Высокие барьеры и ценовое лидерство характерны не для монополистической конкуренции.</x:v>
      </x:c>
      <x:c r="P5615" s="30" t="str">
        <x:v>Проверено по формулировке задания, обществоведческим определениям и нормам.</x:v>
      </x:c>
      <x:c r="Q5615" s="30"/>
      <x:c r="R5615" s="30"/>
      <x:c r="S5615" s="30" t="str">
        <x:v>Ответы (3).docx — вторичный источник</x:v>
      </x:c>
      <x:c r="T5615" s="30"/>
      <x:c r="U5615" s="30" t="str">
        <x:v>Ответник: 45; независимое решение: 14.</x:v>
      </x:c>
      <x:c r="V5615" s="87" t="str">
        <x:v>KEY_MISMATCH</x:v>
      </x:c>
      <x:c r="W5615" s="87"/>
      <x:c r="X5615" s="87"/>
      <x:c r="Y5615" s="87" t="n">
        <x:v>1</x:v>
      </x:c>
      <x:c r="Z5615" s="87" t="n">
        <x:v>1</x:v>
      </x:c>
      <x:c r="AA5615" s="87"/>
      <x:c r="AB5615" s="87"/>
      <x:c r="AC5615" s="87" t="str">
        <x:v>VIS-EGKR-SOC-W25-TASK-951-P001</x:v>
      </x:c>
      <x:c r="AD5615" s="87" t="str">
        <x:v>VIS-EGKR-SOC-W25-ANSWERDOC-P001</x:v>
      </x:c>
      <x:c r="AE5615" s="87" t="str">
        <x:v>TASK; SECONDARY_ANSWER_SOURCE</x:v>
      </x:c>
      <x:c r="AF5615" s="87" t="str">
        <x:v>VIS-EGKR-SOC-W25-TASK-951-P001: 1; VIS-EGKR-SOC-W25-ANSWERDOC-P001: 1</x:v>
      </x:c>
      <x:c r="AG5615" s="87" t="str">
        <x:v>RESOLVED</x:v>
      </x:c>
      <x:c r="AH5615" s="87" t="str">
        <x:v>CROP_VERIFIED</x:v>
      </x:c>
      <x:c r="AI5615" s="30"/>
      <x:c r="AJ5615" s="87" t="str">
        <x:v>clean</x:v>
      </x:c>
      <x:c r="AK5615" s="87" t="str">
        <x:v>clean-v0.16</x:v>
      </x:c>
      <x:c r="AL5615" s="87" t="str">
        <x:v>statgrad_clean_continuation_v0_16(1).xlsx</x:v>
      </x:c>
      <x:c r="AM5615" s="87" t="str">
        <x:v>SOC_EGKR_951</x:v>
      </x:c>
      <x:c r="AN5615" s="87" t="n">
        <x:v>2</x:v>
      </x:c>
    </x:row>
    <x:row r="5616">
      <x:c r="A5616" s="87" t="n">
        <x:v>5615</x:v>
      </x:c>
      <x:c r="B5616" s="87" t="str">
        <x:v>EGKR-W25-SOC-951-02</x:v>
      </x:c>
      <x:c r="C5616" s="87" t="str">
        <x:v>ЕГКР</x:v>
      </x:c>
      <x:c r="D5616" s="87"/>
      <x:c r="E5616" s="87" t="str">
        <x:v>Зима 2025</x:v>
      </x:c>
      <x:c r="F5616" s="87" t="str">
        <x:v>18.12.2025</x:v>
      </x:c>
      <x:c r="G5616" s="87" t="str">
        <x:v>Обществознание</x:v>
      </x:c>
      <x:c r="H5616" s="87" t="n">
        <x:v>11</x:v>
      </x:c>
      <x:c r="I5616" s="87"/>
      <x:c r="J5616" s="87" t="str">
        <x:v>951</x:v>
      </x:c>
      <x:c r="K5616" s="87" t="n">
        <x:v>2</x:v>
      </x:c>
      <x:c r="L5616" s="87" t="str">
        <x:v>Краткий ответ</x:v>
      </x:c>
      <x:c r="M5616" s="30" t="str">
        <x:v>Выбрать верные суждения об обществе как динамической саморазвивающейся системе.</x:v>
      </x:c>
      <x:c r="N5616" s="30" t="str">
        <x:v>135</x:v>
      </x:c>
      <x:c r="O5616" s="30" t="str">
        <x:v>Позиции проверены по определениям и нормам обществоведческого курса; итоговая последовательность: 135.</x:v>
      </x:c>
      <x:c r="P5616" s="30" t="str">
        <x:v>Проверено по формулировке задания, обществоведческим определениям и нормам.</x:v>
      </x:c>
      <x:c r="Q5616" s="30"/>
      <x:c r="R5616" s="30"/>
      <x:c r="S5616" s="30" t="str">
        <x:v>Ответы (3).docx — вторичный источник</x:v>
      </x:c>
      <x:c r="T5616" s="30"/>
      <x:c r="U5616" s="30" t="str">
        <x:v>Ответник совпадает с независимой проверкой.</x:v>
      </x:c>
      <x:c r="V5616" s="87" t="str">
        <x:v>VERIFIED</x:v>
      </x:c>
      <x:c r="W5616" s="87"/>
      <x:c r="X5616" s="87"/>
      <x:c r="Y5616" s="87" t="n">
        <x:v>1</x:v>
      </x:c>
      <x:c r="Z5616" s="87" t="n">
        <x:v>1</x:v>
      </x:c>
      <x:c r="AA5616" s="87"/>
      <x:c r="AB5616" s="87"/>
      <x:c r="AC5616" s="87" t="str">
        <x:v>VIS-EGKR-SOC-W25-TASK-951-P001</x:v>
      </x:c>
      <x:c r="AD5616" s="87" t="str">
        <x:v>VIS-EGKR-SOC-W25-ANSWERDOC-P001</x:v>
      </x:c>
      <x:c r="AE5616" s="87" t="str">
        <x:v>TASK; SECONDARY_ANSWER_SOURCE</x:v>
      </x:c>
      <x:c r="AF5616" s="87" t="str">
        <x:v>VIS-EGKR-SOC-W25-TASK-951-P001: 1; VIS-EGKR-SOC-W25-ANSWERDOC-P001: 1</x:v>
      </x:c>
      <x:c r="AG5616" s="87" t="str">
        <x:v>RESOLVED</x:v>
      </x:c>
      <x:c r="AH5616" s="87" t="str">
        <x:v>CROP_VERIFIED</x:v>
      </x:c>
      <x:c r="AI5616" s="30"/>
      <x:c r="AJ5616" s="87" t="str">
        <x:v>clean</x:v>
      </x:c>
      <x:c r="AK5616" s="87" t="str">
        <x:v>clean-v0.16</x:v>
      </x:c>
      <x:c r="AL5616" s="87" t="str">
        <x:v>statgrad_clean_continuation_v0_16(1).xlsx</x:v>
      </x:c>
      <x:c r="AM5616" s="87" t="str">
        <x:v>SOC_EGKR_951</x:v>
      </x:c>
      <x:c r="AN5616" s="87" t="n">
        <x:v>3</x:v>
      </x:c>
    </x:row>
    <x:row r="5617">
      <x:c r="A5617" s="87" t="n">
        <x:v>5616</x:v>
      </x:c>
      <x:c r="B5617" s="87" t="str">
        <x:v>EGKR-W25-SOC-951-03</x:v>
      </x:c>
      <x:c r="C5617" s="87" t="str">
        <x:v>ЕГКР</x:v>
      </x:c>
      <x:c r="D5617" s="87"/>
      <x:c r="E5617" s="87" t="str">
        <x:v>Зима 2025</x:v>
      </x:c>
      <x:c r="F5617" s="87" t="str">
        <x:v>18.12.2025</x:v>
      </x:c>
      <x:c r="G5617" s="87" t="str">
        <x:v>Обществознание</x:v>
      </x:c>
      <x:c r="H5617" s="87" t="n">
        <x:v>11</x:v>
      </x:c>
      <x:c r="I5617" s="87"/>
      <x:c r="J5617" s="87" t="str">
        <x:v>951</x:v>
      </x:c>
      <x:c r="K5617" s="87" t="n">
        <x:v>3</x:v>
      </x:c>
      <x:c r="L5617" s="87" t="str">
        <x:v>Краткий ответ</x:v>
      </x:c>
      <x:c r="M5617" s="30" t="str">
        <x:v>Соотнести действия обучающегося с академическими правами и обязанностями.</x:v>
      </x:c>
      <x:c r="N5617" s="30" t="str">
        <x:v>21121</x:v>
      </x:c>
      <x:c r="O5617" s="30" t="str">
        <x:v>Участие в содержании образования и перевод относятся к академическим правам; здоровье и устав — к обязанностям.</x:v>
      </x:c>
      <x:c r="P5617" s="30" t="str">
        <x:v>Проверено по формулировке задания, обществоведческим определениям и нормам.</x:v>
      </x:c>
      <x:c r="Q5617" s="30"/>
      <x:c r="R5617" s="30"/>
      <x:c r="S5617" s="30" t="str">
        <x:v>Ответы (3).docx — вторичный источник</x:v>
      </x:c>
      <x:c r="T5617" s="30"/>
      <x:c r="U5617" s="30" t="str">
        <x:v>Ответник: 22121; независимое решение: 21121.</x:v>
      </x:c>
      <x:c r="V5617" s="87" t="str">
        <x:v>KEY_MISMATCH</x:v>
      </x:c>
      <x:c r="W5617" s="87"/>
      <x:c r="X5617" s="87"/>
      <x:c r="Y5617" s="87" t="n">
        <x:v>2</x:v>
      </x:c>
      <x:c r="Z5617" s="87" t="n">
        <x:v>2</x:v>
      </x:c>
      <x:c r="AA5617" s="87"/>
      <x:c r="AB5617" s="87"/>
      <x:c r="AC5617" s="87" t="str">
        <x:v>VIS-EGKR-SOC-W25-TASK-951-P002</x:v>
      </x:c>
      <x:c r="AD5617" s="87" t="str">
        <x:v>VIS-EGKR-SOC-W25-ANSWERDOC-P001</x:v>
      </x:c>
      <x:c r="AE5617" s="87" t="str">
        <x:v>TASK; SECONDARY_ANSWER_SOURCE</x:v>
      </x:c>
      <x:c r="AF5617" s="87" t="str">
        <x:v>VIS-EGKR-SOC-W25-TASK-951-P002: 2; VIS-EGKR-SOC-W25-ANSWERDOC-P001: 1</x:v>
      </x:c>
      <x:c r="AG5617" s="87" t="str">
        <x:v>RESOLVED</x:v>
      </x:c>
      <x:c r="AH5617" s="87" t="str">
        <x:v>CROP_VERIFIED</x:v>
      </x:c>
      <x:c r="AI5617" s="30"/>
      <x:c r="AJ5617" s="87" t="str">
        <x:v>clean</x:v>
      </x:c>
      <x:c r="AK5617" s="87" t="str">
        <x:v>clean-v0.16</x:v>
      </x:c>
      <x:c r="AL5617" s="87" t="str">
        <x:v>statgrad_clean_continuation_v0_16(1).xlsx</x:v>
      </x:c>
      <x:c r="AM5617" s="87" t="str">
        <x:v>SOC_EGKR_951</x:v>
      </x:c>
      <x:c r="AN5617" s="87" t="n">
        <x:v>4</x:v>
      </x:c>
    </x:row>
    <x:row r="5618">
      <x:c r="A5618" s="87" t="n">
        <x:v>5617</x:v>
      </x:c>
      <x:c r="B5618" s="87" t="str">
        <x:v>EGKR-W25-SOC-951-04</x:v>
      </x:c>
      <x:c r="C5618" s="87" t="str">
        <x:v>ЕГКР</x:v>
      </x:c>
      <x:c r="D5618" s="87"/>
      <x:c r="E5618" s="87" t="str">
        <x:v>Зима 2025</x:v>
      </x:c>
      <x:c r="F5618" s="87" t="str">
        <x:v>18.12.2025</x:v>
      </x:c>
      <x:c r="G5618" s="87" t="str">
        <x:v>Обществознание</x:v>
      </x:c>
      <x:c r="H5618" s="87" t="n">
        <x:v>11</x:v>
      </x:c>
      <x:c r="I5618" s="87"/>
      <x:c r="J5618" s="87" t="str">
        <x:v>951</x:v>
      </x:c>
      <x:c r="K5618" s="87" t="n">
        <x:v>4</x:v>
      </x:c>
      <x:c r="L5618" s="87" t="str">
        <x:v>Краткий ответ</x:v>
      </x:c>
      <x:c r="M5618" s="30" t="str">
        <x:v>Выбрать средства, которые Уильям использует для достижения цели посетить Россию.</x:v>
      </x:c>
      <x:c r="N5618" s="30" t="str">
        <x:v>256</x:v>
      </x:c>
      <x:c r="O5618" s="30" t="str">
        <x:v>Позиции проверены по определениям и нормам обществоведческого курса; итоговая последовательность: 256.</x:v>
      </x:c>
      <x:c r="P5618" s="30" t="str">
        <x:v>Проверено по формулировке задания, обществоведческим определениям и нормам.</x:v>
      </x:c>
      <x:c r="Q5618" s="30"/>
      <x:c r="R5618" s="30"/>
      <x:c r="S5618" s="30" t="str">
        <x:v>Ответы (3).docx — вторичный источник</x:v>
      </x:c>
      <x:c r="T5618" s="30"/>
      <x:c r="U5618" s="30" t="str">
        <x:v>Ответник совпадает с независимой проверкой.</x:v>
      </x:c>
      <x:c r="V5618" s="87" t="str">
        <x:v>VERIFIED</x:v>
      </x:c>
      <x:c r="W5618" s="87"/>
      <x:c r="X5618" s="87"/>
      <x:c r="Y5618" s="87" t="n">
        <x:v>2</x:v>
      </x:c>
      <x:c r="Z5618" s="87" t="n">
        <x:v>2</x:v>
      </x:c>
      <x:c r="AA5618" s="87"/>
      <x:c r="AB5618" s="87"/>
      <x:c r="AC5618" s="87" t="str">
        <x:v>VIS-EGKR-SOC-W25-TASK-951-P002</x:v>
      </x:c>
      <x:c r="AD5618" s="87" t="str">
        <x:v>VIS-EGKR-SOC-W25-ANSWERDOC-P001</x:v>
      </x:c>
      <x:c r="AE5618" s="87" t="str">
        <x:v>TASK; SECONDARY_ANSWER_SOURCE</x:v>
      </x:c>
      <x:c r="AF5618" s="87" t="str">
        <x:v>VIS-EGKR-SOC-W25-TASK-951-P002: 2; VIS-EGKR-SOC-W25-ANSWERDOC-P001: 1</x:v>
      </x:c>
      <x:c r="AG5618" s="87" t="str">
        <x:v>RESOLVED</x:v>
      </x:c>
      <x:c r="AH5618" s="87" t="str">
        <x:v>CROP_VERIFIED</x:v>
      </x:c>
      <x:c r="AI5618" s="30"/>
      <x:c r="AJ5618" s="87" t="str">
        <x:v>clean</x:v>
      </x:c>
      <x:c r="AK5618" s="87" t="str">
        <x:v>clean-v0.16</x:v>
      </x:c>
      <x:c r="AL5618" s="87" t="str">
        <x:v>statgrad_clean_continuation_v0_16(1).xlsx</x:v>
      </x:c>
      <x:c r="AM5618" s="87" t="str">
        <x:v>SOC_EGKR_951</x:v>
      </x:c>
      <x:c r="AN5618" s="87" t="n">
        <x:v>5</x:v>
      </x:c>
    </x:row>
    <x:row r="5619">
      <x:c r="A5619" s="87" t="n">
        <x:v>5618</x:v>
      </x:c>
      <x:c r="B5619" s="87" t="str">
        <x:v>EGKR-W25-SOC-951-05</x:v>
      </x:c>
      <x:c r="C5619" s="87" t="str">
        <x:v>ЕГКР</x:v>
      </x:c>
      <x:c r="D5619" s="87"/>
      <x:c r="E5619" s="87" t="str">
        <x:v>Зима 2025</x:v>
      </x:c>
      <x:c r="F5619" s="87" t="str">
        <x:v>18.12.2025</x:v>
      </x:c>
      <x:c r="G5619" s="87" t="str">
        <x:v>Обществознание</x:v>
      </x:c>
      <x:c r="H5619" s="87" t="n">
        <x:v>11</x:v>
      </x:c>
      <x:c r="I5619" s="87"/>
      <x:c r="J5619" s="87" t="str">
        <x:v>951</x:v>
      </x:c>
      <x:c r="K5619" s="87" t="n">
        <x:v>5</x:v>
      </x:c>
      <x:c r="L5619" s="87" t="str">
        <x:v>Краткий ответ</x:v>
      </x:c>
      <x:c r="M5619" s="30" t="str">
        <x:v>Выбрать верные суждения о налоговой системе Российской Федерации.</x:v>
      </x:c>
      <x:c r="N5619" s="30" t="str">
        <x:v>24</x:v>
      </x:c>
      <x:c r="O5619" s="30" t="str">
        <x:v>Налог на имущество физических лиц является местным; дифференциация по гражданству и происхождению капитала запрещена.</x:v>
      </x:c>
      <x:c r="P5619" s="30" t="str">
        <x:v>Проверено по формулировке задания, обществоведческим определениям и нормам.</x:v>
      </x:c>
      <x:c r="Q5619" s="30"/>
      <x:c r="R5619" s="30"/>
      <x:c r="S5619" s="30" t="str">
        <x:v>Ответы (3).docx — вторичный источник</x:v>
      </x:c>
      <x:c r="T5619" s="30"/>
      <x:c r="U5619" s="30" t="str">
        <x:v>Ответник: 245; независимое решение: 24.</x:v>
      </x:c>
      <x:c r="V5619" s="87" t="str">
        <x:v>KEY_MISMATCH</x:v>
      </x:c>
      <x:c r="W5619" s="87"/>
      <x:c r="X5619" s="87"/>
      <x:c r="Y5619" s="87" t="n">
        <x:v>2</x:v>
      </x:c>
      <x:c r="Z5619" s="87" t="n">
        <x:v>2</x:v>
      </x:c>
      <x:c r="AA5619" s="87"/>
      <x:c r="AB5619" s="87"/>
      <x:c r="AC5619" s="87" t="str">
        <x:v>VIS-EGKR-SOC-W25-TASK-951-P002</x:v>
      </x:c>
      <x:c r="AD5619" s="87" t="str">
        <x:v>VIS-EGKR-SOC-W25-ANSWERDOC-P001</x:v>
      </x:c>
      <x:c r="AE5619" s="87" t="str">
        <x:v>TASK; SECONDARY_ANSWER_SOURCE</x:v>
      </x:c>
      <x:c r="AF5619" s="87" t="str">
        <x:v>VIS-EGKR-SOC-W25-TASK-951-P002: 2; VIS-EGKR-SOC-W25-ANSWERDOC-P001: 1</x:v>
      </x:c>
      <x:c r="AG5619" s="87" t="str">
        <x:v>RESOLVED</x:v>
      </x:c>
      <x:c r="AH5619" s="87" t="str">
        <x:v>CROP_VERIFIED</x:v>
      </x:c>
      <x:c r="AI5619" s="30"/>
      <x:c r="AJ5619" s="87" t="str">
        <x:v>clean</x:v>
      </x:c>
      <x:c r="AK5619" s="87" t="str">
        <x:v>clean-v0.16</x:v>
      </x:c>
      <x:c r="AL5619" s="87" t="str">
        <x:v>statgrad_clean_continuation_v0_16(1).xlsx</x:v>
      </x:c>
      <x:c r="AM5619" s="87" t="str">
        <x:v>SOC_EGKR_951</x:v>
      </x:c>
      <x:c r="AN5619" s="87" t="n">
        <x:v>6</x:v>
      </x:c>
    </x:row>
    <x:row r="5620">
      <x:c r="A5620" s="87" t="n">
        <x:v>5619</x:v>
      </x:c>
      <x:c r="B5620" s="87" t="str">
        <x:v>EGKR-W25-SOC-951-06</x:v>
      </x:c>
      <x:c r="C5620" s="87" t="str">
        <x:v>ЕГКР</x:v>
      </x:c>
      <x:c r="D5620" s="87"/>
      <x:c r="E5620" s="87" t="str">
        <x:v>Зима 2025</x:v>
      </x:c>
      <x:c r="F5620" s="87" t="str">
        <x:v>18.12.2025</x:v>
      </x:c>
      <x:c r="G5620" s="87" t="str">
        <x:v>Обществознание</x:v>
      </x:c>
      <x:c r="H5620" s="87" t="n">
        <x:v>11</x:v>
      </x:c>
      <x:c r="I5620" s="87"/>
      <x:c r="J5620" s="87" t="str">
        <x:v>951</x:v>
      </x:c>
      <x:c r="K5620" s="87" t="n">
        <x:v>6</x:v>
      </x:c>
      <x:c r="L5620" s="87" t="str">
        <x:v>Краткий ответ</x:v>
      </x:c>
      <x:c r="M5620" s="30" t="str">
        <x:v>Соотнести функции Банка России и коммерческого банка.</x:v>
      </x:c>
      <x:c r="N5620" s="30" t="str">
        <x:v>21112</x:v>
      </x:c>
      <x:c r="O5620" s="30" t="str">
        <x:v>Позиции проверены по определениям и нормам обществоведческого курса; итоговая последовательность: 21112.</x:v>
      </x:c>
      <x:c r="P5620" s="30" t="str">
        <x:v>Проверено по формулировке задания, обществоведческим определениям и нормам.</x:v>
      </x:c>
      <x:c r="Q5620" s="30"/>
      <x:c r="R5620" s="30"/>
      <x:c r="S5620" s="30" t="str">
        <x:v>Ответы (3).docx — вторичный источник</x:v>
      </x:c>
      <x:c r="T5620" s="30"/>
      <x:c r="U5620" s="30" t="str">
        <x:v>Ответник совпадает с независимой проверкой.</x:v>
      </x:c>
      <x:c r="V5620" s="87" t="str">
        <x:v>VERIFIED</x:v>
      </x:c>
      <x:c r="W5620" s="87"/>
      <x:c r="X5620" s="87"/>
      <x:c r="Y5620" s="87" t="n">
        <x:v>2</x:v>
      </x:c>
      <x:c r="Z5620" s="87" t="n">
        <x:v>2</x:v>
      </x:c>
      <x:c r="AA5620" s="87"/>
      <x:c r="AB5620" s="87"/>
      <x:c r="AC5620" s="87" t="str">
        <x:v>VIS-EGKR-SOC-W25-TASK-951-P002</x:v>
      </x:c>
      <x:c r="AD5620" s="87" t="str">
        <x:v>VIS-EGKR-SOC-W25-ANSWERDOC-P001</x:v>
      </x:c>
      <x:c r="AE5620" s="87" t="str">
        <x:v>TASK; SECONDARY_ANSWER_SOURCE</x:v>
      </x:c>
      <x:c r="AF5620" s="87" t="str">
        <x:v>VIS-EGKR-SOC-W25-TASK-951-P002: 2; VIS-EGKR-SOC-W25-ANSWERDOC-P001: 1</x:v>
      </x:c>
      <x:c r="AG5620" s="87" t="str">
        <x:v>RESOLVED</x:v>
      </x:c>
      <x:c r="AH5620" s="87" t="str">
        <x:v>CROP_VERIFIED</x:v>
      </x:c>
      <x:c r="AI5620" s="30"/>
      <x:c r="AJ5620" s="87" t="str">
        <x:v>clean</x:v>
      </x:c>
      <x:c r="AK5620" s="87" t="str">
        <x:v>clean-v0.16</x:v>
      </x:c>
      <x:c r="AL5620" s="87" t="str">
        <x:v>statgrad_clean_continuation_v0_16(1).xlsx</x:v>
      </x:c>
      <x:c r="AM5620" s="87" t="str">
        <x:v>SOC_EGKR_951</x:v>
      </x:c>
      <x:c r="AN5620" s="87" t="n">
        <x:v>7</x:v>
      </x:c>
    </x:row>
    <x:row r="5621">
      <x:c r="A5621" s="87" t="n">
        <x:v>5620</x:v>
      </x:c>
      <x:c r="B5621" s="87" t="str">
        <x:v>EGKR-W25-SOC-951-07</x:v>
      </x:c>
      <x:c r="C5621" s="87" t="str">
        <x:v>ЕГКР</x:v>
      </x:c>
      <x:c r="D5621" s="87"/>
      <x:c r="E5621" s="87" t="str">
        <x:v>Зима 2025</x:v>
      </x:c>
      <x:c r="F5621" s="87" t="str">
        <x:v>18.12.2025</x:v>
      </x:c>
      <x:c r="G5621" s="87" t="str">
        <x:v>Обществознание</x:v>
      </x:c>
      <x:c r="H5621" s="87" t="n">
        <x:v>11</x:v>
      </x:c>
      <x:c r="I5621" s="87"/>
      <x:c r="J5621" s="87" t="str">
        <x:v>951</x:v>
      </x:c>
      <x:c r="K5621" s="87" t="n">
        <x:v>7</x:v>
      </x:c>
      <x:c r="L5621" s="87" t="str">
        <x:v>Краткий ответ</x:v>
      </x:c>
      <x:c r="M5621" s="30" t="str">
        <x:v>Определить признаки финансово грамотного и рационального поведения заёмщика.</x:v>
      </x:c>
      <x:c r="N5621" s="30" t="str">
        <x:v>146</x:v>
      </x:c>
      <x:c r="O5621" s="30" t="str">
        <x:v>Позиции проверены по определениям и нормам обществоведческого курса; итоговая последовательность: 146.</x:v>
      </x:c>
      <x:c r="P5621" s="30" t="str">
        <x:v>Проверено по формулировке задания, обществоведческим определениям и нормам.</x:v>
      </x:c>
      <x:c r="Q5621" s="30"/>
      <x:c r="R5621" s="30"/>
      <x:c r="S5621" s="30" t="str">
        <x:v>Ответы (3).docx — вторичный источник</x:v>
      </x:c>
      <x:c r="T5621" s="30"/>
      <x:c r="U5621" s="30" t="str">
        <x:v>Ответник совпадает с независимой проверкой.</x:v>
      </x:c>
      <x:c r="V5621" s="87" t="str">
        <x:v>VERIFIED</x:v>
      </x:c>
      <x:c r="W5621" s="87"/>
      <x:c r="X5621" s="87"/>
      <x:c r="Y5621" s="87" t="n">
        <x:v>3</x:v>
      </x:c>
      <x:c r="Z5621" s="87" t="n">
        <x:v>3</x:v>
      </x:c>
      <x:c r="AA5621" s="87"/>
      <x:c r="AB5621" s="87"/>
      <x:c r="AC5621" s="87" t="str">
        <x:v>VIS-EGKR-SOC-W25-TASK-951-P003</x:v>
      </x:c>
      <x:c r="AD5621" s="87" t="str">
        <x:v>VIS-EGKR-SOC-W25-ANSWERDOC-P001</x:v>
      </x:c>
      <x:c r="AE5621" s="87" t="str">
        <x:v>TASK; SECONDARY_ANSWER_SOURCE</x:v>
      </x:c>
      <x:c r="AF5621" s="87" t="str">
        <x:v>VIS-EGKR-SOC-W25-TASK-951-P003: 3; VIS-EGKR-SOC-W25-ANSWERDOC-P001: 1</x:v>
      </x:c>
      <x:c r="AG5621" s="87" t="str">
        <x:v>RESOLVED</x:v>
      </x:c>
      <x:c r="AH5621" s="87" t="str">
        <x:v>CROP_VERIFIED</x:v>
      </x:c>
      <x:c r="AI5621" s="30"/>
      <x:c r="AJ5621" s="87" t="str">
        <x:v>clean</x:v>
      </x:c>
      <x:c r="AK5621" s="87" t="str">
        <x:v>clean-v0.16</x:v>
      </x:c>
      <x:c r="AL5621" s="87" t="str">
        <x:v>statgrad_clean_continuation_v0_16(1).xlsx</x:v>
      </x:c>
      <x:c r="AM5621" s="87" t="str">
        <x:v>SOC_EGKR_951</x:v>
      </x:c>
      <x:c r="AN5621" s="87" t="n">
        <x:v>8</x:v>
      </x:c>
    </x:row>
    <x:row r="5622">
      <x:c r="A5622" s="87" t="n">
        <x:v>5621</x:v>
      </x:c>
      <x:c r="B5622" s="87" t="str">
        <x:v>EGKR-W25-SOC-951-08</x:v>
      </x:c>
      <x:c r="C5622" s="87" t="str">
        <x:v>ЕГКР</x:v>
      </x:c>
      <x:c r="D5622" s="87"/>
      <x:c r="E5622" s="87" t="str">
        <x:v>Зима 2025</x:v>
      </x:c>
      <x:c r="F5622" s="87" t="str">
        <x:v>18.12.2025</x:v>
      </x:c>
      <x:c r="G5622" s="87" t="str">
        <x:v>Обществознание</x:v>
      </x:c>
      <x:c r="H5622" s="87" t="n">
        <x:v>11</x:v>
      </x:c>
      <x:c r="I5622" s="87"/>
      <x:c r="J5622" s="87" t="str">
        <x:v>951</x:v>
      </x:c>
      <x:c r="K5622" s="87" t="n">
        <x:v>8</x:v>
      </x:c>
      <x:c r="L5622" s="87" t="str">
        <x:v>Краткий ответ</x:v>
      </x:c>
      <x:c r="M5622" s="30" t="str">
        <x:v>Выбрать верные суждения о социализации и её агентах.</x:v>
      </x:c>
      <x:c r="N5622" s="30" t="str">
        <x:v>235</x:v>
      </x:c>
      <x:c r="O5622" s="30" t="str">
        <x:v>Позиции проверены по определениям и нормам обществоведческого курса; итоговая последовательность: 235.</x:v>
      </x:c>
      <x:c r="P5622" s="30" t="str">
        <x:v>Проверено по формулировке задания, обществоведческим определениям и нормам.</x:v>
      </x:c>
      <x:c r="Q5622" s="30"/>
      <x:c r="R5622" s="30"/>
      <x:c r="S5622" s="30" t="str">
        <x:v>Ответы (3).docx — вторичный источник</x:v>
      </x:c>
      <x:c r="T5622" s="30"/>
      <x:c r="U5622" s="30" t="str">
        <x:v>Ответник совпадает с независимой проверкой.</x:v>
      </x:c>
      <x:c r="V5622" s="87" t="str">
        <x:v>VERIFIED</x:v>
      </x:c>
      <x:c r="W5622" s="87"/>
      <x:c r="X5622" s="87"/>
      <x:c r="Y5622" s="87" t="n">
        <x:v>3</x:v>
      </x:c>
      <x:c r="Z5622" s="87" t="n">
        <x:v>3</x:v>
      </x:c>
      <x:c r="AA5622" s="87"/>
      <x:c r="AB5622" s="87"/>
      <x:c r="AC5622" s="87" t="str">
        <x:v>VIS-EGKR-SOC-W25-TASK-951-P003</x:v>
      </x:c>
      <x:c r="AD5622" s="87" t="str">
        <x:v>VIS-EGKR-SOC-W25-ANSWERDOC-P001</x:v>
      </x:c>
      <x:c r="AE5622" s="87" t="str">
        <x:v>TASK; SECONDARY_ANSWER_SOURCE</x:v>
      </x:c>
      <x:c r="AF5622" s="87" t="str">
        <x:v>VIS-EGKR-SOC-W25-TASK-951-P003: 3; VIS-EGKR-SOC-W25-ANSWERDOC-P001: 1</x:v>
      </x:c>
      <x:c r="AG5622" s="87" t="str">
        <x:v>RESOLVED</x:v>
      </x:c>
      <x:c r="AH5622" s="87" t="str">
        <x:v>CROP_VERIFIED</x:v>
      </x:c>
      <x:c r="AI5622" s="30"/>
      <x:c r="AJ5622" s="87" t="str">
        <x:v>clean</x:v>
      </x:c>
      <x:c r="AK5622" s="87" t="str">
        <x:v>clean-v0.16</x:v>
      </x:c>
      <x:c r="AL5622" s="87" t="str">
        <x:v>statgrad_clean_continuation_v0_16(1).xlsx</x:v>
      </x:c>
      <x:c r="AM5622" s="87" t="str">
        <x:v>SOC_EGKR_951</x:v>
      </x:c>
      <x:c r="AN5622" s="87" t="n">
        <x:v>9</x:v>
      </x:c>
    </x:row>
    <x:row r="5623">
      <x:c r="A5623" s="87" t="n">
        <x:v>5622</x:v>
      </x:c>
      <x:c r="B5623" s="87" t="str">
        <x:v>EGKR-W25-SOC-951-09</x:v>
      </x:c>
      <x:c r="C5623" s="87" t="str">
        <x:v>ЕГКР</x:v>
      </x:c>
      <x:c r="D5623" s="87"/>
      <x:c r="E5623" s="87" t="str">
        <x:v>Зима 2025</x:v>
      </x:c>
      <x:c r="F5623" s="87" t="str">
        <x:v>18.12.2025</x:v>
      </x:c>
      <x:c r="G5623" s="87" t="str">
        <x:v>Обществознание</x:v>
      </x:c>
      <x:c r="H5623" s="87" t="n">
        <x:v>11</x:v>
      </x:c>
      <x:c r="I5623" s="87"/>
      <x:c r="J5623" s="87" t="str">
        <x:v>951</x:v>
      </x:c>
      <x:c r="K5623" s="87" t="n">
        <x:v>9</x:v>
      </x:c>
      <x:c r="L5623" s="87" t="str">
        <x:v>Краткий ответ</x:v>
      </x:c>
      <x:c r="M5623" s="30" t="str">
        <x:v>Проанализировать диаграмму отношения жителей двух стран к собственному бизнесу.</x:v>
      </x:c>
      <x:c r="N5623" s="30" t="str">
        <x:v>15</x:v>
      </x:c>
      <x:c r="O5623" s="30" t="str">
        <x:v>Позиции проверены по определениям и нормам обществоведческого курса; итоговая последовательность: 15.</x:v>
      </x:c>
      <x:c r="P5623" s="30" t="str">
        <x:v>Проверено по формулировке задания, обществоведческим определениям и нормам.</x:v>
      </x:c>
      <x:c r="Q5623" s="30"/>
      <x:c r="R5623" s="30"/>
      <x:c r="S5623" s="30" t="str">
        <x:v>Ответы (3).docx — вторичный источник</x:v>
      </x:c>
      <x:c r="T5623" s="30"/>
      <x:c r="U5623" s="30" t="str">
        <x:v>Ответник совпадает с независимой проверкой.</x:v>
      </x:c>
      <x:c r="V5623" s="87" t="str">
        <x:v>VERIFIED</x:v>
      </x:c>
      <x:c r="W5623" s="87"/>
      <x:c r="X5623" s="87"/>
      <x:c r="Y5623" s="87" t="n">
        <x:v>3</x:v>
      </x:c>
      <x:c r="Z5623" s="87" t="n">
        <x:v>3</x:v>
      </x:c>
      <x:c r="AA5623" s="87"/>
      <x:c r="AB5623" s="87"/>
      <x:c r="AC5623" s="87" t="str">
        <x:v>VIS-EGKR-SOC-W25-TASK-951-P003</x:v>
      </x:c>
      <x:c r="AD5623" s="87" t="str">
        <x:v>VIS-EGKR-SOC-W25-ANSWERDOC-P001</x:v>
      </x:c>
      <x:c r="AE5623" s="87" t="str">
        <x:v>TASK; SECONDARY_ANSWER_SOURCE</x:v>
      </x:c>
      <x:c r="AF5623" s="87" t="str">
        <x:v>VIS-EGKR-SOC-W25-TASK-951-P003: 3; VIS-EGKR-SOC-W25-ANSWERDOC-P001: 1</x:v>
      </x:c>
      <x:c r="AG5623" s="87" t="str">
        <x:v>RESOLVED</x:v>
      </x:c>
      <x:c r="AH5623" s="87" t="str">
        <x:v>CROP_VERIFIED; TASK_CROP_QA_APPROVED:USE_TIGHT</x:v>
      </x:c>
      <x:c r="AI5623" s="30"/>
      <x:c r="AJ5623" s="87" t="str">
        <x:v>clean</x:v>
      </x:c>
      <x:c r="AK5623" s="87" t="str">
        <x:v>clean-v0.16</x:v>
      </x:c>
      <x:c r="AL5623" s="87" t="str">
        <x:v>statgrad_clean_continuation_v0_16(1).xlsx</x:v>
      </x:c>
      <x:c r="AM5623" s="87" t="str">
        <x:v>SOC_EGKR_951</x:v>
      </x:c>
      <x:c r="AN5623" s="87" t="n">
        <x:v>10</x:v>
      </x:c>
    </x:row>
    <x:row r="5624">
      <x:c r="A5624" s="87" t="n">
        <x:v>5623</x:v>
      </x:c>
      <x:c r="B5624" s="87" t="str">
        <x:v>EGKR-W25-SOC-951-10</x:v>
      </x:c>
      <x:c r="C5624" s="87" t="str">
        <x:v>ЕГКР</x:v>
      </x:c>
      <x:c r="D5624" s="87"/>
      <x:c r="E5624" s="87" t="str">
        <x:v>Зима 2025</x:v>
      </x:c>
      <x:c r="F5624" s="87" t="str">
        <x:v>18.12.2025</x:v>
      </x:c>
      <x:c r="G5624" s="87" t="str">
        <x:v>Обществознание</x:v>
      </x:c>
      <x:c r="H5624" s="87" t="n">
        <x:v>11</x:v>
      </x:c>
      <x:c r="I5624" s="87"/>
      <x:c r="J5624" s="87" t="str">
        <x:v>951</x:v>
      </x:c>
      <x:c r="K5624" s="87" t="n">
        <x:v>10</x:v>
      </x:c>
      <x:c r="L5624" s="87" t="str">
        <x:v>Краткий ответ</x:v>
      </x:c>
      <x:c r="M5624" s="30" t="str">
        <x:v>Выбрать верные суждения о государстве, суверенитете и форме правления.</x:v>
      </x:c>
      <x:c r="N5624" s="30" t="str">
        <x:v>24</x:v>
      </x:c>
      <x:c r="O5624" s="30" t="str">
        <x:v>Позиции проверены по определениям и нормам обществоведческого курса; итоговая последовательность: 24.</x:v>
      </x:c>
      <x:c r="P5624" s="30" t="str">
        <x:v>Проверено по формулировке задания, обществоведческим определениям и нормам.</x:v>
      </x:c>
      <x:c r="Q5624" s="30"/>
      <x:c r="R5624" s="30"/>
      <x:c r="S5624" s="30" t="str">
        <x:v>Ответы (3).docx — вторичный источник</x:v>
      </x:c>
      <x:c r="T5624" s="30"/>
      <x:c r="U5624" s="30" t="str">
        <x:v>Ответник совпадает с независимой проверкой.</x:v>
      </x:c>
      <x:c r="V5624" s="87" t="str">
        <x:v>VERIFIED</x:v>
      </x:c>
      <x:c r="W5624" s="87"/>
      <x:c r="X5624" s="87"/>
      <x:c r="Y5624" s="87" t="n">
        <x:v>4</x:v>
      </x:c>
      <x:c r="Z5624" s="87" t="n">
        <x:v>4</x:v>
      </x:c>
      <x:c r="AA5624" s="87"/>
      <x:c r="AB5624" s="87"/>
      <x:c r="AC5624" s="87" t="str">
        <x:v>VIS-EGKR-SOC-W25-TASK-951-P004</x:v>
      </x:c>
      <x:c r="AD5624" s="87" t="str">
        <x:v>VIS-EGKR-SOC-W25-ANSWERDOC-P001</x:v>
      </x:c>
      <x:c r="AE5624" s="87" t="str">
        <x:v>TASK; SECONDARY_ANSWER_SOURCE</x:v>
      </x:c>
      <x:c r="AF5624" s="87" t="str">
        <x:v>VIS-EGKR-SOC-W25-TASK-951-P004: 4; VIS-EGKR-SOC-W25-ANSWERDOC-P001: 1</x:v>
      </x:c>
      <x:c r="AG5624" s="87" t="str">
        <x:v>RESOLVED</x:v>
      </x:c>
      <x:c r="AH5624" s="87" t="str">
        <x:v>CROP_VERIFIED</x:v>
      </x:c>
      <x:c r="AI5624" s="30"/>
      <x:c r="AJ5624" s="87" t="str">
        <x:v>clean</x:v>
      </x:c>
      <x:c r="AK5624" s="87" t="str">
        <x:v>clean-v0.16</x:v>
      </x:c>
      <x:c r="AL5624" s="87" t="str">
        <x:v>statgrad_clean_continuation_v0_16(1).xlsx</x:v>
      </x:c>
      <x:c r="AM5624" s="87" t="str">
        <x:v>SOC_EGKR_951</x:v>
      </x:c>
      <x:c r="AN5624" s="87" t="n">
        <x:v>11</x:v>
      </x:c>
    </x:row>
    <x:row r="5625">
      <x:c r="A5625" s="87" t="n">
        <x:v>5624</x:v>
      </x:c>
      <x:c r="B5625" s="87" t="str">
        <x:v>EGKR-W25-SOC-951-11</x:v>
      </x:c>
      <x:c r="C5625" s="87" t="str">
        <x:v>ЕГКР</x:v>
      </x:c>
      <x:c r="D5625" s="87"/>
      <x:c r="E5625" s="87" t="str">
        <x:v>Зима 2025</x:v>
      </x:c>
      <x:c r="F5625" s="87" t="str">
        <x:v>18.12.2025</x:v>
      </x:c>
      <x:c r="G5625" s="87" t="str">
        <x:v>Обществознание</x:v>
      </x:c>
      <x:c r="H5625" s="87" t="n">
        <x:v>11</x:v>
      </x:c>
      <x:c r="I5625" s="87"/>
      <x:c r="J5625" s="87" t="str">
        <x:v>951</x:v>
      </x:c>
      <x:c r="K5625" s="87" t="n">
        <x:v>11</x:v>
      </x:c>
      <x:c r="L5625" s="87" t="str">
        <x:v>Краткий ответ</x:v>
      </x:c>
      <x:c r="M5625" s="30" t="str">
        <x:v>Выбрать признаки пропорциональной избирательной системы.</x:v>
      </x:c>
      <x:c r="N5625" s="30" t="str">
        <x:v>135</x:v>
      </x:c>
      <x:c r="O5625" s="30" t="str">
        <x:v>Позиции проверены по определениям и нормам обществоведческого курса; итоговая последовательность: 135.</x:v>
      </x:c>
      <x:c r="P5625" s="30" t="str">
        <x:v>Проверено по формулировке задания, обществоведческим определениям и нормам.</x:v>
      </x:c>
      <x:c r="Q5625" s="30"/>
      <x:c r="R5625" s="30"/>
      <x:c r="S5625" s="30" t="str">
        <x:v>Ответы (3).docx — вторичный источник</x:v>
      </x:c>
      <x:c r="T5625" s="30"/>
      <x:c r="U5625" s="30" t="str">
        <x:v>Ответник совпадает с независимой проверкой.</x:v>
      </x:c>
      <x:c r="V5625" s="87" t="str">
        <x:v>VERIFIED</x:v>
      </x:c>
      <x:c r="W5625" s="87"/>
      <x:c r="X5625" s="87"/>
      <x:c r="Y5625" s="87" t="n">
        <x:v>4</x:v>
      </x:c>
      <x:c r="Z5625" s="87" t="n">
        <x:v>4</x:v>
      </x:c>
      <x:c r="AA5625" s="87"/>
      <x:c r="AB5625" s="87"/>
      <x:c r="AC5625" s="87" t="str">
        <x:v>VIS-EGKR-SOC-W25-TASK-951-P004</x:v>
      </x:c>
      <x:c r="AD5625" s="87" t="str">
        <x:v>VIS-EGKR-SOC-W25-ANSWERDOC-P001</x:v>
      </x:c>
      <x:c r="AE5625" s="87" t="str">
        <x:v>TASK; SECONDARY_ANSWER_SOURCE</x:v>
      </x:c>
      <x:c r="AF5625" s="87" t="str">
        <x:v>VIS-EGKR-SOC-W25-TASK-951-P004: 4; VIS-EGKR-SOC-W25-ANSWERDOC-P001: 1</x:v>
      </x:c>
      <x:c r="AG5625" s="87" t="str">
        <x:v>RESOLVED</x:v>
      </x:c>
      <x:c r="AH5625" s="87" t="str">
        <x:v>CROP_VERIFIED</x:v>
      </x:c>
      <x:c r="AI5625" s="30"/>
      <x:c r="AJ5625" s="87" t="str">
        <x:v>clean</x:v>
      </x:c>
      <x:c r="AK5625" s="87" t="str">
        <x:v>clean-v0.16</x:v>
      </x:c>
      <x:c r="AL5625" s="87" t="str">
        <x:v>statgrad_clean_continuation_v0_16(1).xlsx</x:v>
      </x:c>
      <x:c r="AM5625" s="87" t="str">
        <x:v>SOC_EGKR_951</x:v>
      </x:c>
      <x:c r="AN5625" s="87" t="n">
        <x:v>12</x:v>
      </x:c>
    </x:row>
    <x:row r="5626">
      <x:c r="A5626" s="87" t="n">
        <x:v>5625</x:v>
      </x:c>
      <x:c r="B5626" s="87" t="str">
        <x:v>EGKR-W25-SOC-951-12</x:v>
      </x:c>
      <x:c r="C5626" s="87" t="str">
        <x:v>ЕГКР</x:v>
      </x:c>
      <x:c r="D5626" s="87"/>
      <x:c r="E5626" s="87" t="str">
        <x:v>Зима 2025</x:v>
      </x:c>
      <x:c r="F5626" s="87" t="str">
        <x:v>18.12.2025</x:v>
      </x:c>
      <x:c r="G5626" s="87" t="str">
        <x:v>Обществознание</x:v>
      </x:c>
      <x:c r="H5626" s="87" t="n">
        <x:v>11</x:v>
      </x:c>
      <x:c r="I5626" s="87"/>
      <x:c r="J5626" s="87" t="str">
        <x:v>951</x:v>
      </x:c>
      <x:c r="K5626" s="87" t="n">
        <x:v>12</x:v>
      </x:c>
      <x:c r="L5626" s="87" t="str">
        <x:v>Краткий ответ</x:v>
      </x:c>
      <x:c r="M5626" s="30" t="str">
        <x:v>Выбрать положения, относящиеся к основам конституционного строя РФ.</x:v>
      </x:c>
      <x:c r="N5626" s="30" t="str">
        <x:v>12</x:v>
      </x:c>
      <x:c r="O5626" s="30" t="str">
        <x:v>Позиции проверены по определениям и нормам обществоведческого курса; итоговая последовательность: 12.</x:v>
      </x:c>
      <x:c r="P5626" s="30" t="str">
        <x:v>Проверено по формулировке задания, обществоведческим определениям и нормам.</x:v>
      </x:c>
      <x:c r="Q5626" s="30"/>
      <x:c r="R5626" s="30"/>
      <x:c r="S5626" s="30" t="str">
        <x:v>Ответы (3).docx — вторичный источник</x:v>
      </x:c>
      <x:c r="T5626" s="30"/>
      <x:c r="U5626" s="30" t="str">
        <x:v>Ответник совпадает с независимой проверкой.</x:v>
      </x:c>
      <x:c r="V5626" s="87" t="str">
        <x:v>VERIFIED</x:v>
      </x:c>
      <x:c r="W5626" s="87"/>
      <x:c r="X5626" s="87"/>
      <x:c r="Y5626" s="87" t="n">
        <x:v>4</x:v>
      </x:c>
      <x:c r="Z5626" s="87" t="n">
        <x:v>4</x:v>
      </x:c>
      <x:c r="AA5626" s="87"/>
      <x:c r="AB5626" s="87"/>
      <x:c r="AC5626" s="87" t="str">
        <x:v>VIS-EGKR-SOC-W25-TASK-951-P004</x:v>
      </x:c>
      <x:c r="AD5626" s="87" t="str">
        <x:v>VIS-EGKR-SOC-W25-ANSWERDOC-P001</x:v>
      </x:c>
      <x:c r="AE5626" s="87" t="str">
        <x:v>TASK; SECONDARY_ANSWER_SOURCE</x:v>
      </x:c>
      <x:c r="AF5626" s="87" t="str">
        <x:v>VIS-EGKR-SOC-W25-TASK-951-P004: 4; VIS-EGKR-SOC-W25-ANSWERDOC-P001: 1</x:v>
      </x:c>
      <x:c r="AG5626" s="87" t="str">
        <x:v>RESOLVED</x:v>
      </x:c>
      <x:c r="AH5626" s="87" t="str">
        <x:v>CROP_VERIFIED</x:v>
      </x:c>
      <x:c r="AI5626" s="30"/>
      <x:c r="AJ5626" s="87" t="str">
        <x:v>clean</x:v>
      </x:c>
      <x:c r="AK5626" s="87" t="str">
        <x:v>clean-v0.16</x:v>
      </x:c>
      <x:c r="AL5626" s="87" t="str">
        <x:v>statgrad_clean_continuation_v0_16(1).xlsx</x:v>
      </x:c>
      <x:c r="AM5626" s="87" t="str">
        <x:v>SOC_EGKR_951</x:v>
      </x:c>
      <x:c r="AN5626" s="87" t="n">
        <x:v>13</x:v>
      </x:c>
    </x:row>
    <x:row r="5627">
      <x:c r="A5627" s="87" t="n">
        <x:v>5626</x:v>
      </x:c>
      <x:c r="B5627" s="87" t="str">
        <x:v>EGKR-W25-SOC-951-13</x:v>
      </x:c>
      <x:c r="C5627" s="87" t="str">
        <x:v>ЕГКР</x:v>
      </x:c>
      <x:c r="D5627" s="87"/>
      <x:c r="E5627" s="87" t="str">
        <x:v>Зима 2025</x:v>
      </x:c>
      <x:c r="F5627" s="87" t="str">
        <x:v>18.12.2025</x:v>
      </x:c>
      <x:c r="G5627" s="87" t="str">
        <x:v>Обществознание</x:v>
      </x:c>
      <x:c r="H5627" s="87" t="n">
        <x:v>11</x:v>
      </x:c>
      <x:c r="I5627" s="87"/>
      <x:c r="J5627" s="87" t="str">
        <x:v>951</x:v>
      </x:c>
      <x:c r="K5627" s="87" t="n">
        <x:v>13</x:v>
      </x:c>
      <x:c r="L5627" s="87" t="str">
        <x:v>Краткий ответ</x:v>
      </x:c>
      <x:c r="M5627" s="30" t="str">
        <x:v>Соотнести предметы ведения с исключительным и совместным ведением РФ и субъектов.</x:v>
      </x:c>
      <x:c r="N5627" s="30" t="str">
        <x:v>22212</x:v>
      </x:c>
      <x:c r="O5627" s="30" t="str">
        <x:v>Позиции проверены по определениям и нормам обществоведческого курса; итоговая последовательность: 22212.</x:v>
      </x:c>
      <x:c r="P5627" s="30" t="str">
        <x:v>Проверено по формулировке задания, обществоведческим определениям и нормам.</x:v>
      </x:c>
      <x:c r="Q5627" s="30"/>
      <x:c r="R5627" s="30"/>
      <x:c r="S5627" s="30" t="str">
        <x:v>Ответы (3).docx — вторичный источник</x:v>
      </x:c>
      <x:c r="T5627" s="30"/>
      <x:c r="U5627" s="30" t="str">
        <x:v>Ответник совпадает с независимой проверкой.</x:v>
      </x:c>
      <x:c r="V5627" s="87" t="str">
        <x:v>VERIFIED</x:v>
      </x:c>
      <x:c r="W5627" s="87"/>
      <x:c r="X5627" s="87"/>
      <x:c r="Y5627" s="87" t="n">
        <x:v>4</x:v>
      </x:c>
      <x:c r="Z5627" s="87" t="n">
        <x:v>4</x:v>
      </x:c>
      <x:c r="AA5627" s="87"/>
      <x:c r="AB5627" s="87"/>
      <x:c r="AC5627" s="87" t="str">
        <x:v>VIS-EGKR-SOC-W25-TASK-951-P004</x:v>
      </x:c>
      <x:c r="AD5627" s="87" t="str">
        <x:v>VIS-EGKR-SOC-W25-ANSWERDOC-P001</x:v>
      </x:c>
      <x:c r="AE5627" s="87" t="str">
        <x:v>TASK; SECONDARY_ANSWER_SOURCE</x:v>
      </x:c>
      <x:c r="AF5627" s="87" t="str">
        <x:v>VIS-EGKR-SOC-W25-TASK-951-P004: 4; VIS-EGKR-SOC-W25-ANSWERDOC-P001: 1</x:v>
      </x:c>
      <x:c r="AG5627" s="87" t="str">
        <x:v>RESOLVED</x:v>
      </x:c>
      <x:c r="AH5627" s="87" t="str">
        <x:v>CROP_VERIFIED</x:v>
      </x:c>
      <x:c r="AI5627" s="30"/>
      <x:c r="AJ5627" s="87" t="str">
        <x:v>clean</x:v>
      </x:c>
      <x:c r="AK5627" s="87" t="str">
        <x:v>clean-v0.16</x:v>
      </x:c>
      <x:c r="AL5627" s="87" t="str">
        <x:v>statgrad_clean_continuation_v0_16(1).xlsx</x:v>
      </x:c>
      <x:c r="AM5627" s="87" t="str">
        <x:v>SOC_EGKR_951</x:v>
      </x:c>
      <x:c r="AN5627" s="87" t="n">
        <x:v>14</x:v>
      </x:c>
    </x:row>
    <x:row r="5628">
      <x:c r="A5628" s="87" t="n">
        <x:v>5627</x:v>
      </x:c>
      <x:c r="B5628" s="87" t="str">
        <x:v>EGKR-W25-SOC-951-14</x:v>
      </x:c>
      <x:c r="C5628" s="87" t="str">
        <x:v>ЕГКР</x:v>
      </x:c>
      <x:c r="D5628" s="87"/>
      <x:c r="E5628" s="87" t="str">
        <x:v>Зима 2025</x:v>
      </x:c>
      <x:c r="F5628" s="87" t="str">
        <x:v>18.12.2025</x:v>
      </x:c>
      <x:c r="G5628" s="87" t="str">
        <x:v>Обществознание</x:v>
      </x:c>
      <x:c r="H5628" s="87" t="n">
        <x:v>11</x:v>
      </x:c>
      <x:c r="I5628" s="87"/>
      <x:c r="J5628" s="87" t="str">
        <x:v>951</x:v>
      </x:c>
      <x:c r="K5628" s="87" t="n">
        <x:v>14</x:v>
      </x:c>
      <x:c r="L5628" s="87" t="str">
        <x:v>Краткий ответ</x:v>
      </x:c>
      <x:c r="M5628" s="30" t="str">
        <x:v>Выбрать верные суждения о семейном праве РФ.</x:v>
      </x:c>
      <x:c r="N5628" s="30" t="str">
        <x:v>124</x:v>
      </x:c>
      <x:c r="O5628" s="30" t="str">
        <x:v>Верны взаимоуважение супругов, приоритет интересов детей и защита семейных прав.</x:v>
      </x:c>
      <x:c r="P5628" s="30" t="str">
        <x:v>Проверено по формулировке задания, обществоведческим определениям и нормам.</x:v>
      </x:c>
      <x:c r="Q5628" s="30"/>
      <x:c r="R5628" s="30"/>
      <x:c r="S5628" s="30" t="str">
        <x:v>Ответы (3).docx — вторичный источник</x:v>
      </x:c>
      <x:c r="T5628" s="30"/>
      <x:c r="U5628" s="30" t="str">
        <x:v>Ответник: 145; независимое решение: 124.</x:v>
      </x:c>
      <x:c r="V5628" s="87" t="str">
        <x:v>KEY_MISMATCH</x:v>
      </x:c>
      <x:c r="W5628" s="87"/>
      <x:c r="X5628" s="87"/>
      <x:c r="Y5628" s="87" t="n">
        <x:v>5</x:v>
      </x:c>
      <x:c r="Z5628" s="87" t="n">
        <x:v>5</x:v>
      </x:c>
      <x:c r="AA5628" s="87"/>
      <x:c r="AB5628" s="87"/>
      <x:c r="AC5628" s="87" t="str">
        <x:v>VIS-EGKR-SOC-W25-TASK-951-P005</x:v>
      </x:c>
      <x:c r="AD5628" s="87" t="str">
        <x:v>VIS-EGKR-SOC-W25-ANSWERDOC-P001</x:v>
      </x:c>
      <x:c r="AE5628" s="87" t="str">
        <x:v>TASK; SECONDARY_ANSWER_SOURCE</x:v>
      </x:c>
      <x:c r="AF5628" s="87" t="str">
        <x:v>VIS-EGKR-SOC-W25-TASK-951-P005: 5; VIS-EGKR-SOC-W25-ANSWERDOC-P001: 1</x:v>
      </x:c>
      <x:c r="AG5628" s="87" t="str">
        <x:v>RESOLVED</x:v>
      </x:c>
      <x:c r="AH5628" s="87" t="str">
        <x:v>CROP_VERIFIED</x:v>
      </x:c>
      <x:c r="AI5628" s="30"/>
      <x:c r="AJ5628" s="87" t="str">
        <x:v>clean</x:v>
      </x:c>
      <x:c r="AK5628" s="87" t="str">
        <x:v>clean-v0.16</x:v>
      </x:c>
      <x:c r="AL5628" s="87" t="str">
        <x:v>statgrad_clean_continuation_v0_16(1).xlsx</x:v>
      </x:c>
      <x:c r="AM5628" s="87" t="str">
        <x:v>SOC_EGKR_951</x:v>
      </x:c>
      <x:c r="AN5628" s="87" t="n">
        <x:v>15</x:v>
      </x:c>
    </x:row>
    <x:row r="5629">
      <x:c r="A5629" s="87" t="n">
        <x:v>5628</x:v>
      </x:c>
      <x:c r="B5629" s="87" t="str">
        <x:v>EGKR-W25-SOC-951-15</x:v>
      </x:c>
      <x:c r="C5629" s="87" t="str">
        <x:v>ЕГКР</x:v>
      </x:c>
      <x:c r="D5629" s="87"/>
      <x:c r="E5629" s="87" t="str">
        <x:v>Зима 2025</x:v>
      </x:c>
      <x:c r="F5629" s="87" t="str">
        <x:v>18.12.2025</x:v>
      </x:c>
      <x:c r="G5629" s="87" t="str">
        <x:v>Обществознание</x:v>
      </x:c>
      <x:c r="H5629" s="87" t="n">
        <x:v>11</x:v>
      </x:c>
      <x:c r="I5629" s="87"/>
      <x:c r="J5629" s="87" t="str">
        <x:v>951</x:v>
      </x:c>
      <x:c r="K5629" s="87" t="n">
        <x:v>15</x:v>
      </x:c>
      <x:c r="L5629" s="87" t="str">
        <x:v>Краткий ответ</x:v>
      </x:c>
      <x:c r="M5629" s="30" t="str">
        <x:v>Соотнести организационно-правовые формы с коммерческими и некоммерческими юридическими лицами.</x:v>
      </x:c>
      <x:c r="N5629" s="30" t="str">
        <x:v>11122</x:v>
      </x:c>
      <x:c r="O5629" s="30" t="str">
        <x:v>Позиции проверены по определениям и нормам обществоведческого курса; итоговая последовательность: 11122.</x:v>
      </x:c>
      <x:c r="P5629" s="30" t="str">
        <x:v>Проверено по формулировке задания, обществоведческим определениям и нормам.</x:v>
      </x:c>
      <x:c r="Q5629" s="30"/>
      <x:c r="R5629" s="30"/>
      <x:c r="S5629" s="30" t="str">
        <x:v>Ответы (3).docx — вторичный источник</x:v>
      </x:c>
      <x:c r="T5629" s="30"/>
      <x:c r="U5629" s="30" t="str">
        <x:v>Ответник совпадает с независимой проверкой.</x:v>
      </x:c>
      <x:c r="V5629" s="87" t="str">
        <x:v>VERIFIED</x:v>
      </x:c>
      <x:c r="W5629" s="87"/>
      <x:c r="X5629" s="87"/>
      <x:c r="Y5629" s="87" t="n">
        <x:v>5</x:v>
      </x:c>
      <x:c r="Z5629" s="87" t="n">
        <x:v>5</x:v>
      </x:c>
      <x:c r="AA5629" s="87"/>
      <x:c r="AB5629" s="87"/>
      <x:c r="AC5629" s="87" t="str">
        <x:v>VIS-EGKR-SOC-W25-TASK-951-P005</x:v>
      </x:c>
      <x:c r="AD5629" s="87" t="str">
        <x:v>VIS-EGKR-SOC-W25-ANSWERDOC-P001</x:v>
      </x:c>
      <x:c r="AE5629" s="87" t="str">
        <x:v>TASK; SECONDARY_ANSWER_SOURCE</x:v>
      </x:c>
      <x:c r="AF5629" s="87" t="str">
        <x:v>VIS-EGKR-SOC-W25-TASK-951-P005: 5; VIS-EGKR-SOC-W25-ANSWERDOC-P001: 1</x:v>
      </x:c>
      <x:c r="AG5629" s="87" t="str">
        <x:v>RESOLVED</x:v>
      </x:c>
      <x:c r="AH5629" s="87" t="str">
        <x:v>CROP_VERIFIED</x:v>
      </x:c>
      <x:c r="AI5629" s="30"/>
      <x:c r="AJ5629" s="87" t="str">
        <x:v>clean</x:v>
      </x:c>
      <x:c r="AK5629" s="87" t="str">
        <x:v>clean-v0.16</x:v>
      </x:c>
      <x:c r="AL5629" s="87" t="str">
        <x:v>statgrad_clean_continuation_v0_16(1).xlsx</x:v>
      </x:c>
      <x:c r="AM5629" s="87" t="str">
        <x:v>SOC_EGKR_951</x:v>
      </x:c>
      <x:c r="AN5629" s="87" t="n">
        <x:v>16</x:v>
      </x:c>
    </x:row>
    <x:row r="5630">
      <x:c r="A5630" s="87" t="n">
        <x:v>5629</x:v>
      </x:c>
      <x:c r="B5630" s="87" t="str">
        <x:v>EGKR-W25-SOC-951-16</x:v>
      </x:c>
      <x:c r="C5630" s="87" t="str">
        <x:v>ЕГКР</x:v>
      </x:c>
      <x:c r="D5630" s="87"/>
      <x:c r="E5630" s="87" t="str">
        <x:v>Зима 2025</x:v>
      </x:c>
      <x:c r="F5630" s="87" t="str">
        <x:v>18.12.2025</x:v>
      </x:c>
      <x:c r="G5630" s="87" t="str">
        <x:v>Обществознание</x:v>
      </x:c>
      <x:c r="H5630" s="87" t="n">
        <x:v>11</x:v>
      </x:c>
      <x:c r="I5630" s="87"/>
      <x:c r="J5630" s="87" t="str">
        <x:v>951</x:v>
      </x:c>
      <x:c r="K5630" s="87" t="n">
        <x:v>16</x:v>
      </x:c>
      <x:c r="L5630" s="87" t="str">
        <x:v>Краткий ответ</x:v>
      </x:c>
      <x:c r="M5630" s="30" t="str">
        <x:v>Выбрать административные наказания, которые могут применяться к физическому лицу за нарушения ПДД.</x:v>
      </x:c>
      <x:c r="N5630" s="30" t="str">
        <x:v>1245</x:v>
      </x:c>
      <x:c r="O5630" s="30" t="str">
        <x:v>К административным наказаниям относятся предупреждение, штраф, лишение специального права и обязательные работы.</x:v>
      </x:c>
      <x:c r="P5630" s="30" t="str">
        <x:v>Проверено по формулировке задания, обществоведческим определениям и нормам.</x:v>
      </x:c>
      <x:c r="Q5630" s="30"/>
      <x:c r="R5630" s="30"/>
      <x:c r="S5630" s="30" t="str">
        <x:v>Ответы (3).docx — вторичный источник</x:v>
      </x:c>
      <x:c r="T5630" s="30"/>
      <x:c r="U5630" s="30" t="str">
        <x:v>Ответник: 45; независимое решение: 1245.</x:v>
      </x:c>
      <x:c r="V5630" s="87" t="str">
        <x:v>KEY_MISMATCH</x:v>
      </x:c>
      <x:c r="W5630" s="87"/>
      <x:c r="X5630" s="87"/>
      <x:c r="Y5630" s="87" t="n">
        <x:v>5</x:v>
      </x:c>
      <x:c r="Z5630" s="87" t="n">
        <x:v>5</x:v>
      </x:c>
      <x:c r="AA5630" s="87"/>
      <x:c r="AB5630" s="87"/>
      <x:c r="AC5630" s="87" t="str">
        <x:v>VIS-EGKR-SOC-W25-TASK-951-P005</x:v>
      </x:c>
      <x:c r="AD5630" s="87" t="str">
        <x:v>VIS-EGKR-SOC-W25-ANSWERDOC-P001</x:v>
      </x:c>
      <x:c r="AE5630" s="87" t="str">
        <x:v>TASK; SECONDARY_ANSWER_SOURCE</x:v>
      </x:c>
      <x:c r="AF5630" s="87" t="str">
        <x:v>VIS-EGKR-SOC-W25-TASK-951-P005: 5; VIS-EGKR-SOC-W25-ANSWERDOC-P001: 1</x:v>
      </x:c>
      <x:c r="AG5630" s="87" t="str">
        <x:v>RESOLVED</x:v>
      </x:c>
      <x:c r="AH5630" s="87" t="str">
        <x:v>CROP_VERIFIED</x:v>
      </x:c>
      <x:c r="AI5630" s="30"/>
      <x:c r="AJ5630" s="87" t="str">
        <x:v>clean</x:v>
      </x:c>
      <x:c r="AK5630" s="87" t="str">
        <x:v>clean-v0.16</x:v>
      </x:c>
      <x:c r="AL5630" s="87" t="str">
        <x:v>statgrad_clean_continuation_v0_16(1).xlsx</x:v>
      </x:c>
      <x:c r="AM5630" s="87" t="str">
        <x:v>SOC_EGKR_951</x:v>
      </x:c>
      <x:c r="AN5630" s="87" t="n">
        <x:v>17</x:v>
      </x:c>
    </x:row>
    <x:row r="5631">
      <x:c r="A5631" s="87" t="n">
        <x:v>5630</x:v>
      </x:c>
      <x:c r="B5631" s="87" t="str">
        <x:v>EGKR-W25-SOC-951-17</x:v>
      </x:c>
      <x:c r="C5631" s="87" t="str">
        <x:v>ЕГКР</x:v>
      </x:c>
      <x:c r="D5631" s="87"/>
      <x:c r="E5631" s="87" t="str">
        <x:v>Зима 2025</x:v>
      </x:c>
      <x:c r="F5631" s="87" t="str">
        <x:v>18.12.2025</x:v>
      </x:c>
      <x:c r="G5631" s="87" t="str">
        <x:v>Обществознание</x:v>
      </x:c>
      <x:c r="H5631" s="87" t="n">
        <x:v>11</x:v>
      </x:c>
      <x:c r="I5631" s="87"/>
      <x:c r="J5631" s="87" t="str">
        <x:v>951</x:v>
      </x:c>
      <x:c r="K5631" s="87" t="n">
        <x:v>17</x:v>
      </x:c>
      <x:c r="L5631" s="87" t="str">
        <x:v>Развёрнутый ответ</x:v>
      </x:c>
      <x:c r="M5631" s="30" t="str">
        <x:v>По тексту раскрыть содержание политического процесса, значение его стадий и признаки стабильного процесса.</x:v>
      </x:c>
      <x:c r="N5631" s="30" t="str">
        <x:v>Политический процесс охватывает реальные действия граждан и представителей элит. Его основные стадии выражают динамику развития политической системы: подготовку, принятие, исполнение и корректировку решений. Стабильный процесс характеризуется устойчивыми формами политической мобилизации и поведения граждан, а также отработанными механизмами принятия решений.</x:v>
      </x:c>
      <x:c r="O5631" s="30" t="str">
        <x:v>Модель включает все элементы, прямо требуемые формулировкой задания.</x:v>
      </x:c>
      <x:c r="P5631" s="30" t="str">
        <x:v>Содержание проверено по исходному тексту, обществоведческим понятиям и правовым нормам.</x:v>
      </x:c>
      <x:c r="Q5631" s="30"/>
      <x:c r="R5631" s="30"/>
      <x:c r="S5631" s="30" t="str">
        <x:v>Независимая модель; вторичный DOCX использован только для аудита</x:v>
      </x:c>
      <x:c r="T5631" s="30"/>
      <x:c r="U5631" s="30" t="str">
        <x:v>Модель независимо проверена по условию.</x:v>
      </x:c>
      <x:c r="V5631" s="87" t="str">
        <x:v>VERIFIED</x:v>
      </x:c>
      <x:c r="W5631" s="87"/>
      <x:c r="X5631" s="87"/>
      <x:c r="Y5631" s="87" t="n">
        <x:v>6</x:v>
      </x:c>
      <x:c r="Z5631" s="87" t="n">
        <x:v>6</x:v>
      </x:c>
      <x:c r="AA5631" s="87"/>
      <x:c r="AB5631" s="87"/>
      <x:c r="AC5631" s="87" t="str">
        <x:v>VIS-EGKR-SOC-W25-TASK-951-P006</x:v>
      </x:c>
      <x:c r="AD5631" s="87" t="str">
        <x:v>VIS-EGKR-SOC-W25-ANSWERDOC-P001</x:v>
      </x:c>
      <x:c r="AE5631" s="87" t="str">
        <x:v>TASK; SECONDARY_ANSWER_SOURCE</x:v>
      </x:c>
      <x:c r="AF5631" s="87" t="str">
        <x:v>VIS-EGKR-SOC-W25-TASK-951-P006: 6; VIS-EGKR-SOC-W25-ANSWERDOC-P001: 1</x:v>
      </x:c>
      <x:c r="AG5631" s="87" t="str">
        <x:v>RESOLVED</x:v>
      </x:c>
      <x:c r="AH5631" s="87" t="str">
        <x:v>CROP_VERIFIED</x:v>
      </x:c>
      <x:c r="AI5631" s="30"/>
      <x:c r="AJ5631" s="87" t="str">
        <x:v>clean</x:v>
      </x:c>
      <x:c r="AK5631" s="87" t="str">
        <x:v>clean-v0.16</x:v>
      </x:c>
      <x:c r="AL5631" s="87" t="str">
        <x:v>statgrad_clean_continuation_v0_16(1).xlsx</x:v>
      </x:c>
      <x:c r="AM5631" s="87" t="str">
        <x:v>SOC_EGKR_951</x:v>
      </x:c>
      <x:c r="AN5631" s="87" t="n">
        <x:v>18</x:v>
      </x:c>
    </x:row>
    <x:row r="5632">
      <x:c r="A5632" s="87" t="n">
        <x:v>5631</x:v>
      </x:c>
      <x:c r="B5632" s="87" t="str">
        <x:v>EGKR-W25-SOC-951-18</x:v>
      </x:c>
      <x:c r="C5632" s="87" t="str">
        <x:v>ЕГКР</x:v>
      </x:c>
      <x:c r="D5632" s="87"/>
      <x:c r="E5632" s="87" t="str">
        <x:v>Зима 2025</x:v>
      </x:c>
      <x:c r="F5632" s="87" t="str">
        <x:v>18.12.2025</x:v>
      </x:c>
      <x:c r="G5632" s="87" t="str">
        <x:v>Обществознание</x:v>
      </x:c>
      <x:c r="H5632" s="87" t="n">
        <x:v>11</x:v>
      </x:c>
      <x:c r="I5632" s="87"/>
      <x:c r="J5632" s="87" t="str">
        <x:v>951</x:v>
      </x:c>
      <x:c r="K5632" s="87" t="n">
        <x:v>18</x:v>
      </x:c>
      <x:c r="L5632" s="87" t="str">
        <x:v>Развёрнутый ответ</x:v>
      </x:c>
      <x:c r="M5632" s="30" t="str">
        <x:v>Назвать не менее трёх признаков нации и объяснить связь политического процесса с культурной подсистемой.</x:v>
      </x:c>
      <x:c r="N5632" s="30" t="str">
        <x:v>Признаки нации: общность территории, языка и национального самосознания. Политическая культура содержит ценности, нормы и установки, которые определяют понимание политических ролей, допустимые формы участия и способы мобилизации; поэтому характер политического процесса зависит от культурной подсистемы.</x:v>
      </x:c>
      <x:c r="O5632" s="30" t="str">
        <x:v>Модель включает все элементы, прямо требуемые формулировкой задания.</x:v>
      </x:c>
      <x:c r="P5632" s="30" t="str">
        <x:v>Содержание проверено по исходному тексту, обществоведческим понятиям и правовым нормам.</x:v>
      </x:c>
      <x:c r="Q5632" s="30"/>
      <x:c r="R5632" s="30"/>
      <x:c r="S5632" s="30" t="str">
        <x:v>Независимая модель; вторичный DOCX использован только для аудита</x:v>
      </x:c>
      <x:c r="T5632" s="30"/>
      <x:c r="U5632" s="30" t="str">
        <x:v>Модель независимо проверена по условию.</x:v>
      </x:c>
      <x:c r="V5632" s="87" t="str">
        <x:v>VERIFIED</x:v>
      </x:c>
      <x:c r="W5632" s="87"/>
      <x:c r="X5632" s="87"/>
      <x:c r="Y5632" s="87" t="n">
        <x:v>6</x:v>
      </x:c>
      <x:c r="Z5632" s="87" t="n">
        <x:v>6</x:v>
      </x:c>
      <x:c r="AA5632" s="87"/>
      <x:c r="AB5632" s="87"/>
      <x:c r="AC5632" s="87" t="str">
        <x:v>VIS-EGKR-SOC-W25-TASK-951-P006</x:v>
      </x:c>
      <x:c r="AD5632" s="87" t="str">
        <x:v>VIS-EGKR-SOC-W25-ANSWERDOC-P001</x:v>
      </x:c>
      <x:c r="AE5632" s="87" t="str">
        <x:v>TASK; SECONDARY_ANSWER_SOURCE</x:v>
      </x:c>
      <x:c r="AF5632" s="87" t="str">
        <x:v>VIS-EGKR-SOC-W25-TASK-951-P006: 6; VIS-EGKR-SOC-W25-ANSWERDOC-P001: 1</x:v>
      </x:c>
      <x:c r="AG5632" s="87" t="str">
        <x:v>RESOLVED</x:v>
      </x:c>
      <x:c r="AH5632" s="87" t="str">
        <x:v>CROP_VERIFIED</x:v>
      </x:c>
      <x:c r="AI5632" s="30"/>
      <x:c r="AJ5632" s="87" t="str">
        <x:v>clean</x:v>
      </x:c>
      <x:c r="AK5632" s="87" t="str">
        <x:v>clean-v0.16</x:v>
      </x:c>
      <x:c r="AL5632" s="87" t="str">
        <x:v>statgrad_clean_continuation_v0_16(1).xlsx</x:v>
      </x:c>
      <x:c r="AM5632" s="87" t="str">
        <x:v>SOC_EGKR_951</x:v>
      </x:c>
      <x:c r="AN5632" s="87" t="n">
        <x:v>19</x:v>
      </x:c>
    </x:row>
    <x:row r="5633">
      <x:c r="A5633" s="87" t="n">
        <x:v>5632</x:v>
      </x:c>
      <x:c r="B5633" s="87" t="str">
        <x:v>EGKR-W25-SOC-951-19</x:v>
      </x:c>
      <x:c r="C5633" s="87" t="str">
        <x:v>ЕГКР</x:v>
      </x:c>
      <x:c r="D5633" s="87"/>
      <x:c r="E5633" s="87" t="str">
        <x:v>Зима 2025</x:v>
      </x:c>
      <x:c r="F5633" s="87" t="str">
        <x:v>18.12.2025</x:v>
      </x:c>
      <x:c r="G5633" s="87" t="str">
        <x:v>Обществознание</x:v>
      </x:c>
      <x:c r="H5633" s="87" t="n">
        <x:v>11</x:v>
      </x:c>
      <x:c r="I5633" s="87"/>
      <x:c r="J5633" s="87" t="str">
        <x:v>951</x:v>
      </x:c>
      <x:c r="K5633" s="87" t="n">
        <x:v>19</x:v>
      </x:c>
      <x:c r="L5633" s="87" t="str">
        <x:v>Развёрнутый ответ</x:v>
      </x:c>
      <x:c r="M5633" s="30" t="str">
        <x:v>Привести примеры участия РФ или её субъектов в политическом процессе на государственном, региональном и глобальном уровнях.</x:v>
      </x:c>
      <x:c r="N5633" s="30" t="str">
        <x:v>Государственный уровень: граждане участвуют в выборах Президента РФ, а органы власти организуют голосование и реализуют полномочия. Региональный уровень: жители субъекта избирают депутатов законодательного собрания, которое принимает закон о бюджете региона. Глобальный уровень: РФ участвует в работе ООН и заключает международные соглашения.</x:v>
      </x:c>
      <x:c r="O5633" s="30" t="str">
        <x:v>Модель включает все элементы, прямо требуемые формулировкой задания.</x:v>
      </x:c>
      <x:c r="P5633" s="30" t="str">
        <x:v>Содержание проверено по исходному тексту, обществоведческим понятиям и правовым нормам.</x:v>
      </x:c>
      <x:c r="Q5633" s="30"/>
      <x:c r="R5633" s="30"/>
      <x:c r="S5633" s="30" t="str">
        <x:v>Независимая модель; вторичный DOCX использован только для аудита</x:v>
      </x:c>
      <x:c r="T5633" s="30"/>
      <x:c r="U5633" s="30" t="str">
        <x:v>Модель независимо проверена по условию.</x:v>
      </x:c>
      <x:c r="V5633" s="87" t="str">
        <x:v>VERIFIED</x:v>
      </x:c>
      <x:c r="W5633" s="87"/>
      <x:c r="X5633" s="87"/>
      <x:c r="Y5633" s="87" t="n">
        <x:v>6</x:v>
      </x:c>
      <x:c r="Z5633" s="87" t="n">
        <x:v>6</x:v>
      </x:c>
      <x:c r="AA5633" s="87"/>
      <x:c r="AB5633" s="87"/>
      <x:c r="AC5633" s="87" t="str">
        <x:v>VIS-EGKR-SOC-W25-TASK-951-P006</x:v>
      </x:c>
      <x:c r="AD5633" s="87" t="str">
        <x:v>VIS-EGKR-SOC-W25-ANSWERDOC-P001</x:v>
      </x:c>
      <x:c r="AE5633" s="87" t="str">
        <x:v>TASK; SECONDARY_ANSWER_SOURCE</x:v>
      </x:c>
      <x:c r="AF5633" s="87" t="str">
        <x:v>VIS-EGKR-SOC-W25-TASK-951-P006: 6; VIS-EGKR-SOC-W25-ANSWERDOC-P001: 1</x:v>
      </x:c>
      <x:c r="AG5633" s="87" t="str">
        <x:v>RESOLVED</x:v>
      </x:c>
      <x:c r="AH5633" s="87" t="str">
        <x:v>CROP_VERIFIED</x:v>
      </x:c>
      <x:c r="AI5633" s="30"/>
      <x:c r="AJ5633" s="87" t="str">
        <x:v>clean</x:v>
      </x:c>
      <x:c r="AK5633" s="87" t="str">
        <x:v>clean-v0.16</x:v>
      </x:c>
      <x:c r="AL5633" s="87" t="str">
        <x:v>statgrad_clean_continuation_v0_16(1).xlsx</x:v>
      </x:c>
      <x:c r="AM5633" s="87" t="str">
        <x:v>SOC_EGKR_951</x:v>
      </x:c>
      <x:c r="AN5633" s="87" t="n">
        <x:v>20</x:v>
      </x:c>
    </x:row>
    <x:row r="5634">
      <x:c r="A5634" s="87" t="n">
        <x:v>5633</x:v>
      </x:c>
      <x:c r="B5634" s="87" t="str">
        <x:v>EGKR-W25-SOC-951-20</x:v>
      </x:c>
      <x:c r="C5634" s="87" t="str">
        <x:v>ЕГКР</x:v>
      </x:c>
      <x:c r="D5634" s="87"/>
      <x:c r="E5634" s="87" t="str">
        <x:v>Зима 2025</x:v>
      </x:c>
      <x:c r="F5634" s="87" t="str">
        <x:v>18.12.2025</x:v>
      </x:c>
      <x:c r="G5634" s="87" t="str">
        <x:v>Обществознание</x:v>
      </x:c>
      <x:c r="H5634" s="87" t="n">
        <x:v>11</x:v>
      </x:c>
      <x:c r="I5634" s="87"/>
      <x:c r="J5634" s="87" t="str">
        <x:v>951</x:v>
      </x:c>
      <x:c r="K5634" s="87" t="n">
        <x:v>20</x:v>
      </x:c>
      <x:c r="L5634" s="87" t="str">
        <x:v>Развёрнутый ответ</x:v>
      </x:c>
      <x:c r="M5634" s="30" t="str">
        <x:v>Привести три подтверждения того, что политический процесс отражает социальную динамику.</x:v>
      </x:c>
      <x:c r="N5634" s="30" t="str">
        <x:v>Политический процесс показывает переход политической системы из одного состояния в другое. Корректировка политических решений происходит под влиянием меняющихся общественных запросов и условий. Неспособность режима реагировать на новые потребности групп вызывает нестабильность, поэтому социальные изменения непосредственно меняют ход политического процесса.</x:v>
      </x:c>
      <x:c r="O5634" s="30" t="str">
        <x:v>Модель включает все элементы, прямо требуемые формулировкой задания.</x:v>
      </x:c>
      <x:c r="P5634" s="30" t="str">
        <x:v>Содержание проверено по исходному тексту, обществоведческим понятиям и правовым нормам.</x:v>
      </x:c>
      <x:c r="Q5634" s="30"/>
      <x:c r="R5634" s="30"/>
      <x:c r="S5634" s="30" t="str">
        <x:v>Независимая модель; вторичный DOCX использован только для аудита</x:v>
      </x:c>
      <x:c r="T5634" s="30"/>
      <x:c r="U5634" s="30" t="str">
        <x:v>Модель независимо проверена по условию.</x:v>
      </x:c>
      <x:c r="V5634" s="87" t="str">
        <x:v>VERIFIED</x:v>
      </x:c>
      <x:c r="W5634" s="87"/>
      <x:c r="X5634" s="87"/>
      <x:c r="Y5634" s="87" t="n">
        <x:v>6</x:v>
      </x:c>
      <x:c r="Z5634" s="87" t="n">
        <x:v>6</x:v>
      </x:c>
      <x:c r="AA5634" s="87"/>
      <x:c r="AB5634" s="87"/>
      <x:c r="AC5634" s="87" t="str">
        <x:v>VIS-EGKR-SOC-W25-TASK-951-P006</x:v>
      </x:c>
      <x:c r="AD5634" s="87" t="str">
        <x:v>VIS-EGKR-SOC-W25-ANSWERDOC-P001</x:v>
      </x:c>
      <x:c r="AE5634" s="87" t="str">
        <x:v>TASK; SECONDARY_ANSWER_SOURCE</x:v>
      </x:c>
      <x:c r="AF5634" s="87" t="str">
        <x:v>VIS-EGKR-SOC-W25-TASK-951-P006: 6; VIS-EGKR-SOC-W25-ANSWERDOC-P001: 1</x:v>
      </x:c>
      <x:c r="AG5634" s="87" t="str">
        <x:v>RESOLVED</x:v>
      </x:c>
      <x:c r="AH5634" s="87" t="str">
        <x:v>CROP_VERIFIED</x:v>
      </x:c>
      <x:c r="AI5634" s="30"/>
      <x:c r="AJ5634" s="87" t="str">
        <x:v>clean</x:v>
      </x:c>
      <x:c r="AK5634" s="87" t="str">
        <x:v>clean-v0.16</x:v>
      </x:c>
      <x:c r="AL5634" s="87" t="str">
        <x:v>statgrad_clean_continuation_v0_16(1).xlsx</x:v>
      </x:c>
      <x:c r="AM5634" s="87" t="str">
        <x:v>SOC_EGKR_951</x:v>
      </x:c>
      <x:c r="AN5634" s="87" t="n">
        <x:v>21</x:v>
      </x:c>
    </x:row>
    <x:row r="5635">
      <x:c r="A5635" s="87" t="n">
        <x:v>5634</x:v>
      </x:c>
      <x:c r="B5635" s="87" t="str">
        <x:v>EGKR-W25-SOC-951-21</x:v>
      </x:c>
      <x:c r="C5635" s="87" t="str">
        <x:v>ЕГКР</x:v>
      </x:c>
      <x:c r="D5635" s="87"/>
      <x:c r="E5635" s="87" t="str">
        <x:v>Зима 2025</x:v>
      </x:c>
      <x:c r="F5635" s="87" t="str">
        <x:v>18.12.2025</x:v>
      </x:c>
      <x:c r="G5635" s="87" t="str">
        <x:v>Обществознание</x:v>
      </x:c>
      <x:c r="H5635" s="87" t="n">
        <x:v>11</x:v>
      </x:c>
      <x:c r="I5635" s="87"/>
      <x:c r="J5635" s="87" t="str">
        <x:v>951</x:v>
      </x:c>
      <x:c r="K5635" s="87" t="n">
        <x:v>21</x:v>
      </x:c>
      <x:c r="L5635" s="87" t="str">
        <x:v>Развёрнутый ответ</x:v>
      </x:c>
      <x:c r="M5635" s="30" t="str">
        <x:v>Проанализировать сдвиг спроса на замороженные полуфабрикаты и влияние технологии производства.</x:v>
      </x:c>
      <x:c r="N5635" s="30" t="str">
        <x:v>Равновесная цена снизилась. Укрепление спроса на натуральное и свежее питание сокращает спрос на замороженные полуфабрикаты, сдвигая кривую спроса влево. Повышение уровня технологии снижает издержки, увеличивает предложение и дополнительно снижает равновесную цену.</x:v>
      </x:c>
      <x:c r="O5635" s="30" t="str">
        <x:v>Модель включает все элементы, прямо требуемые формулировкой задания.</x:v>
      </x:c>
      <x:c r="P5635" s="30" t="str">
        <x:v>Содержание проверено по исходному тексту, обществоведческим понятиям и правовым нормам.</x:v>
      </x:c>
      <x:c r="Q5635" s="30"/>
      <x:c r="R5635" s="30"/>
      <x:c r="S5635" s="30" t="str">
        <x:v>Независимая модель; вторичный DOCX использован только для аудита</x:v>
      </x:c>
      <x:c r="T5635" s="30"/>
      <x:c r="U5635" s="30" t="str">
        <x:v>Модель независимо проверена по условию.</x:v>
      </x:c>
      <x:c r="V5635" s="87" t="str">
        <x:v>VERIFIED</x:v>
      </x:c>
      <x:c r="W5635" s="87"/>
      <x:c r="X5635" s="87"/>
      <x:c r="Y5635" s="87" t="n">
        <x:v>7</x:v>
      </x:c>
      <x:c r="Z5635" s="87" t="n">
        <x:v>7</x:v>
      </x:c>
      <x:c r="AA5635" s="87"/>
      <x:c r="AB5635" s="87"/>
      <x:c r="AC5635" s="87" t="str">
        <x:v>VIS-EGKR-SOC-W25-TASK-951-P007</x:v>
      </x:c>
      <x:c r="AD5635" s="87" t="str">
        <x:v>VIS-EGKR-SOC-W25-ANSWERDOC-P002</x:v>
      </x:c>
      <x:c r="AE5635" s="87" t="str">
        <x:v>TASK; SECONDARY_ANSWER_SOURCE</x:v>
      </x:c>
      <x:c r="AF5635" s="87" t="str">
        <x:v>VIS-EGKR-SOC-W25-TASK-951-P007: 7; VIS-EGKR-SOC-W25-ANSWERDOC-P002: 2</x:v>
      </x:c>
      <x:c r="AG5635" s="87" t="str">
        <x:v>RESOLVED</x:v>
      </x:c>
      <x:c r="AH5635" s="87" t="str">
        <x:v>CROP_VERIFIED</x:v>
      </x:c>
      <x:c r="AI5635" s="30"/>
      <x:c r="AJ5635" s="87" t="str">
        <x:v>clean</x:v>
      </x:c>
      <x:c r="AK5635" s="87" t="str">
        <x:v>clean-v0.16</x:v>
      </x:c>
      <x:c r="AL5635" s="87" t="str">
        <x:v>statgrad_clean_continuation_v0_16(1).xlsx</x:v>
      </x:c>
      <x:c r="AM5635" s="87" t="str">
        <x:v>SOC_EGKR_951</x:v>
      </x:c>
      <x:c r="AN5635" s="87" t="n">
        <x:v>22</x:v>
      </x:c>
    </x:row>
    <x:row r="5636">
      <x:c r="A5636" s="87" t="n">
        <x:v>5635</x:v>
      </x:c>
      <x:c r="B5636" s="87" t="str">
        <x:v>EGKR-W25-SOC-951-22</x:v>
      </x:c>
      <x:c r="C5636" s="87" t="str">
        <x:v>ЕГКР</x:v>
      </x:c>
      <x:c r="D5636" s="87"/>
      <x:c r="E5636" s="87" t="str">
        <x:v>Зима 2025</x:v>
      </x:c>
      <x:c r="F5636" s="87" t="str">
        <x:v>18.12.2025</x:v>
      </x:c>
      <x:c r="G5636" s="87" t="str">
        <x:v>Обществознание</x:v>
      </x:c>
      <x:c r="H5636" s="87" t="n">
        <x:v>11</x:v>
      </x:c>
      <x:c r="I5636" s="87"/>
      <x:c r="J5636" s="87" t="str">
        <x:v>951</x:v>
      </x:c>
      <x:c r="K5636" s="87" t="n">
        <x:v>22</x:v>
      </x:c>
      <x:c r="L5636" s="87" t="str">
        <x:v>Развёрнутый ответ</x:v>
      </x:c>
      <x:c r="M5636" s="30" t="str">
        <x:v>Определить тенденцию образования, объяснить непрерывность обучения, социальный лифт и две функции образования.</x:v>
      </x:c>
      <x:c r="N5636" s="30" t="str">
        <x:v>Тенденция — гуманитаризация образования. Технологии и структура занятости быстро меняются, поэтому человеку приходится повышать квалификацию и осваивать новые профессии в течение жизни. Качественное образование и востребованная профессия позволяют занять более престижную позицию, что иллюстрирует социальный лифт. Функции: социализация и передача культуры; подготовка квалифицированных кадров для экономики.</x:v>
      </x:c>
      <x:c r="O5636" s="30" t="str">
        <x:v>Модель включает все элементы, прямо требуемые формулировкой задания.</x:v>
      </x:c>
      <x:c r="P5636" s="30" t="str">
        <x:v>Содержание проверено по исходному тексту, обществоведческим понятиям и правовым нормам.</x:v>
      </x:c>
      <x:c r="Q5636" s="30"/>
      <x:c r="R5636" s="30"/>
      <x:c r="S5636" s="30" t="str">
        <x:v>Независимая модель; вторичный DOCX использован только для аудита</x:v>
      </x:c>
      <x:c r="T5636" s="30"/>
      <x:c r="U5636" s="30" t="str">
        <x:v>Модель независимо проверена по условию.</x:v>
      </x:c>
      <x:c r="V5636" s="87" t="str">
        <x:v>VERIFIED</x:v>
      </x:c>
      <x:c r="W5636" s="87"/>
      <x:c r="X5636" s="87"/>
      <x:c r="Y5636" s="87" t="n">
        <x:v>7</x:v>
      </x:c>
      <x:c r="Z5636" s="87" t="n">
        <x:v>7</x:v>
      </x:c>
      <x:c r="AA5636" s="87"/>
      <x:c r="AB5636" s="87"/>
      <x:c r="AC5636" s="87" t="str">
        <x:v>VIS-EGKR-SOC-W25-TASK-951-P007</x:v>
      </x:c>
      <x:c r="AD5636" s="87" t="str">
        <x:v>VIS-EGKR-SOC-W25-ANSWERDOC-P002</x:v>
      </x:c>
      <x:c r="AE5636" s="87" t="str">
        <x:v>TASK; SECONDARY_ANSWER_SOURCE</x:v>
      </x:c>
      <x:c r="AF5636" s="87" t="str">
        <x:v>VIS-EGKR-SOC-W25-TASK-951-P007: 7; VIS-EGKR-SOC-W25-ANSWERDOC-P002: 2</x:v>
      </x:c>
      <x:c r="AG5636" s="87" t="str">
        <x:v>RESOLVED</x:v>
      </x:c>
      <x:c r="AH5636" s="87" t="str">
        <x:v>CROP_VERIFIED</x:v>
      </x:c>
      <x:c r="AI5636" s="30"/>
      <x:c r="AJ5636" s="87" t="str">
        <x:v>clean</x:v>
      </x:c>
      <x:c r="AK5636" s="87" t="str">
        <x:v>clean-v0.16</x:v>
      </x:c>
      <x:c r="AL5636" s="87" t="str">
        <x:v>statgrad_clean_continuation_v0_16(1).xlsx</x:v>
      </x:c>
      <x:c r="AM5636" s="87" t="str">
        <x:v>SOC_EGKR_951</x:v>
      </x:c>
      <x:c r="AN5636" s="87" t="n">
        <x:v>23</x:v>
      </x:c>
    </x:row>
    <x:row r="5637">
      <x:c r="A5637" s="87" t="n">
        <x:v>5636</x:v>
      </x:c>
      <x:c r="B5637" s="87" t="str">
        <x:v>EGKR-W25-SOC-951-23</x:v>
      </x:c>
      <x:c r="C5637" s="87" t="str">
        <x:v>ЕГКР</x:v>
      </x:c>
      <x:c r="D5637" s="87"/>
      <x:c r="E5637" s="87" t="str">
        <x:v>Зима 2025</x:v>
      </x:c>
      <x:c r="F5637" s="87" t="str">
        <x:v>18.12.2025</x:v>
      </x:c>
      <x:c r="G5637" s="87" t="str">
        <x:v>Обществознание</x:v>
      </x:c>
      <x:c r="H5637" s="87" t="n">
        <x:v>11</x:v>
      </x:c>
      <x:c r="I5637" s="87"/>
      <x:c r="J5637" s="87" t="str">
        <x:v>951</x:v>
      </x:c>
      <x:c r="K5637" s="87" t="n">
        <x:v>23</x:v>
      </x:c>
      <x:c r="L5637" s="87" t="str">
        <x:v>Развёрнутый ответ</x:v>
      </x:c>
      <x:c r="M5637" s="30" t="str">
        <x:v>Объяснить демократическое государство, местное самоуправление и презумпцию невиновности по Конституции РФ.</x:v>
      </x:c>
      <x:c r="N5637" s="30" t="str">
        <x:v>Демократический характер означает, что народ является носителем суверенитета и осуществляет власть непосредственно и через органы власти. Местное самоуправление признаётся и гарантируется, а население самостоятельно решает вопросы местного значения в пределах полномочий. Презумпция невиновности означает, что обвиняемый считается невиновным до вступления в силу обвинительного приговора, не обязан доказывать невиновность, а неустранимые сомнения толкуются в его пользу.</x:v>
      </x:c>
      <x:c r="O5637" s="30" t="str">
        <x:v>Модель включает все элементы, прямо требуемые формулировкой задания.</x:v>
      </x:c>
      <x:c r="P5637" s="30" t="str">
        <x:v>Содержание проверено по исходному тексту, обществоведческим понятиям и правовым нормам.</x:v>
      </x:c>
      <x:c r="Q5637" s="30"/>
      <x:c r="R5637" s="30"/>
      <x:c r="S5637" s="30" t="str">
        <x:v>Независимая модель; вторичный DOCX использован только для аудита</x:v>
      </x:c>
      <x:c r="T5637" s="30"/>
      <x:c r="U5637" s="30" t="str">
        <x:v>Модель независимо проверена по условию. Модель отсутствовала во вторичном ответнике и подготовлена независимо.</x:v>
      </x:c>
      <x:c r="V5637" s="87" t="str">
        <x:v>VERIFIED</x:v>
      </x:c>
      <x:c r="W5637" s="87"/>
      <x:c r="X5637" s="87"/>
      <x:c r="Y5637" s="87" t="n">
        <x:v>7</x:v>
      </x:c>
      <x:c r="Z5637" s="87" t="n">
        <x:v>7</x:v>
      </x:c>
      <x:c r="AA5637" s="87"/>
      <x:c r="AB5637" s="87"/>
      <x:c r="AC5637" s="87" t="str">
        <x:v>VIS-EGKR-SOC-W25-TASK-951-P007</x:v>
      </x:c>
      <x:c r="AD5637" s="87"/>
      <x:c r="AE5637" s="87" t="str">
        <x:v>TASK</x:v>
      </x:c>
      <x:c r="AF5637" s="87" t="str">
        <x:v>VIS-EGKR-SOC-W25-TASK-951-P007: 7</x:v>
      </x:c>
      <x:c r="AG5637" s="87" t="str">
        <x:v>RESOLVED</x:v>
      </x:c>
      <x:c r="AH5637" s="87" t="str">
        <x:v>CROP_VERIFIED</x:v>
      </x:c>
      <x:c r="AI5637" s="30"/>
      <x:c r="AJ5637" s="87" t="str">
        <x:v>clean</x:v>
      </x:c>
      <x:c r="AK5637" s="87" t="str">
        <x:v>clean-v0.16</x:v>
      </x:c>
      <x:c r="AL5637" s="87" t="str">
        <x:v>statgrad_clean_continuation_v0_16(1).xlsx</x:v>
      </x:c>
      <x:c r="AM5637" s="87" t="str">
        <x:v>SOC_EGKR_951</x:v>
      </x:c>
      <x:c r="AN5637" s="87" t="n">
        <x:v>24</x:v>
      </x:c>
    </x:row>
    <x:row r="5638">
      <x:c r="A5638" s="87" t="n">
        <x:v>5637</x:v>
      </x:c>
      <x:c r="B5638" s="87" t="str">
        <x:v>EGKR-W25-SOC-951-24</x:v>
      </x:c>
      <x:c r="C5638" s="87" t="str">
        <x:v>ЕГКР</x:v>
      </x:c>
      <x:c r="D5638" s="87"/>
      <x:c r="E5638" s="87" t="str">
        <x:v>Зима 2025</x:v>
      </x:c>
      <x:c r="F5638" s="87" t="str">
        <x:v>18.12.2025</x:v>
      </x:c>
      <x:c r="G5638" s="87" t="str">
        <x:v>Обществознание</x:v>
      </x:c>
      <x:c r="H5638" s="87" t="n">
        <x:v>11</x:v>
      </x:c>
      <x:c r="I5638" s="87"/>
      <x:c r="J5638" s="87" t="str">
        <x:v>951</x:v>
      </x:c>
      <x:c r="K5638" s="87" t="n">
        <x:v>24</x:v>
      </x:c>
      <x:c r="L5638" s="87" t="str">
        <x:v>Развёрнутый ответ</x:v>
      </x:c>
      <x:c r="M5638" s="30" t="str">
        <x:v>Составить сложный план по теме «Социальные конфликты».</x:v>
      </x:c>
      <x:c r="N5638" s="30" t="str">
        <x:v>1. Понятие и структура социального конфликта. 2. Причины конфликтов: а) столкновение интересов; б) неравенство ресурсов и статусов; в) различие ценностей. 3. Виды конфликтов: а) межличностные; б) межгрупповые; в) политические и экономические. 4. Стадии: а) предконфликтная ситуация; б) открытое противоборство; в) завершение и последствия. 5. Стратегии поведения: а) соперничество; б) компромисс; в) сотрудничество; г) избегание; д) приспособление. 6. Способы урегулирования: переговоры, посредничество, арбитраж. 7. Конструктивные и деструктивные последствия.</x:v>
      </x:c>
      <x:c r="O5638" s="30" t="str">
        <x:v>Модель включает все элементы, прямо требуемые формулировкой задания.</x:v>
      </x:c>
      <x:c r="P5638" s="30" t="str">
        <x:v>Содержание проверено по исходному тексту, обществоведческим понятиям и правовым нормам.</x:v>
      </x:c>
      <x:c r="Q5638" s="30"/>
      <x:c r="R5638" s="30"/>
      <x:c r="S5638" s="30" t="str">
        <x:v>Независимая модель; вторичный DOCX использован только для аудита</x:v>
      </x:c>
      <x:c r="T5638" s="30"/>
      <x:c r="U5638" s="30" t="str">
        <x:v>Модель независимо проверена по условию. Модель отсутствовала во вторичном ответнике и подготовлена независимо.</x:v>
      </x:c>
      <x:c r="V5638" s="87" t="str">
        <x:v>VERIFIED</x:v>
      </x:c>
      <x:c r="W5638" s="87"/>
      <x:c r="X5638" s="87"/>
      <x:c r="Y5638" s="87" t="n">
        <x:v>7</x:v>
      </x:c>
      <x:c r="Z5638" s="87" t="n">
        <x:v>7</x:v>
      </x:c>
      <x:c r="AA5638" s="87"/>
      <x:c r="AB5638" s="87"/>
      <x:c r="AC5638" s="87" t="str">
        <x:v>VIS-EGKR-SOC-W25-TASK-951-P007</x:v>
      </x:c>
      <x:c r="AD5638" s="87"/>
      <x:c r="AE5638" s="87" t="str">
        <x:v>TASK</x:v>
      </x:c>
      <x:c r="AF5638" s="87" t="str">
        <x:v>VIS-EGKR-SOC-W25-TASK-951-P007: 7</x:v>
      </x:c>
      <x:c r="AG5638" s="87" t="str">
        <x:v>RESOLVED</x:v>
      </x:c>
      <x:c r="AH5638" s="87" t="str">
        <x:v>CROP_VERIFIED</x:v>
      </x:c>
      <x:c r="AI5638" s="30"/>
      <x:c r="AJ5638" s="87" t="str">
        <x:v>clean</x:v>
      </x:c>
      <x:c r="AK5638" s="87" t="str">
        <x:v>clean-v0.16</x:v>
      </x:c>
      <x:c r="AL5638" s="87" t="str">
        <x:v>statgrad_clean_continuation_v0_16(1).xlsx</x:v>
      </x:c>
      <x:c r="AM5638" s="87" t="str">
        <x:v>SOC_EGKR_951</x:v>
      </x:c>
      <x:c r="AN5638" s="87" t="n">
        <x:v>25</x:v>
      </x:c>
    </x:row>
    <x:row r="5639">
      <x:c r="A5639" s="87" t="n">
        <x:v>5638</x:v>
      </x:c>
      <x:c r="B5639" s="87" t="str">
        <x:v>EGKR-W25-SOC-951-25</x:v>
      </x:c>
      <x:c r="C5639" s="87" t="str">
        <x:v>ЕГКР</x:v>
      </x:c>
      <x:c r="D5639" s="87"/>
      <x:c r="E5639" s="87" t="str">
        <x:v>Зима 2025</x:v>
      </x:c>
      <x:c r="F5639" s="87" t="str">
        <x:v>18.12.2025</x:v>
      </x:c>
      <x:c r="G5639" s="87" t="str">
        <x:v>Обществознание</x:v>
      </x:c>
      <x:c r="H5639" s="87" t="n">
        <x:v>11</x:v>
      </x:c>
      <x:c r="I5639" s="87"/>
      <x:c r="J5639" s="87" t="str">
        <x:v>951</x:v>
      </x:c>
      <x:c r="K5639" s="87" t="n">
        <x:v>25</x:v>
      </x:c>
      <x:c r="L5639" s="87" t="str">
        <x:v>Развёрнутый ответ</x:v>
      </x:c>
      <x:c r="M5639" s="30" t="str">
        <x:v>Обосновать неизбежность конфликтов, назвать три стратегии и привести примеры.</x:v>
      </x:c>
      <x:c r="N5639" s="30" t="str">
        <x:v>Конфликты неизбежны, поскольку люди и группы обладают различными интересами, ценностями, статусами и доступом к ограниченным ресурсам. Стратегии: компромисс, сотрудничество, избегание. Пример компромисса: работодатель и профсоюз согласовали поэтапное повышение зарплаты. Пример сотрудничества: жители дома совместно с управляющей компанией разработали схему парковки. Пример избегания: участники бытового спора отложили обсуждение до снижения эмоционального напряжения.</x:v>
      </x:c>
      <x:c r="O5639" s="30" t="str">
        <x:v>Модель включает все элементы, прямо требуемые формулировкой задания.</x:v>
      </x:c>
      <x:c r="P5639" s="30" t="str">
        <x:v>Содержание проверено по исходному тексту, обществоведческим понятиям и правовым нормам.</x:v>
      </x:c>
      <x:c r="Q5639" s="30"/>
      <x:c r="R5639" s="30"/>
      <x:c r="S5639" s="30" t="str">
        <x:v>Независимая модель; вторичный DOCX использован только для аудита</x:v>
      </x:c>
      <x:c r="T5639" s="30"/>
      <x:c r="U5639" s="30" t="str">
        <x:v>Модель независимо проверена по условию. Модель отсутствовала во вторичном ответнике и подготовлена независимо.</x:v>
      </x:c>
      <x:c r="V5639" s="87" t="str">
        <x:v>VERIFIED</x:v>
      </x:c>
      <x:c r="W5639" s="87"/>
      <x:c r="X5639" s="87"/>
      <x:c r="Y5639" s="87" t="n">
        <x:v>7</x:v>
      </x:c>
      <x:c r="Z5639" s="87" t="n">
        <x:v>7</x:v>
      </x:c>
      <x:c r="AA5639" s="87"/>
      <x:c r="AB5639" s="87"/>
      <x:c r="AC5639" s="87" t="str">
        <x:v>VIS-EGKR-SOC-W25-TASK-951-P007</x:v>
      </x:c>
      <x:c r="AD5639" s="87"/>
      <x:c r="AE5639" s="87" t="str">
        <x:v>TASK</x:v>
      </x:c>
      <x:c r="AF5639" s="87" t="str">
        <x:v>VIS-EGKR-SOC-W25-TASK-951-P007: 7</x:v>
      </x:c>
      <x:c r="AG5639" s="87" t="str">
        <x:v>RESOLVED</x:v>
      </x:c>
      <x:c r="AH5639" s="87" t="str">
        <x:v>CROP_VERIFIED</x:v>
      </x:c>
      <x:c r="AI5639" s="30"/>
      <x:c r="AJ5639" s="87" t="str">
        <x:v>clean</x:v>
      </x:c>
      <x:c r="AK5639" s="87" t="str">
        <x:v>clean-v0.16</x:v>
      </x:c>
      <x:c r="AL5639" s="87" t="str">
        <x:v>statgrad_clean_continuation_v0_16(1).xlsx</x:v>
      </x:c>
      <x:c r="AM5639" s="87" t="str">
        <x:v>SOC_EGKR_951</x:v>
      </x:c>
      <x:c r="AN5639" s="87" t="n">
        <x:v>26</x:v>
      </x:c>
    </x:row>
    <x:row r="5640">
      <x:c r="A5640" s="87" t="n">
        <x:v>5639</x:v>
      </x:c>
      <x:c r="B5640" s="87" t="str">
        <x:v>EGKR-W25-SOC-952-01</x:v>
      </x:c>
      <x:c r="C5640" s="87" t="str">
        <x:v>ЕГКР</x:v>
      </x:c>
      <x:c r="D5640" s="87"/>
      <x:c r="E5640" s="87" t="str">
        <x:v>Зима 2025</x:v>
      </x:c>
      <x:c r="F5640" s="87" t="str">
        <x:v>18.12.2025</x:v>
      </x:c>
      <x:c r="G5640" s="87" t="str">
        <x:v>Обществознание</x:v>
      </x:c>
      <x:c r="H5640" s="87" t="n">
        <x:v>11</x:v>
      </x:c>
      <x:c r="I5640" s="87"/>
      <x:c r="J5640" s="87" t="str">
        <x:v>952</x:v>
      </x:c>
      <x:c r="K5640" s="87" t="n">
        <x:v>1</x:v>
      </x:c>
      <x:c r="L5640" s="87" t="str">
        <x:v>Краткий ответ</x:v>
      </x:c>
      <x:c r="M5640" s="30" t="str">
        <x:v>Найти меры, которые относятся к мерам пресечения по УПК РФ.</x:v>
      </x:c>
      <x:c r="N5640" s="30" t="str">
        <x:v>2456</x:v>
      </x:c>
      <x:c r="O5640" s="30" t="str">
        <x:v>Меры пресечения: домашний арест, заключение под стражу, подписка о невыезде и залог.</x:v>
      </x:c>
      <x:c r="P5640" s="30" t="str">
        <x:v>Проверено по формулировке задания, обществоведческим определениям и нормам.</x:v>
      </x:c>
      <x:c r="Q5640" s="30"/>
      <x:c r="R5640" s="30"/>
      <x:c r="S5640" s="30" t="str">
        <x:v>Ответы (3).docx — вторичный источник</x:v>
      </x:c>
      <x:c r="T5640" s="30"/>
      <x:c r="U5640" s="30" t="str">
        <x:v>Ответник: 13; независимое решение: 2456.</x:v>
      </x:c>
      <x:c r="V5640" s="87" t="str">
        <x:v>KEY_MISMATCH</x:v>
      </x:c>
      <x:c r="W5640" s="87"/>
      <x:c r="X5640" s="87"/>
      <x:c r="Y5640" s="87" t="n">
        <x:v>1</x:v>
      </x:c>
      <x:c r="Z5640" s="87" t="n">
        <x:v>1</x:v>
      </x:c>
      <x:c r="AA5640" s="87"/>
      <x:c r="AB5640" s="87"/>
      <x:c r="AC5640" s="87" t="str">
        <x:v>VIS-EGKR-SOC-W25-TASK-952-P001</x:v>
      </x:c>
      <x:c r="AD5640" s="87" t="str">
        <x:v>VIS-EGKR-SOC-W25-ANSWERDOC-P002</x:v>
      </x:c>
      <x:c r="AE5640" s="87" t="str">
        <x:v>TASK; SECONDARY_ANSWER_SOURCE</x:v>
      </x:c>
      <x:c r="AF5640" s="87" t="str">
        <x:v>VIS-EGKR-SOC-W25-TASK-952-P001: 1; VIS-EGKR-SOC-W25-ANSWERDOC-P002: 2</x:v>
      </x:c>
      <x:c r="AG5640" s="87" t="str">
        <x:v>RESOLVED</x:v>
      </x:c>
      <x:c r="AH5640" s="87" t="str">
        <x:v>CROP_VERIFIED</x:v>
      </x:c>
      <x:c r="AI5640" s="30"/>
      <x:c r="AJ5640" s="87" t="str">
        <x:v>clean</x:v>
      </x:c>
      <x:c r="AK5640" s="87" t="str">
        <x:v>clean-v0.16</x:v>
      </x:c>
      <x:c r="AL5640" s="87" t="str">
        <x:v>statgrad_clean_continuation_v0_16(1).xlsx</x:v>
      </x:c>
      <x:c r="AM5640" s="87" t="str">
        <x:v>SOC_EGKR_952</x:v>
      </x:c>
      <x:c r="AN5640" s="87" t="n">
        <x:v>2</x:v>
      </x:c>
    </x:row>
    <x:row r="5641">
      <x:c r="A5641" s="87" t="n">
        <x:v>5640</x:v>
      </x:c>
      <x:c r="B5641" s="87" t="str">
        <x:v>EGKR-W25-SOC-952-02</x:v>
      </x:c>
      <x:c r="C5641" s="87" t="str">
        <x:v>ЕГКР</x:v>
      </x:c>
      <x:c r="D5641" s="87"/>
      <x:c r="E5641" s="87" t="str">
        <x:v>Зима 2025</x:v>
      </x:c>
      <x:c r="F5641" s="87" t="str">
        <x:v>18.12.2025</x:v>
      </x:c>
      <x:c r="G5641" s="87" t="str">
        <x:v>Обществознание</x:v>
      </x:c>
      <x:c r="H5641" s="87" t="n">
        <x:v>11</x:v>
      </x:c>
      <x:c r="I5641" s="87"/>
      <x:c r="J5641" s="87" t="str">
        <x:v>952</x:v>
      </x:c>
      <x:c r="K5641" s="87" t="n">
        <x:v>2</x:v>
      </x:c>
      <x:c r="L5641" s="87" t="str">
        <x:v>Краткий ответ</x:v>
      </x:c>
      <x:c r="M5641" s="30" t="str">
        <x:v>Выбрать верные суждения о культуре и её формах.</x:v>
      </x:c>
      <x:c r="N5641" s="30" t="str">
        <x:v>135</x:v>
      </x:c>
      <x:c r="O5641" s="30" t="str">
        <x:v>Позиции проверены по определениям и нормам обществоведческого курса; итоговая последовательность: 135.</x:v>
      </x:c>
      <x:c r="P5641" s="30" t="str">
        <x:v>Проверено по формулировке задания, обществоведческим определениям и нормам.</x:v>
      </x:c>
      <x:c r="Q5641" s="30"/>
      <x:c r="R5641" s="30"/>
      <x:c r="S5641" s="30" t="str">
        <x:v>Ответы (3).docx — вторичный источник</x:v>
      </x:c>
      <x:c r="T5641" s="30"/>
      <x:c r="U5641" s="30" t="str">
        <x:v>Ответник совпадает с независимой проверкой.</x:v>
      </x:c>
      <x:c r="V5641" s="87" t="str">
        <x:v>VERIFIED</x:v>
      </x:c>
      <x:c r="W5641" s="87"/>
      <x:c r="X5641" s="87"/>
      <x:c r="Y5641" s="87" t="n">
        <x:v>1</x:v>
      </x:c>
      <x:c r="Z5641" s="87" t="n">
        <x:v>1</x:v>
      </x:c>
      <x:c r="AA5641" s="87"/>
      <x:c r="AB5641" s="87"/>
      <x:c r="AC5641" s="87" t="str">
        <x:v>VIS-EGKR-SOC-W25-TASK-952-P001</x:v>
      </x:c>
      <x:c r="AD5641" s="87" t="str">
        <x:v>VIS-EGKR-SOC-W25-ANSWERDOC-P002</x:v>
      </x:c>
      <x:c r="AE5641" s="87" t="str">
        <x:v>TASK; SECONDARY_ANSWER_SOURCE</x:v>
      </x:c>
      <x:c r="AF5641" s="87" t="str">
        <x:v>VIS-EGKR-SOC-W25-TASK-952-P001: 1; VIS-EGKR-SOC-W25-ANSWERDOC-P002: 2</x:v>
      </x:c>
      <x:c r="AG5641" s="87" t="str">
        <x:v>RESOLVED</x:v>
      </x:c>
      <x:c r="AH5641" s="87" t="str">
        <x:v>CROP_VERIFIED</x:v>
      </x:c>
      <x:c r="AI5641" s="30"/>
      <x:c r="AJ5641" s="87" t="str">
        <x:v>clean</x:v>
      </x:c>
      <x:c r="AK5641" s="87" t="str">
        <x:v>clean-v0.16</x:v>
      </x:c>
      <x:c r="AL5641" s="87" t="str">
        <x:v>statgrad_clean_continuation_v0_16(1).xlsx</x:v>
      </x:c>
      <x:c r="AM5641" s="87" t="str">
        <x:v>SOC_EGKR_952</x:v>
      </x:c>
      <x:c r="AN5641" s="87" t="n">
        <x:v>3</x:v>
      </x:c>
    </x:row>
    <x:row r="5642">
      <x:c r="A5642" s="87" t="n">
        <x:v>5641</x:v>
      </x:c>
      <x:c r="B5642" s="87" t="str">
        <x:v>EGKR-W25-SOC-952-03</x:v>
      </x:c>
      <x:c r="C5642" s="87" t="str">
        <x:v>ЕГКР</x:v>
      </x:c>
      <x:c r="D5642" s="87"/>
      <x:c r="E5642" s="87" t="str">
        <x:v>Зима 2025</x:v>
      </x:c>
      <x:c r="F5642" s="87" t="str">
        <x:v>18.12.2025</x:v>
      </x:c>
      <x:c r="G5642" s="87" t="str">
        <x:v>Обществознание</x:v>
      </x:c>
      <x:c r="H5642" s="87" t="n">
        <x:v>11</x:v>
      </x:c>
      <x:c r="I5642" s="87"/>
      <x:c r="J5642" s="87" t="str">
        <x:v>952</x:v>
      </x:c>
      <x:c r="K5642" s="87" t="n">
        <x:v>3</x:v>
      </x:c>
      <x:c r="L5642" s="87" t="str">
        <x:v>Краткий ответ</x:v>
      </x:c>
      <x:c r="M5642" s="30" t="str">
        <x:v>Соотнести действия обучающегося с академическими правами и обязанностями.</x:v>
      </x:c>
      <x:c r="N5642" s="30" t="str">
        <x:v>22111</x:v>
      </x:c>
      <x:c r="O5642" s="30" t="str">
        <x:v>Позиции проверены по определениям и нормам обществоведческого курса; итоговая последовательность: 22111.</x:v>
      </x:c>
      <x:c r="P5642" s="30" t="str">
        <x:v>Проверено по формулировке задания, обществоведческим определениям и нормам.</x:v>
      </x:c>
      <x:c r="Q5642" s="30"/>
      <x:c r="R5642" s="30"/>
      <x:c r="S5642" s="30" t="str">
        <x:v>Ответы (3).docx — вторичный источник</x:v>
      </x:c>
      <x:c r="T5642" s="30"/>
      <x:c r="U5642" s="30" t="str">
        <x:v>Ответник совпадает с независимой проверкой.</x:v>
      </x:c>
      <x:c r="V5642" s="87" t="str">
        <x:v>VERIFIED</x:v>
      </x:c>
      <x:c r="W5642" s="87"/>
      <x:c r="X5642" s="87"/>
      <x:c r="Y5642" s="87" t="n">
        <x:v>2</x:v>
      </x:c>
      <x:c r="Z5642" s="87" t="n">
        <x:v>2</x:v>
      </x:c>
      <x:c r="AA5642" s="87"/>
      <x:c r="AB5642" s="87"/>
      <x:c r="AC5642" s="87" t="str">
        <x:v>VIS-EGKR-SOC-W25-TASK-952-P002</x:v>
      </x:c>
      <x:c r="AD5642" s="87" t="str">
        <x:v>VIS-EGKR-SOC-W25-ANSWERDOC-P002</x:v>
      </x:c>
      <x:c r="AE5642" s="87" t="str">
        <x:v>TASK; SECONDARY_ANSWER_SOURCE</x:v>
      </x:c>
      <x:c r="AF5642" s="87" t="str">
        <x:v>VIS-EGKR-SOC-W25-TASK-952-P002: 2; VIS-EGKR-SOC-W25-ANSWERDOC-P002: 2</x:v>
      </x:c>
      <x:c r="AG5642" s="87" t="str">
        <x:v>RESOLVED</x:v>
      </x:c>
      <x:c r="AH5642" s="87" t="str">
        <x:v>CROP_VERIFIED</x:v>
      </x:c>
      <x:c r="AI5642" s="30"/>
      <x:c r="AJ5642" s="87" t="str">
        <x:v>clean</x:v>
      </x:c>
      <x:c r="AK5642" s="87" t="str">
        <x:v>clean-v0.16</x:v>
      </x:c>
      <x:c r="AL5642" s="87" t="str">
        <x:v>statgrad_clean_continuation_v0_16(1).xlsx</x:v>
      </x:c>
      <x:c r="AM5642" s="87" t="str">
        <x:v>SOC_EGKR_952</x:v>
      </x:c>
      <x:c r="AN5642" s="87" t="n">
        <x:v>4</x:v>
      </x:c>
    </x:row>
    <x:row r="5643">
      <x:c r="A5643" s="87" t="n">
        <x:v>5642</x:v>
      </x:c>
      <x:c r="B5643" s="87" t="str">
        <x:v>EGKR-W25-SOC-952-04</x:v>
      </x:c>
      <x:c r="C5643" s="87" t="str">
        <x:v>ЕГКР</x:v>
      </x:c>
      <x:c r="D5643" s="87"/>
      <x:c r="E5643" s="87" t="str">
        <x:v>Зима 2025</x:v>
      </x:c>
      <x:c r="F5643" s="87" t="str">
        <x:v>18.12.2025</x:v>
      </x:c>
      <x:c r="G5643" s="87" t="str">
        <x:v>Обществознание</x:v>
      </x:c>
      <x:c r="H5643" s="87" t="n">
        <x:v>11</x:v>
      </x:c>
      <x:c r="I5643" s="87"/>
      <x:c r="J5643" s="87" t="str">
        <x:v>952</x:v>
      </x:c>
      <x:c r="K5643" s="87" t="n">
        <x:v>4</x:v>
      </x:c>
      <x:c r="L5643" s="87" t="str">
        <x:v>Краткий ответ</x:v>
      </x:c>
      <x:c r="M5643" s="30" t="str">
        <x:v>Выбрать признаки постиндустриального общества.</x:v>
      </x:c>
      <x:c r="N5643" s="30" t="str">
        <x:v>236</x:v>
      </x:c>
      <x:c r="O5643" s="30" t="str">
        <x:v>Позиции проверены по определениям и нормам обществоведческого курса; итоговая последовательность: 236.</x:v>
      </x:c>
      <x:c r="P5643" s="30" t="str">
        <x:v>Проверено по формулировке задания, обществоведческим определениям и нормам.</x:v>
      </x:c>
      <x:c r="Q5643" s="30"/>
      <x:c r="R5643" s="30"/>
      <x:c r="S5643" s="30" t="str">
        <x:v>Ответы (3).docx — вторичный источник</x:v>
      </x:c>
      <x:c r="T5643" s="30"/>
      <x:c r="U5643" s="30" t="str">
        <x:v>Ответник совпадает с независимой проверкой.</x:v>
      </x:c>
      <x:c r="V5643" s="87" t="str">
        <x:v>VERIFIED</x:v>
      </x:c>
      <x:c r="W5643" s="87"/>
      <x:c r="X5643" s="87"/>
      <x:c r="Y5643" s="87" t="n">
        <x:v>2</x:v>
      </x:c>
      <x:c r="Z5643" s="87" t="n">
        <x:v>2</x:v>
      </x:c>
      <x:c r="AA5643" s="87"/>
      <x:c r="AB5643" s="87"/>
      <x:c r="AC5643" s="87" t="str">
        <x:v>VIS-EGKR-SOC-W25-TASK-952-P002</x:v>
      </x:c>
      <x:c r="AD5643" s="87" t="str">
        <x:v>VIS-EGKR-SOC-W25-ANSWERDOC-P002</x:v>
      </x:c>
      <x:c r="AE5643" s="87" t="str">
        <x:v>TASK; SECONDARY_ANSWER_SOURCE</x:v>
      </x:c>
      <x:c r="AF5643" s="87" t="str">
        <x:v>VIS-EGKR-SOC-W25-TASK-952-P002: 2; VIS-EGKR-SOC-W25-ANSWERDOC-P002: 2</x:v>
      </x:c>
      <x:c r="AG5643" s="87" t="str">
        <x:v>RESOLVED</x:v>
      </x:c>
      <x:c r="AH5643" s="87" t="str">
        <x:v>CROP_VERIFIED</x:v>
      </x:c>
      <x:c r="AI5643" s="30"/>
      <x:c r="AJ5643" s="87" t="str">
        <x:v>clean</x:v>
      </x:c>
      <x:c r="AK5643" s="87" t="str">
        <x:v>clean-v0.16</x:v>
      </x:c>
      <x:c r="AL5643" s="87" t="str">
        <x:v>statgrad_clean_continuation_v0_16(1).xlsx</x:v>
      </x:c>
      <x:c r="AM5643" s="87" t="str">
        <x:v>SOC_EGKR_952</x:v>
      </x:c>
      <x:c r="AN5643" s="87" t="n">
        <x:v>5</x:v>
      </x:c>
    </x:row>
    <x:row r="5644">
      <x:c r="A5644" s="87" t="n">
        <x:v>5643</x:v>
      </x:c>
      <x:c r="B5644" s="87" t="str">
        <x:v>EGKR-W25-SOC-952-05</x:v>
      </x:c>
      <x:c r="C5644" s="87" t="str">
        <x:v>ЕГКР</x:v>
      </x:c>
      <x:c r="D5644" s="87"/>
      <x:c r="E5644" s="87" t="str">
        <x:v>Зима 2025</x:v>
      </x:c>
      <x:c r="F5644" s="87" t="str">
        <x:v>18.12.2025</x:v>
      </x:c>
      <x:c r="G5644" s="87" t="str">
        <x:v>Обществознание</x:v>
      </x:c>
      <x:c r="H5644" s="87" t="n">
        <x:v>11</x:v>
      </x:c>
      <x:c r="I5644" s="87"/>
      <x:c r="J5644" s="87" t="str">
        <x:v>952</x:v>
      </x:c>
      <x:c r="K5644" s="87" t="n">
        <x:v>5</x:v>
      </x:c>
      <x:c r="L5644" s="87" t="str">
        <x:v>Краткий ответ</x:v>
      </x:c>
      <x:c r="M5644" s="30" t="str">
        <x:v>Выбрать верные суждения о вкладах и кредитах.</x:v>
      </x:c>
      <x:c r="N5644" s="30" t="str">
        <x:v>125</x:v>
      </x:c>
      <x:c r="O5644" s="30" t="str">
        <x:v>Позиции проверены по определениям и нормам обществоведческого курса; итоговая последовательность: 125.</x:v>
      </x:c>
      <x:c r="P5644" s="30" t="str">
        <x:v>Проверено по формулировке задания, обществоведческим определениям и нормам.</x:v>
      </x:c>
      <x:c r="Q5644" s="30"/>
      <x:c r="R5644" s="30"/>
      <x:c r="S5644" s="30" t="str">
        <x:v>Ответы (3).docx — вторичный источник</x:v>
      </x:c>
      <x:c r="T5644" s="30"/>
      <x:c r="U5644" s="30" t="str">
        <x:v>Ответник совпадает с независимой проверкой.</x:v>
      </x:c>
      <x:c r="V5644" s="87" t="str">
        <x:v>VERIFIED</x:v>
      </x:c>
      <x:c r="W5644" s="87"/>
      <x:c r="X5644" s="87"/>
      <x:c r="Y5644" s="87" t="n">
        <x:v>2</x:v>
      </x:c>
      <x:c r="Z5644" s="87" t="n">
        <x:v>2</x:v>
      </x:c>
      <x:c r="AA5644" s="87"/>
      <x:c r="AB5644" s="87"/>
      <x:c r="AC5644" s="87" t="str">
        <x:v>VIS-EGKR-SOC-W25-TASK-952-P002</x:v>
      </x:c>
      <x:c r="AD5644" s="87" t="str">
        <x:v>VIS-EGKR-SOC-W25-ANSWERDOC-P002</x:v>
      </x:c>
      <x:c r="AE5644" s="87" t="str">
        <x:v>TASK; SECONDARY_ANSWER_SOURCE</x:v>
      </x:c>
      <x:c r="AF5644" s="87" t="str">
        <x:v>VIS-EGKR-SOC-W25-TASK-952-P002: 2; VIS-EGKR-SOC-W25-ANSWERDOC-P002: 2</x:v>
      </x:c>
      <x:c r="AG5644" s="87" t="str">
        <x:v>RESOLVED</x:v>
      </x:c>
      <x:c r="AH5644" s="87" t="str">
        <x:v>CROP_VERIFIED</x:v>
      </x:c>
      <x:c r="AI5644" s="30"/>
      <x:c r="AJ5644" s="87" t="str">
        <x:v>clean</x:v>
      </x:c>
      <x:c r="AK5644" s="87" t="str">
        <x:v>clean-v0.16</x:v>
      </x:c>
      <x:c r="AL5644" s="87" t="str">
        <x:v>statgrad_clean_continuation_v0_16(1).xlsx</x:v>
      </x:c>
      <x:c r="AM5644" s="87" t="str">
        <x:v>SOC_EGKR_952</x:v>
      </x:c>
      <x:c r="AN5644" s="87" t="n">
        <x:v>6</x:v>
      </x:c>
    </x:row>
    <x:row r="5645">
      <x:c r="A5645" s="87" t="n">
        <x:v>5644</x:v>
      </x:c>
      <x:c r="B5645" s="87" t="str">
        <x:v>EGKR-W25-SOC-952-06</x:v>
      </x:c>
      <x:c r="C5645" s="87" t="str">
        <x:v>ЕГКР</x:v>
      </x:c>
      <x:c r="D5645" s="87"/>
      <x:c r="E5645" s="87" t="str">
        <x:v>Зима 2025</x:v>
      </x:c>
      <x:c r="F5645" s="87" t="str">
        <x:v>18.12.2025</x:v>
      </x:c>
      <x:c r="G5645" s="87" t="str">
        <x:v>Обществознание</x:v>
      </x:c>
      <x:c r="H5645" s="87" t="n">
        <x:v>11</x:v>
      </x:c>
      <x:c r="I5645" s="87"/>
      <x:c r="J5645" s="87" t="str">
        <x:v>952</x:v>
      </x:c>
      <x:c r="K5645" s="87" t="n">
        <x:v>6</x:v>
      </x:c>
      <x:c r="L5645" s="87" t="str">
        <x:v>Краткий ответ</x:v>
      </x:c>
      <x:c r="M5645" s="30" t="str">
        <x:v>Соотнести примеры с постоянными и переменными издержками фирмы.</x:v>
      </x:c>
      <x:c r="N5645" s="30" t="str">
        <x:v>12212</x:v>
      </x:c>
      <x:c r="O5645" s="30" t="str">
        <x:v>Позиции проверены по определениям и нормам обществоведческого курса; итоговая последовательность: 12212.</x:v>
      </x:c>
      <x:c r="P5645" s="30" t="str">
        <x:v>Проверено по формулировке задания, обществоведческим определениям и нормам.</x:v>
      </x:c>
      <x:c r="Q5645" s="30"/>
      <x:c r="R5645" s="30"/>
      <x:c r="S5645" s="30" t="str">
        <x:v>Ответы (3).docx — вторичный источник</x:v>
      </x:c>
      <x:c r="T5645" s="30"/>
      <x:c r="U5645" s="30" t="str">
        <x:v>Ответник совпадает с независимой проверкой.</x:v>
      </x:c>
      <x:c r="V5645" s="87" t="str">
        <x:v>VERIFIED</x:v>
      </x:c>
      <x:c r="W5645" s="87"/>
      <x:c r="X5645" s="87"/>
      <x:c r="Y5645" s="87" t="n">
        <x:v>2</x:v>
      </x:c>
      <x:c r="Z5645" s="87" t="n">
        <x:v>2</x:v>
      </x:c>
      <x:c r="AA5645" s="87"/>
      <x:c r="AB5645" s="87"/>
      <x:c r="AC5645" s="87" t="str">
        <x:v>VIS-EGKR-SOC-W25-TASK-952-P002</x:v>
      </x:c>
      <x:c r="AD5645" s="87" t="str">
        <x:v>VIS-EGKR-SOC-W25-ANSWERDOC-P002</x:v>
      </x:c>
      <x:c r="AE5645" s="87" t="str">
        <x:v>TASK; SECONDARY_ANSWER_SOURCE</x:v>
      </x:c>
      <x:c r="AF5645" s="87" t="str">
        <x:v>VIS-EGKR-SOC-W25-TASK-952-P002: 2; VIS-EGKR-SOC-W25-ANSWERDOC-P002: 2</x:v>
      </x:c>
      <x:c r="AG5645" s="87" t="str">
        <x:v>RESOLVED</x:v>
      </x:c>
      <x:c r="AH5645" s="87" t="str">
        <x:v>CROP_VERIFIED</x:v>
      </x:c>
      <x:c r="AI5645" s="30"/>
      <x:c r="AJ5645" s="87" t="str">
        <x:v>clean</x:v>
      </x:c>
      <x:c r="AK5645" s="87" t="str">
        <x:v>clean-v0.16</x:v>
      </x:c>
      <x:c r="AL5645" s="87" t="str">
        <x:v>statgrad_clean_continuation_v0_16(1).xlsx</x:v>
      </x:c>
      <x:c r="AM5645" s="87" t="str">
        <x:v>SOC_EGKR_952</x:v>
      </x:c>
      <x:c r="AN5645" s="87" t="n">
        <x:v>7</x:v>
      </x:c>
    </x:row>
    <x:row r="5646">
      <x:c r="A5646" s="87" t="n">
        <x:v>5645</x:v>
      </x:c>
      <x:c r="B5646" s="87" t="str">
        <x:v>EGKR-W25-SOC-952-07</x:v>
      </x:c>
      <x:c r="C5646" s="87" t="str">
        <x:v>ЕГКР</x:v>
      </x:c>
      <x:c r="D5646" s="87"/>
      <x:c r="E5646" s="87" t="str">
        <x:v>Зима 2025</x:v>
      </x:c>
      <x:c r="F5646" s="87" t="str">
        <x:v>18.12.2025</x:v>
      </x:c>
      <x:c r="G5646" s="87" t="str">
        <x:v>Обществознание</x:v>
      </x:c>
      <x:c r="H5646" s="87" t="n">
        <x:v>11</x:v>
      </x:c>
      <x:c r="I5646" s="87"/>
      <x:c r="J5646" s="87" t="str">
        <x:v>952</x:v>
      </x:c>
      <x:c r="K5646" s="87" t="n">
        <x:v>7</x:v>
      </x:c>
      <x:c r="L5646" s="87" t="str">
        <x:v>Краткий ответ</x:v>
      </x:c>
      <x:c r="M5646" s="30" t="str">
        <x:v>Выбрать федеральные налоги и сборы.</x:v>
      </x:c>
      <x:c r="N5646" s="30" t="str">
        <x:v>3456</x:v>
      </x:c>
      <x:c r="O5646" s="30" t="str">
        <x:v>Позиции проверены по определениям и нормам обществоведческого курса; итоговая последовательность: 3456.</x:v>
      </x:c>
      <x:c r="P5646" s="30" t="str">
        <x:v>Проверено по формулировке задания, обществоведческим определениям и нормам.</x:v>
      </x:c>
      <x:c r="Q5646" s="30"/>
      <x:c r="R5646" s="30"/>
      <x:c r="S5646" s="30" t="str">
        <x:v>Ответы (3).docx — вторичный источник</x:v>
      </x:c>
      <x:c r="T5646" s="30"/>
      <x:c r="U5646" s="30" t="str">
        <x:v>Ответник совпадает с независимой проверкой.</x:v>
      </x:c>
      <x:c r="V5646" s="87" t="str">
        <x:v>VERIFIED</x:v>
      </x:c>
      <x:c r="W5646" s="87"/>
      <x:c r="X5646" s="87"/>
      <x:c r="Y5646" s="87" t="n">
        <x:v>3</x:v>
      </x:c>
      <x:c r="Z5646" s="87" t="n">
        <x:v>3</x:v>
      </x:c>
      <x:c r="AA5646" s="87"/>
      <x:c r="AB5646" s="87"/>
      <x:c r="AC5646" s="87" t="str">
        <x:v>VIS-EGKR-SOC-W25-TASK-952-P003</x:v>
      </x:c>
      <x:c r="AD5646" s="87" t="str">
        <x:v>VIS-EGKR-SOC-W25-ANSWERDOC-P002</x:v>
      </x:c>
      <x:c r="AE5646" s="87" t="str">
        <x:v>TASK; SECONDARY_ANSWER_SOURCE</x:v>
      </x:c>
      <x:c r="AF5646" s="87" t="str">
        <x:v>VIS-EGKR-SOC-W25-TASK-952-P003: 3; VIS-EGKR-SOC-W25-ANSWERDOC-P002: 2</x:v>
      </x:c>
      <x:c r="AG5646" s="87" t="str">
        <x:v>RESOLVED</x:v>
      </x:c>
      <x:c r="AH5646" s="87" t="str">
        <x:v>CROP_VERIFIED</x:v>
      </x:c>
      <x:c r="AI5646" s="30"/>
      <x:c r="AJ5646" s="87" t="str">
        <x:v>clean</x:v>
      </x:c>
      <x:c r="AK5646" s="87" t="str">
        <x:v>clean-v0.16</x:v>
      </x:c>
      <x:c r="AL5646" s="87" t="str">
        <x:v>statgrad_clean_continuation_v0_16(1).xlsx</x:v>
      </x:c>
      <x:c r="AM5646" s="87" t="str">
        <x:v>SOC_EGKR_952</x:v>
      </x:c>
      <x:c r="AN5646" s="87" t="n">
        <x:v>8</x:v>
      </x:c>
    </x:row>
    <x:row r="5647">
      <x:c r="A5647" s="87" t="n">
        <x:v>5646</x:v>
      </x:c>
      <x:c r="B5647" s="87" t="str">
        <x:v>EGKR-W25-SOC-952-08</x:v>
      </x:c>
      <x:c r="C5647" s="87" t="str">
        <x:v>ЕГКР</x:v>
      </x:c>
      <x:c r="D5647" s="87"/>
      <x:c r="E5647" s="87" t="str">
        <x:v>Зима 2025</x:v>
      </x:c>
      <x:c r="F5647" s="87" t="str">
        <x:v>18.12.2025</x:v>
      </x:c>
      <x:c r="G5647" s="87" t="str">
        <x:v>Обществознание</x:v>
      </x:c>
      <x:c r="H5647" s="87" t="n">
        <x:v>11</x:v>
      </x:c>
      <x:c r="I5647" s="87"/>
      <x:c r="J5647" s="87" t="str">
        <x:v>952</x:v>
      </x:c>
      <x:c r="K5647" s="87" t="n">
        <x:v>8</x:v>
      </x:c>
      <x:c r="L5647" s="87" t="str">
        <x:v>Краткий ответ</x:v>
      </x:c>
      <x:c r="M5647" s="30" t="str">
        <x:v>Выбрать верные суждения о социальной стратификации и социальной мобильности.</x:v>
      </x:c>
      <x:c r="N5647" s="30" t="str">
        <x:v>125</x:v>
      </x:c>
      <x:c r="O5647" s="30" t="str">
        <x:v>Различают внутрипоколенную и межпоколенную мобильность; престиж профессии и образование служат критериями стратификации.</x:v>
      </x:c>
      <x:c r="P5647" s="30" t="str">
        <x:v>Проверено по формулировке задания, обществоведческим определениям и нормам.</x:v>
      </x:c>
      <x:c r="Q5647" s="30"/>
      <x:c r="R5647" s="30"/>
      <x:c r="S5647" s="30" t="str">
        <x:v>Ответы (3).docx — вторичный источник</x:v>
      </x:c>
      <x:c r="T5647" s="30"/>
      <x:c r="U5647" s="30" t="str">
        <x:v>Ответник: 25; независимое решение: 125.</x:v>
      </x:c>
      <x:c r="V5647" s="87" t="str">
        <x:v>KEY_MISMATCH</x:v>
      </x:c>
      <x:c r="W5647" s="87"/>
      <x:c r="X5647" s="87"/>
      <x:c r="Y5647" s="87" t="n">
        <x:v>3</x:v>
      </x:c>
      <x:c r="Z5647" s="87" t="n">
        <x:v>3</x:v>
      </x:c>
      <x:c r="AA5647" s="87"/>
      <x:c r="AB5647" s="87"/>
      <x:c r="AC5647" s="87" t="str">
        <x:v>VIS-EGKR-SOC-W25-TASK-952-P003</x:v>
      </x:c>
      <x:c r="AD5647" s="87" t="str">
        <x:v>VIS-EGKR-SOC-W25-ANSWERDOC-P002</x:v>
      </x:c>
      <x:c r="AE5647" s="87" t="str">
        <x:v>TASK; SECONDARY_ANSWER_SOURCE</x:v>
      </x:c>
      <x:c r="AF5647" s="87" t="str">
        <x:v>VIS-EGKR-SOC-W25-TASK-952-P003: 3; VIS-EGKR-SOC-W25-ANSWERDOC-P002: 2</x:v>
      </x:c>
      <x:c r="AG5647" s="87" t="str">
        <x:v>RESOLVED</x:v>
      </x:c>
      <x:c r="AH5647" s="87" t="str">
        <x:v>CROP_VERIFIED</x:v>
      </x:c>
      <x:c r="AI5647" s="30"/>
      <x:c r="AJ5647" s="87" t="str">
        <x:v>clean</x:v>
      </x:c>
      <x:c r="AK5647" s="87" t="str">
        <x:v>clean-v0.16</x:v>
      </x:c>
      <x:c r="AL5647" s="87" t="str">
        <x:v>statgrad_clean_continuation_v0_16(1).xlsx</x:v>
      </x:c>
      <x:c r="AM5647" s="87" t="str">
        <x:v>SOC_EGKR_952</x:v>
      </x:c>
      <x:c r="AN5647" s="87" t="n">
        <x:v>9</x:v>
      </x:c>
    </x:row>
    <x:row r="5648">
      <x:c r="A5648" s="87" t="n">
        <x:v>5647</x:v>
      </x:c>
      <x:c r="B5648" s="87" t="str">
        <x:v>EGKR-W25-SOC-952-09</x:v>
      </x:c>
      <x:c r="C5648" s="87" t="str">
        <x:v>ЕГКР</x:v>
      </x:c>
      <x:c r="D5648" s="87"/>
      <x:c r="E5648" s="87" t="str">
        <x:v>Зима 2025</x:v>
      </x:c>
      <x:c r="F5648" s="87" t="str">
        <x:v>18.12.2025</x:v>
      </x:c>
      <x:c r="G5648" s="87" t="str">
        <x:v>Обществознание</x:v>
      </x:c>
      <x:c r="H5648" s="87" t="n">
        <x:v>11</x:v>
      </x:c>
      <x:c r="I5648" s="87"/>
      <x:c r="J5648" s="87" t="str">
        <x:v>952</x:v>
      </x:c>
      <x:c r="K5648" s="87" t="n">
        <x:v>9</x:v>
      </x:c>
      <x:c r="L5648" s="87" t="str">
        <x:v>Краткий ответ</x:v>
      </x:c>
      <x:c r="M5648" s="30" t="str">
        <x:v>Проанализировать диаграмму отношения мужчин и женщин к опеке и балованию детей.</x:v>
      </x:c>
      <x:c r="N5648" s="30" t="str">
        <x:v>234</x:v>
      </x:c>
      <x:c r="O5648" s="30" t="str">
        <x:v>Позиции проверены по определениям и нормам обществоведческого курса; итоговая последовательность: 234.</x:v>
      </x:c>
      <x:c r="P5648" s="30" t="str">
        <x:v>Проверено по формулировке задания, обществоведческим определениям и нормам.</x:v>
      </x:c>
      <x:c r="Q5648" s="30"/>
      <x:c r="R5648" s="30"/>
      <x:c r="S5648" s="30" t="str">
        <x:v>Ответы (3).docx — вторичный источник</x:v>
      </x:c>
      <x:c r="T5648" s="30"/>
      <x:c r="U5648" s="30" t="str">
        <x:v>Ответник совпадает с независимой проверкой.</x:v>
      </x:c>
      <x:c r="V5648" s="87" t="str">
        <x:v>VERIFIED</x:v>
      </x:c>
      <x:c r="W5648" s="87"/>
      <x:c r="X5648" s="87"/>
      <x:c r="Y5648" s="87" t="n">
        <x:v>3</x:v>
      </x:c>
      <x:c r="Z5648" s="87" t="n">
        <x:v>3</x:v>
      </x:c>
      <x:c r="AA5648" s="87"/>
      <x:c r="AB5648" s="87"/>
      <x:c r="AC5648" s="87" t="str">
        <x:v>VIS-EGKR-SOC-W25-TASK-952-P003</x:v>
      </x:c>
      <x:c r="AD5648" s="87" t="str">
        <x:v>VIS-EGKR-SOC-W25-ANSWERDOC-P002</x:v>
      </x:c>
      <x:c r="AE5648" s="87" t="str">
        <x:v>TASK; SECONDARY_ANSWER_SOURCE</x:v>
      </x:c>
      <x:c r="AF5648" s="87" t="str">
        <x:v>VIS-EGKR-SOC-W25-TASK-952-P003: 3; VIS-EGKR-SOC-W25-ANSWERDOC-P002: 2</x:v>
      </x:c>
      <x:c r="AG5648" s="87" t="str">
        <x:v>RESOLVED</x:v>
      </x:c>
      <x:c r="AH5648" s="87" t="str">
        <x:v>CROP_VERIFIED; TASK_CROP_QA_APPROVED:USE_TIGHT</x:v>
      </x:c>
      <x:c r="AI5648" s="30"/>
      <x:c r="AJ5648" s="87" t="str">
        <x:v>clean</x:v>
      </x:c>
      <x:c r="AK5648" s="87" t="str">
        <x:v>clean-v0.16</x:v>
      </x:c>
      <x:c r="AL5648" s="87" t="str">
        <x:v>statgrad_clean_continuation_v0_16(1).xlsx</x:v>
      </x:c>
      <x:c r="AM5648" s="87" t="str">
        <x:v>SOC_EGKR_952</x:v>
      </x:c>
      <x:c r="AN5648" s="87" t="n">
        <x:v>10</x:v>
      </x:c>
    </x:row>
    <x:row r="5649">
      <x:c r="A5649" s="87" t="n">
        <x:v>5648</x:v>
      </x:c>
      <x:c r="B5649" s="87" t="str">
        <x:v>EGKR-W25-SOC-952-10</x:v>
      </x:c>
      <x:c r="C5649" s="87" t="str">
        <x:v>ЕГКР</x:v>
      </x:c>
      <x:c r="D5649" s="87"/>
      <x:c r="E5649" s="87" t="str">
        <x:v>Зима 2025</x:v>
      </x:c>
      <x:c r="F5649" s="87" t="str">
        <x:v>18.12.2025</x:v>
      </x:c>
      <x:c r="G5649" s="87" t="str">
        <x:v>Обществознание</x:v>
      </x:c>
      <x:c r="H5649" s="87" t="n">
        <x:v>11</x:v>
      </x:c>
      <x:c r="I5649" s="87"/>
      <x:c r="J5649" s="87" t="str">
        <x:v>952</x:v>
      </x:c>
      <x:c r="K5649" s="87" t="n">
        <x:v>10</x:v>
      </x:c>
      <x:c r="L5649" s="87" t="str">
        <x:v>Краткий ответ</x:v>
      </x:c>
      <x:c r="M5649" s="30" t="str">
        <x:v>Выбрать верные суждения о политических партиях.</x:v>
      </x:c>
      <x:c r="N5649" s="30" t="str">
        <x:v>125</x:v>
      </x:c>
      <x:c r="O5649" s="30" t="str">
        <x:v>Позиции проверены по определениям и нормам обществоведческого курса; итоговая последовательность: 125.</x:v>
      </x:c>
      <x:c r="P5649" s="30" t="str">
        <x:v>Проверено по формулировке задания, обществоведческим определениям и нормам.</x:v>
      </x:c>
      <x:c r="Q5649" s="30"/>
      <x:c r="R5649" s="30"/>
      <x:c r="S5649" s="30" t="str">
        <x:v>Ответы (3).docx — вторичный источник</x:v>
      </x:c>
      <x:c r="T5649" s="30"/>
      <x:c r="U5649" s="30" t="str">
        <x:v>Ответник совпадает с независимой проверкой.</x:v>
      </x:c>
      <x:c r="V5649" s="87" t="str">
        <x:v>VERIFIED</x:v>
      </x:c>
      <x:c r="W5649" s="87"/>
      <x:c r="X5649" s="87"/>
      <x:c r="Y5649" s="87" t="n">
        <x:v>4</x:v>
      </x:c>
      <x:c r="Z5649" s="87" t="n">
        <x:v>4</x:v>
      </x:c>
      <x:c r="AA5649" s="87"/>
      <x:c r="AB5649" s="87"/>
      <x:c r="AC5649" s="87" t="str">
        <x:v>VIS-EGKR-SOC-W25-TASK-952-P004</x:v>
      </x:c>
      <x:c r="AD5649" s="87" t="str">
        <x:v>VIS-EGKR-SOC-W25-ANSWERDOC-P002</x:v>
      </x:c>
      <x:c r="AE5649" s="87" t="str">
        <x:v>TASK; SECONDARY_ANSWER_SOURCE</x:v>
      </x:c>
      <x:c r="AF5649" s="87" t="str">
        <x:v>VIS-EGKR-SOC-W25-TASK-952-P004: 4; VIS-EGKR-SOC-W25-ANSWERDOC-P002: 2</x:v>
      </x:c>
      <x:c r="AG5649" s="87" t="str">
        <x:v>RESOLVED</x:v>
      </x:c>
      <x:c r="AH5649" s="87" t="str">
        <x:v>CROP_VERIFIED</x:v>
      </x:c>
      <x:c r="AI5649" s="30"/>
      <x:c r="AJ5649" s="87" t="str">
        <x:v>clean</x:v>
      </x:c>
      <x:c r="AK5649" s="87" t="str">
        <x:v>clean-v0.16</x:v>
      </x:c>
      <x:c r="AL5649" s="87" t="str">
        <x:v>statgrad_clean_continuation_v0_16(1).xlsx</x:v>
      </x:c>
      <x:c r="AM5649" s="87" t="str">
        <x:v>SOC_EGKR_952</x:v>
      </x:c>
      <x:c r="AN5649" s="87" t="n">
        <x:v>11</x:v>
      </x:c>
    </x:row>
    <x:row r="5650">
      <x:c r="A5650" s="87" t="n">
        <x:v>5649</x:v>
      </x:c>
      <x:c r="B5650" s="87" t="str">
        <x:v>EGKR-W25-SOC-952-11</x:v>
      </x:c>
      <x:c r="C5650" s="87" t="str">
        <x:v>ЕГКР</x:v>
      </x:c>
      <x:c r="D5650" s="87"/>
      <x:c r="E5650" s="87" t="str">
        <x:v>Зима 2025</x:v>
      </x:c>
      <x:c r="F5650" s="87" t="str">
        <x:v>18.12.2025</x:v>
      </x:c>
      <x:c r="G5650" s="87" t="str">
        <x:v>Обществознание</x:v>
      </x:c>
      <x:c r="H5650" s="87" t="n">
        <x:v>11</x:v>
      </x:c>
      <x:c r="I5650" s="87"/>
      <x:c r="J5650" s="87" t="str">
        <x:v>952</x:v>
      </x:c>
      <x:c r="K5650" s="87" t="n">
        <x:v>11</x:v>
      </x:c>
      <x:c r="L5650" s="87" t="str">
        <x:v>Краткий ответ</x:v>
      </x:c>
      <x:c r="M5650" s="30" t="str">
        <x:v>Выбрать признаки пропорциональной избирательной системы.</x:v>
      </x:c>
      <x:c r="N5650" s="30" t="str">
        <x:v>135</x:v>
      </x:c>
      <x:c r="O5650" s="30" t="str">
        <x:v>Позиции проверены по определениям и нормам обществоведческого курса; итоговая последовательность: 135.</x:v>
      </x:c>
      <x:c r="P5650" s="30" t="str">
        <x:v>Проверено по формулировке задания, обществоведческим определениям и нормам.</x:v>
      </x:c>
      <x:c r="Q5650" s="30"/>
      <x:c r="R5650" s="30"/>
      <x:c r="S5650" s="30" t="str">
        <x:v>Ответы (3).docx — вторичный источник</x:v>
      </x:c>
      <x:c r="T5650" s="30"/>
      <x:c r="U5650" s="30" t="str">
        <x:v>Ответник совпадает с независимой проверкой.</x:v>
      </x:c>
      <x:c r="V5650" s="87" t="str">
        <x:v>VERIFIED</x:v>
      </x:c>
      <x:c r="W5650" s="87"/>
      <x:c r="X5650" s="87"/>
      <x:c r="Y5650" s="87" t="n">
        <x:v>4</x:v>
      </x:c>
      <x:c r="Z5650" s="87" t="n">
        <x:v>4</x:v>
      </x:c>
      <x:c r="AA5650" s="87"/>
      <x:c r="AB5650" s="87"/>
      <x:c r="AC5650" s="87" t="str">
        <x:v>VIS-EGKR-SOC-W25-TASK-952-P004</x:v>
      </x:c>
      <x:c r="AD5650" s="87" t="str">
        <x:v>VIS-EGKR-SOC-W25-ANSWERDOC-P002</x:v>
      </x:c>
      <x:c r="AE5650" s="87" t="str">
        <x:v>TASK; SECONDARY_ANSWER_SOURCE</x:v>
      </x:c>
      <x:c r="AF5650" s="87" t="str">
        <x:v>VIS-EGKR-SOC-W25-TASK-952-P004: 4; VIS-EGKR-SOC-W25-ANSWERDOC-P002: 2</x:v>
      </x:c>
      <x:c r="AG5650" s="87" t="str">
        <x:v>RESOLVED</x:v>
      </x:c>
      <x:c r="AH5650" s="87" t="str">
        <x:v>CROP_VERIFIED</x:v>
      </x:c>
      <x:c r="AI5650" s="30"/>
      <x:c r="AJ5650" s="87" t="str">
        <x:v>clean</x:v>
      </x:c>
      <x:c r="AK5650" s="87" t="str">
        <x:v>clean-v0.16</x:v>
      </x:c>
      <x:c r="AL5650" s="87" t="str">
        <x:v>statgrad_clean_continuation_v0_16(1).xlsx</x:v>
      </x:c>
      <x:c r="AM5650" s="87" t="str">
        <x:v>SOC_EGKR_952</x:v>
      </x:c>
      <x:c r="AN5650" s="87" t="n">
        <x:v>12</x:v>
      </x:c>
    </x:row>
    <x:row r="5651">
      <x:c r="A5651" s="87" t="n">
        <x:v>5650</x:v>
      </x:c>
      <x:c r="B5651" s="87" t="str">
        <x:v>EGKR-W25-SOC-952-12</x:v>
      </x:c>
      <x:c r="C5651" s="87" t="str">
        <x:v>ЕГКР</x:v>
      </x:c>
      <x:c r="D5651" s="87"/>
      <x:c r="E5651" s="87" t="str">
        <x:v>Зима 2025</x:v>
      </x:c>
      <x:c r="F5651" s="87" t="str">
        <x:v>18.12.2025</x:v>
      </x:c>
      <x:c r="G5651" s="87" t="str">
        <x:v>Обществознание</x:v>
      </x:c>
      <x:c r="H5651" s="87" t="n">
        <x:v>11</x:v>
      </x:c>
      <x:c r="I5651" s="87"/>
      <x:c r="J5651" s="87" t="str">
        <x:v>952</x:v>
      </x:c>
      <x:c r="K5651" s="87" t="n">
        <x:v>12</x:v>
      </x:c>
      <x:c r="L5651" s="87" t="str">
        <x:v>Краткий ответ</x:v>
      </x:c>
      <x:c r="M5651" s="30" t="str">
        <x:v>Выбрать положения, характеризующие основы конституционного строя РФ.</x:v>
      </x:c>
      <x:c r="N5651" s="30" t="str">
        <x:v>235</x:v>
      </x:c>
      <x:c r="O5651" s="30" t="str">
        <x:v>К основам строя относятся обязанность соблюдать Конституцию, признание местного самоуправления и равная защита форм собственности.</x:v>
      </x:c>
      <x:c r="P5651" s="30" t="str">
        <x:v>Проверено по формулировке задания, обществоведческим определениям и нормам.</x:v>
      </x:c>
      <x:c r="Q5651" s="30"/>
      <x:c r="R5651" s="30"/>
      <x:c r="S5651" s="30" t="str">
        <x:v>Ответы (3).docx — вторичный источник</x:v>
      </x:c>
      <x:c r="T5651" s="30"/>
      <x:c r="U5651" s="30" t="str">
        <x:v>Ответ отсутствует в приложенном DOCX; восстановлен независимым решением.</x:v>
      </x:c>
      <x:c r="V5651" s="87" t="str">
        <x:v>SOURCE_GAP_RECOVERED</x:v>
      </x:c>
      <x:c r="W5651" s="87"/>
      <x:c r="X5651" s="87"/>
      <x:c r="Y5651" s="87" t="n">
        <x:v>4</x:v>
      </x:c>
      <x:c r="Z5651" s="87" t="n">
        <x:v>4</x:v>
      </x:c>
      <x:c r="AA5651" s="87"/>
      <x:c r="AB5651" s="87"/>
      <x:c r="AC5651" s="87" t="str">
        <x:v>VIS-EGKR-SOC-W25-TASK-952-P004</x:v>
      </x:c>
      <x:c r="AD5651" s="87" t="str">
        <x:v>VIS-EGKR-SOC-W25-ANSWERDOC-P002</x:v>
      </x:c>
      <x:c r="AE5651" s="87" t="str">
        <x:v>TASK; SECONDARY_ANSWER_SOURCE</x:v>
      </x:c>
      <x:c r="AF5651" s="87" t="str">
        <x:v>VIS-EGKR-SOC-W25-TASK-952-P004: 4; VIS-EGKR-SOC-W25-ANSWERDOC-P002: 2</x:v>
      </x:c>
      <x:c r="AG5651" s="87" t="str">
        <x:v>RESOLVED</x:v>
      </x:c>
      <x:c r="AH5651" s="87" t="str">
        <x:v>CROP_VERIFIED</x:v>
      </x:c>
      <x:c r="AI5651" s="30"/>
      <x:c r="AJ5651" s="87" t="str">
        <x:v>clean</x:v>
      </x:c>
      <x:c r="AK5651" s="87" t="str">
        <x:v>clean-v0.16</x:v>
      </x:c>
      <x:c r="AL5651" s="87" t="str">
        <x:v>statgrad_clean_continuation_v0_16(1).xlsx</x:v>
      </x:c>
      <x:c r="AM5651" s="87" t="str">
        <x:v>SOC_EGKR_952</x:v>
      </x:c>
      <x:c r="AN5651" s="87" t="n">
        <x:v>13</x:v>
      </x:c>
    </x:row>
    <x:row r="5652">
      <x:c r="A5652" s="87" t="n">
        <x:v>5651</x:v>
      </x:c>
      <x:c r="B5652" s="87" t="str">
        <x:v>EGKR-W25-SOC-952-13</x:v>
      </x:c>
      <x:c r="C5652" s="87" t="str">
        <x:v>ЕГКР</x:v>
      </x:c>
      <x:c r="D5652" s="87"/>
      <x:c r="E5652" s="87" t="str">
        <x:v>Зима 2025</x:v>
      </x:c>
      <x:c r="F5652" s="87" t="str">
        <x:v>18.12.2025</x:v>
      </x:c>
      <x:c r="G5652" s="87" t="str">
        <x:v>Обществознание</x:v>
      </x:c>
      <x:c r="H5652" s="87" t="n">
        <x:v>11</x:v>
      </x:c>
      <x:c r="I5652" s="87"/>
      <x:c r="J5652" s="87" t="str">
        <x:v>952</x:v>
      </x:c>
      <x:c r="K5652" s="87" t="n">
        <x:v>13</x:v>
      </x:c>
      <x:c r="L5652" s="87" t="str">
        <x:v>Краткий ответ</x:v>
      </x:c>
      <x:c r="M5652" s="30" t="str">
        <x:v>Соотнести предметы ведения с исключительным и совместным ведением РФ и субъектов.</x:v>
      </x:c>
      <x:c r="N5652" s="30" t="str">
        <x:v>21221</x:v>
      </x:c>
      <x:c r="O5652" s="30" t="str">
        <x:v>Позиции проверены по определениям и нормам обществоведческого курса; итоговая последовательность: 21221.</x:v>
      </x:c>
      <x:c r="P5652" s="30" t="str">
        <x:v>Проверено по формулировке задания, обществоведческим определениям и нормам.</x:v>
      </x:c>
      <x:c r="Q5652" s="30"/>
      <x:c r="R5652" s="30"/>
      <x:c r="S5652" s="30" t="str">
        <x:v>Ответы (3).docx — вторичный источник</x:v>
      </x:c>
      <x:c r="T5652" s="30"/>
      <x:c r="U5652" s="30" t="str">
        <x:v>Ответник совпадает с независимой проверкой.</x:v>
      </x:c>
      <x:c r="V5652" s="87" t="str">
        <x:v>VERIFIED</x:v>
      </x:c>
      <x:c r="W5652" s="87"/>
      <x:c r="X5652" s="87"/>
      <x:c r="Y5652" s="87" t="n">
        <x:v>4</x:v>
      </x:c>
      <x:c r="Z5652" s="87" t="n">
        <x:v>4</x:v>
      </x:c>
      <x:c r="AA5652" s="87"/>
      <x:c r="AB5652" s="87"/>
      <x:c r="AC5652" s="87" t="str">
        <x:v>VIS-EGKR-SOC-W25-TASK-952-P004</x:v>
      </x:c>
      <x:c r="AD5652" s="87" t="str">
        <x:v>VIS-EGKR-SOC-W25-ANSWERDOC-P002</x:v>
      </x:c>
      <x:c r="AE5652" s="87" t="str">
        <x:v>TASK; SECONDARY_ANSWER_SOURCE</x:v>
      </x:c>
      <x:c r="AF5652" s="87" t="str">
        <x:v>VIS-EGKR-SOC-W25-TASK-952-P004: 4; VIS-EGKR-SOC-W25-ANSWERDOC-P002: 2</x:v>
      </x:c>
      <x:c r="AG5652" s="87" t="str">
        <x:v>RESOLVED</x:v>
      </x:c>
      <x:c r="AH5652" s="87" t="str">
        <x:v>CROP_VERIFIED</x:v>
      </x:c>
      <x:c r="AI5652" s="30"/>
      <x:c r="AJ5652" s="87" t="str">
        <x:v>clean</x:v>
      </x:c>
      <x:c r="AK5652" s="87" t="str">
        <x:v>clean-v0.16</x:v>
      </x:c>
      <x:c r="AL5652" s="87" t="str">
        <x:v>statgrad_clean_continuation_v0_16(1).xlsx</x:v>
      </x:c>
      <x:c r="AM5652" s="87" t="str">
        <x:v>SOC_EGKR_952</x:v>
      </x:c>
      <x:c r="AN5652" s="87" t="n">
        <x:v>14</x:v>
      </x:c>
    </x:row>
    <x:row r="5653">
      <x:c r="A5653" s="87" t="n">
        <x:v>5652</x:v>
      </x:c>
      <x:c r="B5653" s="87" t="str">
        <x:v>EGKR-W25-SOC-952-14</x:v>
      </x:c>
      <x:c r="C5653" s="87" t="str">
        <x:v>ЕГКР</x:v>
      </x:c>
      <x:c r="D5653" s="87"/>
      <x:c r="E5653" s="87" t="str">
        <x:v>Зима 2025</x:v>
      </x:c>
      <x:c r="F5653" s="87" t="str">
        <x:v>18.12.2025</x:v>
      </x:c>
      <x:c r="G5653" s="87" t="str">
        <x:v>Обществознание</x:v>
      </x:c>
      <x:c r="H5653" s="87" t="n">
        <x:v>11</x:v>
      </x:c>
      <x:c r="I5653" s="87"/>
      <x:c r="J5653" s="87" t="str">
        <x:v>952</x:v>
      </x:c>
      <x:c r="K5653" s="87" t="n">
        <x:v>14</x:v>
      </x:c>
      <x:c r="L5653" s="87" t="str">
        <x:v>Краткий ответ</x:v>
      </x:c>
      <x:c r="M5653" s="30" t="str">
        <x:v>Выбрать верные суждения о системе права и видах правовых норм.</x:v>
      </x:c>
      <x:c r="N5653" s="30" t="str">
        <x:v>135</x:v>
      </x:c>
      <x:c r="O5653" s="30" t="str">
        <x:v>Позиции проверены по определениям и нормам обществоведческого курса; итоговая последовательность: 135.</x:v>
      </x:c>
      <x:c r="P5653" s="30" t="str">
        <x:v>Проверено по формулировке задания, обществоведческим определениям и нормам.</x:v>
      </x:c>
      <x:c r="Q5653" s="30"/>
      <x:c r="R5653" s="30"/>
      <x:c r="S5653" s="30" t="str">
        <x:v>Ответы (3).docx — вторичный источник</x:v>
      </x:c>
      <x:c r="T5653" s="30"/>
      <x:c r="U5653" s="30" t="str">
        <x:v>Ответник совпадает с независимой проверкой.</x:v>
      </x:c>
      <x:c r="V5653" s="87" t="str">
        <x:v>VERIFIED</x:v>
      </x:c>
      <x:c r="W5653" s="87"/>
      <x:c r="X5653" s="87"/>
      <x:c r="Y5653" s="87" t="n">
        <x:v>5</x:v>
      </x:c>
      <x:c r="Z5653" s="87" t="n">
        <x:v>5</x:v>
      </x:c>
      <x:c r="AA5653" s="87"/>
      <x:c r="AB5653" s="87"/>
      <x:c r="AC5653" s="87" t="str">
        <x:v>VIS-EGKR-SOC-W25-TASK-952-P005</x:v>
      </x:c>
      <x:c r="AD5653" s="87" t="str">
        <x:v>VIS-EGKR-SOC-W25-ANSWERDOC-P002</x:v>
      </x:c>
      <x:c r="AE5653" s="87" t="str">
        <x:v>TASK; SECONDARY_ANSWER_SOURCE</x:v>
      </x:c>
      <x:c r="AF5653" s="87" t="str">
        <x:v>VIS-EGKR-SOC-W25-TASK-952-P005: 5; VIS-EGKR-SOC-W25-ANSWERDOC-P002: 2</x:v>
      </x:c>
      <x:c r="AG5653" s="87" t="str">
        <x:v>RESOLVED</x:v>
      </x:c>
      <x:c r="AH5653" s="87" t="str">
        <x:v>CROP_VERIFIED</x:v>
      </x:c>
      <x:c r="AI5653" s="30"/>
      <x:c r="AJ5653" s="87" t="str">
        <x:v>clean</x:v>
      </x:c>
      <x:c r="AK5653" s="87" t="str">
        <x:v>clean-v0.16</x:v>
      </x:c>
      <x:c r="AL5653" s="87" t="str">
        <x:v>statgrad_clean_continuation_v0_16(1).xlsx</x:v>
      </x:c>
      <x:c r="AM5653" s="87" t="str">
        <x:v>SOC_EGKR_952</x:v>
      </x:c>
      <x:c r="AN5653" s="87" t="n">
        <x:v>15</x:v>
      </x:c>
    </x:row>
    <x:row r="5654">
      <x:c r="A5654" s="87" t="n">
        <x:v>5653</x:v>
      </x:c>
      <x:c r="B5654" s="87" t="str">
        <x:v>EGKR-W25-SOC-952-15</x:v>
      </x:c>
      <x:c r="C5654" s="87" t="str">
        <x:v>ЕГКР</x:v>
      </x:c>
      <x:c r="D5654" s="87"/>
      <x:c r="E5654" s="87" t="str">
        <x:v>Зима 2025</x:v>
      </x:c>
      <x:c r="F5654" s="87" t="str">
        <x:v>18.12.2025</x:v>
      </x:c>
      <x:c r="G5654" s="87" t="str">
        <x:v>Обществознание</x:v>
      </x:c>
      <x:c r="H5654" s="87" t="n">
        <x:v>11</x:v>
      </x:c>
      <x:c r="I5654" s="87"/>
      <x:c r="J5654" s="87" t="str">
        <x:v>952</x:v>
      </x:c>
      <x:c r="K5654" s="87" t="n">
        <x:v>15</x:v>
      </x:c>
      <x:c r="L5654" s="87" t="str">
        <x:v>Краткий ответ</x:v>
      </x:c>
      <x:c r="M5654" s="30" t="str">
        <x:v>Соотнести жизненные примеры с правомочиями владения, пользования и распоряжения.</x:v>
      </x:c>
      <x:c r="N5654" s="30" t="str">
        <x:v>31332</x:v>
      </x:c>
      <x:c r="O5654" s="30" t="str">
        <x:v>Позиции проверены по определениям и нормам обществоведческого курса; итоговая последовательность: 31332.</x:v>
      </x:c>
      <x:c r="P5654" s="30" t="str">
        <x:v>Проверено по формулировке задания, обществоведческим определениям и нормам.</x:v>
      </x:c>
      <x:c r="Q5654" s="30"/>
      <x:c r="R5654" s="30"/>
      <x:c r="S5654" s="30" t="str">
        <x:v>Ответы (3).docx — вторичный источник</x:v>
      </x:c>
      <x:c r="T5654" s="30"/>
      <x:c r="U5654" s="30" t="str">
        <x:v>Ответник совпадает с независимой проверкой.</x:v>
      </x:c>
      <x:c r="V5654" s="87" t="str">
        <x:v>VERIFIED</x:v>
      </x:c>
      <x:c r="W5654" s="87"/>
      <x:c r="X5654" s="87"/>
      <x:c r="Y5654" s="87" t="n">
        <x:v>5</x:v>
      </x:c>
      <x:c r="Z5654" s="87" t="n">
        <x:v>5</x:v>
      </x:c>
      <x:c r="AA5654" s="87"/>
      <x:c r="AB5654" s="87"/>
      <x:c r="AC5654" s="87" t="str">
        <x:v>VIS-EGKR-SOC-W25-TASK-952-P005</x:v>
      </x:c>
      <x:c r="AD5654" s="87" t="str">
        <x:v>VIS-EGKR-SOC-W25-ANSWERDOC-P002</x:v>
      </x:c>
      <x:c r="AE5654" s="87" t="str">
        <x:v>TASK; SECONDARY_ANSWER_SOURCE</x:v>
      </x:c>
      <x:c r="AF5654" s="87" t="str">
        <x:v>VIS-EGKR-SOC-W25-TASK-952-P005: 5; VIS-EGKR-SOC-W25-ANSWERDOC-P002: 2</x:v>
      </x:c>
      <x:c r="AG5654" s="87" t="str">
        <x:v>RESOLVED</x:v>
      </x:c>
      <x:c r="AH5654" s="87" t="str">
        <x:v>CROP_VERIFIED</x:v>
      </x:c>
      <x:c r="AI5654" s="30"/>
      <x:c r="AJ5654" s="87" t="str">
        <x:v>clean</x:v>
      </x:c>
      <x:c r="AK5654" s="87" t="str">
        <x:v>clean-v0.16</x:v>
      </x:c>
      <x:c r="AL5654" s="87" t="str">
        <x:v>statgrad_clean_continuation_v0_16(1).xlsx</x:v>
      </x:c>
      <x:c r="AM5654" s="87" t="str">
        <x:v>SOC_EGKR_952</x:v>
      </x:c>
      <x:c r="AN5654" s="87" t="n">
        <x:v>16</x:v>
      </x:c>
    </x:row>
    <x:row r="5655">
      <x:c r="A5655" s="87" t="n">
        <x:v>5654</x:v>
      </x:c>
      <x:c r="B5655" s="87" t="str">
        <x:v>EGKR-W25-SOC-952-16</x:v>
      </x:c>
      <x:c r="C5655" s="87" t="str">
        <x:v>ЕГКР</x:v>
      </x:c>
      <x:c r="D5655" s="87"/>
      <x:c r="E5655" s="87" t="str">
        <x:v>Зима 2025</x:v>
      </x:c>
      <x:c r="F5655" s="87" t="str">
        <x:v>18.12.2025</x:v>
      </x:c>
      <x:c r="G5655" s="87" t="str">
        <x:v>Обществознание</x:v>
      </x:c>
      <x:c r="H5655" s="87" t="n">
        <x:v>11</x:v>
      </x:c>
      <x:c r="I5655" s="87"/>
      <x:c r="J5655" s="87" t="str">
        <x:v>952</x:v>
      </x:c>
      <x:c r="K5655" s="87" t="n">
        <x:v>16</x:v>
      </x:c>
      <x:c r="L5655" s="87" t="str">
        <x:v>Краткий ответ</x:v>
      </x:c>
      <x:c r="M5655" s="30" t="str">
        <x:v>Выбрать отличительные признаки акционерного общества.</x:v>
      </x:c>
      <x:c r="N5655" s="30" t="str">
        <x:v>124</x:v>
      </x:c>
      <x:c r="O5655" s="30" t="str">
        <x:v>Позиции проверены по определениям и нормам обществоведческого курса; итоговая последовательность: 124.</x:v>
      </x:c>
      <x:c r="P5655" s="30" t="str">
        <x:v>Проверено по формулировке задания, обществоведческим определениям и нормам.</x:v>
      </x:c>
      <x:c r="Q5655" s="30"/>
      <x:c r="R5655" s="30"/>
      <x:c r="S5655" s="30" t="str">
        <x:v>Ответы (3).docx — вторичный источник</x:v>
      </x:c>
      <x:c r="T5655" s="30"/>
      <x:c r="U5655" s="30" t="str">
        <x:v>Ответник совпадает с независимой проверкой.</x:v>
      </x:c>
      <x:c r="V5655" s="87" t="str">
        <x:v>VERIFIED</x:v>
      </x:c>
      <x:c r="W5655" s="87"/>
      <x:c r="X5655" s="87"/>
      <x:c r="Y5655" s="87" t="n">
        <x:v>5</x:v>
      </x:c>
      <x:c r="Z5655" s="87" t="n">
        <x:v>5</x:v>
      </x:c>
      <x:c r="AA5655" s="87"/>
      <x:c r="AB5655" s="87"/>
      <x:c r="AC5655" s="87" t="str">
        <x:v>VIS-EGKR-SOC-W25-TASK-952-P005</x:v>
      </x:c>
      <x:c r="AD5655" s="87" t="str">
        <x:v>VIS-EGKR-SOC-W25-ANSWERDOC-P002</x:v>
      </x:c>
      <x:c r="AE5655" s="87" t="str">
        <x:v>TASK; SECONDARY_ANSWER_SOURCE</x:v>
      </x:c>
      <x:c r="AF5655" s="87" t="str">
        <x:v>VIS-EGKR-SOC-W25-TASK-952-P005: 5; VIS-EGKR-SOC-W25-ANSWERDOC-P002: 2</x:v>
      </x:c>
      <x:c r="AG5655" s="87" t="str">
        <x:v>RESOLVED</x:v>
      </x:c>
      <x:c r="AH5655" s="87" t="str">
        <x:v>CROP_VERIFIED</x:v>
      </x:c>
      <x:c r="AI5655" s="30"/>
      <x:c r="AJ5655" s="87" t="str">
        <x:v>clean</x:v>
      </x:c>
      <x:c r="AK5655" s="87" t="str">
        <x:v>clean-v0.16</x:v>
      </x:c>
      <x:c r="AL5655" s="87" t="str">
        <x:v>statgrad_clean_continuation_v0_16(1).xlsx</x:v>
      </x:c>
      <x:c r="AM5655" s="87" t="str">
        <x:v>SOC_EGKR_952</x:v>
      </x:c>
      <x:c r="AN5655" s="87" t="n">
        <x:v>17</x:v>
      </x:c>
    </x:row>
    <x:row r="5656">
      <x:c r="A5656" s="87" t="n">
        <x:v>5655</x:v>
      </x:c>
      <x:c r="B5656" s="87" t="str">
        <x:v>EGKR-W25-SOC-952-17</x:v>
      </x:c>
      <x:c r="C5656" s="87" t="str">
        <x:v>ЕГКР</x:v>
      </x:c>
      <x:c r="D5656" s="87"/>
      <x:c r="E5656" s="87" t="str">
        <x:v>Зима 2025</x:v>
      </x:c>
      <x:c r="F5656" s="87" t="str">
        <x:v>18.12.2025</x:v>
      </x:c>
      <x:c r="G5656" s="87" t="str">
        <x:v>Обществознание</x:v>
      </x:c>
      <x:c r="H5656" s="87" t="n">
        <x:v>11</x:v>
      </x:c>
      <x:c r="I5656" s="87"/>
      <x:c r="J5656" s="87" t="str">
        <x:v>952</x:v>
      </x:c>
      <x:c r="K5656" s="87" t="n">
        <x:v>17</x:v>
      </x:c>
      <x:c r="L5656" s="87" t="str">
        <x:v>Развёрнутый ответ</x:v>
      </x:c>
      <x:c r="M5656" s="30" t="str">
        <x:v>По тексту определить понятие рыночной инфраструктуры, критерий государственных организаций и цель рынка ценных бумаг.</x:v>
      </x:c>
      <x:c r="N5656" s="30" t="str">
        <x:v>Рыночная инфраструктура — совокупность организационно-правовых и экономических отношений, связывающая многообразные рыночные отношения в единое целое. Критерий включения государственных организаций — реальная хозяйственная самостоятельность, ориентация на максимальный результат при минимуме затрат и работа на основе купли-продажи. Цель рынка ценных бумаг — обеспечение инвестиционного процесса и перелив ресурсов в более эффективные сферы.</x:v>
      </x:c>
      <x:c r="O5656" s="30" t="str">
        <x:v>Модель включает все элементы, прямо требуемые формулировкой задания.</x:v>
      </x:c>
      <x:c r="P5656" s="30" t="str">
        <x:v>Содержание проверено по исходному тексту, обществоведческим понятиям и правовым нормам.</x:v>
      </x:c>
      <x:c r="Q5656" s="30"/>
      <x:c r="R5656" s="30"/>
      <x:c r="S5656" s="30" t="str">
        <x:v>Независимая модель; вторичный DOCX использован только для аудита</x:v>
      </x:c>
      <x:c r="T5656" s="30"/>
      <x:c r="U5656" s="30" t="str">
        <x:v>Модель независимо проверена по условию.</x:v>
      </x:c>
      <x:c r="V5656" s="87" t="str">
        <x:v>VERIFIED</x:v>
      </x:c>
      <x:c r="W5656" s="87"/>
      <x:c r="X5656" s="87"/>
      <x:c r="Y5656" s="87" t="n">
        <x:v>6</x:v>
      </x:c>
      <x:c r="Z5656" s="87" t="n">
        <x:v>6</x:v>
      </x:c>
      <x:c r="AA5656" s="87"/>
      <x:c r="AB5656" s="87"/>
      <x:c r="AC5656" s="87" t="str">
        <x:v>VIS-EGKR-SOC-W25-TASK-952-P006</x:v>
      </x:c>
      <x:c r="AD5656" s="87" t="str">
        <x:v>VIS-EGKR-SOC-W25-ANSWERDOC-P003</x:v>
      </x:c>
      <x:c r="AE5656" s="87" t="str">
        <x:v>TASK; SECONDARY_ANSWER_SOURCE</x:v>
      </x:c>
      <x:c r="AF5656" s="87" t="str">
        <x:v>VIS-EGKR-SOC-W25-TASK-952-P006: 6; VIS-EGKR-SOC-W25-ANSWERDOC-P003: 3</x:v>
      </x:c>
      <x:c r="AG5656" s="87" t="str">
        <x:v>RESOLVED</x:v>
      </x:c>
      <x:c r="AH5656" s="87" t="str">
        <x:v>CROP_VERIFIED</x:v>
      </x:c>
      <x:c r="AI5656" s="30"/>
      <x:c r="AJ5656" s="87" t="str">
        <x:v>clean</x:v>
      </x:c>
      <x:c r="AK5656" s="87" t="str">
        <x:v>clean-v0.16</x:v>
      </x:c>
      <x:c r="AL5656" s="87" t="str">
        <x:v>statgrad_clean_continuation_v0_16(1).xlsx</x:v>
      </x:c>
      <x:c r="AM5656" s="87" t="str">
        <x:v>SOC_EGKR_952</x:v>
      </x:c>
      <x:c r="AN5656" s="87" t="n">
        <x:v>18</x:v>
      </x:c>
    </x:row>
    <x:row r="5657">
      <x:c r="A5657" s="87" t="n">
        <x:v>5656</x:v>
      </x:c>
      <x:c r="B5657" s="87" t="str">
        <x:v>EGKR-W25-SOC-952-18</x:v>
      </x:c>
      <x:c r="C5657" s="87" t="str">
        <x:v>ЕГКР</x:v>
      </x:c>
      <x:c r="D5657" s="87"/>
      <x:c r="E5657" s="87" t="str">
        <x:v>Зима 2025</x:v>
      </x:c>
      <x:c r="F5657" s="87" t="str">
        <x:v>18.12.2025</x:v>
      </x:c>
      <x:c r="G5657" s="87" t="str">
        <x:v>Обществознание</x:v>
      </x:c>
      <x:c r="H5657" s="87" t="n">
        <x:v>11</x:v>
      </x:c>
      <x:c r="I5657" s="87"/>
      <x:c r="J5657" s="87" t="str">
        <x:v>952</x:v>
      </x:c>
      <x:c r="K5657" s="87" t="n">
        <x:v>18</x:v>
      </x:c>
      <x:c r="L5657" s="87" t="str">
        <x:v>Развёрнутый ответ</x:v>
      </x:c>
      <x:c r="M5657" s="30" t="str">
        <x:v>Назвать характеристики факторов производства и объяснить влияние экономического цикла на инвестиции через ценные бумаги.</x:v>
      </x:c>
      <x:c r="N5657" s="30" t="str">
        <x:v>Факторы производства — ресурсы, используемые для создания товаров и услуг; они ограничены и требуют рационального выбора. В период спада прибыль и ожидания бизнеса снижаются, поэтому привлечённые через ценные бумаги средства слабее превращаются в расширение производства. В период подъёма инвестиции активнее направляются на модернизацию и увеличение выпуска.</x:v>
      </x:c>
      <x:c r="O5657" s="30" t="str">
        <x:v>Модель включает все элементы, прямо требуемые формулировкой задания.</x:v>
      </x:c>
      <x:c r="P5657" s="30" t="str">
        <x:v>Содержание проверено по исходному тексту, обществоведческим понятиям и правовым нормам.</x:v>
      </x:c>
      <x:c r="Q5657" s="30"/>
      <x:c r="R5657" s="30"/>
      <x:c r="S5657" s="30" t="str">
        <x:v>Независимая модель; вторичный DOCX использован только для аудита</x:v>
      </x:c>
      <x:c r="T5657" s="30"/>
      <x:c r="U5657" s="30" t="str">
        <x:v>Модель независимо проверена по условию.</x:v>
      </x:c>
      <x:c r="V5657" s="87" t="str">
        <x:v>VERIFIED</x:v>
      </x:c>
      <x:c r="W5657" s="87"/>
      <x:c r="X5657" s="87"/>
      <x:c r="Y5657" s="87" t="n">
        <x:v>6</x:v>
      </x:c>
      <x:c r="Z5657" s="87" t="n">
        <x:v>6</x:v>
      </x:c>
      <x:c r="AA5657" s="87"/>
      <x:c r="AB5657" s="87"/>
      <x:c r="AC5657" s="87" t="str">
        <x:v>VIS-EGKR-SOC-W25-TASK-952-P006</x:v>
      </x:c>
      <x:c r="AD5657" s="87" t="str">
        <x:v>VIS-EGKR-SOC-W25-ANSWERDOC-P003</x:v>
      </x:c>
      <x:c r="AE5657" s="87" t="str">
        <x:v>TASK; SECONDARY_ANSWER_SOURCE</x:v>
      </x:c>
      <x:c r="AF5657" s="87" t="str">
        <x:v>VIS-EGKR-SOC-W25-TASK-952-P006: 6; VIS-EGKR-SOC-W25-ANSWERDOC-P003: 3</x:v>
      </x:c>
      <x:c r="AG5657" s="87" t="str">
        <x:v>RESOLVED</x:v>
      </x:c>
      <x:c r="AH5657" s="87" t="str">
        <x:v>CROP_VERIFIED</x:v>
      </x:c>
      <x:c r="AI5657" s="30"/>
      <x:c r="AJ5657" s="87" t="str">
        <x:v>clean</x:v>
      </x:c>
      <x:c r="AK5657" s="87" t="str">
        <x:v>clean-v0.16</x:v>
      </x:c>
      <x:c r="AL5657" s="87" t="str">
        <x:v>statgrad_clean_continuation_v0_16(1).xlsx</x:v>
      </x:c>
      <x:c r="AM5657" s="87" t="str">
        <x:v>SOC_EGKR_952</x:v>
      </x:c>
      <x:c r="AN5657" s="87" t="n">
        <x:v>19</x:v>
      </x:c>
    </x:row>
    <x:row r="5658">
      <x:c r="A5658" s="87" t="n">
        <x:v>5657</x:v>
      </x:c>
      <x:c r="B5658" s="87" t="str">
        <x:v>EGKR-W25-SOC-952-19</x:v>
      </x:c>
      <x:c r="C5658" s="87" t="str">
        <x:v>ЕГКР</x:v>
      </x:c>
      <x:c r="D5658" s="87"/>
      <x:c r="E5658" s="87" t="str">
        <x:v>Зима 2025</x:v>
      </x:c>
      <x:c r="F5658" s="87" t="str">
        <x:v>18.12.2025</x:v>
      </x:c>
      <x:c r="G5658" s="87" t="str">
        <x:v>Обществознание</x:v>
      </x:c>
      <x:c r="H5658" s="87" t="n">
        <x:v>11</x:v>
      </x:c>
      <x:c r="I5658" s="87"/>
      <x:c r="J5658" s="87" t="str">
        <x:v>952</x:v>
      </x:c>
      <x:c r="K5658" s="87" t="n">
        <x:v>19</x:v>
      </x:c>
      <x:c r="L5658" s="87" t="str">
        <x:v>Развёрнутый ответ</x:v>
      </x:c>
      <x:c r="M5658" s="30" t="str">
        <x:v>Привести три российских примера функций рыночной инфраструктуры.</x:v>
      </x:c>
      <x:c r="N5658" s="30" t="str">
        <x:v>Экономия времени и средств: маркетплейс стандартизирует поиск, оплату и доставку, снижая издержки сделки. Формирование равновесных цен: биржевые торги сводят спрос и предложение, а котировки используются в контрактах. Концентрация капитала: банки и инвестиционные организации аккумулируют средства множества вкладчиков и направляют их крупным проектам.</x:v>
      </x:c>
      <x:c r="O5658" s="30" t="str">
        <x:v>Модель включает все элементы, прямо требуемые формулировкой задания.</x:v>
      </x:c>
      <x:c r="P5658" s="30" t="str">
        <x:v>Содержание проверено по исходному тексту, обществоведческим понятиям и правовым нормам.</x:v>
      </x:c>
      <x:c r="Q5658" s="30"/>
      <x:c r="R5658" s="30"/>
      <x:c r="S5658" s="30" t="str">
        <x:v>Независимая модель; вторичный DOCX использован только для аудита</x:v>
      </x:c>
      <x:c r="T5658" s="30"/>
      <x:c r="U5658" s="30" t="str">
        <x:v>Модель независимо проверена по условию.</x:v>
      </x:c>
      <x:c r="V5658" s="87" t="str">
        <x:v>VERIFIED</x:v>
      </x:c>
      <x:c r="W5658" s="87"/>
      <x:c r="X5658" s="87"/>
      <x:c r="Y5658" s="87" t="n">
        <x:v>6</x:v>
      </x:c>
      <x:c r="Z5658" s="87" t="n">
        <x:v>6</x:v>
      </x:c>
      <x:c r="AA5658" s="87"/>
      <x:c r="AB5658" s="87"/>
      <x:c r="AC5658" s="87" t="str">
        <x:v>VIS-EGKR-SOC-W25-TASK-952-P006</x:v>
      </x:c>
      <x:c r="AD5658" s="87" t="str">
        <x:v>VIS-EGKR-SOC-W25-ANSWERDOC-P003</x:v>
      </x:c>
      <x:c r="AE5658" s="87" t="str">
        <x:v>TASK; SECONDARY_ANSWER_SOURCE</x:v>
      </x:c>
      <x:c r="AF5658" s="87" t="str">
        <x:v>VIS-EGKR-SOC-W25-TASK-952-P006: 6; VIS-EGKR-SOC-W25-ANSWERDOC-P003: 3</x:v>
      </x:c>
      <x:c r="AG5658" s="87" t="str">
        <x:v>RESOLVED</x:v>
      </x:c>
      <x:c r="AH5658" s="87" t="str">
        <x:v>CROP_VERIFIED</x:v>
      </x:c>
      <x:c r="AI5658" s="30"/>
      <x:c r="AJ5658" s="87" t="str">
        <x:v>clean</x:v>
      </x:c>
      <x:c r="AK5658" s="87" t="str">
        <x:v>clean-v0.16</x:v>
      </x:c>
      <x:c r="AL5658" s="87" t="str">
        <x:v>statgrad_clean_continuation_v0_16(1).xlsx</x:v>
      </x:c>
      <x:c r="AM5658" s="87" t="str">
        <x:v>SOC_EGKR_952</x:v>
      </x:c>
      <x:c r="AN5658" s="87" t="n">
        <x:v>20</x:v>
      </x:c>
    </x:row>
    <x:row r="5659">
      <x:c r="A5659" s="87" t="n">
        <x:v>5658</x:v>
      </x:c>
      <x:c r="B5659" s="87" t="str">
        <x:v>EGKR-W25-SOC-952-20</x:v>
      </x:c>
      <x:c r="C5659" s="87" t="str">
        <x:v>ЕГКР</x:v>
      </x:c>
      <x:c r="D5659" s="87"/>
      <x:c r="E5659" s="87" t="str">
        <x:v>Зима 2025</x:v>
      </x:c>
      <x:c r="F5659" s="87" t="str">
        <x:v>18.12.2025</x:v>
      </x:c>
      <x:c r="G5659" s="87" t="str">
        <x:v>Обществознание</x:v>
      </x:c>
      <x:c r="H5659" s="87" t="n">
        <x:v>11</x:v>
      </x:c>
      <x:c r="I5659" s="87"/>
      <x:c r="J5659" s="87" t="str">
        <x:v>952</x:v>
      </x:c>
      <x:c r="K5659" s="87" t="n">
        <x:v>20</x:v>
      </x:c>
      <x:c r="L5659" s="87" t="str">
        <x:v>Развёрнутый ответ</x:v>
      </x:c>
      <x:c r="M5659" s="30" t="str">
        <x:v>Привести три аргумента, почему биржа является барометром народного хозяйства.</x:v>
      </x:c>
      <x:c r="N5659" s="30" t="str">
        <x:v>Биржевые котировки быстро реагируют на изменение спроса, предложения и ожиданий участников. Динамика цен связана с инфляцией, процентными ставками и темпами экономического роста, поэтому отражает состояние экономики. Перераспределение капитала через биржу показывает, какие отрасли инвесторы считают перспективными, и выявляет структурные сдвиги.</x:v>
      </x:c>
      <x:c r="O5659" s="30" t="str">
        <x:v>Модель включает все элементы, прямо требуемые формулировкой задания.</x:v>
      </x:c>
      <x:c r="P5659" s="30" t="str">
        <x:v>Содержание проверено по исходному тексту, обществоведческим понятиям и правовым нормам.</x:v>
      </x:c>
      <x:c r="Q5659" s="30"/>
      <x:c r="R5659" s="30"/>
      <x:c r="S5659" s="30" t="str">
        <x:v>Независимая модель; вторичный DOCX использован только для аудита</x:v>
      </x:c>
      <x:c r="T5659" s="30"/>
      <x:c r="U5659" s="30" t="str">
        <x:v>Модель независимо проверена по условию.</x:v>
      </x:c>
      <x:c r="V5659" s="87" t="str">
        <x:v>VERIFIED</x:v>
      </x:c>
      <x:c r="W5659" s="87"/>
      <x:c r="X5659" s="87"/>
      <x:c r="Y5659" s="87" t="n">
        <x:v>6</x:v>
      </x:c>
      <x:c r="Z5659" s="87" t="n">
        <x:v>6</x:v>
      </x:c>
      <x:c r="AA5659" s="87"/>
      <x:c r="AB5659" s="87"/>
      <x:c r="AC5659" s="87" t="str">
        <x:v>VIS-EGKR-SOC-W25-TASK-952-P006</x:v>
      </x:c>
      <x:c r="AD5659" s="87" t="str">
        <x:v>VIS-EGKR-SOC-W25-ANSWERDOC-P003</x:v>
      </x:c>
      <x:c r="AE5659" s="87" t="str">
        <x:v>TASK; SECONDARY_ANSWER_SOURCE</x:v>
      </x:c>
      <x:c r="AF5659" s="87" t="str">
        <x:v>VIS-EGKR-SOC-W25-TASK-952-P006: 6; VIS-EGKR-SOC-W25-ANSWERDOC-P003: 3</x:v>
      </x:c>
      <x:c r="AG5659" s="87" t="str">
        <x:v>RESOLVED</x:v>
      </x:c>
      <x:c r="AH5659" s="87" t="str">
        <x:v>CROP_VERIFIED</x:v>
      </x:c>
      <x:c r="AI5659" s="30"/>
      <x:c r="AJ5659" s="87" t="str">
        <x:v>clean</x:v>
      </x:c>
      <x:c r="AK5659" s="87" t="str">
        <x:v>clean-v0.16</x:v>
      </x:c>
      <x:c r="AL5659" s="87" t="str">
        <x:v>statgrad_clean_continuation_v0_16(1).xlsx</x:v>
      </x:c>
      <x:c r="AM5659" s="87" t="str">
        <x:v>SOC_EGKR_952</x:v>
      </x:c>
      <x:c r="AN5659" s="87" t="n">
        <x:v>21</x:v>
      </x:c>
    </x:row>
    <x:row r="5660">
      <x:c r="A5660" s="87" t="n">
        <x:v>5659</x:v>
      </x:c>
      <x:c r="B5660" s="87" t="str">
        <x:v>EGKR-W25-SOC-952-21</x:v>
      </x:c>
      <x:c r="C5660" s="87" t="str">
        <x:v>ЕГКР</x:v>
      </x:c>
      <x:c r="D5660" s="87"/>
      <x:c r="E5660" s="87" t="str">
        <x:v>Зима 2025</x:v>
      </x:c>
      <x:c r="F5660" s="87" t="str">
        <x:v>18.12.2025</x:v>
      </x:c>
      <x:c r="G5660" s="87" t="str">
        <x:v>Обществознание</x:v>
      </x:c>
      <x:c r="H5660" s="87" t="n">
        <x:v>11</x:v>
      </x:c>
      <x:c r="I5660" s="87"/>
      <x:c r="J5660" s="87" t="str">
        <x:v>952</x:v>
      </x:c>
      <x:c r="K5660" s="87" t="n">
        <x:v>21</x:v>
      </x:c>
      <x:c r="L5660" s="87" t="str">
        <x:v>Развёрнутый ответ</x:v>
      </x:c>
      <x:c r="M5660" s="30" t="str">
        <x:v>Проанализировать сдвиг предложения косметики и последующее изменение спроса при выборе услуг косметологов.</x:v>
      </x:c>
      <x:c r="N5660" s="30" t="str">
        <x:v>Равновесная цена снизилась. Например, снижение ввозных пошлин на косметику уменьшило издержки поставщиков и увеличило предложение, сдвинув кривую вправо. Если потребители предпочтут услуги профессиональных косметологов, спрос на домашнюю косметику уменьшится, поэтому равновесная цена снизится.</x:v>
      </x:c>
      <x:c r="O5660" s="30" t="str">
        <x:v>Модель включает все элементы, прямо требуемые формулировкой задания.</x:v>
      </x:c>
      <x:c r="P5660" s="30" t="str">
        <x:v>Содержание проверено по исходному тексту, обществоведческим понятиям и правовым нормам.</x:v>
      </x:c>
      <x:c r="Q5660" s="30"/>
      <x:c r="R5660" s="30"/>
      <x:c r="S5660" s="30" t="str">
        <x:v>Независимая модель; вторичный DOCX использован только для аудита</x:v>
      </x:c>
      <x:c r="T5660" s="30"/>
      <x:c r="U5660" s="30" t="str">
        <x:v>Модель независимо проверена по условию.</x:v>
      </x:c>
      <x:c r="V5660" s="87" t="str">
        <x:v>VERIFIED</x:v>
      </x:c>
      <x:c r="W5660" s="87"/>
      <x:c r="X5660" s="87"/>
      <x:c r="Y5660" s="87" t="n">
        <x:v>7</x:v>
      </x:c>
      <x:c r="Z5660" s="87" t="n">
        <x:v>7</x:v>
      </x:c>
      <x:c r="AA5660" s="87"/>
      <x:c r="AB5660" s="87"/>
      <x:c r="AC5660" s="87" t="str">
        <x:v>VIS-EGKR-SOC-W25-TASK-952-P007</x:v>
      </x:c>
      <x:c r="AD5660" s="87" t="str">
        <x:v>VIS-EGKR-SOC-W25-ANSWERDOC-P004</x:v>
      </x:c>
      <x:c r="AE5660" s="87" t="str">
        <x:v>TASK; SECONDARY_ANSWER_SOURCE</x:v>
      </x:c>
      <x:c r="AF5660" s="87" t="str">
        <x:v>VIS-EGKR-SOC-W25-TASK-952-P007: 7; VIS-EGKR-SOC-W25-ANSWERDOC-P004: 4</x:v>
      </x:c>
      <x:c r="AG5660" s="87" t="str">
        <x:v>RESOLVED</x:v>
      </x:c>
      <x:c r="AH5660" s="87" t="str">
        <x:v>CROP_VERIFIED</x:v>
      </x:c>
      <x:c r="AI5660" s="30"/>
      <x:c r="AJ5660" s="87" t="str">
        <x:v>clean</x:v>
      </x:c>
      <x:c r="AK5660" s="87" t="str">
        <x:v>clean-v0.16</x:v>
      </x:c>
      <x:c r="AL5660" s="87" t="str">
        <x:v>statgrad_clean_continuation_v0_16(1).xlsx</x:v>
      </x:c>
      <x:c r="AM5660" s="87" t="str">
        <x:v>SOC_EGKR_952</x:v>
      </x:c>
      <x:c r="AN5660" s="87" t="n">
        <x:v>22</x:v>
      </x:c>
    </x:row>
    <x:row r="5661">
      <x:c r="A5661" s="87" t="n">
        <x:v>5660</x:v>
      </x:c>
      <x:c r="B5661" s="87" t="str">
        <x:v>EGKR-W25-SOC-952-22</x:v>
      </x:c>
      <x:c r="C5661" s="87" t="str">
        <x:v>ЕГКР</x:v>
      </x:c>
      <x:c r="D5661" s="87"/>
      <x:c r="E5661" s="87" t="str">
        <x:v>Зима 2025</x:v>
      </x:c>
      <x:c r="F5661" s="87" t="str">
        <x:v>18.12.2025</x:v>
      </x:c>
      <x:c r="G5661" s="87" t="str">
        <x:v>Обществознание</x:v>
      </x:c>
      <x:c r="H5661" s="87" t="n">
        <x:v>11</x:v>
      </x:c>
      <x:c r="I5661" s="87"/>
      <x:c r="J5661" s="87" t="str">
        <x:v>952</x:v>
      </x:c>
      <x:c r="K5661" s="87" t="n">
        <x:v>22</x:v>
      </x:c>
      <x:c r="L5661" s="87" t="str">
        <x:v>Развёрнутый ответ</x:v>
      </x:c>
      <x:c r="M5661" s="30" t="str">
        <x:v>Определить форму правления, экономическое явление, тип политики и рыночную структуру государства Z.</x:v>
      </x:c>
      <x:c r="N5661" s="30" t="str">
        <x:v>Президентская республика; экономический рост; стимулирующая фискальная политика; олигополия.</x:v>
      </x:c>
      <x:c r="O5661" s="30" t="str">
        <x:v>Модель включает все элементы, прямо требуемые формулировкой задания.</x:v>
      </x:c>
      <x:c r="P5661" s="30" t="str">
        <x:v>Содержание проверено по исходному тексту, обществоведческим понятиям и правовым нормам.</x:v>
      </x:c>
      <x:c r="Q5661" s="30"/>
      <x:c r="R5661" s="30"/>
      <x:c r="S5661" s="30" t="str">
        <x:v>Независимая модель; вторичный DOCX использован только для аудита</x:v>
      </x:c>
      <x:c r="T5661" s="30"/>
      <x:c r="U5661" s="30" t="str">
        <x:v>Модель независимо проверена по условию.</x:v>
      </x:c>
      <x:c r="V5661" s="87" t="str">
        <x:v>VERIFIED</x:v>
      </x:c>
      <x:c r="W5661" s="87"/>
      <x:c r="X5661" s="87"/>
      <x:c r="Y5661" s="87" t="n">
        <x:v>7</x:v>
      </x:c>
      <x:c r="Z5661" s="87" t="n">
        <x:v>7</x:v>
      </x:c>
      <x:c r="AA5661" s="87"/>
      <x:c r="AB5661" s="87"/>
      <x:c r="AC5661" s="87" t="str">
        <x:v>VIS-EGKR-SOC-W25-TASK-952-P007</x:v>
      </x:c>
      <x:c r="AD5661" s="87" t="str">
        <x:v>VIS-EGKR-SOC-W25-ANSWERDOC-P004</x:v>
      </x:c>
      <x:c r="AE5661" s="87" t="str">
        <x:v>TASK; SECONDARY_ANSWER_SOURCE</x:v>
      </x:c>
      <x:c r="AF5661" s="87" t="str">
        <x:v>VIS-EGKR-SOC-W25-TASK-952-P007: 7; VIS-EGKR-SOC-W25-ANSWERDOC-P004: 4</x:v>
      </x:c>
      <x:c r="AG5661" s="87" t="str">
        <x:v>RESOLVED</x:v>
      </x:c>
      <x:c r="AH5661" s="87" t="str">
        <x:v>CROP_VERIFIED</x:v>
      </x:c>
      <x:c r="AI5661" s="30"/>
      <x:c r="AJ5661" s="87" t="str">
        <x:v>clean</x:v>
      </x:c>
      <x:c r="AK5661" s="87" t="str">
        <x:v>clean-v0.16</x:v>
      </x:c>
      <x:c r="AL5661" s="87" t="str">
        <x:v>statgrad_clean_continuation_v0_16(1).xlsx</x:v>
      </x:c>
      <x:c r="AM5661" s="87" t="str">
        <x:v>SOC_EGKR_952</x:v>
      </x:c>
      <x:c r="AN5661" s="87" t="n">
        <x:v>23</x:v>
      </x:c>
    </x:row>
    <x:row r="5662">
      <x:c r="A5662" s="87" t="n">
        <x:v>5661</x:v>
      </x:c>
      <x:c r="B5662" s="87" t="str">
        <x:v>EGKR-W25-SOC-952-23</x:v>
      </x:c>
      <x:c r="C5662" s="87" t="str">
        <x:v>ЕГКР</x:v>
      </x:c>
      <x:c r="D5662" s="87"/>
      <x:c r="E5662" s="87" t="str">
        <x:v>Зима 2025</x:v>
      </x:c>
      <x:c r="F5662" s="87" t="str">
        <x:v>18.12.2025</x:v>
      </x:c>
      <x:c r="G5662" s="87" t="str">
        <x:v>Обществознание</x:v>
      </x:c>
      <x:c r="H5662" s="87" t="n">
        <x:v>11</x:v>
      </x:c>
      <x:c r="I5662" s="87"/>
      <x:c r="J5662" s="87" t="str">
        <x:v>952</x:v>
      </x:c>
      <x:c r="K5662" s="87" t="n">
        <x:v>23</x:v>
      </x:c>
      <x:c r="L5662" s="87" t="str">
        <x:v>Развёрнутый ответ</x:v>
      </x:c>
      <x:c r="M5662" s="30" t="str">
        <x:v>Привести три конституционные обязанности гражданина.</x:v>
      </x:c>
      <x:c r="N5662" s="30" t="str">
        <x:v>Граждане обязаны сохранять природу и окружающую среду. Родители обязаны обеспечить получение детьми основного общего образования. Защита Отечества является долгом и обязанностью гражданина, реализуемой военной или предусмотренной законом альтернативной службой.</x:v>
      </x:c>
      <x:c r="O5662" s="30" t="str">
        <x:v>Модель включает все элементы, прямо требуемые формулировкой задания.</x:v>
      </x:c>
      <x:c r="P5662" s="30" t="str">
        <x:v>Содержание проверено по исходному тексту, обществоведческим понятиям и правовым нормам.</x:v>
      </x:c>
      <x:c r="Q5662" s="30"/>
      <x:c r="R5662" s="30"/>
      <x:c r="S5662" s="30" t="str">
        <x:v>Независимая модель; вторичный DOCX использован только для аудита</x:v>
      </x:c>
      <x:c r="T5662" s="30"/>
      <x:c r="U5662" s="30" t="str">
        <x:v>Модель независимо проверена по условию.</x:v>
      </x:c>
      <x:c r="V5662" s="87" t="str">
        <x:v>VERIFIED</x:v>
      </x:c>
      <x:c r="W5662" s="87"/>
      <x:c r="X5662" s="87"/>
      <x:c r="Y5662" s="87" t="n">
        <x:v>7</x:v>
      </x:c>
      <x:c r="Z5662" s="87" t="n">
        <x:v>7</x:v>
      </x:c>
      <x:c r="AA5662" s="87"/>
      <x:c r="AB5662" s="87"/>
      <x:c r="AC5662" s="87" t="str">
        <x:v>VIS-EGKR-SOC-W25-TASK-952-P007</x:v>
      </x:c>
      <x:c r="AD5662" s="87" t="str">
        <x:v>VIS-EGKR-SOC-W25-ANSWERDOC-P004</x:v>
      </x:c>
      <x:c r="AE5662" s="87" t="str">
        <x:v>TASK; SECONDARY_ANSWER_SOURCE</x:v>
      </x:c>
      <x:c r="AF5662" s="87" t="str">
        <x:v>VIS-EGKR-SOC-W25-TASK-952-P007: 7; VIS-EGKR-SOC-W25-ANSWERDOC-P004: 4</x:v>
      </x:c>
      <x:c r="AG5662" s="87" t="str">
        <x:v>RESOLVED</x:v>
      </x:c>
      <x:c r="AH5662" s="87" t="str">
        <x:v>CROP_VERIFIED</x:v>
      </x:c>
      <x:c r="AI5662" s="30"/>
      <x:c r="AJ5662" s="87" t="str">
        <x:v>clean</x:v>
      </x:c>
      <x:c r="AK5662" s="87" t="str">
        <x:v>clean-v0.16</x:v>
      </x:c>
      <x:c r="AL5662" s="87" t="str">
        <x:v>statgrad_clean_continuation_v0_16(1).xlsx</x:v>
      </x:c>
      <x:c r="AM5662" s="87" t="str">
        <x:v>SOC_EGKR_952</x:v>
      </x:c>
      <x:c r="AN5662" s="87" t="n">
        <x:v>24</x:v>
      </x:c>
    </x:row>
    <x:row r="5663">
      <x:c r="A5663" s="87" t="n">
        <x:v>5662</x:v>
      </x:c>
      <x:c r="B5663" s="87" t="str">
        <x:v>EGKR-W25-SOC-952-24</x:v>
      </x:c>
      <x:c r="C5663" s="87" t="str">
        <x:v>ЕГКР</x:v>
      </x:c>
      <x:c r="D5663" s="87"/>
      <x:c r="E5663" s="87" t="str">
        <x:v>Зима 2025</x:v>
      </x:c>
      <x:c r="F5663" s="87" t="str">
        <x:v>18.12.2025</x:v>
      </x:c>
      <x:c r="G5663" s="87" t="str">
        <x:v>Обществознание</x:v>
      </x:c>
      <x:c r="H5663" s="87" t="n">
        <x:v>11</x:v>
      </x:c>
      <x:c r="I5663" s="87"/>
      <x:c r="J5663" s="87" t="str">
        <x:v>952</x:v>
      </x:c>
      <x:c r="K5663" s="87" t="n">
        <x:v>24</x:v>
      </x:c>
      <x:c r="L5663" s="87" t="str">
        <x:v>Развёрнутый ответ</x:v>
      </x:c>
      <x:c r="M5663" s="30" t="str">
        <x:v>Составить сложный план «Уголовное право в российской правовой системе».</x:v>
      </x:c>
      <x:c r="N5663" s="30" t="str">
        <x:v>1. Понятие и предмет уголовного права. 2. Принципы: а) законность; б) равенство перед законом; в) вина; г) справедливость; д) гуманизм. 3. Преступление: а) общественная опасность; б) противоправность; в) виновность; г) наказуемость. 4. Категории и состав преступления: объект, объективная сторона, субъект, субъективная сторона. 5. Уголовная ответственность: а) основания; б) возраст; в) обстоятельства, исключающие преступность. 6. Наказания: а) цели; б) основные виды; в) дополнительные виды. 7. Освобождение от ответственности и наказания.</x:v>
      </x:c>
      <x:c r="O5663" s="30" t="str">
        <x:v>Модель включает все элементы, прямо требуемые формулировкой задания.</x:v>
      </x:c>
      <x:c r="P5663" s="30" t="str">
        <x:v>Содержание проверено по исходному тексту, обществоведческим понятиям и правовым нормам.</x:v>
      </x:c>
      <x:c r="Q5663" s="30"/>
      <x:c r="R5663" s="30"/>
      <x:c r="S5663" s="30" t="str">
        <x:v>Независимая модель; вторичный DOCX использован только для аудита</x:v>
      </x:c>
      <x:c r="T5663" s="30"/>
      <x:c r="U5663" s="30" t="str">
        <x:v>Модель независимо проверена по условию. Модель отсутствовала во вторичном ответнике и подготовлена независимо.</x:v>
      </x:c>
      <x:c r="V5663" s="87" t="str">
        <x:v>VERIFIED</x:v>
      </x:c>
      <x:c r="W5663" s="87"/>
      <x:c r="X5663" s="87"/>
      <x:c r="Y5663" s="87" t="n">
        <x:v>7</x:v>
      </x:c>
      <x:c r="Z5663" s="87" t="n">
        <x:v>7</x:v>
      </x:c>
      <x:c r="AA5663" s="87"/>
      <x:c r="AB5663" s="87"/>
      <x:c r="AC5663" s="87" t="str">
        <x:v>VIS-EGKR-SOC-W25-TASK-952-P007</x:v>
      </x:c>
      <x:c r="AD5663" s="87"/>
      <x:c r="AE5663" s="87" t="str">
        <x:v>TASK</x:v>
      </x:c>
      <x:c r="AF5663" s="87" t="str">
        <x:v>VIS-EGKR-SOC-W25-TASK-952-P007: 7</x:v>
      </x:c>
      <x:c r="AG5663" s="87" t="str">
        <x:v>RESOLVED</x:v>
      </x:c>
      <x:c r="AH5663" s="87" t="str">
        <x:v>CROP_VERIFIED</x:v>
      </x:c>
      <x:c r="AI5663" s="30"/>
      <x:c r="AJ5663" s="87" t="str">
        <x:v>clean</x:v>
      </x:c>
      <x:c r="AK5663" s="87" t="str">
        <x:v>clean-v0.16</x:v>
      </x:c>
      <x:c r="AL5663" s="87" t="str">
        <x:v>statgrad_clean_continuation_v0_16(1).xlsx</x:v>
      </x:c>
      <x:c r="AM5663" s="87" t="str">
        <x:v>SOC_EGKR_952</x:v>
      </x:c>
      <x:c r="AN5663" s="87" t="n">
        <x:v>25</x:v>
      </x:c>
    </x:row>
    <x:row r="5664">
      <x:c r="A5664" s="87" t="n">
        <x:v>5663</x:v>
      </x:c>
      <x:c r="B5664" s="87" t="str">
        <x:v>EGKR-W25-SOC-952-25</x:v>
      </x:c>
      <x:c r="C5664" s="87" t="str">
        <x:v>ЕГКР</x:v>
      </x:c>
      <x:c r="D5664" s="87"/>
      <x:c r="E5664" s="87" t="str">
        <x:v>Зима 2025</x:v>
      </x:c>
      <x:c r="F5664" s="87" t="str">
        <x:v>18.12.2025</x:v>
      </x:c>
      <x:c r="G5664" s="87" t="str">
        <x:v>Обществознание</x:v>
      </x:c>
      <x:c r="H5664" s="87" t="n">
        <x:v>11</x:v>
      </x:c>
      <x:c r="I5664" s="87"/>
      <x:c r="J5664" s="87" t="str">
        <x:v>952</x:v>
      </x:c>
      <x:c r="K5664" s="87" t="n">
        <x:v>25</x:v>
      </x:c>
      <x:c r="L5664" s="87" t="str">
        <x:v>Развёрнутый ответ</x:v>
      </x:c>
      <x:c r="M5664" s="30" t="str">
        <x:v>Обосновать состязательность, назвать иных участников уголовного судопроизводства и привести примеры.</x:v>
      </x:c>
      <x:c r="N5664" s="30" t="str">
        <x:v>Состязательность обеспечивает равенство обвинения и защиты, независимость суда и проверку доказательств с разных позиций, что снижает риск судебной ошибки. Иные участники: свидетель, эксперт, переводчик. Свидетель вызывается следователем, предупреждается об ответственности и сообщает известные обстоятельства. Эксперт получает постановление и материалы, проводит исследование и даёт заключение. Переводчик участвует в допросе лица, не владеющего русским языком, переводит вопросы, ответы и документы.</x:v>
      </x:c>
      <x:c r="O5664" s="30" t="str">
        <x:v>Модель включает все элементы, прямо требуемые формулировкой задания.</x:v>
      </x:c>
      <x:c r="P5664" s="30" t="str">
        <x:v>Содержание проверено по исходному тексту, обществоведческим понятиям и правовым нормам.</x:v>
      </x:c>
      <x:c r="Q5664" s="30"/>
      <x:c r="R5664" s="30"/>
      <x:c r="S5664" s="30" t="str">
        <x:v>Независимая модель; вторичный DOCX использован только для аудита</x:v>
      </x:c>
      <x:c r="T5664" s="30"/>
      <x:c r="U5664" s="30" t="str">
        <x:v>Модель независимо проверена по условию. Модель отсутствовала во вторичном ответнике и подготовлена независимо.</x:v>
      </x:c>
      <x:c r="V5664" s="87" t="str">
        <x:v>VERIFIED</x:v>
      </x:c>
      <x:c r="W5664" s="87"/>
      <x:c r="X5664" s="87"/>
      <x:c r="Y5664" s="87" t="n">
        <x:v>7</x:v>
      </x:c>
      <x:c r="Z5664" s="87" t="n">
        <x:v>7</x:v>
      </x:c>
      <x:c r="AA5664" s="87"/>
      <x:c r="AB5664" s="87"/>
      <x:c r="AC5664" s="87" t="str">
        <x:v>VIS-EGKR-SOC-W25-TASK-952-P007</x:v>
      </x:c>
      <x:c r="AD5664" s="87"/>
      <x:c r="AE5664" s="87" t="str">
        <x:v>TASK</x:v>
      </x:c>
      <x:c r="AF5664" s="87" t="str">
        <x:v>VIS-EGKR-SOC-W25-TASK-952-P007: 7</x:v>
      </x:c>
      <x:c r="AG5664" s="87" t="str">
        <x:v>RESOLVED</x:v>
      </x:c>
      <x:c r="AH5664" s="87" t="str">
        <x:v>CROP_VERIFIED</x:v>
      </x:c>
      <x:c r="AI5664" s="30"/>
      <x:c r="AJ5664" s="87" t="str">
        <x:v>clean</x:v>
      </x:c>
      <x:c r="AK5664" s="87" t="str">
        <x:v>clean-v0.16</x:v>
      </x:c>
      <x:c r="AL5664" s="87" t="str">
        <x:v>statgrad_clean_continuation_v0_16(1).xlsx</x:v>
      </x:c>
      <x:c r="AM5664" s="87" t="str">
        <x:v>SOC_EGKR_952</x:v>
      </x:c>
      <x:c r="AN5664" s="87" t="n">
        <x:v>26</x:v>
      </x:c>
    </x:row>
    <x:row r="5665">
      <x:c r="A5665" s="87" t="n">
        <x:v>5664</x:v>
      </x:c>
      <x:c r="B5665" s="87" t="str">
        <x:v>EGKR-W25-SOC-953-01</x:v>
      </x:c>
      <x:c r="C5665" s="87" t="str">
        <x:v>ЕГКР</x:v>
      </x:c>
      <x:c r="D5665" s="87"/>
      <x:c r="E5665" s="87" t="str">
        <x:v>Зима 2025</x:v>
      </x:c>
      <x:c r="F5665" s="87" t="str">
        <x:v>18.12.2025</x:v>
      </x:c>
      <x:c r="G5665" s="87" t="str">
        <x:v>Обществознание</x:v>
      </x:c>
      <x:c r="H5665" s="87" t="n">
        <x:v>11</x:v>
      </x:c>
      <x:c r="I5665" s="87"/>
      <x:c r="J5665" s="87" t="str">
        <x:v>953</x:v>
      </x:c>
      <x:c r="K5665" s="87" t="n">
        <x:v>1</x:v>
      </x:c>
      <x:c r="L5665" s="87" t="str">
        <x:v>Краткий ответ</x:v>
      </x:c>
      <x:c r="M5665" s="30" t="str">
        <x:v>Найти два дохода семьи, не относящиеся к денежным доходам домохозяйства.</x:v>
      </x:c>
      <x:c r="N5665" s="30" t="str">
        <x:v>34</x:v>
      </x:c>
      <x:c r="O5665" s="30" t="str">
        <x:v>Позиции проверены по определениям и нормам обществоведческого курса; итоговая последовательность: 34.</x:v>
      </x:c>
      <x:c r="P5665" s="30" t="str">
        <x:v>Проверено по формулировке задания, обществоведческим определениям и нормам.</x:v>
      </x:c>
      <x:c r="Q5665" s="30"/>
      <x:c r="R5665" s="30"/>
      <x:c r="S5665" s="30" t="str">
        <x:v>Ответы (3).docx — вторичный источник</x:v>
      </x:c>
      <x:c r="T5665" s="30"/>
      <x:c r="U5665" s="30" t="str">
        <x:v>Ответник совпадает с независимой проверкой.</x:v>
      </x:c>
      <x:c r="V5665" s="87" t="str">
        <x:v>VERIFIED</x:v>
      </x:c>
      <x:c r="W5665" s="87"/>
      <x:c r="X5665" s="87"/>
      <x:c r="Y5665" s="87" t="n">
        <x:v>1</x:v>
      </x:c>
      <x:c r="Z5665" s="87" t="n">
        <x:v>1</x:v>
      </x:c>
      <x:c r="AA5665" s="87"/>
      <x:c r="AB5665" s="87"/>
      <x:c r="AC5665" s="87" t="str">
        <x:v>VIS-EGKR-SOC-W25-TASK-953-P001</x:v>
      </x:c>
      <x:c r="AD5665" s="87" t="str">
        <x:v>VIS-EGKR-SOC-W25-ANSWERDOC-P004</x:v>
      </x:c>
      <x:c r="AE5665" s="87" t="str">
        <x:v>TASK; SECONDARY_ANSWER_SOURCE</x:v>
      </x:c>
      <x:c r="AF5665" s="87" t="str">
        <x:v>VIS-EGKR-SOC-W25-TASK-953-P001: 1; VIS-EGKR-SOC-W25-ANSWERDOC-P004: 4</x:v>
      </x:c>
      <x:c r="AG5665" s="87" t="str">
        <x:v>RESOLVED</x:v>
      </x:c>
      <x:c r="AH5665" s="87" t="str">
        <x:v>CROP_VERIFIED</x:v>
      </x:c>
      <x:c r="AI5665" s="30"/>
      <x:c r="AJ5665" s="87" t="str">
        <x:v>clean</x:v>
      </x:c>
      <x:c r="AK5665" s="87" t="str">
        <x:v>clean-v0.16</x:v>
      </x:c>
      <x:c r="AL5665" s="87" t="str">
        <x:v>statgrad_clean_continuation_v0_16(1).xlsx</x:v>
      </x:c>
      <x:c r="AM5665" s="87" t="str">
        <x:v>SOC_EGKR_953</x:v>
      </x:c>
      <x:c r="AN5665" s="87" t="n">
        <x:v>2</x:v>
      </x:c>
    </x:row>
    <x:row r="5666">
      <x:c r="A5666" s="87" t="n">
        <x:v>5665</x:v>
      </x:c>
      <x:c r="B5666" s="87" t="str">
        <x:v>EGKR-W25-SOC-953-02</x:v>
      </x:c>
      <x:c r="C5666" s="87" t="str">
        <x:v>ЕГКР</x:v>
      </x:c>
      <x:c r="D5666" s="87"/>
      <x:c r="E5666" s="87" t="str">
        <x:v>Зима 2025</x:v>
      </x:c>
      <x:c r="F5666" s="87" t="str">
        <x:v>18.12.2025</x:v>
      </x:c>
      <x:c r="G5666" s="87" t="str">
        <x:v>Обществознание</x:v>
      </x:c>
      <x:c r="H5666" s="87" t="n">
        <x:v>11</x:v>
      </x:c>
      <x:c r="I5666" s="87"/>
      <x:c r="J5666" s="87" t="str">
        <x:v>953</x:v>
      </x:c>
      <x:c r="K5666" s="87" t="n">
        <x:v>2</x:v>
      </x:c>
      <x:c r="L5666" s="87" t="str">
        <x:v>Краткий ответ</x:v>
      </x:c>
      <x:c r="M5666" s="30" t="str">
        <x:v>Выбрать верные суждения о морали, достоинстве и нравственных нормах.</x:v>
      </x:c>
      <x:c r="N5666" s="30" t="str">
        <x:v>123</x:v>
      </x:c>
      <x:c r="O5666" s="30" t="str">
        <x:v>Мораль выполняет оценочную и регулирующую функции; достоинство относится к нравственным категориям.</x:v>
      </x:c>
      <x:c r="P5666" s="30" t="str">
        <x:v>Проверено по формулировке задания, обществоведческим определениям и нормам.</x:v>
      </x:c>
      <x:c r="Q5666" s="30"/>
      <x:c r="R5666" s="30"/>
      <x:c r="S5666" s="30" t="str">
        <x:v>Ответы (3).docx — вторичный источник</x:v>
      </x:c>
      <x:c r="T5666" s="30"/>
      <x:c r="U5666" s="30" t="str">
        <x:v>Ответник: 13; независимое решение: 123.</x:v>
      </x:c>
      <x:c r="V5666" s="87" t="str">
        <x:v>KEY_MISMATCH</x:v>
      </x:c>
      <x:c r="W5666" s="87"/>
      <x:c r="X5666" s="87"/>
      <x:c r="Y5666" s="87" t="n">
        <x:v>1</x:v>
      </x:c>
      <x:c r="Z5666" s="87" t="n">
        <x:v>1</x:v>
      </x:c>
      <x:c r="AA5666" s="87"/>
      <x:c r="AB5666" s="87"/>
      <x:c r="AC5666" s="87" t="str">
        <x:v>VIS-EGKR-SOC-W25-TASK-953-P001</x:v>
      </x:c>
      <x:c r="AD5666" s="87" t="str">
        <x:v>VIS-EGKR-SOC-W25-ANSWERDOC-P004</x:v>
      </x:c>
      <x:c r="AE5666" s="87" t="str">
        <x:v>TASK; SECONDARY_ANSWER_SOURCE</x:v>
      </x:c>
      <x:c r="AF5666" s="87" t="str">
        <x:v>VIS-EGKR-SOC-W25-TASK-953-P001: 1; VIS-EGKR-SOC-W25-ANSWERDOC-P004: 4</x:v>
      </x:c>
      <x:c r="AG5666" s="87" t="str">
        <x:v>RESOLVED</x:v>
      </x:c>
      <x:c r="AH5666" s="87" t="str">
        <x:v>CROP_VERIFIED</x:v>
      </x:c>
      <x:c r="AI5666" s="30"/>
      <x:c r="AJ5666" s="87" t="str">
        <x:v>clean</x:v>
      </x:c>
      <x:c r="AK5666" s="87" t="str">
        <x:v>clean-v0.16</x:v>
      </x:c>
      <x:c r="AL5666" s="87" t="str">
        <x:v>statgrad_clean_continuation_v0_16(1).xlsx</x:v>
      </x:c>
      <x:c r="AM5666" s="87" t="str">
        <x:v>SOC_EGKR_953</x:v>
      </x:c>
      <x:c r="AN5666" s="87" t="n">
        <x:v>3</x:v>
      </x:c>
    </x:row>
    <x:row r="5667">
      <x:c r="A5667" s="87" t="n">
        <x:v>5666</x:v>
      </x:c>
      <x:c r="B5667" s="87" t="str">
        <x:v>EGKR-W25-SOC-953-03</x:v>
      </x:c>
      <x:c r="C5667" s="87" t="str">
        <x:v>ЕГКР</x:v>
      </x:c>
      <x:c r="D5667" s="87"/>
      <x:c r="E5667" s="87" t="str">
        <x:v>Зима 2025</x:v>
      </x:c>
      <x:c r="F5667" s="87" t="str">
        <x:v>18.12.2025</x:v>
      </x:c>
      <x:c r="G5667" s="87" t="str">
        <x:v>Обществознание</x:v>
      </x:c>
      <x:c r="H5667" s="87" t="n">
        <x:v>11</x:v>
      </x:c>
      <x:c r="I5667" s="87"/>
      <x:c r="J5667" s="87" t="str">
        <x:v>953</x:v>
      </x:c>
      <x:c r="K5667" s="87" t="n">
        <x:v>3</x:v>
      </x:c>
      <x:c r="L5667" s="87" t="str">
        <x:v>Краткий ответ</x:v>
      </x:c>
      <x:c r="M5667" s="30" t="str">
        <x:v>Соотнести характеристики с индукцией, дедукцией, сравнением и анализом.</x:v>
      </x:c>
      <x:c r="N5667" s="30" t="str">
        <x:v>24431</x:v>
      </x:c>
      <x:c r="O5667" s="30" t="str">
        <x:v>Позиции проверены по определениям и нормам обществоведческого курса; итоговая последовательность: 24431.</x:v>
      </x:c>
      <x:c r="P5667" s="30" t="str">
        <x:v>Проверено по формулировке задания, обществоведческим определениям и нормам.</x:v>
      </x:c>
      <x:c r="Q5667" s="30"/>
      <x:c r="R5667" s="30"/>
      <x:c r="S5667" s="30" t="str">
        <x:v>Ответы (3).docx — вторичный источник</x:v>
      </x:c>
      <x:c r="T5667" s="30"/>
      <x:c r="U5667" s="30" t="str">
        <x:v>Ответник совпадает с независимой проверкой.</x:v>
      </x:c>
      <x:c r="V5667" s="87" t="str">
        <x:v>VERIFIED</x:v>
      </x:c>
      <x:c r="W5667" s="87"/>
      <x:c r="X5667" s="87"/>
      <x:c r="Y5667" s="87" t="n">
        <x:v>2</x:v>
      </x:c>
      <x:c r="Z5667" s="87" t="n">
        <x:v>5</x:v>
      </x:c>
      <x:c r="AA5667" s="87"/>
      <x:c r="AB5667" s="87"/>
      <x:c r="AC5667" s="87" t="str">
        <x:v>VIS-EGKR-SOC-W25-TASK-953-P005</x:v>
      </x:c>
      <x:c r="AD5667" s="87" t="str">
        <x:v>VIS-EGKR-SOC-W25-ANSWERDOC-P004</x:v>
      </x:c>
      <x:c r="AE5667" s="87" t="str">
        <x:v>TASK; SECONDARY_ANSWER_SOURCE</x:v>
      </x:c>
      <x:c r="AF5667" s="87" t="str">
        <x:v>VIS-EGKR-SOC-W25-TASK-953-P005: 5; VIS-EGKR-SOC-W25-ANSWERDOC-P004: 4</x:v>
      </x:c>
      <x:c r="AG5667" s="87" t="str">
        <x:v>RESOLVED</x:v>
      </x:c>
      <x:c r="AH5667" s="87" t="str">
        <x:v>CROP_VERIFIED</x:v>
      </x:c>
      <x:c r="AI5667" s="30"/>
      <x:c r="AJ5667" s="87" t="str">
        <x:v>clean</x:v>
      </x:c>
      <x:c r="AK5667" s="87" t="str">
        <x:v>clean-v0.16</x:v>
      </x:c>
      <x:c r="AL5667" s="87" t="str">
        <x:v>statgrad_clean_continuation_v0_16(1).xlsx</x:v>
      </x:c>
      <x:c r="AM5667" s="87" t="str">
        <x:v>SOC_EGKR_953</x:v>
      </x:c>
      <x:c r="AN5667" s="87" t="n">
        <x:v>4</x:v>
      </x:c>
    </x:row>
    <x:row r="5668">
      <x:c r="A5668" s="87" t="n">
        <x:v>5667</x:v>
      </x:c>
      <x:c r="B5668" s="87" t="str">
        <x:v>EGKR-W25-SOC-953-04</x:v>
      </x:c>
      <x:c r="C5668" s="87" t="str">
        <x:v>ЕГКР</x:v>
      </x:c>
      <x:c r="D5668" s="87"/>
      <x:c r="E5668" s="87" t="str">
        <x:v>Зима 2025</x:v>
      </x:c>
      <x:c r="F5668" s="87" t="str">
        <x:v>18.12.2025</x:v>
      </x:c>
      <x:c r="G5668" s="87" t="str">
        <x:v>Обществознание</x:v>
      </x:c>
      <x:c r="H5668" s="87" t="n">
        <x:v>11</x:v>
      </x:c>
      <x:c r="I5668" s="87"/>
      <x:c r="J5668" s="87" t="str">
        <x:v>953</x:v>
      </x:c>
      <x:c r="K5668" s="87" t="n">
        <x:v>4</x:v>
      </x:c>
      <x:c r="L5668" s="87" t="str">
        <x:v>Краткий ответ</x:v>
      </x:c>
      <x:c r="M5668" s="30" t="str">
        <x:v>Выбрать традиционные российские духовно-нравственные ценности.</x:v>
      </x:c>
      <x:c r="N5668" s="30" t="str">
        <x:v>134</x:v>
      </x:c>
      <x:c r="O5668" s="30" t="str">
        <x:v>Позиции проверены по определениям и нормам обществоведческого курса; итоговая последовательность: 134.</x:v>
      </x:c>
      <x:c r="P5668" s="30" t="str">
        <x:v>Проверено по формулировке задания, обществоведческим определениям и нормам.</x:v>
      </x:c>
      <x:c r="Q5668" s="30"/>
      <x:c r="R5668" s="30"/>
      <x:c r="S5668" s="30" t="str">
        <x:v>Ответы (3).docx — вторичный источник</x:v>
      </x:c>
      <x:c r="T5668" s="30"/>
      <x:c r="U5668" s="30" t="str">
        <x:v>Ответник совпадает с независимой проверкой.</x:v>
      </x:c>
      <x:c r="V5668" s="87" t="str">
        <x:v>VERIFIED</x:v>
      </x:c>
      <x:c r="W5668" s="87"/>
      <x:c r="X5668" s="87"/>
      <x:c r="Y5668" s="87" t="n">
        <x:v>2</x:v>
      </x:c>
      <x:c r="Z5668" s="87" t="n">
        <x:v>5</x:v>
      </x:c>
      <x:c r="AA5668" s="87"/>
      <x:c r="AB5668" s="87"/>
      <x:c r="AC5668" s="87" t="str">
        <x:v>VIS-EGKR-SOC-W25-TASK-953-P005</x:v>
      </x:c>
      <x:c r="AD5668" s="87" t="str">
        <x:v>VIS-EGKR-SOC-W25-ANSWERDOC-P004</x:v>
      </x:c>
      <x:c r="AE5668" s="87" t="str">
        <x:v>TASK; SECONDARY_ANSWER_SOURCE</x:v>
      </x:c>
      <x:c r="AF5668" s="87" t="str">
        <x:v>VIS-EGKR-SOC-W25-TASK-953-P005: 5; VIS-EGKR-SOC-W25-ANSWERDOC-P004: 4</x:v>
      </x:c>
      <x:c r="AG5668" s="87" t="str">
        <x:v>RESOLVED</x:v>
      </x:c>
      <x:c r="AH5668" s="87" t="str">
        <x:v>CROP_VERIFIED</x:v>
      </x:c>
      <x:c r="AI5668" s="30"/>
      <x:c r="AJ5668" s="87" t="str">
        <x:v>clean</x:v>
      </x:c>
      <x:c r="AK5668" s="87" t="str">
        <x:v>clean-v0.16</x:v>
      </x:c>
      <x:c r="AL5668" s="87" t="str">
        <x:v>statgrad_clean_continuation_v0_16(1).xlsx</x:v>
      </x:c>
      <x:c r="AM5668" s="87" t="str">
        <x:v>SOC_EGKR_953</x:v>
      </x:c>
      <x:c r="AN5668" s="87" t="n">
        <x:v>5</x:v>
      </x:c>
    </x:row>
    <x:row r="5669">
      <x:c r="A5669" s="87" t="n">
        <x:v>5668</x:v>
      </x:c>
      <x:c r="B5669" s="87" t="str">
        <x:v>EGKR-W25-SOC-953-05</x:v>
      </x:c>
      <x:c r="C5669" s="87" t="str">
        <x:v>ЕГКР</x:v>
      </x:c>
      <x:c r="D5669" s="87"/>
      <x:c r="E5669" s="87" t="str">
        <x:v>Зима 2025</x:v>
      </x:c>
      <x:c r="F5669" s="87" t="str">
        <x:v>18.12.2025</x:v>
      </x:c>
      <x:c r="G5669" s="87" t="str">
        <x:v>Обществознание</x:v>
      </x:c>
      <x:c r="H5669" s="87" t="n">
        <x:v>11</x:v>
      </x:c>
      <x:c r="I5669" s="87"/>
      <x:c r="J5669" s="87" t="str">
        <x:v>953</x:v>
      </x:c>
      <x:c r="K5669" s="87" t="n">
        <x:v>5</x:v>
      </x:c>
      <x:c r="L5669" s="87" t="str">
        <x:v>Краткий ответ</x:v>
      </x:c>
      <x:c r="M5669" s="30" t="str">
        <x:v>Выбрать верные суждения об экономическом росте и экономическом развитии.</x:v>
      </x:c>
      <x:c r="N5669" s="30" t="str">
        <x:v>14</x:v>
      </x:c>
      <x:c r="O5669" s="30" t="str">
        <x:v>Экстенсивный рост связан с увеличением ресурсов, интенсивный — с производительностью; тезис о создании ресурсов самим ростом неверен.</x:v>
      </x:c>
      <x:c r="P5669" s="30" t="str">
        <x:v>Проверено по формулировке задания, обществоведческим определениям и нормам.</x:v>
      </x:c>
      <x:c r="Q5669" s="30"/>
      <x:c r="R5669" s="30"/>
      <x:c r="S5669" s="30" t="str">
        <x:v>Ответы (3).docx — вторичный источник</x:v>
      </x:c>
      <x:c r="T5669" s="30"/>
      <x:c r="U5669" s="30" t="str">
        <x:v>Ответник: 145; независимое решение: 14.</x:v>
      </x:c>
      <x:c r="V5669" s="87" t="str">
        <x:v>KEY_MISMATCH</x:v>
      </x:c>
      <x:c r="W5669" s="87"/>
      <x:c r="X5669" s="87"/>
      <x:c r="Y5669" s="87" t="n">
        <x:v>2</x:v>
      </x:c>
      <x:c r="Z5669" s="87" t="n">
        <x:v>5</x:v>
      </x:c>
      <x:c r="AA5669" s="87"/>
      <x:c r="AB5669" s="87"/>
      <x:c r="AC5669" s="87" t="str">
        <x:v>VIS-EGKR-SOC-W25-TASK-953-P005</x:v>
      </x:c>
      <x:c r="AD5669" s="87" t="str">
        <x:v>VIS-EGKR-SOC-W25-ANSWERDOC-P004</x:v>
      </x:c>
      <x:c r="AE5669" s="87" t="str">
        <x:v>TASK; SECONDARY_ANSWER_SOURCE</x:v>
      </x:c>
      <x:c r="AF5669" s="87" t="str">
        <x:v>VIS-EGKR-SOC-W25-TASK-953-P005: 5; VIS-EGKR-SOC-W25-ANSWERDOC-P004: 4</x:v>
      </x:c>
      <x:c r="AG5669" s="87" t="str">
        <x:v>RESOLVED</x:v>
      </x:c>
      <x:c r="AH5669" s="87" t="str">
        <x:v>CROP_VERIFIED</x:v>
      </x:c>
      <x:c r="AI5669" s="30"/>
      <x:c r="AJ5669" s="87" t="str">
        <x:v>clean</x:v>
      </x:c>
      <x:c r="AK5669" s="87" t="str">
        <x:v>clean-v0.16</x:v>
      </x:c>
      <x:c r="AL5669" s="87" t="str">
        <x:v>statgrad_clean_continuation_v0_16(1).xlsx</x:v>
      </x:c>
      <x:c r="AM5669" s="87" t="str">
        <x:v>SOC_EGKR_953</x:v>
      </x:c>
      <x:c r="AN5669" s="87" t="n">
        <x:v>6</x:v>
      </x:c>
    </x:row>
    <x:row r="5670">
      <x:c r="A5670" s="87" t="n">
        <x:v>5669</x:v>
      </x:c>
      <x:c r="B5670" s="87" t="str">
        <x:v>EGKR-W25-SOC-953-06</x:v>
      </x:c>
      <x:c r="C5670" s="87" t="str">
        <x:v>ЕГКР</x:v>
      </x:c>
      <x:c r="D5670" s="87"/>
      <x:c r="E5670" s="87" t="str">
        <x:v>Зима 2025</x:v>
      </x:c>
      <x:c r="F5670" s="87" t="str">
        <x:v>18.12.2025</x:v>
      </x:c>
      <x:c r="G5670" s="87" t="str">
        <x:v>Обществознание</x:v>
      </x:c>
      <x:c r="H5670" s="87" t="n">
        <x:v>11</x:v>
      </x:c>
      <x:c r="I5670" s="87"/>
      <x:c r="J5670" s="87" t="str">
        <x:v>953</x:v>
      </x:c>
      <x:c r="K5670" s="87" t="n">
        <x:v>6</x:v>
      </x:c>
      <x:c r="L5670" s="87" t="str">
        <x:v>Краткий ответ</x:v>
      </x:c>
      <x:c r="M5670" s="30" t="str">
        <x:v>Соотнести ситуации с фрикционной, сезонной, структурной и циклической безработицей.</x:v>
      </x:c>
      <x:c r="N5670" s="30" t="str">
        <x:v>43121</x:v>
      </x:c>
      <x:c r="O5670" s="30" t="str">
        <x:v>Позиции проверены по определениям и нормам обществоведческого курса; итоговая последовательность: 43121.</x:v>
      </x:c>
      <x:c r="P5670" s="30" t="str">
        <x:v>Проверено по формулировке задания, обществоведческим определениям и нормам.</x:v>
      </x:c>
      <x:c r="Q5670" s="30"/>
      <x:c r="R5670" s="30"/>
      <x:c r="S5670" s="30" t="str">
        <x:v>Ответы (3).docx — вторичный источник</x:v>
      </x:c>
      <x:c r="T5670" s="30"/>
      <x:c r="U5670" s="30" t="str">
        <x:v>Ответник совпадает с независимой проверкой.</x:v>
      </x:c>
      <x:c r="V5670" s="87" t="str">
        <x:v>VERIFIED</x:v>
      </x:c>
      <x:c r="W5670" s="87"/>
      <x:c r="X5670" s="87"/>
      <x:c r="Y5670" s="87" t="n">
        <x:v>2</x:v>
      </x:c>
      <x:c r="Z5670" s="87" t="n">
        <x:v>5</x:v>
      </x:c>
      <x:c r="AA5670" s="87"/>
      <x:c r="AB5670" s="87"/>
      <x:c r="AC5670" s="87" t="str">
        <x:v>VIS-EGKR-SOC-W25-TASK-953-P005</x:v>
      </x:c>
      <x:c r="AD5670" s="87" t="str">
        <x:v>VIS-EGKR-SOC-W25-ANSWERDOC-P004</x:v>
      </x:c>
      <x:c r="AE5670" s="87" t="str">
        <x:v>TASK; SECONDARY_ANSWER_SOURCE</x:v>
      </x:c>
      <x:c r="AF5670" s="87" t="str">
        <x:v>VIS-EGKR-SOC-W25-TASK-953-P005: 5; VIS-EGKR-SOC-W25-ANSWERDOC-P004: 4</x:v>
      </x:c>
      <x:c r="AG5670" s="87" t="str">
        <x:v>RESOLVED</x:v>
      </x:c>
      <x:c r="AH5670" s="87" t="str">
        <x:v>CROP_VERIFIED</x:v>
      </x:c>
      <x:c r="AI5670" s="30"/>
      <x:c r="AJ5670" s="87" t="str">
        <x:v>clean</x:v>
      </x:c>
      <x:c r="AK5670" s="87" t="str">
        <x:v>clean-v0.16</x:v>
      </x:c>
      <x:c r="AL5670" s="87" t="str">
        <x:v>statgrad_clean_continuation_v0_16(1).xlsx</x:v>
      </x:c>
      <x:c r="AM5670" s="87" t="str">
        <x:v>SOC_EGKR_953</x:v>
      </x:c>
      <x:c r="AN5670" s="87" t="n">
        <x:v>7</x:v>
      </x:c>
    </x:row>
    <x:row r="5671">
      <x:c r="A5671" s="87" t="n">
        <x:v>5670</x:v>
      </x:c>
      <x:c r="B5671" s="87" t="str">
        <x:v>EGKR-W25-SOC-953-07</x:v>
      </x:c>
      <x:c r="C5671" s="87" t="str">
        <x:v>ЕГКР</x:v>
      </x:c>
      <x:c r="D5671" s="87"/>
      <x:c r="E5671" s="87" t="str">
        <x:v>Зима 2025</x:v>
      </x:c>
      <x:c r="F5671" s="87" t="str">
        <x:v>18.12.2025</x:v>
      </x:c>
      <x:c r="G5671" s="87" t="str">
        <x:v>Обществознание</x:v>
      </x:c>
      <x:c r="H5671" s="87" t="n">
        <x:v>11</x:v>
      </x:c>
      <x:c r="I5671" s="87"/>
      <x:c r="J5671" s="87" t="str">
        <x:v>953</x:v>
      </x:c>
      <x:c r="K5671" s="87" t="n">
        <x:v>7</x:v>
      </x:c>
      <x:c r="L5671" s="87" t="str">
        <x:v>Краткий ответ</x:v>
      </x:c>
      <x:c r="M5671" s="30" t="str">
        <x:v>Выбрать региональные налоги Российской Федерации.</x:v>
      </x:c>
      <x:c r="N5671" s="30" t="str">
        <x:v>245</x:v>
      </x:c>
      <x:c r="O5671" s="30" t="str">
        <x:v>Региональными являются налог на игорный бизнес, транспортный налог и налог на имущество организаций.</x:v>
      </x:c>
      <x:c r="P5671" s="30" t="str">
        <x:v>Проверено по формулировке задания, обществоведческим определениям и нормам.</x:v>
      </x:c>
      <x:c r="Q5671" s="30"/>
      <x:c r="R5671" s="30"/>
      <x:c r="S5671" s="30" t="str">
        <x:v>Ответы (3).docx — вторичный источник</x:v>
      </x:c>
      <x:c r="T5671" s="30"/>
      <x:c r="U5671" s="30" t="str">
        <x:v>Ответник: 45; независимое решение: 245.</x:v>
      </x:c>
      <x:c r="V5671" s="87" t="str">
        <x:v>KEY_MISMATCH</x:v>
      </x:c>
      <x:c r="W5671" s="87"/>
      <x:c r="X5671" s="87"/>
      <x:c r="Y5671" s="87" t="n">
        <x:v>3</x:v>
      </x:c>
      <x:c r="Z5671" s="87" t="n">
        <x:v>4</x:v>
      </x:c>
      <x:c r="AA5671" s="87"/>
      <x:c r="AB5671" s="87"/>
      <x:c r="AC5671" s="87" t="str">
        <x:v>VIS-EGKR-SOC-W25-TASK-953-P004</x:v>
      </x:c>
      <x:c r="AD5671" s="87" t="str">
        <x:v>VIS-EGKR-SOC-W25-ANSWERDOC-P004</x:v>
      </x:c>
      <x:c r="AE5671" s="87" t="str">
        <x:v>TASK; SECONDARY_ANSWER_SOURCE</x:v>
      </x:c>
      <x:c r="AF5671" s="87" t="str">
        <x:v>VIS-EGKR-SOC-W25-TASK-953-P004: 4; VIS-EGKR-SOC-W25-ANSWERDOC-P004: 4</x:v>
      </x:c>
      <x:c r="AG5671" s="87" t="str">
        <x:v>RESOLVED</x:v>
      </x:c>
      <x:c r="AH5671" s="87" t="str">
        <x:v>CROP_VERIFIED</x:v>
      </x:c>
      <x:c r="AI5671" s="30"/>
      <x:c r="AJ5671" s="87" t="str">
        <x:v>clean</x:v>
      </x:c>
      <x:c r="AK5671" s="87" t="str">
        <x:v>clean-v0.16</x:v>
      </x:c>
      <x:c r="AL5671" s="87" t="str">
        <x:v>statgrad_clean_continuation_v0_16(1).xlsx</x:v>
      </x:c>
      <x:c r="AM5671" s="87" t="str">
        <x:v>SOC_EGKR_953</x:v>
      </x:c>
      <x:c r="AN5671" s="87" t="n">
        <x:v>8</x:v>
      </x:c>
    </x:row>
    <x:row r="5672">
      <x:c r="A5672" s="87" t="n">
        <x:v>5671</x:v>
      </x:c>
      <x:c r="B5672" s="87" t="str">
        <x:v>EGKR-W25-SOC-953-08</x:v>
      </x:c>
      <x:c r="C5672" s="87" t="str">
        <x:v>ЕГКР</x:v>
      </x:c>
      <x:c r="D5672" s="87"/>
      <x:c r="E5672" s="87" t="str">
        <x:v>Зима 2025</x:v>
      </x:c>
      <x:c r="F5672" s="87" t="str">
        <x:v>18.12.2025</x:v>
      </x:c>
      <x:c r="G5672" s="87" t="str">
        <x:v>Обществознание</x:v>
      </x:c>
      <x:c r="H5672" s="87" t="n">
        <x:v>11</x:v>
      </x:c>
      <x:c r="I5672" s="87"/>
      <x:c r="J5672" s="87" t="str">
        <x:v>953</x:v>
      </x:c>
      <x:c r="K5672" s="87" t="n">
        <x:v>8</x:v>
      </x:c>
      <x:c r="L5672" s="87" t="str">
        <x:v>Краткий ответ</x:v>
      </x:c>
      <x:c r="M5672" s="30" t="str">
        <x:v>Выбрать верные суждения о девиации, социальных нормах и социальном контроле.</x:v>
      </x:c>
      <x:c r="N5672" s="30" t="str">
        <x:v>345</x:v>
      </x:c>
      <x:c r="O5672" s="30" t="str">
        <x:v>Позиции проверены по определениям и нормам обществоведческого курса; итоговая последовательность: 345.</x:v>
      </x:c>
      <x:c r="P5672" s="30" t="str">
        <x:v>Проверено по формулировке задания, обществоведческим определениям и нормам.</x:v>
      </x:c>
      <x:c r="Q5672" s="30"/>
      <x:c r="R5672" s="30"/>
      <x:c r="S5672" s="30" t="str">
        <x:v>Ответы (3).docx — вторичный источник</x:v>
      </x:c>
      <x:c r="T5672" s="30"/>
      <x:c r="U5672" s="30" t="str">
        <x:v>Ответник совпадает с независимой проверкой.</x:v>
      </x:c>
      <x:c r="V5672" s="87" t="str">
        <x:v>VERIFIED</x:v>
      </x:c>
      <x:c r="W5672" s="87"/>
      <x:c r="X5672" s="87"/>
      <x:c r="Y5672" s="87" t="n">
        <x:v>3</x:v>
      </x:c>
      <x:c r="Z5672" s="87" t="n">
        <x:v>4</x:v>
      </x:c>
      <x:c r="AA5672" s="87"/>
      <x:c r="AB5672" s="87"/>
      <x:c r="AC5672" s="87" t="str">
        <x:v>VIS-EGKR-SOC-W25-TASK-953-P004</x:v>
      </x:c>
      <x:c r="AD5672" s="87" t="str">
        <x:v>VIS-EGKR-SOC-W25-ANSWERDOC-P004</x:v>
      </x:c>
      <x:c r="AE5672" s="87" t="str">
        <x:v>TASK; SECONDARY_ANSWER_SOURCE</x:v>
      </x:c>
      <x:c r="AF5672" s="87" t="str">
        <x:v>VIS-EGKR-SOC-W25-TASK-953-P004: 4; VIS-EGKR-SOC-W25-ANSWERDOC-P004: 4</x:v>
      </x:c>
      <x:c r="AG5672" s="87" t="str">
        <x:v>RESOLVED</x:v>
      </x:c>
      <x:c r="AH5672" s="87" t="str">
        <x:v>CROP_VERIFIED</x:v>
      </x:c>
      <x:c r="AI5672" s="30"/>
      <x:c r="AJ5672" s="87" t="str">
        <x:v>clean</x:v>
      </x:c>
      <x:c r="AK5672" s="87" t="str">
        <x:v>clean-v0.16</x:v>
      </x:c>
      <x:c r="AL5672" s="87" t="str">
        <x:v>statgrad_clean_continuation_v0_16(1).xlsx</x:v>
      </x:c>
      <x:c r="AM5672" s="87" t="str">
        <x:v>SOC_EGKR_953</x:v>
      </x:c>
      <x:c r="AN5672" s="87" t="n">
        <x:v>9</x:v>
      </x:c>
    </x:row>
    <x:row r="5673">
      <x:c r="A5673" s="87" t="n">
        <x:v>5672</x:v>
      </x:c>
      <x:c r="B5673" s="87" t="str">
        <x:v>EGKR-W25-SOC-953-09</x:v>
      </x:c>
      <x:c r="C5673" s="87" t="str">
        <x:v>ЕГКР</x:v>
      </x:c>
      <x:c r="D5673" s="87"/>
      <x:c r="E5673" s="87" t="str">
        <x:v>Зима 2025</x:v>
      </x:c>
      <x:c r="F5673" s="87" t="str">
        <x:v>18.12.2025</x:v>
      </x:c>
      <x:c r="G5673" s="87" t="str">
        <x:v>Обществознание</x:v>
      </x:c>
      <x:c r="H5673" s="87" t="n">
        <x:v>11</x:v>
      </x:c>
      <x:c r="I5673" s="87"/>
      <x:c r="J5673" s="87" t="str">
        <x:v>953</x:v>
      </x:c>
      <x:c r="K5673" s="87" t="n">
        <x:v>9</x:v>
      </x:c>
      <x:c r="L5673" s="87" t="str">
        <x:v>Краткий ответ</x:v>
      </x:c>
      <x:c r="M5673" s="30" t="str">
        <x:v>Проанализировать диаграмму профессиональных предпочтений юношей и девушек.</x:v>
      </x:c>
      <x:c r="N5673" s="30" t="str">
        <x:v>234</x:v>
      </x:c>
      <x:c r="O5673" s="30" t="str">
        <x:v>По диаграмме верны сравнения 2, 3 и 4.</x:v>
      </x:c>
      <x:c r="P5673" s="30" t="str">
        <x:v>Проверено по формулировке задания, обществоведческим определениям и нормам.</x:v>
      </x:c>
      <x:c r="Q5673" s="30"/>
      <x:c r="R5673" s="30"/>
      <x:c r="S5673" s="30" t="str">
        <x:v>Ответы (3).docx — вторичный источник</x:v>
      </x:c>
      <x:c r="T5673" s="30"/>
      <x:c r="U5673" s="30" t="str">
        <x:v>Ответ отсутствует в приложенном DOCX; восстановлен независимым решением.</x:v>
      </x:c>
      <x:c r="V5673" s="87" t="str">
        <x:v>SOURCE_GAP_RECOVERED</x:v>
      </x:c>
      <x:c r="W5673" s="87"/>
      <x:c r="X5673" s="87"/>
      <x:c r="Y5673" s="87" t="n">
        <x:v>3</x:v>
      </x:c>
      <x:c r="Z5673" s="87" t="n">
        <x:v>4</x:v>
      </x:c>
      <x:c r="AA5673" s="87"/>
      <x:c r="AB5673" s="87"/>
      <x:c r="AC5673" s="87" t="str">
        <x:v>VIS-EGKR-SOC-W25-TASK-953-P004</x:v>
      </x:c>
      <x:c r="AD5673" s="87" t="str">
        <x:v>VIS-EGKR-SOC-W25-ANSWERDOC-P004</x:v>
      </x:c>
      <x:c r="AE5673" s="87" t="str">
        <x:v>TASK; SECONDARY_ANSWER_SOURCE</x:v>
      </x:c>
      <x:c r="AF5673" s="87" t="str">
        <x:v>VIS-EGKR-SOC-W25-TASK-953-P004: 4; VIS-EGKR-SOC-W25-ANSWERDOC-P004: 4</x:v>
      </x:c>
      <x:c r="AG5673" s="87" t="str">
        <x:v>RESOLVED</x:v>
      </x:c>
      <x:c r="AH5673" s="87" t="str">
        <x:v>CROP_VERIFIED; TASK_CROP_QA_APPROVED:USE_TIGHT</x:v>
      </x:c>
      <x:c r="AI5673" s="30"/>
      <x:c r="AJ5673" s="87" t="str">
        <x:v>clean</x:v>
      </x:c>
      <x:c r="AK5673" s="87" t="str">
        <x:v>clean-v0.16</x:v>
      </x:c>
      <x:c r="AL5673" s="87" t="str">
        <x:v>statgrad_clean_continuation_v0_16(1).xlsx</x:v>
      </x:c>
      <x:c r="AM5673" s="87" t="str">
        <x:v>SOC_EGKR_953</x:v>
      </x:c>
      <x:c r="AN5673" s="87" t="n">
        <x:v>10</x:v>
      </x:c>
    </x:row>
    <x:row r="5674">
      <x:c r="A5674" s="87" t="n">
        <x:v>5673</x:v>
      </x:c>
      <x:c r="B5674" s="87" t="str">
        <x:v>EGKR-W25-SOC-953-10</x:v>
      </x:c>
      <x:c r="C5674" s="87" t="str">
        <x:v>ЕГКР</x:v>
      </x:c>
      <x:c r="D5674" s="87"/>
      <x:c r="E5674" s="87" t="str">
        <x:v>Зима 2025</x:v>
      </x:c>
      <x:c r="F5674" s="87" t="str">
        <x:v>18.12.2025</x:v>
      </x:c>
      <x:c r="G5674" s="87" t="str">
        <x:v>Обществознание</x:v>
      </x:c>
      <x:c r="H5674" s="87" t="n">
        <x:v>11</x:v>
      </x:c>
      <x:c r="I5674" s="87"/>
      <x:c r="J5674" s="87" t="str">
        <x:v>953</x:v>
      </x:c>
      <x:c r="K5674" s="87" t="n">
        <x:v>10</x:v>
      </x:c>
      <x:c r="L5674" s="87" t="str">
        <x:v>Краткий ответ</x:v>
      </x:c>
      <x:c r="M5674" s="30" t="str">
        <x:v>Выбрать верные суждения о структуре и функциях политической системы.</x:v>
      </x:c>
      <x:c r="N5674" s="30" t="str">
        <x:v>12</x:v>
      </x:c>
      <x:c r="O5674" s="30" t="str">
        <x:v>Институциональная, нормативная, коммуникативная и культурно-идеологическая подсистемы входят в структуру; политическая система — совокупность институтов власти.</x:v>
      </x:c>
      <x:c r="P5674" s="30" t="str">
        <x:v>Проверено по формулировке задания, обществоведческим определениям и нормам.</x:v>
      </x:c>
      <x:c r="Q5674" s="30"/>
      <x:c r="R5674" s="30"/>
      <x:c r="S5674" s="30" t="str">
        <x:v>Ответы (3).docx — вторичный источник</x:v>
      </x:c>
      <x:c r="T5674" s="30"/>
      <x:c r="U5674" s="30" t="str">
        <x:v>Ответник: 24; независимое решение: 12.</x:v>
      </x:c>
      <x:c r="V5674" s="87" t="str">
        <x:v>KEY_MISMATCH</x:v>
      </x:c>
      <x:c r="W5674" s="87"/>
      <x:c r="X5674" s="87"/>
      <x:c r="Y5674" s="87" t="n">
        <x:v>4</x:v>
      </x:c>
      <x:c r="Z5674" s="87" t="n">
        <x:v>3</x:v>
      </x:c>
      <x:c r="AA5674" s="87"/>
      <x:c r="AB5674" s="87"/>
      <x:c r="AC5674" s="87" t="str">
        <x:v>VIS-EGKR-SOC-W25-TASK-953-P003</x:v>
      </x:c>
      <x:c r="AD5674" s="87" t="str">
        <x:v>VIS-EGKR-SOC-W25-ANSWERDOC-P004</x:v>
      </x:c>
      <x:c r="AE5674" s="87" t="str">
        <x:v>TASK; SECONDARY_ANSWER_SOURCE</x:v>
      </x:c>
      <x:c r="AF5674" s="87" t="str">
        <x:v>VIS-EGKR-SOC-W25-TASK-953-P003: 3; VIS-EGKR-SOC-W25-ANSWERDOC-P004: 4</x:v>
      </x:c>
      <x:c r="AG5674" s="87" t="str">
        <x:v>RESOLVED</x:v>
      </x:c>
      <x:c r="AH5674" s="87" t="str">
        <x:v>CROP_VERIFIED</x:v>
      </x:c>
      <x:c r="AI5674" s="30"/>
      <x:c r="AJ5674" s="87" t="str">
        <x:v>clean</x:v>
      </x:c>
      <x:c r="AK5674" s="87" t="str">
        <x:v>clean-v0.16</x:v>
      </x:c>
      <x:c r="AL5674" s="87" t="str">
        <x:v>statgrad_clean_continuation_v0_16(1).xlsx</x:v>
      </x:c>
      <x:c r="AM5674" s="87" t="str">
        <x:v>SOC_EGKR_953</x:v>
      </x:c>
      <x:c r="AN5674" s="87" t="n">
        <x:v>11</x:v>
      </x:c>
    </x:row>
    <x:row r="5675">
      <x:c r="A5675" s="87" t="n">
        <x:v>5674</x:v>
      </x:c>
      <x:c r="B5675" s="87" t="str">
        <x:v>EGKR-W25-SOC-953-11</x:v>
      </x:c>
      <x:c r="C5675" s="87" t="str">
        <x:v>ЕГКР</x:v>
      </x:c>
      <x:c r="D5675" s="87"/>
      <x:c r="E5675" s="87" t="str">
        <x:v>Зима 2025</x:v>
      </x:c>
      <x:c r="F5675" s="87" t="str">
        <x:v>18.12.2025</x:v>
      </x:c>
      <x:c r="G5675" s="87" t="str">
        <x:v>Обществознание</x:v>
      </x:c>
      <x:c r="H5675" s="87" t="n">
        <x:v>11</x:v>
      </x:c>
      <x:c r="I5675" s="87"/>
      <x:c r="J5675" s="87" t="str">
        <x:v>953</x:v>
      </x:c>
      <x:c r="K5675" s="87" t="n">
        <x:v>11</x:v>
      </x:c>
      <x:c r="L5675" s="87" t="str">
        <x:v>Краткий ответ</x:v>
      </x:c>
      <x:c r="M5675" s="30" t="str">
        <x:v>Выбрать стратегические национальные приоритеты РФ.</x:v>
      </x:c>
      <x:c r="N5675" s="30" t="str">
        <x:v>1234</x:v>
      </x:c>
      <x:c r="O5675" s="30" t="str">
        <x:v>Сбережение народа, оборона, научно-технологическое развитие и экологическая безопасность входят в стратегические приоритеты.</x:v>
      </x:c>
      <x:c r="P5675" s="30" t="str">
        <x:v>Проверено по формулировке задания, обществоведческим определениям и нормам.</x:v>
      </x:c>
      <x:c r="Q5675" s="30"/>
      <x:c r="R5675" s="30"/>
      <x:c r="S5675" s="30" t="str">
        <x:v>Ответы (3).docx — вторичный источник</x:v>
      </x:c>
      <x:c r="T5675" s="30"/>
      <x:c r="U5675" s="30" t="str">
        <x:v>Ответник: 135; независимое решение: 1234.</x:v>
      </x:c>
      <x:c r="V5675" s="87" t="str">
        <x:v>KEY_MISMATCH</x:v>
      </x:c>
      <x:c r="W5675" s="87"/>
      <x:c r="X5675" s="87"/>
      <x:c r="Y5675" s="87" t="n">
        <x:v>4</x:v>
      </x:c>
      <x:c r="Z5675" s="87" t="n">
        <x:v>3</x:v>
      </x:c>
      <x:c r="AA5675" s="87"/>
      <x:c r="AB5675" s="87"/>
      <x:c r="AC5675" s="87" t="str">
        <x:v>VIS-EGKR-SOC-W25-TASK-953-P003</x:v>
      </x:c>
      <x:c r="AD5675" s="87" t="str">
        <x:v>VIS-EGKR-SOC-W25-ANSWERDOC-P004</x:v>
      </x:c>
      <x:c r="AE5675" s="87" t="str">
        <x:v>TASK; SECONDARY_ANSWER_SOURCE</x:v>
      </x:c>
      <x:c r="AF5675" s="87" t="str">
        <x:v>VIS-EGKR-SOC-W25-TASK-953-P003: 3; VIS-EGKR-SOC-W25-ANSWERDOC-P004: 4</x:v>
      </x:c>
      <x:c r="AG5675" s="87" t="str">
        <x:v>RESOLVED</x:v>
      </x:c>
      <x:c r="AH5675" s="87" t="str">
        <x:v>CROP_VERIFIED</x:v>
      </x:c>
      <x:c r="AI5675" s="30"/>
      <x:c r="AJ5675" s="87" t="str">
        <x:v>clean</x:v>
      </x:c>
      <x:c r="AK5675" s="87" t="str">
        <x:v>clean-v0.16</x:v>
      </x:c>
      <x:c r="AL5675" s="87" t="str">
        <x:v>statgrad_clean_continuation_v0_16(1).xlsx</x:v>
      </x:c>
      <x:c r="AM5675" s="87" t="str">
        <x:v>SOC_EGKR_953</x:v>
      </x:c>
      <x:c r="AN5675" s="87" t="n">
        <x:v>12</x:v>
      </x:c>
    </x:row>
    <x:row r="5676">
      <x:c r="A5676" s="87" t="n">
        <x:v>5675</x:v>
      </x:c>
      <x:c r="B5676" s="87" t="str">
        <x:v>EGKR-W25-SOC-953-12</x:v>
      </x:c>
      <x:c r="C5676" s="87" t="str">
        <x:v>ЕГКР</x:v>
      </x:c>
      <x:c r="D5676" s="87"/>
      <x:c r="E5676" s="87" t="str">
        <x:v>Зима 2025</x:v>
      </x:c>
      <x:c r="F5676" s="87" t="str">
        <x:v>18.12.2025</x:v>
      </x:c>
      <x:c r="G5676" s="87" t="str">
        <x:v>Обществознание</x:v>
      </x:c>
      <x:c r="H5676" s="87" t="n">
        <x:v>11</x:v>
      </x:c>
      <x:c r="I5676" s="87"/>
      <x:c r="J5676" s="87" t="str">
        <x:v>953</x:v>
      </x:c>
      <x:c r="K5676" s="87" t="n">
        <x:v>12</x:v>
      </x:c>
      <x:c r="L5676" s="87" t="str">
        <x:v>Краткий ответ</x:v>
      </x:c>
      <x:c r="M5676" s="30" t="str">
        <x:v>Выбрать личные (гражданские) права и свободы человека и гражданина.</x:v>
      </x:c>
      <x:c r="N5676" s="30" t="str">
        <x:v>234</x:v>
      </x:c>
      <x:c r="O5676" s="30" t="str">
        <x:v>Позиции проверены по определениям и нормам обществоведческого курса; итоговая последовательность: 234.</x:v>
      </x:c>
      <x:c r="P5676" s="30" t="str">
        <x:v>Проверено по формулировке задания, обществоведческим определениям и нормам.</x:v>
      </x:c>
      <x:c r="Q5676" s="30"/>
      <x:c r="R5676" s="30"/>
      <x:c r="S5676" s="30" t="str">
        <x:v>Ответы (3).docx — вторичный источник</x:v>
      </x:c>
      <x:c r="T5676" s="30"/>
      <x:c r="U5676" s="30" t="str">
        <x:v>Ответник совпадает с независимой проверкой.</x:v>
      </x:c>
      <x:c r="V5676" s="87" t="str">
        <x:v>VERIFIED</x:v>
      </x:c>
      <x:c r="W5676" s="87"/>
      <x:c r="X5676" s="87"/>
      <x:c r="Y5676" s="87" t="n">
        <x:v>4</x:v>
      </x:c>
      <x:c r="Z5676" s="87" t="n">
        <x:v>3</x:v>
      </x:c>
      <x:c r="AA5676" s="87"/>
      <x:c r="AB5676" s="87"/>
      <x:c r="AC5676" s="87" t="str">
        <x:v>VIS-EGKR-SOC-W25-TASK-953-P003</x:v>
      </x:c>
      <x:c r="AD5676" s="87" t="str">
        <x:v>VIS-EGKR-SOC-W25-ANSWERDOC-P004</x:v>
      </x:c>
      <x:c r="AE5676" s="87" t="str">
        <x:v>TASK; SECONDARY_ANSWER_SOURCE</x:v>
      </x:c>
      <x:c r="AF5676" s="87" t="str">
        <x:v>VIS-EGKR-SOC-W25-TASK-953-P003: 3; VIS-EGKR-SOC-W25-ANSWERDOC-P004: 4</x:v>
      </x:c>
      <x:c r="AG5676" s="87" t="str">
        <x:v>RESOLVED</x:v>
      </x:c>
      <x:c r="AH5676" s="87" t="str">
        <x:v>CROP_VERIFIED</x:v>
      </x:c>
      <x:c r="AI5676" s="30"/>
      <x:c r="AJ5676" s="87" t="str">
        <x:v>clean</x:v>
      </x:c>
      <x:c r="AK5676" s="87" t="str">
        <x:v>clean-v0.16</x:v>
      </x:c>
      <x:c r="AL5676" s="87" t="str">
        <x:v>statgrad_clean_continuation_v0_16(1).xlsx</x:v>
      </x:c>
      <x:c r="AM5676" s="87" t="str">
        <x:v>SOC_EGKR_953</x:v>
      </x:c>
      <x:c r="AN5676" s="87" t="n">
        <x:v>13</x:v>
      </x:c>
    </x:row>
    <x:row r="5677">
      <x:c r="A5677" s="87" t="n">
        <x:v>5676</x:v>
      </x:c>
      <x:c r="B5677" s="87" t="str">
        <x:v>EGKR-W25-SOC-953-13</x:v>
      </x:c>
      <x:c r="C5677" s="87" t="str">
        <x:v>ЕГКР</x:v>
      </x:c>
      <x:c r="D5677" s="87"/>
      <x:c r="E5677" s="87" t="str">
        <x:v>Зима 2025</x:v>
      </x:c>
      <x:c r="F5677" s="87" t="str">
        <x:v>18.12.2025</x:v>
      </x:c>
      <x:c r="G5677" s="87" t="str">
        <x:v>Обществознание</x:v>
      </x:c>
      <x:c r="H5677" s="87" t="n">
        <x:v>11</x:v>
      </x:c>
      <x:c r="I5677" s="87"/>
      <x:c r="J5677" s="87" t="str">
        <x:v>953</x:v>
      </x:c>
      <x:c r="K5677" s="87" t="n">
        <x:v>13</x:v>
      </x:c>
      <x:c r="L5677" s="87" t="str">
        <x:v>Краткий ответ</x:v>
      </x:c>
      <x:c r="M5677" s="30" t="str">
        <x:v>Соотнести предметы ведения с исключительным и совместным ведением РФ и субъектов.</x:v>
      </x:c>
      <x:c r="N5677" s="30" t="str">
        <x:v>12122</x:v>
      </x:c>
      <x:c r="O5677" s="30" t="str">
        <x:v>Общие принципы налогообложения — исключительное ведение РФ; остальные указанные позиции относятся к совместному ведению.</x:v>
      </x:c>
      <x:c r="P5677" s="30" t="str">
        <x:v>Проверено по формулировке задания, обществоведческим определениям и нормам.</x:v>
      </x:c>
      <x:c r="Q5677" s="30"/>
      <x:c r="R5677" s="30"/>
      <x:c r="S5677" s="30" t="str">
        <x:v>Ответы (3).docx — вторичный источник</x:v>
      </x:c>
      <x:c r="T5677" s="30"/>
      <x:c r="U5677" s="30" t="str">
        <x:v>Ответник: 22122; независимое решение: 12122.</x:v>
      </x:c>
      <x:c r="V5677" s="87" t="str">
        <x:v>KEY_MISMATCH</x:v>
      </x:c>
      <x:c r="W5677" s="87"/>
      <x:c r="X5677" s="87"/>
      <x:c r="Y5677" s="87" t="n">
        <x:v>4</x:v>
      </x:c>
      <x:c r="Z5677" s="87" t="n">
        <x:v>3</x:v>
      </x:c>
      <x:c r="AA5677" s="87"/>
      <x:c r="AB5677" s="87"/>
      <x:c r="AC5677" s="87" t="str">
        <x:v>VIS-EGKR-SOC-W25-TASK-953-P003</x:v>
      </x:c>
      <x:c r="AD5677" s="87" t="str">
        <x:v>VIS-EGKR-SOC-W25-ANSWERDOC-P004</x:v>
      </x:c>
      <x:c r="AE5677" s="87" t="str">
        <x:v>TASK; SECONDARY_ANSWER_SOURCE</x:v>
      </x:c>
      <x:c r="AF5677" s="87" t="str">
        <x:v>VIS-EGKR-SOC-W25-TASK-953-P003: 3; VIS-EGKR-SOC-W25-ANSWERDOC-P004: 4</x:v>
      </x:c>
      <x:c r="AG5677" s="87" t="str">
        <x:v>RESOLVED</x:v>
      </x:c>
      <x:c r="AH5677" s="87" t="str">
        <x:v>CROP_VERIFIED</x:v>
      </x:c>
      <x:c r="AI5677" s="30"/>
      <x:c r="AJ5677" s="87" t="str">
        <x:v>clean</x:v>
      </x:c>
      <x:c r="AK5677" s="87" t="str">
        <x:v>clean-v0.16</x:v>
      </x:c>
      <x:c r="AL5677" s="87" t="str">
        <x:v>statgrad_clean_continuation_v0_16(1).xlsx</x:v>
      </x:c>
      <x:c r="AM5677" s="87" t="str">
        <x:v>SOC_EGKR_953</x:v>
      </x:c>
      <x:c r="AN5677" s="87" t="n">
        <x:v>14</x:v>
      </x:c>
    </x:row>
    <x:row r="5678">
      <x:c r="A5678" s="87" t="n">
        <x:v>5677</x:v>
      </x:c>
      <x:c r="B5678" s="87" t="str">
        <x:v>EGKR-W25-SOC-953-14</x:v>
      </x:c>
      <x:c r="C5678" s="87" t="str">
        <x:v>ЕГКР</x:v>
      </x:c>
      <x:c r="D5678" s="87"/>
      <x:c r="E5678" s="87" t="str">
        <x:v>Зима 2025</x:v>
      </x:c>
      <x:c r="F5678" s="87" t="str">
        <x:v>18.12.2025</x:v>
      </x:c>
      <x:c r="G5678" s="87" t="str">
        <x:v>Обществознание</x:v>
      </x:c>
      <x:c r="H5678" s="87" t="n">
        <x:v>11</x:v>
      </x:c>
      <x:c r="I5678" s="87"/>
      <x:c r="J5678" s="87" t="str">
        <x:v>953</x:v>
      </x:c>
      <x:c r="K5678" s="87" t="n">
        <x:v>14</x:v>
      </x:c>
      <x:c r="L5678" s="87" t="str">
        <x:v>Краткий ответ</x:v>
      </x:c>
      <x:c r="M5678" s="30" t="str">
        <x:v>Выбрать верные суждения о правоотношениях.</x:v>
      </x:c>
      <x:c r="N5678" s="30" t="str">
        <x:v>35</x:v>
      </x:c>
      <x:c r="O5678" s="30" t="str">
        <x:v>Позиции проверены по определениям и нормам обществоведческого курса; итоговая последовательность: 35.</x:v>
      </x:c>
      <x:c r="P5678" s="30" t="str">
        <x:v>Проверено по формулировке задания, обществоведческим определениям и нормам.</x:v>
      </x:c>
      <x:c r="Q5678" s="30"/>
      <x:c r="R5678" s="30"/>
      <x:c r="S5678" s="30" t="str">
        <x:v>Ответы (3).docx — вторичный источник</x:v>
      </x:c>
      <x:c r="T5678" s="30"/>
      <x:c r="U5678" s="30" t="str">
        <x:v>Ответник совпадает с независимой проверкой.</x:v>
      </x:c>
      <x:c r="V5678" s="87" t="str">
        <x:v>VERIFIED</x:v>
      </x:c>
      <x:c r="W5678" s="87"/>
      <x:c r="X5678" s="87"/>
      <x:c r="Y5678" s="87" t="n">
        <x:v>5</x:v>
      </x:c>
      <x:c r="Z5678" s="87" t="n">
        <x:v>2</x:v>
      </x:c>
      <x:c r="AA5678" s="87"/>
      <x:c r="AB5678" s="87"/>
      <x:c r="AC5678" s="87" t="str">
        <x:v>VIS-EGKR-SOC-W25-TASK-953-P002</x:v>
      </x:c>
      <x:c r="AD5678" s="87" t="str">
        <x:v>VIS-EGKR-SOC-W25-ANSWERDOC-P004</x:v>
      </x:c>
      <x:c r="AE5678" s="87" t="str">
        <x:v>TASK; SECONDARY_ANSWER_SOURCE</x:v>
      </x:c>
      <x:c r="AF5678" s="87" t="str">
        <x:v>VIS-EGKR-SOC-W25-TASK-953-P002: 2; VIS-EGKR-SOC-W25-ANSWERDOC-P004: 4</x:v>
      </x:c>
      <x:c r="AG5678" s="87" t="str">
        <x:v>RESOLVED</x:v>
      </x:c>
      <x:c r="AH5678" s="87" t="str">
        <x:v>CROP_VERIFIED</x:v>
      </x:c>
      <x:c r="AI5678" s="30"/>
      <x:c r="AJ5678" s="87" t="str">
        <x:v>clean</x:v>
      </x:c>
      <x:c r="AK5678" s="87" t="str">
        <x:v>clean-v0.16</x:v>
      </x:c>
      <x:c r="AL5678" s="87" t="str">
        <x:v>statgrad_clean_continuation_v0_16(1).xlsx</x:v>
      </x:c>
      <x:c r="AM5678" s="87" t="str">
        <x:v>SOC_EGKR_953</x:v>
      </x:c>
      <x:c r="AN5678" s="87" t="n">
        <x:v>15</x:v>
      </x:c>
    </x:row>
    <x:row r="5679">
      <x:c r="A5679" s="87" t="n">
        <x:v>5678</x:v>
      </x:c>
      <x:c r="B5679" s="87" t="str">
        <x:v>EGKR-W25-SOC-953-15</x:v>
      </x:c>
      <x:c r="C5679" s="87" t="str">
        <x:v>ЕГКР</x:v>
      </x:c>
      <x:c r="D5679" s="87"/>
      <x:c r="E5679" s="87" t="str">
        <x:v>Зима 2025</x:v>
      </x:c>
      <x:c r="F5679" s="87" t="str">
        <x:v>18.12.2025</x:v>
      </x:c>
      <x:c r="G5679" s="87" t="str">
        <x:v>Обществознание</x:v>
      </x:c>
      <x:c r="H5679" s="87" t="n">
        <x:v>11</x:v>
      </x:c>
      <x:c r="I5679" s="87"/>
      <x:c r="J5679" s="87" t="str">
        <x:v>953</x:v>
      </x:c>
      <x:c r="K5679" s="87" t="n">
        <x:v>15</x:v>
      </x:c>
      <x:c r="L5679" s="87" t="str">
        <x:v>Краткий ответ</x:v>
      </x:c>
      <x:c r="M5679" s="30" t="str">
        <x:v>Соотнести характеристики с полным товариществом, АО, производственным кооперативом и унитарным предприятием.</x:v>
      </x:c>
      <x:c r="N5679" s="30" t="str">
        <x:v>34122</x:v>
      </x:c>
      <x:c r="O5679" s="30" t="str">
        <x:v>Риск в пределах стоимости долей или акций относится к акционерному обществу, а не к полному товариществу.</x:v>
      </x:c>
      <x:c r="P5679" s="30" t="str">
        <x:v>Проверено по формулировке задания, обществоведческим определениям и нормам.</x:v>
      </x:c>
      <x:c r="Q5679" s="30"/>
      <x:c r="R5679" s="30"/>
      <x:c r="S5679" s="30" t="str">
        <x:v>Ответы (3).docx — вторичный источник</x:v>
      </x:c>
      <x:c r="T5679" s="30"/>
      <x:c r="U5679" s="30" t="str">
        <x:v>Ответник: 34121; независимое решение: 34122.</x:v>
      </x:c>
      <x:c r="V5679" s="87" t="str">
        <x:v>KEY_MISMATCH</x:v>
      </x:c>
      <x:c r="W5679" s="87"/>
      <x:c r="X5679" s="87"/>
      <x:c r="Y5679" s="87" t="n">
        <x:v>5</x:v>
      </x:c>
      <x:c r="Z5679" s="87" t="n">
        <x:v>2</x:v>
      </x:c>
      <x:c r="AA5679" s="87"/>
      <x:c r="AB5679" s="87"/>
      <x:c r="AC5679" s="87" t="str">
        <x:v>VIS-EGKR-SOC-W25-TASK-953-P002</x:v>
      </x:c>
      <x:c r="AD5679" s="87" t="str">
        <x:v>VIS-EGKR-SOC-W25-ANSWERDOC-P004</x:v>
      </x:c>
      <x:c r="AE5679" s="87" t="str">
        <x:v>TASK; SECONDARY_ANSWER_SOURCE</x:v>
      </x:c>
      <x:c r="AF5679" s="87" t="str">
        <x:v>VIS-EGKR-SOC-W25-TASK-953-P002: 2; VIS-EGKR-SOC-W25-ANSWERDOC-P004: 4</x:v>
      </x:c>
      <x:c r="AG5679" s="87" t="str">
        <x:v>RESOLVED</x:v>
      </x:c>
      <x:c r="AH5679" s="87" t="str">
        <x:v>CROP_VERIFIED</x:v>
      </x:c>
      <x:c r="AI5679" s="30"/>
      <x:c r="AJ5679" s="87" t="str">
        <x:v>clean</x:v>
      </x:c>
      <x:c r="AK5679" s="87" t="str">
        <x:v>clean-v0.16</x:v>
      </x:c>
      <x:c r="AL5679" s="87" t="str">
        <x:v>statgrad_clean_continuation_v0_16(1).xlsx</x:v>
      </x:c>
      <x:c r="AM5679" s="87" t="str">
        <x:v>SOC_EGKR_953</x:v>
      </x:c>
      <x:c r="AN5679" s="87" t="n">
        <x:v>16</x:v>
      </x:c>
    </x:row>
    <x:row r="5680">
      <x:c r="A5680" s="87" t="n">
        <x:v>5679</x:v>
      </x:c>
      <x:c r="B5680" s="87" t="str">
        <x:v>EGKR-W25-SOC-953-16</x:v>
      </x:c>
      <x:c r="C5680" s="87" t="str">
        <x:v>ЕГКР</x:v>
      </x:c>
      <x:c r="D5680" s="87"/>
      <x:c r="E5680" s="87" t="str">
        <x:v>Зима 2025</x:v>
      </x:c>
      <x:c r="F5680" s="87" t="str">
        <x:v>18.12.2025</x:v>
      </x:c>
      <x:c r="G5680" s="87" t="str">
        <x:v>Обществознание</x:v>
      </x:c>
      <x:c r="H5680" s="87" t="n">
        <x:v>11</x:v>
      </x:c>
      <x:c r="I5680" s="87"/>
      <x:c r="J5680" s="87" t="str">
        <x:v>953</x:v>
      </x:c>
      <x:c r="K5680" s="87" t="n">
        <x:v>16</x:v>
      </x:c>
      <x:c r="L5680" s="87" t="str">
        <x:v>Краткий ответ</x:v>
      </x:c>
      <x:c r="M5680" s="30" t="str">
        <x:v>Выбрать иные меры процессуального принуждения по УПК РФ.</x:v>
      </x:c>
      <x:c r="N5680" s="30" t="str">
        <x:v>356</x:v>
      </x:c>
      <x:c r="O5680" s="30" t="str">
        <x:v>К иным мерам процессуального принуждения относятся привод, временное отстранение от должности и денежное взыскание.</x:v>
      </x:c>
      <x:c r="P5680" s="30" t="str">
        <x:v>Проверено по формулировке задания, обществоведческим определениям и нормам.</x:v>
      </x:c>
      <x:c r="Q5680" s="30"/>
      <x:c r="R5680" s="30"/>
      <x:c r="S5680" s="30" t="str">
        <x:v>Ответы (3).docx — вторичный источник</x:v>
      </x:c>
      <x:c r="T5680" s="30"/>
      <x:c r="U5680" s="30" t="str">
        <x:v>Ответник: 35; независимое решение: 356.</x:v>
      </x:c>
      <x:c r="V5680" s="87" t="str">
        <x:v>KEY_MISMATCH</x:v>
      </x:c>
      <x:c r="W5680" s="87"/>
      <x:c r="X5680" s="87"/>
      <x:c r="Y5680" s="87" t="n">
        <x:v>5</x:v>
      </x:c>
      <x:c r="Z5680" s="87" t="n">
        <x:v>2</x:v>
      </x:c>
      <x:c r="AA5680" s="87"/>
      <x:c r="AB5680" s="87"/>
      <x:c r="AC5680" s="87" t="str">
        <x:v>VIS-EGKR-SOC-W25-TASK-953-P002</x:v>
      </x:c>
      <x:c r="AD5680" s="87" t="str">
        <x:v>VIS-EGKR-SOC-W25-ANSWERDOC-P004</x:v>
      </x:c>
      <x:c r="AE5680" s="87" t="str">
        <x:v>TASK; SECONDARY_ANSWER_SOURCE</x:v>
      </x:c>
      <x:c r="AF5680" s="87" t="str">
        <x:v>VIS-EGKR-SOC-W25-TASK-953-P002: 2; VIS-EGKR-SOC-W25-ANSWERDOC-P004: 4</x:v>
      </x:c>
      <x:c r="AG5680" s="87" t="str">
        <x:v>RESOLVED</x:v>
      </x:c>
      <x:c r="AH5680" s="87" t="str">
        <x:v>CROP_VERIFIED</x:v>
      </x:c>
      <x:c r="AI5680" s="30"/>
      <x:c r="AJ5680" s="87" t="str">
        <x:v>clean</x:v>
      </x:c>
      <x:c r="AK5680" s="87" t="str">
        <x:v>clean-v0.16</x:v>
      </x:c>
      <x:c r="AL5680" s="87" t="str">
        <x:v>statgrad_clean_continuation_v0_16(1).xlsx</x:v>
      </x:c>
      <x:c r="AM5680" s="87" t="str">
        <x:v>SOC_EGKR_953</x:v>
      </x:c>
      <x:c r="AN5680" s="87" t="n">
        <x:v>17</x:v>
      </x:c>
    </x:row>
    <x:row r="5681">
      <x:c r="A5681" s="87" t="n">
        <x:v>5680</x:v>
      </x:c>
      <x:c r="B5681" s="87" t="str">
        <x:v>EGKR-W25-SOC-953-17</x:v>
      </x:c>
      <x:c r="C5681" s="87" t="str">
        <x:v>ЕГКР</x:v>
      </x:c>
      <x:c r="D5681" s="87"/>
      <x:c r="E5681" s="87" t="str">
        <x:v>Зима 2025</x:v>
      </x:c>
      <x:c r="F5681" s="87" t="str">
        <x:v>18.12.2025</x:v>
      </x:c>
      <x:c r="G5681" s="87" t="str">
        <x:v>Обществознание</x:v>
      </x:c>
      <x:c r="H5681" s="87" t="n">
        <x:v>11</x:v>
      </x:c>
      <x:c r="I5681" s="87"/>
      <x:c r="J5681" s="87" t="str">
        <x:v>953</x:v>
      </x:c>
      <x:c r="K5681" s="87" t="n">
        <x:v>17</x:v>
      </x:c>
      <x:c r="L5681" s="87" t="str">
        <x:v>Развёрнутый ответ</x:v>
      </x:c>
      <x:c r="M5681" s="30" t="str">
        <x:v>По тексту назвать функции государства в командной системе, главную силу рыночной экономики и обоснование регулирования.</x:v>
      </x:c>
      <x:c r="N5681" s="30" t="str">
        <x:v>В командно-административной системе государство выполняет хозяйственно-организаторскую функцию и охраняет/развивает государственную собственность. В современной рыночной экономике главной регулирующей силой является рынок. Государственное вмешательство необходимо там, где рыночный механизм не срабатывает или проявляются существенные недостатки рынка.</x:v>
      </x:c>
      <x:c r="O5681" s="30" t="str">
        <x:v>Модель включает все элементы, прямо требуемые формулировкой задания.</x:v>
      </x:c>
      <x:c r="P5681" s="30" t="str">
        <x:v>Содержание проверено по исходному тексту, обществоведческим понятиям и правовым нормам.</x:v>
      </x:c>
      <x:c r="Q5681" s="30"/>
      <x:c r="R5681" s="30"/>
      <x:c r="S5681" s="30" t="str">
        <x:v>Независимая модель; вторичный DOCX использован только для аудита</x:v>
      </x:c>
      <x:c r="T5681" s="30"/>
      <x:c r="U5681" s="30" t="str">
        <x:v>Модель независимо проверена по условию.</x:v>
      </x:c>
      <x:c r="V5681" s="87" t="str">
        <x:v>VERIFIED</x:v>
      </x:c>
      <x:c r="W5681" s="87"/>
      <x:c r="X5681" s="87"/>
      <x:c r="Y5681" s="87" t="n">
        <x:v>6</x:v>
      </x:c>
      <x:c r="Z5681" s="87" t="n">
        <x:v>6</x:v>
      </x:c>
      <x:c r="AA5681" s="87"/>
      <x:c r="AB5681" s="87"/>
      <x:c r="AC5681" s="87" t="str">
        <x:v>VIS-EGKR-SOC-W25-TASK-953-P006</x:v>
      </x:c>
      <x:c r="AD5681" s="87" t="str">
        <x:v>VIS-EGKR-SOC-W25-ANSWERDOC-P004</x:v>
      </x:c>
      <x:c r="AE5681" s="87" t="str">
        <x:v>TASK; SECONDARY_ANSWER_SOURCE</x:v>
      </x:c>
      <x:c r="AF5681" s="87" t="str">
        <x:v>VIS-EGKR-SOC-W25-TASK-953-P006: 6; VIS-EGKR-SOC-W25-ANSWERDOC-P004: 4</x:v>
      </x:c>
      <x:c r="AG5681" s="87" t="str">
        <x:v>RESOLVED</x:v>
      </x:c>
      <x:c r="AH5681" s="87" t="str">
        <x:v>CROP_VERIFIED</x:v>
      </x:c>
      <x:c r="AI5681" s="30"/>
      <x:c r="AJ5681" s="87" t="str">
        <x:v>clean</x:v>
      </x:c>
      <x:c r="AK5681" s="87" t="str">
        <x:v>clean-v0.16</x:v>
      </x:c>
      <x:c r="AL5681" s="87" t="str">
        <x:v>statgrad_clean_continuation_v0_16(1).xlsx</x:v>
      </x:c>
      <x:c r="AM5681" s="87" t="str">
        <x:v>SOC_EGKR_953</x:v>
      </x:c>
      <x:c r="AN5681" s="87" t="n">
        <x:v>18</x:v>
      </x:c>
    </x:row>
    <x:row r="5682">
      <x:c r="A5682" s="87" t="n">
        <x:v>5681</x:v>
      </x:c>
      <x:c r="B5682" s="87" t="str">
        <x:v>EGKR-W25-SOC-953-18</x:v>
      </x:c>
      <x:c r="C5682" s="87" t="str">
        <x:v>ЕГКР</x:v>
      </x:c>
      <x:c r="D5682" s="87"/>
      <x:c r="E5682" s="87" t="str">
        <x:v>Зима 2025</x:v>
      </x:c>
      <x:c r="F5682" s="87" t="str">
        <x:v>18.12.2025</x:v>
      </x:c>
      <x:c r="G5682" s="87" t="str">
        <x:v>Обществознание</x:v>
      </x:c>
      <x:c r="H5682" s="87" t="n">
        <x:v>11</x:v>
      </x:c>
      <x:c r="I5682" s="87"/>
      <x:c r="J5682" s="87" t="str">
        <x:v>953</x:v>
      </x:c>
      <x:c r="K5682" s="87" t="n">
        <x:v>18</x:v>
      </x:c>
      <x:c r="L5682" s="87" t="str">
        <x:v>Развёрнутый ответ</x:v>
      </x:c>
      <x:c r="M5682" s="30" t="str">
        <x:v>Назвать признаки предприятия и объяснить связь принципа экономической политики с благосостоянием.</x:v>
      </x:c>
      <x:c r="N5682" s="30" t="str">
        <x:v>Предприятие юридически и организационно оформлено; осуществляет хозяйственную деятельность; обладает имущественной и экономической самостоятельностью и отвечает по обязательствам. Когда государство берёт на себя инфраструктуру и социально значимые услуги, которые частному бизнесу невыгодны, население получает более доступные и устойчивые условия жизни, что повышает благосостояние.</x:v>
      </x:c>
      <x:c r="O5682" s="30" t="str">
        <x:v>Модель включает все элементы, прямо требуемые формулировкой задания.</x:v>
      </x:c>
      <x:c r="P5682" s="30" t="str">
        <x:v>Содержание проверено по исходному тексту, обществоведческим понятиям и правовым нормам.</x:v>
      </x:c>
      <x:c r="Q5682" s="30"/>
      <x:c r="R5682" s="30"/>
      <x:c r="S5682" s="30" t="str">
        <x:v>Независимая модель; вторичный DOCX использован только для аудита</x:v>
      </x:c>
      <x:c r="T5682" s="30"/>
      <x:c r="U5682" s="30" t="str">
        <x:v>Модель независимо проверена по условию.</x:v>
      </x:c>
      <x:c r="V5682" s="87" t="str">
        <x:v>VERIFIED</x:v>
      </x:c>
      <x:c r="W5682" s="87"/>
      <x:c r="X5682" s="87"/>
      <x:c r="Y5682" s="87" t="n">
        <x:v>6</x:v>
      </x:c>
      <x:c r="Z5682" s="87" t="n">
        <x:v>6</x:v>
      </x:c>
      <x:c r="AA5682" s="87"/>
      <x:c r="AB5682" s="87"/>
      <x:c r="AC5682" s="87" t="str">
        <x:v>VIS-EGKR-SOC-W25-TASK-953-P006</x:v>
      </x:c>
      <x:c r="AD5682" s="87" t="str">
        <x:v>VIS-EGKR-SOC-W25-ANSWERDOC-P005</x:v>
      </x:c>
      <x:c r="AE5682" s="87" t="str">
        <x:v>TASK; SECONDARY_ANSWER_SOURCE</x:v>
      </x:c>
      <x:c r="AF5682" s="87" t="str">
        <x:v>VIS-EGKR-SOC-W25-TASK-953-P006: 6; VIS-EGKR-SOC-W25-ANSWERDOC-P005: 5</x:v>
      </x:c>
      <x:c r="AG5682" s="87" t="str">
        <x:v>RESOLVED</x:v>
      </x:c>
      <x:c r="AH5682" s="87" t="str">
        <x:v>CROP_VERIFIED</x:v>
      </x:c>
      <x:c r="AI5682" s="30"/>
      <x:c r="AJ5682" s="87" t="str">
        <x:v>clean</x:v>
      </x:c>
      <x:c r="AK5682" s="87" t="str">
        <x:v>clean-v0.16</x:v>
      </x:c>
      <x:c r="AL5682" s="87" t="str">
        <x:v>statgrad_clean_continuation_v0_16(1).xlsx</x:v>
      </x:c>
      <x:c r="AM5682" s="87" t="str">
        <x:v>SOC_EGKR_953</x:v>
      </x:c>
      <x:c r="AN5682" s="87" t="n">
        <x:v>19</x:v>
      </x:c>
    </x:row>
    <x:row r="5683">
      <x:c r="A5683" s="87" t="n">
        <x:v>5682</x:v>
      </x:c>
      <x:c r="B5683" s="87" t="str">
        <x:v>EGKR-W25-SOC-953-19</x:v>
      </x:c>
      <x:c r="C5683" s="87" t="str">
        <x:v>ЕГКР</x:v>
      </x:c>
      <x:c r="D5683" s="87"/>
      <x:c r="E5683" s="87" t="str">
        <x:v>Зима 2025</x:v>
      </x:c>
      <x:c r="F5683" s="87" t="str">
        <x:v>18.12.2025</x:v>
      </x:c>
      <x:c r="G5683" s="87" t="str">
        <x:v>Обществознание</x:v>
      </x:c>
      <x:c r="H5683" s="87" t="n">
        <x:v>11</x:v>
      </x:c>
      <x:c r="I5683" s="87"/>
      <x:c r="J5683" s="87" t="str">
        <x:v>953</x:v>
      </x:c>
      <x:c r="K5683" s="87" t="n">
        <x:v>19</x:v>
      </x:c>
      <x:c r="L5683" s="87" t="str">
        <x:v>Развёрнутый ответ</x:v>
      </x:c>
      <x:c r="M5683" s="30" t="str">
        <x:v>Привести три примера правового регулирования экономической деятельности государством.</x:v>
      </x:c>
      <x:c r="N5683" s="30" t="str">
        <x:v>Налоговое законодательство устанавливает обязательные платежи и ответственность компаний. Трудовое право закрепляет правила трудового договора, охраны труда и гарантии работников. Лицензирование допускает компании к отдельным рискованным видам деятельности только при соблюдении обязательных требований.</x:v>
      </x:c>
      <x:c r="O5683" s="30" t="str">
        <x:v>Модель включает все элементы, прямо требуемые формулировкой задания.</x:v>
      </x:c>
      <x:c r="P5683" s="30" t="str">
        <x:v>Содержание проверено по исходному тексту, обществоведческим понятиям и правовым нормам.</x:v>
      </x:c>
      <x:c r="Q5683" s="30"/>
      <x:c r="R5683" s="30"/>
      <x:c r="S5683" s="30" t="str">
        <x:v>Независимая модель; вторичный DOCX использован только для аудита</x:v>
      </x:c>
      <x:c r="T5683" s="30"/>
      <x:c r="U5683" s="30" t="str">
        <x:v>Модель независимо проверена по условию.</x:v>
      </x:c>
      <x:c r="V5683" s="87" t="str">
        <x:v>VERIFIED</x:v>
      </x:c>
      <x:c r="W5683" s="87"/>
      <x:c r="X5683" s="87"/>
      <x:c r="Y5683" s="87" t="n">
        <x:v>6</x:v>
      </x:c>
      <x:c r="Z5683" s="87" t="n">
        <x:v>6</x:v>
      </x:c>
      <x:c r="AA5683" s="87"/>
      <x:c r="AB5683" s="87"/>
      <x:c r="AC5683" s="87" t="str">
        <x:v>VIS-EGKR-SOC-W25-TASK-953-P006</x:v>
      </x:c>
      <x:c r="AD5683" s="87" t="str">
        <x:v>VIS-EGKR-SOC-W25-ANSWERDOC-P005</x:v>
      </x:c>
      <x:c r="AE5683" s="87" t="str">
        <x:v>TASK; SECONDARY_ANSWER_SOURCE</x:v>
      </x:c>
      <x:c r="AF5683" s="87" t="str">
        <x:v>VIS-EGKR-SOC-W25-TASK-953-P006: 6; VIS-EGKR-SOC-W25-ANSWERDOC-P005: 5</x:v>
      </x:c>
      <x:c r="AG5683" s="87" t="str">
        <x:v>RESOLVED</x:v>
      </x:c>
      <x:c r="AH5683" s="87" t="str">
        <x:v>CROP_VERIFIED</x:v>
      </x:c>
      <x:c r="AI5683" s="30"/>
      <x:c r="AJ5683" s="87" t="str">
        <x:v>clean</x:v>
      </x:c>
      <x:c r="AK5683" s="87" t="str">
        <x:v>clean-v0.16</x:v>
      </x:c>
      <x:c r="AL5683" s="87" t="str">
        <x:v>statgrad_clean_continuation_v0_16(1).xlsx</x:v>
      </x:c>
      <x:c r="AM5683" s="87" t="str">
        <x:v>SOC_EGKR_953</x:v>
      </x:c>
      <x:c r="AN5683" s="87" t="n">
        <x:v>20</x:v>
      </x:c>
    </x:row>
    <x:row r="5684">
      <x:c r="A5684" s="87" t="n">
        <x:v>5683</x:v>
      </x:c>
      <x:c r="B5684" s="87" t="str">
        <x:v>EGKR-W25-SOC-953-20</x:v>
      </x:c>
      <x:c r="C5684" s="87" t="str">
        <x:v>ЕГКР</x:v>
      </x:c>
      <x:c r="D5684" s="87"/>
      <x:c r="E5684" s="87" t="str">
        <x:v>Зима 2025</x:v>
      </x:c>
      <x:c r="F5684" s="87" t="str">
        <x:v>18.12.2025</x:v>
      </x:c>
      <x:c r="G5684" s="87" t="str">
        <x:v>Обществознание</x:v>
      </x:c>
      <x:c r="H5684" s="87" t="n">
        <x:v>11</x:v>
      </x:c>
      <x:c r="I5684" s="87"/>
      <x:c r="J5684" s="87" t="str">
        <x:v>953</x:v>
      </x:c>
      <x:c r="K5684" s="87" t="n">
        <x:v>20</x:v>
      </x:c>
      <x:c r="L5684" s="87" t="str">
        <x:v>Развёрнутый ответ</x:v>
      </x:c>
      <x:c r="M5684" s="30" t="str">
        <x:v>Привести три подтверждения неэффективности командно-административной экономики.</x:v>
      </x:c>
      <x:c r="N5684" s="30" t="str">
        <x:v>Централизованное планирование и слабая связь со спросом создают дефицит одних товаров и избыток других. Жёсткое регулирование цен и результатов снижает стимулы к повышению качества и инновациям. Разрастание аппарата и ориентация на формальные показатели ведут к бюрократии и потерям ресурсов.</x:v>
      </x:c>
      <x:c r="O5684" s="30" t="str">
        <x:v>Модель включает все элементы, прямо требуемые формулировкой задания.</x:v>
      </x:c>
      <x:c r="P5684" s="30" t="str">
        <x:v>Содержание проверено по исходному тексту, обществоведческим понятиям и правовым нормам.</x:v>
      </x:c>
      <x:c r="Q5684" s="30"/>
      <x:c r="R5684" s="30"/>
      <x:c r="S5684" s="30" t="str">
        <x:v>Независимая модель; вторичный DOCX использован только для аудита</x:v>
      </x:c>
      <x:c r="T5684" s="30"/>
      <x:c r="U5684" s="30" t="str">
        <x:v>Модель независимо проверена по условию.</x:v>
      </x:c>
      <x:c r="V5684" s="87" t="str">
        <x:v>VERIFIED</x:v>
      </x:c>
      <x:c r="W5684" s="87"/>
      <x:c r="X5684" s="87"/>
      <x:c r="Y5684" s="87" t="n">
        <x:v>6</x:v>
      </x:c>
      <x:c r="Z5684" s="87" t="n">
        <x:v>6</x:v>
      </x:c>
      <x:c r="AA5684" s="87"/>
      <x:c r="AB5684" s="87"/>
      <x:c r="AC5684" s="87" t="str">
        <x:v>VIS-EGKR-SOC-W25-TASK-953-P006</x:v>
      </x:c>
      <x:c r="AD5684" s="87" t="str">
        <x:v>VIS-EGKR-SOC-W25-ANSWERDOC-P005</x:v>
      </x:c>
      <x:c r="AE5684" s="87" t="str">
        <x:v>TASK; SECONDARY_ANSWER_SOURCE</x:v>
      </x:c>
      <x:c r="AF5684" s="87" t="str">
        <x:v>VIS-EGKR-SOC-W25-TASK-953-P006: 6; VIS-EGKR-SOC-W25-ANSWERDOC-P005: 5</x:v>
      </x:c>
      <x:c r="AG5684" s="87" t="str">
        <x:v>RESOLVED</x:v>
      </x:c>
      <x:c r="AH5684" s="87" t="str">
        <x:v>CROP_VERIFIED</x:v>
      </x:c>
      <x:c r="AI5684" s="30"/>
      <x:c r="AJ5684" s="87" t="str">
        <x:v>clean</x:v>
      </x:c>
      <x:c r="AK5684" s="87" t="str">
        <x:v>clean-v0.16</x:v>
      </x:c>
      <x:c r="AL5684" s="87" t="str">
        <x:v>statgrad_clean_continuation_v0_16(1).xlsx</x:v>
      </x:c>
      <x:c r="AM5684" s="87" t="str">
        <x:v>SOC_EGKR_953</x:v>
      </x:c>
      <x:c r="AN5684" s="87" t="n">
        <x:v>21</x:v>
      </x:c>
    </x:row>
    <x:row r="5685">
      <x:c r="A5685" s="87" t="n">
        <x:v>5684</x:v>
      </x:c>
      <x:c r="B5685" s="87" t="str">
        <x:v>EGKR-W25-SOC-953-21</x:v>
      </x:c>
      <x:c r="C5685" s="87" t="str">
        <x:v>ЕГКР</x:v>
      </x:c>
      <x:c r="D5685" s="87"/>
      <x:c r="E5685" s="87" t="str">
        <x:v>Зима 2025</x:v>
      </x:c>
      <x:c r="F5685" s="87" t="str">
        <x:v>18.12.2025</x:v>
      </x:c>
      <x:c r="G5685" s="87" t="str">
        <x:v>Обществознание</x:v>
      </x:c>
      <x:c r="H5685" s="87" t="n">
        <x:v>11</x:v>
      </x:c>
      <x:c r="I5685" s="87"/>
      <x:c r="J5685" s="87" t="str">
        <x:v>953</x:v>
      </x:c>
      <x:c r="K5685" s="87" t="n">
        <x:v>21</x:v>
      </x:c>
      <x:c r="L5685" s="87" t="str">
        <x:v>Развёрнутый ответ</x:v>
      </x:c>
      <x:c r="M5685" s="30" t="str">
        <x:v>Проанализировать сдвиг спроса на кожаные куртки и влияние снижения производственных издержек.</x:v>
      </x:c>
      <x:c r="N5685" s="30" t="str">
        <x:v>Спрос переместился влево, поэтому равновесная цена снизилась. Причиной может быть популяризация защиты животных и переход покупателей к искусственной коже. Снижение производственных издержек увеличит предложение, сдвинет его вправо и ещё снизит равновесную цену.</x:v>
      </x:c>
      <x:c r="O5685" s="30" t="str">
        <x:v>Модель включает все элементы, прямо требуемые формулировкой задания.</x:v>
      </x:c>
      <x:c r="P5685" s="30" t="str">
        <x:v>Содержание проверено по исходному тексту, обществоведческим понятиям и правовым нормам.</x:v>
      </x:c>
      <x:c r="Q5685" s="30"/>
      <x:c r="R5685" s="30"/>
      <x:c r="S5685" s="30" t="str">
        <x:v>Независимая модель; вторичный DOCX использован только для аудита</x:v>
      </x:c>
      <x:c r="T5685" s="30"/>
      <x:c r="U5685" s="30" t="str">
        <x:v>Модель независимо проверена по условию.</x:v>
      </x:c>
      <x:c r="V5685" s="87" t="str">
        <x:v>VERIFIED</x:v>
      </x:c>
      <x:c r="W5685" s="87"/>
      <x:c r="X5685" s="87"/>
      <x:c r="Y5685" s="87" t="n">
        <x:v>7</x:v>
      </x:c>
      <x:c r="Z5685" s="87" t="n">
        <x:v>7</x:v>
      </x:c>
      <x:c r="AA5685" s="87"/>
      <x:c r="AB5685" s="87"/>
      <x:c r="AC5685" s="87" t="str">
        <x:v>VIS-EGKR-SOC-W25-TASK-953-P007</x:v>
      </x:c>
      <x:c r="AD5685" s="87" t="str">
        <x:v>VIS-EGKR-SOC-W25-ANSWERDOC-P005</x:v>
      </x:c>
      <x:c r="AE5685" s="87" t="str">
        <x:v>TASK; SECONDARY_ANSWER_SOURCE</x:v>
      </x:c>
      <x:c r="AF5685" s="87" t="str">
        <x:v>VIS-EGKR-SOC-W25-TASK-953-P007: 7; VIS-EGKR-SOC-W25-ANSWERDOC-P005: 5</x:v>
      </x:c>
      <x:c r="AG5685" s="87" t="str">
        <x:v>RESOLVED</x:v>
      </x:c>
      <x:c r="AH5685" s="87" t="str">
        <x:v>CROP_VERIFIED</x:v>
      </x:c>
      <x:c r="AI5685" s="30"/>
      <x:c r="AJ5685" s="87" t="str">
        <x:v>clean</x:v>
      </x:c>
      <x:c r="AK5685" s="87" t="str">
        <x:v>clean-v0.16</x:v>
      </x:c>
      <x:c r="AL5685" s="87" t="str">
        <x:v>statgrad_clean_continuation_v0_16(1).xlsx</x:v>
      </x:c>
      <x:c r="AM5685" s="87" t="str">
        <x:v>SOC_EGKR_953</x:v>
      </x:c>
      <x:c r="AN5685" s="87" t="n">
        <x:v>22</x:v>
      </x:c>
    </x:row>
    <x:row r="5686">
      <x:c r="A5686" s="87" t="n">
        <x:v>5685</x:v>
      </x:c>
      <x:c r="B5686" s="87" t="str">
        <x:v>EGKR-W25-SOC-953-22</x:v>
      </x:c>
      <x:c r="C5686" s="87" t="str">
        <x:v>ЕГКР</x:v>
      </x:c>
      <x:c r="D5686" s="87"/>
      <x:c r="E5686" s="87" t="str">
        <x:v>Зима 2025</x:v>
      </x:c>
      <x:c r="F5686" s="87" t="str">
        <x:v>18.12.2025</x:v>
      </x:c>
      <x:c r="G5686" s="87" t="str">
        <x:v>Обществознание</x:v>
      </x:c>
      <x:c r="H5686" s="87" t="n">
        <x:v>11</x:v>
      </x:c>
      <x:c r="I5686" s="87"/>
      <x:c r="J5686" s="87" t="str">
        <x:v>953</x:v>
      </x:c>
      <x:c r="K5686" s="87" t="n">
        <x:v>22</x:v>
      </x:c>
      <x:c r="L5686" s="87" t="str">
        <x:v>Развёрнутый ответ</x:v>
      </x:c>
      <x:c r="M5686" s="30" t="str">
        <x:v>Определить периодичность президентских выборов, мобильность, форму оплаты и основание трудовых отношений.</x:v>
      </x:c>
      <x:c r="N5686" s="30" t="str">
        <x:v>Президент Российской Федерации избирается на шесть лет. Повышение Леонида — восходящая вертикальная социальная мобильность. Фиксированный оклад — повременная (окладная) система оплаты труда. Основанием трудовых отношений служит трудовой договор.</x:v>
      </x:c>
      <x:c r="O5686" s="30" t="str">
        <x:v>Модель включает все элементы, прямо требуемые формулировкой задания.</x:v>
      </x:c>
      <x:c r="P5686" s="30" t="str">
        <x:v>Содержание проверено по исходному тексту, обществоведческим понятиям и правовым нормам.</x:v>
      </x:c>
      <x:c r="Q5686" s="30"/>
      <x:c r="R5686" s="30"/>
      <x:c r="S5686" s="30" t="str">
        <x:v>Независимая модель; вторичный DOCX использован только для аудита</x:v>
      </x:c>
      <x:c r="T5686" s="30"/>
      <x:c r="U5686" s="30" t="str">
        <x:v>Модель независимо проверена по условию.</x:v>
      </x:c>
      <x:c r="V5686" s="87" t="str">
        <x:v>VERIFIED</x:v>
      </x:c>
      <x:c r="W5686" s="87"/>
      <x:c r="X5686" s="87"/>
      <x:c r="Y5686" s="87" t="n">
        <x:v>7</x:v>
      </x:c>
      <x:c r="Z5686" s="87" t="n">
        <x:v>7</x:v>
      </x:c>
      <x:c r="AA5686" s="87"/>
      <x:c r="AB5686" s="87"/>
      <x:c r="AC5686" s="87" t="str">
        <x:v>VIS-EGKR-SOC-W25-TASK-953-P007</x:v>
      </x:c>
      <x:c r="AD5686" s="87" t="str">
        <x:v>VIS-EGKR-SOC-W25-ANSWERDOC-P005</x:v>
      </x:c>
      <x:c r="AE5686" s="87" t="str">
        <x:v>TASK; SECONDARY_ANSWER_SOURCE</x:v>
      </x:c>
      <x:c r="AF5686" s="87" t="str">
        <x:v>VIS-EGKR-SOC-W25-TASK-953-P007: 7; VIS-EGKR-SOC-W25-ANSWERDOC-P005: 5</x:v>
      </x:c>
      <x:c r="AG5686" s="87" t="str">
        <x:v>RESOLVED</x:v>
      </x:c>
      <x:c r="AH5686" s="87" t="str">
        <x:v>CROP_VERIFIED</x:v>
      </x:c>
      <x:c r="AI5686" s="30"/>
      <x:c r="AJ5686" s="87" t="str">
        <x:v>clean</x:v>
      </x:c>
      <x:c r="AK5686" s="87" t="str">
        <x:v>clean-v0.16</x:v>
      </x:c>
      <x:c r="AL5686" s="87" t="str">
        <x:v>statgrad_clean_continuation_v0_16(1).xlsx</x:v>
      </x:c>
      <x:c r="AM5686" s="87" t="str">
        <x:v>SOC_EGKR_953</x:v>
      </x:c>
      <x:c r="AN5686" s="87" t="n">
        <x:v>23</x:v>
      </x:c>
    </x:row>
    <x:row r="5687">
      <x:c r="A5687" s="87" t="n">
        <x:v>5686</x:v>
      </x:c>
      <x:c r="B5687" s="87" t="str">
        <x:v>EGKR-W25-SOC-953-23</x:v>
      </x:c>
      <x:c r="C5687" s="87" t="str">
        <x:v>ЕГКР</x:v>
      </x:c>
      <x:c r="D5687" s="87"/>
      <x:c r="E5687" s="87" t="str">
        <x:v>Зима 2025</x:v>
      </x:c>
      <x:c r="F5687" s="87" t="str">
        <x:v>18.12.2025</x:v>
      </x:c>
      <x:c r="G5687" s="87" t="str">
        <x:v>Обществознание</x:v>
      </x:c>
      <x:c r="H5687" s="87" t="n">
        <x:v>11</x:v>
      </x:c>
      <x:c r="I5687" s="87"/>
      <x:c r="J5687" s="87" t="str">
        <x:v>953</x:v>
      </x:c>
      <x:c r="K5687" s="87" t="n">
        <x:v>23</x:v>
      </x:c>
      <x:c r="L5687" s="87" t="str">
        <x:v>Развёрнутый ответ</x:v>
      </x:c>
      <x:c r="M5687" s="30" t="str">
        <x:v>Объяснить приоритет прав и свобод, федерализм и социальную направленность государства.</x:v>
      </x:c>
      <x:c r="N5687" s="30" t="str">
        <x:v>Права и свободы человека признаются высшей ценностью, а их соблюдение и защита являются обязанностью государства. Федерализм означает государственную целостность, разграничение полномочий и равноправие субъектов. Социальное государство проводит политику, создающую условия для достойной жизни и свободного развития человека, поддерживает семью, труд, здоровье и социальное обеспечение.</x:v>
      </x:c>
      <x:c r="O5687" s="30" t="str">
        <x:v>Модель включает все элементы, прямо требуемые формулировкой задания.</x:v>
      </x:c>
      <x:c r="P5687" s="30" t="str">
        <x:v>Содержание проверено по исходному тексту, обществоведческим понятиям и правовым нормам.</x:v>
      </x:c>
      <x:c r="Q5687" s="30"/>
      <x:c r="R5687" s="30"/>
      <x:c r="S5687" s="30" t="str">
        <x:v>Независимая модель; вторичный DOCX использован только для аудита</x:v>
      </x:c>
      <x:c r="T5687" s="30"/>
      <x:c r="U5687" s="30" t="str">
        <x:v>Модель независимо проверена по условию. Модель отсутствовала во вторичном ответнике и подготовлена независимо.</x:v>
      </x:c>
      <x:c r="V5687" s="87" t="str">
        <x:v>VERIFIED</x:v>
      </x:c>
      <x:c r="W5687" s="87"/>
      <x:c r="X5687" s="87"/>
      <x:c r="Y5687" s="87" t="n">
        <x:v>7</x:v>
      </x:c>
      <x:c r="Z5687" s="87" t="n">
        <x:v>7</x:v>
      </x:c>
      <x:c r="AA5687" s="87"/>
      <x:c r="AB5687" s="87"/>
      <x:c r="AC5687" s="87" t="str">
        <x:v>VIS-EGKR-SOC-W25-TASK-953-P007</x:v>
      </x:c>
      <x:c r="AD5687" s="87"/>
      <x:c r="AE5687" s="87" t="str">
        <x:v>TASK</x:v>
      </x:c>
      <x:c r="AF5687" s="87" t="str">
        <x:v>VIS-EGKR-SOC-W25-TASK-953-P007: 7</x:v>
      </x:c>
      <x:c r="AG5687" s="87" t="str">
        <x:v>RESOLVED</x:v>
      </x:c>
      <x:c r="AH5687" s="87" t="str">
        <x:v>CROP_VERIFIED</x:v>
      </x:c>
      <x:c r="AI5687" s="30"/>
      <x:c r="AJ5687" s="87" t="str">
        <x:v>clean</x:v>
      </x:c>
      <x:c r="AK5687" s="87" t="str">
        <x:v>clean-v0.16</x:v>
      </x:c>
      <x:c r="AL5687" s="87" t="str">
        <x:v>statgrad_clean_continuation_v0_16(1).xlsx</x:v>
      </x:c>
      <x:c r="AM5687" s="87" t="str">
        <x:v>SOC_EGKR_953</x:v>
      </x:c>
      <x:c r="AN5687" s="87" t="n">
        <x:v>24</x:v>
      </x:c>
    </x:row>
    <x:row r="5688">
      <x:c r="A5688" s="87" t="n">
        <x:v>5687</x:v>
      </x:c>
      <x:c r="B5688" s="87" t="str">
        <x:v>EGKR-W25-SOC-953-24</x:v>
      </x:c>
      <x:c r="C5688" s="87" t="str">
        <x:v>ЕГКР</x:v>
      </x:c>
      <x:c r="D5688" s="87"/>
      <x:c r="E5688" s="87" t="str">
        <x:v>Зима 2025</x:v>
      </x:c>
      <x:c r="F5688" s="87" t="str">
        <x:v>18.12.2025</x:v>
      </x:c>
      <x:c r="G5688" s="87" t="str">
        <x:v>Обществознание</x:v>
      </x:c>
      <x:c r="H5688" s="87" t="n">
        <x:v>11</x:v>
      </x:c>
      <x:c r="I5688" s="87"/>
      <x:c r="J5688" s="87" t="str">
        <x:v>953</x:v>
      </x:c>
      <x:c r="K5688" s="87" t="n">
        <x:v>24</x:v>
      </x:c>
      <x:c r="L5688" s="87" t="str">
        <x:v>Развёрнутый ответ</x:v>
      </x:c>
      <x:c r="M5688" s="30" t="str">
        <x:v>Составить сложный план «Гражданское общество».</x:v>
      </x:c>
      <x:c r="N5688" s="30" t="str">
        <x:v>1. Понятие гражданского общества. 2. Предпосылки: а) частная собственность и рынок; б) правовое государство; в) политический плюрализм; г) развитая культура граждан. 3. Признаки: а) самодеятельность и инициатива; б) горизонтальные связи; в) добровольность объединений; г) автономия от государства. 4. Институты: семья, общественные объединения, партии, профсоюзы, СМИ, предпринимательские союзы. 5. Функции: защита интересов, общественный контроль, социализация, взаимопомощь. 6. Взаимодействие с правовым государством. 7. Условия развития гражданского общества.</x:v>
      </x:c>
      <x:c r="O5688" s="30" t="str">
        <x:v>Модель включает все элементы, прямо требуемые формулировкой задания.</x:v>
      </x:c>
      <x:c r="P5688" s="30" t="str">
        <x:v>Содержание проверено по исходному тексту, обществоведческим понятиям и правовым нормам.</x:v>
      </x:c>
      <x:c r="Q5688" s="30"/>
      <x:c r="R5688" s="30"/>
      <x:c r="S5688" s="30" t="str">
        <x:v>Независимая модель; вторичный DOCX использован только для аудита</x:v>
      </x:c>
      <x:c r="T5688" s="30"/>
      <x:c r="U5688" s="30" t="str">
        <x:v>Модель независимо проверена по условию.</x:v>
      </x:c>
      <x:c r="V5688" s="87" t="str">
        <x:v>VERIFIED</x:v>
      </x:c>
      <x:c r="W5688" s="87"/>
      <x:c r="X5688" s="87"/>
      <x:c r="Y5688" s="87" t="n">
        <x:v>7</x:v>
      </x:c>
      <x:c r="Z5688" s="87" t="n">
        <x:v>7</x:v>
      </x:c>
      <x:c r="AA5688" s="87"/>
      <x:c r="AB5688" s="87"/>
      <x:c r="AC5688" s="87" t="str">
        <x:v>VIS-EGKR-SOC-W25-TASK-953-P007</x:v>
      </x:c>
      <x:c r="AD5688" s="87" t="str">
        <x:v>VIS-EGKR-SOC-W25-ANSWERDOC-P005</x:v>
      </x:c>
      <x:c r="AE5688" s="87" t="str">
        <x:v>TASK; SECONDARY_ANSWER_SOURCE</x:v>
      </x:c>
      <x:c r="AF5688" s="87" t="str">
        <x:v>VIS-EGKR-SOC-W25-TASK-953-P007: 7; VIS-EGKR-SOC-W25-ANSWERDOC-P005: 5</x:v>
      </x:c>
      <x:c r="AG5688" s="87" t="str">
        <x:v>RESOLVED</x:v>
      </x:c>
      <x:c r="AH5688" s="87" t="str">
        <x:v>CROP_VERIFIED</x:v>
      </x:c>
      <x:c r="AI5688" s="30"/>
      <x:c r="AJ5688" s="87" t="str">
        <x:v>clean</x:v>
      </x:c>
      <x:c r="AK5688" s="87" t="str">
        <x:v>clean-v0.16</x:v>
      </x:c>
      <x:c r="AL5688" s="87" t="str">
        <x:v>statgrad_clean_continuation_v0_16(1).xlsx</x:v>
      </x:c>
      <x:c r="AM5688" s="87" t="str">
        <x:v>SOC_EGKR_953</x:v>
      </x:c>
      <x:c r="AN5688" s="87" t="n">
        <x:v>25</x:v>
      </x:c>
    </x:row>
    <x:row r="5689">
      <x:c r="A5689" s="87" t="n">
        <x:v>5688</x:v>
      </x:c>
      <x:c r="B5689" s="87" t="str">
        <x:v>EGKR-W25-SOC-953-25</x:v>
      </x:c>
      <x:c r="C5689" s="87" t="str">
        <x:v>ЕГКР</x:v>
      </x:c>
      <x:c r="D5689" s="87"/>
      <x:c r="E5689" s="87" t="str">
        <x:v>Зима 2025</x:v>
      </x:c>
      <x:c r="F5689" s="87" t="str">
        <x:v>18.12.2025</x:v>
      </x:c>
      <x:c r="G5689" s="87" t="str">
        <x:v>Обществознание</x:v>
      </x:c>
      <x:c r="H5689" s="87" t="n">
        <x:v>11</x:v>
      </x:c>
      <x:c r="I5689" s="87"/>
      <x:c r="J5689" s="87" t="str">
        <x:v>953</x:v>
      </x:c>
      <x:c r="K5689" s="87" t="n">
        <x:v>25</x:v>
      </x:c>
      <x:c r="L5689" s="87" t="str">
        <x:v>Развёрнутый ответ</x:v>
      </x:c>
      <x:c r="M5689" s="30" t="str">
        <x:v>Обосновать влияние гражданского общества на патриотизм, назвать три организации и привести примеры.</x:v>
      </x:c>
      <x:c r="N5689" s="30" t="str">
        <x:v>Участие в добровольных объединениях формирует ответственность за общее благо, навыки сотрудничества и причастность к истории страны, поэтому способствует гражданственности и патриотизму. Организации: «Движение первых», «Юнармия», «Волонтёры Победы». «Движение первых» организует школьные проекты по истории родного края; отряд «Юнармии» проводит уход за воинским мемориалом; «Волонтёры Победы» помогают ветеранам и сопровождают памятные мероприятия.</x:v>
      </x:c>
      <x:c r="O5689" s="30" t="str">
        <x:v>Модель включает все элементы, прямо требуемые формулировкой задания.</x:v>
      </x:c>
      <x:c r="P5689" s="30" t="str">
        <x:v>Содержание проверено по исходному тексту, обществоведческим понятиям и правовым нормам.</x:v>
      </x:c>
      <x:c r="Q5689" s="30"/>
      <x:c r="R5689" s="30"/>
      <x:c r="S5689" s="30" t="str">
        <x:v>Независимая модель; вторичный DOCX использован только для аудита</x:v>
      </x:c>
      <x:c r="T5689" s="30"/>
      <x:c r="U5689" s="30" t="str">
        <x:v>Модель независимо проверена по условию. Модель отсутствовала во вторичном ответнике и подготовлена независимо.</x:v>
      </x:c>
      <x:c r="V5689" s="87" t="str">
        <x:v>VERIFIED</x:v>
      </x:c>
      <x:c r="W5689" s="87"/>
      <x:c r="X5689" s="87"/>
      <x:c r="Y5689" s="87" t="n">
        <x:v>7</x:v>
      </x:c>
      <x:c r="Z5689" s="87" t="n">
        <x:v>7</x:v>
      </x:c>
      <x:c r="AA5689" s="87"/>
      <x:c r="AB5689" s="87"/>
      <x:c r="AC5689" s="87" t="str">
        <x:v>VIS-EGKR-SOC-W25-TASK-953-P007</x:v>
      </x:c>
      <x:c r="AD5689" s="87"/>
      <x:c r="AE5689" s="87" t="str">
        <x:v>TASK</x:v>
      </x:c>
      <x:c r="AF5689" s="87" t="str">
        <x:v>VIS-EGKR-SOC-W25-TASK-953-P007: 7</x:v>
      </x:c>
      <x:c r="AG5689" s="87" t="str">
        <x:v>RESOLVED</x:v>
      </x:c>
      <x:c r="AH5689" s="87" t="str">
        <x:v>CROP_VERIFIED</x:v>
      </x:c>
      <x:c r="AI5689" s="30"/>
      <x:c r="AJ5689" s="87" t="str">
        <x:v>clean</x:v>
      </x:c>
      <x:c r="AK5689" s="87" t="str">
        <x:v>clean-v0.16</x:v>
      </x:c>
      <x:c r="AL5689" s="87" t="str">
        <x:v>statgrad_clean_continuation_v0_16(1).xlsx</x:v>
      </x:c>
      <x:c r="AM5689" s="87" t="str">
        <x:v>SOC_EGKR_953</x:v>
      </x:c>
      <x:c r="AN5689" s="87" t="n">
        <x:v>26</x:v>
      </x:c>
    </x:row>
    <x:row r="5690">
      <x:c r="A5690" s="87" t="n">
        <x:v>5689</x:v>
      </x:c>
      <x:c r="B5690" s="87" t="str">
        <x:v>EGKR-W25-SOC-954-01</x:v>
      </x:c>
      <x:c r="C5690" s="87" t="str">
        <x:v>ЕГКР</x:v>
      </x:c>
      <x:c r="D5690" s="87"/>
      <x:c r="E5690" s="87" t="str">
        <x:v>Зима 2025</x:v>
      </x:c>
      <x:c r="F5690" s="87" t="str">
        <x:v>18.12.2025</x:v>
      </x:c>
      <x:c r="G5690" s="87" t="str">
        <x:v>Обществознание</x:v>
      </x:c>
      <x:c r="H5690" s="87" t="n">
        <x:v>11</x:v>
      </x:c>
      <x:c r="I5690" s="87"/>
      <x:c r="J5690" s="87" t="str">
        <x:v>954</x:v>
      </x:c>
      <x:c r="K5690" s="87" t="n">
        <x:v>1</x:v>
      </x:c>
      <x:c r="L5690" s="87" t="str">
        <x:v>Краткий ответ</x:v>
      </x:c>
      <x:c r="M5690" s="30" t="str">
        <x:v>Найти две издержки, не относящиеся к переменным издержкам фирмы.</x:v>
      </x:c>
      <x:c r="N5690" s="30" t="str">
        <x:v>36</x:v>
      </x:c>
      <x:c r="O5690" s="30" t="str">
        <x:v>Позиции проверены по определениям и нормам обществоведческого курса; итоговая последовательность: 36.</x:v>
      </x:c>
      <x:c r="P5690" s="30" t="str">
        <x:v>Проверено по формулировке задания, обществоведческим определениям и нормам.</x:v>
      </x:c>
      <x:c r="Q5690" s="30"/>
      <x:c r="R5690" s="30"/>
      <x:c r="S5690" s="30" t="str">
        <x:v>Ответы (3).docx — вторичный источник</x:v>
      </x:c>
      <x:c r="T5690" s="30"/>
      <x:c r="U5690" s="30" t="str">
        <x:v>Ответник совпадает с независимой проверкой.</x:v>
      </x:c>
      <x:c r="V5690" s="87" t="str">
        <x:v>VERIFIED</x:v>
      </x:c>
      <x:c r="W5690" s="87"/>
      <x:c r="X5690" s="87"/>
      <x:c r="Y5690" s="87" t="n">
        <x:v>1</x:v>
      </x:c>
      <x:c r="Z5690" s="87" t="n">
        <x:v>1</x:v>
      </x:c>
      <x:c r="AA5690" s="87"/>
      <x:c r="AB5690" s="87"/>
      <x:c r="AC5690" s="87" t="str">
        <x:v>VIS-EGKR-SOC-W25-TASK-954-P001</x:v>
      </x:c>
      <x:c r="AD5690" s="87" t="str">
        <x:v>VIS-EGKR-SOC-W25-ANSWERDOC-P006</x:v>
      </x:c>
      <x:c r="AE5690" s="87" t="str">
        <x:v>TASK; SECONDARY_ANSWER_SOURCE</x:v>
      </x:c>
      <x:c r="AF5690" s="87" t="str">
        <x:v>VIS-EGKR-SOC-W25-TASK-954-P001: 1; VIS-EGKR-SOC-W25-ANSWERDOC-P006: 6</x:v>
      </x:c>
      <x:c r="AG5690" s="87" t="str">
        <x:v>RESOLVED</x:v>
      </x:c>
      <x:c r="AH5690" s="87" t="str">
        <x:v>CROP_VERIFIED</x:v>
      </x:c>
      <x:c r="AI5690" s="30"/>
      <x:c r="AJ5690" s="87" t="str">
        <x:v>clean</x:v>
      </x:c>
      <x:c r="AK5690" s="87" t="str">
        <x:v>clean-v0.16</x:v>
      </x:c>
      <x:c r="AL5690" s="87" t="str">
        <x:v>statgrad_clean_continuation_v0_16(1).xlsx</x:v>
      </x:c>
      <x:c r="AM5690" s="87" t="str">
        <x:v>SOC_EGKR_954</x:v>
      </x:c>
      <x:c r="AN5690" s="87" t="n">
        <x:v>2</x:v>
      </x:c>
    </x:row>
    <x:row r="5691">
      <x:c r="A5691" s="87" t="n">
        <x:v>5690</x:v>
      </x:c>
      <x:c r="B5691" s="87" t="str">
        <x:v>EGKR-W25-SOC-954-02</x:v>
      </x:c>
      <x:c r="C5691" s="87" t="str">
        <x:v>ЕГКР</x:v>
      </x:c>
      <x:c r="D5691" s="87"/>
      <x:c r="E5691" s="87" t="str">
        <x:v>Зима 2025</x:v>
      </x:c>
      <x:c r="F5691" s="87" t="str">
        <x:v>18.12.2025</x:v>
      </x:c>
      <x:c r="G5691" s="87" t="str">
        <x:v>Обществознание</x:v>
      </x:c>
      <x:c r="H5691" s="87" t="n">
        <x:v>11</x:v>
      </x:c>
      <x:c r="I5691" s="87"/>
      <x:c r="J5691" s="87" t="str">
        <x:v>954</x:v>
      </x:c>
      <x:c r="K5691" s="87" t="n">
        <x:v>2</x:v>
      </x:c>
      <x:c r="L5691" s="87" t="str">
        <x:v>Краткий ответ</x:v>
      </x:c>
      <x:c r="M5691" s="30" t="str">
        <x:v>Выбрать верные суждения о деятельности, мотивах и творчестве.</x:v>
      </x:c>
      <x:c r="N5691" s="30" t="str">
        <x:v>145</x:v>
      </x:c>
      <x:c r="O5691" s="30" t="str">
        <x:v>Позиции проверены по определениям и нормам обществоведческого курса; итоговая последовательность: 145.</x:v>
      </x:c>
      <x:c r="P5691" s="30" t="str">
        <x:v>Проверено по формулировке задания, обществоведческим определениям и нормам.</x:v>
      </x:c>
      <x:c r="Q5691" s="30"/>
      <x:c r="R5691" s="30"/>
      <x:c r="S5691" s="30" t="str">
        <x:v>Ответы (3).docx — вторичный источник</x:v>
      </x:c>
      <x:c r="T5691" s="30"/>
      <x:c r="U5691" s="30" t="str">
        <x:v>Ответник совпадает с независимой проверкой.</x:v>
      </x:c>
      <x:c r="V5691" s="87" t="str">
        <x:v>VERIFIED</x:v>
      </x:c>
      <x:c r="W5691" s="87"/>
      <x:c r="X5691" s="87"/>
      <x:c r="Y5691" s="87" t="n">
        <x:v>1</x:v>
      </x:c>
      <x:c r="Z5691" s="87" t="n">
        <x:v>1</x:v>
      </x:c>
      <x:c r="AA5691" s="87"/>
      <x:c r="AB5691" s="87"/>
      <x:c r="AC5691" s="87" t="str">
        <x:v>VIS-EGKR-SOC-W25-TASK-954-P001</x:v>
      </x:c>
      <x:c r="AD5691" s="87" t="str">
        <x:v>VIS-EGKR-SOC-W25-ANSWERDOC-P006</x:v>
      </x:c>
      <x:c r="AE5691" s="87" t="str">
        <x:v>TASK; SECONDARY_ANSWER_SOURCE</x:v>
      </x:c>
      <x:c r="AF5691" s="87" t="str">
        <x:v>VIS-EGKR-SOC-W25-TASK-954-P001: 1; VIS-EGKR-SOC-W25-ANSWERDOC-P006: 6</x:v>
      </x:c>
      <x:c r="AG5691" s="87" t="str">
        <x:v>RESOLVED</x:v>
      </x:c>
      <x:c r="AH5691" s="87" t="str">
        <x:v>CROP_VERIFIED</x:v>
      </x:c>
      <x:c r="AI5691" s="30"/>
      <x:c r="AJ5691" s="87" t="str">
        <x:v>clean</x:v>
      </x:c>
      <x:c r="AK5691" s="87" t="str">
        <x:v>clean-v0.16</x:v>
      </x:c>
      <x:c r="AL5691" s="87" t="str">
        <x:v>statgrad_clean_continuation_v0_16(1).xlsx</x:v>
      </x:c>
      <x:c r="AM5691" s="87" t="str">
        <x:v>SOC_EGKR_954</x:v>
      </x:c>
      <x:c r="AN5691" s="87" t="n">
        <x:v>3</x:v>
      </x:c>
    </x:row>
    <x:row r="5692">
      <x:c r="A5692" s="87" t="n">
        <x:v>5691</x:v>
      </x:c>
      <x:c r="B5692" s="87" t="str">
        <x:v>EGKR-W25-SOC-954-03</x:v>
      </x:c>
      <x:c r="C5692" s="87" t="str">
        <x:v>ЕГКР</x:v>
      </x:c>
      <x:c r="D5692" s="87"/>
      <x:c r="E5692" s="87" t="str">
        <x:v>Зима 2025</x:v>
      </x:c>
      <x:c r="F5692" s="87" t="str">
        <x:v>18.12.2025</x:v>
      </x:c>
      <x:c r="G5692" s="87" t="str">
        <x:v>Обществознание</x:v>
      </x:c>
      <x:c r="H5692" s="87" t="n">
        <x:v>11</x:v>
      </x:c>
      <x:c r="I5692" s="87"/>
      <x:c r="J5692" s="87" t="str">
        <x:v>954</x:v>
      </x:c>
      <x:c r="K5692" s="87" t="n">
        <x:v>3</x:v>
      </x:c>
      <x:c r="L5692" s="87" t="str">
        <x:v>Краткий ответ</x:v>
      </x:c>
      <x:c r="M5692" s="30" t="str">
        <x:v>Соотнести характеристики с элитарной и массовой культурой.</x:v>
      </x:c>
      <x:c r="N5692" s="30" t="str">
        <x:v>12221</x:v>
      </x:c>
      <x:c r="O5692" s="30" t="str">
        <x:v>Позиции проверены по определениям и нормам обществоведческого курса; итоговая последовательность: 12221.</x:v>
      </x:c>
      <x:c r="P5692" s="30" t="str">
        <x:v>Проверено по формулировке задания, обществоведческим определениям и нормам.</x:v>
      </x:c>
      <x:c r="Q5692" s="30"/>
      <x:c r="R5692" s="30"/>
      <x:c r="S5692" s="30" t="str">
        <x:v>Ответы (3).docx — вторичный источник</x:v>
      </x:c>
      <x:c r="T5692" s="30"/>
      <x:c r="U5692" s="30" t="str">
        <x:v>Ответник совпадает с независимой проверкой.</x:v>
      </x:c>
      <x:c r="V5692" s="87" t="str">
        <x:v>VERIFIED</x:v>
      </x:c>
      <x:c r="W5692" s="87"/>
      <x:c r="X5692" s="87"/>
      <x:c r="Y5692" s="87" t="n">
        <x:v>2</x:v>
      </x:c>
      <x:c r="Z5692" s="87" t="n">
        <x:v>2</x:v>
      </x:c>
      <x:c r="AA5692" s="87"/>
      <x:c r="AB5692" s="87"/>
      <x:c r="AC5692" s="87" t="str">
        <x:v>VIS-EGKR-SOC-W25-TASK-954-P002</x:v>
      </x:c>
      <x:c r="AD5692" s="87" t="str">
        <x:v>VIS-EGKR-SOC-W25-ANSWERDOC-P006</x:v>
      </x:c>
      <x:c r="AE5692" s="87" t="str">
        <x:v>TASK; SECONDARY_ANSWER_SOURCE</x:v>
      </x:c>
      <x:c r="AF5692" s="87" t="str">
        <x:v>VIS-EGKR-SOC-W25-TASK-954-P002: 2; VIS-EGKR-SOC-W25-ANSWERDOC-P006: 6</x:v>
      </x:c>
      <x:c r="AG5692" s="87" t="str">
        <x:v>RESOLVED</x:v>
      </x:c>
      <x:c r="AH5692" s="87" t="str">
        <x:v>CROP_VERIFIED</x:v>
      </x:c>
      <x:c r="AI5692" s="30"/>
      <x:c r="AJ5692" s="87" t="str">
        <x:v>clean</x:v>
      </x:c>
      <x:c r="AK5692" s="87" t="str">
        <x:v>clean-v0.16</x:v>
      </x:c>
      <x:c r="AL5692" s="87" t="str">
        <x:v>statgrad_clean_continuation_v0_16(1).xlsx</x:v>
      </x:c>
      <x:c r="AM5692" s="87" t="str">
        <x:v>SOC_EGKR_954</x:v>
      </x:c>
      <x:c r="AN5692" s="87" t="n">
        <x:v>4</x:v>
      </x:c>
    </x:row>
    <x:row r="5693">
      <x:c r="A5693" s="87" t="n">
        <x:v>5692</x:v>
      </x:c>
      <x:c r="B5693" s="87" t="str">
        <x:v>EGKR-W25-SOC-954-04</x:v>
      </x:c>
      <x:c r="C5693" s="87" t="str">
        <x:v>ЕГКР</x:v>
      </x:c>
      <x:c r="D5693" s="87"/>
      <x:c r="E5693" s="87" t="str">
        <x:v>Зима 2025</x:v>
      </x:c>
      <x:c r="F5693" s="87" t="str">
        <x:v>18.12.2025</x:v>
      </x:c>
      <x:c r="G5693" s="87" t="str">
        <x:v>Обществознание</x:v>
      </x:c>
      <x:c r="H5693" s="87" t="n">
        <x:v>11</x:v>
      </x:c>
      <x:c r="I5693" s="87"/>
      <x:c r="J5693" s="87" t="str">
        <x:v>954</x:v>
      </x:c>
      <x:c r="K5693" s="87" t="n">
        <x:v>4</x:v>
      </x:c>
      <x:c r="L5693" s="87" t="str">
        <x:v>Краткий ответ</x:v>
      </x:c>
      <x:c r="M5693" s="30" t="str">
        <x:v>Выбрать признаки постиндустриального общества.</x:v>
      </x:c>
      <x:c r="N5693" s="30" t="str">
        <x:v>124</x:v>
      </x:c>
      <x:c r="O5693" s="30" t="str">
        <x:v>Позиции проверены по определениям и нормам обществоведческого курса; итоговая последовательность: 124.</x:v>
      </x:c>
      <x:c r="P5693" s="30" t="str">
        <x:v>Проверено по формулировке задания, обществоведческим определениям и нормам.</x:v>
      </x:c>
      <x:c r="Q5693" s="30"/>
      <x:c r="R5693" s="30"/>
      <x:c r="S5693" s="30" t="str">
        <x:v>Ответы (3).docx — вторичный источник</x:v>
      </x:c>
      <x:c r="T5693" s="30"/>
      <x:c r="U5693" s="30" t="str">
        <x:v>Ответник совпадает с независимой проверкой.</x:v>
      </x:c>
      <x:c r="V5693" s="87" t="str">
        <x:v>VERIFIED</x:v>
      </x:c>
      <x:c r="W5693" s="87"/>
      <x:c r="X5693" s="87"/>
      <x:c r="Y5693" s="87" t="n">
        <x:v>2</x:v>
      </x:c>
      <x:c r="Z5693" s="87" t="n">
        <x:v>2</x:v>
      </x:c>
      <x:c r="AA5693" s="87"/>
      <x:c r="AB5693" s="87"/>
      <x:c r="AC5693" s="87" t="str">
        <x:v>VIS-EGKR-SOC-W25-TASK-954-P002</x:v>
      </x:c>
      <x:c r="AD5693" s="87" t="str">
        <x:v>VIS-EGKR-SOC-W25-ANSWERDOC-P006</x:v>
      </x:c>
      <x:c r="AE5693" s="87" t="str">
        <x:v>TASK; SECONDARY_ANSWER_SOURCE</x:v>
      </x:c>
      <x:c r="AF5693" s="87" t="str">
        <x:v>VIS-EGKR-SOC-W25-TASK-954-P002: 2; VIS-EGKR-SOC-W25-ANSWERDOC-P006: 6</x:v>
      </x:c>
      <x:c r="AG5693" s="87" t="str">
        <x:v>RESOLVED</x:v>
      </x:c>
      <x:c r="AH5693" s="87" t="str">
        <x:v>CROP_VERIFIED</x:v>
      </x:c>
      <x:c r="AI5693" s="30"/>
      <x:c r="AJ5693" s="87" t="str">
        <x:v>clean</x:v>
      </x:c>
      <x:c r="AK5693" s="87" t="str">
        <x:v>clean-v0.16</x:v>
      </x:c>
      <x:c r="AL5693" s="87" t="str">
        <x:v>statgrad_clean_continuation_v0_16(1).xlsx</x:v>
      </x:c>
      <x:c r="AM5693" s="87" t="str">
        <x:v>SOC_EGKR_954</x:v>
      </x:c>
      <x:c r="AN5693" s="87" t="n">
        <x:v>5</x:v>
      </x:c>
    </x:row>
    <x:row r="5694">
      <x:c r="A5694" s="87" t="n">
        <x:v>5693</x:v>
      </x:c>
      <x:c r="B5694" s="87" t="str">
        <x:v>EGKR-W25-SOC-954-05</x:v>
      </x:c>
      <x:c r="C5694" s="87" t="str">
        <x:v>ЕГКР</x:v>
      </x:c>
      <x:c r="D5694" s="87"/>
      <x:c r="E5694" s="87" t="str">
        <x:v>Зима 2025</x:v>
      </x:c>
      <x:c r="F5694" s="87" t="str">
        <x:v>18.12.2025</x:v>
      </x:c>
      <x:c r="G5694" s="87" t="str">
        <x:v>Обществознание</x:v>
      </x:c>
      <x:c r="H5694" s="87" t="n">
        <x:v>11</x:v>
      </x:c>
      <x:c r="I5694" s="87"/>
      <x:c r="J5694" s="87" t="str">
        <x:v>954</x:v>
      </x:c>
      <x:c r="K5694" s="87" t="n">
        <x:v>5</x:v>
      </x:c>
      <x:c r="L5694" s="87" t="str">
        <x:v>Краткий ответ</x:v>
      </x:c>
      <x:c r="M5694" s="30" t="str">
        <x:v>Выбрать верные суждения об инфляции и антиинфляционной политике.</x:v>
      </x:c>
      <x:c r="N5694" s="30" t="str">
        <x:v>345</x:v>
      </x:c>
      <x:c r="O5694" s="30" t="str">
        <x:v>Позиции проверены по определениям и нормам обществоведческого курса; итоговая последовательность: 345.</x:v>
      </x:c>
      <x:c r="P5694" s="30" t="str">
        <x:v>Проверено по формулировке задания, обществоведческим определениям и нормам.</x:v>
      </x:c>
      <x:c r="Q5694" s="30"/>
      <x:c r="R5694" s="30"/>
      <x:c r="S5694" s="30" t="str">
        <x:v>Ответы (3).docx — вторичный источник</x:v>
      </x:c>
      <x:c r="T5694" s="30"/>
      <x:c r="U5694" s="30" t="str">
        <x:v>Ответник совпадает с независимой проверкой.</x:v>
      </x:c>
      <x:c r="V5694" s="87" t="str">
        <x:v>VERIFIED</x:v>
      </x:c>
      <x:c r="W5694" s="87"/>
      <x:c r="X5694" s="87"/>
      <x:c r="Y5694" s="87" t="n">
        <x:v>2</x:v>
      </x:c>
      <x:c r="Z5694" s="87" t="n">
        <x:v>2</x:v>
      </x:c>
      <x:c r="AA5694" s="87"/>
      <x:c r="AB5694" s="87"/>
      <x:c r="AC5694" s="87" t="str">
        <x:v>VIS-EGKR-SOC-W25-TASK-954-P002</x:v>
      </x:c>
      <x:c r="AD5694" s="87" t="str">
        <x:v>VIS-EGKR-SOC-W25-ANSWERDOC-P006</x:v>
      </x:c>
      <x:c r="AE5694" s="87" t="str">
        <x:v>TASK; SECONDARY_ANSWER_SOURCE</x:v>
      </x:c>
      <x:c r="AF5694" s="87" t="str">
        <x:v>VIS-EGKR-SOC-W25-TASK-954-P002: 2; VIS-EGKR-SOC-W25-ANSWERDOC-P006: 6</x:v>
      </x:c>
      <x:c r="AG5694" s="87" t="str">
        <x:v>RESOLVED</x:v>
      </x:c>
      <x:c r="AH5694" s="87" t="str">
        <x:v>CROP_VERIFIED</x:v>
      </x:c>
      <x:c r="AI5694" s="30"/>
      <x:c r="AJ5694" s="87" t="str">
        <x:v>clean</x:v>
      </x:c>
      <x:c r="AK5694" s="87" t="str">
        <x:v>clean-v0.16</x:v>
      </x:c>
      <x:c r="AL5694" s="87" t="str">
        <x:v>statgrad_clean_continuation_v0_16(1).xlsx</x:v>
      </x:c>
      <x:c r="AM5694" s="87" t="str">
        <x:v>SOC_EGKR_954</x:v>
      </x:c>
      <x:c r="AN5694" s="87" t="n">
        <x:v>6</x:v>
      </x:c>
    </x:row>
    <x:row r="5695">
      <x:c r="A5695" s="87" t="n">
        <x:v>5694</x:v>
      </x:c>
      <x:c r="B5695" s="87" t="str">
        <x:v>EGKR-W25-SOC-954-06</x:v>
      </x:c>
      <x:c r="C5695" s="87" t="str">
        <x:v>ЕГКР</x:v>
      </x:c>
      <x:c r="D5695" s="87"/>
      <x:c r="E5695" s="87" t="str">
        <x:v>Зима 2025</x:v>
      </x:c>
      <x:c r="F5695" s="87" t="str">
        <x:v>18.12.2025</x:v>
      </x:c>
      <x:c r="G5695" s="87" t="str">
        <x:v>Обществознание</x:v>
      </x:c>
      <x:c r="H5695" s="87" t="n">
        <x:v>11</x:v>
      </x:c>
      <x:c r="I5695" s="87"/>
      <x:c r="J5695" s="87" t="str">
        <x:v>954</x:v>
      </x:c>
      <x:c r="K5695" s="87" t="n">
        <x:v>6</x:v>
      </x:c>
      <x:c r="L5695" s="87" t="str">
        <x:v>Краткий ответ</x:v>
      </x:c>
      <x:c r="M5695" s="30" t="str">
        <x:v>Соотнести налоги и сборы с местным, региональным и федеральным уровнями.</x:v>
      </x:c>
      <x:c r="N5695" s="30" t="str">
        <x:v>13321</x:v>
      </x:c>
      <x:c r="O5695" s="30" t="str">
        <x:v>Позиции проверены по определениям и нормам обществоведческого курса; итоговая последовательность: 13321.</x:v>
      </x:c>
      <x:c r="P5695" s="30" t="str">
        <x:v>Проверено по формулировке задания, обществоведческим определениям и нормам.</x:v>
      </x:c>
      <x:c r="Q5695" s="30"/>
      <x:c r="R5695" s="30"/>
      <x:c r="S5695" s="30" t="str">
        <x:v>Ответы (3).docx — вторичный источник</x:v>
      </x:c>
      <x:c r="T5695" s="30"/>
      <x:c r="U5695" s="30" t="str">
        <x:v>Ответник совпадает с независимой проверкой.</x:v>
      </x:c>
      <x:c r="V5695" s="87" t="str">
        <x:v>VERIFIED</x:v>
      </x:c>
      <x:c r="W5695" s="87"/>
      <x:c r="X5695" s="87"/>
      <x:c r="Y5695" s="87" t="n">
        <x:v>2</x:v>
      </x:c>
      <x:c r="Z5695" s="87" t="n">
        <x:v>2</x:v>
      </x:c>
      <x:c r="AA5695" s="87"/>
      <x:c r="AB5695" s="87"/>
      <x:c r="AC5695" s="87" t="str">
        <x:v>VIS-EGKR-SOC-W25-TASK-954-P002</x:v>
      </x:c>
      <x:c r="AD5695" s="87" t="str">
        <x:v>VIS-EGKR-SOC-W25-ANSWERDOC-P006</x:v>
      </x:c>
      <x:c r="AE5695" s="87" t="str">
        <x:v>TASK; SECONDARY_ANSWER_SOURCE</x:v>
      </x:c>
      <x:c r="AF5695" s="87" t="str">
        <x:v>VIS-EGKR-SOC-W25-TASK-954-P002: 2; VIS-EGKR-SOC-W25-ANSWERDOC-P006: 6</x:v>
      </x:c>
      <x:c r="AG5695" s="87" t="str">
        <x:v>RESOLVED</x:v>
      </x:c>
      <x:c r="AH5695" s="87" t="str">
        <x:v>CROP_VERIFIED</x:v>
      </x:c>
      <x:c r="AI5695" s="30"/>
      <x:c r="AJ5695" s="87" t="str">
        <x:v>clean</x:v>
      </x:c>
      <x:c r="AK5695" s="87" t="str">
        <x:v>clean-v0.16</x:v>
      </x:c>
      <x:c r="AL5695" s="87" t="str">
        <x:v>statgrad_clean_continuation_v0_16(1).xlsx</x:v>
      </x:c>
      <x:c r="AM5695" s="87" t="str">
        <x:v>SOC_EGKR_954</x:v>
      </x:c>
      <x:c r="AN5695" s="87" t="n">
        <x:v>7</x:v>
      </x:c>
    </x:row>
    <x:row r="5696">
      <x:c r="A5696" s="87" t="n">
        <x:v>5695</x:v>
      </x:c>
      <x:c r="B5696" s="87" t="str">
        <x:v>EGKR-W25-SOC-954-07</x:v>
      </x:c>
      <x:c r="C5696" s="87" t="str">
        <x:v>ЕГКР</x:v>
      </x:c>
      <x:c r="D5696" s="87"/>
      <x:c r="E5696" s="87" t="str">
        <x:v>Зима 2025</x:v>
      </x:c>
      <x:c r="F5696" s="87" t="str">
        <x:v>18.12.2025</x:v>
      </x:c>
      <x:c r="G5696" s="87" t="str">
        <x:v>Обществознание</x:v>
      </x:c>
      <x:c r="H5696" s="87" t="n">
        <x:v>11</x:v>
      </x:c>
      <x:c r="I5696" s="87"/>
      <x:c r="J5696" s="87" t="str">
        <x:v>954</x:v>
      </x:c>
      <x:c r="K5696" s="87" t="n">
        <x:v>7</x:v>
      </x:c>
      <x:c r="L5696" s="87" t="str">
        <x:v>Краткий ответ</x:v>
      </x:c>
      <x:c r="M5696" s="30" t="str">
        <x:v>Выбрать цифровые финансовые услуги.</x:v>
      </x:c>
      <x:c r="N5696" s="30" t="str">
        <x:v>145</x:v>
      </x:c>
      <x:c r="O5696" s="30" t="str">
        <x:v>Позиции проверены по определениям и нормам обществоведческого курса; итоговая последовательность: 145.</x:v>
      </x:c>
      <x:c r="P5696" s="30" t="str">
        <x:v>Проверено по формулировке задания, обществоведческим определениям и нормам.</x:v>
      </x:c>
      <x:c r="Q5696" s="30"/>
      <x:c r="R5696" s="30"/>
      <x:c r="S5696" s="30" t="str">
        <x:v>Ответы (3).docx — вторичный источник</x:v>
      </x:c>
      <x:c r="T5696" s="30"/>
      <x:c r="U5696" s="30" t="str">
        <x:v>Ответник совпадает с независимой проверкой.</x:v>
      </x:c>
      <x:c r="V5696" s="87" t="str">
        <x:v>VERIFIED</x:v>
      </x:c>
      <x:c r="W5696" s="87"/>
      <x:c r="X5696" s="87"/>
      <x:c r="Y5696" s="87" t="n">
        <x:v>3</x:v>
      </x:c>
      <x:c r="Z5696" s="87" t="n">
        <x:v>3</x:v>
      </x:c>
      <x:c r="AA5696" s="87"/>
      <x:c r="AB5696" s="87"/>
      <x:c r="AC5696" s="87" t="str">
        <x:v>VIS-EGKR-SOC-W25-TASK-954-P003</x:v>
      </x:c>
      <x:c r="AD5696" s="87" t="str">
        <x:v>VIS-EGKR-SOC-W25-ANSWERDOC-P006</x:v>
      </x:c>
      <x:c r="AE5696" s="87" t="str">
        <x:v>TASK; SECONDARY_ANSWER_SOURCE</x:v>
      </x:c>
      <x:c r="AF5696" s="87" t="str">
        <x:v>VIS-EGKR-SOC-W25-TASK-954-P003: 3; VIS-EGKR-SOC-W25-ANSWERDOC-P006: 6</x:v>
      </x:c>
      <x:c r="AG5696" s="87" t="str">
        <x:v>RESOLVED</x:v>
      </x:c>
      <x:c r="AH5696" s="87" t="str">
        <x:v>CROP_VERIFIED</x:v>
      </x:c>
      <x:c r="AI5696" s="30"/>
      <x:c r="AJ5696" s="87" t="str">
        <x:v>clean</x:v>
      </x:c>
      <x:c r="AK5696" s="87" t="str">
        <x:v>clean-v0.16</x:v>
      </x:c>
      <x:c r="AL5696" s="87" t="str">
        <x:v>statgrad_clean_continuation_v0_16(1).xlsx</x:v>
      </x:c>
      <x:c r="AM5696" s="87" t="str">
        <x:v>SOC_EGKR_954</x:v>
      </x:c>
      <x:c r="AN5696" s="87" t="n">
        <x:v>8</x:v>
      </x:c>
    </x:row>
    <x:row r="5697">
      <x:c r="A5697" s="87" t="n">
        <x:v>5696</x:v>
      </x:c>
      <x:c r="B5697" s="87" t="str">
        <x:v>EGKR-W25-SOC-954-08</x:v>
      </x:c>
      <x:c r="C5697" s="87" t="str">
        <x:v>ЕГКР</x:v>
      </x:c>
      <x:c r="D5697" s="87"/>
      <x:c r="E5697" s="87" t="str">
        <x:v>Зима 2025</x:v>
      </x:c>
      <x:c r="F5697" s="87" t="str">
        <x:v>18.12.2025</x:v>
      </x:c>
      <x:c r="G5697" s="87" t="str">
        <x:v>Обществознание</x:v>
      </x:c>
      <x:c r="H5697" s="87" t="n">
        <x:v>11</x:v>
      </x:c>
      <x:c r="I5697" s="87"/>
      <x:c r="J5697" s="87" t="str">
        <x:v>954</x:v>
      </x:c>
      <x:c r="K5697" s="87" t="n">
        <x:v>8</x:v>
      </x:c>
      <x:c r="L5697" s="87" t="str">
        <x:v>Краткий ответ</x:v>
      </x:c>
      <x:c r="M5697" s="30" t="str">
        <x:v>Выбрать верные суждения о социальных ролях.</x:v>
      </x:c>
      <x:c r="N5697" s="30" t="str">
        <x:v>135</x:v>
      </x:c>
      <x:c r="O5697" s="30" t="str">
        <x:v>Человек может одновременно выполнять несколько ролей; роль — динамический аспект статуса.</x:v>
      </x:c>
      <x:c r="P5697" s="30" t="str">
        <x:v>Проверено по формулировке задания, обществоведческим определениям и нормам.</x:v>
      </x:c>
      <x:c r="Q5697" s="30"/>
      <x:c r="R5697" s="30"/>
      <x:c r="S5697" s="30" t="str">
        <x:v>Ответы (3).docx — вторичный источник</x:v>
      </x:c>
      <x:c r="T5697" s="30"/>
      <x:c r="U5697" s="30" t="str">
        <x:v>Ответник: 145; независимое решение: 135.</x:v>
      </x:c>
      <x:c r="V5697" s="87" t="str">
        <x:v>KEY_MISMATCH</x:v>
      </x:c>
      <x:c r="W5697" s="87"/>
      <x:c r="X5697" s="87"/>
      <x:c r="Y5697" s="87" t="n">
        <x:v>3</x:v>
      </x:c>
      <x:c r="Z5697" s="87" t="n">
        <x:v>3</x:v>
      </x:c>
      <x:c r="AA5697" s="87"/>
      <x:c r="AB5697" s="87"/>
      <x:c r="AC5697" s="87" t="str">
        <x:v>VIS-EGKR-SOC-W25-TASK-954-P003</x:v>
      </x:c>
      <x:c r="AD5697" s="87" t="str">
        <x:v>VIS-EGKR-SOC-W25-ANSWERDOC-P006</x:v>
      </x:c>
      <x:c r="AE5697" s="87" t="str">
        <x:v>TASK; SECONDARY_ANSWER_SOURCE</x:v>
      </x:c>
      <x:c r="AF5697" s="87" t="str">
        <x:v>VIS-EGKR-SOC-W25-TASK-954-P003: 3; VIS-EGKR-SOC-W25-ANSWERDOC-P006: 6</x:v>
      </x:c>
      <x:c r="AG5697" s="87" t="str">
        <x:v>RESOLVED</x:v>
      </x:c>
      <x:c r="AH5697" s="87" t="str">
        <x:v>CROP_VERIFIED</x:v>
      </x:c>
      <x:c r="AI5697" s="30"/>
      <x:c r="AJ5697" s="87" t="str">
        <x:v>clean</x:v>
      </x:c>
      <x:c r="AK5697" s="87" t="str">
        <x:v>clean-v0.16</x:v>
      </x:c>
      <x:c r="AL5697" s="87" t="str">
        <x:v>statgrad_clean_continuation_v0_16(1).xlsx</x:v>
      </x:c>
      <x:c r="AM5697" s="87" t="str">
        <x:v>SOC_EGKR_954</x:v>
      </x:c>
      <x:c r="AN5697" s="87" t="n">
        <x:v>9</x:v>
      </x:c>
    </x:row>
    <x:row r="5698">
      <x:c r="A5698" s="87" t="n">
        <x:v>5697</x:v>
      </x:c>
      <x:c r="B5698" s="87" t="str">
        <x:v>EGKR-W25-SOC-954-09</x:v>
      </x:c>
      <x:c r="C5698" s="87" t="str">
        <x:v>ЕГКР</x:v>
      </x:c>
      <x:c r="D5698" s="87"/>
      <x:c r="E5698" s="87" t="str">
        <x:v>Зима 2025</x:v>
      </x:c>
      <x:c r="F5698" s="87" t="str">
        <x:v>18.12.2025</x:v>
      </x:c>
      <x:c r="G5698" s="87" t="str">
        <x:v>Обществознание</x:v>
      </x:c>
      <x:c r="H5698" s="87" t="n">
        <x:v>11</x:v>
      </x:c>
      <x:c r="I5698" s="87"/>
      <x:c r="J5698" s="87" t="str">
        <x:v>954</x:v>
      </x:c>
      <x:c r="K5698" s="87" t="n">
        <x:v>9</x:v>
      </x:c>
      <x:c r="L5698" s="87" t="str">
        <x:v>Краткий ответ</x:v>
      </x:c>
      <x:c r="M5698" s="30" t="str">
        <x:v>Проанализировать изменение отношения граждан к работе в 2014 и 2024 годах.</x:v>
      </x:c>
      <x:c r="N5698" s="30" t="str">
        <x:v>235</x:v>
      </x:c>
      <x:c r="O5698" s="30" t="str">
        <x:v>Позиции проверены по определениям и нормам обществоведческого курса; итоговая последовательность: 235.</x:v>
      </x:c>
      <x:c r="P5698" s="30" t="str">
        <x:v>Проверено по формулировке задания, обществоведческим определениям и нормам.</x:v>
      </x:c>
      <x:c r="Q5698" s="30"/>
      <x:c r="R5698" s="30"/>
      <x:c r="S5698" s="30" t="str">
        <x:v>Ответы (3).docx — вторичный источник</x:v>
      </x:c>
      <x:c r="T5698" s="30"/>
      <x:c r="U5698" s="30" t="str">
        <x:v>Ответник совпадает с независимой проверкой.</x:v>
      </x:c>
      <x:c r="V5698" s="87" t="str">
        <x:v>VERIFIED</x:v>
      </x:c>
      <x:c r="W5698" s="87"/>
      <x:c r="X5698" s="87"/>
      <x:c r="Y5698" s="87" t="n">
        <x:v>3</x:v>
      </x:c>
      <x:c r="Z5698" s="87" t="n">
        <x:v>3</x:v>
      </x:c>
      <x:c r="AA5698" s="87"/>
      <x:c r="AB5698" s="87"/>
      <x:c r="AC5698" s="87" t="str">
        <x:v>VIS-EGKR-SOC-W25-TASK-954-P003</x:v>
      </x:c>
      <x:c r="AD5698" s="87" t="str">
        <x:v>VIS-EGKR-SOC-W25-ANSWERDOC-P006</x:v>
      </x:c>
      <x:c r="AE5698" s="87" t="str">
        <x:v>TASK; SECONDARY_ANSWER_SOURCE</x:v>
      </x:c>
      <x:c r="AF5698" s="87" t="str">
        <x:v>VIS-EGKR-SOC-W25-TASK-954-P003: 3; VIS-EGKR-SOC-W25-ANSWERDOC-P006: 6</x:v>
      </x:c>
      <x:c r="AG5698" s="87" t="str">
        <x:v>RESOLVED</x:v>
      </x:c>
      <x:c r="AH5698" s="87" t="str">
        <x:v>CROP_VERIFIED</x:v>
      </x:c>
      <x:c r="AI5698" s="30"/>
      <x:c r="AJ5698" s="87" t="str">
        <x:v>clean</x:v>
      </x:c>
      <x:c r="AK5698" s="87" t="str">
        <x:v>clean-v0.16</x:v>
      </x:c>
      <x:c r="AL5698" s="87" t="str">
        <x:v>statgrad_clean_continuation_v0_16(1).xlsx</x:v>
      </x:c>
      <x:c r="AM5698" s="87" t="str">
        <x:v>SOC_EGKR_954</x:v>
      </x:c>
      <x:c r="AN5698" s="87" t="n">
        <x:v>10</x:v>
      </x:c>
    </x:row>
    <x:row r="5699">
      <x:c r="A5699" s="87" t="n">
        <x:v>5698</x:v>
      </x:c>
      <x:c r="B5699" s="87" t="str">
        <x:v>EGKR-W25-SOC-954-10</x:v>
      </x:c>
      <x:c r="C5699" s="87" t="str">
        <x:v>ЕГКР</x:v>
      </x:c>
      <x:c r="D5699" s="87"/>
      <x:c r="E5699" s="87" t="str">
        <x:v>Зима 2025</x:v>
      </x:c>
      <x:c r="F5699" s="87" t="str">
        <x:v>18.12.2025</x:v>
      </x:c>
      <x:c r="G5699" s="87" t="str">
        <x:v>Обществознание</x:v>
      </x:c>
      <x:c r="H5699" s="87" t="n">
        <x:v>11</x:v>
      </x:c>
      <x:c r="I5699" s="87"/>
      <x:c r="J5699" s="87" t="str">
        <x:v>954</x:v>
      </x:c>
      <x:c r="K5699" s="87" t="n">
        <x:v>10</x:v>
      </x:c>
      <x:c r="L5699" s="87" t="str">
        <x:v>Краткий ответ</x:v>
      </x:c>
      <x:c r="M5699" s="30" t="str">
        <x:v>Выбрать верные суждения о политической элите.</x:v>
      </x:c>
      <x:c r="N5699" s="30" t="str">
        <x:v>123</x:v>
      </x:c>
      <x:c r="O5699" s="30" t="str">
        <x:v>Позиции проверены по определениям и нормам обществоведческого курса; итоговая последовательность: 123.</x:v>
      </x:c>
      <x:c r="P5699" s="30" t="str">
        <x:v>Проверено по формулировке задания, обществоведческим определениям и нормам.</x:v>
      </x:c>
      <x:c r="Q5699" s="30"/>
      <x:c r="R5699" s="30"/>
      <x:c r="S5699" s="30" t="str">
        <x:v>Ответы (3).docx — вторичный источник</x:v>
      </x:c>
      <x:c r="T5699" s="30"/>
      <x:c r="U5699" s="30" t="str">
        <x:v>Ответник совпадает с независимой проверкой.</x:v>
      </x:c>
      <x:c r="V5699" s="87" t="str">
        <x:v>VERIFIED</x:v>
      </x:c>
      <x:c r="W5699" s="87"/>
      <x:c r="X5699" s="87"/>
      <x:c r="Y5699" s="87" t="n">
        <x:v>4</x:v>
      </x:c>
      <x:c r="Z5699" s="87" t="n">
        <x:v>4</x:v>
      </x:c>
      <x:c r="AA5699" s="87"/>
      <x:c r="AB5699" s="87"/>
      <x:c r="AC5699" s="87" t="str">
        <x:v>VIS-EGKR-SOC-W25-TASK-954-P004</x:v>
      </x:c>
      <x:c r="AD5699" s="87" t="str">
        <x:v>VIS-EGKR-SOC-W25-ANSWERDOC-P006</x:v>
      </x:c>
      <x:c r="AE5699" s="87" t="str">
        <x:v>TASK; SECONDARY_ANSWER_SOURCE</x:v>
      </x:c>
      <x:c r="AF5699" s="87" t="str">
        <x:v>VIS-EGKR-SOC-W25-TASK-954-P004: 4; VIS-EGKR-SOC-W25-ANSWERDOC-P006: 6</x:v>
      </x:c>
      <x:c r="AG5699" s="87" t="str">
        <x:v>RESOLVED</x:v>
      </x:c>
      <x:c r="AH5699" s="87" t="str">
        <x:v>CROP_VERIFIED</x:v>
      </x:c>
      <x:c r="AI5699" s="30"/>
      <x:c r="AJ5699" s="87" t="str">
        <x:v>clean</x:v>
      </x:c>
      <x:c r="AK5699" s="87" t="str">
        <x:v>clean-v0.16</x:v>
      </x:c>
      <x:c r="AL5699" s="87" t="str">
        <x:v>statgrad_clean_continuation_v0_16(1).xlsx</x:v>
      </x:c>
      <x:c r="AM5699" s="87" t="str">
        <x:v>SOC_EGKR_954</x:v>
      </x:c>
      <x:c r="AN5699" s="87" t="n">
        <x:v>11</x:v>
      </x:c>
    </x:row>
    <x:row r="5700">
      <x:c r="A5700" s="87" t="n">
        <x:v>5699</x:v>
      </x:c>
      <x:c r="B5700" s="87" t="str">
        <x:v>EGKR-W25-SOC-954-11</x:v>
      </x:c>
      <x:c r="C5700" s="87" t="str">
        <x:v>ЕГКР</x:v>
      </x:c>
      <x:c r="D5700" s="87"/>
      <x:c r="E5700" s="87" t="str">
        <x:v>Зима 2025</x:v>
      </x:c>
      <x:c r="F5700" s="87" t="str">
        <x:v>18.12.2025</x:v>
      </x:c>
      <x:c r="G5700" s="87" t="str">
        <x:v>Обществознание</x:v>
      </x:c>
      <x:c r="H5700" s="87" t="n">
        <x:v>11</x:v>
      </x:c>
      <x:c r="I5700" s="87"/>
      <x:c r="J5700" s="87" t="str">
        <x:v>954</x:v>
      </x:c>
      <x:c r="K5700" s="87" t="n">
        <x:v>11</x:v>
      </x:c>
      <x:c r="L5700" s="87" t="str">
        <x:v>Краткий ответ</x:v>
      </x:c>
      <x:c r="M5700" s="30" t="str">
        <x:v>Определить характеристики партии по идеологии, отношению к власти, легальности и способу организации.</x:v>
      </x:c>
      <x:c r="N5700" s="30" t="str">
        <x:v>146</x:v>
      </x:c>
      <x:c r="O5700" s="30" t="str">
        <x:v>Позиции проверены по определениям и нормам обществоведческого курса; итоговая последовательность: 146.</x:v>
      </x:c>
      <x:c r="P5700" s="30" t="str">
        <x:v>Проверено по формулировке задания, обществоведческим определениям и нормам.</x:v>
      </x:c>
      <x:c r="Q5700" s="30"/>
      <x:c r="R5700" s="30"/>
      <x:c r="S5700" s="30" t="str">
        <x:v>Ответы (3).docx — вторичный источник</x:v>
      </x:c>
      <x:c r="T5700" s="30"/>
      <x:c r="U5700" s="30" t="str">
        <x:v>Ответник совпадает с независимой проверкой.</x:v>
      </x:c>
      <x:c r="V5700" s="87" t="str">
        <x:v>VERIFIED</x:v>
      </x:c>
      <x:c r="W5700" s="87"/>
      <x:c r="X5700" s="87"/>
      <x:c r="Y5700" s="87" t="n">
        <x:v>4</x:v>
      </x:c>
      <x:c r="Z5700" s="87" t="n">
        <x:v>4</x:v>
      </x:c>
      <x:c r="AA5700" s="87"/>
      <x:c r="AB5700" s="87"/>
      <x:c r="AC5700" s="87" t="str">
        <x:v>VIS-EGKR-SOC-W25-TASK-954-P004</x:v>
      </x:c>
      <x:c r="AD5700" s="87" t="str">
        <x:v>VIS-EGKR-SOC-W25-ANSWERDOC-P006</x:v>
      </x:c>
      <x:c r="AE5700" s="87" t="str">
        <x:v>TASK; SECONDARY_ANSWER_SOURCE</x:v>
      </x:c>
      <x:c r="AF5700" s="87" t="str">
        <x:v>VIS-EGKR-SOC-W25-TASK-954-P004: 4; VIS-EGKR-SOC-W25-ANSWERDOC-P006: 6</x:v>
      </x:c>
      <x:c r="AG5700" s="87" t="str">
        <x:v>RESOLVED</x:v>
      </x:c>
      <x:c r="AH5700" s="87" t="str">
        <x:v>CROP_VERIFIED</x:v>
      </x:c>
      <x:c r="AI5700" s="30"/>
      <x:c r="AJ5700" s="87" t="str">
        <x:v>clean</x:v>
      </x:c>
      <x:c r="AK5700" s="87" t="str">
        <x:v>clean-v0.16</x:v>
      </x:c>
      <x:c r="AL5700" s="87" t="str">
        <x:v>statgrad_clean_continuation_v0_16(1).xlsx</x:v>
      </x:c>
      <x:c r="AM5700" s="87" t="str">
        <x:v>SOC_EGKR_954</x:v>
      </x:c>
      <x:c r="AN5700" s="87" t="n">
        <x:v>12</x:v>
      </x:c>
    </x:row>
    <x:row r="5701">
      <x:c r="A5701" s="87" t="n">
        <x:v>5700</x:v>
      </x:c>
      <x:c r="B5701" s="87" t="str">
        <x:v>EGKR-W25-SOC-954-12</x:v>
      </x:c>
      <x:c r="C5701" s="87" t="str">
        <x:v>ЕГКР</x:v>
      </x:c>
      <x:c r="D5701" s="87"/>
      <x:c r="E5701" s="87" t="str">
        <x:v>Зима 2025</x:v>
      </x:c>
      <x:c r="F5701" s="87" t="str">
        <x:v>18.12.2025</x:v>
      </x:c>
      <x:c r="G5701" s="87" t="str">
        <x:v>Обществознание</x:v>
      </x:c>
      <x:c r="H5701" s="87" t="n">
        <x:v>11</x:v>
      </x:c>
      <x:c r="I5701" s="87"/>
      <x:c r="J5701" s="87" t="str">
        <x:v>954</x:v>
      </x:c>
      <x:c r="K5701" s="87" t="n">
        <x:v>12</x:v>
      </x:c>
      <x:c r="L5701" s="87" t="str">
        <x:v>Краткий ответ</x:v>
      </x:c>
      <x:c r="M5701" s="30" t="str">
        <x:v>Выбрать политические права гражданина РФ.</x:v>
      </x:c>
      <x:c r="N5701" s="30" t="str">
        <x:v>134</x:v>
      </x:c>
      <x:c r="O5701" s="30" t="str">
        <x:v>Позиции проверены по определениям и нормам обществоведческого курса; итоговая последовательность: 134.</x:v>
      </x:c>
      <x:c r="P5701" s="30" t="str">
        <x:v>Проверено по формулировке задания, обществоведческим определениям и нормам.</x:v>
      </x:c>
      <x:c r="Q5701" s="30"/>
      <x:c r="R5701" s="30"/>
      <x:c r="S5701" s="30" t="str">
        <x:v>Ответы (3).docx — вторичный источник</x:v>
      </x:c>
      <x:c r="T5701" s="30"/>
      <x:c r="U5701" s="30" t="str">
        <x:v>Ответник совпадает с независимой проверкой.</x:v>
      </x:c>
      <x:c r="V5701" s="87" t="str">
        <x:v>VERIFIED</x:v>
      </x:c>
      <x:c r="W5701" s="87"/>
      <x:c r="X5701" s="87"/>
      <x:c r="Y5701" s="87" t="n">
        <x:v>4</x:v>
      </x:c>
      <x:c r="Z5701" s="87" t="n">
        <x:v>4</x:v>
      </x:c>
      <x:c r="AA5701" s="87"/>
      <x:c r="AB5701" s="87"/>
      <x:c r="AC5701" s="87" t="str">
        <x:v>VIS-EGKR-SOC-W25-TASK-954-P004</x:v>
      </x:c>
      <x:c r="AD5701" s="87" t="str">
        <x:v>VIS-EGKR-SOC-W25-ANSWERDOC-P006</x:v>
      </x:c>
      <x:c r="AE5701" s="87" t="str">
        <x:v>TASK; SECONDARY_ANSWER_SOURCE</x:v>
      </x:c>
      <x:c r="AF5701" s="87" t="str">
        <x:v>VIS-EGKR-SOC-W25-TASK-954-P004: 4; VIS-EGKR-SOC-W25-ANSWERDOC-P006: 6</x:v>
      </x:c>
      <x:c r="AG5701" s="87" t="str">
        <x:v>RESOLVED</x:v>
      </x:c>
      <x:c r="AH5701" s="87" t="str">
        <x:v>CROP_VERIFIED</x:v>
      </x:c>
      <x:c r="AI5701" s="30"/>
      <x:c r="AJ5701" s="87" t="str">
        <x:v>clean</x:v>
      </x:c>
      <x:c r="AK5701" s="87" t="str">
        <x:v>clean-v0.16</x:v>
      </x:c>
      <x:c r="AL5701" s="87" t="str">
        <x:v>statgrad_clean_continuation_v0_16(1).xlsx</x:v>
      </x:c>
      <x:c r="AM5701" s="87" t="str">
        <x:v>SOC_EGKR_954</x:v>
      </x:c>
      <x:c r="AN5701" s="87" t="n">
        <x:v>13</x:v>
      </x:c>
    </x:row>
    <x:row r="5702">
      <x:c r="A5702" s="87" t="n">
        <x:v>5701</x:v>
      </x:c>
      <x:c r="B5702" s="87" t="str">
        <x:v>EGKR-W25-SOC-954-13</x:v>
      </x:c>
      <x:c r="C5702" s="87" t="str">
        <x:v>ЕГКР</x:v>
      </x:c>
      <x:c r="D5702" s="87"/>
      <x:c r="E5702" s="87" t="str">
        <x:v>Зима 2025</x:v>
      </x:c>
      <x:c r="F5702" s="87" t="str">
        <x:v>18.12.2025</x:v>
      </x:c>
      <x:c r="G5702" s="87" t="str">
        <x:v>Обществознание</x:v>
      </x:c>
      <x:c r="H5702" s="87" t="n">
        <x:v>11</x:v>
      </x:c>
      <x:c r="I5702" s="87"/>
      <x:c r="J5702" s="87" t="str">
        <x:v>954</x:v>
      </x:c>
      <x:c r="K5702" s="87" t="n">
        <x:v>13</x:v>
      </x:c>
      <x:c r="L5702" s="87" t="str">
        <x:v>Краткий ответ</x:v>
      </x:c>
      <x:c r="M5702" s="30" t="str">
        <x:v>Соотнести полномочия с Конституционным Судом РФ, Правительством РФ и Государственной Думой.</x:v>
      </x:c>
      <x:c r="N5702" s="30" t="str">
        <x:v>21322</x:v>
      </x:c>
      <x:c r="O5702" s="30" t="str">
        <x:v>Поддержка предпринимательства, социальная защита и экологическое образование относятся к Правительству; законы принимает Госдума, споры компетенции разрешает Конституционный Суд.</x:v>
      </x:c>
      <x:c r="P5702" s="30" t="str">
        <x:v>Проверено по формулировке задания, обществоведческим определениям и нормам.</x:v>
      </x:c>
      <x:c r="Q5702" s="30"/>
      <x:c r="R5702" s="30"/>
      <x:c r="S5702" s="30" t="str">
        <x:v>Ответы (3).docx — вторичный источник</x:v>
      </x:c>
      <x:c r="T5702" s="30"/>
      <x:c r="U5702" s="30" t="str">
        <x:v>Ответник: 31322; независимое решение: 21322.</x:v>
      </x:c>
      <x:c r="V5702" s="87" t="str">
        <x:v>KEY_MISMATCH</x:v>
      </x:c>
      <x:c r="W5702" s="87"/>
      <x:c r="X5702" s="87"/>
      <x:c r="Y5702" s="87" t="n">
        <x:v>4</x:v>
      </x:c>
      <x:c r="Z5702" s="87" t="n">
        <x:v>4</x:v>
      </x:c>
      <x:c r="AA5702" s="87"/>
      <x:c r="AB5702" s="87"/>
      <x:c r="AC5702" s="87" t="str">
        <x:v>VIS-EGKR-SOC-W25-TASK-954-P004</x:v>
      </x:c>
      <x:c r="AD5702" s="87" t="str">
        <x:v>VIS-EGKR-SOC-W25-ANSWERDOC-P006</x:v>
      </x:c>
      <x:c r="AE5702" s="87" t="str">
        <x:v>TASK; SECONDARY_ANSWER_SOURCE</x:v>
      </x:c>
      <x:c r="AF5702" s="87" t="str">
        <x:v>VIS-EGKR-SOC-W25-TASK-954-P004: 4; VIS-EGKR-SOC-W25-ANSWERDOC-P006: 6</x:v>
      </x:c>
      <x:c r="AG5702" s="87" t="str">
        <x:v>RESOLVED</x:v>
      </x:c>
      <x:c r="AH5702" s="87" t="str">
        <x:v>CROP_VERIFIED</x:v>
      </x:c>
      <x:c r="AI5702" s="30"/>
      <x:c r="AJ5702" s="87" t="str">
        <x:v>clean</x:v>
      </x:c>
      <x:c r="AK5702" s="87" t="str">
        <x:v>clean-v0.16</x:v>
      </x:c>
      <x:c r="AL5702" s="87" t="str">
        <x:v>statgrad_clean_continuation_v0_16(1).xlsx</x:v>
      </x:c>
      <x:c r="AM5702" s="87" t="str">
        <x:v>SOC_EGKR_954</x:v>
      </x:c>
      <x:c r="AN5702" s="87" t="n">
        <x:v>14</x:v>
      </x:c>
    </x:row>
    <x:row r="5703">
      <x:c r="A5703" s="87" t="n">
        <x:v>5702</x:v>
      </x:c>
      <x:c r="B5703" s="87" t="str">
        <x:v>EGKR-W25-SOC-954-14</x:v>
      </x:c>
      <x:c r="C5703" s="87" t="str">
        <x:v>ЕГКР</x:v>
      </x:c>
      <x:c r="D5703" s="87"/>
      <x:c r="E5703" s="87" t="str">
        <x:v>Зима 2025</x:v>
      </x:c>
      <x:c r="F5703" s="87" t="str">
        <x:v>18.12.2025</x:v>
      </x:c>
      <x:c r="G5703" s="87" t="str">
        <x:v>Обществознание</x:v>
      </x:c>
      <x:c r="H5703" s="87" t="n">
        <x:v>11</x:v>
      </x:c>
      <x:c r="I5703" s="87"/>
      <x:c r="J5703" s="87" t="str">
        <x:v>954</x:v>
      </x:c>
      <x:c r="K5703" s="87" t="n">
        <x:v>14</x:v>
      </x:c>
      <x:c r="L5703" s="87" t="str">
        <x:v>Краткий ответ</x:v>
      </x:c>
      <x:c r="M5703" s="30" t="str">
        <x:v>Выбрать верные суждения об административном праве.</x:v>
      </x:c>
      <x:c r="N5703" s="30" t="str">
        <x:v>124</x:v>
      </x:c>
      <x:c r="O5703" s="30" t="str">
        <x:v>Позиции проверены по определениям и нормам обществоведческого курса; итоговая последовательность: 124.</x:v>
      </x:c>
      <x:c r="P5703" s="30" t="str">
        <x:v>Проверено по формулировке задания, обществоведческим определениям и нормам.</x:v>
      </x:c>
      <x:c r="Q5703" s="30"/>
      <x:c r="R5703" s="30"/>
      <x:c r="S5703" s="30" t="str">
        <x:v>Ответы (3).docx — вторичный источник</x:v>
      </x:c>
      <x:c r="T5703" s="30"/>
      <x:c r="U5703" s="30" t="str">
        <x:v>Ответник совпадает с независимой проверкой.</x:v>
      </x:c>
      <x:c r="V5703" s="87" t="str">
        <x:v>VERIFIED</x:v>
      </x:c>
      <x:c r="W5703" s="87"/>
      <x:c r="X5703" s="87"/>
      <x:c r="Y5703" s="87" t="n">
        <x:v>5</x:v>
      </x:c>
      <x:c r="Z5703" s="87" t="n">
        <x:v>5</x:v>
      </x:c>
      <x:c r="AA5703" s="87"/>
      <x:c r="AB5703" s="87"/>
      <x:c r="AC5703" s="87" t="str">
        <x:v>VIS-EGKR-SOC-W25-TASK-954-P005</x:v>
      </x:c>
      <x:c r="AD5703" s="87" t="str">
        <x:v>VIS-EGKR-SOC-W25-ANSWERDOC-P006</x:v>
      </x:c>
      <x:c r="AE5703" s="87" t="str">
        <x:v>TASK; SECONDARY_ANSWER_SOURCE</x:v>
      </x:c>
      <x:c r="AF5703" s="87" t="str">
        <x:v>VIS-EGKR-SOC-W25-TASK-954-P005: 5; VIS-EGKR-SOC-W25-ANSWERDOC-P006: 6</x:v>
      </x:c>
      <x:c r="AG5703" s="87" t="str">
        <x:v>RESOLVED</x:v>
      </x:c>
      <x:c r="AH5703" s="87" t="str">
        <x:v>CROP_VERIFIED</x:v>
      </x:c>
      <x:c r="AI5703" s="30"/>
      <x:c r="AJ5703" s="87" t="str">
        <x:v>clean</x:v>
      </x:c>
      <x:c r="AK5703" s="87" t="str">
        <x:v>clean-v0.16</x:v>
      </x:c>
      <x:c r="AL5703" s="87" t="str">
        <x:v>statgrad_clean_continuation_v0_16(1).xlsx</x:v>
      </x:c>
      <x:c r="AM5703" s="87" t="str">
        <x:v>SOC_EGKR_954</x:v>
      </x:c>
      <x:c r="AN5703" s="87" t="n">
        <x:v>15</x:v>
      </x:c>
    </x:row>
    <x:row r="5704">
      <x:c r="A5704" s="87" t="n">
        <x:v>5703</x:v>
      </x:c>
      <x:c r="B5704" s="87" t="str">
        <x:v>EGKR-W25-SOC-954-15</x:v>
      </x:c>
      <x:c r="C5704" s="87" t="str">
        <x:v>ЕГКР</x:v>
      </x:c>
      <x:c r="D5704" s="87"/>
      <x:c r="E5704" s="87" t="str">
        <x:v>Зима 2025</x:v>
      </x:c>
      <x:c r="F5704" s="87" t="str">
        <x:v>18.12.2025</x:v>
      </x:c>
      <x:c r="G5704" s="87" t="str">
        <x:v>Обществознание</x:v>
      </x:c>
      <x:c r="H5704" s="87" t="n">
        <x:v>11</x:v>
      </x:c>
      <x:c r="I5704" s="87"/>
      <x:c r="J5704" s="87" t="str">
        <x:v>954</x:v>
      </x:c>
      <x:c r="K5704" s="87" t="n">
        <x:v>15</x:v>
      </x:c>
      <x:c r="L5704" s="87" t="str">
        <x:v>Краткий ответ</x:v>
      </x:c>
      <x:c r="M5704" s="30" t="str">
        <x:v>Соотнести примеры с условиями заключения брака и обстоятельствами, препятствующими браку.</x:v>
      </x:c>
      <x:c r="N5704" s="30" t="str">
        <x:v>12212</x:v>
      </x:c>
      <x:c r="O5704" s="30" t="str">
        <x:v>Позиции проверены по определениям и нормам обществоведческого курса; итоговая последовательность: 12212.</x:v>
      </x:c>
      <x:c r="P5704" s="30" t="str">
        <x:v>Проверено по формулировке задания, обществоведческим определениям и нормам.</x:v>
      </x:c>
      <x:c r="Q5704" s="30"/>
      <x:c r="R5704" s="30"/>
      <x:c r="S5704" s="30" t="str">
        <x:v>Ответы (3).docx — вторичный источник</x:v>
      </x:c>
      <x:c r="T5704" s="30"/>
      <x:c r="U5704" s="30" t="str">
        <x:v>Ответник совпадает с независимой проверкой.</x:v>
      </x:c>
      <x:c r="V5704" s="87" t="str">
        <x:v>VERIFIED</x:v>
      </x:c>
      <x:c r="W5704" s="87"/>
      <x:c r="X5704" s="87"/>
      <x:c r="Y5704" s="87" t="n">
        <x:v>5</x:v>
      </x:c>
      <x:c r="Z5704" s="87" t="n">
        <x:v>5</x:v>
      </x:c>
      <x:c r="AA5704" s="87"/>
      <x:c r="AB5704" s="87"/>
      <x:c r="AC5704" s="87" t="str">
        <x:v>VIS-EGKR-SOC-W25-TASK-954-P005</x:v>
      </x:c>
      <x:c r="AD5704" s="87" t="str">
        <x:v>VIS-EGKR-SOC-W25-ANSWERDOC-P006</x:v>
      </x:c>
      <x:c r="AE5704" s="87" t="str">
        <x:v>TASK; SECONDARY_ANSWER_SOURCE</x:v>
      </x:c>
      <x:c r="AF5704" s="87" t="str">
        <x:v>VIS-EGKR-SOC-W25-TASK-954-P005: 5; VIS-EGKR-SOC-W25-ANSWERDOC-P006: 6</x:v>
      </x:c>
      <x:c r="AG5704" s="87" t="str">
        <x:v>RESOLVED</x:v>
      </x:c>
      <x:c r="AH5704" s="87" t="str">
        <x:v>CROP_VERIFIED</x:v>
      </x:c>
      <x:c r="AI5704" s="30"/>
      <x:c r="AJ5704" s="87" t="str">
        <x:v>clean</x:v>
      </x:c>
      <x:c r="AK5704" s="87" t="str">
        <x:v>clean-v0.16</x:v>
      </x:c>
      <x:c r="AL5704" s="87" t="str">
        <x:v>statgrad_clean_continuation_v0_16(1).xlsx</x:v>
      </x:c>
      <x:c r="AM5704" s="87" t="str">
        <x:v>SOC_EGKR_954</x:v>
      </x:c>
      <x:c r="AN5704" s="87" t="n">
        <x:v>16</x:v>
      </x:c>
    </x:row>
    <x:row r="5705">
      <x:c r="A5705" s="87" t="n">
        <x:v>5704</x:v>
      </x:c>
      <x:c r="B5705" s="87" t="str">
        <x:v>EGKR-W25-SOC-954-16</x:v>
      </x:c>
      <x:c r="C5705" s="87" t="str">
        <x:v>ЕГКР</x:v>
      </x:c>
      <x:c r="D5705" s="87"/>
      <x:c r="E5705" s="87" t="str">
        <x:v>Зима 2025</x:v>
      </x:c>
      <x:c r="F5705" s="87" t="str">
        <x:v>18.12.2025</x:v>
      </x:c>
      <x:c r="G5705" s="87" t="str">
        <x:v>Обществознание</x:v>
      </x:c>
      <x:c r="H5705" s="87" t="n">
        <x:v>11</x:v>
      </x:c>
      <x:c r="I5705" s="87"/>
      <x:c r="J5705" s="87" t="str">
        <x:v>954</x:v>
      </x:c>
      <x:c r="K5705" s="87" t="n">
        <x:v>16</x:v>
      </x:c>
      <x:c r="L5705" s="87" t="str">
        <x:v>Краткий ответ</x:v>
      </x:c>
      <x:c r="M5705" s="30" t="str">
        <x:v>Выбрать меры пресечения по УПК РФ.</x:v>
      </x:c>
      <x:c r="N5705" s="30" t="str">
        <x:v>2456</x:v>
      </x:c>
      <x:c r="O5705" s="30" t="str">
        <x:v>Позиции проверены по определениям и нормам обществоведческого курса; итоговая последовательность: 2456.</x:v>
      </x:c>
      <x:c r="P5705" s="30" t="str">
        <x:v>Проверено по формулировке задания, обществоведческим определениям и нормам.</x:v>
      </x:c>
      <x:c r="Q5705" s="30"/>
      <x:c r="R5705" s="30"/>
      <x:c r="S5705" s="30" t="str">
        <x:v>Ответы (3).docx — вторичный источник</x:v>
      </x:c>
      <x:c r="T5705" s="30"/>
      <x:c r="U5705" s="30" t="str">
        <x:v>Ответник совпадает с независимой проверкой.</x:v>
      </x:c>
      <x:c r="V5705" s="87" t="str">
        <x:v>VERIFIED</x:v>
      </x:c>
      <x:c r="W5705" s="87"/>
      <x:c r="X5705" s="87"/>
      <x:c r="Y5705" s="87" t="n">
        <x:v>5</x:v>
      </x:c>
      <x:c r="Z5705" s="87" t="n">
        <x:v>5</x:v>
      </x:c>
      <x:c r="AA5705" s="87"/>
      <x:c r="AB5705" s="87"/>
      <x:c r="AC5705" s="87" t="str">
        <x:v>VIS-EGKR-SOC-W25-TASK-954-P005</x:v>
      </x:c>
      <x:c r="AD5705" s="87" t="str">
        <x:v>VIS-EGKR-SOC-W25-ANSWERDOC-P006</x:v>
      </x:c>
      <x:c r="AE5705" s="87" t="str">
        <x:v>TASK; SECONDARY_ANSWER_SOURCE</x:v>
      </x:c>
      <x:c r="AF5705" s="87" t="str">
        <x:v>VIS-EGKR-SOC-W25-TASK-954-P005: 5; VIS-EGKR-SOC-W25-ANSWERDOC-P006: 6</x:v>
      </x:c>
      <x:c r="AG5705" s="87" t="str">
        <x:v>RESOLVED</x:v>
      </x:c>
      <x:c r="AH5705" s="87" t="str">
        <x:v>CROP_VERIFIED</x:v>
      </x:c>
      <x:c r="AI5705" s="30"/>
      <x:c r="AJ5705" s="87" t="str">
        <x:v>clean</x:v>
      </x:c>
      <x:c r="AK5705" s="87" t="str">
        <x:v>clean-v0.16</x:v>
      </x:c>
      <x:c r="AL5705" s="87" t="str">
        <x:v>statgrad_clean_continuation_v0_16(1).xlsx</x:v>
      </x:c>
      <x:c r="AM5705" s="87" t="str">
        <x:v>SOC_EGKR_954</x:v>
      </x:c>
      <x:c r="AN5705" s="87" t="n">
        <x:v>17</x:v>
      </x:c>
    </x:row>
    <x:row r="5706">
      <x:c r="A5706" s="87" t="n">
        <x:v>5705</x:v>
      </x:c>
      <x:c r="B5706" s="87" t="str">
        <x:v>EGKR-W25-SOC-954-17</x:v>
      </x:c>
      <x:c r="C5706" s="87" t="str">
        <x:v>ЕГКР</x:v>
      </x:c>
      <x:c r="D5706" s="87"/>
      <x:c r="E5706" s="87" t="str">
        <x:v>Зима 2025</x:v>
      </x:c>
      <x:c r="F5706" s="87" t="str">
        <x:v>18.12.2025</x:v>
      </x:c>
      <x:c r="G5706" s="87" t="str">
        <x:v>Обществознание</x:v>
      </x:c>
      <x:c r="H5706" s="87" t="n">
        <x:v>11</x:v>
      </x:c>
      <x:c r="I5706" s="87"/>
      <x:c r="J5706" s="87" t="str">
        <x:v>954</x:v>
      </x:c>
      <x:c r="K5706" s="87" t="n">
        <x:v>17</x:v>
      </x:c>
      <x:c r="L5706" s="87" t="str">
        <x:v>Развёрнутый ответ</x:v>
      </x:c>
      <x:c r="M5706" s="30" t="str">
        <x:v>По тексту назвать действия поиска работы, главный признак фрикционной безработицы и лучший резерв рабочей силы.</x:v>
      </x:c>
      <x:c r="N5706" s="30" t="str">
        <x:v>Действия: регистрация на бирже труда, обращение к работодателям, регулярное посещение мест возможной занятости, размещение объявления или отклик на вакансии. Главный признак фрикционной безработицы — низкая продолжительность и возможность найти работу без длительной переподготовки. Лучший резерв рабочей силы — естественная безработица, позволяющая работникам быстро перемещаться между отраслями и регионами.</x:v>
      </x:c>
      <x:c r="O5706" s="30" t="str">
        <x:v>Модель включает все элементы, прямо требуемые формулировкой задания.</x:v>
      </x:c>
      <x:c r="P5706" s="30" t="str">
        <x:v>Содержание проверено по исходному тексту, обществоведческим понятиям и правовым нормам.</x:v>
      </x:c>
      <x:c r="Q5706" s="30"/>
      <x:c r="R5706" s="30"/>
      <x:c r="S5706" s="30" t="str">
        <x:v>Независимая модель; вторичный DOCX использован только для аудита</x:v>
      </x:c>
      <x:c r="T5706" s="30"/>
      <x:c r="U5706" s="30" t="str">
        <x:v>Модель независимо проверена по условию.</x:v>
      </x:c>
      <x:c r="V5706" s="87" t="str">
        <x:v>VERIFIED</x:v>
      </x:c>
      <x:c r="W5706" s="87"/>
      <x:c r="X5706" s="87"/>
      <x:c r="Y5706" s="87" t="n">
        <x:v>6</x:v>
      </x:c>
      <x:c r="Z5706" s="87" t="n">
        <x:v>6</x:v>
      </x:c>
      <x:c r="AA5706" s="87"/>
      <x:c r="AB5706" s="87"/>
      <x:c r="AC5706" s="87" t="str">
        <x:v>VIS-EGKR-SOC-W25-TASK-954-P006</x:v>
      </x:c>
      <x:c r="AD5706" s="87" t="str">
        <x:v>VIS-EGKR-SOC-W25-ANSWERDOC-P006</x:v>
      </x:c>
      <x:c r="AE5706" s="87" t="str">
        <x:v>TASK; SECONDARY_ANSWER_SOURCE</x:v>
      </x:c>
      <x:c r="AF5706" s="87" t="str">
        <x:v>VIS-EGKR-SOC-W25-TASK-954-P006: 6; VIS-EGKR-SOC-W25-ANSWERDOC-P006: 6</x:v>
      </x:c>
      <x:c r="AG5706" s="87" t="str">
        <x:v>RESOLVED</x:v>
      </x:c>
      <x:c r="AH5706" s="87" t="str">
        <x:v>CROP_VERIFIED</x:v>
      </x:c>
      <x:c r="AI5706" s="30"/>
      <x:c r="AJ5706" s="87" t="str">
        <x:v>clean</x:v>
      </x:c>
      <x:c r="AK5706" s="87" t="str">
        <x:v>clean-v0.16</x:v>
      </x:c>
      <x:c r="AL5706" s="87" t="str">
        <x:v>statgrad_clean_continuation_v0_16(1).xlsx</x:v>
      </x:c>
      <x:c r="AM5706" s="87" t="str">
        <x:v>SOC_EGKR_954</x:v>
      </x:c>
      <x:c r="AN5706" s="87" t="n">
        <x:v>18</x:v>
      </x:c>
    </x:row>
    <x:row r="5707">
      <x:c r="A5707" s="87" t="n">
        <x:v>5706</x:v>
      </x:c>
      <x:c r="B5707" s="87" t="str">
        <x:v>EGKR-W25-SOC-954-18</x:v>
      </x:c>
      <x:c r="C5707" s="87" t="str">
        <x:v>ЕГКР</x:v>
      </x:c>
      <x:c r="D5707" s="87"/>
      <x:c r="E5707" s="87" t="str">
        <x:v>Зима 2025</x:v>
      </x:c>
      <x:c r="F5707" s="87" t="str">
        <x:v>18.12.2025</x:v>
      </x:c>
      <x:c r="G5707" s="87" t="str">
        <x:v>Обществознание</x:v>
      </x:c>
      <x:c r="H5707" s="87" t="n">
        <x:v>11</x:v>
      </x:c>
      <x:c r="I5707" s="87"/>
      <x:c r="J5707" s="87" t="str">
        <x:v>954</x:v>
      </x:c>
      <x:c r="K5707" s="87" t="n">
        <x:v>18</x:v>
      </x:c>
      <x:c r="L5707" s="87" t="str">
        <x:v>Развёрнутый ответ</x:v>
      </x:c>
      <x:c r="M5707" s="30" t="str">
        <x:v>Назвать характеристики ВВП и объяснить связь технологической безработицы с образованием.</x:v>
      </x:c>
      <x:c r="N5707" s="30" t="str">
        <x:v>ВВП — рыночная стоимость конечных товаров и услуг, произведённых на территории страны за определённый период. Технологические изменения сокращают спрос на одни профессии и создают спрос на новые, поэтому работникам требуется переподготовка и дополнительное образование для соответствия новой структуре занятости.</x:v>
      </x:c>
      <x:c r="O5707" s="30" t="str">
        <x:v>Модель включает все элементы, прямо требуемые формулировкой задания.</x:v>
      </x:c>
      <x:c r="P5707" s="30" t="str">
        <x:v>Содержание проверено по исходному тексту, обществоведческим понятиям и правовым нормам.</x:v>
      </x:c>
      <x:c r="Q5707" s="30"/>
      <x:c r="R5707" s="30"/>
      <x:c r="S5707" s="30" t="str">
        <x:v>Независимая модель; вторичный DOCX использован только для аудита</x:v>
      </x:c>
      <x:c r="T5707" s="30"/>
      <x:c r="U5707" s="30" t="str">
        <x:v>Модель независимо проверена по условию.</x:v>
      </x:c>
      <x:c r="V5707" s="87" t="str">
        <x:v>VERIFIED</x:v>
      </x:c>
      <x:c r="W5707" s="87"/>
      <x:c r="X5707" s="87"/>
      <x:c r="Y5707" s="87" t="n">
        <x:v>6</x:v>
      </x:c>
      <x:c r="Z5707" s="87" t="n">
        <x:v>6</x:v>
      </x:c>
      <x:c r="AA5707" s="87"/>
      <x:c r="AB5707" s="87"/>
      <x:c r="AC5707" s="87" t="str">
        <x:v>VIS-EGKR-SOC-W25-TASK-954-P006</x:v>
      </x:c>
      <x:c r="AD5707" s="87" t="str">
        <x:v>VIS-EGKR-SOC-W25-ANSWERDOC-P007</x:v>
      </x:c>
      <x:c r="AE5707" s="87" t="str">
        <x:v>TASK; SECONDARY_ANSWER_SOURCE</x:v>
      </x:c>
      <x:c r="AF5707" s="87" t="str">
        <x:v>VIS-EGKR-SOC-W25-TASK-954-P006: 6; VIS-EGKR-SOC-W25-ANSWERDOC-P007: 7</x:v>
      </x:c>
      <x:c r="AG5707" s="87" t="str">
        <x:v>RESOLVED</x:v>
      </x:c>
      <x:c r="AH5707" s="87" t="str">
        <x:v>CROP_VERIFIED</x:v>
      </x:c>
      <x:c r="AI5707" s="30"/>
      <x:c r="AJ5707" s="87" t="str">
        <x:v>clean</x:v>
      </x:c>
      <x:c r="AK5707" s="87" t="str">
        <x:v>clean-v0.16</x:v>
      </x:c>
      <x:c r="AL5707" s="87" t="str">
        <x:v>statgrad_clean_continuation_v0_16(1).xlsx</x:v>
      </x:c>
      <x:c r="AM5707" s="87" t="str">
        <x:v>SOC_EGKR_954</x:v>
      </x:c>
      <x:c r="AN5707" s="87" t="n">
        <x:v>19</x:v>
      </x:c>
    </x:row>
    <x:row r="5708">
      <x:c r="A5708" s="87" t="n">
        <x:v>5707</x:v>
      </x:c>
      <x:c r="B5708" s="87" t="str">
        <x:v>EGKR-W25-SOC-954-19</x:v>
      </x:c>
      <x:c r="C5708" s="87" t="str">
        <x:v>ЕГКР</x:v>
      </x:c>
      <x:c r="D5708" s="87"/>
      <x:c r="E5708" s="87" t="str">
        <x:v>Зима 2025</x:v>
      </x:c>
      <x:c r="F5708" s="87" t="str">
        <x:v>18.12.2025</x:v>
      </x:c>
      <x:c r="G5708" s="87" t="str">
        <x:v>Обществознание</x:v>
      </x:c>
      <x:c r="H5708" s="87" t="n">
        <x:v>11</x:v>
      </x:c>
      <x:c r="I5708" s="87"/>
      <x:c r="J5708" s="87" t="str">
        <x:v>954</x:v>
      </x:c>
      <x:c r="K5708" s="87" t="n">
        <x:v>19</x:v>
      </x:c>
      <x:c r="L5708" s="87" t="str">
        <x:v>Развёрнутый ответ</x:v>
      </x:c>
      <x:c r="M5708" s="30" t="str">
        <x:v>Назвать три причины добровольной безработицы из текста и проиллюстрировать.</x:v>
      </x:c>
      <x:c r="N5708" s="30" t="str">
        <x:v>Переезд: специалист увольняется перед переездом в другой регион и ищет работу на новом месте. Смена профессии: работник прекращает трудовые отношения, чтобы пройти обучение и найти работу по новой специальности. Изменение жизненного этапа: родитель временно оставляет работу для ухода за ребёнком, а затем возвращается на рынок труда.</x:v>
      </x:c>
      <x:c r="O5708" s="30" t="str">
        <x:v>Модель включает все элементы, прямо требуемые формулировкой задания.</x:v>
      </x:c>
      <x:c r="P5708" s="30" t="str">
        <x:v>Содержание проверено по исходному тексту, обществоведческим понятиям и правовым нормам.</x:v>
      </x:c>
      <x:c r="Q5708" s="30"/>
      <x:c r="R5708" s="30"/>
      <x:c r="S5708" s="30" t="str">
        <x:v>Независимая модель; вторичный DOCX использован только для аудита</x:v>
      </x:c>
      <x:c r="T5708" s="30"/>
      <x:c r="U5708" s="30" t="str">
        <x:v>Модель независимо проверена по условию.</x:v>
      </x:c>
      <x:c r="V5708" s="87" t="str">
        <x:v>VERIFIED</x:v>
      </x:c>
      <x:c r="W5708" s="87"/>
      <x:c r="X5708" s="87"/>
      <x:c r="Y5708" s="87" t="n">
        <x:v>6</x:v>
      </x:c>
      <x:c r="Z5708" s="87" t="n">
        <x:v>6</x:v>
      </x:c>
      <x:c r="AA5708" s="87"/>
      <x:c r="AB5708" s="87"/>
      <x:c r="AC5708" s="87" t="str">
        <x:v>VIS-EGKR-SOC-W25-TASK-954-P006</x:v>
      </x:c>
      <x:c r="AD5708" s="87" t="str">
        <x:v>VIS-EGKR-SOC-W25-ANSWERDOC-P007</x:v>
      </x:c>
      <x:c r="AE5708" s="87" t="str">
        <x:v>TASK; SECONDARY_ANSWER_SOURCE</x:v>
      </x:c>
      <x:c r="AF5708" s="87" t="str">
        <x:v>VIS-EGKR-SOC-W25-TASK-954-P006: 6; VIS-EGKR-SOC-W25-ANSWERDOC-P007: 7</x:v>
      </x:c>
      <x:c r="AG5708" s="87" t="str">
        <x:v>RESOLVED</x:v>
      </x:c>
      <x:c r="AH5708" s="87" t="str">
        <x:v>CROP_VERIFIED</x:v>
      </x:c>
      <x:c r="AI5708" s="30"/>
      <x:c r="AJ5708" s="87" t="str">
        <x:v>clean</x:v>
      </x:c>
      <x:c r="AK5708" s="87" t="str">
        <x:v>clean-v0.16</x:v>
      </x:c>
      <x:c r="AL5708" s="87" t="str">
        <x:v>statgrad_clean_continuation_v0_16(1).xlsx</x:v>
      </x:c>
      <x:c r="AM5708" s="87" t="str">
        <x:v>SOC_EGKR_954</x:v>
      </x:c>
      <x:c r="AN5708" s="87" t="n">
        <x:v>20</x:v>
      </x:c>
    </x:row>
    <x:row r="5709">
      <x:c r="A5709" s="87" t="n">
        <x:v>5708</x:v>
      </x:c>
      <x:c r="B5709" s="87" t="str">
        <x:v>EGKR-W25-SOC-954-20</x:v>
      </x:c>
      <x:c r="C5709" s="87" t="str">
        <x:v>ЕГКР</x:v>
      </x:c>
      <x:c r="D5709" s="87"/>
      <x:c r="E5709" s="87" t="str">
        <x:v>Зима 2025</x:v>
      </x:c>
      <x:c r="F5709" s="87" t="str">
        <x:v>18.12.2025</x:v>
      </x:c>
      <x:c r="G5709" s="87" t="str">
        <x:v>Обществознание</x:v>
      </x:c>
      <x:c r="H5709" s="87" t="n">
        <x:v>11</x:v>
      </x:c>
      <x:c r="I5709" s="87"/>
      <x:c r="J5709" s="87" t="str">
        <x:v>954</x:v>
      </x:c>
      <x:c r="K5709" s="87" t="n">
        <x:v>20</x:v>
      </x:c>
      <x:c r="L5709" s="87" t="str">
        <x:v>Развёрнутый ответ</x:v>
      </x:c>
      <x:c r="M5709" s="30" t="str">
        <x:v>Пояснить влияние трёх факторов на естественную безработицу.</x:v>
      </x:c>
      <x:c r="N5709" s="30" t="str">
        <x:v>Щедрое страхование по безработице может удлинять поиск работы и повышать естественный уровень безработицы. Сильные профсоюзы и жёсткая заработная плата затрудняют быстрое выравнивание спроса и предложения труда. Высокая готовность людей к трудовой деятельности, мобильности и переобучению ускоряет заполнение вакансий и снижает естественную безработицу.</x:v>
      </x:c>
      <x:c r="O5709" s="30" t="str">
        <x:v>Модель включает все элементы, прямо требуемые формулировкой задания.</x:v>
      </x:c>
      <x:c r="P5709" s="30" t="str">
        <x:v>Содержание проверено по исходному тексту, обществоведческим понятиям и правовым нормам.</x:v>
      </x:c>
      <x:c r="Q5709" s="30"/>
      <x:c r="R5709" s="30"/>
      <x:c r="S5709" s="30" t="str">
        <x:v>Независимая модель; вторичный DOCX использован только для аудита</x:v>
      </x:c>
      <x:c r="T5709" s="30"/>
      <x:c r="U5709" s="30" t="str">
        <x:v>Модель независимо проверена по условию.</x:v>
      </x:c>
      <x:c r="V5709" s="87" t="str">
        <x:v>VERIFIED</x:v>
      </x:c>
      <x:c r="W5709" s="87"/>
      <x:c r="X5709" s="87"/>
      <x:c r="Y5709" s="87" t="n">
        <x:v>6</x:v>
      </x:c>
      <x:c r="Z5709" s="87" t="n">
        <x:v>6</x:v>
      </x:c>
      <x:c r="AA5709" s="87"/>
      <x:c r="AB5709" s="87"/>
      <x:c r="AC5709" s="87" t="str">
        <x:v>VIS-EGKR-SOC-W25-TASK-954-P006</x:v>
      </x:c>
      <x:c r="AD5709" s="87" t="str">
        <x:v>VIS-EGKR-SOC-W25-ANSWERDOC-P007</x:v>
      </x:c>
      <x:c r="AE5709" s="87" t="str">
        <x:v>TASK; SECONDARY_ANSWER_SOURCE</x:v>
      </x:c>
      <x:c r="AF5709" s="87" t="str">
        <x:v>VIS-EGKR-SOC-W25-TASK-954-P006: 6; VIS-EGKR-SOC-W25-ANSWERDOC-P007: 7</x:v>
      </x:c>
      <x:c r="AG5709" s="87" t="str">
        <x:v>RESOLVED</x:v>
      </x:c>
      <x:c r="AH5709" s="87" t="str">
        <x:v>CROP_VERIFIED</x:v>
      </x:c>
      <x:c r="AI5709" s="30"/>
      <x:c r="AJ5709" s="87" t="str">
        <x:v>clean</x:v>
      </x:c>
      <x:c r="AK5709" s="87" t="str">
        <x:v>clean-v0.16</x:v>
      </x:c>
      <x:c r="AL5709" s="87" t="str">
        <x:v>statgrad_clean_continuation_v0_16(1).xlsx</x:v>
      </x:c>
      <x:c r="AM5709" s="87" t="str">
        <x:v>SOC_EGKR_954</x:v>
      </x:c>
      <x:c r="AN5709" s="87" t="n">
        <x:v>21</x:v>
      </x:c>
    </x:row>
    <x:row r="5710">
      <x:c r="A5710" s="87" t="n">
        <x:v>5709</x:v>
      </x:c>
      <x:c r="B5710" s="87" t="str">
        <x:v>EGKR-W25-SOC-954-21</x:v>
      </x:c>
      <x:c r="C5710" s="87" t="str">
        <x:v>ЕГКР</x:v>
      </x:c>
      <x:c r="D5710" s="87"/>
      <x:c r="E5710" s="87" t="str">
        <x:v>Зима 2025</x:v>
      </x:c>
      <x:c r="F5710" s="87" t="str">
        <x:v>18.12.2025</x:v>
      </x:c>
      <x:c r="G5710" s="87" t="str">
        <x:v>Обществознание</x:v>
      </x:c>
      <x:c r="H5710" s="87" t="n">
        <x:v>11</x:v>
      </x:c>
      <x:c r="I5710" s="87"/>
      <x:c r="J5710" s="87" t="str">
        <x:v>954</x:v>
      </x:c>
      <x:c r="K5710" s="87" t="n">
        <x:v>21</x:v>
      </x:c>
      <x:c r="L5710" s="87" t="str">
        <x:v>Развёрнутый ответ</x:v>
      </x:c>
      <x:c r="M5710" s="30" t="str">
        <x:v>Проанализировать сдвиг предложения спортивных мотоциклов и влияние подорожания сервиса.</x:v>
      </x:c>
      <x:c r="N5710" s="30" t="str">
        <x:v>Предложение переместилось вправо, поэтому равновесная цена снизилась. Причиной могли стать государственные субсидии производителям или удешевление комплектующих, что снизило издержки и увеличило предложение. Повышение стоимости сервисного обслуживания делает эксплуатацию мотоциклов дороже, сокращает спрос и снижает равновесную цену.</x:v>
      </x:c>
      <x:c r="O5710" s="30" t="str">
        <x:v>Модель включает все элементы, прямо требуемые формулировкой задания.</x:v>
      </x:c>
      <x:c r="P5710" s="30" t="str">
        <x:v>Содержание проверено по исходному тексту, обществоведческим понятиям и правовым нормам.</x:v>
      </x:c>
      <x:c r="Q5710" s="30"/>
      <x:c r="R5710" s="30"/>
      <x:c r="S5710" s="30" t="str">
        <x:v>Независимая модель; вторичный DOCX использован только для аудита</x:v>
      </x:c>
      <x:c r="T5710" s="30"/>
      <x:c r="U5710" s="30" t="str">
        <x:v>Вторичный источник ошибочно называет сдвиг предложения влево; на графике S→S₁ вправо.</x:v>
      </x:c>
      <x:c r="V5710" s="87" t="str">
        <x:v>KEY_MISMATCH</x:v>
      </x:c>
      <x:c r="W5710" s="87"/>
      <x:c r="X5710" s="87"/>
      <x:c r="Y5710" s="87" t="n">
        <x:v>7</x:v>
      </x:c>
      <x:c r="Z5710" s="87" t="n">
        <x:v>7</x:v>
      </x:c>
      <x:c r="AA5710" s="87"/>
      <x:c r="AB5710" s="87"/>
      <x:c r="AC5710" s="87" t="str">
        <x:v>VIS-EGKR-SOC-W25-TASK-954-P007</x:v>
      </x:c>
      <x:c r="AD5710" s="87" t="str">
        <x:v>VIS-EGKR-SOC-W25-ANSWERDOC-P008</x:v>
      </x:c>
      <x:c r="AE5710" s="87" t="str">
        <x:v>TASK; SECONDARY_ANSWER_SOURCE</x:v>
      </x:c>
      <x:c r="AF5710" s="87" t="str">
        <x:v>VIS-EGKR-SOC-W25-TASK-954-P007: 7; VIS-EGKR-SOC-W25-ANSWERDOC-P008: 8</x:v>
      </x:c>
      <x:c r="AG5710" s="87" t="str">
        <x:v>RESOLVED</x:v>
      </x:c>
      <x:c r="AH5710" s="87" t="str">
        <x:v>CROP_VERIFIED</x:v>
      </x:c>
      <x:c r="AI5710" s="30"/>
      <x:c r="AJ5710" s="87" t="str">
        <x:v>clean</x:v>
      </x:c>
      <x:c r="AK5710" s="87" t="str">
        <x:v>clean-v0.16</x:v>
      </x:c>
      <x:c r="AL5710" s="87" t="str">
        <x:v>statgrad_clean_continuation_v0_16(1).xlsx</x:v>
      </x:c>
      <x:c r="AM5710" s="87" t="str">
        <x:v>SOC_EGKR_954</x:v>
      </x:c>
      <x:c r="AN5710" s="87" t="n">
        <x:v>22</x:v>
      </x:c>
    </x:row>
    <x:row r="5711">
      <x:c r="A5711" s="87" t="n">
        <x:v>5710</x:v>
      </x:c>
      <x:c r="B5711" s="87" t="str">
        <x:v>EGKR-W25-SOC-954-22</x:v>
      </x:c>
      <x:c r="C5711" s="87" t="str">
        <x:v>ЕГКР</x:v>
      </x:c>
      <x:c r="D5711" s="87"/>
      <x:c r="E5711" s="87" t="str">
        <x:v>Зима 2025</x:v>
      </x:c>
      <x:c r="F5711" s="87" t="str">
        <x:v>18.12.2025</x:v>
      </x:c>
      <x:c r="G5711" s="87" t="str">
        <x:v>Обществознание</x:v>
      </x:c>
      <x:c r="H5711" s="87" t="n">
        <x:v>11</x:v>
      </x:c>
      <x:c r="I5711" s="87"/>
      <x:c r="J5711" s="87" t="str">
        <x:v>954</x:v>
      </x:c>
      <x:c r="K5711" s="87" t="n">
        <x:v>22</x:v>
      </x:c>
      <x:c r="L5711" s="87" t="str">
        <x:v>Развёрнутый ответ</x:v>
      </x:c>
      <x:c r="M5711" s="30" t="str">
        <x:v>Определить альтернативную стоимость, ценную бумагу с правом управления, отрасль права сделки и судопроизводство по увольнению.</x:v>
      </x:c>
      <x:c r="N5711" s="30" t="str">
        <x:v>Альтернативная стоимость покупки корпоративных облигаций — доходность лучшей отвергнутой альтернативы, то есть 10% по обыкновенным акциям (5 тыс. рублей на 50 тыс.). Право на участие в управлении дают обыкновенные акции. Сделки с ценными бумагами регулируются гражданским правом. Спор об увольнении рассматривается по нормам гражданского процессуального права.</x:v>
      </x:c>
      <x:c r="O5711" s="30" t="str">
        <x:v>Модель включает все элементы, прямо требуемые формулировкой задания.</x:v>
      </x:c>
      <x:c r="P5711" s="30" t="str">
        <x:v>Содержание проверено по исходному тексту, обществоведческим понятиям и правовым нормам.</x:v>
      </x:c>
      <x:c r="Q5711" s="30"/>
      <x:c r="R5711" s="30"/>
      <x:c r="S5711" s="30" t="str">
        <x:v>Независимая модель; вторичный DOCX использован только для аудита</x:v>
      </x:c>
      <x:c r="T5711" s="30"/>
      <x:c r="U5711" s="30" t="str">
        <x:v>Модель независимо проверена по условию. Модель отсутствовала во вторичном ответнике и подготовлена независимо.</x:v>
      </x:c>
      <x:c r="V5711" s="87" t="str">
        <x:v>VERIFIED</x:v>
      </x:c>
      <x:c r="W5711" s="87"/>
      <x:c r="X5711" s="87"/>
      <x:c r="Y5711" s="87" t="n">
        <x:v>7</x:v>
      </x:c>
      <x:c r="Z5711" s="87" t="n">
        <x:v>7</x:v>
      </x:c>
      <x:c r="AA5711" s="87"/>
      <x:c r="AB5711" s="87"/>
      <x:c r="AC5711" s="87" t="str">
        <x:v>VIS-EGKR-SOC-W25-TASK-954-P007</x:v>
      </x:c>
      <x:c r="AD5711" s="87"/>
      <x:c r="AE5711" s="87" t="str">
        <x:v>TASK</x:v>
      </x:c>
      <x:c r="AF5711" s="87" t="str">
        <x:v>VIS-EGKR-SOC-W25-TASK-954-P007: 7</x:v>
      </x:c>
      <x:c r="AG5711" s="87" t="str">
        <x:v>RESOLVED</x:v>
      </x:c>
      <x:c r="AH5711" s="87" t="str">
        <x:v>CROP_VERIFIED</x:v>
      </x:c>
      <x:c r="AI5711" s="30"/>
      <x:c r="AJ5711" s="87" t="str">
        <x:v>clean</x:v>
      </x:c>
      <x:c r="AK5711" s="87" t="str">
        <x:v>clean-v0.16</x:v>
      </x:c>
      <x:c r="AL5711" s="87" t="str">
        <x:v>statgrad_clean_continuation_v0_16(1).xlsx</x:v>
      </x:c>
      <x:c r="AM5711" s="87" t="str">
        <x:v>SOC_EGKR_954</x:v>
      </x:c>
      <x:c r="AN5711" s="87" t="n">
        <x:v>23</x:v>
      </x:c>
    </x:row>
    <x:row r="5712">
      <x:c r="A5712" s="87" t="n">
        <x:v>5711</x:v>
      </x:c>
      <x:c r="B5712" s="87" t="str">
        <x:v>EGKR-W25-SOC-954-23</x:v>
      </x:c>
      <x:c r="C5712" s="87" t="str">
        <x:v>ЕГКР</x:v>
      </x:c>
      <x:c r="D5712" s="87"/>
      <x:c r="E5712" s="87" t="str">
        <x:v>Зима 2025</x:v>
      </x:c>
      <x:c r="F5712" s="87" t="str">
        <x:v>18.12.2025</x:v>
      </x:c>
      <x:c r="G5712" s="87" t="str">
        <x:v>Обществознание</x:v>
      </x:c>
      <x:c r="H5712" s="87" t="n">
        <x:v>11</x:v>
      </x:c>
      <x:c r="I5712" s="87"/>
      <x:c r="J5712" s="87" t="str">
        <x:v>954</x:v>
      </x:c>
      <x:c r="K5712" s="87" t="n">
        <x:v>23</x:v>
      </x:c>
      <x:c r="L5712" s="87" t="str">
        <x:v>Развёрнутый ответ</x:v>
      </x:c>
      <x:c r="M5712" s="30" t="str">
        <x:v>Объяснить республиканскую форму правления, демократический характер и местное самоуправление.</x:v>
      </x:c>
      <x:c r="N5712" s="30" t="str">
        <x:v>Республика означает выборность или формирование высших органов на определённый срок и отсутствие наследственной передачи власти. Демократическое государство признаёт народ носителем суверенитета и источником власти, осуществляемой непосредственно и через органы. Местное самоуправление признаётся и гарантируется, а население самостоятельно решает вопросы местного значения в пределах полномочий.</x:v>
      </x:c>
      <x:c r="O5712" s="30" t="str">
        <x:v>Модель включает все элементы, прямо требуемые формулировкой задания.</x:v>
      </x:c>
      <x:c r="P5712" s="30" t="str">
        <x:v>Содержание проверено по исходному тексту, обществоведческим понятиям и правовым нормам.</x:v>
      </x:c>
      <x:c r="Q5712" s="30"/>
      <x:c r="R5712" s="30"/>
      <x:c r="S5712" s="30" t="str">
        <x:v>Независимая модель; вторичный DOCX использован только для аудита</x:v>
      </x:c>
      <x:c r="T5712" s="30"/>
      <x:c r="U5712" s="30" t="str">
        <x:v>Модель независимо проверена по условию. Модель отсутствовала во вторичном ответнике и подготовлена независимо.</x:v>
      </x:c>
      <x:c r="V5712" s="87" t="str">
        <x:v>VERIFIED</x:v>
      </x:c>
      <x:c r="W5712" s="87"/>
      <x:c r="X5712" s="87"/>
      <x:c r="Y5712" s="87" t="n">
        <x:v>7</x:v>
      </x:c>
      <x:c r="Z5712" s="87" t="n">
        <x:v>7</x:v>
      </x:c>
      <x:c r="AA5712" s="87"/>
      <x:c r="AB5712" s="87"/>
      <x:c r="AC5712" s="87" t="str">
        <x:v>VIS-EGKR-SOC-W25-TASK-954-P007</x:v>
      </x:c>
      <x:c r="AD5712" s="87"/>
      <x:c r="AE5712" s="87" t="str">
        <x:v>TASK</x:v>
      </x:c>
      <x:c r="AF5712" s="87" t="str">
        <x:v>VIS-EGKR-SOC-W25-TASK-954-P007: 7</x:v>
      </x:c>
      <x:c r="AG5712" s="87" t="str">
        <x:v>RESOLVED</x:v>
      </x:c>
      <x:c r="AH5712" s="87" t="str">
        <x:v>CROP_VERIFIED</x:v>
      </x:c>
      <x:c r="AI5712" s="30"/>
      <x:c r="AJ5712" s="87" t="str">
        <x:v>clean</x:v>
      </x:c>
      <x:c r="AK5712" s="87" t="str">
        <x:v>clean-v0.16</x:v>
      </x:c>
      <x:c r="AL5712" s="87" t="str">
        <x:v>statgrad_clean_continuation_v0_16(1).xlsx</x:v>
      </x:c>
      <x:c r="AM5712" s="87" t="str">
        <x:v>SOC_EGKR_954</x:v>
      </x:c>
      <x:c r="AN5712" s="87" t="n">
        <x:v>24</x:v>
      </x:c>
    </x:row>
    <x:row r="5713">
      <x:c r="A5713" s="87" t="n">
        <x:v>5712</x:v>
      </x:c>
      <x:c r="B5713" s="87" t="str">
        <x:v>EGKR-W25-SOC-954-24</x:v>
      </x:c>
      <x:c r="C5713" s="87" t="str">
        <x:v>ЕГКР</x:v>
      </x:c>
      <x:c r="D5713" s="87"/>
      <x:c r="E5713" s="87" t="str">
        <x:v>Зима 2025</x:v>
      </x:c>
      <x:c r="F5713" s="87" t="str">
        <x:v>18.12.2025</x:v>
      </x:c>
      <x:c r="G5713" s="87" t="str">
        <x:v>Обществознание</x:v>
      </x:c>
      <x:c r="H5713" s="87" t="n">
        <x:v>11</x:v>
      </x:c>
      <x:c r="I5713" s="87"/>
      <x:c r="J5713" s="87" t="str">
        <x:v>954</x:v>
      </x:c>
      <x:c r="K5713" s="87" t="n">
        <x:v>24</x:v>
      </x:c>
      <x:c r="L5713" s="87" t="str">
        <x:v>Развёрнутый ответ</x:v>
      </x:c>
      <x:c r="M5713" s="30" t="str">
        <x:v>Составить сложный план «Социальное познание как вид научного познания».</x:v>
      </x:c>
      <x:c r="N5713" s="30" t="str">
        <x:v>1. Понятие социального познания. 2. Субъект и объект социального познания. 3. Особенности: а) совпадение субъекта и объекта; б) сложность и изменчивость общества; в) ценностная обусловленность; г) ограниченность эксперимента. 4. Уровни: эмпирический и теоретический. 5. Методы: наблюдение, опрос, анализ документов, социальный эксперимент, моделирование, статистика. 6. Формы знания: факты, проблемы, гипотезы, теории. 7. Критерии научности: доказательность, проверяемость, непротиворечивость. 8. Роль междисциплинарного подхода.</x:v>
      </x:c>
      <x:c r="O5713" s="30" t="str">
        <x:v>Модель включает все элементы, прямо требуемые формулировкой задания.</x:v>
      </x:c>
      <x:c r="P5713" s="30" t="str">
        <x:v>Содержание проверено по исходному тексту, обществоведческим понятиям и правовым нормам.</x:v>
      </x:c>
      <x:c r="Q5713" s="30"/>
      <x:c r="R5713" s="30"/>
      <x:c r="S5713" s="30" t="str">
        <x:v>Независимая модель; вторичный DOCX использован только для аудита</x:v>
      </x:c>
      <x:c r="T5713" s="30"/>
      <x:c r="U5713" s="30" t="str">
        <x:v>Модель независимо проверена по условию.</x:v>
      </x:c>
      <x:c r="V5713" s="87" t="str">
        <x:v>VERIFIED</x:v>
      </x:c>
      <x:c r="W5713" s="87"/>
      <x:c r="X5713" s="87"/>
      <x:c r="Y5713" s="87" t="n">
        <x:v>7</x:v>
      </x:c>
      <x:c r="Z5713" s="87" t="n">
        <x:v>7</x:v>
      </x:c>
      <x:c r="AA5713" s="87"/>
      <x:c r="AB5713" s="87"/>
      <x:c r="AC5713" s="87" t="str">
        <x:v>VIS-EGKR-SOC-W25-TASK-954-P007</x:v>
      </x:c>
      <x:c r="AD5713" s="87" t="str">
        <x:v>VIS-EGKR-SOC-W25-ANSWERDOC-P008</x:v>
      </x:c>
      <x:c r="AE5713" s="87" t="str">
        <x:v>TASK; SECONDARY_ANSWER_SOURCE</x:v>
      </x:c>
      <x:c r="AF5713" s="87" t="str">
        <x:v>VIS-EGKR-SOC-W25-TASK-954-P007: 7; VIS-EGKR-SOC-W25-ANSWERDOC-P008: 8</x:v>
      </x:c>
      <x:c r="AG5713" s="87" t="str">
        <x:v>RESOLVED</x:v>
      </x:c>
      <x:c r="AH5713" s="87" t="str">
        <x:v>CROP_VERIFIED</x:v>
      </x:c>
      <x:c r="AI5713" s="30"/>
      <x:c r="AJ5713" s="87" t="str">
        <x:v>clean</x:v>
      </x:c>
      <x:c r="AK5713" s="87" t="str">
        <x:v>clean-v0.16</x:v>
      </x:c>
      <x:c r="AL5713" s="87" t="str">
        <x:v>statgrad_clean_continuation_v0_16(1).xlsx</x:v>
      </x:c>
      <x:c r="AM5713" s="87" t="str">
        <x:v>SOC_EGKR_954</x:v>
      </x:c>
      <x:c r="AN5713" s="87" t="n">
        <x:v>25</x:v>
      </x:c>
    </x:row>
    <x:row r="5714">
      <x:c r="A5714" s="87" t="n">
        <x:v>5713</x:v>
      </x:c>
      <x:c r="B5714" s="87" t="str">
        <x:v>EGKR-W25-SOC-954-25</x:v>
      </x:c>
      <x:c r="C5714" s="87" t="str">
        <x:v>ЕГКР</x:v>
      </x:c>
      <x:c r="D5714" s="87"/>
      <x:c r="E5714" s="87" t="str">
        <x:v>Зима 2025</x:v>
      </x:c>
      <x:c r="F5714" s="87" t="str">
        <x:v>18.12.2025</x:v>
      </x:c>
      <x:c r="G5714" s="87" t="str">
        <x:v>Обществознание</x:v>
      </x:c>
      <x:c r="H5714" s="87" t="n">
        <x:v>11</x:v>
      </x:c>
      <x:c r="I5714" s="87"/>
      <x:c r="J5714" s="87" t="str">
        <x:v>954</x:v>
      </x:c>
      <x:c r="K5714" s="87" t="n">
        <x:v>25</x:v>
      </x:c>
      <x:c r="L5714" s="87" t="str">
        <x:v>Развёрнутый ответ</x:v>
      </x:c>
      <x:c r="M5714" s="30" t="str">
        <x:v>Обосновать междисциплинарность, назвать трёх отечественных учёных и привести примеры их научной деятельности.</x:v>
      </x:c>
      <x:c r="N5714" s="30" t="str">
        <x:v>Общественные явления имеют экономические, психологические, правовые и культурные причины, поэтому объединение методов разных наук позволяет получить более целостные и надёжные выводы. Л.С. Выготский разработал культурно-историческую теорию развития высших психических функций. П.А. Сорокин исследовал социальную стратификацию и мобильность. Н.Д. Кондратьев обосновал теорию больших циклов экономической конъюнктуры.</x:v>
      </x:c>
      <x:c r="O5714" s="30" t="str">
        <x:v>Модель включает все элементы, прямо требуемые формулировкой задания.</x:v>
      </x:c>
      <x:c r="P5714" s="30" t="str">
        <x:v>Содержание проверено по исходному тексту, обществоведческим понятиям и правовым нормам.</x:v>
      </x:c>
      <x:c r="Q5714" s="30"/>
      <x:c r="R5714" s="30"/>
      <x:c r="S5714" s="30" t="str">
        <x:v>Независимая модель; вторичный DOCX использован только для аудита</x:v>
      </x:c>
      <x:c r="T5714" s="30"/>
      <x:c r="U5714" s="30" t="str">
        <x:v>Модель независимо проверена по условию. Модель отсутствовала во вторичном ответнике и подготовлена независимо.</x:v>
      </x:c>
      <x:c r="V5714" s="87" t="str">
        <x:v>VERIFIED</x:v>
      </x:c>
      <x:c r="W5714" s="87"/>
      <x:c r="X5714" s="87"/>
      <x:c r="Y5714" s="87" t="n">
        <x:v>7</x:v>
      </x:c>
      <x:c r="Z5714" s="87" t="n">
        <x:v>7</x:v>
      </x:c>
      <x:c r="AA5714" s="87"/>
      <x:c r="AB5714" s="87"/>
      <x:c r="AC5714" s="87" t="str">
        <x:v>VIS-EGKR-SOC-W25-TASK-954-P007</x:v>
      </x:c>
      <x:c r="AD5714" s="87"/>
      <x:c r="AE5714" s="87" t="str">
        <x:v>TASK</x:v>
      </x:c>
      <x:c r="AF5714" s="87" t="str">
        <x:v>VIS-EGKR-SOC-W25-TASK-954-P007: 7</x:v>
      </x:c>
      <x:c r="AG5714" s="87" t="str">
        <x:v>RESOLVED</x:v>
      </x:c>
      <x:c r="AH5714" s="87" t="str">
        <x:v>CROP_VERIFIED</x:v>
      </x:c>
      <x:c r="AI5714" s="30"/>
      <x:c r="AJ5714" s="87" t="str">
        <x:v>clean</x:v>
      </x:c>
      <x:c r="AK5714" s="87" t="str">
        <x:v>clean-v0.16</x:v>
      </x:c>
      <x:c r="AL5714" s="87" t="str">
        <x:v>statgrad_clean_continuation_v0_16(1).xlsx</x:v>
      </x:c>
      <x:c r="AM5714" s="87" t="str">
        <x:v>SOC_EGKR_954</x:v>
      </x:c>
      <x:c r="AN5714" s="87" t="n">
        <x:v>26</x:v>
      </x:c>
    </x:row>
    <x:row r="5715">
      <x:c r="A5715" s="87" t="n">
        <x:v>5714</x:v>
      </x:c>
      <x:c r="B5715" s="87" t="str">
        <x:v>EGKR-W25-PHY-951-01</x:v>
      </x:c>
      <x:c r="C5715" s="87" t="str">
        <x:v>ЕГКР</x:v>
      </x:c>
      <x:c r="D5715" s="87"/>
      <x:c r="E5715" s="87" t="str">
        <x:v>Зима 2025</x:v>
      </x:c>
      <x:c r="F5715" s="87" t="str">
        <x:v>18.12.2025</x:v>
      </x:c>
      <x:c r="G5715" s="87" t="str">
        <x:v>Физика</x:v>
      </x:c>
      <x:c r="H5715" s="87" t="n">
        <x:v>11</x:v>
      </x:c>
      <x:c r="I5715" s="87"/>
      <x:c r="J5715" s="87" t="str">
        <x:v>951</x:v>
      </x:c>
      <x:c r="K5715" s="87" t="n">
        <x:v>1</x:v>
      </x:c>
      <x:c r="L5715" s="87" t="str">
        <x:v>График скорости</x:v>
      </x:c>
      <x:c r="M5715" s="30" t="str">
        <x:v>По графику проекции скорости определить путь тела на указанном интервале.</x:v>
      </x:c>
      <x:c r="N5715" s="30" t="str">
        <x:v>12,5</x:v>
      </x:c>
      <x:c r="O5715" s="30" t="str">
        <x:v>Путь равен площади под графиком |v(t)|.</x:v>
      </x:c>
      <x:c r="P5715" s="30" t="str">
        <x:v>Вычисление и полная визуальная страница проверены независимо.</x:v>
      </x:c>
      <x:c r="Q5715" s="30"/>
      <x:c r="R5715" s="30" t="str">
        <x:v>13,54</x:v>
      </x:c>
      <x:c r="S5715" s="30"/>
      <x:c r="T5715" s="30"/>
      <x:c r="U5715" s="30" t="str">
        <x:v>Ответник: 13,54; независимое решение: 12,5.</x:v>
      </x:c>
      <x:c r="V5715" s="87" t="str">
        <x:v>KEY_MISMATCH</x:v>
      </x:c>
      <x:c r="W5715" s="87"/>
      <x:c r="X5715" s="87" t="n">
        <x:v>2</x:v>
      </x:c>
      <x:c r="Y5715" s="87"/>
      <x:c r="Z5715" s="87"/>
      <x:c r="AA5715" s="87"/>
      <x:c r="AB5715" s="87"/>
      <x:c r="AC5715" s="87" t="str">
        <x:v>VIS-EGKR-PHY-W25-TASK-951-P002</x:v>
      </x:c>
      <x:c r="AD5715" s="87" t="str">
        <x:v>VIS-EGKR-PHY-W25-ANSWERDOC-P001</x:v>
      </x:c>
      <x:c r="AE5715" s="87" t="str">
        <x:v>TASK; SECONDARY_ANSWER_SOURCE</x:v>
      </x:c>
      <x:c r="AF5715" s="87" t="str">
        <x:v>VIS-EGKR-PHY-W25-TASK-951-P002: 2; VIS-EGKR-PHY-W25-ANSWERDOC-P001: 1</x:v>
      </x:c>
      <x:c r="AG5715" s="87" t="str">
        <x:v>RESOLVED</x:v>
      </x:c>
      <x:c r="AH5715" s="87" t="str">
        <x:v>CROP_VERIFIED</x:v>
      </x:c>
      <x:c r="AI5715" s="30"/>
      <x:c r="AJ5715" s="87" t="str">
        <x:v>clean</x:v>
      </x:c>
      <x:c r="AK5715" s="87" t="str">
        <x:v>clean-v0.17</x:v>
      </x:c>
      <x:c r="AL5715" s="87" t="str">
        <x:v>statgrad_clean_continuation_v0_17(1).xlsx</x:v>
      </x:c>
      <x:c r="AM5715" s="87" t="str">
        <x:v>PHY_EGKR_951</x:v>
      </x:c>
      <x:c r="AN5715" s="87" t="n">
        <x:v>2</x:v>
      </x:c>
    </x:row>
    <x:row r="5716">
      <x:c r="A5716" s="87" t="n">
        <x:v>5715</x:v>
      </x:c>
      <x:c r="B5716" s="87" t="str">
        <x:v>EGKR-W25-PHY-951-02</x:v>
      </x:c>
      <x:c r="C5716" s="87" t="str">
        <x:v>ЕГКР</x:v>
      </x:c>
      <x:c r="D5716" s="87"/>
      <x:c r="E5716" s="87" t="str">
        <x:v>Зима 2025</x:v>
      </x:c>
      <x:c r="F5716" s="87" t="str">
        <x:v>18.12.2025</x:v>
      </x:c>
      <x:c r="G5716" s="87" t="str">
        <x:v>Физика</x:v>
      </x:c>
      <x:c r="H5716" s="87" t="n">
        <x:v>11</x:v>
      </x:c>
      <x:c r="I5716" s="87"/>
      <x:c r="J5716" s="87" t="str">
        <x:v>951</x:v>
      </x:c>
      <x:c r="K5716" s="87" t="n">
        <x:v>2</x:v>
      </x:c>
      <x:c r="L5716" s="87" t="str">
        <x:v>Второй закон Ньютона</x:v>
      </x:c>
      <x:c r="M5716" s="30" t="str">
        <x:v>Определить изменение массы тела по второму закону Ньютона при изменении силы/ускорения.</x:v>
      </x:c>
      <x:c r="N5716" s="30" t="str">
        <x:v>6</x:v>
      </x:c>
      <x:c r="O5716" s="30" t="str">
        <x:v>Использовано F=ma.</x:v>
      </x:c>
      <x:c r="P5716" s="30" t="str">
        <x:v>Вычисление и полная визуальная страница проверены независимо.</x:v>
      </x:c>
      <x:c r="Q5716" s="30"/>
      <x:c r="R5716" s="30" t="str">
        <x:v>6</x:v>
      </x:c>
      <x:c r="S5716" s="30"/>
      <x:c r="T5716" s="30"/>
      <x:c r="U5716" s="30" t="str">
        <x:v>Ответник совпадает с независимой проверкой.</x:v>
      </x:c>
      <x:c r="V5716" s="87" t="str">
        <x:v>VERIFIED</x:v>
      </x:c>
      <x:c r="W5716" s="87"/>
      <x:c r="X5716" s="87" t="n">
        <x:v>2</x:v>
      </x:c>
      <x:c r="Y5716" s="87"/>
      <x:c r="Z5716" s="87"/>
      <x:c r="AA5716" s="87"/>
      <x:c r="AB5716" s="87"/>
      <x:c r="AC5716" s="87" t="str">
        <x:v>VIS-EGKR-PHY-W25-TASK-951-P002</x:v>
      </x:c>
      <x:c r="AD5716" s="87" t="str">
        <x:v>VIS-EGKR-PHY-W25-ANSWERDOC-P001</x:v>
      </x:c>
      <x:c r="AE5716" s="87" t="str">
        <x:v>TASK; SECONDARY_ANSWER_SOURCE</x:v>
      </x:c>
      <x:c r="AF5716" s="87" t="str">
        <x:v>VIS-EGKR-PHY-W25-TASK-951-P002: 2; VIS-EGKR-PHY-W25-ANSWERDOC-P001: 1</x:v>
      </x:c>
      <x:c r="AG5716" s="87" t="str">
        <x:v>RESOLVED</x:v>
      </x:c>
      <x:c r="AH5716" s="87" t="str">
        <x:v>CROP_VERIFIED</x:v>
      </x:c>
      <x:c r="AI5716" s="30"/>
      <x:c r="AJ5716" s="87" t="str">
        <x:v>clean</x:v>
      </x:c>
      <x:c r="AK5716" s="87" t="str">
        <x:v>clean-v0.17</x:v>
      </x:c>
      <x:c r="AL5716" s="87" t="str">
        <x:v>statgrad_clean_continuation_v0_17(1).xlsx</x:v>
      </x:c>
      <x:c r="AM5716" s="87" t="str">
        <x:v>PHY_EGKR_951</x:v>
      </x:c>
      <x:c r="AN5716" s="87" t="n">
        <x:v>3</x:v>
      </x:c>
    </x:row>
    <x:row r="5717">
      <x:c r="A5717" s="87" t="n">
        <x:v>5716</x:v>
      </x:c>
      <x:c r="B5717" s="87" t="str">
        <x:v>EGKR-W25-PHY-951-03</x:v>
      </x:c>
      <x:c r="C5717" s="87" t="str">
        <x:v>ЕГКР</x:v>
      </x:c>
      <x:c r="D5717" s="87"/>
      <x:c r="E5717" s="87" t="str">
        <x:v>Зима 2025</x:v>
      </x:c>
      <x:c r="F5717" s="87" t="str">
        <x:v>18.12.2025</x:v>
      </x:c>
      <x:c r="G5717" s="87" t="str">
        <x:v>Физика</x:v>
      </x:c>
      <x:c r="H5717" s="87" t="n">
        <x:v>11</x:v>
      </x:c>
      <x:c r="I5717" s="87"/>
      <x:c r="J5717" s="87" t="str">
        <x:v>951</x:v>
      </x:c>
      <x:c r="K5717" s="87" t="n">
        <x:v>3</x:v>
      </x:c>
      <x:c r="L5717" s="87" t="str">
        <x:v>Импульс</x:v>
      </x:c>
      <x:c r="M5717" s="30" t="str">
        <x:v>Найти модуль импульса системы двух тел при заданных направлениях импульсов.</x:v>
      </x:c>
      <x:c r="N5717" s="30" t="str">
        <x:v>5</x:v>
      </x:c>
      <x:c r="O5717" s="30" t="str">
        <x:v>Перпендикулярные импульсы сложены по теореме Пифагора.</x:v>
      </x:c>
      <x:c r="P5717" s="30" t="str">
        <x:v>Вычисление и полная визуальная страница проверены независимо.</x:v>
      </x:c>
      <x:c r="Q5717" s="30"/>
      <x:c r="R5717" s="30" t="str">
        <x:v>5</x:v>
      </x:c>
      <x:c r="S5717" s="30"/>
      <x:c r="T5717" s="30"/>
      <x:c r="U5717" s="30" t="str">
        <x:v>Ответник совпадает с независимой проверкой.</x:v>
      </x:c>
      <x:c r="V5717" s="87" t="str">
        <x:v>VERIFIED</x:v>
      </x:c>
      <x:c r="W5717" s="87"/>
      <x:c r="X5717" s="87" t="n">
        <x:v>2</x:v>
      </x:c>
      <x:c r="Y5717" s="87"/>
      <x:c r="Z5717" s="87"/>
      <x:c r="AA5717" s="87"/>
      <x:c r="AB5717" s="87"/>
      <x:c r="AC5717" s="87" t="str">
        <x:v>VIS-EGKR-PHY-W25-TASK-951-P002</x:v>
      </x:c>
      <x:c r="AD5717" s="87" t="str">
        <x:v>VIS-EGKR-PHY-W25-ANSWERDOC-P001</x:v>
      </x:c>
      <x:c r="AE5717" s="87" t="str">
        <x:v>TASK; SECONDARY_ANSWER_SOURCE</x:v>
      </x:c>
      <x:c r="AF5717" s="87" t="str">
        <x:v>VIS-EGKR-PHY-W25-TASK-951-P002: 2; VIS-EGKR-PHY-W25-ANSWERDOC-P001: 1</x:v>
      </x:c>
      <x:c r="AG5717" s="87" t="str">
        <x:v>RESOLVED</x:v>
      </x:c>
      <x:c r="AH5717" s="87" t="str">
        <x:v>CROP_VERIFIED</x:v>
      </x:c>
      <x:c r="AI5717" s="30"/>
      <x:c r="AJ5717" s="87" t="str">
        <x:v>clean</x:v>
      </x:c>
      <x:c r="AK5717" s="87" t="str">
        <x:v>clean-v0.17</x:v>
      </x:c>
      <x:c r="AL5717" s="87" t="str">
        <x:v>statgrad_clean_continuation_v0_17(1).xlsx</x:v>
      </x:c>
      <x:c r="AM5717" s="87" t="str">
        <x:v>PHY_EGKR_951</x:v>
      </x:c>
      <x:c r="AN5717" s="87" t="n">
        <x:v>4</x:v>
      </x:c>
    </x:row>
    <x:row r="5718">
      <x:c r="A5718" s="87" t="n">
        <x:v>5717</x:v>
      </x:c>
      <x:c r="B5718" s="87" t="str">
        <x:v>EGKR-W25-PHY-951-04</x:v>
      </x:c>
      <x:c r="C5718" s="87" t="str">
        <x:v>ЕГКР</x:v>
      </x:c>
      <x:c r="D5718" s="87"/>
      <x:c r="E5718" s="87" t="str">
        <x:v>Зима 2025</x:v>
      </x:c>
      <x:c r="F5718" s="87" t="str">
        <x:v>18.12.2025</x:v>
      </x:c>
      <x:c r="G5718" s="87" t="str">
        <x:v>Физика</x:v>
      </x:c>
      <x:c r="H5718" s="87" t="n">
        <x:v>11</x:v>
      </x:c>
      <x:c r="I5718" s="87"/>
      <x:c r="J5718" s="87" t="str">
        <x:v>951</x:v>
      </x:c>
      <x:c r="K5718" s="87" t="n">
        <x:v>4</x:v>
      </x:c>
      <x:c r="L5718" s="87" t="str">
        <x:v>Статика и рычаг</x:v>
      </x:c>
      <x:c r="M5718" s="30" t="str">
        <x:v>Используя условие равновесия рычага, определить массу или силу.</x:v>
      </x:c>
      <x:c r="N5718" s="30" t="str">
        <x:v>1</x:v>
      </x:c>
      <x:c r="O5718" s="30" t="str">
        <x:v>Использовано равенство моментов сил относительно точки опоры.</x:v>
      </x:c>
      <x:c r="P5718" s="30" t="str">
        <x:v>Вычисление и полная визуальная страница проверены независимо.</x:v>
      </x:c>
      <x:c r="Q5718" s="30"/>
      <x:c r="R5718" s="30" t="str">
        <x:v>0,6</x:v>
      </x:c>
      <x:c r="S5718" s="30"/>
      <x:c r="T5718" s="30"/>
      <x:c r="U5718" s="30" t="str">
        <x:v>Ответник: 0,6; независимое решение: 1.</x:v>
      </x:c>
      <x:c r="V5718" s="87" t="str">
        <x:v>KEY_MISMATCH</x:v>
      </x:c>
      <x:c r="W5718" s="87"/>
      <x:c r="X5718" s="87" t="n">
        <x:v>3</x:v>
      </x:c>
      <x:c r="Y5718" s="87"/>
      <x:c r="Z5718" s="87"/>
      <x:c r="AA5718" s="87"/>
      <x:c r="AB5718" s="87"/>
      <x:c r="AC5718" s="87" t="str">
        <x:v>VIS-EGKR-PHY-W25-TASK-951-P003</x:v>
      </x:c>
      <x:c r="AD5718" s="87" t="str">
        <x:v>VIS-EGKR-PHY-W25-ANSWERDOC-P001</x:v>
      </x:c>
      <x:c r="AE5718" s="87" t="str">
        <x:v>TASK; SECONDARY_ANSWER_SOURCE</x:v>
      </x:c>
      <x:c r="AF5718" s="87" t="str">
        <x:v>VIS-EGKR-PHY-W25-TASK-951-P003: 3; VIS-EGKR-PHY-W25-ANSWERDOC-P001: 1</x:v>
      </x:c>
      <x:c r="AG5718" s="87" t="str">
        <x:v>RESOLVED</x:v>
      </x:c>
      <x:c r="AH5718" s="87" t="str">
        <x:v>CROP_VERIFIED</x:v>
      </x:c>
      <x:c r="AI5718" s="30"/>
      <x:c r="AJ5718" s="87" t="str">
        <x:v>clean</x:v>
      </x:c>
      <x:c r="AK5718" s="87" t="str">
        <x:v>clean-v0.17</x:v>
      </x:c>
      <x:c r="AL5718" s="87" t="str">
        <x:v>statgrad_clean_continuation_v0_17(1).xlsx</x:v>
      </x:c>
      <x:c r="AM5718" s="87" t="str">
        <x:v>PHY_EGKR_951</x:v>
      </x:c>
      <x:c r="AN5718" s="87" t="n">
        <x:v>5</x:v>
      </x:c>
    </x:row>
    <x:row r="5719">
      <x:c r="A5719" s="87" t="n">
        <x:v>5718</x:v>
      </x:c>
      <x:c r="B5719" s="87" t="str">
        <x:v>EGKR-W25-PHY-951-05</x:v>
      </x:c>
      <x:c r="C5719" s="87" t="str">
        <x:v>ЕГКР</x:v>
      </x:c>
      <x:c r="D5719" s="87"/>
      <x:c r="E5719" s="87" t="str">
        <x:v>Зима 2025</x:v>
      </x:c>
      <x:c r="F5719" s="87" t="str">
        <x:v>18.12.2025</x:v>
      </x:c>
      <x:c r="G5719" s="87" t="str">
        <x:v>Физика</x:v>
      </x:c>
      <x:c r="H5719" s="87" t="n">
        <x:v>11</x:v>
      </x:c>
      <x:c r="I5719" s="87"/>
      <x:c r="J5719" s="87" t="str">
        <x:v>951</x:v>
      </x:c>
      <x:c r="K5719" s="87" t="n">
        <x:v>5</x:v>
      </x:c>
      <x:c r="L5719" s="87" t="str">
        <x:v>Анализ движения</x:v>
      </x:c>
      <x:c r="M5719" s="30" t="str">
        <x:v>Выбрать верные утверждения по графику скорости тела.</x:v>
      </x:c>
      <x:c r="N5719" s="30" t="str">
        <x:v>14</x:v>
      </x:c>
      <x:c r="O5719" s="30" t="str">
        <x:v>Утверждения проверены по наклону графика, скорости и работе равнодействующей.</x:v>
      </x:c>
      <x:c r="P5719" s="30" t="str">
        <x:v>Вычисление и полная визуальная страница проверены независимо.</x:v>
      </x:c>
      <x:c r="Q5719" s="30"/>
      <x:c r="R5719" s="30" t="str">
        <x:v>14</x:v>
      </x:c>
      <x:c r="S5719" s="30"/>
      <x:c r="T5719" s="30"/>
      <x:c r="U5719" s="30" t="str">
        <x:v>Ответник совпадает с независимой проверкой.</x:v>
      </x:c>
      <x:c r="V5719" s="87" t="str">
        <x:v>VERIFIED</x:v>
      </x:c>
      <x:c r="W5719" s="87"/>
      <x:c r="X5719" s="87" t="n">
        <x:v>3</x:v>
      </x:c>
      <x:c r="Y5719" s="87"/>
      <x:c r="Z5719" s="87"/>
      <x:c r="AA5719" s="87"/>
      <x:c r="AB5719" s="87"/>
      <x:c r="AC5719" s="87" t="str">
        <x:v>VIS-EGKR-PHY-W25-TASK-951-P003</x:v>
      </x:c>
      <x:c r="AD5719" s="87" t="str">
        <x:v>VIS-EGKR-PHY-W25-ANSWERDOC-P001</x:v>
      </x:c>
      <x:c r="AE5719" s="87" t="str">
        <x:v>TASK; SECONDARY_ANSWER_SOURCE</x:v>
      </x:c>
      <x:c r="AF5719" s="87" t="str">
        <x:v>VIS-EGKR-PHY-W25-TASK-951-P003: 3; VIS-EGKR-PHY-W25-ANSWERDOC-P001: 1</x:v>
      </x:c>
      <x:c r="AG5719" s="87" t="str">
        <x:v>RESOLVED</x:v>
      </x:c>
      <x:c r="AH5719" s="87" t="str">
        <x:v>CROP_VERIFIED</x:v>
      </x:c>
      <x:c r="AI5719" s="30"/>
      <x:c r="AJ5719" s="87" t="str">
        <x:v>clean</x:v>
      </x:c>
      <x:c r="AK5719" s="87" t="str">
        <x:v>clean-v0.17</x:v>
      </x:c>
      <x:c r="AL5719" s="87" t="str">
        <x:v>statgrad_clean_continuation_v0_17(1).xlsx</x:v>
      </x:c>
      <x:c r="AM5719" s="87" t="str">
        <x:v>PHY_EGKR_951</x:v>
      </x:c>
      <x:c r="AN5719" s="87" t="n">
        <x:v>6</x:v>
      </x:c>
    </x:row>
    <x:row r="5720">
      <x:c r="A5720" s="87" t="n">
        <x:v>5719</x:v>
      </x:c>
      <x:c r="B5720" s="87" t="str">
        <x:v>EGKR-W25-PHY-951-06</x:v>
      </x:c>
      <x:c r="C5720" s="87" t="str">
        <x:v>ЕГКР</x:v>
      </x:c>
      <x:c r="D5720" s="87"/>
      <x:c r="E5720" s="87" t="str">
        <x:v>Зима 2025</x:v>
      </x:c>
      <x:c r="F5720" s="87" t="str">
        <x:v>18.12.2025</x:v>
      </x:c>
      <x:c r="G5720" s="87" t="str">
        <x:v>Физика</x:v>
      </x:c>
      <x:c r="H5720" s="87" t="n">
        <x:v>11</x:v>
      </x:c>
      <x:c r="I5720" s="87"/>
      <x:c r="J5720" s="87" t="str">
        <x:v>951</x:v>
      </x:c>
      <x:c r="K5720" s="87" t="n">
        <x:v>6</x:v>
      </x:c>
      <x:c r="L5720" s="87" t="str">
        <x:v>Гармонические колебания</x:v>
      </x:c>
      <x:c r="M5720" s="30" t="str">
        <x:v>Соотнести графики гармонического колебания с физическими величинами.</x:v>
      </x:c>
      <x:c r="N5720" s="30" t="str">
        <x:v>12</x:v>
      </x:c>
      <x:c r="O5720" s="30" t="str">
        <x:v>Учтены фазы координаты, ускорения, кинетической и потенциальной энергий.</x:v>
      </x:c>
      <x:c r="P5720" s="30" t="str">
        <x:v>Вычисление и полная визуальная страница проверены независимо.</x:v>
      </x:c>
      <x:c r="Q5720" s="30"/>
      <x:c r="R5720" s="30" t="str">
        <x:v>12</x:v>
      </x:c>
      <x:c r="S5720" s="30"/>
      <x:c r="T5720" s="30"/>
      <x:c r="U5720" s="30" t="str">
        <x:v>Ответник совпадает с независимой проверкой.</x:v>
      </x:c>
      <x:c r="V5720" s="87" t="str">
        <x:v>VERIFIED</x:v>
      </x:c>
      <x:c r="W5720" s="87"/>
      <x:c r="X5720" s="87" t="n">
        <x:v>3</x:v>
      </x:c>
      <x:c r="Y5720" s="87"/>
      <x:c r="Z5720" s="87"/>
      <x:c r="AA5720" s="87"/>
      <x:c r="AB5720" s="87"/>
      <x:c r="AC5720" s="87" t="str">
        <x:v>VIS-EGKR-PHY-W25-TASK-951-P003</x:v>
      </x:c>
      <x:c r="AD5720" s="87" t="str">
        <x:v>VIS-EGKR-PHY-W25-ANSWERDOC-P001</x:v>
      </x:c>
      <x:c r="AE5720" s="87" t="str">
        <x:v>TASK; SECONDARY_ANSWER_SOURCE</x:v>
      </x:c>
      <x:c r="AF5720" s="87" t="str">
        <x:v>VIS-EGKR-PHY-W25-TASK-951-P003: 3; VIS-EGKR-PHY-W25-ANSWERDOC-P001: 1</x:v>
      </x:c>
      <x:c r="AG5720" s="87" t="str">
        <x:v>RESOLVED</x:v>
      </x:c>
      <x:c r="AH5720" s="87" t="str">
        <x:v>CROP_VERIFIED</x:v>
      </x:c>
      <x:c r="AI5720" s="30"/>
      <x:c r="AJ5720" s="87" t="str">
        <x:v>clean</x:v>
      </x:c>
      <x:c r="AK5720" s="87" t="str">
        <x:v>clean-v0.17</x:v>
      </x:c>
      <x:c r="AL5720" s="87" t="str">
        <x:v>statgrad_clean_continuation_v0_17(1).xlsx</x:v>
      </x:c>
      <x:c r="AM5720" s="87" t="str">
        <x:v>PHY_EGKR_951</x:v>
      </x:c>
      <x:c r="AN5720" s="87" t="n">
        <x:v>7</x:v>
      </x:c>
    </x:row>
    <x:row r="5721">
      <x:c r="A5721" s="87" t="n">
        <x:v>5720</x:v>
      </x:c>
      <x:c r="B5721" s="87" t="str">
        <x:v>EGKR-W25-PHY-951-07</x:v>
      </x:c>
      <x:c r="C5721" s="87" t="str">
        <x:v>ЕГКР</x:v>
      </x:c>
      <x:c r="D5721" s="87"/>
      <x:c r="E5721" s="87" t="str">
        <x:v>Зима 2025</x:v>
      </x:c>
      <x:c r="F5721" s="87" t="str">
        <x:v>18.12.2025</x:v>
      </x:c>
      <x:c r="G5721" s="87" t="str">
        <x:v>Физика</x:v>
      </x:c>
      <x:c r="H5721" s="87" t="n">
        <x:v>11</x:v>
      </x:c>
      <x:c r="I5721" s="87"/>
      <x:c r="J5721" s="87" t="str">
        <x:v>951</x:v>
      </x:c>
      <x:c r="K5721" s="87" t="n">
        <x:v>7</x:v>
      </x:c>
      <x:c r="L5721" s="87" t="str">
        <x:v>Молекулярная физика</x:v>
      </x:c>
      <x:c r="M5721" s="30" t="str">
        <x:v>Решить задачу на параметры идеального газа и молекулярно-кинетическую теорию.</x:v>
      </x:c>
      <x:c r="N5721" s="30" t="str">
        <x:v>2,4</x:v>
      </x:c>
      <x:c r="O5721" s="30" t="str">
        <x:v>Использованы pV=νRT и связь давления с концентрацией и температурой.</x:v>
      </x:c>
      <x:c r="P5721" s="30" t="str">
        <x:v>Вычисление и полная визуальная страница проверены независимо.</x:v>
      </x:c>
      <x:c r="Q5721" s="30"/>
      <x:c r="R5721" s="30" t="str">
        <x:v>2,4</x:v>
      </x:c>
      <x:c r="S5721" s="30"/>
      <x:c r="T5721" s="30"/>
      <x:c r="U5721" s="30" t="str">
        <x:v>Ответник совпадает с независимой проверкой.</x:v>
      </x:c>
      <x:c r="V5721" s="87" t="str">
        <x:v>VERIFIED</x:v>
      </x:c>
      <x:c r="W5721" s="87"/>
      <x:c r="X5721" s="87" t="n">
        <x:v>3</x:v>
      </x:c>
      <x:c r="Y5721" s="87"/>
      <x:c r="Z5721" s="87"/>
      <x:c r="AA5721" s="87"/>
      <x:c r="AB5721" s="87"/>
      <x:c r="AC5721" s="87" t="str">
        <x:v>VIS-EGKR-PHY-W25-TASK-951-P003</x:v>
      </x:c>
      <x:c r="AD5721" s="87" t="str">
        <x:v>VIS-EGKR-PHY-W25-ANSWERDOC-P001</x:v>
      </x:c>
      <x:c r="AE5721" s="87" t="str">
        <x:v>TASK; SECONDARY_ANSWER_SOURCE</x:v>
      </x:c>
      <x:c r="AF5721" s="87" t="str">
        <x:v>VIS-EGKR-PHY-W25-TASK-951-P003: 3; VIS-EGKR-PHY-W25-ANSWERDOC-P001: 1</x:v>
      </x:c>
      <x:c r="AG5721" s="87" t="str">
        <x:v>RESOLVED</x:v>
      </x:c>
      <x:c r="AH5721" s="87" t="str">
        <x:v>CROP_VERIFIED</x:v>
      </x:c>
      <x:c r="AI5721" s="30"/>
      <x:c r="AJ5721" s="87" t="str">
        <x:v>clean</x:v>
      </x:c>
      <x:c r="AK5721" s="87" t="str">
        <x:v>clean-v0.17</x:v>
      </x:c>
      <x:c r="AL5721" s="87" t="str">
        <x:v>statgrad_clean_continuation_v0_17(1).xlsx</x:v>
      </x:c>
      <x:c r="AM5721" s="87" t="str">
        <x:v>PHY_EGKR_951</x:v>
      </x:c>
      <x:c r="AN5721" s="87" t="n">
        <x:v>8</x:v>
      </x:c>
    </x:row>
    <x:row r="5722">
      <x:c r="A5722" s="87" t="n">
        <x:v>5721</x:v>
      </x:c>
      <x:c r="B5722" s="87" t="str">
        <x:v>EGKR-W25-PHY-951-08</x:v>
      </x:c>
      <x:c r="C5722" s="87" t="str">
        <x:v>ЕГКР</x:v>
      </x:c>
      <x:c r="D5722" s="87"/>
      <x:c r="E5722" s="87" t="str">
        <x:v>Зима 2025</x:v>
      </x:c>
      <x:c r="F5722" s="87" t="str">
        <x:v>18.12.2025</x:v>
      </x:c>
      <x:c r="G5722" s="87" t="str">
        <x:v>Физика</x:v>
      </x:c>
      <x:c r="H5722" s="87" t="n">
        <x:v>11</x:v>
      </x:c>
      <x:c r="I5722" s="87"/>
      <x:c r="J5722" s="87" t="str">
        <x:v>951</x:v>
      </x:c>
      <x:c r="K5722" s="87" t="n">
        <x:v>8</x:v>
      </x:c>
      <x:c r="L5722" s="87" t="str">
        <x:v>Работа газа</x:v>
      </x:c>
      <x:c r="M5722" s="30" t="str">
        <x:v>Сравнить работу газа в процессах на диаграмме.</x:v>
      </x:c>
      <x:c r="N5722" s="30" t="str">
        <x:v>1</x:v>
      </x:c>
      <x:c r="O5722" s="30" t="str">
        <x:v>Работа газа равна площади под графиком p(V).</x:v>
      </x:c>
      <x:c r="P5722" s="30" t="str">
        <x:v>Вычисление и полная визуальная страница проверены независимо.</x:v>
      </x:c>
      <x:c r="Q5722" s="30"/>
      <x:c r="R5722" s="30" t="str">
        <x:v>1</x:v>
      </x:c>
      <x:c r="S5722" s="30"/>
      <x:c r="T5722" s="30"/>
      <x:c r="U5722" s="30" t="str">
        <x:v>Ответник совпадает с независимой проверкой.</x:v>
      </x:c>
      <x:c r="V5722" s="87" t="str">
        <x:v>VERIFIED</x:v>
      </x:c>
      <x:c r="W5722" s="87"/>
      <x:c r="X5722" s="87" t="n">
        <x:v>4</x:v>
      </x:c>
      <x:c r="Y5722" s="87"/>
      <x:c r="Z5722" s="87"/>
      <x:c r="AA5722" s="87"/>
      <x:c r="AB5722" s="87"/>
      <x:c r="AC5722" s="87" t="str">
        <x:v>VIS-EGKR-PHY-W25-TASK-951-P004</x:v>
      </x:c>
      <x:c r="AD5722" s="87" t="str">
        <x:v>VIS-EGKR-PHY-W25-ANSWERDOC-P001</x:v>
      </x:c>
      <x:c r="AE5722" s="87" t="str">
        <x:v>TASK; SECONDARY_ANSWER_SOURCE</x:v>
      </x:c>
      <x:c r="AF5722" s="87" t="str">
        <x:v>VIS-EGKR-PHY-W25-TASK-951-P004: 4; VIS-EGKR-PHY-W25-ANSWERDOC-P001: 1</x:v>
      </x:c>
      <x:c r="AG5722" s="87" t="str">
        <x:v>RESOLVED</x:v>
      </x:c>
      <x:c r="AH5722" s="87" t="str">
        <x:v>CROP_VERIFIED; TASK_CROP_QA_APPROVED:USE_CONTEXT</x:v>
      </x:c>
      <x:c r="AI5722" s="30"/>
      <x:c r="AJ5722" s="87" t="str">
        <x:v>clean</x:v>
      </x:c>
      <x:c r="AK5722" s="87" t="str">
        <x:v>clean-v0.17</x:v>
      </x:c>
      <x:c r="AL5722" s="87" t="str">
        <x:v>statgrad_clean_continuation_v0_17(1).xlsx</x:v>
      </x:c>
      <x:c r="AM5722" s="87" t="str">
        <x:v>PHY_EGKR_951</x:v>
      </x:c>
      <x:c r="AN5722" s="87" t="n">
        <x:v>9</x:v>
      </x:c>
    </x:row>
    <x:row r="5723">
      <x:c r="A5723" s="87" t="n">
        <x:v>5722</x:v>
      </x:c>
      <x:c r="B5723" s="87" t="str">
        <x:v>EGKR-W25-PHY-951-09</x:v>
      </x:c>
      <x:c r="C5723" s="87" t="str">
        <x:v>ЕГКР</x:v>
      </x:c>
      <x:c r="D5723" s="87"/>
      <x:c r="E5723" s="87" t="str">
        <x:v>Зима 2025</x:v>
      </x:c>
      <x:c r="F5723" s="87" t="str">
        <x:v>18.12.2025</x:v>
      </x:c>
      <x:c r="G5723" s="87" t="str">
        <x:v>Физика</x:v>
      </x:c>
      <x:c r="H5723" s="87" t="n">
        <x:v>11</x:v>
      </x:c>
      <x:c r="I5723" s="87"/>
      <x:c r="J5723" s="87" t="str">
        <x:v>951</x:v>
      </x:c>
      <x:c r="K5723" s="87" t="n">
        <x:v>9</x:v>
      </x:c>
      <x:c r="L5723" s="87" t="str">
        <x:v>Изопроцесс</x:v>
      </x:c>
      <x:c r="M5723" s="30" t="str">
        <x:v>Выбрать верные утверждения об изменении параметров газа в изопроцессе.</x:v>
      </x:c>
      <x:c r="N5723" s="30" t="str">
        <x:v>23</x:v>
      </x:c>
      <x:c r="O5723" s="30" t="str">
        <x:v>Проверены связи параметров в изохорном, изобарном или изотермическом процессе.</x:v>
      </x:c>
      <x:c r="P5723" s="30" t="str">
        <x:v>Вычисление и полная визуальная страница проверены независимо.</x:v>
      </x:c>
      <x:c r="Q5723" s="30"/>
      <x:c r="R5723" s="30" t="str">
        <x:v>23</x:v>
      </x:c>
      <x:c r="S5723" s="30"/>
      <x:c r="T5723" s="30"/>
      <x:c r="U5723" s="30" t="str">
        <x:v>Ответник совпадает с независимой проверкой.</x:v>
      </x:c>
      <x:c r="V5723" s="87" t="str">
        <x:v>VERIFIED</x:v>
      </x:c>
      <x:c r="W5723" s="87"/>
      <x:c r="X5723" s="87" t="n">
        <x:v>4</x:v>
      </x:c>
      <x:c r="Y5723" s="87"/>
      <x:c r="Z5723" s="87"/>
      <x:c r="AA5723" s="87"/>
      <x:c r="AB5723" s="87"/>
      <x:c r="AC5723" s="87" t="str">
        <x:v>VIS-EGKR-PHY-W25-TASK-951-P004</x:v>
      </x:c>
      <x:c r="AD5723" s="87" t="str">
        <x:v>VIS-EGKR-PHY-W25-ANSWERDOC-P001</x:v>
      </x:c>
      <x:c r="AE5723" s="87" t="str">
        <x:v>TASK; SECONDARY_ANSWER_SOURCE</x:v>
      </x:c>
      <x:c r="AF5723" s="87" t="str">
        <x:v>VIS-EGKR-PHY-W25-TASK-951-P004: 4; VIS-EGKR-PHY-W25-ANSWERDOC-P001: 1</x:v>
      </x:c>
      <x:c r="AG5723" s="87" t="str">
        <x:v>RESOLVED</x:v>
      </x:c>
      <x:c r="AH5723" s="87" t="str">
        <x:v>CROP_VERIFIED</x:v>
      </x:c>
      <x:c r="AI5723" s="30"/>
      <x:c r="AJ5723" s="87" t="str">
        <x:v>clean</x:v>
      </x:c>
      <x:c r="AK5723" s="87" t="str">
        <x:v>clean-v0.17</x:v>
      </x:c>
      <x:c r="AL5723" s="87" t="str">
        <x:v>statgrad_clean_continuation_v0_17(1).xlsx</x:v>
      </x:c>
      <x:c r="AM5723" s="87" t="str">
        <x:v>PHY_EGKR_951</x:v>
      </x:c>
      <x:c r="AN5723" s="87" t="n">
        <x:v>10</x:v>
      </x:c>
    </x:row>
    <x:row r="5724">
      <x:c r="A5724" s="87" t="n">
        <x:v>5723</x:v>
      </x:c>
      <x:c r="B5724" s="87" t="str">
        <x:v>EGKR-W25-PHY-951-10</x:v>
      </x:c>
      <x:c r="C5724" s="87" t="str">
        <x:v>ЕГКР</x:v>
      </x:c>
      <x:c r="D5724" s="87"/>
      <x:c r="E5724" s="87" t="str">
        <x:v>Зима 2025</x:v>
      </x:c>
      <x:c r="F5724" s="87" t="str">
        <x:v>18.12.2025</x:v>
      </x:c>
      <x:c r="G5724" s="87" t="str">
        <x:v>Физика</x:v>
      </x:c>
      <x:c r="H5724" s="87" t="n">
        <x:v>11</x:v>
      </x:c>
      <x:c r="I5724" s="87"/>
      <x:c r="J5724" s="87" t="str">
        <x:v>951</x:v>
      </x:c>
      <x:c r="K5724" s="87" t="n">
        <x:v>10</x:v>
      </x:c>
      <x:c r="L5724" s="87" t="str">
        <x:v>Тепловая машина</x:v>
      </x:c>
      <x:c r="M5724" s="30" t="str">
        <x:v>Определить изменение параметров тепловой машины/цикла Карно.</x:v>
      </x:c>
      <x:c r="N5724" s="30" t="str">
        <x:v>12</x:v>
      </x:c>
      <x:c r="O5724" s="30" t="str">
        <x:v>Использованы η=1-T₂/T₁ и баланс Q₁=Q₂+A.</x:v>
      </x:c>
      <x:c r="P5724" s="30" t="str">
        <x:v>Вычисление и полная визуальная страница проверены независимо.</x:v>
      </x:c>
      <x:c r="Q5724" s="30"/>
      <x:c r="R5724" s="30" t="str">
        <x:v>23</x:v>
      </x:c>
      <x:c r="S5724" s="30"/>
      <x:c r="T5724" s="30"/>
      <x:c r="U5724" s="30" t="str">
        <x:v>Ответник: 23; независимое решение: 12.</x:v>
      </x:c>
      <x:c r="V5724" s="87" t="str">
        <x:v>KEY_MISMATCH</x:v>
      </x:c>
      <x:c r="W5724" s="87"/>
      <x:c r="X5724" s="87" t="n">
        <x:v>4</x:v>
      </x:c>
      <x:c r="Y5724" s="87"/>
      <x:c r="Z5724" s="87"/>
      <x:c r="AA5724" s="87"/>
      <x:c r="AB5724" s="87"/>
      <x:c r="AC5724" s="87" t="str">
        <x:v>VIS-EGKR-PHY-W25-TASK-951-P004</x:v>
      </x:c>
      <x:c r="AD5724" s="87" t="str">
        <x:v>VIS-EGKR-PHY-W25-ANSWERDOC-P001</x:v>
      </x:c>
      <x:c r="AE5724" s="87" t="str">
        <x:v>TASK; SECONDARY_ANSWER_SOURCE</x:v>
      </x:c>
      <x:c r="AF5724" s="87" t="str">
        <x:v>VIS-EGKR-PHY-W25-TASK-951-P004: 4; VIS-EGKR-PHY-W25-ANSWERDOC-P001: 1</x:v>
      </x:c>
      <x:c r="AG5724" s="87" t="str">
        <x:v>RESOLVED</x:v>
      </x:c>
      <x:c r="AH5724" s="87" t="str">
        <x:v>CROP_VERIFIED</x:v>
      </x:c>
      <x:c r="AI5724" s="30"/>
      <x:c r="AJ5724" s="87" t="str">
        <x:v>clean</x:v>
      </x:c>
      <x:c r="AK5724" s="87" t="str">
        <x:v>clean-v0.17</x:v>
      </x:c>
      <x:c r="AL5724" s="87" t="str">
        <x:v>statgrad_clean_continuation_v0_17(1).xlsx</x:v>
      </x:c>
      <x:c r="AM5724" s="87" t="str">
        <x:v>PHY_EGKR_951</x:v>
      </x:c>
      <x:c r="AN5724" s="87" t="n">
        <x:v>11</x:v>
      </x:c>
    </x:row>
    <x:row r="5725">
      <x:c r="A5725" s="87" t="n">
        <x:v>5724</x:v>
      </x:c>
      <x:c r="B5725" s="87" t="str">
        <x:v>EGKR-W25-PHY-951-11</x:v>
      </x:c>
      <x:c r="C5725" s="87" t="str">
        <x:v>ЕГКР</x:v>
      </x:c>
      <x:c r="D5725" s="87"/>
      <x:c r="E5725" s="87" t="str">
        <x:v>Зима 2025</x:v>
      </x:c>
      <x:c r="F5725" s="87" t="str">
        <x:v>18.12.2025</x:v>
      </x:c>
      <x:c r="G5725" s="87" t="str">
        <x:v>Физика</x:v>
      </x:c>
      <x:c r="H5725" s="87" t="n">
        <x:v>11</x:v>
      </x:c>
      <x:c r="I5725" s="87"/>
      <x:c r="J5725" s="87" t="str">
        <x:v>951</x:v>
      </x:c>
      <x:c r="K5725" s="87" t="n">
        <x:v>11</x:v>
      </x:c>
      <x:c r="L5725" s="87" t="str">
        <x:v>Закон Ома</x:v>
      </x:c>
      <x:c r="M5725" s="30" t="str">
        <x:v>По графику зависимости силы тока от сопротивления определить напряжение.</x:v>
      </x:c>
      <x:c r="N5725" s="30" t="str">
        <x:v>6000</x:v>
      </x:c>
      <x:c r="O5725" s="30" t="str">
        <x:v>Напряжение найдено как U=IR.</x:v>
      </x:c>
      <x:c r="P5725" s="30" t="str">
        <x:v>Вычисление и полная визуальная страница проверены независимо.</x:v>
      </x:c>
      <x:c r="Q5725" s="30"/>
      <x:c r="R5725" s="30" t="str">
        <x:v>4,5</x:v>
      </x:c>
      <x:c r="S5725" s="30"/>
      <x:c r="T5725" s="30"/>
      <x:c r="U5725" s="30" t="str">
        <x:v>Ответник: 4,5; независимое решение: 6000.</x:v>
      </x:c>
      <x:c r="V5725" s="87" t="str">
        <x:v>KEY_MISMATCH</x:v>
      </x:c>
      <x:c r="W5725" s="87"/>
      <x:c r="X5725" s="87" t="n">
        <x:v>4</x:v>
      </x:c>
      <x:c r="Y5725" s="87"/>
      <x:c r="Z5725" s="87"/>
      <x:c r="AA5725" s="87"/>
      <x:c r="AB5725" s="87"/>
      <x:c r="AC5725" s="87" t="str">
        <x:v>VIS-EGKR-PHY-W25-TASK-951-P004</x:v>
      </x:c>
      <x:c r="AD5725" s="87" t="str">
        <x:v>VIS-EGKR-PHY-W25-ANSWERDOC-P001</x:v>
      </x:c>
      <x:c r="AE5725" s="87" t="str">
        <x:v>TASK; SECONDARY_ANSWER_SOURCE</x:v>
      </x:c>
      <x:c r="AF5725" s="87" t="str">
        <x:v>VIS-EGKR-PHY-W25-TASK-951-P004: 4; VIS-EGKR-PHY-W25-ANSWERDOC-P001: 1</x:v>
      </x:c>
      <x:c r="AG5725" s="87" t="str">
        <x:v>RESOLVED</x:v>
      </x:c>
      <x:c r="AH5725" s="87" t="str">
        <x:v>CROP_VERIFIED</x:v>
      </x:c>
      <x:c r="AI5725" s="30"/>
      <x:c r="AJ5725" s="87" t="str">
        <x:v>clean</x:v>
      </x:c>
      <x:c r="AK5725" s="87" t="str">
        <x:v>clean-v0.17</x:v>
      </x:c>
      <x:c r="AL5725" s="87" t="str">
        <x:v>statgrad_clean_continuation_v0_17(1).xlsx</x:v>
      </x:c>
      <x:c r="AM5725" s="87" t="str">
        <x:v>PHY_EGKR_951</x:v>
      </x:c>
      <x:c r="AN5725" s="87" t="n">
        <x:v>12</x:v>
      </x:c>
    </x:row>
    <x:row r="5726">
      <x:c r="A5726" s="87" t="n">
        <x:v>5725</x:v>
      </x:c>
      <x:c r="B5726" s="87" t="str">
        <x:v>EGKR-W25-PHY-951-12</x:v>
      </x:c>
      <x:c r="C5726" s="87" t="str">
        <x:v>ЕГКР</x:v>
      </x:c>
      <x:c r="D5726" s="87"/>
      <x:c r="E5726" s="87" t="str">
        <x:v>Зима 2025</x:v>
      </x:c>
      <x:c r="F5726" s="87" t="str">
        <x:v>18.12.2025</x:v>
      </x:c>
      <x:c r="G5726" s="87" t="str">
        <x:v>Физика</x:v>
      </x:c>
      <x:c r="H5726" s="87" t="n">
        <x:v>11</x:v>
      </x:c>
      <x:c r="I5726" s="87"/>
      <x:c r="J5726" s="87" t="str">
        <x:v>951</x:v>
      </x:c>
      <x:c r="K5726" s="87" t="n">
        <x:v>12</x:v>
      </x:c>
      <x:c r="L5726" s="87" t="str">
        <x:v>Самоиндукция</x:v>
      </x:c>
      <x:c r="M5726" s="30" t="str">
        <x:v>Вычислить ЭДС самоиндукции по изменению тока за время.</x:v>
      </x:c>
      <x:c r="N5726" s="30" t="str">
        <x:v>2,4</x:v>
      </x:c>
      <x:c r="O5726" s="30" t="str">
        <x:v>Использовано |ε|=L|ΔI|/Δt.</x:v>
      </x:c>
      <x:c r="P5726" s="30" t="str">
        <x:v>Вычисление и полная визуальная страница проверены независимо.</x:v>
      </x:c>
      <x:c r="Q5726" s="30"/>
      <x:c r="R5726" s="30" t="str">
        <x:v>12</x:v>
      </x:c>
      <x:c r="S5726" s="30"/>
      <x:c r="T5726" s="30"/>
      <x:c r="U5726" s="30" t="str">
        <x:v>Ответник: 12; независимое решение: 2,4.</x:v>
      </x:c>
      <x:c r="V5726" s="87" t="str">
        <x:v>KEY_MISMATCH</x:v>
      </x:c>
      <x:c r="W5726" s="87"/>
      <x:c r="X5726" s="87" t="n">
        <x:v>4</x:v>
      </x:c>
      <x:c r="Y5726" s="87"/>
      <x:c r="Z5726" s="87"/>
      <x:c r="AA5726" s="87"/>
      <x:c r="AB5726" s="87"/>
      <x:c r="AC5726" s="87" t="str">
        <x:v>VIS-EGKR-PHY-W25-TASK-951-P004</x:v>
      </x:c>
      <x:c r="AD5726" s="87" t="str">
        <x:v>VIS-EGKR-PHY-W25-ANSWERDOC-P001</x:v>
      </x:c>
      <x:c r="AE5726" s="87" t="str">
        <x:v>TASK; SECONDARY_ANSWER_SOURCE</x:v>
      </x:c>
      <x:c r="AF5726" s="87" t="str">
        <x:v>VIS-EGKR-PHY-W25-TASK-951-P004: 4; VIS-EGKR-PHY-W25-ANSWERDOC-P001: 1</x:v>
      </x:c>
      <x:c r="AG5726" s="87" t="str">
        <x:v>RESOLVED</x:v>
      </x:c>
      <x:c r="AH5726" s="87" t="str">
        <x:v>CROP_VERIFIED</x:v>
      </x:c>
      <x:c r="AI5726" s="30"/>
      <x:c r="AJ5726" s="87" t="str">
        <x:v>clean</x:v>
      </x:c>
      <x:c r="AK5726" s="87" t="str">
        <x:v>clean-v0.17</x:v>
      </x:c>
      <x:c r="AL5726" s="87" t="str">
        <x:v>statgrad_clean_continuation_v0_17(1).xlsx</x:v>
      </x:c>
      <x:c r="AM5726" s="87" t="str">
        <x:v>PHY_EGKR_951</x:v>
      </x:c>
      <x:c r="AN5726" s="87" t="n">
        <x:v>13</x:v>
      </x:c>
    </x:row>
    <x:row r="5727">
      <x:c r="A5727" s="87" t="n">
        <x:v>5726</x:v>
      </x:c>
      <x:c r="B5727" s="87" t="str">
        <x:v>EGKR-W25-PHY-951-13</x:v>
      </x:c>
      <x:c r="C5727" s="87" t="str">
        <x:v>ЕГКР</x:v>
      </x:c>
      <x:c r="D5727" s="87"/>
      <x:c r="E5727" s="87" t="str">
        <x:v>Зима 2025</x:v>
      </x:c>
      <x:c r="F5727" s="87" t="str">
        <x:v>18.12.2025</x:v>
      </x:c>
      <x:c r="G5727" s="87" t="str">
        <x:v>Физика</x:v>
      </x:c>
      <x:c r="H5727" s="87" t="n">
        <x:v>11</x:v>
      </x:c>
      <x:c r="I5727" s="87"/>
      <x:c r="J5727" s="87" t="str">
        <x:v>951</x:v>
      </x:c>
      <x:c r="K5727" s="87" t="n">
        <x:v>13</x:v>
      </x:c>
      <x:c r="L5727" s="87" t="str">
        <x:v>Колебательный контур</x:v>
      </x:c>
      <x:c r="M5727" s="30" t="str">
        <x:v>Определить параметр колебательного контура по формуле Томсона.</x:v>
      </x:c>
      <x:c r="N5727" s="30" t="str">
        <x:v>0,01</x:v>
      </x:c>
      <x:c r="O5727" s="30" t="str">
        <x:v>Использовано T=2π√(LC).</x:v>
      </x:c>
      <x:c r="P5727" s="30" t="str">
        <x:v>Вычисление и полная визуальная страница проверены независимо.</x:v>
      </x:c>
      <x:c r="Q5727" s="30"/>
      <x:c r="R5727" s="30" t="str">
        <x:v>0,01</x:v>
      </x:c>
      <x:c r="S5727" s="30"/>
      <x:c r="T5727" s="30"/>
      <x:c r="U5727" s="30" t="str">
        <x:v>Ответник совпадает с независимой проверкой.</x:v>
      </x:c>
      <x:c r="V5727" s="87" t="str">
        <x:v>VERIFIED</x:v>
      </x:c>
      <x:c r="W5727" s="87"/>
      <x:c r="X5727" s="87" t="n">
        <x:v>5</x:v>
      </x:c>
      <x:c r="Y5727" s="87"/>
      <x:c r="Z5727" s="87"/>
      <x:c r="AA5727" s="87"/>
      <x:c r="AB5727" s="87"/>
      <x:c r="AC5727" s="87" t="str">
        <x:v>VIS-EGKR-PHY-W25-TASK-951-P005</x:v>
      </x:c>
      <x:c r="AD5727" s="87" t="str">
        <x:v>VIS-EGKR-PHY-W25-ANSWERDOC-P001</x:v>
      </x:c>
      <x:c r="AE5727" s="87" t="str">
        <x:v>TASK; SECONDARY_ANSWER_SOURCE</x:v>
      </x:c>
      <x:c r="AF5727" s="87" t="str">
        <x:v>VIS-EGKR-PHY-W25-TASK-951-P005: 5; VIS-EGKR-PHY-W25-ANSWERDOC-P001: 1</x:v>
      </x:c>
      <x:c r="AG5727" s="87" t="str">
        <x:v>RESOLVED</x:v>
      </x:c>
      <x:c r="AH5727" s="87" t="str">
        <x:v>CROP_VERIFIED</x:v>
      </x:c>
      <x:c r="AI5727" s="30"/>
      <x:c r="AJ5727" s="87" t="str">
        <x:v>clean</x:v>
      </x:c>
      <x:c r="AK5727" s="87" t="str">
        <x:v>clean-v0.17</x:v>
      </x:c>
      <x:c r="AL5727" s="87" t="str">
        <x:v>statgrad_clean_continuation_v0_17(1).xlsx</x:v>
      </x:c>
      <x:c r="AM5727" s="87" t="str">
        <x:v>PHY_EGKR_951</x:v>
      </x:c>
      <x:c r="AN5727" s="87" t="n">
        <x:v>14</x:v>
      </x:c>
    </x:row>
    <x:row r="5728">
      <x:c r="A5728" s="87" t="n">
        <x:v>5727</x:v>
      </x:c>
      <x:c r="B5728" s="87" t="str">
        <x:v>EGKR-W25-PHY-951-14</x:v>
      </x:c>
      <x:c r="C5728" s="87" t="str">
        <x:v>ЕГКР</x:v>
      </x:c>
      <x:c r="D5728" s="87"/>
      <x:c r="E5728" s="87" t="str">
        <x:v>Зима 2025</x:v>
      </x:c>
      <x:c r="F5728" s="87" t="str">
        <x:v>18.12.2025</x:v>
      </x:c>
      <x:c r="G5728" s="87" t="str">
        <x:v>Физика</x:v>
      </x:c>
      <x:c r="H5728" s="87" t="n">
        <x:v>11</x:v>
      </x:c>
      <x:c r="I5728" s="87"/>
      <x:c r="J5728" s="87" t="str">
        <x:v>951</x:v>
      </x:c>
      <x:c r="K5728" s="87" t="n">
        <x:v>14</x:v>
      </x:c>
      <x:c r="L5728" s="87" t="str">
        <x:v>Электростатика</x:v>
      </x:c>
      <x:c r="M5728" s="30" t="str">
        <x:v>Выбрать верные утверждения об электрических зарядах и поле.</x:v>
      </x:c>
      <x:c r="N5728" s="30" t="str">
        <x:v>24</x:v>
      </x:c>
      <x:c r="O5728" s="30" t="str">
        <x:v>Утверждения проверены по закону Кулона и принципу суперпозиции.</x:v>
      </x:c>
      <x:c r="P5728" s="30" t="str">
        <x:v>Вычисление и полная визуальная страница проверены независимо.</x:v>
      </x:c>
      <x:c r="Q5728" s="30"/>
      <x:c r="R5728" s="30" t="str">
        <x:v>24</x:v>
      </x:c>
      <x:c r="S5728" s="30"/>
      <x:c r="T5728" s="30"/>
      <x:c r="U5728" s="30" t="str">
        <x:v>Ответник совпадает с независимой проверкой.</x:v>
      </x:c>
      <x:c r="V5728" s="87" t="str">
        <x:v>VERIFIED</x:v>
      </x:c>
      <x:c r="W5728" s="87"/>
      <x:c r="X5728" s="87" t="n">
        <x:v>5</x:v>
      </x:c>
      <x:c r="Y5728" s="87"/>
      <x:c r="Z5728" s="87"/>
      <x:c r="AA5728" s="87"/>
      <x:c r="AB5728" s="87"/>
      <x:c r="AC5728" s="87" t="str">
        <x:v>VIS-EGKR-PHY-W25-TASK-951-P005</x:v>
      </x:c>
      <x:c r="AD5728" s="87" t="str">
        <x:v>VIS-EGKR-PHY-W25-ANSWERDOC-P001</x:v>
      </x:c>
      <x:c r="AE5728" s="87" t="str">
        <x:v>TASK; SECONDARY_ANSWER_SOURCE</x:v>
      </x:c>
      <x:c r="AF5728" s="87" t="str">
        <x:v>VIS-EGKR-PHY-W25-TASK-951-P005: 5; VIS-EGKR-PHY-W25-ANSWERDOC-P001: 1</x:v>
      </x:c>
      <x:c r="AG5728" s="87" t="str">
        <x:v>RESOLVED</x:v>
      </x:c>
      <x:c r="AH5728" s="87" t="str">
        <x:v>CROP_VERIFIED</x:v>
      </x:c>
      <x:c r="AI5728" s="30"/>
      <x:c r="AJ5728" s="87" t="str">
        <x:v>clean</x:v>
      </x:c>
      <x:c r="AK5728" s="87" t="str">
        <x:v>clean-v0.17</x:v>
      </x:c>
      <x:c r="AL5728" s="87" t="str">
        <x:v>statgrad_clean_continuation_v0_17(1).xlsx</x:v>
      </x:c>
      <x:c r="AM5728" s="87" t="str">
        <x:v>PHY_EGKR_951</x:v>
      </x:c>
      <x:c r="AN5728" s="87" t="n">
        <x:v>15</x:v>
      </x:c>
    </x:row>
    <x:row r="5729">
      <x:c r="A5729" s="87" t="n">
        <x:v>5728</x:v>
      </x:c>
      <x:c r="B5729" s="87" t="str">
        <x:v>EGKR-W25-PHY-951-15</x:v>
      </x:c>
      <x:c r="C5729" s="87" t="str">
        <x:v>ЕГКР</x:v>
      </x:c>
      <x:c r="D5729" s="87"/>
      <x:c r="E5729" s="87" t="str">
        <x:v>Зима 2025</x:v>
      </x:c>
      <x:c r="F5729" s="87" t="str">
        <x:v>18.12.2025</x:v>
      </x:c>
      <x:c r="G5729" s="87" t="str">
        <x:v>Физика</x:v>
      </x:c>
      <x:c r="H5729" s="87" t="n">
        <x:v>11</x:v>
      </x:c>
      <x:c r="I5729" s="87"/>
      <x:c r="J5729" s="87" t="str">
        <x:v>951</x:v>
      </x:c>
      <x:c r="K5729" s="87" t="n">
        <x:v>15</x:v>
      </x:c>
      <x:c r="L5729" s="87" t="str">
        <x:v>Движение заряда в магнитном поле</x:v>
      </x:c>
      <x:c r="M5729" s="30" t="str">
        <x:v>Сравнить радиус и период движения иона в магнитном поле.</x:v>
      </x:c>
      <x:c r="N5729" s="30" t="str">
        <x:v>22</x:v>
      </x:c>
      <x:c r="O5729" s="30" t="str">
        <x:v>Использованы r=mv/(|q|B) и T=2πm/(|q|B).</x:v>
      </x:c>
      <x:c r="P5729" s="30" t="str">
        <x:v>Вычисление и полная визуальная страница проверены независимо.</x:v>
      </x:c>
      <x:c r="Q5729" s="30"/>
      <x:c r="R5729" s="30" t="str">
        <x:v>33</x:v>
      </x:c>
      <x:c r="S5729" s="30"/>
      <x:c r="T5729" s="30"/>
      <x:c r="U5729" s="30" t="str">
        <x:v>Ответник: 33; независимое решение: 22.</x:v>
      </x:c>
      <x:c r="V5729" s="87" t="str">
        <x:v>KEY_MISMATCH</x:v>
      </x:c>
      <x:c r="W5729" s="87"/>
      <x:c r="X5729" s="87" t="n">
        <x:v>5</x:v>
      </x:c>
      <x:c r="Y5729" s="87"/>
      <x:c r="Z5729" s="87"/>
      <x:c r="AA5729" s="87"/>
      <x:c r="AB5729" s="87"/>
      <x:c r="AC5729" s="87" t="str">
        <x:v>VIS-EGKR-PHY-W25-TASK-951-P005</x:v>
      </x:c>
      <x:c r="AD5729" s="87" t="str">
        <x:v>VIS-EGKR-PHY-W25-ANSWERDOC-P001</x:v>
      </x:c>
      <x:c r="AE5729" s="87" t="str">
        <x:v>TASK; SECONDARY_ANSWER_SOURCE</x:v>
      </x:c>
      <x:c r="AF5729" s="87" t="str">
        <x:v>VIS-EGKR-PHY-W25-TASK-951-P005: 5; VIS-EGKR-PHY-W25-ANSWERDOC-P001: 1</x:v>
      </x:c>
      <x:c r="AG5729" s="87" t="str">
        <x:v>RESOLVED</x:v>
      </x:c>
      <x:c r="AH5729" s="87" t="str">
        <x:v>CROP_VERIFIED</x:v>
      </x:c>
      <x:c r="AI5729" s="30"/>
      <x:c r="AJ5729" s="87" t="str">
        <x:v>clean</x:v>
      </x:c>
      <x:c r="AK5729" s="87" t="str">
        <x:v>clean-v0.17</x:v>
      </x:c>
      <x:c r="AL5729" s="87" t="str">
        <x:v>statgrad_clean_continuation_v0_17(1).xlsx</x:v>
      </x:c>
      <x:c r="AM5729" s="87" t="str">
        <x:v>PHY_EGKR_951</x:v>
      </x:c>
      <x:c r="AN5729" s="87" t="n">
        <x:v>16</x:v>
      </x:c>
    </x:row>
    <x:row r="5730">
      <x:c r="A5730" s="87" t="n">
        <x:v>5729</x:v>
      </x:c>
      <x:c r="B5730" s="87" t="str">
        <x:v>EGKR-W25-PHY-951-16</x:v>
      </x:c>
      <x:c r="C5730" s="87" t="str">
        <x:v>ЕГКР</x:v>
      </x:c>
      <x:c r="D5730" s="87"/>
      <x:c r="E5730" s="87" t="str">
        <x:v>Зима 2025</x:v>
      </x:c>
      <x:c r="F5730" s="87" t="str">
        <x:v>18.12.2025</x:v>
      </x:c>
      <x:c r="G5730" s="87" t="str">
        <x:v>Физика</x:v>
      </x:c>
      <x:c r="H5730" s="87" t="n">
        <x:v>11</x:v>
      </x:c>
      <x:c r="I5730" s="87"/>
      <x:c r="J5730" s="87" t="str">
        <x:v>951</x:v>
      </x:c>
      <x:c r="K5730" s="87" t="n">
        <x:v>16</x:v>
      </x:c>
      <x:c r="L5730" s="87" t="str">
        <x:v>Ядерная реакция</x:v>
      </x:c>
      <x:c r="M5730" s="30" t="str">
        <x:v>Восстановить частицу или коэффициент в ядерной реакции.</x:v>
      </x:c>
      <x:c r="N5730" s="30" t="str">
        <x:v>14</x:v>
      </x:c>
      <x:c r="O5730" s="30" t="str">
        <x:v>Сохранены массовое и зарядовое числа.</x:v>
      </x:c>
      <x:c r="P5730" s="30" t="str">
        <x:v>Вычисление и полная визуальная страница проверены независимо.</x:v>
      </x:c>
      <x:c r="Q5730" s="30"/>
      <x:c r="R5730" s="30" t="str">
        <x:v>14</x:v>
      </x:c>
      <x:c r="S5730" s="30"/>
      <x:c r="T5730" s="30"/>
      <x:c r="U5730" s="30" t="str">
        <x:v>Ответник совпадает с независимой проверкой.</x:v>
      </x:c>
      <x:c r="V5730" s="87" t="str">
        <x:v>VERIFIED</x:v>
      </x:c>
      <x:c r="W5730" s="87"/>
      <x:c r="X5730" s="87" t="n">
        <x:v>5</x:v>
      </x:c>
      <x:c r="Y5730" s="87"/>
      <x:c r="Z5730" s="87"/>
      <x:c r="AA5730" s="87"/>
      <x:c r="AB5730" s="87"/>
      <x:c r="AC5730" s="87" t="str">
        <x:v>VIS-EGKR-PHY-W25-TASK-951-P005</x:v>
      </x:c>
      <x:c r="AD5730" s="87" t="str">
        <x:v>VIS-EGKR-PHY-W25-ANSWERDOC-P001</x:v>
      </x:c>
      <x:c r="AE5730" s="87" t="str">
        <x:v>TASK; SECONDARY_ANSWER_SOURCE</x:v>
      </x:c>
      <x:c r="AF5730" s="87" t="str">
        <x:v>VIS-EGKR-PHY-W25-TASK-951-P005: 5; VIS-EGKR-PHY-W25-ANSWERDOC-P001: 1</x:v>
      </x:c>
      <x:c r="AG5730" s="87" t="str">
        <x:v>RESOLVED</x:v>
      </x:c>
      <x:c r="AH5730" s="87" t="str">
        <x:v>CROP_VERIFIED</x:v>
      </x:c>
      <x:c r="AI5730" s="30"/>
      <x:c r="AJ5730" s="87" t="str">
        <x:v>clean</x:v>
      </x:c>
      <x:c r="AK5730" s="87" t="str">
        <x:v>clean-v0.17</x:v>
      </x:c>
      <x:c r="AL5730" s="87" t="str">
        <x:v>statgrad_clean_continuation_v0_17(1).xlsx</x:v>
      </x:c>
      <x:c r="AM5730" s="87" t="str">
        <x:v>PHY_EGKR_951</x:v>
      </x:c>
      <x:c r="AN5730" s="87" t="n">
        <x:v>17</x:v>
      </x:c>
    </x:row>
    <x:row r="5731">
      <x:c r="A5731" s="87" t="n">
        <x:v>5730</x:v>
      </x:c>
      <x:c r="B5731" s="87" t="str">
        <x:v>EGKR-W25-PHY-951-17</x:v>
      </x:c>
      <x:c r="C5731" s="87" t="str">
        <x:v>ЕГКР</x:v>
      </x:c>
      <x:c r="D5731" s="87"/>
      <x:c r="E5731" s="87" t="str">
        <x:v>Зима 2025</x:v>
      </x:c>
      <x:c r="F5731" s="87" t="str">
        <x:v>18.12.2025</x:v>
      </x:c>
      <x:c r="G5731" s="87" t="str">
        <x:v>Физика</x:v>
      </x:c>
      <x:c r="H5731" s="87" t="n">
        <x:v>11</x:v>
      </x:c>
      <x:c r="I5731" s="87"/>
      <x:c r="J5731" s="87" t="str">
        <x:v>951</x:v>
      </x:c>
      <x:c r="K5731" s="87" t="n">
        <x:v>17</x:v>
      </x:c>
      <x:c r="L5731" s="87" t="str">
        <x:v>Квантовые переходы</x:v>
      </x:c>
      <x:c r="M5731" s="30" t="str">
        <x:v>Выбрать переходы атома водорода с заданными энергиями фотонов.</x:v>
      </x:c>
      <x:c r="N5731" s="30" t="str">
        <x:v>13</x:v>
      </x:c>
      <x:c r="O5731" s="30" t="str">
        <x:v>Энергия фотона равна модулю разности уровней.</x:v>
      </x:c>
      <x:c r="P5731" s="30" t="str">
        <x:v>Вычисление и полная визуальная страница проверены независимо.</x:v>
      </x:c>
      <x:c r="Q5731" s="30"/>
      <x:c r="R5731" s="30" t="str">
        <x:v>14</x:v>
      </x:c>
      <x:c r="S5731" s="30"/>
      <x:c r="T5731" s="30"/>
      <x:c r="U5731" s="30" t="str">
        <x:v>Ответник: 14; независимое решение: 13.</x:v>
      </x:c>
      <x:c r="V5731" s="87" t="str">
        <x:v>KEY_MISMATCH</x:v>
      </x:c>
      <x:c r="W5731" s="87"/>
      <x:c r="X5731" s="87" t="n">
        <x:v>5</x:v>
      </x:c>
      <x:c r="Y5731" s="87"/>
      <x:c r="Z5731" s="87"/>
      <x:c r="AA5731" s="87"/>
      <x:c r="AB5731" s="87"/>
      <x:c r="AC5731" s="87" t="str">
        <x:v>VIS-EGKR-PHY-W25-TASK-951-P005</x:v>
      </x:c>
      <x:c r="AD5731" s="87" t="str">
        <x:v>VIS-EGKR-PHY-W25-ANSWERDOC-P001</x:v>
      </x:c>
      <x:c r="AE5731" s="87" t="str">
        <x:v>TASK; SECONDARY_ANSWER_SOURCE</x:v>
      </x:c>
      <x:c r="AF5731" s="87" t="str">
        <x:v>VIS-EGKR-PHY-W25-TASK-951-P005: 5; VIS-EGKR-PHY-W25-ANSWERDOC-P001: 1</x:v>
      </x:c>
      <x:c r="AG5731" s="87" t="str">
        <x:v>RESOLVED</x:v>
      </x:c>
      <x:c r="AH5731" s="87" t="str">
        <x:v>CROP_VERIFIED</x:v>
      </x:c>
      <x:c r="AI5731" s="30"/>
      <x:c r="AJ5731" s="87" t="str">
        <x:v>clean</x:v>
      </x:c>
      <x:c r="AK5731" s="87" t="str">
        <x:v>clean-v0.17</x:v>
      </x:c>
      <x:c r="AL5731" s="87" t="str">
        <x:v>statgrad_clean_continuation_v0_17(1).xlsx</x:v>
      </x:c>
      <x:c r="AM5731" s="87" t="str">
        <x:v>PHY_EGKR_951</x:v>
      </x:c>
      <x:c r="AN5731" s="87" t="n">
        <x:v>18</x:v>
      </x:c>
    </x:row>
    <x:row r="5732">
      <x:c r="A5732" s="87" t="n">
        <x:v>5731</x:v>
      </x:c>
      <x:c r="B5732" s="87" t="str">
        <x:v>EGKR-W25-PHY-951-18</x:v>
      </x:c>
      <x:c r="C5732" s="87" t="str">
        <x:v>ЕГКР</x:v>
      </x:c>
      <x:c r="D5732" s="87"/>
      <x:c r="E5732" s="87" t="str">
        <x:v>Зима 2025</x:v>
      </x:c>
      <x:c r="F5732" s="87" t="str">
        <x:v>18.12.2025</x:v>
      </x:c>
      <x:c r="G5732" s="87" t="str">
        <x:v>Физика</x:v>
      </x:c>
      <x:c r="H5732" s="87" t="n">
        <x:v>11</x:v>
      </x:c>
      <x:c r="I5732" s="87"/>
      <x:c r="J5732" s="87" t="str">
        <x:v>951</x:v>
      </x:c>
      <x:c r="K5732" s="87" t="n">
        <x:v>18</x:v>
      </x:c>
      <x:c r="L5732" s="87" t="str">
        <x:v>Физические законы</x:v>
      </x:c>
      <x:c r="M5732" s="30" t="str">
        <x:v>Выбрать верные утверждения по физическим законам и явлениям.</x:v>
      </x:c>
      <x:c r="N5732" s="30" t="str">
        <x:v>123</x:v>
      </x:c>
      <x:c r="O5732" s="30" t="str">
        <x:v>Каждое суждение проверено по соответствующему физическому закону.</x:v>
      </x:c>
      <x:c r="P5732" s="30" t="str">
        <x:v>Вычисление и полная визуальная страница проверены независимо.</x:v>
      </x:c>
      <x:c r="Q5732" s="30"/>
      <x:c r="R5732" s="30" t="str">
        <x:v>123</x:v>
      </x:c>
      <x:c r="S5732" s="30"/>
      <x:c r="T5732" s="30"/>
      <x:c r="U5732" s="30" t="str">
        <x:v>Ответник совпадает с независимой проверкой.</x:v>
      </x:c>
      <x:c r="V5732" s="87" t="str">
        <x:v>VERIFIED</x:v>
      </x:c>
      <x:c r="W5732" s="87"/>
      <x:c r="X5732" s="87" t="n">
        <x:v>5</x:v>
      </x:c>
      <x:c r="Y5732" s="87"/>
      <x:c r="Z5732" s="87"/>
      <x:c r="AA5732" s="87"/>
      <x:c r="AB5732" s="87"/>
      <x:c r="AC5732" s="87" t="str">
        <x:v>VIS-EGKR-PHY-W25-TASK-951-P005</x:v>
      </x:c>
      <x:c r="AD5732" s="87" t="str">
        <x:v>VIS-EGKR-PHY-W25-ANSWERDOC-P001</x:v>
      </x:c>
      <x:c r="AE5732" s="87" t="str">
        <x:v>TASK; SECONDARY_ANSWER_SOURCE</x:v>
      </x:c>
      <x:c r="AF5732" s="87" t="str">
        <x:v>VIS-EGKR-PHY-W25-TASK-951-P005: 5; VIS-EGKR-PHY-W25-ANSWERDOC-P001: 1</x:v>
      </x:c>
      <x:c r="AG5732" s="87" t="str">
        <x:v>RESOLVED</x:v>
      </x:c>
      <x:c r="AH5732" s="87" t="str">
        <x:v>CROP_VERIFIED</x:v>
      </x:c>
      <x:c r="AI5732" s="30"/>
      <x:c r="AJ5732" s="87" t="str">
        <x:v>clean</x:v>
      </x:c>
      <x:c r="AK5732" s="87" t="str">
        <x:v>clean-v0.17</x:v>
      </x:c>
      <x:c r="AL5732" s="87" t="str">
        <x:v>statgrad_clean_continuation_v0_17(1).xlsx</x:v>
      </x:c>
      <x:c r="AM5732" s="87" t="str">
        <x:v>PHY_EGKR_951</x:v>
      </x:c>
      <x:c r="AN5732" s="87" t="n">
        <x:v>19</x:v>
      </x:c>
    </x:row>
    <x:row r="5733">
      <x:c r="A5733" s="87" t="n">
        <x:v>5732</x:v>
      </x:c>
      <x:c r="B5733" s="87" t="str">
        <x:v>EGKR-W25-PHY-951-19</x:v>
      </x:c>
      <x:c r="C5733" s="87" t="str">
        <x:v>ЕГКР</x:v>
      </x:c>
      <x:c r="D5733" s="87"/>
      <x:c r="E5733" s="87" t="str">
        <x:v>Зима 2025</x:v>
      </x:c>
      <x:c r="F5733" s="87" t="str">
        <x:v>18.12.2025</x:v>
      </x:c>
      <x:c r="G5733" s="87" t="str">
        <x:v>Физика</x:v>
      </x:c>
      <x:c r="H5733" s="87" t="n">
        <x:v>11</x:v>
      </x:c>
      <x:c r="I5733" s="87"/>
      <x:c r="J5733" s="87" t="str">
        <x:v>951</x:v>
      </x:c>
      <x:c r="K5733" s="87" t="n">
        <x:v>19</x:v>
      </x:c>
      <x:c r="L5733" s="87" t="str">
        <x:v>Измерительный прибор</x:v>
      </x:c>
      <x:c r="M5733" s="30" t="str">
        <x:v>Снять показание амперметра с учётом цены деления и погрешности.</x:v>
      </x:c>
      <x:c r="N5733" s="30" t="str">
        <x:v>34 ± 2</x:v>
      </x:c>
      <x:c r="O5733" s="30" t="str">
        <x:v>Показание считано по шкале; погрешность принята равной цене деления.</x:v>
      </x:c>
      <x:c r="P5733" s="30" t="str">
        <x:v>Вычисление и полная визуальная страница проверены независимо.</x:v>
      </x:c>
      <x:c r="Q5733" s="30"/>
      <x:c r="R5733" s="30" t="str">
        <x:v>MISSING</x:v>
      </x:c>
      <x:c r="S5733" s="30"/>
      <x:c r="T5733" s="30"/>
      <x:c r="U5733" s="30" t="str">
        <x:v>Ответ отсутствовал в DOCX и восстановлен по условию.</x:v>
      </x:c>
      <x:c r="V5733" s="87" t="str">
        <x:v>SOURCE_GAP_RECOVERED</x:v>
      </x:c>
      <x:c r="W5733" s="87"/>
      <x:c r="X5733" s="87" t="n">
        <x:v>6</x:v>
      </x:c>
      <x:c r="Y5733" s="87"/>
      <x:c r="Z5733" s="87"/>
      <x:c r="AA5733" s="87"/>
      <x:c r="AB5733" s="87"/>
      <x:c r="AC5733" s="87" t="str">
        <x:v>VIS-EGKR-PHY-W25-TASK-951-P006</x:v>
      </x:c>
      <x:c r="AD5733" s="87" t="str">
        <x:v>VIS-EGKR-PHY-W25-ANSWERDOC-P001</x:v>
      </x:c>
      <x:c r="AE5733" s="87" t="str">
        <x:v>TASK; SECONDARY_ANSWER_SOURCE</x:v>
      </x:c>
      <x:c r="AF5733" s="87" t="str">
        <x:v>VIS-EGKR-PHY-W25-TASK-951-P006: 6; VIS-EGKR-PHY-W25-ANSWERDOC-P001: 1</x:v>
      </x:c>
      <x:c r="AG5733" s="87" t="str">
        <x:v>RESOLVED</x:v>
      </x:c>
      <x:c r="AH5733" s="87" t="str">
        <x:v>CROP_VERIFIED</x:v>
      </x:c>
      <x:c r="AI5733" s="30"/>
      <x:c r="AJ5733" s="87" t="str">
        <x:v>clean</x:v>
      </x:c>
      <x:c r="AK5733" s="87" t="str">
        <x:v>clean-v0.17</x:v>
      </x:c>
      <x:c r="AL5733" s="87" t="str">
        <x:v>statgrad_clean_continuation_v0_17(1).xlsx</x:v>
      </x:c>
      <x:c r="AM5733" s="87" t="str">
        <x:v>PHY_EGKR_951</x:v>
      </x:c>
      <x:c r="AN5733" s="87" t="n">
        <x:v>20</x:v>
      </x:c>
    </x:row>
    <x:row r="5734">
      <x:c r="A5734" s="87" t="n">
        <x:v>5733</x:v>
      </x:c>
      <x:c r="B5734" s="87" t="str">
        <x:v>EGKR-W25-PHY-951-20</x:v>
      </x:c>
      <x:c r="C5734" s="87" t="str">
        <x:v>ЕГКР</x:v>
      </x:c>
      <x:c r="D5734" s="87"/>
      <x:c r="E5734" s="87" t="str">
        <x:v>Зима 2025</x:v>
      </x:c>
      <x:c r="F5734" s="87" t="str">
        <x:v>18.12.2025</x:v>
      </x:c>
      <x:c r="G5734" s="87" t="str">
        <x:v>Физика</x:v>
      </x:c>
      <x:c r="H5734" s="87" t="n">
        <x:v>11</x:v>
      </x:c>
      <x:c r="I5734" s="87"/>
      <x:c r="J5734" s="87" t="str">
        <x:v>951</x:v>
      </x:c>
      <x:c r="K5734" s="87" t="n">
        <x:v>20</x:v>
      </x:c>
      <x:c r="L5734" s="87" t="str">
        <x:v>Планирование эксперимента</x:v>
      </x:c>
      <x:c r="M5734" s="30" t="str">
        <x:v>Выбрать два сосуда/установки для исследования требуемой зависимости.</x:v>
      </x:c>
      <x:c r="N5734" s="30" t="str">
        <x:v>24</x:v>
      </x:c>
      <x:c r="O5734" s="30" t="str">
        <x:v>Для чистого эксперимента оставлен один изменяемый параметр при одинаковых остальных.</x:v>
      </x:c>
      <x:c r="P5734" s="30" t="str">
        <x:v>Вычисление и полная визуальная страница проверены независимо.</x:v>
      </x:c>
      <x:c r="Q5734" s="30"/>
      <x:c r="R5734" s="30" t="str">
        <x:v>MISSING</x:v>
      </x:c>
      <x:c r="S5734" s="30"/>
      <x:c r="T5734" s="30"/>
      <x:c r="U5734" s="30" t="str">
        <x:v>Ответ отсутствовал в DOCX и восстановлен по условию.</x:v>
      </x:c>
      <x:c r="V5734" s="87" t="str">
        <x:v>SOURCE_GAP_RECOVERED</x:v>
      </x:c>
      <x:c r="W5734" s="87"/>
      <x:c r="X5734" s="87" t="n">
        <x:v>6</x:v>
      </x:c>
      <x:c r="Y5734" s="87"/>
      <x:c r="Z5734" s="87"/>
      <x:c r="AA5734" s="87"/>
      <x:c r="AB5734" s="87"/>
      <x:c r="AC5734" s="87" t="str">
        <x:v>VIS-EGKR-PHY-W25-TASK-951-P006</x:v>
      </x:c>
      <x:c r="AD5734" s="87" t="str">
        <x:v>VIS-EGKR-PHY-W25-ANSWERDOC-P001</x:v>
      </x:c>
      <x:c r="AE5734" s="87" t="str">
        <x:v>TASK; SECONDARY_ANSWER_SOURCE</x:v>
      </x:c>
      <x:c r="AF5734" s="87" t="str">
        <x:v>VIS-EGKR-PHY-W25-TASK-951-P006: 6; VIS-EGKR-PHY-W25-ANSWERDOC-P001: 1</x:v>
      </x:c>
      <x:c r="AG5734" s="87" t="str">
        <x:v>RESOLVED</x:v>
      </x:c>
      <x:c r="AH5734" s="87" t="str">
        <x:v>CROP_VERIFIED</x:v>
      </x:c>
      <x:c r="AI5734" s="30"/>
      <x:c r="AJ5734" s="87" t="str">
        <x:v>clean</x:v>
      </x:c>
      <x:c r="AK5734" s="87" t="str">
        <x:v>clean-v0.17</x:v>
      </x:c>
      <x:c r="AL5734" s="87" t="str">
        <x:v>statgrad_clean_continuation_v0_17(1).xlsx</x:v>
      </x:c>
      <x:c r="AM5734" s="87" t="str">
        <x:v>PHY_EGKR_951</x:v>
      </x:c>
      <x:c r="AN5734" s="87" t="n">
        <x:v>21</x:v>
      </x:c>
    </x:row>
    <x:row r="5735">
      <x:c r="A5735" s="87" t="n">
        <x:v>5734</x:v>
      </x:c>
      <x:c r="B5735" s="87" t="str">
        <x:v>EGKR-W25-PHY-951-21</x:v>
      </x:c>
      <x:c r="C5735" s="87" t="str">
        <x:v>ЕГКР</x:v>
      </x:c>
      <x:c r="D5735" s="87"/>
      <x:c r="E5735" s="87" t="str">
        <x:v>Зима 2025</x:v>
      </x:c>
      <x:c r="F5735" s="87" t="str">
        <x:v>18.12.2025</x:v>
      </x:c>
      <x:c r="G5735" s="87" t="str">
        <x:v>Физика</x:v>
      </x:c>
      <x:c r="H5735" s="87" t="n">
        <x:v>11</x:v>
      </x:c>
      <x:c r="I5735" s="87"/>
      <x:c r="J5735" s="87" t="str">
        <x:v>951</x:v>
      </x:c>
      <x:c r="K5735" s="87" t="n">
        <x:v>21</x:v>
      </x:c>
      <x:c r="L5735" s="87" t="str">
        <x:v>Развёрнутый ответ</x:v>
      </x:c>
      <x:c r="M5735" s="30" t="str">
        <x:v>По диаграмме V(T) объяснить изменение давления при переходах 1→2→3.</x:v>
      </x:c>
      <x:c r="N5735" s="30" t="str">
        <x:v>При 1→2 величина T/V возрастает, поэтому давление увеличивается. При 2→3 T/V уменьшается до исходного значения; p₁=p₃, p₂&gt;p₁.</x:v>
      </x:c>
      <x:c r="O5735" s="30" t="str">
        <x:v>Модель содержит необходимые законы, преобразования и численный вывод.</x:v>
      </x:c>
      <x:c r="P5735" s="30" t="str">
        <x:v>Решение получено независимо по исходному условию.</x:v>
      </x:c>
      <x:c r="Q5735" s="30"/>
      <x:c r="R5735" s="30" t="str">
        <x:v>MODEL_NOT_PROVIDED</x:v>
      </x:c>
      <x:c r="S5735" s="30"/>
      <x:c r="T5735" s="30"/>
      <x:c r="U5735" s="30" t="str">
        <x:v>Вторичный ответник не содержит развёрнутых решений.</x:v>
      </x:c>
      <x:c r="V5735" s="87" t="str">
        <x:v>VERIFIED</x:v>
      </x:c>
      <x:c r="W5735" s="87"/>
      <x:c r="X5735" s="87" t="n">
        <x:v>7</x:v>
      </x:c>
      <x:c r="Y5735" s="87"/>
      <x:c r="Z5735" s="87"/>
      <x:c r="AA5735" s="87"/>
      <x:c r="AB5735" s="87"/>
      <x:c r="AC5735" s="87" t="str">
        <x:v>VIS-EGKR-PHY-W25-TASK-951-P007</x:v>
      </x:c>
      <x:c r="AD5735" s="87"/>
      <x:c r="AE5735" s="87" t="str">
        <x:v>TASK</x:v>
      </x:c>
      <x:c r="AF5735" s="87" t="str">
        <x:v>VIS-EGKR-PHY-W25-TASK-951-P007: 7</x:v>
      </x:c>
      <x:c r="AG5735" s="87" t="str">
        <x:v>RESOLVED</x:v>
      </x:c>
      <x:c r="AH5735" s="87" t="str">
        <x:v>CROP_VERIFIED; TASK_CROP_QA_APPROVED:USE_CONTEXT</x:v>
      </x:c>
      <x:c r="AI5735" s="30"/>
      <x:c r="AJ5735" s="87" t="str">
        <x:v>clean</x:v>
      </x:c>
      <x:c r="AK5735" s="87" t="str">
        <x:v>clean-v0.17</x:v>
      </x:c>
      <x:c r="AL5735" s="87" t="str">
        <x:v>statgrad_clean_continuation_v0_17(1).xlsx</x:v>
      </x:c>
      <x:c r="AM5735" s="87" t="str">
        <x:v>PHY_EGKR_951</x:v>
      </x:c>
      <x:c r="AN5735" s="87" t="n">
        <x:v>22</x:v>
      </x:c>
    </x:row>
    <x:row r="5736">
      <x:c r="A5736" s="87" t="n">
        <x:v>5735</x:v>
      </x:c>
      <x:c r="B5736" s="87" t="str">
        <x:v>EGKR-W25-PHY-951-22</x:v>
      </x:c>
      <x:c r="C5736" s="87" t="str">
        <x:v>ЕГКР</x:v>
      </x:c>
      <x:c r="D5736" s="87"/>
      <x:c r="E5736" s="87" t="str">
        <x:v>Зима 2025</x:v>
      </x:c>
      <x:c r="F5736" s="87" t="str">
        <x:v>18.12.2025</x:v>
      </x:c>
      <x:c r="G5736" s="87" t="str">
        <x:v>Физика</x:v>
      </x:c>
      <x:c r="H5736" s="87" t="n">
        <x:v>11</x:v>
      </x:c>
      <x:c r="I5736" s="87"/>
      <x:c r="J5736" s="87" t="str">
        <x:v>951</x:v>
      </x:c>
      <x:c r="K5736" s="87" t="n">
        <x:v>22</x:v>
      </x:c>
      <x:c r="L5736" s="87" t="str">
        <x:v>Развёрнутый ответ</x:v>
      </x:c>
      <x:c r="M5736" s="30" t="str">
        <x:v>Поезд равноускоренно набирает скорость; на первом километре прирост 10 м/с, время разгона 400 с. Найти длину разгона.</x:v>
      </x:c>
      <x:c r="N5736" s="30" t="str">
        <x:v>Из v²=2as для первого километра: a=0,05 м/с². За 400 с v=20 м/с, путь s=at²/2=4000 м.</x:v>
      </x:c>
      <x:c r="O5736" s="30" t="str">
        <x:v>Модель содержит необходимые законы, преобразования и численный вывод.</x:v>
      </x:c>
      <x:c r="P5736" s="30" t="str">
        <x:v>Решение получено независимо по исходному условию.</x:v>
      </x:c>
      <x:c r="Q5736" s="30"/>
      <x:c r="R5736" s="30" t="str">
        <x:v>MODEL_NOT_PROVIDED</x:v>
      </x:c>
      <x:c r="S5736" s="30"/>
      <x:c r="T5736" s="30"/>
      <x:c r="U5736" s="30" t="str">
        <x:v>Вторичный ответник не содержит развёрнутых решений.</x:v>
      </x:c>
      <x:c r="V5736" s="87" t="str">
        <x:v>VERIFIED</x:v>
      </x:c>
      <x:c r="W5736" s="87"/>
      <x:c r="X5736" s="87" t="n">
        <x:v>7</x:v>
      </x:c>
      <x:c r="Y5736" s="87"/>
      <x:c r="Z5736" s="87"/>
      <x:c r="AA5736" s="87"/>
      <x:c r="AB5736" s="87"/>
      <x:c r="AC5736" s="87" t="str">
        <x:v>VIS-EGKR-PHY-W25-TASK-951-P007</x:v>
      </x:c>
      <x:c r="AD5736" s="87"/>
      <x:c r="AE5736" s="87" t="str">
        <x:v>TASK</x:v>
      </x:c>
      <x:c r="AF5736" s="87" t="str">
        <x:v>VIS-EGKR-PHY-W25-TASK-951-P007: 7</x:v>
      </x:c>
      <x:c r="AG5736" s="87" t="str">
        <x:v>RESOLVED</x:v>
      </x:c>
      <x:c r="AH5736" s="87" t="str">
        <x:v>CROP_VERIFIED</x:v>
      </x:c>
      <x:c r="AI5736" s="30"/>
      <x:c r="AJ5736" s="87" t="str">
        <x:v>clean</x:v>
      </x:c>
      <x:c r="AK5736" s="87" t="str">
        <x:v>clean-v0.17</x:v>
      </x:c>
      <x:c r="AL5736" s="87" t="str">
        <x:v>statgrad_clean_continuation_v0_17(1).xlsx</x:v>
      </x:c>
      <x:c r="AM5736" s="87" t="str">
        <x:v>PHY_EGKR_951</x:v>
      </x:c>
      <x:c r="AN5736" s="87" t="n">
        <x:v>23</x:v>
      </x:c>
    </x:row>
    <x:row r="5737">
      <x:c r="A5737" s="87" t="n">
        <x:v>5736</x:v>
      </x:c>
      <x:c r="B5737" s="87" t="str">
        <x:v>EGKR-W25-PHY-951-23</x:v>
      </x:c>
      <x:c r="C5737" s="87" t="str">
        <x:v>ЕГКР</x:v>
      </x:c>
      <x:c r="D5737" s="87"/>
      <x:c r="E5737" s="87" t="str">
        <x:v>Зима 2025</x:v>
      </x:c>
      <x:c r="F5737" s="87" t="str">
        <x:v>18.12.2025</x:v>
      </x:c>
      <x:c r="G5737" s="87" t="str">
        <x:v>Физика</x:v>
      </x:c>
      <x:c r="H5737" s="87" t="n">
        <x:v>11</x:v>
      </x:c>
      <x:c r="I5737" s="87"/>
      <x:c r="J5737" s="87" t="str">
        <x:v>951</x:v>
      </x:c>
      <x:c r="K5737" s="87" t="n">
        <x:v>23</x:v>
      </x:c>
      <x:c r="L5737" s="87" t="str">
        <x:v>Развёрнутый ответ</x:v>
      </x:c>
      <x:c r="M5737" s="30" t="str">
        <x:v>Проводник подвешен в магнитном поле; найти изменение натяжения при смене направления тока.</x:v>
      </x:c>
      <x:c r="N5737" s="30" t="str">
        <x:v>Сила Ампера на единицу длины BIl=0,05 Н/м, вес 0,1 Н/м. Натяжение меняется от суммы к разности, поэтому отношение равно 3.</x:v>
      </x:c>
      <x:c r="O5737" s="30" t="str">
        <x:v>Модель содержит необходимые законы, преобразования и численный вывод.</x:v>
      </x:c>
      <x:c r="P5737" s="30" t="str">
        <x:v>Решение получено независимо по исходному условию.</x:v>
      </x:c>
      <x:c r="Q5737" s="30"/>
      <x:c r="R5737" s="30" t="str">
        <x:v>MODEL_NOT_PROVIDED</x:v>
      </x:c>
      <x:c r="S5737" s="30"/>
      <x:c r="T5737" s="30"/>
      <x:c r="U5737" s="30" t="str">
        <x:v>Вторичный ответник не содержит развёрнутых решений.</x:v>
      </x:c>
      <x:c r="V5737" s="87" t="str">
        <x:v>VERIFIED</x:v>
      </x:c>
      <x:c r="W5737" s="87"/>
      <x:c r="X5737" s="87" t="n">
        <x:v>7</x:v>
      </x:c>
      <x:c r="Y5737" s="87"/>
      <x:c r="Z5737" s="87"/>
      <x:c r="AA5737" s="87"/>
      <x:c r="AB5737" s="87"/>
      <x:c r="AC5737" s="87" t="str">
        <x:v>VIS-EGKR-PHY-W25-TASK-951-P007</x:v>
      </x:c>
      <x:c r="AD5737" s="87"/>
      <x:c r="AE5737" s="87" t="str">
        <x:v>TASK</x:v>
      </x:c>
      <x:c r="AF5737" s="87" t="str">
        <x:v>VIS-EGKR-PHY-W25-TASK-951-P007: 7</x:v>
      </x:c>
      <x:c r="AG5737" s="87" t="str">
        <x:v>RESOLVED</x:v>
      </x:c>
      <x:c r="AH5737" s="87" t="str">
        <x:v>CROP_VERIFIED</x:v>
      </x:c>
      <x:c r="AI5737" s="30"/>
      <x:c r="AJ5737" s="87" t="str">
        <x:v>clean</x:v>
      </x:c>
      <x:c r="AK5737" s="87" t="str">
        <x:v>clean-v0.17</x:v>
      </x:c>
      <x:c r="AL5737" s="87" t="str">
        <x:v>statgrad_clean_continuation_v0_17(1).xlsx</x:v>
      </x:c>
      <x:c r="AM5737" s="87" t="str">
        <x:v>PHY_EGKR_951</x:v>
      </x:c>
      <x:c r="AN5737" s="87" t="n">
        <x:v>24</x:v>
      </x:c>
    </x:row>
    <x:row r="5738">
      <x:c r="A5738" s="87" t="n">
        <x:v>5737</x:v>
      </x:c>
      <x:c r="B5738" s="87" t="str">
        <x:v>EGKR-W25-PHY-951-24</x:v>
      </x:c>
      <x:c r="C5738" s="87" t="str">
        <x:v>ЕГКР</x:v>
      </x:c>
      <x:c r="D5738" s="87"/>
      <x:c r="E5738" s="87" t="str">
        <x:v>Зима 2025</x:v>
      </x:c>
      <x:c r="F5738" s="87" t="str">
        <x:v>18.12.2025</x:v>
      </x:c>
      <x:c r="G5738" s="87" t="str">
        <x:v>Физика</x:v>
      </x:c>
      <x:c r="H5738" s="87" t="n">
        <x:v>11</x:v>
      </x:c>
      <x:c r="I5738" s="87"/>
      <x:c r="J5738" s="87" t="str">
        <x:v>951</x:v>
      </x:c>
      <x:c r="K5738" s="87" t="n">
        <x:v>24</x:v>
      </x:c>
      <x:c r="L5738" s="87" t="str">
        <x:v>Развёрнутый ответ</x:v>
      </x:c>
      <x:c r="M5738" s="30" t="str">
        <x:v>Два моля одноатомного газа: p∝V, T₁=250 К, плотность уменьшилась в 2 раза. Найти Q.</x:v>
      </x:c>
      <x:c r="N5738" s="30" t="str">
        <x:v>V₂=2V₁, p₂=2p₁, T₂=4T₁. ΔU=3νR(T₂-T₁)/2, A=(p₁+p₂)(V₂-V₁)/2. Q≈25 кДж.</x:v>
      </x:c>
      <x:c r="O5738" s="30" t="str">
        <x:v>Модель содержит необходимые законы, преобразования и численный вывод.</x:v>
      </x:c>
      <x:c r="P5738" s="30" t="str">
        <x:v>Решение получено независимо по исходному условию.</x:v>
      </x:c>
      <x:c r="Q5738" s="30"/>
      <x:c r="R5738" s="30" t="str">
        <x:v>MODEL_NOT_PROVIDED</x:v>
      </x:c>
      <x:c r="S5738" s="30"/>
      <x:c r="T5738" s="30"/>
      <x:c r="U5738" s="30" t="str">
        <x:v>Вторичный ответник не содержит развёрнутых решений.</x:v>
      </x:c>
      <x:c r="V5738" s="87" t="str">
        <x:v>VERIFIED</x:v>
      </x:c>
      <x:c r="W5738" s="87"/>
      <x:c r="X5738" s="87" t="n">
        <x:v>7</x:v>
      </x:c>
      <x:c r="Y5738" s="87"/>
      <x:c r="Z5738" s="87"/>
      <x:c r="AA5738" s="87"/>
      <x:c r="AB5738" s="87"/>
      <x:c r="AC5738" s="87" t="str">
        <x:v>VIS-EGKR-PHY-W25-TASK-951-P007</x:v>
      </x:c>
      <x:c r="AD5738" s="87"/>
      <x:c r="AE5738" s="87" t="str">
        <x:v>TASK</x:v>
      </x:c>
      <x:c r="AF5738" s="87" t="str">
        <x:v>VIS-EGKR-PHY-W25-TASK-951-P007: 7</x:v>
      </x:c>
      <x:c r="AG5738" s="87" t="str">
        <x:v>RESOLVED</x:v>
      </x:c>
      <x:c r="AH5738" s="87" t="str">
        <x:v>CROP_VERIFIED</x:v>
      </x:c>
      <x:c r="AI5738" s="30"/>
      <x:c r="AJ5738" s="87" t="str">
        <x:v>clean</x:v>
      </x:c>
      <x:c r="AK5738" s="87" t="str">
        <x:v>clean-v0.17</x:v>
      </x:c>
      <x:c r="AL5738" s="87" t="str">
        <x:v>statgrad_clean_continuation_v0_17(1).xlsx</x:v>
      </x:c>
      <x:c r="AM5738" s="87" t="str">
        <x:v>PHY_EGKR_951</x:v>
      </x:c>
      <x:c r="AN5738" s="87" t="n">
        <x:v>25</x:v>
      </x:c>
    </x:row>
    <x:row r="5739">
      <x:c r="A5739" s="87" t="n">
        <x:v>5738</x:v>
      </x:c>
      <x:c r="B5739" s="87" t="str">
        <x:v>EGKR-W25-PHY-951-25</x:v>
      </x:c>
      <x:c r="C5739" s="87" t="str">
        <x:v>ЕГКР</x:v>
      </x:c>
      <x:c r="D5739" s="87"/>
      <x:c r="E5739" s="87" t="str">
        <x:v>Зима 2025</x:v>
      </x:c>
      <x:c r="F5739" s="87" t="str">
        <x:v>18.12.2025</x:v>
      </x:c>
      <x:c r="G5739" s="87" t="str">
        <x:v>Физика</x:v>
      </x:c>
      <x:c r="H5739" s="87" t="n">
        <x:v>11</x:v>
      </x:c>
      <x:c r="I5739" s="87"/>
      <x:c r="J5739" s="87" t="str">
        <x:v>951</x:v>
      </x:c>
      <x:c r="K5739" s="87" t="n">
        <x:v>25</x:v>
      </x:c>
      <x:c r="L5739" s="87" t="str">
        <x:v>Развёрнутый ответ</x:v>
      </x:c>
      <x:c r="M5739" s="30" t="str">
        <x:v>Найти площадь изображения прямоугольного треугольника D=4 см, H=5 см, F=20 см.</x:v>
      </x:c>
      <x:c r="N5739" s="30" t="str">
        <x:v>Предмет расположен на 2F, линейное увеличение по вертикали 1; для второй координаты по построению получается масштаб 5/3. Площадь изображения 125/18 см²≈6,94 см².</x:v>
      </x:c>
      <x:c r="O5739" s="30" t="str">
        <x:v>Модель содержит необходимые законы, преобразования и численный вывод.</x:v>
      </x:c>
      <x:c r="P5739" s="30" t="str">
        <x:v>Решение получено независимо по исходному условию.</x:v>
      </x:c>
      <x:c r="Q5739" s="30"/>
      <x:c r="R5739" s="30" t="str">
        <x:v>MODEL_NOT_PROVIDED</x:v>
      </x:c>
      <x:c r="S5739" s="30"/>
      <x:c r="T5739" s="30"/>
      <x:c r="U5739" s="30" t="str">
        <x:v>Вторичный ответник не содержит развёрнутых решений.</x:v>
      </x:c>
      <x:c r="V5739" s="87" t="str">
        <x:v>VERIFIED</x:v>
      </x:c>
      <x:c r="W5739" s="87"/>
      <x:c r="X5739" s="87" t="n">
        <x:v>7</x:v>
      </x:c>
      <x:c r="Y5739" s="87"/>
      <x:c r="Z5739" s="87"/>
      <x:c r="AA5739" s="87"/>
      <x:c r="AB5739" s="87"/>
      <x:c r="AC5739" s="87" t="str">
        <x:v>VIS-EGKR-PHY-W25-TASK-951-P007</x:v>
      </x:c>
      <x:c r="AD5739" s="87"/>
      <x:c r="AE5739" s="87" t="str">
        <x:v>TASK</x:v>
      </x:c>
      <x:c r="AF5739" s="87" t="str">
        <x:v>VIS-EGKR-PHY-W25-TASK-951-P007: 7</x:v>
      </x:c>
      <x:c r="AG5739" s="87" t="str">
        <x:v>RESOLVED</x:v>
      </x:c>
      <x:c r="AH5739" s="87" t="str">
        <x:v>CROP_VERIFIED</x:v>
      </x:c>
      <x:c r="AI5739" s="30"/>
      <x:c r="AJ5739" s="87" t="str">
        <x:v>clean</x:v>
      </x:c>
      <x:c r="AK5739" s="87" t="str">
        <x:v>clean-v0.17</x:v>
      </x:c>
      <x:c r="AL5739" s="87" t="str">
        <x:v>statgrad_clean_continuation_v0_17(1).xlsx</x:v>
      </x:c>
      <x:c r="AM5739" s="87" t="str">
        <x:v>PHY_EGKR_951</x:v>
      </x:c>
      <x:c r="AN5739" s="87" t="n">
        <x:v>26</x:v>
      </x:c>
    </x:row>
    <x:row r="5740">
      <x:c r="A5740" s="87" t="n">
        <x:v>5739</x:v>
      </x:c>
      <x:c r="B5740" s="87" t="str">
        <x:v>EGKR-W25-PHY-951-26</x:v>
      </x:c>
      <x:c r="C5740" s="87" t="str">
        <x:v>ЕГКР</x:v>
      </x:c>
      <x:c r="D5740" s="87"/>
      <x:c r="E5740" s="87" t="str">
        <x:v>Зима 2025</x:v>
      </x:c>
      <x:c r="F5740" s="87" t="str">
        <x:v>18.12.2025</x:v>
      </x:c>
      <x:c r="G5740" s="87" t="str">
        <x:v>Физика</x:v>
      </x:c>
      <x:c r="H5740" s="87" t="n">
        <x:v>11</x:v>
      </x:c>
      <x:c r="I5740" s="87"/>
      <x:c r="J5740" s="87" t="str">
        <x:v>951</x:v>
      </x:c>
      <x:c r="K5740" s="87" t="n">
        <x:v>26</x:v>
      </x:c>
      <x:c r="L5740" s="87" t="str">
        <x:v>Развёрнутый ответ</x:v>
      </x:c>
      <x:c r="M5740" s="30" t="str">
        <x:v>Доска M=6 кг, груз m=1 кг, μ₁=0,35, μ₂=0,25. Найти максимальную силу без скольжения груза.</x:v>
      </x:c>
      <x:c r="N5740" s="30" t="str">
        <x:v>Ускорение ограничено a≤μ₁g. С учётом трения доски о стол F=(M+m)a+μ₂(M+m)g; максимум 42 Н.</x:v>
      </x:c>
      <x:c r="O5740" s="30" t="str">
        <x:v>Модель содержит необходимые законы, преобразования и численный вывод.</x:v>
      </x:c>
      <x:c r="P5740" s="30" t="str">
        <x:v>Решение получено независимо по исходному условию.</x:v>
      </x:c>
      <x:c r="Q5740" s="30"/>
      <x:c r="R5740" s="30" t="str">
        <x:v>MODEL_NOT_PROVIDED</x:v>
      </x:c>
      <x:c r="S5740" s="30"/>
      <x:c r="T5740" s="30"/>
      <x:c r="U5740" s="30" t="str">
        <x:v>Вторичный ответник не содержит развёрнутых решений.</x:v>
      </x:c>
      <x:c r="V5740" s="87" t="str">
        <x:v>VERIFIED</x:v>
      </x:c>
      <x:c r="W5740" s="87"/>
      <x:c r="X5740" s="87" t="n">
        <x:v>7</x:v>
      </x:c>
      <x:c r="Y5740" s="87"/>
      <x:c r="Z5740" s="87"/>
      <x:c r="AA5740" s="87"/>
      <x:c r="AB5740" s="87"/>
      <x:c r="AC5740" s="87" t="str">
        <x:v>VIS-EGKR-PHY-W25-TASK-951-P007</x:v>
      </x:c>
      <x:c r="AD5740" s="87"/>
      <x:c r="AE5740" s="87" t="str">
        <x:v>TASK</x:v>
      </x:c>
      <x:c r="AF5740" s="87" t="str">
        <x:v>VIS-EGKR-PHY-W25-TASK-951-P007: 7</x:v>
      </x:c>
      <x:c r="AG5740" s="87" t="str">
        <x:v>RESOLVED</x:v>
      </x:c>
      <x:c r="AH5740" s="87" t="str">
        <x:v>CROP_VERIFIED</x:v>
      </x:c>
      <x:c r="AI5740" s="30"/>
      <x:c r="AJ5740" s="87" t="str">
        <x:v>clean</x:v>
      </x:c>
      <x:c r="AK5740" s="87" t="str">
        <x:v>clean-v0.17</x:v>
      </x:c>
      <x:c r="AL5740" s="87" t="str">
        <x:v>statgrad_clean_continuation_v0_17(1).xlsx</x:v>
      </x:c>
      <x:c r="AM5740" s="87" t="str">
        <x:v>PHY_EGKR_951</x:v>
      </x:c>
      <x:c r="AN5740" s="87" t="n">
        <x:v>27</x:v>
      </x:c>
    </x:row>
    <x:row r="5741">
      <x:c r="A5741" s="87" t="n">
        <x:v>5740</x:v>
      </x:c>
      <x:c r="B5741" s="87" t="str">
        <x:v>EGKR-W25-PHY-952-01</x:v>
      </x:c>
      <x:c r="C5741" s="87" t="str">
        <x:v>ЕГКР</x:v>
      </x:c>
      <x:c r="D5741" s="87"/>
      <x:c r="E5741" s="87" t="str">
        <x:v>Зима 2025</x:v>
      </x:c>
      <x:c r="F5741" s="87" t="str">
        <x:v>18.12.2025</x:v>
      </x:c>
      <x:c r="G5741" s="87" t="str">
        <x:v>Физика</x:v>
      </x:c>
      <x:c r="H5741" s="87" t="n">
        <x:v>11</x:v>
      </x:c>
      <x:c r="I5741" s="87"/>
      <x:c r="J5741" s="87" t="str">
        <x:v>952</x:v>
      </x:c>
      <x:c r="K5741" s="87" t="n">
        <x:v>1</x:v>
      </x:c>
      <x:c r="L5741" s="87" t="str">
        <x:v>График скорости</x:v>
      </x:c>
      <x:c r="M5741" s="30" t="str">
        <x:v>По графику проекции скорости определить путь тела на указанном интервале.</x:v>
      </x:c>
      <x:c r="N5741" s="30" t="str">
        <x:v>20</x:v>
      </x:c>
      <x:c r="O5741" s="30" t="str">
        <x:v>Путь равен площади под графиком |v(t)|.</x:v>
      </x:c>
      <x:c r="P5741" s="30" t="str">
        <x:v>Вычисление и полная визуальная страница проверены независимо.</x:v>
      </x:c>
      <x:c r="Q5741" s="30"/>
      <x:c r="R5741" s="30" t="str">
        <x:v>1,25</x:v>
      </x:c>
      <x:c r="S5741" s="30"/>
      <x:c r="T5741" s="30"/>
      <x:c r="U5741" s="30" t="str">
        <x:v>Ответник: 1,25; независимое решение: 20.</x:v>
      </x:c>
      <x:c r="V5741" s="87" t="str">
        <x:v>KEY_MISMATCH</x:v>
      </x:c>
      <x:c r="W5741" s="87"/>
      <x:c r="X5741" s="87" t="n">
        <x:v>2</x:v>
      </x:c>
      <x:c r="Y5741" s="87"/>
      <x:c r="Z5741" s="87"/>
      <x:c r="AA5741" s="87"/>
      <x:c r="AB5741" s="87"/>
      <x:c r="AC5741" s="87" t="str">
        <x:v>VIS-EGKR-PHY-W25-TASK-952-P002</x:v>
      </x:c>
      <x:c r="AD5741" s="87" t="str">
        <x:v>VIS-EGKR-PHY-W25-ANSWERDOC-P002</x:v>
      </x:c>
      <x:c r="AE5741" s="87" t="str">
        <x:v>TASK; SECONDARY_ANSWER_SOURCE</x:v>
      </x:c>
      <x:c r="AF5741" s="87" t="str">
        <x:v>VIS-EGKR-PHY-W25-TASK-952-P002: 2; VIS-EGKR-PHY-W25-ANSWERDOC-P002: 2</x:v>
      </x:c>
      <x:c r="AG5741" s="87" t="str">
        <x:v>RESOLVED</x:v>
      </x:c>
      <x:c r="AH5741" s="87" t="str">
        <x:v>CROP_VERIFIED</x:v>
      </x:c>
      <x:c r="AI5741" s="30"/>
      <x:c r="AJ5741" s="87" t="str">
        <x:v>clean</x:v>
      </x:c>
      <x:c r="AK5741" s="87" t="str">
        <x:v>clean-v0.17</x:v>
      </x:c>
      <x:c r="AL5741" s="87" t="str">
        <x:v>statgrad_clean_continuation_v0_17(1).xlsx</x:v>
      </x:c>
      <x:c r="AM5741" s="87" t="str">
        <x:v>PHY_EGKR_952</x:v>
      </x:c>
      <x:c r="AN5741" s="87" t="n">
        <x:v>2</x:v>
      </x:c>
    </x:row>
    <x:row r="5742">
      <x:c r="A5742" s="87" t="n">
        <x:v>5741</x:v>
      </x:c>
      <x:c r="B5742" s="87" t="str">
        <x:v>EGKR-W25-PHY-952-02</x:v>
      </x:c>
      <x:c r="C5742" s="87" t="str">
        <x:v>ЕГКР</x:v>
      </x:c>
      <x:c r="D5742" s="87"/>
      <x:c r="E5742" s="87" t="str">
        <x:v>Зима 2025</x:v>
      </x:c>
      <x:c r="F5742" s="87" t="str">
        <x:v>18.12.2025</x:v>
      </x:c>
      <x:c r="G5742" s="87" t="str">
        <x:v>Физика</x:v>
      </x:c>
      <x:c r="H5742" s="87" t="n">
        <x:v>11</x:v>
      </x:c>
      <x:c r="I5742" s="87"/>
      <x:c r="J5742" s="87" t="str">
        <x:v>952</x:v>
      </x:c>
      <x:c r="K5742" s="87" t="n">
        <x:v>2</x:v>
      </x:c>
      <x:c r="L5742" s="87" t="str">
        <x:v>Второй закон Ньютона</x:v>
      </x:c>
      <x:c r="M5742" s="30" t="str">
        <x:v>Определить изменение массы тела по второму закону Ньютона при изменении силы/ускорения.</x:v>
      </x:c>
      <x:c r="N5742" s="30" t="str">
        <x:v>4,5</x:v>
      </x:c>
      <x:c r="O5742" s="30" t="str">
        <x:v>Использовано F=ma.</x:v>
      </x:c>
      <x:c r="P5742" s="30" t="str">
        <x:v>Вычисление и полная визуальная страница проверены независимо.</x:v>
      </x:c>
      <x:c r="Q5742" s="30"/>
      <x:c r="R5742" s="30" t="str">
        <x:v>4,5</x:v>
      </x:c>
      <x:c r="S5742" s="30"/>
      <x:c r="T5742" s="30"/>
      <x:c r="U5742" s="30" t="str">
        <x:v>Ответник совпадает с независимой проверкой.</x:v>
      </x:c>
      <x:c r="V5742" s="87" t="str">
        <x:v>VERIFIED</x:v>
      </x:c>
      <x:c r="W5742" s="87"/>
      <x:c r="X5742" s="87" t="n">
        <x:v>2</x:v>
      </x:c>
      <x:c r="Y5742" s="87"/>
      <x:c r="Z5742" s="87"/>
      <x:c r="AA5742" s="87"/>
      <x:c r="AB5742" s="87"/>
      <x:c r="AC5742" s="87" t="str">
        <x:v>VIS-EGKR-PHY-W25-TASK-952-P002</x:v>
      </x:c>
      <x:c r="AD5742" s="87" t="str">
        <x:v>VIS-EGKR-PHY-W25-ANSWERDOC-P002</x:v>
      </x:c>
      <x:c r="AE5742" s="87" t="str">
        <x:v>TASK; SECONDARY_ANSWER_SOURCE</x:v>
      </x:c>
      <x:c r="AF5742" s="87" t="str">
        <x:v>VIS-EGKR-PHY-W25-TASK-952-P002: 2; VIS-EGKR-PHY-W25-ANSWERDOC-P002: 2</x:v>
      </x:c>
      <x:c r="AG5742" s="87" t="str">
        <x:v>RESOLVED</x:v>
      </x:c>
      <x:c r="AH5742" s="87" t="str">
        <x:v>CROP_VERIFIED</x:v>
      </x:c>
      <x:c r="AI5742" s="30"/>
      <x:c r="AJ5742" s="87" t="str">
        <x:v>clean</x:v>
      </x:c>
      <x:c r="AK5742" s="87" t="str">
        <x:v>clean-v0.17</x:v>
      </x:c>
      <x:c r="AL5742" s="87" t="str">
        <x:v>statgrad_clean_continuation_v0_17(1).xlsx</x:v>
      </x:c>
      <x:c r="AM5742" s="87" t="str">
        <x:v>PHY_EGKR_952</x:v>
      </x:c>
      <x:c r="AN5742" s="87" t="n">
        <x:v>3</x:v>
      </x:c>
    </x:row>
    <x:row r="5743">
      <x:c r="A5743" s="87" t="n">
        <x:v>5742</x:v>
      </x:c>
      <x:c r="B5743" s="87" t="str">
        <x:v>EGKR-W25-PHY-952-03</x:v>
      </x:c>
      <x:c r="C5743" s="87" t="str">
        <x:v>ЕГКР</x:v>
      </x:c>
      <x:c r="D5743" s="87"/>
      <x:c r="E5743" s="87" t="str">
        <x:v>Зима 2025</x:v>
      </x:c>
      <x:c r="F5743" s="87" t="str">
        <x:v>18.12.2025</x:v>
      </x:c>
      <x:c r="G5743" s="87" t="str">
        <x:v>Физика</x:v>
      </x:c>
      <x:c r="H5743" s="87" t="n">
        <x:v>11</x:v>
      </x:c>
      <x:c r="I5743" s="87"/>
      <x:c r="J5743" s="87" t="str">
        <x:v>952</x:v>
      </x:c>
      <x:c r="K5743" s="87" t="n">
        <x:v>3</x:v>
      </x:c>
      <x:c r="L5743" s="87" t="str">
        <x:v>Импульс</x:v>
      </x:c>
      <x:c r="M5743" s="30" t="str">
        <x:v>Найти модуль импульса системы двух тел при заданных направлениях импульсов.</x:v>
      </x:c>
      <x:c r="N5743" s="30" t="str">
        <x:v>0,5</x:v>
      </x:c>
      <x:c r="O5743" s="30" t="str">
        <x:v>Перпендикулярные импульсы сложены по теореме Пифагора.</x:v>
      </x:c>
      <x:c r="P5743" s="30" t="str">
        <x:v>Вычисление и полная визуальная страница проверены независимо.</x:v>
      </x:c>
      <x:c r="Q5743" s="30"/>
      <x:c r="R5743" s="30" t="str">
        <x:v>0,5</x:v>
      </x:c>
      <x:c r="S5743" s="30"/>
      <x:c r="T5743" s="30"/>
      <x:c r="U5743" s="30" t="str">
        <x:v>Ответник совпадает с независимой проверкой.</x:v>
      </x:c>
      <x:c r="V5743" s="87" t="str">
        <x:v>VERIFIED</x:v>
      </x:c>
      <x:c r="W5743" s="87"/>
      <x:c r="X5743" s="87" t="n">
        <x:v>2</x:v>
      </x:c>
      <x:c r="Y5743" s="87"/>
      <x:c r="Z5743" s="87"/>
      <x:c r="AA5743" s="87"/>
      <x:c r="AB5743" s="87"/>
      <x:c r="AC5743" s="87" t="str">
        <x:v>VIS-EGKR-PHY-W25-TASK-952-P002</x:v>
      </x:c>
      <x:c r="AD5743" s="87" t="str">
        <x:v>VIS-EGKR-PHY-W25-ANSWERDOC-P002</x:v>
      </x:c>
      <x:c r="AE5743" s="87" t="str">
        <x:v>TASK; SECONDARY_ANSWER_SOURCE</x:v>
      </x:c>
      <x:c r="AF5743" s="87" t="str">
        <x:v>VIS-EGKR-PHY-W25-TASK-952-P002: 2; VIS-EGKR-PHY-W25-ANSWERDOC-P002: 2</x:v>
      </x:c>
      <x:c r="AG5743" s="87" t="str">
        <x:v>RESOLVED</x:v>
      </x:c>
      <x:c r="AH5743" s="87" t="str">
        <x:v>CROP_VERIFIED</x:v>
      </x:c>
      <x:c r="AI5743" s="30"/>
      <x:c r="AJ5743" s="87" t="str">
        <x:v>clean</x:v>
      </x:c>
      <x:c r="AK5743" s="87" t="str">
        <x:v>clean-v0.17</x:v>
      </x:c>
      <x:c r="AL5743" s="87" t="str">
        <x:v>statgrad_clean_continuation_v0_17(1).xlsx</x:v>
      </x:c>
      <x:c r="AM5743" s="87" t="str">
        <x:v>PHY_EGKR_952</x:v>
      </x:c>
      <x:c r="AN5743" s="87" t="n">
        <x:v>4</x:v>
      </x:c>
    </x:row>
    <x:row r="5744">
      <x:c r="A5744" s="87" t="n">
        <x:v>5743</x:v>
      </x:c>
      <x:c r="B5744" s="87" t="str">
        <x:v>EGKR-W25-PHY-952-04</x:v>
      </x:c>
      <x:c r="C5744" s="87" t="str">
        <x:v>ЕГКР</x:v>
      </x:c>
      <x:c r="D5744" s="87"/>
      <x:c r="E5744" s="87" t="str">
        <x:v>Зима 2025</x:v>
      </x:c>
      <x:c r="F5744" s="87" t="str">
        <x:v>18.12.2025</x:v>
      </x:c>
      <x:c r="G5744" s="87" t="str">
        <x:v>Физика</x:v>
      </x:c>
      <x:c r="H5744" s="87" t="n">
        <x:v>11</x:v>
      </x:c>
      <x:c r="I5744" s="87"/>
      <x:c r="J5744" s="87" t="str">
        <x:v>952</x:v>
      </x:c>
      <x:c r="K5744" s="87" t="n">
        <x:v>4</x:v>
      </x:c>
      <x:c r="L5744" s="87" t="str">
        <x:v>Статика и рычаг</x:v>
      </x:c>
      <x:c r="M5744" s="30" t="str">
        <x:v>Используя условие равновесия рычага, определить массу или силу.</x:v>
      </x:c>
      <x:c r="N5744" s="30" t="str">
        <x:v>0,6</x:v>
      </x:c>
      <x:c r="O5744" s="30" t="str">
        <x:v>Использовано равенство моментов сил относительно точки опоры.</x:v>
      </x:c>
      <x:c r="P5744" s="30" t="str">
        <x:v>Вычисление и полная визуальная страница проверены независимо.</x:v>
      </x:c>
      <x:c r="Q5744" s="30"/>
      <x:c r="R5744" s="30" t="str">
        <x:v>0,13</x:v>
      </x:c>
      <x:c r="S5744" s="30"/>
      <x:c r="T5744" s="30"/>
      <x:c r="U5744" s="30" t="str">
        <x:v>Ответник: 0,13; независимое решение: 0,6.</x:v>
      </x:c>
      <x:c r="V5744" s="87" t="str">
        <x:v>KEY_MISMATCH</x:v>
      </x:c>
      <x:c r="W5744" s="87"/>
      <x:c r="X5744" s="87" t="n">
        <x:v>3</x:v>
      </x:c>
      <x:c r="Y5744" s="87"/>
      <x:c r="Z5744" s="87"/>
      <x:c r="AA5744" s="87"/>
      <x:c r="AB5744" s="87"/>
      <x:c r="AC5744" s="87" t="str">
        <x:v>VIS-EGKR-PHY-W25-TASK-952-P003</x:v>
      </x:c>
      <x:c r="AD5744" s="87" t="str">
        <x:v>VIS-EGKR-PHY-W25-ANSWERDOC-P002</x:v>
      </x:c>
      <x:c r="AE5744" s="87" t="str">
        <x:v>TASK; SECONDARY_ANSWER_SOURCE</x:v>
      </x:c>
      <x:c r="AF5744" s="87" t="str">
        <x:v>VIS-EGKR-PHY-W25-TASK-952-P003: 3; VIS-EGKR-PHY-W25-ANSWERDOC-P002: 2</x:v>
      </x:c>
      <x:c r="AG5744" s="87" t="str">
        <x:v>RESOLVED</x:v>
      </x:c>
      <x:c r="AH5744" s="87" t="str">
        <x:v>CROP_VERIFIED</x:v>
      </x:c>
      <x:c r="AI5744" s="30"/>
      <x:c r="AJ5744" s="87" t="str">
        <x:v>clean</x:v>
      </x:c>
      <x:c r="AK5744" s="87" t="str">
        <x:v>clean-v0.17</x:v>
      </x:c>
      <x:c r="AL5744" s="87" t="str">
        <x:v>statgrad_clean_continuation_v0_17(1).xlsx</x:v>
      </x:c>
      <x:c r="AM5744" s="87" t="str">
        <x:v>PHY_EGKR_952</x:v>
      </x:c>
      <x:c r="AN5744" s="87" t="n">
        <x:v>5</x:v>
      </x:c>
    </x:row>
    <x:row r="5745">
      <x:c r="A5745" s="87" t="n">
        <x:v>5744</x:v>
      </x:c>
      <x:c r="B5745" s="87" t="str">
        <x:v>EGKR-W25-PHY-952-05</x:v>
      </x:c>
      <x:c r="C5745" s="87" t="str">
        <x:v>ЕГКР</x:v>
      </x:c>
      <x:c r="D5745" s="87"/>
      <x:c r="E5745" s="87" t="str">
        <x:v>Зима 2025</x:v>
      </x:c>
      <x:c r="F5745" s="87" t="str">
        <x:v>18.12.2025</x:v>
      </x:c>
      <x:c r="G5745" s="87" t="str">
        <x:v>Физика</x:v>
      </x:c>
      <x:c r="H5745" s="87" t="n">
        <x:v>11</x:v>
      </x:c>
      <x:c r="I5745" s="87"/>
      <x:c r="J5745" s="87" t="str">
        <x:v>952</x:v>
      </x:c>
      <x:c r="K5745" s="87" t="n">
        <x:v>5</x:v>
      </x:c>
      <x:c r="L5745" s="87" t="str">
        <x:v>Анализ движения</x:v>
      </x:c>
      <x:c r="M5745" s="30" t="str">
        <x:v>Выбрать верные утверждения по графику скорости тела.</x:v>
      </x:c>
      <x:c r="N5745" s="30" t="str">
        <x:v>35</x:v>
      </x:c>
      <x:c r="O5745" s="30" t="str">
        <x:v>Утверждения проверены по наклону графика, скорости и работе равнодействующей.</x:v>
      </x:c>
      <x:c r="P5745" s="30" t="str">
        <x:v>Вычисление и полная визуальная страница проверены независимо.</x:v>
      </x:c>
      <x:c r="Q5745" s="30"/>
      <x:c r="R5745" s="30" t="str">
        <x:v>35</x:v>
      </x:c>
      <x:c r="S5745" s="30"/>
      <x:c r="T5745" s="30"/>
      <x:c r="U5745" s="30" t="str">
        <x:v>Ответник совпадает с независимой проверкой.</x:v>
      </x:c>
      <x:c r="V5745" s="87" t="str">
        <x:v>VERIFIED</x:v>
      </x:c>
      <x:c r="W5745" s="87"/>
      <x:c r="X5745" s="87" t="n">
        <x:v>3</x:v>
      </x:c>
      <x:c r="Y5745" s="87"/>
      <x:c r="Z5745" s="87"/>
      <x:c r="AA5745" s="87"/>
      <x:c r="AB5745" s="87"/>
      <x:c r="AC5745" s="87" t="str">
        <x:v>VIS-EGKR-PHY-W25-TASK-952-P003</x:v>
      </x:c>
      <x:c r="AD5745" s="87" t="str">
        <x:v>VIS-EGKR-PHY-W25-ANSWERDOC-P002</x:v>
      </x:c>
      <x:c r="AE5745" s="87" t="str">
        <x:v>TASK; SECONDARY_ANSWER_SOURCE</x:v>
      </x:c>
      <x:c r="AF5745" s="87" t="str">
        <x:v>VIS-EGKR-PHY-W25-TASK-952-P003: 3; VIS-EGKR-PHY-W25-ANSWERDOC-P002: 2</x:v>
      </x:c>
      <x:c r="AG5745" s="87" t="str">
        <x:v>RESOLVED</x:v>
      </x:c>
      <x:c r="AH5745" s="87" t="str">
        <x:v>CROP_VERIFIED</x:v>
      </x:c>
      <x:c r="AI5745" s="30"/>
      <x:c r="AJ5745" s="87" t="str">
        <x:v>clean</x:v>
      </x:c>
      <x:c r="AK5745" s="87" t="str">
        <x:v>clean-v0.17</x:v>
      </x:c>
      <x:c r="AL5745" s="87" t="str">
        <x:v>statgrad_clean_continuation_v0_17(1).xlsx</x:v>
      </x:c>
      <x:c r="AM5745" s="87" t="str">
        <x:v>PHY_EGKR_952</x:v>
      </x:c>
      <x:c r="AN5745" s="87" t="n">
        <x:v>6</x:v>
      </x:c>
    </x:row>
    <x:row r="5746">
      <x:c r="A5746" s="87" t="n">
        <x:v>5745</x:v>
      </x:c>
      <x:c r="B5746" s="87" t="str">
        <x:v>EGKR-W25-PHY-952-06</x:v>
      </x:c>
      <x:c r="C5746" s="87" t="str">
        <x:v>ЕГКР</x:v>
      </x:c>
      <x:c r="D5746" s="87"/>
      <x:c r="E5746" s="87" t="str">
        <x:v>Зима 2025</x:v>
      </x:c>
      <x:c r="F5746" s="87" t="str">
        <x:v>18.12.2025</x:v>
      </x:c>
      <x:c r="G5746" s="87" t="str">
        <x:v>Физика</x:v>
      </x:c>
      <x:c r="H5746" s="87" t="n">
        <x:v>11</x:v>
      </x:c>
      <x:c r="I5746" s="87"/>
      <x:c r="J5746" s="87" t="str">
        <x:v>952</x:v>
      </x:c>
      <x:c r="K5746" s="87" t="n">
        <x:v>6</x:v>
      </x:c>
      <x:c r="L5746" s="87" t="str">
        <x:v>Гармонические колебания</x:v>
      </x:c>
      <x:c r="M5746" s="30" t="str">
        <x:v>Соотнести графики гармонического колебания с физическими величинами.</x:v>
      </x:c>
      <x:c r="N5746" s="30" t="str">
        <x:v>21</x:v>
      </x:c>
      <x:c r="O5746" s="30" t="str">
        <x:v>Учтены фазы координаты, ускорения, кинетической и потенциальной энергий.</x:v>
      </x:c>
      <x:c r="P5746" s="30" t="str">
        <x:v>Вычисление и полная визуальная страница проверены независимо.</x:v>
      </x:c>
      <x:c r="Q5746" s="30"/>
      <x:c r="R5746" s="30" t="str">
        <x:v>21</x:v>
      </x:c>
      <x:c r="S5746" s="30"/>
      <x:c r="T5746" s="30"/>
      <x:c r="U5746" s="30" t="str">
        <x:v>Ответник совпадает с независимой проверкой.</x:v>
      </x:c>
      <x:c r="V5746" s="87" t="str">
        <x:v>VERIFIED</x:v>
      </x:c>
      <x:c r="W5746" s="87"/>
      <x:c r="X5746" s="87" t="n">
        <x:v>3</x:v>
      </x:c>
      <x:c r="Y5746" s="87"/>
      <x:c r="Z5746" s="87"/>
      <x:c r="AA5746" s="87"/>
      <x:c r="AB5746" s="87"/>
      <x:c r="AC5746" s="87" t="str">
        <x:v>VIS-EGKR-PHY-W25-TASK-952-P003</x:v>
      </x:c>
      <x:c r="AD5746" s="87" t="str">
        <x:v>VIS-EGKR-PHY-W25-ANSWERDOC-P002</x:v>
      </x:c>
      <x:c r="AE5746" s="87" t="str">
        <x:v>TASK; SECONDARY_ANSWER_SOURCE</x:v>
      </x:c>
      <x:c r="AF5746" s="87" t="str">
        <x:v>VIS-EGKR-PHY-W25-TASK-952-P003: 3; VIS-EGKR-PHY-W25-ANSWERDOC-P002: 2</x:v>
      </x:c>
      <x:c r="AG5746" s="87" t="str">
        <x:v>RESOLVED</x:v>
      </x:c>
      <x:c r="AH5746" s="87" t="str">
        <x:v>CROP_VERIFIED</x:v>
      </x:c>
      <x:c r="AI5746" s="30"/>
      <x:c r="AJ5746" s="87" t="str">
        <x:v>clean</x:v>
      </x:c>
      <x:c r="AK5746" s="87" t="str">
        <x:v>clean-v0.17</x:v>
      </x:c>
      <x:c r="AL5746" s="87" t="str">
        <x:v>statgrad_clean_continuation_v0_17(1).xlsx</x:v>
      </x:c>
      <x:c r="AM5746" s="87" t="str">
        <x:v>PHY_EGKR_952</x:v>
      </x:c>
      <x:c r="AN5746" s="87" t="n">
        <x:v>7</x:v>
      </x:c>
    </x:row>
    <x:row r="5747">
      <x:c r="A5747" s="87" t="n">
        <x:v>5746</x:v>
      </x:c>
      <x:c r="B5747" s="87" t="str">
        <x:v>EGKR-W25-PHY-952-07</x:v>
      </x:c>
      <x:c r="C5747" s="87" t="str">
        <x:v>ЕГКР</x:v>
      </x:c>
      <x:c r="D5747" s="87"/>
      <x:c r="E5747" s="87" t="str">
        <x:v>Зима 2025</x:v>
      </x:c>
      <x:c r="F5747" s="87" t="str">
        <x:v>18.12.2025</x:v>
      </x:c>
      <x:c r="G5747" s="87" t="str">
        <x:v>Физика</x:v>
      </x:c>
      <x:c r="H5747" s="87" t="n">
        <x:v>11</x:v>
      </x:c>
      <x:c r="I5747" s="87"/>
      <x:c r="J5747" s="87" t="str">
        <x:v>952</x:v>
      </x:c>
      <x:c r="K5747" s="87" t="n">
        <x:v>7</x:v>
      </x:c>
      <x:c r="L5747" s="87" t="str">
        <x:v>Молекулярная физика</x:v>
      </x:c>
      <x:c r="M5747" s="30" t="str">
        <x:v>Решить задачу на параметры идеального газа и молекулярно-кинетическую теорию.</x:v>
      </x:c>
      <x:c r="N5747" s="30" t="str">
        <x:v>3</x:v>
      </x:c>
      <x:c r="O5747" s="30" t="str">
        <x:v>Использованы pV=νRT и связь давления с концентрацией и температурой.</x:v>
      </x:c>
      <x:c r="P5747" s="30" t="str">
        <x:v>Вычисление и полная визуальная страница проверены независимо.</x:v>
      </x:c>
      <x:c r="Q5747" s="30"/>
      <x:c r="R5747" s="30" t="str">
        <x:v>3</x:v>
      </x:c>
      <x:c r="S5747" s="30"/>
      <x:c r="T5747" s="30"/>
      <x:c r="U5747" s="30" t="str">
        <x:v>Ответник совпадает с независимой проверкой.</x:v>
      </x:c>
      <x:c r="V5747" s="87" t="str">
        <x:v>VERIFIED</x:v>
      </x:c>
      <x:c r="W5747" s="87"/>
      <x:c r="X5747" s="87" t="n">
        <x:v>3</x:v>
      </x:c>
      <x:c r="Y5747" s="87"/>
      <x:c r="Z5747" s="87"/>
      <x:c r="AA5747" s="87"/>
      <x:c r="AB5747" s="87"/>
      <x:c r="AC5747" s="87" t="str">
        <x:v>VIS-EGKR-PHY-W25-TASK-952-P003</x:v>
      </x:c>
      <x:c r="AD5747" s="87" t="str">
        <x:v>VIS-EGKR-PHY-W25-ANSWERDOC-P002</x:v>
      </x:c>
      <x:c r="AE5747" s="87" t="str">
        <x:v>TASK; SECONDARY_ANSWER_SOURCE</x:v>
      </x:c>
      <x:c r="AF5747" s="87" t="str">
        <x:v>VIS-EGKR-PHY-W25-TASK-952-P003: 3; VIS-EGKR-PHY-W25-ANSWERDOC-P002: 2</x:v>
      </x:c>
      <x:c r="AG5747" s="87" t="str">
        <x:v>RESOLVED</x:v>
      </x:c>
      <x:c r="AH5747" s="87" t="str">
        <x:v>CROP_VERIFIED</x:v>
      </x:c>
      <x:c r="AI5747" s="30"/>
      <x:c r="AJ5747" s="87" t="str">
        <x:v>clean</x:v>
      </x:c>
      <x:c r="AK5747" s="87" t="str">
        <x:v>clean-v0.17</x:v>
      </x:c>
      <x:c r="AL5747" s="87" t="str">
        <x:v>statgrad_clean_continuation_v0_17(1).xlsx</x:v>
      </x:c>
      <x:c r="AM5747" s="87" t="str">
        <x:v>PHY_EGKR_952</x:v>
      </x:c>
      <x:c r="AN5747" s="87" t="n">
        <x:v>8</x:v>
      </x:c>
    </x:row>
    <x:row r="5748">
      <x:c r="A5748" s="87" t="n">
        <x:v>5747</x:v>
      </x:c>
      <x:c r="B5748" s="87" t="str">
        <x:v>EGKR-W25-PHY-952-08</x:v>
      </x:c>
      <x:c r="C5748" s="87" t="str">
        <x:v>ЕГКР</x:v>
      </x:c>
      <x:c r="D5748" s="87"/>
      <x:c r="E5748" s="87" t="str">
        <x:v>Зима 2025</x:v>
      </x:c>
      <x:c r="F5748" s="87" t="str">
        <x:v>18.12.2025</x:v>
      </x:c>
      <x:c r="G5748" s="87" t="str">
        <x:v>Физика</x:v>
      </x:c>
      <x:c r="H5748" s="87" t="n">
        <x:v>11</x:v>
      </x:c>
      <x:c r="I5748" s="87"/>
      <x:c r="J5748" s="87" t="str">
        <x:v>952</x:v>
      </x:c>
      <x:c r="K5748" s="87" t="n">
        <x:v>8</x:v>
      </x:c>
      <x:c r="L5748" s="87" t="str">
        <x:v>Работа газа</x:v>
      </x:c>
      <x:c r="M5748" s="30" t="str">
        <x:v>Сравнить работу газа в процессах на диаграмме.</x:v>
      </x:c>
      <x:c r="N5748" s="30" t="str">
        <x:v>1</x:v>
      </x:c>
      <x:c r="O5748" s="30" t="str">
        <x:v>Работа газа равна площади под графиком p(V).</x:v>
      </x:c>
      <x:c r="P5748" s="30" t="str">
        <x:v>Вычисление и полная визуальная страница проверены независимо.</x:v>
      </x:c>
      <x:c r="Q5748" s="30"/>
      <x:c r="R5748" s="30" t="str">
        <x:v>1</x:v>
      </x:c>
      <x:c r="S5748" s="30"/>
      <x:c r="T5748" s="30"/>
      <x:c r="U5748" s="30" t="str">
        <x:v>Ответник совпадает с независимой проверкой.</x:v>
      </x:c>
      <x:c r="V5748" s="87" t="str">
        <x:v>VERIFIED</x:v>
      </x:c>
      <x:c r="W5748" s="87"/>
      <x:c r="X5748" s="87" t="n">
        <x:v>4</x:v>
      </x:c>
      <x:c r="Y5748" s="87"/>
      <x:c r="Z5748" s="87"/>
      <x:c r="AA5748" s="87"/>
      <x:c r="AB5748" s="87"/>
      <x:c r="AC5748" s="87" t="str">
        <x:v>VIS-EGKR-PHY-W25-TASK-952-P004</x:v>
      </x:c>
      <x:c r="AD5748" s="87" t="str">
        <x:v>VIS-EGKR-PHY-W25-ANSWERDOC-P002</x:v>
      </x:c>
      <x:c r="AE5748" s="87" t="str">
        <x:v>TASK; SECONDARY_ANSWER_SOURCE</x:v>
      </x:c>
      <x:c r="AF5748" s="87" t="str">
        <x:v>VIS-EGKR-PHY-W25-TASK-952-P004: 4; VIS-EGKR-PHY-W25-ANSWERDOC-P002: 2</x:v>
      </x:c>
      <x:c r="AG5748" s="87" t="str">
        <x:v>RESOLVED</x:v>
      </x:c>
      <x:c r="AH5748" s="87" t="str">
        <x:v>CROP_VERIFIED; TASK_CROP_QA_APPROVED:USE_CONTEXT</x:v>
      </x:c>
      <x:c r="AI5748" s="30"/>
      <x:c r="AJ5748" s="87" t="str">
        <x:v>clean</x:v>
      </x:c>
      <x:c r="AK5748" s="87" t="str">
        <x:v>clean-v0.17</x:v>
      </x:c>
      <x:c r="AL5748" s="87" t="str">
        <x:v>statgrad_clean_continuation_v0_17(1).xlsx</x:v>
      </x:c>
      <x:c r="AM5748" s="87" t="str">
        <x:v>PHY_EGKR_952</x:v>
      </x:c>
      <x:c r="AN5748" s="87" t="n">
        <x:v>9</x:v>
      </x:c>
    </x:row>
    <x:row r="5749">
      <x:c r="A5749" s="87" t="n">
        <x:v>5748</x:v>
      </x:c>
      <x:c r="B5749" s="87" t="str">
        <x:v>EGKR-W25-PHY-952-09</x:v>
      </x:c>
      <x:c r="C5749" s="87" t="str">
        <x:v>ЕГКР</x:v>
      </x:c>
      <x:c r="D5749" s="87"/>
      <x:c r="E5749" s="87" t="str">
        <x:v>Зима 2025</x:v>
      </x:c>
      <x:c r="F5749" s="87" t="str">
        <x:v>18.12.2025</x:v>
      </x:c>
      <x:c r="G5749" s="87" t="str">
        <x:v>Физика</x:v>
      </x:c>
      <x:c r="H5749" s="87" t="n">
        <x:v>11</x:v>
      </x:c>
      <x:c r="I5749" s="87"/>
      <x:c r="J5749" s="87" t="str">
        <x:v>952</x:v>
      </x:c>
      <x:c r="K5749" s="87" t="n">
        <x:v>9</x:v>
      </x:c>
      <x:c r="L5749" s="87" t="str">
        <x:v>Изопроцесс</x:v>
      </x:c>
      <x:c r="M5749" s="30" t="str">
        <x:v>Выбрать верные утверждения об изменении параметров газа в изопроцессе.</x:v>
      </x:c>
      <x:c r="N5749" s="30" t="str">
        <x:v>34</x:v>
      </x:c>
      <x:c r="O5749" s="30" t="str">
        <x:v>Проверены связи параметров в изохорном, изобарном или изотермическом процессе.</x:v>
      </x:c>
      <x:c r="P5749" s="30" t="str">
        <x:v>Вычисление и полная визуальная страница проверены независимо.</x:v>
      </x:c>
      <x:c r="Q5749" s="30"/>
      <x:c r="R5749" s="30" t="str">
        <x:v>235</x:v>
      </x:c>
      <x:c r="S5749" s="30"/>
      <x:c r="T5749" s="30"/>
      <x:c r="U5749" s="30" t="str">
        <x:v>Ответник: 235; независимое решение: 34.</x:v>
      </x:c>
      <x:c r="V5749" s="87" t="str">
        <x:v>KEY_MISMATCH</x:v>
      </x:c>
      <x:c r="W5749" s="87"/>
      <x:c r="X5749" s="87" t="n">
        <x:v>4</x:v>
      </x:c>
      <x:c r="Y5749" s="87"/>
      <x:c r="Z5749" s="87"/>
      <x:c r="AA5749" s="87"/>
      <x:c r="AB5749" s="87"/>
      <x:c r="AC5749" s="87" t="str">
        <x:v>VIS-EGKR-PHY-W25-TASK-952-P004</x:v>
      </x:c>
      <x:c r="AD5749" s="87" t="str">
        <x:v>VIS-EGKR-PHY-W25-ANSWERDOC-P002</x:v>
      </x:c>
      <x:c r="AE5749" s="87" t="str">
        <x:v>TASK; SECONDARY_ANSWER_SOURCE</x:v>
      </x:c>
      <x:c r="AF5749" s="87" t="str">
        <x:v>VIS-EGKR-PHY-W25-TASK-952-P004: 4; VIS-EGKR-PHY-W25-ANSWERDOC-P002: 2</x:v>
      </x:c>
      <x:c r="AG5749" s="87" t="str">
        <x:v>RESOLVED</x:v>
      </x:c>
      <x:c r="AH5749" s="87" t="str">
        <x:v>CROP_VERIFIED</x:v>
      </x:c>
      <x:c r="AI5749" s="30"/>
      <x:c r="AJ5749" s="87" t="str">
        <x:v>clean</x:v>
      </x:c>
      <x:c r="AK5749" s="87" t="str">
        <x:v>clean-v0.17</x:v>
      </x:c>
      <x:c r="AL5749" s="87" t="str">
        <x:v>statgrad_clean_continuation_v0_17(1).xlsx</x:v>
      </x:c>
      <x:c r="AM5749" s="87" t="str">
        <x:v>PHY_EGKR_952</x:v>
      </x:c>
      <x:c r="AN5749" s="87" t="n">
        <x:v>10</x:v>
      </x:c>
    </x:row>
    <x:row r="5750">
      <x:c r="A5750" s="87" t="n">
        <x:v>5749</x:v>
      </x:c>
      <x:c r="B5750" s="87" t="str">
        <x:v>EGKR-W25-PHY-952-10</x:v>
      </x:c>
      <x:c r="C5750" s="87" t="str">
        <x:v>ЕГКР</x:v>
      </x:c>
      <x:c r="D5750" s="87"/>
      <x:c r="E5750" s="87" t="str">
        <x:v>Зима 2025</x:v>
      </x:c>
      <x:c r="F5750" s="87" t="str">
        <x:v>18.12.2025</x:v>
      </x:c>
      <x:c r="G5750" s="87" t="str">
        <x:v>Физика</x:v>
      </x:c>
      <x:c r="H5750" s="87" t="n">
        <x:v>11</x:v>
      </x:c>
      <x:c r="I5750" s="87"/>
      <x:c r="J5750" s="87" t="str">
        <x:v>952</x:v>
      </x:c>
      <x:c r="K5750" s="87" t="n">
        <x:v>10</x:v>
      </x:c>
      <x:c r="L5750" s="87" t="str">
        <x:v>Тепловая машина</x:v>
      </x:c>
      <x:c r="M5750" s="30" t="str">
        <x:v>Определить изменение параметров тепловой машины/цикла Карно.</x:v>
      </x:c>
      <x:c r="N5750" s="30" t="str">
        <x:v>22</x:v>
      </x:c>
      <x:c r="O5750" s="30" t="str">
        <x:v>Использованы η=1-T₂/T₁ и баланс Q₁=Q₂+A.</x:v>
      </x:c>
      <x:c r="P5750" s="30" t="str">
        <x:v>Вычисление и полная визуальная страница проверены независимо.</x:v>
      </x:c>
      <x:c r="Q5750" s="30"/>
      <x:c r="R5750" s="30" t="str">
        <x:v>22</x:v>
      </x:c>
      <x:c r="S5750" s="30"/>
      <x:c r="T5750" s="30"/>
      <x:c r="U5750" s="30" t="str">
        <x:v>Ответник совпадает с независимой проверкой.</x:v>
      </x:c>
      <x:c r="V5750" s="87" t="str">
        <x:v>VERIFIED</x:v>
      </x:c>
      <x:c r="W5750" s="87"/>
      <x:c r="X5750" s="87" t="n">
        <x:v>4</x:v>
      </x:c>
      <x:c r="Y5750" s="87"/>
      <x:c r="Z5750" s="87"/>
      <x:c r="AA5750" s="87"/>
      <x:c r="AB5750" s="87"/>
      <x:c r="AC5750" s="87" t="str">
        <x:v>VIS-EGKR-PHY-W25-TASK-952-P004</x:v>
      </x:c>
      <x:c r="AD5750" s="87" t="str">
        <x:v>VIS-EGKR-PHY-W25-ANSWERDOC-P002</x:v>
      </x:c>
      <x:c r="AE5750" s="87" t="str">
        <x:v>TASK; SECONDARY_ANSWER_SOURCE</x:v>
      </x:c>
      <x:c r="AF5750" s="87" t="str">
        <x:v>VIS-EGKR-PHY-W25-TASK-952-P004: 4; VIS-EGKR-PHY-W25-ANSWERDOC-P002: 2</x:v>
      </x:c>
      <x:c r="AG5750" s="87" t="str">
        <x:v>RESOLVED</x:v>
      </x:c>
      <x:c r="AH5750" s="87" t="str">
        <x:v>CROP_VERIFIED</x:v>
      </x:c>
      <x:c r="AI5750" s="30"/>
      <x:c r="AJ5750" s="87" t="str">
        <x:v>clean</x:v>
      </x:c>
      <x:c r="AK5750" s="87" t="str">
        <x:v>clean-v0.17</x:v>
      </x:c>
      <x:c r="AL5750" s="87" t="str">
        <x:v>statgrad_clean_continuation_v0_17(1).xlsx</x:v>
      </x:c>
      <x:c r="AM5750" s="87" t="str">
        <x:v>PHY_EGKR_952</x:v>
      </x:c>
      <x:c r="AN5750" s="87" t="n">
        <x:v>11</x:v>
      </x:c>
    </x:row>
    <x:row r="5751">
      <x:c r="A5751" s="87" t="n">
        <x:v>5750</x:v>
      </x:c>
      <x:c r="B5751" s="87" t="str">
        <x:v>EGKR-W25-PHY-952-11</x:v>
      </x:c>
      <x:c r="C5751" s="87" t="str">
        <x:v>ЕГКР</x:v>
      </x:c>
      <x:c r="D5751" s="87"/>
      <x:c r="E5751" s="87" t="str">
        <x:v>Зима 2025</x:v>
      </x:c>
      <x:c r="F5751" s="87" t="str">
        <x:v>18.12.2025</x:v>
      </x:c>
      <x:c r="G5751" s="87" t="str">
        <x:v>Физика</x:v>
      </x:c>
      <x:c r="H5751" s="87" t="n">
        <x:v>11</x:v>
      </x:c>
      <x:c r="I5751" s="87"/>
      <x:c r="J5751" s="87" t="str">
        <x:v>952</x:v>
      </x:c>
      <x:c r="K5751" s="87" t="n">
        <x:v>11</x:v>
      </x:c>
      <x:c r="L5751" s="87" t="str">
        <x:v>Закон Ома</x:v>
      </x:c>
      <x:c r="M5751" s="30" t="str">
        <x:v>По графику зависимости силы тока от сопротивления определить напряжение.</x:v>
      </x:c>
      <x:c r="N5751" s="30" t="str">
        <x:v>6000</x:v>
      </x:c>
      <x:c r="O5751" s="30" t="str">
        <x:v>Напряжение найдено как U=IR.</x:v>
      </x:c>
      <x:c r="P5751" s="30" t="str">
        <x:v>Вычисление и полная визуальная страница проверены независимо.</x:v>
      </x:c>
      <x:c r="Q5751" s="30"/>
      <x:c r="R5751" s="30" t="str">
        <x:v>4</x:v>
      </x:c>
      <x:c r="S5751" s="30"/>
      <x:c r="T5751" s="30"/>
      <x:c r="U5751" s="30" t="str">
        <x:v>Ответник: 4; независимое решение: 6000.</x:v>
      </x:c>
      <x:c r="V5751" s="87" t="str">
        <x:v>KEY_MISMATCH</x:v>
      </x:c>
      <x:c r="W5751" s="87"/>
      <x:c r="X5751" s="87" t="n">
        <x:v>4</x:v>
      </x:c>
      <x:c r="Y5751" s="87"/>
      <x:c r="Z5751" s="87"/>
      <x:c r="AA5751" s="87"/>
      <x:c r="AB5751" s="87"/>
      <x:c r="AC5751" s="87" t="str">
        <x:v>VIS-EGKR-PHY-W25-TASK-952-P004</x:v>
      </x:c>
      <x:c r="AD5751" s="87" t="str">
        <x:v>VIS-EGKR-PHY-W25-ANSWERDOC-P002</x:v>
      </x:c>
      <x:c r="AE5751" s="87" t="str">
        <x:v>TASK; SECONDARY_ANSWER_SOURCE</x:v>
      </x:c>
      <x:c r="AF5751" s="87" t="str">
        <x:v>VIS-EGKR-PHY-W25-TASK-952-P004: 4; VIS-EGKR-PHY-W25-ANSWERDOC-P002: 2</x:v>
      </x:c>
      <x:c r="AG5751" s="87" t="str">
        <x:v>RESOLVED</x:v>
      </x:c>
      <x:c r="AH5751" s="87" t="str">
        <x:v>CROP_VERIFIED</x:v>
      </x:c>
      <x:c r="AI5751" s="30"/>
      <x:c r="AJ5751" s="87" t="str">
        <x:v>clean</x:v>
      </x:c>
      <x:c r="AK5751" s="87" t="str">
        <x:v>clean-v0.17</x:v>
      </x:c>
      <x:c r="AL5751" s="87" t="str">
        <x:v>statgrad_clean_continuation_v0_17(1).xlsx</x:v>
      </x:c>
      <x:c r="AM5751" s="87" t="str">
        <x:v>PHY_EGKR_952</x:v>
      </x:c>
      <x:c r="AN5751" s="87" t="n">
        <x:v>12</x:v>
      </x:c>
    </x:row>
    <x:row r="5752">
      <x:c r="A5752" s="87" t="n">
        <x:v>5751</x:v>
      </x:c>
      <x:c r="B5752" s="87" t="str">
        <x:v>EGKR-W25-PHY-952-12</x:v>
      </x:c>
      <x:c r="C5752" s="87" t="str">
        <x:v>ЕГКР</x:v>
      </x:c>
      <x:c r="D5752" s="87"/>
      <x:c r="E5752" s="87" t="str">
        <x:v>Зима 2025</x:v>
      </x:c>
      <x:c r="F5752" s="87" t="str">
        <x:v>18.12.2025</x:v>
      </x:c>
      <x:c r="G5752" s="87" t="str">
        <x:v>Физика</x:v>
      </x:c>
      <x:c r="H5752" s="87" t="n">
        <x:v>11</x:v>
      </x:c>
      <x:c r="I5752" s="87"/>
      <x:c r="J5752" s="87" t="str">
        <x:v>952</x:v>
      </x:c>
      <x:c r="K5752" s="87" t="n">
        <x:v>12</x:v>
      </x:c>
      <x:c r="L5752" s="87" t="str">
        <x:v>Самоиндукция</x:v>
      </x:c>
      <x:c r="M5752" s="30" t="str">
        <x:v>Вычислить ЭДС самоиндукции по изменению тока за время.</x:v>
      </x:c>
      <x:c r="N5752" s="30" t="str">
        <x:v>1,2</x:v>
      </x:c>
      <x:c r="O5752" s="30" t="str">
        <x:v>Использовано |ε|=L|ΔI|/Δt.</x:v>
      </x:c>
      <x:c r="P5752" s="30" t="str">
        <x:v>Вычисление и полная визуальная страница проверены независимо.</x:v>
      </x:c>
      <x:c r="Q5752" s="30"/>
      <x:c r="R5752" s="30" t="str">
        <x:v>1,6</x:v>
      </x:c>
      <x:c r="S5752" s="30"/>
      <x:c r="T5752" s="30"/>
      <x:c r="U5752" s="30" t="str">
        <x:v>Ответник: 1,6; независимое решение: 1,2.</x:v>
      </x:c>
      <x:c r="V5752" s="87" t="str">
        <x:v>KEY_MISMATCH</x:v>
      </x:c>
      <x:c r="W5752" s="87"/>
      <x:c r="X5752" s="87" t="n">
        <x:v>4</x:v>
      </x:c>
      <x:c r="Y5752" s="87"/>
      <x:c r="Z5752" s="87"/>
      <x:c r="AA5752" s="87"/>
      <x:c r="AB5752" s="87"/>
      <x:c r="AC5752" s="87" t="str">
        <x:v>VIS-EGKR-PHY-W25-TASK-952-P004</x:v>
      </x:c>
      <x:c r="AD5752" s="87" t="str">
        <x:v>VIS-EGKR-PHY-W25-ANSWERDOC-P002</x:v>
      </x:c>
      <x:c r="AE5752" s="87" t="str">
        <x:v>TASK; SECONDARY_ANSWER_SOURCE</x:v>
      </x:c>
      <x:c r="AF5752" s="87" t="str">
        <x:v>VIS-EGKR-PHY-W25-TASK-952-P004: 4; VIS-EGKR-PHY-W25-ANSWERDOC-P002: 2</x:v>
      </x:c>
      <x:c r="AG5752" s="87" t="str">
        <x:v>RESOLVED</x:v>
      </x:c>
      <x:c r="AH5752" s="87" t="str">
        <x:v>CROP_VERIFIED</x:v>
      </x:c>
      <x:c r="AI5752" s="30"/>
      <x:c r="AJ5752" s="87" t="str">
        <x:v>clean</x:v>
      </x:c>
      <x:c r="AK5752" s="87" t="str">
        <x:v>clean-v0.17</x:v>
      </x:c>
      <x:c r="AL5752" s="87" t="str">
        <x:v>statgrad_clean_continuation_v0_17(1).xlsx</x:v>
      </x:c>
      <x:c r="AM5752" s="87" t="str">
        <x:v>PHY_EGKR_952</x:v>
      </x:c>
      <x:c r="AN5752" s="87" t="n">
        <x:v>13</x:v>
      </x:c>
    </x:row>
    <x:row r="5753">
      <x:c r="A5753" s="87" t="n">
        <x:v>5752</x:v>
      </x:c>
      <x:c r="B5753" s="87" t="str">
        <x:v>EGKR-W25-PHY-952-13</x:v>
      </x:c>
      <x:c r="C5753" s="87" t="str">
        <x:v>ЕГКР</x:v>
      </x:c>
      <x:c r="D5753" s="87"/>
      <x:c r="E5753" s="87" t="str">
        <x:v>Зима 2025</x:v>
      </x:c>
      <x:c r="F5753" s="87" t="str">
        <x:v>18.12.2025</x:v>
      </x:c>
      <x:c r="G5753" s="87" t="str">
        <x:v>Физика</x:v>
      </x:c>
      <x:c r="H5753" s="87" t="n">
        <x:v>11</x:v>
      </x:c>
      <x:c r="I5753" s="87"/>
      <x:c r="J5753" s="87" t="str">
        <x:v>952</x:v>
      </x:c>
      <x:c r="K5753" s="87" t="n">
        <x:v>13</x:v>
      </x:c>
      <x:c r="L5753" s="87" t="str">
        <x:v>Колебательный контур</x:v>
      </x:c>
      <x:c r="M5753" s="30" t="str">
        <x:v>Определить параметр колебательного контура по формуле Томсона.</x:v>
      </x:c>
      <x:c r="N5753" s="30" t="str">
        <x:v>0,005</x:v>
      </x:c>
      <x:c r="O5753" s="30" t="str">
        <x:v>Использовано T=2π√(LC).</x:v>
      </x:c>
      <x:c r="P5753" s="30" t="str">
        <x:v>Вычисление и полная визуальная страница проверены независимо.</x:v>
      </x:c>
      <x:c r="Q5753" s="30"/>
      <x:c r="R5753" s="30" t="str">
        <x:v>0,005</x:v>
      </x:c>
      <x:c r="S5753" s="30"/>
      <x:c r="T5753" s="30"/>
      <x:c r="U5753" s="30" t="str">
        <x:v>Ответник совпадает с независимой проверкой.</x:v>
      </x:c>
      <x:c r="V5753" s="87" t="str">
        <x:v>VERIFIED</x:v>
      </x:c>
      <x:c r="W5753" s="87"/>
      <x:c r="X5753" s="87" t="n">
        <x:v>5</x:v>
      </x:c>
      <x:c r="Y5753" s="87"/>
      <x:c r="Z5753" s="87"/>
      <x:c r="AA5753" s="87"/>
      <x:c r="AB5753" s="87"/>
      <x:c r="AC5753" s="87" t="str">
        <x:v>VIS-EGKR-PHY-W25-TASK-952-P005</x:v>
      </x:c>
      <x:c r="AD5753" s="87" t="str">
        <x:v>VIS-EGKR-PHY-W25-ANSWERDOC-P002</x:v>
      </x:c>
      <x:c r="AE5753" s="87" t="str">
        <x:v>TASK; SECONDARY_ANSWER_SOURCE</x:v>
      </x:c>
      <x:c r="AF5753" s="87" t="str">
        <x:v>VIS-EGKR-PHY-W25-TASK-952-P005: 5; VIS-EGKR-PHY-W25-ANSWERDOC-P002: 2</x:v>
      </x:c>
      <x:c r="AG5753" s="87" t="str">
        <x:v>RESOLVED</x:v>
      </x:c>
      <x:c r="AH5753" s="87" t="str">
        <x:v>CROP_VERIFIED</x:v>
      </x:c>
      <x:c r="AI5753" s="30"/>
      <x:c r="AJ5753" s="87" t="str">
        <x:v>clean</x:v>
      </x:c>
      <x:c r="AK5753" s="87" t="str">
        <x:v>clean-v0.17</x:v>
      </x:c>
      <x:c r="AL5753" s="87" t="str">
        <x:v>statgrad_clean_continuation_v0_17(1).xlsx</x:v>
      </x:c>
      <x:c r="AM5753" s="87" t="str">
        <x:v>PHY_EGKR_952</x:v>
      </x:c>
      <x:c r="AN5753" s="87" t="n">
        <x:v>14</x:v>
      </x:c>
    </x:row>
    <x:row r="5754">
      <x:c r="A5754" s="87" t="n">
        <x:v>5753</x:v>
      </x:c>
      <x:c r="B5754" s="87" t="str">
        <x:v>EGKR-W25-PHY-952-14</x:v>
      </x:c>
      <x:c r="C5754" s="87" t="str">
        <x:v>ЕГКР</x:v>
      </x:c>
      <x:c r="D5754" s="87"/>
      <x:c r="E5754" s="87" t="str">
        <x:v>Зима 2025</x:v>
      </x:c>
      <x:c r="F5754" s="87" t="str">
        <x:v>18.12.2025</x:v>
      </x:c>
      <x:c r="G5754" s="87" t="str">
        <x:v>Физика</x:v>
      </x:c>
      <x:c r="H5754" s="87" t="n">
        <x:v>11</x:v>
      </x:c>
      <x:c r="I5754" s="87"/>
      <x:c r="J5754" s="87" t="str">
        <x:v>952</x:v>
      </x:c>
      <x:c r="K5754" s="87" t="n">
        <x:v>14</x:v>
      </x:c>
      <x:c r="L5754" s="87" t="str">
        <x:v>Электростатика</x:v>
      </x:c>
      <x:c r="M5754" s="30" t="str">
        <x:v>Выбрать верные утверждения об электрических зарядах и поле.</x:v>
      </x:c>
      <x:c r="N5754" s="30" t="str">
        <x:v>245</x:v>
      </x:c>
      <x:c r="O5754" s="30" t="str">
        <x:v>Утверждения проверены по закону Кулона и принципу суперпозиции.</x:v>
      </x:c>
      <x:c r="P5754" s="30" t="str">
        <x:v>Вычисление и полная визуальная страница проверены независимо.</x:v>
      </x:c>
      <x:c r="Q5754" s="30"/>
      <x:c r="R5754" s="30" t="str">
        <x:v>125</x:v>
      </x:c>
      <x:c r="S5754" s="30"/>
      <x:c r="T5754" s="30"/>
      <x:c r="U5754" s="30" t="str">
        <x:v>Ответник: 125; независимое решение: 245.</x:v>
      </x:c>
      <x:c r="V5754" s="87" t="str">
        <x:v>KEY_MISMATCH</x:v>
      </x:c>
      <x:c r="W5754" s="87"/>
      <x:c r="X5754" s="87" t="n">
        <x:v>5</x:v>
      </x:c>
      <x:c r="Y5754" s="87"/>
      <x:c r="Z5754" s="87"/>
      <x:c r="AA5754" s="87"/>
      <x:c r="AB5754" s="87"/>
      <x:c r="AC5754" s="87" t="str">
        <x:v>VIS-EGKR-PHY-W25-TASK-952-P005</x:v>
      </x:c>
      <x:c r="AD5754" s="87" t="str">
        <x:v>VIS-EGKR-PHY-W25-ANSWERDOC-P002</x:v>
      </x:c>
      <x:c r="AE5754" s="87" t="str">
        <x:v>TASK; SECONDARY_ANSWER_SOURCE</x:v>
      </x:c>
      <x:c r="AF5754" s="87" t="str">
        <x:v>VIS-EGKR-PHY-W25-TASK-952-P005: 5; VIS-EGKR-PHY-W25-ANSWERDOC-P002: 2</x:v>
      </x:c>
      <x:c r="AG5754" s="87" t="str">
        <x:v>RESOLVED</x:v>
      </x:c>
      <x:c r="AH5754" s="87" t="str">
        <x:v>CROP_VERIFIED</x:v>
      </x:c>
      <x:c r="AI5754" s="30"/>
      <x:c r="AJ5754" s="87" t="str">
        <x:v>clean</x:v>
      </x:c>
      <x:c r="AK5754" s="87" t="str">
        <x:v>clean-v0.17</x:v>
      </x:c>
      <x:c r="AL5754" s="87" t="str">
        <x:v>statgrad_clean_continuation_v0_17(1).xlsx</x:v>
      </x:c>
      <x:c r="AM5754" s="87" t="str">
        <x:v>PHY_EGKR_952</x:v>
      </x:c>
      <x:c r="AN5754" s="87" t="n">
        <x:v>15</x:v>
      </x:c>
    </x:row>
    <x:row r="5755">
      <x:c r="A5755" s="87" t="n">
        <x:v>5754</x:v>
      </x:c>
      <x:c r="B5755" s="87" t="str">
        <x:v>EGKR-W25-PHY-952-15</x:v>
      </x:c>
      <x:c r="C5755" s="87" t="str">
        <x:v>ЕГКР</x:v>
      </x:c>
      <x:c r="D5755" s="87"/>
      <x:c r="E5755" s="87" t="str">
        <x:v>Зима 2025</x:v>
      </x:c>
      <x:c r="F5755" s="87" t="str">
        <x:v>18.12.2025</x:v>
      </x:c>
      <x:c r="G5755" s="87" t="str">
        <x:v>Физика</x:v>
      </x:c>
      <x:c r="H5755" s="87" t="n">
        <x:v>11</x:v>
      </x:c>
      <x:c r="I5755" s="87"/>
      <x:c r="J5755" s="87" t="str">
        <x:v>952</x:v>
      </x:c>
      <x:c r="K5755" s="87" t="n">
        <x:v>15</x:v>
      </x:c>
      <x:c r="L5755" s="87" t="str">
        <x:v>Движение заряда в магнитном поле</x:v>
      </x:c>
      <x:c r="M5755" s="30" t="str">
        <x:v>Сравнить радиус и период движения иона в магнитном поле.</x:v>
      </x:c>
      <x:c r="N5755" s="30" t="str">
        <x:v>11</x:v>
      </x:c>
      <x:c r="O5755" s="30" t="str">
        <x:v>Использованы r=mv/(|q|B) и T=2πm/(|q|B).</x:v>
      </x:c>
      <x:c r="P5755" s="30" t="str">
        <x:v>Вычисление и полная визуальная страница проверены независимо.</x:v>
      </x:c>
      <x:c r="Q5755" s="30"/>
      <x:c r="R5755" s="30" t="str">
        <x:v>1,77</x:v>
      </x:c>
      <x:c r="S5755" s="30"/>
      <x:c r="T5755" s="30"/>
      <x:c r="U5755" s="30" t="str">
        <x:v>Ответник: 1,77; независимое решение: 11.</x:v>
      </x:c>
      <x:c r="V5755" s="87" t="str">
        <x:v>KEY_MISMATCH</x:v>
      </x:c>
      <x:c r="W5755" s="87"/>
      <x:c r="X5755" s="87" t="n">
        <x:v>5</x:v>
      </x:c>
      <x:c r="Y5755" s="87"/>
      <x:c r="Z5755" s="87"/>
      <x:c r="AA5755" s="87"/>
      <x:c r="AB5755" s="87"/>
      <x:c r="AC5755" s="87" t="str">
        <x:v>VIS-EGKR-PHY-W25-TASK-952-P005</x:v>
      </x:c>
      <x:c r="AD5755" s="87" t="str">
        <x:v>VIS-EGKR-PHY-W25-ANSWERDOC-P002</x:v>
      </x:c>
      <x:c r="AE5755" s="87" t="str">
        <x:v>TASK; SECONDARY_ANSWER_SOURCE</x:v>
      </x:c>
      <x:c r="AF5755" s="87" t="str">
        <x:v>VIS-EGKR-PHY-W25-TASK-952-P005: 5; VIS-EGKR-PHY-W25-ANSWERDOC-P002: 2</x:v>
      </x:c>
      <x:c r="AG5755" s="87" t="str">
        <x:v>RESOLVED</x:v>
      </x:c>
      <x:c r="AH5755" s="87" t="str">
        <x:v>CROP_VERIFIED</x:v>
      </x:c>
      <x:c r="AI5755" s="30"/>
      <x:c r="AJ5755" s="87" t="str">
        <x:v>clean</x:v>
      </x:c>
      <x:c r="AK5755" s="87" t="str">
        <x:v>clean-v0.17</x:v>
      </x:c>
      <x:c r="AL5755" s="87" t="str">
        <x:v>statgrad_clean_continuation_v0_17(1).xlsx</x:v>
      </x:c>
      <x:c r="AM5755" s="87" t="str">
        <x:v>PHY_EGKR_952</x:v>
      </x:c>
      <x:c r="AN5755" s="87" t="n">
        <x:v>16</x:v>
      </x:c>
    </x:row>
    <x:row r="5756">
      <x:c r="A5756" s="87" t="n">
        <x:v>5755</x:v>
      </x:c>
      <x:c r="B5756" s="87" t="str">
        <x:v>EGKR-W25-PHY-952-16</x:v>
      </x:c>
      <x:c r="C5756" s="87" t="str">
        <x:v>ЕГКР</x:v>
      </x:c>
      <x:c r="D5756" s="87"/>
      <x:c r="E5756" s="87" t="str">
        <x:v>Зима 2025</x:v>
      </x:c>
      <x:c r="F5756" s="87" t="str">
        <x:v>18.12.2025</x:v>
      </x:c>
      <x:c r="G5756" s="87" t="str">
        <x:v>Физика</x:v>
      </x:c>
      <x:c r="H5756" s="87" t="n">
        <x:v>11</x:v>
      </x:c>
      <x:c r="I5756" s="87"/>
      <x:c r="J5756" s="87" t="str">
        <x:v>952</x:v>
      </x:c>
      <x:c r="K5756" s="87" t="n">
        <x:v>16</x:v>
      </x:c>
      <x:c r="L5756" s="87" t="str">
        <x:v>Ядерная реакция</x:v>
      </x:c>
      <x:c r="M5756" s="30" t="str">
        <x:v>Восстановить частицу или коэффициент в ядерной реакции.</x:v>
      </x:c>
      <x:c r="N5756" s="30" t="str">
        <x:v>1</x:v>
      </x:c>
      <x:c r="O5756" s="30" t="str">
        <x:v>Сохранены массовое и зарядовое числа.</x:v>
      </x:c>
      <x:c r="P5756" s="30" t="str">
        <x:v>Вычисление и полная визуальная страница проверены независимо.</x:v>
      </x:c>
      <x:c r="Q5756" s="30"/>
      <x:c r="R5756" s="30" t="str">
        <x:v>+1</x:v>
      </x:c>
      <x:c r="S5756" s="30"/>
      <x:c r="T5756" s="30"/>
      <x:c r="U5756" s="30" t="str">
        <x:v>Ответник совпадает с независимой проверкой.</x:v>
      </x:c>
      <x:c r="V5756" s="87" t="str">
        <x:v>VERIFIED</x:v>
      </x:c>
      <x:c r="W5756" s="87"/>
      <x:c r="X5756" s="87" t="n">
        <x:v>5</x:v>
      </x:c>
      <x:c r="Y5756" s="87"/>
      <x:c r="Z5756" s="87"/>
      <x:c r="AA5756" s="87"/>
      <x:c r="AB5756" s="87"/>
      <x:c r="AC5756" s="87" t="str">
        <x:v>VIS-EGKR-PHY-W25-TASK-952-P005</x:v>
      </x:c>
      <x:c r="AD5756" s="87" t="str">
        <x:v>VIS-EGKR-PHY-W25-ANSWERDOC-P002</x:v>
      </x:c>
      <x:c r="AE5756" s="87" t="str">
        <x:v>TASK; SECONDARY_ANSWER_SOURCE</x:v>
      </x:c>
      <x:c r="AF5756" s="87" t="str">
        <x:v>VIS-EGKR-PHY-W25-TASK-952-P005: 5; VIS-EGKR-PHY-W25-ANSWERDOC-P002: 2</x:v>
      </x:c>
      <x:c r="AG5756" s="87" t="str">
        <x:v>RESOLVED</x:v>
      </x:c>
      <x:c r="AH5756" s="87" t="str">
        <x:v>CROP_VERIFIED</x:v>
      </x:c>
      <x:c r="AI5756" s="30"/>
      <x:c r="AJ5756" s="87" t="str">
        <x:v>clean</x:v>
      </x:c>
      <x:c r="AK5756" s="87" t="str">
        <x:v>clean-v0.17</x:v>
      </x:c>
      <x:c r="AL5756" s="87" t="str">
        <x:v>statgrad_clean_continuation_v0_17(1).xlsx</x:v>
      </x:c>
      <x:c r="AM5756" s="87" t="str">
        <x:v>PHY_EGKR_952</x:v>
      </x:c>
      <x:c r="AN5756" s="87" t="n">
        <x:v>17</x:v>
      </x:c>
    </x:row>
    <x:row r="5757">
      <x:c r="A5757" s="87" t="n">
        <x:v>5756</x:v>
      </x:c>
      <x:c r="B5757" s="87" t="str">
        <x:v>EGKR-W25-PHY-952-17</x:v>
      </x:c>
      <x:c r="C5757" s="87" t="str">
        <x:v>ЕГКР</x:v>
      </x:c>
      <x:c r="D5757" s="87"/>
      <x:c r="E5757" s="87" t="str">
        <x:v>Зима 2025</x:v>
      </x:c>
      <x:c r="F5757" s="87" t="str">
        <x:v>18.12.2025</x:v>
      </x:c>
      <x:c r="G5757" s="87" t="str">
        <x:v>Физика</x:v>
      </x:c>
      <x:c r="H5757" s="87" t="n">
        <x:v>11</x:v>
      </x:c>
      <x:c r="I5757" s="87"/>
      <x:c r="J5757" s="87" t="str">
        <x:v>952</x:v>
      </x:c>
      <x:c r="K5757" s="87" t="n">
        <x:v>17</x:v>
      </x:c>
      <x:c r="L5757" s="87" t="str">
        <x:v>Квантовые переходы</x:v>
      </x:c>
      <x:c r="M5757" s="30" t="str">
        <x:v>Выбрать переходы атома водорода с заданными энергиями фотонов.</x:v>
      </x:c>
      <x:c r="N5757" s="30" t="str">
        <x:v>12</x:v>
      </x:c>
      <x:c r="O5757" s="30" t="str">
        <x:v>Энергия фотона равна модулю разности уровней.</x:v>
      </x:c>
      <x:c r="P5757" s="30" t="str">
        <x:v>Вычисление и полная визуальная страница проверены независимо.</x:v>
      </x:c>
      <x:c r="Q5757" s="30"/>
      <x:c r="R5757" s="30" t="str">
        <x:v>12</x:v>
      </x:c>
      <x:c r="S5757" s="30"/>
      <x:c r="T5757" s="30"/>
      <x:c r="U5757" s="30" t="str">
        <x:v>Ответник совпадает с независимой проверкой.</x:v>
      </x:c>
      <x:c r="V5757" s="87" t="str">
        <x:v>VERIFIED</x:v>
      </x:c>
      <x:c r="W5757" s="87"/>
      <x:c r="X5757" s="87" t="n">
        <x:v>5</x:v>
      </x:c>
      <x:c r="Y5757" s="87"/>
      <x:c r="Z5757" s="87"/>
      <x:c r="AA5757" s="87"/>
      <x:c r="AB5757" s="87"/>
      <x:c r="AC5757" s="87" t="str">
        <x:v>VIS-EGKR-PHY-W25-TASK-952-P005</x:v>
      </x:c>
      <x:c r="AD5757" s="87" t="str">
        <x:v>VIS-EGKR-PHY-W25-ANSWERDOC-P002</x:v>
      </x:c>
      <x:c r="AE5757" s="87" t="str">
        <x:v>TASK; SECONDARY_ANSWER_SOURCE</x:v>
      </x:c>
      <x:c r="AF5757" s="87" t="str">
        <x:v>VIS-EGKR-PHY-W25-TASK-952-P005: 5; VIS-EGKR-PHY-W25-ANSWERDOC-P002: 2</x:v>
      </x:c>
      <x:c r="AG5757" s="87" t="str">
        <x:v>RESOLVED</x:v>
      </x:c>
      <x:c r="AH5757" s="87" t="str">
        <x:v>CROP_VERIFIED</x:v>
      </x:c>
      <x:c r="AI5757" s="30"/>
      <x:c r="AJ5757" s="87" t="str">
        <x:v>clean</x:v>
      </x:c>
      <x:c r="AK5757" s="87" t="str">
        <x:v>clean-v0.17</x:v>
      </x:c>
      <x:c r="AL5757" s="87" t="str">
        <x:v>statgrad_clean_continuation_v0_17(1).xlsx</x:v>
      </x:c>
      <x:c r="AM5757" s="87" t="str">
        <x:v>PHY_EGKR_952</x:v>
      </x:c>
      <x:c r="AN5757" s="87" t="n">
        <x:v>18</x:v>
      </x:c>
    </x:row>
    <x:row r="5758">
      <x:c r="A5758" s="87" t="n">
        <x:v>5757</x:v>
      </x:c>
      <x:c r="B5758" s="87" t="str">
        <x:v>EGKR-W25-PHY-952-18</x:v>
      </x:c>
      <x:c r="C5758" s="87" t="str">
        <x:v>ЕГКР</x:v>
      </x:c>
      <x:c r="D5758" s="87"/>
      <x:c r="E5758" s="87" t="str">
        <x:v>Зима 2025</x:v>
      </x:c>
      <x:c r="F5758" s="87" t="str">
        <x:v>18.12.2025</x:v>
      </x:c>
      <x:c r="G5758" s="87" t="str">
        <x:v>Физика</x:v>
      </x:c>
      <x:c r="H5758" s="87" t="n">
        <x:v>11</x:v>
      </x:c>
      <x:c r="I5758" s="87"/>
      <x:c r="J5758" s="87" t="str">
        <x:v>952</x:v>
      </x:c>
      <x:c r="K5758" s="87" t="n">
        <x:v>18</x:v>
      </x:c>
      <x:c r="L5758" s="87" t="str">
        <x:v>Физические законы</x:v>
      </x:c>
      <x:c r="M5758" s="30" t="str">
        <x:v>Выбрать верные утверждения по физическим законам и явлениям.</x:v>
      </x:c>
      <x:c r="N5758" s="30" t="str">
        <x:v>345</x:v>
      </x:c>
      <x:c r="O5758" s="30" t="str">
        <x:v>Каждое суждение проверено по соответствующему физическому закону.</x:v>
      </x:c>
      <x:c r="P5758" s="30" t="str">
        <x:v>Вычисление и полная визуальная страница проверены независимо.</x:v>
      </x:c>
      <x:c r="Q5758" s="30"/>
      <x:c r="R5758" s="30" t="str">
        <x:v>345</x:v>
      </x:c>
      <x:c r="S5758" s="30"/>
      <x:c r="T5758" s="30"/>
      <x:c r="U5758" s="30" t="str">
        <x:v>Ответник совпадает с независимой проверкой.</x:v>
      </x:c>
      <x:c r="V5758" s="87" t="str">
        <x:v>VERIFIED</x:v>
      </x:c>
      <x:c r="W5758" s="87"/>
      <x:c r="X5758" s="87" t="n">
        <x:v>5</x:v>
      </x:c>
      <x:c r="Y5758" s="87"/>
      <x:c r="Z5758" s="87"/>
      <x:c r="AA5758" s="87"/>
      <x:c r="AB5758" s="87"/>
      <x:c r="AC5758" s="87" t="str">
        <x:v>VIS-EGKR-PHY-W25-TASK-952-P005</x:v>
      </x:c>
      <x:c r="AD5758" s="87" t="str">
        <x:v>VIS-EGKR-PHY-W25-ANSWERDOC-P002</x:v>
      </x:c>
      <x:c r="AE5758" s="87" t="str">
        <x:v>TASK; SECONDARY_ANSWER_SOURCE</x:v>
      </x:c>
      <x:c r="AF5758" s="87" t="str">
        <x:v>VIS-EGKR-PHY-W25-TASK-952-P005: 5; VIS-EGKR-PHY-W25-ANSWERDOC-P002: 2</x:v>
      </x:c>
      <x:c r="AG5758" s="87" t="str">
        <x:v>RESOLVED</x:v>
      </x:c>
      <x:c r="AH5758" s="87" t="str">
        <x:v>CROP_VERIFIED</x:v>
      </x:c>
      <x:c r="AI5758" s="30"/>
      <x:c r="AJ5758" s="87" t="str">
        <x:v>clean</x:v>
      </x:c>
      <x:c r="AK5758" s="87" t="str">
        <x:v>clean-v0.17</x:v>
      </x:c>
      <x:c r="AL5758" s="87" t="str">
        <x:v>statgrad_clean_continuation_v0_17(1).xlsx</x:v>
      </x:c>
      <x:c r="AM5758" s="87" t="str">
        <x:v>PHY_EGKR_952</x:v>
      </x:c>
      <x:c r="AN5758" s="87" t="n">
        <x:v>19</x:v>
      </x:c>
    </x:row>
    <x:row r="5759">
      <x:c r="A5759" s="87" t="n">
        <x:v>5758</x:v>
      </x:c>
      <x:c r="B5759" s="87" t="str">
        <x:v>EGKR-W25-PHY-952-19</x:v>
      </x:c>
      <x:c r="C5759" s="87" t="str">
        <x:v>ЕГКР</x:v>
      </x:c>
      <x:c r="D5759" s="87"/>
      <x:c r="E5759" s="87" t="str">
        <x:v>Зима 2025</x:v>
      </x:c>
      <x:c r="F5759" s="87" t="str">
        <x:v>18.12.2025</x:v>
      </x:c>
      <x:c r="G5759" s="87" t="str">
        <x:v>Физика</x:v>
      </x:c>
      <x:c r="H5759" s="87" t="n">
        <x:v>11</x:v>
      </x:c>
      <x:c r="I5759" s="87"/>
      <x:c r="J5759" s="87" t="str">
        <x:v>952</x:v>
      </x:c>
      <x:c r="K5759" s="87" t="n">
        <x:v>19</x:v>
      </x:c>
      <x:c r="L5759" s="87" t="str">
        <x:v>Измерительный прибор</x:v>
      </x:c>
      <x:c r="M5759" s="30" t="str">
        <x:v>Снять показание амперметра с учётом цены деления и погрешности.</x:v>
      </x:c>
      <x:c r="N5759" s="30" t="str">
        <x:v>18 ± 2</x:v>
      </x:c>
      <x:c r="O5759" s="30" t="str">
        <x:v>Показание считано по шкале; погрешность принята равной цене деления.</x:v>
      </x:c>
      <x:c r="P5759" s="30" t="str">
        <x:v>Вычисление и полная визуальная страница проверены независимо.</x:v>
      </x:c>
      <x:c r="Q5759" s="30"/>
      <x:c r="R5759" s="30" t="str">
        <x:v>1,8 ± 0,3</x:v>
      </x:c>
      <x:c r="S5759" s="30"/>
      <x:c r="T5759" s="30"/>
      <x:c r="U5759" s="30" t="str">
        <x:v>Ответник: 1,8 ± 0,3; независимое решение: 18 ± 2.</x:v>
      </x:c>
      <x:c r="V5759" s="87" t="str">
        <x:v>KEY_MISMATCH</x:v>
      </x:c>
      <x:c r="W5759" s="87"/>
      <x:c r="X5759" s="87" t="n">
        <x:v>6</x:v>
      </x:c>
      <x:c r="Y5759" s="87"/>
      <x:c r="Z5759" s="87"/>
      <x:c r="AA5759" s="87"/>
      <x:c r="AB5759" s="87"/>
      <x:c r="AC5759" s="87" t="str">
        <x:v>VIS-EGKR-PHY-W25-TASK-952-P006</x:v>
      </x:c>
      <x:c r="AD5759" s="87" t="str">
        <x:v>VIS-EGKR-PHY-W25-ANSWERDOC-P002</x:v>
      </x:c>
      <x:c r="AE5759" s="87" t="str">
        <x:v>TASK; SECONDARY_ANSWER_SOURCE</x:v>
      </x:c>
      <x:c r="AF5759" s="87" t="str">
        <x:v>VIS-EGKR-PHY-W25-TASK-952-P006: 6; VIS-EGKR-PHY-W25-ANSWERDOC-P002: 2</x:v>
      </x:c>
      <x:c r="AG5759" s="87" t="str">
        <x:v>RESOLVED</x:v>
      </x:c>
      <x:c r="AH5759" s="87" t="str">
        <x:v>CROP_VERIFIED</x:v>
      </x:c>
      <x:c r="AI5759" s="30"/>
      <x:c r="AJ5759" s="87" t="str">
        <x:v>clean</x:v>
      </x:c>
      <x:c r="AK5759" s="87" t="str">
        <x:v>clean-v0.17</x:v>
      </x:c>
      <x:c r="AL5759" s="87" t="str">
        <x:v>statgrad_clean_continuation_v0_17(1).xlsx</x:v>
      </x:c>
      <x:c r="AM5759" s="87" t="str">
        <x:v>PHY_EGKR_952</x:v>
      </x:c>
      <x:c r="AN5759" s="87" t="n">
        <x:v>20</x:v>
      </x:c>
    </x:row>
    <x:row r="5760">
      <x:c r="A5760" s="87" t="n">
        <x:v>5759</x:v>
      </x:c>
      <x:c r="B5760" s="87" t="str">
        <x:v>EGKR-W25-PHY-952-20</x:v>
      </x:c>
      <x:c r="C5760" s="87" t="str">
        <x:v>ЕГКР</x:v>
      </x:c>
      <x:c r="D5760" s="87"/>
      <x:c r="E5760" s="87" t="str">
        <x:v>Зима 2025</x:v>
      </x:c>
      <x:c r="F5760" s="87" t="str">
        <x:v>18.12.2025</x:v>
      </x:c>
      <x:c r="G5760" s="87" t="str">
        <x:v>Физика</x:v>
      </x:c>
      <x:c r="H5760" s="87" t="n">
        <x:v>11</x:v>
      </x:c>
      <x:c r="I5760" s="87"/>
      <x:c r="J5760" s="87" t="str">
        <x:v>952</x:v>
      </x:c>
      <x:c r="K5760" s="87" t="n">
        <x:v>20</x:v>
      </x:c>
      <x:c r="L5760" s="87" t="str">
        <x:v>Планирование эксперимента</x:v>
      </x:c>
      <x:c r="M5760" s="30" t="str">
        <x:v>Выбрать два сосуда/установки для исследования требуемой зависимости.</x:v>
      </x:c>
      <x:c r="N5760" s="30" t="str">
        <x:v>13</x:v>
      </x:c>
      <x:c r="O5760" s="30" t="str">
        <x:v>Для чистого эксперимента оставлен один изменяемый параметр при одинаковых остальных.</x:v>
      </x:c>
      <x:c r="P5760" s="30" t="str">
        <x:v>Вычисление и полная визуальная страница проверены независимо.</x:v>
      </x:c>
      <x:c r="Q5760" s="30"/>
      <x:c r="R5760" s="30" t="str">
        <x:v>12</x:v>
      </x:c>
      <x:c r="S5760" s="30"/>
      <x:c r="T5760" s="30"/>
      <x:c r="U5760" s="30" t="str">
        <x:v>Ответник: 12; независимое решение: 13.</x:v>
      </x:c>
      <x:c r="V5760" s="87" t="str">
        <x:v>KEY_MISMATCH</x:v>
      </x:c>
      <x:c r="W5760" s="87"/>
      <x:c r="X5760" s="87" t="n">
        <x:v>6</x:v>
      </x:c>
      <x:c r="Y5760" s="87"/>
      <x:c r="Z5760" s="87"/>
      <x:c r="AA5760" s="87"/>
      <x:c r="AB5760" s="87"/>
      <x:c r="AC5760" s="87" t="str">
        <x:v>VIS-EGKR-PHY-W25-TASK-952-P006</x:v>
      </x:c>
      <x:c r="AD5760" s="87" t="str">
        <x:v>VIS-EGKR-PHY-W25-ANSWERDOC-P002</x:v>
      </x:c>
      <x:c r="AE5760" s="87" t="str">
        <x:v>TASK; SECONDARY_ANSWER_SOURCE</x:v>
      </x:c>
      <x:c r="AF5760" s="87" t="str">
        <x:v>VIS-EGKR-PHY-W25-TASK-952-P006: 6; VIS-EGKR-PHY-W25-ANSWERDOC-P002: 2</x:v>
      </x:c>
      <x:c r="AG5760" s="87" t="str">
        <x:v>RESOLVED</x:v>
      </x:c>
      <x:c r="AH5760" s="87" t="str">
        <x:v>CROP_VERIFIED</x:v>
      </x:c>
      <x:c r="AI5760" s="30"/>
      <x:c r="AJ5760" s="87" t="str">
        <x:v>clean</x:v>
      </x:c>
      <x:c r="AK5760" s="87" t="str">
        <x:v>clean-v0.17</x:v>
      </x:c>
      <x:c r="AL5760" s="87" t="str">
        <x:v>statgrad_clean_continuation_v0_17(1).xlsx</x:v>
      </x:c>
      <x:c r="AM5760" s="87" t="str">
        <x:v>PHY_EGKR_952</x:v>
      </x:c>
      <x:c r="AN5760" s="87" t="n">
        <x:v>21</x:v>
      </x:c>
    </x:row>
    <x:row r="5761">
      <x:c r="A5761" s="87" t="n">
        <x:v>5760</x:v>
      </x:c>
      <x:c r="B5761" s="87" t="str">
        <x:v>EGKR-W25-PHY-952-21</x:v>
      </x:c>
      <x:c r="C5761" s="87" t="str">
        <x:v>ЕГКР</x:v>
      </x:c>
      <x:c r="D5761" s="87"/>
      <x:c r="E5761" s="87" t="str">
        <x:v>Зима 2025</x:v>
      </x:c>
      <x:c r="F5761" s="87" t="str">
        <x:v>18.12.2025</x:v>
      </x:c>
      <x:c r="G5761" s="87" t="str">
        <x:v>Физика</x:v>
      </x:c>
      <x:c r="H5761" s="87" t="n">
        <x:v>11</x:v>
      </x:c>
      <x:c r="I5761" s="87"/>
      <x:c r="J5761" s="87" t="str">
        <x:v>952</x:v>
      </x:c>
      <x:c r="K5761" s="87" t="n">
        <x:v>21</x:v>
      </x:c>
      <x:c r="L5761" s="87" t="str">
        <x:v>Развёрнутый ответ</x:v>
      </x:c>
      <x:c r="M5761" s="30" t="str">
        <x:v>По диаграмме p(T) объяснить изменение объёма при переходах 1→2→3.</x:v>
      </x:c>
      <x:c r="N5761" s="30" t="str">
        <x:v>По V=νRT/p: при 1→2 отношение T/p растёт, объём увеличивается; при 2→3 уменьшается до исходного. V₁=V₃, V₂&gt;V₁.</x:v>
      </x:c>
      <x:c r="O5761" s="30" t="str">
        <x:v>Модель содержит необходимые законы, преобразования и численный вывод.</x:v>
      </x:c>
      <x:c r="P5761" s="30" t="str">
        <x:v>Решение получено независимо по исходному условию.</x:v>
      </x:c>
      <x:c r="Q5761" s="30"/>
      <x:c r="R5761" s="30" t="str">
        <x:v>MODEL_NOT_PROVIDED</x:v>
      </x:c>
      <x:c r="S5761" s="30"/>
      <x:c r="T5761" s="30"/>
      <x:c r="U5761" s="30" t="str">
        <x:v>Вторичный ответник не содержит развёрнутых решений.</x:v>
      </x:c>
      <x:c r="V5761" s="87" t="str">
        <x:v>VERIFIED</x:v>
      </x:c>
      <x:c r="W5761" s="87"/>
      <x:c r="X5761" s="87" t="n">
        <x:v>7</x:v>
      </x:c>
      <x:c r="Y5761" s="87"/>
      <x:c r="Z5761" s="87"/>
      <x:c r="AA5761" s="87"/>
      <x:c r="AB5761" s="87"/>
      <x:c r="AC5761" s="87" t="str">
        <x:v>VIS-EGKR-PHY-W25-TASK-952-P007</x:v>
      </x:c>
      <x:c r="AD5761" s="87"/>
      <x:c r="AE5761" s="87" t="str">
        <x:v>TASK</x:v>
      </x:c>
      <x:c r="AF5761" s="87" t="str">
        <x:v>VIS-EGKR-PHY-W25-TASK-952-P007: 7</x:v>
      </x:c>
      <x:c r="AG5761" s="87" t="str">
        <x:v>RESOLVED</x:v>
      </x:c>
      <x:c r="AH5761" s="87" t="str">
        <x:v>CROP_VERIFIED; TASK_CROP_QA_APPROVED:USE_CONTEXT</x:v>
      </x:c>
      <x:c r="AI5761" s="30"/>
      <x:c r="AJ5761" s="87" t="str">
        <x:v>clean</x:v>
      </x:c>
      <x:c r="AK5761" s="87" t="str">
        <x:v>clean-v0.17</x:v>
      </x:c>
      <x:c r="AL5761" s="87" t="str">
        <x:v>statgrad_clean_continuation_v0_17(1).xlsx</x:v>
      </x:c>
      <x:c r="AM5761" s="87" t="str">
        <x:v>PHY_EGKR_952</x:v>
      </x:c>
      <x:c r="AN5761" s="87" t="n">
        <x:v>22</x:v>
      </x:c>
    </x:row>
    <x:row r="5762">
      <x:c r="A5762" s="87" t="n">
        <x:v>5761</x:v>
      </x:c>
      <x:c r="B5762" s="87" t="str">
        <x:v>EGKR-W25-PHY-952-22</x:v>
      </x:c>
      <x:c r="C5762" s="87" t="str">
        <x:v>ЕГКР</x:v>
      </x:c>
      <x:c r="D5762" s="87"/>
      <x:c r="E5762" s="87" t="str">
        <x:v>Зима 2025</x:v>
      </x:c>
      <x:c r="F5762" s="87" t="str">
        <x:v>18.12.2025</x:v>
      </x:c>
      <x:c r="G5762" s="87" t="str">
        <x:v>Физика</x:v>
      </x:c>
      <x:c r="H5762" s="87" t="n">
        <x:v>11</x:v>
      </x:c>
      <x:c r="I5762" s="87"/>
      <x:c r="J5762" s="87" t="str">
        <x:v>952</x:v>
      </x:c>
      <x:c r="K5762" s="87" t="n">
        <x:v>22</x:v>
      </x:c>
      <x:c r="L5762" s="87" t="str">
        <x:v>Развёрнутый ответ</x:v>
      </x:c>
      <x:c r="M5762" s="30" t="str">
        <x:v>Поезд равноускоренно разгоняется 400 с; прирост скорости на первом километре 10 м/с. Найти путь.</x:v>
      </x:c>
      <x:c r="N5762" s="30" t="str">
        <x:v>a=0,05 м/с², конечная скорость 20 м/с, путь разгона 4000 м.</x:v>
      </x:c>
      <x:c r="O5762" s="30" t="str">
        <x:v>Модель содержит необходимые законы, преобразования и численный вывод.</x:v>
      </x:c>
      <x:c r="P5762" s="30" t="str">
        <x:v>Решение получено независимо по исходному условию.</x:v>
      </x:c>
      <x:c r="Q5762" s="30"/>
      <x:c r="R5762" s="30" t="str">
        <x:v>MODEL_NOT_PROVIDED</x:v>
      </x:c>
      <x:c r="S5762" s="30"/>
      <x:c r="T5762" s="30"/>
      <x:c r="U5762" s="30" t="str">
        <x:v>Вторичный ответник не содержит развёрнутых решений.</x:v>
      </x:c>
      <x:c r="V5762" s="87" t="str">
        <x:v>VERIFIED</x:v>
      </x:c>
      <x:c r="W5762" s="87"/>
      <x:c r="X5762" s="87" t="n">
        <x:v>7</x:v>
      </x:c>
      <x:c r="Y5762" s="87"/>
      <x:c r="Z5762" s="87"/>
      <x:c r="AA5762" s="87"/>
      <x:c r="AB5762" s="87"/>
      <x:c r="AC5762" s="87" t="str">
        <x:v>VIS-EGKR-PHY-W25-TASK-952-P007</x:v>
      </x:c>
      <x:c r="AD5762" s="87"/>
      <x:c r="AE5762" s="87" t="str">
        <x:v>TASK</x:v>
      </x:c>
      <x:c r="AF5762" s="87" t="str">
        <x:v>VIS-EGKR-PHY-W25-TASK-952-P007: 7</x:v>
      </x:c>
      <x:c r="AG5762" s="87" t="str">
        <x:v>RESOLVED</x:v>
      </x:c>
      <x:c r="AH5762" s="87" t="str">
        <x:v>CROP_VERIFIED</x:v>
      </x:c>
      <x:c r="AI5762" s="30"/>
      <x:c r="AJ5762" s="87" t="str">
        <x:v>clean</x:v>
      </x:c>
      <x:c r="AK5762" s="87" t="str">
        <x:v>clean-v0.17</x:v>
      </x:c>
      <x:c r="AL5762" s="87" t="str">
        <x:v>statgrad_clean_continuation_v0_17(1).xlsx</x:v>
      </x:c>
      <x:c r="AM5762" s="87" t="str">
        <x:v>PHY_EGKR_952</x:v>
      </x:c>
      <x:c r="AN5762" s="87" t="n">
        <x:v>23</x:v>
      </x:c>
    </x:row>
    <x:row r="5763">
      <x:c r="A5763" s="87" t="n">
        <x:v>5762</x:v>
      </x:c>
      <x:c r="B5763" s="87" t="str">
        <x:v>EGKR-W25-PHY-952-23</x:v>
      </x:c>
      <x:c r="C5763" s="87" t="str">
        <x:v>ЕГКР</x:v>
      </x:c>
      <x:c r="D5763" s="87"/>
      <x:c r="E5763" s="87" t="str">
        <x:v>Зима 2025</x:v>
      </x:c>
      <x:c r="F5763" s="87" t="str">
        <x:v>18.12.2025</x:v>
      </x:c>
      <x:c r="G5763" s="87" t="str">
        <x:v>Физика</x:v>
      </x:c>
      <x:c r="H5763" s="87" t="n">
        <x:v>11</x:v>
      </x:c>
      <x:c r="I5763" s="87"/>
      <x:c r="J5763" s="87" t="str">
        <x:v>952</x:v>
      </x:c>
      <x:c r="K5763" s="87" t="n">
        <x:v>23</x:v>
      </x:c>
      <x:c r="L5763" s="87" t="str">
        <x:v>Развёрнутый ответ</x:v>
      </x:c>
      <x:c r="M5763" s="30" t="str">
        <x:v>Проводник в магнитном поле: при одном направлении тока натяжение 30 Н. Найти при обратном направлении.</x:v>
      </x:c>
      <x:c r="N5763" s="30" t="str">
        <x:v>Сила Ампера меняет знак, поэтому T₁=mg+F_A, T₂=mg-F_A. По данным получается T₂=10 Н.</x:v>
      </x:c>
      <x:c r="O5763" s="30" t="str">
        <x:v>Модель содержит необходимые законы, преобразования и численный вывод.</x:v>
      </x:c>
      <x:c r="P5763" s="30" t="str">
        <x:v>Решение получено независимо по исходному условию.</x:v>
      </x:c>
      <x:c r="Q5763" s="30"/>
      <x:c r="R5763" s="30" t="str">
        <x:v>MODEL_NOT_PROVIDED</x:v>
      </x:c>
      <x:c r="S5763" s="30"/>
      <x:c r="T5763" s="30"/>
      <x:c r="U5763" s="30" t="str">
        <x:v>Вторичный ответник не содержит развёрнутых решений.</x:v>
      </x:c>
      <x:c r="V5763" s="87" t="str">
        <x:v>VERIFIED</x:v>
      </x:c>
      <x:c r="W5763" s="87"/>
      <x:c r="X5763" s="87" t="n">
        <x:v>7</x:v>
      </x:c>
      <x:c r="Y5763" s="87"/>
      <x:c r="Z5763" s="87"/>
      <x:c r="AA5763" s="87"/>
      <x:c r="AB5763" s="87"/>
      <x:c r="AC5763" s="87" t="str">
        <x:v>VIS-EGKR-PHY-W25-TASK-952-P007</x:v>
      </x:c>
      <x:c r="AD5763" s="87"/>
      <x:c r="AE5763" s="87" t="str">
        <x:v>TASK</x:v>
      </x:c>
      <x:c r="AF5763" s="87" t="str">
        <x:v>VIS-EGKR-PHY-W25-TASK-952-P007: 7</x:v>
      </x:c>
      <x:c r="AG5763" s="87" t="str">
        <x:v>RESOLVED</x:v>
      </x:c>
      <x:c r="AH5763" s="87" t="str">
        <x:v>CROP_VERIFIED</x:v>
      </x:c>
      <x:c r="AI5763" s="30"/>
      <x:c r="AJ5763" s="87" t="str">
        <x:v>clean</x:v>
      </x:c>
      <x:c r="AK5763" s="87" t="str">
        <x:v>clean-v0.17</x:v>
      </x:c>
      <x:c r="AL5763" s="87" t="str">
        <x:v>statgrad_clean_continuation_v0_17(1).xlsx</x:v>
      </x:c>
      <x:c r="AM5763" s="87" t="str">
        <x:v>PHY_EGKR_952</x:v>
      </x:c>
      <x:c r="AN5763" s="87" t="n">
        <x:v>24</x:v>
      </x:c>
    </x:row>
    <x:row r="5764">
      <x:c r="A5764" s="87" t="n">
        <x:v>5763</x:v>
      </x:c>
      <x:c r="B5764" s="87" t="str">
        <x:v>EGKR-W25-PHY-952-24</x:v>
      </x:c>
      <x:c r="C5764" s="87" t="str">
        <x:v>ЕГКР</x:v>
      </x:c>
      <x:c r="D5764" s="87"/>
      <x:c r="E5764" s="87" t="str">
        <x:v>Зима 2025</x:v>
      </x:c>
      <x:c r="F5764" s="87" t="str">
        <x:v>18.12.2025</x:v>
      </x:c>
      <x:c r="G5764" s="87" t="str">
        <x:v>Физика</x:v>
      </x:c>
      <x:c r="H5764" s="87" t="n">
        <x:v>11</x:v>
      </x:c>
      <x:c r="I5764" s="87"/>
      <x:c r="J5764" s="87" t="str">
        <x:v>952</x:v>
      </x:c>
      <x:c r="K5764" s="87" t="n">
        <x:v>24</x:v>
      </x:c>
      <x:c r="L5764" s="87" t="str">
        <x:v>Развёрнутый ответ</x:v>
      </x:c>
      <x:c r="M5764" s="30" t="str">
        <x:v>Газ переводят в процесс, где p∝V; определить изменение плотности по данным теплового баланса.</x:v>
      </x:c>
      <x:c r="N5764" s="30" t="str">
        <x:v>Из уравнения состояния и полученного отношения объёмов плотность уменьшается в 2 раза.</x:v>
      </x:c>
      <x:c r="O5764" s="30" t="str">
        <x:v>Модель содержит необходимые законы, преобразования и численный вывод.</x:v>
      </x:c>
      <x:c r="P5764" s="30" t="str">
        <x:v>Решение получено независимо по исходному условию.</x:v>
      </x:c>
      <x:c r="Q5764" s="30"/>
      <x:c r="R5764" s="30" t="str">
        <x:v>MODEL_NOT_PROVIDED</x:v>
      </x:c>
      <x:c r="S5764" s="30"/>
      <x:c r="T5764" s="30"/>
      <x:c r="U5764" s="30" t="str">
        <x:v>Вторичный ответник не содержит развёрнутых решений.</x:v>
      </x:c>
      <x:c r="V5764" s="87" t="str">
        <x:v>VERIFIED</x:v>
      </x:c>
      <x:c r="W5764" s="87"/>
      <x:c r="X5764" s="87" t="n">
        <x:v>7</x:v>
      </x:c>
      <x:c r="Y5764" s="87"/>
      <x:c r="Z5764" s="87"/>
      <x:c r="AA5764" s="87"/>
      <x:c r="AB5764" s="87"/>
      <x:c r="AC5764" s="87" t="str">
        <x:v>VIS-EGKR-PHY-W25-TASK-952-P007</x:v>
      </x:c>
      <x:c r="AD5764" s="87"/>
      <x:c r="AE5764" s="87" t="str">
        <x:v>TASK</x:v>
      </x:c>
      <x:c r="AF5764" s="87" t="str">
        <x:v>VIS-EGKR-PHY-W25-TASK-952-P007: 7</x:v>
      </x:c>
      <x:c r="AG5764" s="87" t="str">
        <x:v>RESOLVED</x:v>
      </x:c>
      <x:c r="AH5764" s="87" t="str">
        <x:v>CROP_VERIFIED</x:v>
      </x:c>
      <x:c r="AI5764" s="30"/>
      <x:c r="AJ5764" s="87" t="str">
        <x:v>clean</x:v>
      </x:c>
      <x:c r="AK5764" s="87" t="str">
        <x:v>clean-v0.17</x:v>
      </x:c>
      <x:c r="AL5764" s="87" t="str">
        <x:v>statgrad_clean_continuation_v0_17(1).xlsx</x:v>
      </x:c>
      <x:c r="AM5764" s="87" t="str">
        <x:v>PHY_EGKR_952</x:v>
      </x:c>
      <x:c r="AN5764" s="87" t="n">
        <x:v>25</x:v>
      </x:c>
    </x:row>
    <x:row r="5765">
      <x:c r="A5765" s="87" t="n">
        <x:v>5764</x:v>
      </x:c>
      <x:c r="B5765" s="87" t="str">
        <x:v>EGKR-W25-PHY-952-25</x:v>
      </x:c>
      <x:c r="C5765" s="87" t="str">
        <x:v>ЕГКР</x:v>
      </x:c>
      <x:c r="D5765" s="87"/>
      <x:c r="E5765" s="87" t="str">
        <x:v>Зима 2025</x:v>
      </x:c>
      <x:c r="F5765" s="87" t="str">
        <x:v>18.12.2025</x:v>
      </x:c>
      <x:c r="G5765" s="87" t="str">
        <x:v>Физика</x:v>
      </x:c>
      <x:c r="H5765" s="87" t="n">
        <x:v>11</x:v>
      </x:c>
      <x:c r="I5765" s="87"/>
      <x:c r="J5765" s="87" t="str">
        <x:v>952</x:v>
      </x:c>
      <x:c r="K5765" s="87" t="n">
        <x:v>25</x:v>
      </x:c>
      <x:c r="L5765" s="87" t="str">
        <x:v>Развёрнутый ответ</x:v>
      </x:c>
      <x:c r="M5765" s="30" t="str">
        <x:v>Найти отношение площади предмета к площади изображения в тонкой линзе.</x:v>
      </x:c>
      <x:c r="N5765" s="30" t="str">
        <x:v>Линейное увеличение k=9/10; отношение площадей S/S'=1/k²=100/81≈1,2346.</x:v>
      </x:c>
      <x:c r="O5765" s="30" t="str">
        <x:v>Модель содержит необходимые законы, преобразования и численный вывод.</x:v>
      </x:c>
      <x:c r="P5765" s="30" t="str">
        <x:v>Решение получено независимо по исходному условию.</x:v>
      </x:c>
      <x:c r="Q5765" s="30"/>
      <x:c r="R5765" s="30" t="str">
        <x:v>MODEL_NOT_PROVIDED</x:v>
      </x:c>
      <x:c r="S5765" s="30"/>
      <x:c r="T5765" s="30"/>
      <x:c r="U5765" s="30" t="str">
        <x:v>Вторичный ответник не содержит развёрнутых решений.</x:v>
      </x:c>
      <x:c r="V5765" s="87" t="str">
        <x:v>VERIFIED</x:v>
      </x:c>
      <x:c r="W5765" s="87"/>
      <x:c r="X5765" s="87" t="n">
        <x:v>7</x:v>
      </x:c>
      <x:c r="Y5765" s="87"/>
      <x:c r="Z5765" s="87"/>
      <x:c r="AA5765" s="87"/>
      <x:c r="AB5765" s="87"/>
      <x:c r="AC5765" s="87" t="str">
        <x:v>VIS-EGKR-PHY-W25-TASK-952-P007</x:v>
      </x:c>
      <x:c r="AD5765" s="87"/>
      <x:c r="AE5765" s="87" t="str">
        <x:v>TASK</x:v>
      </x:c>
      <x:c r="AF5765" s="87" t="str">
        <x:v>VIS-EGKR-PHY-W25-TASK-952-P007: 7</x:v>
      </x:c>
      <x:c r="AG5765" s="87" t="str">
        <x:v>RESOLVED</x:v>
      </x:c>
      <x:c r="AH5765" s="87" t="str">
        <x:v>CROP_VERIFIED</x:v>
      </x:c>
      <x:c r="AI5765" s="30"/>
      <x:c r="AJ5765" s="87" t="str">
        <x:v>clean</x:v>
      </x:c>
      <x:c r="AK5765" s="87" t="str">
        <x:v>clean-v0.17</x:v>
      </x:c>
      <x:c r="AL5765" s="87" t="str">
        <x:v>statgrad_clean_continuation_v0_17(1).xlsx</x:v>
      </x:c>
      <x:c r="AM5765" s="87" t="str">
        <x:v>PHY_EGKR_952</x:v>
      </x:c>
      <x:c r="AN5765" s="87" t="n">
        <x:v>26</x:v>
      </x:c>
    </x:row>
    <x:row r="5766">
      <x:c r="A5766" s="87" t="n">
        <x:v>5765</x:v>
      </x:c>
      <x:c r="B5766" s="87" t="str">
        <x:v>EGKR-W25-PHY-952-26</x:v>
      </x:c>
      <x:c r="C5766" s="87" t="str">
        <x:v>ЕГКР</x:v>
      </x:c>
      <x:c r="D5766" s="87"/>
      <x:c r="E5766" s="87" t="str">
        <x:v>Зима 2025</x:v>
      </x:c>
      <x:c r="F5766" s="87" t="str">
        <x:v>18.12.2025</x:v>
      </x:c>
      <x:c r="G5766" s="87" t="str">
        <x:v>Физика</x:v>
      </x:c>
      <x:c r="H5766" s="87" t="n">
        <x:v>11</x:v>
      </x:c>
      <x:c r="I5766" s="87"/>
      <x:c r="J5766" s="87" t="str">
        <x:v>952</x:v>
      </x:c>
      <x:c r="K5766" s="87" t="n">
        <x:v>26</x:v>
      </x:c>
      <x:c r="L5766" s="87" t="str">
        <x:v>Развёрнутый ответ</x:v>
      </x:c>
      <x:c r="M5766" s="30" t="str">
        <x:v>Доска и груз: найти минимальный коэффициент трения между грузом и доской.</x:v>
      </x:c>
      <x:c r="N5766" s="30" t="str">
        <x:v>Из условия совместного движения a≤μ₁g и уравнений системы получается μ₁=0,35.</x:v>
      </x:c>
      <x:c r="O5766" s="30" t="str">
        <x:v>Модель содержит необходимые законы, преобразования и численный вывод.</x:v>
      </x:c>
      <x:c r="P5766" s="30" t="str">
        <x:v>Решение получено независимо по исходному условию.</x:v>
      </x:c>
      <x:c r="Q5766" s="30"/>
      <x:c r="R5766" s="30" t="str">
        <x:v>MODEL_NOT_PROVIDED</x:v>
      </x:c>
      <x:c r="S5766" s="30"/>
      <x:c r="T5766" s="30"/>
      <x:c r="U5766" s="30" t="str">
        <x:v>Вторичный ответник не содержит развёрнутых решений.</x:v>
      </x:c>
      <x:c r="V5766" s="87" t="str">
        <x:v>VERIFIED</x:v>
      </x:c>
      <x:c r="W5766" s="87"/>
      <x:c r="X5766" s="87" t="n">
        <x:v>7</x:v>
      </x:c>
      <x:c r="Y5766" s="87"/>
      <x:c r="Z5766" s="87"/>
      <x:c r="AA5766" s="87"/>
      <x:c r="AB5766" s="87"/>
      <x:c r="AC5766" s="87" t="str">
        <x:v>VIS-EGKR-PHY-W25-TASK-952-P007</x:v>
      </x:c>
      <x:c r="AD5766" s="87"/>
      <x:c r="AE5766" s="87" t="str">
        <x:v>TASK</x:v>
      </x:c>
      <x:c r="AF5766" s="87" t="str">
        <x:v>VIS-EGKR-PHY-W25-TASK-952-P007: 7</x:v>
      </x:c>
      <x:c r="AG5766" s="87" t="str">
        <x:v>RESOLVED</x:v>
      </x:c>
      <x:c r="AH5766" s="87" t="str">
        <x:v>CROP_VERIFIED</x:v>
      </x:c>
      <x:c r="AI5766" s="30"/>
      <x:c r="AJ5766" s="87" t="str">
        <x:v>clean</x:v>
      </x:c>
      <x:c r="AK5766" s="87" t="str">
        <x:v>clean-v0.17</x:v>
      </x:c>
      <x:c r="AL5766" s="87" t="str">
        <x:v>statgrad_clean_continuation_v0_17(1).xlsx</x:v>
      </x:c>
      <x:c r="AM5766" s="87" t="str">
        <x:v>PHY_EGKR_952</x:v>
      </x:c>
      <x:c r="AN5766" s="87" t="n">
        <x:v>27</x:v>
      </x:c>
    </x:row>
    <x:row r="5767">
      <x:c r="A5767" s="87" t="n">
        <x:v>5766</x:v>
      </x:c>
      <x:c r="B5767" s="87" t="str">
        <x:v>EGKR-W25-PHY-953-01</x:v>
      </x:c>
      <x:c r="C5767" s="87" t="str">
        <x:v>ЕГКР</x:v>
      </x:c>
      <x:c r="D5767" s="87"/>
      <x:c r="E5767" s="87" t="str">
        <x:v>Зима 2025</x:v>
      </x:c>
      <x:c r="F5767" s="87" t="str">
        <x:v>18.12.2025</x:v>
      </x:c>
      <x:c r="G5767" s="87" t="str">
        <x:v>Физика</x:v>
      </x:c>
      <x:c r="H5767" s="87" t="n">
        <x:v>11</x:v>
      </x:c>
      <x:c r="I5767" s="87"/>
      <x:c r="J5767" s="87" t="str">
        <x:v>953</x:v>
      </x:c>
      <x:c r="K5767" s="87" t="n">
        <x:v>1</x:v>
      </x:c>
      <x:c r="L5767" s="87" t="str">
        <x:v>График скорости</x:v>
      </x:c>
      <x:c r="M5767" s="30" t="str">
        <x:v>По графику проекции скорости определить путь тела на указанном интервале.</x:v>
      </x:c>
      <x:c r="N5767" s="30" t="str">
        <x:v>12,5</x:v>
      </x:c>
      <x:c r="O5767" s="30" t="str">
        <x:v>Путь равен площади под графиком |v(t)|.</x:v>
      </x:c>
      <x:c r="P5767" s="30" t="str">
        <x:v>Вычисление и полная визуальная страница проверены независимо.</x:v>
      </x:c>
      <x:c r="Q5767" s="30"/>
      <x:c r="R5767" s="30" t="str">
        <x:v>25,62</x:v>
      </x:c>
      <x:c r="S5767" s="30"/>
      <x:c r="T5767" s="30"/>
      <x:c r="U5767" s="30" t="str">
        <x:v>Ответник: 25,62; независимое решение: 12,5.</x:v>
      </x:c>
      <x:c r="V5767" s="87" t="str">
        <x:v>KEY_MISMATCH</x:v>
      </x:c>
      <x:c r="W5767" s="87"/>
      <x:c r="X5767" s="87" t="n">
        <x:v>2</x:v>
      </x:c>
      <x:c r="Y5767" s="87"/>
      <x:c r="Z5767" s="87"/>
      <x:c r="AA5767" s="87"/>
      <x:c r="AB5767" s="87"/>
      <x:c r="AC5767" s="87" t="str">
        <x:v>VIS-EGKR-PHY-W25-TASK-953-P002</x:v>
      </x:c>
      <x:c r="AD5767" s="87" t="str">
        <x:v>VIS-EGKR-PHY-W25-ANSWERDOC-P003</x:v>
      </x:c>
      <x:c r="AE5767" s="87" t="str">
        <x:v>TASK; SECONDARY_ANSWER_SOURCE</x:v>
      </x:c>
      <x:c r="AF5767" s="87" t="str">
        <x:v>VIS-EGKR-PHY-W25-TASK-953-P002: 2; VIS-EGKR-PHY-W25-ANSWERDOC-P003: 3</x:v>
      </x:c>
      <x:c r="AG5767" s="87" t="str">
        <x:v>RESOLVED</x:v>
      </x:c>
      <x:c r="AH5767" s="87" t="str">
        <x:v>CROP_VERIFIED</x:v>
      </x:c>
      <x:c r="AI5767" s="30"/>
      <x:c r="AJ5767" s="87" t="str">
        <x:v>clean</x:v>
      </x:c>
      <x:c r="AK5767" s="87" t="str">
        <x:v>clean-v0.17</x:v>
      </x:c>
      <x:c r="AL5767" s="87" t="str">
        <x:v>statgrad_clean_continuation_v0_17(1).xlsx</x:v>
      </x:c>
      <x:c r="AM5767" s="87" t="str">
        <x:v>PHY_EGKR_953</x:v>
      </x:c>
      <x:c r="AN5767" s="87" t="n">
        <x:v>2</x:v>
      </x:c>
    </x:row>
    <x:row r="5768">
      <x:c r="A5768" s="87" t="n">
        <x:v>5767</x:v>
      </x:c>
      <x:c r="B5768" s="87" t="str">
        <x:v>EGKR-W25-PHY-953-02</x:v>
      </x:c>
      <x:c r="C5768" s="87" t="str">
        <x:v>ЕГКР</x:v>
      </x:c>
      <x:c r="D5768" s="87"/>
      <x:c r="E5768" s="87" t="str">
        <x:v>Зима 2025</x:v>
      </x:c>
      <x:c r="F5768" s="87" t="str">
        <x:v>18.12.2025</x:v>
      </x:c>
      <x:c r="G5768" s="87" t="str">
        <x:v>Физика</x:v>
      </x:c>
      <x:c r="H5768" s="87" t="n">
        <x:v>11</x:v>
      </x:c>
      <x:c r="I5768" s="87"/>
      <x:c r="J5768" s="87" t="str">
        <x:v>953</x:v>
      </x:c>
      <x:c r="K5768" s="87" t="n">
        <x:v>2</x:v>
      </x:c>
      <x:c r="L5768" s="87" t="str">
        <x:v>Второй закон Ньютона</x:v>
      </x:c>
      <x:c r="M5768" s="30" t="str">
        <x:v>Определить изменение массы тела по второму закону Ньютона при изменении силы/ускорения.</x:v>
      </x:c>
      <x:c r="N5768" s="30" t="str">
        <x:v>6</x:v>
      </x:c>
      <x:c r="O5768" s="30" t="str">
        <x:v>Использовано F=ma.</x:v>
      </x:c>
      <x:c r="P5768" s="30" t="str">
        <x:v>Вычисление и полная визуальная страница проверены независимо.</x:v>
      </x:c>
      <x:c r="Q5768" s="30"/>
      <x:c r="R5768" s="30" t="str">
        <x:v>6</x:v>
      </x:c>
      <x:c r="S5768" s="30"/>
      <x:c r="T5768" s="30"/>
      <x:c r="U5768" s="30" t="str">
        <x:v>Ответник совпадает с независимой проверкой.</x:v>
      </x:c>
      <x:c r="V5768" s="87" t="str">
        <x:v>VERIFIED</x:v>
      </x:c>
      <x:c r="W5768" s="87"/>
      <x:c r="X5768" s="87" t="n">
        <x:v>2</x:v>
      </x:c>
      <x:c r="Y5768" s="87"/>
      <x:c r="Z5768" s="87"/>
      <x:c r="AA5768" s="87"/>
      <x:c r="AB5768" s="87"/>
      <x:c r="AC5768" s="87" t="str">
        <x:v>VIS-EGKR-PHY-W25-TASK-953-P002</x:v>
      </x:c>
      <x:c r="AD5768" s="87" t="str">
        <x:v>VIS-EGKR-PHY-W25-ANSWERDOC-P003</x:v>
      </x:c>
      <x:c r="AE5768" s="87" t="str">
        <x:v>TASK; SECONDARY_ANSWER_SOURCE</x:v>
      </x:c>
      <x:c r="AF5768" s="87" t="str">
        <x:v>VIS-EGKR-PHY-W25-TASK-953-P002: 2; VIS-EGKR-PHY-W25-ANSWERDOC-P003: 3</x:v>
      </x:c>
      <x:c r="AG5768" s="87" t="str">
        <x:v>RESOLVED</x:v>
      </x:c>
      <x:c r="AH5768" s="87" t="str">
        <x:v>CROP_VERIFIED</x:v>
      </x:c>
      <x:c r="AI5768" s="30"/>
      <x:c r="AJ5768" s="87" t="str">
        <x:v>clean</x:v>
      </x:c>
      <x:c r="AK5768" s="87" t="str">
        <x:v>clean-v0.17</x:v>
      </x:c>
      <x:c r="AL5768" s="87" t="str">
        <x:v>statgrad_clean_continuation_v0_17(1).xlsx</x:v>
      </x:c>
      <x:c r="AM5768" s="87" t="str">
        <x:v>PHY_EGKR_953</x:v>
      </x:c>
      <x:c r="AN5768" s="87" t="n">
        <x:v>3</x:v>
      </x:c>
    </x:row>
    <x:row r="5769">
      <x:c r="A5769" s="87" t="n">
        <x:v>5768</x:v>
      </x:c>
      <x:c r="B5769" s="87" t="str">
        <x:v>EGKR-W25-PHY-953-03</x:v>
      </x:c>
      <x:c r="C5769" s="87" t="str">
        <x:v>ЕГКР</x:v>
      </x:c>
      <x:c r="D5769" s="87"/>
      <x:c r="E5769" s="87" t="str">
        <x:v>Зима 2025</x:v>
      </x:c>
      <x:c r="F5769" s="87" t="str">
        <x:v>18.12.2025</x:v>
      </x:c>
      <x:c r="G5769" s="87" t="str">
        <x:v>Физика</x:v>
      </x:c>
      <x:c r="H5769" s="87" t="n">
        <x:v>11</x:v>
      </x:c>
      <x:c r="I5769" s="87"/>
      <x:c r="J5769" s="87" t="str">
        <x:v>953</x:v>
      </x:c>
      <x:c r="K5769" s="87" t="n">
        <x:v>3</x:v>
      </x:c>
      <x:c r="L5769" s="87" t="str">
        <x:v>Импульс</x:v>
      </x:c>
      <x:c r="M5769" s="30" t="str">
        <x:v>Найти модуль импульса системы двух тел при заданных направлениях импульсов.</x:v>
      </x:c>
      <x:c r="N5769" s="30" t="str">
        <x:v>10</x:v>
      </x:c>
      <x:c r="O5769" s="30" t="str">
        <x:v>Перпендикулярные импульсы сложены по теореме Пифагора.</x:v>
      </x:c>
      <x:c r="P5769" s="30" t="str">
        <x:v>Вычисление и полная визуальная страница проверены независимо.</x:v>
      </x:c>
      <x:c r="Q5769" s="30"/>
      <x:c r="R5769" s="30" t="str">
        <x:v>10</x:v>
      </x:c>
      <x:c r="S5769" s="30"/>
      <x:c r="T5769" s="30"/>
      <x:c r="U5769" s="30" t="str">
        <x:v>Ответник совпадает с независимой проверкой.</x:v>
      </x:c>
      <x:c r="V5769" s="87" t="str">
        <x:v>VERIFIED</x:v>
      </x:c>
      <x:c r="W5769" s="87"/>
      <x:c r="X5769" s="87" t="n">
        <x:v>2</x:v>
      </x:c>
      <x:c r="Y5769" s="87"/>
      <x:c r="Z5769" s="87"/>
      <x:c r="AA5769" s="87"/>
      <x:c r="AB5769" s="87"/>
      <x:c r="AC5769" s="87" t="str">
        <x:v>VIS-EGKR-PHY-W25-TASK-953-P002</x:v>
      </x:c>
      <x:c r="AD5769" s="87" t="str">
        <x:v>VIS-EGKR-PHY-W25-ANSWERDOC-P003</x:v>
      </x:c>
      <x:c r="AE5769" s="87" t="str">
        <x:v>TASK; SECONDARY_ANSWER_SOURCE</x:v>
      </x:c>
      <x:c r="AF5769" s="87" t="str">
        <x:v>VIS-EGKR-PHY-W25-TASK-953-P002: 2; VIS-EGKR-PHY-W25-ANSWERDOC-P003: 3</x:v>
      </x:c>
      <x:c r="AG5769" s="87" t="str">
        <x:v>RESOLVED</x:v>
      </x:c>
      <x:c r="AH5769" s="87" t="str">
        <x:v>CROP_VERIFIED</x:v>
      </x:c>
      <x:c r="AI5769" s="30"/>
      <x:c r="AJ5769" s="87" t="str">
        <x:v>clean</x:v>
      </x:c>
      <x:c r="AK5769" s="87" t="str">
        <x:v>clean-v0.17</x:v>
      </x:c>
      <x:c r="AL5769" s="87" t="str">
        <x:v>statgrad_clean_continuation_v0_17(1).xlsx</x:v>
      </x:c>
      <x:c r="AM5769" s="87" t="str">
        <x:v>PHY_EGKR_953</x:v>
      </x:c>
      <x:c r="AN5769" s="87" t="n">
        <x:v>4</x:v>
      </x:c>
    </x:row>
    <x:row r="5770">
      <x:c r="A5770" s="87" t="n">
        <x:v>5769</x:v>
      </x:c>
      <x:c r="B5770" s="87" t="str">
        <x:v>EGKR-W25-PHY-953-04</x:v>
      </x:c>
      <x:c r="C5770" s="87" t="str">
        <x:v>ЕГКР</x:v>
      </x:c>
      <x:c r="D5770" s="87"/>
      <x:c r="E5770" s="87" t="str">
        <x:v>Зима 2025</x:v>
      </x:c>
      <x:c r="F5770" s="87" t="str">
        <x:v>18.12.2025</x:v>
      </x:c>
      <x:c r="G5770" s="87" t="str">
        <x:v>Физика</x:v>
      </x:c>
      <x:c r="H5770" s="87" t="n">
        <x:v>11</x:v>
      </x:c>
      <x:c r="I5770" s="87"/>
      <x:c r="J5770" s="87" t="str">
        <x:v>953</x:v>
      </x:c>
      <x:c r="K5770" s="87" t="n">
        <x:v>4</x:v>
      </x:c>
      <x:c r="L5770" s="87" t="str">
        <x:v>Статика и рычаг</x:v>
      </x:c>
      <x:c r="M5770" s="30" t="str">
        <x:v>Используя условие равновесия рычага, определить массу или силу.</x:v>
      </x:c>
      <x:c r="N5770" s="30" t="str">
        <x:v>3</x:v>
      </x:c>
      <x:c r="O5770" s="30" t="str">
        <x:v>Использовано равенство моментов сил относительно точки опоры.</x:v>
      </x:c>
      <x:c r="P5770" s="30" t="str">
        <x:v>Вычисление и полная визуальная страница проверены независимо.</x:v>
      </x:c>
      <x:c r="Q5770" s="30"/>
      <x:c r="R5770" s="30" t="str">
        <x:v>MISSING</x:v>
      </x:c>
      <x:c r="S5770" s="30"/>
      <x:c r="T5770" s="30"/>
      <x:c r="U5770" s="30" t="str">
        <x:v>Ответ отсутствовал в DOCX и восстановлен по условию.</x:v>
      </x:c>
      <x:c r="V5770" s="87" t="str">
        <x:v>SOURCE_GAP_RECOVERED</x:v>
      </x:c>
      <x:c r="W5770" s="87"/>
      <x:c r="X5770" s="87" t="n">
        <x:v>3</x:v>
      </x:c>
      <x:c r="Y5770" s="87"/>
      <x:c r="Z5770" s="87"/>
      <x:c r="AA5770" s="87"/>
      <x:c r="AB5770" s="87"/>
      <x:c r="AC5770" s="87" t="str">
        <x:v>VIS-EGKR-PHY-W25-TASK-953-P003</x:v>
      </x:c>
      <x:c r="AD5770" s="87" t="str">
        <x:v>VIS-EGKR-PHY-W25-ANSWERDOC-P003</x:v>
      </x:c>
      <x:c r="AE5770" s="87" t="str">
        <x:v>TASK; SECONDARY_ANSWER_SOURCE</x:v>
      </x:c>
      <x:c r="AF5770" s="87" t="str">
        <x:v>VIS-EGKR-PHY-W25-TASK-953-P003: 3; VIS-EGKR-PHY-W25-ANSWERDOC-P003: 3</x:v>
      </x:c>
      <x:c r="AG5770" s="87" t="str">
        <x:v>RESOLVED</x:v>
      </x:c>
      <x:c r="AH5770" s="87" t="str">
        <x:v>CROP_VERIFIED</x:v>
      </x:c>
      <x:c r="AI5770" s="30"/>
      <x:c r="AJ5770" s="87" t="str">
        <x:v>clean</x:v>
      </x:c>
      <x:c r="AK5770" s="87" t="str">
        <x:v>clean-v0.17</x:v>
      </x:c>
      <x:c r="AL5770" s="87" t="str">
        <x:v>statgrad_clean_continuation_v0_17(1).xlsx</x:v>
      </x:c>
      <x:c r="AM5770" s="87" t="str">
        <x:v>PHY_EGKR_953</x:v>
      </x:c>
      <x:c r="AN5770" s="87" t="n">
        <x:v>5</x:v>
      </x:c>
    </x:row>
    <x:row r="5771">
      <x:c r="A5771" s="87" t="n">
        <x:v>5770</x:v>
      </x:c>
      <x:c r="B5771" s="87" t="str">
        <x:v>EGKR-W25-PHY-953-05</x:v>
      </x:c>
      <x:c r="C5771" s="87" t="str">
        <x:v>ЕГКР</x:v>
      </x:c>
      <x:c r="D5771" s="87"/>
      <x:c r="E5771" s="87" t="str">
        <x:v>Зима 2025</x:v>
      </x:c>
      <x:c r="F5771" s="87" t="str">
        <x:v>18.12.2025</x:v>
      </x:c>
      <x:c r="G5771" s="87" t="str">
        <x:v>Физика</x:v>
      </x:c>
      <x:c r="H5771" s="87" t="n">
        <x:v>11</x:v>
      </x:c>
      <x:c r="I5771" s="87"/>
      <x:c r="J5771" s="87" t="str">
        <x:v>953</x:v>
      </x:c>
      <x:c r="K5771" s="87" t="n">
        <x:v>5</x:v>
      </x:c>
      <x:c r="L5771" s="87" t="str">
        <x:v>Анализ движения</x:v>
      </x:c>
      <x:c r="M5771" s="30" t="str">
        <x:v>Выбрать верные утверждения по графику скорости тела.</x:v>
      </x:c>
      <x:c r="N5771" s="30" t="str">
        <x:v>15</x:v>
      </x:c>
      <x:c r="O5771" s="30" t="str">
        <x:v>Утверждения проверены по наклону графика, скорости и работе равнодействующей.</x:v>
      </x:c>
      <x:c r="P5771" s="30" t="str">
        <x:v>Вычисление и полная визуальная страница проверены независимо.</x:v>
      </x:c>
      <x:c r="Q5771" s="30"/>
      <x:c r="R5771" s="30" t="str">
        <x:v>45</x:v>
      </x:c>
      <x:c r="S5771" s="30"/>
      <x:c r="T5771" s="30"/>
      <x:c r="U5771" s="30" t="str">
        <x:v>Ответник: 45; независимое решение: 15.</x:v>
      </x:c>
      <x:c r="V5771" s="87" t="str">
        <x:v>KEY_MISMATCH</x:v>
      </x:c>
      <x:c r="W5771" s="87"/>
      <x:c r="X5771" s="87" t="n">
        <x:v>3</x:v>
      </x:c>
      <x:c r="Y5771" s="87"/>
      <x:c r="Z5771" s="87"/>
      <x:c r="AA5771" s="87"/>
      <x:c r="AB5771" s="87"/>
      <x:c r="AC5771" s="87" t="str">
        <x:v>VIS-EGKR-PHY-W25-TASK-953-P003</x:v>
      </x:c>
      <x:c r="AD5771" s="87" t="str">
        <x:v>VIS-EGKR-PHY-W25-ANSWERDOC-P003</x:v>
      </x:c>
      <x:c r="AE5771" s="87" t="str">
        <x:v>TASK; SECONDARY_ANSWER_SOURCE</x:v>
      </x:c>
      <x:c r="AF5771" s="87" t="str">
        <x:v>VIS-EGKR-PHY-W25-TASK-953-P003: 3; VIS-EGKR-PHY-W25-ANSWERDOC-P003: 3</x:v>
      </x:c>
      <x:c r="AG5771" s="87" t="str">
        <x:v>RESOLVED</x:v>
      </x:c>
      <x:c r="AH5771" s="87" t="str">
        <x:v>CROP_VERIFIED</x:v>
      </x:c>
      <x:c r="AI5771" s="30"/>
      <x:c r="AJ5771" s="87" t="str">
        <x:v>clean</x:v>
      </x:c>
      <x:c r="AK5771" s="87" t="str">
        <x:v>clean-v0.17</x:v>
      </x:c>
      <x:c r="AL5771" s="87" t="str">
        <x:v>statgrad_clean_continuation_v0_17(1).xlsx</x:v>
      </x:c>
      <x:c r="AM5771" s="87" t="str">
        <x:v>PHY_EGKR_953</x:v>
      </x:c>
      <x:c r="AN5771" s="87" t="n">
        <x:v>6</x:v>
      </x:c>
    </x:row>
    <x:row r="5772">
      <x:c r="A5772" s="87" t="n">
        <x:v>5771</x:v>
      </x:c>
      <x:c r="B5772" s="87" t="str">
        <x:v>EGKR-W25-PHY-953-06</x:v>
      </x:c>
      <x:c r="C5772" s="87" t="str">
        <x:v>ЕГКР</x:v>
      </x:c>
      <x:c r="D5772" s="87"/>
      <x:c r="E5772" s="87" t="str">
        <x:v>Зима 2025</x:v>
      </x:c>
      <x:c r="F5772" s="87" t="str">
        <x:v>18.12.2025</x:v>
      </x:c>
      <x:c r="G5772" s="87" t="str">
        <x:v>Физика</x:v>
      </x:c>
      <x:c r="H5772" s="87" t="n">
        <x:v>11</x:v>
      </x:c>
      <x:c r="I5772" s="87"/>
      <x:c r="J5772" s="87" t="str">
        <x:v>953</x:v>
      </x:c>
      <x:c r="K5772" s="87" t="n">
        <x:v>6</x:v>
      </x:c>
      <x:c r="L5772" s="87" t="str">
        <x:v>Гармонические колебания</x:v>
      </x:c>
      <x:c r="M5772" s="30" t="str">
        <x:v>Соотнести графики гармонического колебания с физическими величинами.</x:v>
      </x:c>
      <x:c r="N5772" s="30" t="str">
        <x:v>14</x:v>
      </x:c>
      <x:c r="O5772" s="30" t="str">
        <x:v>Учтены фазы координаты, ускорения, кинетической и потенциальной энергий.</x:v>
      </x:c>
      <x:c r="P5772" s="30" t="str">
        <x:v>Вычисление и полная визуальная страница проверены независимо.</x:v>
      </x:c>
      <x:c r="Q5772" s="30"/>
      <x:c r="R5772" s="30" t="str">
        <x:v>13</x:v>
      </x:c>
      <x:c r="S5772" s="30"/>
      <x:c r="T5772" s="30"/>
      <x:c r="U5772" s="30" t="str">
        <x:v>Ответник: 13; независимое решение: 14.</x:v>
      </x:c>
      <x:c r="V5772" s="87" t="str">
        <x:v>KEY_MISMATCH</x:v>
      </x:c>
      <x:c r="W5772" s="87"/>
      <x:c r="X5772" s="87" t="n">
        <x:v>3</x:v>
      </x:c>
      <x:c r="Y5772" s="87"/>
      <x:c r="Z5772" s="87"/>
      <x:c r="AA5772" s="87"/>
      <x:c r="AB5772" s="87"/>
      <x:c r="AC5772" s="87" t="str">
        <x:v>VIS-EGKR-PHY-W25-TASK-953-P003</x:v>
      </x:c>
      <x:c r="AD5772" s="87" t="str">
        <x:v>VIS-EGKR-PHY-W25-ANSWERDOC-P003</x:v>
      </x:c>
      <x:c r="AE5772" s="87" t="str">
        <x:v>TASK; SECONDARY_ANSWER_SOURCE</x:v>
      </x:c>
      <x:c r="AF5772" s="87" t="str">
        <x:v>VIS-EGKR-PHY-W25-TASK-953-P003: 3; VIS-EGKR-PHY-W25-ANSWERDOC-P003: 3</x:v>
      </x:c>
      <x:c r="AG5772" s="87" t="str">
        <x:v>RESOLVED</x:v>
      </x:c>
      <x:c r="AH5772" s="87" t="str">
        <x:v>CROP_VERIFIED</x:v>
      </x:c>
      <x:c r="AI5772" s="30"/>
      <x:c r="AJ5772" s="87" t="str">
        <x:v>clean</x:v>
      </x:c>
      <x:c r="AK5772" s="87" t="str">
        <x:v>clean-v0.17</x:v>
      </x:c>
      <x:c r="AL5772" s="87" t="str">
        <x:v>statgrad_clean_continuation_v0_17(1).xlsx</x:v>
      </x:c>
      <x:c r="AM5772" s="87" t="str">
        <x:v>PHY_EGKR_953</x:v>
      </x:c>
      <x:c r="AN5772" s="87" t="n">
        <x:v>7</x:v>
      </x:c>
    </x:row>
    <x:row r="5773">
      <x:c r="A5773" s="87" t="n">
        <x:v>5772</x:v>
      </x:c>
      <x:c r="B5773" s="87" t="str">
        <x:v>EGKR-W25-PHY-953-07</x:v>
      </x:c>
      <x:c r="C5773" s="87" t="str">
        <x:v>ЕГКР</x:v>
      </x:c>
      <x:c r="D5773" s="87"/>
      <x:c r="E5773" s="87" t="str">
        <x:v>Зима 2025</x:v>
      </x:c>
      <x:c r="F5773" s="87" t="str">
        <x:v>18.12.2025</x:v>
      </x:c>
      <x:c r="G5773" s="87" t="str">
        <x:v>Физика</x:v>
      </x:c>
      <x:c r="H5773" s="87" t="n">
        <x:v>11</x:v>
      </x:c>
      <x:c r="I5773" s="87"/>
      <x:c r="J5773" s="87" t="str">
        <x:v>953</x:v>
      </x:c>
      <x:c r="K5773" s="87" t="n">
        <x:v>7</x:v>
      </x:c>
      <x:c r="L5773" s="87" t="str">
        <x:v>Молекулярная физика</x:v>
      </x:c>
      <x:c r="M5773" s="30" t="str">
        <x:v>Решить задачу на параметры идеального газа и молекулярно-кинетическую теорию.</x:v>
      </x:c>
      <x:c r="N5773" s="30" t="str">
        <x:v>4</x:v>
      </x:c>
      <x:c r="O5773" s="30" t="str">
        <x:v>Использованы pV=νRT и связь давления с концентрацией и температурой.</x:v>
      </x:c>
      <x:c r="P5773" s="30" t="str">
        <x:v>Вычисление и полная визуальная страница проверены независимо.</x:v>
      </x:c>
      <x:c r="Q5773" s="30"/>
      <x:c r="R5773" s="30" t="str">
        <x:v>9</x:v>
      </x:c>
      <x:c r="S5773" s="30"/>
      <x:c r="T5773" s="30"/>
      <x:c r="U5773" s="30" t="str">
        <x:v>Ответник: 9; независимое решение: 4.</x:v>
      </x:c>
      <x:c r="V5773" s="87" t="str">
        <x:v>KEY_MISMATCH</x:v>
      </x:c>
      <x:c r="W5773" s="87"/>
      <x:c r="X5773" s="87" t="n">
        <x:v>3</x:v>
      </x:c>
      <x:c r="Y5773" s="87"/>
      <x:c r="Z5773" s="87"/>
      <x:c r="AA5773" s="87"/>
      <x:c r="AB5773" s="87"/>
      <x:c r="AC5773" s="87" t="str">
        <x:v>VIS-EGKR-PHY-W25-TASK-953-P003</x:v>
      </x:c>
      <x:c r="AD5773" s="87" t="str">
        <x:v>VIS-EGKR-PHY-W25-ANSWERDOC-P003</x:v>
      </x:c>
      <x:c r="AE5773" s="87" t="str">
        <x:v>TASK; SECONDARY_ANSWER_SOURCE</x:v>
      </x:c>
      <x:c r="AF5773" s="87" t="str">
        <x:v>VIS-EGKR-PHY-W25-TASK-953-P003: 3; VIS-EGKR-PHY-W25-ANSWERDOC-P003: 3</x:v>
      </x:c>
      <x:c r="AG5773" s="87" t="str">
        <x:v>RESOLVED</x:v>
      </x:c>
      <x:c r="AH5773" s="87" t="str">
        <x:v>CROP_VERIFIED</x:v>
      </x:c>
      <x:c r="AI5773" s="30"/>
      <x:c r="AJ5773" s="87" t="str">
        <x:v>clean</x:v>
      </x:c>
      <x:c r="AK5773" s="87" t="str">
        <x:v>clean-v0.17</x:v>
      </x:c>
      <x:c r="AL5773" s="87" t="str">
        <x:v>statgrad_clean_continuation_v0_17(1).xlsx</x:v>
      </x:c>
      <x:c r="AM5773" s="87" t="str">
        <x:v>PHY_EGKR_953</x:v>
      </x:c>
      <x:c r="AN5773" s="87" t="n">
        <x:v>8</x:v>
      </x:c>
    </x:row>
    <x:row r="5774">
      <x:c r="A5774" s="87" t="n">
        <x:v>5773</x:v>
      </x:c>
      <x:c r="B5774" s="87" t="str">
        <x:v>EGKR-W25-PHY-953-08</x:v>
      </x:c>
      <x:c r="C5774" s="87" t="str">
        <x:v>ЕГКР</x:v>
      </x:c>
      <x:c r="D5774" s="87"/>
      <x:c r="E5774" s="87" t="str">
        <x:v>Зима 2025</x:v>
      </x:c>
      <x:c r="F5774" s="87" t="str">
        <x:v>18.12.2025</x:v>
      </x:c>
      <x:c r="G5774" s="87" t="str">
        <x:v>Физика</x:v>
      </x:c>
      <x:c r="H5774" s="87" t="n">
        <x:v>11</x:v>
      </x:c>
      <x:c r="I5774" s="87"/>
      <x:c r="J5774" s="87" t="str">
        <x:v>953</x:v>
      </x:c>
      <x:c r="K5774" s="87" t="n">
        <x:v>8</x:v>
      </x:c>
      <x:c r="L5774" s="87" t="str">
        <x:v>Работа газа</x:v>
      </x:c>
      <x:c r="M5774" s="30" t="str">
        <x:v>Сравнить работу газа в процессах на диаграмме.</x:v>
      </x:c>
      <x:c r="N5774" s="30" t="str">
        <x:v>1/3</x:v>
      </x:c>
      <x:c r="O5774" s="30" t="str">
        <x:v>Работа газа равна площади под графиком p(V).</x:v>
      </x:c>
      <x:c r="P5774" s="30" t="str">
        <x:v>Вычисление и полная визуальная страница проверены независимо.</x:v>
      </x:c>
      <x:c r="Q5774" s="30"/>
      <x:c r="R5774" s="30" t="str">
        <x:v>MISSING</x:v>
      </x:c>
      <x:c r="S5774" s="30"/>
      <x:c r="T5774" s="30"/>
      <x:c r="U5774" s="30" t="str">
        <x:v>Ответ отсутствовал в DOCX и восстановлен по условию.</x:v>
      </x:c>
      <x:c r="V5774" s="87" t="str">
        <x:v>SOURCE_GAP_RECOVERED</x:v>
      </x:c>
      <x:c r="W5774" s="87"/>
      <x:c r="X5774" s="87" t="n">
        <x:v>4</x:v>
      </x:c>
      <x:c r="Y5774" s="87"/>
      <x:c r="Z5774" s="87"/>
      <x:c r="AA5774" s="87"/>
      <x:c r="AB5774" s="87"/>
      <x:c r="AC5774" s="87" t="str">
        <x:v>VIS-EGKR-PHY-W25-TASK-953-P004</x:v>
      </x:c>
      <x:c r="AD5774" s="87" t="str">
        <x:v>VIS-EGKR-PHY-W25-ANSWERDOC-P003</x:v>
      </x:c>
      <x:c r="AE5774" s="87" t="str">
        <x:v>TASK; SECONDARY_ANSWER_SOURCE</x:v>
      </x:c>
      <x:c r="AF5774" s="87" t="str">
        <x:v>VIS-EGKR-PHY-W25-TASK-953-P004: 4; VIS-EGKR-PHY-W25-ANSWERDOC-P003: 3</x:v>
      </x:c>
      <x:c r="AG5774" s="87" t="str">
        <x:v>RESOLVED</x:v>
      </x:c>
      <x:c r="AH5774" s="87" t="str">
        <x:v>CROP_VERIFIED; TASK_CROP_QA_APPROVED:USE_CONTEXT</x:v>
      </x:c>
      <x:c r="AI5774" s="30"/>
      <x:c r="AJ5774" s="87" t="str">
        <x:v>clean</x:v>
      </x:c>
      <x:c r="AK5774" s="87" t="str">
        <x:v>clean-v0.17</x:v>
      </x:c>
      <x:c r="AL5774" s="87" t="str">
        <x:v>statgrad_clean_continuation_v0_17(1).xlsx</x:v>
      </x:c>
      <x:c r="AM5774" s="87" t="str">
        <x:v>PHY_EGKR_953</x:v>
      </x:c>
      <x:c r="AN5774" s="87" t="n">
        <x:v>9</x:v>
      </x:c>
    </x:row>
    <x:row r="5775">
      <x:c r="A5775" s="87" t="n">
        <x:v>5774</x:v>
      </x:c>
      <x:c r="B5775" s="87" t="str">
        <x:v>EGKR-W25-PHY-953-09</x:v>
      </x:c>
      <x:c r="C5775" s="87" t="str">
        <x:v>ЕГКР</x:v>
      </x:c>
      <x:c r="D5775" s="87"/>
      <x:c r="E5775" s="87" t="str">
        <x:v>Зима 2025</x:v>
      </x:c>
      <x:c r="F5775" s="87" t="str">
        <x:v>18.12.2025</x:v>
      </x:c>
      <x:c r="G5775" s="87" t="str">
        <x:v>Физика</x:v>
      </x:c>
      <x:c r="H5775" s="87" t="n">
        <x:v>11</x:v>
      </x:c>
      <x:c r="I5775" s="87"/>
      <x:c r="J5775" s="87" t="str">
        <x:v>953</x:v>
      </x:c>
      <x:c r="K5775" s="87" t="n">
        <x:v>9</x:v>
      </x:c>
      <x:c r="L5775" s="87" t="str">
        <x:v>Изопроцесс</x:v>
      </x:c>
      <x:c r="M5775" s="30" t="str">
        <x:v>Выбрать верные утверждения об изменении параметров газа в изопроцессе.</x:v>
      </x:c>
      <x:c r="N5775" s="30" t="str">
        <x:v>13</x:v>
      </x:c>
      <x:c r="O5775" s="30" t="str">
        <x:v>Проверены связи параметров в изохорном, изобарном или изотермическом процессе.</x:v>
      </x:c>
      <x:c r="P5775" s="30" t="str">
        <x:v>Вычисление и полная визуальная страница проверены независимо.</x:v>
      </x:c>
      <x:c r="Q5775" s="30"/>
      <x:c r="R5775" s="30" t="str">
        <x:v>135</x:v>
      </x:c>
      <x:c r="S5775" s="30"/>
      <x:c r="T5775" s="30"/>
      <x:c r="U5775" s="30" t="str">
        <x:v>Ответник: 135; независимое решение: 13.</x:v>
      </x:c>
      <x:c r="V5775" s="87" t="str">
        <x:v>KEY_MISMATCH</x:v>
      </x:c>
      <x:c r="W5775" s="87"/>
      <x:c r="X5775" s="87" t="n">
        <x:v>4</x:v>
      </x:c>
      <x:c r="Y5775" s="87"/>
      <x:c r="Z5775" s="87"/>
      <x:c r="AA5775" s="87"/>
      <x:c r="AB5775" s="87"/>
      <x:c r="AC5775" s="87" t="str">
        <x:v>VIS-EGKR-PHY-W25-TASK-953-P004</x:v>
      </x:c>
      <x:c r="AD5775" s="87" t="str">
        <x:v>VIS-EGKR-PHY-W25-ANSWERDOC-P003</x:v>
      </x:c>
      <x:c r="AE5775" s="87" t="str">
        <x:v>TASK; SECONDARY_ANSWER_SOURCE</x:v>
      </x:c>
      <x:c r="AF5775" s="87" t="str">
        <x:v>VIS-EGKR-PHY-W25-TASK-953-P004: 4; VIS-EGKR-PHY-W25-ANSWERDOC-P003: 3</x:v>
      </x:c>
      <x:c r="AG5775" s="87" t="str">
        <x:v>RESOLVED</x:v>
      </x:c>
      <x:c r="AH5775" s="87" t="str">
        <x:v>CROP_VERIFIED</x:v>
      </x:c>
      <x:c r="AI5775" s="30"/>
      <x:c r="AJ5775" s="87" t="str">
        <x:v>clean</x:v>
      </x:c>
      <x:c r="AK5775" s="87" t="str">
        <x:v>clean-v0.17</x:v>
      </x:c>
      <x:c r="AL5775" s="87" t="str">
        <x:v>statgrad_clean_continuation_v0_17(1).xlsx</x:v>
      </x:c>
      <x:c r="AM5775" s="87" t="str">
        <x:v>PHY_EGKR_953</x:v>
      </x:c>
      <x:c r="AN5775" s="87" t="n">
        <x:v>10</x:v>
      </x:c>
    </x:row>
    <x:row r="5776">
      <x:c r="A5776" s="87" t="n">
        <x:v>5775</x:v>
      </x:c>
      <x:c r="B5776" s="87" t="str">
        <x:v>EGKR-W25-PHY-953-10</x:v>
      </x:c>
      <x:c r="C5776" s="87" t="str">
        <x:v>ЕГКР</x:v>
      </x:c>
      <x:c r="D5776" s="87"/>
      <x:c r="E5776" s="87" t="str">
        <x:v>Зима 2025</x:v>
      </x:c>
      <x:c r="F5776" s="87" t="str">
        <x:v>18.12.2025</x:v>
      </x:c>
      <x:c r="G5776" s="87" t="str">
        <x:v>Физика</x:v>
      </x:c>
      <x:c r="H5776" s="87" t="n">
        <x:v>11</x:v>
      </x:c>
      <x:c r="I5776" s="87"/>
      <x:c r="J5776" s="87" t="str">
        <x:v>953</x:v>
      </x:c>
      <x:c r="K5776" s="87" t="n">
        <x:v>10</x:v>
      </x:c>
      <x:c r="L5776" s="87" t="str">
        <x:v>Тепловая машина</x:v>
      </x:c>
      <x:c r="M5776" s="30" t="str">
        <x:v>Определить изменение параметров тепловой машины/цикла Карно.</x:v>
      </x:c>
      <x:c r="N5776" s="30" t="str">
        <x:v>21</x:v>
      </x:c>
      <x:c r="O5776" s="30" t="str">
        <x:v>Использованы η=1-T₂/T₁ и баланс Q₁=Q₂+A.</x:v>
      </x:c>
      <x:c r="P5776" s="30" t="str">
        <x:v>Вычисление и полная визуальная страница проверены независимо.</x:v>
      </x:c>
      <x:c r="Q5776" s="30"/>
      <x:c r="R5776" s="30" t="str">
        <x:v>21</x:v>
      </x:c>
      <x:c r="S5776" s="30"/>
      <x:c r="T5776" s="30"/>
      <x:c r="U5776" s="30" t="str">
        <x:v>Ответник совпадает с независимой проверкой.</x:v>
      </x:c>
      <x:c r="V5776" s="87" t="str">
        <x:v>VERIFIED</x:v>
      </x:c>
      <x:c r="W5776" s="87"/>
      <x:c r="X5776" s="87" t="n">
        <x:v>4</x:v>
      </x:c>
      <x:c r="Y5776" s="87"/>
      <x:c r="Z5776" s="87"/>
      <x:c r="AA5776" s="87"/>
      <x:c r="AB5776" s="87"/>
      <x:c r="AC5776" s="87" t="str">
        <x:v>VIS-EGKR-PHY-W25-TASK-953-P004</x:v>
      </x:c>
      <x:c r="AD5776" s="87" t="str">
        <x:v>VIS-EGKR-PHY-W25-ANSWERDOC-P003</x:v>
      </x:c>
      <x:c r="AE5776" s="87" t="str">
        <x:v>TASK; SECONDARY_ANSWER_SOURCE</x:v>
      </x:c>
      <x:c r="AF5776" s="87" t="str">
        <x:v>VIS-EGKR-PHY-W25-TASK-953-P004: 4; VIS-EGKR-PHY-W25-ANSWERDOC-P003: 3</x:v>
      </x:c>
      <x:c r="AG5776" s="87" t="str">
        <x:v>RESOLVED</x:v>
      </x:c>
      <x:c r="AH5776" s="87" t="str">
        <x:v>CROP_VERIFIED</x:v>
      </x:c>
      <x:c r="AI5776" s="30"/>
      <x:c r="AJ5776" s="87" t="str">
        <x:v>clean</x:v>
      </x:c>
      <x:c r="AK5776" s="87" t="str">
        <x:v>clean-v0.17</x:v>
      </x:c>
      <x:c r="AL5776" s="87" t="str">
        <x:v>statgrad_clean_continuation_v0_17(1).xlsx</x:v>
      </x:c>
      <x:c r="AM5776" s="87" t="str">
        <x:v>PHY_EGKR_953</x:v>
      </x:c>
      <x:c r="AN5776" s="87" t="n">
        <x:v>11</x:v>
      </x:c>
    </x:row>
    <x:row r="5777">
      <x:c r="A5777" s="87" t="n">
        <x:v>5776</x:v>
      </x:c>
      <x:c r="B5777" s="87" t="str">
        <x:v>EGKR-W25-PHY-953-11</x:v>
      </x:c>
      <x:c r="C5777" s="87" t="str">
        <x:v>ЕГКР</x:v>
      </x:c>
      <x:c r="D5777" s="87"/>
      <x:c r="E5777" s="87" t="str">
        <x:v>Зима 2025</x:v>
      </x:c>
      <x:c r="F5777" s="87" t="str">
        <x:v>18.12.2025</x:v>
      </x:c>
      <x:c r="G5777" s="87" t="str">
        <x:v>Физика</x:v>
      </x:c>
      <x:c r="H5777" s="87" t="n">
        <x:v>11</x:v>
      </x:c>
      <x:c r="I5777" s="87"/>
      <x:c r="J5777" s="87" t="str">
        <x:v>953</x:v>
      </x:c>
      <x:c r="K5777" s="87" t="n">
        <x:v>11</x:v>
      </x:c>
      <x:c r="L5777" s="87" t="str">
        <x:v>Закон Ома</x:v>
      </x:c>
      <x:c r="M5777" s="30" t="str">
        <x:v>По графику зависимости силы тока от сопротивления определить напряжение.</x:v>
      </x:c>
      <x:c r="N5777" s="30" t="str">
        <x:v>3000</x:v>
      </x:c>
      <x:c r="O5777" s="30" t="str">
        <x:v>Напряжение найдено как U=IR.</x:v>
      </x:c>
      <x:c r="P5777" s="30" t="str">
        <x:v>Вычисление и полная визуальная страница проверены независимо.</x:v>
      </x:c>
      <x:c r="Q5777" s="30"/>
      <x:c r="R5777" s="30" t="str">
        <x:v>2</x:v>
      </x:c>
      <x:c r="S5777" s="30"/>
      <x:c r="T5777" s="30"/>
      <x:c r="U5777" s="30" t="str">
        <x:v>Ответник: 2; независимое решение: 3000.</x:v>
      </x:c>
      <x:c r="V5777" s="87" t="str">
        <x:v>KEY_MISMATCH</x:v>
      </x:c>
      <x:c r="W5777" s="87"/>
      <x:c r="X5777" s="87" t="n">
        <x:v>4</x:v>
      </x:c>
      <x:c r="Y5777" s="87"/>
      <x:c r="Z5777" s="87"/>
      <x:c r="AA5777" s="87"/>
      <x:c r="AB5777" s="87"/>
      <x:c r="AC5777" s="87" t="str">
        <x:v>VIS-EGKR-PHY-W25-TASK-953-P004</x:v>
      </x:c>
      <x:c r="AD5777" s="87" t="str">
        <x:v>VIS-EGKR-PHY-W25-ANSWERDOC-P003</x:v>
      </x:c>
      <x:c r="AE5777" s="87" t="str">
        <x:v>TASK; SECONDARY_ANSWER_SOURCE</x:v>
      </x:c>
      <x:c r="AF5777" s="87" t="str">
        <x:v>VIS-EGKR-PHY-W25-TASK-953-P004: 4; VIS-EGKR-PHY-W25-ANSWERDOC-P003: 3</x:v>
      </x:c>
      <x:c r="AG5777" s="87" t="str">
        <x:v>RESOLVED</x:v>
      </x:c>
      <x:c r="AH5777" s="87" t="str">
        <x:v>CROP_VERIFIED</x:v>
      </x:c>
      <x:c r="AI5777" s="30"/>
      <x:c r="AJ5777" s="87" t="str">
        <x:v>clean</x:v>
      </x:c>
      <x:c r="AK5777" s="87" t="str">
        <x:v>clean-v0.17</x:v>
      </x:c>
      <x:c r="AL5777" s="87" t="str">
        <x:v>statgrad_clean_continuation_v0_17(1).xlsx</x:v>
      </x:c>
      <x:c r="AM5777" s="87" t="str">
        <x:v>PHY_EGKR_953</x:v>
      </x:c>
      <x:c r="AN5777" s="87" t="n">
        <x:v>12</x:v>
      </x:c>
    </x:row>
    <x:row r="5778">
      <x:c r="A5778" s="87" t="n">
        <x:v>5777</x:v>
      </x:c>
      <x:c r="B5778" s="87" t="str">
        <x:v>EGKR-W25-PHY-953-12</x:v>
      </x:c>
      <x:c r="C5778" s="87" t="str">
        <x:v>ЕГКР</x:v>
      </x:c>
      <x:c r="D5778" s="87"/>
      <x:c r="E5778" s="87" t="str">
        <x:v>Зима 2025</x:v>
      </x:c>
      <x:c r="F5778" s="87" t="str">
        <x:v>18.12.2025</x:v>
      </x:c>
      <x:c r="G5778" s="87" t="str">
        <x:v>Физика</x:v>
      </x:c>
      <x:c r="H5778" s="87" t="n">
        <x:v>11</x:v>
      </x:c>
      <x:c r="I5778" s="87"/>
      <x:c r="J5778" s="87" t="str">
        <x:v>953</x:v>
      </x:c>
      <x:c r="K5778" s="87" t="n">
        <x:v>12</x:v>
      </x:c>
      <x:c r="L5778" s="87" t="str">
        <x:v>Самоиндукция</x:v>
      </x:c>
      <x:c r="M5778" s="30" t="str">
        <x:v>Вычислить ЭДС самоиндукции по изменению тока за время.</x:v>
      </x:c>
      <x:c r="N5778" s="30" t="str">
        <x:v>4,8</x:v>
      </x:c>
      <x:c r="O5778" s="30" t="str">
        <x:v>Использовано |ε|=L|ΔI|/Δt.</x:v>
      </x:c>
      <x:c r="P5778" s="30" t="str">
        <x:v>Вычисление и полная визуальная страница проверены независимо.</x:v>
      </x:c>
      <x:c r="Q5778" s="30"/>
      <x:c r="R5778" s="30" t="str">
        <x:v>24</x:v>
      </x:c>
      <x:c r="S5778" s="30"/>
      <x:c r="T5778" s="30"/>
      <x:c r="U5778" s="30" t="str">
        <x:v>Ответник: 24; независимое решение: 4,8.</x:v>
      </x:c>
      <x:c r="V5778" s="87" t="str">
        <x:v>KEY_MISMATCH</x:v>
      </x:c>
      <x:c r="W5778" s="87"/>
      <x:c r="X5778" s="87" t="n">
        <x:v>4</x:v>
      </x:c>
      <x:c r="Y5778" s="87"/>
      <x:c r="Z5778" s="87"/>
      <x:c r="AA5778" s="87"/>
      <x:c r="AB5778" s="87"/>
      <x:c r="AC5778" s="87" t="str">
        <x:v>VIS-EGKR-PHY-W25-TASK-953-P004</x:v>
      </x:c>
      <x:c r="AD5778" s="87" t="str">
        <x:v>VIS-EGKR-PHY-W25-ANSWERDOC-P003</x:v>
      </x:c>
      <x:c r="AE5778" s="87" t="str">
        <x:v>TASK; SECONDARY_ANSWER_SOURCE</x:v>
      </x:c>
      <x:c r="AF5778" s="87" t="str">
        <x:v>VIS-EGKR-PHY-W25-TASK-953-P004: 4; VIS-EGKR-PHY-W25-ANSWERDOC-P003: 3</x:v>
      </x:c>
      <x:c r="AG5778" s="87" t="str">
        <x:v>RESOLVED</x:v>
      </x:c>
      <x:c r="AH5778" s="87" t="str">
        <x:v>CROP_VERIFIED</x:v>
      </x:c>
      <x:c r="AI5778" s="30"/>
      <x:c r="AJ5778" s="87" t="str">
        <x:v>clean</x:v>
      </x:c>
      <x:c r="AK5778" s="87" t="str">
        <x:v>clean-v0.17</x:v>
      </x:c>
      <x:c r="AL5778" s="87" t="str">
        <x:v>statgrad_clean_continuation_v0_17(1).xlsx</x:v>
      </x:c>
      <x:c r="AM5778" s="87" t="str">
        <x:v>PHY_EGKR_953</x:v>
      </x:c>
      <x:c r="AN5778" s="87" t="n">
        <x:v>13</x:v>
      </x:c>
    </x:row>
    <x:row r="5779">
      <x:c r="A5779" s="87" t="n">
        <x:v>5778</x:v>
      </x:c>
      <x:c r="B5779" s="87" t="str">
        <x:v>EGKR-W25-PHY-953-13</x:v>
      </x:c>
      <x:c r="C5779" s="87" t="str">
        <x:v>ЕГКР</x:v>
      </x:c>
      <x:c r="D5779" s="87"/>
      <x:c r="E5779" s="87" t="str">
        <x:v>Зима 2025</x:v>
      </x:c>
      <x:c r="F5779" s="87" t="str">
        <x:v>18.12.2025</x:v>
      </x:c>
      <x:c r="G5779" s="87" t="str">
        <x:v>Физика</x:v>
      </x:c>
      <x:c r="H5779" s="87" t="n">
        <x:v>11</x:v>
      </x:c>
      <x:c r="I5779" s="87"/>
      <x:c r="J5779" s="87" t="str">
        <x:v>953</x:v>
      </x:c>
      <x:c r="K5779" s="87" t="n">
        <x:v>13</x:v>
      </x:c>
      <x:c r="L5779" s="87" t="str">
        <x:v>Колебательный контур</x:v>
      </x:c>
      <x:c r="M5779" s="30" t="str">
        <x:v>Определить параметр колебательного контура по формуле Томсона.</x:v>
      </x:c>
      <x:c r="N5779" s="30" t="str">
        <x:v>0,0025</x:v>
      </x:c>
      <x:c r="O5779" s="30" t="str">
        <x:v>Использовано T=2π√(LC).</x:v>
      </x:c>
      <x:c r="P5779" s="30" t="str">
        <x:v>Вычисление и полная визуальная страница проверены независимо.</x:v>
      </x:c>
      <x:c r="Q5779" s="30"/>
      <x:c r="R5779" s="30" t="str">
        <x:v>7,85·10^-3</x:v>
      </x:c>
      <x:c r="S5779" s="30"/>
      <x:c r="T5779" s="30"/>
      <x:c r="U5779" s="30" t="str">
        <x:v>Ответник: 7,85·10^-3; независимое решение: 0,0025.</x:v>
      </x:c>
      <x:c r="V5779" s="87" t="str">
        <x:v>KEY_MISMATCH</x:v>
      </x:c>
      <x:c r="W5779" s="87"/>
      <x:c r="X5779" s="87" t="n">
        <x:v>5</x:v>
      </x:c>
      <x:c r="Y5779" s="87"/>
      <x:c r="Z5779" s="87"/>
      <x:c r="AA5779" s="87"/>
      <x:c r="AB5779" s="87"/>
      <x:c r="AC5779" s="87" t="str">
        <x:v>VIS-EGKR-PHY-W25-TASK-953-P005</x:v>
      </x:c>
      <x:c r="AD5779" s="87" t="str">
        <x:v>VIS-EGKR-PHY-W25-ANSWERDOC-P003</x:v>
      </x:c>
      <x:c r="AE5779" s="87" t="str">
        <x:v>TASK; SECONDARY_ANSWER_SOURCE</x:v>
      </x:c>
      <x:c r="AF5779" s="87" t="str">
        <x:v>VIS-EGKR-PHY-W25-TASK-953-P005: 5; VIS-EGKR-PHY-W25-ANSWERDOC-P003: 3</x:v>
      </x:c>
      <x:c r="AG5779" s="87" t="str">
        <x:v>RESOLVED</x:v>
      </x:c>
      <x:c r="AH5779" s="87" t="str">
        <x:v>CROP_VERIFIED</x:v>
      </x:c>
      <x:c r="AI5779" s="30"/>
      <x:c r="AJ5779" s="87" t="str">
        <x:v>clean</x:v>
      </x:c>
      <x:c r="AK5779" s="87" t="str">
        <x:v>clean-v0.17</x:v>
      </x:c>
      <x:c r="AL5779" s="87" t="str">
        <x:v>statgrad_clean_continuation_v0_17(1).xlsx</x:v>
      </x:c>
      <x:c r="AM5779" s="87" t="str">
        <x:v>PHY_EGKR_953</x:v>
      </x:c>
      <x:c r="AN5779" s="87" t="n">
        <x:v>14</x:v>
      </x:c>
    </x:row>
    <x:row r="5780">
      <x:c r="A5780" s="87" t="n">
        <x:v>5779</x:v>
      </x:c>
      <x:c r="B5780" s="87" t="str">
        <x:v>EGKR-W25-PHY-953-14</x:v>
      </x:c>
      <x:c r="C5780" s="87" t="str">
        <x:v>ЕГКР</x:v>
      </x:c>
      <x:c r="D5780" s="87"/>
      <x:c r="E5780" s="87" t="str">
        <x:v>Зима 2025</x:v>
      </x:c>
      <x:c r="F5780" s="87" t="str">
        <x:v>18.12.2025</x:v>
      </x:c>
      <x:c r="G5780" s="87" t="str">
        <x:v>Физика</x:v>
      </x:c>
      <x:c r="H5780" s="87" t="n">
        <x:v>11</x:v>
      </x:c>
      <x:c r="I5780" s="87"/>
      <x:c r="J5780" s="87" t="str">
        <x:v>953</x:v>
      </x:c>
      <x:c r="K5780" s="87" t="n">
        <x:v>14</x:v>
      </x:c>
      <x:c r="L5780" s="87" t="str">
        <x:v>Электростатика</x:v>
      </x:c>
      <x:c r="M5780" s="30" t="str">
        <x:v>Выбрать верные утверждения об электрических зарядах и поле.</x:v>
      </x:c>
      <x:c r="N5780" s="30" t="str">
        <x:v>135</x:v>
      </x:c>
      <x:c r="O5780" s="30" t="str">
        <x:v>Утверждения проверены по закону Кулона и принципу суперпозиции.</x:v>
      </x:c>
      <x:c r="P5780" s="30" t="str">
        <x:v>Вычисление и полная визуальная страница проверены независимо.</x:v>
      </x:c>
      <x:c r="Q5780" s="30"/>
      <x:c r="R5780" s="30" t="str">
        <x:v>135</x:v>
      </x:c>
      <x:c r="S5780" s="30"/>
      <x:c r="T5780" s="30"/>
      <x:c r="U5780" s="30" t="str">
        <x:v>Ответник совпадает с независимой проверкой.</x:v>
      </x:c>
      <x:c r="V5780" s="87" t="str">
        <x:v>VERIFIED</x:v>
      </x:c>
      <x:c r="W5780" s="87"/>
      <x:c r="X5780" s="87" t="n">
        <x:v>5</x:v>
      </x:c>
      <x:c r="Y5780" s="87"/>
      <x:c r="Z5780" s="87"/>
      <x:c r="AA5780" s="87"/>
      <x:c r="AB5780" s="87"/>
      <x:c r="AC5780" s="87" t="str">
        <x:v>VIS-EGKR-PHY-W25-TASK-953-P005</x:v>
      </x:c>
      <x:c r="AD5780" s="87" t="str">
        <x:v>VIS-EGKR-PHY-W25-ANSWERDOC-P003</x:v>
      </x:c>
      <x:c r="AE5780" s="87" t="str">
        <x:v>TASK; SECONDARY_ANSWER_SOURCE</x:v>
      </x:c>
      <x:c r="AF5780" s="87" t="str">
        <x:v>VIS-EGKR-PHY-W25-TASK-953-P005: 5; VIS-EGKR-PHY-W25-ANSWERDOC-P003: 3</x:v>
      </x:c>
      <x:c r="AG5780" s="87" t="str">
        <x:v>RESOLVED</x:v>
      </x:c>
      <x:c r="AH5780" s="87" t="str">
        <x:v>CROP_VERIFIED</x:v>
      </x:c>
      <x:c r="AI5780" s="30"/>
      <x:c r="AJ5780" s="87" t="str">
        <x:v>clean</x:v>
      </x:c>
      <x:c r="AK5780" s="87" t="str">
        <x:v>clean-v0.17</x:v>
      </x:c>
      <x:c r="AL5780" s="87" t="str">
        <x:v>statgrad_clean_continuation_v0_17(1).xlsx</x:v>
      </x:c>
      <x:c r="AM5780" s="87" t="str">
        <x:v>PHY_EGKR_953</x:v>
      </x:c>
      <x:c r="AN5780" s="87" t="n">
        <x:v>15</x:v>
      </x:c>
    </x:row>
    <x:row r="5781">
      <x:c r="A5781" s="87" t="n">
        <x:v>5780</x:v>
      </x:c>
      <x:c r="B5781" s="87" t="str">
        <x:v>EGKR-W25-PHY-953-15</x:v>
      </x:c>
      <x:c r="C5781" s="87" t="str">
        <x:v>ЕГКР</x:v>
      </x:c>
      <x:c r="D5781" s="87"/>
      <x:c r="E5781" s="87" t="str">
        <x:v>Зима 2025</x:v>
      </x:c>
      <x:c r="F5781" s="87" t="str">
        <x:v>18.12.2025</x:v>
      </x:c>
      <x:c r="G5781" s="87" t="str">
        <x:v>Физика</x:v>
      </x:c>
      <x:c r="H5781" s="87" t="n">
        <x:v>11</x:v>
      </x:c>
      <x:c r="I5781" s="87"/>
      <x:c r="J5781" s="87" t="str">
        <x:v>953</x:v>
      </x:c>
      <x:c r="K5781" s="87" t="n">
        <x:v>15</x:v>
      </x:c>
      <x:c r="L5781" s="87" t="str">
        <x:v>Движение заряда в магнитном поле</x:v>
      </x:c>
      <x:c r="M5781" s="30" t="str">
        <x:v>Сравнить радиус и период движения иона в магнитном поле.</x:v>
      </x:c>
      <x:c r="N5781" s="30" t="str">
        <x:v>32</x:v>
      </x:c>
      <x:c r="O5781" s="30" t="str">
        <x:v>Использованы r=mv/(|q|B) и T=2πm/(|q|B).</x:v>
      </x:c>
      <x:c r="P5781" s="30" t="str">
        <x:v>Вычисление и полная визуальная страница проверены независимо.</x:v>
      </x:c>
      <x:c r="Q5781" s="30"/>
      <x:c r="R5781" s="30" t="str">
        <x:v>32</x:v>
      </x:c>
      <x:c r="S5781" s="30"/>
      <x:c r="T5781" s="30"/>
      <x:c r="U5781" s="30" t="str">
        <x:v>Ответник совпадает с независимой проверкой.</x:v>
      </x:c>
      <x:c r="V5781" s="87" t="str">
        <x:v>VERIFIED</x:v>
      </x:c>
      <x:c r="W5781" s="87"/>
      <x:c r="X5781" s="87" t="n">
        <x:v>5</x:v>
      </x:c>
      <x:c r="Y5781" s="87"/>
      <x:c r="Z5781" s="87"/>
      <x:c r="AA5781" s="87"/>
      <x:c r="AB5781" s="87"/>
      <x:c r="AC5781" s="87" t="str">
        <x:v>VIS-EGKR-PHY-W25-TASK-953-P005</x:v>
      </x:c>
      <x:c r="AD5781" s="87" t="str">
        <x:v>VIS-EGKR-PHY-W25-ANSWERDOC-P003</x:v>
      </x:c>
      <x:c r="AE5781" s="87" t="str">
        <x:v>TASK; SECONDARY_ANSWER_SOURCE</x:v>
      </x:c>
      <x:c r="AF5781" s="87" t="str">
        <x:v>VIS-EGKR-PHY-W25-TASK-953-P005: 5; VIS-EGKR-PHY-W25-ANSWERDOC-P003: 3</x:v>
      </x:c>
      <x:c r="AG5781" s="87" t="str">
        <x:v>RESOLVED</x:v>
      </x:c>
      <x:c r="AH5781" s="87" t="str">
        <x:v>CROP_VERIFIED</x:v>
      </x:c>
      <x:c r="AI5781" s="30"/>
      <x:c r="AJ5781" s="87" t="str">
        <x:v>clean</x:v>
      </x:c>
      <x:c r="AK5781" s="87" t="str">
        <x:v>clean-v0.17</x:v>
      </x:c>
      <x:c r="AL5781" s="87" t="str">
        <x:v>statgrad_clean_continuation_v0_17(1).xlsx</x:v>
      </x:c>
      <x:c r="AM5781" s="87" t="str">
        <x:v>PHY_EGKR_953</x:v>
      </x:c>
      <x:c r="AN5781" s="87" t="n">
        <x:v>16</x:v>
      </x:c>
    </x:row>
    <x:row r="5782">
      <x:c r="A5782" s="87" t="n">
        <x:v>5781</x:v>
      </x:c>
      <x:c r="B5782" s="87" t="str">
        <x:v>EGKR-W25-PHY-953-16</x:v>
      </x:c>
      <x:c r="C5782" s="87" t="str">
        <x:v>ЕГКР</x:v>
      </x:c>
      <x:c r="D5782" s="87"/>
      <x:c r="E5782" s="87" t="str">
        <x:v>Зима 2025</x:v>
      </x:c>
      <x:c r="F5782" s="87" t="str">
        <x:v>18.12.2025</x:v>
      </x:c>
      <x:c r="G5782" s="87" t="str">
        <x:v>Физика</x:v>
      </x:c>
      <x:c r="H5782" s="87" t="n">
        <x:v>11</x:v>
      </x:c>
      <x:c r="I5782" s="87"/>
      <x:c r="J5782" s="87" t="str">
        <x:v>953</x:v>
      </x:c>
      <x:c r="K5782" s="87" t="n">
        <x:v>16</x:v>
      </x:c>
      <x:c r="L5782" s="87" t="str">
        <x:v>Ядерная реакция</x:v>
      </x:c>
      <x:c r="M5782" s="30" t="str">
        <x:v>Восстановить частицу или коэффициент в ядерной реакции.</x:v>
      </x:c>
      <x:c r="N5782" s="30" t="str">
        <x:v>3</x:v>
      </x:c>
      <x:c r="O5782" s="30" t="str">
        <x:v>Сохранены массовое и зарядовое числа.</x:v>
      </x:c>
      <x:c r="P5782" s="30" t="str">
        <x:v>Вычисление и полная визуальная страница проверены независимо.</x:v>
      </x:c>
      <x:c r="Q5782" s="30"/>
      <x:c r="R5782" s="30" t="str">
        <x:v>5</x:v>
      </x:c>
      <x:c r="S5782" s="30"/>
      <x:c r="T5782" s="30"/>
      <x:c r="U5782" s="30" t="str">
        <x:v>Ответник: 5; независимое решение: 3.</x:v>
      </x:c>
      <x:c r="V5782" s="87" t="str">
        <x:v>KEY_MISMATCH</x:v>
      </x:c>
      <x:c r="W5782" s="87"/>
      <x:c r="X5782" s="87" t="n">
        <x:v>5</x:v>
      </x:c>
      <x:c r="Y5782" s="87"/>
      <x:c r="Z5782" s="87"/>
      <x:c r="AA5782" s="87"/>
      <x:c r="AB5782" s="87"/>
      <x:c r="AC5782" s="87" t="str">
        <x:v>VIS-EGKR-PHY-W25-TASK-953-P005</x:v>
      </x:c>
      <x:c r="AD5782" s="87" t="str">
        <x:v>VIS-EGKR-PHY-W25-ANSWERDOC-P003</x:v>
      </x:c>
      <x:c r="AE5782" s="87" t="str">
        <x:v>TASK; SECONDARY_ANSWER_SOURCE</x:v>
      </x:c>
      <x:c r="AF5782" s="87" t="str">
        <x:v>VIS-EGKR-PHY-W25-TASK-953-P005: 5; VIS-EGKR-PHY-W25-ANSWERDOC-P003: 3</x:v>
      </x:c>
      <x:c r="AG5782" s="87" t="str">
        <x:v>RESOLVED</x:v>
      </x:c>
      <x:c r="AH5782" s="87" t="str">
        <x:v>CROP_VERIFIED</x:v>
      </x:c>
      <x:c r="AI5782" s="30"/>
      <x:c r="AJ5782" s="87" t="str">
        <x:v>clean</x:v>
      </x:c>
      <x:c r="AK5782" s="87" t="str">
        <x:v>clean-v0.17</x:v>
      </x:c>
      <x:c r="AL5782" s="87" t="str">
        <x:v>statgrad_clean_continuation_v0_17(1).xlsx</x:v>
      </x:c>
      <x:c r="AM5782" s="87" t="str">
        <x:v>PHY_EGKR_953</x:v>
      </x:c>
      <x:c r="AN5782" s="87" t="n">
        <x:v>17</x:v>
      </x:c>
    </x:row>
    <x:row r="5783">
      <x:c r="A5783" s="87" t="n">
        <x:v>5782</x:v>
      </x:c>
      <x:c r="B5783" s="87" t="str">
        <x:v>EGKR-W25-PHY-953-17</x:v>
      </x:c>
      <x:c r="C5783" s="87" t="str">
        <x:v>ЕГКР</x:v>
      </x:c>
      <x:c r="D5783" s="87"/>
      <x:c r="E5783" s="87" t="str">
        <x:v>Зима 2025</x:v>
      </x:c>
      <x:c r="F5783" s="87" t="str">
        <x:v>18.12.2025</x:v>
      </x:c>
      <x:c r="G5783" s="87" t="str">
        <x:v>Физика</x:v>
      </x:c>
      <x:c r="H5783" s="87" t="n">
        <x:v>11</x:v>
      </x:c>
      <x:c r="I5783" s="87"/>
      <x:c r="J5783" s="87" t="str">
        <x:v>953</x:v>
      </x:c>
      <x:c r="K5783" s="87" t="n">
        <x:v>17</x:v>
      </x:c>
      <x:c r="L5783" s="87" t="str">
        <x:v>Квантовые переходы</x:v>
      </x:c>
      <x:c r="M5783" s="30" t="str">
        <x:v>Выбрать переходы атома водорода с заданными энергиями фотонов.</x:v>
      </x:c>
      <x:c r="N5783" s="30" t="str">
        <x:v>43</x:v>
      </x:c>
      <x:c r="O5783" s="30" t="str">
        <x:v>Энергия фотона равна модулю разности уровней.</x:v>
      </x:c>
      <x:c r="P5783" s="30" t="str">
        <x:v>Вычисление и полная визуальная страница проверены независимо.</x:v>
      </x:c>
      <x:c r="Q5783" s="30"/>
      <x:c r="R5783" s="30" t="str">
        <x:v>24</x:v>
      </x:c>
      <x:c r="S5783" s="30"/>
      <x:c r="T5783" s="30"/>
      <x:c r="U5783" s="30" t="str">
        <x:v>Ответник: 24; независимое решение: 43.</x:v>
      </x:c>
      <x:c r="V5783" s="87" t="str">
        <x:v>KEY_MISMATCH</x:v>
      </x:c>
      <x:c r="W5783" s="87"/>
      <x:c r="X5783" s="87" t="n">
        <x:v>5</x:v>
      </x:c>
      <x:c r="Y5783" s="87"/>
      <x:c r="Z5783" s="87"/>
      <x:c r="AA5783" s="87"/>
      <x:c r="AB5783" s="87"/>
      <x:c r="AC5783" s="87" t="str">
        <x:v>VIS-EGKR-PHY-W25-TASK-953-P005</x:v>
      </x:c>
      <x:c r="AD5783" s="87" t="str">
        <x:v>VIS-EGKR-PHY-W25-ANSWERDOC-P003</x:v>
      </x:c>
      <x:c r="AE5783" s="87" t="str">
        <x:v>TASK; SECONDARY_ANSWER_SOURCE</x:v>
      </x:c>
      <x:c r="AF5783" s="87" t="str">
        <x:v>VIS-EGKR-PHY-W25-TASK-953-P005: 5; VIS-EGKR-PHY-W25-ANSWERDOC-P003: 3</x:v>
      </x:c>
      <x:c r="AG5783" s="87" t="str">
        <x:v>RESOLVED</x:v>
      </x:c>
      <x:c r="AH5783" s="87" t="str">
        <x:v>CROP_VERIFIED</x:v>
      </x:c>
      <x:c r="AI5783" s="30"/>
      <x:c r="AJ5783" s="87" t="str">
        <x:v>clean</x:v>
      </x:c>
      <x:c r="AK5783" s="87" t="str">
        <x:v>clean-v0.17</x:v>
      </x:c>
      <x:c r="AL5783" s="87" t="str">
        <x:v>statgrad_clean_continuation_v0_17(1).xlsx</x:v>
      </x:c>
      <x:c r="AM5783" s="87" t="str">
        <x:v>PHY_EGKR_953</x:v>
      </x:c>
      <x:c r="AN5783" s="87" t="n">
        <x:v>18</x:v>
      </x:c>
    </x:row>
    <x:row r="5784">
      <x:c r="A5784" s="87" t="n">
        <x:v>5783</x:v>
      </x:c>
      <x:c r="B5784" s="87" t="str">
        <x:v>EGKR-W25-PHY-953-18</x:v>
      </x:c>
      <x:c r="C5784" s="87" t="str">
        <x:v>ЕГКР</x:v>
      </x:c>
      <x:c r="D5784" s="87"/>
      <x:c r="E5784" s="87" t="str">
        <x:v>Зима 2025</x:v>
      </x:c>
      <x:c r="F5784" s="87" t="str">
        <x:v>18.12.2025</x:v>
      </x:c>
      <x:c r="G5784" s="87" t="str">
        <x:v>Физика</x:v>
      </x:c>
      <x:c r="H5784" s="87" t="n">
        <x:v>11</x:v>
      </x:c>
      <x:c r="I5784" s="87"/>
      <x:c r="J5784" s="87" t="str">
        <x:v>953</x:v>
      </x:c>
      <x:c r="K5784" s="87" t="n">
        <x:v>18</x:v>
      </x:c>
      <x:c r="L5784" s="87" t="str">
        <x:v>Физические законы</x:v>
      </x:c>
      <x:c r="M5784" s="30" t="str">
        <x:v>Выбрать верные утверждения по физическим законам и явлениям.</x:v>
      </x:c>
      <x:c r="N5784" s="30" t="str">
        <x:v>1234</x:v>
      </x:c>
      <x:c r="O5784" s="30" t="str">
        <x:v>Каждое суждение проверено по соответствующему физическому закону.</x:v>
      </x:c>
      <x:c r="P5784" s="30" t="str">
        <x:v>Вычисление и полная визуальная страница проверены независимо.</x:v>
      </x:c>
      <x:c r="Q5784" s="30"/>
      <x:c r="R5784" s="30" t="str">
        <x:v>1345</x:v>
      </x:c>
      <x:c r="S5784" s="30"/>
      <x:c r="T5784" s="30"/>
      <x:c r="U5784" s="30" t="str">
        <x:v>Ответник: 1345; независимое решение: 1234.</x:v>
      </x:c>
      <x:c r="V5784" s="87" t="str">
        <x:v>KEY_MISMATCH</x:v>
      </x:c>
      <x:c r="W5784" s="87"/>
      <x:c r="X5784" s="87" t="n">
        <x:v>5</x:v>
      </x:c>
      <x:c r="Y5784" s="87"/>
      <x:c r="Z5784" s="87"/>
      <x:c r="AA5784" s="87"/>
      <x:c r="AB5784" s="87"/>
      <x:c r="AC5784" s="87" t="str">
        <x:v>VIS-EGKR-PHY-W25-TASK-953-P005</x:v>
      </x:c>
      <x:c r="AD5784" s="87" t="str">
        <x:v>VIS-EGKR-PHY-W25-ANSWERDOC-P003</x:v>
      </x:c>
      <x:c r="AE5784" s="87" t="str">
        <x:v>TASK; SECONDARY_ANSWER_SOURCE</x:v>
      </x:c>
      <x:c r="AF5784" s="87" t="str">
        <x:v>VIS-EGKR-PHY-W25-TASK-953-P005: 5; VIS-EGKR-PHY-W25-ANSWERDOC-P003: 3</x:v>
      </x:c>
      <x:c r="AG5784" s="87" t="str">
        <x:v>RESOLVED</x:v>
      </x:c>
      <x:c r="AH5784" s="87" t="str">
        <x:v>CROP_VERIFIED</x:v>
      </x:c>
      <x:c r="AI5784" s="30"/>
      <x:c r="AJ5784" s="87" t="str">
        <x:v>clean</x:v>
      </x:c>
      <x:c r="AK5784" s="87" t="str">
        <x:v>clean-v0.17</x:v>
      </x:c>
      <x:c r="AL5784" s="87" t="str">
        <x:v>statgrad_clean_continuation_v0_17(1).xlsx</x:v>
      </x:c>
      <x:c r="AM5784" s="87" t="str">
        <x:v>PHY_EGKR_953</x:v>
      </x:c>
      <x:c r="AN5784" s="87" t="n">
        <x:v>19</x:v>
      </x:c>
    </x:row>
    <x:row r="5785">
      <x:c r="A5785" s="87" t="n">
        <x:v>5784</x:v>
      </x:c>
      <x:c r="B5785" s="87" t="str">
        <x:v>EGKR-W25-PHY-953-19</x:v>
      </x:c>
      <x:c r="C5785" s="87" t="str">
        <x:v>ЕГКР</x:v>
      </x:c>
      <x:c r="D5785" s="87"/>
      <x:c r="E5785" s="87" t="str">
        <x:v>Зима 2025</x:v>
      </x:c>
      <x:c r="F5785" s="87" t="str">
        <x:v>18.12.2025</x:v>
      </x:c>
      <x:c r="G5785" s="87" t="str">
        <x:v>Физика</x:v>
      </x:c>
      <x:c r="H5785" s="87" t="n">
        <x:v>11</x:v>
      </x:c>
      <x:c r="I5785" s="87"/>
      <x:c r="J5785" s="87" t="str">
        <x:v>953</x:v>
      </x:c>
      <x:c r="K5785" s="87" t="n">
        <x:v>19</x:v>
      </x:c>
      <x:c r="L5785" s="87" t="str">
        <x:v>Измерительный прибор</x:v>
      </x:c>
      <x:c r="M5785" s="30" t="str">
        <x:v>Снять показание амперметра с учётом цены деления и погрешности.</x:v>
      </x:c>
      <x:c r="N5785" s="30" t="str">
        <x:v>10 ± 2</x:v>
      </x:c>
      <x:c r="O5785" s="30" t="str">
        <x:v>Показание считано по шкале; погрешность принята равной цене деления.</x:v>
      </x:c>
      <x:c r="P5785" s="30" t="str">
        <x:v>Вычисление и полная визуальная страница проверены независимо.</x:v>
      </x:c>
      <x:c r="Q5785" s="30"/>
      <x:c r="R5785" s="30" t="str">
        <x:v>MISSING</x:v>
      </x:c>
      <x:c r="S5785" s="30"/>
      <x:c r="T5785" s="30"/>
      <x:c r="U5785" s="30" t="str">
        <x:v>Ответ отсутствовал в DOCX и восстановлен по условию.</x:v>
      </x:c>
      <x:c r="V5785" s="87" t="str">
        <x:v>SOURCE_GAP_RECOVERED</x:v>
      </x:c>
      <x:c r="W5785" s="87"/>
      <x:c r="X5785" s="87" t="n">
        <x:v>6</x:v>
      </x:c>
      <x:c r="Y5785" s="87"/>
      <x:c r="Z5785" s="87"/>
      <x:c r="AA5785" s="87"/>
      <x:c r="AB5785" s="87"/>
      <x:c r="AC5785" s="87" t="str">
        <x:v>VIS-EGKR-PHY-W25-TASK-953-P006</x:v>
      </x:c>
      <x:c r="AD5785" s="87" t="str">
        <x:v>VIS-EGKR-PHY-W25-ANSWERDOC-P003</x:v>
      </x:c>
      <x:c r="AE5785" s="87" t="str">
        <x:v>TASK; SECONDARY_ANSWER_SOURCE</x:v>
      </x:c>
      <x:c r="AF5785" s="87" t="str">
        <x:v>VIS-EGKR-PHY-W25-TASK-953-P006: 6; VIS-EGKR-PHY-W25-ANSWERDOC-P003: 3</x:v>
      </x:c>
      <x:c r="AG5785" s="87" t="str">
        <x:v>RESOLVED</x:v>
      </x:c>
      <x:c r="AH5785" s="87" t="str">
        <x:v>CROP_VERIFIED</x:v>
      </x:c>
      <x:c r="AI5785" s="30"/>
      <x:c r="AJ5785" s="87" t="str">
        <x:v>clean</x:v>
      </x:c>
      <x:c r="AK5785" s="87" t="str">
        <x:v>clean-v0.17</x:v>
      </x:c>
      <x:c r="AL5785" s="87" t="str">
        <x:v>statgrad_clean_continuation_v0_17(1).xlsx</x:v>
      </x:c>
      <x:c r="AM5785" s="87" t="str">
        <x:v>PHY_EGKR_953</x:v>
      </x:c>
      <x:c r="AN5785" s="87" t="n">
        <x:v>20</x:v>
      </x:c>
    </x:row>
    <x:row r="5786">
      <x:c r="A5786" s="87" t="n">
        <x:v>5785</x:v>
      </x:c>
      <x:c r="B5786" s="87" t="str">
        <x:v>EGKR-W25-PHY-953-20</x:v>
      </x:c>
      <x:c r="C5786" s="87" t="str">
        <x:v>ЕГКР</x:v>
      </x:c>
      <x:c r="D5786" s="87"/>
      <x:c r="E5786" s="87" t="str">
        <x:v>Зима 2025</x:v>
      </x:c>
      <x:c r="F5786" s="87" t="str">
        <x:v>18.12.2025</x:v>
      </x:c>
      <x:c r="G5786" s="87" t="str">
        <x:v>Физика</x:v>
      </x:c>
      <x:c r="H5786" s="87" t="n">
        <x:v>11</x:v>
      </x:c>
      <x:c r="I5786" s="87"/>
      <x:c r="J5786" s="87" t="str">
        <x:v>953</x:v>
      </x:c>
      <x:c r="K5786" s="87" t="n">
        <x:v>20</x:v>
      </x:c>
      <x:c r="L5786" s="87" t="str">
        <x:v>Планирование эксперимента</x:v>
      </x:c>
      <x:c r="M5786" s="30" t="str">
        <x:v>Выбрать два сосуда/установки для исследования требуемой зависимости.</x:v>
      </x:c>
      <x:c r="N5786" s="30" t="str">
        <x:v>13</x:v>
      </x:c>
      <x:c r="O5786" s="30" t="str">
        <x:v>Для чистого эксперимента оставлен один изменяемый параметр при одинаковых остальных.</x:v>
      </x:c>
      <x:c r="P5786" s="30" t="str">
        <x:v>Вычисление и полная визуальная страница проверены независимо.</x:v>
      </x:c>
      <x:c r="Q5786" s="30"/>
      <x:c r="R5786" s="30" t="str">
        <x:v>MISSING</x:v>
      </x:c>
      <x:c r="S5786" s="30"/>
      <x:c r="T5786" s="30"/>
      <x:c r="U5786" s="30" t="str">
        <x:v>Ответ отсутствовал в DOCX и восстановлен по условию.</x:v>
      </x:c>
      <x:c r="V5786" s="87" t="str">
        <x:v>SOURCE_GAP_RECOVERED</x:v>
      </x:c>
      <x:c r="W5786" s="87"/>
      <x:c r="X5786" s="87" t="n">
        <x:v>6</x:v>
      </x:c>
      <x:c r="Y5786" s="87"/>
      <x:c r="Z5786" s="87"/>
      <x:c r="AA5786" s="87"/>
      <x:c r="AB5786" s="87"/>
      <x:c r="AC5786" s="87" t="str">
        <x:v>VIS-EGKR-PHY-W25-TASK-953-P006</x:v>
      </x:c>
      <x:c r="AD5786" s="87" t="str">
        <x:v>VIS-EGKR-PHY-W25-ANSWERDOC-P003</x:v>
      </x:c>
      <x:c r="AE5786" s="87" t="str">
        <x:v>TASK; SECONDARY_ANSWER_SOURCE</x:v>
      </x:c>
      <x:c r="AF5786" s="87" t="str">
        <x:v>VIS-EGKR-PHY-W25-TASK-953-P006: 6; VIS-EGKR-PHY-W25-ANSWERDOC-P003: 3</x:v>
      </x:c>
      <x:c r="AG5786" s="87" t="str">
        <x:v>RESOLVED</x:v>
      </x:c>
      <x:c r="AH5786" s="87" t="str">
        <x:v>CROP_VERIFIED</x:v>
      </x:c>
      <x:c r="AI5786" s="30"/>
      <x:c r="AJ5786" s="87" t="str">
        <x:v>clean</x:v>
      </x:c>
      <x:c r="AK5786" s="87" t="str">
        <x:v>clean-v0.17</x:v>
      </x:c>
      <x:c r="AL5786" s="87" t="str">
        <x:v>statgrad_clean_continuation_v0_17(1).xlsx</x:v>
      </x:c>
      <x:c r="AM5786" s="87" t="str">
        <x:v>PHY_EGKR_953</x:v>
      </x:c>
      <x:c r="AN5786" s="87" t="n">
        <x:v>21</x:v>
      </x:c>
    </x:row>
    <x:row r="5787">
      <x:c r="A5787" s="87" t="n">
        <x:v>5786</x:v>
      </x:c>
      <x:c r="B5787" s="87" t="str">
        <x:v>EGKR-W25-PHY-953-21</x:v>
      </x:c>
      <x:c r="C5787" s="87" t="str">
        <x:v>ЕГКР</x:v>
      </x:c>
      <x:c r="D5787" s="87"/>
      <x:c r="E5787" s="87" t="str">
        <x:v>Зима 2025</x:v>
      </x:c>
      <x:c r="F5787" s="87" t="str">
        <x:v>18.12.2025</x:v>
      </x:c>
      <x:c r="G5787" s="87" t="str">
        <x:v>Физика</x:v>
      </x:c>
      <x:c r="H5787" s="87" t="n">
        <x:v>11</x:v>
      </x:c>
      <x:c r="I5787" s="87"/>
      <x:c r="J5787" s="87" t="str">
        <x:v>953</x:v>
      </x:c>
      <x:c r="K5787" s="87" t="n">
        <x:v>21</x:v>
      </x:c>
      <x:c r="L5787" s="87" t="str">
        <x:v>Развёрнутый ответ</x:v>
      </x:c>
      <x:c r="M5787" s="30" t="str">
        <x:v>По диаграмме T(V) объяснить изменение давления при переходах 1→2→3.</x:v>
      </x:c>
      <x:c r="N5787" s="30" t="str">
        <x:v>По p=νRT/V: при 1→2 отношение T/V уменьшается, давление падает; при 2→3 возрастает до исходного. p₁=p₃, p₂&lt;p₁.</x:v>
      </x:c>
      <x:c r="O5787" s="30" t="str">
        <x:v>Модель содержит необходимые законы, преобразования и численный вывод.</x:v>
      </x:c>
      <x:c r="P5787" s="30" t="str">
        <x:v>Решение получено независимо по исходному условию.</x:v>
      </x:c>
      <x:c r="Q5787" s="30"/>
      <x:c r="R5787" s="30" t="str">
        <x:v>MODEL_NOT_PROVIDED</x:v>
      </x:c>
      <x:c r="S5787" s="30"/>
      <x:c r="T5787" s="30"/>
      <x:c r="U5787" s="30" t="str">
        <x:v>Вторичный ответник не содержит развёрнутых решений.</x:v>
      </x:c>
      <x:c r="V5787" s="87" t="str">
        <x:v>VERIFIED</x:v>
      </x:c>
      <x:c r="W5787" s="87"/>
      <x:c r="X5787" s="87" t="n">
        <x:v>7</x:v>
      </x:c>
      <x:c r="Y5787" s="87"/>
      <x:c r="Z5787" s="87"/>
      <x:c r="AA5787" s="87"/>
      <x:c r="AB5787" s="87"/>
      <x:c r="AC5787" s="87" t="str">
        <x:v>VIS-EGKR-PHY-W25-TASK-953-P007</x:v>
      </x:c>
      <x:c r="AD5787" s="87"/>
      <x:c r="AE5787" s="87" t="str">
        <x:v>TASK</x:v>
      </x:c>
      <x:c r="AF5787" s="87" t="str">
        <x:v>VIS-EGKR-PHY-W25-TASK-953-P007: 7</x:v>
      </x:c>
      <x:c r="AG5787" s="87" t="str">
        <x:v>RESOLVED</x:v>
      </x:c>
      <x:c r="AH5787" s="87" t="str">
        <x:v>CROP_VERIFIED; TASK_CROP_QA_APPROVED:MANUAL_BBOX</x:v>
      </x:c>
      <x:c r="AI5787" s="30"/>
      <x:c r="AJ5787" s="87" t="str">
        <x:v>clean</x:v>
      </x:c>
      <x:c r="AK5787" s="87" t="str">
        <x:v>clean-v0.17</x:v>
      </x:c>
      <x:c r="AL5787" s="87" t="str">
        <x:v>statgrad_clean_continuation_v0_17(1).xlsx</x:v>
      </x:c>
      <x:c r="AM5787" s="87" t="str">
        <x:v>PHY_EGKR_953</x:v>
      </x:c>
      <x:c r="AN5787" s="87" t="n">
        <x:v>22</x:v>
      </x:c>
    </x:row>
    <x:row r="5788">
      <x:c r="A5788" s="87" t="n">
        <x:v>5787</x:v>
      </x:c>
      <x:c r="B5788" s="87" t="str">
        <x:v>EGKR-W25-PHY-953-22</x:v>
      </x:c>
      <x:c r="C5788" s="87" t="str">
        <x:v>ЕГКР</x:v>
      </x:c>
      <x:c r="D5788" s="87"/>
      <x:c r="E5788" s="87" t="str">
        <x:v>Зима 2025</x:v>
      </x:c>
      <x:c r="F5788" s="87" t="str">
        <x:v>18.12.2025</x:v>
      </x:c>
      <x:c r="G5788" s="87" t="str">
        <x:v>Физика</x:v>
      </x:c>
      <x:c r="H5788" s="87" t="n">
        <x:v>11</x:v>
      </x:c>
      <x:c r="I5788" s="87"/>
      <x:c r="J5788" s="87" t="str">
        <x:v>953</x:v>
      </x:c>
      <x:c r="K5788" s="87" t="n">
        <x:v>22</x:v>
      </x:c>
      <x:c r="L5788" s="87" t="str">
        <x:v>Развёрнутый ответ</x:v>
      </x:c>
      <x:c r="M5788" s="30" t="str">
        <x:v>Поезд на участке 4 км разгоняется до 20 м/с. Найти прирост скорости на первом километре.</x:v>
      </x:c>
      <x:c r="N5788" s="30" t="str">
        <x:v>При равноускоренном движении v∝√s, поэтому после 1 км скорость 10 м/с; прирост равен 10 м/с.</x:v>
      </x:c>
      <x:c r="O5788" s="30" t="str">
        <x:v>Модель содержит необходимые законы, преобразования и численный вывод.</x:v>
      </x:c>
      <x:c r="P5788" s="30" t="str">
        <x:v>Решение получено независимо по исходному условию.</x:v>
      </x:c>
      <x:c r="Q5788" s="30"/>
      <x:c r="R5788" s="30" t="str">
        <x:v>MODEL_NOT_PROVIDED</x:v>
      </x:c>
      <x:c r="S5788" s="30"/>
      <x:c r="T5788" s="30"/>
      <x:c r="U5788" s="30" t="str">
        <x:v>Вторичный ответник не содержит развёрнутых решений.</x:v>
      </x:c>
      <x:c r="V5788" s="87" t="str">
        <x:v>VERIFIED</x:v>
      </x:c>
      <x:c r="W5788" s="87"/>
      <x:c r="X5788" s="87" t="n">
        <x:v>7</x:v>
      </x:c>
      <x:c r="Y5788" s="87"/>
      <x:c r="Z5788" s="87"/>
      <x:c r="AA5788" s="87"/>
      <x:c r="AB5788" s="87"/>
      <x:c r="AC5788" s="87" t="str">
        <x:v>VIS-EGKR-PHY-W25-TASK-953-P007</x:v>
      </x:c>
      <x:c r="AD5788" s="87"/>
      <x:c r="AE5788" s="87" t="str">
        <x:v>TASK</x:v>
      </x:c>
      <x:c r="AF5788" s="87" t="str">
        <x:v>VIS-EGKR-PHY-W25-TASK-953-P007: 7</x:v>
      </x:c>
      <x:c r="AG5788" s="87" t="str">
        <x:v>RESOLVED</x:v>
      </x:c>
      <x:c r="AH5788" s="87" t="str">
        <x:v>CROP_VERIFIED</x:v>
      </x:c>
      <x:c r="AI5788" s="30"/>
      <x:c r="AJ5788" s="87" t="str">
        <x:v>clean</x:v>
      </x:c>
      <x:c r="AK5788" s="87" t="str">
        <x:v>clean-v0.17</x:v>
      </x:c>
      <x:c r="AL5788" s="87" t="str">
        <x:v>statgrad_clean_continuation_v0_17(1).xlsx</x:v>
      </x:c>
      <x:c r="AM5788" s="87" t="str">
        <x:v>PHY_EGKR_953</x:v>
      </x:c>
      <x:c r="AN5788" s="87" t="n">
        <x:v>23</x:v>
      </x:c>
    </x:row>
    <x:row r="5789">
      <x:c r="A5789" s="87" t="n">
        <x:v>5788</x:v>
      </x:c>
      <x:c r="B5789" s="87" t="str">
        <x:v>EGKR-W25-PHY-953-23</x:v>
      </x:c>
      <x:c r="C5789" s="87" t="str">
        <x:v>ЕГКР</x:v>
      </x:c>
      <x:c r="D5789" s="87"/>
      <x:c r="E5789" s="87" t="str">
        <x:v>Зима 2025</x:v>
      </x:c>
      <x:c r="F5789" s="87" t="str">
        <x:v>18.12.2025</x:v>
      </x:c>
      <x:c r="G5789" s="87" t="str">
        <x:v>Физика</x:v>
      </x:c>
      <x:c r="H5789" s="87" t="n">
        <x:v>11</x:v>
      </x:c>
      <x:c r="I5789" s="87"/>
      <x:c r="J5789" s="87" t="str">
        <x:v>953</x:v>
      </x:c>
      <x:c r="K5789" s="87" t="n">
        <x:v>23</x:v>
      </x:c>
      <x:c r="L5789" s="87" t="str">
        <x:v>Развёрнутый ответ</x:v>
      </x:c>
      <x:c r="M5789" s="30" t="str">
        <x:v>Проводник в магнитном поле: при меньшем натяжении 10 Н найти большее.</x:v>
      </x:c>
      <x:c r="N5789" s="30" t="str">
        <x:v>При смене направления силы Ампера натяжения равны mg±F_A; по данным большее натяжение 30 Н.</x:v>
      </x:c>
      <x:c r="O5789" s="30" t="str">
        <x:v>Модель содержит необходимые законы, преобразования и численный вывод.</x:v>
      </x:c>
      <x:c r="P5789" s="30" t="str">
        <x:v>Решение получено независимо по исходному условию.</x:v>
      </x:c>
      <x:c r="Q5789" s="30"/>
      <x:c r="R5789" s="30" t="str">
        <x:v>MODEL_NOT_PROVIDED</x:v>
      </x:c>
      <x:c r="S5789" s="30"/>
      <x:c r="T5789" s="30"/>
      <x:c r="U5789" s="30" t="str">
        <x:v>Вторичный ответник не содержит развёрнутых решений.</x:v>
      </x:c>
      <x:c r="V5789" s="87" t="str">
        <x:v>VERIFIED</x:v>
      </x:c>
      <x:c r="W5789" s="87"/>
      <x:c r="X5789" s="87" t="n">
        <x:v>7</x:v>
      </x:c>
      <x:c r="Y5789" s="87"/>
      <x:c r="Z5789" s="87"/>
      <x:c r="AA5789" s="87"/>
      <x:c r="AB5789" s="87"/>
      <x:c r="AC5789" s="87" t="str">
        <x:v>VIS-EGKR-PHY-W25-TASK-953-P007</x:v>
      </x:c>
      <x:c r="AD5789" s="87"/>
      <x:c r="AE5789" s="87" t="str">
        <x:v>TASK</x:v>
      </x:c>
      <x:c r="AF5789" s="87" t="str">
        <x:v>VIS-EGKR-PHY-W25-TASK-953-P007: 7</x:v>
      </x:c>
      <x:c r="AG5789" s="87" t="str">
        <x:v>RESOLVED</x:v>
      </x:c>
      <x:c r="AH5789" s="87" t="str">
        <x:v>CROP_VERIFIED</x:v>
      </x:c>
      <x:c r="AI5789" s="30"/>
      <x:c r="AJ5789" s="87" t="str">
        <x:v>clean</x:v>
      </x:c>
      <x:c r="AK5789" s="87" t="str">
        <x:v>clean-v0.17</x:v>
      </x:c>
      <x:c r="AL5789" s="87" t="str">
        <x:v>statgrad_clean_continuation_v0_17(1).xlsx</x:v>
      </x:c>
      <x:c r="AM5789" s="87" t="str">
        <x:v>PHY_EGKR_953</x:v>
      </x:c>
      <x:c r="AN5789" s="87" t="n">
        <x:v>24</x:v>
      </x:c>
    </x:row>
    <x:row r="5790">
      <x:c r="A5790" s="87" t="n">
        <x:v>5789</x:v>
      </x:c>
      <x:c r="B5790" s="87" t="str">
        <x:v>EGKR-W25-PHY-953-24</x:v>
      </x:c>
      <x:c r="C5790" s="87" t="str">
        <x:v>ЕГКР</x:v>
      </x:c>
      <x:c r="D5790" s="87"/>
      <x:c r="E5790" s="87" t="str">
        <x:v>Зима 2025</x:v>
      </x:c>
      <x:c r="F5790" s="87" t="str">
        <x:v>18.12.2025</x:v>
      </x:c>
      <x:c r="G5790" s="87" t="str">
        <x:v>Физика</x:v>
      </x:c>
      <x:c r="H5790" s="87" t="n">
        <x:v>11</x:v>
      </x:c>
      <x:c r="I5790" s="87"/>
      <x:c r="J5790" s="87" t="str">
        <x:v>953</x:v>
      </x:c>
      <x:c r="K5790" s="87" t="n">
        <x:v>24</x:v>
      </x:c>
      <x:c r="L5790" s="87" t="str">
        <x:v>Развёрнутый ответ</x:v>
      </x:c>
      <x:c r="M5790" s="30" t="str">
        <x:v>Газ T₁=250 К, плотность уменьшилась в 2 раза, Q=25 кДж. Найти количество вещества.</x:v>
      </x:c>
      <x:c r="N5790" s="30" t="str">
        <x:v>По процессу p∝V получаем T₂=4T₁ и выражение для Q; подстановка даёт ν=2 моль.</x:v>
      </x:c>
      <x:c r="O5790" s="30" t="str">
        <x:v>Модель содержит необходимые законы, преобразования и численный вывод.</x:v>
      </x:c>
      <x:c r="P5790" s="30" t="str">
        <x:v>Решение получено независимо по исходному условию.</x:v>
      </x:c>
      <x:c r="Q5790" s="30"/>
      <x:c r="R5790" s="30" t="str">
        <x:v>MODEL_NOT_PROVIDED</x:v>
      </x:c>
      <x:c r="S5790" s="30"/>
      <x:c r="T5790" s="30"/>
      <x:c r="U5790" s="30" t="str">
        <x:v>Вторичный ответник не содержит развёрнутых решений.</x:v>
      </x:c>
      <x:c r="V5790" s="87" t="str">
        <x:v>VERIFIED</x:v>
      </x:c>
      <x:c r="W5790" s="87"/>
      <x:c r="X5790" s="87" t="n">
        <x:v>7</x:v>
      </x:c>
      <x:c r="Y5790" s="87"/>
      <x:c r="Z5790" s="87"/>
      <x:c r="AA5790" s="87"/>
      <x:c r="AB5790" s="87"/>
      <x:c r="AC5790" s="87" t="str">
        <x:v>VIS-EGKR-PHY-W25-TASK-953-P007</x:v>
      </x:c>
      <x:c r="AD5790" s="87"/>
      <x:c r="AE5790" s="87" t="str">
        <x:v>TASK</x:v>
      </x:c>
      <x:c r="AF5790" s="87" t="str">
        <x:v>VIS-EGKR-PHY-W25-TASK-953-P007: 7</x:v>
      </x:c>
      <x:c r="AG5790" s="87" t="str">
        <x:v>RESOLVED</x:v>
      </x:c>
      <x:c r="AH5790" s="87" t="str">
        <x:v>CROP_VERIFIED</x:v>
      </x:c>
      <x:c r="AI5790" s="30"/>
      <x:c r="AJ5790" s="87" t="str">
        <x:v>clean</x:v>
      </x:c>
      <x:c r="AK5790" s="87" t="str">
        <x:v>clean-v0.17</x:v>
      </x:c>
      <x:c r="AL5790" s="87" t="str">
        <x:v>statgrad_clean_continuation_v0_17(1).xlsx</x:v>
      </x:c>
      <x:c r="AM5790" s="87" t="str">
        <x:v>PHY_EGKR_953</x:v>
      </x:c>
      <x:c r="AN5790" s="87" t="n">
        <x:v>25</x:v>
      </x:c>
    </x:row>
    <x:row r="5791">
      <x:c r="A5791" s="87" t="n">
        <x:v>5790</x:v>
      </x:c>
      <x:c r="B5791" s="87" t="str">
        <x:v>EGKR-W25-PHY-953-25</x:v>
      </x:c>
      <x:c r="C5791" s="87" t="str">
        <x:v>ЕГКР</x:v>
      </x:c>
      <x:c r="D5791" s="87"/>
      <x:c r="E5791" s="87" t="str">
        <x:v>Зима 2025</x:v>
      </x:c>
      <x:c r="F5791" s="87" t="str">
        <x:v>18.12.2025</x:v>
      </x:c>
      <x:c r="G5791" s="87" t="str">
        <x:v>Физика</x:v>
      </x:c>
      <x:c r="H5791" s="87" t="n">
        <x:v>11</x:v>
      </x:c>
      <x:c r="I5791" s="87"/>
      <x:c r="J5791" s="87" t="str">
        <x:v>953</x:v>
      </x:c>
      <x:c r="K5791" s="87" t="n">
        <x:v>25</x:v>
      </x:c>
      <x:c r="L5791" s="87" t="str">
        <x:v>Развёрнутый ответ</x:v>
      </x:c>
      <x:c r="M5791" s="30" t="str">
        <x:v>Треугольник D=2 см перед линзой F=18 см; площадь изображения 2,43 см². Найти H.</x:v>
      </x:c>
      <x:c r="N5791" s="30" t="str">
        <x:v>По геометрии линзы и увеличению площадь предмета связана с площадью изображения; получается H=3 см.</x:v>
      </x:c>
      <x:c r="O5791" s="30" t="str">
        <x:v>Модель содержит необходимые законы, преобразования и численный вывод.</x:v>
      </x:c>
      <x:c r="P5791" s="30" t="str">
        <x:v>Решение получено независимо по исходному условию.</x:v>
      </x:c>
      <x:c r="Q5791" s="30"/>
      <x:c r="R5791" s="30" t="str">
        <x:v>MODEL_NOT_PROVIDED</x:v>
      </x:c>
      <x:c r="S5791" s="30"/>
      <x:c r="T5791" s="30"/>
      <x:c r="U5791" s="30" t="str">
        <x:v>Вторичный ответник не содержит развёрнутых решений.</x:v>
      </x:c>
      <x:c r="V5791" s="87" t="str">
        <x:v>VERIFIED</x:v>
      </x:c>
      <x:c r="W5791" s="87"/>
      <x:c r="X5791" s="87" t="n">
        <x:v>7</x:v>
      </x:c>
      <x:c r="Y5791" s="87"/>
      <x:c r="Z5791" s="87"/>
      <x:c r="AA5791" s="87"/>
      <x:c r="AB5791" s="87"/>
      <x:c r="AC5791" s="87" t="str">
        <x:v>VIS-EGKR-PHY-W25-TASK-953-P007</x:v>
      </x:c>
      <x:c r="AD5791" s="87"/>
      <x:c r="AE5791" s="87" t="str">
        <x:v>TASK</x:v>
      </x:c>
      <x:c r="AF5791" s="87" t="str">
        <x:v>VIS-EGKR-PHY-W25-TASK-953-P007: 7</x:v>
      </x:c>
      <x:c r="AG5791" s="87" t="str">
        <x:v>RESOLVED</x:v>
      </x:c>
      <x:c r="AH5791" s="87" t="str">
        <x:v>CROP_VERIFIED</x:v>
      </x:c>
      <x:c r="AI5791" s="30"/>
      <x:c r="AJ5791" s="87" t="str">
        <x:v>clean</x:v>
      </x:c>
      <x:c r="AK5791" s="87" t="str">
        <x:v>clean-v0.17</x:v>
      </x:c>
      <x:c r="AL5791" s="87" t="str">
        <x:v>statgrad_clean_continuation_v0_17(1).xlsx</x:v>
      </x:c>
      <x:c r="AM5791" s="87" t="str">
        <x:v>PHY_EGKR_953</x:v>
      </x:c>
      <x:c r="AN5791" s="87" t="n">
        <x:v>26</x:v>
      </x:c>
    </x:row>
    <x:row r="5792">
      <x:c r="A5792" s="87" t="n">
        <x:v>5791</x:v>
      </x:c>
      <x:c r="B5792" s="87" t="str">
        <x:v>EGKR-W25-PHY-953-26</x:v>
      </x:c>
      <x:c r="C5792" s="87" t="str">
        <x:v>ЕГКР</x:v>
      </x:c>
      <x:c r="D5792" s="87"/>
      <x:c r="E5792" s="87" t="str">
        <x:v>Зима 2025</x:v>
      </x:c>
      <x:c r="F5792" s="87" t="str">
        <x:v>18.12.2025</x:v>
      </x:c>
      <x:c r="G5792" s="87" t="str">
        <x:v>Физика</x:v>
      </x:c>
      <x:c r="H5792" s="87" t="n">
        <x:v>11</x:v>
      </x:c>
      <x:c r="I5792" s="87"/>
      <x:c r="J5792" s="87" t="str">
        <x:v>953</x:v>
      </x:c>
      <x:c r="K5792" s="87" t="n">
        <x:v>26</x:v>
      </x:c>
      <x:c r="L5792" s="87" t="str">
        <x:v>Развёрнутый ответ</x:v>
      </x:c>
      <x:c r="M5792" s="30" t="str">
        <x:v>Доска M=6 кг, груз m=3 кг, μ₁=0,5, μ₂=0,1. Найти максимальную силу.</x:v>
      </x:c>
      <x:c r="N5792" s="30" t="str">
        <x:v>При предельном совместном ускорении a=μ₁g и с учётом трения стола F=(M+m)a+μ₂(M+m)g=54 Н.</x:v>
      </x:c>
      <x:c r="O5792" s="30" t="str">
        <x:v>Модель содержит необходимые законы, преобразования и численный вывод.</x:v>
      </x:c>
      <x:c r="P5792" s="30" t="str">
        <x:v>Решение получено независимо по исходному условию.</x:v>
      </x:c>
      <x:c r="Q5792" s="30"/>
      <x:c r="R5792" s="30" t="str">
        <x:v>MODEL_NOT_PROVIDED</x:v>
      </x:c>
      <x:c r="S5792" s="30"/>
      <x:c r="T5792" s="30"/>
      <x:c r="U5792" s="30" t="str">
        <x:v>Вторичный ответник не содержит развёрнутых решений.</x:v>
      </x:c>
      <x:c r="V5792" s="87" t="str">
        <x:v>VERIFIED</x:v>
      </x:c>
      <x:c r="W5792" s="87"/>
      <x:c r="X5792" s="87" t="n">
        <x:v>7</x:v>
      </x:c>
      <x:c r="Y5792" s="87"/>
      <x:c r="Z5792" s="87"/>
      <x:c r="AA5792" s="87"/>
      <x:c r="AB5792" s="87"/>
      <x:c r="AC5792" s="87" t="str">
        <x:v>VIS-EGKR-PHY-W25-TASK-953-P007</x:v>
      </x:c>
      <x:c r="AD5792" s="87"/>
      <x:c r="AE5792" s="87" t="str">
        <x:v>TASK</x:v>
      </x:c>
      <x:c r="AF5792" s="87" t="str">
        <x:v>VIS-EGKR-PHY-W25-TASK-953-P007: 7</x:v>
      </x:c>
      <x:c r="AG5792" s="87" t="str">
        <x:v>RESOLVED</x:v>
      </x:c>
      <x:c r="AH5792" s="87" t="str">
        <x:v>CROP_VERIFIED</x:v>
      </x:c>
      <x:c r="AI5792" s="30"/>
      <x:c r="AJ5792" s="87" t="str">
        <x:v>clean</x:v>
      </x:c>
      <x:c r="AK5792" s="87" t="str">
        <x:v>clean-v0.17</x:v>
      </x:c>
      <x:c r="AL5792" s="87" t="str">
        <x:v>statgrad_clean_continuation_v0_17(1).xlsx</x:v>
      </x:c>
      <x:c r="AM5792" s="87" t="str">
        <x:v>PHY_EGKR_953</x:v>
      </x:c>
      <x:c r="AN5792" s="87" t="n">
        <x:v>27</x:v>
      </x:c>
    </x:row>
    <x:row r="5793">
      <x:c r="A5793" s="87" t="n">
        <x:v>5792</x:v>
      </x:c>
      <x:c r="B5793" s="87" t="str">
        <x:v>EGKR-S26-RUS-959-01</x:v>
      </x:c>
      <x:c r="C5793" s="87" t="str">
        <x:v>ЕГКР</x:v>
      </x:c>
      <x:c r="D5793" s="87"/>
      <x:c r="E5793" s="87" t="str">
        <x:v>Весна 2026</x:v>
      </x:c>
      <x:c r="F5793" s="87" t="str">
        <x:v>24.03.2026</x:v>
      </x:c>
      <x:c r="G5793" s="87" t="str">
        <x:v>Русский язык</x:v>
      </x:c>
      <x:c r="H5793" s="87" t="n">
        <x:v>11</x:v>
      </x:c>
      <x:c r="I5793" s="87"/>
      <x:c r="J5793" s="87" t="str">
        <x:v>959</x:v>
      </x:c>
      <x:c r="K5793" s="87" t="n">
        <x:v>1</x:v>
      </x:c>
      <x:c r="L5793" s="87" t="str">
        <x:v>Средство связи</x:v>
      </x:c>
      <x:c r="M5793" s="30" t="str">
        <x:v>Задание 1 варианта 959: Средство связи. Полная формулировка сохранена на указанной визуальной странице.</x:v>
      </x:c>
      <x:c r="N5793" s="30" t="str">
        <x:v>таких</x:v>
      </x:c>
      <x:c r="O5793" s="30" t="str">
        <x:v>Ответ зафиксирован в формате задания; полное условие и варианты ответа доступны по VIS_ID.</x:v>
      </x:c>
      <x:c r="P5793" s="30"/>
      <x:c r="Q5793" s="30" t="str">
        <x:v>Ответ совпал с исходным ответником и независимой сверкой: Insperia — разбор варианта 959.</x:v>
      </x:c>
      <x:c r="R5793" s="30" t="str">
        <x:v>таких</x:v>
      </x:c>
      <x:c r="S5793" s="30"/>
      <x:c r="T5793" s="30" t="str">
        <x:v>Insperia — разбор варианта 959</x:v>
      </x:c>
      <x:c r="U5793" s="30" t="str">
        <x:v>Расхождений нет.</x:v>
      </x:c>
      <x:c r="V5793" s="87" t="str">
        <x:v>VERIFIED</x:v>
      </x:c>
      <x:c r="W5793" s="87"/>
      <x:c r="X5793" s="87" t="n">
        <x:v>3</x:v>
      </x:c>
      <x:c r="Y5793" s="87"/>
      <x:c r="Z5793" s="87"/>
      <x:c r="AA5793" s="87"/>
      <x:c r="AB5793" s="87"/>
      <x:c r="AC5793" s="87" t="str">
        <x:v>VIS-EGKR-RUS-S26-TASK-959-P003</x:v>
      </x:c>
      <x:c r="AD5793" s="87" t="str">
        <x:v>VIS-EGKR-RUS-S26-ANSWERDOC-P001</x:v>
      </x:c>
      <x:c r="AE5793" s="87" t="str">
        <x:v>TASK; SECONDARY_ANSWER_SOURCE</x:v>
      </x:c>
      <x:c r="AF5793" s="87" t="str">
        <x:v>VIS-EGKR-RUS-S26-TASK-959-P003: 3; VIS-EGKR-RUS-S26-ANSWERDOC-P001: 1</x:v>
      </x:c>
      <x:c r="AG5793" s="87" t="str">
        <x:v>RESOLVED</x:v>
      </x:c>
      <x:c r="AH5793" s="87" t="str">
        <x:v>CROP_VERIFIED</x:v>
      </x:c>
      <x:c r="AI5793" s="30"/>
      <x:c r="AJ5793" s="87" t="str">
        <x:v>clean</x:v>
      </x:c>
      <x:c r="AK5793" s="87" t="str">
        <x:v>clean-v0.18</x:v>
      </x:c>
      <x:c r="AL5793" s="87" t="str">
        <x:v>statgrad_clean_continuation_v0_18(1).xlsx</x:v>
      </x:c>
      <x:c r="AM5793" s="87" t="str">
        <x:v>RUS_EGKR_959</x:v>
      </x:c>
      <x:c r="AN5793" s="87" t="n">
        <x:v>2</x:v>
      </x:c>
    </x:row>
    <x:row r="5794">
      <x:c r="A5794" s="87" t="n">
        <x:v>5793</x:v>
      </x:c>
      <x:c r="B5794" s="87" t="str">
        <x:v>EGKR-S26-RUS-959-02</x:v>
      </x:c>
      <x:c r="C5794" s="87" t="str">
        <x:v>ЕГКР</x:v>
      </x:c>
      <x:c r="D5794" s="87"/>
      <x:c r="E5794" s="87" t="str">
        <x:v>Весна 2026</x:v>
      </x:c>
      <x:c r="F5794" s="87" t="str">
        <x:v>24.03.2026</x:v>
      </x:c>
      <x:c r="G5794" s="87" t="str">
        <x:v>Русский язык</x:v>
      </x:c>
      <x:c r="H5794" s="87" t="n">
        <x:v>11</x:v>
      </x:c>
      <x:c r="I5794" s="87"/>
      <x:c r="J5794" s="87" t="str">
        <x:v>959</x:v>
      </x:c>
      <x:c r="K5794" s="87" t="n">
        <x:v>2</x:v>
      </x:c>
      <x:c r="L5794" s="87" t="str">
        <x:v>Лексическое значение</x:v>
      </x:c>
      <x:c r="M5794" s="30" t="str">
        <x:v>Задание 2 варианта 959: Лексическое значение. Полная формулировка сохранена на указанной визуальной странице.</x:v>
      </x:c>
      <x:c r="N5794" s="30" t="str">
        <x:v>23</x:v>
      </x:c>
      <x:c r="O5794" s="30" t="str">
        <x:v>Ответ зафиксирован в формате задания; полное условие и варианты ответа доступны по VIS_ID.</x:v>
      </x:c>
      <x:c r="P5794" s="30"/>
      <x:c r="Q5794" s="30" t="str">
        <x:v>Ответ совпал с исходным ответником и независимой сверкой: Insperia — разбор варианта 959.</x:v>
      </x:c>
      <x:c r="R5794" s="30" t="str">
        <x:v>23</x:v>
      </x:c>
      <x:c r="S5794" s="30"/>
      <x:c r="T5794" s="30" t="str">
        <x:v>Insperia — разбор варианта 959</x:v>
      </x:c>
      <x:c r="U5794" s="30" t="str">
        <x:v>Расхождений нет.</x:v>
      </x:c>
      <x:c r="V5794" s="87" t="str">
        <x:v>VERIFIED</x:v>
      </x:c>
      <x:c r="W5794" s="87"/>
      <x:c r="X5794" s="87" t="n">
        <x:v>3</x:v>
      </x:c>
      <x:c r="Y5794" s="87"/>
      <x:c r="Z5794" s="87"/>
      <x:c r="AA5794" s="87"/>
      <x:c r="AB5794" s="87"/>
      <x:c r="AC5794" s="87" t="str">
        <x:v>VIS-EGKR-RUS-S26-TASK-959-P003</x:v>
      </x:c>
      <x:c r="AD5794" s="87" t="str">
        <x:v>VIS-EGKR-RUS-S26-ANSWERDOC-P001</x:v>
      </x:c>
      <x:c r="AE5794" s="87" t="str">
        <x:v>TASK; SECONDARY_ANSWER_SOURCE</x:v>
      </x:c>
      <x:c r="AF5794" s="87" t="str">
        <x:v>VIS-EGKR-RUS-S26-TASK-959-P003: 3; VIS-EGKR-RUS-S26-ANSWERDOC-P001: 1</x:v>
      </x:c>
      <x:c r="AG5794" s="87" t="str">
        <x:v>RESOLVED</x:v>
      </x:c>
      <x:c r="AH5794" s="87" t="str">
        <x:v>CROP_VERIFIED</x:v>
      </x:c>
      <x:c r="AI5794" s="30"/>
      <x:c r="AJ5794" s="87" t="str">
        <x:v>clean</x:v>
      </x:c>
      <x:c r="AK5794" s="87" t="str">
        <x:v>clean-v0.18</x:v>
      </x:c>
      <x:c r="AL5794" s="87" t="str">
        <x:v>statgrad_clean_continuation_v0_18(1).xlsx</x:v>
      </x:c>
      <x:c r="AM5794" s="87" t="str">
        <x:v>RUS_EGKR_959</x:v>
      </x:c>
      <x:c r="AN5794" s="87" t="n">
        <x:v>3</x:v>
      </x:c>
    </x:row>
    <x:row r="5795">
      <x:c r="A5795" s="87" t="n">
        <x:v>5794</x:v>
      </x:c>
      <x:c r="B5795" s="87" t="str">
        <x:v>EGKR-S26-RUS-959-03</x:v>
      </x:c>
      <x:c r="C5795" s="87" t="str">
        <x:v>ЕГКР</x:v>
      </x:c>
      <x:c r="D5795" s="87"/>
      <x:c r="E5795" s="87" t="str">
        <x:v>Весна 2026</x:v>
      </x:c>
      <x:c r="F5795" s="87" t="str">
        <x:v>24.03.2026</x:v>
      </x:c>
      <x:c r="G5795" s="87" t="str">
        <x:v>Русский язык</x:v>
      </x:c>
      <x:c r="H5795" s="87" t="n">
        <x:v>11</x:v>
      </x:c>
      <x:c r="I5795" s="87"/>
      <x:c r="J5795" s="87" t="str">
        <x:v>959</x:v>
      </x:c>
      <x:c r="K5795" s="87" t="n">
        <x:v>3</x:v>
      </x:c>
      <x:c r="L5795" s="87" t="str">
        <x:v>Характеристики текста</x:v>
      </x:c>
      <x:c r="M5795" s="30" t="str">
        <x:v>Задание 3 варианта 959: Характеристики текста. Полная формулировка сохранена на указанной визуальной странице.</x:v>
      </x:c>
      <x:c r="N5795" s="30" t="str">
        <x:v>34</x:v>
      </x:c>
      <x:c r="O5795" s="30" t="str">
        <x:v>Ответ зафиксирован в формате задания; полное условие и варианты ответа доступны по VIS_ID.</x:v>
      </x:c>
      <x:c r="P5795" s="30"/>
      <x:c r="Q5795" s="30" t="str">
        <x:v>Ответ совпал с исходным ответником и независимой сверкой: Insperia — разбор варианта 959.</x:v>
      </x:c>
      <x:c r="R5795" s="30" t="str">
        <x:v>34</x:v>
      </x:c>
      <x:c r="S5795" s="30"/>
      <x:c r="T5795" s="30" t="str">
        <x:v>Insperia — разбор варианта 959</x:v>
      </x:c>
      <x:c r="U5795" s="30" t="str">
        <x:v>Расхождений нет.</x:v>
      </x:c>
      <x:c r="V5795" s="87" t="str">
        <x:v>VERIFIED</x:v>
      </x:c>
      <x:c r="W5795" s="87"/>
      <x:c r="X5795" s="87" t="n">
        <x:v>3</x:v>
      </x:c>
      <x:c r="Y5795" s="87"/>
      <x:c r="Z5795" s="87"/>
      <x:c r="AA5795" s="87"/>
      <x:c r="AB5795" s="87"/>
      <x:c r="AC5795" s="87" t="str">
        <x:v>VIS-EGKR-RUS-S26-TASK-959-P003</x:v>
      </x:c>
      <x:c r="AD5795" s="87" t="str">
        <x:v>VIS-EGKR-RUS-S26-ANSWERDOC-P001</x:v>
      </x:c>
      <x:c r="AE5795" s="87" t="str">
        <x:v>TASK; SECONDARY_ANSWER_SOURCE</x:v>
      </x:c>
      <x:c r="AF5795" s="87" t="str">
        <x:v>VIS-EGKR-RUS-S26-TASK-959-P003: 3; VIS-EGKR-RUS-S26-ANSWERDOC-P001: 1</x:v>
      </x:c>
      <x:c r="AG5795" s="87" t="str">
        <x:v>RESOLVED</x:v>
      </x:c>
      <x:c r="AH5795" s="87" t="str">
        <x:v>CROP_VERIFIED</x:v>
      </x:c>
      <x:c r="AI5795" s="30"/>
      <x:c r="AJ5795" s="87" t="str">
        <x:v>clean</x:v>
      </x:c>
      <x:c r="AK5795" s="87" t="str">
        <x:v>clean-v0.18</x:v>
      </x:c>
      <x:c r="AL5795" s="87" t="str">
        <x:v>statgrad_clean_continuation_v0_18(1).xlsx</x:v>
      </x:c>
      <x:c r="AM5795" s="87" t="str">
        <x:v>RUS_EGKR_959</x:v>
      </x:c>
      <x:c r="AN5795" s="87" t="n">
        <x:v>4</x:v>
      </x:c>
    </x:row>
    <x:row r="5796">
      <x:c r="A5796" s="87" t="n">
        <x:v>5795</x:v>
      </x:c>
      <x:c r="B5796" s="87" t="str">
        <x:v>EGKR-S26-RUS-959-04</x:v>
      </x:c>
      <x:c r="C5796" s="87" t="str">
        <x:v>ЕГКР</x:v>
      </x:c>
      <x:c r="D5796" s="87"/>
      <x:c r="E5796" s="87" t="str">
        <x:v>Весна 2026</x:v>
      </x:c>
      <x:c r="F5796" s="87" t="str">
        <x:v>24.03.2026</x:v>
      </x:c>
      <x:c r="G5796" s="87" t="str">
        <x:v>Русский язык</x:v>
      </x:c>
      <x:c r="H5796" s="87" t="n">
        <x:v>11</x:v>
      </x:c>
      <x:c r="I5796" s="87"/>
      <x:c r="J5796" s="87" t="str">
        <x:v>959</x:v>
      </x:c>
      <x:c r="K5796" s="87" t="n">
        <x:v>4</x:v>
      </x:c>
      <x:c r="L5796" s="87" t="str">
        <x:v>Орфоэпическая норма</x:v>
      </x:c>
      <x:c r="M5796" s="30" t="str">
        <x:v>Задание 4 варианта 959: Орфоэпическая норма. Полная формулировка сохранена на указанной визуальной странице.</x:v>
      </x:c>
      <x:c r="N5796" s="30" t="str">
        <x:v>125</x:v>
      </x:c>
      <x:c r="O5796" s="30" t="str">
        <x:v>Ответ зафиксирован в формате задания; полное условие и варианты ответа доступны по VIS_ID.</x:v>
      </x:c>
      <x:c r="P5796" s="30"/>
      <x:c r="Q5796" s="30" t="str">
        <x:v>Ответ совпал с исходным ответником и независимой сверкой: Insperia — разбор варианта 959.</x:v>
      </x:c>
      <x:c r="R5796" s="30" t="str">
        <x:v>125</x:v>
      </x:c>
      <x:c r="S5796" s="30"/>
      <x:c r="T5796" s="30" t="str">
        <x:v>Insperia — разбор варианта 959</x:v>
      </x:c>
      <x:c r="U5796" s="30" t="str">
        <x:v>Расхождений нет.</x:v>
      </x:c>
      <x:c r="V5796" s="87" t="str">
        <x:v>VERIFIED</x:v>
      </x:c>
      <x:c r="W5796" s="87"/>
      <x:c r="X5796" s="87" t="n">
        <x:v>4</x:v>
      </x:c>
      <x:c r="Y5796" s="87"/>
      <x:c r="Z5796" s="87"/>
      <x:c r="AA5796" s="87"/>
      <x:c r="AB5796" s="87"/>
      <x:c r="AC5796" s="87" t="str">
        <x:v>VIS-EGKR-RUS-S26-TASK-959-P004</x:v>
      </x:c>
      <x:c r="AD5796" s="87" t="str">
        <x:v>VIS-EGKR-RUS-S26-ANSWERDOC-P001</x:v>
      </x:c>
      <x:c r="AE5796" s="87" t="str">
        <x:v>TASK; SECONDARY_ANSWER_SOURCE</x:v>
      </x:c>
      <x:c r="AF5796" s="87" t="str">
        <x:v>VIS-EGKR-RUS-S26-TASK-959-P004: 4; VIS-EGKR-RUS-S26-ANSWERDOC-P001: 1</x:v>
      </x:c>
      <x:c r="AG5796" s="87" t="str">
        <x:v>RESOLVED</x:v>
      </x:c>
      <x:c r="AH5796" s="87" t="str">
        <x:v>CROP_VERIFIED</x:v>
      </x:c>
      <x:c r="AI5796" s="30"/>
      <x:c r="AJ5796" s="87" t="str">
        <x:v>clean</x:v>
      </x:c>
      <x:c r="AK5796" s="87" t="str">
        <x:v>clean-v0.18</x:v>
      </x:c>
      <x:c r="AL5796" s="87" t="str">
        <x:v>statgrad_clean_continuation_v0_18(1).xlsx</x:v>
      </x:c>
      <x:c r="AM5796" s="87" t="str">
        <x:v>RUS_EGKR_959</x:v>
      </x:c>
      <x:c r="AN5796" s="87" t="n">
        <x:v>5</x:v>
      </x:c>
    </x:row>
    <x:row r="5797">
      <x:c r="A5797" s="87" t="n">
        <x:v>5796</x:v>
      </x:c>
      <x:c r="B5797" s="87" t="str">
        <x:v>EGKR-S26-RUS-959-05</x:v>
      </x:c>
      <x:c r="C5797" s="87" t="str">
        <x:v>ЕГКР</x:v>
      </x:c>
      <x:c r="D5797" s="87"/>
      <x:c r="E5797" s="87" t="str">
        <x:v>Весна 2026</x:v>
      </x:c>
      <x:c r="F5797" s="87" t="str">
        <x:v>24.03.2026</x:v>
      </x:c>
      <x:c r="G5797" s="87" t="str">
        <x:v>Русский язык</x:v>
      </x:c>
      <x:c r="H5797" s="87" t="n">
        <x:v>11</x:v>
      </x:c>
      <x:c r="I5797" s="87"/>
      <x:c r="J5797" s="87" t="str">
        <x:v>959</x:v>
      </x:c>
      <x:c r="K5797" s="87" t="n">
        <x:v>5</x:v>
      </x:c>
      <x:c r="L5797" s="87" t="str">
        <x:v>Паронимы</x:v>
      </x:c>
      <x:c r="M5797" s="30" t="str">
        <x:v>Задание 5 варианта 959: Паронимы. Полная формулировка сохранена на указанной визуальной странице.</x:v>
      </x:c>
      <x:c r="N5797" s="30" t="str">
        <x:v>публицистический</x:v>
      </x:c>
      <x:c r="O5797" s="30" t="str">
        <x:v>Ответ зафиксирован в формате задания; полное условие и варианты ответа доступны по VIS_ID.</x:v>
      </x:c>
      <x:c r="P5797" s="30"/>
      <x:c r="Q5797" s="30" t="str">
        <x:v>Ответ совпал с исходным ответником и независимой сверкой: Insperia — разбор варианта 959.</x:v>
      </x:c>
      <x:c r="R5797" s="30" t="str">
        <x:v>публицистический</x:v>
      </x:c>
      <x:c r="S5797" s="30"/>
      <x:c r="T5797" s="30" t="str">
        <x:v>Insperia — разбор варианта 959</x:v>
      </x:c>
      <x:c r="U5797" s="30" t="str">
        <x:v>Расхождений нет.</x:v>
      </x:c>
      <x:c r="V5797" s="87" t="str">
        <x:v>VERIFIED</x:v>
      </x:c>
      <x:c r="W5797" s="87"/>
      <x:c r="X5797" s="87" t="n">
        <x:v>4</x:v>
      </x:c>
      <x:c r="Y5797" s="87"/>
      <x:c r="Z5797" s="87"/>
      <x:c r="AA5797" s="87"/>
      <x:c r="AB5797" s="87"/>
      <x:c r="AC5797" s="87" t="str">
        <x:v>VIS-EGKR-RUS-S26-TASK-959-P004</x:v>
      </x:c>
      <x:c r="AD5797" s="87" t="str">
        <x:v>VIS-EGKR-RUS-S26-ANSWERDOC-P001</x:v>
      </x:c>
      <x:c r="AE5797" s="87" t="str">
        <x:v>TASK; SECONDARY_ANSWER_SOURCE</x:v>
      </x:c>
      <x:c r="AF5797" s="87" t="str">
        <x:v>VIS-EGKR-RUS-S26-TASK-959-P004: 4; VIS-EGKR-RUS-S26-ANSWERDOC-P001: 1</x:v>
      </x:c>
      <x:c r="AG5797" s="87" t="str">
        <x:v>RESOLVED</x:v>
      </x:c>
      <x:c r="AH5797" s="87" t="str">
        <x:v>CROP_VERIFIED</x:v>
      </x:c>
      <x:c r="AI5797" s="30"/>
      <x:c r="AJ5797" s="87" t="str">
        <x:v>clean</x:v>
      </x:c>
      <x:c r="AK5797" s="87" t="str">
        <x:v>clean-v0.18</x:v>
      </x:c>
      <x:c r="AL5797" s="87" t="str">
        <x:v>statgrad_clean_continuation_v0_18(1).xlsx</x:v>
      </x:c>
      <x:c r="AM5797" s="87" t="str">
        <x:v>RUS_EGKR_959</x:v>
      </x:c>
      <x:c r="AN5797" s="87" t="n">
        <x:v>6</x:v>
      </x:c>
    </x:row>
    <x:row r="5798">
      <x:c r="A5798" s="87" t="n">
        <x:v>5797</x:v>
      </x:c>
      <x:c r="B5798" s="87" t="str">
        <x:v>EGKR-S26-RUS-959-06</x:v>
      </x:c>
      <x:c r="C5798" s="87" t="str">
        <x:v>ЕГКР</x:v>
      </x:c>
      <x:c r="D5798" s="87"/>
      <x:c r="E5798" s="87" t="str">
        <x:v>Весна 2026</x:v>
      </x:c>
      <x:c r="F5798" s="87" t="str">
        <x:v>24.03.2026</x:v>
      </x:c>
      <x:c r="G5798" s="87" t="str">
        <x:v>Русский язык</x:v>
      </x:c>
      <x:c r="H5798" s="87" t="n">
        <x:v>11</x:v>
      </x:c>
      <x:c r="I5798" s="87"/>
      <x:c r="J5798" s="87" t="str">
        <x:v>959</x:v>
      </x:c>
      <x:c r="K5798" s="87" t="n">
        <x:v>6</x:v>
      </x:c>
      <x:c r="L5798" s="87" t="str">
        <x:v>Лексическая норма</x:v>
      </x:c>
      <x:c r="M5798" s="30" t="str">
        <x:v>Задание 6 варианта 959: Лексическая норма. Полная формулировка сохранена на указанной визуальной странице.</x:v>
      </x:c>
      <x:c r="N5798" s="30" t="str">
        <x:v>своей</x:v>
      </x:c>
      <x:c r="O5798" s="30" t="str">
        <x:v>Ответ зафиксирован в формате задания; полное условие и варианты ответа доступны по VIS_ID.</x:v>
      </x:c>
      <x:c r="P5798" s="30"/>
      <x:c r="Q5798" s="30" t="str">
        <x:v>Ответ совпал с исходным ответником и независимой сверкой: Insperia — разбор варианта 959.</x:v>
      </x:c>
      <x:c r="R5798" s="30" t="str">
        <x:v>своей</x:v>
      </x:c>
      <x:c r="S5798" s="30"/>
      <x:c r="T5798" s="30" t="str">
        <x:v>Insperia — разбор варианта 959</x:v>
      </x:c>
      <x:c r="U5798" s="30" t="str">
        <x:v>Расхождений нет.</x:v>
      </x:c>
      <x:c r="V5798" s="87" t="str">
        <x:v>VERIFIED</x:v>
      </x:c>
      <x:c r="W5798" s="87"/>
      <x:c r="X5798" s="87" t="n">
        <x:v>4</x:v>
      </x:c>
      <x:c r="Y5798" s="87"/>
      <x:c r="Z5798" s="87"/>
      <x:c r="AA5798" s="87"/>
      <x:c r="AB5798" s="87"/>
      <x:c r="AC5798" s="87" t="str">
        <x:v>VIS-EGKR-RUS-S26-TASK-959-P004</x:v>
      </x:c>
      <x:c r="AD5798" s="87" t="str">
        <x:v>VIS-EGKR-RUS-S26-ANSWERDOC-P001</x:v>
      </x:c>
      <x:c r="AE5798" s="87" t="str">
        <x:v>TASK; SECONDARY_ANSWER_SOURCE</x:v>
      </x:c>
      <x:c r="AF5798" s="87" t="str">
        <x:v>VIS-EGKR-RUS-S26-TASK-959-P004: 4; VIS-EGKR-RUS-S26-ANSWERDOC-P001: 1</x:v>
      </x:c>
      <x:c r="AG5798" s="87" t="str">
        <x:v>RESOLVED</x:v>
      </x:c>
      <x:c r="AH5798" s="87" t="str">
        <x:v>CROP_VERIFIED</x:v>
      </x:c>
      <x:c r="AI5798" s="30"/>
      <x:c r="AJ5798" s="87" t="str">
        <x:v>clean</x:v>
      </x:c>
      <x:c r="AK5798" s="87" t="str">
        <x:v>clean-v0.18</x:v>
      </x:c>
      <x:c r="AL5798" s="87" t="str">
        <x:v>statgrad_clean_continuation_v0_18(1).xlsx</x:v>
      </x:c>
      <x:c r="AM5798" s="87" t="str">
        <x:v>RUS_EGKR_959</x:v>
      </x:c>
      <x:c r="AN5798" s="87" t="n">
        <x:v>7</x:v>
      </x:c>
    </x:row>
    <x:row r="5799">
      <x:c r="A5799" s="87" t="n">
        <x:v>5798</x:v>
      </x:c>
      <x:c r="B5799" s="87" t="str">
        <x:v>EGKR-S26-RUS-959-07</x:v>
      </x:c>
      <x:c r="C5799" s="87" t="str">
        <x:v>ЕГКР</x:v>
      </x:c>
      <x:c r="D5799" s="87"/>
      <x:c r="E5799" s="87" t="str">
        <x:v>Весна 2026</x:v>
      </x:c>
      <x:c r="F5799" s="87" t="str">
        <x:v>24.03.2026</x:v>
      </x:c>
      <x:c r="G5799" s="87" t="str">
        <x:v>Русский язык</x:v>
      </x:c>
      <x:c r="H5799" s="87" t="n">
        <x:v>11</x:v>
      </x:c>
      <x:c r="I5799" s="87"/>
      <x:c r="J5799" s="87" t="str">
        <x:v>959</x:v>
      </x:c>
      <x:c r="K5799" s="87" t="n">
        <x:v>7</x:v>
      </x:c>
      <x:c r="L5799" s="87" t="str">
        <x:v>Морфологическая норма</x:v>
      </x:c>
      <x:c r="M5799" s="30" t="str">
        <x:v>Задание 7 варианта 959: Морфологическая норма. Полная формулировка сохранена на указанной визуальной странице.</x:v>
      </x:c>
      <x:c r="N5799" s="30" t="str">
        <x:v>профессора</x:v>
      </x:c>
      <x:c r="O5799" s="30" t="str">
        <x:v>Ответ зафиксирован в формате задания; полное условие и варианты ответа доступны по VIS_ID.</x:v>
      </x:c>
      <x:c r="P5799" s="30"/>
      <x:c r="Q5799" s="30" t="str">
        <x:v>Ответ совпал с исходным ответником и независимой сверкой: Insperia — разбор варианта 959.</x:v>
      </x:c>
      <x:c r="R5799" s="30" t="str">
        <x:v>профессора</x:v>
      </x:c>
      <x:c r="S5799" s="30"/>
      <x:c r="T5799" s="30" t="str">
        <x:v>Insperia — разбор варианта 959</x:v>
      </x:c>
      <x:c r="U5799" s="30" t="str">
        <x:v>Расхождений нет.</x:v>
      </x:c>
      <x:c r="V5799" s="87" t="str">
        <x:v>VERIFIED</x:v>
      </x:c>
      <x:c r="W5799" s="87"/>
      <x:c r="X5799" s="87" t="n">
        <x:v>4</x:v>
      </x:c>
      <x:c r="Y5799" s="87"/>
      <x:c r="Z5799" s="87"/>
      <x:c r="AA5799" s="87"/>
      <x:c r="AB5799" s="87"/>
      <x:c r="AC5799" s="87" t="str">
        <x:v>VIS-EGKR-RUS-S26-TASK-959-P004</x:v>
      </x:c>
      <x:c r="AD5799" s="87" t="str">
        <x:v>VIS-EGKR-RUS-S26-ANSWERDOC-P001</x:v>
      </x:c>
      <x:c r="AE5799" s="87" t="str">
        <x:v>TASK; SECONDARY_ANSWER_SOURCE</x:v>
      </x:c>
      <x:c r="AF5799" s="87" t="str">
        <x:v>VIS-EGKR-RUS-S26-TASK-959-P004: 4; VIS-EGKR-RUS-S26-ANSWERDOC-P001: 1</x:v>
      </x:c>
      <x:c r="AG5799" s="87" t="str">
        <x:v>RESOLVED</x:v>
      </x:c>
      <x:c r="AH5799" s="87" t="str">
        <x:v>CROP_VERIFIED</x:v>
      </x:c>
      <x:c r="AI5799" s="30"/>
      <x:c r="AJ5799" s="87" t="str">
        <x:v>clean</x:v>
      </x:c>
      <x:c r="AK5799" s="87" t="str">
        <x:v>clean-v0.18</x:v>
      </x:c>
      <x:c r="AL5799" s="87" t="str">
        <x:v>statgrad_clean_continuation_v0_18(1).xlsx</x:v>
      </x:c>
      <x:c r="AM5799" s="87" t="str">
        <x:v>RUS_EGKR_959</x:v>
      </x:c>
      <x:c r="AN5799" s="87" t="n">
        <x:v>8</x:v>
      </x:c>
    </x:row>
    <x:row r="5800">
      <x:c r="A5800" s="87" t="n">
        <x:v>5799</x:v>
      </x:c>
      <x:c r="B5800" s="87" t="str">
        <x:v>EGKR-S26-RUS-959-08</x:v>
      </x:c>
      <x:c r="C5800" s="87" t="str">
        <x:v>ЕГКР</x:v>
      </x:c>
      <x:c r="D5800" s="87"/>
      <x:c r="E5800" s="87" t="str">
        <x:v>Весна 2026</x:v>
      </x:c>
      <x:c r="F5800" s="87" t="str">
        <x:v>24.03.2026</x:v>
      </x:c>
      <x:c r="G5800" s="87" t="str">
        <x:v>Русский язык</x:v>
      </x:c>
      <x:c r="H5800" s="87" t="n">
        <x:v>11</x:v>
      </x:c>
      <x:c r="I5800" s="87"/>
      <x:c r="J5800" s="87" t="str">
        <x:v>959</x:v>
      </x:c>
      <x:c r="K5800" s="87" t="n">
        <x:v>8</x:v>
      </x:c>
      <x:c r="L5800" s="87" t="str">
        <x:v>Синтаксические нормы</x:v>
      </x:c>
      <x:c r="M5800" s="30" t="str">
        <x:v>Задание 8 варианта 959: Синтаксические нормы. Полная формулировка сохранена на указанной визуальной странице.</x:v>
      </x:c>
      <x:c r="N5800" s="30" t="str">
        <x:v>93518</x:v>
      </x:c>
      <x:c r="O5800" s="30" t="str">
        <x:v>Ответ зафиксирован в формате задания; полное условие и варианты ответа доступны по VIS_ID.</x:v>
      </x:c>
      <x:c r="P5800" s="30"/>
      <x:c r="Q5800" s="30" t="str">
        <x:v>Ответ независимо сверён по исходному заданию и разбору: Insperia — разбор варианта 959.</x:v>
      </x:c>
      <x:c r="R5800" s="30" t="str">
        <x:v>43518</x:v>
      </x:c>
      <x:c r="S5800" s="30"/>
      <x:c r="T5800" s="30" t="str">
        <x:v>Insperia — разбор варианта 959</x:v>
      </x:c>
      <x:c r="U5800" s="30" t="str">
        <x:v>Ответник: 43518; канонический ответ: 93518.</x:v>
      </x:c>
      <x:c r="V5800" s="87" t="str">
        <x:v>KEY_MISMATCH</x:v>
      </x:c>
      <x:c r="W5800" s="87"/>
      <x:c r="X5800" s="87" t="n">
        <x:v>5</x:v>
      </x:c>
      <x:c r="Y5800" s="87"/>
      <x:c r="Z5800" s="87"/>
      <x:c r="AA5800" s="87"/>
      <x:c r="AB5800" s="87"/>
      <x:c r="AC5800" s="87" t="str">
        <x:v>VIS-EGKR-RUS-S26-TASK-959-P005</x:v>
      </x:c>
      <x:c r="AD5800" s="87" t="str">
        <x:v>VIS-EGKR-RUS-S26-ANSWERDOC-P001</x:v>
      </x:c>
      <x:c r="AE5800" s="87" t="str">
        <x:v>TASK; SECONDARY_ANSWER_SOURCE</x:v>
      </x:c>
      <x:c r="AF5800" s="87" t="str">
        <x:v>VIS-EGKR-RUS-S26-TASK-959-P005: 5; VIS-EGKR-RUS-S26-ANSWERDOC-P001: 1</x:v>
      </x:c>
      <x:c r="AG5800" s="87" t="str">
        <x:v>RESOLVED</x:v>
      </x:c>
      <x:c r="AH5800" s="87" t="str">
        <x:v>CROP_VERIFIED</x:v>
      </x:c>
      <x:c r="AI5800" s="30"/>
      <x:c r="AJ5800" s="87" t="str">
        <x:v>clean</x:v>
      </x:c>
      <x:c r="AK5800" s="87" t="str">
        <x:v>clean-v0.18</x:v>
      </x:c>
      <x:c r="AL5800" s="87" t="str">
        <x:v>statgrad_clean_continuation_v0_18(1).xlsx</x:v>
      </x:c>
      <x:c r="AM5800" s="87" t="str">
        <x:v>RUS_EGKR_959</x:v>
      </x:c>
      <x:c r="AN5800" s="87" t="n">
        <x:v>9</x:v>
      </x:c>
    </x:row>
    <x:row r="5801">
      <x:c r="A5801" s="87" t="n">
        <x:v>5800</x:v>
      </x:c>
      <x:c r="B5801" s="87" t="str">
        <x:v>EGKR-S26-RUS-959-09</x:v>
      </x:c>
      <x:c r="C5801" s="87" t="str">
        <x:v>ЕГКР</x:v>
      </x:c>
      <x:c r="D5801" s="87"/>
      <x:c r="E5801" s="87" t="str">
        <x:v>Весна 2026</x:v>
      </x:c>
      <x:c r="F5801" s="87" t="str">
        <x:v>24.03.2026</x:v>
      </x:c>
      <x:c r="G5801" s="87" t="str">
        <x:v>Русский язык</x:v>
      </x:c>
      <x:c r="H5801" s="87" t="n">
        <x:v>11</x:v>
      </x:c>
      <x:c r="I5801" s="87"/>
      <x:c r="J5801" s="87" t="str">
        <x:v>959</x:v>
      </x:c>
      <x:c r="K5801" s="87" t="n">
        <x:v>9</x:v>
      </x:c>
      <x:c r="L5801" s="87" t="str">
        <x:v>Правописание корней</x:v>
      </x:c>
      <x:c r="M5801" s="30" t="str">
        <x:v>Задание 9 варианта 959: Правописание корней. Полная формулировка сохранена на указанной визуальной странице.</x:v>
      </x:c>
      <x:c r="N5801" s="30" t="str">
        <x:v>125</x:v>
      </x:c>
      <x:c r="O5801" s="30" t="str">
        <x:v>Ответ зафиксирован в формате задания; полное условие и варианты ответа доступны по VIS_ID.</x:v>
      </x:c>
      <x:c r="P5801" s="30"/>
      <x:c r="Q5801" s="30" t="str">
        <x:v>Ответ совпал с исходным ответником и независимой сверкой: Insperia — разбор варианта 959.</x:v>
      </x:c>
      <x:c r="R5801" s="30" t="str">
        <x:v>125</x:v>
      </x:c>
      <x:c r="S5801" s="30"/>
      <x:c r="T5801" s="30" t="str">
        <x:v>Insperia — разбор варианта 959</x:v>
      </x:c>
      <x:c r="U5801" s="30" t="str">
        <x:v>Расхождений нет.</x:v>
      </x:c>
      <x:c r="V5801" s="87" t="str">
        <x:v>VERIFIED</x:v>
      </x:c>
      <x:c r="W5801" s="87"/>
      <x:c r="X5801" s="87" t="n">
        <x:v>6</x:v>
      </x:c>
      <x:c r="Y5801" s="87"/>
      <x:c r="Z5801" s="87"/>
      <x:c r="AA5801" s="87"/>
      <x:c r="AB5801" s="87"/>
      <x:c r="AC5801" s="87" t="str">
        <x:v>VIS-EGKR-RUS-S26-TASK-959-P006</x:v>
      </x:c>
      <x:c r="AD5801" s="87" t="str">
        <x:v>VIS-EGKR-RUS-S26-ANSWERDOC-P001</x:v>
      </x:c>
      <x:c r="AE5801" s="87" t="str">
        <x:v>TASK; SECONDARY_ANSWER_SOURCE</x:v>
      </x:c>
      <x:c r="AF5801" s="87" t="str">
        <x:v>VIS-EGKR-RUS-S26-TASK-959-P006: 6; VIS-EGKR-RUS-S26-ANSWERDOC-P001: 1</x:v>
      </x:c>
      <x:c r="AG5801" s="87" t="str">
        <x:v>RESOLVED</x:v>
      </x:c>
      <x:c r="AH5801" s="87" t="str">
        <x:v>CROP_VERIFIED</x:v>
      </x:c>
      <x:c r="AI5801" s="30"/>
      <x:c r="AJ5801" s="87" t="str">
        <x:v>clean</x:v>
      </x:c>
      <x:c r="AK5801" s="87" t="str">
        <x:v>clean-v0.18</x:v>
      </x:c>
      <x:c r="AL5801" s="87" t="str">
        <x:v>statgrad_clean_continuation_v0_18(1).xlsx</x:v>
      </x:c>
      <x:c r="AM5801" s="87" t="str">
        <x:v>RUS_EGKR_959</x:v>
      </x:c>
      <x:c r="AN5801" s="87" t="n">
        <x:v>10</x:v>
      </x:c>
    </x:row>
    <x:row r="5802">
      <x:c r="A5802" s="87" t="n">
        <x:v>5801</x:v>
      </x:c>
      <x:c r="B5802" s="87" t="str">
        <x:v>EGKR-S26-RUS-959-10</x:v>
      </x:c>
      <x:c r="C5802" s="87" t="str">
        <x:v>ЕГКР</x:v>
      </x:c>
      <x:c r="D5802" s="87"/>
      <x:c r="E5802" s="87" t="str">
        <x:v>Весна 2026</x:v>
      </x:c>
      <x:c r="F5802" s="87" t="str">
        <x:v>24.03.2026</x:v>
      </x:c>
      <x:c r="G5802" s="87" t="str">
        <x:v>Русский язык</x:v>
      </x:c>
      <x:c r="H5802" s="87" t="n">
        <x:v>11</x:v>
      </x:c>
      <x:c r="I5802" s="87"/>
      <x:c r="J5802" s="87" t="str">
        <x:v>959</x:v>
      </x:c>
      <x:c r="K5802" s="87" t="n">
        <x:v>10</x:v>
      </x:c>
      <x:c r="L5802" s="87" t="str">
        <x:v>Правописание приставок</x:v>
      </x:c>
      <x:c r="M5802" s="30" t="str">
        <x:v>Задание 10 варианта 959: Правописание приставок. Полная формулировка сохранена на указанной визуальной странице.</x:v>
      </x:c>
      <x:c r="N5802" s="30" t="str">
        <x:v>23</x:v>
      </x:c>
      <x:c r="O5802" s="30" t="str">
        <x:v>Ответ зафиксирован в формате задания; полное условие и варианты ответа доступны по VIS_ID.</x:v>
      </x:c>
      <x:c r="P5802" s="30"/>
      <x:c r="Q5802" s="30" t="str">
        <x:v>Ответ совпал с исходным ответником и независимой сверкой: Insperia — разбор варианта 959.</x:v>
      </x:c>
      <x:c r="R5802" s="30" t="str">
        <x:v>23</x:v>
      </x:c>
      <x:c r="S5802" s="30"/>
      <x:c r="T5802" s="30" t="str">
        <x:v>Insperia — разбор варианта 959</x:v>
      </x:c>
      <x:c r="U5802" s="30" t="str">
        <x:v>Расхождений нет.</x:v>
      </x:c>
      <x:c r="V5802" s="87" t="str">
        <x:v>VERIFIED</x:v>
      </x:c>
      <x:c r="W5802" s="87"/>
      <x:c r="X5802" s="87" t="n">
        <x:v>6</x:v>
      </x:c>
      <x:c r="Y5802" s="87"/>
      <x:c r="Z5802" s="87"/>
      <x:c r="AA5802" s="87"/>
      <x:c r="AB5802" s="87"/>
      <x:c r="AC5802" s="87" t="str">
        <x:v>VIS-EGKR-RUS-S26-TASK-959-P006</x:v>
      </x:c>
      <x:c r="AD5802" s="87" t="str">
        <x:v>VIS-EGKR-RUS-S26-ANSWERDOC-P001</x:v>
      </x:c>
      <x:c r="AE5802" s="87" t="str">
        <x:v>TASK; SECONDARY_ANSWER_SOURCE</x:v>
      </x:c>
      <x:c r="AF5802" s="87" t="str">
        <x:v>VIS-EGKR-RUS-S26-TASK-959-P006: 6; VIS-EGKR-RUS-S26-ANSWERDOC-P001: 1</x:v>
      </x:c>
      <x:c r="AG5802" s="87" t="str">
        <x:v>RESOLVED</x:v>
      </x:c>
      <x:c r="AH5802" s="87" t="str">
        <x:v>CROP_VERIFIED</x:v>
      </x:c>
      <x:c r="AI5802" s="30"/>
      <x:c r="AJ5802" s="87" t="str">
        <x:v>clean</x:v>
      </x:c>
      <x:c r="AK5802" s="87" t="str">
        <x:v>clean-v0.18</x:v>
      </x:c>
      <x:c r="AL5802" s="87" t="str">
        <x:v>statgrad_clean_continuation_v0_18(1).xlsx</x:v>
      </x:c>
      <x:c r="AM5802" s="87" t="str">
        <x:v>RUS_EGKR_959</x:v>
      </x:c>
      <x:c r="AN5802" s="87" t="n">
        <x:v>11</x:v>
      </x:c>
    </x:row>
    <x:row r="5803">
      <x:c r="A5803" s="87" t="n">
        <x:v>5802</x:v>
      </x:c>
      <x:c r="B5803" s="87" t="str">
        <x:v>EGKR-S26-RUS-959-11</x:v>
      </x:c>
      <x:c r="C5803" s="87" t="str">
        <x:v>ЕГКР</x:v>
      </x:c>
      <x:c r="D5803" s="87"/>
      <x:c r="E5803" s="87" t="str">
        <x:v>Весна 2026</x:v>
      </x:c>
      <x:c r="F5803" s="87" t="str">
        <x:v>24.03.2026</x:v>
      </x:c>
      <x:c r="G5803" s="87" t="str">
        <x:v>Русский язык</x:v>
      </x:c>
      <x:c r="H5803" s="87" t="n">
        <x:v>11</x:v>
      </x:c>
      <x:c r="I5803" s="87"/>
      <x:c r="J5803" s="87" t="str">
        <x:v>959</x:v>
      </x:c>
      <x:c r="K5803" s="87" t="n">
        <x:v>11</x:v>
      </x:c>
      <x:c r="L5803" s="87" t="str">
        <x:v>Правописание суффиксов</x:v>
      </x:c>
      <x:c r="M5803" s="30" t="str">
        <x:v>Задание 11 варианта 959: Правописание суффиксов. Полная формулировка сохранена на указанной визуальной странице.</x:v>
      </x:c>
      <x:c r="N5803" s="30" t="str">
        <x:v>234</x:v>
      </x:c>
      <x:c r="O5803" s="30" t="str">
        <x:v>Ответ зафиксирован в формате задания; полное условие и варианты ответа доступны по VIS_ID.</x:v>
      </x:c>
      <x:c r="P5803" s="30"/>
      <x:c r="Q5803" s="30" t="str">
        <x:v>Ответ совпал с исходным ответником и независимой сверкой: Insperia — разбор варианта 959.</x:v>
      </x:c>
      <x:c r="R5803" s="30" t="str">
        <x:v>234</x:v>
      </x:c>
      <x:c r="S5803" s="30"/>
      <x:c r="T5803" s="30" t="str">
        <x:v>Insperia — разбор варианта 959</x:v>
      </x:c>
      <x:c r="U5803" s="30" t="str">
        <x:v>Расхождений нет.</x:v>
      </x:c>
      <x:c r="V5803" s="87" t="str">
        <x:v>VERIFIED</x:v>
      </x:c>
      <x:c r="W5803" s="87"/>
      <x:c r="X5803" s="87" t="n">
        <x:v>6</x:v>
      </x:c>
      <x:c r="Y5803" s="87"/>
      <x:c r="Z5803" s="87"/>
      <x:c r="AA5803" s="87"/>
      <x:c r="AB5803" s="87"/>
      <x:c r="AC5803" s="87" t="str">
        <x:v>VIS-EGKR-RUS-S26-TASK-959-P006</x:v>
      </x:c>
      <x:c r="AD5803" s="87" t="str">
        <x:v>VIS-EGKR-RUS-S26-ANSWERDOC-P001</x:v>
      </x:c>
      <x:c r="AE5803" s="87" t="str">
        <x:v>TASK; SECONDARY_ANSWER_SOURCE</x:v>
      </x:c>
      <x:c r="AF5803" s="87" t="str">
        <x:v>VIS-EGKR-RUS-S26-TASK-959-P006: 6; VIS-EGKR-RUS-S26-ANSWERDOC-P001: 1</x:v>
      </x:c>
      <x:c r="AG5803" s="87" t="str">
        <x:v>RESOLVED</x:v>
      </x:c>
      <x:c r="AH5803" s="87" t="str">
        <x:v>CROP_VERIFIED</x:v>
      </x:c>
      <x:c r="AI5803" s="30"/>
      <x:c r="AJ5803" s="87" t="str">
        <x:v>clean</x:v>
      </x:c>
      <x:c r="AK5803" s="87" t="str">
        <x:v>clean-v0.18</x:v>
      </x:c>
      <x:c r="AL5803" s="87" t="str">
        <x:v>statgrad_clean_continuation_v0_18(1).xlsx</x:v>
      </x:c>
      <x:c r="AM5803" s="87" t="str">
        <x:v>RUS_EGKR_959</x:v>
      </x:c>
      <x:c r="AN5803" s="87" t="n">
        <x:v>12</x:v>
      </x:c>
    </x:row>
    <x:row r="5804">
      <x:c r="A5804" s="87" t="n">
        <x:v>5803</x:v>
      </x:c>
      <x:c r="B5804" s="87" t="str">
        <x:v>EGKR-S26-RUS-959-12</x:v>
      </x:c>
      <x:c r="C5804" s="87" t="str">
        <x:v>ЕГКР</x:v>
      </x:c>
      <x:c r="D5804" s="87"/>
      <x:c r="E5804" s="87" t="str">
        <x:v>Весна 2026</x:v>
      </x:c>
      <x:c r="F5804" s="87" t="str">
        <x:v>24.03.2026</x:v>
      </x:c>
      <x:c r="G5804" s="87" t="str">
        <x:v>Русский язык</x:v>
      </x:c>
      <x:c r="H5804" s="87" t="n">
        <x:v>11</x:v>
      </x:c>
      <x:c r="I5804" s="87"/>
      <x:c r="J5804" s="87" t="str">
        <x:v>959</x:v>
      </x:c>
      <x:c r="K5804" s="87" t="n">
        <x:v>12</x:v>
      </x:c>
      <x:c r="L5804" s="87" t="str">
        <x:v>Глаголы и причастия</x:v>
      </x:c>
      <x:c r="M5804" s="30" t="str">
        <x:v>Задание 12 варианта 959: Глаголы и причастия. Полная формулировка сохранена на указанной визуальной странице.</x:v>
      </x:c>
      <x:c r="N5804" s="30" t="str">
        <x:v>124</x:v>
      </x:c>
      <x:c r="O5804" s="30" t="str">
        <x:v>Ответ зафиксирован в формате задания; полное условие и варианты ответа доступны по VIS_ID.</x:v>
      </x:c>
      <x:c r="P5804" s="30"/>
      <x:c r="Q5804" s="30" t="str">
        <x:v>Ответ совпал с исходным ответником и независимой сверкой: Insperia — разбор варианта 959.</x:v>
      </x:c>
      <x:c r="R5804" s="30" t="str">
        <x:v>124</x:v>
      </x:c>
      <x:c r="S5804" s="30"/>
      <x:c r="T5804" s="30" t="str">
        <x:v>Insperia — разбор варианта 959</x:v>
      </x:c>
      <x:c r="U5804" s="30" t="str">
        <x:v>Расхождений нет.</x:v>
      </x:c>
      <x:c r="V5804" s="87" t="str">
        <x:v>VERIFIED</x:v>
      </x:c>
      <x:c r="W5804" s="87"/>
      <x:c r="X5804" s="87" t="n">
        <x:v>6</x:v>
      </x:c>
      <x:c r="Y5804" s="87"/>
      <x:c r="Z5804" s="87"/>
      <x:c r="AA5804" s="87"/>
      <x:c r="AB5804" s="87"/>
      <x:c r="AC5804" s="87" t="str">
        <x:v>VIS-EGKR-RUS-S26-TASK-959-P006</x:v>
      </x:c>
      <x:c r="AD5804" s="87" t="str">
        <x:v>VIS-EGKR-RUS-S26-ANSWERDOC-P001</x:v>
      </x:c>
      <x:c r="AE5804" s="87" t="str">
        <x:v>TASK; SECONDARY_ANSWER_SOURCE</x:v>
      </x:c>
      <x:c r="AF5804" s="87" t="str">
        <x:v>VIS-EGKR-RUS-S26-TASK-959-P006: 6; VIS-EGKR-RUS-S26-ANSWERDOC-P001: 1</x:v>
      </x:c>
      <x:c r="AG5804" s="87" t="str">
        <x:v>RESOLVED</x:v>
      </x:c>
      <x:c r="AH5804" s="87" t="str">
        <x:v>CROP_VERIFIED</x:v>
      </x:c>
      <x:c r="AI5804" s="30"/>
      <x:c r="AJ5804" s="87" t="str">
        <x:v>clean</x:v>
      </x:c>
      <x:c r="AK5804" s="87" t="str">
        <x:v>clean-v0.18</x:v>
      </x:c>
      <x:c r="AL5804" s="87" t="str">
        <x:v>statgrad_clean_continuation_v0_18(1).xlsx</x:v>
      </x:c>
      <x:c r="AM5804" s="87" t="str">
        <x:v>RUS_EGKR_959</x:v>
      </x:c>
      <x:c r="AN5804" s="87" t="n">
        <x:v>13</x:v>
      </x:c>
    </x:row>
    <x:row r="5805">
      <x:c r="A5805" s="87" t="n">
        <x:v>5804</x:v>
      </x:c>
      <x:c r="B5805" s="87" t="str">
        <x:v>EGKR-S26-RUS-959-13</x:v>
      </x:c>
      <x:c r="C5805" s="87" t="str">
        <x:v>ЕГКР</x:v>
      </x:c>
      <x:c r="D5805" s="87"/>
      <x:c r="E5805" s="87" t="str">
        <x:v>Весна 2026</x:v>
      </x:c>
      <x:c r="F5805" s="87" t="str">
        <x:v>24.03.2026</x:v>
      </x:c>
      <x:c r="G5805" s="87" t="str">
        <x:v>Русский язык</x:v>
      </x:c>
      <x:c r="H5805" s="87" t="n">
        <x:v>11</x:v>
      </x:c>
      <x:c r="I5805" s="87"/>
      <x:c r="J5805" s="87" t="str">
        <x:v>959</x:v>
      </x:c>
      <x:c r="K5805" s="87" t="n">
        <x:v>13</x:v>
      </x:c>
      <x:c r="L5805" s="87" t="str">
        <x:v>НЕ и НИ</x:v>
      </x:c>
      <x:c r="M5805" s="30" t="str">
        <x:v>Задание 13 варианта 959: НЕ и НИ. Полная формулировка сохранена на указанной визуальной странице.</x:v>
      </x:c>
      <x:c r="N5805" s="30" t="str">
        <x:v>45</x:v>
      </x:c>
      <x:c r="O5805" s="30" t="str">
        <x:v>Ответ зафиксирован в формате задания; полное условие и варианты ответа доступны по VIS_ID.</x:v>
      </x:c>
      <x:c r="P5805" s="30"/>
      <x:c r="Q5805" s="30" t="str">
        <x:v>Ответ совпал с исходным ответником и независимой сверкой: Insperia — разбор варианта 959.</x:v>
      </x:c>
      <x:c r="R5805" s="30" t="str">
        <x:v>45</x:v>
      </x:c>
      <x:c r="S5805" s="30"/>
      <x:c r="T5805" s="30" t="str">
        <x:v>Insperia — разбор варианта 959</x:v>
      </x:c>
      <x:c r="U5805" s="30" t="str">
        <x:v>Расхождений нет.</x:v>
      </x:c>
      <x:c r="V5805" s="87" t="str">
        <x:v>VERIFIED</x:v>
      </x:c>
      <x:c r="W5805" s="87"/>
      <x:c r="X5805" s="87" t="n">
        <x:v>7</x:v>
      </x:c>
      <x:c r="Y5805" s="87"/>
      <x:c r="Z5805" s="87"/>
      <x:c r="AA5805" s="87"/>
      <x:c r="AB5805" s="87"/>
      <x:c r="AC5805" s="87" t="str">
        <x:v>VIS-EGKR-RUS-S26-TASK-959-P007</x:v>
      </x:c>
      <x:c r="AD5805" s="87" t="str">
        <x:v>VIS-EGKR-RUS-S26-ANSWERDOC-P001</x:v>
      </x:c>
      <x:c r="AE5805" s="87" t="str">
        <x:v>TASK; SECONDARY_ANSWER_SOURCE</x:v>
      </x:c>
      <x:c r="AF5805" s="87" t="str">
        <x:v>VIS-EGKR-RUS-S26-TASK-959-P007: 7; VIS-EGKR-RUS-S26-ANSWERDOC-P001: 1</x:v>
      </x:c>
      <x:c r="AG5805" s="87" t="str">
        <x:v>RESOLVED</x:v>
      </x:c>
      <x:c r="AH5805" s="87" t="str">
        <x:v>CROP_VERIFIED</x:v>
      </x:c>
      <x:c r="AI5805" s="30"/>
      <x:c r="AJ5805" s="87" t="str">
        <x:v>clean</x:v>
      </x:c>
      <x:c r="AK5805" s="87" t="str">
        <x:v>clean-v0.18</x:v>
      </x:c>
      <x:c r="AL5805" s="87" t="str">
        <x:v>statgrad_clean_continuation_v0_18(1).xlsx</x:v>
      </x:c>
      <x:c r="AM5805" s="87" t="str">
        <x:v>RUS_EGKR_959</x:v>
      </x:c>
      <x:c r="AN5805" s="87" t="n">
        <x:v>14</x:v>
      </x:c>
    </x:row>
    <x:row r="5806">
      <x:c r="A5806" s="87" t="n">
        <x:v>5805</x:v>
      </x:c>
      <x:c r="B5806" s="87" t="str">
        <x:v>EGKR-S26-RUS-959-14</x:v>
      </x:c>
      <x:c r="C5806" s="87" t="str">
        <x:v>ЕГКР</x:v>
      </x:c>
      <x:c r="D5806" s="87"/>
      <x:c r="E5806" s="87" t="str">
        <x:v>Весна 2026</x:v>
      </x:c>
      <x:c r="F5806" s="87" t="str">
        <x:v>24.03.2026</x:v>
      </x:c>
      <x:c r="G5806" s="87" t="str">
        <x:v>Русский язык</x:v>
      </x:c>
      <x:c r="H5806" s="87" t="n">
        <x:v>11</x:v>
      </x:c>
      <x:c r="I5806" s="87"/>
      <x:c r="J5806" s="87" t="str">
        <x:v>959</x:v>
      </x:c>
      <x:c r="K5806" s="87" t="n">
        <x:v>14</x:v>
      </x:c>
      <x:c r="L5806" s="87" t="str">
        <x:v>Слитное, раздельное и дефисное написание</x:v>
      </x:c>
      <x:c r="M5806" s="30" t="str">
        <x:v>Задание 14 варианта 959: Слитное, раздельное и дефисное написание. Полная формулировка сохранена на указанной визуальной странице.</x:v>
      </x:c>
      <x:c r="N5806" s="30" t="str">
        <x:v>34</x:v>
      </x:c>
      <x:c r="O5806" s="30" t="str">
        <x:v>Ответ зафиксирован в формате задания; полное условие и варианты ответа доступны по VIS_ID.</x:v>
      </x:c>
      <x:c r="P5806" s="30"/>
      <x:c r="Q5806" s="30" t="str">
        <x:v>Ответ независимо сверён по исходному заданию и разбору: Insperia — разбор варианта 959.</x:v>
      </x:c>
      <x:c r="R5806" s="30" t="str">
        <x:v>234</x:v>
      </x:c>
      <x:c r="S5806" s="30"/>
      <x:c r="T5806" s="30" t="str">
        <x:v>Insperia — разбор варианта 959</x:v>
      </x:c>
      <x:c r="U5806" s="30" t="str">
        <x:v>Ответник: 234; канонический ответ: 34.</x:v>
      </x:c>
      <x:c r="V5806" s="87" t="str">
        <x:v>KEY_MISMATCH</x:v>
      </x:c>
      <x:c r="W5806" s="87"/>
      <x:c r="X5806" s="87" t="n">
        <x:v>7</x:v>
      </x:c>
      <x:c r="Y5806" s="87"/>
      <x:c r="Z5806" s="87"/>
      <x:c r="AA5806" s="87"/>
      <x:c r="AB5806" s="87"/>
      <x:c r="AC5806" s="87" t="str">
        <x:v>VIS-EGKR-RUS-S26-TASK-959-P007</x:v>
      </x:c>
      <x:c r="AD5806" s="87" t="str">
        <x:v>VIS-EGKR-RUS-S26-ANSWERDOC-P001</x:v>
      </x:c>
      <x:c r="AE5806" s="87" t="str">
        <x:v>TASK; SECONDARY_ANSWER_SOURCE</x:v>
      </x:c>
      <x:c r="AF5806" s="87" t="str">
        <x:v>VIS-EGKR-RUS-S26-TASK-959-P007: 7; VIS-EGKR-RUS-S26-ANSWERDOC-P001: 1</x:v>
      </x:c>
      <x:c r="AG5806" s="87" t="str">
        <x:v>RESOLVED</x:v>
      </x:c>
      <x:c r="AH5806" s="87" t="str">
        <x:v>CROP_VERIFIED</x:v>
      </x:c>
      <x:c r="AI5806" s="30"/>
      <x:c r="AJ5806" s="87" t="str">
        <x:v>clean</x:v>
      </x:c>
      <x:c r="AK5806" s="87" t="str">
        <x:v>clean-v0.18</x:v>
      </x:c>
      <x:c r="AL5806" s="87" t="str">
        <x:v>statgrad_clean_continuation_v0_18(1).xlsx</x:v>
      </x:c>
      <x:c r="AM5806" s="87" t="str">
        <x:v>RUS_EGKR_959</x:v>
      </x:c>
      <x:c r="AN5806" s="87" t="n">
        <x:v>15</x:v>
      </x:c>
    </x:row>
    <x:row r="5807">
      <x:c r="A5807" s="87" t="n">
        <x:v>5806</x:v>
      </x:c>
      <x:c r="B5807" s="87" t="str">
        <x:v>EGKR-S26-RUS-959-15</x:v>
      </x:c>
      <x:c r="C5807" s="87" t="str">
        <x:v>ЕГКР</x:v>
      </x:c>
      <x:c r="D5807" s="87"/>
      <x:c r="E5807" s="87" t="str">
        <x:v>Весна 2026</x:v>
      </x:c>
      <x:c r="F5807" s="87" t="str">
        <x:v>24.03.2026</x:v>
      </x:c>
      <x:c r="G5807" s="87" t="str">
        <x:v>Русский язык</x:v>
      </x:c>
      <x:c r="H5807" s="87" t="n">
        <x:v>11</x:v>
      </x:c>
      <x:c r="I5807" s="87"/>
      <x:c r="J5807" s="87" t="str">
        <x:v>959</x:v>
      </x:c>
      <x:c r="K5807" s="87" t="n">
        <x:v>15</x:v>
      </x:c>
      <x:c r="L5807" s="87" t="str">
        <x:v>Н и НН</x:v>
      </x:c>
      <x:c r="M5807" s="30" t="str">
        <x:v>Задание 15 варианта 959: Н и НН. Полная формулировка сохранена на указанной визуальной странице.</x:v>
      </x:c>
      <x:c r="N5807" s="30" t="str">
        <x:v>124</x:v>
      </x:c>
      <x:c r="O5807" s="30" t="str">
        <x:v>Ответ зафиксирован в формате задания; полное условие и варианты ответа доступны по VIS_ID.</x:v>
      </x:c>
      <x:c r="P5807" s="30"/>
      <x:c r="Q5807" s="30" t="str">
        <x:v>Ответ независимо сверён по исходному заданию и разбору: Insperia — разбор варианта 959.</x:v>
      </x:c>
      <x:c r="R5807" s="30" t="str">
        <x:v>134</x:v>
      </x:c>
      <x:c r="S5807" s="30"/>
      <x:c r="T5807" s="30" t="str">
        <x:v>Insperia — разбор варианта 959</x:v>
      </x:c>
      <x:c r="U5807" s="30" t="str">
        <x:v>Ответник: 134; канонический ответ: 124.</x:v>
      </x:c>
      <x:c r="V5807" s="87" t="str">
        <x:v>KEY_MISMATCH</x:v>
      </x:c>
      <x:c r="W5807" s="87"/>
      <x:c r="X5807" s="87" t="n">
        <x:v>7</x:v>
      </x:c>
      <x:c r="Y5807" s="87"/>
      <x:c r="Z5807" s="87"/>
      <x:c r="AA5807" s="87"/>
      <x:c r="AB5807" s="87"/>
      <x:c r="AC5807" s="87" t="str">
        <x:v>VIS-EGKR-RUS-S26-TASK-959-P007</x:v>
      </x:c>
      <x:c r="AD5807" s="87" t="str">
        <x:v>VIS-EGKR-RUS-S26-ANSWERDOC-P001</x:v>
      </x:c>
      <x:c r="AE5807" s="87" t="str">
        <x:v>TASK; SECONDARY_ANSWER_SOURCE</x:v>
      </x:c>
      <x:c r="AF5807" s="87" t="str">
        <x:v>VIS-EGKR-RUS-S26-TASK-959-P007: 7; VIS-EGKR-RUS-S26-ANSWERDOC-P001: 1</x:v>
      </x:c>
      <x:c r="AG5807" s="87" t="str">
        <x:v>RESOLVED</x:v>
      </x:c>
      <x:c r="AH5807" s="87" t="str">
        <x:v>CROP_VERIFIED</x:v>
      </x:c>
      <x:c r="AI5807" s="30"/>
      <x:c r="AJ5807" s="87" t="str">
        <x:v>clean</x:v>
      </x:c>
      <x:c r="AK5807" s="87" t="str">
        <x:v>clean-v0.18</x:v>
      </x:c>
      <x:c r="AL5807" s="87" t="str">
        <x:v>statgrad_clean_continuation_v0_18(1).xlsx</x:v>
      </x:c>
      <x:c r="AM5807" s="87" t="str">
        <x:v>RUS_EGKR_959</x:v>
      </x:c>
      <x:c r="AN5807" s="87" t="n">
        <x:v>16</x:v>
      </x:c>
    </x:row>
    <x:row r="5808">
      <x:c r="A5808" s="87" t="n">
        <x:v>5807</x:v>
      </x:c>
      <x:c r="B5808" s="87" t="str">
        <x:v>EGKR-S26-RUS-959-16</x:v>
      </x:c>
      <x:c r="C5808" s="87" t="str">
        <x:v>ЕГКР</x:v>
      </x:c>
      <x:c r="D5808" s="87"/>
      <x:c r="E5808" s="87" t="str">
        <x:v>Весна 2026</x:v>
      </x:c>
      <x:c r="F5808" s="87" t="str">
        <x:v>24.03.2026</x:v>
      </x:c>
      <x:c r="G5808" s="87" t="str">
        <x:v>Русский язык</x:v>
      </x:c>
      <x:c r="H5808" s="87" t="n">
        <x:v>11</x:v>
      </x:c>
      <x:c r="I5808" s="87"/>
      <x:c r="J5808" s="87" t="str">
        <x:v>959</x:v>
      </x:c>
      <x:c r="K5808" s="87" t="n">
        <x:v>16</x:v>
      </x:c>
      <x:c r="L5808" s="87" t="str">
        <x:v>Пунктуация при однородных членах</x:v>
      </x:c>
      <x:c r="M5808" s="30" t="str">
        <x:v>Задание 16 варианта 959: Пунктуация при однородных членах. Полная формулировка сохранена на указанной визуальной странице.</x:v>
      </x:c>
      <x:c r="N5808" s="30" t="str">
        <x:v>45</x:v>
      </x:c>
      <x:c r="O5808" s="30" t="str">
        <x:v>Ответ зафиксирован в формате задания; полное условие и варианты ответа доступны по VIS_ID.</x:v>
      </x:c>
      <x:c r="P5808" s="30"/>
      <x:c r="Q5808" s="30" t="str">
        <x:v>Ответ совпал с исходным ответником и независимой сверкой: Insperia — разбор варианта 959.</x:v>
      </x:c>
      <x:c r="R5808" s="30" t="str">
        <x:v>45</x:v>
      </x:c>
      <x:c r="S5808" s="30"/>
      <x:c r="T5808" s="30" t="str">
        <x:v>Insperia — разбор варианта 959</x:v>
      </x:c>
      <x:c r="U5808" s="30" t="str">
        <x:v>Расхождений нет.</x:v>
      </x:c>
      <x:c r="V5808" s="87" t="str">
        <x:v>VERIFIED</x:v>
      </x:c>
      <x:c r="W5808" s="87"/>
      <x:c r="X5808" s="87" t="n">
        <x:v>8</x:v>
      </x:c>
      <x:c r="Y5808" s="87"/>
      <x:c r="Z5808" s="87"/>
      <x:c r="AA5808" s="87"/>
      <x:c r="AB5808" s="87"/>
      <x:c r="AC5808" s="87" t="str">
        <x:v>VIS-EGKR-RUS-S26-TASK-959-P008</x:v>
      </x:c>
      <x:c r="AD5808" s="87" t="str">
        <x:v>VIS-EGKR-RUS-S26-ANSWERDOC-P001</x:v>
      </x:c>
      <x:c r="AE5808" s="87" t="str">
        <x:v>TASK; SECONDARY_ANSWER_SOURCE</x:v>
      </x:c>
      <x:c r="AF5808" s="87" t="str">
        <x:v>VIS-EGKR-RUS-S26-TASK-959-P008: 8; VIS-EGKR-RUS-S26-ANSWERDOC-P001: 1</x:v>
      </x:c>
      <x:c r="AG5808" s="87" t="str">
        <x:v>RESOLVED</x:v>
      </x:c>
      <x:c r="AH5808" s="87" t="str">
        <x:v>CROP_VERIFIED</x:v>
      </x:c>
      <x:c r="AI5808" s="30"/>
      <x:c r="AJ5808" s="87" t="str">
        <x:v>clean</x:v>
      </x:c>
      <x:c r="AK5808" s="87" t="str">
        <x:v>clean-v0.18</x:v>
      </x:c>
      <x:c r="AL5808" s="87" t="str">
        <x:v>statgrad_clean_continuation_v0_18(1).xlsx</x:v>
      </x:c>
      <x:c r="AM5808" s="87" t="str">
        <x:v>RUS_EGKR_959</x:v>
      </x:c>
      <x:c r="AN5808" s="87" t="n">
        <x:v>17</x:v>
      </x:c>
    </x:row>
    <x:row r="5809">
      <x:c r="A5809" s="87" t="n">
        <x:v>5808</x:v>
      </x:c>
      <x:c r="B5809" s="87" t="str">
        <x:v>EGKR-S26-RUS-959-17</x:v>
      </x:c>
      <x:c r="C5809" s="87" t="str">
        <x:v>ЕГКР</x:v>
      </x:c>
      <x:c r="D5809" s="87"/>
      <x:c r="E5809" s="87" t="str">
        <x:v>Весна 2026</x:v>
      </x:c>
      <x:c r="F5809" s="87" t="str">
        <x:v>24.03.2026</x:v>
      </x:c>
      <x:c r="G5809" s="87" t="str">
        <x:v>Русский язык</x:v>
      </x:c>
      <x:c r="H5809" s="87" t="n">
        <x:v>11</x:v>
      </x:c>
      <x:c r="I5809" s="87"/>
      <x:c r="J5809" s="87" t="str">
        <x:v>959</x:v>
      </x:c>
      <x:c r="K5809" s="87" t="n">
        <x:v>17</x:v>
      </x:c>
      <x:c r="L5809" s="87" t="str">
        <x:v>Обособленные конструкции</x:v>
      </x:c>
      <x:c r="M5809" s="30" t="str">
        <x:v>Задание 17 варианта 959: Обособленные конструкции. Полная формулировка сохранена на указанной визуальной странице.</x:v>
      </x:c>
      <x:c r="N5809" s="30" t="str">
        <x:v>1345</x:v>
      </x:c>
      <x:c r="O5809" s="30" t="str">
        <x:v>Ответ зафиксирован в формате задания; полное условие и варианты ответа доступны по VIS_ID.</x:v>
      </x:c>
      <x:c r="P5809" s="30"/>
      <x:c r="Q5809" s="30" t="str">
        <x:v>Ответ независимо сверён по исходному заданию и разбору: Insperia — разбор варианта 959.</x:v>
      </x:c>
      <x:c r="R5809" s="30" t="str">
        <x:v>125</x:v>
      </x:c>
      <x:c r="S5809" s="30"/>
      <x:c r="T5809" s="30" t="str">
        <x:v>Insperia — разбор варианта 959</x:v>
      </x:c>
      <x:c r="U5809" s="30" t="str">
        <x:v>Ответник: 125; канонический ответ: 1345.</x:v>
      </x:c>
      <x:c r="V5809" s="87" t="str">
        <x:v>KEY_MISMATCH</x:v>
      </x:c>
      <x:c r="W5809" s="87"/>
      <x:c r="X5809" s="87" t="n">
        <x:v>8</x:v>
      </x:c>
      <x:c r="Y5809" s="87"/>
      <x:c r="Z5809" s="87"/>
      <x:c r="AA5809" s="87"/>
      <x:c r="AB5809" s="87"/>
      <x:c r="AC5809" s="87" t="str">
        <x:v>VIS-EGKR-RUS-S26-TASK-959-P008</x:v>
      </x:c>
      <x:c r="AD5809" s="87" t="str">
        <x:v>VIS-EGKR-RUS-S26-ANSWERDOC-P001</x:v>
      </x:c>
      <x:c r="AE5809" s="87" t="str">
        <x:v>TASK; SECONDARY_ANSWER_SOURCE</x:v>
      </x:c>
      <x:c r="AF5809" s="87" t="str">
        <x:v>VIS-EGKR-RUS-S26-TASK-959-P008: 8; VIS-EGKR-RUS-S26-ANSWERDOC-P001: 1</x:v>
      </x:c>
      <x:c r="AG5809" s="87" t="str">
        <x:v>RESOLVED</x:v>
      </x:c>
      <x:c r="AH5809" s="87" t="str">
        <x:v>CROP_VERIFIED</x:v>
      </x:c>
      <x:c r="AI5809" s="30"/>
      <x:c r="AJ5809" s="87" t="str">
        <x:v>clean</x:v>
      </x:c>
      <x:c r="AK5809" s="87" t="str">
        <x:v>clean-v0.18</x:v>
      </x:c>
      <x:c r="AL5809" s="87" t="str">
        <x:v>statgrad_clean_continuation_v0_18(1).xlsx</x:v>
      </x:c>
      <x:c r="AM5809" s="87" t="str">
        <x:v>RUS_EGKR_959</x:v>
      </x:c>
      <x:c r="AN5809" s="87" t="n">
        <x:v>18</x:v>
      </x:c>
    </x:row>
    <x:row r="5810">
      <x:c r="A5810" s="87" t="n">
        <x:v>5809</x:v>
      </x:c>
      <x:c r="B5810" s="87" t="str">
        <x:v>EGKR-S26-RUS-959-18</x:v>
      </x:c>
      <x:c r="C5810" s="87" t="str">
        <x:v>ЕГКР</x:v>
      </x:c>
      <x:c r="D5810" s="87"/>
      <x:c r="E5810" s="87" t="str">
        <x:v>Весна 2026</x:v>
      </x:c>
      <x:c r="F5810" s="87" t="str">
        <x:v>24.03.2026</x:v>
      </x:c>
      <x:c r="G5810" s="87" t="str">
        <x:v>Русский язык</x:v>
      </x:c>
      <x:c r="H5810" s="87" t="n">
        <x:v>11</x:v>
      </x:c>
      <x:c r="I5810" s="87"/>
      <x:c r="J5810" s="87" t="str">
        <x:v>959</x:v>
      </x:c>
      <x:c r="K5810" s="87" t="n">
        <x:v>18</x:v>
      </x:c>
      <x:c r="L5810" s="87" t="str">
        <x:v>Вводные слова и обращения</x:v>
      </x:c>
      <x:c r="M5810" s="30" t="str">
        <x:v>Задание 18 варианта 959: Вводные слова и обращения. Полная формулировка сохранена на указанной визуальной странице.</x:v>
      </x:c>
      <x:c r="N5810" s="30" t="str">
        <x:v>1234</x:v>
      </x:c>
      <x:c r="O5810" s="30" t="str">
        <x:v>Ответ зафиксирован в формате задания; полное условие и варианты ответа доступны по VIS_ID.</x:v>
      </x:c>
      <x:c r="P5810" s="30"/>
      <x:c r="Q5810" s="30" t="str">
        <x:v>Ответ независимо сверён по исходному заданию и разбору: Insperia — разбор варианта 959.</x:v>
      </x:c>
      <x:c r="R5810" s="30" t="str">
        <x:v>123</x:v>
      </x:c>
      <x:c r="S5810" s="30"/>
      <x:c r="T5810" s="30" t="str">
        <x:v>Insperia — разбор варианта 959</x:v>
      </x:c>
      <x:c r="U5810" s="30" t="str">
        <x:v>Ответник: 123; канонический ответ: 1234.</x:v>
      </x:c>
      <x:c r="V5810" s="87" t="str">
        <x:v>KEY_MISMATCH</x:v>
      </x:c>
      <x:c r="W5810" s="87"/>
      <x:c r="X5810" s="87" t="n">
        <x:v>8</x:v>
      </x:c>
      <x:c r="Y5810" s="87"/>
      <x:c r="Z5810" s="87"/>
      <x:c r="AA5810" s="87"/>
      <x:c r="AB5810" s="87"/>
      <x:c r="AC5810" s="87" t="str">
        <x:v>VIS-EGKR-RUS-S26-TASK-959-P008</x:v>
      </x:c>
      <x:c r="AD5810" s="87" t="str">
        <x:v>VIS-EGKR-RUS-S26-ANSWERDOC-P001</x:v>
      </x:c>
      <x:c r="AE5810" s="87" t="str">
        <x:v>TASK; SECONDARY_ANSWER_SOURCE</x:v>
      </x:c>
      <x:c r="AF5810" s="87" t="str">
        <x:v>VIS-EGKR-RUS-S26-TASK-959-P008: 8; VIS-EGKR-RUS-S26-ANSWERDOC-P001: 1</x:v>
      </x:c>
      <x:c r="AG5810" s="87" t="str">
        <x:v>RESOLVED</x:v>
      </x:c>
      <x:c r="AH5810" s="87" t="str">
        <x:v>CROP_VERIFIED</x:v>
      </x:c>
      <x:c r="AI5810" s="30"/>
      <x:c r="AJ5810" s="87" t="str">
        <x:v>clean</x:v>
      </x:c>
      <x:c r="AK5810" s="87" t="str">
        <x:v>clean-v0.18</x:v>
      </x:c>
      <x:c r="AL5810" s="87" t="str">
        <x:v>statgrad_clean_continuation_v0_18(1).xlsx</x:v>
      </x:c>
      <x:c r="AM5810" s="87" t="str">
        <x:v>RUS_EGKR_959</x:v>
      </x:c>
      <x:c r="AN5810" s="87" t="n">
        <x:v>19</x:v>
      </x:c>
    </x:row>
    <x:row r="5811">
      <x:c r="A5811" s="87" t="n">
        <x:v>5810</x:v>
      </x:c>
      <x:c r="B5811" s="87" t="str">
        <x:v>EGKR-S26-RUS-959-19</x:v>
      </x:c>
      <x:c r="C5811" s="87" t="str">
        <x:v>ЕГКР</x:v>
      </x:c>
      <x:c r="D5811" s="87"/>
      <x:c r="E5811" s="87" t="str">
        <x:v>Весна 2026</x:v>
      </x:c>
      <x:c r="F5811" s="87" t="str">
        <x:v>24.03.2026</x:v>
      </x:c>
      <x:c r="G5811" s="87" t="str">
        <x:v>Русский язык</x:v>
      </x:c>
      <x:c r="H5811" s="87" t="n">
        <x:v>11</x:v>
      </x:c>
      <x:c r="I5811" s="87"/>
      <x:c r="J5811" s="87" t="str">
        <x:v>959</x:v>
      </x:c>
      <x:c r="K5811" s="87" t="n">
        <x:v>19</x:v>
      </x:c>
      <x:c r="L5811" s="87" t="str">
        <x:v>Сложноподчинённое предложение</x:v>
      </x:c>
      <x:c r="M5811" s="30" t="str">
        <x:v>Задание 19 варианта 959: Сложноподчинённое предложение. Полная формулировка сохранена на указанной визуальной странице.</x:v>
      </x:c>
      <x:c r="N5811" s="30" t="str">
        <x:v>134</x:v>
      </x:c>
      <x:c r="O5811" s="30" t="str">
        <x:v>Ответ зафиксирован в формате задания; полное условие и варианты ответа доступны по VIS_ID.</x:v>
      </x:c>
      <x:c r="P5811" s="30"/>
      <x:c r="Q5811" s="30" t="str">
        <x:v>Ответ независимо сверён по исходному заданию и разбору: Insperia — разбор варианта 959.</x:v>
      </x:c>
      <x:c r="R5811" s="30" t="str">
        <x:v>14</x:v>
      </x:c>
      <x:c r="S5811" s="30"/>
      <x:c r="T5811" s="30" t="str">
        <x:v>Insperia — разбор варианта 959</x:v>
      </x:c>
      <x:c r="U5811" s="30" t="str">
        <x:v>Ответник: 14; канонический ответ: 134.</x:v>
      </x:c>
      <x:c r="V5811" s="87" t="str">
        <x:v>KEY_MISMATCH</x:v>
      </x:c>
      <x:c r="W5811" s="87"/>
      <x:c r="X5811" s="87" t="n">
        <x:v>9</x:v>
      </x:c>
      <x:c r="Y5811" s="87"/>
      <x:c r="Z5811" s="87"/>
      <x:c r="AA5811" s="87"/>
      <x:c r="AB5811" s="87"/>
      <x:c r="AC5811" s="87" t="str">
        <x:v>VIS-EGKR-RUS-S26-TASK-959-P009</x:v>
      </x:c>
      <x:c r="AD5811" s="87" t="str">
        <x:v>VIS-EGKR-RUS-S26-ANSWERDOC-P001</x:v>
      </x:c>
      <x:c r="AE5811" s="87" t="str">
        <x:v>TASK; SECONDARY_ANSWER_SOURCE</x:v>
      </x:c>
      <x:c r="AF5811" s="87" t="str">
        <x:v>VIS-EGKR-RUS-S26-TASK-959-P009: 9; VIS-EGKR-RUS-S26-ANSWERDOC-P001: 1</x:v>
      </x:c>
      <x:c r="AG5811" s="87" t="str">
        <x:v>RESOLVED</x:v>
      </x:c>
      <x:c r="AH5811" s="87" t="str">
        <x:v>CROP_VERIFIED</x:v>
      </x:c>
      <x:c r="AI5811" s="30"/>
      <x:c r="AJ5811" s="87" t="str">
        <x:v>clean</x:v>
      </x:c>
      <x:c r="AK5811" s="87" t="str">
        <x:v>clean-v0.18</x:v>
      </x:c>
      <x:c r="AL5811" s="87" t="str">
        <x:v>statgrad_clean_continuation_v0_18(1).xlsx</x:v>
      </x:c>
      <x:c r="AM5811" s="87" t="str">
        <x:v>RUS_EGKR_959</x:v>
      </x:c>
      <x:c r="AN5811" s="87" t="n">
        <x:v>20</x:v>
      </x:c>
    </x:row>
    <x:row r="5812">
      <x:c r="A5812" s="87" t="n">
        <x:v>5811</x:v>
      </x:c>
      <x:c r="B5812" s="87" t="str">
        <x:v>EGKR-S26-RUS-959-20</x:v>
      </x:c>
      <x:c r="C5812" s="87" t="str">
        <x:v>ЕГКР</x:v>
      </x:c>
      <x:c r="D5812" s="87"/>
      <x:c r="E5812" s="87" t="str">
        <x:v>Весна 2026</x:v>
      </x:c>
      <x:c r="F5812" s="87" t="str">
        <x:v>24.03.2026</x:v>
      </x:c>
      <x:c r="G5812" s="87" t="str">
        <x:v>Русский язык</x:v>
      </x:c>
      <x:c r="H5812" s="87" t="n">
        <x:v>11</x:v>
      </x:c>
      <x:c r="I5812" s="87"/>
      <x:c r="J5812" s="87" t="str">
        <x:v>959</x:v>
      </x:c>
      <x:c r="K5812" s="87" t="n">
        <x:v>20</x:v>
      </x:c>
      <x:c r="L5812" s="87" t="str">
        <x:v>Сложное предложение</x:v>
      </x:c>
      <x:c r="M5812" s="30" t="str">
        <x:v>Задание 20 варианта 959: Сложное предложение. Полная формулировка сохранена на указанной визуальной странице.</x:v>
      </x:c>
      <x:c r="N5812" s="30" t="str">
        <x:v>123</x:v>
      </x:c>
      <x:c r="O5812" s="30" t="str">
        <x:v>Ответ зафиксирован в формате задания; полное условие и варианты ответа доступны по VIS_ID.</x:v>
      </x:c>
      <x:c r="P5812" s="30"/>
      <x:c r="Q5812" s="30" t="str">
        <x:v>Ответ совпал с исходным ответником и независимой сверкой: Insperia — разбор варианта 959.</x:v>
      </x:c>
      <x:c r="R5812" s="30" t="str">
        <x:v>123</x:v>
      </x:c>
      <x:c r="S5812" s="30"/>
      <x:c r="T5812" s="30" t="str">
        <x:v>Insperia — разбор варианта 959</x:v>
      </x:c>
      <x:c r="U5812" s="30" t="str">
        <x:v>Расхождений нет.</x:v>
      </x:c>
      <x:c r="V5812" s="87" t="str">
        <x:v>VERIFIED</x:v>
      </x:c>
      <x:c r="W5812" s="87"/>
      <x:c r="X5812" s="87" t="n">
        <x:v>9</x:v>
      </x:c>
      <x:c r="Y5812" s="87"/>
      <x:c r="Z5812" s="87"/>
      <x:c r="AA5812" s="87"/>
      <x:c r="AB5812" s="87"/>
      <x:c r="AC5812" s="87" t="str">
        <x:v>VIS-EGKR-RUS-S26-TASK-959-P009</x:v>
      </x:c>
      <x:c r="AD5812" s="87" t="str">
        <x:v>VIS-EGKR-RUS-S26-ANSWERDOC-P001</x:v>
      </x:c>
      <x:c r="AE5812" s="87" t="str">
        <x:v>TASK; SECONDARY_ANSWER_SOURCE</x:v>
      </x:c>
      <x:c r="AF5812" s="87" t="str">
        <x:v>VIS-EGKR-RUS-S26-TASK-959-P009: 9; VIS-EGKR-RUS-S26-ANSWERDOC-P001: 1</x:v>
      </x:c>
      <x:c r="AG5812" s="87" t="str">
        <x:v>RESOLVED</x:v>
      </x:c>
      <x:c r="AH5812" s="87" t="str">
        <x:v>CROP_VERIFIED</x:v>
      </x:c>
      <x:c r="AI5812" s="30"/>
      <x:c r="AJ5812" s="87" t="str">
        <x:v>clean</x:v>
      </x:c>
      <x:c r="AK5812" s="87" t="str">
        <x:v>clean-v0.18</x:v>
      </x:c>
      <x:c r="AL5812" s="87" t="str">
        <x:v>statgrad_clean_continuation_v0_18(1).xlsx</x:v>
      </x:c>
      <x:c r="AM5812" s="87" t="str">
        <x:v>RUS_EGKR_959</x:v>
      </x:c>
      <x:c r="AN5812" s="87" t="n">
        <x:v>21</x:v>
      </x:c>
    </x:row>
    <x:row r="5813">
      <x:c r="A5813" s="87" t="n">
        <x:v>5812</x:v>
      </x:c>
      <x:c r="B5813" s="87" t="str">
        <x:v>EGKR-S26-RUS-959-21</x:v>
      </x:c>
      <x:c r="C5813" s="87" t="str">
        <x:v>ЕГКР</x:v>
      </x:c>
      <x:c r="D5813" s="87"/>
      <x:c r="E5813" s="87" t="str">
        <x:v>Весна 2026</x:v>
      </x:c>
      <x:c r="F5813" s="87" t="str">
        <x:v>24.03.2026</x:v>
      </x:c>
      <x:c r="G5813" s="87" t="str">
        <x:v>Русский язык</x:v>
      </x:c>
      <x:c r="H5813" s="87" t="n">
        <x:v>11</x:v>
      </x:c>
      <x:c r="I5813" s="87"/>
      <x:c r="J5813" s="87" t="str">
        <x:v>959</x:v>
      </x:c>
      <x:c r="K5813" s="87" t="n">
        <x:v>21</x:v>
      </x:c>
      <x:c r="L5813" s="87" t="str">
        <x:v>Пунктуационный анализ</x:v>
      </x:c>
      <x:c r="M5813" s="30" t="str">
        <x:v>Задание 21 варианта 959: Пунктуационный анализ. Полная формулировка сохранена на указанной визуальной странице.</x:v>
      </x:c>
      <x:c r="N5813" s="30" t="str">
        <x:v>14</x:v>
      </x:c>
      <x:c r="O5813" s="30" t="str">
        <x:v>Ответ зафиксирован в формате задания; полное условие и варианты ответа доступны по VIS_ID.</x:v>
      </x:c>
      <x:c r="P5813" s="30"/>
      <x:c r="Q5813" s="30" t="str">
        <x:v>Ответ совпал с исходным ответником и независимой сверкой: Insperia — разбор варианта 959.</x:v>
      </x:c>
      <x:c r="R5813" s="30" t="str">
        <x:v>14</x:v>
      </x:c>
      <x:c r="S5813" s="30"/>
      <x:c r="T5813" s="30" t="str">
        <x:v>Insperia — разбор варианта 959</x:v>
      </x:c>
      <x:c r="U5813" s="30" t="str">
        <x:v>Расхождений нет.</x:v>
      </x:c>
      <x:c r="V5813" s="87" t="str">
        <x:v>VERIFIED</x:v>
      </x:c>
      <x:c r="W5813" s="87"/>
      <x:c r="X5813" s="87" t="n">
        <x:v>9</x:v>
      </x:c>
      <x:c r="Y5813" s="87"/>
      <x:c r="Z5813" s="87"/>
      <x:c r="AA5813" s="87"/>
      <x:c r="AB5813" s="87"/>
      <x:c r="AC5813" s="87" t="str">
        <x:v>VIS-EGKR-RUS-S26-TASK-959-P009</x:v>
      </x:c>
      <x:c r="AD5813" s="87" t="str">
        <x:v>VIS-EGKR-RUS-S26-ANSWERDOC-P001</x:v>
      </x:c>
      <x:c r="AE5813" s="87" t="str">
        <x:v>TASK; SECONDARY_ANSWER_SOURCE</x:v>
      </x:c>
      <x:c r="AF5813" s="87" t="str">
        <x:v>VIS-EGKR-RUS-S26-TASK-959-P009: 9; VIS-EGKR-RUS-S26-ANSWERDOC-P001: 1</x:v>
      </x:c>
      <x:c r="AG5813" s="87" t="str">
        <x:v>RESOLVED</x:v>
      </x:c>
      <x:c r="AH5813" s="87" t="str">
        <x:v>CROP_VERIFIED</x:v>
      </x:c>
      <x:c r="AI5813" s="30"/>
      <x:c r="AJ5813" s="87" t="str">
        <x:v>clean</x:v>
      </x:c>
      <x:c r="AK5813" s="87" t="str">
        <x:v>clean-v0.18</x:v>
      </x:c>
      <x:c r="AL5813" s="87" t="str">
        <x:v>statgrad_clean_continuation_v0_18(1).xlsx</x:v>
      </x:c>
      <x:c r="AM5813" s="87" t="str">
        <x:v>RUS_EGKR_959</x:v>
      </x:c>
      <x:c r="AN5813" s="87" t="n">
        <x:v>22</x:v>
      </x:c>
    </x:row>
    <x:row r="5814">
      <x:c r="A5814" s="87" t="n">
        <x:v>5813</x:v>
      </x:c>
      <x:c r="B5814" s="87" t="str">
        <x:v>EGKR-S26-RUS-959-22</x:v>
      </x:c>
      <x:c r="C5814" s="87" t="str">
        <x:v>ЕГКР</x:v>
      </x:c>
      <x:c r="D5814" s="87"/>
      <x:c r="E5814" s="87" t="str">
        <x:v>Весна 2026</x:v>
      </x:c>
      <x:c r="F5814" s="87" t="str">
        <x:v>24.03.2026</x:v>
      </x:c>
      <x:c r="G5814" s="87" t="str">
        <x:v>Русский язык</x:v>
      </x:c>
      <x:c r="H5814" s="87" t="n">
        <x:v>11</x:v>
      </x:c>
      <x:c r="I5814" s="87"/>
      <x:c r="J5814" s="87" t="str">
        <x:v>959</x:v>
      </x:c>
      <x:c r="K5814" s="87" t="n">
        <x:v>22</x:v>
      </x:c>
      <x:c r="L5814" s="87" t="str">
        <x:v>Средства выразительности</x:v>
      </x:c>
      <x:c r="M5814" s="30" t="str">
        <x:v>Задание 22 варианта 959: Средства выразительности. Полная формулировка сохранена на указанной визуальной странице.</x:v>
      </x:c>
      <x:c r="N5814" s="30" t="str">
        <x:v>98563</x:v>
      </x:c>
      <x:c r="O5814" s="30" t="str">
        <x:v>Ответ зафиксирован в формате задания; полное условие и варианты ответа доступны по VIS_ID.</x:v>
      </x:c>
      <x:c r="P5814" s="30"/>
      <x:c r="Q5814" s="30" t="str">
        <x:v>Ответ независимо сверён по исходному заданию и разбору: Insperia — разбор варианта 959.</x:v>
      </x:c>
      <x:c r="R5814" s="30" t="str">
        <x:v>28761</x:v>
      </x:c>
      <x:c r="S5814" s="30"/>
      <x:c r="T5814" s="30" t="str">
        <x:v>Insperia — разбор варианта 959</x:v>
      </x:c>
      <x:c r="U5814" s="30" t="str">
        <x:v>Ответник: 28761; канонический ответ: 98563.</x:v>
      </x:c>
      <x:c r="V5814" s="87" t="str">
        <x:v>KEY_MISMATCH</x:v>
      </x:c>
      <x:c r="W5814" s="87"/>
      <x:c r="X5814" s="87" t="n">
        <x:v>10</x:v>
      </x:c>
      <x:c r="Y5814" s="87"/>
      <x:c r="Z5814" s="87"/>
      <x:c r="AA5814" s="87"/>
      <x:c r="AB5814" s="87"/>
      <x:c r="AC5814" s="87" t="str">
        <x:v>VIS-EGKR-RUS-S26-TASK-959-P010</x:v>
      </x:c>
      <x:c r="AD5814" s="87" t="str">
        <x:v>VIS-EGKR-RUS-S26-ANSWERDOC-P001</x:v>
      </x:c>
      <x:c r="AE5814" s="87" t="str">
        <x:v>TASK; SECONDARY_ANSWER_SOURCE</x:v>
      </x:c>
      <x:c r="AF5814" s="87" t="str">
        <x:v>VIS-EGKR-RUS-S26-TASK-959-P010: 10; VIS-EGKR-RUS-S26-ANSWERDOC-P001: 1</x:v>
      </x:c>
      <x:c r="AG5814" s="87" t="str">
        <x:v>RESOLVED</x:v>
      </x:c>
      <x:c r="AH5814" s="87" t="str">
        <x:v>CROP_VERIFIED</x:v>
      </x:c>
      <x:c r="AI5814" s="30"/>
      <x:c r="AJ5814" s="87" t="str">
        <x:v>clean</x:v>
      </x:c>
      <x:c r="AK5814" s="87" t="str">
        <x:v>clean-v0.18</x:v>
      </x:c>
      <x:c r="AL5814" s="87" t="str">
        <x:v>statgrad_clean_continuation_v0_18(1).xlsx</x:v>
      </x:c>
      <x:c r="AM5814" s="87" t="str">
        <x:v>RUS_EGKR_959</x:v>
      </x:c>
      <x:c r="AN5814" s="87" t="n">
        <x:v>23</x:v>
      </x:c>
    </x:row>
    <x:row r="5815">
      <x:c r="A5815" s="87" t="n">
        <x:v>5814</x:v>
      </x:c>
      <x:c r="B5815" s="87" t="str">
        <x:v>EGKR-S26-RUS-959-23</x:v>
      </x:c>
      <x:c r="C5815" s="87" t="str">
        <x:v>ЕГКР</x:v>
      </x:c>
      <x:c r="D5815" s="87"/>
      <x:c r="E5815" s="87" t="str">
        <x:v>Весна 2026</x:v>
      </x:c>
      <x:c r="F5815" s="87" t="str">
        <x:v>24.03.2026</x:v>
      </x:c>
      <x:c r="G5815" s="87" t="str">
        <x:v>Русский язык</x:v>
      </x:c>
      <x:c r="H5815" s="87" t="n">
        <x:v>11</x:v>
      </x:c>
      <x:c r="I5815" s="87"/>
      <x:c r="J5815" s="87" t="str">
        <x:v>959</x:v>
      </x:c>
      <x:c r="K5815" s="87" t="n">
        <x:v>23</x:v>
      </x:c>
      <x:c r="L5815" s="87" t="str">
        <x:v>Содержание текста</x:v>
      </x:c>
      <x:c r="M5815" s="30" t="str">
        <x:v>Задание 23 варианта 959: Содержание текста. Полная формулировка сохранена на указанной визуальной странице.</x:v>
      </x:c>
      <x:c r="N5815" s="30" t="str">
        <x:v>145</x:v>
      </x:c>
      <x:c r="O5815" s="30" t="str">
        <x:v>Ответ зафиксирован в формате задания; полное условие и варианты ответа доступны по VIS_ID.</x:v>
      </x:c>
      <x:c r="P5815" s="30"/>
      <x:c r="Q5815" s="30" t="str">
        <x:v>Ответ независимо сверён по исходному заданию и разбору: Insperia — разбор варианта 959.</x:v>
      </x:c>
      <x:c r="R5815" s="30" t="str">
        <x:v>45</x:v>
      </x:c>
      <x:c r="S5815" s="30"/>
      <x:c r="T5815" s="30" t="str">
        <x:v>Insperia — разбор варианта 959</x:v>
      </x:c>
      <x:c r="U5815" s="30" t="str">
        <x:v>Ответник: 45; канонический ответ: 145.</x:v>
      </x:c>
      <x:c r="V5815" s="87" t="str">
        <x:v>KEY_MISMATCH</x:v>
      </x:c>
      <x:c r="W5815" s="87"/>
      <x:c r="X5815" s="87" t="n">
        <x:v>11</x:v>
      </x:c>
      <x:c r="Y5815" s="87"/>
      <x:c r="Z5815" s="87"/>
      <x:c r="AA5815" s="87"/>
      <x:c r="AB5815" s="87"/>
      <x:c r="AC5815" s="87" t="str">
        <x:v>VIS-EGKR-RUS-S26-TASK-959-P011</x:v>
      </x:c>
      <x:c r="AD5815" s="87" t="str">
        <x:v>VIS-EGKR-RUS-S26-ANSWERDOC-P001</x:v>
      </x:c>
      <x:c r="AE5815" s="87" t="str">
        <x:v>TASK; SECONDARY_ANSWER_SOURCE</x:v>
      </x:c>
      <x:c r="AF5815" s="87" t="str">
        <x:v>VIS-EGKR-RUS-S26-TASK-959-P011: 11; VIS-EGKR-RUS-S26-ANSWERDOC-P001: 1</x:v>
      </x:c>
      <x:c r="AG5815" s="87" t="str">
        <x:v>RESOLVED</x:v>
      </x:c>
      <x:c r="AH5815" s="87" t="str">
        <x:v>CROP_VERIFIED</x:v>
      </x:c>
      <x:c r="AI5815" s="30"/>
      <x:c r="AJ5815" s="87" t="str">
        <x:v>clean</x:v>
      </x:c>
      <x:c r="AK5815" s="87" t="str">
        <x:v>clean-v0.18</x:v>
      </x:c>
      <x:c r="AL5815" s="87" t="str">
        <x:v>statgrad_clean_continuation_v0_18(1).xlsx</x:v>
      </x:c>
      <x:c r="AM5815" s="87" t="str">
        <x:v>RUS_EGKR_959</x:v>
      </x:c>
      <x:c r="AN5815" s="87" t="n">
        <x:v>24</x:v>
      </x:c>
    </x:row>
    <x:row r="5816">
      <x:c r="A5816" s="87" t="n">
        <x:v>5815</x:v>
      </x:c>
      <x:c r="B5816" s="87" t="str">
        <x:v>EGKR-S26-RUS-959-24</x:v>
      </x:c>
      <x:c r="C5816" s="87" t="str">
        <x:v>ЕГКР</x:v>
      </x:c>
      <x:c r="D5816" s="87"/>
      <x:c r="E5816" s="87" t="str">
        <x:v>Весна 2026</x:v>
      </x:c>
      <x:c r="F5816" s="87" t="str">
        <x:v>24.03.2026</x:v>
      </x:c>
      <x:c r="G5816" s="87" t="str">
        <x:v>Русский язык</x:v>
      </x:c>
      <x:c r="H5816" s="87" t="n">
        <x:v>11</x:v>
      </x:c>
      <x:c r="I5816" s="87"/>
      <x:c r="J5816" s="87" t="str">
        <x:v>959</x:v>
      </x:c>
      <x:c r="K5816" s="87" t="n">
        <x:v>24</x:v>
      </x:c>
      <x:c r="L5816" s="87" t="str">
        <x:v>Типы речи и логика текста</x:v>
      </x:c>
      <x:c r="M5816" s="30" t="str">
        <x:v>Задание 24 варианта 959: Типы речи и логика текста. Полная формулировка сохранена на указанной визуальной странице.</x:v>
      </x:c>
      <x:c r="N5816" s="30" t="str">
        <x:v>34</x:v>
      </x:c>
      <x:c r="O5816" s="30" t="str">
        <x:v>Ответ зафиксирован в формате задания; полное условие и варианты ответа доступны по VIS_ID.</x:v>
      </x:c>
      <x:c r="P5816" s="30"/>
      <x:c r="Q5816" s="30" t="str">
        <x:v>Ответ независимо сверён по исходному заданию и разбору: Insperia — разбор варианта 959.</x:v>
      </x:c>
      <x:c r="R5816" s="30" t="str">
        <x:v>345</x:v>
      </x:c>
      <x:c r="S5816" s="30"/>
      <x:c r="T5816" s="30" t="str">
        <x:v>Insperia — разбор варианта 959</x:v>
      </x:c>
      <x:c r="U5816" s="30" t="str">
        <x:v>Ответник: 345; канонический ответ: 34.</x:v>
      </x:c>
      <x:c r="V5816" s="87" t="str">
        <x:v>KEY_MISMATCH</x:v>
      </x:c>
      <x:c r="W5816" s="87"/>
      <x:c r="X5816" s="87" t="n">
        <x:v>11</x:v>
      </x:c>
      <x:c r="Y5816" s="87"/>
      <x:c r="Z5816" s="87"/>
      <x:c r="AA5816" s="87"/>
      <x:c r="AB5816" s="87"/>
      <x:c r="AC5816" s="87" t="str">
        <x:v>VIS-EGKR-RUS-S26-TASK-959-P011</x:v>
      </x:c>
      <x:c r="AD5816" s="87" t="str">
        <x:v>VIS-EGKR-RUS-S26-ANSWERDOC-P001</x:v>
      </x:c>
      <x:c r="AE5816" s="87" t="str">
        <x:v>TASK; SECONDARY_ANSWER_SOURCE</x:v>
      </x:c>
      <x:c r="AF5816" s="87" t="str">
        <x:v>VIS-EGKR-RUS-S26-TASK-959-P011: 11; VIS-EGKR-RUS-S26-ANSWERDOC-P001: 1</x:v>
      </x:c>
      <x:c r="AG5816" s="87" t="str">
        <x:v>RESOLVED</x:v>
      </x:c>
      <x:c r="AH5816" s="87" t="str">
        <x:v>CROP_VERIFIED</x:v>
      </x:c>
      <x:c r="AI5816" s="30"/>
      <x:c r="AJ5816" s="87" t="str">
        <x:v>clean</x:v>
      </x:c>
      <x:c r="AK5816" s="87" t="str">
        <x:v>clean-v0.18</x:v>
      </x:c>
      <x:c r="AL5816" s="87" t="str">
        <x:v>statgrad_clean_continuation_v0_18(1).xlsx</x:v>
      </x:c>
      <x:c r="AM5816" s="87" t="str">
        <x:v>RUS_EGKR_959</x:v>
      </x:c>
      <x:c r="AN5816" s="87" t="n">
        <x:v>25</x:v>
      </x:c>
    </x:row>
    <x:row r="5817">
      <x:c r="A5817" s="87" t="n">
        <x:v>5816</x:v>
      </x:c>
      <x:c r="B5817" s="87" t="str">
        <x:v>EGKR-S26-RUS-959-25</x:v>
      </x:c>
      <x:c r="C5817" s="87" t="str">
        <x:v>ЕГКР</x:v>
      </x:c>
      <x:c r="D5817" s="87"/>
      <x:c r="E5817" s="87" t="str">
        <x:v>Весна 2026</x:v>
      </x:c>
      <x:c r="F5817" s="87" t="str">
        <x:v>24.03.2026</x:v>
      </x:c>
      <x:c r="G5817" s="87" t="str">
        <x:v>Русский язык</x:v>
      </x:c>
      <x:c r="H5817" s="87" t="n">
        <x:v>11</x:v>
      </x:c>
      <x:c r="I5817" s="87"/>
      <x:c r="J5817" s="87" t="str">
        <x:v>959</x:v>
      </x:c>
      <x:c r="K5817" s="87" t="n">
        <x:v>25</x:v>
      </x:c>
      <x:c r="L5817" s="87" t="str">
        <x:v>Лексический анализ</x:v>
      </x:c>
      <x:c r="M5817" s="30" t="str">
        <x:v>Задание 25 варианта 959: Лексический анализ. Полная формулировка сохранена на указанной визуальной странице.</x:v>
      </x:c>
      <x:c r="N5817" s="30" t="str">
        <x:v>обретали лицо</x:v>
      </x:c>
      <x:c r="O5817" s="30" t="str">
        <x:v>Ответ зафиксирован в формате задания; полное условие и варианты ответа доступны по VIS_ID.</x:v>
      </x:c>
      <x:c r="P5817" s="30"/>
      <x:c r="Q5817" s="30" t="str">
        <x:v>Ответ независимо сверён по исходному заданию и разбору: Insperia — разбор варианта 959.</x:v>
      </x:c>
      <x:c r="R5817" s="30" t="str">
        <x:v>в самом начале</x:v>
      </x:c>
      <x:c r="S5817" s="30"/>
      <x:c r="T5817" s="30" t="str">
        <x:v>Insperia — разбор варианта 959</x:v>
      </x:c>
      <x:c r="U5817" s="30" t="str">
        <x:v>Ответник: в самом начале; канонический ответ: обретали лицо.</x:v>
      </x:c>
      <x:c r="V5817" s="87" t="str">
        <x:v>KEY_MISMATCH</x:v>
      </x:c>
      <x:c r="W5817" s="87"/>
      <x:c r="X5817" s="87" t="n">
        <x:v>11</x:v>
      </x:c>
      <x:c r="Y5817" s="87"/>
      <x:c r="Z5817" s="87"/>
      <x:c r="AA5817" s="87"/>
      <x:c r="AB5817" s="87"/>
      <x:c r="AC5817" s="87" t="str">
        <x:v>VIS-EGKR-RUS-S26-TASK-959-P011</x:v>
      </x:c>
      <x:c r="AD5817" s="87" t="str">
        <x:v>VIS-EGKR-RUS-S26-ANSWERDOC-P001</x:v>
      </x:c>
      <x:c r="AE5817" s="87" t="str">
        <x:v>TASK; SECONDARY_ANSWER_SOURCE</x:v>
      </x:c>
      <x:c r="AF5817" s="87" t="str">
        <x:v>VIS-EGKR-RUS-S26-TASK-959-P011: 11; VIS-EGKR-RUS-S26-ANSWERDOC-P001: 1</x:v>
      </x:c>
      <x:c r="AG5817" s="87" t="str">
        <x:v>RESOLVED</x:v>
      </x:c>
      <x:c r="AH5817" s="87" t="str">
        <x:v>CROP_VERIFIED</x:v>
      </x:c>
      <x:c r="AI5817" s="30"/>
      <x:c r="AJ5817" s="87" t="str">
        <x:v>clean</x:v>
      </x:c>
      <x:c r="AK5817" s="87" t="str">
        <x:v>clean-v0.18</x:v>
      </x:c>
      <x:c r="AL5817" s="87" t="str">
        <x:v>statgrad_clean_continuation_v0_18(1).xlsx</x:v>
      </x:c>
      <x:c r="AM5817" s="87" t="str">
        <x:v>RUS_EGKR_959</x:v>
      </x:c>
      <x:c r="AN5817" s="87" t="n">
        <x:v>26</x:v>
      </x:c>
    </x:row>
    <x:row r="5818">
      <x:c r="A5818" s="87" t="n">
        <x:v>5817</x:v>
      </x:c>
      <x:c r="B5818" s="87" t="str">
        <x:v>EGKR-S26-RUS-959-26</x:v>
      </x:c>
      <x:c r="C5818" s="87" t="str">
        <x:v>ЕГКР</x:v>
      </x:c>
      <x:c r="D5818" s="87"/>
      <x:c r="E5818" s="87" t="str">
        <x:v>Весна 2026</x:v>
      </x:c>
      <x:c r="F5818" s="87" t="str">
        <x:v>24.03.2026</x:v>
      </x:c>
      <x:c r="G5818" s="87" t="str">
        <x:v>Русский язык</x:v>
      </x:c>
      <x:c r="H5818" s="87" t="n">
        <x:v>11</x:v>
      </x:c>
      <x:c r="I5818" s="87"/>
      <x:c r="J5818" s="87" t="str">
        <x:v>959</x:v>
      </x:c>
      <x:c r="K5818" s="87" t="n">
        <x:v>26</x:v>
      </x:c>
      <x:c r="L5818" s="87" t="str">
        <x:v>Связь предложений</x:v>
      </x:c>
      <x:c r="M5818" s="30" t="str">
        <x:v>Задание 26 варианта 959: Связь предложений. Полная формулировка сохранена на указанной визуальной странице.</x:v>
      </x:c>
      <x:c r="N5818" s="30" t="str">
        <x:v>15</x:v>
      </x:c>
      <x:c r="O5818" s="30" t="str">
        <x:v>Ответ зафиксирован в формате задания; полное условие и варианты ответа доступны по VIS_ID.</x:v>
      </x:c>
      <x:c r="P5818" s="30"/>
      <x:c r="Q5818" s="30" t="str">
        <x:v>Ответ совпал с исходным ответником и независимой сверкой: Insperia — разбор варианта 959.</x:v>
      </x:c>
      <x:c r="R5818" s="30" t="str">
        <x:v>15</x:v>
      </x:c>
      <x:c r="S5818" s="30"/>
      <x:c r="T5818" s="30" t="str">
        <x:v>Insperia — разбор варианта 959</x:v>
      </x:c>
      <x:c r="U5818" s="30" t="str">
        <x:v>Расхождений нет.</x:v>
      </x:c>
      <x:c r="V5818" s="87" t="str">
        <x:v>VERIFIED</x:v>
      </x:c>
      <x:c r="W5818" s="87"/>
      <x:c r="X5818" s="87" t="n">
        <x:v>11</x:v>
      </x:c>
      <x:c r="Y5818" s="87"/>
      <x:c r="Z5818" s="87"/>
      <x:c r="AA5818" s="87"/>
      <x:c r="AB5818" s="87"/>
      <x:c r="AC5818" s="87" t="str">
        <x:v>VIS-EGKR-RUS-S26-TASK-959-P011</x:v>
      </x:c>
      <x:c r="AD5818" s="87" t="str">
        <x:v>VIS-EGKR-RUS-S26-ANSWERDOC-P001</x:v>
      </x:c>
      <x:c r="AE5818" s="87" t="str">
        <x:v>TASK; SECONDARY_ANSWER_SOURCE</x:v>
      </x:c>
      <x:c r="AF5818" s="87" t="str">
        <x:v>VIS-EGKR-RUS-S26-TASK-959-P011: 11; VIS-EGKR-RUS-S26-ANSWERDOC-P001: 1</x:v>
      </x:c>
      <x:c r="AG5818" s="87" t="str">
        <x:v>RESOLVED</x:v>
      </x:c>
      <x:c r="AH5818" s="87" t="str">
        <x:v>CROP_VERIFIED</x:v>
      </x:c>
      <x:c r="AI5818" s="30"/>
      <x:c r="AJ5818" s="87" t="str">
        <x:v>clean</x:v>
      </x:c>
      <x:c r="AK5818" s="87" t="str">
        <x:v>clean-v0.18</x:v>
      </x:c>
      <x:c r="AL5818" s="87" t="str">
        <x:v>statgrad_clean_continuation_v0_18(1).xlsx</x:v>
      </x:c>
      <x:c r="AM5818" s="87" t="str">
        <x:v>RUS_EGKR_959</x:v>
      </x:c>
      <x:c r="AN5818" s="87" t="n">
        <x:v>27</x:v>
      </x:c>
    </x:row>
    <x:row r="5819">
      <x:c r="A5819" s="87" t="n">
        <x:v>5818</x:v>
      </x:c>
      <x:c r="B5819" s="87" t="str">
        <x:v>EGKR-S26-RUS-959-27</x:v>
      </x:c>
      <x:c r="C5819" s="87" t="str">
        <x:v>ЕГКР</x:v>
      </x:c>
      <x:c r="D5819" s="87"/>
      <x:c r="E5819" s="87" t="str">
        <x:v>Весна 2026</x:v>
      </x:c>
      <x:c r="F5819" s="87" t="str">
        <x:v>24.03.2026</x:v>
      </x:c>
      <x:c r="G5819" s="87" t="str">
        <x:v>Русский язык</x:v>
      </x:c>
      <x:c r="H5819" s="87" t="n">
        <x:v>11</x:v>
      </x:c>
      <x:c r="I5819" s="87"/>
      <x:c r="J5819" s="87" t="str">
        <x:v>959</x:v>
      </x:c>
      <x:c r="K5819" s="87" t="n">
        <x:v>27</x:v>
      </x:c>
      <x:c r="L5819" s="87" t="str">
        <x:v>Сочинение</x:v>
      </x:c>
      <x:c r="M5819" s="30" t="str">
        <x:v>Почему для формирования личности ученика важно его ближайшее окружение?</x:v>
      </x:c>
      <x:c r="N5819" s="30" t="str">
        <x:v>Ближайшее окружение формирует систему ценностей и самооценку ребёнка. Учитель, который понимает значимые для ученика отношения и уважает его индивидуальность, может поддержать сильные стороны и не разрушить доверие. Поэтому воспитание требует внимания не только к успеваемости, но и к человеческим связям, в которых растёт личность.</x:v>
      </x:c>
      <x:c r="O5819" s="30" t="str">
        <x:v>Рабочая модель формулирует проблему, позицию автора и направление аргументации.</x:v>
      </x:c>
      <x:c r="P5819" s="30"/>
      <x:c r="Q5819" s="30" t="str">
        <x:v>Модель подготовлена по тексту варианта и требованиям задания 27.</x:v>
      </x:c>
      <x:c r="R5819" s="30" t="str">
        <x:v>MODEL_NOT_STANDARDIZED</x:v>
      </x:c>
      <x:c r="S5819" s="30"/>
      <x:c r="T5819" s="30" t="str">
        <x:v>Insperia — разбор варианта 959</x:v>
      </x:c>
      <x:c r="U5819" s="30" t="str">
        <x:v>Модель не является единственно возможным сочинением.</x:v>
      </x:c>
      <x:c r="V5819" s="87" t="str">
        <x:v>MODEL_READY</x:v>
      </x:c>
      <x:c r="W5819" s="87"/>
      <x:c r="X5819" s="87" t="n">
        <x:v>11</x:v>
      </x:c>
      <x:c r="Y5819" s="87"/>
      <x:c r="Z5819" s="87"/>
      <x:c r="AA5819" s="87"/>
      <x:c r="AB5819" s="87"/>
      <x:c r="AC5819" s="87" t="str">
        <x:v>VIS-EGKR-RUS-S26-TASK-959-P011</x:v>
      </x:c>
      <x:c r="AD5819" s="87"/>
      <x:c r="AE5819" s="87" t="str">
        <x:v>TASK</x:v>
      </x:c>
      <x:c r="AF5819" s="87" t="str">
        <x:v>VIS-EGKR-RUS-S26-TASK-959-P011: 11</x:v>
      </x:c>
      <x:c r="AG5819" s="87" t="str">
        <x:v>RESOLVED</x:v>
      </x:c>
      <x:c r="AH5819" s="87" t="str">
        <x:v>CROP_VERIFIED</x:v>
      </x:c>
      <x:c r="AI5819" s="30"/>
      <x:c r="AJ5819" s="87" t="str">
        <x:v>clean</x:v>
      </x:c>
      <x:c r="AK5819" s="87" t="str">
        <x:v>clean-v0.18</x:v>
      </x:c>
      <x:c r="AL5819" s="87" t="str">
        <x:v>statgrad_clean_continuation_v0_18(1).xlsx</x:v>
      </x:c>
      <x:c r="AM5819" s="87" t="str">
        <x:v>RUS_EGKR_959</x:v>
      </x:c>
      <x:c r="AN5819" s="87" t="n">
        <x:v>28</x:v>
      </x:c>
    </x:row>
    <x:row r="5820">
      <x:c r="A5820" s="87" t="n">
        <x:v>5819</x:v>
      </x:c>
      <x:c r="B5820" s="87" t="str">
        <x:v>EGKR-S26-RUS-960-01</x:v>
      </x:c>
      <x:c r="C5820" s="87" t="str">
        <x:v>ЕГКР</x:v>
      </x:c>
      <x:c r="D5820" s="87"/>
      <x:c r="E5820" s="87" t="str">
        <x:v>Весна 2026</x:v>
      </x:c>
      <x:c r="F5820" s="87" t="str">
        <x:v>24.03.2026</x:v>
      </x:c>
      <x:c r="G5820" s="87" t="str">
        <x:v>Русский язык</x:v>
      </x:c>
      <x:c r="H5820" s="87" t="n">
        <x:v>11</x:v>
      </x:c>
      <x:c r="I5820" s="87"/>
      <x:c r="J5820" s="87" t="str">
        <x:v>960</x:v>
      </x:c>
      <x:c r="K5820" s="87" t="n">
        <x:v>1</x:v>
      </x:c>
      <x:c r="L5820" s="87" t="str">
        <x:v>Средство связи</x:v>
      </x:c>
      <x:c r="M5820" s="30" t="str">
        <x:v>Задание 1 варианта 960: Средство связи. Полная формулировка сохранена на указанной визуальной странице.</x:v>
      </x:c>
      <x:c r="N5820" s="30" t="str">
        <x:v>при</x:v>
      </x:c>
      <x:c r="O5820" s="30" t="str">
        <x:v>Ответ зафиксирован в формате задания; полное условие и варианты ответа доступны по VIS_ID.</x:v>
      </x:c>
      <x:c r="P5820" s="30"/>
      <x:c r="Q5820" s="30" t="str">
        <x:v>Ответ восстановлен по исходному заданию и сверке: Insperia — разбор варианта 960.</x:v>
      </x:c>
      <x:c r="R5820" s="30" t="str">
        <x:v>MISSING</x:v>
      </x:c>
      <x:c r="S5820" s="30"/>
      <x:c r="T5820" s="30" t="str">
        <x:v>Insperia — разбор варианта 960</x:v>
      </x:c>
      <x:c r="U5820" s="30" t="str">
        <x:v>Во внутреннем ответнике позиция отсутствовала.</x:v>
      </x:c>
      <x:c r="V5820" s="87" t="str">
        <x:v>SOURCE_GAP_RECOVERED</x:v>
      </x:c>
      <x:c r="W5820" s="87"/>
      <x:c r="X5820" s="87" t="n">
        <x:v>3</x:v>
      </x:c>
      <x:c r="Y5820" s="87"/>
      <x:c r="Z5820" s="87"/>
      <x:c r="AA5820" s="87"/>
      <x:c r="AB5820" s="87"/>
      <x:c r="AC5820" s="87" t="str">
        <x:v>VIS-EGKR-RUS-S26-TASK-960-P003</x:v>
      </x:c>
      <x:c r="AD5820" s="87" t="str">
        <x:v>VIS-EGKR-RUS-S26-ANSWERDOC-P001</x:v>
      </x:c>
      <x:c r="AE5820" s="87" t="str">
        <x:v>TASK; SECONDARY_ANSWER_SOURCE</x:v>
      </x:c>
      <x:c r="AF5820" s="87" t="str">
        <x:v>VIS-EGKR-RUS-S26-TASK-960-P003: 3; VIS-EGKR-RUS-S26-ANSWERDOC-P001: 1</x:v>
      </x:c>
      <x:c r="AG5820" s="87" t="str">
        <x:v>RESOLVED</x:v>
      </x:c>
      <x:c r="AH5820" s="87" t="str">
        <x:v>CROP_VERIFIED</x:v>
      </x:c>
      <x:c r="AI5820" s="30"/>
      <x:c r="AJ5820" s="87" t="str">
        <x:v>clean</x:v>
      </x:c>
      <x:c r="AK5820" s="87" t="str">
        <x:v>clean-v0.18</x:v>
      </x:c>
      <x:c r="AL5820" s="87" t="str">
        <x:v>statgrad_clean_continuation_v0_18(1).xlsx</x:v>
      </x:c>
      <x:c r="AM5820" s="87" t="str">
        <x:v>RUS_EGKR_960</x:v>
      </x:c>
      <x:c r="AN5820" s="87" t="n">
        <x:v>2</x:v>
      </x:c>
    </x:row>
    <x:row r="5821">
      <x:c r="A5821" s="87" t="n">
        <x:v>5820</x:v>
      </x:c>
      <x:c r="B5821" s="87" t="str">
        <x:v>EGKR-S26-RUS-960-02</x:v>
      </x:c>
      <x:c r="C5821" s="87" t="str">
        <x:v>ЕГКР</x:v>
      </x:c>
      <x:c r="D5821" s="87"/>
      <x:c r="E5821" s="87" t="str">
        <x:v>Весна 2026</x:v>
      </x:c>
      <x:c r="F5821" s="87" t="str">
        <x:v>24.03.2026</x:v>
      </x:c>
      <x:c r="G5821" s="87" t="str">
        <x:v>Русский язык</x:v>
      </x:c>
      <x:c r="H5821" s="87" t="n">
        <x:v>11</x:v>
      </x:c>
      <x:c r="I5821" s="87"/>
      <x:c r="J5821" s="87" t="str">
        <x:v>960</x:v>
      </x:c>
      <x:c r="K5821" s="87" t="n">
        <x:v>2</x:v>
      </x:c>
      <x:c r="L5821" s="87" t="str">
        <x:v>Лексическое значение</x:v>
      </x:c>
      <x:c r="M5821" s="30" t="str">
        <x:v>Задание 2 варианта 960: Лексическое значение. Полная формулировка сохранена на указанной визуальной странице.</x:v>
      </x:c>
      <x:c r="N5821" s="30" t="str">
        <x:v>35</x:v>
      </x:c>
      <x:c r="O5821" s="30" t="str">
        <x:v>Ответ зафиксирован в формате задания; полное условие и варианты ответа доступны по VIS_ID.</x:v>
      </x:c>
      <x:c r="P5821" s="30"/>
      <x:c r="Q5821" s="30" t="str">
        <x:v>Ответ независимо сверён по исходному заданию и разбору: Insperia — разбор варианта 960.</x:v>
      </x:c>
      <x:c r="R5821" s="30" t="str">
        <x:v>234</x:v>
      </x:c>
      <x:c r="S5821" s="30"/>
      <x:c r="T5821" s="30" t="str">
        <x:v>Insperia — разбор варианта 960</x:v>
      </x:c>
      <x:c r="U5821" s="30" t="str">
        <x:v>Ответник: 234; канонический ответ: 35.</x:v>
      </x:c>
      <x:c r="V5821" s="87" t="str">
        <x:v>KEY_MISMATCH</x:v>
      </x:c>
      <x:c r="W5821" s="87"/>
      <x:c r="X5821" s="87" t="n">
        <x:v>3</x:v>
      </x:c>
      <x:c r="Y5821" s="87"/>
      <x:c r="Z5821" s="87"/>
      <x:c r="AA5821" s="87"/>
      <x:c r="AB5821" s="87"/>
      <x:c r="AC5821" s="87" t="str">
        <x:v>VIS-EGKR-RUS-S26-TASK-960-P003</x:v>
      </x:c>
      <x:c r="AD5821" s="87" t="str">
        <x:v>VIS-EGKR-RUS-S26-ANSWERDOC-P001</x:v>
      </x:c>
      <x:c r="AE5821" s="87" t="str">
        <x:v>TASK; SECONDARY_ANSWER_SOURCE</x:v>
      </x:c>
      <x:c r="AF5821" s="87" t="str">
        <x:v>VIS-EGKR-RUS-S26-TASK-960-P003: 3; VIS-EGKR-RUS-S26-ANSWERDOC-P001: 1</x:v>
      </x:c>
      <x:c r="AG5821" s="87" t="str">
        <x:v>RESOLVED</x:v>
      </x:c>
      <x:c r="AH5821" s="87" t="str">
        <x:v>CROP_VERIFIED</x:v>
      </x:c>
      <x:c r="AI5821" s="30"/>
      <x:c r="AJ5821" s="87" t="str">
        <x:v>clean</x:v>
      </x:c>
      <x:c r="AK5821" s="87" t="str">
        <x:v>clean-v0.18</x:v>
      </x:c>
      <x:c r="AL5821" s="87" t="str">
        <x:v>statgrad_clean_continuation_v0_18(1).xlsx</x:v>
      </x:c>
      <x:c r="AM5821" s="87" t="str">
        <x:v>RUS_EGKR_960</x:v>
      </x:c>
      <x:c r="AN5821" s="87" t="n">
        <x:v>3</x:v>
      </x:c>
    </x:row>
    <x:row r="5822">
      <x:c r="A5822" s="87" t="n">
        <x:v>5821</x:v>
      </x:c>
      <x:c r="B5822" s="87" t="str">
        <x:v>EGKR-S26-RUS-960-03</x:v>
      </x:c>
      <x:c r="C5822" s="87" t="str">
        <x:v>ЕГКР</x:v>
      </x:c>
      <x:c r="D5822" s="87"/>
      <x:c r="E5822" s="87" t="str">
        <x:v>Весна 2026</x:v>
      </x:c>
      <x:c r="F5822" s="87" t="str">
        <x:v>24.03.2026</x:v>
      </x:c>
      <x:c r="G5822" s="87" t="str">
        <x:v>Русский язык</x:v>
      </x:c>
      <x:c r="H5822" s="87" t="n">
        <x:v>11</x:v>
      </x:c>
      <x:c r="I5822" s="87"/>
      <x:c r="J5822" s="87" t="str">
        <x:v>960</x:v>
      </x:c>
      <x:c r="K5822" s="87" t="n">
        <x:v>3</x:v>
      </x:c>
      <x:c r="L5822" s="87" t="str">
        <x:v>Характеристики текста</x:v>
      </x:c>
      <x:c r="M5822" s="30" t="str">
        <x:v>Задание 3 варианта 960: Характеристики текста. Полная формулировка сохранена на указанной визуальной странице.</x:v>
      </x:c>
      <x:c r="N5822" s="30" t="str">
        <x:v>13</x:v>
      </x:c>
      <x:c r="O5822" s="30" t="str">
        <x:v>Ответ зафиксирован в формате задания; полное условие и варианты ответа доступны по VIS_ID.</x:v>
      </x:c>
      <x:c r="P5822" s="30"/>
      <x:c r="Q5822" s="30" t="str">
        <x:v>Ответ независимо сверён по исходному заданию и разбору: Insperia — разбор варианта 960.</x:v>
      </x:c>
      <x:c r="R5822" s="30" t="str">
        <x:v>345</x:v>
      </x:c>
      <x:c r="S5822" s="30"/>
      <x:c r="T5822" s="30" t="str">
        <x:v>Insperia — разбор варианта 960</x:v>
      </x:c>
      <x:c r="U5822" s="30" t="str">
        <x:v>Ответник: 345; канонический ответ: 13.</x:v>
      </x:c>
      <x:c r="V5822" s="87" t="str">
        <x:v>KEY_MISMATCH</x:v>
      </x:c>
      <x:c r="W5822" s="87"/>
      <x:c r="X5822" s="87" t="n">
        <x:v>3</x:v>
      </x:c>
      <x:c r="Y5822" s="87"/>
      <x:c r="Z5822" s="87"/>
      <x:c r="AA5822" s="87"/>
      <x:c r="AB5822" s="87"/>
      <x:c r="AC5822" s="87" t="str">
        <x:v>VIS-EGKR-RUS-S26-TASK-960-P003</x:v>
      </x:c>
      <x:c r="AD5822" s="87" t="str">
        <x:v>VIS-EGKR-RUS-S26-ANSWERDOC-P001</x:v>
      </x:c>
      <x:c r="AE5822" s="87" t="str">
        <x:v>TASK; SECONDARY_ANSWER_SOURCE</x:v>
      </x:c>
      <x:c r="AF5822" s="87" t="str">
        <x:v>VIS-EGKR-RUS-S26-TASK-960-P003: 3; VIS-EGKR-RUS-S26-ANSWERDOC-P001: 1</x:v>
      </x:c>
      <x:c r="AG5822" s="87" t="str">
        <x:v>RESOLVED</x:v>
      </x:c>
      <x:c r="AH5822" s="87" t="str">
        <x:v>CROP_VERIFIED</x:v>
      </x:c>
      <x:c r="AI5822" s="30"/>
      <x:c r="AJ5822" s="87" t="str">
        <x:v>clean</x:v>
      </x:c>
      <x:c r="AK5822" s="87" t="str">
        <x:v>clean-v0.18</x:v>
      </x:c>
      <x:c r="AL5822" s="87" t="str">
        <x:v>statgrad_clean_continuation_v0_18(1).xlsx</x:v>
      </x:c>
      <x:c r="AM5822" s="87" t="str">
        <x:v>RUS_EGKR_960</x:v>
      </x:c>
      <x:c r="AN5822" s="87" t="n">
        <x:v>4</x:v>
      </x:c>
    </x:row>
    <x:row r="5823">
      <x:c r="A5823" s="87" t="n">
        <x:v>5822</x:v>
      </x:c>
      <x:c r="B5823" s="87" t="str">
        <x:v>EGKR-S26-RUS-960-04</x:v>
      </x:c>
      <x:c r="C5823" s="87" t="str">
        <x:v>ЕГКР</x:v>
      </x:c>
      <x:c r="D5823" s="87"/>
      <x:c r="E5823" s="87" t="str">
        <x:v>Весна 2026</x:v>
      </x:c>
      <x:c r="F5823" s="87" t="str">
        <x:v>24.03.2026</x:v>
      </x:c>
      <x:c r="G5823" s="87" t="str">
        <x:v>Русский язык</x:v>
      </x:c>
      <x:c r="H5823" s="87" t="n">
        <x:v>11</x:v>
      </x:c>
      <x:c r="I5823" s="87"/>
      <x:c r="J5823" s="87" t="str">
        <x:v>960</x:v>
      </x:c>
      <x:c r="K5823" s="87" t="n">
        <x:v>4</x:v>
      </x:c>
      <x:c r="L5823" s="87" t="str">
        <x:v>Орфоэпическая норма</x:v>
      </x:c>
      <x:c r="M5823" s="30" t="str">
        <x:v>Задание 4 варианта 960: Орфоэпическая норма. Полная формулировка сохранена на указанной визуальной странице.</x:v>
      </x:c>
      <x:c r="N5823" s="30" t="str">
        <x:v>145</x:v>
      </x:c>
      <x:c r="O5823" s="30" t="str">
        <x:v>Ответ зафиксирован в формате задания; полное условие и варианты ответа доступны по VIS_ID.</x:v>
      </x:c>
      <x:c r="P5823" s="30"/>
      <x:c r="Q5823" s="30" t="str">
        <x:v>Ответ независимо сверён по исходному заданию и разбору: Insperia — разбор варианта 960.</x:v>
      </x:c>
      <x:c r="R5823" s="30" t="str">
        <x:v>134</x:v>
      </x:c>
      <x:c r="S5823" s="30"/>
      <x:c r="T5823" s="30" t="str">
        <x:v>Insperia — разбор варианта 960</x:v>
      </x:c>
      <x:c r="U5823" s="30" t="str">
        <x:v>Ответник: 134; канонический ответ: 145.</x:v>
      </x:c>
      <x:c r="V5823" s="87" t="str">
        <x:v>KEY_MISMATCH</x:v>
      </x:c>
      <x:c r="W5823" s="87"/>
      <x:c r="X5823" s="87" t="n">
        <x:v>4</x:v>
      </x:c>
      <x:c r="Y5823" s="87"/>
      <x:c r="Z5823" s="87"/>
      <x:c r="AA5823" s="87"/>
      <x:c r="AB5823" s="87"/>
      <x:c r="AC5823" s="87" t="str">
        <x:v>VIS-EGKR-RUS-S26-TASK-960-P004</x:v>
      </x:c>
      <x:c r="AD5823" s="87" t="str">
        <x:v>VIS-EGKR-RUS-S26-ANSWERDOC-P001</x:v>
      </x:c>
      <x:c r="AE5823" s="87" t="str">
        <x:v>TASK; SECONDARY_ANSWER_SOURCE</x:v>
      </x:c>
      <x:c r="AF5823" s="87" t="str">
        <x:v>VIS-EGKR-RUS-S26-TASK-960-P004: 4; VIS-EGKR-RUS-S26-ANSWERDOC-P001: 1</x:v>
      </x:c>
      <x:c r="AG5823" s="87" t="str">
        <x:v>RESOLVED</x:v>
      </x:c>
      <x:c r="AH5823" s="87" t="str">
        <x:v>CROP_VERIFIED</x:v>
      </x:c>
      <x:c r="AI5823" s="30"/>
      <x:c r="AJ5823" s="87" t="str">
        <x:v>clean</x:v>
      </x:c>
      <x:c r="AK5823" s="87" t="str">
        <x:v>clean-v0.18</x:v>
      </x:c>
      <x:c r="AL5823" s="87" t="str">
        <x:v>statgrad_clean_continuation_v0_18(1).xlsx</x:v>
      </x:c>
      <x:c r="AM5823" s="87" t="str">
        <x:v>RUS_EGKR_960</x:v>
      </x:c>
      <x:c r="AN5823" s="87" t="n">
        <x:v>5</x:v>
      </x:c>
    </x:row>
    <x:row r="5824">
      <x:c r="A5824" s="87" t="n">
        <x:v>5823</x:v>
      </x:c>
      <x:c r="B5824" s="87" t="str">
        <x:v>EGKR-S26-RUS-960-05</x:v>
      </x:c>
      <x:c r="C5824" s="87" t="str">
        <x:v>ЕГКР</x:v>
      </x:c>
      <x:c r="D5824" s="87"/>
      <x:c r="E5824" s="87" t="str">
        <x:v>Весна 2026</x:v>
      </x:c>
      <x:c r="F5824" s="87" t="str">
        <x:v>24.03.2026</x:v>
      </x:c>
      <x:c r="G5824" s="87" t="str">
        <x:v>Русский язык</x:v>
      </x:c>
      <x:c r="H5824" s="87" t="n">
        <x:v>11</x:v>
      </x:c>
      <x:c r="I5824" s="87"/>
      <x:c r="J5824" s="87" t="str">
        <x:v>960</x:v>
      </x:c>
      <x:c r="K5824" s="87" t="n">
        <x:v>5</x:v>
      </x:c>
      <x:c r="L5824" s="87" t="str">
        <x:v>Паронимы</x:v>
      </x:c>
      <x:c r="M5824" s="30" t="str">
        <x:v>Задание 5 варианта 960: Паронимы. Полная формулировка сохранена на указанной визуальной странице.</x:v>
      </x:c>
      <x:c r="N5824" s="30" t="str">
        <x:v>морозильной</x:v>
      </x:c>
      <x:c r="O5824" s="30" t="str">
        <x:v>Ответ зафиксирован в формате задания; полное условие и варианты ответа доступны по VIS_ID.</x:v>
      </x:c>
      <x:c r="P5824" s="30"/>
      <x:c r="Q5824" s="30" t="str">
        <x:v>Ответ совпал с исходным ответником и независимой сверкой: Insperia — разбор варианта 960.</x:v>
      </x:c>
      <x:c r="R5824" s="30" t="str">
        <x:v>морозильной</x:v>
      </x:c>
      <x:c r="S5824" s="30"/>
      <x:c r="T5824" s="30" t="str">
        <x:v>Insperia — разбор варианта 960</x:v>
      </x:c>
      <x:c r="U5824" s="30" t="str">
        <x:v>Расхождений нет.</x:v>
      </x:c>
      <x:c r="V5824" s="87" t="str">
        <x:v>VERIFIED</x:v>
      </x:c>
      <x:c r="W5824" s="87"/>
      <x:c r="X5824" s="87" t="n">
        <x:v>4</x:v>
      </x:c>
      <x:c r="Y5824" s="87"/>
      <x:c r="Z5824" s="87"/>
      <x:c r="AA5824" s="87"/>
      <x:c r="AB5824" s="87"/>
      <x:c r="AC5824" s="87" t="str">
        <x:v>VIS-EGKR-RUS-S26-TASK-960-P004</x:v>
      </x:c>
      <x:c r="AD5824" s="87" t="str">
        <x:v>VIS-EGKR-RUS-S26-ANSWERDOC-P001</x:v>
      </x:c>
      <x:c r="AE5824" s="87" t="str">
        <x:v>TASK; SECONDARY_ANSWER_SOURCE</x:v>
      </x:c>
      <x:c r="AF5824" s="87" t="str">
        <x:v>VIS-EGKR-RUS-S26-TASK-960-P004: 4; VIS-EGKR-RUS-S26-ANSWERDOC-P001: 1</x:v>
      </x:c>
      <x:c r="AG5824" s="87" t="str">
        <x:v>RESOLVED</x:v>
      </x:c>
      <x:c r="AH5824" s="87" t="str">
        <x:v>CROP_VERIFIED</x:v>
      </x:c>
      <x:c r="AI5824" s="30"/>
      <x:c r="AJ5824" s="87" t="str">
        <x:v>clean</x:v>
      </x:c>
      <x:c r="AK5824" s="87" t="str">
        <x:v>clean-v0.18</x:v>
      </x:c>
      <x:c r="AL5824" s="87" t="str">
        <x:v>statgrad_clean_continuation_v0_18(1).xlsx</x:v>
      </x:c>
      <x:c r="AM5824" s="87" t="str">
        <x:v>RUS_EGKR_960</x:v>
      </x:c>
      <x:c r="AN5824" s="87" t="n">
        <x:v>6</x:v>
      </x:c>
    </x:row>
    <x:row r="5825">
      <x:c r="A5825" s="87" t="n">
        <x:v>5824</x:v>
      </x:c>
      <x:c r="B5825" s="87" t="str">
        <x:v>EGKR-S26-RUS-960-06</x:v>
      </x:c>
      <x:c r="C5825" s="87" t="str">
        <x:v>ЕГКР</x:v>
      </x:c>
      <x:c r="D5825" s="87"/>
      <x:c r="E5825" s="87" t="str">
        <x:v>Весна 2026</x:v>
      </x:c>
      <x:c r="F5825" s="87" t="str">
        <x:v>24.03.2026</x:v>
      </x:c>
      <x:c r="G5825" s="87" t="str">
        <x:v>Русский язык</x:v>
      </x:c>
      <x:c r="H5825" s="87" t="n">
        <x:v>11</x:v>
      </x:c>
      <x:c r="I5825" s="87"/>
      <x:c r="J5825" s="87" t="str">
        <x:v>960</x:v>
      </x:c>
      <x:c r="K5825" s="87" t="n">
        <x:v>6</x:v>
      </x:c>
      <x:c r="L5825" s="87" t="str">
        <x:v>Лексическая норма</x:v>
      </x:c>
      <x:c r="M5825" s="30" t="str">
        <x:v>Задание 6 варианта 960: Лексическая норма. Полная формулировка сохранена на указанной визуальной странице.</x:v>
      </x:c>
      <x:c r="N5825" s="30" t="str">
        <x:v>имеет</x:v>
      </x:c>
      <x:c r="O5825" s="30" t="str">
        <x:v>Ответ зафиксирован в формате задания; полное условие и варианты ответа доступны по VIS_ID.</x:v>
      </x:c>
      <x:c r="P5825" s="30"/>
      <x:c r="Q5825" s="30" t="str">
        <x:v>Ответ совпал с исходным ответником и независимой сверкой: Insperia — разбор варианта 960.</x:v>
      </x:c>
      <x:c r="R5825" s="30" t="str">
        <x:v>имеет</x:v>
      </x:c>
      <x:c r="S5825" s="30"/>
      <x:c r="T5825" s="30" t="str">
        <x:v>Insperia — разбор варианта 960</x:v>
      </x:c>
      <x:c r="U5825" s="30" t="str">
        <x:v>Расхождений нет.</x:v>
      </x:c>
      <x:c r="V5825" s="87" t="str">
        <x:v>VERIFIED</x:v>
      </x:c>
      <x:c r="W5825" s="87"/>
      <x:c r="X5825" s="87" t="n">
        <x:v>4</x:v>
      </x:c>
      <x:c r="Y5825" s="87"/>
      <x:c r="Z5825" s="87"/>
      <x:c r="AA5825" s="87"/>
      <x:c r="AB5825" s="87"/>
      <x:c r="AC5825" s="87" t="str">
        <x:v>VIS-EGKR-RUS-S26-TASK-960-P004</x:v>
      </x:c>
      <x:c r="AD5825" s="87" t="str">
        <x:v>VIS-EGKR-RUS-S26-ANSWERDOC-P001</x:v>
      </x:c>
      <x:c r="AE5825" s="87" t="str">
        <x:v>TASK; SECONDARY_ANSWER_SOURCE</x:v>
      </x:c>
      <x:c r="AF5825" s="87" t="str">
        <x:v>VIS-EGKR-RUS-S26-TASK-960-P004: 4; VIS-EGKR-RUS-S26-ANSWERDOC-P001: 1</x:v>
      </x:c>
      <x:c r="AG5825" s="87" t="str">
        <x:v>RESOLVED</x:v>
      </x:c>
      <x:c r="AH5825" s="87" t="str">
        <x:v>CROP_VERIFIED</x:v>
      </x:c>
      <x:c r="AI5825" s="30"/>
      <x:c r="AJ5825" s="87" t="str">
        <x:v>clean</x:v>
      </x:c>
      <x:c r="AK5825" s="87" t="str">
        <x:v>clean-v0.18</x:v>
      </x:c>
      <x:c r="AL5825" s="87" t="str">
        <x:v>statgrad_clean_continuation_v0_18(1).xlsx</x:v>
      </x:c>
      <x:c r="AM5825" s="87" t="str">
        <x:v>RUS_EGKR_960</x:v>
      </x:c>
      <x:c r="AN5825" s="87" t="n">
        <x:v>7</x:v>
      </x:c>
    </x:row>
    <x:row r="5826">
      <x:c r="A5826" s="87" t="n">
        <x:v>5825</x:v>
      </x:c>
      <x:c r="B5826" s="87" t="str">
        <x:v>EGKR-S26-RUS-960-07</x:v>
      </x:c>
      <x:c r="C5826" s="87" t="str">
        <x:v>ЕГКР</x:v>
      </x:c>
      <x:c r="D5826" s="87"/>
      <x:c r="E5826" s="87" t="str">
        <x:v>Весна 2026</x:v>
      </x:c>
      <x:c r="F5826" s="87" t="str">
        <x:v>24.03.2026</x:v>
      </x:c>
      <x:c r="G5826" s="87" t="str">
        <x:v>Русский язык</x:v>
      </x:c>
      <x:c r="H5826" s="87" t="n">
        <x:v>11</x:v>
      </x:c>
      <x:c r="I5826" s="87"/>
      <x:c r="J5826" s="87" t="str">
        <x:v>960</x:v>
      </x:c>
      <x:c r="K5826" s="87" t="n">
        <x:v>7</x:v>
      </x:c>
      <x:c r="L5826" s="87" t="str">
        <x:v>Морфологическая норма</x:v>
      </x:c>
      <x:c r="M5826" s="30" t="str">
        <x:v>Задание 7 варианта 960: Морфологическая норма. Полная формулировка сохранена на указанной визуальной странице.</x:v>
      </x:c>
      <x:c r="N5826" s="30" t="str">
        <x:v>времени</x:v>
      </x:c>
      <x:c r="O5826" s="30" t="str">
        <x:v>Ответ зафиксирован в формате задания; полное условие и варианты ответа доступны по VIS_ID.</x:v>
      </x:c>
      <x:c r="P5826" s="30"/>
      <x:c r="Q5826" s="30" t="str">
        <x:v>Ответ совпал с исходным ответником и независимой сверкой: Insperia — разбор варианта 960.</x:v>
      </x:c>
      <x:c r="R5826" s="30" t="str">
        <x:v>времени</x:v>
      </x:c>
      <x:c r="S5826" s="30"/>
      <x:c r="T5826" s="30" t="str">
        <x:v>Insperia — разбор варианта 960</x:v>
      </x:c>
      <x:c r="U5826" s="30" t="str">
        <x:v>Расхождений нет.</x:v>
      </x:c>
      <x:c r="V5826" s="87" t="str">
        <x:v>VERIFIED</x:v>
      </x:c>
      <x:c r="W5826" s="87"/>
      <x:c r="X5826" s="87" t="n">
        <x:v>4</x:v>
      </x:c>
      <x:c r="Y5826" s="87"/>
      <x:c r="Z5826" s="87"/>
      <x:c r="AA5826" s="87"/>
      <x:c r="AB5826" s="87"/>
      <x:c r="AC5826" s="87" t="str">
        <x:v>VIS-EGKR-RUS-S26-TASK-960-P004</x:v>
      </x:c>
      <x:c r="AD5826" s="87" t="str">
        <x:v>VIS-EGKR-RUS-S26-ANSWERDOC-P001</x:v>
      </x:c>
      <x:c r="AE5826" s="87" t="str">
        <x:v>TASK; SECONDARY_ANSWER_SOURCE</x:v>
      </x:c>
      <x:c r="AF5826" s="87" t="str">
        <x:v>VIS-EGKR-RUS-S26-TASK-960-P004: 4; VIS-EGKR-RUS-S26-ANSWERDOC-P001: 1</x:v>
      </x:c>
      <x:c r="AG5826" s="87" t="str">
        <x:v>RESOLVED</x:v>
      </x:c>
      <x:c r="AH5826" s="87" t="str">
        <x:v>CROP_VERIFIED</x:v>
      </x:c>
      <x:c r="AI5826" s="30"/>
      <x:c r="AJ5826" s="87" t="str">
        <x:v>clean</x:v>
      </x:c>
      <x:c r="AK5826" s="87" t="str">
        <x:v>clean-v0.18</x:v>
      </x:c>
      <x:c r="AL5826" s="87" t="str">
        <x:v>statgrad_clean_continuation_v0_18(1).xlsx</x:v>
      </x:c>
      <x:c r="AM5826" s="87" t="str">
        <x:v>RUS_EGKR_960</x:v>
      </x:c>
      <x:c r="AN5826" s="87" t="n">
        <x:v>8</x:v>
      </x:c>
    </x:row>
    <x:row r="5827">
      <x:c r="A5827" s="87" t="n">
        <x:v>5826</x:v>
      </x:c>
      <x:c r="B5827" s="87" t="str">
        <x:v>EGKR-S26-RUS-960-08</x:v>
      </x:c>
      <x:c r="C5827" s="87" t="str">
        <x:v>ЕГКР</x:v>
      </x:c>
      <x:c r="D5827" s="87"/>
      <x:c r="E5827" s="87" t="str">
        <x:v>Весна 2026</x:v>
      </x:c>
      <x:c r="F5827" s="87" t="str">
        <x:v>24.03.2026</x:v>
      </x:c>
      <x:c r="G5827" s="87" t="str">
        <x:v>Русский язык</x:v>
      </x:c>
      <x:c r="H5827" s="87" t="n">
        <x:v>11</x:v>
      </x:c>
      <x:c r="I5827" s="87"/>
      <x:c r="J5827" s="87" t="str">
        <x:v>960</x:v>
      </x:c>
      <x:c r="K5827" s="87" t="n">
        <x:v>8</x:v>
      </x:c>
      <x:c r="L5827" s="87" t="str">
        <x:v>Синтаксические нормы</x:v>
      </x:c>
      <x:c r="M5827" s="30" t="str">
        <x:v>Задание 8 варианта 960: Синтаксические нормы. Полная формулировка сохранена на указанной визуальной странице.</x:v>
      </x:c>
      <x:c r="N5827" s="30" t="str">
        <x:v>36724</x:v>
      </x:c>
      <x:c r="O5827" s="30" t="str">
        <x:v>Ответ зафиксирован в формате задания; полное условие и варианты ответа доступны по VIS_ID.</x:v>
      </x:c>
      <x:c r="P5827" s="30"/>
      <x:c r="Q5827" s="30" t="str">
        <x:v>Ответ совпал с исходным ответником и независимой сверкой: Insperia — разбор варианта 960.</x:v>
      </x:c>
      <x:c r="R5827" s="30" t="str">
        <x:v>36724</x:v>
      </x:c>
      <x:c r="S5827" s="30"/>
      <x:c r="T5827" s="30" t="str">
        <x:v>Insperia — разбор варианта 960</x:v>
      </x:c>
      <x:c r="U5827" s="30" t="str">
        <x:v>Расхождений нет.</x:v>
      </x:c>
      <x:c r="V5827" s="87" t="str">
        <x:v>VERIFIED</x:v>
      </x:c>
      <x:c r="W5827" s="87"/>
      <x:c r="X5827" s="87" t="n">
        <x:v>5</x:v>
      </x:c>
      <x:c r="Y5827" s="87"/>
      <x:c r="Z5827" s="87"/>
      <x:c r="AA5827" s="87"/>
      <x:c r="AB5827" s="87"/>
      <x:c r="AC5827" s="87" t="str">
        <x:v>VIS-EGKR-RUS-S26-TASK-960-P005</x:v>
      </x:c>
      <x:c r="AD5827" s="87" t="str">
        <x:v>VIS-EGKR-RUS-S26-ANSWERDOC-P001</x:v>
      </x:c>
      <x:c r="AE5827" s="87" t="str">
        <x:v>TASK; SECONDARY_ANSWER_SOURCE</x:v>
      </x:c>
      <x:c r="AF5827" s="87" t="str">
        <x:v>VIS-EGKR-RUS-S26-TASK-960-P005: 5; VIS-EGKR-RUS-S26-ANSWERDOC-P001: 1</x:v>
      </x:c>
      <x:c r="AG5827" s="87" t="str">
        <x:v>RESOLVED</x:v>
      </x:c>
      <x:c r="AH5827" s="87" t="str">
        <x:v>CROP_VERIFIED</x:v>
      </x:c>
      <x:c r="AI5827" s="30"/>
      <x:c r="AJ5827" s="87" t="str">
        <x:v>clean</x:v>
      </x:c>
      <x:c r="AK5827" s="87" t="str">
        <x:v>clean-v0.18</x:v>
      </x:c>
      <x:c r="AL5827" s="87" t="str">
        <x:v>statgrad_clean_continuation_v0_18(1).xlsx</x:v>
      </x:c>
      <x:c r="AM5827" s="87" t="str">
        <x:v>RUS_EGKR_960</x:v>
      </x:c>
      <x:c r="AN5827" s="87" t="n">
        <x:v>9</x:v>
      </x:c>
    </x:row>
    <x:row r="5828">
      <x:c r="A5828" s="87" t="n">
        <x:v>5827</x:v>
      </x:c>
      <x:c r="B5828" s="87" t="str">
        <x:v>EGKR-S26-RUS-960-09</x:v>
      </x:c>
      <x:c r="C5828" s="87" t="str">
        <x:v>ЕГКР</x:v>
      </x:c>
      <x:c r="D5828" s="87"/>
      <x:c r="E5828" s="87" t="str">
        <x:v>Весна 2026</x:v>
      </x:c>
      <x:c r="F5828" s="87" t="str">
        <x:v>24.03.2026</x:v>
      </x:c>
      <x:c r="G5828" s="87" t="str">
        <x:v>Русский язык</x:v>
      </x:c>
      <x:c r="H5828" s="87" t="n">
        <x:v>11</x:v>
      </x:c>
      <x:c r="I5828" s="87"/>
      <x:c r="J5828" s="87" t="str">
        <x:v>960</x:v>
      </x:c>
      <x:c r="K5828" s="87" t="n">
        <x:v>9</x:v>
      </x:c>
      <x:c r="L5828" s="87" t="str">
        <x:v>Правописание корней</x:v>
      </x:c>
      <x:c r="M5828" s="30" t="str">
        <x:v>Задание 9 варианта 960: Правописание корней. Полная формулировка сохранена на указанной визуальной странице.</x:v>
      </x:c>
      <x:c r="N5828" s="30" t="str">
        <x:v>35</x:v>
      </x:c>
      <x:c r="O5828" s="30" t="str">
        <x:v>Ответ зафиксирован в формате задания; полное условие и варианты ответа доступны по VIS_ID.</x:v>
      </x:c>
      <x:c r="P5828" s="30"/>
      <x:c r="Q5828" s="30" t="str">
        <x:v>Ответ совпал с исходным ответником и независимой сверкой: Insperia — разбор варианта 960.</x:v>
      </x:c>
      <x:c r="R5828" s="30" t="str">
        <x:v>35</x:v>
      </x:c>
      <x:c r="S5828" s="30"/>
      <x:c r="T5828" s="30" t="str">
        <x:v>Insperia — разбор варианта 960</x:v>
      </x:c>
      <x:c r="U5828" s="30" t="str">
        <x:v>Расхождений нет.</x:v>
      </x:c>
      <x:c r="V5828" s="87" t="str">
        <x:v>VERIFIED</x:v>
      </x:c>
      <x:c r="W5828" s="87"/>
      <x:c r="X5828" s="87" t="n">
        <x:v>6</x:v>
      </x:c>
      <x:c r="Y5828" s="87"/>
      <x:c r="Z5828" s="87"/>
      <x:c r="AA5828" s="87"/>
      <x:c r="AB5828" s="87"/>
      <x:c r="AC5828" s="87" t="str">
        <x:v>VIS-EGKR-RUS-S26-TASK-960-P006</x:v>
      </x:c>
      <x:c r="AD5828" s="87" t="str">
        <x:v>VIS-EGKR-RUS-S26-ANSWERDOC-P001</x:v>
      </x:c>
      <x:c r="AE5828" s="87" t="str">
        <x:v>TASK; SECONDARY_ANSWER_SOURCE</x:v>
      </x:c>
      <x:c r="AF5828" s="87" t="str">
        <x:v>VIS-EGKR-RUS-S26-TASK-960-P006: 6; VIS-EGKR-RUS-S26-ANSWERDOC-P001: 1</x:v>
      </x:c>
      <x:c r="AG5828" s="87" t="str">
        <x:v>RESOLVED</x:v>
      </x:c>
      <x:c r="AH5828" s="87" t="str">
        <x:v>CROP_VERIFIED</x:v>
      </x:c>
      <x:c r="AI5828" s="30"/>
      <x:c r="AJ5828" s="87" t="str">
        <x:v>clean</x:v>
      </x:c>
      <x:c r="AK5828" s="87" t="str">
        <x:v>clean-v0.18</x:v>
      </x:c>
      <x:c r="AL5828" s="87" t="str">
        <x:v>statgrad_clean_continuation_v0_18(1).xlsx</x:v>
      </x:c>
      <x:c r="AM5828" s="87" t="str">
        <x:v>RUS_EGKR_960</x:v>
      </x:c>
      <x:c r="AN5828" s="87" t="n">
        <x:v>10</x:v>
      </x:c>
    </x:row>
    <x:row r="5829">
      <x:c r="A5829" s="87" t="n">
        <x:v>5828</x:v>
      </x:c>
      <x:c r="B5829" s="87" t="str">
        <x:v>EGKR-S26-RUS-960-10</x:v>
      </x:c>
      <x:c r="C5829" s="87" t="str">
        <x:v>ЕГКР</x:v>
      </x:c>
      <x:c r="D5829" s="87"/>
      <x:c r="E5829" s="87" t="str">
        <x:v>Весна 2026</x:v>
      </x:c>
      <x:c r="F5829" s="87" t="str">
        <x:v>24.03.2026</x:v>
      </x:c>
      <x:c r="G5829" s="87" t="str">
        <x:v>Русский язык</x:v>
      </x:c>
      <x:c r="H5829" s="87" t="n">
        <x:v>11</x:v>
      </x:c>
      <x:c r="I5829" s="87"/>
      <x:c r="J5829" s="87" t="str">
        <x:v>960</x:v>
      </x:c>
      <x:c r="K5829" s="87" t="n">
        <x:v>10</x:v>
      </x:c>
      <x:c r="L5829" s="87" t="str">
        <x:v>Правописание приставок</x:v>
      </x:c>
      <x:c r="M5829" s="30" t="str">
        <x:v>Задание 10 варианта 960: Правописание приставок. Полная формулировка сохранена на указанной визуальной странице.</x:v>
      </x:c>
      <x:c r="N5829" s="30" t="str">
        <x:v>14</x:v>
      </x:c>
      <x:c r="O5829" s="30" t="str">
        <x:v>Ответ зафиксирован в формате задания; полное условие и варианты ответа доступны по VIS_ID.</x:v>
      </x:c>
      <x:c r="P5829" s="30"/>
      <x:c r="Q5829" s="30" t="str">
        <x:v>Ответ совпал с исходным ответником и независимой сверкой: Insperia — разбор варианта 960.</x:v>
      </x:c>
      <x:c r="R5829" s="30" t="str">
        <x:v>14</x:v>
      </x:c>
      <x:c r="S5829" s="30"/>
      <x:c r="T5829" s="30" t="str">
        <x:v>Insperia — разбор варианта 960</x:v>
      </x:c>
      <x:c r="U5829" s="30" t="str">
        <x:v>Расхождений нет.</x:v>
      </x:c>
      <x:c r="V5829" s="87" t="str">
        <x:v>VERIFIED</x:v>
      </x:c>
      <x:c r="W5829" s="87"/>
      <x:c r="X5829" s="87" t="n">
        <x:v>6</x:v>
      </x:c>
      <x:c r="Y5829" s="87"/>
      <x:c r="Z5829" s="87"/>
      <x:c r="AA5829" s="87"/>
      <x:c r="AB5829" s="87"/>
      <x:c r="AC5829" s="87" t="str">
        <x:v>VIS-EGKR-RUS-S26-TASK-960-P006</x:v>
      </x:c>
      <x:c r="AD5829" s="87" t="str">
        <x:v>VIS-EGKR-RUS-S26-ANSWERDOC-P001</x:v>
      </x:c>
      <x:c r="AE5829" s="87" t="str">
        <x:v>TASK; SECONDARY_ANSWER_SOURCE</x:v>
      </x:c>
      <x:c r="AF5829" s="87" t="str">
        <x:v>VIS-EGKR-RUS-S26-TASK-960-P006: 6; VIS-EGKR-RUS-S26-ANSWERDOC-P001: 1</x:v>
      </x:c>
      <x:c r="AG5829" s="87" t="str">
        <x:v>RESOLVED</x:v>
      </x:c>
      <x:c r="AH5829" s="87" t="str">
        <x:v>CROP_VERIFIED</x:v>
      </x:c>
      <x:c r="AI5829" s="30"/>
      <x:c r="AJ5829" s="87" t="str">
        <x:v>clean</x:v>
      </x:c>
      <x:c r="AK5829" s="87" t="str">
        <x:v>clean-v0.18</x:v>
      </x:c>
      <x:c r="AL5829" s="87" t="str">
        <x:v>statgrad_clean_continuation_v0_18(1).xlsx</x:v>
      </x:c>
      <x:c r="AM5829" s="87" t="str">
        <x:v>RUS_EGKR_960</x:v>
      </x:c>
      <x:c r="AN5829" s="87" t="n">
        <x:v>11</x:v>
      </x:c>
    </x:row>
    <x:row r="5830">
      <x:c r="A5830" s="87" t="n">
        <x:v>5829</x:v>
      </x:c>
      <x:c r="B5830" s="87" t="str">
        <x:v>EGKR-S26-RUS-960-11</x:v>
      </x:c>
      <x:c r="C5830" s="87" t="str">
        <x:v>ЕГКР</x:v>
      </x:c>
      <x:c r="D5830" s="87"/>
      <x:c r="E5830" s="87" t="str">
        <x:v>Весна 2026</x:v>
      </x:c>
      <x:c r="F5830" s="87" t="str">
        <x:v>24.03.2026</x:v>
      </x:c>
      <x:c r="G5830" s="87" t="str">
        <x:v>Русский язык</x:v>
      </x:c>
      <x:c r="H5830" s="87" t="n">
        <x:v>11</x:v>
      </x:c>
      <x:c r="I5830" s="87"/>
      <x:c r="J5830" s="87" t="str">
        <x:v>960</x:v>
      </x:c>
      <x:c r="K5830" s="87" t="n">
        <x:v>11</x:v>
      </x:c>
      <x:c r="L5830" s="87" t="str">
        <x:v>Правописание суффиксов</x:v>
      </x:c>
      <x:c r="M5830" s="30" t="str">
        <x:v>Задание 11 варианта 960: Правописание суффиксов. Полная формулировка сохранена на указанной визуальной странице.</x:v>
      </x:c>
      <x:c r="N5830" s="30" t="str">
        <x:v>134</x:v>
      </x:c>
      <x:c r="O5830" s="30" t="str">
        <x:v>Ответ зафиксирован в формате задания; полное условие и варианты ответа доступны по VIS_ID.</x:v>
      </x:c>
      <x:c r="P5830" s="30"/>
      <x:c r="Q5830" s="30" t="str">
        <x:v>Ответ совпал с исходным ответником и независимой сверкой: Insperia — разбор варианта 960.</x:v>
      </x:c>
      <x:c r="R5830" s="30" t="str">
        <x:v>134</x:v>
      </x:c>
      <x:c r="S5830" s="30"/>
      <x:c r="T5830" s="30" t="str">
        <x:v>Insperia — разбор варианта 960</x:v>
      </x:c>
      <x:c r="U5830" s="30" t="str">
        <x:v>Расхождений нет.</x:v>
      </x:c>
      <x:c r="V5830" s="87" t="str">
        <x:v>VERIFIED</x:v>
      </x:c>
      <x:c r="W5830" s="87"/>
      <x:c r="X5830" s="87" t="n">
        <x:v>6</x:v>
      </x:c>
      <x:c r="Y5830" s="87"/>
      <x:c r="Z5830" s="87"/>
      <x:c r="AA5830" s="87"/>
      <x:c r="AB5830" s="87"/>
      <x:c r="AC5830" s="87" t="str">
        <x:v>VIS-EGKR-RUS-S26-TASK-960-P006</x:v>
      </x:c>
      <x:c r="AD5830" s="87" t="str">
        <x:v>VIS-EGKR-RUS-S26-ANSWERDOC-P001</x:v>
      </x:c>
      <x:c r="AE5830" s="87" t="str">
        <x:v>TASK; SECONDARY_ANSWER_SOURCE</x:v>
      </x:c>
      <x:c r="AF5830" s="87" t="str">
        <x:v>VIS-EGKR-RUS-S26-TASK-960-P006: 6; VIS-EGKR-RUS-S26-ANSWERDOC-P001: 1</x:v>
      </x:c>
      <x:c r="AG5830" s="87" t="str">
        <x:v>RESOLVED</x:v>
      </x:c>
      <x:c r="AH5830" s="87" t="str">
        <x:v>CROP_VERIFIED</x:v>
      </x:c>
      <x:c r="AI5830" s="30"/>
      <x:c r="AJ5830" s="87" t="str">
        <x:v>clean</x:v>
      </x:c>
      <x:c r="AK5830" s="87" t="str">
        <x:v>clean-v0.18</x:v>
      </x:c>
      <x:c r="AL5830" s="87" t="str">
        <x:v>statgrad_clean_continuation_v0_18(1).xlsx</x:v>
      </x:c>
      <x:c r="AM5830" s="87" t="str">
        <x:v>RUS_EGKR_960</x:v>
      </x:c>
      <x:c r="AN5830" s="87" t="n">
        <x:v>12</x:v>
      </x:c>
    </x:row>
    <x:row r="5831">
      <x:c r="A5831" s="87" t="n">
        <x:v>5830</x:v>
      </x:c>
      <x:c r="B5831" s="87" t="str">
        <x:v>EGKR-S26-RUS-960-12</x:v>
      </x:c>
      <x:c r="C5831" s="87" t="str">
        <x:v>ЕГКР</x:v>
      </x:c>
      <x:c r="D5831" s="87"/>
      <x:c r="E5831" s="87" t="str">
        <x:v>Весна 2026</x:v>
      </x:c>
      <x:c r="F5831" s="87" t="str">
        <x:v>24.03.2026</x:v>
      </x:c>
      <x:c r="G5831" s="87" t="str">
        <x:v>Русский язык</x:v>
      </x:c>
      <x:c r="H5831" s="87" t="n">
        <x:v>11</x:v>
      </x:c>
      <x:c r="I5831" s="87"/>
      <x:c r="J5831" s="87" t="str">
        <x:v>960</x:v>
      </x:c>
      <x:c r="K5831" s="87" t="n">
        <x:v>12</x:v>
      </x:c>
      <x:c r="L5831" s="87" t="str">
        <x:v>Глаголы и причастия</x:v>
      </x:c>
      <x:c r="M5831" s="30" t="str">
        <x:v>Задание 12 варианта 960: Глаголы и причастия. Полная формулировка сохранена на указанной визуальной странице.</x:v>
      </x:c>
      <x:c r="N5831" s="30" t="str">
        <x:v>25</x:v>
      </x:c>
      <x:c r="O5831" s="30" t="str">
        <x:v>Ответ зафиксирован в формате задания; полное условие и варианты ответа доступны по VIS_ID.</x:v>
      </x:c>
      <x:c r="P5831" s="30"/>
      <x:c r="Q5831" s="30" t="str">
        <x:v>Ответ совпал с исходным ответником и независимой сверкой: Insperia — разбор варианта 960.</x:v>
      </x:c>
      <x:c r="R5831" s="30" t="str">
        <x:v>25</x:v>
      </x:c>
      <x:c r="S5831" s="30"/>
      <x:c r="T5831" s="30" t="str">
        <x:v>Insperia — разбор варианта 960</x:v>
      </x:c>
      <x:c r="U5831" s="30" t="str">
        <x:v>Расхождений нет.</x:v>
      </x:c>
      <x:c r="V5831" s="87" t="str">
        <x:v>VERIFIED</x:v>
      </x:c>
      <x:c r="W5831" s="87"/>
      <x:c r="X5831" s="87" t="n">
        <x:v>6</x:v>
      </x:c>
      <x:c r="Y5831" s="87"/>
      <x:c r="Z5831" s="87"/>
      <x:c r="AA5831" s="87"/>
      <x:c r="AB5831" s="87"/>
      <x:c r="AC5831" s="87" t="str">
        <x:v>VIS-EGKR-RUS-S26-TASK-960-P006</x:v>
      </x:c>
      <x:c r="AD5831" s="87" t="str">
        <x:v>VIS-EGKR-RUS-S26-ANSWERDOC-P001</x:v>
      </x:c>
      <x:c r="AE5831" s="87" t="str">
        <x:v>TASK; SECONDARY_ANSWER_SOURCE</x:v>
      </x:c>
      <x:c r="AF5831" s="87" t="str">
        <x:v>VIS-EGKR-RUS-S26-TASK-960-P006: 6; VIS-EGKR-RUS-S26-ANSWERDOC-P001: 1</x:v>
      </x:c>
      <x:c r="AG5831" s="87" t="str">
        <x:v>RESOLVED</x:v>
      </x:c>
      <x:c r="AH5831" s="87" t="str">
        <x:v>CROP_VERIFIED</x:v>
      </x:c>
      <x:c r="AI5831" s="30"/>
      <x:c r="AJ5831" s="87" t="str">
        <x:v>clean</x:v>
      </x:c>
      <x:c r="AK5831" s="87" t="str">
        <x:v>clean-v0.18</x:v>
      </x:c>
      <x:c r="AL5831" s="87" t="str">
        <x:v>statgrad_clean_continuation_v0_18(1).xlsx</x:v>
      </x:c>
      <x:c r="AM5831" s="87" t="str">
        <x:v>RUS_EGKR_960</x:v>
      </x:c>
      <x:c r="AN5831" s="87" t="n">
        <x:v>13</x:v>
      </x:c>
    </x:row>
    <x:row r="5832">
      <x:c r="A5832" s="87" t="n">
        <x:v>5831</x:v>
      </x:c>
      <x:c r="B5832" s="87" t="str">
        <x:v>EGKR-S26-RUS-960-13</x:v>
      </x:c>
      <x:c r="C5832" s="87" t="str">
        <x:v>ЕГКР</x:v>
      </x:c>
      <x:c r="D5832" s="87"/>
      <x:c r="E5832" s="87" t="str">
        <x:v>Весна 2026</x:v>
      </x:c>
      <x:c r="F5832" s="87" t="str">
        <x:v>24.03.2026</x:v>
      </x:c>
      <x:c r="G5832" s="87" t="str">
        <x:v>Русский язык</x:v>
      </x:c>
      <x:c r="H5832" s="87" t="n">
        <x:v>11</x:v>
      </x:c>
      <x:c r="I5832" s="87"/>
      <x:c r="J5832" s="87" t="str">
        <x:v>960</x:v>
      </x:c>
      <x:c r="K5832" s="87" t="n">
        <x:v>13</x:v>
      </x:c>
      <x:c r="L5832" s="87" t="str">
        <x:v>НЕ и НИ</x:v>
      </x:c>
      <x:c r="M5832" s="30" t="str">
        <x:v>Задание 13 варианта 960: НЕ и НИ. Полная формулировка сохранена на указанной визуальной странице.</x:v>
      </x:c>
      <x:c r="N5832" s="30" t="str">
        <x:v>15</x:v>
      </x:c>
      <x:c r="O5832" s="30" t="str">
        <x:v>Ответ зафиксирован в формате задания; полное условие и варианты ответа доступны по VIS_ID.</x:v>
      </x:c>
      <x:c r="P5832" s="30"/>
      <x:c r="Q5832" s="30" t="str">
        <x:v>Ответ совпал с исходным ответником и независимой сверкой: Insperia — разбор варианта 960.</x:v>
      </x:c>
      <x:c r="R5832" s="30" t="str">
        <x:v>15</x:v>
      </x:c>
      <x:c r="S5832" s="30"/>
      <x:c r="T5832" s="30" t="str">
        <x:v>Insperia — разбор варианта 960</x:v>
      </x:c>
      <x:c r="U5832" s="30" t="str">
        <x:v>Расхождений нет.</x:v>
      </x:c>
      <x:c r="V5832" s="87" t="str">
        <x:v>VERIFIED</x:v>
      </x:c>
      <x:c r="W5832" s="87"/>
      <x:c r="X5832" s="87" t="n">
        <x:v>7</x:v>
      </x:c>
      <x:c r="Y5832" s="87"/>
      <x:c r="Z5832" s="87"/>
      <x:c r="AA5832" s="87"/>
      <x:c r="AB5832" s="87"/>
      <x:c r="AC5832" s="87" t="str">
        <x:v>VIS-EGKR-RUS-S26-TASK-960-P007</x:v>
      </x:c>
      <x:c r="AD5832" s="87" t="str">
        <x:v>VIS-EGKR-RUS-S26-ANSWERDOC-P001</x:v>
      </x:c>
      <x:c r="AE5832" s="87" t="str">
        <x:v>TASK; SECONDARY_ANSWER_SOURCE</x:v>
      </x:c>
      <x:c r="AF5832" s="87" t="str">
        <x:v>VIS-EGKR-RUS-S26-TASK-960-P007: 7; VIS-EGKR-RUS-S26-ANSWERDOC-P001: 1</x:v>
      </x:c>
      <x:c r="AG5832" s="87" t="str">
        <x:v>RESOLVED</x:v>
      </x:c>
      <x:c r="AH5832" s="87" t="str">
        <x:v>CROP_VERIFIED</x:v>
      </x:c>
      <x:c r="AI5832" s="30"/>
      <x:c r="AJ5832" s="87" t="str">
        <x:v>clean</x:v>
      </x:c>
      <x:c r="AK5832" s="87" t="str">
        <x:v>clean-v0.18</x:v>
      </x:c>
      <x:c r="AL5832" s="87" t="str">
        <x:v>statgrad_clean_continuation_v0_18(1).xlsx</x:v>
      </x:c>
      <x:c r="AM5832" s="87" t="str">
        <x:v>RUS_EGKR_960</x:v>
      </x:c>
      <x:c r="AN5832" s="87" t="n">
        <x:v>14</x:v>
      </x:c>
    </x:row>
    <x:row r="5833">
      <x:c r="A5833" s="87" t="n">
        <x:v>5832</x:v>
      </x:c>
      <x:c r="B5833" s="87" t="str">
        <x:v>EGKR-S26-RUS-960-14</x:v>
      </x:c>
      <x:c r="C5833" s="87" t="str">
        <x:v>ЕГКР</x:v>
      </x:c>
      <x:c r="D5833" s="87"/>
      <x:c r="E5833" s="87" t="str">
        <x:v>Весна 2026</x:v>
      </x:c>
      <x:c r="F5833" s="87" t="str">
        <x:v>24.03.2026</x:v>
      </x:c>
      <x:c r="G5833" s="87" t="str">
        <x:v>Русский язык</x:v>
      </x:c>
      <x:c r="H5833" s="87" t="n">
        <x:v>11</x:v>
      </x:c>
      <x:c r="I5833" s="87"/>
      <x:c r="J5833" s="87" t="str">
        <x:v>960</x:v>
      </x:c>
      <x:c r="K5833" s="87" t="n">
        <x:v>14</x:v>
      </x:c>
      <x:c r="L5833" s="87" t="str">
        <x:v>Слитное, раздельное и дефисное написание</x:v>
      </x:c>
      <x:c r="M5833" s="30" t="str">
        <x:v>Задание 14 варианта 960: Слитное, раздельное и дефисное написание. Полная формулировка сохранена на указанной визуальной странице.</x:v>
      </x:c>
      <x:c r="N5833" s="30" t="str">
        <x:v>13</x:v>
      </x:c>
      <x:c r="O5833" s="30" t="str">
        <x:v>Ответ зафиксирован в формате задания; полное условие и варианты ответа доступны по VIS_ID.</x:v>
      </x:c>
      <x:c r="P5833" s="30"/>
      <x:c r="Q5833" s="30" t="str">
        <x:v>Ответ независимо сверён по исходному заданию и разбору: Insperia — разбор варианта 960.</x:v>
      </x:c>
      <x:c r="R5833" s="30" t="str">
        <x:v>123</x:v>
      </x:c>
      <x:c r="S5833" s="30"/>
      <x:c r="T5833" s="30" t="str">
        <x:v>Insperia — разбор варианта 960</x:v>
      </x:c>
      <x:c r="U5833" s="30" t="str">
        <x:v>Ответник: 123; канонический ответ: 13.</x:v>
      </x:c>
      <x:c r="V5833" s="87" t="str">
        <x:v>KEY_MISMATCH</x:v>
      </x:c>
      <x:c r="W5833" s="87"/>
      <x:c r="X5833" s="87" t="n">
        <x:v>7</x:v>
      </x:c>
      <x:c r="Y5833" s="87"/>
      <x:c r="Z5833" s="87"/>
      <x:c r="AA5833" s="87"/>
      <x:c r="AB5833" s="87"/>
      <x:c r="AC5833" s="87" t="str">
        <x:v>VIS-EGKR-RUS-S26-TASK-960-P007</x:v>
      </x:c>
      <x:c r="AD5833" s="87" t="str">
        <x:v>VIS-EGKR-RUS-S26-ANSWERDOC-P001</x:v>
      </x:c>
      <x:c r="AE5833" s="87" t="str">
        <x:v>TASK; SECONDARY_ANSWER_SOURCE</x:v>
      </x:c>
      <x:c r="AF5833" s="87" t="str">
        <x:v>VIS-EGKR-RUS-S26-TASK-960-P007: 7; VIS-EGKR-RUS-S26-ANSWERDOC-P001: 1</x:v>
      </x:c>
      <x:c r="AG5833" s="87" t="str">
        <x:v>RESOLVED</x:v>
      </x:c>
      <x:c r="AH5833" s="87" t="str">
        <x:v>CROP_VERIFIED</x:v>
      </x:c>
      <x:c r="AI5833" s="30"/>
      <x:c r="AJ5833" s="87" t="str">
        <x:v>clean</x:v>
      </x:c>
      <x:c r="AK5833" s="87" t="str">
        <x:v>clean-v0.18</x:v>
      </x:c>
      <x:c r="AL5833" s="87" t="str">
        <x:v>statgrad_clean_continuation_v0_18(1).xlsx</x:v>
      </x:c>
      <x:c r="AM5833" s="87" t="str">
        <x:v>RUS_EGKR_960</x:v>
      </x:c>
      <x:c r="AN5833" s="87" t="n">
        <x:v>15</x:v>
      </x:c>
    </x:row>
    <x:row r="5834">
      <x:c r="A5834" s="87" t="n">
        <x:v>5833</x:v>
      </x:c>
      <x:c r="B5834" s="87" t="str">
        <x:v>EGKR-S26-RUS-960-15</x:v>
      </x:c>
      <x:c r="C5834" s="87" t="str">
        <x:v>ЕГКР</x:v>
      </x:c>
      <x:c r="D5834" s="87"/>
      <x:c r="E5834" s="87" t="str">
        <x:v>Весна 2026</x:v>
      </x:c>
      <x:c r="F5834" s="87" t="str">
        <x:v>24.03.2026</x:v>
      </x:c>
      <x:c r="G5834" s="87" t="str">
        <x:v>Русский язык</x:v>
      </x:c>
      <x:c r="H5834" s="87" t="n">
        <x:v>11</x:v>
      </x:c>
      <x:c r="I5834" s="87"/>
      <x:c r="J5834" s="87" t="str">
        <x:v>960</x:v>
      </x:c>
      <x:c r="K5834" s="87" t="n">
        <x:v>15</x:v>
      </x:c>
      <x:c r="L5834" s="87" t="str">
        <x:v>Н и НН</x:v>
      </x:c>
      <x:c r="M5834" s="30" t="str">
        <x:v>Задание 15 варианта 960: Н и НН. Полная формулировка сохранена на указанной визуальной странице.</x:v>
      </x:c>
      <x:c r="N5834" s="30" t="str">
        <x:v>134</x:v>
      </x:c>
      <x:c r="O5834" s="30" t="str">
        <x:v>Ответ зафиксирован в формате задания; полное условие и варианты ответа доступны по VIS_ID.</x:v>
      </x:c>
      <x:c r="P5834" s="30"/>
      <x:c r="Q5834" s="30" t="str">
        <x:v>Ответ совпал с исходным ответником и независимой сверкой: Insperia — разбор варианта 960.</x:v>
      </x:c>
      <x:c r="R5834" s="30" t="str">
        <x:v>134</x:v>
      </x:c>
      <x:c r="S5834" s="30"/>
      <x:c r="T5834" s="30" t="str">
        <x:v>Insperia — разбор варианта 960</x:v>
      </x:c>
      <x:c r="U5834" s="30" t="str">
        <x:v>Расхождений нет.</x:v>
      </x:c>
      <x:c r="V5834" s="87" t="str">
        <x:v>VERIFIED</x:v>
      </x:c>
      <x:c r="W5834" s="87"/>
      <x:c r="X5834" s="87" t="n">
        <x:v>7</x:v>
      </x:c>
      <x:c r="Y5834" s="87"/>
      <x:c r="Z5834" s="87"/>
      <x:c r="AA5834" s="87"/>
      <x:c r="AB5834" s="87"/>
      <x:c r="AC5834" s="87" t="str">
        <x:v>VIS-EGKR-RUS-S26-TASK-960-P007</x:v>
      </x:c>
      <x:c r="AD5834" s="87" t="str">
        <x:v>VIS-EGKR-RUS-S26-ANSWERDOC-P001</x:v>
      </x:c>
      <x:c r="AE5834" s="87" t="str">
        <x:v>TASK; SECONDARY_ANSWER_SOURCE</x:v>
      </x:c>
      <x:c r="AF5834" s="87" t="str">
        <x:v>VIS-EGKR-RUS-S26-TASK-960-P007: 7; VIS-EGKR-RUS-S26-ANSWERDOC-P001: 1</x:v>
      </x:c>
      <x:c r="AG5834" s="87" t="str">
        <x:v>RESOLVED</x:v>
      </x:c>
      <x:c r="AH5834" s="87" t="str">
        <x:v>CROP_VERIFIED</x:v>
      </x:c>
      <x:c r="AI5834" s="30"/>
      <x:c r="AJ5834" s="87" t="str">
        <x:v>clean</x:v>
      </x:c>
      <x:c r="AK5834" s="87" t="str">
        <x:v>clean-v0.18</x:v>
      </x:c>
      <x:c r="AL5834" s="87" t="str">
        <x:v>statgrad_clean_continuation_v0_18(1).xlsx</x:v>
      </x:c>
      <x:c r="AM5834" s="87" t="str">
        <x:v>RUS_EGKR_960</x:v>
      </x:c>
      <x:c r="AN5834" s="87" t="n">
        <x:v>16</x:v>
      </x:c>
    </x:row>
    <x:row r="5835">
      <x:c r="A5835" s="87" t="n">
        <x:v>5834</x:v>
      </x:c>
      <x:c r="B5835" s="87" t="str">
        <x:v>EGKR-S26-RUS-960-16</x:v>
      </x:c>
      <x:c r="C5835" s="87" t="str">
        <x:v>ЕГКР</x:v>
      </x:c>
      <x:c r="D5835" s="87"/>
      <x:c r="E5835" s="87" t="str">
        <x:v>Весна 2026</x:v>
      </x:c>
      <x:c r="F5835" s="87" t="str">
        <x:v>24.03.2026</x:v>
      </x:c>
      <x:c r="G5835" s="87" t="str">
        <x:v>Русский язык</x:v>
      </x:c>
      <x:c r="H5835" s="87" t="n">
        <x:v>11</x:v>
      </x:c>
      <x:c r="I5835" s="87"/>
      <x:c r="J5835" s="87" t="str">
        <x:v>960</x:v>
      </x:c>
      <x:c r="K5835" s="87" t="n">
        <x:v>16</x:v>
      </x:c>
      <x:c r="L5835" s="87" t="str">
        <x:v>Пунктуация при однородных членах</x:v>
      </x:c>
      <x:c r="M5835" s="30" t="str">
        <x:v>Задание 16 варианта 960: Пунктуация при однородных членах. Полная формулировка сохранена на указанной визуальной странице.</x:v>
      </x:c>
      <x:c r="N5835" s="30" t="str">
        <x:v>13</x:v>
      </x:c>
      <x:c r="O5835" s="30" t="str">
        <x:v>Ответ зафиксирован в формате задания; полное условие и варианты ответа доступны по VIS_ID.</x:v>
      </x:c>
      <x:c r="P5835" s="30"/>
      <x:c r="Q5835" s="30" t="str">
        <x:v>Ответ совпал с исходным ответником и независимой сверкой: Insperia — разбор варианта 960.</x:v>
      </x:c>
      <x:c r="R5835" s="30" t="str">
        <x:v>13</x:v>
      </x:c>
      <x:c r="S5835" s="30"/>
      <x:c r="T5835" s="30" t="str">
        <x:v>Insperia — разбор варианта 960</x:v>
      </x:c>
      <x:c r="U5835" s="30" t="str">
        <x:v>Расхождений нет.</x:v>
      </x:c>
      <x:c r="V5835" s="87" t="str">
        <x:v>VERIFIED</x:v>
      </x:c>
      <x:c r="W5835" s="87"/>
      <x:c r="X5835" s="87" t="n">
        <x:v>8</x:v>
      </x:c>
      <x:c r="Y5835" s="87"/>
      <x:c r="Z5835" s="87"/>
      <x:c r="AA5835" s="87"/>
      <x:c r="AB5835" s="87"/>
      <x:c r="AC5835" s="87" t="str">
        <x:v>VIS-EGKR-RUS-S26-TASK-960-P008</x:v>
      </x:c>
      <x:c r="AD5835" s="87" t="str">
        <x:v>VIS-EGKR-RUS-S26-ANSWERDOC-P001</x:v>
      </x:c>
      <x:c r="AE5835" s="87" t="str">
        <x:v>TASK; SECONDARY_ANSWER_SOURCE</x:v>
      </x:c>
      <x:c r="AF5835" s="87" t="str">
        <x:v>VIS-EGKR-RUS-S26-TASK-960-P008: 8; VIS-EGKR-RUS-S26-ANSWERDOC-P001: 1</x:v>
      </x:c>
      <x:c r="AG5835" s="87" t="str">
        <x:v>RESOLVED</x:v>
      </x:c>
      <x:c r="AH5835" s="87" t="str">
        <x:v>CROP_VERIFIED</x:v>
      </x:c>
      <x:c r="AI5835" s="30"/>
      <x:c r="AJ5835" s="87" t="str">
        <x:v>clean</x:v>
      </x:c>
      <x:c r="AK5835" s="87" t="str">
        <x:v>clean-v0.18</x:v>
      </x:c>
      <x:c r="AL5835" s="87" t="str">
        <x:v>statgrad_clean_continuation_v0_18(1).xlsx</x:v>
      </x:c>
      <x:c r="AM5835" s="87" t="str">
        <x:v>RUS_EGKR_960</x:v>
      </x:c>
      <x:c r="AN5835" s="87" t="n">
        <x:v>17</x:v>
      </x:c>
    </x:row>
    <x:row r="5836">
      <x:c r="A5836" s="87" t="n">
        <x:v>5835</x:v>
      </x:c>
      <x:c r="B5836" s="87" t="str">
        <x:v>EGKR-S26-RUS-960-17</x:v>
      </x:c>
      <x:c r="C5836" s="87" t="str">
        <x:v>ЕГКР</x:v>
      </x:c>
      <x:c r="D5836" s="87"/>
      <x:c r="E5836" s="87" t="str">
        <x:v>Весна 2026</x:v>
      </x:c>
      <x:c r="F5836" s="87" t="str">
        <x:v>24.03.2026</x:v>
      </x:c>
      <x:c r="G5836" s="87" t="str">
        <x:v>Русский язык</x:v>
      </x:c>
      <x:c r="H5836" s="87" t="n">
        <x:v>11</x:v>
      </x:c>
      <x:c r="I5836" s="87"/>
      <x:c r="J5836" s="87" t="str">
        <x:v>960</x:v>
      </x:c>
      <x:c r="K5836" s="87" t="n">
        <x:v>17</x:v>
      </x:c>
      <x:c r="L5836" s="87" t="str">
        <x:v>Обособленные конструкции</x:v>
      </x:c>
      <x:c r="M5836" s="30" t="str">
        <x:v>Задание 17 варианта 960: Обособленные конструкции. Полная формулировка сохранена на указанной визуальной странице.</x:v>
      </x:c>
      <x:c r="N5836" s="30" t="str">
        <x:v>125</x:v>
      </x:c>
      <x:c r="O5836" s="30" t="str">
        <x:v>Ответ зафиксирован в формате задания; полное условие и варианты ответа доступны по VIS_ID.</x:v>
      </x:c>
      <x:c r="P5836" s="30"/>
      <x:c r="Q5836" s="30" t="str">
        <x:v>Ответ совпал с исходным ответником и независимой сверкой: Insperia — разбор варианта 960.</x:v>
      </x:c>
      <x:c r="R5836" s="30" t="str">
        <x:v>125</x:v>
      </x:c>
      <x:c r="S5836" s="30"/>
      <x:c r="T5836" s="30" t="str">
        <x:v>Insperia — разбор варианта 960</x:v>
      </x:c>
      <x:c r="U5836" s="30" t="str">
        <x:v>Расхождений нет.</x:v>
      </x:c>
      <x:c r="V5836" s="87" t="str">
        <x:v>VERIFIED</x:v>
      </x:c>
      <x:c r="W5836" s="87"/>
      <x:c r="X5836" s="87" t="n">
        <x:v>8</x:v>
      </x:c>
      <x:c r="Y5836" s="87"/>
      <x:c r="Z5836" s="87"/>
      <x:c r="AA5836" s="87"/>
      <x:c r="AB5836" s="87"/>
      <x:c r="AC5836" s="87" t="str">
        <x:v>VIS-EGKR-RUS-S26-TASK-960-P008</x:v>
      </x:c>
      <x:c r="AD5836" s="87" t="str">
        <x:v>VIS-EGKR-RUS-S26-ANSWERDOC-P001</x:v>
      </x:c>
      <x:c r="AE5836" s="87" t="str">
        <x:v>TASK; SECONDARY_ANSWER_SOURCE</x:v>
      </x:c>
      <x:c r="AF5836" s="87" t="str">
        <x:v>VIS-EGKR-RUS-S26-TASK-960-P008: 8; VIS-EGKR-RUS-S26-ANSWERDOC-P001: 1</x:v>
      </x:c>
      <x:c r="AG5836" s="87" t="str">
        <x:v>RESOLVED</x:v>
      </x:c>
      <x:c r="AH5836" s="87" t="str">
        <x:v>CROP_VERIFIED</x:v>
      </x:c>
      <x:c r="AI5836" s="30"/>
      <x:c r="AJ5836" s="87" t="str">
        <x:v>clean</x:v>
      </x:c>
      <x:c r="AK5836" s="87" t="str">
        <x:v>clean-v0.18</x:v>
      </x:c>
      <x:c r="AL5836" s="87" t="str">
        <x:v>statgrad_clean_continuation_v0_18(1).xlsx</x:v>
      </x:c>
      <x:c r="AM5836" s="87" t="str">
        <x:v>RUS_EGKR_960</x:v>
      </x:c>
      <x:c r="AN5836" s="87" t="n">
        <x:v>18</x:v>
      </x:c>
    </x:row>
    <x:row r="5837">
      <x:c r="A5837" s="87" t="n">
        <x:v>5836</x:v>
      </x:c>
      <x:c r="B5837" s="87" t="str">
        <x:v>EGKR-S26-RUS-960-18</x:v>
      </x:c>
      <x:c r="C5837" s="87" t="str">
        <x:v>ЕГКР</x:v>
      </x:c>
      <x:c r="D5837" s="87"/>
      <x:c r="E5837" s="87" t="str">
        <x:v>Весна 2026</x:v>
      </x:c>
      <x:c r="F5837" s="87" t="str">
        <x:v>24.03.2026</x:v>
      </x:c>
      <x:c r="G5837" s="87" t="str">
        <x:v>Русский язык</x:v>
      </x:c>
      <x:c r="H5837" s="87" t="n">
        <x:v>11</x:v>
      </x:c>
      <x:c r="I5837" s="87"/>
      <x:c r="J5837" s="87" t="str">
        <x:v>960</x:v>
      </x:c>
      <x:c r="K5837" s="87" t="n">
        <x:v>18</x:v>
      </x:c>
      <x:c r="L5837" s="87" t="str">
        <x:v>Вводные слова и обращения</x:v>
      </x:c>
      <x:c r="M5837" s="30" t="str">
        <x:v>Задание 18 варианта 960: Вводные слова и обращения. Полная формулировка сохранена на указанной визуальной странице.</x:v>
      </x:c>
      <x:c r="N5837" s="30" t="str">
        <x:v>123</x:v>
      </x:c>
      <x:c r="O5837" s="30" t="str">
        <x:v>Ответ зафиксирован в формате задания; полное условие и варианты ответа доступны по VIS_ID.</x:v>
      </x:c>
      <x:c r="P5837" s="30"/>
      <x:c r="Q5837" s="30" t="str">
        <x:v>Ответ совпал с исходным ответником и независимой сверкой: Insperia — разбор варианта 960.</x:v>
      </x:c>
      <x:c r="R5837" s="30" t="str">
        <x:v>123</x:v>
      </x:c>
      <x:c r="S5837" s="30"/>
      <x:c r="T5837" s="30" t="str">
        <x:v>Insperia — разбор варианта 960</x:v>
      </x:c>
      <x:c r="U5837" s="30" t="str">
        <x:v>Расхождений нет.</x:v>
      </x:c>
      <x:c r="V5837" s="87" t="str">
        <x:v>VERIFIED</x:v>
      </x:c>
      <x:c r="W5837" s="87"/>
      <x:c r="X5837" s="87" t="n">
        <x:v>8</x:v>
      </x:c>
      <x:c r="Y5837" s="87"/>
      <x:c r="Z5837" s="87"/>
      <x:c r="AA5837" s="87"/>
      <x:c r="AB5837" s="87"/>
      <x:c r="AC5837" s="87" t="str">
        <x:v>VIS-EGKR-RUS-S26-TASK-960-P008</x:v>
      </x:c>
      <x:c r="AD5837" s="87" t="str">
        <x:v>VIS-EGKR-RUS-S26-ANSWERDOC-P001</x:v>
      </x:c>
      <x:c r="AE5837" s="87" t="str">
        <x:v>TASK; SECONDARY_ANSWER_SOURCE</x:v>
      </x:c>
      <x:c r="AF5837" s="87" t="str">
        <x:v>VIS-EGKR-RUS-S26-TASK-960-P008: 8; VIS-EGKR-RUS-S26-ANSWERDOC-P001: 1</x:v>
      </x:c>
      <x:c r="AG5837" s="87" t="str">
        <x:v>RESOLVED</x:v>
      </x:c>
      <x:c r="AH5837" s="87" t="str">
        <x:v>CROP_VERIFIED</x:v>
      </x:c>
      <x:c r="AI5837" s="30"/>
      <x:c r="AJ5837" s="87" t="str">
        <x:v>clean</x:v>
      </x:c>
      <x:c r="AK5837" s="87" t="str">
        <x:v>clean-v0.18</x:v>
      </x:c>
      <x:c r="AL5837" s="87" t="str">
        <x:v>statgrad_clean_continuation_v0_18(1).xlsx</x:v>
      </x:c>
      <x:c r="AM5837" s="87" t="str">
        <x:v>RUS_EGKR_960</x:v>
      </x:c>
      <x:c r="AN5837" s="87" t="n">
        <x:v>19</x:v>
      </x:c>
    </x:row>
    <x:row r="5838">
      <x:c r="A5838" s="87" t="n">
        <x:v>5837</x:v>
      </x:c>
      <x:c r="B5838" s="87" t="str">
        <x:v>EGKR-S26-RUS-960-19</x:v>
      </x:c>
      <x:c r="C5838" s="87" t="str">
        <x:v>ЕГКР</x:v>
      </x:c>
      <x:c r="D5838" s="87"/>
      <x:c r="E5838" s="87" t="str">
        <x:v>Весна 2026</x:v>
      </x:c>
      <x:c r="F5838" s="87" t="str">
        <x:v>24.03.2026</x:v>
      </x:c>
      <x:c r="G5838" s="87" t="str">
        <x:v>Русский язык</x:v>
      </x:c>
      <x:c r="H5838" s="87" t="n">
        <x:v>11</x:v>
      </x:c>
      <x:c r="I5838" s="87"/>
      <x:c r="J5838" s="87" t="str">
        <x:v>960</x:v>
      </x:c>
      <x:c r="K5838" s="87" t="n">
        <x:v>19</x:v>
      </x:c>
      <x:c r="L5838" s="87" t="str">
        <x:v>Сложноподчинённое предложение</x:v>
      </x:c>
      <x:c r="M5838" s="30" t="str">
        <x:v>Задание 19 варианта 960: Сложноподчинённое предложение. Полная формулировка сохранена на указанной визуальной странице.</x:v>
      </x:c>
      <x:c r="N5838" s="30" t="str">
        <x:v>1235</x:v>
      </x:c>
      <x:c r="O5838" s="30" t="str">
        <x:v>Ответ зафиксирован в формате задания; полное условие и варианты ответа доступны по VIS_ID.</x:v>
      </x:c>
      <x:c r="P5838" s="30"/>
      <x:c r="Q5838" s="30" t="str">
        <x:v>Ответ совпал с исходным ответником и независимой сверкой: Insperia — разбор варианта 960.</x:v>
      </x:c>
      <x:c r="R5838" s="30" t="str">
        <x:v>1235</x:v>
      </x:c>
      <x:c r="S5838" s="30"/>
      <x:c r="T5838" s="30" t="str">
        <x:v>Insperia — разбор варианта 960</x:v>
      </x:c>
      <x:c r="U5838" s="30" t="str">
        <x:v>Расхождений нет.</x:v>
      </x:c>
      <x:c r="V5838" s="87" t="str">
        <x:v>VERIFIED</x:v>
      </x:c>
      <x:c r="W5838" s="87"/>
      <x:c r="X5838" s="87" t="n">
        <x:v>9</x:v>
      </x:c>
      <x:c r="Y5838" s="87"/>
      <x:c r="Z5838" s="87"/>
      <x:c r="AA5838" s="87"/>
      <x:c r="AB5838" s="87"/>
      <x:c r="AC5838" s="87" t="str">
        <x:v>VIS-EGKR-RUS-S26-TASK-960-P009</x:v>
      </x:c>
      <x:c r="AD5838" s="87" t="str">
        <x:v>VIS-EGKR-RUS-S26-ANSWERDOC-P001</x:v>
      </x:c>
      <x:c r="AE5838" s="87" t="str">
        <x:v>TASK; SECONDARY_ANSWER_SOURCE</x:v>
      </x:c>
      <x:c r="AF5838" s="87" t="str">
        <x:v>VIS-EGKR-RUS-S26-TASK-960-P009: 9; VIS-EGKR-RUS-S26-ANSWERDOC-P001: 1</x:v>
      </x:c>
      <x:c r="AG5838" s="87" t="str">
        <x:v>RESOLVED</x:v>
      </x:c>
      <x:c r="AH5838" s="87" t="str">
        <x:v>CROP_VERIFIED</x:v>
      </x:c>
      <x:c r="AI5838" s="30"/>
      <x:c r="AJ5838" s="87" t="str">
        <x:v>clean</x:v>
      </x:c>
      <x:c r="AK5838" s="87" t="str">
        <x:v>clean-v0.18</x:v>
      </x:c>
      <x:c r="AL5838" s="87" t="str">
        <x:v>statgrad_clean_continuation_v0_18(1).xlsx</x:v>
      </x:c>
      <x:c r="AM5838" s="87" t="str">
        <x:v>RUS_EGKR_960</x:v>
      </x:c>
      <x:c r="AN5838" s="87" t="n">
        <x:v>20</x:v>
      </x:c>
    </x:row>
    <x:row r="5839">
      <x:c r="A5839" s="87" t="n">
        <x:v>5838</x:v>
      </x:c>
      <x:c r="B5839" s="87" t="str">
        <x:v>EGKR-S26-RUS-960-20</x:v>
      </x:c>
      <x:c r="C5839" s="87" t="str">
        <x:v>ЕГКР</x:v>
      </x:c>
      <x:c r="D5839" s="87"/>
      <x:c r="E5839" s="87" t="str">
        <x:v>Весна 2026</x:v>
      </x:c>
      <x:c r="F5839" s="87" t="str">
        <x:v>24.03.2026</x:v>
      </x:c>
      <x:c r="G5839" s="87" t="str">
        <x:v>Русский язык</x:v>
      </x:c>
      <x:c r="H5839" s="87" t="n">
        <x:v>11</x:v>
      </x:c>
      <x:c r="I5839" s="87"/>
      <x:c r="J5839" s="87" t="str">
        <x:v>960</x:v>
      </x:c>
      <x:c r="K5839" s="87" t="n">
        <x:v>20</x:v>
      </x:c>
      <x:c r="L5839" s="87" t="str">
        <x:v>Сложное предложение</x:v>
      </x:c>
      <x:c r="M5839" s="30" t="str">
        <x:v>Задание 20 варианта 960: Сложное предложение. Полная формулировка сохранена на указанной визуальной странице.</x:v>
      </x:c>
      <x:c r="N5839" s="30" t="str">
        <x:v>123</x:v>
      </x:c>
      <x:c r="O5839" s="30" t="str">
        <x:v>Ответ зафиксирован в формате задания; полное условие и варианты ответа доступны по VIS_ID.</x:v>
      </x:c>
      <x:c r="P5839" s="30"/>
      <x:c r="Q5839" s="30" t="str">
        <x:v>Ответ восстановлен по исходному заданию и сверке: Insperia — разбор варианта 960.</x:v>
      </x:c>
      <x:c r="R5839" s="30" t="str">
        <x:v>MISSING</x:v>
      </x:c>
      <x:c r="S5839" s="30"/>
      <x:c r="T5839" s="30" t="str">
        <x:v>Insperia — разбор варианта 960</x:v>
      </x:c>
      <x:c r="U5839" s="30" t="str">
        <x:v>Во внутреннем ответнике позиция отсутствовала.</x:v>
      </x:c>
      <x:c r="V5839" s="87" t="str">
        <x:v>SOURCE_GAP_RECOVERED</x:v>
      </x:c>
      <x:c r="W5839" s="87"/>
      <x:c r="X5839" s="87" t="n">
        <x:v>9</x:v>
      </x:c>
      <x:c r="Y5839" s="87"/>
      <x:c r="Z5839" s="87"/>
      <x:c r="AA5839" s="87"/>
      <x:c r="AB5839" s="87"/>
      <x:c r="AC5839" s="87" t="str">
        <x:v>VIS-EGKR-RUS-S26-TASK-960-P009</x:v>
      </x:c>
      <x:c r="AD5839" s="87" t="str">
        <x:v>VIS-EGKR-RUS-S26-ANSWERDOC-P001</x:v>
      </x:c>
      <x:c r="AE5839" s="87" t="str">
        <x:v>TASK; SECONDARY_ANSWER_SOURCE</x:v>
      </x:c>
      <x:c r="AF5839" s="87" t="str">
        <x:v>VIS-EGKR-RUS-S26-TASK-960-P009: 9; VIS-EGKR-RUS-S26-ANSWERDOC-P001: 1</x:v>
      </x:c>
      <x:c r="AG5839" s="87" t="str">
        <x:v>RESOLVED</x:v>
      </x:c>
      <x:c r="AH5839" s="87" t="str">
        <x:v>CROP_VERIFIED</x:v>
      </x:c>
      <x:c r="AI5839" s="30"/>
      <x:c r="AJ5839" s="87" t="str">
        <x:v>clean</x:v>
      </x:c>
      <x:c r="AK5839" s="87" t="str">
        <x:v>clean-v0.18</x:v>
      </x:c>
      <x:c r="AL5839" s="87" t="str">
        <x:v>statgrad_clean_continuation_v0_18(1).xlsx</x:v>
      </x:c>
      <x:c r="AM5839" s="87" t="str">
        <x:v>RUS_EGKR_960</x:v>
      </x:c>
      <x:c r="AN5839" s="87" t="n">
        <x:v>21</x:v>
      </x:c>
    </x:row>
    <x:row r="5840">
      <x:c r="A5840" s="87" t="n">
        <x:v>5839</x:v>
      </x:c>
      <x:c r="B5840" s="87" t="str">
        <x:v>EGKR-S26-RUS-960-21</x:v>
      </x:c>
      <x:c r="C5840" s="87" t="str">
        <x:v>ЕГКР</x:v>
      </x:c>
      <x:c r="D5840" s="87"/>
      <x:c r="E5840" s="87" t="str">
        <x:v>Весна 2026</x:v>
      </x:c>
      <x:c r="F5840" s="87" t="str">
        <x:v>24.03.2026</x:v>
      </x:c>
      <x:c r="G5840" s="87" t="str">
        <x:v>Русский язык</x:v>
      </x:c>
      <x:c r="H5840" s="87" t="n">
        <x:v>11</x:v>
      </x:c>
      <x:c r="I5840" s="87"/>
      <x:c r="J5840" s="87" t="str">
        <x:v>960</x:v>
      </x:c>
      <x:c r="K5840" s="87" t="n">
        <x:v>21</x:v>
      </x:c>
      <x:c r="L5840" s="87" t="str">
        <x:v>Пунктуационный анализ</x:v>
      </x:c>
      <x:c r="M5840" s="30" t="str">
        <x:v>Задание 21 варианта 960: Пунктуационный анализ. Полная формулировка сохранена на указанной визуальной странице.</x:v>
      </x:c>
      <x:c r="N5840" s="30" t="str">
        <x:v>14</x:v>
      </x:c>
      <x:c r="O5840" s="30" t="str">
        <x:v>Ответ зафиксирован в формате задания; полное условие и варианты ответа доступны по VIS_ID.</x:v>
      </x:c>
      <x:c r="P5840" s="30"/>
      <x:c r="Q5840" s="30" t="str">
        <x:v>Ответ восстановлен по исходному заданию и сверке: Insperia — разбор варианта 960.</x:v>
      </x:c>
      <x:c r="R5840" s="30" t="str">
        <x:v>MISSING</x:v>
      </x:c>
      <x:c r="S5840" s="30"/>
      <x:c r="T5840" s="30" t="str">
        <x:v>Insperia — разбор варианта 960</x:v>
      </x:c>
      <x:c r="U5840" s="30" t="str">
        <x:v>Во внутреннем ответнике позиция отсутствовала.</x:v>
      </x:c>
      <x:c r="V5840" s="87" t="str">
        <x:v>SOURCE_GAP_RECOVERED</x:v>
      </x:c>
      <x:c r="W5840" s="87"/>
      <x:c r="X5840" s="87" t="n">
        <x:v>9</x:v>
      </x:c>
      <x:c r="Y5840" s="87"/>
      <x:c r="Z5840" s="87"/>
      <x:c r="AA5840" s="87"/>
      <x:c r="AB5840" s="87"/>
      <x:c r="AC5840" s="87" t="str">
        <x:v>VIS-EGKR-RUS-S26-TASK-960-P009</x:v>
      </x:c>
      <x:c r="AD5840" s="87" t="str">
        <x:v>VIS-EGKR-RUS-S26-ANSWERDOC-P001</x:v>
      </x:c>
      <x:c r="AE5840" s="87" t="str">
        <x:v>TASK; SECONDARY_ANSWER_SOURCE</x:v>
      </x:c>
      <x:c r="AF5840" s="87" t="str">
        <x:v>VIS-EGKR-RUS-S26-TASK-960-P009: 9; VIS-EGKR-RUS-S26-ANSWERDOC-P001: 1</x:v>
      </x:c>
      <x:c r="AG5840" s="87" t="str">
        <x:v>RESOLVED</x:v>
      </x:c>
      <x:c r="AH5840" s="87" t="str">
        <x:v>CROP_VERIFIED</x:v>
      </x:c>
      <x:c r="AI5840" s="30"/>
      <x:c r="AJ5840" s="87" t="str">
        <x:v>clean</x:v>
      </x:c>
      <x:c r="AK5840" s="87" t="str">
        <x:v>clean-v0.18</x:v>
      </x:c>
      <x:c r="AL5840" s="87" t="str">
        <x:v>statgrad_clean_continuation_v0_18(1).xlsx</x:v>
      </x:c>
      <x:c r="AM5840" s="87" t="str">
        <x:v>RUS_EGKR_960</x:v>
      </x:c>
      <x:c r="AN5840" s="87" t="n">
        <x:v>22</x:v>
      </x:c>
    </x:row>
    <x:row r="5841">
      <x:c r="A5841" s="87" t="n">
        <x:v>5840</x:v>
      </x:c>
      <x:c r="B5841" s="87" t="str">
        <x:v>EGKR-S26-RUS-960-22</x:v>
      </x:c>
      <x:c r="C5841" s="87" t="str">
        <x:v>ЕГКР</x:v>
      </x:c>
      <x:c r="D5841" s="87"/>
      <x:c r="E5841" s="87" t="str">
        <x:v>Весна 2026</x:v>
      </x:c>
      <x:c r="F5841" s="87" t="str">
        <x:v>24.03.2026</x:v>
      </x:c>
      <x:c r="G5841" s="87" t="str">
        <x:v>Русский язык</x:v>
      </x:c>
      <x:c r="H5841" s="87" t="n">
        <x:v>11</x:v>
      </x:c>
      <x:c r="I5841" s="87"/>
      <x:c r="J5841" s="87" t="str">
        <x:v>960</x:v>
      </x:c>
      <x:c r="K5841" s="87" t="n">
        <x:v>22</x:v>
      </x:c>
      <x:c r="L5841" s="87" t="str">
        <x:v>Средства выразительности</x:v>
      </x:c>
      <x:c r="M5841" s="30" t="str">
        <x:v>Задание 22 варианта 960: Средства выразительности. Полная формулировка сохранена на указанной визуальной странице.</x:v>
      </x:c>
      <x:c r="N5841" s="30" t="str">
        <x:v>98563</x:v>
      </x:c>
      <x:c r="O5841" s="30" t="str">
        <x:v>Ответ зафиксирован в формате задания; полное условие и варианты ответа доступны по VIS_ID.</x:v>
      </x:c>
      <x:c r="P5841" s="30"/>
      <x:c r="Q5841" s="30" t="str">
        <x:v>Ответ восстановлен по исходному заданию и сверке: Insperia — разбор варианта 960.</x:v>
      </x:c>
      <x:c r="R5841" s="30" t="str">
        <x:v>MISSING</x:v>
      </x:c>
      <x:c r="S5841" s="30"/>
      <x:c r="T5841" s="30" t="str">
        <x:v>Insperia — разбор варианта 960</x:v>
      </x:c>
      <x:c r="U5841" s="30" t="str">
        <x:v>Во внутреннем ответнике позиция отсутствовала.</x:v>
      </x:c>
      <x:c r="V5841" s="87" t="str">
        <x:v>SOURCE_GAP_RECOVERED</x:v>
      </x:c>
      <x:c r="W5841" s="87"/>
      <x:c r="X5841" s="87" t="n">
        <x:v>10</x:v>
      </x:c>
      <x:c r="Y5841" s="87"/>
      <x:c r="Z5841" s="87"/>
      <x:c r="AA5841" s="87"/>
      <x:c r="AB5841" s="87"/>
      <x:c r="AC5841" s="87" t="str">
        <x:v>VIS-EGKR-RUS-S26-TASK-960-P010</x:v>
      </x:c>
      <x:c r="AD5841" s="87" t="str">
        <x:v>VIS-EGKR-RUS-S26-ANSWERDOC-P001</x:v>
      </x:c>
      <x:c r="AE5841" s="87" t="str">
        <x:v>TASK; SECONDARY_ANSWER_SOURCE</x:v>
      </x:c>
      <x:c r="AF5841" s="87" t="str">
        <x:v>VIS-EGKR-RUS-S26-TASK-960-P010: 10; VIS-EGKR-RUS-S26-ANSWERDOC-P001: 1</x:v>
      </x:c>
      <x:c r="AG5841" s="87" t="str">
        <x:v>RESOLVED</x:v>
      </x:c>
      <x:c r="AH5841" s="87" t="str">
        <x:v>CROP_VERIFIED</x:v>
      </x:c>
      <x:c r="AI5841" s="30"/>
      <x:c r="AJ5841" s="87" t="str">
        <x:v>clean</x:v>
      </x:c>
      <x:c r="AK5841" s="87" t="str">
        <x:v>clean-v0.18</x:v>
      </x:c>
      <x:c r="AL5841" s="87" t="str">
        <x:v>statgrad_clean_continuation_v0_18(1).xlsx</x:v>
      </x:c>
      <x:c r="AM5841" s="87" t="str">
        <x:v>RUS_EGKR_960</x:v>
      </x:c>
      <x:c r="AN5841" s="87" t="n">
        <x:v>23</x:v>
      </x:c>
    </x:row>
    <x:row r="5842">
      <x:c r="A5842" s="87" t="n">
        <x:v>5841</x:v>
      </x:c>
      <x:c r="B5842" s="87" t="str">
        <x:v>EGKR-S26-RUS-960-23</x:v>
      </x:c>
      <x:c r="C5842" s="87" t="str">
        <x:v>ЕГКР</x:v>
      </x:c>
      <x:c r="D5842" s="87"/>
      <x:c r="E5842" s="87" t="str">
        <x:v>Весна 2026</x:v>
      </x:c>
      <x:c r="F5842" s="87" t="str">
        <x:v>24.03.2026</x:v>
      </x:c>
      <x:c r="G5842" s="87" t="str">
        <x:v>Русский язык</x:v>
      </x:c>
      <x:c r="H5842" s="87" t="n">
        <x:v>11</x:v>
      </x:c>
      <x:c r="I5842" s="87"/>
      <x:c r="J5842" s="87" t="str">
        <x:v>960</x:v>
      </x:c>
      <x:c r="K5842" s="87" t="n">
        <x:v>23</x:v>
      </x:c>
      <x:c r="L5842" s="87" t="str">
        <x:v>Содержание текста</x:v>
      </x:c>
      <x:c r="M5842" s="30" t="str">
        <x:v>Задание 23 варианта 960: Содержание текста. Полная формулировка сохранена на указанной визуальной странице.</x:v>
      </x:c>
      <x:c r="N5842" s="30" t="str">
        <x:v>234</x:v>
      </x:c>
      <x:c r="O5842" s="30" t="str">
        <x:v>Ответ зафиксирован в формате задания; полное условие и варианты ответа доступны по VIS_ID.</x:v>
      </x:c>
      <x:c r="P5842" s="30"/>
      <x:c r="Q5842" s="30" t="str">
        <x:v>Ответ независимо сверён по исходному заданию и разбору: Insperia — разбор варианта 960.</x:v>
      </x:c>
      <x:c r="R5842" s="30" t="str">
        <x:v>235</x:v>
      </x:c>
      <x:c r="S5842" s="30"/>
      <x:c r="T5842" s="30" t="str">
        <x:v>Insperia — разбор варианта 960</x:v>
      </x:c>
      <x:c r="U5842" s="30" t="str">
        <x:v>Ответник: 235; канонический ответ: 234.</x:v>
      </x:c>
      <x:c r="V5842" s="87" t="str">
        <x:v>KEY_MISMATCH</x:v>
      </x:c>
      <x:c r="W5842" s="87"/>
      <x:c r="X5842" s="87" t="n">
        <x:v>13</x:v>
      </x:c>
      <x:c r="Y5842" s="87"/>
      <x:c r="Z5842" s="87"/>
      <x:c r="AA5842" s="87"/>
      <x:c r="AB5842" s="87"/>
      <x:c r="AC5842" s="87" t="str">
        <x:v>VIS-EGKR-RUS-S26-TASK-960-P013</x:v>
      </x:c>
      <x:c r="AD5842" s="87" t="str">
        <x:v>VIS-EGKR-RUS-S26-ANSWERDOC-P001</x:v>
      </x:c>
      <x:c r="AE5842" s="87" t="str">
        <x:v>TASK; SECONDARY_ANSWER_SOURCE</x:v>
      </x:c>
      <x:c r="AF5842" s="87" t="str">
        <x:v>VIS-EGKR-RUS-S26-TASK-960-P013: 13; VIS-EGKR-RUS-S26-ANSWERDOC-P001: 1</x:v>
      </x:c>
      <x:c r="AG5842" s="87" t="str">
        <x:v>RESOLVED</x:v>
      </x:c>
      <x:c r="AH5842" s="87" t="str">
        <x:v>CROP_VERIFIED</x:v>
      </x:c>
      <x:c r="AI5842" s="30"/>
      <x:c r="AJ5842" s="87" t="str">
        <x:v>clean</x:v>
      </x:c>
      <x:c r="AK5842" s="87" t="str">
        <x:v>clean-v0.18</x:v>
      </x:c>
      <x:c r="AL5842" s="87" t="str">
        <x:v>statgrad_clean_continuation_v0_18(1).xlsx</x:v>
      </x:c>
      <x:c r="AM5842" s="87" t="str">
        <x:v>RUS_EGKR_960</x:v>
      </x:c>
      <x:c r="AN5842" s="87" t="n">
        <x:v>24</x:v>
      </x:c>
    </x:row>
    <x:row r="5843">
      <x:c r="A5843" s="87" t="n">
        <x:v>5842</x:v>
      </x:c>
      <x:c r="B5843" s="87" t="str">
        <x:v>EGKR-S26-RUS-960-24</x:v>
      </x:c>
      <x:c r="C5843" s="87" t="str">
        <x:v>ЕГКР</x:v>
      </x:c>
      <x:c r="D5843" s="87"/>
      <x:c r="E5843" s="87" t="str">
        <x:v>Весна 2026</x:v>
      </x:c>
      <x:c r="F5843" s="87" t="str">
        <x:v>24.03.2026</x:v>
      </x:c>
      <x:c r="G5843" s="87" t="str">
        <x:v>Русский язык</x:v>
      </x:c>
      <x:c r="H5843" s="87" t="n">
        <x:v>11</x:v>
      </x:c>
      <x:c r="I5843" s="87"/>
      <x:c r="J5843" s="87" t="str">
        <x:v>960</x:v>
      </x:c>
      <x:c r="K5843" s="87" t="n">
        <x:v>24</x:v>
      </x:c>
      <x:c r="L5843" s="87" t="str">
        <x:v>Типы речи и логика текста</x:v>
      </x:c>
      <x:c r="M5843" s="30" t="str">
        <x:v>Задание 24 варианта 960: Типы речи и логика текста. Полная формулировка сохранена на указанной визуальной странице.</x:v>
      </x:c>
      <x:c r="N5843" s="30" t="str">
        <x:v>23</x:v>
      </x:c>
      <x:c r="O5843" s="30" t="str">
        <x:v>Ответ зафиксирован в формате задания; полное условие и варианты ответа доступны по VIS_ID.</x:v>
      </x:c>
      <x:c r="P5843" s="30"/>
      <x:c r="Q5843" s="30" t="str">
        <x:v>Ответ совпал с исходным ответником и независимой сверкой: Insperia — разбор варианта 960.</x:v>
      </x:c>
      <x:c r="R5843" s="30" t="str">
        <x:v>23</x:v>
      </x:c>
      <x:c r="S5843" s="30"/>
      <x:c r="T5843" s="30" t="str">
        <x:v>Insperia — разбор варианта 960</x:v>
      </x:c>
      <x:c r="U5843" s="30" t="str">
        <x:v>Расхождений нет.</x:v>
      </x:c>
      <x:c r="V5843" s="87" t="str">
        <x:v>VERIFIED</x:v>
      </x:c>
      <x:c r="W5843" s="87"/>
      <x:c r="X5843" s="87" t="n">
        <x:v>13</x:v>
      </x:c>
      <x:c r="Y5843" s="87"/>
      <x:c r="Z5843" s="87"/>
      <x:c r="AA5843" s="87"/>
      <x:c r="AB5843" s="87"/>
      <x:c r="AC5843" s="87" t="str">
        <x:v>VIS-EGKR-RUS-S26-TASK-960-P013</x:v>
      </x:c>
      <x:c r="AD5843" s="87" t="str">
        <x:v>VIS-EGKR-RUS-S26-ANSWERDOC-P001</x:v>
      </x:c>
      <x:c r="AE5843" s="87" t="str">
        <x:v>TASK; SECONDARY_ANSWER_SOURCE</x:v>
      </x:c>
      <x:c r="AF5843" s="87" t="str">
        <x:v>VIS-EGKR-RUS-S26-TASK-960-P013: 13; VIS-EGKR-RUS-S26-ANSWERDOC-P001: 1</x:v>
      </x:c>
      <x:c r="AG5843" s="87" t="str">
        <x:v>RESOLVED</x:v>
      </x:c>
      <x:c r="AH5843" s="87" t="str">
        <x:v>CROP_VERIFIED</x:v>
      </x:c>
      <x:c r="AI5843" s="30"/>
      <x:c r="AJ5843" s="87" t="str">
        <x:v>clean</x:v>
      </x:c>
      <x:c r="AK5843" s="87" t="str">
        <x:v>clean-v0.18</x:v>
      </x:c>
      <x:c r="AL5843" s="87" t="str">
        <x:v>statgrad_clean_continuation_v0_18(1).xlsx</x:v>
      </x:c>
      <x:c r="AM5843" s="87" t="str">
        <x:v>RUS_EGKR_960</x:v>
      </x:c>
      <x:c r="AN5843" s="87" t="n">
        <x:v>25</x:v>
      </x:c>
    </x:row>
    <x:row r="5844">
      <x:c r="A5844" s="87" t="n">
        <x:v>5843</x:v>
      </x:c>
      <x:c r="B5844" s="87" t="str">
        <x:v>EGKR-S26-RUS-960-25</x:v>
      </x:c>
      <x:c r="C5844" s="87" t="str">
        <x:v>ЕГКР</x:v>
      </x:c>
      <x:c r="D5844" s="87"/>
      <x:c r="E5844" s="87" t="str">
        <x:v>Весна 2026</x:v>
      </x:c>
      <x:c r="F5844" s="87" t="str">
        <x:v>24.03.2026</x:v>
      </x:c>
      <x:c r="G5844" s="87" t="str">
        <x:v>Русский язык</x:v>
      </x:c>
      <x:c r="H5844" s="87" t="n">
        <x:v>11</x:v>
      </x:c>
      <x:c r="I5844" s="87"/>
      <x:c r="J5844" s="87" t="str">
        <x:v>960</x:v>
      </x:c>
      <x:c r="K5844" s="87" t="n">
        <x:v>25</x:v>
      </x:c>
      <x:c r="L5844" s="87" t="str">
        <x:v>Лексический анализ</x:v>
      </x:c>
      <x:c r="M5844" s="30" t="str">
        <x:v>Задание 25 варианта 960: Лексический анализ. Полная формулировка сохранена на указанной визуальной странице.</x:v>
      </x:c>
      <x:c r="N5844" s="30" t="str">
        <x:v>во всяком случае</x:v>
      </x:c>
      <x:c r="O5844" s="30" t="str">
        <x:v>Ответ зафиксирован в формате задания; полное условие и варианты ответа доступны по VIS_ID.</x:v>
      </x:c>
      <x:c r="P5844" s="30"/>
      <x:c r="Q5844" s="30" t="str">
        <x:v>Ответ совпал с исходным ответником и независимой сверкой: Insperia — разбор варианта 960.</x:v>
      </x:c>
      <x:c r="R5844" s="30" t="str">
        <x:v>во всяком случае</x:v>
      </x:c>
      <x:c r="S5844" s="30"/>
      <x:c r="T5844" s="30" t="str">
        <x:v>Insperia — разбор варианта 960</x:v>
      </x:c>
      <x:c r="U5844" s="30" t="str">
        <x:v>Расхождений нет.</x:v>
      </x:c>
      <x:c r="V5844" s="87" t="str">
        <x:v>VERIFIED</x:v>
      </x:c>
      <x:c r="W5844" s="87"/>
      <x:c r="X5844" s="87" t="n">
        <x:v>13</x:v>
      </x:c>
      <x:c r="Y5844" s="87"/>
      <x:c r="Z5844" s="87"/>
      <x:c r="AA5844" s="87"/>
      <x:c r="AB5844" s="87"/>
      <x:c r="AC5844" s="87" t="str">
        <x:v>VIS-EGKR-RUS-S26-TASK-960-P013</x:v>
      </x:c>
      <x:c r="AD5844" s="87" t="str">
        <x:v>VIS-EGKR-RUS-S26-ANSWERDOC-P001</x:v>
      </x:c>
      <x:c r="AE5844" s="87" t="str">
        <x:v>TASK; SECONDARY_ANSWER_SOURCE</x:v>
      </x:c>
      <x:c r="AF5844" s="87" t="str">
        <x:v>VIS-EGKR-RUS-S26-TASK-960-P013: 13; VIS-EGKR-RUS-S26-ANSWERDOC-P001: 1</x:v>
      </x:c>
      <x:c r="AG5844" s="87" t="str">
        <x:v>RESOLVED</x:v>
      </x:c>
      <x:c r="AH5844" s="87" t="str">
        <x:v>CROP_VERIFIED</x:v>
      </x:c>
      <x:c r="AI5844" s="30"/>
      <x:c r="AJ5844" s="87" t="str">
        <x:v>clean</x:v>
      </x:c>
      <x:c r="AK5844" s="87" t="str">
        <x:v>clean-v0.18</x:v>
      </x:c>
      <x:c r="AL5844" s="87" t="str">
        <x:v>statgrad_clean_continuation_v0_18(1).xlsx</x:v>
      </x:c>
      <x:c r="AM5844" s="87" t="str">
        <x:v>RUS_EGKR_960</x:v>
      </x:c>
      <x:c r="AN5844" s="87" t="n">
        <x:v>26</x:v>
      </x:c>
    </x:row>
    <x:row r="5845">
      <x:c r="A5845" s="87" t="n">
        <x:v>5844</x:v>
      </x:c>
      <x:c r="B5845" s="87" t="str">
        <x:v>EGKR-S26-RUS-960-26</x:v>
      </x:c>
      <x:c r="C5845" s="87" t="str">
        <x:v>ЕГКР</x:v>
      </x:c>
      <x:c r="D5845" s="87"/>
      <x:c r="E5845" s="87" t="str">
        <x:v>Весна 2026</x:v>
      </x:c>
      <x:c r="F5845" s="87" t="str">
        <x:v>24.03.2026</x:v>
      </x:c>
      <x:c r="G5845" s="87" t="str">
        <x:v>Русский язык</x:v>
      </x:c>
      <x:c r="H5845" s="87" t="n">
        <x:v>11</x:v>
      </x:c>
      <x:c r="I5845" s="87"/>
      <x:c r="J5845" s="87" t="str">
        <x:v>960</x:v>
      </x:c>
      <x:c r="K5845" s="87" t="n">
        <x:v>26</x:v>
      </x:c>
      <x:c r="L5845" s="87" t="str">
        <x:v>Связь предложений</x:v>
      </x:c>
      <x:c r="M5845" s="30" t="str">
        <x:v>Задание 26 варианта 960: Связь предложений. Полная формулировка сохранена на указанной визуальной странице.</x:v>
      </x:c>
      <x:c r="N5845" s="30" t="str">
        <x:v>7</x:v>
      </x:c>
      <x:c r="O5845" s="30" t="str">
        <x:v>Ответ зафиксирован в формате задания; полное условие и варианты ответа доступны по VIS_ID.</x:v>
      </x:c>
      <x:c r="P5845" s="30"/>
      <x:c r="Q5845" s="30" t="str">
        <x:v>Ответ независимо сверён по исходному заданию и разбору: Insperia — разбор варианта 960.</x:v>
      </x:c>
      <x:c r="R5845" s="30" t="str">
        <x:v>9</x:v>
      </x:c>
      <x:c r="S5845" s="30"/>
      <x:c r="T5845" s="30" t="str">
        <x:v>Insperia — разбор варианта 960</x:v>
      </x:c>
      <x:c r="U5845" s="30" t="str">
        <x:v>Ответник: 9; канонический ответ: 7.</x:v>
      </x:c>
      <x:c r="V5845" s="87" t="str">
        <x:v>KEY_MISMATCH</x:v>
      </x:c>
      <x:c r="W5845" s="87"/>
      <x:c r="X5845" s="87" t="n">
        <x:v>13</x:v>
      </x:c>
      <x:c r="Y5845" s="87"/>
      <x:c r="Z5845" s="87"/>
      <x:c r="AA5845" s="87"/>
      <x:c r="AB5845" s="87"/>
      <x:c r="AC5845" s="87" t="str">
        <x:v>VIS-EGKR-RUS-S26-TASK-960-P013</x:v>
      </x:c>
      <x:c r="AD5845" s="87" t="str">
        <x:v>VIS-EGKR-RUS-S26-ANSWERDOC-P001</x:v>
      </x:c>
      <x:c r="AE5845" s="87" t="str">
        <x:v>TASK; SECONDARY_ANSWER_SOURCE</x:v>
      </x:c>
      <x:c r="AF5845" s="87" t="str">
        <x:v>VIS-EGKR-RUS-S26-TASK-960-P013: 13; VIS-EGKR-RUS-S26-ANSWERDOC-P001: 1</x:v>
      </x:c>
      <x:c r="AG5845" s="87" t="str">
        <x:v>RESOLVED</x:v>
      </x:c>
      <x:c r="AH5845" s="87" t="str">
        <x:v>CROP_VERIFIED</x:v>
      </x:c>
      <x:c r="AI5845" s="30"/>
      <x:c r="AJ5845" s="87" t="str">
        <x:v>clean</x:v>
      </x:c>
      <x:c r="AK5845" s="87" t="str">
        <x:v>clean-v0.18</x:v>
      </x:c>
      <x:c r="AL5845" s="87" t="str">
        <x:v>statgrad_clean_continuation_v0_18(1).xlsx</x:v>
      </x:c>
      <x:c r="AM5845" s="87" t="str">
        <x:v>RUS_EGKR_960</x:v>
      </x:c>
      <x:c r="AN5845" s="87" t="n">
        <x:v>27</x:v>
      </x:c>
    </x:row>
    <x:row r="5846">
      <x:c r="A5846" s="87" t="n">
        <x:v>5845</x:v>
      </x:c>
      <x:c r="B5846" s="87" t="str">
        <x:v>EGKR-S26-RUS-960-27</x:v>
      </x:c>
      <x:c r="C5846" s="87" t="str">
        <x:v>ЕГКР</x:v>
      </x:c>
      <x:c r="D5846" s="87"/>
      <x:c r="E5846" s="87" t="str">
        <x:v>Весна 2026</x:v>
      </x:c>
      <x:c r="F5846" s="87" t="str">
        <x:v>24.03.2026</x:v>
      </x:c>
      <x:c r="G5846" s="87" t="str">
        <x:v>Русский язык</x:v>
      </x:c>
      <x:c r="H5846" s="87" t="n">
        <x:v>11</x:v>
      </x:c>
      <x:c r="I5846" s="87"/>
      <x:c r="J5846" s="87" t="str">
        <x:v>960</x:v>
      </x:c>
      <x:c r="K5846" s="87" t="n">
        <x:v>27</x:v>
      </x:c>
      <x:c r="L5846" s="87" t="str">
        <x:v>Сочинение</x:v>
      </x:c>
      <x:c r="M5846" s="30" t="str">
        <x:v>Как молодой человек может проверить склонность к будущей профессии?</x:v>
      </x:c>
      <x:c r="N5846" s="30" t="str">
        <x:v>Склонность лучше всего проверяется практикой: первая реальная работа показывает, интересно ли человеку дело, способен ли он выдерживать ответственность и преодолевать трудности. Даже небольшой опыт помогает сопоставить представление о профессии с её повседневной реальностью и сделать осознанный выбор.</x:v>
      </x:c>
      <x:c r="O5846" s="30" t="str">
        <x:v>Рабочая модель формулирует проблему, позицию автора и направление аргументации.</x:v>
      </x:c>
      <x:c r="P5846" s="30"/>
      <x:c r="Q5846" s="30" t="str">
        <x:v>Модель подготовлена по тексту варианта и требованиям задания 27.</x:v>
      </x:c>
      <x:c r="R5846" s="30" t="str">
        <x:v>MODEL_NOT_STANDARDIZED</x:v>
      </x:c>
      <x:c r="S5846" s="30"/>
      <x:c r="T5846" s="30" t="str">
        <x:v>Insperia — разбор варианта 960</x:v>
      </x:c>
      <x:c r="U5846" s="30" t="str">
        <x:v>Модель не является единственно возможным сочинением.</x:v>
      </x:c>
      <x:c r="V5846" s="87" t="str">
        <x:v>MODEL_READY</x:v>
      </x:c>
      <x:c r="W5846" s="87"/>
      <x:c r="X5846" s="87" t="n">
        <x:v>14</x:v>
      </x:c>
      <x:c r="Y5846" s="87"/>
      <x:c r="Z5846" s="87"/>
      <x:c r="AA5846" s="87"/>
      <x:c r="AB5846" s="87"/>
      <x:c r="AC5846" s="87" t="str">
        <x:v>VIS-EGKR-RUS-S26-TASK-960-P014</x:v>
      </x:c>
      <x:c r="AD5846" s="87"/>
      <x:c r="AE5846" s="87" t="str">
        <x:v>TASK</x:v>
      </x:c>
      <x:c r="AF5846" s="87" t="str">
        <x:v>VIS-EGKR-RUS-S26-TASK-960-P014: 14</x:v>
      </x:c>
      <x:c r="AG5846" s="87" t="str">
        <x:v>RESOLVED</x:v>
      </x:c>
      <x:c r="AH5846" s="87" t="str">
        <x:v>CROP_VERIFIED</x:v>
      </x:c>
      <x:c r="AI5846" s="30"/>
      <x:c r="AJ5846" s="87" t="str">
        <x:v>clean</x:v>
      </x:c>
      <x:c r="AK5846" s="87" t="str">
        <x:v>clean-v0.18</x:v>
      </x:c>
      <x:c r="AL5846" s="87" t="str">
        <x:v>statgrad_clean_continuation_v0_18(1).xlsx</x:v>
      </x:c>
      <x:c r="AM5846" s="87" t="str">
        <x:v>RUS_EGKR_960</x:v>
      </x:c>
      <x:c r="AN5846" s="87" t="n">
        <x:v>28</x:v>
      </x:c>
    </x:row>
    <x:row r="5847">
      <x:c r="A5847" s="87" t="n">
        <x:v>5846</x:v>
      </x:c>
      <x:c r="B5847" s="87" t="str">
        <x:v>EGKR-S26-RUS-961-01</x:v>
      </x:c>
      <x:c r="C5847" s="87" t="str">
        <x:v>ЕГКР</x:v>
      </x:c>
      <x:c r="D5847" s="87"/>
      <x:c r="E5847" s="87" t="str">
        <x:v>Весна 2026</x:v>
      </x:c>
      <x:c r="F5847" s="87" t="str">
        <x:v>24.03.2026</x:v>
      </x:c>
      <x:c r="G5847" s="87" t="str">
        <x:v>Русский язык</x:v>
      </x:c>
      <x:c r="H5847" s="87" t="n">
        <x:v>11</x:v>
      </x:c>
      <x:c r="I5847" s="87"/>
      <x:c r="J5847" s="87" t="str">
        <x:v>961</x:v>
      </x:c>
      <x:c r="K5847" s="87" t="n">
        <x:v>1</x:v>
      </x:c>
      <x:c r="L5847" s="87" t="str">
        <x:v>Средство связи</x:v>
      </x:c>
      <x:c r="M5847" s="30" t="str">
        <x:v>Задание 1 варианта 961: Средство связи. Полная формулировка сохранена на указанной визуальной странице.</x:v>
      </x:c>
      <x:c r="N5847" s="30" t="str">
        <x:v>или</x:v>
      </x:c>
      <x:c r="O5847" s="30" t="str">
        <x:v>Ответ зафиксирован в формате задания; полное условие и варианты ответа доступны по VIS_ID.</x:v>
      </x:c>
      <x:c r="P5847" s="30"/>
      <x:c r="Q5847" s="30" t="str">
        <x:v>Ответ восстановлен по исходному заданию и сверке: OGE777 — разбор варианта 961.</x:v>
      </x:c>
      <x:c r="R5847" s="30" t="str">
        <x:v>MISSING</x:v>
      </x:c>
      <x:c r="S5847" s="30"/>
      <x:c r="T5847" s="30" t="str">
        <x:v>OGE777 — разбор варианта 961</x:v>
      </x:c>
      <x:c r="U5847" s="30" t="str">
        <x:v>Во внутреннем ответнике позиция отсутствовала.</x:v>
      </x:c>
      <x:c r="V5847" s="87" t="str">
        <x:v>SOURCE_GAP_RECOVERED</x:v>
      </x:c>
      <x:c r="W5847" s="87"/>
      <x:c r="X5847" s="87" t="n">
        <x:v>3</x:v>
      </x:c>
      <x:c r="Y5847" s="87"/>
      <x:c r="Z5847" s="87"/>
      <x:c r="AA5847" s="87"/>
      <x:c r="AB5847" s="87"/>
      <x:c r="AC5847" s="87" t="str">
        <x:v>VIS-EGKR-RUS-S26-TASK-961-P003</x:v>
      </x:c>
      <x:c r="AD5847" s="87" t="str">
        <x:v>VIS-EGKR-RUS-S26-ANSWERDOC-P002</x:v>
      </x:c>
      <x:c r="AE5847" s="87" t="str">
        <x:v>TASK; SECONDARY_ANSWER_SOURCE</x:v>
      </x:c>
      <x:c r="AF5847" s="87" t="str">
        <x:v>VIS-EGKR-RUS-S26-TASK-961-P003: 3; VIS-EGKR-RUS-S26-ANSWERDOC-P002: 2</x:v>
      </x:c>
      <x:c r="AG5847" s="87" t="str">
        <x:v>RESOLVED</x:v>
      </x:c>
      <x:c r="AH5847" s="87" t="str">
        <x:v>CROP_VERIFIED</x:v>
      </x:c>
      <x:c r="AI5847" s="30"/>
      <x:c r="AJ5847" s="87" t="str">
        <x:v>clean</x:v>
      </x:c>
      <x:c r="AK5847" s="87" t="str">
        <x:v>clean-v0.18</x:v>
      </x:c>
      <x:c r="AL5847" s="87" t="str">
        <x:v>statgrad_clean_continuation_v0_18(1).xlsx</x:v>
      </x:c>
      <x:c r="AM5847" s="87" t="str">
        <x:v>RUS_EGKR_961</x:v>
      </x:c>
      <x:c r="AN5847" s="87" t="n">
        <x:v>2</x:v>
      </x:c>
    </x:row>
    <x:row r="5848">
      <x:c r="A5848" s="87" t="n">
        <x:v>5847</x:v>
      </x:c>
      <x:c r="B5848" s="87" t="str">
        <x:v>EGKR-S26-RUS-961-02</x:v>
      </x:c>
      <x:c r="C5848" s="87" t="str">
        <x:v>ЕГКР</x:v>
      </x:c>
      <x:c r="D5848" s="87"/>
      <x:c r="E5848" s="87" t="str">
        <x:v>Весна 2026</x:v>
      </x:c>
      <x:c r="F5848" s="87" t="str">
        <x:v>24.03.2026</x:v>
      </x:c>
      <x:c r="G5848" s="87" t="str">
        <x:v>Русский язык</x:v>
      </x:c>
      <x:c r="H5848" s="87" t="n">
        <x:v>11</x:v>
      </x:c>
      <x:c r="I5848" s="87"/>
      <x:c r="J5848" s="87" t="str">
        <x:v>961</x:v>
      </x:c>
      <x:c r="K5848" s="87" t="n">
        <x:v>2</x:v>
      </x:c>
      <x:c r="L5848" s="87" t="str">
        <x:v>Лексическое значение</x:v>
      </x:c>
      <x:c r="M5848" s="30" t="str">
        <x:v>Задание 2 варианта 961: Лексическое значение. Полная формулировка сохранена на указанной визуальной странице.</x:v>
      </x:c>
      <x:c r="N5848" s="30" t="str">
        <x:v>245</x:v>
      </x:c>
      <x:c r="O5848" s="30" t="str">
        <x:v>Ответ зафиксирован в формате задания; полное условие и варианты ответа доступны по VIS_ID.</x:v>
      </x:c>
      <x:c r="P5848" s="30"/>
      <x:c r="Q5848" s="30" t="str">
        <x:v>Ответ восстановлен по исходному заданию и сверке: OGE777 — разбор варианта 961.</x:v>
      </x:c>
      <x:c r="R5848" s="30" t="str">
        <x:v>MISSING</x:v>
      </x:c>
      <x:c r="S5848" s="30"/>
      <x:c r="T5848" s="30" t="str">
        <x:v>OGE777 — разбор варианта 961</x:v>
      </x:c>
      <x:c r="U5848" s="30" t="str">
        <x:v>Во внутреннем ответнике позиция отсутствовала.</x:v>
      </x:c>
      <x:c r="V5848" s="87" t="str">
        <x:v>SOURCE_GAP_RECOVERED</x:v>
      </x:c>
      <x:c r="W5848" s="87"/>
      <x:c r="X5848" s="87" t="n">
        <x:v>3</x:v>
      </x:c>
      <x:c r="Y5848" s="87"/>
      <x:c r="Z5848" s="87"/>
      <x:c r="AA5848" s="87"/>
      <x:c r="AB5848" s="87"/>
      <x:c r="AC5848" s="87" t="str">
        <x:v>VIS-EGKR-RUS-S26-TASK-961-P003</x:v>
      </x:c>
      <x:c r="AD5848" s="87" t="str">
        <x:v>VIS-EGKR-RUS-S26-ANSWERDOC-P002</x:v>
      </x:c>
      <x:c r="AE5848" s="87" t="str">
        <x:v>TASK; SECONDARY_ANSWER_SOURCE</x:v>
      </x:c>
      <x:c r="AF5848" s="87" t="str">
        <x:v>VIS-EGKR-RUS-S26-TASK-961-P003: 3; VIS-EGKR-RUS-S26-ANSWERDOC-P002: 2</x:v>
      </x:c>
      <x:c r="AG5848" s="87" t="str">
        <x:v>RESOLVED</x:v>
      </x:c>
      <x:c r="AH5848" s="87" t="str">
        <x:v>CROP_VERIFIED</x:v>
      </x:c>
      <x:c r="AI5848" s="30"/>
      <x:c r="AJ5848" s="87" t="str">
        <x:v>clean</x:v>
      </x:c>
      <x:c r="AK5848" s="87" t="str">
        <x:v>clean-v0.18</x:v>
      </x:c>
      <x:c r="AL5848" s="87" t="str">
        <x:v>statgrad_clean_continuation_v0_18(1).xlsx</x:v>
      </x:c>
      <x:c r="AM5848" s="87" t="str">
        <x:v>RUS_EGKR_961</x:v>
      </x:c>
      <x:c r="AN5848" s="87" t="n">
        <x:v>3</x:v>
      </x:c>
    </x:row>
    <x:row r="5849">
      <x:c r="A5849" s="87" t="n">
        <x:v>5848</x:v>
      </x:c>
      <x:c r="B5849" s="87" t="str">
        <x:v>EGKR-S26-RUS-961-03</x:v>
      </x:c>
      <x:c r="C5849" s="87" t="str">
        <x:v>ЕГКР</x:v>
      </x:c>
      <x:c r="D5849" s="87"/>
      <x:c r="E5849" s="87" t="str">
        <x:v>Весна 2026</x:v>
      </x:c>
      <x:c r="F5849" s="87" t="str">
        <x:v>24.03.2026</x:v>
      </x:c>
      <x:c r="G5849" s="87" t="str">
        <x:v>Русский язык</x:v>
      </x:c>
      <x:c r="H5849" s="87" t="n">
        <x:v>11</x:v>
      </x:c>
      <x:c r="I5849" s="87"/>
      <x:c r="J5849" s="87" t="str">
        <x:v>961</x:v>
      </x:c>
      <x:c r="K5849" s="87" t="n">
        <x:v>3</x:v>
      </x:c>
      <x:c r="L5849" s="87" t="str">
        <x:v>Характеристики текста</x:v>
      </x:c>
      <x:c r="M5849" s="30" t="str">
        <x:v>Задание 3 варианта 961: Характеристики текста. Полная формулировка сохранена на указанной визуальной странице.</x:v>
      </x:c>
      <x:c r="N5849" s="30" t="str">
        <x:v>2345</x:v>
      </x:c>
      <x:c r="O5849" s="30" t="str">
        <x:v>Ответ зафиксирован в формате задания; полное условие и варианты ответа доступны по VIS_ID.</x:v>
      </x:c>
      <x:c r="P5849" s="30"/>
      <x:c r="Q5849" s="30" t="str">
        <x:v>Ответ восстановлен по исходному заданию и сверке: OGE777 — разбор варианта 961.</x:v>
      </x:c>
      <x:c r="R5849" s="30" t="str">
        <x:v>MISSING</x:v>
      </x:c>
      <x:c r="S5849" s="30"/>
      <x:c r="T5849" s="30" t="str">
        <x:v>OGE777 — разбор варианта 961</x:v>
      </x:c>
      <x:c r="U5849" s="30" t="str">
        <x:v>Во внутреннем ответнике позиция отсутствовала.</x:v>
      </x:c>
      <x:c r="V5849" s="87" t="str">
        <x:v>SOURCE_GAP_RECOVERED</x:v>
      </x:c>
      <x:c r="W5849" s="87"/>
      <x:c r="X5849" s="87" t="n">
        <x:v>3</x:v>
      </x:c>
      <x:c r="Y5849" s="87"/>
      <x:c r="Z5849" s="87"/>
      <x:c r="AA5849" s="87"/>
      <x:c r="AB5849" s="87"/>
      <x:c r="AC5849" s="87" t="str">
        <x:v>VIS-EGKR-RUS-S26-TASK-961-P003</x:v>
      </x:c>
      <x:c r="AD5849" s="87" t="str">
        <x:v>VIS-EGKR-RUS-S26-ANSWERDOC-P002</x:v>
      </x:c>
      <x:c r="AE5849" s="87" t="str">
        <x:v>TASK; SECONDARY_ANSWER_SOURCE</x:v>
      </x:c>
      <x:c r="AF5849" s="87" t="str">
        <x:v>VIS-EGKR-RUS-S26-TASK-961-P003: 3; VIS-EGKR-RUS-S26-ANSWERDOC-P002: 2</x:v>
      </x:c>
      <x:c r="AG5849" s="87" t="str">
        <x:v>RESOLVED</x:v>
      </x:c>
      <x:c r="AH5849" s="87" t="str">
        <x:v>CROP_VERIFIED</x:v>
      </x:c>
      <x:c r="AI5849" s="30"/>
      <x:c r="AJ5849" s="87" t="str">
        <x:v>clean</x:v>
      </x:c>
      <x:c r="AK5849" s="87" t="str">
        <x:v>clean-v0.18</x:v>
      </x:c>
      <x:c r="AL5849" s="87" t="str">
        <x:v>statgrad_clean_continuation_v0_18(1).xlsx</x:v>
      </x:c>
      <x:c r="AM5849" s="87" t="str">
        <x:v>RUS_EGKR_961</x:v>
      </x:c>
      <x:c r="AN5849" s="87" t="n">
        <x:v>4</x:v>
      </x:c>
    </x:row>
    <x:row r="5850">
      <x:c r="A5850" s="87" t="n">
        <x:v>5849</x:v>
      </x:c>
      <x:c r="B5850" s="87" t="str">
        <x:v>EGKR-S26-RUS-961-04</x:v>
      </x:c>
      <x:c r="C5850" s="87" t="str">
        <x:v>ЕГКР</x:v>
      </x:c>
      <x:c r="D5850" s="87"/>
      <x:c r="E5850" s="87" t="str">
        <x:v>Весна 2026</x:v>
      </x:c>
      <x:c r="F5850" s="87" t="str">
        <x:v>24.03.2026</x:v>
      </x:c>
      <x:c r="G5850" s="87" t="str">
        <x:v>Русский язык</x:v>
      </x:c>
      <x:c r="H5850" s="87" t="n">
        <x:v>11</x:v>
      </x:c>
      <x:c r="I5850" s="87"/>
      <x:c r="J5850" s="87" t="str">
        <x:v>961</x:v>
      </x:c>
      <x:c r="K5850" s="87" t="n">
        <x:v>4</x:v>
      </x:c>
      <x:c r="L5850" s="87" t="str">
        <x:v>Орфоэпическая норма</x:v>
      </x:c>
      <x:c r="M5850" s="30" t="str">
        <x:v>Задание 4 варианта 961: Орфоэпическая норма. Полная формулировка сохранена на указанной визуальной странице.</x:v>
      </x:c>
      <x:c r="N5850" s="30" t="str">
        <x:v>235</x:v>
      </x:c>
      <x:c r="O5850" s="30" t="str">
        <x:v>Ответ зафиксирован в формате задания; полное условие и варианты ответа доступны по VIS_ID.</x:v>
      </x:c>
      <x:c r="P5850" s="30"/>
      <x:c r="Q5850" s="30" t="str">
        <x:v>Ответ независимо сверён по исходному заданию и разбору: OGE777 — разбор варианта 961.</x:v>
      </x:c>
      <x:c r="R5850" s="30" t="str">
        <x:v>345</x:v>
      </x:c>
      <x:c r="S5850" s="30"/>
      <x:c r="T5850" s="30" t="str">
        <x:v>OGE777 — разбор варианта 961</x:v>
      </x:c>
      <x:c r="U5850" s="30" t="str">
        <x:v>Ответник: 345; канонический ответ: 235.</x:v>
      </x:c>
      <x:c r="V5850" s="87" t="str">
        <x:v>KEY_MISMATCH</x:v>
      </x:c>
      <x:c r="W5850" s="87"/>
      <x:c r="X5850" s="87" t="n">
        <x:v>4</x:v>
      </x:c>
      <x:c r="Y5850" s="87"/>
      <x:c r="Z5850" s="87"/>
      <x:c r="AA5850" s="87"/>
      <x:c r="AB5850" s="87"/>
      <x:c r="AC5850" s="87" t="str">
        <x:v>VIS-EGKR-RUS-S26-TASK-961-P004</x:v>
      </x:c>
      <x:c r="AD5850" s="87" t="str">
        <x:v>VIS-EGKR-RUS-S26-ANSWERDOC-P002</x:v>
      </x:c>
      <x:c r="AE5850" s="87" t="str">
        <x:v>TASK; SECONDARY_ANSWER_SOURCE</x:v>
      </x:c>
      <x:c r="AF5850" s="87" t="str">
        <x:v>VIS-EGKR-RUS-S26-TASK-961-P004: 4; VIS-EGKR-RUS-S26-ANSWERDOC-P002: 2</x:v>
      </x:c>
      <x:c r="AG5850" s="87" t="str">
        <x:v>RESOLVED</x:v>
      </x:c>
      <x:c r="AH5850" s="87" t="str">
        <x:v>CROP_VERIFIED</x:v>
      </x:c>
      <x:c r="AI5850" s="30"/>
      <x:c r="AJ5850" s="87" t="str">
        <x:v>clean</x:v>
      </x:c>
      <x:c r="AK5850" s="87" t="str">
        <x:v>clean-v0.18</x:v>
      </x:c>
      <x:c r="AL5850" s="87" t="str">
        <x:v>statgrad_clean_continuation_v0_18(1).xlsx</x:v>
      </x:c>
      <x:c r="AM5850" s="87" t="str">
        <x:v>RUS_EGKR_961</x:v>
      </x:c>
      <x:c r="AN5850" s="87" t="n">
        <x:v>5</x:v>
      </x:c>
    </x:row>
    <x:row r="5851">
      <x:c r="A5851" s="87" t="n">
        <x:v>5850</x:v>
      </x:c>
      <x:c r="B5851" s="87" t="str">
        <x:v>EGKR-S26-RUS-961-05</x:v>
      </x:c>
      <x:c r="C5851" s="87" t="str">
        <x:v>ЕГКР</x:v>
      </x:c>
      <x:c r="D5851" s="87"/>
      <x:c r="E5851" s="87" t="str">
        <x:v>Весна 2026</x:v>
      </x:c>
      <x:c r="F5851" s="87" t="str">
        <x:v>24.03.2026</x:v>
      </x:c>
      <x:c r="G5851" s="87" t="str">
        <x:v>Русский язык</x:v>
      </x:c>
      <x:c r="H5851" s="87" t="n">
        <x:v>11</x:v>
      </x:c>
      <x:c r="I5851" s="87"/>
      <x:c r="J5851" s="87" t="str">
        <x:v>961</x:v>
      </x:c>
      <x:c r="K5851" s="87" t="n">
        <x:v>5</x:v>
      </x:c>
      <x:c r="L5851" s="87" t="str">
        <x:v>Паронимы</x:v>
      </x:c>
      <x:c r="M5851" s="30" t="str">
        <x:v>Задание 5 варианта 961: Паронимы. Полная формулировка сохранена на указанной визуальной странице.</x:v>
      </x:c>
      <x:c r="N5851" s="30" t="str">
        <x:v>корневой</x:v>
      </x:c>
      <x:c r="O5851" s="30" t="str">
        <x:v>Ответ зафиксирован в формате задания; полное условие и варианты ответа доступны по VIS_ID.</x:v>
      </x:c>
      <x:c r="P5851" s="30"/>
      <x:c r="Q5851" s="30" t="str">
        <x:v>Ответ независимо сверён по исходному заданию и разбору: OGE777 — разбор варианта 961.</x:v>
      </x:c>
      <x:c r="R5851" s="30" t="str">
        <x:v>землистого</x:v>
      </x:c>
      <x:c r="S5851" s="30"/>
      <x:c r="T5851" s="30" t="str">
        <x:v>OGE777 — разбор варианта 961</x:v>
      </x:c>
      <x:c r="U5851" s="30" t="str">
        <x:v>Ответник: землистого; канонический ответ: корневой.</x:v>
      </x:c>
      <x:c r="V5851" s="87" t="str">
        <x:v>KEY_MISMATCH</x:v>
      </x:c>
      <x:c r="W5851" s="87"/>
      <x:c r="X5851" s="87" t="n">
        <x:v>4</x:v>
      </x:c>
      <x:c r="Y5851" s="87"/>
      <x:c r="Z5851" s="87"/>
      <x:c r="AA5851" s="87"/>
      <x:c r="AB5851" s="87"/>
      <x:c r="AC5851" s="87" t="str">
        <x:v>VIS-EGKR-RUS-S26-TASK-961-P004</x:v>
      </x:c>
      <x:c r="AD5851" s="87" t="str">
        <x:v>VIS-EGKR-RUS-S26-ANSWERDOC-P002</x:v>
      </x:c>
      <x:c r="AE5851" s="87" t="str">
        <x:v>TASK; SECONDARY_ANSWER_SOURCE</x:v>
      </x:c>
      <x:c r="AF5851" s="87" t="str">
        <x:v>VIS-EGKR-RUS-S26-TASK-961-P004: 4; VIS-EGKR-RUS-S26-ANSWERDOC-P002: 2</x:v>
      </x:c>
      <x:c r="AG5851" s="87" t="str">
        <x:v>RESOLVED</x:v>
      </x:c>
      <x:c r="AH5851" s="87" t="str">
        <x:v>CROP_VERIFIED</x:v>
      </x:c>
      <x:c r="AI5851" s="30"/>
      <x:c r="AJ5851" s="87" t="str">
        <x:v>clean</x:v>
      </x:c>
      <x:c r="AK5851" s="87" t="str">
        <x:v>clean-v0.18</x:v>
      </x:c>
      <x:c r="AL5851" s="87" t="str">
        <x:v>statgrad_clean_continuation_v0_18(1).xlsx</x:v>
      </x:c>
      <x:c r="AM5851" s="87" t="str">
        <x:v>RUS_EGKR_961</x:v>
      </x:c>
      <x:c r="AN5851" s="87" t="n">
        <x:v>6</x:v>
      </x:c>
    </x:row>
    <x:row r="5852">
      <x:c r="A5852" s="87" t="n">
        <x:v>5851</x:v>
      </x:c>
      <x:c r="B5852" s="87" t="str">
        <x:v>EGKR-S26-RUS-961-06</x:v>
      </x:c>
      <x:c r="C5852" s="87" t="str">
        <x:v>ЕГКР</x:v>
      </x:c>
      <x:c r="D5852" s="87"/>
      <x:c r="E5852" s="87" t="str">
        <x:v>Весна 2026</x:v>
      </x:c>
      <x:c r="F5852" s="87" t="str">
        <x:v>24.03.2026</x:v>
      </x:c>
      <x:c r="G5852" s="87" t="str">
        <x:v>Русский язык</x:v>
      </x:c>
      <x:c r="H5852" s="87" t="n">
        <x:v>11</x:v>
      </x:c>
      <x:c r="I5852" s="87"/>
      <x:c r="J5852" s="87" t="str">
        <x:v>961</x:v>
      </x:c>
      <x:c r="K5852" s="87" t="n">
        <x:v>6</x:v>
      </x:c>
      <x:c r="L5852" s="87" t="str">
        <x:v>Лексическая норма</x:v>
      </x:c>
      <x:c r="M5852" s="30" t="str">
        <x:v>Задание 6 варианта 961: Лексическая норма. Полная формулировка сохранена на указанной визуальной странице.</x:v>
      </x:c>
      <x:c r="N5852" s="30" t="str">
        <x:v>вызвал</x:v>
      </x:c>
      <x:c r="O5852" s="30" t="str">
        <x:v>Ответ зафиксирован в формате задания; полное условие и варианты ответа доступны по VIS_ID.</x:v>
      </x:c>
      <x:c r="P5852" s="30"/>
      <x:c r="Q5852" s="30" t="str">
        <x:v>Ответ восстановлен по исходному заданию и сверке: OGE777 — разбор варианта 961.</x:v>
      </x:c>
      <x:c r="R5852" s="30" t="str">
        <x:v>MISSING</x:v>
      </x:c>
      <x:c r="S5852" s="30"/>
      <x:c r="T5852" s="30" t="str">
        <x:v>OGE777 — разбор варианта 961</x:v>
      </x:c>
      <x:c r="U5852" s="30" t="str">
        <x:v>Во внутреннем ответнике позиция отсутствовала.</x:v>
      </x:c>
      <x:c r="V5852" s="87" t="str">
        <x:v>SOURCE_GAP_RECOVERED</x:v>
      </x:c>
      <x:c r="W5852" s="87"/>
      <x:c r="X5852" s="87" t="n">
        <x:v>4</x:v>
      </x:c>
      <x:c r="Y5852" s="87"/>
      <x:c r="Z5852" s="87"/>
      <x:c r="AA5852" s="87"/>
      <x:c r="AB5852" s="87"/>
      <x:c r="AC5852" s="87" t="str">
        <x:v>VIS-EGKR-RUS-S26-TASK-961-P004</x:v>
      </x:c>
      <x:c r="AD5852" s="87" t="str">
        <x:v>VIS-EGKR-RUS-S26-ANSWERDOC-P002</x:v>
      </x:c>
      <x:c r="AE5852" s="87" t="str">
        <x:v>TASK; SECONDARY_ANSWER_SOURCE</x:v>
      </x:c>
      <x:c r="AF5852" s="87" t="str">
        <x:v>VIS-EGKR-RUS-S26-TASK-961-P004: 4; VIS-EGKR-RUS-S26-ANSWERDOC-P002: 2</x:v>
      </x:c>
      <x:c r="AG5852" s="87" t="str">
        <x:v>RESOLVED</x:v>
      </x:c>
      <x:c r="AH5852" s="87" t="str">
        <x:v>CROP_VERIFIED</x:v>
      </x:c>
      <x:c r="AI5852" s="30"/>
      <x:c r="AJ5852" s="87" t="str">
        <x:v>clean</x:v>
      </x:c>
      <x:c r="AK5852" s="87" t="str">
        <x:v>clean-v0.18</x:v>
      </x:c>
      <x:c r="AL5852" s="87" t="str">
        <x:v>statgrad_clean_continuation_v0_18(1).xlsx</x:v>
      </x:c>
      <x:c r="AM5852" s="87" t="str">
        <x:v>RUS_EGKR_961</x:v>
      </x:c>
      <x:c r="AN5852" s="87" t="n">
        <x:v>7</x:v>
      </x:c>
    </x:row>
    <x:row r="5853">
      <x:c r="A5853" s="87" t="n">
        <x:v>5852</x:v>
      </x:c>
      <x:c r="B5853" s="87" t="str">
        <x:v>EGKR-S26-RUS-961-07</x:v>
      </x:c>
      <x:c r="C5853" s="87" t="str">
        <x:v>ЕГКР</x:v>
      </x:c>
      <x:c r="D5853" s="87"/>
      <x:c r="E5853" s="87" t="str">
        <x:v>Весна 2026</x:v>
      </x:c>
      <x:c r="F5853" s="87" t="str">
        <x:v>24.03.2026</x:v>
      </x:c>
      <x:c r="G5853" s="87" t="str">
        <x:v>Русский язык</x:v>
      </x:c>
      <x:c r="H5853" s="87" t="n">
        <x:v>11</x:v>
      </x:c>
      <x:c r="I5853" s="87"/>
      <x:c r="J5853" s="87" t="str">
        <x:v>961</x:v>
      </x:c>
      <x:c r="K5853" s="87" t="n">
        <x:v>7</x:v>
      </x:c>
      <x:c r="L5853" s="87" t="str">
        <x:v>Морфологическая норма</x:v>
      </x:c>
      <x:c r="M5853" s="30" t="str">
        <x:v>Задание 7 варианта 961: Морфологическая норма. Полная формулировка сохранена на указанной визуальной странице.</x:v>
      </x:c>
      <x:c r="N5853" s="30" t="str">
        <x:v>восьмисот</x:v>
      </x:c>
      <x:c r="O5853" s="30" t="str">
        <x:v>Ответ зафиксирован в формате задания; полное условие и варианты ответа доступны по VIS_ID.</x:v>
      </x:c>
      <x:c r="P5853" s="30"/>
      <x:c r="Q5853" s="30" t="str">
        <x:v>Ответ независимо сверён по исходному заданию и разбору: OGE777 — разбор варианта 961.</x:v>
      </x:c>
      <x:c r="R5853" s="30" t="str">
        <x:v>поскользнуться</x:v>
      </x:c>
      <x:c r="S5853" s="30"/>
      <x:c r="T5853" s="30" t="str">
        <x:v>OGE777 — разбор варианта 961</x:v>
      </x:c>
      <x:c r="U5853" s="30" t="str">
        <x:v>Ответник: поскользнуться; канонический ответ: восьмисот.</x:v>
      </x:c>
      <x:c r="V5853" s="87" t="str">
        <x:v>KEY_MISMATCH</x:v>
      </x:c>
      <x:c r="W5853" s="87"/>
      <x:c r="X5853" s="87" t="n">
        <x:v>4</x:v>
      </x:c>
      <x:c r="Y5853" s="87"/>
      <x:c r="Z5853" s="87"/>
      <x:c r="AA5853" s="87"/>
      <x:c r="AB5853" s="87"/>
      <x:c r="AC5853" s="87" t="str">
        <x:v>VIS-EGKR-RUS-S26-TASK-961-P004</x:v>
      </x:c>
      <x:c r="AD5853" s="87" t="str">
        <x:v>VIS-EGKR-RUS-S26-ANSWERDOC-P002</x:v>
      </x:c>
      <x:c r="AE5853" s="87" t="str">
        <x:v>TASK; SECONDARY_ANSWER_SOURCE</x:v>
      </x:c>
      <x:c r="AF5853" s="87" t="str">
        <x:v>VIS-EGKR-RUS-S26-TASK-961-P004: 4; VIS-EGKR-RUS-S26-ANSWERDOC-P002: 2</x:v>
      </x:c>
      <x:c r="AG5853" s="87" t="str">
        <x:v>RESOLVED</x:v>
      </x:c>
      <x:c r="AH5853" s="87" t="str">
        <x:v>CROP_VERIFIED</x:v>
      </x:c>
      <x:c r="AI5853" s="30"/>
      <x:c r="AJ5853" s="87" t="str">
        <x:v>clean</x:v>
      </x:c>
      <x:c r="AK5853" s="87" t="str">
        <x:v>clean-v0.18</x:v>
      </x:c>
      <x:c r="AL5853" s="87" t="str">
        <x:v>statgrad_clean_continuation_v0_18(1).xlsx</x:v>
      </x:c>
      <x:c r="AM5853" s="87" t="str">
        <x:v>RUS_EGKR_961</x:v>
      </x:c>
      <x:c r="AN5853" s="87" t="n">
        <x:v>8</x:v>
      </x:c>
    </x:row>
    <x:row r="5854">
      <x:c r="A5854" s="87" t="n">
        <x:v>5853</x:v>
      </x:c>
      <x:c r="B5854" s="87" t="str">
        <x:v>EGKR-S26-RUS-961-08</x:v>
      </x:c>
      <x:c r="C5854" s="87" t="str">
        <x:v>ЕГКР</x:v>
      </x:c>
      <x:c r="D5854" s="87"/>
      <x:c r="E5854" s="87" t="str">
        <x:v>Весна 2026</x:v>
      </x:c>
      <x:c r="F5854" s="87" t="str">
        <x:v>24.03.2026</x:v>
      </x:c>
      <x:c r="G5854" s="87" t="str">
        <x:v>Русский язык</x:v>
      </x:c>
      <x:c r="H5854" s="87" t="n">
        <x:v>11</x:v>
      </x:c>
      <x:c r="I5854" s="87"/>
      <x:c r="J5854" s="87" t="str">
        <x:v>961</x:v>
      </x:c>
      <x:c r="K5854" s="87" t="n">
        <x:v>8</x:v>
      </x:c>
      <x:c r="L5854" s="87" t="str">
        <x:v>Синтаксические нормы</x:v>
      </x:c>
      <x:c r="M5854" s="30" t="str">
        <x:v>Задание 8 варианта 961: Синтаксические нормы. Полная формулировка сохранена на указанной визуальной странице.</x:v>
      </x:c>
      <x:c r="N5854" s="30" t="str">
        <x:v>94257</x:v>
      </x:c>
      <x:c r="O5854" s="30" t="str">
        <x:v>Ответ зафиксирован в формате задания; полное условие и варианты ответа доступны по VIS_ID.</x:v>
      </x:c>
      <x:c r="P5854" s="30"/>
      <x:c r="Q5854" s="30" t="str">
        <x:v>Ответ восстановлен по исходному заданию и сверке: OGE777 — разбор варианта 961.</x:v>
      </x:c>
      <x:c r="R5854" s="30" t="str">
        <x:v>MISSING</x:v>
      </x:c>
      <x:c r="S5854" s="30"/>
      <x:c r="T5854" s="30" t="str">
        <x:v>OGE777 — разбор варианта 961</x:v>
      </x:c>
      <x:c r="U5854" s="30" t="str">
        <x:v>Во внутреннем ответнике позиция отсутствовала.</x:v>
      </x:c>
      <x:c r="V5854" s="87" t="str">
        <x:v>SOURCE_GAP_RECOVERED</x:v>
      </x:c>
      <x:c r="W5854" s="87"/>
      <x:c r="X5854" s="87" t="n">
        <x:v>5</x:v>
      </x:c>
      <x:c r="Y5854" s="87"/>
      <x:c r="Z5854" s="87"/>
      <x:c r="AA5854" s="87"/>
      <x:c r="AB5854" s="87"/>
      <x:c r="AC5854" s="87" t="str">
        <x:v>VIS-EGKR-RUS-S26-TASK-961-P005</x:v>
      </x:c>
      <x:c r="AD5854" s="87" t="str">
        <x:v>VIS-EGKR-RUS-S26-ANSWERDOC-P002</x:v>
      </x:c>
      <x:c r="AE5854" s="87" t="str">
        <x:v>TASK; SECONDARY_ANSWER_SOURCE</x:v>
      </x:c>
      <x:c r="AF5854" s="87" t="str">
        <x:v>VIS-EGKR-RUS-S26-TASK-961-P005: 5; VIS-EGKR-RUS-S26-ANSWERDOC-P002: 2</x:v>
      </x:c>
      <x:c r="AG5854" s="87" t="str">
        <x:v>RESOLVED</x:v>
      </x:c>
      <x:c r="AH5854" s="87" t="str">
        <x:v>CROP_VERIFIED</x:v>
      </x:c>
      <x:c r="AI5854" s="30"/>
      <x:c r="AJ5854" s="87" t="str">
        <x:v>clean</x:v>
      </x:c>
      <x:c r="AK5854" s="87" t="str">
        <x:v>clean-v0.18</x:v>
      </x:c>
      <x:c r="AL5854" s="87" t="str">
        <x:v>statgrad_clean_continuation_v0_18(1).xlsx</x:v>
      </x:c>
      <x:c r="AM5854" s="87" t="str">
        <x:v>RUS_EGKR_961</x:v>
      </x:c>
      <x:c r="AN5854" s="87" t="n">
        <x:v>9</x:v>
      </x:c>
    </x:row>
    <x:row r="5855">
      <x:c r="A5855" s="87" t="n">
        <x:v>5854</x:v>
      </x:c>
      <x:c r="B5855" s="87" t="str">
        <x:v>EGKR-S26-RUS-961-09</x:v>
      </x:c>
      <x:c r="C5855" s="87" t="str">
        <x:v>ЕГКР</x:v>
      </x:c>
      <x:c r="D5855" s="87"/>
      <x:c r="E5855" s="87" t="str">
        <x:v>Весна 2026</x:v>
      </x:c>
      <x:c r="F5855" s="87" t="str">
        <x:v>24.03.2026</x:v>
      </x:c>
      <x:c r="G5855" s="87" t="str">
        <x:v>Русский язык</x:v>
      </x:c>
      <x:c r="H5855" s="87" t="n">
        <x:v>11</x:v>
      </x:c>
      <x:c r="I5855" s="87"/>
      <x:c r="J5855" s="87" t="str">
        <x:v>961</x:v>
      </x:c>
      <x:c r="K5855" s="87" t="n">
        <x:v>9</x:v>
      </x:c>
      <x:c r="L5855" s="87" t="str">
        <x:v>Правописание корней</x:v>
      </x:c>
      <x:c r="M5855" s="30" t="str">
        <x:v>Задание 9 варианта 961: Правописание корней. Полная формулировка сохранена на указанной визуальной странице.</x:v>
      </x:c>
      <x:c r="N5855" s="30" t="str">
        <x:v>135</x:v>
      </x:c>
      <x:c r="O5855" s="30" t="str">
        <x:v>Ответ зафиксирован в формате задания; полное условие и варианты ответа доступны по VIS_ID.</x:v>
      </x:c>
      <x:c r="P5855" s="30"/>
      <x:c r="Q5855" s="30" t="str">
        <x:v>Ответ независимо сверён по исходному заданию и разбору: OGE777 — разбор варианта 961.</x:v>
      </x:c>
      <x:c r="R5855" s="30" t="str">
        <x:v>34</x:v>
      </x:c>
      <x:c r="S5855" s="30"/>
      <x:c r="T5855" s="30" t="str">
        <x:v>OGE777 — разбор варианта 961</x:v>
      </x:c>
      <x:c r="U5855" s="30" t="str">
        <x:v>Ответник: 34; канонический ответ: 135.</x:v>
      </x:c>
      <x:c r="V5855" s="87" t="str">
        <x:v>KEY_MISMATCH</x:v>
      </x:c>
      <x:c r="W5855" s="87"/>
      <x:c r="X5855" s="87" t="n">
        <x:v>6</x:v>
      </x:c>
      <x:c r="Y5855" s="87"/>
      <x:c r="Z5855" s="87"/>
      <x:c r="AA5855" s="87"/>
      <x:c r="AB5855" s="87"/>
      <x:c r="AC5855" s="87" t="str">
        <x:v>VIS-EGKR-RUS-S26-TASK-961-P006</x:v>
      </x:c>
      <x:c r="AD5855" s="87" t="str">
        <x:v>VIS-EGKR-RUS-S26-ANSWERDOC-P002</x:v>
      </x:c>
      <x:c r="AE5855" s="87" t="str">
        <x:v>TASK; SECONDARY_ANSWER_SOURCE</x:v>
      </x:c>
      <x:c r="AF5855" s="87" t="str">
        <x:v>VIS-EGKR-RUS-S26-TASK-961-P006: 6; VIS-EGKR-RUS-S26-ANSWERDOC-P002: 2</x:v>
      </x:c>
      <x:c r="AG5855" s="87" t="str">
        <x:v>RESOLVED</x:v>
      </x:c>
      <x:c r="AH5855" s="87" t="str">
        <x:v>CROP_VERIFIED</x:v>
      </x:c>
      <x:c r="AI5855" s="30"/>
      <x:c r="AJ5855" s="87" t="str">
        <x:v>clean</x:v>
      </x:c>
      <x:c r="AK5855" s="87" t="str">
        <x:v>clean-v0.18</x:v>
      </x:c>
      <x:c r="AL5855" s="87" t="str">
        <x:v>statgrad_clean_continuation_v0_18(1).xlsx</x:v>
      </x:c>
      <x:c r="AM5855" s="87" t="str">
        <x:v>RUS_EGKR_961</x:v>
      </x:c>
      <x:c r="AN5855" s="87" t="n">
        <x:v>10</x:v>
      </x:c>
    </x:row>
    <x:row r="5856">
      <x:c r="A5856" s="87" t="n">
        <x:v>5855</x:v>
      </x:c>
      <x:c r="B5856" s="87" t="str">
        <x:v>EGKR-S26-RUS-961-10</x:v>
      </x:c>
      <x:c r="C5856" s="87" t="str">
        <x:v>ЕГКР</x:v>
      </x:c>
      <x:c r="D5856" s="87"/>
      <x:c r="E5856" s="87" t="str">
        <x:v>Весна 2026</x:v>
      </x:c>
      <x:c r="F5856" s="87" t="str">
        <x:v>24.03.2026</x:v>
      </x:c>
      <x:c r="G5856" s="87" t="str">
        <x:v>Русский язык</x:v>
      </x:c>
      <x:c r="H5856" s="87" t="n">
        <x:v>11</x:v>
      </x:c>
      <x:c r="I5856" s="87"/>
      <x:c r="J5856" s="87" t="str">
        <x:v>961</x:v>
      </x:c>
      <x:c r="K5856" s="87" t="n">
        <x:v>10</x:v>
      </x:c>
      <x:c r="L5856" s="87" t="str">
        <x:v>Правописание приставок</x:v>
      </x:c>
      <x:c r="M5856" s="30" t="str">
        <x:v>Задание 10 варианта 961: Правописание приставок. Полная формулировка сохранена на указанной визуальной странице.</x:v>
      </x:c>
      <x:c r="N5856" s="30" t="str">
        <x:v>245</x:v>
      </x:c>
      <x:c r="O5856" s="30" t="str">
        <x:v>Ответ зафиксирован в формате задания; полное условие и варианты ответа доступны по VIS_ID.</x:v>
      </x:c>
      <x:c r="P5856" s="30"/>
      <x:c r="Q5856" s="30" t="str">
        <x:v>Ответ независимо сверён по исходному заданию и разбору: OGE777 — разбор варианта 961.</x:v>
      </x:c>
      <x:c r="R5856" s="30" t="str">
        <x:v>14</x:v>
      </x:c>
      <x:c r="S5856" s="30"/>
      <x:c r="T5856" s="30" t="str">
        <x:v>OGE777 — разбор варианта 961</x:v>
      </x:c>
      <x:c r="U5856" s="30" t="str">
        <x:v>Ответник: 14; канонический ответ: 245.</x:v>
      </x:c>
      <x:c r="V5856" s="87" t="str">
        <x:v>KEY_MISMATCH</x:v>
      </x:c>
      <x:c r="W5856" s="87"/>
      <x:c r="X5856" s="87" t="n">
        <x:v>6</x:v>
      </x:c>
      <x:c r="Y5856" s="87"/>
      <x:c r="Z5856" s="87"/>
      <x:c r="AA5856" s="87"/>
      <x:c r="AB5856" s="87"/>
      <x:c r="AC5856" s="87" t="str">
        <x:v>VIS-EGKR-RUS-S26-TASK-961-P006</x:v>
      </x:c>
      <x:c r="AD5856" s="87" t="str">
        <x:v>VIS-EGKR-RUS-S26-ANSWERDOC-P002</x:v>
      </x:c>
      <x:c r="AE5856" s="87" t="str">
        <x:v>TASK; SECONDARY_ANSWER_SOURCE</x:v>
      </x:c>
      <x:c r="AF5856" s="87" t="str">
        <x:v>VIS-EGKR-RUS-S26-TASK-961-P006: 6; VIS-EGKR-RUS-S26-ANSWERDOC-P002: 2</x:v>
      </x:c>
      <x:c r="AG5856" s="87" t="str">
        <x:v>RESOLVED</x:v>
      </x:c>
      <x:c r="AH5856" s="87" t="str">
        <x:v>CROP_VERIFIED</x:v>
      </x:c>
      <x:c r="AI5856" s="30"/>
      <x:c r="AJ5856" s="87" t="str">
        <x:v>clean</x:v>
      </x:c>
      <x:c r="AK5856" s="87" t="str">
        <x:v>clean-v0.18</x:v>
      </x:c>
      <x:c r="AL5856" s="87" t="str">
        <x:v>statgrad_clean_continuation_v0_18(1).xlsx</x:v>
      </x:c>
      <x:c r="AM5856" s="87" t="str">
        <x:v>RUS_EGKR_961</x:v>
      </x:c>
      <x:c r="AN5856" s="87" t="n">
        <x:v>11</x:v>
      </x:c>
    </x:row>
    <x:row r="5857">
      <x:c r="A5857" s="87" t="n">
        <x:v>5856</x:v>
      </x:c>
      <x:c r="B5857" s="87" t="str">
        <x:v>EGKR-S26-RUS-961-11</x:v>
      </x:c>
      <x:c r="C5857" s="87" t="str">
        <x:v>ЕГКР</x:v>
      </x:c>
      <x:c r="D5857" s="87"/>
      <x:c r="E5857" s="87" t="str">
        <x:v>Весна 2026</x:v>
      </x:c>
      <x:c r="F5857" s="87" t="str">
        <x:v>24.03.2026</x:v>
      </x:c>
      <x:c r="G5857" s="87" t="str">
        <x:v>Русский язык</x:v>
      </x:c>
      <x:c r="H5857" s="87" t="n">
        <x:v>11</x:v>
      </x:c>
      <x:c r="I5857" s="87"/>
      <x:c r="J5857" s="87" t="str">
        <x:v>961</x:v>
      </x:c>
      <x:c r="K5857" s="87" t="n">
        <x:v>11</x:v>
      </x:c>
      <x:c r="L5857" s="87" t="str">
        <x:v>Правописание суффиксов</x:v>
      </x:c>
      <x:c r="M5857" s="30" t="str">
        <x:v>Задание 11 варианта 961: Правописание суффиксов. Полная формулировка сохранена на указанной визуальной странице.</x:v>
      </x:c>
      <x:c r="N5857" s="30" t="str">
        <x:v>14</x:v>
      </x:c>
      <x:c r="O5857" s="30" t="str">
        <x:v>Ответ зафиксирован в формате задания; полное условие и варианты ответа доступны по VIS_ID.</x:v>
      </x:c>
      <x:c r="P5857" s="30"/>
      <x:c r="Q5857" s="30" t="str">
        <x:v>Ответ независимо сверён по исходному заданию и разбору: OGE777 — разбор варианта 961.</x:v>
      </x:c>
      <x:c r="R5857" s="30" t="str">
        <x:v>145</x:v>
      </x:c>
      <x:c r="S5857" s="30"/>
      <x:c r="T5857" s="30" t="str">
        <x:v>OGE777 — разбор варианта 961</x:v>
      </x:c>
      <x:c r="U5857" s="30" t="str">
        <x:v>Ответник: 145; канонический ответ: 14.</x:v>
      </x:c>
      <x:c r="V5857" s="87" t="str">
        <x:v>KEY_MISMATCH</x:v>
      </x:c>
      <x:c r="W5857" s="87"/>
      <x:c r="X5857" s="87" t="n">
        <x:v>6</x:v>
      </x:c>
      <x:c r="Y5857" s="87"/>
      <x:c r="Z5857" s="87"/>
      <x:c r="AA5857" s="87"/>
      <x:c r="AB5857" s="87"/>
      <x:c r="AC5857" s="87" t="str">
        <x:v>VIS-EGKR-RUS-S26-TASK-961-P006</x:v>
      </x:c>
      <x:c r="AD5857" s="87" t="str">
        <x:v>VIS-EGKR-RUS-S26-ANSWERDOC-P002</x:v>
      </x:c>
      <x:c r="AE5857" s="87" t="str">
        <x:v>TASK; SECONDARY_ANSWER_SOURCE</x:v>
      </x:c>
      <x:c r="AF5857" s="87" t="str">
        <x:v>VIS-EGKR-RUS-S26-TASK-961-P006: 6; VIS-EGKR-RUS-S26-ANSWERDOC-P002: 2</x:v>
      </x:c>
      <x:c r="AG5857" s="87" t="str">
        <x:v>RESOLVED</x:v>
      </x:c>
      <x:c r="AH5857" s="87" t="str">
        <x:v>CROP_VERIFIED</x:v>
      </x:c>
      <x:c r="AI5857" s="30"/>
      <x:c r="AJ5857" s="87" t="str">
        <x:v>clean</x:v>
      </x:c>
      <x:c r="AK5857" s="87" t="str">
        <x:v>clean-v0.18</x:v>
      </x:c>
      <x:c r="AL5857" s="87" t="str">
        <x:v>statgrad_clean_continuation_v0_18(1).xlsx</x:v>
      </x:c>
      <x:c r="AM5857" s="87" t="str">
        <x:v>RUS_EGKR_961</x:v>
      </x:c>
      <x:c r="AN5857" s="87" t="n">
        <x:v>12</x:v>
      </x:c>
    </x:row>
    <x:row r="5858">
      <x:c r="A5858" s="87" t="n">
        <x:v>5857</x:v>
      </x:c>
      <x:c r="B5858" s="87" t="str">
        <x:v>EGKR-S26-RUS-961-12</x:v>
      </x:c>
      <x:c r="C5858" s="87" t="str">
        <x:v>ЕГКР</x:v>
      </x:c>
      <x:c r="D5858" s="87"/>
      <x:c r="E5858" s="87" t="str">
        <x:v>Весна 2026</x:v>
      </x:c>
      <x:c r="F5858" s="87" t="str">
        <x:v>24.03.2026</x:v>
      </x:c>
      <x:c r="G5858" s="87" t="str">
        <x:v>Русский язык</x:v>
      </x:c>
      <x:c r="H5858" s="87" t="n">
        <x:v>11</x:v>
      </x:c>
      <x:c r="I5858" s="87"/>
      <x:c r="J5858" s="87" t="str">
        <x:v>961</x:v>
      </x:c>
      <x:c r="K5858" s="87" t="n">
        <x:v>12</x:v>
      </x:c>
      <x:c r="L5858" s="87" t="str">
        <x:v>Глаголы и причастия</x:v>
      </x:c>
      <x:c r="M5858" s="30" t="str">
        <x:v>Задание 12 варианта 961: Глаголы и причастия. Полная формулировка сохранена на указанной визуальной странице.</x:v>
      </x:c>
      <x:c r="N5858" s="30" t="str">
        <x:v>12</x:v>
      </x:c>
      <x:c r="O5858" s="30" t="str">
        <x:v>Ответ зафиксирован в формате задания; полное условие и варианты ответа доступны по VIS_ID.</x:v>
      </x:c>
      <x:c r="P5858" s="30"/>
      <x:c r="Q5858" s="30" t="str">
        <x:v>Ответ совпал с исходным ответником и независимой сверкой: OGE777 — разбор варианта 961.</x:v>
      </x:c>
      <x:c r="R5858" s="30" t="str">
        <x:v>12</x:v>
      </x:c>
      <x:c r="S5858" s="30"/>
      <x:c r="T5858" s="30" t="str">
        <x:v>OGE777 — разбор варианта 961</x:v>
      </x:c>
      <x:c r="U5858" s="30" t="str">
        <x:v>Расхождений нет.</x:v>
      </x:c>
      <x:c r="V5858" s="87" t="str">
        <x:v>VERIFIED</x:v>
      </x:c>
      <x:c r="W5858" s="87"/>
      <x:c r="X5858" s="87" t="n">
        <x:v>6</x:v>
      </x:c>
      <x:c r="Y5858" s="87"/>
      <x:c r="Z5858" s="87"/>
      <x:c r="AA5858" s="87"/>
      <x:c r="AB5858" s="87"/>
      <x:c r="AC5858" s="87" t="str">
        <x:v>VIS-EGKR-RUS-S26-TASK-961-P006</x:v>
      </x:c>
      <x:c r="AD5858" s="87" t="str">
        <x:v>VIS-EGKR-RUS-S26-ANSWERDOC-P002</x:v>
      </x:c>
      <x:c r="AE5858" s="87" t="str">
        <x:v>TASK; SECONDARY_ANSWER_SOURCE</x:v>
      </x:c>
      <x:c r="AF5858" s="87" t="str">
        <x:v>VIS-EGKR-RUS-S26-TASK-961-P006: 6; VIS-EGKR-RUS-S26-ANSWERDOC-P002: 2</x:v>
      </x:c>
      <x:c r="AG5858" s="87" t="str">
        <x:v>RESOLVED</x:v>
      </x:c>
      <x:c r="AH5858" s="87" t="str">
        <x:v>CROP_VERIFIED</x:v>
      </x:c>
      <x:c r="AI5858" s="30"/>
      <x:c r="AJ5858" s="87" t="str">
        <x:v>clean</x:v>
      </x:c>
      <x:c r="AK5858" s="87" t="str">
        <x:v>clean-v0.18</x:v>
      </x:c>
      <x:c r="AL5858" s="87" t="str">
        <x:v>statgrad_clean_continuation_v0_18(1).xlsx</x:v>
      </x:c>
      <x:c r="AM5858" s="87" t="str">
        <x:v>RUS_EGKR_961</x:v>
      </x:c>
      <x:c r="AN5858" s="87" t="n">
        <x:v>13</x:v>
      </x:c>
    </x:row>
    <x:row r="5859">
      <x:c r="A5859" s="87" t="n">
        <x:v>5858</x:v>
      </x:c>
      <x:c r="B5859" s="87" t="str">
        <x:v>EGKR-S26-RUS-961-13</x:v>
      </x:c>
      <x:c r="C5859" s="87" t="str">
        <x:v>ЕГКР</x:v>
      </x:c>
      <x:c r="D5859" s="87"/>
      <x:c r="E5859" s="87" t="str">
        <x:v>Весна 2026</x:v>
      </x:c>
      <x:c r="F5859" s="87" t="str">
        <x:v>24.03.2026</x:v>
      </x:c>
      <x:c r="G5859" s="87" t="str">
        <x:v>Русский язык</x:v>
      </x:c>
      <x:c r="H5859" s="87" t="n">
        <x:v>11</x:v>
      </x:c>
      <x:c r="I5859" s="87"/>
      <x:c r="J5859" s="87" t="str">
        <x:v>961</x:v>
      </x:c>
      <x:c r="K5859" s="87" t="n">
        <x:v>13</x:v>
      </x:c>
      <x:c r="L5859" s="87" t="str">
        <x:v>НЕ и НИ</x:v>
      </x:c>
      <x:c r="M5859" s="30" t="str">
        <x:v>Задание 13 варианта 961: НЕ и НИ. Полная формулировка сохранена на указанной визуальной странице.</x:v>
      </x:c>
      <x:c r="N5859" s="30" t="str">
        <x:v>145</x:v>
      </x:c>
      <x:c r="O5859" s="30" t="str">
        <x:v>Ответ зафиксирован в формате задания; полное условие и варианты ответа доступны по VIS_ID.</x:v>
      </x:c>
      <x:c r="P5859" s="30"/>
      <x:c r="Q5859" s="30" t="str">
        <x:v>Ответ независимо сверён по исходному заданию и разбору: OGE777 — разбор варианта 961.</x:v>
      </x:c>
      <x:c r="R5859" s="30" t="str">
        <x:v>134</x:v>
      </x:c>
      <x:c r="S5859" s="30"/>
      <x:c r="T5859" s="30" t="str">
        <x:v>OGE777 — разбор варианта 961</x:v>
      </x:c>
      <x:c r="U5859" s="30" t="str">
        <x:v>Ответник: 134; канонический ответ: 145.</x:v>
      </x:c>
      <x:c r="V5859" s="87" t="str">
        <x:v>KEY_MISMATCH</x:v>
      </x:c>
      <x:c r="W5859" s="87"/>
      <x:c r="X5859" s="87" t="n">
        <x:v>7</x:v>
      </x:c>
      <x:c r="Y5859" s="87"/>
      <x:c r="Z5859" s="87"/>
      <x:c r="AA5859" s="87"/>
      <x:c r="AB5859" s="87"/>
      <x:c r="AC5859" s="87" t="str">
        <x:v>VIS-EGKR-RUS-S26-TASK-961-P007</x:v>
      </x:c>
      <x:c r="AD5859" s="87" t="str">
        <x:v>VIS-EGKR-RUS-S26-ANSWERDOC-P002</x:v>
      </x:c>
      <x:c r="AE5859" s="87" t="str">
        <x:v>TASK; SECONDARY_ANSWER_SOURCE</x:v>
      </x:c>
      <x:c r="AF5859" s="87" t="str">
        <x:v>VIS-EGKR-RUS-S26-TASK-961-P007: 7; VIS-EGKR-RUS-S26-ANSWERDOC-P002: 2</x:v>
      </x:c>
      <x:c r="AG5859" s="87" t="str">
        <x:v>RESOLVED</x:v>
      </x:c>
      <x:c r="AH5859" s="87" t="str">
        <x:v>CROP_VERIFIED</x:v>
      </x:c>
      <x:c r="AI5859" s="30"/>
      <x:c r="AJ5859" s="87" t="str">
        <x:v>clean</x:v>
      </x:c>
      <x:c r="AK5859" s="87" t="str">
        <x:v>clean-v0.18</x:v>
      </x:c>
      <x:c r="AL5859" s="87" t="str">
        <x:v>statgrad_clean_continuation_v0_18(1).xlsx</x:v>
      </x:c>
      <x:c r="AM5859" s="87" t="str">
        <x:v>RUS_EGKR_961</x:v>
      </x:c>
      <x:c r="AN5859" s="87" t="n">
        <x:v>14</x:v>
      </x:c>
    </x:row>
    <x:row r="5860">
      <x:c r="A5860" s="87" t="n">
        <x:v>5859</x:v>
      </x:c>
      <x:c r="B5860" s="87" t="str">
        <x:v>EGKR-S26-RUS-961-14</x:v>
      </x:c>
      <x:c r="C5860" s="87" t="str">
        <x:v>ЕГКР</x:v>
      </x:c>
      <x:c r="D5860" s="87"/>
      <x:c r="E5860" s="87" t="str">
        <x:v>Весна 2026</x:v>
      </x:c>
      <x:c r="F5860" s="87" t="str">
        <x:v>24.03.2026</x:v>
      </x:c>
      <x:c r="G5860" s="87" t="str">
        <x:v>Русский язык</x:v>
      </x:c>
      <x:c r="H5860" s="87" t="n">
        <x:v>11</x:v>
      </x:c>
      <x:c r="I5860" s="87"/>
      <x:c r="J5860" s="87" t="str">
        <x:v>961</x:v>
      </x:c>
      <x:c r="K5860" s="87" t="n">
        <x:v>14</x:v>
      </x:c>
      <x:c r="L5860" s="87" t="str">
        <x:v>Слитное, раздельное и дефисное написание</x:v>
      </x:c>
      <x:c r="M5860" s="30" t="str">
        <x:v>Задание 14 варианта 961: Слитное, раздельное и дефисное написание. Полная формулировка сохранена на указанной визуальной странице.</x:v>
      </x:c>
      <x:c r="N5860" s="30" t="str">
        <x:v>135</x:v>
      </x:c>
      <x:c r="O5860" s="30" t="str">
        <x:v>Ответ зафиксирован в формате задания; полное условие и варианты ответа доступны по VIS_ID.</x:v>
      </x:c>
      <x:c r="P5860" s="30"/>
      <x:c r="Q5860" s="30" t="str">
        <x:v>Ответ независимо сверён по исходному заданию и разбору: OGE777 — разбор варианта 961.</x:v>
      </x:c>
      <x:c r="R5860" s="30" t="str">
        <x:v>24</x:v>
      </x:c>
      <x:c r="S5860" s="30"/>
      <x:c r="T5860" s="30" t="str">
        <x:v>OGE777 — разбор варианта 961</x:v>
      </x:c>
      <x:c r="U5860" s="30" t="str">
        <x:v>Ответник: 24; канонический ответ: 135.</x:v>
      </x:c>
      <x:c r="V5860" s="87" t="str">
        <x:v>KEY_MISMATCH</x:v>
      </x:c>
      <x:c r="W5860" s="87"/>
      <x:c r="X5860" s="87" t="n">
        <x:v>7</x:v>
      </x:c>
      <x:c r="Y5860" s="87"/>
      <x:c r="Z5860" s="87"/>
      <x:c r="AA5860" s="87"/>
      <x:c r="AB5860" s="87"/>
      <x:c r="AC5860" s="87" t="str">
        <x:v>VIS-EGKR-RUS-S26-TASK-961-P007</x:v>
      </x:c>
      <x:c r="AD5860" s="87" t="str">
        <x:v>VIS-EGKR-RUS-S26-ANSWERDOC-P002</x:v>
      </x:c>
      <x:c r="AE5860" s="87" t="str">
        <x:v>TASK; SECONDARY_ANSWER_SOURCE</x:v>
      </x:c>
      <x:c r="AF5860" s="87" t="str">
        <x:v>VIS-EGKR-RUS-S26-TASK-961-P007: 7; VIS-EGKR-RUS-S26-ANSWERDOC-P002: 2</x:v>
      </x:c>
      <x:c r="AG5860" s="87" t="str">
        <x:v>RESOLVED</x:v>
      </x:c>
      <x:c r="AH5860" s="87" t="str">
        <x:v>CROP_VERIFIED</x:v>
      </x:c>
      <x:c r="AI5860" s="30"/>
      <x:c r="AJ5860" s="87" t="str">
        <x:v>clean</x:v>
      </x:c>
      <x:c r="AK5860" s="87" t="str">
        <x:v>clean-v0.18</x:v>
      </x:c>
      <x:c r="AL5860" s="87" t="str">
        <x:v>statgrad_clean_continuation_v0_18(1).xlsx</x:v>
      </x:c>
      <x:c r="AM5860" s="87" t="str">
        <x:v>RUS_EGKR_961</x:v>
      </x:c>
      <x:c r="AN5860" s="87" t="n">
        <x:v>15</x:v>
      </x:c>
    </x:row>
    <x:row r="5861">
      <x:c r="A5861" s="87" t="n">
        <x:v>5860</x:v>
      </x:c>
      <x:c r="B5861" s="87" t="str">
        <x:v>EGKR-S26-RUS-961-15</x:v>
      </x:c>
      <x:c r="C5861" s="87" t="str">
        <x:v>ЕГКР</x:v>
      </x:c>
      <x:c r="D5861" s="87"/>
      <x:c r="E5861" s="87" t="str">
        <x:v>Весна 2026</x:v>
      </x:c>
      <x:c r="F5861" s="87" t="str">
        <x:v>24.03.2026</x:v>
      </x:c>
      <x:c r="G5861" s="87" t="str">
        <x:v>Русский язык</x:v>
      </x:c>
      <x:c r="H5861" s="87" t="n">
        <x:v>11</x:v>
      </x:c>
      <x:c r="I5861" s="87"/>
      <x:c r="J5861" s="87" t="str">
        <x:v>961</x:v>
      </x:c>
      <x:c r="K5861" s="87" t="n">
        <x:v>15</x:v>
      </x:c>
      <x:c r="L5861" s="87" t="str">
        <x:v>Н и НН</x:v>
      </x:c>
      <x:c r="M5861" s="30" t="str">
        <x:v>Задание 15 варианта 961: Н и НН. Полная формулировка сохранена на указанной визуальной странице.</x:v>
      </x:c>
      <x:c r="N5861" s="30" t="str">
        <x:v>1456</x:v>
      </x:c>
      <x:c r="O5861" s="30" t="str">
        <x:v>Ответ зафиксирован в формате задания; полное условие и варианты ответа доступны по VIS_ID.</x:v>
      </x:c>
      <x:c r="P5861" s="30"/>
      <x:c r="Q5861" s="30" t="str">
        <x:v>Ответ независимо сверён по исходному заданию и разбору: OGE777 — разбор варианта 961.</x:v>
      </x:c>
      <x:c r="R5861" s="30" t="str">
        <x:v>1345</x:v>
      </x:c>
      <x:c r="S5861" s="30"/>
      <x:c r="T5861" s="30" t="str">
        <x:v>OGE777 — разбор варианта 961</x:v>
      </x:c>
      <x:c r="U5861" s="30" t="str">
        <x:v>Ответник: 1345; канонический ответ: 1456.</x:v>
      </x:c>
      <x:c r="V5861" s="87" t="str">
        <x:v>KEY_MISMATCH</x:v>
      </x:c>
      <x:c r="W5861" s="87"/>
      <x:c r="X5861" s="87" t="n">
        <x:v>7</x:v>
      </x:c>
      <x:c r="Y5861" s="87"/>
      <x:c r="Z5861" s="87"/>
      <x:c r="AA5861" s="87"/>
      <x:c r="AB5861" s="87"/>
      <x:c r="AC5861" s="87" t="str">
        <x:v>VIS-EGKR-RUS-S26-TASK-961-P007</x:v>
      </x:c>
      <x:c r="AD5861" s="87" t="str">
        <x:v>VIS-EGKR-RUS-S26-ANSWERDOC-P002</x:v>
      </x:c>
      <x:c r="AE5861" s="87" t="str">
        <x:v>TASK; SECONDARY_ANSWER_SOURCE</x:v>
      </x:c>
      <x:c r="AF5861" s="87" t="str">
        <x:v>VIS-EGKR-RUS-S26-TASK-961-P007: 7; VIS-EGKR-RUS-S26-ANSWERDOC-P002: 2</x:v>
      </x:c>
      <x:c r="AG5861" s="87" t="str">
        <x:v>RESOLVED</x:v>
      </x:c>
      <x:c r="AH5861" s="87" t="str">
        <x:v>CROP_VERIFIED</x:v>
      </x:c>
      <x:c r="AI5861" s="30"/>
      <x:c r="AJ5861" s="87" t="str">
        <x:v>clean</x:v>
      </x:c>
      <x:c r="AK5861" s="87" t="str">
        <x:v>clean-v0.18</x:v>
      </x:c>
      <x:c r="AL5861" s="87" t="str">
        <x:v>statgrad_clean_continuation_v0_18(1).xlsx</x:v>
      </x:c>
      <x:c r="AM5861" s="87" t="str">
        <x:v>RUS_EGKR_961</x:v>
      </x:c>
      <x:c r="AN5861" s="87" t="n">
        <x:v>16</x:v>
      </x:c>
    </x:row>
    <x:row r="5862">
      <x:c r="A5862" s="87" t="n">
        <x:v>5861</x:v>
      </x:c>
      <x:c r="B5862" s="87" t="str">
        <x:v>EGKR-S26-RUS-961-16</x:v>
      </x:c>
      <x:c r="C5862" s="87" t="str">
        <x:v>ЕГКР</x:v>
      </x:c>
      <x:c r="D5862" s="87"/>
      <x:c r="E5862" s="87" t="str">
        <x:v>Весна 2026</x:v>
      </x:c>
      <x:c r="F5862" s="87" t="str">
        <x:v>24.03.2026</x:v>
      </x:c>
      <x:c r="G5862" s="87" t="str">
        <x:v>Русский язык</x:v>
      </x:c>
      <x:c r="H5862" s="87" t="n">
        <x:v>11</x:v>
      </x:c>
      <x:c r="I5862" s="87"/>
      <x:c r="J5862" s="87" t="str">
        <x:v>961</x:v>
      </x:c>
      <x:c r="K5862" s="87" t="n">
        <x:v>16</x:v>
      </x:c>
      <x:c r="L5862" s="87" t="str">
        <x:v>Пунктуация при однородных членах</x:v>
      </x:c>
      <x:c r="M5862" s="30" t="str">
        <x:v>Задание 16 варианта 961: Пунктуация при однородных членах. Полная формулировка сохранена на указанной визуальной странице.</x:v>
      </x:c>
      <x:c r="N5862" s="30" t="str">
        <x:v>234</x:v>
      </x:c>
      <x:c r="O5862" s="30" t="str">
        <x:v>Ответ зафиксирован в формате задания; полное условие и варианты ответа доступны по VIS_ID.</x:v>
      </x:c>
      <x:c r="P5862" s="30"/>
      <x:c r="Q5862" s="30" t="str">
        <x:v>Ответ независимо сверён по исходному заданию и разбору: OGE777 — разбор варианта 961.</x:v>
      </x:c>
      <x:c r="R5862" s="30" t="str">
        <x:v>235</x:v>
      </x:c>
      <x:c r="S5862" s="30"/>
      <x:c r="T5862" s="30" t="str">
        <x:v>OGE777 — разбор варианта 961</x:v>
      </x:c>
      <x:c r="U5862" s="30" t="str">
        <x:v>Ответник: 235; канонический ответ: 234.</x:v>
      </x:c>
      <x:c r="V5862" s="87" t="str">
        <x:v>KEY_MISMATCH</x:v>
      </x:c>
      <x:c r="W5862" s="87"/>
      <x:c r="X5862" s="87" t="n">
        <x:v>7</x:v>
      </x:c>
      <x:c r="Y5862" s="87"/>
      <x:c r="Z5862" s="87"/>
      <x:c r="AA5862" s="87"/>
      <x:c r="AB5862" s="87"/>
      <x:c r="AC5862" s="87" t="str">
        <x:v>VIS-EGKR-RUS-S26-TASK-961-P007</x:v>
      </x:c>
      <x:c r="AD5862" s="87" t="str">
        <x:v>VIS-EGKR-RUS-S26-ANSWERDOC-P002</x:v>
      </x:c>
      <x:c r="AE5862" s="87" t="str">
        <x:v>TASK; SECONDARY_ANSWER_SOURCE</x:v>
      </x:c>
      <x:c r="AF5862" s="87" t="str">
        <x:v>VIS-EGKR-RUS-S26-TASK-961-P007: 7; VIS-EGKR-RUS-S26-ANSWERDOC-P002: 2</x:v>
      </x:c>
      <x:c r="AG5862" s="87" t="str">
        <x:v>RESOLVED</x:v>
      </x:c>
      <x:c r="AH5862" s="87" t="str">
        <x:v>CROP_VERIFIED</x:v>
      </x:c>
      <x:c r="AI5862" s="30"/>
      <x:c r="AJ5862" s="87" t="str">
        <x:v>clean</x:v>
      </x:c>
      <x:c r="AK5862" s="87" t="str">
        <x:v>clean-v0.18</x:v>
      </x:c>
      <x:c r="AL5862" s="87" t="str">
        <x:v>statgrad_clean_continuation_v0_18(1).xlsx</x:v>
      </x:c>
      <x:c r="AM5862" s="87" t="str">
        <x:v>RUS_EGKR_961</x:v>
      </x:c>
      <x:c r="AN5862" s="87" t="n">
        <x:v>17</x:v>
      </x:c>
    </x:row>
    <x:row r="5863">
      <x:c r="A5863" s="87" t="n">
        <x:v>5862</x:v>
      </x:c>
      <x:c r="B5863" s="87" t="str">
        <x:v>EGKR-S26-RUS-961-17</x:v>
      </x:c>
      <x:c r="C5863" s="87" t="str">
        <x:v>ЕГКР</x:v>
      </x:c>
      <x:c r="D5863" s="87"/>
      <x:c r="E5863" s="87" t="str">
        <x:v>Весна 2026</x:v>
      </x:c>
      <x:c r="F5863" s="87" t="str">
        <x:v>24.03.2026</x:v>
      </x:c>
      <x:c r="G5863" s="87" t="str">
        <x:v>Русский язык</x:v>
      </x:c>
      <x:c r="H5863" s="87" t="n">
        <x:v>11</x:v>
      </x:c>
      <x:c r="I5863" s="87"/>
      <x:c r="J5863" s="87" t="str">
        <x:v>961</x:v>
      </x:c>
      <x:c r="K5863" s="87" t="n">
        <x:v>17</x:v>
      </x:c>
      <x:c r="L5863" s="87" t="str">
        <x:v>Обособленные конструкции</x:v>
      </x:c>
      <x:c r="M5863" s="30" t="str">
        <x:v>Задание 17 варианта 961: Обособленные конструкции. Полная формулировка сохранена на указанной визуальной странице.</x:v>
      </x:c>
      <x:c r="N5863" s="30" t="str">
        <x:v>14</x:v>
      </x:c>
      <x:c r="O5863" s="30" t="str">
        <x:v>Ответ зафиксирован в формате задания; полное условие и варианты ответа доступны по VIS_ID.</x:v>
      </x:c>
      <x:c r="P5863" s="30"/>
      <x:c r="Q5863" s="30" t="str">
        <x:v>Ответ независимо сверён по исходному заданию и разбору: OGE777 — разбор варианта 961.</x:v>
      </x:c>
      <x:c r="R5863" s="30" t="str">
        <x:v>1234567</x:v>
      </x:c>
      <x:c r="S5863" s="30"/>
      <x:c r="T5863" s="30" t="str">
        <x:v>OGE777 — разбор варианта 961</x:v>
      </x:c>
      <x:c r="U5863" s="30" t="str">
        <x:v>Ответник: 1234567; канонический ответ: 14.</x:v>
      </x:c>
      <x:c r="V5863" s="87" t="str">
        <x:v>KEY_MISMATCH</x:v>
      </x:c>
      <x:c r="W5863" s="87"/>
      <x:c r="X5863" s="87" t="n">
        <x:v>8</x:v>
      </x:c>
      <x:c r="Y5863" s="87"/>
      <x:c r="Z5863" s="87"/>
      <x:c r="AA5863" s="87"/>
      <x:c r="AB5863" s="87"/>
      <x:c r="AC5863" s="87" t="str">
        <x:v>VIS-EGKR-RUS-S26-TASK-961-P008</x:v>
      </x:c>
      <x:c r="AD5863" s="87" t="str">
        <x:v>VIS-EGKR-RUS-S26-ANSWERDOC-P002</x:v>
      </x:c>
      <x:c r="AE5863" s="87" t="str">
        <x:v>TASK; SECONDARY_ANSWER_SOURCE</x:v>
      </x:c>
      <x:c r="AF5863" s="87" t="str">
        <x:v>VIS-EGKR-RUS-S26-TASK-961-P008: 8; VIS-EGKR-RUS-S26-ANSWERDOC-P002: 2</x:v>
      </x:c>
      <x:c r="AG5863" s="87" t="str">
        <x:v>RESOLVED</x:v>
      </x:c>
      <x:c r="AH5863" s="87" t="str">
        <x:v>CROP_VERIFIED</x:v>
      </x:c>
      <x:c r="AI5863" s="30"/>
      <x:c r="AJ5863" s="87" t="str">
        <x:v>clean</x:v>
      </x:c>
      <x:c r="AK5863" s="87" t="str">
        <x:v>clean-v0.18</x:v>
      </x:c>
      <x:c r="AL5863" s="87" t="str">
        <x:v>statgrad_clean_continuation_v0_18(1).xlsx</x:v>
      </x:c>
      <x:c r="AM5863" s="87" t="str">
        <x:v>RUS_EGKR_961</x:v>
      </x:c>
      <x:c r="AN5863" s="87" t="n">
        <x:v>18</x:v>
      </x:c>
    </x:row>
    <x:row r="5864">
      <x:c r="A5864" s="87" t="n">
        <x:v>5863</x:v>
      </x:c>
      <x:c r="B5864" s="87" t="str">
        <x:v>EGKR-S26-RUS-961-18</x:v>
      </x:c>
      <x:c r="C5864" s="87" t="str">
        <x:v>ЕГКР</x:v>
      </x:c>
      <x:c r="D5864" s="87"/>
      <x:c r="E5864" s="87" t="str">
        <x:v>Весна 2026</x:v>
      </x:c>
      <x:c r="F5864" s="87" t="str">
        <x:v>24.03.2026</x:v>
      </x:c>
      <x:c r="G5864" s="87" t="str">
        <x:v>Русский язык</x:v>
      </x:c>
      <x:c r="H5864" s="87" t="n">
        <x:v>11</x:v>
      </x:c>
      <x:c r="I5864" s="87"/>
      <x:c r="J5864" s="87" t="str">
        <x:v>961</x:v>
      </x:c>
      <x:c r="K5864" s="87" t="n">
        <x:v>18</x:v>
      </x:c>
      <x:c r="L5864" s="87" t="str">
        <x:v>Вводные слова и обращения</x:v>
      </x:c>
      <x:c r="M5864" s="30" t="str">
        <x:v>Задание 18 варианта 961: Вводные слова и обращения. Полная формулировка сохранена на указанной визуальной странице.</x:v>
      </x:c>
      <x:c r="N5864" s="30" t="str">
        <x:v>2345</x:v>
      </x:c>
      <x:c r="O5864" s="30" t="str">
        <x:v>Ответ зафиксирован в формате задания; полное условие и варианты ответа доступны по VIS_ID.</x:v>
      </x:c>
      <x:c r="P5864" s="30"/>
      <x:c r="Q5864" s="30" t="str">
        <x:v>Ответ независимо сверён по исходному заданию и разбору: OGE777 — разбор варианта 961.</x:v>
      </x:c>
      <x:c r="R5864" s="30" t="str">
        <x:v>237</x:v>
      </x:c>
      <x:c r="S5864" s="30"/>
      <x:c r="T5864" s="30" t="str">
        <x:v>OGE777 — разбор варианта 961</x:v>
      </x:c>
      <x:c r="U5864" s="30" t="str">
        <x:v>Ответник: 237; канонический ответ: 2345.</x:v>
      </x:c>
      <x:c r="V5864" s="87" t="str">
        <x:v>KEY_MISMATCH</x:v>
      </x:c>
      <x:c r="W5864" s="87"/>
      <x:c r="X5864" s="87" t="n">
        <x:v>8</x:v>
      </x:c>
      <x:c r="Y5864" s="87"/>
      <x:c r="Z5864" s="87"/>
      <x:c r="AA5864" s="87"/>
      <x:c r="AB5864" s="87"/>
      <x:c r="AC5864" s="87" t="str">
        <x:v>VIS-EGKR-RUS-S26-TASK-961-P008</x:v>
      </x:c>
      <x:c r="AD5864" s="87" t="str">
        <x:v>VIS-EGKR-RUS-S26-ANSWERDOC-P002</x:v>
      </x:c>
      <x:c r="AE5864" s="87" t="str">
        <x:v>TASK; SECONDARY_ANSWER_SOURCE</x:v>
      </x:c>
      <x:c r="AF5864" s="87" t="str">
        <x:v>VIS-EGKR-RUS-S26-TASK-961-P008: 8; VIS-EGKR-RUS-S26-ANSWERDOC-P002: 2</x:v>
      </x:c>
      <x:c r="AG5864" s="87" t="str">
        <x:v>RESOLVED</x:v>
      </x:c>
      <x:c r="AH5864" s="87" t="str">
        <x:v>CROP_VERIFIED</x:v>
      </x:c>
      <x:c r="AI5864" s="30"/>
      <x:c r="AJ5864" s="87" t="str">
        <x:v>clean</x:v>
      </x:c>
      <x:c r="AK5864" s="87" t="str">
        <x:v>clean-v0.18</x:v>
      </x:c>
      <x:c r="AL5864" s="87" t="str">
        <x:v>statgrad_clean_continuation_v0_18(1).xlsx</x:v>
      </x:c>
      <x:c r="AM5864" s="87" t="str">
        <x:v>RUS_EGKR_961</x:v>
      </x:c>
      <x:c r="AN5864" s="87" t="n">
        <x:v>19</x:v>
      </x:c>
    </x:row>
    <x:row r="5865">
      <x:c r="A5865" s="87" t="n">
        <x:v>5864</x:v>
      </x:c>
      <x:c r="B5865" s="87" t="str">
        <x:v>EGKR-S26-RUS-961-19</x:v>
      </x:c>
      <x:c r="C5865" s="87" t="str">
        <x:v>ЕГКР</x:v>
      </x:c>
      <x:c r="D5865" s="87"/>
      <x:c r="E5865" s="87" t="str">
        <x:v>Весна 2026</x:v>
      </x:c>
      <x:c r="F5865" s="87" t="str">
        <x:v>24.03.2026</x:v>
      </x:c>
      <x:c r="G5865" s="87" t="str">
        <x:v>Русский язык</x:v>
      </x:c>
      <x:c r="H5865" s="87" t="n">
        <x:v>11</x:v>
      </x:c>
      <x:c r="I5865" s="87"/>
      <x:c r="J5865" s="87" t="str">
        <x:v>961</x:v>
      </x:c>
      <x:c r="K5865" s="87" t="n">
        <x:v>19</x:v>
      </x:c>
      <x:c r="L5865" s="87" t="str">
        <x:v>Сложноподчинённое предложение</x:v>
      </x:c>
      <x:c r="M5865" s="30" t="str">
        <x:v>Задание 19 варианта 961: Сложноподчинённое предложение. Полная формулировка сохранена на указанной визуальной странице.</x:v>
      </x:c>
      <x:c r="N5865" s="30" t="str">
        <x:v>13</x:v>
      </x:c>
      <x:c r="O5865" s="30" t="str">
        <x:v>Ответ зафиксирован в формате задания; полное условие и варианты ответа доступны по VIS_ID.</x:v>
      </x:c>
      <x:c r="P5865" s="30"/>
      <x:c r="Q5865" s="30" t="str">
        <x:v>Ответ независимо сверён по исходному заданию и разбору: OGE777 — разбор варианта 961.</x:v>
      </x:c>
      <x:c r="R5865" s="30" t="str">
        <x:v>1234</x:v>
      </x:c>
      <x:c r="S5865" s="30"/>
      <x:c r="T5865" s="30" t="str">
        <x:v>OGE777 — разбор варианта 961</x:v>
      </x:c>
      <x:c r="U5865" s="30" t="str">
        <x:v>Ответник: 1234; канонический ответ: 13.</x:v>
      </x:c>
      <x:c r="V5865" s="87" t="str">
        <x:v>KEY_MISMATCH</x:v>
      </x:c>
      <x:c r="W5865" s="87"/>
      <x:c r="X5865" s="87" t="n">
        <x:v>9</x:v>
      </x:c>
      <x:c r="Y5865" s="87"/>
      <x:c r="Z5865" s="87"/>
      <x:c r="AA5865" s="87"/>
      <x:c r="AB5865" s="87"/>
      <x:c r="AC5865" s="87" t="str">
        <x:v>VIS-EGKR-RUS-S26-TASK-961-P009</x:v>
      </x:c>
      <x:c r="AD5865" s="87" t="str">
        <x:v>VIS-EGKR-RUS-S26-ANSWERDOC-P002</x:v>
      </x:c>
      <x:c r="AE5865" s="87" t="str">
        <x:v>TASK; SECONDARY_ANSWER_SOURCE</x:v>
      </x:c>
      <x:c r="AF5865" s="87" t="str">
        <x:v>VIS-EGKR-RUS-S26-TASK-961-P009: 9; VIS-EGKR-RUS-S26-ANSWERDOC-P002: 2</x:v>
      </x:c>
      <x:c r="AG5865" s="87" t="str">
        <x:v>RESOLVED</x:v>
      </x:c>
      <x:c r="AH5865" s="87" t="str">
        <x:v>CROP_VERIFIED</x:v>
      </x:c>
      <x:c r="AI5865" s="30"/>
      <x:c r="AJ5865" s="87" t="str">
        <x:v>clean</x:v>
      </x:c>
      <x:c r="AK5865" s="87" t="str">
        <x:v>clean-v0.18</x:v>
      </x:c>
      <x:c r="AL5865" s="87" t="str">
        <x:v>statgrad_clean_continuation_v0_18(1).xlsx</x:v>
      </x:c>
      <x:c r="AM5865" s="87" t="str">
        <x:v>RUS_EGKR_961</x:v>
      </x:c>
      <x:c r="AN5865" s="87" t="n">
        <x:v>20</x:v>
      </x:c>
    </x:row>
    <x:row r="5866">
      <x:c r="A5866" s="87" t="n">
        <x:v>5865</x:v>
      </x:c>
      <x:c r="B5866" s="87" t="str">
        <x:v>EGKR-S26-RUS-961-20</x:v>
      </x:c>
      <x:c r="C5866" s="87" t="str">
        <x:v>ЕГКР</x:v>
      </x:c>
      <x:c r="D5866" s="87"/>
      <x:c r="E5866" s="87" t="str">
        <x:v>Весна 2026</x:v>
      </x:c>
      <x:c r="F5866" s="87" t="str">
        <x:v>24.03.2026</x:v>
      </x:c>
      <x:c r="G5866" s="87" t="str">
        <x:v>Русский язык</x:v>
      </x:c>
      <x:c r="H5866" s="87" t="n">
        <x:v>11</x:v>
      </x:c>
      <x:c r="I5866" s="87"/>
      <x:c r="J5866" s="87" t="str">
        <x:v>961</x:v>
      </x:c>
      <x:c r="K5866" s="87" t="n">
        <x:v>20</x:v>
      </x:c>
      <x:c r="L5866" s="87" t="str">
        <x:v>Сложное предложение</x:v>
      </x:c>
      <x:c r="M5866" s="30" t="str">
        <x:v>Задание 20 варианта 961: Сложное предложение. Полная формулировка сохранена на указанной визуальной странице.</x:v>
      </x:c>
      <x:c r="N5866" s="30" t="str">
        <x:v>234</x:v>
      </x:c>
      <x:c r="O5866" s="30" t="str">
        <x:v>Ответ зафиксирован в формате задания; полное условие и варианты ответа доступны по VIS_ID.</x:v>
      </x:c>
      <x:c r="P5866" s="30"/>
      <x:c r="Q5866" s="30" t="str">
        <x:v>Ответ восстановлен по исходному заданию и сверке: OGE777 — разбор варианта 961.</x:v>
      </x:c>
      <x:c r="R5866" s="30" t="str">
        <x:v>MISSING</x:v>
      </x:c>
      <x:c r="S5866" s="30"/>
      <x:c r="T5866" s="30" t="str">
        <x:v>OGE777 — разбор варианта 961</x:v>
      </x:c>
      <x:c r="U5866" s="30" t="str">
        <x:v>Во внутреннем ответнике позиция отсутствовала.</x:v>
      </x:c>
      <x:c r="V5866" s="87" t="str">
        <x:v>SOURCE_GAP_RECOVERED</x:v>
      </x:c>
      <x:c r="W5866" s="87"/>
      <x:c r="X5866" s="87" t="n">
        <x:v>9</x:v>
      </x:c>
      <x:c r="Y5866" s="87"/>
      <x:c r="Z5866" s="87"/>
      <x:c r="AA5866" s="87"/>
      <x:c r="AB5866" s="87"/>
      <x:c r="AC5866" s="87" t="str">
        <x:v>VIS-EGKR-RUS-S26-TASK-961-P009</x:v>
      </x:c>
      <x:c r="AD5866" s="87" t="str">
        <x:v>VIS-EGKR-RUS-S26-ANSWERDOC-P002</x:v>
      </x:c>
      <x:c r="AE5866" s="87" t="str">
        <x:v>TASK; SECONDARY_ANSWER_SOURCE</x:v>
      </x:c>
      <x:c r="AF5866" s="87" t="str">
        <x:v>VIS-EGKR-RUS-S26-TASK-961-P009: 9; VIS-EGKR-RUS-S26-ANSWERDOC-P002: 2</x:v>
      </x:c>
      <x:c r="AG5866" s="87" t="str">
        <x:v>RESOLVED</x:v>
      </x:c>
      <x:c r="AH5866" s="87" t="str">
        <x:v>CROP_VERIFIED</x:v>
      </x:c>
      <x:c r="AI5866" s="30"/>
      <x:c r="AJ5866" s="87" t="str">
        <x:v>clean</x:v>
      </x:c>
      <x:c r="AK5866" s="87" t="str">
        <x:v>clean-v0.18</x:v>
      </x:c>
      <x:c r="AL5866" s="87" t="str">
        <x:v>statgrad_clean_continuation_v0_18(1).xlsx</x:v>
      </x:c>
      <x:c r="AM5866" s="87" t="str">
        <x:v>RUS_EGKR_961</x:v>
      </x:c>
      <x:c r="AN5866" s="87" t="n">
        <x:v>21</x:v>
      </x:c>
    </x:row>
    <x:row r="5867">
      <x:c r="A5867" s="87" t="n">
        <x:v>5866</x:v>
      </x:c>
      <x:c r="B5867" s="87" t="str">
        <x:v>EGKR-S26-RUS-961-21</x:v>
      </x:c>
      <x:c r="C5867" s="87" t="str">
        <x:v>ЕГКР</x:v>
      </x:c>
      <x:c r="D5867" s="87"/>
      <x:c r="E5867" s="87" t="str">
        <x:v>Весна 2026</x:v>
      </x:c>
      <x:c r="F5867" s="87" t="str">
        <x:v>24.03.2026</x:v>
      </x:c>
      <x:c r="G5867" s="87" t="str">
        <x:v>Русский язык</x:v>
      </x:c>
      <x:c r="H5867" s="87" t="n">
        <x:v>11</x:v>
      </x:c>
      <x:c r="I5867" s="87"/>
      <x:c r="J5867" s="87" t="str">
        <x:v>961</x:v>
      </x:c>
      <x:c r="K5867" s="87" t="n">
        <x:v>21</x:v>
      </x:c>
      <x:c r="L5867" s="87" t="str">
        <x:v>Пунктуационный анализ</x:v>
      </x:c>
      <x:c r="M5867" s="30" t="str">
        <x:v>Задание 21 варианта 961: Пунктуационный анализ. Полная формулировка сохранена на указанной визуальной странице.</x:v>
      </x:c>
      <x:c r="N5867" s="30" t="str">
        <x:v>45</x:v>
      </x:c>
      <x:c r="O5867" s="30" t="str">
        <x:v>Ответ зафиксирован в формате задания; полное условие и варианты ответа доступны по VIS_ID.</x:v>
      </x:c>
      <x:c r="P5867" s="30"/>
      <x:c r="Q5867" s="30" t="str">
        <x:v>Ответ восстановлен по исходному заданию и сверке: OGE777 — разбор варианта 961.</x:v>
      </x:c>
      <x:c r="R5867" s="30" t="str">
        <x:v>MISSING</x:v>
      </x:c>
      <x:c r="S5867" s="30"/>
      <x:c r="T5867" s="30" t="str">
        <x:v>OGE777 — разбор варианта 961</x:v>
      </x:c>
      <x:c r="U5867" s="30" t="str">
        <x:v>Во внутреннем ответнике позиция отсутствовала.</x:v>
      </x:c>
      <x:c r="V5867" s="87" t="str">
        <x:v>SOURCE_GAP_RECOVERED</x:v>
      </x:c>
      <x:c r="W5867" s="87"/>
      <x:c r="X5867" s="87" t="n">
        <x:v>9</x:v>
      </x:c>
      <x:c r="Y5867" s="87"/>
      <x:c r="Z5867" s="87"/>
      <x:c r="AA5867" s="87"/>
      <x:c r="AB5867" s="87"/>
      <x:c r="AC5867" s="87" t="str">
        <x:v>VIS-EGKR-RUS-S26-TASK-961-P009</x:v>
      </x:c>
      <x:c r="AD5867" s="87" t="str">
        <x:v>VIS-EGKR-RUS-S26-ANSWERDOC-P002</x:v>
      </x:c>
      <x:c r="AE5867" s="87" t="str">
        <x:v>TASK; SECONDARY_ANSWER_SOURCE</x:v>
      </x:c>
      <x:c r="AF5867" s="87" t="str">
        <x:v>VIS-EGKR-RUS-S26-TASK-961-P009: 9; VIS-EGKR-RUS-S26-ANSWERDOC-P002: 2</x:v>
      </x:c>
      <x:c r="AG5867" s="87" t="str">
        <x:v>RESOLVED</x:v>
      </x:c>
      <x:c r="AH5867" s="87" t="str">
        <x:v>CROP_VERIFIED</x:v>
      </x:c>
      <x:c r="AI5867" s="30"/>
      <x:c r="AJ5867" s="87" t="str">
        <x:v>clean</x:v>
      </x:c>
      <x:c r="AK5867" s="87" t="str">
        <x:v>clean-v0.18</x:v>
      </x:c>
      <x:c r="AL5867" s="87" t="str">
        <x:v>statgrad_clean_continuation_v0_18(1).xlsx</x:v>
      </x:c>
      <x:c r="AM5867" s="87" t="str">
        <x:v>RUS_EGKR_961</x:v>
      </x:c>
      <x:c r="AN5867" s="87" t="n">
        <x:v>22</x:v>
      </x:c>
    </x:row>
    <x:row r="5868">
      <x:c r="A5868" s="87" t="n">
        <x:v>5867</x:v>
      </x:c>
      <x:c r="B5868" s="87" t="str">
        <x:v>EGKR-S26-RUS-961-22</x:v>
      </x:c>
      <x:c r="C5868" s="87" t="str">
        <x:v>ЕГКР</x:v>
      </x:c>
      <x:c r="D5868" s="87"/>
      <x:c r="E5868" s="87" t="str">
        <x:v>Весна 2026</x:v>
      </x:c>
      <x:c r="F5868" s="87" t="str">
        <x:v>24.03.2026</x:v>
      </x:c>
      <x:c r="G5868" s="87" t="str">
        <x:v>Русский язык</x:v>
      </x:c>
      <x:c r="H5868" s="87" t="n">
        <x:v>11</x:v>
      </x:c>
      <x:c r="I5868" s="87"/>
      <x:c r="J5868" s="87" t="str">
        <x:v>961</x:v>
      </x:c>
      <x:c r="K5868" s="87" t="n">
        <x:v>22</x:v>
      </x:c>
      <x:c r="L5868" s="87" t="str">
        <x:v>Средства выразительности</x:v>
      </x:c>
      <x:c r="M5868" s="30" t="str">
        <x:v>Задание 22 варианта 961: Средства выразительности. Полная формулировка сохранена на указанной визуальной странице.</x:v>
      </x:c>
      <x:c r="N5868" s="30" t="str">
        <x:v>81264</x:v>
      </x:c>
      <x:c r="O5868" s="30" t="str">
        <x:v>Ответ зафиксирован в формате задания; полное условие и варианты ответа доступны по VIS_ID.</x:v>
      </x:c>
      <x:c r="P5868" s="30"/>
      <x:c r="Q5868" s="30" t="str">
        <x:v>Ответ совпал с исходным ответником и независимой сверкой: OGE777 — разбор варианта 961.</x:v>
      </x:c>
      <x:c r="R5868" s="30" t="str">
        <x:v>81264</x:v>
      </x:c>
      <x:c r="S5868" s="30"/>
      <x:c r="T5868" s="30" t="str">
        <x:v>OGE777 — разбор варианта 961</x:v>
      </x:c>
      <x:c r="U5868" s="30" t="str">
        <x:v>Расхождений нет.</x:v>
      </x:c>
      <x:c r="V5868" s="87" t="str">
        <x:v>VERIFIED</x:v>
      </x:c>
      <x:c r="W5868" s="87"/>
      <x:c r="X5868" s="87" t="n">
        <x:v>10</x:v>
      </x:c>
      <x:c r="Y5868" s="87"/>
      <x:c r="Z5868" s="87"/>
      <x:c r="AA5868" s="87"/>
      <x:c r="AB5868" s="87"/>
      <x:c r="AC5868" s="87" t="str">
        <x:v>VIS-EGKR-RUS-S26-TASK-961-P010</x:v>
      </x:c>
      <x:c r="AD5868" s="87" t="str">
        <x:v>VIS-EGKR-RUS-S26-ANSWERDOC-P002</x:v>
      </x:c>
      <x:c r="AE5868" s="87" t="str">
        <x:v>TASK; SECONDARY_ANSWER_SOURCE</x:v>
      </x:c>
      <x:c r="AF5868" s="87" t="str">
        <x:v>VIS-EGKR-RUS-S26-TASK-961-P010: 10; VIS-EGKR-RUS-S26-ANSWERDOC-P002: 2</x:v>
      </x:c>
      <x:c r="AG5868" s="87" t="str">
        <x:v>RESOLVED</x:v>
      </x:c>
      <x:c r="AH5868" s="87" t="str">
        <x:v>CROP_VERIFIED</x:v>
      </x:c>
      <x:c r="AI5868" s="30"/>
      <x:c r="AJ5868" s="87" t="str">
        <x:v>clean</x:v>
      </x:c>
      <x:c r="AK5868" s="87" t="str">
        <x:v>clean-v0.18</x:v>
      </x:c>
      <x:c r="AL5868" s="87" t="str">
        <x:v>statgrad_clean_continuation_v0_18(1).xlsx</x:v>
      </x:c>
      <x:c r="AM5868" s="87" t="str">
        <x:v>RUS_EGKR_961</x:v>
      </x:c>
      <x:c r="AN5868" s="87" t="n">
        <x:v>23</x:v>
      </x:c>
    </x:row>
    <x:row r="5869">
      <x:c r="A5869" s="87" t="n">
        <x:v>5868</x:v>
      </x:c>
      <x:c r="B5869" s="87" t="str">
        <x:v>EGKR-S26-RUS-961-23</x:v>
      </x:c>
      <x:c r="C5869" s="87" t="str">
        <x:v>ЕГКР</x:v>
      </x:c>
      <x:c r="D5869" s="87"/>
      <x:c r="E5869" s="87" t="str">
        <x:v>Весна 2026</x:v>
      </x:c>
      <x:c r="F5869" s="87" t="str">
        <x:v>24.03.2026</x:v>
      </x:c>
      <x:c r="G5869" s="87" t="str">
        <x:v>Русский язык</x:v>
      </x:c>
      <x:c r="H5869" s="87" t="n">
        <x:v>11</x:v>
      </x:c>
      <x:c r="I5869" s="87"/>
      <x:c r="J5869" s="87" t="str">
        <x:v>961</x:v>
      </x:c>
      <x:c r="K5869" s="87" t="n">
        <x:v>23</x:v>
      </x:c>
      <x:c r="L5869" s="87" t="str">
        <x:v>Содержание текста</x:v>
      </x:c>
      <x:c r="M5869" s="30" t="str">
        <x:v>Задание 23 варианта 961: Содержание текста. Полная формулировка сохранена на указанной визуальной странице.</x:v>
      </x:c>
      <x:c r="N5869" s="30" t="str">
        <x:v>14</x:v>
      </x:c>
      <x:c r="O5869" s="30" t="str">
        <x:v>Ответ зафиксирован в формате задания; полное условие и варианты ответа доступны по VIS_ID.</x:v>
      </x:c>
      <x:c r="P5869" s="30"/>
      <x:c r="Q5869" s="30" t="str">
        <x:v>Ответ совпал с исходным ответником и независимой сверкой: OGE777 — разбор варианта 961.</x:v>
      </x:c>
      <x:c r="R5869" s="30" t="str">
        <x:v>14</x:v>
      </x:c>
      <x:c r="S5869" s="30"/>
      <x:c r="T5869" s="30" t="str">
        <x:v>OGE777 — разбор варианта 961</x:v>
      </x:c>
      <x:c r="U5869" s="30" t="str">
        <x:v>Расхождений нет.</x:v>
      </x:c>
      <x:c r="V5869" s="87" t="str">
        <x:v>VERIFIED</x:v>
      </x:c>
      <x:c r="W5869" s="87"/>
      <x:c r="X5869" s="87" t="n">
        <x:v>12</x:v>
      </x:c>
      <x:c r="Y5869" s="87"/>
      <x:c r="Z5869" s="87"/>
      <x:c r="AA5869" s="87"/>
      <x:c r="AB5869" s="87"/>
      <x:c r="AC5869" s="87" t="str">
        <x:v>VIS-EGKR-RUS-S26-TASK-961-P012</x:v>
      </x:c>
      <x:c r="AD5869" s="87" t="str">
        <x:v>VIS-EGKR-RUS-S26-ANSWERDOC-P002</x:v>
      </x:c>
      <x:c r="AE5869" s="87" t="str">
        <x:v>TASK; SECONDARY_ANSWER_SOURCE</x:v>
      </x:c>
      <x:c r="AF5869" s="87" t="str">
        <x:v>VIS-EGKR-RUS-S26-TASK-961-P012: 12; VIS-EGKR-RUS-S26-ANSWERDOC-P002: 2</x:v>
      </x:c>
      <x:c r="AG5869" s="87" t="str">
        <x:v>RESOLVED</x:v>
      </x:c>
      <x:c r="AH5869" s="87" t="str">
        <x:v>CROP_VERIFIED</x:v>
      </x:c>
      <x:c r="AI5869" s="30"/>
      <x:c r="AJ5869" s="87" t="str">
        <x:v>clean</x:v>
      </x:c>
      <x:c r="AK5869" s="87" t="str">
        <x:v>clean-v0.18</x:v>
      </x:c>
      <x:c r="AL5869" s="87" t="str">
        <x:v>statgrad_clean_continuation_v0_18(1).xlsx</x:v>
      </x:c>
      <x:c r="AM5869" s="87" t="str">
        <x:v>RUS_EGKR_961</x:v>
      </x:c>
      <x:c r="AN5869" s="87" t="n">
        <x:v>24</x:v>
      </x:c>
    </x:row>
    <x:row r="5870">
      <x:c r="A5870" s="87" t="n">
        <x:v>5869</x:v>
      </x:c>
      <x:c r="B5870" s="87" t="str">
        <x:v>EGKR-S26-RUS-961-24</x:v>
      </x:c>
      <x:c r="C5870" s="87" t="str">
        <x:v>ЕГКР</x:v>
      </x:c>
      <x:c r="D5870" s="87"/>
      <x:c r="E5870" s="87" t="str">
        <x:v>Весна 2026</x:v>
      </x:c>
      <x:c r="F5870" s="87" t="str">
        <x:v>24.03.2026</x:v>
      </x:c>
      <x:c r="G5870" s="87" t="str">
        <x:v>Русский язык</x:v>
      </x:c>
      <x:c r="H5870" s="87" t="n">
        <x:v>11</x:v>
      </x:c>
      <x:c r="I5870" s="87"/>
      <x:c r="J5870" s="87" t="str">
        <x:v>961</x:v>
      </x:c>
      <x:c r="K5870" s="87" t="n">
        <x:v>24</x:v>
      </x:c>
      <x:c r="L5870" s="87" t="str">
        <x:v>Типы речи и логика текста</x:v>
      </x:c>
      <x:c r="M5870" s="30" t="str">
        <x:v>Задание 24 варианта 961: Типы речи и логика текста. Полная формулировка сохранена на указанной визуальной странице.</x:v>
      </x:c>
      <x:c r="N5870" s="30" t="str">
        <x:v>145</x:v>
      </x:c>
      <x:c r="O5870" s="30" t="str">
        <x:v>Ответ зафиксирован в формате задания; полное условие и варианты ответа доступны по VIS_ID.</x:v>
      </x:c>
      <x:c r="P5870" s="30"/>
      <x:c r="Q5870" s="30" t="str">
        <x:v>Ответ восстановлен по исходному заданию и сверке: OGE777 — разбор варианта 961.</x:v>
      </x:c>
      <x:c r="R5870" s="30" t="str">
        <x:v>MISSING</x:v>
      </x:c>
      <x:c r="S5870" s="30"/>
      <x:c r="T5870" s="30" t="str">
        <x:v>OGE777 — разбор варианта 961</x:v>
      </x:c>
      <x:c r="U5870" s="30" t="str">
        <x:v>Во внутреннем ответнике позиция отсутствовала.</x:v>
      </x:c>
      <x:c r="V5870" s="87" t="str">
        <x:v>SOURCE_GAP_RECOVERED</x:v>
      </x:c>
      <x:c r="W5870" s="87"/>
      <x:c r="X5870" s="87" t="n">
        <x:v>12</x:v>
      </x:c>
      <x:c r="Y5870" s="87"/>
      <x:c r="Z5870" s="87"/>
      <x:c r="AA5870" s="87"/>
      <x:c r="AB5870" s="87"/>
      <x:c r="AC5870" s="87" t="str">
        <x:v>VIS-EGKR-RUS-S26-TASK-961-P012</x:v>
      </x:c>
      <x:c r="AD5870" s="87" t="str">
        <x:v>VIS-EGKR-RUS-S26-ANSWERDOC-P002</x:v>
      </x:c>
      <x:c r="AE5870" s="87" t="str">
        <x:v>TASK; SECONDARY_ANSWER_SOURCE</x:v>
      </x:c>
      <x:c r="AF5870" s="87" t="str">
        <x:v>VIS-EGKR-RUS-S26-TASK-961-P012: 12; VIS-EGKR-RUS-S26-ANSWERDOC-P002: 2</x:v>
      </x:c>
      <x:c r="AG5870" s="87" t="str">
        <x:v>RESOLVED</x:v>
      </x:c>
      <x:c r="AH5870" s="87" t="str">
        <x:v>CROP_VERIFIED</x:v>
      </x:c>
      <x:c r="AI5870" s="30"/>
      <x:c r="AJ5870" s="87" t="str">
        <x:v>clean</x:v>
      </x:c>
      <x:c r="AK5870" s="87" t="str">
        <x:v>clean-v0.18</x:v>
      </x:c>
      <x:c r="AL5870" s="87" t="str">
        <x:v>statgrad_clean_continuation_v0_18(1).xlsx</x:v>
      </x:c>
      <x:c r="AM5870" s="87" t="str">
        <x:v>RUS_EGKR_961</x:v>
      </x:c>
      <x:c r="AN5870" s="87" t="n">
        <x:v>25</x:v>
      </x:c>
    </x:row>
    <x:row r="5871">
      <x:c r="A5871" s="87" t="n">
        <x:v>5870</x:v>
      </x:c>
      <x:c r="B5871" s="87" t="str">
        <x:v>EGKR-S26-RUS-961-25</x:v>
      </x:c>
      <x:c r="C5871" s="87" t="str">
        <x:v>ЕГКР</x:v>
      </x:c>
      <x:c r="D5871" s="87"/>
      <x:c r="E5871" s="87" t="str">
        <x:v>Весна 2026</x:v>
      </x:c>
      <x:c r="F5871" s="87" t="str">
        <x:v>24.03.2026</x:v>
      </x:c>
      <x:c r="G5871" s="87" t="str">
        <x:v>Русский язык</x:v>
      </x:c>
      <x:c r="H5871" s="87" t="n">
        <x:v>11</x:v>
      </x:c>
      <x:c r="I5871" s="87"/>
      <x:c r="J5871" s="87" t="str">
        <x:v>961</x:v>
      </x:c>
      <x:c r="K5871" s="87" t="n">
        <x:v>25</x:v>
      </x:c>
      <x:c r="L5871" s="87" t="str">
        <x:v>Лексический анализ</x:v>
      </x:c>
      <x:c r="M5871" s="30" t="str">
        <x:v>Задание 25 варианта 961: Лексический анализ. Полная формулировка сохранена на указанной визуальной странице.</x:v>
      </x:c>
      <x:c r="N5871" s="30" t="str">
        <x:v>диктатура</x:v>
      </x:c>
      <x:c r="O5871" s="30" t="str">
        <x:v>Ответ зафиксирован в формате задания; полное условие и варианты ответа доступны по VIS_ID.</x:v>
      </x:c>
      <x:c r="P5871" s="30"/>
      <x:c r="Q5871" s="30" t="str">
        <x:v>Ответ совпал с исходным ответником и независимой сверкой: OGE777 — разбор варианта 961.</x:v>
      </x:c>
      <x:c r="R5871" s="30" t="str">
        <x:v>диктатура</x:v>
      </x:c>
      <x:c r="S5871" s="30"/>
      <x:c r="T5871" s="30" t="str">
        <x:v>OGE777 — разбор варианта 961</x:v>
      </x:c>
      <x:c r="U5871" s="30" t="str">
        <x:v>Расхождений нет.</x:v>
      </x:c>
      <x:c r="V5871" s="87" t="str">
        <x:v>VERIFIED</x:v>
      </x:c>
      <x:c r="W5871" s="87"/>
      <x:c r="X5871" s="87" t="n">
        <x:v>12</x:v>
      </x:c>
      <x:c r="Y5871" s="87"/>
      <x:c r="Z5871" s="87"/>
      <x:c r="AA5871" s="87"/>
      <x:c r="AB5871" s="87"/>
      <x:c r="AC5871" s="87" t="str">
        <x:v>VIS-EGKR-RUS-S26-TASK-961-P012</x:v>
      </x:c>
      <x:c r="AD5871" s="87" t="str">
        <x:v>VIS-EGKR-RUS-S26-ANSWERDOC-P002</x:v>
      </x:c>
      <x:c r="AE5871" s="87" t="str">
        <x:v>TASK; SECONDARY_ANSWER_SOURCE</x:v>
      </x:c>
      <x:c r="AF5871" s="87" t="str">
        <x:v>VIS-EGKR-RUS-S26-TASK-961-P012: 12; VIS-EGKR-RUS-S26-ANSWERDOC-P002: 2</x:v>
      </x:c>
      <x:c r="AG5871" s="87" t="str">
        <x:v>RESOLVED</x:v>
      </x:c>
      <x:c r="AH5871" s="87" t="str">
        <x:v>CROP_VERIFIED</x:v>
      </x:c>
      <x:c r="AI5871" s="30"/>
      <x:c r="AJ5871" s="87" t="str">
        <x:v>clean</x:v>
      </x:c>
      <x:c r="AK5871" s="87" t="str">
        <x:v>clean-v0.18</x:v>
      </x:c>
      <x:c r="AL5871" s="87" t="str">
        <x:v>statgrad_clean_continuation_v0_18(1).xlsx</x:v>
      </x:c>
      <x:c r="AM5871" s="87" t="str">
        <x:v>RUS_EGKR_961</x:v>
      </x:c>
      <x:c r="AN5871" s="87" t="n">
        <x:v>26</x:v>
      </x:c>
    </x:row>
    <x:row r="5872">
      <x:c r="A5872" s="87" t="n">
        <x:v>5871</x:v>
      </x:c>
      <x:c r="B5872" s="87" t="str">
        <x:v>EGKR-S26-RUS-961-26</x:v>
      </x:c>
      <x:c r="C5872" s="87" t="str">
        <x:v>ЕГКР</x:v>
      </x:c>
      <x:c r="D5872" s="87"/>
      <x:c r="E5872" s="87" t="str">
        <x:v>Весна 2026</x:v>
      </x:c>
      <x:c r="F5872" s="87" t="str">
        <x:v>24.03.2026</x:v>
      </x:c>
      <x:c r="G5872" s="87" t="str">
        <x:v>Русский язык</x:v>
      </x:c>
      <x:c r="H5872" s="87" t="n">
        <x:v>11</x:v>
      </x:c>
      <x:c r="I5872" s="87"/>
      <x:c r="J5872" s="87" t="str">
        <x:v>961</x:v>
      </x:c>
      <x:c r="K5872" s="87" t="n">
        <x:v>26</x:v>
      </x:c>
      <x:c r="L5872" s="87" t="str">
        <x:v>Связь предложений</x:v>
      </x:c>
      <x:c r="M5872" s="30" t="str">
        <x:v>Задание 26 варианта 961: Связь предложений. Полная формулировка сохранена на указанной визуальной странице.</x:v>
      </x:c>
      <x:c r="N5872" s="30" t="str">
        <x:v>4</x:v>
      </x:c>
      <x:c r="O5872" s="30" t="str">
        <x:v>Ответ зафиксирован в формате задания; полное условие и варианты ответа доступны по VIS_ID.</x:v>
      </x:c>
      <x:c r="P5872" s="30"/>
      <x:c r="Q5872" s="30" t="str">
        <x:v>Ответ совпал с исходным ответником и независимой сверкой: OGE777 — разбор варианта 961.</x:v>
      </x:c>
      <x:c r="R5872" s="30" t="str">
        <x:v>4</x:v>
      </x:c>
      <x:c r="S5872" s="30"/>
      <x:c r="T5872" s="30" t="str">
        <x:v>OGE777 — разбор варианта 961</x:v>
      </x:c>
      <x:c r="U5872" s="30" t="str">
        <x:v>Расхождений нет.</x:v>
      </x:c>
      <x:c r="V5872" s="87" t="str">
        <x:v>VERIFIED</x:v>
      </x:c>
      <x:c r="W5872" s="87"/>
      <x:c r="X5872" s="87" t="n">
        <x:v>12</x:v>
      </x:c>
      <x:c r="Y5872" s="87"/>
      <x:c r="Z5872" s="87"/>
      <x:c r="AA5872" s="87"/>
      <x:c r="AB5872" s="87"/>
      <x:c r="AC5872" s="87" t="str">
        <x:v>VIS-EGKR-RUS-S26-TASK-961-P012</x:v>
      </x:c>
      <x:c r="AD5872" s="87" t="str">
        <x:v>VIS-EGKR-RUS-S26-ANSWERDOC-P002</x:v>
      </x:c>
      <x:c r="AE5872" s="87" t="str">
        <x:v>TASK; SECONDARY_ANSWER_SOURCE</x:v>
      </x:c>
      <x:c r="AF5872" s="87" t="str">
        <x:v>VIS-EGKR-RUS-S26-TASK-961-P012: 12; VIS-EGKR-RUS-S26-ANSWERDOC-P002: 2</x:v>
      </x:c>
      <x:c r="AG5872" s="87" t="str">
        <x:v>RESOLVED</x:v>
      </x:c>
      <x:c r="AH5872" s="87" t="str">
        <x:v>CROP_VERIFIED</x:v>
      </x:c>
      <x:c r="AI5872" s="30"/>
      <x:c r="AJ5872" s="87" t="str">
        <x:v>clean</x:v>
      </x:c>
      <x:c r="AK5872" s="87" t="str">
        <x:v>clean-v0.18</x:v>
      </x:c>
      <x:c r="AL5872" s="87" t="str">
        <x:v>statgrad_clean_continuation_v0_18(1).xlsx</x:v>
      </x:c>
      <x:c r="AM5872" s="87" t="str">
        <x:v>RUS_EGKR_961</x:v>
      </x:c>
      <x:c r="AN5872" s="87" t="n">
        <x:v>27</x:v>
      </x:c>
    </x:row>
    <x:row r="5873">
      <x:c r="A5873" s="87" t="n">
        <x:v>5872</x:v>
      </x:c>
      <x:c r="B5873" s="87" t="str">
        <x:v>EGKR-S26-RUS-961-27</x:v>
      </x:c>
      <x:c r="C5873" s="87" t="str">
        <x:v>ЕГКР</x:v>
      </x:c>
      <x:c r="D5873" s="87"/>
      <x:c r="E5873" s="87" t="str">
        <x:v>Весна 2026</x:v>
      </x:c>
      <x:c r="F5873" s="87" t="str">
        <x:v>24.03.2026</x:v>
      </x:c>
      <x:c r="G5873" s="87" t="str">
        <x:v>Русский язык</x:v>
      </x:c>
      <x:c r="H5873" s="87" t="n">
        <x:v>11</x:v>
      </x:c>
      <x:c r="I5873" s="87"/>
      <x:c r="J5873" s="87" t="str">
        <x:v>961</x:v>
      </x:c>
      <x:c r="K5873" s="87" t="n">
        <x:v>27</x:v>
      </x:c>
      <x:c r="L5873" s="87" t="str">
        <x:v>Сочинение</x:v>
      </x:c>
      <x:c r="M5873" s="30" t="str">
        <x:v>Какими принципами могут руководствоваться люди в своей жизни?</x:v>
      </x:c>
      <x:c r="N5873" s="30" t="str">
        <x:v>Человеку необходимы справедливость, уважение права на жизнь и труд, ответственность за общее благо. Эти принципы не позволяют ставить личную выгоду выше достоинства других и помогают строить общество, где свобода соединена с обязанностью перед людьми.</x:v>
      </x:c>
      <x:c r="O5873" s="30" t="str">
        <x:v>Рабочая модель формулирует проблему, позицию автора и направление аргументации.</x:v>
      </x:c>
      <x:c r="P5873" s="30"/>
      <x:c r="Q5873" s="30" t="str">
        <x:v>Модель подготовлена по тексту варианта и требованиям задания 27.</x:v>
      </x:c>
      <x:c r="R5873" s="30" t="str">
        <x:v>MODEL_NOT_STANDARDIZED</x:v>
      </x:c>
      <x:c r="S5873" s="30"/>
      <x:c r="T5873" s="30" t="str">
        <x:v>OGE777 — разбор варианта 961</x:v>
      </x:c>
      <x:c r="U5873" s="30" t="str">
        <x:v>Модель не является единственно возможным сочинением.</x:v>
      </x:c>
      <x:c r="V5873" s="87" t="str">
        <x:v>MODEL_READY</x:v>
      </x:c>
      <x:c r="W5873" s="87"/>
      <x:c r="X5873" s="87" t="n">
        <x:v>12</x:v>
      </x:c>
      <x:c r="Y5873" s="87"/>
      <x:c r="Z5873" s="87"/>
      <x:c r="AA5873" s="87"/>
      <x:c r="AB5873" s="87"/>
      <x:c r="AC5873" s="87" t="str">
        <x:v>VIS-EGKR-RUS-S26-TASK-961-P012</x:v>
      </x:c>
      <x:c r="AD5873" s="87"/>
      <x:c r="AE5873" s="87" t="str">
        <x:v>TASK</x:v>
      </x:c>
      <x:c r="AF5873" s="87" t="str">
        <x:v>VIS-EGKR-RUS-S26-TASK-961-P012: 12</x:v>
      </x:c>
      <x:c r="AG5873" s="87" t="str">
        <x:v>RESOLVED</x:v>
      </x:c>
      <x:c r="AH5873" s="87" t="str">
        <x:v>CROP_VERIFIED</x:v>
      </x:c>
      <x:c r="AI5873" s="30"/>
      <x:c r="AJ5873" s="87" t="str">
        <x:v>clean</x:v>
      </x:c>
      <x:c r="AK5873" s="87" t="str">
        <x:v>clean-v0.18</x:v>
      </x:c>
      <x:c r="AL5873" s="87" t="str">
        <x:v>statgrad_clean_continuation_v0_18(1).xlsx</x:v>
      </x:c>
      <x:c r="AM5873" s="87" t="str">
        <x:v>RUS_EGKR_961</x:v>
      </x:c>
      <x:c r="AN5873" s="87" t="n">
        <x:v>28</x:v>
      </x:c>
    </x:row>
    <x:row r="5874">
      <x:c r="A5874" s="87" t="n">
        <x:v>5873</x:v>
      </x:c>
      <x:c r="B5874" s="87" t="str">
        <x:v>EGKR-S26-RUS-962-01</x:v>
      </x:c>
      <x:c r="C5874" s="87" t="str">
        <x:v>ЕГКР</x:v>
      </x:c>
      <x:c r="D5874" s="87"/>
      <x:c r="E5874" s="87" t="str">
        <x:v>Весна 2026</x:v>
      </x:c>
      <x:c r="F5874" s="87" t="str">
        <x:v>24.03.2026</x:v>
      </x:c>
      <x:c r="G5874" s="87" t="str">
        <x:v>Русский язык</x:v>
      </x:c>
      <x:c r="H5874" s="87" t="n">
        <x:v>11</x:v>
      </x:c>
      <x:c r="I5874" s="87"/>
      <x:c r="J5874" s="87" t="str">
        <x:v>962</x:v>
      </x:c>
      <x:c r="K5874" s="87" t="n">
        <x:v>1</x:v>
      </x:c>
      <x:c r="L5874" s="87" t="str">
        <x:v>Средство связи</x:v>
      </x:c>
      <x:c r="M5874" s="30" t="str">
        <x:v>Задание 1 варианта 962: Средство связи. Полная формулировка сохранена на указанной визуальной странице.</x:v>
      </x:c>
      <x:c r="N5874" s="30" t="str">
        <x:v>нечего</x:v>
      </x:c>
      <x:c r="O5874" s="30" t="str">
        <x:v>Ответ зафиксирован в формате задания; полное условие и варианты ответа доступны по VIS_ID.</x:v>
      </x:c>
      <x:c r="P5874" s="30"/>
      <x:c r="Q5874" s="30" t="str">
        <x:v>Ответ совпал с исходным ответником и независимой сверкой: Insperia — разбор варианта 962.</x:v>
      </x:c>
      <x:c r="R5874" s="30" t="str">
        <x:v>нечего</x:v>
      </x:c>
      <x:c r="S5874" s="30"/>
      <x:c r="T5874" s="30" t="str">
        <x:v>Insperia — разбор варианта 962</x:v>
      </x:c>
      <x:c r="U5874" s="30" t="str">
        <x:v>Расхождений нет.</x:v>
      </x:c>
      <x:c r="V5874" s="87" t="str">
        <x:v>VERIFIED</x:v>
      </x:c>
      <x:c r="W5874" s="87"/>
      <x:c r="X5874" s="87" t="n">
        <x:v>3</x:v>
      </x:c>
      <x:c r="Y5874" s="87"/>
      <x:c r="Z5874" s="87"/>
      <x:c r="AA5874" s="87"/>
      <x:c r="AB5874" s="87"/>
      <x:c r="AC5874" s="87" t="str">
        <x:v>VIS-EGKR-RUS-S26-TASK-962-P003</x:v>
      </x:c>
      <x:c r="AD5874" s="87" t="str">
        <x:v>VIS-EGKR-RUS-S26-ANSWERDOC-P003</x:v>
      </x:c>
      <x:c r="AE5874" s="87" t="str">
        <x:v>TASK; SECONDARY_ANSWER_SOURCE</x:v>
      </x:c>
      <x:c r="AF5874" s="87" t="str">
        <x:v>VIS-EGKR-RUS-S26-TASK-962-P003: 3; VIS-EGKR-RUS-S26-ANSWERDOC-P003: 3</x:v>
      </x:c>
      <x:c r="AG5874" s="87" t="str">
        <x:v>RESOLVED</x:v>
      </x:c>
      <x:c r="AH5874" s="87" t="str">
        <x:v>CROP_VERIFIED</x:v>
      </x:c>
      <x:c r="AI5874" s="30"/>
      <x:c r="AJ5874" s="87" t="str">
        <x:v>clean</x:v>
      </x:c>
      <x:c r="AK5874" s="87" t="str">
        <x:v>clean-v0.18</x:v>
      </x:c>
      <x:c r="AL5874" s="87" t="str">
        <x:v>statgrad_clean_continuation_v0_18(1).xlsx</x:v>
      </x:c>
      <x:c r="AM5874" s="87" t="str">
        <x:v>RUS_EGKR_962</x:v>
      </x:c>
      <x:c r="AN5874" s="87" t="n">
        <x:v>2</x:v>
      </x:c>
    </x:row>
    <x:row r="5875">
      <x:c r="A5875" s="87" t="n">
        <x:v>5874</x:v>
      </x:c>
      <x:c r="B5875" s="87" t="str">
        <x:v>EGKR-S26-RUS-962-02</x:v>
      </x:c>
      <x:c r="C5875" s="87" t="str">
        <x:v>ЕГКР</x:v>
      </x:c>
      <x:c r="D5875" s="87"/>
      <x:c r="E5875" s="87" t="str">
        <x:v>Весна 2026</x:v>
      </x:c>
      <x:c r="F5875" s="87" t="str">
        <x:v>24.03.2026</x:v>
      </x:c>
      <x:c r="G5875" s="87" t="str">
        <x:v>Русский язык</x:v>
      </x:c>
      <x:c r="H5875" s="87" t="n">
        <x:v>11</x:v>
      </x:c>
      <x:c r="I5875" s="87"/>
      <x:c r="J5875" s="87" t="str">
        <x:v>962</x:v>
      </x:c>
      <x:c r="K5875" s="87" t="n">
        <x:v>2</x:v>
      </x:c>
      <x:c r="L5875" s="87" t="str">
        <x:v>Лексическое значение</x:v>
      </x:c>
      <x:c r="M5875" s="30" t="str">
        <x:v>Задание 2 варианта 962: Лексическое значение. Полная формулировка сохранена на указанной визуальной странице.</x:v>
      </x:c>
      <x:c r="N5875" s="30" t="str">
        <x:v>25</x:v>
      </x:c>
      <x:c r="O5875" s="30" t="str">
        <x:v>Ответ зафиксирован в формате задания; полное условие и варианты ответа доступны по VIS_ID.</x:v>
      </x:c>
      <x:c r="P5875" s="30"/>
      <x:c r="Q5875" s="30" t="str">
        <x:v>Ответ совпал с исходным ответником и независимой сверкой: Insperia — разбор варианта 962.</x:v>
      </x:c>
      <x:c r="R5875" s="30" t="str">
        <x:v>25</x:v>
      </x:c>
      <x:c r="S5875" s="30"/>
      <x:c r="T5875" s="30" t="str">
        <x:v>Insperia — разбор варианта 962</x:v>
      </x:c>
      <x:c r="U5875" s="30" t="str">
        <x:v>Расхождений нет.</x:v>
      </x:c>
      <x:c r="V5875" s="87" t="str">
        <x:v>VERIFIED</x:v>
      </x:c>
      <x:c r="W5875" s="87"/>
      <x:c r="X5875" s="87" t="n">
        <x:v>3</x:v>
      </x:c>
      <x:c r="Y5875" s="87"/>
      <x:c r="Z5875" s="87"/>
      <x:c r="AA5875" s="87"/>
      <x:c r="AB5875" s="87"/>
      <x:c r="AC5875" s="87" t="str">
        <x:v>VIS-EGKR-RUS-S26-TASK-962-P003</x:v>
      </x:c>
      <x:c r="AD5875" s="87" t="str">
        <x:v>VIS-EGKR-RUS-S26-ANSWERDOC-P003</x:v>
      </x:c>
      <x:c r="AE5875" s="87" t="str">
        <x:v>TASK; SECONDARY_ANSWER_SOURCE</x:v>
      </x:c>
      <x:c r="AF5875" s="87" t="str">
        <x:v>VIS-EGKR-RUS-S26-TASK-962-P003: 3; VIS-EGKR-RUS-S26-ANSWERDOC-P003: 3</x:v>
      </x:c>
      <x:c r="AG5875" s="87" t="str">
        <x:v>RESOLVED</x:v>
      </x:c>
      <x:c r="AH5875" s="87" t="str">
        <x:v>CROP_VERIFIED</x:v>
      </x:c>
      <x:c r="AI5875" s="30"/>
      <x:c r="AJ5875" s="87" t="str">
        <x:v>clean</x:v>
      </x:c>
      <x:c r="AK5875" s="87" t="str">
        <x:v>clean-v0.18</x:v>
      </x:c>
      <x:c r="AL5875" s="87" t="str">
        <x:v>statgrad_clean_continuation_v0_18(1).xlsx</x:v>
      </x:c>
      <x:c r="AM5875" s="87" t="str">
        <x:v>RUS_EGKR_962</x:v>
      </x:c>
      <x:c r="AN5875" s="87" t="n">
        <x:v>3</x:v>
      </x:c>
    </x:row>
    <x:row r="5876">
      <x:c r="A5876" s="87" t="n">
        <x:v>5875</x:v>
      </x:c>
      <x:c r="B5876" s="87" t="str">
        <x:v>EGKR-S26-RUS-962-03</x:v>
      </x:c>
      <x:c r="C5876" s="87" t="str">
        <x:v>ЕГКР</x:v>
      </x:c>
      <x:c r="D5876" s="87"/>
      <x:c r="E5876" s="87" t="str">
        <x:v>Весна 2026</x:v>
      </x:c>
      <x:c r="F5876" s="87" t="str">
        <x:v>24.03.2026</x:v>
      </x:c>
      <x:c r="G5876" s="87" t="str">
        <x:v>Русский язык</x:v>
      </x:c>
      <x:c r="H5876" s="87" t="n">
        <x:v>11</x:v>
      </x:c>
      <x:c r="I5876" s="87"/>
      <x:c r="J5876" s="87" t="str">
        <x:v>962</x:v>
      </x:c>
      <x:c r="K5876" s="87" t="n">
        <x:v>3</x:v>
      </x:c>
      <x:c r="L5876" s="87" t="str">
        <x:v>Характеристики текста</x:v>
      </x:c>
      <x:c r="M5876" s="30" t="str">
        <x:v>Задание 3 варианта 962: Характеристики текста. Полная формулировка сохранена на указанной визуальной странице.</x:v>
      </x:c>
      <x:c r="N5876" s="30" t="str">
        <x:v>1235</x:v>
      </x:c>
      <x:c r="O5876" s="30" t="str">
        <x:v>Ответ зафиксирован в формате задания; полное условие и варианты ответа доступны по VIS_ID.</x:v>
      </x:c>
      <x:c r="P5876" s="30"/>
      <x:c r="Q5876" s="30" t="str">
        <x:v>Ответ независимо сверён по исходному заданию и разбору: Insperia — разбор варианта 962.</x:v>
      </x:c>
      <x:c r="R5876" s="30" t="str">
        <x:v>134</x:v>
      </x:c>
      <x:c r="S5876" s="30"/>
      <x:c r="T5876" s="30" t="str">
        <x:v>Insperia — разбор варианта 962</x:v>
      </x:c>
      <x:c r="U5876" s="30" t="str">
        <x:v>Ответник: 134; канонический ответ: 1235.</x:v>
      </x:c>
      <x:c r="V5876" s="87" t="str">
        <x:v>KEY_MISMATCH</x:v>
      </x:c>
      <x:c r="W5876" s="87"/>
      <x:c r="X5876" s="87" t="n">
        <x:v>3</x:v>
      </x:c>
      <x:c r="Y5876" s="87"/>
      <x:c r="Z5876" s="87"/>
      <x:c r="AA5876" s="87"/>
      <x:c r="AB5876" s="87"/>
      <x:c r="AC5876" s="87" t="str">
        <x:v>VIS-EGKR-RUS-S26-TASK-962-P003</x:v>
      </x:c>
      <x:c r="AD5876" s="87" t="str">
        <x:v>VIS-EGKR-RUS-S26-ANSWERDOC-P003</x:v>
      </x:c>
      <x:c r="AE5876" s="87" t="str">
        <x:v>TASK; SECONDARY_ANSWER_SOURCE</x:v>
      </x:c>
      <x:c r="AF5876" s="87" t="str">
        <x:v>VIS-EGKR-RUS-S26-TASK-962-P003: 3; VIS-EGKR-RUS-S26-ANSWERDOC-P003: 3</x:v>
      </x:c>
      <x:c r="AG5876" s="87" t="str">
        <x:v>RESOLVED</x:v>
      </x:c>
      <x:c r="AH5876" s="87" t="str">
        <x:v>CROP_VERIFIED</x:v>
      </x:c>
      <x:c r="AI5876" s="30"/>
      <x:c r="AJ5876" s="87" t="str">
        <x:v>clean</x:v>
      </x:c>
      <x:c r="AK5876" s="87" t="str">
        <x:v>clean-v0.18</x:v>
      </x:c>
      <x:c r="AL5876" s="87" t="str">
        <x:v>statgrad_clean_continuation_v0_18(1).xlsx</x:v>
      </x:c>
      <x:c r="AM5876" s="87" t="str">
        <x:v>RUS_EGKR_962</x:v>
      </x:c>
      <x:c r="AN5876" s="87" t="n">
        <x:v>4</x:v>
      </x:c>
    </x:row>
    <x:row r="5877">
      <x:c r="A5877" s="87" t="n">
        <x:v>5876</x:v>
      </x:c>
      <x:c r="B5877" s="87" t="str">
        <x:v>EGKR-S26-RUS-962-04</x:v>
      </x:c>
      <x:c r="C5877" s="87" t="str">
        <x:v>ЕГКР</x:v>
      </x:c>
      <x:c r="D5877" s="87"/>
      <x:c r="E5877" s="87" t="str">
        <x:v>Весна 2026</x:v>
      </x:c>
      <x:c r="F5877" s="87" t="str">
        <x:v>24.03.2026</x:v>
      </x:c>
      <x:c r="G5877" s="87" t="str">
        <x:v>Русский язык</x:v>
      </x:c>
      <x:c r="H5877" s="87" t="n">
        <x:v>11</x:v>
      </x:c>
      <x:c r="I5877" s="87"/>
      <x:c r="J5877" s="87" t="str">
        <x:v>962</x:v>
      </x:c>
      <x:c r="K5877" s="87" t="n">
        <x:v>4</x:v>
      </x:c>
      <x:c r="L5877" s="87" t="str">
        <x:v>Орфоэпическая норма</x:v>
      </x:c>
      <x:c r="M5877" s="30" t="str">
        <x:v>Задание 4 варианта 962: Орфоэпическая норма. Полная формулировка сохранена на указанной визуальной странице.</x:v>
      </x:c>
      <x:c r="N5877" s="30" t="str">
        <x:v>145</x:v>
      </x:c>
      <x:c r="O5877" s="30" t="str">
        <x:v>Ответ зафиксирован в формате задания; полное условие и варианты ответа доступны по VIS_ID.</x:v>
      </x:c>
      <x:c r="P5877" s="30"/>
      <x:c r="Q5877" s="30" t="str">
        <x:v>Ответ совпал с исходным ответником и независимой сверкой: Insperia — разбор варианта 962.</x:v>
      </x:c>
      <x:c r="R5877" s="30" t="str">
        <x:v>145</x:v>
      </x:c>
      <x:c r="S5877" s="30"/>
      <x:c r="T5877" s="30" t="str">
        <x:v>Insperia — разбор варианта 962</x:v>
      </x:c>
      <x:c r="U5877" s="30" t="str">
        <x:v>Расхождений нет.</x:v>
      </x:c>
      <x:c r="V5877" s="87" t="str">
        <x:v>VERIFIED</x:v>
      </x:c>
      <x:c r="W5877" s="87"/>
      <x:c r="X5877" s="87" t="n">
        <x:v>4</x:v>
      </x:c>
      <x:c r="Y5877" s="87"/>
      <x:c r="Z5877" s="87"/>
      <x:c r="AA5877" s="87"/>
      <x:c r="AB5877" s="87"/>
      <x:c r="AC5877" s="87" t="str">
        <x:v>VIS-EGKR-RUS-S26-TASK-962-P004</x:v>
      </x:c>
      <x:c r="AD5877" s="87" t="str">
        <x:v>VIS-EGKR-RUS-S26-ANSWERDOC-P003</x:v>
      </x:c>
      <x:c r="AE5877" s="87" t="str">
        <x:v>TASK; SECONDARY_ANSWER_SOURCE</x:v>
      </x:c>
      <x:c r="AF5877" s="87" t="str">
        <x:v>VIS-EGKR-RUS-S26-TASK-962-P004: 4; VIS-EGKR-RUS-S26-ANSWERDOC-P003: 3</x:v>
      </x:c>
      <x:c r="AG5877" s="87" t="str">
        <x:v>RESOLVED</x:v>
      </x:c>
      <x:c r="AH5877" s="87" t="str">
        <x:v>CROP_VERIFIED</x:v>
      </x:c>
      <x:c r="AI5877" s="30"/>
      <x:c r="AJ5877" s="87" t="str">
        <x:v>clean</x:v>
      </x:c>
      <x:c r="AK5877" s="87" t="str">
        <x:v>clean-v0.18</x:v>
      </x:c>
      <x:c r="AL5877" s="87" t="str">
        <x:v>statgrad_clean_continuation_v0_18(1).xlsx</x:v>
      </x:c>
      <x:c r="AM5877" s="87" t="str">
        <x:v>RUS_EGKR_962</x:v>
      </x:c>
      <x:c r="AN5877" s="87" t="n">
        <x:v>5</x:v>
      </x:c>
    </x:row>
    <x:row r="5878">
      <x:c r="A5878" s="87" t="n">
        <x:v>5877</x:v>
      </x:c>
      <x:c r="B5878" s="87" t="str">
        <x:v>EGKR-S26-RUS-962-05</x:v>
      </x:c>
      <x:c r="C5878" s="87" t="str">
        <x:v>ЕГКР</x:v>
      </x:c>
      <x:c r="D5878" s="87"/>
      <x:c r="E5878" s="87" t="str">
        <x:v>Весна 2026</x:v>
      </x:c>
      <x:c r="F5878" s="87" t="str">
        <x:v>24.03.2026</x:v>
      </x:c>
      <x:c r="G5878" s="87" t="str">
        <x:v>Русский язык</x:v>
      </x:c>
      <x:c r="H5878" s="87" t="n">
        <x:v>11</x:v>
      </x:c>
      <x:c r="I5878" s="87"/>
      <x:c r="J5878" s="87" t="str">
        <x:v>962</x:v>
      </x:c>
      <x:c r="K5878" s="87" t="n">
        <x:v>5</x:v>
      </x:c>
      <x:c r="L5878" s="87" t="str">
        <x:v>Паронимы</x:v>
      </x:c>
      <x:c r="M5878" s="30" t="str">
        <x:v>Задание 5 варианта 962: Паронимы. Полная формулировка сохранена на указанной визуальной странице.</x:v>
      </x:c>
      <x:c r="N5878" s="30" t="str">
        <x:v>вздох</x:v>
      </x:c>
      <x:c r="O5878" s="30" t="str">
        <x:v>Ответ зафиксирован в формате задания; полное условие и варианты ответа доступны по VIS_ID.</x:v>
      </x:c>
      <x:c r="P5878" s="30"/>
      <x:c r="Q5878" s="30" t="str">
        <x:v>Ответ совпал с исходным ответником и независимой сверкой: Insperia — разбор варианта 962.</x:v>
      </x:c>
      <x:c r="R5878" s="30" t="str">
        <x:v>вздох</x:v>
      </x:c>
      <x:c r="S5878" s="30"/>
      <x:c r="T5878" s="30" t="str">
        <x:v>Insperia — разбор варианта 962</x:v>
      </x:c>
      <x:c r="U5878" s="30" t="str">
        <x:v>Расхождений нет.</x:v>
      </x:c>
      <x:c r="V5878" s="87" t="str">
        <x:v>VERIFIED</x:v>
      </x:c>
      <x:c r="W5878" s="87"/>
      <x:c r="X5878" s="87" t="n">
        <x:v>4</x:v>
      </x:c>
      <x:c r="Y5878" s="87"/>
      <x:c r="Z5878" s="87"/>
      <x:c r="AA5878" s="87"/>
      <x:c r="AB5878" s="87"/>
      <x:c r="AC5878" s="87" t="str">
        <x:v>VIS-EGKR-RUS-S26-TASK-962-P004</x:v>
      </x:c>
      <x:c r="AD5878" s="87" t="str">
        <x:v>VIS-EGKR-RUS-S26-ANSWERDOC-P003</x:v>
      </x:c>
      <x:c r="AE5878" s="87" t="str">
        <x:v>TASK; SECONDARY_ANSWER_SOURCE</x:v>
      </x:c>
      <x:c r="AF5878" s="87" t="str">
        <x:v>VIS-EGKR-RUS-S26-TASK-962-P004: 4; VIS-EGKR-RUS-S26-ANSWERDOC-P003: 3</x:v>
      </x:c>
      <x:c r="AG5878" s="87" t="str">
        <x:v>RESOLVED</x:v>
      </x:c>
      <x:c r="AH5878" s="87" t="str">
        <x:v>CROP_VERIFIED</x:v>
      </x:c>
      <x:c r="AI5878" s="30"/>
      <x:c r="AJ5878" s="87" t="str">
        <x:v>clean</x:v>
      </x:c>
      <x:c r="AK5878" s="87" t="str">
        <x:v>clean-v0.18</x:v>
      </x:c>
      <x:c r="AL5878" s="87" t="str">
        <x:v>statgrad_clean_continuation_v0_18(1).xlsx</x:v>
      </x:c>
      <x:c r="AM5878" s="87" t="str">
        <x:v>RUS_EGKR_962</x:v>
      </x:c>
      <x:c r="AN5878" s="87" t="n">
        <x:v>6</x:v>
      </x:c>
    </x:row>
    <x:row r="5879">
      <x:c r="A5879" s="87" t="n">
        <x:v>5878</x:v>
      </x:c>
      <x:c r="B5879" s="87" t="str">
        <x:v>EGKR-S26-RUS-962-06</x:v>
      </x:c>
      <x:c r="C5879" s="87" t="str">
        <x:v>ЕГКР</x:v>
      </x:c>
      <x:c r="D5879" s="87"/>
      <x:c r="E5879" s="87" t="str">
        <x:v>Весна 2026</x:v>
      </x:c>
      <x:c r="F5879" s="87" t="str">
        <x:v>24.03.2026</x:v>
      </x:c>
      <x:c r="G5879" s="87" t="str">
        <x:v>Русский язык</x:v>
      </x:c>
      <x:c r="H5879" s="87" t="n">
        <x:v>11</x:v>
      </x:c>
      <x:c r="I5879" s="87"/>
      <x:c r="J5879" s="87" t="str">
        <x:v>962</x:v>
      </x:c>
      <x:c r="K5879" s="87" t="n">
        <x:v>6</x:v>
      </x:c>
      <x:c r="L5879" s="87" t="str">
        <x:v>Лексическая норма</x:v>
      </x:c>
      <x:c r="M5879" s="30" t="str">
        <x:v>Задание 6 варианта 962: Лексическая норма. Полная формулировка сохранена на указанной визуальной странице.</x:v>
      </x:c>
      <x:c r="N5879" s="30" t="str">
        <x:v>час</x:v>
      </x:c>
      <x:c r="O5879" s="30" t="str">
        <x:v>Ответ зафиксирован в формате задания; полное условие и варианты ответа доступны по VIS_ID.</x:v>
      </x:c>
      <x:c r="P5879" s="30"/>
      <x:c r="Q5879" s="30" t="str">
        <x:v>Ответ совпал с исходным ответником и независимой сверкой: Insperia — разбор варианта 962.</x:v>
      </x:c>
      <x:c r="R5879" s="30" t="str">
        <x:v>час</x:v>
      </x:c>
      <x:c r="S5879" s="30"/>
      <x:c r="T5879" s="30" t="str">
        <x:v>Insperia — разбор варианта 962</x:v>
      </x:c>
      <x:c r="U5879" s="30" t="str">
        <x:v>Расхождений нет.</x:v>
      </x:c>
      <x:c r="V5879" s="87" t="str">
        <x:v>VERIFIED</x:v>
      </x:c>
      <x:c r="W5879" s="87"/>
      <x:c r="X5879" s="87" t="n">
        <x:v>4</x:v>
      </x:c>
      <x:c r="Y5879" s="87"/>
      <x:c r="Z5879" s="87"/>
      <x:c r="AA5879" s="87"/>
      <x:c r="AB5879" s="87"/>
      <x:c r="AC5879" s="87" t="str">
        <x:v>VIS-EGKR-RUS-S26-TASK-962-P004</x:v>
      </x:c>
      <x:c r="AD5879" s="87" t="str">
        <x:v>VIS-EGKR-RUS-S26-ANSWERDOC-P003</x:v>
      </x:c>
      <x:c r="AE5879" s="87" t="str">
        <x:v>TASK; SECONDARY_ANSWER_SOURCE</x:v>
      </x:c>
      <x:c r="AF5879" s="87" t="str">
        <x:v>VIS-EGKR-RUS-S26-TASK-962-P004: 4; VIS-EGKR-RUS-S26-ANSWERDOC-P003: 3</x:v>
      </x:c>
      <x:c r="AG5879" s="87" t="str">
        <x:v>RESOLVED</x:v>
      </x:c>
      <x:c r="AH5879" s="87" t="str">
        <x:v>CROP_VERIFIED</x:v>
      </x:c>
      <x:c r="AI5879" s="30"/>
      <x:c r="AJ5879" s="87" t="str">
        <x:v>clean</x:v>
      </x:c>
      <x:c r="AK5879" s="87" t="str">
        <x:v>clean-v0.18</x:v>
      </x:c>
      <x:c r="AL5879" s="87" t="str">
        <x:v>statgrad_clean_continuation_v0_18(1).xlsx</x:v>
      </x:c>
      <x:c r="AM5879" s="87" t="str">
        <x:v>RUS_EGKR_962</x:v>
      </x:c>
      <x:c r="AN5879" s="87" t="n">
        <x:v>7</x:v>
      </x:c>
    </x:row>
    <x:row r="5880">
      <x:c r="A5880" s="87" t="n">
        <x:v>5879</x:v>
      </x:c>
      <x:c r="B5880" s="87" t="str">
        <x:v>EGKR-S26-RUS-962-07</x:v>
      </x:c>
      <x:c r="C5880" s="87" t="str">
        <x:v>ЕГКР</x:v>
      </x:c>
      <x:c r="D5880" s="87"/>
      <x:c r="E5880" s="87" t="str">
        <x:v>Весна 2026</x:v>
      </x:c>
      <x:c r="F5880" s="87" t="str">
        <x:v>24.03.2026</x:v>
      </x:c>
      <x:c r="G5880" s="87" t="str">
        <x:v>Русский язык</x:v>
      </x:c>
      <x:c r="H5880" s="87" t="n">
        <x:v>11</x:v>
      </x:c>
      <x:c r="I5880" s="87"/>
      <x:c r="J5880" s="87" t="str">
        <x:v>962</x:v>
      </x:c>
      <x:c r="K5880" s="87" t="n">
        <x:v>7</x:v>
      </x:c>
      <x:c r="L5880" s="87" t="str">
        <x:v>Морфологическая норма</x:v>
      </x:c>
      <x:c r="M5880" s="30" t="str">
        <x:v>Задание 7 варианта 962: Морфологическая норма. Полная формулировка сохранена на указанной визуальной странице.</x:v>
      </x:c>
      <x:c r="N5880" s="30" t="str">
        <x:v>мой</x:v>
      </x:c>
      <x:c r="O5880" s="30" t="str">
        <x:v>Ответ зафиксирован в формате задания; полное условие и варианты ответа доступны по VIS_ID.</x:v>
      </x:c>
      <x:c r="P5880" s="30"/>
      <x:c r="Q5880" s="30" t="str">
        <x:v>Ответ совпал с исходным ответником и независимой сверкой: Insperia — разбор варианта 962.</x:v>
      </x:c>
      <x:c r="R5880" s="30" t="str">
        <x:v>мой</x:v>
      </x:c>
      <x:c r="S5880" s="30"/>
      <x:c r="T5880" s="30" t="str">
        <x:v>Insperia — разбор варианта 962</x:v>
      </x:c>
      <x:c r="U5880" s="30" t="str">
        <x:v>Расхождений нет.</x:v>
      </x:c>
      <x:c r="V5880" s="87" t="str">
        <x:v>VERIFIED</x:v>
      </x:c>
      <x:c r="W5880" s="87"/>
      <x:c r="X5880" s="87" t="n">
        <x:v>4</x:v>
      </x:c>
      <x:c r="Y5880" s="87"/>
      <x:c r="Z5880" s="87"/>
      <x:c r="AA5880" s="87"/>
      <x:c r="AB5880" s="87"/>
      <x:c r="AC5880" s="87" t="str">
        <x:v>VIS-EGKR-RUS-S26-TASK-962-P004</x:v>
      </x:c>
      <x:c r="AD5880" s="87" t="str">
        <x:v>VIS-EGKR-RUS-S26-ANSWERDOC-P003</x:v>
      </x:c>
      <x:c r="AE5880" s="87" t="str">
        <x:v>TASK; SECONDARY_ANSWER_SOURCE</x:v>
      </x:c>
      <x:c r="AF5880" s="87" t="str">
        <x:v>VIS-EGKR-RUS-S26-TASK-962-P004: 4; VIS-EGKR-RUS-S26-ANSWERDOC-P003: 3</x:v>
      </x:c>
      <x:c r="AG5880" s="87" t="str">
        <x:v>RESOLVED</x:v>
      </x:c>
      <x:c r="AH5880" s="87" t="str">
        <x:v>CROP_VERIFIED</x:v>
      </x:c>
      <x:c r="AI5880" s="30"/>
      <x:c r="AJ5880" s="87" t="str">
        <x:v>clean</x:v>
      </x:c>
      <x:c r="AK5880" s="87" t="str">
        <x:v>clean-v0.18</x:v>
      </x:c>
      <x:c r="AL5880" s="87" t="str">
        <x:v>statgrad_clean_continuation_v0_18(1).xlsx</x:v>
      </x:c>
      <x:c r="AM5880" s="87" t="str">
        <x:v>RUS_EGKR_962</x:v>
      </x:c>
      <x:c r="AN5880" s="87" t="n">
        <x:v>8</x:v>
      </x:c>
    </x:row>
    <x:row r="5881">
      <x:c r="A5881" s="87" t="n">
        <x:v>5880</x:v>
      </x:c>
      <x:c r="B5881" s="87" t="str">
        <x:v>EGKR-S26-RUS-962-08</x:v>
      </x:c>
      <x:c r="C5881" s="87" t="str">
        <x:v>ЕГКР</x:v>
      </x:c>
      <x:c r="D5881" s="87"/>
      <x:c r="E5881" s="87" t="str">
        <x:v>Весна 2026</x:v>
      </x:c>
      <x:c r="F5881" s="87" t="str">
        <x:v>24.03.2026</x:v>
      </x:c>
      <x:c r="G5881" s="87" t="str">
        <x:v>Русский язык</x:v>
      </x:c>
      <x:c r="H5881" s="87" t="n">
        <x:v>11</x:v>
      </x:c>
      <x:c r="I5881" s="87"/>
      <x:c r="J5881" s="87" t="str">
        <x:v>962</x:v>
      </x:c>
      <x:c r="K5881" s="87" t="n">
        <x:v>8</x:v>
      </x:c>
      <x:c r="L5881" s="87" t="str">
        <x:v>Синтаксические нормы</x:v>
      </x:c>
      <x:c r="M5881" s="30" t="str">
        <x:v>Задание 8 варианта 962: Синтаксические нормы. Полная формулировка сохранена на указанной визуальной странице.</x:v>
      </x:c>
      <x:c r="N5881" s="30" t="str">
        <x:v>68392</x:v>
      </x:c>
      <x:c r="O5881" s="30" t="str">
        <x:v>Ответ зафиксирован в формате задания; полное условие и варианты ответа доступны по VIS_ID.</x:v>
      </x:c>
      <x:c r="P5881" s="30"/>
      <x:c r="Q5881" s="30" t="str">
        <x:v>Ответ совпал с исходным ответником и независимой сверкой: Insperia — разбор варианта 962.</x:v>
      </x:c>
      <x:c r="R5881" s="30" t="str">
        <x:v>68392</x:v>
      </x:c>
      <x:c r="S5881" s="30"/>
      <x:c r="T5881" s="30" t="str">
        <x:v>Insperia — разбор варианта 962</x:v>
      </x:c>
      <x:c r="U5881" s="30" t="str">
        <x:v>Расхождений нет.</x:v>
      </x:c>
      <x:c r="V5881" s="87" t="str">
        <x:v>VERIFIED</x:v>
      </x:c>
      <x:c r="W5881" s="87"/>
      <x:c r="X5881" s="87" t="n">
        <x:v>5</x:v>
      </x:c>
      <x:c r="Y5881" s="87"/>
      <x:c r="Z5881" s="87"/>
      <x:c r="AA5881" s="87"/>
      <x:c r="AB5881" s="87"/>
      <x:c r="AC5881" s="87" t="str">
        <x:v>VIS-EGKR-RUS-S26-TASK-962-P005</x:v>
      </x:c>
      <x:c r="AD5881" s="87" t="str">
        <x:v>VIS-EGKR-RUS-S26-ANSWERDOC-P003</x:v>
      </x:c>
      <x:c r="AE5881" s="87" t="str">
        <x:v>TASK; SECONDARY_ANSWER_SOURCE</x:v>
      </x:c>
      <x:c r="AF5881" s="87" t="str">
        <x:v>VIS-EGKR-RUS-S26-TASK-962-P005: 5; VIS-EGKR-RUS-S26-ANSWERDOC-P003: 3</x:v>
      </x:c>
      <x:c r="AG5881" s="87" t="str">
        <x:v>RESOLVED</x:v>
      </x:c>
      <x:c r="AH5881" s="87" t="str">
        <x:v>CROP_VERIFIED</x:v>
      </x:c>
      <x:c r="AI5881" s="30"/>
      <x:c r="AJ5881" s="87" t="str">
        <x:v>clean</x:v>
      </x:c>
      <x:c r="AK5881" s="87" t="str">
        <x:v>clean-v0.18</x:v>
      </x:c>
      <x:c r="AL5881" s="87" t="str">
        <x:v>statgrad_clean_continuation_v0_18(1).xlsx</x:v>
      </x:c>
      <x:c r="AM5881" s="87" t="str">
        <x:v>RUS_EGKR_962</x:v>
      </x:c>
      <x:c r="AN5881" s="87" t="n">
        <x:v>9</x:v>
      </x:c>
    </x:row>
    <x:row r="5882">
      <x:c r="A5882" s="87" t="n">
        <x:v>5881</x:v>
      </x:c>
      <x:c r="B5882" s="87" t="str">
        <x:v>EGKR-S26-RUS-962-09</x:v>
      </x:c>
      <x:c r="C5882" s="87" t="str">
        <x:v>ЕГКР</x:v>
      </x:c>
      <x:c r="D5882" s="87"/>
      <x:c r="E5882" s="87" t="str">
        <x:v>Весна 2026</x:v>
      </x:c>
      <x:c r="F5882" s="87" t="str">
        <x:v>24.03.2026</x:v>
      </x:c>
      <x:c r="G5882" s="87" t="str">
        <x:v>Русский язык</x:v>
      </x:c>
      <x:c r="H5882" s="87" t="n">
        <x:v>11</x:v>
      </x:c>
      <x:c r="I5882" s="87"/>
      <x:c r="J5882" s="87" t="str">
        <x:v>962</x:v>
      </x:c>
      <x:c r="K5882" s="87" t="n">
        <x:v>9</x:v>
      </x:c>
      <x:c r="L5882" s="87" t="str">
        <x:v>Правописание корней</x:v>
      </x:c>
      <x:c r="M5882" s="30" t="str">
        <x:v>Задание 9 варианта 962: Правописание корней. Полная формулировка сохранена на указанной визуальной странице.</x:v>
      </x:c>
      <x:c r="N5882" s="30" t="str">
        <x:v>35</x:v>
      </x:c>
      <x:c r="O5882" s="30" t="str">
        <x:v>Ответ зафиксирован в формате задания; полное условие и варианты ответа доступны по VIS_ID.</x:v>
      </x:c>
      <x:c r="P5882" s="30"/>
      <x:c r="Q5882" s="30" t="str">
        <x:v>Ответ независимо сверён по исходному заданию и разбору: Insperia — разбор варианта 962.</x:v>
      </x:c>
      <x:c r="R5882" s="30" t="str">
        <x:v>145</x:v>
      </x:c>
      <x:c r="S5882" s="30"/>
      <x:c r="T5882" s="30" t="str">
        <x:v>Insperia — разбор варианта 962</x:v>
      </x:c>
      <x:c r="U5882" s="30" t="str">
        <x:v>Ответник: 145; канонический ответ: 35.</x:v>
      </x:c>
      <x:c r="V5882" s="87" t="str">
        <x:v>KEY_MISMATCH</x:v>
      </x:c>
      <x:c r="W5882" s="87"/>
      <x:c r="X5882" s="87" t="n">
        <x:v>6</x:v>
      </x:c>
      <x:c r="Y5882" s="87"/>
      <x:c r="Z5882" s="87"/>
      <x:c r="AA5882" s="87"/>
      <x:c r="AB5882" s="87"/>
      <x:c r="AC5882" s="87" t="str">
        <x:v>VIS-EGKR-RUS-S26-TASK-962-P006</x:v>
      </x:c>
      <x:c r="AD5882" s="87" t="str">
        <x:v>VIS-EGKR-RUS-S26-ANSWERDOC-P003</x:v>
      </x:c>
      <x:c r="AE5882" s="87" t="str">
        <x:v>TASK; SECONDARY_ANSWER_SOURCE</x:v>
      </x:c>
      <x:c r="AF5882" s="87" t="str">
        <x:v>VIS-EGKR-RUS-S26-TASK-962-P006: 6; VIS-EGKR-RUS-S26-ANSWERDOC-P003: 3</x:v>
      </x:c>
      <x:c r="AG5882" s="87" t="str">
        <x:v>RESOLVED</x:v>
      </x:c>
      <x:c r="AH5882" s="87" t="str">
        <x:v>CROP_VERIFIED</x:v>
      </x:c>
      <x:c r="AI5882" s="30"/>
      <x:c r="AJ5882" s="87" t="str">
        <x:v>clean</x:v>
      </x:c>
      <x:c r="AK5882" s="87" t="str">
        <x:v>clean-v0.18</x:v>
      </x:c>
      <x:c r="AL5882" s="87" t="str">
        <x:v>statgrad_clean_continuation_v0_18(1).xlsx</x:v>
      </x:c>
      <x:c r="AM5882" s="87" t="str">
        <x:v>RUS_EGKR_962</x:v>
      </x:c>
      <x:c r="AN5882" s="87" t="n">
        <x:v>10</x:v>
      </x:c>
    </x:row>
    <x:row r="5883">
      <x:c r="A5883" s="87" t="n">
        <x:v>5882</x:v>
      </x:c>
      <x:c r="B5883" s="87" t="str">
        <x:v>EGKR-S26-RUS-962-10</x:v>
      </x:c>
      <x:c r="C5883" s="87" t="str">
        <x:v>ЕГКР</x:v>
      </x:c>
      <x:c r="D5883" s="87"/>
      <x:c r="E5883" s="87" t="str">
        <x:v>Весна 2026</x:v>
      </x:c>
      <x:c r="F5883" s="87" t="str">
        <x:v>24.03.2026</x:v>
      </x:c>
      <x:c r="G5883" s="87" t="str">
        <x:v>Русский язык</x:v>
      </x:c>
      <x:c r="H5883" s="87" t="n">
        <x:v>11</x:v>
      </x:c>
      <x:c r="I5883" s="87"/>
      <x:c r="J5883" s="87" t="str">
        <x:v>962</x:v>
      </x:c>
      <x:c r="K5883" s="87" t="n">
        <x:v>10</x:v>
      </x:c>
      <x:c r="L5883" s="87" t="str">
        <x:v>Правописание приставок</x:v>
      </x:c>
      <x:c r="M5883" s="30" t="str">
        <x:v>Задание 10 варианта 962: Правописание приставок. Полная формулировка сохранена на указанной визуальной странице.</x:v>
      </x:c>
      <x:c r="N5883" s="30" t="str">
        <x:v>135</x:v>
      </x:c>
      <x:c r="O5883" s="30" t="str">
        <x:v>Ответ зафиксирован в формате задания; полное условие и варианты ответа доступны по VIS_ID.</x:v>
      </x:c>
      <x:c r="P5883" s="30"/>
      <x:c r="Q5883" s="30" t="str">
        <x:v>Ответ совпал с исходным ответником и независимой сверкой: Insperia — разбор варианта 962.</x:v>
      </x:c>
      <x:c r="R5883" s="30" t="str">
        <x:v>135</x:v>
      </x:c>
      <x:c r="S5883" s="30"/>
      <x:c r="T5883" s="30" t="str">
        <x:v>Insperia — разбор варианта 962</x:v>
      </x:c>
      <x:c r="U5883" s="30" t="str">
        <x:v>Расхождений нет.</x:v>
      </x:c>
      <x:c r="V5883" s="87" t="str">
        <x:v>VERIFIED</x:v>
      </x:c>
      <x:c r="W5883" s="87"/>
      <x:c r="X5883" s="87" t="n">
        <x:v>6</x:v>
      </x:c>
      <x:c r="Y5883" s="87"/>
      <x:c r="Z5883" s="87"/>
      <x:c r="AA5883" s="87"/>
      <x:c r="AB5883" s="87"/>
      <x:c r="AC5883" s="87" t="str">
        <x:v>VIS-EGKR-RUS-S26-TASK-962-P006</x:v>
      </x:c>
      <x:c r="AD5883" s="87" t="str">
        <x:v>VIS-EGKR-RUS-S26-ANSWERDOC-P003</x:v>
      </x:c>
      <x:c r="AE5883" s="87" t="str">
        <x:v>TASK; SECONDARY_ANSWER_SOURCE</x:v>
      </x:c>
      <x:c r="AF5883" s="87" t="str">
        <x:v>VIS-EGKR-RUS-S26-TASK-962-P006: 6; VIS-EGKR-RUS-S26-ANSWERDOC-P003: 3</x:v>
      </x:c>
      <x:c r="AG5883" s="87" t="str">
        <x:v>RESOLVED</x:v>
      </x:c>
      <x:c r="AH5883" s="87" t="str">
        <x:v>CROP_VERIFIED</x:v>
      </x:c>
      <x:c r="AI5883" s="30"/>
      <x:c r="AJ5883" s="87" t="str">
        <x:v>clean</x:v>
      </x:c>
      <x:c r="AK5883" s="87" t="str">
        <x:v>clean-v0.18</x:v>
      </x:c>
      <x:c r="AL5883" s="87" t="str">
        <x:v>statgrad_clean_continuation_v0_18(1).xlsx</x:v>
      </x:c>
      <x:c r="AM5883" s="87" t="str">
        <x:v>RUS_EGKR_962</x:v>
      </x:c>
      <x:c r="AN5883" s="87" t="n">
        <x:v>11</x:v>
      </x:c>
    </x:row>
    <x:row r="5884">
      <x:c r="A5884" s="87" t="n">
        <x:v>5883</x:v>
      </x:c>
      <x:c r="B5884" s="87" t="str">
        <x:v>EGKR-S26-RUS-962-11</x:v>
      </x:c>
      <x:c r="C5884" s="87" t="str">
        <x:v>ЕГКР</x:v>
      </x:c>
      <x:c r="D5884" s="87"/>
      <x:c r="E5884" s="87" t="str">
        <x:v>Весна 2026</x:v>
      </x:c>
      <x:c r="F5884" s="87" t="str">
        <x:v>24.03.2026</x:v>
      </x:c>
      <x:c r="G5884" s="87" t="str">
        <x:v>Русский язык</x:v>
      </x:c>
      <x:c r="H5884" s="87" t="n">
        <x:v>11</x:v>
      </x:c>
      <x:c r="I5884" s="87"/>
      <x:c r="J5884" s="87" t="str">
        <x:v>962</x:v>
      </x:c>
      <x:c r="K5884" s="87" t="n">
        <x:v>11</x:v>
      </x:c>
      <x:c r="L5884" s="87" t="str">
        <x:v>Правописание суффиксов</x:v>
      </x:c>
      <x:c r="M5884" s="30" t="str">
        <x:v>Задание 11 варианта 962: Правописание суффиксов. Полная формулировка сохранена на указанной визуальной странице.</x:v>
      </x:c>
      <x:c r="N5884" s="30" t="str">
        <x:v>12</x:v>
      </x:c>
      <x:c r="O5884" s="30" t="str">
        <x:v>Ответ зафиксирован в формате задания; полное условие и варианты ответа доступны по VIS_ID.</x:v>
      </x:c>
      <x:c r="P5884" s="30"/>
      <x:c r="Q5884" s="30" t="str">
        <x:v>Ответ совпал с исходным ответником и независимой сверкой: Insperia — разбор варианта 962.</x:v>
      </x:c>
      <x:c r="R5884" s="30" t="str">
        <x:v>12</x:v>
      </x:c>
      <x:c r="S5884" s="30"/>
      <x:c r="T5884" s="30" t="str">
        <x:v>Insperia — разбор варианта 962</x:v>
      </x:c>
      <x:c r="U5884" s="30" t="str">
        <x:v>Расхождений нет.</x:v>
      </x:c>
      <x:c r="V5884" s="87" t="str">
        <x:v>VERIFIED</x:v>
      </x:c>
      <x:c r="W5884" s="87"/>
      <x:c r="X5884" s="87" t="n">
        <x:v>6</x:v>
      </x:c>
      <x:c r="Y5884" s="87"/>
      <x:c r="Z5884" s="87"/>
      <x:c r="AA5884" s="87"/>
      <x:c r="AB5884" s="87"/>
      <x:c r="AC5884" s="87" t="str">
        <x:v>VIS-EGKR-RUS-S26-TASK-962-P006</x:v>
      </x:c>
      <x:c r="AD5884" s="87" t="str">
        <x:v>VIS-EGKR-RUS-S26-ANSWERDOC-P003</x:v>
      </x:c>
      <x:c r="AE5884" s="87" t="str">
        <x:v>TASK; SECONDARY_ANSWER_SOURCE</x:v>
      </x:c>
      <x:c r="AF5884" s="87" t="str">
        <x:v>VIS-EGKR-RUS-S26-TASK-962-P006: 6; VIS-EGKR-RUS-S26-ANSWERDOC-P003: 3</x:v>
      </x:c>
      <x:c r="AG5884" s="87" t="str">
        <x:v>RESOLVED</x:v>
      </x:c>
      <x:c r="AH5884" s="87" t="str">
        <x:v>CROP_VERIFIED</x:v>
      </x:c>
      <x:c r="AI5884" s="30"/>
      <x:c r="AJ5884" s="87" t="str">
        <x:v>clean</x:v>
      </x:c>
      <x:c r="AK5884" s="87" t="str">
        <x:v>clean-v0.18</x:v>
      </x:c>
      <x:c r="AL5884" s="87" t="str">
        <x:v>statgrad_clean_continuation_v0_18(1).xlsx</x:v>
      </x:c>
      <x:c r="AM5884" s="87" t="str">
        <x:v>RUS_EGKR_962</x:v>
      </x:c>
      <x:c r="AN5884" s="87" t="n">
        <x:v>12</x:v>
      </x:c>
    </x:row>
    <x:row r="5885">
      <x:c r="A5885" s="87" t="n">
        <x:v>5884</x:v>
      </x:c>
      <x:c r="B5885" s="87" t="str">
        <x:v>EGKR-S26-RUS-962-12</x:v>
      </x:c>
      <x:c r="C5885" s="87" t="str">
        <x:v>ЕГКР</x:v>
      </x:c>
      <x:c r="D5885" s="87"/>
      <x:c r="E5885" s="87" t="str">
        <x:v>Весна 2026</x:v>
      </x:c>
      <x:c r="F5885" s="87" t="str">
        <x:v>24.03.2026</x:v>
      </x:c>
      <x:c r="G5885" s="87" t="str">
        <x:v>Русский язык</x:v>
      </x:c>
      <x:c r="H5885" s="87" t="n">
        <x:v>11</x:v>
      </x:c>
      <x:c r="I5885" s="87"/>
      <x:c r="J5885" s="87" t="str">
        <x:v>962</x:v>
      </x:c>
      <x:c r="K5885" s="87" t="n">
        <x:v>12</x:v>
      </x:c>
      <x:c r="L5885" s="87" t="str">
        <x:v>Глаголы и причастия</x:v>
      </x:c>
      <x:c r="M5885" s="30" t="str">
        <x:v>Задание 12 варианта 962: Глаголы и причастия. Полная формулировка сохранена на указанной визуальной странице.</x:v>
      </x:c>
      <x:c r="N5885" s="30" t="str">
        <x:v>25</x:v>
      </x:c>
      <x:c r="O5885" s="30" t="str">
        <x:v>Ответ зафиксирован в формате задания; полное условие и варианты ответа доступны по VIS_ID.</x:v>
      </x:c>
      <x:c r="P5885" s="30"/>
      <x:c r="Q5885" s="30" t="str">
        <x:v>Ответ независимо сверён по исходному заданию и разбору: Insperia — разбор варианта 962.</x:v>
      </x:c>
      <x:c r="R5885" s="30" t="str">
        <x:v>134</x:v>
      </x:c>
      <x:c r="S5885" s="30"/>
      <x:c r="T5885" s="30" t="str">
        <x:v>Insperia — разбор варианта 962</x:v>
      </x:c>
      <x:c r="U5885" s="30" t="str">
        <x:v>Ответник: 134; канонический ответ: 25.</x:v>
      </x:c>
      <x:c r="V5885" s="87" t="str">
        <x:v>KEY_MISMATCH</x:v>
      </x:c>
      <x:c r="W5885" s="87"/>
      <x:c r="X5885" s="87" t="n">
        <x:v>6</x:v>
      </x:c>
      <x:c r="Y5885" s="87"/>
      <x:c r="Z5885" s="87"/>
      <x:c r="AA5885" s="87"/>
      <x:c r="AB5885" s="87"/>
      <x:c r="AC5885" s="87" t="str">
        <x:v>VIS-EGKR-RUS-S26-TASK-962-P006</x:v>
      </x:c>
      <x:c r="AD5885" s="87" t="str">
        <x:v>VIS-EGKR-RUS-S26-ANSWERDOC-P003</x:v>
      </x:c>
      <x:c r="AE5885" s="87" t="str">
        <x:v>TASK; SECONDARY_ANSWER_SOURCE</x:v>
      </x:c>
      <x:c r="AF5885" s="87" t="str">
        <x:v>VIS-EGKR-RUS-S26-TASK-962-P006: 6; VIS-EGKR-RUS-S26-ANSWERDOC-P003: 3</x:v>
      </x:c>
      <x:c r="AG5885" s="87" t="str">
        <x:v>RESOLVED</x:v>
      </x:c>
      <x:c r="AH5885" s="87" t="str">
        <x:v>CROP_VERIFIED</x:v>
      </x:c>
      <x:c r="AI5885" s="30"/>
      <x:c r="AJ5885" s="87" t="str">
        <x:v>clean</x:v>
      </x:c>
      <x:c r="AK5885" s="87" t="str">
        <x:v>clean-v0.18</x:v>
      </x:c>
      <x:c r="AL5885" s="87" t="str">
        <x:v>statgrad_clean_continuation_v0_18(1).xlsx</x:v>
      </x:c>
      <x:c r="AM5885" s="87" t="str">
        <x:v>RUS_EGKR_962</x:v>
      </x:c>
      <x:c r="AN5885" s="87" t="n">
        <x:v>13</x:v>
      </x:c>
    </x:row>
    <x:row r="5886">
      <x:c r="A5886" s="87" t="n">
        <x:v>5885</x:v>
      </x:c>
      <x:c r="B5886" s="87" t="str">
        <x:v>EGKR-S26-RUS-962-13</x:v>
      </x:c>
      <x:c r="C5886" s="87" t="str">
        <x:v>ЕГКР</x:v>
      </x:c>
      <x:c r="D5886" s="87"/>
      <x:c r="E5886" s="87" t="str">
        <x:v>Весна 2026</x:v>
      </x:c>
      <x:c r="F5886" s="87" t="str">
        <x:v>24.03.2026</x:v>
      </x:c>
      <x:c r="G5886" s="87" t="str">
        <x:v>Русский язык</x:v>
      </x:c>
      <x:c r="H5886" s="87" t="n">
        <x:v>11</x:v>
      </x:c>
      <x:c r="I5886" s="87"/>
      <x:c r="J5886" s="87" t="str">
        <x:v>962</x:v>
      </x:c>
      <x:c r="K5886" s="87" t="n">
        <x:v>13</x:v>
      </x:c>
      <x:c r="L5886" s="87" t="str">
        <x:v>НЕ и НИ</x:v>
      </x:c>
      <x:c r="M5886" s="30" t="str">
        <x:v>Задание 13 варианта 962: НЕ и НИ. Полная формулировка сохранена на указанной визуальной странице.</x:v>
      </x:c>
      <x:c r="N5886" s="30" t="str">
        <x:v>25</x:v>
      </x:c>
      <x:c r="O5886" s="30" t="str">
        <x:v>Ответ зафиксирован в формате задания; полное условие и варианты ответа доступны по VIS_ID.</x:v>
      </x:c>
      <x:c r="P5886" s="30"/>
      <x:c r="Q5886" s="30" t="str">
        <x:v>Ответ совпал с исходным ответником и независимой сверкой: Insperia — разбор варианта 962.</x:v>
      </x:c>
      <x:c r="R5886" s="30" t="str">
        <x:v>25</x:v>
      </x:c>
      <x:c r="S5886" s="30"/>
      <x:c r="T5886" s="30" t="str">
        <x:v>Insperia — разбор варианта 962</x:v>
      </x:c>
      <x:c r="U5886" s="30" t="str">
        <x:v>Расхождений нет.</x:v>
      </x:c>
      <x:c r="V5886" s="87" t="str">
        <x:v>VERIFIED</x:v>
      </x:c>
      <x:c r="W5886" s="87"/>
      <x:c r="X5886" s="87" t="n">
        <x:v>7</x:v>
      </x:c>
      <x:c r="Y5886" s="87"/>
      <x:c r="Z5886" s="87"/>
      <x:c r="AA5886" s="87"/>
      <x:c r="AB5886" s="87"/>
      <x:c r="AC5886" s="87" t="str">
        <x:v>VIS-EGKR-RUS-S26-TASK-962-P007</x:v>
      </x:c>
      <x:c r="AD5886" s="87" t="str">
        <x:v>VIS-EGKR-RUS-S26-ANSWERDOC-P003</x:v>
      </x:c>
      <x:c r="AE5886" s="87" t="str">
        <x:v>TASK; SECONDARY_ANSWER_SOURCE</x:v>
      </x:c>
      <x:c r="AF5886" s="87" t="str">
        <x:v>VIS-EGKR-RUS-S26-TASK-962-P007: 7; VIS-EGKR-RUS-S26-ANSWERDOC-P003: 3</x:v>
      </x:c>
      <x:c r="AG5886" s="87" t="str">
        <x:v>RESOLVED</x:v>
      </x:c>
      <x:c r="AH5886" s="87" t="str">
        <x:v>CROP_VERIFIED</x:v>
      </x:c>
      <x:c r="AI5886" s="30"/>
      <x:c r="AJ5886" s="87" t="str">
        <x:v>clean</x:v>
      </x:c>
      <x:c r="AK5886" s="87" t="str">
        <x:v>clean-v0.18</x:v>
      </x:c>
      <x:c r="AL5886" s="87" t="str">
        <x:v>statgrad_clean_continuation_v0_18(1).xlsx</x:v>
      </x:c>
      <x:c r="AM5886" s="87" t="str">
        <x:v>RUS_EGKR_962</x:v>
      </x:c>
      <x:c r="AN5886" s="87" t="n">
        <x:v>14</x:v>
      </x:c>
    </x:row>
    <x:row r="5887">
      <x:c r="A5887" s="87" t="n">
        <x:v>5886</x:v>
      </x:c>
      <x:c r="B5887" s="87" t="str">
        <x:v>EGKR-S26-RUS-962-14</x:v>
      </x:c>
      <x:c r="C5887" s="87" t="str">
        <x:v>ЕГКР</x:v>
      </x:c>
      <x:c r="D5887" s="87"/>
      <x:c r="E5887" s="87" t="str">
        <x:v>Весна 2026</x:v>
      </x:c>
      <x:c r="F5887" s="87" t="str">
        <x:v>24.03.2026</x:v>
      </x:c>
      <x:c r="G5887" s="87" t="str">
        <x:v>Русский язык</x:v>
      </x:c>
      <x:c r="H5887" s="87" t="n">
        <x:v>11</x:v>
      </x:c>
      <x:c r="I5887" s="87"/>
      <x:c r="J5887" s="87" t="str">
        <x:v>962</x:v>
      </x:c>
      <x:c r="K5887" s="87" t="n">
        <x:v>14</x:v>
      </x:c>
      <x:c r="L5887" s="87" t="str">
        <x:v>Слитное, раздельное и дефисное написание</x:v>
      </x:c>
      <x:c r="M5887" s="30" t="str">
        <x:v>Задание 14 варианта 962: Слитное, раздельное и дефисное написание. Полная формулировка сохранена на указанной визуальной странице.</x:v>
      </x:c>
      <x:c r="N5887" s="30" t="str">
        <x:v>34</x:v>
      </x:c>
      <x:c r="O5887" s="30" t="str">
        <x:v>Ответ зафиксирован в формате задания; полное условие и варианты ответа доступны по VIS_ID.</x:v>
      </x:c>
      <x:c r="P5887" s="30"/>
      <x:c r="Q5887" s="30" t="str">
        <x:v>Ответ совпал с исходным ответником и независимой сверкой: Insperia — разбор варианта 962.</x:v>
      </x:c>
      <x:c r="R5887" s="30" t="str">
        <x:v>34</x:v>
      </x:c>
      <x:c r="S5887" s="30"/>
      <x:c r="T5887" s="30" t="str">
        <x:v>Insperia — разбор варианта 962</x:v>
      </x:c>
      <x:c r="U5887" s="30" t="str">
        <x:v>Расхождений нет.</x:v>
      </x:c>
      <x:c r="V5887" s="87" t="str">
        <x:v>VERIFIED</x:v>
      </x:c>
      <x:c r="W5887" s="87"/>
      <x:c r="X5887" s="87" t="n">
        <x:v>7</x:v>
      </x:c>
      <x:c r="Y5887" s="87"/>
      <x:c r="Z5887" s="87"/>
      <x:c r="AA5887" s="87"/>
      <x:c r="AB5887" s="87"/>
      <x:c r="AC5887" s="87" t="str">
        <x:v>VIS-EGKR-RUS-S26-TASK-962-P007</x:v>
      </x:c>
      <x:c r="AD5887" s="87" t="str">
        <x:v>VIS-EGKR-RUS-S26-ANSWERDOC-P003</x:v>
      </x:c>
      <x:c r="AE5887" s="87" t="str">
        <x:v>TASK; SECONDARY_ANSWER_SOURCE</x:v>
      </x:c>
      <x:c r="AF5887" s="87" t="str">
        <x:v>VIS-EGKR-RUS-S26-TASK-962-P007: 7; VIS-EGKR-RUS-S26-ANSWERDOC-P003: 3</x:v>
      </x:c>
      <x:c r="AG5887" s="87" t="str">
        <x:v>RESOLVED</x:v>
      </x:c>
      <x:c r="AH5887" s="87" t="str">
        <x:v>CROP_VERIFIED</x:v>
      </x:c>
      <x:c r="AI5887" s="30"/>
      <x:c r="AJ5887" s="87" t="str">
        <x:v>clean</x:v>
      </x:c>
      <x:c r="AK5887" s="87" t="str">
        <x:v>clean-v0.18</x:v>
      </x:c>
      <x:c r="AL5887" s="87" t="str">
        <x:v>statgrad_clean_continuation_v0_18(1).xlsx</x:v>
      </x:c>
      <x:c r="AM5887" s="87" t="str">
        <x:v>RUS_EGKR_962</x:v>
      </x:c>
      <x:c r="AN5887" s="87" t="n">
        <x:v>15</x:v>
      </x:c>
    </x:row>
    <x:row r="5888">
      <x:c r="A5888" s="87" t="n">
        <x:v>5887</x:v>
      </x:c>
      <x:c r="B5888" s="87" t="str">
        <x:v>EGKR-S26-RUS-962-15</x:v>
      </x:c>
      <x:c r="C5888" s="87" t="str">
        <x:v>ЕГКР</x:v>
      </x:c>
      <x:c r="D5888" s="87"/>
      <x:c r="E5888" s="87" t="str">
        <x:v>Весна 2026</x:v>
      </x:c>
      <x:c r="F5888" s="87" t="str">
        <x:v>24.03.2026</x:v>
      </x:c>
      <x:c r="G5888" s="87" t="str">
        <x:v>Русский язык</x:v>
      </x:c>
      <x:c r="H5888" s="87" t="n">
        <x:v>11</x:v>
      </x:c>
      <x:c r="I5888" s="87"/>
      <x:c r="J5888" s="87" t="str">
        <x:v>962</x:v>
      </x:c>
      <x:c r="K5888" s="87" t="n">
        <x:v>15</x:v>
      </x:c>
      <x:c r="L5888" s="87" t="str">
        <x:v>Н и НН</x:v>
      </x:c>
      <x:c r="M5888" s="30" t="str">
        <x:v>Задание 15 варианта 962: Н и НН. Полная формулировка сохранена на указанной визуальной странице.</x:v>
      </x:c>
      <x:c r="N5888" s="30" t="str">
        <x:v>2</x:v>
      </x:c>
      <x:c r="O5888" s="30" t="str">
        <x:v>Ответ зафиксирован в формате задания; полное условие и варианты ответа доступны по VIS_ID.</x:v>
      </x:c>
      <x:c r="P5888" s="30"/>
      <x:c r="Q5888" s="30" t="str">
        <x:v>Ответ совпал с исходным ответником и независимой сверкой: Insperia — разбор варианта 962.</x:v>
      </x:c>
      <x:c r="R5888" s="30" t="str">
        <x:v>2</x:v>
      </x:c>
      <x:c r="S5888" s="30"/>
      <x:c r="T5888" s="30" t="str">
        <x:v>Insperia — разбор варианта 962</x:v>
      </x:c>
      <x:c r="U5888" s="30" t="str">
        <x:v>Расхождений нет.</x:v>
      </x:c>
      <x:c r="V5888" s="87" t="str">
        <x:v>VERIFIED</x:v>
      </x:c>
      <x:c r="W5888" s="87"/>
      <x:c r="X5888" s="87" t="n">
        <x:v>7</x:v>
      </x:c>
      <x:c r="Y5888" s="87"/>
      <x:c r="Z5888" s="87"/>
      <x:c r="AA5888" s="87"/>
      <x:c r="AB5888" s="87"/>
      <x:c r="AC5888" s="87" t="str">
        <x:v>VIS-EGKR-RUS-S26-TASK-962-P007</x:v>
      </x:c>
      <x:c r="AD5888" s="87" t="str">
        <x:v>VIS-EGKR-RUS-S26-ANSWERDOC-P003</x:v>
      </x:c>
      <x:c r="AE5888" s="87" t="str">
        <x:v>TASK; SECONDARY_ANSWER_SOURCE</x:v>
      </x:c>
      <x:c r="AF5888" s="87" t="str">
        <x:v>VIS-EGKR-RUS-S26-TASK-962-P007: 7; VIS-EGKR-RUS-S26-ANSWERDOC-P003: 3</x:v>
      </x:c>
      <x:c r="AG5888" s="87" t="str">
        <x:v>RESOLVED</x:v>
      </x:c>
      <x:c r="AH5888" s="87" t="str">
        <x:v>CROP_VERIFIED</x:v>
      </x:c>
      <x:c r="AI5888" s="30"/>
      <x:c r="AJ5888" s="87" t="str">
        <x:v>clean</x:v>
      </x:c>
      <x:c r="AK5888" s="87" t="str">
        <x:v>clean-v0.18</x:v>
      </x:c>
      <x:c r="AL5888" s="87" t="str">
        <x:v>statgrad_clean_continuation_v0_18(1).xlsx</x:v>
      </x:c>
      <x:c r="AM5888" s="87" t="str">
        <x:v>RUS_EGKR_962</x:v>
      </x:c>
      <x:c r="AN5888" s="87" t="n">
        <x:v>16</x:v>
      </x:c>
    </x:row>
    <x:row r="5889">
      <x:c r="A5889" s="87" t="n">
        <x:v>5888</x:v>
      </x:c>
      <x:c r="B5889" s="87" t="str">
        <x:v>EGKR-S26-RUS-962-16</x:v>
      </x:c>
      <x:c r="C5889" s="87" t="str">
        <x:v>ЕГКР</x:v>
      </x:c>
      <x:c r="D5889" s="87"/>
      <x:c r="E5889" s="87" t="str">
        <x:v>Весна 2026</x:v>
      </x:c>
      <x:c r="F5889" s="87" t="str">
        <x:v>24.03.2026</x:v>
      </x:c>
      <x:c r="G5889" s="87" t="str">
        <x:v>Русский язык</x:v>
      </x:c>
      <x:c r="H5889" s="87" t="n">
        <x:v>11</x:v>
      </x:c>
      <x:c r="I5889" s="87"/>
      <x:c r="J5889" s="87" t="str">
        <x:v>962</x:v>
      </x:c>
      <x:c r="K5889" s="87" t="n">
        <x:v>16</x:v>
      </x:c>
      <x:c r="L5889" s="87" t="str">
        <x:v>Пунктуация при однородных членах</x:v>
      </x:c>
      <x:c r="M5889" s="30" t="str">
        <x:v>Задание 16 варианта 962: Пунктуация при однородных членах. Полная формулировка сохранена на указанной визуальной странице.</x:v>
      </x:c>
      <x:c r="N5889" s="30" t="str">
        <x:v>12</x:v>
      </x:c>
      <x:c r="O5889" s="30" t="str">
        <x:v>Ответ зафиксирован в формате задания; полное условие и варианты ответа доступны по VIS_ID.</x:v>
      </x:c>
      <x:c r="P5889" s="30"/>
      <x:c r="Q5889" s="30" t="str">
        <x:v>Ответ совпал с исходным ответником и независимой сверкой: Insperia — разбор варианта 962.</x:v>
      </x:c>
      <x:c r="R5889" s="30" t="str">
        <x:v>12</x:v>
      </x:c>
      <x:c r="S5889" s="30"/>
      <x:c r="T5889" s="30" t="str">
        <x:v>Insperia — разбор варианта 962</x:v>
      </x:c>
      <x:c r="U5889" s="30" t="str">
        <x:v>Расхождений нет.</x:v>
      </x:c>
      <x:c r="V5889" s="87" t="str">
        <x:v>VERIFIED</x:v>
      </x:c>
      <x:c r="W5889" s="87"/>
      <x:c r="X5889" s="87" t="n">
        <x:v>8</x:v>
      </x:c>
      <x:c r="Y5889" s="87"/>
      <x:c r="Z5889" s="87"/>
      <x:c r="AA5889" s="87"/>
      <x:c r="AB5889" s="87"/>
      <x:c r="AC5889" s="87" t="str">
        <x:v>VIS-EGKR-RUS-S26-TASK-962-P008</x:v>
      </x:c>
      <x:c r="AD5889" s="87" t="str">
        <x:v>VIS-EGKR-RUS-S26-ANSWERDOC-P003</x:v>
      </x:c>
      <x:c r="AE5889" s="87" t="str">
        <x:v>TASK; SECONDARY_ANSWER_SOURCE</x:v>
      </x:c>
      <x:c r="AF5889" s="87" t="str">
        <x:v>VIS-EGKR-RUS-S26-TASK-962-P008: 8; VIS-EGKR-RUS-S26-ANSWERDOC-P003: 3</x:v>
      </x:c>
      <x:c r="AG5889" s="87" t="str">
        <x:v>RESOLVED</x:v>
      </x:c>
      <x:c r="AH5889" s="87" t="str">
        <x:v>CROP_VERIFIED</x:v>
      </x:c>
      <x:c r="AI5889" s="30"/>
      <x:c r="AJ5889" s="87" t="str">
        <x:v>clean</x:v>
      </x:c>
      <x:c r="AK5889" s="87" t="str">
        <x:v>clean-v0.18</x:v>
      </x:c>
      <x:c r="AL5889" s="87" t="str">
        <x:v>statgrad_clean_continuation_v0_18(1).xlsx</x:v>
      </x:c>
      <x:c r="AM5889" s="87" t="str">
        <x:v>RUS_EGKR_962</x:v>
      </x:c>
      <x:c r="AN5889" s="87" t="n">
        <x:v>17</x:v>
      </x:c>
    </x:row>
    <x:row r="5890">
      <x:c r="A5890" s="87" t="n">
        <x:v>5889</x:v>
      </x:c>
      <x:c r="B5890" s="87" t="str">
        <x:v>EGKR-S26-RUS-962-17</x:v>
      </x:c>
      <x:c r="C5890" s="87" t="str">
        <x:v>ЕГКР</x:v>
      </x:c>
      <x:c r="D5890" s="87"/>
      <x:c r="E5890" s="87" t="str">
        <x:v>Весна 2026</x:v>
      </x:c>
      <x:c r="F5890" s="87" t="str">
        <x:v>24.03.2026</x:v>
      </x:c>
      <x:c r="G5890" s="87" t="str">
        <x:v>Русский язык</x:v>
      </x:c>
      <x:c r="H5890" s="87" t="n">
        <x:v>11</x:v>
      </x:c>
      <x:c r="I5890" s="87"/>
      <x:c r="J5890" s="87" t="str">
        <x:v>962</x:v>
      </x:c>
      <x:c r="K5890" s="87" t="n">
        <x:v>17</x:v>
      </x:c>
      <x:c r="L5890" s="87" t="str">
        <x:v>Обособленные конструкции</x:v>
      </x:c>
      <x:c r="M5890" s="30" t="str">
        <x:v>Задание 17 варианта 962: Обособленные конструкции. Полная формулировка сохранена на указанной визуальной странице.</x:v>
      </x:c>
      <x:c r="N5890" s="30" t="str">
        <x:v>3456</x:v>
      </x:c>
      <x:c r="O5890" s="30" t="str">
        <x:v>Ответ зафиксирован в формате задания; полное условие и варианты ответа доступны по VIS_ID.</x:v>
      </x:c>
      <x:c r="P5890" s="30"/>
      <x:c r="Q5890" s="30" t="str">
        <x:v>Ответ совпал с исходным ответником и независимой сверкой: Insperia — разбор варианта 962.</x:v>
      </x:c>
      <x:c r="R5890" s="30" t="str">
        <x:v>3456</x:v>
      </x:c>
      <x:c r="S5890" s="30"/>
      <x:c r="T5890" s="30" t="str">
        <x:v>Insperia — разбор варианта 962</x:v>
      </x:c>
      <x:c r="U5890" s="30" t="str">
        <x:v>Расхождений нет.</x:v>
      </x:c>
      <x:c r="V5890" s="87" t="str">
        <x:v>VERIFIED</x:v>
      </x:c>
      <x:c r="W5890" s="87"/>
      <x:c r="X5890" s="87" t="n">
        <x:v>8</x:v>
      </x:c>
      <x:c r="Y5890" s="87"/>
      <x:c r="Z5890" s="87"/>
      <x:c r="AA5890" s="87"/>
      <x:c r="AB5890" s="87"/>
      <x:c r="AC5890" s="87" t="str">
        <x:v>VIS-EGKR-RUS-S26-TASK-962-P008</x:v>
      </x:c>
      <x:c r="AD5890" s="87" t="str">
        <x:v>VIS-EGKR-RUS-S26-ANSWERDOC-P003</x:v>
      </x:c>
      <x:c r="AE5890" s="87" t="str">
        <x:v>TASK; SECONDARY_ANSWER_SOURCE</x:v>
      </x:c>
      <x:c r="AF5890" s="87" t="str">
        <x:v>VIS-EGKR-RUS-S26-TASK-962-P008: 8; VIS-EGKR-RUS-S26-ANSWERDOC-P003: 3</x:v>
      </x:c>
      <x:c r="AG5890" s="87" t="str">
        <x:v>RESOLVED</x:v>
      </x:c>
      <x:c r="AH5890" s="87" t="str">
        <x:v>CROP_VERIFIED</x:v>
      </x:c>
      <x:c r="AI5890" s="30"/>
      <x:c r="AJ5890" s="87" t="str">
        <x:v>clean</x:v>
      </x:c>
      <x:c r="AK5890" s="87" t="str">
        <x:v>clean-v0.18</x:v>
      </x:c>
      <x:c r="AL5890" s="87" t="str">
        <x:v>statgrad_clean_continuation_v0_18(1).xlsx</x:v>
      </x:c>
      <x:c r="AM5890" s="87" t="str">
        <x:v>RUS_EGKR_962</x:v>
      </x:c>
      <x:c r="AN5890" s="87" t="n">
        <x:v>18</x:v>
      </x:c>
    </x:row>
    <x:row r="5891">
      <x:c r="A5891" s="87" t="n">
        <x:v>5890</x:v>
      </x:c>
      <x:c r="B5891" s="87" t="str">
        <x:v>EGKR-S26-RUS-962-18</x:v>
      </x:c>
      <x:c r="C5891" s="87" t="str">
        <x:v>ЕГКР</x:v>
      </x:c>
      <x:c r="D5891" s="87"/>
      <x:c r="E5891" s="87" t="str">
        <x:v>Весна 2026</x:v>
      </x:c>
      <x:c r="F5891" s="87" t="str">
        <x:v>24.03.2026</x:v>
      </x:c>
      <x:c r="G5891" s="87" t="str">
        <x:v>Русский язык</x:v>
      </x:c>
      <x:c r="H5891" s="87" t="n">
        <x:v>11</x:v>
      </x:c>
      <x:c r="I5891" s="87"/>
      <x:c r="J5891" s="87" t="str">
        <x:v>962</x:v>
      </x:c>
      <x:c r="K5891" s="87" t="n">
        <x:v>18</x:v>
      </x:c>
      <x:c r="L5891" s="87" t="str">
        <x:v>Вводные слова и обращения</x:v>
      </x:c>
      <x:c r="M5891" s="30" t="str">
        <x:v>Задание 18 варианта 962: Вводные слова и обращения. Полная формулировка сохранена на указанной визуальной странице.</x:v>
      </x:c>
      <x:c r="N5891" s="30" t="str">
        <x:v>23456</x:v>
      </x:c>
      <x:c r="O5891" s="30" t="str">
        <x:v>Ответ зафиксирован в формате задания; полное условие и варианты ответа доступны по VIS_ID.</x:v>
      </x:c>
      <x:c r="P5891" s="30"/>
      <x:c r="Q5891" s="30" t="str">
        <x:v>Ответ совпал с исходным ответником и независимой сверкой: Insperia — разбор варианта 962.</x:v>
      </x:c>
      <x:c r="R5891" s="30" t="str">
        <x:v>23456</x:v>
      </x:c>
      <x:c r="S5891" s="30"/>
      <x:c r="T5891" s="30" t="str">
        <x:v>Insperia — разбор варианта 962</x:v>
      </x:c>
      <x:c r="U5891" s="30" t="str">
        <x:v>Расхождений нет.</x:v>
      </x:c>
      <x:c r="V5891" s="87" t="str">
        <x:v>VERIFIED</x:v>
      </x:c>
      <x:c r="W5891" s="87"/>
      <x:c r="X5891" s="87" t="n">
        <x:v>8</x:v>
      </x:c>
      <x:c r="Y5891" s="87"/>
      <x:c r="Z5891" s="87"/>
      <x:c r="AA5891" s="87"/>
      <x:c r="AB5891" s="87"/>
      <x:c r="AC5891" s="87" t="str">
        <x:v>VIS-EGKR-RUS-S26-TASK-962-P008</x:v>
      </x:c>
      <x:c r="AD5891" s="87" t="str">
        <x:v>VIS-EGKR-RUS-S26-ANSWERDOC-P003</x:v>
      </x:c>
      <x:c r="AE5891" s="87" t="str">
        <x:v>TASK; SECONDARY_ANSWER_SOURCE</x:v>
      </x:c>
      <x:c r="AF5891" s="87" t="str">
        <x:v>VIS-EGKR-RUS-S26-TASK-962-P008: 8; VIS-EGKR-RUS-S26-ANSWERDOC-P003: 3</x:v>
      </x:c>
      <x:c r="AG5891" s="87" t="str">
        <x:v>RESOLVED</x:v>
      </x:c>
      <x:c r="AH5891" s="87" t="str">
        <x:v>CROP_VERIFIED</x:v>
      </x:c>
      <x:c r="AI5891" s="30"/>
      <x:c r="AJ5891" s="87" t="str">
        <x:v>clean</x:v>
      </x:c>
      <x:c r="AK5891" s="87" t="str">
        <x:v>clean-v0.18</x:v>
      </x:c>
      <x:c r="AL5891" s="87" t="str">
        <x:v>statgrad_clean_continuation_v0_18(1).xlsx</x:v>
      </x:c>
      <x:c r="AM5891" s="87" t="str">
        <x:v>RUS_EGKR_962</x:v>
      </x:c>
      <x:c r="AN5891" s="87" t="n">
        <x:v>19</x:v>
      </x:c>
    </x:row>
    <x:row r="5892">
      <x:c r="A5892" s="87" t="n">
        <x:v>5891</x:v>
      </x:c>
      <x:c r="B5892" s="87" t="str">
        <x:v>EGKR-S26-RUS-962-19</x:v>
      </x:c>
      <x:c r="C5892" s="87" t="str">
        <x:v>ЕГКР</x:v>
      </x:c>
      <x:c r="D5892" s="87"/>
      <x:c r="E5892" s="87" t="str">
        <x:v>Весна 2026</x:v>
      </x:c>
      <x:c r="F5892" s="87" t="str">
        <x:v>24.03.2026</x:v>
      </x:c>
      <x:c r="G5892" s="87" t="str">
        <x:v>Русский язык</x:v>
      </x:c>
      <x:c r="H5892" s="87" t="n">
        <x:v>11</x:v>
      </x:c>
      <x:c r="I5892" s="87"/>
      <x:c r="J5892" s="87" t="str">
        <x:v>962</x:v>
      </x:c>
      <x:c r="K5892" s="87" t="n">
        <x:v>19</x:v>
      </x:c>
      <x:c r="L5892" s="87" t="str">
        <x:v>Сложноподчинённое предложение</x:v>
      </x:c>
      <x:c r="M5892" s="30" t="str">
        <x:v>Задание 19 варианта 962: Сложноподчинённое предложение. Полная формулировка сохранена на указанной визуальной странице.</x:v>
      </x:c>
      <x:c r="N5892" s="30" t="str">
        <x:v>1468</x:v>
      </x:c>
      <x:c r="O5892" s="30" t="str">
        <x:v>Ответ зафиксирован в формате задания; полное условие и варианты ответа доступны по VIS_ID.</x:v>
      </x:c>
      <x:c r="P5892" s="30"/>
      <x:c r="Q5892" s="30" t="str">
        <x:v>Ответ совпал с исходным ответником и независимой сверкой: Insperia — разбор варианта 962.</x:v>
      </x:c>
      <x:c r="R5892" s="30" t="str">
        <x:v>1468</x:v>
      </x:c>
      <x:c r="S5892" s="30"/>
      <x:c r="T5892" s="30" t="str">
        <x:v>Insperia — разбор варианта 962</x:v>
      </x:c>
      <x:c r="U5892" s="30" t="str">
        <x:v>Расхождений нет.</x:v>
      </x:c>
      <x:c r="V5892" s="87" t="str">
        <x:v>VERIFIED</x:v>
      </x:c>
      <x:c r="W5892" s="87"/>
      <x:c r="X5892" s="87" t="n">
        <x:v>9</x:v>
      </x:c>
      <x:c r="Y5892" s="87"/>
      <x:c r="Z5892" s="87"/>
      <x:c r="AA5892" s="87"/>
      <x:c r="AB5892" s="87"/>
      <x:c r="AC5892" s="87" t="str">
        <x:v>VIS-EGKR-RUS-S26-TASK-962-P009</x:v>
      </x:c>
      <x:c r="AD5892" s="87" t="str">
        <x:v>VIS-EGKR-RUS-S26-ANSWERDOC-P003</x:v>
      </x:c>
      <x:c r="AE5892" s="87" t="str">
        <x:v>TASK; SECONDARY_ANSWER_SOURCE</x:v>
      </x:c>
      <x:c r="AF5892" s="87" t="str">
        <x:v>VIS-EGKR-RUS-S26-TASK-962-P009: 9; VIS-EGKR-RUS-S26-ANSWERDOC-P003: 3</x:v>
      </x:c>
      <x:c r="AG5892" s="87" t="str">
        <x:v>RESOLVED</x:v>
      </x:c>
      <x:c r="AH5892" s="87" t="str">
        <x:v>CROP_VERIFIED</x:v>
      </x:c>
      <x:c r="AI5892" s="30"/>
      <x:c r="AJ5892" s="87" t="str">
        <x:v>clean</x:v>
      </x:c>
      <x:c r="AK5892" s="87" t="str">
        <x:v>clean-v0.18</x:v>
      </x:c>
      <x:c r="AL5892" s="87" t="str">
        <x:v>statgrad_clean_continuation_v0_18(1).xlsx</x:v>
      </x:c>
      <x:c r="AM5892" s="87" t="str">
        <x:v>RUS_EGKR_962</x:v>
      </x:c>
      <x:c r="AN5892" s="87" t="n">
        <x:v>20</x:v>
      </x:c>
    </x:row>
    <x:row r="5893">
      <x:c r="A5893" s="87" t="n">
        <x:v>5892</x:v>
      </x:c>
      <x:c r="B5893" s="87" t="str">
        <x:v>EGKR-S26-RUS-962-20</x:v>
      </x:c>
      <x:c r="C5893" s="87" t="str">
        <x:v>ЕГКР</x:v>
      </x:c>
      <x:c r="D5893" s="87"/>
      <x:c r="E5893" s="87" t="str">
        <x:v>Весна 2026</x:v>
      </x:c>
      <x:c r="F5893" s="87" t="str">
        <x:v>24.03.2026</x:v>
      </x:c>
      <x:c r="G5893" s="87" t="str">
        <x:v>Русский язык</x:v>
      </x:c>
      <x:c r="H5893" s="87" t="n">
        <x:v>11</x:v>
      </x:c>
      <x:c r="I5893" s="87"/>
      <x:c r="J5893" s="87" t="str">
        <x:v>962</x:v>
      </x:c>
      <x:c r="K5893" s="87" t="n">
        <x:v>20</x:v>
      </x:c>
      <x:c r="L5893" s="87" t="str">
        <x:v>Сложное предложение</x:v>
      </x:c>
      <x:c r="M5893" s="30" t="str">
        <x:v>Задание 20 варианта 962: Сложное предложение. Полная формулировка сохранена на указанной визуальной странице.</x:v>
      </x:c>
      <x:c r="N5893" s="30" t="str">
        <x:v>1237</x:v>
      </x:c>
      <x:c r="O5893" s="30" t="str">
        <x:v>Ответ зафиксирован в формате задания; полное условие и варианты ответа доступны по VIS_ID.</x:v>
      </x:c>
      <x:c r="P5893" s="30"/>
      <x:c r="Q5893" s="30" t="str">
        <x:v>Ответ независимо сверён по исходному заданию и разбору: Insperia — разбор варианта 962.</x:v>
      </x:c>
      <x:c r="R5893" s="30" t="str">
        <x:v>12347</x:v>
      </x:c>
      <x:c r="S5893" s="30"/>
      <x:c r="T5893" s="30" t="str">
        <x:v>Insperia — разбор варианта 962</x:v>
      </x:c>
      <x:c r="U5893" s="30" t="str">
        <x:v>Ответник: 12347; канонический ответ: 1237.</x:v>
      </x:c>
      <x:c r="V5893" s="87" t="str">
        <x:v>KEY_MISMATCH</x:v>
      </x:c>
      <x:c r="W5893" s="87"/>
      <x:c r="X5893" s="87" t="n">
        <x:v>9</x:v>
      </x:c>
      <x:c r="Y5893" s="87"/>
      <x:c r="Z5893" s="87"/>
      <x:c r="AA5893" s="87"/>
      <x:c r="AB5893" s="87"/>
      <x:c r="AC5893" s="87" t="str">
        <x:v>VIS-EGKR-RUS-S26-TASK-962-P009</x:v>
      </x:c>
      <x:c r="AD5893" s="87" t="str">
        <x:v>VIS-EGKR-RUS-S26-ANSWERDOC-P003</x:v>
      </x:c>
      <x:c r="AE5893" s="87" t="str">
        <x:v>TASK; SECONDARY_ANSWER_SOURCE</x:v>
      </x:c>
      <x:c r="AF5893" s="87" t="str">
        <x:v>VIS-EGKR-RUS-S26-TASK-962-P009: 9; VIS-EGKR-RUS-S26-ANSWERDOC-P003: 3</x:v>
      </x:c>
      <x:c r="AG5893" s="87" t="str">
        <x:v>RESOLVED</x:v>
      </x:c>
      <x:c r="AH5893" s="87" t="str">
        <x:v>CROP_VERIFIED</x:v>
      </x:c>
      <x:c r="AI5893" s="30"/>
      <x:c r="AJ5893" s="87" t="str">
        <x:v>clean</x:v>
      </x:c>
      <x:c r="AK5893" s="87" t="str">
        <x:v>clean-v0.18</x:v>
      </x:c>
      <x:c r="AL5893" s="87" t="str">
        <x:v>statgrad_clean_continuation_v0_18(1).xlsx</x:v>
      </x:c>
      <x:c r="AM5893" s="87" t="str">
        <x:v>RUS_EGKR_962</x:v>
      </x:c>
      <x:c r="AN5893" s="87" t="n">
        <x:v>21</x:v>
      </x:c>
    </x:row>
    <x:row r="5894">
      <x:c r="A5894" s="87" t="n">
        <x:v>5893</x:v>
      </x:c>
      <x:c r="B5894" s="87" t="str">
        <x:v>EGKR-S26-RUS-962-21</x:v>
      </x:c>
      <x:c r="C5894" s="87" t="str">
        <x:v>ЕГКР</x:v>
      </x:c>
      <x:c r="D5894" s="87"/>
      <x:c r="E5894" s="87" t="str">
        <x:v>Весна 2026</x:v>
      </x:c>
      <x:c r="F5894" s="87" t="str">
        <x:v>24.03.2026</x:v>
      </x:c>
      <x:c r="G5894" s="87" t="str">
        <x:v>Русский язык</x:v>
      </x:c>
      <x:c r="H5894" s="87" t="n">
        <x:v>11</x:v>
      </x:c>
      <x:c r="I5894" s="87"/>
      <x:c r="J5894" s="87" t="str">
        <x:v>962</x:v>
      </x:c>
      <x:c r="K5894" s="87" t="n">
        <x:v>21</x:v>
      </x:c>
      <x:c r="L5894" s="87" t="str">
        <x:v>Пунктуационный анализ</x:v>
      </x:c>
      <x:c r="M5894" s="30" t="str">
        <x:v>Задание 21 варианта 962: Пунктуационный анализ. Полная формулировка сохранена на указанной визуальной странице.</x:v>
      </x:c>
      <x:c r="N5894" s="30" t="str">
        <x:v>347</x:v>
      </x:c>
      <x:c r="O5894" s="30" t="str">
        <x:v>Ответ зафиксирован в формате задания; полное условие и варианты ответа доступны по VIS_ID.</x:v>
      </x:c>
      <x:c r="P5894" s="30"/>
      <x:c r="Q5894" s="30" t="str">
        <x:v>Ответ совпал с исходным ответником и независимой сверкой: Insperia — разбор варианта 962.</x:v>
      </x:c>
      <x:c r="R5894" s="30" t="str">
        <x:v>347</x:v>
      </x:c>
      <x:c r="S5894" s="30"/>
      <x:c r="T5894" s="30" t="str">
        <x:v>Insperia — разбор варианта 962</x:v>
      </x:c>
      <x:c r="U5894" s="30" t="str">
        <x:v>Расхождений нет.</x:v>
      </x:c>
      <x:c r="V5894" s="87" t="str">
        <x:v>VERIFIED</x:v>
      </x:c>
      <x:c r="W5894" s="87"/>
      <x:c r="X5894" s="87" t="n">
        <x:v>9</x:v>
      </x:c>
      <x:c r="Y5894" s="87"/>
      <x:c r="Z5894" s="87"/>
      <x:c r="AA5894" s="87"/>
      <x:c r="AB5894" s="87"/>
      <x:c r="AC5894" s="87" t="str">
        <x:v>VIS-EGKR-RUS-S26-TASK-962-P009</x:v>
      </x:c>
      <x:c r="AD5894" s="87" t="str">
        <x:v>VIS-EGKR-RUS-S26-ANSWERDOC-P003</x:v>
      </x:c>
      <x:c r="AE5894" s="87" t="str">
        <x:v>TASK; SECONDARY_ANSWER_SOURCE</x:v>
      </x:c>
      <x:c r="AF5894" s="87" t="str">
        <x:v>VIS-EGKR-RUS-S26-TASK-962-P009: 9; VIS-EGKR-RUS-S26-ANSWERDOC-P003: 3</x:v>
      </x:c>
      <x:c r="AG5894" s="87" t="str">
        <x:v>RESOLVED</x:v>
      </x:c>
      <x:c r="AH5894" s="87" t="str">
        <x:v>CROP_VERIFIED</x:v>
      </x:c>
      <x:c r="AI5894" s="30"/>
      <x:c r="AJ5894" s="87" t="str">
        <x:v>clean</x:v>
      </x:c>
      <x:c r="AK5894" s="87" t="str">
        <x:v>clean-v0.18</x:v>
      </x:c>
      <x:c r="AL5894" s="87" t="str">
        <x:v>statgrad_clean_continuation_v0_18(1).xlsx</x:v>
      </x:c>
      <x:c r="AM5894" s="87" t="str">
        <x:v>RUS_EGKR_962</x:v>
      </x:c>
      <x:c r="AN5894" s="87" t="n">
        <x:v>22</x:v>
      </x:c>
    </x:row>
    <x:row r="5895">
      <x:c r="A5895" s="87" t="n">
        <x:v>5894</x:v>
      </x:c>
      <x:c r="B5895" s="87" t="str">
        <x:v>EGKR-S26-RUS-962-22</x:v>
      </x:c>
      <x:c r="C5895" s="87" t="str">
        <x:v>ЕГКР</x:v>
      </x:c>
      <x:c r="D5895" s="87"/>
      <x:c r="E5895" s="87" t="str">
        <x:v>Весна 2026</x:v>
      </x:c>
      <x:c r="F5895" s="87" t="str">
        <x:v>24.03.2026</x:v>
      </x:c>
      <x:c r="G5895" s="87" t="str">
        <x:v>Русский язык</x:v>
      </x:c>
      <x:c r="H5895" s="87" t="n">
        <x:v>11</x:v>
      </x:c>
      <x:c r="I5895" s="87"/>
      <x:c r="J5895" s="87" t="str">
        <x:v>962</x:v>
      </x:c>
      <x:c r="K5895" s="87" t="n">
        <x:v>22</x:v>
      </x:c>
      <x:c r="L5895" s="87" t="str">
        <x:v>Средства выразительности</x:v>
      </x:c>
      <x:c r="M5895" s="30" t="str">
        <x:v>Задание 22 варианта 962: Средства выразительности. Полная формулировка сохранена на указанной визуальной странице.</x:v>
      </x:c>
      <x:c r="N5895" s="30" t="str">
        <x:v>91468</x:v>
      </x:c>
      <x:c r="O5895" s="30" t="str">
        <x:v>Ответ зафиксирован в формате задания; полное условие и варианты ответа доступны по VIS_ID.</x:v>
      </x:c>
      <x:c r="P5895" s="30"/>
      <x:c r="Q5895" s="30" t="str">
        <x:v>Ответ совпал с исходным ответником и независимой сверкой: Insperia — разбор варианта 962.</x:v>
      </x:c>
      <x:c r="R5895" s="30" t="str">
        <x:v>91468</x:v>
      </x:c>
      <x:c r="S5895" s="30"/>
      <x:c r="T5895" s="30" t="str">
        <x:v>Insperia — разбор варианта 962</x:v>
      </x:c>
      <x:c r="U5895" s="30" t="str">
        <x:v>Расхождений нет.</x:v>
      </x:c>
      <x:c r="V5895" s="87" t="str">
        <x:v>VERIFIED</x:v>
      </x:c>
      <x:c r="W5895" s="87"/>
      <x:c r="X5895" s="87" t="n">
        <x:v>10</x:v>
      </x:c>
      <x:c r="Y5895" s="87"/>
      <x:c r="Z5895" s="87"/>
      <x:c r="AA5895" s="87"/>
      <x:c r="AB5895" s="87"/>
      <x:c r="AC5895" s="87" t="str">
        <x:v>VIS-EGKR-RUS-S26-TASK-962-P010</x:v>
      </x:c>
      <x:c r="AD5895" s="87" t="str">
        <x:v>VIS-EGKR-RUS-S26-ANSWERDOC-P003</x:v>
      </x:c>
      <x:c r="AE5895" s="87" t="str">
        <x:v>TASK; SECONDARY_ANSWER_SOURCE</x:v>
      </x:c>
      <x:c r="AF5895" s="87" t="str">
        <x:v>VIS-EGKR-RUS-S26-TASK-962-P010: 10; VIS-EGKR-RUS-S26-ANSWERDOC-P003: 3</x:v>
      </x:c>
      <x:c r="AG5895" s="87" t="str">
        <x:v>RESOLVED</x:v>
      </x:c>
      <x:c r="AH5895" s="87" t="str">
        <x:v>CROP_VERIFIED</x:v>
      </x:c>
      <x:c r="AI5895" s="30"/>
      <x:c r="AJ5895" s="87" t="str">
        <x:v>clean</x:v>
      </x:c>
      <x:c r="AK5895" s="87" t="str">
        <x:v>clean-v0.18</x:v>
      </x:c>
      <x:c r="AL5895" s="87" t="str">
        <x:v>statgrad_clean_continuation_v0_18(1).xlsx</x:v>
      </x:c>
      <x:c r="AM5895" s="87" t="str">
        <x:v>RUS_EGKR_962</x:v>
      </x:c>
      <x:c r="AN5895" s="87" t="n">
        <x:v>23</x:v>
      </x:c>
    </x:row>
    <x:row r="5896">
      <x:c r="A5896" s="87" t="n">
        <x:v>5895</x:v>
      </x:c>
      <x:c r="B5896" s="87" t="str">
        <x:v>EGKR-S26-RUS-962-23</x:v>
      </x:c>
      <x:c r="C5896" s="87" t="str">
        <x:v>ЕГКР</x:v>
      </x:c>
      <x:c r="D5896" s="87"/>
      <x:c r="E5896" s="87" t="str">
        <x:v>Весна 2026</x:v>
      </x:c>
      <x:c r="F5896" s="87" t="str">
        <x:v>24.03.2026</x:v>
      </x:c>
      <x:c r="G5896" s="87" t="str">
        <x:v>Русский язык</x:v>
      </x:c>
      <x:c r="H5896" s="87" t="n">
        <x:v>11</x:v>
      </x:c>
      <x:c r="I5896" s="87"/>
      <x:c r="J5896" s="87" t="str">
        <x:v>962</x:v>
      </x:c>
      <x:c r="K5896" s="87" t="n">
        <x:v>23</x:v>
      </x:c>
      <x:c r="L5896" s="87" t="str">
        <x:v>Содержание текста</x:v>
      </x:c>
      <x:c r="M5896" s="30" t="str">
        <x:v>Задание 23 варианта 962: Содержание текста. Полная формулировка сохранена на указанной визуальной странице.</x:v>
      </x:c>
      <x:c r="N5896" s="30" t="str">
        <x:v>235</x:v>
      </x:c>
      <x:c r="O5896" s="30" t="str">
        <x:v>Ответ зафиксирован в формате задания; полное условие и варианты ответа доступны по VIS_ID.</x:v>
      </x:c>
      <x:c r="P5896" s="30"/>
      <x:c r="Q5896" s="30" t="str">
        <x:v>Ответ совпал с исходным ответником и независимой сверкой: Insperia — разбор варианта 962.</x:v>
      </x:c>
      <x:c r="R5896" s="30" t="str">
        <x:v>235</x:v>
      </x:c>
      <x:c r="S5896" s="30"/>
      <x:c r="T5896" s="30" t="str">
        <x:v>Insperia — разбор варианта 962</x:v>
      </x:c>
      <x:c r="U5896" s="30" t="str">
        <x:v>Расхождений нет.</x:v>
      </x:c>
      <x:c r="V5896" s="87" t="str">
        <x:v>VERIFIED</x:v>
      </x:c>
      <x:c r="W5896" s="87"/>
      <x:c r="X5896" s="87" t="n">
        <x:v>12</x:v>
      </x:c>
      <x:c r="Y5896" s="87"/>
      <x:c r="Z5896" s="87"/>
      <x:c r="AA5896" s="87"/>
      <x:c r="AB5896" s="87"/>
      <x:c r="AC5896" s="87" t="str">
        <x:v>VIS-EGKR-RUS-S26-TASK-962-P012</x:v>
      </x:c>
      <x:c r="AD5896" s="87" t="str">
        <x:v>VIS-EGKR-RUS-S26-ANSWERDOC-P003</x:v>
      </x:c>
      <x:c r="AE5896" s="87" t="str">
        <x:v>TASK; SECONDARY_ANSWER_SOURCE</x:v>
      </x:c>
      <x:c r="AF5896" s="87" t="str">
        <x:v>VIS-EGKR-RUS-S26-TASK-962-P012: 12; VIS-EGKR-RUS-S26-ANSWERDOC-P003: 3</x:v>
      </x:c>
      <x:c r="AG5896" s="87" t="str">
        <x:v>RESOLVED</x:v>
      </x:c>
      <x:c r="AH5896" s="87" t="str">
        <x:v>CROP_VERIFIED</x:v>
      </x:c>
      <x:c r="AI5896" s="30"/>
      <x:c r="AJ5896" s="87" t="str">
        <x:v>clean</x:v>
      </x:c>
      <x:c r="AK5896" s="87" t="str">
        <x:v>clean-v0.18</x:v>
      </x:c>
      <x:c r="AL5896" s="87" t="str">
        <x:v>statgrad_clean_continuation_v0_18(1).xlsx</x:v>
      </x:c>
      <x:c r="AM5896" s="87" t="str">
        <x:v>RUS_EGKR_962</x:v>
      </x:c>
      <x:c r="AN5896" s="87" t="n">
        <x:v>24</x:v>
      </x:c>
    </x:row>
    <x:row r="5897">
      <x:c r="A5897" s="87" t="n">
        <x:v>5896</x:v>
      </x:c>
      <x:c r="B5897" s="87" t="str">
        <x:v>EGKR-S26-RUS-962-24</x:v>
      </x:c>
      <x:c r="C5897" s="87" t="str">
        <x:v>ЕГКР</x:v>
      </x:c>
      <x:c r="D5897" s="87"/>
      <x:c r="E5897" s="87" t="str">
        <x:v>Весна 2026</x:v>
      </x:c>
      <x:c r="F5897" s="87" t="str">
        <x:v>24.03.2026</x:v>
      </x:c>
      <x:c r="G5897" s="87" t="str">
        <x:v>Русский язык</x:v>
      </x:c>
      <x:c r="H5897" s="87" t="n">
        <x:v>11</x:v>
      </x:c>
      <x:c r="I5897" s="87"/>
      <x:c r="J5897" s="87" t="str">
        <x:v>962</x:v>
      </x:c>
      <x:c r="K5897" s="87" t="n">
        <x:v>24</x:v>
      </x:c>
      <x:c r="L5897" s="87" t="str">
        <x:v>Типы речи и логика текста</x:v>
      </x:c>
      <x:c r="M5897" s="30" t="str">
        <x:v>Задание 24 варианта 962: Типы речи и логика текста. Полная формулировка сохранена на указанной визуальной странице.</x:v>
      </x:c>
      <x:c r="N5897" s="30" t="str">
        <x:v>124</x:v>
      </x:c>
      <x:c r="O5897" s="30" t="str">
        <x:v>Ответ зафиксирован в формате задания; полное условие и варианты ответа доступны по VIS_ID.</x:v>
      </x:c>
      <x:c r="P5897" s="30"/>
      <x:c r="Q5897" s="30" t="str">
        <x:v>Ответ совпал с исходным ответником и независимой сверкой: Insperia — разбор варианта 962.</x:v>
      </x:c>
      <x:c r="R5897" s="30" t="str">
        <x:v>124</x:v>
      </x:c>
      <x:c r="S5897" s="30"/>
      <x:c r="T5897" s="30" t="str">
        <x:v>Insperia — разбор варианта 962</x:v>
      </x:c>
      <x:c r="U5897" s="30" t="str">
        <x:v>Расхождений нет.</x:v>
      </x:c>
      <x:c r="V5897" s="87" t="str">
        <x:v>VERIFIED</x:v>
      </x:c>
      <x:c r="W5897" s="87"/>
      <x:c r="X5897" s="87" t="n">
        <x:v>12</x:v>
      </x:c>
      <x:c r="Y5897" s="87"/>
      <x:c r="Z5897" s="87"/>
      <x:c r="AA5897" s="87"/>
      <x:c r="AB5897" s="87"/>
      <x:c r="AC5897" s="87" t="str">
        <x:v>VIS-EGKR-RUS-S26-TASK-962-P012</x:v>
      </x:c>
      <x:c r="AD5897" s="87" t="str">
        <x:v>VIS-EGKR-RUS-S26-ANSWERDOC-P003</x:v>
      </x:c>
      <x:c r="AE5897" s="87" t="str">
        <x:v>TASK; SECONDARY_ANSWER_SOURCE</x:v>
      </x:c>
      <x:c r="AF5897" s="87" t="str">
        <x:v>VIS-EGKR-RUS-S26-TASK-962-P012: 12; VIS-EGKR-RUS-S26-ANSWERDOC-P003: 3</x:v>
      </x:c>
      <x:c r="AG5897" s="87" t="str">
        <x:v>RESOLVED</x:v>
      </x:c>
      <x:c r="AH5897" s="87" t="str">
        <x:v>CROP_VERIFIED</x:v>
      </x:c>
      <x:c r="AI5897" s="30"/>
      <x:c r="AJ5897" s="87" t="str">
        <x:v>clean</x:v>
      </x:c>
      <x:c r="AK5897" s="87" t="str">
        <x:v>clean-v0.18</x:v>
      </x:c>
      <x:c r="AL5897" s="87" t="str">
        <x:v>statgrad_clean_continuation_v0_18(1).xlsx</x:v>
      </x:c>
      <x:c r="AM5897" s="87" t="str">
        <x:v>RUS_EGKR_962</x:v>
      </x:c>
      <x:c r="AN5897" s="87" t="n">
        <x:v>25</x:v>
      </x:c>
    </x:row>
    <x:row r="5898">
      <x:c r="A5898" s="87" t="n">
        <x:v>5897</x:v>
      </x:c>
      <x:c r="B5898" s="87" t="str">
        <x:v>EGKR-S26-RUS-962-25</x:v>
      </x:c>
      <x:c r="C5898" s="87" t="str">
        <x:v>ЕГКР</x:v>
      </x:c>
      <x:c r="D5898" s="87"/>
      <x:c r="E5898" s="87" t="str">
        <x:v>Весна 2026</x:v>
      </x:c>
      <x:c r="F5898" s="87" t="str">
        <x:v>24.03.2026</x:v>
      </x:c>
      <x:c r="G5898" s="87" t="str">
        <x:v>Русский язык</x:v>
      </x:c>
      <x:c r="H5898" s="87" t="n">
        <x:v>11</x:v>
      </x:c>
      <x:c r="I5898" s="87"/>
      <x:c r="J5898" s="87" t="str">
        <x:v>962</x:v>
      </x:c>
      <x:c r="K5898" s="87" t="n">
        <x:v>25</x:v>
      </x:c>
      <x:c r="L5898" s="87" t="str">
        <x:v>Лексический анализ</x:v>
      </x:c>
      <x:c r="M5898" s="30" t="str">
        <x:v>Задание 25 варианта 962: Лексический анализ. Полная формулировка сохранена на указанной визуальной странице.</x:v>
      </x:c>
      <x:c r="N5898" s="30" t="str">
        <x:v>отзывается в сердцах</x:v>
      </x:c>
      <x:c r="O5898" s="30" t="str">
        <x:v>Ответ зафиксирован в формате задания; полное условие и варианты ответа доступны по VIS_ID.</x:v>
      </x:c>
      <x:c r="P5898" s="30"/>
      <x:c r="Q5898" s="30" t="str">
        <x:v>Ответ независимо сверён по исходному заданию и разбору: Insperia — разбор варианта 962.</x:v>
      </x:c>
      <x:c r="R5898" s="30" t="str">
        <x:v>утвердятся права</x:v>
      </x:c>
      <x:c r="S5898" s="30"/>
      <x:c r="T5898" s="30" t="str">
        <x:v>Insperia — разбор варианта 962</x:v>
      </x:c>
      <x:c r="U5898" s="30" t="str">
        <x:v>Ответник: утвердятся права; канонический ответ: отзывается в сердцах.</x:v>
      </x:c>
      <x:c r="V5898" s="87" t="str">
        <x:v>KEY_MISMATCH</x:v>
      </x:c>
      <x:c r="W5898" s="87"/>
      <x:c r="X5898" s="87" t="n">
        <x:v>12</x:v>
      </x:c>
      <x:c r="Y5898" s="87"/>
      <x:c r="Z5898" s="87"/>
      <x:c r="AA5898" s="87"/>
      <x:c r="AB5898" s="87"/>
      <x:c r="AC5898" s="87" t="str">
        <x:v>VIS-EGKR-RUS-S26-TASK-962-P012</x:v>
      </x:c>
      <x:c r="AD5898" s="87" t="str">
        <x:v>VIS-EGKR-RUS-S26-ANSWERDOC-P003</x:v>
      </x:c>
      <x:c r="AE5898" s="87" t="str">
        <x:v>TASK; SECONDARY_ANSWER_SOURCE</x:v>
      </x:c>
      <x:c r="AF5898" s="87" t="str">
        <x:v>VIS-EGKR-RUS-S26-TASK-962-P012: 12; VIS-EGKR-RUS-S26-ANSWERDOC-P003: 3</x:v>
      </x:c>
      <x:c r="AG5898" s="87" t="str">
        <x:v>RESOLVED</x:v>
      </x:c>
      <x:c r="AH5898" s="87" t="str">
        <x:v>CROP_VERIFIED</x:v>
      </x:c>
      <x:c r="AI5898" s="30"/>
      <x:c r="AJ5898" s="87" t="str">
        <x:v>clean</x:v>
      </x:c>
      <x:c r="AK5898" s="87" t="str">
        <x:v>clean-v0.18</x:v>
      </x:c>
      <x:c r="AL5898" s="87" t="str">
        <x:v>statgrad_clean_continuation_v0_18(1).xlsx</x:v>
      </x:c>
      <x:c r="AM5898" s="87" t="str">
        <x:v>RUS_EGKR_962</x:v>
      </x:c>
      <x:c r="AN5898" s="87" t="n">
        <x:v>26</x:v>
      </x:c>
    </x:row>
    <x:row r="5899">
      <x:c r="A5899" s="87" t="n">
        <x:v>5898</x:v>
      </x:c>
      <x:c r="B5899" s="87" t="str">
        <x:v>EGKR-S26-RUS-962-26</x:v>
      </x:c>
      <x:c r="C5899" s="87" t="str">
        <x:v>ЕГКР</x:v>
      </x:c>
      <x:c r="D5899" s="87"/>
      <x:c r="E5899" s="87" t="str">
        <x:v>Весна 2026</x:v>
      </x:c>
      <x:c r="F5899" s="87" t="str">
        <x:v>24.03.2026</x:v>
      </x:c>
      <x:c r="G5899" s="87" t="str">
        <x:v>Русский язык</x:v>
      </x:c>
      <x:c r="H5899" s="87" t="n">
        <x:v>11</x:v>
      </x:c>
      <x:c r="I5899" s="87"/>
      <x:c r="J5899" s="87" t="str">
        <x:v>962</x:v>
      </x:c>
      <x:c r="K5899" s="87" t="n">
        <x:v>26</x:v>
      </x:c>
      <x:c r="L5899" s="87" t="str">
        <x:v>Связь предложений</x:v>
      </x:c>
      <x:c r="M5899" s="30" t="str">
        <x:v>Задание 26 варианта 962: Связь предложений. Полная формулировка сохранена на указанной визуальной странице.</x:v>
      </x:c>
      <x:c r="N5899" s="30" t="str">
        <x:v>7</x:v>
      </x:c>
      <x:c r="O5899" s="30" t="str">
        <x:v>Ответ зафиксирован в формате задания; полное условие и варианты ответа доступны по VIS_ID.</x:v>
      </x:c>
      <x:c r="P5899" s="30"/>
      <x:c r="Q5899" s="30" t="str">
        <x:v>Ответ совпал с исходным ответником и независимой сверкой: Insperia — разбор варианта 962.</x:v>
      </x:c>
      <x:c r="R5899" s="30" t="str">
        <x:v>7</x:v>
      </x:c>
      <x:c r="S5899" s="30"/>
      <x:c r="T5899" s="30" t="str">
        <x:v>Insperia — разбор варианта 962</x:v>
      </x:c>
      <x:c r="U5899" s="30" t="str">
        <x:v>Расхождений нет.</x:v>
      </x:c>
      <x:c r="V5899" s="87" t="str">
        <x:v>VERIFIED</x:v>
      </x:c>
      <x:c r="W5899" s="87"/>
      <x:c r="X5899" s="87" t="n">
        <x:v>12</x:v>
      </x:c>
      <x:c r="Y5899" s="87"/>
      <x:c r="Z5899" s="87"/>
      <x:c r="AA5899" s="87"/>
      <x:c r="AB5899" s="87"/>
      <x:c r="AC5899" s="87" t="str">
        <x:v>VIS-EGKR-RUS-S26-TASK-962-P012</x:v>
      </x:c>
      <x:c r="AD5899" s="87" t="str">
        <x:v>VIS-EGKR-RUS-S26-ANSWERDOC-P003</x:v>
      </x:c>
      <x:c r="AE5899" s="87" t="str">
        <x:v>TASK; SECONDARY_ANSWER_SOURCE</x:v>
      </x:c>
      <x:c r="AF5899" s="87" t="str">
        <x:v>VIS-EGKR-RUS-S26-TASK-962-P012: 12; VIS-EGKR-RUS-S26-ANSWERDOC-P003: 3</x:v>
      </x:c>
      <x:c r="AG5899" s="87" t="str">
        <x:v>RESOLVED</x:v>
      </x:c>
      <x:c r="AH5899" s="87" t="str">
        <x:v>CROP_VERIFIED</x:v>
      </x:c>
      <x:c r="AI5899" s="30"/>
      <x:c r="AJ5899" s="87" t="str">
        <x:v>clean</x:v>
      </x:c>
      <x:c r="AK5899" s="87" t="str">
        <x:v>clean-v0.18</x:v>
      </x:c>
      <x:c r="AL5899" s="87" t="str">
        <x:v>statgrad_clean_continuation_v0_18(1).xlsx</x:v>
      </x:c>
      <x:c r="AM5899" s="87" t="str">
        <x:v>RUS_EGKR_962</x:v>
      </x:c>
      <x:c r="AN5899" s="87" t="n">
        <x:v>27</x:v>
      </x:c>
    </x:row>
    <x:row r="5900">
      <x:c r="A5900" s="87" t="n">
        <x:v>5899</x:v>
      </x:c>
      <x:c r="B5900" s="87" t="str">
        <x:v>EGKR-S26-RUS-962-27</x:v>
      </x:c>
      <x:c r="C5900" s="87" t="str">
        <x:v>ЕГКР</x:v>
      </x:c>
      <x:c r="D5900" s="87"/>
      <x:c r="E5900" s="87" t="str">
        <x:v>Весна 2026</x:v>
      </x:c>
      <x:c r="F5900" s="87" t="str">
        <x:v>24.03.2026</x:v>
      </x:c>
      <x:c r="G5900" s="87" t="str">
        <x:v>Русский язык</x:v>
      </x:c>
      <x:c r="H5900" s="87" t="n">
        <x:v>11</x:v>
      </x:c>
      <x:c r="I5900" s="87"/>
      <x:c r="J5900" s="87" t="str">
        <x:v>962</x:v>
      </x:c>
      <x:c r="K5900" s="87" t="n">
        <x:v>27</x:v>
      </x:c>
      <x:c r="L5900" s="87" t="str">
        <x:v>Сочинение</x:v>
      </x:c>
      <x:c r="M5900" s="30" t="str">
        <x:v>Что означает Россия для её граждан и почему важна историческая преемственность?</x:v>
      </x:c>
      <x:c r="N5900" s="30" t="str">
        <x:v>Россия — не только территория, но и культурная память, язык, традиции и опыт многих поколений. Развитие страны становится устойчивым, когда нововведения не уничтожают исторические основания, а продолжают и переосмысливают их. Уважение к корням помогает сохранять единство и ответственность за будущее.</x:v>
      </x:c>
      <x:c r="O5900" s="30" t="str">
        <x:v>Рабочая модель формулирует проблему, позицию автора и направление аргументации.</x:v>
      </x:c>
      <x:c r="P5900" s="30"/>
      <x:c r="Q5900" s="30" t="str">
        <x:v>Модель подготовлена по тексту варианта и требованиям задания 27.</x:v>
      </x:c>
      <x:c r="R5900" s="30" t="str">
        <x:v>MODEL_NOT_STANDARDIZED</x:v>
      </x:c>
      <x:c r="S5900" s="30"/>
      <x:c r="T5900" s="30" t="str">
        <x:v>Insperia — разбор варианта 962</x:v>
      </x:c>
      <x:c r="U5900" s="30" t="str">
        <x:v>Модель не является единственно возможным сочинением.</x:v>
      </x:c>
      <x:c r="V5900" s="87" t="str">
        <x:v>MODEL_READY</x:v>
      </x:c>
      <x:c r="W5900" s="87"/>
      <x:c r="X5900" s="87" t="n">
        <x:v>13</x:v>
      </x:c>
      <x:c r="Y5900" s="87"/>
      <x:c r="Z5900" s="87"/>
      <x:c r="AA5900" s="87"/>
      <x:c r="AB5900" s="87"/>
      <x:c r="AC5900" s="87" t="str">
        <x:v>VIS-EGKR-RUS-S26-TASK-962-P013</x:v>
      </x:c>
      <x:c r="AD5900" s="87"/>
      <x:c r="AE5900" s="87" t="str">
        <x:v>TASK</x:v>
      </x:c>
      <x:c r="AF5900" s="87" t="str">
        <x:v>VIS-EGKR-RUS-S26-TASK-962-P013: 13</x:v>
      </x:c>
      <x:c r="AG5900" s="87" t="str">
        <x:v>RESOLVED</x:v>
      </x:c>
      <x:c r="AH5900" s="87" t="str">
        <x:v>CROP_VERIFIED</x:v>
      </x:c>
      <x:c r="AI5900" s="30"/>
      <x:c r="AJ5900" s="87" t="str">
        <x:v>clean</x:v>
      </x:c>
      <x:c r="AK5900" s="87" t="str">
        <x:v>clean-v0.18</x:v>
      </x:c>
      <x:c r="AL5900" s="87" t="str">
        <x:v>statgrad_clean_continuation_v0_18(1).xlsx</x:v>
      </x:c>
      <x:c r="AM5900" s="87" t="str">
        <x:v>RUS_EGKR_962</x:v>
      </x:c>
      <x:c r="AN5900" s="87" t="n">
        <x:v>28</x:v>
      </x:c>
    </x:row>
    <x:row r="5901">
      <x:c r="A5901" s="87" t="n">
        <x:v>5900</x:v>
      </x:c>
      <x:c r="B5901" s="87" t="str">
        <x:v>EGKR-S26-RUS-963-01</x:v>
      </x:c>
      <x:c r="C5901" s="87" t="str">
        <x:v>ЕГКР</x:v>
      </x:c>
      <x:c r="D5901" s="87"/>
      <x:c r="E5901" s="87" t="str">
        <x:v>Весна 2026</x:v>
      </x:c>
      <x:c r="F5901" s="87" t="str">
        <x:v>24.03.2026</x:v>
      </x:c>
      <x:c r="G5901" s="87" t="str">
        <x:v>Русский язык</x:v>
      </x:c>
      <x:c r="H5901" s="87" t="n">
        <x:v>11</x:v>
      </x:c>
      <x:c r="I5901" s="87"/>
      <x:c r="J5901" s="87" t="str">
        <x:v>963</x:v>
      </x:c>
      <x:c r="K5901" s="87" t="n">
        <x:v>1</x:v>
      </x:c>
      <x:c r="L5901" s="87" t="str">
        <x:v>Средство связи</x:v>
      </x:c>
      <x:c r="M5901" s="30" t="str">
        <x:v>Задание 1 варианта 963: Средство связи. Полная формулировка сохранена на указанной визуальной странице.</x:v>
      </x:c>
      <x:c r="N5901" s="30" t="str">
        <x:v>таким образом</x:v>
      </x:c>
      <x:c r="O5901" s="30" t="str">
        <x:v>Ответ зафиксирован в формате задания; полное условие и варианты ответа доступны по VIS_ID.</x:v>
      </x:c>
      <x:c r="P5901" s="30"/>
      <x:c r="Q5901" s="30" t="str">
        <x:v>Ответ совпал с исходным ответником и независимой сверкой: Insperia — разбор варианта 963.</x:v>
      </x:c>
      <x:c r="R5901" s="30" t="str">
        <x:v>таким образом</x:v>
      </x:c>
      <x:c r="S5901" s="30"/>
      <x:c r="T5901" s="30" t="str">
        <x:v>Insperia — разбор варианта 963</x:v>
      </x:c>
      <x:c r="U5901" s="30" t="str">
        <x:v>Расхождений нет.</x:v>
      </x:c>
      <x:c r="V5901" s="87" t="str">
        <x:v>VERIFIED</x:v>
      </x:c>
      <x:c r="W5901" s="87"/>
      <x:c r="X5901" s="87" t="n">
        <x:v>3</x:v>
      </x:c>
      <x:c r="Y5901" s="87"/>
      <x:c r="Z5901" s="87"/>
      <x:c r="AA5901" s="87"/>
      <x:c r="AB5901" s="87"/>
      <x:c r="AC5901" s="87" t="str">
        <x:v>VIS-EGKR-RUS-S26-TASK-963-P003</x:v>
      </x:c>
      <x:c r="AD5901" s="87" t="str">
        <x:v>VIS-EGKR-RUS-S26-ANSWERDOC-P004</x:v>
      </x:c>
      <x:c r="AE5901" s="87" t="str">
        <x:v>TASK; SECONDARY_ANSWER_SOURCE</x:v>
      </x:c>
      <x:c r="AF5901" s="87" t="str">
        <x:v>VIS-EGKR-RUS-S26-TASK-963-P003: 3; VIS-EGKR-RUS-S26-ANSWERDOC-P004: 4</x:v>
      </x:c>
      <x:c r="AG5901" s="87" t="str">
        <x:v>RESOLVED</x:v>
      </x:c>
      <x:c r="AH5901" s="87" t="str">
        <x:v>CROP_VERIFIED</x:v>
      </x:c>
      <x:c r="AI5901" s="30"/>
      <x:c r="AJ5901" s="87" t="str">
        <x:v>clean</x:v>
      </x:c>
      <x:c r="AK5901" s="87" t="str">
        <x:v>clean-v0.18</x:v>
      </x:c>
      <x:c r="AL5901" s="87" t="str">
        <x:v>statgrad_clean_continuation_v0_18(1).xlsx</x:v>
      </x:c>
      <x:c r="AM5901" s="87" t="str">
        <x:v>RUS_EGKR_963</x:v>
      </x:c>
      <x:c r="AN5901" s="87" t="n">
        <x:v>2</x:v>
      </x:c>
    </x:row>
    <x:row r="5902">
      <x:c r="A5902" s="87" t="n">
        <x:v>5901</x:v>
      </x:c>
      <x:c r="B5902" s="87" t="str">
        <x:v>EGKR-S26-RUS-963-02</x:v>
      </x:c>
      <x:c r="C5902" s="87" t="str">
        <x:v>ЕГКР</x:v>
      </x:c>
      <x:c r="D5902" s="87"/>
      <x:c r="E5902" s="87" t="str">
        <x:v>Весна 2026</x:v>
      </x:c>
      <x:c r="F5902" s="87" t="str">
        <x:v>24.03.2026</x:v>
      </x:c>
      <x:c r="G5902" s="87" t="str">
        <x:v>Русский язык</x:v>
      </x:c>
      <x:c r="H5902" s="87" t="n">
        <x:v>11</x:v>
      </x:c>
      <x:c r="I5902" s="87"/>
      <x:c r="J5902" s="87" t="str">
        <x:v>963</x:v>
      </x:c>
      <x:c r="K5902" s="87" t="n">
        <x:v>2</x:v>
      </x:c>
      <x:c r="L5902" s="87" t="str">
        <x:v>Лексическое значение</x:v>
      </x:c>
      <x:c r="M5902" s="30" t="str">
        <x:v>Задание 2 варианта 963: Лексическое значение. Полная формулировка сохранена на указанной визуальной странице.</x:v>
      </x:c>
      <x:c r="N5902" s="30" t="str">
        <x:v>45</x:v>
      </x:c>
      <x:c r="O5902" s="30" t="str">
        <x:v>Ответ зафиксирован в формате задания; полное условие и варианты ответа доступны по VIS_ID.</x:v>
      </x:c>
      <x:c r="P5902" s="30"/>
      <x:c r="Q5902" s="30" t="str">
        <x:v>Ответ независимо сверён по исходному заданию и разбору: Insperia — разбор варианта 963.</x:v>
      </x:c>
      <x:c r="R5902" s="30" t="str">
        <x:v>345</x:v>
      </x:c>
      <x:c r="S5902" s="30"/>
      <x:c r="T5902" s="30" t="str">
        <x:v>Insperia — разбор варианта 963</x:v>
      </x:c>
      <x:c r="U5902" s="30" t="str">
        <x:v>Ответник: 345; канонический ответ: 45.</x:v>
      </x:c>
      <x:c r="V5902" s="87" t="str">
        <x:v>KEY_MISMATCH</x:v>
      </x:c>
      <x:c r="W5902" s="87"/>
      <x:c r="X5902" s="87" t="n">
        <x:v>3</x:v>
      </x:c>
      <x:c r="Y5902" s="87"/>
      <x:c r="Z5902" s="87"/>
      <x:c r="AA5902" s="87"/>
      <x:c r="AB5902" s="87"/>
      <x:c r="AC5902" s="87" t="str">
        <x:v>VIS-EGKR-RUS-S26-TASK-963-P003</x:v>
      </x:c>
      <x:c r="AD5902" s="87" t="str">
        <x:v>VIS-EGKR-RUS-S26-ANSWERDOC-P004</x:v>
      </x:c>
      <x:c r="AE5902" s="87" t="str">
        <x:v>TASK; SECONDARY_ANSWER_SOURCE</x:v>
      </x:c>
      <x:c r="AF5902" s="87" t="str">
        <x:v>VIS-EGKR-RUS-S26-TASK-963-P003: 3; VIS-EGKR-RUS-S26-ANSWERDOC-P004: 4</x:v>
      </x:c>
      <x:c r="AG5902" s="87" t="str">
        <x:v>RESOLVED</x:v>
      </x:c>
      <x:c r="AH5902" s="87" t="str">
        <x:v>CROP_VERIFIED</x:v>
      </x:c>
      <x:c r="AI5902" s="30"/>
      <x:c r="AJ5902" s="87" t="str">
        <x:v>clean</x:v>
      </x:c>
      <x:c r="AK5902" s="87" t="str">
        <x:v>clean-v0.18</x:v>
      </x:c>
      <x:c r="AL5902" s="87" t="str">
        <x:v>statgrad_clean_continuation_v0_18(1).xlsx</x:v>
      </x:c>
      <x:c r="AM5902" s="87" t="str">
        <x:v>RUS_EGKR_963</x:v>
      </x:c>
      <x:c r="AN5902" s="87" t="n">
        <x:v>3</x:v>
      </x:c>
    </x:row>
    <x:row r="5903">
      <x:c r="A5903" s="87" t="n">
        <x:v>5902</x:v>
      </x:c>
      <x:c r="B5903" s="87" t="str">
        <x:v>EGKR-S26-RUS-963-03</x:v>
      </x:c>
      <x:c r="C5903" s="87" t="str">
        <x:v>ЕГКР</x:v>
      </x:c>
      <x:c r="D5903" s="87"/>
      <x:c r="E5903" s="87" t="str">
        <x:v>Весна 2026</x:v>
      </x:c>
      <x:c r="F5903" s="87" t="str">
        <x:v>24.03.2026</x:v>
      </x:c>
      <x:c r="G5903" s="87" t="str">
        <x:v>Русский язык</x:v>
      </x:c>
      <x:c r="H5903" s="87" t="n">
        <x:v>11</x:v>
      </x:c>
      <x:c r="I5903" s="87"/>
      <x:c r="J5903" s="87" t="str">
        <x:v>963</x:v>
      </x:c>
      <x:c r="K5903" s="87" t="n">
        <x:v>3</x:v>
      </x:c>
      <x:c r="L5903" s="87" t="str">
        <x:v>Характеристики текста</x:v>
      </x:c>
      <x:c r="M5903" s="30" t="str">
        <x:v>Задание 3 варианта 963: Характеристики текста. Полная формулировка сохранена на указанной визуальной странице.</x:v>
      </x:c>
      <x:c r="N5903" s="30" t="str">
        <x:v>34</x:v>
      </x:c>
      <x:c r="O5903" s="30" t="str">
        <x:v>Ответ зафиксирован в формате задания; полное условие и варианты ответа доступны по VIS_ID.</x:v>
      </x:c>
      <x:c r="P5903" s="30"/>
      <x:c r="Q5903" s="30" t="str">
        <x:v>Ответ совпал с исходным ответником и независимой сверкой: Insperia — разбор варианта 963.</x:v>
      </x:c>
      <x:c r="R5903" s="30" t="str">
        <x:v>34</x:v>
      </x:c>
      <x:c r="S5903" s="30"/>
      <x:c r="T5903" s="30" t="str">
        <x:v>Insperia — разбор варианта 963</x:v>
      </x:c>
      <x:c r="U5903" s="30" t="str">
        <x:v>Расхождений нет.</x:v>
      </x:c>
      <x:c r="V5903" s="87" t="str">
        <x:v>VERIFIED</x:v>
      </x:c>
      <x:c r="W5903" s="87"/>
      <x:c r="X5903" s="87" t="n">
        <x:v>3</x:v>
      </x:c>
      <x:c r="Y5903" s="87"/>
      <x:c r="Z5903" s="87"/>
      <x:c r="AA5903" s="87"/>
      <x:c r="AB5903" s="87"/>
      <x:c r="AC5903" s="87" t="str">
        <x:v>VIS-EGKR-RUS-S26-TASK-963-P003</x:v>
      </x:c>
      <x:c r="AD5903" s="87" t="str">
        <x:v>VIS-EGKR-RUS-S26-ANSWERDOC-P004</x:v>
      </x:c>
      <x:c r="AE5903" s="87" t="str">
        <x:v>TASK; SECONDARY_ANSWER_SOURCE</x:v>
      </x:c>
      <x:c r="AF5903" s="87" t="str">
        <x:v>VIS-EGKR-RUS-S26-TASK-963-P003: 3; VIS-EGKR-RUS-S26-ANSWERDOC-P004: 4</x:v>
      </x:c>
      <x:c r="AG5903" s="87" t="str">
        <x:v>RESOLVED</x:v>
      </x:c>
      <x:c r="AH5903" s="87" t="str">
        <x:v>CROP_VERIFIED</x:v>
      </x:c>
      <x:c r="AI5903" s="30"/>
      <x:c r="AJ5903" s="87" t="str">
        <x:v>clean</x:v>
      </x:c>
      <x:c r="AK5903" s="87" t="str">
        <x:v>clean-v0.18</x:v>
      </x:c>
      <x:c r="AL5903" s="87" t="str">
        <x:v>statgrad_clean_continuation_v0_18(1).xlsx</x:v>
      </x:c>
      <x:c r="AM5903" s="87" t="str">
        <x:v>RUS_EGKR_963</x:v>
      </x:c>
      <x:c r="AN5903" s="87" t="n">
        <x:v>4</x:v>
      </x:c>
    </x:row>
    <x:row r="5904">
      <x:c r="A5904" s="87" t="n">
        <x:v>5903</x:v>
      </x:c>
      <x:c r="B5904" s="87" t="str">
        <x:v>EGKR-S26-RUS-963-04</x:v>
      </x:c>
      <x:c r="C5904" s="87" t="str">
        <x:v>ЕГКР</x:v>
      </x:c>
      <x:c r="D5904" s="87"/>
      <x:c r="E5904" s="87" t="str">
        <x:v>Весна 2026</x:v>
      </x:c>
      <x:c r="F5904" s="87" t="str">
        <x:v>24.03.2026</x:v>
      </x:c>
      <x:c r="G5904" s="87" t="str">
        <x:v>Русский язык</x:v>
      </x:c>
      <x:c r="H5904" s="87" t="n">
        <x:v>11</x:v>
      </x:c>
      <x:c r="I5904" s="87"/>
      <x:c r="J5904" s="87" t="str">
        <x:v>963</x:v>
      </x:c>
      <x:c r="K5904" s="87" t="n">
        <x:v>4</x:v>
      </x:c>
      <x:c r="L5904" s="87" t="str">
        <x:v>Орфоэпическая норма</x:v>
      </x:c>
      <x:c r="M5904" s="30" t="str">
        <x:v>Задание 4 варианта 963: Орфоэпическая норма. Полная формулировка сохранена на указанной визуальной странице.</x:v>
      </x:c>
      <x:c r="N5904" s="30" t="str">
        <x:v>125</x:v>
      </x:c>
      <x:c r="O5904" s="30" t="str">
        <x:v>Ответ зафиксирован в формате задания; полное условие и варианты ответа доступны по VIS_ID.</x:v>
      </x:c>
      <x:c r="P5904" s="30"/>
      <x:c r="Q5904" s="30" t="str">
        <x:v>Ответ совпал с исходным ответником и независимой сверкой: Insperia — разбор варианта 963.</x:v>
      </x:c>
      <x:c r="R5904" s="30" t="str">
        <x:v>125</x:v>
      </x:c>
      <x:c r="S5904" s="30"/>
      <x:c r="T5904" s="30" t="str">
        <x:v>Insperia — разбор варианта 963</x:v>
      </x:c>
      <x:c r="U5904" s="30" t="str">
        <x:v>Расхождений нет.</x:v>
      </x:c>
      <x:c r="V5904" s="87" t="str">
        <x:v>VERIFIED</x:v>
      </x:c>
      <x:c r="W5904" s="87"/>
      <x:c r="X5904" s="87" t="n">
        <x:v>4</x:v>
      </x:c>
      <x:c r="Y5904" s="87"/>
      <x:c r="Z5904" s="87"/>
      <x:c r="AA5904" s="87"/>
      <x:c r="AB5904" s="87"/>
      <x:c r="AC5904" s="87" t="str">
        <x:v>VIS-EGKR-RUS-S26-TASK-963-P004</x:v>
      </x:c>
      <x:c r="AD5904" s="87" t="str">
        <x:v>VIS-EGKR-RUS-S26-ANSWERDOC-P004</x:v>
      </x:c>
      <x:c r="AE5904" s="87" t="str">
        <x:v>TASK; SECONDARY_ANSWER_SOURCE</x:v>
      </x:c>
      <x:c r="AF5904" s="87" t="str">
        <x:v>VIS-EGKR-RUS-S26-TASK-963-P004: 4; VIS-EGKR-RUS-S26-ANSWERDOC-P004: 4</x:v>
      </x:c>
      <x:c r="AG5904" s="87" t="str">
        <x:v>RESOLVED</x:v>
      </x:c>
      <x:c r="AH5904" s="87" t="str">
        <x:v>CROP_VERIFIED</x:v>
      </x:c>
      <x:c r="AI5904" s="30"/>
      <x:c r="AJ5904" s="87" t="str">
        <x:v>clean</x:v>
      </x:c>
      <x:c r="AK5904" s="87" t="str">
        <x:v>clean-v0.18</x:v>
      </x:c>
      <x:c r="AL5904" s="87" t="str">
        <x:v>statgrad_clean_continuation_v0_18(1).xlsx</x:v>
      </x:c>
      <x:c r="AM5904" s="87" t="str">
        <x:v>RUS_EGKR_963</x:v>
      </x:c>
      <x:c r="AN5904" s="87" t="n">
        <x:v>5</x:v>
      </x:c>
    </x:row>
    <x:row r="5905">
      <x:c r="A5905" s="87" t="n">
        <x:v>5904</x:v>
      </x:c>
      <x:c r="B5905" s="87" t="str">
        <x:v>EGKR-S26-RUS-963-05</x:v>
      </x:c>
      <x:c r="C5905" s="87" t="str">
        <x:v>ЕГКР</x:v>
      </x:c>
      <x:c r="D5905" s="87"/>
      <x:c r="E5905" s="87" t="str">
        <x:v>Весна 2026</x:v>
      </x:c>
      <x:c r="F5905" s="87" t="str">
        <x:v>24.03.2026</x:v>
      </x:c>
      <x:c r="G5905" s="87" t="str">
        <x:v>Русский язык</x:v>
      </x:c>
      <x:c r="H5905" s="87" t="n">
        <x:v>11</x:v>
      </x:c>
      <x:c r="I5905" s="87"/>
      <x:c r="J5905" s="87" t="str">
        <x:v>963</x:v>
      </x:c>
      <x:c r="K5905" s="87" t="n">
        <x:v>5</x:v>
      </x:c>
      <x:c r="L5905" s="87" t="str">
        <x:v>Паронимы</x:v>
      </x:c>
      <x:c r="M5905" s="30" t="str">
        <x:v>Задание 5 варианта 963: Паронимы. Полная формулировка сохранена на указанной визуальной странице.</x:v>
      </x:c>
      <x:c r="N5905" s="30" t="str">
        <x:v>искусственного</x:v>
      </x:c>
      <x:c r="O5905" s="30" t="str">
        <x:v>Ответ зафиксирован в формате задания; полное условие и варианты ответа доступны по VIS_ID.</x:v>
      </x:c>
      <x:c r="P5905" s="30"/>
      <x:c r="Q5905" s="30" t="str">
        <x:v>Ответ совпал с исходным ответником и независимой сверкой: Insperia — разбор варианта 963.</x:v>
      </x:c>
      <x:c r="R5905" s="30" t="str">
        <x:v>искусственного</x:v>
      </x:c>
      <x:c r="S5905" s="30"/>
      <x:c r="T5905" s="30" t="str">
        <x:v>Insperia — разбор варианта 963</x:v>
      </x:c>
      <x:c r="U5905" s="30" t="str">
        <x:v>Расхождений нет.</x:v>
      </x:c>
      <x:c r="V5905" s="87" t="str">
        <x:v>VERIFIED</x:v>
      </x:c>
      <x:c r="W5905" s="87"/>
      <x:c r="X5905" s="87" t="n">
        <x:v>4</x:v>
      </x:c>
      <x:c r="Y5905" s="87"/>
      <x:c r="Z5905" s="87"/>
      <x:c r="AA5905" s="87"/>
      <x:c r="AB5905" s="87"/>
      <x:c r="AC5905" s="87" t="str">
        <x:v>VIS-EGKR-RUS-S26-TASK-963-P004</x:v>
      </x:c>
      <x:c r="AD5905" s="87" t="str">
        <x:v>VIS-EGKR-RUS-S26-ANSWERDOC-P004</x:v>
      </x:c>
      <x:c r="AE5905" s="87" t="str">
        <x:v>TASK; SECONDARY_ANSWER_SOURCE</x:v>
      </x:c>
      <x:c r="AF5905" s="87" t="str">
        <x:v>VIS-EGKR-RUS-S26-TASK-963-P004: 4; VIS-EGKR-RUS-S26-ANSWERDOC-P004: 4</x:v>
      </x:c>
      <x:c r="AG5905" s="87" t="str">
        <x:v>RESOLVED</x:v>
      </x:c>
      <x:c r="AH5905" s="87" t="str">
        <x:v>CROP_VERIFIED</x:v>
      </x:c>
      <x:c r="AI5905" s="30"/>
      <x:c r="AJ5905" s="87" t="str">
        <x:v>clean</x:v>
      </x:c>
      <x:c r="AK5905" s="87" t="str">
        <x:v>clean-v0.18</x:v>
      </x:c>
      <x:c r="AL5905" s="87" t="str">
        <x:v>statgrad_clean_continuation_v0_18(1).xlsx</x:v>
      </x:c>
      <x:c r="AM5905" s="87" t="str">
        <x:v>RUS_EGKR_963</x:v>
      </x:c>
      <x:c r="AN5905" s="87" t="n">
        <x:v>6</x:v>
      </x:c>
    </x:row>
    <x:row r="5906">
      <x:c r="A5906" s="87" t="n">
        <x:v>5905</x:v>
      </x:c>
      <x:c r="B5906" s="87" t="str">
        <x:v>EGKR-S26-RUS-963-06</x:v>
      </x:c>
      <x:c r="C5906" s="87" t="str">
        <x:v>ЕГКР</x:v>
      </x:c>
      <x:c r="D5906" s="87"/>
      <x:c r="E5906" s="87" t="str">
        <x:v>Весна 2026</x:v>
      </x:c>
      <x:c r="F5906" s="87" t="str">
        <x:v>24.03.2026</x:v>
      </x:c>
      <x:c r="G5906" s="87" t="str">
        <x:v>Русский язык</x:v>
      </x:c>
      <x:c r="H5906" s="87" t="n">
        <x:v>11</x:v>
      </x:c>
      <x:c r="I5906" s="87"/>
      <x:c r="J5906" s="87" t="str">
        <x:v>963</x:v>
      </x:c>
      <x:c r="K5906" s="87" t="n">
        <x:v>6</x:v>
      </x:c>
      <x:c r="L5906" s="87" t="str">
        <x:v>Лексическая норма</x:v>
      </x:c>
      <x:c r="M5906" s="30" t="str">
        <x:v>Задание 6 варианта 963: Лексическая норма. Полная формулировка сохранена на указанной визуальной странице.</x:v>
      </x:c>
      <x:c r="N5906" s="30" t="str">
        <x:v>неожиданные</x:v>
      </x:c>
      <x:c r="O5906" s="30" t="str">
        <x:v>Ответ зафиксирован в формате задания; полное условие и варианты ответа доступны по VIS_ID.</x:v>
      </x:c>
      <x:c r="P5906" s="30"/>
      <x:c r="Q5906" s="30" t="str">
        <x:v>Ответ совпал с исходным ответником и независимой сверкой: Insperia — разбор варианта 963.</x:v>
      </x:c>
      <x:c r="R5906" s="30" t="str">
        <x:v>неожиданные</x:v>
      </x:c>
      <x:c r="S5906" s="30"/>
      <x:c r="T5906" s="30" t="str">
        <x:v>Insperia — разбор варианта 963</x:v>
      </x:c>
      <x:c r="U5906" s="30" t="str">
        <x:v>Расхождений нет.</x:v>
      </x:c>
      <x:c r="V5906" s="87" t="str">
        <x:v>VERIFIED</x:v>
      </x:c>
      <x:c r="W5906" s="87"/>
      <x:c r="X5906" s="87" t="n">
        <x:v>4</x:v>
      </x:c>
      <x:c r="Y5906" s="87"/>
      <x:c r="Z5906" s="87"/>
      <x:c r="AA5906" s="87"/>
      <x:c r="AB5906" s="87"/>
      <x:c r="AC5906" s="87" t="str">
        <x:v>VIS-EGKR-RUS-S26-TASK-963-P004</x:v>
      </x:c>
      <x:c r="AD5906" s="87" t="str">
        <x:v>VIS-EGKR-RUS-S26-ANSWERDOC-P004</x:v>
      </x:c>
      <x:c r="AE5906" s="87" t="str">
        <x:v>TASK; SECONDARY_ANSWER_SOURCE</x:v>
      </x:c>
      <x:c r="AF5906" s="87" t="str">
        <x:v>VIS-EGKR-RUS-S26-TASK-963-P004: 4; VIS-EGKR-RUS-S26-ANSWERDOC-P004: 4</x:v>
      </x:c>
      <x:c r="AG5906" s="87" t="str">
        <x:v>RESOLVED</x:v>
      </x:c>
      <x:c r="AH5906" s="87" t="str">
        <x:v>CROP_VERIFIED</x:v>
      </x:c>
      <x:c r="AI5906" s="30"/>
      <x:c r="AJ5906" s="87" t="str">
        <x:v>clean</x:v>
      </x:c>
      <x:c r="AK5906" s="87" t="str">
        <x:v>clean-v0.18</x:v>
      </x:c>
      <x:c r="AL5906" s="87" t="str">
        <x:v>statgrad_clean_continuation_v0_18(1).xlsx</x:v>
      </x:c>
      <x:c r="AM5906" s="87" t="str">
        <x:v>RUS_EGKR_963</x:v>
      </x:c>
      <x:c r="AN5906" s="87" t="n">
        <x:v>7</x:v>
      </x:c>
    </x:row>
    <x:row r="5907">
      <x:c r="A5907" s="87" t="n">
        <x:v>5906</x:v>
      </x:c>
      <x:c r="B5907" s="87" t="str">
        <x:v>EGKR-S26-RUS-963-07</x:v>
      </x:c>
      <x:c r="C5907" s="87" t="str">
        <x:v>ЕГКР</x:v>
      </x:c>
      <x:c r="D5907" s="87"/>
      <x:c r="E5907" s="87" t="str">
        <x:v>Весна 2026</x:v>
      </x:c>
      <x:c r="F5907" s="87" t="str">
        <x:v>24.03.2026</x:v>
      </x:c>
      <x:c r="G5907" s="87" t="str">
        <x:v>Русский язык</x:v>
      </x:c>
      <x:c r="H5907" s="87" t="n">
        <x:v>11</x:v>
      </x:c>
      <x:c r="I5907" s="87"/>
      <x:c r="J5907" s="87" t="str">
        <x:v>963</x:v>
      </x:c>
      <x:c r="K5907" s="87" t="n">
        <x:v>7</x:v>
      </x:c>
      <x:c r="L5907" s="87" t="str">
        <x:v>Морфологическая норма</x:v>
      </x:c>
      <x:c r="M5907" s="30" t="str">
        <x:v>Задание 7 варианта 963: Морфологическая норма. Полная формулировка сохранена на указанной визуальной странице.</x:v>
      </x:c>
      <x:c r="N5907" s="30" t="str">
        <x:v>шампунем</x:v>
      </x:c>
      <x:c r="O5907" s="30" t="str">
        <x:v>Ответ зафиксирован в формате задания; полное условие и варианты ответа доступны по VIS_ID.</x:v>
      </x:c>
      <x:c r="P5907" s="30"/>
      <x:c r="Q5907" s="30" t="str">
        <x:v>Ответ совпал с исходным ответником и независимой сверкой: Insperia — разбор варианта 963.</x:v>
      </x:c>
      <x:c r="R5907" s="30" t="str">
        <x:v>шампунем</x:v>
      </x:c>
      <x:c r="S5907" s="30"/>
      <x:c r="T5907" s="30" t="str">
        <x:v>Insperia — разбор варианта 963</x:v>
      </x:c>
      <x:c r="U5907" s="30" t="str">
        <x:v>Расхождений нет.</x:v>
      </x:c>
      <x:c r="V5907" s="87" t="str">
        <x:v>VERIFIED</x:v>
      </x:c>
      <x:c r="W5907" s="87"/>
      <x:c r="X5907" s="87" t="n">
        <x:v>4</x:v>
      </x:c>
      <x:c r="Y5907" s="87"/>
      <x:c r="Z5907" s="87"/>
      <x:c r="AA5907" s="87"/>
      <x:c r="AB5907" s="87"/>
      <x:c r="AC5907" s="87" t="str">
        <x:v>VIS-EGKR-RUS-S26-TASK-963-P004</x:v>
      </x:c>
      <x:c r="AD5907" s="87" t="str">
        <x:v>VIS-EGKR-RUS-S26-ANSWERDOC-P004</x:v>
      </x:c>
      <x:c r="AE5907" s="87" t="str">
        <x:v>TASK; SECONDARY_ANSWER_SOURCE</x:v>
      </x:c>
      <x:c r="AF5907" s="87" t="str">
        <x:v>VIS-EGKR-RUS-S26-TASK-963-P004: 4; VIS-EGKR-RUS-S26-ANSWERDOC-P004: 4</x:v>
      </x:c>
      <x:c r="AG5907" s="87" t="str">
        <x:v>RESOLVED</x:v>
      </x:c>
      <x:c r="AH5907" s="87" t="str">
        <x:v>CROP_VERIFIED</x:v>
      </x:c>
      <x:c r="AI5907" s="30"/>
      <x:c r="AJ5907" s="87" t="str">
        <x:v>clean</x:v>
      </x:c>
      <x:c r="AK5907" s="87" t="str">
        <x:v>clean-v0.18</x:v>
      </x:c>
      <x:c r="AL5907" s="87" t="str">
        <x:v>statgrad_clean_continuation_v0_18(1).xlsx</x:v>
      </x:c>
      <x:c r="AM5907" s="87" t="str">
        <x:v>RUS_EGKR_963</x:v>
      </x:c>
      <x:c r="AN5907" s="87" t="n">
        <x:v>8</x:v>
      </x:c>
    </x:row>
    <x:row r="5908">
      <x:c r="A5908" s="87" t="n">
        <x:v>5907</x:v>
      </x:c>
      <x:c r="B5908" s="87" t="str">
        <x:v>EGKR-S26-RUS-963-08</x:v>
      </x:c>
      <x:c r="C5908" s="87" t="str">
        <x:v>ЕГКР</x:v>
      </x:c>
      <x:c r="D5908" s="87"/>
      <x:c r="E5908" s="87" t="str">
        <x:v>Весна 2026</x:v>
      </x:c>
      <x:c r="F5908" s="87" t="str">
        <x:v>24.03.2026</x:v>
      </x:c>
      <x:c r="G5908" s="87" t="str">
        <x:v>Русский язык</x:v>
      </x:c>
      <x:c r="H5908" s="87" t="n">
        <x:v>11</x:v>
      </x:c>
      <x:c r="I5908" s="87"/>
      <x:c r="J5908" s="87" t="str">
        <x:v>963</x:v>
      </x:c>
      <x:c r="K5908" s="87" t="n">
        <x:v>8</x:v>
      </x:c>
      <x:c r="L5908" s="87" t="str">
        <x:v>Синтаксические нормы</x:v>
      </x:c>
      <x:c r="M5908" s="30" t="str">
        <x:v>Задание 8 варианта 963: Синтаксические нормы. Полная формулировка сохранена на указанной визуальной странице.</x:v>
      </x:c>
      <x:c r="N5908" s="30" t="str">
        <x:v>SOURCE_UNCLEAR</x:v>
      </x:c>
      <x:c r="O5908" s="30" t="str">
        <x:v>Ответ зафиксирован в формате задания; полное условие и варианты ответа доступны по VIS_ID.</x:v>
      </x:c>
      <x:c r="P5908" s="30"/>
      <x:c r="Q5908" s="30" t="str">
        <x:v>Сопоставление невозможно надёжно завершить: список предложений и ответник повреждены.</x:v>
      </x:c>
      <x:c r="R5908" s="30" t="str">
        <x:v>АБ3В2Г7Д1</x:v>
      </x:c>
      <x:c r="S5908" s="30"/>
      <x:c r="T5908" s="30" t="str">
        <x:v>Insperia — разбор варианта 963</x:v>
      </x:c>
      <x:c r="U5908" s="30" t="str">
        <x:v>Сырой ответник: АБ3В2Г7Д1; канонический ответ не утверждается.</x:v>
      </x:c>
      <x:c r="V5908" s="87" t="str">
        <x:v>TASK_DEFECT</x:v>
      </x:c>
      <x:c r="W5908" s="87"/>
      <x:c r="X5908" s="87" t="n">
        <x:v>5</x:v>
      </x:c>
      <x:c r="Y5908" s="87"/>
      <x:c r="Z5908" s="87"/>
      <x:c r="AA5908" s="87"/>
      <x:c r="AB5908" s="87"/>
      <x:c r="AC5908" s="87" t="str">
        <x:v>VIS-EGKR-RUS-S26-TASK-963-P005</x:v>
      </x:c>
      <x:c r="AD5908" s="87" t="str">
        <x:v>VIS-EGKR-RUS-S26-ANSWERDOC-P004</x:v>
      </x:c>
      <x:c r="AE5908" s="87" t="str">
        <x:v>TASK; SECONDARY_ANSWER_SOURCE</x:v>
      </x:c>
      <x:c r="AF5908" s="87" t="str">
        <x:v>VIS-EGKR-RUS-S26-TASK-963-P005: 5; VIS-EGKR-RUS-S26-ANSWERDOC-P004: 4</x:v>
      </x:c>
      <x:c r="AG5908" s="87" t="str">
        <x:v>RESOLVED</x:v>
      </x:c>
      <x:c r="AH5908" s="87" t="str">
        <x:v>CROP_VERIFIED</x:v>
      </x:c>
      <x:c r="AI5908" s="30"/>
      <x:c r="AJ5908" s="87" t="str">
        <x:v>clean</x:v>
      </x:c>
      <x:c r="AK5908" s="87" t="str">
        <x:v>clean-v0.18</x:v>
      </x:c>
      <x:c r="AL5908" s="87" t="str">
        <x:v>statgrad_clean_continuation_v0_18(1).xlsx</x:v>
      </x:c>
      <x:c r="AM5908" s="87" t="str">
        <x:v>RUS_EGKR_963</x:v>
      </x:c>
      <x:c r="AN5908" s="87" t="n">
        <x:v>9</x:v>
      </x:c>
    </x:row>
    <x:row r="5909">
      <x:c r="A5909" s="87" t="n">
        <x:v>5908</x:v>
      </x:c>
      <x:c r="B5909" s="87" t="str">
        <x:v>EGKR-S26-RUS-963-09</x:v>
      </x:c>
      <x:c r="C5909" s="87" t="str">
        <x:v>ЕГКР</x:v>
      </x:c>
      <x:c r="D5909" s="87"/>
      <x:c r="E5909" s="87" t="str">
        <x:v>Весна 2026</x:v>
      </x:c>
      <x:c r="F5909" s="87" t="str">
        <x:v>24.03.2026</x:v>
      </x:c>
      <x:c r="G5909" s="87" t="str">
        <x:v>Русский язык</x:v>
      </x:c>
      <x:c r="H5909" s="87" t="n">
        <x:v>11</x:v>
      </x:c>
      <x:c r="I5909" s="87"/>
      <x:c r="J5909" s="87" t="str">
        <x:v>963</x:v>
      </x:c>
      <x:c r="K5909" s="87" t="n">
        <x:v>9</x:v>
      </x:c>
      <x:c r="L5909" s="87" t="str">
        <x:v>Правописание корней</x:v>
      </x:c>
      <x:c r="M5909" s="30" t="str">
        <x:v>Задание 9 варианта 963: Правописание корней. Полная формулировка сохранена на указанной визуальной странице.</x:v>
      </x:c>
      <x:c r="N5909" s="30" t="str">
        <x:v>123</x:v>
      </x:c>
      <x:c r="O5909" s="30" t="str">
        <x:v>Ответ зафиксирован в формате задания; полное условие и варианты ответа доступны по VIS_ID.</x:v>
      </x:c>
      <x:c r="P5909" s="30"/>
      <x:c r="Q5909" s="30" t="str">
        <x:v>Ответ совпал с исходным ответником и независимой сверкой: Insperia — разбор варианта 963.</x:v>
      </x:c>
      <x:c r="R5909" s="30" t="str">
        <x:v>123</x:v>
      </x:c>
      <x:c r="S5909" s="30"/>
      <x:c r="T5909" s="30" t="str">
        <x:v>Insperia — разбор варианта 963</x:v>
      </x:c>
      <x:c r="U5909" s="30" t="str">
        <x:v>Расхождений нет.</x:v>
      </x:c>
      <x:c r="V5909" s="87" t="str">
        <x:v>VERIFIED</x:v>
      </x:c>
      <x:c r="W5909" s="87"/>
      <x:c r="X5909" s="87" t="n">
        <x:v>6</x:v>
      </x:c>
      <x:c r="Y5909" s="87"/>
      <x:c r="Z5909" s="87"/>
      <x:c r="AA5909" s="87"/>
      <x:c r="AB5909" s="87"/>
      <x:c r="AC5909" s="87" t="str">
        <x:v>VIS-EGKR-RUS-S26-TASK-963-P006</x:v>
      </x:c>
      <x:c r="AD5909" s="87" t="str">
        <x:v>VIS-EGKR-RUS-S26-ANSWERDOC-P004</x:v>
      </x:c>
      <x:c r="AE5909" s="87" t="str">
        <x:v>TASK; SECONDARY_ANSWER_SOURCE</x:v>
      </x:c>
      <x:c r="AF5909" s="87" t="str">
        <x:v>VIS-EGKR-RUS-S26-TASK-963-P006: 6; VIS-EGKR-RUS-S26-ANSWERDOC-P004: 4</x:v>
      </x:c>
      <x:c r="AG5909" s="87" t="str">
        <x:v>RESOLVED</x:v>
      </x:c>
      <x:c r="AH5909" s="87" t="str">
        <x:v>CROP_VERIFIED</x:v>
      </x:c>
      <x:c r="AI5909" s="30"/>
      <x:c r="AJ5909" s="87" t="str">
        <x:v>clean</x:v>
      </x:c>
      <x:c r="AK5909" s="87" t="str">
        <x:v>clean-v0.18</x:v>
      </x:c>
      <x:c r="AL5909" s="87" t="str">
        <x:v>statgrad_clean_continuation_v0_18(1).xlsx</x:v>
      </x:c>
      <x:c r="AM5909" s="87" t="str">
        <x:v>RUS_EGKR_963</x:v>
      </x:c>
      <x:c r="AN5909" s="87" t="n">
        <x:v>10</x:v>
      </x:c>
    </x:row>
    <x:row r="5910">
      <x:c r="A5910" s="87" t="n">
        <x:v>5909</x:v>
      </x:c>
      <x:c r="B5910" s="87" t="str">
        <x:v>EGKR-S26-RUS-963-10</x:v>
      </x:c>
      <x:c r="C5910" s="87" t="str">
        <x:v>ЕГКР</x:v>
      </x:c>
      <x:c r="D5910" s="87"/>
      <x:c r="E5910" s="87" t="str">
        <x:v>Весна 2026</x:v>
      </x:c>
      <x:c r="F5910" s="87" t="str">
        <x:v>24.03.2026</x:v>
      </x:c>
      <x:c r="G5910" s="87" t="str">
        <x:v>Русский язык</x:v>
      </x:c>
      <x:c r="H5910" s="87" t="n">
        <x:v>11</x:v>
      </x:c>
      <x:c r="I5910" s="87"/>
      <x:c r="J5910" s="87" t="str">
        <x:v>963</x:v>
      </x:c>
      <x:c r="K5910" s="87" t="n">
        <x:v>10</x:v>
      </x:c>
      <x:c r="L5910" s="87" t="str">
        <x:v>Правописание приставок</x:v>
      </x:c>
      <x:c r="M5910" s="30" t="str">
        <x:v>Задание 10 варианта 963: Правописание приставок. Полная формулировка сохранена на указанной визуальной странице.</x:v>
      </x:c>
      <x:c r="N5910" s="30" t="str">
        <x:v>2345</x:v>
      </x:c>
      <x:c r="O5910" s="30" t="str">
        <x:v>Ответ зафиксирован в формате задания; полное условие и варианты ответа доступны по VIS_ID.</x:v>
      </x:c>
      <x:c r="P5910" s="30"/>
      <x:c r="Q5910" s="30" t="str">
        <x:v>Ответ совпал с исходным ответником и независимой сверкой: Insperia — разбор варианта 963.</x:v>
      </x:c>
      <x:c r="R5910" s="30" t="str">
        <x:v>2345</x:v>
      </x:c>
      <x:c r="S5910" s="30"/>
      <x:c r="T5910" s="30" t="str">
        <x:v>Insperia — разбор варианта 963</x:v>
      </x:c>
      <x:c r="U5910" s="30" t="str">
        <x:v>Расхождений нет.</x:v>
      </x:c>
      <x:c r="V5910" s="87" t="str">
        <x:v>VERIFIED</x:v>
      </x:c>
      <x:c r="W5910" s="87"/>
      <x:c r="X5910" s="87" t="n">
        <x:v>6</x:v>
      </x:c>
      <x:c r="Y5910" s="87"/>
      <x:c r="Z5910" s="87"/>
      <x:c r="AA5910" s="87"/>
      <x:c r="AB5910" s="87"/>
      <x:c r="AC5910" s="87" t="str">
        <x:v>VIS-EGKR-RUS-S26-TASK-963-P006</x:v>
      </x:c>
      <x:c r="AD5910" s="87" t="str">
        <x:v>VIS-EGKR-RUS-S26-ANSWERDOC-P004</x:v>
      </x:c>
      <x:c r="AE5910" s="87" t="str">
        <x:v>TASK; SECONDARY_ANSWER_SOURCE</x:v>
      </x:c>
      <x:c r="AF5910" s="87" t="str">
        <x:v>VIS-EGKR-RUS-S26-TASK-963-P006: 6; VIS-EGKR-RUS-S26-ANSWERDOC-P004: 4</x:v>
      </x:c>
      <x:c r="AG5910" s="87" t="str">
        <x:v>RESOLVED</x:v>
      </x:c>
      <x:c r="AH5910" s="87" t="str">
        <x:v>CROP_VERIFIED</x:v>
      </x:c>
      <x:c r="AI5910" s="30"/>
      <x:c r="AJ5910" s="87" t="str">
        <x:v>clean</x:v>
      </x:c>
      <x:c r="AK5910" s="87" t="str">
        <x:v>clean-v0.18</x:v>
      </x:c>
      <x:c r="AL5910" s="87" t="str">
        <x:v>statgrad_clean_continuation_v0_18(1).xlsx</x:v>
      </x:c>
      <x:c r="AM5910" s="87" t="str">
        <x:v>RUS_EGKR_963</x:v>
      </x:c>
      <x:c r="AN5910" s="87" t="n">
        <x:v>11</x:v>
      </x:c>
    </x:row>
    <x:row r="5911">
      <x:c r="A5911" s="87" t="n">
        <x:v>5910</x:v>
      </x:c>
      <x:c r="B5911" s="87" t="str">
        <x:v>EGKR-S26-RUS-963-11</x:v>
      </x:c>
      <x:c r="C5911" s="87" t="str">
        <x:v>ЕГКР</x:v>
      </x:c>
      <x:c r="D5911" s="87"/>
      <x:c r="E5911" s="87" t="str">
        <x:v>Весна 2026</x:v>
      </x:c>
      <x:c r="F5911" s="87" t="str">
        <x:v>24.03.2026</x:v>
      </x:c>
      <x:c r="G5911" s="87" t="str">
        <x:v>Русский язык</x:v>
      </x:c>
      <x:c r="H5911" s="87" t="n">
        <x:v>11</x:v>
      </x:c>
      <x:c r="I5911" s="87"/>
      <x:c r="J5911" s="87" t="str">
        <x:v>963</x:v>
      </x:c>
      <x:c r="K5911" s="87" t="n">
        <x:v>11</x:v>
      </x:c>
      <x:c r="L5911" s="87" t="str">
        <x:v>Правописание суффиксов</x:v>
      </x:c>
      <x:c r="M5911" s="30" t="str">
        <x:v>Задание 11 варианта 963: Правописание суффиксов. Полная формулировка сохранена на указанной визуальной странице.</x:v>
      </x:c>
      <x:c r="N5911" s="30" t="str">
        <x:v>1345</x:v>
      </x:c>
      <x:c r="O5911" s="30" t="str">
        <x:v>Ответ зафиксирован в формате задания; полное условие и варианты ответа доступны по VIS_ID.</x:v>
      </x:c>
      <x:c r="P5911" s="30"/>
      <x:c r="Q5911" s="30" t="str">
        <x:v>Ответ совпал с исходным ответником и независимой сверкой: Insperia — разбор варианта 963.</x:v>
      </x:c>
      <x:c r="R5911" s="30" t="str">
        <x:v>1345</x:v>
      </x:c>
      <x:c r="S5911" s="30"/>
      <x:c r="T5911" s="30" t="str">
        <x:v>Insperia — разбор варианта 963</x:v>
      </x:c>
      <x:c r="U5911" s="30" t="str">
        <x:v>Расхождений нет.</x:v>
      </x:c>
      <x:c r="V5911" s="87" t="str">
        <x:v>VERIFIED</x:v>
      </x:c>
      <x:c r="W5911" s="87"/>
      <x:c r="X5911" s="87" t="n">
        <x:v>6</x:v>
      </x:c>
      <x:c r="Y5911" s="87"/>
      <x:c r="Z5911" s="87"/>
      <x:c r="AA5911" s="87"/>
      <x:c r="AB5911" s="87"/>
      <x:c r="AC5911" s="87" t="str">
        <x:v>VIS-EGKR-RUS-S26-TASK-963-P006</x:v>
      </x:c>
      <x:c r="AD5911" s="87" t="str">
        <x:v>VIS-EGKR-RUS-S26-ANSWERDOC-P004</x:v>
      </x:c>
      <x:c r="AE5911" s="87" t="str">
        <x:v>TASK; SECONDARY_ANSWER_SOURCE</x:v>
      </x:c>
      <x:c r="AF5911" s="87" t="str">
        <x:v>VIS-EGKR-RUS-S26-TASK-963-P006: 6; VIS-EGKR-RUS-S26-ANSWERDOC-P004: 4</x:v>
      </x:c>
      <x:c r="AG5911" s="87" t="str">
        <x:v>RESOLVED</x:v>
      </x:c>
      <x:c r="AH5911" s="87" t="str">
        <x:v>CROP_VERIFIED</x:v>
      </x:c>
      <x:c r="AI5911" s="30"/>
      <x:c r="AJ5911" s="87" t="str">
        <x:v>clean</x:v>
      </x:c>
      <x:c r="AK5911" s="87" t="str">
        <x:v>clean-v0.18</x:v>
      </x:c>
      <x:c r="AL5911" s="87" t="str">
        <x:v>statgrad_clean_continuation_v0_18(1).xlsx</x:v>
      </x:c>
      <x:c r="AM5911" s="87" t="str">
        <x:v>RUS_EGKR_963</x:v>
      </x:c>
      <x:c r="AN5911" s="87" t="n">
        <x:v>12</x:v>
      </x:c>
    </x:row>
    <x:row r="5912">
      <x:c r="A5912" s="87" t="n">
        <x:v>5911</x:v>
      </x:c>
      <x:c r="B5912" s="87" t="str">
        <x:v>EGKR-S26-RUS-963-12</x:v>
      </x:c>
      <x:c r="C5912" s="87" t="str">
        <x:v>ЕГКР</x:v>
      </x:c>
      <x:c r="D5912" s="87"/>
      <x:c r="E5912" s="87" t="str">
        <x:v>Весна 2026</x:v>
      </x:c>
      <x:c r="F5912" s="87" t="str">
        <x:v>24.03.2026</x:v>
      </x:c>
      <x:c r="G5912" s="87" t="str">
        <x:v>Русский язык</x:v>
      </x:c>
      <x:c r="H5912" s="87" t="n">
        <x:v>11</x:v>
      </x:c>
      <x:c r="I5912" s="87"/>
      <x:c r="J5912" s="87" t="str">
        <x:v>963</x:v>
      </x:c>
      <x:c r="K5912" s="87" t="n">
        <x:v>12</x:v>
      </x:c>
      <x:c r="L5912" s="87" t="str">
        <x:v>Глаголы и причастия</x:v>
      </x:c>
      <x:c r="M5912" s="30" t="str">
        <x:v>Задание 12 варианта 963: Глаголы и причастия. Полная формулировка сохранена на указанной визуальной странице.</x:v>
      </x:c>
      <x:c r="N5912" s="30" t="str">
        <x:v>234</x:v>
      </x:c>
      <x:c r="O5912" s="30" t="str">
        <x:v>Ответ зафиксирован в формате задания; полное условие и варианты ответа доступны по VIS_ID.</x:v>
      </x:c>
      <x:c r="P5912" s="30"/>
      <x:c r="Q5912" s="30" t="str">
        <x:v>Ответ совпал с исходным ответником и независимой сверкой: Insperia — разбор варианта 963.</x:v>
      </x:c>
      <x:c r="R5912" s="30" t="str">
        <x:v>234</x:v>
      </x:c>
      <x:c r="S5912" s="30"/>
      <x:c r="T5912" s="30" t="str">
        <x:v>Insperia — разбор варианта 963</x:v>
      </x:c>
      <x:c r="U5912" s="30" t="str">
        <x:v>Расхождений нет.</x:v>
      </x:c>
      <x:c r="V5912" s="87" t="str">
        <x:v>VERIFIED</x:v>
      </x:c>
      <x:c r="W5912" s="87"/>
      <x:c r="X5912" s="87" t="n">
        <x:v>6</x:v>
      </x:c>
      <x:c r="Y5912" s="87"/>
      <x:c r="Z5912" s="87"/>
      <x:c r="AA5912" s="87"/>
      <x:c r="AB5912" s="87"/>
      <x:c r="AC5912" s="87" t="str">
        <x:v>VIS-EGKR-RUS-S26-TASK-963-P006</x:v>
      </x:c>
      <x:c r="AD5912" s="87" t="str">
        <x:v>VIS-EGKR-RUS-S26-ANSWERDOC-P004</x:v>
      </x:c>
      <x:c r="AE5912" s="87" t="str">
        <x:v>TASK; SECONDARY_ANSWER_SOURCE</x:v>
      </x:c>
      <x:c r="AF5912" s="87" t="str">
        <x:v>VIS-EGKR-RUS-S26-TASK-963-P006: 6; VIS-EGKR-RUS-S26-ANSWERDOC-P004: 4</x:v>
      </x:c>
      <x:c r="AG5912" s="87" t="str">
        <x:v>RESOLVED</x:v>
      </x:c>
      <x:c r="AH5912" s="87" t="str">
        <x:v>CROP_VERIFIED</x:v>
      </x:c>
      <x:c r="AI5912" s="30"/>
      <x:c r="AJ5912" s="87" t="str">
        <x:v>clean</x:v>
      </x:c>
      <x:c r="AK5912" s="87" t="str">
        <x:v>clean-v0.18</x:v>
      </x:c>
      <x:c r="AL5912" s="87" t="str">
        <x:v>statgrad_clean_continuation_v0_18(1).xlsx</x:v>
      </x:c>
      <x:c r="AM5912" s="87" t="str">
        <x:v>RUS_EGKR_963</x:v>
      </x:c>
      <x:c r="AN5912" s="87" t="n">
        <x:v>13</x:v>
      </x:c>
    </x:row>
    <x:row r="5913">
      <x:c r="A5913" s="87" t="n">
        <x:v>5912</x:v>
      </x:c>
      <x:c r="B5913" s="87" t="str">
        <x:v>EGKR-S26-RUS-963-13</x:v>
      </x:c>
      <x:c r="C5913" s="87" t="str">
        <x:v>ЕГКР</x:v>
      </x:c>
      <x:c r="D5913" s="87"/>
      <x:c r="E5913" s="87" t="str">
        <x:v>Весна 2026</x:v>
      </x:c>
      <x:c r="F5913" s="87" t="str">
        <x:v>24.03.2026</x:v>
      </x:c>
      <x:c r="G5913" s="87" t="str">
        <x:v>Русский язык</x:v>
      </x:c>
      <x:c r="H5913" s="87" t="n">
        <x:v>11</x:v>
      </x:c>
      <x:c r="I5913" s="87"/>
      <x:c r="J5913" s="87" t="str">
        <x:v>963</x:v>
      </x:c>
      <x:c r="K5913" s="87" t="n">
        <x:v>13</x:v>
      </x:c>
      <x:c r="L5913" s="87" t="str">
        <x:v>НЕ и НИ</x:v>
      </x:c>
      <x:c r="M5913" s="30" t="str">
        <x:v>Задание 13 варианта 963: НЕ и НИ. Полная формулировка сохранена на указанной визуальной странице.</x:v>
      </x:c>
      <x:c r="N5913" s="30" t="str">
        <x:v>15</x:v>
      </x:c>
      <x:c r="O5913" s="30" t="str">
        <x:v>Ответ зафиксирован в формате задания; полное условие и варианты ответа доступны по VIS_ID.</x:v>
      </x:c>
      <x:c r="P5913" s="30"/>
      <x:c r="Q5913" s="30" t="str">
        <x:v>Ответ независимо сверён по исходному заданию и разбору: Insperia — разбор варианта 963.</x:v>
      </x:c>
      <x:c r="R5913" s="30" t="str">
        <x:v>1</x:v>
      </x:c>
      <x:c r="S5913" s="30"/>
      <x:c r="T5913" s="30" t="str">
        <x:v>Insperia — разбор варианта 963</x:v>
      </x:c>
      <x:c r="U5913" s="30" t="str">
        <x:v>Ответник: 1; канонический ответ: 15.</x:v>
      </x:c>
      <x:c r="V5913" s="87" t="str">
        <x:v>KEY_MISMATCH</x:v>
      </x:c>
      <x:c r="W5913" s="87"/>
      <x:c r="X5913" s="87" t="n">
        <x:v>7</x:v>
      </x:c>
      <x:c r="Y5913" s="87"/>
      <x:c r="Z5913" s="87"/>
      <x:c r="AA5913" s="87"/>
      <x:c r="AB5913" s="87"/>
      <x:c r="AC5913" s="87" t="str">
        <x:v>VIS-EGKR-RUS-S26-TASK-963-P007</x:v>
      </x:c>
      <x:c r="AD5913" s="87" t="str">
        <x:v>VIS-EGKR-RUS-S26-ANSWERDOC-P004</x:v>
      </x:c>
      <x:c r="AE5913" s="87" t="str">
        <x:v>TASK; SECONDARY_ANSWER_SOURCE</x:v>
      </x:c>
      <x:c r="AF5913" s="87" t="str">
        <x:v>VIS-EGKR-RUS-S26-TASK-963-P007: 7; VIS-EGKR-RUS-S26-ANSWERDOC-P004: 4</x:v>
      </x:c>
      <x:c r="AG5913" s="87" t="str">
        <x:v>RESOLVED</x:v>
      </x:c>
      <x:c r="AH5913" s="87" t="str">
        <x:v>CROP_VERIFIED</x:v>
      </x:c>
      <x:c r="AI5913" s="30"/>
      <x:c r="AJ5913" s="87" t="str">
        <x:v>clean</x:v>
      </x:c>
      <x:c r="AK5913" s="87" t="str">
        <x:v>clean-v0.18</x:v>
      </x:c>
      <x:c r="AL5913" s="87" t="str">
        <x:v>statgrad_clean_continuation_v0_18(1).xlsx</x:v>
      </x:c>
      <x:c r="AM5913" s="87" t="str">
        <x:v>RUS_EGKR_963</x:v>
      </x:c>
      <x:c r="AN5913" s="87" t="n">
        <x:v>14</x:v>
      </x:c>
    </x:row>
    <x:row r="5914">
      <x:c r="A5914" s="87" t="n">
        <x:v>5913</x:v>
      </x:c>
      <x:c r="B5914" s="87" t="str">
        <x:v>EGKR-S26-RUS-963-14</x:v>
      </x:c>
      <x:c r="C5914" s="87" t="str">
        <x:v>ЕГКР</x:v>
      </x:c>
      <x:c r="D5914" s="87"/>
      <x:c r="E5914" s="87" t="str">
        <x:v>Весна 2026</x:v>
      </x:c>
      <x:c r="F5914" s="87" t="str">
        <x:v>24.03.2026</x:v>
      </x:c>
      <x:c r="G5914" s="87" t="str">
        <x:v>Русский язык</x:v>
      </x:c>
      <x:c r="H5914" s="87" t="n">
        <x:v>11</x:v>
      </x:c>
      <x:c r="I5914" s="87"/>
      <x:c r="J5914" s="87" t="str">
        <x:v>963</x:v>
      </x:c>
      <x:c r="K5914" s="87" t="n">
        <x:v>14</x:v>
      </x:c>
      <x:c r="L5914" s="87" t="str">
        <x:v>Слитное, раздельное и дефисное написание</x:v>
      </x:c>
      <x:c r="M5914" s="30" t="str">
        <x:v>Задание 14 варианта 963: Слитное, раздельное и дефисное написание. Полная формулировка сохранена на указанной визуальной странице.</x:v>
      </x:c>
      <x:c r="N5914" s="30" t="str">
        <x:v>123</x:v>
      </x:c>
      <x:c r="O5914" s="30" t="str">
        <x:v>Ответ зафиксирован в формате задания; полное условие и варианты ответа доступны по VIS_ID.</x:v>
      </x:c>
      <x:c r="P5914" s="30"/>
      <x:c r="Q5914" s="30" t="str">
        <x:v>Ответ совпал с исходным ответником и независимой сверкой: Insperia — разбор варианта 963.</x:v>
      </x:c>
      <x:c r="R5914" s="30" t="str">
        <x:v>123</x:v>
      </x:c>
      <x:c r="S5914" s="30"/>
      <x:c r="T5914" s="30" t="str">
        <x:v>Insperia — разбор варианта 963</x:v>
      </x:c>
      <x:c r="U5914" s="30" t="str">
        <x:v>Расхождений нет.</x:v>
      </x:c>
      <x:c r="V5914" s="87" t="str">
        <x:v>VERIFIED</x:v>
      </x:c>
      <x:c r="W5914" s="87"/>
      <x:c r="X5914" s="87" t="n">
        <x:v>7</x:v>
      </x:c>
      <x:c r="Y5914" s="87"/>
      <x:c r="Z5914" s="87"/>
      <x:c r="AA5914" s="87"/>
      <x:c r="AB5914" s="87"/>
      <x:c r="AC5914" s="87" t="str">
        <x:v>VIS-EGKR-RUS-S26-TASK-963-P007</x:v>
      </x:c>
      <x:c r="AD5914" s="87" t="str">
        <x:v>VIS-EGKR-RUS-S26-ANSWERDOC-P004</x:v>
      </x:c>
      <x:c r="AE5914" s="87" t="str">
        <x:v>TASK; SECONDARY_ANSWER_SOURCE</x:v>
      </x:c>
      <x:c r="AF5914" s="87" t="str">
        <x:v>VIS-EGKR-RUS-S26-TASK-963-P007: 7; VIS-EGKR-RUS-S26-ANSWERDOC-P004: 4</x:v>
      </x:c>
      <x:c r="AG5914" s="87" t="str">
        <x:v>RESOLVED</x:v>
      </x:c>
      <x:c r="AH5914" s="87" t="str">
        <x:v>CROP_VERIFIED</x:v>
      </x:c>
      <x:c r="AI5914" s="30"/>
      <x:c r="AJ5914" s="87" t="str">
        <x:v>clean</x:v>
      </x:c>
      <x:c r="AK5914" s="87" t="str">
        <x:v>clean-v0.18</x:v>
      </x:c>
      <x:c r="AL5914" s="87" t="str">
        <x:v>statgrad_clean_continuation_v0_18(1).xlsx</x:v>
      </x:c>
      <x:c r="AM5914" s="87" t="str">
        <x:v>RUS_EGKR_963</x:v>
      </x:c>
      <x:c r="AN5914" s="87" t="n">
        <x:v>15</x:v>
      </x:c>
    </x:row>
    <x:row r="5915">
      <x:c r="A5915" s="87" t="n">
        <x:v>5914</x:v>
      </x:c>
      <x:c r="B5915" s="87" t="str">
        <x:v>EGKR-S26-RUS-963-15</x:v>
      </x:c>
      <x:c r="C5915" s="87" t="str">
        <x:v>ЕГКР</x:v>
      </x:c>
      <x:c r="D5915" s="87"/>
      <x:c r="E5915" s="87" t="str">
        <x:v>Весна 2026</x:v>
      </x:c>
      <x:c r="F5915" s="87" t="str">
        <x:v>24.03.2026</x:v>
      </x:c>
      <x:c r="G5915" s="87" t="str">
        <x:v>Русский язык</x:v>
      </x:c>
      <x:c r="H5915" s="87" t="n">
        <x:v>11</x:v>
      </x:c>
      <x:c r="I5915" s="87"/>
      <x:c r="J5915" s="87" t="str">
        <x:v>963</x:v>
      </x:c>
      <x:c r="K5915" s="87" t="n">
        <x:v>15</x:v>
      </x:c>
      <x:c r="L5915" s="87" t="str">
        <x:v>Н и НН</x:v>
      </x:c>
      <x:c r="M5915" s="30" t="str">
        <x:v>Задание 15 варианта 963: Н и НН. Полная формулировка сохранена на указанной визуальной странице.</x:v>
      </x:c>
      <x:c r="N5915" s="30" t="str">
        <x:v>234</x:v>
      </x:c>
      <x:c r="O5915" s="30" t="str">
        <x:v>Ответ зафиксирован в формате задания; полное условие и варианты ответа доступны по VIS_ID.</x:v>
      </x:c>
      <x:c r="P5915" s="30"/>
      <x:c r="Q5915" s="30" t="str">
        <x:v>Ответ совпал с исходным ответником и независимой сверкой: Insperia — разбор варианта 963.</x:v>
      </x:c>
      <x:c r="R5915" s="30" t="str">
        <x:v>234</x:v>
      </x:c>
      <x:c r="S5915" s="30"/>
      <x:c r="T5915" s="30" t="str">
        <x:v>Insperia — разбор варианта 963</x:v>
      </x:c>
      <x:c r="U5915" s="30" t="str">
        <x:v>Расхождений нет.</x:v>
      </x:c>
      <x:c r="V5915" s="87" t="str">
        <x:v>VERIFIED</x:v>
      </x:c>
      <x:c r="W5915" s="87"/>
      <x:c r="X5915" s="87" t="n">
        <x:v>7</x:v>
      </x:c>
      <x:c r="Y5915" s="87"/>
      <x:c r="Z5915" s="87"/>
      <x:c r="AA5915" s="87"/>
      <x:c r="AB5915" s="87"/>
      <x:c r="AC5915" s="87" t="str">
        <x:v>VIS-EGKR-RUS-S26-TASK-963-P007</x:v>
      </x:c>
      <x:c r="AD5915" s="87" t="str">
        <x:v>VIS-EGKR-RUS-S26-ANSWERDOC-P004</x:v>
      </x:c>
      <x:c r="AE5915" s="87" t="str">
        <x:v>TASK; SECONDARY_ANSWER_SOURCE</x:v>
      </x:c>
      <x:c r="AF5915" s="87" t="str">
        <x:v>VIS-EGKR-RUS-S26-TASK-963-P007: 7; VIS-EGKR-RUS-S26-ANSWERDOC-P004: 4</x:v>
      </x:c>
      <x:c r="AG5915" s="87" t="str">
        <x:v>RESOLVED</x:v>
      </x:c>
      <x:c r="AH5915" s="87" t="str">
        <x:v>CROP_VERIFIED</x:v>
      </x:c>
      <x:c r="AI5915" s="30"/>
      <x:c r="AJ5915" s="87" t="str">
        <x:v>clean</x:v>
      </x:c>
      <x:c r="AK5915" s="87" t="str">
        <x:v>clean-v0.18</x:v>
      </x:c>
      <x:c r="AL5915" s="87" t="str">
        <x:v>statgrad_clean_continuation_v0_18(1).xlsx</x:v>
      </x:c>
      <x:c r="AM5915" s="87" t="str">
        <x:v>RUS_EGKR_963</x:v>
      </x:c>
      <x:c r="AN5915" s="87" t="n">
        <x:v>16</x:v>
      </x:c>
    </x:row>
    <x:row r="5916">
      <x:c r="A5916" s="87" t="n">
        <x:v>5915</x:v>
      </x:c>
      <x:c r="B5916" s="87" t="str">
        <x:v>EGKR-S26-RUS-963-16</x:v>
      </x:c>
      <x:c r="C5916" s="87" t="str">
        <x:v>ЕГКР</x:v>
      </x:c>
      <x:c r="D5916" s="87"/>
      <x:c r="E5916" s="87" t="str">
        <x:v>Весна 2026</x:v>
      </x:c>
      <x:c r="F5916" s="87" t="str">
        <x:v>24.03.2026</x:v>
      </x:c>
      <x:c r="G5916" s="87" t="str">
        <x:v>Русский язык</x:v>
      </x:c>
      <x:c r="H5916" s="87" t="n">
        <x:v>11</x:v>
      </x:c>
      <x:c r="I5916" s="87"/>
      <x:c r="J5916" s="87" t="str">
        <x:v>963</x:v>
      </x:c>
      <x:c r="K5916" s="87" t="n">
        <x:v>16</x:v>
      </x:c>
      <x:c r="L5916" s="87" t="str">
        <x:v>Пунктуация при однородных членах</x:v>
      </x:c>
      <x:c r="M5916" s="30" t="str">
        <x:v>Задание 16 варианта 963: Пунктуация при однородных членах. Полная формулировка сохранена на указанной визуальной странице.</x:v>
      </x:c>
      <x:c r="N5916" s="30" t="str">
        <x:v>1345</x:v>
      </x:c>
      <x:c r="O5916" s="30" t="str">
        <x:v>Ответ зафиксирован в формате задания; полное условие и варианты ответа доступны по VIS_ID.</x:v>
      </x:c>
      <x:c r="P5916" s="30"/>
      <x:c r="Q5916" s="30" t="str">
        <x:v>Ответ независимо сверён по исходному заданию и разбору: Insperia — разбор варианта 963.</x:v>
      </x:c>
      <x:c r="R5916" s="30" t="str">
        <x:v>145</x:v>
      </x:c>
      <x:c r="S5916" s="30"/>
      <x:c r="T5916" s="30" t="str">
        <x:v>Insperia — разбор варианта 963</x:v>
      </x:c>
      <x:c r="U5916" s="30" t="str">
        <x:v>Ответник: 145; канонический ответ: 1345.</x:v>
      </x:c>
      <x:c r="V5916" s="87" t="str">
        <x:v>KEY_MISMATCH</x:v>
      </x:c>
      <x:c r="W5916" s="87"/>
      <x:c r="X5916" s="87" t="n">
        <x:v>7</x:v>
      </x:c>
      <x:c r="Y5916" s="87"/>
      <x:c r="Z5916" s="87"/>
      <x:c r="AA5916" s="87"/>
      <x:c r="AB5916" s="87"/>
      <x:c r="AC5916" s="87" t="str">
        <x:v>VIS-EGKR-RUS-S26-TASK-963-P007</x:v>
      </x:c>
      <x:c r="AD5916" s="87" t="str">
        <x:v>VIS-EGKR-RUS-S26-ANSWERDOC-P004</x:v>
      </x:c>
      <x:c r="AE5916" s="87" t="str">
        <x:v>TASK; SECONDARY_ANSWER_SOURCE</x:v>
      </x:c>
      <x:c r="AF5916" s="87" t="str">
        <x:v>VIS-EGKR-RUS-S26-TASK-963-P007: 7; VIS-EGKR-RUS-S26-ANSWERDOC-P004: 4</x:v>
      </x:c>
      <x:c r="AG5916" s="87" t="str">
        <x:v>RESOLVED</x:v>
      </x:c>
      <x:c r="AH5916" s="87" t="str">
        <x:v>CROP_VERIFIED</x:v>
      </x:c>
      <x:c r="AI5916" s="30"/>
      <x:c r="AJ5916" s="87" t="str">
        <x:v>clean</x:v>
      </x:c>
      <x:c r="AK5916" s="87" t="str">
        <x:v>clean-v0.18</x:v>
      </x:c>
      <x:c r="AL5916" s="87" t="str">
        <x:v>statgrad_clean_continuation_v0_18(1).xlsx</x:v>
      </x:c>
      <x:c r="AM5916" s="87" t="str">
        <x:v>RUS_EGKR_963</x:v>
      </x:c>
      <x:c r="AN5916" s="87" t="n">
        <x:v>17</x:v>
      </x:c>
    </x:row>
    <x:row r="5917">
      <x:c r="A5917" s="87" t="n">
        <x:v>5916</x:v>
      </x:c>
      <x:c r="B5917" s="87" t="str">
        <x:v>EGKR-S26-RUS-963-17</x:v>
      </x:c>
      <x:c r="C5917" s="87" t="str">
        <x:v>ЕГКР</x:v>
      </x:c>
      <x:c r="D5917" s="87"/>
      <x:c r="E5917" s="87" t="str">
        <x:v>Весна 2026</x:v>
      </x:c>
      <x:c r="F5917" s="87" t="str">
        <x:v>24.03.2026</x:v>
      </x:c>
      <x:c r="G5917" s="87" t="str">
        <x:v>Русский язык</x:v>
      </x:c>
      <x:c r="H5917" s="87" t="n">
        <x:v>11</x:v>
      </x:c>
      <x:c r="I5917" s="87"/>
      <x:c r="J5917" s="87" t="str">
        <x:v>963</x:v>
      </x:c>
      <x:c r="K5917" s="87" t="n">
        <x:v>17</x:v>
      </x:c>
      <x:c r="L5917" s="87" t="str">
        <x:v>Обособленные конструкции</x:v>
      </x:c>
      <x:c r="M5917" s="30" t="str">
        <x:v>Задание 17 варианта 963: Обособленные конструкции. Полная формулировка сохранена на указанной визуальной странице.</x:v>
      </x:c>
      <x:c r="N5917" s="30" t="str">
        <x:v>1236</x:v>
      </x:c>
      <x:c r="O5917" s="30" t="str">
        <x:v>Ответ зафиксирован в формате задания; полное условие и варианты ответа доступны по VIS_ID.</x:v>
      </x:c>
      <x:c r="P5917" s="30"/>
      <x:c r="Q5917" s="30" t="str">
        <x:v>Ответ независимо сверён по исходному заданию и разбору: Insperia — разбор варианта 963.</x:v>
      </x:c>
      <x:c r="R5917" s="30" t="str">
        <x:v>123</x:v>
      </x:c>
      <x:c r="S5917" s="30"/>
      <x:c r="T5917" s="30" t="str">
        <x:v>Insperia — разбор варианта 963</x:v>
      </x:c>
      <x:c r="U5917" s="30" t="str">
        <x:v>Ответник: 123; канонический ответ: 1236.</x:v>
      </x:c>
      <x:c r="V5917" s="87" t="str">
        <x:v>KEY_MISMATCH</x:v>
      </x:c>
      <x:c r="W5917" s="87"/>
      <x:c r="X5917" s="87" t="n">
        <x:v>8</x:v>
      </x:c>
      <x:c r="Y5917" s="87"/>
      <x:c r="Z5917" s="87"/>
      <x:c r="AA5917" s="87"/>
      <x:c r="AB5917" s="87"/>
      <x:c r="AC5917" s="87" t="str">
        <x:v>VIS-EGKR-RUS-S26-TASK-963-P008</x:v>
      </x:c>
      <x:c r="AD5917" s="87" t="str">
        <x:v>VIS-EGKR-RUS-S26-ANSWERDOC-P004</x:v>
      </x:c>
      <x:c r="AE5917" s="87" t="str">
        <x:v>TASK; SECONDARY_ANSWER_SOURCE</x:v>
      </x:c>
      <x:c r="AF5917" s="87" t="str">
        <x:v>VIS-EGKR-RUS-S26-TASK-963-P008: 8; VIS-EGKR-RUS-S26-ANSWERDOC-P004: 4</x:v>
      </x:c>
      <x:c r="AG5917" s="87" t="str">
        <x:v>RESOLVED</x:v>
      </x:c>
      <x:c r="AH5917" s="87" t="str">
        <x:v>CROP_VERIFIED</x:v>
      </x:c>
      <x:c r="AI5917" s="30"/>
      <x:c r="AJ5917" s="87" t="str">
        <x:v>clean</x:v>
      </x:c>
      <x:c r="AK5917" s="87" t="str">
        <x:v>clean-v0.18</x:v>
      </x:c>
      <x:c r="AL5917" s="87" t="str">
        <x:v>statgrad_clean_continuation_v0_18(1).xlsx</x:v>
      </x:c>
      <x:c r="AM5917" s="87" t="str">
        <x:v>RUS_EGKR_963</x:v>
      </x:c>
      <x:c r="AN5917" s="87" t="n">
        <x:v>18</x:v>
      </x:c>
    </x:row>
    <x:row r="5918">
      <x:c r="A5918" s="87" t="n">
        <x:v>5917</x:v>
      </x:c>
      <x:c r="B5918" s="87" t="str">
        <x:v>EGKR-S26-RUS-963-18</x:v>
      </x:c>
      <x:c r="C5918" s="87" t="str">
        <x:v>ЕГКР</x:v>
      </x:c>
      <x:c r="D5918" s="87"/>
      <x:c r="E5918" s="87" t="str">
        <x:v>Весна 2026</x:v>
      </x:c>
      <x:c r="F5918" s="87" t="str">
        <x:v>24.03.2026</x:v>
      </x:c>
      <x:c r="G5918" s="87" t="str">
        <x:v>Русский язык</x:v>
      </x:c>
      <x:c r="H5918" s="87" t="n">
        <x:v>11</x:v>
      </x:c>
      <x:c r="I5918" s="87"/>
      <x:c r="J5918" s="87" t="str">
        <x:v>963</x:v>
      </x:c>
      <x:c r="K5918" s="87" t="n">
        <x:v>18</x:v>
      </x:c>
      <x:c r="L5918" s="87" t="str">
        <x:v>Вводные слова и обращения</x:v>
      </x:c>
      <x:c r="M5918" s="30" t="str">
        <x:v>Задание 18 варианта 963: Вводные слова и обращения. Полная формулировка сохранена на указанной визуальной странице.</x:v>
      </x:c>
      <x:c r="N5918" s="30" t="str">
        <x:v>235678</x:v>
      </x:c>
      <x:c r="O5918" s="30" t="str">
        <x:v>Ответ зафиксирован в формате задания; полное условие и варианты ответа доступны по VIS_ID.</x:v>
      </x:c>
      <x:c r="P5918" s="30"/>
      <x:c r="Q5918" s="30" t="str">
        <x:v>Ответ совпал с исходным ответником и независимой сверкой: Insperia — разбор варианта 963.</x:v>
      </x:c>
      <x:c r="R5918" s="30" t="str">
        <x:v>235678</x:v>
      </x:c>
      <x:c r="S5918" s="30"/>
      <x:c r="T5918" s="30" t="str">
        <x:v>Insperia — разбор варианта 963</x:v>
      </x:c>
      <x:c r="U5918" s="30" t="str">
        <x:v>Расхождений нет.</x:v>
      </x:c>
      <x:c r="V5918" s="87" t="str">
        <x:v>VERIFIED</x:v>
      </x:c>
      <x:c r="W5918" s="87"/>
      <x:c r="X5918" s="87" t="n">
        <x:v>8</x:v>
      </x:c>
      <x:c r="Y5918" s="87"/>
      <x:c r="Z5918" s="87"/>
      <x:c r="AA5918" s="87"/>
      <x:c r="AB5918" s="87"/>
      <x:c r="AC5918" s="87" t="str">
        <x:v>VIS-EGKR-RUS-S26-TASK-963-P008</x:v>
      </x:c>
      <x:c r="AD5918" s="87" t="str">
        <x:v>VIS-EGKR-RUS-S26-ANSWERDOC-P004</x:v>
      </x:c>
      <x:c r="AE5918" s="87" t="str">
        <x:v>TASK; SECONDARY_ANSWER_SOURCE</x:v>
      </x:c>
      <x:c r="AF5918" s="87" t="str">
        <x:v>VIS-EGKR-RUS-S26-TASK-963-P008: 8; VIS-EGKR-RUS-S26-ANSWERDOC-P004: 4</x:v>
      </x:c>
      <x:c r="AG5918" s="87" t="str">
        <x:v>RESOLVED</x:v>
      </x:c>
      <x:c r="AH5918" s="87" t="str">
        <x:v>CROP_VERIFIED</x:v>
      </x:c>
      <x:c r="AI5918" s="30"/>
      <x:c r="AJ5918" s="87" t="str">
        <x:v>clean</x:v>
      </x:c>
      <x:c r="AK5918" s="87" t="str">
        <x:v>clean-v0.18</x:v>
      </x:c>
      <x:c r="AL5918" s="87" t="str">
        <x:v>statgrad_clean_continuation_v0_18(1).xlsx</x:v>
      </x:c>
      <x:c r="AM5918" s="87" t="str">
        <x:v>RUS_EGKR_963</x:v>
      </x:c>
      <x:c r="AN5918" s="87" t="n">
        <x:v>19</x:v>
      </x:c>
    </x:row>
    <x:row r="5919">
      <x:c r="A5919" s="87" t="n">
        <x:v>5918</x:v>
      </x:c>
      <x:c r="B5919" s="87" t="str">
        <x:v>EGKR-S26-RUS-963-19</x:v>
      </x:c>
      <x:c r="C5919" s="87" t="str">
        <x:v>ЕГКР</x:v>
      </x:c>
      <x:c r="D5919" s="87"/>
      <x:c r="E5919" s="87" t="str">
        <x:v>Весна 2026</x:v>
      </x:c>
      <x:c r="F5919" s="87" t="str">
        <x:v>24.03.2026</x:v>
      </x:c>
      <x:c r="G5919" s="87" t="str">
        <x:v>Русский язык</x:v>
      </x:c>
      <x:c r="H5919" s="87" t="n">
        <x:v>11</x:v>
      </x:c>
      <x:c r="I5919" s="87"/>
      <x:c r="J5919" s="87" t="str">
        <x:v>963</x:v>
      </x:c>
      <x:c r="K5919" s="87" t="n">
        <x:v>19</x:v>
      </x:c>
      <x:c r="L5919" s="87" t="str">
        <x:v>Сложноподчинённое предложение</x:v>
      </x:c>
      <x:c r="M5919" s="30" t="str">
        <x:v>Задание 19 варианта 963: Сложноподчинённое предложение. Полная формулировка сохранена на указанной визуальной странице.</x:v>
      </x:c>
      <x:c r="N5919" s="30" t="str">
        <x:v>14</x:v>
      </x:c>
      <x:c r="O5919" s="30" t="str">
        <x:v>Ответ зафиксирован в формате задания; полное условие и варианты ответа доступны по VIS_ID.</x:v>
      </x:c>
      <x:c r="P5919" s="30"/>
      <x:c r="Q5919" s="30" t="str">
        <x:v>Ответ независимо сверён по исходному заданию и разбору: Insperia — разбор варианта 963.</x:v>
      </x:c>
      <x:c r="R5919" s="30" t="str">
        <x:v>124</x:v>
      </x:c>
      <x:c r="S5919" s="30"/>
      <x:c r="T5919" s="30" t="str">
        <x:v>Insperia — разбор варианта 963</x:v>
      </x:c>
      <x:c r="U5919" s="30" t="str">
        <x:v>Ответник: 124; канонический ответ: 14.</x:v>
      </x:c>
      <x:c r="V5919" s="87" t="str">
        <x:v>KEY_MISMATCH</x:v>
      </x:c>
      <x:c r="W5919" s="87"/>
      <x:c r="X5919" s="87" t="n">
        <x:v>9</x:v>
      </x:c>
      <x:c r="Y5919" s="87"/>
      <x:c r="Z5919" s="87"/>
      <x:c r="AA5919" s="87"/>
      <x:c r="AB5919" s="87"/>
      <x:c r="AC5919" s="87" t="str">
        <x:v>VIS-EGKR-RUS-S26-TASK-963-P009</x:v>
      </x:c>
      <x:c r="AD5919" s="87" t="str">
        <x:v>VIS-EGKR-RUS-S26-ANSWERDOC-P004</x:v>
      </x:c>
      <x:c r="AE5919" s="87" t="str">
        <x:v>TASK; SECONDARY_ANSWER_SOURCE</x:v>
      </x:c>
      <x:c r="AF5919" s="87" t="str">
        <x:v>VIS-EGKR-RUS-S26-TASK-963-P009: 9; VIS-EGKR-RUS-S26-ANSWERDOC-P004: 4</x:v>
      </x:c>
      <x:c r="AG5919" s="87" t="str">
        <x:v>RESOLVED</x:v>
      </x:c>
      <x:c r="AH5919" s="87" t="str">
        <x:v>CROP_VERIFIED</x:v>
      </x:c>
      <x:c r="AI5919" s="30"/>
      <x:c r="AJ5919" s="87" t="str">
        <x:v>clean</x:v>
      </x:c>
      <x:c r="AK5919" s="87" t="str">
        <x:v>clean-v0.18</x:v>
      </x:c>
      <x:c r="AL5919" s="87" t="str">
        <x:v>statgrad_clean_continuation_v0_18(1).xlsx</x:v>
      </x:c>
      <x:c r="AM5919" s="87" t="str">
        <x:v>RUS_EGKR_963</x:v>
      </x:c>
      <x:c r="AN5919" s="87" t="n">
        <x:v>20</x:v>
      </x:c>
    </x:row>
    <x:row r="5920">
      <x:c r="A5920" s="87" t="n">
        <x:v>5919</x:v>
      </x:c>
      <x:c r="B5920" s="87" t="str">
        <x:v>EGKR-S26-RUS-963-20</x:v>
      </x:c>
      <x:c r="C5920" s="87" t="str">
        <x:v>ЕГКР</x:v>
      </x:c>
      <x:c r="D5920" s="87"/>
      <x:c r="E5920" s="87" t="str">
        <x:v>Весна 2026</x:v>
      </x:c>
      <x:c r="F5920" s="87" t="str">
        <x:v>24.03.2026</x:v>
      </x:c>
      <x:c r="G5920" s="87" t="str">
        <x:v>Русский язык</x:v>
      </x:c>
      <x:c r="H5920" s="87" t="n">
        <x:v>11</x:v>
      </x:c>
      <x:c r="I5920" s="87"/>
      <x:c r="J5920" s="87" t="str">
        <x:v>963</x:v>
      </x:c>
      <x:c r="K5920" s="87" t="n">
        <x:v>20</x:v>
      </x:c>
      <x:c r="L5920" s="87" t="str">
        <x:v>Сложное предложение</x:v>
      </x:c>
      <x:c r="M5920" s="30" t="str">
        <x:v>Задание 20 варианта 963: Сложное предложение. Полная формулировка сохранена на указанной визуальной странице.</x:v>
      </x:c>
      <x:c r="N5920" s="30" t="str">
        <x:v>145</x:v>
      </x:c>
      <x:c r="O5920" s="30" t="str">
        <x:v>Ответ зафиксирован в формате задания; полное условие и варианты ответа доступны по VIS_ID.</x:v>
      </x:c>
      <x:c r="P5920" s="30"/>
      <x:c r="Q5920" s="30" t="str">
        <x:v>Ответ независимо сверён по исходному заданию и разбору: Insperia — разбор варианта 963.</x:v>
      </x:c>
      <x:c r="R5920" s="30" t="str">
        <x:v>1245</x:v>
      </x:c>
      <x:c r="S5920" s="30"/>
      <x:c r="T5920" s="30" t="str">
        <x:v>Insperia — разбор варианта 963</x:v>
      </x:c>
      <x:c r="U5920" s="30" t="str">
        <x:v>Ответник: 1245; канонический ответ: 145.</x:v>
      </x:c>
      <x:c r="V5920" s="87" t="str">
        <x:v>KEY_MISMATCH</x:v>
      </x:c>
      <x:c r="W5920" s="87"/>
      <x:c r="X5920" s="87" t="n">
        <x:v>9</x:v>
      </x:c>
      <x:c r="Y5920" s="87"/>
      <x:c r="Z5920" s="87"/>
      <x:c r="AA5920" s="87"/>
      <x:c r="AB5920" s="87"/>
      <x:c r="AC5920" s="87" t="str">
        <x:v>VIS-EGKR-RUS-S26-TASK-963-P009</x:v>
      </x:c>
      <x:c r="AD5920" s="87" t="str">
        <x:v>VIS-EGKR-RUS-S26-ANSWERDOC-P004</x:v>
      </x:c>
      <x:c r="AE5920" s="87" t="str">
        <x:v>TASK; SECONDARY_ANSWER_SOURCE</x:v>
      </x:c>
      <x:c r="AF5920" s="87" t="str">
        <x:v>VIS-EGKR-RUS-S26-TASK-963-P009: 9; VIS-EGKR-RUS-S26-ANSWERDOC-P004: 4</x:v>
      </x:c>
      <x:c r="AG5920" s="87" t="str">
        <x:v>RESOLVED</x:v>
      </x:c>
      <x:c r="AH5920" s="87" t="str">
        <x:v>CROP_VERIFIED</x:v>
      </x:c>
      <x:c r="AI5920" s="30"/>
      <x:c r="AJ5920" s="87" t="str">
        <x:v>clean</x:v>
      </x:c>
      <x:c r="AK5920" s="87" t="str">
        <x:v>clean-v0.18</x:v>
      </x:c>
      <x:c r="AL5920" s="87" t="str">
        <x:v>statgrad_clean_continuation_v0_18(1).xlsx</x:v>
      </x:c>
      <x:c r="AM5920" s="87" t="str">
        <x:v>RUS_EGKR_963</x:v>
      </x:c>
      <x:c r="AN5920" s="87" t="n">
        <x:v>21</x:v>
      </x:c>
    </x:row>
    <x:row r="5921">
      <x:c r="A5921" s="87" t="n">
        <x:v>5920</x:v>
      </x:c>
      <x:c r="B5921" s="87" t="str">
        <x:v>EGKR-S26-RUS-963-21</x:v>
      </x:c>
      <x:c r="C5921" s="87" t="str">
        <x:v>ЕГКР</x:v>
      </x:c>
      <x:c r="D5921" s="87"/>
      <x:c r="E5921" s="87" t="str">
        <x:v>Весна 2026</x:v>
      </x:c>
      <x:c r="F5921" s="87" t="str">
        <x:v>24.03.2026</x:v>
      </x:c>
      <x:c r="G5921" s="87" t="str">
        <x:v>Русский язык</x:v>
      </x:c>
      <x:c r="H5921" s="87" t="n">
        <x:v>11</x:v>
      </x:c>
      <x:c r="I5921" s="87"/>
      <x:c r="J5921" s="87" t="str">
        <x:v>963</x:v>
      </x:c>
      <x:c r="K5921" s="87" t="n">
        <x:v>21</x:v>
      </x:c>
      <x:c r="L5921" s="87" t="str">
        <x:v>Пунктуационный анализ</x:v>
      </x:c>
      <x:c r="M5921" s="30" t="str">
        <x:v>Задание 21 варианта 963: Пунктуационный анализ. Полная формулировка сохранена на указанной визуальной странице.</x:v>
      </x:c>
      <x:c r="N5921" s="30" t="str">
        <x:v>4689</x:v>
      </x:c>
      <x:c r="O5921" s="30" t="str">
        <x:v>Ответ зафиксирован в формате задания; полное условие и варианты ответа доступны по VIS_ID.</x:v>
      </x:c>
      <x:c r="P5921" s="30"/>
      <x:c r="Q5921" s="30" t="str">
        <x:v>Ответ совпал с исходным ответником и независимой сверкой: Insperia — разбор варианта 963.</x:v>
      </x:c>
      <x:c r="R5921" s="30" t="str">
        <x:v>4689</x:v>
      </x:c>
      <x:c r="S5921" s="30"/>
      <x:c r="T5921" s="30" t="str">
        <x:v>Insperia — разбор варианта 963</x:v>
      </x:c>
      <x:c r="U5921" s="30" t="str">
        <x:v>Расхождений нет.</x:v>
      </x:c>
      <x:c r="V5921" s="87" t="str">
        <x:v>VERIFIED</x:v>
      </x:c>
      <x:c r="W5921" s="87"/>
      <x:c r="X5921" s="87" t="n">
        <x:v>9</x:v>
      </x:c>
      <x:c r="Y5921" s="87"/>
      <x:c r="Z5921" s="87"/>
      <x:c r="AA5921" s="87"/>
      <x:c r="AB5921" s="87"/>
      <x:c r="AC5921" s="87" t="str">
        <x:v>VIS-EGKR-RUS-S26-TASK-963-P009</x:v>
      </x:c>
      <x:c r="AD5921" s="87" t="str">
        <x:v>VIS-EGKR-RUS-S26-ANSWERDOC-P004</x:v>
      </x:c>
      <x:c r="AE5921" s="87" t="str">
        <x:v>TASK; SECONDARY_ANSWER_SOURCE</x:v>
      </x:c>
      <x:c r="AF5921" s="87" t="str">
        <x:v>VIS-EGKR-RUS-S26-TASK-963-P009: 9; VIS-EGKR-RUS-S26-ANSWERDOC-P004: 4</x:v>
      </x:c>
      <x:c r="AG5921" s="87" t="str">
        <x:v>RESOLVED</x:v>
      </x:c>
      <x:c r="AH5921" s="87" t="str">
        <x:v>CROP_VERIFIED</x:v>
      </x:c>
      <x:c r="AI5921" s="30"/>
      <x:c r="AJ5921" s="87" t="str">
        <x:v>clean</x:v>
      </x:c>
      <x:c r="AK5921" s="87" t="str">
        <x:v>clean-v0.18</x:v>
      </x:c>
      <x:c r="AL5921" s="87" t="str">
        <x:v>statgrad_clean_continuation_v0_18(1).xlsx</x:v>
      </x:c>
      <x:c r="AM5921" s="87" t="str">
        <x:v>RUS_EGKR_963</x:v>
      </x:c>
      <x:c r="AN5921" s="87" t="n">
        <x:v>22</x:v>
      </x:c>
    </x:row>
    <x:row r="5922">
      <x:c r="A5922" s="87" t="n">
        <x:v>5921</x:v>
      </x:c>
      <x:c r="B5922" s="87" t="str">
        <x:v>EGKR-S26-RUS-963-22</x:v>
      </x:c>
      <x:c r="C5922" s="87" t="str">
        <x:v>ЕГКР</x:v>
      </x:c>
      <x:c r="D5922" s="87"/>
      <x:c r="E5922" s="87" t="str">
        <x:v>Весна 2026</x:v>
      </x:c>
      <x:c r="F5922" s="87" t="str">
        <x:v>24.03.2026</x:v>
      </x:c>
      <x:c r="G5922" s="87" t="str">
        <x:v>Русский язык</x:v>
      </x:c>
      <x:c r="H5922" s="87" t="n">
        <x:v>11</x:v>
      </x:c>
      <x:c r="I5922" s="87"/>
      <x:c r="J5922" s="87" t="str">
        <x:v>963</x:v>
      </x:c>
      <x:c r="K5922" s="87" t="n">
        <x:v>22</x:v>
      </x:c>
      <x:c r="L5922" s="87" t="str">
        <x:v>Средства выразительности</x:v>
      </x:c>
      <x:c r="M5922" s="30" t="str">
        <x:v>Задание 22 варианта 963: Средства выразительности. Полная формулировка сохранена на указанной визуальной странице.</x:v>
      </x:c>
      <x:c r="N5922" s="30" t="str">
        <x:v>92684</x:v>
      </x:c>
      <x:c r="O5922" s="30" t="str">
        <x:v>Ответ зафиксирован в формате задания; полное условие и варианты ответа доступны по VIS_ID.</x:v>
      </x:c>
      <x:c r="P5922" s="30"/>
      <x:c r="Q5922" s="30" t="str">
        <x:v>Ответ совпал с исходным ответником и независимой сверкой: Insperia — разбор варианта 963.</x:v>
      </x:c>
      <x:c r="R5922" s="30" t="str">
        <x:v>92684</x:v>
      </x:c>
      <x:c r="S5922" s="30"/>
      <x:c r="T5922" s="30" t="str">
        <x:v>Insperia — разбор варианта 963</x:v>
      </x:c>
      <x:c r="U5922" s="30" t="str">
        <x:v>Расхождений нет.</x:v>
      </x:c>
      <x:c r="V5922" s="87" t="str">
        <x:v>VERIFIED</x:v>
      </x:c>
      <x:c r="W5922" s="87"/>
      <x:c r="X5922" s="87" t="n">
        <x:v>10</x:v>
      </x:c>
      <x:c r="Y5922" s="87"/>
      <x:c r="Z5922" s="87"/>
      <x:c r="AA5922" s="87"/>
      <x:c r="AB5922" s="87"/>
      <x:c r="AC5922" s="87" t="str">
        <x:v>VIS-EGKR-RUS-S26-TASK-963-P010</x:v>
      </x:c>
      <x:c r="AD5922" s="87" t="str">
        <x:v>VIS-EGKR-RUS-S26-ANSWERDOC-P004</x:v>
      </x:c>
      <x:c r="AE5922" s="87" t="str">
        <x:v>TASK; SECONDARY_ANSWER_SOURCE</x:v>
      </x:c>
      <x:c r="AF5922" s="87" t="str">
        <x:v>VIS-EGKR-RUS-S26-TASK-963-P010: 10; VIS-EGKR-RUS-S26-ANSWERDOC-P004: 4</x:v>
      </x:c>
      <x:c r="AG5922" s="87" t="str">
        <x:v>RESOLVED</x:v>
      </x:c>
      <x:c r="AH5922" s="87" t="str">
        <x:v>CROP_VERIFIED</x:v>
      </x:c>
      <x:c r="AI5922" s="30"/>
      <x:c r="AJ5922" s="87" t="str">
        <x:v>clean</x:v>
      </x:c>
      <x:c r="AK5922" s="87" t="str">
        <x:v>clean-v0.18</x:v>
      </x:c>
      <x:c r="AL5922" s="87" t="str">
        <x:v>statgrad_clean_continuation_v0_18(1).xlsx</x:v>
      </x:c>
      <x:c r="AM5922" s="87" t="str">
        <x:v>RUS_EGKR_963</x:v>
      </x:c>
      <x:c r="AN5922" s="87" t="n">
        <x:v>23</x:v>
      </x:c>
    </x:row>
    <x:row r="5923">
      <x:c r="A5923" s="87" t="n">
        <x:v>5922</x:v>
      </x:c>
      <x:c r="B5923" s="87" t="str">
        <x:v>EGKR-S26-RUS-963-23</x:v>
      </x:c>
      <x:c r="C5923" s="87" t="str">
        <x:v>ЕГКР</x:v>
      </x:c>
      <x:c r="D5923" s="87"/>
      <x:c r="E5923" s="87" t="str">
        <x:v>Весна 2026</x:v>
      </x:c>
      <x:c r="F5923" s="87" t="str">
        <x:v>24.03.2026</x:v>
      </x:c>
      <x:c r="G5923" s="87" t="str">
        <x:v>Русский язык</x:v>
      </x:c>
      <x:c r="H5923" s="87" t="n">
        <x:v>11</x:v>
      </x:c>
      <x:c r="I5923" s="87"/>
      <x:c r="J5923" s="87" t="str">
        <x:v>963</x:v>
      </x:c>
      <x:c r="K5923" s="87" t="n">
        <x:v>23</x:v>
      </x:c>
      <x:c r="L5923" s="87" t="str">
        <x:v>Содержание текста</x:v>
      </x:c>
      <x:c r="M5923" s="30" t="str">
        <x:v>Задание 23 варианта 963: Содержание текста. Полная формулировка сохранена на указанной визуальной странице.</x:v>
      </x:c>
      <x:c r="N5923" s="30" t="str">
        <x:v>25</x:v>
      </x:c>
      <x:c r="O5923" s="30" t="str">
        <x:v>Ответ зафиксирован в формате задания; полное условие и варианты ответа доступны по VIS_ID.</x:v>
      </x:c>
      <x:c r="P5923" s="30"/>
      <x:c r="Q5923" s="30" t="str">
        <x:v>Ответ независимо сверён по исходному заданию и разбору: Insperia — разбор варианта 963.</x:v>
      </x:c>
      <x:c r="R5923" s="30" t="str">
        <x:v>235</x:v>
      </x:c>
      <x:c r="S5923" s="30"/>
      <x:c r="T5923" s="30" t="str">
        <x:v>Insperia — разбор варианта 963</x:v>
      </x:c>
      <x:c r="U5923" s="30" t="str">
        <x:v>Ответник: 235; канонический ответ: 25.</x:v>
      </x:c>
      <x:c r="V5923" s="87" t="str">
        <x:v>KEY_MISMATCH</x:v>
      </x:c>
      <x:c r="W5923" s="87"/>
      <x:c r="X5923" s="87" t="n">
        <x:v>12</x:v>
      </x:c>
      <x:c r="Y5923" s="87"/>
      <x:c r="Z5923" s="87"/>
      <x:c r="AA5923" s="87"/>
      <x:c r="AB5923" s="87"/>
      <x:c r="AC5923" s="87" t="str">
        <x:v>VIS-EGKR-RUS-S26-TASK-963-P012</x:v>
      </x:c>
      <x:c r="AD5923" s="87" t="str">
        <x:v>VIS-EGKR-RUS-S26-ANSWERDOC-P004</x:v>
      </x:c>
      <x:c r="AE5923" s="87" t="str">
        <x:v>TASK; SECONDARY_ANSWER_SOURCE</x:v>
      </x:c>
      <x:c r="AF5923" s="87" t="str">
        <x:v>VIS-EGKR-RUS-S26-TASK-963-P012: 12; VIS-EGKR-RUS-S26-ANSWERDOC-P004: 4</x:v>
      </x:c>
      <x:c r="AG5923" s="87" t="str">
        <x:v>RESOLVED</x:v>
      </x:c>
      <x:c r="AH5923" s="87" t="str">
        <x:v>CROP_VERIFIED</x:v>
      </x:c>
      <x:c r="AI5923" s="30"/>
      <x:c r="AJ5923" s="87" t="str">
        <x:v>clean</x:v>
      </x:c>
      <x:c r="AK5923" s="87" t="str">
        <x:v>clean-v0.18</x:v>
      </x:c>
      <x:c r="AL5923" s="87" t="str">
        <x:v>statgrad_clean_continuation_v0_18(1).xlsx</x:v>
      </x:c>
      <x:c r="AM5923" s="87" t="str">
        <x:v>RUS_EGKR_963</x:v>
      </x:c>
      <x:c r="AN5923" s="87" t="n">
        <x:v>24</x:v>
      </x:c>
    </x:row>
    <x:row r="5924">
      <x:c r="A5924" s="87" t="n">
        <x:v>5923</x:v>
      </x:c>
      <x:c r="B5924" s="87" t="str">
        <x:v>EGKR-S26-RUS-963-24</x:v>
      </x:c>
      <x:c r="C5924" s="87" t="str">
        <x:v>ЕГКР</x:v>
      </x:c>
      <x:c r="D5924" s="87"/>
      <x:c r="E5924" s="87" t="str">
        <x:v>Весна 2026</x:v>
      </x:c>
      <x:c r="F5924" s="87" t="str">
        <x:v>24.03.2026</x:v>
      </x:c>
      <x:c r="G5924" s="87" t="str">
        <x:v>Русский язык</x:v>
      </x:c>
      <x:c r="H5924" s="87" t="n">
        <x:v>11</x:v>
      </x:c>
      <x:c r="I5924" s="87"/>
      <x:c r="J5924" s="87" t="str">
        <x:v>963</x:v>
      </x:c>
      <x:c r="K5924" s="87" t="n">
        <x:v>24</x:v>
      </x:c>
      <x:c r="L5924" s="87" t="str">
        <x:v>Типы речи и логика текста</x:v>
      </x:c>
      <x:c r="M5924" s="30" t="str">
        <x:v>Задание 24 варианта 963: Типы речи и логика текста. Полная формулировка сохранена на указанной визуальной странице.</x:v>
      </x:c>
      <x:c r="N5924" s="30" t="str">
        <x:v>135</x:v>
      </x:c>
      <x:c r="O5924" s="30" t="str">
        <x:v>Ответ зафиксирован в формате задания; полное условие и варианты ответа доступны по VIS_ID.</x:v>
      </x:c>
      <x:c r="P5924" s="30"/>
      <x:c r="Q5924" s="30" t="str">
        <x:v>Ответ независимо сверён по исходному заданию и разбору: Insperia — разбор варианта 963.</x:v>
      </x:c>
      <x:c r="R5924" s="30" t="str">
        <x:v>24</x:v>
      </x:c>
      <x:c r="S5924" s="30"/>
      <x:c r="T5924" s="30" t="str">
        <x:v>Insperia — разбор варианта 963</x:v>
      </x:c>
      <x:c r="U5924" s="30" t="str">
        <x:v>Ответник: 24; канонический ответ: 135.</x:v>
      </x:c>
      <x:c r="V5924" s="87" t="str">
        <x:v>KEY_MISMATCH</x:v>
      </x:c>
      <x:c r="W5924" s="87"/>
      <x:c r="X5924" s="87" t="n">
        <x:v>12</x:v>
      </x:c>
      <x:c r="Y5924" s="87"/>
      <x:c r="Z5924" s="87"/>
      <x:c r="AA5924" s="87"/>
      <x:c r="AB5924" s="87"/>
      <x:c r="AC5924" s="87" t="str">
        <x:v>VIS-EGKR-RUS-S26-TASK-963-P012</x:v>
      </x:c>
      <x:c r="AD5924" s="87" t="str">
        <x:v>VIS-EGKR-RUS-S26-ANSWERDOC-P004</x:v>
      </x:c>
      <x:c r="AE5924" s="87" t="str">
        <x:v>TASK; SECONDARY_ANSWER_SOURCE</x:v>
      </x:c>
      <x:c r="AF5924" s="87" t="str">
        <x:v>VIS-EGKR-RUS-S26-TASK-963-P012: 12; VIS-EGKR-RUS-S26-ANSWERDOC-P004: 4</x:v>
      </x:c>
      <x:c r="AG5924" s="87" t="str">
        <x:v>RESOLVED</x:v>
      </x:c>
      <x:c r="AH5924" s="87" t="str">
        <x:v>CROP_VERIFIED</x:v>
      </x:c>
      <x:c r="AI5924" s="30"/>
      <x:c r="AJ5924" s="87" t="str">
        <x:v>clean</x:v>
      </x:c>
      <x:c r="AK5924" s="87" t="str">
        <x:v>clean-v0.18</x:v>
      </x:c>
      <x:c r="AL5924" s="87" t="str">
        <x:v>statgrad_clean_continuation_v0_18(1).xlsx</x:v>
      </x:c>
      <x:c r="AM5924" s="87" t="str">
        <x:v>RUS_EGKR_963</x:v>
      </x:c>
      <x:c r="AN5924" s="87" t="n">
        <x:v>25</x:v>
      </x:c>
    </x:row>
    <x:row r="5925">
      <x:c r="A5925" s="87" t="n">
        <x:v>5924</x:v>
      </x:c>
      <x:c r="B5925" s="87" t="str">
        <x:v>EGKR-S26-RUS-963-25</x:v>
      </x:c>
      <x:c r="C5925" s="87" t="str">
        <x:v>ЕГКР</x:v>
      </x:c>
      <x:c r="D5925" s="87"/>
      <x:c r="E5925" s="87" t="str">
        <x:v>Весна 2026</x:v>
      </x:c>
      <x:c r="F5925" s="87" t="str">
        <x:v>24.03.2026</x:v>
      </x:c>
      <x:c r="G5925" s="87" t="str">
        <x:v>Русский язык</x:v>
      </x:c>
      <x:c r="H5925" s="87" t="n">
        <x:v>11</x:v>
      </x:c>
      <x:c r="I5925" s="87"/>
      <x:c r="J5925" s="87" t="str">
        <x:v>963</x:v>
      </x:c>
      <x:c r="K5925" s="87" t="n">
        <x:v>25</x:v>
      </x:c>
      <x:c r="L5925" s="87" t="str">
        <x:v>Лексический анализ</x:v>
      </x:c>
      <x:c r="M5925" s="30" t="str">
        <x:v>Задание 25 варианта 963: Лексический анализ. Полная формулировка сохранена на указанной визуальной странице.</x:v>
      </x:c>
      <x:c r="N5925" s="30" t="str">
        <x:v>по необходимости</x:v>
      </x:c>
      <x:c r="O5925" s="30" t="str">
        <x:v>Ответ зафиксирован в формате задания; полное условие и варианты ответа доступны по VIS_ID.</x:v>
      </x:c>
      <x:c r="P5925" s="30"/>
      <x:c r="Q5925" s="30" t="str">
        <x:v>Ответ независимо сверён по исходному заданию и разбору: Insperia — разбор варианта 963.</x:v>
      </x:c>
      <x:c r="R5925" s="30" t="str">
        <x:v>детей человеческих</x:v>
      </x:c>
      <x:c r="S5925" s="30"/>
      <x:c r="T5925" s="30" t="str">
        <x:v>Insperia — разбор варианта 963</x:v>
      </x:c>
      <x:c r="U5925" s="30" t="str">
        <x:v>Ответник: детей человеческих; канонический ответ: по необходимости.</x:v>
      </x:c>
      <x:c r="V5925" s="87" t="str">
        <x:v>KEY_MISMATCH</x:v>
      </x:c>
      <x:c r="W5925" s="87"/>
      <x:c r="X5925" s="87" t="n">
        <x:v>12</x:v>
      </x:c>
      <x:c r="Y5925" s="87"/>
      <x:c r="Z5925" s="87"/>
      <x:c r="AA5925" s="87"/>
      <x:c r="AB5925" s="87"/>
      <x:c r="AC5925" s="87" t="str">
        <x:v>VIS-EGKR-RUS-S26-TASK-963-P012</x:v>
      </x:c>
      <x:c r="AD5925" s="87" t="str">
        <x:v>VIS-EGKR-RUS-S26-ANSWERDOC-P004</x:v>
      </x:c>
      <x:c r="AE5925" s="87" t="str">
        <x:v>TASK; SECONDARY_ANSWER_SOURCE</x:v>
      </x:c>
      <x:c r="AF5925" s="87" t="str">
        <x:v>VIS-EGKR-RUS-S26-TASK-963-P012: 12; VIS-EGKR-RUS-S26-ANSWERDOC-P004: 4</x:v>
      </x:c>
      <x:c r="AG5925" s="87" t="str">
        <x:v>RESOLVED</x:v>
      </x:c>
      <x:c r="AH5925" s="87" t="str">
        <x:v>CROP_VERIFIED</x:v>
      </x:c>
      <x:c r="AI5925" s="30"/>
      <x:c r="AJ5925" s="87" t="str">
        <x:v>clean</x:v>
      </x:c>
      <x:c r="AK5925" s="87" t="str">
        <x:v>clean-v0.18</x:v>
      </x:c>
      <x:c r="AL5925" s="87" t="str">
        <x:v>statgrad_clean_continuation_v0_18(1).xlsx</x:v>
      </x:c>
      <x:c r="AM5925" s="87" t="str">
        <x:v>RUS_EGKR_963</x:v>
      </x:c>
      <x:c r="AN5925" s="87" t="n">
        <x:v>26</x:v>
      </x:c>
    </x:row>
    <x:row r="5926">
      <x:c r="A5926" s="87" t="n">
        <x:v>5925</x:v>
      </x:c>
      <x:c r="B5926" s="87" t="str">
        <x:v>EGKR-S26-RUS-963-26</x:v>
      </x:c>
      <x:c r="C5926" s="87" t="str">
        <x:v>ЕГКР</x:v>
      </x:c>
      <x:c r="D5926" s="87"/>
      <x:c r="E5926" s="87" t="str">
        <x:v>Весна 2026</x:v>
      </x:c>
      <x:c r="F5926" s="87" t="str">
        <x:v>24.03.2026</x:v>
      </x:c>
      <x:c r="G5926" s="87" t="str">
        <x:v>Русский язык</x:v>
      </x:c>
      <x:c r="H5926" s="87" t="n">
        <x:v>11</x:v>
      </x:c>
      <x:c r="I5926" s="87"/>
      <x:c r="J5926" s="87" t="str">
        <x:v>963</x:v>
      </x:c>
      <x:c r="K5926" s="87" t="n">
        <x:v>26</x:v>
      </x:c>
      <x:c r="L5926" s="87" t="str">
        <x:v>Связь предложений</x:v>
      </x:c>
      <x:c r="M5926" s="30" t="str">
        <x:v>Задание 26 варианта 963: Связь предложений. Полная формулировка сохранена на указанной визуальной странице.</x:v>
      </x:c>
      <x:c r="N5926" s="30" t="str">
        <x:v>52</x:v>
      </x:c>
      <x:c r="O5926" s="30" t="str">
        <x:v>Ответ зафиксирован в формате задания; полное условие и варианты ответа доступны по VIS_ID.</x:v>
      </x:c>
      <x:c r="P5926" s="30"/>
      <x:c r="Q5926" s="30" t="str">
        <x:v>Ответ совпал с исходным ответником и независимой сверкой: Insperia — разбор варианта 963.</x:v>
      </x:c>
      <x:c r="R5926" s="30" t="str">
        <x:v>52</x:v>
      </x:c>
      <x:c r="S5926" s="30"/>
      <x:c r="T5926" s="30" t="str">
        <x:v>Insperia — разбор варианта 963</x:v>
      </x:c>
      <x:c r="U5926" s="30" t="str">
        <x:v>Расхождений нет.</x:v>
      </x:c>
      <x:c r="V5926" s="87" t="str">
        <x:v>VERIFIED</x:v>
      </x:c>
      <x:c r="W5926" s="87"/>
      <x:c r="X5926" s="87" t="n">
        <x:v>12</x:v>
      </x:c>
      <x:c r="Y5926" s="87"/>
      <x:c r="Z5926" s="87"/>
      <x:c r="AA5926" s="87"/>
      <x:c r="AB5926" s="87"/>
      <x:c r="AC5926" s="87" t="str">
        <x:v>VIS-EGKR-RUS-S26-TASK-963-P012</x:v>
      </x:c>
      <x:c r="AD5926" s="87" t="str">
        <x:v>VIS-EGKR-RUS-S26-ANSWERDOC-P004</x:v>
      </x:c>
      <x:c r="AE5926" s="87" t="str">
        <x:v>TASK; SECONDARY_ANSWER_SOURCE</x:v>
      </x:c>
      <x:c r="AF5926" s="87" t="str">
        <x:v>VIS-EGKR-RUS-S26-TASK-963-P012: 12; VIS-EGKR-RUS-S26-ANSWERDOC-P004: 4</x:v>
      </x:c>
      <x:c r="AG5926" s="87" t="str">
        <x:v>RESOLVED</x:v>
      </x:c>
      <x:c r="AH5926" s="87" t="str">
        <x:v>CROP_VERIFIED</x:v>
      </x:c>
      <x:c r="AI5926" s="30"/>
      <x:c r="AJ5926" s="87" t="str">
        <x:v>clean</x:v>
      </x:c>
      <x:c r="AK5926" s="87" t="str">
        <x:v>clean-v0.18</x:v>
      </x:c>
      <x:c r="AL5926" s="87" t="str">
        <x:v>statgrad_clean_continuation_v0_18(1).xlsx</x:v>
      </x:c>
      <x:c r="AM5926" s="87" t="str">
        <x:v>RUS_EGKR_963</x:v>
      </x:c>
      <x:c r="AN5926" s="87" t="n">
        <x:v>27</x:v>
      </x:c>
    </x:row>
    <x:row r="5927">
      <x:c r="A5927" s="87" t="n">
        <x:v>5926</x:v>
      </x:c>
      <x:c r="B5927" s="87" t="str">
        <x:v>EGKR-S26-RUS-963-27</x:v>
      </x:c>
      <x:c r="C5927" s="87" t="str">
        <x:v>ЕГКР</x:v>
      </x:c>
      <x:c r="D5927" s="87"/>
      <x:c r="E5927" s="87" t="str">
        <x:v>Весна 2026</x:v>
      </x:c>
      <x:c r="F5927" s="87" t="str">
        <x:v>24.03.2026</x:v>
      </x:c>
      <x:c r="G5927" s="87" t="str">
        <x:v>Русский язык</x:v>
      </x:c>
      <x:c r="H5927" s="87" t="n">
        <x:v>11</x:v>
      </x:c>
      <x:c r="I5927" s="87"/>
      <x:c r="J5927" s="87" t="str">
        <x:v>963</x:v>
      </x:c>
      <x:c r="K5927" s="87" t="n">
        <x:v>27</x:v>
      </x:c>
      <x:c r="L5927" s="87" t="str">
        <x:v>Сочинение</x:v>
      </x:c>
      <x:c r="M5927" s="30" t="str">
        <x:v>Какую роль случай играет в человеческой жизни?</x:v>
      </x:c>
      <x:c r="N5927" s="30" t="str">
        <x:v>Случай соединяет события, которые человек не мог заранее предусмотреть, и иногда определяет саму возможность будущей жизни. Однако значение случайности раскрывается через поступки людей: заметить шанс, проявить заботу и принять ответственность. Так непредвиденное становится частью осмысленной судьбы.</x:v>
      </x:c>
      <x:c r="O5927" s="30" t="str">
        <x:v>Рабочая модель формулирует проблему, позицию автора и направление аргументации.</x:v>
      </x:c>
      <x:c r="P5927" s="30"/>
      <x:c r="Q5927" s="30" t="str">
        <x:v>Модель подготовлена по тексту варианта и требованиям задания 27.</x:v>
      </x:c>
      <x:c r="R5927" s="30" t="str">
        <x:v>MODEL_NOT_STANDARDIZED</x:v>
      </x:c>
      <x:c r="S5927" s="30"/>
      <x:c r="T5927" s="30" t="str">
        <x:v>Insperia — разбор варианта 963</x:v>
      </x:c>
      <x:c r="U5927" s="30" t="str">
        <x:v>Модель не является единственно возможным сочинением.</x:v>
      </x:c>
      <x:c r="V5927" s="87" t="str">
        <x:v>MODEL_READY</x:v>
      </x:c>
      <x:c r="W5927" s="87"/>
      <x:c r="X5927" s="87" t="n">
        <x:v>12</x:v>
      </x:c>
      <x:c r="Y5927" s="87"/>
      <x:c r="Z5927" s="87"/>
      <x:c r="AA5927" s="87"/>
      <x:c r="AB5927" s="87"/>
      <x:c r="AC5927" s="87" t="str">
        <x:v>VIS-EGKR-RUS-S26-TASK-963-P012</x:v>
      </x:c>
      <x:c r="AD5927" s="87"/>
      <x:c r="AE5927" s="87" t="str">
        <x:v>TASK</x:v>
      </x:c>
      <x:c r="AF5927" s="87" t="str">
        <x:v>VIS-EGKR-RUS-S26-TASK-963-P012: 12</x:v>
      </x:c>
      <x:c r="AG5927" s="87" t="str">
        <x:v>RESOLVED</x:v>
      </x:c>
      <x:c r="AH5927" s="87" t="str">
        <x:v>CROP_VERIFIED</x:v>
      </x:c>
      <x:c r="AI5927" s="30"/>
      <x:c r="AJ5927" s="87" t="str">
        <x:v>clean</x:v>
      </x:c>
      <x:c r="AK5927" s="87" t="str">
        <x:v>clean-v0.18</x:v>
      </x:c>
      <x:c r="AL5927" s="87" t="str">
        <x:v>statgrad_clean_continuation_v0_18(1).xlsx</x:v>
      </x:c>
      <x:c r="AM5927" s="87" t="str">
        <x:v>RUS_EGKR_963</x:v>
      </x:c>
      <x:c r="AN5927" s="87" t="n">
        <x:v>28</x:v>
      </x:c>
    </x:row>
    <x:row r="5928">
      <x:c r="A5928" s="87" t="n">
        <x:v>5927</x:v>
      </x:c>
      <x:c r="B5928" s="87" t="str">
        <x:v>EGKR-S26-RUS-964-01</x:v>
      </x:c>
      <x:c r="C5928" s="87" t="str">
        <x:v>ЕГКР</x:v>
      </x:c>
      <x:c r="D5928" s="87"/>
      <x:c r="E5928" s="87" t="str">
        <x:v>Весна 2026</x:v>
      </x:c>
      <x:c r="F5928" s="87" t="str">
        <x:v>24.03.2026</x:v>
      </x:c>
      <x:c r="G5928" s="87" t="str">
        <x:v>Русский язык</x:v>
      </x:c>
      <x:c r="H5928" s="87" t="n">
        <x:v>11</x:v>
      </x:c>
      <x:c r="I5928" s="87"/>
      <x:c r="J5928" s="87" t="str">
        <x:v>964</x:v>
      </x:c>
      <x:c r="K5928" s="87" t="n">
        <x:v>1</x:v>
      </x:c>
      <x:c r="L5928" s="87" t="str">
        <x:v>Средство связи</x:v>
      </x:c>
      <x:c r="M5928" s="30" t="str">
        <x:v>Задание 1 варианта 964: Средство связи. Полная формулировка сохранена на указанной визуальной странице.</x:v>
      </x:c>
      <x:c r="N5928" s="30" t="str">
        <x:v>если</x:v>
      </x:c>
      <x:c r="O5928" s="30" t="str">
        <x:v>Ответ зафиксирован в формате задания; полное условие и варианты ответа доступны по VIS_ID.</x:v>
      </x:c>
      <x:c r="P5928" s="30"/>
      <x:c r="Q5928" s="30" t="str">
        <x:v>Ответ совпал с исходным ответником и независимой сверкой: Insperia — разбор варианта 964.</x:v>
      </x:c>
      <x:c r="R5928" s="30" t="str">
        <x:v>если</x:v>
      </x:c>
      <x:c r="S5928" s="30"/>
      <x:c r="T5928" s="30" t="str">
        <x:v>Insperia — разбор варианта 964</x:v>
      </x:c>
      <x:c r="U5928" s="30" t="str">
        <x:v>Расхождений нет.</x:v>
      </x:c>
      <x:c r="V5928" s="87" t="str">
        <x:v>VERIFIED</x:v>
      </x:c>
      <x:c r="W5928" s="87"/>
      <x:c r="X5928" s="87" t="n">
        <x:v>3</x:v>
      </x:c>
      <x:c r="Y5928" s="87"/>
      <x:c r="Z5928" s="87"/>
      <x:c r="AA5928" s="87"/>
      <x:c r="AB5928" s="87"/>
      <x:c r="AC5928" s="87" t="str">
        <x:v>VIS-EGKR-RUS-S26-TASK-964-P003</x:v>
      </x:c>
      <x:c r="AD5928" s="87" t="str">
        <x:v>VIS-EGKR-RUS-S26-ANSWERDOC-P005</x:v>
      </x:c>
      <x:c r="AE5928" s="87" t="str">
        <x:v>TASK; SECONDARY_ANSWER_SOURCE</x:v>
      </x:c>
      <x:c r="AF5928" s="87" t="str">
        <x:v>VIS-EGKR-RUS-S26-TASK-964-P003: 3; VIS-EGKR-RUS-S26-ANSWERDOC-P005: 5</x:v>
      </x:c>
      <x:c r="AG5928" s="87" t="str">
        <x:v>RESOLVED</x:v>
      </x:c>
      <x:c r="AH5928" s="87" t="str">
        <x:v>CROP_VERIFIED</x:v>
      </x:c>
      <x:c r="AI5928" s="30"/>
      <x:c r="AJ5928" s="87" t="str">
        <x:v>clean</x:v>
      </x:c>
      <x:c r="AK5928" s="87" t="str">
        <x:v>clean-v0.18</x:v>
      </x:c>
      <x:c r="AL5928" s="87" t="str">
        <x:v>statgrad_clean_continuation_v0_18(1).xlsx</x:v>
      </x:c>
      <x:c r="AM5928" s="87" t="str">
        <x:v>RUS_EGKR_964</x:v>
      </x:c>
      <x:c r="AN5928" s="87" t="n">
        <x:v>2</x:v>
      </x:c>
    </x:row>
    <x:row r="5929">
      <x:c r="A5929" s="87" t="n">
        <x:v>5928</x:v>
      </x:c>
      <x:c r="B5929" s="87" t="str">
        <x:v>EGKR-S26-RUS-964-02</x:v>
      </x:c>
      <x:c r="C5929" s="87" t="str">
        <x:v>ЕГКР</x:v>
      </x:c>
      <x:c r="D5929" s="87"/>
      <x:c r="E5929" s="87" t="str">
        <x:v>Весна 2026</x:v>
      </x:c>
      <x:c r="F5929" s="87" t="str">
        <x:v>24.03.2026</x:v>
      </x:c>
      <x:c r="G5929" s="87" t="str">
        <x:v>Русский язык</x:v>
      </x:c>
      <x:c r="H5929" s="87" t="n">
        <x:v>11</x:v>
      </x:c>
      <x:c r="I5929" s="87"/>
      <x:c r="J5929" s="87" t="str">
        <x:v>964</x:v>
      </x:c>
      <x:c r="K5929" s="87" t="n">
        <x:v>2</x:v>
      </x:c>
      <x:c r="L5929" s="87" t="str">
        <x:v>Лексическое значение</x:v>
      </x:c>
      <x:c r="M5929" s="30" t="str">
        <x:v>Задание 2 варианта 964: Лексическое значение. Полная формулировка сохранена на указанной визуальной странице.</x:v>
      </x:c>
      <x:c r="N5929" s="30" t="str">
        <x:v>345</x:v>
      </x:c>
      <x:c r="O5929" s="30" t="str">
        <x:v>Ответ зафиксирован в формате задания; полное условие и варианты ответа доступны по VIS_ID.</x:v>
      </x:c>
      <x:c r="P5929" s="30"/>
      <x:c r="Q5929" s="30" t="str">
        <x:v>Ответ совпал с исходным ответником и независимой сверкой: Insperia — разбор варианта 964.</x:v>
      </x:c>
      <x:c r="R5929" s="30" t="str">
        <x:v>345</x:v>
      </x:c>
      <x:c r="S5929" s="30"/>
      <x:c r="T5929" s="30" t="str">
        <x:v>Insperia — разбор варианта 964</x:v>
      </x:c>
      <x:c r="U5929" s="30" t="str">
        <x:v>Расхождений нет.</x:v>
      </x:c>
      <x:c r="V5929" s="87" t="str">
        <x:v>VERIFIED</x:v>
      </x:c>
      <x:c r="W5929" s="87"/>
      <x:c r="X5929" s="87" t="n">
        <x:v>3</x:v>
      </x:c>
      <x:c r="Y5929" s="87"/>
      <x:c r="Z5929" s="87"/>
      <x:c r="AA5929" s="87"/>
      <x:c r="AB5929" s="87"/>
      <x:c r="AC5929" s="87" t="str">
        <x:v>VIS-EGKR-RUS-S26-TASK-964-P003</x:v>
      </x:c>
      <x:c r="AD5929" s="87" t="str">
        <x:v>VIS-EGKR-RUS-S26-ANSWERDOC-P005</x:v>
      </x:c>
      <x:c r="AE5929" s="87" t="str">
        <x:v>TASK; SECONDARY_ANSWER_SOURCE</x:v>
      </x:c>
      <x:c r="AF5929" s="87" t="str">
        <x:v>VIS-EGKR-RUS-S26-TASK-964-P003: 3; VIS-EGKR-RUS-S26-ANSWERDOC-P005: 5</x:v>
      </x:c>
      <x:c r="AG5929" s="87" t="str">
        <x:v>RESOLVED</x:v>
      </x:c>
      <x:c r="AH5929" s="87" t="str">
        <x:v>CROP_VERIFIED</x:v>
      </x:c>
      <x:c r="AI5929" s="30"/>
      <x:c r="AJ5929" s="87" t="str">
        <x:v>clean</x:v>
      </x:c>
      <x:c r="AK5929" s="87" t="str">
        <x:v>clean-v0.18</x:v>
      </x:c>
      <x:c r="AL5929" s="87" t="str">
        <x:v>statgrad_clean_continuation_v0_18(1).xlsx</x:v>
      </x:c>
      <x:c r="AM5929" s="87" t="str">
        <x:v>RUS_EGKR_964</x:v>
      </x:c>
      <x:c r="AN5929" s="87" t="n">
        <x:v>3</x:v>
      </x:c>
    </x:row>
    <x:row r="5930">
      <x:c r="A5930" s="87" t="n">
        <x:v>5929</x:v>
      </x:c>
      <x:c r="B5930" s="87" t="str">
        <x:v>EGKR-S26-RUS-964-03</x:v>
      </x:c>
      <x:c r="C5930" s="87" t="str">
        <x:v>ЕГКР</x:v>
      </x:c>
      <x:c r="D5930" s="87"/>
      <x:c r="E5930" s="87" t="str">
        <x:v>Весна 2026</x:v>
      </x:c>
      <x:c r="F5930" s="87" t="str">
        <x:v>24.03.2026</x:v>
      </x:c>
      <x:c r="G5930" s="87" t="str">
        <x:v>Русский язык</x:v>
      </x:c>
      <x:c r="H5930" s="87" t="n">
        <x:v>11</x:v>
      </x:c>
      <x:c r="I5930" s="87"/>
      <x:c r="J5930" s="87" t="str">
        <x:v>964</x:v>
      </x:c>
      <x:c r="K5930" s="87" t="n">
        <x:v>3</x:v>
      </x:c>
      <x:c r="L5930" s="87" t="str">
        <x:v>Характеристики текста</x:v>
      </x:c>
      <x:c r="M5930" s="30" t="str">
        <x:v>Задание 3 варианта 964: Характеристики текста. Полная формулировка сохранена на указанной визуальной странице.</x:v>
      </x:c>
      <x:c r="N5930" s="30" t="str">
        <x:v>14</x:v>
      </x:c>
      <x:c r="O5930" s="30" t="str">
        <x:v>Ответ зафиксирован в формате задания; полное условие и варианты ответа доступны по VIS_ID.</x:v>
      </x:c>
      <x:c r="P5930" s="30"/>
      <x:c r="Q5930" s="30" t="str">
        <x:v>Ответ совпал с исходным ответником и независимой сверкой: Insperia — разбор варианта 964.</x:v>
      </x:c>
      <x:c r="R5930" s="30" t="str">
        <x:v>14</x:v>
      </x:c>
      <x:c r="S5930" s="30"/>
      <x:c r="T5930" s="30" t="str">
        <x:v>Insperia — разбор варианта 964</x:v>
      </x:c>
      <x:c r="U5930" s="30" t="str">
        <x:v>Расхождений нет.</x:v>
      </x:c>
      <x:c r="V5930" s="87" t="str">
        <x:v>VERIFIED</x:v>
      </x:c>
      <x:c r="W5930" s="87"/>
      <x:c r="X5930" s="87" t="n">
        <x:v>3</x:v>
      </x:c>
      <x:c r="Y5930" s="87"/>
      <x:c r="Z5930" s="87"/>
      <x:c r="AA5930" s="87"/>
      <x:c r="AB5930" s="87"/>
      <x:c r="AC5930" s="87" t="str">
        <x:v>VIS-EGKR-RUS-S26-TASK-964-P003</x:v>
      </x:c>
      <x:c r="AD5930" s="87" t="str">
        <x:v>VIS-EGKR-RUS-S26-ANSWERDOC-P005</x:v>
      </x:c>
      <x:c r="AE5930" s="87" t="str">
        <x:v>TASK; SECONDARY_ANSWER_SOURCE</x:v>
      </x:c>
      <x:c r="AF5930" s="87" t="str">
        <x:v>VIS-EGKR-RUS-S26-TASK-964-P003: 3; VIS-EGKR-RUS-S26-ANSWERDOC-P005: 5</x:v>
      </x:c>
      <x:c r="AG5930" s="87" t="str">
        <x:v>RESOLVED</x:v>
      </x:c>
      <x:c r="AH5930" s="87" t="str">
        <x:v>CROP_VERIFIED</x:v>
      </x:c>
      <x:c r="AI5930" s="30"/>
      <x:c r="AJ5930" s="87" t="str">
        <x:v>clean</x:v>
      </x:c>
      <x:c r="AK5930" s="87" t="str">
        <x:v>clean-v0.18</x:v>
      </x:c>
      <x:c r="AL5930" s="87" t="str">
        <x:v>statgrad_clean_continuation_v0_18(1).xlsx</x:v>
      </x:c>
      <x:c r="AM5930" s="87" t="str">
        <x:v>RUS_EGKR_964</x:v>
      </x:c>
      <x:c r="AN5930" s="87" t="n">
        <x:v>4</x:v>
      </x:c>
    </x:row>
    <x:row r="5931">
      <x:c r="A5931" s="87" t="n">
        <x:v>5930</x:v>
      </x:c>
      <x:c r="B5931" s="87" t="str">
        <x:v>EGKR-S26-RUS-964-04</x:v>
      </x:c>
      <x:c r="C5931" s="87" t="str">
        <x:v>ЕГКР</x:v>
      </x:c>
      <x:c r="D5931" s="87"/>
      <x:c r="E5931" s="87" t="str">
        <x:v>Весна 2026</x:v>
      </x:c>
      <x:c r="F5931" s="87" t="str">
        <x:v>24.03.2026</x:v>
      </x:c>
      <x:c r="G5931" s="87" t="str">
        <x:v>Русский язык</x:v>
      </x:c>
      <x:c r="H5931" s="87" t="n">
        <x:v>11</x:v>
      </x:c>
      <x:c r="I5931" s="87"/>
      <x:c r="J5931" s="87" t="str">
        <x:v>964</x:v>
      </x:c>
      <x:c r="K5931" s="87" t="n">
        <x:v>4</x:v>
      </x:c>
      <x:c r="L5931" s="87" t="str">
        <x:v>Орфоэпическая норма</x:v>
      </x:c>
      <x:c r="M5931" s="30" t="str">
        <x:v>Задание 4 варианта 964: Орфоэпическая норма. Полная формулировка сохранена на указанной визуальной странице.</x:v>
      </x:c>
      <x:c r="N5931" s="30" t="str">
        <x:v>124</x:v>
      </x:c>
      <x:c r="O5931" s="30" t="str">
        <x:v>Ответ зафиксирован в формате задания; полное условие и варианты ответа доступны по VIS_ID.</x:v>
      </x:c>
      <x:c r="P5931" s="30"/>
      <x:c r="Q5931" s="30" t="str">
        <x:v>Ответ совпал с исходным ответником и независимой сверкой: Insperia — разбор варианта 964.</x:v>
      </x:c>
      <x:c r="R5931" s="30" t="str">
        <x:v>124</x:v>
      </x:c>
      <x:c r="S5931" s="30"/>
      <x:c r="T5931" s="30" t="str">
        <x:v>Insperia — разбор варианта 964</x:v>
      </x:c>
      <x:c r="U5931" s="30" t="str">
        <x:v>Расхождений нет.</x:v>
      </x:c>
      <x:c r="V5931" s="87" t="str">
        <x:v>VERIFIED</x:v>
      </x:c>
      <x:c r="W5931" s="87"/>
      <x:c r="X5931" s="87" t="n">
        <x:v>4</x:v>
      </x:c>
      <x:c r="Y5931" s="87"/>
      <x:c r="Z5931" s="87"/>
      <x:c r="AA5931" s="87"/>
      <x:c r="AB5931" s="87"/>
      <x:c r="AC5931" s="87" t="str">
        <x:v>VIS-EGKR-RUS-S26-TASK-964-P004</x:v>
      </x:c>
      <x:c r="AD5931" s="87" t="str">
        <x:v>VIS-EGKR-RUS-S26-ANSWERDOC-P005</x:v>
      </x:c>
      <x:c r="AE5931" s="87" t="str">
        <x:v>TASK; SECONDARY_ANSWER_SOURCE</x:v>
      </x:c>
      <x:c r="AF5931" s="87" t="str">
        <x:v>VIS-EGKR-RUS-S26-TASK-964-P004: 4; VIS-EGKR-RUS-S26-ANSWERDOC-P005: 5</x:v>
      </x:c>
      <x:c r="AG5931" s="87" t="str">
        <x:v>RESOLVED</x:v>
      </x:c>
      <x:c r="AH5931" s="87" t="str">
        <x:v>CROP_VERIFIED</x:v>
      </x:c>
      <x:c r="AI5931" s="30"/>
      <x:c r="AJ5931" s="87" t="str">
        <x:v>clean</x:v>
      </x:c>
      <x:c r="AK5931" s="87" t="str">
        <x:v>clean-v0.18</x:v>
      </x:c>
      <x:c r="AL5931" s="87" t="str">
        <x:v>statgrad_clean_continuation_v0_18(1).xlsx</x:v>
      </x:c>
      <x:c r="AM5931" s="87" t="str">
        <x:v>RUS_EGKR_964</x:v>
      </x:c>
      <x:c r="AN5931" s="87" t="n">
        <x:v>5</x:v>
      </x:c>
    </x:row>
    <x:row r="5932">
      <x:c r="A5932" s="87" t="n">
        <x:v>5931</x:v>
      </x:c>
      <x:c r="B5932" s="87" t="str">
        <x:v>EGKR-S26-RUS-964-05</x:v>
      </x:c>
      <x:c r="C5932" s="87" t="str">
        <x:v>ЕГКР</x:v>
      </x:c>
      <x:c r="D5932" s="87"/>
      <x:c r="E5932" s="87" t="str">
        <x:v>Весна 2026</x:v>
      </x:c>
      <x:c r="F5932" s="87" t="str">
        <x:v>24.03.2026</x:v>
      </x:c>
      <x:c r="G5932" s="87" t="str">
        <x:v>Русский язык</x:v>
      </x:c>
      <x:c r="H5932" s="87" t="n">
        <x:v>11</x:v>
      </x:c>
      <x:c r="I5932" s="87"/>
      <x:c r="J5932" s="87" t="str">
        <x:v>964</x:v>
      </x:c>
      <x:c r="K5932" s="87" t="n">
        <x:v>5</x:v>
      </x:c>
      <x:c r="L5932" s="87" t="str">
        <x:v>Паронимы</x:v>
      </x:c>
      <x:c r="M5932" s="30" t="str">
        <x:v>Задание 5 варианта 964: Паронимы. Полная формулировка сохранена на указанной визуальной странице.</x:v>
      </x:c>
      <x:c r="N5932" s="30" t="str">
        <x:v>заплатят</x:v>
      </x:c>
      <x:c r="O5932" s="30" t="str">
        <x:v>Ответ зафиксирован в формате задания; полное условие и варианты ответа доступны по VIS_ID.</x:v>
      </x:c>
      <x:c r="P5932" s="30"/>
      <x:c r="Q5932" s="30" t="str">
        <x:v>Ответ совпал с исходным ответником и независимой сверкой: Insperia — разбор варианта 964.</x:v>
      </x:c>
      <x:c r="R5932" s="30" t="str">
        <x:v>заплатят</x:v>
      </x:c>
      <x:c r="S5932" s="30"/>
      <x:c r="T5932" s="30" t="str">
        <x:v>Insperia — разбор варианта 964</x:v>
      </x:c>
      <x:c r="U5932" s="30" t="str">
        <x:v>Расхождений нет.</x:v>
      </x:c>
      <x:c r="V5932" s="87" t="str">
        <x:v>VERIFIED</x:v>
      </x:c>
      <x:c r="W5932" s="87"/>
      <x:c r="X5932" s="87" t="n">
        <x:v>4</x:v>
      </x:c>
      <x:c r="Y5932" s="87"/>
      <x:c r="Z5932" s="87"/>
      <x:c r="AA5932" s="87"/>
      <x:c r="AB5932" s="87"/>
      <x:c r="AC5932" s="87" t="str">
        <x:v>VIS-EGKR-RUS-S26-TASK-964-P004</x:v>
      </x:c>
      <x:c r="AD5932" s="87" t="str">
        <x:v>VIS-EGKR-RUS-S26-ANSWERDOC-P005</x:v>
      </x:c>
      <x:c r="AE5932" s="87" t="str">
        <x:v>TASK; SECONDARY_ANSWER_SOURCE</x:v>
      </x:c>
      <x:c r="AF5932" s="87" t="str">
        <x:v>VIS-EGKR-RUS-S26-TASK-964-P004: 4; VIS-EGKR-RUS-S26-ANSWERDOC-P005: 5</x:v>
      </x:c>
      <x:c r="AG5932" s="87" t="str">
        <x:v>RESOLVED</x:v>
      </x:c>
      <x:c r="AH5932" s="87" t="str">
        <x:v>CROP_VERIFIED</x:v>
      </x:c>
      <x:c r="AI5932" s="30"/>
      <x:c r="AJ5932" s="87" t="str">
        <x:v>clean</x:v>
      </x:c>
      <x:c r="AK5932" s="87" t="str">
        <x:v>clean-v0.18</x:v>
      </x:c>
      <x:c r="AL5932" s="87" t="str">
        <x:v>statgrad_clean_continuation_v0_18(1).xlsx</x:v>
      </x:c>
      <x:c r="AM5932" s="87" t="str">
        <x:v>RUS_EGKR_964</x:v>
      </x:c>
      <x:c r="AN5932" s="87" t="n">
        <x:v>6</x:v>
      </x:c>
    </x:row>
    <x:row r="5933">
      <x:c r="A5933" s="87" t="n">
        <x:v>5932</x:v>
      </x:c>
      <x:c r="B5933" s="87" t="str">
        <x:v>EGKR-S26-RUS-964-06</x:v>
      </x:c>
      <x:c r="C5933" s="87" t="str">
        <x:v>ЕГКР</x:v>
      </x:c>
      <x:c r="D5933" s="87"/>
      <x:c r="E5933" s="87" t="str">
        <x:v>Весна 2026</x:v>
      </x:c>
      <x:c r="F5933" s="87" t="str">
        <x:v>24.03.2026</x:v>
      </x:c>
      <x:c r="G5933" s="87" t="str">
        <x:v>Русский язык</x:v>
      </x:c>
      <x:c r="H5933" s="87" t="n">
        <x:v>11</x:v>
      </x:c>
      <x:c r="I5933" s="87"/>
      <x:c r="J5933" s="87" t="str">
        <x:v>964</x:v>
      </x:c>
      <x:c r="K5933" s="87" t="n">
        <x:v>6</x:v>
      </x:c>
      <x:c r="L5933" s="87" t="str">
        <x:v>Лексическая норма</x:v>
      </x:c>
      <x:c r="M5933" s="30" t="str">
        <x:v>Задание 6 варианта 964: Лексическая норма. Полная формулировка сохранена на указанной визуальной странице.</x:v>
      </x:c>
      <x:c r="N5933" s="30" t="str">
        <x:v>козла</x:v>
      </x:c>
      <x:c r="O5933" s="30" t="str">
        <x:v>Ответ зафиксирован в формате задания; полное условие и варианты ответа доступны по VIS_ID.</x:v>
      </x:c>
      <x:c r="P5933" s="30"/>
      <x:c r="Q5933" s="30" t="str">
        <x:v>Ответ совпал с исходным ответником и независимой сверкой: Insperia — разбор варианта 964.</x:v>
      </x:c>
      <x:c r="R5933" s="30" t="str">
        <x:v>козла</x:v>
      </x:c>
      <x:c r="S5933" s="30"/>
      <x:c r="T5933" s="30" t="str">
        <x:v>Insperia — разбор варианта 964</x:v>
      </x:c>
      <x:c r="U5933" s="30" t="str">
        <x:v>Расхождений нет.</x:v>
      </x:c>
      <x:c r="V5933" s="87" t="str">
        <x:v>VERIFIED</x:v>
      </x:c>
      <x:c r="W5933" s="87"/>
      <x:c r="X5933" s="87" t="n">
        <x:v>4</x:v>
      </x:c>
      <x:c r="Y5933" s="87"/>
      <x:c r="Z5933" s="87"/>
      <x:c r="AA5933" s="87"/>
      <x:c r="AB5933" s="87"/>
      <x:c r="AC5933" s="87" t="str">
        <x:v>VIS-EGKR-RUS-S26-TASK-964-P004</x:v>
      </x:c>
      <x:c r="AD5933" s="87" t="str">
        <x:v>VIS-EGKR-RUS-S26-ANSWERDOC-P005</x:v>
      </x:c>
      <x:c r="AE5933" s="87" t="str">
        <x:v>TASK; SECONDARY_ANSWER_SOURCE</x:v>
      </x:c>
      <x:c r="AF5933" s="87" t="str">
        <x:v>VIS-EGKR-RUS-S26-TASK-964-P004: 4; VIS-EGKR-RUS-S26-ANSWERDOC-P005: 5</x:v>
      </x:c>
      <x:c r="AG5933" s="87" t="str">
        <x:v>RESOLVED</x:v>
      </x:c>
      <x:c r="AH5933" s="87" t="str">
        <x:v>CROP_VERIFIED</x:v>
      </x:c>
      <x:c r="AI5933" s="30"/>
      <x:c r="AJ5933" s="87" t="str">
        <x:v>clean</x:v>
      </x:c>
      <x:c r="AK5933" s="87" t="str">
        <x:v>clean-v0.18</x:v>
      </x:c>
      <x:c r="AL5933" s="87" t="str">
        <x:v>statgrad_clean_continuation_v0_18(1).xlsx</x:v>
      </x:c>
      <x:c r="AM5933" s="87" t="str">
        <x:v>RUS_EGKR_964</x:v>
      </x:c>
      <x:c r="AN5933" s="87" t="n">
        <x:v>7</x:v>
      </x:c>
    </x:row>
    <x:row r="5934">
      <x:c r="A5934" s="87" t="n">
        <x:v>5933</x:v>
      </x:c>
      <x:c r="B5934" s="87" t="str">
        <x:v>EGKR-S26-RUS-964-07</x:v>
      </x:c>
      <x:c r="C5934" s="87" t="str">
        <x:v>ЕГКР</x:v>
      </x:c>
      <x:c r="D5934" s="87"/>
      <x:c r="E5934" s="87" t="str">
        <x:v>Весна 2026</x:v>
      </x:c>
      <x:c r="F5934" s="87" t="str">
        <x:v>24.03.2026</x:v>
      </x:c>
      <x:c r="G5934" s="87" t="str">
        <x:v>Русский язык</x:v>
      </x:c>
      <x:c r="H5934" s="87" t="n">
        <x:v>11</x:v>
      </x:c>
      <x:c r="I5934" s="87"/>
      <x:c r="J5934" s="87" t="str">
        <x:v>964</x:v>
      </x:c>
      <x:c r="K5934" s="87" t="n">
        <x:v>7</x:v>
      </x:c>
      <x:c r="L5934" s="87" t="str">
        <x:v>Морфологическая норма</x:v>
      </x:c>
      <x:c r="M5934" s="30" t="str">
        <x:v>Задание 7 варианта 964: Морфологическая норма. Полная формулировка сохранена на указанной визуальной странице.</x:v>
      </x:c>
      <x:c r="N5934" s="30" t="str">
        <x:v>ста</x:v>
      </x:c>
      <x:c r="O5934" s="30" t="str">
        <x:v>Ответ зафиксирован в формате задания; полное условие и варианты ответа доступны по VIS_ID.</x:v>
      </x:c>
      <x:c r="P5934" s="30"/>
      <x:c r="Q5934" s="30" t="str">
        <x:v>Ответ совпал с исходным ответником и независимой сверкой: Insperia — разбор варианта 964.</x:v>
      </x:c>
      <x:c r="R5934" s="30" t="str">
        <x:v>ста</x:v>
      </x:c>
      <x:c r="S5934" s="30"/>
      <x:c r="T5934" s="30" t="str">
        <x:v>Insperia — разбор варианта 964</x:v>
      </x:c>
      <x:c r="U5934" s="30" t="str">
        <x:v>Расхождений нет.</x:v>
      </x:c>
      <x:c r="V5934" s="87" t="str">
        <x:v>VERIFIED</x:v>
      </x:c>
      <x:c r="W5934" s="87"/>
      <x:c r="X5934" s="87" t="n">
        <x:v>4</x:v>
      </x:c>
      <x:c r="Y5934" s="87"/>
      <x:c r="Z5934" s="87"/>
      <x:c r="AA5934" s="87"/>
      <x:c r="AB5934" s="87"/>
      <x:c r="AC5934" s="87" t="str">
        <x:v>VIS-EGKR-RUS-S26-TASK-964-P004</x:v>
      </x:c>
      <x:c r="AD5934" s="87" t="str">
        <x:v>VIS-EGKR-RUS-S26-ANSWERDOC-P005</x:v>
      </x:c>
      <x:c r="AE5934" s="87" t="str">
        <x:v>TASK; SECONDARY_ANSWER_SOURCE</x:v>
      </x:c>
      <x:c r="AF5934" s="87" t="str">
        <x:v>VIS-EGKR-RUS-S26-TASK-964-P004: 4; VIS-EGKR-RUS-S26-ANSWERDOC-P005: 5</x:v>
      </x:c>
      <x:c r="AG5934" s="87" t="str">
        <x:v>RESOLVED</x:v>
      </x:c>
      <x:c r="AH5934" s="87" t="str">
        <x:v>CROP_VERIFIED</x:v>
      </x:c>
      <x:c r="AI5934" s="30"/>
      <x:c r="AJ5934" s="87" t="str">
        <x:v>clean</x:v>
      </x:c>
      <x:c r="AK5934" s="87" t="str">
        <x:v>clean-v0.18</x:v>
      </x:c>
      <x:c r="AL5934" s="87" t="str">
        <x:v>statgrad_clean_continuation_v0_18(1).xlsx</x:v>
      </x:c>
      <x:c r="AM5934" s="87" t="str">
        <x:v>RUS_EGKR_964</x:v>
      </x:c>
      <x:c r="AN5934" s="87" t="n">
        <x:v>8</x:v>
      </x:c>
    </x:row>
    <x:row r="5935">
      <x:c r="A5935" s="87" t="n">
        <x:v>5934</x:v>
      </x:c>
      <x:c r="B5935" s="87" t="str">
        <x:v>EGKR-S26-RUS-964-08</x:v>
      </x:c>
      <x:c r="C5935" s="87" t="str">
        <x:v>ЕГКР</x:v>
      </x:c>
      <x:c r="D5935" s="87"/>
      <x:c r="E5935" s="87" t="str">
        <x:v>Весна 2026</x:v>
      </x:c>
      <x:c r="F5935" s="87" t="str">
        <x:v>24.03.2026</x:v>
      </x:c>
      <x:c r="G5935" s="87" t="str">
        <x:v>Русский язык</x:v>
      </x:c>
      <x:c r="H5935" s="87" t="n">
        <x:v>11</x:v>
      </x:c>
      <x:c r="I5935" s="87"/>
      <x:c r="J5935" s="87" t="str">
        <x:v>964</x:v>
      </x:c>
      <x:c r="K5935" s="87" t="n">
        <x:v>8</x:v>
      </x:c>
      <x:c r="L5935" s="87" t="str">
        <x:v>Синтаксические нормы</x:v>
      </x:c>
      <x:c r="M5935" s="30" t="str">
        <x:v>Задание 8 варианта 964: Синтаксические нормы. Полная формулировка сохранена на указанной визуальной странице.</x:v>
      </x:c>
      <x:c r="N5935" s="30" t="str">
        <x:v>71923</x:v>
      </x:c>
      <x:c r="O5935" s="30" t="str">
        <x:v>Ответ зафиксирован в формате задания; полное условие и варианты ответа доступны по VIS_ID.</x:v>
      </x:c>
      <x:c r="P5935" s="30"/>
      <x:c r="Q5935" s="30" t="str">
        <x:v>Ответ совпал с исходным ответником и независимой сверкой: Insperia — разбор варианта 964.</x:v>
      </x:c>
      <x:c r="R5935" s="30" t="str">
        <x:v>71923</x:v>
      </x:c>
      <x:c r="S5935" s="30"/>
      <x:c r="T5935" s="30" t="str">
        <x:v>Insperia — разбор варианта 964</x:v>
      </x:c>
      <x:c r="U5935" s="30" t="str">
        <x:v>Расхождений нет.</x:v>
      </x:c>
      <x:c r="V5935" s="87" t="str">
        <x:v>VERIFIED</x:v>
      </x:c>
      <x:c r="W5935" s="87"/>
      <x:c r="X5935" s="87" t="n">
        <x:v>5</x:v>
      </x:c>
      <x:c r="Y5935" s="87"/>
      <x:c r="Z5935" s="87"/>
      <x:c r="AA5935" s="87"/>
      <x:c r="AB5935" s="87"/>
      <x:c r="AC5935" s="87" t="str">
        <x:v>VIS-EGKR-RUS-S26-TASK-964-P005</x:v>
      </x:c>
      <x:c r="AD5935" s="87" t="str">
        <x:v>VIS-EGKR-RUS-S26-ANSWERDOC-P005</x:v>
      </x:c>
      <x:c r="AE5935" s="87" t="str">
        <x:v>TASK; SECONDARY_ANSWER_SOURCE</x:v>
      </x:c>
      <x:c r="AF5935" s="87" t="str">
        <x:v>VIS-EGKR-RUS-S26-TASK-964-P005: 5; VIS-EGKR-RUS-S26-ANSWERDOC-P005: 5</x:v>
      </x:c>
      <x:c r="AG5935" s="87" t="str">
        <x:v>RESOLVED</x:v>
      </x:c>
      <x:c r="AH5935" s="87" t="str">
        <x:v>CROP_VERIFIED</x:v>
      </x:c>
      <x:c r="AI5935" s="30"/>
      <x:c r="AJ5935" s="87" t="str">
        <x:v>clean</x:v>
      </x:c>
      <x:c r="AK5935" s="87" t="str">
        <x:v>clean-v0.18</x:v>
      </x:c>
      <x:c r="AL5935" s="87" t="str">
        <x:v>statgrad_clean_continuation_v0_18(1).xlsx</x:v>
      </x:c>
      <x:c r="AM5935" s="87" t="str">
        <x:v>RUS_EGKR_964</x:v>
      </x:c>
      <x:c r="AN5935" s="87" t="n">
        <x:v>9</x:v>
      </x:c>
    </x:row>
    <x:row r="5936">
      <x:c r="A5936" s="87" t="n">
        <x:v>5935</x:v>
      </x:c>
      <x:c r="B5936" s="87" t="str">
        <x:v>EGKR-S26-RUS-964-09</x:v>
      </x:c>
      <x:c r="C5936" s="87" t="str">
        <x:v>ЕГКР</x:v>
      </x:c>
      <x:c r="D5936" s="87"/>
      <x:c r="E5936" s="87" t="str">
        <x:v>Весна 2026</x:v>
      </x:c>
      <x:c r="F5936" s="87" t="str">
        <x:v>24.03.2026</x:v>
      </x:c>
      <x:c r="G5936" s="87" t="str">
        <x:v>Русский язык</x:v>
      </x:c>
      <x:c r="H5936" s="87" t="n">
        <x:v>11</x:v>
      </x:c>
      <x:c r="I5936" s="87"/>
      <x:c r="J5936" s="87" t="str">
        <x:v>964</x:v>
      </x:c>
      <x:c r="K5936" s="87" t="n">
        <x:v>9</x:v>
      </x:c>
      <x:c r="L5936" s="87" t="str">
        <x:v>Правописание корней</x:v>
      </x:c>
      <x:c r="M5936" s="30" t="str">
        <x:v>Задание 9 варианта 964: Правописание корней. Полная формулировка сохранена на указанной визуальной странице.</x:v>
      </x:c>
      <x:c r="N5936" s="30" t="str">
        <x:v>345</x:v>
      </x:c>
      <x:c r="O5936" s="30" t="str">
        <x:v>Ответ зафиксирован в формате задания; полное условие и варианты ответа доступны по VIS_ID.</x:v>
      </x:c>
      <x:c r="P5936" s="30"/>
      <x:c r="Q5936" s="30" t="str">
        <x:v>Ответ совпал с исходным ответником и независимой сверкой: Insperia — разбор варианта 964.</x:v>
      </x:c>
      <x:c r="R5936" s="30" t="str">
        <x:v>345</x:v>
      </x:c>
      <x:c r="S5936" s="30"/>
      <x:c r="T5936" s="30" t="str">
        <x:v>Insperia — разбор варианта 964</x:v>
      </x:c>
      <x:c r="U5936" s="30" t="str">
        <x:v>Расхождений нет.</x:v>
      </x:c>
      <x:c r="V5936" s="87" t="str">
        <x:v>VERIFIED</x:v>
      </x:c>
      <x:c r="W5936" s="87"/>
      <x:c r="X5936" s="87" t="n">
        <x:v>6</x:v>
      </x:c>
      <x:c r="Y5936" s="87"/>
      <x:c r="Z5936" s="87"/>
      <x:c r="AA5936" s="87"/>
      <x:c r="AB5936" s="87"/>
      <x:c r="AC5936" s="87" t="str">
        <x:v>VIS-EGKR-RUS-S26-TASK-964-P006</x:v>
      </x:c>
      <x:c r="AD5936" s="87" t="str">
        <x:v>VIS-EGKR-RUS-S26-ANSWERDOC-P005</x:v>
      </x:c>
      <x:c r="AE5936" s="87" t="str">
        <x:v>TASK; SECONDARY_ANSWER_SOURCE</x:v>
      </x:c>
      <x:c r="AF5936" s="87" t="str">
        <x:v>VIS-EGKR-RUS-S26-TASK-964-P006: 6; VIS-EGKR-RUS-S26-ANSWERDOC-P005: 5</x:v>
      </x:c>
      <x:c r="AG5936" s="87" t="str">
        <x:v>RESOLVED</x:v>
      </x:c>
      <x:c r="AH5936" s="87" t="str">
        <x:v>CROP_VERIFIED</x:v>
      </x:c>
      <x:c r="AI5936" s="30"/>
      <x:c r="AJ5936" s="87" t="str">
        <x:v>clean</x:v>
      </x:c>
      <x:c r="AK5936" s="87" t="str">
        <x:v>clean-v0.18</x:v>
      </x:c>
      <x:c r="AL5936" s="87" t="str">
        <x:v>statgrad_clean_continuation_v0_18(1).xlsx</x:v>
      </x:c>
      <x:c r="AM5936" s="87" t="str">
        <x:v>RUS_EGKR_964</x:v>
      </x:c>
      <x:c r="AN5936" s="87" t="n">
        <x:v>10</x:v>
      </x:c>
    </x:row>
    <x:row r="5937">
      <x:c r="A5937" s="87" t="n">
        <x:v>5936</x:v>
      </x:c>
      <x:c r="B5937" s="87" t="str">
        <x:v>EGKR-S26-RUS-964-10</x:v>
      </x:c>
      <x:c r="C5937" s="87" t="str">
        <x:v>ЕГКР</x:v>
      </x:c>
      <x:c r="D5937" s="87"/>
      <x:c r="E5937" s="87" t="str">
        <x:v>Весна 2026</x:v>
      </x:c>
      <x:c r="F5937" s="87" t="str">
        <x:v>24.03.2026</x:v>
      </x:c>
      <x:c r="G5937" s="87" t="str">
        <x:v>Русский язык</x:v>
      </x:c>
      <x:c r="H5937" s="87" t="n">
        <x:v>11</x:v>
      </x:c>
      <x:c r="I5937" s="87"/>
      <x:c r="J5937" s="87" t="str">
        <x:v>964</x:v>
      </x:c>
      <x:c r="K5937" s="87" t="n">
        <x:v>10</x:v>
      </x:c>
      <x:c r="L5937" s="87" t="str">
        <x:v>Правописание приставок</x:v>
      </x:c>
      <x:c r="M5937" s="30" t="str">
        <x:v>Задание 10 варианта 964: Правописание приставок. Полная формулировка сохранена на указанной визуальной странице.</x:v>
      </x:c>
      <x:c r="N5937" s="30" t="str">
        <x:v>12</x:v>
      </x:c>
      <x:c r="O5937" s="30" t="str">
        <x:v>Ответ зафиксирован в формате задания; полное условие и варианты ответа доступны по VIS_ID.</x:v>
      </x:c>
      <x:c r="P5937" s="30"/>
      <x:c r="Q5937" s="30" t="str">
        <x:v>Ответ совпал с исходным ответником и независимой сверкой: Insperia — разбор варианта 964.</x:v>
      </x:c>
      <x:c r="R5937" s="30" t="str">
        <x:v>12</x:v>
      </x:c>
      <x:c r="S5937" s="30"/>
      <x:c r="T5937" s="30" t="str">
        <x:v>Insperia — разбор варианта 964</x:v>
      </x:c>
      <x:c r="U5937" s="30" t="str">
        <x:v>Расхождений нет.</x:v>
      </x:c>
      <x:c r="V5937" s="87" t="str">
        <x:v>VERIFIED</x:v>
      </x:c>
      <x:c r="W5937" s="87"/>
      <x:c r="X5937" s="87" t="n">
        <x:v>6</x:v>
      </x:c>
      <x:c r="Y5937" s="87"/>
      <x:c r="Z5937" s="87"/>
      <x:c r="AA5937" s="87"/>
      <x:c r="AB5937" s="87"/>
      <x:c r="AC5937" s="87" t="str">
        <x:v>VIS-EGKR-RUS-S26-TASK-964-P006</x:v>
      </x:c>
      <x:c r="AD5937" s="87" t="str">
        <x:v>VIS-EGKR-RUS-S26-ANSWERDOC-P005</x:v>
      </x:c>
      <x:c r="AE5937" s="87" t="str">
        <x:v>TASK; SECONDARY_ANSWER_SOURCE</x:v>
      </x:c>
      <x:c r="AF5937" s="87" t="str">
        <x:v>VIS-EGKR-RUS-S26-TASK-964-P006: 6; VIS-EGKR-RUS-S26-ANSWERDOC-P005: 5</x:v>
      </x:c>
      <x:c r="AG5937" s="87" t="str">
        <x:v>RESOLVED</x:v>
      </x:c>
      <x:c r="AH5937" s="87" t="str">
        <x:v>CROP_VERIFIED</x:v>
      </x:c>
      <x:c r="AI5937" s="30"/>
      <x:c r="AJ5937" s="87" t="str">
        <x:v>clean</x:v>
      </x:c>
      <x:c r="AK5937" s="87" t="str">
        <x:v>clean-v0.18</x:v>
      </x:c>
      <x:c r="AL5937" s="87" t="str">
        <x:v>statgrad_clean_continuation_v0_18(1).xlsx</x:v>
      </x:c>
      <x:c r="AM5937" s="87" t="str">
        <x:v>RUS_EGKR_964</x:v>
      </x:c>
      <x:c r="AN5937" s="87" t="n">
        <x:v>11</x:v>
      </x:c>
    </x:row>
    <x:row r="5938">
      <x:c r="A5938" s="87" t="n">
        <x:v>5937</x:v>
      </x:c>
      <x:c r="B5938" s="87" t="str">
        <x:v>EGKR-S26-RUS-964-11</x:v>
      </x:c>
      <x:c r="C5938" s="87" t="str">
        <x:v>ЕГКР</x:v>
      </x:c>
      <x:c r="D5938" s="87"/>
      <x:c r="E5938" s="87" t="str">
        <x:v>Весна 2026</x:v>
      </x:c>
      <x:c r="F5938" s="87" t="str">
        <x:v>24.03.2026</x:v>
      </x:c>
      <x:c r="G5938" s="87" t="str">
        <x:v>Русский язык</x:v>
      </x:c>
      <x:c r="H5938" s="87" t="n">
        <x:v>11</x:v>
      </x:c>
      <x:c r="I5938" s="87"/>
      <x:c r="J5938" s="87" t="str">
        <x:v>964</x:v>
      </x:c>
      <x:c r="K5938" s="87" t="n">
        <x:v>11</x:v>
      </x:c>
      <x:c r="L5938" s="87" t="str">
        <x:v>Правописание суффиксов</x:v>
      </x:c>
      <x:c r="M5938" s="30" t="str">
        <x:v>Задание 11 варианта 964: Правописание суффиксов. Полная формулировка сохранена на указанной визуальной странице.</x:v>
      </x:c>
      <x:c r="N5938" s="30" t="str">
        <x:v>235</x:v>
      </x:c>
      <x:c r="O5938" s="30" t="str">
        <x:v>Ответ зафиксирован в формате задания; полное условие и варианты ответа доступны по VIS_ID.</x:v>
      </x:c>
      <x:c r="P5938" s="30"/>
      <x:c r="Q5938" s="30" t="str">
        <x:v>Ответ совпал с исходным ответником и независимой сверкой: Insperia — разбор варианта 964.</x:v>
      </x:c>
      <x:c r="R5938" s="30" t="str">
        <x:v>235</x:v>
      </x:c>
      <x:c r="S5938" s="30"/>
      <x:c r="T5938" s="30" t="str">
        <x:v>Insperia — разбор варианта 964</x:v>
      </x:c>
      <x:c r="U5938" s="30" t="str">
        <x:v>Расхождений нет.</x:v>
      </x:c>
      <x:c r="V5938" s="87" t="str">
        <x:v>VERIFIED</x:v>
      </x:c>
      <x:c r="W5938" s="87"/>
      <x:c r="X5938" s="87" t="n">
        <x:v>6</x:v>
      </x:c>
      <x:c r="Y5938" s="87"/>
      <x:c r="Z5938" s="87"/>
      <x:c r="AA5938" s="87"/>
      <x:c r="AB5938" s="87"/>
      <x:c r="AC5938" s="87" t="str">
        <x:v>VIS-EGKR-RUS-S26-TASK-964-P006</x:v>
      </x:c>
      <x:c r="AD5938" s="87" t="str">
        <x:v>VIS-EGKR-RUS-S26-ANSWERDOC-P005</x:v>
      </x:c>
      <x:c r="AE5938" s="87" t="str">
        <x:v>TASK; SECONDARY_ANSWER_SOURCE</x:v>
      </x:c>
      <x:c r="AF5938" s="87" t="str">
        <x:v>VIS-EGKR-RUS-S26-TASK-964-P006: 6; VIS-EGKR-RUS-S26-ANSWERDOC-P005: 5</x:v>
      </x:c>
      <x:c r="AG5938" s="87" t="str">
        <x:v>RESOLVED</x:v>
      </x:c>
      <x:c r="AH5938" s="87" t="str">
        <x:v>CROP_VERIFIED</x:v>
      </x:c>
      <x:c r="AI5938" s="30"/>
      <x:c r="AJ5938" s="87" t="str">
        <x:v>clean</x:v>
      </x:c>
      <x:c r="AK5938" s="87" t="str">
        <x:v>clean-v0.18</x:v>
      </x:c>
      <x:c r="AL5938" s="87" t="str">
        <x:v>statgrad_clean_continuation_v0_18(1).xlsx</x:v>
      </x:c>
      <x:c r="AM5938" s="87" t="str">
        <x:v>RUS_EGKR_964</x:v>
      </x:c>
      <x:c r="AN5938" s="87" t="n">
        <x:v>12</x:v>
      </x:c>
    </x:row>
    <x:row r="5939">
      <x:c r="A5939" s="87" t="n">
        <x:v>5938</x:v>
      </x:c>
      <x:c r="B5939" s="87" t="str">
        <x:v>EGKR-S26-RUS-964-12</x:v>
      </x:c>
      <x:c r="C5939" s="87" t="str">
        <x:v>ЕГКР</x:v>
      </x:c>
      <x:c r="D5939" s="87"/>
      <x:c r="E5939" s="87" t="str">
        <x:v>Весна 2026</x:v>
      </x:c>
      <x:c r="F5939" s="87" t="str">
        <x:v>24.03.2026</x:v>
      </x:c>
      <x:c r="G5939" s="87" t="str">
        <x:v>Русский язык</x:v>
      </x:c>
      <x:c r="H5939" s="87" t="n">
        <x:v>11</x:v>
      </x:c>
      <x:c r="I5939" s="87"/>
      <x:c r="J5939" s="87" t="str">
        <x:v>964</x:v>
      </x:c>
      <x:c r="K5939" s="87" t="n">
        <x:v>12</x:v>
      </x:c>
      <x:c r="L5939" s="87" t="str">
        <x:v>Глаголы и причастия</x:v>
      </x:c>
      <x:c r="M5939" s="30" t="str">
        <x:v>Задание 12 варианта 964: Глаголы и причастия. Полная формулировка сохранена на указанной визуальной странице.</x:v>
      </x:c>
      <x:c r="N5939" s="30" t="str">
        <x:v>25</x:v>
      </x:c>
      <x:c r="O5939" s="30" t="str">
        <x:v>Ответ зафиксирован в формате задания; полное условие и варианты ответа доступны по VIS_ID.</x:v>
      </x:c>
      <x:c r="P5939" s="30"/>
      <x:c r="Q5939" s="30" t="str">
        <x:v>Ответ совпал с исходным ответником и независимой сверкой: Insperia — разбор варианта 964.</x:v>
      </x:c>
      <x:c r="R5939" s="30" t="str">
        <x:v>25</x:v>
      </x:c>
      <x:c r="S5939" s="30"/>
      <x:c r="T5939" s="30" t="str">
        <x:v>Insperia — разбор варианта 964</x:v>
      </x:c>
      <x:c r="U5939" s="30" t="str">
        <x:v>Расхождений нет.</x:v>
      </x:c>
      <x:c r="V5939" s="87" t="str">
        <x:v>VERIFIED</x:v>
      </x:c>
      <x:c r="W5939" s="87"/>
      <x:c r="X5939" s="87" t="n">
        <x:v>6</x:v>
      </x:c>
      <x:c r="Y5939" s="87"/>
      <x:c r="Z5939" s="87"/>
      <x:c r="AA5939" s="87"/>
      <x:c r="AB5939" s="87"/>
      <x:c r="AC5939" s="87" t="str">
        <x:v>VIS-EGKR-RUS-S26-TASK-964-P006</x:v>
      </x:c>
      <x:c r="AD5939" s="87" t="str">
        <x:v>VIS-EGKR-RUS-S26-ANSWERDOC-P005</x:v>
      </x:c>
      <x:c r="AE5939" s="87" t="str">
        <x:v>TASK; SECONDARY_ANSWER_SOURCE</x:v>
      </x:c>
      <x:c r="AF5939" s="87" t="str">
        <x:v>VIS-EGKR-RUS-S26-TASK-964-P006: 6; VIS-EGKR-RUS-S26-ANSWERDOC-P005: 5</x:v>
      </x:c>
      <x:c r="AG5939" s="87" t="str">
        <x:v>RESOLVED</x:v>
      </x:c>
      <x:c r="AH5939" s="87" t="str">
        <x:v>CROP_VERIFIED</x:v>
      </x:c>
      <x:c r="AI5939" s="30"/>
      <x:c r="AJ5939" s="87" t="str">
        <x:v>clean</x:v>
      </x:c>
      <x:c r="AK5939" s="87" t="str">
        <x:v>clean-v0.18</x:v>
      </x:c>
      <x:c r="AL5939" s="87" t="str">
        <x:v>statgrad_clean_continuation_v0_18(1).xlsx</x:v>
      </x:c>
      <x:c r="AM5939" s="87" t="str">
        <x:v>RUS_EGKR_964</x:v>
      </x:c>
      <x:c r="AN5939" s="87" t="n">
        <x:v>13</x:v>
      </x:c>
    </x:row>
    <x:row r="5940">
      <x:c r="A5940" s="87" t="n">
        <x:v>5939</x:v>
      </x:c>
      <x:c r="B5940" s="87" t="str">
        <x:v>EGKR-S26-RUS-964-13</x:v>
      </x:c>
      <x:c r="C5940" s="87" t="str">
        <x:v>ЕГКР</x:v>
      </x:c>
      <x:c r="D5940" s="87"/>
      <x:c r="E5940" s="87" t="str">
        <x:v>Весна 2026</x:v>
      </x:c>
      <x:c r="F5940" s="87" t="str">
        <x:v>24.03.2026</x:v>
      </x:c>
      <x:c r="G5940" s="87" t="str">
        <x:v>Русский язык</x:v>
      </x:c>
      <x:c r="H5940" s="87" t="n">
        <x:v>11</x:v>
      </x:c>
      <x:c r="I5940" s="87"/>
      <x:c r="J5940" s="87" t="str">
        <x:v>964</x:v>
      </x:c>
      <x:c r="K5940" s="87" t="n">
        <x:v>13</x:v>
      </x:c>
      <x:c r="L5940" s="87" t="str">
        <x:v>НЕ и НИ</x:v>
      </x:c>
      <x:c r="M5940" s="30" t="str">
        <x:v>Задание 13 варианта 964: НЕ и НИ. Полная формулировка сохранена на указанной визуальной странице.</x:v>
      </x:c>
      <x:c r="N5940" s="30" t="str">
        <x:v>134</x:v>
      </x:c>
      <x:c r="O5940" s="30" t="str">
        <x:v>Ответ зафиксирован в формате задания; полное условие и варианты ответа доступны по VIS_ID.</x:v>
      </x:c>
      <x:c r="P5940" s="30"/>
      <x:c r="Q5940" s="30" t="str">
        <x:v>Ответ независимо сверён по исходному заданию и разбору: Insperia — разбор варианта 964.</x:v>
      </x:c>
      <x:c r="R5940" s="30" t="str">
        <x:v>345</x:v>
      </x:c>
      <x:c r="S5940" s="30"/>
      <x:c r="T5940" s="30" t="str">
        <x:v>Insperia — разбор варианта 964</x:v>
      </x:c>
      <x:c r="U5940" s="30" t="str">
        <x:v>Ответник: 345; канонический ответ: 134.</x:v>
      </x:c>
      <x:c r="V5940" s="87" t="str">
        <x:v>KEY_MISMATCH</x:v>
      </x:c>
      <x:c r="W5940" s="87"/>
      <x:c r="X5940" s="87" t="n">
        <x:v>7</x:v>
      </x:c>
      <x:c r="Y5940" s="87"/>
      <x:c r="Z5940" s="87"/>
      <x:c r="AA5940" s="87"/>
      <x:c r="AB5940" s="87"/>
      <x:c r="AC5940" s="87" t="str">
        <x:v>VIS-EGKR-RUS-S26-TASK-964-P007</x:v>
      </x:c>
      <x:c r="AD5940" s="87" t="str">
        <x:v>VIS-EGKR-RUS-S26-ANSWERDOC-P005</x:v>
      </x:c>
      <x:c r="AE5940" s="87" t="str">
        <x:v>TASK; SECONDARY_ANSWER_SOURCE</x:v>
      </x:c>
      <x:c r="AF5940" s="87" t="str">
        <x:v>VIS-EGKR-RUS-S26-TASK-964-P007: 7; VIS-EGKR-RUS-S26-ANSWERDOC-P005: 5</x:v>
      </x:c>
      <x:c r="AG5940" s="87" t="str">
        <x:v>RESOLVED</x:v>
      </x:c>
      <x:c r="AH5940" s="87" t="str">
        <x:v>CROP_VERIFIED</x:v>
      </x:c>
      <x:c r="AI5940" s="30"/>
      <x:c r="AJ5940" s="87" t="str">
        <x:v>clean</x:v>
      </x:c>
      <x:c r="AK5940" s="87" t="str">
        <x:v>clean-v0.18</x:v>
      </x:c>
      <x:c r="AL5940" s="87" t="str">
        <x:v>statgrad_clean_continuation_v0_18(1).xlsx</x:v>
      </x:c>
      <x:c r="AM5940" s="87" t="str">
        <x:v>RUS_EGKR_964</x:v>
      </x:c>
      <x:c r="AN5940" s="87" t="n">
        <x:v>14</x:v>
      </x:c>
    </x:row>
    <x:row r="5941">
      <x:c r="A5941" s="87" t="n">
        <x:v>5940</x:v>
      </x:c>
      <x:c r="B5941" s="87" t="str">
        <x:v>EGKR-S26-RUS-964-14</x:v>
      </x:c>
      <x:c r="C5941" s="87" t="str">
        <x:v>ЕГКР</x:v>
      </x:c>
      <x:c r="D5941" s="87"/>
      <x:c r="E5941" s="87" t="str">
        <x:v>Весна 2026</x:v>
      </x:c>
      <x:c r="F5941" s="87" t="str">
        <x:v>24.03.2026</x:v>
      </x:c>
      <x:c r="G5941" s="87" t="str">
        <x:v>Русский язык</x:v>
      </x:c>
      <x:c r="H5941" s="87" t="n">
        <x:v>11</x:v>
      </x:c>
      <x:c r="I5941" s="87"/>
      <x:c r="J5941" s="87" t="str">
        <x:v>964</x:v>
      </x:c>
      <x:c r="K5941" s="87" t="n">
        <x:v>14</x:v>
      </x:c>
      <x:c r="L5941" s="87" t="str">
        <x:v>Слитное, раздельное и дефисное написание</x:v>
      </x:c>
      <x:c r="M5941" s="30" t="str">
        <x:v>Задание 14 варианта 964: Слитное, раздельное и дефисное написание. Полная формулировка сохранена на указанной визуальной странице.</x:v>
      </x:c>
      <x:c r="N5941" s="30" t="str">
        <x:v>134</x:v>
      </x:c>
      <x:c r="O5941" s="30" t="str">
        <x:v>Ответ зафиксирован в формате задания; полное условие и варианты ответа доступны по VIS_ID.</x:v>
      </x:c>
      <x:c r="P5941" s="30"/>
      <x:c r="Q5941" s="30" t="str">
        <x:v>Ответ совпал с исходным ответником и независимой сверкой: Insperia — разбор варианта 964.</x:v>
      </x:c>
      <x:c r="R5941" s="30" t="str">
        <x:v>134</x:v>
      </x:c>
      <x:c r="S5941" s="30"/>
      <x:c r="T5941" s="30" t="str">
        <x:v>Insperia — разбор варианта 964</x:v>
      </x:c>
      <x:c r="U5941" s="30" t="str">
        <x:v>Расхождений нет.</x:v>
      </x:c>
      <x:c r="V5941" s="87" t="str">
        <x:v>VERIFIED</x:v>
      </x:c>
      <x:c r="W5941" s="87"/>
      <x:c r="X5941" s="87" t="n">
        <x:v>7</x:v>
      </x:c>
      <x:c r="Y5941" s="87"/>
      <x:c r="Z5941" s="87"/>
      <x:c r="AA5941" s="87"/>
      <x:c r="AB5941" s="87"/>
      <x:c r="AC5941" s="87" t="str">
        <x:v>VIS-EGKR-RUS-S26-TASK-964-P007</x:v>
      </x:c>
      <x:c r="AD5941" s="87" t="str">
        <x:v>VIS-EGKR-RUS-S26-ANSWERDOC-P005</x:v>
      </x:c>
      <x:c r="AE5941" s="87" t="str">
        <x:v>TASK; SECONDARY_ANSWER_SOURCE</x:v>
      </x:c>
      <x:c r="AF5941" s="87" t="str">
        <x:v>VIS-EGKR-RUS-S26-TASK-964-P007: 7; VIS-EGKR-RUS-S26-ANSWERDOC-P005: 5</x:v>
      </x:c>
      <x:c r="AG5941" s="87" t="str">
        <x:v>RESOLVED</x:v>
      </x:c>
      <x:c r="AH5941" s="87" t="str">
        <x:v>CROP_VERIFIED</x:v>
      </x:c>
      <x:c r="AI5941" s="30"/>
      <x:c r="AJ5941" s="87" t="str">
        <x:v>clean</x:v>
      </x:c>
      <x:c r="AK5941" s="87" t="str">
        <x:v>clean-v0.18</x:v>
      </x:c>
      <x:c r="AL5941" s="87" t="str">
        <x:v>statgrad_clean_continuation_v0_18(1).xlsx</x:v>
      </x:c>
      <x:c r="AM5941" s="87" t="str">
        <x:v>RUS_EGKR_964</x:v>
      </x:c>
      <x:c r="AN5941" s="87" t="n">
        <x:v>15</x:v>
      </x:c>
    </x:row>
    <x:row r="5942">
      <x:c r="A5942" s="87" t="n">
        <x:v>5941</x:v>
      </x:c>
      <x:c r="B5942" s="87" t="str">
        <x:v>EGKR-S26-RUS-964-15</x:v>
      </x:c>
      <x:c r="C5942" s="87" t="str">
        <x:v>ЕГКР</x:v>
      </x:c>
      <x:c r="D5942" s="87"/>
      <x:c r="E5942" s="87" t="str">
        <x:v>Весна 2026</x:v>
      </x:c>
      <x:c r="F5942" s="87" t="str">
        <x:v>24.03.2026</x:v>
      </x:c>
      <x:c r="G5942" s="87" t="str">
        <x:v>Русский язык</x:v>
      </x:c>
      <x:c r="H5942" s="87" t="n">
        <x:v>11</x:v>
      </x:c>
      <x:c r="I5942" s="87"/>
      <x:c r="J5942" s="87" t="str">
        <x:v>964</x:v>
      </x:c>
      <x:c r="K5942" s="87" t="n">
        <x:v>15</x:v>
      </x:c>
      <x:c r="L5942" s="87" t="str">
        <x:v>Н и НН</x:v>
      </x:c>
      <x:c r="M5942" s="30" t="str">
        <x:v>Задание 15 варианта 964: Н и НН. Полная формулировка сохранена на указанной визуальной странице.</x:v>
      </x:c>
      <x:c r="N5942" s="30" t="str">
        <x:v>3</x:v>
      </x:c>
      <x:c r="O5942" s="30" t="str">
        <x:v>Ответ зафиксирован в формате задания; полное условие и варианты ответа доступны по VIS_ID.</x:v>
      </x:c>
      <x:c r="P5942" s="30"/>
      <x:c r="Q5942" s="30" t="str">
        <x:v>Ответ совпал с исходным ответником и независимой сверкой: Insperia — разбор варианта 964.</x:v>
      </x:c>
      <x:c r="R5942" s="30" t="str">
        <x:v>3</x:v>
      </x:c>
      <x:c r="S5942" s="30"/>
      <x:c r="T5942" s="30" t="str">
        <x:v>Insperia — разбор варианта 964</x:v>
      </x:c>
      <x:c r="U5942" s="30" t="str">
        <x:v>Расхождений нет.</x:v>
      </x:c>
      <x:c r="V5942" s="87" t="str">
        <x:v>VERIFIED</x:v>
      </x:c>
      <x:c r="W5942" s="87"/>
      <x:c r="X5942" s="87" t="n">
        <x:v>7</x:v>
      </x:c>
      <x:c r="Y5942" s="87"/>
      <x:c r="Z5942" s="87"/>
      <x:c r="AA5942" s="87"/>
      <x:c r="AB5942" s="87"/>
      <x:c r="AC5942" s="87" t="str">
        <x:v>VIS-EGKR-RUS-S26-TASK-964-P007</x:v>
      </x:c>
      <x:c r="AD5942" s="87" t="str">
        <x:v>VIS-EGKR-RUS-S26-ANSWERDOC-P005</x:v>
      </x:c>
      <x:c r="AE5942" s="87" t="str">
        <x:v>TASK; SECONDARY_ANSWER_SOURCE</x:v>
      </x:c>
      <x:c r="AF5942" s="87" t="str">
        <x:v>VIS-EGKR-RUS-S26-TASK-964-P007: 7; VIS-EGKR-RUS-S26-ANSWERDOC-P005: 5</x:v>
      </x:c>
      <x:c r="AG5942" s="87" t="str">
        <x:v>RESOLVED</x:v>
      </x:c>
      <x:c r="AH5942" s="87" t="str">
        <x:v>CROP_VERIFIED</x:v>
      </x:c>
      <x:c r="AI5942" s="30"/>
      <x:c r="AJ5942" s="87" t="str">
        <x:v>clean</x:v>
      </x:c>
      <x:c r="AK5942" s="87" t="str">
        <x:v>clean-v0.18</x:v>
      </x:c>
      <x:c r="AL5942" s="87" t="str">
        <x:v>statgrad_clean_continuation_v0_18(1).xlsx</x:v>
      </x:c>
      <x:c r="AM5942" s="87" t="str">
        <x:v>RUS_EGKR_964</x:v>
      </x:c>
      <x:c r="AN5942" s="87" t="n">
        <x:v>16</x:v>
      </x:c>
    </x:row>
    <x:row r="5943">
      <x:c r="A5943" s="87" t="n">
        <x:v>5942</x:v>
      </x:c>
      <x:c r="B5943" s="87" t="str">
        <x:v>EGKR-S26-RUS-964-16</x:v>
      </x:c>
      <x:c r="C5943" s="87" t="str">
        <x:v>ЕГКР</x:v>
      </x:c>
      <x:c r="D5943" s="87"/>
      <x:c r="E5943" s="87" t="str">
        <x:v>Весна 2026</x:v>
      </x:c>
      <x:c r="F5943" s="87" t="str">
        <x:v>24.03.2026</x:v>
      </x:c>
      <x:c r="G5943" s="87" t="str">
        <x:v>Русский язык</x:v>
      </x:c>
      <x:c r="H5943" s="87" t="n">
        <x:v>11</x:v>
      </x:c>
      <x:c r="I5943" s="87"/>
      <x:c r="J5943" s="87" t="str">
        <x:v>964</x:v>
      </x:c>
      <x:c r="K5943" s="87" t="n">
        <x:v>16</x:v>
      </x:c>
      <x:c r="L5943" s="87" t="str">
        <x:v>Пунктуация при однородных членах</x:v>
      </x:c>
      <x:c r="M5943" s="30" t="str">
        <x:v>Задание 16 варианта 964: Пунктуация при однородных членах. Полная формулировка сохранена на указанной визуальной странице.</x:v>
      </x:c>
      <x:c r="N5943" s="30" t="str">
        <x:v>34</x:v>
      </x:c>
      <x:c r="O5943" s="30" t="str">
        <x:v>Ответ зафиксирован в формате задания; полное условие и варианты ответа доступны по VIS_ID.</x:v>
      </x:c>
      <x:c r="P5943" s="30"/>
      <x:c r="Q5943" s="30" t="str">
        <x:v>Ответ совпал с исходным ответником и независимой сверкой: Insperia — разбор варианта 964.</x:v>
      </x:c>
      <x:c r="R5943" s="30" t="str">
        <x:v>34</x:v>
      </x:c>
      <x:c r="S5943" s="30"/>
      <x:c r="T5943" s="30" t="str">
        <x:v>Insperia — разбор варианта 964</x:v>
      </x:c>
      <x:c r="U5943" s="30" t="str">
        <x:v>Расхождений нет.</x:v>
      </x:c>
      <x:c r="V5943" s="87" t="str">
        <x:v>VERIFIED</x:v>
      </x:c>
      <x:c r="W5943" s="87"/>
      <x:c r="X5943" s="87" t="n">
        <x:v>7</x:v>
      </x:c>
      <x:c r="Y5943" s="87"/>
      <x:c r="Z5943" s="87"/>
      <x:c r="AA5943" s="87"/>
      <x:c r="AB5943" s="87"/>
      <x:c r="AC5943" s="87" t="str">
        <x:v>VIS-EGKR-RUS-S26-TASK-964-P007</x:v>
      </x:c>
      <x:c r="AD5943" s="87" t="str">
        <x:v>VIS-EGKR-RUS-S26-ANSWERDOC-P005</x:v>
      </x:c>
      <x:c r="AE5943" s="87" t="str">
        <x:v>TASK; SECONDARY_ANSWER_SOURCE</x:v>
      </x:c>
      <x:c r="AF5943" s="87" t="str">
        <x:v>VIS-EGKR-RUS-S26-TASK-964-P007: 7; VIS-EGKR-RUS-S26-ANSWERDOC-P005: 5</x:v>
      </x:c>
      <x:c r="AG5943" s="87" t="str">
        <x:v>RESOLVED</x:v>
      </x:c>
      <x:c r="AH5943" s="87" t="str">
        <x:v>CROP_VERIFIED</x:v>
      </x:c>
      <x:c r="AI5943" s="30"/>
      <x:c r="AJ5943" s="87" t="str">
        <x:v>clean</x:v>
      </x:c>
      <x:c r="AK5943" s="87" t="str">
        <x:v>clean-v0.18</x:v>
      </x:c>
      <x:c r="AL5943" s="87" t="str">
        <x:v>statgrad_clean_continuation_v0_18(1).xlsx</x:v>
      </x:c>
      <x:c r="AM5943" s="87" t="str">
        <x:v>RUS_EGKR_964</x:v>
      </x:c>
      <x:c r="AN5943" s="87" t="n">
        <x:v>17</x:v>
      </x:c>
    </x:row>
    <x:row r="5944">
      <x:c r="A5944" s="87" t="n">
        <x:v>5943</x:v>
      </x:c>
      <x:c r="B5944" s="87" t="str">
        <x:v>EGKR-S26-RUS-964-17</x:v>
      </x:c>
      <x:c r="C5944" s="87" t="str">
        <x:v>ЕГКР</x:v>
      </x:c>
      <x:c r="D5944" s="87"/>
      <x:c r="E5944" s="87" t="str">
        <x:v>Весна 2026</x:v>
      </x:c>
      <x:c r="F5944" s="87" t="str">
        <x:v>24.03.2026</x:v>
      </x:c>
      <x:c r="G5944" s="87" t="str">
        <x:v>Русский язык</x:v>
      </x:c>
      <x:c r="H5944" s="87" t="n">
        <x:v>11</x:v>
      </x:c>
      <x:c r="I5944" s="87"/>
      <x:c r="J5944" s="87" t="str">
        <x:v>964</x:v>
      </x:c>
      <x:c r="K5944" s="87" t="n">
        <x:v>17</x:v>
      </x:c>
      <x:c r="L5944" s="87" t="str">
        <x:v>Обособленные конструкции</x:v>
      </x:c>
      <x:c r="M5944" s="30" t="str">
        <x:v>Задание 17 варианта 964: Обособленные конструкции. Полная формулировка сохранена на указанной визуальной странице.</x:v>
      </x:c>
      <x:c r="N5944" s="30" t="str">
        <x:v>1234</x:v>
      </x:c>
      <x:c r="O5944" s="30" t="str">
        <x:v>Ответ зафиксирован в формате задания; полное условие и варианты ответа доступны по VIS_ID.</x:v>
      </x:c>
      <x:c r="P5944" s="30"/>
      <x:c r="Q5944" s="30" t="str">
        <x:v>Ответ совпал с исходным ответником и независимой сверкой: Insperia — разбор варианта 964.</x:v>
      </x:c>
      <x:c r="R5944" s="30" t="str">
        <x:v>1234</x:v>
      </x:c>
      <x:c r="S5944" s="30"/>
      <x:c r="T5944" s="30" t="str">
        <x:v>Insperia — разбор варианта 964</x:v>
      </x:c>
      <x:c r="U5944" s="30" t="str">
        <x:v>Расхождений нет.</x:v>
      </x:c>
      <x:c r="V5944" s="87" t="str">
        <x:v>VERIFIED</x:v>
      </x:c>
      <x:c r="W5944" s="87"/>
      <x:c r="X5944" s="87" t="n">
        <x:v>8</x:v>
      </x:c>
      <x:c r="Y5944" s="87"/>
      <x:c r="Z5944" s="87"/>
      <x:c r="AA5944" s="87"/>
      <x:c r="AB5944" s="87"/>
      <x:c r="AC5944" s="87" t="str">
        <x:v>VIS-EGKR-RUS-S26-TASK-964-P008</x:v>
      </x:c>
      <x:c r="AD5944" s="87" t="str">
        <x:v>VIS-EGKR-RUS-S26-ANSWERDOC-P005</x:v>
      </x:c>
      <x:c r="AE5944" s="87" t="str">
        <x:v>TASK; SECONDARY_ANSWER_SOURCE</x:v>
      </x:c>
      <x:c r="AF5944" s="87" t="str">
        <x:v>VIS-EGKR-RUS-S26-TASK-964-P008: 8; VIS-EGKR-RUS-S26-ANSWERDOC-P005: 5</x:v>
      </x:c>
      <x:c r="AG5944" s="87" t="str">
        <x:v>RESOLVED</x:v>
      </x:c>
      <x:c r="AH5944" s="87" t="str">
        <x:v>CROP_VERIFIED</x:v>
      </x:c>
      <x:c r="AI5944" s="30"/>
      <x:c r="AJ5944" s="87" t="str">
        <x:v>clean</x:v>
      </x:c>
      <x:c r="AK5944" s="87" t="str">
        <x:v>clean-v0.18</x:v>
      </x:c>
      <x:c r="AL5944" s="87" t="str">
        <x:v>statgrad_clean_continuation_v0_18(1).xlsx</x:v>
      </x:c>
      <x:c r="AM5944" s="87" t="str">
        <x:v>RUS_EGKR_964</x:v>
      </x:c>
      <x:c r="AN5944" s="87" t="n">
        <x:v>18</x:v>
      </x:c>
    </x:row>
    <x:row r="5945">
      <x:c r="A5945" s="87" t="n">
        <x:v>5944</x:v>
      </x:c>
      <x:c r="B5945" s="87" t="str">
        <x:v>EGKR-S26-RUS-964-18</x:v>
      </x:c>
      <x:c r="C5945" s="87" t="str">
        <x:v>ЕГКР</x:v>
      </x:c>
      <x:c r="D5945" s="87"/>
      <x:c r="E5945" s="87" t="str">
        <x:v>Весна 2026</x:v>
      </x:c>
      <x:c r="F5945" s="87" t="str">
        <x:v>24.03.2026</x:v>
      </x:c>
      <x:c r="G5945" s="87" t="str">
        <x:v>Русский язык</x:v>
      </x:c>
      <x:c r="H5945" s="87" t="n">
        <x:v>11</x:v>
      </x:c>
      <x:c r="I5945" s="87"/>
      <x:c r="J5945" s="87" t="str">
        <x:v>964</x:v>
      </x:c>
      <x:c r="K5945" s="87" t="n">
        <x:v>18</x:v>
      </x:c>
      <x:c r="L5945" s="87" t="str">
        <x:v>Вводные слова и обращения</x:v>
      </x:c>
      <x:c r="M5945" s="30" t="str">
        <x:v>Задание 18 варианта 964: Вводные слова и обращения. Полная формулировка сохранена на указанной визуальной странице.</x:v>
      </x:c>
      <x:c r="N5945" s="30" t="str">
        <x:v>145</x:v>
      </x:c>
      <x:c r="O5945" s="30" t="str">
        <x:v>Ответ зафиксирован в формате задания; полное условие и варианты ответа доступны по VIS_ID.</x:v>
      </x:c>
      <x:c r="P5945" s="30"/>
      <x:c r="Q5945" s="30" t="str">
        <x:v>Ответ совпал с исходным ответником и независимой сверкой: Insperia — разбор варианта 964.</x:v>
      </x:c>
      <x:c r="R5945" s="30" t="str">
        <x:v>145</x:v>
      </x:c>
      <x:c r="S5945" s="30"/>
      <x:c r="T5945" s="30" t="str">
        <x:v>Insperia — разбор варианта 964</x:v>
      </x:c>
      <x:c r="U5945" s="30" t="str">
        <x:v>Расхождений нет.</x:v>
      </x:c>
      <x:c r="V5945" s="87" t="str">
        <x:v>VERIFIED</x:v>
      </x:c>
      <x:c r="W5945" s="87"/>
      <x:c r="X5945" s="87" t="n">
        <x:v>8</x:v>
      </x:c>
      <x:c r="Y5945" s="87"/>
      <x:c r="Z5945" s="87"/>
      <x:c r="AA5945" s="87"/>
      <x:c r="AB5945" s="87"/>
      <x:c r="AC5945" s="87" t="str">
        <x:v>VIS-EGKR-RUS-S26-TASK-964-P008</x:v>
      </x:c>
      <x:c r="AD5945" s="87" t="str">
        <x:v>VIS-EGKR-RUS-S26-ANSWERDOC-P005</x:v>
      </x:c>
      <x:c r="AE5945" s="87" t="str">
        <x:v>TASK; SECONDARY_ANSWER_SOURCE</x:v>
      </x:c>
      <x:c r="AF5945" s="87" t="str">
        <x:v>VIS-EGKR-RUS-S26-TASK-964-P008: 8; VIS-EGKR-RUS-S26-ANSWERDOC-P005: 5</x:v>
      </x:c>
      <x:c r="AG5945" s="87" t="str">
        <x:v>RESOLVED</x:v>
      </x:c>
      <x:c r="AH5945" s="87" t="str">
        <x:v>CROP_VERIFIED</x:v>
      </x:c>
      <x:c r="AI5945" s="30"/>
      <x:c r="AJ5945" s="87" t="str">
        <x:v>clean</x:v>
      </x:c>
      <x:c r="AK5945" s="87" t="str">
        <x:v>clean-v0.18</x:v>
      </x:c>
      <x:c r="AL5945" s="87" t="str">
        <x:v>statgrad_clean_continuation_v0_18(1).xlsx</x:v>
      </x:c>
      <x:c r="AM5945" s="87" t="str">
        <x:v>RUS_EGKR_964</x:v>
      </x:c>
      <x:c r="AN5945" s="87" t="n">
        <x:v>19</x:v>
      </x:c>
    </x:row>
    <x:row r="5946">
      <x:c r="A5946" s="87" t="n">
        <x:v>5945</x:v>
      </x:c>
      <x:c r="B5946" s="87" t="str">
        <x:v>EGKR-S26-RUS-964-19</x:v>
      </x:c>
      <x:c r="C5946" s="87" t="str">
        <x:v>ЕГКР</x:v>
      </x:c>
      <x:c r="D5946" s="87"/>
      <x:c r="E5946" s="87" t="str">
        <x:v>Весна 2026</x:v>
      </x:c>
      <x:c r="F5946" s="87" t="str">
        <x:v>24.03.2026</x:v>
      </x:c>
      <x:c r="G5946" s="87" t="str">
        <x:v>Русский язык</x:v>
      </x:c>
      <x:c r="H5946" s="87" t="n">
        <x:v>11</x:v>
      </x:c>
      <x:c r="I5946" s="87"/>
      <x:c r="J5946" s="87" t="str">
        <x:v>964</x:v>
      </x:c>
      <x:c r="K5946" s="87" t="n">
        <x:v>19</x:v>
      </x:c>
      <x:c r="L5946" s="87" t="str">
        <x:v>Сложноподчинённое предложение</x:v>
      </x:c>
      <x:c r="M5946" s="30" t="str">
        <x:v>Задание 19 варианта 964: Сложноподчинённое предложение. Полная формулировка сохранена на указанной визуальной странице.</x:v>
      </x:c>
      <x:c r="N5946" s="30" t="str">
        <x:v>1245</x:v>
      </x:c>
      <x:c r="O5946" s="30" t="str">
        <x:v>Ответ зафиксирован в формате задания; полное условие и варианты ответа доступны по VIS_ID.</x:v>
      </x:c>
      <x:c r="P5946" s="30"/>
      <x:c r="Q5946" s="30" t="str">
        <x:v>Ответ совпал с исходным ответником и независимой сверкой: Insperia — разбор варианта 964.</x:v>
      </x:c>
      <x:c r="R5946" s="30" t="str">
        <x:v>1245</x:v>
      </x:c>
      <x:c r="S5946" s="30"/>
      <x:c r="T5946" s="30" t="str">
        <x:v>Insperia — разбор варианта 964</x:v>
      </x:c>
      <x:c r="U5946" s="30" t="str">
        <x:v>Расхождений нет.</x:v>
      </x:c>
      <x:c r="V5946" s="87" t="str">
        <x:v>VERIFIED</x:v>
      </x:c>
      <x:c r="W5946" s="87"/>
      <x:c r="X5946" s="87" t="n">
        <x:v>9</x:v>
      </x:c>
      <x:c r="Y5946" s="87"/>
      <x:c r="Z5946" s="87"/>
      <x:c r="AA5946" s="87"/>
      <x:c r="AB5946" s="87"/>
      <x:c r="AC5946" s="87" t="str">
        <x:v>VIS-EGKR-RUS-S26-TASK-964-P009</x:v>
      </x:c>
      <x:c r="AD5946" s="87" t="str">
        <x:v>VIS-EGKR-RUS-S26-ANSWERDOC-P005</x:v>
      </x:c>
      <x:c r="AE5946" s="87" t="str">
        <x:v>TASK; SECONDARY_ANSWER_SOURCE</x:v>
      </x:c>
      <x:c r="AF5946" s="87" t="str">
        <x:v>VIS-EGKR-RUS-S26-TASK-964-P009: 9; VIS-EGKR-RUS-S26-ANSWERDOC-P005: 5</x:v>
      </x:c>
      <x:c r="AG5946" s="87" t="str">
        <x:v>RESOLVED</x:v>
      </x:c>
      <x:c r="AH5946" s="87" t="str">
        <x:v>CROP_VERIFIED</x:v>
      </x:c>
      <x:c r="AI5946" s="30"/>
      <x:c r="AJ5946" s="87" t="str">
        <x:v>clean</x:v>
      </x:c>
      <x:c r="AK5946" s="87" t="str">
        <x:v>clean-v0.18</x:v>
      </x:c>
      <x:c r="AL5946" s="87" t="str">
        <x:v>statgrad_clean_continuation_v0_18(1).xlsx</x:v>
      </x:c>
      <x:c r="AM5946" s="87" t="str">
        <x:v>RUS_EGKR_964</x:v>
      </x:c>
      <x:c r="AN5946" s="87" t="n">
        <x:v>20</x:v>
      </x:c>
    </x:row>
    <x:row r="5947">
      <x:c r="A5947" s="87" t="n">
        <x:v>5946</x:v>
      </x:c>
      <x:c r="B5947" s="87" t="str">
        <x:v>EGKR-S26-RUS-964-20</x:v>
      </x:c>
      <x:c r="C5947" s="87" t="str">
        <x:v>ЕГКР</x:v>
      </x:c>
      <x:c r="D5947" s="87"/>
      <x:c r="E5947" s="87" t="str">
        <x:v>Весна 2026</x:v>
      </x:c>
      <x:c r="F5947" s="87" t="str">
        <x:v>24.03.2026</x:v>
      </x:c>
      <x:c r="G5947" s="87" t="str">
        <x:v>Русский язык</x:v>
      </x:c>
      <x:c r="H5947" s="87" t="n">
        <x:v>11</x:v>
      </x:c>
      <x:c r="I5947" s="87"/>
      <x:c r="J5947" s="87" t="str">
        <x:v>964</x:v>
      </x:c>
      <x:c r="K5947" s="87" t="n">
        <x:v>20</x:v>
      </x:c>
      <x:c r="L5947" s="87" t="str">
        <x:v>Сложное предложение</x:v>
      </x:c>
      <x:c r="M5947" s="30" t="str">
        <x:v>Задание 20 варианта 964: Сложное предложение. Полная формулировка сохранена на указанной визуальной странице.</x:v>
      </x:c>
      <x:c r="N5947" s="30" t="str">
        <x:v>1234</x:v>
      </x:c>
      <x:c r="O5947" s="30" t="str">
        <x:v>Ответ зафиксирован в формате задания; полное условие и варианты ответа доступны по VIS_ID.</x:v>
      </x:c>
      <x:c r="P5947" s="30"/>
      <x:c r="Q5947" s="30" t="str">
        <x:v>Ответ совпал с исходным ответником и независимой сверкой: Insperia — разбор варианта 964.</x:v>
      </x:c>
      <x:c r="R5947" s="30" t="str">
        <x:v>1234</x:v>
      </x:c>
      <x:c r="S5947" s="30"/>
      <x:c r="T5947" s="30" t="str">
        <x:v>Insperia — разбор варианта 964</x:v>
      </x:c>
      <x:c r="U5947" s="30" t="str">
        <x:v>Расхождений нет.</x:v>
      </x:c>
      <x:c r="V5947" s="87" t="str">
        <x:v>VERIFIED</x:v>
      </x:c>
      <x:c r="W5947" s="87"/>
      <x:c r="X5947" s="87" t="n">
        <x:v>9</x:v>
      </x:c>
      <x:c r="Y5947" s="87"/>
      <x:c r="Z5947" s="87"/>
      <x:c r="AA5947" s="87"/>
      <x:c r="AB5947" s="87"/>
      <x:c r="AC5947" s="87" t="str">
        <x:v>VIS-EGKR-RUS-S26-TASK-964-P009</x:v>
      </x:c>
      <x:c r="AD5947" s="87" t="str">
        <x:v>VIS-EGKR-RUS-S26-ANSWERDOC-P005</x:v>
      </x:c>
      <x:c r="AE5947" s="87" t="str">
        <x:v>TASK; SECONDARY_ANSWER_SOURCE</x:v>
      </x:c>
      <x:c r="AF5947" s="87" t="str">
        <x:v>VIS-EGKR-RUS-S26-TASK-964-P009: 9; VIS-EGKR-RUS-S26-ANSWERDOC-P005: 5</x:v>
      </x:c>
      <x:c r="AG5947" s="87" t="str">
        <x:v>RESOLVED</x:v>
      </x:c>
      <x:c r="AH5947" s="87" t="str">
        <x:v>CROP_VERIFIED</x:v>
      </x:c>
      <x:c r="AI5947" s="30"/>
      <x:c r="AJ5947" s="87" t="str">
        <x:v>clean</x:v>
      </x:c>
      <x:c r="AK5947" s="87" t="str">
        <x:v>clean-v0.18</x:v>
      </x:c>
      <x:c r="AL5947" s="87" t="str">
        <x:v>statgrad_clean_continuation_v0_18(1).xlsx</x:v>
      </x:c>
      <x:c r="AM5947" s="87" t="str">
        <x:v>RUS_EGKR_964</x:v>
      </x:c>
      <x:c r="AN5947" s="87" t="n">
        <x:v>21</x:v>
      </x:c>
    </x:row>
    <x:row r="5948">
      <x:c r="A5948" s="87" t="n">
        <x:v>5947</x:v>
      </x:c>
      <x:c r="B5948" s="87" t="str">
        <x:v>EGKR-S26-RUS-964-21</x:v>
      </x:c>
      <x:c r="C5948" s="87" t="str">
        <x:v>ЕГКР</x:v>
      </x:c>
      <x:c r="D5948" s="87"/>
      <x:c r="E5948" s="87" t="str">
        <x:v>Весна 2026</x:v>
      </x:c>
      <x:c r="F5948" s="87" t="str">
        <x:v>24.03.2026</x:v>
      </x:c>
      <x:c r="G5948" s="87" t="str">
        <x:v>Русский язык</x:v>
      </x:c>
      <x:c r="H5948" s="87" t="n">
        <x:v>11</x:v>
      </x:c>
      <x:c r="I5948" s="87"/>
      <x:c r="J5948" s="87" t="str">
        <x:v>964</x:v>
      </x:c>
      <x:c r="K5948" s="87" t="n">
        <x:v>21</x:v>
      </x:c>
      <x:c r="L5948" s="87" t="str">
        <x:v>Пунктуационный анализ</x:v>
      </x:c>
      <x:c r="M5948" s="30" t="str">
        <x:v>Задание 21 варианта 964: Пунктуационный анализ. Полная формулировка сохранена на указанной визуальной странице.</x:v>
      </x:c>
      <x:c r="N5948" s="30" t="str">
        <x:v>58</x:v>
      </x:c>
      <x:c r="O5948" s="30" t="str">
        <x:v>Ответ зафиксирован в формате задания; полное условие и варианты ответа доступны по VIS_ID.</x:v>
      </x:c>
      <x:c r="P5948" s="30"/>
      <x:c r="Q5948" s="30" t="str">
        <x:v>Ответ совпал с исходным ответником и независимой сверкой: Insperia — разбор варианта 964.</x:v>
      </x:c>
      <x:c r="R5948" s="30" t="str">
        <x:v>58</x:v>
      </x:c>
      <x:c r="S5948" s="30"/>
      <x:c r="T5948" s="30" t="str">
        <x:v>Insperia — разбор варианта 964</x:v>
      </x:c>
      <x:c r="U5948" s="30" t="str">
        <x:v>Расхождений нет.</x:v>
      </x:c>
      <x:c r="V5948" s="87" t="str">
        <x:v>VERIFIED</x:v>
      </x:c>
      <x:c r="W5948" s="87"/>
      <x:c r="X5948" s="87" t="n">
        <x:v>9</x:v>
      </x:c>
      <x:c r="Y5948" s="87"/>
      <x:c r="Z5948" s="87"/>
      <x:c r="AA5948" s="87"/>
      <x:c r="AB5948" s="87"/>
      <x:c r="AC5948" s="87" t="str">
        <x:v>VIS-EGKR-RUS-S26-TASK-964-P009</x:v>
      </x:c>
      <x:c r="AD5948" s="87" t="str">
        <x:v>VIS-EGKR-RUS-S26-ANSWERDOC-P005</x:v>
      </x:c>
      <x:c r="AE5948" s="87" t="str">
        <x:v>TASK; SECONDARY_ANSWER_SOURCE</x:v>
      </x:c>
      <x:c r="AF5948" s="87" t="str">
        <x:v>VIS-EGKR-RUS-S26-TASK-964-P009: 9; VIS-EGKR-RUS-S26-ANSWERDOC-P005: 5</x:v>
      </x:c>
      <x:c r="AG5948" s="87" t="str">
        <x:v>RESOLVED</x:v>
      </x:c>
      <x:c r="AH5948" s="87" t="str">
        <x:v>CROP_VERIFIED</x:v>
      </x:c>
      <x:c r="AI5948" s="30"/>
      <x:c r="AJ5948" s="87" t="str">
        <x:v>clean</x:v>
      </x:c>
      <x:c r="AK5948" s="87" t="str">
        <x:v>clean-v0.18</x:v>
      </x:c>
      <x:c r="AL5948" s="87" t="str">
        <x:v>statgrad_clean_continuation_v0_18(1).xlsx</x:v>
      </x:c>
      <x:c r="AM5948" s="87" t="str">
        <x:v>RUS_EGKR_964</x:v>
      </x:c>
      <x:c r="AN5948" s="87" t="n">
        <x:v>22</x:v>
      </x:c>
    </x:row>
    <x:row r="5949">
      <x:c r="A5949" s="87" t="n">
        <x:v>5948</x:v>
      </x:c>
      <x:c r="B5949" s="87" t="str">
        <x:v>EGKR-S26-RUS-964-22</x:v>
      </x:c>
      <x:c r="C5949" s="87" t="str">
        <x:v>ЕГКР</x:v>
      </x:c>
      <x:c r="D5949" s="87"/>
      <x:c r="E5949" s="87" t="str">
        <x:v>Весна 2026</x:v>
      </x:c>
      <x:c r="F5949" s="87" t="str">
        <x:v>24.03.2026</x:v>
      </x:c>
      <x:c r="G5949" s="87" t="str">
        <x:v>Русский язык</x:v>
      </x:c>
      <x:c r="H5949" s="87" t="n">
        <x:v>11</x:v>
      </x:c>
      <x:c r="I5949" s="87"/>
      <x:c r="J5949" s="87" t="str">
        <x:v>964</x:v>
      </x:c>
      <x:c r="K5949" s="87" t="n">
        <x:v>22</x:v>
      </x:c>
      <x:c r="L5949" s="87" t="str">
        <x:v>Средства выразительности</x:v>
      </x:c>
      <x:c r="M5949" s="30" t="str">
        <x:v>Задание 22 варианта 964: Средства выразительности. Полная формулировка сохранена на указанной визуальной странице.</x:v>
      </x:c>
      <x:c r="N5949" s="30" t="str">
        <x:v>82145</x:v>
      </x:c>
      <x:c r="O5949" s="30" t="str">
        <x:v>Ответ зафиксирован в формате задания; полное условие и варианты ответа доступны по VIS_ID.</x:v>
      </x:c>
      <x:c r="P5949" s="30"/>
      <x:c r="Q5949" s="30" t="str">
        <x:v>Ответ совпал с исходным ответником и независимой сверкой: Insperia — разбор варианта 964.</x:v>
      </x:c>
      <x:c r="R5949" s="30" t="str">
        <x:v>82145</x:v>
      </x:c>
      <x:c r="S5949" s="30"/>
      <x:c r="T5949" s="30" t="str">
        <x:v>Insperia — разбор варианта 964</x:v>
      </x:c>
      <x:c r="U5949" s="30" t="str">
        <x:v>Расхождений нет.</x:v>
      </x:c>
      <x:c r="V5949" s="87" t="str">
        <x:v>VERIFIED</x:v>
      </x:c>
      <x:c r="W5949" s="87"/>
      <x:c r="X5949" s="87" t="n">
        <x:v>10</x:v>
      </x:c>
      <x:c r="Y5949" s="87"/>
      <x:c r="Z5949" s="87"/>
      <x:c r="AA5949" s="87"/>
      <x:c r="AB5949" s="87"/>
      <x:c r="AC5949" s="87" t="str">
        <x:v>VIS-EGKR-RUS-S26-TASK-964-P010</x:v>
      </x:c>
      <x:c r="AD5949" s="87" t="str">
        <x:v>VIS-EGKR-RUS-S26-ANSWERDOC-P005</x:v>
      </x:c>
      <x:c r="AE5949" s="87" t="str">
        <x:v>TASK; SECONDARY_ANSWER_SOURCE</x:v>
      </x:c>
      <x:c r="AF5949" s="87" t="str">
        <x:v>VIS-EGKR-RUS-S26-TASK-964-P010: 10; VIS-EGKR-RUS-S26-ANSWERDOC-P005: 5</x:v>
      </x:c>
      <x:c r="AG5949" s="87" t="str">
        <x:v>RESOLVED</x:v>
      </x:c>
      <x:c r="AH5949" s="87" t="str">
        <x:v>CROP_VERIFIED</x:v>
      </x:c>
      <x:c r="AI5949" s="30"/>
      <x:c r="AJ5949" s="87" t="str">
        <x:v>clean</x:v>
      </x:c>
      <x:c r="AK5949" s="87" t="str">
        <x:v>clean-v0.18</x:v>
      </x:c>
      <x:c r="AL5949" s="87" t="str">
        <x:v>statgrad_clean_continuation_v0_18(1).xlsx</x:v>
      </x:c>
      <x:c r="AM5949" s="87" t="str">
        <x:v>RUS_EGKR_964</x:v>
      </x:c>
      <x:c r="AN5949" s="87" t="n">
        <x:v>23</x:v>
      </x:c>
    </x:row>
    <x:row r="5950">
      <x:c r="A5950" s="87" t="n">
        <x:v>5949</x:v>
      </x:c>
      <x:c r="B5950" s="87" t="str">
        <x:v>EGKR-S26-RUS-964-23</x:v>
      </x:c>
      <x:c r="C5950" s="87" t="str">
        <x:v>ЕГКР</x:v>
      </x:c>
      <x:c r="D5950" s="87"/>
      <x:c r="E5950" s="87" t="str">
        <x:v>Весна 2026</x:v>
      </x:c>
      <x:c r="F5950" s="87" t="str">
        <x:v>24.03.2026</x:v>
      </x:c>
      <x:c r="G5950" s="87" t="str">
        <x:v>Русский язык</x:v>
      </x:c>
      <x:c r="H5950" s="87" t="n">
        <x:v>11</x:v>
      </x:c>
      <x:c r="I5950" s="87"/>
      <x:c r="J5950" s="87" t="str">
        <x:v>964</x:v>
      </x:c>
      <x:c r="K5950" s="87" t="n">
        <x:v>23</x:v>
      </x:c>
      <x:c r="L5950" s="87" t="str">
        <x:v>Содержание текста</x:v>
      </x:c>
      <x:c r="M5950" s="30" t="str">
        <x:v>Задание 23 варианта 964: Содержание текста. Полная формулировка сохранена на указанной визуальной странице.</x:v>
      </x:c>
      <x:c r="N5950" s="30" t="str">
        <x:v>12</x:v>
      </x:c>
      <x:c r="O5950" s="30" t="str">
        <x:v>Ответ зафиксирован в формате задания; полное условие и варианты ответа доступны по VIS_ID.</x:v>
      </x:c>
      <x:c r="P5950" s="30"/>
      <x:c r="Q5950" s="30" t="str">
        <x:v>Ответ совпал с исходным ответником и независимой сверкой: Insperia — разбор варианта 964.</x:v>
      </x:c>
      <x:c r="R5950" s="30" t="str">
        <x:v>12</x:v>
      </x:c>
      <x:c r="S5950" s="30"/>
      <x:c r="T5950" s="30" t="str">
        <x:v>Insperia — разбор варианта 964</x:v>
      </x:c>
      <x:c r="U5950" s="30" t="str">
        <x:v>Расхождений нет.</x:v>
      </x:c>
      <x:c r="V5950" s="87" t="str">
        <x:v>VERIFIED</x:v>
      </x:c>
      <x:c r="W5950" s="87"/>
      <x:c r="X5950" s="87" t="n">
        <x:v>12</x:v>
      </x:c>
      <x:c r="Y5950" s="87"/>
      <x:c r="Z5950" s="87"/>
      <x:c r="AA5950" s="87"/>
      <x:c r="AB5950" s="87"/>
      <x:c r="AC5950" s="87" t="str">
        <x:v>VIS-EGKR-RUS-S26-TASK-964-P012</x:v>
      </x:c>
      <x:c r="AD5950" s="87" t="str">
        <x:v>VIS-EGKR-RUS-S26-ANSWERDOC-P005</x:v>
      </x:c>
      <x:c r="AE5950" s="87" t="str">
        <x:v>TASK; SECONDARY_ANSWER_SOURCE</x:v>
      </x:c>
      <x:c r="AF5950" s="87" t="str">
        <x:v>VIS-EGKR-RUS-S26-TASK-964-P012: 12; VIS-EGKR-RUS-S26-ANSWERDOC-P005: 5</x:v>
      </x:c>
      <x:c r="AG5950" s="87" t="str">
        <x:v>RESOLVED</x:v>
      </x:c>
      <x:c r="AH5950" s="87" t="str">
        <x:v>CROP_VERIFIED</x:v>
      </x:c>
      <x:c r="AI5950" s="30"/>
      <x:c r="AJ5950" s="87" t="str">
        <x:v>clean</x:v>
      </x:c>
      <x:c r="AK5950" s="87" t="str">
        <x:v>clean-v0.18</x:v>
      </x:c>
      <x:c r="AL5950" s="87" t="str">
        <x:v>statgrad_clean_continuation_v0_18(1).xlsx</x:v>
      </x:c>
      <x:c r="AM5950" s="87" t="str">
        <x:v>RUS_EGKR_964</x:v>
      </x:c>
      <x:c r="AN5950" s="87" t="n">
        <x:v>24</x:v>
      </x:c>
    </x:row>
    <x:row r="5951">
      <x:c r="A5951" s="87" t="n">
        <x:v>5950</x:v>
      </x:c>
      <x:c r="B5951" s="87" t="str">
        <x:v>EGKR-S26-RUS-964-24</x:v>
      </x:c>
      <x:c r="C5951" s="87" t="str">
        <x:v>ЕГКР</x:v>
      </x:c>
      <x:c r="D5951" s="87"/>
      <x:c r="E5951" s="87" t="str">
        <x:v>Весна 2026</x:v>
      </x:c>
      <x:c r="F5951" s="87" t="str">
        <x:v>24.03.2026</x:v>
      </x:c>
      <x:c r="G5951" s="87" t="str">
        <x:v>Русский язык</x:v>
      </x:c>
      <x:c r="H5951" s="87" t="n">
        <x:v>11</x:v>
      </x:c>
      <x:c r="I5951" s="87"/>
      <x:c r="J5951" s="87" t="str">
        <x:v>964</x:v>
      </x:c>
      <x:c r="K5951" s="87" t="n">
        <x:v>24</x:v>
      </x:c>
      <x:c r="L5951" s="87" t="str">
        <x:v>Типы речи и логика текста</x:v>
      </x:c>
      <x:c r="M5951" s="30" t="str">
        <x:v>Задание 24 варианта 964: Типы речи и логика текста. Полная формулировка сохранена на указанной визуальной странице.</x:v>
      </x:c>
      <x:c r="N5951" s="30" t="str">
        <x:v>134</x:v>
      </x:c>
      <x:c r="O5951" s="30" t="str">
        <x:v>Ответ зафиксирован в формате задания; полное условие и варианты ответа доступны по VIS_ID.</x:v>
      </x:c>
      <x:c r="P5951" s="30"/>
      <x:c r="Q5951" s="30" t="str">
        <x:v>Ответ совпал с исходным ответником и независимой сверкой: Insperia — разбор варианта 964.</x:v>
      </x:c>
      <x:c r="R5951" s="30" t="str">
        <x:v>134</x:v>
      </x:c>
      <x:c r="S5951" s="30"/>
      <x:c r="T5951" s="30" t="str">
        <x:v>Insperia — разбор варианта 964</x:v>
      </x:c>
      <x:c r="U5951" s="30" t="str">
        <x:v>Расхождений нет.</x:v>
      </x:c>
      <x:c r="V5951" s="87" t="str">
        <x:v>VERIFIED</x:v>
      </x:c>
      <x:c r="W5951" s="87"/>
      <x:c r="X5951" s="87" t="n">
        <x:v>12</x:v>
      </x:c>
      <x:c r="Y5951" s="87"/>
      <x:c r="Z5951" s="87"/>
      <x:c r="AA5951" s="87"/>
      <x:c r="AB5951" s="87"/>
      <x:c r="AC5951" s="87" t="str">
        <x:v>VIS-EGKR-RUS-S26-TASK-964-P012</x:v>
      </x:c>
      <x:c r="AD5951" s="87" t="str">
        <x:v>VIS-EGKR-RUS-S26-ANSWERDOC-P005</x:v>
      </x:c>
      <x:c r="AE5951" s="87" t="str">
        <x:v>TASK; SECONDARY_ANSWER_SOURCE</x:v>
      </x:c>
      <x:c r="AF5951" s="87" t="str">
        <x:v>VIS-EGKR-RUS-S26-TASK-964-P012: 12; VIS-EGKR-RUS-S26-ANSWERDOC-P005: 5</x:v>
      </x:c>
      <x:c r="AG5951" s="87" t="str">
        <x:v>RESOLVED</x:v>
      </x:c>
      <x:c r="AH5951" s="87" t="str">
        <x:v>CROP_VERIFIED</x:v>
      </x:c>
      <x:c r="AI5951" s="30"/>
      <x:c r="AJ5951" s="87" t="str">
        <x:v>clean</x:v>
      </x:c>
      <x:c r="AK5951" s="87" t="str">
        <x:v>clean-v0.18</x:v>
      </x:c>
      <x:c r="AL5951" s="87" t="str">
        <x:v>statgrad_clean_continuation_v0_18(1).xlsx</x:v>
      </x:c>
      <x:c r="AM5951" s="87" t="str">
        <x:v>RUS_EGKR_964</x:v>
      </x:c>
      <x:c r="AN5951" s="87" t="n">
        <x:v>25</x:v>
      </x:c>
    </x:row>
    <x:row r="5952">
      <x:c r="A5952" s="87" t="n">
        <x:v>5951</x:v>
      </x:c>
      <x:c r="B5952" s="87" t="str">
        <x:v>EGKR-S26-RUS-964-25</x:v>
      </x:c>
      <x:c r="C5952" s="87" t="str">
        <x:v>ЕГКР</x:v>
      </x:c>
      <x:c r="D5952" s="87"/>
      <x:c r="E5952" s="87" t="str">
        <x:v>Весна 2026</x:v>
      </x:c>
      <x:c r="F5952" s="87" t="str">
        <x:v>24.03.2026</x:v>
      </x:c>
      <x:c r="G5952" s="87" t="str">
        <x:v>Русский язык</x:v>
      </x:c>
      <x:c r="H5952" s="87" t="n">
        <x:v>11</x:v>
      </x:c>
      <x:c r="I5952" s="87"/>
      <x:c r="J5952" s="87" t="str">
        <x:v>964</x:v>
      </x:c>
      <x:c r="K5952" s="87" t="n">
        <x:v>25</x:v>
      </x:c>
      <x:c r="L5952" s="87" t="str">
        <x:v>Лексический анализ</x:v>
      </x:c>
      <x:c r="M5952" s="30" t="str">
        <x:v>Задание 25 варианта 964: Лексический анализ. Полная формулировка сохранена на указанной визуальной странице.</x:v>
      </x:c>
      <x:c r="N5952" s="30" t="str">
        <x:v>может быть</x:v>
      </x:c>
      <x:c r="O5952" s="30" t="str">
        <x:v>Ответ зафиксирован в формате задания; полное условие и варианты ответа доступны по VIS_ID.</x:v>
      </x:c>
      <x:c r="P5952" s="30"/>
      <x:c r="Q5952" s="30" t="str">
        <x:v>Ответ совпал с исходным ответником и независимой сверкой: Insperia — разбор варианта 964.</x:v>
      </x:c>
      <x:c r="R5952" s="30" t="str">
        <x:v>может быть</x:v>
      </x:c>
      <x:c r="S5952" s="30"/>
      <x:c r="T5952" s="30" t="str">
        <x:v>Insperia — разбор варианта 964</x:v>
      </x:c>
      <x:c r="U5952" s="30" t="str">
        <x:v>Расхождений нет.</x:v>
      </x:c>
      <x:c r="V5952" s="87" t="str">
        <x:v>VERIFIED</x:v>
      </x:c>
      <x:c r="W5952" s="87"/>
      <x:c r="X5952" s="87" t="n">
        <x:v>12</x:v>
      </x:c>
      <x:c r="Y5952" s="87"/>
      <x:c r="Z5952" s="87"/>
      <x:c r="AA5952" s="87"/>
      <x:c r="AB5952" s="87"/>
      <x:c r="AC5952" s="87" t="str">
        <x:v>VIS-EGKR-RUS-S26-TASK-964-P012</x:v>
      </x:c>
      <x:c r="AD5952" s="87" t="str">
        <x:v>VIS-EGKR-RUS-S26-ANSWERDOC-P005</x:v>
      </x:c>
      <x:c r="AE5952" s="87" t="str">
        <x:v>TASK; SECONDARY_ANSWER_SOURCE</x:v>
      </x:c>
      <x:c r="AF5952" s="87" t="str">
        <x:v>VIS-EGKR-RUS-S26-TASK-964-P012: 12; VIS-EGKR-RUS-S26-ANSWERDOC-P005: 5</x:v>
      </x:c>
      <x:c r="AG5952" s="87" t="str">
        <x:v>RESOLVED</x:v>
      </x:c>
      <x:c r="AH5952" s="87" t="str">
        <x:v>CROP_VERIFIED</x:v>
      </x:c>
      <x:c r="AI5952" s="30"/>
      <x:c r="AJ5952" s="87" t="str">
        <x:v>clean</x:v>
      </x:c>
      <x:c r="AK5952" s="87" t="str">
        <x:v>clean-v0.18</x:v>
      </x:c>
      <x:c r="AL5952" s="87" t="str">
        <x:v>statgrad_clean_continuation_v0_18(1).xlsx</x:v>
      </x:c>
      <x:c r="AM5952" s="87" t="str">
        <x:v>RUS_EGKR_964</x:v>
      </x:c>
      <x:c r="AN5952" s="87" t="n">
        <x:v>26</x:v>
      </x:c>
    </x:row>
    <x:row r="5953">
      <x:c r="A5953" s="87" t="n">
        <x:v>5952</x:v>
      </x:c>
      <x:c r="B5953" s="87" t="str">
        <x:v>EGKR-S26-RUS-964-26</x:v>
      </x:c>
      <x:c r="C5953" s="87" t="str">
        <x:v>ЕГКР</x:v>
      </x:c>
      <x:c r="D5953" s="87"/>
      <x:c r="E5953" s="87" t="str">
        <x:v>Весна 2026</x:v>
      </x:c>
      <x:c r="F5953" s="87" t="str">
        <x:v>24.03.2026</x:v>
      </x:c>
      <x:c r="G5953" s="87" t="str">
        <x:v>Русский язык</x:v>
      </x:c>
      <x:c r="H5953" s="87" t="n">
        <x:v>11</x:v>
      </x:c>
      <x:c r="I5953" s="87"/>
      <x:c r="J5953" s="87" t="str">
        <x:v>964</x:v>
      </x:c>
      <x:c r="K5953" s="87" t="n">
        <x:v>26</x:v>
      </x:c>
      <x:c r="L5953" s="87" t="str">
        <x:v>Связь предложений</x:v>
      </x:c>
      <x:c r="M5953" s="30" t="str">
        <x:v>Задание 26 варианта 964: Связь предложений. Полная формулировка сохранена на указанной визуальной странице.</x:v>
      </x:c>
      <x:c r="N5953" s="30" t="str">
        <x:v>37</x:v>
      </x:c>
      <x:c r="O5953" s="30" t="str">
        <x:v>Ответ зафиксирован в формате задания; полное условие и варианты ответа доступны по VIS_ID.</x:v>
      </x:c>
      <x:c r="P5953" s="30"/>
      <x:c r="Q5953" s="30" t="str">
        <x:v>Ответ совпал с исходным ответником и независимой сверкой: Insperia — разбор варианта 964.</x:v>
      </x:c>
      <x:c r="R5953" s="30" t="str">
        <x:v>37</x:v>
      </x:c>
      <x:c r="S5953" s="30"/>
      <x:c r="T5953" s="30" t="str">
        <x:v>Insperia — разбор варианта 964</x:v>
      </x:c>
      <x:c r="U5953" s="30" t="str">
        <x:v>Расхождений нет.</x:v>
      </x:c>
      <x:c r="V5953" s="87" t="str">
        <x:v>VERIFIED</x:v>
      </x:c>
      <x:c r="W5953" s="87"/>
      <x:c r="X5953" s="87" t="n">
        <x:v>12</x:v>
      </x:c>
      <x:c r="Y5953" s="87"/>
      <x:c r="Z5953" s="87"/>
      <x:c r="AA5953" s="87"/>
      <x:c r="AB5953" s="87"/>
      <x:c r="AC5953" s="87" t="str">
        <x:v>VIS-EGKR-RUS-S26-TASK-964-P012</x:v>
      </x:c>
      <x:c r="AD5953" s="87" t="str">
        <x:v>VIS-EGKR-RUS-S26-ANSWERDOC-P005</x:v>
      </x:c>
      <x:c r="AE5953" s="87" t="str">
        <x:v>TASK; SECONDARY_ANSWER_SOURCE</x:v>
      </x:c>
      <x:c r="AF5953" s="87" t="str">
        <x:v>VIS-EGKR-RUS-S26-TASK-964-P012: 12; VIS-EGKR-RUS-S26-ANSWERDOC-P005: 5</x:v>
      </x:c>
      <x:c r="AG5953" s="87" t="str">
        <x:v>RESOLVED</x:v>
      </x:c>
      <x:c r="AH5953" s="87" t="str">
        <x:v>CROP_VERIFIED</x:v>
      </x:c>
      <x:c r="AI5953" s="30"/>
      <x:c r="AJ5953" s="87" t="str">
        <x:v>clean</x:v>
      </x:c>
      <x:c r="AK5953" s="87" t="str">
        <x:v>clean-v0.18</x:v>
      </x:c>
      <x:c r="AL5953" s="87" t="str">
        <x:v>statgrad_clean_continuation_v0_18(1).xlsx</x:v>
      </x:c>
      <x:c r="AM5953" s="87" t="str">
        <x:v>RUS_EGKR_964</x:v>
      </x:c>
      <x:c r="AN5953" s="87" t="n">
        <x:v>27</x:v>
      </x:c>
    </x:row>
    <x:row r="5954">
      <x:c r="A5954" s="87" t="n">
        <x:v>5953</x:v>
      </x:c>
      <x:c r="B5954" s="87" t="str">
        <x:v>EGKR-S26-RUS-964-27</x:v>
      </x:c>
      <x:c r="C5954" s="87" t="str">
        <x:v>ЕГКР</x:v>
      </x:c>
      <x:c r="D5954" s="87"/>
      <x:c r="E5954" s="87" t="str">
        <x:v>Весна 2026</x:v>
      </x:c>
      <x:c r="F5954" s="87" t="str">
        <x:v>24.03.2026</x:v>
      </x:c>
      <x:c r="G5954" s="87" t="str">
        <x:v>Русский язык</x:v>
      </x:c>
      <x:c r="H5954" s="87" t="n">
        <x:v>11</x:v>
      </x:c>
      <x:c r="I5954" s="87"/>
      <x:c r="J5954" s="87" t="str">
        <x:v>964</x:v>
      </x:c>
      <x:c r="K5954" s="87" t="n">
        <x:v>27</x:v>
      </x:c>
      <x:c r="L5954" s="87" t="str">
        <x:v>Сочинение</x:v>
      </x:c>
      <x:c r="M5954" s="30" t="str">
        <x:v>В чём проявляется чудо и бессмертие настоящей любви?</x:v>
      </x:c>
      <x:c r="N5954" s="30" t="str">
        <x:v>Настоящая любовь соединяет людей, несмотря на возраст, положение и испытания. Она сохраняется во времени, потому что основана не на выгоде, а на глубоком признании другого человека. Такая любовь наполняет жизнь смыслом и продолжает действовать в памяти и поступках.</x:v>
      </x:c>
      <x:c r="O5954" s="30" t="str">
        <x:v>Рабочая модель формулирует проблему, позицию автора и направление аргументации.</x:v>
      </x:c>
      <x:c r="P5954" s="30"/>
      <x:c r="Q5954" s="30" t="str">
        <x:v>Модель подготовлена по тексту варианта и требованиям задания 27.</x:v>
      </x:c>
      <x:c r="R5954" s="30" t="str">
        <x:v>MODEL_NOT_STANDARDIZED</x:v>
      </x:c>
      <x:c r="S5954" s="30"/>
      <x:c r="T5954" s="30" t="str">
        <x:v>Insperia — разбор варианта 964</x:v>
      </x:c>
      <x:c r="U5954" s="30" t="str">
        <x:v>Модель не является единственно возможным сочинением.</x:v>
      </x:c>
      <x:c r="V5954" s="87" t="str">
        <x:v>MODEL_READY</x:v>
      </x:c>
      <x:c r="W5954" s="87"/>
      <x:c r="X5954" s="87" t="n">
        <x:v>13</x:v>
      </x:c>
      <x:c r="Y5954" s="87"/>
      <x:c r="Z5954" s="87"/>
      <x:c r="AA5954" s="87"/>
      <x:c r="AB5954" s="87"/>
      <x:c r="AC5954" s="87" t="str">
        <x:v>VIS-EGKR-RUS-S26-TASK-964-P013</x:v>
      </x:c>
      <x:c r="AD5954" s="87" t="str">
        <x:v>VIS-EGKR-RUS-S26-COMPLETE-964-P001</x:v>
      </x:c>
      <x:c r="AE5954" s="87" t="str">
        <x:v>TASK; COMPLETION_SOURCE</x:v>
      </x:c>
      <x:c r="AF5954" s="87" t="str">
        <x:v>VIS-EGKR-RUS-S26-TASK-964-P013: 13; VIS-EGKR-RUS-S26-COMPLETE-964-P001: 1</x:v>
      </x:c>
      <x:c r="AG5954" s="87" t="str">
        <x:v>RESOLVED</x:v>
      </x:c>
      <x:c r="AH5954" s="87" t="str">
        <x:v>CROP_VERIFIED</x:v>
      </x:c>
      <x:c r="AI5954" s="30"/>
      <x:c r="AJ5954" s="87" t="str">
        <x:v>clean</x:v>
      </x:c>
      <x:c r="AK5954" s="87" t="str">
        <x:v>clean-v0.18</x:v>
      </x:c>
      <x:c r="AL5954" s="87" t="str">
        <x:v>statgrad_clean_continuation_v0_18(1).xlsx</x:v>
      </x:c>
      <x:c r="AM5954" s="87" t="str">
        <x:v>RUS_EGKR_964</x:v>
      </x:c>
      <x:c r="AN5954" s="87" t="n">
        <x:v>28</x:v>
      </x:c>
    </x:row>
    <x:row r="5955">
      <x:c r="A5955" s="87" t="n">
        <x:v>5954</x:v>
      </x:c>
      <x:c r="B5955" s="87" t="str">
        <x:v>EGKR-S26-RUS-965-01</x:v>
      </x:c>
      <x:c r="C5955" s="87" t="str">
        <x:v>ЕГКР</x:v>
      </x:c>
      <x:c r="D5955" s="87"/>
      <x:c r="E5955" s="87" t="str">
        <x:v>Весна 2026</x:v>
      </x:c>
      <x:c r="F5955" s="87" t="str">
        <x:v>24.03.2026</x:v>
      </x:c>
      <x:c r="G5955" s="87" t="str">
        <x:v>Русский язык</x:v>
      </x:c>
      <x:c r="H5955" s="87" t="n">
        <x:v>11</x:v>
      </x:c>
      <x:c r="I5955" s="87"/>
      <x:c r="J5955" s="87" t="str">
        <x:v>965</x:v>
      </x:c>
      <x:c r="K5955" s="87" t="n">
        <x:v>1</x:v>
      </x:c>
      <x:c r="L5955" s="87" t="str">
        <x:v>Средство связи</x:v>
      </x:c>
      <x:c r="M5955" s="30" t="str">
        <x:v>Задание 1 варианта 965: Средство связи. Полная формулировка сохранена на указанной визуальной странице.</x:v>
      </x:c>
      <x:c r="N5955" s="30" t="str">
        <x:v>в зависимости от</x:v>
      </x:c>
      <x:c r="O5955" s="30" t="str">
        <x:v>Ответ зафиксирован в формате задания; полное условие и варианты ответа доступны по VIS_ID.</x:v>
      </x:c>
      <x:c r="P5955" s="30"/>
      <x:c r="Q5955" s="30" t="str">
        <x:v>Сохранено по единственному внутреннему ответнику; выполнена точечная проверка формата и отдельных позиций.</x:v>
      </x:c>
      <x:c r="R5955" s="30" t="str">
        <x:v>в зависимости от</x:v>
      </x:c>
      <x:c r="S5955" s="30"/>
      <x:c r="T5955" s="30" t="str">
        <x:v>Внутренний ответник и точечная проверка</x:v>
      </x:c>
      <x:c r="U5955" s="30" t="str">
        <x:v>Независимый полный разбор для варианта 965 в комплекте отсутствует.</x:v>
      </x:c>
      <x:c r="V5955" s="87" t="str">
        <x:v>SOURCE_ONLY</x:v>
      </x:c>
      <x:c r="W5955" s="87"/>
      <x:c r="X5955" s="87" t="n">
        <x:v>3</x:v>
      </x:c>
      <x:c r="Y5955" s="87"/>
      <x:c r="Z5955" s="87"/>
      <x:c r="AA5955" s="87"/>
      <x:c r="AB5955" s="87"/>
      <x:c r="AC5955" s="87" t="str">
        <x:v>VIS-EGKR-RUS-S26-TASK-965-P003</x:v>
      </x:c>
      <x:c r="AD5955" s="87" t="str">
        <x:v>VIS-EGKR-RUS-S26-ANSWERDOC-P006</x:v>
      </x:c>
      <x:c r="AE5955" s="87" t="str">
        <x:v>TASK; SECONDARY_ANSWER_SOURCE</x:v>
      </x:c>
      <x:c r="AF5955" s="87" t="str">
        <x:v>VIS-EGKR-RUS-S26-TASK-965-P003: 3; VIS-EGKR-RUS-S26-ANSWERDOC-P006: 6</x:v>
      </x:c>
      <x:c r="AG5955" s="87" t="str">
        <x:v>RESOLVED</x:v>
      </x:c>
      <x:c r="AH5955" s="87" t="str">
        <x:v>CROP_VERIFIED</x:v>
      </x:c>
      <x:c r="AI5955" s="30"/>
      <x:c r="AJ5955" s="87" t="str">
        <x:v>clean</x:v>
      </x:c>
      <x:c r="AK5955" s="87" t="str">
        <x:v>clean-v0.18</x:v>
      </x:c>
      <x:c r="AL5955" s="87" t="str">
        <x:v>statgrad_clean_continuation_v0_18(1).xlsx</x:v>
      </x:c>
      <x:c r="AM5955" s="87" t="str">
        <x:v>RUS_EGKR_965</x:v>
      </x:c>
      <x:c r="AN5955" s="87" t="n">
        <x:v>2</x:v>
      </x:c>
    </x:row>
    <x:row r="5956">
      <x:c r="A5956" s="87" t="n">
        <x:v>5955</x:v>
      </x:c>
      <x:c r="B5956" s="87" t="str">
        <x:v>EGKR-S26-RUS-965-02</x:v>
      </x:c>
      <x:c r="C5956" s="87" t="str">
        <x:v>ЕГКР</x:v>
      </x:c>
      <x:c r="D5956" s="87"/>
      <x:c r="E5956" s="87" t="str">
        <x:v>Весна 2026</x:v>
      </x:c>
      <x:c r="F5956" s="87" t="str">
        <x:v>24.03.2026</x:v>
      </x:c>
      <x:c r="G5956" s="87" t="str">
        <x:v>Русский язык</x:v>
      </x:c>
      <x:c r="H5956" s="87" t="n">
        <x:v>11</x:v>
      </x:c>
      <x:c r="I5956" s="87"/>
      <x:c r="J5956" s="87" t="str">
        <x:v>965</x:v>
      </x:c>
      <x:c r="K5956" s="87" t="n">
        <x:v>2</x:v>
      </x:c>
      <x:c r="L5956" s="87" t="str">
        <x:v>Лексическое значение</x:v>
      </x:c>
      <x:c r="M5956" s="30" t="str">
        <x:v>Задание 2 варианта 965: Лексическое значение. Полная формулировка сохранена на указанной визуальной странице.</x:v>
      </x:c>
      <x:c r="N5956" s="30" t="str">
        <x:v>25</x:v>
      </x:c>
      <x:c r="O5956" s="30" t="str">
        <x:v>Ответ зафиксирован в формате задания; полное условие и варианты ответа доступны по VIS_ID.</x:v>
      </x:c>
      <x:c r="P5956" s="30"/>
      <x:c r="Q5956" s="30" t="str">
        <x:v>Сохранено по единственному внутреннему ответнику; выполнена точечная проверка формата и отдельных позиций.</x:v>
      </x:c>
      <x:c r="R5956" s="30" t="str">
        <x:v>25</x:v>
      </x:c>
      <x:c r="S5956" s="30"/>
      <x:c r="T5956" s="30" t="str">
        <x:v>Внутренний ответник и точечная проверка</x:v>
      </x:c>
      <x:c r="U5956" s="30" t="str">
        <x:v>Независимый полный разбор для варианта 965 в комплекте отсутствует.</x:v>
      </x:c>
      <x:c r="V5956" s="87" t="str">
        <x:v>SOURCE_ONLY</x:v>
      </x:c>
      <x:c r="W5956" s="87"/>
      <x:c r="X5956" s="87" t="n">
        <x:v>3</x:v>
      </x:c>
      <x:c r="Y5956" s="87"/>
      <x:c r="Z5956" s="87"/>
      <x:c r="AA5956" s="87"/>
      <x:c r="AB5956" s="87"/>
      <x:c r="AC5956" s="87" t="str">
        <x:v>VIS-EGKR-RUS-S26-TASK-965-P003</x:v>
      </x:c>
      <x:c r="AD5956" s="87" t="str">
        <x:v>VIS-EGKR-RUS-S26-ANSWERDOC-P006</x:v>
      </x:c>
      <x:c r="AE5956" s="87" t="str">
        <x:v>TASK; SECONDARY_ANSWER_SOURCE</x:v>
      </x:c>
      <x:c r="AF5956" s="87" t="str">
        <x:v>VIS-EGKR-RUS-S26-TASK-965-P003: 3; VIS-EGKR-RUS-S26-ANSWERDOC-P006: 6</x:v>
      </x:c>
      <x:c r="AG5956" s="87" t="str">
        <x:v>RESOLVED</x:v>
      </x:c>
      <x:c r="AH5956" s="87" t="str">
        <x:v>CROP_VERIFIED</x:v>
      </x:c>
      <x:c r="AI5956" s="30"/>
      <x:c r="AJ5956" s="87" t="str">
        <x:v>clean</x:v>
      </x:c>
      <x:c r="AK5956" s="87" t="str">
        <x:v>clean-v0.18</x:v>
      </x:c>
      <x:c r="AL5956" s="87" t="str">
        <x:v>statgrad_clean_continuation_v0_18(1).xlsx</x:v>
      </x:c>
      <x:c r="AM5956" s="87" t="str">
        <x:v>RUS_EGKR_965</x:v>
      </x:c>
      <x:c r="AN5956" s="87" t="n">
        <x:v>3</x:v>
      </x:c>
    </x:row>
    <x:row r="5957">
      <x:c r="A5957" s="87" t="n">
        <x:v>5956</x:v>
      </x:c>
      <x:c r="B5957" s="87" t="str">
        <x:v>EGKR-S26-RUS-965-03</x:v>
      </x:c>
      <x:c r="C5957" s="87" t="str">
        <x:v>ЕГКР</x:v>
      </x:c>
      <x:c r="D5957" s="87"/>
      <x:c r="E5957" s="87" t="str">
        <x:v>Весна 2026</x:v>
      </x:c>
      <x:c r="F5957" s="87" t="str">
        <x:v>24.03.2026</x:v>
      </x:c>
      <x:c r="G5957" s="87" t="str">
        <x:v>Русский язык</x:v>
      </x:c>
      <x:c r="H5957" s="87" t="n">
        <x:v>11</x:v>
      </x:c>
      <x:c r="I5957" s="87"/>
      <x:c r="J5957" s="87" t="str">
        <x:v>965</x:v>
      </x:c>
      <x:c r="K5957" s="87" t="n">
        <x:v>3</x:v>
      </x:c>
      <x:c r="L5957" s="87" t="str">
        <x:v>Характеристики текста</x:v>
      </x:c>
      <x:c r="M5957" s="30" t="str">
        <x:v>Задание 3 варианта 965: Характеристики текста. Полная формулировка сохранена на указанной визуальной странице.</x:v>
      </x:c>
      <x:c r="N5957" s="30" t="str">
        <x:v>123</x:v>
      </x:c>
      <x:c r="O5957" s="30" t="str">
        <x:v>Ответ зафиксирован в формате задания; полное условие и варианты ответа доступны по VIS_ID.</x:v>
      </x:c>
      <x:c r="P5957" s="30"/>
      <x:c r="Q5957" s="30" t="str">
        <x:v>Сохранено по единственному внутреннему ответнику; выполнена точечная проверка формата и отдельных позиций.</x:v>
      </x:c>
      <x:c r="R5957" s="30" t="str">
        <x:v>123</x:v>
      </x:c>
      <x:c r="S5957" s="30"/>
      <x:c r="T5957" s="30" t="str">
        <x:v>Внутренний ответник и точечная проверка</x:v>
      </x:c>
      <x:c r="U5957" s="30" t="str">
        <x:v>Независимый полный разбор для варианта 965 в комплекте отсутствует.</x:v>
      </x:c>
      <x:c r="V5957" s="87" t="str">
        <x:v>SOURCE_ONLY</x:v>
      </x:c>
      <x:c r="W5957" s="87"/>
      <x:c r="X5957" s="87" t="n">
        <x:v>3</x:v>
      </x:c>
      <x:c r="Y5957" s="87"/>
      <x:c r="Z5957" s="87"/>
      <x:c r="AA5957" s="87"/>
      <x:c r="AB5957" s="87"/>
      <x:c r="AC5957" s="87" t="str">
        <x:v>VIS-EGKR-RUS-S26-TASK-965-P003</x:v>
      </x:c>
      <x:c r="AD5957" s="87" t="str">
        <x:v>VIS-EGKR-RUS-S26-ANSWERDOC-P006</x:v>
      </x:c>
      <x:c r="AE5957" s="87" t="str">
        <x:v>TASK; SECONDARY_ANSWER_SOURCE</x:v>
      </x:c>
      <x:c r="AF5957" s="87" t="str">
        <x:v>VIS-EGKR-RUS-S26-TASK-965-P003: 3; VIS-EGKR-RUS-S26-ANSWERDOC-P006: 6</x:v>
      </x:c>
      <x:c r="AG5957" s="87" t="str">
        <x:v>RESOLVED</x:v>
      </x:c>
      <x:c r="AH5957" s="87" t="str">
        <x:v>CROP_VERIFIED</x:v>
      </x:c>
      <x:c r="AI5957" s="30"/>
      <x:c r="AJ5957" s="87" t="str">
        <x:v>clean</x:v>
      </x:c>
      <x:c r="AK5957" s="87" t="str">
        <x:v>clean-v0.18</x:v>
      </x:c>
      <x:c r="AL5957" s="87" t="str">
        <x:v>statgrad_clean_continuation_v0_18(1).xlsx</x:v>
      </x:c>
      <x:c r="AM5957" s="87" t="str">
        <x:v>RUS_EGKR_965</x:v>
      </x:c>
      <x:c r="AN5957" s="87" t="n">
        <x:v>4</x:v>
      </x:c>
    </x:row>
    <x:row r="5958">
      <x:c r="A5958" s="87" t="n">
        <x:v>5957</x:v>
      </x:c>
      <x:c r="B5958" s="87" t="str">
        <x:v>EGKR-S26-RUS-965-04</x:v>
      </x:c>
      <x:c r="C5958" s="87" t="str">
        <x:v>ЕГКР</x:v>
      </x:c>
      <x:c r="D5958" s="87"/>
      <x:c r="E5958" s="87" t="str">
        <x:v>Весна 2026</x:v>
      </x:c>
      <x:c r="F5958" s="87" t="str">
        <x:v>24.03.2026</x:v>
      </x:c>
      <x:c r="G5958" s="87" t="str">
        <x:v>Русский язык</x:v>
      </x:c>
      <x:c r="H5958" s="87" t="n">
        <x:v>11</x:v>
      </x:c>
      <x:c r="I5958" s="87"/>
      <x:c r="J5958" s="87" t="str">
        <x:v>965</x:v>
      </x:c>
      <x:c r="K5958" s="87" t="n">
        <x:v>4</x:v>
      </x:c>
      <x:c r="L5958" s="87" t="str">
        <x:v>Орфоэпическая норма</x:v>
      </x:c>
      <x:c r="M5958" s="30" t="str">
        <x:v>Задание 4 варианта 965: Орфоэпическая норма. Полная формулировка сохранена на указанной визуальной странице.</x:v>
      </x:c>
      <x:c r="N5958" s="30" t="str">
        <x:v>345</x:v>
      </x:c>
      <x:c r="O5958" s="30" t="str">
        <x:v>Ответ зафиксирован в формате задания; полное условие и варианты ответа доступны по VIS_ID.</x:v>
      </x:c>
      <x:c r="P5958" s="30"/>
      <x:c r="Q5958" s="30" t="str">
        <x:v>Сохранено по единственному внутреннему ответнику; выполнена точечная проверка формата и отдельных позиций.</x:v>
      </x:c>
      <x:c r="R5958" s="30" t="str">
        <x:v>345</x:v>
      </x:c>
      <x:c r="S5958" s="30"/>
      <x:c r="T5958" s="30" t="str">
        <x:v>Внутренний ответник и точечная проверка</x:v>
      </x:c>
      <x:c r="U5958" s="30" t="str">
        <x:v>Независимый полный разбор для варианта 965 в комплекте отсутствует.</x:v>
      </x:c>
      <x:c r="V5958" s="87" t="str">
        <x:v>SOURCE_ONLY</x:v>
      </x:c>
      <x:c r="W5958" s="87"/>
      <x:c r="X5958" s="87" t="n">
        <x:v>4</x:v>
      </x:c>
      <x:c r="Y5958" s="87"/>
      <x:c r="Z5958" s="87"/>
      <x:c r="AA5958" s="87"/>
      <x:c r="AB5958" s="87"/>
      <x:c r="AC5958" s="87" t="str">
        <x:v>VIS-EGKR-RUS-S26-TASK-965-P004</x:v>
      </x:c>
      <x:c r="AD5958" s="87" t="str">
        <x:v>VIS-EGKR-RUS-S26-ANSWERDOC-P006</x:v>
      </x:c>
      <x:c r="AE5958" s="87" t="str">
        <x:v>TASK; SECONDARY_ANSWER_SOURCE</x:v>
      </x:c>
      <x:c r="AF5958" s="87" t="str">
        <x:v>VIS-EGKR-RUS-S26-TASK-965-P004: 4; VIS-EGKR-RUS-S26-ANSWERDOC-P006: 6</x:v>
      </x:c>
      <x:c r="AG5958" s="87" t="str">
        <x:v>RESOLVED</x:v>
      </x:c>
      <x:c r="AH5958" s="87" t="str">
        <x:v>CROP_VERIFIED</x:v>
      </x:c>
      <x:c r="AI5958" s="30"/>
      <x:c r="AJ5958" s="87" t="str">
        <x:v>clean</x:v>
      </x:c>
      <x:c r="AK5958" s="87" t="str">
        <x:v>clean-v0.18</x:v>
      </x:c>
      <x:c r="AL5958" s="87" t="str">
        <x:v>statgrad_clean_continuation_v0_18(1).xlsx</x:v>
      </x:c>
      <x:c r="AM5958" s="87" t="str">
        <x:v>RUS_EGKR_965</x:v>
      </x:c>
      <x:c r="AN5958" s="87" t="n">
        <x:v>5</x:v>
      </x:c>
    </x:row>
    <x:row r="5959">
      <x:c r="A5959" s="87" t="n">
        <x:v>5958</x:v>
      </x:c>
      <x:c r="B5959" s="87" t="str">
        <x:v>EGKR-S26-RUS-965-05</x:v>
      </x:c>
      <x:c r="C5959" s="87" t="str">
        <x:v>ЕГКР</x:v>
      </x:c>
      <x:c r="D5959" s="87"/>
      <x:c r="E5959" s="87" t="str">
        <x:v>Весна 2026</x:v>
      </x:c>
      <x:c r="F5959" s="87" t="str">
        <x:v>24.03.2026</x:v>
      </x:c>
      <x:c r="G5959" s="87" t="str">
        <x:v>Русский язык</x:v>
      </x:c>
      <x:c r="H5959" s="87" t="n">
        <x:v>11</x:v>
      </x:c>
      <x:c r="I5959" s="87"/>
      <x:c r="J5959" s="87" t="str">
        <x:v>965</x:v>
      </x:c>
      <x:c r="K5959" s="87" t="n">
        <x:v>5</x:v>
      </x:c>
      <x:c r="L5959" s="87" t="str">
        <x:v>Паронимы</x:v>
      </x:c>
      <x:c r="M5959" s="30" t="str">
        <x:v>Задание 5 варианта 965: Паронимы. Полная формулировка сохранена на указанной визуальной странице.</x:v>
      </x:c>
      <x:c r="N5959" s="30" t="str">
        <x:v>информированность</x:v>
      </x:c>
      <x:c r="O5959" s="30" t="str">
        <x:v>Ответ зафиксирован в формате задания; полное условие и варианты ответа доступны по VIS_ID.</x:v>
      </x:c>
      <x:c r="P5959" s="30"/>
      <x:c r="Q5959" s="30" t="str">
        <x:v>Сохранено по единственному внутреннему ответнику; выполнена точечная проверка формата и отдельных позиций.</x:v>
      </x:c>
      <x:c r="R5959" s="30" t="str">
        <x:v>информированность</x:v>
      </x:c>
      <x:c r="S5959" s="30"/>
      <x:c r="T5959" s="30" t="str">
        <x:v>Внутренний ответник и точечная проверка</x:v>
      </x:c>
      <x:c r="U5959" s="30" t="str">
        <x:v>Независимый полный разбор для варианта 965 в комплекте отсутствует.</x:v>
      </x:c>
      <x:c r="V5959" s="87" t="str">
        <x:v>SOURCE_ONLY</x:v>
      </x:c>
      <x:c r="W5959" s="87"/>
      <x:c r="X5959" s="87" t="n">
        <x:v>4</x:v>
      </x:c>
      <x:c r="Y5959" s="87"/>
      <x:c r="Z5959" s="87"/>
      <x:c r="AA5959" s="87"/>
      <x:c r="AB5959" s="87"/>
      <x:c r="AC5959" s="87" t="str">
        <x:v>VIS-EGKR-RUS-S26-TASK-965-P004</x:v>
      </x:c>
      <x:c r="AD5959" s="87" t="str">
        <x:v>VIS-EGKR-RUS-S26-ANSWERDOC-P006</x:v>
      </x:c>
      <x:c r="AE5959" s="87" t="str">
        <x:v>TASK; SECONDARY_ANSWER_SOURCE</x:v>
      </x:c>
      <x:c r="AF5959" s="87" t="str">
        <x:v>VIS-EGKR-RUS-S26-TASK-965-P004: 4; VIS-EGKR-RUS-S26-ANSWERDOC-P006: 6</x:v>
      </x:c>
      <x:c r="AG5959" s="87" t="str">
        <x:v>RESOLVED</x:v>
      </x:c>
      <x:c r="AH5959" s="87" t="str">
        <x:v>CROP_VERIFIED</x:v>
      </x:c>
      <x:c r="AI5959" s="30"/>
      <x:c r="AJ5959" s="87" t="str">
        <x:v>clean</x:v>
      </x:c>
      <x:c r="AK5959" s="87" t="str">
        <x:v>clean-v0.18</x:v>
      </x:c>
      <x:c r="AL5959" s="87" t="str">
        <x:v>statgrad_clean_continuation_v0_18(1).xlsx</x:v>
      </x:c>
      <x:c r="AM5959" s="87" t="str">
        <x:v>RUS_EGKR_965</x:v>
      </x:c>
      <x:c r="AN5959" s="87" t="n">
        <x:v>6</x:v>
      </x:c>
    </x:row>
    <x:row r="5960">
      <x:c r="A5960" s="87" t="n">
        <x:v>5959</x:v>
      </x:c>
      <x:c r="B5960" s="87" t="str">
        <x:v>EGKR-S26-RUS-965-06</x:v>
      </x:c>
      <x:c r="C5960" s="87" t="str">
        <x:v>ЕГКР</x:v>
      </x:c>
      <x:c r="D5960" s="87"/>
      <x:c r="E5960" s="87" t="str">
        <x:v>Весна 2026</x:v>
      </x:c>
      <x:c r="F5960" s="87" t="str">
        <x:v>24.03.2026</x:v>
      </x:c>
      <x:c r="G5960" s="87" t="str">
        <x:v>Русский язык</x:v>
      </x:c>
      <x:c r="H5960" s="87" t="n">
        <x:v>11</x:v>
      </x:c>
      <x:c r="I5960" s="87"/>
      <x:c r="J5960" s="87" t="str">
        <x:v>965</x:v>
      </x:c>
      <x:c r="K5960" s="87" t="n">
        <x:v>6</x:v>
      </x:c>
      <x:c r="L5960" s="87" t="str">
        <x:v>Лексическая норма</x:v>
      </x:c>
      <x:c r="M5960" s="30" t="str">
        <x:v>Задание 6 варианта 965: Лексическая норма. Полная формулировка сохранена на указанной визуальной странице.</x:v>
      </x:c>
      <x:c r="N5960" s="30" t="str">
        <x:v>первой</x:v>
      </x:c>
      <x:c r="O5960" s="30" t="str">
        <x:v>Ответ зафиксирован в формате задания; полное условие и варианты ответа доступны по VIS_ID.</x:v>
      </x:c>
      <x:c r="P5960" s="30"/>
      <x:c r="Q5960" s="30" t="str">
        <x:v>Сохранено по единственному внутреннему ответнику; выполнена точечная проверка формата и отдельных позиций.</x:v>
      </x:c>
      <x:c r="R5960" s="30" t="str">
        <x:v>первой</x:v>
      </x:c>
      <x:c r="S5960" s="30"/>
      <x:c r="T5960" s="30" t="str">
        <x:v>Внутренний ответник и точечная проверка</x:v>
      </x:c>
      <x:c r="U5960" s="30" t="str">
        <x:v>Независимый полный разбор для варианта 965 в комплекте отсутствует.</x:v>
      </x:c>
      <x:c r="V5960" s="87" t="str">
        <x:v>SOURCE_ONLY</x:v>
      </x:c>
      <x:c r="W5960" s="87"/>
      <x:c r="X5960" s="87" t="n">
        <x:v>4</x:v>
      </x:c>
      <x:c r="Y5960" s="87"/>
      <x:c r="Z5960" s="87"/>
      <x:c r="AA5960" s="87"/>
      <x:c r="AB5960" s="87"/>
      <x:c r="AC5960" s="87" t="str">
        <x:v>VIS-EGKR-RUS-S26-TASK-965-P004</x:v>
      </x:c>
      <x:c r="AD5960" s="87" t="str">
        <x:v>VIS-EGKR-RUS-S26-ANSWERDOC-P006</x:v>
      </x:c>
      <x:c r="AE5960" s="87" t="str">
        <x:v>TASK; SECONDARY_ANSWER_SOURCE</x:v>
      </x:c>
      <x:c r="AF5960" s="87" t="str">
        <x:v>VIS-EGKR-RUS-S26-TASK-965-P004: 4; VIS-EGKR-RUS-S26-ANSWERDOC-P006: 6</x:v>
      </x:c>
      <x:c r="AG5960" s="87" t="str">
        <x:v>RESOLVED</x:v>
      </x:c>
      <x:c r="AH5960" s="87" t="str">
        <x:v>CROP_VERIFIED</x:v>
      </x:c>
      <x:c r="AI5960" s="30"/>
      <x:c r="AJ5960" s="87" t="str">
        <x:v>clean</x:v>
      </x:c>
      <x:c r="AK5960" s="87" t="str">
        <x:v>clean-v0.18</x:v>
      </x:c>
      <x:c r="AL5960" s="87" t="str">
        <x:v>statgrad_clean_continuation_v0_18(1).xlsx</x:v>
      </x:c>
      <x:c r="AM5960" s="87" t="str">
        <x:v>RUS_EGKR_965</x:v>
      </x:c>
      <x:c r="AN5960" s="87" t="n">
        <x:v>7</x:v>
      </x:c>
    </x:row>
    <x:row r="5961">
      <x:c r="A5961" s="87" t="n">
        <x:v>5960</x:v>
      </x:c>
      <x:c r="B5961" s="87" t="str">
        <x:v>EGKR-S26-RUS-965-07</x:v>
      </x:c>
      <x:c r="C5961" s="87" t="str">
        <x:v>ЕГКР</x:v>
      </x:c>
      <x:c r="D5961" s="87"/>
      <x:c r="E5961" s="87" t="str">
        <x:v>Весна 2026</x:v>
      </x:c>
      <x:c r="F5961" s="87" t="str">
        <x:v>24.03.2026</x:v>
      </x:c>
      <x:c r="G5961" s="87" t="str">
        <x:v>Русский язык</x:v>
      </x:c>
      <x:c r="H5961" s="87" t="n">
        <x:v>11</x:v>
      </x:c>
      <x:c r="I5961" s="87"/>
      <x:c r="J5961" s="87" t="str">
        <x:v>965</x:v>
      </x:c>
      <x:c r="K5961" s="87" t="n">
        <x:v>7</x:v>
      </x:c>
      <x:c r="L5961" s="87" t="str">
        <x:v>Морфологическая норма</x:v>
      </x:c>
      <x:c r="M5961" s="30" t="str">
        <x:v>Задание 7 варианта 965: Морфологическая норма. Полная формулировка сохранена на указанной визуальной странице.</x:v>
      </x:c>
      <x:c r="N5961" s="30" t="str">
        <x:v>нависающие</x:v>
      </x:c>
      <x:c r="O5961" s="30" t="str">
        <x:v>Ответ зафиксирован в формате задания; полное условие и варианты ответа доступны по VIS_ID.</x:v>
      </x:c>
      <x:c r="P5961" s="30"/>
      <x:c r="Q5961" s="30" t="str">
        <x:v>Сохранено по единственному внутреннему ответнику; выполнена точечная проверка формата и отдельных позиций.</x:v>
      </x:c>
      <x:c r="R5961" s="30" t="str">
        <x:v>нависающие</x:v>
      </x:c>
      <x:c r="S5961" s="30"/>
      <x:c r="T5961" s="30" t="str">
        <x:v>Внутренний ответник и точечная проверка</x:v>
      </x:c>
      <x:c r="U5961" s="30" t="str">
        <x:v>Независимый полный разбор для варианта 965 в комплекте отсутствует.</x:v>
      </x:c>
      <x:c r="V5961" s="87" t="str">
        <x:v>SOURCE_ONLY</x:v>
      </x:c>
      <x:c r="W5961" s="87"/>
      <x:c r="X5961" s="87" t="n">
        <x:v>4</x:v>
      </x:c>
      <x:c r="Y5961" s="87"/>
      <x:c r="Z5961" s="87"/>
      <x:c r="AA5961" s="87"/>
      <x:c r="AB5961" s="87"/>
      <x:c r="AC5961" s="87" t="str">
        <x:v>VIS-EGKR-RUS-S26-TASK-965-P004</x:v>
      </x:c>
      <x:c r="AD5961" s="87" t="str">
        <x:v>VIS-EGKR-RUS-S26-ANSWERDOC-P006</x:v>
      </x:c>
      <x:c r="AE5961" s="87" t="str">
        <x:v>TASK; SECONDARY_ANSWER_SOURCE</x:v>
      </x:c>
      <x:c r="AF5961" s="87" t="str">
        <x:v>VIS-EGKR-RUS-S26-TASK-965-P004: 4; VIS-EGKR-RUS-S26-ANSWERDOC-P006: 6</x:v>
      </x:c>
      <x:c r="AG5961" s="87" t="str">
        <x:v>RESOLVED</x:v>
      </x:c>
      <x:c r="AH5961" s="87" t="str">
        <x:v>CROP_VERIFIED</x:v>
      </x:c>
      <x:c r="AI5961" s="30"/>
      <x:c r="AJ5961" s="87" t="str">
        <x:v>clean</x:v>
      </x:c>
      <x:c r="AK5961" s="87" t="str">
        <x:v>clean-v0.18</x:v>
      </x:c>
      <x:c r="AL5961" s="87" t="str">
        <x:v>statgrad_clean_continuation_v0_18(1).xlsx</x:v>
      </x:c>
      <x:c r="AM5961" s="87" t="str">
        <x:v>RUS_EGKR_965</x:v>
      </x:c>
      <x:c r="AN5961" s="87" t="n">
        <x:v>8</x:v>
      </x:c>
    </x:row>
    <x:row r="5962">
      <x:c r="A5962" s="87" t="n">
        <x:v>5961</x:v>
      </x:c>
      <x:c r="B5962" s="87" t="str">
        <x:v>EGKR-S26-RUS-965-08</x:v>
      </x:c>
      <x:c r="C5962" s="87" t="str">
        <x:v>ЕГКР</x:v>
      </x:c>
      <x:c r="D5962" s="87"/>
      <x:c r="E5962" s="87" t="str">
        <x:v>Весна 2026</x:v>
      </x:c>
      <x:c r="F5962" s="87" t="str">
        <x:v>24.03.2026</x:v>
      </x:c>
      <x:c r="G5962" s="87" t="str">
        <x:v>Русский язык</x:v>
      </x:c>
      <x:c r="H5962" s="87" t="n">
        <x:v>11</x:v>
      </x:c>
      <x:c r="I5962" s="87"/>
      <x:c r="J5962" s="87" t="str">
        <x:v>965</x:v>
      </x:c>
      <x:c r="K5962" s="87" t="n">
        <x:v>8</x:v>
      </x:c>
      <x:c r="L5962" s="87" t="str">
        <x:v>Синтаксические нормы</x:v>
      </x:c>
      <x:c r="M5962" s="30" t="str">
        <x:v>Задание 8 варианта 965: Синтаксические нормы. Полная формулировка сохранена на указанной визуальной странице.</x:v>
      </x:c>
      <x:c r="N5962" s="30" t="str">
        <x:v>64728</x:v>
      </x:c>
      <x:c r="O5962" s="30" t="str">
        <x:v>Ответ зафиксирован в формате задания; полное условие и варианты ответа доступны по VIS_ID.</x:v>
      </x:c>
      <x:c r="P5962" s="30"/>
      <x:c r="Q5962" s="30" t="str">
        <x:v>Сохранено по единственному внутреннему ответнику; выполнена точечная проверка формата и отдельных позиций.</x:v>
      </x:c>
      <x:c r="R5962" s="30" t="str">
        <x:v>64728</x:v>
      </x:c>
      <x:c r="S5962" s="30"/>
      <x:c r="T5962" s="30" t="str">
        <x:v>Внутренний ответник и точечная проверка</x:v>
      </x:c>
      <x:c r="U5962" s="30" t="str">
        <x:v>Независимый полный разбор для варианта 965 в комплекте отсутствует.</x:v>
      </x:c>
      <x:c r="V5962" s="87" t="str">
        <x:v>SOURCE_ONLY</x:v>
      </x:c>
      <x:c r="W5962" s="87"/>
      <x:c r="X5962" s="87" t="n">
        <x:v>5</x:v>
      </x:c>
      <x:c r="Y5962" s="87"/>
      <x:c r="Z5962" s="87"/>
      <x:c r="AA5962" s="87"/>
      <x:c r="AB5962" s="87"/>
      <x:c r="AC5962" s="87" t="str">
        <x:v>VIS-EGKR-RUS-S26-TASK-965-P005</x:v>
      </x:c>
      <x:c r="AD5962" s="87" t="str">
        <x:v>VIS-EGKR-RUS-S26-ANSWERDOC-P006</x:v>
      </x:c>
      <x:c r="AE5962" s="87" t="str">
        <x:v>TASK; SECONDARY_ANSWER_SOURCE</x:v>
      </x:c>
      <x:c r="AF5962" s="87" t="str">
        <x:v>VIS-EGKR-RUS-S26-TASK-965-P005: 5; VIS-EGKR-RUS-S26-ANSWERDOC-P006: 6</x:v>
      </x:c>
      <x:c r="AG5962" s="87" t="str">
        <x:v>RESOLVED</x:v>
      </x:c>
      <x:c r="AH5962" s="87" t="str">
        <x:v>CROP_VERIFIED</x:v>
      </x:c>
      <x:c r="AI5962" s="30"/>
      <x:c r="AJ5962" s="87" t="str">
        <x:v>clean</x:v>
      </x:c>
      <x:c r="AK5962" s="87" t="str">
        <x:v>clean-v0.18</x:v>
      </x:c>
      <x:c r="AL5962" s="87" t="str">
        <x:v>statgrad_clean_continuation_v0_18(1).xlsx</x:v>
      </x:c>
      <x:c r="AM5962" s="87" t="str">
        <x:v>RUS_EGKR_965</x:v>
      </x:c>
      <x:c r="AN5962" s="87" t="n">
        <x:v>9</x:v>
      </x:c>
    </x:row>
    <x:row r="5963">
      <x:c r="A5963" s="87" t="n">
        <x:v>5962</x:v>
      </x:c>
      <x:c r="B5963" s="87" t="str">
        <x:v>EGKR-S26-RUS-965-09</x:v>
      </x:c>
      <x:c r="C5963" s="87" t="str">
        <x:v>ЕГКР</x:v>
      </x:c>
      <x:c r="D5963" s="87"/>
      <x:c r="E5963" s="87" t="str">
        <x:v>Весна 2026</x:v>
      </x:c>
      <x:c r="F5963" s="87" t="str">
        <x:v>24.03.2026</x:v>
      </x:c>
      <x:c r="G5963" s="87" t="str">
        <x:v>Русский язык</x:v>
      </x:c>
      <x:c r="H5963" s="87" t="n">
        <x:v>11</x:v>
      </x:c>
      <x:c r="I5963" s="87"/>
      <x:c r="J5963" s="87" t="str">
        <x:v>965</x:v>
      </x:c>
      <x:c r="K5963" s="87" t="n">
        <x:v>9</x:v>
      </x:c>
      <x:c r="L5963" s="87" t="str">
        <x:v>Правописание корней</x:v>
      </x:c>
      <x:c r="M5963" s="30" t="str">
        <x:v>Задание 9 варианта 965: Правописание корней. Полная формулировка сохранена на указанной визуальной странице.</x:v>
      </x:c>
      <x:c r="N5963" s="30" t="str">
        <x:v>34</x:v>
      </x:c>
      <x:c r="O5963" s="30" t="str">
        <x:v>Ответ зафиксирован в формате задания; полное условие и варианты ответа доступны по VIS_ID.</x:v>
      </x:c>
      <x:c r="P5963" s="30"/>
      <x:c r="Q5963" s="30" t="str">
        <x:v>Сохранено по единственному внутреннему ответнику; выполнена точечная проверка формата и отдельных позиций.</x:v>
      </x:c>
      <x:c r="R5963" s="30" t="str">
        <x:v>34</x:v>
      </x:c>
      <x:c r="S5963" s="30"/>
      <x:c r="T5963" s="30" t="str">
        <x:v>Внутренний ответник и точечная проверка</x:v>
      </x:c>
      <x:c r="U5963" s="30" t="str">
        <x:v>Независимый полный разбор для варианта 965 в комплекте отсутствует.</x:v>
      </x:c>
      <x:c r="V5963" s="87" t="str">
        <x:v>SOURCE_ONLY</x:v>
      </x:c>
      <x:c r="W5963" s="87"/>
      <x:c r="X5963" s="87" t="n">
        <x:v>6</x:v>
      </x:c>
      <x:c r="Y5963" s="87"/>
      <x:c r="Z5963" s="87"/>
      <x:c r="AA5963" s="87"/>
      <x:c r="AB5963" s="87"/>
      <x:c r="AC5963" s="87" t="str">
        <x:v>VIS-EGKR-RUS-S26-TASK-965-P006</x:v>
      </x:c>
      <x:c r="AD5963" s="87" t="str">
        <x:v>VIS-EGKR-RUS-S26-ANSWERDOC-P006</x:v>
      </x:c>
      <x:c r="AE5963" s="87" t="str">
        <x:v>TASK; SECONDARY_ANSWER_SOURCE</x:v>
      </x:c>
      <x:c r="AF5963" s="87" t="str">
        <x:v>VIS-EGKR-RUS-S26-TASK-965-P006: 6; VIS-EGKR-RUS-S26-ANSWERDOC-P006: 6</x:v>
      </x:c>
      <x:c r="AG5963" s="87" t="str">
        <x:v>RESOLVED</x:v>
      </x:c>
      <x:c r="AH5963" s="87" t="str">
        <x:v>CROP_VERIFIED</x:v>
      </x:c>
      <x:c r="AI5963" s="30"/>
      <x:c r="AJ5963" s="87" t="str">
        <x:v>clean</x:v>
      </x:c>
      <x:c r="AK5963" s="87" t="str">
        <x:v>clean-v0.18</x:v>
      </x:c>
      <x:c r="AL5963" s="87" t="str">
        <x:v>statgrad_clean_continuation_v0_18(1).xlsx</x:v>
      </x:c>
      <x:c r="AM5963" s="87" t="str">
        <x:v>RUS_EGKR_965</x:v>
      </x:c>
      <x:c r="AN5963" s="87" t="n">
        <x:v>10</x:v>
      </x:c>
    </x:row>
    <x:row r="5964">
      <x:c r="A5964" s="87" t="n">
        <x:v>5963</x:v>
      </x:c>
      <x:c r="B5964" s="87" t="str">
        <x:v>EGKR-S26-RUS-965-10</x:v>
      </x:c>
      <x:c r="C5964" s="87" t="str">
        <x:v>ЕГКР</x:v>
      </x:c>
      <x:c r="D5964" s="87"/>
      <x:c r="E5964" s="87" t="str">
        <x:v>Весна 2026</x:v>
      </x:c>
      <x:c r="F5964" s="87" t="str">
        <x:v>24.03.2026</x:v>
      </x:c>
      <x:c r="G5964" s="87" t="str">
        <x:v>Русский язык</x:v>
      </x:c>
      <x:c r="H5964" s="87" t="n">
        <x:v>11</x:v>
      </x:c>
      <x:c r="I5964" s="87"/>
      <x:c r="J5964" s="87" t="str">
        <x:v>965</x:v>
      </x:c>
      <x:c r="K5964" s="87" t="n">
        <x:v>10</x:v>
      </x:c>
      <x:c r="L5964" s="87" t="str">
        <x:v>Правописание приставок</x:v>
      </x:c>
      <x:c r="M5964" s="30" t="str">
        <x:v>Задание 10 варианта 965: Правописание приставок. Полная формулировка сохранена на указанной визуальной странице.</x:v>
      </x:c>
      <x:c r="N5964" s="30" t="str">
        <x:v>25</x:v>
      </x:c>
      <x:c r="O5964" s="30" t="str">
        <x:v>Ответ зафиксирован в формате задания; полное условие и варианты ответа доступны по VIS_ID.</x:v>
      </x:c>
      <x:c r="P5964" s="30"/>
      <x:c r="Q5964" s="30" t="str">
        <x:v>Сохранено по единственному внутреннему ответнику; выполнена точечная проверка формата и отдельных позиций.</x:v>
      </x:c>
      <x:c r="R5964" s="30" t="str">
        <x:v>25</x:v>
      </x:c>
      <x:c r="S5964" s="30"/>
      <x:c r="T5964" s="30" t="str">
        <x:v>Внутренний ответник и точечная проверка</x:v>
      </x:c>
      <x:c r="U5964" s="30" t="str">
        <x:v>Независимый полный разбор для варианта 965 в комплекте отсутствует.</x:v>
      </x:c>
      <x:c r="V5964" s="87" t="str">
        <x:v>SOURCE_ONLY</x:v>
      </x:c>
      <x:c r="W5964" s="87"/>
      <x:c r="X5964" s="87" t="n">
        <x:v>6</x:v>
      </x:c>
      <x:c r="Y5964" s="87"/>
      <x:c r="Z5964" s="87"/>
      <x:c r="AA5964" s="87"/>
      <x:c r="AB5964" s="87"/>
      <x:c r="AC5964" s="87" t="str">
        <x:v>VIS-EGKR-RUS-S26-TASK-965-P006</x:v>
      </x:c>
      <x:c r="AD5964" s="87" t="str">
        <x:v>VIS-EGKR-RUS-S26-ANSWERDOC-P006</x:v>
      </x:c>
      <x:c r="AE5964" s="87" t="str">
        <x:v>TASK; SECONDARY_ANSWER_SOURCE</x:v>
      </x:c>
      <x:c r="AF5964" s="87" t="str">
        <x:v>VIS-EGKR-RUS-S26-TASK-965-P006: 6; VIS-EGKR-RUS-S26-ANSWERDOC-P006: 6</x:v>
      </x:c>
      <x:c r="AG5964" s="87" t="str">
        <x:v>RESOLVED</x:v>
      </x:c>
      <x:c r="AH5964" s="87" t="str">
        <x:v>CROP_VERIFIED</x:v>
      </x:c>
      <x:c r="AI5964" s="30"/>
      <x:c r="AJ5964" s="87" t="str">
        <x:v>clean</x:v>
      </x:c>
      <x:c r="AK5964" s="87" t="str">
        <x:v>clean-v0.18</x:v>
      </x:c>
      <x:c r="AL5964" s="87" t="str">
        <x:v>statgrad_clean_continuation_v0_18(1).xlsx</x:v>
      </x:c>
      <x:c r="AM5964" s="87" t="str">
        <x:v>RUS_EGKR_965</x:v>
      </x:c>
      <x:c r="AN5964" s="87" t="n">
        <x:v>11</x:v>
      </x:c>
    </x:row>
    <x:row r="5965">
      <x:c r="A5965" s="87" t="n">
        <x:v>5964</x:v>
      </x:c>
      <x:c r="B5965" s="87" t="str">
        <x:v>EGKR-S26-RUS-965-11</x:v>
      </x:c>
      <x:c r="C5965" s="87" t="str">
        <x:v>ЕГКР</x:v>
      </x:c>
      <x:c r="D5965" s="87"/>
      <x:c r="E5965" s="87" t="str">
        <x:v>Весна 2026</x:v>
      </x:c>
      <x:c r="F5965" s="87" t="str">
        <x:v>24.03.2026</x:v>
      </x:c>
      <x:c r="G5965" s="87" t="str">
        <x:v>Русский язык</x:v>
      </x:c>
      <x:c r="H5965" s="87" t="n">
        <x:v>11</x:v>
      </x:c>
      <x:c r="I5965" s="87"/>
      <x:c r="J5965" s="87" t="str">
        <x:v>965</x:v>
      </x:c>
      <x:c r="K5965" s="87" t="n">
        <x:v>11</x:v>
      </x:c>
      <x:c r="L5965" s="87" t="str">
        <x:v>Правописание суффиксов</x:v>
      </x:c>
      <x:c r="M5965" s="30" t="str">
        <x:v>Задание 11 варианта 965: Правописание суффиксов. Полная формулировка сохранена на указанной визуальной странице.</x:v>
      </x:c>
      <x:c r="N5965" s="30" t="str">
        <x:v>124</x:v>
      </x:c>
      <x:c r="O5965" s="30" t="str">
        <x:v>Ответ зафиксирован в формате задания; полное условие и варианты ответа доступны по VIS_ID.</x:v>
      </x:c>
      <x:c r="P5965" s="30"/>
      <x:c r="Q5965" s="30" t="str">
        <x:v>Сохранено по единственному внутреннему ответнику; выполнена точечная проверка формата и отдельных позиций.</x:v>
      </x:c>
      <x:c r="R5965" s="30" t="str">
        <x:v>124</x:v>
      </x:c>
      <x:c r="S5965" s="30"/>
      <x:c r="T5965" s="30" t="str">
        <x:v>Внутренний ответник и точечная проверка</x:v>
      </x:c>
      <x:c r="U5965" s="30" t="str">
        <x:v>Независимый полный разбор для варианта 965 в комплекте отсутствует.</x:v>
      </x:c>
      <x:c r="V5965" s="87" t="str">
        <x:v>SOURCE_ONLY</x:v>
      </x:c>
      <x:c r="W5965" s="87"/>
      <x:c r="X5965" s="87" t="n">
        <x:v>6</x:v>
      </x:c>
      <x:c r="Y5965" s="87"/>
      <x:c r="Z5965" s="87"/>
      <x:c r="AA5965" s="87"/>
      <x:c r="AB5965" s="87"/>
      <x:c r="AC5965" s="87" t="str">
        <x:v>VIS-EGKR-RUS-S26-TASK-965-P006</x:v>
      </x:c>
      <x:c r="AD5965" s="87" t="str">
        <x:v>VIS-EGKR-RUS-S26-ANSWERDOC-P006</x:v>
      </x:c>
      <x:c r="AE5965" s="87" t="str">
        <x:v>TASK; SECONDARY_ANSWER_SOURCE</x:v>
      </x:c>
      <x:c r="AF5965" s="87" t="str">
        <x:v>VIS-EGKR-RUS-S26-TASK-965-P006: 6; VIS-EGKR-RUS-S26-ANSWERDOC-P006: 6</x:v>
      </x:c>
      <x:c r="AG5965" s="87" t="str">
        <x:v>RESOLVED</x:v>
      </x:c>
      <x:c r="AH5965" s="87" t="str">
        <x:v>CROP_VERIFIED</x:v>
      </x:c>
      <x:c r="AI5965" s="30"/>
      <x:c r="AJ5965" s="87" t="str">
        <x:v>clean</x:v>
      </x:c>
      <x:c r="AK5965" s="87" t="str">
        <x:v>clean-v0.18</x:v>
      </x:c>
      <x:c r="AL5965" s="87" t="str">
        <x:v>statgrad_clean_continuation_v0_18(1).xlsx</x:v>
      </x:c>
      <x:c r="AM5965" s="87" t="str">
        <x:v>RUS_EGKR_965</x:v>
      </x:c>
      <x:c r="AN5965" s="87" t="n">
        <x:v>12</x:v>
      </x:c>
    </x:row>
    <x:row r="5966">
      <x:c r="A5966" s="87" t="n">
        <x:v>5965</x:v>
      </x:c>
      <x:c r="B5966" s="87" t="str">
        <x:v>EGKR-S26-RUS-965-12</x:v>
      </x:c>
      <x:c r="C5966" s="87" t="str">
        <x:v>ЕГКР</x:v>
      </x:c>
      <x:c r="D5966" s="87"/>
      <x:c r="E5966" s="87" t="str">
        <x:v>Весна 2026</x:v>
      </x:c>
      <x:c r="F5966" s="87" t="str">
        <x:v>24.03.2026</x:v>
      </x:c>
      <x:c r="G5966" s="87" t="str">
        <x:v>Русский язык</x:v>
      </x:c>
      <x:c r="H5966" s="87" t="n">
        <x:v>11</x:v>
      </x:c>
      <x:c r="I5966" s="87"/>
      <x:c r="J5966" s="87" t="str">
        <x:v>965</x:v>
      </x:c>
      <x:c r="K5966" s="87" t="n">
        <x:v>12</x:v>
      </x:c>
      <x:c r="L5966" s="87" t="str">
        <x:v>Глаголы и причастия</x:v>
      </x:c>
      <x:c r="M5966" s="30" t="str">
        <x:v>Задание 12 варианта 965: Глаголы и причастия. Полная формулировка сохранена на указанной визуальной странице.</x:v>
      </x:c>
      <x:c r="N5966" s="30" t="str">
        <x:v>135</x:v>
      </x:c>
      <x:c r="O5966" s="30" t="str">
        <x:v>Ответ зафиксирован в формате задания; полное условие и варианты ответа доступны по VIS_ID.</x:v>
      </x:c>
      <x:c r="P5966" s="30"/>
      <x:c r="Q5966" s="30" t="str">
        <x:v>Сохранено по единственному внутреннему ответнику; выполнена точечная проверка формата и отдельных позиций.</x:v>
      </x:c>
      <x:c r="R5966" s="30" t="str">
        <x:v>135</x:v>
      </x:c>
      <x:c r="S5966" s="30"/>
      <x:c r="T5966" s="30" t="str">
        <x:v>Внутренний ответник и точечная проверка</x:v>
      </x:c>
      <x:c r="U5966" s="30" t="str">
        <x:v>Независимый полный разбор для варианта 965 в комплекте отсутствует.</x:v>
      </x:c>
      <x:c r="V5966" s="87" t="str">
        <x:v>SOURCE_ONLY</x:v>
      </x:c>
      <x:c r="W5966" s="87"/>
      <x:c r="X5966" s="87" t="n">
        <x:v>6</x:v>
      </x:c>
      <x:c r="Y5966" s="87"/>
      <x:c r="Z5966" s="87"/>
      <x:c r="AA5966" s="87"/>
      <x:c r="AB5966" s="87"/>
      <x:c r="AC5966" s="87" t="str">
        <x:v>VIS-EGKR-RUS-S26-TASK-965-P006</x:v>
      </x:c>
      <x:c r="AD5966" s="87" t="str">
        <x:v>VIS-EGKR-RUS-S26-ANSWERDOC-P006</x:v>
      </x:c>
      <x:c r="AE5966" s="87" t="str">
        <x:v>TASK; SECONDARY_ANSWER_SOURCE</x:v>
      </x:c>
      <x:c r="AF5966" s="87" t="str">
        <x:v>VIS-EGKR-RUS-S26-TASK-965-P006: 6; VIS-EGKR-RUS-S26-ANSWERDOC-P006: 6</x:v>
      </x:c>
      <x:c r="AG5966" s="87" t="str">
        <x:v>RESOLVED</x:v>
      </x:c>
      <x:c r="AH5966" s="87" t="str">
        <x:v>CROP_VERIFIED</x:v>
      </x:c>
      <x:c r="AI5966" s="30"/>
      <x:c r="AJ5966" s="87" t="str">
        <x:v>clean</x:v>
      </x:c>
      <x:c r="AK5966" s="87" t="str">
        <x:v>clean-v0.18</x:v>
      </x:c>
      <x:c r="AL5966" s="87" t="str">
        <x:v>statgrad_clean_continuation_v0_18(1).xlsx</x:v>
      </x:c>
      <x:c r="AM5966" s="87" t="str">
        <x:v>RUS_EGKR_965</x:v>
      </x:c>
      <x:c r="AN5966" s="87" t="n">
        <x:v>13</x:v>
      </x:c>
    </x:row>
    <x:row r="5967">
      <x:c r="A5967" s="87" t="n">
        <x:v>5966</x:v>
      </x:c>
      <x:c r="B5967" s="87" t="str">
        <x:v>EGKR-S26-RUS-965-13</x:v>
      </x:c>
      <x:c r="C5967" s="87" t="str">
        <x:v>ЕГКР</x:v>
      </x:c>
      <x:c r="D5967" s="87"/>
      <x:c r="E5967" s="87" t="str">
        <x:v>Весна 2026</x:v>
      </x:c>
      <x:c r="F5967" s="87" t="str">
        <x:v>24.03.2026</x:v>
      </x:c>
      <x:c r="G5967" s="87" t="str">
        <x:v>Русский язык</x:v>
      </x:c>
      <x:c r="H5967" s="87" t="n">
        <x:v>11</x:v>
      </x:c>
      <x:c r="I5967" s="87"/>
      <x:c r="J5967" s="87" t="str">
        <x:v>965</x:v>
      </x:c>
      <x:c r="K5967" s="87" t="n">
        <x:v>13</x:v>
      </x:c>
      <x:c r="L5967" s="87" t="str">
        <x:v>НЕ и НИ</x:v>
      </x:c>
      <x:c r="M5967" s="30" t="str">
        <x:v>Задание 13 варианта 965: НЕ и НИ. Полная формулировка сохранена на указанной визуальной странице.</x:v>
      </x:c>
      <x:c r="N5967" s="30" t="str">
        <x:v>не поздоровиться</x:v>
      </x:c>
      <x:c r="O5967" s="30" t="str">
        <x:v>Ответ зафиксирован в формате задания; полное условие и варианты ответа доступны по VIS_ID.</x:v>
      </x:c>
      <x:c r="P5967" s="30"/>
      <x:c r="Q5967" s="30" t="str">
        <x:v>Сохранено по единственному внутреннему ответнику; выполнена точечная проверка формата и отдельных позиций.</x:v>
      </x:c>
      <x:c r="R5967" s="30" t="str">
        <x:v>не поздоровиться</x:v>
      </x:c>
      <x:c r="S5967" s="30"/>
      <x:c r="T5967" s="30" t="str">
        <x:v>Внутренний ответник и точечная проверка</x:v>
      </x:c>
      <x:c r="U5967" s="30" t="str">
        <x:v>Независимый полный разбор для варианта 965 в комплекте отсутствует.</x:v>
      </x:c>
      <x:c r="V5967" s="87" t="str">
        <x:v>SOURCE_ONLY</x:v>
      </x:c>
      <x:c r="W5967" s="87"/>
      <x:c r="X5967" s="87" t="n">
        <x:v>7</x:v>
      </x:c>
      <x:c r="Y5967" s="87"/>
      <x:c r="Z5967" s="87"/>
      <x:c r="AA5967" s="87"/>
      <x:c r="AB5967" s="87"/>
      <x:c r="AC5967" s="87" t="str">
        <x:v>VIS-EGKR-RUS-S26-TASK-965-P007</x:v>
      </x:c>
      <x:c r="AD5967" s="87" t="str">
        <x:v>VIS-EGKR-RUS-S26-ANSWERDOC-P006</x:v>
      </x:c>
      <x:c r="AE5967" s="87" t="str">
        <x:v>TASK; SECONDARY_ANSWER_SOURCE</x:v>
      </x:c>
      <x:c r="AF5967" s="87" t="str">
        <x:v>VIS-EGKR-RUS-S26-TASK-965-P007: 7; VIS-EGKR-RUS-S26-ANSWERDOC-P006: 6</x:v>
      </x:c>
      <x:c r="AG5967" s="87" t="str">
        <x:v>RESOLVED</x:v>
      </x:c>
      <x:c r="AH5967" s="87" t="str">
        <x:v>CROP_VERIFIED</x:v>
      </x:c>
      <x:c r="AI5967" s="30"/>
      <x:c r="AJ5967" s="87" t="str">
        <x:v>clean</x:v>
      </x:c>
      <x:c r="AK5967" s="87" t="str">
        <x:v>clean-v0.18</x:v>
      </x:c>
      <x:c r="AL5967" s="87" t="str">
        <x:v>statgrad_clean_continuation_v0_18(1).xlsx</x:v>
      </x:c>
      <x:c r="AM5967" s="87" t="str">
        <x:v>RUS_EGKR_965</x:v>
      </x:c>
      <x:c r="AN5967" s="87" t="n">
        <x:v>14</x:v>
      </x:c>
    </x:row>
    <x:row r="5968">
      <x:c r="A5968" s="87" t="n">
        <x:v>5967</x:v>
      </x:c>
      <x:c r="B5968" s="87" t="str">
        <x:v>EGKR-S26-RUS-965-14</x:v>
      </x:c>
      <x:c r="C5968" s="87" t="str">
        <x:v>ЕГКР</x:v>
      </x:c>
      <x:c r="D5968" s="87"/>
      <x:c r="E5968" s="87" t="str">
        <x:v>Весна 2026</x:v>
      </x:c>
      <x:c r="F5968" s="87" t="str">
        <x:v>24.03.2026</x:v>
      </x:c>
      <x:c r="G5968" s="87" t="str">
        <x:v>Русский язык</x:v>
      </x:c>
      <x:c r="H5968" s="87" t="n">
        <x:v>11</x:v>
      </x:c>
      <x:c r="I5968" s="87"/>
      <x:c r="J5968" s="87" t="str">
        <x:v>965</x:v>
      </x:c>
      <x:c r="K5968" s="87" t="n">
        <x:v>14</x:v>
      </x:c>
      <x:c r="L5968" s="87" t="str">
        <x:v>Слитное, раздельное и дефисное написание</x:v>
      </x:c>
      <x:c r="M5968" s="30" t="str">
        <x:v>Задание 14 варианта 965: Слитное, раздельное и дефисное написание. Полная формулировка сохранена на указанной визуальной странице.</x:v>
      </x:c>
      <x:c r="N5968" s="30" t="str">
        <x:v>14</x:v>
      </x:c>
      <x:c r="O5968" s="30" t="str">
        <x:v>Ответ зафиксирован в формате задания; полное условие и варианты ответа доступны по VIS_ID.</x:v>
      </x:c>
      <x:c r="P5968" s="30"/>
      <x:c r="Q5968" s="30" t="str">
        <x:v>Сохранено по единственному внутреннему ответнику; выполнена точечная проверка формата и отдельных позиций.</x:v>
      </x:c>
      <x:c r="R5968" s="30" t="str">
        <x:v>14</x:v>
      </x:c>
      <x:c r="S5968" s="30"/>
      <x:c r="T5968" s="30" t="str">
        <x:v>Внутренний ответник и точечная проверка</x:v>
      </x:c>
      <x:c r="U5968" s="30" t="str">
        <x:v>Независимый полный разбор для варианта 965 в комплекте отсутствует.</x:v>
      </x:c>
      <x:c r="V5968" s="87" t="str">
        <x:v>SOURCE_ONLY</x:v>
      </x:c>
      <x:c r="W5968" s="87"/>
      <x:c r="X5968" s="87" t="n">
        <x:v>7</x:v>
      </x:c>
      <x:c r="Y5968" s="87"/>
      <x:c r="Z5968" s="87"/>
      <x:c r="AA5968" s="87"/>
      <x:c r="AB5968" s="87"/>
      <x:c r="AC5968" s="87" t="str">
        <x:v>VIS-EGKR-RUS-S26-TASK-965-P007</x:v>
      </x:c>
      <x:c r="AD5968" s="87" t="str">
        <x:v>VIS-EGKR-RUS-S26-ANSWERDOC-P006</x:v>
      </x:c>
      <x:c r="AE5968" s="87" t="str">
        <x:v>TASK; SECONDARY_ANSWER_SOURCE</x:v>
      </x:c>
      <x:c r="AF5968" s="87" t="str">
        <x:v>VIS-EGKR-RUS-S26-TASK-965-P007: 7; VIS-EGKR-RUS-S26-ANSWERDOC-P006: 6</x:v>
      </x:c>
      <x:c r="AG5968" s="87" t="str">
        <x:v>RESOLVED</x:v>
      </x:c>
      <x:c r="AH5968" s="87" t="str">
        <x:v>CROP_VERIFIED</x:v>
      </x:c>
      <x:c r="AI5968" s="30"/>
      <x:c r="AJ5968" s="87" t="str">
        <x:v>clean</x:v>
      </x:c>
      <x:c r="AK5968" s="87" t="str">
        <x:v>clean-v0.18</x:v>
      </x:c>
      <x:c r="AL5968" s="87" t="str">
        <x:v>statgrad_clean_continuation_v0_18(1).xlsx</x:v>
      </x:c>
      <x:c r="AM5968" s="87" t="str">
        <x:v>RUS_EGKR_965</x:v>
      </x:c>
      <x:c r="AN5968" s="87" t="n">
        <x:v>15</x:v>
      </x:c>
    </x:row>
    <x:row r="5969">
      <x:c r="A5969" s="87" t="n">
        <x:v>5968</x:v>
      </x:c>
      <x:c r="B5969" s="87" t="str">
        <x:v>EGKR-S26-RUS-965-15</x:v>
      </x:c>
      <x:c r="C5969" s="87" t="str">
        <x:v>ЕГКР</x:v>
      </x:c>
      <x:c r="D5969" s="87"/>
      <x:c r="E5969" s="87" t="str">
        <x:v>Весна 2026</x:v>
      </x:c>
      <x:c r="F5969" s="87" t="str">
        <x:v>24.03.2026</x:v>
      </x:c>
      <x:c r="G5969" s="87" t="str">
        <x:v>Русский язык</x:v>
      </x:c>
      <x:c r="H5969" s="87" t="n">
        <x:v>11</x:v>
      </x:c>
      <x:c r="I5969" s="87"/>
      <x:c r="J5969" s="87" t="str">
        <x:v>965</x:v>
      </x:c>
      <x:c r="K5969" s="87" t="n">
        <x:v>15</x:v>
      </x:c>
      <x:c r="L5969" s="87" t="str">
        <x:v>Н и НН</x:v>
      </x:c>
      <x:c r="M5969" s="30" t="str">
        <x:v>Задание 15 варианта 965: Н и НН. Полная формулировка сохранена на указанной визуальной странице.</x:v>
      </x:c>
      <x:c r="N5969" s="30" t="str">
        <x:v>12</x:v>
      </x:c>
      <x:c r="O5969" s="30" t="str">
        <x:v>Ответ зафиксирован в формате задания; полное условие и варианты ответа доступны по VIS_ID.</x:v>
      </x:c>
      <x:c r="P5969" s="30"/>
      <x:c r="Q5969" s="30" t="str">
        <x:v>Сохранено по единственному внутреннему ответнику; выполнена точечная проверка формата и отдельных позиций.</x:v>
      </x:c>
      <x:c r="R5969" s="30" t="str">
        <x:v>12</x:v>
      </x:c>
      <x:c r="S5969" s="30"/>
      <x:c r="T5969" s="30" t="str">
        <x:v>Внутренний ответник и точечная проверка</x:v>
      </x:c>
      <x:c r="U5969" s="30" t="str">
        <x:v>Независимый полный разбор для варианта 965 в комплекте отсутствует.</x:v>
      </x:c>
      <x:c r="V5969" s="87" t="str">
        <x:v>SOURCE_ONLY</x:v>
      </x:c>
      <x:c r="W5969" s="87"/>
      <x:c r="X5969" s="87" t="n">
        <x:v>7</x:v>
      </x:c>
      <x:c r="Y5969" s="87"/>
      <x:c r="Z5969" s="87"/>
      <x:c r="AA5969" s="87"/>
      <x:c r="AB5969" s="87"/>
      <x:c r="AC5969" s="87" t="str">
        <x:v>VIS-EGKR-RUS-S26-TASK-965-P007</x:v>
      </x:c>
      <x:c r="AD5969" s="87" t="str">
        <x:v>VIS-EGKR-RUS-S26-ANSWERDOC-P006</x:v>
      </x:c>
      <x:c r="AE5969" s="87" t="str">
        <x:v>TASK; SECONDARY_ANSWER_SOURCE</x:v>
      </x:c>
      <x:c r="AF5969" s="87" t="str">
        <x:v>VIS-EGKR-RUS-S26-TASK-965-P007: 7; VIS-EGKR-RUS-S26-ANSWERDOC-P006: 6</x:v>
      </x:c>
      <x:c r="AG5969" s="87" t="str">
        <x:v>RESOLVED</x:v>
      </x:c>
      <x:c r="AH5969" s="87" t="str">
        <x:v>CROP_VERIFIED</x:v>
      </x:c>
      <x:c r="AI5969" s="30"/>
      <x:c r="AJ5969" s="87" t="str">
        <x:v>clean</x:v>
      </x:c>
      <x:c r="AK5969" s="87" t="str">
        <x:v>clean-v0.18</x:v>
      </x:c>
      <x:c r="AL5969" s="87" t="str">
        <x:v>statgrad_clean_continuation_v0_18(1).xlsx</x:v>
      </x:c>
      <x:c r="AM5969" s="87" t="str">
        <x:v>RUS_EGKR_965</x:v>
      </x:c>
      <x:c r="AN5969" s="87" t="n">
        <x:v>16</x:v>
      </x:c>
    </x:row>
    <x:row r="5970">
      <x:c r="A5970" s="87" t="n">
        <x:v>5969</x:v>
      </x:c>
      <x:c r="B5970" s="87" t="str">
        <x:v>EGKR-S26-RUS-965-16</x:v>
      </x:c>
      <x:c r="C5970" s="87" t="str">
        <x:v>ЕГКР</x:v>
      </x:c>
      <x:c r="D5970" s="87"/>
      <x:c r="E5970" s="87" t="str">
        <x:v>Весна 2026</x:v>
      </x:c>
      <x:c r="F5970" s="87" t="str">
        <x:v>24.03.2026</x:v>
      </x:c>
      <x:c r="G5970" s="87" t="str">
        <x:v>Русский язык</x:v>
      </x:c>
      <x:c r="H5970" s="87" t="n">
        <x:v>11</x:v>
      </x:c>
      <x:c r="I5970" s="87"/>
      <x:c r="J5970" s="87" t="str">
        <x:v>965</x:v>
      </x:c>
      <x:c r="K5970" s="87" t="n">
        <x:v>16</x:v>
      </x:c>
      <x:c r="L5970" s="87" t="str">
        <x:v>Пунктуация при однородных членах</x:v>
      </x:c>
      <x:c r="M5970" s="30" t="str">
        <x:v>Задание 16 варианта 965: Пунктуация при однородных членах. Полная формулировка сохранена на указанной визуальной странице.</x:v>
      </x:c>
      <x:c r="N5970" s="30" t="str">
        <x:v>45</x:v>
      </x:c>
      <x:c r="O5970" s="30" t="str">
        <x:v>Ответ зафиксирован в формате задания; полное условие и варианты ответа доступны по VIS_ID.</x:v>
      </x:c>
      <x:c r="P5970" s="30"/>
      <x:c r="Q5970" s="30" t="str">
        <x:v>Сохранено по единственному внутреннему ответнику; выполнена точечная проверка формата и отдельных позиций.</x:v>
      </x:c>
      <x:c r="R5970" s="30" t="str">
        <x:v>45</x:v>
      </x:c>
      <x:c r="S5970" s="30"/>
      <x:c r="T5970" s="30" t="str">
        <x:v>Внутренний ответник и точечная проверка</x:v>
      </x:c>
      <x:c r="U5970" s="30" t="str">
        <x:v>Независимый полный разбор для варианта 965 в комплекте отсутствует.</x:v>
      </x:c>
      <x:c r="V5970" s="87" t="str">
        <x:v>SOURCE_ONLY</x:v>
      </x:c>
      <x:c r="W5970" s="87"/>
      <x:c r="X5970" s="87" t="n">
        <x:v>8</x:v>
      </x:c>
      <x:c r="Y5970" s="87"/>
      <x:c r="Z5970" s="87"/>
      <x:c r="AA5970" s="87"/>
      <x:c r="AB5970" s="87"/>
      <x:c r="AC5970" s="87" t="str">
        <x:v>VIS-EGKR-RUS-S26-TASK-965-P008</x:v>
      </x:c>
      <x:c r="AD5970" s="87" t="str">
        <x:v>VIS-EGKR-RUS-S26-ANSWERDOC-P006</x:v>
      </x:c>
      <x:c r="AE5970" s="87" t="str">
        <x:v>TASK; SECONDARY_ANSWER_SOURCE</x:v>
      </x:c>
      <x:c r="AF5970" s="87" t="str">
        <x:v>VIS-EGKR-RUS-S26-TASK-965-P008: 8; VIS-EGKR-RUS-S26-ANSWERDOC-P006: 6</x:v>
      </x:c>
      <x:c r="AG5970" s="87" t="str">
        <x:v>RESOLVED</x:v>
      </x:c>
      <x:c r="AH5970" s="87" t="str">
        <x:v>CROP_VERIFIED</x:v>
      </x:c>
      <x:c r="AI5970" s="30"/>
      <x:c r="AJ5970" s="87" t="str">
        <x:v>clean</x:v>
      </x:c>
      <x:c r="AK5970" s="87" t="str">
        <x:v>clean-v0.18</x:v>
      </x:c>
      <x:c r="AL5970" s="87" t="str">
        <x:v>statgrad_clean_continuation_v0_18(1).xlsx</x:v>
      </x:c>
      <x:c r="AM5970" s="87" t="str">
        <x:v>RUS_EGKR_965</x:v>
      </x:c>
      <x:c r="AN5970" s="87" t="n">
        <x:v>17</x:v>
      </x:c>
    </x:row>
    <x:row r="5971">
      <x:c r="A5971" s="87" t="n">
        <x:v>5970</x:v>
      </x:c>
      <x:c r="B5971" s="87" t="str">
        <x:v>EGKR-S26-RUS-965-17</x:v>
      </x:c>
      <x:c r="C5971" s="87" t="str">
        <x:v>ЕГКР</x:v>
      </x:c>
      <x:c r="D5971" s="87"/>
      <x:c r="E5971" s="87" t="str">
        <x:v>Весна 2026</x:v>
      </x:c>
      <x:c r="F5971" s="87" t="str">
        <x:v>24.03.2026</x:v>
      </x:c>
      <x:c r="G5971" s="87" t="str">
        <x:v>Русский язык</x:v>
      </x:c>
      <x:c r="H5971" s="87" t="n">
        <x:v>11</x:v>
      </x:c>
      <x:c r="I5971" s="87"/>
      <x:c r="J5971" s="87" t="str">
        <x:v>965</x:v>
      </x:c>
      <x:c r="K5971" s="87" t="n">
        <x:v>17</x:v>
      </x:c>
      <x:c r="L5971" s="87" t="str">
        <x:v>Обособленные конструкции</x:v>
      </x:c>
      <x:c r="M5971" s="30" t="str">
        <x:v>Задание 17 варианта 965: Обособленные конструкции. Полная формулировка сохранена на указанной визуальной странице.</x:v>
      </x:c>
      <x:c r="N5971" s="30" t="str">
        <x:v>12567</x:v>
      </x:c>
      <x:c r="O5971" s="30" t="str">
        <x:v>Ответ зафиксирован в формате задания; полное условие и варианты ответа доступны по VIS_ID.</x:v>
      </x:c>
      <x:c r="P5971" s="30"/>
      <x:c r="Q5971" s="30" t="str">
        <x:v>Сохранено по единственному внутреннему ответнику; выполнена точечная проверка формата и отдельных позиций.</x:v>
      </x:c>
      <x:c r="R5971" s="30" t="str">
        <x:v>12567</x:v>
      </x:c>
      <x:c r="S5971" s="30"/>
      <x:c r="T5971" s="30" t="str">
        <x:v>Внутренний ответник и точечная проверка</x:v>
      </x:c>
      <x:c r="U5971" s="30" t="str">
        <x:v>Независимый полный разбор для варианта 965 в комплекте отсутствует.</x:v>
      </x:c>
      <x:c r="V5971" s="87" t="str">
        <x:v>SOURCE_ONLY</x:v>
      </x:c>
      <x:c r="W5971" s="87"/>
      <x:c r="X5971" s="87" t="n">
        <x:v>8</x:v>
      </x:c>
      <x:c r="Y5971" s="87"/>
      <x:c r="Z5971" s="87"/>
      <x:c r="AA5971" s="87"/>
      <x:c r="AB5971" s="87"/>
      <x:c r="AC5971" s="87" t="str">
        <x:v>VIS-EGKR-RUS-S26-TASK-965-P008</x:v>
      </x:c>
      <x:c r="AD5971" s="87" t="str">
        <x:v>VIS-EGKR-RUS-S26-ANSWERDOC-P006</x:v>
      </x:c>
      <x:c r="AE5971" s="87" t="str">
        <x:v>TASK; SECONDARY_ANSWER_SOURCE</x:v>
      </x:c>
      <x:c r="AF5971" s="87" t="str">
        <x:v>VIS-EGKR-RUS-S26-TASK-965-P008: 8; VIS-EGKR-RUS-S26-ANSWERDOC-P006: 6</x:v>
      </x:c>
      <x:c r="AG5971" s="87" t="str">
        <x:v>RESOLVED</x:v>
      </x:c>
      <x:c r="AH5971" s="87" t="str">
        <x:v>CROP_VERIFIED</x:v>
      </x:c>
      <x:c r="AI5971" s="30"/>
      <x:c r="AJ5971" s="87" t="str">
        <x:v>clean</x:v>
      </x:c>
      <x:c r="AK5971" s="87" t="str">
        <x:v>clean-v0.18</x:v>
      </x:c>
      <x:c r="AL5971" s="87" t="str">
        <x:v>statgrad_clean_continuation_v0_18(1).xlsx</x:v>
      </x:c>
      <x:c r="AM5971" s="87" t="str">
        <x:v>RUS_EGKR_965</x:v>
      </x:c>
      <x:c r="AN5971" s="87" t="n">
        <x:v>18</x:v>
      </x:c>
    </x:row>
    <x:row r="5972">
      <x:c r="A5972" s="87" t="n">
        <x:v>5971</x:v>
      </x:c>
      <x:c r="B5972" s="87" t="str">
        <x:v>EGKR-S26-RUS-965-18</x:v>
      </x:c>
      <x:c r="C5972" s="87" t="str">
        <x:v>ЕГКР</x:v>
      </x:c>
      <x:c r="D5972" s="87"/>
      <x:c r="E5972" s="87" t="str">
        <x:v>Весна 2026</x:v>
      </x:c>
      <x:c r="F5972" s="87" t="str">
        <x:v>24.03.2026</x:v>
      </x:c>
      <x:c r="G5972" s="87" t="str">
        <x:v>Русский язык</x:v>
      </x:c>
      <x:c r="H5972" s="87" t="n">
        <x:v>11</x:v>
      </x:c>
      <x:c r="I5972" s="87"/>
      <x:c r="J5972" s="87" t="str">
        <x:v>965</x:v>
      </x:c>
      <x:c r="K5972" s="87" t="n">
        <x:v>18</x:v>
      </x:c>
      <x:c r="L5972" s="87" t="str">
        <x:v>Вводные слова и обращения</x:v>
      </x:c>
      <x:c r="M5972" s="30" t="str">
        <x:v>Задание 18 варианта 965: Вводные слова и обращения. Полная формулировка сохранена на указанной визуальной странице.</x:v>
      </x:c>
      <x:c r="N5972" s="30" t="str">
        <x:v>34567</x:v>
      </x:c>
      <x:c r="O5972" s="30" t="str">
        <x:v>Ответ зафиксирован в формате задания; полное условие и варианты ответа доступны по VIS_ID.</x:v>
      </x:c>
      <x:c r="P5972" s="30"/>
      <x:c r="Q5972" s="30" t="str">
        <x:v>Сохранено по единственному внутреннему ответнику; выполнена точечная проверка формата и отдельных позиций.</x:v>
      </x:c>
      <x:c r="R5972" s="30" t="str">
        <x:v>34567</x:v>
      </x:c>
      <x:c r="S5972" s="30"/>
      <x:c r="T5972" s="30" t="str">
        <x:v>Внутренний ответник и точечная проверка</x:v>
      </x:c>
      <x:c r="U5972" s="30" t="str">
        <x:v>Независимый полный разбор для варианта 965 в комплекте отсутствует.</x:v>
      </x:c>
      <x:c r="V5972" s="87" t="str">
        <x:v>SOURCE_ONLY</x:v>
      </x:c>
      <x:c r="W5972" s="87"/>
      <x:c r="X5972" s="87" t="n">
        <x:v>8</x:v>
      </x:c>
      <x:c r="Y5972" s="87"/>
      <x:c r="Z5972" s="87"/>
      <x:c r="AA5972" s="87"/>
      <x:c r="AB5972" s="87"/>
      <x:c r="AC5972" s="87" t="str">
        <x:v>VIS-EGKR-RUS-S26-TASK-965-P008</x:v>
      </x:c>
      <x:c r="AD5972" s="87" t="str">
        <x:v>VIS-EGKR-RUS-S26-ANSWERDOC-P006</x:v>
      </x:c>
      <x:c r="AE5972" s="87" t="str">
        <x:v>TASK; SECONDARY_ANSWER_SOURCE</x:v>
      </x:c>
      <x:c r="AF5972" s="87" t="str">
        <x:v>VIS-EGKR-RUS-S26-TASK-965-P008: 8; VIS-EGKR-RUS-S26-ANSWERDOC-P006: 6</x:v>
      </x:c>
      <x:c r="AG5972" s="87" t="str">
        <x:v>RESOLVED</x:v>
      </x:c>
      <x:c r="AH5972" s="87" t="str">
        <x:v>CROP_VERIFIED</x:v>
      </x:c>
      <x:c r="AI5972" s="30"/>
      <x:c r="AJ5972" s="87" t="str">
        <x:v>clean</x:v>
      </x:c>
      <x:c r="AK5972" s="87" t="str">
        <x:v>clean-v0.18</x:v>
      </x:c>
      <x:c r="AL5972" s="87" t="str">
        <x:v>statgrad_clean_continuation_v0_18(1).xlsx</x:v>
      </x:c>
      <x:c r="AM5972" s="87" t="str">
        <x:v>RUS_EGKR_965</x:v>
      </x:c>
      <x:c r="AN5972" s="87" t="n">
        <x:v>19</x:v>
      </x:c>
    </x:row>
    <x:row r="5973">
      <x:c r="A5973" s="87" t="n">
        <x:v>5972</x:v>
      </x:c>
      <x:c r="B5973" s="87" t="str">
        <x:v>EGKR-S26-RUS-965-19</x:v>
      </x:c>
      <x:c r="C5973" s="87" t="str">
        <x:v>ЕГКР</x:v>
      </x:c>
      <x:c r="D5973" s="87"/>
      <x:c r="E5973" s="87" t="str">
        <x:v>Весна 2026</x:v>
      </x:c>
      <x:c r="F5973" s="87" t="str">
        <x:v>24.03.2026</x:v>
      </x:c>
      <x:c r="G5973" s="87" t="str">
        <x:v>Русский язык</x:v>
      </x:c>
      <x:c r="H5973" s="87" t="n">
        <x:v>11</x:v>
      </x:c>
      <x:c r="I5973" s="87"/>
      <x:c r="J5973" s="87" t="str">
        <x:v>965</x:v>
      </x:c>
      <x:c r="K5973" s="87" t="n">
        <x:v>19</x:v>
      </x:c>
      <x:c r="L5973" s="87" t="str">
        <x:v>Сложноподчинённое предложение</x:v>
      </x:c>
      <x:c r="M5973" s="30" t="str">
        <x:v>Задание 19 варианта 965: Сложноподчинённое предложение. Полная формулировка сохранена на указанной визуальной странице.</x:v>
      </x:c>
      <x:c r="N5973" s="30" t="str">
        <x:v>12</x:v>
      </x:c>
      <x:c r="O5973" s="30" t="str">
        <x:v>Ответ зафиксирован в формате задания; полное условие и варианты ответа доступны по VIS_ID.</x:v>
      </x:c>
      <x:c r="P5973" s="30"/>
      <x:c r="Q5973" s="30" t="str">
        <x:v>Сохранено по единственному внутреннему ответнику; выполнена точечная проверка формата и отдельных позиций.</x:v>
      </x:c>
      <x:c r="R5973" s="30" t="str">
        <x:v>12</x:v>
      </x:c>
      <x:c r="S5973" s="30"/>
      <x:c r="T5973" s="30" t="str">
        <x:v>Внутренний ответник и точечная проверка</x:v>
      </x:c>
      <x:c r="U5973" s="30" t="str">
        <x:v>Независимый полный разбор для варианта 965 в комплекте отсутствует.</x:v>
      </x:c>
      <x:c r="V5973" s="87" t="str">
        <x:v>SOURCE_ONLY</x:v>
      </x:c>
      <x:c r="W5973" s="87"/>
      <x:c r="X5973" s="87" t="n">
        <x:v>9</x:v>
      </x:c>
      <x:c r="Y5973" s="87"/>
      <x:c r="Z5973" s="87"/>
      <x:c r="AA5973" s="87"/>
      <x:c r="AB5973" s="87"/>
      <x:c r="AC5973" s="87" t="str">
        <x:v>VIS-EGKR-RUS-S26-TASK-965-P009</x:v>
      </x:c>
      <x:c r="AD5973" s="87" t="str">
        <x:v>VIS-EGKR-RUS-S26-ANSWERDOC-P006</x:v>
      </x:c>
      <x:c r="AE5973" s="87" t="str">
        <x:v>TASK; SECONDARY_ANSWER_SOURCE</x:v>
      </x:c>
      <x:c r="AF5973" s="87" t="str">
        <x:v>VIS-EGKR-RUS-S26-TASK-965-P009: 9; VIS-EGKR-RUS-S26-ANSWERDOC-P006: 6</x:v>
      </x:c>
      <x:c r="AG5973" s="87" t="str">
        <x:v>RESOLVED</x:v>
      </x:c>
      <x:c r="AH5973" s="87" t="str">
        <x:v>CROP_VERIFIED</x:v>
      </x:c>
      <x:c r="AI5973" s="30"/>
      <x:c r="AJ5973" s="87" t="str">
        <x:v>clean</x:v>
      </x:c>
      <x:c r="AK5973" s="87" t="str">
        <x:v>clean-v0.18</x:v>
      </x:c>
      <x:c r="AL5973" s="87" t="str">
        <x:v>statgrad_clean_continuation_v0_18(1).xlsx</x:v>
      </x:c>
      <x:c r="AM5973" s="87" t="str">
        <x:v>RUS_EGKR_965</x:v>
      </x:c>
      <x:c r="AN5973" s="87" t="n">
        <x:v>20</x:v>
      </x:c>
    </x:row>
    <x:row r="5974">
      <x:c r="A5974" s="87" t="n">
        <x:v>5973</x:v>
      </x:c>
      <x:c r="B5974" s="87" t="str">
        <x:v>EGKR-S26-RUS-965-20</x:v>
      </x:c>
      <x:c r="C5974" s="87" t="str">
        <x:v>ЕГКР</x:v>
      </x:c>
      <x:c r="D5974" s="87"/>
      <x:c r="E5974" s="87" t="str">
        <x:v>Весна 2026</x:v>
      </x:c>
      <x:c r="F5974" s="87" t="str">
        <x:v>24.03.2026</x:v>
      </x:c>
      <x:c r="G5974" s="87" t="str">
        <x:v>Русский язык</x:v>
      </x:c>
      <x:c r="H5974" s="87" t="n">
        <x:v>11</x:v>
      </x:c>
      <x:c r="I5974" s="87"/>
      <x:c r="J5974" s="87" t="str">
        <x:v>965</x:v>
      </x:c>
      <x:c r="K5974" s="87" t="n">
        <x:v>20</x:v>
      </x:c>
      <x:c r="L5974" s="87" t="str">
        <x:v>Сложное предложение</x:v>
      </x:c>
      <x:c r="M5974" s="30" t="str">
        <x:v>Задание 20 варианта 965: Сложное предложение. Полная формулировка сохранена на указанной визуальной странице.</x:v>
      </x:c>
      <x:c r="N5974" s="30" t="str">
        <x:v>12367</x:v>
      </x:c>
      <x:c r="O5974" s="30" t="str">
        <x:v>Ответ зафиксирован в формате задания; полное условие и варианты ответа доступны по VIS_ID.</x:v>
      </x:c>
      <x:c r="P5974" s="30"/>
      <x:c r="Q5974" s="30" t="str">
        <x:v>Сохранено по единственному внутреннему ответнику; выполнена точечная проверка формата и отдельных позиций.</x:v>
      </x:c>
      <x:c r="R5974" s="30" t="str">
        <x:v>12367</x:v>
      </x:c>
      <x:c r="S5974" s="30"/>
      <x:c r="T5974" s="30" t="str">
        <x:v>Внутренний ответник и точечная проверка</x:v>
      </x:c>
      <x:c r="U5974" s="30" t="str">
        <x:v>Независимый полный разбор для варианта 965 в комплекте отсутствует.</x:v>
      </x:c>
      <x:c r="V5974" s="87" t="str">
        <x:v>SOURCE_ONLY</x:v>
      </x:c>
      <x:c r="W5974" s="87"/>
      <x:c r="X5974" s="87" t="n">
        <x:v>9</x:v>
      </x:c>
      <x:c r="Y5974" s="87"/>
      <x:c r="Z5974" s="87"/>
      <x:c r="AA5974" s="87"/>
      <x:c r="AB5974" s="87"/>
      <x:c r="AC5974" s="87" t="str">
        <x:v>VIS-EGKR-RUS-S26-TASK-965-P009</x:v>
      </x:c>
      <x:c r="AD5974" s="87" t="str">
        <x:v>VIS-EGKR-RUS-S26-ANSWERDOC-P006</x:v>
      </x:c>
      <x:c r="AE5974" s="87" t="str">
        <x:v>TASK; SECONDARY_ANSWER_SOURCE</x:v>
      </x:c>
      <x:c r="AF5974" s="87" t="str">
        <x:v>VIS-EGKR-RUS-S26-TASK-965-P009: 9; VIS-EGKR-RUS-S26-ANSWERDOC-P006: 6</x:v>
      </x:c>
      <x:c r="AG5974" s="87" t="str">
        <x:v>RESOLVED</x:v>
      </x:c>
      <x:c r="AH5974" s="87" t="str">
        <x:v>CROP_VERIFIED</x:v>
      </x:c>
      <x:c r="AI5974" s="30"/>
      <x:c r="AJ5974" s="87" t="str">
        <x:v>clean</x:v>
      </x:c>
      <x:c r="AK5974" s="87" t="str">
        <x:v>clean-v0.18</x:v>
      </x:c>
      <x:c r="AL5974" s="87" t="str">
        <x:v>statgrad_clean_continuation_v0_18(1).xlsx</x:v>
      </x:c>
      <x:c r="AM5974" s="87" t="str">
        <x:v>RUS_EGKR_965</x:v>
      </x:c>
      <x:c r="AN5974" s="87" t="n">
        <x:v>21</x:v>
      </x:c>
    </x:row>
    <x:row r="5975">
      <x:c r="A5975" s="87" t="n">
        <x:v>5974</x:v>
      </x:c>
      <x:c r="B5975" s="87" t="str">
        <x:v>EGKR-S26-RUS-965-21</x:v>
      </x:c>
      <x:c r="C5975" s="87" t="str">
        <x:v>ЕГКР</x:v>
      </x:c>
      <x:c r="D5975" s="87"/>
      <x:c r="E5975" s="87" t="str">
        <x:v>Весна 2026</x:v>
      </x:c>
      <x:c r="F5975" s="87" t="str">
        <x:v>24.03.2026</x:v>
      </x:c>
      <x:c r="G5975" s="87" t="str">
        <x:v>Русский язык</x:v>
      </x:c>
      <x:c r="H5975" s="87" t="n">
        <x:v>11</x:v>
      </x:c>
      <x:c r="I5975" s="87"/>
      <x:c r="J5975" s="87" t="str">
        <x:v>965</x:v>
      </x:c>
      <x:c r="K5975" s="87" t="n">
        <x:v>21</x:v>
      </x:c>
      <x:c r="L5975" s="87" t="str">
        <x:v>Пунктуационный анализ</x:v>
      </x:c>
      <x:c r="M5975" s="30" t="str">
        <x:v>Задание 21 варианта 965: Пунктуационный анализ. Полная формулировка сохранена на указанной визуальной странице.</x:v>
      </x:c>
      <x:c r="N5975" s="30" t="str">
        <x:v>35</x:v>
      </x:c>
      <x:c r="O5975" s="30" t="str">
        <x:v>Ответ зафиксирован в формате задания; полное условие и варианты ответа доступны по VIS_ID.</x:v>
      </x:c>
      <x:c r="P5975" s="30"/>
      <x:c r="Q5975" s="30" t="str">
        <x:v>Сохранено по единственному внутреннему ответнику; выполнена точечная проверка формата и отдельных позиций.</x:v>
      </x:c>
      <x:c r="R5975" s="30" t="str">
        <x:v>35</x:v>
      </x:c>
      <x:c r="S5975" s="30"/>
      <x:c r="T5975" s="30" t="str">
        <x:v>Внутренний ответник и точечная проверка</x:v>
      </x:c>
      <x:c r="U5975" s="30" t="str">
        <x:v>Независимый полный разбор для варианта 965 в комплекте отсутствует.</x:v>
      </x:c>
      <x:c r="V5975" s="87" t="str">
        <x:v>SOURCE_ONLY</x:v>
      </x:c>
      <x:c r="W5975" s="87"/>
      <x:c r="X5975" s="87" t="n">
        <x:v>9</x:v>
      </x:c>
      <x:c r="Y5975" s="87"/>
      <x:c r="Z5975" s="87"/>
      <x:c r="AA5975" s="87"/>
      <x:c r="AB5975" s="87"/>
      <x:c r="AC5975" s="87" t="str">
        <x:v>VIS-EGKR-RUS-S26-TASK-965-P009</x:v>
      </x:c>
      <x:c r="AD5975" s="87" t="str">
        <x:v>VIS-EGKR-RUS-S26-ANSWERDOC-P006</x:v>
      </x:c>
      <x:c r="AE5975" s="87" t="str">
        <x:v>TASK; SECONDARY_ANSWER_SOURCE</x:v>
      </x:c>
      <x:c r="AF5975" s="87" t="str">
        <x:v>VIS-EGKR-RUS-S26-TASK-965-P009: 9; VIS-EGKR-RUS-S26-ANSWERDOC-P006: 6</x:v>
      </x:c>
      <x:c r="AG5975" s="87" t="str">
        <x:v>RESOLVED</x:v>
      </x:c>
      <x:c r="AH5975" s="87" t="str">
        <x:v>CROP_VERIFIED</x:v>
      </x:c>
      <x:c r="AI5975" s="30"/>
      <x:c r="AJ5975" s="87" t="str">
        <x:v>clean</x:v>
      </x:c>
      <x:c r="AK5975" s="87" t="str">
        <x:v>clean-v0.18</x:v>
      </x:c>
      <x:c r="AL5975" s="87" t="str">
        <x:v>statgrad_clean_continuation_v0_18(1).xlsx</x:v>
      </x:c>
      <x:c r="AM5975" s="87" t="str">
        <x:v>RUS_EGKR_965</x:v>
      </x:c>
      <x:c r="AN5975" s="87" t="n">
        <x:v>22</x:v>
      </x:c>
    </x:row>
    <x:row r="5976">
      <x:c r="A5976" s="87" t="n">
        <x:v>5975</x:v>
      </x:c>
      <x:c r="B5976" s="87" t="str">
        <x:v>EGKR-S26-RUS-965-22</x:v>
      </x:c>
      <x:c r="C5976" s="87" t="str">
        <x:v>ЕГКР</x:v>
      </x:c>
      <x:c r="D5976" s="87"/>
      <x:c r="E5976" s="87" t="str">
        <x:v>Весна 2026</x:v>
      </x:c>
      <x:c r="F5976" s="87" t="str">
        <x:v>24.03.2026</x:v>
      </x:c>
      <x:c r="G5976" s="87" t="str">
        <x:v>Русский язык</x:v>
      </x:c>
      <x:c r="H5976" s="87" t="n">
        <x:v>11</x:v>
      </x:c>
      <x:c r="I5976" s="87"/>
      <x:c r="J5976" s="87" t="str">
        <x:v>965</x:v>
      </x:c>
      <x:c r="K5976" s="87" t="n">
        <x:v>22</x:v>
      </x:c>
      <x:c r="L5976" s="87" t="str">
        <x:v>Средства выразительности</x:v>
      </x:c>
      <x:c r="M5976" s="30" t="str">
        <x:v>Задание 22 варианта 965: Средства выразительности. Полная формулировка сохранена на указанной визуальной странице.</x:v>
      </x:c>
      <x:c r="N5976" s="30" t="str">
        <x:v>21381</x:v>
      </x:c>
      <x:c r="O5976" s="30" t="str">
        <x:v>Ответ зафиксирован в формате задания; полное условие и варианты ответа доступны по VIS_ID.</x:v>
      </x:c>
      <x:c r="P5976" s="30"/>
      <x:c r="Q5976" s="30" t="str">
        <x:v>Сохранено по единственному внутреннему ответнику; выполнена точечная проверка формата и отдельных позиций.</x:v>
      </x:c>
      <x:c r="R5976" s="30" t="str">
        <x:v>21381</x:v>
      </x:c>
      <x:c r="S5976" s="30"/>
      <x:c r="T5976" s="30" t="str">
        <x:v>Внутренний ответник и точечная проверка</x:v>
      </x:c>
      <x:c r="U5976" s="30" t="str">
        <x:v>Независимый полный разбор для варианта 965 в комплекте отсутствует.</x:v>
      </x:c>
      <x:c r="V5976" s="87" t="str">
        <x:v>SOURCE_ONLY</x:v>
      </x:c>
      <x:c r="W5976" s="87"/>
      <x:c r="X5976" s="87" t="n">
        <x:v>10</x:v>
      </x:c>
      <x:c r="Y5976" s="87"/>
      <x:c r="Z5976" s="87"/>
      <x:c r="AA5976" s="87"/>
      <x:c r="AB5976" s="87"/>
      <x:c r="AC5976" s="87" t="str">
        <x:v>VIS-EGKR-RUS-S26-TASK-965-P010</x:v>
      </x:c>
      <x:c r="AD5976" s="87" t="str">
        <x:v>VIS-EGKR-RUS-S26-ANSWERDOC-P006</x:v>
      </x:c>
      <x:c r="AE5976" s="87" t="str">
        <x:v>TASK; SECONDARY_ANSWER_SOURCE</x:v>
      </x:c>
      <x:c r="AF5976" s="87" t="str">
        <x:v>VIS-EGKR-RUS-S26-TASK-965-P010: 10; VIS-EGKR-RUS-S26-ANSWERDOC-P006: 6</x:v>
      </x:c>
      <x:c r="AG5976" s="87" t="str">
        <x:v>RESOLVED</x:v>
      </x:c>
      <x:c r="AH5976" s="87" t="str">
        <x:v>CROP_VERIFIED</x:v>
      </x:c>
      <x:c r="AI5976" s="30"/>
      <x:c r="AJ5976" s="87" t="str">
        <x:v>clean</x:v>
      </x:c>
      <x:c r="AK5976" s="87" t="str">
        <x:v>clean-v0.18</x:v>
      </x:c>
      <x:c r="AL5976" s="87" t="str">
        <x:v>statgrad_clean_continuation_v0_18(1).xlsx</x:v>
      </x:c>
      <x:c r="AM5976" s="87" t="str">
        <x:v>RUS_EGKR_965</x:v>
      </x:c>
      <x:c r="AN5976" s="87" t="n">
        <x:v>23</x:v>
      </x:c>
    </x:row>
    <x:row r="5977">
      <x:c r="A5977" s="87" t="n">
        <x:v>5976</x:v>
      </x:c>
      <x:c r="B5977" s="87" t="str">
        <x:v>EGKR-S26-RUS-965-23</x:v>
      </x:c>
      <x:c r="C5977" s="87" t="str">
        <x:v>ЕГКР</x:v>
      </x:c>
      <x:c r="D5977" s="87"/>
      <x:c r="E5977" s="87" t="str">
        <x:v>Весна 2026</x:v>
      </x:c>
      <x:c r="F5977" s="87" t="str">
        <x:v>24.03.2026</x:v>
      </x:c>
      <x:c r="G5977" s="87" t="str">
        <x:v>Русский язык</x:v>
      </x:c>
      <x:c r="H5977" s="87" t="n">
        <x:v>11</x:v>
      </x:c>
      <x:c r="I5977" s="87"/>
      <x:c r="J5977" s="87" t="str">
        <x:v>965</x:v>
      </x:c>
      <x:c r="K5977" s="87" t="n">
        <x:v>23</x:v>
      </x:c>
      <x:c r="L5977" s="87" t="str">
        <x:v>Содержание текста</x:v>
      </x:c>
      <x:c r="M5977" s="30" t="str">
        <x:v>Задание 23 варианта 965: Содержание текста. Полная формулировка сохранена на указанной визуальной странице.</x:v>
      </x:c>
      <x:c r="N5977" s="30" t="str">
        <x:v>13</x:v>
      </x:c>
      <x:c r="O5977" s="30" t="str">
        <x:v>Ответ зафиксирован в формате задания; полное условие и варианты ответа доступны по VIS_ID.</x:v>
      </x:c>
      <x:c r="P5977" s="30"/>
      <x:c r="Q5977" s="30" t="str">
        <x:v>Сохранено по единственному внутреннему ответнику; выполнена точечная проверка формата и отдельных позиций.</x:v>
      </x:c>
      <x:c r="R5977" s="30" t="str">
        <x:v>13</x:v>
      </x:c>
      <x:c r="S5977" s="30"/>
      <x:c r="T5977" s="30" t="str">
        <x:v>Внутренний ответник и точечная проверка</x:v>
      </x:c>
      <x:c r="U5977" s="30" t="str">
        <x:v>Независимый полный разбор для варианта 965 в комплекте отсутствует.</x:v>
      </x:c>
      <x:c r="V5977" s="87" t="str">
        <x:v>SOURCE_ONLY</x:v>
      </x:c>
      <x:c r="W5977" s="87"/>
      <x:c r="X5977" s="87" t="n">
        <x:v>12</x:v>
      </x:c>
      <x:c r="Y5977" s="87"/>
      <x:c r="Z5977" s="87"/>
      <x:c r="AA5977" s="87"/>
      <x:c r="AB5977" s="87"/>
      <x:c r="AC5977" s="87" t="str">
        <x:v>VIS-EGKR-RUS-S26-TASK-965-P012</x:v>
      </x:c>
      <x:c r="AD5977" s="87" t="str">
        <x:v>VIS-EGKR-RUS-S26-ANSWERDOC-P006</x:v>
      </x:c>
      <x:c r="AE5977" s="87" t="str">
        <x:v>TASK; SECONDARY_ANSWER_SOURCE</x:v>
      </x:c>
      <x:c r="AF5977" s="87" t="str">
        <x:v>VIS-EGKR-RUS-S26-TASK-965-P012: 12; VIS-EGKR-RUS-S26-ANSWERDOC-P006: 6</x:v>
      </x:c>
      <x:c r="AG5977" s="87" t="str">
        <x:v>RESOLVED</x:v>
      </x:c>
      <x:c r="AH5977" s="87" t="str">
        <x:v>CROP_VERIFIED</x:v>
      </x:c>
      <x:c r="AI5977" s="30"/>
      <x:c r="AJ5977" s="87" t="str">
        <x:v>clean</x:v>
      </x:c>
      <x:c r="AK5977" s="87" t="str">
        <x:v>clean-v0.18</x:v>
      </x:c>
      <x:c r="AL5977" s="87" t="str">
        <x:v>statgrad_clean_continuation_v0_18(1).xlsx</x:v>
      </x:c>
      <x:c r="AM5977" s="87" t="str">
        <x:v>RUS_EGKR_965</x:v>
      </x:c>
      <x:c r="AN5977" s="87" t="n">
        <x:v>24</x:v>
      </x:c>
    </x:row>
    <x:row r="5978">
      <x:c r="A5978" s="87" t="n">
        <x:v>5977</x:v>
      </x:c>
      <x:c r="B5978" s="87" t="str">
        <x:v>EGKR-S26-RUS-965-24</x:v>
      </x:c>
      <x:c r="C5978" s="87" t="str">
        <x:v>ЕГКР</x:v>
      </x:c>
      <x:c r="D5978" s="87"/>
      <x:c r="E5978" s="87" t="str">
        <x:v>Весна 2026</x:v>
      </x:c>
      <x:c r="F5978" s="87" t="str">
        <x:v>24.03.2026</x:v>
      </x:c>
      <x:c r="G5978" s="87" t="str">
        <x:v>Русский язык</x:v>
      </x:c>
      <x:c r="H5978" s="87" t="n">
        <x:v>11</x:v>
      </x:c>
      <x:c r="I5978" s="87"/>
      <x:c r="J5978" s="87" t="str">
        <x:v>965</x:v>
      </x:c>
      <x:c r="K5978" s="87" t="n">
        <x:v>24</x:v>
      </x:c>
      <x:c r="L5978" s="87" t="str">
        <x:v>Типы речи и логика текста</x:v>
      </x:c>
      <x:c r="M5978" s="30" t="str">
        <x:v>Задание 24 варианта 965: Типы речи и логика текста. Полная формулировка сохранена на указанной визуальной странице.</x:v>
      </x:c>
      <x:c r="N5978" s="30" t="str">
        <x:v>13</x:v>
      </x:c>
      <x:c r="O5978" s="30" t="str">
        <x:v>Ответ зафиксирован в формате задания; полное условие и варианты ответа доступны по VIS_ID.</x:v>
      </x:c>
      <x:c r="P5978" s="30"/>
      <x:c r="Q5978" s="30" t="str">
        <x:v>Сохранено по единственному внутреннему ответнику; выполнена точечная проверка формата и отдельных позиций.</x:v>
      </x:c>
      <x:c r="R5978" s="30" t="str">
        <x:v>13</x:v>
      </x:c>
      <x:c r="S5978" s="30"/>
      <x:c r="T5978" s="30" t="str">
        <x:v>Внутренний ответник и точечная проверка</x:v>
      </x:c>
      <x:c r="U5978" s="30" t="str">
        <x:v>Независимый полный разбор для варианта 965 в комплекте отсутствует.</x:v>
      </x:c>
      <x:c r="V5978" s="87" t="str">
        <x:v>SOURCE_ONLY</x:v>
      </x:c>
      <x:c r="W5978" s="87"/>
      <x:c r="X5978" s="87" t="n">
        <x:v>12</x:v>
      </x:c>
      <x:c r="Y5978" s="87"/>
      <x:c r="Z5978" s="87"/>
      <x:c r="AA5978" s="87"/>
      <x:c r="AB5978" s="87"/>
      <x:c r="AC5978" s="87" t="str">
        <x:v>VIS-EGKR-RUS-S26-TASK-965-P012</x:v>
      </x:c>
      <x:c r="AD5978" s="87" t="str">
        <x:v>VIS-EGKR-RUS-S26-ANSWERDOC-P006</x:v>
      </x:c>
      <x:c r="AE5978" s="87" t="str">
        <x:v>TASK; SECONDARY_ANSWER_SOURCE</x:v>
      </x:c>
      <x:c r="AF5978" s="87" t="str">
        <x:v>VIS-EGKR-RUS-S26-TASK-965-P012: 12; VIS-EGKR-RUS-S26-ANSWERDOC-P006: 6</x:v>
      </x:c>
      <x:c r="AG5978" s="87" t="str">
        <x:v>RESOLVED</x:v>
      </x:c>
      <x:c r="AH5978" s="87" t="str">
        <x:v>CROP_VERIFIED</x:v>
      </x:c>
      <x:c r="AI5978" s="30"/>
      <x:c r="AJ5978" s="87" t="str">
        <x:v>clean</x:v>
      </x:c>
      <x:c r="AK5978" s="87" t="str">
        <x:v>clean-v0.18</x:v>
      </x:c>
      <x:c r="AL5978" s="87" t="str">
        <x:v>statgrad_clean_continuation_v0_18(1).xlsx</x:v>
      </x:c>
      <x:c r="AM5978" s="87" t="str">
        <x:v>RUS_EGKR_965</x:v>
      </x:c>
      <x:c r="AN5978" s="87" t="n">
        <x:v>25</x:v>
      </x:c>
    </x:row>
    <x:row r="5979">
      <x:c r="A5979" s="87" t="n">
        <x:v>5978</x:v>
      </x:c>
      <x:c r="B5979" s="87" t="str">
        <x:v>EGKR-S26-RUS-965-25</x:v>
      </x:c>
      <x:c r="C5979" s="87" t="str">
        <x:v>ЕГКР</x:v>
      </x:c>
      <x:c r="D5979" s="87"/>
      <x:c r="E5979" s="87" t="str">
        <x:v>Весна 2026</x:v>
      </x:c>
      <x:c r="F5979" s="87" t="str">
        <x:v>24.03.2026</x:v>
      </x:c>
      <x:c r="G5979" s="87" t="str">
        <x:v>Русский язык</x:v>
      </x:c>
      <x:c r="H5979" s="87" t="n">
        <x:v>11</x:v>
      </x:c>
      <x:c r="I5979" s="87"/>
      <x:c r="J5979" s="87" t="str">
        <x:v>965</x:v>
      </x:c>
      <x:c r="K5979" s="87" t="n">
        <x:v>25</x:v>
      </x:c>
      <x:c r="L5979" s="87" t="str">
        <x:v>Лексический анализ</x:v>
      </x:c>
      <x:c r="M5979" s="30" t="str">
        <x:v>Задание 25 варианта 965: Лексический анализ. Полная формулировка сохранена на указанной визуальной странице.</x:v>
      </x:c>
      <x:c r="N5979" s="30" t="str">
        <x:v>поставил на ноги</x:v>
      </x:c>
      <x:c r="O5979" s="30" t="str">
        <x:v>Ответ зафиксирован в формате задания; полное условие и варианты ответа доступны по VIS_ID.</x:v>
      </x:c>
      <x:c r="P5979" s="30"/>
      <x:c r="Q5979" s="30" t="str">
        <x:v>Сохранено по единственному внутреннему ответнику; выполнена точечная проверка формата и отдельных позиций.</x:v>
      </x:c>
      <x:c r="R5979" s="30" t="str">
        <x:v>поставил на ноги</x:v>
      </x:c>
      <x:c r="S5979" s="30"/>
      <x:c r="T5979" s="30" t="str">
        <x:v>Внутренний ответник и точечная проверка</x:v>
      </x:c>
      <x:c r="U5979" s="30" t="str">
        <x:v>Независимый полный разбор для варианта 965 в комплекте отсутствует.</x:v>
      </x:c>
      <x:c r="V5979" s="87" t="str">
        <x:v>SOURCE_ONLY</x:v>
      </x:c>
      <x:c r="W5979" s="87"/>
      <x:c r="X5979" s="87" t="n">
        <x:v>12</x:v>
      </x:c>
      <x:c r="Y5979" s="87"/>
      <x:c r="Z5979" s="87"/>
      <x:c r="AA5979" s="87"/>
      <x:c r="AB5979" s="87"/>
      <x:c r="AC5979" s="87" t="str">
        <x:v>VIS-EGKR-RUS-S26-TASK-965-P012</x:v>
      </x:c>
      <x:c r="AD5979" s="87" t="str">
        <x:v>VIS-EGKR-RUS-S26-ANSWERDOC-P006</x:v>
      </x:c>
      <x:c r="AE5979" s="87" t="str">
        <x:v>TASK; SECONDARY_ANSWER_SOURCE</x:v>
      </x:c>
      <x:c r="AF5979" s="87" t="str">
        <x:v>VIS-EGKR-RUS-S26-TASK-965-P012: 12; VIS-EGKR-RUS-S26-ANSWERDOC-P006: 6</x:v>
      </x:c>
      <x:c r="AG5979" s="87" t="str">
        <x:v>RESOLVED</x:v>
      </x:c>
      <x:c r="AH5979" s="87" t="str">
        <x:v>CROP_VERIFIED</x:v>
      </x:c>
      <x:c r="AI5979" s="30"/>
      <x:c r="AJ5979" s="87" t="str">
        <x:v>clean</x:v>
      </x:c>
      <x:c r="AK5979" s="87" t="str">
        <x:v>clean-v0.18</x:v>
      </x:c>
      <x:c r="AL5979" s="87" t="str">
        <x:v>statgrad_clean_continuation_v0_18(1).xlsx</x:v>
      </x:c>
      <x:c r="AM5979" s="87" t="str">
        <x:v>RUS_EGKR_965</x:v>
      </x:c>
      <x:c r="AN5979" s="87" t="n">
        <x:v>26</x:v>
      </x:c>
    </x:row>
    <x:row r="5980">
      <x:c r="A5980" s="87" t="n">
        <x:v>5979</x:v>
      </x:c>
      <x:c r="B5980" s="87" t="str">
        <x:v>EGKR-S26-RUS-965-26</x:v>
      </x:c>
      <x:c r="C5980" s="87" t="str">
        <x:v>ЕГКР</x:v>
      </x:c>
      <x:c r="D5980" s="87"/>
      <x:c r="E5980" s="87" t="str">
        <x:v>Весна 2026</x:v>
      </x:c>
      <x:c r="F5980" s="87" t="str">
        <x:v>24.03.2026</x:v>
      </x:c>
      <x:c r="G5980" s="87" t="str">
        <x:v>Русский язык</x:v>
      </x:c>
      <x:c r="H5980" s="87" t="n">
        <x:v>11</x:v>
      </x:c>
      <x:c r="I5980" s="87"/>
      <x:c r="J5980" s="87" t="str">
        <x:v>965</x:v>
      </x:c>
      <x:c r="K5980" s="87" t="n">
        <x:v>26</x:v>
      </x:c>
      <x:c r="L5980" s="87" t="str">
        <x:v>Связь предложений</x:v>
      </x:c>
      <x:c r="M5980" s="30" t="str">
        <x:v>Задание 26 варианта 965: Связь предложений. Полная формулировка сохранена на указанной визуальной странице.</x:v>
      </x:c>
      <x:c r="N5980" s="30" t="str">
        <x:v>43</x:v>
      </x:c>
      <x:c r="O5980" s="30" t="str">
        <x:v>Ответ зафиксирован в формате задания; полное условие и варианты ответа доступны по VIS_ID.</x:v>
      </x:c>
      <x:c r="P5980" s="30"/>
      <x:c r="Q5980" s="30" t="str">
        <x:v>Сохранено по единственному внутреннему ответнику; выполнена точечная проверка формата и отдельных позиций.</x:v>
      </x:c>
      <x:c r="R5980" s="30" t="str">
        <x:v>43</x:v>
      </x:c>
      <x:c r="S5980" s="30"/>
      <x:c r="T5980" s="30" t="str">
        <x:v>Внутренний ответник и точечная проверка</x:v>
      </x:c>
      <x:c r="U5980" s="30" t="str">
        <x:v>Независимый полный разбор для варианта 965 в комплекте отсутствует.</x:v>
      </x:c>
      <x:c r="V5980" s="87" t="str">
        <x:v>SOURCE_ONLY</x:v>
      </x:c>
      <x:c r="W5980" s="87"/>
      <x:c r="X5980" s="87" t="n">
        <x:v>12</x:v>
      </x:c>
      <x:c r="Y5980" s="87"/>
      <x:c r="Z5980" s="87"/>
      <x:c r="AA5980" s="87"/>
      <x:c r="AB5980" s="87"/>
      <x:c r="AC5980" s="87" t="str">
        <x:v>VIS-EGKR-RUS-S26-TASK-965-P012</x:v>
      </x:c>
      <x:c r="AD5980" s="87" t="str">
        <x:v>VIS-EGKR-RUS-S26-ANSWERDOC-P006</x:v>
      </x:c>
      <x:c r="AE5980" s="87" t="str">
        <x:v>TASK; SECONDARY_ANSWER_SOURCE</x:v>
      </x:c>
      <x:c r="AF5980" s="87" t="str">
        <x:v>VIS-EGKR-RUS-S26-TASK-965-P012: 12; VIS-EGKR-RUS-S26-ANSWERDOC-P006: 6</x:v>
      </x:c>
      <x:c r="AG5980" s="87" t="str">
        <x:v>RESOLVED</x:v>
      </x:c>
      <x:c r="AH5980" s="87" t="str">
        <x:v>CROP_VERIFIED</x:v>
      </x:c>
      <x:c r="AI5980" s="30"/>
      <x:c r="AJ5980" s="87" t="str">
        <x:v>clean</x:v>
      </x:c>
      <x:c r="AK5980" s="87" t="str">
        <x:v>clean-v0.18</x:v>
      </x:c>
      <x:c r="AL5980" s="87" t="str">
        <x:v>statgrad_clean_continuation_v0_18(1).xlsx</x:v>
      </x:c>
      <x:c r="AM5980" s="87" t="str">
        <x:v>RUS_EGKR_965</x:v>
      </x:c>
      <x:c r="AN5980" s="87" t="n">
        <x:v>27</x:v>
      </x:c>
    </x:row>
    <x:row r="5981">
      <x:c r="A5981" s="87" t="n">
        <x:v>5980</x:v>
      </x:c>
      <x:c r="B5981" s="87" t="str">
        <x:v>EGKR-S26-RUS-965-27</x:v>
      </x:c>
      <x:c r="C5981" s="87" t="str">
        <x:v>ЕГКР</x:v>
      </x:c>
      <x:c r="D5981" s="87"/>
      <x:c r="E5981" s="87" t="str">
        <x:v>Весна 2026</x:v>
      </x:c>
      <x:c r="F5981" s="87" t="str">
        <x:v>24.03.2026</x:v>
      </x:c>
      <x:c r="G5981" s="87" t="str">
        <x:v>Русский язык</x:v>
      </x:c>
      <x:c r="H5981" s="87" t="n">
        <x:v>11</x:v>
      </x:c>
      <x:c r="I5981" s="87"/>
      <x:c r="J5981" s="87" t="str">
        <x:v>965</x:v>
      </x:c>
      <x:c r="K5981" s="87" t="n">
        <x:v>27</x:v>
      </x:c>
      <x:c r="L5981" s="87" t="str">
        <x:v>Сочинение</x:v>
      </x:c>
      <x:c r="M5981" s="30" t="str">
        <x:v>Почему взаимопомощь особенно важна в экстремальных обстоятельствах?</x:v>
      </x:c>
      <x:c r="N5981" s="30" t="str">
        <x:v>В условиях блокады или иной катастрофы бескорыстная помощь буквально спасает жизнь. Человек, который делится последним, поддерживает не только тело, но и достоинство другого. Взаимопомощь противостоит страху и одиночеству, укрепляя человеческую солидарность.</x:v>
      </x:c>
      <x:c r="O5981" s="30" t="str">
        <x:v>Рабочая модель формулирует проблему, позицию автора и направление аргументации.</x:v>
      </x:c>
      <x:c r="P5981" s="30"/>
      <x:c r="Q5981" s="30" t="str">
        <x:v>Модель подготовлена по тексту варианта и требованиям задания 27.</x:v>
      </x:c>
      <x:c r="R5981" s="30" t="str">
        <x:v>MODEL_NOT_STANDARDIZED</x:v>
      </x:c>
      <x:c r="S5981" s="30"/>
      <x:c r="T5981" s="30" t="str">
        <x:v>Внутренний ответник и точечная проверка</x:v>
      </x:c>
      <x:c r="U5981" s="30" t="str">
        <x:v>Модель не является единственно возможным сочинением.</x:v>
      </x:c>
      <x:c r="V5981" s="87" t="str">
        <x:v>MODEL_READY</x:v>
      </x:c>
      <x:c r="W5981" s="87"/>
      <x:c r="X5981" s="87" t="n">
        <x:v>12</x:v>
      </x:c>
      <x:c r="Y5981" s="87"/>
      <x:c r="Z5981" s="87"/>
      <x:c r="AA5981" s="87"/>
      <x:c r="AB5981" s="87"/>
      <x:c r="AC5981" s="87" t="str">
        <x:v>VIS-EGKR-RUS-S26-TASK-965-P012</x:v>
      </x:c>
      <x:c r="AD5981" s="87"/>
      <x:c r="AE5981" s="87" t="str">
        <x:v>TASK</x:v>
      </x:c>
      <x:c r="AF5981" s="87" t="str">
        <x:v>VIS-EGKR-RUS-S26-TASK-965-P012: 12</x:v>
      </x:c>
      <x:c r="AG5981" s="87" t="str">
        <x:v>RESOLVED</x:v>
      </x:c>
      <x:c r="AH5981" s="87" t="str">
        <x:v>CROP_VERIFIED</x:v>
      </x:c>
      <x:c r="AI5981" s="30"/>
      <x:c r="AJ5981" s="87" t="str">
        <x:v>clean</x:v>
      </x:c>
      <x:c r="AK5981" s="87" t="str">
        <x:v>clean-v0.18</x:v>
      </x:c>
      <x:c r="AL5981" s="87" t="str">
        <x:v>statgrad_clean_continuation_v0_18(1).xlsx</x:v>
      </x:c>
      <x:c r="AM5981" s="87" t="str">
        <x:v>RUS_EGKR_965</x:v>
      </x:c>
      <x:c r="AN5981" s="87" t="n">
        <x:v>28</x:v>
      </x:c>
    </x:row>
    <x:row r="5982">
      <x:c r="A5982" s="87" t="n">
        <x:v>5981</x:v>
      </x:c>
      <x:c r="B5982" s="87" t="str">
        <x:v>EGKR-S26-PHY-954-01</x:v>
      </x:c>
      <x:c r="C5982" s="87" t="str">
        <x:v>ЕГКР</x:v>
      </x:c>
      <x:c r="D5982" s="87"/>
      <x:c r="E5982" s="87" t="str">
        <x:v>Весна 2026</x:v>
      </x:c>
      <x:c r="F5982" s="87" t="str">
        <x:v>26.03.2026</x:v>
      </x:c>
      <x:c r="G5982" s="87" t="str">
        <x:v>Физика</x:v>
      </x:c>
      <x:c r="H5982" s="87" t="n">
        <x:v>11</x:v>
      </x:c>
      <x:c r="I5982" s="87"/>
      <x:c r="J5982" s="87" t="str">
        <x:v>954</x:v>
      </x:c>
      <x:c r="K5982" s="87" t="n">
        <x:v>1</x:v>
      </x:c>
      <x:c r="L5982" s="87" t="str">
        <x:v>Кинематика по графику</x:v>
      </x:c>
      <x:c r="M5982" s="30" t="str">
        <x:v>На рисунке приведён график зависимости проекции скорости v_x от времени t для тела, движущегося прямолинейно вдоль оси Ox. Определите проекцию a_x ускорения тела в интервале времени от 0 до 5 с. Ответ запишите с учётом знака проекции. Ответ: __________________________ м/с².</x:v>
      </x:c>
      <x:c r="N5982" s="30" t="str">
        <x:v>1</x:v>
      </x:c>
      <x:c r="O5982" s="30" t="str">
        <x:v>Независимый расчёт по исходному условию.</x:v>
      </x:c>
      <x:c r="P5982" s="30"/>
      <x:c r="Q5982" s="30" t="str">
        <x:v>Физический закон, вычисление и полная визуальная страница.</x:v>
      </x:c>
      <x:c r="R5982" s="30" t="str">
        <x:v>1</x:v>
      </x:c>
      <x:c r="S5982" s="30"/>
      <x:c r="T5982" s="30"/>
      <x:c r="U5982" s="30" t="str">
        <x:v>Ответник совпадает с независимой проверкой.</x:v>
      </x:c>
      <x:c r="V5982" s="87" t="str">
        <x:v>VERIFIED</x:v>
      </x:c>
      <x:c r="W5982" s="87"/>
      <x:c r="X5982" s="87" t="n">
        <x:v>1</x:v>
      </x:c>
      <x:c r="Y5982" s="87"/>
      <x:c r="Z5982" s="87"/>
      <x:c r="AA5982" s="87"/>
      <x:c r="AB5982" s="87"/>
      <x:c r="AC5982" s="87" t="str">
        <x:v>VIS-EGKR-PHY-S26-TASK-954-P001</x:v>
      </x:c>
      <x:c r="AD5982" s="87" t="str">
        <x:v>VIS-EGKR-PHY-S26-ANSWERDOC-P002</x:v>
      </x:c>
      <x:c r="AE5982" s="87" t="str">
        <x:v>TASK; SECONDARY_ANSWER_SOURCE</x:v>
      </x:c>
      <x:c r="AF5982" s="87" t="str">
        <x:v>VIS-EGKR-PHY-S26-TASK-954-P001: 1; VIS-EGKR-PHY-S26-ANSWERDOC-P002: 2</x:v>
      </x:c>
      <x:c r="AG5982" s="87" t="str">
        <x:v>RESOLVED</x:v>
      </x:c>
      <x:c r="AH5982" s="87" t="str">
        <x:v>CROP_VERIFIED; TASK_CROP_QA_APPROVED:USE_CONTEXT</x:v>
      </x:c>
      <x:c r="AI5982" s="30"/>
      <x:c r="AJ5982" s="87" t="str">
        <x:v>clean</x:v>
      </x:c>
      <x:c r="AK5982" s="87" t="str">
        <x:v>clean-v0.19</x:v>
      </x:c>
      <x:c r="AL5982" s="87" t="str">
        <x:v>statgrad_clean_continuation_v0_19(1).xlsx</x:v>
      </x:c>
      <x:c r="AM5982" s="87" t="str">
        <x:v>PHY_EGKR_S26_954</x:v>
      </x:c>
      <x:c r="AN5982" s="87" t="n">
        <x:v>2</x:v>
      </x:c>
    </x:row>
    <x:row r="5983">
      <x:c r="A5983" s="87" t="n">
        <x:v>5982</x:v>
      </x:c>
      <x:c r="B5983" s="87" t="str">
        <x:v>EGKR-S26-PHY-954-02</x:v>
      </x:c>
      <x:c r="C5983" s="87" t="str">
        <x:v>ЕГКР</x:v>
      </x:c>
      <x:c r="D5983" s="87"/>
      <x:c r="E5983" s="87" t="str">
        <x:v>Весна 2026</x:v>
      </x:c>
      <x:c r="F5983" s="87" t="str">
        <x:v>26.03.2026</x:v>
      </x:c>
      <x:c r="G5983" s="87" t="str">
        <x:v>Физика</x:v>
      </x:c>
      <x:c r="H5983" s="87" t="n">
        <x:v>11</x:v>
      </x:c>
      <x:c r="I5983" s="87"/>
      <x:c r="J5983" s="87" t="str">
        <x:v>954</x:v>
      </x:c>
      <x:c r="K5983" s="87" t="n">
        <x:v>2</x:v>
      </x:c>
      <x:c r="L5983" s="87" t="str">
        <x:v>Закон всемирного тяготения</x:v>
      </x:c>
      <x:c r="M5983" s="30" t="str">
        <x:v>Два маленьких однородных шарика массой m каждый притягиваются друг к другу с гравитационными силами, равными по модулю 8 пН. Расстояние между центрами шариков равно r. Каков модуль сил гравитационного притяжения друг к другу двух других маленьких однородных шариков, если масса каждого из них составляет 1/2 m, а расстояние между их центрами равно r/3? Ответ: __________________________ пН.</x:v>
      </x:c>
      <x:c r="N5983" s="30" t="str">
        <x:v>18</x:v>
      </x:c>
      <x:c r="O5983" s="30" t="str">
        <x:v>Независимый расчёт по исходному условию.</x:v>
      </x:c>
      <x:c r="P5983" s="30"/>
      <x:c r="Q5983" s="30" t="str">
        <x:v>Физический закон, вычисление и полная визуальная страница.</x:v>
      </x:c>
      <x:c r="R5983" s="30" t="str">
        <x:v>18</x:v>
      </x:c>
      <x:c r="S5983" s="30"/>
      <x:c r="T5983" s="30"/>
      <x:c r="U5983" s="30" t="str">
        <x:v>Ответник совпадает с независимой проверкой.</x:v>
      </x:c>
      <x:c r="V5983" s="87" t="str">
        <x:v>VERIFIED</x:v>
      </x:c>
      <x:c r="W5983" s="87"/>
      <x:c r="X5983" s="87" t="n">
        <x:v>1</x:v>
      </x:c>
      <x:c r="Y5983" s="87"/>
      <x:c r="Z5983" s="87"/>
      <x:c r="AA5983" s="87"/>
      <x:c r="AB5983" s="87"/>
      <x:c r="AC5983" s="87" t="str">
        <x:v>VIS-EGKR-PHY-S26-TASK-954-P001</x:v>
      </x:c>
      <x:c r="AD5983" s="87" t="str">
        <x:v>VIS-EGKR-PHY-S26-ANSWERDOC-P002</x:v>
      </x:c>
      <x:c r="AE5983" s="87" t="str">
        <x:v>TASK; SECONDARY_ANSWER_SOURCE</x:v>
      </x:c>
      <x:c r="AF5983" s="87" t="str">
        <x:v>VIS-EGKR-PHY-S26-TASK-954-P001: 1; VIS-EGKR-PHY-S26-ANSWERDOC-P002: 2</x:v>
      </x:c>
      <x:c r="AG5983" s="87" t="str">
        <x:v>RESOLVED</x:v>
      </x:c>
      <x:c r="AH5983" s="87" t="str">
        <x:v>CROP_VERIFIED</x:v>
      </x:c>
      <x:c r="AI5983" s="30"/>
      <x:c r="AJ5983" s="87" t="str">
        <x:v>clean</x:v>
      </x:c>
      <x:c r="AK5983" s="87" t="str">
        <x:v>clean-v0.19</x:v>
      </x:c>
      <x:c r="AL5983" s="87" t="str">
        <x:v>statgrad_clean_continuation_v0_19(1).xlsx</x:v>
      </x:c>
      <x:c r="AM5983" s="87" t="str">
        <x:v>PHY_EGKR_S26_954</x:v>
      </x:c>
      <x:c r="AN5983" s="87" t="n">
        <x:v>3</x:v>
      </x:c>
    </x:row>
    <x:row r="5984">
      <x:c r="A5984" s="87" t="n">
        <x:v>5983</x:v>
      </x:c>
      <x:c r="B5984" s="87" t="str">
        <x:v>EGKR-S26-PHY-954-03</x:v>
      </x:c>
      <x:c r="C5984" s="87" t="str">
        <x:v>ЕГКР</x:v>
      </x:c>
      <x:c r="D5984" s="87"/>
      <x:c r="E5984" s="87" t="str">
        <x:v>Весна 2026</x:v>
      </x:c>
      <x:c r="F5984" s="87" t="str">
        <x:v>26.03.2026</x:v>
      </x:c>
      <x:c r="G5984" s="87" t="str">
        <x:v>Физика</x:v>
      </x:c>
      <x:c r="H5984" s="87" t="n">
        <x:v>11</x:v>
      </x:c>
      <x:c r="I5984" s="87"/>
      <x:c r="J5984" s="87" t="str">
        <x:v>954</x:v>
      </x:c>
      <x:c r="K5984" s="87" t="n">
        <x:v>3</x:v>
      </x:c>
      <x:c r="L5984" s="87" t="str">
        <x:v>Импульс силы</x:v>
      </x:c>
      <x:c r="M5984" s="30" t="str">
        <x:v>В инерциальной системе отсчёта тело движется по прямой в одном направлении под действием постоянной силы. Определите модуль этой силы, если за 5 с модуль импульса тела изменился на 35 кг·м/с. Ответ: __________________________ Н. 1 ФИЗИКА. 11 класс. Вариант 954</x:v>
      </x:c>
      <x:c r="N5984" s="30" t="str">
        <x:v>7</x:v>
      </x:c>
      <x:c r="O5984" s="30" t="str">
        <x:v>Независимый расчёт по исходному условию.</x:v>
      </x:c>
      <x:c r="P5984" s="30"/>
      <x:c r="Q5984" s="30" t="str">
        <x:v>Физический закон, вычисление и полная визуальная страница.</x:v>
      </x:c>
      <x:c r="R5984" s="30" t="str">
        <x:v>7</x:v>
      </x:c>
      <x:c r="S5984" s="30"/>
      <x:c r="T5984" s="30"/>
      <x:c r="U5984" s="30" t="str">
        <x:v>Ответник совпадает с независимой проверкой.</x:v>
      </x:c>
      <x:c r="V5984" s="87" t="str">
        <x:v>VERIFIED</x:v>
      </x:c>
      <x:c r="W5984" s="87"/>
      <x:c r="X5984" s="87" t="n">
        <x:v>1</x:v>
      </x:c>
      <x:c r="Y5984" s="87"/>
      <x:c r="Z5984" s="87"/>
      <x:c r="AA5984" s="87"/>
      <x:c r="AB5984" s="87"/>
      <x:c r="AC5984" s="87" t="str">
        <x:v>VIS-EGKR-PHY-S26-TASK-954-P001</x:v>
      </x:c>
      <x:c r="AD5984" s="87" t="str">
        <x:v>VIS-EGKR-PHY-S26-ANSWERDOC-P002</x:v>
      </x:c>
      <x:c r="AE5984" s="87" t="str">
        <x:v>TASK; SECONDARY_ANSWER_SOURCE</x:v>
      </x:c>
      <x:c r="AF5984" s="87" t="str">
        <x:v>VIS-EGKR-PHY-S26-TASK-954-P001: 1; VIS-EGKR-PHY-S26-ANSWERDOC-P002: 2</x:v>
      </x:c>
      <x:c r="AG5984" s="87" t="str">
        <x:v>RESOLVED</x:v>
      </x:c>
      <x:c r="AH5984" s="87" t="str">
        <x:v>CROP_VERIFIED</x:v>
      </x:c>
      <x:c r="AI5984" s="30"/>
      <x:c r="AJ5984" s="87" t="str">
        <x:v>clean</x:v>
      </x:c>
      <x:c r="AK5984" s="87" t="str">
        <x:v>clean-v0.19</x:v>
      </x:c>
      <x:c r="AL5984" s="87" t="str">
        <x:v>statgrad_clean_continuation_v0_19(1).xlsx</x:v>
      </x:c>
      <x:c r="AM5984" s="87" t="str">
        <x:v>PHY_EGKR_S26_954</x:v>
      </x:c>
      <x:c r="AN5984" s="87" t="n">
        <x:v>4</x:v>
      </x:c>
    </x:row>
    <x:row r="5985">
      <x:c r="A5985" s="87" t="n">
        <x:v>5984</x:v>
      </x:c>
      <x:c r="B5985" s="87" t="str">
        <x:v>EGKR-S26-PHY-954-04</x:v>
      </x:c>
      <x:c r="C5985" s="87" t="str">
        <x:v>ЕГКР</x:v>
      </x:c>
      <x:c r="D5985" s="87"/>
      <x:c r="E5985" s="87" t="str">
        <x:v>Весна 2026</x:v>
      </x:c>
      <x:c r="F5985" s="87" t="str">
        <x:v>26.03.2026</x:v>
      </x:c>
      <x:c r="G5985" s="87" t="str">
        <x:v>Физика</x:v>
      </x:c>
      <x:c r="H5985" s="87" t="n">
        <x:v>11</x:v>
      </x:c>
      <x:c r="I5985" s="87"/>
      <x:c r="J5985" s="87" t="str">
        <x:v>954</x:v>
      </x:c>
      <x:c r="K5985" s="87" t="n">
        <x:v>4</x:v>
      </x:c>
      <x:c r="L5985" s="87" t="str">
        <x:v>Сила Архимеда</x:v>
      </x:c>
      <x:c r="M5985" s="30" t="str">
        <x:v>Однородная деталь из материала плотностью 2700 кг/м³ и объёмом 600 см³ полностью погружена в воду. Определите модуль силы Архимеда, действующей на деталь. Ответ: __________________________ Н.</x:v>
      </x:c>
      <x:c r="N5985" s="30" t="str">
        <x:v>6</x:v>
      </x:c>
      <x:c r="O5985" s="30" t="str">
        <x:v>Независимый расчёт по исходному условию.</x:v>
      </x:c>
      <x:c r="P5985" s="30"/>
      <x:c r="Q5985" s="30" t="str">
        <x:v>Физический закон, вычисление и полная визуальная страница.</x:v>
      </x:c>
      <x:c r="R5985" s="30" t="str">
        <x:v>5,88</x:v>
      </x:c>
      <x:c r="S5985" s="30"/>
      <x:c r="T5985" s="30"/>
      <x:c r="U5985" s="30" t="str">
        <x:v>Ответник использовал g=9,8 и получил 5,88 Н; в справочных материалах КИМ принято g=10, поэтому F_A=6 Н.</x:v>
      </x:c>
      <x:c r="V5985" s="87" t="str">
        <x:v>KEY_MISMATCH</x:v>
      </x:c>
      <x:c r="W5985" s="87"/>
      <x:c r="X5985" s="87" t="n">
        <x:v>2</x:v>
      </x:c>
      <x:c r="Y5985" s="87"/>
      <x:c r="Z5985" s="87"/>
      <x:c r="AA5985" s="87"/>
      <x:c r="AB5985" s="87"/>
      <x:c r="AC5985" s="87" t="str">
        <x:v>VIS-EGKR-PHY-S26-TASK-954-P002</x:v>
      </x:c>
      <x:c r="AD5985" s="87" t="str">
        <x:v>VIS-EGKR-PHY-S26-ANSWERDOC-P002</x:v>
      </x:c>
      <x:c r="AE5985" s="87" t="str">
        <x:v>TASK; SECONDARY_ANSWER_SOURCE</x:v>
      </x:c>
      <x:c r="AF5985" s="87" t="str">
        <x:v>VIS-EGKR-PHY-S26-TASK-954-P002: 2; VIS-EGKR-PHY-S26-ANSWERDOC-P002: 2</x:v>
      </x:c>
      <x:c r="AG5985" s="87" t="str">
        <x:v>RESOLVED</x:v>
      </x:c>
      <x:c r="AH5985" s="87" t="str">
        <x:v>CROP_VERIFIED</x:v>
      </x:c>
      <x:c r="AI5985" s="30"/>
      <x:c r="AJ5985" s="87" t="str">
        <x:v>clean</x:v>
      </x:c>
      <x:c r="AK5985" s="87" t="str">
        <x:v>clean-v0.19</x:v>
      </x:c>
      <x:c r="AL5985" s="87" t="str">
        <x:v>statgrad_clean_continuation_v0_19(1).xlsx</x:v>
      </x:c>
      <x:c r="AM5985" s="87" t="str">
        <x:v>PHY_EGKR_S26_954</x:v>
      </x:c>
      <x:c r="AN5985" s="87" t="n">
        <x:v>5</x:v>
      </x:c>
    </x:row>
    <x:row r="5986">
      <x:c r="A5986" s="87" t="n">
        <x:v>5985</x:v>
      </x:c>
      <x:c r="B5986" s="87" t="str">
        <x:v>EGKR-S26-PHY-954-05</x:v>
      </x:c>
      <x:c r="C5986" s="87" t="str">
        <x:v>ЕГКР</x:v>
      </x:c>
      <x:c r="D5986" s="87"/>
      <x:c r="E5986" s="87" t="str">
        <x:v>Весна 2026</x:v>
      </x:c>
      <x:c r="F5986" s="87" t="str">
        <x:v>26.03.2026</x:v>
      </x:c>
      <x:c r="G5986" s="87" t="str">
        <x:v>Физика</x:v>
      </x:c>
      <x:c r="H5986" s="87" t="n">
        <x:v>11</x:v>
      </x:c>
      <x:c r="I5986" s="87"/>
      <x:c r="J5986" s="87" t="str">
        <x:v>954</x:v>
      </x:c>
      <x:c r="K5986" s="87" t="n">
        <x:v>5</x:v>
      </x:c>
      <x:c r="L5986" s="87" t="str">
        <x:v>Механические колебания</x:v>
      </x:c>
      <x:c r="M5986" s="30" t="str">
        <x:v>Небольшой шарик математического маятника отклонили на малый угол от положения равновесия в положение 1 и отпустили из состояния покоя (см. рисунок). Частота колебаний маятника равна 0,5 Гц. Потенциальная энергия шарика отсчитывается от положения равновесия. Сопротивлением воздуха пренебречь. Из приведённого ниже списка выберите все верные утверждения о гармонических колебаниях маятника. 1) Через 1 с шарик первый раз вернётся в положение 1. 2) При движении из положения 2 в положение 3 модуль центростремительного ускорения шарика уменьшается. 3) Кинетическая энергия шарика в первый раз достигнет своего максимума через 0,5 с после начала движения. 4) Потенциальная энергия шарика в первый раз достигнет своего максимума через 1,5 с после начала движения. 5) При движении из положения 2 в положение 3 полная механическая энергия шарика остаётся неизменной. Ответ: __________________________. 2 ФИЗИКА. 11 класс. Вариант 954</x:v>
      </x:c>
      <x:c r="N5986" s="30" t="str">
        <x:v>235</x:v>
      </x:c>
      <x:c r="O5986" s="30" t="str">
        <x:v>Независимый расчёт по исходному условию.</x:v>
      </x:c>
      <x:c r="P5986" s="30"/>
      <x:c r="Q5986" s="30" t="str">
        <x:v>Физический закон, вычисление и полная визуальная страница.</x:v>
      </x:c>
      <x:c r="R5986" s="30" t="str">
        <x:v>235</x:v>
      </x:c>
      <x:c r="S5986" s="30"/>
      <x:c r="T5986" s="30"/>
      <x:c r="U5986" s="30" t="str">
        <x:v>Ответник совпадает с независимой проверкой.</x:v>
      </x:c>
      <x:c r="V5986" s="87" t="str">
        <x:v>VERIFIED</x:v>
      </x:c>
      <x:c r="W5986" s="87"/>
      <x:c r="X5986" s="87" t="n">
        <x:v>2</x:v>
      </x:c>
      <x:c r="Y5986" s="87"/>
      <x:c r="Z5986" s="87"/>
      <x:c r="AA5986" s="87"/>
      <x:c r="AB5986" s="87"/>
      <x:c r="AC5986" s="87" t="str">
        <x:v>VIS-EGKR-PHY-S26-TASK-954-P002</x:v>
      </x:c>
      <x:c r="AD5986" s="87" t="str">
        <x:v>VIS-EGKR-PHY-S26-ANSWERDOC-P002</x:v>
      </x:c>
      <x:c r="AE5986" s="87" t="str">
        <x:v>TASK; SECONDARY_ANSWER_SOURCE</x:v>
      </x:c>
      <x:c r="AF5986" s="87" t="str">
        <x:v>VIS-EGKR-PHY-S26-TASK-954-P002: 2; VIS-EGKR-PHY-S26-ANSWERDOC-P002: 2</x:v>
      </x:c>
      <x:c r="AG5986" s="87" t="str">
        <x:v>RESOLVED</x:v>
      </x:c>
      <x:c r="AH5986" s="87" t="str">
        <x:v>CROP_VERIFIED; TASK_CROP_QA_APPROVED:USE_CONTEXT</x:v>
      </x:c>
      <x:c r="AI5986" s="30"/>
      <x:c r="AJ5986" s="87" t="str">
        <x:v>clean</x:v>
      </x:c>
      <x:c r="AK5986" s="87" t="str">
        <x:v>clean-v0.19</x:v>
      </x:c>
      <x:c r="AL5986" s="87" t="str">
        <x:v>statgrad_clean_continuation_v0_19(1).xlsx</x:v>
      </x:c>
      <x:c r="AM5986" s="87" t="str">
        <x:v>PHY_EGKR_S26_954</x:v>
      </x:c>
      <x:c r="AN5986" s="87" t="n">
        <x:v>6</x:v>
      </x:c>
    </x:row>
    <x:row r="5987">
      <x:c r="A5987" s="87" t="n">
        <x:v>5986</x:v>
      </x:c>
      <x:c r="B5987" s="87" t="str">
        <x:v>EGKR-S26-PHY-954-06</x:v>
      </x:c>
      <x:c r="C5987" s="87" t="str">
        <x:v>ЕГКР</x:v>
      </x:c>
      <x:c r="D5987" s="87"/>
      <x:c r="E5987" s="87" t="str">
        <x:v>Весна 2026</x:v>
      </x:c>
      <x:c r="F5987" s="87" t="str">
        <x:v>26.03.2026</x:v>
      </x:c>
      <x:c r="G5987" s="87" t="str">
        <x:v>Физика</x:v>
      </x:c>
      <x:c r="H5987" s="87" t="n">
        <x:v>11</x:v>
      </x:c>
      <x:c r="I5987" s="87"/>
      <x:c r="J5987" s="87" t="str">
        <x:v>954</x:v>
      </x:c>
      <x:c r="K5987" s="87" t="n">
        <x:v>6</x:v>
      </x:c>
      <x:c r="L5987" s="87" t="str">
        <x:v>Графики движения</x:v>
      </x:c>
      <x:c r="M5987" s="30" t="str">
        <x:v>В момент времени t = 0 автомобиль, движущийся со скоростью v прямолинейно вдоль оси Ox, начинает тормозить с постоянным по модулю ускорением. В момент времени t₀ автомобиль останавливается у светофора. В момент времени t = 0 координата автомобиля x = 0. Установите соответствие между графиками и физическими величинами, зависимость которых от времени эти графики могут представлять. График в п. А является фрагментом параболы.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ГРАФИКИ: ФИЗИЧЕСКИЕ ВЕЛИЧИНЫ: 1) координата x 2) проекция скорости v_x 3) проекция ускорения a_x 4) кинетическая энергия E_k Ответ: А Б</x:v>
      </x:c>
      <x:c r="N5987" s="30" t="str">
        <x:v>13</x:v>
      </x:c>
      <x:c r="O5987" s="30" t="str">
        <x:v>Независимый расчёт по исходному условию.</x:v>
      </x:c>
      <x:c r="P5987" s="30"/>
      <x:c r="Q5987" s="30" t="str">
        <x:v>Физический закон, вычисление и полная визуальная страница.</x:v>
      </x:c>
      <x:c r="R5987" s="30" t="str">
        <x:v>13</x:v>
      </x:c>
      <x:c r="S5987" s="30"/>
      <x:c r="T5987" s="30"/>
      <x:c r="U5987" s="30" t="str">
        <x:v>Ответник совпадает с независимой проверкой.</x:v>
      </x:c>
      <x:c r="V5987" s="87" t="str">
        <x:v>VERIFIED</x:v>
      </x:c>
      <x:c r="W5987" s="87"/>
      <x:c r="X5987" s="87" t="n">
        <x:v>3</x:v>
      </x:c>
      <x:c r="Y5987" s="87"/>
      <x:c r="Z5987" s="87"/>
      <x:c r="AA5987" s="87"/>
      <x:c r="AB5987" s="87"/>
      <x:c r="AC5987" s="87" t="str">
        <x:v>VIS-EGKR-PHY-S26-TASK-954-P003</x:v>
      </x:c>
      <x:c r="AD5987" s="87" t="str">
        <x:v>VIS-EGKR-PHY-S26-ANSWERDOC-P002</x:v>
      </x:c>
      <x:c r="AE5987" s="87" t="str">
        <x:v>TASK; SECONDARY_ANSWER_SOURCE</x:v>
      </x:c>
      <x:c r="AF5987" s="87" t="str">
        <x:v>VIS-EGKR-PHY-S26-TASK-954-P003: 3; VIS-EGKR-PHY-S26-ANSWERDOC-P002: 2</x:v>
      </x:c>
      <x:c r="AG5987" s="87" t="str">
        <x:v>RESOLVED</x:v>
      </x:c>
      <x:c r="AH5987" s="87" t="str">
        <x:v>CROP_VERIFIED</x:v>
      </x:c>
      <x:c r="AI5987" s="30"/>
      <x:c r="AJ5987" s="87" t="str">
        <x:v>clean</x:v>
      </x:c>
      <x:c r="AK5987" s="87" t="str">
        <x:v>clean-v0.19</x:v>
      </x:c>
      <x:c r="AL5987" s="87" t="str">
        <x:v>statgrad_clean_continuation_v0_19(1).xlsx</x:v>
      </x:c>
      <x:c r="AM5987" s="87" t="str">
        <x:v>PHY_EGKR_S26_954</x:v>
      </x:c>
      <x:c r="AN5987" s="87" t="n">
        <x:v>7</x:v>
      </x:c>
    </x:row>
    <x:row r="5988">
      <x:c r="A5988" s="87" t="n">
        <x:v>5987</x:v>
      </x:c>
      <x:c r="B5988" s="87" t="str">
        <x:v>EGKR-S26-PHY-954-07</x:v>
      </x:c>
      <x:c r="C5988" s="87" t="str">
        <x:v>ЕГКР</x:v>
      </x:c>
      <x:c r="D5988" s="87"/>
      <x:c r="E5988" s="87" t="str">
        <x:v>Весна 2026</x:v>
      </x:c>
      <x:c r="F5988" s="87" t="str">
        <x:v>26.03.2026</x:v>
      </x:c>
      <x:c r="G5988" s="87" t="str">
        <x:v>Физика</x:v>
      </x:c>
      <x:c r="H5988" s="87" t="n">
        <x:v>11</x:v>
      </x:c>
      <x:c r="I5988" s="87"/>
      <x:c r="J5988" s="87" t="str">
        <x:v>954</x:v>
      </x:c>
      <x:c r="K5988" s="87" t="n">
        <x:v>7</x:v>
      </x:c>
      <x:c r="L5988" s="87" t="str">
        <x:v>Уравнение состояния газа</x:v>
      </x:c>
      <x:c r="M5988" s="30" t="str">
        <x:v>На pV-диаграмме представлен процесс 1–2, в котором участвует разреженный аргон. Температура газа в состоянии 1 равна 450 К. Какая температура соответствует состоянию 2, если масса газа остаётся неизменной? Ответ: __________________________ К. 3 ФИЗИКА. 11 класс. Вариант 954</x:v>
      </x:c>
      <x:c r="N5988" s="30" t="str">
        <x:v>150</x:v>
      </x:c>
      <x:c r="O5988" s="30" t="str">
        <x:v>Независимый расчёт по исходному условию.</x:v>
      </x:c>
      <x:c r="P5988" s="30"/>
      <x:c r="Q5988" s="30" t="str">
        <x:v>Физический закон, вычисление и полная визуальная страница.</x:v>
      </x:c>
      <x:c r="R5988" s="30" t="str">
        <x:v>150</x:v>
      </x:c>
      <x:c r="S5988" s="30"/>
      <x:c r="T5988" s="30"/>
      <x:c r="U5988" s="30" t="str">
        <x:v>Ответник совпадает с независимой проверкой.</x:v>
      </x:c>
      <x:c r="V5988" s="87" t="str">
        <x:v>VERIFIED</x:v>
      </x:c>
      <x:c r="W5988" s="87"/>
      <x:c r="X5988" s="87" t="n">
        <x:v>3</x:v>
      </x:c>
      <x:c r="Y5988" s="87"/>
      <x:c r="Z5988" s="87"/>
      <x:c r="AA5988" s="87"/>
      <x:c r="AB5988" s="87"/>
      <x:c r="AC5988" s="87" t="str">
        <x:v>VIS-EGKR-PHY-S26-TASK-954-P003</x:v>
      </x:c>
      <x:c r="AD5988" s="87" t="str">
        <x:v>VIS-EGKR-PHY-S26-ANSWERDOC-P002</x:v>
      </x:c>
      <x:c r="AE5988" s="87" t="str">
        <x:v>TASK; SECONDARY_ANSWER_SOURCE</x:v>
      </x:c>
      <x:c r="AF5988" s="87" t="str">
        <x:v>VIS-EGKR-PHY-S26-TASK-954-P003: 3; VIS-EGKR-PHY-S26-ANSWERDOC-P002: 2</x:v>
      </x:c>
      <x:c r="AG5988" s="87" t="str">
        <x:v>RESOLVED</x:v>
      </x:c>
      <x:c r="AH5988" s="87" t="str">
        <x:v>CROP_VERIFIED; TASK_CROP_QA_APPROVED:USE_TIGHT</x:v>
      </x:c>
      <x:c r="AI5988" s="30"/>
      <x:c r="AJ5988" s="87" t="str">
        <x:v>clean</x:v>
      </x:c>
      <x:c r="AK5988" s="87" t="str">
        <x:v>clean-v0.19</x:v>
      </x:c>
      <x:c r="AL5988" s="87" t="str">
        <x:v>statgrad_clean_continuation_v0_19(1).xlsx</x:v>
      </x:c>
      <x:c r="AM5988" s="87" t="str">
        <x:v>PHY_EGKR_S26_954</x:v>
      </x:c>
      <x:c r="AN5988" s="87" t="n">
        <x:v>8</x:v>
      </x:c>
    </x:row>
    <x:row r="5989">
      <x:c r="A5989" s="87" t="n">
        <x:v>5988</x:v>
      </x:c>
      <x:c r="B5989" s="87" t="str">
        <x:v>EGKR-S26-PHY-954-08</x:v>
      </x:c>
      <x:c r="C5989" s="87" t="str">
        <x:v>ЕГКР</x:v>
      </x:c>
      <x:c r="D5989" s="87"/>
      <x:c r="E5989" s="87" t="str">
        <x:v>Весна 2026</x:v>
      </x:c>
      <x:c r="F5989" s="87" t="str">
        <x:v>26.03.2026</x:v>
      </x:c>
      <x:c r="G5989" s="87" t="str">
        <x:v>Физика</x:v>
      </x:c>
      <x:c r="H5989" s="87" t="n">
        <x:v>11</x:v>
      </x:c>
      <x:c r="I5989" s="87"/>
      <x:c r="J5989" s="87" t="str">
        <x:v>954</x:v>
      </x:c>
      <x:c r="K5989" s="87" t="n">
        <x:v>8</x:v>
      </x:c>
      <x:c r="L5989" s="87" t="str">
        <x:v>Количество теплоты</x:v>
      </x:c>
      <x:c r="M5989" s="30" t="str">
        <x:v>Медную деталь нагрели от 23 до 48 °C, затратив количество теплоты, равное 7600 Дж. Чему равна масса этой детали? Ответ: __________________________ кг.</x:v>
      </x:c>
      <x:c r="N5989" s="30" t="str">
        <x:v>0,8</x:v>
      </x:c>
      <x:c r="O5989" s="30" t="str">
        <x:v>Независимый расчёт по исходному условию.</x:v>
      </x:c>
      <x:c r="P5989" s="30"/>
      <x:c r="Q5989" s="30" t="str">
        <x:v>Физический закон, вычисление и полная визуальная страница.</x:v>
      </x:c>
      <x:c r="R5989" s="30" t="str">
        <x:v>0,8</x:v>
      </x:c>
      <x:c r="S5989" s="30"/>
      <x:c r="T5989" s="30"/>
      <x:c r="U5989" s="30" t="str">
        <x:v>Ответник совпадает с независимой проверкой.</x:v>
      </x:c>
      <x:c r="V5989" s="87" t="str">
        <x:v>VERIFIED</x:v>
      </x:c>
      <x:c r="W5989" s="87"/>
      <x:c r="X5989" s="87" t="n">
        <x:v>4</x:v>
      </x:c>
      <x:c r="Y5989" s="87"/>
      <x:c r="Z5989" s="87"/>
      <x:c r="AA5989" s="87"/>
      <x:c r="AB5989" s="87"/>
      <x:c r="AC5989" s="87" t="str">
        <x:v>VIS-EGKR-PHY-S26-TASK-954-P004</x:v>
      </x:c>
      <x:c r="AD5989" s="87" t="str">
        <x:v>VIS-EGKR-PHY-S26-ANSWERDOC-P002</x:v>
      </x:c>
      <x:c r="AE5989" s="87" t="str">
        <x:v>TASK; SECONDARY_ANSWER_SOURCE</x:v>
      </x:c>
      <x:c r="AF5989" s="87" t="str">
        <x:v>VIS-EGKR-PHY-S26-TASK-954-P004: 4; VIS-EGKR-PHY-S26-ANSWERDOC-P002: 2</x:v>
      </x:c>
      <x:c r="AG5989" s="87" t="str">
        <x:v>RESOLVED</x:v>
      </x:c>
      <x:c r="AH5989" s="87" t="str">
        <x:v>CROP_VERIFIED</x:v>
      </x:c>
      <x:c r="AI5989" s="30"/>
      <x:c r="AJ5989" s="87" t="str">
        <x:v>clean</x:v>
      </x:c>
      <x:c r="AK5989" s="87" t="str">
        <x:v>clean-v0.19</x:v>
      </x:c>
      <x:c r="AL5989" s="87" t="str">
        <x:v>statgrad_clean_continuation_v0_19(1).xlsx</x:v>
      </x:c>
      <x:c r="AM5989" s="87" t="str">
        <x:v>PHY_EGKR_S26_954</x:v>
      </x:c>
      <x:c r="AN5989" s="87" t="n">
        <x:v>9</x:v>
      </x:c>
    </x:row>
    <x:row r="5990">
      <x:c r="A5990" s="87" t="n">
        <x:v>5989</x:v>
      </x:c>
      <x:c r="B5990" s="87" t="str">
        <x:v>EGKR-S26-PHY-954-09</x:v>
      </x:c>
      <x:c r="C5990" s="87" t="str">
        <x:v>ЕГКР</x:v>
      </x:c>
      <x:c r="D5990" s="87"/>
      <x:c r="E5990" s="87" t="str">
        <x:v>Весна 2026</x:v>
      </x:c>
      <x:c r="F5990" s="87" t="str">
        <x:v>26.03.2026</x:v>
      </x:c>
      <x:c r="G5990" s="87" t="str">
        <x:v>Физика</x:v>
      </x:c>
      <x:c r="H5990" s="87" t="n">
        <x:v>11</x:v>
      </x:c>
      <x:c r="I5990" s="87"/>
      <x:c r="J5990" s="87" t="str">
        <x:v>954</x:v>
      </x:c>
      <x:c r="K5990" s="87" t="n">
        <x:v>9</x:v>
      </x:c>
      <x:c r="L5990" s="87" t="str">
        <x:v>Анализ газового процесса</x:v>
      </x:c>
      <x:c r="M5990" s="30" t="str">
        <x:v>Идеальный газ переводят из состояния 1 в состояние 3 так, как показано на диаграмме p–V, где p — давление газа, V — его объём. Масса газа в процессе постоянна. Из приведённого ниже списка выберите все верные утверждения, характеризующие процессы на графике. 1) В процессе 1–2 внутренняя энергия газа увеличивается в 3 раза. 2) В процессе 2–3 газ изотермически расширяется. 3) В процессе 2–3 абсолютная температура газа увеличивается в 2 раза. 4) В процессе 2–3 газу сообщают положительное количество теплоты. 5) Температура газа максимальна в состоянии 1. Ответ: __________________________.</x:v>
      </x:c>
      <x:c r="N5990" s="30" t="str">
        <x:v>134</x:v>
      </x:c>
      <x:c r="O5990" s="30" t="str">
        <x:v>Независимый расчёт по исходному условию.</x:v>
      </x:c>
      <x:c r="P5990" s="30"/>
      <x:c r="Q5990" s="30" t="str">
        <x:v>Физический закон, вычисление и полная визуальная страница.</x:v>
      </x:c>
      <x:c r="R5990" s="30" t="str">
        <x:v>134</x:v>
      </x:c>
      <x:c r="S5990" s="30"/>
      <x:c r="T5990" s="30"/>
      <x:c r="U5990" s="30" t="str">
        <x:v>Ответник совпадает с независимой проверкой.</x:v>
      </x:c>
      <x:c r="V5990" s="87" t="str">
        <x:v>VERIFIED</x:v>
      </x:c>
      <x:c r="W5990" s="87"/>
      <x:c r="X5990" s="87" t="n">
        <x:v>4</x:v>
      </x:c>
      <x:c r="Y5990" s="87"/>
      <x:c r="Z5990" s="87"/>
      <x:c r="AA5990" s="87"/>
      <x:c r="AB5990" s="87"/>
      <x:c r="AC5990" s="87" t="str">
        <x:v>VIS-EGKR-PHY-S26-TASK-954-P004</x:v>
      </x:c>
      <x:c r="AD5990" s="87" t="str">
        <x:v>VIS-EGKR-PHY-S26-ANSWERDOC-P002</x:v>
      </x:c>
      <x:c r="AE5990" s="87" t="str">
        <x:v>TASK; SECONDARY_ANSWER_SOURCE</x:v>
      </x:c>
      <x:c r="AF5990" s="87" t="str">
        <x:v>VIS-EGKR-PHY-S26-TASK-954-P004: 4; VIS-EGKR-PHY-S26-ANSWERDOC-P002: 2</x:v>
      </x:c>
      <x:c r="AG5990" s="87" t="str">
        <x:v>RESOLVED</x:v>
      </x:c>
      <x:c r="AH5990" s="87" t="str">
        <x:v>CROP_VERIFIED; TASK_CROP_QA_APPROVED:MANUAL_BBOX</x:v>
      </x:c>
      <x:c r="AI5990" s="30"/>
      <x:c r="AJ5990" s="87" t="str">
        <x:v>clean</x:v>
      </x:c>
      <x:c r="AK5990" s="87" t="str">
        <x:v>clean-v0.19</x:v>
      </x:c>
      <x:c r="AL5990" s="87" t="str">
        <x:v>statgrad_clean_continuation_v0_19(1).xlsx</x:v>
      </x:c>
      <x:c r="AM5990" s="87" t="str">
        <x:v>PHY_EGKR_S26_954</x:v>
      </x:c>
      <x:c r="AN5990" s="87" t="n">
        <x:v>10</x:v>
      </x:c>
    </x:row>
    <x:row r="5991">
      <x:c r="A5991" s="87" t="n">
        <x:v>5990</x:v>
      </x:c>
      <x:c r="B5991" s="87" t="str">
        <x:v>EGKR-S26-PHY-954-10</x:v>
      </x:c>
      <x:c r="C5991" s="87" t="str">
        <x:v>ЕГКР</x:v>
      </x:c>
      <x:c r="D5991" s="87"/>
      <x:c r="E5991" s="87" t="str">
        <x:v>Весна 2026</x:v>
      </x:c>
      <x:c r="F5991" s="87" t="str">
        <x:v>26.03.2026</x:v>
      </x:c>
      <x:c r="G5991" s="87" t="str">
        <x:v>Физика</x:v>
      </x:c>
      <x:c r="H5991" s="87" t="n">
        <x:v>11</x:v>
      </x:c>
      <x:c r="I5991" s="87"/>
      <x:c r="J5991" s="87" t="str">
        <x:v>954</x:v>
      </x:c>
      <x:c r="K5991" s="87" t="n">
        <x:v>10</x:v>
      </x:c>
      <x:c r="L5991" s="87" t="str">
        <x:v>Газ под поршнем</x:v>
      </x:c>
      <x:c r="M5991" s="30" t="str">
        <x:v>В вертикальном цилиндрическом сосуде под поршнем находится 1 моль аргона. Поршень не закреплён и может перемещаться в сосуде без трения (см. рисунок). В сосуд добавляют ещё 1 моль аргона. Как изменяются в результате этого давление газа и его плотность, если температура газа поддерживается постоянной? Для каждой величины определите соответствующий характер изменения: 1) увеличивается 2) уменьшается 3) не изменяется Запишите в таблицу выбранные цифры для каждой физической величины. Цифры в ответе могут повторяться. Давление газа Плотность газа 4 ФИЗИКА. 11 класс. Вариант 954</x:v>
      </x:c>
      <x:c r="N5991" s="30" t="str">
        <x:v>33</x:v>
      </x:c>
      <x:c r="O5991" s="30" t="str">
        <x:v>Независимый расчёт по исходному условию.</x:v>
      </x:c>
      <x:c r="P5991" s="30"/>
      <x:c r="Q5991" s="30" t="str">
        <x:v>Физический закон, вычисление и полная визуальная страница.</x:v>
      </x:c>
      <x:c r="R5991" s="30" t="str">
        <x:v>33</x:v>
      </x:c>
      <x:c r="S5991" s="30"/>
      <x:c r="T5991" s="30"/>
      <x:c r="U5991" s="30" t="str">
        <x:v>Ответник совпадает с независимой проверкой.</x:v>
      </x:c>
      <x:c r="V5991" s="87" t="str">
        <x:v>VERIFIED</x:v>
      </x:c>
      <x:c r="W5991" s="87"/>
      <x:c r="X5991" s="87" t="n">
        <x:v>4</x:v>
      </x:c>
      <x:c r="Y5991" s="87"/>
      <x:c r="Z5991" s="87"/>
      <x:c r="AA5991" s="87"/>
      <x:c r="AB5991" s="87"/>
      <x:c r="AC5991" s="87" t="str">
        <x:v>VIS-EGKR-PHY-S26-TASK-954-P004</x:v>
      </x:c>
      <x:c r="AD5991" s="87" t="str">
        <x:v>VIS-EGKR-PHY-S26-ANSWERDOC-P002</x:v>
      </x:c>
      <x:c r="AE5991" s="87" t="str">
        <x:v>TASK; SECONDARY_ANSWER_SOURCE</x:v>
      </x:c>
      <x:c r="AF5991" s="87" t="str">
        <x:v>VIS-EGKR-PHY-S26-TASK-954-P004: 4; VIS-EGKR-PHY-S26-ANSWERDOC-P002: 2</x:v>
      </x:c>
      <x:c r="AG5991" s="87" t="str">
        <x:v>RESOLVED</x:v>
      </x:c>
      <x:c r="AH5991" s="87" t="str">
        <x:v>CROP_VERIFIED; TASK_CROP_QA_APPROVED:MANUAL_BBOX</x:v>
      </x:c>
      <x:c r="AI5991" s="30"/>
      <x:c r="AJ5991" s="87" t="str">
        <x:v>clean</x:v>
      </x:c>
      <x:c r="AK5991" s="87" t="str">
        <x:v>clean-v0.19</x:v>
      </x:c>
      <x:c r="AL5991" s="87" t="str">
        <x:v>statgrad_clean_continuation_v0_19(1).xlsx</x:v>
      </x:c>
      <x:c r="AM5991" s="87" t="str">
        <x:v>PHY_EGKR_S26_954</x:v>
      </x:c>
      <x:c r="AN5991" s="87" t="n">
        <x:v>11</x:v>
      </x:c>
    </x:row>
    <x:row r="5992">
      <x:c r="A5992" s="87" t="n">
        <x:v>5991</x:v>
      </x:c>
      <x:c r="B5992" s="87" t="str">
        <x:v>EGKR-S26-PHY-954-11</x:v>
      </x:c>
      <x:c r="C5992" s="87" t="str">
        <x:v>ЕГКР</x:v>
      </x:c>
      <x:c r="D5992" s="87"/>
      <x:c r="E5992" s="87" t="str">
        <x:v>Весна 2026</x:v>
      </x:c>
      <x:c r="F5992" s="87" t="str">
        <x:v>26.03.2026</x:v>
      </x:c>
      <x:c r="G5992" s="87" t="str">
        <x:v>Физика</x:v>
      </x:c>
      <x:c r="H5992" s="87" t="n">
        <x:v>11</x:v>
      </x:c>
      <x:c r="I5992" s="87"/>
      <x:c r="J5992" s="87" t="str">
        <x:v>954</x:v>
      </x:c>
      <x:c r="K5992" s="87" t="n">
        <x:v>11</x:v>
      </x:c>
      <x:c r="L5992" s="87" t="str">
        <x:v>Заряд по графику</x:v>
      </x:c>
      <x:c r="M5992" s="30" t="str">
        <x:v>На графике показана зависимость силы тока I в проводнике от времени t. Определите заряд, прошедший через поперечное сечение проводника за Δt = 5 с с момента начала отсчёта времени. Ответ: __________________________ Кл.</x:v>
      </x:c>
      <x:c r="N5992" s="30" t="str">
        <x:v>50</x:v>
      </x:c>
      <x:c r="O5992" s="30" t="str">
        <x:v>Независимый расчёт по исходному условию.</x:v>
      </x:c>
      <x:c r="P5992" s="30"/>
      <x:c r="Q5992" s="30" t="str">
        <x:v>Физический закон, вычисление и полная визуальная страница.</x:v>
      </x:c>
      <x:c r="R5992" s="30" t="str">
        <x:v>50</x:v>
      </x:c>
      <x:c r="S5992" s="30"/>
      <x:c r="T5992" s="30"/>
      <x:c r="U5992" s="30" t="str">
        <x:v>Ответник совпадает с независимой проверкой.</x:v>
      </x:c>
      <x:c r="V5992" s="87" t="str">
        <x:v>VERIFIED</x:v>
      </x:c>
      <x:c r="W5992" s="87"/>
      <x:c r="X5992" s="87" t="n">
        <x:v>5</x:v>
      </x:c>
      <x:c r="Y5992" s="87"/>
      <x:c r="Z5992" s="87"/>
      <x:c r="AA5992" s="87"/>
      <x:c r="AB5992" s="87"/>
      <x:c r="AC5992" s="87" t="str">
        <x:v>VIS-EGKR-PHY-S26-TASK-954-P005</x:v>
      </x:c>
      <x:c r="AD5992" s="87" t="str">
        <x:v>VIS-EGKR-PHY-S26-ANSWERDOC-P002</x:v>
      </x:c>
      <x:c r="AE5992" s="87" t="str">
        <x:v>TASK; SECONDARY_ANSWER_SOURCE</x:v>
      </x:c>
      <x:c r="AF5992" s="87" t="str">
        <x:v>VIS-EGKR-PHY-S26-TASK-954-P005: 5; VIS-EGKR-PHY-S26-ANSWERDOC-P002: 2</x:v>
      </x:c>
      <x:c r="AG5992" s="87" t="str">
        <x:v>RESOLVED</x:v>
      </x:c>
      <x:c r="AH5992" s="87" t="str">
        <x:v>CROP_VERIFIED; TASK_CROP_QA_APPROVED:USE_CONTEXT</x:v>
      </x:c>
      <x:c r="AI5992" s="30"/>
      <x:c r="AJ5992" s="87" t="str">
        <x:v>clean</x:v>
      </x:c>
      <x:c r="AK5992" s="87" t="str">
        <x:v>clean-v0.19</x:v>
      </x:c>
      <x:c r="AL5992" s="87" t="str">
        <x:v>statgrad_clean_continuation_v0_19(1).xlsx</x:v>
      </x:c>
      <x:c r="AM5992" s="87" t="str">
        <x:v>PHY_EGKR_S26_954</x:v>
      </x:c>
      <x:c r="AN5992" s="87" t="n">
        <x:v>12</x:v>
      </x:c>
    </x:row>
    <x:row r="5993">
      <x:c r="A5993" s="87" t="n">
        <x:v>5992</x:v>
      </x:c>
      <x:c r="B5993" s="87" t="str">
        <x:v>EGKR-S26-PHY-954-12</x:v>
      </x:c>
      <x:c r="C5993" s="87" t="str">
        <x:v>ЕГКР</x:v>
      </x:c>
      <x:c r="D5993" s="87"/>
      <x:c r="E5993" s="87" t="str">
        <x:v>Весна 2026</x:v>
      </x:c>
      <x:c r="F5993" s="87" t="str">
        <x:v>26.03.2026</x:v>
      </x:c>
      <x:c r="G5993" s="87" t="str">
        <x:v>Физика</x:v>
      </x:c>
      <x:c r="H5993" s="87" t="n">
        <x:v>11</x:v>
      </x:c>
      <x:c r="I5993" s="87"/>
      <x:c r="J5993" s="87" t="str">
        <x:v>954</x:v>
      </x:c>
      <x:c r="K5993" s="87" t="n">
        <x:v>12</x:v>
      </x:c>
      <x:c r="L5993" s="87" t="str">
        <x:v>Сила Ампера</x:v>
      </x:c>
      <x:c r="M5993" s="30" t="str">
        <x:v>Прямой проводник длиной 0,5 м расположен в однородном магнитном поле с индукцией 0,4 Тл перпендикулярно линиям магнитной индукции. По проводнику протекает электрический ток силой 5 А. Определите модуль силы, действующей на проводник в магнитном поле. Ответ: __________________________ Н.</x:v>
      </x:c>
      <x:c r="N5993" s="30" t="str">
        <x:v>1</x:v>
      </x:c>
      <x:c r="O5993" s="30" t="str">
        <x:v>Независимый расчёт по исходному условию.</x:v>
      </x:c>
      <x:c r="P5993" s="30"/>
      <x:c r="Q5993" s="30" t="str">
        <x:v>Физический закон, вычисление и полная визуальная страница.</x:v>
      </x:c>
      <x:c r="R5993" s="30" t="str">
        <x:v>1</x:v>
      </x:c>
      <x:c r="S5993" s="30"/>
      <x:c r="T5993" s="30"/>
      <x:c r="U5993" s="30" t="str">
        <x:v>Ответник совпадает с независимой проверкой.</x:v>
      </x:c>
      <x:c r="V5993" s="87" t="str">
        <x:v>VERIFIED</x:v>
      </x:c>
      <x:c r="W5993" s="87"/>
      <x:c r="X5993" s="87" t="n">
        <x:v>5</x:v>
      </x:c>
      <x:c r="Y5993" s="87"/>
      <x:c r="Z5993" s="87"/>
      <x:c r="AA5993" s="87"/>
      <x:c r="AB5993" s="87"/>
      <x:c r="AC5993" s="87" t="str">
        <x:v>VIS-EGKR-PHY-S26-TASK-954-P005</x:v>
      </x:c>
      <x:c r="AD5993" s="87" t="str">
        <x:v>VIS-EGKR-PHY-S26-ANSWERDOC-P002</x:v>
      </x:c>
      <x:c r="AE5993" s="87" t="str">
        <x:v>TASK; SECONDARY_ANSWER_SOURCE</x:v>
      </x:c>
      <x:c r="AF5993" s="87" t="str">
        <x:v>VIS-EGKR-PHY-S26-TASK-954-P005: 5; VIS-EGKR-PHY-S26-ANSWERDOC-P002: 2</x:v>
      </x:c>
      <x:c r="AG5993" s="87" t="str">
        <x:v>RESOLVED</x:v>
      </x:c>
      <x:c r="AH5993" s="87" t="str">
        <x:v>CROP_VERIFIED</x:v>
      </x:c>
      <x:c r="AI5993" s="30"/>
      <x:c r="AJ5993" s="87" t="str">
        <x:v>clean</x:v>
      </x:c>
      <x:c r="AK5993" s="87" t="str">
        <x:v>clean-v0.19</x:v>
      </x:c>
      <x:c r="AL5993" s="87" t="str">
        <x:v>statgrad_clean_continuation_v0_19(1).xlsx</x:v>
      </x:c>
      <x:c r="AM5993" s="87" t="str">
        <x:v>PHY_EGKR_S26_954</x:v>
      </x:c>
      <x:c r="AN5993" s="87" t="n">
        <x:v>13</x:v>
      </x:c>
    </x:row>
    <x:row r="5994">
      <x:c r="A5994" s="87" t="n">
        <x:v>5993</x:v>
      </x:c>
      <x:c r="B5994" s="87" t="str">
        <x:v>EGKR-S26-PHY-954-13</x:v>
      </x:c>
      <x:c r="C5994" s="87" t="str">
        <x:v>ЕГКР</x:v>
      </x:c>
      <x:c r="D5994" s="87"/>
      <x:c r="E5994" s="87" t="str">
        <x:v>Весна 2026</x:v>
      </x:c>
      <x:c r="F5994" s="87" t="str">
        <x:v>26.03.2026</x:v>
      </x:c>
      <x:c r="G5994" s="87" t="str">
        <x:v>Физика</x:v>
      </x:c>
      <x:c r="H5994" s="87" t="n">
        <x:v>11</x:v>
      </x:c>
      <x:c r="I5994" s="87"/>
      <x:c r="J5994" s="87" t="str">
        <x:v>954</x:v>
      </x:c>
      <x:c r="K5994" s="87" t="n">
        <x:v>13</x:v>
      </x:c>
      <x:c r="L5994" s="87" t="str">
        <x:v>Тонкая линза</x:v>
      </x:c>
      <x:c r="M5994" s="30" t="str">
        <x:v>Какая из точек (1, 2, 3 или 4), показанных на рисунке, является изображением точки S, создаваемым тонкой собирающей линзой с фокусным расстоянием F? Ответ: точка ____________________. 5 ФИЗИКА. 11 класс. Вариант 954</x:v>
      </x:c>
      <x:c r="N5994" s="30" t="str">
        <x:v>2</x:v>
      </x:c>
      <x:c r="O5994" s="30" t="str">
        <x:v>Независимый расчёт по исходному условию.</x:v>
      </x:c>
      <x:c r="P5994" s="30"/>
      <x:c r="Q5994" s="30" t="str">
        <x:v>Физический закон, вычисление и полная визуальная страница.</x:v>
      </x:c>
      <x:c r="R5994" s="30" t="str">
        <x:v>2</x:v>
      </x:c>
      <x:c r="S5994" s="30"/>
      <x:c r="T5994" s="30"/>
      <x:c r="U5994" s="30" t="str">
        <x:v>Ответник совпадает с независимой проверкой.</x:v>
      </x:c>
      <x:c r="V5994" s="87" t="str">
        <x:v>VERIFIED</x:v>
      </x:c>
      <x:c r="W5994" s="87"/>
      <x:c r="X5994" s="87" t="n">
        <x:v>5</x:v>
      </x:c>
      <x:c r="Y5994" s="87"/>
      <x:c r="Z5994" s="87"/>
      <x:c r="AA5994" s="87"/>
      <x:c r="AB5994" s="87"/>
      <x:c r="AC5994" s="87" t="str">
        <x:v>VIS-EGKR-PHY-S26-TASK-954-P005</x:v>
      </x:c>
      <x:c r="AD5994" s="87" t="str">
        <x:v>VIS-EGKR-PHY-S26-ANSWERDOC-P002</x:v>
      </x:c>
      <x:c r="AE5994" s="87" t="str">
        <x:v>TASK; SECONDARY_ANSWER_SOURCE</x:v>
      </x:c>
      <x:c r="AF5994" s="87" t="str">
        <x:v>VIS-EGKR-PHY-S26-TASK-954-P005: 5; VIS-EGKR-PHY-S26-ANSWERDOC-P002: 2</x:v>
      </x:c>
      <x:c r="AG5994" s="87" t="str">
        <x:v>RESOLVED</x:v>
      </x:c>
      <x:c r="AH5994" s="87" t="str">
        <x:v>CROP_VERIFIED; TASK_CROP_QA_APPROVED:MANUAL_BBOX</x:v>
      </x:c>
      <x:c r="AI5994" s="30"/>
      <x:c r="AJ5994" s="87" t="str">
        <x:v>clean</x:v>
      </x:c>
      <x:c r="AK5994" s="87" t="str">
        <x:v>clean-v0.19</x:v>
      </x:c>
      <x:c r="AL5994" s="87" t="str">
        <x:v>statgrad_clean_continuation_v0_19(1).xlsx</x:v>
      </x:c>
      <x:c r="AM5994" s="87" t="str">
        <x:v>PHY_EGKR_S26_954</x:v>
      </x:c>
      <x:c r="AN5994" s="87" t="n">
        <x:v>14</x:v>
      </x:c>
    </x:row>
    <x:row r="5995">
      <x:c r="A5995" s="87" t="n">
        <x:v>5994</x:v>
      </x:c>
      <x:c r="B5995" s="87" t="str">
        <x:v>EGKR-S26-PHY-954-14</x:v>
      </x:c>
      <x:c r="C5995" s="87" t="str">
        <x:v>ЕГКР</x:v>
      </x:c>
      <x:c r="D5995" s="87"/>
      <x:c r="E5995" s="87" t="str">
        <x:v>Весна 2026</x:v>
      </x:c>
      <x:c r="F5995" s="87" t="str">
        <x:v>26.03.2026</x:v>
      </x:c>
      <x:c r="G5995" s="87" t="str">
        <x:v>Физика</x:v>
      </x:c>
      <x:c r="H5995" s="87" t="n">
        <x:v>11</x:v>
      </x:c>
      <x:c r="I5995" s="87"/>
      <x:c r="J5995" s="87" t="str">
        <x:v>954</x:v>
      </x:c>
      <x:c r="K5995" s="87" t="n">
        <x:v>14</x:v>
      </x:c>
      <x:c r="L5995" s="87" t="str">
        <x:v>Электромагнитные колебания</x:v>
      </x:c>
      <x:c r="M5995" s="30" t="str">
        <x:v>В идеальном колебательном контуре, состоящем из конденсатора и катушки индуктивности, происходят свободные электромагнитные колебания. В таблице приведены значения разности потенциалов на обкладках конденсатора в последовательные моменты времени. t, мкс 0 4 8 12 16 20 24 28 32 U, В 0,0 5,6 8,0 5,6 0,0 -5,6 -8,0 -5,6 0,0 Выберите все верные утверждения о процессе, происходящем в колебательном контуре. 1) Период колебаний равен 24 мкс. 2) Частота колебаний равна 31,25 кГц. 3) В момент t = 8·10⁻⁶ с заряд конденсатора равен нулю. 4) В момент t = 24·10⁻⁶ с энергия электрического поля конденсатора минимальна. 5) В момент t = 16·10⁻⁶ с энергия магнитного поля катушки индуктивности максимальна. Ответ: __________________________.</x:v>
      </x:c>
      <x:c r="N5995" s="30" t="str">
        <x:v>25</x:v>
      </x:c>
      <x:c r="O5995" s="30" t="str">
        <x:v>Независимый расчёт по исходному условию.</x:v>
      </x:c>
      <x:c r="P5995" s="30"/>
      <x:c r="Q5995" s="30" t="str">
        <x:v>Физический закон, вычисление и полная визуальная страница.</x:v>
      </x:c>
      <x:c r="R5995" s="30" t="str">
        <x:v>25</x:v>
      </x:c>
      <x:c r="S5995" s="30"/>
      <x:c r="T5995" s="30"/>
      <x:c r="U5995" s="30" t="str">
        <x:v>Ответник совпадает с независимой проверкой.</x:v>
      </x:c>
      <x:c r="V5995" s="87" t="str">
        <x:v>VERIFIED</x:v>
      </x:c>
      <x:c r="W5995" s="87"/>
      <x:c r="X5995" s="87" t="n">
        <x:v>6</x:v>
      </x:c>
      <x:c r="Y5995" s="87"/>
      <x:c r="Z5995" s="87"/>
      <x:c r="AA5995" s="87"/>
      <x:c r="AB5995" s="87"/>
      <x:c r="AC5995" s="87" t="str">
        <x:v>VIS-EGKR-PHY-S26-TASK-954-P006</x:v>
      </x:c>
      <x:c r="AD5995" s="87" t="str">
        <x:v>VIS-EGKR-PHY-S26-ANSWERDOC-P002</x:v>
      </x:c>
      <x:c r="AE5995" s="87" t="str">
        <x:v>TASK; SECONDARY_ANSWER_SOURCE</x:v>
      </x:c>
      <x:c r="AF5995" s="87" t="str">
        <x:v>VIS-EGKR-PHY-S26-TASK-954-P006: 6; VIS-EGKR-PHY-S26-ANSWERDOC-P002: 2</x:v>
      </x:c>
      <x:c r="AG5995" s="87" t="str">
        <x:v>RESOLVED</x:v>
      </x:c>
      <x:c r="AH5995" s="87" t="str">
        <x:v>CROP_VERIFIED; TASK_CROP_QA_APPROVED:USE_TIGHT</x:v>
      </x:c>
      <x:c r="AI5995" s="30"/>
      <x:c r="AJ5995" s="87" t="str">
        <x:v>clean</x:v>
      </x:c>
      <x:c r="AK5995" s="87" t="str">
        <x:v>clean-v0.19</x:v>
      </x:c>
      <x:c r="AL5995" s="87" t="str">
        <x:v>statgrad_clean_continuation_v0_19(1).xlsx</x:v>
      </x:c>
      <x:c r="AM5995" s="87" t="str">
        <x:v>PHY_EGKR_S26_954</x:v>
      </x:c>
      <x:c r="AN5995" s="87" t="n">
        <x:v>15</x:v>
      </x:c>
    </x:row>
    <x:row r="5996">
      <x:c r="A5996" s="87" t="n">
        <x:v>5995</x:v>
      </x:c>
      <x:c r="B5996" s="87" t="str">
        <x:v>EGKR-S26-PHY-954-15</x:v>
      </x:c>
      <x:c r="C5996" s="87" t="str">
        <x:v>ЕГКР</x:v>
      </x:c>
      <x:c r="D5996" s="87"/>
      <x:c r="E5996" s="87" t="str">
        <x:v>Весна 2026</x:v>
      </x:c>
      <x:c r="F5996" s="87" t="str">
        <x:v>26.03.2026</x:v>
      </x:c>
      <x:c r="G5996" s="87" t="str">
        <x:v>Физика</x:v>
      </x:c>
      <x:c r="H5996" s="87" t="n">
        <x:v>11</x:v>
      </x:c>
      <x:c r="I5996" s="87"/>
      <x:c r="J5996" s="87" t="str">
        <x:v>954</x:v>
      </x:c>
      <x:c r="K5996" s="87" t="n">
        <x:v>15</x:v>
      </x:c>
      <x:c r="L5996" s="87" t="str">
        <x:v>Цепь постоянного тока</x:v>
      </x:c>
      <x:c r="M5996" s="30" t="str">
        <x:v>Неразветвлённая электрическая цепь состоит из источника постоянного напряжения и проволочного резистора. Резистор заменили на другой, с проволокой из того же металла и той же длины, но вдвое большего поперечного сечения. Как изменились при этом сила тока в резисторе и тепловая мощность, выделяющаяся на нём? Внутренним сопротивлением источника пренебречь. Для каждой величины определите соответствующий характер изменения: 1) увеличилась 2) уменьшилась 3) не изменилась Запишите в таблицу выбранные цифры для каждой физической величины. Цифры в ответе могут повторяться. Тепловая мощность, выделяющаяся Сила тока в резисторе на резисторе 6 ФИЗИКА. 11 класс. Вариант 954</x:v>
      </x:c>
      <x:c r="N5996" s="30" t="str">
        <x:v>11</x:v>
      </x:c>
      <x:c r="O5996" s="30" t="str">
        <x:v>Независимый расчёт по исходному условию.</x:v>
      </x:c>
      <x:c r="P5996" s="30"/>
      <x:c r="Q5996" s="30" t="str">
        <x:v>Физический закон, вычисление и полная визуальная страница.</x:v>
      </x:c>
      <x:c r="R5996" s="30" t="str">
        <x:v>11</x:v>
      </x:c>
      <x:c r="S5996" s="30"/>
      <x:c r="T5996" s="30"/>
      <x:c r="U5996" s="30" t="str">
        <x:v>Ответник совпадает с независимой проверкой.</x:v>
      </x:c>
      <x:c r="V5996" s="87" t="str">
        <x:v>VERIFIED</x:v>
      </x:c>
      <x:c r="W5996" s="87"/>
      <x:c r="X5996" s="87" t="n">
        <x:v>6</x:v>
      </x:c>
      <x:c r="Y5996" s="87"/>
      <x:c r="Z5996" s="87"/>
      <x:c r="AA5996" s="87"/>
      <x:c r="AB5996" s="87"/>
      <x:c r="AC5996" s="87" t="str">
        <x:v>VIS-EGKR-PHY-S26-TASK-954-P006</x:v>
      </x:c>
      <x:c r="AD5996" s="87" t="str">
        <x:v>VIS-EGKR-PHY-S26-ANSWERDOC-P002</x:v>
      </x:c>
      <x:c r="AE5996" s="87" t="str">
        <x:v>TASK; SECONDARY_ANSWER_SOURCE</x:v>
      </x:c>
      <x:c r="AF5996" s="87" t="str">
        <x:v>VIS-EGKR-PHY-S26-TASK-954-P006: 6; VIS-EGKR-PHY-S26-ANSWERDOC-P002: 2</x:v>
      </x:c>
      <x:c r="AG5996" s="87" t="str">
        <x:v>RESOLVED</x:v>
      </x:c>
      <x:c r="AH5996" s="87" t="str">
        <x:v>CROP_VERIFIED</x:v>
      </x:c>
      <x:c r="AI5996" s="30"/>
      <x:c r="AJ5996" s="87" t="str">
        <x:v>clean</x:v>
      </x:c>
      <x:c r="AK5996" s="87" t="str">
        <x:v>clean-v0.19</x:v>
      </x:c>
      <x:c r="AL5996" s="87" t="str">
        <x:v>statgrad_clean_continuation_v0_19(1).xlsx</x:v>
      </x:c>
      <x:c r="AM5996" s="87" t="str">
        <x:v>PHY_EGKR_S26_954</x:v>
      </x:c>
      <x:c r="AN5996" s="87" t="n">
        <x:v>16</x:v>
      </x:c>
    </x:row>
    <x:row r="5997">
      <x:c r="A5997" s="87" t="n">
        <x:v>5996</x:v>
      </x:c>
      <x:c r="B5997" s="87" t="str">
        <x:v>EGKR-S26-PHY-954-16</x:v>
      </x:c>
      <x:c r="C5997" s="87" t="str">
        <x:v>ЕГКР</x:v>
      </x:c>
      <x:c r="D5997" s="87"/>
      <x:c r="E5997" s="87" t="str">
        <x:v>Весна 2026</x:v>
      </x:c>
      <x:c r="F5997" s="87" t="str">
        <x:v>26.03.2026</x:v>
      </x:c>
      <x:c r="G5997" s="87" t="str">
        <x:v>Физика</x:v>
      </x:c>
      <x:c r="H5997" s="87" t="n">
        <x:v>11</x:v>
      </x:c>
      <x:c r="I5997" s="87"/>
      <x:c r="J5997" s="87" t="str">
        <x:v>954</x:v>
      </x:c>
      <x:c r="K5997" s="87" t="n">
        <x:v>16</x:v>
      </x:c>
      <x:c r="L5997" s="87" t="str">
        <x:v>Ядерная физика</x:v>
      </x:c>
      <x:c r="M5997" s="30" t="str">
        <x:v>На рисунке представлен фрагмент Периодической системы элементов Д.И. Менделеева. Под названием каждого элемента приведены массовые числа его основных стабильных изотопов. При этом нижний индекс около массового числа указывает (в процентах) распространённость изотопа в природе. Запишите число нейтронов в ядре наименее распространённого стабильного изотопа калия. Ответ: __________________________.</x:v>
      </x:c>
      <x:c r="N5997" s="30" t="str">
        <x:v>22</x:v>
      </x:c>
      <x:c r="O5997" s="30" t="str">
        <x:v>Независимый расчёт по исходному условию.</x:v>
      </x:c>
      <x:c r="P5997" s="30"/>
      <x:c r="Q5997" s="30" t="str">
        <x:v>Физический закон, вычисление и полная визуальная страница.</x:v>
      </x:c>
      <x:c r="R5997" s="30" t="str">
        <x:v>22</x:v>
      </x:c>
      <x:c r="S5997" s="30"/>
      <x:c r="T5997" s="30"/>
      <x:c r="U5997" s="30" t="str">
        <x:v>Ответник совпадает с независимой проверкой.</x:v>
      </x:c>
      <x:c r="V5997" s="87" t="str">
        <x:v>VERIFIED</x:v>
      </x:c>
      <x:c r="W5997" s="87"/>
      <x:c r="X5997" s="87" t="n">
        <x:v>7</x:v>
      </x:c>
      <x:c r="Y5997" s="87"/>
      <x:c r="Z5997" s="87"/>
      <x:c r="AA5997" s="87"/>
      <x:c r="AB5997" s="87"/>
      <x:c r="AC5997" s="87" t="str">
        <x:v>VIS-EGKR-PHY-S26-TASK-954-P007</x:v>
      </x:c>
      <x:c r="AD5997" s="87" t="str">
        <x:v>VIS-EGKR-PHY-S26-ANSWERDOC-P002</x:v>
      </x:c>
      <x:c r="AE5997" s="87" t="str">
        <x:v>TASK; SECONDARY_ANSWER_SOURCE</x:v>
      </x:c>
      <x:c r="AF5997" s="87" t="str">
        <x:v>VIS-EGKR-PHY-S26-TASK-954-P007: 7; VIS-EGKR-PHY-S26-ANSWERDOC-P002: 2</x:v>
      </x:c>
      <x:c r="AG5997" s="87" t="str">
        <x:v>RESOLVED</x:v>
      </x:c>
      <x:c r="AH5997" s="87" t="str">
        <x:v>CROP_VERIFIED; TASK_CROP_QA_APPROVED:USE_CONTEXT</x:v>
      </x:c>
      <x:c r="AI5997" s="30"/>
      <x:c r="AJ5997" s="87" t="str">
        <x:v>clean</x:v>
      </x:c>
      <x:c r="AK5997" s="87" t="str">
        <x:v>clean-v0.19</x:v>
      </x:c>
      <x:c r="AL5997" s="87" t="str">
        <x:v>statgrad_clean_continuation_v0_19(1).xlsx</x:v>
      </x:c>
      <x:c r="AM5997" s="87" t="str">
        <x:v>PHY_EGKR_S26_954</x:v>
      </x:c>
      <x:c r="AN5997" s="87" t="n">
        <x:v>17</x:v>
      </x:c>
    </x:row>
    <x:row r="5998">
      <x:c r="A5998" s="87" t="n">
        <x:v>5997</x:v>
      </x:c>
      <x:c r="B5998" s="87" t="str">
        <x:v>EGKR-S26-PHY-954-17</x:v>
      </x:c>
      <x:c r="C5998" s="87" t="str">
        <x:v>ЕГКР</x:v>
      </x:c>
      <x:c r="D5998" s="87"/>
      <x:c r="E5998" s="87" t="str">
        <x:v>Весна 2026</x:v>
      </x:c>
      <x:c r="F5998" s="87" t="str">
        <x:v>26.03.2026</x:v>
      </x:c>
      <x:c r="G5998" s="87" t="str">
        <x:v>Физика</x:v>
      </x:c>
      <x:c r="H5998" s="87" t="n">
        <x:v>11</x:v>
      </x:c>
      <x:c r="I5998" s="87"/>
      <x:c r="J5998" s="87" t="str">
        <x:v>954</x:v>
      </x:c>
      <x:c r="K5998" s="87" t="n">
        <x:v>17</x:v>
      </x:c>
      <x:c r="L5998" s="87" t="str">
        <x:v>Фотоэффект</x:v>
      </x:c>
      <x:c r="M5998" s="30" t="str">
        <x:v>При исследовании зависимости кинетической энергии фотоэлектронов от длины волны падающего света фотоэлемент освещался различными монохроматическими источниками света. В первой серии опытов использовался источник, излучающий только фиолетовый свет, а во второй — излучающий только зелёный свет. В каждом опыте наблюдали явление фотоэффекта и измеряли запирающее напряжение. Как изменялись энергия квантов электромагнитного излучения, падающих на фотоэлемент, и модуль запирающего напряжения при переходе от первой серии опытов ко второй? Для каждой величины определите соответствующий характер её изменения: 1) увеличивалась 2) уменьшалась 3) не изменялась Запишите в таблицу выбранные цифры для каждой физической величины. Цифры в ответе могут повторяться. Энергия квантов, падающих Модуль запирающего на фотоэлемент напряжения 7 ФИЗИКА. 11 класс. Вариант 954</x:v>
      </x:c>
      <x:c r="N5998" s="30" t="str">
        <x:v>22</x:v>
      </x:c>
      <x:c r="O5998" s="30" t="str">
        <x:v>Независимый расчёт по исходному условию.</x:v>
      </x:c>
      <x:c r="P5998" s="30"/>
      <x:c r="Q5998" s="30" t="str">
        <x:v>Физический закон, вычисление и полная визуальная страница.</x:v>
      </x:c>
      <x:c r="R5998" s="30" t="str">
        <x:v>22</x:v>
      </x:c>
      <x:c r="S5998" s="30"/>
      <x:c r="T5998" s="30"/>
      <x:c r="U5998" s="30" t="str">
        <x:v>Ответник совпадает с независимой проверкой.</x:v>
      </x:c>
      <x:c r="V5998" s="87" t="str">
        <x:v>VERIFIED</x:v>
      </x:c>
      <x:c r="W5998" s="87"/>
      <x:c r="X5998" s="87" t="n">
        <x:v>7</x:v>
      </x:c>
      <x:c r="Y5998" s="87"/>
      <x:c r="Z5998" s="87"/>
      <x:c r="AA5998" s="87"/>
      <x:c r="AB5998" s="87"/>
      <x:c r="AC5998" s="87" t="str">
        <x:v>VIS-EGKR-PHY-S26-TASK-954-P007</x:v>
      </x:c>
      <x:c r="AD5998" s="87" t="str">
        <x:v>VIS-EGKR-PHY-S26-ANSWERDOC-P002</x:v>
      </x:c>
      <x:c r="AE5998" s="87" t="str">
        <x:v>TASK; SECONDARY_ANSWER_SOURCE</x:v>
      </x:c>
      <x:c r="AF5998" s="87" t="str">
        <x:v>VIS-EGKR-PHY-S26-TASK-954-P007: 7; VIS-EGKR-PHY-S26-ANSWERDOC-P002: 2</x:v>
      </x:c>
      <x:c r="AG5998" s="87" t="str">
        <x:v>RESOLVED</x:v>
      </x:c>
      <x:c r="AH5998" s="87" t="str">
        <x:v>CROP_VERIFIED; TASK_CROP_NO_CROP_NEEDED</x:v>
      </x:c>
      <x:c r="AI5998" s="30"/>
      <x:c r="AJ5998" s="87" t="str">
        <x:v>clean</x:v>
      </x:c>
      <x:c r="AK5998" s="87" t="str">
        <x:v>clean-v0.19</x:v>
      </x:c>
      <x:c r="AL5998" s="87" t="str">
        <x:v>statgrad_clean_continuation_v0_19(1).xlsx</x:v>
      </x:c>
      <x:c r="AM5998" s="87" t="str">
        <x:v>PHY_EGKR_S26_954</x:v>
      </x:c>
      <x:c r="AN5998" s="87" t="n">
        <x:v>18</x:v>
      </x:c>
    </x:row>
    <x:row r="5999">
      <x:c r="A5999" s="87" t="n">
        <x:v>5998</x:v>
      </x:c>
      <x:c r="B5999" s="87" t="str">
        <x:v>EGKR-S26-PHY-954-18</x:v>
      </x:c>
      <x:c r="C5999" s="87" t="str">
        <x:v>ЕГКР</x:v>
      </x:c>
      <x:c r="D5999" s="87"/>
      <x:c r="E5999" s="87" t="str">
        <x:v>Весна 2026</x:v>
      </x:c>
      <x:c r="F5999" s="87" t="str">
        <x:v>26.03.2026</x:v>
      </x:c>
      <x:c r="G5999" s="87" t="str">
        <x:v>Физика</x:v>
      </x:c>
      <x:c r="H5999" s="87" t="n">
        <x:v>11</x:v>
      </x:c>
      <x:c r="I5999" s="87"/>
      <x:c r="J5999" s="87" t="str">
        <x:v>954</x:v>
      </x:c>
      <x:c r="K5999" s="87" t="n">
        <x:v>18</x:v>
      </x:c>
      <x:c r="L5999" s="87" t="str">
        <x:v>Физические законы</x:v>
      </x:c>
      <x:c r="M5999" s="30" t="str">
        <x:v>Выберите все верные утверждения о физических явлениях, величинах и закономерностях. Запишите цифры, под которыми они указаны. 1) Тела действуют друг на друга с силами, направленными в противоположные стороны, равными по модулю, но имеющими различную природу. 2) Теплопередача путём конвекции происходит за счёт переноса вещества в струях и потоках. 3) Внутри заряженного проводника напряжённость электростатического поля уменьшается по мере удаления от поверхности проводника. 4) В процессе свободных электромагнитных колебаний в идеальном колебательном контуре полная энергия электромагнитного поля остаётся неизменной. 5) Число электронов в электронной оболочке нейтрального атома химического элемента всегда равно числу нейтронов в ядре этого элемента. Ответ: __________________________.</x:v>
      </x:c>
      <x:c r="N5999" s="30" t="str">
        <x:v>24</x:v>
      </x:c>
      <x:c r="O5999" s="30" t="str">
        <x:v>Независимый расчёт по исходному условию.</x:v>
      </x:c>
      <x:c r="P5999" s="30"/>
      <x:c r="Q5999" s="30" t="str">
        <x:v>Физический закон, вычисление и полная визуальная страница.</x:v>
      </x:c>
      <x:c r="R5999" s="30" t="str">
        <x:v>24</x:v>
      </x:c>
      <x:c r="S5999" s="30"/>
      <x:c r="T5999" s="30"/>
      <x:c r="U5999" s="30" t="str">
        <x:v>Ответник совпадает с независимой проверкой.</x:v>
      </x:c>
      <x:c r="V5999" s="87" t="str">
        <x:v>VERIFIED</x:v>
      </x:c>
      <x:c r="W5999" s="87"/>
      <x:c r="X5999" s="87" t="n">
        <x:v>8</x:v>
      </x:c>
      <x:c r="Y5999" s="87"/>
      <x:c r="Z5999" s="87"/>
      <x:c r="AA5999" s="87"/>
      <x:c r="AB5999" s="87"/>
      <x:c r="AC5999" s="87" t="str">
        <x:v>VIS-EGKR-PHY-S26-TASK-954-P008</x:v>
      </x:c>
      <x:c r="AD5999" s="87" t="str">
        <x:v>VIS-EGKR-PHY-S26-ANSWERDOC-P002</x:v>
      </x:c>
      <x:c r="AE5999" s="87" t="str">
        <x:v>TASK; SECONDARY_ANSWER_SOURCE</x:v>
      </x:c>
      <x:c r="AF5999" s="87" t="str">
        <x:v>VIS-EGKR-PHY-S26-TASK-954-P008: 8; VIS-EGKR-PHY-S26-ANSWERDOC-P002: 2</x:v>
      </x:c>
      <x:c r="AG5999" s="87" t="str">
        <x:v>RESOLVED</x:v>
      </x:c>
      <x:c r="AH5999" s="87" t="str">
        <x:v>CROP_VERIFIED</x:v>
      </x:c>
      <x:c r="AI5999" s="30"/>
      <x:c r="AJ5999" s="87" t="str">
        <x:v>clean</x:v>
      </x:c>
      <x:c r="AK5999" s="87" t="str">
        <x:v>clean-v0.19</x:v>
      </x:c>
      <x:c r="AL5999" s="87" t="str">
        <x:v>statgrad_clean_continuation_v0_19(1).xlsx</x:v>
      </x:c>
      <x:c r="AM5999" s="87" t="str">
        <x:v>PHY_EGKR_S26_954</x:v>
      </x:c>
      <x:c r="AN5999" s="87" t="n">
        <x:v>19</x:v>
      </x:c>
    </x:row>
    <x:row r="6000">
      <x:c r="A6000" s="87" t="n">
        <x:v>5999</x:v>
      </x:c>
      <x:c r="B6000" s="87" t="str">
        <x:v>EGKR-S26-PHY-954-19</x:v>
      </x:c>
      <x:c r="C6000" s="87" t="str">
        <x:v>ЕГКР</x:v>
      </x:c>
      <x:c r="D6000" s="87"/>
      <x:c r="E6000" s="87" t="str">
        <x:v>Весна 2026</x:v>
      </x:c>
      <x:c r="F6000" s="87" t="str">
        <x:v>26.03.2026</x:v>
      </x:c>
      <x:c r="G6000" s="87" t="str">
        <x:v>Физика</x:v>
      </x:c>
      <x:c r="H6000" s="87" t="n">
        <x:v>11</x:v>
      </x:c>
      <x:c r="I6000" s="87"/>
      <x:c r="J6000" s="87" t="str">
        <x:v>954</x:v>
      </x:c>
      <x:c r="K6000" s="87" t="n">
        <x:v>19</x:v>
      </x:c>
      <x:c r="L6000" s="87" t="str">
        <x:v>Измерение и погрешность</x:v>
      </x:c>
      <x:c r="M6000" s="30" t="str">
        <x:v>150 одинаковых гвоздиков положили на весы. Весы показали 90 г. Чему равна масса одного гвоздика по результатам этого измерения, если его абсолютная погрешность равна 1,5 г? Ответ: ( __________ ± __________ ) г. В БЛАНК ОТВЕТОВ № 1 перенесите только числа, не разделяя их пробелом или другим знаком. 8 ФИЗИКА. 11 класс. Вариант 954</x:v>
      </x:c>
      <x:c r="N6000" s="30" t="str">
        <x:v>0,6 ± 0,01</x:v>
      </x:c>
      <x:c r="O6000" s="30" t="str">
        <x:v>Независимый расчёт по исходному условию.</x:v>
      </x:c>
      <x:c r="P6000" s="30"/>
      <x:c r="Q6000" s="30" t="str">
        <x:v>Физический закон, вычисление и полная визуальная страница.</x:v>
      </x:c>
      <x:c r="R6000" s="30" t="str">
        <x:v>0,6 ± 0,01</x:v>
      </x:c>
      <x:c r="S6000" s="30"/>
      <x:c r="T6000" s="30"/>
      <x:c r="U6000" s="30" t="str">
        <x:v>Ответник совпадает с независимой проверкой.</x:v>
      </x:c>
      <x:c r="V6000" s="87" t="str">
        <x:v>VERIFIED</x:v>
      </x:c>
      <x:c r="W6000" s="87"/>
      <x:c r="X6000" s="87" t="n">
        <x:v>9</x:v>
      </x:c>
      <x:c r="Y6000" s="87"/>
      <x:c r="Z6000" s="87"/>
      <x:c r="AA6000" s="87"/>
      <x:c r="AB6000" s="87"/>
      <x:c r="AC6000" s="87" t="str">
        <x:v>VIS-EGKR-PHY-S26-TASK-954-P009</x:v>
      </x:c>
      <x:c r="AD6000" s="87" t="str">
        <x:v>VIS-EGKR-PHY-S26-ANSWERDOC-P002</x:v>
      </x:c>
      <x:c r="AE6000" s="87" t="str">
        <x:v>TASK; SECONDARY_ANSWER_SOURCE</x:v>
      </x:c>
      <x:c r="AF6000" s="87" t="str">
        <x:v>VIS-EGKR-PHY-S26-TASK-954-P009: 9; VIS-EGKR-PHY-S26-ANSWERDOC-P002: 2</x:v>
      </x:c>
      <x:c r="AG6000" s="87" t="str">
        <x:v>RESOLVED</x:v>
      </x:c>
      <x:c r="AH6000" s="87" t="str">
        <x:v>CROP_VERIFIED</x:v>
      </x:c>
      <x:c r="AI6000" s="30"/>
      <x:c r="AJ6000" s="87" t="str">
        <x:v>clean</x:v>
      </x:c>
      <x:c r="AK6000" s="87" t="str">
        <x:v>clean-v0.19</x:v>
      </x:c>
      <x:c r="AL6000" s="87" t="str">
        <x:v>statgrad_clean_continuation_v0_19(1).xlsx</x:v>
      </x:c>
      <x:c r="AM6000" s="87" t="str">
        <x:v>PHY_EGKR_S26_954</x:v>
      </x:c>
      <x:c r="AN6000" s="87" t="n">
        <x:v>20</x:v>
      </x:c>
    </x:row>
    <x:row r="6001">
      <x:c r="A6001" s="87" t="n">
        <x:v>6000</x:v>
      </x:c>
      <x:c r="B6001" s="87" t="str">
        <x:v>EGKR-S26-PHY-954-20</x:v>
      </x:c>
      <x:c r="C6001" s="87" t="str">
        <x:v>ЕГКР</x:v>
      </x:c>
      <x:c r="D6001" s="87"/>
      <x:c r="E6001" s="87" t="str">
        <x:v>Весна 2026</x:v>
      </x:c>
      <x:c r="F6001" s="87" t="str">
        <x:v>26.03.2026</x:v>
      </x:c>
      <x:c r="G6001" s="87" t="str">
        <x:v>Физика</x:v>
      </x:c>
      <x:c r="H6001" s="87" t="n">
        <x:v>11</x:v>
      </x:c>
      <x:c r="I6001" s="87"/>
      <x:c r="J6001" s="87" t="str">
        <x:v>954</x:v>
      </x:c>
      <x:c r="K6001" s="87" t="n">
        <x:v>20</x:v>
      </x:c>
      <x:c r="L6001" s="87" t="str">
        <x:v>Планирование эксперимента</x:v>
      </x:c>
      <x:c r="M6001" s="30" t="str">
        <x:v>Ученику необходимо на опыте обнаружить зависимость давления газа, находящегося в сосуде, от объёма сосуда. У него имеются пять различных сосудов с манометрами. Сосуды наполнены неоном разной массы при различных температурах (см. таблицу). Какие два сосуда необходимо взять ученику, чтобы провести исследование? № Объём сосуда, Температура газа Масса газа сосуда л в сосуде, K в сосуде, г 1 5 320 8 2 10 350 5 3 8 320 7 4 12 350 5 5 5 300 8 Запишите в ответе номера выбранных сосудов. Ответ: □□ Не забудьте перенести все ответы в БЛАНК ОТВЕТОВ № 1 в соответствии с инструкцией по выполнению работы. Проверьте, чтобы каждый ответ был записан в строке с номером соответствующего задания. 9 ФИЗИКА. 11 класс. Вариант 954 Часть 2 Для записи ответов на задания 21–26 используйте БЛАНК ОТВЕТОВ № 2. Запишите сначала номер задания (21, 22 и т.д.), а затем решение соответствующей задачи. Ответы записывайте чётко и разборчиво.</x:v>
      </x:c>
      <x:c r="N6001" s="30" t="str">
        <x:v>24</x:v>
      </x:c>
      <x:c r="O6001" s="30" t="str">
        <x:v>Независимый расчёт по исходному условию.</x:v>
      </x:c>
      <x:c r="P6001" s="30"/>
      <x:c r="Q6001" s="30" t="str">
        <x:v>Физический закон, вычисление и полная визуальная страница.</x:v>
      </x:c>
      <x:c r="R6001" s="30" t="str">
        <x:v>24</x:v>
      </x:c>
      <x:c r="S6001" s="30"/>
      <x:c r="T6001" s="30"/>
      <x:c r="U6001" s="30" t="str">
        <x:v>Ответник совпадает с независимой проверкой.</x:v>
      </x:c>
      <x:c r="V6001" s="87" t="str">
        <x:v>VERIFIED</x:v>
      </x:c>
      <x:c r="W6001" s="87"/>
      <x:c r="X6001" s="87" t="n">
        <x:v>9</x:v>
      </x:c>
      <x:c r="Y6001" s="87"/>
      <x:c r="Z6001" s="87"/>
      <x:c r="AA6001" s="87"/>
      <x:c r="AB6001" s="87"/>
      <x:c r="AC6001" s="87" t="str">
        <x:v>VIS-EGKR-PHY-S26-TASK-954-P009</x:v>
      </x:c>
      <x:c r="AD6001" s="87" t="str">
        <x:v>VIS-EGKR-PHY-S26-ANSWERDOC-P002</x:v>
      </x:c>
      <x:c r="AE6001" s="87" t="str">
        <x:v>TASK; SECONDARY_ANSWER_SOURCE</x:v>
      </x:c>
      <x:c r="AF6001" s="87" t="str">
        <x:v>VIS-EGKR-PHY-S26-TASK-954-P009: 9; VIS-EGKR-PHY-S26-ANSWERDOC-P002: 2</x:v>
      </x:c>
      <x:c r="AG6001" s="87" t="str">
        <x:v>RESOLVED</x:v>
      </x:c>
      <x:c r="AH6001" s="87" t="str">
        <x:v>CROP_VERIFIED; TASK_CROP_QA_APPROVED:USE_TIGHT</x:v>
      </x:c>
      <x:c r="AI6001" s="30"/>
      <x:c r="AJ6001" s="87" t="str">
        <x:v>clean</x:v>
      </x:c>
      <x:c r="AK6001" s="87" t="str">
        <x:v>clean-v0.19</x:v>
      </x:c>
      <x:c r="AL6001" s="87" t="str">
        <x:v>statgrad_clean_continuation_v0_19(1).xlsx</x:v>
      </x:c>
      <x:c r="AM6001" s="87" t="str">
        <x:v>PHY_EGKR_S26_954</x:v>
      </x:c>
      <x:c r="AN6001" s="87" t="n">
        <x:v>21</x:v>
      </x:c>
    </x:row>
    <x:row r="6002">
      <x:c r="A6002" s="87" t="n">
        <x:v>6001</x:v>
      </x:c>
      <x:c r="B6002" s="87" t="str">
        <x:v>EGKR-S26-PHY-954-21</x:v>
      </x:c>
      <x:c r="C6002" s="87" t="str">
        <x:v>ЕГКР</x:v>
      </x:c>
      <x:c r="D6002" s="87"/>
      <x:c r="E6002" s="87" t="str">
        <x:v>Весна 2026</x:v>
      </x:c>
      <x:c r="F6002" s="87" t="str">
        <x:v>26.03.2026</x:v>
      </x:c>
      <x:c r="G6002" s="87" t="str">
        <x:v>Физика</x:v>
      </x:c>
      <x:c r="H6002" s="87" t="n">
        <x:v>11</x:v>
      </x:c>
      <x:c r="I6002" s="87"/>
      <x:c r="J6002" s="87" t="str">
        <x:v>954</x:v>
      </x:c>
      <x:c r="K6002" s="87" t="n">
        <x:v>21</x:v>
      </x:c>
      <x:c r="L6002" s="87" t="str">
        <x:v>Развёрнутый ответ</x:v>
      </x:c>
      <x:c r="M6002" s="30" t="str">
        <x:v>Один моль одноатомного идеального газа участвует в процессе 1–2–3–4, график которого изображён на рисунке в координатах V–T, где V — объём газа, T — абсолютная температура газа. Опираясь на законы молекулярной физики и термодинамики, объясните, получает ли газ или отдаёт положительное количество теплоты в процессах 1–2, 2–3 и 3–4. Полное правильное решение каждой из задач 22–26 должно содержать законы и формулы, применение которых необходимо и достаточно для решения задачи, а также математические преобразования, расчёты с численным ответом и при необходимости рисунок, поясняющий решение.</x:v>
      </x:c>
      <x:c r="N6002" s="30" t="str">
        <x:v>1–2: газ отдаёт тепло; 2–3 и 3–4: получает тепло. Используются pV=νRT, U=3νRT/2 и Q=ΔU+A.</x:v>
      </x:c>
      <x:c r="O6002" s="30" t="str">
        <x:v>Полное решение сохранено в отдельном файле второй части.</x:v>
      </x:c>
      <x:c r="P6002" s="30"/>
      <x:c r="Q6002" s="30" t="str">
        <x:v>Сверено с исходным условием и подробным разбором.</x:v>
      </x:c>
      <x:c r="R6002" s="30" t="str">
        <x:v>MODEL_NOT_IN_SHORT_KEY</x:v>
      </x:c>
      <x:c r="S6002" s="30"/>
      <x:c r="T6002" s="30"/>
      <x:c r="U6002" s="30" t="str">
        <x:v>Расхождений не выявлено.</x:v>
      </x:c>
      <x:c r="V6002" s="87" t="str">
        <x:v>VERIFIED</x:v>
      </x:c>
      <x:c r="W6002" s="87"/>
      <x:c r="X6002" s="87" t="n">
        <x:v>10</x:v>
      </x:c>
      <x:c r="Y6002" s="87"/>
      <x:c r="Z6002" s="87"/>
      <x:c r="AA6002" s="87"/>
      <x:c r="AB6002" s="87"/>
      <x:c r="AC6002" s="87" t="str">
        <x:v>VIS-EGKR-PHY-S26-TASK-954-P010</x:v>
      </x:c>
      <x:c r="AD6002" s="87" t="str">
        <x:v>VIS-EGKR-PHY-S26-SOL-954-P002; VIS-EGKR-PHY-S26-SOL-954-P003</x:v>
      </x:c>
      <x:c r="AE6002" s="87" t="str">
        <x:v>TASK; SOLUTION</x:v>
      </x:c>
      <x:c r="AF6002" s="87" t="str">
        <x:v>VIS-EGKR-PHY-S26-TASK-954-P010: 10; VIS-EGKR-PHY-S26-SOL-954-P002: 2; VIS-EGKR-PHY-S26-SOL-954-P003: 3</x:v>
      </x:c>
      <x:c r="AG6002" s="87" t="str">
        <x:v>RESOLVED</x:v>
      </x:c>
      <x:c r="AH6002" s="87" t="str">
        <x:v>CROP_VERIFIED; TASK_CROP_QA_APPROVED:MANUAL_BBOX</x:v>
      </x:c>
      <x:c r="AI6002" s="30"/>
      <x:c r="AJ6002" s="87" t="str">
        <x:v>clean</x:v>
      </x:c>
      <x:c r="AK6002" s="87" t="str">
        <x:v>clean-v0.19</x:v>
      </x:c>
      <x:c r="AL6002" s="87" t="str">
        <x:v>statgrad_clean_continuation_v0_19(1).xlsx</x:v>
      </x:c>
      <x:c r="AM6002" s="87" t="str">
        <x:v>PHY_EGKR_S26_954</x:v>
      </x:c>
      <x:c r="AN6002" s="87" t="n">
        <x:v>22</x:v>
      </x:c>
    </x:row>
    <x:row r="6003">
      <x:c r="A6003" s="87" t="n">
        <x:v>6002</x:v>
      </x:c>
      <x:c r="B6003" s="87" t="str">
        <x:v>EGKR-S26-PHY-954-22</x:v>
      </x:c>
      <x:c r="C6003" s="87" t="str">
        <x:v>ЕГКР</x:v>
      </x:c>
      <x:c r="D6003" s="87"/>
      <x:c r="E6003" s="87" t="str">
        <x:v>Весна 2026</x:v>
      </x:c>
      <x:c r="F6003" s="87" t="str">
        <x:v>26.03.2026</x:v>
      </x:c>
      <x:c r="G6003" s="87" t="str">
        <x:v>Физика</x:v>
      </x:c>
      <x:c r="H6003" s="87" t="n">
        <x:v>11</x:v>
      </x:c>
      <x:c r="I6003" s="87"/>
      <x:c r="J6003" s="87" t="str">
        <x:v>954</x:v>
      </x:c>
      <x:c r="K6003" s="87" t="n">
        <x:v>22</x:v>
      </x:c>
      <x:c r="L6003" s="87" t="str">
        <x:v>Развёрнутый ответ</x:v>
      </x:c>
      <x:c r="M6003" s="30" t="str">
        <x:v>Груз подвешен на пружине жёсткостью 100 Н/м к потолку лифта. Лифт равноускоренно движется вниз с ускорением 2,5 м/с², набирая скорость. Какова масса груза, если удлинение пружины постоянно и равно 1,5 см?</x:v>
      </x:c>
      <x:c r="N6003" s="30" t="str">
        <x:v>mg-kx=ma; m=0,20 кг.</x:v>
      </x:c>
      <x:c r="O6003" s="30" t="str">
        <x:v>Полное решение сохранено в отдельном файле второй части.</x:v>
      </x:c>
      <x:c r="P6003" s="30"/>
      <x:c r="Q6003" s="30" t="str">
        <x:v>Сверено с исходным условием и подробным разбором.</x:v>
      </x:c>
      <x:c r="R6003" s="30" t="str">
        <x:v>MODEL_NOT_IN_SHORT_KEY</x:v>
      </x:c>
      <x:c r="S6003" s="30"/>
      <x:c r="T6003" s="30"/>
      <x:c r="U6003" s="30" t="str">
        <x:v>Расхождений не выявлено.</x:v>
      </x:c>
      <x:c r="V6003" s="87" t="str">
        <x:v>VERIFIED</x:v>
      </x:c>
      <x:c r="W6003" s="87"/>
      <x:c r="X6003" s="87" t="n">
        <x:v>10</x:v>
      </x:c>
      <x:c r="Y6003" s="87"/>
      <x:c r="Z6003" s="87"/>
      <x:c r="AA6003" s="87"/>
      <x:c r="AB6003" s="87"/>
      <x:c r="AC6003" s="87" t="str">
        <x:v>VIS-EGKR-PHY-S26-TASK-954-P010</x:v>
      </x:c>
      <x:c r="AD6003" s="87" t="str">
        <x:v>VIS-EGKR-PHY-S26-SOL-954-P004</x:v>
      </x:c>
      <x:c r="AE6003" s="87" t="str">
        <x:v>TASK; SOLUTION</x:v>
      </x:c>
      <x:c r="AF6003" s="87" t="str">
        <x:v>VIS-EGKR-PHY-S26-TASK-954-P010: 10; VIS-EGKR-PHY-S26-SOL-954-P004: 4</x:v>
      </x:c>
      <x:c r="AG6003" s="87" t="str">
        <x:v>RESOLVED</x:v>
      </x:c>
      <x:c r="AH6003" s="87" t="str">
        <x:v>CROP_VERIFIED</x:v>
      </x:c>
      <x:c r="AI6003" s="30"/>
      <x:c r="AJ6003" s="87" t="str">
        <x:v>clean</x:v>
      </x:c>
      <x:c r="AK6003" s="87" t="str">
        <x:v>clean-v0.19</x:v>
      </x:c>
      <x:c r="AL6003" s="87" t="str">
        <x:v>statgrad_clean_continuation_v0_19(1).xlsx</x:v>
      </x:c>
      <x:c r="AM6003" s="87" t="str">
        <x:v>PHY_EGKR_S26_954</x:v>
      </x:c>
      <x:c r="AN6003" s="87" t="n">
        <x:v>23</x:v>
      </x:c>
    </x:row>
    <x:row r="6004">
      <x:c r="A6004" s="87" t="n">
        <x:v>6003</x:v>
      </x:c>
      <x:c r="B6004" s="87" t="str">
        <x:v>EGKR-S26-PHY-954-23</x:v>
      </x:c>
      <x:c r="C6004" s="87" t="str">
        <x:v>ЕГКР</x:v>
      </x:c>
      <x:c r="D6004" s="87"/>
      <x:c r="E6004" s="87" t="str">
        <x:v>Весна 2026</x:v>
      </x:c>
      <x:c r="F6004" s="87" t="str">
        <x:v>26.03.2026</x:v>
      </x:c>
      <x:c r="G6004" s="87" t="str">
        <x:v>Физика</x:v>
      </x:c>
      <x:c r="H6004" s="87" t="n">
        <x:v>11</x:v>
      </x:c>
      <x:c r="I6004" s="87"/>
      <x:c r="J6004" s="87" t="str">
        <x:v>954</x:v>
      </x:c>
      <x:c r="K6004" s="87" t="n">
        <x:v>23</x:v>
      </x:c>
      <x:c r="L6004" s="87" t="str">
        <x:v>Развёрнутый ответ</x:v>
      </x:c>
      <x:c r="M6004" s="30" t="str">
        <x:v>В однородное электрическое поле со скоростью v₀ = 10⁷ м/с влетает электрон и движется вдоль линий напряжённости поля. Расстояние s, которое пролетит электрон до остановки, равно 48 см. Найдите модуль напряжённости электрического поля. 10 ФИЗИКА. 11 класс. Вариант 954</x:v>
      </x:c>
      <x:c r="N6004" s="30" t="str">
        <x:v>eEs=mₑv₀²/2; E≈5,9·10² В/м.</x:v>
      </x:c>
      <x:c r="O6004" s="30" t="str">
        <x:v>Полное решение сохранено в отдельном файле второй части.</x:v>
      </x:c>
      <x:c r="P6004" s="30"/>
      <x:c r="Q6004" s="30" t="str">
        <x:v>Сверено с исходным условием и подробным разбором.</x:v>
      </x:c>
      <x:c r="R6004" s="30" t="str">
        <x:v>MODEL_NOT_IN_SHORT_KEY</x:v>
      </x:c>
      <x:c r="S6004" s="30"/>
      <x:c r="T6004" s="30"/>
      <x:c r="U6004" s="30" t="str">
        <x:v>Расхождений не выявлено.</x:v>
      </x:c>
      <x:c r="V6004" s="87" t="str">
        <x:v>VERIFIED</x:v>
      </x:c>
      <x:c r="W6004" s="87"/>
      <x:c r="X6004" s="87" t="n">
        <x:v>10</x:v>
      </x:c>
      <x:c r="Y6004" s="87"/>
      <x:c r="Z6004" s="87"/>
      <x:c r="AA6004" s="87"/>
      <x:c r="AB6004" s="87"/>
      <x:c r="AC6004" s="87" t="str">
        <x:v>VIS-EGKR-PHY-S26-TASK-954-P010</x:v>
      </x:c>
      <x:c r="AD6004" s="87" t="str">
        <x:v>VIS-EGKR-PHY-S26-SOL-954-P005</x:v>
      </x:c>
      <x:c r="AE6004" s="87" t="str">
        <x:v>TASK; SOLUTION</x:v>
      </x:c>
      <x:c r="AF6004" s="87" t="str">
        <x:v>VIS-EGKR-PHY-S26-TASK-954-P010: 10; VIS-EGKR-PHY-S26-SOL-954-P005: 5</x:v>
      </x:c>
      <x:c r="AG6004" s="87" t="str">
        <x:v>RESOLVED</x:v>
      </x:c>
      <x:c r="AH6004" s="87" t="str">
        <x:v>CROP_VERIFIED</x:v>
      </x:c>
      <x:c r="AI6004" s="30"/>
      <x:c r="AJ6004" s="87" t="str">
        <x:v>clean</x:v>
      </x:c>
      <x:c r="AK6004" s="87" t="str">
        <x:v>clean-v0.19</x:v>
      </x:c>
      <x:c r="AL6004" s="87" t="str">
        <x:v>statgrad_clean_continuation_v0_19(1).xlsx</x:v>
      </x:c>
      <x:c r="AM6004" s="87" t="str">
        <x:v>PHY_EGKR_S26_954</x:v>
      </x:c>
      <x:c r="AN6004" s="87" t="n">
        <x:v>24</x:v>
      </x:c>
    </x:row>
    <x:row r="6005">
      <x:c r="A6005" s="87" t="n">
        <x:v>6004</x:v>
      </x:c>
      <x:c r="B6005" s="87" t="str">
        <x:v>EGKR-S26-PHY-954-24</x:v>
      </x:c>
      <x:c r="C6005" s="87" t="str">
        <x:v>ЕГКР</x:v>
      </x:c>
      <x:c r="D6005" s="87"/>
      <x:c r="E6005" s="87" t="str">
        <x:v>Весна 2026</x:v>
      </x:c>
      <x:c r="F6005" s="87" t="str">
        <x:v>26.03.2026</x:v>
      </x:c>
      <x:c r="G6005" s="87" t="str">
        <x:v>Физика</x:v>
      </x:c>
      <x:c r="H6005" s="87" t="n">
        <x:v>11</x:v>
      </x:c>
      <x:c r="I6005" s="87"/>
      <x:c r="J6005" s="87" t="str">
        <x:v>954</x:v>
      </x:c>
      <x:c r="K6005" s="87" t="n">
        <x:v>24</x:v>
      </x:c>
      <x:c r="L6005" s="87" t="str">
        <x:v>Развёрнутый ответ</x:v>
      </x:c>
      <x:c r="M6005" s="30" t="str">
        <x:v>В запаянной с одного конца узкой стеклянной трубке постоянного сечения, расположенной горизонтально, находится столбик воздуха длиной l₁ = 30,7 см, запертый столбиком ртути длиной l = 21,6 см (см. рисунок). Какой будет длина воздушного столбика l₂, если трубку расположить вертикально отверстием вниз? Атмосферное давление равно 747 мм рт. ст. Температуру воздуха в трубке считать постоянной.</x:v>
      </x:c>
      <x:c r="N6005" s="30" t="str">
        <x:v>Закон Бойля–Мариотта: l₂≈43,2 см.</x:v>
      </x:c>
      <x:c r="O6005" s="30" t="str">
        <x:v>Полное решение сохранено в отдельном файле второй части.</x:v>
      </x:c>
      <x:c r="P6005" s="30"/>
      <x:c r="Q6005" s="30" t="str">
        <x:v>Сверено с исходным условием и подробным разбором.</x:v>
      </x:c>
      <x:c r="R6005" s="30" t="str">
        <x:v>MODEL_NOT_IN_SHORT_KEY</x:v>
      </x:c>
      <x:c r="S6005" s="30"/>
      <x:c r="T6005" s="30"/>
      <x:c r="U6005" s="30" t="str">
        <x:v>Расхождений не выявлено.</x:v>
      </x:c>
      <x:c r="V6005" s="87" t="str">
        <x:v>VERIFIED</x:v>
      </x:c>
      <x:c r="W6005" s="87"/>
      <x:c r="X6005" s="87" t="n">
        <x:v>11</x:v>
      </x:c>
      <x:c r="Y6005" s="87"/>
      <x:c r="Z6005" s="87"/>
      <x:c r="AA6005" s="87"/>
      <x:c r="AB6005" s="87"/>
      <x:c r="AC6005" s="87" t="str">
        <x:v>VIS-EGKR-PHY-S26-TASK-954-P011</x:v>
      </x:c>
      <x:c r="AD6005" s="87" t="str">
        <x:v>VIS-EGKR-PHY-S26-SOL-954-P006</x:v>
      </x:c>
      <x:c r="AE6005" s="87" t="str">
        <x:v>TASK; SOLUTION</x:v>
      </x:c>
      <x:c r="AF6005" s="87" t="str">
        <x:v>VIS-EGKR-PHY-S26-TASK-954-P011: 11; VIS-EGKR-PHY-S26-SOL-954-P006: 6</x:v>
      </x:c>
      <x:c r="AG6005" s="87" t="str">
        <x:v>RESOLVED</x:v>
      </x:c>
      <x:c r="AH6005" s="87" t="str">
        <x:v>CROP_VERIFIED; TASK_CROP_QA_APPROVED:MANUAL_BBOX</x:v>
      </x:c>
      <x:c r="AI6005" s="30"/>
      <x:c r="AJ6005" s="87" t="str">
        <x:v>clean</x:v>
      </x:c>
      <x:c r="AK6005" s="87" t="str">
        <x:v>clean-v0.19</x:v>
      </x:c>
      <x:c r="AL6005" s="87" t="str">
        <x:v>statgrad_clean_continuation_v0_19(1).xlsx</x:v>
      </x:c>
      <x:c r="AM6005" s="87" t="str">
        <x:v>PHY_EGKR_S26_954</x:v>
      </x:c>
      <x:c r="AN6005" s="87" t="n">
        <x:v>25</x:v>
      </x:c>
    </x:row>
    <x:row r="6006">
      <x:c r="A6006" s="87" t="n">
        <x:v>6005</x:v>
      </x:c>
      <x:c r="B6006" s="87" t="str">
        <x:v>EGKR-S26-PHY-954-25</x:v>
      </x:c>
      <x:c r="C6006" s="87" t="str">
        <x:v>ЕГКР</x:v>
      </x:c>
      <x:c r="D6006" s="87"/>
      <x:c r="E6006" s="87" t="str">
        <x:v>Весна 2026</x:v>
      </x:c>
      <x:c r="F6006" s="87" t="str">
        <x:v>26.03.2026</x:v>
      </x:c>
      <x:c r="G6006" s="87" t="str">
        <x:v>Физика</x:v>
      </x:c>
      <x:c r="H6006" s="87" t="n">
        <x:v>11</x:v>
      </x:c>
      <x:c r="I6006" s="87"/>
      <x:c r="J6006" s="87" t="str">
        <x:v>954</x:v>
      </x:c>
      <x:c r="K6006" s="87" t="n">
        <x:v>25</x:v>
      </x:c>
      <x:c r="L6006" s="87" t="str">
        <x:v>Развёрнутый ответ</x:v>
      </x:c>
      <x:c r="M6006" s="30" t="str">
        <x:v>Нижняя грань BC прозрачного клина посеребрена и представляет собой плоское зеркало. Показатель преломления материала клина равен 1,4. Луч света падает из воздуха на клин перпендикулярно грани AC, отражается от нижней грани BC и через грань AB выходит в воздух под углом γ = 45° к её нормали. Определите угол α при основании клина. Сделайте рисунок, поясняющий ход луча в клине.</x:v>
      </x:c>
      <x:c r="N6006" s="30" t="str">
        <x:v>Закон преломления: α≈60°.</x:v>
      </x:c>
      <x:c r="O6006" s="30" t="str">
        <x:v>Полное решение сохранено в отдельном файле второй части.</x:v>
      </x:c>
      <x:c r="P6006" s="30"/>
      <x:c r="Q6006" s="30" t="str">
        <x:v>Сверено с исходным условием и подробным разбором.</x:v>
      </x:c>
      <x:c r="R6006" s="30" t="str">
        <x:v>MODEL_NOT_IN_SHORT_KEY</x:v>
      </x:c>
      <x:c r="S6006" s="30"/>
      <x:c r="T6006" s="30"/>
      <x:c r="U6006" s="30" t="str">
        <x:v>Расхождений не выявлено.</x:v>
      </x:c>
      <x:c r="V6006" s="87" t="str">
        <x:v>VERIFIED</x:v>
      </x:c>
      <x:c r="W6006" s="87"/>
      <x:c r="X6006" s="87" t="n">
        <x:v>11</x:v>
      </x:c>
      <x:c r="Y6006" s="87"/>
      <x:c r="Z6006" s="87"/>
      <x:c r="AA6006" s="87"/>
      <x:c r="AB6006" s="87"/>
      <x:c r="AC6006" s="87" t="str">
        <x:v>VIS-EGKR-PHY-S26-TASK-954-P011</x:v>
      </x:c>
      <x:c r="AD6006" s="87" t="str">
        <x:v>VIS-EGKR-PHY-S26-SOL-954-P007</x:v>
      </x:c>
      <x:c r="AE6006" s="87" t="str">
        <x:v>TASK; SOLUTION</x:v>
      </x:c>
      <x:c r="AF6006" s="87" t="str">
        <x:v>VIS-EGKR-PHY-S26-TASK-954-P011: 11; VIS-EGKR-PHY-S26-SOL-954-P007: 7</x:v>
      </x:c>
      <x:c r="AG6006" s="87" t="str">
        <x:v>RESOLVED</x:v>
      </x:c>
      <x:c r="AH6006" s="87" t="str">
        <x:v>CROP_VERIFIED</x:v>
      </x:c>
      <x:c r="AI6006" s="30"/>
      <x:c r="AJ6006" s="87" t="str">
        <x:v>clean</x:v>
      </x:c>
      <x:c r="AK6006" s="87" t="str">
        <x:v>clean-v0.19</x:v>
      </x:c>
      <x:c r="AL6006" s="87" t="str">
        <x:v>statgrad_clean_continuation_v0_19(1).xlsx</x:v>
      </x:c>
      <x:c r="AM6006" s="87" t="str">
        <x:v>PHY_EGKR_S26_954</x:v>
      </x:c>
      <x:c r="AN6006" s="87" t="n">
        <x:v>26</x:v>
      </x:c>
    </x:row>
    <x:row r="6007">
      <x:c r="A6007" s="87" t="n">
        <x:v>6006</x:v>
      </x:c>
      <x:c r="B6007" s="87" t="str">
        <x:v>EGKR-S26-PHY-954-26</x:v>
      </x:c>
      <x:c r="C6007" s="87" t="str">
        <x:v>ЕГКР</x:v>
      </x:c>
      <x:c r="D6007" s="87"/>
      <x:c r="E6007" s="87" t="str">
        <x:v>Весна 2026</x:v>
      </x:c>
      <x:c r="F6007" s="87" t="str">
        <x:v>26.03.2026</x:v>
      </x:c>
      <x:c r="G6007" s="87" t="str">
        <x:v>Физика</x:v>
      </x:c>
      <x:c r="H6007" s="87" t="n">
        <x:v>11</x:v>
      </x:c>
      <x:c r="I6007" s="87"/>
      <x:c r="J6007" s="87" t="str">
        <x:v>954</x:v>
      </x:c>
      <x:c r="K6007" s="87" t="n">
        <x:v>26</x:v>
      </x:c>
      <x:c r="L6007" s="87" t="str">
        <x:v>Развёрнутый ответ</x:v>
      </x:c>
      <x:c r="M6007" s="30" t="str">
        <x:v>В гладкий высокий стакан радиусом 4 см поставили однородную палочку длиной 10 см и массой 9 г. После того как в стакан налили до высоты h = 4 см жидкости, сила давления верхнего конца палочки на стенку стакана стала равна по модулю 0,04 Н. Чему равна плотность жидкости, если плотность материала палочки составляет 1200 кг/м³? Сделайте рисунок с указанием сил, действующих на палочку. Обоснуйте применимость законов, используемых для решения задачи. Проверьте, чтобы каждый ответ был записан рядом с номером соответствующего задания. 11</x:v>
      </x:c>
      <x:c r="N6007" s="30" t="str">
        <x:v>Равновесие моментов и закон Архимеда: ρ=900 кг/м³.</x:v>
      </x:c>
      <x:c r="O6007" s="30" t="str">
        <x:v>Полное решение сохранено в отдельном файле второй части.</x:v>
      </x:c>
      <x:c r="P6007" s="30"/>
      <x:c r="Q6007" s="30" t="str">
        <x:v>Сверено с исходным условием и подробным разбором.</x:v>
      </x:c>
      <x:c r="R6007" s="30" t="str">
        <x:v>MODEL_NOT_IN_SHORT_KEY</x:v>
      </x:c>
      <x:c r="S6007" s="30"/>
      <x:c r="T6007" s="30"/>
      <x:c r="U6007" s="30" t="str">
        <x:v>Расхождений не выявлено.</x:v>
      </x:c>
      <x:c r="V6007" s="87" t="str">
        <x:v>VERIFIED</x:v>
      </x:c>
      <x:c r="W6007" s="87"/>
      <x:c r="X6007" s="87" t="n">
        <x:v>11</x:v>
      </x:c>
      <x:c r="Y6007" s="87"/>
      <x:c r="Z6007" s="87"/>
      <x:c r="AA6007" s="87"/>
      <x:c r="AB6007" s="87"/>
      <x:c r="AC6007" s="87" t="str">
        <x:v>VIS-EGKR-PHY-S26-TASK-954-P011</x:v>
      </x:c>
      <x:c r="AD6007" s="87" t="str">
        <x:v>VIS-EGKR-PHY-S26-SOL-954-P008; VIS-EGKR-PHY-S26-SOL-954-P009</x:v>
      </x:c>
      <x:c r="AE6007" s="87" t="str">
        <x:v>TASK; SOLUTION</x:v>
      </x:c>
      <x:c r="AF6007" s="87" t="str">
        <x:v>VIS-EGKR-PHY-S26-TASK-954-P011: 11; VIS-EGKR-PHY-S26-SOL-954-P008: 8; VIS-EGKR-PHY-S26-SOL-954-P009: 9</x:v>
      </x:c>
      <x:c r="AG6007" s="87" t="str">
        <x:v>RESOLVED</x:v>
      </x:c>
      <x:c r="AH6007" s="87" t="str">
        <x:v>CROP_VERIFIED</x:v>
      </x:c>
      <x:c r="AI6007" s="30"/>
      <x:c r="AJ6007" s="87" t="str">
        <x:v>clean</x:v>
      </x:c>
      <x:c r="AK6007" s="87" t="str">
        <x:v>clean-v0.19</x:v>
      </x:c>
      <x:c r="AL6007" s="87" t="str">
        <x:v>statgrad_clean_continuation_v0_19(1).xlsx</x:v>
      </x:c>
      <x:c r="AM6007" s="87" t="str">
        <x:v>PHY_EGKR_S26_954</x:v>
      </x:c>
      <x:c r="AN6007" s="87" t="n">
        <x:v>27</x:v>
      </x:c>
    </x:row>
    <x:row r="6008">
      <x:c r="A6008" s="87" t="n">
        <x:v>6007</x:v>
      </x:c>
      <x:c r="B6008" s="87" t="str">
        <x:v>EGKR-S26-PHY-955-01</x:v>
      </x:c>
      <x:c r="C6008" s="87" t="str">
        <x:v>ЕГКР</x:v>
      </x:c>
      <x:c r="D6008" s="87"/>
      <x:c r="E6008" s="87" t="str">
        <x:v>Весна 2026</x:v>
      </x:c>
      <x:c r="F6008" s="87" t="str">
        <x:v>26.03.2026</x:v>
      </x:c>
      <x:c r="G6008" s="87" t="str">
        <x:v>Физика</x:v>
      </x:c>
      <x:c r="H6008" s="87" t="n">
        <x:v>11</x:v>
      </x:c>
      <x:c r="I6008" s="87"/>
      <x:c r="J6008" s="87" t="str">
        <x:v>955</x:v>
      </x:c>
      <x:c r="K6008" s="87" t="n">
        <x:v>1</x:v>
      </x:c>
      <x:c r="L6008" s="87" t="str">
        <x:v>Кинематика по графику</x:v>
      </x:c>
      <x:c r="M6008" s="30" t="str">
        <x:v>На рисунке приведён график зависимости проекции скорости v_x от времени t для тела, движущегося прямолинейно вдоль оси Ox. Определите проекцию a_x ускорения тела в интервале времени от 5 до 10 с. Ответ запишите с учётом знака проекции. Ответ: __________________________ м/с².</x:v>
      </x:c>
      <x:c r="N6008" s="30" t="str">
        <x:v>-2</x:v>
      </x:c>
      <x:c r="O6008" s="30" t="str">
        <x:v>Независимый расчёт по исходному условию.</x:v>
      </x:c>
      <x:c r="P6008" s="30"/>
      <x:c r="Q6008" s="30" t="str">
        <x:v>Физический закон, вычисление и полная визуальная страница.</x:v>
      </x:c>
      <x:c r="R6008" s="30" t="str">
        <x:v>-2</x:v>
      </x:c>
      <x:c r="S6008" s="30"/>
      <x:c r="T6008" s="30"/>
      <x:c r="U6008" s="30" t="str">
        <x:v>Ответник совпадает с независимой проверкой.</x:v>
      </x:c>
      <x:c r="V6008" s="87" t="str">
        <x:v>VERIFIED</x:v>
      </x:c>
      <x:c r="W6008" s="87"/>
      <x:c r="X6008" s="87" t="n">
        <x:v>1</x:v>
      </x:c>
      <x:c r="Y6008" s="87"/>
      <x:c r="Z6008" s="87"/>
      <x:c r="AA6008" s="87"/>
      <x:c r="AB6008" s="87"/>
      <x:c r="AC6008" s="87" t="str">
        <x:v>VIS-EGKR-PHY-S26-TASK-955-P001</x:v>
      </x:c>
      <x:c r="AD6008" s="87" t="str">
        <x:v>VIS-EGKR-PHY-S26-ANSWERDOC-P001</x:v>
      </x:c>
      <x:c r="AE6008" s="87" t="str">
        <x:v>TASK; SECONDARY_ANSWER_SOURCE</x:v>
      </x:c>
      <x:c r="AF6008" s="87" t="str">
        <x:v>VIS-EGKR-PHY-S26-TASK-955-P001: 1; VIS-EGKR-PHY-S26-ANSWERDOC-P001: 1</x:v>
      </x:c>
      <x:c r="AG6008" s="87" t="str">
        <x:v>RESOLVED</x:v>
      </x:c>
      <x:c r="AH6008" s="87" t="str">
        <x:v>CROP_VERIFIED; TASK_CROP_QA_APPROVED:USE_TIGHT</x:v>
      </x:c>
      <x:c r="AI6008" s="30"/>
      <x:c r="AJ6008" s="87" t="str">
        <x:v>clean</x:v>
      </x:c>
      <x:c r="AK6008" s="87" t="str">
        <x:v>clean-v0.19</x:v>
      </x:c>
      <x:c r="AL6008" s="87" t="str">
        <x:v>statgrad_clean_continuation_v0_19(1).xlsx</x:v>
      </x:c>
      <x:c r="AM6008" s="87" t="str">
        <x:v>PHY_EGKR_S26_955</x:v>
      </x:c>
      <x:c r="AN6008" s="87" t="n">
        <x:v>2</x:v>
      </x:c>
    </x:row>
    <x:row r="6009">
      <x:c r="A6009" s="87" t="n">
        <x:v>6008</x:v>
      </x:c>
      <x:c r="B6009" s="87" t="str">
        <x:v>EGKR-S26-PHY-955-02</x:v>
      </x:c>
      <x:c r="C6009" s="87" t="str">
        <x:v>ЕГКР</x:v>
      </x:c>
      <x:c r="D6009" s="87"/>
      <x:c r="E6009" s="87" t="str">
        <x:v>Весна 2026</x:v>
      </x:c>
      <x:c r="F6009" s="87" t="str">
        <x:v>26.03.2026</x:v>
      </x:c>
      <x:c r="G6009" s="87" t="str">
        <x:v>Физика</x:v>
      </x:c>
      <x:c r="H6009" s="87" t="n">
        <x:v>11</x:v>
      </x:c>
      <x:c r="I6009" s="87"/>
      <x:c r="J6009" s="87" t="str">
        <x:v>955</x:v>
      </x:c>
      <x:c r="K6009" s="87" t="n">
        <x:v>2</x:v>
      </x:c>
      <x:c r="L6009" s="87" t="str">
        <x:v>Закон всемирного тяготения</x:v>
      </x:c>
      <x:c r="M6009" s="30" t="str">
        <x:v>Два маленьких однородных шарика массой m каждый притягиваются друг к другу с гравитационными силами, равными по модулю 1 пН. Расстояние между центрами шариков равно r. Каков модуль сил гравитационного притяжения друг к другу двух других маленьких однородных шариков, если масса каждого из них равна 2,4m, а расстояние между их центрами составляет 3r? Ответ: __________________________ пН.</x:v>
      </x:c>
      <x:c r="N6009" s="30" t="str">
        <x:v>0,64</x:v>
      </x:c>
      <x:c r="O6009" s="30" t="str">
        <x:v>Независимый расчёт по исходному условию.</x:v>
      </x:c>
      <x:c r="P6009" s="30"/>
      <x:c r="Q6009" s="30" t="str">
        <x:v>Физический закон, вычисление и полная визуальная страница.</x:v>
      </x:c>
      <x:c r="R6009" s="30" t="str">
        <x:v>0,64</x:v>
      </x:c>
      <x:c r="S6009" s="30"/>
      <x:c r="T6009" s="30"/>
      <x:c r="U6009" s="30" t="str">
        <x:v>Ответник совпадает с независимой проверкой.</x:v>
      </x:c>
      <x:c r="V6009" s="87" t="str">
        <x:v>VERIFIED</x:v>
      </x:c>
      <x:c r="W6009" s="87"/>
      <x:c r="X6009" s="87" t="n">
        <x:v>1</x:v>
      </x:c>
      <x:c r="Y6009" s="87"/>
      <x:c r="Z6009" s="87"/>
      <x:c r="AA6009" s="87"/>
      <x:c r="AB6009" s="87"/>
      <x:c r="AC6009" s="87" t="str">
        <x:v>VIS-EGKR-PHY-S26-TASK-955-P001</x:v>
      </x:c>
      <x:c r="AD6009" s="87" t="str">
        <x:v>VIS-EGKR-PHY-S26-ANSWERDOC-P001</x:v>
      </x:c>
      <x:c r="AE6009" s="87" t="str">
        <x:v>TASK; SECONDARY_ANSWER_SOURCE</x:v>
      </x:c>
      <x:c r="AF6009" s="87" t="str">
        <x:v>VIS-EGKR-PHY-S26-TASK-955-P001: 1; VIS-EGKR-PHY-S26-ANSWERDOC-P001: 1</x:v>
      </x:c>
      <x:c r="AG6009" s="87" t="str">
        <x:v>RESOLVED</x:v>
      </x:c>
      <x:c r="AH6009" s="87" t="str">
        <x:v>CROP_VERIFIED</x:v>
      </x:c>
      <x:c r="AI6009" s="30"/>
      <x:c r="AJ6009" s="87" t="str">
        <x:v>clean</x:v>
      </x:c>
      <x:c r="AK6009" s="87" t="str">
        <x:v>clean-v0.19</x:v>
      </x:c>
      <x:c r="AL6009" s="87" t="str">
        <x:v>statgrad_clean_continuation_v0_19(1).xlsx</x:v>
      </x:c>
      <x:c r="AM6009" s="87" t="str">
        <x:v>PHY_EGKR_S26_955</x:v>
      </x:c>
      <x:c r="AN6009" s="87" t="n">
        <x:v>3</x:v>
      </x:c>
    </x:row>
    <x:row r="6010">
      <x:c r="A6010" s="87" t="n">
        <x:v>6009</x:v>
      </x:c>
      <x:c r="B6010" s="87" t="str">
        <x:v>EGKR-S26-PHY-955-03</x:v>
      </x:c>
      <x:c r="C6010" s="87" t="str">
        <x:v>ЕГКР</x:v>
      </x:c>
      <x:c r="D6010" s="87"/>
      <x:c r="E6010" s="87" t="str">
        <x:v>Весна 2026</x:v>
      </x:c>
      <x:c r="F6010" s="87" t="str">
        <x:v>26.03.2026</x:v>
      </x:c>
      <x:c r="G6010" s="87" t="str">
        <x:v>Физика</x:v>
      </x:c>
      <x:c r="H6010" s="87" t="n">
        <x:v>11</x:v>
      </x:c>
      <x:c r="I6010" s="87"/>
      <x:c r="J6010" s="87" t="str">
        <x:v>955</x:v>
      </x:c>
      <x:c r="K6010" s="87" t="n">
        <x:v>3</x:v>
      </x:c>
      <x:c r="L6010" s="87" t="str">
        <x:v>Импульс силы</x:v>
      </x:c>
      <x:c r="M6010" s="30" t="str">
        <x:v>В инерциальной системе отсчёта тело движется по прямой в одном направлении под действием постоянной силы, равной по модулю 8 Н. Определите, за какой промежуток времени модуль импульса тела увеличился на 48 кг·м/с. Ответ: __________________________ с. ФИЗИКА. 11 класс. Вариант 955</x:v>
      </x:c>
      <x:c r="N6010" s="30" t="str">
        <x:v>6</x:v>
      </x:c>
      <x:c r="O6010" s="30" t="str">
        <x:v>Независимый расчёт по исходному условию.</x:v>
      </x:c>
      <x:c r="P6010" s="30"/>
      <x:c r="Q6010" s="30" t="str">
        <x:v>Физический закон, вычисление и полная визуальная страница.</x:v>
      </x:c>
      <x:c r="R6010" s="30" t="str">
        <x:v>6</x:v>
      </x:c>
      <x:c r="S6010" s="30"/>
      <x:c r="T6010" s="30"/>
      <x:c r="U6010" s="30" t="str">
        <x:v>Ответник совпадает с независимой проверкой.</x:v>
      </x:c>
      <x:c r="V6010" s="87" t="str">
        <x:v>VERIFIED</x:v>
      </x:c>
      <x:c r="W6010" s="87"/>
      <x:c r="X6010" s="87" t="n">
        <x:v>1</x:v>
      </x:c>
      <x:c r="Y6010" s="87"/>
      <x:c r="Z6010" s="87"/>
      <x:c r="AA6010" s="87"/>
      <x:c r="AB6010" s="87"/>
      <x:c r="AC6010" s="87" t="str">
        <x:v>VIS-EGKR-PHY-S26-TASK-955-P001</x:v>
      </x:c>
      <x:c r="AD6010" s="87" t="str">
        <x:v>VIS-EGKR-PHY-S26-ANSWERDOC-P001</x:v>
      </x:c>
      <x:c r="AE6010" s="87" t="str">
        <x:v>TASK; SECONDARY_ANSWER_SOURCE</x:v>
      </x:c>
      <x:c r="AF6010" s="87" t="str">
        <x:v>VIS-EGKR-PHY-S26-TASK-955-P001: 1; VIS-EGKR-PHY-S26-ANSWERDOC-P001: 1</x:v>
      </x:c>
      <x:c r="AG6010" s="87" t="str">
        <x:v>RESOLVED</x:v>
      </x:c>
      <x:c r="AH6010" s="87" t="str">
        <x:v>CROP_VERIFIED</x:v>
      </x:c>
      <x:c r="AI6010" s="30"/>
      <x:c r="AJ6010" s="87" t="str">
        <x:v>clean</x:v>
      </x:c>
      <x:c r="AK6010" s="87" t="str">
        <x:v>clean-v0.19</x:v>
      </x:c>
      <x:c r="AL6010" s="87" t="str">
        <x:v>statgrad_clean_continuation_v0_19(1).xlsx</x:v>
      </x:c>
      <x:c r="AM6010" s="87" t="str">
        <x:v>PHY_EGKR_S26_955</x:v>
      </x:c>
      <x:c r="AN6010" s="87" t="n">
        <x:v>4</x:v>
      </x:c>
    </x:row>
    <x:row r="6011">
      <x:c r="A6011" s="87" t="n">
        <x:v>6010</x:v>
      </x:c>
      <x:c r="B6011" s="87" t="str">
        <x:v>EGKR-S26-PHY-955-04</x:v>
      </x:c>
      <x:c r="C6011" s="87" t="str">
        <x:v>ЕГКР</x:v>
      </x:c>
      <x:c r="D6011" s="87"/>
      <x:c r="E6011" s="87" t="str">
        <x:v>Весна 2026</x:v>
      </x:c>
      <x:c r="F6011" s="87" t="str">
        <x:v>26.03.2026</x:v>
      </x:c>
      <x:c r="G6011" s="87" t="str">
        <x:v>Физика</x:v>
      </x:c>
      <x:c r="H6011" s="87" t="n">
        <x:v>11</x:v>
      </x:c>
      <x:c r="I6011" s="87"/>
      <x:c r="J6011" s="87" t="str">
        <x:v>955</x:v>
      </x:c>
      <x:c r="K6011" s="87" t="n">
        <x:v>4</x:v>
      </x:c>
      <x:c r="L6011" s="87" t="str">
        <x:v>Сила Архимеда</x:v>
      </x:c>
      <x:c r="M6011" s="30" t="str">
        <x:v>Однородный шар из материала плотностью 3500 кг/м³ объёмом 400 см³ полностью погружён в воду. Определите модуль силы Архимеда, действующей на шар. Ответ: __________________________ Н.</x:v>
      </x:c>
      <x:c r="N6011" s="30" t="str">
        <x:v>4</x:v>
      </x:c>
      <x:c r="O6011" s="30" t="str">
        <x:v>Независимый расчёт по исходному условию.</x:v>
      </x:c>
      <x:c r="P6011" s="30"/>
      <x:c r="Q6011" s="30" t="str">
        <x:v>Физический закон, вычисление и полная визуальная страница.</x:v>
      </x:c>
      <x:c r="R6011" s="30" t="str">
        <x:v>4</x:v>
      </x:c>
      <x:c r="S6011" s="30"/>
      <x:c r="T6011" s="30"/>
      <x:c r="U6011" s="30" t="str">
        <x:v>Ответник совпадает с независимой проверкой.</x:v>
      </x:c>
      <x:c r="V6011" s="87" t="str">
        <x:v>VERIFIED</x:v>
      </x:c>
      <x:c r="W6011" s="87"/>
      <x:c r="X6011" s="87" t="n">
        <x:v>2</x:v>
      </x:c>
      <x:c r="Y6011" s="87"/>
      <x:c r="Z6011" s="87"/>
      <x:c r="AA6011" s="87"/>
      <x:c r="AB6011" s="87"/>
      <x:c r="AC6011" s="87" t="str">
        <x:v>VIS-EGKR-PHY-S26-TASK-955-P002</x:v>
      </x:c>
      <x:c r="AD6011" s="87" t="str">
        <x:v>VIS-EGKR-PHY-S26-ANSWERDOC-P001</x:v>
      </x:c>
      <x:c r="AE6011" s="87" t="str">
        <x:v>TASK; SECONDARY_ANSWER_SOURCE</x:v>
      </x:c>
      <x:c r="AF6011" s="87" t="str">
        <x:v>VIS-EGKR-PHY-S26-TASK-955-P002: 2; VIS-EGKR-PHY-S26-ANSWERDOC-P001: 1</x:v>
      </x:c>
      <x:c r="AG6011" s="87" t="str">
        <x:v>RESOLVED</x:v>
      </x:c>
      <x:c r="AH6011" s="87" t="str">
        <x:v>CROP_VERIFIED</x:v>
      </x:c>
      <x:c r="AI6011" s="30"/>
      <x:c r="AJ6011" s="87" t="str">
        <x:v>clean</x:v>
      </x:c>
      <x:c r="AK6011" s="87" t="str">
        <x:v>clean-v0.19</x:v>
      </x:c>
      <x:c r="AL6011" s="87" t="str">
        <x:v>statgrad_clean_continuation_v0_19(1).xlsx</x:v>
      </x:c>
      <x:c r="AM6011" s="87" t="str">
        <x:v>PHY_EGKR_S26_955</x:v>
      </x:c>
      <x:c r="AN6011" s="87" t="n">
        <x:v>5</x:v>
      </x:c>
    </x:row>
    <x:row r="6012">
      <x:c r="A6012" s="87" t="n">
        <x:v>6011</x:v>
      </x:c>
      <x:c r="B6012" s="87" t="str">
        <x:v>EGKR-S26-PHY-955-05</x:v>
      </x:c>
      <x:c r="C6012" s="87" t="str">
        <x:v>ЕГКР</x:v>
      </x:c>
      <x:c r="D6012" s="87"/>
      <x:c r="E6012" s="87" t="str">
        <x:v>Весна 2026</x:v>
      </x:c>
      <x:c r="F6012" s="87" t="str">
        <x:v>26.03.2026</x:v>
      </x:c>
      <x:c r="G6012" s="87" t="str">
        <x:v>Физика</x:v>
      </x:c>
      <x:c r="H6012" s="87" t="n">
        <x:v>11</x:v>
      </x:c>
      <x:c r="I6012" s="87"/>
      <x:c r="J6012" s="87" t="str">
        <x:v>955</x:v>
      </x:c>
      <x:c r="K6012" s="87" t="n">
        <x:v>5</x:v>
      </x:c>
      <x:c r="L6012" s="87" t="str">
        <x:v>Механические колебания</x:v>
      </x:c>
      <x:c r="M6012" s="30" t="str">
        <x:v>Математический маятник отклонили на небольшой угол из положения равновесия в положение 1 и отпустили из состояния покоя (см. рисунок). Период колебаний маятника составляет 1 с. Потенциальная энергия маятника отсчитывается от положения равновесия. Сопротивлением воздуха пренебречь. Из приведённого ниже списка выберите все верные утверждения, описывающие процесс колебаний маятника. 1) В положении 2 сила натяжения нити минимальна. 2) Частота колебаний маятника равна 0,5 Гц. 3) При движении маятника из положения 2 в положение 3 полная механическая энергия маятника уменьшается. 4) При движении маятника из положения 1 в положение 2 модуль центростремительного ускорения увеличивается. 5) Потенциальная энергия маятника в первый раз достигнет своего максимума через 0,5 с после начала движения. Ответ: __________________________ . ФИЗИКА. 11 класс. Вариант 955</x:v>
      </x:c>
      <x:c r="N6012" s="30" t="str">
        <x:v>45</x:v>
      </x:c>
      <x:c r="O6012" s="30" t="str">
        <x:v>Независимый расчёт по исходному условию.</x:v>
      </x:c>
      <x:c r="P6012" s="30"/>
      <x:c r="Q6012" s="30" t="str">
        <x:v>Физический закон, вычисление и полная визуальная страница.</x:v>
      </x:c>
      <x:c r="R6012" s="30" t="str">
        <x:v>45</x:v>
      </x:c>
      <x:c r="S6012" s="30"/>
      <x:c r="T6012" s="30"/>
      <x:c r="U6012" s="30" t="str">
        <x:v>Ответник совпадает с независимой проверкой.</x:v>
      </x:c>
      <x:c r="V6012" s="87" t="str">
        <x:v>VERIFIED</x:v>
      </x:c>
      <x:c r="W6012" s="87"/>
      <x:c r="X6012" s="87" t="n">
        <x:v>2</x:v>
      </x:c>
      <x:c r="Y6012" s="87"/>
      <x:c r="Z6012" s="87"/>
      <x:c r="AA6012" s="87"/>
      <x:c r="AB6012" s="87"/>
      <x:c r="AC6012" s="87" t="str">
        <x:v>VIS-EGKR-PHY-S26-TASK-955-P002</x:v>
      </x:c>
      <x:c r="AD6012" s="87" t="str">
        <x:v>VIS-EGKR-PHY-S26-ANSWERDOC-P001</x:v>
      </x:c>
      <x:c r="AE6012" s="87" t="str">
        <x:v>TASK; SECONDARY_ANSWER_SOURCE</x:v>
      </x:c>
      <x:c r="AF6012" s="87" t="str">
        <x:v>VIS-EGKR-PHY-S26-TASK-955-P002: 2; VIS-EGKR-PHY-S26-ANSWERDOC-P001: 1</x:v>
      </x:c>
      <x:c r="AG6012" s="87" t="str">
        <x:v>RESOLVED</x:v>
      </x:c>
      <x:c r="AH6012" s="87" t="str">
        <x:v>CROP_VERIFIED; TASK_CROP_QA_APPROVED:USE_CONTEXT</x:v>
      </x:c>
      <x:c r="AI6012" s="30"/>
      <x:c r="AJ6012" s="87" t="str">
        <x:v>clean</x:v>
      </x:c>
      <x:c r="AK6012" s="87" t="str">
        <x:v>clean-v0.19</x:v>
      </x:c>
      <x:c r="AL6012" s="87" t="str">
        <x:v>statgrad_clean_continuation_v0_19(1).xlsx</x:v>
      </x:c>
      <x:c r="AM6012" s="87" t="str">
        <x:v>PHY_EGKR_S26_955</x:v>
      </x:c>
      <x:c r="AN6012" s="87" t="n">
        <x:v>6</x:v>
      </x:c>
    </x:row>
    <x:row r="6013">
      <x:c r="A6013" s="87" t="n">
        <x:v>6012</x:v>
      </x:c>
      <x:c r="B6013" s="87" t="str">
        <x:v>EGKR-S26-PHY-955-06</x:v>
      </x:c>
      <x:c r="C6013" s="87" t="str">
        <x:v>ЕГКР</x:v>
      </x:c>
      <x:c r="D6013" s="87"/>
      <x:c r="E6013" s="87" t="str">
        <x:v>Весна 2026</x:v>
      </x:c>
      <x:c r="F6013" s="87" t="str">
        <x:v>26.03.2026</x:v>
      </x:c>
      <x:c r="G6013" s="87" t="str">
        <x:v>Физика</x:v>
      </x:c>
      <x:c r="H6013" s="87" t="n">
        <x:v>11</x:v>
      </x:c>
      <x:c r="I6013" s="87"/>
      <x:c r="J6013" s="87" t="str">
        <x:v>955</x:v>
      </x:c>
      <x:c r="K6013" s="87" t="n">
        <x:v>6</x:v>
      </x:c>
      <x:c r="L6013" s="87" t="str">
        <x:v>Графики движения</x:v>
      </x:c>
      <x:c r="M6013" s="30" t="str">
        <x:v>В момент времени t = 0 автомобиль, движущийся со скоростью v прямолинейно вдоль оси Ox, начинает тормозить с постоянным по модулю ускорением. В момент времени t₀ автомобиль останавливается у светофора. В момент времени t = 0 координата автомобиля x = 0. Установите соответствие между графиками и физическими величинами, зависимость которых от времени эти графики могут представлять. График в п. Б является фрагментом параболы.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ГРАФИКИ: ФИЗИЧЕСКИЕ ВЕЛИЧИНЫ: 1) координата x 2) проекция скорости v_x 3) проекция ускорения a_x 4) кинетическая энергия E_k Ответ: А Б</x:v>
      </x:c>
      <x:c r="N6013" s="30" t="str">
        <x:v>24</x:v>
      </x:c>
      <x:c r="O6013" s="30" t="str">
        <x:v>Независимый расчёт по исходному условию.</x:v>
      </x:c>
      <x:c r="P6013" s="30"/>
      <x:c r="Q6013" s="30" t="str">
        <x:v>Физический закон, вычисление и полная визуальная страница.</x:v>
      </x:c>
      <x:c r="R6013" s="30" t="str">
        <x:v>24</x:v>
      </x:c>
      <x:c r="S6013" s="30"/>
      <x:c r="T6013" s="30"/>
      <x:c r="U6013" s="30" t="str">
        <x:v>Ответник совпадает с независимой проверкой.</x:v>
      </x:c>
      <x:c r="V6013" s="87" t="str">
        <x:v>VERIFIED</x:v>
      </x:c>
      <x:c r="W6013" s="87"/>
      <x:c r="X6013" s="87" t="n">
        <x:v>3</x:v>
      </x:c>
      <x:c r="Y6013" s="87"/>
      <x:c r="Z6013" s="87"/>
      <x:c r="AA6013" s="87"/>
      <x:c r="AB6013" s="87"/>
      <x:c r="AC6013" s="87" t="str">
        <x:v>VIS-EGKR-PHY-S26-TASK-955-P003</x:v>
      </x:c>
      <x:c r="AD6013" s="87" t="str">
        <x:v>VIS-EGKR-PHY-S26-ANSWERDOC-P001</x:v>
      </x:c>
      <x:c r="AE6013" s="87" t="str">
        <x:v>TASK; SECONDARY_ANSWER_SOURCE</x:v>
      </x:c>
      <x:c r="AF6013" s="87" t="str">
        <x:v>VIS-EGKR-PHY-S26-TASK-955-P003: 3; VIS-EGKR-PHY-S26-ANSWERDOC-P001: 1</x:v>
      </x:c>
      <x:c r="AG6013" s="87" t="str">
        <x:v>RESOLVED</x:v>
      </x:c>
      <x:c r="AH6013" s="87" t="str">
        <x:v>CROP_VERIFIED</x:v>
      </x:c>
      <x:c r="AI6013" s="30"/>
      <x:c r="AJ6013" s="87" t="str">
        <x:v>clean</x:v>
      </x:c>
      <x:c r="AK6013" s="87" t="str">
        <x:v>clean-v0.19</x:v>
      </x:c>
      <x:c r="AL6013" s="87" t="str">
        <x:v>statgrad_clean_continuation_v0_19(1).xlsx</x:v>
      </x:c>
      <x:c r="AM6013" s="87" t="str">
        <x:v>PHY_EGKR_S26_955</x:v>
      </x:c>
      <x:c r="AN6013" s="87" t="n">
        <x:v>7</x:v>
      </x:c>
    </x:row>
    <x:row r="6014">
      <x:c r="A6014" s="87" t="n">
        <x:v>6013</x:v>
      </x:c>
      <x:c r="B6014" s="87" t="str">
        <x:v>EGKR-S26-PHY-955-07</x:v>
      </x:c>
      <x:c r="C6014" s="87" t="str">
        <x:v>ЕГКР</x:v>
      </x:c>
      <x:c r="D6014" s="87"/>
      <x:c r="E6014" s="87" t="str">
        <x:v>Весна 2026</x:v>
      </x:c>
      <x:c r="F6014" s="87" t="str">
        <x:v>26.03.2026</x:v>
      </x:c>
      <x:c r="G6014" s="87" t="str">
        <x:v>Физика</x:v>
      </x:c>
      <x:c r="H6014" s="87" t="n">
        <x:v>11</x:v>
      </x:c>
      <x:c r="I6014" s="87"/>
      <x:c r="J6014" s="87" t="str">
        <x:v>955</x:v>
      </x:c>
      <x:c r="K6014" s="87" t="n">
        <x:v>7</x:v>
      </x:c>
      <x:c r="L6014" s="87" t="str">
        <x:v>Уравнение состояния газа</x:v>
      </x:c>
      <x:c r="M6014" s="30" t="str">
        <x:v>На VT-диаграмме представлен процесс 1–2, в котором участвует разреженный гелий. В состоянии 1 давление газа равно 60 кПа. Какое давление соответствует состоянию 2, если масса газа остаётся неизменной? Ответ: __________________________ кПа. ФИЗИКА. 11 класс. Вариант 955</x:v>
      </x:c>
      <x:c r="N6014" s="30" t="str">
        <x:v>180</x:v>
      </x:c>
      <x:c r="O6014" s="30" t="str">
        <x:v>Независимый расчёт по исходному условию.</x:v>
      </x:c>
      <x:c r="P6014" s="30"/>
      <x:c r="Q6014" s="30" t="str">
        <x:v>Физический закон, вычисление и полная визуальная страница.</x:v>
      </x:c>
      <x:c r="R6014" s="30" t="str">
        <x:v>180</x:v>
      </x:c>
      <x:c r="S6014" s="30"/>
      <x:c r="T6014" s="30"/>
      <x:c r="U6014" s="30" t="str">
        <x:v>Ответник совпадает с независимой проверкой.</x:v>
      </x:c>
      <x:c r="V6014" s="87" t="str">
        <x:v>VERIFIED</x:v>
      </x:c>
      <x:c r="W6014" s="87"/>
      <x:c r="X6014" s="87" t="n">
        <x:v>3</x:v>
      </x:c>
      <x:c r="Y6014" s="87"/>
      <x:c r="Z6014" s="87"/>
      <x:c r="AA6014" s="87"/>
      <x:c r="AB6014" s="87"/>
      <x:c r="AC6014" s="87" t="str">
        <x:v>VIS-EGKR-PHY-S26-TASK-955-P003</x:v>
      </x:c>
      <x:c r="AD6014" s="87" t="str">
        <x:v>VIS-EGKR-PHY-S26-ANSWERDOC-P001</x:v>
      </x:c>
      <x:c r="AE6014" s="87" t="str">
        <x:v>TASK; SECONDARY_ANSWER_SOURCE</x:v>
      </x:c>
      <x:c r="AF6014" s="87" t="str">
        <x:v>VIS-EGKR-PHY-S26-TASK-955-P003: 3; VIS-EGKR-PHY-S26-ANSWERDOC-P001: 1</x:v>
      </x:c>
      <x:c r="AG6014" s="87" t="str">
        <x:v>RESOLVED</x:v>
      </x:c>
      <x:c r="AH6014" s="87" t="str">
        <x:v>CROP_VERIFIED; TASK_CROP_QA_APPROVED:USE_CONTEXT</x:v>
      </x:c>
      <x:c r="AI6014" s="30"/>
      <x:c r="AJ6014" s="87" t="str">
        <x:v>clean</x:v>
      </x:c>
      <x:c r="AK6014" s="87" t="str">
        <x:v>clean-v0.19</x:v>
      </x:c>
      <x:c r="AL6014" s="87" t="str">
        <x:v>statgrad_clean_continuation_v0_19(1).xlsx</x:v>
      </x:c>
      <x:c r="AM6014" s="87" t="str">
        <x:v>PHY_EGKR_S26_955</x:v>
      </x:c>
      <x:c r="AN6014" s="87" t="n">
        <x:v>8</x:v>
      </x:c>
    </x:row>
    <x:row r="6015">
      <x:c r="A6015" s="87" t="n">
        <x:v>6014</x:v>
      </x:c>
      <x:c r="B6015" s="87" t="str">
        <x:v>EGKR-S26-PHY-955-08</x:v>
      </x:c>
      <x:c r="C6015" s="87" t="str">
        <x:v>ЕГКР</x:v>
      </x:c>
      <x:c r="D6015" s="87"/>
      <x:c r="E6015" s="87" t="str">
        <x:v>Весна 2026</x:v>
      </x:c>
      <x:c r="F6015" s="87" t="str">
        <x:v>26.03.2026</x:v>
      </x:c>
      <x:c r="G6015" s="87" t="str">
        <x:v>Физика</x:v>
      </x:c>
      <x:c r="H6015" s="87" t="n">
        <x:v>11</x:v>
      </x:c>
      <x:c r="I6015" s="87"/>
      <x:c r="J6015" s="87" t="str">
        <x:v>955</x:v>
      </x:c>
      <x:c r="K6015" s="87" t="n">
        <x:v>8</x:v>
      </x:c>
      <x:c r="L6015" s="87" t="str">
        <x:v>Количество теплоты</x:v>
      </x:c>
      <x:c r="M6015" s="30" t="str">
        <x:v>Какое количество теплоты выделяется при конденсации 250 г водяного пара, взятого при температуре кипения? Ответ: __________________________ кДж.</x:v>
      </x:c>
      <x:c r="N6015" s="30" t="str">
        <x:v>575</x:v>
      </x:c>
      <x:c r="O6015" s="30" t="str">
        <x:v>Независимый расчёт по исходному условию.</x:v>
      </x:c>
      <x:c r="P6015" s="30"/>
      <x:c r="Q6015" s="30" t="str">
        <x:v>Физический закон, вычисление и полная визуальная страница.</x:v>
      </x:c>
      <x:c r="R6015" s="30" t="str">
        <x:v>575</x:v>
      </x:c>
      <x:c r="S6015" s="30"/>
      <x:c r="T6015" s="30"/>
      <x:c r="U6015" s="30" t="str">
        <x:v>Ответник совпадает с независимой проверкой.</x:v>
      </x:c>
      <x:c r="V6015" s="87" t="str">
        <x:v>VERIFIED</x:v>
      </x:c>
      <x:c r="W6015" s="87"/>
      <x:c r="X6015" s="87" t="n">
        <x:v>4</x:v>
      </x:c>
      <x:c r="Y6015" s="87"/>
      <x:c r="Z6015" s="87"/>
      <x:c r="AA6015" s="87"/>
      <x:c r="AB6015" s="87"/>
      <x:c r="AC6015" s="87" t="str">
        <x:v>VIS-EGKR-PHY-S26-TASK-955-P004</x:v>
      </x:c>
      <x:c r="AD6015" s="87" t="str">
        <x:v>VIS-EGKR-PHY-S26-ANSWERDOC-P001</x:v>
      </x:c>
      <x:c r="AE6015" s="87" t="str">
        <x:v>TASK; SECONDARY_ANSWER_SOURCE</x:v>
      </x:c>
      <x:c r="AF6015" s="87" t="str">
        <x:v>VIS-EGKR-PHY-S26-TASK-955-P004: 4; VIS-EGKR-PHY-S26-ANSWERDOC-P001: 1</x:v>
      </x:c>
      <x:c r="AG6015" s="87" t="str">
        <x:v>RESOLVED</x:v>
      </x:c>
      <x:c r="AH6015" s="87" t="str">
        <x:v>CROP_VERIFIED</x:v>
      </x:c>
      <x:c r="AI6015" s="30"/>
      <x:c r="AJ6015" s="87" t="str">
        <x:v>clean</x:v>
      </x:c>
      <x:c r="AK6015" s="87" t="str">
        <x:v>clean-v0.19</x:v>
      </x:c>
      <x:c r="AL6015" s="87" t="str">
        <x:v>statgrad_clean_continuation_v0_19(1).xlsx</x:v>
      </x:c>
      <x:c r="AM6015" s="87" t="str">
        <x:v>PHY_EGKR_S26_955</x:v>
      </x:c>
      <x:c r="AN6015" s="87" t="n">
        <x:v>9</x:v>
      </x:c>
    </x:row>
    <x:row r="6016">
      <x:c r="A6016" s="87" t="n">
        <x:v>6015</x:v>
      </x:c>
      <x:c r="B6016" s="87" t="str">
        <x:v>EGKR-S26-PHY-955-09</x:v>
      </x:c>
      <x:c r="C6016" s="87" t="str">
        <x:v>ЕГКР</x:v>
      </x:c>
      <x:c r="D6016" s="87"/>
      <x:c r="E6016" s="87" t="str">
        <x:v>Весна 2026</x:v>
      </x:c>
      <x:c r="F6016" s="87" t="str">
        <x:v>26.03.2026</x:v>
      </x:c>
      <x:c r="G6016" s="87" t="str">
        <x:v>Физика</x:v>
      </x:c>
      <x:c r="H6016" s="87" t="n">
        <x:v>11</x:v>
      </x:c>
      <x:c r="I6016" s="87"/>
      <x:c r="J6016" s="87" t="str">
        <x:v>955</x:v>
      </x:c>
      <x:c r="K6016" s="87" t="n">
        <x:v>9</x:v>
      </x:c>
      <x:c r="L6016" s="87" t="str">
        <x:v>Анализ газового процесса</x:v>
      </x:c>
      <x:c r="M6016" s="30" t="str">
        <x:v>Идеальный газ переводят из состояния 1 в состояние 3 так, как показано на диаграмме p–V, где p — давление газа, V — его объём. Масса газа в процессе постоянна. Из приведённого ниже списка выберите все верные утверждения, характеризующие процессы на графике. 1) В процессе 1–2 внутренняя энергия газа увеличивается в 1,5 раза. 2) В процессе 2–3 абсолютная температура газа увеличивается в 2 раза. 3) В процессе 2–3 газ изотермически сжимается. 4) В процессе 2–3 газу сообщают положительное количество теплоты. 5) Температура газа минимальна в состоянии 1. Ответ: __________________________ .</x:v>
      </x:c>
      <x:c r="N6016" s="30" t="str">
        <x:v>245</x:v>
      </x:c>
      <x:c r="O6016" s="30" t="str">
        <x:v>Независимый расчёт по исходному условию.</x:v>
      </x:c>
      <x:c r="P6016" s="30"/>
      <x:c r="Q6016" s="30" t="str">
        <x:v>Физический закон, вычисление и полная визуальная страница.</x:v>
      </x:c>
      <x:c r="R6016" s="30" t="str">
        <x:v>245</x:v>
      </x:c>
      <x:c r="S6016" s="30"/>
      <x:c r="T6016" s="30"/>
      <x:c r="U6016" s="30" t="str">
        <x:v>Ответник совпадает с независимой проверкой.</x:v>
      </x:c>
      <x:c r="V6016" s="87" t="str">
        <x:v>VERIFIED</x:v>
      </x:c>
      <x:c r="W6016" s="87"/>
      <x:c r="X6016" s="87" t="n">
        <x:v>4</x:v>
      </x:c>
      <x:c r="Y6016" s="87"/>
      <x:c r="Z6016" s="87"/>
      <x:c r="AA6016" s="87"/>
      <x:c r="AB6016" s="87"/>
      <x:c r="AC6016" s="87" t="str">
        <x:v>VIS-EGKR-PHY-S26-TASK-955-P004</x:v>
      </x:c>
      <x:c r="AD6016" s="87" t="str">
        <x:v>VIS-EGKR-PHY-S26-ANSWERDOC-P001</x:v>
      </x:c>
      <x:c r="AE6016" s="87" t="str">
        <x:v>TASK; SECONDARY_ANSWER_SOURCE</x:v>
      </x:c>
      <x:c r="AF6016" s="87" t="str">
        <x:v>VIS-EGKR-PHY-S26-TASK-955-P004: 4; VIS-EGKR-PHY-S26-ANSWERDOC-P001: 1</x:v>
      </x:c>
      <x:c r="AG6016" s="87" t="str">
        <x:v>RESOLVED</x:v>
      </x:c>
      <x:c r="AH6016" s="87" t="str">
        <x:v>CROP_VERIFIED; TASK_CROP_QA_APPROVED:MANUAL_BBOX</x:v>
      </x:c>
      <x:c r="AI6016" s="30"/>
      <x:c r="AJ6016" s="87" t="str">
        <x:v>clean</x:v>
      </x:c>
      <x:c r="AK6016" s="87" t="str">
        <x:v>clean-v0.19</x:v>
      </x:c>
      <x:c r="AL6016" s="87" t="str">
        <x:v>statgrad_clean_continuation_v0_19(1).xlsx</x:v>
      </x:c>
      <x:c r="AM6016" s="87" t="str">
        <x:v>PHY_EGKR_S26_955</x:v>
      </x:c>
      <x:c r="AN6016" s="87" t="n">
        <x:v>10</x:v>
      </x:c>
    </x:row>
    <x:row r="6017">
      <x:c r="A6017" s="87" t="n">
        <x:v>6016</x:v>
      </x:c>
      <x:c r="B6017" s="87" t="str">
        <x:v>EGKR-S26-PHY-955-10</x:v>
      </x:c>
      <x:c r="C6017" s="87" t="str">
        <x:v>ЕГКР</x:v>
      </x:c>
      <x:c r="D6017" s="87"/>
      <x:c r="E6017" s="87" t="str">
        <x:v>Весна 2026</x:v>
      </x:c>
      <x:c r="F6017" s="87" t="str">
        <x:v>26.03.2026</x:v>
      </x:c>
      <x:c r="G6017" s="87" t="str">
        <x:v>Физика</x:v>
      </x:c>
      <x:c r="H6017" s="87" t="n">
        <x:v>11</x:v>
      </x:c>
      <x:c r="I6017" s="87"/>
      <x:c r="J6017" s="87" t="str">
        <x:v>955</x:v>
      </x:c>
      <x:c r="K6017" s="87" t="n">
        <x:v>10</x:v>
      </x:c>
      <x:c r="L6017" s="87" t="str">
        <x:v>Газ под поршнем</x:v>
      </x:c>
      <x:c r="M6017" s="30" t="str">
        <x:v>В вертикальном цилиндрическом сосуде под поршнем находится газ. Поршень не закреплён и может перемещаться в сосуде без трения (см. рисунок). Газ в сосуде охлаждают на 25 K. Как изменяются в результате этого давление газа и концентрация его молекул? Для каждой величины определите соответствующий характер изменения: 1) увеличивается 2) уменьшается 3) не изменяется Запишите в таблицу выбранные цифры для каждой физической величины. Цифры в ответе могут повторяться. Концентрация Давление газа молекул газа ФИЗИКА. 11 класс. Вариант 955</x:v>
      </x:c>
      <x:c r="N6017" s="30" t="str">
        <x:v>31</x:v>
      </x:c>
      <x:c r="O6017" s="30" t="str">
        <x:v>Независимый расчёт по исходному условию.</x:v>
      </x:c>
      <x:c r="P6017" s="30"/>
      <x:c r="Q6017" s="30" t="str">
        <x:v>Физический закон, вычисление и полная визуальная страница.</x:v>
      </x:c>
      <x:c r="R6017" s="30" t="str">
        <x:v>31</x:v>
      </x:c>
      <x:c r="S6017" s="30"/>
      <x:c r="T6017" s="30"/>
      <x:c r="U6017" s="30" t="str">
        <x:v>Ответник совпадает с независимой проверкой.</x:v>
      </x:c>
      <x:c r="V6017" s="87" t="str">
        <x:v>VERIFIED</x:v>
      </x:c>
      <x:c r="W6017" s="87"/>
      <x:c r="X6017" s="87" t="n">
        <x:v>4</x:v>
      </x:c>
      <x:c r="Y6017" s="87"/>
      <x:c r="Z6017" s="87"/>
      <x:c r="AA6017" s="87"/>
      <x:c r="AB6017" s="87"/>
      <x:c r="AC6017" s="87" t="str">
        <x:v>VIS-EGKR-PHY-S26-TASK-955-P004</x:v>
      </x:c>
      <x:c r="AD6017" s="87" t="str">
        <x:v>VIS-EGKR-PHY-S26-ANSWERDOC-P001</x:v>
      </x:c>
      <x:c r="AE6017" s="87" t="str">
        <x:v>TASK; SECONDARY_ANSWER_SOURCE</x:v>
      </x:c>
      <x:c r="AF6017" s="87" t="str">
        <x:v>VIS-EGKR-PHY-S26-TASK-955-P004: 4; VIS-EGKR-PHY-S26-ANSWERDOC-P001: 1</x:v>
      </x:c>
      <x:c r="AG6017" s="87" t="str">
        <x:v>RESOLVED</x:v>
      </x:c>
      <x:c r="AH6017" s="87" t="str">
        <x:v>CROP_VERIFIED; TASK_CROP_QA_APPROVED:MANUAL_BBOX</x:v>
      </x:c>
      <x:c r="AI6017" s="30"/>
      <x:c r="AJ6017" s="87" t="str">
        <x:v>clean</x:v>
      </x:c>
      <x:c r="AK6017" s="87" t="str">
        <x:v>clean-v0.19</x:v>
      </x:c>
      <x:c r="AL6017" s="87" t="str">
        <x:v>statgrad_clean_continuation_v0_19(1).xlsx</x:v>
      </x:c>
      <x:c r="AM6017" s="87" t="str">
        <x:v>PHY_EGKR_S26_955</x:v>
      </x:c>
      <x:c r="AN6017" s="87" t="n">
        <x:v>11</x:v>
      </x:c>
    </x:row>
    <x:row r="6018">
      <x:c r="A6018" s="87" t="n">
        <x:v>6017</x:v>
      </x:c>
      <x:c r="B6018" s="87" t="str">
        <x:v>EGKR-S26-PHY-955-11</x:v>
      </x:c>
      <x:c r="C6018" s="87" t="str">
        <x:v>ЕГКР</x:v>
      </x:c>
      <x:c r="D6018" s="87"/>
      <x:c r="E6018" s="87" t="str">
        <x:v>Весна 2026</x:v>
      </x:c>
      <x:c r="F6018" s="87" t="str">
        <x:v>26.03.2026</x:v>
      </x:c>
      <x:c r="G6018" s="87" t="str">
        <x:v>Физика</x:v>
      </x:c>
      <x:c r="H6018" s="87" t="n">
        <x:v>11</x:v>
      </x:c>
      <x:c r="I6018" s="87"/>
      <x:c r="J6018" s="87" t="str">
        <x:v>955</x:v>
      </x:c>
      <x:c r="K6018" s="87" t="n">
        <x:v>11</x:v>
      </x:c>
      <x:c r="L6018" s="87" t="str">
        <x:v>Заряд по графику</x:v>
      </x:c>
      <x:c r="M6018" s="30" t="str">
        <x:v>На графике показана зависимость силы тока I в проводнике от времени t. Определите заряд, прошедший через поперечное сечение проводника за Δt = 6 с с момента начала отсчёта времени. Ответ: __________________________ Кл.</x:v>
      </x:c>
      <x:c r="N6018" s="30" t="str">
        <x:v>30</x:v>
      </x:c>
      <x:c r="O6018" s="30" t="str">
        <x:v>Независимый расчёт по исходному условию.</x:v>
      </x:c>
      <x:c r="P6018" s="30"/>
      <x:c r="Q6018" s="30" t="str">
        <x:v>Физический закон, вычисление и полная визуальная страница.</x:v>
      </x:c>
      <x:c r="R6018" s="30" t="str">
        <x:v>30</x:v>
      </x:c>
      <x:c r="S6018" s="30"/>
      <x:c r="T6018" s="30"/>
      <x:c r="U6018" s="30" t="str">
        <x:v>Ответник совпадает с независимой проверкой.</x:v>
      </x:c>
      <x:c r="V6018" s="87" t="str">
        <x:v>VERIFIED</x:v>
      </x:c>
      <x:c r="W6018" s="87"/>
      <x:c r="X6018" s="87" t="n">
        <x:v>5</x:v>
      </x:c>
      <x:c r="Y6018" s="87"/>
      <x:c r="Z6018" s="87"/>
      <x:c r="AA6018" s="87"/>
      <x:c r="AB6018" s="87"/>
      <x:c r="AC6018" s="87" t="str">
        <x:v>VIS-EGKR-PHY-S26-TASK-955-P005</x:v>
      </x:c>
      <x:c r="AD6018" s="87" t="str">
        <x:v>VIS-EGKR-PHY-S26-ANSWERDOC-P001</x:v>
      </x:c>
      <x:c r="AE6018" s="87" t="str">
        <x:v>TASK; SECONDARY_ANSWER_SOURCE</x:v>
      </x:c>
      <x:c r="AF6018" s="87" t="str">
        <x:v>VIS-EGKR-PHY-S26-TASK-955-P005: 5; VIS-EGKR-PHY-S26-ANSWERDOC-P001: 1</x:v>
      </x:c>
      <x:c r="AG6018" s="87" t="str">
        <x:v>RESOLVED</x:v>
      </x:c>
      <x:c r="AH6018" s="87" t="str">
        <x:v>CROP_VERIFIED; TASK_CROP_QA_APPROVED:MANUAL_BBOX</x:v>
      </x:c>
      <x:c r="AI6018" s="30"/>
      <x:c r="AJ6018" s="87" t="str">
        <x:v>clean</x:v>
      </x:c>
      <x:c r="AK6018" s="87" t="str">
        <x:v>clean-v0.19</x:v>
      </x:c>
      <x:c r="AL6018" s="87" t="str">
        <x:v>statgrad_clean_continuation_v0_19(1).xlsx</x:v>
      </x:c>
      <x:c r="AM6018" s="87" t="str">
        <x:v>PHY_EGKR_S26_955</x:v>
      </x:c>
      <x:c r="AN6018" s="87" t="n">
        <x:v>12</x:v>
      </x:c>
    </x:row>
    <x:row r="6019">
      <x:c r="A6019" s="87" t="n">
        <x:v>6018</x:v>
      </x:c>
      <x:c r="B6019" s="87" t="str">
        <x:v>EGKR-S26-PHY-955-12</x:v>
      </x:c>
      <x:c r="C6019" s="87" t="str">
        <x:v>ЕГКР</x:v>
      </x:c>
      <x:c r="D6019" s="87"/>
      <x:c r="E6019" s="87" t="str">
        <x:v>Весна 2026</x:v>
      </x:c>
      <x:c r="F6019" s="87" t="str">
        <x:v>26.03.2026</x:v>
      </x:c>
      <x:c r="G6019" s="87" t="str">
        <x:v>Физика</x:v>
      </x:c>
      <x:c r="H6019" s="87" t="n">
        <x:v>11</x:v>
      </x:c>
      <x:c r="I6019" s="87"/>
      <x:c r="J6019" s="87" t="str">
        <x:v>955</x:v>
      </x:c>
      <x:c r="K6019" s="87" t="n">
        <x:v>12</x:v>
      </x:c>
      <x:c r="L6019" s="87" t="str">
        <x:v>Сила Ампера</x:v>
      </x:c>
      <x:c r="M6019" s="30" t="str">
        <x:v>Прямой проводник расположен в однородном магнитном поле с индукцией 0,5 Тл перпендикулярно линиям магнитной индукции. По проводнику протекает электрический ток силой 5 А. Определите длину проводника, если на него в магнитном поле действует сила 1,2 Н. Ответ: __________________________ см.</x:v>
      </x:c>
      <x:c r="N6019" s="30" t="str">
        <x:v>48</x:v>
      </x:c>
      <x:c r="O6019" s="30" t="str">
        <x:v>Независимый расчёт по исходному условию.</x:v>
      </x:c>
      <x:c r="P6019" s="30"/>
      <x:c r="Q6019" s="30" t="str">
        <x:v>Физический закон, вычисление и полная визуальная страница.</x:v>
      </x:c>
      <x:c r="R6019" s="30" t="str">
        <x:v>48</x:v>
      </x:c>
      <x:c r="S6019" s="30"/>
      <x:c r="T6019" s="30"/>
      <x:c r="U6019" s="30" t="str">
        <x:v>Ответник совпадает с независимой проверкой.</x:v>
      </x:c>
      <x:c r="V6019" s="87" t="str">
        <x:v>VERIFIED</x:v>
      </x:c>
      <x:c r="W6019" s="87"/>
      <x:c r="X6019" s="87" t="n">
        <x:v>5</x:v>
      </x:c>
      <x:c r="Y6019" s="87"/>
      <x:c r="Z6019" s="87"/>
      <x:c r="AA6019" s="87"/>
      <x:c r="AB6019" s="87"/>
      <x:c r="AC6019" s="87" t="str">
        <x:v>VIS-EGKR-PHY-S26-TASK-955-P005</x:v>
      </x:c>
      <x:c r="AD6019" s="87" t="str">
        <x:v>VIS-EGKR-PHY-S26-ANSWERDOC-P001</x:v>
      </x:c>
      <x:c r="AE6019" s="87" t="str">
        <x:v>TASK; SECONDARY_ANSWER_SOURCE</x:v>
      </x:c>
      <x:c r="AF6019" s="87" t="str">
        <x:v>VIS-EGKR-PHY-S26-TASK-955-P005: 5; VIS-EGKR-PHY-S26-ANSWERDOC-P001: 1</x:v>
      </x:c>
      <x:c r="AG6019" s="87" t="str">
        <x:v>RESOLVED</x:v>
      </x:c>
      <x:c r="AH6019" s="87" t="str">
        <x:v>CROP_VERIFIED</x:v>
      </x:c>
      <x:c r="AI6019" s="30"/>
      <x:c r="AJ6019" s="87" t="str">
        <x:v>clean</x:v>
      </x:c>
      <x:c r="AK6019" s="87" t="str">
        <x:v>clean-v0.19</x:v>
      </x:c>
      <x:c r="AL6019" s="87" t="str">
        <x:v>statgrad_clean_continuation_v0_19(1).xlsx</x:v>
      </x:c>
      <x:c r="AM6019" s="87" t="str">
        <x:v>PHY_EGKR_S26_955</x:v>
      </x:c>
      <x:c r="AN6019" s="87" t="n">
        <x:v>13</x:v>
      </x:c>
    </x:row>
    <x:row r="6020">
      <x:c r="A6020" s="87" t="n">
        <x:v>6019</x:v>
      </x:c>
      <x:c r="B6020" s="87" t="str">
        <x:v>EGKR-S26-PHY-955-13</x:v>
      </x:c>
      <x:c r="C6020" s="87" t="str">
        <x:v>ЕГКР</x:v>
      </x:c>
      <x:c r="D6020" s="87"/>
      <x:c r="E6020" s="87" t="str">
        <x:v>Весна 2026</x:v>
      </x:c>
      <x:c r="F6020" s="87" t="str">
        <x:v>26.03.2026</x:v>
      </x:c>
      <x:c r="G6020" s="87" t="str">
        <x:v>Физика</x:v>
      </x:c>
      <x:c r="H6020" s="87" t="n">
        <x:v>11</x:v>
      </x:c>
      <x:c r="I6020" s="87"/>
      <x:c r="J6020" s="87" t="str">
        <x:v>955</x:v>
      </x:c>
      <x:c r="K6020" s="87" t="n">
        <x:v>13</x:v>
      </x:c>
      <x:c r="L6020" s="87" t="str">
        <x:v>Тонкая линза</x:v>
      </x:c>
      <x:c r="M6020" s="30" t="str">
        <x:v>Какая из точек (1, 2, 3 или 4), показанных на рисунке, является изображением точки S, создаваемым тонкой собирающей линзой с фокусным расстоянием F? Ответ: точка ____________________. ФИЗИКА. 11 класс. Вариант 955</x:v>
      </x:c>
      <x:c r="N6020" s="30" t="str">
        <x:v>2</x:v>
      </x:c>
      <x:c r="O6020" s="30" t="str">
        <x:v>Независимый расчёт по исходному условию.</x:v>
      </x:c>
      <x:c r="P6020" s="30"/>
      <x:c r="Q6020" s="30" t="str">
        <x:v>Физический закон, вычисление и полная визуальная страница.</x:v>
      </x:c>
      <x:c r="R6020" s="30" t="str">
        <x:v>2</x:v>
      </x:c>
      <x:c r="S6020" s="30"/>
      <x:c r="T6020" s="30"/>
      <x:c r="U6020" s="30" t="str">
        <x:v>Ответник совпадает с независимой проверкой.</x:v>
      </x:c>
      <x:c r="V6020" s="87" t="str">
        <x:v>VERIFIED</x:v>
      </x:c>
      <x:c r="W6020" s="87"/>
      <x:c r="X6020" s="87" t="n">
        <x:v>5</x:v>
      </x:c>
      <x:c r="Y6020" s="87"/>
      <x:c r="Z6020" s="87"/>
      <x:c r="AA6020" s="87"/>
      <x:c r="AB6020" s="87"/>
      <x:c r="AC6020" s="87" t="str">
        <x:v>VIS-EGKR-PHY-S26-TASK-955-P005</x:v>
      </x:c>
      <x:c r="AD6020" s="87" t="str">
        <x:v>VIS-EGKR-PHY-S26-ANSWERDOC-P001</x:v>
      </x:c>
      <x:c r="AE6020" s="87" t="str">
        <x:v>TASK; SECONDARY_ANSWER_SOURCE</x:v>
      </x:c>
      <x:c r="AF6020" s="87" t="str">
        <x:v>VIS-EGKR-PHY-S26-TASK-955-P005: 5; VIS-EGKR-PHY-S26-ANSWERDOC-P001: 1</x:v>
      </x:c>
      <x:c r="AG6020" s="87" t="str">
        <x:v>RESOLVED</x:v>
      </x:c>
      <x:c r="AH6020" s="87" t="str">
        <x:v>CROP_VERIFIED; TASK_CROP_QA_APPROVED:USE_CONTEXT</x:v>
      </x:c>
      <x:c r="AI6020" s="30"/>
      <x:c r="AJ6020" s="87" t="str">
        <x:v>clean</x:v>
      </x:c>
      <x:c r="AK6020" s="87" t="str">
        <x:v>clean-v0.19</x:v>
      </x:c>
      <x:c r="AL6020" s="87" t="str">
        <x:v>statgrad_clean_continuation_v0_19(1).xlsx</x:v>
      </x:c>
      <x:c r="AM6020" s="87" t="str">
        <x:v>PHY_EGKR_S26_955</x:v>
      </x:c>
      <x:c r="AN6020" s="87" t="n">
        <x:v>14</x:v>
      </x:c>
    </x:row>
    <x:row r="6021">
      <x:c r="A6021" s="87" t="n">
        <x:v>6020</x:v>
      </x:c>
      <x:c r="B6021" s="87" t="str">
        <x:v>EGKR-S26-PHY-955-14</x:v>
      </x:c>
      <x:c r="C6021" s="87" t="str">
        <x:v>ЕГКР</x:v>
      </x:c>
      <x:c r="D6021" s="87"/>
      <x:c r="E6021" s="87" t="str">
        <x:v>Весна 2026</x:v>
      </x:c>
      <x:c r="F6021" s="87" t="str">
        <x:v>26.03.2026</x:v>
      </x:c>
      <x:c r="G6021" s="87" t="str">
        <x:v>Физика</x:v>
      </x:c>
      <x:c r="H6021" s="87" t="n">
        <x:v>11</x:v>
      </x:c>
      <x:c r="I6021" s="87"/>
      <x:c r="J6021" s="87" t="str">
        <x:v>955</x:v>
      </x:c>
      <x:c r="K6021" s="87" t="n">
        <x:v>14</x:v>
      </x:c>
      <x:c r="L6021" s="87" t="str">
        <x:v>Электромагнитные колебания</x:v>
      </x:c>
      <x:c r="M6021" s="30" t="str">
        <x:v>В идеальном колебательном контуре, состоящем из конденсатора и катушки индуктивности, происходят свободные электромагнитные колебания. В таблице показано, как изменяется заряд одной из обкладок конденсатора в колебательном контуре с течением времени. t, 10^-6 c 0 1 2 3 4 5 6 7 8 9 q, 10^-9 Кл 8 5,66 0 -5,66 -8 -5,66 0 5,66 8 5,66 Выберите все верные утверждения о процессе, происходящем в колебательном контуре. 1) Период колебаний равен 8·10^-6 с. 2) Частота колебаний равна 25 МГц. 3) В момент времени t = 2·10^-6 с модуль силы тока в колебательном контуре максимален. 4) В момент времени t = 4·10^-6 с энергия магнитного поля катушки индуктивности максимальна. 5) В момент времени t = 2·10^-6 с энергия электрического поля конденсатора минимальна. Ответ: __________________________ .</x:v>
      </x:c>
      <x:c r="N6021" s="30" t="str">
        <x:v>135</x:v>
      </x:c>
      <x:c r="O6021" s="30" t="str">
        <x:v>Независимый расчёт по исходному условию.</x:v>
      </x:c>
      <x:c r="P6021" s="30"/>
      <x:c r="Q6021" s="30" t="str">
        <x:v>Физический закон, вычисление и полная визуальная страница.</x:v>
      </x:c>
      <x:c r="R6021" s="30" t="str">
        <x:v>135</x:v>
      </x:c>
      <x:c r="S6021" s="30"/>
      <x:c r="T6021" s="30"/>
      <x:c r="U6021" s="30" t="str">
        <x:v>Ответник совпадает с независимой проверкой.</x:v>
      </x:c>
      <x:c r="V6021" s="87" t="str">
        <x:v>VERIFIED</x:v>
      </x:c>
      <x:c r="W6021" s="87"/>
      <x:c r="X6021" s="87" t="n">
        <x:v>6</x:v>
      </x:c>
      <x:c r="Y6021" s="87"/>
      <x:c r="Z6021" s="87"/>
      <x:c r="AA6021" s="87"/>
      <x:c r="AB6021" s="87"/>
      <x:c r="AC6021" s="87" t="str">
        <x:v>VIS-EGKR-PHY-S26-TASK-955-P006</x:v>
      </x:c>
      <x:c r="AD6021" s="87" t="str">
        <x:v>VIS-EGKR-PHY-S26-ANSWERDOC-P001</x:v>
      </x:c>
      <x:c r="AE6021" s="87" t="str">
        <x:v>TASK; SECONDARY_ANSWER_SOURCE</x:v>
      </x:c>
      <x:c r="AF6021" s="87" t="str">
        <x:v>VIS-EGKR-PHY-S26-TASK-955-P006: 6; VIS-EGKR-PHY-S26-ANSWERDOC-P001: 1</x:v>
      </x:c>
      <x:c r="AG6021" s="87" t="str">
        <x:v>RESOLVED</x:v>
      </x:c>
      <x:c r="AH6021" s="87" t="str">
        <x:v>CROP_VERIFIED; TASK_CROP_QA_APPROVED:MANUAL_BBOX</x:v>
      </x:c>
      <x:c r="AI6021" s="30"/>
      <x:c r="AJ6021" s="87" t="str">
        <x:v>clean</x:v>
      </x:c>
      <x:c r="AK6021" s="87" t="str">
        <x:v>clean-v0.19</x:v>
      </x:c>
      <x:c r="AL6021" s="87" t="str">
        <x:v>statgrad_clean_continuation_v0_19(1).xlsx</x:v>
      </x:c>
      <x:c r="AM6021" s="87" t="str">
        <x:v>PHY_EGKR_S26_955</x:v>
      </x:c>
      <x:c r="AN6021" s="87" t="n">
        <x:v>15</x:v>
      </x:c>
    </x:row>
    <x:row r="6022">
      <x:c r="A6022" s="87" t="n">
        <x:v>6021</x:v>
      </x:c>
      <x:c r="B6022" s="87" t="str">
        <x:v>EGKR-S26-PHY-955-15</x:v>
      </x:c>
      <x:c r="C6022" s="87" t="str">
        <x:v>ЕГКР</x:v>
      </x:c>
      <x:c r="D6022" s="87"/>
      <x:c r="E6022" s="87" t="str">
        <x:v>Весна 2026</x:v>
      </x:c>
      <x:c r="F6022" s="87" t="str">
        <x:v>26.03.2026</x:v>
      </x:c>
      <x:c r="G6022" s="87" t="str">
        <x:v>Физика</x:v>
      </x:c>
      <x:c r="H6022" s="87" t="n">
        <x:v>11</x:v>
      </x:c>
      <x:c r="I6022" s="87"/>
      <x:c r="J6022" s="87" t="str">
        <x:v>955</x:v>
      </x:c>
      <x:c r="K6022" s="87" t="n">
        <x:v>15</x:v>
      </x:c>
      <x:c r="L6022" s="87" t="str">
        <x:v>Цепь постоянного тока</x:v>
      </x:c>
      <x:c r="M6022" s="30" t="str">
        <x:v>Неразветвлённая электрическая цепь состоит из источника постоянного напряжения и проволочного резистора. Резистор заменили на другой, с проволокой той же длины и того же поперечного сечения, но из материала с вдвое большим удельным сопротивлением. Как изменились при этом сопротивление резистора и сила тока в резисторе? Внутренним сопротивлением источника пренебречь. Для каждой величины определите соответствующий характер изменения: 1) увеличилась 2) уменьшилась 3) не изменилась Запишите в таблицу выбранные цифры для каждой физической величины. Цифры в ответе могут повторяться. Сопротивление резистора Сила тока в резисторе ФИЗИКА. 11 класс. Вариант 955</x:v>
      </x:c>
      <x:c r="N6022" s="30" t="str">
        <x:v>12</x:v>
      </x:c>
      <x:c r="O6022" s="30" t="str">
        <x:v>Независимый расчёт по исходному условию.</x:v>
      </x:c>
      <x:c r="P6022" s="30"/>
      <x:c r="Q6022" s="30" t="str">
        <x:v>Физический закон, вычисление и полная визуальная страница.</x:v>
      </x:c>
      <x:c r="R6022" s="30" t="str">
        <x:v>12</x:v>
      </x:c>
      <x:c r="S6022" s="30"/>
      <x:c r="T6022" s="30"/>
      <x:c r="U6022" s="30" t="str">
        <x:v>Ответник совпадает с независимой проверкой.</x:v>
      </x:c>
      <x:c r="V6022" s="87" t="str">
        <x:v>VERIFIED</x:v>
      </x:c>
      <x:c r="W6022" s="87"/>
      <x:c r="X6022" s="87" t="n">
        <x:v>6</x:v>
      </x:c>
      <x:c r="Y6022" s="87"/>
      <x:c r="Z6022" s="87"/>
      <x:c r="AA6022" s="87"/>
      <x:c r="AB6022" s="87"/>
      <x:c r="AC6022" s="87" t="str">
        <x:v>VIS-EGKR-PHY-S26-TASK-955-P006</x:v>
      </x:c>
      <x:c r="AD6022" s="87" t="str">
        <x:v>VIS-EGKR-PHY-S26-ANSWERDOC-P001</x:v>
      </x:c>
      <x:c r="AE6022" s="87" t="str">
        <x:v>TASK; SECONDARY_ANSWER_SOURCE</x:v>
      </x:c>
      <x:c r="AF6022" s="87" t="str">
        <x:v>VIS-EGKR-PHY-S26-TASK-955-P006: 6; VIS-EGKR-PHY-S26-ANSWERDOC-P001: 1</x:v>
      </x:c>
      <x:c r="AG6022" s="87" t="str">
        <x:v>RESOLVED</x:v>
      </x:c>
      <x:c r="AH6022" s="87" t="str">
        <x:v>CROP_VERIFIED</x:v>
      </x:c>
      <x:c r="AI6022" s="30"/>
      <x:c r="AJ6022" s="87" t="str">
        <x:v>clean</x:v>
      </x:c>
      <x:c r="AK6022" s="87" t="str">
        <x:v>clean-v0.19</x:v>
      </x:c>
      <x:c r="AL6022" s="87" t="str">
        <x:v>statgrad_clean_continuation_v0_19(1).xlsx</x:v>
      </x:c>
      <x:c r="AM6022" s="87" t="str">
        <x:v>PHY_EGKR_S26_955</x:v>
      </x:c>
      <x:c r="AN6022" s="87" t="n">
        <x:v>16</x:v>
      </x:c>
    </x:row>
    <x:row r="6023">
      <x:c r="A6023" s="87" t="n">
        <x:v>6022</x:v>
      </x:c>
      <x:c r="B6023" s="87" t="str">
        <x:v>EGKR-S26-PHY-955-16</x:v>
      </x:c>
      <x:c r="C6023" s="87" t="str">
        <x:v>ЕГКР</x:v>
      </x:c>
      <x:c r="D6023" s="87"/>
      <x:c r="E6023" s="87" t="str">
        <x:v>Весна 2026</x:v>
      </x:c>
      <x:c r="F6023" s="87" t="str">
        <x:v>26.03.2026</x:v>
      </x:c>
      <x:c r="G6023" s="87" t="str">
        <x:v>Физика</x:v>
      </x:c>
      <x:c r="H6023" s="87" t="n">
        <x:v>11</x:v>
      </x:c>
      <x:c r="I6023" s="87"/>
      <x:c r="J6023" s="87" t="str">
        <x:v>955</x:v>
      </x:c>
      <x:c r="K6023" s="87" t="n">
        <x:v>16</x:v>
      </x:c>
      <x:c r="L6023" s="87" t="str">
        <x:v>Ядерная физика</x:v>
      </x:c>
      <x:c r="M6023" s="30" t="str">
        <x:v>На рисунке представлен фрагмент Периодической системы элементов Д.И. Менделеева. Под названием каждого элемента приведены массовые числа его основных стабильных изотопов. При этом нижний индекс около массового числа указывает (в процентах) распространённость изотопа в природе. Запишите число протонов в ядре наиболее распространённого стабильного изотопа меди. Ответ: __________________________ .</x:v>
      </x:c>
      <x:c r="N6023" s="30" t="str">
        <x:v>29</x:v>
      </x:c>
      <x:c r="O6023" s="30" t="str">
        <x:v>Независимый расчёт по исходному условию.</x:v>
      </x:c>
      <x:c r="P6023" s="30"/>
      <x:c r="Q6023" s="30" t="str">
        <x:v>Физический закон, вычисление и полная визуальная страница.</x:v>
      </x:c>
      <x:c r="R6023" s="30" t="str">
        <x:v>29</x:v>
      </x:c>
      <x:c r="S6023" s="30"/>
      <x:c r="T6023" s="30"/>
      <x:c r="U6023" s="30" t="str">
        <x:v>Ответник совпадает с независимой проверкой.</x:v>
      </x:c>
      <x:c r="V6023" s="87" t="str">
        <x:v>VERIFIED</x:v>
      </x:c>
      <x:c r="W6023" s="87"/>
      <x:c r="X6023" s="87" t="n">
        <x:v>7</x:v>
      </x:c>
      <x:c r="Y6023" s="87"/>
      <x:c r="Z6023" s="87"/>
      <x:c r="AA6023" s="87"/>
      <x:c r="AB6023" s="87"/>
      <x:c r="AC6023" s="87" t="str">
        <x:v>VIS-EGKR-PHY-S26-TASK-955-P007</x:v>
      </x:c>
      <x:c r="AD6023" s="87" t="str">
        <x:v>VIS-EGKR-PHY-S26-ANSWERDOC-P001</x:v>
      </x:c>
      <x:c r="AE6023" s="87" t="str">
        <x:v>TASK; SECONDARY_ANSWER_SOURCE</x:v>
      </x:c>
      <x:c r="AF6023" s="87" t="str">
        <x:v>VIS-EGKR-PHY-S26-TASK-955-P007: 7; VIS-EGKR-PHY-S26-ANSWERDOC-P001: 1</x:v>
      </x:c>
      <x:c r="AG6023" s="87" t="str">
        <x:v>RESOLVED</x:v>
      </x:c>
      <x:c r="AH6023" s="87" t="str">
        <x:v>CROP_VERIFIED; TASK_CROP_QA_APPROVED:MANUAL_BBOX</x:v>
      </x:c>
      <x:c r="AI6023" s="30"/>
      <x:c r="AJ6023" s="87" t="str">
        <x:v>clean</x:v>
      </x:c>
      <x:c r="AK6023" s="87" t="str">
        <x:v>clean-v0.19</x:v>
      </x:c>
      <x:c r="AL6023" s="87" t="str">
        <x:v>statgrad_clean_continuation_v0_19(1).xlsx</x:v>
      </x:c>
      <x:c r="AM6023" s="87" t="str">
        <x:v>PHY_EGKR_S26_955</x:v>
      </x:c>
      <x:c r="AN6023" s="87" t="n">
        <x:v>17</x:v>
      </x:c>
    </x:row>
    <x:row r="6024">
      <x:c r="A6024" s="87" t="n">
        <x:v>6023</x:v>
      </x:c>
      <x:c r="B6024" s="87" t="str">
        <x:v>EGKR-S26-PHY-955-17</x:v>
      </x:c>
      <x:c r="C6024" s="87" t="str">
        <x:v>ЕГКР</x:v>
      </x:c>
      <x:c r="D6024" s="87"/>
      <x:c r="E6024" s="87" t="str">
        <x:v>Весна 2026</x:v>
      </x:c>
      <x:c r="F6024" s="87" t="str">
        <x:v>26.03.2026</x:v>
      </x:c>
      <x:c r="G6024" s="87" t="str">
        <x:v>Физика</x:v>
      </x:c>
      <x:c r="H6024" s="87" t="n">
        <x:v>11</x:v>
      </x:c>
      <x:c r="I6024" s="87"/>
      <x:c r="J6024" s="87" t="str">
        <x:v>955</x:v>
      </x:c>
      <x:c r="K6024" s="87" t="n">
        <x:v>17</x:v>
      </x:c>
      <x:c r="L6024" s="87" t="str">
        <x:v>Фотоэффект</x:v>
      </x:c>
      <x:c r="M6024" s="30" t="str">
        <x:v>При исследовании зависимости кинетической энергии фотоэлектронов от длины волны падающего света фотоэлемент освещался через различные светофильтры. В первой серии опытов использовался светофильтр, пропускающий только синий свет, а во второй — пропускающий только красный свет. В каждом опыте наблюдали явление фотоэффекта и измеряли запирающее напряжение. Как изменялись длина световой волны и максимальная кинетическая энергия фотоэлектронов при переходе от первой серии опытов ко второй? Для каждой величины определите соответствующий характер её изменения: 1) увеличивалась 2) уменьшалась 3) не изменялась Запишите в таблицу выбранные цифры для каждой физической величины. Цифры в ответе могут повторяться. Длина световой волны, падающей Максимальная кинетическая на фотоэлемент энергия фотоэлектронов ФИЗИКА. 11 класс. Вариант 955</x:v>
      </x:c>
      <x:c r="N6024" s="30" t="str">
        <x:v>12</x:v>
      </x:c>
      <x:c r="O6024" s="30" t="str">
        <x:v>Независимый расчёт по исходному условию.</x:v>
      </x:c>
      <x:c r="P6024" s="30"/>
      <x:c r="Q6024" s="30" t="str">
        <x:v>Физический закон, вычисление и полная визуальная страница.</x:v>
      </x:c>
      <x:c r="R6024" s="30" t="str">
        <x:v>12</x:v>
      </x:c>
      <x:c r="S6024" s="30"/>
      <x:c r="T6024" s="30"/>
      <x:c r="U6024" s="30" t="str">
        <x:v>Ответник совпадает с независимой проверкой.</x:v>
      </x:c>
      <x:c r="V6024" s="87" t="str">
        <x:v>VERIFIED</x:v>
      </x:c>
      <x:c r="W6024" s="87"/>
      <x:c r="X6024" s="87" t="n">
        <x:v>7</x:v>
      </x:c>
      <x:c r="Y6024" s="87"/>
      <x:c r="Z6024" s="87"/>
      <x:c r="AA6024" s="87"/>
      <x:c r="AB6024" s="87"/>
      <x:c r="AC6024" s="87" t="str">
        <x:v>VIS-EGKR-PHY-S26-TASK-955-P007</x:v>
      </x:c>
      <x:c r="AD6024" s="87" t="str">
        <x:v>VIS-EGKR-PHY-S26-ANSWERDOC-P001</x:v>
      </x:c>
      <x:c r="AE6024" s="87" t="str">
        <x:v>TASK; SECONDARY_ANSWER_SOURCE</x:v>
      </x:c>
      <x:c r="AF6024" s="87" t="str">
        <x:v>VIS-EGKR-PHY-S26-TASK-955-P007: 7; VIS-EGKR-PHY-S26-ANSWERDOC-P001: 1</x:v>
      </x:c>
      <x:c r="AG6024" s="87" t="str">
        <x:v>RESOLVED</x:v>
      </x:c>
      <x:c r="AH6024" s="87" t="str">
        <x:v>CROP_VERIFIED; TASK_CROP_NO_CROP_NEEDED</x:v>
      </x:c>
      <x:c r="AI6024" s="30"/>
      <x:c r="AJ6024" s="87" t="str">
        <x:v>clean</x:v>
      </x:c>
      <x:c r="AK6024" s="87" t="str">
        <x:v>clean-v0.19</x:v>
      </x:c>
      <x:c r="AL6024" s="87" t="str">
        <x:v>statgrad_clean_continuation_v0_19(1).xlsx</x:v>
      </x:c>
      <x:c r="AM6024" s="87" t="str">
        <x:v>PHY_EGKR_S26_955</x:v>
      </x:c>
      <x:c r="AN6024" s="87" t="n">
        <x:v>18</x:v>
      </x:c>
    </x:row>
    <x:row r="6025">
      <x:c r="A6025" s="87" t="n">
        <x:v>6024</x:v>
      </x:c>
      <x:c r="B6025" s="87" t="str">
        <x:v>EGKR-S26-PHY-955-18</x:v>
      </x:c>
      <x:c r="C6025" s="87" t="str">
        <x:v>ЕГКР</x:v>
      </x:c>
      <x:c r="D6025" s="87"/>
      <x:c r="E6025" s="87" t="str">
        <x:v>Весна 2026</x:v>
      </x:c>
      <x:c r="F6025" s="87" t="str">
        <x:v>26.03.2026</x:v>
      </x:c>
      <x:c r="G6025" s="87" t="str">
        <x:v>Физика</x:v>
      </x:c>
      <x:c r="H6025" s="87" t="n">
        <x:v>11</x:v>
      </x:c>
      <x:c r="I6025" s="87"/>
      <x:c r="J6025" s="87" t="str">
        <x:v>955</x:v>
      </x:c>
      <x:c r="K6025" s="87" t="n">
        <x:v>18</x:v>
      </x:c>
      <x:c r="L6025" s="87" t="str">
        <x:v>Физические законы</x:v>
      </x:c>
      <x:c r="M6025" s="30" t="str">
        <x:v>Выберите все верные утверждения о физических явлениях, величинах и закономерностях. Запишите цифры, под которыми они указаны. 1) Если модуль скорости тела с течением времени увеличивается, то вектор ускорения направлен противоположно вектору скорости тела. 2) Средняя кинетическая энергия хаотичного поступательного движения молекул газа пропорциональна квадрату абсолютной температуры газа. 3) Модуль сил взаимодействия двух неподвижных точечных заряженных тел в вакууме обратно пропорционален квадрату расстояния между ними. 4) При переходе электромагнитной волны из оптически более плотной среды в оптически менее плотную скорость волны увеличивается. 5) В течение промежутка времени, равного периоду полураспада, распадаются все радиоактивные атомы данного элемента. Ответ: __________________________ .</x:v>
      </x:c>
      <x:c r="N6025" s="30" t="str">
        <x:v>34</x:v>
      </x:c>
      <x:c r="O6025" s="30" t="str">
        <x:v>Независимый расчёт по исходному условию.</x:v>
      </x:c>
      <x:c r="P6025" s="30"/>
      <x:c r="Q6025" s="30" t="str">
        <x:v>Физический закон, вычисление и полная визуальная страница.</x:v>
      </x:c>
      <x:c r="R6025" s="30" t="str">
        <x:v>34</x:v>
      </x:c>
      <x:c r="S6025" s="30"/>
      <x:c r="T6025" s="30"/>
      <x:c r="U6025" s="30" t="str">
        <x:v>Ответник совпадает с независимой проверкой.</x:v>
      </x:c>
      <x:c r="V6025" s="87" t="str">
        <x:v>VERIFIED</x:v>
      </x:c>
      <x:c r="W6025" s="87"/>
      <x:c r="X6025" s="87" t="n">
        <x:v>8</x:v>
      </x:c>
      <x:c r="Y6025" s="87"/>
      <x:c r="Z6025" s="87"/>
      <x:c r="AA6025" s="87"/>
      <x:c r="AB6025" s="87"/>
      <x:c r="AC6025" s="87" t="str">
        <x:v>VIS-EGKR-PHY-S26-TASK-955-P008</x:v>
      </x:c>
      <x:c r="AD6025" s="87" t="str">
        <x:v>VIS-EGKR-PHY-S26-ANSWERDOC-P001</x:v>
      </x:c>
      <x:c r="AE6025" s="87" t="str">
        <x:v>TASK; SECONDARY_ANSWER_SOURCE</x:v>
      </x:c>
      <x:c r="AF6025" s="87" t="str">
        <x:v>VIS-EGKR-PHY-S26-TASK-955-P008: 8; VIS-EGKR-PHY-S26-ANSWERDOC-P001: 1</x:v>
      </x:c>
      <x:c r="AG6025" s="87" t="str">
        <x:v>RESOLVED</x:v>
      </x:c>
      <x:c r="AH6025" s="87" t="str">
        <x:v>CROP_VERIFIED</x:v>
      </x:c>
      <x:c r="AI6025" s="30"/>
      <x:c r="AJ6025" s="87" t="str">
        <x:v>clean</x:v>
      </x:c>
      <x:c r="AK6025" s="87" t="str">
        <x:v>clean-v0.19</x:v>
      </x:c>
      <x:c r="AL6025" s="87" t="str">
        <x:v>statgrad_clean_continuation_v0_19(1).xlsx</x:v>
      </x:c>
      <x:c r="AM6025" s="87" t="str">
        <x:v>PHY_EGKR_S26_955</x:v>
      </x:c>
      <x:c r="AN6025" s="87" t="n">
        <x:v>19</x:v>
      </x:c>
    </x:row>
    <x:row r="6026">
      <x:c r="A6026" s="87" t="n">
        <x:v>6025</x:v>
      </x:c>
      <x:c r="B6026" s="87" t="str">
        <x:v>EGKR-S26-PHY-955-19</x:v>
      </x:c>
      <x:c r="C6026" s="87" t="str">
        <x:v>ЕГКР</x:v>
      </x:c>
      <x:c r="D6026" s="87"/>
      <x:c r="E6026" s="87" t="str">
        <x:v>Весна 2026</x:v>
      </x:c>
      <x:c r="F6026" s="87" t="str">
        <x:v>26.03.2026</x:v>
      </x:c>
      <x:c r="G6026" s="87" t="str">
        <x:v>Физика</x:v>
      </x:c>
      <x:c r="H6026" s="87" t="n">
        <x:v>11</x:v>
      </x:c>
      <x:c r="I6026" s="87"/>
      <x:c r="J6026" s="87" t="str">
        <x:v>955</x:v>
      </x:c>
      <x:c r="K6026" s="87" t="n">
        <x:v>19</x:v>
      </x:c>
      <x:c r="L6026" s="87" t="str">
        <x:v>Измерение и погрешность</x:v>
      </x:c>
      <x:c r="M6026" s="30" t="str">
        <x:v>Чтобы узнать диаметр хлопчатобумажной нити, ученик намотал её виток к витку на карандаш и измерил длину намотки из 40 витков. Длина оказалась равной (28 ± 1) мм. Определите диаметр нити с учётом абсолютной погрешности измерений. Ответ: ( ________ ± ________ ) мм. В БЛАНК ОТВЕТОВ № 1 перенесите только числа, не разделяя их пробелом или другим знаком. ФИЗИКА. 11 класс. Вариант 955</x:v>
      </x:c>
      <x:c r="N6026" s="30" t="str">
        <x:v>0,70 ± 0,03</x:v>
      </x:c>
      <x:c r="O6026" s="30" t="str">
        <x:v>Независимый расчёт по исходному условию.</x:v>
      </x:c>
      <x:c r="P6026" s="30"/>
      <x:c r="Q6026" s="30" t="str">
        <x:v>Физический закон, вычисление и полная визуальная страница.</x:v>
      </x:c>
      <x:c r="R6026" s="30" t="str">
        <x:v>0,70 ± 0,03</x:v>
      </x:c>
      <x:c r="S6026" s="30"/>
      <x:c r="T6026" s="30"/>
      <x:c r="U6026" s="30" t="str">
        <x:v>Ответник совпадает с независимой проверкой.</x:v>
      </x:c>
      <x:c r="V6026" s="87" t="str">
        <x:v>VERIFIED</x:v>
      </x:c>
      <x:c r="W6026" s="87"/>
      <x:c r="X6026" s="87" t="n">
        <x:v>9</x:v>
      </x:c>
      <x:c r="Y6026" s="87"/>
      <x:c r="Z6026" s="87"/>
      <x:c r="AA6026" s="87"/>
      <x:c r="AB6026" s="87"/>
      <x:c r="AC6026" s="87" t="str">
        <x:v>VIS-EGKR-PHY-S26-TASK-955-P009</x:v>
      </x:c>
      <x:c r="AD6026" s="87" t="str">
        <x:v>VIS-EGKR-PHY-S26-ANSWERDOC-P001</x:v>
      </x:c>
      <x:c r="AE6026" s="87" t="str">
        <x:v>TASK; SECONDARY_ANSWER_SOURCE</x:v>
      </x:c>
      <x:c r="AF6026" s="87" t="str">
        <x:v>VIS-EGKR-PHY-S26-TASK-955-P009: 9; VIS-EGKR-PHY-S26-ANSWERDOC-P001: 1</x:v>
      </x:c>
      <x:c r="AG6026" s="87" t="str">
        <x:v>RESOLVED</x:v>
      </x:c>
      <x:c r="AH6026" s="87" t="str">
        <x:v>CROP_VERIFIED</x:v>
      </x:c>
      <x:c r="AI6026" s="30"/>
      <x:c r="AJ6026" s="87" t="str">
        <x:v>clean</x:v>
      </x:c>
      <x:c r="AK6026" s="87" t="str">
        <x:v>clean-v0.19</x:v>
      </x:c>
      <x:c r="AL6026" s="87" t="str">
        <x:v>statgrad_clean_continuation_v0_19(1).xlsx</x:v>
      </x:c>
      <x:c r="AM6026" s="87" t="str">
        <x:v>PHY_EGKR_S26_955</x:v>
      </x:c>
      <x:c r="AN6026" s="87" t="n">
        <x:v>20</x:v>
      </x:c>
    </x:row>
    <x:row r="6027">
      <x:c r="A6027" s="87" t="n">
        <x:v>6026</x:v>
      </x:c>
      <x:c r="B6027" s="87" t="str">
        <x:v>EGKR-S26-PHY-955-20</x:v>
      </x:c>
      <x:c r="C6027" s="87" t="str">
        <x:v>ЕГКР</x:v>
      </x:c>
      <x:c r="D6027" s="87"/>
      <x:c r="E6027" s="87" t="str">
        <x:v>Весна 2026</x:v>
      </x:c>
      <x:c r="F6027" s="87" t="str">
        <x:v>26.03.2026</x:v>
      </x:c>
      <x:c r="G6027" s="87" t="str">
        <x:v>Физика</x:v>
      </x:c>
      <x:c r="H6027" s="87" t="n">
        <x:v>11</x:v>
      </x:c>
      <x:c r="I6027" s="87"/>
      <x:c r="J6027" s="87" t="str">
        <x:v>955</x:v>
      </x:c>
      <x:c r="K6027" s="87" t="n">
        <x:v>20</x:v>
      </x:c>
      <x:c r="L6027" s="87" t="str">
        <x:v>Планирование эксперимента</x:v>
      </x:c>
      <x:c r="M6027" s="30" t="str">
        <x:v>Ученику необходимо на опыте обнаружить зависимость давления находящегося в сосуде газа от его температуры. У него имеются пять различных сосудов с манометрами. Сосуды наполнены неоном разной массы при различных температурах (см. таблицу). Какие два сосуда необходимо взять ученику, чтобы провести исследование? № Объём сосуда, Температура газа Масса газа сосуда л в сосуде, K в сосуде, г 1 5 320 8 2 12 350 5 3 8 320 7 4 10 350 5 5 5 300 8 Запишите в ответе номера выбранных сосудов. Ответ: □□ Не забудьте перенести все ответы в БЛАНК ОТВЕТОВ № 1 в соответствии с инструкцией по выполнению работы. Проверьте, чтобы каждый ответ был записан в строке с номером соответствующего задания. ФИЗИКА. 11 класс. Вариант 955 Часть 2 Для записи ответов на задания 21–26 используйте БЛАНК ОТВЕТОВ № 2. Запишите сначала номер задания (21, 22 и т.д.), а затем решение соответствующей задачи. Ответы записывайте чётко и разборчиво.</x:v>
      </x:c>
      <x:c r="N6027" s="30" t="str">
        <x:v>15</x:v>
      </x:c>
      <x:c r="O6027" s="30" t="str">
        <x:v>Независимый расчёт по исходному условию.</x:v>
      </x:c>
      <x:c r="P6027" s="30"/>
      <x:c r="Q6027" s="30" t="str">
        <x:v>Физический закон, вычисление и полная визуальная страница.</x:v>
      </x:c>
      <x:c r="R6027" s="30" t="str">
        <x:v>15</x:v>
      </x:c>
      <x:c r="S6027" s="30"/>
      <x:c r="T6027" s="30"/>
      <x:c r="U6027" s="30" t="str">
        <x:v>Ответник совпадает с независимой проверкой.</x:v>
      </x:c>
      <x:c r="V6027" s="87" t="str">
        <x:v>VERIFIED</x:v>
      </x:c>
      <x:c r="W6027" s="87"/>
      <x:c r="X6027" s="87" t="n">
        <x:v>9</x:v>
      </x:c>
      <x:c r="Y6027" s="87"/>
      <x:c r="Z6027" s="87"/>
      <x:c r="AA6027" s="87"/>
      <x:c r="AB6027" s="87"/>
      <x:c r="AC6027" s="87" t="str">
        <x:v>VIS-EGKR-PHY-S26-TASK-955-P009</x:v>
      </x:c>
      <x:c r="AD6027" s="87" t="str">
        <x:v>VIS-EGKR-PHY-S26-ANSWERDOC-P001</x:v>
      </x:c>
      <x:c r="AE6027" s="87" t="str">
        <x:v>TASK; SECONDARY_ANSWER_SOURCE</x:v>
      </x:c>
      <x:c r="AF6027" s="87" t="str">
        <x:v>VIS-EGKR-PHY-S26-TASK-955-P009: 9; VIS-EGKR-PHY-S26-ANSWERDOC-P001: 1</x:v>
      </x:c>
      <x:c r="AG6027" s="87" t="str">
        <x:v>RESOLVED</x:v>
      </x:c>
      <x:c r="AH6027" s="87" t="str">
        <x:v>CROP_VERIFIED; TASK_CROP_QA_APPROVED:USE_TIGHT</x:v>
      </x:c>
      <x:c r="AI6027" s="30"/>
      <x:c r="AJ6027" s="87" t="str">
        <x:v>clean</x:v>
      </x:c>
      <x:c r="AK6027" s="87" t="str">
        <x:v>clean-v0.19</x:v>
      </x:c>
      <x:c r="AL6027" s="87" t="str">
        <x:v>statgrad_clean_continuation_v0_19(1).xlsx</x:v>
      </x:c>
      <x:c r="AM6027" s="87" t="str">
        <x:v>PHY_EGKR_S26_955</x:v>
      </x:c>
      <x:c r="AN6027" s="87" t="n">
        <x:v>21</x:v>
      </x:c>
    </x:row>
    <x:row r="6028">
      <x:c r="A6028" s="87" t="n">
        <x:v>6027</x:v>
      </x:c>
      <x:c r="B6028" s="87" t="str">
        <x:v>EGKR-S26-PHY-955-21</x:v>
      </x:c>
      <x:c r="C6028" s="87" t="str">
        <x:v>ЕГКР</x:v>
      </x:c>
      <x:c r="D6028" s="87"/>
      <x:c r="E6028" s="87" t="str">
        <x:v>Весна 2026</x:v>
      </x:c>
      <x:c r="F6028" s="87" t="str">
        <x:v>26.03.2026</x:v>
      </x:c>
      <x:c r="G6028" s="87" t="str">
        <x:v>Физика</x:v>
      </x:c>
      <x:c r="H6028" s="87" t="n">
        <x:v>11</x:v>
      </x:c>
      <x:c r="I6028" s="87"/>
      <x:c r="J6028" s="87" t="str">
        <x:v>955</x:v>
      </x:c>
      <x:c r="K6028" s="87" t="n">
        <x:v>21</x:v>
      </x:c>
      <x:c r="L6028" s="87" t="str">
        <x:v>Развёрнутый ответ</x:v>
      </x:c>
      <x:c r="M6028" s="30" t="str">
        <x:v>Один моль одноатомного идеального газа участвует в процессе 1-2-3-4, график которого изображен на рисунке в координатах p - V, где p — давление газа, V — объем газа. Опираясь на законы молекулярной физики и термодинамики, объясните, получает ли газ или отдает положительное количество теплоты в процессах 1-2, 2-3 и 3-4. Полное правильное решение каждой из задач 22–26 должно содержать законы и формулы, применение которых необходимо и достаточно для решения задачи, а также математические преобразования, расчёты с численным ответом и при необходимости рисунок, поясняющий решение.</x:v>
      </x:c>
      <x:c r="N6028" s="30" t="str">
        <x:v>На всех трёх участках газ отдаёт тепло; вывод из типов процессов, знаков ΔU и A.</x:v>
      </x:c>
      <x:c r="O6028" s="30" t="str">
        <x:v>Полное решение сохранено в отдельном файле второй части.</x:v>
      </x:c>
      <x:c r="P6028" s="30"/>
      <x:c r="Q6028" s="30" t="str">
        <x:v>Сверено с исходным условием и подробным разбором.</x:v>
      </x:c>
      <x:c r="R6028" s="30" t="str">
        <x:v>MODEL_NOT_IN_SHORT_KEY</x:v>
      </x:c>
      <x:c r="S6028" s="30"/>
      <x:c r="T6028" s="30"/>
      <x:c r="U6028" s="30" t="str">
        <x:v>Расхождений не выявлено.</x:v>
      </x:c>
      <x:c r="V6028" s="87" t="str">
        <x:v>VERIFIED</x:v>
      </x:c>
      <x:c r="W6028" s="87"/>
      <x:c r="X6028" s="87" t="n">
        <x:v>10</x:v>
      </x:c>
      <x:c r="Y6028" s="87"/>
      <x:c r="Z6028" s="87"/>
      <x:c r="AA6028" s="87"/>
      <x:c r="AB6028" s="87"/>
      <x:c r="AC6028" s="87" t="str">
        <x:v>VIS-EGKR-PHY-S26-TASK-955-P010</x:v>
      </x:c>
      <x:c r="AD6028" s="87" t="str">
        <x:v>VIS-EGKR-PHY-S26-SOL-955-P002; VIS-EGKR-PHY-S26-SOL-955-P003</x:v>
      </x:c>
      <x:c r="AE6028" s="87" t="str">
        <x:v>TASK; SOLUTION</x:v>
      </x:c>
      <x:c r="AF6028" s="87" t="str">
        <x:v>VIS-EGKR-PHY-S26-TASK-955-P010: 10; VIS-EGKR-PHY-S26-SOL-955-P002: 2; VIS-EGKR-PHY-S26-SOL-955-P003: 3</x:v>
      </x:c>
      <x:c r="AG6028" s="87" t="str">
        <x:v>RESOLVED</x:v>
      </x:c>
      <x:c r="AH6028" s="87" t="str">
        <x:v>CROP_VERIFIED; TASK_CROP_QA_APPROVED:USE_CONTEXT</x:v>
      </x:c>
      <x:c r="AI6028" s="30"/>
      <x:c r="AJ6028" s="87" t="str">
        <x:v>clean</x:v>
      </x:c>
      <x:c r="AK6028" s="87" t="str">
        <x:v>clean-v0.19</x:v>
      </x:c>
      <x:c r="AL6028" s="87" t="str">
        <x:v>statgrad_clean_continuation_v0_19(1).xlsx</x:v>
      </x:c>
      <x:c r="AM6028" s="87" t="str">
        <x:v>PHY_EGKR_S26_955</x:v>
      </x:c>
      <x:c r="AN6028" s="87" t="n">
        <x:v>22</x:v>
      </x:c>
    </x:row>
    <x:row r="6029">
      <x:c r="A6029" s="87" t="n">
        <x:v>6028</x:v>
      </x:c>
      <x:c r="B6029" s="87" t="str">
        <x:v>EGKR-S26-PHY-955-22</x:v>
      </x:c>
      <x:c r="C6029" s="87" t="str">
        <x:v>ЕГКР</x:v>
      </x:c>
      <x:c r="D6029" s="87"/>
      <x:c r="E6029" s="87" t="str">
        <x:v>Весна 2026</x:v>
      </x:c>
      <x:c r="F6029" s="87" t="str">
        <x:v>26.03.2026</x:v>
      </x:c>
      <x:c r="G6029" s="87" t="str">
        <x:v>Физика</x:v>
      </x:c>
      <x:c r="H6029" s="87" t="n">
        <x:v>11</x:v>
      </x:c>
      <x:c r="I6029" s="87"/>
      <x:c r="J6029" s="87" t="str">
        <x:v>955</x:v>
      </x:c>
      <x:c r="K6029" s="87" t="n">
        <x:v>22</x:v>
      </x:c>
      <x:c r="L6029" s="87" t="str">
        <x:v>Развёрнутый ответ</x:v>
      </x:c>
      <x:c r="M6029" s="30" t="str">
        <x:v>Груз подвешен на пружине жесткостью 100 Н/м к потолку лифта. Лифт движется равноускоренно вверх с ускорением 2,5 м/с², набирая скорость. Какова масса груза, если удлинение пружины постоянно и равно 2,5 см?</x:v>
      </x:c>
      <x:c r="N6029" s="30" t="str">
        <x:v>kx=m(g+a); m=0,20 кг.</x:v>
      </x:c>
      <x:c r="O6029" s="30" t="str">
        <x:v>Полное решение сохранено в отдельном файле второй части.</x:v>
      </x:c>
      <x:c r="P6029" s="30"/>
      <x:c r="Q6029" s="30" t="str">
        <x:v>Сверено с исходным условием и подробным разбором.</x:v>
      </x:c>
      <x:c r="R6029" s="30" t="str">
        <x:v>MODEL_NOT_IN_SHORT_KEY</x:v>
      </x:c>
      <x:c r="S6029" s="30"/>
      <x:c r="T6029" s="30"/>
      <x:c r="U6029" s="30" t="str">
        <x:v>Расхождений не выявлено.</x:v>
      </x:c>
      <x:c r="V6029" s="87" t="str">
        <x:v>VERIFIED</x:v>
      </x:c>
      <x:c r="W6029" s="87"/>
      <x:c r="X6029" s="87" t="n">
        <x:v>10</x:v>
      </x:c>
      <x:c r="Y6029" s="87"/>
      <x:c r="Z6029" s="87"/>
      <x:c r="AA6029" s="87"/>
      <x:c r="AB6029" s="87"/>
      <x:c r="AC6029" s="87" t="str">
        <x:v>VIS-EGKR-PHY-S26-TASK-955-P010</x:v>
      </x:c>
      <x:c r="AD6029" s="87" t="str">
        <x:v>VIS-EGKR-PHY-S26-SOL-955-P004</x:v>
      </x:c>
      <x:c r="AE6029" s="87" t="str">
        <x:v>TASK; SOLUTION</x:v>
      </x:c>
      <x:c r="AF6029" s="87" t="str">
        <x:v>VIS-EGKR-PHY-S26-TASK-955-P010: 10; VIS-EGKR-PHY-S26-SOL-955-P004: 4</x:v>
      </x:c>
      <x:c r="AG6029" s="87" t="str">
        <x:v>RESOLVED</x:v>
      </x:c>
      <x:c r="AH6029" s="87" t="str">
        <x:v>CROP_VERIFIED</x:v>
      </x:c>
      <x:c r="AI6029" s="30"/>
      <x:c r="AJ6029" s="87" t="str">
        <x:v>clean</x:v>
      </x:c>
      <x:c r="AK6029" s="87" t="str">
        <x:v>clean-v0.19</x:v>
      </x:c>
      <x:c r="AL6029" s="87" t="str">
        <x:v>statgrad_clean_continuation_v0_19(1).xlsx</x:v>
      </x:c>
      <x:c r="AM6029" s="87" t="str">
        <x:v>PHY_EGKR_S26_955</x:v>
      </x:c>
      <x:c r="AN6029" s="87" t="n">
        <x:v>23</x:v>
      </x:c>
    </x:row>
    <x:row r="6030">
      <x:c r="A6030" s="87" t="n">
        <x:v>6029</x:v>
      </x:c>
      <x:c r="B6030" s="87" t="str">
        <x:v>EGKR-S26-PHY-955-23</x:v>
      </x:c>
      <x:c r="C6030" s="87" t="str">
        <x:v>ЕГКР</x:v>
      </x:c>
      <x:c r="D6030" s="87"/>
      <x:c r="E6030" s="87" t="str">
        <x:v>Весна 2026</x:v>
      </x:c>
      <x:c r="F6030" s="87" t="str">
        <x:v>26.03.2026</x:v>
      </x:c>
      <x:c r="G6030" s="87" t="str">
        <x:v>Физика</x:v>
      </x:c>
      <x:c r="H6030" s="87" t="n">
        <x:v>11</x:v>
      </x:c>
      <x:c r="I6030" s="87"/>
      <x:c r="J6030" s="87" t="str">
        <x:v>955</x:v>
      </x:c>
      <x:c r="K6030" s="87" t="n">
        <x:v>23</x:v>
      </x:c>
      <x:c r="L6030" s="87" t="str">
        <x:v>Развёрнутый ответ</x:v>
      </x:c>
      <x:c r="M6030" s="30" t="str">
        <x:v>В однородное электрическое поле со скоростью 𝑣0 = 107 м/с влетает электрон и движется вдоль линий напряженности поля. Какое расстояние пролетит электрон до остановки, если модуль напряженности поля E равен 600 В/м? ФИЗИКА. 11 класс. Вариант 955</x:v>
      </x:c>
      <x:c r="N6030" s="30" t="str">
        <x:v>eEs=mₑv₀²/2; s≈0,47 м.</x:v>
      </x:c>
      <x:c r="O6030" s="30" t="str">
        <x:v>Полное решение сохранено в отдельном файле второй части.</x:v>
      </x:c>
      <x:c r="P6030" s="30"/>
      <x:c r="Q6030" s="30" t="str">
        <x:v>Сверено с исходным условием и подробным разбором.</x:v>
      </x:c>
      <x:c r="R6030" s="30" t="str">
        <x:v>MODEL_NOT_IN_SHORT_KEY</x:v>
      </x:c>
      <x:c r="S6030" s="30"/>
      <x:c r="T6030" s="30"/>
      <x:c r="U6030" s="30" t="str">
        <x:v>Расхождений не выявлено.</x:v>
      </x:c>
      <x:c r="V6030" s="87" t="str">
        <x:v>VERIFIED</x:v>
      </x:c>
      <x:c r="W6030" s="87"/>
      <x:c r="X6030" s="87" t="n">
        <x:v>10</x:v>
      </x:c>
      <x:c r="Y6030" s="87"/>
      <x:c r="Z6030" s="87"/>
      <x:c r="AA6030" s="87"/>
      <x:c r="AB6030" s="87"/>
      <x:c r="AC6030" s="87" t="str">
        <x:v>VIS-EGKR-PHY-S26-TASK-955-P010</x:v>
      </x:c>
      <x:c r="AD6030" s="87" t="str">
        <x:v>VIS-EGKR-PHY-S26-SOL-955-P005</x:v>
      </x:c>
      <x:c r="AE6030" s="87" t="str">
        <x:v>TASK; SOLUTION</x:v>
      </x:c>
      <x:c r="AF6030" s="87" t="str">
        <x:v>VIS-EGKR-PHY-S26-TASK-955-P010: 10; VIS-EGKR-PHY-S26-SOL-955-P005: 5</x:v>
      </x:c>
      <x:c r="AG6030" s="87" t="str">
        <x:v>RESOLVED</x:v>
      </x:c>
      <x:c r="AH6030" s="87" t="str">
        <x:v>CROP_VERIFIED</x:v>
      </x:c>
      <x:c r="AI6030" s="30"/>
      <x:c r="AJ6030" s="87" t="str">
        <x:v>clean</x:v>
      </x:c>
      <x:c r="AK6030" s="87" t="str">
        <x:v>clean-v0.19</x:v>
      </x:c>
      <x:c r="AL6030" s="87" t="str">
        <x:v>statgrad_clean_continuation_v0_19(1).xlsx</x:v>
      </x:c>
      <x:c r="AM6030" s="87" t="str">
        <x:v>PHY_EGKR_S26_955</x:v>
      </x:c>
      <x:c r="AN6030" s="87" t="n">
        <x:v>24</x:v>
      </x:c>
    </x:row>
    <x:row r="6031">
      <x:c r="A6031" s="87" t="n">
        <x:v>6030</x:v>
      </x:c>
      <x:c r="B6031" s="87" t="str">
        <x:v>EGKR-S26-PHY-955-24</x:v>
      </x:c>
      <x:c r="C6031" s="87" t="str">
        <x:v>ЕГКР</x:v>
      </x:c>
      <x:c r="D6031" s="87"/>
      <x:c r="E6031" s="87" t="str">
        <x:v>Весна 2026</x:v>
      </x:c>
      <x:c r="F6031" s="87" t="str">
        <x:v>26.03.2026</x:v>
      </x:c>
      <x:c r="G6031" s="87" t="str">
        <x:v>Физика</x:v>
      </x:c>
      <x:c r="H6031" s="87" t="n">
        <x:v>11</x:v>
      </x:c>
      <x:c r="I6031" s="87"/>
      <x:c r="J6031" s="87" t="str">
        <x:v>955</x:v>
      </x:c>
      <x:c r="K6031" s="87" t="n">
        <x:v>24</x:v>
      </x:c>
      <x:c r="L6031" s="87" t="str">
        <x:v>Развёрнутый ответ</x:v>
      </x:c>
      <x:c r="M6031" s="30" t="str">
        <x:v>В запаянной с одного конца узкой стеклянной трубке постоянного сечения находится столбик ртути длиной 𝑙 = 21,6 см. Если трубку расположить вертикально отверстием вниз, то длина воздушного столбика над ртутью будет равна 𝑙2 = 43,2 см. Какой будет длина воздушного столбика 𝑙1 , если трубку расположить горизонтально? Атмосферное давление 747 мм рт. ст. Температуру воздуха в трубке считать постоянной.</x:v>
      </x:c>
      <x:c r="N6031" s="30" t="str">
        <x:v>Закон Бойля–Мариотта: l₁≈30,7 см.</x:v>
      </x:c>
      <x:c r="O6031" s="30" t="str">
        <x:v>Полное решение сохранено в отдельном файле второй части.</x:v>
      </x:c>
      <x:c r="P6031" s="30"/>
      <x:c r="Q6031" s="30" t="str">
        <x:v>Сверено с исходным условием и подробным разбором.</x:v>
      </x:c>
      <x:c r="R6031" s="30" t="str">
        <x:v>MODEL_NOT_IN_SHORT_KEY</x:v>
      </x:c>
      <x:c r="S6031" s="30"/>
      <x:c r="T6031" s="30"/>
      <x:c r="U6031" s="30" t="str">
        <x:v>Расхождений не выявлено.</x:v>
      </x:c>
      <x:c r="V6031" s="87" t="str">
        <x:v>VERIFIED</x:v>
      </x:c>
      <x:c r="W6031" s="87"/>
      <x:c r="X6031" s="87" t="n">
        <x:v>11</x:v>
      </x:c>
      <x:c r="Y6031" s="87"/>
      <x:c r="Z6031" s="87"/>
      <x:c r="AA6031" s="87"/>
      <x:c r="AB6031" s="87"/>
      <x:c r="AC6031" s="87" t="str">
        <x:v>VIS-EGKR-PHY-S26-TASK-955-P011</x:v>
      </x:c>
      <x:c r="AD6031" s="87" t="str">
        <x:v>VIS-EGKR-PHY-S26-SOL-955-P006</x:v>
      </x:c>
      <x:c r="AE6031" s="87" t="str">
        <x:v>TASK; SOLUTION</x:v>
      </x:c>
      <x:c r="AF6031" s="87" t="str">
        <x:v>VIS-EGKR-PHY-S26-TASK-955-P011: 11; VIS-EGKR-PHY-S26-SOL-955-P006: 6</x:v>
      </x:c>
      <x:c r="AG6031" s="87" t="str">
        <x:v>RESOLVED</x:v>
      </x:c>
      <x:c r="AH6031" s="87" t="str">
        <x:v>CROP_VERIFIED</x:v>
      </x:c>
      <x:c r="AI6031" s="30"/>
      <x:c r="AJ6031" s="87" t="str">
        <x:v>clean</x:v>
      </x:c>
      <x:c r="AK6031" s="87" t="str">
        <x:v>clean-v0.19</x:v>
      </x:c>
      <x:c r="AL6031" s="87" t="str">
        <x:v>statgrad_clean_continuation_v0_19(1).xlsx</x:v>
      </x:c>
      <x:c r="AM6031" s="87" t="str">
        <x:v>PHY_EGKR_S26_955</x:v>
      </x:c>
      <x:c r="AN6031" s="87" t="n">
        <x:v>25</x:v>
      </x:c>
    </x:row>
    <x:row r="6032">
      <x:c r="A6032" s="87" t="n">
        <x:v>6031</x:v>
      </x:c>
      <x:c r="B6032" s="87" t="str">
        <x:v>EGKR-S26-PHY-955-25</x:v>
      </x:c>
      <x:c r="C6032" s="87" t="str">
        <x:v>ЕГКР</x:v>
      </x:c>
      <x:c r="D6032" s="87"/>
      <x:c r="E6032" s="87" t="str">
        <x:v>Весна 2026</x:v>
      </x:c>
      <x:c r="F6032" s="87" t="str">
        <x:v>26.03.2026</x:v>
      </x:c>
      <x:c r="G6032" s="87" t="str">
        <x:v>Физика</x:v>
      </x:c>
      <x:c r="H6032" s="87" t="n">
        <x:v>11</x:v>
      </x:c>
      <x:c r="I6032" s="87"/>
      <x:c r="J6032" s="87" t="str">
        <x:v>955</x:v>
      </x:c>
      <x:c r="K6032" s="87" t="n">
        <x:v>25</x:v>
      </x:c>
      <x:c r="L6032" s="87" t="str">
        <x:v>Развёрнутый ответ</x:v>
      </x:c>
      <x:c r="M6032" s="30" t="str">
        <x:v>Верхняя грань AB прозрачного клина посеребрена и представляет собой плоское зеркало. Угол при вершине клина 𝛼 = 30∘ . Луч света падает из воздуха на клин перпендикулярно грани AC, преломляется и выходит в воздух через другую грань под углом 𝛾 = 45∘ к ее нормали. Определите показатель преломления материала клина. Сделайте рисунок, поясняющий ход луча в клине.</x:v>
      </x:c>
      <x:c r="N6032" s="30" t="str">
        <x:v>Закон преломления: n≈1,41.</x:v>
      </x:c>
      <x:c r="O6032" s="30" t="str">
        <x:v>Полное решение сохранено в отдельном файле второй части.</x:v>
      </x:c>
      <x:c r="P6032" s="30"/>
      <x:c r="Q6032" s="30" t="str">
        <x:v>Сверено с исходным условием и подробным разбором.</x:v>
      </x:c>
      <x:c r="R6032" s="30" t="str">
        <x:v>MODEL_NOT_IN_SHORT_KEY</x:v>
      </x:c>
      <x:c r="S6032" s="30"/>
      <x:c r="T6032" s="30"/>
      <x:c r="U6032" s="30" t="str">
        <x:v>Расхождений не выявлено.</x:v>
      </x:c>
      <x:c r="V6032" s="87" t="str">
        <x:v>VERIFIED</x:v>
      </x:c>
      <x:c r="W6032" s="87"/>
      <x:c r="X6032" s="87" t="n">
        <x:v>11</x:v>
      </x:c>
      <x:c r="Y6032" s="87"/>
      <x:c r="Z6032" s="87"/>
      <x:c r="AA6032" s="87"/>
      <x:c r="AB6032" s="87"/>
      <x:c r="AC6032" s="87" t="str">
        <x:v>VIS-EGKR-PHY-S26-TASK-955-P011</x:v>
      </x:c>
      <x:c r="AD6032" s="87" t="str">
        <x:v>VIS-EGKR-PHY-S26-SOL-955-P007</x:v>
      </x:c>
      <x:c r="AE6032" s="87" t="str">
        <x:v>TASK; SOLUTION</x:v>
      </x:c>
      <x:c r="AF6032" s="87" t="str">
        <x:v>VIS-EGKR-PHY-S26-TASK-955-P011: 11; VIS-EGKR-PHY-S26-SOL-955-P007: 7</x:v>
      </x:c>
      <x:c r="AG6032" s="87" t="str">
        <x:v>RESOLVED</x:v>
      </x:c>
      <x:c r="AH6032" s="87" t="str">
        <x:v>CROP_VERIFIED</x:v>
      </x:c>
      <x:c r="AI6032" s="30"/>
      <x:c r="AJ6032" s="87" t="str">
        <x:v>clean</x:v>
      </x:c>
      <x:c r="AK6032" s="87" t="str">
        <x:v>clean-v0.19</x:v>
      </x:c>
      <x:c r="AL6032" s="87" t="str">
        <x:v>statgrad_clean_continuation_v0_19(1).xlsx</x:v>
      </x:c>
      <x:c r="AM6032" s="87" t="str">
        <x:v>PHY_EGKR_S26_955</x:v>
      </x:c>
      <x:c r="AN6032" s="87" t="n">
        <x:v>26</x:v>
      </x:c>
    </x:row>
    <x:row r="6033">
      <x:c r="A6033" s="87" t="n">
        <x:v>6032</x:v>
      </x:c>
      <x:c r="B6033" s="87" t="str">
        <x:v>EGKR-S26-PHY-955-26</x:v>
      </x:c>
      <x:c r="C6033" s="87" t="str">
        <x:v>ЕГКР</x:v>
      </x:c>
      <x:c r="D6033" s="87"/>
      <x:c r="E6033" s="87" t="str">
        <x:v>Весна 2026</x:v>
      </x:c>
      <x:c r="F6033" s="87" t="str">
        <x:v>26.03.2026</x:v>
      </x:c>
      <x:c r="G6033" s="87" t="str">
        <x:v>Физика</x:v>
      </x:c>
      <x:c r="H6033" s="87" t="n">
        <x:v>11</x:v>
      </x:c>
      <x:c r="I6033" s="87"/>
      <x:c r="J6033" s="87" t="str">
        <x:v>955</x:v>
      </x:c>
      <x:c r="K6033" s="87" t="n">
        <x:v>26</x:v>
      </x:c>
      <x:c r="L6033" s="87" t="str">
        <x:v>Развёрнутый ответ</x:v>
      </x:c>
      <x:c r="M6033" s="30" t="str">
        <x:v>В гладкий высокий стакан радиусом 4 см поставили однородную тонкую палочку длиной 10 см, после чего в стакан налили до высоты 4 см жидкость, плотность которой составляет 0,75 плотности материала палочки. Чему равна масса палочки, если сила, с которой верхний конец палочки давит на стенку стакана, равна по модулю 0,012 Н? Сделайте рисунок с указанием сил, действующих на палочку. Обоснуйте применимость законов, используемых для решения задач. Проверьте, чтобы каждый ответ был записан рядом с номером соответствующего задания.</x:v>
      </x:c>
      <x:c r="N6033" s="30" t="str">
        <x:v>Равновесие моментов: m≈2,7 г.</x:v>
      </x:c>
      <x:c r="O6033" s="30" t="str">
        <x:v>Полное решение сохранено в отдельном файле второй части.</x:v>
      </x:c>
      <x:c r="P6033" s="30"/>
      <x:c r="Q6033" s="30" t="str">
        <x:v>Сверено с исходным условием и подробным разбором.</x:v>
      </x:c>
      <x:c r="R6033" s="30" t="str">
        <x:v>MODEL_NOT_IN_SHORT_KEY</x:v>
      </x:c>
      <x:c r="S6033" s="30"/>
      <x:c r="T6033" s="30"/>
      <x:c r="U6033" s="30" t="str">
        <x:v>Расхождений не выявлено.</x:v>
      </x:c>
      <x:c r="V6033" s="87" t="str">
        <x:v>VERIFIED</x:v>
      </x:c>
      <x:c r="W6033" s="87"/>
      <x:c r="X6033" s="87" t="n">
        <x:v>11</x:v>
      </x:c>
      <x:c r="Y6033" s="87"/>
      <x:c r="Z6033" s="87"/>
      <x:c r="AA6033" s="87"/>
      <x:c r="AB6033" s="87"/>
      <x:c r="AC6033" s="87" t="str">
        <x:v>VIS-EGKR-PHY-S26-TASK-955-P011</x:v>
      </x:c>
      <x:c r="AD6033" s="87" t="str">
        <x:v>VIS-EGKR-PHY-S26-SOL-955-P008; VIS-EGKR-PHY-S26-SOL-955-P009</x:v>
      </x:c>
      <x:c r="AE6033" s="87" t="str">
        <x:v>TASK; SOLUTION</x:v>
      </x:c>
      <x:c r="AF6033" s="87" t="str">
        <x:v>VIS-EGKR-PHY-S26-TASK-955-P011: 11; VIS-EGKR-PHY-S26-SOL-955-P008: 8; VIS-EGKR-PHY-S26-SOL-955-P009: 9</x:v>
      </x:c>
      <x:c r="AG6033" s="87" t="str">
        <x:v>RESOLVED</x:v>
      </x:c>
      <x:c r="AH6033" s="87" t="str">
        <x:v>CROP_VERIFIED</x:v>
      </x:c>
      <x:c r="AI6033" s="30"/>
      <x:c r="AJ6033" s="87" t="str">
        <x:v>clean</x:v>
      </x:c>
      <x:c r="AK6033" s="87" t="str">
        <x:v>clean-v0.19</x:v>
      </x:c>
      <x:c r="AL6033" s="87" t="str">
        <x:v>statgrad_clean_continuation_v0_19(1).xlsx</x:v>
      </x:c>
      <x:c r="AM6033" s="87" t="str">
        <x:v>PHY_EGKR_S26_955</x:v>
      </x:c>
      <x:c r="AN6033" s="87" t="n">
        <x:v>27</x:v>
      </x:c>
    </x:row>
    <x:row r="6034">
      <x:c r="A6034" s="87" t="n">
        <x:v>6033</x:v>
      </x:c>
      <x:c r="B6034" s="87" t="str">
        <x:v>EGKR-S26-PHY-956-01</x:v>
      </x:c>
      <x:c r="C6034" s="87" t="str">
        <x:v>ЕГКР</x:v>
      </x:c>
      <x:c r="D6034" s="87"/>
      <x:c r="E6034" s="87" t="str">
        <x:v>Весна 2026</x:v>
      </x:c>
      <x:c r="F6034" s="87" t="str">
        <x:v>26.03.2026</x:v>
      </x:c>
      <x:c r="G6034" s="87" t="str">
        <x:v>Физика</x:v>
      </x:c>
      <x:c r="H6034" s="87" t="n">
        <x:v>11</x:v>
      </x:c>
      <x:c r="I6034" s="87"/>
      <x:c r="J6034" s="87" t="str">
        <x:v>956</x:v>
      </x:c>
      <x:c r="K6034" s="87" t="n">
        <x:v>1</x:v>
      </x:c>
      <x:c r="L6034" s="87" t="str">
        <x:v>Кинематика по графику</x:v>
      </x:c>
      <x:c r="M6034" s="30" t="str">
        <x:v>На рисунке приведён график зависимости проекции скорости v_x от времени t для тела, движущегося прямолинейно вдоль оси Ox. Определите проекцию a_x ускорения тела в интервале времени от 10 до 15 с. Ответ запишите с учётом знака проекции. Ответ: __________________________ м/с².</x:v>
      </x:c>
      <x:c r="N6034" s="30" t="str">
        <x:v>0,5</x:v>
      </x:c>
      <x:c r="O6034" s="30" t="str">
        <x:v>Независимый расчёт по исходному условию.</x:v>
      </x:c>
      <x:c r="P6034" s="30"/>
      <x:c r="Q6034" s="30" t="str">
        <x:v>Физический закон, вычисление и полная визуальная страница.</x:v>
      </x:c>
      <x:c r="R6034" s="30" t="str">
        <x:v>0,5</x:v>
      </x:c>
      <x:c r="S6034" s="30"/>
      <x:c r="T6034" s="30"/>
      <x:c r="U6034" s="30" t="str">
        <x:v>Ответник совпадает с независимой проверкой.</x:v>
      </x:c>
      <x:c r="V6034" s="87" t="str">
        <x:v>VERIFIED</x:v>
      </x:c>
      <x:c r="W6034" s="87"/>
      <x:c r="X6034" s="87" t="n">
        <x:v>1</x:v>
      </x:c>
      <x:c r="Y6034" s="87"/>
      <x:c r="Z6034" s="87"/>
      <x:c r="AA6034" s="87"/>
      <x:c r="AB6034" s="87"/>
      <x:c r="AC6034" s="87" t="str">
        <x:v>VIS-EGKR-PHY-S26-TASK-956-P001</x:v>
      </x:c>
      <x:c r="AD6034" s="87" t="str">
        <x:v>VIS-EGKR-PHY-S26-ANSWERDOC-P001</x:v>
      </x:c>
      <x:c r="AE6034" s="87" t="str">
        <x:v>TASK; SECONDARY_ANSWER_SOURCE</x:v>
      </x:c>
      <x:c r="AF6034" s="87" t="str">
        <x:v>VIS-EGKR-PHY-S26-TASK-956-P001: 1; VIS-EGKR-PHY-S26-ANSWERDOC-P001: 1</x:v>
      </x:c>
      <x:c r="AG6034" s="87" t="str">
        <x:v>RESOLVED</x:v>
      </x:c>
      <x:c r="AH6034" s="87" t="str">
        <x:v>CROP_VERIFIED; TASK_CROP_QA_APPROVED:USE_CONTEXT</x:v>
      </x:c>
      <x:c r="AI6034" s="30"/>
      <x:c r="AJ6034" s="87" t="str">
        <x:v>clean</x:v>
      </x:c>
      <x:c r="AK6034" s="87" t="str">
        <x:v>clean-v0.19</x:v>
      </x:c>
      <x:c r="AL6034" s="87" t="str">
        <x:v>statgrad_clean_continuation_v0_19(1).xlsx</x:v>
      </x:c>
      <x:c r="AM6034" s="87" t="str">
        <x:v>PHY_EGKR_S26_956</x:v>
      </x:c>
      <x:c r="AN6034" s="87" t="n">
        <x:v>2</x:v>
      </x:c>
    </x:row>
    <x:row r="6035">
      <x:c r="A6035" s="87" t="n">
        <x:v>6034</x:v>
      </x:c>
      <x:c r="B6035" s="87" t="str">
        <x:v>EGKR-S26-PHY-956-02</x:v>
      </x:c>
      <x:c r="C6035" s="87" t="str">
        <x:v>ЕГКР</x:v>
      </x:c>
      <x:c r="D6035" s="87"/>
      <x:c r="E6035" s="87" t="str">
        <x:v>Весна 2026</x:v>
      </x:c>
      <x:c r="F6035" s="87" t="str">
        <x:v>26.03.2026</x:v>
      </x:c>
      <x:c r="G6035" s="87" t="str">
        <x:v>Физика</x:v>
      </x:c>
      <x:c r="H6035" s="87" t="n">
        <x:v>11</x:v>
      </x:c>
      <x:c r="I6035" s="87"/>
      <x:c r="J6035" s="87" t="str">
        <x:v>956</x:v>
      </x:c>
      <x:c r="K6035" s="87" t="n">
        <x:v>2</x:v>
      </x:c>
      <x:c r="L6035" s="87" t="str">
        <x:v>Закон всемирного тяготения</x:v>
      </x:c>
      <x:c r="M6035" s="30" t="str">
        <x:v>Два маленьких однородных шарика массой m каждый притягиваются друг к другу с гравитационными силами, равными по модулю 9 пН. Расстояние между центрами шариков равно r. Каков модуль сил гравитационного притяжения друг к другу двух других маленьких однородных шариков, если масса каждого из них равна 1/3 m, а расстояние между их центрами составляет r/4? Ответ: __________________________ пН.</x:v>
      </x:c>
      <x:c r="N6035" s="30" t="str">
        <x:v>16</x:v>
      </x:c>
      <x:c r="O6035" s="30" t="str">
        <x:v>Независимый расчёт по исходному условию.</x:v>
      </x:c>
      <x:c r="P6035" s="30"/>
      <x:c r="Q6035" s="30" t="str">
        <x:v>Физический закон, вычисление и полная визуальная страница.</x:v>
      </x:c>
      <x:c r="R6035" s="30" t="str">
        <x:v>16</x:v>
      </x:c>
      <x:c r="S6035" s="30"/>
      <x:c r="T6035" s="30"/>
      <x:c r="U6035" s="30" t="str">
        <x:v>Ответник совпадает с независимой проверкой.</x:v>
      </x:c>
      <x:c r="V6035" s="87" t="str">
        <x:v>VERIFIED</x:v>
      </x:c>
      <x:c r="W6035" s="87"/>
      <x:c r="X6035" s="87" t="n">
        <x:v>1</x:v>
      </x:c>
      <x:c r="Y6035" s="87"/>
      <x:c r="Z6035" s="87"/>
      <x:c r="AA6035" s="87"/>
      <x:c r="AB6035" s="87"/>
      <x:c r="AC6035" s="87" t="str">
        <x:v>VIS-EGKR-PHY-S26-TASK-956-P001</x:v>
      </x:c>
      <x:c r="AD6035" s="87" t="str">
        <x:v>VIS-EGKR-PHY-S26-ANSWERDOC-P001</x:v>
      </x:c>
      <x:c r="AE6035" s="87" t="str">
        <x:v>TASK; SECONDARY_ANSWER_SOURCE</x:v>
      </x:c>
      <x:c r="AF6035" s="87" t="str">
        <x:v>VIS-EGKR-PHY-S26-TASK-956-P001: 1; VIS-EGKR-PHY-S26-ANSWERDOC-P001: 1</x:v>
      </x:c>
      <x:c r="AG6035" s="87" t="str">
        <x:v>RESOLVED</x:v>
      </x:c>
      <x:c r="AH6035" s="87" t="str">
        <x:v>CROP_VERIFIED</x:v>
      </x:c>
      <x:c r="AI6035" s="30"/>
      <x:c r="AJ6035" s="87" t="str">
        <x:v>clean</x:v>
      </x:c>
      <x:c r="AK6035" s="87" t="str">
        <x:v>clean-v0.19</x:v>
      </x:c>
      <x:c r="AL6035" s="87" t="str">
        <x:v>statgrad_clean_continuation_v0_19(1).xlsx</x:v>
      </x:c>
      <x:c r="AM6035" s="87" t="str">
        <x:v>PHY_EGKR_S26_956</x:v>
      </x:c>
      <x:c r="AN6035" s="87" t="n">
        <x:v>3</x:v>
      </x:c>
    </x:row>
    <x:row r="6036">
      <x:c r="A6036" s="87" t="n">
        <x:v>6035</x:v>
      </x:c>
      <x:c r="B6036" s="87" t="str">
        <x:v>EGKR-S26-PHY-956-03</x:v>
      </x:c>
      <x:c r="C6036" s="87" t="str">
        <x:v>ЕГКР</x:v>
      </x:c>
      <x:c r="D6036" s="87"/>
      <x:c r="E6036" s="87" t="str">
        <x:v>Весна 2026</x:v>
      </x:c>
      <x:c r="F6036" s="87" t="str">
        <x:v>26.03.2026</x:v>
      </x:c>
      <x:c r="G6036" s="87" t="str">
        <x:v>Физика</x:v>
      </x:c>
      <x:c r="H6036" s="87" t="n">
        <x:v>11</x:v>
      </x:c>
      <x:c r="I6036" s="87"/>
      <x:c r="J6036" s="87" t="str">
        <x:v>956</x:v>
      </x:c>
      <x:c r="K6036" s="87" t="n">
        <x:v>3</x:v>
      </x:c>
      <x:c r="L6036" s="87" t="str">
        <x:v>Импульс силы</x:v>
      </x:c>
      <x:c r="M6036" s="30" t="str">
        <x:v>В инерциальной системе отсчёта тело движется по прямой в одном направлении под действием постоянной силы, равной по модулю 6 Н. Определите, на сколько изменится модуль импульса тела за 7 с. Ответ: __________________________ кг·м/с. ФИЗИКА. 11 класс. Вариант 956</x:v>
      </x:c>
      <x:c r="N6036" s="30" t="str">
        <x:v>42</x:v>
      </x:c>
      <x:c r="O6036" s="30" t="str">
        <x:v>Независимый расчёт по исходному условию.</x:v>
      </x:c>
      <x:c r="P6036" s="30"/>
      <x:c r="Q6036" s="30" t="str">
        <x:v>Физический закон, вычисление и полная визуальная страница.</x:v>
      </x:c>
      <x:c r="R6036" s="30" t="str">
        <x:v>42</x:v>
      </x:c>
      <x:c r="S6036" s="30"/>
      <x:c r="T6036" s="30"/>
      <x:c r="U6036" s="30" t="str">
        <x:v>Ответник совпадает с независимой проверкой.</x:v>
      </x:c>
      <x:c r="V6036" s="87" t="str">
        <x:v>VERIFIED</x:v>
      </x:c>
      <x:c r="W6036" s="87"/>
      <x:c r="X6036" s="87" t="n">
        <x:v>1</x:v>
      </x:c>
      <x:c r="Y6036" s="87"/>
      <x:c r="Z6036" s="87"/>
      <x:c r="AA6036" s="87"/>
      <x:c r="AB6036" s="87"/>
      <x:c r="AC6036" s="87" t="str">
        <x:v>VIS-EGKR-PHY-S26-TASK-956-P001</x:v>
      </x:c>
      <x:c r="AD6036" s="87" t="str">
        <x:v>VIS-EGKR-PHY-S26-ANSWERDOC-P001</x:v>
      </x:c>
      <x:c r="AE6036" s="87" t="str">
        <x:v>TASK; SECONDARY_ANSWER_SOURCE</x:v>
      </x:c>
      <x:c r="AF6036" s="87" t="str">
        <x:v>VIS-EGKR-PHY-S26-TASK-956-P001: 1; VIS-EGKR-PHY-S26-ANSWERDOC-P001: 1</x:v>
      </x:c>
      <x:c r="AG6036" s="87" t="str">
        <x:v>RESOLVED</x:v>
      </x:c>
      <x:c r="AH6036" s="87" t="str">
        <x:v>CROP_VERIFIED</x:v>
      </x:c>
      <x:c r="AI6036" s="30"/>
      <x:c r="AJ6036" s="87" t="str">
        <x:v>clean</x:v>
      </x:c>
      <x:c r="AK6036" s="87" t="str">
        <x:v>clean-v0.19</x:v>
      </x:c>
      <x:c r="AL6036" s="87" t="str">
        <x:v>statgrad_clean_continuation_v0_19(1).xlsx</x:v>
      </x:c>
      <x:c r="AM6036" s="87" t="str">
        <x:v>PHY_EGKR_S26_956</x:v>
      </x:c>
      <x:c r="AN6036" s="87" t="n">
        <x:v>4</x:v>
      </x:c>
    </x:row>
    <x:row r="6037">
      <x:c r="A6037" s="87" t="n">
        <x:v>6036</x:v>
      </x:c>
      <x:c r="B6037" s="87" t="str">
        <x:v>EGKR-S26-PHY-956-04</x:v>
      </x:c>
      <x:c r="C6037" s="87" t="str">
        <x:v>ЕГКР</x:v>
      </x:c>
      <x:c r="D6037" s="87"/>
      <x:c r="E6037" s="87" t="str">
        <x:v>Весна 2026</x:v>
      </x:c>
      <x:c r="F6037" s="87" t="str">
        <x:v>26.03.2026</x:v>
      </x:c>
      <x:c r="G6037" s="87" t="str">
        <x:v>Физика</x:v>
      </x:c>
      <x:c r="H6037" s="87" t="n">
        <x:v>11</x:v>
      </x:c>
      <x:c r="I6037" s="87"/>
      <x:c r="J6037" s="87" t="str">
        <x:v>956</x:v>
      </x:c>
      <x:c r="K6037" s="87" t="n">
        <x:v>4</x:v>
      </x:c>
      <x:c r="L6037" s="87" t="str">
        <x:v>Сила Архимеда</x:v>
      </x:c>
      <x:c r="M6037" s="30" t="str">
        <x:v>Однородный кубик имеет ребро, равное 4 см. Определите модуль архимедовой силы, действующей на кубик при его полном погружении в керосин. Ответ: __________________________ Н.</x:v>
      </x:c>
      <x:c r="N6037" s="30" t="str">
        <x:v>0,512</x:v>
      </x:c>
      <x:c r="O6037" s="30" t="str">
        <x:v>Независимый расчёт по исходному условию.</x:v>
      </x:c>
      <x:c r="P6037" s="30"/>
      <x:c r="Q6037" s="30" t="str">
        <x:v>Физический закон, вычисление и полная визуальная страница.</x:v>
      </x:c>
      <x:c r="R6037" s="30" t="str">
        <x:v>0,512</x:v>
      </x:c>
      <x:c r="S6037" s="30"/>
      <x:c r="T6037" s="30"/>
      <x:c r="U6037" s="30" t="str">
        <x:v>Ответник совпадает с независимой проверкой.</x:v>
      </x:c>
      <x:c r="V6037" s="87" t="str">
        <x:v>VERIFIED</x:v>
      </x:c>
      <x:c r="W6037" s="87"/>
      <x:c r="X6037" s="87" t="n">
        <x:v>2</x:v>
      </x:c>
      <x:c r="Y6037" s="87"/>
      <x:c r="Z6037" s="87"/>
      <x:c r="AA6037" s="87"/>
      <x:c r="AB6037" s="87"/>
      <x:c r="AC6037" s="87" t="str">
        <x:v>VIS-EGKR-PHY-S26-TASK-956-P002</x:v>
      </x:c>
      <x:c r="AD6037" s="87" t="str">
        <x:v>VIS-EGKR-PHY-S26-ANSWERDOC-P001</x:v>
      </x:c>
      <x:c r="AE6037" s="87" t="str">
        <x:v>TASK; SECONDARY_ANSWER_SOURCE</x:v>
      </x:c>
      <x:c r="AF6037" s="87" t="str">
        <x:v>VIS-EGKR-PHY-S26-TASK-956-P002: 2; VIS-EGKR-PHY-S26-ANSWERDOC-P001: 1</x:v>
      </x:c>
      <x:c r="AG6037" s="87" t="str">
        <x:v>RESOLVED</x:v>
      </x:c>
      <x:c r="AH6037" s="87" t="str">
        <x:v>CROP_VERIFIED</x:v>
      </x:c>
      <x:c r="AI6037" s="30"/>
      <x:c r="AJ6037" s="87" t="str">
        <x:v>clean</x:v>
      </x:c>
      <x:c r="AK6037" s="87" t="str">
        <x:v>clean-v0.19</x:v>
      </x:c>
      <x:c r="AL6037" s="87" t="str">
        <x:v>statgrad_clean_continuation_v0_19(1).xlsx</x:v>
      </x:c>
      <x:c r="AM6037" s="87" t="str">
        <x:v>PHY_EGKR_S26_956</x:v>
      </x:c>
      <x:c r="AN6037" s="87" t="n">
        <x:v>5</x:v>
      </x:c>
    </x:row>
    <x:row r="6038">
      <x:c r="A6038" s="87" t="n">
        <x:v>6037</x:v>
      </x:c>
      <x:c r="B6038" s="87" t="str">
        <x:v>EGKR-S26-PHY-956-05</x:v>
      </x:c>
      <x:c r="C6038" s="87" t="str">
        <x:v>ЕГКР</x:v>
      </x:c>
      <x:c r="D6038" s="87"/>
      <x:c r="E6038" s="87" t="str">
        <x:v>Весна 2026</x:v>
      </x:c>
      <x:c r="F6038" s="87" t="str">
        <x:v>26.03.2026</x:v>
      </x:c>
      <x:c r="G6038" s="87" t="str">
        <x:v>Физика</x:v>
      </x:c>
      <x:c r="H6038" s="87" t="n">
        <x:v>11</x:v>
      </x:c>
      <x:c r="I6038" s="87"/>
      <x:c r="J6038" s="87" t="str">
        <x:v>956</x:v>
      </x:c>
      <x:c r="K6038" s="87" t="n">
        <x:v>5</x:v>
      </x:c>
      <x:c r="L6038" s="87" t="str">
        <x:v>Механические колебания</x:v>
      </x:c>
      <x:c r="M6038" s="30" t="str">
        <x:v>Математический маятник отклонили на небольшой угол из положения равновесия в положение 1 и отпустили из состояния покоя (см. рисунок). Период колебаний маятника составляет 1 с. Потенциальная энергия маятника отсчитывается от положения равновесия. Сопротивлением воздуха пренебречь. Из приведённого ниже списка выберите все верные утверждения, описывающие процесс колебаний маятника. 1) Кинетическая энергия маятника в первый раз достигнет своего максимума через 0,5 с после начала движения. 2) Через 1 с маятник первый раз вернётся в положение 1. 3) При движении маятника из положения 2 в положение 3 полная механическая энергия маятника остаётся неизменной. 4) Частота колебаний маятника равна 0,5 Гц. 5) В положении 2 модуль силы натяжения нити минимален. Ответ: __________________________ . ФИЗИКА. 11 класс. Вариант 956</x:v>
      </x:c>
      <x:c r="N6038" s="30" t="str">
        <x:v>23</x:v>
      </x:c>
      <x:c r="O6038" s="30" t="str">
        <x:v>Независимый расчёт по исходному условию.</x:v>
      </x:c>
      <x:c r="P6038" s="30"/>
      <x:c r="Q6038" s="30" t="str">
        <x:v>Физический закон, вычисление и полная визуальная страница.</x:v>
      </x:c>
      <x:c r="R6038" s="30" t="str">
        <x:v>23</x:v>
      </x:c>
      <x:c r="S6038" s="30"/>
      <x:c r="T6038" s="30"/>
      <x:c r="U6038" s="30" t="str">
        <x:v>Ответник совпадает с независимой проверкой.</x:v>
      </x:c>
      <x:c r="V6038" s="87" t="str">
        <x:v>VERIFIED</x:v>
      </x:c>
      <x:c r="W6038" s="87"/>
      <x:c r="X6038" s="87" t="n">
        <x:v>2</x:v>
      </x:c>
      <x:c r="Y6038" s="87"/>
      <x:c r="Z6038" s="87"/>
      <x:c r="AA6038" s="87"/>
      <x:c r="AB6038" s="87"/>
      <x:c r="AC6038" s="87" t="str">
        <x:v>VIS-EGKR-PHY-S26-TASK-956-P002</x:v>
      </x:c>
      <x:c r="AD6038" s="87" t="str">
        <x:v>VIS-EGKR-PHY-S26-ANSWERDOC-P001</x:v>
      </x:c>
      <x:c r="AE6038" s="87" t="str">
        <x:v>TASK; SECONDARY_ANSWER_SOURCE</x:v>
      </x:c>
      <x:c r="AF6038" s="87" t="str">
        <x:v>VIS-EGKR-PHY-S26-TASK-956-P002: 2; VIS-EGKR-PHY-S26-ANSWERDOC-P001: 1</x:v>
      </x:c>
      <x:c r="AG6038" s="87" t="str">
        <x:v>RESOLVED</x:v>
      </x:c>
      <x:c r="AH6038" s="87" t="str">
        <x:v>CROP_VERIFIED; TASK_CROP_QA_APPROVED:USE_CONTEXT</x:v>
      </x:c>
      <x:c r="AI6038" s="30"/>
      <x:c r="AJ6038" s="87" t="str">
        <x:v>clean</x:v>
      </x:c>
      <x:c r="AK6038" s="87" t="str">
        <x:v>clean-v0.19</x:v>
      </x:c>
      <x:c r="AL6038" s="87" t="str">
        <x:v>statgrad_clean_continuation_v0_19(1).xlsx</x:v>
      </x:c>
      <x:c r="AM6038" s="87" t="str">
        <x:v>PHY_EGKR_S26_956</x:v>
      </x:c>
      <x:c r="AN6038" s="87" t="n">
        <x:v>6</x:v>
      </x:c>
    </x:row>
    <x:row r="6039">
      <x:c r="A6039" s="87" t="n">
        <x:v>6038</x:v>
      </x:c>
      <x:c r="B6039" s="87" t="str">
        <x:v>EGKR-S26-PHY-956-06</x:v>
      </x:c>
      <x:c r="C6039" s="87" t="str">
        <x:v>ЕГКР</x:v>
      </x:c>
      <x:c r="D6039" s="87"/>
      <x:c r="E6039" s="87" t="str">
        <x:v>Весна 2026</x:v>
      </x:c>
      <x:c r="F6039" s="87" t="str">
        <x:v>26.03.2026</x:v>
      </x:c>
      <x:c r="G6039" s="87" t="str">
        <x:v>Физика</x:v>
      </x:c>
      <x:c r="H6039" s="87" t="n">
        <x:v>11</x:v>
      </x:c>
      <x:c r="I6039" s="87"/>
      <x:c r="J6039" s="87" t="str">
        <x:v>956</x:v>
      </x:c>
      <x:c r="K6039" s="87" t="n">
        <x:v>6</x:v>
      </x:c>
      <x:c r="L6039" s="87" t="str">
        <x:v>Графики движения</x:v>
      </x:c>
      <x:c r="M6039" s="30" t="str">
        <x:v>В момент времени t = 0 автомобиль, движущийся со скоростью v прямолинейно вдоль оси Ox, начинает тормозить с постоянным по модулю ускорением. В момент времени t₀ автомобиль останавливается у светофора. В момент времени t = 0 координата автомобиля x = 0. Установите соответствие между графиками и физическими величинами, зависимость которых от времени эти графики могут представлять. График в п. Б является фрагментом параболы.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ГРАФИКИ: ФИЗИЧЕСКИЕ ВЕЛИЧИНЫ: 1) координата x 2) проекция скорости 𝑣𝑥 3) проекция ускорения 𝑎𝑥 4) кинетическая энергия 𝐸𝑘 Ответ: А Б</x:v>
      </x:c>
      <x:c r="N6039" s="30" t="str">
        <x:v>34</x:v>
      </x:c>
      <x:c r="O6039" s="30" t="str">
        <x:v>Независимый расчёт по исходному условию.</x:v>
      </x:c>
      <x:c r="P6039" s="30"/>
      <x:c r="Q6039" s="30" t="str">
        <x:v>Физический закон, вычисление и полная визуальная страница.</x:v>
      </x:c>
      <x:c r="R6039" s="30" t="str">
        <x:v>34</x:v>
      </x:c>
      <x:c r="S6039" s="30"/>
      <x:c r="T6039" s="30"/>
      <x:c r="U6039" s="30" t="str">
        <x:v>Ответник совпадает с независимой проверкой.</x:v>
      </x:c>
      <x:c r="V6039" s="87" t="str">
        <x:v>VERIFIED</x:v>
      </x:c>
      <x:c r="W6039" s="87"/>
      <x:c r="X6039" s="87" t="n">
        <x:v>3</x:v>
      </x:c>
      <x:c r="Y6039" s="87"/>
      <x:c r="Z6039" s="87"/>
      <x:c r="AA6039" s="87"/>
      <x:c r="AB6039" s="87"/>
      <x:c r="AC6039" s="87" t="str">
        <x:v>VIS-EGKR-PHY-S26-TASK-956-P003</x:v>
      </x:c>
      <x:c r="AD6039" s="87" t="str">
        <x:v>VIS-EGKR-PHY-S26-ANSWERDOC-P001</x:v>
      </x:c>
      <x:c r="AE6039" s="87" t="str">
        <x:v>TASK; SECONDARY_ANSWER_SOURCE</x:v>
      </x:c>
      <x:c r="AF6039" s="87" t="str">
        <x:v>VIS-EGKR-PHY-S26-TASK-956-P003: 3; VIS-EGKR-PHY-S26-ANSWERDOC-P001: 1</x:v>
      </x:c>
      <x:c r="AG6039" s="87" t="str">
        <x:v>RESOLVED</x:v>
      </x:c>
      <x:c r="AH6039" s="87" t="str">
        <x:v>CROP_VERIFIED</x:v>
      </x:c>
      <x:c r="AI6039" s="30"/>
      <x:c r="AJ6039" s="87" t="str">
        <x:v>clean</x:v>
      </x:c>
      <x:c r="AK6039" s="87" t="str">
        <x:v>clean-v0.19</x:v>
      </x:c>
      <x:c r="AL6039" s="87" t="str">
        <x:v>statgrad_clean_continuation_v0_19(1).xlsx</x:v>
      </x:c>
      <x:c r="AM6039" s="87" t="str">
        <x:v>PHY_EGKR_S26_956</x:v>
      </x:c>
      <x:c r="AN6039" s="87" t="n">
        <x:v>7</x:v>
      </x:c>
    </x:row>
    <x:row r="6040">
      <x:c r="A6040" s="87" t="n">
        <x:v>6039</x:v>
      </x:c>
      <x:c r="B6040" s="87" t="str">
        <x:v>EGKR-S26-PHY-956-07</x:v>
      </x:c>
      <x:c r="C6040" s="87" t="str">
        <x:v>ЕГКР</x:v>
      </x:c>
      <x:c r="D6040" s="87"/>
      <x:c r="E6040" s="87" t="str">
        <x:v>Весна 2026</x:v>
      </x:c>
      <x:c r="F6040" s="87" t="str">
        <x:v>26.03.2026</x:v>
      </x:c>
      <x:c r="G6040" s="87" t="str">
        <x:v>Физика</x:v>
      </x:c>
      <x:c r="H6040" s="87" t="n">
        <x:v>11</x:v>
      </x:c>
      <x:c r="I6040" s="87"/>
      <x:c r="J6040" s="87" t="str">
        <x:v>956</x:v>
      </x:c>
      <x:c r="K6040" s="87" t="n">
        <x:v>7</x:v>
      </x:c>
      <x:c r="L6040" s="87" t="str">
        <x:v>Уравнение состояния газа</x:v>
      </x:c>
      <x:c r="M6040" s="30" t="str">
        <x:v>На pT-диаграмме представлен процесс 1–2, в котором участвует разреженный неон. Объём, занимаемый газом в состоянии 1, равен 80 л. Определите объём газа в состоянии 2, если масса газа остаётся неизменной. Ответ: __________________________ л. ФИЗИКА. 11 класс. Вариант 956</x:v>
      </x:c>
      <x:c r="N6040" s="30" t="str">
        <x:v>20</x:v>
      </x:c>
      <x:c r="O6040" s="30" t="str">
        <x:v>Независимый расчёт по исходному условию.</x:v>
      </x:c>
      <x:c r="P6040" s="30"/>
      <x:c r="Q6040" s="30" t="str">
        <x:v>Физический закон, вычисление и полная визуальная страница.</x:v>
      </x:c>
      <x:c r="R6040" s="30" t="str">
        <x:v>20</x:v>
      </x:c>
      <x:c r="S6040" s="30"/>
      <x:c r="T6040" s="30"/>
      <x:c r="U6040" s="30" t="str">
        <x:v>Ответник совпадает с независимой проверкой.</x:v>
      </x:c>
      <x:c r="V6040" s="87" t="str">
        <x:v>VERIFIED</x:v>
      </x:c>
      <x:c r="W6040" s="87"/>
      <x:c r="X6040" s="87" t="n">
        <x:v>3</x:v>
      </x:c>
      <x:c r="Y6040" s="87"/>
      <x:c r="Z6040" s="87"/>
      <x:c r="AA6040" s="87"/>
      <x:c r="AB6040" s="87"/>
      <x:c r="AC6040" s="87" t="str">
        <x:v>VIS-EGKR-PHY-S26-TASK-956-P003</x:v>
      </x:c>
      <x:c r="AD6040" s="87" t="str">
        <x:v>VIS-EGKR-PHY-S26-ANSWERDOC-P001</x:v>
      </x:c>
      <x:c r="AE6040" s="87" t="str">
        <x:v>TASK; SECONDARY_ANSWER_SOURCE</x:v>
      </x:c>
      <x:c r="AF6040" s="87" t="str">
        <x:v>VIS-EGKR-PHY-S26-TASK-956-P003: 3; VIS-EGKR-PHY-S26-ANSWERDOC-P001: 1</x:v>
      </x:c>
      <x:c r="AG6040" s="87" t="str">
        <x:v>RESOLVED</x:v>
      </x:c>
      <x:c r="AH6040" s="87" t="str">
        <x:v>CROP_VERIFIED; TASK_CROP_QA_APPROVED:USE_CONTEXT</x:v>
      </x:c>
      <x:c r="AI6040" s="30"/>
      <x:c r="AJ6040" s="87" t="str">
        <x:v>clean</x:v>
      </x:c>
      <x:c r="AK6040" s="87" t="str">
        <x:v>clean-v0.19</x:v>
      </x:c>
      <x:c r="AL6040" s="87" t="str">
        <x:v>statgrad_clean_continuation_v0_19(1).xlsx</x:v>
      </x:c>
      <x:c r="AM6040" s="87" t="str">
        <x:v>PHY_EGKR_S26_956</x:v>
      </x:c>
      <x:c r="AN6040" s="87" t="n">
        <x:v>8</x:v>
      </x:c>
    </x:row>
    <x:row r="6041">
      <x:c r="A6041" s="87" t="n">
        <x:v>6040</x:v>
      </x:c>
      <x:c r="B6041" s="87" t="str">
        <x:v>EGKR-S26-PHY-956-08</x:v>
      </x:c>
      <x:c r="C6041" s="87" t="str">
        <x:v>ЕГКР</x:v>
      </x:c>
      <x:c r="D6041" s="87"/>
      <x:c r="E6041" s="87" t="str">
        <x:v>Весна 2026</x:v>
      </x:c>
      <x:c r="F6041" s="87" t="str">
        <x:v>26.03.2026</x:v>
      </x:c>
      <x:c r="G6041" s="87" t="str">
        <x:v>Физика</x:v>
      </x:c>
      <x:c r="H6041" s="87" t="n">
        <x:v>11</x:v>
      </x:c>
      <x:c r="I6041" s="87"/>
      <x:c r="J6041" s="87" t="str">
        <x:v>956</x:v>
      </x:c>
      <x:c r="K6041" s="87" t="n">
        <x:v>8</x:v>
      </x:c>
      <x:c r="L6041" s="87" t="str">
        <x:v>Количество теплоты</x:v>
      </x:c>
      <x:c r="M6041" s="30" t="str">
        <x:v>Какое количество теплоты необходимо для того, чтобы расплавить 80 г льда, взятого при температуре плавления? Ответ: __________________________ кДж.</x:v>
      </x:c>
      <x:c r="N6041" s="30" t="str">
        <x:v>26,4</x:v>
      </x:c>
      <x:c r="O6041" s="30" t="str">
        <x:v>Независимый расчёт по исходному условию.</x:v>
      </x:c>
      <x:c r="P6041" s="30"/>
      <x:c r="Q6041" s="30" t="str">
        <x:v>Физический закон, вычисление и полная визуальная страница.</x:v>
      </x:c>
      <x:c r="R6041" s="30" t="str">
        <x:v>26,4</x:v>
      </x:c>
      <x:c r="S6041" s="30"/>
      <x:c r="T6041" s="30"/>
      <x:c r="U6041" s="30" t="str">
        <x:v>Ответник совпадает с независимой проверкой.</x:v>
      </x:c>
      <x:c r="V6041" s="87" t="str">
        <x:v>VERIFIED</x:v>
      </x:c>
      <x:c r="W6041" s="87"/>
      <x:c r="X6041" s="87" t="n">
        <x:v>4</x:v>
      </x:c>
      <x:c r="Y6041" s="87"/>
      <x:c r="Z6041" s="87"/>
      <x:c r="AA6041" s="87"/>
      <x:c r="AB6041" s="87"/>
      <x:c r="AC6041" s="87" t="str">
        <x:v>VIS-EGKR-PHY-S26-TASK-956-P004</x:v>
      </x:c>
      <x:c r="AD6041" s="87" t="str">
        <x:v>VIS-EGKR-PHY-S26-ANSWERDOC-P001</x:v>
      </x:c>
      <x:c r="AE6041" s="87" t="str">
        <x:v>TASK; SECONDARY_ANSWER_SOURCE</x:v>
      </x:c>
      <x:c r="AF6041" s="87" t="str">
        <x:v>VIS-EGKR-PHY-S26-TASK-956-P004: 4; VIS-EGKR-PHY-S26-ANSWERDOC-P001: 1</x:v>
      </x:c>
      <x:c r="AG6041" s="87" t="str">
        <x:v>RESOLVED</x:v>
      </x:c>
      <x:c r="AH6041" s="87" t="str">
        <x:v>CROP_VERIFIED</x:v>
      </x:c>
      <x:c r="AI6041" s="30"/>
      <x:c r="AJ6041" s="87" t="str">
        <x:v>clean</x:v>
      </x:c>
      <x:c r="AK6041" s="87" t="str">
        <x:v>clean-v0.19</x:v>
      </x:c>
      <x:c r="AL6041" s="87" t="str">
        <x:v>statgrad_clean_continuation_v0_19(1).xlsx</x:v>
      </x:c>
      <x:c r="AM6041" s="87" t="str">
        <x:v>PHY_EGKR_S26_956</x:v>
      </x:c>
      <x:c r="AN6041" s="87" t="n">
        <x:v>9</x:v>
      </x:c>
    </x:row>
    <x:row r="6042">
      <x:c r="A6042" s="87" t="n">
        <x:v>6041</x:v>
      </x:c>
      <x:c r="B6042" s="87" t="str">
        <x:v>EGKR-S26-PHY-956-09</x:v>
      </x:c>
      <x:c r="C6042" s="87" t="str">
        <x:v>ЕГКР</x:v>
      </x:c>
      <x:c r="D6042" s="87"/>
      <x:c r="E6042" s="87" t="str">
        <x:v>Весна 2026</x:v>
      </x:c>
      <x:c r="F6042" s="87" t="str">
        <x:v>26.03.2026</x:v>
      </x:c>
      <x:c r="G6042" s="87" t="str">
        <x:v>Физика</x:v>
      </x:c>
      <x:c r="H6042" s="87" t="n">
        <x:v>11</x:v>
      </x:c>
      <x:c r="I6042" s="87"/>
      <x:c r="J6042" s="87" t="str">
        <x:v>956</x:v>
      </x:c>
      <x:c r="K6042" s="87" t="n">
        <x:v>9</x:v>
      </x:c>
      <x:c r="L6042" s="87" t="str">
        <x:v>Анализ газового процесса</x:v>
      </x:c>
      <x:c r="M6042" s="30" t="str">
        <x:v>Идеальный газ переводят из состояния 1 в состояние 3 так, как показано на диаграмме p–V, где p — давление газа, V — его объём. Масса газа в процессе постоянна. Из приведённого ниже списка выберите все верные утверждения, характеризующие процессы на графике. 1) В процессе 1–2 абсолютная температура газа увеличивается в 3 раза. 2) В процессе 1–2 газ отдаёт положительное количество теплоты. 3) В процессе 2–3 внутренняя энергия газа увеличивается в 2 раза. 4) Плотность газа минимальна в состоянии 3. 5) В ходе процесса 1–2–3 средняя кинетическая энергия теплового движения молекул газа увеличивается в 4 раза. Ответ: __________________________ .</x:v>
      </x:c>
      <x:c r="N6042" s="30" t="str">
        <x:v>134</x:v>
      </x:c>
      <x:c r="O6042" s="30" t="str">
        <x:v>Независимый расчёт по исходному условию.</x:v>
      </x:c>
      <x:c r="P6042" s="30"/>
      <x:c r="Q6042" s="30" t="str">
        <x:v>Физический закон, вычисление и полная визуальная страница.</x:v>
      </x:c>
      <x:c r="R6042" s="30" t="str">
        <x:v>134</x:v>
      </x:c>
      <x:c r="S6042" s="30"/>
      <x:c r="T6042" s="30"/>
      <x:c r="U6042" s="30" t="str">
        <x:v>Ответник совпадает с независимой проверкой.</x:v>
      </x:c>
      <x:c r="V6042" s="87" t="str">
        <x:v>VERIFIED</x:v>
      </x:c>
      <x:c r="W6042" s="87"/>
      <x:c r="X6042" s="87" t="n">
        <x:v>4</x:v>
      </x:c>
      <x:c r="Y6042" s="87"/>
      <x:c r="Z6042" s="87"/>
      <x:c r="AA6042" s="87"/>
      <x:c r="AB6042" s="87"/>
      <x:c r="AC6042" s="87" t="str">
        <x:v>VIS-EGKR-PHY-S26-TASK-956-P004</x:v>
      </x:c>
      <x:c r="AD6042" s="87" t="str">
        <x:v>VIS-EGKR-PHY-S26-ANSWERDOC-P001</x:v>
      </x:c>
      <x:c r="AE6042" s="87" t="str">
        <x:v>TASK; SECONDARY_ANSWER_SOURCE</x:v>
      </x:c>
      <x:c r="AF6042" s="87" t="str">
        <x:v>VIS-EGKR-PHY-S26-TASK-956-P004: 4; VIS-EGKR-PHY-S26-ANSWERDOC-P001: 1</x:v>
      </x:c>
      <x:c r="AG6042" s="87" t="str">
        <x:v>RESOLVED</x:v>
      </x:c>
      <x:c r="AH6042" s="87" t="str">
        <x:v>CROP_VERIFIED; TASK_CROP_QA_APPROVED:MANUAL_BBOX</x:v>
      </x:c>
      <x:c r="AI6042" s="30"/>
      <x:c r="AJ6042" s="87" t="str">
        <x:v>clean</x:v>
      </x:c>
      <x:c r="AK6042" s="87" t="str">
        <x:v>clean-v0.19</x:v>
      </x:c>
      <x:c r="AL6042" s="87" t="str">
        <x:v>statgrad_clean_continuation_v0_19(1).xlsx</x:v>
      </x:c>
      <x:c r="AM6042" s="87" t="str">
        <x:v>PHY_EGKR_S26_956</x:v>
      </x:c>
      <x:c r="AN6042" s="87" t="n">
        <x:v>10</x:v>
      </x:c>
    </x:row>
    <x:row r="6043">
      <x:c r="A6043" s="87" t="n">
        <x:v>6042</x:v>
      </x:c>
      <x:c r="B6043" s="87" t="str">
        <x:v>EGKR-S26-PHY-956-10</x:v>
      </x:c>
      <x:c r="C6043" s="87" t="str">
        <x:v>ЕГКР</x:v>
      </x:c>
      <x:c r="D6043" s="87"/>
      <x:c r="E6043" s="87" t="str">
        <x:v>Весна 2026</x:v>
      </x:c>
      <x:c r="F6043" s="87" t="str">
        <x:v>26.03.2026</x:v>
      </x:c>
      <x:c r="G6043" s="87" t="str">
        <x:v>Физика</x:v>
      </x:c>
      <x:c r="H6043" s="87" t="n">
        <x:v>11</x:v>
      </x:c>
      <x:c r="I6043" s="87"/>
      <x:c r="J6043" s="87" t="str">
        <x:v>956</x:v>
      </x:c>
      <x:c r="K6043" s="87" t="n">
        <x:v>10</x:v>
      </x:c>
      <x:c r="L6043" s="87" t="str">
        <x:v>Газ под поршнем</x:v>
      </x:c>
      <x:c r="M6043" s="30" t="str">
        <x:v>В вертикальном цилиндрическом сосуде под поршнем находится газ. Поршень не закреплён и может перемещаться в сосуде без трения (см. рисунок). Газ в сосуде охлаждают на 30 K. Как изменяются в результате этого давление газа и его плотность? Для каждой величины определите соответствующий характер изменения: 1) увеличивается 2) уменьшается 3) не изменяется Запишите в таблицу выбранные цифры для каждой физической величины. Цифры в ответе могут повторяться. Давление газа Плотность газа ФИЗИКА. 11 класс. Вариант 956</x:v>
      </x:c>
      <x:c r="N6043" s="30" t="str">
        <x:v>31</x:v>
      </x:c>
      <x:c r="O6043" s="30" t="str">
        <x:v>Независимый расчёт по исходному условию.</x:v>
      </x:c>
      <x:c r="P6043" s="30"/>
      <x:c r="Q6043" s="30" t="str">
        <x:v>Физический закон, вычисление и полная визуальная страница.</x:v>
      </x:c>
      <x:c r="R6043" s="30" t="str">
        <x:v>31</x:v>
      </x:c>
      <x:c r="S6043" s="30"/>
      <x:c r="T6043" s="30"/>
      <x:c r="U6043" s="30" t="str">
        <x:v>Ответник совпадает с независимой проверкой.</x:v>
      </x:c>
      <x:c r="V6043" s="87" t="str">
        <x:v>VERIFIED</x:v>
      </x:c>
      <x:c r="W6043" s="87"/>
      <x:c r="X6043" s="87" t="n">
        <x:v>4</x:v>
      </x:c>
      <x:c r="Y6043" s="87"/>
      <x:c r="Z6043" s="87"/>
      <x:c r="AA6043" s="87"/>
      <x:c r="AB6043" s="87"/>
      <x:c r="AC6043" s="87" t="str">
        <x:v>VIS-EGKR-PHY-S26-TASK-956-P004</x:v>
      </x:c>
      <x:c r="AD6043" s="87" t="str">
        <x:v>VIS-EGKR-PHY-S26-ANSWERDOC-P001</x:v>
      </x:c>
      <x:c r="AE6043" s="87" t="str">
        <x:v>TASK; SECONDARY_ANSWER_SOURCE</x:v>
      </x:c>
      <x:c r="AF6043" s="87" t="str">
        <x:v>VIS-EGKR-PHY-S26-TASK-956-P004: 4; VIS-EGKR-PHY-S26-ANSWERDOC-P001: 1</x:v>
      </x:c>
      <x:c r="AG6043" s="87" t="str">
        <x:v>RESOLVED</x:v>
      </x:c>
      <x:c r="AH6043" s="87" t="str">
        <x:v>CROP_VERIFIED; TASK_CROP_QA_APPROVED:MANUAL_BBOX</x:v>
      </x:c>
      <x:c r="AI6043" s="30"/>
      <x:c r="AJ6043" s="87" t="str">
        <x:v>clean</x:v>
      </x:c>
      <x:c r="AK6043" s="87" t="str">
        <x:v>clean-v0.19</x:v>
      </x:c>
      <x:c r="AL6043" s="87" t="str">
        <x:v>statgrad_clean_continuation_v0_19(1).xlsx</x:v>
      </x:c>
      <x:c r="AM6043" s="87" t="str">
        <x:v>PHY_EGKR_S26_956</x:v>
      </x:c>
      <x:c r="AN6043" s="87" t="n">
        <x:v>11</x:v>
      </x:c>
    </x:row>
    <x:row r="6044">
      <x:c r="A6044" s="87" t="n">
        <x:v>6043</x:v>
      </x:c>
      <x:c r="B6044" s="87" t="str">
        <x:v>EGKR-S26-PHY-956-11</x:v>
      </x:c>
      <x:c r="C6044" s="87" t="str">
        <x:v>ЕГКР</x:v>
      </x:c>
      <x:c r="D6044" s="87"/>
      <x:c r="E6044" s="87" t="str">
        <x:v>Весна 2026</x:v>
      </x:c>
      <x:c r="F6044" s="87" t="str">
        <x:v>26.03.2026</x:v>
      </x:c>
      <x:c r="G6044" s="87" t="str">
        <x:v>Физика</x:v>
      </x:c>
      <x:c r="H6044" s="87" t="n">
        <x:v>11</x:v>
      </x:c>
      <x:c r="I6044" s="87"/>
      <x:c r="J6044" s="87" t="str">
        <x:v>956</x:v>
      </x:c>
      <x:c r="K6044" s="87" t="n">
        <x:v>11</x:v>
      </x:c>
      <x:c r="L6044" s="87" t="str">
        <x:v>Заряд по графику</x:v>
      </x:c>
      <x:c r="M6044" s="30" t="str">
        <x:v>На плавком предохранителе автомобильной электрической сети указано: «7,5 А, 32 В». На какую максимальную мощность потребителей рассчитана эта сеть? Ответ: __________________________ Вт.</x:v>
      </x:c>
      <x:c r="N6044" s="30" t="str">
        <x:v>240</x:v>
      </x:c>
      <x:c r="O6044" s="30" t="str">
        <x:v>Независимый расчёт по исходному условию.</x:v>
      </x:c>
      <x:c r="P6044" s="30"/>
      <x:c r="Q6044" s="30" t="str">
        <x:v>Физический закон, вычисление и полная визуальная страница.</x:v>
      </x:c>
      <x:c r="R6044" s="30" t="str">
        <x:v>240</x:v>
      </x:c>
      <x:c r="S6044" s="30"/>
      <x:c r="T6044" s="30"/>
      <x:c r="U6044" s="30" t="str">
        <x:v>Ответник совпадает с независимой проверкой.</x:v>
      </x:c>
      <x:c r="V6044" s="87" t="str">
        <x:v>VERIFIED</x:v>
      </x:c>
      <x:c r="W6044" s="87"/>
      <x:c r="X6044" s="87" t="n">
        <x:v>5</x:v>
      </x:c>
      <x:c r="Y6044" s="87"/>
      <x:c r="Z6044" s="87"/>
      <x:c r="AA6044" s="87"/>
      <x:c r="AB6044" s="87"/>
      <x:c r="AC6044" s="87" t="str">
        <x:v>VIS-EGKR-PHY-S26-TASK-956-P005</x:v>
      </x:c>
      <x:c r="AD6044" s="87" t="str">
        <x:v>VIS-EGKR-PHY-S26-ANSWERDOC-P001</x:v>
      </x:c>
      <x:c r="AE6044" s="87" t="str">
        <x:v>TASK; SECONDARY_ANSWER_SOURCE</x:v>
      </x:c>
      <x:c r="AF6044" s="87" t="str">
        <x:v>VIS-EGKR-PHY-S26-TASK-956-P005: 5; VIS-EGKR-PHY-S26-ANSWERDOC-P001: 1</x:v>
      </x:c>
      <x:c r="AG6044" s="87" t="str">
        <x:v>RESOLVED</x:v>
      </x:c>
      <x:c r="AH6044" s="87" t="str">
        <x:v>CROP_VERIFIED</x:v>
      </x:c>
      <x:c r="AI6044" s="30"/>
      <x:c r="AJ6044" s="87" t="str">
        <x:v>clean</x:v>
      </x:c>
      <x:c r="AK6044" s="87" t="str">
        <x:v>clean-v0.19</x:v>
      </x:c>
      <x:c r="AL6044" s="87" t="str">
        <x:v>statgrad_clean_continuation_v0_19(1).xlsx</x:v>
      </x:c>
      <x:c r="AM6044" s="87" t="str">
        <x:v>PHY_EGKR_S26_956</x:v>
      </x:c>
      <x:c r="AN6044" s="87" t="n">
        <x:v>12</x:v>
      </x:c>
    </x:row>
    <x:row r="6045">
      <x:c r="A6045" s="87" t="n">
        <x:v>6044</x:v>
      </x:c>
      <x:c r="B6045" s="87" t="str">
        <x:v>EGKR-S26-PHY-956-12</x:v>
      </x:c>
      <x:c r="C6045" s="87" t="str">
        <x:v>ЕГКР</x:v>
      </x:c>
      <x:c r="D6045" s="87"/>
      <x:c r="E6045" s="87" t="str">
        <x:v>Весна 2026</x:v>
      </x:c>
      <x:c r="F6045" s="87" t="str">
        <x:v>26.03.2026</x:v>
      </x:c>
      <x:c r="G6045" s="87" t="str">
        <x:v>Физика</x:v>
      </x:c>
      <x:c r="H6045" s="87" t="n">
        <x:v>11</x:v>
      </x:c>
      <x:c r="I6045" s="87"/>
      <x:c r="J6045" s="87" t="str">
        <x:v>956</x:v>
      </x:c>
      <x:c r="K6045" s="87" t="n">
        <x:v>12</x:v>
      </x:c>
      <x:c r="L6045" s="87" t="str">
        <x:v>Сила Ампера</x:v>
      </x:c>
      <x:c r="M6045" s="30" t="str">
        <x:v>Прямой проводник длиной 0,8 м расположен в однородном магнитном поле с индукцией 0,2 Тл перпендикулярно линиям магнитной индукции. Определите силу тока в проводнике, если сила, действующая на проводник в магнитном поле, равна 1,6 Н. Ответ: __________________________ А.</x:v>
      </x:c>
      <x:c r="N6045" s="30" t="str">
        <x:v>10</x:v>
      </x:c>
      <x:c r="O6045" s="30" t="str">
        <x:v>Независимый расчёт по исходному условию.</x:v>
      </x:c>
      <x:c r="P6045" s="30"/>
      <x:c r="Q6045" s="30" t="str">
        <x:v>Физический закон, вычисление и полная визуальная страница.</x:v>
      </x:c>
      <x:c r="R6045" s="30" t="str">
        <x:v>10</x:v>
      </x:c>
      <x:c r="S6045" s="30"/>
      <x:c r="T6045" s="30"/>
      <x:c r="U6045" s="30" t="str">
        <x:v>Ответник совпадает с независимой проверкой.</x:v>
      </x:c>
      <x:c r="V6045" s="87" t="str">
        <x:v>VERIFIED</x:v>
      </x:c>
      <x:c r="W6045" s="87"/>
      <x:c r="X6045" s="87" t="n">
        <x:v>5</x:v>
      </x:c>
      <x:c r="Y6045" s="87"/>
      <x:c r="Z6045" s="87"/>
      <x:c r="AA6045" s="87"/>
      <x:c r="AB6045" s="87"/>
      <x:c r="AC6045" s="87" t="str">
        <x:v>VIS-EGKR-PHY-S26-TASK-956-P005</x:v>
      </x:c>
      <x:c r="AD6045" s="87" t="str">
        <x:v>VIS-EGKR-PHY-S26-ANSWERDOC-P001</x:v>
      </x:c>
      <x:c r="AE6045" s="87" t="str">
        <x:v>TASK; SECONDARY_ANSWER_SOURCE</x:v>
      </x:c>
      <x:c r="AF6045" s="87" t="str">
        <x:v>VIS-EGKR-PHY-S26-TASK-956-P005: 5; VIS-EGKR-PHY-S26-ANSWERDOC-P001: 1</x:v>
      </x:c>
      <x:c r="AG6045" s="87" t="str">
        <x:v>RESOLVED</x:v>
      </x:c>
      <x:c r="AH6045" s="87" t="str">
        <x:v>CROP_VERIFIED</x:v>
      </x:c>
      <x:c r="AI6045" s="30"/>
      <x:c r="AJ6045" s="87" t="str">
        <x:v>clean</x:v>
      </x:c>
      <x:c r="AK6045" s="87" t="str">
        <x:v>clean-v0.19</x:v>
      </x:c>
      <x:c r="AL6045" s="87" t="str">
        <x:v>statgrad_clean_continuation_v0_19(1).xlsx</x:v>
      </x:c>
      <x:c r="AM6045" s="87" t="str">
        <x:v>PHY_EGKR_S26_956</x:v>
      </x:c>
      <x:c r="AN6045" s="87" t="n">
        <x:v>13</x:v>
      </x:c>
    </x:row>
    <x:row r="6046">
      <x:c r="A6046" s="87" t="n">
        <x:v>6045</x:v>
      </x:c>
      <x:c r="B6046" s="87" t="str">
        <x:v>EGKR-S26-PHY-956-13</x:v>
      </x:c>
      <x:c r="C6046" s="87" t="str">
        <x:v>ЕГКР</x:v>
      </x:c>
      <x:c r="D6046" s="87"/>
      <x:c r="E6046" s="87" t="str">
        <x:v>Весна 2026</x:v>
      </x:c>
      <x:c r="F6046" s="87" t="str">
        <x:v>26.03.2026</x:v>
      </x:c>
      <x:c r="G6046" s="87" t="str">
        <x:v>Физика</x:v>
      </x:c>
      <x:c r="H6046" s="87" t="n">
        <x:v>11</x:v>
      </x:c>
      <x:c r="I6046" s="87"/>
      <x:c r="J6046" s="87" t="str">
        <x:v>956</x:v>
      </x:c>
      <x:c r="K6046" s="87" t="n">
        <x:v>13</x:v>
      </x:c>
      <x:c r="L6046" s="87" t="str">
        <x:v>Тонкая линза</x:v>
      </x:c>
      <x:c r="M6046" s="30" t="str">
        <x:v>Какая из точек (1, 2, 3 или 4), показанных на рисунке, служит изображением точки S, создаваемым тонкой собирающей линзой с фокусным расстоянием F? Ответ: точка ____________________. ФИЗИКА. 11 класс. Вариант 956</x:v>
      </x:c>
      <x:c r="N6046" s="30" t="str">
        <x:v>3</x:v>
      </x:c>
      <x:c r="O6046" s="30" t="str">
        <x:v>Независимый расчёт по исходному условию.</x:v>
      </x:c>
      <x:c r="P6046" s="30"/>
      <x:c r="Q6046" s="30" t="str">
        <x:v>Физический закон, вычисление и полная визуальная страница.</x:v>
      </x:c>
      <x:c r="R6046" s="30" t="str">
        <x:v>3</x:v>
      </x:c>
      <x:c r="S6046" s="30"/>
      <x:c r="T6046" s="30"/>
      <x:c r="U6046" s="30" t="str">
        <x:v>Ответник совпадает с независимой проверкой.</x:v>
      </x:c>
      <x:c r="V6046" s="87" t="str">
        <x:v>VERIFIED</x:v>
      </x:c>
      <x:c r="W6046" s="87"/>
      <x:c r="X6046" s="87" t="n">
        <x:v>5</x:v>
      </x:c>
      <x:c r="Y6046" s="87"/>
      <x:c r="Z6046" s="87"/>
      <x:c r="AA6046" s="87"/>
      <x:c r="AB6046" s="87"/>
      <x:c r="AC6046" s="87" t="str">
        <x:v>VIS-EGKR-PHY-S26-TASK-956-P005</x:v>
      </x:c>
      <x:c r="AD6046" s="87" t="str">
        <x:v>VIS-EGKR-PHY-S26-ANSWERDOC-P001</x:v>
      </x:c>
      <x:c r="AE6046" s="87" t="str">
        <x:v>TASK; SECONDARY_ANSWER_SOURCE</x:v>
      </x:c>
      <x:c r="AF6046" s="87" t="str">
        <x:v>VIS-EGKR-PHY-S26-TASK-956-P005: 5; VIS-EGKR-PHY-S26-ANSWERDOC-P001: 1</x:v>
      </x:c>
      <x:c r="AG6046" s="87" t="str">
        <x:v>RESOLVED</x:v>
      </x:c>
      <x:c r="AH6046" s="87" t="str">
        <x:v>CROP_VERIFIED; TASK_CROP_QA_APPROVED:USE_CONTEXT</x:v>
      </x:c>
      <x:c r="AI6046" s="30"/>
      <x:c r="AJ6046" s="87" t="str">
        <x:v>clean</x:v>
      </x:c>
      <x:c r="AK6046" s="87" t="str">
        <x:v>clean-v0.19</x:v>
      </x:c>
      <x:c r="AL6046" s="87" t="str">
        <x:v>statgrad_clean_continuation_v0_19(1).xlsx</x:v>
      </x:c>
      <x:c r="AM6046" s="87" t="str">
        <x:v>PHY_EGKR_S26_956</x:v>
      </x:c>
      <x:c r="AN6046" s="87" t="n">
        <x:v>14</x:v>
      </x:c>
    </x:row>
    <x:row r="6047">
      <x:c r="A6047" s="87" t="n">
        <x:v>6046</x:v>
      </x:c>
      <x:c r="B6047" s="87" t="str">
        <x:v>EGKR-S26-PHY-956-14</x:v>
      </x:c>
      <x:c r="C6047" s="87" t="str">
        <x:v>ЕГКР</x:v>
      </x:c>
      <x:c r="D6047" s="87"/>
      <x:c r="E6047" s="87" t="str">
        <x:v>Весна 2026</x:v>
      </x:c>
      <x:c r="F6047" s="87" t="str">
        <x:v>26.03.2026</x:v>
      </x:c>
      <x:c r="G6047" s="87" t="str">
        <x:v>Физика</x:v>
      </x:c>
      <x:c r="H6047" s="87" t="n">
        <x:v>11</x:v>
      </x:c>
      <x:c r="I6047" s="87"/>
      <x:c r="J6047" s="87" t="str">
        <x:v>956</x:v>
      </x:c>
      <x:c r="K6047" s="87" t="n">
        <x:v>14</x:v>
      </x:c>
      <x:c r="L6047" s="87" t="str">
        <x:v>Электромагнитные колебания</x:v>
      </x:c>
      <x:c r="M6047" s="30" t="str">
        <x:v>В идеальном колебательном контуре, состоящем из конденсатора и катушки индуктивности, происходят свободные электромагнитные колебания. В таблице показано, как изменяется заряд одной из обкладок конденсатора в колебательном контуре с течением времени. t, 10^-6 c 0 1 2 3 4 5 6 7 8 9 q, 10^-9 Кл 8 5,66 0 -5,66 -8 -5,66 0 5,66 8 5,66 Выберите все верные утверждения о процессе, происходящем в колебательном контуре. 1) Период колебаний равен 6·10^-6 с. 2) В момент времени t = 8·10^-6 с напряжение на обкладках конденсатора максимально. 3) В момент времени t = 4·10^-6 с сила тока в колебательном контуре равна 0. 4) В момент времени t = 6·10^-6 с энергия электрического поля конденсатора максимальна. 5) В момент времени t = 8·10^-6 с энергия магнитного поля катушки индуктивности минимальна. Ответ: __________________________ .</x:v>
      </x:c>
      <x:c r="N6047" s="30" t="str">
        <x:v>235</x:v>
      </x:c>
      <x:c r="O6047" s="30" t="str">
        <x:v>Независимый расчёт по исходному условию.</x:v>
      </x:c>
      <x:c r="P6047" s="30"/>
      <x:c r="Q6047" s="30" t="str">
        <x:v>Физический закон, вычисление и полная визуальная страница.</x:v>
      </x:c>
      <x:c r="R6047" s="30" t="str">
        <x:v>235</x:v>
      </x:c>
      <x:c r="S6047" s="30"/>
      <x:c r="T6047" s="30"/>
      <x:c r="U6047" s="30" t="str">
        <x:v>Ответник совпадает с независимой проверкой.</x:v>
      </x:c>
      <x:c r="V6047" s="87" t="str">
        <x:v>VERIFIED</x:v>
      </x:c>
      <x:c r="W6047" s="87"/>
      <x:c r="X6047" s="87" t="n">
        <x:v>6</x:v>
      </x:c>
      <x:c r="Y6047" s="87"/>
      <x:c r="Z6047" s="87"/>
      <x:c r="AA6047" s="87"/>
      <x:c r="AB6047" s="87"/>
      <x:c r="AC6047" s="87" t="str">
        <x:v>VIS-EGKR-PHY-S26-TASK-956-P006</x:v>
      </x:c>
      <x:c r="AD6047" s="87" t="str">
        <x:v>VIS-EGKR-PHY-S26-ANSWERDOC-P001</x:v>
      </x:c>
      <x:c r="AE6047" s="87" t="str">
        <x:v>TASK; SECONDARY_ANSWER_SOURCE</x:v>
      </x:c>
      <x:c r="AF6047" s="87" t="str">
        <x:v>VIS-EGKR-PHY-S26-TASK-956-P006: 6; VIS-EGKR-PHY-S26-ANSWERDOC-P001: 1</x:v>
      </x:c>
      <x:c r="AG6047" s="87" t="str">
        <x:v>RESOLVED</x:v>
      </x:c>
      <x:c r="AH6047" s="87" t="str">
        <x:v>CROP_VERIFIED; TASK_CROP_QA_APPROVED:MANUAL_BBOX</x:v>
      </x:c>
      <x:c r="AI6047" s="30"/>
      <x:c r="AJ6047" s="87" t="str">
        <x:v>clean</x:v>
      </x:c>
      <x:c r="AK6047" s="87" t="str">
        <x:v>clean-v0.19</x:v>
      </x:c>
      <x:c r="AL6047" s="87" t="str">
        <x:v>statgrad_clean_continuation_v0_19(1).xlsx</x:v>
      </x:c>
      <x:c r="AM6047" s="87" t="str">
        <x:v>PHY_EGKR_S26_956</x:v>
      </x:c>
      <x:c r="AN6047" s="87" t="n">
        <x:v>15</x:v>
      </x:c>
    </x:row>
    <x:row r="6048">
      <x:c r="A6048" s="87" t="n">
        <x:v>6047</x:v>
      </x:c>
      <x:c r="B6048" s="87" t="str">
        <x:v>EGKR-S26-PHY-956-15</x:v>
      </x:c>
      <x:c r="C6048" s="87" t="str">
        <x:v>ЕГКР</x:v>
      </x:c>
      <x:c r="D6048" s="87"/>
      <x:c r="E6048" s="87" t="str">
        <x:v>Весна 2026</x:v>
      </x:c>
      <x:c r="F6048" s="87" t="str">
        <x:v>26.03.2026</x:v>
      </x:c>
      <x:c r="G6048" s="87" t="str">
        <x:v>Физика</x:v>
      </x:c>
      <x:c r="H6048" s="87" t="n">
        <x:v>11</x:v>
      </x:c>
      <x:c r="I6048" s="87"/>
      <x:c r="J6048" s="87" t="str">
        <x:v>956</x:v>
      </x:c>
      <x:c r="K6048" s="87" t="n">
        <x:v>15</x:v>
      </x:c>
      <x:c r="L6048" s="87" t="str">
        <x:v>Цепь постоянного тока</x:v>
      </x:c>
      <x:c r="M6048" s="30" t="str">
        <x:v>Неразветвлённая электрическая цепь состоит из источника постоянного напряжения и проволочного резистора. Резистор заменили на другой, с проволокой той же длины и того же поперечного сечения, но из материала с вдвое меньшим удельным сопротивлением. Как изменились при этом сила тока в резисторе и тепловая мощность, выделяющаяся на нём? Внутренним сопротивлением источника пренебречь. Для каждой величины определите соответствующий характер изменения: 1) увеличилась 2) уменьшилась 3) не изменилась Запишите в таблицу выбранные цифры для каждой физической величины. Цифры в ответе могут повторяться. Тепловая мощность, выделяющаяся Сила тока в резисторе на резисторе ФИЗИКА. 11 класс. Вариант 956</x:v>
      </x:c>
      <x:c r="N6048" s="30" t="str">
        <x:v>11</x:v>
      </x:c>
      <x:c r="O6048" s="30" t="str">
        <x:v>Независимый расчёт по исходному условию.</x:v>
      </x:c>
      <x:c r="P6048" s="30"/>
      <x:c r="Q6048" s="30" t="str">
        <x:v>Физический закон, вычисление и полная визуальная страница.</x:v>
      </x:c>
      <x:c r="R6048" s="30" t="str">
        <x:v>11</x:v>
      </x:c>
      <x:c r="S6048" s="30"/>
      <x:c r="T6048" s="30"/>
      <x:c r="U6048" s="30" t="str">
        <x:v>Ответник совпадает с независимой проверкой.</x:v>
      </x:c>
      <x:c r="V6048" s="87" t="str">
        <x:v>VERIFIED</x:v>
      </x:c>
      <x:c r="W6048" s="87"/>
      <x:c r="X6048" s="87" t="n">
        <x:v>6</x:v>
      </x:c>
      <x:c r="Y6048" s="87"/>
      <x:c r="Z6048" s="87"/>
      <x:c r="AA6048" s="87"/>
      <x:c r="AB6048" s="87"/>
      <x:c r="AC6048" s="87" t="str">
        <x:v>VIS-EGKR-PHY-S26-TASK-956-P006</x:v>
      </x:c>
      <x:c r="AD6048" s="87" t="str">
        <x:v>VIS-EGKR-PHY-S26-ANSWERDOC-P001</x:v>
      </x:c>
      <x:c r="AE6048" s="87" t="str">
        <x:v>TASK; SECONDARY_ANSWER_SOURCE</x:v>
      </x:c>
      <x:c r="AF6048" s="87" t="str">
        <x:v>VIS-EGKR-PHY-S26-TASK-956-P006: 6; VIS-EGKR-PHY-S26-ANSWERDOC-P001: 1</x:v>
      </x:c>
      <x:c r="AG6048" s="87" t="str">
        <x:v>RESOLVED</x:v>
      </x:c>
      <x:c r="AH6048" s="87" t="str">
        <x:v>CROP_VERIFIED</x:v>
      </x:c>
      <x:c r="AI6048" s="30"/>
      <x:c r="AJ6048" s="87" t="str">
        <x:v>clean</x:v>
      </x:c>
      <x:c r="AK6048" s="87" t="str">
        <x:v>clean-v0.19</x:v>
      </x:c>
      <x:c r="AL6048" s="87" t="str">
        <x:v>statgrad_clean_continuation_v0_19(1).xlsx</x:v>
      </x:c>
      <x:c r="AM6048" s="87" t="str">
        <x:v>PHY_EGKR_S26_956</x:v>
      </x:c>
      <x:c r="AN6048" s="87" t="n">
        <x:v>16</x:v>
      </x:c>
    </x:row>
    <x:row r="6049">
      <x:c r="A6049" s="87" t="n">
        <x:v>6048</x:v>
      </x:c>
      <x:c r="B6049" s="87" t="str">
        <x:v>EGKR-S26-PHY-956-16</x:v>
      </x:c>
      <x:c r="C6049" s="87" t="str">
        <x:v>ЕГКР</x:v>
      </x:c>
      <x:c r="D6049" s="87"/>
      <x:c r="E6049" s="87" t="str">
        <x:v>Весна 2026</x:v>
      </x:c>
      <x:c r="F6049" s="87" t="str">
        <x:v>26.03.2026</x:v>
      </x:c>
      <x:c r="G6049" s="87" t="str">
        <x:v>Физика</x:v>
      </x:c>
      <x:c r="H6049" s="87" t="n">
        <x:v>11</x:v>
      </x:c>
      <x:c r="I6049" s="87"/>
      <x:c r="J6049" s="87" t="str">
        <x:v>956</x:v>
      </x:c>
      <x:c r="K6049" s="87" t="n">
        <x:v>16</x:v>
      </x:c>
      <x:c r="L6049" s="87" t="str">
        <x:v>Ядерная физика</x:v>
      </x:c>
      <x:c r="M6049" s="30" t="str">
        <x:v>На рисунке представлен фрагмент Периодической системы элементов Д.И. Менделеева. Под названием каждого элемента приведены массовые числа его основных стабильных изотопов. При этом нижний индекс около массового числа указывает (в процентах) распространённость соответствующего изотопа в природе. Определите число нейтронов в ядре наименее распространённого из упомянутых изотопов магния. Ответ: __________________________ .</x:v>
      </x:c>
      <x:c r="N6049" s="30" t="str">
        <x:v>13</x:v>
      </x:c>
      <x:c r="O6049" s="30" t="str">
        <x:v>Независимый расчёт по исходному условию.</x:v>
      </x:c>
      <x:c r="P6049" s="30"/>
      <x:c r="Q6049" s="30" t="str">
        <x:v>Физический закон, вычисление и полная визуальная страница.</x:v>
      </x:c>
      <x:c r="R6049" s="30" t="str">
        <x:v>13</x:v>
      </x:c>
      <x:c r="S6049" s="30"/>
      <x:c r="T6049" s="30"/>
      <x:c r="U6049" s="30" t="str">
        <x:v>Ответник совпадает с независимой проверкой.</x:v>
      </x:c>
      <x:c r="V6049" s="87" t="str">
        <x:v>VERIFIED</x:v>
      </x:c>
      <x:c r="W6049" s="87"/>
      <x:c r="X6049" s="87" t="n">
        <x:v>7</x:v>
      </x:c>
      <x:c r="Y6049" s="87"/>
      <x:c r="Z6049" s="87"/>
      <x:c r="AA6049" s="87"/>
      <x:c r="AB6049" s="87"/>
      <x:c r="AC6049" s="87" t="str">
        <x:v>VIS-EGKR-PHY-S26-TASK-956-P007</x:v>
      </x:c>
      <x:c r="AD6049" s="87" t="str">
        <x:v>VIS-EGKR-PHY-S26-ANSWERDOC-P001</x:v>
      </x:c>
      <x:c r="AE6049" s="87" t="str">
        <x:v>TASK; SECONDARY_ANSWER_SOURCE</x:v>
      </x:c>
      <x:c r="AF6049" s="87" t="str">
        <x:v>VIS-EGKR-PHY-S26-TASK-956-P007: 7; VIS-EGKR-PHY-S26-ANSWERDOC-P001: 1</x:v>
      </x:c>
      <x:c r="AG6049" s="87" t="str">
        <x:v>RESOLVED</x:v>
      </x:c>
      <x:c r="AH6049" s="87" t="str">
        <x:v>CROP_VERIFIED; TASK_CROP_QA_APPROVED:MANUAL_BBOX</x:v>
      </x:c>
      <x:c r="AI6049" s="30"/>
      <x:c r="AJ6049" s="87" t="str">
        <x:v>clean</x:v>
      </x:c>
      <x:c r="AK6049" s="87" t="str">
        <x:v>clean-v0.19</x:v>
      </x:c>
      <x:c r="AL6049" s="87" t="str">
        <x:v>statgrad_clean_continuation_v0_19(1).xlsx</x:v>
      </x:c>
      <x:c r="AM6049" s="87" t="str">
        <x:v>PHY_EGKR_S26_956</x:v>
      </x:c>
      <x:c r="AN6049" s="87" t="n">
        <x:v>17</x:v>
      </x:c>
    </x:row>
    <x:row r="6050">
      <x:c r="A6050" s="87" t="n">
        <x:v>6049</x:v>
      </x:c>
      <x:c r="B6050" s="87" t="str">
        <x:v>EGKR-S26-PHY-956-17</x:v>
      </x:c>
      <x:c r="C6050" s="87" t="str">
        <x:v>ЕГКР</x:v>
      </x:c>
      <x:c r="D6050" s="87"/>
      <x:c r="E6050" s="87" t="str">
        <x:v>Весна 2026</x:v>
      </x:c>
      <x:c r="F6050" s="87" t="str">
        <x:v>26.03.2026</x:v>
      </x:c>
      <x:c r="G6050" s="87" t="str">
        <x:v>Физика</x:v>
      </x:c>
      <x:c r="H6050" s="87" t="n">
        <x:v>11</x:v>
      </x:c>
      <x:c r="I6050" s="87"/>
      <x:c r="J6050" s="87" t="str">
        <x:v>956</x:v>
      </x:c>
      <x:c r="K6050" s="87" t="n">
        <x:v>17</x:v>
      </x:c>
      <x:c r="L6050" s="87" t="str">
        <x:v>Фотоэффект</x:v>
      </x:c>
      <x:c r="M6050" s="30" t="str">
        <x:v>При исследовании зависимости кинетической энергии фотоэлектронов от длины волны падающего света фотоэлемент освещался через различные светофильтры. В первой серии опытов использовался светофильтр, пропускающий только зелёный свет, а во второй — пропускающий только фиолетовый свет. В каждом опыте наблюдали явление фотоэффекта и измеряли запирающее напряжение. Как изменялись длина световой волны и максимальная кинетическая энергия фотоэлектронов при переходе от первой серии опытов ко второй? Для каждой величины определите соответствующий характер её изменения: 1) увеличилась 2) уменьшилась 3) не изменилась Запишите в таблицу выбранные цифры для каждой физической величины. Цифры в ответе могут повторяться. Длина световой волны, падающей Максимальная кинетическая на фотоэлемент энергия фотоэлектронов ФИЗИКА. 11 класс. Вариант 956</x:v>
      </x:c>
      <x:c r="N6050" s="30" t="str">
        <x:v>21</x:v>
      </x:c>
      <x:c r="O6050" s="30" t="str">
        <x:v>Независимый расчёт по исходному условию.</x:v>
      </x:c>
      <x:c r="P6050" s="30"/>
      <x:c r="Q6050" s="30" t="str">
        <x:v>Физический закон, вычисление и полная визуальная страница.</x:v>
      </x:c>
      <x:c r="R6050" s="30" t="str">
        <x:v>21</x:v>
      </x:c>
      <x:c r="S6050" s="30"/>
      <x:c r="T6050" s="30"/>
      <x:c r="U6050" s="30" t="str">
        <x:v>Ответник совпадает с независимой проверкой.</x:v>
      </x:c>
      <x:c r="V6050" s="87" t="str">
        <x:v>VERIFIED</x:v>
      </x:c>
      <x:c r="W6050" s="87"/>
      <x:c r="X6050" s="87" t="n">
        <x:v>7</x:v>
      </x:c>
      <x:c r="Y6050" s="87"/>
      <x:c r="Z6050" s="87"/>
      <x:c r="AA6050" s="87"/>
      <x:c r="AB6050" s="87"/>
      <x:c r="AC6050" s="87" t="str">
        <x:v>VIS-EGKR-PHY-S26-TASK-956-P007</x:v>
      </x:c>
      <x:c r="AD6050" s="87" t="str">
        <x:v>VIS-EGKR-PHY-S26-ANSWERDOC-P001</x:v>
      </x:c>
      <x:c r="AE6050" s="87" t="str">
        <x:v>TASK; SECONDARY_ANSWER_SOURCE</x:v>
      </x:c>
      <x:c r="AF6050" s="87" t="str">
        <x:v>VIS-EGKR-PHY-S26-TASK-956-P007: 7; VIS-EGKR-PHY-S26-ANSWERDOC-P001: 1</x:v>
      </x:c>
      <x:c r="AG6050" s="87" t="str">
        <x:v>RESOLVED</x:v>
      </x:c>
      <x:c r="AH6050" s="87" t="str">
        <x:v>CROP_VERIFIED; TASK_CROP_NO_CROP_NEEDED</x:v>
      </x:c>
      <x:c r="AI6050" s="30"/>
      <x:c r="AJ6050" s="87" t="str">
        <x:v>clean</x:v>
      </x:c>
      <x:c r="AK6050" s="87" t="str">
        <x:v>clean-v0.19</x:v>
      </x:c>
      <x:c r="AL6050" s="87" t="str">
        <x:v>statgrad_clean_continuation_v0_19(1).xlsx</x:v>
      </x:c>
      <x:c r="AM6050" s="87" t="str">
        <x:v>PHY_EGKR_S26_956</x:v>
      </x:c>
      <x:c r="AN6050" s="87" t="n">
        <x:v>18</x:v>
      </x:c>
    </x:row>
    <x:row r="6051">
      <x:c r="A6051" s="87" t="n">
        <x:v>6050</x:v>
      </x:c>
      <x:c r="B6051" s="87" t="str">
        <x:v>EGKR-S26-PHY-956-18</x:v>
      </x:c>
      <x:c r="C6051" s="87" t="str">
        <x:v>ЕГКР</x:v>
      </x:c>
      <x:c r="D6051" s="87"/>
      <x:c r="E6051" s="87" t="str">
        <x:v>Весна 2026</x:v>
      </x:c>
      <x:c r="F6051" s="87" t="str">
        <x:v>26.03.2026</x:v>
      </x:c>
      <x:c r="G6051" s="87" t="str">
        <x:v>Физика</x:v>
      </x:c>
      <x:c r="H6051" s="87" t="n">
        <x:v>11</x:v>
      </x:c>
      <x:c r="I6051" s="87"/>
      <x:c r="J6051" s="87" t="str">
        <x:v>956</x:v>
      </x:c>
      <x:c r="K6051" s="87" t="n">
        <x:v>18</x:v>
      </x:c>
      <x:c r="L6051" s="87" t="str">
        <x:v>Физические законы</x:v>
      </x:c>
      <x:c r="M6051" s="30" t="str">
        <x:v>Выберите все верные утверждения о физических явлениях, величинах и закономерностях. Запишите цифры, под которыми они указаны. 1) Тела действуют друг на друга с силами, направленными в противоположные стороны, равными по модулю и имеющими одинаковую природу. 2) Удельная теплота парообразования показывает, какое количество теплоты необходимо для нагревания жидкости массой 1 кг до температуры кипения. 3) В цепи постоянного тока при последовательном соединении резисторов с различными сопротивлениями напряжения на всех резисторах одинаковы. 4) Возникающий в замкнутом проводящем контуре индукционный ток своим магнитным полем всегда противодействует тому изменению магнитного потока, которым он вызван. 5) β-излучение представляет собой поток протонов. Ответ: __________________________.</x:v>
      </x:c>
      <x:c r="N6051" s="30" t="str">
        <x:v>14</x:v>
      </x:c>
      <x:c r="O6051" s="30" t="str">
        <x:v>Независимый расчёт по исходному условию.</x:v>
      </x:c>
      <x:c r="P6051" s="30"/>
      <x:c r="Q6051" s="30" t="str">
        <x:v>Физический закон, вычисление и полная визуальная страница.</x:v>
      </x:c>
      <x:c r="R6051" s="30" t="str">
        <x:v>14</x:v>
      </x:c>
      <x:c r="S6051" s="30"/>
      <x:c r="T6051" s="30"/>
      <x:c r="U6051" s="30" t="str">
        <x:v>Ответник совпадает с независимой проверкой.</x:v>
      </x:c>
      <x:c r="V6051" s="87" t="str">
        <x:v>VERIFIED</x:v>
      </x:c>
      <x:c r="W6051" s="87"/>
      <x:c r="X6051" s="87" t="n">
        <x:v>8</x:v>
      </x:c>
      <x:c r="Y6051" s="87"/>
      <x:c r="Z6051" s="87"/>
      <x:c r="AA6051" s="87"/>
      <x:c r="AB6051" s="87"/>
      <x:c r="AC6051" s="87" t="str">
        <x:v>VIS-EGKR-PHY-S26-TASK-956-P008</x:v>
      </x:c>
      <x:c r="AD6051" s="87" t="str">
        <x:v>VIS-EGKR-PHY-S26-ANSWERDOC-P001</x:v>
      </x:c>
      <x:c r="AE6051" s="87" t="str">
        <x:v>TASK; SECONDARY_ANSWER_SOURCE</x:v>
      </x:c>
      <x:c r="AF6051" s="87" t="str">
        <x:v>VIS-EGKR-PHY-S26-TASK-956-P008: 8; VIS-EGKR-PHY-S26-ANSWERDOC-P001: 1</x:v>
      </x:c>
      <x:c r="AG6051" s="87" t="str">
        <x:v>RESOLVED</x:v>
      </x:c>
      <x:c r="AH6051" s="87" t="str">
        <x:v>CROP_VERIFIED</x:v>
      </x:c>
      <x:c r="AI6051" s="30"/>
      <x:c r="AJ6051" s="87" t="str">
        <x:v>clean</x:v>
      </x:c>
      <x:c r="AK6051" s="87" t="str">
        <x:v>clean-v0.19</x:v>
      </x:c>
      <x:c r="AL6051" s="87" t="str">
        <x:v>statgrad_clean_continuation_v0_19(1).xlsx</x:v>
      </x:c>
      <x:c r="AM6051" s="87" t="str">
        <x:v>PHY_EGKR_S26_956</x:v>
      </x:c>
      <x:c r="AN6051" s="87" t="n">
        <x:v>19</x:v>
      </x:c>
    </x:row>
    <x:row r="6052">
      <x:c r="A6052" s="87" t="n">
        <x:v>6051</x:v>
      </x:c>
      <x:c r="B6052" s="87" t="str">
        <x:v>EGKR-S26-PHY-956-19</x:v>
      </x:c>
      <x:c r="C6052" s="87" t="str">
        <x:v>ЕГКР</x:v>
      </x:c>
      <x:c r="D6052" s="87"/>
      <x:c r="E6052" s="87" t="str">
        <x:v>Весна 2026</x:v>
      </x:c>
      <x:c r="F6052" s="87" t="str">
        <x:v>26.03.2026</x:v>
      </x:c>
      <x:c r="G6052" s="87" t="str">
        <x:v>Физика</x:v>
      </x:c>
      <x:c r="H6052" s="87" t="n">
        <x:v>11</x:v>
      </x:c>
      <x:c r="I6052" s="87"/>
      <x:c r="J6052" s="87" t="str">
        <x:v>956</x:v>
      </x:c>
      <x:c r="K6052" s="87" t="n">
        <x:v>19</x:v>
      </x:c>
      <x:c r="L6052" s="87" t="str">
        <x:v>Измерение и погрешность</x:v>
      </x:c>
      <x:c r="M6052" s="30" t="str">
        <x:v>Чтобы узнать диаметр стальной проволоки, ученик намотал её виток к витку на карандаш и измерил длину намотки из 30 витков. Длина оказалась равной 36 ± 1,5 мм. Определите диаметр проволоки с учётом абсолютной погрешности измерений. Ответ: ( __________ ± __________ ) г. В БЛАНК ОТВЕТОВ № 1 перенесите только числа, не разделяя их пробелом или другим знаком. ФИЗИКА. 11 класс. Вариант 956</x:v>
      </x:c>
      <x:c r="N6052" s="30" t="str">
        <x:v>1,20 ± 0,05</x:v>
      </x:c>
      <x:c r="O6052" s="30" t="str">
        <x:v>Независимый расчёт по исходному условию.</x:v>
      </x:c>
      <x:c r="P6052" s="30"/>
      <x:c r="Q6052" s="30" t="str">
        <x:v>Физический закон, вычисление и полная визуальная страница.</x:v>
      </x:c>
      <x:c r="R6052" s="30" t="str">
        <x:v>1,20 ± 0,05</x:v>
      </x:c>
      <x:c r="S6052" s="30"/>
      <x:c r="T6052" s="30"/>
      <x:c r="U6052" s="30" t="str">
        <x:v>Ответник совпадает с независимой проверкой.</x:v>
      </x:c>
      <x:c r="V6052" s="87" t="str">
        <x:v>VERIFIED</x:v>
      </x:c>
      <x:c r="W6052" s="87"/>
      <x:c r="X6052" s="87" t="n">
        <x:v>9</x:v>
      </x:c>
      <x:c r="Y6052" s="87"/>
      <x:c r="Z6052" s="87"/>
      <x:c r="AA6052" s="87"/>
      <x:c r="AB6052" s="87"/>
      <x:c r="AC6052" s="87" t="str">
        <x:v>VIS-EGKR-PHY-S26-TASK-956-P009</x:v>
      </x:c>
      <x:c r="AD6052" s="87" t="str">
        <x:v>VIS-EGKR-PHY-S26-ANSWERDOC-P001</x:v>
      </x:c>
      <x:c r="AE6052" s="87" t="str">
        <x:v>TASK; SECONDARY_ANSWER_SOURCE</x:v>
      </x:c>
      <x:c r="AF6052" s="87" t="str">
        <x:v>VIS-EGKR-PHY-S26-TASK-956-P009: 9; VIS-EGKR-PHY-S26-ANSWERDOC-P001: 1</x:v>
      </x:c>
      <x:c r="AG6052" s="87" t="str">
        <x:v>RESOLVED</x:v>
      </x:c>
      <x:c r="AH6052" s="87" t="str">
        <x:v>CROP_VERIFIED</x:v>
      </x:c>
      <x:c r="AI6052" s="30"/>
      <x:c r="AJ6052" s="87" t="str">
        <x:v>clean</x:v>
      </x:c>
      <x:c r="AK6052" s="87" t="str">
        <x:v>clean-v0.19</x:v>
      </x:c>
      <x:c r="AL6052" s="87" t="str">
        <x:v>statgrad_clean_continuation_v0_19(1).xlsx</x:v>
      </x:c>
      <x:c r="AM6052" s="87" t="str">
        <x:v>PHY_EGKR_S26_956</x:v>
      </x:c>
      <x:c r="AN6052" s="87" t="n">
        <x:v>20</x:v>
      </x:c>
    </x:row>
    <x:row r="6053">
      <x:c r="A6053" s="87" t="n">
        <x:v>6052</x:v>
      </x:c>
      <x:c r="B6053" s="87" t="str">
        <x:v>EGKR-S26-PHY-956-20</x:v>
      </x:c>
      <x:c r="C6053" s="87" t="str">
        <x:v>ЕГКР</x:v>
      </x:c>
      <x:c r="D6053" s="87"/>
      <x:c r="E6053" s="87" t="str">
        <x:v>Весна 2026</x:v>
      </x:c>
      <x:c r="F6053" s="87" t="str">
        <x:v>26.03.2026</x:v>
      </x:c>
      <x:c r="G6053" s="87" t="str">
        <x:v>Физика</x:v>
      </x:c>
      <x:c r="H6053" s="87" t="n">
        <x:v>11</x:v>
      </x:c>
      <x:c r="I6053" s="87"/>
      <x:c r="J6053" s="87" t="str">
        <x:v>956</x:v>
      </x:c>
      <x:c r="K6053" s="87" t="n">
        <x:v>20</x:v>
      </x:c>
      <x:c r="L6053" s="87" t="str">
        <x:v>Планирование эксперимента</x:v>
      </x:c>
      <x:c r="M6053" s="30" t="str">
        <x:v>Ученику необходимо на опыте обнаружить зависимость давления газа, находящегося в сосуде, от массы газа в сосуде. У него имеются пять различных сосудов с манометрами. Сосуды наполнены неоном разной массы при различных температурах (см. таблицу). Какие два сосуда необходимо взять ученику, чтобы провести исследование? № Объём сосуда, Температура газа Масса газа сосуда л в сосуде, K в сосуде, г 1 5 320 8 2 12 350 5 3 8 320 7 4 12 350 8 5 5 300 7 Запишите в ответе номера выбранных сосудов. Ответ: □□ Не забудьте перенести все ответы в БЛАНК ОТВЕТОВ № 1 в соответствии с инструкцией по выполнению работы. Проверьте, чтобы каждый ответ был записан в строке с номером соответствующего задания. ФИЗИКА. 11 класс. Вариант 956 Часть 2 Для записи ответов на задания 21–26 используйте БЛАНК ОТВЕТОВ № 2. Запишите сначала номер задания (21, 22 и т.д.), а затем решение соответствующей задачи. Ответы записывайте чётко и разборчиво.</x:v>
      </x:c>
      <x:c r="N6053" s="30" t="str">
        <x:v>24</x:v>
      </x:c>
      <x:c r="O6053" s="30" t="str">
        <x:v>Независимый расчёт по исходному условию.</x:v>
      </x:c>
      <x:c r="P6053" s="30"/>
      <x:c r="Q6053" s="30" t="str">
        <x:v>Физический закон, вычисление и полная визуальная страница.</x:v>
      </x:c>
      <x:c r="R6053" s="30" t="str">
        <x:v>24</x:v>
      </x:c>
      <x:c r="S6053" s="30"/>
      <x:c r="T6053" s="30"/>
      <x:c r="U6053" s="30" t="str">
        <x:v>Ответник совпадает с независимой проверкой.</x:v>
      </x:c>
      <x:c r="V6053" s="87" t="str">
        <x:v>VERIFIED</x:v>
      </x:c>
      <x:c r="W6053" s="87"/>
      <x:c r="X6053" s="87" t="n">
        <x:v>9</x:v>
      </x:c>
      <x:c r="Y6053" s="87"/>
      <x:c r="Z6053" s="87"/>
      <x:c r="AA6053" s="87"/>
      <x:c r="AB6053" s="87"/>
      <x:c r="AC6053" s="87" t="str">
        <x:v>VIS-EGKR-PHY-S26-TASK-956-P009</x:v>
      </x:c>
      <x:c r="AD6053" s="87" t="str">
        <x:v>VIS-EGKR-PHY-S26-ANSWERDOC-P001</x:v>
      </x:c>
      <x:c r="AE6053" s="87" t="str">
        <x:v>TASK; SECONDARY_ANSWER_SOURCE</x:v>
      </x:c>
      <x:c r="AF6053" s="87" t="str">
        <x:v>VIS-EGKR-PHY-S26-TASK-956-P009: 9; VIS-EGKR-PHY-S26-ANSWERDOC-P001: 1</x:v>
      </x:c>
      <x:c r="AG6053" s="87" t="str">
        <x:v>RESOLVED</x:v>
      </x:c>
      <x:c r="AH6053" s="87" t="str">
        <x:v>CROP_VERIFIED; TASK_CROP_QA_APPROVED:USE_TIGHT</x:v>
      </x:c>
      <x:c r="AI6053" s="30"/>
      <x:c r="AJ6053" s="87" t="str">
        <x:v>clean</x:v>
      </x:c>
      <x:c r="AK6053" s="87" t="str">
        <x:v>clean-v0.19</x:v>
      </x:c>
      <x:c r="AL6053" s="87" t="str">
        <x:v>statgrad_clean_continuation_v0_19(1).xlsx</x:v>
      </x:c>
      <x:c r="AM6053" s="87" t="str">
        <x:v>PHY_EGKR_S26_956</x:v>
      </x:c>
      <x:c r="AN6053" s="87" t="n">
        <x:v>21</x:v>
      </x:c>
    </x:row>
    <x:row r="6054">
      <x:c r="A6054" s="87" t="n">
        <x:v>6053</x:v>
      </x:c>
      <x:c r="B6054" s="87" t="str">
        <x:v>EGKR-S26-PHY-956-21</x:v>
      </x:c>
      <x:c r="C6054" s="87" t="str">
        <x:v>ЕГКР</x:v>
      </x:c>
      <x:c r="D6054" s="87"/>
      <x:c r="E6054" s="87" t="str">
        <x:v>Весна 2026</x:v>
      </x:c>
      <x:c r="F6054" s="87" t="str">
        <x:v>26.03.2026</x:v>
      </x:c>
      <x:c r="G6054" s="87" t="str">
        <x:v>Физика</x:v>
      </x:c>
      <x:c r="H6054" s="87" t="n">
        <x:v>11</x:v>
      </x:c>
      <x:c r="I6054" s="87"/>
      <x:c r="J6054" s="87" t="str">
        <x:v>956</x:v>
      </x:c>
      <x:c r="K6054" s="87" t="n">
        <x:v>21</x:v>
      </x:c>
      <x:c r="L6054" s="87" t="str">
        <x:v>Развёрнутый ответ</x:v>
      </x:c>
      <x:c r="M6054" s="30" t="str">
        <x:v>Один моль одноатомного идеального газа участвует в процессе 1-2-3-4, график которого изображён на рисунке в координатах p -T, где p — давление газа, T — абсолютная температура газа. Опираясь на законы молекулярной физики и термодинамики, объясните, получает ли газ или отдаёт положительное количество теплоты в процессах 1-2-3-4. Полное правильное решение каждой из задач 22–26 должно содержать законы и формулы, применение которых необходимо и достаточно для решения задачи, а также математические преобразования, расчёты с численным ответом и при необходимости рисунок, поясняющий решение.</x:v>
      </x:c>
      <x:c r="N6054" s="30" t="str">
        <x:v>1–2: газ отдаёт тепло; 2–3 и 3–4: получает тепло.</x:v>
      </x:c>
      <x:c r="O6054" s="30" t="str">
        <x:v>Полное решение сохранено в отдельном файле второй части.</x:v>
      </x:c>
      <x:c r="P6054" s="30"/>
      <x:c r="Q6054" s="30" t="str">
        <x:v>Сверено с исходным условием и подробным разбором.</x:v>
      </x:c>
      <x:c r="R6054" s="30" t="str">
        <x:v>MODEL_NOT_IN_SHORT_KEY</x:v>
      </x:c>
      <x:c r="S6054" s="30"/>
      <x:c r="T6054" s="30"/>
      <x:c r="U6054" s="30" t="str">
        <x:v>Расхождений не выявлено.</x:v>
      </x:c>
      <x:c r="V6054" s="87" t="str">
        <x:v>VERIFIED</x:v>
      </x:c>
      <x:c r="W6054" s="87"/>
      <x:c r="X6054" s="87" t="n">
        <x:v>10</x:v>
      </x:c>
      <x:c r="Y6054" s="87"/>
      <x:c r="Z6054" s="87"/>
      <x:c r="AA6054" s="87"/>
      <x:c r="AB6054" s="87"/>
      <x:c r="AC6054" s="87" t="str">
        <x:v>VIS-EGKR-PHY-S26-TASK-956-P010</x:v>
      </x:c>
      <x:c r="AD6054" s="87" t="str">
        <x:v>VIS-EGKR-PHY-S26-SOL-956-P002; VIS-EGKR-PHY-S26-SOL-956-P003</x:v>
      </x:c>
      <x:c r="AE6054" s="87" t="str">
        <x:v>TASK; SOLUTION</x:v>
      </x:c>
      <x:c r="AF6054" s="87" t="str">
        <x:v>VIS-EGKR-PHY-S26-TASK-956-P010: 10; VIS-EGKR-PHY-S26-SOL-956-P002: 2; VIS-EGKR-PHY-S26-SOL-956-P003: 3</x:v>
      </x:c>
      <x:c r="AG6054" s="87" t="str">
        <x:v>RESOLVED</x:v>
      </x:c>
      <x:c r="AH6054" s="87" t="str">
        <x:v>CROP_VERIFIED; TASK_CROP_QA_APPROVED:USE_CONTEXT</x:v>
      </x:c>
      <x:c r="AI6054" s="30"/>
      <x:c r="AJ6054" s="87" t="str">
        <x:v>clean</x:v>
      </x:c>
      <x:c r="AK6054" s="87" t="str">
        <x:v>clean-v0.19</x:v>
      </x:c>
      <x:c r="AL6054" s="87" t="str">
        <x:v>statgrad_clean_continuation_v0_19(1).xlsx</x:v>
      </x:c>
      <x:c r="AM6054" s="87" t="str">
        <x:v>PHY_EGKR_S26_956</x:v>
      </x:c>
      <x:c r="AN6054" s="87" t="n">
        <x:v>22</x:v>
      </x:c>
    </x:row>
    <x:row r="6055">
      <x:c r="A6055" s="87" t="n">
        <x:v>6054</x:v>
      </x:c>
      <x:c r="B6055" s="87" t="str">
        <x:v>EGKR-S26-PHY-956-22</x:v>
      </x:c>
      <x:c r="C6055" s="87" t="str">
        <x:v>ЕГКР</x:v>
      </x:c>
      <x:c r="D6055" s="87"/>
      <x:c r="E6055" s="87" t="str">
        <x:v>Весна 2026</x:v>
      </x:c>
      <x:c r="F6055" s="87" t="str">
        <x:v>26.03.2026</x:v>
      </x:c>
      <x:c r="G6055" s="87" t="str">
        <x:v>Физика</x:v>
      </x:c>
      <x:c r="H6055" s="87" t="n">
        <x:v>11</x:v>
      </x:c>
      <x:c r="I6055" s="87"/>
      <x:c r="J6055" s="87" t="str">
        <x:v>956</x:v>
      </x:c>
      <x:c r="K6055" s="87" t="n">
        <x:v>22</x:v>
      </x:c>
      <x:c r="L6055" s="87" t="str">
        <x:v>Развёрнутый ответ</x:v>
      </x:c>
      <x:c r="M6055" s="30" t="str">
        <x:v>Груз массой 400 г подвешен на пружине к потолку лифта. Лифт равноускоренно движется вверх с ускорением 2,5 м/с², набирая скорость. Какова жесткость пружины, если удлинение пружины постоянно и равно 2,5 см?</x:v>
      </x:c>
      <x:c r="N6055" s="30" t="str">
        <x:v>kx=m(g+a); k=200 Н/м.</x:v>
      </x:c>
      <x:c r="O6055" s="30" t="str">
        <x:v>Полное решение сохранено в отдельном файле второй части.</x:v>
      </x:c>
      <x:c r="P6055" s="30"/>
      <x:c r="Q6055" s="30" t="str">
        <x:v>Сверено с исходным условием и подробным разбором.</x:v>
      </x:c>
      <x:c r="R6055" s="30" t="str">
        <x:v>MODEL_NOT_IN_SHORT_KEY</x:v>
      </x:c>
      <x:c r="S6055" s="30"/>
      <x:c r="T6055" s="30"/>
      <x:c r="U6055" s="30" t="str">
        <x:v>Расхождений не выявлено.</x:v>
      </x:c>
      <x:c r="V6055" s="87" t="str">
        <x:v>VERIFIED</x:v>
      </x:c>
      <x:c r="W6055" s="87"/>
      <x:c r="X6055" s="87" t="n">
        <x:v>10</x:v>
      </x:c>
      <x:c r="Y6055" s="87"/>
      <x:c r="Z6055" s="87"/>
      <x:c r="AA6055" s="87"/>
      <x:c r="AB6055" s="87"/>
      <x:c r="AC6055" s="87" t="str">
        <x:v>VIS-EGKR-PHY-S26-TASK-956-P010</x:v>
      </x:c>
      <x:c r="AD6055" s="87" t="str">
        <x:v>VIS-EGKR-PHY-S26-SOL-956-P004</x:v>
      </x:c>
      <x:c r="AE6055" s="87" t="str">
        <x:v>TASK; SOLUTION</x:v>
      </x:c>
      <x:c r="AF6055" s="87" t="str">
        <x:v>VIS-EGKR-PHY-S26-TASK-956-P010: 10; VIS-EGKR-PHY-S26-SOL-956-P004: 4</x:v>
      </x:c>
      <x:c r="AG6055" s="87" t="str">
        <x:v>RESOLVED</x:v>
      </x:c>
      <x:c r="AH6055" s="87" t="str">
        <x:v>CROP_VERIFIED</x:v>
      </x:c>
      <x:c r="AI6055" s="30"/>
      <x:c r="AJ6055" s="87" t="str">
        <x:v>clean</x:v>
      </x:c>
      <x:c r="AK6055" s="87" t="str">
        <x:v>clean-v0.19</x:v>
      </x:c>
      <x:c r="AL6055" s="87" t="str">
        <x:v>statgrad_clean_continuation_v0_19(1).xlsx</x:v>
      </x:c>
      <x:c r="AM6055" s="87" t="str">
        <x:v>PHY_EGKR_S26_956</x:v>
      </x:c>
      <x:c r="AN6055" s="87" t="n">
        <x:v>23</x:v>
      </x:c>
    </x:row>
    <x:row r="6056">
      <x:c r="A6056" s="87" t="n">
        <x:v>6055</x:v>
      </x:c>
      <x:c r="B6056" s="87" t="str">
        <x:v>EGKR-S26-PHY-956-23</x:v>
      </x:c>
      <x:c r="C6056" s="87" t="str">
        <x:v>ЕГКР</x:v>
      </x:c>
      <x:c r="D6056" s="87"/>
      <x:c r="E6056" s="87" t="str">
        <x:v>Весна 2026</x:v>
      </x:c>
      <x:c r="F6056" s="87" t="str">
        <x:v>26.03.2026</x:v>
      </x:c>
      <x:c r="G6056" s="87" t="str">
        <x:v>Физика</x:v>
      </x:c>
      <x:c r="H6056" s="87" t="n">
        <x:v>11</x:v>
      </x:c>
      <x:c r="I6056" s="87"/>
      <x:c r="J6056" s="87" t="str">
        <x:v>956</x:v>
      </x:c>
      <x:c r="K6056" s="87" t="n">
        <x:v>23</x:v>
      </x:c>
      <x:c r="L6056" s="87" t="str">
        <x:v>Развёрнутый ответ</x:v>
      </x:c>
      <x:c r="M6056" s="30" t="str">
        <x:v>В однородное электрическое поле с начальной скоростью 𝑣0 влетает электрон и движется вдоль линий напряжённости поля. Расстояние, которое пролетит электрон до остановки, s = 448 см, а модуль напряжённости электрического поля E = 600 В/м. Найдите начальную скорость тела. ФИЗИКА. 11 класс. Вариант 956</x:v>
      </x:c>
      <x:c r="N6056" s="30" t="str">
        <x:v>eEs=mₑv₀²/2; v₀≈3,07·10⁷ м/с.</x:v>
      </x:c>
      <x:c r="O6056" s="30" t="str">
        <x:v>Полное решение сохранено в отдельном файле второй части.</x:v>
      </x:c>
      <x:c r="P6056" s="30"/>
      <x:c r="Q6056" s="30" t="str">
        <x:v>Сверено с исходным условием и подробным разбором.</x:v>
      </x:c>
      <x:c r="R6056" s="30" t="str">
        <x:v>MODEL_NOT_IN_SHORT_KEY</x:v>
      </x:c>
      <x:c r="S6056" s="30"/>
      <x:c r="T6056" s="30"/>
      <x:c r="U6056" s="30" t="str">
        <x:v>Расхождений не выявлено.</x:v>
      </x:c>
      <x:c r="V6056" s="87" t="str">
        <x:v>VERIFIED</x:v>
      </x:c>
      <x:c r="W6056" s="87"/>
      <x:c r="X6056" s="87" t="n">
        <x:v>10</x:v>
      </x:c>
      <x:c r="Y6056" s="87"/>
      <x:c r="Z6056" s="87"/>
      <x:c r="AA6056" s="87"/>
      <x:c r="AB6056" s="87"/>
      <x:c r="AC6056" s="87" t="str">
        <x:v>VIS-EGKR-PHY-S26-TASK-956-P010</x:v>
      </x:c>
      <x:c r="AD6056" s="87" t="str">
        <x:v>VIS-EGKR-PHY-S26-SOL-956-P005</x:v>
      </x:c>
      <x:c r="AE6056" s="87" t="str">
        <x:v>TASK; SOLUTION</x:v>
      </x:c>
      <x:c r="AF6056" s="87" t="str">
        <x:v>VIS-EGKR-PHY-S26-TASK-956-P010: 10; VIS-EGKR-PHY-S26-SOL-956-P005: 5</x:v>
      </x:c>
      <x:c r="AG6056" s="87" t="str">
        <x:v>RESOLVED</x:v>
      </x:c>
      <x:c r="AH6056" s="87" t="str">
        <x:v>CROP_VERIFIED</x:v>
      </x:c>
      <x:c r="AI6056" s="30"/>
      <x:c r="AJ6056" s="87" t="str">
        <x:v>clean</x:v>
      </x:c>
      <x:c r="AK6056" s="87" t="str">
        <x:v>clean-v0.19</x:v>
      </x:c>
      <x:c r="AL6056" s="87" t="str">
        <x:v>statgrad_clean_continuation_v0_19(1).xlsx</x:v>
      </x:c>
      <x:c r="AM6056" s="87" t="str">
        <x:v>PHY_EGKR_S26_956</x:v>
      </x:c>
      <x:c r="AN6056" s="87" t="n">
        <x:v>24</x:v>
      </x:c>
    </x:row>
    <x:row r="6057">
      <x:c r="A6057" s="87" t="n">
        <x:v>6056</x:v>
      </x:c>
      <x:c r="B6057" s="87" t="str">
        <x:v>EGKR-S26-PHY-956-24</x:v>
      </x:c>
      <x:c r="C6057" s="87" t="str">
        <x:v>ЕГКР</x:v>
      </x:c>
      <x:c r="D6057" s="87"/>
      <x:c r="E6057" s="87" t="str">
        <x:v>Весна 2026</x:v>
      </x:c>
      <x:c r="F6057" s="87" t="str">
        <x:v>26.03.2026</x:v>
      </x:c>
      <x:c r="G6057" s="87" t="str">
        <x:v>Физика</x:v>
      </x:c>
      <x:c r="H6057" s="87" t="n">
        <x:v>11</x:v>
      </x:c>
      <x:c r="I6057" s="87"/>
      <x:c r="J6057" s="87" t="str">
        <x:v>956</x:v>
      </x:c>
      <x:c r="K6057" s="87" t="n">
        <x:v>24</x:v>
      </x:c>
      <x:c r="L6057" s="87" t="str">
        <x:v>Развёрнутый ответ</x:v>
      </x:c>
      <x:c r="M6057" s="30" t="str">
        <x:v>В запаянной с одного конца узкой стеклянной трубке постоянного сечения, расположенной горизонтально, находится столбик воздуха длиной 𝑙1 = 30,7 см, запертый столбиком ртути длиной 𝑙 (см. рисунок). Длина воздушного столбика, если трубку расположить вертикально отверстием вниз составит 𝑙2 = 43,2 см. Найдите длину столбика ртути. Атмосферное давление равно 747 мм рт. ст. Температуру воздуха в трубке считать постоянной.</x:v>
      </x:c>
      <x:c r="N6057" s="30" t="str">
        <x:v>Закон Бойля–Мариотта: длина ртутного столбика≈21,6 см.</x:v>
      </x:c>
      <x:c r="O6057" s="30" t="str">
        <x:v>Полное решение сохранено в отдельном файле второй части.</x:v>
      </x:c>
      <x:c r="P6057" s="30"/>
      <x:c r="Q6057" s="30" t="str">
        <x:v>Сверено с исходным условием и подробным разбором.</x:v>
      </x:c>
      <x:c r="R6057" s="30" t="str">
        <x:v>MODEL_NOT_IN_SHORT_KEY</x:v>
      </x:c>
      <x:c r="S6057" s="30"/>
      <x:c r="T6057" s="30"/>
      <x:c r="U6057" s="30" t="str">
        <x:v>Расхождений не выявлено.</x:v>
      </x:c>
      <x:c r="V6057" s="87" t="str">
        <x:v>VERIFIED</x:v>
      </x:c>
      <x:c r="W6057" s="87"/>
      <x:c r="X6057" s="87" t="n">
        <x:v>11</x:v>
      </x:c>
      <x:c r="Y6057" s="87"/>
      <x:c r="Z6057" s="87"/>
      <x:c r="AA6057" s="87"/>
      <x:c r="AB6057" s="87"/>
      <x:c r="AC6057" s="87" t="str">
        <x:v>VIS-EGKR-PHY-S26-TASK-956-P011</x:v>
      </x:c>
      <x:c r="AD6057" s="87" t="str">
        <x:v>VIS-EGKR-PHY-S26-SOL-956-P006</x:v>
      </x:c>
      <x:c r="AE6057" s="87" t="str">
        <x:v>TASK; SOLUTION</x:v>
      </x:c>
      <x:c r="AF6057" s="87" t="str">
        <x:v>VIS-EGKR-PHY-S26-TASK-956-P011: 11; VIS-EGKR-PHY-S26-SOL-956-P006: 6</x:v>
      </x:c>
      <x:c r="AG6057" s="87" t="str">
        <x:v>RESOLVED</x:v>
      </x:c>
      <x:c r="AH6057" s="87" t="str">
        <x:v>CROP_VERIFIED; TASK_CROP_QA_APPROVED:MANUAL_BBOX</x:v>
      </x:c>
      <x:c r="AI6057" s="30"/>
      <x:c r="AJ6057" s="87" t="str">
        <x:v>clean</x:v>
      </x:c>
      <x:c r="AK6057" s="87" t="str">
        <x:v>clean-v0.19</x:v>
      </x:c>
      <x:c r="AL6057" s="87" t="str">
        <x:v>statgrad_clean_continuation_v0_19(1).xlsx</x:v>
      </x:c>
      <x:c r="AM6057" s="87" t="str">
        <x:v>PHY_EGKR_S26_956</x:v>
      </x:c>
      <x:c r="AN6057" s="87" t="n">
        <x:v>25</x:v>
      </x:c>
    </x:row>
    <x:row r="6058">
      <x:c r="A6058" s="87" t="n">
        <x:v>6057</x:v>
      </x:c>
      <x:c r="B6058" s="87" t="str">
        <x:v>EGKR-S26-PHY-956-25</x:v>
      </x:c>
      <x:c r="C6058" s="87" t="str">
        <x:v>ЕГКР</x:v>
      </x:c>
      <x:c r="D6058" s="87"/>
      <x:c r="E6058" s="87" t="str">
        <x:v>Весна 2026</x:v>
      </x:c>
      <x:c r="F6058" s="87" t="str">
        <x:v>26.03.2026</x:v>
      </x:c>
      <x:c r="G6058" s="87" t="str">
        <x:v>Физика</x:v>
      </x:c>
      <x:c r="H6058" s="87" t="n">
        <x:v>11</x:v>
      </x:c>
      <x:c r="I6058" s="87"/>
      <x:c r="J6058" s="87" t="str">
        <x:v>956</x:v>
      </x:c>
      <x:c r="K6058" s="87" t="n">
        <x:v>25</x:v>
      </x:c>
      <x:c r="L6058" s="87" t="str">
        <x:v>Развёрнутый ответ</x:v>
      </x:c>
      <x:c r="M6058" s="30" t="str">
        <x:v>Верхняя грань АВ прозрачного клина посеребрена и представляет собой плоское зеркало. Угол при вершине клина 𝛼 = 30°. Луч света падает из воздуха на клин перпендикулярно грани АС, преломляется и выходит в воздух через другую грань под углом к ее нормали. Показатель преломления материала клина 𝑛 = 1,4. Найдите угол. Сделайте рисунок, поясняющий ход луча в клине.</x:v>
      </x:c>
      <x:c r="N6058" s="30" t="str">
        <x:v>Закон преломления: γ≈44,4°.</x:v>
      </x:c>
      <x:c r="O6058" s="30" t="str">
        <x:v>Полное решение сохранено в отдельном файле второй части.</x:v>
      </x:c>
      <x:c r="P6058" s="30"/>
      <x:c r="Q6058" s="30" t="str">
        <x:v>Сверено с исходным условием и подробным разбором.</x:v>
      </x:c>
      <x:c r="R6058" s="30" t="str">
        <x:v>MODEL_NOT_IN_SHORT_KEY</x:v>
      </x:c>
      <x:c r="S6058" s="30"/>
      <x:c r="T6058" s="30"/>
      <x:c r="U6058" s="30" t="str">
        <x:v>Расхождений не выявлено.</x:v>
      </x:c>
      <x:c r="V6058" s="87" t="str">
        <x:v>VERIFIED</x:v>
      </x:c>
      <x:c r="W6058" s="87"/>
      <x:c r="X6058" s="87" t="n">
        <x:v>11</x:v>
      </x:c>
      <x:c r="Y6058" s="87"/>
      <x:c r="Z6058" s="87"/>
      <x:c r="AA6058" s="87"/>
      <x:c r="AB6058" s="87"/>
      <x:c r="AC6058" s="87" t="str">
        <x:v>VIS-EGKR-PHY-S26-TASK-956-P011</x:v>
      </x:c>
      <x:c r="AD6058" s="87" t="str">
        <x:v>VIS-EGKR-PHY-S26-SOL-956-P007</x:v>
      </x:c>
      <x:c r="AE6058" s="87" t="str">
        <x:v>TASK; SOLUTION</x:v>
      </x:c>
      <x:c r="AF6058" s="87" t="str">
        <x:v>VIS-EGKR-PHY-S26-TASK-956-P011: 11; VIS-EGKR-PHY-S26-SOL-956-P007: 7</x:v>
      </x:c>
      <x:c r="AG6058" s="87" t="str">
        <x:v>RESOLVED</x:v>
      </x:c>
      <x:c r="AH6058" s="87" t="str">
        <x:v>CROP_VERIFIED</x:v>
      </x:c>
      <x:c r="AI6058" s="30"/>
      <x:c r="AJ6058" s="87" t="str">
        <x:v>clean</x:v>
      </x:c>
      <x:c r="AK6058" s="87" t="str">
        <x:v>clean-v0.19</x:v>
      </x:c>
      <x:c r="AL6058" s="87" t="str">
        <x:v>statgrad_clean_continuation_v0_19(1).xlsx</x:v>
      </x:c>
      <x:c r="AM6058" s="87" t="str">
        <x:v>PHY_EGKR_S26_956</x:v>
      </x:c>
      <x:c r="AN6058" s="87" t="n">
        <x:v>26</x:v>
      </x:c>
    </x:row>
    <x:row r="6059">
      <x:c r="A6059" s="87" t="n">
        <x:v>6058</x:v>
      </x:c>
      <x:c r="B6059" s="87" t="str">
        <x:v>EGKR-S26-PHY-956-26</x:v>
      </x:c>
      <x:c r="C6059" s="87" t="str">
        <x:v>ЕГКР</x:v>
      </x:c>
      <x:c r="D6059" s="87"/>
      <x:c r="E6059" s="87" t="str">
        <x:v>Весна 2026</x:v>
      </x:c>
      <x:c r="F6059" s="87" t="str">
        <x:v>26.03.2026</x:v>
      </x:c>
      <x:c r="G6059" s="87" t="str">
        <x:v>Физика</x:v>
      </x:c>
      <x:c r="H6059" s="87" t="n">
        <x:v>11</x:v>
      </x:c>
      <x:c r="I6059" s="87"/>
      <x:c r="J6059" s="87" t="str">
        <x:v>956</x:v>
      </x:c>
      <x:c r="K6059" s="87" t="n">
        <x:v>26</x:v>
      </x:c>
      <x:c r="L6059" s="87" t="str">
        <x:v>Развёрнутый ответ</x:v>
      </x:c>
      <x:c r="M6059" s="30" t="str">
        <x:v>В гладкий высокий стакан поставили однородную палочку длиной 10 см и массой 2,7 г, после чего в стакан налили до высоты 4 см жидкость, плотность которой составляет 0,75 плотности материала палочки. Чему равна радиус стакана, если сила, с которой верхний конец палочки давит на стенку стакана, равна по модулю 0,012 Н. Сделайте рисунок с указанием сил, действующих на палочку. Обоснуйте применимость законов, используемых для решения задачи. Проверьте, чтобы каждый ответ был записан рядом с номером соответствующего задания.</x:v>
      </x:c>
      <x:c r="N6059" s="30" t="str">
        <x:v>Равновесие моментов: R=4 см.</x:v>
      </x:c>
      <x:c r="O6059" s="30" t="str">
        <x:v>Полное решение сохранено в отдельном файле второй части.</x:v>
      </x:c>
      <x:c r="P6059" s="30"/>
      <x:c r="Q6059" s="30" t="str">
        <x:v>Сверено с исходным условием и подробным разбором.</x:v>
      </x:c>
      <x:c r="R6059" s="30" t="str">
        <x:v>MODEL_NOT_IN_SHORT_KEY</x:v>
      </x:c>
      <x:c r="S6059" s="30"/>
      <x:c r="T6059" s="30"/>
      <x:c r="U6059" s="30" t="str">
        <x:v>Расхождений не выявлено.</x:v>
      </x:c>
      <x:c r="V6059" s="87" t="str">
        <x:v>VERIFIED</x:v>
      </x:c>
      <x:c r="W6059" s="87"/>
      <x:c r="X6059" s="87" t="n">
        <x:v>11</x:v>
      </x:c>
      <x:c r="Y6059" s="87"/>
      <x:c r="Z6059" s="87"/>
      <x:c r="AA6059" s="87"/>
      <x:c r="AB6059" s="87"/>
      <x:c r="AC6059" s="87" t="str">
        <x:v>VIS-EGKR-PHY-S26-TASK-956-P011</x:v>
      </x:c>
      <x:c r="AD6059" s="87" t="str">
        <x:v>VIS-EGKR-PHY-S26-SOL-956-P008; VIS-EGKR-PHY-S26-SOL-956-P009</x:v>
      </x:c>
      <x:c r="AE6059" s="87" t="str">
        <x:v>TASK; SOLUTION</x:v>
      </x:c>
      <x:c r="AF6059" s="87" t="str">
        <x:v>VIS-EGKR-PHY-S26-TASK-956-P011: 11; VIS-EGKR-PHY-S26-SOL-956-P008: 8; VIS-EGKR-PHY-S26-SOL-956-P009: 9</x:v>
      </x:c>
      <x:c r="AG6059" s="87" t="str">
        <x:v>RESOLVED</x:v>
      </x:c>
      <x:c r="AH6059" s="87" t="str">
        <x:v>CROP_VERIFIED</x:v>
      </x:c>
      <x:c r="AI6059" s="30"/>
      <x:c r="AJ6059" s="87" t="str">
        <x:v>clean</x:v>
      </x:c>
      <x:c r="AK6059" s="87" t="str">
        <x:v>clean-v0.19</x:v>
      </x:c>
      <x:c r="AL6059" s="87" t="str">
        <x:v>statgrad_clean_continuation_v0_19(1).xlsx</x:v>
      </x:c>
      <x:c r="AM6059" s="87" t="str">
        <x:v>PHY_EGKR_S26_956</x:v>
      </x:c>
      <x:c r="AN6059" s="87" t="n">
        <x:v>27</x:v>
      </x:c>
    </x:row>
    <x:row r="6060">
      <x:c r="A6060" s="87" t="n">
        <x:v>6059</x:v>
      </x:c>
      <x:c r="B6060" s="87" t="str">
        <x:v>EGKR-S26-SOC-955-01</x:v>
      </x:c>
      <x:c r="C6060" s="87" t="str">
        <x:v>ЕГКР</x:v>
      </x:c>
      <x:c r="D6060" s="87"/>
      <x:c r="E6060" s="87" t="str">
        <x:v>Весна 2026</x:v>
      </x:c>
      <x:c r="F6060" s="87" t="str">
        <x:v>26.03.2026</x:v>
      </x:c>
      <x:c r="G6060" s="87" t="str">
        <x:v>Обществознание</x:v>
      </x:c>
      <x:c r="H6060" s="87" t="n">
        <x:v>11</x:v>
      </x:c>
      <x:c r="I6060" s="87"/>
      <x:c r="J6060" s="87" t="str">
        <x:v>955</x:v>
      </x:c>
      <x:c r="K6060" s="87" t="n">
        <x:v>1</x:v>
      </x:c>
      <x:c r="L6060" s="87" t="str">
        <x:v>Понятие / исключение из ряда</x:v>
      </x:c>
      <x:c r="M6060" s="30" t="str">
        <x:v>Задание 1 варианта 955. Полная формулировка сохранена на странице по VIS_ID.</x:v>
      </x:c>
      <x:c r="N6060" s="30" t="str">
        <x:v>13</x:v>
      </x:c>
      <x:c r="O6060" s="30" t="str">
        <x:v>Ответ проверен по исходной формулировке и обществоведческим понятиям.</x:v>
      </x:c>
      <x:c r="P6060" s="30"/>
      <x:c r="Q6060" s="30" t="str">
        <x:v>Независимая содержательная проверка; вторичный ответник хранится отдельно.</x:v>
      </x:c>
      <x:c r="R6060" s="30" t="str">
        <x:v>13</x:v>
      </x:c>
      <x:c r="S6060" s="30"/>
      <x:c r="T6060" s="30"/>
      <x:c r="U6060" s="30" t="str">
        <x:v>Ответник совпадает с независимой проверкой.</x:v>
      </x:c>
      <x:c r="V6060" s="87" t="str">
        <x:v>VERIFIED</x:v>
      </x:c>
      <x:c r="W6060" s="87"/>
      <x:c r="X6060" s="87" t="n">
        <x:v>1</x:v>
      </x:c>
      <x:c r="Y6060" s="87"/>
      <x:c r="Z6060" s="87"/>
      <x:c r="AA6060" s="87"/>
      <x:c r="AB6060" s="87"/>
      <x:c r="AC6060" s="87" t="str">
        <x:v>VIS-EGKR-SOC-S26-TASK-955-P001</x:v>
      </x:c>
      <x:c r="AD6060" s="87" t="str">
        <x:v>VIS-EGKR-SOC-S26-ANSWERDOC-P001; VIS-EGKR-SOC-S26-ANSWERDOC-P002; VIS-EGKR-SOC-S26-ANSWERDOC-P003; VIS-EGKR-SOC-S26-ANSWERDOC-P004</x:v>
      </x:c>
      <x:c r="AE6060" s="87" t="str">
        <x:v>TASK; SECONDARY_ANSWER_SOURCE</x:v>
      </x:c>
      <x:c r="AF6060" s="87" t="str">
        <x:v>VIS-EGKR-SOC-S26-TASK-955-P001: 1; VIS-EGKR-SOC-S26-ANSWERDOC-P001: 1; VIS-EGKR-SOC-S26-ANSWERDOC-P002: 2; VIS-EGKR-SOC-S26-ANSWERDOC-P003: 3; VIS-EGKR-SOC-S26-ANSWERDOC-P004: 4</x:v>
      </x:c>
      <x:c r="AG6060" s="87" t="str">
        <x:v>RESOLVED</x:v>
      </x:c>
      <x:c r="AH6060" s="87" t="str">
        <x:v>CROP_VERIFIED</x:v>
      </x:c>
      <x:c r="AI6060" s="30"/>
      <x:c r="AJ6060" s="87" t="str">
        <x:v>clean</x:v>
      </x:c>
      <x:c r="AK6060" s="87" t="str">
        <x:v>clean-v0.20</x:v>
      </x:c>
      <x:c r="AL6060" s="87" t="str">
        <x:v>statgrad_clean_continuation_v0_20(1).xlsx</x:v>
      </x:c>
      <x:c r="AM6060" s="87" t="str">
        <x:v>SOC_EGKR_S26_955</x:v>
      </x:c>
      <x:c r="AN6060" s="87" t="n">
        <x:v>2</x:v>
      </x:c>
    </x:row>
    <x:row r="6061">
      <x:c r="A6061" s="87" t="n">
        <x:v>6060</x:v>
      </x:c>
      <x:c r="B6061" s="87" t="str">
        <x:v>EGKR-S26-SOC-955-02</x:v>
      </x:c>
      <x:c r="C6061" s="87" t="str">
        <x:v>ЕГКР</x:v>
      </x:c>
      <x:c r="D6061" s="87"/>
      <x:c r="E6061" s="87" t="str">
        <x:v>Весна 2026</x:v>
      </x:c>
      <x:c r="F6061" s="87" t="str">
        <x:v>26.03.2026</x:v>
      </x:c>
      <x:c r="G6061" s="87" t="str">
        <x:v>Обществознание</x:v>
      </x:c>
      <x:c r="H6061" s="87" t="n">
        <x:v>11</x:v>
      </x:c>
      <x:c r="I6061" s="87"/>
      <x:c r="J6061" s="87" t="str">
        <x:v>955</x:v>
      </x:c>
      <x:c r="K6061" s="87" t="n">
        <x:v>2</x:v>
      </x:c>
      <x:c r="L6061" s="87" t="str">
        <x:v>Теоретические суждения</x:v>
      </x:c>
      <x:c r="M6061" s="30" t="str">
        <x:v>Задание 2 варианта 955. Полная формулировка сохранена на странице по VIS_ID.</x:v>
      </x:c>
      <x:c r="N6061" s="30" t="str">
        <x:v>25</x:v>
      </x:c>
      <x:c r="O6061" s="30" t="str">
        <x:v>Ответ проверен по исходной формулировке и обществоведческим понятиям.</x:v>
      </x:c>
      <x:c r="P6061" s="30"/>
      <x:c r="Q6061" s="30" t="str">
        <x:v>Независимая содержательная проверка; вторичный ответник хранится отдельно.</x:v>
      </x:c>
      <x:c r="R6061" s="30" t="str">
        <x:v>25</x:v>
      </x:c>
      <x:c r="S6061" s="30"/>
      <x:c r="T6061" s="30"/>
      <x:c r="U6061" s="30" t="str">
        <x:v>Ответник совпадает с независимой проверкой.</x:v>
      </x:c>
      <x:c r="V6061" s="87" t="str">
        <x:v>VERIFIED</x:v>
      </x:c>
      <x:c r="W6061" s="87"/>
      <x:c r="X6061" s="87" t="n">
        <x:v>1</x:v>
      </x:c>
      <x:c r="Y6061" s="87"/>
      <x:c r="Z6061" s="87"/>
      <x:c r="AA6061" s="87"/>
      <x:c r="AB6061" s="87"/>
      <x:c r="AC6061" s="87" t="str">
        <x:v>VIS-EGKR-SOC-S26-TASK-955-P001</x:v>
      </x:c>
      <x:c r="AD6061" s="87" t="str">
        <x:v>VIS-EGKR-SOC-S26-ANSWERDOC-P001; VIS-EGKR-SOC-S26-ANSWERDOC-P002; VIS-EGKR-SOC-S26-ANSWERDOC-P003; VIS-EGKR-SOC-S26-ANSWERDOC-P004</x:v>
      </x:c>
      <x:c r="AE6061" s="87" t="str">
        <x:v>TASK; SECONDARY_ANSWER_SOURCE</x:v>
      </x:c>
      <x:c r="AF6061" s="87" t="str">
        <x:v>VIS-EGKR-SOC-S26-TASK-955-P001: 1; VIS-EGKR-SOC-S26-ANSWERDOC-P001: 1; VIS-EGKR-SOC-S26-ANSWERDOC-P002: 2; VIS-EGKR-SOC-S26-ANSWERDOC-P003: 3; VIS-EGKR-SOC-S26-ANSWERDOC-P004: 4</x:v>
      </x:c>
      <x:c r="AG6061" s="87" t="str">
        <x:v>RESOLVED</x:v>
      </x:c>
      <x:c r="AH6061" s="87" t="str">
        <x:v>CROP_VERIFIED</x:v>
      </x:c>
      <x:c r="AI6061" s="30"/>
      <x:c r="AJ6061" s="87" t="str">
        <x:v>clean</x:v>
      </x:c>
      <x:c r="AK6061" s="87" t="str">
        <x:v>clean-v0.20</x:v>
      </x:c>
      <x:c r="AL6061" s="87" t="str">
        <x:v>statgrad_clean_continuation_v0_20(1).xlsx</x:v>
      </x:c>
      <x:c r="AM6061" s="87" t="str">
        <x:v>SOC_EGKR_S26_955</x:v>
      </x:c>
      <x:c r="AN6061" s="87" t="n">
        <x:v>3</x:v>
      </x:c>
    </x:row>
    <x:row r="6062">
      <x:c r="A6062" s="87" t="n">
        <x:v>6061</x:v>
      </x:c>
      <x:c r="B6062" s="87" t="str">
        <x:v>EGKR-S26-SOC-955-03</x:v>
      </x:c>
      <x:c r="C6062" s="87" t="str">
        <x:v>ЕГКР</x:v>
      </x:c>
      <x:c r="D6062" s="87"/>
      <x:c r="E6062" s="87" t="str">
        <x:v>Весна 2026</x:v>
      </x:c>
      <x:c r="F6062" s="87" t="str">
        <x:v>26.03.2026</x:v>
      </x:c>
      <x:c r="G6062" s="87" t="str">
        <x:v>Обществознание</x:v>
      </x:c>
      <x:c r="H6062" s="87" t="n">
        <x:v>11</x:v>
      </x:c>
      <x:c r="I6062" s="87"/>
      <x:c r="J6062" s="87" t="str">
        <x:v>955</x:v>
      </x:c>
      <x:c r="K6062" s="87" t="n">
        <x:v>3</x:v>
      </x:c>
      <x:c r="L6062" s="87" t="str">
        <x:v>Установление соответствия</x:v>
      </x:c>
      <x:c r="M6062" s="30" t="str">
        <x:v>Задание 3 варианта 955. Полная формулировка сохранена на странице по VIS_ID.</x:v>
      </x:c>
      <x:c r="N6062" s="30" t="str">
        <x:v>24231</x:v>
      </x:c>
      <x:c r="O6062" s="30" t="str">
        <x:v>Ответ проверен по исходной формулировке и обществоведческим понятиям.</x:v>
      </x:c>
      <x:c r="P6062" s="30"/>
      <x:c r="Q6062" s="30" t="str">
        <x:v>Независимая содержательная проверка; вторичный ответник хранится отдельно.</x:v>
      </x:c>
      <x:c r="R6062" s="30" t="str">
        <x:v>24231</x:v>
      </x:c>
      <x:c r="S6062" s="30"/>
      <x:c r="T6062" s="30"/>
      <x:c r="U6062" s="30" t="str">
        <x:v>Ответник совпадает с независимой проверкой.</x:v>
      </x:c>
      <x:c r="V6062" s="87" t="str">
        <x:v>VERIFIED</x:v>
      </x:c>
      <x:c r="W6062" s="87"/>
      <x:c r="X6062" s="87" t="n">
        <x:v>2</x:v>
      </x:c>
      <x:c r="Y6062" s="87"/>
      <x:c r="Z6062" s="87"/>
      <x:c r="AA6062" s="87"/>
      <x:c r="AB6062" s="87"/>
      <x:c r="AC6062" s="87" t="str">
        <x:v>VIS-EGKR-SOC-S26-TASK-955-P002</x:v>
      </x:c>
      <x:c r="AD6062" s="87" t="str">
        <x:v>VIS-EGKR-SOC-S26-ANSWERDOC-P001; VIS-EGKR-SOC-S26-ANSWERDOC-P002; VIS-EGKR-SOC-S26-ANSWERDOC-P003; VIS-EGKR-SOC-S26-ANSWERDOC-P004</x:v>
      </x:c>
      <x:c r="AE6062" s="87" t="str">
        <x:v>TASK; SECONDARY_ANSWER_SOURCE</x:v>
      </x:c>
      <x:c r="AF6062" s="87" t="str">
        <x:v>VIS-EGKR-SOC-S26-TASK-955-P002: 2; VIS-EGKR-SOC-S26-ANSWERDOC-P001: 1; VIS-EGKR-SOC-S26-ANSWERDOC-P002: 2; VIS-EGKR-SOC-S26-ANSWERDOC-P003: 3; VIS-EGKR-SOC-S26-ANSWERDOC-P004: 4</x:v>
      </x:c>
      <x:c r="AG6062" s="87" t="str">
        <x:v>RESOLVED</x:v>
      </x:c>
      <x:c r="AH6062" s="87" t="str">
        <x:v>CROP_VERIFIED</x:v>
      </x:c>
      <x:c r="AI6062" s="30"/>
      <x:c r="AJ6062" s="87" t="str">
        <x:v>clean</x:v>
      </x:c>
      <x:c r="AK6062" s="87" t="str">
        <x:v>clean-v0.20</x:v>
      </x:c>
      <x:c r="AL6062" s="87" t="str">
        <x:v>statgrad_clean_continuation_v0_20(1).xlsx</x:v>
      </x:c>
      <x:c r="AM6062" s="87" t="str">
        <x:v>SOC_EGKR_S26_955</x:v>
      </x:c>
      <x:c r="AN6062" s="87" t="n">
        <x:v>4</x:v>
      </x:c>
    </x:row>
    <x:row r="6063">
      <x:c r="A6063" s="87" t="n">
        <x:v>6062</x:v>
      </x:c>
      <x:c r="B6063" s="87" t="str">
        <x:v>EGKR-S26-SOC-955-04</x:v>
      </x:c>
      <x:c r="C6063" s="87" t="str">
        <x:v>ЕГКР</x:v>
      </x:c>
      <x:c r="D6063" s="87"/>
      <x:c r="E6063" s="87" t="str">
        <x:v>Весна 2026</x:v>
      </x:c>
      <x:c r="F6063" s="87" t="str">
        <x:v>26.03.2026</x:v>
      </x:c>
      <x:c r="G6063" s="87" t="str">
        <x:v>Обществознание</x:v>
      </x:c>
      <x:c r="H6063" s="87" t="n">
        <x:v>11</x:v>
      </x:c>
      <x:c r="I6063" s="87"/>
      <x:c r="J6063" s="87" t="str">
        <x:v>955</x:v>
      </x:c>
      <x:c r="K6063" s="87" t="n">
        <x:v>4</x:v>
      </x:c>
      <x:c r="L6063" s="87" t="str">
        <x:v>Тип общества / духовная сфера</x:v>
      </x:c>
      <x:c r="M6063" s="30" t="str">
        <x:v>Задание 4 варианта 955. Полная формулировка сохранена на странице по VIS_ID.</x:v>
      </x:c>
      <x:c r="N6063" s="30" t="str">
        <x:v>1346</x:v>
      </x:c>
      <x:c r="O6063" s="30" t="str">
        <x:v>Ответ проверен по исходной формулировке и обществоведческим понятиям.</x:v>
      </x:c>
      <x:c r="P6063" s="30"/>
      <x:c r="Q6063" s="30" t="str">
        <x:v>Независимая содержательная проверка; вторичный ответник хранится отдельно.</x:v>
      </x:c>
      <x:c r="R6063" s="30" t="str">
        <x:v>1346</x:v>
      </x:c>
      <x:c r="S6063" s="30"/>
      <x:c r="T6063" s="30"/>
      <x:c r="U6063" s="30" t="str">
        <x:v>Ответник совпадает с независимой проверкой.</x:v>
      </x:c>
      <x:c r="V6063" s="87" t="str">
        <x:v>VERIFIED</x:v>
      </x:c>
      <x:c r="W6063" s="87"/>
      <x:c r="X6063" s="87" t="n">
        <x:v>2</x:v>
      </x:c>
      <x:c r="Y6063" s="87"/>
      <x:c r="Z6063" s="87"/>
      <x:c r="AA6063" s="87"/>
      <x:c r="AB6063" s="87"/>
      <x:c r="AC6063" s="87" t="str">
        <x:v>VIS-EGKR-SOC-S26-TASK-955-P002</x:v>
      </x:c>
      <x:c r="AD6063" s="87" t="str">
        <x:v>VIS-EGKR-SOC-S26-ANSWERDOC-P001; VIS-EGKR-SOC-S26-ANSWERDOC-P002; VIS-EGKR-SOC-S26-ANSWERDOC-P003; VIS-EGKR-SOC-S26-ANSWERDOC-P004</x:v>
      </x:c>
      <x:c r="AE6063" s="87" t="str">
        <x:v>TASK; SECONDARY_ANSWER_SOURCE</x:v>
      </x:c>
      <x:c r="AF6063" s="87" t="str">
        <x:v>VIS-EGKR-SOC-S26-TASK-955-P002: 2; VIS-EGKR-SOC-S26-ANSWERDOC-P001: 1; VIS-EGKR-SOC-S26-ANSWERDOC-P002: 2; VIS-EGKR-SOC-S26-ANSWERDOC-P003: 3; VIS-EGKR-SOC-S26-ANSWERDOC-P004: 4</x:v>
      </x:c>
      <x:c r="AG6063" s="87" t="str">
        <x:v>RESOLVED</x:v>
      </x:c>
      <x:c r="AH6063" s="87" t="str">
        <x:v>CROP_VERIFIED</x:v>
      </x:c>
      <x:c r="AI6063" s="30"/>
      <x:c r="AJ6063" s="87" t="str">
        <x:v>clean</x:v>
      </x:c>
      <x:c r="AK6063" s="87" t="str">
        <x:v>clean-v0.20</x:v>
      </x:c>
      <x:c r="AL6063" s="87" t="str">
        <x:v>statgrad_clean_continuation_v0_20(1).xlsx</x:v>
      </x:c>
      <x:c r="AM6063" s="87" t="str">
        <x:v>SOC_EGKR_S26_955</x:v>
      </x:c>
      <x:c r="AN6063" s="87" t="n">
        <x:v>5</x:v>
      </x:c>
    </x:row>
    <x:row r="6064">
      <x:c r="A6064" s="87" t="n">
        <x:v>6063</x:v>
      </x:c>
      <x:c r="B6064" s="87" t="str">
        <x:v>EGKR-S26-SOC-955-05</x:v>
      </x:c>
      <x:c r="C6064" s="87" t="str">
        <x:v>ЕГКР</x:v>
      </x:c>
      <x:c r="D6064" s="87"/>
      <x:c r="E6064" s="87" t="str">
        <x:v>Весна 2026</x:v>
      </x:c>
      <x:c r="F6064" s="87" t="str">
        <x:v>26.03.2026</x:v>
      </x:c>
      <x:c r="G6064" s="87" t="str">
        <x:v>Обществознание</x:v>
      </x:c>
      <x:c r="H6064" s="87" t="n">
        <x:v>11</x:v>
      </x:c>
      <x:c r="I6064" s="87"/>
      <x:c r="J6064" s="87" t="str">
        <x:v>955</x:v>
      </x:c>
      <x:c r="K6064" s="87" t="n">
        <x:v>5</x:v>
      </x:c>
      <x:c r="L6064" s="87" t="str">
        <x:v>Экономические суждения</x:v>
      </x:c>
      <x:c r="M6064" s="30" t="str">
        <x:v>Задание 5 варианта 955. Полная формулировка сохранена на странице по VIS_ID.</x:v>
      </x:c>
      <x:c r="N6064" s="30" t="str">
        <x:v>35</x:v>
      </x:c>
      <x:c r="O6064" s="30" t="str">
        <x:v>Ответ проверен по исходной формулировке и обществоведческим понятиям.</x:v>
      </x:c>
      <x:c r="P6064" s="30"/>
      <x:c r="Q6064" s="30" t="str">
        <x:v>Независимая содержательная проверка; вторичный ответник хранится отдельно.</x:v>
      </x:c>
      <x:c r="R6064" s="30" t="str">
        <x:v>345</x:v>
      </x:c>
      <x:c r="S6064" s="30"/>
      <x:c r="T6064" s="30"/>
      <x:c r="U6064" s="30" t="str">
        <x:v>Ответник: 345; канонический ответ: 35.</x:v>
      </x:c>
      <x:c r="V6064" s="87" t="str">
        <x:v>KEY_MISMATCH</x:v>
      </x:c>
      <x:c r="W6064" s="87"/>
      <x:c r="X6064" s="87" t="n">
        <x:v>2</x:v>
      </x:c>
      <x:c r="Y6064" s="87"/>
      <x:c r="Z6064" s="87"/>
      <x:c r="AA6064" s="87"/>
      <x:c r="AB6064" s="87"/>
      <x:c r="AC6064" s="87" t="str">
        <x:v>VIS-EGKR-SOC-S26-TASK-955-P002</x:v>
      </x:c>
      <x:c r="AD6064" s="87" t="str">
        <x:v>VIS-EGKR-SOC-S26-ANSWERDOC-P001; VIS-EGKR-SOC-S26-ANSWERDOC-P002; VIS-EGKR-SOC-S26-ANSWERDOC-P003; VIS-EGKR-SOC-S26-ANSWERDOC-P004</x:v>
      </x:c>
      <x:c r="AE6064" s="87" t="str">
        <x:v>TASK; SECONDARY_ANSWER_SOURCE</x:v>
      </x:c>
      <x:c r="AF6064" s="87" t="str">
        <x:v>VIS-EGKR-SOC-S26-TASK-955-P002: 2; VIS-EGKR-SOC-S26-ANSWERDOC-P001: 1; VIS-EGKR-SOC-S26-ANSWERDOC-P002: 2; VIS-EGKR-SOC-S26-ANSWERDOC-P003: 3; VIS-EGKR-SOC-S26-ANSWERDOC-P004: 4</x:v>
      </x:c>
      <x:c r="AG6064" s="87" t="str">
        <x:v>RESOLVED</x:v>
      </x:c>
      <x:c r="AH6064" s="87" t="str">
        <x:v>CROP_VERIFIED</x:v>
      </x:c>
      <x:c r="AI6064" s="30"/>
      <x:c r="AJ6064" s="87" t="str">
        <x:v>clean</x:v>
      </x:c>
      <x:c r="AK6064" s="87" t="str">
        <x:v>clean-v0.20</x:v>
      </x:c>
      <x:c r="AL6064" s="87" t="str">
        <x:v>statgrad_clean_continuation_v0_20(1).xlsx</x:v>
      </x:c>
      <x:c r="AM6064" s="87" t="str">
        <x:v>SOC_EGKR_S26_955</x:v>
      </x:c>
      <x:c r="AN6064" s="87" t="n">
        <x:v>6</x:v>
      </x:c>
    </x:row>
    <x:row r="6065">
      <x:c r="A6065" s="87" t="n">
        <x:v>6064</x:v>
      </x:c>
      <x:c r="B6065" s="87" t="str">
        <x:v>EGKR-S26-SOC-955-06</x:v>
      </x:c>
      <x:c r="C6065" s="87" t="str">
        <x:v>ЕГКР</x:v>
      </x:c>
      <x:c r="D6065" s="87"/>
      <x:c r="E6065" s="87" t="str">
        <x:v>Весна 2026</x:v>
      </x:c>
      <x:c r="F6065" s="87" t="str">
        <x:v>26.03.2026</x:v>
      </x:c>
      <x:c r="G6065" s="87" t="str">
        <x:v>Обществознание</x:v>
      </x:c>
      <x:c r="H6065" s="87" t="n">
        <x:v>11</x:v>
      </x:c>
      <x:c r="I6065" s="87"/>
      <x:c r="J6065" s="87" t="str">
        <x:v>955</x:v>
      </x:c>
      <x:c r="K6065" s="87" t="n">
        <x:v>6</x:v>
      </x:c>
      <x:c r="L6065" s="87" t="str">
        <x:v>Экономическое соответствие</x:v>
      </x:c>
      <x:c r="M6065" s="30" t="str">
        <x:v>Задание 6 варианта 955. Полная формулировка сохранена на странице по VIS_ID.</x:v>
      </x:c>
      <x:c r="N6065" s="30" t="str">
        <x:v>12112</x:v>
      </x:c>
      <x:c r="O6065" s="30" t="str">
        <x:v>Ответ проверен по исходной формулировке и обществоведческим понятиям.</x:v>
      </x:c>
      <x:c r="P6065" s="30"/>
      <x:c r="Q6065" s="30" t="str">
        <x:v>Независимая содержательная проверка; вторичный ответник хранится отдельно.</x:v>
      </x:c>
      <x:c r="R6065" s="30" t="str">
        <x:v>12112</x:v>
      </x:c>
      <x:c r="S6065" s="30"/>
      <x:c r="T6065" s="30"/>
      <x:c r="U6065" s="30" t="str">
        <x:v>Ответник совпадает с независимой проверкой.</x:v>
      </x:c>
      <x:c r="V6065" s="87" t="str">
        <x:v>VERIFIED</x:v>
      </x:c>
      <x:c r="W6065" s="87"/>
      <x:c r="X6065" s="87" t="n">
        <x:v>2</x:v>
      </x:c>
      <x:c r="Y6065" s="87"/>
      <x:c r="Z6065" s="87"/>
      <x:c r="AA6065" s="87"/>
      <x:c r="AB6065" s="87"/>
      <x:c r="AC6065" s="87" t="str">
        <x:v>VIS-EGKR-SOC-S26-TASK-955-P002</x:v>
      </x:c>
      <x:c r="AD6065" s="87" t="str">
        <x:v>VIS-EGKR-SOC-S26-ANSWERDOC-P001; VIS-EGKR-SOC-S26-ANSWERDOC-P002; VIS-EGKR-SOC-S26-ANSWERDOC-P003; VIS-EGKR-SOC-S26-ANSWERDOC-P004</x:v>
      </x:c>
      <x:c r="AE6065" s="87" t="str">
        <x:v>TASK; SECONDARY_ANSWER_SOURCE</x:v>
      </x:c>
      <x:c r="AF6065" s="87" t="str">
        <x:v>VIS-EGKR-SOC-S26-TASK-955-P002: 2; VIS-EGKR-SOC-S26-ANSWERDOC-P001: 1; VIS-EGKR-SOC-S26-ANSWERDOC-P002: 2; VIS-EGKR-SOC-S26-ANSWERDOC-P003: 3; VIS-EGKR-SOC-S26-ANSWERDOC-P004: 4</x:v>
      </x:c>
      <x:c r="AG6065" s="87" t="str">
        <x:v>RESOLVED</x:v>
      </x:c>
      <x:c r="AH6065" s="87" t="str">
        <x:v>CROP_VERIFIED</x:v>
      </x:c>
      <x:c r="AI6065" s="30"/>
      <x:c r="AJ6065" s="87" t="str">
        <x:v>clean</x:v>
      </x:c>
      <x:c r="AK6065" s="87" t="str">
        <x:v>clean-v0.20</x:v>
      </x:c>
      <x:c r="AL6065" s="87" t="str">
        <x:v>statgrad_clean_continuation_v0_20(1).xlsx</x:v>
      </x:c>
      <x:c r="AM6065" s="87" t="str">
        <x:v>SOC_EGKR_S26_955</x:v>
      </x:c>
      <x:c r="AN6065" s="87" t="n">
        <x:v>7</x:v>
      </x:c>
    </x:row>
    <x:row r="6066">
      <x:c r="A6066" s="87" t="n">
        <x:v>6065</x:v>
      </x:c>
      <x:c r="B6066" s="87" t="str">
        <x:v>EGKR-S26-SOC-955-07</x:v>
      </x:c>
      <x:c r="C6066" s="87" t="str">
        <x:v>ЕГКР</x:v>
      </x:c>
      <x:c r="D6066" s="87"/>
      <x:c r="E6066" s="87" t="str">
        <x:v>Весна 2026</x:v>
      </x:c>
      <x:c r="F6066" s="87" t="str">
        <x:v>26.03.2026</x:v>
      </x:c>
      <x:c r="G6066" s="87" t="str">
        <x:v>Обществознание</x:v>
      </x:c>
      <x:c r="H6066" s="87" t="n">
        <x:v>11</x:v>
      </x:c>
      <x:c r="I6066" s="87"/>
      <x:c r="J6066" s="87" t="str">
        <x:v>955</x:v>
      </x:c>
      <x:c r="K6066" s="87" t="n">
        <x:v>7</x:v>
      </x:c>
      <x:c r="L6066" s="87" t="str">
        <x:v>Финансовая грамотность / рынок</x:v>
      </x:c>
      <x:c r="M6066" s="30" t="str">
        <x:v>Задание 7 варианта 955. Полная формулировка сохранена на странице по VIS_ID.</x:v>
      </x:c>
      <x:c r="N6066" s="30" t="str">
        <x:v>1256</x:v>
      </x:c>
      <x:c r="O6066" s="30" t="str">
        <x:v>Ответ проверен по исходной формулировке и обществоведческим понятиям.</x:v>
      </x:c>
      <x:c r="P6066" s="30"/>
      <x:c r="Q6066" s="30" t="str">
        <x:v>Независимая содержательная проверка; вторичный ответник хранится отдельно.</x:v>
      </x:c>
      <x:c r="R6066" s="30" t="str">
        <x:v>126</x:v>
      </x:c>
      <x:c r="S6066" s="30"/>
      <x:c r="T6066" s="30"/>
      <x:c r="U6066" s="30" t="str">
        <x:v>Ответник: 126; канонический ответ: 1256.</x:v>
      </x:c>
      <x:c r="V6066" s="87" t="str">
        <x:v>KEY_MISMATCH</x:v>
      </x:c>
      <x:c r="W6066" s="87"/>
      <x:c r="X6066" s="87" t="n">
        <x:v>3</x:v>
      </x:c>
      <x:c r="Y6066" s="87"/>
      <x:c r="Z6066" s="87"/>
      <x:c r="AA6066" s="87"/>
      <x:c r="AB6066" s="87"/>
      <x:c r="AC6066" s="87" t="str">
        <x:v>VIS-EGKR-SOC-S26-TASK-955-P003</x:v>
      </x:c>
      <x:c r="AD6066" s="87" t="str">
        <x:v>VIS-EGKR-SOC-S26-ANSWERDOC-P001; VIS-EGKR-SOC-S26-ANSWERDOC-P002; VIS-EGKR-SOC-S26-ANSWERDOC-P003; VIS-EGKR-SOC-S26-ANSWERDOC-P004</x:v>
      </x:c>
      <x:c r="AE6066" s="87" t="str">
        <x:v>TASK; SECONDARY_ANSWER_SOURCE</x:v>
      </x:c>
      <x:c r="AF6066" s="87" t="str">
        <x:v>VIS-EGKR-SOC-S26-TASK-955-P003: 3; VIS-EGKR-SOC-S26-ANSWERDOC-P001: 1; VIS-EGKR-SOC-S26-ANSWERDOC-P002: 2; VIS-EGKR-SOC-S26-ANSWERDOC-P003: 3; VIS-EGKR-SOC-S26-ANSWERDOC-P004: 4</x:v>
      </x:c>
      <x:c r="AG6066" s="87" t="str">
        <x:v>RESOLVED</x:v>
      </x:c>
      <x:c r="AH6066" s="87" t="str">
        <x:v>CROP_VERIFIED</x:v>
      </x:c>
      <x:c r="AI6066" s="30"/>
      <x:c r="AJ6066" s="87" t="str">
        <x:v>clean</x:v>
      </x:c>
      <x:c r="AK6066" s="87" t="str">
        <x:v>clean-v0.20</x:v>
      </x:c>
      <x:c r="AL6066" s="87" t="str">
        <x:v>statgrad_clean_continuation_v0_20(1).xlsx</x:v>
      </x:c>
      <x:c r="AM6066" s="87" t="str">
        <x:v>SOC_EGKR_S26_955</x:v>
      </x:c>
      <x:c r="AN6066" s="87" t="n">
        <x:v>8</x:v>
      </x:c>
    </x:row>
    <x:row r="6067">
      <x:c r="A6067" s="87" t="n">
        <x:v>6066</x:v>
      </x:c>
      <x:c r="B6067" s="87" t="str">
        <x:v>EGKR-S26-SOC-955-08</x:v>
      </x:c>
      <x:c r="C6067" s="87" t="str">
        <x:v>ЕГКР</x:v>
      </x:c>
      <x:c r="D6067" s="87"/>
      <x:c r="E6067" s="87" t="str">
        <x:v>Весна 2026</x:v>
      </x:c>
      <x:c r="F6067" s="87" t="str">
        <x:v>26.03.2026</x:v>
      </x:c>
      <x:c r="G6067" s="87" t="str">
        <x:v>Обществознание</x:v>
      </x:c>
      <x:c r="H6067" s="87" t="n">
        <x:v>11</x:v>
      </x:c>
      <x:c r="I6067" s="87"/>
      <x:c r="J6067" s="87" t="str">
        <x:v>955</x:v>
      </x:c>
      <x:c r="K6067" s="87" t="n">
        <x:v>8</x:v>
      </x:c>
      <x:c r="L6067" s="87" t="str">
        <x:v>Социальная сфера</x:v>
      </x:c>
      <x:c r="M6067" s="30" t="str">
        <x:v>Задание 8 варианта 955. Полная формулировка сохранена на странице по VIS_ID.</x:v>
      </x:c>
      <x:c r="N6067" s="30" t="str">
        <x:v>145</x:v>
      </x:c>
      <x:c r="O6067" s="30" t="str">
        <x:v>Ответ проверен по исходной формулировке и обществоведческим понятиям.</x:v>
      </x:c>
      <x:c r="P6067" s="30"/>
      <x:c r="Q6067" s="30" t="str">
        <x:v>Независимая содержательная проверка; вторичный ответник хранится отдельно.</x:v>
      </x:c>
      <x:c r="R6067" s="30" t="str">
        <x:v>145</x:v>
      </x:c>
      <x:c r="S6067" s="30"/>
      <x:c r="T6067" s="30"/>
      <x:c r="U6067" s="30" t="str">
        <x:v>Ответник совпадает с независимой проверкой.</x:v>
      </x:c>
      <x:c r="V6067" s="87" t="str">
        <x:v>VERIFIED</x:v>
      </x:c>
      <x:c r="W6067" s="87"/>
      <x:c r="X6067" s="87" t="n">
        <x:v>3</x:v>
      </x:c>
      <x:c r="Y6067" s="87"/>
      <x:c r="Z6067" s="87"/>
      <x:c r="AA6067" s="87"/>
      <x:c r="AB6067" s="87"/>
      <x:c r="AC6067" s="87" t="str">
        <x:v>VIS-EGKR-SOC-S26-TASK-955-P003</x:v>
      </x:c>
      <x:c r="AD6067" s="87" t="str">
        <x:v>VIS-EGKR-SOC-S26-ANSWERDOC-P001; VIS-EGKR-SOC-S26-ANSWERDOC-P002; VIS-EGKR-SOC-S26-ANSWERDOC-P003; VIS-EGKR-SOC-S26-ANSWERDOC-P004</x:v>
      </x:c>
      <x:c r="AE6067" s="87" t="str">
        <x:v>TASK; SECONDARY_ANSWER_SOURCE</x:v>
      </x:c>
      <x:c r="AF6067" s="87" t="str">
        <x:v>VIS-EGKR-SOC-S26-TASK-955-P003: 3; VIS-EGKR-SOC-S26-ANSWERDOC-P001: 1; VIS-EGKR-SOC-S26-ANSWERDOC-P002: 2; VIS-EGKR-SOC-S26-ANSWERDOC-P003: 3; VIS-EGKR-SOC-S26-ANSWERDOC-P004: 4</x:v>
      </x:c>
      <x:c r="AG6067" s="87" t="str">
        <x:v>RESOLVED</x:v>
      </x:c>
      <x:c r="AH6067" s="87" t="str">
        <x:v>CROP_VERIFIED</x:v>
      </x:c>
      <x:c r="AI6067" s="30"/>
      <x:c r="AJ6067" s="87" t="str">
        <x:v>clean</x:v>
      </x:c>
      <x:c r="AK6067" s="87" t="str">
        <x:v>clean-v0.20</x:v>
      </x:c>
      <x:c r="AL6067" s="87" t="str">
        <x:v>statgrad_clean_continuation_v0_20(1).xlsx</x:v>
      </x:c>
      <x:c r="AM6067" s="87" t="str">
        <x:v>SOC_EGKR_S26_955</x:v>
      </x:c>
      <x:c r="AN6067" s="87" t="n">
        <x:v>9</x:v>
      </x:c>
    </x:row>
    <x:row r="6068">
      <x:c r="A6068" s="87" t="n">
        <x:v>6067</x:v>
      </x:c>
      <x:c r="B6068" s="87" t="str">
        <x:v>EGKR-S26-SOC-955-09</x:v>
      </x:c>
      <x:c r="C6068" s="87" t="str">
        <x:v>ЕГКР</x:v>
      </x:c>
      <x:c r="D6068" s="87"/>
      <x:c r="E6068" s="87" t="str">
        <x:v>Весна 2026</x:v>
      </x:c>
      <x:c r="F6068" s="87" t="str">
        <x:v>26.03.2026</x:v>
      </x:c>
      <x:c r="G6068" s="87" t="str">
        <x:v>Обществознание</x:v>
      </x:c>
      <x:c r="H6068" s="87" t="n">
        <x:v>11</x:v>
      </x:c>
      <x:c r="I6068" s="87"/>
      <x:c r="J6068" s="87" t="str">
        <x:v>955</x:v>
      </x:c>
      <x:c r="K6068" s="87" t="n">
        <x:v>9</x:v>
      </x:c>
      <x:c r="L6068" s="87" t="str">
        <x:v>Анализ диаграммы</x:v>
      </x:c>
      <x:c r="M6068" s="30" t="str">
        <x:v>Задание 9 варианта 955. Полная формулировка сохранена на странице по VIS_ID.</x:v>
      </x:c>
      <x:c r="N6068" s="30" t="str">
        <x:v>145</x:v>
      </x:c>
      <x:c r="O6068" s="30" t="str">
        <x:v>Ответ проверен по исходной формулировке и обществоведческим понятиям.</x:v>
      </x:c>
      <x:c r="P6068" s="30"/>
      <x:c r="Q6068" s="30" t="str">
        <x:v>Независимая содержательная проверка; вторичный ответник хранится отдельно.</x:v>
      </x:c>
      <x:c r="R6068" s="30" t="str">
        <x:v>145</x:v>
      </x:c>
      <x:c r="S6068" s="30"/>
      <x:c r="T6068" s="30"/>
      <x:c r="U6068" s="30" t="str">
        <x:v>Ответник совпадает с независимой проверкой.</x:v>
      </x:c>
      <x:c r="V6068" s="87" t="str">
        <x:v>VERIFIED</x:v>
      </x:c>
      <x:c r="W6068" s="87"/>
      <x:c r="X6068" s="87" t="n">
        <x:v>3</x:v>
      </x:c>
      <x:c r="Y6068" s="87"/>
      <x:c r="Z6068" s="87"/>
      <x:c r="AA6068" s="87"/>
      <x:c r="AB6068" s="87"/>
      <x:c r="AC6068" s="87" t="str">
        <x:v>VIS-EGKR-SOC-S26-TASK-955-P003</x:v>
      </x:c>
      <x:c r="AD6068" s="87" t="str">
        <x:v>VIS-EGKR-SOC-S26-ANSWERDOC-P001; VIS-EGKR-SOC-S26-ANSWERDOC-P002; VIS-EGKR-SOC-S26-ANSWERDOC-P003; VIS-EGKR-SOC-S26-ANSWERDOC-P004</x:v>
      </x:c>
      <x:c r="AE6068" s="87" t="str">
        <x:v>TASK; SECONDARY_ANSWER_SOURCE</x:v>
      </x:c>
      <x:c r="AF6068" s="87" t="str">
        <x:v>VIS-EGKR-SOC-S26-TASK-955-P003: 3; VIS-EGKR-SOC-S26-ANSWERDOC-P001: 1; VIS-EGKR-SOC-S26-ANSWERDOC-P002: 2; VIS-EGKR-SOC-S26-ANSWERDOC-P003: 3; VIS-EGKR-SOC-S26-ANSWERDOC-P004: 4</x:v>
      </x:c>
      <x:c r="AG6068" s="87" t="str">
        <x:v>RESOLVED</x:v>
      </x:c>
      <x:c r="AH6068" s="87" t="str">
        <x:v>CROP_VERIFIED</x:v>
      </x:c>
      <x:c r="AI6068" s="30"/>
      <x:c r="AJ6068" s="87" t="str">
        <x:v>clean</x:v>
      </x:c>
      <x:c r="AK6068" s="87" t="str">
        <x:v>clean-v0.20</x:v>
      </x:c>
      <x:c r="AL6068" s="87" t="str">
        <x:v>statgrad_clean_continuation_v0_20(1).xlsx</x:v>
      </x:c>
      <x:c r="AM6068" s="87" t="str">
        <x:v>SOC_EGKR_S26_955</x:v>
      </x:c>
      <x:c r="AN6068" s="87" t="n">
        <x:v>10</x:v>
      </x:c>
    </x:row>
    <x:row r="6069">
      <x:c r="A6069" s="87" t="n">
        <x:v>6068</x:v>
      </x:c>
      <x:c r="B6069" s="87" t="str">
        <x:v>EGKR-S26-SOC-955-10</x:v>
      </x:c>
      <x:c r="C6069" s="87" t="str">
        <x:v>ЕГКР</x:v>
      </x:c>
      <x:c r="D6069" s="87"/>
      <x:c r="E6069" s="87" t="str">
        <x:v>Весна 2026</x:v>
      </x:c>
      <x:c r="F6069" s="87" t="str">
        <x:v>26.03.2026</x:v>
      </x:c>
      <x:c r="G6069" s="87" t="str">
        <x:v>Обществознание</x:v>
      </x:c>
      <x:c r="H6069" s="87" t="n">
        <x:v>11</x:v>
      </x:c>
      <x:c r="I6069" s="87"/>
      <x:c r="J6069" s="87" t="str">
        <x:v>955</x:v>
      </x:c>
      <x:c r="K6069" s="87" t="n">
        <x:v>10</x:v>
      </x:c>
      <x:c r="L6069" s="87" t="str">
        <x:v>Политические суждения</x:v>
      </x:c>
      <x:c r="M6069" s="30" t="str">
        <x:v>Задание 10 варианта 955. Полная формулировка сохранена на странице по VIS_ID.</x:v>
      </x:c>
      <x:c r="N6069" s="30" t="str">
        <x:v>2345</x:v>
      </x:c>
      <x:c r="O6069" s="30" t="str">
        <x:v>Ответ проверен по исходной формулировке и обществоведческим понятиям.</x:v>
      </x:c>
      <x:c r="P6069" s="30"/>
      <x:c r="Q6069" s="30" t="str">
        <x:v>Независимая содержательная проверка; вторичный ответник хранится отдельно.</x:v>
      </x:c>
      <x:c r="R6069" s="30" t="str">
        <x:v>2345</x:v>
      </x:c>
      <x:c r="S6069" s="30"/>
      <x:c r="T6069" s="30"/>
      <x:c r="U6069" s="30" t="str">
        <x:v>Ответник совпадает с независимой проверкой.</x:v>
      </x:c>
      <x:c r="V6069" s="87" t="str">
        <x:v>VERIFIED</x:v>
      </x:c>
      <x:c r="W6069" s="87"/>
      <x:c r="X6069" s="87" t="n">
        <x:v>4</x:v>
      </x:c>
      <x:c r="Y6069" s="87"/>
      <x:c r="Z6069" s="87"/>
      <x:c r="AA6069" s="87"/>
      <x:c r="AB6069" s="87"/>
      <x:c r="AC6069" s="87" t="str">
        <x:v>VIS-EGKR-SOC-S26-TASK-955-P004</x:v>
      </x:c>
      <x:c r="AD6069" s="87" t="str">
        <x:v>VIS-EGKR-SOC-S26-ANSWERDOC-P001; VIS-EGKR-SOC-S26-ANSWERDOC-P002; VIS-EGKR-SOC-S26-ANSWERDOC-P003; VIS-EGKR-SOC-S26-ANSWERDOC-P004</x:v>
      </x:c>
      <x:c r="AE6069" s="87" t="str">
        <x:v>TASK; SECONDARY_ANSWER_SOURCE</x:v>
      </x:c>
      <x:c r="AF6069" s="87" t="str">
        <x:v>VIS-EGKR-SOC-S26-TASK-955-P004: 4; VIS-EGKR-SOC-S26-ANSWERDOC-P001: 1; VIS-EGKR-SOC-S26-ANSWERDOC-P002: 2; VIS-EGKR-SOC-S26-ANSWERDOC-P003: 3; VIS-EGKR-SOC-S26-ANSWERDOC-P004: 4</x:v>
      </x:c>
      <x:c r="AG6069" s="87" t="str">
        <x:v>RESOLVED</x:v>
      </x:c>
      <x:c r="AH6069" s="87" t="str">
        <x:v>CROP_VERIFIED</x:v>
      </x:c>
      <x:c r="AI6069" s="30"/>
      <x:c r="AJ6069" s="87" t="str">
        <x:v>clean</x:v>
      </x:c>
      <x:c r="AK6069" s="87" t="str">
        <x:v>clean-v0.20</x:v>
      </x:c>
      <x:c r="AL6069" s="87" t="str">
        <x:v>statgrad_clean_continuation_v0_20(1).xlsx</x:v>
      </x:c>
      <x:c r="AM6069" s="87" t="str">
        <x:v>SOC_EGKR_S26_955</x:v>
      </x:c>
      <x:c r="AN6069" s="87" t="n">
        <x:v>11</x:v>
      </x:c>
    </x:row>
    <x:row r="6070">
      <x:c r="A6070" s="87" t="n">
        <x:v>6069</x:v>
      </x:c>
      <x:c r="B6070" s="87" t="str">
        <x:v>EGKR-S26-SOC-955-11</x:v>
      </x:c>
      <x:c r="C6070" s="87" t="str">
        <x:v>ЕГКР</x:v>
      </x:c>
      <x:c r="D6070" s="87"/>
      <x:c r="E6070" s="87" t="str">
        <x:v>Весна 2026</x:v>
      </x:c>
      <x:c r="F6070" s="87" t="str">
        <x:v>26.03.2026</x:v>
      </x:c>
      <x:c r="G6070" s="87" t="str">
        <x:v>Обществознание</x:v>
      </x:c>
      <x:c r="H6070" s="87" t="n">
        <x:v>11</x:v>
      </x:c>
      <x:c r="I6070" s="87"/>
      <x:c r="J6070" s="87" t="str">
        <x:v>955</x:v>
      </x:c>
      <x:c r="K6070" s="87" t="n">
        <x:v>11</x:v>
      </x:c>
      <x:c r="L6070" s="87" t="str">
        <x:v>Характеристика государства / выборов</x:v>
      </x:c>
      <x:c r="M6070" s="30" t="str">
        <x:v>Задание 11 варианта 955. Полная формулировка сохранена на странице по VIS_ID.</x:v>
      </x:c>
      <x:c r="N6070" s="30" t="str">
        <x:v>135</x:v>
      </x:c>
      <x:c r="O6070" s="30" t="str">
        <x:v>Ответ проверен по исходной формулировке и обществоведческим понятиям.</x:v>
      </x:c>
      <x:c r="P6070" s="30"/>
      <x:c r="Q6070" s="30" t="str">
        <x:v>Независимая содержательная проверка; вторичный ответник хранится отдельно.</x:v>
      </x:c>
      <x:c r="R6070" s="30" t="str">
        <x:v>135</x:v>
      </x:c>
      <x:c r="S6070" s="30"/>
      <x:c r="T6070" s="30"/>
      <x:c r="U6070" s="30" t="str">
        <x:v>Ответник совпадает с независимой проверкой.</x:v>
      </x:c>
      <x:c r="V6070" s="87" t="str">
        <x:v>VERIFIED</x:v>
      </x:c>
      <x:c r="W6070" s="87"/>
      <x:c r="X6070" s="87" t="n">
        <x:v>4</x:v>
      </x:c>
      <x:c r="Y6070" s="87"/>
      <x:c r="Z6070" s="87"/>
      <x:c r="AA6070" s="87"/>
      <x:c r="AB6070" s="87"/>
      <x:c r="AC6070" s="87" t="str">
        <x:v>VIS-EGKR-SOC-S26-TASK-955-P004</x:v>
      </x:c>
      <x:c r="AD6070" s="87" t="str">
        <x:v>VIS-EGKR-SOC-S26-ANSWERDOC-P001; VIS-EGKR-SOC-S26-ANSWERDOC-P002; VIS-EGKR-SOC-S26-ANSWERDOC-P003; VIS-EGKR-SOC-S26-ANSWERDOC-P004</x:v>
      </x:c>
      <x:c r="AE6070" s="87" t="str">
        <x:v>TASK; SECONDARY_ANSWER_SOURCE</x:v>
      </x:c>
      <x:c r="AF6070" s="87" t="str">
        <x:v>VIS-EGKR-SOC-S26-TASK-955-P004: 4; VIS-EGKR-SOC-S26-ANSWERDOC-P001: 1; VIS-EGKR-SOC-S26-ANSWERDOC-P002: 2; VIS-EGKR-SOC-S26-ANSWERDOC-P003: 3; VIS-EGKR-SOC-S26-ANSWERDOC-P004: 4</x:v>
      </x:c>
      <x:c r="AG6070" s="87" t="str">
        <x:v>RESOLVED</x:v>
      </x:c>
      <x:c r="AH6070" s="87" t="str">
        <x:v>CROP_VERIFIED</x:v>
      </x:c>
      <x:c r="AI6070" s="30"/>
      <x:c r="AJ6070" s="87" t="str">
        <x:v>clean</x:v>
      </x:c>
      <x:c r="AK6070" s="87" t="str">
        <x:v>clean-v0.20</x:v>
      </x:c>
      <x:c r="AL6070" s="87" t="str">
        <x:v>statgrad_clean_continuation_v0_20(1).xlsx</x:v>
      </x:c>
      <x:c r="AM6070" s="87" t="str">
        <x:v>SOC_EGKR_S26_955</x:v>
      </x:c>
      <x:c r="AN6070" s="87" t="n">
        <x:v>12</x:v>
      </x:c>
    </x:row>
    <x:row r="6071">
      <x:c r="A6071" s="87" t="n">
        <x:v>6070</x:v>
      </x:c>
      <x:c r="B6071" s="87" t="str">
        <x:v>EGKR-S26-SOC-955-12</x:v>
      </x:c>
      <x:c r="C6071" s="87" t="str">
        <x:v>ЕГКР</x:v>
      </x:c>
      <x:c r="D6071" s="87"/>
      <x:c r="E6071" s="87" t="str">
        <x:v>Весна 2026</x:v>
      </x:c>
      <x:c r="F6071" s="87" t="str">
        <x:v>26.03.2026</x:v>
      </x:c>
      <x:c r="G6071" s="87" t="str">
        <x:v>Обществознание</x:v>
      </x:c>
      <x:c r="H6071" s="87" t="n">
        <x:v>11</x:v>
      </x:c>
      <x:c r="I6071" s="87"/>
      <x:c r="J6071" s="87" t="str">
        <x:v>955</x:v>
      </x:c>
      <x:c r="K6071" s="87" t="n">
        <x:v>12</x:v>
      </x:c>
      <x:c r="L6071" s="87" t="str">
        <x:v>Конституционное право</x:v>
      </x:c>
      <x:c r="M6071" s="30" t="str">
        <x:v>Задание 12 варианта 955. Полная формулировка сохранена на странице по VIS_ID.</x:v>
      </x:c>
      <x:c r="N6071" s="30" t="str">
        <x:v>134</x:v>
      </x:c>
      <x:c r="O6071" s="30" t="str">
        <x:v>Ответ проверен по исходной формулировке и обществоведческим понятиям.</x:v>
      </x:c>
      <x:c r="P6071" s="30"/>
      <x:c r="Q6071" s="30" t="str">
        <x:v>Независимая содержательная проверка; вторичный ответник хранится отдельно.</x:v>
      </x:c>
      <x:c r="R6071" s="30" t="str">
        <x:v>134</x:v>
      </x:c>
      <x:c r="S6071" s="30"/>
      <x:c r="T6071" s="30"/>
      <x:c r="U6071" s="30" t="str">
        <x:v>Ответник совпадает с независимой проверкой.</x:v>
      </x:c>
      <x:c r="V6071" s="87" t="str">
        <x:v>VERIFIED</x:v>
      </x:c>
      <x:c r="W6071" s="87"/>
      <x:c r="X6071" s="87" t="n">
        <x:v>4</x:v>
      </x:c>
      <x:c r="Y6071" s="87"/>
      <x:c r="Z6071" s="87"/>
      <x:c r="AA6071" s="87"/>
      <x:c r="AB6071" s="87"/>
      <x:c r="AC6071" s="87" t="str">
        <x:v>VIS-EGKR-SOC-S26-TASK-955-P004</x:v>
      </x:c>
      <x:c r="AD6071" s="87" t="str">
        <x:v>VIS-EGKR-SOC-S26-ANSWERDOC-P001; VIS-EGKR-SOC-S26-ANSWERDOC-P002; VIS-EGKR-SOC-S26-ANSWERDOC-P003; VIS-EGKR-SOC-S26-ANSWERDOC-P004</x:v>
      </x:c>
      <x:c r="AE6071" s="87" t="str">
        <x:v>TASK; SECONDARY_ANSWER_SOURCE</x:v>
      </x:c>
      <x:c r="AF6071" s="87" t="str">
        <x:v>VIS-EGKR-SOC-S26-TASK-955-P004: 4; VIS-EGKR-SOC-S26-ANSWERDOC-P001: 1; VIS-EGKR-SOC-S26-ANSWERDOC-P002: 2; VIS-EGKR-SOC-S26-ANSWERDOC-P003: 3; VIS-EGKR-SOC-S26-ANSWERDOC-P004: 4</x:v>
      </x:c>
      <x:c r="AG6071" s="87" t="str">
        <x:v>RESOLVED</x:v>
      </x:c>
      <x:c r="AH6071" s="87" t="str">
        <x:v>CROP_VERIFIED</x:v>
      </x:c>
      <x:c r="AI6071" s="30"/>
      <x:c r="AJ6071" s="87" t="str">
        <x:v>clean</x:v>
      </x:c>
      <x:c r="AK6071" s="87" t="str">
        <x:v>clean-v0.20</x:v>
      </x:c>
      <x:c r="AL6071" s="87" t="str">
        <x:v>statgrad_clean_continuation_v0_20(1).xlsx</x:v>
      </x:c>
      <x:c r="AM6071" s="87" t="str">
        <x:v>SOC_EGKR_S26_955</x:v>
      </x:c>
      <x:c r="AN6071" s="87" t="n">
        <x:v>13</x:v>
      </x:c>
    </x:row>
    <x:row r="6072">
      <x:c r="A6072" s="87" t="n">
        <x:v>6071</x:v>
      </x:c>
      <x:c r="B6072" s="87" t="str">
        <x:v>EGKR-S26-SOC-955-13</x:v>
      </x:c>
      <x:c r="C6072" s="87" t="str">
        <x:v>ЕГКР</x:v>
      </x:c>
      <x:c r="D6072" s="87"/>
      <x:c r="E6072" s="87" t="str">
        <x:v>Весна 2026</x:v>
      </x:c>
      <x:c r="F6072" s="87" t="str">
        <x:v>26.03.2026</x:v>
      </x:c>
      <x:c r="G6072" s="87" t="str">
        <x:v>Обществознание</x:v>
      </x:c>
      <x:c r="H6072" s="87" t="n">
        <x:v>11</x:v>
      </x:c>
      <x:c r="I6072" s="87"/>
      <x:c r="J6072" s="87" t="str">
        <x:v>955</x:v>
      </x:c>
      <x:c r="K6072" s="87" t="n">
        <x:v>13</x:v>
      </x:c>
      <x:c r="L6072" s="87" t="str">
        <x:v>Государственная власть / ведение</x:v>
      </x:c>
      <x:c r="M6072" s="30" t="str">
        <x:v>Задание 13 варианта 955. Полная формулировка сохранена на странице по VIS_ID.</x:v>
      </x:c>
      <x:c r="N6072" s="30" t="str">
        <x:v>12111</x:v>
      </x:c>
      <x:c r="O6072" s="30" t="str">
        <x:v>Ответ проверен по исходной формулировке и обществоведческим понятиям.</x:v>
      </x:c>
      <x:c r="P6072" s="30"/>
      <x:c r="Q6072" s="30" t="str">
        <x:v>Независимая содержательная проверка; вторичный ответник хранится отдельно.</x:v>
      </x:c>
      <x:c r="R6072" s="30" t="str">
        <x:v>12111</x:v>
      </x:c>
      <x:c r="S6072" s="30"/>
      <x:c r="T6072" s="30"/>
      <x:c r="U6072" s="30" t="str">
        <x:v>Ответник совпадает с независимой проверкой.</x:v>
      </x:c>
      <x:c r="V6072" s="87" t="str">
        <x:v>VERIFIED</x:v>
      </x:c>
      <x:c r="W6072" s="87"/>
      <x:c r="X6072" s="87" t="n">
        <x:v>4</x:v>
      </x:c>
      <x:c r="Y6072" s="87"/>
      <x:c r="Z6072" s="87"/>
      <x:c r="AA6072" s="87"/>
      <x:c r="AB6072" s="87"/>
      <x:c r="AC6072" s="87" t="str">
        <x:v>VIS-EGKR-SOC-S26-TASK-955-P004</x:v>
      </x:c>
      <x:c r="AD6072" s="87" t="str">
        <x:v>VIS-EGKR-SOC-S26-ANSWERDOC-P001; VIS-EGKR-SOC-S26-ANSWERDOC-P002; VIS-EGKR-SOC-S26-ANSWERDOC-P003; VIS-EGKR-SOC-S26-ANSWERDOC-P004</x:v>
      </x:c>
      <x:c r="AE6072" s="87" t="str">
        <x:v>TASK; SECONDARY_ANSWER_SOURCE</x:v>
      </x:c>
      <x:c r="AF6072" s="87" t="str">
        <x:v>VIS-EGKR-SOC-S26-TASK-955-P004: 4; VIS-EGKR-SOC-S26-ANSWERDOC-P001: 1; VIS-EGKR-SOC-S26-ANSWERDOC-P002: 2; VIS-EGKR-SOC-S26-ANSWERDOC-P003: 3; VIS-EGKR-SOC-S26-ANSWERDOC-P004: 4</x:v>
      </x:c>
      <x:c r="AG6072" s="87" t="str">
        <x:v>RESOLVED</x:v>
      </x:c>
      <x:c r="AH6072" s="87" t="str">
        <x:v>CROP_VERIFIED</x:v>
      </x:c>
      <x:c r="AI6072" s="30"/>
      <x:c r="AJ6072" s="87" t="str">
        <x:v>clean</x:v>
      </x:c>
      <x:c r="AK6072" s="87" t="str">
        <x:v>clean-v0.20</x:v>
      </x:c>
      <x:c r="AL6072" s="87" t="str">
        <x:v>statgrad_clean_continuation_v0_20(1).xlsx</x:v>
      </x:c>
      <x:c r="AM6072" s="87" t="str">
        <x:v>SOC_EGKR_S26_955</x:v>
      </x:c>
      <x:c r="AN6072" s="87" t="n">
        <x:v>14</x:v>
      </x:c>
    </x:row>
    <x:row r="6073">
      <x:c r="A6073" s="87" t="n">
        <x:v>6072</x:v>
      </x:c>
      <x:c r="B6073" s="87" t="str">
        <x:v>EGKR-S26-SOC-955-14</x:v>
      </x:c>
      <x:c r="C6073" s="87" t="str">
        <x:v>ЕГКР</x:v>
      </x:c>
      <x:c r="D6073" s="87"/>
      <x:c r="E6073" s="87" t="str">
        <x:v>Весна 2026</x:v>
      </x:c>
      <x:c r="F6073" s="87" t="str">
        <x:v>26.03.2026</x:v>
      </x:c>
      <x:c r="G6073" s="87" t="str">
        <x:v>Обществознание</x:v>
      </x:c>
      <x:c r="H6073" s="87" t="n">
        <x:v>11</x:v>
      </x:c>
      <x:c r="I6073" s="87"/>
      <x:c r="J6073" s="87" t="str">
        <x:v>955</x:v>
      </x:c>
      <x:c r="K6073" s="87" t="n">
        <x:v>14</x:v>
      </x:c>
      <x:c r="L6073" s="87" t="str">
        <x:v>Правовые суждения</x:v>
      </x:c>
      <x:c r="M6073" s="30" t="str">
        <x:v>Задание 14 варианта 955. Полная формулировка сохранена на странице по VIS_ID.</x:v>
      </x:c>
      <x:c r="N6073" s="30" t="str">
        <x:v>135</x:v>
      </x:c>
      <x:c r="O6073" s="30" t="str">
        <x:v>Ответ проверен по исходной формулировке и обществоведческим понятиям.</x:v>
      </x:c>
      <x:c r="P6073" s="30"/>
      <x:c r="Q6073" s="30" t="str">
        <x:v>Независимая содержательная проверка; вторичный ответник хранится отдельно.</x:v>
      </x:c>
      <x:c r="R6073" s="30" t="str">
        <x:v>123</x:v>
      </x:c>
      <x:c r="S6073" s="30"/>
      <x:c r="T6073" s="30"/>
      <x:c r="U6073" s="30" t="str">
        <x:v>Ответник: 123; канонический ответ: 135.</x:v>
      </x:c>
      <x:c r="V6073" s="87" t="str">
        <x:v>KEY_MISMATCH</x:v>
      </x:c>
      <x:c r="W6073" s="87"/>
      <x:c r="X6073" s="87" t="n">
        <x:v>5</x:v>
      </x:c>
      <x:c r="Y6073" s="87"/>
      <x:c r="Z6073" s="87"/>
      <x:c r="AA6073" s="87"/>
      <x:c r="AB6073" s="87"/>
      <x:c r="AC6073" s="87" t="str">
        <x:v>VIS-EGKR-SOC-S26-TASK-955-P005</x:v>
      </x:c>
      <x:c r="AD6073" s="87" t="str">
        <x:v>VIS-EGKR-SOC-S26-ANSWERDOC-P001; VIS-EGKR-SOC-S26-ANSWERDOC-P002; VIS-EGKR-SOC-S26-ANSWERDOC-P003; VIS-EGKR-SOC-S26-ANSWERDOC-P004</x:v>
      </x:c>
      <x:c r="AE6073" s="87" t="str">
        <x:v>TASK; SECONDARY_ANSWER_SOURCE</x:v>
      </x:c>
      <x:c r="AF6073" s="87" t="str">
        <x:v>VIS-EGKR-SOC-S26-TASK-955-P005: 5; VIS-EGKR-SOC-S26-ANSWERDOC-P001: 1; VIS-EGKR-SOC-S26-ANSWERDOC-P002: 2; VIS-EGKR-SOC-S26-ANSWERDOC-P003: 3; VIS-EGKR-SOC-S26-ANSWERDOC-P004: 4</x:v>
      </x:c>
      <x:c r="AG6073" s="87" t="str">
        <x:v>RESOLVED</x:v>
      </x:c>
      <x:c r="AH6073" s="87" t="str">
        <x:v>CROP_VERIFIED</x:v>
      </x:c>
      <x:c r="AI6073" s="30"/>
      <x:c r="AJ6073" s="87" t="str">
        <x:v>clean</x:v>
      </x:c>
      <x:c r="AK6073" s="87" t="str">
        <x:v>clean-v0.20</x:v>
      </x:c>
      <x:c r="AL6073" s="87" t="str">
        <x:v>statgrad_clean_continuation_v0_20(1).xlsx</x:v>
      </x:c>
      <x:c r="AM6073" s="87" t="str">
        <x:v>SOC_EGKR_S26_955</x:v>
      </x:c>
      <x:c r="AN6073" s="87" t="n">
        <x:v>15</x:v>
      </x:c>
    </x:row>
    <x:row r="6074">
      <x:c r="A6074" s="87" t="n">
        <x:v>6073</x:v>
      </x:c>
      <x:c r="B6074" s="87" t="str">
        <x:v>EGKR-S26-SOC-955-15</x:v>
      </x:c>
      <x:c r="C6074" s="87" t="str">
        <x:v>ЕГКР</x:v>
      </x:c>
      <x:c r="D6074" s="87"/>
      <x:c r="E6074" s="87" t="str">
        <x:v>Весна 2026</x:v>
      </x:c>
      <x:c r="F6074" s="87" t="str">
        <x:v>26.03.2026</x:v>
      </x:c>
      <x:c r="G6074" s="87" t="str">
        <x:v>Обществознание</x:v>
      </x:c>
      <x:c r="H6074" s="87" t="n">
        <x:v>11</x:v>
      </x:c>
      <x:c r="I6074" s="87"/>
      <x:c r="J6074" s="87" t="str">
        <x:v>955</x:v>
      </x:c>
      <x:c r="K6074" s="87" t="n">
        <x:v>15</x:v>
      </x:c>
      <x:c r="L6074" s="87" t="str">
        <x:v>Юридическое соответствие</x:v>
      </x:c>
      <x:c r="M6074" s="30" t="str">
        <x:v>Задание 15 варианта 955. Полная формулировка сохранена на странице по VIS_ID.</x:v>
      </x:c>
      <x:c r="N6074" s="30" t="str">
        <x:v>13321</x:v>
      </x:c>
      <x:c r="O6074" s="30" t="str">
        <x:v>Ответ проверен по исходной формулировке и обществоведческим понятиям.</x:v>
      </x:c>
      <x:c r="P6074" s="30"/>
      <x:c r="Q6074" s="30" t="str">
        <x:v>Независимая содержательная проверка; вторичный ответник хранится отдельно.</x:v>
      </x:c>
      <x:c r="R6074" s="30" t="str">
        <x:v>13321</x:v>
      </x:c>
      <x:c r="S6074" s="30"/>
      <x:c r="T6074" s="30"/>
      <x:c r="U6074" s="30" t="str">
        <x:v>Ответник совпадает с независимой проверкой.</x:v>
      </x:c>
      <x:c r="V6074" s="87" t="str">
        <x:v>VERIFIED</x:v>
      </x:c>
      <x:c r="W6074" s="87"/>
      <x:c r="X6074" s="87" t="n">
        <x:v>5</x:v>
      </x:c>
      <x:c r="Y6074" s="87"/>
      <x:c r="Z6074" s="87"/>
      <x:c r="AA6074" s="87"/>
      <x:c r="AB6074" s="87"/>
      <x:c r="AC6074" s="87" t="str">
        <x:v>VIS-EGKR-SOC-S26-TASK-955-P005</x:v>
      </x:c>
      <x:c r="AD6074" s="87" t="str">
        <x:v>VIS-EGKR-SOC-S26-ANSWERDOC-P001; VIS-EGKR-SOC-S26-ANSWERDOC-P002; VIS-EGKR-SOC-S26-ANSWERDOC-P003; VIS-EGKR-SOC-S26-ANSWERDOC-P004</x:v>
      </x:c>
      <x:c r="AE6074" s="87" t="str">
        <x:v>TASK; SECONDARY_ANSWER_SOURCE</x:v>
      </x:c>
      <x:c r="AF6074" s="87" t="str">
        <x:v>VIS-EGKR-SOC-S26-TASK-955-P005: 5; VIS-EGKR-SOC-S26-ANSWERDOC-P001: 1; VIS-EGKR-SOC-S26-ANSWERDOC-P002: 2; VIS-EGKR-SOC-S26-ANSWERDOC-P003: 3; VIS-EGKR-SOC-S26-ANSWERDOC-P004: 4</x:v>
      </x:c>
      <x:c r="AG6074" s="87" t="str">
        <x:v>RESOLVED</x:v>
      </x:c>
      <x:c r="AH6074" s="87" t="str">
        <x:v>CROP_VERIFIED</x:v>
      </x:c>
      <x:c r="AI6074" s="30"/>
      <x:c r="AJ6074" s="87" t="str">
        <x:v>clean</x:v>
      </x:c>
      <x:c r="AK6074" s="87" t="str">
        <x:v>clean-v0.20</x:v>
      </x:c>
      <x:c r="AL6074" s="87" t="str">
        <x:v>statgrad_clean_continuation_v0_20(1).xlsx</x:v>
      </x:c>
      <x:c r="AM6074" s="87" t="str">
        <x:v>SOC_EGKR_S26_955</x:v>
      </x:c>
      <x:c r="AN6074" s="87" t="n">
        <x:v>16</x:v>
      </x:c>
    </x:row>
    <x:row r="6075">
      <x:c r="A6075" s="87" t="n">
        <x:v>6074</x:v>
      </x:c>
      <x:c r="B6075" s="87" t="str">
        <x:v>EGKR-S26-SOC-955-16</x:v>
      </x:c>
      <x:c r="C6075" s="87" t="str">
        <x:v>ЕГКР</x:v>
      </x:c>
      <x:c r="D6075" s="87"/>
      <x:c r="E6075" s="87" t="str">
        <x:v>Весна 2026</x:v>
      </x:c>
      <x:c r="F6075" s="87" t="str">
        <x:v>26.03.2026</x:v>
      </x:c>
      <x:c r="G6075" s="87" t="str">
        <x:v>Обществознание</x:v>
      </x:c>
      <x:c r="H6075" s="87" t="n">
        <x:v>11</x:v>
      </x:c>
      <x:c r="I6075" s="87"/>
      <x:c r="J6075" s="87" t="str">
        <x:v>955</x:v>
      </x:c>
      <x:c r="K6075" s="87" t="n">
        <x:v>16</x:v>
      </x:c>
      <x:c r="L6075" s="87" t="str">
        <x:v>Практическая правовая ситуация</x:v>
      </x:c>
      <x:c r="M6075" s="30" t="str">
        <x:v>Задание 16 варианта 955. Полная формулировка сохранена на странице по VIS_ID.</x:v>
      </x:c>
      <x:c r="N6075" s="30" t="str">
        <x:v>245</x:v>
      </x:c>
      <x:c r="O6075" s="30" t="str">
        <x:v>Ответ проверен по исходной формулировке и обществоведческим понятиям.</x:v>
      </x:c>
      <x:c r="P6075" s="30"/>
      <x:c r="Q6075" s="30" t="str">
        <x:v>Независимая содержательная проверка; вторичный ответник хранится отдельно.</x:v>
      </x:c>
      <x:c r="R6075" s="30" t="str">
        <x:v>245</x:v>
      </x:c>
      <x:c r="S6075" s="30"/>
      <x:c r="T6075" s="30"/>
      <x:c r="U6075" s="30" t="str">
        <x:v>Ответник совпадает с независимой проверкой.</x:v>
      </x:c>
      <x:c r="V6075" s="87" t="str">
        <x:v>VERIFIED</x:v>
      </x:c>
      <x:c r="W6075" s="87"/>
      <x:c r="X6075" s="87" t="n">
        <x:v>5</x:v>
      </x:c>
      <x:c r="Y6075" s="87"/>
      <x:c r="Z6075" s="87"/>
      <x:c r="AA6075" s="87"/>
      <x:c r="AB6075" s="87"/>
      <x:c r="AC6075" s="87" t="str">
        <x:v>VIS-EGKR-SOC-S26-TASK-955-P005</x:v>
      </x:c>
      <x:c r="AD6075" s="87" t="str">
        <x:v>VIS-EGKR-SOC-S26-ANSWERDOC-P001; VIS-EGKR-SOC-S26-ANSWERDOC-P002; VIS-EGKR-SOC-S26-ANSWERDOC-P003; VIS-EGKR-SOC-S26-ANSWERDOC-P004</x:v>
      </x:c>
      <x:c r="AE6075" s="87" t="str">
        <x:v>TASK; SECONDARY_ANSWER_SOURCE</x:v>
      </x:c>
      <x:c r="AF6075" s="87" t="str">
        <x:v>VIS-EGKR-SOC-S26-TASK-955-P005: 5; VIS-EGKR-SOC-S26-ANSWERDOC-P001: 1; VIS-EGKR-SOC-S26-ANSWERDOC-P002: 2; VIS-EGKR-SOC-S26-ANSWERDOC-P003: 3; VIS-EGKR-SOC-S26-ANSWERDOC-P004: 4</x:v>
      </x:c>
      <x:c r="AG6075" s="87" t="str">
        <x:v>RESOLVED</x:v>
      </x:c>
      <x:c r="AH6075" s="87" t="str">
        <x:v>CROP_VERIFIED</x:v>
      </x:c>
      <x:c r="AI6075" s="30"/>
      <x:c r="AJ6075" s="87" t="str">
        <x:v>clean</x:v>
      </x:c>
      <x:c r="AK6075" s="87" t="str">
        <x:v>clean-v0.20</x:v>
      </x:c>
      <x:c r="AL6075" s="87" t="str">
        <x:v>statgrad_clean_continuation_v0_20(1).xlsx</x:v>
      </x:c>
      <x:c r="AM6075" s="87" t="str">
        <x:v>SOC_EGKR_S26_955</x:v>
      </x:c>
      <x:c r="AN6075" s="87" t="n">
        <x:v>17</x:v>
      </x:c>
    </x:row>
    <x:row r="6076">
      <x:c r="A6076" s="87" t="n">
        <x:v>6075</x:v>
      </x:c>
      <x:c r="B6076" s="87" t="str">
        <x:v>EGKR-S26-SOC-955-17</x:v>
      </x:c>
      <x:c r="C6076" s="87" t="str">
        <x:v>ЕГКР</x:v>
      </x:c>
      <x:c r="D6076" s="87"/>
      <x:c r="E6076" s="87" t="str">
        <x:v>Весна 2026</x:v>
      </x:c>
      <x:c r="F6076" s="87" t="str">
        <x:v>26.03.2026</x:v>
      </x:c>
      <x:c r="G6076" s="87" t="str">
        <x:v>Обществознание</x:v>
      </x:c>
      <x:c r="H6076" s="87" t="n">
        <x:v>11</x:v>
      </x:c>
      <x:c r="I6076" s="87"/>
      <x:c r="J6076" s="87" t="str">
        <x:v>955</x:v>
      </x:c>
      <x:c r="K6076" s="87" t="n">
        <x:v>17</x:v>
      </x:c>
      <x:c r="L6076" s="87" t="str">
        <x:v>Развёрнутый ответ</x:v>
      </x:c>
      <x:c r="M6076" s="30" t="str">
        <x:v>По тексту о провалах рынка назвать общественные блага, причину внешних эффектов и цель государственного сектора.</x:v>
      </x:c>
      <x:c r="N6076" s="30" t="str">
        <x:v>Государство полностью обеспечивает национальную оборону, правопорядок, единую энергосистему, образование и здравоохранение. Рынок не нейтрализует внешние эффекты, поскольку ориентирован на платёжеспособный спрос и не учитывает ущерб третьим лицам. Государственный сектор встроен в рынок для более эффективного распределения ресурсов в обществе.</x:v>
      </x:c>
      <x:c r="O6076" s="30" t="str">
        <x:v>Рабочая модель включает все элементы, требуемые формулировкой.</x:v>
      </x:c>
      <x:c r="P6076" s="30"/>
      <x:c r="Q6076" s="30" t="str">
        <x:v>Сопоставлено с исходным заданием; вторичный ответник использован только для аудита.</x:v>
      </x:c>
      <x:c r="R6076" s="30" t="str">
        <x:v>MODEL_PARTIAL_OR_SECONDARY</x:v>
      </x:c>
      <x:c r="S6076" s="30"/>
      <x:c r="T6076" s="30"/>
      <x:c r="U6076" s="30" t="str">
        <x:v>Модель независимо дополнена там, где во внутреннем ответнике отсутствовали пункты.</x:v>
      </x:c>
      <x:c r="V6076" s="87" t="str">
        <x:v>VERIFIED</x:v>
      </x:c>
      <x:c r="W6076" s="87"/>
      <x:c r="X6076" s="87" t="n">
        <x:v>6</x:v>
      </x:c>
      <x:c r="Y6076" s="87"/>
      <x:c r="Z6076" s="87"/>
      <x:c r="AA6076" s="87"/>
      <x:c r="AB6076" s="87"/>
      <x:c r="AC6076" s="87" t="str">
        <x:v>VIS-EGKR-SOC-S26-TASK-955-P006</x:v>
      </x:c>
      <x:c r="AD6076" s="87" t="str">
        <x:v>VIS-EGKR-SOC-S26-ANSWERDOC-P001; VIS-EGKR-SOC-S26-ANSWERDOC-P002; VIS-EGKR-SOC-S26-ANSWERDOC-P003; VIS-EGKR-SOC-S26-ANSWERDOC-P004</x:v>
      </x:c>
      <x:c r="AE6076" s="87" t="str">
        <x:v>TASK; SECONDARY_ANSWER_SOURCE</x:v>
      </x:c>
      <x:c r="AF6076" s="87" t="str">
        <x:v>VIS-EGKR-SOC-S26-TASK-955-P006: 6; VIS-EGKR-SOC-S26-ANSWERDOC-P001: 1; VIS-EGKR-SOC-S26-ANSWERDOC-P002: 2; VIS-EGKR-SOC-S26-ANSWERDOC-P003: 3; VIS-EGKR-SOC-S26-ANSWERDOC-P004: 4</x:v>
      </x:c>
      <x:c r="AG6076" s="87" t="str">
        <x:v>RESOLVED</x:v>
      </x:c>
      <x:c r="AH6076" s="87" t="str">
        <x:v>CROP_VERIFIED</x:v>
      </x:c>
      <x:c r="AI6076" s="30"/>
      <x:c r="AJ6076" s="87" t="str">
        <x:v>clean</x:v>
      </x:c>
      <x:c r="AK6076" s="87" t="str">
        <x:v>clean-v0.20</x:v>
      </x:c>
      <x:c r="AL6076" s="87" t="str">
        <x:v>statgrad_clean_continuation_v0_20(1).xlsx</x:v>
      </x:c>
      <x:c r="AM6076" s="87" t="str">
        <x:v>SOC_EGKR_S26_955</x:v>
      </x:c>
      <x:c r="AN6076" s="87" t="n">
        <x:v>18</x:v>
      </x:c>
    </x:row>
    <x:row r="6077">
      <x:c r="A6077" s="87" t="n">
        <x:v>6076</x:v>
      </x:c>
      <x:c r="B6077" s="87" t="str">
        <x:v>EGKR-S26-SOC-955-18</x:v>
      </x:c>
      <x:c r="C6077" s="87" t="str">
        <x:v>ЕГКР</x:v>
      </x:c>
      <x:c r="D6077" s="87"/>
      <x:c r="E6077" s="87" t="str">
        <x:v>Весна 2026</x:v>
      </x:c>
      <x:c r="F6077" s="87" t="str">
        <x:v>26.03.2026</x:v>
      </x:c>
      <x:c r="G6077" s="87" t="str">
        <x:v>Обществознание</x:v>
      </x:c>
      <x:c r="H6077" s="87" t="n">
        <x:v>11</x:v>
      </x:c>
      <x:c r="I6077" s="87"/>
      <x:c r="J6077" s="87" t="str">
        <x:v>955</x:v>
      </x:c>
      <x:c r="K6077" s="87" t="n">
        <x:v>18</x:v>
      </x:c>
      <x:c r="L6077" s="87" t="str">
        <x:v>Развёрнутый ответ</x:v>
      </x:c>
      <x:c r="M6077" s="30" t="str">
        <x:v>Раскрыть признаки налога и связь прямого государственного воздействия с экономическим ростом.</x:v>
      </x:c>
      <x:c r="N6077" s="30" t="str">
        <x:v>Налог обязателен, индивидуально безвозмезден, уплачивается в денежной форме физическими и юридическими лицами для финансирования публичной деятельности. Государственные инвестиции в инфраструктуру и высокотехнологичные отрасли расширяют производственные мощности, создают рабочие места и стимулируют совокупный спрос, что способствует росту ВВП.</x:v>
      </x:c>
      <x:c r="O6077" s="30" t="str">
        <x:v>Рабочая модель включает все элементы, требуемые формулировкой.</x:v>
      </x:c>
      <x:c r="P6077" s="30"/>
      <x:c r="Q6077" s="30" t="str">
        <x:v>Сопоставлено с исходным заданием; вторичный ответник использован только для аудита.</x:v>
      </x:c>
      <x:c r="R6077" s="30" t="str">
        <x:v>MODEL_PARTIAL_OR_SECONDARY</x:v>
      </x:c>
      <x:c r="S6077" s="30"/>
      <x:c r="T6077" s="30"/>
      <x:c r="U6077" s="30" t="str">
        <x:v>Модель независимо дополнена там, где во внутреннем ответнике отсутствовали пункты.</x:v>
      </x:c>
      <x:c r="V6077" s="87" t="str">
        <x:v>VERIFIED</x:v>
      </x:c>
      <x:c r="W6077" s="87"/>
      <x:c r="X6077" s="87" t="n">
        <x:v>6</x:v>
      </x:c>
      <x:c r="Y6077" s="87"/>
      <x:c r="Z6077" s="87"/>
      <x:c r="AA6077" s="87"/>
      <x:c r="AB6077" s="87"/>
      <x:c r="AC6077" s="87" t="str">
        <x:v>VIS-EGKR-SOC-S26-TASK-955-P006</x:v>
      </x:c>
      <x:c r="AD6077" s="87" t="str">
        <x:v>VIS-EGKR-SOC-S26-ANSWERDOC-P001; VIS-EGKR-SOC-S26-ANSWERDOC-P002; VIS-EGKR-SOC-S26-ANSWERDOC-P003; VIS-EGKR-SOC-S26-ANSWERDOC-P004</x:v>
      </x:c>
      <x:c r="AE6077" s="87" t="str">
        <x:v>TASK; SECONDARY_ANSWER_SOURCE</x:v>
      </x:c>
      <x:c r="AF6077" s="87" t="str">
        <x:v>VIS-EGKR-SOC-S26-TASK-955-P006: 6; VIS-EGKR-SOC-S26-ANSWERDOC-P001: 1; VIS-EGKR-SOC-S26-ANSWERDOC-P002: 2; VIS-EGKR-SOC-S26-ANSWERDOC-P003: 3; VIS-EGKR-SOC-S26-ANSWERDOC-P004: 4</x:v>
      </x:c>
      <x:c r="AG6077" s="87" t="str">
        <x:v>RESOLVED</x:v>
      </x:c>
      <x:c r="AH6077" s="87" t="str">
        <x:v>CROP_VERIFIED</x:v>
      </x:c>
      <x:c r="AI6077" s="30"/>
      <x:c r="AJ6077" s="87" t="str">
        <x:v>clean</x:v>
      </x:c>
      <x:c r="AK6077" s="87" t="str">
        <x:v>clean-v0.20</x:v>
      </x:c>
      <x:c r="AL6077" s="87" t="str">
        <x:v>statgrad_clean_continuation_v0_20(1).xlsx</x:v>
      </x:c>
      <x:c r="AM6077" s="87" t="str">
        <x:v>SOC_EGKR_S26_955</x:v>
      </x:c>
      <x:c r="AN6077" s="87" t="n">
        <x:v>19</x:v>
      </x:c>
    </x:row>
    <x:row r="6078">
      <x:c r="A6078" s="87" t="n">
        <x:v>6077</x:v>
      </x:c>
      <x:c r="B6078" s="87" t="str">
        <x:v>EGKR-S26-SOC-955-19</x:v>
      </x:c>
      <x:c r="C6078" s="87" t="str">
        <x:v>ЕГКР</x:v>
      </x:c>
      <x:c r="D6078" s="87"/>
      <x:c r="E6078" s="87" t="str">
        <x:v>Весна 2026</x:v>
      </x:c>
      <x:c r="F6078" s="87" t="str">
        <x:v>26.03.2026</x:v>
      </x:c>
      <x:c r="G6078" s="87" t="str">
        <x:v>Обществознание</x:v>
      </x:c>
      <x:c r="H6078" s="87" t="n">
        <x:v>11</x:v>
      </x:c>
      <x:c r="I6078" s="87"/>
      <x:c r="J6078" s="87" t="str">
        <x:v>955</x:v>
      </x:c>
      <x:c r="K6078" s="87" t="n">
        <x:v>19</x:v>
      </x:c>
      <x:c r="L6078" s="87" t="str">
        <x:v>Развёрнутый ответ</x:v>
      </x:c>
      <x:c r="M6078" s="30" t="str">
        <x:v>Привести три примера государственной поддержки занятости населения.</x:v>
      </x:c>
      <x:c r="N6078" s="30" t="str">
        <x:v>1) Центр занятости выплачивает зарегистрированному безработному пособие на период поиска работы. 2) Государство финансирует профессиональную переподготовку гражданина по востребованной специальности. 3) Региональная служба занятости проводит ярмарку вакансий и организует прямые собеседования с работодателями.</x:v>
      </x:c>
      <x:c r="O6078" s="30" t="str">
        <x:v>Рабочая модель включает все элементы, требуемые формулировкой.</x:v>
      </x:c>
      <x:c r="P6078" s="30"/>
      <x:c r="Q6078" s="30" t="str">
        <x:v>Сопоставлено с исходным заданием; вторичный ответник использован только для аудита.</x:v>
      </x:c>
      <x:c r="R6078" s="30" t="str">
        <x:v>MODEL_PARTIAL_OR_SECONDARY</x:v>
      </x:c>
      <x:c r="S6078" s="30"/>
      <x:c r="T6078" s="30"/>
      <x:c r="U6078" s="30" t="str">
        <x:v>Модель независимо дополнена там, где во внутреннем ответнике отсутствовали пункты.</x:v>
      </x:c>
      <x:c r="V6078" s="87" t="str">
        <x:v>VERIFIED</x:v>
      </x:c>
      <x:c r="W6078" s="87"/>
      <x:c r="X6078" s="87" t="n">
        <x:v>6</x:v>
      </x:c>
      <x:c r="Y6078" s="87"/>
      <x:c r="Z6078" s="87"/>
      <x:c r="AA6078" s="87"/>
      <x:c r="AB6078" s="87"/>
      <x:c r="AC6078" s="87" t="str">
        <x:v>VIS-EGKR-SOC-S26-TASK-955-P006</x:v>
      </x:c>
      <x:c r="AD6078" s="87" t="str">
        <x:v>VIS-EGKR-SOC-S26-ANSWERDOC-P001; VIS-EGKR-SOC-S26-ANSWERDOC-P002; VIS-EGKR-SOC-S26-ANSWERDOC-P003; VIS-EGKR-SOC-S26-ANSWERDOC-P004</x:v>
      </x:c>
      <x:c r="AE6078" s="87" t="str">
        <x:v>TASK; SECONDARY_ANSWER_SOURCE</x:v>
      </x:c>
      <x:c r="AF6078" s="87" t="str">
        <x:v>VIS-EGKR-SOC-S26-TASK-955-P006: 6; VIS-EGKR-SOC-S26-ANSWERDOC-P001: 1; VIS-EGKR-SOC-S26-ANSWERDOC-P002: 2; VIS-EGKR-SOC-S26-ANSWERDOC-P003: 3; VIS-EGKR-SOC-S26-ANSWERDOC-P004: 4</x:v>
      </x:c>
      <x:c r="AG6078" s="87" t="str">
        <x:v>RESOLVED</x:v>
      </x:c>
      <x:c r="AH6078" s="87" t="str">
        <x:v>CROP_VERIFIED</x:v>
      </x:c>
      <x:c r="AI6078" s="30"/>
      <x:c r="AJ6078" s="87" t="str">
        <x:v>clean</x:v>
      </x:c>
      <x:c r="AK6078" s="87" t="str">
        <x:v>clean-v0.20</x:v>
      </x:c>
      <x:c r="AL6078" s="87" t="str">
        <x:v>statgrad_clean_continuation_v0_20(1).xlsx</x:v>
      </x:c>
      <x:c r="AM6078" s="87" t="str">
        <x:v>SOC_EGKR_S26_955</x:v>
      </x:c>
      <x:c r="AN6078" s="87" t="n">
        <x:v>20</x:v>
      </x:c>
    </x:row>
    <x:row r="6079">
      <x:c r="A6079" s="87" t="n">
        <x:v>6078</x:v>
      </x:c>
      <x:c r="B6079" s="87" t="str">
        <x:v>EGKR-S26-SOC-955-20</x:v>
      </x:c>
      <x:c r="C6079" s="87" t="str">
        <x:v>ЕГКР</x:v>
      </x:c>
      <x:c r="D6079" s="87"/>
      <x:c r="E6079" s="87" t="str">
        <x:v>Весна 2026</x:v>
      </x:c>
      <x:c r="F6079" s="87" t="str">
        <x:v>26.03.2026</x:v>
      </x:c>
      <x:c r="G6079" s="87" t="str">
        <x:v>Обществознание</x:v>
      </x:c>
      <x:c r="H6079" s="87" t="n">
        <x:v>11</x:v>
      </x:c>
      <x:c r="I6079" s="87"/>
      <x:c r="J6079" s="87" t="str">
        <x:v>955</x:v>
      </x:c>
      <x:c r="K6079" s="87" t="n">
        <x:v>20</x:v>
      </x:c>
      <x:c r="L6079" s="87" t="str">
        <x:v>Развёрнутый ответ</x:v>
      </x:c>
      <x:c r="M6079" s="30" t="str">
        <x:v>Сформулировать три положительных последствия низких налоговых ставок.</x:v>
      </x:c>
      <x:c r="N6079" s="30" t="str">
        <x:v>Низкие ставки оставляют бизнесу больше средств для инвестиций и расширения производства. Рост располагаемых доходов населения поддерживает потребительский спрос. Умеренная налоговая нагрузка снижает стимулы к уклонению и способствует выходу бизнеса из тени.</x:v>
      </x:c>
      <x:c r="O6079" s="30" t="str">
        <x:v>Рабочая модель включает все элементы, требуемые формулировкой.</x:v>
      </x:c>
      <x:c r="P6079" s="30"/>
      <x:c r="Q6079" s="30" t="str">
        <x:v>Сопоставлено с исходным заданием; вторичный ответник использован только для аудита.</x:v>
      </x:c>
      <x:c r="R6079" s="30" t="str">
        <x:v>MODEL_PARTIAL_OR_SECONDARY</x:v>
      </x:c>
      <x:c r="S6079" s="30"/>
      <x:c r="T6079" s="30"/>
      <x:c r="U6079" s="30" t="str">
        <x:v>Модель независимо дополнена там, где во внутреннем ответнике отсутствовали пункты.</x:v>
      </x:c>
      <x:c r="V6079" s="87" t="str">
        <x:v>VERIFIED</x:v>
      </x:c>
      <x:c r="W6079" s="87"/>
      <x:c r="X6079" s="87" t="n">
        <x:v>6</x:v>
      </x:c>
      <x:c r="Y6079" s="87"/>
      <x:c r="Z6079" s="87"/>
      <x:c r="AA6079" s="87"/>
      <x:c r="AB6079" s="87"/>
      <x:c r="AC6079" s="87" t="str">
        <x:v>VIS-EGKR-SOC-S26-TASK-955-P006</x:v>
      </x:c>
      <x:c r="AD6079" s="87" t="str">
        <x:v>VIS-EGKR-SOC-S26-ANSWERDOC-P001; VIS-EGKR-SOC-S26-ANSWERDOC-P002; VIS-EGKR-SOC-S26-ANSWERDOC-P003; VIS-EGKR-SOC-S26-ANSWERDOC-P004</x:v>
      </x:c>
      <x:c r="AE6079" s="87" t="str">
        <x:v>TASK; SECONDARY_ANSWER_SOURCE</x:v>
      </x:c>
      <x:c r="AF6079" s="87" t="str">
        <x:v>VIS-EGKR-SOC-S26-TASK-955-P006: 6; VIS-EGKR-SOC-S26-ANSWERDOC-P001: 1; VIS-EGKR-SOC-S26-ANSWERDOC-P002: 2; VIS-EGKR-SOC-S26-ANSWERDOC-P003: 3; VIS-EGKR-SOC-S26-ANSWERDOC-P004: 4</x:v>
      </x:c>
      <x:c r="AG6079" s="87" t="str">
        <x:v>RESOLVED</x:v>
      </x:c>
      <x:c r="AH6079" s="87" t="str">
        <x:v>CROP_VERIFIED</x:v>
      </x:c>
      <x:c r="AI6079" s="30"/>
      <x:c r="AJ6079" s="87" t="str">
        <x:v>clean</x:v>
      </x:c>
      <x:c r="AK6079" s="87" t="str">
        <x:v>clean-v0.20</x:v>
      </x:c>
      <x:c r="AL6079" s="87" t="str">
        <x:v>statgrad_clean_continuation_v0_20(1).xlsx</x:v>
      </x:c>
      <x:c r="AM6079" s="87" t="str">
        <x:v>SOC_EGKR_S26_955</x:v>
      </x:c>
      <x:c r="AN6079" s="87" t="n">
        <x:v>21</x:v>
      </x:c>
    </x:row>
    <x:row r="6080">
      <x:c r="A6080" s="87" t="n">
        <x:v>6079</x:v>
      </x:c>
      <x:c r="B6080" s="87" t="str">
        <x:v>EGKR-S26-SOC-955-21</x:v>
      </x:c>
      <x:c r="C6080" s="87" t="str">
        <x:v>ЕГКР</x:v>
      </x:c>
      <x:c r="D6080" s="87"/>
      <x:c r="E6080" s="87" t="str">
        <x:v>Весна 2026</x:v>
      </x:c>
      <x:c r="F6080" s="87" t="str">
        <x:v>26.03.2026</x:v>
      </x:c>
      <x:c r="G6080" s="87" t="str">
        <x:v>Обществознание</x:v>
      </x:c>
      <x:c r="H6080" s="87" t="n">
        <x:v>11</x:v>
      </x:c>
      <x:c r="I6080" s="87"/>
      <x:c r="J6080" s="87" t="str">
        <x:v>955</x:v>
      </x:c>
      <x:c r="K6080" s="87" t="n">
        <x:v>21</x:v>
      </x:c>
      <x:c r="L6080" s="87" t="str">
        <x:v>Развёрнутый ответ</x:v>
      </x:c>
      <x:c r="M6080" s="30" t="str">
        <x:v>Проанализировать уменьшение спроса на арбузы и изменение предложения.</x:v>
      </x:c>
      <x:c r="N6080" s="30" t="str">
        <x:v>Равновесная цена снизилась. Причиной могло стать окончание сезона массового потребления: спрос сократился и кривая сместилась влево. Расширение посевных площадей увеличит предложение и дополнительно снизит равновесную цену.</x:v>
      </x:c>
      <x:c r="O6080" s="30" t="str">
        <x:v>Рабочая модель включает все элементы, требуемые формулировкой.</x:v>
      </x:c>
      <x:c r="P6080" s="30"/>
      <x:c r="Q6080" s="30" t="str">
        <x:v>Сопоставлено с исходным заданием; вторичный ответник использован только для аудита.</x:v>
      </x:c>
      <x:c r="R6080" s="30" t="str">
        <x:v>MODEL_PARTIAL_OR_SECONDARY</x:v>
      </x:c>
      <x:c r="S6080" s="30"/>
      <x:c r="T6080" s="30"/>
      <x:c r="U6080" s="30" t="str">
        <x:v>Модель независимо дополнена там, где во внутреннем ответнике отсутствовали пункты.</x:v>
      </x:c>
      <x:c r="V6080" s="87" t="str">
        <x:v>VERIFIED</x:v>
      </x:c>
      <x:c r="W6080" s="87"/>
      <x:c r="X6080" s="87" t="n">
        <x:v>7</x:v>
      </x:c>
      <x:c r="Y6080" s="87"/>
      <x:c r="Z6080" s="87"/>
      <x:c r="AA6080" s="87"/>
      <x:c r="AB6080" s="87"/>
      <x:c r="AC6080" s="87" t="str">
        <x:v>VIS-EGKR-SOC-S26-TASK-955-P007</x:v>
      </x:c>
      <x:c r="AD6080" s="87" t="str">
        <x:v>VIS-EGKR-SOC-S26-ANSWERDOC-P001; VIS-EGKR-SOC-S26-ANSWERDOC-P002; VIS-EGKR-SOC-S26-ANSWERDOC-P003; VIS-EGKR-SOC-S26-ANSWERDOC-P004</x:v>
      </x:c>
      <x:c r="AE6080" s="87" t="str">
        <x:v>TASK; SECONDARY_ANSWER_SOURCE</x:v>
      </x:c>
      <x:c r="AF6080" s="87" t="str">
        <x:v>VIS-EGKR-SOC-S26-TASK-955-P007: 7; VIS-EGKR-SOC-S26-ANSWERDOC-P001: 1; VIS-EGKR-SOC-S26-ANSWERDOC-P002: 2; VIS-EGKR-SOC-S26-ANSWERDOC-P003: 3; VIS-EGKR-SOC-S26-ANSWERDOC-P004: 4</x:v>
      </x:c>
      <x:c r="AG6080" s="87" t="str">
        <x:v>RESOLVED</x:v>
      </x:c>
      <x:c r="AH6080" s="87" t="str">
        <x:v>CROP_VERIFIED</x:v>
      </x:c>
      <x:c r="AI6080" s="30"/>
      <x:c r="AJ6080" s="87" t="str">
        <x:v>clean</x:v>
      </x:c>
      <x:c r="AK6080" s="87" t="str">
        <x:v>clean-v0.20</x:v>
      </x:c>
      <x:c r="AL6080" s="87" t="str">
        <x:v>statgrad_clean_continuation_v0_20(1).xlsx</x:v>
      </x:c>
      <x:c r="AM6080" s="87" t="str">
        <x:v>SOC_EGKR_S26_955</x:v>
      </x:c>
      <x:c r="AN6080" s="87" t="n">
        <x:v>22</x:v>
      </x:c>
    </x:row>
    <x:row r="6081">
      <x:c r="A6081" s="87" t="n">
        <x:v>6080</x:v>
      </x:c>
      <x:c r="B6081" s="87" t="str">
        <x:v>EGKR-S26-SOC-955-22</x:v>
      </x:c>
      <x:c r="C6081" s="87" t="str">
        <x:v>ЕГКР</x:v>
      </x:c>
      <x:c r="D6081" s="87"/>
      <x:c r="E6081" s="87" t="str">
        <x:v>Весна 2026</x:v>
      </x:c>
      <x:c r="F6081" s="87" t="str">
        <x:v>26.03.2026</x:v>
      </x:c>
      <x:c r="G6081" s="87" t="str">
        <x:v>Обществознание</x:v>
      </x:c>
      <x:c r="H6081" s="87" t="n">
        <x:v>11</x:v>
      </x:c>
      <x:c r="I6081" s="87"/>
      <x:c r="J6081" s="87" t="str">
        <x:v>955</x:v>
      </x:c>
      <x:c r="K6081" s="87" t="n">
        <x:v>22</x:v>
      </x:c>
      <x:c r="L6081" s="87" t="str">
        <x:v>Развёрнутый ответ</x:v>
      </x:c>
      <x:c r="M6081" s="30" t="str">
        <x:v>Решить задачу о семейном бюджете, налоге и брачном договоре.</x:v>
      </x:c>
      <x:c r="N6081" s="30" t="str">
        <x:v>Налог на имущество физических лиц — местный. Долевой бюджет подтверждает объединение лишь части доходов. Источники дохода — заработная плата и доход от собственности в форме дивидендов. Из брачного договора исключаются распределение бытовых обязанностей и место проведения отпуска, поскольку это личные неимущественные отношения.</x:v>
      </x:c>
      <x:c r="O6081" s="30" t="str">
        <x:v>Рабочая модель включает все элементы, требуемые формулировкой.</x:v>
      </x:c>
      <x:c r="P6081" s="30"/>
      <x:c r="Q6081" s="30" t="str">
        <x:v>Сопоставлено с исходным заданием; вторичный ответник использован только для аудита.</x:v>
      </x:c>
      <x:c r="R6081" s="30" t="str">
        <x:v>MODEL_PARTIAL_OR_SECONDARY</x:v>
      </x:c>
      <x:c r="S6081" s="30"/>
      <x:c r="T6081" s="30"/>
      <x:c r="U6081" s="30" t="str">
        <x:v>Модель независимо дополнена там, где во внутреннем ответнике отсутствовали пункты.</x:v>
      </x:c>
      <x:c r="V6081" s="87" t="str">
        <x:v>VERIFIED</x:v>
      </x:c>
      <x:c r="W6081" s="87"/>
      <x:c r="X6081" s="87" t="n">
        <x:v>7</x:v>
      </x:c>
      <x:c r="Y6081" s="87"/>
      <x:c r="Z6081" s="87"/>
      <x:c r="AA6081" s="87"/>
      <x:c r="AB6081" s="87"/>
      <x:c r="AC6081" s="87" t="str">
        <x:v>VIS-EGKR-SOC-S26-TASK-955-P007</x:v>
      </x:c>
      <x:c r="AD6081" s="87" t="str">
        <x:v>VIS-EGKR-SOC-S26-ANSWERDOC-P001; VIS-EGKR-SOC-S26-ANSWERDOC-P002; VIS-EGKR-SOC-S26-ANSWERDOC-P003; VIS-EGKR-SOC-S26-ANSWERDOC-P004</x:v>
      </x:c>
      <x:c r="AE6081" s="87" t="str">
        <x:v>TASK; SECONDARY_ANSWER_SOURCE</x:v>
      </x:c>
      <x:c r="AF6081" s="87" t="str">
        <x:v>VIS-EGKR-SOC-S26-TASK-955-P007: 7; VIS-EGKR-SOC-S26-ANSWERDOC-P001: 1; VIS-EGKR-SOC-S26-ANSWERDOC-P002: 2; VIS-EGKR-SOC-S26-ANSWERDOC-P003: 3; VIS-EGKR-SOC-S26-ANSWERDOC-P004: 4</x:v>
      </x:c>
      <x:c r="AG6081" s="87" t="str">
        <x:v>RESOLVED</x:v>
      </x:c>
      <x:c r="AH6081" s="87" t="str">
        <x:v>CROP_VERIFIED</x:v>
      </x:c>
      <x:c r="AI6081" s="30"/>
      <x:c r="AJ6081" s="87" t="str">
        <x:v>clean</x:v>
      </x:c>
      <x:c r="AK6081" s="87" t="str">
        <x:v>clean-v0.20</x:v>
      </x:c>
      <x:c r="AL6081" s="87" t="str">
        <x:v>statgrad_clean_continuation_v0_20(1).xlsx</x:v>
      </x:c>
      <x:c r="AM6081" s="87" t="str">
        <x:v>SOC_EGKR_S26_955</x:v>
      </x:c>
      <x:c r="AN6081" s="87" t="n">
        <x:v>23</x:v>
      </x:c>
    </x:row>
    <x:row r="6082">
      <x:c r="A6082" s="87" t="n">
        <x:v>6081</x:v>
      </x:c>
      <x:c r="B6082" s="87" t="str">
        <x:v>EGKR-S26-SOC-955-23</x:v>
      </x:c>
      <x:c r="C6082" s="87" t="str">
        <x:v>ЕГКР</x:v>
      </x:c>
      <x:c r="D6082" s="87"/>
      <x:c r="E6082" s="87" t="str">
        <x:v>Весна 2026</x:v>
      </x:c>
      <x:c r="F6082" s="87" t="str">
        <x:v>26.03.2026</x:v>
      </x:c>
      <x:c r="G6082" s="87" t="str">
        <x:v>Обществознание</x:v>
      </x:c>
      <x:c r="H6082" s="87" t="n">
        <x:v>11</x:v>
      </x:c>
      <x:c r="I6082" s="87"/>
      <x:c r="J6082" s="87" t="str">
        <x:v>955</x:v>
      </x:c>
      <x:c r="K6082" s="87" t="n">
        <x:v>23</x:v>
      </x:c>
      <x:c r="L6082" s="87" t="str">
        <x:v>Развёрнутый ответ</x:v>
      </x:c>
      <x:c r="M6082" s="30" t="str">
        <x:v>Объяснить республиканскую форму правления, охрану достоинства и социальный характер РФ.</x:v>
      </x:c>
      <x:c r="N6082" s="30" t="str">
        <x:v>Республика предполагает выборность либо формирование высших органов власти на определённый срок и отсутствие наследственной передачи верховной власти. Достоинство личности охраняется государством, ничто не может быть основанием для его умаления, запрещены пытки и унижающее обращение. Социальное государство создаёт условия для достойной жизни, поддерживает труд, здоровье, семью и систему социального обеспечения.</x:v>
      </x:c>
      <x:c r="O6082" s="30" t="str">
        <x:v>Рабочая модель включает все элементы, требуемые формулировкой.</x:v>
      </x:c>
      <x:c r="P6082" s="30"/>
      <x:c r="Q6082" s="30" t="str">
        <x:v>Сопоставлено с исходным заданием; вторичный ответник использован только для аудита.</x:v>
      </x:c>
      <x:c r="R6082" s="30" t="str">
        <x:v>MODEL_PARTIAL_OR_SECONDARY</x:v>
      </x:c>
      <x:c r="S6082" s="30"/>
      <x:c r="T6082" s="30"/>
      <x:c r="U6082" s="30" t="str">
        <x:v>Модель независимо дополнена там, где во внутреннем ответнике отсутствовали пункты.</x:v>
      </x:c>
      <x:c r="V6082" s="87" t="str">
        <x:v>VERIFIED</x:v>
      </x:c>
      <x:c r="W6082" s="87"/>
      <x:c r="X6082" s="87" t="n">
        <x:v>7</x:v>
      </x:c>
      <x:c r="Y6082" s="87"/>
      <x:c r="Z6082" s="87"/>
      <x:c r="AA6082" s="87"/>
      <x:c r="AB6082" s="87"/>
      <x:c r="AC6082" s="87" t="str">
        <x:v>VIS-EGKR-SOC-S26-TASK-955-P007</x:v>
      </x:c>
      <x:c r="AD6082" s="87" t="str">
        <x:v>VIS-EGKR-SOC-S26-ANSWERDOC-P001; VIS-EGKR-SOC-S26-ANSWERDOC-P002; VIS-EGKR-SOC-S26-ANSWERDOC-P003; VIS-EGKR-SOC-S26-ANSWERDOC-P004</x:v>
      </x:c>
      <x:c r="AE6082" s="87" t="str">
        <x:v>TASK; SECONDARY_ANSWER_SOURCE</x:v>
      </x:c>
      <x:c r="AF6082" s="87" t="str">
        <x:v>VIS-EGKR-SOC-S26-TASK-955-P007: 7; VIS-EGKR-SOC-S26-ANSWERDOC-P001: 1; VIS-EGKR-SOC-S26-ANSWERDOC-P002: 2; VIS-EGKR-SOC-S26-ANSWERDOC-P003: 3; VIS-EGKR-SOC-S26-ANSWERDOC-P004: 4</x:v>
      </x:c>
      <x:c r="AG6082" s="87" t="str">
        <x:v>RESOLVED</x:v>
      </x:c>
      <x:c r="AH6082" s="87" t="str">
        <x:v>CROP_VERIFIED</x:v>
      </x:c>
      <x:c r="AI6082" s="30"/>
      <x:c r="AJ6082" s="87" t="str">
        <x:v>clean</x:v>
      </x:c>
      <x:c r="AK6082" s="87" t="str">
        <x:v>clean-v0.20</x:v>
      </x:c>
      <x:c r="AL6082" s="87" t="str">
        <x:v>statgrad_clean_continuation_v0_20(1).xlsx</x:v>
      </x:c>
      <x:c r="AM6082" s="87" t="str">
        <x:v>SOC_EGKR_S26_955</x:v>
      </x:c>
      <x:c r="AN6082" s="87" t="n">
        <x:v>24</x:v>
      </x:c>
    </x:row>
    <x:row r="6083">
      <x:c r="A6083" s="87" t="n">
        <x:v>6082</x:v>
      </x:c>
      <x:c r="B6083" s="87" t="str">
        <x:v>EGKR-S26-SOC-955-24</x:v>
      </x:c>
      <x:c r="C6083" s="87" t="str">
        <x:v>ЕГКР</x:v>
      </x:c>
      <x:c r="D6083" s="87"/>
      <x:c r="E6083" s="87" t="str">
        <x:v>Весна 2026</x:v>
      </x:c>
      <x:c r="F6083" s="87" t="str">
        <x:v>26.03.2026</x:v>
      </x:c>
      <x:c r="G6083" s="87" t="str">
        <x:v>Обществознание</x:v>
      </x:c>
      <x:c r="H6083" s="87" t="n">
        <x:v>11</x:v>
      </x:c>
      <x:c r="I6083" s="87"/>
      <x:c r="J6083" s="87" t="str">
        <x:v>955</x:v>
      </x:c>
      <x:c r="K6083" s="87" t="n">
        <x:v>24</x:v>
      </x:c>
      <x:c r="L6083" s="87" t="str">
        <x:v>Развёрнутый ответ</x:v>
      </x:c>
      <x:c r="M6083" s="30" t="str">
        <x:v>Составить сложный план по организационной подсистеме политической системы.</x:v>
      </x:c>
      <x:c r="N6083" s="30" t="str">
        <x:v>1. Понятие политической системы. 2. Подсистемы: институциональная, нормативная, коммуникативная, культурно-идеологическая. 3. Институты организационной подсистемы: государство, партии, общественно-политические движения, СМИ. 4. Функции: представительство интересов, политическая социализация, участие в борьбе за власть и её осуществлении. 5. Особая роль государства как носителя суверенитета и публичной власти.</x:v>
      </x:c>
      <x:c r="O6083" s="30" t="str">
        <x:v>Рабочая модель включает все элементы, требуемые формулировкой.</x:v>
      </x:c>
      <x:c r="P6083" s="30"/>
      <x:c r="Q6083" s="30" t="str">
        <x:v>Сопоставлено с исходным заданием; вторичный ответник использован только для аудита.</x:v>
      </x:c>
      <x:c r="R6083" s="30" t="str">
        <x:v>MODEL_PARTIAL_OR_SECONDARY</x:v>
      </x:c>
      <x:c r="S6083" s="30"/>
      <x:c r="T6083" s="30"/>
      <x:c r="U6083" s="30" t="str">
        <x:v>Модель независимо дополнена там, где во внутреннем ответнике отсутствовали пункты.</x:v>
      </x:c>
      <x:c r="V6083" s="87" t="str">
        <x:v>VERIFIED</x:v>
      </x:c>
      <x:c r="W6083" s="87"/>
      <x:c r="X6083" s="87" t="n">
        <x:v>7</x:v>
      </x:c>
      <x:c r="Y6083" s="87"/>
      <x:c r="Z6083" s="87"/>
      <x:c r="AA6083" s="87"/>
      <x:c r="AB6083" s="87"/>
      <x:c r="AC6083" s="87" t="str">
        <x:v>VIS-EGKR-SOC-S26-TASK-955-P007</x:v>
      </x:c>
      <x:c r="AD6083" s="87" t="str">
        <x:v>VIS-EGKR-SOC-S26-ANSWERDOC-P001; VIS-EGKR-SOC-S26-ANSWERDOC-P002; VIS-EGKR-SOC-S26-ANSWERDOC-P003; VIS-EGKR-SOC-S26-ANSWERDOC-P004</x:v>
      </x:c>
      <x:c r="AE6083" s="87" t="str">
        <x:v>TASK; SECONDARY_ANSWER_SOURCE</x:v>
      </x:c>
      <x:c r="AF6083" s="87" t="str">
        <x:v>VIS-EGKR-SOC-S26-TASK-955-P007: 7; VIS-EGKR-SOC-S26-ANSWERDOC-P001: 1; VIS-EGKR-SOC-S26-ANSWERDOC-P002: 2; VIS-EGKR-SOC-S26-ANSWERDOC-P003: 3; VIS-EGKR-SOC-S26-ANSWERDOC-P004: 4</x:v>
      </x:c>
      <x:c r="AG6083" s="87" t="str">
        <x:v>RESOLVED</x:v>
      </x:c>
      <x:c r="AH6083" s="87" t="str">
        <x:v>CROP_VERIFIED</x:v>
      </x:c>
      <x:c r="AI6083" s="30"/>
      <x:c r="AJ6083" s="87" t="str">
        <x:v>clean</x:v>
      </x:c>
      <x:c r="AK6083" s="87" t="str">
        <x:v>clean-v0.20</x:v>
      </x:c>
      <x:c r="AL6083" s="87" t="str">
        <x:v>statgrad_clean_continuation_v0_20(1).xlsx</x:v>
      </x:c>
      <x:c r="AM6083" s="87" t="str">
        <x:v>SOC_EGKR_S26_955</x:v>
      </x:c>
      <x:c r="AN6083" s="87" t="n">
        <x:v>25</x:v>
      </x:c>
    </x:row>
    <x:row r="6084">
      <x:c r="A6084" s="87" t="n">
        <x:v>6083</x:v>
      </x:c>
      <x:c r="B6084" s="87" t="str">
        <x:v>EGKR-S26-SOC-955-25</x:v>
      </x:c>
      <x:c r="C6084" s="87" t="str">
        <x:v>ЕГКР</x:v>
      </x:c>
      <x:c r="D6084" s="87"/>
      <x:c r="E6084" s="87" t="str">
        <x:v>Весна 2026</x:v>
      </x:c>
      <x:c r="F6084" s="87" t="str">
        <x:v>26.03.2026</x:v>
      </x:c>
      <x:c r="G6084" s="87" t="str">
        <x:v>Обществознание</x:v>
      </x:c>
      <x:c r="H6084" s="87" t="n">
        <x:v>11</x:v>
      </x:c>
      <x:c r="I6084" s="87"/>
      <x:c r="J6084" s="87" t="str">
        <x:v>955</x:v>
      </x:c>
      <x:c r="K6084" s="87" t="n">
        <x:v>25</x:v>
      </x:c>
      <x:c r="L6084" s="87" t="str">
        <x:v>Развёрнутый ответ</x:v>
      </x:c>
      <x:c r="M6084" s="30" t="str">
        <x:v>Обосновать роль государства и привести три формы политического участия граждан с примерами.</x:v>
      </x:c>
      <x:c r="N6084" s="30" t="str">
        <x:v>Государство является главным институтом политической системы, поскольку обладает суверенитетом, издаёт общеобязательные нормы, располагает аппаратом управления и законного принуждения и представляет общество во внешних отношениях. Формы участия: голосование на выборах; обращение в органы власти; участие в деятельности политической партии. Примеры: гражданин голосует на выборах депутатов; жители направляют коллективное обращение муниципалитету; член партии участвует в разработке и публичном обсуждении её программы.</x:v>
      </x:c>
      <x:c r="O6084" s="30" t="str">
        <x:v>Рабочая модель включает все элементы, требуемые формулировкой.</x:v>
      </x:c>
      <x:c r="P6084" s="30"/>
      <x:c r="Q6084" s="30" t="str">
        <x:v>Сопоставлено с исходным заданием; вторичный ответник использован только для аудита.</x:v>
      </x:c>
      <x:c r="R6084" s="30" t="str">
        <x:v>MODEL_PARTIAL_OR_SECONDARY</x:v>
      </x:c>
      <x:c r="S6084" s="30"/>
      <x:c r="T6084" s="30"/>
      <x:c r="U6084" s="30" t="str">
        <x:v>Модель независимо дополнена там, где во внутреннем ответнике отсутствовали пункты.</x:v>
      </x:c>
      <x:c r="V6084" s="87" t="str">
        <x:v>VERIFIED</x:v>
      </x:c>
      <x:c r="W6084" s="87"/>
      <x:c r="X6084" s="87" t="n">
        <x:v>7</x:v>
      </x:c>
      <x:c r="Y6084" s="87"/>
      <x:c r="Z6084" s="87"/>
      <x:c r="AA6084" s="87"/>
      <x:c r="AB6084" s="87"/>
      <x:c r="AC6084" s="87" t="str">
        <x:v>VIS-EGKR-SOC-S26-TASK-955-P007</x:v>
      </x:c>
      <x:c r="AD6084" s="87" t="str">
        <x:v>VIS-EGKR-SOC-S26-ANSWERDOC-P001; VIS-EGKR-SOC-S26-ANSWERDOC-P002; VIS-EGKR-SOC-S26-ANSWERDOC-P003; VIS-EGKR-SOC-S26-ANSWERDOC-P004</x:v>
      </x:c>
      <x:c r="AE6084" s="87" t="str">
        <x:v>TASK; SECONDARY_ANSWER_SOURCE</x:v>
      </x:c>
      <x:c r="AF6084" s="87" t="str">
        <x:v>VIS-EGKR-SOC-S26-TASK-955-P007: 7; VIS-EGKR-SOC-S26-ANSWERDOC-P001: 1; VIS-EGKR-SOC-S26-ANSWERDOC-P002: 2; VIS-EGKR-SOC-S26-ANSWERDOC-P003: 3; VIS-EGKR-SOC-S26-ANSWERDOC-P004: 4</x:v>
      </x:c>
      <x:c r="AG6084" s="87" t="str">
        <x:v>RESOLVED</x:v>
      </x:c>
      <x:c r="AH6084" s="87" t="str">
        <x:v>CROP_VERIFIED</x:v>
      </x:c>
      <x:c r="AI6084" s="30"/>
      <x:c r="AJ6084" s="87" t="str">
        <x:v>clean</x:v>
      </x:c>
      <x:c r="AK6084" s="87" t="str">
        <x:v>clean-v0.20</x:v>
      </x:c>
      <x:c r="AL6084" s="87" t="str">
        <x:v>statgrad_clean_continuation_v0_20(1).xlsx</x:v>
      </x:c>
      <x:c r="AM6084" s="87" t="str">
        <x:v>SOC_EGKR_S26_955</x:v>
      </x:c>
      <x:c r="AN6084" s="87" t="n">
        <x:v>26</x:v>
      </x:c>
    </x:row>
    <x:row r="6085">
      <x:c r="A6085" s="87" t="n">
        <x:v>6084</x:v>
      </x:c>
      <x:c r="B6085" s="87" t="str">
        <x:v>EGKR-S26-SOC-956-01</x:v>
      </x:c>
      <x:c r="C6085" s="87" t="str">
        <x:v>ЕГКР</x:v>
      </x:c>
      <x:c r="D6085" s="87"/>
      <x:c r="E6085" s="87" t="str">
        <x:v>Весна 2026</x:v>
      </x:c>
      <x:c r="F6085" s="87" t="str">
        <x:v>26.03.2026</x:v>
      </x:c>
      <x:c r="G6085" s="87" t="str">
        <x:v>Обществознание</x:v>
      </x:c>
      <x:c r="H6085" s="87" t="n">
        <x:v>11</x:v>
      </x:c>
      <x:c r="I6085" s="87"/>
      <x:c r="J6085" s="87" t="str">
        <x:v>956</x:v>
      </x:c>
      <x:c r="K6085" s="87" t="n">
        <x:v>1</x:v>
      </x:c>
      <x:c r="L6085" s="87" t="str">
        <x:v>Понятие / исключение из ряда</x:v>
      </x:c>
      <x:c r="M6085" s="30" t="str">
        <x:v>Задание 1 варианта 956. Полная формулировка сохранена на странице по VIS_ID.</x:v>
      </x:c>
      <x:c r="N6085" s="30" t="str">
        <x:v>14</x:v>
      </x:c>
      <x:c r="O6085" s="30" t="str">
        <x:v>Ответ проверен по исходной формулировке и обществоведческим понятиям.</x:v>
      </x:c>
      <x:c r="P6085" s="30"/>
      <x:c r="Q6085" s="30" t="str">
        <x:v>Независимая содержательная проверка; вторичный ответник хранится отдельно.</x:v>
      </x:c>
      <x:c r="R6085" s="30" t="str">
        <x:v>14</x:v>
      </x:c>
      <x:c r="S6085" s="30"/>
      <x:c r="T6085" s="30"/>
      <x:c r="U6085" s="30" t="str">
        <x:v>Ответник совпадает с независимой проверкой.</x:v>
      </x:c>
      <x:c r="V6085" s="87" t="str">
        <x:v>VERIFIED</x:v>
      </x:c>
      <x:c r="W6085" s="87"/>
      <x:c r="X6085" s="87" t="n">
        <x:v>1</x:v>
      </x:c>
      <x:c r="Y6085" s="87"/>
      <x:c r="Z6085" s="87"/>
      <x:c r="AA6085" s="87"/>
      <x:c r="AB6085" s="87"/>
      <x:c r="AC6085" s="87" t="str">
        <x:v>VIS-EGKR-SOC-S26-TASK-956-P001</x:v>
      </x:c>
      <x:c r="AD6085" s="87" t="str">
        <x:v>VIS-EGKR-SOC-S26-ANSWERDOC-P004; VIS-EGKR-SOC-S26-ANSWERDOC-P005; VIS-EGKR-SOC-S26-ANSWERDOC-P006; VIS-EGKR-SOC-S26-ANSWERDOC-P007</x:v>
      </x:c>
      <x:c r="AE6085" s="87" t="str">
        <x:v>TASK; SECONDARY_ANSWER_SOURCE</x:v>
      </x:c>
      <x:c r="AF6085" s="87" t="str">
        <x:v>VIS-EGKR-SOC-S26-TASK-956-P001: 1; VIS-EGKR-SOC-S26-ANSWERDOC-P004: 4; VIS-EGKR-SOC-S26-ANSWERDOC-P005: 5; VIS-EGKR-SOC-S26-ANSWERDOC-P006: 6; VIS-EGKR-SOC-S26-ANSWERDOC-P007: 7</x:v>
      </x:c>
      <x:c r="AG6085" s="87" t="str">
        <x:v>RESOLVED</x:v>
      </x:c>
      <x:c r="AH6085" s="87" t="str">
        <x:v>CROP_VERIFIED</x:v>
      </x:c>
      <x:c r="AI6085" s="30"/>
      <x:c r="AJ6085" s="87" t="str">
        <x:v>clean</x:v>
      </x:c>
      <x:c r="AK6085" s="87" t="str">
        <x:v>clean-v0.20</x:v>
      </x:c>
      <x:c r="AL6085" s="87" t="str">
        <x:v>statgrad_clean_continuation_v0_20(1).xlsx</x:v>
      </x:c>
      <x:c r="AM6085" s="87" t="str">
        <x:v>SOC_EGKR_S26_956</x:v>
      </x:c>
      <x:c r="AN6085" s="87" t="n">
        <x:v>2</x:v>
      </x:c>
    </x:row>
    <x:row r="6086">
      <x:c r="A6086" s="87" t="n">
        <x:v>6085</x:v>
      </x:c>
      <x:c r="B6086" s="87" t="str">
        <x:v>EGKR-S26-SOC-956-02</x:v>
      </x:c>
      <x:c r="C6086" s="87" t="str">
        <x:v>ЕГКР</x:v>
      </x:c>
      <x:c r="D6086" s="87"/>
      <x:c r="E6086" s="87" t="str">
        <x:v>Весна 2026</x:v>
      </x:c>
      <x:c r="F6086" s="87" t="str">
        <x:v>26.03.2026</x:v>
      </x:c>
      <x:c r="G6086" s="87" t="str">
        <x:v>Обществознание</x:v>
      </x:c>
      <x:c r="H6086" s="87" t="n">
        <x:v>11</x:v>
      </x:c>
      <x:c r="I6086" s="87"/>
      <x:c r="J6086" s="87" t="str">
        <x:v>956</x:v>
      </x:c>
      <x:c r="K6086" s="87" t="n">
        <x:v>2</x:v>
      </x:c>
      <x:c r="L6086" s="87" t="str">
        <x:v>Теоретические суждения</x:v>
      </x:c>
      <x:c r="M6086" s="30" t="str">
        <x:v>Задание 2 варианта 956. Полная формулировка сохранена на странице по VIS_ID.</x:v>
      </x:c>
      <x:c r="N6086" s="30" t="str">
        <x:v>23</x:v>
      </x:c>
      <x:c r="O6086" s="30" t="str">
        <x:v>Ответ проверен по исходной формулировке и обществоведческим понятиям.</x:v>
      </x:c>
      <x:c r="P6086" s="30"/>
      <x:c r="Q6086" s="30" t="str">
        <x:v>Независимая содержательная проверка; вторичный ответник хранится отдельно.</x:v>
      </x:c>
      <x:c r="R6086" s="30" t="str">
        <x:v>234</x:v>
      </x:c>
      <x:c r="S6086" s="30"/>
      <x:c r="T6086" s="30"/>
      <x:c r="U6086" s="30" t="str">
        <x:v>Ответник: 234; канонический ответ: 23.</x:v>
      </x:c>
      <x:c r="V6086" s="87" t="str">
        <x:v>KEY_MISMATCH</x:v>
      </x:c>
      <x:c r="W6086" s="87"/>
      <x:c r="X6086" s="87" t="n">
        <x:v>1</x:v>
      </x:c>
      <x:c r="Y6086" s="87"/>
      <x:c r="Z6086" s="87"/>
      <x:c r="AA6086" s="87"/>
      <x:c r="AB6086" s="87"/>
      <x:c r="AC6086" s="87" t="str">
        <x:v>VIS-EGKR-SOC-S26-TASK-956-P001</x:v>
      </x:c>
      <x:c r="AD6086" s="87" t="str">
        <x:v>VIS-EGKR-SOC-S26-ANSWERDOC-P004; VIS-EGKR-SOC-S26-ANSWERDOC-P005; VIS-EGKR-SOC-S26-ANSWERDOC-P006; VIS-EGKR-SOC-S26-ANSWERDOC-P007</x:v>
      </x:c>
      <x:c r="AE6086" s="87" t="str">
        <x:v>TASK; SECONDARY_ANSWER_SOURCE</x:v>
      </x:c>
      <x:c r="AF6086" s="87" t="str">
        <x:v>VIS-EGKR-SOC-S26-TASK-956-P001: 1; VIS-EGKR-SOC-S26-ANSWERDOC-P004: 4; VIS-EGKR-SOC-S26-ANSWERDOC-P005: 5; VIS-EGKR-SOC-S26-ANSWERDOC-P006: 6; VIS-EGKR-SOC-S26-ANSWERDOC-P007: 7</x:v>
      </x:c>
      <x:c r="AG6086" s="87" t="str">
        <x:v>RESOLVED</x:v>
      </x:c>
      <x:c r="AH6086" s="87" t="str">
        <x:v>CROP_VERIFIED</x:v>
      </x:c>
      <x:c r="AI6086" s="30"/>
      <x:c r="AJ6086" s="87" t="str">
        <x:v>clean</x:v>
      </x:c>
      <x:c r="AK6086" s="87" t="str">
        <x:v>clean-v0.20</x:v>
      </x:c>
      <x:c r="AL6086" s="87" t="str">
        <x:v>statgrad_clean_continuation_v0_20(1).xlsx</x:v>
      </x:c>
      <x:c r="AM6086" s="87" t="str">
        <x:v>SOC_EGKR_S26_956</x:v>
      </x:c>
      <x:c r="AN6086" s="87" t="n">
        <x:v>3</x:v>
      </x:c>
    </x:row>
    <x:row r="6087">
      <x:c r="A6087" s="87" t="n">
        <x:v>6086</x:v>
      </x:c>
      <x:c r="B6087" s="87" t="str">
        <x:v>EGKR-S26-SOC-956-03</x:v>
      </x:c>
      <x:c r="C6087" s="87" t="str">
        <x:v>ЕГКР</x:v>
      </x:c>
      <x:c r="D6087" s="87"/>
      <x:c r="E6087" s="87" t="str">
        <x:v>Весна 2026</x:v>
      </x:c>
      <x:c r="F6087" s="87" t="str">
        <x:v>26.03.2026</x:v>
      </x:c>
      <x:c r="G6087" s="87" t="str">
        <x:v>Обществознание</x:v>
      </x:c>
      <x:c r="H6087" s="87" t="n">
        <x:v>11</x:v>
      </x:c>
      <x:c r="I6087" s="87"/>
      <x:c r="J6087" s="87" t="str">
        <x:v>956</x:v>
      </x:c>
      <x:c r="K6087" s="87" t="n">
        <x:v>3</x:v>
      </x:c>
      <x:c r="L6087" s="87" t="str">
        <x:v>Установление соответствия</x:v>
      </x:c>
      <x:c r="M6087" s="30" t="str">
        <x:v>Задание 3 варианта 956. Полная формулировка сохранена на странице по VIS_ID.</x:v>
      </x:c>
      <x:c r="N6087" s="30" t="str">
        <x:v>22111</x:v>
      </x:c>
      <x:c r="O6087" s="30" t="str">
        <x:v>Ответ проверен по исходной формулировке и обществоведческим понятиям.</x:v>
      </x:c>
      <x:c r="P6087" s="30"/>
      <x:c r="Q6087" s="30" t="str">
        <x:v>Независимая содержательная проверка; вторичный ответник хранится отдельно.</x:v>
      </x:c>
      <x:c r="R6087" s="30" t="str">
        <x:v>22111</x:v>
      </x:c>
      <x:c r="S6087" s="30"/>
      <x:c r="T6087" s="30"/>
      <x:c r="U6087" s="30" t="str">
        <x:v>Ответник совпадает с независимой проверкой.</x:v>
      </x:c>
      <x:c r="V6087" s="87" t="str">
        <x:v>VERIFIED</x:v>
      </x:c>
      <x:c r="W6087" s="87"/>
      <x:c r="X6087" s="87" t="n">
        <x:v>2</x:v>
      </x:c>
      <x:c r="Y6087" s="87"/>
      <x:c r="Z6087" s="87"/>
      <x:c r="AA6087" s="87"/>
      <x:c r="AB6087" s="87"/>
      <x:c r="AC6087" s="87" t="str">
        <x:v>VIS-EGKR-SOC-S26-TASK-956-P002</x:v>
      </x:c>
      <x:c r="AD6087" s="87" t="str">
        <x:v>VIS-EGKR-SOC-S26-ANSWERDOC-P004; VIS-EGKR-SOC-S26-ANSWERDOC-P005; VIS-EGKR-SOC-S26-ANSWERDOC-P006; VIS-EGKR-SOC-S26-ANSWERDOC-P007</x:v>
      </x:c>
      <x:c r="AE6087" s="87" t="str">
        <x:v>TASK; SECONDARY_ANSWER_SOURCE</x:v>
      </x:c>
      <x:c r="AF6087" s="87" t="str">
        <x:v>VIS-EGKR-SOC-S26-TASK-956-P002: 2; VIS-EGKR-SOC-S26-ANSWERDOC-P004: 4; VIS-EGKR-SOC-S26-ANSWERDOC-P005: 5; VIS-EGKR-SOC-S26-ANSWERDOC-P006: 6; VIS-EGKR-SOC-S26-ANSWERDOC-P007: 7</x:v>
      </x:c>
      <x:c r="AG6087" s="87" t="str">
        <x:v>RESOLVED</x:v>
      </x:c>
      <x:c r="AH6087" s="87" t="str">
        <x:v>CROP_VERIFIED</x:v>
      </x:c>
      <x:c r="AI6087" s="30"/>
      <x:c r="AJ6087" s="87" t="str">
        <x:v>clean</x:v>
      </x:c>
      <x:c r="AK6087" s="87" t="str">
        <x:v>clean-v0.20</x:v>
      </x:c>
      <x:c r="AL6087" s="87" t="str">
        <x:v>statgrad_clean_continuation_v0_20(1).xlsx</x:v>
      </x:c>
      <x:c r="AM6087" s="87" t="str">
        <x:v>SOC_EGKR_S26_956</x:v>
      </x:c>
      <x:c r="AN6087" s="87" t="n">
        <x:v>4</x:v>
      </x:c>
    </x:row>
    <x:row r="6088">
      <x:c r="A6088" s="87" t="n">
        <x:v>6087</x:v>
      </x:c>
      <x:c r="B6088" s="87" t="str">
        <x:v>EGKR-S26-SOC-956-04</x:v>
      </x:c>
      <x:c r="C6088" s="87" t="str">
        <x:v>ЕГКР</x:v>
      </x:c>
      <x:c r="D6088" s="87"/>
      <x:c r="E6088" s="87" t="str">
        <x:v>Весна 2026</x:v>
      </x:c>
      <x:c r="F6088" s="87" t="str">
        <x:v>26.03.2026</x:v>
      </x:c>
      <x:c r="G6088" s="87" t="str">
        <x:v>Обществознание</x:v>
      </x:c>
      <x:c r="H6088" s="87" t="n">
        <x:v>11</x:v>
      </x:c>
      <x:c r="I6088" s="87"/>
      <x:c r="J6088" s="87" t="str">
        <x:v>956</x:v>
      </x:c>
      <x:c r="K6088" s="87" t="n">
        <x:v>4</x:v>
      </x:c>
      <x:c r="L6088" s="87" t="str">
        <x:v>Тип общества / духовная сфера</x:v>
      </x:c>
      <x:c r="M6088" s="30" t="str">
        <x:v>Задание 4 варианта 956. Полная формулировка сохранена на странице по VIS_ID.</x:v>
      </x:c>
      <x:c r="N6088" s="30" t="str">
        <x:v>235</x:v>
      </x:c>
      <x:c r="O6088" s="30" t="str">
        <x:v>Ответ проверен по исходной формулировке и обществоведческим понятиям.</x:v>
      </x:c>
      <x:c r="P6088" s="30"/>
      <x:c r="Q6088" s="30" t="str">
        <x:v>Независимая содержательная проверка; вторичный ответник хранится отдельно.</x:v>
      </x:c>
      <x:c r="R6088" s="30" t="str">
        <x:v>235</x:v>
      </x:c>
      <x:c r="S6088" s="30"/>
      <x:c r="T6088" s="30"/>
      <x:c r="U6088" s="30" t="str">
        <x:v>Ответник совпадает с независимой проверкой.</x:v>
      </x:c>
      <x:c r="V6088" s="87" t="str">
        <x:v>VERIFIED</x:v>
      </x:c>
      <x:c r="W6088" s="87"/>
      <x:c r="X6088" s="87" t="n">
        <x:v>2</x:v>
      </x:c>
      <x:c r="Y6088" s="87"/>
      <x:c r="Z6088" s="87"/>
      <x:c r="AA6088" s="87"/>
      <x:c r="AB6088" s="87"/>
      <x:c r="AC6088" s="87" t="str">
        <x:v>VIS-EGKR-SOC-S26-TASK-956-P002</x:v>
      </x:c>
      <x:c r="AD6088" s="87" t="str">
        <x:v>VIS-EGKR-SOC-S26-ANSWERDOC-P004; VIS-EGKR-SOC-S26-ANSWERDOC-P005; VIS-EGKR-SOC-S26-ANSWERDOC-P006; VIS-EGKR-SOC-S26-ANSWERDOC-P007</x:v>
      </x:c>
      <x:c r="AE6088" s="87" t="str">
        <x:v>TASK; SECONDARY_ANSWER_SOURCE</x:v>
      </x:c>
      <x:c r="AF6088" s="87" t="str">
        <x:v>VIS-EGKR-SOC-S26-TASK-956-P002: 2; VIS-EGKR-SOC-S26-ANSWERDOC-P004: 4; VIS-EGKR-SOC-S26-ANSWERDOC-P005: 5; VIS-EGKR-SOC-S26-ANSWERDOC-P006: 6; VIS-EGKR-SOC-S26-ANSWERDOC-P007: 7</x:v>
      </x:c>
      <x:c r="AG6088" s="87" t="str">
        <x:v>RESOLVED</x:v>
      </x:c>
      <x:c r="AH6088" s="87" t="str">
        <x:v>CROP_VERIFIED</x:v>
      </x:c>
      <x:c r="AI6088" s="30"/>
      <x:c r="AJ6088" s="87" t="str">
        <x:v>clean</x:v>
      </x:c>
      <x:c r="AK6088" s="87" t="str">
        <x:v>clean-v0.20</x:v>
      </x:c>
      <x:c r="AL6088" s="87" t="str">
        <x:v>statgrad_clean_continuation_v0_20(1).xlsx</x:v>
      </x:c>
      <x:c r="AM6088" s="87" t="str">
        <x:v>SOC_EGKR_S26_956</x:v>
      </x:c>
      <x:c r="AN6088" s="87" t="n">
        <x:v>5</x:v>
      </x:c>
    </x:row>
    <x:row r="6089">
      <x:c r="A6089" s="87" t="n">
        <x:v>6088</x:v>
      </x:c>
      <x:c r="B6089" s="87" t="str">
        <x:v>EGKR-S26-SOC-956-05</x:v>
      </x:c>
      <x:c r="C6089" s="87" t="str">
        <x:v>ЕГКР</x:v>
      </x:c>
      <x:c r="D6089" s="87"/>
      <x:c r="E6089" s="87" t="str">
        <x:v>Весна 2026</x:v>
      </x:c>
      <x:c r="F6089" s="87" t="str">
        <x:v>26.03.2026</x:v>
      </x:c>
      <x:c r="G6089" s="87" t="str">
        <x:v>Обществознание</x:v>
      </x:c>
      <x:c r="H6089" s="87" t="n">
        <x:v>11</x:v>
      </x:c>
      <x:c r="I6089" s="87"/>
      <x:c r="J6089" s="87" t="str">
        <x:v>956</x:v>
      </x:c>
      <x:c r="K6089" s="87" t="n">
        <x:v>5</x:v>
      </x:c>
      <x:c r="L6089" s="87" t="str">
        <x:v>Экономические суждения</x:v>
      </x:c>
      <x:c r="M6089" s="30" t="str">
        <x:v>Задание 5 варианта 956. Полная формулировка сохранена на странице по VIS_ID.</x:v>
      </x:c>
      <x:c r="N6089" s="30" t="str">
        <x:v>13</x:v>
      </x:c>
      <x:c r="O6089" s="30" t="str">
        <x:v>Ответ проверен по исходной формулировке и обществоведческим понятиям.</x:v>
      </x:c>
      <x:c r="P6089" s="30"/>
      <x:c r="Q6089" s="30" t="str">
        <x:v>Независимая содержательная проверка; вторичный ответник хранится отдельно.</x:v>
      </x:c>
      <x:c r="R6089" s="30" t="str">
        <x:v>13</x:v>
      </x:c>
      <x:c r="S6089" s="30"/>
      <x:c r="T6089" s="30"/>
      <x:c r="U6089" s="30" t="str">
        <x:v>Ответник совпадает с независимой проверкой.</x:v>
      </x:c>
      <x:c r="V6089" s="87" t="str">
        <x:v>VERIFIED</x:v>
      </x:c>
      <x:c r="W6089" s="87"/>
      <x:c r="X6089" s="87" t="n">
        <x:v>2</x:v>
      </x:c>
      <x:c r="Y6089" s="87"/>
      <x:c r="Z6089" s="87"/>
      <x:c r="AA6089" s="87"/>
      <x:c r="AB6089" s="87"/>
      <x:c r="AC6089" s="87" t="str">
        <x:v>VIS-EGKR-SOC-S26-TASK-956-P002</x:v>
      </x:c>
      <x:c r="AD6089" s="87" t="str">
        <x:v>VIS-EGKR-SOC-S26-ANSWERDOC-P004; VIS-EGKR-SOC-S26-ANSWERDOC-P005; VIS-EGKR-SOC-S26-ANSWERDOC-P006; VIS-EGKR-SOC-S26-ANSWERDOC-P007</x:v>
      </x:c>
      <x:c r="AE6089" s="87" t="str">
        <x:v>TASK; SECONDARY_ANSWER_SOURCE</x:v>
      </x:c>
      <x:c r="AF6089" s="87" t="str">
        <x:v>VIS-EGKR-SOC-S26-TASK-956-P002: 2; VIS-EGKR-SOC-S26-ANSWERDOC-P004: 4; VIS-EGKR-SOC-S26-ANSWERDOC-P005: 5; VIS-EGKR-SOC-S26-ANSWERDOC-P006: 6; VIS-EGKR-SOC-S26-ANSWERDOC-P007: 7</x:v>
      </x:c>
      <x:c r="AG6089" s="87" t="str">
        <x:v>RESOLVED</x:v>
      </x:c>
      <x:c r="AH6089" s="87" t="str">
        <x:v>CROP_VERIFIED</x:v>
      </x:c>
      <x:c r="AI6089" s="30"/>
      <x:c r="AJ6089" s="87" t="str">
        <x:v>clean</x:v>
      </x:c>
      <x:c r="AK6089" s="87" t="str">
        <x:v>clean-v0.20</x:v>
      </x:c>
      <x:c r="AL6089" s="87" t="str">
        <x:v>statgrad_clean_continuation_v0_20(1).xlsx</x:v>
      </x:c>
      <x:c r="AM6089" s="87" t="str">
        <x:v>SOC_EGKR_S26_956</x:v>
      </x:c>
      <x:c r="AN6089" s="87" t="n">
        <x:v>6</x:v>
      </x:c>
    </x:row>
    <x:row r="6090">
      <x:c r="A6090" s="87" t="n">
        <x:v>6089</x:v>
      </x:c>
      <x:c r="B6090" s="87" t="str">
        <x:v>EGKR-S26-SOC-956-06</x:v>
      </x:c>
      <x:c r="C6090" s="87" t="str">
        <x:v>ЕГКР</x:v>
      </x:c>
      <x:c r="D6090" s="87"/>
      <x:c r="E6090" s="87" t="str">
        <x:v>Весна 2026</x:v>
      </x:c>
      <x:c r="F6090" s="87" t="str">
        <x:v>26.03.2026</x:v>
      </x:c>
      <x:c r="G6090" s="87" t="str">
        <x:v>Обществознание</x:v>
      </x:c>
      <x:c r="H6090" s="87" t="n">
        <x:v>11</x:v>
      </x:c>
      <x:c r="I6090" s="87"/>
      <x:c r="J6090" s="87" t="str">
        <x:v>956</x:v>
      </x:c>
      <x:c r="K6090" s="87" t="n">
        <x:v>6</x:v>
      </x:c>
      <x:c r="L6090" s="87" t="str">
        <x:v>Экономическое соответствие</x:v>
      </x:c>
      <x:c r="M6090" s="30" t="str">
        <x:v>Задание 6 варианта 956. Полная формулировка сохранена на странице по VIS_ID.</x:v>
      </x:c>
      <x:c r="N6090" s="30" t="str">
        <x:v>24123</x:v>
      </x:c>
      <x:c r="O6090" s="30" t="str">
        <x:v>Ответ проверен по исходной формулировке и обществоведческим понятиям.</x:v>
      </x:c>
      <x:c r="P6090" s="30"/>
      <x:c r="Q6090" s="30" t="str">
        <x:v>Независимая содержательная проверка; вторичный ответник хранится отдельно.</x:v>
      </x:c>
      <x:c r="R6090" s="30" t="str">
        <x:v>24123</x:v>
      </x:c>
      <x:c r="S6090" s="30"/>
      <x:c r="T6090" s="30"/>
      <x:c r="U6090" s="30" t="str">
        <x:v>Ответник совпадает с независимой проверкой.</x:v>
      </x:c>
      <x:c r="V6090" s="87" t="str">
        <x:v>VERIFIED</x:v>
      </x:c>
      <x:c r="W6090" s="87"/>
      <x:c r="X6090" s="87" t="n">
        <x:v>2</x:v>
      </x:c>
      <x:c r="Y6090" s="87"/>
      <x:c r="Z6090" s="87"/>
      <x:c r="AA6090" s="87"/>
      <x:c r="AB6090" s="87"/>
      <x:c r="AC6090" s="87" t="str">
        <x:v>VIS-EGKR-SOC-S26-TASK-956-P002</x:v>
      </x:c>
      <x:c r="AD6090" s="87" t="str">
        <x:v>VIS-EGKR-SOC-S26-ANSWERDOC-P004; VIS-EGKR-SOC-S26-ANSWERDOC-P005; VIS-EGKR-SOC-S26-ANSWERDOC-P006; VIS-EGKR-SOC-S26-ANSWERDOC-P007</x:v>
      </x:c>
      <x:c r="AE6090" s="87" t="str">
        <x:v>TASK; SECONDARY_ANSWER_SOURCE</x:v>
      </x:c>
      <x:c r="AF6090" s="87" t="str">
        <x:v>VIS-EGKR-SOC-S26-TASK-956-P002: 2; VIS-EGKR-SOC-S26-ANSWERDOC-P004: 4; VIS-EGKR-SOC-S26-ANSWERDOC-P005: 5; VIS-EGKR-SOC-S26-ANSWERDOC-P006: 6; VIS-EGKR-SOC-S26-ANSWERDOC-P007: 7</x:v>
      </x:c>
      <x:c r="AG6090" s="87" t="str">
        <x:v>RESOLVED</x:v>
      </x:c>
      <x:c r="AH6090" s="87" t="str">
        <x:v>CROP_VERIFIED</x:v>
      </x:c>
      <x:c r="AI6090" s="30"/>
      <x:c r="AJ6090" s="87" t="str">
        <x:v>clean</x:v>
      </x:c>
      <x:c r="AK6090" s="87" t="str">
        <x:v>clean-v0.20</x:v>
      </x:c>
      <x:c r="AL6090" s="87" t="str">
        <x:v>statgrad_clean_continuation_v0_20(1).xlsx</x:v>
      </x:c>
      <x:c r="AM6090" s="87" t="str">
        <x:v>SOC_EGKR_S26_956</x:v>
      </x:c>
      <x:c r="AN6090" s="87" t="n">
        <x:v>7</x:v>
      </x:c>
    </x:row>
    <x:row r="6091">
      <x:c r="A6091" s="87" t="n">
        <x:v>6090</x:v>
      </x:c>
      <x:c r="B6091" s="87" t="str">
        <x:v>EGKR-S26-SOC-956-07</x:v>
      </x:c>
      <x:c r="C6091" s="87" t="str">
        <x:v>ЕГКР</x:v>
      </x:c>
      <x:c r="D6091" s="87"/>
      <x:c r="E6091" s="87" t="str">
        <x:v>Весна 2026</x:v>
      </x:c>
      <x:c r="F6091" s="87" t="str">
        <x:v>26.03.2026</x:v>
      </x:c>
      <x:c r="G6091" s="87" t="str">
        <x:v>Обществознание</x:v>
      </x:c>
      <x:c r="H6091" s="87" t="n">
        <x:v>11</x:v>
      </x:c>
      <x:c r="I6091" s="87"/>
      <x:c r="J6091" s="87" t="str">
        <x:v>956</x:v>
      </x:c>
      <x:c r="K6091" s="87" t="n">
        <x:v>7</x:v>
      </x:c>
      <x:c r="L6091" s="87" t="str">
        <x:v>Финансовая грамотность / рынок</x:v>
      </x:c>
      <x:c r="M6091" s="30" t="str">
        <x:v>Задание 7 варианта 956. Полная формулировка сохранена на странице по VIS_ID.</x:v>
      </x:c>
      <x:c r="N6091" s="30" t="str">
        <x:v>134</x:v>
      </x:c>
      <x:c r="O6091" s="30" t="str">
        <x:v>Ответ проверен по исходной формулировке и обществоведческим понятиям.</x:v>
      </x:c>
      <x:c r="P6091" s="30"/>
      <x:c r="Q6091" s="30" t="str">
        <x:v>Независимая содержательная проверка; вторичный ответник хранится отдельно.</x:v>
      </x:c>
      <x:c r="R6091" s="30" t="str">
        <x:v>34</x:v>
      </x:c>
      <x:c r="S6091" s="30"/>
      <x:c r="T6091" s="30"/>
      <x:c r="U6091" s="30" t="str">
        <x:v>Ответник: 34; канонический ответ: 134.</x:v>
      </x:c>
      <x:c r="V6091" s="87" t="str">
        <x:v>KEY_MISMATCH</x:v>
      </x:c>
      <x:c r="W6091" s="87"/>
      <x:c r="X6091" s="87" t="n">
        <x:v>3</x:v>
      </x:c>
      <x:c r="Y6091" s="87"/>
      <x:c r="Z6091" s="87"/>
      <x:c r="AA6091" s="87"/>
      <x:c r="AB6091" s="87"/>
      <x:c r="AC6091" s="87" t="str">
        <x:v>VIS-EGKR-SOC-S26-TASK-956-P003</x:v>
      </x:c>
      <x:c r="AD6091" s="87" t="str">
        <x:v>VIS-EGKR-SOC-S26-ANSWERDOC-P004; VIS-EGKR-SOC-S26-ANSWERDOC-P005; VIS-EGKR-SOC-S26-ANSWERDOC-P006; VIS-EGKR-SOC-S26-ANSWERDOC-P007</x:v>
      </x:c>
      <x:c r="AE6091" s="87" t="str">
        <x:v>TASK; SECONDARY_ANSWER_SOURCE</x:v>
      </x:c>
      <x:c r="AF6091" s="87" t="str">
        <x:v>VIS-EGKR-SOC-S26-TASK-956-P003: 3; VIS-EGKR-SOC-S26-ANSWERDOC-P004: 4; VIS-EGKR-SOC-S26-ANSWERDOC-P005: 5; VIS-EGKR-SOC-S26-ANSWERDOC-P006: 6; VIS-EGKR-SOC-S26-ANSWERDOC-P007: 7</x:v>
      </x:c>
      <x:c r="AG6091" s="87" t="str">
        <x:v>RESOLVED</x:v>
      </x:c>
      <x:c r="AH6091" s="87" t="str">
        <x:v>CROP_VERIFIED</x:v>
      </x:c>
      <x:c r="AI6091" s="30"/>
      <x:c r="AJ6091" s="87" t="str">
        <x:v>clean</x:v>
      </x:c>
      <x:c r="AK6091" s="87" t="str">
        <x:v>clean-v0.20</x:v>
      </x:c>
      <x:c r="AL6091" s="87" t="str">
        <x:v>statgrad_clean_continuation_v0_20(1).xlsx</x:v>
      </x:c>
      <x:c r="AM6091" s="87" t="str">
        <x:v>SOC_EGKR_S26_956</x:v>
      </x:c>
      <x:c r="AN6091" s="87" t="n">
        <x:v>8</x:v>
      </x:c>
    </x:row>
    <x:row r="6092">
      <x:c r="A6092" s="87" t="n">
        <x:v>6091</x:v>
      </x:c>
      <x:c r="B6092" s="87" t="str">
        <x:v>EGKR-S26-SOC-956-08</x:v>
      </x:c>
      <x:c r="C6092" s="87" t="str">
        <x:v>ЕГКР</x:v>
      </x:c>
      <x:c r="D6092" s="87"/>
      <x:c r="E6092" s="87" t="str">
        <x:v>Весна 2026</x:v>
      </x:c>
      <x:c r="F6092" s="87" t="str">
        <x:v>26.03.2026</x:v>
      </x:c>
      <x:c r="G6092" s="87" t="str">
        <x:v>Обществознание</x:v>
      </x:c>
      <x:c r="H6092" s="87" t="n">
        <x:v>11</x:v>
      </x:c>
      <x:c r="I6092" s="87"/>
      <x:c r="J6092" s="87" t="str">
        <x:v>956</x:v>
      </x:c>
      <x:c r="K6092" s="87" t="n">
        <x:v>8</x:v>
      </x:c>
      <x:c r="L6092" s="87" t="str">
        <x:v>Социальная сфера</x:v>
      </x:c>
      <x:c r="M6092" s="30" t="str">
        <x:v>Задание 8 варианта 956. Полная формулировка сохранена на странице по VIS_ID.</x:v>
      </x:c>
      <x:c r="N6092" s="30" t="str">
        <x:v>235</x:v>
      </x:c>
      <x:c r="O6092" s="30" t="str">
        <x:v>Ответ проверен по исходной формулировке и обществоведческим понятиям.</x:v>
      </x:c>
      <x:c r="P6092" s="30"/>
      <x:c r="Q6092" s="30" t="str">
        <x:v>Независимая содержательная проверка; вторичный ответник хранится отдельно.</x:v>
      </x:c>
      <x:c r="R6092" s="30" t="str">
        <x:v>235</x:v>
      </x:c>
      <x:c r="S6092" s="30"/>
      <x:c r="T6092" s="30"/>
      <x:c r="U6092" s="30" t="str">
        <x:v>Ответник совпадает с независимой проверкой.</x:v>
      </x:c>
      <x:c r="V6092" s="87" t="str">
        <x:v>VERIFIED</x:v>
      </x:c>
      <x:c r="W6092" s="87"/>
      <x:c r="X6092" s="87" t="n">
        <x:v>3</x:v>
      </x:c>
      <x:c r="Y6092" s="87"/>
      <x:c r="Z6092" s="87"/>
      <x:c r="AA6092" s="87"/>
      <x:c r="AB6092" s="87"/>
      <x:c r="AC6092" s="87" t="str">
        <x:v>VIS-EGKR-SOC-S26-TASK-956-P003</x:v>
      </x:c>
      <x:c r="AD6092" s="87" t="str">
        <x:v>VIS-EGKR-SOC-S26-ANSWERDOC-P004; VIS-EGKR-SOC-S26-ANSWERDOC-P005; VIS-EGKR-SOC-S26-ANSWERDOC-P006; VIS-EGKR-SOC-S26-ANSWERDOC-P007</x:v>
      </x:c>
      <x:c r="AE6092" s="87" t="str">
        <x:v>TASK; SECONDARY_ANSWER_SOURCE</x:v>
      </x:c>
      <x:c r="AF6092" s="87" t="str">
        <x:v>VIS-EGKR-SOC-S26-TASK-956-P003: 3; VIS-EGKR-SOC-S26-ANSWERDOC-P004: 4; VIS-EGKR-SOC-S26-ANSWERDOC-P005: 5; VIS-EGKR-SOC-S26-ANSWERDOC-P006: 6; VIS-EGKR-SOC-S26-ANSWERDOC-P007: 7</x:v>
      </x:c>
      <x:c r="AG6092" s="87" t="str">
        <x:v>RESOLVED</x:v>
      </x:c>
      <x:c r="AH6092" s="87" t="str">
        <x:v>CROP_VERIFIED</x:v>
      </x:c>
      <x:c r="AI6092" s="30"/>
      <x:c r="AJ6092" s="87" t="str">
        <x:v>clean</x:v>
      </x:c>
      <x:c r="AK6092" s="87" t="str">
        <x:v>clean-v0.20</x:v>
      </x:c>
      <x:c r="AL6092" s="87" t="str">
        <x:v>statgrad_clean_continuation_v0_20(1).xlsx</x:v>
      </x:c>
      <x:c r="AM6092" s="87" t="str">
        <x:v>SOC_EGKR_S26_956</x:v>
      </x:c>
      <x:c r="AN6092" s="87" t="n">
        <x:v>9</x:v>
      </x:c>
    </x:row>
    <x:row r="6093">
      <x:c r="A6093" s="87" t="n">
        <x:v>6092</x:v>
      </x:c>
      <x:c r="B6093" s="87" t="str">
        <x:v>EGKR-S26-SOC-956-09</x:v>
      </x:c>
      <x:c r="C6093" s="87" t="str">
        <x:v>ЕГКР</x:v>
      </x:c>
      <x:c r="D6093" s="87"/>
      <x:c r="E6093" s="87" t="str">
        <x:v>Весна 2026</x:v>
      </x:c>
      <x:c r="F6093" s="87" t="str">
        <x:v>26.03.2026</x:v>
      </x:c>
      <x:c r="G6093" s="87" t="str">
        <x:v>Обществознание</x:v>
      </x:c>
      <x:c r="H6093" s="87" t="n">
        <x:v>11</x:v>
      </x:c>
      <x:c r="I6093" s="87"/>
      <x:c r="J6093" s="87" t="str">
        <x:v>956</x:v>
      </x:c>
      <x:c r="K6093" s="87" t="n">
        <x:v>9</x:v>
      </x:c>
      <x:c r="L6093" s="87" t="str">
        <x:v>Анализ диаграммы</x:v>
      </x:c>
      <x:c r="M6093" s="30" t="str">
        <x:v>Задание 9 варианта 956. Полная формулировка сохранена на странице по VIS_ID.</x:v>
      </x:c>
      <x:c r="N6093" s="30" t="str">
        <x:v>235</x:v>
      </x:c>
      <x:c r="O6093" s="30" t="str">
        <x:v>Ответ проверен по исходной формулировке и обществоведческим понятиям.</x:v>
      </x:c>
      <x:c r="P6093" s="30"/>
      <x:c r="Q6093" s="30" t="str">
        <x:v>Независимая содержательная проверка; вторичный ответник хранится отдельно.</x:v>
      </x:c>
      <x:c r="R6093" s="30" t="str">
        <x:v>MISSING</x:v>
      </x:c>
      <x:c r="S6093" s="30"/>
      <x:c r="T6093" s="30"/>
      <x:c r="U6093" s="30" t="str">
        <x:v>Ответ отсутствовал во внутреннем DOCX и восстановлен по исходной диаграмме.</x:v>
      </x:c>
      <x:c r="V6093" s="87" t="str">
        <x:v>SOURCE_GAP_RECOVERED</x:v>
      </x:c>
      <x:c r="W6093" s="87"/>
      <x:c r="X6093" s="87" t="n">
        <x:v>3</x:v>
      </x:c>
      <x:c r="Y6093" s="87"/>
      <x:c r="Z6093" s="87"/>
      <x:c r="AA6093" s="87"/>
      <x:c r="AB6093" s="87"/>
      <x:c r="AC6093" s="87" t="str">
        <x:v>VIS-EGKR-SOC-S26-TASK-956-P003</x:v>
      </x:c>
      <x:c r="AD6093" s="87" t="str">
        <x:v>VIS-EGKR-SOC-S26-ANSWERDOC-P004; VIS-EGKR-SOC-S26-ANSWERDOC-P005; VIS-EGKR-SOC-S26-ANSWERDOC-P006; VIS-EGKR-SOC-S26-ANSWERDOC-P007</x:v>
      </x:c>
      <x:c r="AE6093" s="87" t="str">
        <x:v>TASK; SECONDARY_ANSWER_SOURCE</x:v>
      </x:c>
      <x:c r="AF6093" s="87" t="str">
        <x:v>VIS-EGKR-SOC-S26-TASK-956-P003: 3; VIS-EGKR-SOC-S26-ANSWERDOC-P004: 4; VIS-EGKR-SOC-S26-ANSWERDOC-P005: 5; VIS-EGKR-SOC-S26-ANSWERDOC-P006: 6; VIS-EGKR-SOC-S26-ANSWERDOC-P007: 7</x:v>
      </x:c>
      <x:c r="AG6093" s="87" t="str">
        <x:v>RESOLVED</x:v>
      </x:c>
      <x:c r="AH6093" s="87" t="str">
        <x:v>CROP_VERIFIED</x:v>
      </x:c>
      <x:c r="AI6093" s="30"/>
      <x:c r="AJ6093" s="87" t="str">
        <x:v>clean</x:v>
      </x:c>
      <x:c r="AK6093" s="87" t="str">
        <x:v>clean-v0.20</x:v>
      </x:c>
      <x:c r="AL6093" s="87" t="str">
        <x:v>statgrad_clean_continuation_v0_20(1).xlsx</x:v>
      </x:c>
      <x:c r="AM6093" s="87" t="str">
        <x:v>SOC_EGKR_S26_956</x:v>
      </x:c>
      <x:c r="AN6093" s="87" t="n">
        <x:v>10</x:v>
      </x:c>
    </x:row>
    <x:row r="6094">
      <x:c r="A6094" s="87" t="n">
        <x:v>6093</x:v>
      </x:c>
      <x:c r="B6094" s="87" t="str">
        <x:v>EGKR-S26-SOC-956-10</x:v>
      </x:c>
      <x:c r="C6094" s="87" t="str">
        <x:v>ЕГКР</x:v>
      </x:c>
      <x:c r="D6094" s="87"/>
      <x:c r="E6094" s="87" t="str">
        <x:v>Весна 2026</x:v>
      </x:c>
      <x:c r="F6094" s="87" t="str">
        <x:v>26.03.2026</x:v>
      </x:c>
      <x:c r="G6094" s="87" t="str">
        <x:v>Обществознание</x:v>
      </x:c>
      <x:c r="H6094" s="87" t="n">
        <x:v>11</x:v>
      </x:c>
      <x:c r="I6094" s="87"/>
      <x:c r="J6094" s="87" t="str">
        <x:v>956</x:v>
      </x:c>
      <x:c r="K6094" s="87" t="n">
        <x:v>10</x:v>
      </x:c>
      <x:c r="L6094" s="87" t="str">
        <x:v>Политические суждения</x:v>
      </x:c>
      <x:c r="M6094" s="30" t="str">
        <x:v>Задание 10 варианта 956. Полная формулировка сохранена на странице по VIS_ID.</x:v>
      </x:c>
      <x:c r="N6094" s="30" t="str">
        <x:v>345</x:v>
      </x:c>
      <x:c r="O6094" s="30" t="str">
        <x:v>Ответ проверен по исходной формулировке и обществоведческим понятиям.</x:v>
      </x:c>
      <x:c r="P6094" s="30"/>
      <x:c r="Q6094" s="30" t="str">
        <x:v>Независимая содержательная проверка; вторичный ответник хранится отдельно.</x:v>
      </x:c>
      <x:c r="R6094" s="30" t="str">
        <x:v>345</x:v>
      </x:c>
      <x:c r="S6094" s="30"/>
      <x:c r="T6094" s="30"/>
      <x:c r="U6094" s="30" t="str">
        <x:v>Ответник совпадает с независимой проверкой.</x:v>
      </x:c>
      <x:c r="V6094" s="87" t="str">
        <x:v>VERIFIED</x:v>
      </x:c>
      <x:c r="W6094" s="87"/>
      <x:c r="X6094" s="87" t="n">
        <x:v>4</x:v>
      </x:c>
      <x:c r="Y6094" s="87"/>
      <x:c r="Z6094" s="87"/>
      <x:c r="AA6094" s="87"/>
      <x:c r="AB6094" s="87"/>
      <x:c r="AC6094" s="87" t="str">
        <x:v>VIS-EGKR-SOC-S26-TASK-956-P004</x:v>
      </x:c>
      <x:c r="AD6094" s="87" t="str">
        <x:v>VIS-EGKR-SOC-S26-ANSWERDOC-P004; VIS-EGKR-SOC-S26-ANSWERDOC-P005; VIS-EGKR-SOC-S26-ANSWERDOC-P006; VIS-EGKR-SOC-S26-ANSWERDOC-P007</x:v>
      </x:c>
      <x:c r="AE6094" s="87" t="str">
        <x:v>TASK; SECONDARY_ANSWER_SOURCE</x:v>
      </x:c>
      <x:c r="AF6094" s="87" t="str">
        <x:v>VIS-EGKR-SOC-S26-TASK-956-P004: 4; VIS-EGKR-SOC-S26-ANSWERDOC-P004: 4; VIS-EGKR-SOC-S26-ANSWERDOC-P005: 5; VIS-EGKR-SOC-S26-ANSWERDOC-P006: 6; VIS-EGKR-SOC-S26-ANSWERDOC-P007: 7</x:v>
      </x:c>
      <x:c r="AG6094" s="87" t="str">
        <x:v>RESOLVED</x:v>
      </x:c>
      <x:c r="AH6094" s="87" t="str">
        <x:v>CROP_VERIFIED</x:v>
      </x:c>
      <x:c r="AI6094" s="30"/>
      <x:c r="AJ6094" s="87" t="str">
        <x:v>clean</x:v>
      </x:c>
      <x:c r="AK6094" s="87" t="str">
        <x:v>clean-v0.20</x:v>
      </x:c>
      <x:c r="AL6094" s="87" t="str">
        <x:v>statgrad_clean_continuation_v0_20(1).xlsx</x:v>
      </x:c>
      <x:c r="AM6094" s="87" t="str">
        <x:v>SOC_EGKR_S26_956</x:v>
      </x:c>
      <x:c r="AN6094" s="87" t="n">
        <x:v>11</x:v>
      </x:c>
    </x:row>
    <x:row r="6095">
      <x:c r="A6095" s="87" t="n">
        <x:v>6094</x:v>
      </x:c>
      <x:c r="B6095" s="87" t="str">
        <x:v>EGKR-S26-SOC-956-11</x:v>
      </x:c>
      <x:c r="C6095" s="87" t="str">
        <x:v>ЕГКР</x:v>
      </x:c>
      <x:c r="D6095" s="87"/>
      <x:c r="E6095" s="87" t="str">
        <x:v>Весна 2026</x:v>
      </x:c>
      <x:c r="F6095" s="87" t="str">
        <x:v>26.03.2026</x:v>
      </x:c>
      <x:c r="G6095" s="87" t="str">
        <x:v>Обществознание</x:v>
      </x:c>
      <x:c r="H6095" s="87" t="n">
        <x:v>11</x:v>
      </x:c>
      <x:c r="I6095" s="87"/>
      <x:c r="J6095" s="87" t="str">
        <x:v>956</x:v>
      </x:c>
      <x:c r="K6095" s="87" t="n">
        <x:v>11</x:v>
      </x:c>
      <x:c r="L6095" s="87" t="str">
        <x:v>Характеристика государства / выборов</x:v>
      </x:c>
      <x:c r="M6095" s="30" t="str">
        <x:v>Задание 11 варианта 956. Полная формулировка сохранена на странице по VIS_ID.</x:v>
      </x:c>
      <x:c r="N6095" s="30" t="str">
        <x:v>1235</x:v>
      </x:c>
      <x:c r="O6095" s="30" t="str">
        <x:v>Ответ проверен по исходной формулировке и обществоведческим понятиям.</x:v>
      </x:c>
      <x:c r="P6095" s="30"/>
      <x:c r="Q6095" s="30" t="str">
        <x:v>Независимая содержательная проверка; вторичный ответник хранится отдельно.</x:v>
      </x:c>
      <x:c r="R6095" s="30" t="str">
        <x:v>1235</x:v>
      </x:c>
      <x:c r="S6095" s="30"/>
      <x:c r="T6095" s="30"/>
      <x:c r="U6095" s="30" t="str">
        <x:v>Ответник совпадает с независимой проверкой.</x:v>
      </x:c>
      <x:c r="V6095" s="87" t="str">
        <x:v>VERIFIED</x:v>
      </x:c>
      <x:c r="W6095" s="87"/>
      <x:c r="X6095" s="87" t="n">
        <x:v>4</x:v>
      </x:c>
      <x:c r="Y6095" s="87"/>
      <x:c r="Z6095" s="87"/>
      <x:c r="AA6095" s="87"/>
      <x:c r="AB6095" s="87"/>
      <x:c r="AC6095" s="87" t="str">
        <x:v>VIS-EGKR-SOC-S26-TASK-956-P004</x:v>
      </x:c>
      <x:c r="AD6095" s="87" t="str">
        <x:v>VIS-EGKR-SOC-S26-ANSWERDOC-P004; VIS-EGKR-SOC-S26-ANSWERDOC-P005; VIS-EGKR-SOC-S26-ANSWERDOC-P006; VIS-EGKR-SOC-S26-ANSWERDOC-P007</x:v>
      </x:c>
      <x:c r="AE6095" s="87" t="str">
        <x:v>TASK; SECONDARY_ANSWER_SOURCE</x:v>
      </x:c>
      <x:c r="AF6095" s="87" t="str">
        <x:v>VIS-EGKR-SOC-S26-TASK-956-P004: 4; VIS-EGKR-SOC-S26-ANSWERDOC-P004: 4; VIS-EGKR-SOC-S26-ANSWERDOC-P005: 5; VIS-EGKR-SOC-S26-ANSWERDOC-P006: 6; VIS-EGKR-SOC-S26-ANSWERDOC-P007: 7</x:v>
      </x:c>
      <x:c r="AG6095" s="87" t="str">
        <x:v>RESOLVED</x:v>
      </x:c>
      <x:c r="AH6095" s="87" t="str">
        <x:v>CROP_VERIFIED</x:v>
      </x:c>
      <x:c r="AI6095" s="30"/>
      <x:c r="AJ6095" s="87" t="str">
        <x:v>clean</x:v>
      </x:c>
      <x:c r="AK6095" s="87" t="str">
        <x:v>clean-v0.20</x:v>
      </x:c>
      <x:c r="AL6095" s="87" t="str">
        <x:v>statgrad_clean_continuation_v0_20(1).xlsx</x:v>
      </x:c>
      <x:c r="AM6095" s="87" t="str">
        <x:v>SOC_EGKR_S26_956</x:v>
      </x:c>
      <x:c r="AN6095" s="87" t="n">
        <x:v>12</x:v>
      </x:c>
    </x:row>
    <x:row r="6096">
      <x:c r="A6096" s="87" t="n">
        <x:v>6095</x:v>
      </x:c>
      <x:c r="B6096" s="87" t="str">
        <x:v>EGKR-S26-SOC-956-12</x:v>
      </x:c>
      <x:c r="C6096" s="87" t="str">
        <x:v>ЕГКР</x:v>
      </x:c>
      <x:c r="D6096" s="87"/>
      <x:c r="E6096" s="87" t="str">
        <x:v>Весна 2026</x:v>
      </x:c>
      <x:c r="F6096" s="87" t="str">
        <x:v>26.03.2026</x:v>
      </x:c>
      <x:c r="G6096" s="87" t="str">
        <x:v>Обществознание</x:v>
      </x:c>
      <x:c r="H6096" s="87" t="n">
        <x:v>11</x:v>
      </x:c>
      <x:c r="I6096" s="87"/>
      <x:c r="J6096" s="87" t="str">
        <x:v>956</x:v>
      </x:c>
      <x:c r="K6096" s="87" t="n">
        <x:v>12</x:v>
      </x:c>
      <x:c r="L6096" s="87" t="str">
        <x:v>Конституционное право</x:v>
      </x:c>
      <x:c r="M6096" s="30" t="str">
        <x:v>Задание 12 варианта 956. Полная формулировка сохранена на странице по VIS_ID.</x:v>
      </x:c>
      <x:c r="N6096" s="30" t="str">
        <x:v>12</x:v>
      </x:c>
      <x:c r="O6096" s="30" t="str">
        <x:v>Ответ проверен по исходной формулировке и обществоведческим понятиям.</x:v>
      </x:c>
      <x:c r="P6096" s="30"/>
      <x:c r="Q6096" s="30" t="str">
        <x:v>Независимая содержательная проверка; вторичный ответник хранится отдельно.</x:v>
      </x:c>
      <x:c r="R6096" s="30" t="str">
        <x:v>12</x:v>
      </x:c>
      <x:c r="S6096" s="30"/>
      <x:c r="T6096" s="30"/>
      <x:c r="U6096" s="30" t="str">
        <x:v>Ответник совпадает с независимой проверкой.</x:v>
      </x:c>
      <x:c r="V6096" s="87" t="str">
        <x:v>VERIFIED</x:v>
      </x:c>
      <x:c r="W6096" s="87"/>
      <x:c r="X6096" s="87" t="n">
        <x:v>4</x:v>
      </x:c>
      <x:c r="Y6096" s="87"/>
      <x:c r="Z6096" s="87"/>
      <x:c r="AA6096" s="87"/>
      <x:c r="AB6096" s="87"/>
      <x:c r="AC6096" s="87" t="str">
        <x:v>VIS-EGKR-SOC-S26-TASK-956-P004</x:v>
      </x:c>
      <x:c r="AD6096" s="87" t="str">
        <x:v>VIS-EGKR-SOC-S26-ANSWERDOC-P004; VIS-EGKR-SOC-S26-ANSWERDOC-P005; VIS-EGKR-SOC-S26-ANSWERDOC-P006; VIS-EGKR-SOC-S26-ANSWERDOC-P007</x:v>
      </x:c>
      <x:c r="AE6096" s="87" t="str">
        <x:v>TASK; SECONDARY_ANSWER_SOURCE</x:v>
      </x:c>
      <x:c r="AF6096" s="87" t="str">
        <x:v>VIS-EGKR-SOC-S26-TASK-956-P004: 4; VIS-EGKR-SOC-S26-ANSWERDOC-P004: 4; VIS-EGKR-SOC-S26-ANSWERDOC-P005: 5; VIS-EGKR-SOC-S26-ANSWERDOC-P006: 6; VIS-EGKR-SOC-S26-ANSWERDOC-P007: 7</x:v>
      </x:c>
      <x:c r="AG6096" s="87" t="str">
        <x:v>RESOLVED</x:v>
      </x:c>
      <x:c r="AH6096" s="87" t="str">
        <x:v>CROP_VERIFIED</x:v>
      </x:c>
      <x:c r="AI6096" s="30"/>
      <x:c r="AJ6096" s="87" t="str">
        <x:v>clean</x:v>
      </x:c>
      <x:c r="AK6096" s="87" t="str">
        <x:v>clean-v0.20</x:v>
      </x:c>
      <x:c r="AL6096" s="87" t="str">
        <x:v>statgrad_clean_continuation_v0_20(1).xlsx</x:v>
      </x:c>
      <x:c r="AM6096" s="87" t="str">
        <x:v>SOC_EGKR_S26_956</x:v>
      </x:c>
      <x:c r="AN6096" s="87" t="n">
        <x:v>13</x:v>
      </x:c>
    </x:row>
    <x:row r="6097">
      <x:c r="A6097" s="87" t="n">
        <x:v>6096</x:v>
      </x:c>
      <x:c r="B6097" s="87" t="str">
        <x:v>EGKR-S26-SOC-956-13</x:v>
      </x:c>
      <x:c r="C6097" s="87" t="str">
        <x:v>ЕГКР</x:v>
      </x:c>
      <x:c r="D6097" s="87"/>
      <x:c r="E6097" s="87" t="str">
        <x:v>Весна 2026</x:v>
      </x:c>
      <x:c r="F6097" s="87" t="str">
        <x:v>26.03.2026</x:v>
      </x:c>
      <x:c r="G6097" s="87" t="str">
        <x:v>Обществознание</x:v>
      </x:c>
      <x:c r="H6097" s="87" t="n">
        <x:v>11</x:v>
      </x:c>
      <x:c r="I6097" s="87"/>
      <x:c r="J6097" s="87" t="str">
        <x:v>956</x:v>
      </x:c>
      <x:c r="K6097" s="87" t="n">
        <x:v>13</x:v>
      </x:c>
      <x:c r="L6097" s="87" t="str">
        <x:v>Государственная власть / ведение</x:v>
      </x:c>
      <x:c r="M6097" s="30" t="str">
        <x:v>Задание 13 варианта 956. Полная формулировка сохранена на странице по VIS_ID.</x:v>
      </x:c>
      <x:c r="N6097" s="30" t="str">
        <x:v>12311</x:v>
      </x:c>
      <x:c r="O6097" s="30" t="str">
        <x:v>Ответ проверен по исходной формулировке и обществоведческим понятиям.</x:v>
      </x:c>
      <x:c r="P6097" s="30"/>
      <x:c r="Q6097" s="30" t="str">
        <x:v>Независимая содержательная проверка; вторичный ответник хранится отдельно.</x:v>
      </x:c>
      <x:c r="R6097" s="30" t="str">
        <x:v>12311</x:v>
      </x:c>
      <x:c r="S6097" s="30"/>
      <x:c r="T6097" s="30"/>
      <x:c r="U6097" s="30" t="str">
        <x:v>Ответник совпадает с независимой проверкой.</x:v>
      </x:c>
      <x:c r="V6097" s="87" t="str">
        <x:v>VERIFIED</x:v>
      </x:c>
      <x:c r="W6097" s="87"/>
      <x:c r="X6097" s="87" t="n">
        <x:v>4</x:v>
      </x:c>
      <x:c r="Y6097" s="87"/>
      <x:c r="Z6097" s="87"/>
      <x:c r="AA6097" s="87"/>
      <x:c r="AB6097" s="87"/>
      <x:c r="AC6097" s="87" t="str">
        <x:v>VIS-EGKR-SOC-S26-TASK-956-P004</x:v>
      </x:c>
      <x:c r="AD6097" s="87" t="str">
        <x:v>VIS-EGKR-SOC-S26-ANSWERDOC-P004; VIS-EGKR-SOC-S26-ANSWERDOC-P005; VIS-EGKR-SOC-S26-ANSWERDOC-P006; VIS-EGKR-SOC-S26-ANSWERDOC-P007</x:v>
      </x:c>
      <x:c r="AE6097" s="87" t="str">
        <x:v>TASK; SECONDARY_ANSWER_SOURCE</x:v>
      </x:c>
      <x:c r="AF6097" s="87" t="str">
        <x:v>VIS-EGKR-SOC-S26-TASK-956-P004: 4; VIS-EGKR-SOC-S26-ANSWERDOC-P004: 4; VIS-EGKR-SOC-S26-ANSWERDOC-P005: 5; VIS-EGKR-SOC-S26-ANSWERDOC-P006: 6; VIS-EGKR-SOC-S26-ANSWERDOC-P007: 7</x:v>
      </x:c>
      <x:c r="AG6097" s="87" t="str">
        <x:v>RESOLVED</x:v>
      </x:c>
      <x:c r="AH6097" s="87" t="str">
        <x:v>CROP_VERIFIED</x:v>
      </x:c>
      <x:c r="AI6097" s="30"/>
      <x:c r="AJ6097" s="87" t="str">
        <x:v>clean</x:v>
      </x:c>
      <x:c r="AK6097" s="87" t="str">
        <x:v>clean-v0.20</x:v>
      </x:c>
      <x:c r="AL6097" s="87" t="str">
        <x:v>statgrad_clean_continuation_v0_20(1).xlsx</x:v>
      </x:c>
      <x:c r="AM6097" s="87" t="str">
        <x:v>SOC_EGKR_S26_956</x:v>
      </x:c>
      <x:c r="AN6097" s="87" t="n">
        <x:v>14</x:v>
      </x:c>
    </x:row>
    <x:row r="6098">
      <x:c r="A6098" s="87" t="n">
        <x:v>6097</x:v>
      </x:c>
      <x:c r="B6098" s="87" t="str">
        <x:v>EGKR-S26-SOC-956-14</x:v>
      </x:c>
      <x:c r="C6098" s="87" t="str">
        <x:v>ЕГКР</x:v>
      </x:c>
      <x:c r="D6098" s="87"/>
      <x:c r="E6098" s="87" t="str">
        <x:v>Весна 2026</x:v>
      </x:c>
      <x:c r="F6098" s="87" t="str">
        <x:v>26.03.2026</x:v>
      </x:c>
      <x:c r="G6098" s="87" t="str">
        <x:v>Обществознание</x:v>
      </x:c>
      <x:c r="H6098" s="87" t="n">
        <x:v>11</x:v>
      </x:c>
      <x:c r="I6098" s="87"/>
      <x:c r="J6098" s="87" t="str">
        <x:v>956</x:v>
      </x:c>
      <x:c r="K6098" s="87" t="n">
        <x:v>14</x:v>
      </x:c>
      <x:c r="L6098" s="87" t="str">
        <x:v>Правовые суждения</x:v>
      </x:c>
      <x:c r="M6098" s="30" t="str">
        <x:v>Задание 14 варианта 956. Полная формулировка сохранена на странице по VIS_ID.</x:v>
      </x:c>
      <x:c r="N6098" s="30" t="str">
        <x:v>123</x:v>
      </x:c>
      <x:c r="O6098" s="30" t="str">
        <x:v>Ответ проверен по исходной формулировке и обществоведческим понятиям.</x:v>
      </x:c>
      <x:c r="P6098" s="30"/>
      <x:c r="Q6098" s="30" t="str">
        <x:v>Независимая содержательная проверка; вторичный ответник хранится отдельно.</x:v>
      </x:c>
      <x:c r="R6098" s="30" t="str">
        <x:v>123</x:v>
      </x:c>
      <x:c r="S6098" s="30"/>
      <x:c r="T6098" s="30"/>
      <x:c r="U6098" s="30" t="str">
        <x:v>Ответник совпадает с независимой проверкой.</x:v>
      </x:c>
      <x:c r="V6098" s="87" t="str">
        <x:v>VERIFIED</x:v>
      </x:c>
      <x:c r="W6098" s="87"/>
      <x:c r="X6098" s="87" t="n">
        <x:v>5</x:v>
      </x:c>
      <x:c r="Y6098" s="87"/>
      <x:c r="Z6098" s="87"/>
      <x:c r="AA6098" s="87"/>
      <x:c r="AB6098" s="87"/>
      <x:c r="AC6098" s="87" t="str">
        <x:v>VIS-EGKR-SOC-S26-TASK-956-P005</x:v>
      </x:c>
      <x:c r="AD6098" s="87" t="str">
        <x:v>VIS-EGKR-SOC-S26-ANSWERDOC-P004; VIS-EGKR-SOC-S26-ANSWERDOC-P005; VIS-EGKR-SOC-S26-ANSWERDOC-P006; VIS-EGKR-SOC-S26-ANSWERDOC-P007</x:v>
      </x:c>
      <x:c r="AE6098" s="87" t="str">
        <x:v>TASK; SECONDARY_ANSWER_SOURCE</x:v>
      </x:c>
      <x:c r="AF6098" s="87" t="str">
        <x:v>VIS-EGKR-SOC-S26-TASK-956-P005: 5; VIS-EGKR-SOC-S26-ANSWERDOC-P004: 4; VIS-EGKR-SOC-S26-ANSWERDOC-P005: 5; VIS-EGKR-SOC-S26-ANSWERDOC-P006: 6; VIS-EGKR-SOC-S26-ANSWERDOC-P007: 7</x:v>
      </x:c>
      <x:c r="AG6098" s="87" t="str">
        <x:v>RESOLVED</x:v>
      </x:c>
      <x:c r="AH6098" s="87" t="str">
        <x:v>CROP_VERIFIED</x:v>
      </x:c>
      <x:c r="AI6098" s="30"/>
      <x:c r="AJ6098" s="87" t="str">
        <x:v>clean</x:v>
      </x:c>
      <x:c r="AK6098" s="87" t="str">
        <x:v>clean-v0.20</x:v>
      </x:c>
      <x:c r="AL6098" s="87" t="str">
        <x:v>statgrad_clean_continuation_v0_20(1).xlsx</x:v>
      </x:c>
      <x:c r="AM6098" s="87" t="str">
        <x:v>SOC_EGKR_S26_956</x:v>
      </x:c>
      <x:c r="AN6098" s="87" t="n">
        <x:v>15</x:v>
      </x:c>
    </x:row>
    <x:row r="6099">
      <x:c r="A6099" s="87" t="n">
        <x:v>6098</x:v>
      </x:c>
      <x:c r="B6099" s="87" t="str">
        <x:v>EGKR-S26-SOC-956-15</x:v>
      </x:c>
      <x:c r="C6099" s="87" t="str">
        <x:v>ЕГКР</x:v>
      </x:c>
      <x:c r="D6099" s="87"/>
      <x:c r="E6099" s="87" t="str">
        <x:v>Весна 2026</x:v>
      </x:c>
      <x:c r="F6099" s="87" t="str">
        <x:v>26.03.2026</x:v>
      </x:c>
      <x:c r="G6099" s="87" t="str">
        <x:v>Обществознание</x:v>
      </x:c>
      <x:c r="H6099" s="87" t="n">
        <x:v>11</x:v>
      </x:c>
      <x:c r="I6099" s="87"/>
      <x:c r="J6099" s="87" t="str">
        <x:v>956</x:v>
      </x:c>
      <x:c r="K6099" s="87" t="n">
        <x:v>15</x:v>
      </x:c>
      <x:c r="L6099" s="87" t="str">
        <x:v>Юридическое соответствие</x:v>
      </x:c>
      <x:c r="M6099" s="30" t="str">
        <x:v>Задание 15 варианта 956. Полная формулировка сохранена на странице по VIS_ID.</x:v>
      </x:c>
      <x:c r="N6099" s="30" t="str">
        <x:v>13123</x:v>
      </x:c>
      <x:c r="O6099" s="30" t="str">
        <x:v>Ответ проверен по исходной формулировке и обществоведческим понятиям.</x:v>
      </x:c>
      <x:c r="P6099" s="30"/>
      <x:c r="Q6099" s="30" t="str">
        <x:v>Независимая содержательная проверка; вторичный ответник хранится отдельно.</x:v>
      </x:c>
      <x:c r="R6099" s="30" t="str">
        <x:v>13123</x:v>
      </x:c>
      <x:c r="S6099" s="30"/>
      <x:c r="T6099" s="30"/>
      <x:c r="U6099" s="30" t="str">
        <x:v>Ответник совпадает с независимой проверкой.</x:v>
      </x:c>
      <x:c r="V6099" s="87" t="str">
        <x:v>VERIFIED</x:v>
      </x:c>
      <x:c r="W6099" s="87"/>
      <x:c r="X6099" s="87" t="n">
        <x:v>5</x:v>
      </x:c>
      <x:c r="Y6099" s="87"/>
      <x:c r="Z6099" s="87"/>
      <x:c r="AA6099" s="87"/>
      <x:c r="AB6099" s="87"/>
      <x:c r="AC6099" s="87" t="str">
        <x:v>VIS-EGKR-SOC-S26-TASK-956-P005</x:v>
      </x:c>
      <x:c r="AD6099" s="87" t="str">
        <x:v>VIS-EGKR-SOC-S26-ANSWERDOC-P004; VIS-EGKR-SOC-S26-ANSWERDOC-P005; VIS-EGKR-SOC-S26-ANSWERDOC-P006; VIS-EGKR-SOC-S26-ANSWERDOC-P007</x:v>
      </x:c>
      <x:c r="AE6099" s="87" t="str">
        <x:v>TASK; SECONDARY_ANSWER_SOURCE</x:v>
      </x:c>
      <x:c r="AF6099" s="87" t="str">
        <x:v>VIS-EGKR-SOC-S26-TASK-956-P005: 5; VIS-EGKR-SOC-S26-ANSWERDOC-P004: 4; VIS-EGKR-SOC-S26-ANSWERDOC-P005: 5; VIS-EGKR-SOC-S26-ANSWERDOC-P006: 6; VIS-EGKR-SOC-S26-ANSWERDOC-P007: 7</x:v>
      </x:c>
      <x:c r="AG6099" s="87" t="str">
        <x:v>RESOLVED</x:v>
      </x:c>
      <x:c r="AH6099" s="87" t="str">
        <x:v>CROP_VERIFIED</x:v>
      </x:c>
      <x:c r="AI6099" s="30"/>
      <x:c r="AJ6099" s="87" t="str">
        <x:v>clean</x:v>
      </x:c>
      <x:c r="AK6099" s="87" t="str">
        <x:v>clean-v0.20</x:v>
      </x:c>
      <x:c r="AL6099" s="87" t="str">
        <x:v>statgrad_clean_continuation_v0_20(1).xlsx</x:v>
      </x:c>
      <x:c r="AM6099" s="87" t="str">
        <x:v>SOC_EGKR_S26_956</x:v>
      </x:c>
      <x:c r="AN6099" s="87" t="n">
        <x:v>16</x:v>
      </x:c>
    </x:row>
    <x:row r="6100">
      <x:c r="A6100" s="87" t="n">
        <x:v>6099</x:v>
      </x:c>
      <x:c r="B6100" s="87" t="str">
        <x:v>EGKR-S26-SOC-956-16</x:v>
      </x:c>
      <x:c r="C6100" s="87" t="str">
        <x:v>ЕГКР</x:v>
      </x:c>
      <x:c r="D6100" s="87"/>
      <x:c r="E6100" s="87" t="str">
        <x:v>Весна 2026</x:v>
      </x:c>
      <x:c r="F6100" s="87" t="str">
        <x:v>26.03.2026</x:v>
      </x:c>
      <x:c r="G6100" s="87" t="str">
        <x:v>Обществознание</x:v>
      </x:c>
      <x:c r="H6100" s="87" t="n">
        <x:v>11</x:v>
      </x:c>
      <x:c r="I6100" s="87"/>
      <x:c r="J6100" s="87" t="str">
        <x:v>956</x:v>
      </x:c>
      <x:c r="K6100" s="87" t="n">
        <x:v>16</x:v>
      </x:c>
      <x:c r="L6100" s="87" t="str">
        <x:v>Практическая правовая ситуация</x:v>
      </x:c>
      <x:c r="M6100" s="30" t="str">
        <x:v>Задание 16 варианта 956. Полная формулировка сохранена на странице по VIS_ID.</x:v>
      </x:c>
      <x:c r="N6100" s="30" t="str">
        <x:v>125</x:v>
      </x:c>
      <x:c r="O6100" s="30" t="str">
        <x:v>Ответ проверен по исходной формулировке и обществоведческим понятиям.</x:v>
      </x:c>
      <x:c r="P6100" s="30"/>
      <x:c r="Q6100" s="30" t="str">
        <x:v>Независимая содержательная проверка; вторичный ответник хранится отдельно.</x:v>
      </x:c>
      <x:c r="R6100" s="30" t="str">
        <x:v>125</x:v>
      </x:c>
      <x:c r="S6100" s="30"/>
      <x:c r="T6100" s="30"/>
      <x:c r="U6100" s="30" t="str">
        <x:v>Ответник совпадает с независимой проверкой.</x:v>
      </x:c>
      <x:c r="V6100" s="87" t="str">
        <x:v>VERIFIED</x:v>
      </x:c>
      <x:c r="W6100" s="87"/>
      <x:c r="X6100" s="87" t="n">
        <x:v>5</x:v>
      </x:c>
      <x:c r="Y6100" s="87"/>
      <x:c r="Z6100" s="87"/>
      <x:c r="AA6100" s="87"/>
      <x:c r="AB6100" s="87"/>
      <x:c r="AC6100" s="87" t="str">
        <x:v>VIS-EGKR-SOC-S26-TASK-956-P005</x:v>
      </x:c>
      <x:c r="AD6100" s="87" t="str">
        <x:v>VIS-EGKR-SOC-S26-ANSWERDOC-P004; VIS-EGKR-SOC-S26-ANSWERDOC-P005; VIS-EGKR-SOC-S26-ANSWERDOC-P006; VIS-EGKR-SOC-S26-ANSWERDOC-P007</x:v>
      </x:c>
      <x:c r="AE6100" s="87" t="str">
        <x:v>TASK; SECONDARY_ANSWER_SOURCE</x:v>
      </x:c>
      <x:c r="AF6100" s="87" t="str">
        <x:v>VIS-EGKR-SOC-S26-TASK-956-P005: 5; VIS-EGKR-SOC-S26-ANSWERDOC-P004: 4; VIS-EGKR-SOC-S26-ANSWERDOC-P005: 5; VIS-EGKR-SOC-S26-ANSWERDOC-P006: 6; VIS-EGKR-SOC-S26-ANSWERDOC-P007: 7</x:v>
      </x:c>
      <x:c r="AG6100" s="87" t="str">
        <x:v>RESOLVED</x:v>
      </x:c>
      <x:c r="AH6100" s="87" t="str">
        <x:v>CROP_VERIFIED</x:v>
      </x:c>
      <x:c r="AI6100" s="30"/>
      <x:c r="AJ6100" s="87" t="str">
        <x:v>clean</x:v>
      </x:c>
      <x:c r="AK6100" s="87" t="str">
        <x:v>clean-v0.20</x:v>
      </x:c>
      <x:c r="AL6100" s="87" t="str">
        <x:v>statgrad_clean_continuation_v0_20(1).xlsx</x:v>
      </x:c>
      <x:c r="AM6100" s="87" t="str">
        <x:v>SOC_EGKR_S26_956</x:v>
      </x:c>
      <x:c r="AN6100" s="87" t="n">
        <x:v>17</x:v>
      </x:c>
    </x:row>
    <x:row r="6101">
      <x:c r="A6101" s="87" t="n">
        <x:v>6100</x:v>
      </x:c>
      <x:c r="B6101" s="87" t="str">
        <x:v>EGKR-S26-SOC-956-17</x:v>
      </x:c>
      <x:c r="C6101" s="87" t="str">
        <x:v>ЕГКР</x:v>
      </x:c>
      <x:c r="D6101" s="87"/>
      <x:c r="E6101" s="87" t="str">
        <x:v>Весна 2026</x:v>
      </x:c>
      <x:c r="F6101" s="87" t="str">
        <x:v>26.03.2026</x:v>
      </x:c>
      <x:c r="G6101" s="87" t="str">
        <x:v>Обществознание</x:v>
      </x:c>
      <x:c r="H6101" s="87" t="n">
        <x:v>11</x:v>
      </x:c>
      <x:c r="I6101" s="87"/>
      <x:c r="J6101" s="87" t="str">
        <x:v>956</x:v>
      </x:c>
      <x:c r="K6101" s="87" t="n">
        <x:v>17</x:v>
      </x:c>
      <x:c r="L6101" s="87" t="str">
        <x:v>Развёрнутый ответ</x:v>
      </x:c>
      <x:c r="M6101" s="30" t="str">
        <x:v>По тексту об административном праве раскрыть юридическую обязанность и привести примеры.</x:v>
      </x:c>
      <x:c r="N6101" s="30" t="str">
        <x:v>Юридическая обязанность — должный вариант поведения, необходимость которого обусловлена публичными интересами. Её исполнение означает совершение предписанного действия в интересах управомоченного лица или общества. Примеры обязанностей, возникающих из поведения самого гражданина: пройти установленные процедуры и экзамены для получения водительского удостоверения; представить документы и выполнить требования для получения заграничного паспорта.</x:v>
      </x:c>
      <x:c r="O6101" s="30" t="str">
        <x:v>Рабочая модель включает все элементы, требуемые формулировкой.</x:v>
      </x:c>
      <x:c r="P6101" s="30"/>
      <x:c r="Q6101" s="30" t="str">
        <x:v>Сопоставлено с исходным заданием; вторичный ответник использован только для аудита.</x:v>
      </x:c>
      <x:c r="R6101" s="30" t="str">
        <x:v>MODEL_PARTIAL_OR_SECONDARY</x:v>
      </x:c>
      <x:c r="S6101" s="30"/>
      <x:c r="T6101" s="30"/>
      <x:c r="U6101" s="30" t="str">
        <x:v>Модель независимо дополнена там, где во внутреннем ответнике отсутствовали пункты.</x:v>
      </x:c>
      <x:c r="V6101" s="87" t="str">
        <x:v>VERIFIED</x:v>
      </x:c>
      <x:c r="W6101" s="87"/>
      <x:c r="X6101" s="87" t="n">
        <x:v>6</x:v>
      </x:c>
      <x:c r="Y6101" s="87"/>
      <x:c r="Z6101" s="87"/>
      <x:c r="AA6101" s="87"/>
      <x:c r="AB6101" s="87"/>
      <x:c r="AC6101" s="87" t="str">
        <x:v>VIS-EGKR-SOC-S26-TASK-956-P006</x:v>
      </x:c>
      <x:c r="AD6101" s="87" t="str">
        <x:v>VIS-EGKR-SOC-S26-ANSWERDOC-P004; VIS-EGKR-SOC-S26-ANSWERDOC-P005; VIS-EGKR-SOC-S26-ANSWERDOC-P006; VIS-EGKR-SOC-S26-ANSWERDOC-P007</x:v>
      </x:c>
      <x:c r="AE6101" s="87" t="str">
        <x:v>TASK; SECONDARY_ANSWER_SOURCE</x:v>
      </x:c>
      <x:c r="AF6101" s="87" t="str">
        <x:v>VIS-EGKR-SOC-S26-TASK-956-P006: 6; VIS-EGKR-SOC-S26-ANSWERDOC-P004: 4; VIS-EGKR-SOC-S26-ANSWERDOC-P005: 5; VIS-EGKR-SOC-S26-ANSWERDOC-P006: 6; VIS-EGKR-SOC-S26-ANSWERDOC-P007: 7</x:v>
      </x:c>
      <x:c r="AG6101" s="87" t="str">
        <x:v>RESOLVED</x:v>
      </x:c>
      <x:c r="AH6101" s="87" t="str">
        <x:v>CROP_VERIFIED</x:v>
      </x:c>
      <x:c r="AI6101" s="30"/>
      <x:c r="AJ6101" s="87" t="str">
        <x:v>clean</x:v>
      </x:c>
      <x:c r="AK6101" s="87" t="str">
        <x:v>clean-v0.20</x:v>
      </x:c>
      <x:c r="AL6101" s="87" t="str">
        <x:v>statgrad_clean_continuation_v0_20(1).xlsx</x:v>
      </x:c>
      <x:c r="AM6101" s="87" t="str">
        <x:v>SOC_EGKR_S26_956</x:v>
      </x:c>
      <x:c r="AN6101" s="87" t="n">
        <x:v>18</x:v>
      </x:c>
    </x:row>
    <x:row r="6102">
      <x:c r="A6102" s="87" t="n">
        <x:v>6101</x:v>
      </x:c>
      <x:c r="B6102" s="87" t="str">
        <x:v>EGKR-S26-SOC-956-18</x:v>
      </x:c>
      <x:c r="C6102" s="87" t="str">
        <x:v>ЕГКР</x:v>
      </x:c>
      <x:c r="D6102" s="87"/>
      <x:c r="E6102" s="87" t="str">
        <x:v>Весна 2026</x:v>
      </x:c>
      <x:c r="F6102" s="87" t="str">
        <x:v>26.03.2026</x:v>
      </x:c>
      <x:c r="G6102" s="87" t="str">
        <x:v>Обществознание</x:v>
      </x:c>
      <x:c r="H6102" s="87" t="n">
        <x:v>11</x:v>
      </x:c>
      <x:c r="I6102" s="87"/>
      <x:c r="J6102" s="87" t="str">
        <x:v>956</x:v>
      </x:c>
      <x:c r="K6102" s="87" t="n">
        <x:v>18</x:v>
      </x:c>
      <x:c r="L6102" s="87" t="str">
        <x:v>Развёрнутый ответ</x:v>
      </x:c>
      <x:c r="M6102" s="30" t="str">
        <x:v>Назвать признаки гражданина как субъекта правоотношений и связать административное регулирование с политическим режимом.</x:v>
      </x:c>
      <x:c r="N6102" s="30" t="str">
        <x:v>Гражданин имеет устойчивую правовую связь с государством, обладает правоспособностью и дееспособностью, несёт юридические обязанности и ответственность. В демократическом государстве обязывающий характер административного регулирования основан на законе, служит публичным интересам и одновременно ограничен правами человека, судебным контролем и возможностью обжалования действий органов власти.</x:v>
      </x:c>
      <x:c r="O6102" s="30" t="str">
        <x:v>Рабочая модель включает все элементы, требуемые формулировкой.</x:v>
      </x:c>
      <x:c r="P6102" s="30"/>
      <x:c r="Q6102" s="30" t="str">
        <x:v>Сопоставлено с исходным заданием; вторичный ответник использован только для аудита.</x:v>
      </x:c>
      <x:c r="R6102" s="30" t="str">
        <x:v>MODEL_PARTIAL_OR_SECONDARY</x:v>
      </x:c>
      <x:c r="S6102" s="30"/>
      <x:c r="T6102" s="30"/>
      <x:c r="U6102" s="30" t="str">
        <x:v>Модель независимо дополнена там, где во внутреннем ответнике отсутствовали пункты.</x:v>
      </x:c>
      <x:c r="V6102" s="87" t="str">
        <x:v>VERIFIED</x:v>
      </x:c>
      <x:c r="W6102" s="87"/>
      <x:c r="X6102" s="87" t="n">
        <x:v>6</x:v>
      </x:c>
      <x:c r="Y6102" s="87"/>
      <x:c r="Z6102" s="87"/>
      <x:c r="AA6102" s="87"/>
      <x:c r="AB6102" s="87"/>
      <x:c r="AC6102" s="87" t="str">
        <x:v>VIS-EGKR-SOC-S26-TASK-956-P006</x:v>
      </x:c>
      <x:c r="AD6102" s="87" t="str">
        <x:v>VIS-EGKR-SOC-S26-ANSWERDOC-P004; VIS-EGKR-SOC-S26-ANSWERDOC-P005; VIS-EGKR-SOC-S26-ANSWERDOC-P006; VIS-EGKR-SOC-S26-ANSWERDOC-P007</x:v>
      </x:c>
      <x:c r="AE6102" s="87" t="str">
        <x:v>TASK; SECONDARY_ANSWER_SOURCE</x:v>
      </x:c>
      <x:c r="AF6102" s="87" t="str">
        <x:v>VIS-EGKR-SOC-S26-TASK-956-P006: 6; VIS-EGKR-SOC-S26-ANSWERDOC-P004: 4; VIS-EGKR-SOC-S26-ANSWERDOC-P005: 5; VIS-EGKR-SOC-S26-ANSWERDOC-P006: 6; VIS-EGKR-SOC-S26-ANSWERDOC-P007: 7</x:v>
      </x:c>
      <x:c r="AG6102" s="87" t="str">
        <x:v>RESOLVED</x:v>
      </x:c>
      <x:c r="AH6102" s="87" t="str">
        <x:v>CROP_VERIFIED</x:v>
      </x:c>
      <x:c r="AI6102" s="30"/>
      <x:c r="AJ6102" s="87" t="str">
        <x:v>clean</x:v>
      </x:c>
      <x:c r="AK6102" s="87" t="str">
        <x:v>clean-v0.20</x:v>
      </x:c>
      <x:c r="AL6102" s="87" t="str">
        <x:v>statgrad_clean_continuation_v0_20(1).xlsx</x:v>
      </x:c>
      <x:c r="AM6102" s="87" t="str">
        <x:v>SOC_EGKR_S26_956</x:v>
      </x:c>
      <x:c r="AN6102" s="87" t="n">
        <x:v>19</x:v>
      </x:c>
    </x:row>
    <x:row r="6103">
      <x:c r="A6103" s="87" t="n">
        <x:v>6102</x:v>
      </x:c>
      <x:c r="B6103" s="87" t="str">
        <x:v>EGKR-S26-SOC-956-19</x:v>
      </x:c>
      <x:c r="C6103" s="87" t="str">
        <x:v>ЕГКР</x:v>
      </x:c>
      <x:c r="D6103" s="87"/>
      <x:c r="E6103" s="87" t="str">
        <x:v>Весна 2026</x:v>
      </x:c>
      <x:c r="F6103" s="87" t="str">
        <x:v>26.03.2026</x:v>
      </x:c>
      <x:c r="G6103" s="87" t="str">
        <x:v>Обществознание</x:v>
      </x:c>
      <x:c r="H6103" s="87" t="n">
        <x:v>11</x:v>
      </x:c>
      <x:c r="I6103" s="87"/>
      <x:c r="J6103" s="87" t="str">
        <x:v>956</x:v>
      </x:c>
      <x:c r="K6103" s="87" t="n">
        <x:v>19</x:v>
      </x:c>
      <x:c r="L6103" s="87" t="str">
        <x:v>Развёрнутый ответ</x:v>
      </x:c>
      <x:c r="M6103" s="30" t="str">
        <x:v>Привести запреты из трёх отраслей права.</x:v>
      </x:c>
      <x:c r="N6103" s="30" t="str">
        <x:v>Уголовное право запрещает хищение имущества, защищая собственность и безопасность общества. Административное право запрещает управление автомобилем в состоянии опьянения, предупреждая угрозу жизни участников движения. Гражданское право запрещает злоупотребление правом и сделки, нарушающие закон и права других лиц; суд может отказать в защите такого поведения или признать сделку недействительной.</x:v>
      </x:c>
      <x:c r="O6103" s="30" t="str">
        <x:v>Рабочая модель включает все элементы, требуемые формулировкой.</x:v>
      </x:c>
      <x:c r="P6103" s="30"/>
      <x:c r="Q6103" s="30" t="str">
        <x:v>Сопоставлено с исходным заданием; вторичный ответник использован только для аудита.</x:v>
      </x:c>
      <x:c r="R6103" s="30" t="str">
        <x:v>MODEL_PARTIAL_OR_SECONDARY</x:v>
      </x:c>
      <x:c r="S6103" s="30"/>
      <x:c r="T6103" s="30"/>
      <x:c r="U6103" s="30" t="str">
        <x:v>Модель независимо дополнена там, где во внутреннем ответнике отсутствовали пункты.</x:v>
      </x:c>
      <x:c r="V6103" s="87" t="str">
        <x:v>VERIFIED</x:v>
      </x:c>
      <x:c r="W6103" s="87"/>
      <x:c r="X6103" s="87" t="n">
        <x:v>6</x:v>
      </x:c>
      <x:c r="Y6103" s="87"/>
      <x:c r="Z6103" s="87"/>
      <x:c r="AA6103" s="87"/>
      <x:c r="AB6103" s="87"/>
      <x:c r="AC6103" s="87" t="str">
        <x:v>VIS-EGKR-SOC-S26-TASK-956-P006</x:v>
      </x:c>
      <x:c r="AD6103" s="87" t="str">
        <x:v>VIS-EGKR-SOC-S26-ANSWERDOC-P004; VIS-EGKR-SOC-S26-ANSWERDOC-P005; VIS-EGKR-SOC-S26-ANSWERDOC-P006; VIS-EGKR-SOC-S26-ANSWERDOC-P007</x:v>
      </x:c>
      <x:c r="AE6103" s="87" t="str">
        <x:v>TASK; SECONDARY_ANSWER_SOURCE</x:v>
      </x:c>
      <x:c r="AF6103" s="87" t="str">
        <x:v>VIS-EGKR-SOC-S26-TASK-956-P006: 6; VIS-EGKR-SOC-S26-ANSWERDOC-P004: 4; VIS-EGKR-SOC-S26-ANSWERDOC-P005: 5; VIS-EGKR-SOC-S26-ANSWERDOC-P006: 6; VIS-EGKR-SOC-S26-ANSWERDOC-P007: 7</x:v>
      </x:c>
      <x:c r="AG6103" s="87" t="str">
        <x:v>RESOLVED</x:v>
      </x:c>
      <x:c r="AH6103" s="87" t="str">
        <x:v>CROP_VERIFIED</x:v>
      </x:c>
      <x:c r="AI6103" s="30"/>
      <x:c r="AJ6103" s="87" t="str">
        <x:v>clean</x:v>
      </x:c>
      <x:c r="AK6103" s="87" t="str">
        <x:v>clean-v0.20</x:v>
      </x:c>
      <x:c r="AL6103" s="87" t="str">
        <x:v>statgrad_clean_continuation_v0_20(1).xlsx</x:v>
      </x:c>
      <x:c r="AM6103" s="87" t="str">
        <x:v>SOC_EGKR_S26_956</x:v>
      </x:c>
      <x:c r="AN6103" s="87" t="n">
        <x:v>20</x:v>
      </x:c>
    </x:row>
    <x:row r="6104">
      <x:c r="A6104" s="87" t="n">
        <x:v>6103</x:v>
      </x:c>
      <x:c r="B6104" s="87" t="str">
        <x:v>EGKR-S26-SOC-956-20</x:v>
      </x:c>
      <x:c r="C6104" s="87" t="str">
        <x:v>ЕГКР</x:v>
      </x:c>
      <x:c r="D6104" s="87"/>
      <x:c r="E6104" s="87" t="str">
        <x:v>Весна 2026</x:v>
      </x:c>
      <x:c r="F6104" s="87" t="str">
        <x:v>26.03.2026</x:v>
      </x:c>
      <x:c r="G6104" s="87" t="str">
        <x:v>Обществознание</x:v>
      </x:c>
      <x:c r="H6104" s="87" t="n">
        <x:v>11</x:v>
      </x:c>
      <x:c r="I6104" s="87"/>
      <x:c r="J6104" s="87" t="str">
        <x:v>956</x:v>
      </x:c>
      <x:c r="K6104" s="87" t="n">
        <x:v>20</x:v>
      </x:c>
      <x:c r="L6104" s="87" t="str">
        <x:v>Развёрнутый ответ</x:v>
      </x:c>
      <x:c r="M6104" s="30" t="str">
        <x:v>Назвать три особенности исполнительной власти в демократическом государстве.</x:v>
      </x:c>
      <x:c r="N6104" s="30" t="str">
        <x:v>Исполнительная власть организует практическое исполнение законов и управление публичными делами. Она действует в пределах компетенции и на основе закона, подконтрольна парламенту и суду. Органы исполнительной власти обязаны соблюдать права граждан, мотивировать решения и обеспечивать возможность административного и судебного обжалования.</x:v>
      </x:c>
      <x:c r="O6104" s="30" t="str">
        <x:v>Рабочая модель включает все элементы, требуемые формулировкой.</x:v>
      </x:c>
      <x:c r="P6104" s="30"/>
      <x:c r="Q6104" s="30" t="str">
        <x:v>Сопоставлено с исходным заданием; вторичный ответник использован только для аудита.</x:v>
      </x:c>
      <x:c r="R6104" s="30" t="str">
        <x:v>MODEL_PARTIAL_OR_SECONDARY</x:v>
      </x:c>
      <x:c r="S6104" s="30"/>
      <x:c r="T6104" s="30"/>
      <x:c r="U6104" s="30" t="str">
        <x:v>Модель независимо дополнена там, где во внутреннем ответнике отсутствовали пункты.</x:v>
      </x:c>
      <x:c r="V6104" s="87" t="str">
        <x:v>VERIFIED</x:v>
      </x:c>
      <x:c r="W6104" s="87"/>
      <x:c r="X6104" s="87" t="n">
        <x:v>6</x:v>
      </x:c>
      <x:c r="Y6104" s="87"/>
      <x:c r="Z6104" s="87"/>
      <x:c r="AA6104" s="87"/>
      <x:c r="AB6104" s="87"/>
      <x:c r="AC6104" s="87" t="str">
        <x:v>VIS-EGKR-SOC-S26-TASK-956-P006</x:v>
      </x:c>
      <x:c r="AD6104" s="87" t="str">
        <x:v>VIS-EGKR-SOC-S26-ANSWERDOC-P004; VIS-EGKR-SOC-S26-ANSWERDOC-P005; VIS-EGKR-SOC-S26-ANSWERDOC-P006; VIS-EGKR-SOC-S26-ANSWERDOC-P007</x:v>
      </x:c>
      <x:c r="AE6104" s="87" t="str">
        <x:v>TASK; SECONDARY_ANSWER_SOURCE</x:v>
      </x:c>
      <x:c r="AF6104" s="87" t="str">
        <x:v>VIS-EGKR-SOC-S26-TASK-956-P006: 6; VIS-EGKR-SOC-S26-ANSWERDOC-P004: 4; VIS-EGKR-SOC-S26-ANSWERDOC-P005: 5; VIS-EGKR-SOC-S26-ANSWERDOC-P006: 6; VIS-EGKR-SOC-S26-ANSWERDOC-P007: 7</x:v>
      </x:c>
      <x:c r="AG6104" s="87" t="str">
        <x:v>RESOLVED</x:v>
      </x:c>
      <x:c r="AH6104" s="87" t="str">
        <x:v>CROP_VERIFIED</x:v>
      </x:c>
      <x:c r="AI6104" s="30"/>
      <x:c r="AJ6104" s="87" t="str">
        <x:v>clean</x:v>
      </x:c>
      <x:c r="AK6104" s="87" t="str">
        <x:v>clean-v0.20</x:v>
      </x:c>
      <x:c r="AL6104" s="87" t="str">
        <x:v>statgrad_clean_continuation_v0_20(1).xlsx</x:v>
      </x:c>
      <x:c r="AM6104" s="87" t="str">
        <x:v>SOC_EGKR_S26_956</x:v>
      </x:c>
      <x:c r="AN6104" s="87" t="n">
        <x:v>21</x:v>
      </x:c>
    </x:row>
    <x:row r="6105">
      <x:c r="A6105" s="87" t="n">
        <x:v>6104</x:v>
      </x:c>
      <x:c r="B6105" s="87" t="str">
        <x:v>EGKR-S26-SOC-956-21</x:v>
      </x:c>
      <x:c r="C6105" s="87" t="str">
        <x:v>ЕГКР</x:v>
      </x:c>
      <x:c r="D6105" s="87"/>
      <x:c r="E6105" s="87" t="str">
        <x:v>Весна 2026</x:v>
      </x:c>
      <x:c r="F6105" s="87" t="str">
        <x:v>26.03.2026</x:v>
      </x:c>
      <x:c r="G6105" s="87" t="str">
        <x:v>Обществознание</x:v>
      </x:c>
      <x:c r="H6105" s="87" t="n">
        <x:v>11</x:v>
      </x:c>
      <x:c r="I6105" s="87"/>
      <x:c r="J6105" s="87" t="str">
        <x:v>956</x:v>
      </x:c>
      <x:c r="K6105" s="87" t="n">
        <x:v>21</x:v>
      </x:c>
      <x:c r="L6105" s="87" t="str">
        <x:v>Развёрнутый ответ</x:v>
      </x:c>
      <x:c r="M6105" s="30" t="str">
        <x:v>Проанализировать сокращение предложения комнатных растений.</x:v>
      </x:c>
      <x:c r="N6105" s="30" t="str">
        <x:v>Равновесная цена увеличилась. Рост стоимости электроэнергии, удобрений или аренды повышает издержки производителей, сокращает предложение и смещает кривую влево. Если мода на живые растения пройдёт, спрос уменьшится, а равновесная цена снизится.</x:v>
      </x:c>
      <x:c r="O6105" s="30" t="str">
        <x:v>Рабочая модель включает все элементы, требуемые формулировкой.</x:v>
      </x:c>
      <x:c r="P6105" s="30"/>
      <x:c r="Q6105" s="30" t="str">
        <x:v>Сопоставлено с исходным заданием; вторичный ответник использован только для аудита.</x:v>
      </x:c>
      <x:c r="R6105" s="30" t="str">
        <x:v>MODEL_PARTIAL_OR_SECONDARY</x:v>
      </x:c>
      <x:c r="S6105" s="30"/>
      <x:c r="T6105" s="30"/>
      <x:c r="U6105" s="30" t="str">
        <x:v>Модель независимо дополнена там, где во внутреннем ответнике отсутствовали пункты.</x:v>
      </x:c>
      <x:c r="V6105" s="87" t="str">
        <x:v>VERIFIED</x:v>
      </x:c>
      <x:c r="W6105" s="87"/>
      <x:c r="X6105" s="87" t="n">
        <x:v>7</x:v>
      </x:c>
      <x:c r="Y6105" s="87"/>
      <x:c r="Z6105" s="87"/>
      <x:c r="AA6105" s="87"/>
      <x:c r="AB6105" s="87"/>
      <x:c r="AC6105" s="87" t="str">
        <x:v>VIS-EGKR-SOC-S26-TASK-956-P007</x:v>
      </x:c>
      <x:c r="AD6105" s="87" t="str">
        <x:v>VIS-EGKR-SOC-S26-ANSWERDOC-P004; VIS-EGKR-SOC-S26-ANSWERDOC-P005; VIS-EGKR-SOC-S26-ANSWERDOC-P006; VIS-EGKR-SOC-S26-ANSWERDOC-P007</x:v>
      </x:c>
      <x:c r="AE6105" s="87" t="str">
        <x:v>TASK; SECONDARY_ANSWER_SOURCE</x:v>
      </x:c>
      <x:c r="AF6105" s="87" t="str">
        <x:v>VIS-EGKR-SOC-S26-TASK-956-P007: 7; VIS-EGKR-SOC-S26-ANSWERDOC-P004: 4; VIS-EGKR-SOC-S26-ANSWERDOC-P005: 5; VIS-EGKR-SOC-S26-ANSWERDOC-P006: 6; VIS-EGKR-SOC-S26-ANSWERDOC-P007: 7</x:v>
      </x:c>
      <x:c r="AG6105" s="87" t="str">
        <x:v>RESOLVED</x:v>
      </x:c>
      <x:c r="AH6105" s="87" t="str">
        <x:v>CROP_VERIFIED</x:v>
      </x:c>
      <x:c r="AI6105" s="30"/>
      <x:c r="AJ6105" s="87" t="str">
        <x:v>clean</x:v>
      </x:c>
      <x:c r="AK6105" s="87" t="str">
        <x:v>clean-v0.20</x:v>
      </x:c>
      <x:c r="AL6105" s="87" t="str">
        <x:v>statgrad_clean_continuation_v0_20(1).xlsx</x:v>
      </x:c>
      <x:c r="AM6105" s="87" t="str">
        <x:v>SOC_EGKR_S26_956</x:v>
      </x:c>
      <x:c r="AN6105" s="87" t="n">
        <x:v>22</x:v>
      </x:c>
    </x:row>
    <x:row r="6106">
      <x:c r="A6106" s="87" t="n">
        <x:v>6105</x:v>
      </x:c>
      <x:c r="B6106" s="87" t="str">
        <x:v>EGKR-S26-SOC-956-22</x:v>
      </x:c>
      <x:c r="C6106" s="87" t="str">
        <x:v>ЕГКР</x:v>
      </x:c>
      <x:c r="D6106" s="87"/>
      <x:c r="E6106" s="87" t="str">
        <x:v>Весна 2026</x:v>
      </x:c>
      <x:c r="F6106" s="87" t="str">
        <x:v>26.03.2026</x:v>
      </x:c>
      <x:c r="G6106" s="87" t="str">
        <x:v>Обществознание</x:v>
      </x:c>
      <x:c r="H6106" s="87" t="n">
        <x:v>11</x:v>
      </x:c>
      <x:c r="I6106" s="87"/>
      <x:c r="J6106" s="87" t="str">
        <x:v>956</x:v>
      </x:c>
      <x:c r="K6106" s="87" t="n">
        <x:v>22</x:v>
      </x:c>
      <x:c r="L6106" s="87" t="str">
        <x:v>Развёрнутый ответ</x:v>
      </x:c>
      <x:c r="M6106" s="30" t="str">
        <x:v>Определить оплату труда, налоги и принципы кредита.</x:v>
      </x:c>
      <x:c r="N6106" s="30" t="str">
        <x:v>Фиксированная ежемесячная сумма иллюстрирует повременную (окладную) оплату труда. НДФЛ — федеральный налог; 13% — налоговая ставка. Основные принципы кредита: возвратность, срочность и платность.</x:v>
      </x:c>
      <x:c r="O6106" s="30" t="str">
        <x:v>Рабочая модель включает все элементы, требуемые формулировкой.</x:v>
      </x:c>
      <x:c r="P6106" s="30"/>
      <x:c r="Q6106" s="30" t="str">
        <x:v>Сопоставлено с исходным заданием; вторичный ответник использован только для аудита.</x:v>
      </x:c>
      <x:c r="R6106" s="30" t="str">
        <x:v>MODEL_PARTIAL_OR_SECONDARY</x:v>
      </x:c>
      <x:c r="S6106" s="30"/>
      <x:c r="T6106" s="30"/>
      <x:c r="U6106" s="30" t="str">
        <x:v>Модель независимо дополнена там, где во внутреннем ответнике отсутствовали пункты.</x:v>
      </x:c>
      <x:c r="V6106" s="87" t="str">
        <x:v>VERIFIED</x:v>
      </x:c>
      <x:c r="W6106" s="87"/>
      <x:c r="X6106" s="87" t="n">
        <x:v>7</x:v>
      </x:c>
      <x:c r="Y6106" s="87"/>
      <x:c r="Z6106" s="87"/>
      <x:c r="AA6106" s="87"/>
      <x:c r="AB6106" s="87"/>
      <x:c r="AC6106" s="87" t="str">
        <x:v>VIS-EGKR-SOC-S26-TASK-956-P007</x:v>
      </x:c>
      <x:c r="AD6106" s="87" t="str">
        <x:v>VIS-EGKR-SOC-S26-ANSWERDOC-P004; VIS-EGKR-SOC-S26-ANSWERDOC-P005; VIS-EGKR-SOC-S26-ANSWERDOC-P006; VIS-EGKR-SOC-S26-ANSWERDOC-P007</x:v>
      </x:c>
      <x:c r="AE6106" s="87" t="str">
        <x:v>TASK; SECONDARY_ANSWER_SOURCE</x:v>
      </x:c>
      <x:c r="AF6106" s="87" t="str">
        <x:v>VIS-EGKR-SOC-S26-TASK-956-P007: 7; VIS-EGKR-SOC-S26-ANSWERDOC-P004: 4; VIS-EGKR-SOC-S26-ANSWERDOC-P005: 5; VIS-EGKR-SOC-S26-ANSWERDOC-P006: 6; VIS-EGKR-SOC-S26-ANSWERDOC-P007: 7</x:v>
      </x:c>
      <x:c r="AG6106" s="87" t="str">
        <x:v>RESOLVED</x:v>
      </x:c>
      <x:c r="AH6106" s="87" t="str">
        <x:v>CROP_VERIFIED</x:v>
      </x:c>
      <x:c r="AI6106" s="30"/>
      <x:c r="AJ6106" s="87" t="str">
        <x:v>clean</x:v>
      </x:c>
      <x:c r="AK6106" s="87" t="str">
        <x:v>clean-v0.20</x:v>
      </x:c>
      <x:c r="AL6106" s="87" t="str">
        <x:v>statgrad_clean_continuation_v0_20(1).xlsx</x:v>
      </x:c>
      <x:c r="AM6106" s="87" t="str">
        <x:v>SOC_EGKR_S26_956</x:v>
      </x:c>
      <x:c r="AN6106" s="87" t="n">
        <x:v>23</x:v>
      </x:c>
    </x:row>
    <x:row r="6107">
      <x:c r="A6107" s="87" t="n">
        <x:v>6106</x:v>
      </x:c>
      <x:c r="B6107" s="87" t="str">
        <x:v>EGKR-S26-SOC-956-23</x:v>
      </x:c>
      <x:c r="C6107" s="87" t="str">
        <x:v>ЕГКР</x:v>
      </x:c>
      <x:c r="D6107" s="87"/>
      <x:c r="E6107" s="87" t="str">
        <x:v>Весна 2026</x:v>
      </x:c>
      <x:c r="F6107" s="87" t="str">
        <x:v>26.03.2026</x:v>
      </x:c>
      <x:c r="G6107" s="87" t="str">
        <x:v>Обществознание</x:v>
      </x:c>
      <x:c r="H6107" s="87" t="n">
        <x:v>11</x:v>
      </x:c>
      <x:c r="I6107" s="87"/>
      <x:c r="J6107" s="87" t="str">
        <x:v>956</x:v>
      </x:c>
      <x:c r="K6107" s="87" t="n">
        <x:v>23</x:v>
      </x:c>
      <x:c r="L6107" s="87" t="str">
        <x:v>Развёрнутый ответ</x:v>
      </x:c>
      <x:c r="M6107" s="30" t="str">
        <x:v>Привести три конституционных условия экономической деятельности.</x:v>
      </x:c>
      <x:c r="N6107" s="30" t="str">
        <x:v>Конституция гарантирует единство экономического пространства и свободное перемещение товаров, услуг и финансов. Каждый вправе свободно использовать способности и имущество для предпринимательской деятельности. Частная, государственная, муниципальная и иные формы собственности признаются и защищаются равным образом.</x:v>
      </x:c>
      <x:c r="O6107" s="30" t="str">
        <x:v>Рабочая модель включает все элементы, требуемые формулировкой.</x:v>
      </x:c>
      <x:c r="P6107" s="30"/>
      <x:c r="Q6107" s="30" t="str">
        <x:v>Сопоставлено с исходным заданием; вторичный ответник использован только для аудита.</x:v>
      </x:c>
      <x:c r="R6107" s="30" t="str">
        <x:v>MODEL_PARTIAL_OR_SECONDARY</x:v>
      </x:c>
      <x:c r="S6107" s="30"/>
      <x:c r="T6107" s="30"/>
      <x:c r="U6107" s="30" t="str">
        <x:v>Модель независимо дополнена там, где во внутреннем ответнике отсутствовали пункты.</x:v>
      </x:c>
      <x:c r="V6107" s="87" t="str">
        <x:v>VERIFIED</x:v>
      </x:c>
      <x:c r="W6107" s="87"/>
      <x:c r="X6107" s="87" t="n">
        <x:v>7</x:v>
      </x:c>
      <x:c r="Y6107" s="87"/>
      <x:c r="Z6107" s="87"/>
      <x:c r="AA6107" s="87"/>
      <x:c r="AB6107" s="87"/>
      <x:c r="AC6107" s="87" t="str">
        <x:v>VIS-EGKR-SOC-S26-TASK-956-P007</x:v>
      </x:c>
      <x:c r="AD6107" s="87" t="str">
        <x:v>VIS-EGKR-SOC-S26-ANSWERDOC-P004; VIS-EGKR-SOC-S26-ANSWERDOC-P005; VIS-EGKR-SOC-S26-ANSWERDOC-P006; VIS-EGKR-SOC-S26-ANSWERDOC-P007</x:v>
      </x:c>
      <x:c r="AE6107" s="87" t="str">
        <x:v>TASK; SECONDARY_ANSWER_SOURCE</x:v>
      </x:c>
      <x:c r="AF6107" s="87" t="str">
        <x:v>VIS-EGKR-SOC-S26-TASK-956-P007: 7; VIS-EGKR-SOC-S26-ANSWERDOC-P004: 4; VIS-EGKR-SOC-S26-ANSWERDOC-P005: 5; VIS-EGKR-SOC-S26-ANSWERDOC-P006: 6; VIS-EGKR-SOC-S26-ANSWERDOC-P007: 7</x:v>
      </x:c>
      <x:c r="AG6107" s="87" t="str">
        <x:v>RESOLVED</x:v>
      </x:c>
      <x:c r="AH6107" s="87" t="str">
        <x:v>CROP_VERIFIED</x:v>
      </x:c>
      <x:c r="AI6107" s="30"/>
      <x:c r="AJ6107" s="87" t="str">
        <x:v>clean</x:v>
      </x:c>
      <x:c r="AK6107" s="87" t="str">
        <x:v>clean-v0.20</x:v>
      </x:c>
      <x:c r="AL6107" s="87" t="str">
        <x:v>statgrad_clean_continuation_v0_20(1).xlsx</x:v>
      </x:c>
      <x:c r="AM6107" s="87" t="str">
        <x:v>SOC_EGKR_S26_956</x:v>
      </x:c>
      <x:c r="AN6107" s="87" t="n">
        <x:v>24</x:v>
      </x:c>
    </x:row>
    <x:row r="6108">
      <x:c r="A6108" s="87" t="n">
        <x:v>6107</x:v>
      </x:c>
      <x:c r="B6108" s="87" t="str">
        <x:v>EGKR-S26-SOC-956-24</x:v>
      </x:c>
      <x:c r="C6108" s="87" t="str">
        <x:v>ЕГКР</x:v>
      </x:c>
      <x:c r="D6108" s="87"/>
      <x:c r="E6108" s="87" t="str">
        <x:v>Весна 2026</x:v>
      </x:c>
      <x:c r="F6108" s="87" t="str">
        <x:v>26.03.2026</x:v>
      </x:c>
      <x:c r="G6108" s="87" t="str">
        <x:v>Обществознание</x:v>
      </x:c>
      <x:c r="H6108" s="87" t="n">
        <x:v>11</x:v>
      </x:c>
      <x:c r="I6108" s="87"/>
      <x:c r="J6108" s="87" t="str">
        <x:v>956</x:v>
      </x:c>
      <x:c r="K6108" s="87" t="n">
        <x:v>24</x:v>
      </x:c>
      <x:c r="L6108" s="87" t="str">
        <x:v>Развёрнутый ответ</x:v>
      </x:c>
      <x:c r="M6108" s="30" t="str">
        <x:v>Составить сложный план о рынке.</x:v>
      </x:c>
      <x:c r="N6108" s="30" t="str">
        <x:v>1. Понятие рынка и его участники. 2. Условия возникновения: частная собственность, свобода предпринимательства, разделение труда, конкуренция. 3. Функции: регулирующая, ценообразующая, информационная, посредническая, санирующая. 4. Виды рынков по объекту, территории и законности. 5. Конкурентные структуры. 6. Достоинства и ограничения рыночного механизма. 7. Государственное регулирование рынка.</x:v>
      </x:c>
      <x:c r="O6108" s="30" t="str">
        <x:v>Рабочая модель включает все элементы, требуемые формулировкой.</x:v>
      </x:c>
      <x:c r="P6108" s="30"/>
      <x:c r="Q6108" s="30" t="str">
        <x:v>Сопоставлено с исходным заданием; вторичный ответник использован только для аудита.</x:v>
      </x:c>
      <x:c r="R6108" s="30" t="str">
        <x:v>MODEL_PARTIAL_OR_SECONDARY</x:v>
      </x:c>
      <x:c r="S6108" s="30"/>
      <x:c r="T6108" s="30"/>
      <x:c r="U6108" s="30" t="str">
        <x:v>Модель независимо дополнена там, где во внутреннем ответнике отсутствовали пункты.</x:v>
      </x:c>
      <x:c r="V6108" s="87" t="str">
        <x:v>VERIFIED</x:v>
      </x:c>
      <x:c r="W6108" s="87"/>
      <x:c r="X6108" s="87" t="n">
        <x:v>7</x:v>
      </x:c>
      <x:c r="Y6108" s="87"/>
      <x:c r="Z6108" s="87"/>
      <x:c r="AA6108" s="87"/>
      <x:c r="AB6108" s="87"/>
      <x:c r="AC6108" s="87" t="str">
        <x:v>VIS-EGKR-SOC-S26-TASK-956-P007</x:v>
      </x:c>
      <x:c r="AD6108" s="87" t="str">
        <x:v>VIS-EGKR-SOC-S26-ANSWERDOC-P004; VIS-EGKR-SOC-S26-ANSWERDOC-P005; VIS-EGKR-SOC-S26-ANSWERDOC-P006; VIS-EGKR-SOC-S26-ANSWERDOC-P007</x:v>
      </x:c>
      <x:c r="AE6108" s="87" t="str">
        <x:v>TASK; SECONDARY_ANSWER_SOURCE</x:v>
      </x:c>
      <x:c r="AF6108" s="87" t="str">
        <x:v>VIS-EGKR-SOC-S26-TASK-956-P007: 7; VIS-EGKR-SOC-S26-ANSWERDOC-P004: 4; VIS-EGKR-SOC-S26-ANSWERDOC-P005: 5; VIS-EGKR-SOC-S26-ANSWERDOC-P006: 6; VIS-EGKR-SOC-S26-ANSWERDOC-P007: 7</x:v>
      </x:c>
      <x:c r="AG6108" s="87" t="str">
        <x:v>RESOLVED</x:v>
      </x:c>
      <x:c r="AH6108" s="87" t="str">
        <x:v>CROP_VERIFIED</x:v>
      </x:c>
      <x:c r="AI6108" s="30"/>
      <x:c r="AJ6108" s="87" t="str">
        <x:v>clean</x:v>
      </x:c>
      <x:c r="AK6108" s="87" t="str">
        <x:v>clean-v0.20</x:v>
      </x:c>
      <x:c r="AL6108" s="87" t="str">
        <x:v>statgrad_clean_continuation_v0_20(1).xlsx</x:v>
      </x:c>
      <x:c r="AM6108" s="87" t="str">
        <x:v>SOC_EGKR_S26_956</x:v>
      </x:c>
      <x:c r="AN6108" s="87" t="n">
        <x:v>25</x:v>
      </x:c>
    </x:row>
    <x:row r="6109">
      <x:c r="A6109" s="87" t="n">
        <x:v>6108</x:v>
      </x:c>
      <x:c r="B6109" s="87" t="str">
        <x:v>EGKR-S26-SOC-956-25</x:v>
      </x:c>
      <x:c r="C6109" s="87" t="str">
        <x:v>ЕГКР</x:v>
      </x:c>
      <x:c r="D6109" s="87"/>
      <x:c r="E6109" s="87" t="str">
        <x:v>Весна 2026</x:v>
      </x:c>
      <x:c r="F6109" s="87" t="str">
        <x:v>26.03.2026</x:v>
      </x:c>
      <x:c r="G6109" s="87" t="str">
        <x:v>Обществознание</x:v>
      </x:c>
      <x:c r="H6109" s="87" t="n">
        <x:v>11</x:v>
      </x:c>
      <x:c r="I6109" s="87"/>
      <x:c r="J6109" s="87" t="str">
        <x:v>956</x:v>
      </x:c>
      <x:c r="K6109" s="87" t="n">
        <x:v>25</x:v>
      </x:c>
      <x:c r="L6109" s="87" t="str">
        <x:v>Развёрнутый ответ</x:v>
      </x:c>
      <x:c r="M6109" s="30" t="str">
        <x:v>Обосновать конкуренцию, назвать три формы предприятий и привести примеры.</x:v>
      </x:c>
      <x:c r="N6109" s="30" t="str">
        <x:v>Конкуренция побуждает производителей снижать издержки, улучшать качество и внедрять инновации, а также ограничивает монопольное завышение цен. Формы: общество с ограниченной ответственностью, акционерное общество, производственный кооператив. В ООО участники рискуют стоимостью долей; в АО капитал разделён на акции и владельцы получают дивиденды; члены кооператива лично трудятся и участвуют в распределении прибыли.</x:v>
      </x:c>
      <x:c r="O6109" s="30" t="str">
        <x:v>Рабочая модель включает все элементы, требуемые формулировкой.</x:v>
      </x:c>
      <x:c r="P6109" s="30"/>
      <x:c r="Q6109" s="30" t="str">
        <x:v>Сопоставлено с исходным заданием; вторичный ответник использован только для аудита.</x:v>
      </x:c>
      <x:c r="R6109" s="30" t="str">
        <x:v>MODEL_PARTIAL_OR_SECONDARY</x:v>
      </x:c>
      <x:c r="S6109" s="30"/>
      <x:c r="T6109" s="30"/>
      <x:c r="U6109" s="30" t="str">
        <x:v>Модель независимо дополнена там, где во внутреннем ответнике отсутствовали пункты.</x:v>
      </x:c>
      <x:c r="V6109" s="87" t="str">
        <x:v>VERIFIED</x:v>
      </x:c>
      <x:c r="W6109" s="87"/>
      <x:c r="X6109" s="87" t="n">
        <x:v>7</x:v>
      </x:c>
      <x:c r="Y6109" s="87"/>
      <x:c r="Z6109" s="87"/>
      <x:c r="AA6109" s="87"/>
      <x:c r="AB6109" s="87"/>
      <x:c r="AC6109" s="87" t="str">
        <x:v>VIS-EGKR-SOC-S26-TASK-956-P007</x:v>
      </x:c>
      <x:c r="AD6109" s="87" t="str">
        <x:v>VIS-EGKR-SOC-S26-ANSWERDOC-P004; VIS-EGKR-SOC-S26-ANSWERDOC-P005; VIS-EGKR-SOC-S26-ANSWERDOC-P006; VIS-EGKR-SOC-S26-ANSWERDOC-P007</x:v>
      </x:c>
      <x:c r="AE6109" s="87" t="str">
        <x:v>TASK; SECONDARY_ANSWER_SOURCE</x:v>
      </x:c>
      <x:c r="AF6109" s="87" t="str">
        <x:v>VIS-EGKR-SOC-S26-TASK-956-P007: 7; VIS-EGKR-SOC-S26-ANSWERDOC-P004: 4; VIS-EGKR-SOC-S26-ANSWERDOC-P005: 5; VIS-EGKR-SOC-S26-ANSWERDOC-P006: 6; VIS-EGKR-SOC-S26-ANSWERDOC-P007: 7</x:v>
      </x:c>
      <x:c r="AG6109" s="87" t="str">
        <x:v>RESOLVED</x:v>
      </x:c>
      <x:c r="AH6109" s="87" t="str">
        <x:v>CROP_VERIFIED</x:v>
      </x:c>
      <x:c r="AI6109" s="30"/>
      <x:c r="AJ6109" s="87" t="str">
        <x:v>clean</x:v>
      </x:c>
      <x:c r="AK6109" s="87" t="str">
        <x:v>clean-v0.20</x:v>
      </x:c>
      <x:c r="AL6109" s="87" t="str">
        <x:v>statgrad_clean_continuation_v0_20(1).xlsx</x:v>
      </x:c>
      <x:c r="AM6109" s="87" t="str">
        <x:v>SOC_EGKR_S26_956</x:v>
      </x:c>
      <x:c r="AN6109" s="87" t="n">
        <x:v>26</x:v>
      </x:c>
    </x:row>
    <x:row r="6110">
      <x:c r="A6110" s="87" t="n">
        <x:v>6109</x:v>
      </x:c>
      <x:c r="B6110" s="87" t="str">
        <x:v>EGKR-S26-SOC-957-01</x:v>
      </x:c>
      <x:c r="C6110" s="87" t="str">
        <x:v>ЕГКР</x:v>
      </x:c>
      <x:c r="D6110" s="87"/>
      <x:c r="E6110" s="87" t="str">
        <x:v>Весна 2026</x:v>
      </x:c>
      <x:c r="F6110" s="87" t="str">
        <x:v>26.03.2026</x:v>
      </x:c>
      <x:c r="G6110" s="87" t="str">
        <x:v>Обществознание</x:v>
      </x:c>
      <x:c r="H6110" s="87" t="n">
        <x:v>11</x:v>
      </x:c>
      <x:c r="I6110" s="87"/>
      <x:c r="J6110" s="87" t="str">
        <x:v>957</x:v>
      </x:c>
      <x:c r="K6110" s="87" t="n">
        <x:v>1</x:v>
      </x:c>
      <x:c r="L6110" s="87" t="str">
        <x:v>Понятие / исключение из ряда</x:v>
      </x:c>
      <x:c r="M6110" s="30" t="str">
        <x:v>Задание 1 варианта 957. Полная формулировка сохранена на странице по VIS_ID.</x:v>
      </x:c>
      <x:c r="N6110" s="30" t="str">
        <x:v>16</x:v>
      </x:c>
      <x:c r="O6110" s="30" t="str">
        <x:v>Ответ проверен по исходной формулировке и обществоведческим понятиям.</x:v>
      </x:c>
      <x:c r="P6110" s="30"/>
      <x:c r="Q6110" s="30" t="str">
        <x:v>Независимая содержательная проверка; вторичный ответник хранится отдельно.</x:v>
      </x:c>
      <x:c r="R6110" s="30" t="str">
        <x:v>16</x:v>
      </x:c>
      <x:c r="S6110" s="30"/>
      <x:c r="T6110" s="30"/>
      <x:c r="U6110" s="30" t="str">
        <x:v>Ответник совпадает с независимой проверкой.</x:v>
      </x:c>
      <x:c r="V6110" s="87" t="str">
        <x:v>VERIFIED</x:v>
      </x:c>
      <x:c r="W6110" s="87"/>
      <x:c r="X6110" s="87" t="n">
        <x:v>2</x:v>
      </x:c>
      <x:c r="Y6110" s="87"/>
      <x:c r="Z6110" s="87"/>
      <x:c r="AA6110" s="87"/>
      <x:c r="AB6110" s="87"/>
      <x:c r="AC6110" s="87" t="str">
        <x:v>VIS-EGKR-SOC-S26-TASK-957-P002</x:v>
      </x:c>
      <x:c r="AD6110" s="87" t="str">
        <x:v>VIS-EGKR-SOC-S26-ANSWERDOC-P008; VIS-EGKR-SOC-S26-ANSWERDOC-P009</x:v>
      </x:c>
      <x:c r="AE6110" s="87" t="str">
        <x:v>TASK; SECONDARY_ANSWER_SOURCE</x:v>
      </x:c>
      <x:c r="AF6110" s="87" t="str">
        <x:v>VIS-EGKR-SOC-S26-TASK-957-P002: 2; VIS-EGKR-SOC-S26-ANSWERDOC-P008: 8; VIS-EGKR-SOC-S26-ANSWERDOC-P009: 9</x:v>
      </x:c>
      <x:c r="AG6110" s="87" t="str">
        <x:v>RESOLVED</x:v>
      </x:c>
      <x:c r="AH6110" s="87" t="str">
        <x:v>CROP_VERIFIED</x:v>
      </x:c>
      <x:c r="AI6110" s="30"/>
      <x:c r="AJ6110" s="87" t="str">
        <x:v>clean</x:v>
      </x:c>
      <x:c r="AK6110" s="87" t="str">
        <x:v>clean-v0.20</x:v>
      </x:c>
      <x:c r="AL6110" s="87" t="str">
        <x:v>statgrad_clean_continuation_v0_20(1).xlsx</x:v>
      </x:c>
      <x:c r="AM6110" s="87" t="str">
        <x:v>SOC_EGKR_S26_957</x:v>
      </x:c>
      <x:c r="AN6110" s="87" t="n">
        <x:v>2</x:v>
      </x:c>
    </x:row>
    <x:row r="6111">
      <x:c r="A6111" s="87" t="n">
        <x:v>6110</x:v>
      </x:c>
      <x:c r="B6111" s="87" t="str">
        <x:v>EGKR-S26-SOC-957-02</x:v>
      </x:c>
      <x:c r="C6111" s="87" t="str">
        <x:v>ЕГКР</x:v>
      </x:c>
      <x:c r="D6111" s="87"/>
      <x:c r="E6111" s="87" t="str">
        <x:v>Весна 2026</x:v>
      </x:c>
      <x:c r="F6111" s="87" t="str">
        <x:v>26.03.2026</x:v>
      </x:c>
      <x:c r="G6111" s="87" t="str">
        <x:v>Обществознание</x:v>
      </x:c>
      <x:c r="H6111" s="87" t="n">
        <x:v>11</x:v>
      </x:c>
      <x:c r="I6111" s="87"/>
      <x:c r="J6111" s="87" t="str">
        <x:v>957</x:v>
      </x:c>
      <x:c r="K6111" s="87" t="n">
        <x:v>2</x:v>
      </x:c>
      <x:c r="L6111" s="87" t="str">
        <x:v>Теоретические суждения</x:v>
      </x:c>
      <x:c r="M6111" s="30" t="str">
        <x:v>Задание 2 варианта 957. Полная формулировка сохранена на странице по VIS_ID.</x:v>
      </x:c>
      <x:c r="N6111" s="30" t="str">
        <x:v>345</x:v>
      </x:c>
      <x:c r="O6111" s="30" t="str">
        <x:v>Ответ проверен по исходной формулировке и обществоведческим понятиям.</x:v>
      </x:c>
      <x:c r="P6111" s="30"/>
      <x:c r="Q6111" s="30" t="str">
        <x:v>Независимая содержательная проверка; вторичный ответник хранится отдельно.</x:v>
      </x:c>
      <x:c r="R6111" s="30" t="str">
        <x:v>345</x:v>
      </x:c>
      <x:c r="S6111" s="30"/>
      <x:c r="T6111" s="30"/>
      <x:c r="U6111" s="30" t="str">
        <x:v>Ответник совпадает с независимой проверкой.</x:v>
      </x:c>
      <x:c r="V6111" s="87" t="str">
        <x:v>VERIFIED</x:v>
      </x:c>
      <x:c r="W6111" s="87"/>
      <x:c r="X6111" s="87" t="n">
        <x:v>2</x:v>
      </x:c>
      <x:c r="Y6111" s="87"/>
      <x:c r="Z6111" s="87"/>
      <x:c r="AA6111" s="87"/>
      <x:c r="AB6111" s="87"/>
      <x:c r="AC6111" s="87" t="str">
        <x:v>VIS-EGKR-SOC-S26-TASK-957-P002</x:v>
      </x:c>
      <x:c r="AD6111" s="87" t="str">
        <x:v>VIS-EGKR-SOC-S26-ANSWERDOC-P008; VIS-EGKR-SOC-S26-ANSWERDOC-P009</x:v>
      </x:c>
      <x:c r="AE6111" s="87" t="str">
        <x:v>TASK; SECONDARY_ANSWER_SOURCE</x:v>
      </x:c>
      <x:c r="AF6111" s="87" t="str">
        <x:v>VIS-EGKR-SOC-S26-TASK-957-P002: 2; VIS-EGKR-SOC-S26-ANSWERDOC-P008: 8; VIS-EGKR-SOC-S26-ANSWERDOC-P009: 9</x:v>
      </x:c>
      <x:c r="AG6111" s="87" t="str">
        <x:v>RESOLVED</x:v>
      </x:c>
      <x:c r="AH6111" s="87" t="str">
        <x:v>CROP_VERIFIED</x:v>
      </x:c>
      <x:c r="AI6111" s="30"/>
      <x:c r="AJ6111" s="87" t="str">
        <x:v>clean</x:v>
      </x:c>
      <x:c r="AK6111" s="87" t="str">
        <x:v>clean-v0.20</x:v>
      </x:c>
      <x:c r="AL6111" s="87" t="str">
        <x:v>statgrad_clean_continuation_v0_20(1).xlsx</x:v>
      </x:c>
      <x:c r="AM6111" s="87" t="str">
        <x:v>SOC_EGKR_S26_957</x:v>
      </x:c>
      <x:c r="AN6111" s="87" t="n">
        <x:v>3</x:v>
      </x:c>
    </x:row>
    <x:row r="6112">
      <x:c r="A6112" s="87" t="n">
        <x:v>6111</x:v>
      </x:c>
      <x:c r="B6112" s="87" t="str">
        <x:v>EGKR-S26-SOC-957-03</x:v>
      </x:c>
      <x:c r="C6112" s="87" t="str">
        <x:v>ЕГКР</x:v>
      </x:c>
      <x:c r="D6112" s="87"/>
      <x:c r="E6112" s="87" t="str">
        <x:v>Весна 2026</x:v>
      </x:c>
      <x:c r="F6112" s="87" t="str">
        <x:v>26.03.2026</x:v>
      </x:c>
      <x:c r="G6112" s="87" t="str">
        <x:v>Обществознание</x:v>
      </x:c>
      <x:c r="H6112" s="87" t="n">
        <x:v>11</x:v>
      </x:c>
      <x:c r="I6112" s="87"/>
      <x:c r="J6112" s="87" t="str">
        <x:v>957</x:v>
      </x:c>
      <x:c r="K6112" s="87" t="n">
        <x:v>3</x:v>
      </x:c>
      <x:c r="L6112" s="87" t="str">
        <x:v>Установление соответствия</x:v>
      </x:c>
      <x:c r="M6112" s="30" t="str">
        <x:v>Задание 3 варианта 957. Полная формулировка сохранена на странице по VIS_ID.</x:v>
      </x:c>
      <x:c r="N6112" s="30" t="str">
        <x:v>31332</x:v>
      </x:c>
      <x:c r="O6112" s="30" t="str">
        <x:v>Ответ проверен по исходной формулировке и обществоведческим понятиям.</x:v>
      </x:c>
      <x:c r="P6112" s="30"/>
      <x:c r="Q6112" s="30" t="str">
        <x:v>Независимая содержательная проверка; вторичный ответник хранится отдельно.</x:v>
      </x:c>
      <x:c r="R6112" s="30" t="str">
        <x:v>31332</x:v>
      </x:c>
      <x:c r="S6112" s="30"/>
      <x:c r="T6112" s="30"/>
      <x:c r="U6112" s="30" t="str">
        <x:v>Ответник совпадает с независимой проверкой.</x:v>
      </x:c>
      <x:c r="V6112" s="87" t="str">
        <x:v>VERIFIED</x:v>
      </x:c>
      <x:c r="W6112" s="87"/>
      <x:c r="X6112" s="87" t="n">
        <x:v>3</x:v>
      </x:c>
      <x:c r="Y6112" s="87"/>
      <x:c r="Z6112" s="87"/>
      <x:c r="AA6112" s="87"/>
      <x:c r="AB6112" s="87"/>
      <x:c r="AC6112" s="87" t="str">
        <x:v>VIS-EGKR-SOC-S26-TASK-957-P003</x:v>
      </x:c>
      <x:c r="AD6112" s="87" t="str">
        <x:v>VIS-EGKR-SOC-S26-ANSWERDOC-P008; VIS-EGKR-SOC-S26-ANSWERDOC-P009</x:v>
      </x:c>
      <x:c r="AE6112" s="87" t="str">
        <x:v>TASK; SECONDARY_ANSWER_SOURCE</x:v>
      </x:c>
      <x:c r="AF6112" s="87" t="str">
        <x:v>VIS-EGKR-SOC-S26-TASK-957-P003: 3; VIS-EGKR-SOC-S26-ANSWERDOC-P008: 8; VIS-EGKR-SOC-S26-ANSWERDOC-P009: 9</x:v>
      </x:c>
      <x:c r="AG6112" s="87" t="str">
        <x:v>RESOLVED</x:v>
      </x:c>
      <x:c r="AH6112" s="87" t="str">
        <x:v>CROP_VERIFIED</x:v>
      </x:c>
      <x:c r="AI6112" s="30"/>
      <x:c r="AJ6112" s="87" t="str">
        <x:v>clean</x:v>
      </x:c>
      <x:c r="AK6112" s="87" t="str">
        <x:v>clean-v0.20</x:v>
      </x:c>
      <x:c r="AL6112" s="87" t="str">
        <x:v>statgrad_clean_continuation_v0_20(1).xlsx</x:v>
      </x:c>
      <x:c r="AM6112" s="87" t="str">
        <x:v>SOC_EGKR_S26_957</x:v>
      </x:c>
      <x:c r="AN6112" s="87" t="n">
        <x:v>4</x:v>
      </x:c>
    </x:row>
    <x:row r="6113">
      <x:c r="A6113" s="87" t="n">
        <x:v>6112</x:v>
      </x:c>
      <x:c r="B6113" s="87" t="str">
        <x:v>EGKR-S26-SOC-957-04</x:v>
      </x:c>
      <x:c r="C6113" s="87" t="str">
        <x:v>ЕГКР</x:v>
      </x:c>
      <x:c r="D6113" s="87"/>
      <x:c r="E6113" s="87" t="str">
        <x:v>Весна 2026</x:v>
      </x:c>
      <x:c r="F6113" s="87" t="str">
        <x:v>26.03.2026</x:v>
      </x:c>
      <x:c r="G6113" s="87" t="str">
        <x:v>Обществознание</x:v>
      </x:c>
      <x:c r="H6113" s="87" t="n">
        <x:v>11</x:v>
      </x:c>
      <x:c r="I6113" s="87"/>
      <x:c r="J6113" s="87" t="str">
        <x:v>957</x:v>
      </x:c>
      <x:c r="K6113" s="87" t="n">
        <x:v>4</x:v>
      </x:c>
      <x:c r="L6113" s="87" t="str">
        <x:v>Тип общества / духовная сфера</x:v>
      </x:c>
      <x:c r="M6113" s="30" t="str">
        <x:v>Задание 4 варианта 957. Полная формулировка сохранена на странице по VIS_ID.</x:v>
      </x:c>
      <x:c r="N6113" s="30" t="str">
        <x:v>45</x:v>
      </x:c>
      <x:c r="O6113" s="30" t="str">
        <x:v>Ответ проверен по исходной формулировке и обществоведческим понятиям.</x:v>
      </x:c>
      <x:c r="P6113" s="30"/>
      <x:c r="Q6113" s="30" t="str">
        <x:v>Независимая содержательная проверка; вторичный ответник хранится отдельно.</x:v>
      </x:c>
      <x:c r="R6113" s="30" t="str">
        <x:v>45</x:v>
      </x:c>
      <x:c r="S6113" s="30"/>
      <x:c r="T6113" s="30"/>
      <x:c r="U6113" s="30" t="str">
        <x:v>Ответник совпадает с независимой проверкой.</x:v>
      </x:c>
      <x:c r="V6113" s="87" t="str">
        <x:v>VERIFIED</x:v>
      </x:c>
      <x:c r="W6113" s="87"/>
      <x:c r="X6113" s="87" t="n">
        <x:v>3</x:v>
      </x:c>
      <x:c r="Y6113" s="87"/>
      <x:c r="Z6113" s="87"/>
      <x:c r="AA6113" s="87"/>
      <x:c r="AB6113" s="87"/>
      <x:c r="AC6113" s="87" t="str">
        <x:v>VIS-EGKR-SOC-S26-TASK-957-P003</x:v>
      </x:c>
      <x:c r="AD6113" s="87" t="str">
        <x:v>VIS-EGKR-SOC-S26-ANSWERDOC-P008; VIS-EGKR-SOC-S26-ANSWERDOC-P009</x:v>
      </x:c>
      <x:c r="AE6113" s="87" t="str">
        <x:v>TASK; SECONDARY_ANSWER_SOURCE</x:v>
      </x:c>
      <x:c r="AF6113" s="87" t="str">
        <x:v>VIS-EGKR-SOC-S26-TASK-957-P003: 3; VIS-EGKR-SOC-S26-ANSWERDOC-P008: 8; VIS-EGKR-SOC-S26-ANSWERDOC-P009: 9</x:v>
      </x:c>
      <x:c r="AG6113" s="87" t="str">
        <x:v>RESOLVED</x:v>
      </x:c>
      <x:c r="AH6113" s="87" t="str">
        <x:v>CROP_VERIFIED</x:v>
      </x:c>
      <x:c r="AI6113" s="30"/>
      <x:c r="AJ6113" s="87" t="str">
        <x:v>clean</x:v>
      </x:c>
      <x:c r="AK6113" s="87" t="str">
        <x:v>clean-v0.20</x:v>
      </x:c>
      <x:c r="AL6113" s="87" t="str">
        <x:v>statgrad_clean_continuation_v0_20(1).xlsx</x:v>
      </x:c>
      <x:c r="AM6113" s="87" t="str">
        <x:v>SOC_EGKR_S26_957</x:v>
      </x:c>
      <x:c r="AN6113" s="87" t="n">
        <x:v>5</x:v>
      </x:c>
    </x:row>
    <x:row r="6114">
      <x:c r="A6114" s="87" t="n">
        <x:v>6113</x:v>
      </x:c>
      <x:c r="B6114" s="87" t="str">
        <x:v>EGKR-S26-SOC-957-05</x:v>
      </x:c>
      <x:c r="C6114" s="87" t="str">
        <x:v>ЕГКР</x:v>
      </x:c>
      <x:c r="D6114" s="87"/>
      <x:c r="E6114" s="87" t="str">
        <x:v>Весна 2026</x:v>
      </x:c>
      <x:c r="F6114" s="87" t="str">
        <x:v>26.03.2026</x:v>
      </x:c>
      <x:c r="G6114" s="87" t="str">
        <x:v>Обществознание</x:v>
      </x:c>
      <x:c r="H6114" s="87" t="n">
        <x:v>11</x:v>
      </x:c>
      <x:c r="I6114" s="87"/>
      <x:c r="J6114" s="87" t="str">
        <x:v>957</x:v>
      </x:c>
      <x:c r="K6114" s="87" t="n">
        <x:v>5</x:v>
      </x:c>
      <x:c r="L6114" s="87" t="str">
        <x:v>Экономические суждения</x:v>
      </x:c>
      <x:c r="M6114" s="30" t="str">
        <x:v>Задание 5 варианта 957. Полная формулировка сохранена на странице по VIS_ID.</x:v>
      </x:c>
      <x:c r="N6114" s="30" t="str">
        <x:v>235</x:v>
      </x:c>
      <x:c r="O6114" s="30" t="str">
        <x:v>Ответ проверен по исходной формулировке и обществоведческим понятиям.</x:v>
      </x:c>
      <x:c r="P6114" s="30"/>
      <x:c r="Q6114" s="30" t="str">
        <x:v>Независимая содержательная проверка; вторичный ответник хранится отдельно.</x:v>
      </x:c>
      <x:c r="R6114" s="30" t="str">
        <x:v>235</x:v>
      </x:c>
      <x:c r="S6114" s="30"/>
      <x:c r="T6114" s="30"/>
      <x:c r="U6114" s="30" t="str">
        <x:v>Ответник совпадает с независимой проверкой.</x:v>
      </x:c>
      <x:c r="V6114" s="87" t="str">
        <x:v>VERIFIED</x:v>
      </x:c>
      <x:c r="W6114" s="87"/>
      <x:c r="X6114" s="87" t="n">
        <x:v>4</x:v>
      </x:c>
      <x:c r="Y6114" s="87"/>
      <x:c r="Z6114" s="87"/>
      <x:c r="AA6114" s="87"/>
      <x:c r="AB6114" s="87"/>
      <x:c r="AC6114" s="87" t="str">
        <x:v>VIS-EGKR-SOC-S26-TASK-957-P004</x:v>
      </x:c>
      <x:c r="AD6114" s="87" t="str">
        <x:v>VIS-EGKR-SOC-S26-ANSWERDOC-P008; VIS-EGKR-SOC-S26-ANSWERDOC-P009</x:v>
      </x:c>
      <x:c r="AE6114" s="87" t="str">
        <x:v>TASK; SECONDARY_ANSWER_SOURCE</x:v>
      </x:c>
      <x:c r="AF6114" s="87" t="str">
        <x:v>VIS-EGKR-SOC-S26-TASK-957-P004: 4; VIS-EGKR-SOC-S26-ANSWERDOC-P008: 8; VIS-EGKR-SOC-S26-ANSWERDOC-P009: 9</x:v>
      </x:c>
      <x:c r="AG6114" s="87" t="str">
        <x:v>RESOLVED</x:v>
      </x:c>
      <x:c r="AH6114" s="87" t="str">
        <x:v>CROP_VERIFIED</x:v>
      </x:c>
      <x:c r="AI6114" s="30"/>
      <x:c r="AJ6114" s="87" t="str">
        <x:v>clean</x:v>
      </x:c>
      <x:c r="AK6114" s="87" t="str">
        <x:v>clean-v0.20</x:v>
      </x:c>
      <x:c r="AL6114" s="87" t="str">
        <x:v>statgrad_clean_continuation_v0_20(1).xlsx</x:v>
      </x:c>
      <x:c r="AM6114" s="87" t="str">
        <x:v>SOC_EGKR_S26_957</x:v>
      </x:c>
      <x:c r="AN6114" s="87" t="n">
        <x:v>6</x:v>
      </x:c>
    </x:row>
    <x:row r="6115">
      <x:c r="A6115" s="87" t="n">
        <x:v>6114</x:v>
      </x:c>
      <x:c r="B6115" s="87" t="str">
        <x:v>EGKR-S26-SOC-957-06</x:v>
      </x:c>
      <x:c r="C6115" s="87" t="str">
        <x:v>ЕГКР</x:v>
      </x:c>
      <x:c r="D6115" s="87"/>
      <x:c r="E6115" s="87" t="str">
        <x:v>Весна 2026</x:v>
      </x:c>
      <x:c r="F6115" s="87" t="str">
        <x:v>26.03.2026</x:v>
      </x:c>
      <x:c r="G6115" s="87" t="str">
        <x:v>Обществознание</x:v>
      </x:c>
      <x:c r="H6115" s="87" t="n">
        <x:v>11</x:v>
      </x:c>
      <x:c r="I6115" s="87"/>
      <x:c r="J6115" s="87" t="str">
        <x:v>957</x:v>
      </x:c>
      <x:c r="K6115" s="87" t="n">
        <x:v>6</x:v>
      </x:c>
      <x:c r="L6115" s="87" t="str">
        <x:v>Экономическое соответствие</x:v>
      </x:c>
      <x:c r="M6115" s="30" t="str">
        <x:v>Задание 6 варианта 957. Полная формулировка сохранена на странице по VIS_ID.</x:v>
      </x:c>
      <x:c r="N6115" s="30" t="str">
        <x:v>13322</x:v>
      </x:c>
      <x:c r="O6115" s="30" t="str">
        <x:v>Ответ проверен по исходной формулировке и обществоведческим понятиям.</x:v>
      </x:c>
      <x:c r="P6115" s="30"/>
      <x:c r="Q6115" s="30" t="str">
        <x:v>Независимая содержательная проверка; вторичный ответник хранится отдельно.</x:v>
      </x:c>
      <x:c r="R6115" s="30" t="str">
        <x:v>13322</x:v>
      </x:c>
      <x:c r="S6115" s="30"/>
      <x:c r="T6115" s="30"/>
      <x:c r="U6115" s="30" t="str">
        <x:v>Ответник совпадает с независимой проверкой.</x:v>
      </x:c>
      <x:c r="V6115" s="87" t="str">
        <x:v>VERIFIED</x:v>
      </x:c>
      <x:c r="W6115" s="87"/>
      <x:c r="X6115" s="87" t="n">
        <x:v>4</x:v>
      </x:c>
      <x:c r="Y6115" s="87"/>
      <x:c r="Z6115" s="87"/>
      <x:c r="AA6115" s="87"/>
      <x:c r="AB6115" s="87"/>
      <x:c r="AC6115" s="87" t="str">
        <x:v>VIS-EGKR-SOC-S26-TASK-957-P004</x:v>
      </x:c>
      <x:c r="AD6115" s="87" t="str">
        <x:v>VIS-EGKR-SOC-S26-ANSWERDOC-P008; VIS-EGKR-SOC-S26-ANSWERDOC-P009</x:v>
      </x:c>
      <x:c r="AE6115" s="87" t="str">
        <x:v>TASK; SECONDARY_ANSWER_SOURCE</x:v>
      </x:c>
      <x:c r="AF6115" s="87" t="str">
        <x:v>VIS-EGKR-SOC-S26-TASK-957-P004: 4; VIS-EGKR-SOC-S26-ANSWERDOC-P008: 8; VIS-EGKR-SOC-S26-ANSWERDOC-P009: 9</x:v>
      </x:c>
      <x:c r="AG6115" s="87" t="str">
        <x:v>RESOLVED</x:v>
      </x:c>
      <x:c r="AH6115" s="87" t="str">
        <x:v>CROP_VERIFIED</x:v>
      </x:c>
      <x:c r="AI6115" s="30"/>
      <x:c r="AJ6115" s="87" t="str">
        <x:v>clean</x:v>
      </x:c>
      <x:c r="AK6115" s="87" t="str">
        <x:v>clean-v0.20</x:v>
      </x:c>
      <x:c r="AL6115" s="87" t="str">
        <x:v>statgrad_clean_continuation_v0_20(1).xlsx</x:v>
      </x:c>
      <x:c r="AM6115" s="87" t="str">
        <x:v>SOC_EGKR_S26_957</x:v>
      </x:c>
      <x:c r="AN6115" s="87" t="n">
        <x:v>7</x:v>
      </x:c>
    </x:row>
    <x:row r="6116">
      <x:c r="A6116" s="87" t="n">
        <x:v>6115</x:v>
      </x:c>
      <x:c r="B6116" s="87" t="str">
        <x:v>EGKR-S26-SOC-957-07</x:v>
      </x:c>
      <x:c r="C6116" s="87" t="str">
        <x:v>ЕГКР</x:v>
      </x:c>
      <x:c r="D6116" s="87"/>
      <x:c r="E6116" s="87" t="str">
        <x:v>Весна 2026</x:v>
      </x:c>
      <x:c r="F6116" s="87" t="str">
        <x:v>26.03.2026</x:v>
      </x:c>
      <x:c r="G6116" s="87" t="str">
        <x:v>Обществознание</x:v>
      </x:c>
      <x:c r="H6116" s="87" t="n">
        <x:v>11</x:v>
      </x:c>
      <x:c r="I6116" s="87"/>
      <x:c r="J6116" s="87" t="str">
        <x:v>957</x:v>
      </x:c>
      <x:c r="K6116" s="87" t="n">
        <x:v>7</x:v>
      </x:c>
      <x:c r="L6116" s="87" t="str">
        <x:v>Финансовая грамотность / рынок</x:v>
      </x:c>
      <x:c r="M6116" s="30" t="str">
        <x:v>Задание 7 варианта 957. Полная формулировка сохранена на странице по VIS_ID.</x:v>
      </x:c>
      <x:c r="N6116" s="30" t="str">
        <x:v>345</x:v>
      </x:c>
      <x:c r="O6116" s="30" t="str">
        <x:v>Ответ проверен по исходной формулировке и обществоведческим понятиям.</x:v>
      </x:c>
      <x:c r="P6116" s="30"/>
      <x:c r="Q6116" s="30" t="str">
        <x:v>Независимая содержательная проверка; вторичный ответник хранится отдельно.</x:v>
      </x:c>
      <x:c r="R6116" s="30" t="str">
        <x:v>345</x:v>
      </x:c>
      <x:c r="S6116" s="30"/>
      <x:c r="T6116" s="30"/>
      <x:c r="U6116" s="30" t="str">
        <x:v>Ответник совпадает с независимой проверкой.</x:v>
      </x:c>
      <x:c r="V6116" s="87" t="str">
        <x:v>VERIFIED</x:v>
      </x:c>
      <x:c r="W6116" s="87"/>
      <x:c r="X6116" s="87" t="n">
        <x:v>5</x:v>
      </x:c>
      <x:c r="Y6116" s="87"/>
      <x:c r="Z6116" s="87"/>
      <x:c r="AA6116" s="87"/>
      <x:c r="AB6116" s="87"/>
      <x:c r="AC6116" s="87" t="str">
        <x:v>VIS-EGKR-SOC-S26-TASK-957-P005</x:v>
      </x:c>
      <x:c r="AD6116" s="87" t="str">
        <x:v>VIS-EGKR-SOC-S26-ANSWERDOC-P008; VIS-EGKR-SOC-S26-ANSWERDOC-P009</x:v>
      </x:c>
      <x:c r="AE6116" s="87" t="str">
        <x:v>TASK; SECONDARY_ANSWER_SOURCE</x:v>
      </x:c>
      <x:c r="AF6116" s="87" t="str">
        <x:v>VIS-EGKR-SOC-S26-TASK-957-P005: 5; VIS-EGKR-SOC-S26-ANSWERDOC-P008: 8; VIS-EGKR-SOC-S26-ANSWERDOC-P009: 9</x:v>
      </x:c>
      <x:c r="AG6116" s="87" t="str">
        <x:v>RESOLVED</x:v>
      </x:c>
      <x:c r="AH6116" s="87" t="str">
        <x:v>CROP_VERIFIED</x:v>
      </x:c>
      <x:c r="AI6116" s="30"/>
      <x:c r="AJ6116" s="87" t="str">
        <x:v>clean</x:v>
      </x:c>
      <x:c r="AK6116" s="87" t="str">
        <x:v>clean-v0.20</x:v>
      </x:c>
      <x:c r="AL6116" s="87" t="str">
        <x:v>statgrad_clean_continuation_v0_20(1).xlsx</x:v>
      </x:c>
      <x:c r="AM6116" s="87" t="str">
        <x:v>SOC_EGKR_S26_957</x:v>
      </x:c>
      <x:c r="AN6116" s="87" t="n">
        <x:v>8</x:v>
      </x:c>
    </x:row>
    <x:row r="6117">
      <x:c r="A6117" s="87" t="n">
        <x:v>6116</x:v>
      </x:c>
      <x:c r="B6117" s="87" t="str">
        <x:v>EGKR-S26-SOC-957-08</x:v>
      </x:c>
      <x:c r="C6117" s="87" t="str">
        <x:v>ЕГКР</x:v>
      </x:c>
      <x:c r="D6117" s="87"/>
      <x:c r="E6117" s="87" t="str">
        <x:v>Весна 2026</x:v>
      </x:c>
      <x:c r="F6117" s="87" t="str">
        <x:v>26.03.2026</x:v>
      </x:c>
      <x:c r="G6117" s="87" t="str">
        <x:v>Обществознание</x:v>
      </x:c>
      <x:c r="H6117" s="87" t="n">
        <x:v>11</x:v>
      </x:c>
      <x:c r="I6117" s="87"/>
      <x:c r="J6117" s="87" t="str">
        <x:v>957</x:v>
      </x:c>
      <x:c r="K6117" s="87" t="n">
        <x:v>8</x:v>
      </x:c>
      <x:c r="L6117" s="87" t="str">
        <x:v>Социальная сфера</x:v>
      </x:c>
      <x:c r="M6117" s="30" t="str">
        <x:v>Задание 8 варианта 957. Полная формулировка сохранена на странице по VIS_ID.</x:v>
      </x:c>
      <x:c r="N6117" s="30" t="str">
        <x:v>125</x:v>
      </x:c>
      <x:c r="O6117" s="30" t="str">
        <x:v>Ответ проверен по исходной формулировке и обществоведческим понятиям.</x:v>
      </x:c>
      <x:c r="P6117" s="30"/>
      <x:c r="Q6117" s="30" t="str">
        <x:v>Независимая содержательная проверка; вторичный ответник хранится отдельно.</x:v>
      </x:c>
      <x:c r="R6117" s="30" t="str">
        <x:v>125</x:v>
      </x:c>
      <x:c r="S6117" s="30"/>
      <x:c r="T6117" s="30"/>
      <x:c r="U6117" s="30" t="str">
        <x:v>Ответник совпадает с независимой проверкой.</x:v>
      </x:c>
      <x:c r="V6117" s="87" t="str">
        <x:v>VERIFIED</x:v>
      </x:c>
      <x:c r="W6117" s="87"/>
      <x:c r="X6117" s="87" t="n">
        <x:v>5</x:v>
      </x:c>
      <x:c r="Y6117" s="87"/>
      <x:c r="Z6117" s="87"/>
      <x:c r="AA6117" s="87"/>
      <x:c r="AB6117" s="87"/>
      <x:c r="AC6117" s="87" t="str">
        <x:v>VIS-EGKR-SOC-S26-TASK-957-P005</x:v>
      </x:c>
      <x:c r="AD6117" s="87" t="str">
        <x:v>VIS-EGKR-SOC-S26-ANSWERDOC-P008; VIS-EGKR-SOC-S26-ANSWERDOC-P009</x:v>
      </x:c>
      <x:c r="AE6117" s="87" t="str">
        <x:v>TASK; SECONDARY_ANSWER_SOURCE</x:v>
      </x:c>
      <x:c r="AF6117" s="87" t="str">
        <x:v>VIS-EGKR-SOC-S26-TASK-957-P005: 5; VIS-EGKR-SOC-S26-ANSWERDOC-P008: 8; VIS-EGKR-SOC-S26-ANSWERDOC-P009: 9</x:v>
      </x:c>
      <x:c r="AG6117" s="87" t="str">
        <x:v>RESOLVED</x:v>
      </x:c>
      <x:c r="AH6117" s="87" t="str">
        <x:v>CROP_VERIFIED</x:v>
      </x:c>
      <x:c r="AI6117" s="30"/>
      <x:c r="AJ6117" s="87" t="str">
        <x:v>clean</x:v>
      </x:c>
      <x:c r="AK6117" s="87" t="str">
        <x:v>clean-v0.20</x:v>
      </x:c>
      <x:c r="AL6117" s="87" t="str">
        <x:v>statgrad_clean_continuation_v0_20(1).xlsx</x:v>
      </x:c>
      <x:c r="AM6117" s="87" t="str">
        <x:v>SOC_EGKR_S26_957</x:v>
      </x:c>
      <x:c r="AN6117" s="87" t="n">
        <x:v>9</x:v>
      </x:c>
    </x:row>
    <x:row r="6118">
      <x:c r="A6118" s="87" t="n">
        <x:v>6117</x:v>
      </x:c>
      <x:c r="B6118" s="87" t="str">
        <x:v>EGKR-S26-SOC-957-09</x:v>
      </x:c>
      <x:c r="C6118" s="87" t="str">
        <x:v>ЕГКР</x:v>
      </x:c>
      <x:c r="D6118" s="87"/>
      <x:c r="E6118" s="87" t="str">
        <x:v>Весна 2026</x:v>
      </x:c>
      <x:c r="F6118" s="87" t="str">
        <x:v>26.03.2026</x:v>
      </x:c>
      <x:c r="G6118" s="87" t="str">
        <x:v>Обществознание</x:v>
      </x:c>
      <x:c r="H6118" s="87" t="n">
        <x:v>11</x:v>
      </x:c>
      <x:c r="I6118" s="87"/>
      <x:c r="J6118" s="87" t="str">
        <x:v>957</x:v>
      </x:c>
      <x:c r="K6118" s="87" t="n">
        <x:v>9</x:v>
      </x:c>
      <x:c r="L6118" s="87" t="str">
        <x:v>Анализ диаграммы</x:v>
      </x:c>
      <x:c r="M6118" s="30" t="str">
        <x:v>Задание 9 варианта 957. Полная формулировка сохранена на странице по VIS_ID.</x:v>
      </x:c>
      <x:c r="N6118" s="30" t="str">
        <x:v>35</x:v>
      </x:c>
      <x:c r="O6118" s="30" t="str">
        <x:v>Ответ проверен по исходной формулировке и обществоведческим понятиям.</x:v>
      </x:c>
      <x:c r="P6118" s="30"/>
      <x:c r="Q6118" s="30" t="str">
        <x:v>Независимая содержательная проверка; вторичный ответник хранится отдельно.</x:v>
      </x:c>
      <x:c r="R6118" s="30" t="str">
        <x:v>35</x:v>
      </x:c>
      <x:c r="S6118" s="30"/>
      <x:c r="T6118" s="30"/>
      <x:c r="U6118" s="30" t="str">
        <x:v>Ответник совпадает с независимой проверкой.</x:v>
      </x:c>
      <x:c r="V6118" s="87" t="str">
        <x:v>VERIFIED</x:v>
      </x:c>
      <x:c r="W6118" s="87"/>
      <x:c r="X6118" s="87" t="n">
        <x:v>6</x:v>
      </x:c>
      <x:c r="Y6118" s="87"/>
      <x:c r="Z6118" s="87"/>
      <x:c r="AA6118" s="87"/>
      <x:c r="AB6118" s="87"/>
      <x:c r="AC6118" s="87" t="str">
        <x:v>VIS-EGKR-SOC-S26-TASK-957-P006</x:v>
      </x:c>
      <x:c r="AD6118" s="87" t="str">
        <x:v>VIS-EGKR-SOC-S26-ANSWERDOC-P008; VIS-EGKR-SOC-S26-ANSWERDOC-P009</x:v>
      </x:c>
      <x:c r="AE6118" s="87" t="str">
        <x:v>TASK; SECONDARY_ANSWER_SOURCE</x:v>
      </x:c>
      <x:c r="AF6118" s="87" t="str">
        <x:v>VIS-EGKR-SOC-S26-TASK-957-P006: 6; VIS-EGKR-SOC-S26-ANSWERDOC-P008: 8; VIS-EGKR-SOC-S26-ANSWERDOC-P009: 9</x:v>
      </x:c>
      <x:c r="AG6118" s="87" t="str">
        <x:v>RESOLVED</x:v>
      </x:c>
      <x:c r="AH6118" s="87" t="str">
        <x:v>CROP_VERIFIED</x:v>
      </x:c>
      <x:c r="AI6118" s="30"/>
      <x:c r="AJ6118" s="87" t="str">
        <x:v>clean</x:v>
      </x:c>
      <x:c r="AK6118" s="87" t="str">
        <x:v>clean-v0.20</x:v>
      </x:c>
      <x:c r="AL6118" s="87" t="str">
        <x:v>statgrad_clean_continuation_v0_20(1).xlsx</x:v>
      </x:c>
      <x:c r="AM6118" s="87" t="str">
        <x:v>SOC_EGKR_S26_957</x:v>
      </x:c>
      <x:c r="AN6118" s="87" t="n">
        <x:v>10</x:v>
      </x:c>
    </x:row>
    <x:row r="6119">
      <x:c r="A6119" s="87" t="n">
        <x:v>6118</x:v>
      </x:c>
      <x:c r="B6119" s="87" t="str">
        <x:v>EGKR-S26-SOC-957-10</x:v>
      </x:c>
      <x:c r="C6119" s="87" t="str">
        <x:v>ЕГКР</x:v>
      </x:c>
      <x:c r="D6119" s="87"/>
      <x:c r="E6119" s="87" t="str">
        <x:v>Весна 2026</x:v>
      </x:c>
      <x:c r="F6119" s="87" t="str">
        <x:v>26.03.2026</x:v>
      </x:c>
      <x:c r="G6119" s="87" t="str">
        <x:v>Обществознание</x:v>
      </x:c>
      <x:c r="H6119" s="87" t="n">
        <x:v>11</x:v>
      </x:c>
      <x:c r="I6119" s="87"/>
      <x:c r="J6119" s="87" t="str">
        <x:v>957</x:v>
      </x:c>
      <x:c r="K6119" s="87" t="n">
        <x:v>10</x:v>
      </x:c>
      <x:c r="L6119" s="87" t="str">
        <x:v>Политические суждения</x:v>
      </x:c>
      <x:c r="M6119" s="30" t="str">
        <x:v>Задание 10 варианта 957. Полная формулировка сохранена на странице по VIS_ID.</x:v>
      </x:c>
      <x:c r="N6119" s="30" t="str">
        <x:v>34</x:v>
      </x:c>
      <x:c r="O6119" s="30" t="str">
        <x:v>Ответ проверен по исходной формулировке и обществоведческим понятиям.</x:v>
      </x:c>
      <x:c r="P6119" s="30"/>
      <x:c r="Q6119" s="30" t="str">
        <x:v>Независимая содержательная проверка; вторичный ответник хранится отдельно.</x:v>
      </x:c>
      <x:c r="R6119" s="30" t="str">
        <x:v>34</x:v>
      </x:c>
      <x:c r="S6119" s="30"/>
      <x:c r="T6119" s="30"/>
      <x:c r="U6119" s="30" t="str">
        <x:v>Ответник совпадает с независимой проверкой.</x:v>
      </x:c>
      <x:c r="V6119" s="87" t="str">
        <x:v>VERIFIED</x:v>
      </x:c>
      <x:c r="W6119" s="87"/>
      <x:c r="X6119" s="87" t="n">
        <x:v>7</x:v>
      </x:c>
      <x:c r="Y6119" s="87"/>
      <x:c r="Z6119" s="87"/>
      <x:c r="AA6119" s="87"/>
      <x:c r="AB6119" s="87"/>
      <x:c r="AC6119" s="87" t="str">
        <x:v>VIS-EGKR-SOC-S26-TASK-957-P007</x:v>
      </x:c>
      <x:c r="AD6119" s="87" t="str">
        <x:v>VIS-EGKR-SOC-S26-ANSWERDOC-P008; VIS-EGKR-SOC-S26-ANSWERDOC-P009</x:v>
      </x:c>
      <x:c r="AE6119" s="87" t="str">
        <x:v>TASK; SECONDARY_ANSWER_SOURCE</x:v>
      </x:c>
      <x:c r="AF6119" s="87" t="str">
        <x:v>VIS-EGKR-SOC-S26-TASK-957-P007: 7; VIS-EGKR-SOC-S26-ANSWERDOC-P008: 8; VIS-EGKR-SOC-S26-ANSWERDOC-P009: 9</x:v>
      </x:c>
      <x:c r="AG6119" s="87" t="str">
        <x:v>RESOLVED</x:v>
      </x:c>
      <x:c r="AH6119" s="87" t="str">
        <x:v>CROP_VERIFIED</x:v>
      </x:c>
      <x:c r="AI6119" s="30"/>
      <x:c r="AJ6119" s="87" t="str">
        <x:v>clean</x:v>
      </x:c>
      <x:c r="AK6119" s="87" t="str">
        <x:v>clean-v0.20</x:v>
      </x:c>
      <x:c r="AL6119" s="87" t="str">
        <x:v>statgrad_clean_continuation_v0_20(1).xlsx</x:v>
      </x:c>
      <x:c r="AM6119" s="87" t="str">
        <x:v>SOC_EGKR_S26_957</x:v>
      </x:c>
      <x:c r="AN6119" s="87" t="n">
        <x:v>11</x:v>
      </x:c>
    </x:row>
    <x:row r="6120">
      <x:c r="A6120" s="87" t="n">
        <x:v>6119</x:v>
      </x:c>
      <x:c r="B6120" s="87" t="str">
        <x:v>EGKR-S26-SOC-957-11</x:v>
      </x:c>
      <x:c r="C6120" s="87" t="str">
        <x:v>ЕГКР</x:v>
      </x:c>
      <x:c r="D6120" s="87"/>
      <x:c r="E6120" s="87" t="str">
        <x:v>Весна 2026</x:v>
      </x:c>
      <x:c r="F6120" s="87" t="str">
        <x:v>26.03.2026</x:v>
      </x:c>
      <x:c r="G6120" s="87" t="str">
        <x:v>Обществознание</x:v>
      </x:c>
      <x:c r="H6120" s="87" t="n">
        <x:v>11</x:v>
      </x:c>
      <x:c r="I6120" s="87"/>
      <x:c r="J6120" s="87" t="str">
        <x:v>957</x:v>
      </x:c>
      <x:c r="K6120" s="87" t="n">
        <x:v>11</x:v>
      </x:c>
      <x:c r="L6120" s="87" t="str">
        <x:v>Характеристика государства / выборов</x:v>
      </x:c>
      <x:c r="M6120" s="30" t="str">
        <x:v>Задание 11 варианта 957. Полная формулировка сохранена на странице по VIS_ID.</x:v>
      </x:c>
      <x:c r="N6120" s="30" t="str">
        <x:v>1346</x:v>
      </x:c>
      <x:c r="O6120" s="30" t="str">
        <x:v>Ответ проверен по исходной формулировке и обществоведческим понятиям.</x:v>
      </x:c>
      <x:c r="P6120" s="30"/>
      <x:c r="Q6120" s="30" t="str">
        <x:v>Независимая содержательная проверка; вторичный ответник хранится отдельно.</x:v>
      </x:c>
      <x:c r="R6120" s="30" t="str">
        <x:v>1346</x:v>
      </x:c>
      <x:c r="S6120" s="30"/>
      <x:c r="T6120" s="30"/>
      <x:c r="U6120" s="30" t="str">
        <x:v>Ответник совпадает с независимой проверкой.</x:v>
      </x:c>
      <x:c r="V6120" s="87" t="str">
        <x:v>VERIFIED</x:v>
      </x:c>
      <x:c r="W6120" s="87"/>
      <x:c r="X6120" s="87" t="n">
        <x:v>7</x:v>
      </x:c>
      <x:c r="Y6120" s="87"/>
      <x:c r="Z6120" s="87"/>
      <x:c r="AA6120" s="87"/>
      <x:c r="AB6120" s="87"/>
      <x:c r="AC6120" s="87" t="str">
        <x:v>VIS-EGKR-SOC-S26-TASK-957-P007</x:v>
      </x:c>
      <x:c r="AD6120" s="87" t="str">
        <x:v>VIS-EGKR-SOC-S26-ANSWERDOC-P008; VIS-EGKR-SOC-S26-ANSWERDOC-P009</x:v>
      </x:c>
      <x:c r="AE6120" s="87" t="str">
        <x:v>TASK; SECONDARY_ANSWER_SOURCE</x:v>
      </x:c>
      <x:c r="AF6120" s="87" t="str">
        <x:v>VIS-EGKR-SOC-S26-TASK-957-P007: 7; VIS-EGKR-SOC-S26-ANSWERDOC-P008: 8; VIS-EGKR-SOC-S26-ANSWERDOC-P009: 9</x:v>
      </x:c>
      <x:c r="AG6120" s="87" t="str">
        <x:v>RESOLVED</x:v>
      </x:c>
      <x:c r="AH6120" s="87" t="str">
        <x:v>CROP_VERIFIED</x:v>
      </x:c>
      <x:c r="AI6120" s="30"/>
      <x:c r="AJ6120" s="87" t="str">
        <x:v>clean</x:v>
      </x:c>
      <x:c r="AK6120" s="87" t="str">
        <x:v>clean-v0.20</x:v>
      </x:c>
      <x:c r="AL6120" s="87" t="str">
        <x:v>statgrad_clean_continuation_v0_20(1).xlsx</x:v>
      </x:c>
      <x:c r="AM6120" s="87" t="str">
        <x:v>SOC_EGKR_S26_957</x:v>
      </x:c>
      <x:c r="AN6120" s="87" t="n">
        <x:v>12</x:v>
      </x:c>
    </x:row>
    <x:row r="6121">
      <x:c r="A6121" s="87" t="n">
        <x:v>6120</x:v>
      </x:c>
      <x:c r="B6121" s="87" t="str">
        <x:v>EGKR-S26-SOC-957-12</x:v>
      </x:c>
      <x:c r="C6121" s="87" t="str">
        <x:v>ЕГКР</x:v>
      </x:c>
      <x:c r="D6121" s="87"/>
      <x:c r="E6121" s="87" t="str">
        <x:v>Весна 2026</x:v>
      </x:c>
      <x:c r="F6121" s="87" t="str">
        <x:v>26.03.2026</x:v>
      </x:c>
      <x:c r="G6121" s="87" t="str">
        <x:v>Обществознание</x:v>
      </x:c>
      <x:c r="H6121" s="87" t="n">
        <x:v>11</x:v>
      </x:c>
      <x:c r="I6121" s="87"/>
      <x:c r="J6121" s="87" t="str">
        <x:v>957</x:v>
      </x:c>
      <x:c r="K6121" s="87" t="n">
        <x:v>12</x:v>
      </x:c>
      <x:c r="L6121" s="87" t="str">
        <x:v>Конституционное право</x:v>
      </x:c>
      <x:c r="M6121" s="30" t="str">
        <x:v>Задание 12 варианта 957. Полная формулировка сохранена на странице по VIS_ID.</x:v>
      </x:c>
      <x:c r="N6121" s="30" t="str">
        <x:v>245</x:v>
      </x:c>
      <x:c r="O6121" s="30" t="str">
        <x:v>Ответ проверен по исходной формулировке и обществоведческим понятиям.</x:v>
      </x:c>
      <x:c r="P6121" s="30"/>
      <x:c r="Q6121" s="30" t="str">
        <x:v>Независимая содержательная проверка; вторичный ответник хранится отдельно.</x:v>
      </x:c>
      <x:c r="R6121" s="30" t="str">
        <x:v>245</x:v>
      </x:c>
      <x:c r="S6121" s="30"/>
      <x:c r="T6121" s="30"/>
      <x:c r="U6121" s="30" t="str">
        <x:v>Ответник совпадает с независимой проверкой.</x:v>
      </x:c>
      <x:c r="V6121" s="87" t="str">
        <x:v>VERIFIED</x:v>
      </x:c>
      <x:c r="W6121" s="87"/>
      <x:c r="X6121" s="87" t="n">
        <x:v>8</x:v>
      </x:c>
      <x:c r="Y6121" s="87"/>
      <x:c r="Z6121" s="87"/>
      <x:c r="AA6121" s="87"/>
      <x:c r="AB6121" s="87"/>
      <x:c r="AC6121" s="87" t="str">
        <x:v>VIS-EGKR-SOC-S26-TASK-957-P008</x:v>
      </x:c>
      <x:c r="AD6121" s="87" t="str">
        <x:v>VIS-EGKR-SOC-S26-ANSWERDOC-P008; VIS-EGKR-SOC-S26-ANSWERDOC-P009</x:v>
      </x:c>
      <x:c r="AE6121" s="87" t="str">
        <x:v>TASK; SECONDARY_ANSWER_SOURCE</x:v>
      </x:c>
      <x:c r="AF6121" s="87" t="str">
        <x:v>VIS-EGKR-SOC-S26-TASK-957-P008: 8; VIS-EGKR-SOC-S26-ANSWERDOC-P008: 8; VIS-EGKR-SOC-S26-ANSWERDOC-P009: 9</x:v>
      </x:c>
      <x:c r="AG6121" s="87" t="str">
        <x:v>RESOLVED</x:v>
      </x:c>
      <x:c r="AH6121" s="87" t="str">
        <x:v>CROP_VERIFIED</x:v>
      </x:c>
      <x:c r="AI6121" s="30"/>
      <x:c r="AJ6121" s="87" t="str">
        <x:v>clean</x:v>
      </x:c>
      <x:c r="AK6121" s="87" t="str">
        <x:v>clean-v0.20</x:v>
      </x:c>
      <x:c r="AL6121" s="87" t="str">
        <x:v>statgrad_clean_continuation_v0_20(1).xlsx</x:v>
      </x:c>
      <x:c r="AM6121" s="87" t="str">
        <x:v>SOC_EGKR_S26_957</x:v>
      </x:c>
      <x:c r="AN6121" s="87" t="n">
        <x:v>13</x:v>
      </x:c>
    </x:row>
    <x:row r="6122">
      <x:c r="A6122" s="87" t="n">
        <x:v>6121</x:v>
      </x:c>
      <x:c r="B6122" s="87" t="str">
        <x:v>EGKR-S26-SOC-957-13</x:v>
      </x:c>
      <x:c r="C6122" s="87" t="str">
        <x:v>ЕГКР</x:v>
      </x:c>
      <x:c r="D6122" s="87"/>
      <x:c r="E6122" s="87" t="str">
        <x:v>Весна 2026</x:v>
      </x:c>
      <x:c r="F6122" s="87" t="str">
        <x:v>26.03.2026</x:v>
      </x:c>
      <x:c r="G6122" s="87" t="str">
        <x:v>Обществознание</x:v>
      </x:c>
      <x:c r="H6122" s="87" t="n">
        <x:v>11</x:v>
      </x:c>
      <x:c r="I6122" s="87"/>
      <x:c r="J6122" s="87" t="str">
        <x:v>957</x:v>
      </x:c>
      <x:c r="K6122" s="87" t="n">
        <x:v>13</x:v>
      </x:c>
      <x:c r="L6122" s="87" t="str">
        <x:v>Государственная власть / ведение</x:v>
      </x:c>
      <x:c r="M6122" s="30" t="str">
        <x:v>Задание 13 варианта 957. Полная формулировка сохранена на странице по VIS_ID.</x:v>
      </x:c>
      <x:c r="N6122" s="30" t="str">
        <x:v>22123</x:v>
      </x:c>
      <x:c r="O6122" s="30" t="str">
        <x:v>Ответ проверен по исходной формулировке и обществоведческим понятиям.</x:v>
      </x:c>
      <x:c r="P6122" s="30"/>
      <x:c r="Q6122" s="30" t="str">
        <x:v>Независимая содержательная проверка; вторичный ответник хранится отдельно.</x:v>
      </x:c>
      <x:c r="R6122" s="30" t="str">
        <x:v>22123</x:v>
      </x:c>
      <x:c r="S6122" s="30"/>
      <x:c r="T6122" s="30"/>
      <x:c r="U6122" s="30" t="str">
        <x:v>Ответник совпадает с независимой проверкой.</x:v>
      </x:c>
      <x:c r="V6122" s="87" t="str">
        <x:v>VERIFIED</x:v>
      </x:c>
      <x:c r="W6122" s="87"/>
      <x:c r="X6122" s="87" t="n">
        <x:v>8</x:v>
      </x:c>
      <x:c r="Y6122" s="87"/>
      <x:c r="Z6122" s="87"/>
      <x:c r="AA6122" s="87"/>
      <x:c r="AB6122" s="87"/>
      <x:c r="AC6122" s="87" t="str">
        <x:v>VIS-EGKR-SOC-S26-TASK-957-P008</x:v>
      </x:c>
      <x:c r="AD6122" s="87" t="str">
        <x:v>VIS-EGKR-SOC-S26-ANSWERDOC-P008; VIS-EGKR-SOC-S26-ANSWERDOC-P009</x:v>
      </x:c>
      <x:c r="AE6122" s="87" t="str">
        <x:v>TASK; SECONDARY_ANSWER_SOURCE</x:v>
      </x:c>
      <x:c r="AF6122" s="87" t="str">
        <x:v>VIS-EGKR-SOC-S26-TASK-957-P008: 8; VIS-EGKR-SOC-S26-ANSWERDOC-P008: 8; VIS-EGKR-SOC-S26-ANSWERDOC-P009: 9</x:v>
      </x:c>
      <x:c r="AG6122" s="87" t="str">
        <x:v>RESOLVED</x:v>
      </x:c>
      <x:c r="AH6122" s="87" t="str">
        <x:v>CROP_VERIFIED</x:v>
      </x:c>
      <x:c r="AI6122" s="30"/>
      <x:c r="AJ6122" s="87" t="str">
        <x:v>clean</x:v>
      </x:c>
      <x:c r="AK6122" s="87" t="str">
        <x:v>clean-v0.20</x:v>
      </x:c>
      <x:c r="AL6122" s="87" t="str">
        <x:v>statgrad_clean_continuation_v0_20(1).xlsx</x:v>
      </x:c>
      <x:c r="AM6122" s="87" t="str">
        <x:v>SOC_EGKR_S26_957</x:v>
      </x:c>
      <x:c r="AN6122" s="87" t="n">
        <x:v>14</x:v>
      </x:c>
    </x:row>
    <x:row r="6123">
      <x:c r="A6123" s="87" t="n">
        <x:v>6122</x:v>
      </x:c>
      <x:c r="B6123" s="87" t="str">
        <x:v>EGKR-S26-SOC-957-14</x:v>
      </x:c>
      <x:c r="C6123" s="87" t="str">
        <x:v>ЕГКР</x:v>
      </x:c>
      <x:c r="D6123" s="87"/>
      <x:c r="E6123" s="87" t="str">
        <x:v>Весна 2026</x:v>
      </x:c>
      <x:c r="F6123" s="87" t="str">
        <x:v>26.03.2026</x:v>
      </x:c>
      <x:c r="G6123" s="87" t="str">
        <x:v>Обществознание</x:v>
      </x:c>
      <x:c r="H6123" s="87" t="n">
        <x:v>11</x:v>
      </x:c>
      <x:c r="I6123" s="87"/>
      <x:c r="J6123" s="87" t="str">
        <x:v>957</x:v>
      </x:c>
      <x:c r="K6123" s="87" t="n">
        <x:v>14</x:v>
      </x:c>
      <x:c r="L6123" s="87" t="str">
        <x:v>Правовые суждения</x:v>
      </x:c>
      <x:c r="M6123" s="30" t="str">
        <x:v>Задание 14 варианта 957. Полная формулировка сохранена на странице по VIS_ID.</x:v>
      </x:c>
      <x:c r="N6123" s="30" t="str">
        <x:v>124</x:v>
      </x:c>
      <x:c r="O6123" s="30" t="str">
        <x:v>Ответ проверен по исходной формулировке и обществоведческим понятиям.</x:v>
      </x:c>
      <x:c r="P6123" s="30"/>
      <x:c r="Q6123" s="30" t="str">
        <x:v>Независимая содержательная проверка; вторичный ответник хранится отдельно.</x:v>
      </x:c>
      <x:c r="R6123" s="30" t="str">
        <x:v>124</x:v>
      </x:c>
      <x:c r="S6123" s="30"/>
      <x:c r="T6123" s="30"/>
      <x:c r="U6123" s="30" t="str">
        <x:v>Ответник совпадает с независимой проверкой.</x:v>
      </x:c>
      <x:c r="V6123" s="87" t="str">
        <x:v>VERIFIED</x:v>
      </x:c>
      <x:c r="W6123" s="87"/>
      <x:c r="X6123" s="87" t="n">
        <x:v>9</x:v>
      </x:c>
      <x:c r="Y6123" s="87"/>
      <x:c r="Z6123" s="87"/>
      <x:c r="AA6123" s="87"/>
      <x:c r="AB6123" s="87"/>
      <x:c r="AC6123" s="87" t="str">
        <x:v>VIS-EGKR-SOC-S26-TASK-957-P009</x:v>
      </x:c>
      <x:c r="AD6123" s="87" t="str">
        <x:v>VIS-EGKR-SOC-S26-ANSWERDOC-P008; VIS-EGKR-SOC-S26-ANSWERDOC-P009</x:v>
      </x:c>
      <x:c r="AE6123" s="87" t="str">
        <x:v>TASK; SECONDARY_ANSWER_SOURCE</x:v>
      </x:c>
      <x:c r="AF6123" s="87" t="str">
        <x:v>VIS-EGKR-SOC-S26-TASK-957-P009: 9; VIS-EGKR-SOC-S26-ANSWERDOC-P008: 8; VIS-EGKR-SOC-S26-ANSWERDOC-P009: 9</x:v>
      </x:c>
      <x:c r="AG6123" s="87" t="str">
        <x:v>RESOLVED</x:v>
      </x:c>
      <x:c r="AH6123" s="87" t="str">
        <x:v>CROP_VERIFIED</x:v>
      </x:c>
      <x:c r="AI6123" s="30"/>
      <x:c r="AJ6123" s="87" t="str">
        <x:v>clean</x:v>
      </x:c>
      <x:c r="AK6123" s="87" t="str">
        <x:v>clean-v0.20</x:v>
      </x:c>
      <x:c r="AL6123" s="87" t="str">
        <x:v>statgrad_clean_continuation_v0_20(1).xlsx</x:v>
      </x:c>
      <x:c r="AM6123" s="87" t="str">
        <x:v>SOC_EGKR_S26_957</x:v>
      </x:c>
      <x:c r="AN6123" s="87" t="n">
        <x:v>15</x:v>
      </x:c>
    </x:row>
    <x:row r="6124">
      <x:c r="A6124" s="87" t="n">
        <x:v>6123</x:v>
      </x:c>
      <x:c r="B6124" s="87" t="str">
        <x:v>EGKR-S26-SOC-957-15</x:v>
      </x:c>
      <x:c r="C6124" s="87" t="str">
        <x:v>ЕГКР</x:v>
      </x:c>
      <x:c r="D6124" s="87"/>
      <x:c r="E6124" s="87" t="str">
        <x:v>Весна 2026</x:v>
      </x:c>
      <x:c r="F6124" s="87" t="str">
        <x:v>26.03.2026</x:v>
      </x:c>
      <x:c r="G6124" s="87" t="str">
        <x:v>Обществознание</x:v>
      </x:c>
      <x:c r="H6124" s="87" t="n">
        <x:v>11</x:v>
      </x:c>
      <x:c r="I6124" s="87"/>
      <x:c r="J6124" s="87" t="str">
        <x:v>957</x:v>
      </x:c>
      <x:c r="K6124" s="87" t="n">
        <x:v>15</x:v>
      </x:c>
      <x:c r="L6124" s="87" t="str">
        <x:v>Юридическое соответствие</x:v>
      </x:c>
      <x:c r="M6124" s="30" t="str">
        <x:v>Задание 15 варианта 957. Полная формулировка сохранена на странице по VIS_ID.</x:v>
      </x:c>
      <x:c r="N6124" s="30" t="str">
        <x:v>21223</x:v>
      </x:c>
      <x:c r="O6124" s="30" t="str">
        <x:v>Ответ проверен по исходной формулировке и обществоведческим понятиям.</x:v>
      </x:c>
      <x:c r="P6124" s="30"/>
      <x:c r="Q6124" s="30" t="str">
        <x:v>Независимая содержательная проверка; вторичный ответник хранится отдельно.</x:v>
      </x:c>
      <x:c r="R6124" s="30" t="str">
        <x:v>21223</x:v>
      </x:c>
      <x:c r="S6124" s="30"/>
      <x:c r="T6124" s="30"/>
      <x:c r="U6124" s="30" t="str">
        <x:v>Ответник совпадает с независимой проверкой.</x:v>
      </x:c>
      <x:c r="V6124" s="87" t="str">
        <x:v>VERIFIED</x:v>
      </x:c>
      <x:c r="W6124" s="87"/>
      <x:c r="X6124" s="87" t="n">
        <x:v>9</x:v>
      </x:c>
      <x:c r="Y6124" s="87"/>
      <x:c r="Z6124" s="87"/>
      <x:c r="AA6124" s="87"/>
      <x:c r="AB6124" s="87"/>
      <x:c r="AC6124" s="87" t="str">
        <x:v>VIS-EGKR-SOC-S26-TASK-957-P009</x:v>
      </x:c>
      <x:c r="AD6124" s="87" t="str">
        <x:v>VIS-EGKR-SOC-S26-ANSWERDOC-P008; VIS-EGKR-SOC-S26-ANSWERDOC-P009</x:v>
      </x:c>
      <x:c r="AE6124" s="87" t="str">
        <x:v>TASK; SECONDARY_ANSWER_SOURCE</x:v>
      </x:c>
      <x:c r="AF6124" s="87" t="str">
        <x:v>VIS-EGKR-SOC-S26-TASK-957-P009: 9; VIS-EGKR-SOC-S26-ANSWERDOC-P008: 8; VIS-EGKR-SOC-S26-ANSWERDOC-P009: 9</x:v>
      </x:c>
      <x:c r="AG6124" s="87" t="str">
        <x:v>RESOLVED</x:v>
      </x:c>
      <x:c r="AH6124" s="87" t="str">
        <x:v>CROP_VERIFIED</x:v>
      </x:c>
      <x:c r="AI6124" s="30"/>
      <x:c r="AJ6124" s="87" t="str">
        <x:v>clean</x:v>
      </x:c>
      <x:c r="AK6124" s="87" t="str">
        <x:v>clean-v0.20</x:v>
      </x:c>
      <x:c r="AL6124" s="87" t="str">
        <x:v>statgrad_clean_continuation_v0_20(1).xlsx</x:v>
      </x:c>
      <x:c r="AM6124" s="87" t="str">
        <x:v>SOC_EGKR_S26_957</x:v>
      </x:c>
      <x:c r="AN6124" s="87" t="n">
        <x:v>16</x:v>
      </x:c>
    </x:row>
    <x:row r="6125">
      <x:c r="A6125" s="87" t="n">
        <x:v>6124</x:v>
      </x:c>
      <x:c r="B6125" s="87" t="str">
        <x:v>EGKR-S26-SOC-957-16</x:v>
      </x:c>
      <x:c r="C6125" s="87" t="str">
        <x:v>ЕГКР</x:v>
      </x:c>
      <x:c r="D6125" s="87"/>
      <x:c r="E6125" s="87" t="str">
        <x:v>Весна 2026</x:v>
      </x:c>
      <x:c r="F6125" s="87" t="str">
        <x:v>26.03.2026</x:v>
      </x:c>
      <x:c r="G6125" s="87" t="str">
        <x:v>Обществознание</x:v>
      </x:c>
      <x:c r="H6125" s="87" t="n">
        <x:v>11</x:v>
      </x:c>
      <x:c r="I6125" s="87"/>
      <x:c r="J6125" s="87" t="str">
        <x:v>957</x:v>
      </x:c>
      <x:c r="K6125" s="87" t="n">
        <x:v>16</x:v>
      </x:c>
      <x:c r="L6125" s="87" t="str">
        <x:v>Практическая правовая ситуация</x:v>
      </x:c>
      <x:c r="M6125" s="30" t="str">
        <x:v>Задание 16 варианта 957. Полная формулировка сохранена на странице по VIS_ID.</x:v>
      </x:c>
      <x:c r="N6125" s="30" t="str">
        <x:v>346</x:v>
      </x:c>
      <x:c r="O6125" s="30" t="str">
        <x:v>Ответ проверен по исходной формулировке и обществоведческим понятиям.</x:v>
      </x:c>
      <x:c r="P6125" s="30"/>
      <x:c r="Q6125" s="30" t="str">
        <x:v>Независимая содержательная проверка; вторичный ответник хранится отдельно.</x:v>
      </x:c>
      <x:c r="R6125" s="30" t="str">
        <x:v>346</x:v>
      </x:c>
      <x:c r="S6125" s="30"/>
      <x:c r="T6125" s="30"/>
      <x:c r="U6125" s="30" t="str">
        <x:v>Ответник совпадает с независимой проверкой.</x:v>
      </x:c>
      <x:c r="V6125" s="87" t="str">
        <x:v>VERIFIED</x:v>
      </x:c>
      <x:c r="W6125" s="87"/>
      <x:c r="X6125" s="87" t="n">
        <x:v>10</x:v>
      </x:c>
      <x:c r="Y6125" s="87"/>
      <x:c r="Z6125" s="87"/>
      <x:c r="AA6125" s="87"/>
      <x:c r="AB6125" s="87"/>
      <x:c r="AC6125" s="87" t="str">
        <x:v>VIS-EGKR-SOC-S26-TASK-957-P010</x:v>
      </x:c>
      <x:c r="AD6125" s="87" t="str">
        <x:v>VIS-EGKR-SOC-S26-ANSWERDOC-P008; VIS-EGKR-SOC-S26-ANSWERDOC-P009</x:v>
      </x:c>
      <x:c r="AE6125" s="87" t="str">
        <x:v>TASK; SECONDARY_ANSWER_SOURCE</x:v>
      </x:c>
      <x:c r="AF6125" s="87" t="str">
        <x:v>VIS-EGKR-SOC-S26-TASK-957-P010: 10; VIS-EGKR-SOC-S26-ANSWERDOC-P008: 8; VIS-EGKR-SOC-S26-ANSWERDOC-P009: 9</x:v>
      </x:c>
      <x:c r="AG6125" s="87" t="str">
        <x:v>RESOLVED</x:v>
      </x:c>
      <x:c r="AH6125" s="87" t="str">
        <x:v>CROP_VERIFIED</x:v>
      </x:c>
      <x:c r="AI6125" s="30"/>
      <x:c r="AJ6125" s="87" t="str">
        <x:v>clean</x:v>
      </x:c>
      <x:c r="AK6125" s="87" t="str">
        <x:v>clean-v0.20</x:v>
      </x:c>
      <x:c r="AL6125" s="87" t="str">
        <x:v>statgrad_clean_continuation_v0_20(1).xlsx</x:v>
      </x:c>
      <x:c r="AM6125" s="87" t="str">
        <x:v>SOC_EGKR_S26_957</x:v>
      </x:c>
      <x:c r="AN6125" s="87" t="n">
        <x:v>17</x:v>
      </x:c>
    </x:row>
    <x:row r="6126">
      <x:c r="A6126" s="87" t="n">
        <x:v>6125</x:v>
      </x:c>
      <x:c r="B6126" s="87" t="str">
        <x:v>EGKR-S26-SOC-957-17</x:v>
      </x:c>
      <x:c r="C6126" s="87" t="str">
        <x:v>ЕГКР</x:v>
      </x:c>
      <x:c r="D6126" s="87"/>
      <x:c r="E6126" s="87" t="str">
        <x:v>Весна 2026</x:v>
      </x:c>
      <x:c r="F6126" s="87" t="str">
        <x:v>26.03.2026</x:v>
      </x:c>
      <x:c r="G6126" s="87" t="str">
        <x:v>Обществознание</x:v>
      </x:c>
      <x:c r="H6126" s="87" t="n">
        <x:v>11</x:v>
      </x:c>
      <x:c r="I6126" s="87"/>
      <x:c r="J6126" s="87" t="str">
        <x:v>957</x:v>
      </x:c>
      <x:c r="K6126" s="87" t="n">
        <x:v>17</x:v>
      </x:c>
      <x:c r="L6126" s="87" t="str">
        <x:v>Развёрнутый ответ</x:v>
      </x:c>
      <x:c r="M6126" s="30" t="str">
        <x:v>По тексту раскрыть основу политического участия, тоталитарную модель и динамику активности около выборов.</x:v>
      </x:c>
      <x:c r="N6126" s="30" t="str">
        <x:v>Основу политического участия составляет совокупность предпосылок, способствующих активности либо апатии. При тоталитарном режиме участие массовое, но принудительное и жёстко регулируемое. По мере приближения выборов активность участников политического процесса возрастает, после выборов постепенно снижается.</x:v>
      </x:c>
      <x:c r="O6126" s="30" t="str">
        <x:v>Рабочая модель включает все элементы, требуемые формулировкой.</x:v>
      </x:c>
      <x:c r="P6126" s="30"/>
      <x:c r="Q6126" s="30" t="str">
        <x:v>Сопоставлено с исходным заданием; вторичный ответник использован только для аудита.</x:v>
      </x:c>
      <x:c r="R6126" s="30" t="str">
        <x:v>MODEL_PARTIAL_OR_SECONDARY</x:v>
      </x:c>
      <x:c r="S6126" s="30"/>
      <x:c r="T6126" s="30"/>
      <x:c r="U6126" s="30" t="str">
        <x:v>Модель независимо дополнена там, где во внутреннем ответнике отсутствовали пункты.</x:v>
      </x:c>
      <x:c r="V6126" s="87" t="str">
        <x:v>VERIFIED</x:v>
      </x:c>
      <x:c r="W6126" s="87"/>
      <x:c r="X6126" s="87" t="n">
        <x:v>11</x:v>
      </x:c>
      <x:c r="Y6126" s="87"/>
      <x:c r="Z6126" s="87"/>
      <x:c r="AA6126" s="87"/>
      <x:c r="AB6126" s="87"/>
      <x:c r="AC6126" s="87" t="str">
        <x:v>VIS-EGKR-SOC-S26-TASK-957-P011</x:v>
      </x:c>
      <x:c r="AD6126" s="87" t="str">
        <x:v>VIS-EGKR-SOC-S26-ANSWERDOC-P008; VIS-EGKR-SOC-S26-ANSWERDOC-P009</x:v>
      </x:c>
      <x:c r="AE6126" s="87" t="str">
        <x:v>TASK; SECONDARY_ANSWER_SOURCE</x:v>
      </x:c>
      <x:c r="AF6126" s="87" t="str">
        <x:v>VIS-EGKR-SOC-S26-TASK-957-P011: 11; VIS-EGKR-SOC-S26-ANSWERDOC-P008: 8; VIS-EGKR-SOC-S26-ANSWERDOC-P009: 9</x:v>
      </x:c>
      <x:c r="AG6126" s="87" t="str">
        <x:v>RESOLVED</x:v>
      </x:c>
      <x:c r="AH6126" s="87" t="str">
        <x:v>CROP_VERIFIED</x:v>
      </x:c>
      <x:c r="AI6126" s="30"/>
      <x:c r="AJ6126" s="87" t="str">
        <x:v>clean</x:v>
      </x:c>
      <x:c r="AK6126" s="87" t="str">
        <x:v>clean-v0.20</x:v>
      </x:c>
      <x:c r="AL6126" s="87" t="str">
        <x:v>statgrad_clean_continuation_v0_20(1).xlsx</x:v>
      </x:c>
      <x:c r="AM6126" s="87" t="str">
        <x:v>SOC_EGKR_S26_957</x:v>
      </x:c>
      <x:c r="AN6126" s="87" t="n">
        <x:v>18</x:v>
      </x:c>
    </x:row>
    <x:row r="6127">
      <x:c r="A6127" s="87" t="n">
        <x:v>6126</x:v>
      </x:c>
      <x:c r="B6127" s="87" t="str">
        <x:v>EGKR-S26-SOC-957-18</x:v>
      </x:c>
      <x:c r="C6127" s="87" t="str">
        <x:v>ЕГКР</x:v>
      </x:c>
      <x:c r="D6127" s="87"/>
      <x:c r="E6127" s="87" t="str">
        <x:v>Весна 2026</x:v>
      </x:c>
      <x:c r="F6127" s="87" t="str">
        <x:v>26.03.2026</x:v>
      </x:c>
      <x:c r="G6127" s="87" t="str">
        <x:v>Обществознание</x:v>
      </x:c>
      <x:c r="H6127" s="87" t="n">
        <x:v>11</x:v>
      </x:c>
      <x:c r="I6127" s="87"/>
      <x:c r="J6127" s="87" t="str">
        <x:v>957</x:v>
      </x:c>
      <x:c r="K6127" s="87" t="n">
        <x:v>18</x:v>
      </x:c>
      <x:c r="L6127" s="87" t="str">
        <x:v>Развёрнутый ответ</x:v>
      </x:c>
      <x:c r="M6127" s="30" t="str">
        <x:v>Назвать признаки политического института и связь СМИ с политическими программами.</x:v>
      </x:c>
      <x:c r="N6127" s="30" t="str">
        <x:v>Политический институт обладает системой норм, организационной структурой, устойчивыми ролями и общественно значимыми функциями, связанными с властью. СМИ транслируют населению программы и идеологические схемы, формируют представления о целях и способах политического участия и тем самым придают политике целенаправленный характер.</x:v>
      </x:c>
      <x:c r="O6127" s="30" t="str">
        <x:v>Рабочая модель включает все элементы, требуемые формулировкой.</x:v>
      </x:c>
      <x:c r="P6127" s="30"/>
      <x:c r="Q6127" s="30" t="str">
        <x:v>Сопоставлено с исходным заданием; вторичный ответник использован только для аудита.</x:v>
      </x:c>
      <x:c r="R6127" s="30" t="str">
        <x:v>MODEL_PARTIAL_OR_SECONDARY</x:v>
      </x:c>
      <x:c r="S6127" s="30"/>
      <x:c r="T6127" s="30"/>
      <x:c r="U6127" s="30" t="str">
        <x:v>Модель независимо дополнена там, где во внутреннем ответнике отсутствовали пункты.</x:v>
      </x:c>
      <x:c r="V6127" s="87" t="str">
        <x:v>VERIFIED</x:v>
      </x:c>
      <x:c r="W6127" s="87"/>
      <x:c r="X6127" s="87" t="n">
        <x:v>11</x:v>
      </x:c>
      <x:c r="Y6127" s="87"/>
      <x:c r="Z6127" s="87"/>
      <x:c r="AA6127" s="87"/>
      <x:c r="AB6127" s="87"/>
      <x:c r="AC6127" s="87" t="str">
        <x:v>VIS-EGKR-SOC-S26-TASK-957-P011</x:v>
      </x:c>
      <x:c r="AD6127" s="87" t="str">
        <x:v>VIS-EGKR-SOC-S26-ANSWERDOC-P008; VIS-EGKR-SOC-S26-ANSWERDOC-P009</x:v>
      </x:c>
      <x:c r="AE6127" s="87" t="str">
        <x:v>TASK; SECONDARY_ANSWER_SOURCE</x:v>
      </x:c>
      <x:c r="AF6127" s="87" t="str">
        <x:v>VIS-EGKR-SOC-S26-TASK-957-P011: 11; VIS-EGKR-SOC-S26-ANSWERDOC-P008: 8; VIS-EGKR-SOC-S26-ANSWERDOC-P009: 9</x:v>
      </x:c>
      <x:c r="AG6127" s="87" t="str">
        <x:v>RESOLVED</x:v>
      </x:c>
      <x:c r="AH6127" s="87" t="str">
        <x:v>CROP_VERIFIED</x:v>
      </x:c>
      <x:c r="AI6127" s="30"/>
      <x:c r="AJ6127" s="87" t="str">
        <x:v>clean</x:v>
      </x:c>
      <x:c r="AK6127" s="87" t="str">
        <x:v>clean-v0.20</x:v>
      </x:c>
      <x:c r="AL6127" s="87" t="str">
        <x:v>statgrad_clean_continuation_v0_20(1).xlsx</x:v>
      </x:c>
      <x:c r="AM6127" s="87" t="str">
        <x:v>SOC_EGKR_S26_957</x:v>
      </x:c>
      <x:c r="AN6127" s="87" t="n">
        <x:v>19</x:v>
      </x:c>
    </x:row>
    <x:row r="6128">
      <x:c r="A6128" s="87" t="n">
        <x:v>6127</x:v>
      </x:c>
      <x:c r="B6128" s="87" t="str">
        <x:v>EGKR-S26-SOC-957-19</x:v>
      </x:c>
      <x:c r="C6128" s="87" t="str">
        <x:v>ЕГКР</x:v>
      </x:c>
      <x:c r="D6128" s="87"/>
      <x:c r="E6128" s="87" t="str">
        <x:v>Весна 2026</x:v>
      </x:c>
      <x:c r="F6128" s="87" t="str">
        <x:v>26.03.2026</x:v>
      </x:c>
      <x:c r="G6128" s="87" t="str">
        <x:v>Обществознание</x:v>
      </x:c>
      <x:c r="H6128" s="87" t="n">
        <x:v>11</x:v>
      </x:c>
      <x:c r="I6128" s="87"/>
      <x:c r="J6128" s="87" t="str">
        <x:v>957</x:v>
      </x:c>
      <x:c r="K6128" s="87" t="n">
        <x:v>19</x:v>
      </x:c>
      <x:c r="L6128" s="87" t="str">
        <x:v>Развёрнутый ответ</x:v>
      </x:c>
      <x:c r="M6128" s="30" t="str">
        <x:v>Привести примеры средовых и субъектных факторов политического участия.</x:v>
      </x:c>
      <x:c r="N6128" s="30" t="str">
        <x:v>Средовые факторы: экономический кризис побуждает граждан участвовать в митингах; демократический режим и свобода объединений повышают участие в местных выборах. Субъектные факторы: чувство справедливости мотивирует человека стать волонтёром кампании; политическое образование позволяет осознанно анализировать программы и участвовать в дебатах.</x:v>
      </x:c>
      <x:c r="O6128" s="30" t="str">
        <x:v>Рабочая модель включает все элементы, требуемые формулировкой.</x:v>
      </x:c>
      <x:c r="P6128" s="30"/>
      <x:c r="Q6128" s="30" t="str">
        <x:v>Сопоставлено с исходным заданием; вторичный ответник использован только для аудита.</x:v>
      </x:c>
      <x:c r="R6128" s="30" t="str">
        <x:v>MODEL_PARTIAL_OR_SECONDARY</x:v>
      </x:c>
      <x:c r="S6128" s="30"/>
      <x:c r="T6128" s="30"/>
      <x:c r="U6128" s="30" t="str">
        <x:v>Модель независимо дополнена там, где во внутреннем ответнике отсутствовали пункты.</x:v>
      </x:c>
      <x:c r="V6128" s="87" t="str">
        <x:v>VERIFIED</x:v>
      </x:c>
      <x:c r="W6128" s="87"/>
      <x:c r="X6128" s="87" t="n">
        <x:v>11</x:v>
      </x:c>
      <x:c r="Y6128" s="87"/>
      <x:c r="Z6128" s="87"/>
      <x:c r="AA6128" s="87"/>
      <x:c r="AB6128" s="87"/>
      <x:c r="AC6128" s="87" t="str">
        <x:v>VIS-EGKR-SOC-S26-TASK-957-P011</x:v>
      </x:c>
      <x:c r="AD6128" s="87" t="str">
        <x:v>VIS-EGKR-SOC-S26-ANSWERDOC-P008; VIS-EGKR-SOC-S26-ANSWERDOC-P009</x:v>
      </x:c>
      <x:c r="AE6128" s="87" t="str">
        <x:v>TASK; SECONDARY_ANSWER_SOURCE</x:v>
      </x:c>
      <x:c r="AF6128" s="87" t="str">
        <x:v>VIS-EGKR-SOC-S26-TASK-957-P011: 11; VIS-EGKR-SOC-S26-ANSWERDOC-P008: 8; VIS-EGKR-SOC-S26-ANSWERDOC-P009: 9</x:v>
      </x:c>
      <x:c r="AG6128" s="87" t="str">
        <x:v>RESOLVED</x:v>
      </x:c>
      <x:c r="AH6128" s="87" t="str">
        <x:v>CROP_VERIFIED</x:v>
      </x:c>
      <x:c r="AI6128" s="30"/>
      <x:c r="AJ6128" s="87" t="str">
        <x:v>clean</x:v>
      </x:c>
      <x:c r="AK6128" s="87" t="str">
        <x:v>clean-v0.20</x:v>
      </x:c>
      <x:c r="AL6128" s="87" t="str">
        <x:v>statgrad_clean_continuation_v0_20(1).xlsx</x:v>
      </x:c>
      <x:c r="AM6128" s="87" t="str">
        <x:v>SOC_EGKR_S26_957</x:v>
      </x:c>
      <x:c r="AN6128" s="87" t="n">
        <x:v>20</x:v>
      </x:c>
    </x:row>
    <x:row r="6129">
      <x:c r="A6129" s="87" t="n">
        <x:v>6128</x:v>
      </x:c>
      <x:c r="B6129" s="87" t="str">
        <x:v>EGKR-S26-SOC-957-20</x:v>
      </x:c>
      <x:c r="C6129" s="87" t="str">
        <x:v>ЕГКР</x:v>
      </x:c>
      <x:c r="D6129" s="87"/>
      <x:c r="E6129" s="87" t="str">
        <x:v>Весна 2026</x:v>
      </x:c>
      <x:c r="F6129" s="87" t="str">
        <x:v>26.03.2026</x:v>
      </x:c>
      <x:c r="G6129" s="87" t="str">
        <x:v>Обществознание</x:v>
      </x:c>
      <x:c r="H6129" s="87" t="n">
        <x:v>11</x:v>
      </x:c>
      <x:c r="I6129" s="87"/>
      <x:c r="J6129" s="87" t="str">
        <x:v>957</x:v>
      </x:c>
      <x:c r="K6129" s="87" t="n">
        <x:v>20</x:v>
      </x:c>
      <x:c r="L6129" s="87" t="str">
        <x:v>Развёрнутый ответ</x:v>
      </x:c>
      <x:c r="M6129" s="30" t="str">
        <x:v>Обосновать роль гражданского общества в политическом участии.</x:v>
      </x:c>
      <x:c r="N6129" s="30" t="str">
        <x:v>Институты гражданского общества дают легальные каналы выражения и защиты интересов. Общественные объединения обеспечивают политическую социализацию и обучают мирным формам взаимодействия. Общественный контроль повышает прозрачность власти и стимулирует граждан участвовать в принятии решений.</x:v>
      </x:c>
      <x:c r="O6129" s="30" t="str">
        <x:v>Рабочая модель включает все элементы, требуемые формулировкой.</x:v>
      </x:c>
      <x:c r="P6129" s="30"/>
      <x:c r="Q6129" s="30" t="str">
        <x:v>Сопоставлено с исходным заданием; вторичный ответник использован только для аудита.</x:v>
      </x:c>
      <x:c r="R6129" s="30" t="str">
        <x:v>MODEL_PARTIAL_OR_SECONDARY</x:v>
      </x:c>
      <x:c r="S6129" s="30"/>
      <x:c r="T6129" s="30"/>
      <x:c r="U6129" s="30" t="str">
        <x:v>Модель независимо дополнена там, где во внутреннем ответнике отсутствовали пункты.</x:v>
      </x:c>
      <x:c r="V6129" s="87" t="str">
        <x:v>VERIFIED</x:v>
      </x:c>
      <x:c r="W6129" s="87"/>
      <x:c r="X6129" s="87" t="n">
        <x:v>11</x:v>
      </x:c>
      <x:c r="Y6129" s="87"/>
      <x:c r="Z6129" s="87"/>
      <x:c r="AA6129" s="87"/>
      <x:c r="AB6129" s="87"/>
      <x:c r="AC6129" s="87" t="str">
        <x:v>VIS-EGKR-SOC-S26-TASK-957-P011</x:v>
      </x:c>
      <x:c r="AD6129" s="87" t="str">
        <x:v>VIS-EGKR-SOC-S26-ANSWERDOC-P008; VIS-EGKR-SOC-S26-ANSWERDOC-P009</x:v>
      </x:c>
      <x:c r="AE6129" s="87" t="str">
        <x:v>TASK; SECONDARY_ANSWER_SOURCE</x:v>
      </x:c>
      <x:c r="AF6129" s="87" t="str">
        <x:v>VIS-EGKR-SOC-S26-TASK-957-P011: 11; VIS-EGKR-SOC-S26-ANSWERDOC-P008: 8; VIS-EGKR-SOC-S26-ANSWERDOC-P009: 9</x:v>
      </x:c>
      <x:c r="AG6129" s="87" t="str">
        <x:v>RESOLVED</x:v>
      </x:c>
      <x:c r="AH6129" s="87" t="str">
        <x:v>CROP_VERIFIED</x:v>
      </x:c>
      <x:c r="AI6129" s="30"/>
      <x:c r="AJ6129" s="87" t="str">
        <x:v>clean</x:v>
      </x:c>
      <x:c r="AK6129" s="87" t="str">
        <x:v>clean-v0.20</x:v>
      </x:c>
      <x:c r="AL6129" s="87" t="str">
        <x:v>statgrad_clean_continuation_v0_20(1).xlsx</x:v>
      </x:c>
      <x:c r="AM6129" s="87" t="str">
        <x:v>SOC_EGKR_S26_957</x:v>
      </x:c>
      <x:c r="AN6129" s="87" t="n">
        <x:v>21</x:v>
      </x:c>
    </x:row>
    <x:row r="6130">
      <x:c r="A6130" s="87" t="n">
        <x:v>6129</x:v>
      </x:c>
      <x:c r="B6130" s="87" t="str">
        <x:v>EGKR-S26-SOC-957-21</x:v>
      </x:c>
      <x:c r="C6130" s="87" t="str">
        <x:v>ЕГКР</x:v>
      </x:c>
      <x:c r="D6130" s="87"/>
      <x:c r="E6130" s="87" t="str">
        <x:v>Весна 2026</x:v>
      </x:c>
      <x:c r="F6130" s="87" t="str">
        <x:v>26.03.2026</x:v>
      </x:c>
      <x:c r="G6130" s="87" t="str">
        <x:v>Обществознание</x:v>
      </x:c>
      <x:c r="H6130" s="87" t="n">
        <x:v>11</x:v>
      </x:c>
      <x:c r="I6130" s="87"/>
      <x:c r="J6130" s="87" t="str">
        <x:v>957</x:v>
      </x:c>
      <x:c r="K6130" s="87" t="n">
        <x:v>21</x:v>
      </x:c>
      <x:c r="L6130" s="87" t="str">
        <x:v>Развёрнутый ответ</x:v>
      </x:c>
      <x:c r="M6130" s="30" t="str">
        <x:v>Проанализировать увеличение предложения услуг дизайнеров интерьера.</x:v>
      </x:c>
      <x:c r="N6130" s="30" t="str">
        <x:v>Равновесная цена снизилась, поскольку предложение сместилось вправо. Это могло произойти из-за распространения доступных цифровых программ, снижения издержек или увеличения числа дизайнеров. Рост числа покупателей новых квартир увеличит спрос на услуги, поэтому равновесная цена повысится.</x:v>
      </x:c>
      <x:c r="O6130" s="30" t="str">
        <x:v>Рабочая модель включает все элементы, требуемые формулировкой.</x:v>
      </x:c>
      <x:c r="P6130" s="30"/>
      <x:c r="Q6130" s="30" t="str">
        <x:v>Сопоставлено с исходным заданием; вторичный ответник использован только для аудита.</x:v>
      </x:c>
      <x:c r="R6130" s="30" t="str">
        <x:v>MODEL_PARTIAL_OR_SECONDARY</x:v>
      </x:c>
      <x:c r="S6130" s="30"/>
      <x:c r="T6130" s="30"/>
      <x:c r="U6130" s="30" t="str">
        <x:v>Модель независимо дополнена там, где во внутреннем ответнике отсутствовали пункты.</x:v>
      </x:c>
      <x:c r="V6130" s="87" t="str">
        <x:v>VERIFIED</x:v>
      </x:c>
      <x:c r="W6130" s="87"/>
      <x:c r="X6130" s="87" t="n">
        <x:v>12</x:v>
      </x:c>
      <x:c r="Y6130" s="87"/>
      <x:c r="Z6130" s="87"/>
      <x:c r="AA6130" s="87"/>
      <x:c r="AB6130" s="87"/>
      <x:c r="AC6130" s="87" t="str">
        <x:v>VIS-EGKR-SOC-S26-TASK-957-P012</x:v>
      </x:c>
      <x:c r="AD6130" s="87" t="str">
        <x:v>VIS-EGKR-SOC-S26-ANSWERDOC-P008; VIS-EGKR-SOC-S26-ANSWERDOC-P009</x:v>
      </x:c>
      <x:c r="AE6130" s="87" t="str">
        <x:v>TASK; SECONDARY_ANSWER_SOURCE</x:v>
      </x:c>
      <x:c r="AF6130" s="87" t="str">
        <x:v>VIS-EGKR-SOC-S26-TASK-957-P012: 12; VIS-EGKR-SOC-S26-ANSWERDOC-P008: 8; VIS-EGKR-SOC-S26-ANSWERDOC-P009: 9</x:v>
      </x:c>
      <x:c r="AG6130" s="87" t="str">
        <x:v>RESOLVED</x:v>
      </x:c>
      <x:c r="AH6130" s="87" t="str">
        <x:v>CROP_VERIFIED</x:v>
      </x:c>
      <x:c r="AI6130" s="30"/>
      <x:c r="AJ6130" s="87" t="str">
        <x:v>clean</x:v>
      </x:c>
      <x:c r="AK6130" s="87" t="str">
        <x:v>clean-v0.20</x:v>
      </x:c>
      <x:c r="AL6130" s="87" t="str">
        <x:v>statgrad_clean_continuation_v0_20(1).xlsx</x:v>
      </x:c>
      <x:c r="AM6130" s="87" t="str">
        <x:v>SOC_EGKR_S26_957</x:v>
      </x:c>
      <x:c r="AN6130" s="87" t="n">
        <x:v>22</x:v>
      </x:c>
    </x:row>
    <x:row r="6131">
      <x:c r="A6131" s="87" t="n">
        <x:v>6130</x:v>
      </x:c>
      <x:c r="B6131" s="87" t="str">
        <x:v>EGKR-S26-SOC-957-22</x:v>
      </x:c>
      <x:c r="C6131" s="87" t="str">
        <x:v>ЕГКР</x:v>
      </x:c>
      <x:c r="D6131" s="87"/>
      <x:c r="E6131" s="87" t="str">
        <x:v>Весна 2026</x:v>
      </x:c>
      <x:c r="F6131" s="87" t="str">
        <x:v>26.03.2026</x:v>
      </x:c>
      <x:c r="G6131" s="87" t="str">
        <x:v>Обществознание</x:v>
      </x:c>
      <x:c r="H6131" s="87" t="n">
        <x:v>11</x:v>
      </x:c>
      <x:c r="I6131" s="87"/>
      <x:c r="J6131" s="87" t="str">
        <x:v>957</x:v>
      </x:c>
      <x:c r="K6131" s="87" t="n">
        <x:v>22</x:v>
      </x:c>
      <x:c r="L6131" s="87" t="str">
        <x:v>Развёрнутый ответ</x:v>
      </x:c>
      <x:c r="M6131" s="30" t="str">
        <x:v>Решить задачу о брачном договоре.</x:v>
      </x:c>
      <x:c r="N6131" s="30" t="str">
        <x:v>Договор может быть удостоверен: режим долевой собственности, порядок выдачи участков и раздел имущества относятся к имущественным отношениям супругов. Брачный договор заключают письменно и нотариально удостоверяют. Его удостоверяет нотариус. Личные права супругов включают свободный выбор рода занятий и места жительства, а также совместное решение вопросов материнства, отцовства, воспитания и образования детей.</x:v>
      </x:c>
      <x:c r="O6131" s="30" t="str">
        <x:v>Рабочая модель включает все элементы, требуемые формулировкой.</x:v>
      </x:c>
      <x:c r="P6131" s="30"/>
      <x:c r="Q6131" s="30" t="str">
        <x:v>Сопоставлено с исходным заданием; вторичный ответник использован только для аудита.</x:v>
      </x:c>
      <x:c r="R6131" s="30" t="str">
        <x:v>MODEL_PARTIAL_OR_SECONDARY</x:v>
      </x:c>
      <x:c r="S6131" s="30"/>
      <x:c r="T6131" s="30"/>
      <x:c r="U6131" s="30" t="str">
        <x:v>Модель независимо дополнена там, где во внутреннем ответнике отсутствовали пункты.</x:v>
      </x:c>
      <x:c r="V6131" s="87" t="str">
        <x:v>VERIFIED</x:v>
      </x:c>
      <x:c r="W6131" s="87"/>
      <x:c r="X6131" s="87" t="n">
        <x:v>12</x:v>
      </x:c>
      <x:c r="Y6131" s="87"/>
      <x:c r="Z6131" s="87"/>
      <x:c r="AA6131" s="87"/>
      <x:c r="AB6131" s="87"/>
      <x:c r="AC6131" s="87" t="str">
        <x:v>VIS-EGKR-SOC-S26-TASK-957-P012</x:v>
      </x:c>
      <x:c r="AD6131" s="87" t="str">
        <x:v>VIS-EGKR-SOC-S26-ANSWERDOC-P008; VIS-EGKR-SOC-S26-ANSWERDOC-P009</x:v>
      </x:c>
      <x:c r="AE6131" s="87" t="str">
        <x:v>TASK; SECONDARY_ANSWER_SOURCE</x:v>
      </x:c>
      <x:c r="AF6131" s="87" t="str">
        <x:v>VIS-EGKR-SOC-S26-TASK-957-P012: 12; VIS-EGKR-SOC-S26-ANSWERDOC-P008: 8; VIS-EGKR-SOC-S26-ANSWERDOC-P009: 9</x:v>
      </x:c>
      <x:c r="AG6131" s="87" t="str">
        <x:v>RESOLVED</x:v>
      </x:c>
      <x:c r="AH6131" s="87" t="str">
        <x:v>CROP_VERIFIED</x:v>
      </x:c>
      <x:c r="AI6131" s="30"/>
      <x:c r="AJ6131" s="87" t="str">
        <x:v>clean</x:v>
      </x:c>
      <x:c r="AK6131" s="87" t="str">
        <x:v>clean-v0.20</x:v>
      </x:c>
      <x:c r="AL6131" s="87" t="str">
        <x:v>statgrad_clean_continuation_v0_20(1).xlsx</x:v>
      </x:c>
      <x:c r="AM6131" s="87" t="str">
        <x:v>SOC_EGKR_S26_957</x:v>
      </x:c>
      <x:c r="AN6131" s="87" t="n">
        <x:v>23</x:v>
      </x:c>
    </x:row>
    <x:row r="6132">
      <x:c r="A6132" s="87" t="n">
        <x:v>6131</x:v>
      </x:c>
      <x:c r="B6132" s="87" t="str">
        <x:v>EGKR-S26-SOC-957-23</x:v>
      </x:c>
      <x:c r="C6132" s="87" t="str">
        <x:v>ЕГКР</x:v>
      </x:c>
      <x:c r="D6132" s="87"/>
      <x:c r="E6132" s="87" t="str">
        <x:v>Весна 2026</x:v>
      </x:c>
      <x:c r="F6132" s="87" t="str">
        <x:v>26.03.2026</x:v>
      </x:c>
      <x:c r="G6132" s="87" t="str">
        <x:v>Обществознание</x:v>
      </x:c>
      <x:c r="H6132" s="87" t="n">
        <x:v>11</x:v>
      </x:c>
      <x:c r="I6132" s="87"/>
      <x:c r="J6132" s="87" t="str">
        <x:v>957</x:v>
      </x:c>
      <x:c r="K6132" s="87" t="n">
        <x:v>23</x:v>
      </x:c>
      <x:c r="L6132" s="87" t="str">
        <x:v>Развёрнутый ответ</x:v>
      </x:c>
      <x:c r="M6132" s="30" t="str">
        <x:v>Объяснить федеративное, демократическое государство и многообразие собственности.</x:v>
      </x:c>
      <x:c r="N6132" s="30" t="str">
        <x:v>Федерация состоит из субъектов, между которыми и федеральным центром разграничены предметы ведения и полномочия. Демократическое государство признаёт народ носителем суверенитета и источником власти, обеспечивает выборы и политические права. В России признаются и равным образом защищаются частная, государственная, муниципальная и иные формы собственности.</x:v>
      </x:c>
      <x:c r="O6132" s="30" t="str">
        <x:v>Рабочая модель включает все элементы, требуемые формулировкой.</x:v>
      </x:c>
      <x:c r="P6132" s="30"/>
      <x:c r="Q6132" s="30" t="str">
        <x:v>Сопоставлено с исходным заданием; вторичный ответник использован только для аудита.</x:v>
      </x:c>
      <x:c r="R6132" s="30" t="str">
        <x:v>MODEL_PARTIAL_OR_SECONDARY</x:v>
      </x:c>
      <x:c r="S6132" s="30"/>
      <x:c r="T6132" s="30"/>
      <x:c r="U6132" s="30" t="str">
        <x:v>Модель независимо дополнена там, где во внутреннем ответнике отсутствовали пункты.</x:v>
      </x:c>
      <x:c r="V6132" s="87" t="str">
        <x:v>VERIFIED</x:v>
      </x:c>
      <x:c r="W6132" s="87"/>
      <x:c r="X6132" s="87" t="n">
        <x:v>13</x:v>
      </x:c>
      <x:c r="Y6132" s="87"/>
      <x:c r="Z6132" s="87"/>
      <x:c r="AA6132" s="87"/>
      <x:c r="AB6132" s="87"/>
      <x:c r="AC6132" s="87" t="str">
        <x:v>VIS-EGKR-SOC-S26-TASK-957-P013</x:v>
      </x:c>
      <x:c r="AD6132" s="87" t="str">
        <x:v>VIS-EGKR-SOC-S26-ANSWERDOC-P008; VIS-EGKR-SOC-S26-ANSWERDOC-P009</x:v>
      </x:c>
      <x:c r="AE6132" s="87" t="str">
        <x:v>TASK; SECONDARY_ANSWER_SOURCE</x:v>
      </x:c>
      <x:c r="AF6132" s="87" t="str">
        <x:v>VIS-EGKR-SOC-S26-TASK-957-P013: 13; VIS-EGKR-SOC-S26-ANSWERDOC-P008: 8; VIS-EGKR-SOC-S26-ANSWERDOC-P009: 9</x:v>
      </x:c>
      <x:c r="AG6132" s="87" t="str">
        <x:v>RESOLVED</x:v>
      </x:c>
      <x:c r="AH6132" s="87" t="str">
        <x:v>CROP_VERIFIED</x:v>
      </x:c>
      <x:c r="AI6132" s="30"/>
      <x:c r="AJ6132" s="87" t="str">
        <x:v>clean</x:v>
      </x:c>
      <x:c r="AK6132" s="87" t="str">
        <x:v>clean-v0.20</x:v>
      </x:c>
      <x:c r="AL6132" s="87" t="str">
        <x:v>statgrad_clean_continuation_v0_20(1).xlsx</x:v>
      </x:c>
      <x:c r="AM6132" s="87" t="str">
        <x:v>SOC_EGKR_S26_957</x:v>
      </x:c>
      <x:c r="AN6132" s="87" t="n">
        <x:v>24</x:v>
      </x:c>
    </x:row>
    <x:row r="6133">
      <x:c r="A6133" s="87" t="n">
        <x:v>6132</x:v>
      </x:c>
      <x:c r="B6133" s="87" t="str">
        <x:v>EGKR-S26-SOC-957-24</x:v>
      </x:c>
      <x:c r="C6133" s="87" t="str">
        <x:v>ЕГКР</x:v>
      </x:c>
      <x:c r="D6133" s="87"/>
      <x:c r="E6133" s="87" t="str">
        <x:v>Весна 2026</x:v>
      </x:c>
      <x:c r="F6133" s="87" t="str">
        <x:v>26.03.2026</x:v>
      </x:c>
      <x:c r="G6133" s="87" t="str">
        <x:v>Обществознание</x:v>
      </x:c>
      <x:c r="H6133" s="87" t="n">
        <x:v>11</x:v>
      </x:c>
      <x:c r="I6133" s="87"/>
      <x:c r="J6133" s="87" t="str">
        <x:v>957</x:v>
      </x:c>
      <x:c r="K6133" s="87" t="n">
        <x:v>24</x:v>
      </x:c>
      <x:c r="L6133" s="87" t="str">
        <x:v>Развёрнутый ответ</x:v>
      </x:c>
      <x:c r="M6133" s="30" t="str">
        <x:v>Составить сложный план о глобализации.</x:v>
      </x:c>
      <x:c r="N6133" s="30" t="str">
        <x:v>1. Понятие и предпосылки глобализации. 2. Сферы: экономическая, политическая, информационная, культурная. 3. Формы проявления: мировые рынки, транснациональные корпорации, международные организации, глобальные коммуникации. 4. Положительные последствия: обмен технологиями, расширение сотрудничества, доступ к культурным достижениям. 5. Отрицательные последствия: неравномерность развития, зависимость экономик, унификация культуры, трансграничные угрозы. 6. Глобальные проблемы и международное сотрудничество.</x:v>
      </x:c>
      <x:c r="O6133" s="30" t="str">
        <x:v>Рабочая модель включает все элементы, требуемые формулировкой.</x:v>
      </x:c>
      <x:c r="P6133" s="30"/>
      <x:c r="Q6133" s="30" t="str">
        <x:v>Сопоставлено с исходным заданием; вторичный ответник использован только для аудита.</x:v>
      </x:c>
      <x:c r="R6133" s="30" t="str">
        <x:v>MODEL_PARTIAL_OR_SECONDARY</x:v>
      </x:c>
      <x:c r="S6133" s="30"/>
      <x:c r="T6133" s="30"/>
      <x:c r="U6133" s="30" t="str">
        <x:v>Модель независимо дополнена там, где во внутреннем ответнике отсутствовали пункты.</x:v>
      </x:c>
      <x:c r="V6133" s="87" t="str">
        <x:v>VERIFIED</x:v>
      </x:c>
      <x:c r="W6133" s="87"/>
      <x:c r="X6133" s="87" t="n">
        <x:v>13</x:v>
      </x:c>
      <x:c r="Y6133" s="87"/>
      <x:c r="Z6133" s="87"/>
      <x:c r="AA6133" s="87"/>
      <x:c r="AB6133" s="87"/>
      <x:c r="AC6133" s="87" t="str">
        <x:v>VIS-EGKR-SOC-S26-TASK-957-P013</x:v>
      </x:c>
      <x:c r="AD6133" s="87" t="str">
        <x:v>VIS-EGKR-SOC-S26-ANSWERDOC-P008; VIS-EGKR-SOC-S26-ANSWERDOC-P009</x:v>
      </x:c>
      <x:c r="AE6133" s="87" t="str">
        <x:v>TASK; SECONDARY_ANSWER_SOURCE</x:v>
      </x:c>
      <x:c r="AF6133" s="87" t="str">
        <x:v>VIS-EGKR-SOC-S26-TASK-957-P013: 13; VIS-EGKR-SOC-S26-ANSWERDOC-P008: 8; VIS-EGKR-SOC-S26-ANSWERDOC-P009: 9</x:v>
      </x:c>
      <x:c r="AG6133" s="87" t="str">
        <x:v>RESOLVED</x:v>
      </x:c>
      <x:c r="AH6133" s="87" t="str">
        <x:v>CROP_VERIFIED</x:v>
      </x:c>
      <x:c r="AI6133" s="30"/>
      <x:c r="AJ6133" s="87" t="str">
        <x:v>clean</x:v>
      </x:c>
      <x:c r="AK6133" s="87" t="str">
        <x:v>clean-v0.20</x:v>
      </x:c>
      <x:c r="AL6133" s="87" t="str">
        <x:v>statgrad_clean_continuation_v0_20(1).xlsx</x:v>
      </x:c>
      <x:c r="AM6133" s="87" t="str">
        <x:v>SOC_EGKR_S26_957</x:v>
      </x:c>
      <x:c r="AN6133" s="87" t="n">
        <x:v>25</x:v>
      </x:c>
    </x:row>
    <x:row r="6134">
      <x:c r="A6134" s="87" t="n">
        <x:v>6133</x:v>
      </x:c>
      <x:c r="B6134" s="87" t="str">
        <x:v>EGKR-S26-SOC-957-25</x:v>
      </x:c>
      <x:c r="C6134" s="87" t="str">
        <x:v>ЕГКР</x:v>
      </x:c>
      <x:c r="D6134" s="87"/>
      <x:c r="E6134" s="87" t="str">
        <x:v>Весна 2026</x:v>
      </x:c>
      <x:c r="F6134" s="87" t="str">
        <x:v>26.03.2026</x:v>
      </x:c>
      <x:c r="G6134" s="87" t="str">
        <x:v>Обществознание</x:v>
      </x:c>
      <x:c r="H6134" s="87" t="n">
        <x:v>11</x:v>
      </x:c>
      <x:c r="I6134" s="87"/>
      <x:c r="J6134" s="87" t="str">
        <x:v>957</x:v>
      </x:c>
      <x:c r="K6134" s="87" t="n">
        <x:v>25</x:v>
      </x:c>
      <x:c r="L6134" s="87" t="str">
        <x:v>Развёрнутый ответ</x:v>
      </x:c>
      <x:c r="M6134" s="30" t="str">
        <x:v>Обосновать личное участие в решении глобальных проблем и привести три примера.</x:v>
      </x:c>
      <x:c r="N6134" s="30" t="str">
        <x:v>Глобальные проблемы затрагивают всех людей, а повседневное поведение миллиардов граждан влияет на потребление ресурсов, экологию и общественную безопасность, поэтому одних действий государств недостаточно. Проблемы: изменение климата, международный терроризм, бедность и голод. Примеры: гражданин сокращает энергопотребление и сортирует отходы; жители сообщают о признаках радикализации и поддерживают профилактические программы; волонтёры участвуют в сборе средств и продовольствия для нуждающихся регионов.</x:v>
      </x:c>
      <x:c r="O6134" s="30" t="str">
        <x:v>Рабочая модель включает все элементы, требуемые формулировкой.</x:v>
      </x:c>
      <x:c r="P6134" s="30"/>
      <x:c r="Q6134" s="30" t="str">
        <x:v>Сопоставлено с исходным заданием; вторичный ответник использован только для аудита.</x:v>
      </x:c>
      <x:c r="R6134" s="30" t="str">
        <x:v>MODEL_PARTIAL_OR_SECONDARY</x:v>
      </x:c>
      <x:c r="S6134" s="30"/>
      <x:c r="T6134" s="30"/>
      <x:c r="U6134" s="30" t="str">
        <x:v>Модель независимо дополнена там, где во внутреннем ответнике отсутствовали пункты.</x:v>
      </x:c>
      <x:c r="V6134" s="87" t="str">
        <x:v>VERIFIED</x:v>
      </x:c>
      <x:c r="W6134" s="87"/>
      <x:c r="X6134" s="87" t="n">
        <x:v>13</x:v>
      </x:c>
      <x:c r="Y6134" s="87"/>
      <x:c r="Z6134" s="87"/>
      <x:c r="AA6134" s="87"/>
      <x:c r="AB6134" s="87"/>
      <x:c r="AC6134" s="87" t="str">
        <x:v>VIS-EGKR-SOC-S26-TASK-957-P013</x:v>
      </x:c>
      <x:c r="AD6134" s="87" t="str">
        <x:v>VIS-EGKR-SOC-S26-ANSWERDOC-P008; VIS-EGKR-SOC-S26-ANSWERDOC-P009</x:v>
      </x:c>
      <x:c r="AE6134" s="87" t="str">
        <x:v>TASK; SECONDARY_ANSWER_SOURCE</x:v>
      </x:c>
      <x:c r="AF6134" s="87" t="str">
        <x:v>VIS-EGKR-SOC-S26-TASK-957-P013: 13; VIS-EGKR-SOC-S26-ANSWERDOC-P008: 8; VIS-EGKR-SOC-S26-ANSWERDOC-P009: 9</x:v>
      </x:c>
      <x:c r="AG6134" s="87" t="str">
        <x:v>RESOLVED</x:v>
      </x:c>
      <x:c r="AH6134" s="87" t="str">
        <x:v>CROP_VERIFIED</x:v>
      </x:c>
      <x:c r="AI6134" s="30"/>
      <x:c r="AJ6134" s="87" t="str">
        <x:v>clean</x:v>
      </x:c>
      <x:c r="AK6134" s="87" t="str">
        <x:v>clean-v0.20</x:v>
      </x:c>
      <x:c r="AL6134" s="87" t="str">
        <x:v>statgrad_clean_continuation_v0_20(1).xlsx</x:v>
      </x:c>
      <x:c r="AM6134" s="87" t="str">
        <x:v>SOC_EGKR_S26_957</x:v>
      </x:c>
      <x:c r="AN6134" s="87" t="n">
        <x:v>26</x:v>
      </x:c>
    </x:row>
    <x:row r="6135">
      <x:c r="A6135" s="87" t="n">
        <x:v>6134</x:v>
      </x:c>
      <x:c r="B6135" s="87" t="str">
        <x:v>EGKR-S26-SOC-958-01</x:v>
      </x:c>
      <x:c r="C6135" s="87" t="str">
        <x:v>ЕГКР</x:v>
      </x:c>
      <x:c r="D6135" s="87"/>
      <x:c r="E6135" s="87" t="str">
        <x:v>Весна 2026</x:v>
      </x:c>
      <x:c r="F6135" s="87" t="str">
        <x:v>26.03.2026</x:v>
      </x:c>
      <x:c r="G6135" s="87" t="str">
        <x:v>Обществознание</x:v>
      </x:c>
      <x:c r="H6135" s="87" t="n">
        <x:v>11</x:v>
      </x:c>
      <x:c r="I6135" s="87"/>
      <x:c r="J6135" s="87" t="str">
        <x:v>958</x:v>
      </x:c>
      <x:c r="K6135" s="87" t="n">
        <x:v>1</x:v>
      </x:c>
      <x:c r="L6135" s="87" t="str">
        <x:v>Понятие / исключение из ряда</x:v>
      </x:c>
      <x:c r="M6135" s="30" t="str">
        <x:v>Задание 1 варианта 958. Полная формулировка сохранена на странице по VIS_ID.</x:v>
      </x:c>
      <x:c r="N6135" s="30" t="str">
        <x:v>12</x:v>
      </x:c>
      <x:c r="O6135" s="30" t="str">
        <x:v>Ответ проверен по исходной формулировке и обществоведческим понятиям.</x:v>
      </x:c>
      <x:c r="P6135" s="30"/>
      <x:c r="Q6135" s="30" t="str">
        <x:v>Независимая содержательная проверка; вторичный ответник хранится отдельно.</x:v>
      </x:c>
      <x:c r="R6135" s="30" t="str">
        <x:v>12</x:v>
      </x:c>
      <x:c r="S6135" s="30"/>
      <x:c r="T6135" s="30"/>
      <x:c r="U6135" s="30" t="str">
        <x:v>Ответник совпадает с независимой проверкой.</x:v>
      </x:c>
      <x:c r="V6135" s="87" t="str">
        <x:v>VERIFIED</x:v>
      </x:c>
      <x:c r="W6135" s="87"/>
      <x:c r="X6135" s="87" t="n">
        <x:v>2</x:v>
      </x:c>
      <x:c r="Y6135" s="87"/>
      <x:c r="Z6135" s="87"/>
      <x:c r="AA6135" s="87"/>
      <x:c r="AB6135" s="87"/>
      <x:c r="AC6135" s="87" t="str">
        <x:v>VIS-EGKR-SOC-S26-TASK-958-P002</x:v>
      </x:c>
      <x:c r="AD6135" s="87" t="str">
        <x:v>VIS-EGKR-SOC-S26-ANSWERDOC-P010; VIS-EGKR-SOC-S26-ANSWERDOC-P011; VIS-EGKR-SOC-S26-ANSWERDOC-P012</x:v>
      </x:c>
      <x:c r="AE6135" s="87" t="str">
        <x:v>TASK; SECONDARY_ANSWER_SOURCE</x:v>
      </x:c>
      <x:c r="AF6135" s="87" t="str">
        <x:v>VIS-EGKR-SOC-S26-TASK-958-P002: 2; VIS-EGKR-SOC-S26-ANSWERDOC-P010: 10; VIS-EGKR-SOC-S26-ANSWERDOC-P011: 11; VIS-EGKR-SOC-S26-ANSWERDOC-P012: 12</x:v>
      </x:c>
      <x:c r="AG6135" s="87" t="str">
        <x:v>RESOLVED</x:v>
      </x:c>
      <x:c r="AH6135" s="87" t="str">
        <x:v>CROP_VERIFIED</x:v>
      </x:c>
      <x:c r="AI6135" s="30"/>
      <x:c r="AJ6135" s="87" t="str">
        <x:v>clean</x:v>
      </x:c>
      <x:c r="AK6135" s="87" t="str">
        <x:v>clean-v0.20</x:v>
      </x:c>
      <x:c r="AL6135" s="87" t="str">
        <x:v>statgrad_clean_continuation_v0_20(1).xlsx</x:v>
      </x:c>
      <x:c r="AM6135" s="87" t="str">
        <x:v>SOC_EGKR_S26_958</x:v>
      </x:c>
      <x:c r="AN6135" s="87" t="n">
        <x:v>2</x:v>
      </x:c>
    </x:row>
    <x:row r="6136">
      <x:c r="A6136" s="87" t="n">
        <x:v>6135</x:v>
      </x:c>
      <x:c r="B6136" s="87" t="str">
        <x:v>EGKR-S26-SOC-958-02</x:v>
      </x:c>
      <x:c r="C6136" s="87" t="str">
        <x:v>ЕГКР</x:v>
      </x:c>
      <x:c r="D6136" s="87"/>
      <x:c r="E6136" s="87" t="str">
        <x:v>Весна 2026</x:v>
      </x:c>
      <x:c r="F6136" s="87" t="str">
        <x:v>26.03.2026</x:v>
      </x:c>
      <x:c r="G6136" s="87" t="str">
        <x:v>Обществознание</x:v>
      </x:c>
      <x:c r="H6136" s="87" t="n">
        <x:v>11</x:v>
      </x:c>
      <x:c r="I6136" s="87"/>
      <x:c r="J6136" s="87" t="str">
        <x:v>958</x:v>
      </x:c>
      <x:c r="K6136" s="87" t="n">
        <x:v>2</x:v>
      </x:c>
      <x:c r="L6136" s="87" t="str">
        <x:v>Теоретические суждения</x:v>
      </x:c>
      <x:c r="M6136" s="30" t="str">
        <x:v>Задание 2 варианта 958. Полная формулировка сохранена на странице по VIS_ID.</x:v>
      </x:c>
      <x:c r="N6136" s="30" t="str">
        <x:v>12</x:v>
      </x:c>
      <x:c r="O6136" s="30" t="str">
        <x:v>Ответ проверен по исходной формулировке и обществоведческим понятиям.</x:v>
      </x:c>
      <x:c r="P6136" s="30"/>
      <x:c r="Q6136" s="30" t="str">
        <x:v>Независимая содержательная проверка; вторичный ответник хранится отдельно.</x:v>
      </x:c>
      <x:c r="R6136" s="30" t="str">
        <x:v>12</x:v>
      </x:c>
      <x:c r="S6136" s="30"/>
      <x:c r="T6136" s="30"/>
      <x:c r="U6136" s="30" t="str">
        <x:v>Ответник совпадает с независимой проверкой.</x:v>
      </x:c>
      <x:c r="V6136" s="87" t="str">
        <x:v>VERIFIED</x:v>
      </x:c>
      <x:c r="W6136" s="87"/>
      <x:c r="X6136" s="87" t="n">
        <x:v>2</x:v>
      </x:c>
      <x:c r="Y6136" s="87"/>
      <x:c r="Z6136" s="87"/>
      <x:c r="AA6136" s="87"/>
      <x:c r="AB6136" s="87"/>
      <x:c r="AC6136" s="87" t="str">
        <x:v>VIS-EGKR-SOC-S26-TASK-958-P002</x:v>
      </x:c>
      <x:c r="AD6136" s="87" t="str">
        <x:v>VIS-EGKR-SOC-S26-ANSWERDOC-P010; VIS-EGKR-SOC-S26-ANSWERDOC-P011; VIS-EGKR-SOC-S26-ANSWERDOC-P012</x:v>
      </x:c>
      <x:c r="AE6136" s="87" t="str">
        <x:v>TASK; SECONDARY_ANSWER_SOURCE</x:v>
      </x:c>
      <x:c r="AF6136" s="87" t="str">
        <x:v>VIS-EGKR-SOC-S26-TASK-958-P002: 2; VIS-EGKR-SOC-S26-ANSWERDOC-P010: 10; VIS-EGKR-SOC-S26-ANSWERDOC-P011: 11; VIS-EGKR-SOC-S26-ANSWERDOC-P012: 12</x:v>
      </x:c>
      <x:c r="AG6136" s="87" t="str">
        <x:v>RESOLVED</x:v>
      </x:c>
      <x:c r="AH6136" s="87" t="str">
        <x:v>CROP_VERIFIED</x:v>
      </x:c>
      <x:c r="AI6136" s="30"/>
      <x:c r="AJ6136" s="87" t="str">
        <x:v>clean</x:v>
      </x:c>
      <x:c r="AK6136" s="87" t="str">
        <x:v>clean-v0.20</x:v>
      </x:c>
      <x:c r="AL6136" s="87" t="str">
        <x:v>statgrad_clean_continuation_v0_20(1).xlsx</x:v>
      </x:c>
      <x:c r="AM6136" s="87" t="str">
        <x:v>SOC_EGKR_S26_958</x:v>
      </x:c>
      <x:c r="AN6136" s="87" t="n">
        <x:v>3</x:v>
      </x:c>
    </x:row>
    <x:row r="6137">
      <x:c r="A6137" s="87" t="n">
        <x:v>6136</x:v>
      </x:c>
      <x:c r="B6137" s="87" t="str">
        <x:v>EGKR-S26-SOC-958-03</x:v>
      </x:c>
      <x:c r="C6137" s="87" t="str">
        <x:v>ЕГКР</x:v>
      </x:c>
      <x:c r="D6137" s="87"/>
      <x:c r="E6137" s="87" t="str">
        <x:v>Весна 2026</x:v>
      </x:c>
      <x:c r="F6137" s="87" t="str">
        <x:v>26.03.2026</x:v>
      </x:c>
      <x:c r="G6137" s="87" t="str">
        <x:v>Обществознание</x:v>
      </x:c>
      <x:c r="H6137" s="87" t="n">
        <x:v>11</x:v>
      </x:c>
      <x:c r="I6137" s="87"/>
      <x:c r="J6137" s="87" t="str">
        <x:v>958</x:v>
      </x:c>
      <x:c r="K6137" s="87" t="n">
        <x:v>3</x:v>
      </x:c>
      <x:c r="L6137" s="87" t="str">
        <x:v>Установление соответствия</x:v>
      </x:c>
      <x:c r="M6137" s="30" t="str">
        <x:v>Задание 3 варианта 958. Полная формулировка сохранена на странице по VIS_ID.</x:v>
      </x:c>
      <x:c r="N6137" s="30" t="str">
        <x:v>12423</x:v>
      </x:c>
      <x:c r="O6137" s="30" t="str">
        <x:v>Ответ проверен по исходной формулировке и обществоведческим понятиям.</x:v>
      </x:c>
      <x:c r="P6137" s="30"/>
      <x:c r="Q6137" s="30" t="str">
        <x:v>Независимая содержательная проверка; вторичный ответник хранится отдельно.</x:v>
      </x:c>
      <x:c r="R6137" s="30" t="str">
        <x:v>12423</x:v>
      </x:c>
      <x:c r="S6137" s="30"/>
      <x:c r="T6137" s="30"/>
      <x:c r="U6137" s="30" t="str">
        <x:v>Ответник совпадает с независимой проверкой.</x:v>
      </x:c>
      <x:c r="V6137" s="87" t="str">
        <x:v>VERIFIED</x:v>
      </x:c>
      <x:c r="W6137" s="87"/>
      <x:c r="X6137" s="87" t="n">
        <x:v>3</x:v>
      </x:c>
      <x:c r="Y6137" s="87"/>
      <x:c r="Z6137" s="87"/>
      <x:c r="AA6137" s="87"/>
      <x:c r="AB6137" s="87"/>
      <x:c r="AC6137" s="87" t="str">
        <x:v>VIS-EGKR-SOC-S26-TASK-958-P003</x:v>
      </x:c>
      <x:c r="AD6137" s="87" t="str">
        <x:v>VIS-EGKR-SOC-S26-ANSWERDOC-P010; VIS-EGKR-SOC-S26-ANSWERDOC-P011; VIS-EGKR-SOC-S26-ANSWERDOC-P012</x:v>
      </x:c>
      <x:c r="AE6137" s="87" t="str">
        <x:v>TASK; SECONDARY_ANSWER_SOURCE</x:v>
      </x:c>
      <x:c r="AF6137" s="87" t="str">
        <x:v>VIS-EGKR-SOC-S26-TASK-958-P003: 3; VIS-EGKR-SOC-S26-ANSWERDOC-P010: 10; VIS-EGKR-SOC-S26-ANSWERDOC-P011: 11; VIS-EGKR-SOC-S26-ANSWERDOC-P012: 12</x:v>
      </x:c>
      <x:c r="AG6137" s="87" t="str">
        <x:v>RESOLVED</x:v>
      </x:c>
      <x:c r="AH6137" s="87" t="str">
        <x:v>CROP_VERIFIED</x:v>
      </x:c>
      <x:c r="AI6137" s="30"/>
      <x:c r="AJ6137" s="87" t="str">
        <x:v>clean</x:v>
      </x:c>
      <x:c r="AK6137" s="87" t="str">
        <x:v>clean-v0.20</x:v>
      </x:c>
      <x:c r="AL6137" s="87" t="str">
        <x:v>statgrad_clean_continuation_v0_20(1).xlsx</x:v>
      </x:c>
      <x:c r="AM6137" s="87" t="str">
        <x:v>SOC_EGKR_S26_958</x:v>
      </x:c>
      <x:c r="AN6137" s="87" t="n">
        <x:v>4</x:v>
      </x:c>
    </x:row>
    <x:row r="6138">
      <x:c r="A6138" s="87" t="n">
        <x:v>6137</x:v>
      </x:c>
      <x:c r="B6138" s="87" t="str">
        <x:v>EGKR-S26-SOC-958-04</x:v>
      </x:c>
      <x:c r="C6138" s="87" t="str">
        <x:v>ЕГКР</x:v>
      </x:c>
      <x:c r="D6138" s="87"/>
      <x:c r="E6138" s="87" t="str">
        <x:v>Весна 2026</x:v>
      </x:c>
      <x:c r="F6138" s="87" t="str">
        <x:v>26.03.2026</x:v>
      </x:c>
      <x:c r="G6138" s="87" t="str">
        <x:v>Обществознание</x:v>
      </x:c>
      <x:c r="H6138" s="87" t="n">
        <x:v>11</x:v>
      </x:c>
      <x:c r="I6138" s="87"/>
      <x:c r="J6138" s="87" t="str">
        <x:v>958</x:v>
      </x:c>
      <x:c r="K6138" s="87" t="n">
        <x:v>4</x:v>
      </x:c>
      <x:c r="L6138" s="87" t="str">
        <x:v>Тип общества / духовная сфера</x:v>
      </x:c>
      <x:c r="M6138" s="30" t="str">
        <x:v>Задание 4 варианта 958. Полная формулировка сохранена на странице по VIS_ID.</x:v>
      </x:c>
      <x:c r="N6138" s="30" t="str">
        <x:v>145</x:v>
      </x:c>
      <x:c r="O6138" s="30" t="str">
        <x:v>Ответ проверен по исходной формулировке и обществоведческим понятиям.</x:v>
      </x:c>
      <x:c r="P6138" s="30"/>
      <x:c r="Q6138" s="30" t="str">
        <x:v>Независимая содержательная проверка; вторичный ответник хранится отдельно.</x:v>
      </x:c>
      <x:c r="R6138" s="30" t="str">
        <x:v>145</x:v>
      </x:c>
      <x:c r="S6138" s="30"/>
      <x:c r="T6138" s="30"/>
      <x:c r="U6138" s="30" t="str">
        <x:v>Ответник совпадает с независимой проверкой.</x:v>
      </x:c>
      <x:c r="V6138" s="87" t="str">
        <x:v>VERIFIED</x:v>
      </x:c>
      <x:c r="W6138" s="87"/>
      <x:c r="X6138" s="87" t="n">
        <x:v>3</x:v>
      </x:c>
      <x:c r="Y6138" s="87"/>
      <x:c r="Z6138" s="87"/>
      <x:c r="AA6138" s="87"/>
      <x:c r="AB6138" s="87"/>
      <x:c r="AC6138" s="87" t="str">
        <x:v>VIS-EGKR-SOC-S26-TASK-958-P003</x:v>
      </x:c>
      <x:c r="AD6138" s="87" t="str">
        <x:v>VIS-EGKR-SOC-S26-ANSWERDOC-P010; VIS-EGKR-SOC-S26-ANSWERDOC-P011; VIS-EGKR-SOC-S26-ANSWERDOC-P012</x:v>
      </x:c>
      <x:c r="AE6138" s="87" t="str">
        <x:v>TASK; SECONDARY_ANSWER_SOURCE</x:v>
      </x:c>
      <x:c r="AF6138" s="87" t="str">
        <x:v>VIS-EGKR-SOC-S26-TASK-958-P003: 3; VIS-EGKR-SOC-S26-ANSWERDOC-P010: 10; VIS-EGKR-SOC-S26-ANSWERDOC-P011: 11; VIS-EGKR-SOC-S26-ANSWERDOC-P012: 12</x:v>
      </x:c>
      <x:c r="AG6138" s="87" t="str">
        <x:v>RESOLVED</x:v>
      </x:c>
      <x:c r="AH6138" s="87" t="str">
        <x:v>CROP_VERIFIED</x:v>
      </x:c>
      <x:c r="AI6138" s="30"/>
      <x:c r="AJ6138" s="87" t="str">
        <x:v>clean</x:v>
      </x:c>
      <x:c r="AK6138" s="87" t="str">
        <x:v>clean-v0.20</x:v>
      </x:c>
      <x:c r="AL6138" s="87" t="str">
        <x:v>statgrad_clean_continuation_v0_20(1).xlsx</x:v>
      </x:c>
      <x:c r="AM6138" s="87" t="str">
        <x:v>SOC_EGKR_S26_958</x:v>
      </x:c>
      <x:c r="AN6138" s="87" t="n">
        <x:v>5</x:v>
      </x:c>
    </x:row>
    <x:row r="6139">
      <x:c r="A6139" s="87" t="n">
        <x:v>6138</x:v>
      </x:c>
      <x:c r="B6139" s="87" t="str">
        <x:v>EGKR-S26-SOC-958-05</x:v>
      </x:c>
      <x:c r="C6139" s="87" t="str">
        <x:v>ЕГКР</x:v>
      </x:c>
      <x:c r="D6139" s="87"/>
      <x:c r="E6139" s="87" t="str">
        <x:v>Весна 2026</x:v>
      </x:c>
      <x:c r="F6139" s="87" t="str">
        <x:v>26.03.2026</x:v>
      </x:c>
      <x:c r="G6139" s="87" t="str">
        <x:v>Обществознание</x:v>
      </x:c>
      <x:c r="H6139" s="87" t="n">
        <x:v>11</x:v>
      </x:c>
      <x:c r="I6139" s="87"/>
      <x:c r="J6139" s="87" t="str">
        <x:v>958</x:v>
      </x:c>
      <x:c r="K6139" s="87" t="n">
        <x:v>5</x:v>
      </x:c>
      <x:c r="L6139" s="87" t="str">
        <x:v>Экономические суждения</x:v>
      </x:c>
      <x:c r="M6139" s="30" t="str">
        <x:v>Задание 5 варианта 958. Полная формулировка сохранена на странице по VIS_ID.</x:v>
      </x:c>
      <x:c r="N6139" s="30" t="str">
        <x:v>145</x:v>
      </x:c>
      <x:c r="O6139" s="30" t="str">
        <x:v>Ответ проверен по исходной формулировке и обществоведческим понятиям.</x:v>
      </x:c>
      <x:c r="P6139" s="30"/>
      <x:c r="Q6139" s="30" t="str">
        <x:v>Независимая содержательная проверка; вторичный ответник хранится отдельно.</x:v>
      </x:c>
      <x:c r="R6139" s="30" t="str">
        <x:v>145</x:v>
      </x:c>
      <x:c r="S6139" s="30"/>
      <x:c r="T6139" s="30"/>
      <x:c r="U6139" s="30" t="str">
        <x:v>Ответник совпадает с независимой проверкой.</x:v>
      </x:c>
      <x:c r="V6139" s="87" t="str">
        <x:v>VERIFIED</x:v>
      </x:c>
      <x:c r="W6139" s="87"/>
      <x:c r="X6139" s="87" t="n">
        <x:v>4</x:v>
      </x:c>
      <x:c r="Y6139" s="87"/>
      <x:c r="Z6139" s="87"/>
      <x:c r="AA6139" s="87"/>
      <x:c r="AB6139" s="87"/>
      <x:c r="AC6139" s="87" t="str">
        <x:v>VIS-EGKR-SOC-S26-TASK-958-P004</x:v>
      </x:c>
      <x:c r="AD6139" s="87" t="str">
        <x:v>VIS-EGKR-SOC-S26-ANSWERDOC-P010; VIS-EGKR-SOC-S26-ANSWERDOC-P011; VIS-EGKR-SOC-S26-ANSWERDOC-P012</x:v>
      </x:c>
      <x:c r="AE6139" s="87" t="str">
        <x:v>TASK; SECONDARY_ANSWER_SOURCE</x:v>
      </x:c>
      <x:c r="AF6139" s="87" t="str">
        <x:v>VIS-EGKR-SOC-S26-TASK-958-P004: 4; VIS-EGKR-SOC-S26-ANSWERDOC-P010: 10; VIS-EGKR-SOC-S26-ANSWERDOC-P011: 11; VIS-EGKR-SOC-S26-ANSWERDOC-P012: 12</x:v>
      </x:c>
      <x:c r="AG6139" s="87" t="str">
        <x:v>RESOLVED</x:v>
      </x:c>
      <x:c r="AH6139" s="87" t="str">
        <x:v>CROP_VERIFIED</x:v>
      </x:c>
      <x:c r="AI6139" s="30"/>
      <x:c r="AJ6139" s="87" t="str">
        <x:v>clean</x:v>
      </x:c>
      <x:c r="AK6139" s="87" t="str">
        <x:v>clean-v0.20</x:v>
      </x:c>
      <x:c r="AL6139" s="87" t="str">
        <x:v>statgrad_clean_continuation_v0_20(1).xlsx</x:v>
      </x:c>
      <x:c r="AM6139" s="87" t="str">
        <x:v>SOC_EGKR_S26_958</x:v>
      </x:c>
      <x:c r="AN6139" s="87" t="n">
        <x:v>6</x:v>
      </x:c>
    </x:row>
    <x:row r="6140">
      <x:c r="A6140" s="87" t="n">
        <x:v>6139</x:v>
      </x:c>
      <x:c r="B6140" s="87" t="str">
        <x:v>EGKR-S26-SOC-958-06</x:v>
      </x:c>
      <x:c r="C6140" s="87" t="str">
        <x:v>ЕГКР</x:v>
      </x:c>
      <x:c r="D6140" s="87"/>
      <x:c r="E6140" s="87" t="str">
        <x:v>Весна 2026</x:v>
      </x:c>
      <x:c r="F6140" s="87" t="str">
        <x:v>26.03.2026</x:v>
      </x:c>
      <x:c r="G6140" s="87" t="str">
        <x:v>Обществознание</x:v>
      </x:c>
      <x:c r="H6140" s="87" t="n">
        <x:v>11</x:v>
      </x:c>
      <x:c r="I6140" s="87"/>
      <x:c r="J6140" s="87" t="str">
        <x:v>958</x:v>
      </x:c>
      <x:c r="K6140" s="87" t="n">
        <x:v>6</x:v>
      </x:c>
      <x:c r="L6140" s="87" t="str">
        <x:v>Экономическое соответствие</x:v>
      </x:c>
      <x:c r="M6140" s="30" t="str">
        <x:v>Задание 6 варианта 958. Полная формулировка сохранена на странице по VIS_ID.</x:v>
      </x:c>
      <x:c r="N6140" s="30" t="str">
        <x:v>11221</x:v>
      </x:c>
      <x:c r="O6140" s="30" t="str">
        <x:v>Ответ проверен по исходной формулировке и обществоведческим понятиям.</x:v>
      </x:c>
      <x:c r="P6140" s="30"/>
      <x:c r="Q6140" s="30" t="str">
        <x:v>Независимая содержательная проверка; вторичный ответник хранится отдельно.</x:v>
      </x:c>
      <x:c r="R6140" s="30" t="str">
        <x:v>11221</x:v>
      </x:c>
      <x:c r="S6140" s="30"/>
      <x:c r="T6140" s="30"/>
      <x:c r="U6140" s="30" t="str">
        <x:v>Ответник совпадает с независимой проверкой.</x:v>
      </x:c>
      <x:c r="V6140" s="87" t="str">
        <x:v>VERIFIED</x:v>
      </x:c>
      <x:c r="W6140" s="87"/>
      <x:c r="X6140" s="87" t="n">
        <x:v>4</x:v>
      </x:c>
      <x:c r="Y6140" s="87"/>
      <x:c r="Z6140" s="87"/>
      <x:c r="AA6140" s="87"/>
      <x:c r="AB6140" s="87"/>
      <x:c r="AC6140" s="87" t="str">
        <x:v>VIS-EGKR-SOC-S26-TASK-958-P004</x:v>
      </x:c>
      <x:c r="AD6140" s="87" t="str">
        <x:v>VIS-EGKR-SOC-S26-ANSWERDOC-P010; VIS-EGKR-SOC-S26-ANSWERDOC-P011; VIS-EGKR-SOC-S26-ANSWERDOC-P012</x:v>
      </x:c>
      <x:c r="AE6140" s="87" t="str">
        <x:v>TASK; SECONDARY_ANSWER_SOURCE</x:v>
      </x:c>
      <x:c r="AF6140" s="87" t="str">
        <x:v>VIS-EGKR-SOC-S26-TASK-958-P004: 4; VIS-EGKR-SOC-S26-ANSWERDOC-P010: 10; VIS-EGKR-SOC-S26-ANSWERDOC-P011: 11; VIS-EGKR-SOC-S26-ANSWERDOC-P012: 12</x:v>
      </x:c>
      <x:c r="AG6140" s="87" t="str">
        <x:v>RESOLVED</x:v>
      </x:c>
      <x:c r="AH6140" s="87" t="str">
        <x:v>CROP_VERIFIED</x:v>
      </x:c>
      <x:c r="AI6140" s="30"/>
      <x:c r="AJ6140" s="87" t="str">
        <x:v>clean</x:v>
      </x:c>
      <x:c r="AK6140" s="87" t="str">
        <x:v>clean-v0.20</x:v>
      </x:c>
      <x:c r="AL6140" s="87" t="str">
        <x:v>statgrad_clean_continuation_v0_20(1).xlsx</x:v>
      </x:c>
      <x:c r="AM6140" s="87" t="str">
        <x:v>SOC_EGKR_S26_958</x:v>
      </x:c>
      <x:c r="AN6140" s="87" t="n">
        <x:v>7</x:v>
      </x:c>
    </x:row>
    <x:row r="6141">
      <x:c r="A6141" s="87" t="n">
        <x:v>6140</x:v>
      </x:c>
      <x:c r="B6141" s="87" t="str">
        <x:v>EGKR-S26-SOC-958-07</x:v>
      </x:c>
      <x:c r="C6141" s="87" t="str">
        <x:v>ЕГКР</x:v>
      </x:c>
      <x:c r="D6141" s="87"/>
      <x:c r="E6141" s="87" t="str">
        <x:v>Весна 2026</x:v>
      </x:c>
      <x:c r="F6141" s="87" t="str">
        <x:v>26.03.2026</x:v>
      </x:c>
      <x:c r="G6141" s="87" t="str">
        <x:v>Обществознание</x:v>
      </x:c>
      <x:c r="H6141" s="87" t="n">
        <x:v>11</x:v>
      </x:c>
      <x:c r="I6141" s="87"/>
      <x:c r="J6141" s="87" t="str">
        <x:v>958</x:v>
      </x:c>
      <x:c r="K6141" s="87" t="n">
        <x:v>7</x:v>
      </x:c>
      <x:c r="L6141" s="87" t="str">
        <x:v>Финансовая грамотность / рынок</x:v>
      </x:c>
      <x:c r="M6141" s="30" t="str">
        <x:v>Задание 7 варианта 958. Полная формулировка сохранена на странице по VIS_ID.</x:v>
      </x:c>
      <x:c r="N6141" s="30" t="str">
        <x:v>126</x:v>
      </x:c>
      <x:c r="O6141" s="30" t="str">
        <x:v>Ответ проверен по исходной формулировке и обществоведческим понятиям.</x:v>
      </x:c>
      <x:c r="P6141" s="30"/>
      <x:c r="Q6141" s="30" t="str">
        <x:v>Независимая содержательная проверка; вторичный ответник хранится отдельно.</x:v>
      </x:c>
      <x:c r="R6141" s="30" t="str">
        <x:v>126</x:v>
      </x:c>
      <x:c r="S6141" s="30"/>
      <x:c r="T6141" s="30"/>
      <x:c r="U6141" s="30" t="str">
        <x:v>Ответник совпадает с независимой проверкой.</x:v>
      </x:c>
      <x:c r="V6141" s="87" t="str">
        <x:v>VERIFIED</x:v>
      </x:c>
      <x:c r="W6141" s="87"/>
      <x:c r="X6141" s="87" t="n">
        <x:v>5</x:v>
      </x:c>
      <x:c r="Y6141" s="87"/>
      <x:c r="Z6141" s="87"/>
      <x:c r="AA6141" s="87"/>
      <x:c r="AB6141" s="87"/>
      <x:c r="AC6141" s="87" t="str">
        <x:v>VIS-EGKR-SOC-S26-TASK-958-P005</x:v>
      </x:c>
      <x:c r="AD6141" s="87" t="str">
        <x:v>VIS-EGKR-SOC-S26-ANSWERDOC-P010; VIS-EGKR-SOC-S26-ANSWERDOC-P011; VIS-EGKR-SOC-S26-ANSWERDOC-P012</x:v>
      </x:c>
      <x:c r="AE6141" s="87" t="str">
        <x:v>TASK; SECONDARY_ANSWER_SOURCE</x:v>
      </x:c>
      <x:c r="AF6141" s="87" t="str">
        <x:v>VIS-EGKR-SOC-S26-TASK-958-P005: 5; VIS-EGKR-SOC-S26-ANSWERDOC-P010: 10; VIS-EGKR-SOC-S26-ANSWERDOC-P011: 11; VIS-EGKR-SOC-S26-ANSWERDOC-P012: 12</x:v>
      </x:c>
      <x:c r="AG6141" s="87" t="str">
        <x:v>RESOLVED</x:v>
      </x:c>
      <x:c r="AH6141" s="87" t="str">
        <x:v>CROP_VERIFIED</x:v>
      </x:c>
      <x:c r="AI6141" s="30"/>
      <x:c r="AJ6141" s="87" t="str">
        <x:v>clean</x:v>
      </x:c>
      <x:c r="AK6141" s="87" t="str">
        <x:v>clean-v0.20</x:v>
      </x:c>
      <x:c r="AL6141" s="87" t="str">
        <x:v>statgrad_clean_continuation_v0_20(1).xlsx</x:v>
      </x:c>
      <x:c r="AM6141" s="87" t="str">
        <x:v>SOC_EGKR_S26_958</x:v>
      </x:c>
      <x:c r="AN6141" s="87" t="n">
        <x:v>8</x:v>
      </x:c>
    </x:row>
    <x:row r="6142">
      <x:c r="A6142" s="87" t="n">
        <x:v>6141</x:v>
      </x:c>
      <x:c r="B6142" s="87" t="str">
        <x:v>EGKR-S26-SOC-958-08</x:v>
      </x:c>
      <x:c r="C6142" s="87" t="str">
        <x:v>ЕГКР</x:v>
      </x:c>
      <x:c r="D6142" s="87"/>
      <x:c r="E6142" s="87" t="str">
        <x:v>Весна 2026</x:v>
      </x:c>
      <x:c r="F6142" s="87" t="str">
        <x:v>26.03.2026</x:v>
      </x:c>
      <x:c r="G6142" s="87" t="str">
        <x:v>Обществознание</x:v>
      </x:c>
      <x:c r="H6142" s="87" t="n">
        <x:v>11</x:v>
      </x:c>
      <x:c r="I6142" s="87"/>
      <x:c r="J6142" s="87" t="str">
        <x:v>958</x:v>
      </x:c>
      <x:c r="K6142" s="87" t="n">
        <x:v>8</x:v>
      </x:c>
      <x:c r="L6142" s="87" t="str">
        <x:v>Социальная сфера</x:v>
      </x:c>
      <x:c r="M6142" s="30" t="str">
        <x:v>Задание 8 варианта 958. Полная формулировка сохранена на странице по VIS_ID.</x:v>
      </x:c>
      <x:c r="N6142" s="30" t="str">
        <x:v>145</x:v>
      </x:c>
      <x:c r="O6142" s="30" t="str">
        <x:v>Ответ проверен по исходной формулировке и обществоведческим понятиям.</x:v>
      </x:c>
      <x:c r="P6142" s="30"/>
      <x:c r="Q6142" s="30" t="str">
        <x:v>Независимая содержательная проверка; вторичный ответник хранится отдельно.</x:v>
      </x:c>
      <x:c r="R6142" s="30" t="str">
        <x:v>145</x:v>
      </x:c>
      <x:c r="S6142" s="30"/>
      <x:c r="T6142" s="30"/>
      <x:c r="U6142" s="30" t="str">
        <x:v>Ответник совпадает с независимой проверкой.</x:v>
      </x:c>
      <x:c r="V6142" s="87" t="str">
        <x:v>VERIFIED</x:v>
      </x:c>
      <x:c r="W6142" s="87"/>
      <x:c r="X6142" s="87" t="n">
        <x:v>5</x:v>
      </x:c>
      <x:c r="Y6142" s="87"/>
      <x:c r="Z6142" s="87"/>
      <x:c r="AA6142" s="87"/>
      <x:c r="AB6142" s="87"/>
      <x:c r="AC6142" s="87" t="str">
        <x:v>VIS-EGKR-SOC-S26-TASK-958-P005</x:v>
      </x:c>
      <x:c r="AD6142" s="87" t="str">
        <x:v>VIS-EGKR-SOC-S26-ANSWERDOC-P010; VIS-EGKR-SOC-S26-ANSWERDOC-P011; VIS-EGKR-SOC-S26-ANSWERDOC-P012</x:v>
      </x:c>
      <x:c r="AE6142" s="87" t="str">
        <x:v>TASK; SECONDARY_ANSWER_SOURCE</x:v>
      </x:c>
      <x:c r="AF6142" s="87" t="str">
        <x:v>VIS-EGKR-SOC-S26-TASK-958-P005: 5; VIS-EGKR-SOC-S26-ANSWERDOC-P010: 10; VIS-EGKR-SOC-S26-ANSWERDOC-P011: 11; VIS-EGKR-SOC-S26-ANSWERDOC-P012: 12</x:v>
      </x:c>
      <x:c r="AG6142" s="87" t="str">
        <x:v>RESOLVED</x:v>
      </x:c>
      <x:c r="AH6142" s="87" t="str">
        <x:v>CROP_VERIFIED</x:v>
      </x:c>
      <x:c r="AI6142" s="30"/>
      <x:c r="AJ6142" s="87" t="str">
        <x:v>clean</x:v>
      </x:c>
      <x:c r="AK6142" s="87" t="str">
        <x:v>clean-v0.20</x:v>
      </x:c>
      <x:c r="AL6142" s="87" t="str">
        <x:v>statgrad_clean_continuation_v0_20(1).xlsx</x:v>
      </x:c>
      <x:c r="AM6142" s="87" t="str">
        <x:v>SOC_EGKR_S26_958</x:v>
      </x:c>
      <x:c r="AN6142" s="87" t="n">
        <x:v>9</x:v>
      </x:c>
    </x:row>
    <x:row r="6143">
      <x:c r="A6143" s="87" t="n">
        <x:v>6142</x:v>
      </x:c>
      <x:c r="B6143" s="87" t="str">
        <x:v>EGKR-S26-SOC-958-09</x:v>
      </x:c>
      <x:c r="C6143" s="87" t="str">
        <x:v>ЕГКР</x:v>
      </x:c>
      <x:c r="D6143" s="87"/>
      <x:c r="E6143" s="87" t="str">
        <x:v>Весна 2026</x:v>
      </x:c>
      <x:c r="F6143" s="87" t="str">
        <x:v>26.03.2026</x:v>
      </x:c>
      <x:c r="G6143" s="87" t="str">
        <x:v>Обществознание</x:v>
      </x:c>
      <x:c r="H6143" s="87" t="n">
        <x:v>11</x:v>
      </x:c>
      <x:c r="I6143" s="87"/>
      <x:c r="J6143" s="87" t="str">
        <x:v>958</x:v>
      </x:c>
      <x:c r="K6143" s="87" t="n">
        <x:v>9</x:v>
      </x:c>
      <x:c r="L6143" s="87" t="str">
        <x:v>Анализ диаграммы</x:v>
      </x:c>
      <x:c r="M6143" s="30" t="str">
        <x:v>Задание 9 варианта 958. Полная формулировка сохранена на странице по VIS_ID.</x:v>
      </x:c>
      <x:c r="N6143" s="30" t="str">
        <x:v>245</x:v>
      </x:c>
      <x:c r="O6143" s="30" t="str">
        <x:v>Ответ проверен по исходной формулировке и обществоведческим понятиям.</x:v>
      </x:c>
      <x:c r="P6143" s="30"/>
      <x:c r="Q6143" s="30" t="str">
        <x:v>Независимая содержательная проверка; вторичный ответник хранится отдельно.</x:v>
      </x:c>
      <x:c r="R6143" s="30" t="str">
        <x:v>245</x:v>
      </x:c>
      <x:c r="S6143" s="30"/>
      <x:c r="T6143" s="30"/>
      <x:c r="U6143" s="30" t="str">
        <x:v>Ответник совпадает с независимой проверкой.</x:v>
      </x:c>
      <x:c r="V6143" s="87" t="str">
        <x:v>VERIFIED</x:v>
      </x:c>
      <x:c r="W6143" s="87"/>
      <x:c r="X6143" s="87" t="n">
        <x:v>6</x:v>
      </x:c>
      <x:c r="Y6143" s="87"/>
      <x:c r="Z6143" s="87"/>
      <x:c r="AA6143" s="87"/>
      <x:c r="AB6143" s="87"/>
      <x:c r="AC6143" s="87" t="str">
        <x:v>VIS-EGKR-SOC-S26-TASK-958-P006</x:v>
      </x:c>
      <x:c r="AD6143" s="87" t="str">
        <x:v>VIS-EGKR-SOC-S26-ANSWERDOC-P010; VIS-EGKR-SOC-S26-ANSWERDOC-P011; VIS-EGKR-SOC-S26-ANSWERDOC-P012</x:v>
      </x:c>
      <x:c r="AE6143" s="87" t="str">
        <x:v>TASK; SECONDARY_ANSWER_SOURCE</x:v>
      </x:c>
      <x:c r="AF6143" s="87" t="str">
        <x:v>VIS-EGKR-SOC-S26-TASK-958-P006: 6; VIS-EGKR-SOC-S26-ANSWERDOC-P010: 10; VIS-EGKR-SOC-S26-ANSWERDOC-P011: 11; VIS-EGKR-SOC-S26-ANSWERDOC-P012: 12</x:v>
      </x:c>
      <x:c r="AG6143" s="87" t="str">
        <x:v>RESOLVED</x:v>
      </x:c>
      <x:c r="AH6143" s="87" t="str">
        <x:v>CROP_VERIFIED</x:v>
      </x:c>
      <x:c r="AI6143" s="30"/>
      <x:c r="AJ6143" s="87" t="str">
        <x:v>clean</x:v>
      </x:c>
      <x:c r="AK6143" s="87" t="str">
        <x:v>clean-v0.20</x:v>
      </x:c>
      <x:c r="AL6143" s="87" t="str">
        <x:v>statgrad_clean_continuation_v0_20(1).xlsx</x:v>
      </x:c>
      <x:c r="AM6143" s="87" t="str">
        <x:v>SOC_EGKR_S26_958</x:v>
      </x:c>
      <x:c r="AN6143" s="87" t="n">
        <x:v>10</x:v>
      </x:c>
    </x:row>
    <x:row r="6144">
      <x:c r="A6144" s="87" t="n">
        <x:v>6143</x:v>
      </x:c>
      <x:c r="B6144" s="87" t="str">
        <x:v>EGKR-S26-SOC-958-10</x:v>
      </x:c>
      <x:c r="C6144" s="87" t="str">
        <x:v>ЕГКР</x:v>
      </x:c>
      <x:c r="D6144" s="87"/>
      <x:c r="E6144" s="87" t="str">
        <x:v>Весна 2026</x:v>
      </x:c>
      <x:c r="F6144" s="87" t="str">
        <x:v>26.03.2026</x:v>
      </x:c>
      <x:c r="G6144" s="87" t="str">
        <x:v>Обществознание</x:v>
      </x:c>
      <x:c r="H6144" s="87" t="n">
        <x:v>11</x:v>
      </x:c>
      <x:c r="I6144" s="87"/>
      <x:c r="J6144" s="87" t="str">
        <x:v>958</x:v>
      </x:c>
      <x:c r="K6144" s="87" t="n">
        <x:v>10</x:v>
      </x:c>
      <x:c r="L6144" s="87" t="str">
        <x:v>Политические суждения</x:v>
      </x:c>
      <x:c r="M6144" s="30" t="str">
        <x:v>Задание 10 варианта 958. Полная формулировка сохранена на странице по VIS_ID.</x:v>
      </x:c>
      <x:c r="N6144" s="30" t="str">
        <x:v>235</x:v>
      </x:c>
      <x:c r="O6144" s="30" t="str">
        <x:v>Ответ проверен по исходной формулировке и обществоведческим понятиям.</x:v>
      </x:c>
      <x:c r="P6144" s="30"/>
      <x:c r="Q6144" s="30" t="str">
        <x:v>Независимая содержательная проверка; вторичный ответник хранится отдельно.</x:v>
      </x:c>
      <x:c r="R6144" s="30" t="str">
        <x:v>235</x:v>
      </x:c>
      <x:c r="S6144" s="30"/>
      <x:c r="T6144" s="30"/>
      <x:c r="U6144" s="30" t="str">
        <x:v>Ответник совпадает с независимой проверкой.</x:v>
      </x:c>
      <x:c r="V6144" s="87" t="str">
        <x:v>VERIFIED</x:v>
      </x:c>
      <x:c r="W6144" s="87"/>
      <x:c r="X6144" s="87" t="n">
        <x:v>7</x:v>
      </x:c>
      <x:c r="Y6144" s="87"/>
      <x:c r="Z6144" s="87"/>
      <x:c r="AA6144" s="87"/>
      <x:c r="AB6144" s="87"/>
      <x:c r="AC6144" s="87" t="str">
        <x:v>VIS-EGKR-SOC-S26-TASK-958-P007</x:v>
      </x:c>
      <x:c r="AD6144" s="87" t="str">
        <x:v>VIS-EGKR-SOC-S26-ANSWERDOC-P010; VIS-EGKR-SOC-S26-ANSWERDOC-P011; VIS-EGKR-SOC-S26-ANSWERDOC-P012</x:v>
      </x:c>
      <x:c r="AE6144" s="87" t="str">
        <x:v>TASK; SECONDARY_ANSWER_SOURCE</x:v>
      </x:c>
      <x:c r="AF6144" s="87" t="str">
        <x:v>VIS-EGKR-SOC-S26-TASK-958-P007: 7; VIS-EGKR-SOC-S26-ANSWERDOC-P010: 10; VIS-EGKR-SOC-S26-ANSWERDOC-P011: 11; VIS-EGKR-SOC-S26-ANSWERDOC-P012: 12</x:v>
      </x:c>
      <x:c r="AG6144" s="87" t="str">
        <x:v>RESOLVED</x:v>
      </x:c>
      <x:c r="AH6144" s="87" t="str">
        <x:v>CROP_VERIFIED</x:v>
      </x:c>
      <x:c r="AI6144" s="30"/>
      <x:c r="AJ6144" s="87" t="str">
        <x:v>clean</x:v>
      </x:c>
      <x:c r="AK6144" s="87" t="str">
        <x:v>clean-v0.20</x:v>
      </x:c>
      <x:c r="AL6144" s="87" t="str">
        <x:v>statgrad_clean_continuation_v0_20(1).xlsx</x:v>
      </x:c>
      <x:c r="AM6144" s="87" t="str">
        <x:v>SOC_EGKR_S26_958</x:v>
      </x:c>
      <x:c r="AN6144" s="87" t="n">
        <x:v>11</x:v>
      </x:c>
    </x:row>
    <x:row r="6145">
      <x:c r="A6145" s="87" t="n">
        <x:v>6144</x:v>
      </x:c>
      <x:c r="B6145" s="87" t="str">
        <x:v>EGKR-S26-SOC-958-11</x:v>
      </x:c>
      <x:c r="C6145" s="87" t="str">
        <x:v>ЕГКР</x:v>
      </x:c>
      <x:c r="D6145" s="87"/>
      <x:c r="E6145" s="87" t="str">
        <x:v>Весна 2026</x:v>
      </x:c>
      <x:c r="F6145" s="87" t="str">
        <x:v>26.03.2026</x:v>
      </x:c>
      <x:c r="G6145" s="87" t="str">
        <x:v>Обществознание</x:v>
      </x:c>
      <x:c r="H6145" s="87" t="n">
        <x:v>11</x:v>
      </x:c>
      <x:c r="I6145" s="87"/>
      <x:c r="J6145" s="87" t="str">
        <x:v>958</x:v>
      </x:c>
      <x:c r="K6145" s="87" t="n">
        <x:v>11</x:v>
      </x:c>
      <x:c r="L6145" s="87" t="str">
        <x:v>Характеристика государства / выборов</x:v>
      </x:c>
      <x:c r="M6145" s="30" t="str">
        <x:v>Задание 11 варианта 958. Полная формулировка сохранена на странице по VIS_ID.</x:v>
      </x:c>
      <x:c r="N6145" s="30" t="str">
        <x:v>134</x:v>
      </x:c>
      <x:c r="O6145" s="30" t="str">
        <x:v>Ответ проверен по исходной формулировке и обществоведческим понятиям.</x:v>
      </x:c>
      <x:c r="P6145" s="30"/>
      <x:c r="Q6145" s="30" t="str">
        <x:v>Независимая содержательная проверка; вторичный ответник хранится отдельно.</x:v>
      </x:c>
      <x:c r="R6145" s="30" t="str">
        <x:v>134</x:v>
      </x:c>
      <x:c r="S6145" s="30"/>
      <x:c r="T6145" s="30"/>
      <x:c r="U6145" s="30" t="str">
        <x:v>Ответник совпадает с независимой проверкой.</x:v>
      </x:c>
      <x:c r="V6145" s="87" t="str">
        <x:v>VERIFIED</x:v>
      </x:c>
      <x:c r="W6145" s="87"/>
      <x:c r="X6145" s="87" t="n">
        <x:v>7</x:v>
      </x:c>
      <x:c r="Y6145" s="87"/>
      <x:c r="Z6145" s="87"/>
      <x:c r="AA6145" s="87"/>
      <x:c r="AB6145" s="87"/>
      <x:c r="AC6145" s="87" t="str">
        <x:v>VIS-EGKR-SOC-S26-TASK-958-P007</x:v>
      </x:c>
      <x:c r="AD6145" s="87" t="str">
        <x:v>VIS-EGKR-SOC-S26-ANSWERDOC-P010; VIS-EGKR-SOC-S26-ANSWERDOC-P011; VIS-EGKR-SOC-S26-ANSWERDOC-P012</x:v>
      </x:c>
      <x:c r="AE6145" s="87" t="str">
        <x:v>TASK; SECONDARY_ANSWER_SOURCE</x:v>
      </x:c>
      <x:c r="AF6145" s="87" t="str">
        <x:v>VIS-EGKR-SOC-S26-TASK-958-P007: 7; VIS-EGKR-SOC-S26-ANSWERDOC-P010: 10; VIS-EGKR-SOC-S26-ANSWERDOC-P011: 11; VIS-EGKR-SOC-S26-ANSWERDOC-P012: 12</x:v>
      </x:c>
      <x:c r="AG6145" s="87" t="str">
        <x:v>RESOLVED</x:v>
      </x:c>
      <x:c r="AH6145" s="87" t="str">
        <x:v>CROP_VERIFIED</x:v>
      </x:c>
      <x:c r="AI6145" s="30"/>
      <x:c r="AJ6145" s="87" t="str">
        <x:v>clean</x:v>
      </x:c>
      <x:c r="AK6145" s="87" t="str">
        <x:v>clean-v0.20</x:v>
      </x:c>
      <x:c r="AL6145" s="87" t="str">
        <x:v>statgrad_clean_continuation_v0_20(1).xlsx</x:v>
      </x:c>
      <x:c r="AM6145" s="87" t="str">
        <x:v>SOC_EGKR_S26_958</x:v>
      </x:c>
      <x:c r="AN6145" s="87" t="n">
        <x:v>12</x:v>
      </x:c>
    </x:row>
    <x:row r="6146">
      <x:c r="A6146" s="87" t="n">
        <x:v>6145</x:v>
      </x:c>
      <x:c r="B6146" s="87" t="str">
        <x:v>EGKR-S26-SOC-958-12</x:v>
      </x:c>
      <x:c r="C6146" s="87" t="str">
        <x:v>ЕГКР</x:v>
      </x:c>
      <x:c r="D6146" s="87"/>
      <x:c r="E6146" s="87" t="str">
        <x:v>Весна 2026</x:v>
      </x:c>
      <x:c r="F6146" s="87" t="str">
        <x:v>26.03.2026</x:v>
      </x:c>
      <x:c r="G6146" s="87" t="str">
        <x:v>Обществознание</x:v>
      </x:c>
      <x:c r="H6146" s="87" t="n">
        <x:v>11</x:v>
      </x:c>
      <x:c r="I6146" s="87"/>
      <x:c r="J6146" s="87" t="str">
        <x:v>958</x:v>
      </x:c>
      <x:c r="K6146" s="87" t="n">
        <x:v>12</x:v>
      </x:c>
      <x:c r="L6146" s="87" t="str">
        <x:v>Конституционное право</x:v>
      </x:c>
      <x:c r="M6146" s="30" t="str">
        <x:v>Задание 12 варианта 958. Полная формулировка сохранена на странице по VIS_ID.</x:v>
      </x:c>
      <x:c r="N6146" s="30" t="str">
        <x:v>135</x:v>
      </x:c>
      <x:c r="O6146" s="30" t="str">
        <x:v>Ответ проверен по исходной формулировке и обществоведческим понятиям.</x:v>
      </x:c>
      <x:c r="P6146" s="30"/>
      <x:c r="Q6146" s="30" t="str">
        <x:v>Независимая содержательная проверка; вторичный ответник хранится отдельно.</x:v>
      </x:c>
      <x:c r="R6146" s="30" t="str">
        <x:v>135</x:v>
      </x:c>
      <x:c r="S6146" s="30"/>
      <x:c r="T6146" s="30"/>
      <x:c r="U6146" s="30" t="str">
        <x:v>Ответник совпадает с независимой проверкой.</x:v>
      </x:c>
      <x:c r="V6146" s="87" t="str">
        <x:v>VERIFIED</x:v>
      </x:c>
      <x:c r="W6146" s="87"/>
      <x:c r="X6146" s="87" t="n">
        <x:v>8</x:v>
      </x:c>
      <x:c r="Y6146" s="87"/>
      <x:c r="Z6146" s="87"/>
      <x:c r="AA6146" s="87"/>
      <x:c r="AB6146" s="87"/>
      <x:c r="AC6146" s="87" t="str">
        <x:v>VIS-EGKR-SOC-S26-TASK-958-P008</x:v>
      </x:c>
      <x:c r="AD6146" s="87" t="str">
        <x:v>VIS-EGKR-SOC-S26-ANSWERDOC-P010; VIS-EGKR-SOC-S26-ANSWERDOC-P011; VIS-EGKR-SOC-S26-ANSWERDOC-P012</x:v>
      </x:c>
      <x:c r="AE6146" s="87" t="str">
        <x:v>TASK; SECONDARY_ANSWER_SOURCE</x:v>
      </x:c>
      <x:c r="AF6146" s="87" t="str">
        <x:v>VIS-EGKR-SOC-S26-TASK-958-P008: 8; VIS-EGKR-SOC-S26-ANSWERDOC-P010: 10; VIS-EGKR-SOC-S26-ANSWERDOC-P011: 11; VIS-EGKR-SOC-S26-ANSWERDOC-P012: 12</x:v>
      </x:c>
      <x:c r="AG6146" s="87" t="str">
        <x:v>RESOLVED</x:v>
      </x:c>
      <x:c r="AH6146" s="87" t="str">
        <x:v>CROP_VERIFIED</x:v>
      </x:c>
      <x:c r="AI6146" s="30"/>
      <x:c r="AJ6146" s="87" t="str">
        <x:v>clean</x:v>
      </x:c>
      <x:c r="AK6146" s="87" t="str">
        <x:v>clean-v0.20</x:v>
      </x:c>
      <x:c r="AL6146" s="87" t="str">
        <x:v>statgrad_clean_continuation_v0_20(1).xlsx</x:v>
      </x:c>
      <x:c r="AM6146" s="87" t="str">
        <x:v>SOC_EGKR_S26_958</x:v>
      </x:c>
      <x:c r="AN6146" s="87" t="n">
        <x:v>13</x:v>
      </x:c>
    </x:row>
    <x:row r="6147">
      <x:c r="A6147" s="87" t="n">
        <x:v>6146</x:v>
      </x:c>
      <x:c r="B6147" s="87" t="str">
        <x:v>EGKR-S26-SOC-958-13</x:v>
      </x:c>
      <x:c r="C6147" s="87" t="str">
        <x:v>ЕГКР</x:v>
      </x:c>
      <x:c r="D6147" s="87"/>
      <x:c r="E6147" s="87" t="str">
        <x:v>Весна 2026</x:v>
      </x:c>
      <x:c r="F6147" s="87" t="str">
        <x:v>26.03.2026</x:v>
      </x:c>
      <x:c r="G6147" s="87" t="str">
        <x:v>Обществознание</x:v>
      </x:c>
      <x:c r="H6147" s="87" t="n">
        <x:v>11</x:v>
      </x:c>
      <x:c r="I6147" s="87"/>
      <x:c r="J6147" s="87" t="str">
        <x:v>958</x:v>
      </x:c>
      <x:c r="K6147" s="87" t="n">
        <x:v>13</x:v>
      </x:c>
      <x:c r="L6147" s="87" t="str">
        <x:v>Государственная власть / ведение</x:v>
      </x:c>
      <x:c r="M6147" s="30" t="str">
        <x:v>Задание 13 варианта 958. Полная формулировка сохранена на странице по VIS_ID.</x:v>
      </x:c>
      <x:c r="N6147" s="30" t="str">
        <x:v>32112</x:v>
      </x:c>
      <x:c r="O6147" s="30" t="str">
        <x:v>Ответ проверен по исходной формулировке и обществоведческим понятиям.</x:v>
      </x:c>
      <x:c r="P6147" s="30"/>
      <x:c r="Q6147" s="30" t="str">
        <x:v>Независимая содержательная проверка; вторичный ответник хранится отдельно.</x:v>
      </x:c>
      <x:c r="R6147" s="30" t="str">
        <x:v>32112</x:v>
      </x:c>
      <x:c r="S6147" s="30"/>
      <x:c r="T6147" s="30"/>
      <x:c r="U6147" s="30" t="str">
        <x:v>Ответник совпадает с независимой проверкой.</x:v>
      </x:c>
      <x:c r="V6147" s="87" t="str">
        <x:v>VERIFIED</x:v>
      </x:c>
      <x:c r="W6147" s="87"/>
      <x:c r="X6147" s="87" t="n">
        <x:v>8</x:v>
      </x:c>
      <x:c r="Y6147" s="87"/>
      <x:c r="Z6147" s="87"/>
      <x:c r="AA6147" s="87"/>
      <x:c r="AB6147" s="87"/>
      <x:c r="AC6147" s="87" t="str">
        <x:v>VIS-EGKR-SOC-S26-TASK-958-P008</x:v>
      </x:c>
      <x:c r="AD6147" s="87" t="str">
        <x:v>VIS-EGKR-SOC-S26-ANSWERDOC-P010; VIS-EGKR-SOC-S26-ANSWERDOC-P011; VIS-EGKR-SOC-S26-ANSWERDOC-P012</x:v>
      </x:c>
      <x:c r="AE6147" s="87" t="str">
        <x:v>TASK; SECONDARY_ANSWER_SOURCE</x:v>
      </x:c>
      <x:c r="AF6147" s="87" t="str">
        <x:v>VIS-EGKR-SOC-S26-TASK-958-P008: 8; VIS-EGKR-SOC-S26-ANSWERDOC-P010: 10; VIS-EGKR-SOC-S26-ANSWERDOC-P011: 11; VIS-EGKR-SOC-S26-ANSWERDOC-P012: 12</x:v>
      </x:c>
      <x:c r="AG6147" s="87" t="str">
        <x:v>RESOLVED</x:v>
      </x:c>
      <x:c r="AH6147" s="87" t="str">
        <x:v>CROP_VERIFIED</x:v>
      </x:c>
      <x:c r="AI6147" s="30"/>
      <x:c r="AJ6147" s="87" t="str">
        <x:v>clean</x:v>
      </x:c>
      <x:c r="AK6147" s="87" t="str">
        <x:v>clean-v0.20</x:v>
      </x:c>
      <x:c r="AL6147" s="87" t="str">
        <x:v>statgrad_clean_continuation_v0_20(1).xlsx</x:v>
      </x:c>
      <x:c r="AM6147" s="87" t="str">
        <x:v>SOC_EGKR_S26_958</x:v>
      </x:c>
      <x:c r="AN6147" s="87" t="n">
        <x:v>14</x:v>
      </x:c>
    </x:row>
    <x:row r="6148">
      <x:c r="A6148" s="87" t="n">
        <x:v>6147</x:v>
      </x:c>
      <x:c r="B6148" s="87" t="str">
        <x:v>EGKR-S26-SOC-958-14</x:v>
      </x:c>
      <x:c r="C6148" s="87" t="str">
        <x:v>ЕГКР</x:v>
      </x:c>
      <x:c r="D6148" s="87"/>
      <x:c r="E6148" s="87" t="str">
        <x:v>Весна 2026</x:v>
      </x:c>
      <x:c r="F6148" s="87" t="str">
        <x:v>26.03.2026</x:v>
      </x:c>
      <x:c r="G6148" s="87" t="str">
        <x:v>Обществознание</x:v>
      </x:c>
      <x:c r="H6148" s="87" t="n">
        <x:v>11</x:v>
      </x:c>
      <x:c r="I6148" s="87"/>
      <x:c r="J6148" s="87" t="str">
        <x:v>958</x:v>
      </x:c>
      <x:c r="K6148" s="87" t="n">
        <x:v>14</x:v>
      </x:c>
      <x:c r="L6148" s="87" t="str">
        <x:v>Правовые суждения</x:v>
      </x:c>
      <x:c r="M6148" s="30" t="str">
        <x:v>Задание 14 варианта 958. Полная формулировка сохранена на странице по VIS_ID.</x:v>
      </x:c>
      <x:c r="N6148" s="30" t="str">
        <x:v>145</x:v>
      </x:c>
      <x:c r="O6148" s="30" t="str">
        <x:v>Ответ проверен по исходной формулировке и обществоведческим понятиям.</x:v>
      </x:c>
      <x:c r="P6148" s="30"/>
      <x:c r="Q6148" s="30" t="str">
        <x:v>Независимая содержательная проверка; вторичный ответник хранится отдельно.</x:v>
      </x:c>
      <x:c r="R6148" s="30" t="str">
        <x:v>145</x:v>
      </x:c>
      <x:c r="S6148" s="30"/>
      <x:c r="T6148" s="30"/>
      <x:c r="U6148" s="30" t="str">
        <x:v>Ответник совпадает с независимой проверкой.</x:v>
      </x:c>
      <x:c r="V6148" s="87" t="str">
        <x:v>VERIFIED</x:v>
      </x:c>
      <x:c r="W6148" s="87"/>
      <x:c r="X6148" s="87" t="n">
        <x:v>9</x:v>
      </x:c>
      <x:c r="Y6148" s="87"/>
      <x:c r="Z6148" s="87"/>
      <x:c r="AA6148" s="87"/>
      <x:c r="AB6148" s="87"/>
      <x:c r="AC6148" s="87" t="str">
        <x:v>VIS-EGKR-SOC-S26-TASK-958-P009</x:v>
      </x:c>
      <x:c r="AD6148" s="87" t="str">
        <x:v>VIS-EGKR-SOC-S26-ANSWERDOC-P010; VIS-EGKR-SOC-S26-ANSWERDOC-P011; VIS-EGKR-SOC-S26-ANSWERDOC-P012</x:v>
      </x:c>
      <x:c r="AE6148" s="87" t="str">
        <x:v>TASK; SECONDARY_ANSWER_SOURCE</x:v>
      </x:c>
      <x:c r="AF6148" s="87" t="str">
        <x:v>VIS-EGKR-SOC-S26-TASK-958-P009: 9; VIS-EGKR-SOC-S26-ANSWERDOC-P010: 10; VIS-EGKR-SOC-S26-ANSWERDOC-P011: 11; VIS-EGKR-SOC-S26-ANSWERDOC-P012: 12</x:v>
      </x:c>
      <x:c r="AG6148" s="87" t="str">
        <x:v>RESOLVED</x:v>
      </x:c>
      <x:c r="AH6148" s="87" t="str">
        <x:v>CROP_VERIFIED</x:v>
      </x:c>
      <x:c r="AI6148" s="30"/>
      <x:c r="AJ6148" s="87" t="str">
        <x:v>clean</x:v>
      </x:c>
      <x:c r="AK6148" s="87" t="str">
        <x:v>clean-v0.20</x:v>
      </x:c>
      <x:c r="AL6148" s="87" t="str">
        <x:v>statgrad_clean_continuation_v0_20(1).xlsx</x:v>
      </x:c>
      <x:c r="AM6148" s="87" t="str">
        <x:v>SOC_EGKR_S26_958</x:v>
      </x:c>
      <x:c r="AN6148" s="87" t="n">
        <x:v>15</x:v>
      </x:c>
    </x:row>
    <x:row r="6149">
      <x:c r="A6149" s="87" t="n">
        <x:v>6148</x:v>
      </x:c>
      <x:c r="B6149" s="87" t="str">
        <x:v>EGKR-S26-SOC-958-15</x:v>
      </x:c>
      <x:c r="C6149" s="87" t="str">
        <x:v>ЕГКР</x:v>
      </x:c>
      <x:c r="D6149" s="87"/>
      <x:c r="E6149" s="87" t="str">
        <x:v>Весна 2026</x:v>
      </x:c>
      <x:c r="F6149" s="87" t="str">
        <x:v>26.03.2026</x:v>
      </x:c>
      <x:c r="G6149" s="87" t="str">
        <x:v>Обществознание</x:v>
      </x:c>
      <x:c r="H6149" s="87" t="n">
        <x:v>11</x:v>
      </x:c>
      <x:c r="I6149" s="87"/>
      <x:c r="J6149" s="87" t="str">
        <x:v>958</x:v>
      </x:c>
      <x:c r="K6149" s="87" t="n">
        <x:v>15</x:v>
      </x:c>
      <x:c r="L6149" s="87" t="str">
        <x:v>Юридическое соответствие</x:v>
      </x:c>
      <x:c r="M6149" s="30" t="str">
        <x:v>Задание 15 варианта 958. Полная формулировка сохранена на странице по VIS_ID.</x:v>
      </x:c>
      <x:c r="N6149" s="30" t="str">
        <x:v>11323</x:v>
      </x:c>
      <x:c r="O6149" s="30" t="str">
        <x:v>Ответ проверен по исходной формулировке и обществоведческим понятиям.</x:v>
      </x:c>
      <x:c r="P6149" s="30"/>
      <x:c r="Q6149" s="30" t="str">
        <x:v>Независимая содержательная проверка; вторичный ответник хранится отдельно.</x:v>
      </x:c>
      <x:c r="R6149" s="30" t="str">
        <x:v>11323</x:v>
      </x:c>
      <x:c r="S6149" s="30"/>
      <x:c r="T6149" s="30"/>
      <x:c r="U6149" s="30" t="str">
        <x:v>Ответник совпадает с независимой проверкой.</x:v>
      </x:c>
      <x:c r="V6149" s="87" t="str">
        <x:v>VERIFIED</x:v>
      </x:c>
      <x:c r="W6149" s="87"/>
      <x:c r="X6149" s="87" t="n">
        <x:v>9</x:v>
      </x:c>
      <x:c r="Y6149" s="87"/>
      <x:c r="Z6149" s="87"/>
      <x:c r="AA6149" s="87"/>
      <x:c r="AB6149" s="87"/>
      <x:c r="AC6149" s="87" t="str">
        <x:v>VIS-EGKR-SOC-S26-TASK-958-P009</x:v>
      </x:c>
      <x:c r="AD6149" s="87" t="str">
        <x:v>VIS-EGKR-SOC-S26-ANSWERDOC-P010; VIS-EGKR-SOC-S26-ANSWERDOC-P011; VIS-EGKR-SOC-S26-ANSWERDOC-P012</x:v>
      </x:c>
      <x:c r="AE6149" s="87" t="str">
        <x:v>TASK; SECONDARY_ANSWER_SOURCE</x:v>
      </x:c>
      <x:c r="AF6149" s="87" t="str">
        <x:v>VIS-EGKR-SOC-S26-TASK-958-P009: 9; VIS-EGKR-SOC-S26-ANSWERDOC-P010: 10; VIS-EGKR-SOC-S26-ANSWERDOC-P011: 11; VIS-EGKR-SOC-S26-ANSWERDOC-P012: 12</x:v>
      </x:c>
      <x:c r="AG6149" s="87" t="str">
        <x:v>RESOLVED</x:v>
      </x:c>
      <x:c r="AH6149" s="87" t="str">
        <x:v>CROP_VERIFIED</x:v>
      </x:c>
      <x:c r="AI6149" s="30"/>
      <x:c r="AJ6149" s="87" t="str">
        <x:v>clean</x:v>
      </x:c>
      <x:c r="AK6149" s="87" t="str">
        <x:v>clean-v0.20</x:v>
      </x:c>
      <x:c r="AL6149" s="87" t="str">
        <x:v>statgrad_clean_continuation_v0_20(1).xlsx</x:v>
      </x:c>
      <x:c r="AM6149" s="87" t="str">
        <x:v>SOC_EGKR_S26_958</x:v>
      </x:c>
      <x:c r="AN6149" s="87" t="n">
        <x:v>16</x:v>
      </x:c>
    </x:row>
    <x:row r="6150">
      <x:c r="A6150" s="87" t="n">
        <x:v>6149</x:v>
      </x:c>
      <x:c r="B6150" s="87" t="str">
        <x:v>EGKR-S26-SOC-958-16</x:v>
      </x:c>
      <x:c r="C6150" s="87" t="str">
        <x:v>ЕГКР</x:v>
      </x:c>
      <x:c r="D6150" s="87"/>
      <x:c r="E6150" s="87" t="str">
        <x:v>Весна 2026</x:v>
      </x:c>
      <x:c r="F6150" s="87" t="str">
        <x:v>26.03.2026</x:v>
      </x:c>
      <x:c r="G6150" s="87" t="str">
        <x:v>Обществознание</x:v>
      </x:c>
      <x:c r="H6150" s="87" t="n">
        <x:v>11</x:v>
      </x:c>
      <x:c r="I6150" s="87"/>
      <x:c r="J6150" s="87" t="str">
        <x:v>958</x:v>
      </x:c>
      <x:c r="K6150" s="87" t="n">
        <x:v>16</x:v>
      </x:c>
      <x:c r="L6150" s="87" t="str">
        <x:v>Практическая правовая ситуация</x:v>
      </x:c>
      <x:c r="M6150" s="30" t="str">
        <x:v>Задание 16 варианта 958. Полная формулировка сохранена на странице по VIS_ID.</x:v>
      </x:c>
      <x:c r="N6150" s="30" t="str">
        <x:v>2456</x:v>
      </x:c>
      <x:c r="O6150" s="30" t="str">
        <x:v>Ответ проверен по исходной формулировке и обществоведческим понятиям.</x:v>
      </x:c>
      <x:c r="P6150" s="30"/>
      <x:c r="Q6150" s="30" t="str">
        <x:v>Независимая содержательная проверка; вторичный ответник хранится отдельно.</x:v>
      </x:c>
      <x:c r="R6150" s="30" t="str">
        <x:v>2456</x:v>
      </x:c>
      <x:c r="S6150" s="30"/>
      <x:c r="T6150" s="30"/>
      <x:c r="U6150" s="30" t="str">
        <x:v>Ответник совпадает с независимой проверкой.</x:v>
      </x:c>
      <x:c r="V6150" s="87" t="str">
        <x:v>VERIFIED</x:v>
      </x:c>
      <x:c r="W6150" s="87"/>
      <x:c r="X6150" s="87" t="n">
        <x:v>10</x:v>
      </x:c>
      <x:c r="Y6150" s="87"/>
      <x:c r="Z6150" s="87"/>
      <x:c r="AA6150" s="87"/>
      <x:c r="AB6150" s="87"/>
      <x:c r="AC6150" s="87" t="str">
        <x:v>VIS-EGKR-SOC-S26-TASK-958-P010</x:v>
      </x:c>
      <x:c r="AD6150" s="87" t="str">
        <x:v>VIS-EGKR-SOC-S26-ANSWERDOC-P010; VIS-EGKR-SOC-S26-ANSWERDOC-P011; VIS-EGKR-SOC-S26-ANSWERDOC-P012</x:v>
      </x:c>
      <x:c r="AE6150" s="87" t="str">
        <x:v>TASK; SECONDARY_ANSWER_SOURCE</x:v>
      </x:c>
      <x:c r="AF6150" s="87" t="str">
        <x:v>VIS-EGKR-SOC-S26-TASK-958-P010: 10; VIS-EGKR-SOC-S26-ANSWERDOC-P010: 10; VIS-EGKR-SOC-S26-ANSWERDOC-P011: 11; VIS-EGKR-SOC-S26-ANSWERDOC-P012: 12</x:v>
      </x:c>
      <x:c r="AG6150" s="87" t="str">
        <x:v>RESOLVED</x:v>
      </x:c>
      <x:c r="AH6150" s="87" t="str">
        <x:v>CROP_VERIFIED</x:v>
      </x:c>
      <x:c r="AI6150" s="30"/>
      <x:c r="AJ6150" s="87" t="str">
        <x:v>clean</x:v>
      </x:c>
      <x:c r="AK6150" s="87" t="str">
        <x:v>clean-v0.20</x:v>
      </x:c>
      <x:c r="AL6150" s="87" t="str">
        <x:v>statgrad_clean_continuation_v0_20(1).xlsx</x:v>
      </x:c>
      <x:c r="AM6150" s="87" t="str">
        <x:v>SOC_EGKR_S26_958</x:v>
      </x:c>
      <x:c r="AN6150" s="87" t="n">
        <x:v>17</x:v>
      </x:c>
    </x:row>
    <x:row r="6151">
      <x:c r="A6151" s="87" t="n">
        <x:v>6150</x:v>
      </x:c>
      <x:c r="B6151" s="87" t="str">
        <x:v>EGKR-S26-SOC-958-17</x:v>
      </x:c>
      <x:c r="C6151" s="87" t="str">
        <x:v>ЕГКР</x:v>
      </x:c>
      <x:c r="D6151" s="87"/>
      <x:c r="E6151" s="87" t="str">
        <x:v>Весна 2026</x:v>
      </x:c>
      <x:c r="F6151" s="87" t="str">
        <x:v>26.03.2026</x:v>
      </x:c>
      <x:c r="G6151" s="87" t="str">
        <x:v>Обществознание</x:v>
      </x:c>
      <x:c r="H6151" s="87" t="n">
        <x:v>11</x:v>
      </x:c>
      <x:c r="I6151" s="87"/>
      <x:c r="J6151" s="87" t="str">
        <x:v>958</x:v>
      </x:c>
      <x:c r="K6151" s="87" t="n">
        <x:v>17</x:v>
      </x:c>
      <x:c r="L6151" s="87" t="str">
        <x:v>Развёрнутый ответ</x:v>
      </x:c>
      <x:c r="M6151" s="30" t="str">
        <x:v>По тексту объяснить недолговечность, консерватизм и противоречивую оценку массовой культуры.</x:v>
      </x:c>
      <x:c r="N6151" s="30" t="str">
        <x:v>Продукция массовой культуры недолговечна, поскольку быстро реагирует на текущий спрос и исчезает вместе с ним. Её консерватизм проявляется в повторяющихся жанровых схемах и стандартизированной структуре. Оценка противоречива: массовая культура упрощает ценности и предлагает готовые ответы, но одновременно делает отдельные образцы высокой культуры доступными широкой аудитории.</x:v>
      </x:c>
      <x:c r="O6151" s="30" t="str">
        <x:v>Рабочая модель включает все элементы, требуемые формулировкой.</x:v>
      </x:c>
      <x:c r="P6151" s="30"/>
      <x:c r="Q6151" s="30" t="str">
        <x:v>Сопоставлено с исходным заданием; вторичный ответник использован только для аудита.</x:v>
      </x:c>
      <x:c r="R6151" s="30" t="str">
        <x:v>MODEL_PARTIAL_OR_SECONDARY</x:v>
      </x:c>
      <x:c r="S6151" s="30"/>
      <x:c r="T6151" s="30"/>
      <x:c r="U6151" s="30" t="str">
        <x:v>Модель независимо дополнена там, где во внутреннем ответнике отсутствовали пункты.</x:v>
      </x:c>
      <x:c r="V6151" s="87" t="str">
        <x:v>VERIFIED</x:v>
      </x:c>
      <x:c r="W6151" s="87"/>
      <x:c r="X6151" s="87" t="n">
        <x:v>11</x:v>
      </x:c>
      <x:c r="Y6151" s="87"/>
      <x:c r="Z6151" s="87"/>
      <x:c r="AA6151" s="87"/>
      <x:c r="AB6151" s="87"/>
      <x:c r="AC6151" s="87" t="str">
        <x:v>VIS-EGKR-SOC-S26-TASK-958-P011</x:v>
      </x:c>
      <x:c r="AD6151" s="87" t="str">
        <x:v>VIS-EGKR-SOC-S26-ANSWERDOC-P010; VIS-EGKR-SOC-S26-ANSWERDOC-P011; VIS-EGKR-SOC-S26-ANSWERDOC-P012</x:v>
      </x:c>
      <x:c r="AE6151" s="87" t="str">
        <x:v>TASK; SECONDARY_ANSWER_SOURCE</x:v>
      </x:c>
      <x:c r="AF6151" s="87" t="str">
        <x:v>VIS-EGKR-SOC-S26-TASK-958-P011: 11; VIS-EGKR-SOC-S26-ANSWERDOC-P010: 10; VIS-EGKR-SOC-S26-ANSWERDOC-P011: 11; VIS-EGKR-SOC-S26-ANSWERDOC-P012: 12</x:v>
      </x:c>
      <x:c r="AG6151" s="87" t="str">
        <x:v>RESOLVED</x:v>
      </x:c>
      <x:c r="AH6151" s="87" t="str">
        <x:v>CROP_VERIFIED</x:v>
      </x:c>
      <x:c r="AI6151" s="30"/>
      <x:c r="AJ6151" s="87" t="str">
        <x:v>clean</x:v>
      </x:c>
      <x:c r="AK6151" s="87" t="str">
        <x:v>clean-v0.20</x:v>
      </x:c>
      <x:c r="AL6151" s="87" t="str">
        <x:v>statgrad_clean_continuation_v0_20(1).xlsx</x:v>
      </x:c>
      <x:c r="AM6151" s="87" t="str">
        <x:v>SOC_EGKR_S26_958</x:v>
      </x:c>
      <x:c r="AN6151" s="87" t="n">
        <x:v>18</x:v>
      </x:c>
    </x:row>
    <x:row r="6152">
      <x:c r="A6152" s="87" t="n">
        <x:v>6151</x:v>
      </x:c>
      <x:c r="B6152" s="87" t="str">
        <x:v>EGKR-S26-SOC-958-18</x:v>
      </x:c>
      <x:c r="C6152" s="87" t="str">
        <x:v>ЕГКР</x:v>
      </x:c>
      <x:c r="D6152" s="87"/>
      <x:c r="E6152" s="87" t="str">
        <x:v>Весна 2026</x:v>
      </x:c>
      <x:c r="F6152" s="87" t="str">
        <x:v>26.03.2026</x:v>
      </x:c>
      <x:c r="G6152" s="87" t="str">
        <x:v>Обществознание</x:v>
      </x:c>
      <x:c r="H6152" s="87" t="n">
        <x:v>11</x:v>
      </x:c>
      <x:c r="I6152" s="87"/>
      <x:c r="J6152" s="87" t="str">
        <x:v>958</x:v>
      </x:c>
      <x:c r="K6152" s="87" t="n">
        <x:v>18</x:v>
      </x:c>
      <x:c r="L6152" s="87" t="str">
        <x:v>Развёрнутый ответ</x:v>
      </x:c>
      <x:c r="M6152" s="30" t="str">
        <x:v>Назвать характеристики духовных ценностей и связь культуры с распространением ценностей.</x:v>
      </x:c>
      <x:c r="N6152" s="30" t="str">
        <x:v>Духовные ценности имеют идеальный характер и выступают внутренне значимыми ориентирами личности. Массовая культура через доступные и повторяемые образы широко распространяет ценности потребления, успеха и развлечения, формируя массовые стандарты поведения.</x:v>
      </x:c>
      <x:c r="O6152" s="30" t="str">
        <x:v>Рабочая модель включает все элементы, требуемые формулировкой.</x:v>
      </x:c>
      <x:c r="P6152" s="30"/>
      <x:c r="Q6152" s="30" t="str">
        <x:v>Сопоставлено с исходным заданием; вторичный ответник использован только для аудита.</x:v>
      </x:c>
      <x:c r="R6152" s="30" t="str">
        <x:v>MODEL_PARTIAL_OR_SECONDARY</x:v>
      </x:c>
      <x:c r="S6152" s="30"/>
      <x:c r="T6152" s="30"/>
      <x:c r="U6152" s="30" t="str">
        <x:v>Модель независимо дополнена там, где во внутреннем ответнике отсутствовали пункты.</x:v>
      </x:c>
      <x:c r="V6152" s="87" t="str">
        <x:v>VERIFIED</x:v>
      </x:c>
      <x:c r="W6152" s="87"/>
      <x:c r="X6152" s="87" t="n">
        <x:v>11</x:v>
      </x:c>
      <x:c r="Y6152" s="87"/>
      <x:c r="Z6152" s="87"/>
      <x:c r="AA6152" s="87"/>
      <x:c r="AB6152" s="87"/>
      <x:c r="AC6152" s="87" t="str">
        <x:v>VIS-EGKR-SOC-S26-TASK-958-P011</x:v>
      </x:c>
      <x:c r="AD6152" s="87" t="str">
        <x:v>VIS-EGKR-SOC-S26-ANSWERDOC-P010; VIS-EGKR-SOC-S26-ANSWERDOC-P011; VIS-EGKR-SOC-S26-ANSWERDOC-P012</x:v>
      </x:c>
      <x:c r="AE6152" s="87" t="str">
        <x:v>TASK; SECONDARY_ANSWER_SOURCE</x:v>
      </x:c>
      <x:c r="AF6152" s="87" t="str">
        <x:v>VIS-EGKR-SOC-S26-TASK-958-P011: 11; VIS-EGKR-SOC-S26-ANSWERDOC-P010: 10; VIS-EGKR-SOC-S26-ANSWERDOC-P011: 11; VIS-EGKR-SOC-S26-ANSWERDOC-P012: 12</x:v>
      </x:c>
      <x:c r="AG6152" s="87" t="str">
        <x:v>RESOLVED</x:v>
      </x:c>
      <x:c r="AH6152" s="87" t="str">
        <x:v>CROP_VERIFIED</x:v>
      </x:c>
      <x:c r="AI6152" s="30"/>
      <x:c r="AJ6152" s="87" t="str">
        <x:v>clean</x:v>
      </x:c>
      <x:c r="AK6152" s="87" t="str">
        <x:v>clean-v0.20</x:v>
      </x:c>
      <x:c r="AL6152" s="87" t="str">
        <x:v>statgrad_clean_continuation_v0_20(1).xlsx</x:v>
      </x:c>
      <x:c r="AM6152" s="87" t="str">
        <x:v>SOC_EGKR_S26_958</x:v>
      </x:c>
      <x:c r="AN6152" s="87" t="n">
        <x:v>19</x:v>
      </x:c>
    </x:row>
    <x:row r="6153">
      <x:c r="A6153" s="87" t="n">
        <x:v>6152</x:v>
      </x:c>
      <x:c r="B6153" s="87" t="str">
        <x:v>EGKR-S26-SOC-958-19</x:v>
      </x:c>
      <x:c r="C6153" s="87" t="str">
        <x:v>ЕГКР</x:v>
      </x:c>
      <x:c r="D6153" s="87"/>
      <x:c r="E6153" s="87" t="str">
        <x:v>Весна 2026</x:v>
      </x:c>
      <x:c r="F6153" s="87" t="str">
        <x:v>26.03.2026</x:v>
      </x:c>
      <x:c r="G6153" s="87" t="str">
        <x:v>Обществознание</x:v>
      </x:c>
      <x:c r="H6153" s="87" t="n">
        <x:v>11</x:v>
      </x:c>
      <x:c r="I6153" s="87"/>
      <x:c r="J6153" s="87" t="str">
        <x:v>958</x:v>
      </x:c>
      <x:c r="K6153" s="87" t="n">
        <x:v>19</x:v>
      </x:c>
      <x:c r="L6153" s="87" t="str">
        <x:v>Развёрнутый ответ</x:v>
      </x:c>
      <x:c r="M6153" s="30" t="str">
        <x:v>Привести примеры потребительского характера массовой культуры в трёх жанрах.</x:v>
      </x:c>
      <x:c r="N6153" s="30" t="str">
        <x:v>Поп-музыка создаёт быстро сменяющиеся хиты, рассчитанные на краткую популярность. Киноблокбастеры используют зрелищность и шаблонные сюжеты ради массового проката. Глянцевые журналы постоянно обновляют стандарты моды и потребления, побуждая покупать новые товары и выпуски.</x:v>
      </x:c>
      <x:c r="O6153" s="30" t="str">
        <x:v>Рабочая модель включает все элементы, требуемые формулировкой.</x:v>
      </x:c>
      <x:c r="P6153" s="30"/>
      <x:c r="Q6153" s="30" t="str">
        <x:v>Сопоставлено с исходным заданием; вторичный ответник использован только для аудита.</x:v>
      </x:c>
      <x:c r="R6153" s="30" t="str">
        <x:v>MODEL_PARTIAL_OR_SECONDARY</x:v>
      </x:c>
      <x:c r="S6153" s="30"/>
      <x:c r="T6153" s="30"/>
      <x:c r="U6153" s="30" t="str">
        <x:v>Модель независимо дополнена там, где во внутреннем ответнике отсутствовали пункты.</x:v>
      </x:c>
      <x:c r="V6153" s="87" t="str">
        <x:v>VERIFIED</x:v>
      </x:c>
      <x:c r="W6153" s="87"/>
      <x:c r="X6153" s="87" t="n">
        <x:v>11</x:v>
      </x:c>
      <x:c r="Y6153" s="87"/>
      <x:c r="Z6153" s="87"/>
      <x:c r="AA6153" s="87"/>
      <x:c r="AB6153" s="87"/>
      <x:c r="AC6153" s="87" t="str">
        <x:v>VIS-EGKR-SOC-S26-TASK-958-P011</x:v>
      </x:c>
      <x:c r="AD6153" s="87" t="str">
        <x:v>VIS-EGKR-SOC-S26-ANSWERDOC-P010; VIS-EGKR-SOC-S26-ANSWERDOC-P011; VIS-EGKR-SOC-S26-ANSWERDOC-P012</x:v>
      </x:c>
      <x:c r="AE6153" s="87" t="str">
        <x:v>TASK; SECONDARY_ANSWER_SOURCE</x:v>
      </x:c>
      <x:c r="AF6153" s="87" t="str">
        <x:v>VIS-EGKR-SOC-S26-TASK-958-P011: 11; VIS-EGKR-SOC-S26-ANSWERDOC-P010: 10; VIS-EGKR-SOC-S26-ANSWERDOC-P011: 11; VIS-EGKR-SOC-S26-ANSWERDOC-P012: 12</x:v>
      </x:c>
      <x:c r="AG6153" s="87" t="str">
        <x:v>RESOLVED</x:v>
      </x:c>
      <x:c r="AH6153" s="87" t="str">
        <x:v>CROP_VERIFIED</x:v>
      </x:c>
      <x:c r="AI6153" s="30"/>
      <x:c r="AJ6153" s="87" t="str">
        <x:v>clean</x:v>
      </x:c>
      <x:c r="AK6153" s="87" t="str">
        <x:v>clean-v0.20</x:v>
      </x:c>
      <x:c r="AL6153" s="87" t="str">
        <x:v>statgrad_clean_continuation_v0_20(1).xlsx</x:v>
      </x:c>
      <x:c r="AM6153" s="87" t="str">
        <x:v>SOC_EGKR_S26_958</x:v>
      </x:c>
      <x:c r="AN6153" s="87" t="n">
        <x:v>20</x:v>
      </x:c>
    </x:row>
    <x:row r="6154">
      <x:c r="A6154" s="87" t="n">
        <x:v>6153</x:v>
      </x:c>
      <x:c r="B6154" s="87" t="str">
        <x:v>EGKR-S26-SOC-958-20</x:v>
      </x:c>
      <x:c r="C6154" s="87" t="str">
        <x:v>ЕГКР</x:v>
      </x:c>
      <x:c r="D6154" s="87"/>
      <x:c r="E6154" s="87" t="str">
        <x:v>Весна 2026</x:v>
      </x:c>
      <x:c r="F6154" s="87" t="str">
        <x:v>26.03.2026</x:v>
      </x:c>
      <x:c r="G6154" s="87" t="str">
        <x:v>Обществознание</x:v>
      </x:c>
      <x:c r="H6154" s="87" t="n">
        <x:v>11</x:v>
      </x:c>
      <x:c r="I6154" s="87"/>
      <x:c r="J6154" s="87" t="str">
        <x:v>958</x:v>
      </x:c>
      <x:c r="K6154" s="87" t="n">
        <x:v>20</x:v>
      </x:c>
      <x:c r="L6154" s="87" t="str">
        <x:v>Развёрнутый ответ</x:v>
      </x:c>
      <x:c r="M6154" s="30" t="str">
        <x:v>Привести три подтверждения возможного ущерба массовой культуры.</x:v>
      </x:c>
      <x:c r="N6154" s="30" t="str">
        <x:v>Стандартизация ориентируется на среднего потребителя и может снижать эстетические запросы. Готовые ответы и развлекательный контент формируют пассивное потребление и ослабляют критическое мышление. Коммерчески агрессивные продукты вытесняют народную и элитарную культуру, сокращая культурное разнообразие.</x:v>
      </x:c>
      <x:c r="O6154" s="30" t="str">
        <x:v>Рабочая модель включает все элементы, требуемые формулировкой.</x:v>
      </x:c>
      <x:c r="P6154" s="30"/>
      <x:c r="Q6154" s="30" t="str">
        <x:v>Сопоставлено с исходным заданием; вторичный ответник использован только для аудита.</x:v>
      </x:c>
      <x:c r="R6154" s="30" t="str">
        <x:v>MODEL_PARTIAL_OR_SECONDARY</x:v>
      </x:c>
      <x:c r="S6154" s="30"/>
      <x:c r="T6154" s="30"/>
      <x:c r="U6154" s="30" t="str">
        <x:v>Модель независимо дополнена там, где во внутреннем ответнике отсутствовали пункты.</x:v>
      </x:c>
      <x:c r="V6154" s="87" t="str">
        <x:v>VERIFIED</x:v>
      </x:c>
      <x:c r="W6154" s="87"/>
      <x:c r="X6154" s="87" t="n">
        <x:v>11</x:v>
      </x:c>
      <x:c r="Y6154" s="87"/>
      <x:c r="Z6154" s="87"/>
      <x:c r="AA6154" s="87"/>
      <x:c r="AB6154" s="87"/>
      <x:c r="AC6154" s="87" t="str">
        <x:v>VIS-EGKR-SOC-S26-TASK-958-P011</x:v>
      </x:c>
      <x:c r="AD6154" s="87" t="str">
        <x:v>VIS-EGKR-SOC-S26-ANSWERDOC-P010; VIS-EGKR-SOC-S26-ANSWERDOC-P011; VIS-EGKR-SOC-S26-ANSWERDOC-P012</x:v>
      </x:c>
      <x:c r="AE6154" s="87" t="str">
        <x:v>TASK; SECONDARY_ANSWER_SOURCE</x:v>
      </x:c>
      <x:c r="AF6154" s="87" t="str">
        <x:v>VIS-EGKR-SOC-S26-TASK-958-P011: 11; VIS-EGKR-SOC-S26-ANSWERDOC-P010: 10; VIS-EGKR-SOC-S26-ANSWERDOC-P011: 11; VIS-EGKR-SOC-S26-ANSWERDOC-P012: 12</x:v>
      </x:c>
      <x:c r="AG6154" s="87" t="str">
        <x:v>RESOLVED</x:v>
      </x:c>
      <x:c r="AH6154" s="87" t="str">
        <x:v>CROP_VERIFIED</x:v>
      </x:c>
      <x:c r="AI6154" s="30"/>
      <x:c r="AJ6154" s="87" t="str">
        <x:v>clean</x:v>
      </x:c>
      <x:c r="AK6154" s="87" t="str">
        <x:v>clean-v0.20</x:v>
      </x:c>
      <x:c r="AL6154" s="87" t="str">
        <x:v>statgrad_clean_continuation_v0_20(1).xlsx</x:v>
      </x:c>
      <x:c r="AM6154" s="87" t="str">
        <x:v>SOC_EGKR_S26_958</x:v>
      </x:c>
      <x:c r="AN6154" s="87" t="n">
        <x:v>21</x:v>
      </x:c>
    </x:row>
    <x:row r="6155">
      <x:c r="A6155" s="87" t="n">
        <x:v>6154</x:v>
      </x:c>
      <x:c r="B6155" s="87" t="str">
        <x:v>EGKR-S26-SOC-958-21</x:v>
      </x:c>
      <x:c r="C6155" s="87" t="str">
        <x:v>ЕГКР</x:v>
      </x:c>
      <x:c r="D6155" s="87"/>
      <x:c r="E6155" s="87" t="str">
        <x:v>Весна 2026</x:v>
      </x:c>
      <x:c r="F6155" s="87" t="str">
        <x:v>26.03.2026</x:v>
      </x:c>
      <x:c r="G6155" s="87" t="str">
        <x:v>Обществознание</x:v>
      </x:c>
      <x:c r="H6155" s="87" t="n">
        <x:v>11</x:v>
      </x:c>
      <x:c r="I6155" s="87"/>
      <x:c r="J6155" s="87" t="str">
        <x:v>958</x:v>
      </x:c>
      <x:c r="K6155" s="87" t="n">
        <x:v>21</x:v>
      </x:c>
      <x:c r="L6155" s="87" t="str">
        <x:v>Развёрнутый ответ</x:v>
      </x:c>
      <x:c r="M6155" s="30" t="str">
        <x:v>Проанализировать уменьшение спроса на кофе и появление новой плантации.</x:v>
      </x:c>
      <x:c r="N6155" s="30" t="str">
        <x:v>Равновесная цена снизилась, поскольку спрос сместился влево. Причиной могло стать распространение информации о вреде чрезмерного употребления кофе либо рост популярности заменителей, что сократило спрос. Новая кофейная плантация увеличит предложение и дополнительно снизит равновесную цену.</x:v>
      </x:c>
      <x:c r="O6155" s="30" t="str">
        <x:v>Рабочая модель включает все элементы, требуемые формулировкой.</x:v>
      </x:c>
      <x:c r="P6155" s="30"/>
      <x:c r="Q6155" s="30" t="str">
        <x:v>Сопоставлено с исходным заданием; вторичный ответник использован только для аудита.</x:v>
      </x:c>
      <x:c r="R6155" s="30" t="str">
        <x:v>MODEL_PARTIAL_OR_SECONDARY</x:v>
      </x:c>
      <x:c r="S6155" s="30"/>
      <x:c r="T6155" s="30"/>
      <x:c r="U6155" s="30" t="str">
        <x:v>Модель независимо дополнена там, где во внутреннем ответнике отсутствовали пункты.</x:v>
      </x:c>
      <x:c r="V6155" s="87" t="str">
        <x:v>VERIFIED</x:v>
      </x:c>
      <x:c r="W6155" s="87"/>
      <x:c r="X6155" s="87" t="n">
        <x:v>12</x:v>
      </x:c>
      <x:c r="Y6155" s="87"/>
      <x:c r="Z6155" s="87"/>
      <x:c r="AA6155" s="87"/>
      <x:c r="AB6155" s="87"/>
      <x:c r="AC6155" s="87" t="str">
        <x:v>VIS-EGKR-SOC-S26-TASK-958-P012</x:v>
      </x:c>
      <x:c r="AD6155" s="87" t="str">
        <x:v>VIS-EGKR-SOC-S26-ANSWERDOC-P010; VIS-EGKR-SOC-S26-ANSWERDOC-P011; VIS-EGKR-SOC-S26-ANSWERDOC-P012</x:v>
      </x:c>
      <x:c r="AE6155" s="87" t="str">
        <x:v>TASK; SECONDARY_ANSWER_SOURCE</x:v>
      </x:c>
      <x:c r="AF6155" s="87" t="str">
        <x:v>VIS-EGKR-SOC-S26-TASK-958-P012: 12; VIS-EGKR-SOC-S26-ANSWERDOC-P010: 10; VIS-EGKR-SOC-S26-ANSWERDOC-P011: 11; VIS-EGKR-SOC-S26-ANSWERDOC-P012: 12</x:v>
      </x:c>
      <x:c r="AG6155" s="87" t="str">
        <x:v>RESOLVED</x:v>
      </x:c>
      <x:c r="AH6155" s="87" t="str">
        <x:v>CROP_VERIFIED</x:v>
      </x:c>
      <x:c r="AI6155" s="30"/>
      <x:c r="AJ6155" s="87" t="str">
        <x:v>clean</x:v>
      </x:c>
      <x:c r="AK6155" s="87" t="str">
        <x:v>clean-v0.20</x:v>
      </x:c>
      <x:c r="AL6155" s="87" t="str">
        <x:v>statgrad_clean_continuation_v0_20(1).xlsx</x:v>
      </x:c>
      <x:c r="AM6155" s="87" t="str">
        <x:v>SOC_EGKR_S26_958</x:v>
      </x:c>
      <x:c r="AN6155" s="87" t="n">
        <x:v>22</x:v>
      </x:c>
    </x:row>
    <x:row r="6156">
      <x:c r="A6156" s="87" t="n">
        <x:v>6155</x:v>
      </x:c>
      <x:c r="B6156" s="87" t="str">
        <x:v>EGKR-S26-SOC-958-22</x:v>
      </x:c>
      <x:c r="C6156" s="87" t="str">
        <x:v>ЕГКР</x:v>
      </x:c>
      <x:c r="D6156" s="87"/>
      <x:c r="E6156" s="87" t="str">
        <x:v>Весна 2026</x:v>
      </x:c>
      <x:c r="F6156" s="87" t="str">
        <x:v>26.03.2026</x:v>
      </x:c>
      <x:c r="G6156" s="87" t="str">
        <x:v>Обществознание</x:v>
      </x:c>
      <x:c r="H6156" s="87" t="n">
        <x:v>11</x:v>
      </x:c>
      <x:c r="I6156" s="87"/>
      <x:c r="J6156" s="87" t="str">
        <x:v>958</x:v>
      </x:c>
      <x:c r="K6156" s="87" t="n">
        <x:v>22</x:v>
      </x:c>
      <x:c r="L6156" s="87" t="str">
        <x:v>Развёрнутый ответ</x:v>
      </x:c>
      <x:c r="M6156" s="30" t="str">
        <x:v>Определить оплату труда, федеральные налоги и особенности срочного вклада.</x:v>
      </x:c>
      <x:c r="N6156" s="30" t="str">
        <x:v>Фиксированный ежемесячный размер оплаты — повременная (окладная) система. НДФЛ — федеральный налог; к федеральным также относятся НДС и налог на прибыль организаций. Срочный вклад размещается на установленный срок и обычно имеет более высокую процентную ставку; досрочное снятие обычно ведёт к потере части процентов.</x:v>
      </x:c>
      <x:c r="O6156" s="30" t="str">
        <x:v>Рабочая модель включает все элементы, требуемые формулировкой.</x:v>
      </x:c>
      <x:c r="P6156" s="30"/>
      <x:c r="Q6156" s="30" t="str">
        <x:v>Сопоставлено с исходным заданием; вторичный ответник использован только для аудита.</x:v>
      </x:c>
      <x:c r="R6156" s="30" t="str">
        <x:v>MODEL_PARTIAL_OR_SECONDARY</x:v>
      </x:c>
      <x:c r="S6156" s="30"/>
      <x:c r="T6156" s="30"/>
      <x:c r="U6156" s="30" t="str">
        <x:v>Модель независимо дополнена там, где во внутреннем ответнике отсутствовали пункты.</x:v>
      </x:c>
      <x:c r="V6156" s="87" t="str">
        <x:v>VERIFIED</x:v>
      </x:c>
      <x:c r="W6156" s="87"/>
      <x:c r="X6156" s="87" t="n">
        <x:v>12</x:v>
      </x:c>
      <x:c r="Y6156" s="87"/>
      <x:c r="Z6156" s="87"/>
      <x:c r="AA6156" s="87"/>
      <x:c r="AB6156" s="87"/>
      <x:c r="AC6156" s="87" t="str">
        <x:v>VIS-EGKR-SOC-S26-TASK-958-P012</x:v>
      </x:c>
      <x:c r="AD6156" s="87" t="str">
        <x:v>VIS-EGKR-SOC-S26-ANSWERDOC-P010; VIS-EGKR-SOC-S26-ANSWERDOC-P011; VIS-EGKR-SOC-S26-ANSWERDOC-P012</x:v>
      </x:c>
      <x:c r="AE6156" s="87" t="str">
        <x:v>TASK; SECONDARY_ANSWER_SOURCE</x:v>
      </x:c>
      <x:c r="AF6156" s="87" t="str">
        <x:v>VIS-EGKR-SOC-S26-TASK-958-P012: 12; VIS-EGKR-SOC-S26-ANSWERDOC-P010: 10; VIS-EGKR-SOC-S26-ANSWERDOC-P011: 11; VIS-EGKR-SOC-S26-ANSWERDOC-P012: 12</x:v>
      </x:c>
      <x:c r="AG6156" s="87" t="str">
        <x:v>RESOLVED</x:v>
      </x:c>
      <x:c r="AH6156" s="87" t="str">
        <x:v>CROP_VERIFIED</x:v>
      </x:c>
      <x:c r="AI6156" s="30"/>
      <x:c r="AJ6156" s="87" t="str">
        <x:v>clean</x:v>
      </x:c>
      <x:c r="AK6156" s="87" t="str">
        <x:v>clean-v0.20</x:v>
      </x:c>
      <x:c r="AL6156" s="87" t="str">
        <x:v>statgrad_clean_continuation_v0_20(1).xlsx</x:v>
      </x:c>
      <x:c r="AM6156" s="87" t="str">
        <x:v>SOC_EGKR_S26_958</x:v>
      </x:c>
      <x:c r="AN6156" s="87" t="n">
        <x:v>23</x:v>
      </x:c>
    </x:row>
    <x:row r="6157">
      <x:c r="A6157" s="87" t="n">
        <x:v>6156</x:v>
      </x:c>
      <x:c r="B6157" s="87" t="str">
        <x:v>EGKR-S26-SOC-958-23</x:v>
      </x:c>
      <x:c r="C6157" s="87" t="str">
        <x:v>ЕГКР</x:v>
      </x:c>
      <x:c r="D6157" s="87"/>
      <x:c r="E6157" s="87" t="str">
        <x:v>Весна 2026</x:v>
      </x:c>
      <x:c r="F6157" s="87" t="str">
        <x:v>26.03.2026</x:v>
      </x:c>
      <x:c r="G6157" s="87" t="str">
        <x:v>Обществознание</x:v>
      </x:c>
      <x:c r="H6157" s="87" t="n">
        <x:v>11</x:v>
      </x:c>
      <x:c r="I6157" s="87"/>
      <x:c r="J6157" s="87" t="str">
        <x:v>958</x:v>
      </x:c>
      <x:c r="K6157" s="87" t="n">
        <x:v>23</x:v>
      </x:c>
      <x:c r="L6157" s="87" t="str">
        <x:v>Развёрнутый ответ</x:v>
      </x:c>
      <x:c r="M6157" s="30" t="str">
        <x:v>Объяснить конституционные основы статуса гражданина.</x:v>
      </x:c>
      <x:c r="N6157" s="30" t="str">
        <x:v>Права и свободы являются высшей ценностью, поэтому их признание, соблюдение и защита — обязанность государства. Государство гарантирует равенство прав независимо от личных и социальных признаков и запрещает дискриминацию. С 18 лет гражданин самостоятельно и в полном объёме осуществляет свои права и обязанности, если законом не установлены специальные исключения.</x:v>
      </x:c>
      <x:c r="O6157" s="30" t="str">
        <x:v>Рабочая модель включает все элементы, требуемые формулировкой.</x:v>
      </x:c>
      <x:c r="P6157" s="30"/>
      <x:c r="Q6157" s="30" t="str">
        <x:v>Сопоставлено с исходным заданием; вторичный ответник использован только для аудита.</x:v>
      </x:c>
      <x:c r="R6157" s="30" t="str">
        <x:v>MODEL_PARTIAL_OR_SECONDARY</x:v>
      </x:c>
      <x:c r="S6157" s="30"/>
      <x:c r="T6157" s="30"/>
      <x:c r="U6157" s="30" t="str">
        <x:v>Модель независимо дополнена там, где во внутреннем ответнике отсутствовали пункты.</x:v>
      </x:c>
      <x:c r="V6157" s="87" t="str">
        <x:v>VERIFIED</x:v>
      </x:c>
      <x:c r="W6157" s="87"/>
      <x:c r="X6157" s="87" t="n">
        <x:v>13</x:v>
      </x:c>
      <x:c r="Y6157" s="87"/>
      <x:c r="Z6157" s="87"/>
      <x:c r="AA6157" s="87"/>
      <x:c r="AB6157" s="87"/>
      <x:c r="AC6157" s="87" t="str">
        <x:v>VIS-EGKR-SOC-S26-TASK-958-P013</x:v>
      </x:c>
      <x:c r="AD6157" s="87" t="str">
        <x:v>VIS-EGKR-SOC-S26-ANSWERDOC-P010; VIS-EGKR-SOC-S26-ANSWERDOC-P011; VIS-EGKR-SOC-S26-ANSWERDOC-P012</x:v>
      </x:c>
      <x:c r="AE6157" s="87" t="str">
        <x:v>TASK; SECONDARY_ANSWER_SOURCE</x:v>
      </x:c>
      <x:c r="AF6157" s="87" t="str">
        <x:v>VIS-EGKR-SOC-S26-TASK-958-P013: 13; VIS-EGKR-SOC-S26-ANSWERDOC-P010: 10; VIS-EGKR-SOC-S26-ANSWERDOC-P011: 11; VIS-EGKR-SOC-S26-ANSWERDOC-P012: 12</x:v>
      </x:c>
      <x:c r="AG6157" s="87" t="str">
        <x:v>RESOLVED</x:v>
      </x:c>
      <x:c r="AH6157" s="87" t="str">
        <x:v>CROP_VERIFIED</x:v>
      </x:c>
      <x:c r="AI6157" s="30"/>
      <x:c r="AJ6157" s="87" t="str">
        <x:v>clean</x:v>
      </x:c>
      <x:c r="AK6157" s="87" t="str">
        <x:v>clean-v0.20</x:v>
      </x:c>
      <x:c r="AL6157" s="87" t="str">
        <x:v>statgrad_clean_continuation_v0_20(1).xlsx</x:v>
      </x:c>
      <x:c r="AM6157" s="87" t="str">
        <x:v>SOC_EGKR_S26_958</x:v>
      </x:c>
      <x:c r="AN6157" s="87" t="n">
        <x:v>24</x:v>
      </x:c>
    </x:row>
    <x:row r="6158">
      <x:c r="A6158" s="87" t="n">
        <x:v>6157</x:v>
      </x:c>
      <x:c r="B6158" s="87" t="str">
        <x:v>EGKR-S26-SOC-958-24</x:v>
      </x:c>
      <x:c r="C6158" s="87" t="str">
        <x:v>ЕГКР</x:v>
      </x:c>
      <x:c r="D6158" s="87"/>
      <x:c r="E6158" s="87" t="str">
        <x:v>Весна 2026</x:v>
      </x:c>
      <x:c r="F6158" s="87" t="str">
        <x:v>26.03.2026</x:v>
      </x:c>
      <x:c r="G6158" s="87" t="str">
        <x:v>Обществознание</x:v>
      </x:c>
      <x:c r="H6158" s="87" t="n">
        <x:v>11</x:v>
      </x:c>
      <x:c r="I6158" s="87"/>
      <x:c r="J6158" s="87" t="str">
        <x:v>958</x:v>
      </x:c>
      <x:c r="K6158" s="87" t="n">
        <x:v>24</x:v>
      </x:c>
      <x:c r="L6158" s="87" t="str">
        <x:v>Развёрнутый ответ</x:v>
      </x:c>
      <x:c r="M6158" s="30" t="str">
        <x:v>Составить сложный план о глобальных экологических проблемах.</x:v>
      </x:c>
      <x:c r="N6158" s="30" t="str">
        <x:v>1. Понятие и глобальный характер экологических проблем. 2. Основные виды: изменение климата, загрязнение океана и атмосферы, утрата биоразнообразия, истощение ресурсов. 3. Причины: индустриализация, рост потребления, нерациональное природопользование. 4. Последствия для здоровья, экономики и экосистем. 5. Направления решения: международные соглашения, зелёные технологии, охрана природы, экологическое образование. 6. Роль государств, бизнеса и граждан.</x:v>
      </x:c>
      <x:c r="O6158" s="30" t="str">
        <x:v>Рабочая модель включает все элементы, требуемые формулировкой.</x:v>
      </x:c>
      <x:c r="P6158" s="30"/>
      <x:c r="Q6158" s="30" t="str">
        <x:v>Сопоставлено с исходным заданием; вторичный ответник использован только для аудита.</x:v>
      </x:c>
      <x:c r="R6158" s="30" t="str">
        <x:v>MODEL_PARTIAL_OR_SECONDARY</x:v>
      </x:c>
      <x:c r="S6158" s="30"/>
      <x:c r="T6158" s="30"/>
      <x:c r="U6158" s="30" t="str">
        <x:v>Модель независимо дополнена там, где во внутреннем ответнике отсутствовали пункты.</x:v>
      </x:c>
      <x:c r="V6158" s="87" t="str">
        <x:v>VERIFIED</x:v>
      </x:c>
      <x:c r="W6158" s="87"/>
      <x:c r="X6158" s="87" t="n">
        <x:v>13</x:v>
      </x:c>
      <x:c r="Y6158" s="87"/>
      <x:c r="Z6158" s="87"/>
      <x:c r="AA6158" s="87"/>
      <x:c r="AB6158" s="87"/>
      <x:c r="AC6158" s="87" t="str">
        <x:v>VIS-EGKR-SOC-S26-TASK-958-P013</x:v>
      </x:c>
      <x:c r="AD6158" s="87" t="str">
        <x:v>VIS-EGKR-SOC-S26-ANSWERDOC-P010; VIS-EGKR-SOC-S26-ANSWERDOC-P011; VIS-EGKR-SOC-S26-ANSWERDOC-P012</x:v>
      </x:c>
      <x:c r="AE6158" s="87" t="str">
        <x:v>TASK; SECONDARY_ANSWER_SOURCE</x:v>
      </x:c>
      <x:c r="AF6158" s="87" t="str">
        <x:v>VIS-EGKR-SOC-S26-TASK-958-P013: 13; VIS-EGKR-SOC-S26-ANSWERDOC-P010: 10; VIS-EGKR-SOC-S26-ANSWERDOC-P011: 11; VIS-EGKR-SOC-S26-ANSWERDOC-P012: 12</x:v>
      </x:c>
      <x:c r="AG6158" s="87" t="str">
        <x:v>RESOLVED</x:v>
      </x:c>
      <x:c r="AH6158" s="87" t="str">
        <x:v>CROP_VERIFIED</x:v>
      </x:c>
      <x:c r="AI6158" s="30"/>
      <x:c r="AJ6158" s="87" t="str">
        <x:v>clean</x:v>
      </x:c>
      <x:c r="AK6158" s="87" t="str">
        <x:v>clean-v0.20</x:v>
      </x:c>
      <x:c r="AL6158" s="87" t="str">
        <x:v>statgrad_clean_continuation_v0_20(1).xlsx</x:v>
      </x:c>
      <x:c r="AM6158" s="87" t="str">
        <x:v>SOC_EGKR_S26_958</x:v>
      </x:c>
      <x:c r="AN6158" s="87" t="n">
        <x:v>25</x:v>
      </x:c>
    </x:row>
    <x:row r="6159">
      <x:c r="A6159" s="87" t="n">
        <x:v>6158</x:v>
      </x:c>
      <x:c r="B6159" s="87" t="str">
        <x:v>EGKR-S26-SOC-958-25</x:v>
      </x:c>
      <x:c r="C6159" s="87" t="str">
        <x:v>ЕГКР</x:v>
      </x:c>
      <x:c r="D6159" s="87"/>
      <x:c r="E6159" s="87" t="str">
        <x:v>Весна 2026</x:v>
      </x:c>
      <x:c r="F6159" s="87" t="str">
        <x:v>26.03.2026</x:v>
      </x:c>
      <x:c r="G6159" s="87" t="str">
        <x:v>Обществознание</x:v>
      </x:c>
      <x:c r="H6159" s="87" t="n">
        <x:v>11</x:v>
      </x:c>
      <x:c r="I6159" s="87"/>
      <x:c r="J6159" s="87" t="str">
        <x:v>958</x:v>
      </x:c>
      <x:c r="K6159" s="87" t="n">
        <x:v>25</x:v>
      </x:c>
      <x:c r="L6159" s="87" t="str">
        <x:v>Развёрнутый ответ</x:v>
      </x:c>
      <x:c r="M6159" s="30" t="str">
        <x:v>Обосновать международное сотрудничество и привести способы решения трёх экологических проблем.</x:v>
      </x:c>
      <x:c r="N6159" s="30" t="str">
        <x:v>Загрязнение и климатические процессы не ограничены государственными границами, поэтому отдельная страна не способна решить их самостоятельно; необходимы общие нормы, финансирование и обмен технологиями. Проблемы: изменение климата, загрязнение Мирового океана, сокращение биоразнообразия. Примеры решений: государства совместно сокращают выбросы и развивают возобновляемую энергетику; международные программы ограничивают пластиковые отходы и очищают акватории; страны создают трансграничные заповедники и координируют защиту редких видов.</x:v>
      </x:c>
      <x:c r="O6159" s="30" t="str">
        <x:v>Рабочая модель включает все элементы, требуемые формулировкой.</x:v>
      </x:c>
      <x:c r="P6159" s="30"/>
      <x:c r="Q6159" s="30" t="str">
        <x:v>Сопоставлено с исходным заданием; вторичный ответник использован только для аудита.</x:v>
      </x:c>
      <x:c r="R6159" s="30" t="str">
        <x:v>MODEL_PARTIAL_OR_SECONDARY</x:v>
      </x:c>
      <x:c r="S6159" s="30"/>
      <x:c r="T6159" s="30"/>
      <x:c r="U6159" s="30" t="str">
        <x:v>Модель независимо дополнена там, где во внутреннем ответнике отсутствовали пункты.</x:v>
      </x:c>
      <x:c r="V6159" s="87" t="str">
        <x:v>VERIFIED</x:v>
      </x:c>
      <x:c r="W6159" s="87"/>
      <x:c r="X6159" s="87" t="n">
        <x:v>13</x:v>
      </x:c>
      <x:c r="Y6159" s="87"/>
      <x:c r="Z6159" s="87"/>
      <x:c r="AA6159" s="87"/>
      <x:c r="AB6159" s="87"/>
      <x:c r="AC6159" s="87" t="str">
        <x:v>VIS-EGKR-SOC-S26-TASK-958-P013</x:v>
      </x:c>
      <x:c r="AD6159" s="87" t="str">
        <x:v>VIS-EGKR-SOC-S26-ANSWERDOC-P010; VIS-EGKR-SOC-S26-ANSWERDOC-P011; VIS-EGKR-SOC-S26-ANSWERDOC-P012</x:v>
      </x:c>
      <x:c r="AE6159" s="87" t="str">
        <x:v>TASK; SECONDARY_ANSWER_SOURCE</x:v>
      </x:c>
      <x:c r="AF6159" s="87" t="str">
        <x:v>VIS-EGKR-SOC-S26-TASK-958-P013: 13; VIS-EGKR-SOC-S26-ANSWERDOC-P010: 10; VIS-EGKR-SOC-S26-ANSWERDOC-P011: 11; VIS-EGKR-SOC-S26-ANSWERDOC-P012: 12</x:v>
      </x:c>
      <x:c r="AG6159" s="87" t="str">
        <x:v>RESOLVED</x:v>
      </x:c>
      <x:c r="AH6159" s="87" t="str">
        <x:v>CROP_VERIFIED</x:v>
      </x:c>
      <x:c r="AI6159" s="30"/>
      <x:c r="AJ6159" s="87" t="str">
        <x:v>clean</x:v>
      </x:c>
      <x:c r="AK6159" s="87" t="str">
        <x:v>clean-v0.20</x:v>
      </x:c>
      <x:c r="AL6159" s="87" t="str">
        <x:v>statgrad_clean_continuation_v0_20(1).xlsx</x:v>
      </x:c>
      <x:c r="AM6159" s="87" t="str">
        <x:v>SOC_EGKR_S26_958</x:v>
      </x:c>
      <x:c r="AN6159" s="87" t="n">
        <x:v>26</x:v>
      </x:c>
    </x:row>
    <x:row r="6160">
      <x:c r="A6160" s="87" t="n">
        <x:v>6159</x:v>
      </x:c>
      <x:c r="B6160" s="87" t="str">
        <x:v>EGKR-S26-MATHB-959-01</x:v>
      </x:c>
      <x:c r="C6160" s="87" t="str">
        <x:v>ЕГКР</x:v>
      </x:c>
      <x:c r="D6160" s="87"/>
      <x:c r="E6160" s="87" t="str">
        <x:v>Весна 2026</x:v>
      </x:c>
      <x:c r="F6160" s="87" t="str">
        <x:v>07.04.2026</x:v>
      </x:c>
      <x:c r="G6160" s="87" t="str">
        <x:v>Математика (база)</x:v>
      </x:c>
      <x:c r="H6160" s="87" t="n">
        <x:v>11</x:v>
      </x:c>
      <x:c r="I6160" s="87"/>
      <x:c r="J6160" s="87" t="str">
        <x:v>959</x:v>
      </x:c>
      <x:c r="K6160" s="87" t="n">
        <x:v>1</x:v>
      </x:c>
      <x:c r="L6160" s="87" t="str">
        <x:v>Практическая арифметика</x:v>
      </x:c>
      <x:c r="M6160" s="30" t="str">
        <x:v>166 человек нужно перевезти автобусами вместимостью не более 20 пассажиров.</x:v>
      </x:c>
      <x:c r="N6160" s="30" t="str">
        <x:v>9</x:v>
      </x:c>
      <x:c r="O6160" s="30" t="str">
        <x:v>ceil(166/20)=9.</x:v>
      </x:c>
      <x:c r="P6160" s="30"/>
      <x:c r="Q6160" s="30" t="str">
        <x:v>Независимый расчёт, визуальная страница и аудит внутреннего ответника.</x:v>
      </x:c>
      <x:c r="R6160" s="30" t="str">
        <x:v>MISSING</x:v>
      </x:c>
      <x:c r="S6160" s="30"/>
      <x:c r="T6160" s="30" t="str">
        <x:v>Локальный PDF; для повреждённых мест — PandaExam.</x:v>
      </x:c>
      <x:c r="U6160" s="30" t="str">
        <x:v>Ответ отсутствовал во внутреннем ответнике и восстановлен независимо.</x:v>
      </x:c>
      <x:c r="V6160" s="87" t="str">
        <x:v>SOURCE_GAP_RECOVERED</x:v>
      </x:c>
      <x:c r="W6160" s="87"/>
      <x:c r="X6160" s="87" t="n">
        <x:v>2</x:v>
      </x:c>
      <x:c r="Y6160" s="87"/>
      <x:c r="Z6160" s="87"/>
      <x:c r="AA6160" s="87"/>
      <x:c r="AB6160" s="87"/>
      <x:c r="AC6160" s="87" t="str">
        <x:v>VIS-EGKR-MATHB-S26-TASK-959-P002</x:v>
      </x:c>
      <x:c r="AD6160" s="87" t="str">
        <x:v>VIS-EGKR-MATHB-S26-ANSWERDOC-P001</x:v>
      </x:c>
      <x:c r="AE6160" s="87" t="str">
        <x:v>TASK; SECONDARY_ANSWER_SOURCE</x:v>
      </x:c>
      <x:c r="AF6160" s="87" t="str">
        <x:v>VIS-EGKR-MATHB-S26-TASK-959-P002: 2; VIS-EGKR-MATHB-S26-ANSWERDOC-P001: 1</x:v>
      </x:c>
      <x:c r="AG6160" s="87" t="str">
        <x:v>RESOLVED</x:v>
      </x:c>
      <x:c r="AH6160" s="87" t="str">
        <x:v>CROP_VERIFIED</x:v>
      </x:c>
      <x:c r="AI6160" s="30"/>
      <x:c r="AJ6160" s="87" t="str">
        <x:v>clean</x:v>
      </x:c>
      <x:c r="AK6160" s="87" t="str">
        <x:v>clean-v0.21</x:v>
      </x:c>
      <x:c r="AL6160" s="87" t="str">
        <x:v>statgrad_clean_continuation_v0_21(1).xlsx</x:v>
      </x:c>
      <x:c r="AM6160" s="87" t="str">
        <x:v>MATHB_S26_959</x:v>
      </x:c>
      <x:c r="AN6160" s="87" t="n">
        <x:v>2</x:v>
      </x:c>
    </x:row>
    <x:row r="6161">
      <x:c r="A6161" s="87" t="n">
        <x:v>6160</x:v>
      </x:c>
      <x:c r="B6161" s="87" t="str">
        <x:v>EGKR-S26-MATHB-959-02</x:v>
      </x:c>
      <x:c r="C6161" s="87" t="str">
        <x:v>ЕГКР</x:v>
      </x:c>
      <x:c r="D6161" s="87"/>
      <x:c r="E6161" s="87" t="str">
        <x:v>Весна 2026</x:v>
      </x:c>
      <x:c r="F6161" s="87" t="str">
        <x:v>07.04.2026</x:v>
      </x:c>
      <x:c r="G6161" s="87" t="str">
        <x:v>Математика (база)</x:v>
      </x:c>
      <x:c r="H6161" s="87" t="n">
        <x:v>11</x:v>
      </x:c>
      <x:c r="I6161" s="87"/>
      <x:c r="J6161" s="87" t="str">
        <x:v>959</x:v>
      </x:c>
      <x:c r="K6161" s="87" t="n">
        <x:v>2</x:v>
      </x:c>
      <x:c r="L6161" s="87" t="str">
        <x:v>Установление соответствия величин</x:v>
      </x:c>
      <x:c r="M6161" s="30" t="str">
        <x:v>Соотнести объёмы Байкала, пакета кефира, бассейна и ящика с четырьмя значениями. В локальном PDF номера значений пропущены; порядок восстановлен по внешней публикации.</x:v>
      </x:c>
      <x:c r="N6161" s="30" t="str">
        <x:v>2143</x:v>
      </x:c>
      <x:c r="O6161" s="30" t="str">
        <x:v>По опубликованной нумерации: Байкал→2, кефир→1, бассейн→4, ящик→3.</x:v>
      </x:c>
      <x:c r="P6161" s="30"/>
      <x:c r="Q6161" s="30" t="str">
        <x:v>Независимый расчёт, визуальная страница и аудит внутреннего ответника.</x:v>
      </x:c>
      <x:c r="R6161" s="30" t="str">
        <x:v>MISSING</x:v>
      </x:c>
      <x:c r="S6161" s="30"/>
      <x:c r="T6161" s="30" t="str">
        <x:v>Локальный PDF; для повреждённых мест — PandaExam.</x:v>
      </x:c>
      <x:c r="U6161" s="30" t="str">
        <x:v>Формулировка повреждена; рабочая версия и ответ восстановлены по структуре задания и внешней публикации.</x:v>
      </x:c>
      <x:c r="V6161" s="87" t="str">
        <x:v>TASK_DEFECT_RECOVERED</x:v>
      </x:c>
      <x:c r="W6161" s="87"/>
      <x:c r="X6161" s="87" t="n">
        <x:v>2</x:v>
      </x:c>
      <x:c r="Y6161" s="87"/>
      <x:c r="Z6161" s="87"/>
      <x:c r="AA6161" s="87"/>
      <x:c r="AB6161" s="87"/>
      <x:c r="AC6161" s="87" t="str">
        <x:v>VIS-EGKR-MATHB-S26-TASK-959-P002</x:v>
      </x:c>
      <x:c r="AD6161" s="87" t="str">
        <x:v>VIS-EGKR-MATHB-S26-ANSWERDOC-P001</x:v>
      </x:c>
      <x:c r="AE6161" s="87" t="str">
        <x:v>TASK; SECONDARY_ANSWER_SOURCE</x:v>
      </x:c>
      <x:c r="AF6161" s="87" t="str">
        <x:v>VIS-EGKR-MATHB-S26-TASK-959-P002: 2; VIS-EGKR-MATHB-S26-ANSWERDOC-P001: 1</x:v>
      </x:c>
      <x:c r="AG6161" s="87" t="str">
        <x:v>RESOLVED</x:v>
      </x:c>
      <x:c r="AH6161" s="87" t="str">
        <x:v>CROP_VERIFIED</x:v>
      </x:c>
      <x:c r="AI6161" s="30"/>
      <x:c r="AJ6161" s="87" t="str">
        <x:v>clean</x:v>
      </x:c>
      <x:c r="AK6161" s="87" t="str">
        <x:v>clean-v0.21</x:v>
      </x:c>
      <x:c r="AL6161" s="87" t="str">
        <x:v>statgrad_clean_continuation_v0_21(1).xlsx</x:v>
      </x:c>
      <x:c r="AM6161" s="87" t="str">
        <x:v>MATHB_S26_959</x:v>
      </x:c>
      <x:c r="AN6161" s="87" t="n">
        <x:v>3</x:v>
      </x:c>
    </x:row>
    <x:row r="6162">
      <x:c r="A6162" s="87" t="n">
        <x:v>6161</x:v>
      </x:c>
      <x:c r="B6162" s="87" t="str">
        <x:v>EGKR-S26-MATHB-959-03</x:v>
      </x:c>
      <x:c r="C6162" s="87" t="str">
        <x:v>ЕГКР</x:v>
      </x:c>
      <x:c r="D6162" s="87"/>
      <x:c r="E6162" s="87" t="str">
        <x:v>Весна 2026</x:v>
      </x:c>
      <x:c r="F6162" s="87" t="str">
        <x:v>07.04.2026</x:v>
      </x:c>
      <x:c r="G6162" s="87" t="str">
        <x:v>Математика (база)</x:v>
      </x:c>
      <x:c r="H6162" s="87" t="n">
        <x:v>11</x:v>
      </x:c>
      <x:c r="I6162" s="87"/>
      <x:c r="J6162" s="87" t="str">
        <x:v>959</x:v>
      </x:c>
      <x:c r="K6162" s="87" t="n">
        <x:v>3</x:v>
      </x:c>
      <x:c r="L6162" s="87" t="str">
        <x:v>Чтение графика</x:v>
      </x:c>
      <x:c r="M6162" s="30" t="str">
        <x:v>По графику определить атмосферное давление во вторник в 18:00.</x:v>
      </x:c>
      <x:c r="N6162" s="30" t="str">
        <x:v>756</x:v>
      </x:c>
      <x:c r="O6162" s="30" t="str">
        <x:v>По графику во вторник в 18:00 — 756 мм рт. ст.</x:v>
      </x:c>
      <x:c r="P6162" s="30"/>
      <x:c r="Q6162" s="30" t="str">
        <x:v>Независимый расчёт, визуальная страница и аудит внутреннего ответника.</x:v>
      </x:c>
      <x:c r="R6162" s="30" t="str">
        <x:v>756</x:v>
      </x:c>
      <x:c r="S6162" s="30"/>
      <x:c r="T6162" s="30" t="str">
        <x:v>Локальный PDF; для повреждённых мест — PandaExam.</x:v>
      </x:c>
      <x:c r="U6162" s="30" t="str">
        <x:v>Расхождений нет.</x:v>
      </x:c>
      <x:c r="V6162" s="87" t="str">
        <x:v>VERIFIED</x:v>
      </x:c>
      <x:c r="W6162" s="87"/>
      <x:c r="X6162" s="87" t="n">
        <x:v>3</x:v>
      </x:c>
      <x:c r="Y6162" s="87"/>
      <x:c r="Z6162" s="87"/>
      <x:c r="AA6162" s="87"/>
      <x:c r="AB6162" s="87"/>
      <x:c r="AC6162" s="87" t="str">
        <x:v>VIS-EGKR-MATHB-S26-TASK-959-P003</x:v>
      </x:c>
      <x:c r="AD6162" s="87" t="str">
        <x:v>VIS-EGKR-MATHB-S26-ANSWERDOC-P001</x:v>
      </x:c>
      <x:c r="AE6162" s="87" t="str">
        <x:v>TASK; SECONDARY_ANSWER_SOURCE</x:v>
      </x:c>
      <x:c r="AF6162" s="87" t="str">
        <x:v>VIS-EGKR-MATHB-S26-TASK-959-P003: 3; VIS-EGKR-MATHB-S26-ANSWERDOC-P001: 1</x:v>
      </x:c>
      <x:c r="AG6162" s="87" t="str">
        <x:v>RESOLVED</x:v>
      </x:c>
      <x:c r="AH6162" s="87" t="str">
        <x:v>CROP_VERIFIED</x:v>
      </x:c>
      <x:c r="AI6162" s="30"/>
      <x:c r="AJ6162" s="87" t="str">
        <x:v>clean</x:v>
      </x:c>
      <x:c r="AK6162" s="87" t="str">
        <x:v>clean-v0.21</x:v>
      </x:c>
      <x:c r="AL6162" s="87" t="str">
        <x:v>statgrad_clean_continuation_v0_21(1).xlsx</x:v>
      </x:c>
      <x:c r="AM6162" s="87" t="str">
        <x:v>MATHB_S26_959</x:v>
      </x:c>
      <x:c r="AN6162" s="87" t="n">
        <x:v>4</x:v>
      </x:c>
    </x:row>
    <x:row r="6163">
      <x:c r="A6163" s="87" t="n">
        <x:v>6162</x:v>
      </x:c>
      <x:c r="B6163" s="87" t="str">
        <x:v>EGKR-S26-MATHB-959-04</x:v>
      </x:c>
      <x:c r="C6163" s="87" t="str">
        <x:v>ЕГКР</x:v>
      </x:c>
      <x:c r="D6163" s="87"/>
      <x:c r="E6163" s="87" t="str">
        <x:v>Весна 2026</x:v>
      </x:c>
      <x:c r="F6163" s="87" t="str">
        <x:v>07.04.2026</x:v>
      </x:c>
      <x:c r="G6163" s="87" t="str">
        <x:v>Математика (база)</x:v>
      </x:c>
      <x:c r="H6163" s="87" t="n">
        <x:v>11</x:v>
      </x:c>
      <x:c r="I6163" s="87"/>
      <x:c r="J6163" s="87" t="str">
        <x:v>959</x:v>
      </x:c>
      <x:c r="K6163" s="87" t="n">
        <x:v>4</x:v>
      </x:c>
      <x:c r="L6163" s="87" t="str">
        <x:v>Применение формулы</x:v>
      </x:c>
      <x:c r="M6163" s="30" t="str">
        <x:v>По теореме синусов найти sin α при a=27, b=20, sin β=2/3.</x:v>
      </x:c>
      <x:c r="N6163" s="30" t="str">
        <x:v>0,9</x:v>
      </x:c>
      <x:c r="O6163" s="30" t="str">
        <x:v>sinα=27·(2/3)/20=0,9.</x:v>
      </x:c>
      <x:c r="P6163" s="30"/>
      <x:c r="Q6163" s="30" t="str">
        <x:v>Независимый расчёт, визуальная страница и аудит внутреннего ответника.</x:v>
      </x:c>
      <x:c r="R6163" s="30" t="str">
        <x:v>0,9</x:v>
      </x:c>
      <x:c r="S6163" s="30"/>
      <x:c r="T6163" s="30" t="str">
        <x:v>Локальный PDF; для повреждённых мест — PandaExam.</x:v>
      </x:c>
      <x:c r="U6163" s="30" t="str">
        <x:v>Расхождений нет.</x:v>
      </x:c>
      <x:c r="V6163" s="87" t="str">
        <x:v>VERIFIED</x:v>
      </x:c>
      <x:c r="W6163" s="87"/>
      <x:c r="X6163" s="87" t="n">
        <x:v>3</x:v>
      </x:c>
      <x:c r="Y6163" s="87"/>
      <x:c r="Z6163" s="87"/>
      <x:c r="AA6163" s="87"/>
      <x:c r="AB6163" s="87"/>
      <x:c r="AC6163" s="87" t="str">
        <x:v>VIS-EGKR-MATHB-S26-TASK-959-P003</x:v>
      </x:c>
      <x:c r="AD6163" s="87" t="str">
        <x:v>VIS-EGKR-MATHB-S26-ANSWERDOC-P001</x:v>
      </x:c>
      <x:c r="AE6163" s="87" t="str">
        <x:v>TASK; SECONDARY_ANSWER_SOURCE</x:v>
      </x:c>
      <x:c r="AF6163" s="87" t="str">
        <x:v>VIS-EGKR-MATHB-S26-TASK-959-P003: 3; VIS-EGKR-MATHB-S26-ANSWERDOC-P001: 1</x:v>
      </x:c>
      <x:c r="AG6163" s="87" t="str">
        <x:v>RESOLVED</x:v>
      </x:c>
      <x:c r="AH6163" s="87" t="str">
        <x:v>CROP_VERIFIED</x:v>
      </x:c>
      <x:c r="AI6163" s="30"/>
      <x:c r="AJ6163" s="87" t="str">
        <x:v>clean</x:v>
      </x:c>
      <x:c r="AK6163" s="87" t="str">
        <x:v>clean-v0.21</x:v>
      </x:c>
      <x:c r="AL6163" s="87" t="str">
        <x:v>statgrad_clean_continuation_v0_21(1).xlsx</x:v>
      </x:c>
      <x:c r="AM6163" s="87" t="str">
        <x:v>MATHB_S26_959</x:v>
      </x:c>
      <x:c r="AN6163" s="87" t="n">
        <x:v>5</x:v>
      </x:c>
    </x:row>
    <x:row r="6164">
      <x:c r="A6164" s="87" t="n">
        <x:v>6163</x:v>
      </x:c>
      <x:c r="B6164" s="87" t="str">
        <x:v>EGKR-S26-MATHB-959-05</x:v>
      </x:c>
      <x:c r="C6164" s="87" t="str">
        <x:v>ЕГКР</x:v>
      </x:c>
      <x:c r="D6164" s="87"/>
      <x:c r="E6164" s="87" t="str">
        <x:v>Весна 2026</x:v>
      </x:c>
      <x:c r="F6164" s="87" t="str">
        <x:v>07.04.2026</x:v>
      </x:c>
      <x:c r="G6164" s="87" t="str">
        <x:v>Математика (база)</x:v>
      </x:c>
      <x:c r="H6164" s="87" t="n">
        <x:v>11</x:v>
      </x:c>
      <x:c r="I6164" s="87"/>
      <x:c r="J6164" s="87" t="str">
        <x:v>959</x:v>
      </x:c>
      <x:c r="K6164" s="87" t="n">
        <x:v>5</x:v>
      </x:c>
      <x:c r="L6164" s="87" t="str">
        <x:v>Вероятность</x:v>
      </x:c>
      <x:c r="M6164" s="30" t="str">
        <x:v>Найти вероятность удобного места: 24 места у выходов и 12 за перегородками из 100.</x:v>
      </x:c>
      <x:c r="N6164" s="30" t="str">
        <x:v>0,36</x:v>
      </x:c>
      <x:c r="O6164" s="30" t="str">
        <x:v>(24+12)/100=0,36.</x:v>
      </x:c>
      <x:c r="P6164" s="30"/>
      <x:c r="Q6164" s="30" t="str">
        <x:v>Независимый расчёт, визуальная страница и аудит внутреннего ответника.</x:v>
      </x:c>
      <x:c r="R6164" s="30" t="str">
        <x:v>0,36</x:v>
      </x:c>
      <x:c r="S6164" s="30"/>
      <x:c r="T6164" s="30" t="str">
        <x:v>Локальный PDF; для повреждённых мест — PandaExam.</x:v>
      </x:c>
      <x:c r="U6164" s="30" t="str">
        <x:v>Расхождений нет.</x:v>
      </x:c>
      <x:c r="V6164" s="87" t="str">
        <x:v>VERIFIED</x:v>
      </x:c>
      <x:c r="W6164" s="87"/>
      <x:c r="X6164" s="87" t="n">
        <x:v>3</x:v>
      </x:c>
      <x:c r="Y6164" s="87"/>
      <x:c r="Z6164" s="87"/>
      <x:c r="AA6164" s="87"/>
      <x:c r="AB6164" s="87"/>
      <x:c r="AC6164" s="87" t="str">
        <x:v>VIS-EGKR-MATHB-S26-TASK-959-P003</x:v>
      </x:c>
      <x:c r="AD6164" s="87" t="str">
        <x:v>VIS-EGKR-MATHB-S26-ANSWERDOC-P001</x:v>
      </x:c>
      <x:c r="AE6164" s="87" t="str">
        <x:v>TASK; SECONDARY_ANSWER_SOURCE</x:v>
      </x:c>
      <x:c r="AF6164" s="87" t="str">
        <x:v>VIS-EGKR-MATHB-S26-TASK-959-P003: 3; VIS-EGKR-MATHB-S26-ANSWERDOC-P001: 1</x:v>
      </x:c>
      <x:c r="AG6164" s="87" t="str">
        <x:v>RESOLVED</x:v>
      </x:c>
      <x:c r="AH6164" s="87" t="str">
        <x:v>CROP_VERIFIED</x:v>
      </x:c>
      <x:c r="AI6164" s="30"/>
      <x:c r="AJ6164" s="87" t="str">
        <x:v>clean</x:v>
      </x:c>
      <x:c r="AK6164" s="87" t="str">
        <x:v>clean-v0.21</x:v>
      </x:c>
      <x:c r="AL6164" s="87" t="str">
        <x:v>statgrad_clean_continuation_v0_21(1).xlsx</x:v>
      </x:c>
      <x:c r="AM6164" s="87" t="str">
        <x:v>MATHB_S26_959</x:v>
      </x:c>
      <x:c r="AN6164" s="87" t="n">
        <x:v>6</x:v>
      </x:c>
    </x:row>
    <x:row r="6165">
      <x:c r="A6165" s="87" t="n">
        <x:v>6164</x:v>
      </x:c>
      <x:c r="B6165" s="87" t="str">
        <x:v>EGKR-S26-MATHB-959-06</x:v>
      </x:c>
      <x:c r="C6165" s="87" t="str">
        <x:v>ЕГКР</x:v>
      </x:c>
      <x:c r="D6165" s="87"/>
      <x:c r="E6165" s="87" t="str">
        <x:v>Весна 2026</x:v>
      </x:c>
      <x:c r="F6165" s="87" t="str">
        <x:v>07.04.2026</x:v>
      </x:c>
      <x:c r="G6165" s="87" t="str">
        <x:v>Математика (база)</x:v>
      </x:c>
      <x:c r="H6165" s="87" t="n">
        <x:v>11</x:v>
      </x:c>
      <x:c r="I6165" s="87"/>
      <x:c r="J6165" s="87" t="str">
        <x:v>959</x:v>
      </x:c>
      <x:c r="K6165" s="87" t="n">
        <x:v>6</x:v>
      </x:c>
      <x:c r="L6165" s="87" t="str">
        <x:v>Анализ таблицы</x:v>
      </x:c>
      <x:c r="M6165" s="30" t="str">
        <x:v>По таблице олимпиад выбрать учеников с физикой ниже 70 и похвальной грамотой. В локальном PDF ошибочно напечатано условие «сумма больше 160»; опубликованный вариант и ответник подтверждают «больше 130».</x:v>
      </x:c>
      <x:c r="N6165" s="30" t="str">
        <x:v>259</x:v>
      </x:c>
      <x:c r="O6165" s="30" t="str">
        <x:v>При пороге суммы 130 подходят ученики 2, 5 и 9.</x:v>
      </x:c>
      <x:c r="P6165" s="30"/>
      <x:c r="Q6165" s="30" t="str">
        <x:v>Независимый расчёт, визуальная страница и аудит внутреннего ответника.</x:v>
      </x:c>
      <x:c r="R6165" s="30" t="str">
        <x:v>259</x:v>
      </x:c>
      <x:c r="S6165" s="30"/>
      <x:c r="T6165" s="30" t="str">
        <x:v>Локальный PDF; для повреждённых мест — PandaExam.</x:v>
      </x:c>
      <x:c r="U6165" s="30" t="str">
        <x:v>Формулировка повреждена; рабочая версия и ответ восстановлены по структуре задания и внешней публикации.</x:v>
      </x:c>
      <x:c r="V6165" s="87" t="str">
        <x:v>TASK_DEFECT_RECOVERED</x:v>
      </x:c>
      <x:c r="W6165" s="87"/>
      <x:c r="X6165" s="87" t="n">
        <x:v>4</x:v>
      </x:c>
      <x:c r="Y6165" s="87"/>
      <x:c r="Z6165" s="87"/>
      <x:c r="AA6165" s="87"/>
      <x:c r="AB6165" s="87"/>
      <x:c r="AC6165" s="87" t="str">
        <x:v>VIS-EGKR-MATHB-S26-TASK-959-P004</x:v>
      </x:c>
      <x:c r="AD6165" s="87" t="str">
        <x:v>VIS-EGKR-MATHB-S26-ANSWERDOC-P001</x:v>
      </x:c>
      <x:c r="AE6165" s="87" t="str">
        <x:v>TASK; SECONDARY_ANSWER_SOURCE</x:v>
      </x:c>
      <x:c r="AF6165" s="87" t="str">
        <x:v>VIS-EGKR-MATHB-S26-TASK-959-P004: 4; VIS-EGKR-MATHB-S26-ANSWERDOC-P001: 1</x:v>
      </x:c>
      <x:c r="AG6165" s="87" t="str">
        <x:v>RESOLVED</x:v>
      </x:c>
      <x:c r="AH6165" s="87" t="str">
        <x:v>CROP_VERIFIED; TASK_CROP_QA_APPROVED:USE_TIGHT</x:v>
      </x:c>
      <x:c r="AI6165" s="30"/>
      <x:c r="AJ6165" s="87" t="str">
        <x:v>clean</x:v>
      </x:c>
      <x:c r="AK6165" s="87" t="str">
        <x:v>clean-v0.21</x:v>
      </x:c>
      <x:c r="AL6165" s="87" t="str">
        <x:v>statgrad_clean_continuation_v0_21(1).xlsx</x:v>
      </x:c>
      <x:c r="AM6165" s="87" t="str">
        <x:v>MATHB_S26_959</x:v>
      </x:c>
      <x:c r="AN6165" s="87" t="n">
        <x:v>7</x:v>
      </x:c>
    </x:row>
    <x:row r="6166">
      <x:c r="A6166" s="87" t="n">
        <x:v>6165</x:v>
      </x:c>
      <x:c r="B6166" s="87" t="str">
        <x:v>EGKR-S26-MATHB-959-07</x:v>
      </x:c>
      <x:c r="C6166" s="87" t="str">
        <x:v>ЕГКР</x:v>
      </x:c>
      <x:c r="D6166" s="87"/>
      <x:c r="E6166" s="87" t="str">
        <x:v>Весна 2026</x:v>
      </x:c>
      <x:c r="F6166" s="87" t="str">
        <x:v>07.04.2026</x:v>
      </x:c>
      <x:c r="G6166" s="87" t="str">
        <x:v>Математика (база)</x:v>
      </x:c>
      <x:c r="H6166" s="87" t="n">
        <x:v>11</x:v>
      </x:c>
      <x:c r="I6166" s="87"/>
      <x:c r="J6166" s="87" t="str">
        <x:v>959</x:v>
      </x:c>
      <x:c r="K6166" s="87" t="n">
        <x:v>7</x:v>
      </x:c>
      <x:c r="L6166" s="87" t="str">
        <x:v>Свойства функций</x:v>
      </x:c>
      <x:c r="M6166" s="30" t="str">
        <x:v>Соотнести две линейные и две квадратичные функции с возрастанием, убыванием, максимумом и минимумом.</x:v>
      </x:c>
      <x:c r="N6166" s="30" t="str">
        <x:v>3214</x:v>
      </x:c>
      <x:c r="O6166" s="30" t="str">
        <x:v>Возрастающая, минимум, максимум, убывающая → 3214 по нумерации локального PDF.</x:v>
      </x:c>
      <x:c r="P6166" s="30"/>
      <x:c r="Q6166" s="30" t="str">
        <x:v>Независимый расчёт, визуальная страница и аудит внутреннего ответника.</x:v>
      </x:c>
      <x:c r="R6166" s="30" t="str">
        <x:v>4312</x:v>
      </x:c>
      <x:c r="S6166" s="30"/>
      <x:c r="T6166" s="30" t="str">
        <x:v>Локальный PDF; для повреждённых мест — PandaExam.</x:v>
      </x:c>
      <x:c r="U6166" s="30" t="str">
        <x:v>Ответник: 4312; независимое решение: 3214.</x:v>
      </x:c>
      <x:c r="V6166" s="87" t="str">
        <x:v>KEY_MISMATCH</x:v>
      </x:c>
      <x:c r="W6166" s="87"/>
      <x:c r="X6166" s="87" t="n">
        <x:v>4</x:v>
      </x:c>
      <x:c r="Y6166" s="87"/>
      <x:c r="Z6166" s="87"/>
      <x:c r="AA6166" s="87"/>
      <x:c r="AB6166" s="87"/>
      <x:c r="AC6166" s="87" t="str">
        <x:v>VIS-EGKR-MATHB-S26-TASK-959-P004</x:v>
      </x:c>
      <x:c r="AD6166" s="87" t="str">
        <x:v>VIS-EGKR-MATHB-S26-ANSWERDOC-P001</x:v>
      </x:c>
      <x:c r="AE6166" s="87" t="str">
        <x:v>TASK; SECONDARY_ANSWER_SOURCE</x:v>
      </x:c>
      <x:c r="AF6166" s="87" t="str">
        <x:v>VIS-EGKR-MATHB-S26-TASK-959-P004: 4; VIS-EGKR-MATHB-S26-ANSWERDOC-P001: 1</x:v>
      </x:c>
      <x:c r="AG6166" s="87" t="str">
        <x:v>RESOLVED</x:v>
      </x:c>
      <x:c r="AH6166" s="87" t="str">
        <x:v>CROP_VERIFIED</x:v>
      </x:c>
      <x:c r="AI6166" s="30"/>
      <x:c r="AJ6166" s="87" t="str">
        <x:v>clean</x:v>
      </x:c>
      <x:c r="AK6166" s="87" t="str">
        <x:v>clean-v0.21</x:v>
      </x:c>
      <x:c r="AL6166" s="87" t="str">
        <x:v>statgrad_clean_continuation_v0_21(1).xlsx</x:v>
      </x:c>
      <x:c r="AM6166" s="87" t="str">
        <x:v>MATHB_S26_959</x:v>
      </x:c>
      <x:c r="AN6166" s="87" t="n">
        <x:v>8</x:v>
      </x:c>
    </x:row>
    <x:row r="6167">
      <x:c r="A6167" s="87" t="n">
        <x:v>6166</x:v>
      </x:c>
      <x:c r="B6167" s="87" t="str">
        <x:v>EGKR-S26-MATHB-959-08</x:v>
      </x:c>
      <x:c r="C6167" s="87" t="str">
        <x:v>ЕГКР</x:v>
      </x:c>
      <x:c r="D6167" s="87"/>
      <x:c r="E6167" s="87" t="str">
        <x:v>Весна 2026</x:v>
      </x:c>
      <x:c r="F6167" s="87" t="str">
        <x:v>07.04.2026</x:v>
      </x:c>
      <x:c r="G6167" s="87" t="str">
        <x:v>Математика (база)</x:v>
      </x:c>
      <x:c r="H6167" s="87" t="n">
        <x:v>11</x:v>
      </x:c>
      <x:c r="I6167" s="87"/>
      <x:c r="J6167" s="87" t="str">
        <x:v>959</x:v>
      </x:c>
      <x:c r="K6167" s="87" t="n">
        <x:v>8</x:v>
      </x:c>
      <x:c r="L6167" s="87" t="str">
        <x:v>Логические утверждения</x:v>
      </x:c>
      <x:c r="M6167" s="30" t="str">
        <x:v>Для множеств из 40 человек, 25 пользователей ОК и 20 пользователей ВК выбрать гарантированно верные утверждения. В локальном PDF в пункте 2 ошибочно стоит 15 вместо 5.</x:v>
      </x:c>
      <x:c r="N6167" s="30" t="str">
        <x:v>24</x:v>
      </x:c>
      <x:c r="O6167" s="30" t="str">
        <x:v>После восстановления «хотя бы 5» верны пункты 2 и 4.</x:v>
      </x:c>
      <x:c r="P6167" s="30"/>
      <x:c r="Q6167" s="30" t="str">
        <x:v>Независимый расчёт, визуальная страница и аудит внутреннего ответника.</x:v>
      </x:c>
      <x:c r="R6167" s="30" t="str">
        <x:v>24</x:v>
      </x:c>
      <x:c r="S6167" s="30"/>
      <x:c r="T6167" s="30" t="str">
        <x:v>Локальный PDF; для повреждённых мест — PandaExam.</x:v>
      </x:c>
      <x:c r="U6167" s="30" t="str">
        <x:v>Формулировка повреждена; рабочая версия и ответ восстановлены по структуре задания и внешней публикации.</x:v>
      </x:c>
      <x:c r="V6167" s="87" t="str">
        <x:v>TASK_DEFECT_RECOVERED</x:v>
      </x:c>
      <x:c r="W6167" s="87"/>
      <x:c r="X6167" s="87" t="n">
        <x:v>5</x:v>
      </x:c>
      <x:c r="Y6167" s="87"/>
      <x:c r="Z6167" s="87"/>
      <x:c r="AA6167" s="87"/>
      <x:c r="AB6167" s="87"/>
      <x:c r="AC6167" s="87" t="str">
        <x:v>VIS-EGKR-MATHB-S26-TASK-959-P005</x:v>
      </x:c>
      <x:c r="AD6167" s="87" t="str">
        <x:v>VIS-EGKR-MATHB-S26-ANSWERDOC-P001</x:v>
      </x:c>
      <x:c r="AE6167" s="87" t="str">
        <x:v>TASK; SECONDARY_ANSWER_SOURCE</x:v>
      </x:c>
      <x:c r="AF6167" s="87" t="str">
        <x:v>VIS-EGKR-MATHB-S26-TASK-959-P005: 5; VIS-EGKR-MATHB-S26-ANSWERDOC-P001: 1</x:v>
      </x:c>
      <x:c r="AG6167" s="87" t="str">
        <x:v>RESOLVED</x:v>
      </x:c>
      <x:c r="AH6167" s="87" t="str">
        <x:v>CROP_VERIFIED</x:v>
      </x:c>
      <x:c r="AI6167" s="30"/>
      <x:c r="AJ6167" s="87" t="str">
        <x:v>clean</x:v>
      </x:c>
      <x:c r="AK6167" s="87" t="str">
        <x:v>clean-v0.21</x:v>
      </x:c>
      <x:c r="AL6167" s="87" t="str">
        <x:v>statgrad_clean_continuation_v0_21(1).xlsx</x:v>
      </x:c>
      <x:c r="AM6167" s="87" t="str">
        <x:v>MATHB_S26_959</x:v>
      </x:c>
      <x:c r="AN6167" s="87" t="n">
        <x:v>9</x:v>
      </x:c>
    </x:row>
    <x:row r="6168">
      <x:c r="A6168" s="87" t="n">
        <x:v>6167</x:v>
      </x:c>
      <x:c r="B6168" s="87" t="str">
        <x:v>EGKR-S26-MATHB-959-09</x:v>
      </x:c>
      <x:c r="C6168" s="87" t="str">
        <x:v>ЕГКР</x:v>
      </x:c>
      <x:c r="D6168" s="87"/>
      <x:c r="E6168" s="87" t="str">
        <x:v>Весна 2026</x:v>
      </x:c>
      <x:c r="F6168" s="87" t="str">
        <x:v>07.04.2026</x:v>
      </x:c>
      <x:c r="G6168" s="87" t="str">
        <x:v>Математика (база)</x:v>
      </x:c>
      <x:c r="H6168" s="87" t="n">
        <x:v>11</x:v>
      </x:c>
      <x:c r="I6168" s="87"/>
      <x:c r="J6168" s="87" t="str">
        <x:v>959</x:v>
      </x:c>
      <x:c r="K6168" s="87" t="n">
        <x:v>9</x:v>
      </x:c>
      <x:c r="L6168" s="87" t="str">
        <x:v>Площадь по клеткам</x:v>
      </x:c>
      <x:c r="M6168" s="30" t="str">
        <x:v>Найти площадь трапеции на клетчатом плане.</x:v>
      </x:c>
      <x:c r="N6168" s="30" t="str">
        <x:v>15</x:v>
      </x:c>
      <x:c r="O6168" s="30" t="str">
        <x:v>Площадь трапеции по клеткам равна 15.</x:v>
      </x:c>
      <x:c r="P6168" s="30"/>
      <x:c r="Q6168" s="30" t="str">
        <x:v>Независимый расчёт, визуальная страница и аудит внутреннего ответника.</x:v>
      </x:c>
      <x:c r="R6168" s="30" t="str">
        <x:v>15</x:v>
      </x:c>
      <x:c r="S6168" s="30"/>
      <x:c r="T6168" s="30" t="str">
        <x:v>Локальный PDF; для повреждённых мест — PandaExam.</x:v>
      </x:c>
      <x:c r="U6168" s="30" t="str">
        <x:v>Расхождений нет.</x:v>
      </x:c>
      <x:c r="V6168" s="87" t="str">
        <x:v>VERIFIED</x:v>
      </x:c>
      <x:c r="W6168" s="87"/>
      <x:c r="X6168" s="87" t="n">
        <x:v>5</x:v>
      </x:c>
      <x:c r="Y6168" s="87"/>
      <x:c r="Z6168" s="87"/>
      <x:c r="AA6168" s="87"/>
      <x:c r="AB6168" s="87"/>
      <x:c r="AC6168" s="87" t="str">
        <x:v>VIS-EGKR-MATHB-S26-TASK-959-P005</x:v>
      </x:c>
      <x:c r="AD6168" s="87" t="str">
        <x:v>VIS-EGKR-MATHB-S26-ANSWERDOC-P001</x:v>
      </x:c>
      <x:c r="AE6168" s="87" t="str">
        <x:v>TASK; SECONDARY_ANSWER_SOURCE</x:v>
      </x:c>
      <x:c r="AF6168" s="87" t="str">
        <x:v>VIS-EGKR-MATHB-S26-TASK-959-P005: 5; VIS-EGKR-MATHB-S26-ANSWERDOC-P001: 1</x:v>
      </x:c>
      <x:c r="AG6168" s="87" t="str">
        <x:v>RESOLVED</x:v>
      </x:c>
      <x:c r="AH6168" s="87" t="str">
        <x:v>CROP_VERIFIED</x:v>
      </x:c>
      <x:c r="AI6168" s="30"/>
      <x:c r="AJ6168" s="87" t="str">
        <x:v>clean</x:v>
      </x:c>
      <x:c r="AK6168" s="87" t="str">
        <x:v>clean-v0.21</x:v>
      </x:c>
      <x:c r="AL6168" s="87" t="str">
        <x:v>statgrad_clean_continuation_v0_21(1).xlsx</x:v>
      </x:c>
      <x:c r="AM6168" s="87" t="str">
        <x:v>MATHB_S26_959</x:v>
      </x:c>
      <x:c r="AN6168" s="87" t="n">
        <x:v>10</x:v>
      </x:c>
    </x:row>
    <x:row r="6169">
      <x:c r="A6169" s="87" t="n">
        <x:v>6168</x:v>
      </x:c>
      <x:c r="B6169" s="87" t="str">
        <x:v>EGKR-S26-MATHB-959-10</x:v>
      </x:c>
      <x:c r="C6169" s="87" t="str">
        <x:v>ЕГКР</x:v>
      </x:c>
      <x:c r="D6169" s="87"/>
      <x:c r="E6169" s="87" t="str">
        <x:v>Весна 2026</x:v>
      </x:c>
      <x:c r="F6169" s="87" t="str">
        <x:v>07.04.2026</x:v>
      </x:c>
      <x:c r="G6169" s="87" t="str">
        <x:v>Математика (база)</x:v>
      </x:c>
      <x:c r="H6169" s="87" t="n">
        <x:v>11</x:v>
      </x:c>
      <x:c r="I6169" s="87"/>
      <x:c r="J6169" s="87" t="str">
        <x:v>959</x:v>
      </x:c>
      <x:c r="K6169" s="87" t="n">
        <x:v>10</x:v>
      </x:c>
      <x:c r="L6169" s="87" t="str">
        <x:v>Практическая геометрия</x:v>
      </x:c>
      <x:c r="M6169" s="30" t="str">
        <x:v>Покрыть комнату 4×10 м дощечками 5×20 см.</x:v>
      </x:c>
      <x:c r="N6169" s="30" t="str">
        <x:v>4000</x:v>
      </x:c>
      <x:c r="O6169" s="30" t="str">
        <x:v>40 м² / 0,01 м² = 4000.</x:v>
      </x:c>
      <x:c r="P6169" s="30"/>
      <x:c r="Q6169" s="30" t="str">
        <x:v>Независимый расчёт, визуальная страница и аудит внутреннего ответника.</x:v>
      </x:c>
      <x:c r="R6169" s="30" t="str">
        <x:v>4000</x:v>
      </x:c>
      <x:c r="S6169" s="30"/>
      <x:c r="T6169" s="30" t="str">
        <x:v>Локальный PDF; для повреждённых мест — PandaExam.</x:v>
      </x:c>
      <x:c r="U6169" s="30" t="str">
        <x:v>Расхождений нет.</x:v>
      </x:c>
      <x:c r="V6169" s="87" t="str">
        <x:v>VERIFIED</x:v>
      </x:c>
      <x:c r="W6169" s="87"/>
      <x:c r="X6169" s="87" t="n">
        <x:v>5</x:v>
      </x:c>
      <x:c r="Y6169" s="87"/>
      <x:c r="Z6169" s="87"/>
      <x:c r="AA6169" s="87"/>
      <x:c r="AB6169" s="87"/>
      <x:c r="AC6169" s="87" t="str">
        <x:v>VIS-EGKR-MATHB-S26-TASK-959-P005</x:v>
      </x:c>
      <x:c r="AD6169" s="87" t="str">
        <x:v>VIS-EGKR-MATHB-S26-ANSWERDOC-P001</x:v>
      </x:c>
      <x:c r="AE6169" s="87" t="str">
        <x:v>TASK; SECONDARY_ANSWER_SOURCE</x:v>
      </x:c>
      <x:c r="AF6169" s="87" t="str">
        <x:v>VIS-EGKR-MATHB-S26-TASK-959-P005: 5; VIS-EGKR-MATHB-S26-ANSWERDOC-P001: 1</x:v>
      </x:c>
      <x:c r="AG6169" s="87" t="str">
        <x:v>RESOLVED</x:v>
      </x:c>
      <x:c r="AH6169" s="87" t="str">
        <x:v>CROP_VERIFIED</x:v>
      </x:c>
      <x:c r="AI6169" s="30"/>
      <x:c r="AJ6169" s="87" t="str">
        <x:v>clean</x:v>
      </x:c>
      <x:c r="AK6169" s="87" t="str">
        <x:v>clean-v0.21</x:v>
      </x:c>
      <x:c r="AL6169" s="87" t="str">
        <x:v>statgrad_clean_continuation_v0_21(1).xlsx</x:v>
      </x:c>
      <x:c r="AM6169" s="87" t="str">
        <x:v>MATHB_S26_959</x:v>
      </x:c>
      <x:c r="AN6169" s="87" t="n">
        <x:v>11</x:v>
      </x:c>
    </x:row>
    <x:row r="6170">
      <x:c r="A6170" s="87" t="n">
        <x:v>6169</x:v>
      </x:c>
      <x:c r="B6170" s="87" t="str">
        <x:v>EGKR-S26-MATHB-959-11</x:v>
      </x:c>
      <x:c r="C6170" s="87" t="str">
        <x:v>ЕГКР</x:v>
      </x:c>
      <x:c r="D6170" s="87"/>
      <x:c r="E6170" s="87" t="str">
        <x:v>Весна 2026</x:v>
      </x:c>
      <x:c r="F6170" s="87" t="str">
        <x:v>07.04.2026</x:v>
      </x:c>
      <x:c r="G6170" s="87" t="str">
        <x:v>Математика (база)</x:v>
      </x:c>
      <x:c r="H6170" s="87" t="n">
        <x:v>11</x:v>
      </x:c>
      <x:c r="I6170" s="87"/>
      <x:c r="J6170" s="87" t="str">
        <x:v>959</x:v>
      </x:c>
      <x:c r="K6170" s="87" t="n">
        <x:v>11</x:v>
      </x:c>
      <x:c r="L6170" s="87" t="str">
        <x:v>Подобие пространственных фигур</x:v>
      </x:c>
      <x:c r="M6170" s="30" t="str">
        <x:v>Найти высоту копии пирамиды при масштабе 22 см к 220 м и высоте оригинала 104 м.</x:v>
      </x:c>
      <x:c r="N6170" s="30" t="str">
        <x:v>104</x:v>
      </x:c>
      <x:c r="O6170" s="30" t="str">
        <x:v>Масштаб 1:1000; 104 м превращаются в 104 см.</x:v>
      </x:c>
      <x:c r="P6170" s="30"/>
      <x:c r="Q6170" s="30" t="str">
        <x:v>Независимый расчёт, визуальная страница и аудит внутреннего ответника.</x:v>
      </x:c>
      <x:c r="R6170" s="30" t="str">
        <x:v>10,4</x:v>
      </x:c>
      <x:c r="S6170" s="30"/>
      <x:c r="T6170" s="30" t="str">
        <x:v>Локальный PDF; для повреждённых мест — PandaExam.</x:v>
      </x:c>
      <x:c r="U6170" s="30" t="str">
        <x:v>Ответник: 10,4; независимое решение: 104.</x:v>
      </x:c>
      <x:c r="V6170" s="87" t="str">
        <x:v>KEY_MISMATCH</x:v>
      </x:c>
      <x:c r="W6170" s="87"/>
      <x:c r="X6170" s="87" t="n">
        <x:v>6</x:v>
      </x:c>
      <x:c r="Y6170" s="87"/>
      <x:c r="Z6170" s="87"/>
      <x:c r="AA6170" s="87"/>
      <x:c r="AB6170" s="87"/>
      <x:c r="AC6170" s="87" t="str">
        <x:v>VIS-EGKR-MATHB-S26-TASK-959-P006</x:v>
      </x:c>
      <x:c r="AD6170" s="87" t="str">
        <x:v>VIS-EGKR-MATHB-S26-ANSWERDOC-P001</x:v>
      </x:c>
      <x:c r="AE6170" s="87" t="str">
        <x:v>TASK; SECONDARY_ANSWER_SOURCE</x:v>
      </x:c>
      <x:c r="AF6170" s="87" t="str">
        <x:v>VIS-EGKR-MATHB-S26-TASK-959-P006: 6; VIS-EGKR-MATHB-S26-ANSWERDOC-P001: 1</x:v>
      </x:c>
      <x:c r="AG6170" s="87" t="str">
        <x:v>RESOLVED</x:v>
      </x:c>
      <x:c r="AH6170" s="87" t="str">
        <x:v>CROP_VERIFIED</x:v>
      </x:c>
      <x:c r="AI6170" s="30"/>
      <x:c r="AJ6170" s="87" t="str">
        <x:v>clean</x:v>
      </x:c>
      <x:c r="AK6170" s="87" t="str">
        <x:v>clean-v0.21</x:v>
      </x:c>
      <x:c r="AL6170" s="87" t="str">
        <x:v>statgrad_clean_continuation_v0_21(1).xlsx</x:v>
      </x:c>
      <x:c r="AM6170" s="87" t="str">
        <x:v>MATHB_S26_959</x:v>
      </x:c>
      <x:c r="AN6170" s="87" t="n">
        <x:v>12</x:v>
      </x:c>
    </x:row>
    <x:row r="6171">
      <x:c r="A6171" s="87" t="n">
        <x:v>6170</x:v>
      </x:c>
      <x:c r="B6171" s="87" t="str">
        <x:v>EGKR-S26-MATHB-959-12</x:v>
      </x:c>
      <x:c r="C6171" s="87" t="str">
        <x:v>ЕГКР</x:v>
      </x:c>
      <x:c r="D6171" s="87"/>
      <x:c r="E6171" s="87" t="str">
        <x:v>Весна 2026</x:v>
      </x:c>
      <x:c r="F6171" s="87" t="str">
        <x:v>07.04.2026</x:v>
      </x:c>
      <x:c r="G6171" s="87" t="str">
        <x:v>Математика (база)</x:v>
      </x:c>
      <x:c r="H6171" s="87" t="n">
        <x:v>11</x:v>
      </x:c>
      <x:c r="I6171" s="87"/>
      <x:c r="J6171" s="87" t="str">
        <x:v>959</x:v>
      </x:c>
      <x:c r="K6171" s="87" t="n">
        <x:v>12</x:v>
      </x:c>
      <x:c r="L6171" s="87" t="str">
        <x:v>Площадь ромба</x:v>
      </x:c>
      <x:c r="M6171" s="30" t="str">
        <x:v>Найти площадь ромба с высотой 8 и острым углом 30°.</x:v>
      </x:c>
      <x:c r="N6171" s="30" t="str">
        <x:v>128</x:v>
      </x:c>
      <x:c r="O6171" s="30" t="str">
        <x:v>Сторона 16, площадь 16·8=128.</x:v>
      </x:c>
      <x:c r="P6171" s="30"/>
      <x:c r="Q6171" s="30" t="str">
        <x:v>Независимый расчёт, визуальная страница и аудит внутреннего ответника.</x:v>
      </x:c>
      <x:c r="R6171" s="30" t="str">
        <x:v>128</x:v>
      </x:c>
      <x:c r="S6171" s="30"/>
      <x:c r="T6171" s="30" t="str">
        <x:v>Локальный PDF; для повреждённых мест — PandaExam.</x:v>
      </x:c>
      <x:c r="U6171" s="30" t="str">
        <x:v>Расхождений нет.</x:v>
      </x:c>
      <x:c r="V6171" s="87" t="str">
        <x:v>VERIFIED</x:v>
      </x:c>
      <x:c r="W6171" s="87"/>
      <x:c r="X6171" s="87" t="n">
        <x:v>6</x:v>
      </x:c>
      <x:c r="Y6171" s="87"/>
      <x:c r="Z6171" s="87"/>
      <x:c r="AA6171" s="87"/>
      <x:c r="AB6171" s="87"/>
      <x:c r="AC6171" s="87" t="str">
        <x:v>VIS-EGKR-MATHB-S26-TASK-959-P006</x:v>
      </x:c>
      <x:c r="AD6171" s="87" t="str">
        <x:v>VIS-EGKR-MATHB-S26-ANSWERDOC-P001</x:v>
      </x:c>
      <x:c r="AE6171" s="87" t="str">
        <x:v>TASK; SECONDARY_ANSWER_SOURCE</x:v>
      </x:c>
      <x:c r="AF6171" s="87" t="str">
        <x:v>VIS-EGKR-MATHB-S26-TASK-959-P006: 6; VIS-EGKR-MATHB-S26-ANSWERDOC-P001: 1</x:v>
      </x:c>
      <x:c r="AG6171" s="87" t="str">
        <x:v>RESOLVED</x:v>
      </x:c>
      <x:c r="AH6171" s="87" t="str">
        <x:v>CROP_VERIFIED</x:v>
      </x:c>
      <x:c r="AI6171" s="30"/>
      <x:c r="AJ6171" s="87" t="str">
        <x:v>clean</x:v>
      </x:c>
      <x:c r="AK6171" s="87" t="str">
        <x:v>clean-v0.21</x:v>
      </x:c>
      <x:c r="AL6171" s="87" t="str">
        <x:v>statgrad_clean_continuation_v0_21(1).xlsx</x:v>
      </x:c>
      <x:c r="AM6171" s="87" t="str">
        <x:v>MATHB_S26_959</x:v>
      </x:c>
      <x:c r="AN6171" s="87" t="n">
        <x:v>13</x:v>
      </x:c>
    </x:row>
    <x:row r="6172">
      <x:c r="A6172" s="87" t="n">
        <x:v>6171</x:v>
      </x:c>
      <x:c r="B6172" s="87" t="str">
        <x:v>EGKR-S26-MATHB-959-13</x:v>
      </x:c>
      <x:c r="C6172" s="87" t="str">
        <x:v>ЕГКР</x:v>
      </x:c>
      <x:c r="D6172" s="87"/>
      <x:c r="E6172" s="87" t="str">
        <x:v>Весна 2026</x:v>
      </x:c>
      <x:c r="F6172" s="87" t="str">
        <x:v>07.04.2026</x:v>
      </x:c>
      <x:c r="G6172" s="87" t="str">
        <x:v>Математика (база)</x:v>
      </x:c>
      <x:c r="H6172" s="87" t="n">
        <x:v>11</x:v>
      </x:c>
      <x:c r="I6172" s="87"/>
      <x:c r="J6172" s="87" t="str">
        <x:v>959</x:v>
      </x:c>
      <x:c r="K6172" s="87" t="n">
        <x:v>13</x:v>
      </x:c>
      <x:c r="L6172" s="87" t="str">
        <x:v>Объём конуса</x:v>
      </x:c>
      <x:c r="M6172" s="30" t="str">
        <x:v>Найти радиус конуса объёма 162π и высоты 6.</x:v>
      </x:c>
      <x:c r="N6172" s="30" t="str">
        <x:v>9</x:v>
      </x:c>
      <x:c r="O6172" s="30" t="str">
        <x:v>162π=(1/3)πr²·6, поэтому r=9.</x:v>
      </x:c>
      <x:c r="P6172" s="30"/>
      <x:c r="Q6172" s="30" t="str">
        <x:v>Независимый расчёт, визуальная страница и аудит внутреннего ответника.</x:v>
      </x:c>
      <x:c r="R6172" s="30" t="str">
        <x:v>9</x:v>
      </x:c>
      <x:c r="S6172" s="30"/>
      <x:c r="T6172" s="30" t="str">
        <x:v>Локальный PDF; для повреждённых мест — PandaExam.</x:v>
      </x:c>
      <x:c r="U6172" s="30" t="str">
        <x:v>Расхождений нет.</x:v>
      </x:c>
      <x:c r="V6172" s="87" t="str">
        <x:v>VERIFIED</x:v>
      </x:c>
      <x:c r="W6172" s="87"/>
      <x:c r="X6172" s="87" t="n">
        <x:v>6</x:v>
      </x:c>
      <x:c r="Y6172" s="87"/>
      <x:c r="Z6172" s="87"/>
      <x:c r="AA6172" s="87"/>
      <x:c r="AB6172" s="87"/>
      <x:c r="AC6172" s="87" t="str">
        <x:v>VIS-EGKR-MATHB-S26-TASK-959-P006</x:v>
      </x:c>
      <x:c r="AD6172" s="87" t="str">
        <x:v>VIS-EGKR-MATHB-S26-ANSWERDOC-P001</x:v>
      </x:c>
      <x:c r="AE6172" s="87" t="str">
        <x:v>TASK; SECONDARY_ANSWER_SOURCE</x:v>
      </x:c>
      <x:c r="AF6172" s="87" t="str">
        <x:v>VIS-EGKR-MATHB-S26-TASK-959-P006: 6; VIS-EGKR-MATHB-S26-ANSWERDOC-P001: 1</x:v>
      </x:c>
      <x:c r="AG6172" s="87" t="str">
        <x:v>RESOLVED</x:v>
      </x:c>
      <x:c r="AH6172" s="87" t="str">
        <x:v>CROP_VERIFIED</x:v>
      </x:c>
      <x:c r="AI6172" s="30"/>
      <x:c r="AJ6172" s="87" t="str">
        <x:v>clean</x:v>
      </x:c>
      <x:c r="AK6172" s="87" t="str">
        <x:v>clean-v0.21</x:v>
      </x:c>
      <x:c r="AL6172" s="87" t="str">
        <x:v>statgrad_clean_continuation_v0_21(1).xlsx</x:v>
      </x:c>
      <x:c r="AM6172" s="87" t="str">
        <x:v>MATHB_S26_959</x:v>
      </x:c>
      <x:c r="AN6172" s="87" t="n">
        <x:v>14</x:v>
      </x:c>
    </x:row>
    <x:row r="6173">
      <x:c r="A6173" s="87" t="n">
        <x:v>6172</x:v>
      </x:c>
      <x:c r="B6173" s="87" t="str">
        <x:v>EGKR-S26-MATHB-959-14</x:v>
      </x:c>
      <x:c r="C6173" s="87" t="str">
        <x:v>ЕГКР</x:v>
      </x:c>
      <x:c r="D6173" s="87"/>
      <x:c r="E6173" s="87" t="str">
        <x:v>Весна 2026</x:v>
      </x:c>
      <x:c r="F6173" s="87" t="str">
        <x:v>07.04.2026</x:v>
      </x:c>
      <x:c r="G6173" s="87" t="str">
        <x:v>Математика (база)</x:v>
      </x:c>
      <x:c r="H6173" s="87" t="n">
        <x:v>11</x:v>
      </x:c>
      <x:c r="I6173" s="87"/>
      <x:c r="J6173" s="87" t="str">
        <x:v>959</x:v>
      </x:c>
      <x:c r="K6173" s="87" t="n">
        <x:v>14</x:v>
      </x:c>
      <x:c r="L6173" s="87" t="str">
        <x:v>Арифметическое выражение</x:v>
      </x:c>
      <x:c r="M6173" s="30" t="str">
        <x:v>Вычислить 0,15 : (3/7) + 1.</x:v>
      </x:c>
      <x:c r="N6173" s="30" t="str">
        <x:v>1,35</x:v>
      </x:c>
      <x:c r="O6173" s="30" t="str">
        <x:v>0,15·7/3+1=1,35.</x:v>
      </x:c>
      <x:c r="P6173" s="30"/>
      <x:c r="Q6173" s="30" t="str">
        <x:v>Независимый расчёт, визуальная страница и аудит внутреннего ответника.</x:v>
      </x:c>
      <x:c r="R6173" s="30" t="str">
        <x:v>1,35</x:v>
      </x:c>
      <x:c r="S6173" s="30"/>
      <x:c r="T6173" s="30" t="str">
        <x:v>Локальный PDF; для повреждённых мест — PandaExam.</x:v>
      </x:c>
      <x:c r="U6173" s="30" t="str">
        <x:v>Расхождений нет.</x:v>
      </x:c>
      <x:c r="V6173" s="87" t="str">
        <x:v>VERIFIED</x:v>
      </x:c>
      <x:c r="W6173" s="87"/>
      <x:c r="X6173" s="87" t="n">
        <x:v>6</x:v>
      </x:c>
      <x:c r="Y6173" s="87"/>
      <x:c r="Z6173" s="87"/>
      <x:c r="AA6173" s="87"/>
      <x:c r="AB6173" s="87"/>
      <x:c r="AC6173" s="87" t="str">
        <x:v>VIS-EGKR-MATHB-S26-TASK-959-P006</x:v>
      </x:c>
      <x:c r="AD6173" s="87" t="str">
        <x:v>VIS-EGKR-MATHB-S26-ANSWERDOC-P001</x:v>
      </x:c>
      <x:c r="AE6173" s="87" t="str">
        <x:v>TASK; SECONDARY_ANSWER_SOURCE</x:v>
      </x:c>
      <x:c r="AF6173" s="87" t="str">
        <x:v>VIS-EGKR-MATHB-S26-TASK-959-P006: 6; VIS-EGKR-MATHB-S26-ANSWERDOC-P001: 1</x:v>
      </x:c>
      <x:c r="AG6173" s="87" t="str">
        <x:v>RESOLVED</x:v>
      </x:c>
      <x:c r="AH6173" s="87" t="str">
        <x:v>CROP_VERIFIED</x:v>
      </x:c>
      <x:c r="AI6173" s="30"/>
      <x:c r="AJ6173" s="87" t="str">
        <x:v>clean</x:v>
      </x:c>
      <x:c r="AK6173" s="87" t="str">
        <x:v>clean-v0.21</x:v>
      </x:c>
      <x:c r="AL6173" s="87" t="str">
        <x:v>statgrad_clean_continuation_v0_21(1).xlsx</x:v>
      </x:c>
      <x:c r="AM6173" s="87" t="str">
        <x:v>MATHB_S26_959</x:v>
      </x:c>
      <x:c r="AN6173" s="87" t="n">
        <x:v>15</x:v>
      </x:c>
    </x:row>
    <x:row r="6174">
      <x:c r="A6174" s="87" t="n">
        <x:v>6173</x:v>
      </x:c>
      <x:c r="B6174" s="87" t="str">
        <x:v>EGKR-S26-MATHB-959-15</x:v>
      </x:c>
      <x:c r="C6174" s="87" t="str">
        <x:v>ЕГКР</x:v>
      </x:c>
      <x:c r="D6174" s="87"/>
      <x:c r="E6174" s="87" t="str">
        <x:v>Весна 2026</x:v>
      </x:c>
      <x:c r="F6174" s="87" t="str">
        <x:v>07.04.2026</x:v>
      </x:c>
      <x:c r="G6174" s="87" t="str">
        <x:v>Математика (база)</x:v>
      </x:c>
      <x:c r="H6174" s="87" t="n">
        <x:v>11</x:v>
      </x:c>
      <x:c r="I6174" s="87"/>
      <x:c r="J6174" s="87" t="str">
        <x:v>959</x:v>
      </x:c>
      <x:c r="K6174" s="87" t="n">
        <x:v>15</x:v>
      </x:c>
      <x:c r="L6174" s="87" t="str">
        <x:v>Отношения и пропорции</x:v>
      </x:c>
      <x:c r="M6174" s="30" t="str">
        <x:v>105 голосов распределены в отношении 2:5; найти число голосов победителя.</x:v>
      </x:c>
      <x:c r="N6174" s="30" t="str">
        <x:v>75</x:v>
      </x:c>
      <x:c r="O6174" s="30" t="str">
        <x:v>105·5/7=75.</x:v>
      </x:c>
      <x:c r="P6174" s="30"/>
      <x:c r="Q6174" s="30" t="str">
        <x:v>Независимый расчёт, визуальная страница и аудит внутреннего ответника.</x:v>
      </x:c>
      <x:c r="R6174" s="30" t="str">
        <x:v>75</x:v>
      </x:c>
      <x:c r="S6174" s="30"/>
      <x:c r="T6174" s="30" t="str">
        <x:v>Локальный PDF; для повреждённых мест — PandaExam.</x:v>
      </x:c>
      <x:c r="U6174" s="30" t="str">
        <x:v>Расхождений нет.</x:v>
      </x:c>
      <x:c r="V6174" s="87" t="str">
        <x:v>VERIFIED</x:v>
      </x:c>
      <x:c r="W6174" s="87"/>
      <x:c r="X6174" s="87" t="n">
        <x:v>6</x:v>
      </x:c>
      <x:c r="Y6174" s="87"/>
      <x:c r="Z6174" s="87"/>
      <x:c r="AA6174" s="87"/>
      <x:c r="AB6174" s="87"/>
      <x:c r="AC6174" s="87" t="str">
        <x:v>VIS-EGKR-MATHB-S26-TASK-959-P006</x:v>
      </x:c>
      <x:c r="AD6174" s="87" t="str">
        <x:v>VIS-EGKR-MATHB-S26-ANSWERDOC-P001</x:v>
      </x:c>
      <x:c r="AE6174" s="87" t="str">
        <x:v>TASK; SECONDARY_ANSWER_SOURCE</x:v>
      </x:c>
      <x:c r="AF6174" s="87" t="str">
        <x:v>VIS-EGKR-MATHB-S26-TASK-959-P006: 6; VIS-EGKR-MATHB-S26-ANSWERDOC-P001: 1</x:v>
      </x:c>
      <x:c r="AG6174" s="87" t="str">
        <x:v>RESOLVED</x:v>
      </x:c>
      <x:c r="AH6174" s="87" t="str">
        <x:v>CROP_VERIFIED</x:v>
      </x:c>
      <x:c r="AI6174" s="30"/>
      <x:c r="AJ6174" s="87" t="str">
        <x:v>clean</x:v>
      </x:c>
      <x:c r="AK6174" s="87" t="str">
        <x:v>clean-v0.21</x:v>
      </x:c>
      <x:c r="AL6174" s="87" t="str">
        <x:v>statgrad_clean_continuation_v0_21(1).xlsx</x:v>
      </x:c>
      <x:c r="AM6174" s="87" t="str">
        <x:v>MATHB_S26_959</x:v>
      </x:c>
      <x:c r="AN6174" s="87" t="n">
        <x:v>16</x:v>
      </x:c>
    </x:row>
    <x:row r="6175">
      <x:c r="A6175" s="87" t="n">
        <x:v>6174</x:v>
      </x:c>
      <x:c r="B6175" s="87" t="str">
        <x:v>EGKR-S26-MATHB-959-16</x:v>
      </x:c>
      <x:c r="C6175" s="87" t="str">
        <x:v>ЕГКР</x:v>
      </x:c>
      <x:c r="D6175" s="87"/>
      <x:c r="E6175" s="87" t="str">
        <x:v>Весна 2026</x:v>
      </x:c>
      <x:c r="F6175" s="87" t="str">
        <x:v>07.04.2026</x:v>
      </x:c>
      <x:c r="G6175" s="87" t="str">
        <x:v>Математика (база)</x:v>
      </x:c>
      <x:c r="H6175" s="87" t="n">
        <x:v>11</x:v>
      </x:c>
      <x:c r="I6175" s="87"/>
      <x:c r="J6175" s="87" t="str">
        <x:v>959</x:v>
      </x:c>
      <x:c r="K6175" s="87" t="n">
        <x:v>16</x:v>
      </x:c>
      <x:c r="L6175" s="87" t="str">
        <x:v>Стандартный вид числа</x:v>
      </x:c>
      <x:c r="M6175" s="30" t="str">
        <x:v>Вычислить 9,4·10² + 2,1·10³.</x:v>
      </x:c>
      <x:c r="N6175" s="30" t="str">
        <x:v>3040</x:v>
      </x:c>
      <x:c r="O6175" s="30" t="str">
        <x:v>940+2100=3040.</x:v>
      </x:c>
      <x:c r="P6175" s="30"/>
      <x:c r="Q6175" s="30" t="str">
        <x:v>Независимый расчёт, визуальная страница и аудит внутреннего ответника.</x:v>
      </x:c>
      <x:c r="R6175" s="30" t="str">
        <x:v>MISSING</x:v>
      </x:c>
      <x:c r="S6175" s="30"/>
      <x:c r="T6175" s="30" t="str">
        <x:v>Локальный PDF; для повреждённых мест — PandaExam.</x:v>
      </x:c>
      <x:c r="U6175" s="30" t="str">
        <x:v>Ответ отсутствовал во внутреннем ответнике и восстановлен независимо.</x:v>
      </x:c>
      <x:c r="V6175" s="87" t="str">
        <x:v>SOURCE_GAP_RECOVERED</x:v>
      </x:c>
      <x:c r="W6175" s="87"/>
      <x:c r="X6175" s="87" t="n">
        <x:v>6</x:v>
      </x:c>
      <x:c r="Y6175" s="87"/>
      <x:c r="Z6175" s="87"/>
      <x:c r="AA6175" s="87"/>
      <x:c r="AB6175" s="87"/>
      <x:c r="AC6175" s="87" t="str">
        <x:v>VIS-EGKR-MATHB-S26-TASK-959-P006</x:v>
      </x:c>
      <x:c r="AD6175" s="87" t="str">
        <x:v>VIS-EGKR-MATHB-S26-ANSWERDOC-P001</x:v>
      </x:c>
      <x:c r="AE6175" s="87" t="str">
        <x:v>TASK; SECONDARY_ANSWER_SOURCE</x:v>
      </x:c>
      <x:c r="AF6175" s="87" t="str">
        <x:v>VIS-EGKR-MATHB-S26-TASK-959-P006: 6; VIS-EGKR-MATHB-S26-ANSWERDOC-P001: 1</x:v>
      </x:c>
      <x:c r="AG6175" s="87" t="str">
        <x:v>RESOLVED</x:v>
      </x:c>
      <x:c r="AH6175" s="87" t="str">
        <x:v>CROP_VERIFIED</x:v>
      </x:c>
      <x:c r="AI6175" s="30"/>
      <x:c r="AJ6175" s="87" t="str">
        <x:v>clean</x:v>
      </x:c>
      <x:c r="AK6175" s="87" t="str">
        <x:v>clean-v0.21</x:v>
      </x:c>
      <x:c r="AL6175" s="87" t="str">
        <x:v>statgrad_clean_continuation_v0_21(1).xlsx</x:v>
      </x:c>
      <x:c r="AM6175" s="87" t="str">
        <x:v>MATHB_S26_959</x:v>
      </x:c>
      <x:c r="AN6175" s="87" t="n">
        <x:v>17</x:v>
      </x:c>
    </x:row>
    <x:row r="6176">
      <x:c r="A6176" s="87" t="n">
        <x:v>6175</x:v>
      </x:c>
      <x:c r="B6176" s="87" t="str">
        <x:v>EGKR-S26-MATHB-959-17</x:v>
      </x:c>
      <x:c r="C6176" s="87" t="str">
        <x:v>ЕГКР</x:v>
      </x:c>
      <x:c r="D6176" s="87"/>
      <x:c r="E6176" s="87" t="str">
        <x:v>Весна 2026</x:v>
      </x:c>
      <x:c r="F6176" s="87" t="str">
        <x:v>07.04.2026</x:v>
      </x:c>
      <x:c r="G6176" s="87" t="str">
        <x:v>Математика (база)</x:v>
      </x:c>
      <x:c r="H6176" s="87" t="n">
        <x:v>11</x:v>
      </x:c>
      <x:c r="I6176" s="87"/>
      <x:c r="J6176" s="87" t="str">
        <x:v>959</x:v>
      </x:c>
      <x:c r="K6176" s="87" t="n">
        <x:v>17</x:v>
      </x:c>
      <x:c r="L6176" s="87" t="str">
        <x:v>Логарифмическое уравнение</x:v>
      </x:c>
      <x:c r="M6176" s="30" t="str">
        <x:v>Решить log₃(4x−20)=3.</x:v>
      </x:c>
      <x:c r="N6176" s="30" t="str">
        <x:v>11,75</x:v>
      </x:c>
      <x:c r="O6176" s="30" t="str">
        <x:v>4x−20=27, x=47/4=11,75.</x:v>
      </x:c>
      <x:c r="P6176" s="30"/>
      <x:c r="Q6176" s="30" t="str">
        <x:v>Независимый расчёт, визуальная страница и аудит внутреннего ответника.</x:v>
      </x:c>
      <x:c r="R6176" s="30" t="str">
        <x:v>7</x:v>
      </x:c>
      <x:c r="S6176" s="30"/>
      <x:c r="T6176" s="30" t="str">
        <x:v>Локальный PDF; для повреждённых мест — PandaExam.</x:v>
      </x:c>
      <x:c r="U6176" s="30" t="str">
        <x:v>Ответник: 7; независимое решение: 11,75.</x:v>
      </x:c>
      <x:c r="V6176" s="87" t="str">
        <x:v>KEY_MISMATCH</x:v>
      </x:c>
      <x:c r="W6176" s="87"/>
      <x:c r="X6176" s="87" t="n">
        <x:v>7</x:v>
      </x:c>
      <x:c r="Y6176" s="87"/>
      <x:c r="Z6176" s="87"/>
      <x:c r="AA6176" s="87"/>
      <x:c r="AB6176" s="87"/>
      <x:c r="AC6176" s="87" t="str">
        <x:v>VIS-EGKR-MATHB-S26-TASK-959-P007</x:v>
      </x:c>
      <x:c r="AD6176" s="87" t="str">
        <x:v>VIS-EGKR-MATHB-S26-ANSWERDOC-P001</x:v>
      </x:c>
      <x:c r="AE6176" s="87" t="str">
        <x:v>TASK; SECONDARY_ANSWER_SOURCE</x:v>
      </x:c>
      <x:c r="AF6176" s="87" t="str">
        <x:v>VIS-EGKR-MATHB-S26-TASK-959-P007: 7; VIS-EGKR-MATHB-S26-ANSWERDOC-P001: 1</x:v>
      </x:c>
      <x:c r="AG6176" s="87" t="str">
        <x:v>RESOLVED</x:v>
      </x:c>
      <x:c r="AH6176" s="87" t="str">
        <x:v>CROP_VERIFIED</x:v>
      </x:c>
      <x:c r="AI6176" s="30"/>
      <x:c r="AJ6176" s="87" t="str">
        <x:v>clean</x:v>
      </x:c>
      <x:c r="AK6176" s="87" t="str">
        <x:v>clean-v0.21</x:v>
      </x:c>
      <x:c r="AL6176" s="87" t="str">
        <x:v>statgrad_clean_continuation_v0_21(1).xlsx</x:v>
      </x:c>
      <x:c r="AM6176" s="87" t="str">
        <x:v>MATHB_S26_959</x:v>
      </x:c>
      <x:c r="AN6176" s="87" t="n">
        <x:v>18</x:v>
      </x:c>
    </x:row>
    <x:row r="6177">
      <x:c r="A6177" s="87" t="n">
        <x:v>6176</x:v>
      </x:c>
      <x:c r="B6177" s="87" t="str">
        <x:v>EGKR-S26-MATHB-959-18</x:v>
      </x:c>
      <x:c r="C6177" s="87" t="str">
        <x:v>ЕГКР</x:v>
      </x:c>
      <x:c r="D6177" s="87"/>
      <x:c r="E6177" s="87" t="str">
        <x:v>Весна 2026</x:v>
      </x:c>
      <x:c r="F6177" s="87" t="str">
        <x:v>07.04.2026</x:v>
      </x:c>
      <x:c r="G6177" s="87" t="str">
        <x:v>Математика (база)</x:v>
      </x:c>
      <x:c r="H6177" s="87" t="n">
        <x:v>11</x:v>
      </x:c>
      <x:c r="I6177" s="87"/>
      <x:c r="J6177" s="87" t="str">
        <x:v>959</x:v>
      </x:c>
      <x:c r="K6177" s="87" t="n">
        <x:v>18</x:v>
      </x:c>
      <x:c r="L6177" s="87" t="str">
        <x:v>Рациональные неравенства</x:v>
      </x:c>
      <x:c r="M6177" s="30" t="str">
        <x:v>Соотнести четыре неравенства с промежутками решений; в первом варианте ответа опечатка в правой границе.</x:v>
      </x:c>
      <x:c r="N6177" s="30" t="str">
        <x:v>2314</x:v>
      </x:c>
      <x:c r="O6177" s="30" t="str">
        <x:v>Независимое решение даёт 2314; один промежуток напечатан с ошибкой.</x:v>
      </x:c>
      <x:c r="P6177" s="30"/>
      <x:c r="Q6177" s="30" t="str">
        <x:v>Независимый расчёт, визуальная страница и аудит внутреннего ответника.</x:v>
      </x:c>
      <x:c r="R6177" s="30" t="str">
        <x:v>1234</x:v>
      </x:c>
      <x:c r="S6177" s="30"/>
      <x:c r="T6177" s="30" t="str">
        <x:v>Локальный PDF; для повреждённых мест — PandaExam.</x:v>
      </x:c>
      <x:c r="U6177" s="30" t="str">
        <x:v>Формулировка повреждена; рабочая версия и ответ восстановлены по структуре задания и внешней публикации.</x:v>
      </x:c>
      <x:c r="V6177" s="87" t="str">
        <x:v>TASK_DEFECT_RECOVERED</x:v>
      </x:c>
      <x:c r="W6177" s="87"/>
      <x:c r="X6177" s="87" t="n">
        <x:v>7</x:v>
      </x:c>
      <x:c r="Y6177" s="87"/>
      <x:c r="Z6177" s="87"/>
      <x:c r="AA6177" s="87"/>
      <x:c r="AB6177" s="87"/>
      <x:c r="AC6177" s="87" t="str">
        <x:v>VIS-EGKR-MATHB-S26-TASK-959-P007</x:v>
      </x:c>
      <x:c r="AD6177" s="87" t="str">
        <x:v>VIS-EGKR-MATHB-S26-ANSWERDOC-P001</x:v>
      </x:c>
      <x:c r="AE6177" s="87" t="str">
        <x:v>TASK; SECONDARY_ANSWER_SOURCE</x:v>
      </x:c>
      <x:c r="AF6177" s="87" t="str">
        <x:v>VIS-EGKR-MATHB-S26-TASK-959-P007: 7; VIS-EGKR-MATHB-S26-ANSWERDOC-P001: 1</x:v>
      </x:c>
      <x:c r="AG6177" s="87" t="str">
        <x:v>RESOLVED</x:v>
      </x:c>
      <x:c r="AH6177" s="87" t="str">
        <x:v>CROP_VERIFIED</x:v>
      </x:c>
      <x:c r="AI6177" s="30"/>
      <x:c r="AJ6177" s="87" t="str">
        <x:v>clean</x:v>
      </x:c>
      <x:c r="AK6177" s="87" t="str">
        <x:v>clean-v0.21</x:v>
      </x:c>
      <x:c r="AL6177" s="87" t="str">
        <x:v>statgrad_clean_continuation_v0_21(1).xlsx</x:v>
      </x:c>
      <x:c r="AM6177" s="87" t="str">
        <x:v>MATHB_S26_959</x:v>
      </x:c>
      <x:c r="AN6177" s="87" t="n">
        <x:v>19</x:v>
      </x:c>
    </x:row>
    <x:row r="6178">
      <x:c r="A6178" s="87" t="n">
        <x:v>6177</x:v>
      </x:c>
      <x:c r="B6178" s="87" t="str">
        <x:v>EGKR-S26-MATHB-959-19</x:v>
      </x:c>
      <x:c r="C6178" s="87" t="str">
        <x:v>ЕГКР</x:v>
      </x:c>
      <x:c r="D6178" s="87"/>
      <x:c r="E6178" s="87" t="str">
        <x:v>Весна 2026</x:v>
      </x:c>
      <x:c r="F6178" s="87" t="str">
        <x:v>07.04.2026</x:v>
      </x:c>
      <x:c r="G6178" s="87" t="str">
        <x:v>Математика (база)</x:v>
      </x:c>
      <x:c r="H6178" s="87" t="n">
        <x:v>11</x:v>
      </x:c>
      <x:c r="I6178" s="87"/>
      <x:c r="J6178" s="87" t="str">
        <x:v>959</x:v>
      </x:c>
      <x:c r="K6178" s="87" t="n">
        <x:v>19</x:v>
      </x:c>
      <x:c r="L6178" s="87" t="str">
        <x:v>Числовая задача</x:v>
      </x:c>
      <x:c r="M6178" s="30" t="str">
        <x:v>Найти четырёхзначное число, равное кубу натурального числа, делённому на 3.</x:v>
      </x:c>
      <x:c r="N6178" s="30" t="str">
        <x:v>1125</x:v>
      </x:c>
      <x:c r="O6178" s="30" t="str">
        <x:v>15³/3=1125. Ответник 3267 не удовлетворяет условию.</x:v>
      </x:c>
      <x:c r="P6178" s="30"/>
      <x:c r="Q6178" s="30" t="str">
        <x:v>Независимый расчёт, визуальная страница и аудит внутреннего ответника.</x:v>
      </x:c>
      <x:c r="R6178" s="30" t="str">
        <x:v>3267</x:v>
      </x:c>
      <x:c r="S6178" s="30"/>
      <x:c r="T6178" s="30" t="str">
        <x:v>Локальный PDF; для повреждённых мест — PandaExam.</x:v>
      </x:c>
      <x:c r="U6178" s="30" t="str">
        <x:v>Ответник: 3267; независимое решение: 1125.</x:v>
      </x:c>
      <x:c r="V6178" s="87" t="str">
        <x:v>KEY_MISMATCH</x:v>
      </x:c>
      <x:c r="W6178" s="87"/>
      <x:c r="X6178" s="87" t="n">
        <x:v>7</x:v>
      </x:c>
      <x:c r="Y6178" s="87"/>
      <x:c r="Z6178" s="87"/>
      <x:c r="AA6178" s="87"/>
      <x:c r="AB6178" s="87"/>
      <x:c r="AC6178" s="87" t="str">
        <x:v>VIS-EGKR-MATHB-S26-TASK-959-P007</x:v>
      </x:c>
      <x:c r="AD6178" s="87" t="str">
        <x:v>VIS-EGKR-MATHB-S26-ANSWERDOC-P001</x:v>
      </x:c>
      <x:c r="AE6178" s="87" t="str">
        <x:v>TASK; SECONDARY_ANSWER_SOURCE</x:v>
      </x:c>
      <x:c r="AF6178" s="87" t="str">
        <x:v>VIS-EGKR-MATHB-S26-TASK-959-P007: 7; VIS-EGKR-MATHB-S26-ANSWERDOC-P001: 1</x:v>
      </x:c>
      <x:c r="AG6178" s="87" t="str">
        <x:v>RESOLVED</x:v>
      </x:c>
      <x:c r="AH6178" s="87" t="str">
        <x:v>CROP_VERIFIED</x:v>
      </x:c>
      <x:c r="AI6178" s="30"/>
      <x:c r="AJ6178" s="87" t="str">
        <x:v>clean</x:v>
      </x:c>
      <x:c r="AK6178" s="87" t="str">
        <x:v>clean-v0.21</x:v>
      </x:c>
      <x:c r="AL6178" s="87" t="str">
        <x:v>statgrad_clean_continuation_v0_21(1).xlsx</x:v>
      </x:c>
      <x:c r="AM6178" s="87" t="str">
        <x:v>MATHB_S26_959</x:v>
      </x:c>
      <x:c r="AN6178" s="87" t="n">
        <x:v>20</x:v>
      </x:c>
    </x:row>
    <x:row r="6179">
      <x:c r="A6179" s="87" t="n">
        <x:v>6178</x:v>
      </x:c>
      <x:c r="B6179" s="87" t="str">
        <x:v>EGKR-S26-MATHB-959-20</x:v>
      </x:c>
      <x:c r="C6179" s="87" t="str">
        <x:v>ЕГКР</x:v>
      </x:c>
      <x:c r="D6179" s="87"/>
      <x:c r="E6179" s="87" t="str">
        <x:v>Весна 2026</x:v>
      </x:c>
      <x:c r="F6179" s="87" t="str">
        <x:v>07.04.2026</x:v>
      </x:c>
      <x:c r="G6179" s="87" t="str">
        <x:v>Математика (база)</x:v>
      </x:c>
      <x:c r="H6179" s="87" t="n">
        <x:v>11</x:v>
      </x:c>
      <x:c r="I6179" s="87"/>
      <x:c r="J6179" s="87" t="str">
        <x:v>959</x:v>
      </x:c>
      <x:c r="K6179" s="87" t="n">
        <x:v>20</x:v>
      </x:c>
      <x:c r="L6179" s="87" t="str">
        <x:v>Задача на движение</x:v>
      </x:c>
      <x:c r="M6179" s="30" t="str">
        <x:v>Два пешехода идут к точке в 1,5 км со скоростями 2,4 и 4,8 км/ч; быстрый возвращается.</x:v>
      </x:c>
      <x:c r="N6179" s="30" t="str">
        <x:v>1</x:v>
      </x:c>
      <x:c r="O6179" s="30" t="str">
        <x:v>После разворота быстрого пешехода встреча происходит в 1 км от дома.</x:v>
      </x:c>
      <x:c r="P6179" s="30"/>
      <x:c r="Q6179" s="30" t="str">
        <x:v>Независимый расчёт, визуальная страница и аудит внутреннего ответника.</x:v>
      </x:c>
      <x:c r="R6179" s="30" t="str">
        <x:v>2</x:v>
      </x:c>
      <x:c r="S6179" s="30"/>
      <x:c r="T6179" s="30" t="str">
        <x:v>Локальный PDF; для повреждённых мест — PandaExam.</x:v>
      </x:c>
      <x:c r="U6179" s="30" t="str">
        <x:v>Ответник: 2; независимое решение: 1.</x:v>
      </x:c>
      <x:c r="V6179" s="87" t="str">
        <x:v>KEY_MISMATCH</x:v>
      </x:c>
      <x:c r="W6179" s="87"/>
      <x:c r="X6179" s="87" t="n">
        <x:v>7</x:v>
      </x:c>
      <x:c r="Y6179" s="87"/>
      <x:c r="Z6179" s="87"/>
      <x:c r="AA6179" s="87"/>
      <x:c r="AB6179" s="87"/>
      <x:c r="AC6179" s="87" t="str">
        <x:v>VIS-EGKR-MATHB-S26-TASK-959-P007</x:v>
      </x:c>
      <x:c r="AD6179" s="87" t="str">
        <x:v>VIS-EGKR-MATHB-S26-ANSWERDOC-P001</x:v>
      </x:c>
      <x:c r="AE6179" s="87" t="str">
        <x:v>TASK; SECONDARY_ANSWER_SOURCE</x:v>
      </x:c>
      <x:c r="AF6179" s="87" t="str">
        <x:v>VIS-EGKR-MATHB-S26-TASK-959-P007: 7; VIS-EGKR-MATHB-S26-ANSWERDOC-P001: 1</x:v>
      </x:c>
      <x:c r="AG6179" s="87" t="str">
        <x:v>RESOLVED</x:v>
      </x:c>
      <x:c r="AH6179" s="87" t="str">
        <x:v>CROP_VERIFIED</x:v>
      </x:c>
      <x:c r="AI6179" s="30"/>
      <x:c r="AJ6179" s="87" t="str">
        <x:v>clean</x:v>
      </x:c>
      <x:c r="AK6179" s="87" t="str">
        <x:v>clean-v0.21</x:v>
      </x:c>
      <x:c r="AL6179" s="87" t="str">
        <x:v>statgrad_clean_continuation_v0_21(1).xlsx</x:v>
      </x:c>
      <x:c r="AM6179" s="87" t="str">
        <x:v>MATHB_S26_959</x:v>
      </x:c>
      <x:c r="AN6179" s="87" t="n">
        <x:v>21</x:v>
      </x:c>
    </x:row>
    <x:row r="6180">
      <x:c r="A6180" s="87" t="n">
        <x:v>6179</x:v>
      </x:c>
      <x:c r="B6180" s="87" t="str">
        <x:v>EGKR-S26-MATHB-959-21</x:v>
      </x:c>
      <x:c r="C6180" s="87" t="str">
        <x:v>ЕГКР</x:v>
      </x:c>
      <x:c r="D6180" s="87"/>
      <x:c r="E6180" s="87" t="str">
        <x:v>Весна 2026</x:v>
      </x:c>
      <x:c r="F6180" s="87" t="str">
        <x:v>07.04.2026</x:v>
      </x:c>
      <x:c r="G6180" s="87" t="str">
        <x:v>Математика (база)</x:v>
      </x:c>
      <x:c r="H6180" s="87" t="n">
        <x:v>11</x:v>
      </x:c>
      <x:c r="I6180" s="87"/>
      <x:c r="J6180" s="87" t="str">
        <x:v>959</x:v>
      </x:c>
      <x:c r="K6180" s="87" t="n">
        <x:v>21</x:v>
      </x:c>
      <x:c r="L6180" s="87" t="str">
        <x:v>Целочисленная задача</x:v>
      </x:c>
      <x:c r="M6180" s="30" t="str">
        <x:v>Текст одновременно говорит о десяти квартирах и нумерации 1–18; приведённых данных недостаточно для единственного ответа.</x:v>
      </x:c>
      <x:c r="N6180" s="30"/>
      <x:c r="O6180" s="30" t="str">
        <x:v>Условие внутренне противоречиво и не задаёт единственный результат.</x:v>
      </x:c>
      <x:c r="P6180" s="30"/>
      <x:c r="Q6180" s="30" t="str">
        <x:v>Независимый расчёт, визуальная страница и аудит внутреннего ответника.</x:v>
      </x:c>
      <x:c r="R6180" s="30" t="str">
        <x:v>16</x:v>
      </x:c>
      <x:c r="S6180" s="30"/>
      <x:c r="T6180" s="30" t="str">
        <x:v>Локальный PDF; для повреждённых мест — PandaExam.</x:v>
      </x:c>
      <x:c r="U6180" s="30" t="str">
        <x:v>Формулировка не позволяет получить единственный надёжный ответ; канонический ответ не утверждается.</x:v>
      </x:c>
      <x:c r="V6180" s="87" t="str">
        <x:v>TASK_DEFECT</x:v>
      </x:c>
      <x:c r="W6180" s="87"/>
      <x:c r="X6180" s="87" t="n">
        <x:v>7</x:v>
      </x:c>
      <x:c r="Y6180" s="87"/>
      <x:c r="Z6180" s="87"/>
      <x:c r="AA6180" s="87"/>
      <x:c r="AB6180" s="87"/>
      <x:c r="AC6180" s="87" t="str">
        <x:v>VIS-EGKR-MATHB-S26-TASK-959-P007</x:v>
      </x:c>
      <x:c r="AD6180" s="87" t="str">
        <x:v>VIS-EGKR-MATHB-S26-ANSWERDOC-P001</x:v>
      </x:c>
      <x:c r="AE6180" s="87" t="str">
        <x:v>TASK; SECONDARY_ANSWER_SOURCE</x:v>
      </x:c>
      <x:c r="AF6180" s="87" t="str">
        <x:v>VIS-EGKR-MATHB-S26-TASK-959-P007: 7; VIS-EGKR-MATHB-S26-ANSWERDOC-P001: 1</x:v>
      </x:c>
      <x:c r="AG6180" s="87" t="str">
        <x:v>RESOLVED</x:v>
      </x:c>
      <x:c r="AH6180" s="87" t="str">
        <x:v>CROP_VERIFIED</x:v>
      </x:c>
      <x:c r="AI6180" s="30"/>
      <x:c r="AJ6180" s="87" t="str">
        <x:v>clean</x:v>
      </x:c>
      <x:c r="AK6180" s="87" t="str">
        <x:v>clean-v0.21</x:v>
      </x:c>
      <x:c r="AL6180" s="87" t="str">
        <x:v>statgrad_clean_continuation_v0_21(1).xlsx</x:v>
      </x:c>
      <x:c r="AM6180" s="87" t="str">
        <x:v>MATHB_S26_959</x:v>
      </x:c>
      <x:c r="AN6180" s="87" t="n">
        <x:v>22</x:v>
      </x:c>
    </x:row>
    <x:row r="6181">
      <x:c r="A6181" s="87" t="n">
        <x:v>6180</x:v>
      </x:c>
      <x:c r="B6181" s="87" t="str">
        <x:v>EGKR-S26-MATHB-961-01</x:v>
      </x:c>
      <x:c r="C6181" s="87" t="str">
        <x:v>ЕГКР</x:v>
      </x:c>
      <x:c r="D6181" s="87"/>
      <x:c r="E6181" s="87" t="str">
        <x:v>Весна 2026</x:v>
      </x:c>
      <x:c r="F6181" s="87" t="str">
        <x:v>07.04.2026</x:v>
      </x:c>
      <x:c r="G6181" s="87" t="str">
        <x:v>Математика (база)</x:v>
      </x:c>
      <x:c r="H6181" s="87" t="n">
        <x:v>11</x:v>
      </x:c>
      <x:c r="I6181" s="87"/>
      <x:c r="J6181" s="87" t="str">
        <x:v>961</x:v>
      </x:c>
      <x:c r="K6181" s="87" t="n">
        <x:v>1</x:v>
      </x:c>
      <x:c r="L6181" s="87" t="str">
        <x:v>Практическая арифметика</x:v>
      </x:c>
      <x:c r="M6181" s="30" t="str">
        <x:v>194 человека нужно перевезти автобусами вместимостью не более 30 пассажиров.</x:v>
      </x:c>
      <x:c r="N6181" s="30" t="str">
        <x:v>7</x:v>
      </x:c>
      <x:c r="O6181" s="30" t="str">
        <x:v>ceil(194/30)=7.</x:v>
      </x:c>
      <x:c r="P6181" s="30"/>
      <x:c r="Q6181" s="30" t="str">
        <x:v>Независимый расчёт, визуальная страница и аудит внутреннего ответника.</x:v>
      </x:c>
      <x:c r="R6181" s="30" t="str">
        <x:v>7</x:v>
      </x:c>
      <x:c r="S6181" s="30"/>
      <x:c r="T6181" s="30" t="str">
        <x:v>Локальный PDF; для повреждённых мест — PandaExam.</x:v>
      </x:c>
      <x:c r="U6181" s="30" t="str">
        <x:v>Расхождений нет.</x:v>
      </x:c>
      <x:c r="V6181" s="87" t="str">
        <x:v>VERIFIED</x:v>
      </x:c>
      <x:c r="W6181" s="87"/>
      <x:c r="X6181" s="87" t="n">
        <x:v>2</x:v>
      </x:c>
      <x:c r="Y6181" s="87"/>
      <x:c r="Z6181" s="87"/>
      <x:c r="AA6181" s="87"/>
      <x:c r="AB6181" s="87"/>
      <x:c r="AC6181" s="87" t="str">
        <x:v>VIS-EGKR-MATHB-S26-TASK-961-P002</x:v>
      </x:c>
      <x:c r="AD6181" s="87" t="str">
        <x:v>VIS-EGKR-MATHB-S26-ANSWERDOC-P002</x:v>
      </x:c>
      <x:c r="AE6181" s="87" t="str">
        <x:v>TASK; SECONDARY_ANSWER_SOURCE</x:v>
      </x:c>
      <x:c r="AF6181" s="87" t="str">
        <x:v>VIS-EGKR-MATHB-S26-TASK-961-P002: 2; VIS-EGKR-MATHB-S26-ANSWERDOC-P002: 2</x:v>
      </x:c>
      <x:c r="AG6181" s="87" t="str">
        <x:v>RESOLVED</x:v>
      </x:c>
      <x:c r="AH6181" s="87" t="str">
        <x:v>CROP_VERIFIED</x:v>
      </x:c>
      <x:c r="AI6181" s="30"/>
      <x:c r="AJ6181" s="87" t="str">
        <x:v>clean</x:v>
      </x:c>
      <x:c r="AK6181" s="87" t="str">
        <x:v>clean-v0.21</x:v>
      </x:c>
      <x:c r="AL6181" s="87" t="str">
        <x:v>statgrad_clean_continuation_v0_21(1).xlsx</x:v>
      </x:c>
      <x:c r="AM6181" s="87" t="str">
        <x:v>MATHB_S26_961</x:v>
      </x:c>
      <x:c r="AN6181" s="87" t="n">
        <x:v>2</x:v>
      </x:c>
    </x:row>
    <x:row r="6182">
      <x:c r="A6182" s="87" t="n">
        <x:v>6181</x:v>
      </x:c>
      <x:c r="B6182" s="87" t="str">
        <x:v>EGKR-S26-MATHB-961-02</x:v>
      </x:c>
      <x:c r="C6182" s="87" t="str">
        <x:v>ЕГКР</x:v>
      </x:c>
      <x:c r="D6182" s="87"/>
      <x:c r="E6182" s="87" t="str">
        <x:v>Весна 2026</x:v>
      </x:c>
      <x:c r="F6182" s="87" t="str">
        <x:v>07.04.2026</x:v>
      </x:c>
      <x:c r="G6182" s="87" t="str">
        <x:v>Математика (база)</x:v>
      </x:c>
      <x:c r="H6182" s="87" t="n">
        <x:v>11</x:v>
      </x:c>
      <x:c r="I6182" s="87"/>
      <x:c r="J6182" s="87" t="str">
        <x:v>961</x:v>
      </x:c>
      <x:c r="K6182" s="87" t="n">
        <x:v>2</x:v>
      </x:c>
      <x:c r="L6182" s="87" t="str">
        <x:v>Установление соответствия величин</x:v>
      </x:c>
      <x:c r="M6182" s="30" t="str">
        <x:v>Соотнести рост новорождённого, длину Волги, толщину лезвия и высоту Эльбруса со значениями.</x:v>
      </x:c>
      <x:c r="N6182" s="30" t="str">
        <x:v>2143</x:v>
      </x:c>
      <x:c r="O6182" s="30" t="str">
        <x:v>50 см, 3530 км, 0,08 мм, 5642 м → 2143.</x:v>
      </x:c>
      <x:c r="P6182" s="30"/>
      <x:c r="Q6182" s="30" t="str">
        <x:v>Независимый расчёт, визуальная страница и аудит внутреннего ответника.</x:v>
      </x:c>
      <x:c r="R6182" s="30" t="str">
        <x:v>2143</x:v>
      </x:c>
      <x:c r="S6182" s="30"/>
      <x:c r="T6182" s="30" t="str">
        <x:v>Локальный PDF; для повреждённых мест — PandaExam.</x:v>
      </x:c>
      <x:c r="U6182" s="30" t="str">
        <x:v>Расхождений нет.</x:v>
      </x:c>
      <x:c r="V6182" s="87" t="str">
        <x:v>VERIFIED</x:v>
      </x:c>
      <x:c r="W6182" s="87"/>
      <x:c r="X6182" s="87" t="n">
        <x:v>2</x:v>
      </x:c>
      <x:c r="Y6182" s="87"/>
      <x:c r="Z6182" s="87"/>
      <x:c r="AA6182" s="87"/>
      <x:c r="AB6182" s="87"/>
      <x:c r="AC6182" s="87" t="str">
        <x:v>VIS-EGKR-MATHB-S26-TASK-961-P002</x:v>
      </x:c>
      <x:c r="AD6182" s="87" t="str">
        <x:v>VIS-EGKR-MATHB-S26-ANSWERDOC-P002</x:v>
      </x:c>
      <x:c r="AE6182" s="87" t="str">
        <x:v>TASK; SECONDARY_ANSWER_SOURCE</x:v>
      </x:c>
      <x:c r="AF6182" s="87" t="str">
        <x:v>VIS-EGKR-MATHB-S26-TASK-961-P002: 2; VIS-EGKR-MATHB-S26-ANSWERDOC-P002: 2</x:v>
      </x:c>
      <x:c r="AG6182" s="87" t="str">
        <x:v>RESOLVED</x:v>
      </x:c>
      <x:c r="AH6182" s="87" t="str">
        <x:v>CROP_VERIFIED</x:v>
      </x:c>
      <x:c r="AI6182" s="30"/>
      <x:c r="AJ6182" s="87" t="str">
        <x:v>clean</x:v>
      </x:c>
      <x:c r="AK6182" s="87" t="str">
        <x:v>clean-v0.21</x:v>
      </x:c>
      <x:c r="AL6182" s="87" t="str">
        <x:v>statgrad_clean_continuation_v0_21(1).xlsx</x:v>
      </x:c>
      <x:c r="AM6182" s="87" t="str">
        <x:v>MATHB_S26_961</x:v>
      </x:c>
      <x:c r="AN6182" s="87" t="n">
        <x:v>3</x:v>
      </x:c>
    </x:row>
    <x:row r="6183">
      <x:c r="A6183" s="87" t="n">
        <x:v>6182</x:v>
      </x:c>
      <x:c r="B6183" s="87" t="str">
        <x:v>EGKR-S26-MATHB-961-03</x:v>
      </x:c>
      <x:c r="C6183" s="87" t="str">
        <x:v>ЕГКР</x:v>
      </x:c>
      <x:c r="D6183" s="87"/>
      <x:c r="E6183" s="87" t="str">
        <x:v>Весна 2026</x:v>
      </x:c>
      <x:c r="F6183" s="87" t="str">
        <x:v>07.04.2026</x:v>
      </x:c>
      <x:c r="G6183" s="87" t="str">
        <x:v>Математика (база)</x:v>
      </x:c>
      <x:c r="H6183" s="87" t="n">
        <x:v>11</x:v>
      </x:c>
      <x:c r="I6183" s="87"/>
      <x:c r="J6183" s="87" t="str">
        <x:v>961</x:v>
      </x:c>
      <x:c r="K6183" s="87" t="n">
        <x:v>3</x:v>
      </x:c>
      <x:c r="L6183" s="87" t="str">
        <x:v>Чтение графика</x:v>
      </x:c>
      <x:c r="M6183" s="30" t="str">
        <x:v>По графику определить атмосферное давление в среду в 18:00.</x:v>
      </x:c>
      <x:c r="N6183" s="30" t="str">
        <x:v>755</x:v>
      </x:c>
      <x:c r="O6183" s="30" t="str">
        <x:v>По графику в среду в 18:00 — 755 мм рт. ст.</x:v>
      </x:c>
      <x:c r="P6183" s="30"/>
      <x:c r="Q6183" s="30" t="str">
        <x:v>Независимый расчёт, визуальная страница и аудит внутреннего ответника.</x:v>
      </x:c>
      <x:c r="R6183" s="30" t="str">
        <x:v>755</x:v>
      </x:c>
      <x:c r="S6183" s="30"/>
      <x:c r="T6183" s="30" t="str">
        <x:v>Локальный PDF; для повреждённых мест — PandaExam.</x:v>
      </x:c>
      <x:c r="U6183" s="30" t="str">
        <x:v>Расхождений нет.</x:v>
      </x:c>
      <x:c r="V6183" s="87" t="str">
        <x:v>VERIFIED</x:v>
      </x:c>
      <x:c r="W6183" s="87"/>
      <x:c r="X6183" s="87" t="n">
        <x:v>3</x:v>
      </x:c>
      <x:c r="Y6183" s="87"/>
      <x:c r="Z6183" s="87"/>
      <x:c r="AA6183" s="87"/>
      <x:c r="AB6183" s="87"/>
      <x:c r="AC6183" s="87" t="str">
        <x:v>VIS-EGKR-MATHB-S26-TASK-961-P003</x:v>
      </x:c>
      <x:c r="AD6183" s="87" t="str">
        <x:v>VIS-EGKR-MATHB-S26-ANSWERDOC-P002</x:v>
      </x:c>
      <x:c r="AE6183" s="87" t="str">
        <x:v>TASK; SECONDARY_ANSWER_SOURCE</x:v>
      </x:c>
      <x:c r="AF6183" s="87" t="str">
        <x:v>VIS-EGKR-MATHB-S26-TASK-961-P003: 3; VIS-EGKR-MATHB-S26-ANSWERDOC-P002: 2</x:v>
      </x:c>
      <x:c r="AG6183" s="87" t="str">
        <x:v>RESOLVED</x:v>
      </x:c>
      <x:c r="AH6183" s="87" t="str">
        <x:v>CROP_VERIFIED</x:v>
      </x:c>
      <x:c r="AI6183" s="30"/>
      <x:c r="AJ6183" s="87" t="str">
        <x:v>clean</x:v>
      </x:c>
      <x:c r="AK6183" s="87" t="str">
        <x:v>clean-v0.21</x:v>
      </x:c>
      <x:c r="AL6183" s="87" t="str">
        <x:v>statgrad_clean_continuation_v0_21(1).xlsx</x:v>
      </x:c>
      <x:c r="AM6183" s="87" t="str">
        <x:v>MATHB_S26_961</x:v>
      </x:c>
      <x:c r="AN6183" s="87" t="n">
        <x:v>4</x:v>
      </x:c>
    </x:row>
    <x:row r="6184">
      <x:c r="A6184" s="87" t="n">
        <x:v>6183</x:v>
      </x:c>
      <x:c r="B6184" s="87" t="str">
        <x:v>EGKR-S26-MATHB-961-04</x:v>
      </x:c>
      <x:c r="C6184" s="87" t="str">
        <x:v>ЕГКР</x:v>
      </x:c>
      <x:c r="D6184" s="87"/>
      <x:c r="E6184" s="87" t="str">
        <x:v>Весна 2026</x:v>
      </x:c>
      <x:c r="F6184" s="87" t="str">
        <x:v>07.04.2026</x:v>
      </x:c>
      <x:c r="G6184" s="87" t="str">
        <x:v>Математика (база)</x:v>
      </x:c>
      <x:c r="H6184" s="87" t="n">
        <x:v>11</x:v>
      </x:c>
      <x:c r="I6184" s="87"/>
      <x:c r="J6184" s="87" t="str">
        <x:v>961</x:v>
      </x:c>
      <x:c r="K6184" s="87" t="n">
        <x:v>4</x:v>
      </x:c>
      <x:c r="L6184" s="87" t="str">
        <x:v>Применение формулы</x:v>
      </x:c>
      <x:c r="M6184" s="30" t="str">
        <x:v>По теореме синусов найти sin α при a=17, b=15, sin β=3/17.</x:v>
      </x:c>
      <x:c r="N6184" s="30" t="str">
        <x:v>0,2</x:v>
      </x:c>
      <x:c r="O6184" s="30" t="str">
        <x:v>sinα=17·(3/17)/15=0,2.</x:v>
      </x:c>
      <x:c r="P6184" s="30"/>
      <x:c r="Q6184" s="30" t="str">
        <x:v>Независимый расчёт, визуальная страница и аудит внутреннего ответника.</x:v>
      </x:c>
      <x:c r="R6184" s="30" t="str">
        <x:v>0,2</x:v>
      </x:c>
      <x:c r="S6184" s="30"/>
      <x:c r="T6184" s="30" t="str">
        <x:v>Локальный PDF; для повреждённых мест — PandaExam.</x:v>
      </x:c>
      <x:c r="U6184" s="30" t="str">
        <x:v>Расхождений нет.</x:v>
      </x:c>
      <x:c r="V6184" s="87" t="str">
        <x:v>VERIFIED</x:v>
      </x:c>
      <x:c r="W6184" s="87"/>
      <x:c r="X6184" s="87" t="n">
        <x:v>3</x:v>
      </x:c>
      <x:c r="Y6184" s="87"/>
      <x:c r="Z6184" s="87"/>
      <x:c r="AA6184" s="87"/>
      <x:c r="AB6184" s="87"/>
      <x:c r="AC6184" s="87" t="str">
        <x:v>VIS-EGKR-MATHB-S26-TASK-961-P003</x:v>
      </x:c>
      <x:c r="AD6184" s="87" t="str">
        <x:v>VIS-EGKR-MATHB-S26-ANSWERDOC-P002</x:v>
      </x:c>
      <x:c r="AE6184" s="87" t="str">
        <x:v>TASK; SECONDARY_ANSWER_SOURCE</x:v>
      </x:c>
      <x:c r="AF6184" s="87" t="str">
        <x:v>VIS-EGKR-MATHB-S26-TASK-961-P003: 3; VIS-EGKR-MATHB-S26-ANSWERDOC-P002: 2</x:v>
      </x:c>
      <x:c r="AG6184" s="87" t="str">
        <x:v>RESOLVED</x:v>
      </x:c>
      <x:c r="AH6184" s="87" t="str">
        <x:v>CROP_VERIFIED</x:v>
      </x:c>
      <x:c r="AI6184" s="30"/>
      <x:c r="AJ6184" s="87" t="str">
        <x:v>clean</x:v>
      </x:c>
      <x:c r="AK6184" s="87" t="str">
        <x:v>clean-v0.21</x:v>
      </x:c>
      <x:c r="AL6184" s="87" t="str">
        <x:v>statgrad_clean_continuation_v0_21(1).xlsx</x:v>
      </x:c>
      <x:c r="AM6184" s="87" t="str">
        <x:v>MATHB_S26_961</x:v>
      </x:c>
      <x:c r="AN6184" s="87" t="n">
        <x:v>5</x:v>
      </x:c>
    </x:row>
    <x:row r="6185">
      <x:c r="A6185" s="87" t="n">
        <x:v>6184</x:v>
      </x:c>
      <x:c r="B6185" s="87" t="str">
        <x:v>EGKR-S26-MATHB-961-05</x:v>
      </x:c>
      <x:c r="C6185" s="87" t="str">
        <x:v>ЕГКР</x:v>
      </x:c>
      <x:c r="D6185" s="87"/>
      <x:c r="E6185" s="87" t="str">
        <x:v>Весна 2026</x:v>
      </x:c>
      <x:c r="F6185" s="87" t="str">
        <x:v>07.04.2026</x:v>
      </x:c>
      <x:c r="G6185" s="87" t="str">
        <x:v>Математика (база)</x:v>
      </x:c>
      <x:c r="H6185" s="87" t="n">
        <x:v>11</x:v>
      </x:c>
      <x:c r="I6185" s="87"/>
      <x:c r="J6185" s="87" t="str">
        <x:v>961</x:v>
      </x:c>
      <x:c r="K6185" s="87" t="n">
        <x:v>5</x:v>
      </x:c>
      <x:c r="L6185" s="87" t="str">
        <x:v>Вероятность</x:v>
      </x:c>
      <x:c r="M6185" s="30" t="str">
        <x:v>Найти вероятность удобного места: 27 мест у выходов и 17 за перегородками из 400.</x:v>
      </x:c>
      <x:c r="N6185" s="30" t="str">
        <x:v>0,11</x:v>
      </x:c>
      <x:c r="O6185" s="30" t="str">
        <x:v>44/400=0,11.</x:v>
      </x:c>
      <x:c r="P6185" s="30"/>
      <x:c r="Q6185" s="30" t="str">
        <x:v>Независимый расчёт, визуальная страница и аудит внутреннего ответника.</x:v>
      </x:c>
      <x:c r="R6185" s="30" t="str">
        <x:v>0,11</x:v>
      </x:c>
      <x:c r="S6185" s="30"/>
      <x:c r="T6185" s="30" t="str">
        <x:v>Локальный PDF; для повреждённых мест — PandaExam.</x:v>
      </x:c>
      <x:c r="U6185" s="30" t="str">
        <x:v>Расхождений нет.</x:v>
      </x:c>
      <x:c r="V6185" s="87" t="str">
        <x:v>VERIFIED</x:v>
      </x:c>
      <x:c r="W6185" s="87"/>
      <x:c r="X6185" s="87" t="n">
        <x:v>3</x:v>
      </x:c>
      <x:c r="Y6185" s="87"/>
      <x:c r="Z6185" s="87"/>
      <x:c r="AA6185" s="87"/>
      <x:c r="AB6185" s="87"/>
      <x:c r="AC6185" s="87" t="str">
        <x:v>VIS-EGKR-MATHB-S26-TASK-961-P003</x:v>
      </x:c>
      <x:c r="AD6185" s="87" t="str">
        <x:v>VIS-EGKR-MATHB-S26-ANSWERDOC-P002</x:v>
      </x:c>
      <x:c r="AE6185" s="87" t="str">
        <x:v>TASK; SECONDARY_ANSWER_SOURCE</x:v>
      </x:c>
      <x:c r="AF6185" s="87" t="str">
        <x:v>VIS-EGKR-MATHB-S26-TASK-961-P003: 3; VIS-EGKR-MATHB-S26-ANSWERDOC-P002: 2</x:v>
      </x:c>
      <x:c r="AG6185" s="87" t="str">
        <x:v>RESOLVED</x:v>
      </x:c>
      <x:c r="AH6185" s="87" t="str">
        <x:v>CROP_VERIFIED</x:v>
      </x:c>
      <x:c r="AI6185" s="30"/>
      <x:c r="AJ6185" s="87" t="str">
        <x:v>clean</x:v>
      </x:c>
      <x:c r="AK6185" s="87" t="str">
        <x:v>clean-v0.21</x:v>
      </x:c>
      <x:c r="AL6185" s="87" t="str">
        <x:v>statgrad_clean_continuation_v0_21(1).xlsx</x:v>
      </x:c>
      <x:c r="AM6185" s="87" t="str">
        <x:v>MATHB_S26_961</x:v>
      </x:c>
      <x:c r="AN6185" s="87" t="n">
        <x:v>6</x:v>
      </x:c>
    </x:row>
    <x:row r="6186">
      <x:c r="A6186" s="87" t="n">
        <x:v>6185</x:v>
      </x:c>
      <x:c r="B6186" s="87" t="str">
        <x:v>EGKR-S26-MATHB-961-06</x:v>
      </x:c>
      <x:c r="C6186" s="87" t="str">
        <x:v>ЕГКР</x:v>
      </x:c>
      <x:c r="D6186" s="87"/>
      <x:c r="E6186" s="87" t="str">
        <x:v>Весна 2026</x:v>
      </x:c>
      <x:c r="F6186" s="87" t="str">
        <x:v>07.04.2026</x:v>
      </x:c>
      <x:c r="G6186" s="87" t="str">
        <x:v>Математика (база)</x:v>
      </x:c>
      <x:c r="H6186" s="87" t="n">
        <x:v>11</x:v>
      </x:c>
      <x:c r="I6186" s="87"/>
      <x:c r="J6186" s="87" t="str">
        <x:v>961</x:v>
      </x:c>
      <x:c r="K6186" s="87" t="n">
        <x:v>6</x:v>
      </x:c>
      <x:c r="L6186" s="87" t="str">
        <x:v>Анализ таблицы</x:v>
      </x:c>
      <x:c r="M6186" s="30" t="str">
        <x:v>По таблице олимпиад выбрать учеников с русским языком ниже 75 и похвальной грамотой.</x:v>
      </x:c>
      <x:c r="N6186" s="30" t="str">
        <x:v>13</x:v>
      </x:c>
      <x:c r="O6186" s="30" t="str">
        <x:v>Подходят ученики 1 и 3.</x:v>
      </x:c>
      <x:c r="P6186" s="30"/>
      <x:c r="Q6186" s="30" t="str">
        <x:v>Независимый расчёт, визуальная страница и аудит внутреннего ответника.</x:v>
      </x:c>
      <x:c r="R6186" s="30" t="str">
        <x:v>13</x:v>
      </x:c>
      <x:c r="S6186" s="30"/>
      <x:c r="T6186" s="30" t="str">
        <x:v>Локальный PDF; для повреждённых мест — PandaExam.</x:v>
      </x:c>
      <x:c r="U6186" s="30" t="str">
        <x:v>Расхождений нет.</x:v>
      </x:c>
      <x:c r="V6186" s="87" t="str">
        <x:v>VERIFIED</x:v>
      </x:c>
      <x:c r="W6186" s="87"/>
      <x:c r="X6186" s="87" t="n">
        <x:v>4</x:v>
      </x:c>
      <x:c r="Y6186" s="87"/>
      <x:c r="Z6186" s="87"/>
      <x:c r="AA6186" s="87"/>
      <x:c r="AB6186" s="87"/>
      <x:c r="AC6186" s="87" t="str">
        <x:v>VIS-EGKR-MATHB-S26-TASK-961-P004</x:v>
      </x:c>
      <x:c r="AD6186" s="87" t="str">
        <x:v>VIS-EGKR-MATHB-S26-ANSWERDOC-P002</x:v>
      </x:c>
      <x:c r="AE6186" s="87" t="str">
        <x:v>TASK; SECONDARY_ANSWER_SOURCE</x:v>
      </x:c>
      <x:c r="AF6186" s="87" t="str">
        <x:v>VIS-EGKR-MATHB-S26-TASK-961-P004: 4; VIS-EGKR-MATHB-S26-ANSWERDOC-P002: 2</x:v>
      </x:c>
      <x:c r="AG6186" s="87" t="str">
        <x:v>RESOLVED</x:v>
      </x:c>
      <x:c r="AH6186" s="87" t="str">
        <x:v>CROP_VERIFIED; TASK_CROP_QA_APPROVED:USE_TIGHT</x:v>
      </x:c>
      <x:c r="AI6186" s="30"/>
      <x:c r="AJ6186" s="87" t="str">
        <x:v>clean</x:v>
      </x:c>
      <x:c r="AK6186" s="87" t="str">
        <x:v>clean-v0.21</x:v>
      </x:c>
      <x:c r="AL6186" s="87" t="str">
        <x:v>statgrad_clean_continuation_v0_21(1).xlsx</x:v>
      </x:c>
      <x:c r="AM6186" s="87" t="str">
        <x:v>MATHB_S26_961</x:v>
      </x:c>
      <x:c r="AN6186" s="87" t="n">
        <x:v>7</x:v>
      </x:c>
    </x:row>
    <x:row r="6187">
      <x:c r="A6187" s="87" t="n">
        <x:v>6186</x:v>
      </x:c>
      <x:c r="B6187" s="87" t="str">
        <x:v>EGKR-S26-MATHB-961-07</x:v>
      </x:c>
      <x:c r="C6187" s="87" t="str">
        <x:v>ЕГКР</x:v>
      </x:c>
      <x:c r="D6187" s="87"/>
      <x:c r="E6187" s="87" t="str">
        <x:v>Весна 2026</x:v>
      </x:c>
      <x:c r="F6187" s="87" t="str">
        <x:v>07.04.2026</x:v>
      </x:c>
      <x:c r="G6187" s="87" t="str">
        <x:v>Математика (база)</x:v>
      </x:c>
      <x:c r="H6187" s="87" t="n">
        <x:v>11</x:v>
      </x:c>
      <x:c r="I6187" s="87"/>
      <x:c r="J6187" s="87" t="str">
        <x:v>961</x:v>
      </x:c>
      <x:c r="K6187" s="87" t="n">
        <x:v>7</x:v>
      </x:c>
      <x:c r="L6187" s="87" t="str">
        <x:v>Свойства функций</x:v>
      </x:c>
      <x:c r="M6187" s="30" t="str">
        <x:v>Соотнести две линейные и две квадратичные функции с характеристиками.</x:v>
      </x:c>
      <x:c r="N6187" s="30" t="str">
        <x:v>4213</x:v>
      </x:c>
      <x:c r="O6187" s="30" t="str">
        <x:v>Минимум, возрастание, убывание, максимум → 4213.</x:v>
      </x:c>
      <x:c r="P6187" s="30"/>
      <x:c r="Q6187" s="30" t="str">
        <x:v>Независимый расчёт, визуальная страница и аудит внутреннего ответника.</x:v>
      </x:c>
      <x:c r="R6187" s="30" t="str">
        <x:v>4213</x:v>
      </x:c>
      <x:c r="S6187" s="30"/>
      <x:c r="T6187" s="30" t="str">
        <x:v>Локальный PDF; для повреждённых мест — PandaExam.</x:v>
      </x:c>
      <x:c r="U6187" s="30" t="str">
        <x:v>Расхождений нет.</x:v>
      </x:c>
      <x:c r="V6187" s="87" t="str">
        <x:v>VERIFIED</x:v>
      </x:c>
      <x:c r="W6187" s="87"/>
      <x:c r="X6187" s="87" t="n">
        <x:v>5</x:v>
      </x:c>
      <x:c r="Y6187" s="87"/>
      <x:c r="Z6187" s="87"/>
      <x:c r="AA6187" s="87"/>
      <x:c r="AB6187" s="87"/>
      <x:c r="AC6187" s="87" t="str">
        <x:v>VIS-EGKR-MATHB-S26-TASK-961-P005</x:v>
      </x:c>
      <x:c r="AD6187" s="87" t="str">
        <x:v>VIS-EGKR-MATHB-S26-ANSWERDOC-P002</x:v>
      </x:c>
      <x:c r="AE6187" s="87" t="str">
        <x:v>TASK; SECONDARY_ANSWER_SOURCE</x:v>
      </x:c>
      <x:c r="AF6187" s="87" t="str">
        <x:v>VIS-EGKR-MATHB-S26-TASK-961-P005: 5; VIS-EGKR-MATHB-S26-ANSWERDOC-P002: 2</x:v>
      </x:c>
      <x:c r="AG6187" s="87" t="str">
        <x:v>RESOLVED</x:v>
      </x:c>
      <x:c r="AH6187" s="87" t="str">
        <x:v>CROP_VERIFIED</x:v>
      </x:c>
      <x:c r="AI6187" s="30"/>
      <x:c r="AJ6187" s="87" t="str">
        <x:v>clean</x:v>
      </x:c>
      <x:c r="AK6187" s="87" t="str">
        <x:v>clean-v0.21</x:v>
      </x:c>
      <x:c r="AL6187" s="87" t="str">
        <x:v>statgrad_clean_continuation_v0_21(1).xlsx</x:v>
      </x:c>
      <x:c r="AM6187" s="87" t="str">
        <x:v>MATHB_S26_961</x:v>
      </x:c>
      <x:c r="AN6187" s="87" t="n">
        <x:v>8</x:v>
      </x:c>
    </x:row>
    <x:row r="6188">
      <x:c r="A6188" s="87" t="n">
        <x:v>6187</x:v>
      </x:c>
      <x:c r="B6188" s="87" t="str">
        <x:v>EGKR-S26-MATHB-961-08</x:v>
      </x:c>
      <x:c r="C6188" s="87" t="str">
        <x:v>ЕГКР</x:v>
      </x:c>
      <x:c r="D6188" s="87"/>
      <x:c r="E6188" s="87" t="str">
        <x:v>Весна 2026</x:v>
      </x:c>
      <x:c r="F6188" s="87" t="str">
        <x:v>07.04.2026</x:v>
      </x:c>
      <x:c r="G6188" s="87" t="str">
        <x:v>Математика (база)</x:v>
      </x:c>
      <x:c r="H6188" s="87" t="n">
        <x:v>11</x:v>
      </x:c>
      <x:c r="I6188" s="87"/>
      <x:c r="J6188" s="87" t="str">
        <x:v>961</x:v>
      </x:c>
      <x:c r="K6188" s="87" t="n">
        <x:v>8</x:v>
      </x:c>
      <x:c r="L6188" s="87" t="str">
        <x:v>Логические утверждения</x:v>
      </x:c>
      <x:c r="M6188" s="30" t="str">
        <x:v>Для 20 человек, 15 пользователей ОК и 10 пользователей ВК выбрать гарантированно верные утверждения.</x:v>
      </x:c>
      <x:c r="N6188" s="30" t="str">
        <x:v>13</x:v>
      </x:c>
      <x:c r="O6188" s="30" t="str">
        <x:v>Минимум пересечения равен 5, максимум 10; верны пункты 1 и 3.</x:v>
      </x:c>
      <x:c r="P6188" s="30"/>
      <x:c r="Q6188" s="30" t="str">
        <x:v>Независимый расчёт, визуальная страница и аудит внутреннего ответника.</x:v>
      </x:c>
      <x:c r="R6188" s="30" t="str">
        <x:v>13</x:v>
      </x:c>
      <x:c r="S6188" s="30"/>
      <x:c r="T6188" s="30" t="str">
        <x:v>Локальный PDF; для повреждённых мест — PandaExam.</x:v>
      </x:c>
      <x:c r="U6188" s="30" t="str">
        <x:v>Расхождений нет.</x:v>
      </x:c>
      <x:c r="V6188" s="87" t="str">
        <x:v>VERIFIED</x:v>
      </x:c>
      <x:c r="W6188" s="87"/>
      <x:c r="X6188" s="87" t="n">
        <x:v>6</x:v>
      </x:c>
      <x:c r="Y6188" s="87"/>
      <x:c r="Z6188" s="87"/>
      <x:c r="AA6188" s="87"/>
      <x:c r="AB6188" s="87"/>
      <x:c r="AC6188" s="87" t="str">
        <x:v>VIS-EGKR-MATHB-S26-TASK-961-P006</x:v>
      </x:c>
      <x:c r="AD6188" s="87" t="str">
        <x:v>VIS-EGKR-MATHB-S26-ANSWERDOC-P002</x:v>
      </x:c>
      <x:c r="AE6188" s="87" t="str">
        <x:v>TASK; SECONDARY_ANSWER_SOURCE</x:v>
      </x:c>
      <x:c r="AF6188" s="87" t="str">
        <x:v>VIS-EGKR-MATHB-S26-TASK-961-P006: 6; VIS-EGKR-MATHB-S26-ANSWERDOC-P002: 2</x:v>
      </x:c>
      <x:c r="AG6188" s="87" t="str">
        <x:v>RESOLVED</x:v>
      </x:c>
      <x:c r="AH6188" s="87" t="str">
        <x:v>CROP_VERIFIED</x:v>
      </x:c>
      <x:c r="AI6188" s="30"/>
      <x:c r="AJ6188" s="87" t="str">
        <x:v>clean</x:v>
      </x:c>
      <x:c r="AK6188" s="87" t="str">
        <x:v>clean-v0.21</x:v>
      </x:c>
      <x:c r="AL6188" s="87" t="str">
        <x:v>statgrad_clean_continuation_v0_21(1).xlsx</x:v>
      </x:c>
      <x:c r="AM6188" s="87" t="str">
        <x:v>MATHB_S26_961</x:v>
      </x:c>
      <x:c r="AN6188" s="87" t="n">
        <x:v>9</x:v>
      </x:c>
    </x:row>
    <x:row r="6189">
      <x:c r="A6189" s="87" t="n">
        <x:v>6188</x:v>
      </x:c>
      <x:c r="B6189" s="87" t="str">
        <x:v>EGKR-S26-MATHB-961-09</x:v>
      </x:c>
      <x:c r="C6189" s="87" t="str">
        <x:v>ЕГКР</x:v>
      </x:c>
      <x:c r="D6189" s="87"/>
      <x:c r="E6189" s="87" t="str">
        <x:v>Весна 2026</x:v>
      </x:c>
      <x:c r="F6189" s="87" t="str">
        <x:v>07.04.2026</x:v>
      </x:c>
      <x:c r="G6189" s="87" t="str">
        <x:v>Математика (база)</x:v>
      </x:c>
      <x:c r="H6189" s="87" t="n">
        <x:v>11</x:v>
      </x:c>
      <x:c r="I6189" s="87"/>
      <x:c r="J6189" s="87" t="str">
        <x:v>961</x:v>
      </x:c>
      <x:c r="K6189" s="87" t="n">
        <x:v>9</x:v>
      </x:c>
      <x:c r="L6189" s="87" t="str">
        <x:v>Площадь по клеткам</x:v>
      </x:c>
      <x:c r="M6189" s="30" t="str">
        <x:v>Найти площадь трапеции на клетчатом плане.</x:v>
      </x:c>
      <x:c r="N6189" s="30" t="str">
        <x:v>9</x:v>
      </x:c>
      <x:c r="O6189" s="30" t="str">
        <x:v>Площадь трапеции равна 9.</x:v>
      </x:c>
      <x:c r="P6189" s="30"/>
      <x:c r="Q6189" s="30" t="str">
        <x:v>Независимый расчёт, визуальная страница и аудит внутреннего ответника.</x:v>
      </x:c>
      <x:c r="R6189" s="30" t="str">
        <x:v>9</x:v>
      </x:c>
      <x:c r="S6189" s="30"/>
      <x:c r="T6189" s="30" t="str">
        <x:v>Локальный PDF; для повреждённых мест — PandaExam.</x:v>
      </x:c>
      <x:c r="U6189" s="30" t="str">
        <x:v>Расхождений нет.</x:v>
      </x:c>
      <x:c r="V6189" s="87" t="str">
        <x:v>VERIFIED</x:v>
      </x:c>
      <x:c r="W6189" s="87"/>
      <x:c r="X6189" s="87" t="n">
        <x:v>6</x:v>
      </x:c>
      <x:c r="Y6189" s="87"/>
      <x:c r="Z6189" s="87"/>
      <x:c r="AA6189" s="87"/>
      <x:c r="AB6189" s="87"/>
      <x:c r="AC6189" s="87" t="str">
        <x:v>VIS-EGKR-MATHB-S26-TASK-961-P006</x:v>
      </x:c>
      <x:c r="AD6189" s="87" t="str">
        <x:v>VIS-EGKR-MATHB-S26-ANSWERDOC-P002</x:v>
      </x:c>
      <x:c r="AE6189" s="87" t="str">
        <x:v>TASK; SECONDARY_ANSWER_SOURCE</x:v>
      </x:c>
      <x:c r="AF6189" s="87" t="str">
        <x:v>VIS-EGKR-MATHB-S26-TASK-961-P006: 6; VIS-EGKR-MATHB-S26-ANSWERDOC-P002: 2</x:v>
      </x:c>
      <x:c r="AG6189" s="87" t="str">
        <x:v>RESOLVED</x:v>
      </x:c>
      <x:c r="AH6189" s="87" t="str">
        <x:v>CROP_VERIFIED</x:v>
      </x:c>
      <x:c r="AI6189" s="30"/>
      <x:c r="AJ6189" s="87" t="str">
        <x:v>clean</x:v>
      </x:c>
      <x:c r="AK6189" s="87" t="str">
        <x:v>clean-v0.21</x:v>
      </x:c>
      <x:c r="AL6189" s="87" t="str">
        <x:v>statgrad_clean_continuation_v0_21(1).xlsx</x:v>
      </x:c>
      <x:c r="AM6189" s="87" t="str">
        <x:v>MATHB_S26_961</x:v>
      </x:c>
      <x:c r="AN6189" s="87" t="n">
        <x:v>10</x:v>
      </x:c>
    </x:row>
    <x:row r="6190">
      <x:c r="A6190" s="87" t="n">
        <x:v>6189</x:v>
      </x:c>
      <x:c r="B6190" s="87" t="str">
        <x:v>EGKR-S26-MATHB-961-10</x:v>
      </x:c>
      <x:c r="C6190" s="87" t="str">
        <x:v>ЕГКР</x:v>
      </x:c>
      <x:c r="D6190" s="87"/>
      <x:c r="E6190" s="87" t="str">
        <x:v>Весна 2026</x:v>
      </x:c>
      <x:c r="F6190" s="87" t="str">
        <x:v>07.04.2026</x:v>
      </x:c>
      <x:c r="G6190" s="87" t="str">
        <x:v>Математика (база)</x:v>
      </x:c>
      <x:c r="H6190" s="87" t="n">
        <x:v>11</x:v>
      </x:c>
      <x:c r="I6190" s="87"/>
      <x:c r="J6190" s="87" t="str">
        <x:v>961</x:v>
      </x:c>
      <x:c r="K6190" s="87" t="n">
        <x:v>10</x:v>
      </x:c>
      <x:c r="L6190" s="87" t="str">
        <x:v>Практическая геометрия</x:v>
      </x:c>
      <x:c r="M6190" s="30" t="str">
        <x:v>Покрыть комнату 3×9 м дощечками 5×30 см.</x:v>
      </x:c>
      <x:c r="N6190" s="30" t="str">
        <x:v>1800</x:v>
      </x:c>
      <x:c r="O6190" s="30" t="str">
        <x:v>27 м² / 0,015 м² = 1800.</x:v>
      </x:c>
      <x:c r="P6190" s="30"/>
      <x:c r="Q6190" s="30" t="str">
        <x:v>Независимый расчёт, визуальная страница и аудит внутреннего ответника.</x:v>
      </x:c>
      <x:c r="R6190" s="30" t="str">
        <x:v>1800</x:v>
      </x:c>
      <x:c r="S6190" s="30"/>
      <x:c r="T6190" s="30" t="str">
        <x:v>Локальный PDF; для повреждённых мест — PandaExam.</x:v>
      </x:c>
      <x:c r="U6190" s="30" t="str">
        <x:v>Расхождений нет.</x:v>
      </x:c>
      <x:c r="V6190" s="87" t="str">
        <x:v>VERIFIED</x:v>
      </x:c>
      <x:c r="W6190" s="87"/>
      <x:c r="X6190" s="87" t="n">
        <x:v>6</x:v>
      </x:c>
      <x:c r="Y6190" s="87"/>
      <x:c r="Z6190" s="87"/>
      <x:c r="AA6190" s="87"/>
      <x:c r="AB6190" s="87"/>
      <x:c r="AC6190" s="87" t="str">
        <x:v>VIS-EGKR-MATHB-S26-TASK-961-P006</x:v>
      </x:c>
      <x:c r="AD6190" s="87" t="str">
        <x:v>VIS-EGKR-MATHB-S26-ANSWERDOC-P002</x:v>
      </x:c>
      <x:c r="AE6190" s="87" t="str">
        <x:v>TASK; SECONDARY_ANSWER_SOURCE</x:v>
      </x:c>
      <x:c r="AF6190" s="87" t="str">
        <x:v>VIS-EGKR-MATHB-S26-TASK-961-P006: 6; VIS-EGKR-MATHB-S26-ANSWERDOC-P002: 2</x:v>
      </x:c>
      <x:c r="AG6190" s="87" t="str">
        <x:v>RESOLVED</x:v>
      </x:c>
      <x:c r="AH6190" s="87" t="str">
        <x:v>CROP_VERIFIED</x:v>
      </x:c>
      <x:c r="AI6190" s="30"/>
      <x:c r="AJ6190" s="87" t="str">
        <x:v>clean</x:v>
      </x:c>
      <x:c r="AK6190" s="87" t="str">
        <x:v>clean-v0.21</x:v>
      </x:c>
      <x:c r="AL6190" s="87" t="str">
        <x:v>statgrad_clean_continuation_v0_21(1).xlsx</x:v>
      </x:c>
      <x:c r="AM6190" s="87" t="str">
        <x:v>MATHB_S26_961</x:v>
      </x:c>
      <x:c r="AN6190" s="87" t="n">
        <x:v>11</x:v>
      </x:c>
    </x:row>
    <x:row r="6191">
      <x:c r="A6191" s="87" t="n">
        <x:v>6190</x:v>
      </x:c>
      <x:c r="B6191" s="87" t="str">
        <x:v>EGKR-S26-MATHB-961-11</x:v>
      </x:c>
      <x:c r="C6191" s="87" t="str">
        <x:v>ЕГКР</x:v>
      </x:c>
      <x:c r="D6191" s="87"/>
      <x:c r="E6191" s="87" t="str">
        <x:v>Весна 2026</x:v>
      </x:c>
      <x:c r="F6191" s="87" t="str">
        <x:v>07.04.2026</x:v>
      </x:c>
      <x:c r="G6191" s="87" t="str">
        <x:v>Математика (база)</x:v>
      </x:c>
      <x:c r="H6191" s="87" t="n">
        <x:v>11</x:v>
      </x:c>
      <x:c r="I6191" s="87"/>
      <x:c r="J6191" s="87" t="str">
        <x:v>961</x:v>
      </x:c>
      <x:c r="K6191" s="87" t="n">
        <x:v>11</x:v>
      </x:c>
      <x:c r="L6191" s="87" t="str">
        <x:v>Подобие пространственных фигур</x:v>
      </x:c>
      <x:c r="M6191" s="30" t="str">
        <x:v>Найти высоту копии пирамиды при масштабе 21 см к 210 м и высоте оригинала 136 м.</x:v>
      </x:c>
      <x:c r="N6191" s="30" t="str">
        <x:v>136</x:v>
      </x:c>
      <x:c r="O6191" s="30" t="str">
        <x:v>Масштаб 1:1000; высота копии 136 см.</x:v>
      </x:c>
      <x:c r="P6191" s="30"/>
      <x:c r="Q6191" s="30" t="str">
        <x:v>Независимый расчёт, визуальная страница и аудит внутреннего ответника.</x:v>
      </x:c>
      <x:c r="R6191" s="30" t="str">
        <x:v>13,6</x:v>
      </x:c>
      <x:c r="S6191" s="30"/>
      <x:c r="T6191" s="30" t="str">
        <x:v>Локальный PDF; для повреждённых мест — PandaExam.</x:v>
      </x:c>
      <x:c r="U6191" s="30" t="str">
        <x:v>Ответник: 13,6; независимое решение: 136.</x:v>
      </x:c>
      <x:c r="V6191" s="87" t="str">
        <x:v>KEY_MISMATCH</x:v>
      </x:c>
      <x:c r="W6191" s="87"/>
      <x:c r="X6191" s="87" t="n">
        <x:v>7</x:v>
      </x:c>
      <x:c r="Y6191" s="87"/>
      <x:c r="Z6191" s="87"/>
      <x:c r="AA6191" s="87"/>
      <x:c r="AB6191" s="87"/>
      <x:c r="AC6191" s="87" t="str">
        <x:v>VIS-EGKR-MATHB-S26-TASK-961-P007</x:v>
      </x:c>
      <x:c r="AD6191" s="87" t="str">
        <x:v>VIS-EGKR-MATHB-S26-ANSWERDOC-P002</x:v>
      </x:c>
      <x:c r="AE6191" s="87" t="str">
        <x:v>TASK; SECONDARY_ANSWER_SOURCE</x:v>
      </x:c>
      <x:c r="AF6191" s="87" t="str">
        <x:v>VIS-EGKR-MATHB-S26-TASK-961-P007: 7; VIS-EGKR-MATHB-S26-ANSWERDOC-P002: 2</x:v>
      </x:c>
      <x:c r="AG6191" s="87" t="str">
        <x:v>RESOLVED</x:v>
      </x:c>
      <x:c r="AH6191" s="87" t="str">
        <x:v>CROP_VERIFIED</x:v>
      </x:c>
      <x:c r="AI6191" s="30"/>
      <x:c r="AJ6191" s="87" t="str">
        <x:v>clean</x:v>
      </x:c>
      <x:c r="AK6191" s="87" t="str">
        <x:v>clean-v0.21</x:v>
      </x:c>
      <x:c r="AL6191" s="87" t="str">
        <x:v>statgrad_clean_continuation_v0_21(1).xlsx</x:v>
      </x:c>
      <x:c r="AM6191" s="87" t="str">
        <x:v>MATHB_S26_961</x:v>
      </x:c>
      <x:c r="AN6191" s="87" t="n">
        <x:v>12</x:v>
      </x:c>
    </x:row>
    <x:row r="6192">
      <x:c r="A6192" s="87" t="n">
        <x:v>6191</x:v>
      </x:c>
      <x:c r="B6192" s="87" t="str">
        <x:v>EGKR-S26-MATHB-961-12</x:v>
      </x:c>
      <x:c r="C6192" s="87" t="str">
        <x:v>ЕГКР</x:v>
      </x:c>
      <x:c r="D6192" s="87"/>
      <x:c r="E6192" s="87" t="str">
        <x:v>Весна 2026</x:v>
      </x:c>
      <x:c r="F6192" s="87" t="str">
        <x:v>07.04.2026</x:v>
      </x:c>
      <x:c r="G6192" s="87" t="str">
        <x:v>Математика (база)</x:v>
      </x:c>
      <x:c r="H6192" s="87" t="n">
        <x:v>11</x:v>
      </x:c>
      <x:c r="I6192" s="87"/>
      <x:c r="J6192" s="87" t="str">
        <x:v>961</x:v>
      </x:c>
      <x:c r="K6192" s="87" t="n">
        <x:v>12</x:v>
      </x:c>
      <x:c r="L6192" s="87" t="str">
        <x:v>Площадь ромба</x:v>
      </x:c>
      <x:c r="M6192" s="30" t="str">
        <x:v>Найти площадь ромба с высотой 7 и острым углом 30°.</x:v>
      </x:c>
      <x:c r="N6192" s="30" t="str">
        <x:v>98</x:v>
      </x:c>
      <x:c r="O6192" s="30" t="str">
        <x:v>Сторона 14, площадь 14·7=98.</x:v>
      </x:c>
      <x:c r="P6192" s="30"/>
      <x:c r="Q6192" s="30" t="str">
        <x:v>Независимый расчёт, визуальная страница и аудит внутреннего ответника.</x:v>
      </x:c>
      <x:c r="R6192" s="30" t="str">
        <x:v>98</x:v>
      </x:c>
      <x:c r="S6192" s="30"/>
      <x:c r="T6192" s="30" t="str">
        <x:v>Локальный PDF; для повреждённых мест — PandaExam.</x:v>
      </x:c>
      <x:c r="U6192" s="30" t="str">
        <x:v>Расхождений нет.</x:v>
      </x:c>
      <x:c r="V6192" s="87" t="str">
        <x:v>VERIFIED</x:v>
      </x:c>
      <x:c r="W6192" s="87"/>
      <x:c r="X6192" s="87" t="n">
        <x:v>7</x:v>
      </x:c>
      <x:c r="Y6192" s="87"/>
      <x:c r="Z6192" s="87"/>
      <x:c r="AA6192" s="87"/>
      <x:c r="AB6192" s="87"/>
      <x:c r="AC6192" s="87" t="str">
        <x:v>VIS-EGKR-MATHB-S26-TASK-961-P007</x:v>
      </x:c>
      <x:c r="AD6192" s="87" t="str">
        <x:v>VIS-EGKR-MATHB-S26-ANSWERDOC-P002</x:v>
      </x:c>
      <x:c r="AE6192" s="87" t="str">
        <x:v>TASK; SECONDARY_ANSWER_SOURCE</x:v>
      </x:c>
      <x:c r="AF6192" s="87" t="str">
        <x:v>VIS-EGKR-MATHB-S26-TASK-961-P007: 7; VIS-EGKR-MATHB-S26-ANSWERDOC-P002: 2</x:v>
      </x:c>
      <x:c r="AG6192" s="87" t="str">
        <x:v>RESOLVED</x:v>
      </x:c>
      <x:c r="AH6192" s="87" t="str">
        <x:v>CROP_VERIFIED</x:v>
      </x:c>
      <x:c r="AI6192" s="30"/>
      <x:c r="AJ6192" s="87" t="str">
        <x:v>clean</x:v>
      </x:c>
      <x:c r="AK6192" s="87" t="str">
        <x:v>clean-v0.21</x:v>
      </x:c>
      <x:c r="AL6192" s="87" t="str">
        <x:v>statgrad_clean_continuation_v0_21(1).xlsx</x:v>
      </x:c>
      <x:c r="AM6192" s="87" t="str">
        <x:v>MATHB_S26_961</x:v>
      </x:c>
      <x:c r="AN6192" s="87" t="n">
        <x:v>13</x:v>
      </x:c>
    </x:row>
    <x:row r="6193">
      <x:c r="A6193" s="87" t="n">
        <x:v>6192</x:v>
      </x:c>
      <x:c r="B6193" s="87" t="str">
        <x:v>EGKR-S26-MATHB-961-13</x:v>
      </x:c>
      <x:c r="C6193" s="87" t="str">
        <x:v>ЕГКР</x:v>
      </x:c>
      <x:c r="D6193" s="87"/>
      <x:c r="E6193" s="87" t="str">
        <x:v>Весна 2026</x:v>
      </x:c>
      <x:c r="F6193" s="87" t="str">
        <x:v>07.04.2026</x:v>
      </x:c>
      <x:c r="G6193" s="87" t="str">
        <x:v>Математика (база)</x:v>
      </x:c>
      <x:c r="H6193" s="87" t="n">
        <x:v>11</x:v>
      </x:c>
      <x:c r="I6193" s="87"/>
      <x:c r="J6193" s="87" t="str">
        <x:v>961</x:v>
      </x:c>
      <x:c r="K6193" s="87" t="n">
        <x:v>13</x:v>
      </x:c>
      <x:c r="L6193" s="87" t="str">
        <x:v>Объём конуса</x:v>
      </x:c>
      <x:c r="M6193" s="30" t="str">
        <x:v>Найти радиус конуса объёма 64π и высоты 3.</x:v>
      </x:c>
      <x:c r="N6193" s="30" t="str">
        <x:v>8</x:v>
      </x:c>
      <x:c r="O6193" s="30" t="str">
        <x:v>64π=πr², r=8.</x:v>
      </x:c>
      <x:c r="P6193" s="30"/>
      <x:c r="Q6193" s="30" t="str">
        <x:v>Независимый расчёт, визуальная страница и аудит внутреннего ответника.</x:v>
      </x:c>
      <x:c r="R6193" s="30" t="str">
        <x:v>8</x:v>
      </x:c>
      <x:c r="S6193" s="30"/>
      <x:c r="T6193" s="30" t="str">
        <x:v>Локальный PDF; для повреждённых мест — PandaExam.</x:v>
      </x:c>
      <x:c r="U6193" s="30" t="str">
        <x:v>Расхождений нет.</x:v>
      </x:c>
      <x:c r="V6193" s="87" t="str">
        <x:v>VERIFIED</x:v>
      </x:c>
      <x:c r="W6193" s="87"/>
      <x:c r="X6193" s="87" t="n">
        <x:v>7</x:v>
      </x:c>
      <x:c r="Y6193" s="87"/>
      <x:c r="Z6193" s="87"/>
      <x:c r="AA6193" s="87"/>
      <x:c r="AB6193" s="87"/>
      <x:c r="AC6193" s="87" t="str">
        <x:v>VIS-EGKR-MATHB-S26-TASK-961-P007</x:v>
      </x:c>
      <x:c r="AD6193" s="87" t="str">
        <x:v>VIS-EGKR-MATHB-S26-ANSWERDOC-P002</x:v>
      </x:c>
      <x:c r="AE6193" s="87" t="str">
        <x:v>TASK; SECONDARY_ANSWER_SOURCE</x:v>
      </x:c>
      <x:c r="AF6193" s="87" t="str">
        <x:v>VIS-EGKR-MATHB-S26-TASK-961-P007: 7; VIS-EGKR-MATHB-S26-ANSWERDOC-P002: 2</x:v>
      </x:c>
      <x:c r="AG6193" s="87" t="str">
        <x:v>RESOLVED</x:v>
      </x:c>
      <x:c r="AH6193" s="87" t="str">
        <x:v>CROP_VERIFIED</x:v>
      </x:c>
      <x:c r="AI6193" s="30"/>
      <x:c r="AJ6193" s="87" t="str">
        <x:v>clean</x:v>
      </x:c>
      <x:c r="AK6193" s="87" t="str">
        <x:v>clean-v0.21</x:v>
      </x:c>
      <x:c r="AL6193" s="87" t="str">
        <x:v>statgrad_clean_continuation_v0_21(1).xlsx</x:v>
      </x:c>
      <x:c r="AM6193" s="87" t="str">
        <x:v>MATHB_S26_961</x:v>
      </x:c>
      <x:c r="AN6193" s="87" t="n">
        <x:v>14</x:v>
      </x:c>
    </x:row>
    <x:row r="6194">
      <x:c r="A6194" s="87" t="n">
        <x:v>6193</x:v>
      </x:c>
      <x:c r="B6194" s="87" t="str">
        <x:v>EGKR-S26-MATHB-961-14</x:v>
      </x:c>
      <x:c r="C6194" s="87" t="str">
        <x:v>ЕГКР</x:v>
      </x:c>
      <x:c r="D6194" s="87"/>
      <x:c r="E6194" s="87" t="str">
        <x:v>Весна 2026</x:v>
      </x:c>
      <x:c r="F6194" s="87" t="str">
        <x:v>07.04.2026</x:v>
      </x:c>
      <x:c r="G6194" s="87" t="str">
        <x:v>Математика (база)</x:v>
      </x:c>
      <x:c r="H6194" s="87" t="n">
        <x:v>11</x:v>
      </x:c>
      <x:c r="I6194" s="87"/>
      <x:c r="J6194" s="87" t="str">
        <x:v>961</x:v>
      </x:c>
      <x:c r="K6194" s="87" t="n">
        <x:v>14</x:v>
      </x:c>
      <x:c r="L6194" s="87" t="str">
        <x:v>Арифметическое выражение</x:v>
      </x:c>
      <x:c r="M6194" s="30" t="str">
        <x:v>Вычислить 0,51 : (17/12) + 1.</x:v>
      </x:c>
      <x:c r="N6194" s="30" t="str">
        <x:v>1,36</x:v>
      </x:c>
      <x:c r="O6194" s="30" t="str">
        <x:v>0,51·12/17+1=1,36.</x:v>
      </x:c>
      <x:c r="P6194" s="30"/>
      <x:c r="Q6194" s="30" t="str">
        <x:v>Независимый расчёт, визуальная страница и аудит внутреннего ответника.</x:v>
      </x:c>
      <x:c r="R6194" s="30" t="str">
        <x:v>1,36</x:v>
      </x:c>
      <x:c r="S6194" s="30"/>
      <x:c r="T6194" s="30" t="str">
        <x:v>Локальный PDF; для повреждённых мест — PandaExam.</x:v>
      </x:c>
      <x:c r="U6194" s="30" t="str">
        <x:v>Расхождений нет.</x:v>
      </x:c>
      <x:c r="V6194" s="87" t="str">
        <x:v>VERIFIED</x:v>
      </x:c>
      <x:c r="W6194" s="87"/>
      <x:c r="X6194" s="87" t="n">
        <x:v>7</x:v>
      </x:c>
      <x:c r="Y6194" s="87"/>
      <x:c r="Z6194" s="87"/>
      <x:c r="AA6194" s="87"/>
      <x:c r="AB6194" s="87"/>
      <x:c r="AC6194" s="87" t="str">
        <x:v>VIS-EGKR-MATHB-S26-TASK-961-P007</x:v>
      </x:c>
      <x:c r="AD6194" s="87" t="str">
        <x:v>VIS-EGKR-MATHB-S26-ANSWERDOC-P002</x:v>
      </x:c>
      <x:c r="AE6194" s="87" t="str">
        <x:v>TASK; SECONDARY_ANSWER_SOURCE</x:v>
      </x:c>
      <x:c r="AF6194" s="87" t="str">
        <x:v>VIS-EGKR-MATHB-S26-TASK-961-P007: 7; VIS-EGKR-MATHB-S26-ANSWERDOC-P002: 2</x:v>
      </x:c>
      <x:c r="AG6194" s="87" t="str">
        <x:v>RESOLVED</x:v>
      </x:c>
      <x:c r="AH6194" s="87" t="str">
        <x:v>CROP_VERIFIED</x:v>
      </x:c>
      <x:c r="AI6194" s="30"/>
      <x:c r="AJ6194" s="87" t="str">
        <x:v>clean</x:v>
      </x:c>
      <x:c r="AK6194" s="87" t="str">
        <x:v>clean-v0.21</x:v>
      </x:c>
      <x:c r="AL6194" s="87" t="str">
        <x:v>statgrad_clean_continuation_v0_21(1).xlsx</x:v>
      </x:c>
      <x:c r="AM6194" s="87" t="str">
        <x:v>MATHB_S26_961</x:v>
      </x:c>
      <x:c r="AN6194" s="87" t="n">
        <x:v>15</x:v>
      </x:c>
    </x:row>
    <x:row r="6195">
      <x:c r="A6195" s="87" t="n">
        <x:v>6194</x:v>
      </x:c>
      <x:c r="B6195" s="87" t="str">
        <x:v>EGKR-S26-MATHB-961-15</x:v>
      </x:c>
      <x:c r="C6195" s="87" t="str">
        <x:v>ЕГКР</x:v>
      </x:c>
      <x:c r="D6195" s="87"/>
      <x:c r="E6195" s="87" t="str">
        <x:v>Весна 2026</x:v>
      </x:c>
      <x:c r="F6195" s="87" t="str">
        <x:v>07.04.2026</x:v>
      </x:c>
      <x:c r="G6195" s="87" t="str">
        <x:v>Математика (база)</x:v>
      </x:c>
      <x:c r="H6195" s="87" t="n">
        <x:v>11</x:v>
      </x:c>
      <x:c r="I6195" s="87"/>
      <x:c r="J6195" s="87" t="str">
        <x:v>961</x:v>
      </x:c>
      <x:c r="K6195" s="87" t="n">
        <x:v>15</x:v>
      </x:c>
      <x:c r="L6195" s="87" t="str">
        <x:v>Отношения и пропорции</x:v>
      </x:c>
      <x:c r="M6195" s="30" t="str">
        <x:v>84 голоса распределены в отношении 3:4; найти число голосов победителя.</x:v>
      </x:c>
      <x:c r="N6195" s="30" t="str">
        <x:v>48</x:v>
      </x:c>
      <x:c r="O6195" s="30" t="str">
        <x:v>84·4/7=48.</x:v>
      </x:c>
      <x:c r="P6195" s="30"/>
      <x:c r="Q6195" s="30" t="str">
        <x:v>Независимый расчёт, визуальная страница и аудит внутреннего ответника.</x:v>
      </x:c>
      <x:c r="R6195" s="30" t="str">
        <x:v>48</x:v>
      </x:c>
      <x:c r="S6195" s="30"/>
      <x:c r="T6195" s="30" t="str">
        <x:v>Локальный PDF; для повреждённых мест — PandaExam.</x:v>
      </x:c>
      <x:c r="U6195" s="30" t="str">
        <x:v>Расхождений нет.</x:v>
      </x:c>
      <x:c r="V6195" s="87" t="str">
        <x:v>VERIFIED</x:v>
      </x:c>
      <x:c r="W6195" s="87"/>
      <x:c r="X6195" s="87" t="n">
        <x:v>7</x:v>
      </x:c>
      <x:c r="Y6195" s="87"/>
      <x:c r="Z6195" s="87"/>
      <x:c r="AA6195" s="87"/>
      <x:c r="AB6195" s="87"/>
      <x:c r="AC6195" s="87" t="str">
        <x:v>VIS-EGKR-MATHB-S26-TASK-961-P007</x:v>
      </x:c>
      <x:c r="AD6195" s="87" t="str">
        <x:v>VIS-EGKR-MATHB-S26-ANSWERDOC-P002</x:v>
      </x:c>
      <x:c r="AE6195" s="87" t="str">
        <x:v>TASK; SECONDARY_ANSWER_SOURCE</x:v>
      </x:c>
      <x:c r="AF6195" s="87" t="str">
        <x:v>VIS-EGKR-MATHB-S26-TASK-961-P007: 7; VIS-EGKR-MATHB-S26-ANSWERDOC-P002: 2</x:v>
      </x:c>
      <x:c r="AG6195" s="87" t="str">
        <x:v>RESOLVED</x:v>
      </x:c>
      <x:c r="AH6195" s="87" t="str">
        <x:v>CROP_VERIFIED</x:v>
      </x:c>
      <x:c r="AI6195" s="30"/>
      <x:c r="AJ6195" s="87" t="str">
        <x:v>clean</x:v>
      </x:c>
      <x:c r="AK6195" s="87" t="str">
        <x:v>clean-v0.21</x:v>
      </x:c>
      <x:c r="AL6195" s="87" t="str">
        <x:v>statgrad_clean_continuation_v0_21(1).xlsx</x:v>
      </x:c>
      <x:c r="AM6195" s="87" t="str">
        <x:v>MATHB_S26_961</x:v>
      </x:c>
      <x:c r="AN6195" s="87" t="n">
        <x:v>16</x:v>
      </x:c>
    </x:row>
    <x:row r="6196">
      <x:c r="A6196" s="87" t="n">
        <x:v>6195</x:v>
      </x:c>
      <x:c r="B6196" s="87" t="str">
        <x:v>EGKR-S26-MATHB-961-16</x:v>
      </x:c>
      <x:c r="C6196" s="87" t="str">
        <x:v>ЕГКР</x:v>
      </x:c>
      <x:c r="D6196" s="87"/>
      <x:c r="E6196" s="87" t="str">
        <x:v>Весна 2026</x:v>
      </x:c>
      <x:c r="F6196" s="87" t="str">
        <x:v>07.04.2026</x:v>
      </x:c>
      <x:c r="G6196" s="87" t="str">
        <x:v>Математика (база)</x:v>
      </x:c>
      <x:c r="H6196" s="87" t="n">
        <x:v>11</x:v>
      </x:c>
      <x:c r="I6196" s="87"/>
      <x:c r="J6196" s="87" t="str">
        <x:v>961</x:v>
      </x:c>
      <x:c r="K6196" s="87" t="n">
        <x:v>16</x:v>
      </x:c>
      <x:c r="L6196" s="87" t="str">
        <x:v>Стандартный вид числа</x:v>
      </x:c>
      <x:c r="M6196" s="30" t="str">
        <x:v>Вычислить 9,4·10² + 5,4·10³.</x:v>
      </x:c>
      <x:c r="N6196" s="30" t="str">
        <x:v>6340</x:v>
      </x:c>
      <x:c r="O6196" s="30" t="str">
        <x:v>940+5400=6340.</x:v>
      </x:c>
      <x:c r="P6196" s="30"/>
      <x:c r="Q6196" s="30" t="str">
        <x:v>Независимый расчёт, визуальная страница и аудит внутреннего ответника.</x:v>
      </x:c>
      <x:c r="R6196" s="30" t="str">
        <x:v>6340</x:v>
      </x:c>
      <x:c r="S6196" s="30"/>
      <x:c r="T6196" s="30" t="str">
        <x:v>Локальный PDF; для повреждённых мест — PandaExam.</x:v>
      </x:c>
      <x:c r="U6196" s="30" t="str">
        <x:v>Расхождений нет.</x:v>
      </x:c>
      <x:c r="V6196" s="87" t="str">
        <x:v>VERIFIED</x:v>
      </x:c>
      <x:c r="W6196" s="87"/>
      <x:c r="X6196" s="87" t="n">
        <x:v>7</x:v>
      </x:c>
      <x:c r="Y6196" s="87"/>
      <x:c r="Z6196" s="87"/>
      <x:c r="AA6196" s="87"/>
      <x:c r="AB6196" s="87"/>
      <x:c r="AC6196" s="87" t="str">
        <x:v>VIS-EGKR-MATHB-S26-TASK-961-P007</x:v>
      </x:c>
      <x:c r="AD6196" s="87" t="str">
        <x:v>VIS-EGKR-MATHB-S26-ANSWERDOC-P002</x:v>
      </x:c>
      <x:c r="AE6196" s="87" t="str">
        <x:v>TASK; SECONDARY_ANSWER_SOURCE</x:v>
      </x:c>
      <x:c r="AF6196" s="87" t="str">
        <x:v>VIS-EGKR-MATHB-S26-TASK-961-P007: 7; VIS-EGKR-MATHB-S26-ANSWERDOC-P002: 2</x:v>
      </x:c>
      <x:c r="AG6196" s="87" t="str">
        <x:v>RESOLVED</x:v>
      </x:c>
      <x:c r="AH6196" s="87" t="str">
        <x:v>CROP_VERIFIED</x:v>
      </x:c>
      <x:c r="AI6196" s="30"/>
      <x:c r="AJ6196" s="87" t="str">
        <x:v>clean</x:v>
      </x:c>
      <x:c r="AK6196" s="87" t="str">
        <x:v>clean-v0.21</x:v>
      </x:c>
      <x:c r="AL6196" s="87" t="str">
        <x:v>statgrad_clean_continuation_v0_21(1).xlsx</x:v>
      </x:c>
      <x:c r="AM6196" s="87" t="str">
        <x:v>MATHB_S26_961</x:v>
      </x:c>
      <x:c r="AN6196" s="87" t="n">
        <x:v>17</x:v>
      </x:c>
    </x:row>
    <x:row r="6197">
      <x:c r="A6197" s="87" t="n">
        <x:v>6196</x:v>
      </x:c>
      <x:c r="B6197" s="87" t="str">
        <x:v>EGKR-S26-MATHB-961-17</x:v>
      </x:c>
      <x:c r="C6197" s="87" t="str">
        <x:v>ЕГКР</x:v>
      </x:c>
      <x:c r="D6197" s="87"/>
      <x:c r="E6197" s="87" t="str">
        <x:v>Весна 2026</x:v>
      </x:c>
      <x:c r="F6197" s="87" t="str">
        <x:v>07.04.2026</x:v>
      </x:c>
      <x:c r="G6197" s="87" t="str">
        <x:v>Математика (база)</x:v>
      </x:c>
      <x:c r="H6197" s="87" t="n">
        <x:v>11</x:v>
      </x:c>
      <x:c r="I6197" s="87"/>
      <x:c r="J6197" s="87" t="str">
        <x:v>961</x:v>
      </x:c>
      <x:c r="K6197" s="87" t="n">
        <x:v>17</x:v>
      </x:c>
      <x:c r="L6197" s="87" t="str">
        <x:v>Логарифмическое уравнение</x:v>
      </x:c>
      <x:c r="M6197" s="30" t="str">
        <x:v>Решить log₃(2x−7)=3.</x:v>
      </x:c>
      <x:c r="N6197" s="30" t="str">
        <x:v>17</x:v>
      </x:c>
      <x:c r="O6197" s="30" t="str">
        <x:v>2x−7=27, x=17.</x:v>
      </x:c>
      <x:c r="P6197" s="30"/>
      <x:c r="Q6197" s="30" t="str">
        <x:v>Независимый расчёт, визуальная страница и аудит внутреннего ответника.</x:v>
      </x:c>
      <x:c r="R6197" s="30" t="str">
        <x:v>17</x:v>
      </x:c>
      <x:c r="S6197" s="30"/>
      <x:c r="T6197" s="30" t="str">
        <x:v>Локальный PDF; для повреждённых мест — PandaExam.</x:v>
      </x:c>
      <x:c r="U6197" s="30" t="str">
        <x:v>Расхождений нет.</x:v>
      </x:c>
      <x:c r="V6197" s="87" t="str">
        <x:v>VERIFIED</x:v>
      </x:c>
      <x:c r="W6197" s="87"/>
      <x:c r="X6197" s="87" t="n">
        <x:v>8</x:v>
      </x:c>
      <x:c r="Y6197" s="87"/>
      <x:c r="Z6197" s="87"/>
      <x:c r="AA6197" s="87"/>
      <x:c r="AB6197" s="87"/>
      <x:c r="AC6197" s="87" t="str">
        <x:v>VIS-EGKR-MATHB-S26-TASK-961-P008</x:v>
      </x:c>
      <x:c r="AD6197" s="87" t="str">
        <x:v>VIS-EGKR-MATHB-S26-ANSWERDOC-P002</x:v>
      </x:c>
      <x:c r="AE6197" s="87" t="str">
        <x:v>TASK; SECONDARY_ANSWER_SOURCE</x:v>
      </x:c>
      <x:c r="AF6197" s="87" t="str">
        <x:v>VIS-EGKR-MATHB-S26-TASK-961-P008: 8; VIS-EGKR-MATHB-S26-ANSWERDOC-P002: 2</x:v>
      </x:c>
      <x:c r="AG6197" s="87" t="str">
        <x:v>RESOLVED</x:v>
      </x:c>
      <x:c r="AH6197" s="87" t="str">
        <x:v>CROP_VERIFIED</x:v>
      </x:c>
      <x:c r="AI6197" s="30"/>
      <x:c r="AJ6197" s="87" t="str">
        <x:v>clean</x:v>
      </x:c>
      <x:c r="AK6197" s="87" t="str">
        <x:v>clean-v0.21</x:v>
      </x:c>
      <x:c r="AL6197" s="87" t="str">
        <x:v>statgrad_clean_continuation_v0_21(1).xlsx</x:v>
      </x:c>
      <x:c r="AM6197" s="87" t="str">
        <x:v>MATHB_S26_961</x:v>
      </x:c>
      <x:c r="AN6197" s="87" t="n">
        <x:v>18</x:v>
      </x:c>
    </x:row>
    <x:row r="6198">
      <x:c r="A6198" s="87" t="n">
        <x:v>6197</x:v>
      </x:c>
      <x:c r="B6198" s="87" t="str">
        <x:v>EGKR-S26-MATHB-961-18</x:v>
      </x:c>
      <x:c r="C6198" s="87" t="str">
        <x:v>ЕГКР</x:v>
      </x:c>
      <x:c r="D6198" s="87"/>
      <x:c r="E6198" s="87" t="str">
        <x:v>Весна 2026</x:v>
      </x:c>
      <x:c r="F6198" s="87" t="str">
        <x:v>07.04.2026</x:v>
      </x:c>
      <x:c r="G6198" s="87" t="str">
        <x:v>Математика (база)</x:v>
      </x:c>
      <x:c r="H6198" s="87" t="n">
        <x:v>11</x:v>
      </x:c>
      <x:c r="I6198" s="87"/>
      <x:c r="J6198" s="87" t="str">
        <x:v>961</x:v>
      </x:c>
      <x:c r="K6198" s="87" t="n">
        <x:v>18</x:v>
      </x:c>
      <x:c r="L6198" s="87" t="str">
        <x:v>Рациональные неравенства</x:v>
      </x:c>
      <x:c r="M6198" s="30" t="str">
        <x:v>Соотнести четыре неравенства с промежутками решений.</x:v>
      </x:c>
      <x:c r="N6198" s="30" t="str">
        <x:v>1243</x:v>
      </x:c>
      <x:c r="O6198" s="30" t="str">
        <x:v>Решения соответствуют последовательности 1243.</x:v>
      </x:c>
      <x:c r="P6198" s="30"/>
      <x:c r="Q6198" s="30" t="str">
        <x:v>Независимый расчёт, визуальная страница и аудит внутреннего ответника.</x:v>
      </x:c>
      <x:c r="R6198" s="30" t="str">
        <x:v>1243</x:v>
      </x:c>
      <x:c r="S6198" s="30"/>
      <x:c r="T6198" s="30" t="str">
        <x:v>Локальный PDF; для повреждённых мест — PandaExam.</x:v>
      </x:c>
      <x:c r="U6198" s="30" t="str">
        <x:v>Расхождений нет.</x:v>
      </x:c>
      <x:c r="V6198" s="87" t="str">
        <x:v>VERIFIED</x:v>
      </x:c>
      <x:c r="W6198" s="87"/>
      <x:c r="X6198" s="87" t="n">
        <x:v>8</x:v>
      </x:c>
      <x:c r="Y6198" s="87"/>
      <x:c r="Z6198" s="87"/>
      <x:c r="AA6198" s="87"/>
      <x:c r="AB6198" s="87"/>
      <x:c r="AC6198" s="87" t="str">
        <x:v>VIS-EGKR-MATHB-S26-TASK-961-P008</x:v>
      </x:c>
      <x:c r="AD6198" s="87" t="str">
        <x:v>VIS-EGKR-MATHB-S26-ANSWERDOC-P002</x:v>
      </x:c>
      <x:c r="AE6198" s="87" t="str">
        <x:v>TASK; SECONDARY_ANSWER_SOURCE</x:v>
      </x:c>
      <x:c r="AF6198" s="87" t="str">
        <x:v>VIS-EGKR-MATHB-S26-TASK-961-P008: 8; VIS-EGKR-MATHB-S26-ANSWERDOC-P002: 2</x:v>
      </x:c>
      <x:c r="AG6198" s="87" t="str">
        <x:v>RESOLVED</x:v>
      </x:c>
      <x:c r="AH6198" s="87" t="str">
        <x:v>CROP_VERIFIED</x:v>
      </x:c>
      <x:c r="AI6198" s="30"/>
      <x:c r="AJ6198" s="87" t="str">
        <x:v>clean</x:v>
      </x:c>
      <x:c r="AK6198" s="87" t="str">
        <x:v>clean-v0.21</x:v>
      </x:c>
      <x:c r="AL6198" s="87" t="str">
        <x:v>statgrad_clean_continuation_v0_21(1).xlsx</x:v>
      </x:c>
      <x:c r="AM6198" s="87" t="str">
        <x:v>MATHB_S26_961</x:v>
      </x:c>
      <x:c r="AN6198" s="87" t="n">
        <x:v>19</x:v>
      </x:c>
    </x:row>
    <x:row r="6199">
      <x:c r="A6199" s="87" t="n">
        <x:v>6198</x:v>
      </x:c>
      <x:c r="B6199" s="87" t="str">
        <x:v>EGKR-S26-MATHB-961-19</x:v>
      </x:c>
      <x:c r="C6199" s="87" t="str">
        <x:v>ЕГКР</x:v>
      </x:c>
      <x:c r="D6199" s="87"/>
      <x:c r="E6199" s="87" t="str">
        <x:v>Весна 2026</x:v>
      </x:c>
      <x:c r="F6199" s="87" t="str">
        <x:v>07.04.2026</x:v>
      </x:c>
      <x:c r="G6199" s="87" t="str">
        <x:v>Математика (база)</x:v>
      </x:c>
      <x:c r="H6199" s="87" t="n">
        <x:v>11</x:v>
      </x:c>
      <x:c r="I6199" s="87"/>
      <x:c r="J6199" s="87" t="str">
        <x:v>961</x:v>
      </x:c>
      <x:c r="K6199" s="87" t="n">
        <x:v>19</x:v>
      </x:c>
      <x:c r="L6199" s="87" t="str">
        <x:v>Числовая задача</x:v>
      </x:c>
      <x:c r="M6199" s="30" t="str">
        <x:v>Найти четырёхзначное число, равное кубу натурального числа, делённому на 11.</x:v>
      </x:c>
      <x:c r="N6199" s="30" t="str">
        <x:v>3267</x:v>
      </x:c>
      <x:c r="O6199" s="30" t="str">
        <x:v>33³/11=3267.</x:v>
      </x:c>
      <x:c r="P6199" s="30"/>
      <x:c r="Q6199" s="30" t="str">
        <x:v>Независимый расчёт, визуальная страница и аудит внутреннего ответника.</x:v>
      </x:c>
      <x:c r="R6199" s="30" t="str">
        <x:v>3267</x:v>
      </x:c>
      <x:c r="S6199" s="30"/>
      <x:c r="T6199" s="30" t="str">
        <x:v>Локальный PDF; для повреждённых мест — PandaExam.</x:v>
      </x:c>
      <x:c r="U6199" s="30" t="str">
        <x:v>Расхождений нет.</x:v>
      </x:c>
      <x:c r="V6199" s="87" t="str">
        <x:v>VERIFIED</x:v>
      </x:c>
      <x:c r="W6199" s="87"/>
      <x:c r="X6199" s="87" t="n">
        <x:v>8</x:v>
      </x:c>
      <x:c r="Y6199" s="87"/>
      <x:c r="Z6199" s="87"/>
      <x:c r="AA6199" s="87"/>
      <x:c r="AB6199" s="87"/>
      <x:c r="AC6199" s="87" t="str">
        <x:v>VIS-EGKR-MATHB-S26-TASK-961-P008</x:v>
      </x:c>
      <x:c r="AD6199" s="87" t="str">
        <x:v>VIS-EGKR-MATHB-S26-ANSWERDOC-P002</x:v>
      </x:c>
      <x:c r="AE6199" s="87" t="str">
        <x:v>TASK; SECONDARY_ANSWER_SOURCE</x:v>
      </x:c>
      <x:c r="AF6199" s="87" t="str">
        <x:v>VIS-EGKR-MATHB-S26-TASK-961-P008: 8; VIS-EGKR-MATHB-S26-ANSWERDOC-P002: 2</x:v>
      </x:c>
      <x:c r="AG6199" s="87" t="str">
        <x:v>RESOLVED</x:v>
      </x:c>
      <x:c r="AH6199" s="87" t="str">
        <x:v>CROP_VERIFIED</x:v>
      </x:c>
      <x:c r="AI6199" s="30"/>
      <x:c r="AJ6199" s="87" t="str">
        <x:v>clean</x:v>
      </x:c>
      <x:c r="AK6199" s="87" t="str">
        <x:v>clean-v0.21</x:v>
      </x:c>
      <x:c r="AL6199" s="87" t="str">
        <x:v>statgrad_clean_continuation_v0_21(1).xlsx</x:v>
      </x:c>
      <x:c r="AM6199" s="87" t="str">
        <x:v>MATHB_S26_961</x:v>
      </x:c>
      <x:c r="AN6199" s="87" t="n">
        <x:v>20</x:v>
      </x:c>
    </x:row>
    <x:row r="6200">
      <x:c r="A6200" s="87" t="n">
        <x:v>6199</x:v>
      </x:c>
      <x:c r="B6200" s="87" t="str">
        <x:v>EGKR-S26-MATHB-961-20</x:v>
      </x:c>
      <x:c r="C6200" s="87" t="str">
        <x:v>ЕГКР</x:v>
      </x:c>
      <x:c r="D6200" s="87"/>
      <x:c r="E6200" s="87" t="str">
        <x:v>Весна 2026</x:v>
      </x:c>
      <x:c r="F6200" s="87" t="str">
        <x:v>07.04.2026</x:v>
      </x:c>
      <x:c r="G6200" s="87" t="str">
        <x:v>Математика (база)</x:v>
      </x:c>
      <x:c r="H6200" s="87" t="n">
        <x:v>11</x:v>
      </x:c>
      <x:c r="I6200" s="87"/>
      <x:c r="J6200" s="87" t="str">
        <x:v>961</x:v>
      </x:c>
      <x:c r="K6200" s="87" t="n">
        <x:v>20</x:v>
      </x:c>
      <x:c r="L6200" s="87" t="str">
        <x:v>Задача на движение</x:v>
      </x:c>
      <x:c r="M6200" s="30" t="str">
        <x:v>Два пешехода идут к точке в 2,6 км со скоростями 3 и 4,8 км/ч; быстрый возвращается.</x:v>
      </x:c>
      <x:c r="N6200" s="30" t="str">
        <x:v>2</x:v>
      </x:c>
      <x:c r="O6200" s="30" t="str">
        <x:v>Встреча происходит в 2 км от дома.</x:v>
      </x:c>
      <x:c r="P6200" s="30"/>
      <x:c r="Q6200" s="30" t="str">
        <x:v>Независимый расчёт, визуальная страница и аудит внутреннего ответника.</x:v>
      </x:c>
      <x:c r="R6200" s="30" t="str">
        <x:v>2</x:v>
      </x:c>
      <x:c r="S6200" s="30"/>
      <x:c r="T6200" s="30" t="str">
        <x:v>Локальный PDF; для повреждённых мест — PandaExam.</x:v>
      </x:c>
      <x:c r="U6200" s="30" t="str">
        <x:v>Расхождений нет.</x:v>
      </x:c>
      <x:c r="V6200" s="87" t="str">
        <x:v>VERIFIED</x:v>
      </x:c>
      <x:c r="W6200" s="87"/>
      <x:c r="X6200" s="87" t="n">
        <x:v>8</x:v>
      </x:c>
      <x:c r="Y6200" s="87"/>
      <x:c r="Z6200" s="87"/>
      <x:c r="AA6200" s="87"/>
      <x:c r="AB6200" s="87"/>
      <x:c r="AC6200" s="87" t="str">
        <x:v>VIS-EGKR-MATHB-S26-TASK-961-P008</x:v>
      </x:c>
      <x:c r="AD6200" s="87" t="str">
        <x:v>VIS-EGKR-MATHB-S26-ANSWERDOC-P002</x:v>
      </x:c>
      <x:c r="AE6200" s="87" t="str">
        <x:v>TASK; SECONDARY_ANSWER_SOURCE</x:v>
      </x:c>
      <x:c r="AF6200" s="87" t="str">
        <x:v>VIS-EGKR-MATHB-S26-TASK-961-P008: 8; VIS-EGKR-MATHB-S26-ANSWERDOC-P002: 2</x:v>
      </x:c>
      <x:c r="AG6200" s="87" t="str">
        <x:v>RESOLVED</x:v>
      </x:c>
      <x:c r="AH6200" s="87" t="str">
        <x:v>CROP_VERIFIED</x:v>
      </x:c>
      <x:c r="AI6200" s="30"/>
      <x:c r="AJ6200" s="87" t="str">
        <x:v>clean</x:v>
      </x:c>
      <x:c r="AK6200" s="87" t="str">
        <x:v>clean-v0.21</x:v>
      </x:c>
      <x:c r="AL6200" s="87" t="str">
        <x:v>statgrad_clean_continuation_v0_21(1).xlsx</x:v>
      </x:c>
      <x:c r="AM6200" s="87" t="str">
        <x:v>MATHB_S26_961</x:v>
      </x:c>
      <x:c r="AN6200" s="87" t="n">
        <x:v>21</x:v>
      </x:c>
    </x:row>
    <x:row r="6201">
      <x:c r="A6201" s="87" t="n">
        <x:v>6200</x:v>
      </x:c>
      <x:c r="B6201" s="87" t="str">
        <x:v>EGKR-S26-MATHB-961-21</x:v>
      </x:c>
      <x:c r="C6201" s="87" t="str">
        <x:v>ЕГКР</x:v>
      </x:c>
      <x:c r="D6201" s="87"/>
      <x:c r="E6201" s="87" t="str">
        <x:v>Весна 2026</x:v>
      </x:c>
      <x:c r="F6201" s="87" t="str">
        <x:v>07.04.2026</x:v>
      </x:c>
      <x:c r="G6201" s="87" t="str">
        <x:v>Математика (база)</x:v>
      </x:c>
      <x:c r="H6201" s="87" t="n">
        <x:v>11</x:v>
      </x:c>
      <x:c r="I6201" s="87"/>
      <x:c r="J6201" s="87" t="str">
        <x:v>961</x:v>
      </x:c>
      <x:c r="K6201" s="87" t="n">
        <x:v>21</x:v>
      </x:c>
      <x:c r="L6201" s="87" t="str">
        <x:v>Целочисленная задача</x:v>
      </x:c>
      <x:c r="M6201" s="30" t="str">
        <x:v>В десяти квартирах суммы жителей в квартирах 1–8 и 7–10 равны 10; найти общее число.</x:v>
      </x:c>
      <x:c r="N6201" s="30" t="str">
        <x:v>16</x:v>
      </x:c>
      <x:c r="O6201" s="30" t="str">
        <x:v>Сумма жителей в квартирах 7 и 8 равна 4, общее число — 16.</x:v>
      </x:c>
      <x:c r="P6201" s="30"/>
      <x:c r="Q6201" s="30" t="str">
        <x:v>Независимый расчёт, визуальная страница и аудит внутреннего ответника.</x:v>
      </x:c>
      <x:c r="R6201" s="30" t="str">
        <x:v>16</x:v>
      </x:c>
      <x:c r="S6201" s="30"/>
      <x:c r="T6201" s="30" t="str">
        <x:v>Локальный PDF; для повреждённых мест — PandaExam.</x:v>
      </x:c>
      <x:c r="U6201" s="30" t="str">
        <x:v>Расхождений нет.</x:v>
      </x:c>
      <x:c r="V6201" s="87" t="str">
        <x:v>VERIFIED</x:v>
      </x:c>
      <x:c r="W6201" s="87"/>
      <x:c r="X6201" s="87" t="n">
        <x:v>8</x:v>
      </x:c>
      <x:c r="Y6201" s="87"/>
      <x:c r="Z6201" s="87"/>
      <x:c r="AA6201" s="87"/>
      <x:c r="AB6201" s="87"/>
      <x:c r="AC6201" s="87" t="str">
        <x:v>VIS-EGKR-MATHB-S26-TASK-961-P008</x:v>
      </x:c>
      <x:c r="AD6201" s="87" t="str">
        <x:v>VIS-EGKR-MATHB-S26-ANSWERDOC-P002</x:v>
      </x:c>
      <x:c r="AE6201" s="87" t="str">
        <x:v>TASK; SECONDARY_ANSWER_SOURCE</x:v>
      </x:c>
      <x:c r="AF6201" s="87" t="str">
        <x:v>VIS-EGKR-MATHB-S26-TASK-961-P008: 8; VIS-EGKR-MATHB-S26-ANSWERDOC-P002: 2</x:v>
      </x:c>
      <x:c r="AG6201" s="87" t="str">
        <x:v>RESOLVED</x:v>
      </x:c>
      <x:c r="AH6201" s="87" t="str">
        <x:v>CROP_VERIFIED</x:v>
      </x:c>
      <x:c r="AI6201" s="30"/>
      <x:c r="AJ6201" s="87" t="str">
        <x:v>clean</x:v>
      </x:c>
      <x:c r="AK6201" s="87" t="str">
        <x:v>clean-v0.21</x:v>
      </x:c>
      <x:c r="AL6201" s="87" t="str">
        <x:v>statgrad_clean_continuation_v0_21(1).xlsx</x:v>
      </x:c>
      <x:c r="AM6201" s="87" t="str">
        <x:v>MATHB_S26_961</x:v>
      </x:c>
      <x:c r="AN6201" s="87" t="n">
        <x:v>22</x:v>
      </x:c>
    </x:row>
    <x:row r="6202">
      <x:c r="A6202" s="87" t="n">
        <x:v>6201</x:v>
      </x:c>
      <x:c r="B6202" s="87" t="str">
        <x:v>EGKR-S26-MATHB-964-01</x:v>
      </x:c>
      <x:c r="C6202" s="87" t="str">
        <x:v>ЕГКР</x:v>
      </x:c>
      <x:c r="D6202" s="87"/>
      <x:c r="E6202" s="87" t="str">
        <x:v>Весна 2026</x:v>
      </x:c>
      <x:c r="F6202" s="87" t="str">
        <x:v>07.04.2026</x:v>
      </x:c>
      <x:c r="G6202" s="87" t="str">
        <x:v>Математика (база)</x:v>
      </x:c>
      <x:c r="H6202" s="87" t="n">
        <x:v>11</x:v>
      </x:c>
      <x:c r="I6202" s="87"/>
      <x:c r="J6202" s="87" t="str">
        <x:v>964</x:v>
      </x:c>
      <x:c r="K6202" s="87" t="n">
        <x:v>1</x:v>
      </x:c>
      <x:c r="L6202" s="87" t="str">
        <x:v>Практическая арифметика</x:v>
      </x:c>
      <x:c r="M6202" s="30" t="str">
        <x:v>227 человек нужно перевезти автобусами вместимостью не более 28 пассажиров.</x:v>
      </x:c>
      <x:c r="N6202" s="30" t="str">
        <x:v>9</x:v>
      </x:c>
      <x:c r="O6202" s="30" t="str">
        <x:v>ceil(227/28)=9.</x:v>
      </x:c>
      <x:c r="P6202" s="30"/>
      <x:c r="Q6202" s="30" t="str">
        <x:v>Независимый расчёт, визуальная страница и аудит внутреннего ответника.</x:v>
      </x:c>
      <x:c r="R6202" s="30" t="str">
        <x:v>MISSING</x:v>
      </x:c>
      <x:c r="S6202" s="30"/>
      <x:c r="T6202" s="30" t="str">
        <x:v>Локальный PDF; для повреждённых мест — PandaExam.</x:v>
      </x:c>
      <x:c r="U6202" s="30" t="str">
        <x:v>Ответ отсутствовал во внутреннем ответнике и восстановлен независимо.</x:v>
      </x:c>
      <x:c r="V6202" s="87" t="str">
        <x:v>SOURCE_GAP_RECOVERED</x:v>
      </x:c>
      <x:c r="W6202" s="87"/>
      <x:c r="X6202" s="87" t="n">
        <x:v>2</x:v>
      </x:c>
      <x:c r="Y6202" s="87"/>
      <x:c r="Z6202" s="87"/>
      <x:c r="AA6202" s="87"/>
      <x:c r="AB6202" s="87"/>
      <x:c r="AC6202" s="87" t="str">
        <x:v>VIS-EGKR-MATHB-S26-TASK-964-P002</x:v>
      </x:c>
      <x:c r="AD6202" s="87" t="str">
        <x:v>VIS-EGKR-MATHB-S26-ANSWERDOC-P003</x:v>
      </x:c>
      <x:c r="AE6202" s="87" t="str">
        <x:v>TASK; SECONDARY_ANSWER_SOURCE</x:v>
      </x:c>
      <x:c r="AF6202" s="87" t="str">
        <x:v>VIS-EGKR-MATHB-S26-TASK-964-P002: 2; VIS-EGKR-MATHB-S26-ANSWERDOC-P003: 3</x:v>
      </x:c>
      <x:c r="AG6202" s="87" t="str">
        <x:v>RESOLVED</x:v>
      </x:c>
      <x:c r="AH6202" s="87" t="str">
        <x:v>CROP_VERIFIED</x:v>
      </x:c>
      <x:c r="AI6202" s="30"/>
      <x:c r="AJ6202" s="87" t="str">
        <x:v>clean</x:v>
      </x:c>
      <x:c r="AK6202" s="87" t="str">
        <x:v>clean-v0.21</x:v>
      </x:c>
      <x:c r="AL6202" s="87" t="str">
        <x:v>statgrad_clean_continuation_v0_21(1).xlsx</x:v>
      </x:c>
      <x:c r="AM6202" s="87" t="str">
        <x:v>MATHB_S26_964</x:v>
      </x:c>
      <x:c r="AN6202" s="87" t="n">
        <x:v>2</x:v>
      </x:c>
    </x:row>
    <x:row r="6203">
      <x:c r="A6203" s="87" t="n">
        <x:v>6202</x:v>
      </x:c>
      <x:c r="B6203" s="87" t="str">
        <x:v>EGKR-S26-MATHB-964-02</x:v>
      </x:c>
      <x:c r="C6203" s="87" t="str">
        <x:v>ЕГКР</x:v>
      </x:c>
      <x:c r="D6203" s="87"/>
      <x:c r="E6203" s="87" t="str">
        <x:v>Весна 2026</x:v>
      </x:c>
      <x:c r="F6203" s="87" t="str">
        <x:v>07.04.2026</x:v>
      </x:c>
      <x:c r="G6203" s="87" t="str">
        <x:v>Математика (база)</x:v>
      </x:c>
      <x:c r="H6203" s="87" t="n">
        <x:v>11</x:v>
      </x:c>
      <x:c r="I6203" s="87"/>
      <x:c r="J6203" s="87" t="str">
        <x:v>964</x:v>
      </x:c>
      <x:c r="K6203" s="87" t="n">
        <x:v>2</x:v>
      </x:c>
      <x:c r="L6203" s="87" t="str">
        <x:v>Установление соответствия величин</x:v>
      </x:c>
      <x:c r="M6203" s="30" t="str">
        <x:v>Соотнести рост новорождённого, длину Волги, толщину лезвия и высоту Эльбруса со значениями.</x:v>
      </x:c>
      <x:c r="N6203" s="30" t="str">
        <x:v>2143</x:v>
      </x:c>
      <x:c r="O6203" s="30" t="str">
        <x:v>50 см, 3530 км, 0,08 мм, 5642 м → 2143.</x:v>
      </x:c>
      <x:c r="P6203" s="30"/>
      <x:c r="Q6203" s="30" t="str">
        <x:v>Независимый расчёт, визуальная страница и аудит внутреннего ответника.</x:v>
      </x:c>
      <x:c r="R6203" s="30" t="str">
        <x:v>MISSING</x:v>
      </x:c>
      <x:c r="S6203" s="30"/>
      <x:c r="T6203" s="30" t="str">
        <x:v>Локальный PDF; для повреждённых мест — PandaExam.</x:v>
      </x:c>
      <x:c r="U6203" s="30" t="str">
        <x:v>Ответ отсутствовал во внутреннем ответнике и восстановлен независимо.</x:v>
      </x:c>
      <x:c r="V6203" s="87" t="str">
        <x:v>SOURCE_GAP_RECOVERED</x:v>
      </x:c>
      <x:c r="W6203" s="87"/>
      <x:c r="X6203" s="87" t="n">
        <x:v>2</x:v>
      </x:c>
      <x:c r="Y6203" s="87"/>
      <x:c r="Z6203" s="87"/>
      <x:c r="AA6203" s="87"/>
      <x:c r="AB6203" s="87"/>
      <x:c r="AC6203" s="87" t="str">
        <x:v>VIS-EGKR-MATHB-S26-TASK-964-P002</x:v>
      </x:c>
      <x:c r="AD6203" s="87" t="str">
        <x:v>VIS-EGKR-MATHB-S26-ANSWERDOC-P003</x:v>
      </x:c>
      <x:c r="AE6203" s="87" t="str">
        <x:v>TASK; SECONDARY_ANSWER_SOURCE</x:v>
      </x:c>
      <x:c r="AF6203" s="87" t="str">
        <x:v>VIS-EGKR-MATHB-S26-TASK-964-P002: 2; VIS-EGKR-MATHB-S26-ANSWERDOC-P003: 3</x:v>
      </x:c>
      <x:c r="AG6203" s="87" t="str">
        <x:v>RESOLVED</x:v>
      </x:c>
      <x:c r="AH6203" s="87" t="str">
        <x:v>CROP_VERIFIED</x:v>
      </x:c>
      <x:c r="AI6203" s="30"/>
      <x:c r="AJ6203" s="87" t="str">
        <x:v>clean</x:v>
      </x:c>
      <x:c r="AK6203" s="87" t="str">
        <x:v>clean-v0.21</x:v>
      </x:c>
      <x:c r="AL6203" s="87" t="str">
        <x:v>statgrad_clean_continuation_v0_21(1).xlsx</x:v>
      </x:c>
      <x:c r="AM6203" s="87" t="str">
        <x:v>MATHB_S26_964</x:v>
      </x:c>
      <x:c r="AN6203" s="87" t="n">
        <x:v>3</x:v>
      </x:c>
    </x:row>
    <x:row r="6204">
      <x:c r="A6204" s="87" t="n">
        <x:v>6203</x:v>
      </x:c>
      <x:c r="B6204" s="87" t="str">
        <x:v>EGKR-S26-MATHB-964-03</x:v>
      </x:c>
      <x:c r="C6204" s="87" t="str">
        <x:v>ЕГКР</x:v>
      </x:c>
      <x:c r="D6204" s="87"/>
      <x:c r="E6204" s="87" t="str">
        <x:v>Весна 2026</x:v>
      </x:c>
      <x:c r="F6204" s="87" t="str">
        <x:v>07.04.2026</x:v>
      </x:c>
      <x:c r="G6204" s="87" t="str">
        <x:v>Математика (база)</x:v>
      </x:c>
      <x:c r="H6204" s="87" t="n">
        <x:v>11</x:v>
      </x:c>
      <x:c r="I6204" s="87"/>
      <x:c r="J6204" s="87" t="str">
        <x:v>964</x:v>
      </x:c>
      <x:c r="K6204" s="87" t="n">
        <x:v>3</x:v>
      </x:c>
      <x:c r="L6204" s="87" t="str">
        <x:v>Чтение графика</x:v>
      </x:c>
      <x:c r="M6204" s="30" t="str">
        <x:v>График давления приведён, но вопрос содержит только фразу «определите значение ... за три дня» без указания максимума, минимума или момента времени.</x:v>
      </x:c>
      <x:c r="N6204" s="30"/>
      <x:c r="O6204" s="30" t="str">
        <x:v>Нельзя определить требуемую величину: в вопросе отсутствует критерий чтения графика.</x:v>
      </x:c>
      <x:c r="P6204" s="30"/>
      <x:c r="Q6204" s="30" t="str">
        <x:v>Независимый расчёт, визуальная страница и аудит внутреннего ответника.</x:v>
      </x:c>
      <x:c r="R6204" s="30" t="str">
        <x:v>MISSING</x:v>
      </x:c>
      <x:c r="S6204" s="30"/>
      <x:c r="T6204" s="30" t="str">
        <x:v>Локальный PDF; для повреждённых мест — PandaExam.</x:v>
      </x:c>
      <x:c r="U6204" s="30" t="str">
        <x:v>Формулировка не позволяет получить единственный надёжный ответ; канонический ответ не утверждается.</x:v>
      </x:c>
      <x:c r="V6204" s="87" t="str">
        <x:v>TASK_DEFECT</x:v>
      </x:c>
      <x:c r="W6204" s="87"/>
      <x:c r="X6204" s="87" t="n">
        <x:v>3</x:v>
      </x:c>
      <x:c r="Y6204" s="87"/>
      <x:c r="Z6204" s="87"/>
      <x:c r="AA6204" s="87"/>
      <x:c r="AB6204" s="87"/>
      <x:c r="AC6204" s="87" t="str">
        <x:v>VIS-EGKR-MATHB-S26-TASK-964-P003</x:v>
      </x:c>
      <x:c r="AD6204" s="87" t="str">
        <x:v>VIS-EGKR-MATHB-S26-ANSWERDOC-P003</x:v>
      </x:c>
      <x:c r="AE6204" s="87" t="str">
        <x:v>TASK; SECONDARY_ANSWER_SOURCE</x:v>
      </x:c>
      <x:c r="AF6204" s="87" t="str">
        <x:v>VIS-EGKR-MATHB-S26-TASK-964-P003: 3; VIS-EGKR-MATHB-S26-ANSWERDOC-P003: 3</x:v>
      </x:c>
      <x:c r="AG6204" s="87" t="str">
        <x:v>RESOLVED</x:v>
      </x:c>
      <x:c r="AH6204" s="87" t="str">
        <x:v>CROP_VERIFIED</x:v>
      </x:c>
      <x:c r="AI6204" s="30"/>
      <x:c r="AJ6204" s="87" t="str">
        <x:v>clean</x:v>
      </x:c>
      <x:c r="AK6204" s="87" t="str">
        <x:v>clean-v0.21</x:v>
      </x:c>
      <x:c r="AL6204" s="87" t="str">
        <x:v>statgrad_clean_continuation_v0_21(1).xlsx</x:v>
      </x:c>
      <x:c r="AM6204" s="87" t="str">
        <x:v>MATHB_S26_964</x:v>
      </x:c>
      <x:c r="AN6204" s="87" t="n">
        <x:v>4</x:v>
      </x:c>
    </x:row>
    <x:row r="6205">
      <x:c r="A6205" s="87" t="n">
        <x:v>6204</x:v>
      </x:c>
      <x:c r="B6205" s="87" t="str">
        <x:v>EGKR-S26-MATHB-964-04</x:v>
      </x:c>
      <x:c r="C6205" s="87" t="str">
        <x:v>ЕГКР</x:v>
      </x:c>
      <x:c r="D6205" s="87"/>
      <x:c r="E6205" s="87" t="str">
        <x:v>Весна 2026</x:v>
      </x:c>
      <x:c r="F6205" s="87" t="str">
        <x:v>07.04.2026</x:v>
      </x:c>
      <x:c r="G6205" s="87" t="str">
        <x:v>Математика (база)</x:v>
      </x:c>
      <x:c r="H6205" s="87" t="n">
        <x:v>11</x:v>
      </x:c>
      <x:c r="I6205" s="87"/>
      <x:c r="J6205" s="87" t="str">
        <x:v>964</x:v>
      </x:c>
      <x:c r="K6205" s="87" t="n">
        <x:v>4</x:v>
      </x:c>
      <x:c r="L6205" s="87" t="str">
        <x:v>Применение формулы</x:v>
      </x:c>
      <x:c r="M6205" s="30" t="str">
        <x:v>По теореме синусов найти sin α при a=9, b=2, sin β=1/9.</x:v>
      </x:c>
      <x:c r="N6205" s="30" t="str">
        <x:v>0,5</x:v>
      </x:c>
      <x:c r="O6205" s="30" t="str">
        <x:v>sinα=9·(1/9)/2=0,5.</x:v>
      </x:c>
      <x:c r="P6205" s="30"/>
      <x:c r="Q6205" s="30" t="str">
        <x:v>Независимый расчёт, визуальная страница и аудит внутреннего ответника.</x:v>
      </x:c>
      <x:c r="R6205" s="30" t="str">
        <x:v>0,5</x:v>
      </x:c>
      <x:c r="S6205" s="30"/>
      <x:c r="T6205" s="30" t="str">
        <x:v>Локальный PDF; для повреждённых мест — PandaExam.</x:v>
      </x:c>
      <x:c r="U6205" s="30" t="str">
        <x:v>Расхождений нет.</x:v>
      </x:c>
      <x:c r="V6205" s="87" t="str">
        <x:v>VERIFIED</x:v>
      </x:c>
      <x:c r="W6205" s="87"/>
      <x:c r="X6205" s="87" t="n">
        <x:v>3</x:v>
      </x:c>
      <x:c r="Y6205" s="87"/>
      <x:c r="Z6205" s="87"/>
      <x:c r="AA6205" s="87"/>
      <x:c r="AB6205" s="87"/>
      <x:c r="AC6205" s="87" t="str">
        <x:v>VIS-EGKR-MATHB-S26-TASK-964-P003</x:v>
      </x:c>
      <x:c r="AD6205" s="87" t="str">
        <x:v>VIS-EGKR-MATHB-S26-ANSWERDOC-P003</x:v>
      </x:c>
      <x:c r="AE6205" s="87" t="str">
        <x:v>TASK; SECONDARY_ANSWER_SOURCE</x:v>
      </x:c>
      <x:c r="AF6205" s="87" t="str">
        <x:v>VIS-EGKR-MATHB-S26-TASK-964-P003: 3; VIS-EGKR-MATHB-S26-ANSWERDOC-P003: 3</x:v>
      </x:c>
      <x:c r="AG6205" s="87" t="str">
        <x:v>RESOLVED</x:v>
      </x:c>
      <x:c r="AH6205" s="87" t="str">
        <x:v>CROP_VERIFIED</x:v>
      </x:c>
      <x:c r="AI6205" s="30"/>
      <x:c r="AJ6205" s="87" t="str">
        <x:v>clean</x:v>
      </x:c>
      <x:c r="AK6205" s="87" t="str">
        <x:v>clean-v0.21</x:v>
      </x:c>
      <x:c r="AL6205" s="87" t="str">
        <x:v>statgrad_clean_continuation_v0_21(1).xlsx</x:v>
      </x:c>
      <x:c r="AM6205" s="87" t="str">
        <x:v>MATHB_S26_964</x:v>
      </x:c>
      <x:c r="AN6205" s="87" t="n">
        <x:v>5</x:v>
      </x:c>
    </x:row>
    <x:row r="6206">
      <x:c r="A6206" s="87" t="n">
        <x:v>6205</x:v>
      </x:c>
      <x:c r="B6206" s="87" t="str">
        <x:v>EGKR-S26-MATHB-964-05</x:v>
      </x:c>
      <x:c r="C6206" s="87" t="str">
        <x:v>ЕГКР</x:v>
      </x:c>
      <x:c r="D6206" s="87"/>
      <x:c r="E6206" s="87" t="str">
        <x:v>Весна 2026</x:v>
      </x:c>
      <x:c r="F6206" s="87" t="str">
        <x:v>07.04.2026</x:v>
      </x:c>
      <x:c r="G6206" s="87" t="str">
        <x:v>Математика (база)</x:v>
      </x:c>
      <x:c r="H6206" s="87" t="n">
        <x:v>11</x:v>
      </x:c>
      <x:c r="I6206" s="87"/>
      <x:c r="J6206" s="87" t="str">
        <x:v>964</x:v>
      </x:c>
      <x:c r="K6206" s="87" t="n">
        <x:v>5</x:v>
      </x:c>
      <x:c r="L6206" s="87" t="str">
        <x:v>Вероятность</x:v>
      </x:c>
      <x:c r="M6206" s="30" t="str">
        <x:v>Найти вероятность удобного места: 20 мест у выходов и 12 за перегородками из 400.</x:v>
      </x:c>
      <x:c r="N6206" s="30" t="str">
        <x:v>0,08</x:v>
      </x:c>
      <x:c r="O6206" s="30" t="str">
        <x:v>32/400=0,08.</x:v>
      </x:c>
      <x:c r="P6206" s="30"/>
      <x:c r="Q6206" s="30" t="str">
        <x:v>Независимый расчёт, визуальная страница и аудит внутреннего ответника.</x:v>
      </x:c>
      <x:c r="R6206" s="30" t="str">
        <x:v>MISSING</x:v>
      </x:c>
      <x:c r="S6206" s="30"/>
      <x:c r="T6206" s="30" t="str">
        <x:v>Локальный PDF; для повреждённых мест — PandaExam.</x:v>
      </x:c>
      <x:c r="U6206" s="30" t="str">
        <x:v>Ответ отсутствовал во внутреннем ответнике и восстановлен независимо.</x:v>
      </x:c>
      <x:c r="V6206" s="87" t="str">
        <x:v>SOURCE_GAP_RECOVERED</x:v>
      </x:c>
      <x:c r="W6206" s="87"/>
      <x:c r="X6206" s="87" t="n">
        <x:v>3</x:v>
      </x:c>
      <x:c r="Y6206" s="87"/>
      <x:c r="Z6206" s="87"/>
      <x:c r="AA6206" s="87"/>
      <x:c r="AB6206" s="87"/>
      <x:c r="AC6206" s="87" t="str">
        <x:v>VIS-EGKR-MATHB-S26-TASK-964-P003</x:v>
      </x:c>
      <x:c r="AD6206" s="87" t="str">
        <x:v>VIS-EGKR-MATHB-S26-ANSWERDOC-P003</x:v>
      </x:c>
      <x:c r="AE6206" s="87" t="str">
        <x:v>TASK; SECONDARY_ANSWER_SOURCE</x:v>
      </x:c>
      <x:c r="AF6206" s="87" t="str">
        <x:v>VIS-EGKR-MATHB-S26-TASK-964-P003: 3; VIS-EGKR-MATHB-S26-ANSWERDOC-P003: 3</x:v>
      </x:c>
      <x:c r="AG6206" s="87" t="str">
        <x:v>RESOLVED</x:v>
      </x:c>
      <x:c r="AH6206" s="87" t="str">
        <x:v>CROP_VERIFIED</x:v>
      </x:c>
      <x:c r="AI6206" s="30"/>
      <x:c r="AJ6206" s="87" t="str">
        <x:v>clean</x:v>
      </x:c>
      <x:c r="AK6206" s="87" t="str">
        <x:v>clean-v0.21</x:v>
      </x:c>
      <x:c r="AL6206" s="87" t="str">
        <x:v>statgrad_clean_continuation_v0_21(1).xlsx</x:v>
      </x:c>
      <x:c r="AM6206" s="87" t="str">
        <x:v>MATHB_S26_964</x:v>
      </x:c>
      <x:c r="AN6206" s="87" t="n">
        <x:v>6</x:v>
      </x:c>
    </x:row>
    <x:row r="6207">
      <x:c r="A6207" s="87" t="n">
        <x:v>6206</x:v>
      </x:c>
      <x:c r="B6207" s="87" t="str">
        <x:v>EGKR-S26-MATHB-964-06</x:v>
      </x:c>
      <x:c r="C6207" s="87" t="str">
        <x:v>ЕГКР</x:v>
      </x:c>
      <x:c r="D6207" s="87"/>
      <x:c r="E6207" s="87" t="str">
        <x:v>Весна 2026</x:v>
      </x:c>
      <x:c r="F6207" s="87" t="str">
        <x:v>07.04.2026</x:v>
      </x:c>
      <x:c r="G6207" s="87" t="str">
        <x:v>Математика (база)</x:v>
      </x:c>
      <x:c r="H6207" s="87" t="n">
        <x:v>11</x:v>
      </x:c>
      <x:c r="I6207" s="87"/>
      <x:c r="J6207" s="87" t="str">
        <x:v>964</x:v>
      </x:c>
      <x:c r="K6207" s="87" t="n">
        <x:v>6</x:v>
      </x:c>
      <x:c r="L6207" s="87" t="str">
        <x:v>Анализ таблицы</x:v>
      </x:c>
      <x:c r="M6207" s="30" t="str">
        <x:v>По таблице олимпиад выбрать учеников с физикой ниже 60 и похвальной грамотой.</x:v>
      </x:c>
      <x:c r="N6207" s="30" t="str">
        <x:v>38</x:v>
      </x:c>
      <x:c r="O6207" s="30" t="str">
        <x:v>Подходят ученики 3 и 8.</x:v>
      </x:c>
      <x:c r="P6207" s="30"/>
      <x:c r="Q6207" s="30" t="str">
        <x:v>Независимый расчёт, визуальная страница и аудит внутреннего ответника.</x:v>
      </x:c>
      <x:c r="R6207" s="30" t="str">
        <x:v>MISSING</x:v>
      </x:c>
      <x:c r="S6207" s="30"/>
      <x:c r="T6207" s="30" t="str">
        <x:v>Локальный PDF; для повреждённых мест — PandaExam.</x:v>
      </x:c>
      <x:c r="U6207" s="30" t="str">
        <x:v>Ответ отсутствовал во внутреннем ответнике и восстановлен независимо.</x:v>
      </x:c>
      <x:c r="V6207" s="87" t="str">
        <x:v>SOURCE_GAP_RECOVERED</x:v>
      </x:c>
      <x:c r="W6207" s="87"/>
      <x:c r="X6207" s="87" t="n">
        <x:v>4</x:v>
      </x:c>
      <x:c r="Y6207" s="87"/>
      <x:c r="Z6207" s="87"/>
      <x:c r="AA6207" s="87"/>
      <x:c r="AB6207" s="87"/>
      <x:c r="AC6207" s="87" t="str">
        <x:v>VIS-EGKR-MATHB-S26-TASK-964-P004</x:v>
      </x:c>
      <x:c r="AD6207" s="87" t="str">
        <x:v>VIS-EGKR-MATHB-S26-ANSWERDOC-P003</x:v>
      </x:c>
      <x:c r="AE6207" s="87" t="str">
        <x:v>TASK; SECONDARY_ANSWER_SOURCE</x:v>
      </x:c>
      <x:c r="AF6207" s="87" t="str">
        <x:v>VIS-EGKR-MATHB-S26-TASK-964-P004: 4; VIS-EGKR-MATHB-S26-ANSWERDOC-P003: 3</x:v>
      </x:c>
      <x:c r="AG6207" s="87" t="str">
        <x:v>RESOLVED</x:v>
      </x:c>
      <x:c r="AH6207" s="87" t="str">
        <x:v>CROP_VERIFIED; TASK_CROP_QA_APPROVED:USE_TIGHT</x:v>
      </x:c>
      <x:c r="AI6207" s="30"/>
      <x:c r="AJ6207" s="87" t="str">
        <x:v>clean</x:v>
      </x:c>
      <x:c r="AK6207" s="87" t="str">
        <x:v>clean-v0.21</x:v>
      </x:c>
      <x:c r="AL6207" s="87" t="str">
        <x:v>statgrad_clean_continuation_v0_21(1).xlsx</x:v>
      </x:c>
      <x:c r="AM6207" s="87" t="str">
        <x:v>MATHB_S26_964</x:v>
      </x:c>
      <x:c r="AN6207" s="87" t="n">
        <x:v>7</x:v>
      </x:c>
    </x:row>
    <x:row r="6208">
      <x:c r="A6208" s="87" t="n">
        <x:v>6207</x:v>
      </x:c>
      <x:c r="B6208" s="87" t="str">
        <x:v>EGKR-S26-MATHB-964-07</x:v>
      </x:c>
      <x:c r="C6208" s="87" t="str">
        <x:v>ЕГКР</x:v>
      </x:c>
      <x:c r="D6208" s="87"/>
      <x:c r="E6208" s="87" t="str">
        <x:v>Весна 2026</x:v>
      </x:c>
      <x:c r="F6208" s="87" t="str">
        <x:v>07.04.2026</x:v>
      </x:c>
      <x:c r="G6208" s="87" t="str">
        <x:v>Математика (база)</x:v>
      </x:c>
      <x:c r="H6208" s="87" t="n">
        <x:v>11</x:v>
      </x:c>
      <x:c r="I6208" s="87"/>
      <x:c r="J6208" s="87" t="str">
        <x:v>964</x:v>
      </x:c>
      <x:c r="K6208" s="87" t="n">
        <x:v>7</x:v>
      </x:c>
      <x:c r="L6208" s="87" t="str">
        <x:v>Свойства функций</x:v>
      </x:c>
      <x:c r="M6208" s="30" t="str">
        <x:v>Соотнести две линейные и две квадратичные функции с характеристиками.</x:v>
      </x:c>
      <x:c r="N6208" s="30" t="str">
        <x:v>2341</x:v>
      </x:c>
      <x:c r="O6208" s="30" t="str">
        <x:v>Минимум, возрастание, убывание, максимум → 2341.</x:v>
      </x:c>
      <x:c r="P6208" s="30"/>
      <x:c r="Q6208" s="30" t="str">
        <x:v>Независимый расчёт, визуальная страница и аудит внутреннего ответника.</x:v>
      </x:c>
      <x:c r="R6208" s="30" t="str">
        <x:v>3412</x:v>
      </x:c>
      <x:c r="S6208" s="30"/>
      <x:c r="T6208" s="30" t="str">
        <x:v>Локальный PDF; для повреждённых мест — PandaExam.</x:v>
      </x:c>
      <x:c r="U6208" s="30" t="str">
        <x:v>Ответник: 3412; независимое решение: 2341.</x:v>
      </x:c>
      <x:c r="V6208" s="87" t="str">
        <x:v>KEY_MISMATCH</x:v>
      </x:c>
      <x:c r="W6208" s="87"/>
      <x:c r="X6208" s="87" t="n">
        <x:v>4</x:v>
      </x:c>
      <x:c r="Y6208" s="87"/>
      <x:c r="Z6208" s="87"/>
      <x:c r="AA6208" s="87"/>
      <x:c r="AB6208" s="87"/>
      <x:c r="AC6208" s="87" t="str">
        <x:v>VIS-EGKR-MATHB-S26-TASK-964-P004</x:v>
      </x:c>
      <x:c r="AD6208" s="87" t="str">
        <x:v>VIS-EGKR-MATHB-S26-ANSWERDOC-P003</x:v>
      </x:c>
      <x:c r="AE6208" s="87" t="str">
        <x:v>TASK; SECONDARY_ANSWER_SOURCE</x:v>
      </x:c>
      <x:c r="AF6208" s="87" t="str">
        <x:v>VIS-EGKR-MATHB-S26-TASK-964-P004: 4; VIS-EGKR-MATHB-S26-ANSWERDOC-P003: 3</x:v>
      </x:c>
      <x:c r="AG6208" s="87" t="str">
        <x:v>RESOLVED</x:v>
      </x:c>
      <x:c r="AH6208" s="87" t="str">
        <x:v>CROP_VERIFIED</x:v>
      </x:c>
      <x:c r="AI6208" s="30"/>
      <x:c r="AJ6208" s="87" t="str">
        <x:v>clean</x:v>
      </x:c>
      <x:c r="AK6208" s="87" t="str">
        <x:v>clean-v0.21</x:v>
      </x:c>
      <x:c r="AL6208" s="87" t="str">
        <x:v>statgrad_clean_continuation_v0_21(1).xlsx</x:v>
      </x:c>
      <x:c r="AM6208" s="87" t="str">
        <x:v>MATHB_S26_964</x:v>
      </x:c>
      <x:c r="AN6208" s="87" t="n">
        <x:v>8</x:v>
      </x:c>
    </x:row>
    <x:row r="6209">
      <x:c r="A6209" s="87" t="n">
        <x:v>6208</x:v>
      </x:c>
      <x:c r="B6209" s="87" t="str">
        <x:v>EGKR-S26-MATHB-964-08</x:v>
      </x:c>
      <x:c r="C6209" s="87" t="str">
        <x:v>ЕГКР</x:v>
      </x:c>
      <x:c r="D6209" s="87"/>
      <x:c r="E6209" s="87" t="str">
        <x:v>Весна 2026</x:v>
      </x:c>
      <x:c r="F6209" s="87" t="str">
        <x:v>07.04.2026</x:v>
      </x:c>
      <x:c r="G6209" s="87" t="str">
        <x:v>Математика (база)</x:v>
      </x:c>
      <x:c r="H6209" s="87" t="n">
        <x:v>11</x:v>
      </x:c>
      <x:c r="I6209" s="87"/>
      <x:c r="J6209" s="87" t="str">
        <x:v>964</x:v>
      </x:c>
      <x:c r="K6209" s="87" t="n">
        <x:v>8</x:v>
      </x:c>
      <x:c r="L6209" s="87" t="str">
        <x:v>Логические утверждения</x:v>
      </x:c>
      <x:c r="M6209" s="30" t="str">
        <x:v>Для 30 человек, 25 пользователей ОК и 20 пользователей ВК выбрать гарантированно верные утверждения.</x:v>
      </x:c>
      <x:c r="N6209" s="30" t="str">
        <x:v>23</x:v>
      </x:c>
      <x:c r="O6209" s="30" t="str">
        <x:v>Пересечение содержит от 15 до 20 человек; верны пункты 2 и 3.</x:v>
      </x:c>
      <x:c r="P6209" s="30"/>
      <x:c r="Q6209" s="30" t="str">
        <x:v>Независимый расчёт, визуальная страница и аудит внутреннего ответника.</x:v>
      </x:c>
      <x:c r="R6209" s="30" t="str">
        <x:v>23</x:v>
      </x:c>
      <x:c r="S6209" s="30"/>
      <x:c r="T6209" s="30" t="str">
        <x:v>Локальный PDF; для повреждённых мест — PandaExam.</x:v>
      </x:c>
      <x:c r="U6209" s="30" t="str">
        <x:v>Расхождений нет.</x:v>
      </x:c>
      <x:c r="V6209" s="87" t="str">
        <x:v>VERIFIED</x:v>
      </x:c>
      <x:c r="W6209" s="87"/>
      <x:c r="X6209" s="87" t="n">
        <x:v>5</x:v>
      </x:c>
      <x:c r="Y6209" s="87"/>
      <x:c r="Z6209" s="87"/>
      <x:c r="AA6209" s="87"/>
      <x:c r="AB6209" s="87"/>
      <x:c r="AC6209" s="87" t="str">
        <x:v>VIS-EGKR-MATHB-S26-TASK-964-P005</x:v>
      </x:c>
      <x:c r="AD6209" s="87" t="str">
        <x:v>VIS-EGKR-MATHB-S26-ANSWERDOC-P003</x:v>
      </x:c>
      <x:c r="AE6209" s="87" t="str">
        <x:v>TASK; SECONDARY_ANSWER_SOURCE</x:v>
      </x:c>
      <x:c r="AF6209" s="87" t="str">
        <x:v>VIS-EGKR-MATHB-S26-TASK-964-P005: 5; VIS-EGKR-MATHB-S26-ANSWERDOC-P003: 3</x:v>
      </x:c>
      <x:c r="AG6209" s="87" t="str">
        <x:v>RESOLVED</x:v>
      </x:c>
      <x:c r="AH6209" s="87" t="str">
        <x:v>CROP_VERIFIED</x:v>
      </x:c>
      <x:c r="AI6209" s="30"/>
      <x:c r="AJ6209" s="87" t="str">
        <x:v>clean</x:v>
      </x:c>
      <x:c r="AK6209" s="87" t="str">
        <x:v>clean-v0.21</x:v>
      </x:c>
      <x:c r="AL6209" s="87" t="str">
        <x:v>statgrad_clean_continuation_v0_21(1).xlsx</x:v>
      </x:c>
      <x:c r="AM6209" s="87" t="str">
        <x:v>MATHB_S26_964</x:v>
      </x:c>
      <x:c r="AN6209" s="87" t="n">
        <x:v>9</x:v>
      </x:c>
    </x:row>
    <x:row r="6210">
      <x:c r="A6210" s="87" t="n">
        <x:v>6209</x:v>
      </x:c>
      <x:c r="B6210" s="87" t="str">
        <x:v>EGKR-S26-MATHB-964-09</x:v>
      </x:c>
      <x:c r="C6210" s="87" t="str">
        <x:v>ЕГКР</x:v>
      </x:c>
      <x:c r="D6210" s="87"/>
      <x:c r="E6210" s="87" t="str">
        <x:v>Весна 2026</x:v>
      </x:c>
      <x:c r="F6210" s="87" t="str">
        <x:v>07.04.2026</x:v>
      </x:c>
      <x:c r="G6210" s="87" t="str">
        <x:v>Математика (база)</x:v>
      </x:c>
      <x:c r="H6210" s="87" t="n">
        <x:v>11</x:v>
      </x:c>
      <x:c r="I6210" s="87"/>
      <x:c r="J6210" s="87" t="str">
        <x:v>964</x:v>
      </x:c>
      <x:c r="K6210" s="87" t="n">
        <x:v>9</x:v>
      </x:c>
      <x:c r="L6210" s="87" t="str">
        <x:v>Площадь по клеткам</x:v>
      </x:c>
      <x:c r="M6210" s="30" t="str">
        <x:v>Найти площадь четырёхугольника на клетчатом плане.</x:v>
      </x:c>
      <x:c r="N6210" s="30" t="str">
        <x:v>54</x:v>
      </x:c>
      <x:c r="O6210" s="30" t="str">
        <x:v>Трапеция шириной 9 клеток с вертикальными сторонами 7 и 5: S=54.</x:v>
      </x:c>
      <x:c r="P6210" s="30"/>
      <x:c r="Q6210" s="30" t="str">
        <x:v>Независимый расчёт, визуальная страница и аудит внутреннего ответника.</x:v>
      </x:c>
      <x:c r="R6210" s="30" t="str">
        <x:v>54</x:v>
      </x:c>
      <x:c r="S6210" s="30"/>
      <x:c r="T6210" s="30" t="str">
        <x:v>Локальный PDF; для повреждённых мест — PandaExam.</x:v>
      </x:c>
      <x:c r="U6210" s="30" t="str">
        <x:v>Расхождений нет.</x:v>
      </x:c>
      <x:c r="V6210" s="87" t="str">
        <x:v>VERIFIED</x:v>
      </x:c>
      <x:c r="W6210" s="87"/>
      <x:c r="X6210" s="87" t="n">
        <x:v>5</x:v>
      </x:c>
      <x:c r="Y6210" s="87"/>
      <x:c r="Z6210" s="87"/>
      <x:c r="AA6210" s="87"/>
      <x:c r="AB6210" s="87"/>
      <x:c r="AC6210" s="87" t="str">
        <x:v>VIS-EGKR-MATHB-S26-TASK-964-P005</x:v>
      </x:c>
      <x:c r="AD6210" s="87" t="str">
        <x:v>VIS-EGKR-MATHB-S26-ANSWERDOC-P003</x:v>
      </x:c>
      <x:c r="AE6210" s="87" t="str">
        <x:v>TASK; SECONDARY_ANSWER_SOURCE</x:v>
      </x:c>
      <x:c r="AF6210" s="87" t="str">
        <x:v>VIS-EGKR-MATHB-S26-TASK-964-P005: 5; VIS-EGKR-MATHB-S26-ANSWERDOC-P003: 3</x:v>
      </x:c>
      <x:c r="AG6210" s="87" t="str">
        <x:v>RESOLVED</x:v>
      </x:c>
      <x:c r="AH6210" s="87" t="str">
        <x:v>CROP_VERIFIED</x:v>
      </x:c>
      <x:c r="AI6210" s="30"/>
      <x:c r="AJ6210" s="87" t="str">
        <x:v>clean</x:v>
      </x:c>
      <x:c r="AK6210" s="87" t="str">
        <x:v>clean-v0.21</x:v>
      </x:c>
      <x:c r="AL6210" s="87" t="str">
        <x:v>statgrad_clean_continuation_v0_21(1).xlsx</x:v>
      </x:c>
      <x:c r="AM6210" s="87" t="str">
        <x:v>MATHB_S26_964</x:v>
      </x:c>
      <x:c r="AN6210" s="87" t="n">
        <x:v>10</x:v>
      </x:c>
    </x:row>
    <x:row r="6211">
      <x:c r="A6211" s="87" t="n">
        <x:v>6210</x:v>
      </x:c>
      <x:c r="B6211" s="87" t="str">
        <x:v>EGKR-S26-MATHB-964-10</x:v>
      </x:c>
      <x:c r="C6211" s="87" t="str">
        <x:v>ЕГКР</x:v>
      </x:c>
      <x:c r="D6211" s="87"/>
      <x:c r="E6211" s="87" t="str">
        <x:v>Весна 2026</x:v>
      </x:c>
      <x:c r="F6211" s="87" t="str">
        <x:v>07.04.2026</x:v>
      </x:c>
      <x:c r="G6211" s="87" t="str">
        <x:v>Математика (база)</x:v>
      </x:c>
      <x:c r="H6211" s="87" t="n">
        <x:v>11</x:v>
      </x:c>
      <x:c r="I6211" s="87"/>
      <x:c r="J6211" s="87" t="str">
        <x:v>964</x:v>
      </x:c>
      <x:c r="K6211" s="87" t="n">
        <x:v>10</x:v>
      </x:c>
      <x:c r="L6211" s="87" t="str">
        <x:v>Практическая геометрия</x:v>
      </x:c>
      <x:c r="M6211" s="30" t="str">
        <x:v>Покрыть комнату 4×6 м дощечками 5×40 см.</x:v>
      </x:c>
      <x:c r="N6211" s="30" t="str">
        <x:v>1200</x:v>
      </x:c>
      <x:c r="O6211" s="30" t="str">
        <x:v>24 м² / 0,02 м² = 1200.</x:v>
      </x:c>
      <x:c r="P6211" s="30"/>
      <x:c r="Q6211" s="30" t="str">
        <x:v>Независимый расчёт, визуальная страница и аудит внутреннего ответника.</x:v>
      </x:c>
      <x:c r="R6211" s="30" t="str">
        <x:v>1200</x:v>
      </x:c>
      <x:c r="S6211" s="30"/>
      <x:c r="T6211" s="30" t="str">
        <x:v>Локальный PDF; для повреждённых мест — PandaExam.</x:v>
      </x:c>
      <x:c r="U6211" s="30" t="str">
        <x:v>Расхождений нет.</x:v>
      </x:c>
      <x:c r="V6211" s="87" t="str">
        <x:v>VERIFIED</x:v>
      </x:c>
      <x:c r="W6211" s="87"/>
      <x:c r="X6211" s="87" t="n">
        <x:v>5</x:v>
      </x:c>
      <x:c r="Y6211" s="87"/>
      <x:c r="Z6211" s="87"/>
      <x:c r="AA6211" s="87"/>
      <x:c r="AB6211" s="87"/>
      <x:c r="AC6211" s="87" t="str">
        <x:v>VIS-EGKR-MATHB-S26-TASK-964-P005</x:v>
      </x:c>
      <x:c r="AD6211" s="87" t="str">
        <x:v>VIS-EGKR-MATHB-S26-ANSWERDOC-P003</x:v>
      </x:c>
      <x:c r="AE6211" s="87" t="str">
        <x:v>TASK; SECONDARY_ANSWER_SOURCE</x:v>
      </x:c>
      <x:c r="AF6211" s="87" t="str">
        <x:v>VIS-EGKR-MATHB-S26-TASK-964-P005: 5; VIS-EGKR-MATHB-S26-ANSWERDOC-P003: 3</x:v>
      </x:c>
      <x:c r="AG6211" s="87" t="str">
        <x:v>RESOLVED</x:v>
      </x:c>
      <x:c r="AH6211" s="87" t="str">
        <x:v>CROP_VERIFIED</x:v>
      </x:c>
      <x:c r="AI6211" s="30"/>
      <x:c r="AJ6211" s="87" t="str">
        <x:v>clean</x:v>
      </x:c>
      <x:c r="AK6211" s="87" t="str">
        <x:v>clean-v0.21</x:v>
      </x:c>
      <x:c r="AL6211" s="87" t="str">
        <x:v>statgrad_clean_continuation_v0_21(1).xlsx</x:v>
      </x:c>
      <x:c r="AM6211" s="87" t="str">
        <x:v>MATHB_S26_964</x:v>
      </x:c>
      <x:c r="AN6211" s="87" t="n">
        <x:v>11</x:v>
      </x:c>
    </x:row>
    <x:row r="6212">
      <x:c r="A6212" s="87" t="n">
        <x:v>6211</x:v>
      </x:c>
      <x:c r="B6212" s="87" t="str">
        <x:v>EGKR-S26-MATHB-964-11</x:v>
      </x:c>
      <x:c r="C6212" s="87" t="str">
        <x:v>ЕГКР</x:v>
      </x:c>
      <x:c r="D6212" s="87"/>
      <x:c r="E6212" s="87" t="str">
        <x:v>Весна 2026</x:v>
      </x:c>
      <x:c r="F6212" s="87" t="str">
        <x:v>07.04.2026</x:v>
      </x:c>
      <x:c r="G6212" s="87" t="str">
        <x:v>Математика (база)</x:v>
      </x:c>
      <x:c r="H6212" s="87" t="n">
        <x:v>11</x:v>
      </x:c>
      <x:c r="I6212" s="87"/>
      <x:c r="J6212" s="87" t="str">
        <x:v>964</x:v>
      </x:c>
      <x:c r="K6212" s="87" t="n">
        <x:v>11</x:v>
      </x:c>
      <x:c r="L6212" s="87" t="str">
        <x:v>Подобие пространственных фигур</x:v>
      </x:c>
      <x:c r="M6212" s="30" t="str">
        <x:v>Найти высоту копии пирамиды при масштабе 52,5 см к 210 м и высоте оригинала 136 м.</x:v>
      </x:c>
      <x:c r="N6212" s="30" t="str">
        <x:v>34</x:v>
      </x:c>
      <x:c r="O6212" s="30" t="str">
        <x:v>Масштаб 1:400; высота копии 34 см.</x:v>
      </x:c>
      <x:c r="P6212" s="30"/>
      <x:c r="Q6212" s="30" t="str">
        <x:v>Независимый расчёт, визуальная страница и аудит внутреннего ответника.</x:v>
      </x:c>
      <x:c r="R6212" s="30" t="str">
        <x:v>9</x:v>
      </x:c>
      <x:c r="S6212" s="30"/>
      <x:c r="T6212" s="30" t="str">
        <x:v>Локальный PDF; для повреждённых мест — PandaExam.</x:v>
      </x:c>
      <x:c r="U6212" s="30" t="str">
        <x:v>Ответник: 9; независимое решение: 34.</x:v>
      </x:c>
      <x:c r="V6212" s="87" t="str">
        <x:v>KEY_MISMATCH</x:v>
      </x:c>
      <x:c r="W6212" s="87"/>
      <x:c r="X6212" s="87" t="n">
        <x:v>6</x:v>
      </x:c>
      <x:c r="Y6212" s="87"/>
      <x:c r="Z6212" s="87"/>
      <x:c r="AA6212" s="87"/>
      <x:c r="AB6212" s="87"/>
      <x:c r="AC6212" s="87" t="str">
        <x:v>VIS-EGKR-MATHB-S26-TASK-964-P006</x:v>
      </x:c>
      <x:c r="AD6212" s="87" t="str">
        <x:v>VIS-EGKR-MATHB-S26-ANSWERDOC-P003</x:v>
      </x:c>
      <x:c r="AE6212" s="87" t="str">
        <x:v>TASK; SECONDARY_ANSWER_SOURCE</x:v>
      </x:c>
      <x:c r="AF6212" s="87" t="str">
        <x:v>VIS-EGKR-MATHB-S26-TASK-964-P006: 6; VIS-EGKR-MATHB-S26-ANSWERDOC-P003: 3</x:v>
      </x:c>
      <x:c r="AG6212" s="87" t="str">
        <x:v>RESOLVED</x:v>
      </x:c>
      <x:c r="AH6212" s="87" t="str">
        <x:v>CROP_VERIFIED</x:v>
      </x:c>
      <x:c r="AI6212" s="30"/>
      <x:c r="AJ6212" s="87" t="str">
        <x:v>clean</x:v>
      </x:c>
      <x:c r="AK6212" s="87" t="str">
        <x:v>clean-v0.21</x:v>
      </x:c>
      <x:c r="AL6212" s="87" t="str">
        <x:v>statgrad_clean_continuation_v0_21(1).xlsx</x:v>
      </x:c>
      <x:c r="AM6212" s="87" t="str">
        <x:v>MATHB_S26_964</x:v>
      </x:c>
      <x:c r="AN6212" s="87" t="n">
        <x:v>12</x:v>
      </x:c>
    </x:row>
    <x:row r="6213">
      <x:c r="A6213" s="87" t="n">
        <x:v>6212</x:v>
      </x:c>
      <x:c r="B6213" s="87" t="str">
        <x:v>EGKR-S26-MATHB-964-12</x:v>
      </x:c>
      <x:c r="C6213" s="87" t="str">
        <x:v>ЕГКР</x:v>
      </x:c>
      <x:c r="D6213" s="87"/>
      <x:c r="E6213" s="87" t="str">
        <x:v>Весна 2026</x:v>
      </x:c>
      <x:c r="F6213" s="87" t="str">
        <x:v>07.04.2026</x:v>
      </x:c>
      <x:c r="G6213" s="87" t="str">
        <x:v>Математика (база)</x:v>
      </x:c>
      <x:c r="H6213" s="87" t="n">
        <x:v>11</x:v>
      </x:c>
      <x:c r="I6213" s="87"/>
      <x:c r="J6213" s="87" t="str">
        <x:v>964</x:v>
      </x:c>
      <x:c r="K6213" s="87" t="n">
        <x:v>12</x:v>
      </x:c>
      <x:c r="L6213" s="87" t="str">
        <x:v>Площадь ромба</x:v>
      </x:c>
      <x:c r="M6213" s="30" t="str">
        <x:v>Найти площадь ромба с высотой 18 и острым углом 30°.</x:v>
      </x:c>
      <x:c r="N6213" s="30" t="str">
        <x:v>648</x:v>
      </x:c>
      <x:c r="O6213" s="30" t="str">
        <x:v>Сторона 36, площадь 36·18=648.</x:v>
      </x:c>
      <x:c r="P6213" s="30"/>
      <x:c r="Q6213" s="30" t="str">
        <x:v>Независимый расчёт, визуальная страница и аудит внутреннего ответника.</x:v>
      </x:c>
      <x:c r="R6213" s="30" t="str">
        <x:v>648</x:v>
      </x:c>
      <x:c r="S6213" s="30"/>
      <x:c r="T6213" s="30" t="str">
        <x:v>Локальный PDF; для повреждённых мест — PandaExam.</x:v>
      </x:c>
      <x:c r="U6213" s="30" t="str">
        <x:v>Расхождений нет.</x:v>
      </x:c>
      <x:c r="V6213" s="87" t="str">
        <x:v>VERIFIED</x:v>
      </x:c>
      <x:c r="W6213" s="87"/>
      <x:c r="X6213" s="87" t="n">
        <x:v>6</x:v>
      </x:c>
      <x:c r="Y6213" s="87"/>
      <x:c r="Z6213" s="87"/>
      <x:c r="AA6213" s="87"/>
      <x:c r="AB6213" s="87"/>
      <x:c r="AC6213" s="87" t="str">
        <x:v>VIS-EGKR-MATHB-S26-TASK-964-P006</x:v>
      </x:c>
      <x:c r="AD6213" s="87" t="str">
        <x:v>VIS-EGKR-MATHB-S26-ANSWERDOC-P003</x:v>
      </x:c>
      <x:c r="AE6213" s="87" t="str">
        <x:v>TASK; SECONDARY_ANSWER_SOURCE</x:v>
      </x:c>
      <x:c r="AF6213" s="87" t="str">
        <x:v>VIS-EGKR-MATHB-S26-TASK-964-P006: 6; VIS-EGKR-MATHB-S26-ANSWERDOC-P003: 3</x:v>
      </x:c>
      <x:c r="AG6213" s="87" t="str">
        <x:v>RESOLVED</x:v>
      </x:c>
      <x:c r="AH6213" s="87" t="str">
        <x:v>CROP_VERIFIED</x:v>
      </x:c>
      <x:c r="AI6213" s="30"/>
      <x:c r="AJ6213" s="87" t="str">
        <x:v>clean</x:v>
      </x:c>
      <x:c r="AK6213" s="87" t="str">
        <x:v>clean-v0.21</x:v>
      </x:c>
      <x:c r="AL6213" s="87" t="str">
        <x:v>statgrad_clean_continuation_v0_21(1).xlsx</x:v>
      </x:c>
      <x:c r="AM6213" s="87" t="str">
        <x:v>MATHB_S26_964</x:v>
      </x:c>
      <x:c r="AN6213" s="87" t="n">
        <x:v>13</x:v>
      </x:c>
    </x:row>
    <x:row r="6214">
      <x:c r="A6214" s="87" t="n">
        <x:v>6213</x:v>
      </x:c>
      <x:c r="B6214" s="87" t="str">
        <x:v>EGKR-S26-MATHB-964-13</x:v>
      </x:c>
      <x:c r="C6214" s="87" t="str">
        <x:v>ЕГКР</x:v>
      </x:c>
      <x:c r="D6214" s="87"/>
      <x:c r="E6214" s="87" t="str">
        <x:v>Весна 2026</x:v>
      </x:c>
      <x:c r="F6214" s="87" t="str">
        <x:v>07.04.2026</x:v>
      </x:c>
      <x:c r="G6214" s="87" t="str">
        <x:v>Математика (база)</x:v>
      </x:c>
      <x:c r="H6214" s="87" t="n">
        <x:v>11</x:v>
      </x:c>
      <x:c r="I6214" s="87"/>
      <x:c r="J6214" s="87" t="str">
        <x:v>964</x:v>
      </x:c>
      <x:c r="K6214" s="87" t="n">
        <x:v>13</x:v>
      </x:c>
      <x:c r="L6214" s="87" t="str">
        <x:v>Объём конуса</x:v>
      </x:c>
      <x:c r="M6214" s="30" t="str">
        <x:v>Найти радиус конуса объёма 18π и высоты 6.</x:v>
      </x:c>
      <x:c r="N6214" s="30" t="str">
        <x:v>3</x:v>
      </x:c>
      <x:c r="O6214" s="30" t="str">
        <x:v>18π=2πr², r=3.</x:v>
      </x:c>
      <x:c r="P6214" s="30"/>
      <x:c r="Q6214" s="30" t="str">
        <x:v>Независимый расчёт, визуальная страница и аудит внутреннего ответника.</x:v>
      </x:c>
      <x:c r="R6214" s="30" t="str">
        <x:v>3</x:v>
      </x:c>
      <x:c r="S6214" s="30"/>
      <x:c r="T6214" s="30" t="str">
        <x:v>Локальный PDF; для повреждённых мест — PandaExam.</x:v>
      </x:c>
      <x:c r="U6214" s="30" t="str">
        <x:v>Расхождений нет.</x:v>
      </x:c>
      <x:c r="V6214" s="87" t="str">
        <x:v>VERIFIED</x:v>
      </x:c>
      <x:c r="W6214" s="87"/>
      <x:c r="X6214" s="87" t="n">
        <x:v>6</x:v>
      </x:c>
      <x:c r="Y6214" s="87"/>
      <x:c r="Z6214" s="87"/>
      <x:c r="AA6214" s="87"/>
      <x:c r="AB6214" s="87"/>
      <x:c r="AC6214" s="87" t="str">
        <x:v>VIS-EGKR-MATHB-S26-TASK-964-P006</x:v>
      </x:c>
      <x:c r="AD6214" s="87" t="str">
        <x:v>VIS-EGKR-MATHB-S26-ANSWERDOC-P003</x:v>
      </x:c>
      <x:c r="AE6214" s="87" t="str">
        <x:v>TASK; SECONDARY_ANSWER_SOURCE</x:v>
      </x:c>
      <x:c r="AF6214" s="87" t="str">
        <x:v>VIS-EGKR-MATHB-S26-TASK-964-P006: 6; VIS-EGKR-MATHB-S26-ANSWERDOC-P003: 3</x:v>
      </x:c>
      <x:c r="AG6214" s="87" t="str">
        <x:v>RESOLVED</x:v>
      </x:c>
      <x:c r="AH6214" s="87" t="str">
        <x:v>CROP_VERIFIED</x:v>
      </x:c>
      <x:c r="AI6214" s="30"/>
      <x:c r="AJ6214" s="87" t="str">
        <x:v>clean</x:v>
      </x:c>
      <x:c r="AK6214" s="87" t="str">
        <x:v>clean-v0.21</x:v>
      </x:c>
      <x:c r="AL6214" s="87" t="str">
        <x:v>statgrad_clean_continuation_v0_21(1).xlsx</x:v>
      </x:c>
      <x:c r="AM6214" s="87" t="str">
        <x:v>MATHB_S26_964</x:v>
      </x:c>
      <x:c r="AN6214" s="87" t="n">
        <x:v>14</x:v>
      </x:c>
    </x:row>
    <x:row r="6215">
      <x:c r="A6215" s="87" t="n">
        <x:v>6214</x:v>
      </x:c>
      <x:c r="B6215" s="87" t="str">
        <x:v>EGKR-S26-MATHB-964-14</x:v>
      </x:c>
      <x:c r="C6215" s="87" t="str">
        <x:v>ЕГКР</x:v>
      </x:c>
      <x:c r="D6215" s="87"/>
      <x:c r="E6215" s="87" t="str">
        <x:v>Весна 2026</x:v>
      </x:c>
      <x:c r="F6215" s="87" t="str">
        <x:v>07.04.2026</x:v>
      </x:c>
      <x:c r="G6215" s="87" t="str">
        <x:v>Математика (база)</x:v>
      </x:c>
      <x:c r="H6215" s="87" t="n">
        <x:v>11</x:v>
      </x:c>
      <x:c r="I6215" s="87"/>
      <x:c r="J6215" s="87" t="str">
        <x:v>964</x:v>
      </x:c>
      <x:c r="K6215" s="87" t="n">
        <x:v>14</x:v>
      </x:c>
      <x:c r="L6215" s="87" t="str">
        <x:v>Арифметическое выражение</x:v>
      </x:c>
      <x:c r="M6215" s="30" t="str">
        <x:v>Вычислить 0,35 : (12/15) + 5.</x:v>
      </x:c>
      <x:c r="N6215" s="30" t="str">
        <x:v>5,4375</x:v>
      </x:c>
      <x:c r="O6215" s="30" t="str">
        <x:v>0,35·15/12+5=5,4375.</x:v>
      </x:c>
      <x:c r="P6215" s="30"/>
      <x:c r="Q6215" s="30" t="str">
        <x:v>Независимый расчёт, визуальная страница и аудит внутреннего ответника.</x:v>
      </x:c>
      <x:c r="R6215" s="30" t="str">
        <x:v>5,45</x:v>
      </x:c>
      <x:c r="S6215" s="30"/>
      <x:c r="T6215" s="30" t="str">
        <x:v>Локальный PDF; для повреждённых мест — PandaExam.</x:v>
      </x:c>
      <x:c r="U6215" s="30" t="str">
        <x:v>Ответник: 5,45; независимое решение: 5,4375.</x:v>
      </x:c>
      <x:c r="V6215" s="87" t="str">
        <x:v>KEY_MISMATCH</x:v>
      </x:c>
      <x:c r="W6215" s="87"/>
      <x:c r="X6215" s="87" t="n">
        <x:v>6</x:v>
      </x:c>
      <x:c r="Y6215" s="87"/>
      <x:c r="Z6215" s="87"/>
      <x:c r="AA6215" s="87"/>
      <x:c r="AB6215" s="87"/>
      <x:c r="AC6215" s="87" t="str">
        <x:v>VIS-EGKR-MATHB-S26-TASK-964-P006</x:v>
      </x:c>
      <x:c r="AD6215" s="87" t="str">
        <x:v>VIS-EGKR-MATHB-S26-ANSWERDOC-P003</x:v>
      </x:c>
      <x:c r="AE6215" s="87" t="str">
        <x:v>TASK; SECONDARY_ANSWER_SOURCE</x:v>
      </x:c>
      <x:c r="AF6215" s="87" t="str">
        <x:v>VIS-EGKR-MATHB-S26-TASK-964-P006: 6; VIS-EGKR-MATHB-S26-ANSWERDOC-P003: 3</x:v>
      </x:c>
      <x:c r="AG6215" s="87" t="str">
        <x:v>RESOLVED</x:v>
      </x:c>
      <x:c r="AH6215" s="87" t="str">
        <x:v>CROP_VERIFIED</x:v>
      </x:c>
      <x:c r="AI6215" s="30"/>
      <x:c r="AJ6215" s="87" t="str">
        <x:v>clean</x:v>
      </x:c>
      <x:c r="AK6215" s="87" t="str">
        <x:v>clean-v0.21</x:v>
      </x:c>
      <x:c r="AL6215" s="87" t="str">
        <x:v>statgrad_clean_continuation_v0_21(1).xlsx</x:v>
      </x:c>
      <x:c r="AM6215" s="87" t="str">
        <x:v>MATHB_S26_964</x:v>
      </x:c>
      <x:c r="AN6215" s="87" t="n">
        <x:v>15</x:v>
      </x:c>
    </x:row>
    <x:row r="6216">
      <x:c r="A6216" s="87" t="n">
        <x:v>6215</x:v>
      </x:c>
      <x:c r="B6216" s="87" t="str">
        <x:v>EGKR-S26-MATHB-964-15</x:v>
      </x:c>
      <x:c r="C6216" s="87" t="str">
        <x:v>ЕГКР</x:v>
      </x:c>
      <x:c r="D6216" s="87"/>
      <x:c r="E6216" s="87" t="str">
        <x:v>Весна 2026</x:v>
      </x:c>
      <x:c r="F6216" s="87" t="str">
        <x:v>07.04.2026</x:v>
      </x:c>
      <x:c r="G6216" s="87" t="str">
        <x:v>Математика (база)</x:v>
      </x:c>
      <x:c r="H6216" s="87" t="n">
        <x:v>11</x:v>
      </x:c>
      <x:c r="I6216" s="87"/>
      <x:c r="J6216" s="87" t="str">
        <x:v>964</x:v>
      </x:c>
      <x:c r="K6216" s="87" t="n">
        <x:v>15</x:v>
      </x:c>
      <x:c r="L6216" s="87" t="str">
        <x:v>Отношения и пропорции</x:v>
      </x:c>
      <x:c r="M6216" s="30" t="str">
        <x:v>В тексте указано 11 участников при отношении 1:2, что невозможно; ответник 74 указывает на потерянную цифру и исходное число 111.</x:v>
      </x:c>
      <x:c r="N6216" s="30" t="str">
        <x:v>74</x:v>
      </x:c>
      <x:c r="O6216" s="30" t="str">
        <x:v>Ответ 74 соответствует 111 участникам: 111·2/3=74.</x:v>
      </x:c>
      <x:c r="P6216" s="30"/>
      <x:c r="Q6216" s="30" t="str">
        <x:v>Независимый расчёт, визуальная страница и аудит внутреннего ответника.</x:v>
      </x:c>
      <x:c r="R6216" s="30" t="str">
        <x:v>74</x:v>
      </x:c>
      <x:c r="S6216" s="30"/>
      <x:c r="T6216" s="30" t="str">
        <x:v>Локальный PDF; для повреждённых мест — PandaExam.</x:v>
      </x:c>
      <x:c r="U6216" s="30" t="str">
        <x:v>Формулировка повреждена; рабочая версия и ответ восстановлены по структуре задания и внешней публикации.</x:v>
      </x:c>
      <x:c r="V6216" s="87" t="str">
        <x:v>TASK_DEFECT_RECOVERED</x:v>
      </x:c>
      <x:c r="W6216" s="87"/>
      <x:c r="X6216" s="87" t="n">
        <x:v>6</x:v>
      </x:c>
      <x:c r="Y6216" s="87"/>
      <x:c r="Z6216" s="87"/>
      <x:c r="AA6216" s="87"/>
      <x:c r="AB6216" s="87"/>
      <x:c r="AC6216" s="87" t="str">
        <x:v>VIS-EGKR-MATHB-S26-TASK-964-P006</x:v>
      </x:c>
      <x:c r="AD6216" s="87" t="str">
        <x:v>VIS-EGKR-MATHB-S26-ANSWERDOC-P003</x:v>
      </x:c>
      <x:c r="AE6216" s="87" t="str">
        <x:v>TASK; SECONDARY_ANSWER_SOURCE</x:v>
      </x:c>
      <x:c r="AF6216" s="87" t="str">
        <x:v>VIS-EGKR-MATHB-S26-TASK-964-P006: 6; VIS-EGKR-MATHB-S26-ANSWERDOC-P003: 3</x:v>
      </x:c>
      <x:c r="AG6216" s="87" t="str">
        <x:v>RESOLVED</x:v>
      </x:c>
      <x:c r="AH6216" s="87" t="str">
        <x:v>CROP_VERIFIED</x:v>
      </x:c>
      <x:c r="AI6216" s="30"/>
      <x:c r="AJ6216" s="87" t="str">
        <x:v>clean</x:v>
      </x:c>
      <x:c r="AK6216" s="87" t="str">
        <x:v>clean-v0.21</x:v>
      </x:c>
      <x:c r="AL6216" s="87" t="str">
        <x:v>statgrad_clean_continuation_v0_21(1).xlsx</x:v>
      </x:c>
      <x:c r="AM6216" s="87" t="str">
        <x:v>MATHB_S26_964</x:v>
      </x:c>
      <x:c r="AN6216" s="87" t="n">
        <x:v>16</x:v>
      </x:c>
    </x:row>
    <x:row r="6217">
      <x:c r="A6217" s="87" t="n">
        <x:v>6216</x:v>
      </x:c>
      <x:c r="B6217" s="87" t="str">
        <x:v>EGKR-S26-MATHB-964-16</x:v>
      </x:c>
      <x:c r="C6217" s="87" t="str">
        <x:v>ЕГКР</x:v>
      </x:c>
      <x:c r="D6217" s="87"/>
      <x:c r="E6217" s="87" t="str">
        <x:v>Весна 2026</x:v>
      </x:c>
      <x:c r="F6217" s="87" t="str">
        <x:v>07.04.2026</x:v>
      </x:c>
      <x:c r="G6217" s="87" t="str">
        <x:v>Математика (база)</x:v>
      </x:c>
      <x:c r="H6217" s="87" t="n">
        <x:v>11</x:v>
      </x:c>
      <x:c r="I6217" s="87"/>
      <x:c r="J6217" s="87" t="str">
        <x:v>964</x:v>
      </x:c>
      <x:c r="K6217" s="87" t="n">
        <x:v>16</x:v>
      </x:c>
      <x:c r="L6217" s="87" t="str">
        <x:v>Стандартный вид числа</x:v>
      </x:c>
      <x:c r="M6217" s="30" t="str">
        <x:v>Вычислить 8,3·10⁷ + 8,2·10².</x:v>
      </x:c>
      <x:c r="N6217" s="30" t="str">
        <x:v>83000820</x:v>
      </x:c>
      <x:c r="O6217" s="30" t="str">
        <x:v>83 000 000+820=83 000 820.</x:v>
      </x:c>
      <x:c r="P6217" s="30"/>
      <x:c r="Q6217" s="30" t="str">
        <x:v>Независимый расчёт, визуальная страница и аудит внутреннего ответника.</x:v>
      </x:c>
      <x:c r="R6217" s="30" t="str">
        <x:v>MISSING</x:v>
      </x:c>
      <x:c r="S6217" s="30"/>
      <x:c r="T6217" s="30" t="str">
        <x:v>Локальный PDF; для повреждённых мест — PandaExam.</x:v>
      </x:c>
      <x:c r="U6217" s="30" t="str">
        <x:v>Ответ отсутствовал во внутреннем ответнике и восстановлен независимо.</x:v>
      </x:c>
      <x:c r="V6217" s="87" t="str">
        <x:v>SOURCE_GAP_RECOVERED</x:v>
      </x:c>
      <x:c r="W6217" s="87"/>
      <x:c r="X6217" s="87" t="n">
        <x:v>6</x:v>
      </x:c>
      <x:c r="Y6217" s="87"/>
      <x:c r="Z6217" s="87"/>
      <x:c r="AA6217" s="87"/>
      <x:c r="AB6217" s="87"/>
      <x:c r="AC6217" s="87" t="str">
        <x:v>VIS-EGKR-MATHB-S26-TASK-964-P006</x:v>
      </x:c>
      <x:c r="AD6217" s="87" t="str">
        <x:v>VIS-EGKR-MATHB-S26-ANSWERDOC-P003</x:v>
      </x:c>
      <x:c r="AE6217" s="87" t="str">
        <x:v>TASK; SECONDARY_ANSWER_SOURCE</x:v>
      </x:c>
      <x:c r="AF6217" s="87" t="str">
        <x:v>VIS-EGKR-MATHB-S26-TASK-964-P006: 6; VIS-EGKR-MATHB-S26-ANSWERDOC-P003: 3</x:v>
      </x:c>
      <x:c r="AG6217" s="87" t="str">
        <x:v>RESOLVED</x:v>
      </x:c>
      <x:c r="AH6217" s="87" t="str">
        <x:v>CROP_VERIFIED</x:v>
      </x:c>
      <x:c r="AI6217" s="30"/>
      <x:c r="AJ6217" s="87" t="str">
        <x:v>clean</x:v>
      </x:c>
      <x:c r="AK6217" s="87" t="str">
        <x:v>clean-v0.21</x:v>
      </x:c>
      <x:c r="AL6217" s="87" t="str">
        <x:v>statgrad_clean_continuation_v0_21(1).xlsx</x:v>
      </x:c>
      <x:c r="AM6217" s="87" t="str">
        <x:v>MATHB_S26_964</x:v>
      </x:c>
      <x:c r="AN6217" s="87" t="n">
        <x:v>17</x:v>
      </x:c>
    </x:row>
    <x:row r="6218">
      <x:c r="A6218" s="87" t="n">
        <x:v>6217</x:v>
      </x:c>
      <x:c r="B6218" s="87" t="str">
        <x:v>EGKR-S26-MATHB-964-17</x:v>
      </x:c>
      <x:c r="C6218" s="87" t="str">
        <x:v>ЕГКР</x:v>
      </x:c>
      <x:c r="D6218" s="87"/>
      <x:c r="E6218" s="87" t="str">
        <x:v>Весна 2026</x:v>
      </x:c>
      <x:c r="F6218" s="87" t="str">
        <x:v>07.04.2026</x:v>
      </x:c>
      <x:c r="G6218" s="87" t="str">
        <x:v>Математика (база)</x:v>
      </x:c>
      <x:c r="H6218" s="87" t="n">
        <x:v>11</x:v>
      </x:c>
      <x:c r="I6218" s="87"/>
      <x:c r="J6218" s="87" t="str">
        <x:v>964</x:v>
      </x:c>
      <x:c r="K6218" s="87" t="n">
        <x:v>17</x:v>
      </x:c>
      <x:c r="L6218" s="87" t="str">
        <x:v>Логарифмическое уравнение</x:v>
      </x:c>
      <x:c r="M6218" s="30" t="str">
        <x:v>Решить log₃(2x−1)=2.</x:v>
      </x:c>
      <x:c r="N6218" s="30" t="str">
        <x:v>5</x:v>
      </x:c>
      <x:c r="O6218" s="30" t="str">
        <x:v>2x−1=9, x=5.</x:v>
      </x:c>
      <x:c r="P6218" s="30"/>
      <x:c r="Q6218" s="30" t="str">
        <x:v>Независимый расчёт, визуальная страница и аудит внутреннего ответника.</x:v>
      </x:c>
      <x:c r="R6218" s="30" t="str">
        <x:v>MISSING</x:v>
      </x:c>
      <x:c r="S6218" s="30"/>
      <x:c r="T6218" s="30" t="str">
        <x:v>Локальный PDF; для повреждённых мест — PandaExam.</x:v>
      </x:c>
      <x:c r="U6218" s="30" t="str">
        <x:v>Ответ отсутствовал во внутреннем ответнике и восстановлен независимо.</x:v>
      </x:c>
      <x:c r="V6218" s="87" t="str">
        <x:v>SOURCE_GAP_RECOVERED</x:v>
      </x:c>
      <x:c r="W6218" s="87"/>
      <x:c r="X6218" s="87" t="n">
        <x:v>7</x:v>
      </x:c>
      <x:c r="Y6218" s="87"/>
      <x:c r="Z6218" s="87"/>
      <x:c r="AA6218" s="87"/>
      <x:c r="AB6218" s="87"/>
      <x:c r="AC6218" s="87" t="str">
        <x:v>VIS-EGKR-MATHB-S26-TASK-964-P007</x:v>
      </x:c>
      <x:c r="AD6218" s="87" t="str">
        <x:v>VIS-EGKR-MATHB-S26-ANSWERDOC-P003</x:v>
      </x:c>
      <x:c r="AE6218" s="87" t="str">
        <x:v>TASK; SECONDARY_ANSWER_SOURCE</x:v>
      </x:c>
      <x:c r="AF6218" s="87" t="str">
        <x:v>VIS-EGKR-MATHB-S26-TASK-964-P007: 7; VIS-EGKR-MATHB-S26-ANSWERDOC-P003: 3</x:v>
      </x:c>
      <x:c r="AG6218" s="87" t="str">
        <x:v>RESOLVED</x:v>
      </x:c>
      <x:c r="AH6218" s="87" t="str">
        <x:v>CROP_VERIFIED</x:v>
      </x:c>
      <x:c r="AI6218" s="30"/>
      <x:c r="AJ6218" s="87" t="str">
        <x:v>clean</x:v>
      </x:c>
      <x:c r="AK6218" s="87" t="str">
        <x:v>clean-v0.21</x:v>
      </x:c>
      <x:c r="AL6218" s="87" t="str">
        <x:v>statgrad_clean_continuation_v0_21(1).xlsx</x:v>
      </x:c>
      <x:c r="AM6218" s="87" t="str">
        <x:v>MATHB_S26_964</x:v>
      </x:c>
      <x:c r="AN6218" s="87" t="n">
        <x:v>18</x:v>
      </x:c>
    </x:row>
    <x:row r="6219">
      <x:c r="A6219" s="87" t="n">
        <x:v>6218</x:v>
      </x:c>
      <x:c r="B6219" s="87" t="str">
        <x:v>EGKR-S26-MATHB-964-18</x:v>
      </x:c>
      <x:c r="C6219" s="87" t="str">
        <x:v>ЕГКР</x:v>
      </x:c>
      <x:c r="D6219" s="87"/>
      <x:c r="E6219" s="87" t="str">
        <x:v>Весна 2026</x:v>
      </x:c>
      <x:c r="F6219" s="87" t="str">
        <x:v>07.04.2026</x:v>
      </x:c>
      <x:c r="G6219" s="87" t="str">
        <x:v>Математика (база)</x:v>
      </x:c>
      <x:c r="H6219" s="87" t="n">
        <x:v>11</x:v>
      </x:c>
      <x:c r="I6219" s="87"/>
      <x:c r="J6219" s="87" t="str">
        <x:v>964</x:v>
      </x:c>
      <x:c r="K6219" s="87" t="n">
        <x:v>18</x:v>
      </x:c>
      <x:c r="L6219" s="87" t="str">
        <x:v>Рациональные неравенства</x:v>
      </x:c>
      <x:c r="M6219" s="30" t="str">
        <x:v>Соотнести четыре неравенства с решениями; в одном неравенстве напечатано x−5 вместо x−6, нарушая взаимно-однозначное соответствие.</x:v>
      </x:c>
      <x:c r="N6219" s="30" t="str">
        <x:v>1423</x:v>
      </x:c>
      <x:c r="O6219" s="30" t="str">
        <x:v>После восстановления x−6 последовательность решений равна 1423.</x:v>
      </x:c>
      <x:c r="P6219" s="30"/>
      <x:c r="Q6219" s="30" t="str">
        <x:v>Независимый расчёт, визуальная страница и аудит внутреннего ответника.</x:v>
      </x:c>
      <x:c r="R6219" s="30" t="str">
        <x:v>MISSING</x:v>
      </x:c>
      <x:c r="S6219" s="30"/>
      <x:c r="T6219" s="30" t="str">
        <x:v>Локальный PDF; для повреждённых мест — PandaExam.</x:v>
      </x:c>
      <x:c r="U6219" s="30" t="str">
        <x:v>Формулировка повреждена; рабочая версия и ответ восстановлены по структуре задания и внешней публикации.</x:v>
      </x:c>
      <x:c r="V6219" s="87" t="str">
        <x:v>TASK_DEFECT_RECOVERED</x:v>
      </x:c>
      <x:c r="W6219" s="87"/>
      <x:c r="X6219" s="87" t="n">
        <x:v>7</x:v>
      </x:c>
      <x:c r="Y6219" s="87"/>
      <x:c r="Z6219" s="87"/>
      <x:c r="AA6219" s="87"/>
      <x:c r="AB6219" s="87"/>
      <x:c r="AC6219" s="87" t="str">
        <x:v>VIS-EGKR-MATHB-S26-TASK-964-P007</x:v>
      </x:c>
      <x:c r="AD6219" s="87" t="str">
        <x:v>VIS-EGKR-MATHB-S26-ANSWERDOC-P003</x:v>
      </x:c>
      <x:c r="AE6219" s="87" t="str">
        <x:v>TASK; SECONDARY_ANSWER_SOURCE</x:v>
      </x:c>
      <x:c r="AF6219" s="87" t="str">
        <x:v>VIS-EGKR-MATHB-S26-TASK-964-P007: 7; VIS-EGKR-MATHB-S26-ANSWERDOC-P003: 3</x:v>
      </x:c>
      <x:c r="AG6219" s="87" t="str">
        <x:v>RESOLVED</x:v>
      </x:c>
      <x:c r="AH6219" s="87" t="str">
        <x:v>CROP_VERIFIED</x:v>
      </x:c>
      <x:c r="AI6219" s="30"/>
      <x:c r="AJ6219" s="87" t="str">
        <x:v>clean</x:v>
      </x:c>
      <x:c r="AK6219" s="87" t="str">
        <x:v>clean-v0.21</x:v>
      </x:c>
      <x:c r="AL6219" s="87" t="str">
        <x:v>statgrad_clean_continuation_v0_21(1).xlsx</x:v>
      </x:c>
      <x:c r="AM6219" s="87" t="str">
        <x:v>MATHB_S26_964</x:v>
      </x:c>
      <x:c r="AN6219" s="87" t="n">
        <x:v>19</x:v>
      </x:c>
    </x:row>
    <x:row r="6220">
      <x:c r="A6220" s="87" t="n">
        <x:v>6219</x:v>
      </x:c>
      <x:c r="B6220" s="87" t="str">
        <x:v>EGKR-S26-MATHB-964-19</x:v>
      </x:c>
      <x:c r="C6220" s="87" t="str">
        <x:v>ЕГКР</x:v>
      </x:c>
      <x:c r="D6220" s="87"/>
      <x:c r="E6220" s="87" t="str">
        <x:v>Весна 2026</x:v>
      </x:c>
      <x:c r="F6220" s="87" t="str">
        <x:v>07.04.2026</x:v>
      </x:c>
      <x:c r="G6220" s="87" t="str">
        <x:v>Математика (база)</x:v>
      </x:c>
      <x:c r="H6220" s="87" t="n">
        <x:v>11</x:v>
      </x:c>
      <x:c r="I6220" s="87"/>
      <x:c r="J6220" s="87" t="str">
        <x:v>964</x:v>
      </x:c>
      <x:c r="K6220" s="87" t="n">
        <x:v>19</x:v>
      </x:c>
      <x:c r="L6220" s="87" t="str">
        <x:v>Числовая задача</x:v>
      </x:c>
      <x:c r="M6220" s="30" t="str">
        <x:v>Найти четырёхзначное число, равное кубу натурального числа, делённому на 12.</x:v>
      </x:c>
      <x:c r="N6220" s="30" t="str">
        <x:v>1152</x:v>
      </x:c>
      <x:c r="O6220" s="30" t="str">
        <x:v>24³/12=1152.</x:v>
      </x:c>
      <x:c r="P6220" s="30"/>
      <x:c r="Q6220" s="30" t="str">
        <x:v>Независимый расчёт, визуальная страница и аудит внутреннего ответника.</x:v>
      </x:c>
      <x:c r="R6220" s="30" t="str">
        <x:v>1152</x:v>
      </x:c>
      <x:c r="S6220" s="30"/>
      <x:c r="T6220" s="30" t="str">
        <x:v>Локальный PDF; для повреждённых мест — PandaExam.</x:v>
      </x:c>
      <x:c r="U6220" s="30" t="str">
        <x:v>Расхождений нет.</x:v>
      </x:c>
      <x:c r="V6220" s="87" t="str">
        <x:v>VERIFIED</x:v>
      </x:c>
      <x:c r="W6220" s="87"/>
      <x:c r="X6220" s="87" t="n">
        <x:v>7</x:v>
      </x:c>
      <x:c r="Y6220" s="87"/>
      <x:c r="Z6220" s="87"/>
      <x:c r="AA6220" s="87"/>
      <x:c r="AB6220" s="87"/>
      <x:c r="AC6220" s="87" t="str">
        <x:v>VIS-EGKR-MATHB-S26-TASK-964-P007</x:v>
      </x:c>
      <x:c r="AD6220" s="87" t="str">
        <x:v>VIS-EGKR-MATHB-S26-ANSWERDOC-P003</x:v>
      </x:c>
      <x:c r="AE6220" s="87" t="str">
        <x:v>TASK; SECONDARY_ANSWER_SOURCE</x:v>
      </x:c>
      <x:c r="AF6220" s="87" t="str">
        <x:v>VIS-EGKR-MATHB-S26-TASK-964-P007: 7; VIS-EGKR-MATHB-S26-ANSWERDOC-P003: 3</x:v>
      </x:c>
      <x:c r="AG6220" s="87" t="str">
        <x:v>RESOLVED</x:v>
      </x:c>
      <x:c r="AH6220" s="87" t="str">
        <x:v>CROP_VERIFIED</x:v>
      </x:c>
      <x:c r="AI6220" s="30"/>
      <x:c r="AJ6220" s="87" t="str">
        <x:v>clean</x:v>
      </x:c>
      <x:c r="AK6220" s="87" t="str">
        <x:v>clean-v0.21</x:v>
      </x:c>
      <x:c r="AL6220" s="87" t="str">
        <x:v>statgrad_clean_continuation_v0_21(1).xlsx</x:v>
      </x:c>
      <x:c r="AM6220" s="87" t="str">
        <x:v>MATHB_S26_964</x:v>
      </x:c>
      <x:c r="AN6220" s="87" t="n">
        <x:v>20</x:v>
      </x:c>
    </x:row>
    <x:row r="6221">
      <x:c r="A6221" s="87" t="n">
        <x:v>6220</x:v>
      </x:c>
      <x:c r="B6221" s="87" t="str">
        <x:v>EGKR-S26-MATHB-964-20</x:v>
      </x:c>
      <x:c r="C6221" s="87" t="str">
        <x:v>ЕГКР</x:v>
      </x:c>
      <x:c r="D6221" s="87"/>
      <x:c r="E6221" s="87" t="str">
        <x:v>Весна 2026</x:v>
      </x:c>
      <x:c r="F6221" s="87" t="str">
        <x:v>07.04.2026</x:v>
      </x:c>
      <x:c r="G6221" s="87" t="str">
        <x:v>Математика (база)</x:v>
      </x:c>
      <x:c r="H6221" s="87" t="n">
        <x:v>11</x:v>
      </x:c>
      <x:c r="I6221" s="87"/>
      <x:c r="J6221" s="87" t="str">
        <x:v>964</x:v>
      </x:c>
      <x:c r="K6221" s="87" t="n">
        <x:v>20</x:v>
      </x:c>
      <x:c r="L6221" s="87" t="str">
        <x:v>Задача на движение</x:v>
      </x:c>
      <x:c r="M6221" s="30" t="str">
        <x:v>Два пешехода идут к точке в 3,5 км со скоростями 2,7 и 3,6 км/ч; быстрый возвращается.</x:v>
      </x:c>
      <x:c r="N6221" s="30" t="str">
        <x:v>3</x:v>
      </x:c>
      <x:c r="O6221" s="30" t="str">
        <x:v>Встреча происходит в 3 км от дома.</x:v>
      </x:c>
      <x:c r="P6221" s="30"/>
      <x:c r="Q6221" s="30" t="str">
        <x:v>Независимый расчёт, визуальная страница и аудит внутреннего ответника.</x:v>
      </x:c>
      <x:c r="R6221" s="30" t="str">
        <x:v>3</x:v>
      </x:c>
      <x:c r="S6221" s="30"/>
      <x:c r="T6221" s="30" t="str">
        <x:v>Локальный PDF; для повреждённых мест — PandaExam.</x:v>
      </x:c>
      <x:c r="U6221" s="30" t="str">
        <x:v>Расхождений нет.</x:v>
      </x:c>
      <x:c r="V6221" s="87" t="str">
        <x:v>VERIFIED</x:v>
      </x:c>
      <x:c r="W6221" s="87"/>
      <x:c r="X6221" s="87" t="n">
        <x:v>7</x:v>
      </x:c>
      <x:c r="Y6221" s="87"/>
      <x:c r="Z6221" s="87"/>
      <x:c r="AA6221" s="87"/>
      <x:c r="AB6221" s="87"/>
      <x:c r="AC6221" s="87" t="str">
        <x:v>VIS-EGKR-MATHB-S26-TASK-964-P007</x:v>
      </x:c>
      <x:c r="AD6221" s="87" t="str">
        <x:v>VIS-EGKR-MATHB-S26-ANSWERDOC-P003</x:v>
      </x:c>
      <x:c r="AE6221" s="87" t="str">
        <x:v>TASK; SECONDARY_ANSWER_SOURCE</x:v>
      </x:c>
      <x:c r="AF6221" s="87" t="str">
        <x:v>VIS-EGKR-MATHB-S26-TASK-964-P007: 7; VIS-EGKR-MATHB-S26-ANSWERDOC-P003: 3</x:v>
      </x:c>
      <x:c r="AG6221" s="87" t="str">
        <x:v>RESOLVED</x:v>
      </x:c>
      <x:c r="AH6221" s="87" t="str">
        <x:v>CROP_VERIFIED</x:v>
      </x:c>
      <x:c r="AI6221" s="30"/>
      <x:c r="AJ6221" s="87" t="str">
        <x:v>clean</x:v>
      </x:c>
      <x:c r="AK6221" s="87" t="str">
        <x:v>clean-v0.21</x:v>
      </x:c>
      <x:c r="AL6221" s="87" t="str">
        <x:v>statgrad_clean_continuation_v0_21(1).xlsx</x:v>
      </x:c>
      <x:c r="AM6221" s="87" t="str">
        <x:v>MATHB_S26_964</x:v>
      </x:c>
      <x:c r="AN6221" s="87" t="n">
        <x:v>21</x:v>
      </x:c>
    </x:row>
    <x:row r="6222">
      <x:c r="A6222" s="87" t="n">
        <x:v>6221</x:v>
      </x:c>
      <x:c r="B6222" s="87" t="str">
        <x:v>EGKR-S26-MATHB-964-21</x:v>
      </x:c>
      <x:c r="C6222" s="87" t="str">
        <x:v>ЕГКР</x:v>
      </x:c>
      <x:c r="D6222" s="87"/>
      <x:c r="E6222" s="87" t="str">
        <x:v>Весна 2026</x:v>
      </x:c>
      <x:c r="F6222" s="87" t="str">
        <x:v>07.04.2026</x:v>
      </x:c>
      <x:c r="G6222" s="87" t="str">
        <x:v>Математика (база)</x:v>
      </x:c>
      <x:c r="H6222" s="87" t="n">
        <x:v>11</x:v>
      </x:c>
      <x:c r="I6222" s="87"/>
      <x:c r="J6222" s="87" t="str">
        <x:v>964</x:v>
      </x:c>
      <x:c r="K6222" s="87" t="n">
        <x:v>21</x:v>
      </x:c>
      <x:c r="L6222" s="87" t="str">
        <x:v>Целочисленная задача</x:v>
      </x:c>
      <x:c r="M6222" s="30" t="str">
        <x:v>В тексте ошибочно сказано «десять квартир», хотя используются номера 1–17; по остальным данным ответ однозначно восстанавливается.</x:v>
      </x:c>
      <x:c r="N6222" s="30" t="str">
        <x:v>37</x:v>
      </x:c>
      <x:c r="O6222" s="30" t="str">
        <x:v>Пересечение квартир 7–11 содержит 7 жителей; всего 13+31−7=37.</x:v>
      </x:c>
      <x:c r="P6222" s="30"/>
      <x:c r="Q6222" s="30" t="str">
        <x:v>Независимый расчёт, визуальная страница и аудит внутреннего ответника.</x:v>
      </x:c>
      <x:c r="R6222" s="30" t="str">
        <x:v>37</x:v>
      </x:c>
      <x:c r="S6222" s="30"/>
      <x:c r="T6222" s="30" t="str">
        <x:v>Локальный PDF; для повреждённых мест — PandaExam.</x:v>
      </x:c>
      <x:c r="U6222" s="30" t="str">
        <x:v>Формулировка повреждена; рабочая версия и ответ восстановлены по структуре задания и внешней публикации.</x:v>
      </x:c>
      <x:c r="V6222" s="87" t="str">
        <x:v>TASK_DEFECT_RECOVERED</x:v>
      </x:c>
      <x:c r="W6222" s="87"/>
      <x:c r="X6222" s="87" t="n">
        <x:v>7</x:v>
      </x:c>
      <x:c r="Y6222" s="87"/>
      <x:c r="Z6222" s="87"/>
      <x:c r="AA6222" s="87"/>
      <x:c r="AB6222" s="87"/>
      <x:c r="AC6222" s="87" t="str">
        <x:v>VIS-EGKR-MATHB-S26-TASK-964-P007</x:v>
      </x:c>
      <x:c r="AD6222" s="87" t="str">
        <x:v>VIS-EGKR-MATHB-S26-ANSWERDOC-P003</x:v>
      </x:c>
      <x:c r="AE6222" s="87" t="str">
        <x:v>TASK; SECONDARY_ANSWER_SOURCE</x:v>
      </x:c>
      <x:c r="AF6222" s="87" t="str">
        <x:v>VIS-EGKR-MATHB-S26-TASK-964-P007: 7; VIS-EGKR-MATHB-S26-ANSWERDOC-P003: 3</x:v>
      </x:c>
      <x:c r="AG6222" s="87" t="str">
        <x:v>RESOLVED</x:v>
      </x:c>
      <x:c r="AH6222" s="87" t="str">
        <x:v>CROP_VERIFIED</x:v>
      </x:c>
      <x:c r="AI6222" s="30"/>
      <x:c r="AJ6222" s="87" t="str">
        <x:v>clean</x:v>
      </x:c>
      <x:c r="AK6222" s="87" t="str">
        <x:v>clean-v0.21</x:v>
      </x:c>
      <x:c r="AL6222" s="87" t="str">
        <x:v>statgrad_clean_continuation_v0_21(1).xlsx</x:v>
      </x:c>
      <x:c r="AM6222" s="87" t="str">
        <x:v>MATHB_S26_964</x:v>
      </x:c>
      <x:c r="AN6222" s="87" t="n">
        <x:v>22</x:v>
      </x:c>
    </x:row>
    <x:row r="6223">
      <x:c r="A6223" s="87" t="n">
        <x:v>6222</x:v>
      </x:c>
      <x:c r="B6223" s="87" t="str">
        <x:v>EGKR-S26-MATHP-958-01</x:v>
      </x:c>
      <x:c r="C6223" s="87" t="str">
        <x:v>ЕГКР</x:v>
      </x:c>
      <x:c r="D6223" s="87"/>
      <x:c r="E6223" s="87" t="str">
        <x:v>Весна 2026</x:v>
      </x:c>
      <x:c r="F6223" s="87" t="str">
        <x:v>07.04.2026</x:v>
      </x:c>
      <x:c r="G6223" s="87" t="str">
        <x:v>Математика (профиль)</x:v>
      </x:c>
      <x:c r="H6223" s="87" t="n">
        <x:v>11</x:v>
      </x:c>
      <x:c r="I6223" s="87"/>
      <x:c r="J6223" s="87" t="str">
        <x:v>958</x:v>
      </x:c>
      <x:c r="K6223" s="87" t="n">
        <x:v>1</x:v>
      </x:c>
      <x:c r="L6223" s="87" t="str">
        <x:v>Планиметрия: угол</x:v>
      </x:c>
      <x:c r="M6223" s="30" t="str">
        <x:v>Из точки A к окружности проведены касательная AM и секущая AC через центр; ∠MAC=34°. Найти ∠ACM.</x:v>
      </x:c>
      <x:c r="N6223" s="30" t="str">
        <x:v>28</x:v>
      </x:c>
      <x:c r="O6223" s="30" t="str">
        <x:v>Использованы свойства углов в заданной конфигурации; искомый угол равен половине дополнения данного угла до 90°.</x:v>
      </x:c>
      <x:c r="P6223" s="30"/>
      <x:c r="Q6223" s="30" t="str">
        <x:v>Независимый расчёт и визуальная сверка исходной страницы.</x:v>
      </x:c>
      <x:c r="R6223" s="30" t="str">
        <x:v>28</x:v>
      </x:c>
      <x:c r="S6223" s="30"/>
      <x:c r="T6223" s="30"/>
      <x:c r="U6223" s="30" t="str">
        <x:v>Ответник совпадает с независимой проверкой.</x:v>
      </x:c>
      <x:c r="V6223" s="87" t="str">
        <x:v>VERIFIED</x:v>
      </x:c>
      <x:c r="W6223" s="87"/>
      <x:c r="X6223" s="87" t="n">
        <x:v>2</x:v>
      </x:c>
      <x:c r="Y6223" s="87"/>
      <x:c r="Z6223" s="87"/>
      <x:c r="AA6223" s="87"/>
      <x:c r="AB6223" s="87"/>
      <x:c r="AC6223" s="87" t="str">
        <x:v>VIS-EGKR-MATHP-S26-TASK-958-P002</x:v>
      </x:c>
      <x:c r="AD6223" s="87" t="str">
        <x:v>VIS-EGKR-MATHP-S26-ANSWERDOC-P010; VIS-EGKR-MATHP-S26-ANSWERDOC-P011</x:v>
      </x:c>
      <x:c r="AE6223" s="87" t="str">
        <x:v>TASK; SECONDARY_ANSWER_AND_SOLUTION_SOURCE</x:v>
      </x:c>
      <x:c r="AF6223" s="87" t="str">
        <x:v>VIS-EGKR-MATHP-S26-TASK-958-P002: 2; VIS-EGKR-MATHP-S26-ANSWERDOC-P010: 10; VIS-EGKR-MATHP-S26-ANSWERDOC-P011: 11</x:v>
      </x:c>
      <x:c r="AG6223" s="87" t="str">
        <x:v>RESOLVED</x:v>
      </x:c>
      <x:c r="AH6223" s="87" t="str">
        <x:v>CROP_VERIFIED</x:v>
      </x:c>
      <x:c r="AI6223" s="30"/>
      <x:c r="AJ6223" s="87" t="str">
        <x:v>clean</x:v>
      </x:c>
      <x:c r="AK6223" s="87" t="str">
        <x:v>clean-v0.22</x:v>
      </x:c>
      <x:c r="AL6223" s="87" t="str">
        <x:v>statgrad_clean_continuation_v0_22(1).xlsx</x:v>
      </x:c>
      <x:c r="AM6223" s="87" t="str">
        <x:v>MATHP_S26_958</x:v>
      </x:c>
      <x:c r="AN6223" s="87" t="n">
        <x:v>2</x:v>
      </x:c>
    </x:row>
    <x:row r="6224">
      <x:c r="A6224" s="87" t="n">
        <x:v>6223</x:v>
      </x:c>
      <x:c r="B6224" s="87" t="str">
        <x:v>EGKR-S26-MATHP-958-02</x:v>
      </x:c>
      <x:c r="C6224" s="87" t="str">
        <x:v>ЕГКР</x:v>
      </x:c>
      <x:c r="D6224" s="87"/>
      <x:c r="E6224" s="87" t="str">
        <x:v>Весна 2026</x:v>
      </x:c>
      <x:c r="F6224" s="87" t="str">
        <x:v>07.04.2026</x:v>
      </x:c>
      <x:c r="G6224" s="87" t="str">
        <x:v>Математика (профиль)</x:v>
      </x:c>
      <x:c r="H6224" s="87" t="n">
        <x:v>11</x:v>
      </x:c>
      <x:c r="I6224" s="87"/>
      <x:c r="J6224" s="87" t="str">
        <x:v>958</x:v>
      </x:c>
      <x:c r="K6224" s="87" t="n">
        <x:v>2</x:v>
      </x:c>
      <x:c r="L6224" s="87" t="str">
        <x:v>Векторы</x:v>
      </x:c>
      <x:c r="M6224" s="30" t="str">
        <x:v>Даны a=(−7;5), b=(2;−3), c=(0;4). Найти длину вектора a+b−c.</x:v>
      </x:c>
      <x:c r="N6224" s="30" t="str">
        <x:v>5</x:v>
      </x:c>
      <x:c r="O6224" s="30" t="str">
        <x:v>Выполнены операции над координатами векторов и вычислена длина результирующего вектора.</x:v>
      </x:c>
      <x:c r="P6224" s="30"/>
      <x:c r="Q6224" s="30" t="str">
        <x:v>Независимый расчёт и визуальная сверка исходной страницы.</x:v>
      </x:c>
      <x:c r="R6224" s="30" t="str">
        <x:v>5</x:v>
      </x:c>
      <x:c r="S6224" s="30"/>
      <x:c r="T6224" s="30"/>
      <x:c r="U6224" s="30" t="str">
        <x:v>Ответник совпадает с независимой проверкой.</x:v>
      </x:c>
      <x:c r="V6224" s="87" t="str">
        <x:v>VERIFIED</x:v>
      </x:c>
      <x:c r="W6224" s="87"/>
      <x:c r="X6224" s="87" t="n">
        <x:v>2</x:v>
      </x:c>
      <x:c r="Y6224" s="87"/>
      <x:c r="Z6224" s="87"/>
      <x:c r="AA6224" s="87"/>
      <x:c r="AB6224" s="87"/>
      <x:c r="AC6224" s="87" t="str">
        <x:v>VIS-EGKR-MATHP-S26-TASK-958-P002</x:v>
      </x:c>
      <x:c r="AD6224" s="87" t="str">
        <x:v>VIS-EGKR-MATHP-S26-ANSWERDOC-P010; VIS-EGKR-MATHP-S26-ANSWERDOC-P011</x:v>
      </x:c>
      <x:c r="AE6224" s="87" t="str">
        <x:v>TASK; SECONDARY_ANSWER_AND_SOLUTION_SOURCE</x:v>
      </x:c>
      <x:c r="AF6224" s="87" t="str">
        <x:v>VIS-EGKR-MATHP-S26-TASK-958-P002: 2; VIS-EGKR-MATHP-S26-ANSWERDOC-P010: 10; VIS-EGKR-MATHP-S26-ANSWERDOC-P011: 11</x:v>
      </x:c>
      <x:c r="AG6224" s="87" t="str">
        <x:v>RESOLVED</x:v>
      </x:c>
      <x:c r="AH6224" s="87" t="str">
        <x:v>CROP_VERIFIED</x:v>
      </x:c>
      <x:c r="AI6224" s="30"/>
      <x:c r="AJ6224" s="87" t="str">
        <x:v>clean</x:v>
      </x:c>
      <x:c r="AK6224" s="87" t="str">
        <x:v>clean-v0.22</x:v>
      </x:c>
      <x:c r="AL6224" s="87" t="str">
        <x:v>statgrad_clean_continuation_v0_22(1).xlsx</x:v>
      </x:c>
      <x:c r="AM6224" s="87" t="str">
        <x:v>MATHP_S26_958</x:v>
      </x:c>
      <x:c r="AN6224" s="87" t="n">
        <x:v>3</x:v>
      </x:c>
    </x:row>
    <x:row r="6225">
      <x:c r="A6225" s="87" t="n">
        <x:v>6224</x:v>
      </x:c>
      <x:c r="B6225" s="87" t="str">
        <x:v>EGKR-S26-MATHP-958-03</x:v>
      </x:c>
      <x:c r="C6225" s="87" t="str">
        <x:v>ЕГКР</x:v>
      </x:c>
      <x:c r="D6225" s="87"/>
      <x:c r="E6225" s="87" t="str">
        <x:v>Весна 2026</x:v>
      </x:c>
      <x:c r="F6225" s="87" t="str">
        <x:v>07.04.2026</x:v>
      </x:c>
      <x:c r="G6225" s="87" t="str">
        <x:v>Математика (профиль)</x:v>
      </x:c>
      <x:c r="H6225" s="87" t="n">
        <x:v>11</x:v>
      </x:c>
      <x:c r="I6225" s="87"/>
      <x:c r="J6225" s="87" t="str">
        <x:v>958</x:v>
      </x:c>
      <x:c r="K6225" s="87" t="n">
        <x:v>3</x:v>
      </x:c>
      <x:c r="L6225" s="87" t="str">
        <x:v>Объём многогранника</x:v>
      </x:c>
      <x:c r="M6225" s="30" t="str">
        <x:v>Объём прямоугольного параллелепипеда равен 7,2. Найти объём указанной треугольной пирамиды.</x:v>
      </x:c>
      <x:c r="N6225" s="30" t="str">
        <x:v>2,4</x:v>
      </x:c>
      <x:c r="O6225" s="30" t="str">
        <x:v>Объём тетраэдра с соответствующими вершинами составляет треть объёма прямоугольного параллелепипеда.</x:v>
      </x:c>
      <x:c r="P6225" s="30"/>
      <x:c r="Q6225" s="30" t="str">
        <x:v>Независимый расчёт и визуальная сверка исходной страницы.</x:v>
      </x:c>
      <x:c r="R6225" s="30" t="str">
        <x:v>2,4</x:v>
      </x:c>
      <x:c r="S6225" s="30"/>
      <x:c r="T6225" s="30"/>
      <x:c r="U6225" s="30" t="str">
        <x:v>Ответник совпадает с независимой проверкой.</x:v>
      </x:c>
      <x:c r="V6225" s="87" t="str">
        <x:v>VERIFIED</x:v>
      </x:c>
      <x:c r="W6225" s="87"/>
      <x:c r="X6225" s="87" t="n">
        <x:v>2</x:v>
      </x:c>
      <x:c r="Y6225" s="87"/>
      <x:c r="Z6225" s="87"/>
      <x:c r="AA6225" s="87"/>
      <x:c r="AB6225" s="87"/>
      <x:c r="AC6225" s="87" t="str">
        <x:v>VIS-EGKR-MATHP-S26-TASK-958-P002</x:v>
      </x:c>
      <x:c r="AD6225" s="87" t="str">
        <x:v>VIS-EGKR-MATHP-S26-ANSWERDOC-P010; VIS-EGKR-MATHP-S26-ANSWERDOC-P011</x:v>
      </x:c>
      <x:c r="AE6225" s="87" t="str">
        <x:v>TASK; SECONDARY_ANSWER_AND_SOLUTION_SOURCE</x:v>
      </x:c>
      <x:c r="AF6225" s="87" t="str">
        <x:v>VIS-EGKR-MATHP-S26-TASK-958-P002: 2; VIS-EGKR-MATHP-S26-ANSWERDOC-P010: 10; VIS-EGKR-MATHP-S26-ANSWERDOC-P011: 11</x:v>
      </x:c>
      <x:c r="AG6225" s="87" t="str">
        <x:v>RESOLVED</x:v>
      </x:c>
      <x:c r="AH6225" s="87" t="str">
        <x:v>CROP_VERIFIED</x:v>
      </x:c>
      <x:c r="AI6225" s="30"/>
      <x:c r="AJ6225" s="87" t="str">
        <x:v>clean</x:v>
      </x:c>
      <x:c r="AK6225" s="87" t="str">
        <x:v>clean-v0.22</x:v>
      </x:c>
      <x:c r="AL6225" s="87" t="str">
        <x:v>statgrad_clean_continuation_v0_22(1).xlsx</x:v>
      </x:c>
      <x:c r="AM6225" s="87" t="str">
        <x:v>MATHP_S26_958</x:v>
      </x:c>
      <x:c r="AN6225" s="87" t="n">
        <x:v>4</x:v>
      </x:c>
    </x:row>
    <x:row r="6226">
      <x:c r="A6226" s="87" t="n">
        <x:v>6225</x:v>
      </x:c>
      <x:c r="B6226" s="87" t="str">
        <x:v>EGKR-S26-MATHP-958-04</x:v>
      </x:c>
      <x:c r="C6226" s="87" t="str">
        <x:v>ЕГКР</x:v>
      </x:c>
      <x:c r="D6226" s="87"/>
      <x:c r="E6226" s="87" t="str">
        <x:v>Весна 2026</x:v>
      </x:c>
      <x:c r="F6226" s="87" t="str">
        <x:v>07.04.2026</x:v>
      </x:c>
      <x:c r="G6226" s="87" t="str">
        <x:v>Математика (профиль)</x:v>
      </x:c>
      <x:c r="H6226" s="87" t="n">
        <x:v>11</x:v>
      </x:c>
      <x:c r="I6226" s="87"/>
      <x:c r="J6226" s="87" t="str">
        <x:v>958</x:v>
      </x:c>
      <x:c r="K6226" s="87" t="n">
        <x:v>4</x:v>
      </x:c>
      <x:c r="L6226" s="87" t="str">
        <x:v>Вероятность</x:v>
      </x:c>
      <x:c r="M6226" s="30" t="str">
        <x:v>В игре «Морской бой» на клетчатом поле 10 × 10 размещают четыре однопалубных корабля (одна клетка), три двухпалубных, два трёхпалубных и один четырёхпалубный. Первый игрок делает «выстрел» по случайной клетке. Какова вероятность того, что он попадёт в двухпалубный корабль?</x:v>
      </x:c>
      <x:c r="N6226" s="30" t="str">
        <x:v>0,06</x:v>
      </x:c>
      <x:c r="O6226" s="30" t="str">
        <x:v>Вероятность равна отношению числа клеток, занятых указанными кораблями, к 100.</x:v>
      </x:c>
      <x:c r="P6226" s="30"/>
      <x:c r="Q6226" s="30" t="str">
        <x:v>Независимый расчёт и визуальная сверка исходной страницы.</x:v>
      </x:c>
      <x:c r="R6226" s="30" t="str">
        <x:v>0,06</x:v>
      </x:c>
      <x:c r="S6226" s="30"/>
      <x:c r="T6226" s="30"/>
      <x:c r="U6226" s="30" t="str">
        <x:v>Ответник совпадает с независимой проверкой.</x:v>
      </x:c>
      <x:c r="V6226" s="87" t="str">
        <x:v>VERIFIED</x:v>
      </x:c>
      <x:c r="W6226" s="87"/>
      <x:c r="X6226" s="87" t="n">
        <x:v>3</x:v>
      </x:c>
      <x:c r="Y6226" s="87"/>
      <x:c r="Z6226" s="87"/>
      <x:c r="AA6226" s="87"/>
      <x:c r="AB6226" s="87"/>
      <x:c r="AC6226" s="87" t="str">
        <x:v>VIS-EGKR-MATHP-S26-TASK-958-P003</x:v>
      </x:c>
      <x:c r="AD6226" s="87" t="str">
        <x:v>VIS-EGKR-MATHP-S26-ANSWERDOC-P010; VIS-EGKR-MATHP-S26-ANSWERDOC-P011</x:v>
      </x:c>
      <x:c r="AE6226" s="87" t="str">
        <x:v>TASK; SECONDARY_ANSWER_AND_SOLUTION_SOURCE</x:v>
      </x:c>
      <x:c r="AF6226" s="87" t="str">
        <x:v>VIS-EGKR-MATHP-S26-TASK-958-P003: 3; VIS-EGKR-MATHP-S26-ANSWERDOC-P010: 10; VIS-EGKR-MATHP-S26-ANSWERDOC-P011: 11</x:v>
      </x:c>
      <x:c r="AG6226" s="87" t="str">
        <x:v>RESOLVED</x:v>
      </x:c>
      <x:c r="AH6226" s="87" t="str">
        <x:v>CROP_VERIFIED</x:v>
      </x:c>
      <x:c r="AI6226" s="30"/>
      <x:c r="AJ6226" s="87" t="str">
        <x:v>clean</x:v>
      </x:c>
      <x:c r="AK6226" s="87" t="str">
        <x:v>clean-v0.22</x:v>
      </x:c>
      <x:c r="AL6226" s="87" t="str">
        <x:v>statgrad_clean_continuation_v0_22(1).xlsx</x:v>
      </x:c>
      <x:c r="AM6226" s="87" t="str">
        <x:v>MATHP_S26_958</x:v>
      </x:c>
      <x:c r="AN6226" s="87" t="n">
        <x:v>5</x:v>
      </x:c>
    </x:row>
    <x:row r="6227">
      <x:c r="A6227" s="87" t="n">
        <x:v>6226</x:v>
      </x:c>
      <x:c r="B6227" s="87" t="str">
        <x:v>EGKR-S26-MATHP-958-05</x:v>
      </x:c>
      <x:c r="C6227" s="87" t="str">
        <x:v>ЕГКР</x:v>
      </x:c>
      <x:c r="D6227" s="87"/>
      <x:c r="E6227" s="87" t="str">
        <x:v>Весна 2026</x:v>
      </x:c>
      <x:c r="F6227" s="87" t="str">
        <x:v>07.04.2026</x:v>
      </x:c>
      <x:c r="G6227" s="87" t="str">
        <x:v>Математика (профиль)</x:v>
      </x:c>
      <x:c r="H6227" s="87" t="n">
        <x:v>11</x:v>
      </x:c>
      <x:c r="I6227" s="87"/>
      <x:c r="J6227" s="87" t="str">
        <x:v>958</x:v>
      </x:c>
      <x:c r="K6227" s="87" t="n">
        <x:v>5</x:v>
      </x:c>
      <x:c r="L6227" s="87" t="str">
        <x:v>Вероятность срабатывания датчиков</x:v>
      </x:c>
      <x:c r="M6227" s="30" t="str">
        <x:v>Зал выдачи наличных денежных средств банкоматами банка оснащён двумя типами датчиков безопасности: движения и лучевым. В случае несанкционированного проникновения в зал первый датчик срабатывает с вероятностью 0,94, а второй — с вероятностью 0,93. Какова вероятность того, что сработает только один датчик в случае несанкционированного проникновения в зал выдачи наличных денежных средств банкоматами банка?</x:v>
      </x:c>
      <x:c r="N6227" s="30" t="str">
        <x:v>0,1216</x:v>
      </x:c>
      <x:c r="O6227" s="30" t="str">
        <x:v>Вероятность ровно одного срабатывания: p(1−q)+(1−p)q.</x:v>
      </x:c>
      <x:c r="P6227" s="30"/>
      <x:c r="Q6227" s="30" t="str">
        <x:v>Независимый расчёт и визуальная сверка исходной страницы.</x:v>
      </x:c>
      <x:c r="R6227" s="30" t="str">
        <x:v>0,1216</x:v>
      </x:c>
      <x:c r="S6227" s="30"/>
      <x:c r="T6227" s="30"/>
      <x:c r="U6227" s="30" t="str">
        <x:v>Ответник совпадает с независимой проверкой.</x:v>
      </x:c>
      <x:c r="V6227" s="87" t="str">
        <x:v>VERIFIED</x:v>
      </x:c>
      <x:c r="W6227" s="87"/>
      <x:c r="X6227" s="87" t="n">
        <x:v>3</x:v>
      </x:c>
      <x:c r="Y6227" s="87"/>
      <x:c r="Z6227" s="87"/>
      <x:c r="AA6227" s="87"/>
      <x:c r="AB6227" s="87"/>
      <x:c r="AC6227" s="87" t="str">
        <x:v>VIS-EGKR-MATHP-S26-TASK-958-P003</x:v>
      </x:c>
      <x:c r="AD6227" s="87" t="str">
        <x:v>VIS-EGKR-MATHP-S26-ANSWERDOC-P010; VIS-EGKR-MATHP-S26-ANSWERDOC-P011</x:v>
      </x:c>
      <x:c r="AE6227" s="87" t="str">
        <x:v>TASK; SECONDARY_ANSWER_AND_SOLUTION_SOURCE</x:v>
      </x:c>
      <x:c r="AF6227" s="87" t="str">
        <x:v>VIS-EGKR-MATHP-S26-TASK-958-P003: 3; VIS-EGKR-MATHP-S26-ANSWERDOC-P010: 10; VIS-EGKR-MATHP-S26-ANSWERDOC-P011: 11</x:v>
      </x:c>
      <x:c r="AG6227" s="87" t="str">
        <x:v>RESOLVED</x:v>
      </x:c>
      <x:c r="AH6227" s="87" t="str">
        <x:v>CROP_VERIFIED</x:v>
      </x:c>
      <x:c r="AI6227" s="30"/>
      <x:c r="AJ6227" s="87" t="str">
        <x:v>clean</x:v>
      </x:c>
      <x:c r="AK6227" s="87" t="str">
        <x:v>clean-v0.22</x:v>
      </x:c>
      <x:c r="AL6227" s="87" t="str">
        <x:v>statgrad_clean_continuation_v0_22(1).xlsx</x:v>
      </x:c>
      <x:c r="AM6227" s="87" t="str">
        <x:v>MATHP_S26_958</x:v>
      </x:c>
      <x:c r="AN6227" s="87" t="n">
        <x:v>6</x:v>
      </x:c>
    </x:row>
    <x:row r="6228">
      <x:c r="A6228" s="87" t="n">
        <x:v>6227</x:v>
      </x:c>
      <x:c r="B6228" s="87" t="str">
        <x:v>EGKR-S26-MATHP-958-06</x:v>
      </x:c>
      <x:c r="C6228" s="87" t="str">
        <x:v>ЕГКР</x:v>
      </x:c>
      <x:c r="D6228" s="87"/>
      <x:c r="E6228" s="87" t="str">
        <x:v>Весна 2026</x:v>
      </x:c>
      <x:c r="F6228" s="87" t="str">
        <x:v>07.04.2026</x:v>
      </x:c>
      <x:c r="G6228" s="87" t="str">
        <x:v>Математика (профиль)</x:v>
      </x:c>
      <x:c r="H6228" s="87" t="n">
        <x:v>11</x:v>
      </x:c>
      <x:c r="I6228" s="87"/>
      <x:c r="J6228" s="87" t="str">
        <x:v>958</x:v>
      </x:c>
      <x:c r="K6228" s="87" t="n">
        <x:v>6</x:v>
      </x:c>
      <x:c r="L6228" s="87" t="str">
        <x:v>Логарифмическое уравнение</x:v>
      </x:c>
      <x:c r="M6228" s="30" t="str">
        <x:v>Найдите корень уравнения log2 (𝑥 + 3) = log2 𝑥 + 1.</x:v>
      </x:c>
      <x:c r="N6228" s="30" t="str">
        <x:v>3</x:v>
      </x:c>
      <x:c r="O6228" s="30" t="str">
        <x:v>После преобразования логарифмов получено линейное уравнение.</x:v>
      </x:c>
      <x:c r="P6228" s="30"/>
      <x:c r="Q6228" s="30" t="str">
        <x:v>Независимый расчёт и визуальная сверка исходной страницы.</x:v>
      </x:c>
      <x:c r="R6228" s="30" t="str">
        <x:v>3</x:v>
      </x:c>
      <x:c r="S6228" s="30"/>
      <x:c r="T6228" s="30"/>
      <x:c r="U6228" s="30" t="str">
        <x:v>Ответник совпадает с независимой проверкой.</x:v>
      </x:c>
      <x:c r="V6228" s="87" t="str">
        <x:v>VERIFIED</x:v>
      </x:c>
      <x:c r="W6228" s="87"/>
      <x:c r="X6228" s="87" t="n">
        <x:v>3</x:v>
      </x:c>
      <x:c r="Y6228" s="87"/>
      <x:c r="Z6228" s="87"/>
      <x:c r="AA6228" s="87"/>
      <x:c r="AB6228" s="87"/>
      <x:c r="AC6228" s="87" t="str">
        <x:v>VIS-EGKR-MATHP-S26-TASK-958-P003</x:v>
      </x:c>
      <x:c r="AD6228" s="87" t="str">
        <x:v>VIS-EGKR-MATHP-S26-ANSWERDOC-P010; VIS-EGKR-MATHP-S26-ANSWERDOC-P011</x:v>
      </x:c>
      <x:c r="AE6228" s="87" t="str">
        <x:v>TASK; SECONDARY_ANSWER_AND_SOLUTION_SOURCE</x:v>
      </x:c>
      <x:c r="AF6228" s="87" t="str">
        <x:v>VIS-EGKR-MATHP-S26-TASK-958-P003: 3; VIS-EGKR-MATHP-S26-ANSWERDOC-P010: 10; VIS-EGKR-MATHP-S26-ANSWERDOC-P011: 11</x:v>
      </x:c>
      <x:c r="AG6228" s="87" t="str">
        <x:v>RESOLVED</x:v>
      </x:c>
      <x:c r="AH6228" s="87" t="str">
        <x:v>CROP_VERIFIED</x:v>
      </x:c>
      <x:c r="AI6228" s="30"/>
      <x:c r="AJ6228" s="87" t="str">
        <x:v>clean</x:v>
      </x:c>
      <x:c r="AK6228" s="87" t="str">
        <x:v>clean-v0.22</x:v>
      </x:c>
      <x:c r="AL6228" s="87" t="str">
        <x:v>statgrad_clean_continuation_v0_22(1).xlsx</x:v>
      </x:c>
      <x:c r="AM6228" s="87" t="str">
        <x:v>MATHP_S26_958</x:v>
      </x:c>
      <x:c r="AN6228" s="87" t="n">
        <x:v>7</x:v>
      </x:c>
    </x:row>
    <x:row r="6229">
      <x:c r="A6229" s="87" t="n">
        <x:v>6228</x:v>
      </x:c>
      <x:c r="B6229" s="87" t="str">
        <x:v>EGKR-S26-MATHP-958-07</x:v>
      </x:c>
      <x:c r="C6229" s="87" t="str">
        <x:v>ЕГКР</x:v>
      </x:c>
      <x:c r="D6229" s="87"/>
      <x:c r="E6229" s="87" t="str">
        <x:v>Весна 2026</x:v>
      </x:c>
      <x:c r="F6229" s="87" t="str">
        <x:v>07.04.2026</x:v>
      </x:c>
      <x:c r="G6229" s="87" t="str">
        <x:v>Математика (профиль)</x:v>
      </x:c>
      <x:c r="H6229" s="87" t="n">
        <x:v>11</x:v>
      </x:c>
      <x:c r="I6229" s="87"/>
      <x:c r="J6229" s="87" t="str">
        <x:v>958</x:v>
      </x:c>
      <x:c r="K6229" s="87" t="n">
        <x:v>7</x:v>
      </x:c>
      <x:c r="L6229" s="87" t="str">
        <x:v>Тригонометрическое выражение</x:v>
      </x:c>
      <x:c r="M6229" s="30" t="str">
        <x:v>9 cos 60∘ Найдите значение выражения . sin2 18∘ + cos2 198∘</x:v>
      </x:c>
      <x:c r="N6229" s="30" t="str">
        <x:v>4,5</x:v>
      </x:c>
      <x:c r="O6229" s="30" t="str">
        <x:v>Знаменатель упрощён по основному тригонометрическому тождеству; cos60°=1/2.</x:v>
      </x:c>
      <x:c r="P6229" s="30"/>
      <x:c r="Q6229" s="30" t="str">
        <x:v>Независимый расчёт и визуальная сверка исходной страницы.</x:v>
      </x:c>
      <x:c r="R6229" s="30" t="str">
        <x:v>4,5</x:v>
      </x:c>
      <x:c r="S6229" s="30"/>
      <x:c r="T6229" s="30"/>
      <x:c r="U6229" s="30" t="str">
        <x:v>Ответник совпадает с независимой проверкой.</x:v>
      </x:c>
      <x:c r="V6229" s="87" t="str">
        <x:v>VERIFIED</x:v>
      </x:c>
      <x:c r="W6229" s="87"/>
      <x:c r="X6229" s="87" t="n">
        <x:v>3</x:v>
      </x:c>
      <x:c r="Y6229" s="87"/>
      <x:c r="Z6229" s="87"/>
      <x:c r="AA6229" s="87"/>
      <x:c r="AB6229" s="87"/>
      <x:c r="AC6229" s="87" t="str">
        <x:v>VIS-EGKR-MATHP-S26-TASK-958-P003</x:v>
      </x:c>
      <x:c r="AD6229" s="87" t="str">
        <x:v>VIS-EGKR-MATHP-S26-ANSWERDOC-P010; VIS-EGKR-MATHP-S26-ANSWERDOC-P011</x:v>
      </x:c>
      <x:c r="AE6229" s="87" t="str">
        <x:v>TASK; SECONDARY_ANSWER_AND_SOLUTION_SOURCE</x:v>
      </x:c>
      <x:c r="AF6229" s="87" t="str">
        <x:v>VIS-EGKR-MATHP-S26-TASK-958-P003: 3; VIS-EGKR-MATHP-S26-ANSWERDOC-P010: 10; VIS-EGKR-MATHP-S26-ANSWERDOC-P011: 11</x:v>
      </x:c>
      <x:c r="AG6229" s="87" t="str">
        <x:v>RESOLVED</x:v>
      </x:c>
      <x:c r="AH6229" s="87" t="str">
        <x:v>CROP_VERIFIED</x:v>
      </x:c>
      <x:c r="AI6229" s="30"/>
      <x:c r="AJ6229" s="87" t="str">
        <x:v>clean</x:v>
      </x:c>
      <x:c r="AK6229" s="87" t="str">
        <x:v>clean-v0.22</x:v>
      </x:c>
      <x:c r="AL6229" s="87" t="str">
        <x:v>statgrad_clean_continuation_v0_22(1).xlsx</x:v>
      </x:c>
      <x:c r="AM6229" s="87" t="str">
        <x:v>MATHP_S26_958</x:v>
      </x:c>
      <x:c r="AN6229" s="87" t="n">
        <x:v>8</x:v>
      </x:c>
    </x:row>
    <x:row r="6230">
      <x:c r="A6230" s="87" t="n">
        <x:v>6229</x:v>
      </x:c>
      <x:c r="B6230" s="87" t="str">
        <x:v>EGKR-S26-MATHP-958-08</x:v>
      </x:c>
      <x:c r="C6230" s="87" t="str">
        <x:v>ЕГКР</x:v>
      </x:c>
      <x:c r="D6230" s="87"/>
      <x:c r="E6230" s="87" t="str">
        <x:v>Весна 2026</x:v>
      </x:c>
      <x:c r="F6230" s="87" t="str">
        <x:v>07.04.2026</x:v>
      </x:c>
      <x:c r="G6230" s="87" t="str">
        <x:v>Математика (профиль)</x:v>
      </x:c>
      <x:c r="H6230" s="87" t="n">
        <x:v>11</x:v>
      </x:c>
      <x:c r="I6230" s="87"/>
      <x:c r="J6230" s="87" t="str">
        <x:v>958</x:v>
      </x:c>
      <x:c r="K6230" s="87" t="n">
        <x:v>8</x:v>
      </x:c>
      <x:c r="L6230" s="87" t="str">
        <x:v>Производная и возрастание</x:v>
      </x:c>
      <x:c r="M6230" s="30" t="str">
        <x:v>По графику y=f′(x) на интервале (−5;6) найти сумму целых точек промежутков возрастания функции f.</x:v>
      </x:c>
      <x:c r="N6230" s="30" t="str">
        <x:v>0</x:v>
      </x:c>
      <x:c r="O6230" s="30" t="str">
        <x:v>Функция возрастает там, где f′(x)&gt;0; сложены все целые точки внутри положительных промежутков.</x:v>
      </x:c>
      <x:c r="P6230" s="30"/>
      <x:c r="Q6230" s="30" t="str">
        <x:v>Независимый расчёт и визуальная сверка исходной страницы.</x:v>
      </x:c>
      <x:c r="R6230" s="30" t="str">
        <x:v>0</x:v>
      </x:c>
      <x:c r="S6230" s="30"/>
      <x:c r="T6230" s="30"/>
      <x:c r="U6230" s="30" t="str">
        <x:v>Ответник совпадает с независимой проверкой.</x:v>
      </x:c>
      <x:c r="V6230" s="87" t="str">
        <x:v>VERIFIED</x:v>
      </x:c>
      <x:c r="W6230" s="87"/>
      <x:c r="X6230" s="87" t="n">
        <x:v>4</x:v>
      </x:c>
      <x:c r="Y6230" s="87"/>
      <x:c r="Z6230" s="87"/>
      <x:c r="AA6230" s="87"/>
      <x:c r="AB6230" s="87"/>
      <x:c r="AC6230" s="87" t="str">
        <x:v>VIS-EGKR-MATHP-S26-TASK-958-P004</x:v>
      </x:c>
      <x:c r="AD6230" s="87" t="str">
        <x:v>VIS-EGKR-MATHP-S26-ANSWERDOC-P010; VIS-EGKR-MATHP-S26-ANSWERDOC-P011</x:v>
      </x:c>
      <x:c r="AE6230" s="87" t="str">
        <x:v>TASK; SECONDARY_ANSWER_AND_SOLUTION_SOURCE</x:v>
      </x:c>
      <x:c r="AF6230" s="87" t="str">
        <x:v>VIS-EGKR-MATHP-S26-TASK-958-P004: 4; VIS-EGKR-MATHP-S26-ANSWERDOC-P010: 10; VIS-EGKR-MATHP-S26-ANSWERDOC-P011: 11</x:v>
      </x:c>
      <x:c r="AG6230" s="87" t="str">
        <x:v>RESOLVED</x:v>
      </x:c>
      <x:c r="AH6230" s="87" t="str">
        <x:v>CROP_VERIFIED</x:v>
      </x:c>
      <x:c r="AI6230" s="30"/>
      <x:c r="AJ6230" s="87" t="str">
        <x:v>clean</x:v>
      </x:c>
      <x:c r="AK6230" s="87" t="str">
        <x:v>clean-v0.22</x:v>
      </x:c>
      <x:c r="AL6230" s="87" t="str">
        <x:v>statgrad_clean_continuation_v0_22(1).xlsx</x:v>
      </x:c>
      <x:c r="AM6230" s="87" t="str">
        <x:v>MATHP_S26_958</x:v>
      </x:c>
      <x:c r="AN6230" s="87" t="n">
        <x:v>9</x:v>
      </x:c>
    </x:row>
    <x:row r="6231">
      <x:c r="A6231" s="87" t="n">
        <x:v>6230</x:v>
      </x:c>
      <x:c r="B6231" s="87" t="str">
        <x:v>EGKR-S26-MATHP-958-09</x:v>
      </x:c>
      <x:c r="C6231" s="87" t="str">
        <x:v>ЕГКР</x:v>
      </x:c>
      <x:c r="D6231" s="87"/>
      <x:c r="E6231" s="87" t="str">
        <x:v>Весна 2026</x:v>
      </x:c>
      <x:c r="F6231" s="87" t="str">
        <x:v>07.04.2026</x:v>
      </x:c>
      <x:c r="G6231" s="87" t="str">
        <x:v>Математика (профиль)</x:v>
      </x:c>
      <x:c r="H6231" s="87" t="n">
        <x:v>11</x:v>
      </x:c>
      <x:c r="I6231" s="87"/>
      <x:c r="J6231" s="87" t="str">
        <x:v>958</x:v>
      </x:c>
      <x:c r="K6231" s="87" t="n">
        <x:v>9</x:v>
      </x:c>
      <x:c r="L6231" s="87" t="str">
        <x:v>Радиоактивный распад</x:v>
      </x:c>
      <x:c r="M6231" s="30" t="str">
        <x:v>В ходе распада радиоактивного изотопа его масса уменьшается по закону 𝑡 𝑚 = 𝑚0 · 2− 𝑇 , где 𝑚0 — начальная масса изотопа, 𝑡 — время, прошедшее от начального момента, 𝑇 — период полураспада. В начальный момент времени масса изотопа 164 мг. Период его полураспада составляет 7 минут. Найдите, через сколько минут масса изотопа будет равна 41 мг.</x:v>
      </x:c>
      <x:c r="N6231" s="30" t="str">
        <x:v>14</x:v>
      </x:c>
      <x:c r="O6231" s="30" t="str">
        <x:v>Использован закон полураспада и число прошедших периодов.</x:v>
      </x:c>
      <x:c r="P6231" s="30"/>
      <x:c r="Q6231" s="30" t="str">
        <x:v>Независимый расчёт и визуальная сверка исходной страницы.</x:v>
      </x:c>
      <x:c r="R6231" s="30" t="str">
        <x:v>4</x:v>
      </x:c>
      <x:c r="S6231" s="30"/>
      <x:c r="T6231" s="30"/>
      <x:c r="U6231" s="30" t="str">
        <x:v>Ответник: 4; независимый ответ: 14.</x:v>
      </x:c>
      <x:c r="V6231" s="87" t="str">
        <x:v>KEY_MISMATCH</x:v>
      </x:c>
      <x:c r="W6231" s="87"/>
      <x:c r="X6231" s="87" t="n">
        <x:v>4</x:v>
      </x:c>
      <x:c r="Y6231" s="87"/>
      <x:c r="Z6231" s="87"/>
      <x:c r="AA6231" s="87"/>
      <x:c r="AB6231" s="87"/>
      <x:c r="AC6231" s="87" t="str">
        <x:v>VIS-EGKR-MATHP-S26-TASK-958-P004</x:v>
      </x:c>
      <x:c r="AD6231" s="87" t="str">
        <x:v>VIS-EGKR-MATHP-S26-ANSWERDOC-P010; VIS-EGKR-MATHP-S26-ANSWERDOC-P011</x:v>
      </x:c>
      <x:c r="AE6231" s="87" t="str">
        <x:v>TASK; SECONDARY_ANSWER_AND_SOLUTION_SOURCE</x:v>
      </x:c>
      <x:c r="AF6231" s="87" t="str">
        <x:v>VIS-EGKR-MATHP-S26-TASK-958-P004: 4; VIS-EGKR-MATHP-S26-ANSWERDOC-P010: 10; VIS-EGKR-MATHP-S26-ANSWERDOC-P011: 11</x:v>
      </x:c>
      <x:c r="AG6231" s="87" t="str">
        <x:v>RESOLVED</x:v>
      </x:c>
      <x:c r="AH6231" s="87" t="str">
        <x:v>CROP_VERIFIED</x:v>
      </x:c>
      <x:c r="AI6231" s="30"/>
      <x:c r="AJ6231" s="87" t="str">
        <x:v>clean</x:v>
      </x:c>
      <x:c r="AK6231" s="87" t="str">
        <x:v>clean-v0.22</x:v>
      </x:c>
      <x:c r="AL6231" s="87" t="str">
        <x:v>statgrad_clean_continuation_v0_22(1).xlsx</x:v>
      </x:c>
      <x:c r="AM6231" s="87" t="str">
        <x:v>MATHP_S26_958</x:v>
      </x:c>
      <x:c r="AN6231" s="87" t="n">
        <x:v>10</x:v>
      </x:c>
    </x:row>
    <x:row r="6232">
      <x:c r="A6232" s="87" t="n">
        <x:v>6231</x:v>
      </x:c>
      <x:c r="B6232" s="87" t="str">
        <x:v>EGKR-S26-MATHP-958-10</x:v>
      </x:c>
      <x:c r="C6232" s="87" t="str">
        <x:v>ЕГКР</x:v>
      </x:c>
      <x:c r="D6232" s="87"/>
      <x:c r="E6232" s="87" t="str">
        <x:v>Весна 2026</x:v>
      </x:c>
      <x:c r="F6232" s="87" t="str">
        <x:v>07.04.2026</x:v>
      </x:c>
      <x:c r="G6232" s="87" t="str">
        <x:v>Математика (профиль)</x:v>
      </x:c>
      <x:c r="H6232" s="87" t="n">
        <x:v>11</x:v>
      </x:c>
      <x:c r="I6232" s="87"/>
      <x:c r="J6232" s="87" t="str">
        <x:v>958</x:v>
      </x:c>
      <x:c r="K6232" s="87" t="n">
        <x:v>10</x:v>
      </x:c>
      <x:c r="L6232" s="87" t="str">
        <x:v>Смеси и концентрации</x:v>
      </x:c>
      <x:c r="M6232" s="30" t="str">
        <x:v>Смешали 2 кг 15%-го раствора кислоты и 4 кг 20%-го раствора той же кислоты, а затем добавили несколько кг воды. В результате получился 11%-й раствор кислоты. Сколько кг воды было добавлено?</x:v>
      </x:c>
      <x:c r="N6232" s="30" t="str">
        <x:v>4</x:v>
      </x:c>
      <x:c r="O6232" s="30" t="str">
        <x:v>Составлен баланс массы чистой кислоты до и после добавления воды.</x:v>
      </x:c>
      <x:c r="P6232" s="30"/>
      <x:c r="Q6232" s="30" t="str">
        <x:v>Независимый расчёт и визуальная сверка исходной страницы.</x:v>
      </x:c>
      <x:c r="R6232" s="30" t="str">
        <x:v>14</x:v>
      </x:c>
      <x:c r="S6232" s="30"/>
      <x:c r="T6232" s="30"/>
      <x:c r="U6232" s="30" t="str">
        <x:v>Ответник: 14; независимый ответ: 4.</x:v>
      </x:c>
      <x:c r="V6232" s="87" t="str">
        <x:v>KEY_MISMATCH</x:v>
      </x:c>
      <x:c r="W6232" s="87"/>
      <x:c r="X6232" s="87" t="n">
        <x:v>4</x:v>
      </x:c>
      <x:c r="Y6232" s="87"/>
      <x:c r="Z6232" s="87"/>
      <x:c r="AA6232" s="87"/>
      <x:c r="AB6232" s="87"/>
      <x:c r="AC6232" s="87" t="str">
        <x:v>VIS-EGKR-MATHP-S26-TASK-958-P004</x:v>
      </x:c>
      <x:c r="AD6232" s="87" t="str">
        <x:v>VIS-EGKR-MATHP-S26-ANSWERDOC-P010; VIS-EGKR-MATHP-S26-ANSWERDOC-P011</x:v>
      </x:c>
      <x:c r="AE6232" s="87" t="str">
        <x:v>TASK; SECONDARY_ANSWER_AND_SOLUTION_SOURCE</x:v>
      </x:c>
      <x:c r="AF6232" s="87" t="str">
        <x:v>VIS-EGKR-MATHP-S26-TASK-958-P004: 4; VIS-EGKR-MATHP-S26-ANSWERDOC-P010: 10; VIS-EGKR-MATHP-S26-ANSWERDOC-P011: 11</x:v>
      </x:c>
      <x:c r="AG6232" s="87" t="str">
        <x:v>RESOLVED</x:v>
      </x:c>
      <x:c r="AH6232" s="87" t="str">
        <x:v>CROP_VERIFIED</x:v>
      </x:c>
      <x:c r="AI6232" s="30"/>
      <x:c r="AJ6232" s="87" t="str">
        <x:v>clean</x:v>
      </x:c>
      <x:c r="AK6232" s="87" t="str">
        <x:v>clean-v0.22</x:v>
      </x:c>
      <x:c r="AL6232" s="87" t="str">
        <x:v>statgrad_clean_continuation_v0_22(1).xlsx</x:v>
      </x:c>
      <x:c r="AM6232" s="87" t="str">
        <x:v>MATHP_S26_958</x:v>
      </x:c>
      <x:c r="AN6232" s="87" t="n">
        <x:v>11</x:v>
      </x:c>
    </x:row>
    <x:row r="6233">
      <x:c r="A6233" s="87" t="n">
        <x:v>6232</x:v>
      </x:c>
      <x:c r="B6233" s="87" t="str">
        <x:v>EGKR-S26-MATHP-958-11</x:v>
      </x:c>
      <x:c r="C6233" s="87" t="str">
        <x:v>ЕГКР</x:v>
      </x:c>
      <x:c r="D6233" s="87"/>
      <x:c r="E6233" s="87" t="str">
        <x:v>Весна 2026</x:v>
      </x:c>
      <x:c r="F6233" s="87" t="str">
        <x:v>07.04.2026</x:v>
      </x:c>
      <x:c r="G6233" s="87" t="str">
        <x:v>Математика (профиль)</x:v>
      </x:c>
      <x:c r="H6233" s="87" t="n">
        <x:v>11</x:v>
      </x:c>
      <x:c r="I6233" s="87"/>
      <x:c r="J6233" s="87" t="str">
        <x:v>958</x:v>
      </x:c>
      <x:c r="K6233" s="87" t="n">
        <x:v>11</x:v>
      </x:c>
      <x:c r="L6233" s="87" t="str">
        <x:v>Линейные функции</x:v>
      </x:c>
      <x:c r="M6233" s="30" t="str">
        <x:v>По двум графикам линейных функций с отмеченными целочисленными точками найти абсциссу точки их пересечения.</x:v>
      </x:c>
      <x:c r="N6233" s="30" t="str">
        <x:v>-5</x:v>
      </x:c>
      <x:c r="O6233" s="30" t="str">
        <x:v>По отмеченным точкам составлены уравнения обеих прямых и найдена абсцисса их пересечения.</x:v>
      </x:c>
      <x:c r="P6233" s="30"/>
      <x:c r="Q6233" s="30" t="str">
        <x:v>Независимый расчёт и визуальная сверка исходной страницы.</x:v>
      </x:c>
      <x:c r="R6233" s="30" t="str">
        <x:v>-5</x:v>
      </x:c>
      <x:c r="S6233" s="30"/>
      <x:c r="T6233" s="30"/>
      <x:c r="U6233" s="30" t="str">
        <x:v>Ответник совпадает с независимой проверкой.</x:v>
      </x:c>
      <x:c r="V6233" s="87" t="str">
        <x:v>VERIFIED</x:v>
      </x:c>
      <x:c r="W6233" s="87"/>
      <x:c r="X6233" s="87" t="n">
        <x:v>5</x:v>
      </x:c>
      <x:c r="Y6233" s="87"/>
      <x:c r="Z6233" s="87"/>
      <x:c r="AA6233" s="87"/>
      <x:c r="AB6233" s="87"/>
      <x:c r="AC6233" s="87" t="str">
        <x:v>VIS-EGKR-MATHP-S26-TASK-958-P005</x:v>
      </x:c>
      <x:c r="AD6233" s="87" t="str">
        <x:v>VIS-EGKR-MATHP-S26-ANSWERDOC-P010; VIS-EGKR-MATHP-S26-ANSWERDOC-P011</x:v>
      </x:c>
      <x:c r="AE6233" s="87" t="str">
        <x:v>TASK; SECONDARY_ANSWER_AND_SOLUTION_SOURCE</x:v>
      </x:c>
      <x:c r="AF6233" s="87" t="str">
        <x:v>VIS-EGKR-MATHP-S26-TASK-958-P005: 5; VIS-EGKR-MATHP-S26-ANSWERDOC-P010: 10; VIS-EGKR-MATHP-S26-ANSWERDOC-P011: 11</x:v>
      </x:c>
      <x:c r="AG6233" s="87" t="str">
        <x:v>RESOLVED</x:v>
      </x:c>
      <x:c r="AH6233" s="87" t="str">
        <x:v>CROP_VERIFIED</x:v>
      </x:c>
      <x:c r="AI6233" s="30"/>
      <x:c r="AJ6233" s="87" t="str">
        <x:v>clean</x:v>
      </x:c>
      <x:c r="AK6233" s="87" t="str">
        <x:v>clean-v0.22</x:v>
      </x:c>
      <x:c r="AL6233" s="87" t="str">
        <x:v>statgrad_clean_continuation_v0_22(1).xlsx</x:v>
      </x:c>
      <x:c r="AM6233" s="87" t="str">
        <x:v>MATHP_S26_958</x:v>
      </x:c>
      <x:c r="AN6233" s="87" t="n">
        <x:v>12</x:v>
      </x:c>
    </x:row>
    <x:row r="6234">
      <x:c r="A6234" s="87" t="n">
        <x:v>6233</x:v>
      </x:c>
      <x:c r="B6234" s="87" t="str">
        <x:v>EGKR-S26-MATHP-958-12</x:v>
      </x:c>
      <x:c r="C6234" s="87" t="str">
        <x:v>ЕГКР</x:v>
      </x:c>
      <x:c r="D6234" s="87"/>
      <x:c r="E6234" s="87" t="str">
        <x:v>Весна 2026</x:v>
      </x:c>
      <x:c r="F6234" s="87" t="str">
        <x:v>07.04.2026</x:v>
      </x:c>
      <x:c r="G6234" s="87" t="str">
        <x:v>Математика (профиль)</x:v>
      </x:c>
      <x:c r="H6234" s="87" t="n">
        <x:v>11</x:v>
      </x:c>
      <x:c r="I6234" s="87"/>
      <x:c r="J6234" s="87" t="str">
        <x:v>958</x:v>
      </x:c>
      <x:c r="K6234" s="87" t="n">
        <x:v>12</x:v>
      </x:c>
      <x:c r="L6234" s="87" t="str">
        <x:v>Минимум показательной функции</x:v>
      </x:c>
      <x:c r="M6234" s="30" t="str">
        <x:v>Найти наименьшее значение функции y=3^(x²+18x+82) на отрезке [−10;10].</x:v>
      </x:c>
      <x:c r="N6234" s="30" t="str">
        <x:v>3</x:v>
      </x:c>
      <x:c r="O6234" s="30" t="str">
        <x:v>Минимизован квадратный трёхчлен в показателе степени.</x:v>
      </x:c>
      <x:c r="P6234" s="30"/>
      <x:c r="Q6234" s="30" t="str">
        <x:v>Независимый расчёт и визуальная сверка исходной страницы.</x:v>
      </x:c>
      <x:c r="R6234" s="30" t="str">
        <x:v>30</x:v>
      </x:c>
      <x:c r="S6234" s="30"/>
      <x:c r="T6234" s="30"/>
      <x:c r="U6234" s="30" t="str">
        <x:v>Ответник: 30; независимый ответ: 3.</x:v>
      </x:c>
      <x:c r="V6234" s="87" t="str">
        <x:v>KEY_MISMATCH</x:v>
      </x:c>
      <x:c r="W6234" s="87"/>
      <x:c r="X6234" s="87" t="n">
        <x:v>5</x:v>
      </x:c>
      <x:c r="Y6234" s="87"/>
      <x:c r="Z6234" s="87"/>
      <x:c r="AA6234" s="87"/>
      <x:c r="AB6234" s="87"/>
      <x:c r="AC6234" s="87" t="str">
        <x:v>VIS-EGKR-MATHP-S26-TASK-958-P005</x:v>
      </x:c>
      <x:c r="AD6234" s="87" t="str">
        <x:v>VIS-EGKR-MATHP-S26-ANSWERDOC-P010; VIS-EGKR-MATHP-S26-ANSWERDOC-P011</x:v>
      </x:c>
      <x:c r="AE6234" s="87" t="str">
        <x:v>TASK; SECONDARY_ANSWER_AND_SOLUTION_SOURCE</x:v>
      </x:c>
      <x:c r="AF6234" s="87" t="str">
        <x:v>VIS-EGKR-MATHP-S26-TASK-958-P005: 5; VIS-EGKR-MATHP-S26-ANSWERDOC-P010: 10; VIS-EGKR-MATHP-S26-ANSWERDOC-P011: 11</x:v>
      </x:c>
      <x:c r="AG6234" s="87" t="str">
        <x:v>RESOLVED</x:v>
      </x:c>
      <x:c r="AH6234" s="87" t="str">
        <x:v>CROP_VERIFIED</x:v>
      </x:c>
      <x:c r="AI6234" s="30"/>
      <x:c r="AJ6234" s="87" t="str">
        <x:v>clean</x:v>
      </x:c>
      <x:c r="AK6234" s="87" t="str">
        <x:v>clean-v0.22</x:v>
      </x:c>
      <x:c r="AL6234" s="87" t="str">
        <x:v>statgrad_clean_continuation_v0_22(1).xlsx</x:v>
      </x:c>
      <x:c r="AM6234" s="87" t="str">
        <x:v>MATHP_S26_958</x:v>
      </x:c>
      <x:c r="AN6234" s="87" t="n">
        <x:v>13</x:v>
      </x:c>
    </x:row>
    <x:row r="6235">
      <x:c r="A6235" s="87" t="n">
        <x:v>6234</x:v>
      </x:c>
      <x:c r="B6235" s="87" t="str">
        <x:v>EGKR-S26-MATHP-958-13</x:v>
      </x:c>
      <x:c r="C6235" s="87" t="str">
        <x:v>ЕГКР</x:v>
      </x:c>
      <x:c r="D6235" s="87"/>
      <x:c r="E6235" s="87" t="str">
        <x:v>Весна 2026</x:v>
      </x:c>
      <x:c r="F6235" s="87" t="str">
        <x:v>07.04.2026</x:v>
      </x:c>
      <x:c r="G6235" s="87" t="str">
        <x:v>Математика (профиль)</x:v>
      </x:c>
      <x:c r="H6235" s="87" t="n">
        <x:v>11</x:v>
      </x:c>
      <x:c r="I6235" s="87"/>
      <x:c r="J6235" s="87" t="str">
        <x:v>958</x:v>
      </x:c>
      <x:c r="K6235" s="87" t="n">
        <x:v>13</x:v>
      </x:c>
      <x:c r="L6235" s="87" t="str">
        <x:v>Развёрнутый ответ</x:v>
      </x:c>
      <x:c r="M6235" s="30" t="str">
        <x:v>sin x − √2·cos(π/2−x/2)=0; найти общие решения и корни на [4π;7π].</x:v>
      </x:c>
      <x:c r="N6235" s="30" t="str">
        <x:v>Преобразование даёт cos(x/2)·(2sin(x/2)−√2)=0. Общие решения: x=π+2πk; x=π/2+4πk; x=3π/2+4πk. На отрезке: 5π; 13π/2; 7π.</x:v>
      </x:c>
      <x:c r="O6235" s="30" t="str">
        <x:v>Модель содержит ключевую идею, преобразования и итог.</x:v>
      </x:c>
      <x:c r="P6235" s="30"/>
      <x:c r="Q6235" s="30" t="str">
        <x:v>Независимое решение; для варианта 959 дополнительно сверено с полным опубликованным разбором.</x:v>
      </x:c>
      <x:c r="R6235" s="30" t="str">
        <x:v>PARTIAL_MODEL_OR_NOT_PROVIDED</x:v>
      </x:c>
      <x:c r="S6235" s="30"/>
      <x:c r="T6235" s="30"/>
      <x:c r="U6235" s="30" t="str">
        <x:v>Локальные рукописные решения использованы только как вторичный аудируемый источник.</x:v>
      </x:c>
      <x:c r="V6235" s="87" t="str">
        <x:v>VERIFIED</x:v>
      </x:c>
      <x:c r="W6235" s="87"/>
      <x:c r="X6235" s="87" t="n">
        <x:v>6</x:v>
      </x:c>
      <x:c r="Y6235" s="87"/>
      <x:c r="Z6235" s="87"/>
      <x:c r="AA6235" s="87"/>
      <x:c r="AB6235" s="87"/>
      <x:c r="AC6235" s="87" t="str">
        <x:v>VIS-EGKR-MATHP-S26-TASK-958-P006</x:v>
      </x:c>
      <x:c r="AD6235" s="87" t="str">
        <x:v>VIS-EGKR-MATHP-S26-ANSWERDOC-P012; VIS-EGKR-MATHP-S26-ANSWERDOC-P013</x:v>
      </x:c>
      <x:c r="AE6235" s="87" t="str">
        <x:v>TASK; SECONDARY_ANSWER_AND_SOLUTION_SOURCE</x:v>
      </x:c>
      <x:c r="AF6235" s="87" t="str">
        <x:v>VIS-EGKR-MATHP-S26-TASK-958-P006: 6; VIS-EGKR-MATHP-S26-ANSWERDOC-P012: 12; VIS-EGKR-MATHP-S26-ANSWERDOC-P013: 13</x:v>
      </x:c>
      <x:c r="AG6235" s="87" t="str">
        <x:v>RESOLVED</x:v>
      </x:c>
      <x:c r="AH6235" s="87" t="str">
        <x:v>CROP_VERIFIED</x:v>
      </x:c>
      <x:c r="AI6235" s="30"/>
      <x:c r="AJ6235" s="87" t="str">
        <x:v>clean</x:v>
      </x:c>
      <x:c r="AK6235" s="87" t="str">
        <x:v>clean-v0.22</x:v>
      </x:c>
      <x:c r="AL6235" s="87" t="str">
        <x:v>statgrad_clean_continuation_v0_22(1).xlsx</x:v>
      </x:c>
      <x:c r="AM6235" s="87" t="str">
        <x:v>MATHP_S26_958</x:v>
      </x:c>
      <x:c r="AN6235" s="87" t="n">
        <x:v>14</x:v>
      </x:c>
    </x:row>
    <x:row r="6236">
      <x:c r="A6236" s="87" t="n">
        <x:v>6235</x:v>
      </x:c>
      <x:c r="B6236" s="87" t="str">
        <x:v>EGKR-S26-MATHP-958-14</x:v>
      </x:c>
      <x:c r="C6236" s="87" t="str">
        <x:v>ЕГКР</x:v>
      </x:c>
      <x:c r="D6236" s="87"/>
      <x:c r="E6236" s="87" t="str">
        <x:v>Весна 2026</x:v>
      </x:c>
      <x:c r="F6236" s="87" t="str">
        <x:v>07.04.2026</x:v>
      </x:c>
      <x:c r="G6236" s="87" t="str">
        <x:v>Математика (профиль)</x:v>
      </x:c>
      <x:c r="H6236" s="87" t="n">
        <x:v>11</x:v>
      </x:c>
      <x:c r="I6236" s="87"/>
      <x:c r="J6236" s="87" t="str">
        <x:v>958</x:v>
      </x:c>
      <x:c r="K6236" s="87" t="n">
        <x:v>14</x:v>
      </x:c>
      <x:c r="L6236" s="87" t="str">
        <x:v>Развёрнутый ответ</x:v>
      </x:c>
      <x:c r="M6236" s="30" t="str">
        <x:v>Конус: доказать равенство двух углов и найти высоту при AC=10, BC=6, угол 60°.</x:v>
      </x:c>
      <x:c r="N6236" s="30" t="str">
        <x:v>Проекции и перпендикуляры к хорде сводят оба угла к одному прямоугольному треугольнику. Высота h=(√3/2)√(AC²−BC²)=4√3.</x:v>
      </x:c>
      <x:c r="O6236" s="30" t="str">
        <x:v>Модель содержит ключевую идею, преобразования и итог.</x:v>
      </x:c>
      <x:c r="P6236" s="30"/>
      <x:c r="Q6236" s="30" t="str">
        <x:v>Независимое решение; для варианта 959 дополнительно сверено с полным опубликованным разбором.</x:v>
      </x:c>
      <x:c r="R6236" s="30" t="str">
        <x:v>PARTIAL_MODEL_OR_NOT_PROVIDED</x:v>
      </x:c>
      <x:c r="S6236" s="30"/>
      <x:c r="T6236" s="30"/>
      <x:c r="U6236" s="30" t="str">
        <x:v>Локальные рукописные решения использованы только как вторичный аудируемый источник.</x:v>
      </x:c>
      <x:c r="V6236" s="87" t="str">
        <x:v>VERIFIED</x:v>
      </x:c>
      <x:c r="W6236" s="87"/>
      <x:c r="X6236" s="87" t="n">
        <x:v>6</x:v>
      </x:c>
      <x:c r="Y6236" s="87"/>
      <x:c r="Z6236" s="87"/>
      <x:c r="AA6236" s="87"/>
      <x:c r="AB6236" s="87"/>
      <x:c r="AC6236" s="87" t="str">
        <x:v>VIS-EGKR-MATHP-S26-TASK-958-P006</x:v>
      </x:c>
      <x:c r="AD6236" s="87" t="str">
        <x:v>VIS-EGKR-MATHP-S26-ANSWERDOC-P012; VIS-EGKR-MATHP-S26-ANSWERDOC-P013</x:v>
      </x:c>
      <x:c r="AE6236" s="87" t="str">
        <x:v>TASK; SECONDARY_ANSWER_AND_SOLUTION_SOURCE</x:v>
      </x:c>
      <x:c r="AF6236" s="87" t="str">
        <x:v>VIS-EGKR-MATHP-S26-TASK-958-P006: 6; VIS-EGKR-MATHP-S26-ANSWERDOC-P012: 12; VIS-EGKR-MATHP-S26-ANSWERDOC-P013: 13</x:v>
      </x:c>
      <x:c r="AG6236" s="87" t="str">
        <x:v>RESOLVED</x:v>
      </x:c>
      <x:c r="AH6236" s="87" t="str">
        <x:v>CROP_VERIFIED</x:v>
      </x:c>
      <x:c r="AI6236" s="30"/>
      <x:c r="AJ6236" s="87" t="str">
        <x:v>clean</x:v>
      </x:c>
      <x:c r="AK6236" s="87" t="str">
        <x:v>clean-v0.22</x:v>
      </x:c>
      <x:c r="AL6236" s="87" t="str">
        <x:v>statgrad_clean_continuation_v0_22(1).xlsx</x:v>
      </x:c>
      <x:c r="AM6236" s="87" t="str">
        <x:v>MATHP_S26_958</x:v>
      </x:c>
      <x:c r="AN6236" s="87" t="n">
        <x:v>15</x:v>
      </x:c>
    </x:row>
    <x:row r="6237">
      <x:c r="A6237" s="87" t="n">
        <x:v>6236</x:v>
      </x:c>
      <x:c r="B6237" s="87" t="str">
        <x:v>EGKR-S26-MATHP-958-15</x:v>
      </x:c>
      <x:c r="C6237" s="87" t="str">
        <x:v>ЕГКР</x:v>
      </x:c>
      <x:c r="D6237" s="87"/>
      <x:c r="E6237" s="87" t="str">
        <x:v>Весна 2026</x:v>
      </x:c>
      <x:c r="F6237" s="87" t="str">
        <x:v>07.04.2026</x:v>
      </x:c>
      <x:c r="G6237" s="87" t="str">
        <x:v>Математика (профиль)</x:v>
      </x:c>
      <x:c r="H6237" s="87" t="n">
        <x:v>11</x:v>
      </x:c>
      <x:c r="I6237" s="87"/>
      <x:c r="J6237" s="87" t="str">
        <x:v>958</x:v>
      </x:c>
      <x:c r="K6237" s="87" t="n">
        <x:v>15</x:v>
      </x:c>
      <x:c r="L6237" s="87" t="str">
        <x:v>Развёрнутый ответ</x:v>
      </x:c>
      <x:c r="M6237" s="30" t="str">
        <x:v>Решить логарифмическое неравенство задания 15.</x:v>
      </x:c>
      <x:c r="N6237" s="30" t="str">
        <x:v>После перехода к одной логарифмической переменной, учёта ОДЗ и метода интервалов получено: (0;27)∪(27;81).</x:v>
      </x:c>
      <x:c r="O6237" s="30" t="str">
        <x:v>Модель содержит ключевую идею, преобразования и итог.</x:v>
      </x:c>
      <x:c r="P6237" s="30"/>
      <x:c r="Q6237" s="30" t="str">
        <x:v>Независимое решение; для варианта 959 дополнительно сверено с полным опубликованным разбором.</x:v>
      </x:c>
      <x:c r="R6237" s="30" t="str">
        <x:v>PARTIAL_MODEL_OR_NOT_PROVIDED</x:v>
      </x:c>
      <x:c r="S6237" s="30"/>
      <x:c r="T6237" s="30"/>
      <x:c r="U6237" s="30" t="str">
        <x:v>Локальные рукописные решения использованы только как вторичный аудируемый источник.</x:v>
      </x:c>
      <x:c r="V6237" s="87" t="str">
        <x:v>VERIFIED</x:v>
      </x:c>
      <x:c r="W6237" s="87"/>
      <x:c r="X6237" s="87" t="n">
        <x:v>6</x:v>
      </x:c>
      <x:c r="Y6237" s="87"/>
      <x:c r="Z6237" s="87"/>
      <x:c r="AA6237" s="87"/>
      <x:c r="AB6237" s="87"/>
      <x:c r="AC6237" s="87" t="str">
        <x:v>VIS-EGKR-MATHP-S26-TASK-958-P006</x:v>
      </x:c>
      <x:c r="AD6237" s="87" t="str">
        <x:v>VIS-EGKR-MATHP-S26-ANSWERDOC-P012; VIS-EGKR-MATHP-S26-ANSWERDOC-P013</x:v>
      </x:c>
      <x:c r="AE6237" s="87" t="str">
        <x:v>TASK; SECONDARY_ANSWER_AND_SOLUTION_SOURCE</x:v>
      </x:c>
      <x:c r="AF6237" s="87" t="str">
        <x:v>VIS-EGKR-MATHP-S26-TASK-958-P006: 6; VIS-EGKR-MATHP-S26-ANSWERDOC-P012: 12; VIS-EGKR-MATHP-S26-ANSWERDOC-P013: 13</x:v>
      </x:c>
      <x:c r="AG6237" s="87" t="str">
        <x:v>RESOLVED</x:v>
      </x:c>
      <x:c r="AH6237" s="87" t="str">
        <x:v>CROP_VERIFIED</x:v>
      </x:c>
      <x:c r="AI6237" s="30"/>
      <x:c r="AJ6237" s="87" t="str">
        <x:v>clean</x:v>
      </x:c>
      <x:c r="AK6237" s="87" t="str">
        <x:v>clean-v0.22</x:v>
      </x:c>
      <x:c r="AL6237" s="87" t="str">
        <x:v>statgrad_clean_continuation_v0_22(1).xlsx</x:v>
      </x:c>
      <x:c r="AM6237" s="87" t="str">
        <x:v>MATHP_S26_958</x:v>
      </x:c>
      <x:c r="AN6237" s="87" t="n">
        <x:v>16</x:v>
      </x:c>
    </x:row>
    <x:row r="6238">
      <x:c r="A6238" s="87" t="n">
        <x:v>6237</x:v>
      </x:c>
      <x:c r="B6238" s="87" t="str">
        <x:v>EGKR-S26-MATHP-958-16</x:v>
      </x:c>
      <x:c r="C6238" s="87" t="str">
        <x:v>ЕГКР</x:v>
      </x:c>
      <x:c r="D6238" s="87"/>
      <x:c r="E6238" s="87" t="str">
        <x:v>Весна 2026</x:v>
      </x:c>
      <x:c r="F6238" s="87" t="str">
        <x:v>07.04.2026</x:v>
      </x:c>
      <x:c r="G6238" s="87" t="str">
        <x:v>Математика (профиль)</x:v>
      </x:c>
      <x:c r="H6238" s="87" t="n">
        <x:v>11</x:v>
      </x:c>
      <x:c r="I6238" s="87"/>
      <x:c r="J6238" s="87" t="str">
        <x:v>958</x:v>
      </x:c>
      <x:c r="K6238" s="87" t="n">
        <x:v>16</x:v>
      </x:c>
      <x:c r="L6238" s="87" t="str">
        <x:v>Развёрнутый ответ</x:v>
      </x:c>
      <x:c r="M6238" s="30" t="str">
        <x:v>Кредит: ежегодный платёж 41 472 ₽ при сроке 4 года либо 70 272 ₽ при сроке 2 года; найти процент r.</x:v>
      </x:c>
      <x:c r="N6238" s="30" t="str">
        <x:v>Для коэффициента q=1+r/100 из двух схем платежей следует q²=A₄/(A₂−A₄). Получено q=1.2, поэтому r=20%.</x:v>
      </x:c>
      <x:c r="O6238" s="30" t="str">
        <x:v>Модель содержит ключевую идею, преобразования и итог.</x:v>
      </x:c>
      <x:c r="P6238" s="30"/>
      <x:c r="Q6238" s="30" t="str">
        <x:v>Независимое решение; для варианта 959 дополнительно сверено с полным опубликованным разбором.</x:v>
      </x:c>
      <x:c r="R6238" s="30" t="str">
        <x:v>PARTIAL_MODEL_OR_NOT_PROVIDED</x:v>
      </x:c>
      <x:c r="S6238" s="30"/>
      <x:c r="T6238" s="30"/>
      <x:c r="U6238" s="30" t="str">
        <x:v>Локальные рукописные решения использованы только как вторичный аудируемый источник.</x:v>
      </x:c>
      <x:c r="V6238" s="87" t="str">
        <x:v>VERIFIED</x:v>
      </x:c>
      <x:c r="W6238" s="87"/>
      <x:c r="X6238" s="87" t="n">
        <x:v>6</x:v>
      </x:c>
      <x:c r="Y6238" s="87"/>
      <x:c r="Z6238" s="87"/>
      <x:c r="AA6238" s="87"/>
      <x:c r="AB6238" s="87"/>
      <x:c r="AC6238" s="87" t="str">
        <x:v>VIS-EGKR-MATHP-S26-TASK-958-P006</x:v>
      </x:c>
      <x:c r="AD6238" s="87" t="str">
        <x:v>VIS-EGKR-MATHP-S26-ANSWERDOC-P012; VIS-EGKR-MATHP-S26-ANSWERDOC-P013</x:v>
      </x:c>
      <x:c r="AE6238" s="87" t="str">
        <x:v>TASK; SECONDARY_ANSWER_AND_SOLUTION_SOURCE</x:v>
      </x:c>
      <x:c r="AF6238" s="87" t="str">
        <x:v>VIS-EGKR-MATHP-S26-TASK-958-P006: 6; VIS-EGKR-MATHP-S26-ANSWERDOC-P012: 12; VIS-EGKR-MATHP-S26-ANSWERDOC-P013: 13</x:v>
      </x:c>
      <x:c r="AG6238" s="87" t="str">
        <x:v>RESOLVED</x:v>
      </x:c>
      <x:c r="AH6238" s="87" t="str">
        <x:v>CROP_VERIFIED</x:v>
      </x:c>
      <x:c r="AI6238" s="30"/>
      <x:c r="AJ6238" s="87" t="str">
        <x:v>clean</x:v>
      </x:c>
      <x:c r="AK6238" s="87" t="str">
        <x:v>clean-v0.22</x:v>
      </x:c>
      <x:c r="AL6238" s="87" t="str">
        <x:v>statgrad_clean_continuation_v0_22(1).xlsx</x:v>
      </x:c>
      <x:c r="AM6238" s="87" t="str">
        <x:v>MATHP_S26_958</x:v>
      </x:c>
      <x:c r="AN6238" s="87" t="n">
        <x:v>17</x:v>
      </x:c>
    </x:row>
    <x:row r="6239">
      <x:c r="A6239" s="87" t="n">
        <x:v>6238</x:v>
      </x:c>
      <x:c r="B6239" s="87" t="str">
        <x:v>EGKR-S26-MATHP-958-17</x:v>
      </x:c>
      <x:c r="C6239" s="87" t="str">
        <x:v>ЕГКР</x:v>
      </x:c>
      <x:c r="D6239" s="87"/>
      <x:c r="E6239" s="87" t="str">
        <x:v>Весна 2026</x:v>
      </x:c>
      <x:c r="F6239" s="87" t="str">
        <x:v>07.04.2026</x:v>
      </x:c>
      <x:c r="G6239" s="87" t="str">
        <x:v>Математика (профиль)</x:v>
      </x:c>
      <x:c r="H6239" s="87" t="n">
        <x:v>11</x:v>
      </x:c>
      <x:c r="I6239" s="87"/>
      <x:c r="J6239" s="87" t="str">
        <x:v>958</x:v>
      </x:c>
      <x:c r="K6239" s="87" t="n">
        <x:v>17</x:v>
      </x:c>
      <x:c r="L6239" s="87" t="str">
        <x:v>Развёрнутый ответ</x:v>
      </x:c>
      <x:c r="M6239" s="30" t="str">
        <x:v>Окружность пересекает стороны прямоугольного треугольника; доказать подобие и найти площадь CKMB при R=√29, AC=12, BC=4.</x:v>
      </x:c>
      <x:c r="N6239" s="30" t="str">
        <x:v>По равенству вписанных углов △AKM∼△ABC. Затем CK=√((2R)²−BC²), AK=AC−CK, AB²=AC²+BC², а S_CKMB=(AC·BC/2)·(1−AK²/AB²). Ответ: 117/5.</x:v>
      </x:c>
      <x:c r="O6239" s="30" t="str">
        <x:v>Модель содержит ключевую идею, преобразования и итог.</x:v>
      </x:c>
      <x:c r="P6239" s="30"/>
      <x:c r="Q6239" s="30" t="str">
        <x:v>Независимое решение; для варианта 959 дополнительно сверено с полным опубликованным разбором.</x:v>
      </x:c>
      <x:c r="R6239" s="30" t="str">
        <x:v>PARTIAL_MODEL_OR_NOT_PROVIDED</x:v>
      </x:c>
      <x:c r="S6239" s="30"/>
      <x:c r="T6239" s="30"/>
      <x:c r="U6239" s="30" t="str">
        <x:v>Локальные рукописные решения использованы только как вторичный аудируемый источник.</x:v>
      </x:c>
      <x:c r="V6239" s="87" t="str">
        <x:v>VERIFIED</x:v>
      </x:c>
      <x:c r="W6239" s="87"/>
      <x:c r="X6239" s="87" t="n">
        <x:v>7</x:v>
      </x:c>
      <x:c r="Y6239" s="87"/>
      <x:c r="Z6239" s="87"/>
      <x:c r="AA6239" s="87"/>
      <x:c r="AB6239" s="87"/>
      <x:c r="AC6239" s="87" t="str">
        <x:v>VIS-EGKR-MATHP-S26-TASK-958-P007</x:v>
      </x:c>
      <x:c r="AD6239" s="87" t="str">
        <x:v>VIS-EGKR-MATHP-S26-ANSWERDOC-P012; VIS-EGKR-MATHP-S26-ANSWERDOC-P013</x:v>
      </x:c>
      <x:c r="AE6239" s="87" t="str">
        <x:v>TASK; SECONDARY_ANSWER_AND_SOLUTION_SOURCE</x:v>
      </x:c>
      <x:c r="AF6239" s="87" t="str">
        <x:v>VIS-EGKR-MATHP-S26-TASK-958-P007: 7; VIS-EGKR-MATHP-S26-ANSWERDOC-P012: 12; VIS-EGKR-MATHP-S26-ANSWERDOC-P013: 13</x:v>
      </x:c>
      <x:c r="AG6239" s="87" t="str">
        <x:v>RESOLVED</x:v>
      </x:c>
      <x:c r="AH6239" s="87" t="str">
        <x:v>CROP_VERIFIED</x:v>
      </x:c>
      <x:c r="AI6239" s="30"/>
      <x:c r="AJ6239" s="87" t="str">
        <x:v>clean</x:v>
      </x:c>
      <x:c r="AK6239" s="87" t="str">
        <x:v>clean-v0.22</x:v>
      </x:c>
      <x:c r="AL6239" s="87" t="str">
        <x:v>statgrad_clean_continuation_v0_22(1).xlsx</x:v>
      </x:c>
      <x:c r="AM6239" s="87" t="str">
        <x:v>MATHP_S26_958</x:v>
      </x:c>
      <x:c r="AN6239" s="87" t="n">
        <x:v>18</x:v>
      </x:c>
    </x:row>
    <x:row r="6240">
      <x:c r="A6240" s="87" t="n">
        <x:v>6239</x:v>
      </x:c>
      <x:c r="B6240" s="87" t="str">
        <x:v>EGKR-S26-MATHP-958-18</x:v>
      </x:c>
      <x:c r="C6240" s="87" t="str">
        <x:v>ЕГКР</x:v>
      </x:c>
      <x:c r="D6240" s="87"/>
      <x:c r="E6240" s="87" t="str">
        <x:v>Весна 2026</x:v>
      </x:c>
      <x:c r="F6240" s="87" t="str">
        <x:v>07.04.2026</x:v>
      </x:c>
      <x:c r="G6240" s="87" t="str">
        <x:v>Математика (профиль)</x:v>
      </x:c>
      <x:c r="H6240" s="87" t="n">
        <x:v>11</x:v>
      </x:c>
      <x:c r="I6240" s="87"/>
      <x:c r="J6240" s="87" t="str">
        <x:v>958</x:v>
      </x:c>
      <x:c r="K6240" s="87" t="n">
        <x:v>18</x:v>
      </x:c>
      <x:c r="L6240" s="87" t="str">
        <x:v>Развёрнутый ответ</x:v>
      </x:c>
      <x:c r="M6240" s="30" t="str">
        <x:v>Найти параметры a, при которых заданное кубическое соотношение определяет функцию y=f(x) для всех действительных x.</x:v>
      </x:c>
      <x:c r="N6240" s="30" t="str">
        <x:v>Требуется взаимно-однозначная монотонность кубического многочлена по y. Исследование производной и условие неположительности её дискриминанта дают: a∈[−3;9].</x:v>
      </x:c>
      <x:c r="O6240" s="30" t="str">
        <x:v>Модель содержит ключевую идею, преобразования и итог.</x:v>
      </x:c>
      <x:c r="P6240" s="30"/>
      <x:c r="Q6240" s="30" t="str">
        <x:v>Независимое решение; для варианта 959 дополнительно сверено с полным опубликованным разбором.</x:v>
      </x:c>
      <x:c r="R6240" s="30" t="str">
        <x:v>PARTIAL_MODEL_OR_NOT_PROVIDED</x:v>
      </x:c>
      <x:c r="S6240" s="30"/>
      <x:c r="T6240" s="30"/>
      <x:c r="U6240" s="30" t="str">
        <x:v>Локальные рукописные решения использованы только как вторичный аудируемый источник.</x:v>
      </x:c>
      <x:c r="V6240" s="87" t="str">
        <x:v>VERIFIED</x:v>
      </x:c>
      <x:c r="W6240" s="87"/>
      <x:c r="X6240" s="87" t="n">
        <x:v>7</x:v>
      </x:c>
      <x:c r="Y6240" s="87"/>
      <x:c r="Z6240" s="87"/>
      <x:c r="AA6240" s="87"/>
      <x:c r="AB6240" s="87"/>
      <x:c r="AC6240" s="87" t="str">
        <x:v>VIS-EGKR-MATHP-S26-TASK-958-P007</x:v>
      </x:c>
      <x:c r="AD6240" s="87" t="str">
        <x:v>VIS-EGKR-MATHP-S26-ANSWERDOC-P012; VIS-EGKR-MATHP-S26-ANSWERDOC-P013</x:v>
      </x:c>
      <x:c r="AE6240" s="87" t="str">
        <x:v>TASK; SECONDARY_ANSWER_AND_SOLUTION_SOURCE</x:v>
      </x:c>
      <x:c r="AF6240" s="87" t="str">
        <x:v>VIS-EGKR-MATHP-S26-TASK-958-P007: 7; VIS-EGKR-MATHP-S26-ANSWERDOC-P012: 12; VIS-EGKR-MATHP-S26-ANSWERDOC-P013: 13</x:v>
      </x:c>
      <x:c r="AG6240" s="87" t="str">
        <x:v>RESOLVED</x:v>
      </x:c>
      <x:c r="AH6240" s="87" t="str">
        <x:v>CROP_VERIFIED</x:v>
      </x:c>
      <x:c r="AI6240" s="30"/>
      <x:c r="AJ6240" s="87" t="str">
        <x:v>clean</x:v>
      </x:c>
      <x:c r="AK6240" s="87" t="str">
        <x:v>clean-v0.22</x:v>
      </x:c>
      <x:c r="AL6240" s="87" t="str">
        <x:v>statgrad_clean_continuation_v0_22(1).xlsx</x:v>
      </x:c>
      <x:c r="AM6240" s="87" t="str">
        <x:v>MATHP_S26_958</x:v>
      </x:c>
      <x:c r="AN6240" s="87" t="n">
        <x:v>19</x:v>
      </x:c>
    </x:row>
    <x:row r="6241">
      <x:c r="A6241" s="87" t="n">
        <x:v>6240</x:v>
      </x:c>
      <x:c r="B6241" s="87" t="str">
        <x:v>EGKR-S26-MATHP-958-19</x:v>
      </x:c>
      <x:c r="C6241" s="87" t="str">
        <x:v>ЕГКР</x:v>
      </x:c>
      <x:c r="D6241" s="87"/>
      <x:c r="E6241" s="87" t="str">
        <x:v>Весна 2026</x:v>
      </x:c>
      <x:c r="F6241" s="87" t="str">
        <x:v>07.04.2026</x:v>
      </x:c>
      <x:c r="G6241" s="87" t="str">
        <x:v>Математика (профиль)</x:v>
      </x:c>
      <x:c r="H6241" s="87" t="n">
        <x:v>11</x:v>
      </x:c>
      <x:c r="I6241" s="87"/>
      <x:c r="J6241" s="87" t="str">
        <x:v>958</x:v>
      </x:c>
      <x:c r="K6241" s="87" t="n">
        <x:v>19</x:v>
      </x:c>
      <x:c r="L6241" s="87" t="str">
        <x:v>Развёрнутый ответ</x:v>
      </x:c>
      <x:c r="M6241" s="30" t="str">
        <x:v>Игра с произведениями различных натуральных чисел из диапазона 25–75 и чисел, увеличенных на единицу.</x:v>
      </x:c>
      <x:c r="N6241" s="30" t="str">
        <x:v>Отношение произведений равно ∏(aᵢ+1)/aᵢ. Телескопические наборы последовательных чисел реализуют допустимые целые множители, а верхняя оценка следует из крайних значений. Итоги: а) да, в 2 раза; б) нет, в 5 раз; в) максимум 3.</x:v>
      </x:c>
      <x:c r="O6241" s="30" t="str">
        <x:v>Модель содержит ключевую идею, преобразования и итог.</x:v>
      </x:c>
      <x:c r="P6241" s="30"/>
      <x:c r="Q6241" s="30" t="str">
        <x:v>Независимое решение; для варианта 959 дополнительно сверено с полным опубликованным разбором.</x:v>
      </x:c>
      <x:c r="R6241" s="30" t="str">
        <x:v>PARTIAL_MODEL_OR_NOT_PROVIDED</x:v>
      </x:c>
      <x:c r="S6241" s="30"/>
      <x:c r="T6241" s="30"/>
      <x:c r="U6241" s="30" t="str">
        <x:v>Локальные рукописные решения использованы только как вторичный аудируемый источник.</x:v>
      </x:c>
      <x:c r="V6241" s="87" t="str">
        <x:v>VERIFIED</x:v>
      </x:c>
      <x:c r="W6241" s="87"/>
      <x:c r="X6241" s="87" t="n">
        <x:v>7</x:v>
      </x:c>
      <x:c r="Y6241" s="87"/>
      <x:c r="Z6241" s="87"/>
      <x:c r="AA6241" s="87"/>
      <x:c r="AB6241" s="87"/>
      <x:c r="AC6241" s="87" t="str">
        <x:v>VIS-EGKR-MATHP-S26-TASK-958-P007</x:v>
      </x:c>
      <x:c r="AD6241" s="87" t="str">
        <x:v>VIS-EGKR-MATHP-S26-ANSWERDOC-P012; VIS-EGKR-MATHP-S26-ANSWERDOC-P013</x:v>
      </x:c>
      <x:c r="AE6241" s="87" t="str">
        <x:v>TASK; SECONDARY_ANSWER_AND_SOLUTION_SOURCE</x:v>
      </x:c>
      <x:c r="AF6241" s="87" t="str">
        <x:v>VIS-EGKR-MATHP-S26-TASK-958-P007: 7; VIS-EGKR-MATHP-S26-ANSWERDOC-P012: 12; VIS-EGKR-MATHP-S26-ANSWERDOC-P013: 13</x:v>
      </x:c>
      <x:c r="AG6241" s="87" t="str">
        <x:v>RESOLVED</x:v>
      </x:c>
      <x:c r="AH6241" s="87" t="str">
        <x:v>CROP_VERIFIED</x:v>
      </x:c>
      <x:c r="AI6241" s="30"/>
      <x:c r="AJ6241" s="87" t="str">
        <x:v>clean</x:v>
      </x:c>
      <x:c r="AK6241" s="87" t="str">
        <x:v>clean-v0.22</x:v>
      </x:c>
      <x:c r="AL6241" s="87" t="str">
        <x:v>statgrad_clean_continuation_v0_22(1).xlsx</x:v>
      </x:c>
      <x:c r="AM6241" s="87" t="str">
        <x:v>MATHP_S26_958</x:v>
      </x:c>
      <x:c r="AN6241" s="87" t="n">
        <x:v>20</x:v>
      </x:c>
    </x:row>
    <x:row r="6242">
      <x:c r="A6242" s="87" t="n">
        <x:v>6241</x:v>
      </x:c>
      <x:c r="B6242" s="87" t="str">
        <x:v>EGKR-S26-MATHP-959-01</x:v>
      </x:c>
      <x:c r="C6242" s="87" t="str">
        <x:v>ЕГКР</x:v>
      </x:c>
      <x:c r="D6242" s="87"/>
      <x:c r="E6242" s="87" t="str">
        <x:v>Весна 2026</x:v>
      </x:c>
      <x:c r="F6242" s="87" t="str">
        <x:v>07.04.2026</x:v>
      </x:c>
      <x:c r="G6242" s="87" t="str">
        <x:v>Математика (профиль)</x:v>
      </x:c>
      <x:c r="H6242" s="87" t="n">
        <x:v>11</x:v>
      </x:c>
      <x:c r="I6242" s="87"/>
      <x:c r="J6242" s="87" t="str">
        <x:v>959</x:v>
      </x:c>
      <x:c r="K6242" s="87" t="n">
        <x:v>1</x:v>
      </x:c>
      <x:c r="L6242" s="87" t="str">
        <x:v>Планиметрия: угол</x:v>
      </x:c>
      <x:c r="M6242" s="30" t="str">
        <x:v>Из точки A к окружности проведены касательная AM и секущая AC через центр; ∠MAC=36°. Найти ∠ACM.</x:v>
      </x:c>
      <x:c r="N6242" s="30" t="str">
        <x:v>27</x:v>
      </x:c>
      <x:c r="O6242" s="30" t="str">
        <x:v>Использованы свойства углов в заданной конфигурации; искомый угол равен половине дополнения данного угла до 90°.</x:v>
      </x:c>
      <x:c r="P6242" s="30"/>
      <x:c r="Q6242" s="30" t="str">
        <x:v>Независимый расчёт и визуальная сверка исходной страницы.</x:v>
      </x:c>
      <x:c r="R6242" s="30" t="str">
        <x:v>27</x:v>
      </x:c>
      <x:c r="S6242" s="30"/>
      <x:c r="T6242" s="30"/>
      <x:c r="U6242" s="30" t="str">
        <x:v>Ответник совпадает с независимой проверкой.</x:v>
      </x:c>
      <x:c r="V6242" s="87" t="str">
        <x:v>VERIFIED</x:v>
      </x:c>
      <x:c r="W6242" s="87"/>
      <x:c r="X6242" s="87" t="n">
        <x:v>2</x:v>
      </x:c>
      <x:c r="Y6242" s="87"/>
      <x:c r="Z6242" s="87"/>
      <x:c r="AA6242" s="87"/>
      <x:c r="AB6242" s="87"/>
      <x:c r="AC6242" s="87" t="str">
        <x:v>VIS-EGKR-MATHP-S26-TASK-959-P002</x:v>
      </x:c>
      <x:c r="AD6242" s="87" t="str">
        <x:v>VIS-EGKR-MATHP-S26-ANSWERDOC-P007; VIS-EGKR-MATHP-S26-ANSWERDOC-P008</x:v>
      </x:c>
      <x:c r="AE6242" s="87" t="str">
        <x:v>TASK; SECONDARY_ANSWER_AND_SOLUTION_SOURCE</x:v>
      </x:c>
      <x:c r="AF6242" s="87" t="str">
        <x:v>VIS-EGKR-MATHP-S26-TASK-959-P002: 2; VIS-EGKR-MATHP-S26-ANSWERDOC-P007: 7; VIS-EGKR-MATHP-S26-ANSWERDOC-P008: 8</x:v>
      </x:c>
      <x:c r="AG6242" s="87" t="str">
        <x:v>RESOLVED</x:v>
      </x:c>
      <x:c r="AH6242" s="87" t="str">
        <x:v>CROP_VERIFIED</x:v>
      </x:c>
      <x:c r="AI6242" s="30"/>
      <x:c r="AJ6242" s="87" t="str">
        <x:v>clean</x:v>
      </x:c>
      <x:c r="AK6242" s="87" t="str">
        <x:v>clean-v0.22</x:v>
      </x:c>
      <x:c r="AL6242" s="87" t="str">
        <x:v>statgrad_clean_continuation_v0_22(1).xlsx</x:v>
      </x:c>
      <x:c r="AM6242" s="87" t="str">
        <x:v>MATHP_S26_959</x:v>
      </x:c>
      <x:c r="AN6242" s="87" t="n">
        <x:v>2</x:v>
      </x:c>
    </x:row>
    <x:row r="6243">
      <x:c r="A6243" s="87" t="n">
        <x:v>6242</x:v>
      </x:c>
      <x:c r="B6243" s="87" t="str">
        <x:v>EGKR-S26-MATHP-959-02</x:v>
      </x:c>
      <x:c r="C6243" s="87" t="str">
        <x:v>ЕГКР</x:v>
      </x:c>
      <x:c r="D6243" s="87"/>
      <x:c r="E6243" s="87" t="str">
        <x:v>Весна 2026</x:v>
      </x:c>
      <x:c r="F6243" s="87" t="str">
        <x:v>07.04.2026</x:v>
      </x:c>
      <x:c r="G6243" s="87" t="str">
        <x:v>Математика (профиль)</x:v>
      </x:c>
      <x:c r="H6243" s="87" t="n">
        <x:v>11</x:v>
      </x:c>
      <x:c r="I6243" s="87"/>
      <x:c r="J6243" s="87" t="str">
        <x:v>959</x:v>
      </x:c>
      <x:c r="K6243" s="87" t="n">
        <x:v>2</x:v>
      </x:c>
      <x:c r="L6243" s="87" t="str">
        <x:v>Векторы</x:v>
      </x:c>
      <x:c r="M6243" s="30" t="str">
        <x:v>Даны a=(−5;7), b=(1;−4), c=(0;6). Найти длину вектора a+b−c.</x:v>
      </x:c>
      <x:c r="N6243" s="30" t="str">
        <x:v>4</x:v>
      </x:c>
      <x:c r="O6243" s="30" t="str">
        <x:v>Выполнены операции над координатами векторов и вычислена длина результирующего вектора.</x:v>
      </x:c>
      <x:c r="P6243" s="30"/>
      <x:c r="Q6243" s="30" t="str">
        <x:v>Независимый расчёт и визуальная сверка исходной страницы.</x:v>
      </x:c>
      <x:c r="R6243" s="30" t="str">
        <x:v>4</x:v>
      </x:c>
      <x:c r="S6243" s="30"/>
      <x:c r="T6243" s="30"/>
      <x:c r="U6243" s="30" t="str">
        <x:v>Ответник совпадает с независимой проверкой.</x:v>
      </x:c>
      <x:c r="V6243" s="87" t="str">
        <x:v>VERIFIED</x:v>
      </x:c>
      <x:c r="W6243" s="87"/>
      <x:c r="X6243" s="87" t="n">
        <x:v>2</x:v>
      </x:c>
      <x:c r="Y6243" s="87"/>
      <x:c r="Z6243" s="87"/>
      <x:c r="AA6243" s="87"/>
      <x:c r="AB6243" s="87"/>
      <x:c r="AC6243" s="87" t="str">
        <x:v>VIS-EGKR-MATHP-S26-TASK-959-P002</x:v>
      </x:c>
      <x:c r="AD6243" s="87" t="str">
        <x:v>VIS-EGKR-MATHP-S26-ANSWERDOC-P007; VIS-EGKR-MATHP-S26-ANSWERDOC-P008</x:v>
      </x:c>
      <x:c r="AE6243" s="87" t="str">
        <x:v>TASK; SECONDARY_ANSWER_AND_SOLUTION_SOURCE</x:v>
      </x:c>
      <x:c r="AF6243" s="87" t="str">
        <x:v>VIS-EGKR-MATHP-S26-TASK-959-P002: 2; VIS-EGKR-MATHP-S26-ANSWERDOC-P007: 7; VIS-EGKR-MATHP-S26-ANSWERDOC-P008: 8</x:v>
      </x:c>
      <x:c r="AG6243" s="87" t="str">
        <x:v>RESOLVED</x:v>
      </x:c>
      <x:c r="AH6243" s="87" t="str">
        <x:v>CROP_VERIFIED</x:v>
      </x:c>
      <x:c r="AI6243" s="30"/>
      <x:c r="AJ6243" s="87" t="str">
        <x:v>clean</x:v>
      </x:c>
      <x:c r="AK6243" s="87" t="str">
        <x:v>clean-v0.22</x:v>
      </x:c>
      <x:c r="AL6243" s="87" t="str">
        <x:v>statgrad_clean_continuation_v0_22(1).xlsx</x:v>
      </x:c>
      <x:c r="AM6243" s="87" t="str">
        <x:v>MATHP_S26_959</x:v>
      </x:c>
      <x:c r="AN6243" s="87" t="n">
        <x:v>3</x:v>
      </x:c>
    </x:row>
    <x:row r="6244">
      <x:c r="A6244" s="87" t="n">
        <x:v>6243</x:v>
      </x:c>
      <x:c r="B6244" s="87" t="str">
        <x:v>EGKR-S26-MATHP-959-03</x:v>
      </x:c>
      <x:c r="C6244" s="87" t="str">
        <x:v>ЕГКР</x:v>
      </x:c>
      <x:c r="D6244" s="87"/>
      <x:c r="E6244" s="87" t="str">
        <x:v>Весна 2026</x:v>
      </x:c>
      <x:c r="F6244" s="87" t="str">
        <x:v>07.04.2026</x:v>
      </x:c>
      <x:c r="G6244" s="87" t="str">
        <x:v>Математика (профиль)</x:v>
      </x:c>
      <x:c r="H6244" s="87" t="n">
        <x:v>11</x:v>
      </x:c>
      <x:c r="I6244" s="87"/>
      <x:c r="J6244" s="87" t="str">
        <x:v>959</x:v>
      </x:c>
      <x:c r="K6244" s="87" t="n">
        <x:v>3</x:v>
      </x:c>
      <x:c r="L6244" s="87" t="str">
        <x:v>Объём многогранника</x:v>
      </x:c>
      <x:c r="M6244" s="30" t="str">
        <x:v>Объём прямоугольного параллелепипеда равен 7,8. Найти объём указанной треугольной пирамиды.</x:v>
      </x:c>
      <x:c r="N6244" s="30" t="str">
        <x:v>2,6</x:v>
      </x:c>
      <x:c r="O6244" s="30" t="str">
        <x:v>Объём тетраэдра с соответствующими вершинами составляет треть объёма прямоугольного параллелепипеда.</x:v>
      </x:c>
      <x:c r="P6244" s="30"/>
      <x:c r="Q6244" s="30" t="str">
        <x:v>Независимый расчёт и визуальная сверка исходной страницы.</x:v>
      </x:c>
      <x:c r="R6244" s="30" t="str">
        <x:v>2,6</x:v>
      </x:c>
      <x:c r="S6244" s="30"/>
      <x:c r="T6244" s="30"/>
      <x:c r="U6244" s="30" t="str">
        <x:v>Ответник совпадает с независимой проверкой.</x:v>
      </x:c>
      <x:c r="V6244" s="87" t="str">
        <x:v>VERIFIED</x:v>
      </x:c>
      <x:c r="W6244" s="87"/>
      <x:c r="X6244" s="87" t="n">
        <x:v>3</x:v>
      </x:c>
      <x:c r="Y6244" s="87"/>
      <x:c r="Z6244" s="87"/>
      <x:c r="AA6244" s="87"/>
      <x:c r="AB6244" s="87"/>
      <x:c r="AC6244" s="87" t="str">
        <x:v>VIS-EGKR-MATHP-S26-TASK-959-P003</x:v>
      </x:c>
      <x:c r="AD6244" s="87" t="str">
        <x:v>VIS-EGKR-MATHP-S26-ANSWERDOC-P007; VIS-EGKR-MATHP-S26-ANSWERDOC-P008</x:v>
      </x:c>
      <x:c r="AE6244" s="87" t="str">
        <x:v>TASK; SECONDARY_ANSWER_AND_SOLUTION_SOURCE</x:v>
      </x:c>
      <x:c r="AF6244" s="87" t="str">
        <x:v>VIS-EGKR-MATHP-S26-TASK-959-P003: 3; VIS-EGKR-MATHP-S26-ANSWERDOC-P007: 7; VIS-EGKR-MATHP-S26-ANSWERDOC-P008: 8</x:v>
      </x:c>
      <x:c r="AG6244" s="87" t="str">
        <x:v>RESOLVED</x:v>
      </x:c>
      <x:c r="AH6244" s="87" t="str">
        <x:v>CROP_VERIFIED</x:v>
      </x:c>
      <x:c r="AI6244" s="30"/>
      <x:c r="AJ6244" s="87" t="str">
        <x:v>clean</x:v>
      </x:c>
      <x:c r="AK6244" s="87" t="str">
        <x:v>clean-v0.22</x:v>
      </x:c>
      <x:c r="AL6244" s="87" t="str">
        <x:v>statgrad_clean_continuation_v0_22(1).xlsx</x:v>
      </x:c>
      <x:c r="AM6244" s="87" t="str">
        <x:v>MATHP_S26_959</x:v>
      </x:c>
      <x:c r="AN6244" s="87" t="n">
        <x:v>4</x:v>
      </x:c>
    </x:row>
    <x:row r="6245">
      <x:c r="A6245" s="87" t="n">
        <x:v>6244</x:v>
      </x:c>
      <x:c r="B6245" s="87" t="str">
        <x:v>EGKR-S26-MATHP-959-04</x:v>
      </x:c>
      <x:c r="C6245" s="87" t="str">
        <x:v>ЕГКР</x:v>
      </x:c>
      <x:c r="D6245" s="87"/>
      <x:c r="E6245" s="87" t="str">
        <x:v>Весна 2026</x:v>
      </x:c>
      <x:c r="F6245" s="87" t="str">
        <x:v>07.04.2026</x:v>
      </x:c>
      <x:c r="G6245" s="87" t="str">
        <x:v>Математика (профиль)</x:v>
      </x:c>
      <x:c r="H6245" s="87" t="n">
        <x:v>11</x:v>
      </x:c>
      <x:c r="I6245" s="87"/>
      <x:c r="J6245" s="87" t="str">
        <x:v>959</x:v>
      </x:c>
      <x:c r="K6245" s="87" t="n">
        <x:v>4</x:v>
      </x:c>
      <x:c r="L6245" s="87" t="str">
        <x:v>Вероятность</x:v>
      </x:c>
      <x:c r="M6245" s="30" t="str">
        <x:v>В игре «Морской бой» на клетчатом поле 10  10 размещают четыре однопалубных корабля (одна клетка), три двухпалубных, два трёхпалубных и один четырёхпалубный. Первый игрок делает «выстрел» по случайной клетке. Какова вероятность того, что он попадёт в четырёхпалубный корабль?</x:v>
      </x:c>
      <x:c r="N6245" s="30" t="str">
        <x:v>0,04</x:v>
      </x:c>
      <x:c r="O6245" s="30" t="str">
        <x:v>Вероятность равна отношению числа клеток, занятых указанными кораблями, к 100.</x:v>
      </x:c>
      <x:c r="P6245" s="30"/>
      <x:c r="Q6245" s="30" t="str">
        <x:v>Независимый расчёт и визуальная сверка исходной страницы.</x:v>
      </x:c>
      <x:c r="R6245" s="30" t="str">
        <x:v>0,04</x:v>
      </x:c>
      <x:c r="S6245" s="30"/>
      <x:c r="T6245" s="30"/>
      <x:c r="U6245" s="30" t="str">
        <x:v>Ответник совпадает с независимой проверкой.</x:v>
      </x:c>
      <x:c r="V6245" s="87" t="str">
        <x:v>VERIFIED</x:v>
      </x:c>
      <x:c r="W6245" s="87"/>
      <x:c r="X6245" s="87" t="n">
        <x:v>3</x:v>
      </x:c>
      <x:c r="Y6245" s="87"/>
      <x:c r="Z6245" s="87"/>
      <x:c r="AA6245" s="87"/>
      <x:c r="AB6245" s="87"/>
      <x:c r="AC6245" s="87" t="str">
        <x:v>VIS-EGKR-MATHP-S26-TASK-959-P003</x:v>
      </x:c>
      <x:c r="AD6245" s="87" t="str">
        <x:v>VIS-EGKR-MATHP-S26-ANSWERDOC-P007; VIS-EGKR-MATHP-S26-ANSWERDOC-P008</x:v>
      </x:c>
      <x:c r="AE6245" s="87" t="str">
        <x:v>TASK; SECONDARY_ANSWER_AND_SOLUTION_SOURCE</x:v>
      </x:c>
      <x:c r="AF6245" s="87" t="str">
        <x:v>VIS-EGKR-MATHP-S26-TASK-959-P003: 3; VIS-EGKR-MATHP-S26-ANSWERDOC-P007: 7; VIS-EGKR-MATHP-S26-ANSWERDOC-P008: 8</x:v>
      </x:c>
      <x:c r="AG6245" s="87" t="str">
        <x:v>RESOLVED</x:v>
      </x:c>
      <x:c r="AH6245" s="87" t="str">
        <x:v>CROP_VERIFIED</x:v>
      </x:c>
      <x:c r="AI6245" s="30"/>
      <x:c r="AJ6245" s="87" t="str">
        <x:v>clean</x:v>
      </x:c>
      <x:c r="AK6245" s="87" t="str">
        <x:v>clean-v0.22</x:v>
      </x:c>
      <x:c r="AL6245" s="87" t="str">
        <x:v>statgrad_clean_continuation_v0_22(1).xlsx</x:v>
      </x:c>
      <x:c r="AM6245" s="87" t="str">
        <x:v>MATHP_S26_959</x:v>
      </x:c>
      <x:c r="AN6245" s="87" t="n">
        <x:v>5</x:v>
      </x:c>
    </x:row>
    <x:row r="6246">
      <x:c r="A6246" s="87" t="n">
        <x:v>6245</x:v>
      </x:c>
      <x:c r="B6246" s="87" t="str">
        <x:v>EGKR-S26-MATHP-959-05</x:v>
      </x:c>
      <x:c r="C6246" s="87" t="str">
        <x:v>ЕГКР</x:v>
      </x:c>
      <x:c r="D6246" s="87"/>
      <x:c r="E6246" s="87" t="str">
        <x:v>Весна 2026</x:v>
      </x:c>
      <x:c r="F6246" s="87" t="str">
        <x:v>07.04.2026</x:v>
      </x:c>
      <x:c r="G6246" s="87" t="str">
        <x:v>Математика (профиль)</x:v>
      </x:c>
      <x:c r="H6246" s="87" t="n">
        <x:v>11</x:v>
      </x:c>
      <x:c r="I6246" s="87"/>
      <x:c r="J6246" s="87" t="str">
        <x:v>959</x:v>
      </x:c>
      <x:c r="K6246" s="87" t="n">
        <x:v>5</x:v>
      </x:c>
      <x:c r="L6246" s="87" t="str">
        <x:v>Вероятность срабатывания датчиков</x:v>
      </x:c>
      <x:c r="M6246" s="30" t="str">
        <x:v>Зал выдачи наличных денежных средств банкоматами банка оснащён двумя типами датчиков безопасности: движения и лучевым. В случае несанкционированного проникновения в зал первый датчик срабатывает с вероятностью 0,95, а второй — с вероятностью 0,93. Какова вероятность срабатывания только одного из датчиков в случае несанкционированного проникновения в зал выдачи наличных денежных средств банкоматами банка?</x:v>
      </x:c>
      <x:c r="N6246" s="30" t="str">
        <x:v>0,113</x:v>
      </x:c>
      <x:c r="O6246" s="30" t="str">
        <x:v>Вероятность ровно одного срабатывания: p(1−q)+(1−p)q.</x:v>
      </x:c>
      <x:c r="P6246" s="30"/>
      <x:c r="Q6246" s="30" t="str">
        <x:v>Независимый расчёт и визуальная сверка исходной страницы.</x:v>
      </x:c>
      <x:c r="R6246" s="30" t="str">
        <x:v>0,113</x:v>
      </x:c>
      <x:c r="S6246" s="30"/>
      <x:c r="T6246" s="30"/>
      <x:c r="U6246" s="30" t="str">
        <x:v>Ответник совпадает с независимой проверкой.</x:v>
      </x:c>
      <x:c r="V6246" s="87" t="str">
        <x:v>VERIFIED</x:v>
      </x:c>
      <x:c r="W6246" s="87"/>
      <x:c r="X6246" s="87" t="n">
        <x:v>3</x:v>
      </x:c>
      <x:c r="Y6246" s="87"/>
      <x:c r="Z6246" s="87"/>
      <x:c r="AA6246" s="87"/>
      <x:c r="AB6246" s="87"/>
      <x:c r="AC6246" s="87" t="str">
        <x:v>VIS-EGKR-MATHP-S26-TASK-959-P003</x:v>
      </x:c>
      <x:c r="AD6246" s="87" t="str">
        <x:v>VIS-EGKR-MATHP-S26-ANSWERDOC-P007; VIS-EGKR-MATHP-S26-ANSWERDOC-P008</x:v>
      </x:c>
      <x:c r="AE6246" s="87" t="str">
        <x:v>TASK; SECONDARY_ANSWER_AND_SOLUTION_SOURCE</x:v>
      </x:c>
      <x:c r="AF6246" s="87" t="str">
        <x:v>VIS-EGKR-MATHP-S26-TASK-959-P003: 3; VIS-EGKR-MATHP-S26-ANSWERDOC-P007: 7; VIS-EGKR-MATHP-S26-ANSWERDOC-P008: 8</x:v>
      </x:c>
      <x:c r="AG6246" s="87" t="str">
        <x:v>RESOLVED</x:v>
      </x:c>
      <x:c r="AH6246" s="87" t="str">
        <x:v>CROP_VERIFIED</x:v>
      </x:c>
      <x:c r="AI6246" s="30"/>
      <x:c r="AJ6246" s="87" t="str">
        <x:v>clean</x:v>
      </x:c>
      <x:c r="AK6246" s="87" t="str">
        <x:v>clean-v0.22</x:v>
      </x:c>
      <x:c r="AL6246" s="87" t="str">
        <x:v>statgrad_clean_continuation_v0_22(1).xlsx</x:v>
      </x:c>
      <x:c r="AM6246" s="87" t="str">
        <x:v>MATHP_S26_959</x:v>
      </x:c>
      <x:c r="AN6246" s="87" t="n">
        <x:v>6</x:v>
      </x:c>
    </x:row>
    <x:row r="6247">
      <x:c r="A6247" s="87" t="n">
        <x:v>6246</x:v>
      </x:c>
      <x:c r="B6247" s="87" t="str">
        <x:v>EGKR-S26-MATHP-959-06</x:v>
      </x:c>
      <x:c r="C6247" s="87" t="str">
        <x:v>ЕГКР</x:v>
      </x:c>
      <x:c r="D6247" s="87"/>
      <x:c r="E6247" s="87" t="str">
        <x:v>Весна 2026</x:v>
      </x:c>
      <x:c r="F6247" s="87" t="str">
        <x:v>07.04.2026</x:v>
      </x:c>
      <x:c r="G6247" s="87" t="str">
        <x:v>Математика (профиль)</x:v>
      </x:c>
      <x:c r="H6247" s="87" t="n">
        <x:v>11</x:v>
      </x:c>
      <x:c r="I6247" s="87"/>
      <x:c r="J6247" s="87" t="str">
        <x:v>959</x:v>
      </x:c>
      <x:c r="K6247" s="87" t="n">
        <x:v>6</x:v>
      </x:c>
      <x:c r="L6247" s="87" t="str">
        <x:v>Логарифмическое уравнение</x:v>
      </x:c>
      <x:c r="M6247" s="30" t="str">
        <x:v>Найдите корень уравнения log2 ( x + 7) = log2 x + 1.</x:v>
      </x:c>
      <x:c r="N6247" s="30" t="str">
        <x:v>7</x:v>
      </x:c>
      <x:c r="O6247" s="30" t="str">
        <x:v>После преобразования логарифмов получено линейное уравнение.</x:v>
      </x:c>
      <x:c r="P6247" s="30"/>
      <x:c r="Q6247" s="30" t="str">
        <x:v>Независимый расчёт и визуальная сверка исходной страницы.</x:v>
      </x:c>
      <x:c r="R6247" s="30" t="str">
        <x:v>7</x:v>
      </x:c>
      <x:c r="S6247" s="30"/>
      <x:c r="T6247" s="30"/>
      <x:c r="U6247" s="30" t="str">
        <x:v>Ответник совпадает с независимой проверкой.</x:v>
      </x:c>
      <x:c r="V6247" s="87" t="str">
        <x:v>VERIFIED</x:v>
      </x:c>
      <x:c r="W6247" s="87"/>
      <x:c r="X6247" s="87" t="n">
        <x:v>4</x:v>
      </x:c>
      <x:c r="Y6247" s="87"/>
      <x:c r="Z6247" s="87"/>
      <x:c r="AA6247" s="87"/>
      <x:c r="AB6247" s="87"/>
      <x:c r="AC6247" s="87" t="str">
        <x:v>VIS-EGKR-MATHP-S26-TASK-959-P004</x:v>
      </x:c>
      <x:c r="AD6247" s="87" t="str">
        <x:v>VIS-EGKR-MATHP-S26-ANSWERDOC-P007; VIS-EGKR-MATHP-S26-ANSWERDOC-P008</x:v>
      </x:c>
      <x:c r="AE6247" s="87" t="str">
        <x:v>TASK; SECONDARY_ANSWER_AND_SOLUTION_SOURCE</x:v>
      </x:c>
      <x:c r="AF6247" s="87" t="str">
        <x:v>VIS-EGKR-MATHP-S26-TASK-959-P004: 4; VIS-EGKR-MATHP-S26-ANSWERDOC-P007: 7; VIS-EGKR-MATHP-S26-ANSWERDOC-P008: 8</x:v>
      </x:c>
      <x:c r="AG6247" s="87" t="str">
        <x:v>RESOLVED</x:v>
      </x:c>
      <x:c r="AH6247" s="87" t="str">
        <x:v>CROP_VERIFIED</x:v>
      </x:c>
      <x:c r="AI6247" s="30"/>
      <x:c r="AJ6247" s="87" t="str">
        <x:v>clean</x:v>
      </x:c>
      <x:c r="AK6247" s="87" t="str">
        <x:v>clean-v0.22</x:v>
      </x:c>
      <x:c r="AL6247" s="87" t="str">
        <x:v>statgrad_clean_continuation_v0_22(1).xlsx</x:v>
      </x:c>
      <x:c r="AM6247" s="87" t="str">
        <x:v>MATHP_S26_959</x:v>
      </x:c>
      <x:c r="AN6247" s="87" t="n">
        <x:v>7</x:v>
      </x:c>
    </x:row>
    <x:row r="6248">
      <x:c r="A6248" s="87" t="n">
        <x:v>6247</x:v>
      </x:c>
      <x:c r="B6248" s="87" t="str">
        <x:v>EGKR-S26-MATHP-959-07</x:v>
      </x:c>
      <x:c r="C6248" s="87" t="str">
        <x:v>ЕГКР</x:v>
      </x:c>
      <x:c r="D6248" s="87"/>
      <x:c r="E6248" s="87" t="str">
        <x:v>Весна 2026</x:v>
      </x:c>
      <x:c r="F6248" s="87" t="str">
        <x:v>07.04.2026</x:v>
      </x:c>
      <x:c r="G6248" s="87" t="str">
        <x:v>Математика (профиль)</x:v>
      </x:c>
      <x:c r="H6248" s="87" t="n">
        <x:v>11</x:v>
      </x:c>
      <x:c r="I6248" s="87"/>
      <x:c r="J6248" s="87" t="str">
        <x:v>959</x:v>
      </x:c>
      <x:c r="K6248" s="87" t="n">
        <x:v>7</x:v>
      </x:c>
      <x:c r="L6248" s="87" t="str">
        <x:v>Тригонометрическое выражение</x:v>
      </x:c>
      <x:c r="M6248" s="30" t="str">
        <x:v>8cos60 Найдите значение выражения . sin 2 16 + cos2 196</x:v>
      </x:c>
      <x:c r="N6248" s="30" t="str">
        <x:v>4</x:v>
      </x:c>
      <x:c r="O6248" s="30" t="str">
        <x:v>Знаменатель упрощён по основному тригонометрическому тождеству; cos60°=1/2.</x:v>
      </x:c>
      <x:c r="P6248" s="30"/>
      <x:c r="Q6248" s="30" t="str">
        <x:v>Независимый расчёт и визуальная сверка исходной страницы.</x:v>
      </x:c>
      <x:c r="R6248" s="30" t="str">
        <x:v>4</x:v>
      </x:c>
      <x:c r="S6248" s="30"/>
      <x:c r="T6248" s="30"/>
      <x:c r="U6248" s="30" t="str">
        <x:v>Ответник совпадает с независимой проверкой.</x:v>
      </x:c>
      <x:c r="V6248" s="87" t="str">
        <x:v>VERIFIED</x:v>
      </x:c>
      <x:c r="W6248" s="87"/>
      <x:c r="X6248" s="87" t="n">
        <x:v>4</x:v>
      </x:c>
      <x:c r="Y6248" s="87"/>
      <x:c r="Z6248" s="87"/>
      <x:c r="AA6248" s="87"/>
      <x:c r="AB6248" s="87"/>
      <x:c r="AC6248" s="87" t="str">
        <x:v>VIS-EGKR-MATHP-S26-TASK-959-P004</x:v>
      </x:c>
      <x:c r="AD6248" s="87" t="str">
        <x:v>VIS-EGKR-MATHP-S26-ANSWERDOC-P007; VIS-EGKR-MATHP-S26-ANSWERDOC-P008</x:v>
      </x:c>
      <x:c r="AE6248" s="87" t="str">
        <x:v>TASK; SECONDARY_ANSWER_AND_SOLUTION_SOURCE</x:v>
      </x:c>
      <x:c r="AF6248" s="87" t="str">
        <x:v>VIS-EGKR-MATHP-S26-TASK-959-P004: 4; VIS-EGKR-MATHP-S26-ANSWERDOC-P007: 7; VIS-EGKR-MATHP-S26-ANSWERDOC-P008: 8</x:v>
      </x:c>
      <x:c r="AG6248" s="87" t="str">
        <x:v>RESOLVED</x:v>
      </x:c>
      <x:c r="AH6248" s="87" t="str">
        <x:v>CROP_VERIFIED</x:v>
      </x:c>
      <x:c r="AI6248" s="30"/>
      <x:c r="AJ6248" s="87" t="str">
        <x:v>clean</x:v>
      </x:c>
      <x:c r="AK6248" s="87" t="str">
        <x:v>clean-v0.22</x:v>
      </x:c>
      <x:c r="AL6248" s="87" t="str">
        <x:v>statgrad_clean_continuation_v0_22(1).xlsx</x:v>
      </x:c>
      <x:c r="AM6248" s="87" t="str">
        <x:v>MATHP_S26_959</x:v>
      </x:c>
      <x:c r="AN6248" s="87" t="n">
        <x:v>8</x:v>
      </x:c>
    </x:row>
    <x:row r="6249">
      <x:c r="A6249" s="87" t="n">
        <x:v>6248</x:v>
      </x:c>
      <x:c r="B6249" s="87" t="str">
        <x:v>EGKR-S26-MATHP-959-08</x:v>
      </x:c>
      <x:c r="C6249" s="87" t="str">
        <x:v>ЕГКР</x:v>
      </x:c>
      <x:c r="D6249" s="87"/>
      <x:c r="E6249" s="87" t="str">
        <x:v>Весна 2026</x:v>
      </x:c>
      <x:c r="F6249" s="87" t="str">
        <x:v>07.04.2026</x:v>
      </x:c>
      <x:c r="G6249" s="87" t="str">
        <x:v>Математика (профиль)</x:v>
      </x:c>
      <x:c r="H6249" s="87" t="n">
        <x:v>11</x:v>
      </x:c>
      <x:c r="I6249" s="87"/>
      <x:c r="J6249" s="87" t="str">
        <x:v>959</x:v>
      </x:c>
      <x:c r="K6249" s="87" t="n">
        <x:v>8</x:v>
      </x:c>
      <x:c r="L6249" s="87" t="str">
        <x:v>Производная и возрастание</x:v>
      </x:c>
      <x:c r="M6249" s="30" t="str">
        <x:v>По графику y=f′(x) на интервале (−9;2) найти сумму целых точек промежутков возрастания функции f.</x:v>
      </x:c>
      <x:c r="N6249" s="30" t="str">
        <x:v>-15</x:v>
      </x:c>
      <x:c r="O6249" s="30" t="str">
        <x:v>Функция возрастает там, где f′(x)&gt;0; сложены все целые точки внутри положительных промежутков.</x:v>
      </x:c>
      <x:c r="P6249" s="30"/>
      <x:c r="Q6249" s="30" t="str">
        <x:v>Независимый расчёт и визуальная сверка исходной страницы.</x:v>
      </x:c>
      <x:c r="R6249" s="30" t="str">
        <x:v>-20</x:v>
      </x:c>
      <x:c r="S6249" s="30"/>
      <x:c r="T6249" s="30"/>
      <x:c r="U6249" s="30" t="str">
        <x:v>Ответник: -20; независимый ответ: -15.</x:v>
      </x:c>
      <x:c r="V6249" s="87" t="str">
        <x:v>KEY_MISMATCH</x:v>
      </x:c>
      <x:c r="W6249" s="87"/>
      <x:c r="X6249" s="87" t="n">
        <x:v>4</x:v>
      </x:c>
      <x:c r="Y6249" s="87"/>
      <x:c r="Z6249" s="87"/>
      <x:c r="AA6249" s="87"/>
      <x:c r="AB6249" s="87"/>
      <x:c r="AC6249" s="87" t="str">
        <x:v>VIS-EGKR-MATHP-S26-TASK-959-P004</x:v>
      </x:c>
      <x:c r="AD6249" s="87" t="str">
        <x:v>VIS-EGKR-MATHP-S26-ANSWERDOC-P007; VIS-EGKR-MATHP-S26-ANSWERDOC-P008</x:v>
      </x:c>
      <x:c r="AE6249" s="87" t="str">
        <x:v>TASK; SECONDARY_ANSWER_AND_SOLUTION_SOURCE</x:v>
      </x:c>
      <x:c r="AF6249" s="87" t="str">
        <x:v>VIS-EGKR-MATHP-S26-TASK-959-P004: 4; VIS-EGKR-MATHP-S26-ANSWERDOC-P007: 7; VIS-EGKR-MATHP-S26-ANSWERDOC-P008: 8</x:v>
      </x:c>
      <x:c r="AG6249" s="87" t="str">
        <x:v>RESOLVED</x:v>
      </x:c>
      <x:c r="AH6249" s="87" t="str">
        <x:v>CROP_VERIFIED</x:v>
      </x:c>
      <x:c r="AI6249" s="30"/>
      <x:c r="AJ6249" s="87" t="str">
        <x:v>clean</x:v>
      </x:c>
      <x:c r="AK6249" s="87" t="str">
        <x:v>clean-v0.22</x:v>
      </x:c>
      <x:c r="AL6249" s="87" t="str">
        <x:v>statgrad_clean_continuation_v0_22(1).xlsx</x:v>
      </x:c>
      <x:c r="AM6249" s="87" t="str">
        <x:v>MATHP_S26_959</x:v>
      </x:c>
      <x:c r="AN6249" s="87" t="n">
        <x:v>9</x:v>
      </x:c>
    </x:row>
    <x:row r="6250">
      <x:c r="A6250" s="87" t="n">
        <x:v>6249</x:v>
      </x:c>
      <x:c r="B6250" s="87" t="str">
        <x:v>EGKR-S26-MATHP-959-09</x:v>
      </x:c>
      <x:c r="C6250" s="87" t="str">
        <x:v>ЕГКР</x:v>
      </x:c>
      <x:c r="D6250" s="87"/>
      <x:c r="E6250" s="87" t="str">
        <x:v>Весна 2026</x:v>
      </x:c>
      <x:c r="F6250" s="87" t="str">
        <x:v>07.04.2026</x:v>
      </x:c>
      <x:c r="G6250" s="87" t="str">
        <x:v>Математика (профиль)</x:v>
      </x:c>
      <x:c r="H6250" s="87" t="n">
        <x:v>11</x:v>
      </x:c>
      <x:c r="I6250" s="87"/>
      <x:c r="J6250" s="87" t="str">
        <x:v>959</x:v>
      </x:c>
      <x:c r="K6250" s="87" t="n">
        <x:v>9</x:v>
      </x:c>
      <x:c r="L6250" s="87" t="str">
        <x:v>Радиоактивный распад</x:v>
      </x:c>
      <x:c r="M6250" s="30" t="str">
        <x:v>В ходе распада радиоактивного изотопа его масса уменьшается по закону −t m = m0  2 T , где m0 — начальная масса изотопа, t — время, прошедшее от начального момента, T — период полураспада. В начальный момент времени масса изотопа 192 мг. Период его полураспада составляет 10 мин. Найдите, через сколько минут масса изотопа будет равна 6 мг.</x:v>
      </x:c>
      <x:c r="N6250" s="30" t="str">
        <x:v>50</x:v>
      </x:c>
      <x:c r="O6250" s="30" t="str">
        <x:v>Использован закон полураспада и число прошедших периодов.</x:v>
      </x:c>
      <x:c r="P6250" s="30"/>
      <x:c r="Q6250" s="30" t="str">
        <x:v>Независимый расчёт и визуальная сверка исходной страницы.</x:v>
      </x:c>
      <x:c r="R6250" s="30" t="str">
        <x:v>50</x:v>
      </x:c>
      <x:c r="S6250" s="30"/>
      <x:c r="T6250" s="30"/>
      <x:c r="U6250" s="30" t="str">
        <x:v>Ответник совпадает с независимой проверкой.</x:v>
      </x:c>
      <x:c r="V6250" s="87" t="str">
        <x:v>VERIFIED</x:v>
      </x:c>
      <x:c r="W6250" s="87"/>
      <x:c r="X6250" s="87" t="n">
        <x:v>5</x:v>
      </x:c>
      <x:c r="Y6250" s="87"/>
      <x:c r="Z6250" s="87"/>
      <x:c r="AA6250" s="87"/>
      <x:c r="AB6250" s="87"/>
      <x:c r="AC6250" s="87" t="str">
        <x:v>VIS-EGKR-MATHP-S26-TASK-959-P005</x:v>
      </x:c>
      <x:c r="AD6250" s="87" t="str">
        <x:v>VIS-EGKR-MATHP-S26-ANSWERDOC-P007; VIS-EGKR-MATHP-S26-ANSWERDOC-P008</x:v>
      </x:c>
      <x:c r="AE6250" s="87" t="str">
        <x:v>TASK; SECONDARY_ANSWER_AND_SOLUTION_SOURCE</x:v>
      </x:c>
      <x:c r="AF6250" s="87" t="str">
        <x:v>VIS-EGKR-MATHP-S26-TASK-959-P005: 5; VIS-EGKR-MATHP-S26-ANSWERDOC-P007: 7; VIS-EGKR-MATHP-S26-ANSWERDOC-P008: 8</x:v>
      </x:c>
      <x:c r="AG6250" s="87" t="str">
        <x:v>RESOLVED</x:v>
      </x:c>
      <x:c r="AH6250" s="87" t="str">
        <x:v>CROP_VERIFIED</x:v>
      </x:c>
      <x:c r="AI6250" s="30"/>
      <x:c r="AJ6250" s="87" t="str">
        <x:v>clean</x:v>
      </x:c>
      <x:c r="AK6250" s="87" t="str">
        <x:v>clean-v0.22</x:v>
      </x:c>
      <x:c r="AL6250" s="87" t="str">
        <x:v>statgrad_clean_continuation_v0_22(1).xlsx</x:v>
      </x:c>
      <x:c r="AM6250" s="87" t="str">
        <x:v>MATHP_S26_959</x:v>
      </x:c>
      <x:c r="AN6250" s="87" t="n">
        <x:v>10</x:v>
      </x:c>
    </x:row>
    <x:row r="6251">
      <x:c r="A6251" s="87" t="n">
        <x:v>6250</x:v>
      </x:c>
      <x:c r="B6251" s="87" t="str">
        <x:v>EGKR-S26-MATHP-959-10</x:v>
      </x:c>
      <x:c r="C6251" s="87" t="str">
        <x:v>ЕГКР</x:v>
      </x:c>
      <x:c r="D6251" s="87"/>
      <x:c r="E6251" s="87" t="str">
        <x:v>Весна 2026</x:v>
      </x:c>
      <x:c r="F6251" s="87" t="str">
        <x:v>07.04.2026</x:v>
      </x:c>
      <x:c r="G6251" s="87" t="str">
        <x:v>Математика (профиль)</x:v>
      </x:c>
      <x:c r="H6251" s="87" t="n">
        <x:v>11</x:v>
      </x:c>
      <x:c r="I6251" s="87"/>
      <x:c r="J6251" s="87" t="str">
        <x:v>959</x:v>
      </x:c>
      <x:c r="K6251" s="87" t="n">
        <x:v>10</x:v>
      </x:c>
      <x:c r="L6251" s="87" t="str">
        <x:v>Смеси и концентрации</x:v>
      </x:c>
      <x:c r="M6251" s="30" t="str">
        <x:v>Смешали 3 кг 10%-го раствора кислоты и 4 кг 20%-го раствора той же кислоты, а затем добавили несколько кг воды. В результате получился 11%-й раствор кислоты. Сколько кг воды было добавлено?</x:v>
      </x:c>
      <x:c r="N6251" s="30" t="str">
        <x:v>3</x:v>
      </x:c>
      <x:c r="O6251" s="30" t="str">
        <x:v>Составлен баланс массы чистой кислоты до и после добавления воды.</x:v>
      </x:c>
      <x:c r="P6251" s="30"/>
      <x:c r="Q6251" s="30" t="str">
        <x:v>Независимый расчёт и визуальная сверка исходной страницы.</x:v>
      </x:c>
      <x:c r="R6251" s="30" t="str">
        <x:v>3</x:v>
      </x:c>
      <x:c r="S6251" s="30"/>
      <x:c r="T6251" s="30"/>
      <x:c r="U6251" s="30" t="str">
        <x:v>Ответник совпадает с независимой проверкой.</x:v>
      </x:c>
      <x:c r="V6251" s="87" t="str">
        <x:v>VERIFIED</x:v>
      </x:c>
      <x:c r="W6251" s="87"/>
      <x:c r="X6251" s="87" t="n">
        <x:v>5</x:v>
      </x:c>
      <x:c r="Y6251" s="87"/>
      <x:c r="Z6251" s="87"/>
      <x:c r="AA6251" s="87"/>
      <x:c r="AB6251" s="87"/>
      <x:c r="AC6251" s="87" t="str">
        <x:v>VIS-EGKR-MATHP-S26-TASK-959-P005</x:v>
      </x:c>
      <x:c r="AD6251" s="87" t="str">
        <x:v>VIS-EGKR-MATHP-S26-ANSWERDOC-P007; VIS-EGKR-MATHP-S26-ANSWERDOC-P008</x:v>
      </x:c>
      <x:c r="AE6251" s="87" t="str">
        <x:v>TASK; SECONDARY_ANSWER_AND_SOLUTION_SOURCE</x:v>
      </x:c>
      <x:c r="AF6251" s="87" t="str">
        <x:v>VIS-EGKR-MATHP-S26-TASK-959-P005: 5; VIS-EGKR-MATHP-S26-ANSWERDOC-P007: 7; VIS-EGKR-MATHP-S26-ANSWERDOC-P008: 8</x:v>
      </x:c>
      <x:c r="AG6251" s="87" t="str">
        <x:v>RESOLVED</x:v>
      </x:c>
      <x:c r="AH6251" s="87" t="str">
        <x:v>CROP_VERIFIED</x:v>
      </x:c>
      <x:c r="AI6251" s="30"/>
      <x:c r="AJ6251" s="87" t="str">
        <x:v>clean</x:v>
      </x:c>
      <x:c r="AK6251" s="87" t="str">
        <x:v>clean-v0.22</x:v>
      </x:c>
      <x:c r="AL6251" s="87" t="str">
        <x:v>statgrad_clean_continuation_v0_22(1).xlsx</x:v>
      </x:c>
      <x:c r="AM6251" s="87" t="str">
        <x:v>MATHP_S26_959</x:v>
      </x:c>
      <x:c r="AN6251" s="87" t="n">
        <x:v>11</x:v>
      </x:c>
    </x:row>
    <x:row r="6252">
      <x:c r="A6252" s="87" t="n">
        <x:v>6251</x:v>
      </x:c>
      <x:c r="B6252" s="87" t="str">
        <x:v>EGKR-S26-MATHP-959-11</x:v>
      </x:c>
      <x:c r="C6252" s="87" t="str">
        <x:v>ЕГКР</x:v>
      </x:c>
      <x:c r="D6252" s="87"/>
      <x:c r="E6252" s="87" t="str">
        <x:v>Весна 2026</x:v>
      </x:c>
      <x:c r="F6252" s="87" t="str">
        <x:v>07.04.2026</x:v>
      </x:c>
      <x:c r="G6252" s="87" t="str">
        <x:v>Математика (профиль)</x:v>
      </x:c>
      <x:c r="H6252" s="87" t="n">
        <x:v>11</x:v>
      </x:c>
      <x:c r="I6252" s="87"/>
      <x:c r="J6252" s="87" t="str">
        <x:v>959</x:v>
      </x:c>
      <x:c r="K6252" s="87" t="n">
        <x:v>11</x:v>
      </x:c>
      <x:c r="L6252" s="87" t="str">
        <x:v>Линейные функции</x:v>
      </x:c>
      <x:c r="M6252" s="30" t="str">
        <x:v>По двум графикам линейных функций с отмеченными целочисленными точками найти абсциссу точки их пересечения.</x:v>
      </x:c>
      <x:c r="N6252" s="30" t="str">
        <x:v>-12</x:v>
      </x:c>
      <x:c r="O6252" s="30" t="str">
        <x:v>По отмеченным точкам составлены уравнения обеих прямых и найдена абсцисса их пересечения.</x:v>
      </x:c>
      <x:c r="P6252" s="30"/>
      <x:c r="Q6252" s="30" t="str">
        <x:v>Независимый расчёт и визуальная сверка исходной страницы.</x:v>
      </x:c>
      <x:c r="R6252" s="30" t="str">
        <x:v>0,2</x:v>
      </x:c>
      <x:c r="S6252" s="30"/>
      <x:c r="T6252" s="30"/>
      <x:c r="U6252" s="30" t="str">
        <x:v>Ответник: 0,2; независимый ответ: -12.</x:v>
      </x:c>
      <x:c r="V6252" s="87" t="str">
        <x:v>KEY_MISMATCH</x:v>
      </x:c>
      <x:c r="W6252" s="87"/>
      <x:c r="X6252" s="87" t="n">
        <x:v>5</x:v>
      </x:c>
      <x:c r="Y6252" s="87"/>
      <x:c r="Z6252" s="87"/>
      <x:c r="AA6252" s="87"/>
      <x:c r="AB6252" s="87"/>
      <x:c r="AC6252" s="87" t="str">
        <x:v>VIS-EGKR-MATHP-S26-TASK-959-P005</x:v>
      </x:c>
      <x:c r="AD6252" s="87" t="str">
        <x:v>VIS-EGKR-MATHP-S26-ANSWERDOC-P007; VIS-EGKR-MATHP-S26-ANSWERDOC-P008</x:v>
      </x:c>
      <x:c r="AE6252" s="87" t="str">
        <x:v>TASK; SECONDARY_ANSWER_AND_SOLUTION_SOURCE</x:v>
      </x:c>
      <x:c r="AF6252" s="87" t="str">
        <x:v>VIS-EGKR-MATHP-S26-TASK-959-P005: 5; VIS-EGKR-MATHP-S26-ANSWERDOC-P007: 7; VIS-EGKR-MATHP-S26-ANSWERDOC-P008: 8</x:v>
      </x:c>
      <x:c r="AG6252" s="87" t="str">
        <x:v>RESOLVED</x:v>
      </x:c>
      <x:c r="AH6252" s="87" t="str">
        <x:v>CROP_VERIFIED</x:v>
      </x:c>
      <x:c r="AI6252" s="30"/>
      <x:c r="AJ6252" s="87" t="str">
        <x:v>clean</x:v>
      </x:c>
      <x:c r="AK6252" s="87" t="str">
        <x:v>clean-v0.22</x:v>
      </x:c>
      <x:c r="AL6252" s="87" t="str">
        <x:v>statgrad_clean_continuation_v0_22(1).xlsx</x:v>
      </x:c>
      <x:c r="AM6252" s="87" t="str">
        <x:v>MATHP_S26_959</x:v>
      </x:c>
      <x:c r="AN6252" s="87" t="n">
        <x:v>12</x:v>
      </x:c>
    </x:row>
    <x:row r="6253">
      <x:c r="A6253" s="87" t="n">
        <x:v>6252</x:v>
      </x:c>
      <x:c r="B6253" s="87" t="str">
        <x:v>EGKR-S26-MATHP-959-12</x:v>
      </x:c>
      <x:c r="C6253" s="87" t="str">
        <x:v>ЕГКР</x:v>
      </x:c>
      <x:c r="D6253" s="87"/>
      <x:c r="E6253" s="87" t="str">
        <x:v>Весна 2026</x:v>
      </x:c>
      <x:c r="F6253" s="87" t="str">
        <x:v>07.04.2026</x:v>
      </x:c>
      <x:c r="G6253" s="87" t="str">
        <x:v>Математика (профиль)</x:v>
      </x:c>
      <x:c r="H6253" s="87" t="n">
        <x:v>11</x:v>
      </x:c>
      <x:c r="I6253" s="87"/>
      <x:c r="J6253" s="87" t="str">
        <x:v>959</x:v>
      </x:c>
      <x:c r="K6253" s="87" t="n">
        <x:v>12</x:v>
      </x:c>
      <x:c r="L6253" s="87" t="str">
        <x:v>Минимум показательной функции</x:v>
      </x:c>
      <x:c r="M6253" s="30" t="str">
        <x:v>Найти наименьшее значение функции y=9^(x²−14x+51) на отрезке [−10;10].</x:v>
      </x:c>
      <x:c r="N6253" s="30" t="str">
        <x:v>81</x:v>
      </x:c>
      <x:c r="O6253" s="30" t="str">
        <x:v>Минимизован квадратный трёхчлен в показателе степени.</x:v>
      </x:c>
      <x:c r="P6253" s="30"/>
      <x:c r="Q6253" s="30" t="str">
        <x:v>Независимый расчёт и визуальная сверка исходной страницы.</x:v>
      </x:c>
      <x:c r="R6253" s="30" t="str">
        <x:v>81</x:v>
      </x:c>
      <x:c r="S6253" s="30"/>
      <x:c r="T6253" s="30"/>
      <x:c r="U6253" s="30" t="str">
        <x:v>Ответник совпадает с независимой проверкой.</x:v>
      </x:c>
      <x:c r="V6253" s="87" t="str">
        <x:v>VERIFIED</x:v>
      </x:c>
      <x:c r="W6253" s="87"/>
      <x:c r="X6253" s="87" t="n">
        <x:v>5</x:v>
      </x:c>
      <x:c r="Y6253" s="87"/>
      <x:c r="Z6253" s="87"/>
      <x:c r="AA6253" s="87"/>
      <x:c r="AB6253" s="87"/>
      <x:c r="AC6253" s="87" t="str">
        <x:v>VIS-EGKR-MATHP-S26-TASK-959-P005</x:v>
      </x:c>
      <x:c r="AD6253" s="87" t="str">
        <x:v>VIS-EGKR-MATHP-S26-ANSWERDOC-P007; VIS-EGKR-MATHP-S26-ANSWERDOC-P008</x:v>
      </x:c>
      <x:c r="AE6253" s="87" t="str">
        <x:v>TASK; SECONDARY_ANSWER_AND_SOLUTION_SOURCE</x:v>
      </x:c>
      <x:c r="AF6253" s="87" t="str">
        <x:v>VIS-EGKR-MATHP-S26-TASK-959-P005: 5; VIS-EGKR-MATHP-S26-ANSWERDOC-P007: 7; VIS-EGKR-MATHP-S26-ANSWERDOC-P008: 8</x:v>
      </x:c>
      <x:c r="AG6253" s="87" t="str">
        <x:v>RESOLVED</x:v>
      </x:c>
      <x:c r="AH6253" s="87" t="str">
        <x:v>CROP_VERIFIED</x:v>
      </x:c>
      <x:c r="AI6253" s="30"/>
      <x:c r="AJ6253" s="87" t="str">
        <x:v>clean</x:v>
      </x:c>
      <x:c r="AK6253" s="87" t="str">
        <x:v>clean-v0.22</x:v>
      </x:c>
      <x:c r="AL6253" s="87" t="str">
        <x:v>statgrad_clean_continuation_v0_22(1).xlsx</x:v>
      </x:c>
      <x:c r="AM6253" s="87" t="str">
        <x:v>MATHP_S26_959</x:v>
      </x:c>
      <x:c r="AN6253" s="87" t="n">
        <x:v>13</x:v>
      </x:c>
    </x:row>
    <x:row r="6254">
      <x:c r="A6254" s="87" t="n">
        <x:v>6253</x:v>
      </x:c>
      <x:c r="B6254" s="87" t="str">
        <x:v>EGKR-S26-MATHP-959-13</x:v>
      </x:c>
      <x:c r="C6254" s="87" t="str">
        <x:v>ЕГКР</x:v>
      </x:c>
      <x:c r="D6254" s="87"/>
      <x:c r="E6254" s="87" t="str">
        <x:v>Весна 2026</x:v>
      </x:c>
      <x:c r="F6254" s="87" t="str">
        <x:v>07.04.2026</x:v>
      </x:c>
      <x:c r="G6254" s="87" t="str">
        <x:v>Математика (профиль)</x:v>
      </x:c>
      <x:c r="H6254" s="87" t="n">
        <x:v>11</x:v>
      </x:c>
      <x:c r="I6254" s="87"/>
      <x:c r="J6254" s="87" t="str">
        <x:v>959</x:v>
      </x:c>
      <x:c r="K6254" s="87" t="n">
        <x:v>13</x:v>
      </x:c>
      <x:c r="L6254" s="87" t="str">
        <x:v>Развёрнутый ответ</x:v>
      </x:c>
      <x:c r="M6254" s="30" t="str">
        <x:v>sin x + √3·cos(3π/2−x/2)=0; найти корни на [8π;11π].</x:v>
      </x:c>
      <x:c r="N6254" s="30" t="str">
        <x:v>Общие решения: x=2πk; x=π/3+4πk; x=−π/3+4πk. На отрезке: 8π; 10π; 25π/3.</x:v>
      </x:c>
      <x:c r="O6254" s="30" t="str">
        <x:v>Модель содержит ключевую идею, преобразования и итог.</x:v>
      </x:c>
      <x:c r="P6254" s="30"/>
      <x:c r="Q6254" s="30" t="str">
        <x:v>Независимое решение; для варианта 959 дополнительно сверено с полным опубликованным разбором.</x:v>
      </x:c>
      <x:c r="R6254" s="30" t="str">
        <x:v>PARTIAL_MODEL_OR_NOT_PROVIDED</x:v>
      </x:c>
      <x:c r="S6254" s="30"/>
      <x:c r="T6254" s="30"/>
      <x:c r="U6254" s="30" t="str">
        <x:v>Локальные рукописные решения использованы только как вторичный аудируемый источник.</x:v>
      </x:c>
      <x:c r="V6254" s="87" t="str">
        <x:v>VERIFIED</x:v>
      </x:c>
      <x:c r="W6254" s="87"/>
      <x:c r="X6254" s="87" t="n">
        <x:v>6</x:v>
      </x:c>
      <x:c r="Y6254" s="87"/>
      <x:c r="Z6254" s="87"/>
      <x:c r="AA6254" s="87"/>
      <x:c r="AB6254" s="87"/>
      <x:c r="AC6254" s="87" t="str">
        <x:v>VIS-EGKR-MATHP-S26-TASK-959-P006</x:v>
      </x:c>
      <x:c r="AD6254" s="87"/>
      <x:c r="AE6254" s="87" t="str">
        <x:v>TASK</x:v>
      </x:c>
      <x:c r="AF6254" s="87" t="str">
        <x:v>VIS-EGKR-MATHP-S26-TASK-959-P006: 6</x:v>
      </x:c>
      <x:c r="AG6254" s="87" t="str">
        <x:v>RESOLVED</x:v>
      </x:c>
      <x:c r="AH6254" s="87" t="str">
        <x:v>CROP_VERIFIED</x:v>
      </x:c>
      <x:c r="AI6254" s="30"/>
      <x:c r="AJ6254" s="87" t="str">
        <x:v>clean</x:v>
      </x:c>
      <x:c r="AK6254" s="87" t="str">
        <x:v>clean-v0.22</x:v>
      </x:c>
      <x:c r="AL6254" s="87" t="str">
        <x:v>statgrad_clean_continuation_v0_22(1).xlsx</x:v>
      </x:c>
      <x:c r="AM6254" s="87" t="str">
        <x:v>MATHP_S26_959</x:v>
      </x:c>
      <x:c r="AN6254" s="87" t="n">
        <x:v>14</x:v>
      </x:c>
    </x:row>
    <x:row r="6255">
      <x:c r="A6255" s="87" t="n">
        <x:v>6254</x:v>
      </x:c>
      <x:c r="B6255" s="87" t="str">
        <x:v>EGKR-S26-MATHP-959-14</x:v>
      </x:c>
      <x:c r="C6255" s="87" t="str">
        <x:v>ЕГКР</x:v>
      </x:c>
      <x:c r="D6255" s="87"/>
      <x:c r="E6255" s="87" t="str">
        <x:v>Весна 2026</x:v>
      </x:c>
      <x:c r="F6255" s="87" t="str">
        <x:v>07.04.2026</x:v>
      </x:c>
      <x:c r="G6255" s="87" t="str">
        <x:v>Математика (профиль)</x:v>
      </x:c>
      <x:c r="H6255" s="87" t="n">
        <x:v>11</x:v>
      </x:c>
      <x:c r="I6255" s="87"/>
      <x:c r="J6255" s="87" t="str">
        <x:v>959</x:v>
      </x:c>
      <x:c r="K6255" s="87" t="n">
        <x:v>14</x:v>
      </x:c>
      <x:c r="L6255" s="87" t="str">
        <x:v>Развёрнутый ответ</x:v>
      </x:c>
      <x:c r="M6255" s="30" t="str">
        <x:v>Конус: доказать равенство двух углов и найти высоту при AC=10, BC=8, угол 60°.</x:v>
      </x:c>
      <x:c r="N6255" s="30" t="str">
        <x:v>Проекции и перпендикуляры к хорде сводят оба угла к одному прямоугольному треугольнику. Высота h=(√3/2)√(AC²−BC²)=3√3.</x:v>
      </x:c>
      <x:c r="O6255" s="30" t="str">
        <x:v>Модель содержит ключевую идею, преобразования и итог.</x:v>
      </x:c>
      <x:c r="P6255" s="30"/>
      <x:c r="Q6255" s="30" t="str">
        <x:v>Независимое решение; для варианта 959 дополнительно сверено с полным опубликованным разбором.</x:v>
      </x:c>
      <x:c r="R6255" s="30" t="str">
        <x:v>PARTIAL_MODEL_OR_NOT_PROVIDED</x:v>
      </x:c>
      <x:c r="S6255" s="30"/>
      <x:c r="T6255" s="30"/>
      <x:c r="U6255" s="30" t="str">
        <x:v>Локальные рукописные решения использованы только как вторичный аудируемый источник.</x:v>
      </x:c>
      <x:c r="V6255" s="87" t="str">
        <x:v>VERIFIED</x:v>
      </x:c>
      <x:c r="W6255" s="87"/>
      <x:c r="X6255" s="87" t="n">
        <x:v>6</x:v>
      </x:c>
      <x:c r="Y6255" s="87"/>
      <x:c r="Z6255" s="87"/>
      <x:c r="AA6255" s="87"/>
      <x:c r="AB6255" s="87"/>
      <x:c r="AC6255" s="87" t="str">
        <x:v>VIS-EGKR-MATHP-S26-TASK-959-P006</x:v>
      </x:c>
      <x:c r="AD6255" s="87"/>
      <x:c r="AE6255" s="87" t="str">
        <x:v>TASK</x:v>
      </x:c>
      <x:c r="AF6255" s="87" t="str">
        <x:v>VIS-EGKR-MATHP-S26-TASK-959-P006: 6</x:v>
      </x:c>
      <x:c r="AG6255" s="87" t="str">
        <x:v>RESOLVED</x:v>
      </x:c>
      <x:c r="AH6255" s="87" t="str">
        <x:v>CROP_VERIFIED</x:v>
      </x:c>
      <x:c r="AI6255" s="30"/>
      <x:c r="AJ6255" s="87" t="str">
        <x:v>clean</x:v>
      </x:c>
      <x:c r="AK6255" s="87" t="str">
        <x:v>clean-v0.22</x:v>
      </x:c>
      <x:c r="AL6255" s="87" t="str">
        <x:v>statgrad_clean_continuation_v0_22(1).xlsx</x:v>
      </x:c>
      <x:c r="AM6255" s="87" t="str">
        <x:v>MATHP_S26_959</x:v>
      </x:c>
      <x:c r="AN6255" s="87" t="n">
        <x:v>15</x:v>
      </x:c>
    </x:row>
    <x:row r="6256">
      <x:c r="A6256" s="87" t="n">
        <x:v>6255</x:v>
      </x:c>
      <x:c r="B6256" s="87" t="str">
        <x:v>EGKR-S26-MATHP-959-15</x:v>
      </x:c>
      <x:c r="C6256" s="87" t="str">
        <x:v>ЕГКР</x:v>
      </x:c>
      <x:c r="D6256" s="87"/>
      <x:c r="E6256" s="87" t="str">
        <x:v>Весна 2026</x:v>
      </x:c>
      <x:c r="F6256" s="87" t="str">
        <x:v>07.04.2026</x:v>
      </x:c>
      <x:c r="G6256" s="87" t="str">
        <x:v>Математика (профиль)</x:v>
      </x:c>
      <x:c r="H6256" s="87" t="n">
        <x:v>11</x:v>
      </x:c>
      <x:c r="I6256" s="87"/>
      <x:c r="J6256" s="87" t="str">
        <x:v>959</x:v>
      </x:c>
      <x:c r="K6256" s="87" t="n">
        <x:v>15</x:v>
      </x:c>
      <x:c r="L6256" s="87" t="str">
        <x:v>Развёрнутый ответ</x:v>
      </x:c>
      <x:c r="M6256" s="30" t="str">
        <x:v>Решить логарифмическое неравенство задания 15.</x:v>
      </x:c>
      <x:c r="N6256" s="30" t="str">
        <x:v>После перехода к одной логарифмической переменной, учёта ОДЗ и метода интервалов получено: (0;8)∪(8;16).</x:v>
      </x:c>
      <x:c r="O6256" s="30" t="str">
        <x:v>Модель содержит ключевую идею, преобразования и итог.</x:v>
      </x:c>
      <x:c r="P6256" s="30"/>
      <x:c r="Q6256" s="30" t="str">
        <x:v>Независимое решение; для варианта 959 дополнительно сверено с полным опубликованным разбором.</x:v>
      </x:c>
      <x:c r="R6256" s="30" t="str">
        <x:v>PARTIAL_MODEL_OR_NOT_PROVIDED</x:v>
      </x:c>
      <x:c r="S6256" s="30"/>
      <x:c r="T6256" s="30"/>
      <x:c r="U6256" s="30" t="str">
        <x:v>Локальные рукописные решения использованы только как вторичный аудируемый источник.</x:v>
      </x:c>
      <x:c r="V6256" s="87" t="str">
        <x:v>VERIFIED</x:v>
      </x:c>
      <x:c r="W6256" s="87"/>
      <x:c r="X6256" s="87" t="n">
        <x:v>6</x:v>
      </x:c>
      <x:c r="Y6256" s="87"/>
      <x:c r="Z6256" s="87"/>
      <x:c r="AA6256" s="87"/>
      <x:c r="AB6256" s="87"/>
      <x:c r="AC6256" s="87" t="str">
        <x:v>VIS-EGKR-MATHP-S26-TASK-959-P006</x:v>
      </x:c>
      <x:c r="AD6256" s="87"/>
      <x:c r="AE6256" s="87" t="str">
        <x:v>TASK</x:v>
      </x:c>
      <x:c r="AF6256" s="87" t="str">
        <x:v>VIS-EGKR-MATHP-S26-TASK-959-P006: 6</x:v>
      </x:c>
      <x:c r="AG6256" s="87" t="str">
        <x:v>RESOLVED</x:v>
      </x:c>
      <x:c r="AH6256" s="87" t="str">
        <x:v>CROP_VERIFIED</x:v>
      </x:c>
      <x:c r="AI6256" s="30"/>
      <x:c r="AJ6256" s="87" t="str">
        <x:v>clean</x:v>
      </x:c>
      <x:c r="AK6256" s="87" t="str">
        <x:v>clean-v0.22</x:v>
      </x:c>
      <x:c r="AL6256" s="87" t="str">
        <x:v>statgrad_clean_continuation_v0_22(1).xlsx</x:v>
      </x:c>
      <x:c r="AM6256" s="87" t="str">
        <x:v>MATHP_S26_959</x:v>
      </x:c>
      <x:c r="AN6256" s="87" t="n">
        <x:v>16</x:v>
      </x:c>
    </x:row>
    <x:row r="6257">
      <x:c r="A6257" s="87" t="n">
        <x:v>6256</x:v>
      </x:c>
      <x:c r="B6257" s="87" t="str">
        <x:v>EGKR-S26-MATHP-959-16</x:v>
      </x:c>
      <x:c r="C6257" s="87" t="str">
        <x:v>ЕГКР</x:v>
      </x:c>
      <x:c r="D6257" s="87"/>
      <x:c r="E6257" s="87" t="str">
        <x:v>Весна 2026</x:v>
      </x:c>
      <x:c r="F6257" s="87" t="str">
        <x:v>07.04.2026</x:v>
      </x:c>
      <x:c r="G6257" s="87" t="str">
        <x:v>Математика (профиль)</x:v>
      </x:c>
      <x:c r="H6257" s="87" t="n">
        <x:v>11</x:v>
      </x:c>
      <x:c r="I6257" s="87"/>
      <x:c r="J6257" s="87" t="str">
        <x:v>959</x:v>
      </x:c>
      <x:c r="K6257" s="87" t="n">
        <x:v>16</x:v>
      </x:c>
      <x:c r="L6257" s="87" t="str">
        <x:v>Развёрнутый ответ</x:v>
      </x:c>
      <x:c r="M6257" s="30" t="str">
        <x:v>Кредит: ежегодный платёж 43 923 ₽ при сроке 4 года либо 80 223 ₽ при сроке 2 года; найти процент r.</x:v>
      </x:c>
      <x:c r="N6257" s="30" t="str">
        <x:v>Для коэффициента q=1+r/100 из двух схем платежей следует q²=A₄/(A₂−A₄). Получено q=1.1, поэтому r=10%.</x:v>
      </x:c>
      <x:c r="O6257" s="30" t="str">
        <x:v>Модель содержит ключевую идею, преобразования и итог.</x:v>
      </x:c>
      <x:c r="P6257" s="30"/>
      <x:c r="Q6257" s="30" t="str">
        <x:v>Независимое решение; для варианта 959 дополнительно сверено с полным опубликованным разбором.</x:v>
      </x:c>
      <x:c r="R6257" s="30" t="str">
        <x:v>PARTIAL_MODEL_OR_NOT_PROVIDED</x:v>
      </x:c>
      <x:c r="S6257" s="30"/>
      <x:c r="T6257" s="30"/>
      <x:c r="U6257" s="30" t="str">
        <x:v>Локальные рукописные решения использованы только как вторичный аудируемый источник.</x:v>
      </x:c>
      <x:c r="V6257" s="87" t="str">
        <x:v>VERIFIED</x:v>
      </x:c>
      <x:c r="W6257" s="87"/>
      <x:c r="X6257" s="87" t="n">
        <x:v>6</x:v>
      </x:c>
      <x:c r="Y6257" s="87"/>
      <x:c r="Z6257" s="87"/>
      <x:c r="AA6257" s="87"/>
      <x:c r="AB6257" s="87"/>
      <x:c r="AC6257" s="87" t="str">
        <x:v>VIS-EGKR-MATHP-S26-TASK-959-P006</x:v>
      </x:c>
      <x:c r="AD6257" s="87"/>
      <x:c r="AE6257" s="87" t="str">
        <x:v>TASK</x:v>
      </x:c>
      <x:c r="AF6257" s="87" t="str">
        <x:v>VIS-EGKR-MATHP-S26-TASK-959-P006: 6</x:v>
      </x:c>
      <x:c r="AG6257" s="87" t="str">
        <x:v>RESOLVED</x:v>
      </x:c>
      <x:c r="AH6257" s="87" t="str">
        <x:v>CROP_VERIFIED</x:v>
      </x:c>
      <x:c r="AI6257" s="30"/>
      <x:c r="AJ6257" s="87" t="str">
        <x:v>clean</x:v>
      </x:c>
      <x:c r="AK6257" s="87" t="str">
        <x:v>clean-v0.22</x:v>
      </x:c>
      <x:c r="AL6257" s="87" t="str">
        <x:v>statgrad_clean_continuation_v0_22(1).xlsx</x:v>
      </x:c>
      <x:c r="AM6257" s="87" t="str">
        <x:v>MATHP_S26_959</x:v>
      </x:c>
      <x:c r="AN6257" s="87" t="n">
        <x:v>17</x:v>
      </x:c>
    </x:row>
    <x:row r="6258">
      <x:c r="A6258" s="87" t="n">
        <x:v>6257</x:v>
      </x:c>
      <x:c r="B6258" s="87" t="str">
        <x:v>EGKR-S26-MATHP-959-17</x:v>
      </x:c>
      <x:c r="C6258" s="87" t="str">
        <x:v>ЕГКР</x:v>
      </x:c>
      <x:c r="D6258" s="87"/>
      <x:c r="E6258" s="87" t="str">
        <x:v>Весна 2026</x:v>
      </x:c>
      <x:c r="F6258" s="87" t="str">
        <x:v>07.04.2026</x:v>
      </x:c>
      <x:c r="G6258" s="87" t="str">
        <x:v>Математика (профиль)</x:v>
      </x:c>
      <x:c r="H6258" s="87" t="n">
        <x:v>11</x:v>
      </x:c>
      <x:c r="I6258" s="87"/>
      <x:c r="J6258" s="87" t="str">
        <x:v>959</x:v>
      </x:c>
      <x:c r="K6258" s="87" t="n">
        <x:v>17</x:v>
      </x:c>
      <x:c r="L6258" s="87" t="str">
        <x:v>Развёрнутый ответ</x:v>
      </x:c>
      <x:c r="M6258" s="30" t="str">
        <x:v>Окружность пересекает стороны прямоугольного треугольника; доказать подобие и найти площадь CKMB при R=2√5, AC=12, BC=4.</x:v>
      </x:c>
      <x:c r="N6258" s="30" t="str">
        <x:v>По равенству вписанных углов △AKM∼△ABC. Затем CK=√((2R)²−BC²), AK=AC−CK, AB²=AC²+BC², а S_CKMB=(AC·BC/2)·(1−AK²/AB²). Ответ: 108/5.</x:v>
      </x:c>
      <x:c r="O6258" s="30" t="str">
        <x:v>Модель содержит ключевую идею, преобразования и итог.</x:v>
      </x:c>
      <x:c r="P6258" s="30"/>
      <x:c r="Q6258" s="30" t="str">
        <x:v>Независимое решение; для варианта 959 дополнительно сверено с полным опубликованным разбором.</x:v>
      </x:c>
      <x:c r="R6258" s="30" t="str">
        <x:v>PARTIAL_MODEL_OR_NOT_PROVIDED</x:v>
      </x:c>
      <x:c r="S6258" s="30"/>
      <x:c r="T6258" s="30"/>
      <x:c r="U6258" s="30" t="str">
        <x:v>Локальные рукописные решения использованы только как вторичный аудируемый источник.</x:v>
      </x:c>
      <x:c r="V6258" s="87" t="str">
        <x:v>VERIFIED</x:v>
      </x:c>
      <x:c r="W6258" s="87"/>
      <x:c r="X6258" s="87" t="n">
        <x:v>7</x:v>
      </x:c>
      <x:c r="Y6258" s="87"/>
      <x:c r="Z6258" s="87"/>
      <x:c r="AA6258" s="87"/>
      <x:c r="AB6258" s="87"/>
      <x:c r="AC6258" s="87" t="str">
        <x:v>VIS-EGKR-MATHP-S26-TASK-959-P007</x:v>
      </x:c>
      <x:c r="AD6258" s="87"/>
      <x:c r="AE6258" s="87" t="str">
        <x:v>TASK</x:v>
      </x:c>
      <x:c r="AF6258" s="87" t="str">
        <x:v>VIS-EGKR-MATHP-S26-TASK-959-P007: 7</x:v>
      </x:c>
      <x:c r="AG6258" s="87" t="str">
        <x:v>RESOLVED</x:v>
      </x:c>
      <x:c r="AH6258" s="87" t="str">
        <x:v>CROP_VERIFIED</x:v>
      </x:c>
      <x:c r="AI6258" s="30"/>
      <x:c r="AJ6258" s="87" t="str">
        <x:v>clean</x:v>
      </x:c>
      <x:c r="AK6258" s="87" t="str">
        <x:v>clean-v0.22</x:v>
      </x:c>
      <x:c r="AL6258" s="87" t="str">
        <x:v>statgrad_clean_continuation_v0_22(1).xlsx</x:v>
      </x:c>
      <x:c r="AM6258" s="87" t="str">
        <x:v>MATHP_S26_959</x:v>
      </x:c>
      <x:c r="AN6258" s="87" t="n">
        <x:v>18</x:v>
      </x:c>
    </x:row>
    <x:row r="6259">
      <x:c r="A6259" s="87" t="n">
        <x:v>6258</x:v>
      </x:c>
      <x:c r="B6259" s="87" t="str">
        <x:v>EGKR-S26-MATHP-959-18</x:v>
      </x:c>
      <x:c r="C6259" s="87" t="str">
        <x:v>ЕГКР</x:v>
      </x:c>
      <x:c r="D6259" s="87"/>
      <x:c r="E6259" s="87" t="str">
        <x:v>Весна 2026</x:v>
      </x:c>
      <x:c r="F6259" s="87" t="str">
        <x:v>07.04.2026</x:v>
      </x:c>
      <x:c r="G6259" s="87" t="str">
        <x:v>Математика (профиль)</x:v>
      </x:c>
      <x:c r="H6259" s="87" t="n">
        <x:v>11</x:v>
      </x:c>
      <x:c r="I6259" s="87"/>
      <x:c r="J6259" s="87" t="str">
        <x:v>959</x:v>
      </x:c>
      <x:c r="K6259" s="87" t="n">
        <x:v>18</x:v>
      </x:c>
      <x:c r="L6259" s="87" t="str">
        <x:v>Развёрнутый ответ</x:v>
      </x:c>
      <x:c r="M6259" s="30" t="str">
        <x:v>Найти параметры a, при которых заданное кубическое соотношение определяет функцию y=f(x) для всех действительных x.</x:v>
      </x:c>
      <x:c r="N6259" s="30" t="str">
        <x:v>Требуется взаимно-однозначная монотонность кубического многочлена по y. Исследование производной и условие неположительности её дискриминанта дают: a∈[3;9].</x:v>
      </x:c>
      <x:c r="O6259" s="30" t="str">
        <x:v>Модель содержит ключевую идею, преобразования и итог.</x:v>
      </x:c>
      <x:c r="P6259" s="30"/>
      <x:c r="Q6259" s="30" t="str">
        <x:v>Независимое решение; для варианта 959 дополнительно сверено с полным опубликованным разбором.</x:v>
      </x:c>
      <x:c r="R6259" s="30" t="str">
        <x:v>PARTIAL_MODEL_OR_NOT_PROVIDED</x:v>
      </x:c>
      <x:c r="S6259" s="30"/>
      <x:c r="T6259" s="30"/>
      <x:c r="U6259" s="30" t="str">
        <x:v>Локальные рукописные решения использованы только как вторичный аудируемый источник.</x:v>
      </x:c>
      <x:c r="V6259" s="87" t="str">
        <x:v>VERIFIED</x:v>
      </x:c>
      <x:c r="W6259" s="87"/>
      <x:c r="X6259" s="87" t="n">
        <x:v>7</x:v>
      </x:c>
      <x:c r="Y6259" s="87"/>
      <x:c r="Z6259" s="87"/>
      <x:c r="AA6259" s="87"/>
      <x:c r="AB6259" s="87"/>
      <x:c r="AC6259" s="87" t="str">
        <x:v>VIS-EGKR-MATHP-S26-TASK-959-P007</x:v>
      </x:c>
      <x:c r="AD6259" s="87"/>
      <x:c r="AE6259" s="87" t="str">
        <x:v>TASK</x:v>
      </x:c>
      <x:c r="AF6259" s="87" t="str">
        <x:v>VIS-EGKR-MATHP-S26-TASK-959-P007: 7</x:v>
      </x:c>
      <x:c r="AG6259" s="87" t="str">
        <x:v>RESOLVED</x:v>
      </x:c>
      <x:c r="AH6259" s="87" t="str">
        <x:v>CROP_VERIFIED</x:v>
      </x:c>
      <x:c r="AI6259" s="30"/>
      <x:c r="AJ6259" s="87" t="str">
        <x:v>clean</x:v>
      </x:c>
      <x:c r="AK6259" s="87" t="str">
        <x:v>clean-v0.22</x:v>
      </x:c>
      <x:c r="AL6259" s="87" t="str">
        <x:v>statgrad_clean_continuation_v0_22(1).xlsx</x:v>
      </x:c>
      <x:c r="AM6259" s="87" t="str">
        <x:v>MATHP_S26_959</x:v>
      </x:c>
      <x:c r="AN6259" s="87" t="n">
        <x:v>19</x:v>
      </x:c>
    </x:row>
    <x:row r="6260">
      <x:c r="A6260" s="87" t="n">
        <x:v>6259</x:v>
      </x:c>
      <x:c r="B6260" s="87" t="str">
        <x:v>EGKR-S26-MATHP-959-19</x:v>
      </x:c>
      <x:c r="C6260" s="87" t="str">
        <x:v>ЕГКР</x:v>
      </x:c>
      <x:c r="D6260" s="87"/>
      <x:c r="E6260" s="87" t="str">
        <x:v>Весна 2026</x:v>
      </x:c>
      <x:c r="F6260" s="87" t="str">
        <x:v>07.04.2026</x:v>
      </x:c>
      <x:c r="G6260" s="87" t="str">
        <x:v>Математика (профиль)</x:v>
      </x:c>
      <x:c r="H6260" s="87" t="n">
        <x:v>11</x:v>
      </x:c>
      <x:c r="I6260" s="87"/>
      <x:c r="J6260" s="87" t="str">
        <x:v>959</x:v>
      </x:c>
      <x:c r="K6260" s="87" t="n">
        <x:v>19</x:v>
      </x:c>
      <x:c r="L6260" s="87" t="str">
        <x:v>Развёрнутый ответ</x:v>
      </x:c>
      <x:c r="M6260" s="30" t="str">
        <x:v>Игра с произведениями различных натуральных чисел из диапазона 20–80 и чисел, увеличенных на единицу.</x:v>
      </x:c>
      <x:c r="N6260" s="30" t="str">
        <x:v>Отношение произведений равно ∏(aᵢ+1)/aᵢ. Телескопические наборы последовательных чисел реализуют допустимые целые множители, а верхняя оценка следует из крайних значений. Итоги: а) да, в 2 раза; б) нет, в 7 раз; в) максимум 4.</x:v>
      </x:c>
      <x:c r="O6260" s="30" t="str">
        <x:v>Модель содержит ключевую идею, преобразования и итог.</x:v>
      </x:c>
      <x:c r="P6260" s="30"/>
      <x:c r="Q6260" s="30" t="str">
        <x:v>Независимое решение; для варианта 959 дополнительно сверено с полным опубликованным разбором.</x:v>
      </x:c>
      <x:c r="R6260" s="30" t="str">
        <x:v>PARTIAL_MODEL_OR_NOT_PROVIDED</x:v>
      </x:c>
      <x:c r="S6260" s="30"/>
      <x:c r="T6260" s="30"/>
      <x:c r="U6260" s="30" t="str">
        <x:v>Локальные рукописные решения использованы только как вторичный аудируемый источник.</x:v>
      </x:c>
      <x:c r="V6260" s="87" t="str">
        <x:v>VERIFIED</x:v>
      </x:c>
      <x:c r="W6260" s="87"/>
      <x:c r="X6260" s="87" t="n">
        <x:v>7</x:v>
      </x:c>
      <x:c r="Y6260" s="87"/>
      <x:c r="Z6260" s="87"/>
      <x:c r="AA6260" s="87"/>
      <x:c r="AB6260" s="87"/>
      <x:c r="AC6260" s="87" t="str">
        <x:v>VIS-EGKR-MATHP-S26-TASK-959-P007</x:v>
      </x:c>
      <x:c r="AD6260" s="87"/>
      <x:c r="AE6260" s="87" t="str">
        <x:v>TASK</x:v>
      </x:c>
      <x:c r="AF6260" s="87" t="str">
        <x:v>VIS-EGKR-MATHP-S26-TASK-959-P007: 7</x:v>
      </x:c>
      <x:c r="AG6260" s="87" t="str">
        <x:v>RESOLVED</x:v>
      </x:c>
      <x:c r="AH6260" s="87" t="str">
        <x:v>CROP_VERIFIED</x:v>
      </x:c>
      <x:c r="AI6260" s="30"/>
      <x:c r="AJ6260" s="87" t="str">
        <x:v>clean</x:v>
      </x:c>
      <x:c r="AK6260" s="87" t="str">
        <x:v>clean-v0.22</x:v>
      </x:c>
      <x:c r="AL6260" s="87" t="str">
        <x:v>statgrad_clean_continuation_v0_22(1).xlsx</x:v>
      </x:c>
      <x:c r="AM6260" s="87" t="str">
        <x:v>MATHP_S26_959</x:v>
      </x:c>
      <x:c r="AN6260" s="87" t="n">
        <x:v>20</x:v>
      </x:c>
    </x:row>
    <x:row r="6261">
      <x:c r="A6261" s="87" t="n">
        <x:v>6260</x:v>
      </x:c>
      <x:c r="B6261" s="87" t="str">
        <x:v>EGKR-S26-MATHP-960-01</x:v>
      </x:c>
      <x:c r="C6261" s="87" t="str">
        <x:v>ЕГКР</x:v>
      </x:c>
      <x:c r="D6261" s="87"/>
      <x:c r="E6261" s="87" t="str">
        <x:v>Весна 2026</x:v>
      </x:c>
      <x:c r="F6261" s="87" t="str">
        <x:v>07.04.2026</x:v>
      </x:c>
      <x:c r="G6261" s="87" t="str">
        <x:v>Математика (профиль)</x:v>
      </x:c>
      <x:c r="H6261" s="87" t="n">
        <x:v>11</x:v>
      </x:c>
      <x:c r="I6261" s="87"/>
      <x:c r="J6261" s="87" t="str">
        <x:v>960</x:v>
      </x:c>
      <x:c r="K6261" s="87" t="n">
        <x:v>1</x:v>
      </x:c>
      <x:c r="L6261" s="87" t="str">
        <x:v>Планиметрия: угол</x:v>
      </x:c>
      <x:c r="M6261" s="30" t="str">
        <x:v>Из точки A к окружности проведены касательная AM и секущая AC через центр; ∠MAC=38°. Найти ∠ACM.</x:v>
      </x:c>
      <x:c r="N6261" s="30" t="str">
        <x:v>26</x:v>
      </x:c>
      <x:c r="O6261" s="30" t="str">
        <x:v>Использованы свойства углов в заданной конфигурации; искомый угол равен половине дополнения данного угла до 90°.</x:v>
      </x:c>
      <x:c r="P6261" s="30"/>
      <x:c r="Q6261" s="30" t="str">
        <x:v>Независимый расчёт и визуальная сверка исходной страницы.</x:v>
      </x:c>
      <x:c r="R6261" s="30" t="str">
        <x:v>26</x:v>
      </x:c>
      <x:c r="S6261" s="30"/>
      <x:c r="T6261" s="30"/>
      <x:c r="U6261" s="30" t="str">
        <x:v>Ответник совпадает с независимой проверкой.</x:v>
      </x:c>
      <x:c r="V6261" s="87" t="str">
        <x:v>VERIFIED</x:v>
      </x:c>
      <x:c r="W6261" s="87"/>
      <x:c r="X6261" s="87" t="n">
        <x:v>2</x:v>
      </x:c>
      <x:c r="Y6261" s="87"/>
      <x:c r="Z6261" s="87"/>
      <x:c r="AA6261" s="87"/>
      <x:c r="AB6261" s="87"/>
      <x:c r="AC6261" s="87" t="str">
        <x:v>VIS-EGKR-MATHP-S26-TASK-960-P002</x:v>
      </x:c>
      <x:c r="AD6261" s="87" t="str">
        <x:v>VIS-EGKR-MATHP-S26-ANSWERDOC-P008</x:v>
      </x:c>
      <x:c r="AE6261" s="87" t="str">
        <x:v>TASK; SECONDARY_ANSWER_AND_SOLUTION_SOURCE</x:v>
      </x:c>
      <x:c r="AF6261" s="87" t="str">
        <x:v>VIS-EGKR-MATHP-S26-TASK-960-P002: 2; VIS-EGKR-MATHP-S26-ANSWERDOC-P008: 8</x:v>
      </x:c>
      <x:c r="AG6261" s="87" t="str">
        <x:v>RESOLVED</x:v>
      </x:c>
      <x:c r="AH6261" s="87" t="str">
        <x:v>CROP_VERIFIED</x:v>
      </x:c>
      <x:c r="AI6261" s="30"/>
      <x:c r="AJ6261" s="87" t="str">
        <x:v>clean</x:v>
      </x:c>
      <x:c r="AK6261" s="87" t="str">
        <x:v>clean-v0.22</x:v>
      </x:c>
      <x:c r="AL6261" s="87" t="str">
        <x:v>statgrad_clean_continuation_v0_22(1).xlsx</x:v>
      </x:c>
      <x:c r="AM6261" s="87" t="str">
        <x:v>MATHP_S26_960</x:v>
      </x:c>
      <x:c r="AN6261" s="87" t="n">
        <x:v>2</x:v>
      </x:c>
    </x:row>
    <x:row r="6262">
      <x:c r="A6262" s="87" t="n">
        <x:v>6261</x:v>
      </x:c>
      <x:c r="B6262" s="87" t="str">
        <x:v>EGKR-S26-MATHP-960-02</x:v>
      </x:c>
      <x:c r="C6262" s="87" t="str">
        <x:v>ЕГКР</x:v>
      </x:c>
      <x:c r="D6262" s="87"/>
      <x:c r="E6262" s="87" t="str">
        <x:v>Весна 2026</x:v>
      </x:c>
      <x:c r="F6262" s="87" t="str">
        <x:v>07.04.2026</x:v>
      </x:c>
      <x:c r="G6262" s="87" t="str">
        <x:v>Математика (профиль)</x:v>
      </x:c>
      <x:c r="H6262" s="87" t="n">
        <x:v>11</x:v>
      </x:c>
      <x:c r="I6262" s="87"/>
      <x:c r="J6262" s="87" t="str">
        <x:v>960</x:v>
      </x:c>
      <x:c r="K6262" s="87" t="n">
        <x:v>2</x:v>
      </x:c>
      <x:c r="L6262" s="87" t="str">
        <x:v>Векторы</x:v>
      </x:c>
      <x:c r="M6262" s="30" t="str">
        <x:v>Даны a=(−3;5), b=(2;−1), c=(0;8). Найти длину вектора a+b−½c.</x:v>
      </x:c>
      <x:c r="N6262" s="30" t="str">
        <x:v>1</x:v>
      </x:c>
      <x:c r="O6262" s="30" t="str">
        <x:v>Выполнены операции над координатами векторов и вычислена длина результирующего вектора.</x:v>
      </x:c>
      <x:c r="P6262" s="30"/>
      <x:c r="Q6262" s="30" t="str">
        <x:v>Независимый расчёт и визуальная сверка исходной страницы.</x:v>
      </x:c>
      <x:c r="R6262" s="30" t="str">
        <x:v>1</x:v>
      </x:c>
      <x:c r="S6262" s="30"/>
      <x:c r="T6262" s="30"/>
      <x:c r="U6262" s="30" t="str">
        <x:v>Ответник совпадает с независимой проверкой.</x:v>
      </x:c>
      <x:c r="V6262" s="87" t="str">
        <x:v>VERIFIED</x:v>
      </x:c>
      <x:c r="W6262" s="87"/>
      <x:c r="X6262" s="87" t="n">
        <x:v>2</x:v>
      </x:c>
      <x:c r="Y6262" s="87"/>
      <x:c r="Z6262" s="87"/>
      <x:c r="AA6262" s="87"/>
      <x:c r="AB6262" s="87"/>
      <x:c r="AC6262" s="87" t="str">
        <x:v>VIS-EGKR-MATHP-S26-TASK-960-P002</x:v>
      </x:c>
      <x:c r="AD6262" s="87" t="str">
        <x:v>VIS-EGKR-MATHP-S26-ANSWERDOC-P008</x:v>
      </x:c>
      <x:c r="AE6262" s="87" t="str">
        <x:v>TASK; SECONDARY_ANSWER_AND_SOLUTION_SOURCE</x:v>
      </x:c>
      <x:c r="AF6262" s="87" t="str">
        <x:v>VIS-EGKR-MATHP-S26-TASK-960-P002: 2; VIS-EGKR-MATHP-S26-ANSWERDOC-P008: 8</x:v>
      </x:c>
      <x:c r="AG6262" s="87" t="str">
        <x:v>RESOLVED</x:v>
      </x:c>
      <x:c r="AH6262" s="87" t="str">
        <x:v>CROP_VERIFIED</x:v>
      </x:c>
      <x:c r="AI6262" s="30"/>
      <x:c r="AJ6262" s="87" t="str">
        <x:v>clean</x:v>
      </x:c>
      <x:c r="AK6262" s="87" t="str">
        <x:v>clean-v0.22</x:v>
      </x:c>
      <x:c r="AL6262" s="87" t="str">
        <x:v>statgrad_clean_continuation_v0_22(1).xlsx</x:v>
      </x:c>
      <x:c r="AM6262" s="87" t="str">
        <x:v>MATHP_S26_960</x:v>
      </x:c>
      <x:c r="AN6262" s="87" t="n">
        <x:v>3</x:v>
      </x:c>
    </x:row>
    <x:row r="6263">
      <x:c r="A6263" s="87" t="n">
        <x:v>6262</x:v>
      </x:c>
      <x:c r="B6263" s="87" t="str">
        <x:v>EGKR-S26-MATHP-960-03</x:v>
      </x:c>
      <x:c r="C6263" s="87" t="str">
        <x:v>ЕГКР</x:v>
      </x:c>
      <x:c r="D6263" s="87"/>
      <x:c r="E6263" s="87" t="str">
        <x:v>Весна 2026</x:v>
      </x:c>
      <x:c r="F6263" s="87" t="str">
        <x:v>07.04.2026</x:v>
      </x:c>
      <x:c r="G6263" s="87" t="str">
        <x:v>Математика (профиль)</x:v>
      </x:c>
      <x:c r="H6263" s="87" t="n">
        <x:v>11</x:v>
      </x:c>
      <x:c r="I6263" s="87"/>
      <x:c r="J6263" s="87" t="str">
        <x:v>960</x:v>
      </x:c>
      <x:c r="K6263" s="87" t="n">
        <x:v>3</x:v>
      </x:c>
      <x:c r="L6263" s="87" t="str">
        <x:v>Объём многогранника</x:v>
      </x:c>
      <x:c r="M6263" s="30" t="str">
        <x:v>Объём прямоугольного параллелепипеда равен 9,6. Найти объём указанной треугольной пирамиды.</x:v>
      </x:c>
      <x:c r="N6263" s="30" t="str">
        <x:v>3,2</x:v>
      </x:c>
      <x:c r="O6263" s="30" t="str">
        <x:v>Объём тетраэдра с соответствующими вершинами составляет треть объёма прямоугольного параллелепипеда.</x:v>
      </x:c>
      <x:c r="P6263" s="30"/>
      <x:c r="Q6263" s="30" t="str">
        <x:v>Независимый расчёт и визуальная сверка исходной страницы.</x:v>
      </x:c>
      <x:c r="R6263" s="30" t="str">
        <x:v>3,2</x:v>
      </x:c>
      <x:c r="S6263" s="30"/>
      <x:c r="T6263" s="30"/>
      <x:c r="U6263" s="30" t="str">
        <x:v>Ответник совпадает с независимой проверкой.</x:v>
      </x:c>
      <x:c r="V6263" s="87" t="str">
        <x:v>VERIFIED</x:v>
      </x:c>
      <x:c r="W6263" s="87"/>
      <x:c r="X6263" s="87" t="n">
        <x:v>2</x:v>
      </x:c>
      <x:c r="Y6263" s="87"/>
      <x:c r="Z6263" s="87"/>
      <x:c r="AA6263" s="87"/>
      <x:c r="AB6263" s="87"/>
      <x:c r="AC6263" s="87" t="str">
        <x:v>VIS-EGKR-MATHP-S26-TASK-960-P002</x:v>
      </x:c>
      <x:c r="AD6263" s="87" t="str">
        <x:v>VIS-EGKR-MATHP-S26-ANSWERDOC-P008</x:v>
      </x:c>
      <x:c r="AE6263" s="87" t="str">
        <x:v>TASK; SECONDARY_ANSWER_AND_SOLUTION_SOURCE</x:v>
      </x:c>
      <x:c r="AF6263" s="87" t="str">
        <x:v>VIS-EGKR-MATHP-S26-TASK-960-P002: 2; VIS-EGKR-MATHP-S26-ANSWERDOC-P008: 8</x:v>
      </x:c>
      <x:c r="AG6263" s="87" t="str">
        <x:v>RESOLVED</x:v>
      </x:c>
      <x:c r="AH6263" s="87" t="str">
        <x:v>CROP_VERIFIED</x:v>
      </x:c>
      <x:c r="AI6263" s="30"/>
      <x:c r="AJ6263" s="87" t="str">
        <x:v>clean</x:v>
      </x:c>
      <x:c r="AK6263" s="87" t="str">
        <x:v>clean-v0.22</x:v>
      </x:c>
      <x:c r="AL6263" s="87" t="str">
        <x:v>statgrad_clean_continuation_v0_22(1).xlsx</x:v>
      </x:c>
      <x:c r="AM6263" s="87" t="str">
        <x:v>MATHP_S26_960</x:v>
      </x:c>
      <x:c r="AN6263" s="87" t="n">
        <x:v>4</x:v>
      </x:c>
    </x:row>
    <x:row r="6264">
      <x:c r="A6264" s="87" t="n">
        <x:v>6263</x:v>
      </x:c>
      <x:c r="B6264" s="87" t="str">
        <x:v>EGKR-S26-MATHP-960-04</x:v>
      </x:c>
      <x:c r="C6264" s="87" t="str">
        <x:v>ЕГКР</x:v>
      </x:c>
      <x:c r="D6264" s="87"/>
      <x:c r="E6264" s="87" t="str">
        <x:v>Весна 2026</x:v>
      </x:c>
      <x:c r="F6264" s="87" t="str">
        <x:v>07.04.2026</x:v>
      </x:c>
      <x:c r="G6264" s="87" t="str">
        <x:v>Математика (профиль)</x:v>
      </x:c>
      <x:c r="H6264" s="87" t="n">
        <x:v>11</x:v>
      </x:c>
      <x:c r="I6264" s="87"/>
      <x:c r="J6264" s="87" t="str">
        <x:v>960</x:v>
      </x:c>
      <x:c r="K6264" s="87" t="n">
        <x:v>4</x:v>
      </x:c>
      <x:c r="L6264" s="87" t="str">
        <x:v>Вероятность</x:v>
      </x:c>
      <x:c r="M6264" s="30" t="str">
        <x:v>В игре «Морской бой» на клетчатом поле 10×10 размещают четыре однопалубных корабля (одна клетка), три двухпалубных, два трёхпалубных и один четырёхпалубный. Первый игрок делает «выстрел» по случайной клетке. Какова вероятность того, что он не попадет ни в один из кораблей?</x:v>
      </x:c>
      <x:c r="N6264" s="30" t="str">
        <x:v>0,8</x:v>
      </x:c>
      <x:c r="O6264" s="30" t="str">
        <x:v>Вероятность равна отношению числа клеток, занятых указанными кораблями, к 100.</x:v>
      </x:c>
      <x:c r="P6264" s="30"/>
      <x:c r="Q6264" s="30" t="str">
        <x:v>Независимый расчёт и визуальная сверка исходной страницы.</x:v>
      </x:c>
      <x:c r="R6264" s="30" t="str">
        <x:v>0,8</x:v>
      </x:c>
      <x:c r="S6264" s="30"/>
      <x:c r="T6264" s="30"/>
      <x:c r="U6264" s="30" t="str">
        <x:v>Ответник совпадает с независимой проверкой.</x:v>
      </x:c>
      <x:c r="V6264" s="87" t="str">
        <x:v>VERIFIED</x:v>
      </x:c>
      <x:c r="W6264" s="87"/>
      <x:c r="X6264" s="87" t="n">
        <x:v>2</x:v>
      </x:c>
      <x:c r="Y6264" s="87"/>
      <x:c r="Z6264" s="87"/>
      <x:c r="AA6264" s="87"/>
      <x:c r="AB6264" s="87"/>
      <x:c r="AC6264" s="87" t="str">
        <x:v>VIS-EGKR-MATHP-S26-TASK-960-P002</x:v>
      </x:c>
      <x:c r="AD6264" s="87" t="str">
        <x:v>VIS-EGKR-MATHP-S26-ANSWERDOC-P008</x:v>
      </x:c>
      <x:c r="AE6264" s="87" t="str">
        <x:v>TASK; SECONDARY_ANSWER_AND_SOLUTION_SOURCE</x:v>
      </x:c>
      <x:c r="AF6264" s="87" t="str">
        <x:v>VIS-EGKR-MATHP-S26-TASK-960-P002: 2; VIS-EGKR-MATHP-S26-ANSWERDOC-P008: 8</x:v>
      </x:c>
      <x:c r="AG6264" s="87" t="str">
        <x:v>RESOLVED</x:v>
      </x:c>
      <x:c r="AH6264" s="87" t="str">
        <x:v>CROP_VERIFIED</x:v>
      </x:c>
      <x:c r="AI6264" s="30"/>
      <x:c r="AJ6264" s="87" t="str">
        <x:v>clean</x:v>
      </x:c>
      <x:c r="AK6264" s="87" t="str">
        <x:v>clean-v0.22</x:v>
      </x:c>
      <x:c r="AL6264" s="87" t="str">
        <x:v>statgrad_clean_continuation_v0_22(1).xlsx</x:v>
      </x:c>
      <x:c r="AM6264" s="87" t="str">
        <x:v>MATHP_S26_960</x:v>
      </x:c>
      <x:c r="AN6264" s="87" t="n">
        <x:v>5</x:v>
      </x:c>
    </x:row>
    <x:row r="6265">
      <x:c r="A6265" s="87" t="n">
        <x:v>6264</x:v>
      </x:c>
      <x:c r="B6265" s="87" t="str">
        <x:v>EGKR-S26-MATHP-960-05</x:v>
      </x:c>
      <x:c r="C6265" s="87" t="str">
        <x:v>ЕГКР</x:v>
      </x:c>
      <x:c r="D6265" s="87"/>
      <x:c r="E6265" s="87" t="str">
        <x:v>Весна 2026</x:v>
      </x:c>
      <x:c r="F6265" s="87" t="str">
        <x:v>07.04.2026</x:v>
      </x:c>
      <x:c r="G6265" s="87" t="str">
        <x:v>Математика (профиль)</x:v>
      </x:c>
      <x:c r="H6265" s="87" t="n">
        <x:v>11</x:v>
      </x:c>
      <x:c r="I6265" s="87"/>
      <x:c r="J6265" s="87" t="str">
        <x:v>960</x:v>
      </x:c>
      <x:c r="K6265" s="87" t="n">
        <x:v>5</x:v>
      </x:c>
      <x:c r="L6265" s="87" t="str">
        <x:v>Вероятность срабатывания датчиков</x:v>
      </x:c>
      <x:c r="M6265" s="30" t="str">
        <x:v>Зал выдачи наличных денежных средств банкоматами банка оснащён двумя типами датчиков безопасности: движения и лучевым. В случае несанкционированного проникновения в зал первый датчик срабатывает с вероятностью 0,95, а второй — с вероятностью 0,94. Какова вероятность срабатывания только одного из датчиков в случае несанкционированного проникновения в зал выдачи наличных денежных средств банкоматами банка?</x:v>
      </x:c>
      <x:c r="N6265" s="30" t="str">
        <x:v>0,104</x:v>
      </x:c>
      <x:c r="O6265" s="30" t="str">
        <x:v>Вероятность ровно одного срабатывания: p(1−q)+(1−p)q.</x:v>
      </x:c>
      <x:c r="P6265" s="30"/>
      <x:c r="Q6265" s="30" t="str">
        <x:v>Независимый расчёт и визуальная сверка исходной страницы.</x:v>
      </x:c>
      <x:c r="R6265" s="30" t="str">
        <x:v>0,104</x:v>
      </x:c>
      <x:c r="S6265" s="30"/>
      <x:c r="T6265" s="30"/>
      <x:c r="U6265" s="30" t="str">
        <x:v>Ответник совпадает с независимой проверкой.</x:v>
      </x:c>
      <x:c r="V6265" s="87" t="str">
        <x:v>VERIFIED</x:v>
      </x:c>
      <x:c r="W6265" s="87"/>
      <x:c r="X6265" s="87" t="n">
        <x:v>2</x:v>
      </x:c>
      <x:c r="Y6265" s="87"/>
      <x:c r="Z6265" s="87"/>
      <x:c r="AA6265" s="87"/>
      <x:c r="AB6265" s="87"/>
      <x:c r="AC6265" s="87" t="str">
        <x:v>VIS-EGKR-MATHP-S26-TASK-960-P002</x:v>
      </x:c>
      <x:c r="AD6265" s="87" t="str">
        <x:v>VIS-EGKR-MATHP-S26-ANSWERDOC-P008</x:v>
      </x:c>
      <x:c r="AE6265" s="87" t="str">
        <x:v>TASK; SECONDARY_ANSWER_AND_SOLUTION_SOURCE</x:v>
      </x:c>
      <x:c r="AF6265" s="87" t="str">
        <x:v>VIS-EGKR-MATHP-S26-TASK-960-P002: 2; VIS-EGKR-MATHP-S26-ANSWERDOC-P008: 8</x:v>
      </x:c>
      <x:c r="AG6265" s="87" t="str">
        <x:v>RESOLVED</x:v>
      </x:c>
      <x:c r="AH6265" s="87" t="str">
        <x:v>CROP_VERIFIED</x:v>
      </x:c>
      <x:c r="AI6265" s="30"/>
      <x:c r="AJ6265" s="87" t="str">
        <x:v>clean</x:v>
      </x:c>
      <x:c r="AK6265" s="87" t="str">
        <x:v>clean-v0.22</x:v>
      </x:c>
      <x:c r="AL6265" s="87" t="str">
        <x:v>statgrad_clean_continuation_v0_22(1).xlsx</x:v>
      </x:c>
      <x:c r="AM6265" s="87" t="str">
        <x:v>MATHP_S26_960</x:v>
      </x:c>
      <x:c r="AN6265" s="87" t="n">
        <x:v>6</x:v>
      </x:c>
    </x:row>
    <x:row r="6266">
      <x:c r="A6266" s="87" t="n">
        <x:v>6265</x:v>
      </x:c>
      <x:c r="B6266" s="87" t="str">
        <x:v>EGKR-S26-MATHP-960-06</x:v>
      </x:c>
      <x:c r="C6266" s="87" t="str">
        <x:v>ЕГКР</x:v>
      </x:c>
      <x:c r="D6266" s="87"/>
      <x:c r="E6266" s="87" t="str">
        <x:v>Весна 2026</x:v>
      </x:c>
      <x:c r="F6266" s="87" t="str">
        <x:v>07.04.2026</x:v>
      </x:c>
      <x:c r="G6266" s="87" t="str">
        <x:v>Математика (профиль)</x:v>
      </x:c>
      <x:c r="H6266" s="87" t="n">
        <x:v>11</x:v>
      </x:c>
      <x:c r="I6266" s="87"/>
      <x:c r="J6266" s="87" t="str">
        <x:v>960</x:v>
      </x:c>
      <x:c r="K6266" s="87" t="n">
        <x:v>6</x:v>
      </x:c>
      <x:c r="L6266" s="87" t="str">
        <x:v>Логарифмическое уравнение</x:v>
      </x:c>
      <x:c r="M6266" s="30" t="str">
        <x:v>Найдите корень уравнения log2(𝑥 + 2) = log2 𝑥 + 1.</x:v>
      </x:c>
      <x:c r="N6266" s="30" t="str">
        <x:v>2</x:v>
      </x:c>
      <x:c r="O6266" s="30" t="str">
        <x:v>После преобразования логарифмов получено линейное уравнение.</x:v>
      </x:c>
      <x:c r="P6266" s="30"/>
      <x:c r="Q6266" s="30" t="str">
        <x:v>Независимый расчёт и визуальная сверка исходной страницы.</x:v>
      </x:c>
      <x:c r="R6266" s="30" t="str">
        <x:v>2</x:v>
      </x:c>
      <x:c r="S6266" s="30"/>
      <x:c r="T6266" s="30"/>
      <x:c r="U6266" s="30" t="str">
        <x:v>Ответник совпадает с независимой проверкой.</x:v>
      </x:c>
      <x:c r="V6266" s="87" t="str">
        <x:v>VERIFIED</x:v>
      </x:c>
      <x:c r="W6266" s="87"/>
      <x:c r="X6266" s="87" t="n">
        <x:v>3</x:v>
      </x:c>
      <x:c r="Y6266" s="87"/>
      <x:c r="Z6266" s="87"/>
      <x:c r="AA6266" s="87"/>
      <x:c r="AB6266" s="87"/>
      <x:c r="AC6266" s="87" t="str">
        <x:v>VIS-EGKR-MATHP-S26-TASK-960-P003</x:v>
      </x:c>
      <x:c r="AD6266" s="87" t="str">
        <x:v>VIS-EGKR-MATHP-S26-ANSWERDOC-P008</x:v>
      </x:c>
      <x:c r="AE6266" s="87" t="str">
        <x:v>TASK; SECONDARY_ANSWER_AND_SOLUTION_SOURCE</x:v>
      </x:c>
      <x:c r="AF6266" s="87" t="str">
        <x:v>VIS-EGKR-MATHP-S26-TASK-960-P003: 3; VIS-EGKR-MATHP-S26-ANSWERDOC-P008: 8</x:v>
      </x:c>
      <x:c r="AG6266" s="87" t="str">
        <x:v>RESOLVED</x:v>
      </x:c>
      <x:c r="AH6266" s="87" t="str">
        <x:v>CROP_VERIFIED</x:v>
      </x:c>
      <x:c r="AI6266" s="30"/>
      <x:c r="AJ6266" s="87" t="str">
        <x:v>clean</x:v>
      </x:c>
      <x:c r="AK6266" s="87" t="str">
        <x:v>clean-v0.22</x:v>
      </x:c>
      <x:c r="AL6266" s="87" t="str">
        <x:v>statgrad_clean_continuation_v0_22(1).xlsx</x:v>
      </x:c>
      <x:c r="AM6266" s="87" t="str">
        <x:v>MATHP_S26_960</x:v>
      </x:c>
      <x:c r="AN6266" s="87" t="n">
        <x:v>7</x:v>
      </x:c>
    </x:row>
    <x:row r="6267">
      <x:c r="A6267" s="87" t="n">
        <x:v>6266</x:v>
      </x:c>
      <x:c r="B6267" s="87" t="str">
        <x:v>EGKR-S26-MATHP-960-07</x:v>
      </x:c>
      <x:c r="C6267" s="87" t="str">
        <x:v>ЕГКР</x:v>
      </x:c>
      <x:c r="D6267" s="87"/>
      <x:c r="E6267" s="87" t="str">
        <x:v>Весна 2026</x:v>
      </x:c>
      <x:c r="F6267" s="87" t="str">
        <x:v>07.04.2026</x:v>
      </x:c>
      <x:c r="G6267" s="87" t="str">
        <x:v>Математика (профиль)</x:v>
      </x:c>
      <x:c r="H6267" s="87" t="n">
        <x:v>11</x:v>
      </x:c>
      <x:c r="I6267" s="87"/>
      <x:c r="J6267" s="87" t="str">
        <x:v>960</x:v>
      </x:c>
      <x:c r="K6267" s="87" t="n">
        <x:v>7</x:v>
      </x:c>
      <x:c r="L6267" s="87" t="str">
        <x:v>Тригонометрическое выражение</x:v>
      </x:c>
      <x:c r="M6267" s="30" t="str">
        <x:v>7𝑐𝑜𝑠60 Найдите значение выраженияsin2 14+𝑐𝑜𝑠2</x:v>
      </x:c>
      <x:c r="N6267" s="30" t="str">
        <x:v>3,5</x:v>
      </x:c>
      <x:c r="O6267" s="30" t="str">
        <x:v>Знаменатель упрощён по основному тригонометрическому тождеству; cos60°=1/2.</x:v>
      </x:c>
      <x:c r="P6267" s="30"/>
      <x:c r="Q6267" s="30" t="str">
        <x:v>Независимый расчёт и визуальная сверка исходной страницы.</x:v>
      </x:c>
      <x:c r="R6267" s="30" t="str">
        <x:v>3,5</x:v>
      </x:c>
      <x:c r="S6267" s="30"/>
      <x:c r="T6267" s="30"/>
      <x:c r="U6267" s="30" t="str">
        <x:v>Ответник совпадает с независимой проверкой.</x:v>
      </x:c>
      <x:c r="V6267" s="87" t="str">
        <x:v>VERIFIED</x:v>
      </x:c>
      <x:c r="W6267" s="87"/>
      <x:c r="X6267" s="87" t="n">
        <x:v>3</x:v>
      </x:c>
      <x:c r="Y6267" s="87"/>
      <x:c r="Z6267" s="87"/>
      <x:c r="AA6267" s="87"/>
      <x:c r="AB6267" s="87"/>
      <x:c r="AC6267" s="87" t="str">
        <x:v>VIS-EGKR-MATHP-S26-TASK-960-P003</x:v>
      </x:c>
      <x:c r="AD6267" s="87" t="str">
        <x:v>VIS-EGKR-MATHP-S26-ANSWERDOC-P008</x:v>
      </x:c>
      <x:c r="AE6267" s="87" t="str">
        <x:v>TASK; SECONDARY_ANSWER_AND_SOLUTION_SOURCE</x:v>
      </x:c>
      <x:c r="AF6267" s="87" t="str">
        <x:v>VIS-EGKR-MATHP-S26-TASK-960-P003: 3; VIS-EGKR-MATHP-S26-ANSWERDOC-P008: 8</x:v>
      </x:c>
      <x:c r="AG6267" s="87" t="str">
        <x:v>RESOLVED</x:v>
      </x:c>
      <x:c r="AH6267" s="87" t="str">
        <x:v>CROP_VERIFIED</x:v>
      </x:c>
      <x:c r="AI6267" s="30"/>
      <x:c r="AJ6267" s="87" t="str">
        <x:v>clean</x:v>
      </x:c>
      <x:c r="AK6267" s="87" t="str">
        <x:v>clean-v0.22</x:v>
      </x:c>
      <x:c r="AL6267" s="87" t="str">
        <x:v>statgrad_clean_continuation_v0_22(1).xlsx</x:v>
      </x:c>
      <x:c r="AM6267" s="87" t="str">
        <x:v>MATHP_S26_960</x:v>
      </x:c>
      <x:c r="AN6267" s="87" t="n">
        <x:v>8</x:v>
      </x:c>
    </x:row>
    <x:row r="6268">
      <x:c r="A6268" s="87" t="n">
        <x:v>6267</x:v>
      </x:c>
      <x:c r="B6268" s="87" t="str">
        <x:v>EGKR-S26-MATHP-960-08</x:v>
      </x:c>
      <x:c r="C6268" s="87" t="str">
        <x:v>ЕГКР</x:v>
      </x:c>
      <x:c r="D6268" s="87"/>
      <x:c r="E6268" s="87" t="str">
        <x:v>Весна 2026</x:v>
      </x:c>
      <x:c r="F6268" s="87" t="str">
        <x:v>07.04.2026</x:v>
      </x:c>
      <x:c r="G6268" s="87" t="str">
        <x:v>Математика (профиль)</x:v>
      </x:c>
      <x:c r="H6268" s="87" t="n">
        <x:v>11</x:v>
      </x:c>
      <x:c r="I6268" s="87"/>
      <x:c r="J6268" s="87" t="str">
        <x:v>960</x:v>
      </x:c>
      <x:c r="K6268" s="87" t="n">
        <x:v>8</x:v>
      </x:c>
      <x:c r="L6268" s="87" t="str">
        <x:v>Производная и возрастание</x:v>
      </x:c>
      <x:c r="M6268" s="30" t="str">
        <x:v>По графику y=f′(x) на интервале (−8;3) найти сумму целых точек промежутков возрастания функции f.</x:v>
      </x:c>
      <x:c r="N6268" s="30" t="str">
        <x:v>-15</x:v>
      </x:c>
      <x:c r="O6268" s="30" t="str">
        <x:v>Функция возрастает там, где f′(x)&gt;0; сложены все целые точки внутри положительных промежутков.</x:v>
      </x:c>
      <x:c r="P6268" s="30"/>
      <x:c r="Q6268" s="30" t="str">
        <x:v>Независимый расчёт и визуальная сверка исходной страницы.</x:v>
      </x:c>
      <x:c r="R6268" s="30" t="str">
        <x:v>8</x:v>
      </x:c>
      <x:c r="S6268" s="30"/>
      <x:c r="T6268" s="30"/>
      <x:c r="U6268" s="30" t="str">
        <x:v>Ответник: 8; независимый ответ: -15.</x:v>
      </x:c>
      <x:c r="V6268" s="87" t="str">
        <x:v>KEY_MISMATCH</x:v>
      </x:c>
      <x:c r="W6268" s="87"/>
      <x:c r="X6268" s="87" t="n">
        <x:v>3</x:v>
      </x:c>
      <x:c r="Y6268" s="87"/>
      <x:c r="Z6268" s="87"/>
      <x:c r="AA6268" s="87"/>
      <x:c r="AB6268" s="87"/>
      <x:c r="AC6268" s="87" t="str">
        <x:v>VIS-EGKR-MATHP-S26-TASK-960-P003</x:v>
      </x:c>
      <x:c r="AD6268" s="87" t="str">
        <x:v>VIS-EGKR-MATHP-S26-ANSWERDOC-P008</x:v>
      </x:c>
      <x:c r="AE6268" s="87" t="str">
        <x:v>TASK; SECONDARY_ANSWER_AND_SOLUTION_SOURCE</x:v>
      </x:c>
      <x:c r="AF6268" s="87" t="str">
        <x:v>VIS-EGKR-MATHP-S26-TASK-960-P003: 3; VIS-EGKR-MATHP-S26-ANSWERDOC-P008: 8</x:v>
      </x:c>
      <x:c r="AG6268" s="87" t="str">
        <x:v>RESOLVED</x:v>
      </x:c>
      <x:c r="AH6268" s="87" t="str">
        <x:v>CROP_VERIFIED</x:v>
      </x:c>
      <x:c r="AI6268" s="30"/>
      <x:c r="AJ6268" s="87" t="str">
        <x:v>clean</x:v>
      </x:c>
      <x:c r="AK6268" s="87" t="str">
        <x:v>clean-v0.22</x:v>
      </x:c>
      <x:c r="AL6268" s="87" t="str">
        <x:v>statgrad_clean_continuation_v0_22(1).xlsx</x:v>
      </x:c>
      <x:c r="AM6268" s="87" t="str">
        <x:v>MATHP_S26_960</x:v>
      </x:c>
      <x:c r="AN6268" s="87" t="n">
        <x:v>9</x:v>
      </x:c>
    </x:row>
    <x:row r="6269">
      <x:c r="A6269" s="87" t="n">
        <x:v>6268</x:v>
      </x:c>
      <x:c r="B6269" s="87" t="str">
        <x:v>EGKR-S26-MATHP-960-09</x:v>
      </x:c>
      <x:c r="C6269" s="87" t="str">
        <x:v>ЕГКР</x:v>
      </x:c>
      <x:c r="D6269" s="87"/>
      <x:c r="E6269" s="87" t="str">
        <x:v>Весна 2026</x:v>
      </x:c>
      <x:c r="F6269" s="87" t="str">
        <x:v>07.04.2026</x:v>
      </x:c>
      <x:c r="G6269" s="87" t="str">
        <x:v>Математика (профиль)</x:v>
      </x:c>
      <x:c r="H6269" s="87" t="n">
        <x:v>11</x:v>
      </x:c>
      <x:c r="I6269" s="87"/>
      <x:c r="J6269" s="87" t="str">
        <x:v>960</x:v>
      </x:c>
      <x:c r="K6269" s="87" t="n">
        <x:v>9</x:v>
      </x:c>
      <x:c r="L6269" s="87" t="str">
        <x:v>Радиоактивный распад</x:v>
      </x:c>
      <x:c r="M6269" s="30" t="str">
        <x:v>В ходе распада радиоактивного изотопа его масса уменьшается по закону 𝑚 = 𝑚0·2−𝑇𝑡, где 𝑚0 — начальная масса изотопа, 𝑡 — время, прошедшее от начального момента, 𝑇 — период полураспада. В начальный момент времени масса изотопа 132 мг. Период его полураспада составляет 5 минут. Найдите, через сколько минут масса изотопа будет равна 33 мг.</x:v>
      </x:c>
      <x:c r="N6269" s="30" t="str">
        <x:v>10</x:v>
      </x:c>
      <x:c r="O6269" s="30" t="str">
        <x:v>Использован закон полураспада и число прошедших периодов.</x:v>
      </x:c>
      <x:c r="P6269" s="30"/>
      <x:c r="Q6269" s="30" t="str">
        <x:v>Независимый расчёт и визуальная сверка исходной страницы.</x:v>
      </x:c>
      <x:c r="R6269" s="30" t="str">
        <x:v>10</x:v>
      </x:c>
      <x:c r="S6269" s="30"/>
      <x:c r="T6269" s="30"/>
      <x:c r="U6269" s="30" t="str">
        <x:v>Ответник совпадает с независимой проверкой.</x:v>
      </x:c>
      <x:c r="V6269" s="87" t="str">
        <x:v>VERIFIED</x:v>
      </x:c>
      <x:c r="W6269" s="87"/>
      <x:c r="X6269" s="87" t="n">
        <x:v>3</x:v>
      </x:c>
      <x:c r="Y6269" s="87"/>
      <x:c r="Z6269" s="87"/>
      <x:c r="AA6269" s="87"/>
      <x:c r="AB6269" s="87"/>
      <x:c r="AC6269" s="87" t="str">
        <x:v>VIS-EGKR-MATHP-S26-TASK-960-P003</x:v>
      </x:c>
      <x:c r="AD6269" s="87" t="str">
        <x:v>VIS-EGKR-MATHP-S26-ANSWERDOC-P008</x:v>
      </x:c>
      <x:c r="AE6269" s="87" t="str">
        <x:v>TASK; SECONDARY_ANSWER_AND_SOLUTION_SOURCE</x:v>
      </x:c>
      <x:c r="AF6269" s="87" t="str">
        <x:v>VIS-EGKR-MATHP-S26-TASK-960-P003: 3; VIS-EGKR-MATHP-S26-ANSWERDOC-P008: 8</x:v>
      </x:c>
      <x:c r="AG6269" s="87" t="str">
        <x:v>RESOLVED</x:v>
      </x:c>
      <x:c r="AH6269" s="87" t="str">
        <x:v>CROP_VERIFIED</x:v>
      </x:c>
      <x:c r="AI6269" s="30"/>
      <x:c r="AJ6269" s="87" t="str">
        <x:v>clean</x:v>
      </x:c>
      <x:c r="AK6269" s="87" t="str">
        <x:v>clean-v0.22</x:v>
      </x:c>
      <x:c r="AL6269" s="87" t="str">
        <x:v>statgrad_clean_continuation_v0_22(1).xlsx</x:v>
      </x:c>
      <x:c r="AM6269" s="87" t="str">
        <x:v>MATHP_S26_960</x:v>
      </x:c>
      <x:c r="AN6269" s="87" t="n">
        <x:v>10</x:v>
      </x:c>
    </x:row>
    <x:row r="6270">
      <x:c r="A6270" s="87" t="n">
        <x:v>6269</x:v>
      </x:c>
      <x:c r="B6270" s="87" t="str">
        <x:v>EGKR-S26-MATHP-960-10</x:v>
      </x:c>
      <x:c r="C6270" s="87" t="str">
        <x:v>ЕГКР</x:v>
      </x:c>
      <x:c r="D6270" s="87"/>
      <x:c r="E6270" s="87" t="str">
        <x:v>Весна 2026</x:v>
      </x:c>
      <x:c r="F6270" s="87" t="str">
        <x:v>07.04.2026</x:v>
      </x:c>
      <x:c r="G6270" s="87" t="str">
        <x:v>Математика (профиль)</x:v>
      </x:c>
      <x:c r="H6270" s="87" t="n">
        <x:v>11</x:v>
      </x:c>
      <x:c r="I6270" s="87"/>
      <x:c r="J6270" s="87" t="str">
        <x:v>960</x:v>
      </x:c>
      <x:c r="K6270" s="87" t="n">
        <x:v>10</x:v>
      </x:c>
      <x:c r="L6270" s="87" t="str">
        <x:v>Смеси и концентрации</x:v>
      </x:c>
      <x:c r="M6270" s="30" t="str">
        <x:v>Смешали 6 кг 10%-го раствора кислоты и 3 кг 20%-го раствора той же кислоты, а затем добавили несколько кг воды. В результате получился 10%-й раствор кислоты. Сколько кг воды было добавлено?</x:v>
      </x:c>
      <x:c r="N6270" s="30" t="str">
        <x:v>3</x:v>
      </x:c>
      <x:c r="O6270" s="30" t="str">
        <x:v>Составлен баланс массы чистой кислоты до и после добавления воды.</x:v>
      </x:c>
      <x:c r="P6270" s="30"/>
      <x:c r="Q6270" s="30" t="str">
        <x:v>Независимый расчёт и визуальная сверка исходной страницы.</x:v>
      </x:c>
      <x:c r="R6270" s="30" t="str">
        <x:v>6</x:v>
      </x:c>
      <x:c r="S6270" s="30"/>
      <x:c r="T6270" s="30"/>
      <x:c r="U6270" s="30" t="str">
        <x:v>Ответник: 6; независимый ответ: 3.</x:v>
      </x:c>
      <x:c r="V6270" s="87" t="str">
        <x:v>KEY_MISMATCH</x:v>
      </x:c>
      <x:c r="W6270" s="87"/>
      <x:c r="X6270" s="87" t="n">
        <x:v>3</x:v>
      </x:c>
      <x:c r="Y6270" s="87"/>
      <x:c r="Z6270" s="87"/>
      <x:c r="AA6270" s="87"/>
      <x:c r="AB6270" s="87"/>
      <x:c r="AC6270" s="87" t="str">
        <x:v>VIS-EGKR-MATHP-S26-TASK-960-P003</x:v>
      </x:c>
      <x:c r="AD6270" s="87" t="str">
        <x:v>VIS-EGKR-MATHP-S26-ANSWERDOC-P008</x:v>
      </x:c>
      <x:c r="AE6270" s="87" t="str">
        <x:v>TASK; SECONDARY_ANSWER_AND_SOLUTION_SOURCE</x:v>
      </x:c>
      <x:c r="AF6270" s="87" t="str">
        <x:v>VIS-EGKR-MATHP-S26-TASK-960-P003: 3; VIS-EGKR-MATHP-S26-ANSWERDOC-P008: 8</x:v>
      </x:c>
      <x:c r="AG6270" s="87" t="str">
        <x:v>RESOLVED</x:v>
      </x:c>
      <x:c r="AH6270" s="87" t="str">
        <x:v>CROP_VERIFIED</x:v>
      </x:c>
      <x:c r="AI6270" s="30"/>
      <x:c r="AJ6270" s="87" t="str">
        <x:v>clean</x:v>
      </x:c>
      <x:c r="AK6270" s="87" t="str">
        <x:v>clean-v0.22</x:v>
      </x:c>
      <x:c r="AL6270" s="87" t="str">
        <x:v>statgrad_clean_continuation_v0_22(1).xlsx</x:v>
      </x:c>
      <x:c r="AM6270" s="87" t="str">
        <x:v>MATHP_S26_960</x:v>
      </x:c>
      <x:c r="AN6270" s="87" t="n">
        <x:v>11</x:v>
      </x:c>
    </x:row>
    <x:row r="6271">
      <x:c r="A6271" s="87" t="n">
        <x:v>6270</x:v>
      </x:c>
      <x:c r="B6271" s="87" t="str">
        <x:v>EGKR-S26-MATHP-960-11</x:v>
      </x:c>
      <x:c r="C6271" s="87" t="str">
        <x:v>ЕГКР</x:v>
      </x:c>
      <x:c r="D6271" s="87"/>
      <x:c r="E6271" s="87" t="str">
        <x:v>Весна 2026</x:v>
      </x:c>
      <x:c r="F6271" s="87" t="str">
        <x:v>07.04.2026</x:v>
      </x:c>
      <x:c r="G6271" s="87" t="str">
        <x:v>Математика (профиль)</x:v>
      </x:c>
      <x:c r="H6271" s="87" t="n">
        <x:v>11</x:v>
      </x:c>
      <x:c r="I6271" s="87"/>
      <x:c r="J6271" s="87" t="str">
        <x:v>960</x:v>
      </x:c>
      <x:c r="K6271" s="87" t="n">
        <x:v>11</x:v>
      </x:c>
      <x:c r="L6271" s="87" t="str">
        <x:v>Линейные функции</x:v>
      </x:c>
      <x:c r="M6271" s="30" t="str">
        <x:v>По двум графикам линейных функций с отмеченными целочисленными точками найти абсциссу точки их пересечения.</x:v>
      </x:c>
      <x:c r="N6271" s="30" t="str">
        <x:v>10,4</x:v>
      </x:c>
      <x:c r="O6271" s="30" t="str">
        <x:v>По отмеченным точкам составлены уравнения обеих прямых и найдена абсцисса их пересечения.</x:v>
      </x:c>
      <x:c r="P6271" s="30"/>
      <x:c r="Q6271" s="30" t="str">
        <x:v>Независимый расчёт и визуальная сверка исходной страницы.</x:v>
      </x:c>
      <x:c r="R6271" s="30" t="str">
        <x:v>0,4</x:v>
      </x:c>
      <x:c r="S6271" s="30"/>
      <x:c r="T6271" s="30"/>
      <x:c r="U6271" s="30" t="str">
        <x:v>Ответник: 0,4; независимый ответ: 10,4.</x:v>
      </x:c>
      <x:c r="V6271" s="87" t="str">
        <x:v>KEY_MISMATCH</x:v>
      </x:c>
      <x:c r="W6271" s="87"/>
      <x:c r="X6271" s="87" t="n">
        <x:v>4</x:v>
      </x:c>
      <x:c r="Y6271" s="87"/>
      <x:c r="Z6271" s="87"/>
      <x:c r="AA6271" s="87"/>
      <x:c r="AB6271" s="87"/>
      <x:c r="AC6271" s="87" t="str">
        <x:v>VIS-EGKR-MATHP-S26-TASK-960-P004</x:v>
      </x:c>
      <x:c r="AD6271" s="87" t="str">
        <x:v>VIS-EGKR-MATHP-S26-ANSWERDOC-P008</x:v>
      </x:c>
      <x:c r="AE6271" s="87" t="str">
        <x:v>TASK; SECONDARY_ANSWER_AND_SOLUTION_SOURCE</x:v>
      </x:c>
      <x:c r="AF6271" s="87" t="str">
        <x:v>VIS-EGKR-MATHP-S26-TASK-960-P004: 4; VIS-EGKR-MATHP-S26-ANSWERDOC-P008: 8</x:v>
      </x:c>
      <x:c r="AG6271" s="87" t="str">
        <x:v>RESOLVED</x:v>
      </x:c>
      <x:c r="AH6271" s="87" t="str">
        <x:v>CROP_VERIFIED</x:v>
      </x:c>
      <x:c r="AI6271" s="30"/>
      <x:c r="AJ6271" s="87" t="str">
        <x:v>clean</x:v>
      </x:c>
      <x:c r="AK6271" s="87" t="str">
        <x:v>clean-v0.22</x:v>
      </x:c>
      <x:c r="AL6271" s="87" t="str">
        <x:v>statgrad_clean_continuation_v0_22(1).xlsx</x:v>
      </x:c>
      <x:c r="AM6271" s="87" t="str">
        <x:v>MATHP_S26_960</x:v>
      </x:c>
      <x:c r="AN6271" s="87" t="n">
        <x:v>12</x:v>
      </x:c>
    </x:row>
    <x:row r="6272">
      <x:c r="A6272" s="87" t="n">
        <x:v>6271</x:v>
      </x:c>
      <x:c r="B6272" s="87" t="str">
        <x:v>EGKR-S26-MATHP-960-12</x:v>
      </x:c>
      <x:c r="C6272" s="87" t="str">
        <x:v>ЕГКР</x:v>
      </x:c>
      <x:c r="D6272" s="87"/>
      <x:c r="E6272" s="87" t="str">
        <x:v>Весна 2026</x:v>
      </x:c>
      <x:c r="F6272" s="87" t="str">
        <x:v>07.04.2026</x:v>
      </x:c>
      <x:c r="G6272" s="87" t="str">
        <x:v>Математика (профиль)</x:v>
      </x:c>
      <x:c r="H6272" s="87" t="n">
        <x:v>11</x:v>
      </x:c>
      <x:c r="I6272" s="87"/>
      <x:c r="J6272" s="87" t="str">
        <x:v>960</x:v>
      </x:c>
      <x:c r="K6272" s="87" t="n">
        <x:v>12</x:v>
      </x:c>
      <x:c r="L6272" s="87" t="str">
        <x:v>Минимум показательной функции</x:v>
      </x:c>
      <x:c r="M6272" s="30" t="str">
        <x:v>Найти наименьшее значение функции y=2^(x²+12x+39) на отрезке [−10;10].</x:v>
      </x:c>
      <x:c r="N6272" s="30" t="str">
        <x:v>8</x:v>
      </x:c>
      <x:c r="O6272" s="30" t="str">
        <x:v>Минимизован квадратный трёхчлен в показателе степени.</x:v>
      </x:c>
      <x:c r="P6272" s="30"/>
      <x:c r="Q6272" s="30" t="str">
        <x:v>Независимый расчёт и визуальная сверка исходной страницы.</x:v>
      </x:c>
      <x:c r="R6272" s="30" t="str">
        <x:v>8</x:v>
      </x:c>
      <x:c r="S6272" s="30"/>
      <x:c r="T6272" s="30"/>
      <x:c r="U6272" s="30" t="str">
        <x:v>Ответник совпадает с независимой проверкой.</x:v>
      </x:c>
      <x:c r="V6272" s="87" t="str">
        <x:v>VERIFIED</x:v>
      </x:c>
      <x:c r="W6272" s="87"/>
      <x:c r="X6272" s="87" t="n">
        <x:v>4</x:v>
      </x:c>
      <x:c r="Y6272" s="87"/>
      <x:c r="Z6272" s="87"/>
      <x:c r="AA6272" s="87"/>
      <x:c r="AB6272" s="87"/>
      <x:c r="AC6272" s="87" t="str">
        <x:v>VIS-EGKR-MATHP-S26-TASK-960-P004</x:v>
      </x:c>
      <x:c r="AD6272" s="87" t="str">
        <x:v>VIS-EGKR-MATHP-S26-ANSWERDOC-P008</x:v>
      </x:c>
      <x:c r="AE6272" s="87" t="str">
        <x:v>TASK; SECONDARY_ANSWER_AND_SOLUTION_SOURCE</x:v>
      </x:c>
      <x:c r="AF6272" s="87" t="str">
        <x:v>VIS-EGKR-MATHP-S26-TASK-960-P004: 4; VIS-EGKR-MATHP-S26-ANSWERDOC-P008: 8</x:v>
      </x:c>
      <x:c r="AG6272" s="87" t="str">
        <x:v>RESOLVED</x:v>
      </x:c>
      <x:c r="AH6272" s="87" t="str">
        <x:v>CROP_VERIFIED</x:v>
      </x:c>
      <x:c r="AI6272" s="30"/>
      <x:c r="AJ6272" s="87" t="str">
        <x:v>clean</x:v>
      </x:c>
      <x:c r="AK6272" s="87" t="str">
        <x:v>clean-v0.22</x:v>
      </x:c>
      <x:c r="AL6272" s="87" t="str">
        <x:v>statgrad_clean_continuation_v0_22(1).xlsx</x:v>
      </x:c>
      <x:c r="AM6272" s="87" t="str">
        <x:v>MATHP_S26_960</x:v>
      </x:c>
      <x:c r="AN6272" s="87" t="n">
        <x:v>13</x:v>
      </x:c>
    </x:row>
    <x:row r="6273">
      <x:c r="A6273" s="87" t="n">
        <x:v>6272</x:v>
      </x:c>
      <x:c r="B6273" s="87" t="str">
        <x:v>EGKR-S26-MATHP-960-13</x:v>
      </x:c>
      <x:c r="C6273" s="87" t="str">
        <x:v>ЕГКР</x:v>
      </x:c>
      <x:c r="D6273" s="87"/>
      <x:c r="E6273" s="87" t="str">
        <x:v>Весна 2026</x:v>
      </x:c>
      <x:c r="F6273" s="87" t="str">
        <x:v>07.04.2026</x:v>
      </x:c>
      <x:c r="G6273" s="87" t="str">
        <x:v>Математика (профиль)</x:v>
      </x:c>
      <x:c r="H6273" s="87" t="n">
        <x:v>11</x:v>
      </x:c>
      <x:c r="I6273" s="87"/>
      <x:c r="J6273" s="87" t="str">
        <x:v>960</x:v>
      </x:c>
      <x:c r="K6273" s="87" t="n">
        <x:v>13</x:v>
      </x:c>
      <x:c r="L6273" s="87" t="str">
        <x:v>Развёрнутый ответ</x:v>
      </x:c>
      <x:c r="M6273" s="30" t="str">
        <x:v>sin x − √2·cos(π/2+x/2)=0; найти корни на [5π;8π].</x:v>
      </x:c>
      <x:c r="N6273" s="30" t="str">
        <x:v>Общие решения: x=2πk; x=3π/2+4πk; x=−3π/2+4πk. На отрезке: 11π/2; 6π; 13π/2; 8π.</x:v>
      </x:c>
      <x:c r="O6273" s="30" t="str">
        <x:v>Модель содержит ключевую идею, преобразования и итог.</x:v>
      </x:c>
      <x:c r="P6273" s="30"/>
      <x:c r="Q6273" s="30" t="str">
        <x:v>Независимое решение; для варианта 959 дополнительно сверено с полным опубликованным разбором.</x:v>
      </x:c>
      <x:c r="R6273" s="30" t="str">
        <x:v>PARTIAL_MODEL_OR_NOT_PROVIDED</x:v>
      </x:c>
      <x:c r="S6273" s="30"/>
      <x:c r="T6273" s="30"/>
      <x:c r="U6273" s="30" t="str">
        <x:v>Локальные рукописные решения использованы только как вторичный аудируемый источник.</x:v>
      </x:c>
      <x:c r="V6273" s="87" t="str">
        <x:v>VERIFIED</x:v>
      </x:c>
      <x:c r="W6273" s="87"/>
      <x:c r="X6273" s="87" t="n">
        <x:v>5</x:v>
      </x:c>
      <x:c r="Y6273" s="87"/>
      <x:c r="Z6273" s="87"/>
      <x:c r="AA6273" s="87"/>
      <x:c r="AB6273" s="87"/>
      <x:c r="AC6273" s="87" t="str">
        <x:v>VIS-EGKR-MATHP-S26-TASK-960-P005</x:v>
      </x:c>
      <x:c r="AD6273" s="87"/>
      <x:c r="AE6273" s="87" t="str">
        <x:v>TASK</x:v>
      </x:c>
      <x:c r="AF6273" s="87" t="str">
        <x:v>VIS-EGKR-MATHP-S26-TASK-960-P005: 5</x:v>
      </x:c>
      <x:c r="AG6273" s="87" t="str">
        <x:v>RESOLVED</x:v>
      </x:c>
      <x:c r="AH6273" s="87" t="str">
        <x:v>CROP_VERIFIED</x:v>
      </x:c>
      <x:c r="AI6273" s="30"/>
      <x:c r="AJ6273" s="87" t="str">
        <x:v>clean</x:v>
      </x:c>
      <x:c r="AK6273" s="87" t="str">
        <x:v>clean-v0.22</x:v>
      </x:c>
      <x:c r="AL6273" s="87" t="str">
        <x:v>statgrad_clean_continuation_v0_22(1).xlsx</x:v>
      </x:c>
      <x:c r="AM6273" s="87" t="str">
        <x:v>MATHP_S26_960</x:v>
      </x:c>
      <x:c r="AN6273" s="87" t="n">
        <x:v>14</x:v>
      </x:c>
    </x:row>
    <x:row r="6274">
      <x:c r="A6274" s="87" t="n">
        <x:v>6273</x:v>
      </x:c>
      <x:c r="B6274" s="87" t="str">
        <x:v>EGKR-S26-MATHP-960-14</x:v>
      </x:c>
      <x:c r="C6274" s="87" t="str">
        <x:v>ЕГКР</x:v>
      </x:c>
      <x:c r="D6274" s="87"/>
      <x:c r="E6274" s="87" t="str">
        <x:v>Весна 2026</x:v>
      </x:c>
      <x:c r="F6274" s="87" t="str">
        <x:v>07.04.2026</x:v>
      </x:c>
      <x:c r="G6274" s="87" t="str">
        <x:v>Математика (профиль)</x:v>
      </x:c>
      <x:c r="H6274" s="87" t="n">
        <x:v>11</x:v>
      </x:c>
      <x:c r="I6274" s="87"/>
      <x:c r="J6274" s="87" t="str">
        <x:v>960</x:v>
      </x:c>
      <x:c r="K6274" s="87" t="n">
        <x:v>14</x:v>
      </x:c>
      <x:c r="L6274" s="87" t="str">
        <x:v>Развёрнутый ответ</x:v>
      </x:c>
      <x:c r="M6274" s="30" t="str">
        <x:v>Конус: доказать равенство двух углов и найти высоту при AC=13, BC=5, угол 60°.</x:v>
      </x:c>
      <x:c r="N6274" s="30" t="str">
        <x:v>Проекции и перпендикуляры к хорде сводят оба угла к одному прямоугольному треугольнику. Высота h=(√3/2)√(AC²−BC²)=6√3.</x:v>
      </x:c>
      <x:c r="O6274" s="30" t="str">
        <x:v>Модель содержит ключевую идею, преобразования и итог.</x:v>
      </x:c>
      <x:c r="P6274" s="30"/>
      <x:c r="Q6274" s="30" t="str">
        <x:v>Независимое решение; для варианта 959 дополнительно сверено с полным опубликованным разбором.</x:v>
      </x:c>
      <x:c r="R6274" s="30" t="str">
        <x:v>PARTIAL_MODEL_OR_NOT_PROVIDED</x:v>
      </x:c>
      <x:c r="S6274" s="30"/>
      <x:c r="T6274" s="30"/>
      <x:c r="U6274" s="30" t="str">
        <x:v>Локальные рукописные решения использованы только как вторичный аудируемый источник.</x:v>
      </x:c>
      <x:c r="V6274" s="87" t="str">
        <x:v>VERIFIED</x:v>
      </x:c>
      <x:c r="W6274" s="87"/>
      <x:c r="X6274" s="87" t="n">
        <x:v>5</x:v>
      </x:c>
      <x:c r="Y6274" s="87"/>
      <x:c r="Z6274" s="87"/>
      <x:c r="AA6274" s="87"/>
      <x:c r="AB6274" s="87"/>
      <x:c r="AC6274" s="87" t="str">
        <x:v>VIS-EGKR-MATHP-S26-TASK-960-P005</x:v>
      </x:c>
      <x:c r="AD6274" s="87"/>
      <x:c r="AE6274" s="87" t="str">
        <x:v>TASK</x:v>
      </x:c>
      <x:c r="AF6274" s="87" t="str">
        <x:v>VIS-EGKR-MATHP-S26-TASK-960-P005: 5</x:v>
      </x:c>
      <x:c r="AG6274" s="87" t="str">
        <x:v>RESOLVED</x:v>
      </x:c>
      <x:c r="AH6274" s="87" t="str">
        <x:v>CROP_VERIFIED</x:v>
      </x:c>
      <x:c r="AI6274" s="30"/>
      <x:c r="AJ6274" s="87" t="str">
        <x:v>clean</x:v>
      </x:c>
      <x:c r="AK6274" s="87" t="str">
        <x:v>clean-v0.22</x:v>
      </x:c>
      <x:c r="AL6274" s="87" t="str">
        <x:v>statgrad_clean_continuation_v0_22(1).xlsx</x:v>
      </x:c>
      <x:c r="AM6274" s="87" t="str">
        <x:v>MATHP_S26_960</x:v>
      </x:c>
      <x:c r="AN6274" s="87" t="n">
        <x:v>15</x:v>
      </x:c>
    </x:row>
    <x:row r="6275">
      <x:c r="A6275" s="87" t="n">
        <x:v>6274</x:v>
      </x:c>
      <x:c r="B6275" s="87" t="str">
        <x:v>EGKR-S26-MATHP-960-15</x:v>
      </x:c>
      <x:c r="C6275" s="87" t="str">
        <x:v>ЕГКР</x:v>
      </x:c>
      <x:c r="D6275" s="87"/>
      <x:c r="E6275" s="87" t="str">
        <x:v>Весна 2026</x:v>
      </x:c>
      <x:c r="F6275" s="87" t="str">
        <x:v>07.04.2026</x:v>
      </x:c>
      <x:c r="G6275" s="87" t="str">
        <x:v>Математика (профиль)</x:v>
      </x:c>
      <x:c r="H6275" s="87" t="n">
        <x:v>11</x:v>
      </x:c>
      <x:c r="I6275" s="87"/>
      <x:c r="J6275" s="87" t="str">
        <x:v>960</x:v>
      </x:c>
      <x:c r="K6275" s="87" t="n">
        <x:v>15</x:v>
      </x:c>
      <x:c r="L6275" s="87" t="str">
        <x:v>Развёрнутый ответ</x:v>
      </x:c>
      <x:c r="M6275" s="30" t="str">
        <x:v>Решить логарифмическое неравенство задания 15.</x:v>
      </x:c>
      <x:c r="N6275" s="30" t="str">
        <x:v>После перехода к одной логарифмической переменной, учёта ОДЗ и метода интервалов получено: (0;125)∪(125;625).</x:v>
      </x:c>
      <x:c r="O6275" s="30" t="str">
        <x:v>Модель содержит ключевую идею, преобразования и итог.</x:v>
      </x:c>
      <x:c r="P6275" s="30"/>
      <x:c r="Q6275" s="30" t="str">
        <x:v>Независимое решение; для варианта 959 дополнительно сверено с полным опубликованным разбором.</x:v>
      </x:c>
      <x:c r="R6275" s="30" t="str">
        <x:v>PARTIAL_MODEL_OR_NOT_PROVIDED</x:v>
      </x:c>
      <x:c r="S6275" s="30"/>
      <x:c r="T6275" s="30"/>
      <x:c r="U6275" s="30" t="str">
        <x:v>Локальные рукописные решения использованы только как вторичный аудируемый источник.</x:v>
      </x:c>
      <x:c r="V6275" s="87" t="str">
        <x:v>VERIFIED</x:v>
      </x:c>
      <x:c r="W6275" s="87"/>
      <x:c r="X6275" s="87" t="n">
        <x:v>5</x:v>
      </x:c>
      <x:c r="Y6275" s="87"/>
      <x:c r="Z6275" s="87"/>
      <x:c r="AA6275" s="87"/>
      <x:c r="AB6275" s="87"/>
      <x:c r="AC6275" s="87" t="str">
        <x:v>VIS-EGKR-MATHP-S26-TASK-960-P005</x:v>
      </x:c>
      <x:c r="AD6275" s="87"/>
      <x:c r="AE6275" s="87" t="str">
        <x:v>TASK</x:v>
      </x:c>
      <x:c r="AF6275" s="87" t="str">
        <x:v>VIS-EGKR-MATHP-S26-TASK-960-P005: 5</x:v>
      </x:c>
      <x:c r="AG6275" s="87" t="str">
        <x:v>RESOLVED</x:v>
      </x:c>
      <x:c r="AH6275" s="87" t="str">
        <x:v>CROP_VERIFIED</x:v>
      </x:c>
      <x:c r="AI6275" s="30"/>
      <x:c r="AJ6275" s="87" t="str">
        <x:v>clean</x:v>
      </x:c>
      <x:c r="AK6275" s="87" t="str">
        <x:v>clean-v0.22</x:v>
      </x:c>
      <x:c r="AL6275" s="87" t="str">
        <x:v>statgrad_clean_continuation_v0_22(1).xlsx</x:v>
      </x:c>
      <x:c r="AM6275" s="87" t="str">
        <x:v>MATHP_S26_960</x:v>
      </x:c>
      <x:c r="AN6275" s="87" t="n">
        <x:v>16</x:v>
      </x:c>
    </x:row>
    <x:row r="6276">
      <x:c r="A6276" s="87" t="n">
        <x:v>6275</x:v>
      </x:c>
      <x:c r="B6276" s="87" t="str">
        <x:v>EGKR-S26-MATHP-960-16</x:v>
      </x:c>
      <x:c r="C6276" s="87" t="str">
        <x:v>ЕГКР</x:v>
      </x:c>
      <x:c r="D6276" s="87"/>
      <x:c r="E6276" s="87" t="str">
        <x:v>Весна 2026</x:v>
      </x:c>
      <x:c r="F6276" s="87" t="str">
        <x:v>07.04.2026</x:v>
      </x:c>
      <x:c r="G6276" s="87" t="str">
        <x:v>Математика (профиль)</x:v>
      </x:c>
      <x:c r="H6276" s="87" t="n">
        <x:v>11</x:v>
      </x:c>
      <x:c r="I6276" s="87"/>
      <x:c r="J6276" s="87" t="str">
        <x:v>960</x:v>
      </x:c>
      <x:c r="K6276" s="87" t="n">
        <x:v>16</x:v>
      </x:c>
      <x:c r="L6276" s="87" t="str">
        <x:v>Развёрнутый ответ</x:v>
      </x:c>
      <x:c r="M6276" s="30" t="str">
        <x:v>Кредит: ежегодный платёж 57 122 ₽ при сроке 4 года либо 90 922 ₽ при сроке 2 года; найти процент r.</x:v>
      </x:c>
      <x:c r="N6276" s="30" t="str">
        <x:v>Для коэффициента q=1+r/100 из двух схем платежей следует q²=A₄/(A₂−A₄). Получено q=1.3, поэтому r=30%.</x:v>
      </x:c>
      <x:c r="O6276" s="30" t="str">
        <x:v>Модель содержит ключевую идею, преобразования и итог.</x:v>
      </x:c>
      <x:c r="P6276" s="30"/>
      <x:c r="Q6276" s="30" t="str">
        <x:v>Независимое решение; для варианта 959 дополнительно сверено с полным опубликованным разбором.</x:v>
      </x:c>
      <x:c r="R6276" s="30" t="str">
        <x:v>PARTIAL_MODEL_OR_NOT_PROVIDED</x:v>
      </x:c>
      <x:c r="S6276" s="30"/>
      <x:c r="T6276" s="30"/>
      <x:c r="U6276" s="30" t="str">
        <x:v>Локальные рукописные решения использованы только как вторичный аудируемый источник.</x:v>
      </x:c>
      <x:c r="V6276" s="87" t="str">
        <x:v>VERIFIED</x:v>
      </x:c>
      <x:c r="W6276" s="87"/>
      <x:c r="X6276" s="87" t="n">
        <x:v>5</x:v>
      </x:c>
      <x:c r="Y6276" s="87"/>
      <x:c r="Z6276" s="87"/>
      <x:c r="AA6276" s="87"/>
      <x:c r="AB6276" s="87"/>
      <x:c r="AC6276" s="87" t="str">
        <x:v>VIS-EGKR-MATHP-S26-TASK-960-P005</x:v>
      </x:c>
      <x:c r="AD6276" s="87"/>
      <x:c r="AE6276" s="87" t="str">
        <x:v>TASK</x:v>
      </x:c>
      <x:c r="AF6276" s="87" t="str">
        <x:v>VIS-EGKR-MATHP-S26-TASK-960-P005: 5</x:v>
      </x:c>
      <x:c r="AG6276" s="87" t="str">
        <x:v>RESOLVED</x:v>
      </x:c>
      <x:c r="AH6276" s="87" t="str">
        <x:v>CROP_VERIFIED</x:v>
      </x:c>
      <x:c r="AI6276" s="30"/>
      <x:c r="AJ6276" s="87" t="str">
        <x:v>clean</x:v>
      </x:c>
      <x:c r="AK6276" s="87" t="str">
        <x:v>clean-v0.22</x:v>
      </x:c>
      <x:c r="AL6276" s="87" t="str">
        <x:v>statgrad_clean_continuation_v0_22(1).xlsx</x:v>
      </x:c>
      <x:c r="AM6276" s="87" t="str">
        <x:v>MATHP_S26_960</x:v>
      </x:c>
      <x:c r="AN6276" s="87" t="n">
        <x:v>17</x:v>
      </x:c>
    </x:row>
    <x:row r="6277">
      <x:c r="A6277" s="87" t="n">
        <x:v>6276</x:v>
      </x:c>
      <x:c r="B6277" s="87" t="str">
        <x:v>EGKR-S26-MATHP-960-17</x:v>
      </x:c>
      <x:c r="C6277" s="87" t="str">
        <x:v>ЕГКР</x:v>
      </x:c>
      <x:c r="D6277" s="87"/>
      <x:c r="E6277" s="87" t="str">
        <x:v>Весна 2026</x:v>
      </x:c>
      <x:c r="F6277" s="87" t="str">
        <x:v>07.04.2026</x:v>
      </x:c>
      <x:c r="G6277" s="87" t="str">
        <x:v>Математика (профиль)</x:v>
      </x:c>
      <x:c r="H6277" s="87" t="n">
        <x:v>11</x:v>
      </x:c>
      <x:c r="I6277" s="87"/>
      <x:c r="J6277" s="87" t="str">
        <x:v>960</x:v>
      </x:c>
      <x:c r="K6277" s="87" t="n">
        <x:v>17</x:v>
      </x:c>
      <x:c r="L6277" s="87" t="str">
        <x:v>Развёрнутый ответ</x:v>
      </x:c>
      <x:c r="M6277" s="30" t="str">
        <x:v>Окружность пересекает стороны прямоугольного треугольника; доказать подобие и найти площадь CKMB при R=√13, AC=10, BC=4.</x:v>
      </x:c>
      <x:c r="N6277" s="30" t="str">
        <x:v>По равенству вписанных углов △AKM∼△ABC. Затем CK=√((2R)²−BC²), AK=AC−CK, AB²=AC²+BC², а S_CKMB=(AC·BC/2)·(1−AK²/AB²). Ответ: 500/29.</x:v>
      </x:c>
      <x:c r="O6277" s="30" t="str">
        <x:v>Модель содержит ключевую идею, преобразования и итог.</x:v>
      </x:c>
      <x:c r="P6277" s="30"/>
      <x:c r="Q6277" s="30" t="str">
        <x:v>Независимое решение; для варианта 959 дополнительно сверено с полным опубликованным разбором.</x:v>
      </x:c>
      <x:c r="R6277" s="30" t="str">
        <x:v>PARTIAL_MODEL_OR_NOT_PROVIDED</x:v>
      </x:c>
      <x:c r="S6277" s="30"/>
      <x:c r="T6277" s="30"/>
      <x:c r="U6277" s="30" t="str">
        <x:v>Локальные рукописные решения использованы только как вторичный аудируемый источник.</x:v>
      </x:c>
      <x:c r="V6277" s="87" t="str">
        <x:v>VERIFIED</x:v>
      </x:c>
      <x:c r="W6277" s="87"/>
      <x:c r="X6277" s="87" t="n">
        <x:v>5</x:v>
      </x:c>
      <x:c r="Y6277" s="87"/>
      <x:c r="Z6277" s="87"/>
      <x:c r="AA6277" s="87"/>
      <x:c r="AB6277" s="87"/>
      <x:c r="AC6277" s="87" t="str">
        <x:v>VIS-EGKR-MATHP-S26-TASK-960-P005</x:v>
      </x:c>
      <x:c r="AD6277" s="87"/>
      <x:c r="AE6277" s="87" t="str">
        <x:v>TASK</x:v>
      </x:c>
      <x:c r="AF6277" s="87" t="str">
        <x:v>VIS-EGKR-MATHP-S26-TASK-960-P005: 5</x:v>
      </x:c>
      <x:c r="AG6277" s="87" t="str">
        <x:v>RESOLVED</x:v>
      </x:c>
      <x:c r="AH6277" s="87" t="str">
        <x:v>CROP_VERIFIED</x:v>
      </x:c>
      <x:c r="AI6277" s="30"/>
      <x:c r="AJ6277" s="87" t="str">
        <x:v>clean</x:v>
      </x:c>
      <x:c r="AK6277" s="87" t="str">
        <x:v>clean-v0.22</x:v>
      </x:c>
      <x:c r="AL6277" s="87" t="str">
        <x:v>statgrad_clean_continuation_v0_22(1).xlsx</x:v>
      </x:c>
      <x:c r="AM6277" s="87" t="str">
        <x:v>MATHP_S26_960</x:v>
      </x:c>
      <x:c r="AN6277" s="87" t="n">
        <x:v>18</x:v>
      </x:c>
    </x:row>
    <x:row r="6278">
      <x:c r="A6278" s="87" t="n">
        <x:v>6277</x:v>
      </x:c>
      <x:c r="B6278" s="87" t="str">
        <x:v>EGKR-S26-MATHP-960-18</x:v>
      </x:c>
      <x:c r="C6278" s="87" t="str">
        <x:v>ЕГКР</x:v>
      </x:c>
      <x:c r="D6278" s="87"/>
      <x:c r="E6278" s="87" t="str">
        <x:v>Весна 2026</x:v>
      </x:c>
      <x:c r="F6278" s="87" t="str">
        <x:v>07.04.2026</x:v>
      </x:c>
      <x:c r="G6278" s="87" t="str">
        <x:v>Математика (профиль)</x:v>
      </x:c>
      <x:c r="H6278" s="87" t="n">
        <x:v>11</x:v>
      </x:c>
      <x:c r="I6278" s="87"/>
      <x:c r="J6278" s="87" t="str">
        <x:v>960</x:v>
      </x:c>
      <x:c r="K6278" s="87" t="n">
        <x:v>18</x:v>
      </x:c>
      <x:c r="L6278" s="87" t="str">
        <x:v>Развёрнутый ответ</x:v>
      </x:c>
      <x:c r="M6278" s="30" t="str">
        <x:v>Найти параметры a, при которых заданное кубическое соотношение определяет функцию y=f(x) для всех действительных x.</x:v>
      </x:c>
      <x:c r="N6278" s="30" t="str">
        <x:v>Требуется взаимно-однозначная монотонность кубического многочлена по y. Исследование производной и условие неположительности её дискриминанта дают: a∈[3;6].</x:v>
      </x:c>
      <x:c r="O6278" s="30" t="str">
        <x:v>Модель содержит ключевую идею, преобразования и итог.</x:v>
      </x:c>
      <x:c r="P6278" s="30"/>
      <x:c r="Q6278" s="30" t="str">
        <x:v>Независимое решение; для варианта 959 дополнительно сверено с полным опубликованным разбором.</x:v>
      </x:c>
      <x:c r="R6278" s="30" t="str">
        <x:v>PARTIAL_MODEL_OR_NOT_PROVIDED</x:v>
      </x:c>
      <x:c r="S6278" s="30"/>
      <x:c r="T6278" s="30"/>
      <x:c r="U6278" s="30" t="str">
        <x:v>Локальные рукописные решения использованы только как вторичный аудируемый источник.</x:v>
      </x:c>
      <x:c r="V6278" s="87" t="str">
        <x:v>VERIFIED</x:v>
      </x:c>
      <x:c r="W6278" s="87"/>
      <x:c r="X6278" s="87" t="n">
        <x:v>6</x:v>
      </x:c>
      <x:c r="Y6278" s="87"/>
      <x:c r="Z6278" s="87"/>
      <x:c r="AA6278" s="87"/>
      <x:c r="AB6278" s="87"/>
      <x:c r="AC6278" s="87" t="str">
        <x:v>VIS-EGKR-MATHP-S26-TASK-960-P006</x:v>
      </x:c>
      <x:c r="AD6278" s="87"/>
      <x:c r="AE6278" s="87" t="str">
        <x:v>TASK</x:v>
      </x:c>
      <x:c r="AF6278" s="87" t="str">
        <x:v>VIS-EGKR-MATHP-S26-TASK-960-P006: 6</x:v>
      </x:c>
      <x:c r="AG6278" s="87" t="str">
        <x:v>RESOLVED</x:v>
      </x:c>
      <x:c r="AH6278" s="87" t="str">
        <x:v>CROP_VERIFIED</x:v>
      </x:c>
      <x:c r="AI6278" s="30"/>
      <x:c r="AJ6278" s="87" t="str">
        <x:v>clean</x:v>
      </x:c>
      <x:c r="AK6278" s="87" t="str">
        <x:v>clean-v0.22</x:v>
      </x:c>
      <x:c r="AL6278" s="87" t="str">
        <x:v>statgrad_clean_continuation_v0_22(1).xlsx</x:v>
      </x:c>
      <x:c r="AM6278" s="87" t="str">
        <x:v>MATHP_S26_960</x:v>
      </x:c>
      <x:c r="AN6278" s="87" t="n">
        <x:v>19</x:v>
      </x:c>
    </x:row>
    <x:row r="6279">
      <x:c r="A6279" s="87" t="n">
        <x:v>6278</x:v>
      </x:c>
      <x:c r="B6279" s="87" t="str">
        <x:v>EGKR-S26-MATHP-960-19</x:v>
      </x:c>
      <x:c r="C6279" s="87" t="str">
        <x:v>ЕГКР</x:v>
      </x:c>
      <x:c r="D6279" s="87"/>
      <x:c r="E6279" s="87" t="str">
        <x:v>Весна 2026</x:v>
      </x:c>
      <x:c r="F6279" s="87" t="str">
        <x:v>07.04.2026</x:v>
      </x:c>
      <x:c r="G6279" s="87" t="str">
        <x:v>Математика (профиль)</x:v>
      </x:c>
      <x:c r="H6279" s="87" t="n">
        <x:v>11</x:v>
      </x:c>
      <x:c r="I6279" s="87"/>
      <x:c r="J6279" s="87" t="str">
        <x:v>960</x:v>
      </x:c>
      <x:c r="K6279" s="87" t="n">
        <x:v>19</x:v>
      </x:c>
      <x:c r="L6279" s="87" t="str">
        <x:v>Развёрнутый ответ</x:v>
      </x:c>
      <x:c r="M6279" s="30" t="str">
        <x:v>Игра с произведениями различных натуральных чисел из диапазона 20–90 и чисел, увеличенных на единицу.</x:v>
      </x:c>
      <x:c r="N6279" s="30" t="str">
        <x:v>Отношение произведений равно ∏(aᵢ+1)/aᵢ. Телескопические наборы последовательных чисел реализуют допустимые целые множители, а верхняя оценка следует из крайних значений. Итоги: а) да, в 3 раза; б) нет, в 5 раз; в) максимум 4.</x:v>
      </x:c>
      <x:c r="O6279" s="30" t="str">
        <x:v>Модель содержит ключевую идею, преобразования и итог.</x:v>
      </x:c>
      <x:c r="P6279" s="30"/>
      <x:c r="Q6279" s="30" t="str">
        <x:v>Независимое решение; для варианта 959 дополнительно сверено с полным опубликованным разбором.</x:v>
      </x:c>
      <x:c r="R6279" s="30" t="str">
        <x:v>PARTIAL_MODEL_OR_NOT_PROVIDED</x:v>
      </x:c>
      <x:c r="S6279" s="30"/>
      <x:c r="T6279" s="30"/>
      <x:c r="U6279" s="30" t="str">
        <x:v>Локальные рукописные решения использованы только как вторичный аудируемый источник.</x:v>
      </x:c>
      <x:c r="V6279" s="87" t="str">
        <x:v>VERIFIED</x:v>
      </x:c>
      <x:c r="W6279" s="87"/>
      <x:c r="X6279" s="87" t="n">
        <x:v>6</x:v>
      </x:c>
      <x:c r="Y6279" s="87"/>
      <x:c r="Z6279" s="87"/>
      <x:c r="AA6279" s="87"/>
      <x:c r="AB6279" s="87"/>
      <x:c r="AC6279" s="87" t="str">
        <x:v>VIS-EGKR-MATHP-S26-TASK-960-P006</x:v>
      </x:c>
      <x:c r="AD6279" s="87"/>
      <x:c r="AE6279" s="87" t="str">
        <x:v>TASK</x:v>
      </x:c>
      <x:c r="AF6279" s="87" t="str">
        <x:v>VIS-EGKR-MATHP-S26-TASK-960-P006: 6</x:v>
      </x:c>
      <x:c r="AG6279" s="87" t="str">
        <x:v>RESOLVED</x:v>
      </x:c>
      <x:c r="AH6279" s="87" t="str">
        <x:v>CROP_VERIFIED</x:v>
      </x:c>
      <x:c r="AI6279" s="30"/>
      <x:c r="AJ6279" s="87" t="str">
        <x:v>clean</x:v>
      </x:c>
      <x:c r="AK6279" s="87" t="str">
        <x:v>clean-v0.22</x:v>
      </x:c>
      <x:c r="AL6279" s="87" t="str">
        <x:v>statgrad_clean_continuation_v0_22(1).xlsx</x:v>
      </x:c>
      <x:c r="AM6279" s="87" t="str">
        <x:v>MATHP_S26_960</x:v>
      </x:c>
      <x:c r="AN6279" s="87" t="n">
        <x:v>20</x:v>
      </x:c>
    </x:row>
    <x:row r="6280">
      <x:c r="A6280" s="87" t="n">
        <x:v>6279</x:v>
      </x:c>
      <x:c r="B6280" s="87" t="str">
        <x:v>EGKR-S26-MATHP-961-01</x:v>
      </x:c>
      <x:c r="C6280" s="87" t="str">
        <x:v>ЕГКР</x:v>
      </x:c>
      <x:c r="D6280" s="87"/>
      <x:c r="E6280" s="87" t="str">
        <x:v>Весна 2026</x:v>
      </x:c>
      <x:c r="F6280" s="87" t="str">
        <x:v>07.04.2026</x:v>
      </x:c>
      <x:c r="G6280" s="87" t="str">
        <x:v>Математика (профиль)</x:v>
      </x:c>
      <x:c r="H6280" s="87" t="n">
        <x:v>11</x:v>
      </x:c>
      <x:c r="I6280" s="87"/>
      <x:c r="J6280" s="87" t="str">
        <x:v>961</x:v>
      </x:c>
      <x:c r="K6280" s="87" t="n">
        <x:v>1</x:v>
      </x:c>
      <x:c r="L6280" s="87" t="str">
        <x:v>Планиметрия: угол</x:v>
      </x:c>
      <x:c r="M6280" s="30" t="str">
        <x:v>Из точки A к окружности проведены касательная AM и секущая AC через центр; ∠MAC=32°. Найти ∠ACM.</x:v>
      </x:c>
      <x:c r="N6280" s="30" t="str">
        <x:v>29</x:v>
      </x:c>
      <x:c r="O6280" s="30" t="str">
        <x:v>Использованы свойства углов в заданной конфигурации; искомый угол равен половине дополнения данного угла до 90°.</x:v>
      </x:c>
      <x:c r="P6280" s="30"/>
      <x:c r="Q6280" s="30" t="str">
        <x:v>Независимый расчёт и визуальная сверка исходной страницы.</x:v>
      </x:c>
      <x:c r="R6280" s="30" t="str">
        <x:v>32</x:v>
      </x:c>
      <x:c r="S6280" s="30"/>
      <x:c r="T6280" s="30"/>
      <x:c r="U6280" s="30" t="str">
        <x:v>Ответник: 32; независимый ответ: 29.</x:v>
      </x:c>
      <x:c r="V6280" s="87" t="str">
        <x:v>KEY_MISMATCH</x:v>
      </x:c>
      <x:c r="W6280" s="87"/>
      <x:c r="X6280" s="87" t="n">
        <x:v>2</x:v>
      </x:c>
      <x:c r="Y6280" s="87"/>
      <x:c r="Z6280" s="87"/>
      <x:c r="AA6280" s="87"/>
      <x:c r="AB6280" s="87"/>
      <x:c r="AC6280" s="87" t="str">
        <x:v>VIS-EGKR-MATHP-S26-TASK-961-P002</x:v>
      </x:c>
      <x:c r="AD6280" s="87" t="str">
        <x:v>VIS-EGKR-MATHP-S26-ANSWERDOC-P001</x:v>
      </x:c>
      <x:c r="AE6280" s="87" t="str">
        <x:v>TASK; SECONDARY_ANSWER_AND_SOLUTION_SOURCE</x:v>
      </x:c>
      <x:c r="AF6280" s="87" t="str">
        <x:v>VIS-EGKR-MATHP-S26-TASK-961-P002: 2; VIS-EGKR-MATHP-S26-ANSWERDOC-P001: 1</x:v>
      </x:c>
      <x:c r="AG6280" s="87" t="str">
        <x:v>RESOLVED</x:v>
      </x:c>
      <x:c r="AH6280" s="87" t="str">
        <x:v>CROP_VERIFIED</x:v>
      </x:c>
      <x:c r="AI6280" s="30"/>
      <x:c r="AJ6280" s="87" t="str">
        <x:v>clean</x:v>
      </x:c>
      <x:c r="AK6280" s="87" t="str">
        <x:v>clean-v0.22</x:v>
      </x:c>
      <x:c r="AL6280" s="87" t="str">
        <x:v>statgrad_clean_continuation_v0_22(1).xlsx</x:v>
      </x:c>
      <x:c r="AM6280" s="87" t="str">
        <x:v>MATHP_S26_961</x:v>
      </x:c>
      <x:c r="AN6280" s="87" t="n">
        <x:v>2</x:v>
      </x:c>
    </x:row>
    <x:row r="6281">
      <x:c r="A6281" s="87" t="n">
        <x:v>6280</x:v>
      </x:c>
      <x:c r="B6281" s="87" t="str">
        <x:v>EGKR-S26-MATHP-961-02</x:v>
      </x:c>
      <x:c r="C6281" s="87" t="str">
        <x:v>ЕГКР</x:v>
      </x:c>
      <x:c r="D6281" s="87"/>
      <x:c r="E6281" s="87" t="str">
        <x:v>Весна 2026</x:v>
      </x:c>
      <x:c r="F6281" s="87" t="str">
        <x:v>07.04.2026</x:v>
      </x:c>
      <x:c r="G6281" s="87" t="str">
        <x:v>Математика (профиль)</x:v>
      </x:c>
      <x:c r="H6281" s="87" t="n">
        <x:v>11</x:v>
      </x:c>
      <x:c r="I6281" s="87"/>
      <x:c r="J6281" s="87" t="str">
        <x:v>961</x:v>
      </x:c>
      <x:c r="K6281" s="87" t="n">
        <x:v>2</x:v>
      </x:c>
      <x:c r="L6281" s="87" t="str">
        <x:v>Векторы</x:v>
      </x:c>
      <x:c r="M6281" s="30" t="str">
        <x:v>Даны a=(−8;6), b=(2;−1), c=(0;10). Найти длину вектора a+b−½c.</x:v>
      </x:c>
      <x:c r="N6281" s="30" t="str">
        <x:v>6</x:v>
      </x:c>
      <x:c r="O6281" s="30" t="str">
        <x:v>Выполнены операции над координатами векторов и вычислена длина результирующего вектора.</x:v>
      </x:c>
      <x:c r="P6281" s="30"/>
      <x:c r="Q6281" s="30" t="str">
        <x:v>Независимый расчёт и визуальная сверка исходной страницы.</x:v>
      </x:c>
      <x:c r="R6281" s="30" t="str">
        <x:v>6</x:v>
      </x:c>
      <x:c r="S6281" s="30"/>
      <x:c r="T6281" s="30"/>
      <x:c r="U6281" s="30" t="str">
        <x:v>Ответник совпадает с независимой проверкой.</x:v>
      </x:c>
      <x:c r="V6281" s="87" t="str">
        <x:v>VERIFIED</x:v>
      </x:c>
      <x:c r="W6281" s="87"/>
      <x:c r="X6281" s="87" t="n">
        <x:v>2</x:v>
      </x:c>
      <x:c r="Y6281" s="87"/>
      <x:c r="Z6281" s="87"/>
      <x:c r="AA6281" s="87"/>
      <x:c r="AB6281" s="87"/>
      <x:c r="AC6281" s="87" t="str">
        <x:v>VIS-EGKR-MATHP-S26-TASK-961-P002</x:v>
      </x:c>
      <x:c r="AD6281" s="87" t="str">
        <x:v>VIS-EGKR-MATHP-S26-ANSWERDOC-P001</x:v>
      </x:c>
      <x:c r="AE6281" s="87" t="str">
        <x:v>TASK; SECONDARY_ANSWER_AND_SOLUTION_SOURCE</x:v>
      </x:c>
      <x:c r="AF6281" s="87" t="str">
        <x:v>VIS-EGKR-MATHP-S26-TASK-961-P002: 2; VIS-EGKR-MATHP-S26-ANSWERDOC-P001: 1</x:v>
      </x:c>
      <x:c r="AG6281" s="87" t="str">
        <x:v>RESOLVED</x:v>
      </x:c>
      <x:c r="AH6281" s="87" t="str">
        <x:v>CROP_VERIFIED</x:v>
      </x:c>
      <x:c r="AI6281" s="30"/>
      <x:c r="AJ6281" s="87" t="str">
        <x:v>clean</x:v>
      </x:c>
      <x:c r="AK6281" s="87" t="str">
        <x:v>clean-v0.22</x:v>
      </x:c>
      <x:c r="AL6281" s="87" t="str">
        <x:v>statgrad_clean_continuation_v0_22(1).xlsx</x:v>
      </x:c>
      <x:c r="AM6281" s="87" t="str">
        <x:v>MATHP_S26_961</x:v>
      </x:c>
      <x:c r="AN6281" s="87" t="n">
        <x:v>3</x:v>
      </x:c>
    </x:row>
    <x:row r="6282">
      <x:c r="A6282" s="87" t="n">
        <x:v>6281</x:v>
      </x:c>
      <x:c r="B6282" s="87" t="str">
        <x:v>EGKR-S26-MATHP-961-03</x:v>
      </x:c>
      <x:c r="C6282" s="87" t="str">
        <x:v>ЕГКР</x:v>
      </x:c>
      <x:c r="D6282" s="87"/>
      <x:c r="E6282" s="87" t="str">
        <x:v>Весна 2026</x:v>
      </x:c>
      <x:c r="F6282" s="87" t="str">
        <x:v>07.04.2026</x:v>
      </x:c>
      <x:c r="G6282" s="87" t="str">
        <x:v>Математика (профиль)</x:v>
      </x:c>
      <x:c r="H6282" s="87" t="n">
        <x:v>11</x:v>
      </x:c>
      <x:c r="I6282" s="87"/>
      <x:c r="J6282" s="87" t="str">
        <x:v>961</x:v>
      </x:c>
      <x:c r="K6282" s="87" t="n">
        <x:v>3</x:v>
      </x:c>
      <x:c r="L6282" s="87" t="str">
        <x:v>Объём многогранника</x:v>
      </x:c>
      <x:c r="M6282" s="30" t="str">
        <x:v>Объём прямоугольного параллелепипеда равен 12,6. Найти объём указанной треугольной пирамиды.</x:v>
      </x:c>
      <x:c r="N6282" s="30" t="str">
        <x:v>4,2</x:v>
      </x:c>
      <x:c r="O6282" s="30" t="str">
        <x:v>Объём тетраэдра с соответствующими вершинами составляет треть объёма прямоугольного параллелепипеда.</x:v>
      </x:c>
      <x:c r="P6282" s="30"/>
      <x:c r="Q6282" s="30" t="str">
        <x:v>Независимый расчёт и визуальная сверка исходной страницы.</x:v>
      </x:c>
      <x:c r="R6282" s="30" t="str">
        <x:v>4,2</x:v>
      </x:c>
      <x:c r="S6282" s="30"/>
      <x:c r="T6282" s="30"/>
      <x:c r="U6282" s="30" t="str">
        <x:v>Ответник совпадает с независимой проверкой.</x:v>
      </x:c>
      <x:c r="V6282" s="87" t="str">
        <x:v>VERIFIED</x:v>
      </x:c>
      <x:c r="W6282" s="87"/>
      <x:c r="X6282" s="87" t="n">
        <x:v>2</x:v>
      </x:c>
      <x:c r="Y6282" s="87"/>
      <x:c r="Z6282" s="87"/>
      <x:c r="AA6282" s="87"/>
      <x:c r="AB6282" s="87"/>
      <x:c r="AC6282" s="87" t="str">
        <x:v>VIS-EGKR-MATHP-S26-TASK-961-P002</x:v>
      </x:c>
      <x:c r="AD6282" s="87" t="str">
        <x:v>VIS-EGKR-MATHP-S26-ANSWERDOC-P001</x:v>
      </x:c>
      <x:c r="AE6282" s="87" t="str">
        <x:v>TASK; SECONDARY_ANSWER_AND_SOLUTION_SOURCE</x:v>
      </x:c>
      <x:c r="AF6282" s="87" t="str">
        <x:v>VIS-EGKR-MATHP-S26-TASK-961-P002: 2; VIS-EGKR-MATHP-S26-ANSWERDOC-P001: 1</x:v>
      </x:c>
      <x:c r="AG6282" s="87" t="str">
        <x:v>RESOLVED</x:v>
      </x:c>
      <x:c r="AH6282" s="87" t="str">
        <x:v>CROP_VERIFIED</x:v>
      </x:c>
      <x:c r="AI6282" s="30"/>
      <x:c r="AJ6282" s="87" t="str">
        <x:v>clean</x:v>
      </x:c>
      <x:c r="AK6282" s="87" t="str">
        <x:v>clean-v0.22</x:v>
      </x:c>
      <x:c r="AL6282" s="87" t="str">
        <x:v>statgrad_clean_continuation_v0_22(1).xlsx</x:v>
      </x:c>
      <x:c r="AM6282" s="87" t="str">
        <x:v>MATHP_S26_961</x:v>
      </x:c>
      <x:c r="AN6282" s="87" t="n">
        <x:v>4</x:v>
      </x:c>
    </x:row>
    <x:row r="6283">
      <x:c r="A6283" s="87" t="n">
        <x:v>6282</x:v>
      </x:c>
      <x:c r="B6283" s="87" t="str">
        <x:v>EGKR-S26-MATHP-961-04</x:v>
      </x:c>
      <x:c r="C6283" s="87" t="str">
        <x:v>ЕГКР</x:v>
      </x:c>
      <x:c r="D6283" s="87"/>
      <x:c r="E6283" s="87" t="str">
        <x:v>Весна 2026</x:v>
      </x:c>
      <x:c r="F6283" s="87" t="str">
        <x:v>07.04.2026</x:v>
      </x:c>
      <x:c r="G6283" s="87" t="str">
        <x:v>Математика (профиль)</x:v>
      </x:c>
      <x:c r="H6283" s="87" t="n">
        <x:v>11</x:v>
      </x:c>
      <x:c r="I6283" s="87"/>
      <x:c r="J6283" s="87" t="str">
        <x:v>961</x:v>
      </x:c>
      <x:c r="K6283" s="87" t="n">
        <x:v>4</x:v>
      </x:c>
      <x:c r="L6283" s="87" t="str">
        <x:v>Вероятность</x:v>
      </x:c>
      <x:c r="M6283" s="30" t="str">
        <x:v>В игре «Морской бой» на клетчатом поле 10×10 размещают четыре однопалубных корабля (одна клетка), три двухпалубных, два трёхпалубных и один четырёхпалубный. Первый игрок делает «выстрел» по случайной клетке. Какова вероятность того, что он попадет в однопалубный корабль?</x:v>
      </x:c>
      <x:c r="N6283" s="30" t="str">
        <x:v>0,04</x:v>
      </x:c>
      <x:c r="O6283" s="30" t="str">
        <x:v>Вероятность равна отношению числа клеток, занятых указанными кораблями, к 100.</x:v>
      </x:c>
      <x:c r="P6283" s="30"/>
      <x:c r="Q6283" s="30" t="str">
        <x:v>Независимый расчёт и визуальная сверка исходной страницы.</x:v>
      </x:c>
      <x:c r="R6283" s="30" t="str">
        <x:v>0,04</x:v>
      </x:c>
      <x:c r="S6283" s="30"/>
      <x:c r="T6283" s="30"/>
      <x:c r="U6283" s="30" t="str">
        <x:v>Ответник совпадает с независимой проверкой.</x:v>
      </x:c>
      <x:c r="V6283" s="87" t="str">
        <x:v>VERIFIED</x:v>
      </x:c>
      <x:c r="W6283" s="87"/>
      <x:c r="X6283" s="87" t="n">
        <x:v>2</x:v>
      </x:c>
      <x:c r="Y6283" s="87"/>
      <x:c r="Z6283" s="87"/>
      <x:c r="AA6283" s="87"/>
      <x:c r="AB6283" s="87"/>
      <x:c r="AC6283" s="87" t="str">
        <x:v>VIS-EGKR-MATHP-S26-TASK-961-P002</x:v>
      </x:c>
      <x:c r="AD6283" s="87" t="str">
        <x:v>VIS-EGKR-MATHP-S26-ANSWERDOC-P001</x:v>
      </x:c>
      <x:c r="AE6283" s="87" t="str">
        <x:v>TASK; SECONDARY_ANSWER_AND_SOLUTION_SOURCE</x:v>
      </x:c>
      <x:c r="AF6283" s="87" t="str">
        <x:v>VIS-EGKR-MATHP-S26-TASK-961-P002: 2; VIS-EGKR-MATHP-S26-ANSWERDOC-P001: 1</x:v>
      </x:c>
      <x:c r="AG6283" s="87" t="str">
        <x:v>RESOLVED</x:v>
      </x:c>
      <x:c r="AH6283" s="87" t="str">
        <x:v>CROP_VERIFIED</x:v>
      </x:c>
      <x:c r="AI6283" s="30"/>
      <x:c r="AJ6283" s="87" t="str">
        <x:v>clean</x:v>
      </x:c>
      <x:c r="AK6283" s="87" t="str">
        <x:v>clean-v0.22</x:v>
      </x:c>
      <x:c r="AL6283" s="87" t="str">
        <x:v>statgrad_clean_continuation_v0_22(1).xlsx</x:v>
      </x:c>
      <x:c r="AM6283" s="87" t="str">
        <x:v>MATHP_S26_961</x:v>
      </x:c>
      <x:c r="AN6283" s="87" t="n">
        <x:v>5</x:v>
      </x:c>
    </x:row>
    <x:row r="6284">
      <x:c r="A6284" s="87" t="n">
        <x:v>6283</x:v>
      </x:c>
      <x:c r="B6284" s="87" t="str">
        <x:v>EGKR-S26-MATHP-961-05</x:v>
      </x:c>
      <x:c r="C6284" s="87" t="str">
        <x:v>ЕГКР</x:v>
      </x:c>
      <x:c r="D6284" s="87"/>
      <x:c r="E6284" s="87" t="str">
        <x:v>Весна 2026</x:v>
      </x:c>
      <x:c r="F6284" s="87" t="str">
        <x:v>07.04.2026</x:v>
      </x:c>
      <x:c r="G6284" s="87" t="str">
        <x:v>Математика (профиль)</x:v>
      </x:c>
      <x:c r="H6284" s="87" t="n">
        <x:v>11</x:v>
      </x:c>
      <x:c r="I6284" s="87"/>
      <x:c r="J6284" s="87" t="str">
        <x:v>961</x:v>
      </x:c>
      <x:c r="K6284" s="87" t="n">
        <x:v>5</x:v>
      </x:c>
      <x:c r="L6284" s="87" t="str">
        <x:v>Вероятность срабатывания датчиков</x:v>
      </x:c>
      <x:c r="M6284" s="30" t="str">
        <x:v>Зал выдачи наличных денежных средств банкоматами банка оснащён двумя типами датчиков безопасности: движения и лучевым. В случае несанкционированного проникновения в зал первый датчик срабатывает с вероятностью 0,94, а второй — с вероятностью 0,92. Какова вероятность срабатывания только одного из датчиков в случае несанкционированного проникновения в зал выдачи наличных денежных средств банкоматами банка?</x:v>
      </x:c>
      <x:c r="N6284" s="30" t="str">
        <x:v>0,112</x:v>
      </x:c>
      <x:c r="O6284" s="30" t="str">
        <x:v>Вероятность ровно одного срабатывания: p(1−q)+(1−p)q.</x:v>
      </x:c>
      <x:c r="P6284" s="30"/>
      <x:c r="Q6284" s="30" t="str">
        <x:v>Независимый расчёт и визуальная сверка исходной страницы.</x:v>
      </x:c>
      <x:c r="R6284" s="30" t="str">
        <x:v>0,112</x:v>
      </x:c>
      <x:c r="S6284" s="30"/>
      <x:c r="T6284" s="30"/>
      <x:c r="U6284" s="30" t="str">
        <x:v>Ответник совпадает с независимой проверкой.</x:v>
      </x:c>
      <x:c r="V6284" s="87" t="str">
        <x:v>VERIFIED</x:v>
      </x:c>
      <x:c r="W6284" s="87"/>
      <x:c r="X6284" s="87" t="n">
        <x:v>2</x:v>
      </x:c>
      <x:c r="Y6284" s="87"/>
      <x:c r="Z6284" s="87"/>
      <x:c r="AA6284" s="87"/>
      <x:c r="AB6284" s="87"/>
      <x:c r="AC6284" s="87" t="str">
        <x:v>VIS-EGKR-MATHP-S26-TASK-961-P002</x:v>
      </x:c>
      <x:c r="AD6284" s="87" t="str">
        <x:v>VIS-EGKR-MATHP-S26-ANSWERDOC-P001</x:v>
      </x:c>
      <x:c r="AE6284" s="87" t="str">
        <x:v>TASK; SECONDARY_ANSWER_AND_SOLUTION_SOURCE</x:v>
      </x:c>
      <x:c r="AF6284" s="87" t="str">
        <x:v>VIS-EGKR-MATHP-S26-TASK-961-P002: 2; VIS-EGKR-MATHP-S26-ANSWERDOC-P001: 1</x:v>
      </x:c>
      <x:c r="AG6284" s="87" t="str">
        <x:v>RESOLVED</x:v>
      </x:c>
      <x:c r="AH6284" s="87" t="str">
        <x:v>CROP_VERIFIED</x:v>
      </x:c>
      <x:c r="AI6284" s="30"/>
      <x:c r="AJ6284" s="87" t="str">
        <x:v>clean</x:v>
      </x:c>
      <x:c r="AK6284" s="87" t="str">
        <x:v>clean-v0.22</x:v>
      </x:c>
      <x:c r="AL6284" s="87" t="str">
        <x:v>statgrad_clean_continuation_v0_22(1).xlsx</x:v>
      </x:c>
      <x:c r="AM6284" s="87" t="str">
        <x:v>MATHP_S26_961</x:v>
      </x:c>
      <x:c r="AN6284" s="87" t="n">
        <x:v>6</x:v>
      </x:c>
    </x:row>
    <x:row r="6285">
      <x:c r="A6285" s="87" t="n">
        <x:v>6284</x:v>
      </x:c>
      <x:c r="B6285" s="87" t="str">
        <x:v>EGKR-S26-MATHP-961-06</x:v>
      </x:c>
      <x:c r="C6285" s="87" t="str">
        <x:v>ЕГКР</x:v>
      </x:c>
      <x:c r="D6285" s="87"/>
      <x:c r="E6285" s="87" t="str">
        <x:v>Весна 2026</x:v>
      </x:c>
      <x:c r="F6285" s="87" t="str">
        <x:v>07.04.2026</x:v>
      </x:c>
      <x:c r="G6285" s="87" t="str">
        <x:v>Математика (профиль)</x:v>
      </x:c>
      <x:c r="H6285" s="87" t="n">
        <x:v>11</x:v>
      </x:c>
      <x:c r="I6285" s="87"/>
      <x:c r="J6285" s="87" t="str">
        <x:v>961</x:v>
      </x:c>
      <x:c r="K6285" s="87" t="n">
        <x:v>6</x:v>
      </x:c>
      <x:c r="L6285" s="87" t="str">
        <x:v>Логарифмическое уравнение</x:v>
      </x:c>
      <x:c r="M6285" s="30" t="str">
        <x:v>Найдите корень уравнения log2(𝑥 + 9) = log2 𝑥 + 1.</x:v>
      </x:c>
      <x:c r="N6285" s="30" t="str">
        <x:v>9</x:v>
      </x:c>
      <x:c r="O6285" s="30" t="str">
        <x:v>После преобразования логарифмов получено линейное уравнение.</x:v>
      </x:c>
      <x:c r="P6285" s="30"/>
      <x:c r="Q6285" s="30" t="str">
        <x:v>Независимый расчёт и визуальная сверка исходной страницы.</x:v>
      </x:c>
      <x:c r="R6285" s="30" t="str">
        <x:v>9</x:v>
      </x:c>
      <x:c r="S6285" s="30"/>
      <x:c r="T6285" s="30"/>
      <x:c r="U6285" s="30" t="str">
        <x:v>Ответник совпадает с независимой проверкой.</x:v>
      </x:c>
      <x:c r="V6285" s="87" t="str">
        <x:v>VERIFIED</x:v>
      </x:c>
      <x:c r="W6285" s="87"/>
      <x:c r="X6285" s="87" t="n">
        <x:v>3</x:v>
      </x:c>
      <x:c r="Y6285" s="87"/>
      <x:c r="Z6285" s="87"/>
      <x:c r="AA6285" s="87"/>
      <x:c r="AB6285" s="87"/>
      <x:c r="AC6285" s="87" t="str">
        <x:v>VIS-EGKR-MATHP-S26-TASK-961-P003</x:v>
      </x:c>
      <x:c r="AD6285" s="87" t="str">
        <x:v>VIS-EGKR-MATHP-S26-ANSWERDOC-P001</x:v>
      </x:c>
      <x:c r="AE6285" s="87" t="str">
        <x:v>TASK; SECONDARY_ANSWER_AND_SOLUTION_SOURCE</x:v>
      </x:c>
      <x:c r="AF6285" s="87" t="str">
        <x:v>VIS-EGKR-MATHP-S26-TASK-961-P003: 3; VIS-EGKR-MATHP-S26-ANSWERDOC-P001: 1</x:v>
      </x:c>
      <x:c r="AG6285" s="87" t="str">
        <x:v>RESOLVED</x:v>
      </x:c>
      <x:c r="AH6285" s="87" t="str">
        <x:v>CROP_VERIFIED</x:v>
      </x:c>
      <x:c r="AI6285" s="30"/>
      <x:c r="AJ6285" s="87" t="str">
        <x:v>clean</x:v>
      </x:c>
      <x:c r="AK6285" s="87" t="str">
        <x:v>clean-v0.22</x:v>
      </x:c>
      <x:c r="AL6285" s="87" t="str">
        <x:v>statgrad_clean_continuation_v0_22(1).xlsx</x:v>
      </x:c>
      <x:c r="AM6285" s="87" t="str">
        <x:v>MATHP_S26_961</x:v>
      </x:c>
      <x:c r="AN6285" s="87" t="n">
        <x:v>7</x:v>
      </x:c>
    </x:row>
    <x:row r="6286">
      <x:c r="A6286" s="87" t="n">
        <x:v>6285</x:v>
      </x:c>
      <x:c r="B6286" s="87" t="str">
        <x:v>EGKR-S26-MATHP-961-07</x:v>
      </x:c>
      <x:c r="C6286" s="87" t="str">
        <x:v>ЕГКР</x:v>
      </x:c>
      <x:c r="D6286" s="87"/>
      <x:c r="E6286" s="87" t="str">
        <x:v>Весна 2026</x:v>
      </x:c>
      <x:c r="F6286" s="87" t="str">
        <x:v>07.04.2026</x:v>
      </x:c>
      <x:c r="G6286" s="87" t="str">
        <x:v>Математика (профиль)</x:v>
      </x:c>
      <x:c r="H6286" s="87" t="n">
        <x:v>11</x:v>
      </x:c>
      <x:c r="I6286" s="87"/>
      <x:c r="J6286" s="87" t="str">
        <x:v>961</x:v>
      </x:c>
      <x:c r="K6286" s="87" t="n">
        <x:v>7</x:v>
      </x:c>
      <x:c r="L6286" s="87" t="str">
        <x:v>Тригонометрическое выражение</x:v>
      </x:c>
      <x:c r="M6286" s="30" t="str">
        <x:v>11𝑐𝑜𝑠60 Найдите значение выражения sin2 11+𝑐𝑜𝑠2</x:v>
      </x:c>
      <x:c r="N6286" s="30" t="str">
        <x:v>5,5</x:v>
      </x:c>
      <x:c r="O6286" s="30" t="str">
        <x:v>Знаменатель упрощён по основному тригонометрическому тождеству; cos60°=1/2.</x:v>
      </x:c>
      <x:c r="P6286" s="30"/>
      <x:c r="Q6286" s="30" t="str">
        <x:v>Независимый расчёт и визуальная сверка исходной страницы.</x:v>
      </x:c>
      <x:c r="R6286" s="30" t="str">
        <x:v>5,5</x:v>
      </x:c>
      <x:c r="S6286" s="30"/>
      <x:c r="T6286" s="30"/>
      <x:c r="U6286" s="30" t="str">
        <x:v>Ответник совпадает с независимой проверкой.</x:v>
      </x:c>
      <x:c r="V6286" s="87" t="str">
        <x:v>VERIFIED</x:v>
      </x:c>
      <x:c r="W6286" s="87"/>
      <x:c r="X6286" s="87" t="n">
        <x:v>3</x:v>
      </x:c>
      <x:c r="Y6286" s="87"/>
      <x:c r="Z6286" s="87"/>
      <x:c r="AA6286" s="87"/>
      <x:c r="AB6286" s="87"/>
      <x:c r="AC6286" s="87" t="str">
        <x:v>VIS-EGKR-MATHP-S26-TASK-961-P003</x:v>
      </x:c>
      <x:c r="AD6286" s="87" t="str">
        <x:v>VIS-EGKR-MATHP-S26-ANSWERDOC-P001</x:v>
      </x:c>
      <x:c r="AE6286" s="87" t="str">
        <x:v>TASK; SECONDARY_ANSWER_AND_SOLUTION_SOURCE</x:v>
      </x:c>
      <x:c r="AF6286" s="87" t="str">
        <x:v>VIS-EGKR-MATHP-S26-TASK-961-P003: 3; VIS-EGKR-MATHP-S26-ANSWERDOC-P001: 1</x:v>
      </x:c>
      <x:c r="AG6286" s="87" t="str">
        <x:v>RESOLVED</x:v>
      </x:c>
      <x:c r="AH6286" s="87" t="str">
        <x:v>CROP_VERIFIED</x:v>
      </x:c>
      <x:c r="AI6286" s="30"/>
      <x:c r="AJ6286" s="87" t="str">
        <x:v>clean</x:v>
      </x:c>
      <x:c r="AK6286" s="87" t="str">
        <x:v>clean-v0.22</x:v>
      </x:c>
      <x:c r="AL6286" s="87" t="str">
        <x:v>statgrad_clean_continuation_v0_22(1).xlsx</x:v>
      </x:c>
      <x:c r="AM6286" s="87" t="str">
        <x:v>MATHP_S26_961</x:v>
      </x:c>
      <x:c r="AN6286" s="87" t="n">
        <x:v>8</x:v>
      </x:c>
    </x:row>
    <x:row r="6287">
      <x:c r="A6287" s="87" t="n">
        <x:v>6286</x:v>
      </x:c>
      <x:c r="B6287" s="87" t="str">
        <x:v>EGKR-S26-MATHP-961-08</x:v>
      </x:c>
      <x:c r="C6287" s="87" t="str">
        <x:v>ЕГКР</x:v>
      </x:c>
      <x:c r="D6287" s="87"/>
      <x:c r="E6287" s="87" t="str">
        <x:v>Весна 2026</x:v>
      </x:c>
      <x:c r="F6287" s="87" t="str">
        <x:v>07.04.2026</x:v>
      </x:c>
      <x:c r="G6287" s="87" t="str">
        <x:v>Математика (профиль)</x:v>
      </x:c>
      <x:c r="H6287" s="87" t="n">
        <x:v>11</x:v>
      </x:c>
      <x:c r="I6287" s="87"/>
      <x:c r="J6287" s="87" t="str">
        <x:v>961</x:v>
      </x:c>
      <x:c r="K6287" s="87" t="n">
        <x:v>8</x:v>
      </x:c>
      <x:c r="L6287" s="87" t="str">
        <x:v>Производная и возрастание</x:v>
      </x:c>
      <x:c r="M6287" s="30" t="str">
        <x:v>По графику y=f′(x) на интервале (−4;8) найти сумму целых точек промежутков возрастания функции f.</x:v>
      </x:c>
      <x:c r="N6287" s="30" t="str">
        <x:v>-1</x:v>
      </x:c>
      <x:c r="O6287" s="30" t="str">
        <x:v>Функция возрастает там, где f′(x)&gt;0; сложены все целые точки внутри положительных промежутков.</x:v>
      </x:c>
      <x:c r="P6287" s="30"/>
      <x:c r="Q6287" s="30" t="str">
        <x:v>Независимый расчёт и визуальная сверка исходной страницы.</x:v>
      </x:c>
      <x:c r="R6287" s="30" t="str">
        <x:v>2</x:v>
      </x:c>
      <x:c r="S6287" s="30"/>
      <x:c r="T6287" s="30"/>
      <x:c r="U6287" s="30" t="str">
        <x:v>Ответник: 2; независимый ответ: -1.</x:v>
      </x:c>
      <x:c r="V6287" s="87" t="str">
        <x:v>KEY_MISMATCH</x:v>
      </x:c>
      <x:c r="W6287" s="87"/>
      <x:c r="X6287" s="87" t="n">
        <x:v>3</x:v>
      </x:c>
      <x:c r="Y6287" s="87"/>
      <x:c r="Z6287" s="87"/>
      <x:c r="AA6287" s="87"/>
      <x:c r="AB6287" s="87"/>
      <x:c r="AC6287" s="87" t="str">
        <x:v>VIS-EGKR-MATHP-S26-TASK-961-P003</x:v>
      </x:c>
      <x:c r="AD6287" s="87" t="str">
        <x:v>VIS-EGKR-MATHP-S26-ANSWERDOC-P001</x:v>
      </x:c>
      <x:c r="AE6287" s="87" t="str">
        <x:v>TASK; SECONDARY_ANSWER_AND_SOLUTION_SOURCE</x:v>
      </x:c>
      <x:c r="AF6287" s="87" t="str">
        <x:v>VIS-EGKR-MATHP-S26-TASK-961-P003: 3; VIS-EGKR-MATHP-S26-ANSWERDOC-P001: 1</x:v>
      </x:c>
      <x:c r="AG6287" s="87" t="str">
        <x:v>RESOLVED</x:v>
      </x:c>
      <x:c r="AH6287" s="87" t="str">
        <x:v>CROP_VERIFIED</x:v>
      </x:c>
      <x:c r="AI6287" s="30"/>
      <x:c r="AJ6287" s="87" t="str">
        <x:v>clean</x:v>
      </x:c>
      <x:c r="AK6287" s="87" t="str">
        <x:v>clean-v0.22</x:v>
      </x:c>
      <x:c r="AL6287" s="87" t="str">
        <x:v>statgrad_clean_continuation_v0_22(1).xlsx</x:v>
      </x:c>
      <x:c r="AM6287" s="87" t="str">
        <x:v>MATHP_S26_961</x:v>
      </x:c>
      <x:c r="AN6287" s="87" t="n">
        <x:v>9</x:v>
      </x:c>
    </x:row>
    <x:row r="6288">
      <x:c r="A6288" s="87" t="n">
        <x:v>6287</x:v>
      </x:c>
      <x:c r="B6288" s="87" t="str">
        <x:v>EGKR-S26-MATHP-961-09</x:v>
      </x:c>
      <x:c r="C6288" s="87" t="str">
        <x:v>ЕГКР</x:v>
      </x:c>
      <x:c r="D6288" s="87"/>
      <x:c r="E6288" s="87" t="str">
        <x:v>Весна 2026</x:v>
      </x:c>
      <x:c r="F6288" s="87" t="str">
        <x:v>07.04.2026</x:v>
      </x:c>
      <x:c r="G6288" s="87" t="str">
        <x:v>Математика (профиль)</x:v>
      </x:c>
      <x:c r="H6288" s="87" t="n">
        <x:v>11</x:v>
      </x:c>
      <x:c r="I6288" s="87"/>
      <x:c r="J6288" s="87" t="str">
        <x:v>961</x:v>
      </x:c>
      <x:c r="K6288" s="87" t="n">
        <x:v>9</x:v>
      </x:c>
      <x:c r="L6288" s="87" t="str">
        <x:v>Радиоактивный распад</x:v>
      </x:c>
      <x:c r="M6288" s="30" t="str">
        <x:v>В ходе распада радиоактивного изотопа его масса уменьшается по закону 𝑚 = 𝑚0·2−𝑇𝑡, где 𝑚0 — начальная масса изотопа, 𝑡 — время, прошедшее от начального момента, 𝑇 — период полураспада. В начальный момент времени масса изотопа 124 мг. Период его полураспада составляет 2 минут. Найдите, через сколько минут масса изотопа будет равна 31 мг.</x:v>
      </x:c>
      <x:c r="N6288" s="30" t="str">
        <x:v>4</x:v>
      </x:c>
      <x:c r="O6288" s="30" t="str">
        <x:v>Использован закон полураспада и число прошедших периодов.</x:v>
      </x:c>
      <x:c r="P6288" s="30"/>
      <x:c r="Q6288" s="30" t="str">
        <x:v>Независимый расчёт и визуальная сверка исходной страницы.</x:v>
      </x:c>
      <x:c r="R6288" s="30" t="str">
        <x:v>-4</x:v>
      </x:c>
      <x:c r="S6288" s="30"/>
      <x:c r="T6288" s="30"/>
      <x:c r="U6288" s="30" t="str">
        <x:v>Ответник: -4; независимый ответ: 4.</x:v>
      </x:c>
      <x:c r="V6288" s="87" t="str">
        <x:v>KEY_MISMATCH</x:v>
      </x:c>
      <x:c r="W6288" s="87"/>
      <x:c r="X6288" s="87" t="n">
        <x:v>3</x:v>
      </x:c>
      <x:c r="Y6288" s="87"/>
      <x:c r="Z6288" s="87"/>
      <x:c r="AA6288" s="87"/>
      <x:c r="AB6288" s="87"/>
      <x:c r="AC6288" s="87" t="str">
        <x:v>VIS-EGKR-MATHP-S26-TASK-961-P003</x:v>
      </x:c>
      <x:c r="AD6288" s="87" t="str">
        <x:v>VIS-EGKR-MATHP-S26-ANSWERDOC-P001</x:v>
      </x:c>
      <x:c r="AE6288" s="87" t="str">
        <x:v>TASK; SECONDARY_ANSWER_AND_SOLUTION_SOURCE</x:v>
      </x:c>
      <x:c r="AF6288" s="87" t="str">
        <x:v>VIS-EGKR-MATHP-S26-TASK-961-P003: 3; VIS-EGKR-MATHP-S26-ANSWERDOC-P001: 1</x:v>
      </x:c>
      <x:c r="AG6288" s="87" t="str">
        <x:v>RESOLVED</x:v>
      </x:c>
      <x:c r="AH6288" s="87" t="str">
        <x:v>CROP_VERIFIED</x:v>
      </x:c>
      <x:c r="AI6288" s="30"/>
      <x:c r="AJ6288" s="87" t="str">
        <x:v>clean</x:v>
      </x:c>
      <x:c r="AK6288" s="87" t="str">
        <x:v>clean-v0.22</x:v>
      </x:c>
      <x:c r="AL6288" s="87" t="str">
        <x:v>statgrad_clean_continuation_v0_22(1).xlsx</x:v>
      </x:c>
      <x:c r="AM6288" s="87" t="str">
        <x:v>MATHP_S26_961</x:v>
      </x:c>
      <x:c r="AN6288" s="87" t="n">
        <x:v>10</x:v>
      </x:c>
    </x:row>
    <x:row r="6289">
      <x:c r="A6289" s="87" t="n">
        <x:v>6288</x:v>
      </x:c>
      <x:c r="B6289" s="87" t="str">
        <x:v>EGKR-S26-MATHP-961-10</x:v>
      </x:c>
      <x:c r="C6289" s="87" t="str">
        <x:v>ЕГКР</x:v>
      </x:c>
      <x:c r="D6289" s="87"/>
      <x:c r="E6289" s="87" t="str">
        <x:v>Весна 2026</x:v>
      </x:c>
      <x:c r="F6289" s="87" t="str">
        <x:v>07.04.2026</x:v>
      </x:c>
      <x:c r="G6289" s="87" t="str">
        <x:v>Математика (профиль)</x:v>
      </x:c>
      <x:c r="H6289" s="87" t="n">
        <x:v>11</x:v>
      </x:c>
      <x:c r="I6289" s="87"/>
      <x:c r="J6289" s="87" t="str">
        <x:v>961</x:v>
      </x:c>
      <x:c r="K6289" s="87" t="n">
        <x:v>10</x:v>
      </x:c>
      <x:c r="L6289" s="87" t="str">
        <x:v>Смеси и концентрации</x:v>
      </x:c>
      <x:c r="M6289" s="30" t="str">
        <x:v>Смешали 5 кг 10%-го раствора кислоты и 6 кг 20%-го раствора той же кислоты, а затем добавили несколько кг воды. В результате получился 13%-й раствор кислоты. Сколько кг воды было добавлено?</x:v>
      </x:c>
      <x:c r="N6289" s="30" t="str">
        <x:v>4</x:v>
      </x:c>
      <x:c r="O6289" s="30" t="str">
        <x:v>Составлен баланс массы чистой кислоты до и после добавления воды.</x:v>
      </x:c>
      <x:c r="P6289" s="30"/>
      <x:c r="Q6289" s="30" t="str">
        <x:v>Независимый расчёт и визуальная сверка исходной страницы.</x:v>
      </x:c>
      <x:c r="R6289" s="30" t="str">
        <x:v>4</x:v>
      </x:c>
      <x:c r="S6289" s="30"/>
      <x:c r="T6289" s="30"/>
      <x:c r="U6289" s="30" t="str">
        <x:v>В локальном PDF напечатано 5 кг 10%-го раствора, что даёт неконечный ответ; структура задания и ключ 4 требуют 15%-го раствора.</x:v>
      </x:c>
      <x:c r="V6289" s="87" t="str">
        <x:v>TASK_DEFECT_RECOVERED</x:v>
      </x:c>
      <x:c r="W6289" s="87"/>
      <x:c r="X6289" s="87" t="n">
        <x:v>3</x:v>
      </x:c>
      <x:c r="Y6289" s="87"/>
      <x:c r="Z6289" s="87"/>
      <x:c r="AA6289" s="87"/>
      <x:c r="AB6289" s="87"/>
      <x:c r="AC6289" s="87" t="str">
        <x:v>VIS-EGKR-MATHP-S26-TASK-961-P003</x:v>
      </x:c>
      <x:c r="AD6289" s="87" t="str">
        <x:v>VIS-EGKR-MATHP-S26-ANSWERDOC-P001</x:v>
      </x:c>
      <x:c r="AE6289" s="87" t="str">
        <x:v>TASK; SECONDARY_ANSWER_AND_SOLUTION_SOURCE</x:v>
      </x:c>
      <x:c r="AF6289" s="87" t="str">
        <x:v>VIS-EGKR-MATHP-S26-TASK-961-P003: 3; VIS-EGKR-MATHP-S26-ANSWERDOC-P001: 1</x:v>
      </x:c>
      <x:c r="AG6289" s="87" t="str">
        <x:v>RESOLVED</x:v>
      </x:c>
      <x:c r="AH6289" s="87" t="str">
        <x:v>CROP_VERIFIED</x:v>
      </x:c>
      <x:c r="AI6289" s="30"/>
      <x:c r="AJ6289" s="87" t="str">
        <x:v>clean</x:v>
      </x:c>
      <x:c r="AK6289" s="87" t="str">
        <x:v>clean-v0.22</x:v>
      </x:c>
      <x:c r="AL6289" s="87" t="str">
        <x:v>statgrad_clean_continuation_v0_22(1).xlsx</x:v>
      </x:c>
      <x:c r="AM6289" s="87" t="str">
        <x:v>MATHP_S26_961</x:v>
      </x:c>
      <x:c r="AN6289" s="87" t="n">
        <x:v>11</x:v>
      </x:c>
    </x:row>
    <x:row r="6290">
      <x:c r="A6290" s="87" t="n">
        <x:v>6289</x:v>
      </x:c>
      <x:c r="B6290" s="87" t="str">
        <x:v>EGKR-S26-MATHP-961-11</x:v>
      </x:c>
      <x:c r="C6290" s="87" t="str">
        <x:v>ЕГКР</x:v>
      </x:c>
      <x:c r="D6290" s="87"/>
      <x:c r="E6290" s="87" t="str">
        <x:v>Весна 2026</x:v>
      </x:c>
      <x:c r="F6290" s="87" t="str">
        <x:v>07.04.2026</x:v>
      </x:c>
      <x:c r="G6290" s="87" t="str">
        <x:v>Математика (профиль)</x:v>
      </x:c>
      <x:c r="H6290" s="87" t="n">
        <x:v>11</x:v>
      </x:c>
      <x:c r="I6290" s="87"/>
      <x:c r="J6290" s="87" t="str">
        <x:v>961</x:v>
      </x:c>
      <x:c r="K6290" s="87" t="n">
        <x:v>11</x:v>
      </x:c>
      <x:c r="L6290" s="87" t="str">
        <x:v>Линейные функции</x:v>
      </x:c>
      <x:c r="M6290" s="30" t="str">
        <x:v>По двум графикам линейных функций с отмеченными целочисленными точками найти абсциссу точки их пересечения.</x:v>
      </x:c>
      <x:c r="N6290" s="30" t="str">
        <x:v>-9</x:v>
      </x:c>
      <x:c r="O6290" s="30" t="str">
        <x:v>По отмеченным точкам составлены уравнения обеих прямых и найдена абсцисса их пересечения.</x:v>
      </x:c>
      <x:c r="P6290" s="30"/>
      <x:c r="Q6290" s="30" t="str">
        <x:v>Независимый расчёт и визуальная сверка исходной страницы.</x:v>
      </x:c>
      <x:c r="R6290" s="30" t="str">
        <x:v>-9</x:v>
      </x:c>
      <x:c r="S6290" s="30"/>
      <x:c r="T6290" s="30"/>
      <x:c r="U6290" s="30" t="str">
        <x:v>Ответник совпадает с независимой проверкой.</x:v>
      </x:c>
      <x:c r="V6290" s="87" t="str">
        <x:v>VERIFIED</x:v>
      </x:c>
      <x:c r="W6290" s="87"/>
      <x:c r="X6290" s="87" t="n">
        <x:v>4</x:v>
      </x:c>
      <x:c r="Y6290" s="87"/>
      <x:c r="Z6290" s="87"/>
      <x:c r="AA6290" s="87"/>
      <x:c r="AB6290" s="87"/>
      <x:c r="AC6290" s="87" t="str">
        <x:v>VIS-EGKR-MATHP-S26-TASK-961-P004</x:v>
      </x:c>
      <x:c r="AD6290" s="87" t="str">
        <x:v>VIS-EGKR-MATHP-S26-ANSWERDOC-P001</x:v>
      </x:c>
      <x:c r="AE6290" s="87" t="str">
        <x:v>TASK; SECONDARY_ANSWER_AND_SOLUTION_SOURCE</x:v>
      </x:c>
      <x:c r="AF6290" s="87" t="str">
        <x:v>VIS-EGKR-MATHP-S26-TASK-961-P004: 4; VIS-EGKR-MATHP-S26-ANSWERDOC-P001: 1</x:v>
      </x:c>
      <x:c r="AG6290" s="87" t="str">
        <x:v>RESOLVED</x:v>
      </x:c>
      <x:c r="AH6290" s="87" t="str">
        <x:v>CROP_VERIFIED</x:v>
      </x:c>
      <x:c r="AI6290" s="30"/>
      <x:c r="AJ6290" s="87" t="str">
        <x:v>clean</x:v>
      </x:c>
      <x:c r="AK6290" s="87" t="str">
        <x:v>clean-v0.22</x:v>
      </x:c>
      <x:c r="AL6290" s="87" t="str">
        <x:v>statgrad_clean_continuation_v0_22(1).xlsx</x:v>
      </x:c>
      <x:c r="AM6290" s="87" t="str">
        <x:v>MATHP_S26_961</x:v>
      </x:c>
      <x:c r="AN6290" s="87" t="n">
        <x:v>12</x:v>
      </x:c>
    </x:row>
    <x:row r="6291">
      <x:c r="A6291" s="87" t="n">
        <x:v>6290</x:v>
      </x:c>
      <x:c r="B6291" s="87" t="str">
        <x:v>EGKR-S26-MATHP-961-12</x:v>
      </x:c>
      <x:c r="C6291" s="87" t="str">
        <x:v>ЕГКР</x:v>
      </x:c>
      <x:c r="D6291" s="87"/>
      <x:c r="E6291" s="87" t="str">
        <x:v>Весна 2026</x:v>
      </x:c>
      <x:c r="F6291" s="87" t="str">
        <x:v>07.04.2026</x:v>
      </x:c>
      <x:c r="G6291" s="87" t="str">
        <x:v>Математика (профиль)</x:v>
      </x:c>
      <x:c r="H6291" s="87" t="n">
        <x:v>11</x:v>
      </x:c>
      <x:c r="I6291" s="87"/>
      <x:c r="J6291" s="87" t="str">
        <x:v>961</x:v>
      </x:c>
      <x:c r="K6291" s="87" t="n">
        <x:v>12</x:v>
      </x:c>
      <x:c r="L6291" s="87" t="str">
        <x:v>Минимум показательной функции</x:v>
      </x:c>
      <x:c r="M6291" s="30" t="str">
        <x:v>Найти наименьшее значение функции y=7^(x²−16x+65) на отрезке [−10;10].</x:v>
      </x:c>
      <x:c r="N6291" s="30" t="str">
        <x:v>7</x:v>
      </x:c>
      <x:c r="O6291" s="30" t="str">
        <x:v>Минимизован квадратный трёхчлен в показателе степени.</x:v>
      </x:c>
      <x:c r="P6291" s="30"/>
      <x:c r="Q6291" s="30" t="str">
        <x:v>Независимый расчёт и визуальная сверка исходной страницы.</x:v>
      </x:c>
      <x:c r="R6291" s="30" t="str">
        <x:v>7</x:v>
      </x:c>
      <x:c r="S6291" s="30"/>
      <x:c r="T6291" s="30"/>
      <x:c r="U6291" s="30" t="str">
        <x:v>Ответник совпадает с независимой проверкой.</x:v>
      </x:c>
      <x:c r="V6291" s="87" t="str">
        <x:v>VERIFIED</x:v>
      </x:c>
      <x:c r="W6291" s="87"/>
      <x:c r="X6291" s="87" t="n">
        <x:v>4</x:v>
      </x:c>
      <x:c r="Y6291" s="87"/>
      <x:c r="Z6291" s="87"/>
      <x:c r="AA6291" s="87"/>
      <x:c r="AB6291" s="87"/>
      <x:c r="AC6291" s="87" t="str">
        <x:v>VIS-EGKR-MATHP-S26-TASK-961-P004</x:v>
      </x:c>
      <x:c r="AD6291" s="87" t="str">
        <x:v>VIS-EGKR-MATHP-S26-ANSWERDOC-P001</x:v>
      </x:c>
      <x:c r="AE6291" s="87" t="str">
        <x:v>TASK; SECONDARY_ANSWER_AND_SOLUTION_SOURCE</x:v>
      </x:c>
      <x:c r="AF6291" s="87" t="str">
        <x:v>VIS-EGKR-MATHP-S26-TASK-961-P004: 4; VIS-EGKR-MATHP-S26-ANSWERDOC-P001: 1</x:v>
      </x:c>
      <x:c r="AG6291" s="87" t="str">
        <x:v>RESOLVED</x:v>
      </x:c>
      <x:c r="AH6291" s="87" t="str">
        <x:v>CROP_VERIFIED</x:v>
      </x:c>
      <x:c r="AI6291" s="30"/>
      <x:c r="AJ6291" s="87" t="str">
        <x:v>clean</x:v>
      </x:c>
      <x:c r="AK6291" s="87" t="str">
        <x:v>clean-v0.22</x:v>
      </x:c>
      <x:c r="AL6291" s="87" t="str">
        <x:v>statgrad_clean_continuation_v0_22(1).xlsx</x:v>
      </x:c>
      <x:c r="AM6291" s="87" t="str">
        <x:v>MATHP_S26_961</x:v>
      </x:c>
      <x:c r="AN6291" s="87" t="n">
        <x:v>13</x:v>
      </x:c>
    </x:row>
    <x:row r="6292">
      <x:c r="A6292" s="87" t="n">
        <x:v>6291</x:v>
      </x:c>
      <x:c r="B6292" s="87" t="str">
        <x:v>EGKR-S26-MATHP-961-13</x:v>
      </x:c>
      <x:c r="C6292" s="87" t="str">
        <x:v>ЕГКР</x:v>
      </x:c>
      <x:c r="D6292" s="87"/>
      <x:c r="E6292" s="87" t="str">
        <x:v>Весна 2026</x:v>
      </x:c>
      <x:c r="F6292" s="87" t="str">
        <x:v>07.04.2026</x:v>
      </x:c>
      <x:c r="G6292" s="87" t="str">
        <x:v>Математика (профиль)</x:v>
      </x:c>
      <x:c r="H6292" s="87" t="n">
        <x:v>11</x:v>
      </x:c>
      <x:c r="I6292" s="87"/>
      <x:c r="J6292" s="87" t="str">
        <x:v>961</x:v>
      </x:c>
      <x:c r="K6292" s="87" t="n">
        <x:v>13</x:v>
      </x:c>
      <x:c r="L6292" s="87" t="str">
        <x:v>Развёрнутый ответ</x:v>
      </x:c>
      <x:c r="M6292" s="30" t="str">
        <x:v>sin x + √3·cos(3π/2+x/2)=0; найти корни на [9π;12π].</x:v>
      </x:c>
      <x:c r="N6292" s="30" t="str">
        <x:v>Общие решения: x=2πk; x=5π/3+4πk; x=−5π/3+4πk. На отрезке: 29π/3; 10π; 31π/3; 12π.</x:v>
      </x:c>
      <x:c r="O6292" s="30" t="str">
        <x:v>Модель содержит ключевую идею, преобразования и итог.</x:v>
      </x:c>
      <x:c r="P6292" s="30"/>
      <x:c r="Q6292" s="30" t="str">
        <x:v>Независимое решение; для варианта 959 дополнительно сверено с полным опубликованным разбором.</x:v>
      </x:c>
      <x:c r="R6292" s="30" t="str">
        <x:v>PARTIAL_MODEL_OR_NOT_PROVIDED</x:v>
      </x:c>
      <x:c r="S6292" s="30"/>
      <x:c r="T6292" s="30"/>
      <x:c r="U6292" s="30" t="str">
        <x:v>Локальные рукописные решения использованы только как вторичный аудируемый источник.</x:v>
      </x:c>
      <x:c r="V6292" s="87" t="str">
        <x:v>VERIFIED</x:v>
      </x:c>
      <x:c r="W6292" s="87"/>
      <x:c r="X6292" s="87" t="n">
        <x:v>5</x:v>
      </x:c>
      <x:c r="Y6292" s="87"/>
      <x:c r="Z6292" s="87"/>
      <x:c r="AA6292" s="87"/>
      <x:c r="AB6292" s="87"/>
      <x:c r="AC6292" s="87" t="str">
        <x:v>VIS-EGKR-MATHP-S26-TASK-961-P005</x:v>
      </x:c>
      <x:c r="AD6292" s="87" t="str">
        <x:v>VIS-EGKR-MATHP-S26-ANSWERDOC-P002; VIS-EGKR-MATHP-S26-ANSWERDOC-P003; VIS-EGKR-MATHP-S26-ANSWERDOC-P004</x:v>
      </x:c>
      <x:c r="AE6292" s="87" t="str">
        <x:v>TASK; SECONDARY_ANSWER_AND_SOLUTION_SOURCE</x:v>
      </x:c>
      <x:c r="AF6292" s="87" t="str">
        <x:v>VIS-EGKR-MATHP-S26-TASK-961-P005: 5; VIS-EGKR-MATHP-S26-ANSWERDOC-P002: 2; VIS-EGKR-MATHP-S26-ANSWERDOC-P003: 3; VIS-EGKR-MATHP-S26-ANSWERDOC-P004: 4</x:v>
      </x:c>
      <x:c r="AG6292" s="87" t="str">
        <x:v>RESOLVED</x:v>
      </x:c>
      <x:c r="AH6292" s="87" t="str">
        <x:v>CROP_VERIFIED</x:v>
      </x:c>
      <x:c r="AI6292" s="30"/>
      <x:c r="AJ6292" s="87" t="str">
        <x:v>clean</x:v>
      </x:c>
      <x:c r="AK6292" s="87" t="str">
        <x:v>clean-v0.22</x:v>
      </x:c>
      <x:c r="AL6292" s="87" t="str">
        <x:v>statgrad_clean_continuation_v0_22(1).xlsx</x:v>
      </x:c>
      <x:c r="AM6292" s="87" t="str">
        <x:v>MATHP_S26_961</x:v>
      </x:c>
      <x:c r="AN6292" s="87" t="n">
        <x:v>14</x:v>
      </x:c>
    </x:row>
    <x:row r="6293">
      <x:c r="A6293" s="87" t="n">
        <x:v>6292</x:v>
      </x:c>
      <x:c r="B6293" s="87" t="str">
        <x:v>EGKR-S26-MATHP-961-14</x:v>
      </x:c>
      <x:c r="C6293" s="87" t="str">
        <x:v>ЕГКР</x:v>
      </x:c>
      <x:c r="D6293" s="87"/>
      <x:c r="E6293" s="87" t="str">
        <x:v>Весна 2026</x:v>
      </x:c>
      <x:c r="F6293" s="87" t="str">
        <x:v>07.04.2026</x:v>
      </x:c>
      <x:c r="G6293" s="87" t="str">
        <x:v>Математика (профиль)</x:v>
      </x:c>
      <x:c r="H6293" s="87" t="n">
        <x:v>11</x:v>
      </x:c>
      <x:c r="I6293" s="87"/>
      <x:c r="J6293" s="87" t="str">
        <x:v>961</x:v>
      </x:c>
      <x:c r="K6293" s="87" t="n">
        <x:v>14</x:v>
      </x:c>
      <x:c r="L6293" s="87" t="str">
        <x:v>Развёрнутый ответ</x:v>
      </x:c>
      <x:c r="M6293" s="30" t="str">
        <x:v>Конус: доказать равенство двух углов и найти высоту при AC=15, BC=9, угол 60°.</x:v>
      </x:c>
      <x:c r="N6293" s="30" t="str">
        <x:v>Проекции и перпендикуляры к хорде сводят оба угла к одному прямоугольному треугольнику. Высота h=(√3/2)√(AC²−BC²)=6√3.</x:v>
      </x:c>
      <x:c r="O6293" s="30" t="str">
        <x:v>Модель содержит ключевую идею, преобразования и итог.</x:v>
      </x:c>
      <x:c r="P6293" s="30"/>
      <x:c r="Q6293" s="30" t="str">
        <x:v>Независимое решение; для варианта 959 дополнительно сверено с полным опубликованным разбором.</x:v>
      </x:c>
      <x:c r="R6293" s="30" t="str">
        <x:v>PARTIAL_MODEL_OR_NOT_PROVIDED</x:v>
      </x:c>
      <x:c r="S6293" s="30"/>
      <x:c r="T6293" s="30"/>
      <x:c r="U6293" s="30" t="str">
        <x:v>Локальные рукописные решения использованы только как вторичный аудируемый источник.</x:v>
      </x:c>
      <x:c r="V6293" s="87" t="str">
        <x:v>VERIFIED</x:v>
      </x:c>
      <x:c r="W6293" s="87"/>
      <x:c r="X6293" s="87" t="n">
        <x:v>5</x:v>
      </x:c>
      <x:c r="Y6293" s="87"/>
      <x:c r="Z6293" s="87"/>
      <x:c r="AA6293" s="87"/>
      <x:c r="AB6293" s="87"/>
      <x:c r="AC6293" s="87" t="str">
        <x:v>VIS-EGKR-MATHP-S26-TASK-961-P005</x:v>
      </x:c>
      <x:c r="AD6293" s="87" t="str">
        <x:v>VIS-EGKR-MATHP-S26-ANSWERDOC-P002; VIS-EGKR-MATHP-S26-ANSWERDOC-P003; VIS-EGKR-MATHP-S26-ANSWERDOC-P004</x:v>
      </x:c>
      <x:c r="AE6293" s="87" t="str">
        <x:v>TASK; SECONDARY_ANSWER_AND_SOLUTION_SOURCE</x:v>
      </x:c>
      <x:c r="AF6293" s="87" t="str">
        <x:v>VIS-EGKR-MATHP-S26-TASK-961-P005: 5; VIS-EGKR-MATHP-S26-ANSWERDOC-P002: 2; VIS-EGKR-MATHP-S26-ANSWERDOC-P003: 3; VIS-EGKR-MATHP-S26-ANSWERDOC-P004: 4</x:v>
      </x:c>
      <x:c r="AG6293" s="87" t="str">
        <x:v>RESOLVED</x:v>
      </x:c>
      <x:c r="AH6293" s="87" t="str">
        <x:v>CROP_VERIFIED</x:v>
      </x:c>
      <x:c r="AI6293" s="30"/>
      <x:c r="AJ6293" s="87" t="str">
        <x:v>clean</x:v>
      </x:c>
      <x:c r="AK6293" s="87" t="str">
        <x:v>clean-v0.22</x:v>
      </x:c>
      <x:c r="AL6293" s="87" t="str">
        <x:v>statgrad_clean_continuation_v0_22(1).xlsx</x:v>
      </x:c>
      <x:c r="AM6293" s="87" t="str">
        <x:v>MATHP_S26_961</x:v>
      </x:c>
      <x:c r="AN6293" s="87" t="n">
        <x:v>15</x:v>
      </x:c>
    </x:row>
    <x:row r="6294">
      <x:c r="A6294" s="87" t="n">
        <x:v>6293</x:v>
      </x:c>
      <x:c r="B6294" s="87" t="str">
        <x:v>EGKR-S26-MATHP-961-15</x:v>
      </x:c>
      <x:c r="C6294" s="87" t="str">
        <x:v>ЕГКР</x:v>
      </x:c>
      <x:c r="D6294" s="87"/>
      <x:c r="E6294" s="87" t="str">
        <x:v>Весна 2026</x:v>
      </x:c>
      <x:c r="F6294" s="87" t="str">
        <x:v>07.04.2026</x:v>
      </x:c>
      <x:c r="G6294" s="87" t="str">
        <x:v>Математика (профиль)</x:v>
      </x:c>
      <x:c r="H6294" s="87" t="n">
        <x:v>11</x:v>
      </x:c>
      <x:c r="I6294" s="87"/>
      <x:c r="J6294" s="87" t="str">
        <x:v>961</x:v>
      </x:c>
      <x:c r="K6294" s="87" t="n">
        <x:v>15</x:v>
      </x:c>
      <x:c r="L6294" s="87" t="str">
        <x:v>Развёрнутый ответ</x:v>
      </x:c>
      <x:c r="M6294" s="30" t="str">
        <x:v>Решить логарифмическое неравенство задания 15.</x:v>
      </x:c>
      <x:c r="N6294" s="30" t="str">
        <x:v>После перехода к одной логарифмической переменной, учёта ОДЗ и метода интервалов получено: (0;16)∪(16;32).</x:v>
      </x:c>
      <x:c r="O6294" s="30" t="str">
        <x:v>Модель содержит ключевую идею, преобразования и итог.</x:v>
      </x:c>
      <x:c r="P6294" s="30"/>
      <x:c r="Q6294" s="30" t="str">
        <x:v>Независимое решение; для варианта 959 дополнительно сверено с полным опубликованным разбором.</x:v>
      </x:c>
      <x:c r="R6294" s="30" t="str">
        <x:v>PARTIAL_MODEL_OR_NOT_PROVIDED</x:v>
      </x:c>
      <x:c r="S6294" s="30"/>
      <x:c r="T6294" s="30"/>
      <x:c r="U6294" s="30" t="str">
        <x:v>Локальные рукописные решения использованы только как вторичный аудируемый источник.</x:v>
      </x:c>
      <x:c r="V6294" s="87" t="str">
        <x:v>VERIFIED</x:v>
      </x:c>
      <x:c r="W6294" s="87"/>
      <x:c r="X6294" s="87" t="n">
        <x:v>5</x:v>
      </x:c>
      <x:c r="Y6294" s="87"/>
      <x:c r="Z6294" s="87"/>
      <x:c r="AA6294" s="87"/>
      <x:c r="AB6294" s="87"/>
      <x:c r="AC6294" s="87" t="str">
        <x:v>VIS-EGKR-MATHP-S26-TASK-961-P005</x:v>
      </x:c>
      <x:c r="AD6294" s="87" t="str">
        <x:v>VIS-EGKR-MATHP-S26-ANSWERDOC-P002; VIS-EGKR-MATHP-S26-ANSWERDOC-P003; VIS-EGKR-MATHP-S26-ANSWERDOC-P004</x:v>
      </x:c>
      <x:c r="AE6294" s="87" t="str">
        <x:v>TASK; SECONDARY_ANSWER_AND_SOLUTION_SOURCE</x:v>
      </x:c>
      <x:c r="AF6294" s="87" t="str">
        <x:v>VIS-EGKR-MATHP-S26-TASK-961-P005: 5; VIS-EGKR-MATHP-S26-ANSWERDOC-P002: 2; VIS-EGKR-MATHP-S26-ANSWERDOC-P003: 3; VIS-EGKR-MATHP-S26-ANSWERDOC-P004: 4</x:v>
      </x:c>
      <x:c r="AG6294" s="87" t="str">
        <x:v>RESOLVED</x:v>
      </x:c>
      <x:c r="AH6294" s="87" t="str">
        <x:v>CROP_VERIFIED</x:v>
      </x:c>
      <x:c r="AI6294" s="30"/>
      <x:c r="AJ6294" s="87" t="str">
        <x:v>clean</x:v>
      </x:c>
      <x:c r="AK6294" s="87" t="str">
        <x:v>clean-v0.22</x:v>
      </x:c>
      <x:c r="AL6294" s="87" t="str">
        <x:v>statgrad_clean_continuation_v0_22(1).xlsx</x:v>
      </x:c>
      <x:c r="AM6294" s="87" t="str">
        <x:v>MATHP_S26_961</x:v>
      </x:c>
      <x:c r="AN6294" s="87" t="n">
        <x:v>16</x:v>
      </x:c>
    </x:row>
    <x:row r="6295">
      <x:c r="A6295" s="87" t="n">
        <x:v>6294</x:v>
      </x:c>
      <x:c r="B6295" s="87" t="str">
        <x:v>EGKR-S26-MATHP-961-16</x:v>
      </x:c>
      <x:c r="C6295" s="87" t="str">
        <x:v>ЕГКР</x:v>
      </x:c>
      <x:c r="D6295" s="87"/>
      <x:c r="E6295" s="87" t="str">
        <x:v>Весна 2026</x:v>
      </x:c>
      <x:c r="F6295" s="87" t="str">
        <x:v>07.04.2026</x:v>
      </x:c>
      <x:c r="G6295" s="87" t="str">
        <x:v>Математика (профиль)</x:v>
      </x:c>
      <x:c r="H6295" s="87" t="n">
        <x:v>11</x:v>
      </x:c>
      <x:c r="I6295" s="87"/>
      <x:c r="J6295" s="87" t="str">
        <x:v>961</x:v>
      </x:c>
      <x:c r="K6295" s="87" t="n">
        <x:v>16</x:v>
      </x:c>
      <x:c r="L6295" s="87" t="str">
        <x:v>Развёрнутый ответ</x:v>
      </x:c>
      <x:c r="M6295" s="30" t="str">
        <x:v>Кредит: ежегодный платёж 62 208 ₽ при сроке 4 года либо 105 408 ₽ при сроке 2 года; найти процент r.</x:v>
      </x:c>
      <x:c r="N6295" s="30" t="str">
        <x:v>Для коэффициента q=1+r/100 из двух схем платежей следует q²=A₄/(A₂−A₄). Получено q=1.2, поэтому r=20%.</x:v>
      </x:c>
      <x:c r="O6295" s="30" t="str">
        <x:v>Модель содержит ключевую идею, преобразования и итог.</x:v>
      </x:c>
      <x:c r="P6295" s="30"/>
      <x:c r="Q6295" s="30" t="str">
        <x:v>Независимое решение; для варианта 959 дополнительно сверено с полным опубликованным разбором.</x:v>
      </x:c>
      <x:c r="R6295" s="30" t="str">
        <x:v>PARTIAL_MODEL_OR_NOT_PROVIDED</x:v>
      </x:c>
      <x:c r="S6295" s="30"/>
      <x:c r="T6295" s="30"/>
      <x:c r="U6295" s="30" t="str">
        <x:v>Локальные рукописные решения использованы только как вторичный аудируемый источник.</x:v>
      </x:c>
      <x:c r="V6295" s="87" t="str">
        <x:v>VERIFIED</x:v>
      </x:c>
      <x:c r="W6295" s="87"/>
      <x:c r="X6295" s="87" t="n">
        <x:v>5</x:v>
      </x:c>
      <x:c r="Y6295" s="87"/>
      <x:c r="Z6295" s="87"/>
      <x:c r="AA6295" s="87"/>
      <x:c r="AB6295" s="87"/>
      <x:c r="AC6295" s="87" t="str">
        <x:v>VIS-EGKR-MATHP-S26-TASK-961-P005</x:v>
      </x:c>
      <x:c r="AD6295" s="87" t="str">
        <x:v>VIS-EGKR-MATHP-S26-ANSWERDOC-P002; VIS-EGKR-MATHP-S26-ANSWERDOC-P003; VIS-EGKR-MATHP-S26-ANSWERDOC-P004</x:v>
      </x:c>
      <x:c r="AE6295" s="87" t="str">
        <x:v>TASK; SECONDARY_ANSWER_AND_SOLUTION_SOURCE</x:v>
      </x:c>
      <x:c r="AF6295" s="87" t="str">
        <x:v>VIS-EGKR-MATHP-S26-TASK-961-P005: 5; VIS-EGKR-MATHP-S26-ANSWERDOC-P002: 2; VIS-EGKR-MATHP-S26-ANSWERDOC-P003: 3; VIS-EGKR-MATHP-S26-ANSWERDOC-P004: 4</x:v>
      </x:c>
      <x:c r="AG6295" s="87" t="str">
        <x:v>RESOLVED</x:v>
      </x:c>
      <x:c r="AH6295" s="87" t="str">
        <x:v>CROP_VERIFIED</x:v>
      </x:c>
      <x:c r="AI6295" s="30"/>
      <x:c r="AJ6295" s="87" t="str">
        <x:v>clean</x:v>
      </x:c>
      <x:c r="AK6295" s="87" t="str">
        <x:v>clean-v0.22</x:v>
      </x:c>
      <x:c r="AL6295" s="87" t="str">
        <x:v>statgrad_clean_continuation_v0_22(1).xlsx</x:v>
      </x:c>
      <x:c r="AM6295" s="87" t="str">
        <x:v>MATHP_S26_961</x:v>
      </x:c>
      <x:c r="AN6295" s="87" t="n">
        <x:v>17</x:v>
      </x:c>
    </x:row>
    <x:row r="6296">
      <x:c r="A6296" s="87" t="n">
        <x:v>6295</x:v>
      </x:c>
      <x:c r="B6296" s="87" t="str">
        <x:v>EGKR-S26-MATHP-962-01</x:v>
      </x:c>
      <x:c r="C6296" s="87" t="str">
        <x:v>ЕГКР</x:v>
      </x:c>
      <x:c r="D6296" s="87"/>
      <x:c r="E6296" s="87" t="str">
        <x:v>Весна 2026</x:v>
      </x:c>
      <x:c r="F6296" s="87" t="str">
        <x:v>07.04.2026</x:v>
      </x:c>
      <x:c r="G6296" s="87" t="str">
        <x:v>Математика (профиль)</x:v>
      </x:c>
      <x:c r="H6296" s="87" t="n">
        <x:v>11</x:v>
      </x:c>
      <x:c r="I6296" s="87"/>
      <x:c r="J6296" s="87" t="str">
        <x:v>962</x:v>
      </x:c>
      <x:c r="K6296" s="87" t="n">
        <x:v>1</x:v>
      </x:c>
      <x:c r="L6296" s="87" t="str">
        <x:v>Планиметрия: угол</x:v>
      </x:c>
      <x:c r="M6296" s="30" t="str">
        <x:v>Из точки A к окружности проведены касательная AM и секущая AC через центр; ∠MAC=42°. Найти ∠ACM.</x:v>
      </x:c>
      <x:c r="N6296" s="30" t="str">
        <x:v>24</x:v>
      </x:c>
      <x:c r="O6296" s="30" t="str">
        <x:v>Использованы свойства углов в заданной конфигурации; искомый угол равен половине дополнения данного угла до 90°.</x:v>
      </x:c>
      <x:c r="P6296" s="30"/>
      <x:c r="Q6296" s="30" t="str">
        <x:v>Независимый расчёт и визуальная сверка исходной страницы.</x:v>
      </x:c>
      <x:c r="R6296" s="30" t="str">
        <x:v>24</x:v>
      </x:c>
      <x:c r="S6296" s="30"/>
      <x:c r="T6296" s="30"/>
      <x:c r="U6296" s="30" t="str">
        <x:v>Ответник совпадает с независимой проверкой.</x:v>
      </x:c>
      <x:c r="V6296" s="87" t="str">
        <x:v>VERIFIED</x:v>
      </x:c>
      <x:c r="W6296" s="87"/>
      <x:c r="X6296" s="87" t="n">
        <x:v>2</x:v>
      </x:c>
      <x:c r="Y6296" s="87"/>
      <x:c r="Z6296" s="87"/>
      <x:c r="AA6296" s="87"/>
      <x:c r="AB6296" s="87"/>
      <x:c r="AC6296" s="87" t="str">
        <x:v>VIS-EGKR-MATHP-S26-TASK-962-P002</x:v>
      </x:c>
      <x:c r="AD6296" s="87" t="str">
        <x:v>VIS-EGKR-MATHP-S26-ANSWERDOC-P008; VIS-EGKR-MATHP-S26-ANSWERDOC-P009</x:v>
      </x:c>
      <x:c r="AE6296" s="87" t="str">
        <x:v>TASK; SECONDARY_ANSWER_AND_SOLUTION_SOURCE</x:v>
      </x:c>
      <x:c r="AF6296" s="87" t="str">
        <x:v>VIS-EGKR-MATHP-S26-TASK-962-P002: 2; VIS-EGKR-MATHP-S26-ANSWERDOC-P008: 8; VIS-EGKR-MATHP-S26-ANSWERDOC-P009: 9</x:v>
      </x:c>
      <x:c r="AG6296" s="87" t="str">
        <x:v>RESOLVED</x:v>
      </x:c>
      <x:c r="AH6296" s="87" t="str">
        <x:v>CROP_VERIFIED</x:v>
      </x:c>
      <x:c r="AI6296" s="30"/>
      <x:c r="AJ6296" s="87" t="str">
        <x:v>clean</x:v>
      </x:c>
      <x:c r="AK6296" s="87" t="str">
        <x:v>clean-v0.22</x:v>
      </x:c>
      <x:c r="AL6296" s="87" t="str">
        <x:v>statgrad_clean_continuation_v0_22(1).xlsx</x:v>
      </x:c>
      <x:c r="AM6296" s="87" t="str">
        <x:v>MATHP_S26_962</x:v>
      </x:c>
      <x:c r="AN6296" s="87" t="n">
        <x:v>2</x:v>
      </x:c>
    </x:row>
    <x:row r="6297">
      <x:c r="A6297" s="87" t="n">
        <x:v>6296</x:v>
      </x:c>
      <x:c r="B6297" s="87" t="str">
        <x:v>EGKR-S26-MATHP-962-02</x:v>
      </x:c>
      <x:c r="C6297" s="87" t="str">
        <x:v>ЕГКР</x:v>
      </x:c>
      <x:c r="D6297" s="87"/>
      <x:c r="E6297" s="87" t="str">
        <x:v>Весна 2026</x:v>
      </x:c>
      <x:c r="F6297" s="87" t="str">
        <x:v>07.04.2026</x:v>
      </x:c>
      <x:c r="G6297" s="87" t="str">
        <x:v>Математика (профиль)</x:v>
      </x:c>
      <x:c r="H6297" s="87" t="n">
        <x:v>11</x:v>
      </x:c>
      <x:c r="I6297" s="87"/>
      <x:c r="J6297" s="87" t="str">
        <x:v>962</x:v>
      </x:c>
      <x:c r="K6297" s="87" t="n">
        <x:v>2</x:v>
      </x:c>
      <x:c r="L6297" s="87" t="str">
        <x:v>Векторы</x:v>
      </x:c>
      <x:c r="M6297" s="30" t="str">
        <x:v>Даны a=(−5;4), b=(2;−3), c=(0;2). Найти длину вектора a+b−½c.</x:v>
      </x:c>
      <x:c r="N6297" s="30" t="str">
        <x:v>1</x:v>
      </x:c>
      <x:c r="O6297" s="30" t="str">
        <x:v>Выполнены операции над координатами векторов и вычислена длина результирующего вектора.</x:v>
      </x:c>
      <x:c r="P6297" s="30"/>
      <x:c r="Q6297" s="30" t="str">
        <x:v>Независимый расчёт и визуальная сверка исходной страницы.</x:v>
      </x:c>
      <x:c r="R6297" s="30" t="str">
        <x:v>MISSING</x:v>
      </x:c>
      <x:c r="S6297" s="30"/>
      <x:c r="T6297" s="30"/>
      <x:c r="U6297" s="30" t="str">
        <x:v>Ответ отсутствовал во внутреннем DOCX и восстановлен независимым вычислением.</x:v>
      </x:c>
      <x:c r="V6297" s="87" t="str">
        <x:v>SOURCE_GAP_RECOVERED</x:v>
      </x:c>
      <x:c r="W6297" s="87"/>
      <x:c r="X6297" s="87" t="n">
        <x:v>2</x:v>
      </x:c>
      <x:c r="Y6297" s="87"/>
      <x:c r="Z6297" s="87"/>
      <x:c r="AA6297" s="87"/>
      <x:c r="AB6297" s="87"/>
      <x:c r="AC6297" s="87" t="str">
        <x:v>VIS-EGKR-MATHP-S26-TASK-962-P002</x:v>
      </x:c>
      <x:c r="AD6297" s="87" t="str">
        <x:v>VIS-EGKR-MATHP-S26-ANSWERDOC-P008; VIS-EGKR-MATHP-S26-ANSWERDOC-P009</x:v>
      </x:c>
      <x:c r="AE6297" s="87" t="str">
        <x:v>TASK; SECONDARY_ANSWER_AND_SOLUTION_SOURCE</x:v>
      </x:c>
      <x:c r="AF6297" s="87" t="str">
        <x:v>VIS-EGKR-MATHP-S26-TASK-962-P002: 2; VIS-EGKR-MATHP-S26-ANSWERDOC-P008: 8; VIS-EGKR-MATHP-S26-ANSWERDOC-P009: 9</x:v>
      </x:c>
      <x:c r="AG6297" s="87" t="str">
        <x:v>RESOLVED</x:v>
      </x:c>
      <x:c r="AH6297" s="87" t="str">
        <x:v>CROP_VERIFIED</x:v>
      </x:c>
      <x:c r="AI6297" s="30"/>
      <x:c r="AJ6297" s="87" t="str">
        <x:v>clean</x:v>
      </x:c>
      <x:c r="AK6297" s="87" t="str">
        <x:v>clean-v0.22</x:v>
      </x:c>
      <x:c r="AL6297" s="87" t="str">
        <x:v>statgrad_clean_continuation_v0_22(1).xlsx</x:v>
      </x:c>
      <x:c r="AM6297" s="87" t="str">
        <x:v>MATHP_S26_962</x:v>
      </x:c>
      <x:c r="AN6297" s="87" t="n">
        <x:v>3</x:v>
      </x:c>
    </x:row>
    <x:row r="6298">
      <x:c r="A6298" s="87" t="n">
        <x:v>6297</x:v>
      </x:c>
      <x:c r="B6298" s="87" t="str">
        <x:v>EGKR-S26-MATHP-962-03</x:v>
      </x:c>
      <x:c r="C6298" s="87" t="str">
        <x:v>ЕГКР</x:v>
      </x:c>
      <x:c r="D6298" s="87"/>
      <x:c r="E6298" s="87" t="str">
        <x:v>Весна 2026</x:v>
      </x:c>
      <x:c r="F6298" s="87" t="str">
        <x:v>07.04.2026</x:v>
      </x:c>
      <x:c r="G6298" s="87" t="str">
        <x:v>Математика (профиль)</x:v>
      </x:c>
      <x:c r="H6298" s="87" t="n">
        <x:v>11</x:v>
      </x:c>
      <x:c r="I6298" s="87"/>
      <x:c r="J6298" s="87" t="str">
        <x:v>962</x:v>
      </x:c>
      <x:c r="K6298" s="87" t="n">
        <x:v>3</x:v>
      </x:c>
      <x:c r="L6298" s="87" t="str">
        <x:v>Объём многогранника</x:v>
      </x:c>
      <x:c r="M6298" s="30" t="str">
        <x:v>Объём прямоугольного параллелепипеда равен 5,1. Найти объём указанной треугольной пирамиды.</x:v>
      </x:c>
      <x:c r="N6298" s="30" t="str">
        <x:v>1,7</x:v>
      </x:c>
      <x:c r="O6298" s="30" t="str">
        <x:v>Объём тетраэдра с соответствующими вершинами составляет треть объёма прямоугольного параллелепипеда.</x:v>
      </x:c>
      <x:c r="P6298" s="30"/>
      <x:c r="Q6298" s="30" t="str">
        <x:v>Независимый расчёт и визуальная сверка исходной страницы.</x:v>
      </x:c>
      <x:c r="R6298" s="30" t="str">
        <x:v>1,7</x:v>
      </x:c>
      <x:c r="S6298" s="30"/>
      <x:c r="T6298" s="30"/>
      <x:c r="U6298" s="30" t="str">
        <x:v>Ответник совпадает с независимой проверкой.</x:v>
      </x:c>
      <x:c r="V6298" s="87" t="str">
        <x:v>VERIFIED</x:v>
      </x:c>
      <x:c r="W6298" s="87"/>
      <x:c r="X6298" s="87" t="n">
        <x:v>2</x:v>
      </x:c>
      <x:c r="Y6298" s="87"/>
      <x:c r="Z6298" s="87"/>
      <x:c r="AA6298" s="87"/>
      <x:c r="AB6298" s="87"/>
      <x:c r="AC6298" s="87" t="str">
        <x:v>VIS-EGKR-MATHP-S26-TASK-962-P002</x:v>
      </x:c>
      <x:c r="AD6298" s="87" t="str">
        <x:v>VIS-EGKR-MATHP-S26-ANSWERDOC-P008; VIS-EGKR-MATHP-S26-ANSWERDOC-P009</x:v>
      </x:c>
      <x:c r="AE6298" s="87" t="str">
        <x:v>TASK; SECONDARY_ANSWER_AND_SOLUTION_SOURCE</x:v>
      </x:c>
      <x:c r="AF6298" s="87" t="str">
        <x:v>VIS-EGKR-MATHP-S26-TASK-962-P002: 2; VIS-EGKR-MATHP-S26-ANSWERDOC-P008: 8; VIS-EGKR-MATHP-S26-ANSWERDOC-P009: 9</x:v>
      </x:c>
      <x:c r="AG6298" s="87" t="str">
        <x:v>RESOLVED</x:v>
      </x:c>
      <x:c r="AH6298" s="87" t="str">
        <x:v>CROP_VERIFIED</x:v>
      </x:c>
      <x:c r="AI6298" s="30"/>
      <x:c r="AJ6298" s="87" t="str">
        <x:v>clean</x:v>
      </x:c>
      <x:c r="AK6298" s="87" t="str">
        <x:v>clean-v0.22</x:v>
      </x:c>
      <x:c r="AL6298" s="87" t="str">
        <x:v>statgrad_clean_continuation_v0_22(1).xlsx</x:v>
      </x:c>
      <x:c r="AM6298" s="87" t="str">
        <x:v>MATHP_S26_962</x:v>
      </x:c>
      <x:c r="AN6298" s="87" t="n">
        <x:v>4</x:v>
      </x:c>
    </x:row>
    <x:row r="6299">
      <x:c r="A6299" s="87" t="n">
        <x:v>6298</x:v>
      </x:c>
      <x:c r="B6299" s="87" t="str">
        <x:v>EGKR-S26-MATHP-962-04</x:v>
      </x:c>
      <x:c r="C6299" s="87" t="str">
        <x:v>ЕГКР</x:v>
      </x:c>
      <x:c r="D6299" s="87"/>
      <x:c r="E6299" s="87" t="str">
        <x:v>Весна 2026</x:v>
      </x:c>
      <x:c r="F6299" s="87" t="str">
        <x:v>07.04.2026</x:v>
      </x:c>
      <x:c r="G6299" s="87" t="str">
        <x:v>Математика (профиль)</x:v>
      </x:c>
      <x:c r="H6299" s="87" t="n">
        <x:v>11</x:v>
      </x:c>
      <x:c r="I6299" s="87"/>
      <x:c r="J6299" s="87" t="str">
        <x:v>962</x:v>
      </x:c>
      <x:c r="K6299" s="87" t="n">
        <x:v>4</x:v>
      </x:c>
      <x:c r="L6299" s="87" t="str">
        <x:v>Вероятность</x:v>
      </x:c>
      <x:c r="M6299" s="30" t="str">
        <x:v>В игре «Морской бой» на клетчатом поле 10×10 размещают четыре однопалубных корабля (одна клетка), три двухпалубных, два трёхпалубных и один четырёхпалубный. Первый игрок делает «выстрел» по случайной клетке. Какова вероятность того, что он попадет в трехпалубный корабль?</x:v>
      </x:c>
      <x:c r="N6299" s="30" t="str">
        <x:v>0,06</x:v>
      </x:c>
      <x:c r="O6299" s="30" t="str">
        <x:v>Вероятность равна отношению числа клеток, занятых указанными кораблями, к 100.</x:v>
      </x:c>
      <x:c r="P6299" s="30"/>
      <x:c r="Q6299" s="30" t="str">
        <x:v>Независимый расчёт и визуальная сверка исходной страницы.</x:v>
      </x:c>
      <x:c r="R6299" s="30" t="str">
        <x:v>0,06</x:v>
      </x:c>
      <x:c r="S6299" s="30"/>
      <x:c r="T6299" s="30"/>
      <x:c r="U6299" s="30" t="str">
        <x:v>Ответник совпадает с независимой проверкой.</x:v>
      </x:c>
      <x:c r="V6299" s="87" t="str">
        <x:v>VERIFIED</x:v>
      </x:c>
      <x:c r="W6299" s="87"/>
      <x:c r="X6299" s="87" t="n">
        <x:v>2</x:v>
      </x:c>
      <x:c r="Y6299" s="87"/>
      <x:c r="Z6299" s="87"/>
      <x:c r="AA6299" s="87"/>
      <x:c r="AB6299" s="87"/>
      <x:c r="AC6299" s="87" t="str">
        <x:v>VIS-EGKR-MATHP-S26-TASK-962-P002</x:v>
      </x:c>
      <x:c r="AD6299" s="87" t="str">
        <x:v>VIS-EGKR-MATHP-S26-ANSWERDOC-P008; VIS-EGKR-MATHP-S26-ANSWERDOC-P009</x:v>
      </x:c>
      <x:c r="AE6299" s="87" t="str">
        <x:v>TASK; SECONDARY_ANSWER_AND_SOLUTION_SOURCE</x:v>
      </x:c>
      <x:c r="AF6299" s="87" t="str">
        <x:v>VIS-EGKR-MATHP-S26-TASK-962-P002: 2; VIS-EGKR-MATHP-S26-ANSWERDOC-P008: 8; VIS-EGKR-MATHP-S26-ANSWERDOC-P009: 9</x:v>
      </x:c>
      <x:c r="AG6299" s="87" t="str">
        <x:v>RESOLVED</x:v>
      </x:c>
      <x:c r="AH6299" s="87" t="str">
        <x:v>CROP_VERIFIED</x:v>
      </x:c>
      <x:c r="AI6299" s="30"/>
      <x:c r="AJ6299" s="87" t="str">
        <x:v>clean</x:v>
      </x:c>
      <x:c r="AK6299" s="87" t="str">
        <x:v>clean-v0.22</x:v>
      </x:c>
      <x:c r="AL6299" s="87" t="str">
        <x:v>statgrad_clean_continuation_v0_22(1).xlsx</x:v>
      </x:c>
      <x:c r="AM6299" s="87" t="str">
        <x:v>MATHP_S26_962</x:v>
      </x:c>
      <x:c r="AN6299" s="87" t="n">
        <x:v>5</x:v>
      </x:c>
    </x:row>
    <x:row r="6300">
      <x:c r="A6300" s="87" t="n">
        <x:v>6299</x:v>
      </x:c>
      <x:c r="B6300" s="87" t="str">
        <x:v>EGKR-S26-MATHP-962-05</x:v>
      </x:c>
      <x:c r="C6300" s="87" t="str">
        <x:v>ЕГКР</x:v>
      </x:c>
      <x:c r="D6300" s="87"/>
      <x:c r="E6300" s="87" t="str">
        <x:v>Весна 2026</x:v>
      </x:c>
      <x:c r="F6300" s="87" t="str">
        <x:v>07.04.2026</x:v>
      </x:c>
      <x:c r="G6300" s="87" t="str">
        <x:v>Математика (профиль)</x:v>
      </x:c>
      <x:c r="H6300" s="87" t="n">
        <x:v>11</x:v>
      </x:c>
      <x:c r="I6300" s="87"/>
      <x:c r="J6300" s="87" t="str">
        <x:v>962</x:v>
      </x:c>
      <x:c r="K6300" s="87" t="n">
        <x:v>5</x:v>
      </x:c>
      <x:c r="L6300" s="87" t="str">
        <x:v>Вероятность срабатывания датчиков</x:v>
      </x:c>
      <x:c r="M6300" s="30" t="str">
        <x:v>Зал выдачи наличных денежных средств банкоматами банка оснащён двумя типами датчиков безопасности: движения и лучевым. В случае несанкционированного проникновения в зал первый датчик срабатывает с вероятностью 0,94, а второй — с вероятностью 0,91. Какова вероятность срабатывания только одного из датчиков в случае несанкционированного проникновения в зал выдачи наличных денежных средств банкоматами банка?</x:v>
      </x:c>
      <x:c r="N6300" s="30" t="str">
        <x:v>0,1392</x:v>
      </x:c>
      <x:c r="O6300" s="30" t="str">
        <x:v>Вероятность ровно одного срабатывания: p(1−q)+(1−p)q.</x:v>
      </x:c>
      <x:c r="P6300" s="30"/>
      <x:c r="Q6300" s="30" t="str">
        <x:v>Независимый расчёт и визуальная сверка исходной страницы.</x:v>
      </x:c>
      <x:c r="R6300" s="30" t="str">
        <x:v>0,1392</x:v>
      </x:c>
      <x:c r="S6300" s="30"/>
      <x:c r="T6300" s="30"/>
      <x:c r="U6300" s="30" t="str">
        <x:v>Ответник совпадает с независимой проверкой.</x:v>
      </x:c>
      <x:c r="V6300" s="87" t="str">
        <x:v>VERIFIED</x:v>
      </x:c>
      <x:c r="W6300" s="87"/>
      <x:c r="X6300" s="87" t="n">
        <x:v>2</x:v>
      </x:c>
      <x:c r="Y6300" s="87"/>
      <x:c r="Z6300" s="87"/>
      <x:c r="AA6300" s="87"/>
      <x:c r="AB6300" s="87"/>
      <x:c r="AC6300" s="87" t="str">
        <x:v>VIS-EGKR-MATHP-S26-TASK-962-P002</x:v>
      </x:c>
      <x:c r="AD6300" s="87" t="str">
        <x:v>VIS-EGKR-MATHP-S26-ANSWERDOC-P008; VIS-EGKR-MATHP-S26-ANSWERDOC-P009</x:v>
      </x:c>
      <x:c r="AE6300" s="87" t="str">
        <x:v>TASK; SECONDARY_ANSWER_AND_SOLUTION_SOURCE</x:v>
      </x:c>
      <x:c r="AF6300" s="87" t="str">
        <x:v>VIS-EGKR-MATHP-S26-TASK-962-P002: 2; VIS-EGKR-MATHP-S26-ANSWERDOC-P008: 8; VIS-EGKR-MATHP-S26-ANSWERDOC-P009: 9</x:v>
      </x:c>
      <x:c r="AG6300" s="87" t="str">
        <x:v>RESOLVED</x:v>
      </x:c>
      <x:c r="AH6300" s="87" t="str">
        <x:v>CROP_VERIFIED</x:v>
      </x:c>
      <x:c r="AI6300" s="30"/>
      <x:c r="AJ6300" s="87" t="str">
        <x:v>clean</x:v>
      </x:c>
      <x:c r="AK6300" s="87" t="str">
        <x:v>clean-v0.22</x:v>
      </x:c>
      <x:c r="AL6300" s="87" t="str">
        <x:v>statgrad_clean_continuation_v0_22(1).xlsx</x:v>
      </x:c>
      <x:c r="AM6300" s="87" t="str">
        <x:v>MATHP_S26_962</x:v>
      </x:c>
      <x:c r="AN6300" s="87" t="n">
        <x:v>6</x:v>
      </x:c>
    </x:row>
    <x:row r="6301">
      <x:c r="A6301" s="87" t="n">
        <x:v>6300</x:v>
      </x:c>
      <x:c r="B6301" s="87" t="str">
        <x:v>EGKR-S26-MATHP-962-06</x:v>
      </x:c>
      <x:c r="C6301" s="87" t="str">
        <x:v>ЕГКР</x:v>
      </x:c>
      <x:c r="D6301" s="87"/>
      <x:c r="E6301" s="87" t="str">
        <x:v>Весна 2026</x:v>
      </x:c>
      <x:c r="F6301" s="87" t="str">
        <x:v>07.04.2026</x:v>
      </x:c>
      <x:c r="G6301" s="87" t="str">
        <x:v>Математика (профиль)</x:v>
      </x:c>
      <x:c r="H6301" s="87" t="n">
        <x:v>11</x:v>
      </x:c>
      <x:c r="I6301" s="87"/>
      <x:c r="J6301" s="87" t="str">
        <x:v>962</x:v>
      </x:c>
      <x:c r="K6301" s="87" t="n">
        <x:v>6</x:v>
      </x:c>
      <x:c r="L6301" s="87" t="str">
        <x:v>Логарифмическое уравнение</x:v>
      </x:c>
      <x:c r="M6301" s="30" t="str">
        <x:v>Найдите корень уравнения log2(𝑥 + 5) = log2 𝑥 + 1.</x:v>
      </x:c>
      <x:c r="N6301" s="30" t="str">
        <x:v>5</x:v>
      </x:c>
      <x:c r="O6301" s="30" t="str">
        <x:v>После преобразования логарифмов получено линейное уравнение.</x:v>
      </x:c>
      <x:c r="P6301" s="30"/>
      <x:c r="Q6301" s="30" t="str">
        <x:v>Независимый расчёт и визуальная сверка исходной страницы.</x:v>
      </x:c>
      <x:c r="R6301" s="30" t="str">
        <x:v>5</x:v>
      </x:c>
      <x:c r="S6301" s="30"/>
      <x:c r="T6301" s="30"/>
      <x:c r="U6301" s="30" t="str">
        <x:v>Ответник совпадает с независимой проверкой.</x:v>
      </x:c>
      <x:c r="V6301" s="87" t="str">
        <x:v>VERIFIED</x:v>
      </x:c>
      <x:c r="W6301" s="87"/>
      <x:c r="X6301" s="87" t="n">
        <x:v>3</x:v>
      </x:c>
      <x:c r="Y6301" s="87"/>
      <x:c r="Z6301" s="87"/>
      <x:c r="AA6301" s="87"/>
      <x:c r="AB6301" s="87"/>
      <x:c r="AC6301" s="87" t="str">
        <x:v>VIS-EGKR-MATHP-S26-TASK-962-P003</x:v>
      </x:c>
      <x:c r="AD6301" s="87" t="str">
        <x:v>VIS-EGKR-MATHP-S26-ANSWERDOC-P008; VIS-EGKR-MATHP-S26-ANSWERDOC-P009</x:v>
      </x:c>
      <x:c r="AE6301" s="87" t="str">
        <x:v>TASK; SECONDARY_ANSWER_AND_SOLUTION_SOURCE</x:v>
      </x:c>
      <x:c r="AF6301" s="87" t="str">
        <x:v>VIS-EGKR-MATHP-S26-TASK-962-P003: 3; VIS-EGKR-MATHP-S26-ANSWERDOC-P008: 8; VIS-EGKR-MATHP-S26-ANSWERDOC-P009: 9</x:v>
      </x:c>
      <x:c r="AG6301" s="87" t="str">
        <x:v>RESOLVED</x:v>
      </x:c>
      <x:c r="AH6301" s="87" t="str">
        <x:v>CROP_VERIFIED</x:v>
      </x:c>
      <x:c r="AI6301" s="30"/>
      <x:c r="AJ6301" s="87" t="str">
        <x:v>clean</x:v>
      </x:c>
      <x:c r="AK6301" s="87" t="str">
        <x:v>clean-v0.22</x:v>
      </x:c>
      <x:c r="AL6301" s="87" t="str">
        <x:v>statgrad_clean_continuation_v0_22(1).xlsx</x:v>
      </x:c>
      <x:c r="AM6301" s="87" t="str">
        <x:v>MATHP_S26_962</x:v>
      </x:c>
      <x:c r="AN6301" s="87" t="n">
        <x:v>7</x:v>
      </x:c>
    </x:row>
    <x:row r="6302">
      <x:c r="A6302" s="87" t="n">
        <x:v>6301</x:v>
      </x:c>
      <x:c r="B6302" s="87" t="str">
        <x:v>EGKR-S26-MATHP-962-07</x:v>
      </x:c>
      <x:c r="C6302" s="87" t="str">
        <x:v>ЕГКР</x:v>
      </x:c>
      <x:c r="D6302" s="87"/>
      <x:c r="E6302" s="87" t="str">
        <x:v>Весна 2026</x:v>
      </x:c>
      <x:c r="F6302" s="87" t="str">
        <x:v>07.04.2026</x:v>
      </x:c>
      <x:c r="G6302" s="87" t="str">
        <x:v>Математика (профиль)</x:v>
      </x:c>
      <x:c r="H6302" s="87" t="n">
        <x:v>11</x:v>
      </x:c>
      <x:c r="I6302" s="87"/>
      <x:c r="J6302" s="87" t="str">
        <x:v>962</x:v>
      </x:c>
      <x:c r="K6302" s="87" t="n">
        <x:v>7</x:v>
      </x:c>
      <x:c r="L6302" s="87" t="str">
        <x:v>Тригонометрическое выражение</x:v>
      </x:c>
      <x:c r="M6302" s="30" t="str">
        <x:v>6𝑐𝑜𝑠60 Найдите значение выражения sin2 12+𝑐𝑜𝑠2</x:v>
      </x:c>
      <x:c r="N6302" s="30" t="str">
        <x:v>3</x:v>
      </x:c>
      <x:c r="O6302" s="30" t="str">
        <x:v>Знаменатель упрощён по основному тригонометрическому тождеству; cos60°=1/2.</x:v>
      </x:c>
      <x:c r="P6302" s="30"/>
      <x:c r="Q6302" s="30" t="str">
        <x:v>Независимый расчёт и визуальная сверка исходной страницы.</x:v>
      </x:c>
      <x:c r="R6302" s="30" t="str">
        <x:v>3</x:v>
      </x:c>
      <x:c r="S6302" s="30"/>
      <x:c r="T6302" s="30"/>
      <x:c r="U6302" s="30" t="str">
        <x:v>Ответник совпадает с независимой проверкой.</x:v>
      </x:c>
      <x:c r="V6302" s="87" t="str">
        <x:v>VERIFIED</x:v>
      </x:c>
      <x:c r="W6302" s="87"/>
      <x:c r="X6302" s="87" t="n">
        <x:v>3</x:v>
      </x:c>
      <x:c r="Y6302" s="87"/>
      <x:c r="Z6302" s="87"/>
      <x:c r="AA6302" s="87"/>
      <x:c r="AB6302" s="87"/>
      <x:c r="AC6302" s="87" t="str">
        <x:v>VIS-EGKR-MATHP-S26-TASK-962-P003</x:v>
      </x:c>
      <x:c r="AD6302" s="87" t="str">
        <x:v>VIS-EGKR-MATHP-S26-ANSWERDOC-P008; VIS-EGKR-MATHP-S26-ANSWERDOC-P009</x:v>
      </x:c>
      <x:c r="AE6302" s="87" t="str">
        <x:v>TASK; SECONDARY_ANSWER_AND_SOLUTION_SOURCE</x:v>
      </x:c>
      <x:c r="AF6302" s="87" t="str">
        <x:v>VIS-EGKR-MATHP-S26-TASK-962-P003: 3; VIS-EGKR-MATHP-S26-ANSWERDOC-P008: 8; VIS-EGKR-MATHP-S26-ANSWERDOC-P009: 9</x:v>
      </x:c>
      <x:c r="AG6302" s="87" t="str">
        <x:v>RESOLVED</x:v>
      </x:c>
      <x:c r="AH6302" s="87" t="str">
        <x:v>CROP_VERIFIED</x:v>
      </x:c>
      <x:c r="AI6302" s="30"/>
      <x:c r="AJ6302" s="87" t="str">
        <x:v>clean</x:v>
      </x:c>
      <x:c r="AK6302" s="87" t="str">
        <x:v>clean-v0.22</x:v>
      </x:c>
      <x:c r="AL6302" s="87" t="str">
        <x:v>statgrad_clean_continuation_v0_22(1).xlsx</x:v>
      </x:c>
      <x:c r="AM6302" s="87" t="str">
        <x:v>MATHP_S26_962</x:v>
      </x:c>
      <x:c r="AN6302" s="87" t="n">
        <x:v>8</x:v>
      </x:c>
    </x:row>
    <x:row r="6303">
      <x:c r="A6303" s="87" t="n">
        <x:v>6302</x:v>
      </x:c>
      <x:c r="B6303" s="87" t="str">
        <x:v>EGKR-S26-MATHP-962-08</x:v>
      </x:c>
      <x:c r="C6303" s="87" t="str">
        <x:v>ЕГКР</x:v>
      </x:c>
      <x:c r="D6303" s="87"/>
      <x:c r="E6303" s="87" t="str">
        <x:v>Весна 2026</x:v>
      </x:c>
      <x:c r="F6303" s="87" t="str">
        <x:v>07.04.2026</x:v>
      </x:c>
      <x:c r="G6303" s="87" t="str">
        <x:v>Математика (профиль)</x:v>
      </x:c>
      <x:c r="H6303" s="87" t="n">
        <x:v>11</x:v>
      </x:c>
      <x:c r="I6303" s="87"/>
      <x:c r="J6303" s="87" t="str">
        <x:v>962</x:v>
      </x:c>
      <x:c r="K6303" s="87" t="n">
        <x:v>8</x:v>
      </x:c>
      <x:c r="L6303" s="87" t="str">
        <x:v>Производная и возрастание</x:v>
      </x:c>
      <x:c r="M6303" s="30" t="str">
        <x:v>По графику y=f′(x) на интервале (−8;3) найти сумму целых точек промежутков возрастания функции f.</x:v>
      </x:c>
      <x:c r="N6303" s="30" t="str">
        <x:v>-13</x:v>
      </x:c>
      <x:c r="O6303" s="30" t="str">
        <x:v>Функция возрастает там, где f′(x)&gt;0; сложены все целые точки внутри положительных промежутков.</x:v>
      </x:c>
      <x:c r="P6303" s="30"/>
      <x:c r="Q6303" s="30" t="str">
        <x:v>Независимый расчёт и визуальная сверка исходной страницы.</x:v>
      </x:c>
      <x:c r="R6303" s="30" t="str">
        <x:v>-13</x:v>
      </x:c>
      <x:c r="S6303" s="30"/>
      <x:c r="T6303" s="30"/>
      <x:c r="U6303" s="30" t="str">
        <x:v>Ответник совпадает с независимой проверкой.</x:v>
      </x:c>
      <x:c r="V6303" s="87" t="str">
        <x:v>VERIFIED</x:v>
      </x:c>
      <x:c r="W6303" s="87"/>
      <x:c r="X6303" s="87" t="n">
        <x:v>3</x:v>
      </x:c>
      <x:c r="Y6303" s="87"/>
      <x:c r="Z6303" s="87"/>
      <x:c r="AA6303" s="87"/>
      <x:c r="AB6303" s="87"/>
      <x:c r="AC6303" s="87" t="str">
        <x:v>VIS-EGKR-MATHP-S26-TASK-962-P003</x:v>
      </x:c>
      <x:c r="AD6303" s="87" t="str">
        <x:v>VIS-EGKR-MATHP-S26-ANSWERDOC-P008; VIS-EGKR-MATHP-S26-ANSWERDOC-P009</x:v>
      </x:c>
      <x:c r="AE6303" s="87" t="str">
        <x:v>TASK; SECONDARY_ANSWER_AND_SOLUTION_SOURCE</x:v>
      </x:c>
      <x:c r="AF6303" s="87" t="str">
        <x:v>VIS-EGKR-MATHP-S26-TASK-962-P003: 3; VIS-EGKR-MATHP-S26-ANSWERDOC-P008: 8; VIS-EGKR-MATHP-S26-ANSWERDOC-P009: 9</x:v>
      </x:c>
      <x:c r="AG6303" s="87" t="str">
        <x:v>RESOLVED</x:v>
      </x:c>
      <x:c r="AH6303" s="87" t="str">
        <x:v>CROP_VERIFIED</x:v>
      </x:c>
      <x:c r="AI6303" s="30"/>
      <x:c r="AJ6303" s="87" t="str">
        <x:v>clean</x:v>
      </x:c>
      <x:c r="AK6303" s="87" t="str">
        <x:v>clean-v0.22</x:v>
      </x:c>
      <x:c r="AL6303" s="87" t="str">
        <x:v>statgrad_clean_continuation_v0_22(1).xlsx</x:v>
      </x:c>
      <x:c r="AM6303" s="87" t="str">
        <x:v>MATHP_S26_962</x:v>
      </x:c>
      <x:c r="AN6303" s="87" t="n">
        <x:v>9</x:v>
      </x:c>
    </x:row>
    <x:row r="6304">
      <x:c r="A6304" s="87" t="n">
        <x:v>6303</x:v>
      </x:c>
      <x:c r="B6304" s="87" t="str">
        <x:v>EGKR-S26-MATHP-962-09</x:v>
      </x:c>
      <x:c r="C6304" s="87" t="str">
        <x:v>ЕГКР</x:v>
      </x:c>
      <x:c r="D6304" s="87"/>
      <x:c r="E6304" s="87" t="str">
        <x:v>Весна 2026</x:v>
      </x:c>
      <x:c r="F6304" s="87" t="str">
        <x:v>07.04.2026</x:v>
      </x:c>
      <x:c r="G6304" s="87" t="str">
        <x:v>Математика (профиль)</x:v>
      </x:c>
      <x:c r="H6304" s="87" t="n">
        <x:v>11</x:v>
      </x:c>
      <x:c r="I6304" s="87"/>
      <x:c r="J6304" s="87" t="str">
        <x:v>962</x:v>
      </x:c>
      <x:c r="K6304" s="87" t="n">
        <x:v>9</x:v>
      </x:c>
      <x:c r="L6304" s="87" t="str">
        <x:v>Радиоактивный распад</x:v>
      </x:c>
      <x:c r="M6304" s="30" t="str">
        <x:v>В ходе распада радиоактивного изотопа его масса уменьшается по закону 𝑚 = 𝑚0·2−𝑇𝑡, где 𝑚0 — начальная масса изотопа, 𝑡 — время, прошедшее от начального момента, 𝑇 — период полураспада. В начальный момент времени масса изотопа 148 мг. Период его полураспада составляет 4 минут. Найдите, через сколько минут масса изотопа будет равна 37 мг.</x:v>
      </x:c>
      <x:c r="N6304" s="30" t="str">
        <x:v>8</x:v>
      </x:c>
      <x:c r="O6304" s="30" t="str">
        <x:v>Использован закон полураспада и число прошедших периодов.</x:v>
      </x:c>
      <x:c r="P6304" s="30"/>
      <x:c r="Q6304" s="30" t="str">
        <x:v>Независимый расчёт и визуальная сверка исходной страницы.</x:v>
      </x:c>
      <x:c r="R6304" s="30" t="str">
        <x:v>8</x:v>
      </x:c>
      <x:c r="S6304" s="30"/>
      <x:c r="T6304" s="30"/>
      <x:c r="U6304" s="30" t="str">
        <x:v>Ответник совпадает с независимой проверкой.</x:v>
      </x:c>
      <x:c r="V6304" s="87" t="str">
        <x:v>VERIFIED</x:v>
      </x:c>
      <x:c r="W6304" s="87"/>
      <x:c r="X6304" s="87" t="n">
        <x:v>3</x:v>
      </x:c>
      <x:c r="Y6304" s="87"/>
      <x:c r="Z6304" s="87"/>
      <x:c r="AA6304" s="87"/>
      <x:c r="AB6304" s="87"/>
      <x:c r="AC6304" s="87" t="str">
        <x:v>VIS-EGKR-MATHP-S26-TASK-962-P003</x:v>
      </x:c>
      <x:c r="AD6304" s="87" t="str">
        <x:v>VIS-EGKR-MATHP-S26-ANSWERDOC-P008; VIS-EGKR-MATHP-S26-ANSWERDOC-P009</x:v>
      </x:c>
      <x:c r="AE6304" s="87" t="str">
        <x:v>TASK; SECONDARY_ANSWER_AND_SOLUTION_SOURCE</x:v>
      </x:c>
      <x:c r="AF6304" s="87" t="str">
        <x:v>VIS-EGKR-MATHP-S26-TASK-962-P003: 3; VIS-EGKR-MATHP-S26-ANSWERDOC-P008: 8; VIS-EGKR-MATHP-S26-ANSWERDOC-P009: 9</x:v>
      </x:c>
      <x:c r="AG6304" s="87" t="str">
        <x:v>RESOLVED</x:v>
      </x:c>
      <x:c r="AH6304" s="87" t="str">
        <x:v>CROP_VERIFIED</x:v>
      </x:c>
      <x:c r="AI6304" s="30"/>
      <x:c r="AJ6304" s="87" t="str">
        <x:v>clean</x:v>
      </x:c>
      <x:c r="AK6304" s="87" t="str">
        <x:v>clean-v0.22</x:v>
      </x:c>
      <x:c r="AL6304" s="87" t="str">
        <x:v>statgrad_clean_continuation_v0_22(1).xlsx</x:v>
      </x:c>
      <x:c r="AM6304" s="87" t="str">
        <x:v>MATHP_S26_962</x:v>
      </x:c>
      <x:c r="AN6304" s="87" t="n">
        <x:v>10</x:v>
      </x:c>
    </x:row>
    <x:row r="6305">
      <x:c r="A6305" s="87" t="n">
        <x:v>6304</x:v>
      </x:c>
      <x:c r="B6305" s="87" t="str">
        <x:v>EGKR-S26-MATHP-962-10</x:v>
      </x:c>
      <x:c r="C6305" s="87" t="str">
        <x:v>ЕГКР</x:v>
      </x:c>
      <x:c r="D6305" s="87"/>
      <x:c r="E6305" s="87" t="str">
        <x:v>Весна 2026</x:v>
      </x:c>
      <x:c r="F6305" s="87" t="str">
        <x:v>07.04.2026</x:v>
      </x:c>
      <x:c r="G6305" s="87" t="str">
        <x:v>Математика (профиль)</x:v>
      </x:c>
      <x:c r="H6305" s="87" t="n">
        <x:v>11</x:v>
      </x:c>
      <x:c r="I6305" s="87"/>
      <x:c r="J6305" s="87" t="str">
        <x:v>962</x:v>
      </x:c>
      <x:c r="K6305" s="87" t="n">
        <x:v>10</x:v>
      </x:c>
      <x:c r="L6305" s="87" t="str">
        <x:v>Смеси и концентрации</x:v>
      </x:c>
      <x:c r="M6305" s="30" t="str">
        <x:v>Смешали 4 кг 15%-го раствора кислоты и 2 кг 20%-го раствора той же кислоты, а затем добавили несколько кг воды. В результате получился 10%-й раствор кислоты. Сколько кг воды было добавлено?</x:v>
      </x:c>
      <x:c r="N6305" s="30" t="str">
        <x:v>4</x:v>
      </x:c>
      <x:c r="O6305" s="30" t="str">
        <x:v>Составлен баланс массы чистой кислоты до и после добавления воды.</x:v>
      </x:c>
      <x:c r="P6305" s="30"/>
      <x:c r="Q6305" s="30" t="str">
        <x:v>Независимый расчёт и визуальная сверка исходной страницы.</x:v>
      </x:c>
      <x:c r="R6305" s="30" t="str">
        <x:v>4</x:v>
      </x:c>
      <x:c r="S6305" s="30"/>
      <x:c r="T6305" s="30"/>
      <x:c r="U6305" s="30" t="str">
        <x:v>Ответник совпадает с независимой проверкой.</x:v>
      </x:c>
      <x:c r="V6305" s="87" t="str">
        <x:v>VERIFIED</x:v>
      </x:c>
      <x:c r="W6305" s="87"/>
      <x:c r="X6305" s="87" t="n">
        <x:v>3</x:v>
      </x:c>
      <x:c r="Y6305" s="87"/>
      <x:c r="Z6305" s="87"/>
      <x:c r="AA6305" s="87"/>
      <x:c r="AB6305" s="87"/>
      <x:c r="AC6305" s="87" t="str">
        <x:v>VIS-EGKR-MATHP-S26-TASK-962-P003</x:v>
      </x:c>
      <x:c r="AD6305" s="87" t="str">
        <x:v>VIS-EGKR-MATHP-S26-ANSWERDOC-P008; VIS-EGKR-MATHP-S26-ANSWERDOC-P009</x:v>
      </x:c>
      <x:c r="AE6305" s="87" t="str">
        <x:v>TASK; SECONDARY_ANSWER_AND_SOLUTION_SOURCE</x:v>
      </x:c>
      <x:c r="AF6305" s="87" t="str">
        <x:v>VIS-EGKR-MATHP-S26-TASK-962-P003: 3; VIS-EGKR-MATHP-S26-ANSWERDOC-P008: 8; VIS-EGKR-MATHP-S26-ANSWERDOC-P009: 9</x:v>
      </x:c>
      <x:c r="AG6305" s="87" t="str">
        <x:v>RESOLVED</x:v>
      </x:c>
      <x:c r="AH6305" s="87" t="str">
        <x:v>CROP_VERIFIED</x:v>
      </x:c>
      <x:c r="AI6305" s="30"/>
      <x:c r="AJ6305" s="87" t="str">
        <x:v>clean</x:v>
      </x:c>
      <x:c r="AK6305" s="87" t="str">
        <x:v>clean-v0.22</x:v>
      </x:c>
      <x:c r="AL6305" s="87" t="str">
        <x:v>statgrad_clean_continuation_v0_22(1).xlsx</x:v>
      </x:c>
      <x:c r="AM6305" s="87" t="str">
        <x:v>MATHP_S26_962</x:v>
      </x:c>
      <x:c r="AN6305" s="87" t="n">
        <x:v>11</x:v>
      </x:c>
    </x:row>
    <x:row r="6306">
      <x:c r="A6306" s="87" t="n">
        <x:v>6305</x:v>
      </x:c>
      <x:c r="B6306" s="87" t="str">
        <x:v>EGKR-S26-MATHP-962-11</x:v>
      </x:c>
      <x:c r="C6306" s="87" t="str">
        <x:v>ЕГКР</x:v>
      </x:c>
      <x:c r="D6306" s="87"/>
      <x:c r="E6306" s="87" t="str">
        <x:v>Весна 2026</x:v>
      </x:c>
      <x:c r="F6306" s="87" t="str">
        <x:v>07.04.2026</x:v>
      </x:c>
      <x:c r="G6306" s="87" t="str">
        <x:v>Математика (профиль)</x:v>
      </x:c>
      <x:c r="H6306" s="87" t="n">
        <x:v>11</x:v>
      </x:c>
      <x:c r="I6306" s="87"/>
      <x:c r="J6306" s="87" t="str">
        <x:v>962</x:v>
      </x:c>
      <x:c r="K6306" s="87" t="n">
        <x:v>11</x:v>
      </x:c>
      <x:c r="L6306" s="87" t="str">
        <x:v>Линейные функции</x:v>
      </x:c>
      <x:c r="M6306" s="30" t="str">
        <x:v>По двум графикам линейных функций с отмеченными целочисленными точками найти абсциссу точки их пересечения.</x:v>
      </x:c>
      <x:c r="N6306" s="30" t="str">
        <x:v>-3,8</x:v>
      </x:c>
      <x:c r="O6306" s="30" t="str">
        <x:v>По отмеченным точкам составлены уравнения обеих прямых и найдена абсцисса их пересечения.</x:v>
      </x:c>
      <x:c r="P6306" s="30"/>
      <x:c r="Q6306" s="30" t="str">
        <x:v>Независимый расчёт и визуальная сверка исходной страницы.</x:v>
      </x:c>
      <x:c r="R6306" s="30" t="str">
        <x:v>-3,8</x:v>
      </x:c>
      <x:c r="S6306" s="30"/>
      <x:c r="T6306" s="30"/>
      <x:c r="U6306" s="30" t="str">
        <x:v>Ответник совпадает с независимой проверкой.</x:v>
      </x:c>
      <x:c r="V6306" s="87" t="str">
        <x:v>VERIFIED</x:v>
      </x:c>
      <x:c r="W6306" s="87"/>
      <x:c r="X6306" s="87" t="n">
        <x:v>4</x:v>
      </x:c>
      <x:c r="Y6306" s="87"/>
      <x:c r="Z6306" s="87"/>
      <x:c r="AA6306" s="87"/>
      <x:c r="AB6306" s="87"/>
      <x:c r="AC6306" s="87" t="str">
        <x:v>VIS-EGKR-MATHP-S26-TASK-962-P004</x:v>
      </x:c>
      <x:c r="AD6306" s="87" t="str">
        <x:v>VIS-EGKR-MATHP-S26-ANSWERDOC-P008; VIS-EGKR-MATHP-S26-ANSWERDOC-P009</x:v>
      </x:c>
      <x:c r="AE6306" s="87" t="str">
        <x:v>TASK; SECONDARY_ANSWER_AND_SOLUTION_SOURCE</x:v>
      </x:c>
      <x:c r="AF6306" s="87" t="str">
        <x:v>VIS-EGKR-MATHP-S26-TASK-962-P004: 4; VIS-EGKR-MATHP-S26-ANSWERDOC-P008: 8; VIS-EGKR-MATHP-S26-ANSWERDOC-P009: 9</x:v>
      </x:c>
      <x:c r="AG6306" s="87" t="str">
        <x:v>RESOLVED</x:v>
      </x:c>
      <x:c r="AH6306" s="87" t="str">
        <x:v>CROP_VERIFIED</x:v>
      </x:c>
      <x:c r="AI6306" s="30"/>
      <x:c r="AJ6306" s="87" t="str">
        <x:v>clean</x:v>
      </x:c>
      <x:c r="AK6306" s="87" t="str">
        <x:v>clean-v0.22</x:v>
      </x:c>
      <x:c r="AL6306" s="87" t="str">
        <x:v>statgrad_clean_continuation_v0_22(1).xlsx</x:v>
      </x:c>
      <x:c r="AM6306" s="87" t="str">
        <x:v>MATHP_S26_962</x:v>
      </x:c>
      <x:c r="AN6306" s="87" t="n">
        <x:v>12</x:v>
      </x:c>
    </x:row>
    <x:row r="6307">
      <x:c r="A6307" s="87" t="n">
        <x:v>6306</x:v>
      </x:c>
      <x:c r="B6307" s="87" t="str">
        <x:v>EGKR-S26-MATHP-962-12</x:v>
      </x:c>
      <x:c r="C6307" s="87" t="str">
        <x:v>ЕГКР</x:v>
      </x:c>
      <x:c r="D6307" s="87"/>
      <x:c r="E6307" s="87" t="str">
        <x:v>Весна 2026</x:v>
      </x:c>
      <x:c r="F6307" s="87" t="str">
        <x:v>07.04.2026</x:v>
      </x:c>
      <x:c r="G6307" s="87" t="str">
        <x:v>Математика (профиль)</x:v>
      </x:c>
      <x:c r="H6307" s="87" t="n">
        <x:v>11</x:v>
      </x:c>
      <x:c r="I6307" s="87"/>
      <x:c r="J6307" s="87" t="str">
        <x:v>962</x:v>
      </x:c>
      <x:c r="K6307" s="87" t="n">
        <x:v>12</x:v>
      </x:c>
      <x:c r="L6307" s="87" t="str">
        <x:v>Минимум показательной функции</x:v>
      </x:c>
      <x:c r="M6307" s="30" t="str">
        <x:v>Найти наименьшее значение функции y=2^(x²+10x+29) на отрезке [−10;10].</x:v>
      </x:c>
      <x:c r="N6307" s="30" t="str">
        <x:v>16</x:v>
      </x:c>
      <x:c r="O6307" s="30" t="str">
        <x:v>Минимизован квадратный трёхчлен в показателе степени.</x:v>
      </x:c>
      <x:c r="P6307" s="30"/>
      <x:c r="Q6307" s="30" t="str">
        <x:v>Независимый расчёт и визуальная сверка исходной страницы.</x:v>
      </x:c>
      <x:c r="R6307" s="30" t="str">
        <x:v>16</x:v>
      </x:c>
      <x:c r="S6307" s="30"/>
      <x:c r="T6307" s="30"/>
      <x:c r="U6307" s="30" t="str">
        <x:v>Ответник совпадает с независимой проверкой.</x:v>
      </x:c>
      <x:c r="V6307" s="87" t="str">
        <x:v>VERIFIED</x:v>
      </x:c>
      <x:c r="W6307" s="87"/>
      <x:c r="X6307" s="87" t="n">
        <x:v>4</x:v>
      </x:c>
      <x:c r="Y6307" s="87"/>
      <x:c r="Z6307" s="87"/>
      <x:c r="AA6307" s="87"/>
      <x:c r="AB6307" s="87"/>
      <x:c r="AC6307" s="87" t="str">
        <x:v>VIS-EGKR-MATHP-S26-TASK-962-P004</x:v>
      </x:c>
      <x:c r="AD6307" s="87" t="str">
        <x:v>VIS-EGKR-MATHP-S26-ANSWERDOC-P008; VIS-EGKR-MATHP-S26-ANSWERDOC-P009</x:v>
      </x:c>
      <x:c r="AE6307" s="87" t="str">
        <x:v>TASK; SECONDARY_ANSWER_AND_SOLUTION_SOURCE</x:v>
      </x:c>
      <x:c r="AF6307" s="87" t="str">
        <x:v>VIS-EGKR-MATHP-S26-TASK-962-P004: 4; VIS-EGKR-MATHP-S26-ANSWERDOC-P008: 8; VIS-EGKR-MATHP-S26-ANSWERDOC-P009: 9</x:v>
      </x:c>
      <x:c r="AG6307" s="87" t="str">
        <x:v>RESOLVED</x:v>
      </x:c>
      <x:c r="AH6307" s="87" t="str">
        <x:v>CROP_VERIFIED</x:v>
      </x:c>
      <x:c r="AI6307" s="30"/>
      <x:c r="AJ6307" s="87" t="str">
        <x:v>clean</x:v>
      </x:c>
      <x:c r="AK6307" s="87" t="str">
        <x:v>clean-v0.22</x:v>
      </x:c>
      <x:c r="AL6307" s="87" t="str">
        <x:v>statgrad_clean_continuation_v0_22(1).xlsx</x:v>
      </x:c>
      <x:c r="AM6307" s="87" t="str">
        <x:v>MATHP_S26_962</x:v>
      </x:c>
      <x:c r="AN6307" s="87" t="n">
        <x:v>13</x:v>
      </x:c>
    </x:row>
    <x:row r="6308">
      <x:c r="A6308" s="87" t="n">
        <x:v>6307</x:v>
      </x:c>
      <x:c r="B6308" s="87" t="str">
        <x:v>EGKR-S26-MATHP-962-13</x:v>
      </x:c>
      <x:c r="C6308" s="87" t="str">
        <x:v>ЕГКР</x:v>
      </x:c>
      <x:c r="D6308" s="87"/>
      <x:c r="E6308" s="87" t="str">
        <x:v>Весна 2026</x:v>
      </x:c>
      <x:c r="F6308" s="87" t="str">
        <x:v>07.04.2026</x:v>
      </x:c>
      <x:c r="G6308" s="87" t="str">
        <x:v>Математика (профиль)</x:v>
      </x:c>
      <x:c r="H6308" s="87" t="n">
        <x:v>11</x:v>
      </x:c>
      <x:c r="I6308" s="87"/>
      <x:c r="J6308" s="87" t="str">
        <x:v>962</x:v>
      </x:c>
      <x:c r="K6308" s="87" t="n">
        <x:v>13</x:v>
      </x:c>
      <x:c r="L6308" s="87" t="str">
        <x:v>Развёрнутый ответ</x:v>
      </x:c>
      <x:c r="M6308" s="30" t="str">
        <x:v>sin x + √2·sin(π/2−x/2)=0; найти корни на [4π;7π].</x:v>
      </x:c>
      <x:c r="N6308" s="30" t="str">
        <x:v>Общие решения: x=π+2πk; x=−π/2+4πk; x=5π/2+4πk. На отрезке: 5π; 13π/2; 7π.</x:v>
      </x:c>
      <x:c r="O6308" s="30" t="str">
        <x:v>Модель содержит ключевую идею, преобразования и итог.</x:v>
      </x:c>
      <x:c r="P6308" s="30"/>
      <x:c r="Q6308" s="30" t="str">
        <x:v>Независимое решение; для варианта 959 дополнительно сверено с полным опубликованным разбором.</x:v>
      </x:c>
      <x:c r="R6308" s="30" t="str">
        <x:v>PARTIAL_MODEL_OR_NOT_PROVIDED</x:v>
      </x:c>
      <x:c r="S6308" s="30"/>
      <x:c r="T6308" s="30"/>
      <x:c r="U6308" s="30" t="str">
        <x:v>Локальные рукописные решения использованы только как вторичный аудируемый источник.</x:v>
      </x:c>
      <x:c r="V6308" s="87" t="str">
        <x:v>VERIFIED</x:v>
      </x:c>
      <x:c r="W6308" s="87"/>
      <x:c r="X6308" s="87" t="n">
        <x:v>5</x:v>
      </x:c>
      <x:c r="Y6308" s="87"/>
      <x:c r="Z6308" s="87"/>
      <x:c r="AA6308" s="87"/>
      <x:c r="AB6308" s="87"/>
      <x:c r="AC6308" s="87" t="str">
        <x:v>VIS-EGKR-MATHP-S26-TASK-962-P005</x:v>
      </x:c>
      <x:c r="AD6308" s="87" t="str">
        <x:v>VIS-EGKR-MATHP-S26-ANSWERDOC-P009; VIS-EGKR-MATHP-S26-ANSWERDOC-P010</x:v>
      </x:c>
      <x:c r="AE6308" s="87" t="str">
        <x:v>TASK; SECONDARY_ANSWER_AND_SOLUTION_SOURCE</x:v>
      </x:c>
      <x:c r="AF6308" s="87" t="str">
        <x:v>VIS-EGKR-MATHP-S26-TASK-962-P005: 5; VIS-EGKR-MATHP-S26-ANSWERDOC-P009: 9; VIS-EGKR-MATHP-S26-ANSWERDOC-P010: 10</x:v>
      </x:c>
      <x:c r="AG6308" s="87" t="str">
        <x:v>RESOLVED</x:v>
      </x:c>
      <x:c r="AH6308" s="87" t="str">
        <x:v>CROP_VERIFIED</x:v>
      </x:c>
      <x:c r="AI6308" s="30"/>
      <x:c r="AJ6308" s="87" t="str">
        <x:v>clean</x:v>
      </x:c>
      <x:c r="AK6308" s="87" t="str">
        <x:v>clean-v0.22</x:v>
      </x:c>
      <x:c r="AL6308" s="87" t="str">
        <x:v>statgrad_clean_continuation_v0_22(1).xlsx</x:v>
      </x:c>
      <x:c r="AM6308" s="87" t="str">
        <x:v>MATHP_S26_962</x:v>
      </x:c>
      <x:c r="AN6308" s="87" t="n">
        <x:v>14</x:v>
      </x:c>
    </x:row>
    <x:row r="6309">
      <x:c r="A6309" s="87" t="n">
        <x:v>6308</x:v>
      </x:c>
      <x:c r="B6309" s="87" t="str">
        <x:v>EGKR-S26-MATHP-962-14</x:v>
      </x:c>
      <x:c r="C6309" s="87" t="str">
        <x:v>ЕГКР</x:v>
      </x:c>
      <x:c r="D6309" s="87"/>
      <x:c r="E6309" s="87" t="str">
        <x:v>Весна 2026</x:v>
      </x:c>
      <x:c r="F6309" s="87" t="str">
        <x:v>07.04.2026</x:v>
      </x:c>
      <x:c r="G6309" s="87" t="str">
        <x:v>Математика (профиль)</x:v>
      </x:c>
      <x:c r="H6309" s="87" t="n">
        <x:v>11</x:v>
      </x:c>
      <x:c r="I6309" s="87"/>
      <x:c r="J6309" s="87" t="str">
        <x:v>962</x:v>
      </x:c>
      <x:c r="K6309" s="87" t="n">
        <x:v>14</x:v>
      </x:c>
      <x:c r="L6309" s="87" t="str">
        <x:v>Развёрнутый ответ</x:v>
      </x:c>
      <x:c r="M6309" s="30" t="str">
        <x:v>Конус: доказать равенство двух углов и найти высоту при AC=17, BC=15, угол 60°.</x:v>
      </x:c>
      <x:c r="N6309" s="30" t="str">
        <x:v>Проекции и перпендикуляры к хорде сводят оба угла к одному прямоугольному треугольнику. Высота h=(√3/2)√(AC²−BC²)=4√3.</x:v>
      </x:c>
      <x:c r="O6309" s="30" t="str">
        <x:v>Модель содержит ключевую идею, преобразования и итог.</x:v>
      </x:c>
      <x:c r="P6309" s="30"/>
      <x:c r="Q6309" s="30" t="str">
        <x:v>Независимое решение; для варианта 959 дополнительно сверено с полным опубликованным разбором.</x:v>
      </x:c>
      <x:c r="R6309" s="30" t="str">
        <x:v>PARTIAL_MODEL_OR_NOT_PROVIDED</x:v>
      </x:c>
      <x:c r="S6309" s="30"/>
      <x:c r="T6309" s="30"/>
      <x:c r="U6309" s="30" t="str">
        <x:v>Локальные рукописные решения использованы только как вторичный аудируемый источник.</x:v>
      </x:c>
      <x:c r="V6309" s="87" t="str">
        <x:v>VERIFIED</x:v>
      </x:c>
      <x:c r="W6309" s="87"/>
      <x:c r="X6309" s="87" t="n">
        <x:v>5</x:v>
      </x:c>
      <x:c r="Y6309" s="87"/>
      <x:c r="Z6309" s="87"/>
      <x:c r="AA6309" s="87"/>
      <x:c r="AB6309" s="87"/>
      <x:c r="AC6309" s="87" t="str">
        <x:v>VIS-EGKR-MATHP-S26-TASK-962-P005</x:v>
      </x:c>
      <x:c r="AD6309" s="87" t="str">
        <x:v>VIS-EGKR-MATHP-S26-ANSWERDOC-P009; VIS-EGKR-MATHP-S26-ANSWERDOC-P010</x:v>
      </x:c>
      <x:c r="AE6309" s="87" t="str">
        <x:v>TASK; SECONDARY_ANSWER_AND_SOLUTION_SOURCE</x:v>
      </x:c>
      <x:c r="AF6309" s="87" t="str">
        <x:v>VIS-EGKR-MATHP-S26-TASK-962-P005: 5; VIS-EGKR-MATHP-S26-ANSWERDOC-P009: 9; VIS-EGKR-MATHP-S26-ANSWERDOC-P010: 10</x:v>
      </x:c>
      <x:c r="AG6309" s="87" t="str">
        <x:v>RESOLVED</x:v>
      </x:c>
      <x:c r="AH6309" s="87" t="str">
        <x:v>CROP_VERIFIED</x:v>
      </x:c>
      <x:c r="AI6309" s="30"/>
      <x:c r="AJ6309" s="87" t="str">
        <x:v>clean</x:v>
      </x:c>
      <x:c r="AK6309" s="87" t="str">
        <x:v>clean-v0.22</x:v>
      </x:c>
      <x:c r="AL6309" s="87" t="str">
        <x:v>statgrad_clean_continuation_v0_22(1).xlsx</x:v>
      </x:c>
      <x:c r="AM6309" s="87" t="str">
        <x:v>MATHP_S26_962</x:v>
      </x:c>
      <x:c r="AN6309" s="87" t="n">
        <x:v>15</x:v>
      </x:c>
    </x:row>
    <x:row r="6310">
      <x:c r="A6310" s="87" t="n">
        <x:v>6309</x:v>
      </x:c>
      <x:c r="B6310" s="87" t="str">
        <x:v>EGKR-S26-MATHP-962-15</x:v>
      </x:c>
      <x:c r="C6310" s="87" t="str">
        <x:v>ЕГКР</x:v>
      </x:c>
      <x:c r="D6310" s="87"/>
      <x:c r="E6310" s="87" t="str">
        <x:v>Весна 2026</x:v>
      </x:c>
      <x:c r="F6310" s="87" t="str">
        <x:v>07.04.2026</x:v>
      </x:c>
      <x:c r="G6310" s="87" t="str">
        <x:v>Математика (профиль)</x:v>
      </x:c>
      <x:c r="H6310" s="87" t="n">
        <x:v>11</x:v>
      </x:c>
      <x:c r="I6310" s="87"/>
      <x:c r="J6310" s="87" t="str">
        <x:v>962</x:v>
      </x:c>
      <x:c r="K6310" s="87" t="n">
        <x:v>15</x:v>
      </x:c>
      <x:c r="L6310" s="87" t="str">
        <x:v>Развёрнутый ответ</x:v>
      </x:c>
      <x:c r="M6310" s="30" t="str">
        <x:v>Решить логарифмическое неравенство задания 15.</x:v>
      </x:c>
      <x:c r="N6310" s="30" t="str">
        <x:v>После перехода к одной логарифмической переменной, учёта ОДЗ и метода интервалов получено: (0;9)∪(9;27).</x:v>
      </x:c>
      <x:c r="O6310" s="30" t="str">
        <x:v>Модель содержит ключевую идею, преобразования и итог.</x:v>
      </x:c>
      <x:c r="P6310" s="30"/>
      <x:c r="Q6310" s="30" t="str">
        <x:v>Независимое решение; для варианта 959 дополнительно сверено с полным опубликованным разбором.</x:v>
      </x:c>
      <x:c r="R6310" s="30" t="str">
        <x:v>PARTIAL_MODEL_OR_NOT_PROVIDED</x:v>
      </x:c>
      <x:c r="S6310" s="30"/>
      <x:c r="T6310" s="30"/>
      <x:c r="U6310" s="30" t="str">
        <x:v>Локальные рукописные решения использованы только как вторичный аудируемый источник.</x:v>
      </x:c>
      <x:c r="V6310" s="87" t="str">
        <x:v>VERIFIED</x:v>
      </x:c>
      <x:c r="W6310" s="87"/>
      <x:c r="X6310" s="87" t="n">
        <x:v>5</x:v>
      </x:c>
      <x:c r="Y6310" s="87"/>
      <x:c r="Z6310" s="87"/>
      <x:c r="AA6310" s="87"/>
      <x:c r="AB6310" s="87"/>
      <x:c r="AC6310" s="87" t="str">
        <x:v>VIS-EGKR-MATHP-S26-TASK-962-P005</x:v>
      </x:c>
      <x:c r="AD6310" s="87" t="str">
        <x:v>VIS-EGKR-MATHP-S26-ANSWERDOC-P009; VIS-EGKR-MATHP-S26-ANSWERDOC-P010</x:v>
      </x:c>
      <x:c r="AE6310" s="87" t="str">
        <x:v>TASK; SECONDARY_ANSWER_AND_SOLUTION_SOURCE</x:v>
      </x:c>
      <x:c r="AF6310" s="87" t="str">
        <x:v>VIS-EGKR-MATHP-S26-TASK-962-P005: 5; VIS-EGKR-MATHP-S26-ANSWERDOC-P009: 9; VIS-EGKR-MATHP-S26-ANSWERDOC-P010: 10</x:v>
      </x:c>
      <x:c r="AG6310" s="87" t="str">
        <x:v>RESOLVED</x:v>
      </x:c>
      <x:c r="AH6310" s="87" t="str">
        <x:v>CROP_VERIFIED</x:v>
      </x:c>
      <x:c r="AI6310" s="30"/>
      <x:c r="AJ6310" s="87" t="str">
        <x:v>clean</x:v>
      </x:c>
      <x:c r="AK6310" s="87" t="str">
        <x:v>clean-v0.22</x:v>
      </x:c>
      <x:c r="AL6310" s="87" t="str">
        <x:v>statgrad_clean_continuation_v0_22(1).xlsx</x:v>
      </x:c>
      <x:c r="AM6310" s="87" t="str">
        <x:v>MATHP_S26_962</x:v>
      </x:c>
      <x:c r="AN6310" s="87" t="n">
        <x:v>16</x:v>
      </x:c>
    </x:row>
    <x:row r="6311">
      <x:c r="A6311" s="87" t="n">
        <x:v>6310</x:v>
      </x:c>
      <x:c r="B6311" s="87" t="str">
        <x:v>EGKR-S26-MATHP-962-16</x:v>
      </x:c>
      <x:c r="C6311" s="87" t="str">
        <x:v>ЕГКР</x:v>
      </x:c>
      <x:c r="D6311" s="87"/>
      <x:c r="E6311" s="87" t="str">
        <x:v>Весна 2026</x:v>
      </x:c>
      <x:c r="F6311" s="87" t="str">
        <x:v>07.04.2026</x:v>
      </x:c>
      <x:c r="G6311" s="87" t="str">
        <x:v>Математика (профиль)</x:v>
      </x:c>
      <x:c r="H6311" s="87" t="n">
        <x:v>11</x:v>
      </x:c>
      <x:c r="I6311" s="87"/>
      <x:c r="J6311" s="87" t="str">
        <x:v>962</x:v>
      </x:c>
      <x:c r="K6311" s="87" t="n">
        <x:v>16</x:v>
      </x:c>
      <x:c r="L6311" s="87" t="str">
        <x:v>Развёрнутый ответ</x:v>
      </x:c>
      <x:c r="M6311" s="30" t="str">
        <x:v>Кредит: ежегодный платёж 58 564 ₽ при сроке 4 года либо 106 964 ₽ при сроке 2 года; найти процент r.</x:v>
      </x:c>
      <x:c r="N6311" s="30" t="str">
        <x:v>Для коэффициента q=1+r/100 из двух схем платежей следует q²=A₄/(A₂−A₄). Получено q=1.1, поэтому r=10%.</x:v>
      </x:c>
      <x:c r="O6311" s="30" t="str">
        <x:v>Модель содержит ключевую идею, преобразования и итог.</x:v>
      </x:c>
      <x:c r="P6311" s="30"/>
      <x:c r="Q6311" s="30" t="str">
        <x:v>Независимое решение; для варианта 959 дополнительно сверено с полным опубликованным разбором.</x:v>
      </x:c>
      <x:c r="R6311" s="30" t="str">
        <x:v>PARTIAL_MODEL_OR_NOT_PROVIDED</x:v>
      </x:c>
      <x:c r="S6311" s="30"/>
      <x:c r="T6311" s="30"/>
      <x:c r="U6311" s="30" t="str">
        <x:v>Локальные рукописные решения использованы только как вторичный аудируемый источник.</x:v>
      </x:c>
      <x:c r="V6311" s="87" t="str">
        <x:v>VERIFIED</x:v>
      </x:c>
      <x:c r="W6311" s="87"/>
      <x:c r="X6311" s="87" t="n">
        <x:v>5</x:v>
      </x:c>
      <x:c r="Y6311" s="87"/>
      <x:c r="Z6311" s="87"/>
      <x:c r="AA6311" s="87"/>
      <x:c r="AB6311" s="87"/>
      <x:c r="AC6311" s="87" t="str">
        <x:v>VIS-EGKR-MATHP-S26-TASK-962-P005</x:v>
      </x:c>
      <x:c r="AD6311" s="87" t="str">
        <x:v>VIS-EGKR-MATHP-S26-ANSWERDOC-P009; VIS-EGKR-MATHP-S26-ANSWERDOC-P010</x:v>
      </x:c>
      <x:c r="AE6311" s="87" t="str">
        <x:v>TASK; SECONDARY_ANSWER_AND_SOLUTION_SOURCE</x:v>
      </x:c>
      <x:c r="AF6311" s="87" t="str">
        <x:v>VIS-EGKR-MATHP-S26-TASK-962-P005: 5; VIS-EGKR-MATHP-S26-ANSWERDOC-P009: 9; VIS-EGKR-MATHP-S26-ANSWERDOC-P010: 10</x:v>
      </x:c>
      <x:c r="AG6311" s="87" t="str">
        <x:v>RESOLVED</x:v>
      </x:c>
      <x:c r="AH6311" s="87" t="str">
        <x:v>CROP_VERIFIED</x:v>
      </x:c>
      <x:c r="AI6311" s="30"/>
      <x:c r="AJ6311" s="87" t="str">
        <x:v>clean</x:v>
      </x:c>
      <x:c r="AK6311" s="87" t="str">
        <x:v>clean-v0.22</x:v>
      </x:c>
      <x:c r="AL6311" s="87" t="str">
        <x:v>statgrad_clean_continuation_v0_22(1).xlsx</x:v>
      </x:c>
      <x:c r="AM6311" s="87" t="str">
        <x:v>MATHP_S26_962</x:v>
      </x:c>
      <x:c r="AN6311" s="87" t="n">
        <x:v>17</x:v>
      </x:c>
    </x:row>
    <x:row r="6312">
      <x:c r="A6312" s="87" t="n">
        <x:v>6311</x:v>
      </x:c>
      <x:c r="B6312" s="87" t="str">
        <x:v>EGKR-S26-MATHP-962-17</x:v>
      </x:c>
      <x:c r="C6312" s="87" t="str">
        <x:v>ЕГКР</x:v>
      </x:c>
      <x:c r="D6312" s="87"/>
      <x:c r="E6312" s="87" t="str">
        <x:v>Весна 2026</x:v>
      </x:c>
      <x:c r="F6312" s="87" t="str">
        <x:v>07.04.2026</x:v>
      </x:c>
      <x:c r="G6312" s="87" t="str">
        <x:v>Математика (профиль)</x:v>
      </x:c>
      <x:c r="H6312" s="87" t="n">
        <x:v>11</x:v>
      </x:c>
      <x:c r="I6312" s="87"/>
      <x:c r="J6312" s="87" t="str">
        <x:v>962</x:v>
      </x:c>
      <x:c r="K6312" s="87" t="n">
        <x:v>17</x:v>
      </x:c>
      <x:c r="L6312" s="87" t="str">
        <x:v>Развёрнутый ответ</x:v>
      </x:c>
      <x:c r="M6312" s="30" t="str">
        <x:v>Окружность пересекает стороны прямоугольного треугольника; доказать подобие и найти площадь CKMB при R=2√5, AC=10, BC=8.</x:v>
      </x:c>
      <x:c r="N6312" s="30" t="str">
        <x:v>По равенству вписанных углов △AKM∼△ABC. Затем CK=√((2R)²−BC²), AK=AC−CK, AB²=AC²+BC², а S_CKMB=(AC·BC/2)·(1−AK²/AB²). Ответ: 1280/41.</x:v>
      </x:c>
      <x:c r="O6312" s="30" t="str">
        <x:v>Модель содержит ключевую идею, преобразования и итог.</x:v>
      </x:c>
      <x:c r="P6312" s="30"/>
      <x:c r="Q6312" s="30" t="str">
        <x:v>Независимое решение; для варианта 959 дополнительно сверено с полным опубликованным разбором.</x:v>
      </x:c>
      <x:c r="R6312" s="30" t="str">
        <x:v>PARTIAL_MODEL_OR_NOT_PROVIDED</x:v>
      </x:c>
      <x:c r="S6312" s="30"/>
      <x:c r="T6312" s="30"/>
      <x:c r="U6312" s="30" t="str">
        <x:v>Локальные рукописные решения использованы только как вторичный аудируемый источник.</x:v>
      </x:c>
      <x:c r="V6312" s="87" t="str">
        <x:v>VERIFIED</x:v>
      </x:c>
      <x:c r="W6312" s="87"/>
      <x:c r="X6312" s="87" t="n">
        <x:v>5</x:v>
      </x:c>
      <x:c r="Y6312" s="87"/>
      <x:c r="Z6312" s="87"/>
      <x:c r="AA6312" s="87"/>
      <x:c r="AB6312" s="87"/>
      <x:c r="AC6312" s="87" t="str">
        <x:v>VIS-EGKR-MATHP-S26-TASK-962-P005</x:v>
      </x:c>
      <x:c r="AD6312" s="87" t="str">
        <x:v>VIS-EGKR-MATHP-S26-ANSWERDOC-P009; VIS-EGKR-MATHP-S26-ANSWERDOC-P010</x:v>
      </x:c>
      <x:c r="AE6312" s="87" t="str">
        <x:v>TASK; SECONDARY_ANSWER_AND_SOLUTION_SOURCE</x:v>
      </x:c>
      <x:c r="AF6312" s="87" t="str">
        <x:v>VIS-EGKR-MATHP-S26-TASK-962-P005: 5; VIS-EGKR-MATHP-S26-ANSWERDOC-P009: 9; VIS-EGKR-MATHP-S26-ANSWERDOC-P010: 10</x:v>
      </x:c>
      <x:c r="AG6312" s="87" t="str">
        <x:v>RESOLVED</x:v>
      </x:c>
      <x:c r="AH6312" s="87" t="str">
        <x:v>CROP_VERIFIED</x:v>
      </x:c>
      <x:c r="AI6312" s="30"/>
      <x:c r="AJ6312" s="87" t="str">
        <x:v>clean</x:v>
      </x:c>
      <x:c r="AK6312" s="87" t="str">
        <x:v>clean-v0.22</x:v>
      </x:c>
      <x:c r="AL6312" s="87" t="str">
        <x:v>statgrad_clean_continuation_v0_22(1).xlsx</x:v>
      </x:c>
      <x:c r="AM6312" s="87" t="str">
        <x:v>MATHP_S26_962</x:v>
      </x:c>
      <x:c r="AN6312" s="87" t="n">
        <x:v>18</x:v>
      </x:c>
    </x:row>
    <x:row r="6313">
      <x:c r="A6313" s="87" t="n">
        <x:v>6312</x:v>
      </x:c>
      <x:c r="B6313" s="87" t="str">
        <x:v>EGKR-S26-MATHP-962-18</x:v>
      </x:c>
      <x:c r="C6313" s="87" t="str">
        <x:v>ЕГКР</x:v>
      </x:c>
      <x:c r="D6313" s="87"/>
      <x:c r="E6313" s="87" t="str">
        <x:v>Весна 2026</x:v>
      </x:c>
      <x:c r="F6313" s="87" t="str">
        <x:v>07.04.2026</x:v>
      </x:c>
      <x:c r="G6313" s="87" t="str">
        <x:v>Математика (профиль)</x:v>
      </x:c>
      <x:c r="H6313" s="87" t="n">
        <x:v>11</x:v>
      </x:c>
      <x:c r="I6313" s="87"/>
      <x:c r="J6313" s="87" t="str">
        <x:v>962</x:v>
      </x:c>
      <x:c r="K6313" s="87" t="n">
        <x:v>18</x:v>
      </x:c>
      <x:c r="L6313" s="87" t="str">
        <x:v>Развёрнутый ответ</x:v>
      </x:c>
      <x:c r="M6313" s="30" t="str">
        <x:v>Найти параметры a, при которых заданное кубическое соотношение определяет функцию y=f(x) для всех действительных x.</x:v>
      </x:c>
      <x:c r="N6313" s="30" t="str">
        <x:v>Требуется взаимно-однозначная монотонность кубического многочлена по y. Исследование производной и условие неположительности её дискриминанта дают: a∈[−3;18].</x:v>
      </x:c>
      <x:c r="O6313" s="30" t="str">
        <x:v>Модель содержит ключевую идею, преобразования и итог.</x:v>
      </x:c>
      <x:c r="P6313" s="30"/>
      <x:c r="Q6313" s="30" t="str">
        <x:v>Независимое решение; для варианта 959 дополнительно сверено с полным опубликованным разбором.</x:v>
      </x:c>
      <x:c r="R6313" s="30" t="str">
        <x:v>PARTIAL_MODEL_OR_NOT_PROVIDED</x:v>
      </x:c>
      <x:c r="S6313" s="30"/>
      <x:c r="T6313" s="30"/>
      <x:c r="U6313" s="30" t="str">
        <x:v>Локальные рукописные решения использованы только как вторичный аудируемый источник.</x:v>
      </x:c>
      <x:c r="V6313" s="87" t="str">
        <x:v>VERIFIED</x:v>
      </x:c>
      <x:c r="W6313" s="87"/>
      <x:c r="X6313" s="87" t="n">
        <x:v>6</x:v>
      </x:c>
      <x:c r="Y6313" s="87"/>
      <x:c r="Z6313" s="87"/>
      <x:c r="AA6313" s="87"/>
      <x:c r="AB6313" s="87"/>
      <x:c r="AC6313" s="87" t="str">
        <x:v>VIS-EGKR-MATHP-S26-TASK-962-P006</x:v>
      </x:c>
      <x:c r="AD6313" s="87" t="str">
        <x:v>VIS-EGKR-MATHP-S26-ANSWERDOC-P009; VIS-EGKR-MATHP-S26-ANSWERDOC-P010</x:v>
      </x:c>
      <x:c r="AE6313" s="87" t="str">
        <x:v>TASK; SECONDARY_ANSWER_AND_SOLUTION_SOURCE</x:v>
      </x:c>
      <x:c r="AF6313" s="87" t="str">
        <x:v>VIS-EGKR-MATHP-S26-TASK-962-P006: 6; VIS-EGKR-MATHP-S26-ANSWERDOC-P009: 9; VIS-EGKR-MATHP-S26-ANSWERDOC-P010: 10</x:v>
      </x:c>
      <x:c r="AG6313" s="87" t="str">
        <x:v>RESOLVED</x:v>
      </x:c>
      <x:c r="AH6313" s="87" t="str">
        <x:v>CROP_VERIFIED</x:v>
      </x:c>
      <x:c r="AI6313" s="30"/>
      <x:c r="AJ6313" s="87" t="str">
        <x:v>clean</x:v>
      </x:c>
      <x:c r="AK6313" s="87" t="str">
        <x:v>clean-v0.22</x:v>
      </x:c>
      <x:c r="AL6313" s="87" t="str">
        <x:v>statgrad_clean_continuation_v0_22(1).xlsx</x:v>
      </x:c>
      <x:c r="AM6313" s="87" t="str">
        <x:v>MATHP_S26_962</x:v>
      </x:c>
      <x:c r="AN6313" s="87" t="n">
        <x:v>19</x:v>
      </x:c>
    </x:row>
    <x:row r="6314">
      <x:c r="A6314" s="87" t="n">
        <x:v>6313</x:v>
      </x:c>
      <x:c r="B6314" s="87" t="str">
        <x:v>EGKR-S26-MATHP-962-19</x:v>
      </x:c>
      <x:c r="C6314" s="87" t="str">
        <x:v>ЕГКР</x:v>
      </x:c>
      <x:c r="D6314" s="87"/>
      <x:c r="E6314" s="87" t="str">
        <x:v>Весна 2026</x:v>
      </x:c>
      <x:c r="F6314" s="87" t="str">
        <x:v>07.04.2026</x:v>
      </x:c>
      <x:c r="G6314" s="87" t="str">
        <x:v>Математика (профиль)</x:v>
      </x:c>
      <x:c r="H6314" s="87" t="n">
        <x:v>11</x:v>
      </x:c>
      <x:c r="I6314" s="87"/>
      <x:c r="J6314" s="87" t="str">
        <x:v>962</x:v>
      </x:c>
      <x:c r="K6314" s="87" t="n">
        <x:v>19</x:v>
      </x:c>
      <x:c r="L6314" s="87" t="str">
        <x:v>Развёрнутый ответ</x:v>
      </x:c>
      <x:c r="M6314" s="30" t="str">
        <x:v>Игра с произведениями различных натуральных чисел из диапазона 20–80 и чисел, увеличенных на единицу.</x:v>
      </x:c>
      <x:c r="N6314" s="30" t="str">
        <x:v>Отношение произведений равно ∏(aᵢ+1)/aᵢ. Телескопические наборы последовательных чисел реализуют допустимые целые множители, а верхняя оценка следует из крайних значений. Итоги: а) да, в 3 раза; б) нет, в 9 раз; в) максимум 4.</x:v>
      </x:c>
      <x:c r="O6314" s="30" t="str">
        <x:v>Модель содержит ключевую идею, преобразования и итог.</x:v>
      </x:c>
      <x:c r="P6314" s="30"/>
      <x:c r="Q6314" s="30" t="str">
        <x:v>Независимое решение; для варианта 959 дополнительно сверено с полным опубликованным разбором.</x:v>
      </x:c>
      <x:c r="R6314" s="30" t="str">
        <x:v>PARTIAL_MODEL_OR_NOT_PROVIDED</x:v>
      </x:c>
      <x:c r="S6314" s="30"/>
      <x:c r="T6314" s="30"/>
      <x:c r="U6314" s="30" t="str">
        <x:v>Локальные рукописные решения использованы только как вторичный аудируемый источник.</x:v>
      </x:c>
      <x:c r="V6314" s="87" t="str">
        <x:v>VERIFIED</x:v>
      </x:c>
      <x:c r="W6314" s="87"/>
      <x:c r="X6314" s="87" t="n">
        <x:v>6</x:v>
      </x:c>
      <x:c r="Y6314" s="87"/>
      <x:c r="Z6314" s="87"/>
      <x:c r="AA6314" s="87"/>
      <x:c r="AB6314" s="87"/>
      <x:c r="AC6314" s="87" t="str">
        <x:v>VIS-EGKR-MATHP-S26-TASK-962-P006</x:v>
      </x:c>
      <x:c r="AD6314" s="87" t="str">
        <x:v>VIS-EGKR-MATHP-S26-ANSWERDOC-P009; VIS-EGKR-MATHP-S26-ANSWERDOC-P010</x:v>
      </x:c>
      <x:c r="AE6314" s="87" t="str">
        <x:v>TASK; SECONDARY_ANSWER_AND_SOLUTION_SOURCE</x:v>
      </x:c>
      <x:c r="AF6314" s="87" t="str">
        <x:v>VIS-EGKR-MATHP-S26-TASK-962-P006: 6; VIS-EGKR-MATHP-S26-ANSWERDOC-P009: 9; VIS-EGKR-MATHP-S26-ANSWERDOC-P010: 10</x:v>
      </x:c>
      <x:c r="AG6314" s="87" t="str">
        <x:v>RESOLVED</x:v>
      </x:c>
      <x:c r="AH6314" s="87" t="str">
        <x:v>CROP_VERIFIED</x:v>
      </x:c>
      <x:c r="AI6314" s="30"/>
      <x:c r="AJ6314" s="87" t="str">
        <x:v>clean</x:v>
      </x:c>
      <x:c r="AK6314" s="87" t="str">
        <x:v>clean-v0.22</x:v>
      </x:c>
      <x:c r="AL6314" s="87" t="str">
        <x:v>statgrad_clean_continuation_v0_22(1).xlsx</x:v>
      </x:c>
      <x:c r="AM6314" s="87" t="str">
        <x:v>MATHP_S26_962</x:v>
      </x:c>
      <x:c r="AN6314" s="87" t="n">
        <x:v>20</x:v>
      </x:c>
    </x:row>
    <x:row r="6315">
      <x:c r="A6315" s="87" t="n">
        <x:v>6314</x:v>
      </x:c>
      <x:c r="B6315" s="87" t="str">
        <x:v>EGKR-S26-MATHP-963-01</x:v>
      </x:c>
      <x:c r="C6315" s="87" t="str">
        <x:v>ЕГКР</x:v>
      </x:c>
      <x:c r="D6315" s="87"/>
      <x:c r="E6315" s="87" t="str">
        <x:v>Весна 2026</x:v>
      </x:c>
      <x:c r="F6315" s="87" t="str">
        <x:v>07.04.2026</x:v>
      </x:c>
      <x:c r="G6315" s="87" t="str">
        <x:v>Математика (профиль)</x:v>
      </x:c>
      <x:c r="H6315" s="87" t="n">
        <x:v>11</x:v>
      </x:c>
      <x:c r="I6315" s="87"/>
      <x:c r="J6315" s="87" t="str">
        <x:v>963</x:v>
      </x:c>
      <x:c r="K6315" s="87" t="n">
        <x:v>1</x:v>
      </x:c>
      <x:c r="L6315" s="87" t="str">
        <x:v>Планиметрия: угол</x:v>
      </x:c>
      <x:c r="M6315" s="30" t="str">
        <x:v>Из точки A к окружности проведены касательная AM и секущая AC через центр; ∠MAC=44°. Найти ∠ACM.</x:v>
      </x:c>
      <x:c r="N6315" s="30" t="str">
        <x:v>23</x:v>
      </x:c>
      <x:c r="O6315" s="30" t="str">
        <x:v>Использованы свойства углов в заданной конфигурации; искомый угол равен половине дополнения данного угла до 90°.</x:v>
      </x:c>
      <x:c r="P6315" s="30"/>
      <x:c r="Q6315" s="30" t="str">
        <x:v>Независимый расчёт и визуальная сверка исходной страницы.</x:v>
      </x:c>
      <x:c r="R6315" s="30" t="str">
        <x:v>23</x:v>
      </x:c>
      <x:c r="S6315" s="30"/>
      <x:c r="T6315" s="30"/>
      <x:c r="U6315" s="30" t="str">
        <x:v>Ответник совпадает с независимой проверкой.</x:v>
      </x:c>
      <x:c r="V6315" s="87" t="str">
        <x:v>VERIFIED</x:v>
      </x:c>
      <x:c r="W6315" s="87"/>
      <x:c r="X6315" s="87" t="n">
        <x:v>2</x:v>
      </x:c>
      <x:c r="Y6315" s="87"/>
      <x:c r="Z6315" s="87"/>
      <x:c r="AA6315" s="87"/>
      <x:c r="AB6315" s="87"/>
      <x:c r="AC6315" s="87" t="str">
        <x:v>VIS-EGKR-MATHP-S26-TASK-963-P002</x:v>
      </x:c>
      <x:c r="AD6315" s="87" t="str">
        <x:v>VIS-EGKR-MATHP-S26-ANSWERDOC-P005</x:v>
      </x:c>
      <x:c r="AE6315" s="87" t="str">
        <x:v>TASK; SECONDARY_ANSWER_AND_SOLUTION_SOURCE</x:v>
      </x:c>
      <x:c r="AF6315" s="87" t="str">
        <x:v>VIS-EGKR-MATHP-S26-TASK-963-P002: 2; VIS-EGKR-MATHP-S26-ANSWERDOC-P005: 5</x:v>
      </x:c>
      <x:c r="AG6315" s="87" t="str">
        <x:v>RESOLVED</x:v>
      </x:c>
      <x:c r="AH6315" s="87" t="str">
        <x:v>CROP_VERIFIED</x:v>
      </x:c>
      <x:c r="AI6315" s="30"/>
      <x:c r="AJ6315" s="87" t="str">
        <x:v>clean</x:v>
      </x:c>
      <x:c r="AK6315" s="87" t="str">
        <x:v>clean-v0.22</x:v>
      </x:c>
      <x:c r="AL6315" s="87" t="str">
        <x:v>statgrad_clean_continuation_v0_22(1).xlsx</x:v>
      </x:c>
      <x:c r="AM6315" s="87" t="str">
        <x:v>MATHP_S26_963</x:v>
      </x:c>
      <x:c r="AN6315" s="87" t="n">
        <x:v>2</x:v>
      </x:c>
    </x:row>
    <x:row r="6316">
      <x:c r="A6316" s="87" t="n">
        <x:v>6315</x:v>
      </x:c>
      <x:c r="B6316" s="87" t="str">
        <x:v>EGKR-S26-MATHP-963-02</x:v>
      </x:c>
      <x:c r="C6316" s="87" t="str">
        <x:v>ЕГКР</x:v>
      </x:c>
      <x:c r="D6316" s="87"/>
      <x:c r="E6316" s="87" t="str">
        <x:v>Весна 2026</x:v>
      </x:c>
      <x:c r="F6316" s="87" t="str">
        <x:v>07.04.2026</x:v>
      </x:c>
      <x:c r="G6316" s="87" t="str">
        <x:v>Математика (профиль)</x:v>
      </x:c>
      <x:c r="H6316" s="87" t="n">
        <x:v>11</x:v>
      </x:c>
      <x:c r="I6316" s="87"/>
      <x:c r="J6316" s="87" t="str">
        <x:v>963</x:v>
      </x:c>
      <x:c r="K6316" s="87" t="n">
        <x:v>2</x:v>
      </x:c>
      <x:c r="L6316" s="87" t="str">
        <x:v>Векторы</x:v>
      </x:c>
      <x:c r="M6316" s="30" t="str">
        <x:v>Даны a=(−1;7), b=(2;−5), c=(0;4). Найти длину вектора a+b−½c.</x:v>
      </x:c>
      <x:c r="N6316" s="30" t="str">
        <x:v>1</x:v>
      </x:c>
      <x:c r="O6316" s="30" t="str">
        <x:v>Выполнены операции над координатами векторов и вычислена длина результирующего вектора.</x:v>
      </x:c>
      <x:c r="P6316" s="30"/>
      <x:c r="Q6316" s="30" t="str">
        <x:v>Независимый расчёт и визуальная сверка исходной страницы.</x:v>
      </x:c>
      <x:c r="R6316" s="30" t="str">
        <x:v>1</x:v>
      </x:c>
      <x:c r="S6316" s="30"/>
      <x:c r="T6316" s="30"/>
      <x:c r="U6316" s="30" t="str">
        <x:v>Ответник совпадает с независимой проверкой.</x:v>
      </x:c>
      <x:c r="V6316" s="87" t="str">
        <x:v>VERIFIED</x:v>
      </x:c>
      <x:c r="W6316" s="87"/>
      <x:c r="X6316" s="87" t="n">
        <x:v>2</x:v>
      </x:c>
      <x:c r="Y6316" s="87"/>
      <x:c r="Z6316" s="87"/>
      <x:c r="AA6316" s="87"/>
      <x:c r="AB6316" s="87"/>
      <x:c r="AC6316" s="87" t="str">
        <x:v>VIS-EGKR-MATHP-S26-TASK-963-P002</x:v>
      </x:c>
      <x:c r="AD6316" s="87" t="str">
        <x:v>VIS-EGKR-MATHP-S26-ANSWERDOC-P005</x:v>
      </x:c>
      <x:c r="AE6316" s="87" t="str">
        <x:v>TASK; SECONDARY_ANSWER_AND_SOLUTION_SOURCE</x:v>
      </x:c>
      <x:c r="AF6316" s="87" t="str">
        <x:v>VIS-EGKR-MATHP-S26-TASK-963-P002: 2; VIS-EGKR-MATHP-S26-ANSWERDOC-P005: 5</x:v>
      </x:c>
      <x:c r="AG6316" s="87" t="str">
        <x:v>RESOLVED</x:v>
      </x:c>
      <x:c r="AH6316" s="87" t="str">
        <x:v>CROP_VERIFIED</x:v>
      </x:c>
      <x:c r="AI6316" s="30"/>
      <x:c r="AJ6316" s="87" t="str">
        <x:v>clean</x:v>
      </x:c>
      <x:c r="AK6316" s="87" t="str">
        <x:v>clean-v0.22</x:v>
      </x:c>
      <x:c r="AL6316" s="87" t="str">
        <x:v>statgrad_clean_continuation_v0_22(1).xlsx</x:v>
      </x:c>
      <x:c r="AM6316" s="87" t="str">
        <x:v>MATHP_S26_963</x:v>
      </x:c>
      <x:c r="AN6316" s="87" t="n">
        <x:v>3</x:v>
      </x:c>
    </x:row>
    <x:row r="6317">
      <x:c r="A6317" s="87" t="n">
        <x:v>6316</x:v>
      </x:c>
      <x:c r="B6317" s="87" t="str">
        <x:v>EGKR-S26-MATHP-963-03</x:v>
      </x:c>
      <x:c r="C6317" s="87" t="str">
        <x:v>ЕГКР</x:v>
      </x:c>
      <x:c r="D6317" s="87"/>
      <x:c r="E6317" s="87" t="str">
        <x:v>Весна 2026</x:v>
      </x:c>
      <x:c r="F6317" s="87" t="str">
        <x:v>07.04.2026</x:v>
      </x:c>
      <x:c r="G6317" s="87" t="str">
        <x:v>Математика (профиль)</x:v>
      </x:c>
      <x:c r="H6317" s="87" t="n">
        <x:v>11</x:v>
      </x:c>
      <x:c r="I6317" s="87"/>
      <x:c r="J6317" s="87" t="str">
        <x:v>963</x:v>
      </x:c>
      <x:c r="K6317" s="87" t="n">
        <x:v>3</x:v>
      </x:c>
      <x:c r="L6317" s="87" t="str">
        <x:v>Объём многогранника</x:v>
      </x:c>
      <x:c r="M6317" s="30" t="str">
        <x:v>Объём прямоугольного параллелепипеда равен 10,2. Найти объём указанной треугольной пирамиды.</x:v>
      </x:c>
      <x:c r="N6317" s="30" t="str">
        <x:v>3,4</x:v>
      </x:c>
      <x:c r="O6317" s="30" t="str">
        <x:v>Объём тетраэдра с соответствующими вершинами составляет треть объёма прямоугольного параллелепипеда.</x:v>
      </x:c>
      <x:c r="P6317" s="30"/>
      <x:c r="Q6317" s="30" t="str">
        <x:v>Независимый расчёт и визуальная сверка исходной страницы.</x:v>
      </x:c>
      <x:c r="R6317" s="30" t="str">
        <x:v>3,4</x:v>
      </x:c>
      <x:c r="S6317" s="30"/>
      <x:c r="T6317" s="30"/>
      <x:c r="U6317" s="30" t="str">
        <x:v>Ответник совпадает с независимой проверкой.</x:v>
      </x:c>
      <x:c r="V6317" s="87" t="str">
        <x:v>VERIFIED</x:v>
      </x:c>
      <x:c r="W6317" s="87"/>
      <x:c r="X6317" s="87" t="n">
        <x:v>2</x:v>
      </x:c>
      <x:c r="Y6317" s="87"/>
      <x:c r="Z6317" s="87"/>
      <x:c r="AA6317" s="87"/>
      <x:c r="AB6317" s="87"/>
      <x:c r="AC6317" s="87" t="str">
        <x:v>VIS-EGKR-MATHP-S26-TASK-963-P002</x:v>
      </x:c>
      <x:c r="AD6317" s="87" t="str">
        <x:v>VIS-EGKR-MATHP-S26-ANSWERDOC-P005</x:v>
      </x:c>
      <x:c r="AE6317" s="87" t="str">
        <x:v>TASK; SECONDARY_ANSWER_AND_SOLUTION_SOURCE</x:v>
      </x:c>
      <x:c r="AF6317" s="87" t="str">
        <x:v>VIS-EGKR-MATHP-S26-TASK-963-P002: 2; VIS-EGKR-MATHP-S26-ANSWERDOC-P005: 5</x:v>
      </x:c>
      <x:c r="AG6317" s="87" t="str">
        <x:v>RESOLVED</x:v>
      </x:c>
      <x:c r="AH6317" s="87" t="str">
        <x:v>CROP_VERIFIED</x:v>
      </x:c>
      <x:c r="AI6317" s="30"/>
      <x:c r="AJ6317" s="87" t="str">
        <x:v>clean</x:v>
      </x:c>
      <x:c r="AK6317" s="87" t="str">
        <x:v>clean-v0.22</x:v>
      </x:c>
      <x:c r="AL6317" s="87" t="str">
        <x:v>statgrad_clean_continuation_v0_22(1).xlsx</x:v>
      </x:c>
      <x:c r="AM6317" s="87" t="str">
        <x:v>MATHP_S26_963</x:v>
      </x:c>
      <x:c r="AN6317" s="87" t="n">
        <x:v>4</x:v>
      </x:c>
    </x:row>
    <x:row r="6318">
      <x:c r="A6318" s="87" t="n">
        <x:v>6317</x:v>
      </x:c>
      <x:c r="B6318" s="87" t="str">
        <x:v>EGKR-S26-MATHP-963-04</x:v>
      </x:c>
      <x:c r="C6318" s="87" t="str">
        <x:v>ЕГКР</x:v>
      </x:c>
      <x:c r="D6318" s="87"/>
      <x:c r="E6318" s="87" t="str">
        <x:v>Весна 2026</x:v>
      </x:c>
      <x:c r="F6318" s="87" t="str">
        <x:v>07.04.2026</x:v>
      </x:c>
      <x:c r="G6318" s="87" t="str">
        <x:v>Математика (профиль)</x:v>
      </x:c>
      <x:c r="H6318" s="87" t="n">
        <x:v>11</x:v>
      </x:c>
      <x:c r="I6318" s="87"/>
      <x:c r="J6318" s="87" t="str">
        <x:v>963</x:v>
      </x:c>
      <x:c r="K6318" s="87" t="n">
        <x:v>4</x:v>
      </x:c>
      <x:c r="L6318" s="87" t="str">
        <x:v>Вероятность</x:v>
      </x:c>
      <x:c r="M6318" s="30" t="str">
        <x:v>В игре «Морской бой» на клетчатом поле 10×10 размещают четыре однопалубных корабля (одна клетка), три двухпалубных, два трёхпалубных и один четырёхпалубный. Первый игрок делает «выстрел» по случайной клетке. Какова вероятность того, что он попадет в двухпалубный корабль?</x:v>
      </x:c>
      <x:c r="N6318" s="30" t="str">
        <x:v>0,06</x:v>
      </x:c>
      <x:c r="O6318" s="30" t="str">
        <x:v>Вероятность равна отношению числа клеток, занятых указанными кораблями, к 100.</x:v>
      </x:c>
      <x:c r="P6318" s="30"/>
      <x:c r="Q6318" s="30" t="str">
        <x:v>Независимый расчёт и визуальная сверка исходной страницы.</x:v>
      </x:c>
      <x:c r="R6318" s="30" t="str">
        <x:v>0,12</x:v>
      </x:c>
      <x:c r="S6318" s="30"/>
      <x:c r="T6318" s="30"/>
      <x:c r="U6318" s="30" t="str">
        <x:v>Ответник: 0,12; независимый ответ: 0,06.</x:v>
      </x:c>
      <x:c r="V6318" s="87" t="str">
        <x:v>KEY_MISMATCH</x:v>
      </x:c>
      <x:c r="W6318" s="87"/>
      <x:c r="X6318" s="87" t="n">
        <x:v>2</x:v>
      </x:c>
      <x:c r="Y6318" s="87"/>
      <x:c r="Z6318" s="87"/>
      <x:c r="AA6318" s="87"/>
      <x:c r="AB6318" s="87"/>
      <x:c r="AC6318" s="87" t="str">
        <x:v>VIS-EGKR-MATHP-S26-TASK-963-P002</x:v>
      </x:c>
      <x:c r="AD6318" s="87" t="str">
        <x:v>VIS-EGKR-MATHP-S26-ANSWERDOC-P005</x:v>
      </x:c>
      <x:c r="AE6318" s="87" t="str">
        <x:v>TASK; SECONDARY_ANSWER_AND_SOLUTION_SOURCE</x:v>
      </x:c>
      <x:c r="AF6318" s="87" t="str">
        <x:v>VIS-EGKR-MATHP-S26-TASK-963-P002: 2; VIS-EGKR-MATHP-S26-ANSWERDOC-P005: 5</x:v>
      </x:c>
      <x:c r="AG6318" s="87" t="str">
        <x:v>RESOLVED</x:v>
      </x:c>
      <x:c r="AH6318" s="87" t="str">
        <x:v>CROP_VERIFIED</x:v>
      </x:c>
      <x:c r="AI6318" s="30"/>
      <x:c r="AJ6318" s="87" t="str">
        <x:v>clean</x:v>
      </x:c>
      <x:c r="AK6318" s="87" t="str">
        <x:v>clean-v0.22</x:v>
      </x:c>
      <x:c r="AL6318" s="87" t="str">
        <x:v>statgrad_clean_continuation_v0_22(1).xlsx</x:v>
      </x:c>
      <x:c r="AM6318" s="87" t="str">
        <x:v>MATHP_S26_963</x:v>
      </x:c>
      <x:c r="AN6318" s="87" t="n">
        <x:v>5</x:v>
      </x:c>
    </x:row>
    <x:row r="6319">
      <x:c r="A6319" s="87" t="n">
        <x:v>6318</x:v>
      </x:c>
      <x:c r="B6319" s="87" t="str">
        <x:v>EGKR-S26-MATHP-963-05</x:v>
      </x:c>
      <x:c r="C6319" s="87" t="str">
        <x:v>ЕГКР</x:v>
      </x:c>
      <x:c r="D6319" s="87"/>
      <x:c r="E6319" s="87" t="str">
        <x:v>Весна 2026</x:v>
      </x:c>
      <x:c r="F6319" s="87" t="str">
        <x:v>07.04.2026</x:v>
      </x:c>
      <x:c r="G6319" s="87" t="str">
        <x:v>Математика (профиль)</x:v>
      </x:c>
      <x:c r="H6319" s="87" t="n">
        <x:v>11</x:v>
      </x:c>
      <x:c r="I6319" s="87"/>
      <x:c r="J6319" s="87" t="str">
        <x:v>963</x:v>
      </x:c>
      <x:c r="K6319" s="87" t="n">
        <x:v>5</x:v>
      </x:c>
      <x:c r="L6319" s="87" t="str">
        <x:v>Вероятность срабатывания датчиков</x:v>
      </x:c>
      <x:c r="M6319" s="30" t="str">
        <x:v>Зал выдачи наличных денежных средств банкоматами банка оснащён двумя типами датчиков безопасности: движения и лучевым. В случае несанкционированного проникновения в зал первый датчик срабатывает с вероятностью 0,96, а второй — с вероятностью 0,95. Какова вероятность срабатывания только одного из датчиков в случае несанкционированного проникновения в зал выдачи наличных денежных средств банкоматами банка?</x:v>
      </x:c>
      <x:c r="N6319" s="30" t="str">
        <x:v>0,086</x:v>
      </x:c>
      <x:c r="O6319" s="30" t="str">
        <x:v>Вероятность ровно одного срабатывания: p(1−q)+(1−p)q.</x:v>
      </x:c>
      <x:c r="P6319" s="30"/>
      <x:c r="Q6319" s="30" t="str">
        <x:v>Независимый расчёт и визуальная сверка исходной страницы.</x:v>
      </x:c>
      <x:c r="R6319" s="30" t="str">
        <x:v>0,086</x:v>
      </x:c>
      <x:c r="S6319" s="30"/>
      <x:c r="T6319" s="30"/>
      <x:c r="U6319" s="30" t="str">
        <x:v>Ответник совпадает с независимой проверкой.</x:v>
      </x:c>
      <x:c r="V6319" s="87" t="str">
        <x:v>VERIFIED</x:v>
      </x:c>
      <x:c r="W6319" s="87"/>
      <x:c r="X6319" s="87" t="n">
        <x:v>2</x:v>
      </x:c>
      <x:c r="Y6319" s="87"/>
      <x:c r="Z6319" s="87"/>
      <x:c r="AA6319" s="87"/>
      <x:c r="AB6319" s="87"/>
      <x:c r="AC6319" s="87" t="str">
        <x:v>VIS-EGKR-MATHP-S26-TASK-963-P002</x:v>
      </x:c>
      <x:c r="AD6319" s="87" t="str">
        <x:v>VIS-EGKR-MATHP-S26-ANSWERDOC-P005</x:v>
      </x:c>
      <x:c r="AE6319" s="87" t="str">
        <x:v>TASK; SECONDARY_ANSWER_AND_SOLUTION_SOURCE</x:v>
      </x:c>
      <x:c r="AF6319" s="87" t="str">
        <x:v>VIS-EGKR-MATHP-S26-TASK-963-P002: 2; VIS-EGKR-MATHP-S26-ANSWERDOC-P005: 5</x:v>
      </x:c>
      <x:c r="AG6319" s="87" t="str">
        <x:v>RESOLVED</x:v>
      </x:c>
      <x:c r="AH6319" s="87" t="str">
        <x:v>CROP_VERIFIED</x:v>
      </x:c>
      <x:c r="AI6319" s="30"/>
      <x:c r="AJ6319" s="87" t="str">
        <x:v>clean</x:v>
      </x:c>
      <x:c r="AK6319" s="87" t="str">
        <x:v>clean-v0.22</x:v>
      </x:c>
      <x:c r="AL6319" s="87" t="str">
        <x:v>statgrad_clean_continuation_v0_22(1).xlsx</x:v>
      </x:c>
      <x:c r="AM6319" s="87" t="str">
        <x:v>MATHP_S26_963</x:v>
      </x:c>
      <x:c r="AN6319" s="87" t="n">
        <x:v>6</x:v>
      </x:c>
    </x:row>
    <x:row r="6320">
      <x:c r="A6320" s="87" t="n">
        <x:v>6319</x:v>
      </x:c>
      <x:c r="B6320" s="87" t="str">
        <x:v>EGKR-S26-MATHP-963-06</x:v>
      </x:c>
      <x:c r="C6320" s="87" t="str">
        <x:v>ЕГКР</x:v>
      </x:c>
      <x:c r="D6320" s="87"/>
      <x:c r="E6320" s="87" t="str">
        <x:v>Весна 2026</x:v>
      </x:c>
      <x:c r="F6320" s="87" t="str">
        <x:v>07.04.2026</x:v>
      </x:c>
      <x:c r="G6320" s="87" t="str">
        <x:v>Математика (профиль)</x:v>
      </x:c>
      <x:c r="H6320" s="87" t="n">
        <x:v>11</x:v>
      </x:c>
      <x:c r="I6320" s="87"/>
      <x:c r="J6320" s="87" t="str">
        <x:v>963</x:v>
      </x:c>
      <x:c r="K6320" s="87" t="n">
        <x:v>6</x:v>
      </x:c>
      <x:c r="L6320" s="87" t="str">
        <x:v>Логарифмическое уравнение</x:v>
      </x:c>
      <x:c r="M6320" s="30" t="str">
        <x:v>Найдите корень уравнения log2(𝑥 + 6) = log2 𝑥 + 1.</x:v>
      </x:c>
      <x:c r="N6320" s="30" t="str">
        <x:v>6</x:v>
      </x:c>
      <x:c r="O6320" s="30" t="str">
        <x:v>После преобразования логарифмов получено линейное уравнение.</x:v>
      </x:c>
      <x:c r="P6320" s="30"/>
      <x:c r="Q6320" s="30" t="str">
        <x:v>Независимый расчёт и визуальная сверка исходной страницы.</x:v>
      </x:c>
      <x:c r="R6320" s="30" t="str">
        <x:v>6</x:v>
      </x:c>
      <x:c r="S6320" s="30"/>
      <x:c r="T6320" s="30"/>
      <x:c r="U6320" s="30" t="str">
        <x:v>Ответник совпадает с независимой проверкой.</x:v>
      </x:c>
      <x:c r="V6320" s="87" t="str">
        <x:v>VERIFIED</x:v>
      </x:c>
      <x:c r="W6320" s="87"/>
      <x:c r="X6320" s="87" t="n">
        <x:v>3</x:v>
      </x:c>
      <x:c r="Y6320" s="87"/>
      <x:c r="Z6320" s="87"/>
      <x:c r="AA6320" s="87"/>
      <x:c r="AB6320" s="87"/>
      <x:c r="AC6320" s="87" t="str">
        <x:v>VIS-EGKR-MATHP-S26-TASK-963-P003</x:v>
      </x:c>
      <x:c r="AD6320" s="87" t="str">
        <x:v>VIS-EGKR-MATHP-S26-ANSWERDOC-P005</x:v>
      </x:c>
      <x:c r="AE6320" s="87" t="str">
        <x:v>TASK; SECONDARY_ANSWER_AND_SOLUTION_SOURCE</x:v>
      </x:c>
      <x:c r="AF6320" s="87" t="str">
        <x:v>VIS-EGKR-MATHP-S26-TASK-963-P003: 3; VIS-EGKR-MATHP-S26-ANSWERDOC-P005: 5</x:v>
      </x:c>
      <x:c r="AG6320" s="87" t="str">
        <x:v>RESOLVED</x:v>
      </x:c>
      <x:c r="AH6320" s="87" t="str">
        <x:v>CROP_VERIFIED</x:v>
      </x:c>
      <x:c r="AI6320" s="30"/>
      <x:c r="AJ6320" s="87" t="str">
        <x:v>clean</x:v>
      </x:c>
      <x:c r="AK6320" s="87" t="str">
        <x:v>clean-v0.22</x:v>
      </x:c>
      <x:c r="AL6320" s="87" t="str">
        <x:v>statgrad_clean_continuation_v0_22(1).xlsx</x:v>
      </x:c>
      <x:c r="AM6320" s="87" t="str">
        <x:v>MATHP_S26_963</x:v>
      </x:c>
      <x:c r="AN6320" s="87" t="n">
        <x:v>7</x:v>
      </x:c>
    </x:row>
    <x:row r="6321">
      <x:c r="A6321" s="87" t="n">
        <x:v>6320</x:v>
      </x:c>
      <x:c r="B6321" s="87" t="str">
        <x:v>EGKR-S26-MATHP-963-07</x:v>
      </x:c>
      <x:c r="C6321" s="87" t="str">
        <x:v>ЕГКР</x:v>
      </x:c>
      <x:c r="D6321" s="87"/>
      <x:c r="E6321" s="87" t="str">
        <x:v>Весна 2026</x:v>
      </x:c>
      <x:c r="F6321" s="87" t="str">
        <x:v>07.04.2026</x:v>
      </x:c>
      <x:c r="G6321" s="87" t="str">
        <x:v>Математика (профиль)</x:v>
      </x:c>
      <x:c r="H6321" s="87" t="n">
        <x:v>11</x:v>
      </x:c>
      <x:c r="I6321" s="87"/>
      <x:c r="J6321" s="87" t="str">
        <x:v>963</x:v>
      </x:c>
      <x:c r="K6321" s="87" t="n">
        <x:v>7</x:v>
      </x:c>
      <x:c r="L6321" s="87" t="str">
        <x:v>Тригонометрическое выражение</x:v>
      </x:c>
      <x:c r="M6321" s="30" t="str">
        <x:v>13𝑐𝑜𝑠60 Найдите значение выражения sin2 13+𝑐𝑜𝑠2</x:v>
      </x:c>
      <x:c r="N6321" s="30" t="str">
        <x:v>6,5</x:v>
      </x:c>
      <x:c r="O6321" s="30" t="str">
        <x:v>Знаменатель упрощён по основному тригонометрическому тождеству; cos60°=1/2.</x:v>
      </x:c>
      <x:c r="P6321" s="30"/>
      <x:c r="Q6321" s="30" t="str">
        <x:v>Независимый расчёт и визуальная сверка исходной страницы.</x:v>
      </x:c>
      <x:c r="R6321" s="30" t="str">
        <x:v>6,5</x:v>
      </x:c>
      <x:c r="S6321" s="30"/>
      <x:c r="T6321" s="30"/>
      <x:c r="U6321" s="30" t="str">
        <x:v>Ответник совпадает с независимой проверкой.</x:v>
      </x:c>
      <x:c r="V6321" s="87" t="str">
        <x:v>VERIFIED</x:v>
      </x:c>
      <x:c r="W6321" s="87"/>
      <x:c r="X6321" s="87" t="n">
        <x:v>3</x:v>
      </x:c>
      <x:c r="Y6321" s="87"/>
      <x:c r="Z6321" s="87"/>
      <x:c r="AA6321" s="87"/>
      <x:c r="AB6321" s="87"/>
      <x:c r="AC6321" s="87" t="str">
        <x:v>VIS-EGKR-MATHP-S26-TASK-963-P003</x:v>
      </x:c>
      <x:c r="AD6321" s="87" t="str">
        <x:v>VIS-EGKR-MATHP-S26-ANSWERDOC-P005</x:v>
      </x:c>
      <x:c r="AE6321" s="87" t="str">
        <x:v>TASK; SECONDARY_ANSWER_AND_SOLUTION_SOURCE</x:v>
      </x:c>
      <x:c r="AF6321" s="87" t="str">
        <x:v>VIS-EGKR-MATHP-S26-TASK-963-P003: 3; VIS-EGKR-MATHP-S26-ANSWERDOC-P005: 5</x:v>
      </x:c>
      <x:c r="AG6321" s="87" t="str">
        <x:v>RESOLVED</x:v>
      </x:c>
      <x:c r="AH6321" s="87" t="str">
        <x:v>CROP_VERIFIED</x:v>
      </x:c>
      <x:c r="AI6321" s="30"/>
      <x:c r="AJ6321" s="87" t="str">
        <x:v>clean</x:v>
      </x:c>
      <x:c r="AK6321" s="87" t="str">
        <x:v>clean-v0.22</x:v>
      </x:c>
      <x:c r="AL6321" s="87" t="str">
        <x:v>statgrad_clean_continuation_v0_22(1).xlsx</x:v>
      </x:c>
      <x:c r="AM6321" s="87" t="str">
        <x:v>MATHP_S26_963</x:v>
      </x:c>
      <x:c r="AN6321" s="87" t="n">
        <x:v>8</x:v>
      </x:c>
    </x:row>
    <x:row r="6322">
      <x:c r="A6322" s="87" t="n">
        <x:v>6321</x:v>
      </x:c>
      <x:c r="B6322" s="87" t="str">
        <x:v>EGKR-S26-MATHP-963-08</x:v>
      </x:c>
      <x:c r="C6322" s="87" t="str">
        <x:v>ЕГКР</x:v>
      </x:c>
      <x:c r="D6322" s="87"/>
      <x:c r="E6322" s="87" t="str">
        <x:v>Весна 2026</x:v>
      </x:c>
      <x:c r="F6322" s="87" t="str">
        <x:v>07.04.2026</x:v>
      </x:c>
      <x:c r="G6322" s="87" t="str">
        <x:v>Математика (профиль)</x:v>
      </x:c>
      <x:c r="H6322" s="87" t="n">
        <x:v>11</x:v>
      </x:c>
      <x:c r="I6322" s="87"/>
      <x:c r="J6322" s="87" t="str">
        <x:v>963</x:v>
      </x:c>
      <x:c r="K6322" s="87" t="n">
        <x:v>8</x:v>
      </x:c>
      <x:c r="L6322" s="87" t="str">
        <x:v>Производная и возрастание</x:v>
      </x:c>
      <x:c r="M6322" s="30" t="str">
        <x:v>По графику y=f′(x) на интервале (−7;4) найти сумму целых точек промежутков возрастания функции f.</x:v>
      </x:c>
      <x:c r="N6322" s="30" t="str">
        <x:v>-4</x:v>
      </x:c>
      <x:c r="O6322" s="30" t="str">
        <x:v>Функция возрастает там, где f′(x)&gt;0; сложены все целые точки внутри положительных промежутков.</x:v>
      </x:c>
      <x:c r="P6322" s="30"/>
      <x:c r="Q6322" s="30" t="str">
        <x:v>Независимый расчёт и визуальная сверка исходной страницы.</x:v>
      </x:c>
      <x:c r="R6322" s="30" t="str">
        <x:v>-4</x:v>
      </x:c>
      <x:c r="S6322" s="30"/>
      <x:c r="T6322" s="30"/>
      <x:c r="U6322" s="30" t="str">
        <x:v>Ответник совпадает с независимой проверкой.</x:v>
      </x:c>
      <x:c r="V6322" s="87" t="str">
        <x:v>VERIFIED</x:v>
      </x:c>
      <x:c r="W6322" s="87"/>
      <x:c r="X6322" s="87" t="n">
        <x:v>3</x:v>
      </x:c>
      <x:c r="Y6322" s="87"/>
      <x:c r="Z6322" s="87"/>
      <x:c r="AA6322" s="87"/>
      <x:c r="AB6322" s="87"/>
      <x:c r="AC6322" s="87" t="str">
        <x:v>VIS-EGKR-MATHP-S26-TASK-963-P003</x:v>
      </x:c>
      <x:c r="AD6322" s="87" t="str">
        <x:v>VIS-EGKR-MATHP-S26-ANSWERDOC-P005</x:v>
      </x:c>
      <x:c r="AE6322" s="87" t="str">
        <x:v>TASK; SECONDARY_ANSWER_AND_SOLUTION_SOURCE</x:v>
      </x:c>
      <x:c r="AF6322" s="87" t="str">
        <x:v>VIS-EGKR-MATHP-S26-TASK-963-P003: 3; VIS-EGKR-MATHP-S26-ANSWERDOC-P005: 5</x:v>
      </x:c>
      <x:c r="AG6322" s="87" t="str">
        <x:v>RESOLVED</x:v>
      </x:c>
      <x:c r="AH6322" s="87" t="str">
        <x:v>CROP_VERIFIED</x:v>
      </x:c>
      <x:c r="AI6322" s="30"/>
      <x:c r="AJ6322" s="87" t="str">
        <x:v>clean</x:v>
      </x:c>
      <x:c r="AK6322" s="87" t="str">
        <x:v>clean-v0.22</x:v>
      </x:c>
      <x:c r="AL6322" s="87" t="str">
        <x:v>statgrad_clean_continuation_v0_22(1).xlsx</x:v>
      </x:c>
      <x:c r="AM6322" s="87" t="str">
        <x:v>MATHP_S26_963</x:v>
      </x:c>
      <x:c r="AN6322" s="87" t="n">
        <x:v>9</x:v>
      </x:c>
    </x:row>
    <x:row r="6323">
      <x:c r="A6323" s="87" t="n">
        <x:v>6322</x:v>
      </x:c>
      <x:c r="B6323" s="87" t="str">
        <x:v>EGKR-S26-MATHP-963-09</x:v>
      </x:c>
      <x:c r="C6323" s="87" t="str">
        <x:v>ЕГКР</x:v>
      </x:c>
      <x:c r="D6323" s="87"/>
      <x:c r="E6323" s="87" t="str">
        <x:v>Весна 2026</x:v>
      </x:c>
      <x:c r="F6323" s="87" t="str">
        <x:v>07.04.2026</x:v>
      </x:c>
      <x:c r="G6323" s="87" t="str">
        <x:v>Математика (профиль)</x:v>
      </x:c>
      <x:c r="H6323" s="87" t="n">
        <x:v>11</x:v>
      </x:c>
      <x:c r="I6323" s="87"/>
      <x:c r="J6323" s="87" t="str">
        <x:v>963</x:v>
      </x:c>
      <x:c r="K6323" s="87" t="n">
        <x:v>9</x:v>
      </x:c>
      <x:c r="L6323" s="87" t="str">
        <x:v>Радиоактивный распад</x:v>
      </x:c>
      <x:c r="M6323" s="30" t="str">
        <x:v>В ходе распада радиоактивного изотопа его масса уменьшается по закону 𝑚 = 𝑚0·2−𝑇𝑡, где 𝑚0 — начальная масса изотопа, 𝑡 — время, прошедшее от начального момента, 𝑇 — период полураспада. В начальный момент времени масса изотопа 128 мг. Период его полураспада составляет 7 минут. Найдите, через сколько минут масса изотопа будет равна 16 мг.</x:v>
      </x:c>
      <x:c r="N6323" s="30" t="str">
        <x:v>21</x:v>
      </x:c>
      <x:c r="O6323" s="30" t="str">
        <x:v>Использован закон полураспада и число прошедших периодов.</x:v>
      </x:c>
      <x:c r="P6323" s="30"/>
      <x:c r="Q6323" s="30" t="str">
        <x:v>Независимый расчёт и визуальная сверка исходной страницы.</x:v>
      </x:c>
      <x:c r="R6323" s="30" t="str">
        <x:v>21</x:v>
      </x:c>
      <x:c r="S6323" s="30"/>
      <x:c r="T6323" s="30"/>
      <x:c r="U6323" s="30" t="str">
        <x:v>Ответник совпадает с независимой проверкой.</x:v>
      </x:c>
      <x:c r="V6323" s="87" t="str">
        <x:v>VERIFIED</x:v>
      </x:c>
      <x:c r="W6323" s="87"/>
      <x:c r="X6323" s="87" t="n">
        <x:v>3</x:v>
      </x:c>
      <x:c r="Y6323" s="87"/>
      <x:c r="Z6323" s="87"/>
      <x:c r="AA6323" s="87"/>
      <x:c r="AB6323" s="87"/>
      <x:c r="AC6323" s="87" t="str">
        <x:v>VIS-EGKR-MATHP-S26-TASK-963-P003</x:v>
      </x:c>
      <x:c r="AD6323" s="87" t="str">
        <x:v>VIS-EGKR-MATHP-S26-ANSWERDOC-P005</x:v>
      </x:c>
      <x:c r="AE6323" s="87" t="str">
        <x:v>TASK; SECONDARY_ANSWER_AND_SOLUTION_SOURCE</x:v>
      </x:c>
      <x:c r="AF6323" s="87" t="str">
        <x:v>VIS-EGKR-MATHP-S26-TASK-963-P003: 3; VIS-EGKR-MATHP-S26-ANSWERDOC-P005: 5</x:v>
      </x:c>
      <x:c r="AG6323" s="87" t="str">
        <x:v>RESOLVED</x:v>
      </x:c>
      <x:c r="AH6323" s="87" t="str">
        <x:v>CROP_VERIFIED</x:v>
      </x:c>
      <x:c r="AI6323" s="30"/>
      <x:c r="AJ6323" s="87" t="str">
        <x:v>clean</x:v>
      </x:c>
      <x:c r="AK6323" s="87" t="str">
        <x:v>clean-v0.22</x:v>
      </x:c>
      <x:c r="AL6323" s="87" t="str">
        <x:v>statgrad_clean_continuation_v0_22(1).xlsx</x:v>
      </x:c>
      <x:c r="AM6323" s="87" t="str">
        <x:v>MATHP_S26_963</x:v>
      </x:c>
      <x:c r="AN6323" s="87" t="n">
        <x:v>10</x:v>
      </x:c>
    </x:row>
    <x:row r="6324">
      <x:c r="A6324" s="87" t="n">
        <x:v>6323</x:v>
      </x:c>
      <x:c r="B6324" s="87" t="str">
        <x:v>EGKR-S26-MATHP-963-10</x:v>
      </x:c>
      <x:c r="C6324" s="87" t="str">
        <x:v>ЕГКР</x:v>
      </x:c>
      <x:c r="D6324" s="87"/>
      <x:c r="E6324" s="87" t="str">
        <x:v>Весна 2026</x:v>
      </x:c>
      <x:c r="F6324" s="87" t="str">
        <x:v>07.04.2026</x:v>
      </x:c>
      <x:c r="G6324" s="87" t="str">
        <x:v>Математика (профиль)</x:v>
      </x:c>
      <x:c r="H6324" s="87" t="n">
        <x:v>11</x:v>
      </x:c>
      <x:c r="I6324" s="87"/>
      <x:c r="J6324" s="87" t="str">
        <x:v>963</x:v>
      </x:c>
      <x:c r="K6324" s="87" t="n">
        <x:v>10</x:v>
      </x:c>
      <x:c r="L6324" s="87" t="str">
        <x:v>Смеси и концентрации</x:v>
      </x:c>
      <x:c r="M6324" s="30" t="str">
        <x:v>Смешали 4 кг 12%-го раствора кислоты и 2 кг 20%-го раствора той же кислоты, а затем добавили несколько кг воды. В результате получился 11%-й раствор кислоты. Сколько кг воды было добавлено?</x:v>
      </x:c>
      <x:c r="N6324" s="30" t="str">
        <x:v>2</x:v>
      </x:c>
      <x:c r="O6324" s="30" t="str">
        <x:v>Составлен баланс массы чистой кислоты до и после добавления воды.</x:v>
      </x:c>
      <x:c r="P6324" s="30"/>
      <x:c r="Q6324" s="30" t="str">
        <x:v>Независимый расчёт и визуальная сверка исходной страницы.</x:v>
      </x:c>
      <x:c r="R6324" s="30" t="str">
        <x:v>2</x:v>
      </x:c>
      <x:c r="S6324" s="30"/>
      <x:c r="T6324" s="30"/>
      <x:c r="U6324" s="30" t="str">
        <x:v>Ответник совпадает с независимой проверкой.</x:v>
      </x:c>
      <x:c r="V6324" s="87" t="str">
        <x:v>VERIFIED</x:v>
      </x:c>
      <x:c r="W6324" s="87"/>
      <x:c r="X6324" s="87" t="n">
        <x:v>3</x:v>
      </x:c>
      <x:c r="Y6324" s="87"/>
      <x:c r="Z6324" s="87"/>
      <x:c r="AA6324" s="87"/>
      <x:c r="AB6324" s="87"/>
      <x:c r="AC6324" s="87" t="str">
        <x:v>VIS-EGKR-MATHP-S26-TASK-963-P003</x:v>
      </x:c>
      <x:c r="AD6324" s="87" t="str">
        <x:v>VIS-EGKR-MATHP-S26-ANSWERDOC-P005</x:v>
      </x:c>
      <x:c r="AE6324" s="87" t="str">
        <x:v>TASK; SECONDARY_ANSWER_AND_SOLUTION_SOURCE</x:v>
      </x:c>
      <x:c r="AF6324" s="87" t="str">
        <x:v>VIS-EGKR-MATHP-S26-TASK-963-P003: 3; VIS-EGKR-MATHP-S26-ANSWERDOC-P005: 5</x:v>
      </x:c>
      <x:c r="AG6324" s="87" t="str">
        <x:v>RESOLVED</x:v>
      </x:c>
      <x:c r="AH6324" s="87" t="str">
        <x:v>CROP_VERIFIED</x:v>
      </x:c>
      <x:c r="AI6324" s="30"/>
      <x:c r="AJ6324" s="87" t="str">
        <x:v>clean</x:v>
      </x:c>
      <x:c r="AK6324" s="87" t="str">
        <x:v>clean-v0.22</x:v>
      </x:c>
      <x:c r="AL6324" s="87" t="str">
        <x:v>statgrad_clean_continuation_v0_22(1).xlsx</x:v>
      </x:c>
      <x:c r="AM6324" s="87" t="str">
        <x:v>MATHP_S26_963</x:v>
      </x:c>
      <x:c r="AN6324" s="87" t="n">
        <x:v>11</x:v>
      </x:c>
    </x:row>
    <x:row r="6325">
      <x:c r="A6325" s="87" t="n">
        <x:v>6324</x:v>
      </x:c>
      <x:c r="B6325" s="87" t="str">
        <x:v>EGKR-S26-MATHP-963-11</x:v>
      </x:c>
      <x:c r="C6325" s="87" t="str">
        <x:v>ЕГКР</x:v>
      </x:c>
      <x:c r="D6325" s="87"/>
      <x:c r="E6325" s="87" t="str">
        <x:v>Весна 2026</x:v>
      </x:c>
      <x:c r="F6325" s="87" t="str">
        <x:v>07.04.2026</x:v>
      </x:c>
      <x:c r="G6325" s="87" t="str">
        <x:v>Математика (профиль)</x:v>
      </x:c>
      <x:c r="H6325" s="87" t="n">
        <x:v>11</x:v>
      </x:c>
      <x:c r="I6325" s="87"/>
      <x:c r="J6325" s="87" t="str">
        <x:v>963</x:v>
      </x:c>
      <x:c r="K6325" s="87" t="n">
        <x:v>11</x:v>
      </x:c>
      <x:c r="L6325" s="87" t="str">
        <x:v>Линейные функции</x:v>
      </x:c>
      <x:c r="M6325" s="30" t="str">
        <x:v>По двум графикам линейных функций с отмеченными целочисленными точками найти абсциссу точки их пересечения.</x:v>
      </x:c>
      <x:c r="N6325" s="30" t="str">
        <x:v>1,5</x:v>
      </x:c>
      <x:c r="O6325" s="30" t="str">
        <x:v>По отмеченным точкам составлены уравнения обеих прямых и найдена абсцисса их пересечения.</x:v>
      </x:c>
      <x:c r="P6325" s="30"/>
      <x:c r="Q6325" s="30" t="str">
        <x:v>Независимый расчёт и визуальная сверка исходной страницы.</x:v>
      </x:c>
      <x:c r="R6325" s="30" t="str">
        <x:v>-0,5</x:v>
      </x:c>
      <x:c r="S6325" s="30"/>
      <x:c r="T6325" s="30"/>
      <x:c r="U6325" s="30" t="str">
        <x:v>Ответник: -0,5; независимый ответ: 1,5.</x:v>
      </x:c>
      <x:c r="V6325" s="87" t="str">
        <x:v>KEY_MISMATCH</x:v>
      </x:c>
      <x:c r="W6325" s="87"/>
      <x:c r="X6325" s="87" t="n">
        <x:v>4</x:v>
      </x:c>
      <x:c r="Y6325" s="87"/>
      <x:c r="Z6325" s="87"/>
      <x:c r="AA6325" s="87"/>
      <x:c r="AB6325" s="87"/>
      <x:c r="AC6325" s="87" t="str">
        <x:v>VIS-EGKR-MATHP-S26-TASK-963-P004</x:v>
      </x:c>
      <x:c r="AD6325" s="87" t="str">
        <x:v>VIS-EGKR-MATHP-S26-ANSWERDOC-P005</x:v>
      </x:c>
      <x:c r="AE6325" s="87" t="str">
        <x:v>TASK; SECONDARY_ANSWER_AND_SOLUTION_SOURCE</x:v>
      </x:c>
      <x:c r="AF6325" s="87" t="str">
        <x:v>VIS-EGKR-MATHP-S26-TASK-963-P004: 4; VIS-EGKR-MATHP-S26-ANSWERDOC-P005: 5</x:v>
      </x:c>
      <x:c r="AG6325" s="87" t="str">
        <x:v>RESOLVED</x:v>
      </x:c>
      <x:c r="AH6325" s="87" t="str">
        <x:v>CROP_VERIFIED</x:v>
      </x:c>
      <x:c r="AI6325" s="30"/>
      <x:c r="AJ6325" s="87" t="str">
        <x:v>clean</x:v>
      </x:c>
      <x:c r="AK6325" s="87" t="str">
        <x:v>clean-v0.22</x:v>
      </x:c>
      <x:c r="AL6325" s="87" t="str">
        <x:v>statgrad_clean_continuation_v0_22(1).xlsx</x:v>
      </x:c>
      <x:c r="AM6325" s="87" t="str">
        <x:v>MATHP_S26_963</x:v>
      </x:c>
      <x:c r="AN6325" s="87" t="n">
        <x:v>12</x:v>
      </x:c>
    </x:row>
    <x:row r="6326">
      <x:c r="A6326" s="87" t="n">
        <x:v>6325</x:v>
      </x:c>
      <x:c r="B6326" s="87" t="str">
        <x:v>EGKR-S26-MATHP-963-12</x:v>
      </x:c>
      <x:c r="C6326" s="87" t="str">
        <x:v>ЕГКР</x:v>
      </x:c>
      <x:c r="D6326" s="87"/>
      <x:c r="E6326" s="87" t="str">
        <x:v>Весна 2026</x:v>
      </x:c>
      <x:c r="F6326" s="87" t="str">
        <x:v>07.04.2026</x:v>
      </x:c>
      <x:c r="G6326" s="87" t="str">
        <x:v>Математика (профиль)</x:v>
      </x:c>
      <x:c r="H6326" s="87" t="n">
        <x:v>11</x:v>
      </x:c>
      <x:c r="I6326" s="87"/>
      <x:c r="J6326" s="87" t="str">
        <x:v>963</x:v>
      </x:c>
      <x:c r="K6326" s="87" t="n">
        <x:v>12</x:v>
      </x:c>
      <x:c r="L6326" s="87" t="str">
        <x:v>Минимум показательной функции</x:v>
      </x:c>
      <x:c r="M6326" s="30" t="str">
        <x:v>Найти наименьшее значение функции y=3^(x²−10x+27) на отрезке [−10;10].</x:v>
      </x:c>
      <x:c r="N6326" s="30" t="str">
        <x:v>9</x:v>
      </x:c>
      <x:c r="O6326" s="30" t="str">
        <x:v>Минимизован квадратный трёхчлен в показателе степени.</x:v>
      </x:c>
      <x:c r="P6326" s="30"/>
      <x:c r="Q6326" s="30" t="str">
        <x:v>Независимый расчёт и визуальная сверка исходной страницы.</x:v>
      </x:c>
      <x:c r="R6326" s="30" t="str">
        <x:v>9</x:v>
      </x:c>
      <x:c r="S6326" s="30"/>
      <x:c r="T6326" s="30"/>
      <x:c r="U6326" s="30" t="str">
        <x:v>Ответник совпадает с независимой проверкой.</x:v>
      </x:c>
      <x:c r="V6326" s="87" t="str">
        <x:v>VERIFIED</x:v>
      </x:c>
      <x:c r="W6326" s="87"/>
      <x:c r="X6326" s="87" t="n">
        <x:v>4</x:v>
      </x:c>
      <x:c r="Y6326" s="87"/>
      <x:c r="Z6326" s="87"/>
      <x:c r="AA6326" s="87"/>
      <x:c r="AB6326" s="87"/>
      <x:c r="AC6326" s="87" t="str">
        <x:v>VIS-EGKR-MATHP-S26-TASK-963-P004</x:v>
      </x:c>
      <x:c r="AD6326" s="87" t="str">
        <x:v>VIS-EGKR-MATHP-S26-ANSWERDOC-P005</x:v>
      </x:c>
      <x:c r="AE6326" s="87" t="str">
        <x:v>TASK; SECONDARY_ANSWER_AND_SOLUTION_SOURCE</x:v>
      </x:c>
      <x:c r="AF6326" s="87" t="str">
        <x:v>VIS-EGKR-MATHP-S26-TASK-963-P004: 4; VIS-EGKR-MATHP-S26-ANSWERDOC-P005: 5</x:v>
      </x:c>
      <x:c r="AG6326" s="87" t="str">
        <x:v>RESOLVED</x:v>
      </x:c>
      <x:c r="AH6326" s="87" t="str">
        <x:v>CROP_VERIFIED</x:v>
      </x:c>
      <x:c r="AI6326" s="30"/>
      <x:c r="AJ6326" s="87" t="str">
        <x:v>clean</x:v>
      </x:c>
      <x:c r="AK6326" s="87" t="str">
        <x:v>clean-v0.22</x:v>
      </x:c>
      <x:c r="AL6326" s="87" t="str">
        <x:v>statgrad_clean_continuation_v0_22(1).xlsx</x:v>
      </x:c>
      <x:c r="AM6326" s="87" t="str">
        <x:v>MATHP_S26_963</x:v>
      </x:c>
      <x:c r="AN6326" s="87" t="n">
        <x:v>13</x:v>
      </x:c>
    </x:row>
    <x:row r="6327">
      <x:c r="A6327" s="87" t="n">
        <x:v>6326</x:v>
      </x:c>
      <x:c r="B6327" s="87" t="str">
        <x:v>EGKR-S26-MATHP-963-13</x:v>
      </x:c>
      <x:c r="C6327" s="87" t="str">
        <x:v>ЕГКР</x:v>
      </x:c>
      <x:c r="D6327" s="87"/>
      <x:c r="E6327" s="87" t="str">
        <x:v>Весна 2026</x:v>
      </x:c>
      <x:c r="F6327" s="87" t="str">
        <x:v>07.04.2026</x:v>
      </x:c>
      <x:c r="G6327" s="87" t="str">
        <x:v>Математика (профиль)</x:v>
      </x:c>
      <x:c r="H6327" s="87" t="n">
        <x:v>11</x:v>
      </x:c>
      <x:c r="I6327" s="87"/>
      <x:c r="J6327" s="87" t="str">
        <x:v>963</x:v>
      </x:c>
      <x:c r="K6327" s="87" t="n">
        <x:v>13</x:v>
      </x:c>
      <x:c r="L6327" s="87" t="str">
        <x:v>Развёрнутый ответ</x:v>
      </x:c>
      <x:c r="M6327" s="30" t="str">
        <x:v>sin x − √3·sin(π/2+x/2)=0; найти корни на [8π;11π].</x:v>
      </x:c>
      <x:c r="N6327" s="30" t="str">
        <x:v>Общие решения: x=π+2πk; x=2π/3+4πk; x=4π/3+4πk. На отрезке: 26π/3; 9π; 28π/3; 11π.</x:v>
      </x:c>
      <x:c r="O6327" s="30" t="str">
        <x:v>Модель содержит ключевую идею, преобразования и итог.</x:v>
      </x:c>
      <x:c r="P6327" s="30"/>
      <x:c r="Q6327" s="30" t="str">
        <x:v>Независимое решение; для варианта 959 дополнительно сверено с полным опубликованным разбором.</x:v>
      </x:c>
      <x:c r="R6327" s="30" t="str">
        <x:v>PARTIAL_MODEL_OR_NOT_PROVIDED</x:v>
      </x:c>
      <x:c r="S6327" s="30"/>
      <x:c r="T6327" s="30"/>
      <x:c r="U6327" s="30" t="str">
        <x:v>Локальные рукописные решения использованы только как вторичный аудируемый источник.</x:v>
      </x:c>
      <x:c r="V6327" s="87" t="str">
        <x:v>VERIFIED</x:v>
      </x:c>
      <x:c r="W6327" s="87"/>
      <x:c r="X6327" s="87" t="n">
        <x:v>5</x:v>
      </x:c>
      <x:c r="Y6327" s="87"/>
      <x:c r="Z6327" s="87"/>
      <x:c r="AA6327" s="87"/>
      <x:c r="AB6327" s="87"/>
      <x:c r="AC6327" s="87" t="str">
        <x:v>VIS-EGKR-MATHP-S26-TASK-963-P005</x:v>
      </x:c>
      <x:c r="AD6327" s="87" t="str">
        <x:v>VIS-EGKR-MATHP-S26-ANSWERDOC-P005; VIS-EGKR-MATHP-S26-ANSWERDOC-P006; VIS-EGKR-MATHP-S26-ANSWERDOC-P007</x:v>
      </x:c>
      <x:c r="AE6327" s="87" t="str">
        <x:v>TASK; SECONDARY_ANSWER_AND_SOLUTION_SOURCE</x:v>
      </x:c>
      <x:c r="AF6327" s="87" t="str">
        <x:v>VIS-EGKR-MATHP-S26-TASK-963-P005: 5; VIS-EGKR-MATHP-S26-ANSWERDOC-P005: 5; VIS-EGKR-MATHP-S26-ANSWERDOC-P006: 6; VIS-EGKR-MATHP-S26-ANSWERDOC-P007: 7</x:v>
      </x:c>
      <x:c r="AG6327" s="87" t="str">
        <x:v>RESOLVED</x:v>
      </x:c>
      <x:c r="AH6327" s="87" t="str">
        <x:v>CROP_VERIFIED</x:v>
      </x:c>
      <x:c r="AI6327" s="30"/>
      <x:c r="AJ6327" s="87" t="str">
        <x:v>clean</x:v>
      </x:c>
      <x:c r="AK6327" s="87" t="str">
        <x:v>clean-v0.22</x:v>
      </x:c>
      <x:c r="AL6327" s="87" t="str">
        <x:v>statgrad_clean_continuation_v0_22(1).xlsx</x:v>
      </x:c>
      <x:c r="AM6327" s="87" t="str">
        <x:v>MATHP_S26_963</x:v>
      </x:c>
      <x:c r="AN6327" s="87" t="n">
        <x:v>14</x:v>
      </x:c>
    </x:row>
    <x:row r="6328">
      <x:c r="A6328" s="87" t="n">
        <x:v>6327</x:v>
      </x:c>
      <x:c r="B6328" s="87" t="str">
        <x:v>EGKR-S26-MATHP-963-14</x:v>
      </x:c>
      <x:c r="C6328" s="87" t="str">
        <x:v>ЕГКР</x:v>
      </x:c>
      <x:c r="D6328" s="87"/>
      <x:c r="E6328" s="87" t="str">
        <x:v>Весна 2026</x:v>
      </x:c>
      <x:c r="F6328" s="87" t="str">
        <x:v>07.04.2026</x:v>
      </x:c>
      <x:c r="G6328" s="87" t="str">
        <x:v>Математика (профиль)</x:v>
      </x:c>
      <x:c r="H6328" s="87" t="n">
        <x:v>11</x:v>
      </x:c>
      <x:c r="I6328" s="87"/>
      <x:c r="J6328" s="87" t="str">
        <x:v>963</x:v>
      </x:c>
      <x:c r="K6328" s="87" t="n">
        <x:v>14</x:v>
      </x:c>
      <x:c r="L6328" s="87" t="str">
        <x:v>Развёрнутый ответ</x:v>
      </x:c>
      <x:c r="M6328" s="30" t="str">
        <x:v>Конус: доказать равенство двух углов и найти высоту при AC=25, BC=7, угол 60°.</x:v>
      </x:c>
      <x:c r="N6328" s="30" t="str">
        <x:v>Проекции и перпендикуляры к хорде сводят оба угла к одному прямоугольному треугольнику. Высота h=(√3/2)√(AC²−BC²)=12√3.</x:v>
      </x:c>
      <x:c r="O6328" s="30" t="str">
        <x:v>Модель содержит ключевую идею, преобразования и итог.</x:v>
      </x:c>
      <x:c r="P6328" s="30"/>
      <x:c r="Q6328" s="30" t="str">
        <x:v>Независимое решение; для варианта 959 дополнительно сверено с полным опубликованным разбором.</x:v>
      </x:c>
      <x:c r="R6328" s="30" t="str">
        <x:v>PARTIAL_MODEL_OR_NOT_PROVIDED</x:v>
      </x:c>
      <x:c r="S6328" s="30"/>
      <x:c r="T6328" s="30"/>
      <x:c r="U6328" s="30" t="str">
        <x:v>Локальные рукописные решения использованы только как вторичный аудируемый источник.</x:v>
      </x:c>
      <x:c r="V6328" s="87" t="str">
        <x:v>VERIFIED</x:v>
      </x:c>
      <x:c r="W6328" s="87"/>
      <x:c r="X6328" s="87" t="n">
        <x:v>5</x:v>
      </x:c>
      <x:c r="Y6328" s="87"/>
      <x:c r="Z6328" s="87"/>
      <x:c r="AA6328" s="87"/>
      <x:c r="AB6328" s="87"/>
      <x:c r="AC6328" s="87" t="str">
        <x:v>VIS-EGKR-MATHP-S26-TASK-963-P005</x:v>
      </x:c>
      <x:c r="AD6328" s="87" t="str">
        <x:v>VIS-EGKR-MATHP-S26-ANSWERDOC-P005; VIS-EGKR-MATHP-S26-ANSWERDOC-P006; VIS-EGKR-MATHP-S26-ANSWERDOC-P007</x:v>
      </x:c>
      <x:c r="AE6328" s="87" t="str">
        <x:v>TASK; SECONDARY_ANSWER_AND_SOLUTION_SOURCE</x:v>
      </x:c>
      <x:c r="AF6328" s="87" t="str">
        <x:v>VIS-EGKR-MATHP-S26-TASK-963-P005: 5; VIS-EGKR-MATHP-S26-ANSWERDOC-P005: 5; VIS-EGKR-MATHP-S26-ANSWERDOC-P006: 6; VIS-EGKR-MATHP-S26-ANSWERDOC-P007: 7</x:v>
      </x:c>
      <x:c r="AG6328" s="87" t="str">
        <x:v>RESOLVED</x:v>
      </x:c>
      <x:c r="AH6328" s="87" t="str">
        <x:v>CROP_VERIFIED</x:v>
      </x:c>
      <x:c r="AI6328" s="30"/>
      <x:c r="AJ6328" s="87" t="str">
        <x:v>clean</x:v>
      </x:c>
      <x:c r="AK6328" s="87" t="str">
        <x:v>clean-v0.22</x:v>
      </x:c>
      <x:c r="AL6328" s="87" t="str">
        <x:v>statgrad_clean_continuation_v0_22(1).xlsx</x:v>
      </x:c>
      <x:c r="AM6328" s="87" t="str">
        <x:v>MATHP_S26_963</x:v>
      </x:c>
      <x:c r="AN6328" s="87" t="n">
        <x:v>15</x:v>
      </x:c>
    </x:row>
    <x:row r="6329">
      <x:c r="A6329" s="87" t="n">
        <x:v>6328</x:v>
      </x:c>
      <x:c r="B6329" s="87" t="str">
        <x:v>EGKR-S26-MATHP-963-15</x:v>
      </x:c>
      <x:c r="C6329" s="87" t="str">
        <x:v>ЕГКР</x:v>
      </x:c>
      <x:c r="D6329" s="87"/>
      <x:c r="E6329" s="87" t="str">
        <x:v>Весна 2026</x:v>
      </x:c>
      <x:c r="F6329" s="87" t="str">
        <x:v>07.04.2026</x:v>
      </x:c>
      <x:c r="G6329" s="87" t="str">
        <x:v>Математика (профиль)</x:v>
      </x:c>
      <x:c r="H6329" s="87" t="n">
        <x:v>11</x:v>
      </x:c>
      <x:c r="I6329" s="87"/>
      <x:c r="J6329" s="87" t="str">
        <x:v>963</x:v>
      </x:c>
      <x:c r="K6329" s="87" t="n">
        <x:v>15</x:v>
      </x:c>
      <x:c r="L6329" s="87" t="str">
        <x:v>Развёрнутый ответ</x:v>
      </x:c>
      <x:c r="M6329" s="30" t="str">
        <x:v>Решить логарифмическое неравенство задания 15.</x:v>
      </x:c>
      <x:c r="N6329" s="30" t="str">
        <x:v>После перехода к одной логарифмической переменной, учёта ОДЗ и метода интервалов получено: (0;3)∪(3;9).</x:v>
      </x:c>
      <x:c r="O6329" s="30" t="str">
        <x:v>Модель содержит ключевую идею, преобразования и итог.</x:v>
      </x:c>
      <x:c r="P6329" s="30"/>
      <x:c r="Q6329" s="30" t="str">
        <x:v>Независимое решение; для варианта 959 дополнительно сверено с полным опубликованным разбором.</x:v>
      </x:c>
      <x:c r="R6329" s="30" t="str">
        <x:v>PARTIAL_MODEL_OR_NOT_PROVIDED</x:v>
      </x:c>
      <x:c r="S6329" s="30"/>
      <x:c r="T6329" s="30"/>
      <x:c r="U6329" s="30" t="str">
        <x:v>Локальные рукописные решения использованы только как вторичный аудируемый источник.</x:v>
      </x:c>
      <x:c r="V6329" s="87" t="str">
        <x:v>VERIFIED</x:v>
      </x:c>
      <x:c r="W6329" s="87"/>
      <x:c r="X6329" s="87" t="n">
        <x:v>5</x:v>
      </x:c>
      <x:c r="Y6329" s="87"/>
      <x:c r="Z6329" s="87"/>
      <x:c r="AA6329" s="87"/>
      <x:c r="AB6329" s="87"/>
      <x:c r="AC6329" s="87" t="str">
        <x:v>VIS-EGKR-MATHP-S26-TASK-963-P005</x:v>
      </x:c>
      <x:c r="AD6329" s="87" t="str">
        <x:v>VIS-EGKR-MATHP-S26-ANSWERDOC-P005; VIS-EGKR-MATHP-S26-ANSWERDOC-P006; VIS-EGKR-MATHP-S26-ANSWERDOC-P007</x:v>
      </x:c>
      <x:c r="AE6329" s="87" t="str">
        <x:v>TASK; SECONDARY_ANSWER_AND_SOLUTION_SOURCE</x:v>
      </x:c>
      <x:c r="AF6329" s="87" t="str">
        <x:v>VIS-EGKR-MATHP-S26-TASK-963-P005: 5; VIS-EGKR-MATHP-S26-ANSWERDOC-P005: 5; VIS-EGKR-MATHP-S26-ANSWERDOC-P006: 6; VIS-EGKR-MATHP-S26-ANSWERDOC-P007: 7</x:v>
      </x:c>
      <x:c r="AG6329" s="87" t="str">
        <x:v>RESOLVED</x:v>
      </x:c>
      <x:c r="AH6329" s="87" t="str">
        <x:v>CROP_VERIFIED</x:v>
      </x:c>
      <x:c r="AI6329" s="30"/>
      <x:c r="AJ6329" s="87" t="str">
        <x:v>clean</x:v>
      </x:c>
      <x:c r="AK6329" s="87" t="str">
        <x:v>clean-v0.22</x:v>
      </x:c>
      <x:c r="AL6329" s="87" t="str">
        <x:v>statgrad_clean_continuation_v0_22(1).xlsx</x:v>
      </x:c>
      <x:c r="AM6329" s="87" t="str">
        <x:v>MATHP_S26_963</x:v>
      </x:c>
      <x:c r="AN6329" s="87" t="n">
        <x:v>16</x:v>
      </x:c>
    </x:row>
    <x:row r="6330">
      <x:c r="A6330" s="87" t="n">
        <x:v>6329</x:v>
      </x:c>
      <x:c r="B6330" s="87" t="str">
        <x:v>EGKR-S26-MATHP-963-16</x:v>
      </x:c>
      <x:c r="C6330" s="87" t="str">
        <x:v>ЕГКР</x:v>
      </x:c>
      <x:c r="D6330" s="87"/>
      <x:c r="E6330" s="87" t="str">
        <x:v>Весна 2026</x:v>
      </x:c>
      <x:c r="F6330" s="87" t="str">
        <x:v>07.04.2026</x:v>
      </x:c>
      <x:c r="G6330" s="87" t="str">
        <x:v>Математика (профиль)</x:v>
      </x:c>
      <x:c r="H6330" s="87" t="n">
        <x:v>11</x:v>
      </x:c>
      <x:c r="I6330" s="87"/>
      <x:c r="J6330" s="87" t="str">
        <x:v>963</x:v>
      </x:c>
      <x:c r="K6330" s="87" t="n">
        <x:v>16</x:v>
      </x:c>
      <x:c r="L6330" s="87" t="str">
        <x:v>Развёрнутый ответ</x:v>
      </x:c>
      <x:c r="M6330" s="30" t="str">
        <x:v>Кредит: ежегодный платёж 85 683 ₽ при сроке 4 года либо 136 383 ₽ при сроке 2 года; найти процент r.</x:v>
      </x:c>
      <x:c r="N6330" s="30" t="str">
        <x:v>Для коэффициента q=1+r/100 из двух схем платежей следует q²=A₄/(A₂−A₄). Получено q=1.3, поэтому r=30%.</x:v>
      </x:c>
      <x:c r="O6330" s="30" t="str">
        <x:v>Модель содержит ключевую идею, преобразования и итог.</x:v>
      </x:c>
      <x:c r="P6330" s="30"/>
      <x:c r="Q6330" s="30" t="str">
        <x:v>Независимое решение; для варианта 959 дополнительно сверено с полным опубликованным разбором.</x:v>
      </x:c>
      <x:c r="R6330" s="30" t="str">
        <x:v>PARTIAL_MODEL_OR_NOT_PROVIDED</x:v>
      </x:c>
      <x:c r="S6330" s="30"/>
      <x:c r="T6330" s="30"/>
      <x:c r="U6330" s="30" t="str">
        <x:v>Локальные рукописные решения использованы только как вторичный аудируемый источник.</x:v>
      </x:c>
      <x:c r="V6330" s="87" t="str">
        <x:v>VERIFIED</x:v>
      </x:c>
      <x:c r="W6330" s="87"/>
      <x:c r="X6330" s="87" t="n">
        <x:v>5</x:v>
      </x:c>
      <x:c r="Y6330" s="87"/>
      <x:c r="Z6330" s="87"/>
      <x:c r="AA6330" s="87"/>
      <x:c r="AB6330" s="87"/>
      <x:c r="AC6330" s="87" t="str">
        <x:v>VIS-EGKR-MATHP-S26-TASK-963-P005</x:v>
      </x:c>
      <x:c r="AD6330" s="87" t="str">
        <x:v>VIS-EGKR-MATHP-S26-ANSWERDOC-P005; VIS-EGKR-MATHP-S26-ANSWERDOC-P006; VIS-EGKR-MATHP-S26-ANSWERDOC-P007</x:v>
      </x:c>
      <x:c r="AE6330" s="87" t="str">
        <x:v>TASK; SECONDARY_ANSWER_AND_SOLUTION_SOURCE</x:v>
      </x:c>
      <x:c r="AF6330" s="87" t="str">
        <x:v>VIS-EGKR-MATHP-S26-TASK-963-P005: 5; VIS-EGKR-MATHP-S26-ANSWERDOC-P005: 5; VIS-EGKR-MATHP-S26-ANSWERDOC-P006: 6; VIS-EGKR-MATHP-S26-ANSWERDOC-P007: 7</x:v>
      </x:c>
      <x:c r="AG6330" s="87" t="str">
        <x:v>RESOLVED</x:v>
      </x:c>
      <x:c r="AH6330" s="87" t="str">
        <x:v>CROP_VERIFIED</x:v>
      </x:c>
      <x:c r="AI6330" s="30"/>
      <x:c r="AJ6330" s="87" t="str">
        <x:v>clean</x:v>
      </x:c>
      <x:c r="AK6330" s="87" t="str">
        <x:v>clean-v0.22</x:v>
      </x:c>
      <x:c r="AL6330" s="87" t="str">
        <x:v>statgrad_clean_continuation_v0_22(1).xlsx</x:v>
      </x:c>
      <x:c r="AM6330" s="87" t="str">
        <x:v>MATHP_S26_963</x:v>
      </x:c>
      <x:c r="AN6330" s="87" t="n">
        <x:v>17</x:v>
      </x:c>
    </x:row>
    <x:row r="6331">
      <x:c r="A6331" s="87" t="n">
        <x:v>6330</x:v>
      </x:c>
      <x:c r="B6331" s="87" t="str">
        <x:v>EGKR-S26-MATHP-963-17</x:v>
      </x:c>
      <x:c r="C6331" s="87" t="str">
        <x:v>ЕГКР</x:v>
      </x:c>
      <x:c r="D6331" s="87"/>
      <x:c r="E6331" s="87" t="str">
        <x:v>Весна 2026</x:v>
      </x:c>
      <x:c r="F6331" s="87" t="str">
        <x:v>07.04.2026</x:v>
      </x:c>
      <x:c r="G6331" s="87" t="str">
        <x:v>Математика (профиль)</x:v>
      </x:c>
      <x:c r="H6331" s="87" t="n">
        <x:v>11</x:v>
      </x:c>
      <x:c r="I6331" s="87"/>
      <x:c r="J6331" s="87" t="str">
        <x:v>963</x:v>
      </x:c>
      <x:c r="K6331" s="87" t="n">
        <x:v>17</x:v>
      </x:c>
      <x:c r="L6331" s="87" t="str">
        <x:v>Развёрнутый ответ</x:v>
      </x:c>
      <x:c r="M6331" s="30" t="str">
        <x:v>Окружность пересекает стороны прямоугольного треугольника; доказать подобие и найти площадь CKMB при R=2√10, AC=16, BC=4.</x:v>
      </x:c>
      <x:c r="N6331" s="30" t="str">
        <x:v>По равенству вписанных углов △AKM∼△ABC. Затем CK=√((2R)²−BC²), AK=AC−CK, AB²=AC²+BC², а S_CKMB=(AC·BC/2)·(1−AK²/AB²). Ответ: 512/17.</x:v>
      </x:c>
      <x:c r="O6331" s="30" t="str">
        <x:v>Модель содержит ключевую идею, преобразования и итог.</x:v>
      </x:c>
      <x:c r="P6331" s="30"/>
      <x:c r="Q6331" s="30" t="str">
        <x:v>Независимое решение; для варианта 959 дополнительно сверено с полным опубликованным разбором.</x:v>
      </x:c>
      <x:c r="R6331" s="30" t="str">
        <x:v>PARTIAL_MODEL_OR_NOT_PROVIDED</x:v>
      </x:c>
      <x:c r="S6331" s="30"/>
      <x:c r="T6331" s="30"/>
      <x:c r="U6331" s="30" t="str">
        <x:v>Локальные рукописные решения использованы только как вторичный аудируемый источник.</x:v>
      </x:c>
      <x:c r="V6331" s="87" t="str">
        <x:v>VERIFIED</x:v>
      </x:c>
      <x:c r="W6331" s="87"/>
      <x:c r="X6331" s="87" t="n">
        <x:v>5</x:v>
      </x:c>
      <x:c r="Y6331" s="87"/>
      <x:c r="Z6331" s="87"/>
      <x:c r="AA6331" s="87"/>
      <x:c r="AB6331" s="87"/>
      <x:c r="AC6331" s="87" t="str">
        <x:v>VIS-EGKR-MATHP-S26-TASK-963-P005</x:v>
      </x:c>
      <x:c r="AD6331" s="87" t="str">
        <x:v>VIS-EGKR-MATHP-S26-ANSWERDOC-P005; VIS-EGKR-MATHP-S26-ANSWERDOC-P006; VIS-EGKR-MATHP-S26-ANSWERDOC-P007</x:v>
      </x:c>
      <x:c r="AE6331" s="87" t="str">
        <x:v>TASK; SECONDARY_ANSWER_AND_SOLUTION_SOURCE</x:v>
      </x:c>
      <x:c r="AF6331" s="87" t="str">
        <x:v>VIS-EGKR-MATHP-S26-TASK-963-P005: 5; VIS-EGKR-MATHP-S26-ANSWERDOC-P005: 5; VIS-EGKR-MATHP-S26-ANSWERDOC-P006: 6; VIS-EGKR-MATHP-S26-ANSWERDOC-P007: 7</x:v>
      </x:c>
      <x:c r="AG6331" s="87" t="str">
        <x:v>RESOLVED</x:v>
      </x:c>
      <x:c r="AH6331" s="87" t="str">
        <x:v>CROP_VERIFIED</x:v>
      </x:c>
      <x:c r="AI6331" s="30"/>
      <x:c r="AJ6331" s="87" t="str">
        <x:v>clean</x:v>
      </x:c>
      <x:c r="AK6331" s="87" t="str">
        <x:v>clean-v0.22</x:v>
      </x:c>
      <x:c r="AL6331" s="87" t="str">
        <x:v>statgrad_clean_continuation_v0_22(1).xlsx</x:v>
      </x:c>
      <x:c r="AM6331" s="87" t="str">
        <x:v>MATHP_S26_963</x:v>
      </x:c>
      <x:c r="AN6331" s="87" t="n">
        <x:v>18</x:v>
      </x:c>
    </x:row>
    <x:row r="6332">
      <x:c r="A6332" s="87" t="n">
        <x:v>6331</x:v>
      </x:c>
      <x:c r="B6332" s="87" t="str">
        <x:v>EGKR-S26-MATHP-963-18</x:v>
      </x:c>
      <x:c r="C6332" s="87" t="str">
        <x:v>ЕГКР</x:v>
      </x:c>
      <x:c r="D6332" s="87"/>
      <x:c r="E6332" s="87" t="str">
        <x:v>Весна 2026</x:v>
      </x:c>
      <x:c r="F6332" s="87" t="str">
        <x:v>07.04.2026</x:v>
      </x:c>
      <x:c r="G6332" s="87" t="str">
        <x:v>Математика (профиль)</x:v>
      </x:c>
      <x:c r="H6332" s="87" t="n">
        <x:v>11</x:v>
      </x:c>
      <x:c r="I6332" s="87"/>
      <x:c r="J6332" s="87" t="str">
        <x:v>963</x:v>
      </x:c>
      <x:c r="K6332" s="87" t="n">
        <x:v>18</x:v>
      </x:c>
      <x:c r="L6332" s="87" t="str">
        <x:v>Развёрнутый ответ</x:v>
      </x:c>
      <x:c r="M6332" s="30" t="str">
        <x:v>Найти параметры a, при которых заданное кубическое соотношение определяет функцию y=f(x) для всех действительных x.</x:v>
      </x:c>
      <x:c r="N6332" s="30" t="str">
        <x:v>Требуется взаимно-однозначная монотонность кубического многочлена по y. Исследование производной и условие неположительности её дискриминанта дают: a∈[−3;6].</x:v>
      </x:c>
      <x:c r="O6332" s="30" t="str">
        <x:v>Модель содержит ключевую идею, преобразования и итог.</x:v>
      </x:c>
      <x:c r="P6332" s="30"/>
      <x:c r="Q6332" s="30" t="str">
        <x:v>Независимое решение; для варианта 959 дополнительно сверено с полным опубликованным разбором.</x:v>
      </x:c>
      <x:c r="R6332" s="30" t="str">
        <x:v>PARTIAL_MODEL_OR_NOT_PROVIDED</x:v>
      </x:c>
      <x:c r="S6332" s="30"/>
      <x:c r="T6332" s="30"/>
      <x:c r="U6332" s="30" t="str">
        <x:v>Локальные рукописные решения использованы только как вторичный аудируемый источник.</x:v>
      </x:c>
      <x:c r="V6332" s="87" t="str">
        <x:v>VERIFIED</x:v>
      </x:c>
      <x:c r="W6332" s="87"/>
      <x:c r="X6332" s="87" t="n">
        <x:v>6</x:v>
      </x:c>
      <x:c r="Y6332" s="87"/>
      <x:c r="Z6332" s="87"/>
      <x:c r="AA6332" s="87"/>
      <x:c r="AB6332" s="87"/>
      <x:c r="AC6332" s="87" t="str">
        <x:v>VIS-EGKR-MATHP-S26-TASK-963-P006</x:v>
      </x:c>
      <x:c r="AD6332" s="87" t="str">
        <x:v>VIS-EGKR-MATHP-S26-ANSWERDOC-P005; VIS-EGKR-MATHP-S26-ANSWERDOC-P006; VIS-EGKR-MATHP-S26-ANSWERDOC-P007</x:v>
      </x:c>
      <x:c r="AE6332" s="87" t="str">
        <x:v>TASK; SECONDARY_ANSWER_AND_SOLUTION_SOURCE</x:v>
      </x:c>
      <x:c r="AF6332" s="87" t="str">
        <x:v>VIS-EGKR-MATHP-S26-TASK-963-P006: 6; VIS-EGKR-MATHP-S26-ANSWERDOC-P005: 5; VIS-EGKR-MATHP-S26-ANSWERDOC-P006: 6; VIS-EGKR-MATHP-S26-ANSWERDOC-P007: 7</x:v>
      </x:c>
      <x:c r="AG6332" s="87" t="str">
        <x:v>RESOLVED</x:v>
      </x:c>
      <x:c r="AH6332" s="87" t="str">
        <x:v>CROP_VERIFIED</x:v>
      </x:c>
      <x:c r="AI6332" s="30"/>
      <x:c r="AJ6332" s="87" t="str">
        <x:v>clean</x:v>
      </x:c>
      <x:c r="AK6332" s="87" t="str">
        <x:v>clean-v0.22</x:v>
      </x:c>
      <x:c r="AL6332" s="87" t="str">
        <x:v>statgrad_clean_continuation_v0_22(1).xlsx</x:v>
      </x:c>
      <x:c r="AM6332" s="87" t="str">
        <x:v>MATHP_S26_963</x:v>
      </x:c>
      <x:c r="AN6332" s="87" t="n">
        <x:v>19</x:v>
      </x:c>
    </x:row>
    <x:row r="6333">
      <x:c r="A6333" s="87" t="n">
        <x:v>6332</x:v>
      </x:c>
      <x:c r="B6333" s="87" t="str">
        <x:v>EGKR-S26-MATHP-963-19</x:v>
      </x:c>
      <x:c r="C6333" s="87" t="str">
        <x:v>ЕГКР</x:v>
      </x:c>
      <x:c r="D6333" s="87"/>
      <x:c r="E6333" s="87" t="str">
        <x:v>Весна 2026</x:v>
      </x:c>
      <x:c r="F6333" s="87" t="str">
        <x:v>07.04.2026</x:v>
      </x:c>
      <x:c r="G6333" s="87" t="str">
        <x:v>Математика (профиль)</x:v>
      </x:c>
      <x:c r="H6333" s="87" t="n">
        <x:v>11</x:v>
      </x:c>
      <x:c r="I6333" s="87"/>
      <x:c r="J6333" s="87" t="str">
        <x:v>963</x:v>
      </x:c>
      <x:c r="K6333" s="87" t="n">
        <x:v>19</x:v>
      </x:c>
      <x:c r="L6333" s="87" t="str">
        <x:v>Развёрнутый ответ</x:v>
      </x:c>
      <x:c r="M6333" s="30" t="str">
        <x:v>Игра с произведениями различных натуральных чисел из диапазона 27–90 и чисел, увеличенных на единицу.</x:v>
      </x:c>
      <x:c r="N6333" s="30" t="str">
        <x:v>Отношение произведений равно ∏(aᵢ+1)/aᵢ. Телескопические наборы последовательных чисел реализуют допустимые целые множители, а верхняя оценка следует из крайних значений. Итоги: а) да, в 2 раза; б) нет, в 4 раза; в) максимум 3.</x:v>
      </x:c>
      <x:c r="O6333" s="30" t="str">
        <x:v>Модель содержит ключевую идею, преобразования и итог.</x:v>
      </x:c>
      <x:c r="P6333" s="30"/>
      <x:c r="Q6333" s="30" t="str">
        <x:v>Независимое решение; для варианта 959 дополнительно сверено с полным опубликованным разбором.</x:v>
      </x:c>
      <x:c r="R6333" s="30" t="str">
        <x:v>PARTIAL_MODEL_OR_NOT_PROVIDED</x:v>
      </x:c>
      <x:c r="S6333" s="30"/>
      <x:c r="T6333" s="30"/>
      <x:c r="U6333" s="30" t="str">
        <x:v>Локальные рукописные решения использованы только как вторичный аудируемый источник.</x:v>
      </x:c>
      <x:c r="V6333" s="87" t="str">
        <x:v>VERIFIED</x:v>
      </x:c>
      <x:c r="W6333" s="87"/>
      <x:c r="X6333" s="87" t="n">
        <x:v>6</x:v>
      </x:c>
      <x:c r="Y6333" s="87"/>
      <x:c r="Z6333" s="87"/>
      <x:c r="AA6333" s="87"/>
      <x:c r="AB6333" s="87"/>
      <x:c r="AC6333" s="87" t="str">
        <x:v>VIS-EGKR-MATHP-S26-TASK-963-P006</x:v>
      </x:c>
      <x:c r="AD6333" s="87" t="str">
        <x:v>VIS-EGKR-MATHP-S26-ANSWERDOC-P005; VIS-EGKR-MATHP-S26-ANSWERDOC-P006; VIS-EGKR-MATHP-S26-ANSWERDOC-P007</x:v>
      </x:c>
      <x:c r="AE6333" s="87" t="str">
        <x:v>TASK; SECONDARY_ANSWER_AND_SOLUTION_SOURCE</x:v>
      </x:c>
      <x:c r="AF6333" s="87" t="str">
        <x:v>VIS-EGKR-MATHP-S26-TASK-963-P006: 6; VIS-EGKR-MATHP-S26-ANSWERDOC-P005: 5; VIS-EGKR-MATHP-S26-ANSWERDOC-P006: 6; VIS-EGKR-MATHP-S26-ANSWERDOC-P007: 7</x:v>
      </x:c>
      <x:c r="AG6333" s="87" t="str">
        <x:v>RESOLVED</x:v>
      </x:c>
      <x:c r="AH6333" s="87" t="str">
        <x:v>CROP_VERIFIED</x:v>
      </x:c>
      <x:c r="AI6333" s="30"/>
      <x:c r="AJ6333" s="87" t="str">
        <x:v>clean</x:v>
      </x:c>
      <x:c r="AK6333" s="87" t="str">
        <x:v>clean-v0.22</x:v>
      </x:c>
      <x:c r="AL6333" s="87" t="str">
        <x:v>statgrad_clean_continuation_v0_22(1).xlsx</x:v>
      </x:c>
      <x:c r="AM6333" s="87" t="str">
        <x:v>MATHP_S26_963</x:v>
      </x:c>
      <x:c r="AN6333" s="87" t="n">
        <x:v>20</x:v>
      </x:c>
    </x:row>
    <x:row r="6334">
      <x:c r="A6334" s="87" t="n">
        <x:v>6333</x:v>
      </x:c>
      <x:c r="B6334" s="87" t="str">
        <x:v>EGKR-S26-MATHP-964-01</x:v>
      </x:c>
      <x:c r="C6334" s="87" t="str">
        <x:v>ЕГКР</x:v>
      </x:c>
      <x:c r="D6334" s="87"/>
      <x:c r="E6334" s="87" t="str">
        <x:v>Весна 2026</x:v>
      </x:c>
      <x:c r="F6334" s="87" t="str">
        <x:v>07.04.2026</x:v>
      </x:c>
      <x:c r="G6334" s="87" t="str">
        <x:v>Математика (профиль)</x:v>
      </x:c>
      <x:c r="H6334" s="87" t="n">
        <x:v>11</x:v>
      </x:c>
      <x:c r="I6334" s="87"/>
      <x:c r="J6334" s="87" t="str">
        <x:v>964</x:v>
      </x:c>
      <x:c r="K6334" s="87" t="n">
        <x:v>1</x:v>
      </x:c>
      <x:c r="L6334" s="87" t="str">
        <x:v>Планиметрия: угол</x:v>
      </x:c>
      <x:c r="M6334" s="30" t="str">
        <x:v>Из точки A к окружности проведены касательная AM и секущая AC через центр; ∠MAC=28°. Найти ∠ACM.</x:v>
      </x:c>
      <x:c r="N6334" s="30" t="str">
        <x:v>31</x:v>
      </x:c>
      <x:c r="O6334" s="30" t="str">
        <x:v>Использованы свойства углов в заданной конфигурации; искомый угол равен половине дополнения данного угла до 90°.</x:v>
      </x:c>
      <x:c r="P6334" s="30"/>
      <x:c r="Q6334" s="30" t="str">
        <x:v>Независимый расчёт и визуальная сверка исходной страницы.</x:v>
      </x:c>
      <x:c r="R6334" s="30" t="str">
        <x:v>31</x:v>
      </x:c>
      <x:c r="S6334" s="30"/>
      <x:c r="T6334" s="30"/>
      <x:c r="U6334" s="30" t="str">
        <x:v>Ответник совпадает с независимой проверкой.</x:v>
      </x:c>
      <x:c r="V6334" s="87" t="str">
        <x:v>VERIFIED</x:v>
      </x:c>
      <x:c r="W6334" s="87"/>
      <x:c r="X6334" s="87" t="n">
        <x:v>2</x:v>
      </x:c>
      <x:c r="Y6334" s="87"/>
      <x:c r="Z6334" s="87"/>
      <x:c r="AA6334" s="87"/>
      <x:c r="AB6334" s="87"/>
      <x:c r="AC6334" s="87" t="str">
        <x:v>VIS-EGKR-MATHP-S26-TASK-964-P002</x:v>
      </x:c>
      <x:c r="AD6334" s="87" t="str">
        <x:v>VIS-EGKR-MATHP-S26-ANSWERDOC-P001</x:v>
      </x:c>
      <x:c r="AE6334" s="87" t="str">
        <x:v>TASK; SECONDARY_ANSWER_AND_SOLUTION_SOURCE</x:v>
      </x:c>
      <x:c r="AF6334" s="87" t="str">
        <x:v>VIS-EGKR-MATHP-S26-TASK-964-P002: 2; VIS-EGKR-MATHP-S26-ANSWERDOC-P001: 1</x:v>
      </x:c>
      <x:c r="AG6334" s="87" t="str">
        <x:v>RESOLVED</x:v>
      </x:c>
      <x:c r="AH6334" s="87" t="str">
        <x:v>CROP_VERIFIED</x:v>
      </x:c>
      <x:c r="AI6334" s="30"/>
      <x:c r="AJ6334" s="87" t="str">
        <x:v>clean</x:v>
      </x:c>
      <x:c r="AK6334" s="87" t="str">
        <x:v>clean-v0.22</x:v>
      </x:c>
      <x:c r="AL6334" s="87" t="str">
        <x:v>statgrad_clean_continuation_v0_22(1).xlsx</x:v>
      </x:c>
      <x:c r="AM6334" s="87" t="str">
        <x:v>MATHP_S26_964</x:v>
      </x:c>
      <x:c r="AN6334" s="87" t="n">
        <x:v>2</x:v>
      </x:c>
    </x:row>
    <x:row r="6335">
      <x:c r="A6335" s="87" t="n">
        <x:v>6334</x:v>
      </x:c>
      <x:c r="B6335" s="87" t="str">
        <x:v>EGKR-S26-MATHP-964-02</x:v>
      </x:c>
      <x:c r="C6335" s="87" t="str">
        <x:v>ЕГКР</x:v>
      </x:c>
      <x:c r="D6335" s="87"/>
      <x:c r="E6335" s="87" t="str">
        <x:v>Весна 2026</x:v>
      </x:c>
      <x:c r="F6335" s="87" t="str">
        <x:v>07.04.2026</x:v>
      </x:c>
      <x:c r="G6335" s="87" t="str">
        <x:v>Математика (профиль)</x:v>
      </x:c>
      <x:c r="H6335" s="87" t="n">
        <x:v>11</x:v>
      </x:c>
      <x:c r="I6335" s="87"/>
      <x:c r="J6335" s="87" t="str">
        <x:v>964</x:v>
      </x:c>
      <x:c r="K6335" s="87" t="n">
        <x:v>2</x:v>
      </x:c>
      <x:c r="L6335" s="87" t="str">
        <x:v>Векторы</x:v>
      </x:c>
      <x:c r="M6335" s="30" t="str">
        <x:v>Даны a=(−9;8), b=(3;−4), c=(0;8). Найти длину вектора a+b−½c.</x:v>
      </x:c>
      <x:c r="N6335" s="30" t="str">
        <x:v>6</x:v>
      </x:c>
      <x:c r="O6335" s="30" t="str">
        <x:v>Выполнены операции над координатами векторов и вычислена длина результирующего вектора.</x:v>
      </x:c>
      <x:c r="P6335" s="30"/>
      <x:c r="Q6335" s="30" t="str">
        <x:v>Независимый расчёт и визуальная сверка исходной страницы.</x:v>
      </x:c>
      <x:c r="R6335" s="30" t="str">
        <x:v>6</x:v>
      </x:c>
      <x:c r="S6335" s="30"/>
      <x:c r="T6335" s="30"/>
      <x:c r="U6335" s="30" t="str">
        <x:v>Ответник совпадает с независимой проверкой.</x:v>
      </x:c>
      <x:c r="V6335" s="87" t="str">
        <x:v>VERIFIED</x:v>
      </x:c>
      <x:c r="W6335" s="87"/>
      <x:c r="X6335" s="87" t="n">
        <x:v>2</x:v>
      </x:c>
      <x:c r="Y6335" s="87"/>
      <x:c r="Z6335" s="87"/>
      <x:c r="AA6335" s="87"/>
      <x:c r="AB6335" s="87"/>
      <x:c r="AC6335" s="87" t="str">
        <x:v>VIS-EGKR-MATHP-S26-TASK-964-P002</x:v>
      </x:c>
      <x:c r="AD6335" s="87" t="str">
        <x:v>VIS-EGKR-MATHP-S26-ANSWERDOC-P001</x:v>
      </x:c>
      <x:c r="AE6335" s="87" t="str">
        <x:v>TASK; SECONDARY_ANSWER_AND_SOLUTION_SOURCE</x:v>
      </x:c>
      <x:c r="AF6335" s="87" t="str">
        <x:v>VIS-EGKR-MATHP-S26-TASK-964-P002: 2; VIS-EGKR-MATHP-S26-ANSWERDOC-P001: 1</x:v>
      </x:c>
      <x:c r="AG6335" s="87" t="str">
        <x:v>RESOLVED</x:v>
      </x:c>
      <x:c r="AH6335" s="87" t="str">
        <x:v>CROP_VERIFIED</x:v>
      </x:c>
      <x:c r="AI6335" s="30"/>
      <x:c r="AJ6335" s="87" t="str">
        <x:v>clean</x:v>
      </x:c>
      <x:c r="AK6335" s="87" t="str">
        <x:v>clean-v0.22</x:v>
      </x:c>
      <x:c r="AL6335" s="87" t="str">
        <x:v>statgrad_clean_continuation_v0_22(1).xlsx</x:v>
      </x:c>
      <x:c r="AM6335" s="87" t="str">
        <x:v>MATHP_S26_964</x:v>
      </x:c>
      <x:c r="AN6335" s="87" t="n">
        <x:v>3</x:v>
      </x:c>
    </x:row>
    <x:row r="6336">
      <x:c r="A6336" s="87" t="n">
        <x:v>6335</x:v>
      </x:c>
      <x:c r="B6336" s="87" t="str">
        <x:v>EGKR-S26-MATHP-964-03</x:v>
      </x:c>
      <x:c r="C6336" s="87" t="str">
        <x:v>ЕГКР</x:v>
      </x:c>
      <x:c r="D6336" s="87"/>
      <x:c r="E6336" s="87" t="str">
        <x:v>Весна 2026</x:v>
      </x:c>
      <x:c r="F6336" s="87" t="str">
        <x:v>07.04.2026</x:v>
      </x:c>
      <x:c r="G6336" s="87" t="str">
        <x:v>Математика (профиль)</x:v>
      </x:c>
      <x:c r="H6336" s="87" t="n">
        <x:v>11</x:v>
      </x:c>
      <x:c r="I6336" s="87"/>
      <x:c r="J6336" s="87" t="str">
        <x:v>964</x:v>
      </x:c>
      <x:c r="K6336" s="87" t="n">
        <x:v>3</x:v>
      </x:c>
      <x:c r="L6336" s="87" t="str">
        <x:v>Объём многогранника</x:v>
      </x:c>
      <x:c r="M6336" s="30" t="str">
        <x:v>Объём прямоугольного параллелепипеда равен 8,4. Найти объём указанной треугольной пирамиды.</x:v>
      </x:c>
      <x:c r="N6336" s="30" t="str">
        <x:v>2,8</x:v>
      </x:c>
      <x:c r="O6336" s="30" t="str">
        <x:v>Объём тетраэдра с соответствующими вершинами составляет треть объёма прямоугольного параллелепипеда.</x:v>
      </x:c>
      <x:c r="P6336" s="30"/>
      <x:c r="Q6336" s="30" t="str">
        <x:v>Независимый расчёт и визуальная сверка исходной страницы.</x:v>
      </x:c>
      <x:c r="R6336" s="30" t="str">
        <x:v>2,8</x:v>
      </x:c>
      <x:c r="S6336" s="30"/>
      <x:c r="T6336" s="30"/>
      <x:c r="U6336" s="30" t="str">
        <x:v>Ответник совпадает с независимой проверкой.</x:v>
      </x:c>
      <x:c r="V6336" s="87" t="str">
        <x:v>VERIFIED</x:v>
      </x:c>
      <x:c r="W6336" s="87"/>
      <x:c r="X6336" s="87" t="n">
        <x:v>2</x:v>
      </x:c>
      <x:c r="Y6336" s="87"/>
      <x:c r="Z6336" s="87"/>
      <x:c r="AA6336" s="87"/>
      <x:c r="AB6336" s="87"/>
      <x:c r="AC6336" s="87" t="str">
        <x:v>VIS-EGKR-MATHP-S26-TASK-964-P002</x:v>
      </x:c>
      <x:c r="AD6336" s="87" t="str">
        <x:v>VIS-EGKR-MATHP-S26-ANSWERDOC-P001</x:v>
      </x:c>
      <x:c r="AE6336" s="87" t="str">
        <x:v>TASK; SECONDARY_ANSWER_AND_SOLUTION_SOURCE</x:v>
      </x:c>
      <x:c r="AF6336" s="87" t="str">
        <x:v>VIS-EGKR-MATHP-S26-TASK-964-P002: 2; VIS-EGKR-MATHP-S26-ANSWERDOC-P001: 1</x:v>
      </x:c>
      <x:c r="AG6336" s="87" t="str">
        <x:v>RESOLVED</x:v>
      </x:c>
      <x:c r="AH6336" s="87" t="str">
        <x:v>CROP_VERIFIED</x:v>
      </x:c>
      <x:c r="AI6336" s="30"/>
      <x:c r="AJ6336" s="87" t="str">
        <x:v>clean</x:v>
      </x:c>
      <x:c r="AK6336" s="87" t="str">
        <x:v>clean-v0.22</x:v>
      </x:c>
      <x:c r="AL6336" s="87" t="str">
        <x:v>statgrad_clean_continuation_v0_22(1).xlsx</x:v>
      </x:c>
      <x:c r="AM6336" s="87" t="str">
        <x:v>MATHP_S26_964</x:v>
      </x:c>
      <x:c r="AN6336" s="87" t="n">
        <x:v>4</x:v>
      </x:c>
    </x:row>
    <x:row r="6337">
      <x:c r="A6337" s="87" t="n">
        <x:v>6336</x:v>
      </x:c>
      <x:c r="B6337" s="87" t="str">
        <x:v>EGKR-S26-MATHP-964-04</x:v>
      </x:c>
      <x:c r="C6337" s="87" t="str">
        <x:v>ЕГКР</x:v>
      </x:c>
      <x:c r="D6337" s="87"/>
      <x:c r="E6337" s="87" t="str">
        <x:v>Весна 2026</x:v>
      </x:c>
      <x:c r="F6337" s="87" t="str">
        <x:v>07.04.2026</x:v>
      </x:c>
      <x:c r="G6337" s="87" t="str">
        <x:v>Математика (профиль)</x:v>
      </x:c>
      <x:c r="H6337" s="87" t="n">
        <x:v>11</x:v>
      </x:c>
      <x:c r="I6337" s="87"/>
      <x:c r="J6337" s="87" t="str">
        <x:v>964</x:v>
      </x:c>
      <x:c r="K6337" s="87" t="n">
        <x:v>4</x:v>
      </x:c>
      <x:c r="L6337" s="87" t="str">
        <x:v>Вероятность</x:v>
      </x:c>
      <x:c r="M6337" s="30" t="str">
        <x:v>В игре «Морской бой» на клетчатом поле 10×10 размещают четыре однопалубных корабля (одна клетка), три двухпалубных, два трёхпалубных и один четырёхпалубный. Первый игрок делает «выстрел» по случайной клетке. Какова вероятность того, что он попадет в однопалубный или четырехпалубный корабль?</x:v>
      </x:c>
      <x:c r="N6337" s="30" t="str">
        <x:v>0,08</x:v>
      </x:c>
      <x:c r="O6337" s="30" t="str">
        <x:v>Вероятность равна отношению числа клеток, занятых указанными кораблями, к 100.</x:v>
      </x:c>
      <x:c r="P6337" s="30"/>
      <x:c r="Q6337" s="30" t="str">
        <x:v>Независимый расчёт и визуальная сверка исходной страницы.</x:v>
      </x:c>
      <x:c r="R6337" s="30" t="str">
        <x:v>0,08</x:v>
      </x:c>
      <x:c r="S6337" s="30"/>
      <x:c r="T6337" s="30"/>
      <x:c r="U6337" s="30" t="str">
        <x:v>Ответник совпадает с независимой проверкой.</x:v>
      </x:c>
      <x:c r="V6337" s="87" t="str">
        <x:v>VERIFIED</x:v>
      </x:c>
      <x:c r="W6337" s="87"/>
      <x:c r="X6337" s="87" t="n">
        <x:v>2</x:v>
      </x:c>
      <x:c r="Y6337" s="87"/>
      <x:c r="Z6337" s="87"/>
      <x:c r="AA6337" s="87"/>
      <x:c r="AB6337" s="87"/>
      <x:c r="AC6337" s="87" t="str">
        <x:v>VIS-EGKR-MATHP-S26-TASK-964-P002</x:v>
      </x:c>
      <x:c r="AD6337" s="87" t="str">
        <x:v>VIS-EGKR-MATHP-S26-ANSWERDOC-P001</x:v>
      </x:c>
      <x:c r="AE6337" s="87" t="str">
        <x:v>TASK; SECONDARY_ANSWER_AND_SOLUTION_SOURCE</x:v>
      </x:c>
      <x:c r="AF6337" s="87" t="str">
        <x:v>VIS-EGKR-MATHP-S26-TASK-964-P002: 2; VIS-EGKR-MATHP-S26-ANSWERDOC-P001: 1</x:v>
      </x:c>
      <x:c r="AG6337" s="87" t="str">
        <x:v>RESOLVED</x:v>
      </x:c>
      <x:c r="AH6337" s="87" t="str">
        <x:v>CROP_VERIFIED</x:v>
      </x:c>
      <x:c r="AI6337" s="30"/>
      <x:c r="AJ6337" s="87" t="str">
        <x:v>clean</x:v>
      </x:c>
      <x:c r="AK6337" s="87" t="str">
        <x:v>clean-v0.22</x:v>
      </x:c>
      <x:c r="AL6337" s="87" t="str">
        <x:v>statgrad_clean_continuation_v0_22(1).xlsx</x:v>
      </x:c>
      <x:c r="AM6337" s="87" t="str">
        <x:v>MATHP_S26_964</x:v>
      </x:c>
      <x:c r="AN6337" s="87" t="n">
        <x:v>5</x:v>
      </x:c>
    </x:row>
    <x:row r="6338">
      <x:c r="A6338" s="87" t="n">
        <x:v>6337</x:v>
      </x:c>
      <x:c r="B6338" s="87" t="str">
        <x:v>EGKR-S26-MATHP-964-05</x:v>
      </x:c>
      <x:c r="C6338" s="87" t="str">
        <x:v>ЕГКР</x:v>
      </x:c>
      <x:c r="D6338" s="87"/>
      <x:c r="E6338" s="87" t="str">
        <x:v>Весна 2026</x:v>
      </x:c>
      <x:c r="F6338" s="87" t="str">
        <x:v>07.04.2026</x:v>
      </x:c>
      <x:c r="G6338" s="87" t="str">
        <x:v>Математика (профиль)</x:v>
      </x:c>
      <x:c r="H6338" s="87" t="n">
        <x:v>11</x:v>
      </x:c>
      <x:c r="I6338" s="87"/>
      <x:c r="J6338" s="87" t="str">
        <x:v>964</x:v>
      </x:c>
      <x:c r="K6338" s="87" t="n">
        <x:v>5</x:v>
      </x:c>
      <x:c r="L6338" s="87" t="str">
        <x:v>Вероятность срабатывания датчиков</x:v>
      </x:c>
      <x:c r="M6338" s="30" t="str">
        <x:v>Зал выдачи наличных денежных средств банкоматами банка оснащён двумя типами датчиков безопасности: движения и лучевым. В случае несанкционированного проникновения в зал первый датчик срабатывает с вероятностью 0,91, а второй — с вероятностью 0,96. Какова вероятность срабатывания только одного из датчиков в случае несанкционированного проникновения в зал выдачи наличных денежных средств банкоматами банка?</x:v>
      </x:c>
      <x:c r="N6338" s="30" t="str">
        <x:v>0,1228</x:v>
      </x:c>
      <x:c r="O6338" s="30" t="str">
        <x:v>Вероятность ровно одного срабатывания: p(1−q)+(1−p)q.</x:v>
      </x:c>
      <x:c r="P6338" s="30"/>
      <x:c r="Q6338" s="30" t="str">
        <x:v>Независимый расчёт и визуальная сверка исходной страницы.</x:v>
      </x:c>
      <x:c r="R6338" s="30" t="str">
        <x:v>0,1228</x:v>
      </x:c>
      <x:c r="S6338" s="30"/>
      <x:c r="T6338" s="30"/>
      <x:c r="U6338" s="30" t="str">
        <x:v>Ответник совпадает с независимой проверкой.</x:v>
      </x:c>
      <x:c r="V6338" s="87" t="str">
        <x:v>VERIFIED</x:v>
      </x:c>
      <x:c r="W6338" s="87"/>
      <x:c r="X6338" s="87" t="n">
        <x:v>2</x:v>
      </x:c>
      <x:c r="Y6338" s="87"/>
      <x:c r="Z6338" s="87"/>
      <x:c r="AA6338" s="87"/>
      <x:c r="AB6338" s="87"/>
      <x:c r="AC6338" s="87" t="str">
        <x:v>VIS-EGKR-MATHP-S26-TASK-964-P002</x:v>
      </x:c>
      <x:c r="AD6338" s="87" t="str">
        <x:v>VIS-EGKR-MATHP-S26-ANSWERDOC-P001</x:v>
      </x:c>
      <x:c r="AE6338" s="87" t="str">
        <x:v>TASK; SECONDARY_ANSWER_AND_SOLUTION_SOURCE</x:v>
      </x:c>
      <x:c r="AF6338" s="87" t="str">
        <x:v>VIS-EGKR-MATHP-S26-TASK-964-P002: 2; VIS-EGKR-MATHP-S26-ANSWERDOC-P001: 1</x:v>
      </x:c>
      <x:c r="AG6338" s="87" t="str">
        <x:v>RESOLVED</x:v>
      </x:c>
      <x:c r="AH6338" s="87" t="str">
        <x:v>CROP_VERIFIED</x:v>
      </x:c>
      <x:c r="AI6338" s="30"/>
      <x:c r="AJ6338" s="87" t="str">
        <x:v>clean</x:v>
      </x:c>
      <x:c r="AK6338" s="87" t="str">
        <x:v>clean-v0.22</x:v>
      </x:c>
      <x:c r="AL6338" s="87" t="str">
        <x:v>statgrad_clean_continuation_v0_22(1).xlsx</x:v>
      </x:c>
      <x:c r="AM6338" s="87" t="str">
        <x:v>MATHP_S26_964</x:v>
      </x:c>
      <x:c r="AN6338" s="87" t="n">
        <x:v>6</x:v>
      </x:c>
    </x:row>
    <x:row r="6339">
      <x:c r="A6339" s="87" t="n">
        <x:v>6338</x:v>
      </x:c>
      <x:c r="B6339" s="87" t="str">
        <x:v>EGKR-S26-MATHP-964-06</x:v>
      </x:c>
      <x:c r="C6339" s="87" t="str">
        <x:v>ЕГКР</x:v>
      </x:c>
      <x:c r="D6339" s="87"/>
      <x:c r="E6339" s="87" t="str">
        <x:v>Весна 2026</x:v>
      </x:c>
      <x:c r="F6339" s="87" t="str">
        <x:v>07.04.2026</x:v>
      </x:c>
      <x:c r="G6339" s="87" t="str">
        <x:v>Математика (профиль)</x:v>
      </x:c>
      <x:c r="H6339" s="87" t="n">
        <x:v>11</x:v>
      </x:c>
      <x:c r="I6339" s="87"/>
      <x:c r="J6339" s="87" t="str">
        <x:v>964</x:v>
      </x:c>
      <x:c r="K6339" s="87" t="n">
        <x:v>6</x:v>
      </x:c>
      <x:c r="L6339" s="87" t="str">
        <x:v>Логарифмическое уравнение</x:v>
      </x:c>
      <x:c r="M6339" s="30" t="str">
        <x:v>Найдите корень уравнения log2(𝑥 + 4) = log2 𝑥 + 1.</x:v>
      </x:c>
      <x:c r="N6339" s="30" t="str">
        <x:v>4</x:v>
      </x:c>
      <x:c r="O6339" s="30" t="str">
        <x:v>После преобразования логарифмов получено линейное уравнение.</x:v>
      </x:c>
      <x:c r="P6339" s="30"/>
      <x:c r="Q6339" s="30" t="str">
        <x:v>Независимый расчёт и визуальная сверка исходной страницы.</x:v>
      </x:c>
      <x:c r="R6339" s="30" t="str">
        <x:v>4</x:v>
      </x:c>
      <x:c r="S6339" s="30"/>
      <x:c r="T6339" s="30"/>
      <x:c r="U6339" s="30" t="str">
        <x:v>Ответник совпадает с независимой проверкой.</x:v>
      </x:c>
      <x:c r="V6339" s="87" t="str">
        <x:v>VERIFIED</x:v>
      </x:c>
      <x:c r="W6339" s="87"/>
      <x:c r="X6339" s="87" t="n">
        <x:v>3</x:v>
      </x:c>
      <x:c r="Y6339" s="87"/>
      <x:c r="Z6339" s="87"/>
      <x:c r="AA6339" s="87"/>
      <x:c r="AB6339" s="87"/>
      <x:c r="AC6339" s="87" t="str">
        <x:v>VIS-EGKR-MATHP-S26-TASK-964-P003</x:v>
      </x:c>
      <x:c r="AD6339" s="87" t="str">
        <x:v>VIS-EGKR-MATHP-S26-ANSWERDOC-P001</x:v>
      </x:c>
      <x:c r="AE6339" s="87" t="str">
        <x:v>TASK; SECONDARY_ANSWER_AND_SOLUTION_SOURCE</x:v>
      </x:c>
      <x:c r="AF6339" s="87" t="str">
        <x:v>VIS-EGKR-MATHP-S26-TASK-964-P003: 3; VIS-EGKR-MATHP-S26-ANSWERDOC-P001: 1</x:v>
      </x:c>
      <x:c r="AG6339" s="87" t="str">
        <x:v>RESOLVED</x:v>
      </x:c>
      <x:c r="AH6339" s="87" t="str">
        <x:v>CROP_VERIFIED</x:v>
      </x:c>
      <x:c r="AI6339" s="30"/>
      <x:c r="AJ6339" s="87" t="str">
        <x:v>clean</x:v>
      </x:c>
      <x:c r="AK6339" s="87" t="str">
        <x:v>clean-v0.22</x:v>
      </x:c>
      <x:c r="AL6339" s="87" t="str">
        <x:v>statgrad_clean_continuation_v0_22(1).xlsx</x:v>
      </x:c>
      <x:c r="AM6339" s="87" t="str">
        <x:v>MATHP_S26_964</x:v>
      </x:c>
      <x:c r="AN6339" s="87" t="n">
        <x:v>7</x:v>
      </x:c>
    </x:row>
    <x:row r="6340">
      <x:c r="A6340" s="87" t="n">
        <x:v>6339</x:v>
      </x:c>
      <x:c r="B6340" s="87" t="str">
        <x:v>EGKR-S26-MATHP-964-07</x:v>
      </x:c>
      <x:c r="C6340" s="87" t="str">
        <x:v>ЕГКР</x:v>
      </x:c>
      <x:c r="D6340" s="87"/>
      <x:c r="E6340" s="87" t="str">
        <x:v>Весна 2026</x:v>
      </x:c>
      <x:c r="F6340" s="87" t="str">
        <x:v>07.04.2026</x:v>
      </x:c>
      <x:c r="G6340" s="87" t="str">
        <x:v>Математика (профиль)</x:v>
      </x:c>
      <x:c r="H6340" s="87" t="n">
        <x:v>11</x:v>
      </x:c>
      <x:c r="I6340" s="87"/>
      <x:c r="J6340" s="87" t="str">
        <x:v>964</x:v>
      </x:c>
      <x:c r="K6340" s="87" t="n">
        <x:v>7</x:v>
      </x:c>
      <x:c r="L6340" s="87" t="str">
        <x:v>Тригонометрическое выражение</x:v>
      </x:c>
      <x:c r="M6340" s="30" t="str">
        <x:v>14𝑐𝑜𝑠60 Найдите значение выражения sin2 19+𝑐𝑜𝑠2</x:v>
      </x:c>
      <x:c r="N6340" s="30" t="str">
        <x:v>7</x:v>
      </x:c>
      <x:c r="O6340" s="30" t="str">
        <x:v>Знаменатель упрощён по основному тригонометрическому тождеству; cos60°=1/2.</x:v>
      </x:c>
      <x:c r="P6340" s="30"/>
      <x:c r="Q6340" s="30" t="str">
        <x:v>Независимый расчёт и визуальная сверка исходной страницы.</x:v>
      </x:c>
      <x:c r="R6340" s="30" t="str">
        <x:v>7</x:v>
      </x:c>
      <x:c r="S6340" s="30"/>
      <x:c r="T6340" s="30"/>
      <x:c r="U6340" s="30" t="str">
        <x:v>Ответник совпадает с независимой проверкой.</x:v>
      </x:c>
      <x:c r="V6340" s="87" t="str">
        <x:v>VERIFIED</x:v>
      </x:c>
      <x:c r="W6340" s="87"/>
      <x:c r="X6340" s="87" t="n">
        <x:v>3</x:v>
      </x:c>
      <x:c r="Y6340" s="87"/>
      <x:c r="Z6340" s="87"/>
      <x:c r="AA6340" s="87"/>
      <x:c r="AB6340" s="87"/>
      <x:c r="AC6340" s="87" t="str">
        <x:v>VIS-EGKR-MATHP-S26-TASK-964-P003</x:v>
      </x:c>
      <x:c r="AD6340" s="87" t="str">
        <x:v>VIS-EGKR-MATHP-S26-ANSWERDOC-P001</x:v>
      </x:c>
      <x:c r="AE6340" s="87" t="str">
        <x:v>TASK; SECONDARY_ANSWER_AND_SOLUTION_SOURCE</x:v>
      </x:c>
      <x:c r="AF6340" s="87" t="str">
        <x:v>VIS-EGKR-MATHP-S26-TASK-964-P003: 3; VIS-EGKR-MATHP-S26-ANSWERDOC-P001: 1</x:v>
      </x:c>
      <x:c r="AG6340" s="87" t="str">
        <x:v>RESOLVED</x:v>
      </x:c>
      <x:c r="AH6340" s="87" t="str">
        <x:v>CROP_VERIFIED</x:v>
      </x:c>
      <x:c r="AI6340" s="30"/>
      <x:c r="AJ6340" s="87" t="str">
        <x:v>clean</x:v>
      </x:c>
      <x:c r="AK6340" s="87" t="str">
        <x:v>clean-v0.22</x:v>
      </x:c>
      <x:c r="AL6340" s="87" t="str">
        <x:v>statgrad_clean_continuation_v0_22(1).xlsx</x:v>
      </x:c>
      <x:c r="AM6340" s="87" t="str">
        <x:v>MATHP_S26_964</x:v>
      </x:c>
      <x:c r="AN6340" s="87" t="n">
        <x:v>8</x:v>
      </x:c>
    </x:row>
    <x:row r="6341">
      <x:c r="A6341" s="87" t="n">
        <x:v>6340</x:v>
      </x:c>
      <x:c r="B6341" s="87" t="str">
        <x:v>EGKR-S26-MATHP-964-08</x:v>
      </x:c>
      <x:c r="C6341" s="87" t="str">
        <x:v>ЕГКР</x:v>
      </x:c>
      <x:c r="D6341" s="87"/>
      <x:c r="E6341" s="87" t="str">
        <x:v>Весна 2026</x:v>
      </x:c>
      <x:c r="F6341" s="87" t="str">
        <x:v>07.04.2026</x:v>
      </x:c>
      <x:c r="G6341" s="87" t="str">
        <x:v>Математика (профиль)</x:v>
      </x:c>
      <x:c r="H6341" s="87" t="n">
        <x:v>11</x:v>
      </x:c>
      <x:c r="I6341" s="87"/>
      <x:c r="J6341" s="87" t="str">
        <x:v>964</x:v>
      </x:c>
      <x:c r="K6341" s="87" t="n">
        <x:v>8</x:v>
      </x:c>
      <x:c r="L6341" s="87" t="str">
        <x:v>Производная и возрастание</x:v>
      </x:c>
      <x:c r="M6341" s="30" t="str">
        <x:v>По графику y=f′(x) на интервале (−2;9) найти сумму целых точек промежутков возрастания функции f.</x:v>
      </x:c>
      <x:c r="N6341" s="30" t="str">
        <x:v>2</x:v>
      </x:c>
      <x:c r="O6341" s="30" t="str">
        <x:v>Функция возрастает там, где f′(x)&gt;0; сложены все целые точки внутри положительных промежутков.</x:v>
      </x:c>
      <x:c r="P6341" s="30"/>
      <x:c r="Q6341" s="30" t="str">
        <x:v>Независимый расчёт и визуальная сверка исходной страницы.</x:v>
      </x:c>
      <x:c r="R6341" s="30" t="str">
        <x:v>13</x:v>
      </x:c>
      <x:c r="S6341" s="30"/>
      <x:c r="T6341" s="30"/>
      <x:c r="U6341" s="30" t="str">
        <x:v>Ответник: 13; независимый ответ: 2.</x:v>
      </x:c>
      <x:c r="V6341" s="87" t="str">
        <x:v>KEY_MISMATCH</x:v>
      </x:c>
      <x:c r="W6341" s="87"/>
      <x:c r="X6341" s="87" t="n">
        <x:v>3</x:v>
      </x:c>
      <x:c r="Y6341" s="87"/>
      <x:c r="Z6341" s="87"/>
      <x:c r="AA6341" s="87"/>
      <x:c r="AB6341" s="87"/>
      <x:c r="AC6341" s="87" t="str">
        <x:v>VIS-EGKR-MATHP-S26-TASK-964-P003</x:v>
      </x:c>
      <x:c r="AD6341" s="87" t="str">
        <x:v>VIS-EGKR-MATHP-S26-ANSWERDOC-P001</x:v>
      </x:c>
      <x:c r="AE6341" s="87" t="str">
        <x:v>TASK; SECONDARY_ANSWER_AND_SOLUTION_SOURCE</x:v>
      </x:c>
      <x:c r="AF6341" s="87" t="str">
        <x:v>VIS-EGKR-MATHP-S26-TASK-964-P003: 3; VIS-EGKR-MATHP-S26-ANSWERDOC-P001: 1</x:v>
      </x:c>
      <x:c r="AG6341" s="87" t="str">
        <x:v>RESOLVED</x:v>
      </x:c>
      <x:c r="AH6341" s="87" t="str">
        <x:v>CROP_VERIFIED</x:v>
      </x:c>
      <x:c r="AI6341" s="30"/>
      <x:c r="AJ6341" s="87" t="str">
        <x:v>clean</x:v>
      </x:c>
      <x:c r="AK6341" s="87" t="str">
        <x:v>clean-v0.22</x:v>
      </x:c>
      <x:c r="AL6341" s="87" t="str">
        <x:v>statgrad_clean_continuation_v0_22(1).xlsx</x:v>
      </x:c>
      <x:c r="AM6341" s="87" t="str">
        <x:v>MATHP_S26_964</x:v>
      </x:c>
      <x:c r="AN6341" s="87" t="n">
        <x:v>9</x:v>
      </x:c>
    </x:row>
    <x:row r="6342">
      <x:c r="A6342" s="87" t="n">
        <x:v>6341</x:v>
      </x:c>
      <x:c r="B6342" s="87" t="str">
        <x:v>EGKR-S26-MATHP-964-09</x:v>
      </x:c>
      <x:c r="C6342" s="87" t="str">
        <x:v>ЕГКР</x:v>
      </x:c>
      <x:c r="D6342" s="87"/>
      <x:c r="E6342" s="87" t="str">
        <x:v>Весна 2026</x:v>
      </x:c>
      <x:c r="F6342" s="87" t="str">
        <x:v>07.04.2026</x:v>
      </x:c>
      <x:c r="G6342" s="87" t="str">
        <x:v>Математика (профиль)</x:v>
      </x:c>
      <x:c r="H6342" s="87" t="n">
        <x:v>11</x:v>
      </x:c>
      <x:c r="I6342" s="87"/>
      <x:c r="J6342" s="87" t="str">
        <x:v>964</x:v>
      </x:c>
      <x:c r="K6342" s="87" t="n">
        <x:v>9</x:v>
      </x:c>
      <x:c r="L6342" s="87" t="str">
        <x:v>Радиоактивный распад</x:v>
      </x:c>
      <x:c r="M6342" s="30" t="str">
        <x:v>В ходе распада радиоактивного изотопа его масса уменьшается по закону 𝑚 = 𝑚0·2−𝑇𝑡, где 𝑚0 — начальная масса изотопа, 𝑡 — время, прошедшее от начального момента, 𝑇 — период полураспада. В начальный момент времени масса изотопа 184 мг. Период его полураспада составляет 6 минут. Найдите, через сколько минут масса изотопа будет равна 23 мг.</x:v>
      </x:c>
      <x:c r="N6342" s="30" t="str">
        <x:v>18</x:v>
      </x:c>
      <x:c r="O6342" s="30" t="str">
        <x:v>Использован закон полураспада и число прошедших периодов.</x:v>
      </x:c>
      <x:c r="P6342" s="30"/>
      <x:c r="Q6342" s="30" t="str">
        <x:v>Независимый расчёт и визуальная сверка исходной страницы.</x:v>
      </x:c>
      <x:c r="R6342" s="30" t="str">
        <x:v>18</x:v>
      </x:c>
      <x:c r="S6342" s="30"/>
      <x:c r="T6342" s="30"/>
      <x:c r="U6342" s="30" t="str">
        <x:v>Ответник совпадает с независимой проверкой.</x:v>
      </x:c>
      <x:c r="V6342" s="87" t="str">
        <x:v>VERIFIED</x:v>
      </x:c>
      <x:c r="W6342" s="87"/>
      <x:c r="X6342" s="87" t="n">
        <x:v>3</x:v>
      </x:c>
      <x:c r="Y6342" s="87"/>
      <x:c r="Z6342" s="87"/>
      <x:c r="AA6342" s="87"/>
      <x:c r="AB6342" s="87"/>
      <x:c r="AC6342" s="87" t="str">
        <x:v>VIS-EGKR-MATHP-S26-TASK-964-P003</x:v>
      </x:c>
      <x:c r="AD6342" s="87" t="str">
        <x:v>VIS-EGKR-MATHP-S26-ANSWERDOC-P001</x:v>
      </x:c>
      <x:c r="AE6342" s="87" t="str">
        <x:v>TASK; SECONDARY_ANSWER_AND_SOLUTION_SOURCE</x:v>
      </x:c>
      <x:c r="AF6342" s="87" t="str">
        <x:v>VIS-EGKR-MATHP-S26-TASK-964-P003: 3; VIS-EGKR-MATHP-S26-ANSWERDOC-P001: 1</x:v>
      </x:c>
      <x:c r="AG6342" s="87" t="str">
        <x:v>RESOLVED</x:v>
      </x:c>
      <x:c r="AH6342" s="87" t="str">
        <x:v>CROP_VERIFIED</x:v>
      </x:c>
      <x:c r="AI6342" s="30"/>
      <x:c r="AJ6342" s="87" t="str">
        <x:v>clean</x:v>
      </x:c>
      <x:c r="AK6342" s="87" t="str">
        <x:v>clean-v0.22</x:v>
      </x:c>
      <x:c r="AL6342" s="87" t="str">
        <x:v>statgrad_clean_continuation_v0_22(1).xlsx</x:v>
      </x:c>
      <x:c r="AM6342" s="87" t="str">
        <x:v>MATHP_S26_964</x:v>
      </x:c>
      <x:c r="AN6342" s="87" t="n">
        <x:v>10</x:v>
      </x:c>
    </x:row>
    <x:row r="6343">
      <x:c r="A6343" s="87" t="n">
        <x:v>6342</x:v>
      </x:c>
      <x:c r="B6343" s="87" t="str">
        <x:v>EGKR-S26-MATHP-964-10</x:v>
      </x:c>
      <x:c r="C6343" s="87" t="str">
        <x:v>ЕГКР</x:v>
      </x:c>
      <x:c r="D6343" s="87"/>
      <x:c r="E6343" s="87" t="str">
        <x:v>Весна 2026</x:v>
      </x:c>
      <x:c r="F6343" s="87" t="str">
        <x:v>07.04.2026</x:v>
      </x:c>
      <x:c r="G6343" s="87" t="str">
        <x:v>Математика (профиль)</x:v>
      </x:c>
      <x:c r="H6343" s="87" t="n">
        <x:v>11</x:v>
      </x:c>
      <x:c r="I6343" s="87"/>
      <x:c r="J6343" s="87" t="str">
        <x:v>964</x:v>
      </x:c>
      <x:c r="K6343" s="87" t="n">
        <x:v>10</x:v>
      </x:c>
      <x:c r="L6343" s="87" t="str">
        <x:v>Смеси и концентрации</x:v>
      </x:c>
      <x:c r="M6343" s="30" t="str">
        <x:v>Смешали 2 кг 12%-го раствора кислоты и 4 кг 20%-го раствора той же кислоты, а затем добавили несколько кг воды. В результате получился 13%-й раствор кислоты. Сколько кг воды было добавлено?</x:v>
      </x:c>
      <x:c r="N6343" s="30" t="str">
        <x:v>2</x:v>
      </x:c>
      <x:c r="O6343" s="30" t="str">
        <x:v>Составлен баланс массы чистой кислоты до и после добавления воды.</x:v>
      </x:c>
      <x:c r="P6343" s="30"/>
      <x:c r="Q6343" s="30" t="str">
        <x:v>Независимый расчёт и визуальная сверка исходной страницы.</x:v>
      </x:c>
      <x:c r="R6343" s="30" t="str">
        <x:v>2</x:v>
      </x:c>
      <x:c r="S6343" s="30"/>
      <x:c r="T6343" s="30"/>
      <x:c r="U6343" s="30" t="str">
        <x:v>Ответник совпадает с независимой проверкой.</x:v>
      </x:c>
      <x:c r="V6343" s="87" t="str">
        <x:v>VERIFIED</x:v>
      </x:c>
      <x:c r="W6343" s="87"/>
      <x:c r="X6343" s="87" t="n">
        <x:v>3</x:v>
      </x:c>
      <x:c r="Y6343" s="87"/>
      <x:c r="Z6343" s="87"/>
      <x:c r="AA6343" s="87"/>
      <x:c r="AB6343" s="87"/>
      <x:c r="AC6343" s="87" t="str">
        <x:v>VIS-EGKR-MATHP-S26-TASK-964-P003</x:v>
      </x:c>
      <x:c r="AD6343" s="87" t="str">
        <x:v>VIS-EGKR-MATHP-S26-ANSWERDOC-P001</x:v>
      </x:c>
      <x:c r="AE6343" s="87" t="str">
        <x:v>TASK; SECONDARY_ANSWER_AND_SOLUTION_SOURCE</x:v>
      </x:c>
      <x:c r="AF6343" s="87" t="str">
        <x:v>VIS-EGKR-MATHP-S26-TASK-964-P003: 3; VIS-EGKR-MATHP-S26-ANSWERDOC-P001: 1</x:v>
      </x:c>
      <x:c r="AG6343" s="87" t="str">
        <x:v>RESOLVED</x:v>
      </x:c>
      <x:c r="AH6343" s="87" t="str">
        <x:v>CROP_VERIFIED</x:v>
      </x:c>
      <x:c r="AI6343" s="30"/>
      <x:c r="AJ6343" s="87" t="str">
        <x:v>clean</x:v>
      </x:c>
      <x:c r="AK6343" s="87" t="str">
        <x:v>clean-v0.22</x:v>
      </x:c>
      <x:c r="AL6343" s="87" t="str">
        <x:v>statgrad_clean_continuation_v0_22(1).xlsx</x:v>
      </x:c>
      <x:c r="AM6343" s="87" t="str">
        <x:v>MATHP_S26_964</x:v>
      </x:c>
      <x:c r="AN6343" s="87" t="n">
        <x:v>11</x:v>
      </x:c>
    </x:row>
    <x:row r="6344">
      <x:c r="A6344" s="87" t="n">
        <x:v>6343</x:v>
      </x:c>
      <x:c r="B6344" s="87" t="str">
        <x:v>EGKR-S26-MATHP-964-11</x:v>
      </x:c>
      <x:c r="C6344" s="87" t="str">
        <x:v>ЕГКР</x:v>
      </x:c>
      <x:c r="D6344" s="87"/>
      <x:c r="E6344" s="87" t="str">
        <x:v>Весна 2026</x:v>
      </x:c>
      <x:c r="F6344" s="87" t="str">
        <x:v>07.04.2026</x:v>
      </x:c>
      <x:c r="G6344" s="87" t="str">
        <x:v>Математика (профиль)</x:v>
      </x:c>
      <x:c r="H6344" s="87" t="n">
        <x:v>11</x:v>
      </x:c>
      <x:c r="I6344" s="87"/>
      <x:c r="J6344" s="87" t="str">
        <x:v>964</x:v>
      </x:c>
      <x:c r="K6344" s="87" t="n">
        <x:v>11</x:v>
      </x:c>
      <x:c r="L6344" s="87" t="str">
        <x:v>Линейные функции</x:v>
      </x:c>
      <x:c r="M6344" s="30" t="str">
        <x:v>По двум графикам линейных функций с отмеченными целочисленными точками найти абсциссу точки их пересечения.</x:v>
      </x:c>
      <x:c r="N6344" s="30" t="str">
        <x:v>-0,75</x:v>
      </x:c>
      <x:c r="O6344" s="30" t="str">
        <x:v>По отмеченным точкам составлены уравнения обеих прямых и найдена абсцисса их пересечения.</x:v>
      </x:c>
      <x:c r="P6344" s="30"/>
      <x:c r="Q6344" s="30" t="str">
        <x:v>Независимый расчёт и визуальная сверка исходной страницы.</x:v>
      </x:c>
      <x:c r="R6344" s="30" t="str">
        <x:v>-0,75</x:v>
      </x:c>
      <x:c r="S6344" s="30"/>
      <x:c r="T6344" s="30"/>
      <x:c r="U6344" s="30" t="str">
        <x:v>Ответник совпадает с независимой проверкой.</x:v>
      </x:c>
      <x:c r="V6344" s="87" t="str">
        <x:v>VERIFIED</x:v>
      </x:c>
      <x:c r="W6344" s="87"/>
      <x:c r="X6344" s="87" t="n">
        <x:v>4</x:v>
      </x:c>
      <x:c r="Y6344" s="87"/>
      <x:c r="Z6344" s="87"/>
      <x:c r="AA6344" s="87"/>
      <x:c r="AB6344" s="87"/>
      <x:c r="AC6344" s="87" t="str">
        <x:v>VIS-EGKR-MATHP-S26-TASK-964-P004</x:v>
      </x:c>
      <x:c r="AD6344" s="87" t="str">
        <x:v>VIS-EGKR-MATHP-S26-ANSWERDOC-P001</x:v>
      </x:c>
      <x:c r="AE6344" s="87" t="str">
        <x:v>TASK; SECONDARY_ANSWER_AND_SOLUTION_SOURCE</x:v>
      </x:c>
      <x:c r="AF6344" s="87" t="str">
        <x:v>VIS-EGKR-MATHP-S26-TASK-964-P004: 4; VIS-EGKR-MATHP-S26-ANSWERDOC-P001: 1</x:v>
      </x:c>
      <x:c r="AG6344" s="87" t="str">
        <x:v>RESOLVED</x:v>
      </x:c>
      <x:c r="AH6344" s="87" t="str">
        <x:v>CROP_VERIFIED</x:v>
      </x:c>
      <x:c r="AI6344" s="30"/>
      <x:c r="AJ6344" s="87" t="str">
        <x:v>clean</x:v>
      </x:c>
      <x:c r="AK6344" s="87" t="str">
        <x:v>clean-v0.22</x:v>
      </x:c>
      <x:c r="AL6344" s="87" t="str">
        <x:v>statgrad_clean_continuation_v0_22(1).xlsx</x:v>
      </x:c>
      <x:c r="AM6344" s="87" t="str">
        <x:v>MATHP_S26_964</x:v>
      </x:c>
      <x:c r="AN6344" s="87" t="n">
        <x:v>12</x:v>
      </x:c>
    </x:row>
    <x:row r="6345">
      <x:c r="A6345" s="87" t="n">
        <x:v>6344</x:v>
      </x:c>
      <x:c r="B6345" s="87" t="str">
        <x:v>EGKR-S26-MATHP-964-12</x:v>
      </x:c>
      <x:c r="C6345" s="87" t="str">
        <x:v>ЕГКР</x:v>
      </x:c>
      <x:c r="D6345" s="87"/>
      <x:c r="E6345" s="87" t="str">
        <x:v>Весна 2026</x:v>
      </x:c>
      <x:c r="F6345" s="87" t="str">
        <x:v>07.04.2026</x:v>
      </x:c>
      <x:c r="G6345" s="87" t="str">
        <x:v>Математика (профиль)</x:v>
      </x:c>
      <x:c r="H6345" s="87" t="n">
        <x:v>11</x:v>
      </x:c>
      <x:c r="I6345" s="87"/>
      <x:c r="J6345" s="87" t="str">
        <x:v>964</x:v>
      </x:c>
      <x:c r="K6345" s="87" t="n">
        <x:v>12</x:v>
      </x:c>
      <x:c r="L6345" s="87" t="str">
        <x:v>Минимум показательной функции</x:v>
      </x:c>
      <x:c r="M6345" s="30" t="str">
        <x:v>Найти наименьшее значение функции y=5^(x²+16x+66) на отрезке [−10;10].</x:v>
      </x:c>
      <x:c r="N6345" s="30" t="str">
        <x:v>25</x:v>
      </x:c>
      <x:c r="O6345" s="30" t="str">
        <x:v>Минимизован квадратный трёхчлен в показателе степени.</x:v>
      </x:c>
      <x:c r="P6345" s="30"/>
      <x:c r="Q6345" s="30" t="str">
        <x:v>Независимый расчёт и визуальная сверка исходной страницы.</x:v>
      </x:c>
      <x:c r="R6345" s="30" t="str">
        <x:v>25</x:v>
      </x:c>
      <x:c r="S6345" s="30"/>
      <x:c r="T6345" s="30"/>
      <x:c r="U6345" s="30" t="str">
        <x:v>Ответник совпадает с независимой проверкой.</x:v>
      </x:c>
      <x:c r="V6345" s="87" t="str">
        <x:v>VERIFIED</x:v>
      </x:c>
      <x:c r="W6345" s="87"/>
      <x:c r="X6345" s="87" t="n">
        <x:v>4</x:v>
      </x:c>
      <x:c r="Y6345" s="87"/>
      <x:c r="Z6345" s="87"/>
      <x:c r="AA6345" s="87"/>
      <x:c r="AB6345" s="87"/>
      <x:c r="AC6345" s="87" t="str">
        <x:v>VIS-EGKR-MATHP-S26-TASK-964-P004</x:v>
      </x:c>
      <x:c r="AD6345" s="87" t="str">
        <x:v>VIS-EGKR-MATHP-S26-ANSWERDOC-P001</x:v>
      </x:c>
      <x:c r="AE6345" s="87" t="str">
        <x:v>TASK; SECONDARY_ANSWER_AND_SOLUTION_SOURCE</x:v>
      </x:c>
      <x:c r="AF6345" s="87" t="str">
        <x:v>VIS-EGKR-MATHP-S26-TASK-964-P004: 4; VIS-EGKR-MATHP-S26-ANSWERDOC-P001: 1</x:v>
      </x:c>
      <x:c r="AG6345" s="87" t="str">
        <x:v>RESOLVED</x:v>
      </x:c>
      <x:c r="AH6345" s="87" t="str">
        <x:v>CROP_VERIFIED</x:v>
      </x:c>
      <x:c r="AI6345" s="30"/>
      <x:c r="AJ6345" s="87" t="str">
        <x:v>clean</x:v>
      </x:c>
      <x:c r="AK6345" s="87" t="str">
        <x:v>clean-v0.22</x:v>
      </x:c>
      <x:c r="AL6345" s="87" t="str">
        <x:v>statgrad_clean_continuation_v0_22(1).xlsx</x:v>
      </x:c>
      <x:c r="AM6345" s="87" t="str">
        <x:v>MATHP_S26_964</x:v>
      </x:c>
      <x:c r="AN6345" s="87" t="n">
        <x:v>13</x:v>
      </x:c>
    </x:row>
    <x:row r="6346">
      <x:c r="A6346" s="87" t="n">
        <x:v>6345</x:v>
      </x:c>
      <x:c r="B6346" s="87" t="str">
        <x:v>EGKR-S26-MATHP-964-13</x:v>
      </x:c>
      <x:c r="C6346" s="87" t="str">
        <x:v>ЕГКР</x:v>
      </x:c>
      <x:c r="D6346" s="87"/>
      <x:c r="E6346" s="87" t="str">
        <x:v>Весна 2026</x:v>
      </x:c>
      <x:c r="F6346" s="87" t="str">
        <x:v>07.04.2026</x:v>
      </x:c>
      <x:c r="G6346" s="87" t="str">
        <x:v>Математика (профиль)</x:v>
      </x:c>
      <x:c r="H6346" s="87" t="n">
        <x:v>11</x:v>
      </x:c>
      <x:c r="I6346" s="87"/>
      <x:c r="J6346" s="87" t="str">
        <x:v>964</x:v>
      </x:c>
      <x:c r="K6346" s="87" t="n">
        <x:v>13</x:v>
      </x:c>
      <x:c r="L6346" s="87" t="str">
        <x:v>Развёрнутый ответ</x:v>
      </x:c>
      <x:c r="M6346" s="30" t="str">
        <x:v>sin x − √2·sin(3π/2+x/2)=0; найти корни на [9π;12π].</x:v>
      </x:c>
      <x:c r="N6346" s="30" t="str">
        <x:v>Общие решения: x=π+2πk; x=−π/2+4πk; x=5π/2+4πk. На отрезке: 9π; 21π/2; 11π; 23π/2.</x:v>
      </x:c>
      <x:c r="O6346" s="30" t="str">
        <x:v>Модель содержит ключевую идею, преобразования и итог.</x:v>
      </x:c>
      <x:c r="P6346" s="30"/>
      <x:c r="Q6346" s="30" t="str">
        <x:v>Независимое решение; для варианта 959 дополнительно сверено с полным опубликованным разбором.</x:v>
      </x:c>
      <x:c r="R6346" s="30" t="str">
        <x:v>PARTIAL_MODEL_OR_NOT_PROVIDED</x:v>
      </x:c>
      <x:c r="S6346" s="30"/>
      <x:c r="T6346" s="30"/>
      <x:c r="U6346" s="30" t="str">
        <x:v>Локальные рукописные решения использованы только как вторичный аудируемый источник.</x:v>
      </x:c>
      <x:c r="V6346" s="87" t="str">
        <x:v>VERIFIED</x:v>
      </x:c>
      <x:c r="W6346" s="87"/>
      <x:c r="X6346" s="87" t="n">
        <x:v>5</x:v>
      </x:c>
      <x:c r="Y6346" s="87"/>
      <x:c r="Z6346" s="87"/>
      <x:c r="AA6346" s="87"/>
      <x:c r="AB6346" s="87"/>
      <x:c r="AC6346" s="87" t="str">
        <x:v>VIS-EGKR-MATHP-S26-TASK-964-P005</x:v>
      </x:c>
      <x:c r="AD6346" s="87"/>
      <x:c r="AE6346" s="87" t="str">
        <x:v>TASK</x:v>
      </x:c>
      <x:c r="AF6346" s="87" t="str">
        <x:v>VIS-EGKR-MATHP-S26-TASK-964-P005: 5</x:v>
      </x:c>
      <x:c r="AG6346" s="87" t="str">
        <x:v>RESOLVED</x:v>
      </x:c>
      <x:c r="AH6346" s="87" t="str">
        <x:v>CROP_VERIFIED</x:v>
      </x:c>
      <x:c r="AI6346" s="30"/>
      <x:c r="AJ6346" s="87" t="str">
        <x:v>clean</x:v>
      </x:c>
      <x:c r="AK6346" s="87" t="str">
        <x:v>clean-v0.22</x:v>
      </x:c>
      <x:c r="AL6346" s="87" t="str">
        <x:v>statgrad_clean_continuation_v0_22(1).xlsx</x:v>
      </x:c>
      <x:c r="AM6346" s="87" t="str">
        <x:v>MATHP_S26_964</x:v>
      </x:c>
      <x:c r="AN6346" s="87" t="n">
        <x:v>14</x:v>
      </x:c>
    </x:row>
    <x:row r="6347">
      <x:c r="A6347" s="87" t="n">
        <x:v>6346</x:v>
      </x:c>
      <x:c r="B6347" s="87" t="str">
        <x:v>EGKR-S26-MATHP-964-14</x:v>
      </x:c>
      <x:c r="C6347" s="87" t="str">
        <x:v>ЕГКР</x:v>
      </x:c>
      <x:c r="D6347" s="87"/>
      <x:c r="E6347" s="87" t="str">
        <x:v>Весна 2026</x:v>
      </x:c>
      <x:c r="F6347" s="87" t="str">
        <x:v>07.04.2026</x:v>
      </x:c>
      <x:c r="G6347" s="87" t="str">
        <x:v>Математика (профиль)</x:v>
      </x:c>
      <x:c r="H6347" s="87" t="n">
        <x:v>11</x:v>
      </x:c>
      <x:c r="I6347" s="87"/>
      <x:c r="J6347" s="87" t="str">
        <x:v>964</x:v>
      </x:c>
      <x:c r="K6347" s="87" t="n">
        <x:v>14</x:v>
      </x:c>
      <x:c r="L6347" s="87" t="str">
        <x:v>Развёрнутый ответ</x:v>
      </x:c>
      <x:c r="M6347" s="30" t="str">
        <x:v>Конус: доказать равенство двух углов и найти высоту при AC=20, BC=12, угол 60°.</x:v>
      </x:c>
      <x:c r="N6347" s="30" t="str">
        <x:v>Проекции и перпендикуляры к хорде сводят оба угла к одному прямоугольному треугольнику. Высота h=(√3/2)√(AC²−BC²)=8√3.</x:v>
      </x:c>
      <x:c r="O6347" s="30" t="str">
        <x:v>Модель содержит ключевую идею, преобразования и итог.</x:v>
      </x:c>
      <x:c r="P6347" s="30"/>
      <x:c r="Q6347" s="30" t="str">
        <x:v>Независимое решение; для варианта 959 дополнительно сверено с полным опубликованным разбором.</x:v>
      </x:c>
      <x:c r="R6347" s="30" t="str">
        <x:v>PARTIAL_MODEL_OR_NOT_PROVIDED</x:v>
      </x:c>
      <x:c r="S6347" s="30"/>
      <x:c r="T6347" s="30"/>
      <x:c r="U6347" s="30" t="str">
        <x:v>Локальные рукописные решения использованы только как вторичный аудируемый источник.</x:v>
      </x:c>
      <x:c r="V6347" s="87" t="str">
        <x:v>VERIFIED</x:v>
      </x:c>
      <x:c r="W6347" s="87"/>
      <x:c r="X6347" s="87" t="n">
        <x:v>5</x:v>
      </x:c>
      <x:c r="Y6347" s="87"/>
      <x:c r="Z6347" s="87"/>
      <x:c r="AA6347" s="87"/>
      <x:c r="AB6347" s="87"/>
      <x:c r="AC6347" s="87" t="str">
        <x:v>VIS-EGKR-MATHP-S26-TASK-964-P005</x:v>
      </x:c>
      <x:c r="AD6347" s="87"/>
      <x:c r="AE6347" s="87" t="str">
        <x:v>TASK</x:v>
      </x:c>
      <x:c r="AF6347" s="87" t="str">
        <x:v>VIS-EGKR-MATHP-S26-TASK-964-P005: 5</x:v>
      </x:c>
      <x:c r="AG6347" s="87" t="str">
        <x:v>RESOLVED</x:v>
      </x:c>
      <x:c r="AH6347" s="87" t="str">
        <x:v>CROP_VERIFIED</x:v>
      </x:c>
      <x:c r="AI6347" s="30"/>
      <x:c r="AJ6347" s="87" t="str">
        <x:v>clean</x:v>
      </x:c>
      <x:c r="AK6347" s="87" t="str">
        <x:v>clean-v0.22</x:v>
      </x:c>
      <x:c r="AL6347" s="87" t="str">
        <x:v>statgrad_clean_continuation_v0_22(1).xlsx</x:v>
      </x:c>
      <x:c r="AM6347" s="87" t="str">
        <x:v>MATHP_S26_964</x:v>
      </x:c>
      <x:c r="AN6347" s="87" t="n">
        <x:v>15</x:v>
      </x:c>
    </x:row>
    <x:row r="6348">
      <x:c r="A6348" s="87" t="n">
        <x:v>6347</x:v>
      </x:c>
      <x:c r="B6348" s="87" t="str">
        <x:v>EGKR-S26-MATHP-964-15</x:v>
      </x:c>
      <x:c r="C6348" s="87" t="str">
        <x:v>ЕГКР</x:v>
      </x:c>
      <x:c r="D6348" s="87"/>
      <x:c r="E6348" s="87" t="str">
        <x:v>Весна 2026</x:v>
      </x:c>
      <x:c r="F6348" s="87" t="str">
        <x:v>07.04.2026</x:v>
      </x:c>
      <x:c r="G6348" s="87" t="str">
        <x:v>Математика (профиль)</x:v>
      </x:c>
      <x:c r="H6348" s="87" t="n">
        <x:v>11</x:v>
      </x:c>
      <x:c r="I6348" s="87"/>
      <x:c r="J6348" s="87" t="str">
        <x:v>964</x:v>
      </x:c>
      <x:c r="K6348" s="87" t="n">
        <x:v>15</x:v>
      </x:c>
      <x:c r="L6348" s="87" t="str">
        <x:v>Развёрнутый ответ</x:v>
      </x:c>
      <x:c r="M6348" s="30" t="str">
        <x:v>Решить логарифмическое неравенство задания 15.</x:v>
      </x:c>
      <x:c r="N6348" s="30" t="str">
        <x:v>После перехода к одной логарифмической переменной, учёта ОДЗ и метода интервалов получено: (0;2).</x:v>
      </x:c>
      <x:c r="O6348" s="30" t="str">
        <x:v>Модель содержит ключевую идею, преобразования и итог.</x:v>
      </x:c>
      <x:c r="P6348" s="30"/>
      <x:c r="Q6348" s="30" t="str">
        <x:v>Независимое решение; для варианта 959 дополнительно сверено с полным опубликованным разбором.</x:v>
      </x:c>
      <x:c r="R6348" s="30" t="str">
        <x:v>PARTIAL_MODEL_OR_NOT_PROVIDED</x:v>
      </x:c>
      <x:c r="S6348" s="30"/>
      <x:c r="T6348" s="30"/>
      <x:c r="U6348" s="30" t="str">
        <x:v>Локальные рукописные решения использованы только как вторичный аудируемый источник.</x:v>
      </x:c>
      <x:c r="V6348" s="87" t="str">
        <x:v>VERIFIED</x:v>
      </x:c>
      <x:c r="W6348" s="87"/>
      <x:c r="X6348" s="87" t="n">
        <x:v>5</x:v>
      </x:c>
      <x:c r="Y6348" s="87"/>
      <x:c r="Z6348" s="87"/>
      <x:c r="AA6348" s="87"/>
      <x:c r="AB6348" s="87"/>
      <x:c r="AC6348" s="87" t="str">
        <x:v>VIS-EGKR-MATHP-S26-TASK-964-P005</x:v>
      </x:c>
      <x:c r="AD6348" s="87"/>
      <x:c r="AE6348" s="87" t="str">
        <x:v>TASK</x:v>
      </x:c>
      <x:c r="AF6348" s="87" t="str">
        <x:v>VIS-EGKR-MATHP-S26-TASK-964-P005: 5</x:v>
      </x:c>
      <x:c r="AG6348" s="87" t="str">
        <x:v>RESOLVED</x:v>
      </x:c>
      <x:c r="AH6348" s="87" t="str">
        <x:v>CROP_VERIFIED</x:v>
      </x:c>
      <x:c r="AI6348" s="30"/>
      <x:c r="AJ6348" s="87" t="str">
        <x:v>clean</x:v>
      </x:c>
      <x:c r="AK6348" s="87" t="str">
        <x:v>clean-v0.22</x:v>
      </x:c>
      <x:c r="AL6348" s="87" t="str">
        <x:v>statgrad_clean_continuation_v0_22(1).xlsx</x:v>
      </x:c>
      <x:c r="AM6348" s="87" t="str">
        <x:v>MATHP_S26_964</x:v>
      </x:c>
      <x:c r="AN6348" s="87" t="n">
        <x:v>16</x:v>
      </x:c>
    </x:row>
    <x:row r="6349">
      <x:c r="A6349" s="87" t="n">
        <x:v>6348</x:v>
      </x:c>
      <x:c r="B6349" s="87" t="str">
        <x:v>EGKR-S26-MATHP-964-16</x:v>
      </x:c>
      <x:c r="C6349" s="87" t="str">
        <x:v>ЕГКР</x:v>
      </x:c>
      <x:c r="D6349" s="87"/>
      <x:c r="E6349" s="87" t="str">
        <x:v>Весна 2026</x:v>
      </x:c>
      <x:c r="F6349" s="87" t="str">
        <x:v>07.04.2026</x:v>
      </x:c>
      <x:c r="G6349" s="87" t="str">
        <x:v>Математика (профиль)</x:v>
      </x:c>
      <x:c r="H6349" s="87" t="n">
        <x:v>11</x:v>
      </x:c>
      <x:c r="I6349" s="87"/>
      <x:c r="J6349" s="87" t="str">
        <x:v>964</x:v>
      </x:c>
      <x:c r="K6349" s="87" t="n">
        <x:v>16</x:v>
      </x:c>
      <x:c r="L6349" s="87" t="str">
        <x:v>Развёрнутый ответ</x:v>
      </x:c>
      <x:c r="M6349" s="30" t="str">
        <x:v>Кредит: ежегодный платёж 29 282 ₽ при сроке 4 года либо 53 482 ₽ при сроке 2 года; найти процент r.</x:v>
      </x:c>
      <x:c r="N6349" s="30" t="str">
        <x:v>Для коэффициента q=1+r/100 из двух схем платежей следует q²=A₄/(A₂−A₄). Получено q=1.1, поэтому r=10%.</x:v>
      </x:c>
      <x:c r="O6349" s="30" t="str">
        <x:v>Модель содержит ключевую идею, преобразования и итог.</x:v>
      </x:c>
      <x:c r="P6349" s="30"/>
      <x:c r="Q6349" s="30" t="str">
        <x:v>Независимое решение; для варианта 959 дополнительно сверено с полным опубликованным разбором.</x:v>
      </x:c>
      <x:c r="R6349" s="30" t="str">
        <x:v>PARTIAL_MODEL_OR_NOT_PROVIDED</x:v>
      </x:c>
      <x:c r="S6349" s="30"/>
      <x:c r="T6349" s="30"/>
      <x:c r="U6349" s="30" t="str">
        <x:v>Локальные рукописные решения использованы только как вторичный аудируемый источник.</x:v>
      </x:c>
      <x:c r="V6349" s="87" t="str">
        <x:v>VERIFIED</x:v>
      </x:c>
      <x:c r="W6349" s="87"/>
      <x:c r="X6349" s="87" t="n">
        <x:v>5</x:v>
      </x:c>
      <x:c r="Y6349" s="87"/>
      <x:c r="Z6349" s="87"/>
      <x:c r="AA6349" s="87"/>
      <x:c r="AB6349" s="87"/>
      <x:c r="AC6349" s="87" t="str">
        <x:v>VIS-EGKR-MATHP-S26-TASK-964-P005</x:v>
      </x:c>
      <x:c r="AD6349" s="87"/>
      <x:c r="AE6349" s="87" t="str">
        <x:v>TASK</x:v>
      </x:c>
      <x:c r="AF6349" s="87" t="str">
        <x:v>VIS-EGKR-MATHP-S26-TASK-964-P005: 5</x:v>
      </x:c>
      <x:c r="AG6349" s="87" t="str">
        <x:v>RESOLVED</x:v>
      </x:c>
      <x:c r="AH6349" s="87" t="str">
        <x:v>CROP_VERIFIED</x:v>
      </x:c>
      <x:c r="AI6349" s="30"/>
      <x:c r="AJ6349" s="87" t="str">
        <x:v>clean</x:v>
      </x:c>
      <x:c r="AK6349" s="87" t="str">
        <x:v>clean-v0.22</x:v>
      </x:c>
      <x:c r="AL6349" s="87" t="str">
        <x:v>statgrad_clean_continuation_v0_22(1).xlsx</x:v>
      </x:c>
      <x:c r="AM6349" s="87" t="str">
        <x:v>MATHP_S26_964</x:v>
      </x:c>
      <x:c r="AN6349" s="87" t="n">
        <x:v>17</x:v>
      </x:c>
    </x:row>
    <x:row r="6350">
      <x:c r="A6350" s="87" t="n">
        <x:v>6349</x:v>
      </x:c>
      <x:c r="B6350" s="87" t="str">
        <x:v>EGKR-S26-MATHP-964-17</x:v>
      </x:c>
      <x:c r="C6350" s="87" t="str">
        <x:v>ЕГКР</x:v>
      </x:c>
      <x:c r="D6350" s="87"/>
      <x:c r="E6350" s="87" t="str">
        <x:v>Весна 2026</x:v>
      </x:c>
      <x:c r="F6350" s="87" t="str">
        <x:v>07.04.2026</x:v>
      </x:c>
      <x:c r="G6350" s="87" t="str">
        <x:v>Математика (профиль)</x:v>
      </x:c>
      <x:c r="H6350" s="87" t="n">
        <x:v>11</x:v>
      </x:c>
      <x:c r="I6350" s="87"/>
      <x:c r="J6350" s="87" t="str">
        <x:v>964</x:v>
      </x:c>
      <x:c r="K6350" s="87" t="n">
        <x:v>17</x:v>
      </x:c>
      <x:c r="L6350" s="87" t="str">
        <x:v>Развёрнутый ответ</x:v>
      </x:c>
      <x:c r="M6350" s="30" t="str">
        <x:v>Окружность пересекает стороны прямоугольного треугольника; доказать подобие и найти площадь CKMB при R=2√14, AC=14, BC=12.</x:v>
      </x:c>
      <x:c r="N6350" s="30" t="str">
        <x:v>По равенству вписанных углов △AKM∼△ABC. Затем CK=√((2R)²−BC²), AK=AC−CK, AB²=AC²+BC², а S_CKMB=(AC·BC/2)·(1−AK²/AB²). Ответ: (1344+2352√5)/85.</x:v>
      </x:c>
      <x:c r="O6350" s="30" t="str">
        <x:v>Модель содержит ключевую идею, преобразования и итог.</x:v>
      </x:c>
      <x:c r="P6350" s="30"/>
      <x:c r="Q6350" s="30" t="str">
        <x:v>Независимое решение; для варианта 959 дополнительно сверено с полным опубликованным разбором.</x:v>
      </x:c>
      <x:c r="R6350" s="30" t="str">
        <x:v>PARTIAL_MODEL_OR_NOT_PROVIDED</x:v>
      </x:c>
      <x:c r="S6350" s="30"/>
      <x:c r="T6350" s="30"/>
      <x:c r="U6350" s="30" t="str">
        <x:v>Локальные рукописные решения использованы только как вторичный аудируемый источник.</x:v>
      </x:c>
      <x:c r="V6350" s="87" t="str">
        <x:v>VERIFIED</x:v>
      </x:c>
      <x:c r="W6350" s="87"/>
      <x:c r="X6350" s="87" t="n">
        <x:v>5</x:v>
      </x:c>
      <x:c r="Y6350" s="87"/>
      <x:c r="Z6350" s="87"/>
      <x:c r="AA6350" s="87"/>
      <x:c r="AB6350" s="87"/>
      <x:c r="AC6350" s="87" t="str">
        <x:v>VIS-EGKR-MATHP-S26-TASK-964-P005</x:v>
      </x:c>
      <x:c r="AD6350" s="87"/>
      <x:c r="AE6350" s="87" t="str">
        <x:v>TASK</x:v>
      </x:c>
      <x:c r="AF6350" s="87" t="str">
        <x:v>VIS-EGKR-MATHP-S26-TASK-964-P005: 5</x:v>
      </x:c>
      <x:c r="AG6350" s="87" t="str">
        <x:v>RESOLVED</x:v>
      </x:c>
      <x:c r="AH6350" s="87" t="str">
        <x:v>CROP_VERIFIED</x:v>
      </x:c>
      <x:c r="AI6350" s="30"/>
      <x:c r="AJ6350" s="87" t="str">
        <x:v>clean</x:v>
      </x:c>
      <x:c r="AK6350" s="87" t="str">
        <x:v>clean-v0.22</x:v>
      </x:c>
      <x:c r="AL6350" s="87" t="str">
        <x:v>statgrad_clean_continuation_v0_22(1).xlsx</x:v>
      </x:c>
      <x:c r="AM6350" s="87" t="str">
        <x:v>MATHP_S26_964</x:v>
      </x:c>
      <x:c r="AN6350" s="87" t="n">
        <x:v>18</x:v>
      </x:c>
    </x:row>
    <x:row r="6351">
      <x:c r="A6351" s="87" t="n">
        <x:v>6350</x:v>
      </x:c>
      <x:c r="B6351" s="87" t="str">
        <x:v>EGKR-S26-MATHP-964-18</x:v>
      </x:c>
      <x:c r="C6351" s="87" t="str">
        <x:v>ЕГКР</x:v>
      </x:c>
      <x:c r="D6351" s="87"/>
      <x:c r="E6351" s="87" t="str">
        <x:v>Весна 2026</x:v>
      </x:c>
      <x:c r="F6351" s="87" t="str">
        <x:v>07.04.2026</x:v>
      </x:c>
      <x:c r="G6351" s="87" t="str">
        <x:v>Математика (профиль)</x:v>
      </x:c>
      <x:c r="H6351" s="87" t="n">
        <x:v>11</x:v>
      </x:c>
      <x:c r="I6351" s="87"/>
      <x:c r="J6351" s="87" t="str">
        <x:v>964</x:v>
      </x:c>
      <x:c r="K6351" s="87" t="n">
        <x:v>18</x:v>
      </x:c>
      <x:c r="L6351" s="87" t="str">
        <x:v>Развёрнутый ответ</x:v>
      </x:c>
      <x:c r="M6351" s="30" t="str">
        <x:v>Найти параметры a, при которых заданное кубическое соотношение определяет функцию y=f(x) для всех действительных x.</x:v>
      </x:c>
      <x:c r="N6351" s="30" t="str">
        <x:v>Требуется взаимно-однозначная монотонность кубического многочлена по y. Исследование производной и условие неположительности её дискриминанта дают: решений нет (∅).</x:v>
      </x:c>
      <x:c r="O6351" s="30" t="str">
        <x:v>Модель содержит ключевую идею, преобразования и итог.</x:v>
      </x:c>
      <x:c r="P6351" s="30"/>
      <x:c r="Q6351" s="30" t="str">
        <x:v>Независимое решение; для варианта 959 дополнительно сверено с полным опубликованным разбором.</x:v>
      </x:c>
      <x:c r="R6351" s="30" t="str">
        <x:v>PARTIAL_MODEL_OR_NOT_PROVIDED</x:v>
      </x:c>
      <x:c r="S6351" s="30"/>
      <x:c r="T6351" s="30"/>
      <x:c r="U6351" s="30" t="str">
        <x:v>Локальные рукописные решения использованы только как вторичный аудируемый источник.</x:v>
      </x:c>
      <x:c r="V6351" s="87" t="str">
        <x:v>VERIFIED</x:v>
      </x:c>
      <x:c r="W6351" s="87"/>
      <x:c r="X6351" s="87" t="n">
        <x:v>6</x:v>
      </x:c>
      <x:c r="Y6351" s="87"/>
      <x:c r="Z6351" s="87"/>
      <x:c r="AA6351" s="87"/>
      <x:c r="AB6351" s="87"/>
      <x:c r="AC6351" s="87" t="str">
        <x:v>VIS-EGKR-MATHP-S26-TASK-964-P006</x:v>
      </x:c>
      <x:c r="AD6351" s="87"/>
      <x:c r="AE6351" s="87" t="str">
        <x:v>TASK</x:v>
      </x:c>
      <x:c r="AF6351" s="87" t="str">
        <x:v>VIS-EGKR-MATHP-S26-TASK-964-P006: 6</x:v>
      </x:c>
      <x:c r="AG6351" s="87" t="str">
        <x:v>RESOLVED</x:v>
      </x:c>
      <x:c r="AH6351" s="87" t="str">
        <x:v>CROP_VERIFIED</x:v>
      </x:c>
      <x:c r="AI6351" s="30"/>
      <x:c r="AJ6351" s="87" t="str">
        <x:v>clean</x:v>
      </x:c>
      <x:c r="AK6351" s="87" t="str">
        <x:v>clean-v0.22</x:v>
      </x:c>
      <x:c r="AL6351" s="87" t="str">
        <x:v>statgrad_clean_continuation_v0_22(1).xlsx</x:v>
      </x:c>
      <x:c r="AM6351" s="87" t="str">
        <x:v>MATHP_S26_964</x:v>
      </x:c>
      <x:c r="AN6351" s="87" t="n">
        <x:v>19</x:v>
      </x:c>
    </x:row>
    <x:row r="6352">
      <x:c r="A6352" s="87" t="n">
        <x:v>6351</x:v>
      </x:c>
      <x:c r="B6352" s="87" t="str">
        <x:v>EGKR-S26-MATHP-964-19</x:v>
      </x:c>
      <x:c r="C6352" s="87" t="str">
        <x:v>ЕГКР</x:v>
      </x:c>
      <x:c r="D6352" s="87"/>
      <x:c r="E6352" s="87" t="str">
        <x:v>Весна 2026</x:v>
      </x:c>
      <x:c r="F6352" s="87" t="str">
        <x:v>07.04.2026</x:v>
      </x:c>
      <x:c r="G6352" s="87" t="str">
        <x:v>Математика (профиль)</x:v>
      </x:c>
      <x:c r="H6352" s="87" t="n">
        <x:v>11</x:v>
      </x:c>
      <x:c r="I6352" s="87"/>
      <x:c r="J6352" s="87" t="str">
        <x:v>964</x:v>
      </x:c>
      <x:c r="K6352" s="87" t="n">
        <x:v>19</x:v>
      </x:c>
      <x:c r="L6352" s="87" t="str">
        <x:v>Развёрнутый ответ</x:v>
      </x:c>
      <x:c r="M6352" s="30" t="str">
        <x:v>Игра с произведениями различных натуральных чисел из диапазона 16–85 и чисел, увеличенных на единицу.</x:v>
      </x:c>
      <x:c r="N6352" s="30" t="str">
        <x:v>Отношение произведений равно ∏(aᵢ+1)/aᵢ. Телескопические наборы последовательных чисел реализуют допустимые целые множители, а верхняя оценка следует из крайних значений. Итоги: а) да, в 4 раза; б) нет, в 6 раз; в) максимум 5.</x:v>
      </x:c>
      <x:c r="O6352" s="30" t="str">
        <x:v>Модель содержит ключевую идею, преобразования и итог.</x:v>
      </x:c>
      <x:c r="P6352" s="30"/>
      <x:c r="Q6352" s="30" t="str">
        <x:v>Независимое решение; для варианта 959 дополнительно сверено с полным опубликованным разбором.</x:v>
      </x:c>
      <x:c r="R6352" s="30" t="str">
        <x:v>PARTIAL_MODEL_OR_NOT_PROVIDED</x:v>
      </x:c>
      <x:c r="S6352" s="30"/>
      <x:c r="T6352" s="30"/>
      <x:c r="U6352" s="30" t="str">
        <x:v>Локальные рукописные решения использованы только как вторичный аудируемый источник.</x:v>
      </x:c>
      <x:c r="V6352" s="87" t="str">
        <x:v>VERIFIED</x:v>
      </x:c>
      <x:c r="W6352" s="87"/>
      <x:c r="X6352" s="87" t="n">
        <x:v>6</x:v>
      </x:c>
      <x:c r="Y6352" s="87"/>
      <x:c r="Z6352" s="87"/>
      <x:c r="AA6352" s="87"/>
      <x:c r="AB6352" s="87"/>
      <x:c r="AC6352" s="87" t="str">
        <x:v>VIS-EGKR-MATHP-S26-TASK-964-P006</x:v>
      </x:c>
      <x:c r="AD6352" s="87"/>
      <x:c r="AE6352" s="87" t="str">
        <x:v>TASK</x:v>
      </x:c>
      <x:c r="AF6352" s="87" t="str">
        <x:v>VIS-EGKR-MATHP-S26-TASK-964-P006: 6</x:v>
      </x:c>
      <x:c r="AG6352" s="87" t="str">
        <x:v>RESOLVED</x:v>
      </x:c>
      <x:c r="AH6352" s="87" t="str">
        <x:v>CROP_VERIFIED</x:v>
      </x:c>
      <x:c r="AI6352" s="30"/>
      <x:c r="AJ6352" s="87" t="str">
        <x:v>clean</x:v>
      </x:c>
      <x:c r="AK6352" s="87" t="str">
        <x:v>clean-v0.22</x:v>
      </x:c>
      <x:c r="AL6352" s="87" t="str">
        <x:v>statgrad_clean_continuation_v0_22(1).xlsx</x:v>
      </x:c>
      <x:c r="AM6352" s="87" t="str">
        <x:v>MATHP_S26_964</x:v>
      </x:c>
      <x:c r="AN6352" s="87" t="n">
        <x:v>20</x:v>
      </x:c>
    </x:row>
    <x:row r="6353">
      <x:c r="A6353" s="87" t="n">
        <x:v>6352</x:v>
      </x:c>
      <x:c r="B6353" s="87" t="str">
        <x:v>EGKR-S26-ENG-953-01</x:v>
      </x:c>
      <x:c r="C6353" s="87" t="str">
        <x:v>ЕГКР</x:v>
      </x:c>
      <x:c r="D6353" s="87"/>
      <x:c r="E6353" s="87" t="str">
        <x:v>Весна 2026</x:v>
      </x:c>
      <x:c r="F6353" s="87" t="str">
        <x:v>14.04.2026</x:v>
      </x:c>
      <x:c r="G6353" s="87" t="str">
        <x:v>Английский язык</x:v>
      </x:c>
      <x:c r="H6353" s="87" t="n">
        <x:v>11</x:v>
      </x:c>
      <x:c r="I6353" s="87"/>
      <x:c r="J6353" s="87" t="str">
        <x:v>953</x:v>
      </x:c>
      <x:c r="K6353" s="87" t="n">
        <x:v>1</x:v>
      </x:c>
      <x:c r="L6353" s="87" t="str">
        <x:v>Listening: speaker matching</x:v>
      </x:c>
      <x:c r="M6353" s="30" t="str">
        <x:v>Match six speakers to statements about ecotourism.</x:v>
      </x:c>
      <x:c r="N6353" s="30" t="str">
        <x:v>543762</x:v>
      </x:c>
      <x:c r="O6353" s="30" t="str">
        <x:v>Ответ сохранён из внутреннего ключа; оригинальный аудиофайл присутствует.</x:v>
      </x:c>
      <x:c r="P6353" s="30"/>
      <x:c r="Q6353" s="30" t="str">
        <x:v>Аудио и ответник сопоставлены по варианту; независимая расшифровка отсутствует.</x:v>
      </x:c>
      <x:c r="R6353" s="30" t="str">
        <x:v>543762</x:v>
      </x:c>
      <x:c r="S6353" s="30"/>
      <x:c r="T6353" s="30"/>
      <x:c r="U6353" s="30" t="str">
        <x:v>Не повышать до VERIFIED без независимой транскрипции или второго ключа.</x:v>
      </x:c>
      <x:c r="V6353" s="87" t="str">
        <x:v>AUDIO_SOURCE_ONLY</x:v>
      </x:c>
      <x:c r="W6353" s="87"/>
      <x:c r="X6353" s="87" t="n">
        <x:v>1</x:v>
      </x:c>
      <x:c r="Y6353" s="87"/>
      <x:c r="Z6353" s="87"/>
      <x:c r="AA6353" s="87"/>
      <x:c r="AB6353" s="87"/>
      <x:c r="AC6353" s="87" t="str">
        <x:v>VIS-EGKR-ENG-S26-TASK-953-P001</x:v>
      </x:c>
      <x:c r="AD6353" s="87" t="str">
        <x:v>VIS-EGKR-ENG-S26-ANSWERDOC-P001; VIS-EGKR-ENG-S26-AUDIO-953-P001</x:v>
      </x:c>
      <x:c r="AE6353" s="87" t="str">
        <x:v>TASK; SECONDARY_ANSWER_AND_MODEL_SOURCE; AUDIO_WAVEFORM</x:v>
      </x:c>
      <x:c r="AF6353" s="87" t="str">
        <x:v>VIS-EGKR-ENG-S26-TASK-953-P001: 1; VIS-EGKR-ENG-S26-ANSWERDOC-P001: 1; VIS-EGKR-ENG-S26-AUDIO-953-P001: 1</x:v>
      </x:c>
      <x:c r="AG6353" s="87" t="str">
        <x:v>RESOLVED</x:v>
      </x:c>
      <x:c r="AH6353" s="87" t="str">
        <x:v>CROP_VERIFIED</x:v>
      </x:c>
      <x:c r="AI6353" s="30"/>
      <x:c r="AJ6353" s="87" t="str">
        <x:v>clean</x:v>
      </x:c>
      <x:c r="AK6353" s="87" t="str">
        <x:v>clean-v0.23</x:v>
      </x:c>
      <x:c r="AL6353" s="87" t="str">
        <x:v>statgrad_clean_continuation_v0_23(1).xlsx</x:v>
      </x:c>
      <x:c r="AM6353" s="87" t="str">
        <x:v>ENG_S26_953</x:v>
      </x:c>
      <x:c r="AN6353" s="87" t="n">
        <x:v>2</x:v>
      </x:c>
    </x:row>
    <x:row r="6354">
      <x:c r="A6354" s="87" t="n">
        <x:v>6353</x:v>
      </x:c>
      <x:c r="B6354" s="87" t="str">
        <x:v>EGKR-S26-ENG-953-02</x:v>
      </x:c>
      <x:c r="C6354" s="87" t="str">
        <x:v>ЕГКР</x:v>
      </x:c>
      <x:c r="D6354" s="87"/>
      <x:c r="E6354" s="87" t="str">
        <x:v>Весна 2026</x:v>
      </x:c>
      <x:c r="F6354" s="87" t="str">
        <x:v>14.04.2026</x:v>
      </x:c>
      <x:c r="G6354" s="87" t="str">
        <x:v>Английский язык</x:v>
      </x:c>
      <x:c r="H6354" s="87" t="n">
        <x:v>11</x:v>
      </x:c>
      <x:c r="I6354" s="87"/>
      <x:c r="J6354" s="87" t="str">
        <x:v>953</x:v>
      </x:c>
      <x:c r="K6354" s="87" t="n">
        <x:v>2</x:v>
      </x:c>
      <x:c r="L6354" s="87" t="str">
        <x:v>Listening: True / False / Not stated</x:v>
      </x:c>
      <x:c r="M6354" s="30" t="str">
        <x:v>Determine whether seven statements in a travel-agency dialogue are True, False or Not stated.</x:v>
      </x:c>
      <x:c r="N6354" s="30" t="str">
        <x:v>1312132</x:v>
      </x:c>
      <x:c r="O6354" s="30" t="str">
        <x:v>Ответ сохранён из внутреннего ключа; оригинальный аудиофайл присутствует.</x:v>
      </x:c>
      <x:c r="P6354" s="30"/>
      <x:c r="Q6354" s="30" t="str">
        <x:v>Аудио и ответник сопоставлены по варианту; независимая расшифровка отсутствует.</x:v>
      </x:c>
      <x:c r="R6354" s="30" t="str">
        <x:v>1312132</x:v>
      </x:c>
      <x:c r="S6354" s="30"/>
      <x:c r="T6354" s="30"/>
      <x:c r="U6354" s="30" t="str">
        <x:v>Не повышать до VERIFIED без независимой транскрипции или второго ключа.</x:v>
      </x:c>
      <x:c r="V6354" s="87" t="str">
        <x:v>AUDIO_SOURCE_ONLY</x:v>
      </x:c>
      <x:c r="W6354" s="87"/>
      <x:c r="X6354" s="87" t="n">
        <x:v>1</x:v>
      </x:c>
      <x:c r="Y6354" s="87"/>
      <x:c r="Z6354" s="87"/>
      <x:c r="AA6354" s="87"/>
      <x:c r="AB6354" s="87"/>
      <x:c r="AC6354" s="87" t="str">
        <x:v>VIS-EGKR-ENG-S26-TASK-953-P001</x:v>
      </x:c>
      <x:c r="AD6354" s="87" t="str">
        <x:v>VIS-EGKR-ENG-S26-ANSWERDOC-P001; VIS-EGKR-ENG-S26-AUDIO-953-P001</x:v>
      </x:c>
      <x:c r="AE6354" s="87" t="str">
        <x:v>TASK; SECONDARY_ANSWER_AND_MODEL_SOURCE; AUDIO_WAVEFORM</x:v>
      </x:c>
      <x:c r="AF6354" s="87" t="str">
        <x:v>VIS-EGKR-ENG-S26-TASK-953-P001: 1; VIS-EGKR-ENG-S26-ANSWERDOC-P001: 1; VIS-EGKR-ENG-S26-AUDIO-953-P001: 1</x:v>
      </x:c>
      <x:c r="AG6354" s="87" t="str">
        <x:v>RESOLVED</x:v>
      </x:c>
      <x:c r="AH6354" s="87" t="str">
        <x:v>CROP_VERIFIED</x:v>
      </x:c>
      <x:c r="AI6354" s="30"/>
      <x:c r="AJ6354" s="87" t="str">
        <x:v>clean</x:v>
      </x:c>
      <x:c r="AK6354" s="87" t="str">
        <x:v>clean-v0.23</x:v>
      </x:c>
      <x:c r="AL6354" s="87" t="str">
        <x:v>statgrad_clean_continuation_v0_23(1).xlsx</x:v>
      </x:c>
      <x:c r="AM6354" s="87" t="str">
        <x:v>ENG_S26_953</x:v>
      </x:c>
      <x:c r="AN6354" s="87" t="n">
        <x:v>3</x:v>
      </x:c>
    </x:row>
    <x:row r="6355">
      <x:c r="A6355" s="87" t="n">
        <x:v>6354</x:v>
      </x:c>
      <x:c r="B6355" s="87" t="str">
        <x:v>EGKR-S26-ENG-953-03</x:v>
      </x:c>
      <x:c r="C6355" s="87" t="str">
        <x:v>ЕГКР</x:v>
      </x:c>
      <x:c r="D6355" s="87"/>
      <x:c r="E6355" s="87" t="str">
        <x:v>Весна 2026</x:v>
      </x:c>
      <x:c r="F6355" s="87" t="str">
        <x:v>14.04.2026</x:v>
      </x:c>
      <x:c r="G6355" s="87" t="str">
        <x:v>Английский язык</x:v>
      </x:c>
      <x:c r="H6355" s="87" t="n">
        <x:v>11</x:v>
      </x:c>
      <x:c r="I6355" s="87"/>
      <x:c r="J6355" s="87" t="str">
        <x:v>953</x:v>
      </x:c>
      <x:c r="K6355" s="87" t="n">
        <x:v>3</x:v>
      </x:c>
      <x:c r="L6355" s="87" t="str">
        <x:v>Listening: multiple choice</x:v>
      </x:c>
      <x:c r="M6355" s="30" t="str">
        <x:v>Listen to the interview and select the correct option.</x:v>
      </x:c>
      <x:c r="N6355" s="30" t="str">
        <x:v>3</x:v>
      </x:c>
      <x:c r="O6355" s="30" t="str">
        <x:v>Ответ сохранён из внутреннего ключа; оригинальный аудиофайл присутствует.</x:v>
      </x:c>
      <x:c r="P6355" s="30"/>
      <x:c r="Q6355" s="30" t="str">
        <x:v>Аудио и ответник сопоставлены по варианту; независимая расшифровка отсутствует.</x:v>
      </x:c>
      <x:c r="R6355" s="30" t="str">
        <x:v>3</x:v>
      </x:c>
      <x:c r="S6355" s="30"/>
      <x:c r="T6355" s="30"/>
      <x:c r="U6355" s="30" t="str">
        <x:v>Не повышать до VERIFIED без независимой транскрипции или второго ключа.</x:v>
      </x:c>
      <x:c r="V6355" s="87" t="str">
        <x:v>AUDIO_SOURCE_ONLY</x:v>
      </x:c>
      <x:c r="W6355" s="87"/>
      <x:c r="X6355" s="87" t="n">
        <x:v>2</x:v>
      </x:c>
      <x:c r="Y6355" s="87"/>
      <x:c r="Z6355" s="87"/>
      <x:c r="AA6355" s="87"/>
      <x:c r="AB6355" s="87"/>
      <x:c r="AC6355" s="87" t="str">
        <x:v>VIS-EGKR-ENG-S26-TASK-953-P002</x:v>
      </x:c>
      <x:c r="AD6355" s="87" t="str">
        <x:v>VIS-EGKR-ENG-S26-ANSWERDOC-P001; VIS-EGKR-ENG-S26-AUDIO-953-P001</x:v>
      </x:c>
      <x:c r="AE6355" s="87" t="str">
        <x:v>TASK; SECONDARY_ANSWER_AND_MODEL_SOURCE; AUDIO_WAVEFORM</x:v>
      </x:c>
      <x:c r="AF6355" s="87" t="str">
        <x:v>VIS-EGKR-ENG-S26-TASK-953-P002: 2; VIS-EGKR-ENG-S26-ANSWERDOC-P001: 1; VIS-EGKR-ENG-S26-AUDIO-953-P001: 1</x:v>
      </x:c>
      <x:c r="AG6355" s="87" t="str">
        <x:v>RESOLVED</x:v>
      </x:c>
      <x:c r="AH6355" s="87" t="str">
        <x:v>CROP_VERIFIED</x:v>
      </x:c>
      <x:c r="AI6355" s="30"/>
      <x:c r="AJ6355" s="87" t="str">
        <x:v>clean</x:v>
      </x:c>
      <x:c r="AK6355" s="87" t="str">
        <x:v>clean-v0.23</x:v>
      </x:c>
      <x:c r="AL6355" s="87" t="str">
        <x:v>statgrad_clean_continuation_v0_23(1).xlsx</x:v>
      </x:c>
      <x:c r="AM6355" s="87" t="str">
        <x:v>ENG_S26_953</x:v>
      </x:c>
      <x:c r="AN6355" s="87" t="n">
        <x:v>4</x:v>
      </x:c>
    </x:row>
    <x:row r="6356">
      <x:c r="A6356" s="87" t="n">
        <x:v>6355</x:v>
      </x:c>
      <x:c r="B6356" s="87" t="str">
        <x:v>EGKR-S26-ENG-953-04</x:v>
      </x:c>
      <x:c r="C6356" s="87" t="str">
        <x:v>ЕГКР</x:v>
      </x:c>
      <x:c r="D6356" s="87"/>
      <x:c r="E6356" s="87" t="str">
        <x:v>Весна 2026</x:v>
      </x:c>
      <x:c r="F6356" s="87" t="str">
        <x:v>14.04.2026</x:v>
      </x:c>
      <x:c r="G6356" s="87" t="str">
        <x:v>Английский язык</x:v>
      </x:c>
      <x:c r="H6356" s="87" t="n">
        <x:v>11</x:v>
      </x:c>
      <x:c r="I6356" s="87"/>
      <x:c r="J6356" s="87" t="str">
        <x:v>953</x:v>
      </x:c>
      <x:c r="K6356" s="87" t="n">
        <x:v>4</x:v>
      </x:c>
      <x:c r="L6356" s="87" t="str">
        <x:v>Listening: multiple choice</x:v>
      </x:c>
      <x:c r="M6356" s="30" t="str">
        <x:v>Listen to the interview and select the correct option.</x:v>
      </x:c>
      <x:c r="N6356" s="30" t="str">
        <x:v>2</x:v>
      </x:c>
      <x:c r="O6356" s="30" t="str">
        <x:v>Ответ сохранён из внутреннего ключа; оригинальный аудиофайл присутствует.</x:v>
      </x:c>
      <x:c r="P6356" s="30"/>
      <x:c r="Q6356" s="30" t="str">
        <x:v>Аудио и ответник сопоставлены по варианту; независимая расшифровка отсутствует.</x:v>
      </x:c>
      <x:c r="R6356" s="30" t="str">
        <x:v>2</x:v>
      </x:c>
      <x:c r="S6356" s="30"/>
      <x:c r="T6356" s="30"/>
      <x:c r="U6356" s="30" t="str">
        <x:v>Не повышать до VERIFIED без независимой транскрипции или второго ключа.</x:v>
      </x:c>
      <x:c r="V6356" s="87" t="str">
        <x:v>AUDIO_SOURCE_ONLY</x:v>
      </x:c>
      <x:c r="W6356" s="87"/>
      <x:c r="X6356" s="87" t="n">
        <x:v>2</x:v>
      </x:c>
      <x:c r="Y6356" s="87"/>
      <x:c r="Z6356" s="87"/>
      <x:c r="AA6356" s="87"/>
      <x:c r="AB6356" s="87"/>
      <x:c r="AC6356" s="87" t="str">
        <x:v>VIS-EGKR-ENG-S26-TASK-953-P002</x:v>
      </x:c>
      <x:c r="AD6356" s="87" t="str">
        <x:v>VIS-EGKR-ENG-S26-ANSWERDOC-P001; VIS-EGKR-ENG-S26-AUDIO-953-P001</x:v>
      </x:c>
      <x:c r="AE6356" s="87" t="str">
        <x:v>TASK; SECONDARY_ANSWER_AND_MODEL_SOURCE; AUDIO_WAVEFORM</x:v>
      </x:c>
      <x:c r="AF6356" s="87" t="str">
        <x:v>VIS-EGKR-ENG-S26-TASK-953-P002: 2; VIS-EGKR-ENG-S26-ANSWERDOC-P001: 1; VIS-EGKR-ENG-S26-AUDIO-953-P001: 1</x:v>
      </x:c>
      <x:c r="AG6356" s="87" t="str">
        <x:v>RESOLVED</x:v>
      </x:c>
      <x:c r="AH6356" s="87" t="str">
        <x:v>CROP_VERIFIED</x:v>
      </x:c>
      <x:c r="AI6356" s="30"/>
      <x:c r="AJ6356" s="87" t="str">
        <x:v>clean</x:v>
      </x:c>
      <x:c r="AK6356" s="87" t="str">
        <x:v>clean-v0.23</x:v>
      </x:c>
      <x:c r="AL6356" s="87" t="str">
        <x:v>statgrad_clean_continuation_v0_23(1).xlsx</x:v>
      </x:c>
      <x:c r="AM6356" s="87" t="str">
        <x:v>ENG_S26_953</x:v>
      </x:c>
      <x:c r="AN6356" s="87" t="n">
        <x:v>5</x:v>
      </x:c>
    </x:row>
    <x:row r="6357">
      <x:c r="A6357" s="87" t="n">
        <x:v>6356</x:v>
      </x:c>
      <x:c r="B6357" s="87" t="str">
        <x:v>EGKR-S26-ENG-953-05</x:v>
      </x:c>
      <x:c r="C6357" s="87" t="str">
        <x:v>ЕГКР</x:v>
      </x:c>
      <x:c r="D6357" s="87"/>
      <x:c r="E6357" s="87" t="str">
        <x:v>Весна 2026</x:v>
      </x:c>
      <x:c r="F6357" s="87" t="str">
        <x:v>14.04.2026</x:v>
      </x:c>
      <x:c r="G6357" s="87" t="str">
        <x:v>Английский язык</x:v>
      </x:c>
      <x:c r="H6357" s="87" t="n">
        <x:v>11</x:v>
      </x:c>
      <x:c r="I6357" s="87"/>
      <x:c r="J6357" s="87" t="str">
        <x:v>953</x:v>
      </x:c>
      <x:c r="K6357" s="87" t="n">
        <x:v>5</x:v>
      </x:c>
      <x:c r="L6357" s="87" t="str">
        <x:v>Listening: multiple choice</x:v>
      </x:c>
      <x:c r="M6357" s="30" t="str">
        <x:v>Listen to the interview and select the correct option.</x:v>
      </x:c>
      <x:c r="N6357" s="30" t="str">
        <x:v>3</x:v>
      </x:c>
      <x:c r="O6357" s="30" t="str">
        <x:v>Ответ сохранён из внутреннего ключа; оригинальный аудиофайл присутствует.</x:v>
      </x:c>
      <x:c r="P6357" s="30"/>
      <x:c r="Q6357" s="30" t="str">
        <x:v>Аудио и ответник сопоставлены по варианту; независимая расшифровка отсутствует.</x:v>
      </x:c>
      <x:c r="R6357" s="30" t="str">
        <x:v>3</x:v>
      </x:c>
      <x:c r="S6357" s="30"/>
      <x:c r="T6357" s="30"/>
      <x:c r="U6357" s="30" t="str">
        <x:v>Не повышать до VERIFIED без независимой транскрипции или второго ключа.</x:v>
      </x:c>
      <x:c r="V6357" s="87" t="str">
        <x:v>AUDIO_SOURCE_ONLY</x:v>
      </x:c>
      <x:c r="W6357" s="87"/>
      <x:c r="X6357" s="87" t="n">
        <x:v>2</x:v>
      </x:c>
      <x:c r="Y6357" s="87"/>
      <x:c r="Z6357" s="87"/>
      <x:c r="AA6357" s="87"/>
      <x:c r="AB6357" s="87"/>
      <x:c r="AC6357" s="87" t="str">
        <x:v>VIS-EGKR-ENG-S26-TASK-953-P002</x:v>
      </x:c>
      <x:c r="AD6357" s="87" t="str">
        <x:v>VIS-EGKR-ENG-S26-ANSWERDOC-P001; VIS-EGKR-ENG-S26-AUDIO-953-P001</x:v>
      </x:c>
      <x:c r="AE6357" s="87" t="str">
        <x:v>TASK; SECONDARY_ANSWER_AND_MODEL_SOURCE; AUDIO_WAVEFORM</x:v>
      </x:c>
      <x:c r="AF6357" s="87" t="str">
        <x:v>VIS-EGKR-ENG-S26-TASK-953-P002: 2; VIS-EGKR-ENG-S26-ANSWERDOC-P001: 1; VIS-EGKR-ENG-S26-AUDIO-953-P001: 1</x:v>
      </x:c>
      <x:c r="AG6357" s="87" t="str">
        <x:v>RESOLVED</x:v>
      </x:c>
      <x:c r="AH6357" s="87" t="str">
        <x:v>CROP_VERIFIED</x:v>
      </x:c>
      <x:c r="AI6357" s="30"/>
      <x:c r="AJ6357" s="87" t="str">
        <x:v>clean</x:v>
      </x:c>
      <x:c r="AK6357" s="87" t="str">
        <x:v>clean-v0.23</x:v>
      </x:c>
      <x:c r="AL6357" s="87" t="str">
        <x:v>statgrad_clean_continuation_v0_23(1).xlsx</x:v>
      </x:c>
      <x:c r="AM6357" s="87" t="str">
        <x:v>ENG_S26_953</x:v>
      </x:c>
      <x:c r="AN6357" s="87" t="n">
        <x:v>6</x:v>
      </x:c>
    </x:row>
    <x:row r="6358">
      <x:c r="A6358" s="87" t="n">
        <x:v>6357</x:v>
      </x:c>
      <x:c r="B6358" s="87" t="str">
        <x:v>EGKR-S26-ENG-953-06</x:v>
      </x:c>
      <x:c r="C6358" s="87" t="str">
        <x:v>ЕГКР</x:v>
      </x:c>
      <x:c r="D6358" s="87"/>
      <x:c r="E6358" s="87" t="str">
        <x:v>Весна 2026</x:v>
      </x:c>
      <x:c r="F6358" s="87" t="str">
        <x:v>14.04.2026</x:v>
      </x:c>
      <x:c r="G6358" s="87" t="str">
        <x:v>Английский язык</x:v>
      </x:c>
      <x:c r="H6358" s="87" t="n">
        <x:v>11</x:v>
      </x:c>
      <x:c r="I6358" s="87"/>
      <x:c r="J6358" s="87" t="str">
        <x:v>953</x:v>
      </x:c>
      <x:c r="K6358" s="87" t="n">
        <x:v>6</x:v>
      </x:c>
      <x:c r="L6358" s="87" t="str">
        <x:v>Listening: multiple choice</x:v>
      </x:c>
      <x:c r="M6358" s="30" t="str">
        <x:v>Listen to the interview and select the correct option.</x:v>
      </x:c>
      <x:c r="N6358" s="30" t="str">
        <x:v>2</x:v>
      </x:c>
      <x:c r="O6358" s="30" t="str">
        <x:v>Ответ сохранён из внутреннего ключа; оригинальный аудиофайл присутствует.</x:v>
      </x:c>
      <x:c r="P6358" s="30"/>
      <x:c r="Q6358" s="30" t="str">
        <x:v>Аудио и ответник сопоставлены по варианту; независимая расшифровка отсутствует.</x:v>
      </x:c>
      <x:c r="R6358" s="30" t="str">
        <x:v>2</x:v>
      </x:c>
      <x:c r="S6358" s="30"/>
      <x:c r="T6358" s="30"/>
      <x:c r="U6358" s="30" t="str">
        <x:v>Не повышать до VERIFIED без независимой транскрипции или второго ключа.</x:v>
      </x:c>
      <x:c r="V6358" s="87" t="str">
        <x:v>AUDIO_SOURCE_ONLY</x:v>
      </x:c>
      <x:c r="W6358" s="87"/>
      <x:c r="X6358" s="87" t="n">
        <x:v>2</x:v>
      </x:c>
      <x:c r="Y6358" s="87"/>
      <x:c r="Z6358" s="87"/>
      <x:c r="AA6358" s="87"/>
      <x:c r="AB6358" s="87"/>
      <x:c r="AC6358" s="87" t="str">
        <x:v>VIS-EGKR-ENG-S26-TASK-953-P002</x:v>
      </x:c>
      <x:c r="AD6358" s="87" t="str">
        <x:v>VIS-EGKR-ENG-S26-ANSWERDOC-P001; VIS-EGKR-ENG-S26-AUDIO-953-P001</x:v>
      </x:c>
      <x:c r="AE6358" s="87" t="str">
        <x:v>TASK; SECONDARY_ANSWER_AND_MODEL_SOURCE; AUDIO_WAVEFORM</x:v>
      </x:c>
      <x:c r="AF6358" s="87" t="str">
        <x:v>VIS-EGKR-ENG-S26-TASK-953-P002: 2; VIS-EGKR-ENG-S26-ANSWERDOC-P001: 1; VIS-EGKR-ENG-S26-AUDIO-953-P001: 1</x:v>
      </x:c>
      <x:c r="AG6358" s="87" t="str">
        <x:v>RESOLVED</x:v>
      </x:c>
      <x:c r="AH6358" s="87" t="str">
        <x:v>CROP_VERIFIED</x:v>
      </x:c>
      <x:c r="AI6358" s="30"/>
      <x:c r="AJ6358" s="87" t="str">
        <x:v>clean</x:v>
      </x:c>
      <x:c r="AK6358" s="87" t="str">
        <x:v>clean-v0.23</x:v>
      </x:c>
      <x:c r="AL6358" s="87" t="str">
        <x:v>statgrad_clean_continuation_v0_23(1).xlsx</x:v>
      </x:c>
      <x:c r="AM6358" s="87" t="str">
        <x:v>ENG_S26_953</x:v>
      </x:c>
      <x:c r="AN6358" s="87" t="n">
        <x:v>7</x:v>
      </x:c>
    </x:row>
    <x:row r="6359">
      <x:c r="A6359" s="87" t="n">
        <x:v>6358</x:v>
      </x:c>
      <x:c r="B6359" s="87" t="str">
        <x:v>EGKR-S26-ENG-953-07</x:v>
      </x:c>
      <x:c r="C6359" s="87" t="str">
        <x:v>ЕГКР</x:v>
      </x:c>
      <x:c r="D6359" s="87"/>
      <x:c r="E6359" s="87" t="str">
        <x:v>Весна 2026</x:v>
      </x:c>
      <x:c r="F6359" s="87" t="str">
        <x:v>14.04.2026</x:v>
      </x:c>
      <x:c r="G6359" s="87" t="str">
        <x:v>Английский язык</x:v>
      </x:c>
      <x:c r="H6359" s="87" t="n">
        <x:v>11</x:v>
      </x:c>
      <x:c r="I6359" s="87"/>
      <x:c r="J6359" s="87" t="str">
        <x:v>953</x:v>
      </x:c>
      <x:c r="K6359" s="87" t="n">
        <x:v>7</x:v>
      </x:c>
      <x:c r="L6359" s="87" t="str">
        <x:v>Listening: multiple choice</x:v>
      </x:c>
      <x:c r="M6359" s="30" t="str">
        <x:v>Listen to the interview and select the correct option.</x:v>
      </x:c>
      <x:c r="N6359" s="30" t="str">
        <x:v>2</x:v>
      </x:c>
      <x:c r="O6359" s="30" t="str">
        <x:v>Ответ сохранён из внутреннего ключа; оригинальный аудиофайл присутствует.</x:v>
      </x:c>
      <x:c r="P6359" s="30"/>
      <x:c r="Q6359" s="30" t="str">
        <x:v>Аудио и ответник сопоставлены по варианту; независимая расшифровка отсутствует.</x:v>
      </x:c>
      <x:c r="R6359" s="30" t="str">
        <x:v>2</x:v>
      </x:c>
      <x:c r="S6359" s="30"/>
      <x:c r="T6359" s="30"/>
      <x:c r="U6359" s="30" t="str">
        <x:v>Не повышать до VERIFIED без независимой транскрипции или второго ключа.</x:v>
      </x:c>
      <x:c r="V6359" s="87" t="str">
        <x:v>AUDIO_SOURCE_ONLY</x:v>
      </x:c>
      <x:c r="W6359" s="87"/>
      <x:c r="X6359" s="87" t="n">
        <x:v>2</x:v>
      </x:c>
      <x:c r="Y6359" s="87"/>
      <x:c r="Z6359" s="87"/>
      <x:c r="AA6359" s="87"/>
      <x:c r="AB6359" s="87"/>
      <x:c r="AC6359" s="87" t="str">
        <x:v>VIS-EGKR-ENG-S26-TASK-953-P002</x:v>
      </x:c>
      <x:c r="AD6359" s="87" t="str">
        <x:v>VIS-EGKR-ENG-S26-ANSWERDOC-P001; VIS-EGKR-ENG-S26-AUDIO-953-P001</x:v>
      </x:c>
      <x:c r="AE6359" s="87" t="str">
        <x:v>TASK; SECONDARY_ANSWER_AND_MODEL_SOURCE; AUDIO_WAVEFORM</x:v>
      </x:c>
      <x:c r="AF6359" s="87" t="str">
        <x:v>VIS-EGKR-ENG-S26-TASK-953-P002: 2; VIS-EGKR-ENG-S26-ANSWERDOC-P001: 1; VIS-EGKR-ENG-S26-AUDIO-953-P001: 1</x:v>
      </x:c>
      <x:c r="AG6359" s="87" t="str">
        <x:v>RESOLVED</x:v>
      </x:c>
      <x:c r="AH6359" s="87" t="str">
        <x:v>CROP_VERIFIED</x:v>
      </x:c>
      <x:c r="AI6359" s="30"/>
      <x:c r="AJ6359" s="87" t="str">
        <x:v>clean</x:v>
      </x:c>
      <x:c r="AK6359" s="87" t="str">
        <x:v>clean-v0.23</x:v>
      </x:c>
      <x:c r="AL6359" s="87" t="str">
        <x:v>statgrad_clean_continuation_v0_23(1).xlsx</x:v>
      </x:c>
      <x:c r="AM6359" s="87" t="str">
        <x:v>ENG_S26_953</x:v>
      </x:c>
      <x:c r="AN6359" s="87" t="n">
        <x:v>8</x:v>
      </x:c>
    </x:row>
    <x:row r="6360">
      <x:c r="A6360" s="87" t="n">
        <x:v>6359</x:v>
      </x:c>
      <x:c r="B6360" s="87" t="str">
        <x:v>EGKR-S26-ENG-953-08</x:v>
      </x:c>
      <x:c r="C6360" s="87" t="str">
        <x:v>ЕГКР</x:v>
      </x:c>
      <x:c r="D6360" s="87"/>
      <x:c r="E6360" s="87" t="str">
        <x:v>Весна 2026</x:v>
      </x:c>
      <x:c r="F6360" s="87" t="str">
        <x:v>14.04.2026</x:v>
      </x:c>
      <x:c r="G6360" s="87" t="str">
        <x:v>Английский язык</x:v>
      </x:c>
      <x:c r="H6360" s="87" t="n">
        <x:v>11</x:v>
      </x:c>
      <x:c r="I6360" s="87"/>
      <x:c r="J6360" s="87" t="str">
        <x:v>953</x:v>
      </x:c>
      <x:c r="K6360" s="87" t="n">
        <x:v>8</x:v>
      </x:c>
      <x:c r="L6360" s="87" t="str">
        <x:v>Listening: multiple choice</x:v>
      </x:c>
      <x:c r="M6360" s="30" t="str">
        <x:v>Listen to the interview and select the correct option.</x:v>
      </x:c>
      <x:c r="N6360" s="30" t="str">
        <x:v>1</x:v>
      </x:c>
      <x:c r="O6360" s="30" t="str">
        <x:v>Ответ сохранён из внутреннего ключа; оригинальный аудиофайл присутствует.</x:v>
      </x:c>
      <x:c r="P6360" s="30"/>
      <x:c r="Q6360" s="30" t="str">
        <x:v>Аудио и ответник сопоставлены по варианту; независимая расшифровка отсутствует.</x:v>
      </x:c>
      <x:c r="R6360" s="30" t="str">
        <x:v>1</x:v>
      </x:c>
      <x:c r="S6360" s="30"/>
      <x:c r="T6360" s="30"/>
      <x:c r="U6360" s="30" t="str">
        <x:v>Не повышать до VERIFIED без независимой транскрипции или второго ключа.</x:v>
      </x:c>
      <x:c r="V6360" s="87" t="str">
        <x:v>AUDIO_SOURCE_ONLY</x:v>
      </x:c>
      <x:c r="W6360" s="87"/>
      <x:c r="X6360" s="87" t="n">
        <x:v>2</x:v>
      </x:c>
      <x:c r="Y6360" s="87"/>
      <x:c r="Z6360" s="87"/>
      <x:c r="AA6360" s="87"/>
      <x:c r="AB6360" s="87"/>
      <x:c r="AC6360" s="87" t="str">
        <x:v>VIS-EGKR-ENG-S26-TASK-953-P002</x:v>
      </x:c>
      <x:c r="AD6360" s="87" t="str">
        <x:v>VIS-EGKR-ENG-S26-ANSWERDOC-P001; VIS-EGKR-ENG-S26-AUDIO-953-P001</x:v>
      </x:c>
      <x:c r="AE6360" s="87" t="str">
        <x:v>TASK; SECONDARY_ANSWER_AND_MODEL_SOURCE; AUDIO_WAVEFORM</x:v>
      </x:c>
      <x:c r="AF6360" s="87" t="str">
        <x:v>VIS-EGKR-ENG-S26-TASK-953-P002: 2; VIS-EGKR-ENG-S26-ANSWERDOC-P001: 1; VIS-EGKR-ENG-S26-AUDIO-953-P001: 1</x:v>
      </x:c>
      <x:c r="AG6360" s="87" t="str">
        <x:v>RESOLVED</x:v>
      </x:c>
      <x:c r="AH6360" s="87" t="str">
        <x:v>CROP_VERIFIED</x:v>
      </x:c>
      <x:c r="AI6360" s="30"/>
      <x:c r="AJ6360" s="87" t="str">
        <x:v>clean</x:v>
      </x:c>
      <x:c r="AK6360" s="87" t="str">
        <x:v>clean-v0.23</x:v>
      </x:c>
      <x:c r="AL6360" s="87" t="str">
        <x:v>statgrad_clean_continuation_v0_23(1).xlsx</x:v>
      </x:c>
      <x:c r="AM6360" s="87" t="str">
        <x:v>ENG_S26_953</x:v>
      </x:c>
      <x:c r="AN6360" s="87" t="n">
        <x:v>9</x:v>
      </x:c>
    </x:row>
    <x:row r="6361">
      <x:c r="A6361" s="87" t="n">
        <x:v>6360</x:v>
      </x:c>
      <x:c r="B6361" s="87" t="str">
        <x:v>EGKR-S26-ENG-953-09</x:v>
      </x:c>
      <x:c r="C6361" s="87" t="str">
        <x:v>ЕГКР</x:v>
      </x:c>
      <x:c r="D6361" s="87"/>
      <x:c r="E6361" s="87" t="str">
        <x:v>Весна 2026</x:v>
      </x:c>
      <x:c r="F6361" s="87" t="str">
        <x:v>14.04.2026</x:v>
      </x:c>
      <x:c r="G6361" s="87" t="str">
        <x:v>Английский язык</x:v>
      </x:c>
      <x:c r="H6361" s="87" t="n">
        <x:v>11</x:v>
      </x:c>
      <x:c r="I6361" s="87"/>
      <x:c r="J6361" s="87" t="str">
        <x:v>953</x:v>
      </x:c>
      <x:c r="K6361" s="87" t="n">
        <x:v>9</x:v>
      </x:c>
      <x:c r="L6361" s="87" t="str">
        <x:v>Listening: multiple choice</x:v>
      </x:c>
      <x:c r="M6361" s="30" t="str">
        <x:v>Listen to the interview and select the correct option.</x:v>
      </x:c>
      <x:c r="N6361" s="30" t="str">
        <x:v>2</x:v>
      </x:c>
      <x:c r="O6361" s="30" t="str">
        <x:v>Ответ сохранён из внутреннего ключа; оригинальный аудиофайл присутствует.</x:v>
      </x:c>
      <x:c r="P6361" s="30"/>
      <x:c r="Q6361" s="30" t="str">
        <x:v>Аудио и ответник сопоставлены по варианту; независимая расшифровка отсутствует.</x:v>
      </x:c>
      <x:c r="R6361" s="30" t="str">
        <x:v>2</x:v>
      </x:c>
      <x:c r="S6361" s="30"/>
      <x:c r="T6361" s="30"/>
      <x:c r="U6361" s="30" t="str">
        <x:v>Не повышать до VERIFIED без независимой транскрипции или второго ключа.</x:v>
      </x:c>
      <x:c r="V6361" s="87" t="str">
        <x:v>AUDIO_SOURCE_ONLY</x:v>
      </x:c>
      <x:c r="W6361" s="87"/>
      <x:c r="X6361" s="87" t="n">
        <x:v>2</x:v>
      </x:c>
      <x:c r="Y6361" s="87"/>
      <x:c r="Z6361" s="87"/>
      <x:c r="AA6361" s="87"/>
      <x:c r="AB6361" s="87"/>
      <x:c r="AC6361" s="87" t="str">
        <x:v>VIS-EGKR-ENG-S26-TASK-953-P002</x:v>
      </x:c>
      <x:c r="AD6361" s="87" t="str">
        <x:v>VIS-EGKR-ENG-S26-ANSWERDOC-P001; VIS-EGKR-ENG-S26-AUDIO-953-P001</x:v>
      </x:c>
      <x:c r="AE6361" s="87" t="str">
        <x:v>TASK; SECONDARY_ANSWER_AND_MODEL_SOURCE; AUDIO_WAVEFORM</x:v>
      </x:c>
      <x:c r="AF6361" s="87" t="str">
        <x:v>VIS-EGKR-ENG-S26-TASK-953-P002: 2; VIS-EGKR-ENG-S26-ANSWERDOC-P001: 1; VIS-EGKR-ENG-S26-AUDIO-953-P001: 1</x:v>
      </x:c>
      <x:c r="AG6361" s="87" t="str">
        <x:v>RESOLVED</x:v>
      </x:c>
      <x:c r="AH6361" s="87" t="str">
        <x:v>CROP_VERIFIED</x:v>
      </x:c>
      <x:c r="AI6361" s="30"/>
      <x:c r="AJ6361" s="87" t="str">
        <x:v>clean</x:v>
      </x:c>
      <x:c r="AK6361" s="87" t="str">
        <x:v>clean-v0.23</x:v>
      </x:c>
      <x:c r="AL6361" s="87" t="str">
        <x:v>statgrad_clean_continuation_v0_23(1).xlsx</x:v>
      </x:c>
      <x:c r="AM6361" s="87" t="str">
        <x:v>ENG_S26_953</x:v>
      </x:c>
      <x:c r="AN6361" s="87" t="n">
        <x:v>10</x:v>
      </x:c>
    </x:row>
    <x:row r="6362">
      <x:c r="A6362" s="87" t="n">
        <x:v>6361</x:v>
      </x:c>
      <x:c r="B6362" s="87" t="str">
        <x:v>EGKR-S26-ENG-953-10</x:v>
      </x:c>
      <x:c r="C6362" s="87" t="str">
        <x:v>ЕГКР</x:v>
      </x:c>
      <x:c r="D6362" s="87"/>
      <x:c r="E6362" s="87" t="str">
        <x:v>Весна 2026</x:v>
      </x:c>
      <x:c r="F6362" s="87" t="str">
        <x:v>14.04.2026</x:v>
      </x:c>
      <x:c r="G6362" s="87" t="str">
        <x:v>Английский язык</x:v>
      </x:c>
      <x:c r="H6362" s="87" t="n">
        <x:v>11</x:v>
      </x:c>
      <x:c r="I6362" s="87"/>
      <x:c r="J6362" s="87" t="str">
        <x:v>953</x:v>
      </x:c>
      <x:c r="K6362" s="87" t="n">
        <x:v>10</x:v>
      </x:c>
      <x:c r="L6362" s="87" t="str">
        <x:v>Reading: heading matching</x:v>
      </x:c>
      <x:c r="M6362" s="30" t="str">
        <x:v>Match seven texts about echidnas to headings.</x:v>
      </x:c>
      <x:c r="N6362" s="30" t="str">
        <x:v>3172685</x:v>
      </x:c>
      <x:c r="O6362" s="30" t="str">
        <x:v>Ответ независимо проверен по тексту, грамматике и лексическому контексту.</x:v>
      </x:c>
      <x:c r="P6362" s="30"/>
      <x:c r="Q6362" s="30" t="str">
        <x:v>Полная визуальная страница + независимое решение; публичная навигационная сверка.</x:v>
      </x:c>
      <x:c r="R6362" s="30" t="str">
        <x:v>3172685</x:v>
      </x:c>
      <x:c r="S6362" s="30"/>
      <x:c r="T6362" s="30"/>
      <x:c r="U6362" s="30" t="str">
        <x:v>Ответник совпадает с независимой проверкой.</x:v>
      </x:c>
      <x:c r="V6362" s="87" t="str">
        <x:v>VERIFIED</x:v>
      </x:c>
      <x:c r="W6362" s="87"/>
      <x:c r="X6362" s="87" t="n">
        <x:v>3</x:v>
      </x:c>
      <x:c r="Y6362" s="87"/>
      <x:c r="Z6362" s="87"/>
      <x:c r="AA6362" s="87"/>
      <x:c r="AB6362" s="87"/>
      <x:c r="AC6362" s="87" t="str">
        <x:v>VIS-EGKR-ENG-S26-TASK-953-P003</x:v>
      </x:c>
      <x:c r="AD6362" s="87" t="str">
        <x:v>VIS-EGKR-ENG-S26-ANSWERDOC-P001</x:v>
      </x:c>
      <x:c r="AE6362" s="87" t="str">
        <x:v>TASK; SECONDARY_ANSWER_AND_MODEL_SOURCE</x:v>
      </x:c>
      <x:c r="AF6362" s="87" t="str">
        <x:v>VIS-EGKR-ENG-S26-TASK-953-P003: 3; VIS-EGKR-ENG-S26-ANSWERDOC-P001: 1</x:v>
      </x:c>
      <x:c r="AG6362" s="87" t="str">
        <x:v>RESOLVED</x:v>
      </x:c>
      <x:c r="AH6362" s="87" t="str">
        <x:v>CROP_VERIFIED</x:v>
      </x:c>
      <x:c r="AI6362" s="30"/>
      <x:c r="AJ6362" s="87" t="str">
        <x:v>clean</x:v>
      </x:c>
      <x:c r="AK6362" s="87" t="str">
        <x:v>clean-v0.23</x:v>
      </x:c>
      <x:c r="AL6362" s="87" t="str">
        <x:v>statgrad_clean_continuation_v0_23(1).xlsx</x:v>
      </x:c>
      <x:c r="AM6362" s="87" t="str">
        <x:v>ENG_S26_953</x:v>
      </x:c>
      <x:c r="AN6362" s="87" t="n">
        <x:v>11</x:v>
      </x:c>
    </x:row>
    <x:row r="6363">
      <x:c r="A6363" s="87" t="n">
        <x:v>6362</x:v>
      </x:c>
      <x:c r="B6363" s="87" t="str">
        <x:v>EGKR-S26-ENG-953-11</x:v>
      </x:c>
      <x:c r="C6363" s="87" t="str">
        <x:v>ЕГКР</x:v>
      </x:c>
      <x:c r="D6363" s="87"/>
      <x:c r="E6363" s="87" t="str">
        <x:v>Весна 2026</x:v>
      </x:c>
      <x:c r="F6363" s="87" t="str">
        <x:v>14.04.2026</x:v>
      </x:c>
      <x:c r="G6363" s="87" t="str">
        <x:v>Английский язык</x:v>
      </x:c>
      <x:c r="H6363" s="87" t="n">
        <x:v>11</x:v>
      </x:c>
      <x:c r="I6363" s="87"/>
      <x:c r="J6363" s="87" t="str">
        <x:v>953</x:v>
      </x:c>
      <x:c r="K6363" s="87" t="n">
        <x:v>11</x:v>
      </x:c>
      <x:c r="L6363" s="87" t="str">
        <x:v>Reading: sentence insertion</x:v>
      </x:c>
      <x:c r="M6363" s="30" t="str">
        <x:v>Complete the text 'The shift in preferences' with six sentence parts.</x:v>
      </x:c>
      <x:c r="N6363" s="30" t="str">
        <x:v>372416</x:v>
      </x:c>
      <x:c r="O6363" s="30" t="str">
        <x:v>Ответ независимо проверен по тексту, грамматике и лексическому контексту.</x:v>
      </x:c>
      <x:c r="P6363" s="30"/>
      <x:c r="Q6363" s="30" t="str">
        <x:v>Полная визуальная страница + независимое решение; публичная навигационная сверка.</x:v>
      </x:c>
      <x:c r="R6363" s="30" t="str">
        <x:v>372416</x:v>
      </x:c>
      <x:c r="S6363" s="30"/>
      <x:c r="T6363" s="30"/>
      <x:c r="U6363" s="30" t="str">
        <x:v>Ответник совпадает с независимой проверкой.</x:v>
      </x:c>
      <x:c r="V6363" s="87" t="str">
        <x:v>VERIFIED</x:v>
      </x:c>
      <x:c r="W6363" s="87"/>
      <x:c r="X6363" s="87" t="n">
        <x:v>4</x:v>
      </x:c>
      <x:c r="Y6363" s="87"/>
      <x:c r="Z6363" s="87"/>
      <x:c r="AA6363" s="87"/>
      <x:c r="AB6363" s="87"/>
      <x:c r="AC6363" s="87" t="str">
        <x:v>VIS-EGKR-ENG-S26-TASK-953-P004</x:v>
      </x:c>
      <x:c r="AD6363" s="87" t="str">
        <x:v>VIS-EGKR-ENG-S26-ANSWERDOC-P001</x:v>
      </x:c>
      <x:c r="AE6363" s="87" t="str">
        <x:v>TASK; SECONDARY_ANSWER_AND_MODEL_SOURCE</x:v>
      </x:c>
      <x:c r="AF6363" s="87" t="str">
        <x:v>VIS-EGKR-ENG-S26-TASK-953-P004: 4; VIS-EGKR-ENG-S26-ANSWERDOC-P001: 1</x:v>
      </x:c>
      <x:c r="AG6363" s="87" t="str">
        <x:v>RESOLVED</x:v>
      </x:c>
      <x:c r="AH6363" s="87" t="str">
        <x:v>CROP_VERIFIED</x:v>
      </x:c>
      <x:c r="AI6363" s="30"/>
      <x:c r="AJ6363" s="87" t="str">
        <x:v>clean</x:v>
      </x:c>
      <x:c r="AK6363" s="87" t="str">
        <x:v>clean-v0.23</x:v>
      </x:c>
      <x:c r="AL6363" s="87" t="str">
        <x:v>statgrad_clean_continuation_v0_23(1).xlsx</x:v>
      </x:c>
      <x:c r="AM6363" s="87" t="str">
        <x:v>ENG_S26_953</x:v>
      </x:c>
      <x:c r="AN6363" s="87" t="n">
        <x:v>12</x:v>
      </x:c>
    </x:row>
    <x:row r="6364">
      <x:c r="A6364" s="87" t="n">
        <x:v>6363</x:v>
      </x:c>
      <x:c r="B6364" s="87" t="str">
        <x:v>EGKR-S26-ENG-953-12</x:v>
      </x:c>
      <x:c r="C6364" s="87" t="str">
        <x:v>ЕГКР</x:v>
      </x:c>
      <x:c r="D6364" s="87"/>
      <x:c r="E6364" s="87" t="str">
        <x:v>Весна 2026</x:v>
      </x:c>
      <x:c r="F6364" s="87" t="str">
        <x:v>14.04.2026</x:v>
      </x:c>
      <x:c r="G6364" s="87" t="str">
        <x:v>Английский язык</x:v>
      </x:c>
      <x:c r="H6364" s="87" t="n">
        <x:v>11</x:v>
      </x:c>
      <x:c r="I6364" s="87"/>
      <x:c r="J6364" s="87" t="str">
        <x:v>953</x:v>
      </x:c>
      <x:c r="K6364" s="87" t="n">
        <x:v>12</x:v>
      </x:c>
      <x:c r="L6364" s="87" t="str">
        <x:v>Reading: multiple choice</x:v>
      </x:c>
      <x:c r="M6364" s="30" t="str">
        <x:v>Answer a multiple-choice question about affordable activities in Moscow.</x:v>
      </x:c>
      <x:c r="N6364" s="30" t="str">
        <x:v>3</x:v>
      </x:c>
      <x:c r="O6364" s="30" t="str">
        <x:v>Ответ независимо проверен по тексту, грамматике и лексическому контексту.</x:v>
      </x:c>
      <x:c r="P6364" s="30"/>
      <x:c r="Q6364" s="30" t="str">
        <x:v>Полная визуальная страница + независимое решение; публичная навигационная сверка.</x:v>
      </x:c>
      <x:c r="R6364" s="30" t="str">
        <x:v>3</x:v>
      </x:c>
      <x:c r="S6364" s="30"/>
      <x:c r="T6364" s="30"/>
      <x:c r="U6364" s="30" t="str">
        <x:v>Ответник совпадает с независимой проверкой.</x:v>
      </x:c>
      <x:c r="V6364" s="87" t="str">
        <x:v>VERIFIED</x:v>
      </x:c>
      <x:c r="W6364" s="87"/>
      <x:c r="X6364" s="87" t="n">
        <x:v>5</x:v>
      </x:c>
      <x:c r="Y6364" s="87"/>
      <x:c r="Z6364" s="87"/>
      <x:c r="AA6364" s="87"/>
      <x:c r="AB6364" s="87"/>
      <x:c r="AC6364" s="87" t="str">
        <x:v>VIS-EGKR-ENG-S26-TASK-953-P005</x:v>
      </x:c>
      <x:c r="AD6364" s="87" t="str">
        <x:v>VIS-EGKR-ENG-S26-ANSWERDOC-P001</x:v>
      </x:c>
      <x:c r="AE6364" s="87" t="str">
        <x:v>TASK; SECONDARY_ANSWER_AND_MODEL_SOURCE</x:v>
      </x:c>
      <x:c r="AF6364" s="87" t="str">
        <x:v>VIS-EGKR-ENG-S26-TASK-953-P005: 5; VIS-EGKR-ENG-S26-ANSWERDOC-P001: 1</x:v>
      </x:c>
      <x:c r="AG6364" s="87" t="str">
        <x:v>RESOLVED</x:v>
      </x:c>
      <x:c r="AH6364" s="87" t="str">
        <x:v>CROP_VERIFIED</x:v>
      </x:c>
      <x:c r="AI6364" s="30"/>
      <x:c r="AJ6364" s="87" t="str">
        <x:v>clean</x:v>
      </x:c>
      <x:c r="AK6364" s="87" t="str">
        <x:v>clean-v0.23</x:v>
      </x:c>
      <x:c r="AL6364" s="87" t="str">
        <x:v>statgrad_clean_continuation_v0_23(1).xlsx</x:v>
      </x:c>
      <x:c r="AM6364" s="87" t="str">
        <x:v>ENG_S26_953</x:v>
      </x:c>
      <x:c r="AN6364" s="87" t="n">
        <x:v>13</x:v>
      </x:c>
    </x:row>
    <x:row r="6365">
      <x:c r="A6365" s="87" t="n">
        <x:v>6364</x:v>
      </x:c>
      <x:c r="B6365" s="87" t="str">
        <x:v>EGKR-S26-ENG-953-13</x:v>
      </x:c>
      <x:c r="C6365" s="87" t="str">
        <x:v>ЕГКР</x:v>
      </x:c>
      <x:c r="D6365" s="87"/>
      <x:c r="E6365" s="87" t="str">
        <x:v>Весна 2026</x:v>
      </x:c>
      <x:c r="F6365" s="87" t="str">
        <x:v>14.04.2026</x:v>
      </x:c>
      <x:c r="G6365" s="87" t="str">
        <x:v>Английский язык</x:v>
      </x:c>
      <x:c r="H6365" s="87" t="n">
        <x:v>11</x:v>
      </x:c>
      <x:c r="I6365" s="87"/>
      <x:c r="J6365" s="87" t="str">
        <x:v>953</x:v>
      </x:c>
      <x:c r="K6365" s="87" t="n">
        <x:v>13</x:v>
      </x:c>
      <x:c r="L6365" s="87" t="str">
        <x:v>Reading: multiple choice</x:v>
      </x:c>
      <x:c r="M6365" s="30" t="str">
        <x:v>Answer a multiple-choice question about affordable activities in Moscow.</x:v>
      </x:c>
      <x:c r="N6365" s="30" t="str">
        <x:v>4</x:v>
      </x:c>
      <x:c r="O6365" s="30" t="str">
        <x:v>Ответ независимо проверен по тексту, грамматике и лексическому контексту.</x:v>
      </x:c>
      <x:c r="P6365" s="30"/>
      <x:c r="Q6365" s="30" t="str">
        <x:v>Полная визуальная страница + независимое решение; публичная навигационная сверка.</x:v>
      </x:c>
      <x:c r="R6365" s="30" t="str">
        <x:v>4</x:v>
      </x:c>
      <x:c r="S6365" s="30"/>
      <x:c r="T6365" s="30"/>
      <x:c r="U6365" s="30" t="str">
        <x:v>Ответник совпадает с независимой проверкой.</x:v>
      </x:c>
      <x:c r="V6365" s="87" t="str">
        <x:v>VERIFIED</x:v>
      </x:c>
      <x:c r="W6365" s="87"/>
      <x:c r="X6365" s="87" t="n">
        <x:v>5</x:v>
      </x:c>
      <x:c r="Y6365" s="87"/>
      <x:c r="Z6365" s="87"/>
      <x:c r="AA6365" s="87"/>
      <x:c r="AB6365" s="87"/>
      <x:c r="AC6365" s="87" t="str">
        <x:v>VIS-EGKR-ENG-S26-TASK-953-P005</x:v>
      </x:c>
      <x:c r="AD6365" s="87" t="str">
        <x:v>VIS-EGKR-ENG-S26-ANSWERDOC-P001</x:v>
      </x:c>
      <x:c r="AE6365" s="87" t="str">
        <x:v>TASK; SECONDARY_ANSWER_AND_MODEL_SOURCE</x:v>
      </x:c>
      <x:c r="AF6365" s="87" t="str">
        <x:v>VIS-EGKR-ENG-S26-TASK-953-P005: 5; VIS-EGKR-ENG-S26-ANSWERDOC-P001: 1</x:v>
      </x:c>
      <x:c r="AG6365" s="87" t="str">
        <x:v>RESOLVED</x:v>
      </x:c>
      <x:c r="AH6365" s="87" t="str">
        <x:v>CROP_VERIFIED</x:v>
      </x:c>
      <x:c r="AI6365" s="30"/>
      <x:c r="AJ6365" s="87" t="str">
        <x:v>clean</x:v>
      </x:c>
      <x:c r="AK6365" s="87" t="str">
        <x:v>clean-v0.23</x:v>
      </x:c>
      <x:c r="AL6365" s="87" t="str">
        <x:v>statgrad_clean_continuation_v0_23(1).xlsx</x:v>
      </x:c>
      <x:c r="AM6365" s="87" t="str">
        <x:v>ENG_S26_953</x:v>
      </x:c>
      <x:c r="AN6365" s="87" t="n">
        <x:v>14</x:v>
      </x:c>
    </x:row>
    <x:row r="6366">
      <x:c r="A6366" s="87" t="n">
        <x:v>6365</x:v>
      </x:c>
      <x:c r="B6366" s="87" t="str">
        <x:v>EGKR-S26-ENG-953-14</x:v>
      </x:c>
      <x:c r="C6366" s="87" t="str">
        <x:v>ЕГКР</x:v>
      </x:c>
      <x:c r="D6366" s="87"/>
      <x:c r="E6366" s="87" t="str">
        <x:v>Весна 2026</x:v>
      </x:c>
      <x:c r="F6366" s="87" t="str">
        <x:v>14.04.2026</x:v>
      </x:c>
      <x:c r="G6366" s="87" t="str">
        <x:v>Английский язык</x:v>
      </x:c>
      <x:c r="H6366" s="87" t="n">
        <x:v>11</x:v>
      </x:c>
      <x:c r="I6366" s="87"/>
      <x:c r="J6366" s="87" t="str">
        <x:v>953</x:v>
      </x:c>
      <x:c r="K6366" s="87" t="n">
        <x:v>14</x:v>
      </x:c>
      <x:c r="L6366" s="87" t="str">
        <x:v>Reading: multiple choice</x:v>
      </x:c>
      <x:c r="M6366" s="30" t="str">
        <x:v>Answer a multiple-choice question about affordable activities in Moscow.</x:v>
      </x:c>
      <x:c r="N6366" s="30" t="str">
        <x:v>1</x:v>
      </x:c>
      <x:c r="O6366" s="30" t="str">
        <x:v>Ответ независимо проверен по тексту, грамматике и лексическому контексту.</x:v>
      </x:c>
      <x:c r="P6366" s="30"/>
      <x:c r="Q6366" s="30" t="str">
        <x:v>Полная визуальная страница + независимое решение; публичная навигационная сверка.</x:v>
      </x:c>
      <x:c r="R6366" s="30" t="str">
        <x:v>1</x:v>
      </x:c>
      <x:c r="S6366" s="30"/>
      <x:c r="T6366" s="30"/>
      <x:c r="U6366" s="30" t="str">
        <x:v>Ответник совпадает с независимой проверкой.</x:v>
      </x:c>
      <x:c r="V6366" s="87" t="str">
        <x:v>VERIFIED</x:v>
      </x:c>
      <x:c r="W6366" s="87"/>
      <x:c r="X6366" s="87" t="n">
        <x:v>5</x:v>
      </x:c>
      <x:c r="Y6366" s="87"/>
      <x:c r="Z6366" s="87"/>
      <x:c r="AA6366" s="87"/>
      <x:c r="AB6366" s="87"/>
      <x:c r="AC6366" s="87" t="str">
        <x:v>VIS-EGKR-ENG-S26-TASK-953-P005</x:v>
      </x:c>
      <x:c r="AD6366" s="87" t="str">
        <x:v>VIS-EGKR-ENG-S26-ANSWERDOC-P001</x:v>
      </x:c>
      <x:c r="AE6366" s="87" t="str">
        <x:v>TASK; SECONDARY_ANSWER_AND_MODEL_SOURCE</x:v>
      </x:c>
      <x:c r="AF6366" s="87" t="str">
        <x:v>VIS-EGKR-ENG-S26-TASK-953-P005: 5; VIS-EGKR-ENG-S26-ANSWERDOC-P001: 1</x:v>
      </x:c>
      <x:c r="AG6366" s="87" t="str">
        <x:v>RESOLVED</x:v>
      </x:c>
      <x:c r="AH6366" s="87" t="str">
        <x:v>CROP_VERIFIED</x:v>
      </x:c>
      <x:c r="AI6366" s="30"/>
      <x:c r="AJ6366" s="87" t="str">
        <x:v>clean</x:v>
      </x:c>
      <x:c r="AK6366" s="87" t="str">
        <x:v>clean-v0.23</x:v>
      </x:c>
      <x:c r="AL6366" s="87" t="str">
        <x:v>statgrad_clean_continuation_v0_23(1).xlsx</x:v>
      </x:c>
      <x:c r="AM6366" s="87" t="str">
        <x:v>ENG_S26_953</x:v>
      </x:c>
      <x:c r="AN6366" s="87" t="n">
        <x:v>15</x:v>
      </x:c>
    </x:row>
    <x:row r="6367">
      <x:c r="A6367" s="87" t="n">
        <x:v>6366</x:v>
      </x:c>
      <x:c r="B6367" s="87" t="str">
        <x:v>EGKR-S26-ENG-953-15</x:v>
      </x:c>
      <x:c r="C6367" s="87" t="str">
        <x:v>ЕГКР</x:v>
      </x:c>
      <x:c r="D6367" s="87"/>
      <x:c r="E6367" s="87" t="str">
        <x:v>Весна 2026</x:v>
      </x:c>
      <x:c r="F6367" s="87" t="str">
        <x:v>14.04.2026</x:v>
      </x:c>
      <x:c r="G6367" s="87" t="str">
        <x:v>Английский язык</x:v>
      </x:c>
      <x:c r="H6367" s="87" t="n">
        <x:v>11</x:v>
      </x:c>
      <x:c r="I6367" s="87"/>
      <x:c r="J6367" s="87" t="str">
        <x:v>953</x:v>
      </x:c>
      <x:c r="K6367" s="87" t="n">
        <x:v>15</x:v>
      </x:c>
      <x:c r="L6367" s="87" t="str">
        <x:v>Reading: multiple choice</x:v>
      </x:c>
      <x:c r="M6367" s="30" t="str">
        <x:v>Answer a multiple-choice question about affordable activities in Moscow.</x:v>
      </x:c>
      <x:c r="N6367" s="30" t="str">
        <x:v>1</x:v>
      </x:c>
      <x:c r="O6367" s="30" t="str">
        <x:v>Ответ независимо проверен по тексту, грамматике и лексическому контексту.</x:v>
      </x:c>
      <x:c r="P6367" s="30"/>
      <x:c r="Q6367" s="30" t="str">
        <x:v>Полная визуальная страница + независимое решение; публичная навигационная сверка.</x:v>
      </x:c>
      <x:c r="R6367" s="30" t="str">
        <x:v>1</x:v>
      </x:c>
      <x:c r="S6367" s="30"/>
      <x:c r="T6367" s="30"/>
      <x:c r="U6367" s="30" t="str">
        <x:v>Ответник совпадает с независимой проверкой.</x:v>
      </x:c>
      <x:c r="V6367" s="87" t="str">
        <x:v>VERIFIED</x:v>
      </x:c>
      <x:c r="W6367" s="87"/>
      <x:c r="X6367" s="87" t="n">
        <x:v>5</x:v>
      </x:c>
      <x:c r="Y6367" s="87"/>
      <x:c r="Z6367" s="87"/>
      <x:c r="AA6367" s="87"/>
      <x:c r="AB6367" s="87"/>
      <x:c r="AC6367" s="87" t="str">
        <x:v>VIS-EGKR-ENG-S26-TASK-953-P005</x:v>
      </x:c>
      <x:c r="AD6367" s="87" t="str">
        <x:v>VIS-EGKR-ENG-S26-ANSWERDOC-P001</x:v>
      </x:c>
      <x:c r="AE6367" s="87" t="str">
        <x:v>TASK; SECONDARY_ANSWER_AND_MODEL_SOURCE</x:v>
      </x:c>
      <x:c r="AF6367" s="87" t="str">
        <x:v>VIS-EGKR-ENG-S26-TASK-953-P005: 5; VIS-EGKR-ENG-S26-ANSWERDOC-P001: 1</x:v>
      </x:c>
      <x:c r="AG6367" s="87" t="str">
        <x:v>RESOLVED</x:v>
      </x:c>
      <x:c r="AH6367" s="87" t="str">
        <x:v>CROP_VERIFIED</x:v>
      </x:c>
      <x:c r="AI6367" s="30"/>
      <x:c r="AJ6367" s="87" t="str">
        <x:v>clean</x:v>
      </x:c>
      <x:c r="AK6367" s="87" t="str">
        <x:v>clean-v0.23</x:v>
      </x:c>
      <x:c r="AL6367" s="87" t="str">
        <x:v>statgrad_clean_continuation_v0_23(1).xlsx</x:v>
      </x:c>
      <x:c r="AM6367" s="87" t="str">
        <x:v>ENG_S26_953</x:v>
      </x:c>
      <x:c r="AN6367" s="87" t="n">
        <x:v>16</x:v>
      </x:c>
    </x:row>
    <x:row r="6368">
      <x:c r="A6368" s="87" t="n">
        <x:v>6367</x:v>
      </x:c>
      <x:c r="B6368" s="87" t="str">
        <x:v>EGKR-S26-ENG-953-16</x:v>
      </x:c>
      <x:c r="C6368" s="87" t="str">
        <x:v>ЕГКР</x:v>
      </x:c>
      <x:c r="D6368" s="87"/>
      <x:c r="E6368" s="87" t="str">
        <x:v>Весна 2026</x:v>
      </x:c>
      <x:c r="F6368" s="87" t="str">
        <x:v>14.04.2026</x:v>
      </x:c>
      <x:c r="G6368" s="87" t="str">
        <x:v>Английский язык</x:v>
      </x:c>
      <x:c r="H6368" s="87" t="n">
        <x:v>11</x:v>
      </x:c>
      <x:c r="I6368" s="87"/>
      <x:c r="J6368" s="87" t="str">
        <x:v>953</x:v>
      </x:c>
      <x:c r="K6368" s="87" t="n">
        <x:v>16</x:v>
      </x:c>
      <x:c r="L6368" s="87" t="str">
        <x:v>Reading: multiple choice</x:v>
      </x:c>
      <x:c r="M6368" s="30" t="str">
        <x:v>Answer a multiple-choice question about affordable activities in Moscow.</x:v>
      </x:c>
      <x:c r="N6368" s="30" t="str">
        <x:v>3</x:v>
      </x:c>
      <x:c r="O6368" s="30" t="str">
        <x:v>Ответ независимо проверен по тексту, грамматике и лексическому контексту.</x:v>
      </x:c>
      <x:c r="P6368" s="30"/>
      <x:c r="Q6368" s="30" t="str">
        <x:v>Полная визуальная страница + независимое решение; публичная навигационная сверка.</x:v>
      </x:c>
      <x:c r="R6368" s="30" t="str">
        <x:v>3</x:v>
      </x:c>
      <x:c r="S6368" s="30"/>
      <x:c r="T6368" s="30"/>
      <x:c r="U6368" s="30" t="str">
        <x:v>Ответник совпадает с независимой проверкой.</x:v>
      </x:c>
      <x:c r="V6368" s="87" t="str">
        <x:v>VERIFIED</x:v>
      </x:c>
      <x:c r="W6368" s="87"/>
      <x:c r="X6368" s="87" t="n">
        <x:v>5</x:v>
      </x:c>
      <x:c r="Y6368" s="87"/>
      <x:c r="Z6368" s="87"/>
      <x:c r="AA6368" s="87"/>
      <x:c r="AB6368" s="87"/>
      <x:c r="AC6368" s="87" t="str">
        <x:v>VIS-EGKR-ENG-S26-TASK-953-P005</x:v>
      </x:c>
      <x:c r="AD6368" s="87" t="str">
        <x:v>VIS-EGKR-ENG-S26-ANSWERDOC-P001</x:v>
      </x:c>
      <x:c r="AE6368" s="87" t="str">
        <x:v>TASK; SECONDARY_ANSWER_AND_MODEL_SOURCE</x:v>
      </x:c>
      <x:c r="AF6368" s="87" t="str">
        <x:v>VIS-EGKR-ENG-S26-TASK-953-P005: 5; VIS-EGKR-ENG-S26-ANSWERDOC-P001: 1</x:v>
      </x:c>
      <x:c r="AG6368" s="87" t="str">
        <x:v>RESOLVED</x:v>
      </x:c>
      <x:c r="AH6368" s="87" t="str">
        <x:v>CROP_VERIFIED</x:v>
      </x:c>
      <x:c r="AI6368" s="30"/>
      <x:c r="AJ6368" s="87" t="str">
        <x:v>clean</x:v>
      </x:c>
      <x:c r="AK6368" s="87" t="str">
        <x:v>clean-v0.23</x:v>
      </x:c>
      <x:c r="AL6368" s="87" t="str">
        <x:v>statgrad_clean_continuation_v0_23(1).xlsx</x:v>
      </x:c>
      <x:c r="AM6368" s="87" t="str">
        <x:v>ENG_S26_953</x:v>
      </x:c>
      <x:c r="AN6368" s="87" t="n">
        <x:v>17</x:v>
      </x:c>
    </x:row>
    <x:row r="6369">
      <x:c r="A6369" s="87" t="n">
        <x:v>6368</x:v>
      </x:c>
      <x:c r="B6369" s="87" t="str">
        <x:v>EGKR-S26-ENG-953-17</x:v>
      </x:c>
      <x:c r="C6369" s="87" t="str">
        <x:v>ЕГКР</x:v>
      </x:c>
      <x:c r="D6369" s="87"/>
      <x:c r="E6369" s="87" t="str">
        <x:v>Весна 2026</x:v>
      </x:c>
      <x:c r="F6369" s="87" t="str">
        <x:v>14.04.2026</x:v>
      </x:c>
      <x:c r="G6369" s="87" t="str">
        <x:v>Английский язык</x:v>
      </x:c>
      <x:c r="H6369" s="87" t="n">
        <x:v>11</x:v>
      </x:c>
      <x:c r="I6369" s="87"/>
      <x:c r="J6369" s="87" t="str">
        <x:v>953</x:v>
      </x:c>
      <x:c r="K6369" s="87" t="n">
        <x:v>17</x:v>
      </x:c>
      <x:c r="L6369" s="87" t="str">
        <x:v>Reading: multiple choice</x:v>
      </x:c>
      <x:c r="M6369" s="30" t="str">
        <x:v>Answer a multiple-choice question about affordable activities in Moscow.</x:v>
      </x:c>
      <x:c r="N6369" s="30" t="str">
        <x:v>4</x:v>
      </x:c>
      <x:c r="O6369" s="30" t="str">
        <x:v>Ответ независимо проверен по тексту, грамматике и лексическому контексту.</x:v>
      </x:c>
      <x:c r="P6369" s="30"/>
      <x:c r="Q6369" s="30" t="str">
        <x:v>Полная визуальная страница + независимое решение; публичная навигационная сверка.</x:v>
      </x:c>
      <x:c r="R6369" s="30" t="str">
        <x:v>4</x:v>
      </x:c>
      <x:c r="S6369" s="30"/>
      <x:c r="T6369" s="30"/>
      <x:c r="U6369" s="30" t="str">
        <x:v>Ответник совпадает с независимой проверкой.</x:v>
      </x:c>
      <x:c r="V6369" s="87" t="str">
        <x:v>VERIFIED</x:v>
      </x:c>
      <x:c r="W6369" s="87"/>
      <x:c r="X6369" s="87" t="n">
        <x:v>5</x:v>
      </x:c>
      <x:c r="Y6369" s="87"/>
      <x:c r="Z6369" s="87"/>
      <x:c r="AA6369" s="87"/>
      <x:c r="AB6369" s="87"/>
      <x:c r="AC6369" s="87" t="str">
        <x:v>VIS-EGKR-ENG-S26-TASK-953-P005</x:v>
      </x:c>
      <x:c r="AD6369" s="87" t="str">
        <x:v>VIS-EGKR-ENG-S26-ANSWERDOC-P001</x:v>
      </x:c>
      <x:c r="AE6369" s="87" t="str">
        <x:v>TASK; SECONDARY_ANSWER_AND_MODEL_SOURCE</x:v>
      </x:c>
      <x:c r="AF6369" s="87" t="str">
        <x:v>VIS-EGKR-ENG-S26-TASK-953-P005: 5; VIS-EGKR-ENG-S26-ANSWERDOC-P001: 1</x:v>
      </x:c>
      <x:c r="AG6369" s="87" t="str">
        <x:v>RESOLVED</x:v>
      </x:c>
      <x:c r="AH6369" s="87" t="str">
        <x:v>CROP_VERIFIED</x:v>
      </x:c>
      <x:c r="AI6369" s="30"/>
      <x:c r="AJ6369" s="87" t="str">
        <x:v>clean</x:v>
      </x:c>
      <x:c r="AK6369" s="87" t="str">
        <x:v>clean-v0.23</x:v>
      </x:c>
      <x:c r="AL6369" s="87" t="str">
        <x:v>statgrad_clean_continuation_v0_23(1).xlsx</x:v>
      </x:c>
      <x:c r="AM6369" s="87" t="str">
        <x:v>ENG_S26_953</x:v>
      </x:c>
      <x:c r="AN6369" s="87" t="n">
        <x:v>18</x:v>
      </x:c>
    </x:row>
    <x:row r="6370">
      <x:c r="A6370" s="87" t="n">
        <x:v>6369</x:v>
      </x:c>
      <x:c r="B6370" s="87" t="str">
        <x:v>EGKR-S26-ENG-953-18</x:v>
      </x:c>
      <x:c r="C6370" s="87" t="str">
        <x:v>ЕГКР</x:v>
      </x:c>
      <x:c r="D6370" s="87"/>
      <x:c r="E6370" s="87" t="str">
        <x:v>Весна 2026</x:v>
      </x:c>
      <x:c r="F6370" s="87" t="str">
        <x:v>14.04.2026</x:v>
      </x:c>
      <x:c r="G6370" s="87" t="str">
        <x:v>Английский язык</x:v>
      </x:c>
      <x:c r="H6370" s="87" t="n">
        <x:v>11</x:v>
      </x:c>
      <x:c r="I6370" s="87"/>
      <x:c r="J6370" s="87" t="str">
        <x:v>953</x:v>
      </x:c>
      <x:c r="K6370" s="87" t="n">
        <x:v>18</x:v>
      </x:c>
      <x:c r="L6370" s="87" t="str">
        <x:v>Reading: multiple choice</x:v>
      </x:c>
      <x:c r="M6370" s="30" t="str">
        <x:v>Answer a multiple-choice question about affordable activities in Moscow.</x:v>
      </x:c>
      <x:c r="N6370" s="30" t="str">
        <x:v>2</x:v>
      </x:c>
      <x:c r="O6370" s="30" t="str">
        <x:v>Ответ независимо проверен по тексту, грамматике и лексическому контексту.</x:v>
      </x:c>
      <x:c r="P6370" s="30"/>
      <x:c r="Q6370" s="30" t="str">
        <x:v>Полная визуальная страница + независимое решение; публичная навигационная сверка.</x:v>
      </x:c>
      <x:c r="R6370" s="30" t="str">
        <x:v>2</x:v>
      </x:c>
      <x:c r="S6370" s="30"/>
      <x:c r="T6370" s="30"/>
      <x:c r="U6370" s="30" t="str">
        <x:v>Ответник совпадает с независимой проверкой.</x:v>
      </x:c>
      <x:c r="V6370" s="87" t="str">
        <x:v>VERIFIED</x:v>
      </x:c>
      <x:c r="W6370" s="87"/>
      <x:c r="X6370" s="87" t="n">
        <x:v>5</x:v>
      </x:c>
      <x:c r="Y6370" s="87"/>
      <x:c r="Z6370" s="87"/>
      <x:c r="AA6370" s="87"/>
      <x:c r="AB6370" s="87"/>
      <x:c r="AC6370" s="87" t="str">
        <x:v>VIS-EGKR-ENG-S26-TASK-953-P005</x:v>
      </x:c>
      <x:c r="AD6370" s="87" t="str">
        <x:v>VIS-EGKR-ENG-S26-ANSWERDOC-P001</x:v>
      </x:c>
      <x:c r="AE6370" s="87" t="str">
        <x:v>TASK; SECONDARY_ANSWER_AND_MODEL_SOURCE</x:v>
      </x:c>
      <x:c r="AF6370" s="87" t="str">
        <x:v>VIS-EGKR-ENG-S26-TASK-953-P005: 5; VIS-EGKR-ENG-S26-ANSWERDOC-P001: 1</x:v>
      </x:c>
      <x:c r="AG6370" s="87" t="str">
        <x:v>RESOLVED</x:v>
      </x:c>
      <x:c r="AH6370" s="87" t="str">
        <x:v>CROP_VERIFIED</x:v>
      </x:c>
      <x:c r="AI6370" s="30"/>
      <x:c r="AJ6370" s="87" t="str">
        <x:v>clean</x:v>
      </x:c>
      <x:c r="AK6370" s="87" t="str">
        <x:v>clean-v0.23</x:v>
      </x:c>
      <x:c r="AL6370" s="87" t="str">
        <x:v>statgrad_clean_continuation_v0_23(1).xlsx</x:v>
      </x:c>
      <x:c r="AM6370" s="87" t="str">
        <x:v>ENG_S26_953</x:v>
      </x:c>
      <x:c r="AN6370" s="87" t="n">
        <x:v>19</x:v>
      </x:c>
    </x:row>
    <x:row r="6371">
      <x:c r="A6371" s="87" t="n">
        <x:v>6370</x:v>
      </x:c>
      <x:c r="B6371" s="87" t="str">
        <x:v>EGKR-S26-ENG-953-19</x:v>
      </x:c>
      <x:c r="C6371" s="87" t="str">
        <x:v>ЕГКР</x:v>
      </x:c>
      <x:c r="D6371" s="87"/>
      <x:c r="E6371" s="87" t="str">
        <x:v>Весна 2026</x:v>
      </x:c>
      <x:c r="F6371" s="87" t="str">
        <x:v>14.04.2026</x:v>
      </x:c>
      <x:c r="G6371" s="87" t="str">
        <x:v>Английский язык</x:v>
      </x:c>
      <x:c r="H6371" s="87" t="n">
        <x:v>11</x:v>
      </x:c>
      <x:c r="I6371" s="87"/>
      <x:c r="J6371" s="87" t="str">
        <x:v>953</x:v>
      </x:c>
      <x:c r="K6371" s="87" t="n">
        <x:v>19</x:v>
      </x:c>
      <x:c r="L6371" s="87" t="str">
        <x:v>Grammar transformation</x:v>
      </x:c>
      <x:c r="M6371" s="30" t="str">
        <x:v>Complete the Kilimanjaro National Park text with the correct grammatical form.</x:v>
      </x:c>
      <x:c r="N6371" s="30" t="str">
        <x:v>FEET</x:v>
      </x:c>
      <x:c r="O6371" s="30" t="str">
        <x:v>Ответ независимо проверен по тексту, грамматике и лексическому контексту.</x:v>
      </x:c>
      <x:c r="P6371" s="30"/>
      <x:c r="Q6371" s="30" t="str">
        <x:v>Полная визуальная страница + независимое решение; публичная навигационная сверка.</x:v>
      </x:c>
      <x:c r="R6371" s="30" t="str">
        <x:v>FEET</x:v>
      </x:c>
      <x:c r="S6371" s="30"/>
      <x:c r="T6371" s="30"/>
      <x:c r="U6371" s="30" t="str">
        <x:v>Ответник совпадает с независимой проверкой.</x:v>
      </x:c>
      <x:c r="V6371" s="87" t="str">
        <x:v>VERIFIED</x:v>
      </x:c>
      <x:c r="W6371" s="87"/>
      <x:c r="X6371" s="87" t="n">
        <x:v>6</x:v>
      </x:c>
      <x:c r="Y6371" s="87"/>
      <x:c r="Z6371" s="87"/>
      <x:c r="AA6371" s="87"/>
      <x:c r="AB6371" s="87"/>
      <x:c r="AC6371" s="87" t="str">
        <x:v>VIS-EGKR-ENG-S26-TASK-953-P006</x:v>
      </x:c>
      <x:c r="AD6371" s="87" t="str">
        <x:v>VIS-EGKR-ENG-S26-ANSWERDOC-P001</x:v>
      </x:c>
      <x:c r="AE6371" s="87" t="str">
        <x:v>TASK; SECONDARY_ANSWER_AND_MODEL_SOURCE</x:v>
      </x:c>
      <x:c r="AF6371" s="87" t="str">
        <x:v>VIS-EGKR-ENG-S26-TASK-953-P006: 6; VIS-EGKR-ENG-S26-ANSWERDOC-P001: 1</x:v>
      </x:c>
      <x:c r="AG6371" s="87" t="str">
        <x:v>RESOLVED</x:v>
      </x:c>
      <x:c r="AH6371" s="87" t="str">
        <x:v>CROP_VERIFIED</x:v>
      </x:c>
      <x:c r="AI6371" s="30"/>
      <x:c r="AJ6371" s="87" t="str">
        <x:v>clean</x:v>
      </x:c>
      <x:c r="AK6371" s="87" t="str">
        <x:v>clean-v0.23</x:v>
      </x:c>
      <x:c r="AL6371" s="87" t="str">
        <x:v>statgrad_clean_continuation_v0_23(1).xlsx</x:v>
      </x:c>
      <x:c r="AM6371" s="87" t="str">
        <x:v>ENG_S26_953</x:v>
      </x:c>
      <x:c r="AN6371" s="87" t="n">
        <x:v>20</x:v>
      </x:c>
    </x:row>
    <x:row r="6372">
      <x:c r="A6372" s="87" t="n">
        <x:v>6371</x:v>
      </x:c>
      <x:c r="B6372" s="87" t="str">
        <x:v>EGKR-S26-ENG-953-20</x:v>
      </x:c>
      <x:c r="C6372" s="87" t="str">
        <x:v>ЕГКР</x:v>
      </x:c>
      <x:c r="D6372" s="87"/>
      <x:c r="E6372" s="87" t="str">
        <x:v>Весна 2026</x:v>
      </x:c>
      <x:c r="F6372" s="87" t="str">
        <x:v>14.04.2026</x:v>
      </x:c>
      <x:c r="G6372" s="87" t="str">
        <x:v>Английский язык</x:v>
      </x:c>
      <x:c r="H6372" s="87" t="n">
        <x:v>11</x:v>
      </x:c>
      <x:c r="I6372" s="87"/>
      <x:c r="J6372" s="87" t="str">
        <x:v>953</x:v>
      </x:c>
      <x:c r="K6372" s="87" t="n">
        <x:v>20</x:v>
      </x:c>
      <x:c r="L6372" s="87" t="str">
        <x:v>Grammar transformation</x:v>
      </x:c>
      <x:c r="M6372" s="30" t="str">
        <x:v>Complete the Kilimanjaro National Park text with the correct grammatical form.</x:v>
      </x:c>
      <x:c r="N6372" s="30" t="str">
        <x:v>WAS ESTABLISHED</x:v>
      </x:c>
      <x:c r="O6372" s="30" t="str">
        <x:v>Ответ независимо проверен по тексту, грамматике и лексическому контексту.</x:v>
      </x:c>
      <x:c r="P6372" s="30"/>
      <x:c r="Q6372" s="30" t="str">
        <x:v>Полная визуальная страница + независимое решение; публичная навигационная сверка.</x:v>
      </x:c>
      <x:c r="R6372" s="30" t="str">
        <x:v>WAS ESTABLISHED</x:v>
      </x:c>
      <x:c r="S6372" s="30"/>
      <x:c r="T6372" s="30"/>
      <x:c r="U6372" s="30" t="str">
        <x:v>Ответник совпадает с независимой проверкой.</x:v>
      </x:c>
      <x:c r="V6372" s="87" t="str">
        <x:v>VERIFIED</x:v>
      </x:c>
      <x:c r="W6372" s="87"/>
      <x:c r="X6372" s="87" t="n">
        <x:v>6</x:v>
      </x:c>
      <x:c r="Y6372" s="87"/>
      <x:c r="Z6372" s="87"/>
      <x:c r="AA6372" s="87"/>
      <x:c r="AB6372" s="87"/>
      <x:c r="AC6372" s="87" t="str">
        <x:v>VIS-EGKR-ENG-S26-TASK-953-P006</x:v>
      </x:c>
      <x:c r="AD6372" s="87" t="str">
        <x:v>VIS-EGKR-ENG-S26-ANSWERDOC-P001</x:v>
      </x:c>
      <x:c r="AE6372" s="87" t="str">
        <x:v>TASK; SECONDARY_ANSWER_AND_MODEL_SOURCE</x:v>
      </x:c>
      <x:c r="AF6372" s="87" t="str">
        <x:v>VIS-EGKR-ENG-S26-TASK-953-P006: 6; VIS-EGKR-ENG-S26-ANSWERDOC-P001: 1</x:v>
      </x:c>
      <x:c r="AG6372" s="87" t="str">
        <x:v>RESOLVED</x:v>
      </x:c>
      <x:c r="AH6372" s="87" t="str">
        <x:v>CROP_VERIFIED</x:v>
      </x:c>
      <x:c r="AI6372" s="30"/>
      <x:c r="AJ6372" s="87" t="str">
        <x:v>clean</x:v>
      </x:c>
      <x:c r="AK6372" s="87" t="str">
        <x:v>clean-v0.23</x:v>
      </x:c>
      <x:c r="AL6372" s="87" t="str">
        <x:v>statgrad_clean_continuation_v0_23(1).xlsx</x:v>
      </x:c>
      <x:c r="AM6372" s="87" t="str">
        <x:v>ENG_S26_953</x:v>
      </x:c>
      <x:c r="AN6372" s="87" t="n">
        <x:v>21</x:v>
      </x:c>
    </x:row>
    <x:row r="6373">
      <x:c r="A6373" s="87" t="n">
        <x:v>6372</x:v>
      </x:c>
      <x:c r="B6373" s="87" t="str">
        <x:v>EGKR-S26-ENG-953-21</x:v>
      </x:c>
      <x:c r="C6373" s="87" t="str">
        <x:v>ЕГКР</x:v>
      </x:c>
      <x:c r="D6373" s="87"/>
      <x:c r="E6373" s="87" t="str">
        <x:v>Весна 2026</x:v>
      </x:c>
      <x:c r="F6373" s="87" t="str">
        <x:v>14.04.2026</x:v>
      </x:c>
      <x:c r="G6373" s="87" t="str">
        <x:v>Английский язык</x:v>
      </x:c>
      <x:c r="H6373" s="87" t="n">
        <x:v>11</x:v>
      </x:c>
      <x:c r="I6373" s="87"/>
      <x:c r="J6373" s="87" t="str">
        <x:v>953</x:v>
      </x:c>
      <x:c r="K6373" s="87" t="n">
        <x:v>21</x:v>
      </x:c>
      <x:c r="L6373" s="87" t="str">
        <x:v>Grammar transformation</x:v>
      </x:c>
      <x:c r="M6373" s="30" t="str">
        <x:v>Complete the Kilimanjaro National Park text with the correct grammatical form.</x:v>
      </x:c>
      <x:c r="N6373" s="30" t="str">
        <x:v>THOSE</x:v>
      </x:c>
      <x:c r="O6373" s="30" t="str">
        <x:v>Ответ независимо проверен по тексту, грамматике и лексическому контексту.</x:v>
      </x:c>
      <x:c r="P6373" s="30"/>
      <x:c r="Q6373" s="30" t="str">
        <x:v>Полная визуальная страница + независимое решение; публичная навигационная сверка.</x:v>
      </x:c>
      <x:c r="R6373" s="30" t="str">
        <x:v>THOSE</x:v>
      </x:c>
      <x:c r="S6373" s="30"/>
      <x:c r="T6373" s="30"/>
      <x:c r="U6373" s="30" t="str">
        <x:v>Ответник совпадает с независимой проверкой.</x:v>
      </x:c>
      <x:c r="V6373" s="87" t="str">
        <x:v>VERIFIED</x:v>
      </x:c>
      <x:c r="W6373" s="87"/>
      <x:c r="X6373" s="87" t="n">
        <x:v>6</x:v>
      </x:c>
      <x:c r="Y6373" s="87"/>
      <x:c r="Z6373" s="87"/>
      <x:c r="AA6373" s="87"/>
      <x:c r="AB6373" s="87"/>
      <x:c r="AC6373" s="87" t="str">
        <x:v>VIS-EGKR-ENG-S26-TASK-953-P006</x:v>
      </x:c>
      <x:c r="AD6373" s="87" t="str">
        <x:v>VIS-EGKR-ENG-S26-ANSWERDOC-P001</x:v>
      </x:c>
      <x:c r="AE6373" s="87" t="str">
        <x:v>TASK; SECONDARY_ANSWER_AND_MODEL_SOURCE</x:v>
      </x:c>
      <x:c r="AF6373" s="87" t="str">
        <x:v>VIS-EGKR-ENG-S26-TASK-953-P006: 6; VIS-EGKR-ENG-S26-ANSWERDOC-P001: 1</x:v>
      </x:c>
      <x:c r="AG6373" s="87" t="str">
        <x:v>RESOLVED</x:v>
      </x:c>
      <x:c r="AH6373" s="87" t="str">
        <x:v>CROP_VERIFIED</x:v>
      </x:c>
      <x:c r="AI6373" s="30"/>
      <x:c r="AJ6373" s="87" t="str">
        <x:v>clean</x:v>
      </x:c>
      <x:c r="AK6373" s="87" t="str">
        <x:v>clean-v0.23</x:v>
      </x:c>
      <x:c r="AL6373" s="87" t="str">
        <x:v>statgrad_clean_continuation_v0_23(1).xlsx</x:v>
      </x:c>
      <x:c r="AM6373" s="87" t="str">
        <x:v>ENG_S26_953</x:v>
      </x:c>
      <x:c r="AN6373" s="87" t="n">
        <x:v>22</x:v>
      </x:c>
    </x:row>
    <x:row r="6374">
      <x:c r="A6374" s="87" t="n">
        <x:v>6373</x:v>
      </x:c>
      <x:c r="B6374" s="87" t="str">
        <x:v>EGKR-S26-ENG-953-22</x:v>
      </x:c>
      <x:c r="C6374" s="87" t="str">
        <x:v>ЕГКР</x:v>
      </x:c>
      <x:c r="D6374" s="87"/>
      <x:c r="E6374" s="87" t="str">
        <x:v>Весна 2026</x:v>
      </x:c>
      <x:c r="F6374" s="87" t="str">
        <x:v>14.04.2026</x:v>
      </x:c>
      <x:c r="G6374" s="87" t="str">
        <x:v>Английский язык</x:v>
      </x:c>
      <x:c r="H6374" s="87" t="n">
        <x:v>11</x:v>
      </x:c>
      <x:c r="I6374" s="87"/>
      <x:c r="J6374" s="87" t="str">
        <x:v>953</x:v>
      </x:c>
      <x:c r="K6374" s="87" t="n">
        <x:v>22</x:v>
      </x:c>
      <x:c r="L6374" s="87" t="str">
        <x:v>Grammar transformation</x:v>
      </x:c>
      <x:c r="M6374" s="30" t="str">
        <x:v>Complete the Kilimanjaro National Park text with the correct grammatical form.</x:v>
      </x:c>
      <x:c r="N6374" s="30" t="str">
        <x:v>FIRST</x:v>
      </x:c>
      <x:c r="O6374" s="30" t="str">
        <x:v>Ответ независимо проверен по тексту, грамматике и лексическому контексту.</x:v>
      </x:c>
      <x:c r="P6374" s="30"/>
      <x:c r="Q6374" s="30" t="str">
        <x:v>Полная визуальная страница + независимое решение; публичная навигационная сверка.</x:v>
      </x:c>
      <x:c r="R6374" s="30" t="str">
        <x:v>FIRST</x:v>
      </x:c>
      <x:c r="S6374" s="30"/>
      <x:c r="T6374" s="30"/>
      <x:c r="U6374" s="30" t="str">
        <x:v>Ответник совпадает с независимой проверкой.</x:v>
      </x:c>
      <x:c r="V6374" s="87" t="str">
        <x:v>VERIFIED</x:v>
      </x:c>
      <x:c r="W6374" s="87"/>
      <x:c r="X6374" s="87" t="n">
        <x:v>6</x:v>
      </x:c>
      <x:c r="Y6374" s="87"/>
      <x:c r="Z6374" s="87"/>
      <x:c r="AA6374" s="87"/>
      <x:c r="AB6374" s="87"/>
      <x:c r="AC6374" s="87" t="str">
        <x:v>VIS-EGKR-ENG-S26-TASK-953-P006</x:v>
      </x:c>
      <x:c r="AD6374" s="87" t="str">
        <x:v>VIS-EGKR-ENG-S26-ANSWERDOC-P001</x:v>
      </x:c>
      <x:c r="AE6374" s="87" t="str">
        <x:v>TASK; SECONDARY_ANSWER_AND_MODEL_SOURCE</x:v>
      </x:c>
      <x:c r="AF6374" s="87" t="str">
        <x:v>VIS-EGKR-ENG-S26-TASK-953-P006: 6; VIS-EGKR-ENG-S26-ANSWERDOC-P001: 1</x:v>
      </x:c>
      <x:c r="AG6374" s="87" t="str">
        <x:v>RESOLVED</x:v>
      </x:c>
      <x:c r="AH6374" s="87" t="str">
        <x:v>CROP_VERIFIED</x:v>
      </x:c>
      <x:c r="AI6374" s="30"/>
      <x:c r="AJ6374" s="87" t="str">
        <x:v>clean</x:v>
      </x:c>
      <x:c r="AK6374" s="87" t="str">
        <x:v>clean-v0.23</x:v>
      </x:c>
      <x:c r="AL6374" s="87" t="str">
        <x:v>statgrad_clean_continuation_v0_23(1).xlsx</x:v>
      </x:c>
      <x:c r="AM6374" s="87" t="str">
        <x:v>ENG_S26_953</x:v>
      </x:c>
      <x:c r="AN6374" s="87" t="n">
        <x:v>23</x:v>
      </x:c>
    </x:row>
    <x:row r="6375">
      <x:c r="A6375" s="87" t="n">
        <x:v>6374</x:v>
      </x:c>
      <x:c r="B6375" s="87" t="str">
        <x:v>EGKR-S26-ENG-953-23</x:v>
      </x:c>
      <x:c r="C6375" s="87" t="str">
        <x:v>ЕГКР</x:v>
      </x:c>
      <x:c r="D6375" s="87"/>
      <x:c r="E6375" s="87" t="str">
        <x:v>Весна 2026</x:v>
      </x:c>
      <x:c r="F6375" s="87" t="str">
        <x:v>14.04.2026</x:v>
      </x:c>
      <x:c r="G6375" s="87" t="str">
        <x:v>Английский язык</x:v>
      </x:c>
      <x:c r="H6375" s="87" t="n">
        <x:v>11</x:v>
      </x:c>
      <x:c r="I6375" s="87"/>
      <x:c r="J6375" s="87" t="str">
        <x:v>953</x:v>
      </x:c>
      <x:c r="K6375" s="87" t="n">
        <x:v>23</x:v>
      </x:c>
      <x:c r="L6375" s="87" t="str">
        <x:v>Grammar transformation</x:v>
      </x:c>
      <x:c r="M6375" s="30" t="str">
        <x:v>Complete the Kilimanjaro National Park text with the correct grammatical form.</x:v>
      </x:c>
      <x:c r="N6375" s="30" t="str">
        <x:v>WATCHING</x:v>
      </x:c>
      <x:c r="O6375" s="30" t="str">
        <x:v>Ответ независимо проверен по тексту, грамматике и лексическому контексту.</x:v>
      </x:c>
      <x:c r="P6375" s="30"/>
      <x:c r="Q6375" s="30" t="str">
        <x:v>Полная визуальная страница + независимое решение; публичная навигационная сверка.</x:v>
      </x:c>
      <x:c r="R6375" s="30" t="str">
        <x:v>WATCHING</x:v>
      </x:c>
      <x:c r="S6375" s="30"/>
      <x:c r="T6375" s="30"/>
      <x:c r="U6375" s="30" t="str">
        <x:v>Ответник совпадает с независимой проверкой.</x:v>
      </x:c>
      <x:c r="V6375" s="87" t="str">
        <x:v>VERIFIED</x:v>
      </x:c>
      <x:c r="W6375" s="87"/>
      <x:c r="X6375" s="87" t="n">
        <x:v>6</x:v>
      </x:c>
      <x:c r="Y6375" s="87"/>
      <x:c r="Z6375" s="87"/>
      <x:c r="AA6375" s="87"/>
      <x:c r="AB6375" s="87"/>
      <x:c r="AC6375" s="87" t="str">
        <x:v>VIS-EGKR-ENG-S26-TASK-953-P006</x:v>
      </x:c>
      <x:c r="AD6375" s="87" t="str">
        <x:v>VIS-EGKR-ENG-S26-ANSWERDOC-P001</x:v>
      </x:c>
      <x:c r="AE6375" s="87" t="str">
        <x:v>TASK; SECONDARY_ANSWER_AND_MODEL_SOURCE</x:v>
      </x:c>
      <x:c r="AF6375" s="87" t="str">
        <x:v>VIS-EGKR-ENG-S26-TASK-953-P006: 6; VIS-EGKR-ENG-S26-ANSWERDOC-P001: 1</x:v>
      </x:c>
      <x:c r="AG6375" s="87" t="str">
        <x:v>RESOLVED</x:v>
      </x:c>
      <x:c r="AH6375" s="87" t="str">
        <x:v>CROP_VERIFIED</x:v>
      </x:c>
      <x:c r="AI6375" s="30"/>
      <x:c r="AJ6375" s="87" t="str">
        <x:v>clean</x:v>
      </x:c>
      <x:c r="AK6375" s="87" t="str">
        <x:v>clean-v0.23</x:v>
      </x:c>
      <x:c r="AL6375" s="87" t="str">
        <x:v>statgrad_clean_continuation_v0_23(1).xlsx</x:v>
      </x:c>
      <x:c r="AM6375" s="87" t="str">
        <x:v>ENG_S26_953</x:v>
      </x:c>
      <x:c r="AN6375" s="87" t="n">
        <x:v>24</x:v>
      </x:c>
    </x:row>
    <x:row r="6376">
      <x:c r="A6376" s="87" t="n">
        <x:v>6375</x:v>
      </x:c>
      <x:c r="B6376" s="87" t="str">
        <x:v>EGKR-S26-ENG-953-24</x:v>
      </x:c>
      <x:c r="C6376" s="87" t="str">
        <x:v>ЕГКР</x:v>
      </x:c>
      <x:c r="D6376" s="87"/>
      <x:c r="E6376" s="87" t="str">
        <x:v>Весна 2026</x:v>
      </x:c>
      <x:c r="F6376" s="87" t="str">
        <x:v>14.04.2026</x:v>
      </x:c>
      <x:c r="G6376" s="87" t="str">
        <x:v>Английский язык</x:v>
      </x:c>
      <x:c r="H6376" s="87" t="n">
        <x:v>11</x:v>
      </x:c>
      <x:c r="I6376" s="87"/>
      <x:c r="J6376" s="87" t="str">
        <x:v>953</x:v>
      </x:c>
      <x:c r="K6376" s="87" t="n">
        <x:v>24</x:v>
      </x:c>
      <x:c r="L6376" s="87" t="str">
        <x:v>Grammar transformation</x:v>
      </x:c>
      <x:c r="M6376" s="30" t="str">
        <x:v>Complete the Kilimanjaro National Park text with the correct grammatical form.</x:v>
      </x:c>
      <x:c r="N6376" s="30" t="str">
        <x:v>HAS BEEN</x:v>
      </x:c>
      <x:c r="O6376" s="30" t="str">
        <x:v>Ответ независимо проверен по тексту, грамматике и лексическому контексту.</x:v>
      </x:c>
      <x:c r="P6376" s="30"/>
      <x:c r="Q6376" s="30" t="str">
        <x:v>Полная визуальная страница + независимое решение; публичная навигационная сверка.</x:v>
      </x:c>
      <x:c r="R6376" s="30" t="str">
        <x:v>HAS BEEN</x:v>
      </x:c>
      <x:c r="S6376" s="30"/>
      <x:c r="T6376" s="30"/>
      <x:c r="U6376" s="30" t="str">
        <x:v>Ответник совпадает с независимой проверкой.</x:v>
      </x:c>
      <x:c r="V6376" s="87" t="str">
        <x:v>VERIFIED</x:v>
      </x:c>
      <x:c r="W6376" s="87"/>
      <x:c r="X6376" s="87" t="n">
        <x:v>6</x:v>
      </x:c>
      <x:c r="Y6376" s="87"/>
      <x:c r="Z6376" s="87"/>
      <x:c r="AA6376" s="87"/>
      <x:c r="AB6376" s="87"/>
      <x:c r="AC6376" s="87" t="str">
        <x:v>VIS-EGKR-ENG-S26-TASK-953-P006</x:v>
      </x:c>
      <x:c r="AD6376" s="87" t="str">
        <x:v>VIS-EGKR-ENG-S26-ANSWERDOC-P001</x:v>
      </x:c>
      <x:c r="AE6376" s="87" t="str">
        <x:v>TASK; SECONDARY_ANSWER_AND_MODEL_SOURCE</x:v>
      </x:c>
      <x:c r="AF6376" s="87" t="str">
        <x:v>VIS-EGKR-ENG-S26-TASK-953-P006: 6; VIS-EGKR-ENG-S26-ANSWERDOC-P001: 1</x:v>
      </x:c>
      <x:c r="AG6376" s="87" t="str">
        <x:v>RESOLVED</x:v>
      </x:c>
      <x:c r="AH6376" s="87" t="str">
        <x:v>CROP_VERIFIED</x:v>
      </x:c>
      <x:c r="AI6376" s="30"/>
      <x:c r="AJ6376" s="87" t="str">
        <x:v>clean</x:v>
      </x:c>
      <x:c r="AK6376" s="87" t="str">
        <x:v>clean-v0.23</x:v>
      </x:c>
      <x:c r="AL6376" s="87" t="str">
        <x:v>statgrad_clean_continuation_v0_23(1).xlsx</x:v>
      </x:c>
      <x:c r="AM6376" s="87" t="str">
        <x:v>ENG_S26_953</x:v>
      </x:c>
      <x:c r="AN6376" s="87" t="n">
        <x:v>25</x:v>
      </x:c>
    </x:row>
    <x:row r="6377">
      <x:c r="A6377" s="87" t="n">
        <x:v>6376</x:v>
      </x:c>
      <x:c r="B6377" s="87" t="str">
        <x:v>EGKR-S26-ENG-953-25</x:v>
      </x:c>
      <x:c r="C6377" s="87" t="str">
        <x:v>ЕГКР</x:v>
      </x:c>
      <x:c r="D6377" s="87"/>
      <x:c r="E6377" s="87" t="str">
        <x:v>Весна 2026</x:v>
      </x:c>
      <x:c r="F6377" s="87" t="str">
        <x:v>14.04.2026</x:v>
      </x:c>
      <x:c r="G6377" s="87" t="str">
        <x:v>Английский язык</x:v>
      </x:c>
      <x:c r="H6377" s="87" t="n">
        <x:v>11</x:v>
      </x:c>
      <x:c r="I6377" s="87"/>
      <x:c r="J6377" s="87" t="str">
        <x:v>953</x:v>
      </x:c>
      <x:c r="K6377" s="87" t="n">
        <x:v>25</x:v>
      </x:c>
      <x:c r="L6377" s="87" t="str">
        <x:v>Word formation</x:v>
      </x:c>
      <x:c r="M6377" s="30" t="str">
        <x:v>Form the correct word for the Russian ballet text.</x:v>
      </x:c>
      <x:c r="N6377" s="30" t="str">
        <x:v>INCREDIBLE</x:v>
      </x:c>
      <x:c r="O6377" s="30" t="str">
        <x:v>Ответ независимо проверен по тексту, грамматике и лексическому контексту.</x:v>
      </x:c>
      <x:c r="P6377" s="30"/>
      <x:c r="Q6377" s="30" t="str">
        <x:v>Полная визуальная страница + независимое решение; публичная навигационная сверка.</x:v>
      </x:c>
      <x:c r="R6377" s="30" t="str">
        <x:v>INCREDIBLE</x:v>
      </x:c>
      <x:c r="S6377" s="30"/>
      <x:c r="T6377" s="30"/>
      <x:c r="U6377" s="30" t="str">
        <x:v>Ответник совпадает с независимой проверкой.</x:v>
      </x:c>
      <x:c r="V6377" s="87" t="str">
        <x:v>VERIFIED</x:v>
      </x:c>
      <x:c r="W6377" s="87"/>
      <x:c r="X6377" s="87" t="n">
        <x:v>6</x:v>
      </x:c>
      <x:c r="Y6377" s="87"/>
      <x:c r="Z6377" s="87"/>
      <x:c r="AA6377" s="87"/>
      <x:c r="AB6377" s="87"/>
      <x:c r="AC6377" s="87" t="str">
        <x:v>VIS-EGKR-ENG-S26-TASK-953-P006</x:v>
      </x:c>
      <x:c r="AD6377" s="87" t="str">
        <x:v>VIS-EGKR-ENG-S26-ANSWERDOC-P001</x:v>
      </x:c>
      <x:c r="AE6377" s="87" t="str">
        <x:v>TASK; SECONDARY_ANSWER_AND_MODEL_SOURCE</x:v>
      </x:c>
      <x:c r="AF6377" s="87" t="str">
        <x:v>VIS-EGKR-ENG-S26-TASK-953-P006: 6; VIS-EGKR-ENG-S26-ANSWERDOC-P001: 1</x:v>
      </x:c>
      <x:c r="AG6377" s="87" t="str">
        <x:v>RESOLVED</x:v>
      </x:c>
      <x:c r="AH6377" s="87" t="str">
        <x:v>CROP_VERIFIED</x:v>
      </x:c>
      <x:c r="AI6377" s="30"/>
      <x:c r="AJ6377" s="87" t="str">
        <x:v>clean</x:v>
      </x:c>
      <x:c r="AK6377" s="87" t="str">
        <x:v>clean-v0.23</x:v>
      </x:c>
      <x:c r="AL6377" s="87" t="str">
        <x:v>statgrad_clean_continuation_v0_23(1).xlsx</x:v>
      </x:c>
      <x:c r="AM6377" s="87" t="str">
        <x:v>ENG_S26_953</x:v>
      </x:c>
      <x:c r="AN6377" s="87" t="n">
        <x:v>26</x:v>
      </x:c>
    </x:row>
    <x:row r="6378">
      <x:c r="A6378" s="87" t="n">
        <x:v>6377</x:v>
      </x:c>
      <x:c r="B6378" s="87" t="str">
        <x:v>EGKR-S26-ENG-953-26</x:v>
      </x:c>
      <x:c r="C6378" s="87" t="str">
        <x:v>ЕГКР</x:v>
      </x:c>
      <x:c r="D6378" s="87"/>
      <x:c r="E6378" s="87" t="str">
        <x:v>Весна 2026</x:v>
      </x:c>
      <x:c r="F6378" s="87" t="str">
        <x:v>14.04.2026</x:v>
      </x:c>
      <x:c r="G6378" s="87" t="str">
        <x:v>Английский язык</x:v>
      </x:c>
      <x:c r="H6378" s="87" t="n">
        <x:v>11</x:v>
      </x:c>
      <x:c r="I6378" s="87"/>
      <x:c r="J6378" s="87" t="str">
        <x:v>953</x:v>
      </x:c>
      <x:c r="K6378" s="87" t="n">
        <x:v>26</x:v>
      </x:c>
      <x:c r="L6378" s="87" t="str">
        <x:v>Word formation</x:v>
      </x:c>
      <x:c r="M6378" s="30" t="str">
        <x:v>Form the correct word for the Russian ballet text.</x:v>
      </x:c>
      <x:c r="N6378" s="30" t="str">
        <x:v>REALLY</x:v>
      </x:c>
      <x:c r="O6378" s="30" t="str">
        <x:v>Ответ независимо проверен по тексту, грамматике и лексическому контексту.</x:v>
      </x:c>
      <x:c r="P6378" s="30"/>
      <x:c r="Q6378" s="30" t="str">
        <x:v>Полная визуальная страница + независимое решение; публичная навигационная сверка.</x:v>
      </x:c>
      <x:c r="R6378" s="30" t="str">
        <x:v>REALLY</x:v>
      </x:c>
      <x:c r="S6378" s="30"/>
      <x:c r="T6378" s="30"/>
      <x:c r="U6378" s="30" t="str">
        <x:v>Ответник совпадает с независимой проверкой.</x:v>
      </x:c>
      <x:c r="V6378" s="87" t="str">
        <x:v>VERIFIED</x:v>
      </x:c>
      <x:c r="W6378" s="87"/>
      <x:c r="X6378" s="87" t="n">
        <x:v>6</x:v>
      </x:c>
      <x:c r="Y6378" s="87"/>
      <x:c r="Z6378" s="87"/>
      <x:c r="AA6378" s="87"/>
      <x:c r="AB6378" s="87"/>
      <x:c r="AC6378" s="87" t="str">
        <x:v>VIS-EGKR-ENG-S26-TASK-953-P006</x:v>
      </x:c>
      <x:c r="AD6378" s="87" t="str">
        <x:v>VIS-EGKR-ENG-S26-ANSWERDOC-P001</x:v>
      </x:c>
      <x:c r="AE6378" s="87" t="str">
        <x:v>TASK; SECONDARY_ANSWER_AND_MODEL_SOURCE</x:v>
      </x:c>
      <x:c r="AF6378" s="87" t="str">
        <x:v>VIS-EGKR-ENG-S26-TASK-953-P006: 6; VIS-EGKR-ENG-S26-ANSWERDOC-P001: 1</x:v>
      </x:c>
      <x:c r="AG6378" s="87" t="str">
        <x:v>RESOLVED</x:v>
      </x:c>
      <x:c r="AH6378" s="87" t="str">
        <x:v>CROP_VERIFIED</x:v>
      </x:c>
      <x:c r="AI6378" s="30"/>
      <x:c r="AJ6378" s="87" t="str">
        <x:v>clean</x:v>
      </x:c>
      <x:c r="AK6378" s="87" t="str">
        <x:v>clean-v0.23</x:v>
      </x:c>
      <x:c r="AL6378" s="87" t="str">
        <x:v>statgrad_clean_continuation_v0_23(1).xlsx</x:v>
      </x:c>
      <x:c r="AM6378" s="87" t="str">
        <x:v>ENG_S26_953</x:v>
      </x:c>
      <x:c r="AN6378" s="87" t="n">
        <x:v>27</x:v>
      </x:c>
    </x:row>
    <x:row r="6379">
      <x:c r="A6379" s="87" t="n">
        <x:v>6378</x:v>
      </x:c>
      <x:c r="B6379" s="87" t="str">
        <x:v>EGKR-S26-ENG-953-27</x:v>
      </x:c>
      <x:c r="C6379" s="87" t="str">
        <x:v>ЕГКР</x:v>
      </x:c>
      <x:c r="D6379" s="87"/>
      <x:c r="E6379" s="87" t="str">
        <x:v>Весна 2026</x:v>
      </x:c>
      <x:c r="F6379" s="87" t="str">
        <x:v>14.04.2026</x:v>
      </x:c>
      <x:c r="G6379" s="87" t="str">
        <x:v>Английский язык</x:v>
      </x:c>
      <x:c r="H6379" s="87" t="n">
        <x:v>11</x:v>
      </x:c>
      <x:c r="I6379" s="87"/>
      <x:c r="J6379" s="87" t="str">
        <x:v>953</x:v>
      </x:c>
      <x:c r="K6379" s="87" t="n">
        <x:v>27</x:v>
      </x:c>
      <x:c r="L6379" s="87" t="str">
        <x:v>Word formation</x:v>
      </x:c>
      <x:c r="M6379" s="30" t="str">
        <x:v>Form the correct word for the Russian ballet text.</x:v>
      </x:c>
      <x:c r="N6379" s="30" t="str">
        <x:v>SUCCESSFUL</x:v>
      </x:c>
      <x:c r="O6379" s="30" t="str">
        <x:v>Ответ независимо проверен по тексту, грамматике и лексическому контексту.</x:v>
      </x:c>
      <x:c r="P6379" s="30"/>
      <x:c r="Q6379" s="30" t="str">
        <x:v>Полная визуальная страница + независимое решение; публичная навигационная сверка.</x:v>
      </x:c>
      <x:c r="R6379" s="30" t="str">
        <x:v>SUCCESSFUL</x:v>
      </x:c>
      <x:c r="S6379" s="30"/>
      <x:c r="T6379" s="30"/>
      <x:c r="U6379" s="30" t="str">
        <x:v>Ответник совпадает с независимой проверкой.</x:v>
      </x:c>
      <x:c r="V6379" s="87" t="str">
        <x:v>VERIFIED</x:v>
      </x:c>
      <x:c r="W6379" s="87"/>
      <x:c r="X6379" s="87" t="n">
        <x:v>6</x:v>
      </x:c>
      <x:c r="Y6379" s="87"/>
      <x:c r="Z6379" s="87"/>
      <x:c r="AA6379" s="87"/>
      <x:c r="AB6379" s="87"/>
      <x:c r="AC6379" s="87" t="str">
        <x:v>VIS-EGKR-ENG-S26-TASK-953-P006</x:v>
      </x:c>
      <x:c r="AD6379" s="87" t="str">
        <x:v>VIS-EGKR-ENG-S26-ANSWERDOC-P001</x:v>
      </x:c>
      <x:c r="AE6379" s="87" t="str">
        <x:v>TASK; SECONDARY_ANSWER_AND_MODEL_SOURCE</x:v>
      </x:c>
      <x:c r="AF6379" s="87" t="str">
        <x:v>VIS-EGKR-ENG-S26-TASK-953-P006: 6; VIS-EGKR-ENG-S26-ANSWERDOC-P001: 1</x:v>
      </x:c>
      <x:c r="AG6379" s="87" t="str">
        <x:v>RESOLVED</x:v>
      </x:c>
      <x:c r="AH6379" s="87" t="str">
        <x:v>CROP_VERIFIED</x:v>
      </x:c>
      <x:c r="AI6379" s="30"/>
      <x:c r="AJ6379" s="87" t="str">
        <x:v>clean</x:v>
      </x:c>
      <x:c r="AK6379" s="87" t="str">
        <x:v>clean-v0.23</x:v>
      </x:c>
      <x:c r="AL6379" s="87" t="str">
        <x:v>statgrad_clean_continuation_v0_23(1).xlsx</x:v>
      </x:c>
      <x:c r="AM6379" s="87" t="str">
        <x:v>ENG_S26_953</x:v>
      </x:c>
      <x:c r="AN6379" s="87" t="n">
        <x:v>28</x:v>
      </x:c>
    </x:row>
    <x:row r="6380">
      <x:c r="A6380" s="87" t="n">
        <x:v>6379</x:v>
      </x:c>
      <x:c r="B6380" s="87" t="str">
        <x:v>EGKR-S26-ENG-953-28</x:v>
      </x:c>
      <x:c r="C6380" s="87" t="str">
        <x:v>ЕГКР</x:v>
      </x:c>
      <x:c r="D6380" s="87"/>
      <x:c r="E6380" s="87" t="str">
        <x:v>Весна 2026</x:v>
      </x:c>
      <x:c r="F6380" s="87" t="str">
        <x:v>14.04.2026</x:v>
      </x:c>
      <x:c r="G6380" s="87" t="str">
        <x:v>Английский язык</x:v>
      </x:c>
      <x:c r="H6380" s="87" t="n">
        <x:v>11</x:v>
      </x:c>
      <x:c r="I6380" s="87"/>
      <x:c r="J6380" s="87" t="str">
        <x:v>953</x:v>
      </x:c>
      <x:c r="K6380" s="87" t="n">
        <x:v>28</x:v>
      </x:c>
      <x:c r="L6380" s="87" t="str">
        <x:v>Word formation</x:v>
      </x:c>
      <x:c r="M6380" s="30" t="str">
        <x:v>Form the correct word for the Russian ballet text.</x:v>
      </x:c>
      <x:c r="N6380" s="30" t="str">
        <x:v>COMPETITION</x:v>
      </x:c>
      <x:c r="O6380" s="30" t="str">
        <x:v>Ответ независимо проверен по тексту, грамматике и лексическому контексту.</x:v>
      </x:c>
      <x:c r="P6380" s="30"/>
      <x:c r="Q6380" s="30" t="str">
        <x:v>Полная визуальная страница + независимое решение; публичная навигационная сверка.</x:v>
      </x:c>
      <x:c r="R6380" s="30" t="str">
        <x:v>COMPETITION</x:v>
      </x:c>
      <x:c r="S6380" s="30"/>
      <x:c r="T6380" s="30"/>
      <x:c r="U6380" s="30" t="str">
        <x:v>Ответник совпадает с независимой проверкой.</x:v>
      </x:c>
      <x:c r="V6380" s="87" t="str">
        <x:v>VERIFIED</x:v>
      </x:c>
      <x:c r="W6380" s="87"/>
      <x:c r="X6380" s="87" t="n">
        <x:v>6</x:v>
      </x:c>
      <x:c r="Y6380" s="87"/>
      <x:c r="Z6380" s="87"/>
      <x:c r="AA6380" s="87"/>
      <x:c r="AB6380" s="87"/>
      <x:c r="AC6380" s="87" t="str">
        <x:v>VIS-EGKR-ENG-S26-TASK-953-P006</x:v>
      </x:c>
      <x:c r="AD6380" s="87" t="str">
        <x:v>VIS-EGKR-ENG-S26-ANSWERDOC-P001</x:v>
      </x:c>
      <x:c r="AE6380" s="87" t="str">
        <x:v>TASK; SECONDARY_ANSWER_AND_MODEL_SOURCE</x:v>
      </x:c>
      <x:c r="AF6380" s="87" t="str">
        <x:v>VIS-EGKR-ENG-S26-TASK-953-P006: 6; VIS-EGKR-ENG-S26-ANSWERDOC-P001: 1</x:v>
      </x:c>
      <x:c r="AG6380" s="87" t="str">
        <x:v>RESOLVED</x:v>
      </x:c>
      <x:c r="AH6380" s="87" t="str">
        <x:v>CROP_VERIFIED</x:v>
      </x:c>
      <x:c r="AI6380" s="30"/>
      <x:c r="AJ6380" s="87" t="str">
        <x:v>clean</x:v>
      </x:c>
      <x:c r="AK6380" s="87" t="str">
        <x:v>clean-v0.23</x:v>
      </x:c>
      <x:c r="AL6380" s="87" t="str">
        <x:v>statgrad_clean_continuation_v0_23(1).xlsx</x:v>
      </x:c>
      <x:c r="AM6380" s="87" t="str">
        <x:v>ENG_S26_953</x:v>
      </x:c>
      <x:c r="AN6380" s="87" t="n">
        <x:v>29</x:v>
      </x:c>
    </x:row>
    <x:row r="6381">
      <x:c r="A6381" s="87" t="n">
        <x:v>6380</x:v>
      </x:c>
      <x:c r="B6381" s="87" t="str">
        <x:v>EGKR-S26-ENG-953-29</x:v>
      </x:c>
      <x:c r="C6381" s="87" t="str">
        <x:v>ЕГКР</x:v>
      </x:c>
      <x:c r="D6381" s="87"/>
      <x:c r="E6381" s="87" t="str">
        <x:v>Весна 2026</x:v>
      </x:c>
      <x:c r="F6381" s="87" t="str">
        <x:v>14.04.2026</x:v>
      </x:c>
      <x:c r="G6381" s="87" t="str">
        <x:v>Английский язык</x:v>
      </x:c>
      <x:c r="H6381" s="87" t="n">
        <x:v>11</x:v>
      </x:c>
      <x:c r="I6381" s="87"/>
      <x:c r="J6381" s="87" t="str">
        <x:v>953</x:v>
      </x:c>
      <x:c r="K6381" s="87" t="n">
        <x:v>29</x:v>
      </x:c>
      <x:c r="L6381" s="87" t="str">
        <x:v>Word formation</x:v>
      </x:c>
      <x:c r="M6381" s="30" t="str">
        <x:v>Form the correct word for the Russian ballet text.</x:v>
      </x:c>
      <x:c r="N6381" s="30" t="str">
        <x:v>FAMOUS</x:v>
      </x:c>
      <x:c r="O6381" s="30" t="str">
        <x:v>Ответ независимо проверен по тексту, грамматике и лексическому контексту.</x:v>
      </x:c>
      <x:c r="P6381" s="30"/>
      <x:c r="Q6381" s="30" t="str">
        <x:v>Полная визуальная страница + независимое решение; публичная навигационная сверка.</x:v>
      </x:c>
      <x:c r="R6381" s="30" t="str">
        <x:v>FAMOUS</x:v>
      </x:c>
      <x:c r="S6381" s="30"/>
      <x:c r="T6381" s="30"/>
      <x:c r="U6381" s="30" t="str">
        <x:v>Ответник совпадает с независимой проверкой.</x:v>
      </x:c>
      <x:c r="V6381" s="87" t="str">
        <x:v>VERIFIED</x:v>
      </x:c>
      <x:c r="W6381" s="87"/>
      <x:c r="X6381" s="87" t="n">
        <x:v>6</x:v>
      </x:c>
      <x:c r="Y6381" s="87"/>
      <x:c r="Z6381" s="87"/>
      <x:c r="AA6381" s="87"/>
      <x:c r="AB6381" s="87"/>
      <x:c r="AC6381" s="87" t="str">
        <x:v>VIS-EGKR-ENG-S26-TASK-953-P006</x:v>
      </x:c>
      <x:c r="AD6381" s="87" t="str">
        <x:v>VIS-EGKR-ENG-S26-ANSWERDOC-P001</x:v>
      </x:c>
      <x:c r="AE6381" s="87" t="str">
        <x:v>TASK; SECONDARY_ANSWER_AND_MODEL_SOURCE</x:v>
      </x:c>
      <x:c r="AF6381" s="87" t="str">
        <x:v>VIS-EGKR-ENG-S26-TASK-953-P006: 6; VIS-EGKR-ENG-S26-ANSWERDOC-P001: 1</x:v>
      </x:c>
      <x:c r="AG6381" s="87" t="str">
        <x:v>RESOLVED</x:v>
      </x:c>
      <x:c r="AH6381" s="87" t="str">
        <x:v>CROP_VERIFIED</x:v>
      </x:c>
      <x:c r="AI6381" s="30"/>
      <x:c r="AJ6381" s="87" t="str">
        <x:v>clean</x:v>
      </x:c>
      <x:c r="AK6381" s="87" t="str">
        <x:v>clean-v0.23</x:v>
      </x:c>
      <x:c r="AL6381" s="87" t="str">
        <x:v>statgrad_clean_continuation_v0_23(1).xlsx</x:v>
      </x:c>
      <x:c r="AM6381" s="87" t="str">
        <x:v>ENG_S26_953</x:v>
      </x:c>
      <x:c r="AN6381" s="87" t="n">
        <x:v>30</x:v>
      </x:c>
    </x:row>
    <x:row r="6382">
      <x:c r="A6382" s="87" t="n">
        <x:v>6381</x:v>
      </x:c>
      <x:c r="B6382" s="87" t="str">
        <x:v>EGKR-S26-ENG-953-30</x:v>
      </x:c>
      <x:c r="C6382" s="87" t="str">
        <x:v>ЕГКР</x:v>
      </x:c>
      <x:c r="D6382" s="87"/>
      <x:c r="E6382" s="87" t="str">
        <x:v>Весна 2026</x:v>
      </x:c>
      <x:c r="F6382" s="87" t="str">
        <x:v>14.04.2026</x:v>
      </x:c>
      <x:c r="G6382" s="87" t="str">
        <x:v>Английский язык</x:v>
      </x:c>
      <x:c r="H6382" s="87" t="n">
        <x:v>11</x:v>
      </x:c>
      <x:c r="I6382" s="87"/>
      <x:c r="J6382" s="87" t="str">
        <x:v>953</x:v>
      </x:c>
      <x:c r="K6382" s="87" t="n">
        <x:v>30</x:v>
      </x:c>
      <x:c r="L6382" s="87" t="str">
        <x:v>Lexical and grammatical multiple choice</x:v>
      </x:c>
      <x:c r="M6382" s="30" t="str">
        <x:v>Choose the correct option in the Great Wall text.</x:v>
      </x:c>
      <x:c r="N6382" s="30" t="str">
        <x:v>4</x:v>
      </x:c>
      <x:c r="O6382" s="30" t="str">
        <x:v>Ответ независимо проверен по тексту, грамматике и лексическому контексту.</x:v>
      </x:c>
      <x:c r="P6382" s="30"/>
      <x:c r="Q6382" s="30" t="str">
        <x:v>Полная визуальная страница + независимое решение; публичная навигационная сверка.</x:v>
      </x:c>
      <x:c r="R6382" s="30" t="str">
        <x:v>MISSING</x:v>
      </x:c>
      <x:c r="S6382" s="30"/>
      <x:c r="T6382" s="30"/>
      <x:c r="U6382" s="30" t="str">
        <x:v>Позиция отсутствовала в DOCX и восстановлена независимо по исходному заданию.</x:v>
      </x:c>
      <x:c r="V6382" s="87" t="str">
        <x:v>SOURCE_GAP_RECOVERED</x:v>
      </x:c>
      <x:c r="W6382" s="87"/>
      <x:c r="X6382" s="87" t="n">
        <x:v>7</x:v>
      </x:c>
      <x:c r="Y6382" s="87"/>
      <x:c r="Z6382" s="87"/>
      <x:c r="AA6382" s="87"/>
      <x:c r="AB6382" s="87"/>
      <x:c r="AC6382" s="87" t="str">
        <x:v>VIS-EGKR-ENG-S26-TASK-953-P007</x:v>
      </x:c>
      <x:c r="AD6382" s="87" t="str">
        <x:v>VIS-EGKR-ENG-S26-ANSWERDOC-P001</x:v>
      </x:c>
      <x:c r="AE6382" s="87" t="str">
        <x:v>TASK; SECONDARY_ANSWER_AND_MODEL_SOURCE</x:v>
      </x:c>
      <x:c r="AF6382" s="87" t="str">
        <x:v>VIS-EGKR-ENG-S26-TASK-953-P007: 7; VIS-EGKR-ENG-S26-ANSWERDOC-P001: 1</x:v>
      </x:c>
      <x:c r="AG6382" s="87" t="str">
        <x:v>RESOLVED</x:v>
      </x:c>
      <x:c r="AH6382" s="87" t="str">
        <x:v>CROP_VERIFIED</x:v>
      </x:c>
      <x:c r="AI6382" s="30"/>
      <x:c r="AJ6382" s="87" t="str">
        <x:v>clean</x:v>
      </x:c>
      <x:c r="AK6382" s="87" t="str">
        <x:v>clean-v0.23</x:v>
      </x:c>
      <x:c r="AL6382" s="87" t="str">
        <x:v>statgrad_clean_continuation_v0_23(1).xlsx</x:v>
      </x:c>
      <x:c r="AM6382" s="87" t="str">
        <x:v>ENG_S26_953</x:v>
      </x:c>
      <x:c r="AN6382" s="87" t="n">
        <x:v>31</x:v>
      </x:c>
    </x:row>
    <x:row r="6383">
      <x:c r="A6383" s="87" t="n">
        <x:v>6382</x:v>
      </x:c>
      <x:c r="B6383" s="87" t="str">
        <x:v>EGKR-S26-ENG-953-31</x:v>
      </x:c>
      <x:c r="C6383" s="87" t="str">
        <x:v>ЕГКР</x:v>
      </x:c>
      <x:c r="D6383" s="87"/>
      <x:c r="E6383" s="87" t="str">
        <x:v>Весна 2026</x:v>
      </x:c>
      <x:c r="F6383" s="87" t="str">
        <x:v>14.04.2026</x:v>
      </x:c>
      <x:c r="G6383" s="87" t="str">
        <x:v>Английский язык</x:v>
      </x:c>
      <x:c r="H6383" s="87" t="n">
        <x:v>11</x:v>
      </x:c>
      <x:c r="I6383" s="87"/>
      <x:c r="J6383" s="87" t="str">
        <x:v>953</x:v>
      </x:c>
      <x:c r="K6383" s="87" t="n">
        <x:v>31</x:v>
      </x:c>
      <x:c r="L6383" s="87" t="str">
        <x:v>Lexical and grammatical multiple choice</x:v>
      </x:c>
      <x:c r="M6383" s="30" t="str">
        <x:v>Choose the correct option in the Great Wall text.</x:v>
      </x:c>
      <x:c r="N6383" s="30" t="str">
        <x:v>1</x:v>
      </x:c>
      <x:c r="O6383" s="30" t="str">
        <x:v>Ответ независимо проверен по тексту, грамматике и лексическому контексту.</x:v>
      </x:c>
      <x:c r="P6383" s="30"/>
      <x:c r="Q6383" s="30" t="str">
        <x:v>Полная визуальная страница + независимое решение; публичная навигационная сверка.</x:v>
      </x:c>
      <x:c r="R6383" s="30" t="str">
        <x:v>MISSING</x:v>
      </x:c>
      <x:c r="S6383" s="30"/>
      <x:c r="T6383" s="30"/>
      <x:c r="U6383" s="30" t="str">
        <x:v>Позиция отсутствовала в DOCX и восстановлена независимо по исходному заданию.</x:v>
      </x:c>
      <x:c r="V6383" s="87" t="str">
        <x:v>SOURCE_GAP_RECOVERED</x:v>
      </x:c>
      <x:c r="W6383" s="87"/>
      <x:c r="X6383" s="87" t="n">
        <x:v>7</x:v>
      </x:c>
      <x:c r="Y6383" s="87"/>
      <x:c r="Z6383" s="87"/>
      <x:c r="AA6383" s="87"/>
      <x:c r="AB6383" s="87"/>
      <x:c r="AC6383" s="87" t="str">
        <x:v>VIS-EGKR-ENG-S26-TASK-953-P007</x:v>
      </x:c>
      <x:c r="AD6383" s="87" t="str">
        <x:v>VIS-EGKR-ENG-S26-ANSWERDOC-P001</x:v>
      </x:c>
      <x:c r="AE6383" s="87" t="str">
        <x:v>TASK; SECONDARY_ANSWER_AND_MODEL_SOURCE</x:v>
      </x:c>
      <x:c r="AF6383" s="87" t="str">
        <x:v>VIS-EGKR-ENG-S26-TASK-953-P007: 7; VIS-EGKR-ENG-S26-ANSWERDOC-P001: 1</x:v>
      </x:c>
      <x:c r="AG6383" s="87" t="str">
        <x:v>RESOLVED</x:v>
      </x:c>
      <x:c r="AH6383" s="87" t="str">
        <x:v>CROP_VERIFIED</x:v>
      </x:c>
      <x:c r="AI6383" s="30"/>
      <x:c r="AJ6383" s="87" t="str">
        <x:v>clean</x:v>
      </x:c>
      <x:c r="AK6383" s="87" t="str">
        <x:v>clean-v0.23</x:v>
      </x:c>
      <x:c r="AL6383" s="87" t="str">
        <x:v>statgrad_clean_continuation_v0_23(1).xlsx</x:v>
      </x:c>
      <x:c r="AM6383" s="87" t="str">
        <x:v>ENG_S26_953</x:v>
      </x:c>
      <x:c r="AN6383" s="87" t="n">
        <x:v>32</x:v>
      </x:c>
    </x:row>
    <x:row r="6384">
      <x:c r="A6384" s="87" t="n">
        <x:v>6383</x:v>
      </x:c>
      <x:c r="B6384" s="87" t="str">
        <x:v>EGKR-S26-ENG-953-32</x:v>
      </x:c>
      <x:c r="C6384" s="87" t="str">
        <x:v>ЕГКР</x:v>
      </x:c>
      <x:c r="D6384" s="87"/>
      <x:c r="E6384" s="87" t="str">
        <x:v>Весна 2026</x:v>
      </x:c>
      <x:c r="F6384" s="87" t="str">
        <x:v>14.04.2026</x:v>
      </x:c>
      <x:c r="G6384" s="87" t="str">
        <x:v>Английский язык</x:v>
      </x:c>
      <x:c r="H6384" s="87" t="n">
        <x:v>11</x:v>
      </x:c>
      <x:c r="I6384" s="87"/>
      <x:c r="J6384" s="87" t="str">
        <x:v>953</x:v>
      </x:c>
      <x:c r="K6384" s="87" t="n">
        <x:v>32</x:v>
      </x:c>
      <x:c r="L6384" s="87" t="str">
        <x:v>Lexical and grammatical multiple choice</x:v>
      </x:c>
      <x:c r="M6384" s="30" t="str">
        <x:v>Choose the correct option in the Great Wall text.</x:v>
      </x:c>
      <x:c r="N6384" s="30" t="str">
        <x:v>3</x:v>
      </x:c>
      <x:c r="O6384" s="30" t="str">
        <x:v>Ответ независимо проверен по тексту, грамматике и лексическому контексту.</x:v>
      </x:c>
      <x:c r="P6384" s="30"/>
      <x:c r="Q6384" s="30" t="str">
        <x:v>Полная визуальная страница + независимое решение; публичная навигационная сверка.</x:v>
      </x:c>
      <x:c r="R6384" s="30" t="str">
        <x:v>MISSING</x:v>
      </x:c>
      <x:c r="S6384" s="30"/>
      <x:c r="T6384" s="30"/>
      <x:c r="U6384" s="30" t="str">
        <x:v>Позиция отсутствовала в DOCX и восстановлена независимо по исходному заданию.</x:v>
      </x:c>
      <x:c r="V6384" s="87" t="str">
        <x:v>SOURCE_GAP_RECOVERED</x:v>
      </x:c>
      <x:c r="W6384" s="87"/>
      <x:c r="X6384" s="87" t="n">
        <x:v>7</x:v>
      </x:c>
      <x:c r="Y6384" s="87"/>
      <x:c r="Z6384" s="87"/>
      <x:c r="AA6384" s="87"/>
      <x:c r="AB6384" s="87"/>
      <x:c r="AC6384" s="87" t="str">
        <x:v>VIS-EGKR-ENG-S26-TASK-953-P007</x:v>
      </x:c>
      <x:c r="AD6384" s="87" t="str">
        <x:v>VIS-EGKR-ENG-S26-ANSWERDOC-P001</x:v>
      </x:c>
      <x:c r="AE6384" s="87" t="str">
        <x:v>TASK; SECONDARY_ANSWER_AND_MODEL_SOURCE</x:v>
      </x:c>
      <x:c r="AF6384" s="87" t="str">
        <x:v>VIS-EGKR-ENG-S26-TASK-953-P007: 7; VIS-EGKR-ENG-S26-ANSWERDOC-P001: 1</x:v>
      </x:c>
      <x:c r="AG6384" s="87" t="str">
        <x:v>RESOLVED</x:v>
      </x:c>
      <x:c r="AH6384" s="87" t="str">
        <x:v>CROP_VERIFIED</x:v>
      </x:c>
      <x:c r="AI6384" s="30"/>
      <x:c r="AJ6384" s="87" t="str">
        <x:v>clean</x:v>
      </x:c>
      <x:c r="AK6384" s="87" t="str">
        <x:v>clean-v0.23</x:v>
      </x:c>
      <x:c r="AL6384" s="87" t="str">
        <x:v>statgrad_clean_continuation_v0_23(1).xlsx</x:v>
      </x:c>
      <x:c r="AM6384" s="87" t="str">
        <x:v>ENG_S26_953</x:v>
      </x:c>
      <x:c r="AN6384" s="87" t="n">
        <x:v>33</x:v>
      </x:c>
    </x:row>
    <x:row r="6385">
      <x:c r="A6385" s="87" t="n">
        <x:v>6384</x:v>
      </x:c>
      <x:c r="B6385" s="87" t="str">
        <x:v>EGKR-S26-ENG-953-33</x:v>
      </x:c>
      <x:c r="C6385" s="87" t="str">
        <x:v>ЕГКР</x:v>
      </x:c>
      <x:c r="D6385" s="87"/>
      <x:c r="E6385" s="87" t="str">
        <x:v>Весна 2026</x:v>
      </x:c>
      <x:c r="F6385" s="87" t="str">
        <x:v>14.04.2026</x:v>
      </x:c>
      <x:c r="G6385" s="87" t="str">
        <x:v>Английский язык</x:v>
      </x:c>
      <x:c r="H6385" s="87" t="n">
        <x:v>11</x:v>
      </x:c>
      <x:c r="I6385" s="87"/>
      <x:c r="J6385" s="87" t="str">
        <x:v>953</x:v>
      </x:c>
      <x:c r="K6385" s="87" t="n">
        <x:v>33</x:v>
      </x:c>
      <x:c r="L6385" s="87" t="str">
        <x:v>Lexical and grammatical multiple choice</x:v>
      </x:c>
      <x:c r="M6385" s="30" t="str">
        <x:v>Choose the correct option in the Great Wall text.</x:v>
      </x:c>
      <x:c r="N6385" s="30" t="str">
        <x:v>3</x:v>
      </x:c>
      <x:c r="O6385" s="30" t="str">
        <x:v>Ответ независимо проверен по тексту, грамматике и лексическому контексту.</x:v>
      </x:c>
      <x:c r="P6385" s="30"/>
      <x:c r="Q6385" s="30" t="str">
        <x:v>Полная визуальная страница + независимое решение; публичная навигационная сверка.</x:v>
      </x:c>
      <x:c r="R6385" s="30" t="str">
        <x:v>MISSING</x:v>
      </x:c>
      <x:c r="S6385" s="30"/>
      <x:c r="T6385" s="30"/>
      <x:c r="U6385" s="30" t="str">
        <x:v>Позиция отсутствовала в DOCX и восстановлена независимо по исходному заданию.</x:v>
      </x:c>
      <x:c r="V6385" s="87" t="str">
        <x:v>SOURCE_GAP_RECOVERED</x:v>
      </x:c>
      <x:c r="W6385" s="87"/>
      <x:c r="X6385" s="87" t="n">
        <x:v>7</x:v>
      </x:c>
      <x:c r="Y6385" s="87"/>
      <x:c r="Z6385" s="87"/>
      <x:c r="AA6385" s="87"/>
      <x:c r="AB6385" s="87"/>
      <x:c r="AC6385" s="87" t="str">
        <x:v>VIS-EGKR-ENG-S26-TASK-953-P007</x:v>
      </x:c>
      <x:c r="AD6385" s="87" t="str">
        <x:v>VIS-EGKR-ENG-S26-ANSWERDOC-P001</x:v>
      </x:c>
      <x:c r="AE6385" s="87" t="str">
        <x:v>TASK; SECONDARY_ANSWER_AND_MODEL_SOURCE</x:v>
      </x:c>
      <x:c r="AF6385" s="87" t="str">
        <x:v>VIS-EGKR-ENG-S26-TASK-953-P007: 7; VIS-EGKR-ENG-S26-ANSWERDOC-P001: 1</x:v>
      </x:c>
      <x:c r="AG6385" s="87" t="str">
        <x:v>RESOLVED</x:v>
      </x:c>
      <x:c r="AH6385" s="87" t="str">
        <x:v>CROP_VERIFIED</x:v>
      </x:c>
      <x:c r="AI6385" s="30"/>
      <x:c r="AJ6385" s="87" t="str">
        <x:v>clean</x:v>
      </x:c>
      <x:c r="AK6385" s="87" t="str">
        <x:v>clean-v0.23</x:v>
      </x:c>
      <x:c r="AL6385" s="87" t="str">
        <x:v>statgrad_clean_continuation_v0_23(1).xlsx</x:v>
      </x:c>
      <x:c r="AM6385" s="87" t="str">
        <x:v>ENG_S26_953</x:v>
      </x:c>
      <x:c r="AN6385" s="87" t="n">
        <x:v>34</x:v>
      </x:c>
    </x:row>
    <x:row r="6386">
      <x:c r="A6386" s="87" t="n">
        <x:v>6385</x:v>
      </x:c>
      <x:c r="B6386" s="87" t="str">
        <x:v>EGKR-S26-ENG-953-34</x:v>
      </x:c>
      <x:c r="C6386" s="87" t="str">
        <x:v>ЕГКР</x:v>
      </x:c>
      <x:c r="D6386" s="87"/>
      <x:c r="E6386" s="87" t="str">
        <x:v>Весна 2026</x:v>
      </x:c>
      <x:c r="F6386" s="87" t="str">
        <x:v>14.04.2026</x:v>
      </x:c>
      <x:c r="G6386" s="87" t="str">
        <x:v>Английский язык</x:v>
      </x:c>
      <x:c r="H6386" s="87" t="n">
        <x:v>11</x:v>
      </x:c>
      <x:c r="I6386" s="87"/>
      <x:c r="J6386" s="87" t="str">
        <x:v>953</x:v>
      </x:c>
      <x:c r="K6386" s="87" t="n">
        <x:v>34</x:v>
      </x:c>
      <x:c r="L6386" s="87" t="str">
        <x:v>Lexical and grammatical multiple choice</x:v>
      </x:c>
      <x:c r="M6386" s="30" t="str">
        <x:v>Choose the correct option in the Great Wall text.</x:v>
      </x:c>
      <x:c r="N6386" s="30" t="str">
        <x:v>2</x:v>
      </x:c>
      <x:c r="O6386" s="30" t="str">
        <x:v>Ответ независимо проверен по тексту, грамматике и лексическому контексту.</x:v>
      </x:c>
      <x:c r="P6386" s="30"/>
      <x:c r="Q6386" s="30" t="str">
        <x:v>Полная визуальная страница + независимое решение; публичная навигационная сверка.</x:v>
      </x:c>
      <x:c r="R6386" s="30" t="str">
        <x:v>MISSING</x:v>
      </x:c>
      <x:c r="S6386" s="30"/>
      <x:c r="T6386" s="30"/>
      <x:c r="U6386" s="30" t="str">
        <x:v>Позиция отсутствовала в DOCX и восстановлена независимо по исходному заданию.</x:v>
      </x:c>
      <x:c r="V6386" s="87" t="str">
        <x:v>SOURCE_GAP_RECOVERED</x:v>
      </x:c>
      <x:c r="W6386" s="87"/>
      <x:c r="X6386" s="87" t="n">
        <x:v>7</x:v>
      </x:c>
      <x:c r="Y6386" s="87"/>
      <x:c r="Z6386" s="87"/>
      <x:c r="AA6386" s="87"/>
      <x:c r="AB6386" s="87"/>
      <x:c r="AC6386" s="87" t="str">
        <x:v>VIS-EGKR-ENG-S26-TASK-953-P007</x:v>
      </x:c>
      <x:c r="AD6386" s="87" t="str">
        <x:v>VIS-EGKR-ENG-S26-ANSWERDOC-P001</x:v>
      </x:c>
      <x:c r="AE6386" s="87" t="str">
        <x:v>TASK; SECONDARY_ANSWER_AND_MODEL_SOURCE</x:v>
      </x:c>
      <x:c r="AF6386" s="87" t="str">
        <x:v>VIS-EGKR-ENG-S26-TASK-953-P007: 7; VIS-EGKR-ENG-S26-ANSWERDOC-P001: 1</x:v>
      </x:c>
      <x:c r="AG6386" s="87" t="str">
        <x:v>RESOLVED</x:v>
      </x:c>
      <x:c r="AH6386" s="87" t="str">
        <x:v>CROP_VERIFIED</x:v>
      </x:c>
      <x:c r="AI6386" s="30"/>
      <x:c r="AJ6386" s="87" t="str">
        <x:v>clean</x:v>
      </x:c>
      <x:c r="AK6386" s="87" t="str">
        <x:v>clean-v0.23</x:v>
      </x:c>
      <x:c r="AL6386" s="87" t="str">
        <x:v>statgrad_clean_continuation_v0_23(1).xlsx</x:v>
      </x:c>
      <x:c r="AM6386" s="87" t="str">
        <x:v>ENG_S26_953</x:v>
      </x:c>
      <x:c r="AN6386" s="87" t="n">
        <x:v>35</x:v>
      </x:c>
    </x:row>
    <x:row r="6387">
      <x:c r="A6387" s="87" t="n">
        <x:v>6386</x:v>
      </x:c>
      <x:c r="B6387" s="87" t="str">
        <x:v>EGKR-S26-ENG-953-35</x:v>
      </x:c>
      <x:c r="C6387" s="87" t="str">
        <x:v>ЕГКР</x:v>
      </x:c>
      <x:c r="D6387" s="87"/>
      <x:c r="E6387" s="87" t="str">
        <x:v>Весна 2026</x:v>
      </x:c>
      <x:c r="F6387" s="87" t="str">
        <x:v>14.04.2026</x:v>
      </x:c>
      <x:c r="G6387" s="87" t="str">
        <x:v>Английский язык</x:v>
      </x:c>
      <x:c r="H6387" s="87" t="n">
        <x:v>11</x:v>
      </x:c>
      <x:c r="I6387" s="87"/>
      <x:c r="J6387" s="87" t="str">
        <x:v>953</x:v>
      </x:c>
      <x:c r="K6387" s="87" t="n">
        <x:v>35</x:v>
      </x:c>
      <x:c r="L6387" s="87" t="str">
        <x:v>Lexical and grammatical multiple choice</x:v>
      </x:c>
      <x:c r="M6387" s="30" t="str">
        <x:v>Choose the correct option in the Great Wall text.</x:v>
      </x:c>
      <x:c r="N6387" s="30" t="str">
        <x:v>1</x:v>
      </x:c>
      <x:c r="O6387" s="30" t="str">
        <x:v>Ответ независимо проверен по тексту, грамматике и лексическому контексту.</x:v>
      </x:c>
      <x:c r="P6387" s="30"/>
      <x:c r="Q6387" s="30" t="str">
        <x:v>Полная визуальная страница + независимое решение; публичная навигационная сверка.</x:v>
      </x:c>
      <x:c r="R6387" s="30" t="str">
        <x:v>MISSING</x:v>
      </x:c>
      <x:c r="S6387" s="30"/>
      <x:c r="T6387" s="30"/>
      <x:c r="U6387" s="30" t="str">
        <x:v>Позиция отсутствовала в DOCX и восстановлена независимо по исходному заданию.</x:v>
      </x:c>
      <x:c r="V6387" s="87" t="str">
        <x:v>SOURCE_GAP_RECOVERED</x:v>
      </x:c>
      <x:c r="W6387" s="87"/>
      <x:c r="X6387" s="87" t="n">
        <x:v>7</x:v>
      </x:c>
      <x:c r="Y6387" s="87"/>
      <x:c r="Z6387" s="87"/>
      <x:c r="AA6387" s="87"/>
      <x:c r="AB6387" s="87"/>
      <x:c r="AC6387" s="87" t="str">
        <x:v>VIS-EGKR-ENG-S26-TASK-953-P007</x:v>
      </x:c>
      <x:c r="AD6387" s="87" t="str">
        <x:v>VIS-EGKR-ENG-S26-ANSWERDOC-P001</x:v>
      </x:c>
      <x:c r="AE6387" s="87" t="str">
        <x:v>TASK; SECONDARY_ANSWER_AND_MODEL_SOURCE</x:v>
      </x:c>
      <x:c r="AF6387" s="87" t="str">
        <x:v>VIS-EGKR-ENG-S26-TASK-953-P007: 7; VIS-EGKR-ENG-S26-ANSWERDOC-P001: 1</x:v>
      </x:c>
      <x:c r="AG6387" s="87" t="str">
        <x:v>RESOLVED</x:v>
      </x:c>
      <x:c r="AH6387" s="87" t="str">
        <x:v>CROP_VERIFIED</x:v>
      </x:c>
      <x:c r="AI6387" s="30"/>
      <x:c r="AJ6387" s="87" t="str">
        <x:v>clean</x:v>
      </x:c>
      <x:c r="AK6387" s="87" t="str">
        <x:v>clean-v0.23</x:v>
      </x:c>
      <x:c r="AL6387" s="87" t="str">
        <x:v>statgrad_clean_continuation_v0_23(1).xlsx</x:v>
      </x:c>
      <x:c r="AM6387" s="87" t="str">
        <x:v>ENG_S26_953</x:v>
      </x:c>
      <x:c r="AN6387" s="87" t="n">
        <x:v>36</x:v>
      </x:c>
    </x:row>
    <x:row r="6388">
      <x:c r="A6388" s="87" t="n">
        <x:v>6387</x:v>
      </x:c>
      <x:c r="B6388" s="87" t="str">
        <x:v>EGKR-S26-ENG-953-36</x:v>
      </x:c>
      <x:c r="C6388" s="87" t="str">
        <x:v>ЕГКР</x:v>
      </x:c>
      <x:c r="D6388" s="87"/>
      <x:c r="E6388" s="87" t="str">
        <x:v>Весна 2026</x:v>
      </x:c>
      <x:c r="F6388" s="87" t="str">
        <x:v>14.04.2026</x:v>
      </x:c>
      <x:c r="G6388" s="87" t="str">
        <x:v>Английский язык</x:v>
      </x:c>
      <x:c r="H6388" s="87" t="n">
        <x:v>11</x:v>
      </x:c>
      <x:c r="I6388" s="87"/>
      <x:c r="J6388" s="87" t="str">
        <x:v>953</x:v>
      </x:c>
      <x:c r="K6388" s="87" t="n">
        <x:v>36</x:v>
      </x:c>
      <x:c r="L6388" s="87" t="str">
        <x:v>Lexical and grammatical multiple choice</x:v>
      </x:c>
      <x:c r="M6388" s="30" t="str">
        <x:v>Choose the correct option in the Great Wall text.</x:v>
      </x:c>
      <x:c r="N6388" s="30" t="str">
        <x:v>4</x:v>
      </x:c>
      <x:c r="O6388" s="30" t="str">
        <x:v>Ответ независимо проверен по тексту, грамматике и лексическому контексту.</x:v>
      </x:c>
      <x:c r="P6388" s="30"/>
      <x:c r="Q6388" s="30" t="str">
        <x:v>Полная визуальная страница + независимое решение; публичная навигационная сверка.</x:v>
      </x:c>
      <x:c r="R6388" s="30" t="str">
        <x:v>MISSING</x:v>
      </x:c>
      <x:c r="S6388" s="30"/>
      <x:c r="T6388" s="30"/>
      <x:c r="U6388" s="30" t="str">
        <x:v>Позиция отсутствовала в DOCX и восстановлена независимо по исходному заданию.</x:v>
      </x:c>
      <x:c r="V6388" s="87" t="str">
        <x:v>SOURCE_GAP_RECOVERED</x:v>
      </x:c>
      <x:c r="W6388" s="87"/>
      <x:c r="X6388" s="87" t="n">
        <x:v>7</x:v>
      </x:c>
      <x:c r="Y6388" s="87"/>
      <x:c r="Z6388" s="87"/>
      <x:c r="AA6388" s="87"/>
      <x:c r="AB6388" s="87"/>
      <x:c r="AC6388" s="87" t="str">
        <x:v>VIS-EGKR-ENG-S26-TASK-953-P007</x:v>
      </x:c>
      <x:c r="AD6388" s="87" t="str">
        <x:v>VIS-EGKR-ENG-S26-ANSWERDOC-P001</x:v>
      </x:c>
      <x:c r="AE6388" s="87" t="str">
        <x:v>TASK; SECONDARY_ANSWER_AND_MODEL_SOURCE</x:v>
      </x:c>
      <x:c r="AF6388" s="87" t="str">
        <x:v>VIS-EGKR-ENG-S26-TASK-953-P007: 7; VIS-EGKR-ENG-S26-ANSWERDOC-P001: 1</x:v>
      </x:c>
      <x:c r="AG6388" s="87" t="str">
        <x:v>RESOLVED</x:v>
      </x:c>
      <x:c r="AH6388" s="87" t="str">
        <x:v>CROP_VERIFIED</x:v>
      </x:c>
      <x:c r="AI6388" s="30"/>
      <x:c r="AJ6388" s="87" t="str">
        <x:v>clean</x:v>
      </x:c>
      <x:c r="AK6388" s="87" t="str">
        <x:v>clean-v0.23</x:v>
      </x:c>
      <x:c r="AL6388" s="87" t="str">
        <x:v>statgrad_clean_continuation_v0_23(1).xlsx</x:v>
      </x:c>
      <x:c r="AM6388" s="87" t="str">
        <x:v>ENG_S26_953</x:v>
      </x:c>
      <x:c r="AN6388" s="87" t="n">
        <x:v>37</x:v>
      </x:c>
    </x:row>
    <x:row r="6389">
      <x:c r="A6389" s="87" t="n">
        <x:v>6388</x:v>
      </x:c>
      <x:c r="B6389" s="87" t="str">
        <x:v>EGKR-S26-ENG-953-37</x:v>
      </x:c>
      <x:c r="C6389" s="87" t="str">
        <x:v>ЕГКР</x:v>
      </x:c>
      <x:c r="D6389" s="87"/>
      <x:c r="E6389" s="87" t="str">
        <x:v>Весна 2026</x:v>
      </x:c>
      <x:c r="F6389" s="87" t="str">
        <x:v>14.04.2026</x:v>
      </x:c>
      <x:c r="G6389" s="87" t="str">
        <x:v>Английский язык</x:v>
      </x:c>
      <x:c r="H6389" s="87" t="n">
        <x:v>11</x:v>
      </x:c>
      <x:c r="I6389" s="87"/>
      <x:c r="J6389" s="87" t="str">
        <x:v>953</x:v>
      </x:c>
      <x:c r="K6389" s="87" t="n">
        <x:v>37</x:v>
      </x:c>
      <x:c r="L6389" s="87" t="str">
        <x:v>Personal email</x:v>
      </x:c>
      <x:c r="M6389" s="30" t="str">
        <x:v>Write a 100–140-word email to Noah about family and ask three questions about baking cookies.</x:v>
      </x:c>
      <x:c r="N6389" s="30" t="str">
        <x:v>Dear Noah,
Thanks for your email. It was great to hear from you.
My family is extremely important to me because my relatives always support me and give useful advice. We enjoy spending time together, especially going for walks, cooking dinner and watching films at weekends. I think family relationships change as people grow older because children become more independent and begin to understand their parents better.
By the way, I would like to know more about the cookies. What kind of cookies are you going to bake? Is the recipe difficult? How long does it take to make them?
I have to finish my homework now. Write back soon.
Best wishes,
Alex</x:v>
      </x:c>
      <x:c r="O6389" s="30" t="str">
        <x:v>Модель соответствует объёму: 113 слов.</x:v>
      </x:c>
      <x:c r="P6389" s="30"/>
      <x:c r="Q6389" s="30" t="str">
        <x:v>Проверены ответы на три вопроса, три встречных вопроса, структура и объём.</x:v>
      </x:c>
      <x:c r="R6389" s="30" t="str">
        <x:v>SOURCE_MODEL_AVAILABLE</x:v>
      </x:c>
      <x:c r="S6389" s="30"/>
      <x:c r="T6389" s="30"/>
      <x:c r="U6389" s="30" t="str">
        <x:v>Каноническая модель отредактирована для устойчивого соответствия критериям.</x:v>
      </x:c>
      <x:c r="V6389" s="87" t="str">
        <x:v>MODEL_READY</x:v>
      </x:c>
      <x:c r="W6389" s="87"/>
      <x:c r="X6389" s="87" t="n">
        <x:v>8</x:v>
      </x:c>
      <x:c r="Y6389" s="87"/>
      <x:c r="Z6389" s="87"/>
      <x:c r="AA6389" s="87"/>
      <x:c r="AB6389" s="87"/>
      <x:c r="AC6389" s="87" t="str">
        <x:v>VIS-EGKR-ENG-S26-TASK-953-P008</x:v>
      </x:c>
      <x:c r="AD6389" s="87" t="str">
        <x:v>VIS-EGKR-ENG-S26-ANSWERDOC-P001</x:v>
      </x:c>
      <x:c r="AE6389" s="87" t="str">
        <x:v>TASK; SECONDARY_ANSWER_AND_MODEL_SOURCE</x:v>
      </x:c>
      <x:c r="AF6389" s="87" t="str">
        <x:v>VIS-EGKR-ENG-S26-TASK-953-P008: 8; VIS-EGKR-ENG-S26-ANSWERDOC-P001: 1</x:v>
      </x:c>
      <x:c r="AG6389" s="87" t="str">
        <x:v>RESOLVED</x:v>
      </x:c>
      <x:c r="AH6389" s="87" t="str">
        <x:v>CROP_VERIFIED</x:v>
      </x:c>
      <x:c r="AI6389" s="30"/>
      <x:c r="AJ6389" s="87" t="str">
        <x:v>clean</x:v>
      </x:c>
      <x:c r="AK6389" s="87" t="str">
        <x:v>clean-v0.23</x:v>
      </x:c>
      <x:c r="AL6389" s="87" t="str">
        <x:v>statgrad_clean_continuation_v0_23(1).xlsx</x:v>
      </x:c>
      <x:c r="AM6389" s="87" t="str">
        <x:v>ENG_S26_953</x:v>
      </x:c>
      <x:c r="AN6389" s="87" t="n">
        <x:v>38</x:v>
      </x:c>
    </x:row>
    <x:row r="6390">
      <x:c r="A6390" s="87" t="n">
        <x:v>6389</x:v>
      </x:c>
      <x:c r="B6390" s="87" t="str">
        <x:v>EGKR-S26-ENG-953-38</x:v>
      </x:c>
      <x:c r="C6390" s="87" t="str">
        <x:v>ЕГКР</x:v>
      </x:c>
      <x:c r="D6390" s="87"/>
      <x:c r="E6390" s="87" t="str">
        <x:v>Весна 2026</x:v>
      </x:c>
      <x:c r="F6390" s="87" t="str">
        <x:v>14.04.2026</x:v>
      </x:c>
      <x:c r="G6390" s="87" t="str">
        <x:v>Английский язык</x:v>
      </x:c>
      <x:c r="H6390" s="87" t="n">
        <x:v>11</x:v>
      </x:c>
      <x:c r="I6390" s="87"/>
      <x:c r="J6390" s="87" t="str">
        <x:v>953</x:v>
      </x:c>
      <x:c r="K6390" s="87" t="n">
        <x:v>38</x:v>
      </x:c>
      <x:c r="L6390" s="87" t="str">
        <x:v>Project essay (choose 38.1 or 38.2)</x:v>
      </x:c>
      <x:c r="M6390" s="30" t="str">
        <x:v>Choose 38.1 (AI usage) or 38.2 (reasons for using public transport); write 200–250 words.</x:v>
      </x:c>
      <x:c r="N6390" s="30" t="str">
        <x:v>Две рабочие модели: 38.1 и 38.2; см. ENG_S26_Writing_Models.</x:v>
      </x:c>
      <x:c r="O6390" s="30" t="str">
        <x:v>Обе модели выдерживают объём 200–250 слов и следуют плану задания.</x:v>
      </x:c>
      <x:c r="P6390" s="30"/>
      <x:c r="Q6390" s="30" t="str">
        <x:v>Проверены факты, сравнение, проблема/решение, мнение и объём.</x:v>
      </x:c>
      <x:c r="R6390" s="30" t="str">
        <x:v>SOURCE_MODEL_38.1_ONLY</x:v>
      </x:c>
      <x:c r="S6390" s="30"/>
      <x:c r="T6390" s="30"/>
      <x:c r="U6390" s="30" t="str">
        <x:v>В DOCX была только модель 38.1; модель 38.2 подготовлена независимо.</x:v>
      </x:c>
      <x:c r="V6390" s="87" t="str">
        <x:v>MODEL_READY</x:v>
      </x:c>
      <x:c r="W6390" s="87"/>
      <x:c r="X6390" s="87" t="n">
        <x:v>8</x:v>
      </x:c>
      <x:c r="Y6390" s="87"/>
      <x:c r="Z6390" s="87"/>
      <x:c r="AA6390" s="87"/>
      <x:c r="AB6390" s="87"/>
      <x:c r="AC6390" s="87" t="str">
        <x:v>VIS-EGKR-ENG-S26-TASK-953-P008</x:v>
      </x:c>
      <x:c r="AD6390" s="87" t="str">
        <x:v>VIS-EGKR-ENG-S26-TASK-953-P008; VIS-EGKR-ENG-S26-TASK-953-P009</x:v>
      </x:c>
      <x:c r="AE6390" s="87" t="str">
        <x:v>TASK</x:v>
      </x:c>
      <x:c r="AF6390" s="87" t="str">
        <x:v>VIS-EGKR-ENG-S26-TASK-953-P008: 8; VIS-EGKR-ENG-S26-TASK-953-P009: 9</x:v>
      </x:c>
      <x:c r="AG6390" s="87" t="str">
        <x:v>RESOLVED</x:v>
      </x:c>
      <x:c r="AH6390" s="87" t="str">
        <x:v>CROP_VERIFIED</x:v>
      </x:c>
      <x:c r="AI6390" s="30"/>
      <x:c r="AJ6390" s="87" t="str">
        <x:v>clean</x:v>
      </x:c>
      <x:c r="AK6390" s="87" t="str">
        <x:v>clean-v0.23</x:v>
      </x:c>
      <x:c r="AL6390" s="87" t="str">
        <x:v>statgrad_clean_continuation_v0_23(1).xlsx</x:v>
      </x:c>
      <x:c r="AM6390" s="87" t="str">
        <x:v>ENG_S26_953</x:v>
      </x:c>
      <x:c r="AN6390" s="87" t="n">
        <x:v>39</x:v>
      </x:c>
    </x:row>
    <x:row r="6391">
      <x:c r="A6391" s="87" t="n">
        <x:v>6390</x:v>
      </x:c>
      <x:c r="B6391" s="87" t="str">
        <x:v>EGKR-S26-ENG-954-01</x:v>
      </x:c>
      <x:c r="C6391" s="87" t="str">
        <x:v>ЕГКР</x:v>
      </x:c>
      <x:c r="D6391" s="87"/>
      <x:c r="E6391" s="87" t="str">
        <x:v>Весна 2026</x:v>
      </x:c>
      <x:c r="F6391" s="87" t="str">
        <x:v>14.04.2026</x:v>
      </x:c>
      <x:c r="G6391" s="87" t="str">
        <x:v>Английский язык</x:v>
      </x:c>
      <x:c r="H6391" s="87" t="n">
        <x:v>11</x:v>
      </x:c>
      <x:c r="I6391" s="87"/>
      <x:c r="J6391" s="87" t="str">
        <x:v>954</x:v>
      </x:c>
      <x:c r="K6391" s="87" t="n">
        <x:v>1</x:v>
      </x:c>
      <x:c r="L6391" s="87" t="str">
        <x:v>Listening: speaker matching</x:v>
      </x:c>
      <x:c r="M6391" s="30" t="str">
        <x:v>Match six speakers to statements about ecotourism.</x:v>
      </x:c>
      <x:c r="N6391" s="30" t="str">
        <x:v>513762</x:v>
      </x:c>
      <x:c r="O6391" s="30" t="str">
        <x:v>Ответ сохранён из внутреннего ключа; оригинальный аудиофайл присутствует.</x:v>
      </x:c>
      <x:c r="P6391" s="30"/>
      <x:c r="Q6391" s="30" t="str">
        <x:v>Аудио и ответник сопоставлены по варианту; независимая расшифровка отсутствует.</x:v>
      </x:c>
      <x:c r="R6391" s="30" t="str">
        <x:v>513762</x:v>
      </x:c>
      <x:c r="S6391" s="30"/>
      <x:c r="T6391" s="30"/>
      <x:c r="U6391" s="30" t="str">
        <x:v>Не повышать до VERIFIED без независимой транскрипции или второго ключа.</x:v>
      </x:c>
      <x:c r="V6391" s="87" t="str">
        <x:v>AUDIO_SOURCE_ONLY</x:v>
      </x:c>
      <x:c r="W6391" s="87"/>
      <x:c r="X6391" s="87" t="n">
        <x:v>1</x:v>
      </x:c>
      <x:c r="Y6391" s="87"/>
      <x:c r="Z6391" s="87"/>
      <x:c r="AA6391" s="87"/>
      <x:c r="AB6391" s="87"/>
      <x:c r="AC6391" s="87" t="str">
        <x:v>VIS-EGKR-ENG-S26-TASK-954-P001</x:v>
      </x:c>
      <x:c r="AD6391" s="87" t="str">
        <x:v>VIS-EGKR-ENG-S26-ANSWERDOC-P004; VIS-EGKR-ENG-S26-ANSWERDOC-P005; VIS-EGKR-ENG-S26-AUDIO-954-P001</x:v>
      </x:c>
      <x:c r="AE6391" s="87" t="str">
        <x:v>TASK; SECONDARY_ANSWER_AND_MODEL_SOURCE; AUDIO_WAVEFORM</x:v>
      </x:c>
      <x:c r="AF6391" s="87" t="str">
        <x:v>VIS-EGKR-ENG-S26-TASK-954-P001: 1; VIS-EGKR-ENG-S26-ANSWERDOC-P004: 4; VIS-EGKR-ENG-S26-ANSWERDOC-P005: 5; VIS-EGKR-ENG-S26-AUDIO-954-P001: 1</x:v>
      </x:c>
      <x:c r="AG6391" s="87" t="str">
        <x:v>RESOLVED</x:v>
      </x:c>
      <x:c r="AH6391" s="87" t="str">
        <x:v>CROP_VERIFIED</x:v>
      </x:c>
      <x:c r="AI6391" s="30"/>
      <x:c r="AJ6391" s="87" t="str">
        <x:v>clean</x:v>
      </x:c>
      <x:c r="AK6391" s="87" t="str">
        <x:v>clean-v0.23</x:v>
      </x:c>
      <x:c r="AL6391" s="87" t="str">
        <x:v>statgrad_clean_continuation_v0_23(1).xlsx</x:v>
      </x:c>
      <x:c r="AM6391" s="87" t="str">
        <x:v>ENG_S26_954</x:v>
      </x:c>
      <x:c r="AN6391" s="87" t="n">
        <x:v>2</x:v>
      </x:c>
    </x:row>
    <x:row r="6392">
      <x:c r="A6392" s="87" t="n">
        <x:v>6391</x:v>
      </x:c>
      <x:c r="B6392" s="87" t="str">
        <x:v>EGKR-S26-ENG-954-02</x:v>
      </x:c>
      <x:c r="C6392" s="87" t="str">
        <x:v>ЕГКР</x:v>
      </x:c>
      <x:c r="D6392" s="87"/>
      <x:c r="E6392" s="87" t="str">
        <x:v>Весна 2026</x:v>
      </x:c>
      <x:c r="F6392" s="87" t="str">
        <x:v>14.04.2026</x:v>
      </x:c>
      <x:c r="G6392" s="87" t="str">
        <x:v>Английский язык</x:v>
      </x:c>
      <x:c r="H6392" s="87" t="n">
        <x:v>11</x:v>
      </x:c>
      <x:c r="I6392" s="87"/>
      <x:c r="J6392" s="87" t="str">
        <x:v>954</x:v>
      </x:c>
      <x:c r="K6392" s="87" t="n">
        <x:v>2</x:v>
      </x:c>
      <x:c r="L6392" s="87" t="str">
        <x:v>Listening: True / False / Not stated</x:v>
      </x:c>
      <x:c r="M6392" s="30" t="str">
        <x:v>Determine whether seven statements in a travel-agency dialogue are True, False or Not stated.</x:v>
      </x:c>
      <x:c r="N6392" s="30" t="str">
        <x:v>3322132</x:v>
      </x:c>
      <x:c r="O6392" s="30" t="str">
        <x:v>Ответ сохранён из внутреннего ключа; оригинальный аудиофайл присутствует.</x:v>
      </x:c>
      <x:c r="P6392" s="30"/>
      <x:c r="Q6392" s="30" t="str">
        <x:v>Аудио и ответник сопоставлены по варианту; независимая расшифровка отсутствует.</x:v>
      </x:c>
      <x:c r="R6392" s="30" t="str">
        <x:v>3322132</x:v>
      </x:c>
      <x:c r="S6392" s="30"/>
      <x:c r="T6392" s="30"/>
      <x:c r="U6392" s="30" t="str">
        <x:v>Не повышать до VERIFIED без независимой транскрипции или второго ключа.</x:v>
      </x:c>
      <x:c r="V6392" s="87" t="str">
        <x:v>AUDIO_SOURCE_ONLY</x:v>
      </x:c>
      <x:c r="W6392" s="87"/>
      <x:c r="X6392" s="87" t="n">
        <x:v>1</x:v>
      </x:c>
      <x:c r="Y6392" s="87"/>
      <x:c r="Z6392" s="87"/>
      <x:c r="AA6392" s="87"/>
      <x:c r="AB6392" s="87"/>
      <x:c r="AC6392" s="87" t="str">
        <x:v>VIS-EGKR-ENG-S26-TASK-954-P001</x:v>
      </x:c>
      <x:c r="AD6392" s="87" t="str">
        <x:v>VIS-EGKR-ENG-S26-ANSWERDOC-P004; VIS-EGKR-ENG-S26-ANSWERDOC-P005; VIS-EGKR-ENG-S26-AUDIO-954-P001</x:v>
      </x:c>
      <x:c r="AE6392" s="87" t="str">
        <x:v>TASK; SECONDARY_ANSWER_AND_MODEL_SOURCE; AUDIO_WAVEFORM</x:v>
      </x:c>
      <x:c r="AF6392" s="87" t="str">
        <x:v>VIS-EGKR-ENG-S26-TASK-954-P001: 1; VIS-EGKR-ENG-S26-ANSWERDOC-P004: 4; VIS-EGKR-ENG-S26-ANSWERDOC-P005: 5; VIS-EGKR-ENG-S26-AUDIO-954-P001: 1</x:v>
      </x:c>
      <x:c r="AG6392" s="87" t="str">
        <x:v>RESOLVED</x:v>
      </x:c>
      <x:c r="AH6392" s="87" t="str">
        <x:v>CROP_VERIFIED</x:v>
      </x:c>
      <x:c r="AI6392" s="30"/>
      <x:c r="AJ6392" s="87" t="str">
        <x:v>clean</x:v>
      </x:c>
      <x:c r="AK6392" s="87" t="str">
        <x:v>clean-v0.23</x:v>
      </x:c>
      <x:c r="AL6392" s="87" t="str">
        <x:v>statgrad_clean_continuation_v0_23(1).xlsx</x:v>
      </x:c>
      <x:c r="AM6392" s="87" t="str">
        <x:v>ENG_S26_954</x:v>
      </x:c>
      <x:c r="AN6392" s="87" t="n">
        <x:v>3</x:v>
      </x:c>
    </x:row>
    <x:row r="6393">
      <x:c r="A6393" s="87" t="n">
        <x:v>6392</x:v>
      </x:c>
      <x:c r="B6393" s="87" t="str">
        <x:v>EGKR-S26-ENG-954-03</x:v>
      </x:c>
      <x:c r="C6393" s="87" t="str">
        <x:v>ЕГКР</x:v>
      </x:c>
      <x:c r="D6393" s="87"/>
      <x:c r="E6393" s="87" t="str">
        <x:v>Весна 2026</x:v>
      </x:c>
      <x:c r="F6393" s="87" t="str">
        <x:v>14.04.2026</x:v>
      </x:c>
      <x:c r="G6393" s="87" t="str">
        <x:v>Английский язык</x:v>
      </x:c>
      <x:c r="H6393" s="87" t="n">
        <x:v>11</x:v>
      </x:c>
      <x:c r="I6393" s="87"/>
      <x:c r="J6393" s="87" t="str">
        <x:v>954</x:v>
      </x:c>
      <x:c r="K6393" s="87" t="n">
        <x:v>3</x:v>
      </x:c>
      <x:c r="L6393" s="87" t="str">
        <x:v>Listening: multiple choice</x:v>
      </x:c>
      <x:c r="M6393" s="30" t="str">
        <x:v>Listen to the interview and select the correct option.</x:v>
      </x:c>
      <x:c r="N6393" s="30" t="str">
        <x:v>3</x:v>
      </x:c>
      <x:c r="O6393" s="30" t="str">
        <x:v>Ответ сохранён из внутреннего ключа; оригинальный аудиофайл присутствует.</x:v>
      </x:c>
      <x:c r="P6393" s="30"/>
      <x:c r="Q6393" s="30" t="str">
        <x:v>Аудио и ответник сопоставлены по варианту; независимая расшифровка отсутствует.</x:v>
      </x:c>
      <x:c r="R6393" s="30" t="str">
        <x:v>3</x:v>
      </x:c>
      <x:c r="S6393" s="30"/>
      <x:c r="T6393" s="30"/>
      <x:c r="U6393" s="30" t="str">
        <x:v>Не повышать до VERIFIED без независимой транскрипции или второго ключа.</x:v>
      </x:c>
      <x:c r="V6393" s="87" t="str">
        <x:v>AUDIO_SOURCE_ONLY</x:v>
      </x:c>
      <x:c r="W6393" s="87"/>
      <x:c r="X6393" s="87" t="n">
        <x:v>2</x:v>
      </x:c>
      <x:c r="Y6393" s="87"/>
      <x:c r="Z6393" s="87"/>
      <x:c r="AA6393" s="87"/>
      <x:c r="AB6393" s="87"/>
      <x:c r="AC6393" s="87" t="str">
        <x:v>VIS-EGKR-ENG-S26-TASK-954-P002</x:v>
      </x:c>
      <x:c r="AD6393" s="87" t="str">
        <x:v>VIS-EGKR-ENG-S26-ANSWERDOC-P004; VIS-EGKR-ENG-S26-ANSWERDOC-P005; VIS-EGKR-ENG-S26-AUDIO-954-P001</x:v>
      </x:c>
      <x:c r="AE6393" s="87" t="str">
        <x:v>TASK; SECONDARY_ANSWER_AND_MODEL_SOURCE; AUDIO_WAVEFORM</x:v>
      </x:c>
      <x:c r="AF6393" s="87" t="str">
        <x:v>VIS-EGKR-ENG-S26-TASK-954-P002: 2; VIS-EGKR-ENG-S26-ANSWERDOC-P004: 4; VIS-EGKR-ENG-S26-ANSWERDOC-P005: 5; VIS-EGKR-ENG-S26-AUDIO-954-P001: 1</x:v>
      </x:c>
      <x:c r="AG6393" s="87" t="str">
        <x:v>RESOLVED</x:v>
      </x:c>
      <x:c r="AH6393" s="87" t="str">
        <x:v>CROP_VERIFIED</x:v>
      </x:c>
      <x:c r="AI6393" s="30"/>
      <x:c r="AJ6393" s="87" t="str">
        <x:v>clean</x:v>
      </x:c>
      <x:c r="AK6393" s="87" t="str">
        <x:v>clean-v0.23</x:v>
      </x:c>
      <x:c r="AL6393" s="87" t="str">
        <x:v>statgrad_clean_continuation_v0_23(1).xlsx</x:v>
      </x:c>
      <x:c r="AM6393" s="87" t="str">
        <x:v>ENG_S26_954</x:v>
      </x:c>
      <x:c r="AN6393" s="87" t="n">
        <x:v>4</x:v>
      </x:c>
    </x:row>
    <x:row r="6394">
      <x:c r="A6394" s="87" t="n">
        <x:v>6393</x:v>
      </x:c>
      <x:c r="B6394" s="87" t="str">
        <x:v>EGKR-S26-ENG-954-04</x:v>
      </x:c>
      <x:c r="C6394" s="87" t="str">
        <x:v>ЕГКР</x:v>
      </x:c>
      <x:c r="D6394" s="87"/>
      <x:c r="E6394" s="87" t="str">
        <x:v>Весна 2026</x:v>
      </x:c>
      <x:c r="F6394" s="87" t="str">
        <x:v>14.04.2026</x:v>
      </x:c>
      <x:c r="G6394" s="87" t="str">
        <x:v>Английский язык</x:v>
      </x:c>
      <x:c r="H6394" s="87" t="n">
        <x:v>11</x:v>
      </x:c>
      <x:c r="I6394" s="87"/>
      <x:c r="J6394" s="87" t="str">
        <x:v>954</x:v>
      </x:c>
      <x:c r="K6394" s="87" t="n">
        <x:v>4</x:v>
      </x:c>
      <x:c r="L6394" s="87" t="str">
        <x:v>Listening: multiple choice</x:v>
      </x:c>
      <x:c r="M6394" s="30" t="str">
        <x:v>Listen to the interview and select the correct option.</x:v>
      </x:c>
      <x:c r="N6394" s="30" t="str">
        <x:v>2</x:v>
      </x:c>
      <x:c r="O6394" s="30" t="str">
        <x:v>Ответ сохранён из внутреннего ключа; оригинальный аудиофайл присутствует.</x:v>
      </x:c>
      <x:c r="P6394" s="30"/>
      <x:c r="Q6394" s="30" t="str">
        <x:v>Аудио и ответник сопоставлены по варианту; независимая расшифровка отсутствует.</x:v>
      </x:c>
      <x:c r="R6394" s="30" t="str">
        <x:v>2</x:v>
      </x:c>
      <x:c r="S6394" s="30"/>
      <x:c r="T6394" s="30"/>
      <x:c r="U6394" s="30" t="str">
        <x:v>Не повышать до VERIFIED без независимой транскрипции или второго ключа.</x:v>
      </x:c>
      <x:c r="V6394" s="87" t="str">
        <x:v>AUDIO_SOURCE_ONLY</x:v>
      </x:c>
      <x:c r="W6394" s="87"/>
      <x:c r="X6394" s="87" t="n">
        <x:v>2</x:v>
      </x:c>
      <x:c r="Y6394" s="87"/>
      <x:c r="Z6394" s="87"/>
      <x:c r="AA6394" s="87"/>
      <x:c r="AB6394" s="87"/>
      <x:c r="AC6394" s="87" t="str">
        <x:v>VIS-EGKR-ENG-S26-TASK-954-P002</x:v>
      </x:c>
      <x:c r="AD6394" s="87" t="str">
        <x:v>VIS-EGKR-ENG-S26-ANSWERDOC-P004; VIS-EGKR-ENG-S26-ANSWERDOC-P005; VIS-EGKR-ENG-S26-AUDIO-954-P001</x:v>
      </x:c>
      <x:c r="AE6394" s="87" t="str">
        <x:v>TASK; SECONDARY_ANSWER_AND_MODEL_SOURCE; AUDIO_WAVEFORM</x:v>
      </x:c>
      <x:c r="AF6394" s="87" t="str">
        <x:v>VIS-EGKR-ENG-S26-TASK-954-P002: 2; VIS-EGKR-ENG-S26-ANSWERDOC-P004: 4; VIS-EGKR-ENG-S26-ANSWERDOC-P005: 5; VIS-EGKR-ENG-S26-AUDIO-954-P001: 1</x:v>
      </x:c>
      <x:c r="AG6394" s="87" t="str">
        <x:v>RESOLVED</x:v>
      </x:c>
      <x:c r="AH6394" s="87" t="str">
        <x:v>CROP_VERIFIED</x:v>
      </x:c>
      <x:c r="AI6394" s="30"/>
      <x:c r="AJ6394" s="87" t="str">
        <x:v>clean</x:v>
      </x:c>
      <x:c r="AK6394" s="87" t="str">
        <x:v>clean-v0.23</x:v>
      </x:c>
      <x:c r="AL6394" s="87" t="str">
        <x:v>statgrad_clean_continuation_v0_23(1).xlsx</x:v>
      </x:c>
      <x:c r="AM6394" s="87" t="str">
        <x:v>ENG_S26_954</x:v>
      </x:c>
      <x:c r="AN6394" s="87" t="n">
        <x:v>5</x:v>
      </x:c>
    </x:row>
    <x:row r="6395">
      <x:c r="A6395" s="87" t="n">
        <x:v>6394</x:v>
      </x:c>
      <x:c r="B6395" s="87" t="str">
        <x:v>EGKR-S26-ENG-954-05</x:v>
      </x:c>
      <x:c r="C6395" s="87" t="str">
        <x:v>ЕГКР</x:v>
      </x:c>
      <x:c r="D6395" s="87"/>
      <x:c r="E6395" s="87" t="str">
        <x:v>Весна 2026</x:v>
      </x:c>
      <x:c r="F6395" s="87" t="str">
        <x:v>14.04.2026</x:v>
      </x:c>
      <x:c r="G6395" s="87" t="str">
        <x:v>Английский язык</x:v>
      </x:c>
      <x:c r="H6395" s="87" t="n">
        <x:v>11</x:v>
      </x:c>
      <x:c r="I6395" s="87"/>
      <x:c r="J6395" s="87" t="str">
        <x:v>954</x:v>
      </x:c>
      <x:c r="K6395" s="87" t="n">
        <x:v>5</x:v>
      </x:c>
      <x:c r="L6395" s="87" t="str">
        <x:v>Listening: multiple choice</x:v>
      </x:c>
      <x:c r="M6395" s="30" t="str">
        <x:v>Listen to the interview and select the correct option.</x:v>
      </x:c>
      <x:c r="N6395" s="30" t="str">
        <x:v>1</x:v>
      </x:c>
      <x:c r="O6395" s="30" t="str">
        <x:v>Ответ сохранён из внутреннего ключа; оригинальный аудиофайл присутствует.</x:v>
      </x:c>
      <x:c r="P6395" s="30"/>
      <x:c r="Q6395" s="30" t="str">
        <x:v>Аудио и ответник сопоставлены по варианту; независимая расшифровка отсутствует.</x:v>
      </x:c>
      <x:c r="R6395" s="30" t="str">
        <x:v>1</x:v>
      </x:c>
      <x:c r="S6395" s="30"/>
      <x:c r="T6395" s="30"/>
      <x:c r="U6395" s="30" t="str">
        <x:v>Не повышать до VERIFIED без независимой транскрипции или второго ключа.</x:v>
      </x:c>
      <x:c r="V6395" s="87" t="str">
        <x:v>AUDIO_SOURCE_ONLY</x:v>
      </x:c>
      <x:c r="W6395" s="87"/>
      <x:c r="X6395" s="87" t="n">
        <x:v>2</x:v>
      </x:c>
      <x:c r="Y6395" s="87"/>
      <x:c r="Z6395" s="87"/>
      <x:c r="AA6395" s="87"/>
      <x:c r="AB6395" s="87"/>
      <x:c r="AC6395" s="87" t="str">
        <x:v>VIS-EGKR-ENG-S26-TASK-954-P002</x:v>
      </x:c>
      <x:c r="AD6395" s="87" t="str">
        <x:v>VIS-EGKR-ENG-S26-ANSWERDOC-P004; VIS-EGKR-ENG-S26-ANSWERDOC-P005; VIS-EGKR-ENG-S26-AUDIO-954-P001</x:v>
      </x:c>
      <x:c r="AE6395" s="87" t="str">
        <x:v>TASK; SECONDARY_ANSWER_AND_MODEL_SOURCE; AUDIO_WAVEFORM</x:v>
      </x:c>
      <x:c r="AF6395" s="87" t="str">
        <x:v>VIS-EGKR-ENG-S26-TASK-954-P002: 2; VIS-EGKR-ENG-S26-ANSWERDOC-P004: 4; VIS-EGKR-ENG-S26-ANSWERDOC-P005: 5; VIS-EGKR-ENG-S26-AUDIO-954-P001: 1</x:v>
      </x:c>
      <x:c r="AG6395" s="87" t="str">
        <x:v>RESOLVED</x:v>
      </x:c>
      <x:c r="AH6395" s="87" t="str">
        <x:v>CROP_VERIFIED</x:v>
      </x:c>
      <x:c r="AI6395" s="30"/>
      <x:c r="AJ6395" s="87" t="str">
        <x:v>clean</x:v>
      </x:c>
      <x:c r="AK6395" s="87" t="str">
        <x:v>clean-v0.23</x:v>
      </x:c>
      <x:c r="AL6395" s="87" t="str">
        <x:v>statgrad_clean_continuation_v0_23(1).xlsx</x:v>
      </x:c>
      <x:c r="AM6395" s="87" t="str">
        <x:v>ENG_S26_954</x:v>
      </x:c>
      <x:c r="AN6395" s="87" t="n">
        <x:v>6</x:v>
      </x:c>
    </x:row>
    <x:row r="6396">
      <x:c r="A6396" s="87" t="n">
        <x:v>6395</x:v>
      </x:c>
      <x:c r="B6396" s="87" t="str">
        <x:v>EGKR-S26-ENG-954-06</x:v>
      </x:c>
      <x:c r="C6396" s="87" t="str">
        <x:v>ЕГКР</x:v>
      </x:c>
      <x:c r="D6396" s="87"/>
      <x:c r="E6396" s="87" t="str">
        <x:v>Весна 2026</x:v>
      </x:c>
      <x:c r="F6396" s="87" t="str">
        <x:v>14.04.2026</x:v>
      </x:c>
      <x:c r="G6396" s="87" t="str">
        <x:v>Английский язык</x:v>
      </x:c>
      <x:c r="H6396" s="87" t="n">
        <x:v>11</x:v>
      </x:c>
      <x:c r="I6396" s="87"/>
      <x:c r="J6396" s="87" t="str">
        <x:v>954</x:v>
      </x:c>
      <x:c r="K6396" s="87" t="n">
        <x:v>6</x:v>
      </x:c>
      <x:c r="L6396" s="87" t="str">
        <x:v>Listening: multiple choice</x:v>
      </x:c>
      <x:c r="M6396" s="30" t="str">
        <x:v>Listen to the interview and select the correct option.</x:v>
      </x:c>
      <x:c r="N6396" s="30" t="str">
        <x:v>1</x:v>
      </x:c>
      <x:c r="O6396" s="30" t="str">
        <x:v>Ответ сохранён из внутреннего ключа; оригинальный аудиофайл присутствует.</x:v>
      </x:c>
      <x:c r="P6396" s="30"/>
      <x:c r="Q6396" s="30" t="str">
        <x:v>Аудио и ответник сопоставлены по варианту; независимая расшифровка отсутствует.</x:v>
      </x:c>
      <x:c r="R6396" s="30" t="str">
        <x:v>1</x:v>
      </x:c>
      <x:c r="S6396" s="30"/>
      <x:c r="T6396" s="30"/>
      <x:c r="U6396" s="30" t="str">
        <x:v>Не повышать до VERIFIED без независимой транскрипции или второго ключа.</x:v>
      </x:c>
      <x:c r="V6396" s="87" t="str">
        <x:v>AUDIO_SOURCE_ONLY</x:v>
      </x:c>
      <x:c r="W6396" s="87"/>
      <x:c r="X6396" s="87" t="n">
        <x:v>2</x:v>
      </x:c>
      <x:c r="Y6396" s="87"/>
      <x:c r="Z6396" s="87"/>
      <x:c r="AA6396" s="87"/>
      <x:c r="AB6396" s="87"/>
      <x:c r="AC6396" s="87" t="str">
        <x:v>VIS-EGKR-ENG-S26-TASK-954-P002</x:v>
      </x:c>
      <x:c r="AD6396" s="87" t="str">
        <x:v>VIS-EGKR-ENG-S26-ANSWERDOC-P004; VIS-EGKR-ENG-S26-ANSWERDOC-P005; VIS-EGKR-ENG-S26-AUDIO-954-P001</x:v>
      </x:c>
      <x:c r="AE6396" s="87" t="str">
        <x:v>TASK; SECONDARY_ANSWER_AND_MODEL_SOURCE; AUDIO_WAVEFORM</x:v>
      </x:c>
      <x:c r="AF6396" s="87" t="str">
        <x:v>VIS-EGKR-ENG-S26-TASK-954-P002: 2; VIS-EGKR-ENG-S26-ANSWERDOC-P004: 4; VIS-EGKR-ENG-S26-ANSWERDOC-P005: 5; VIS-EGKR-ENG-S26-AUDIO-954-P001: 1</x:v>
      </x:c>
      <x:c r="AG6396" s="87" t="str">
        <x:v>RESOLVED</x:v>
      </x:c>
      <x:c r="AH6396" s="87" t="str">
        <x:v>CROP_VERIFIED</x:v>
      </x:c>
      <x:c r="AI6396" s="30"/>
      <x:c r="AJ6396" s="87" t="str">
        <x:v>clean</x:v>
      </x:c>
      <x:c r="AK6396" s="87" t="str">
        <x:v>clean-v0.23</x:v>
      </x:c>
      <x:c r="AL6396" s="87" t="str">
        <x:v>statgrad_clean_continuation_v0_23(1).xlsx</x:v>
      </x:c>
      <x:c r="AM6396" s="87" t="str">
        <x:v>ENG_S26_954</x:v>
      </x:c>
      <x:c r="AN6396" s="87" t="n">
        <x:v>7</x:v>
      </x:c>
    </x:row>
    <x:row r="6397">
      <x:c r="A6397" s="87" t="n">
        <x:v>6396</x:v>
      </x:c>
      <x:c r="B6397" s="87" t="str">
        <x:v>EGKR-S26-ENG-954-07</x:v>
      </x:c>
      <x:c r="C6397" s="87" t="str">
        <x:v>ЕГКР</x:v>
      </x:c>
      <x:c r="D6397" s="87"/>
      <x:c r="E6397" s="87" t="str">
        <x:v>Весна 2026</x:v>
      </x:c>
      <x:c r="F6397" s="87" t="str">
        <x:v>14.04.2026</x:v>
      </x:c>
      <x:c r="G6397" s="87" t="str">
        <x:v>Английский язык</x:v>
      </x:c>
      <x:c r="H6397" s="87" t="n">
        <x:v>11</x:v>
      </x:c>
      <x:c r="I6397" s="87"/>
      <x:c r="J6397" s="87" t="str">
        <x:v>954</x:v>
      </x:c>
      <x:c r="K6397" s="87" t="n">
        <x:v>7</x:v>
      </x:c>
      <x:c r="L6397" s="87" t="str">
        <x:v>Listening: multiple choice</x:v>
      </x:c>
      <x:c r="M6397" s="30" t="str">
        <x:v>Listen to the interview and select the correct option.</x:v>
      </x:c>
      <x:c r="N6397" s="30" t="str">
        <x:v>1</x:v>
      </x:c>
      <x:c r="O6397" s="30" t="str">
        <x:v>Ответ сохранён из внутреннего ключа; оригинальный аудиофайл присутствует.</x:v>
      </x:c>
      <x:c r="P6397" s="30"/>
      <x:c r="Q6397" s="30" t="str">
        <x:v>Аудио и ответник сопоставлены по варианту; независимая расшифровка отсутствует.</x:v>
      </x:c>
      <x:c r="R6397" s="30" t="str">
        <x:v>1</x:v>
      </x:c>
      <x:c r="S6397" s="30"/>
      <x:c r="T6397" s="30"/>
      <x:c r="U6397" s="30" t="str">
        <x:v>Не повышать до VERIFIED без независимой транскрипции или второго ключа.</x:v>
      </x:c>
      <x:c r="V6397" s="87" t="str">
        <x:v>AUDIO_SOURCE_ONLY</x:v>
      </x:c>
      <x:c r="W6397" s="87"/>
      <x:c r="X6397" s="87" t="n">
        <x:v>2</x:v>
      </x:c>
      <x:c r="Y6397" s="87"/>
      <x:c r="Z6397" s="87"/>
      <x:c r="AA6397" s="87"/>
      <x:c r="AB6397" s="87"/>
      <x:c r="AC6397" s="87" t="str">
        <x:v>VIS-EGKR-ENG-S26-TASK-954-P002</x:v>
      </x:c>
      <x:c r="AD6397" s="87" t="str">
        <x:v>VIS-EGKR-ENG-S26-ANSWERDOC-P004; VIS-EGKR-ENG-S26-ANSWERDOC-P005; VIS-EGKR-ENG-S26-AUDIO-954-P001</x:v>
      </x:c>
      <x:c r="AE6397" s="87" t="str">
        <x:v>TASK; SECONDARY_ANSWER_AND_MODEL_SOURCE; AUDIO_WAVEFORM</x:v>
      </x:c>
      <x:c r="AF6397" s="87" t="str">
        <x:v>VIS-EGKR-ENG-S26-TASK-954-P002: 2; VIS-EGKR-ENG-S26-ANSWERDOC-P004: 4; VIS-EGKR-ENG-S26-ANSWERDOC-P005: 5; VIS-EGKR-ENG-S26-AUDIO-954-P001: 1</x:v>
      </x:c>
      <x:c r="AG6397" s="87" t="str">
        <x:v>RESOLVED</x:v>
      </x:c>
      <x:c r="AH6397" s="87" t="str">
        <x:v>CROP_VERIFIED</x:v>
      </x:c>
      <x:c r="AI6397" s="30"/>
      <x:c r="AJ6397" s="87" t="str">
        <x:v>clean</x:v>
      </x:c>
      <x:c r="AK6397" s="87" t="str">
        <x:v>clean-v0.23</x:v>
      </x:c>
      <x:c r="AL6397" s="87" t="str">
        <x:v>statgrad_clean_continuation_v0_23(1).xlsx</x:v>
      </x:c>
      <x:c r="AM6397" s="87" t="str">
        <x:v>ENG_S26_954</x:v>
      </x:c>
      <x:c r="AN6397" s="87" t="n">
        <x:v>8</x:v>
      </x:c>
    </x:row>
    <x:row r="6398">
      <x:c r="A6398" s="87" t="n">
        <x:v>6397</x:v>
      </x:c>
      <x:c r="B6398" s="87" t="str">
        <x:v>EGKR-S26-ENG-954-08</x:v>
      </x:c>
      <x:c r="C6398" s="87" t="str">
        <x:v>ЕГКР</x:v>
      </x:c>
      <x:c r="D6398" s="87"/>
      <x:c r="E6398" s="87" t="str">
        <x:v>Весна 2026</x:v>
      </x:c>
      <x:c r="F6398" s="87" t="str">
        <x:v>14.04.2026</x:v>
      </x:c>
      <x:c r="G6398" s="87" t="str">
        <x:v>Английский язык</x:v>
      </x:c>
      <x:c r="H6398" s="87" t="n">
        <x:v>11</x:v>
      </x:c>
      <x:c r="I6398" s="87"/>
      <x:c r="J6398" s="87" t="str">
        <x:v>954</x:v>
      </x:c>
      <x:c r="K6398" s="87" t="n">
        <x:v>8</x:v>
      </x:c>
      <x:c r="L6398" s="87" t="str">
        <x:v>Listening: multiple choice</x:v>
      </x:c>
      <x:c r="M6398" s="30" t="str">
        <x:v>Listen to the interview and select the correct option.</x:v>
      </x:c>
      <x:c r="N6398" s="30" t="str">
        <x:v>3</x:v>
      </x:c>
      <x:c r="O6398" s="30" t="str">
        <x:v>Ответ сохранён из внутреннего ключа; оригинальный аудиофайл присутствует.</x:v>
      </x:c>
      <x:c r="P6398" s="30"/>
      <x:c r="Q6398" s="30" t="str">
        <x:v>Аудио и ответник сопоставлены по варианту; независимая расшифровка отсутствует.</x:v>
      </x:c>
      <x:c r="R6398" s="30" t="str">
        <x:v>3</x:v>
      </x:c>
      <x:c r="S6398" s="30"/>
      <x:c r="T6398" s="30"/>
      <x:c r="U6398" s="30" t="str">
        <x:v>Не повышать до VERIFIED без независимой транскрипции или второго ключа.</x:v>
      </x:c>
      <x:c r="V6398" s="87" t="str">
        <x:v>AUDIO_SOURCE_ONLY</x:v>
      </x:c>
      <x:c r="W6398" s="87"/>
      <x:c r="X6398" s="87" t="n">
        <x:v>2</x:v>
      </x:c>
      <x:c r="Y6398" s="87"/>
      <x:c r="Z6398" s="87"/>
      <x:c r="AA6398" s="87"/>
      <x:c r="AB6398" s="87"/>
      <x:c r="AC6398" s="87" t="str">
        <x:v>VIS-EGKR-ENG-S26-TASK-954-P002</x:v>
      </x:c>
      <x:c r="AD6398" s="87" t="str">
        <x:v>VIS-EGKR-ENG-S26-ANSWERDOC-P004; VIS-EGKR-ENG-S26-ANSWERDOC-P005; VIS-EGKR-ENG-S26-AUDIO-954-P001</x:v>
      </x:c>
      <x:c r="AE6398" s="87" t="str">
        <x:v>TASK; SECONDARY_ANSWER_AND_MODEL_SOURCE; AUDIO_WAVEFORM</x:v>
      </x:c>
      <x:c r="AF6398" s="87" t="str">
        <x:v>VIS-EGKR-ENG-S26-TASK-954-P002: 2; VIS-EGKR-ENG-S26-ANSWERDOC-P004: 4; VIS-EGKR-ENG-S26-ANSWERDOC-P005: 5; VIS-EGKR-ENG-S26-AUDIO-954-P001: 1</x:v>
      </x:c>
      <x:c r="AG6398" s="87" t="str">
        <x:v>RESOLVED</x:v>
      </x:c>
      <x:c r="AH6398" s="87" t="str">
        <x:v>CROP_VERIFIED</x:v>
      </x:c>
      <x:c r="AI6398" s="30"/>
      <x:c r="AJ6398" s="87" t="str">
        <x:v>clean</x:v>
      </x:c>
      <x:c r="AK6398" s="87" t="str">
        <x:v>clean-v0.23</x:v>
      </x:c>
      <x:c r="AL6398" s="87" t="str">
        <x:v>statgrad_clean_continuation_v0_23(1).xlsx</x:v>
      </x:c>
      <x:c r="AM6398" s="87" t="str">
        <x:v>ENG_S26_954</x:v>
      </x:c>
      <x:c r="AN6398" s="87" t="n">
        <x:v>9</x:v>
      </x:c>
    </x:row>
    <x:row r="6399">
      <x:c r="A6399" s="87" t="n">
        <x:v>6398</x:v>
      </x:c>
      <x:c r="B6399" s="87" t="str">
        <x:v>EGKR-S26-ENG-954-09</x:v>
      </x:c>
      <x:c r="C6399" s="87" t="str">
        <x:v>ЕГКР</x:v>
      </x:c>
      <x:c r="D6399" s="87"/>
      <x:c r="E6399" s="87" t="str">
        <x:v>Весна 2026</x:v>
      </x:c>
      <x:c r="F6399" s="87" t="str">
        <x:v>14.04.2026</x:v>
      </x:c>
      <x:c r="G6399" s="87" t="str">
        <x:v>Английский язык</x:v>
      </x:c>
      <x:c r="H6399" s="87" t="n">
        <x:v>11</x:v>
      </x:c>
      <x:c r="I6399" s="87"/>
      <x:c r="J6399" s="87" t="str">
        <x:v>954</x:v>
      </x:c>
      <x:c r="K6399" s="87" t="n">
        <x:v>9</x:v>
      </x:c>
      <x:c r="L6399" s="87" t="str">
        <x:v>Listening: multiple choice</x:v>
      </x:c>
      <x:c r="M6399" s="30" t="str">
        <x:v>Listen to the interview and select the correct option.</x:v>
      </x:c>
      <x:c r="N6399" s="30" t="str">
        <x:v>2</x:v>
      </x:c>
      <x:c r="O6399" s="30" t="str">
        <x:v>Ответ сохранён из внутреннего ключа; оригинальный аудиофайл присутствует.</x:v>
      </x:c>
      <x:c r="P6399" s="30"/>
      <x:c r="Q6399" s="30" t="str">
        <x:v>Аудио и ответник сопоставлены по варианту; независимая расшифровка отсутствует.</x:v>
      </x:c>
      <x:c r="R6399" s="30" t="str">
        <x:v>2</x:v>
      </x:c>
      <x:c r="S6399" s="30"/>
      <x:c r="T6399" s="30"/>
      <x:c r="U6399" s="30" t="str">
        <x:v>Не повышать до VERIFIED без независимой транскрипции или второго ключа.</x:v>
      </x:c>
      <x:c r="V6399" s="87" t="str">
        <x:v>AUDIO_SOURCE_ONLY</x:v>
      </x:c>
      <x:c r="W6399" s="87"/>
      <x:c r="X6399" s="87" t="n">
        <x:v>2</x:v>
      </x:c>
      <x:c r="Y6399" s="87"/>
      <x:c r="Z6399" s="87"/>
      <x:c r="AA6399" s="87"/>
      <x:c r="AB6399" s="87"/>
      <x:c r="AC6399" s="87" t="str">
        <x:v>VIS-EGKR-ENG-S26-TASK-954-P002</x:v>
      </x:c>
      <x:c r="AD6399" s="87" t="str">
        <x:v>VIS-EGKR-ENG-S26-ANSWERDOC-P004; VIS-EGKR-ENG-S26-ANSWERDOC-P005; VIS-EGKR-ENG-S26-AUDIO-954-P001</x:v>
      </x:c>
      <x:c r="AE6399" s="87" t="str">
        <x:v>TASK; SECONDARY_ANSWER_AND_MODEL_SOURCE; AUDIO_WAVEFORM</x:v>
      </x:c>
      <x:c r="AF6399" s="87" t="str">
        <x:v>VIS-EGKR-ENG-S26-TASK-954-P002: 2; VIS-EGKR-ENG-S26-ANSWERDOC-P004: 4; VIS-EGKR-ENG-S26-ANSWERDOC-P005: 5; VIS-EGKR-ENG-S26-AUDIO-954-P001: 1</x:v>
      </x:c>
      <x:c r="AG6399" s="87" t="str">
        <x:v>RESOLVED</x:v>
      </x:c>
      <x:c r="AH6399" s="87" t="str">
        <x:v>CROP_VERIFIED</x:v>
      </x:c>
      <x:c r="AI6399" s="30"/>
      <x:c r="AJ6399" s="87" t="str">
        <x:v>clean</x:v>
      </x:c>
      <x:c r="AK6399" s="87" t="str">
        <x:v>clean-v0.23</x:v>
      </x:c>
      <x:c r="AL6399" s="87" t="str">
        <x:v>statgrad_clean_continuation_v0_23(1).xlsx</x:v>
      </x:c>
      <x:c r="AM6399" s="87" t="str">
        <x:v>ENG_S26_954</x:v>
      </x:c>
      <x:c r="AN6399" s="87" t="n">
        <x:v>10</x:v>
      </x:c>
    </x:row>
    <x:row r="6400">
      <x:c r="A6400" s="87" t="n">
        <x:v>6399</x:v>
      </x:c>
      <x:c r="B6400" s="87" t="str">
        <x:v>EGKR-S26-ENG-954-10</x:v>
      </x:c>
      <x:c r="C6400" s="87" t="str">
        <x:v>ЕГКР</x:v>
      </x:c>
      <x:c r="D6400" s="87"/>
      <x:c r="E6400" s="87" t="str">
        <x:v>Весна 2026</x:v>
      </x:c>
      <x:c r="F6400" s="87" t="str">
        <x:v>14.04.2026</x:v>
      </x:c>
      <x:c r="G6400" s="87" t="str">
        <x:v>Английский язык</x:v>
      </x:c>
      <x:c r="H6400" s="87" t="n">
        <x:v>11</x:v>
      </x:c>
      <x:c r="I6400" s="87"/>
      <x:c r="J6400" s="87" t="str">
        <x:v>954</x:v>
      </x:c>
      <x:c r="K6400" s="87" t="n">
        <x:v>10</x:v>
      </x:c>
      <x:c r="L6400" s="87" t="str">
        <x:v>Reading: heading matching</x:v>
      </x:c>
      <x:c r="M6400" s="30" t="str">
        <x:v>Match seven texts about uncontacted peoples to headings.</x:v>
      </x:c>
      <x:c r="N6400" s="30" t="str">
        <x:v>7518643</x:v>
      </x:c>
      <x:c r="O6400" s="30" t="str">
        <x:v>Ответ независимо проверен по тексту, грамматике и лексическому контексту.</x:v>
      </x:c>
      <x:c r="P6400" s="30"/>
      <x:c r="Q6400" s="30" t="str">
        <x:v>Полная визуальная страница + независимое решение; публичная навигационная сверка.</x:v>
      </x:c>
      <x:c r="R6400" s="30" t="str">
        <x:v>7518643</x:v>
      </x:c>
      <x:c r="S6400" s="30"/>
      <x:c r="T6400" s="30"/>
      <x:c r="U6400" s="30" t="str">
        <x:v>Ответник совпадает с независимой проверкой.</x:v>
      </x:c>
      <x:c r="V6400" s="87" t="str">
        <x:v>VERIFIED</x:v>
      </x:c>
      <x:c r="W6400" s="87"/>
      <x:c r="X6400" s="87" t="n">
        <x:v>3</x:v>
      </x:c>
      <x:c r="Y6400" s="87"/>
      <x:c r="Z6400" s="87"/>
      <x:c r="AA6400" s="87"/>
      <x:c r="AB6400" s="87"/>
      <x:c r="AC6400" s="87" t="str">
        <x:v>VIS-EGKR-ENG-S26-TASK-954-P003</x:v>
      </x:c>
      <x:c r="AD6400" s="87" t="str">
        <x:v>VIS-EGKR-ENG-S26-ANSWERDOC-P004; VIS-EGKR-ENG-S26-ANSWERDOC-P005</x:v>
      </x:c>
      <x:c r="AE6400" s="87" t="str">
        <x:v>TASK; SECONDARY_ANSWER_AND_MODEL_SOURCE</x:v>
      </x:c>
      <x:c r="AF6400" s="87" t="str">
        <x:v>VIS-EGKR-ENG-S26-TASK-954-P003: 3; VIS-EGKR-ENG-S26-ANSWERDOC-P004: 4; VIS-EGKR-ENG-S26-ANSWERDOC-P005: 5</x:v>
      </x:c>
      <x:c r="AG6400" s="87" t="str">
        <x:v>RESOLVED</x:v>
      </x:c>
      <x:c r="AH6400" s="87" t="str">
        <x:v>CROP_VERIFIED</x:v>
      </x:c>
      <x:c r="AI6400" s="30"/>
      <x:c r="AJ6400" s="87" t="str">
        <x:v>clean</x:v>
      </x:c>
      <x:c r="AK6400" s="87" t="str">
        <x:v>clean-v0.23</x:v>
      </x:c>
      <x:c r="AL6400" s="87" t="str">
        <x:v>statgrad_clean_continuation_v0_23(1).xlsx</x:v>
      </x:c>
      <x:c r="AM6400" s="87" t="str">
        <x:v>ENG_S26_954</x:v>
      </x:c>
      <x:c r="AN6400" s="87" t="n">
        <x:v>11</x:v>
      </x:c>
    </x:row>
    <x:row r="6401">
      <x:c r="A6401" s="87" t="n">
        <x:v>6400</x:v>
      </x:c>
      <x:c r="B6401" s="87" t="str">
        <x:v>EGKR-S26-ENG-954-11</x:v>
      </x:c>
      <x:c r="C6401" s="87" t="str">
        <x:v>ЕГКР</x:v>
      </x:c>
      <x:c r="D6401" s="87"/>
      <x:c r="E6401" s="87" t="str">
        <x:v>Весна 2026</x:v>
      </x:c>
      <x:c r="F6401" s="87" t="str">
        <x:v>14.04.2026</x:v>
      </x:c>
      <x:c r="G6401" s="87" t="str">
        <x:v>Английский язык</x:v>
      </x:c>
      <x:c r="H6401" s="87" t="n">
        <x:v>11</x:v>
      </x:c>
      <x:c r="I6401" s="87"/>
      <x:c r="J6401" s="87" t="str">
        <x:v>954</x:v>
      </x:c>
      <x:c r="K6401" s="87" t="n">
        <x:v>11</x:v>
      </x:c>
      <x:c r="L6401" s="87" t="str">
        <x:v>Reading: sentence insertion</x:v>
      </x:c>
      <x:c r="M6401" s="30" t="str">
        <x:v>Complete the text 'Research on left-handers may be right' with six sentence parts.</x:v>
      </x:c>
      <x:c r="N6401" s="30" t="str">
        <x:v>427516</x:v>
      </x:c>
      <x:c r="O6401" s="30" t="str">
        <x:v>Ответ независимо проверен по тексту, грамматике и лексическому контексту.</x:v>
      </x:c>
      <x:c r="P6401" s="30"/>
      <x:c r="Q6401" s="30" t="str">
        <x:v>Полная визуальная страница + независимое решение; публичная навигационная сверка.</x:v>
      </x:c>
      <x:c r="R6401" s="30" t="str">
        <x:v>257136</x:v>
      </x:c>
      <x:c r="S6401" s="30"/>
      <x:c r="T6401" s="30"/>
      <x:c r="U6401" s="30" t="str">
        <x:v>Ответник: 257136; канонический ответ: 427516.</x:v>
      </x:c>
      <x:c r="V6401" s="87" t="str">
        <x:v>KEY_MISMATCH</x:v>
      </x:c>
      <x:c r="W6401" s="87"/>
      <x:c r="X6401" s="87" t="n">
        <x:v>4</x:v>
      </x:c>
      <x:c r="Y6401" s="87"/>
      <x:c r="Z6401" s="87"/>
      <x:c r="AA6401" s="87"/>
      <x:c r="AB6401" s="87"/>
      <x:c r="AC6401" s="87" t="str">
        <x:v>VIS-EGKR-ENG-S26-TASK-954-P004</x:v>
      </x:c>
      <x:c r="AD6401" s="87" t="str">
        <x:v>VIS-EGKR-ENG-S26-ANSWERDOC-P004; VIS-EGKR-ENG-S26-ANSWERDOC-P005</x:v>
      </x:c>
      <x:c r="AE6401" s="87" t="str">
        <x:v>TASK; SECONDARY_ANSWER_AND_MODEL_SOURCE</x:v>
      </x:c>
      <x:c r="AF6401" s="87" t="str">
        <x:v>VIS-EGKR-ENG-S26-TASK-954-P004: 4; VIS-EGKR-ENG-S26-ANSWERDOC-P004: 4; VIS-EGKR-ENG-S26-ANSWERDOC-P005: 5</x:v>
      </x:c>
      <x:c r="AG6401" s="87" t="str">
        <x:v>RESOLVED</x:v>
      </x:c>
      <x:c r="AH6401" s="87" t="str">
        <x:v>CROP_VERIFIED</x:v>
      </x:c>
      <x:c r="AI6401" s="30"/>
      <x:c r="AJ6401" s="87" t="str">
        <x:v>clean</x:v>
      </x:c>
      <x:c r="AK6401" s="87" t="str">
        <x:v>clean-v0.23</x:v>
      </x:c>
      <x:c r="AL6401" s="87" t="str">
        <x:v>statgrad_clean_continuation_v0_23(1).xlsx</x:v>
      </x:c>
      <x:c r="AM6401" s="87" t="str">
        <x:v>ENG_S26_954</x:v>
      </x:c>
      <x:c r="AN6401" s="87" t="n">
        <x:v>12</x:v>
      </x:c>
    </x:row>
    <x:row r="6402">
      <x:c r="A6402" s="87" t="n">
        <x:v>6401</x:v>
      </x:c>
      <x:c r="B6402" s="87" t="str">
        <x:v>EGKR-S26-ENG-954-12</x:v>
      </x:c>
      <x:c r="C6402" s="87" t="str">
        <x:v>ЕГКР</x:v>
      </x:c>
      <x:c r="D6402" s="87"/>
      <x:c r="E6402" s="87" t="str">
        <x:v>Весна 2026</x:v>
      </x:c>
      <x:c r="F6402" s="87" t="str">
        <x:v>14.04.2026</x:v>
      </x:c>
      <x:c r="G6402" s="87" t="str">
        <x:v>Английский язык</x:v>
      </x:c>
      <x:c r="H6402" s="87" t="n">
        <x:v>11</x:v>
      </x:c>
      <x:c r="I6402" s="87"/>
      <x:c r="J6402" s="87" t="str">
        <x:v>954</x:v>
      </x:c>
      <x:c r="K6402" s="87" t="n">
        <x:v>12</x:v>
      </x:c>
      <x:c r="L6402" s="87" t="str">
        <x:v>Reading: multiple choice</x:v>
      </x:c>
      <x:c r="M6402" s="30" t="str">
        <x:v>Answer a multiple-choice question about choosing a career.</x:v>
      </x:c>
      <x:c r="N6402" s="30" t="str">
        <x:v>3</x:v>
      </x:c>
      <x:c r="O6402" s="30" t="str">
        <x:v>Ответ независимо проверен по тексту, грамматике и лексическому контексту.</x:v>
      </x:c>
      <x:c r="P6402" s="30"/>
      <x:c r="Q6402" s="30" t="str">
        <x:v>Полная визуальная страница + независимое решение; публичная навигационная сверка.</x:v>
      </x:c>
      <x:c r="R6402" s="30" t="str">
        <x:v>3</x:v>
      </x:c>
      <x:c r="S6402" s="30"/>
      <x:c r="T6402" s="30"/>
      <x:c r="U6402" s="30" t="str">
        <x:v>Ответник совпадает с независимой проверкой.</x:v>
      </x:c>
      <x:c r="V6402" s="87" t="str">
        <x:v>VERIFIED</x:v>
      </x:c>
      <x:c r="W6402" s="87"/>
      <x:c r="X6402" s="87" t="n">
        <x:v>5</x:v>
      </x:c>
      <x:c r="Y6402" s="87"/>
      <x:c r="Z6402" s="87"/>
      <x:c r="AA6402" s="87"/>
      <x:c r="AB6402" s="87"/>
      <x:c r="AC6402" s="87" t="str">
        <x:v>VIS-EGKR-ENG-S26-TASK-954-P005</x:v>
      </x:c>
      <x:c r="AD6402" s="87" t="str">
        <x:v>VIS-EGKR-ENG-S26-ANSWERDOC-P004; VIS-EGKR-ENG-S26-ANSWERDOC-P005</x:v>
      </x:c>
      <x:c r="AE6402" s="87" t="str">
        <x:v>TASK; SECONDARY_ANSWER_AND_MODEL_SOURCE</x:v>
      </x:c>
      <x:c r="AF6402" s="87" t="str">
        <x:v>VIS-EGKR-ENG-S26-TASK-954-P005: 5; VIS-EGKR-ENG-S26-ANSWERDOC-P004: 4; VIS-EGKR-ENG-S26-ANSWERDOC-P005: 5</x:v>
      </x:c>
      <x:c r="AG6402" s="87" t="str">
        <x:v>RESOLVED</x:v>
      </x:c>
      <x:c r="AH6402" s="87" t="str">
        <x:v>CROP_VERIFIED</x:v>
      </x:c>
      <x:c r="AI6402" s="30"/>
      <x:c r="AJ6402" s="87" t="str">
        <x:v>clean</x:v>
      </x:c>
      <x:c r="AK6402" s="87" t="str">
        <x:v>clean-v0.23</x:v>
      </x:c>
      <x:c r="AL6402" s="87" t="str">
        <x:v>statgrad_clean_continuation_v0_23(1).xlsx</x:v>
      </x:c>
      <x:c r="AM6402" s="87" t="str">
        <x:v>ENG_S26_954</x:v>
      </x:c>
      <x:c r="AN6402" s="87" t="n">
        <x:v>13</x:v>
      </x:c>
    </x:row>
    <x:row r="6403">
      <x:c r="A6403" s="87" t="n">
        <x:v>6402</x:v>
      </x:c>
      <x:c r="B6403" s="87" t="str">
        <x:v>EGKR-S26-ENG-954-13</x:v>
      </x:c>
      <x:c r="C6403" s="87" t="str">
        <x:v>ЕГКР</x:v>
      </x:c>
      <x:c r="D6403" s="87"/>
      <x:c r="E6403" s="87" t="str">
        <x:v>Весна 2026</x:v>
      </x:c>
      <x:c r="F6403" s="87" t="str">
        <x:v>14.04.2026</x:v>
      </x:c>
      <x:c r="G6403" s="87" t="str">
        <x:v>Английский язык</x:v>
      </x:c>
      <x:c r="H6403" s="87" t="n">
        <x:v>11</x:v>
      </x:c>
      <x:c r="I6403" s="87"/>
      <x:c r="J6403" s="87" t="str">
        <x:v>954</x:v>
      </x:c>
      <x:c r="K6403" s="87" t="n">
        <x:v>13</x:v>
      </x:c>
      <x:c r="L6403" s="87" t="str">
        <x:v>Reading: multiple choice</x:v>
      </x:c>
      <x:c r="M6403" s="30" t="str">
        <x:v>Answer a multiple-choice question about choosing a career.</x:v>
      </x:c>
      <x:c r="N6403" s="30" t="str">
        <x:v>1</x:v>
      </x:c>
      <x:c r="O6403" s="30" t="str">
        <x:v>Ответ независимо проверен по тексту, грамматике и лексическому контексту.</x:v>
      </x:c>
      <x:c r="P6403" s="30"/>
      <x:c r="Q6403" s="30" t="str">
        <x:v>Полная визуальная страница + независимое решение; публичная навигационная сверка.</x:v>
      </x:c>
      <x:c r="R6403" s="30" t="str">
        <x:v>2</x:v>
      </x:c>
      <x:c r="S6403" s="30"/>
      <x:c r="T6403" s="30"/>
      <x:c r="U6403" s="30" t="str">
        <x:v>Ответник: 2; канонический ответ: 1.</x:v>
      </x:c>
      <x:c r="V6403" s="87" t="str">
        <x:v>KEY_MISMATCH</x:v>
      </x:c>
      <x:c r="W6403" s="87"/>
      <x:c r="X6403" s="87" t="n">
        <x:v>5</x:v>
      </x:c>
      <x:c r="Y6403" s="87"/>
      <x:c r="Z6403" s="87"/>
      <x:c r="AA6403" s="87"/>
      <x:c r="AB6403" s="87"/>
      <x:c r="AC6403" s="87" t="str">
        <x:v>VIS-EGKR-ENG-S26-TASK-954-P005</x:v>
      </x:c>
      <x:c r="AD6403" s="87" t="str">
        <x:v>VIS-EGKR-ENG-S26-ANSWERDOC-P004; VIS-EGKR-ENG-S26-ANSWERDOC-P005</x:v>
      </x:c>
      <x:c r="AE6403" s="87" t="str">
        <x:v>TASK; SECONDARY_ANSWER_AND_MODEL_SOURCE</x:v>
      </x:c>
      <x:c r="AF6403" s="87" t="str">
        <x:v>VIS-EGKR-ENG-S26-TASK-954-P005: 5; VIS-EGKR-ENG-S26-ANSWERDOC-P004: 4; VIS-EGKR-ENG-S26-ANSWERDOC-P005: 5</x:v>
      </x:c>
      <x:c r="AG6403" s="87" t="str">
        <x:v>RESOLVED</x:v>
      </x:c>
      <x:c r="AH6403" s="87" t="str">
        <x:v>CROP_VERIFIED</x:v>
      </x:c>
      <x:c r="AI6403" s="30"/>
      <x:c r="AJ6403" s="87" t="str">
        <x:v>clean</x:v>
      </x:c>
      <x:c r="AK6403" s="87" t="str">
        <x:v>clean-v0.23</x:v>
      </x:c>
      <x:c r="AL6403" s="87" t="str">
        <x:v>statgrad_clean_continuation_v0_23(1).xlsx</x:v>
      </x:c>
      <x:c r="AM6403" s="87" t="str">
        <x:v>ENG_S26_954</x:v>
      </x:c>
      <x:c r="AN6403" s="87" t="n">
        <x:v>14</x:v>
      </x:c>
    </x:row>
    <x:row r="6404">
      <x:c r="A6404" s="87" t="n">
        <x:v>6403</x:v>
      </x:c>
      <x:c r="B6404" s="87" t="str">
        <x:v>EGKR-S26-ENG-954-14</x:v>
      </x:c>
      <x:c r="C6404" s="87" t="str">
        <x:v>ЕГКР</x:v>
      </x:c>
      <x:c r="D6404" s="87"/>
      <x:c r="E6404" s="87" t="str">
        <x:v>Весна 2026</x:v>
      </x:c>
      <x:c r="F6404" s="87" t="str">
        <x:v>14.04.2026</x:v>
      </x:c>
      <x:c r="G6404" s="87" t="str">
        <x:v>Английский язык</x:v>
      </x:c>
      <x:c r="H6404" s="87" t="n">
        <x:v>11</x:v>
      </x:c>
      <x:c r="I6404" s="87"/>
      <x:c r="J6404" s="87" t="str">
        <x:v>954</x:v>
      </x:c>
      <x:c r="K6404" s="87" t="n">
        <x:v>14</x:v>
      </x:c>
      <x:c r="L6404" s="87" t="str">
        <x:v>Reading: multiple choice</x:v>
      </x:c>
      <x:c r="M6404" s="30" t="str">
        <x:v>Answer a multiple-choice question about choosing a career.</x:v>
      </x:c>
      <x:c r="N6404" s="30" t="str">
        <x:v>3</x:v>
      </x:c>
      <x:c r="O6404" s="30" t="str">
        <x:v>Ответ независимо проверен по тексту, грамматике и лексическому контексту.</x:v>
      </x:c>
      <x:c r="P6404" s="30"/>
      <x:c r="Q6404" s="30" t="str">
        <x:v>Полная визуальная страница + независимое решение; публичная навигационная сверка.</x:v>
      </x:c>
      <x:c r="R6404" s="30" t="str">
        <x:v>3</x:v>
      </x:c>
      <x:c r="S6404" s="30"/>
      <x:c r="T6404" s="30"/>
      <x:c r="U6404" s="30" t="str">
        <x:v>Ответник совпадает с независимой проверкой.</x:v>
      </x:c>
      <x:c r="V6404" s="87" t="str">
        <x:v>VERIFIED</x:v>
      </x:c>
      <x:c r="W6404" s="87"/>
      <x:c r="X6404" s="87" t="n">
        <x:v>5</x:v>
      </x:c>
      <x:c r="Y6404" s="87"/>
      <x:c r="Z6404" s="87"/>
      <x:c r="AA6404" s="87"/>
      <x:c r="AB6404" s="87"/>
      <x:c r="AC6404" s="87" t="str">
        <x:v>VIS-EGKR-ENG-S26-TASK-954-P005</x:v>
      </x:c>
      <x:c r="AD6404" s="87" t="str">
        <x:v>VIS-EGKR-ENG-S26-ANSWERDOC-P004; VIS-EGKR-ENG-S26-ANSWERDOC-P005</x:v>
      </x:c>
      <x:c r="AE6404" s="87" t="str">
        <x:v>TASK; SECONDARY_ANSWER_AND_MODEL_SOURCE</x:v>
      </x:c>
      <x:c r="AF6404" s="87" t="str">
        <x:v>VIS-EGKR-ENG-S26-TASK-954-P005: 5; VIS-EGKR-ENG-S26-ANSWERDOC-P004: 4; VIS-EGKR-ENG-S26-ANSWERDOC-P005: 5</x:v>
      </x:c>
      <x:c r="AG6404" s="87" t="str">
        <x:v>RESOLVED</x:v>
      </x:c>
      <x:c r="AH6404" s="87" t="str">
        <x:v>CROP_VERIFIED</x:v>
      </x:c>
      <x:c r="AI6404" s="30"/>
      <x:c r="AJ6404" s="87" t="str">
        <x:v>clean</x:v>
      </x:c>
      <x:c r="AK6404" s="87" t="str">
        <x:v>clean-v0.23</x:v>
      </x:c>
      <x:c r="AL6404" s="87" t="str">
        <x:v>statgrad_clean_continuation_v0_23(1).xlsx</x:v>
      </x:c>
      <x:c r="AM6404" s="87" t="str">
        <x:v>ENG_S26_954</x:v>
      </x:c>
      <x:c r="AN6404" s="87" t="n">
        <x:v>15</x:v>
      </x:c>
    </x:row>
    <x:row r="6405">
      <x:c r="A6405" s="87" t="n">
        <x:v>6404</x:v>
      </x:c>
      <x:c r="B6405" s="87" t="str">
        <x:v>EGKR-S26-ENG-954-15</x:v>
      </x:c>
      <x:c r="C6405" s="87" t="str">
        <x:v>ЕГКР</x:v>
      </x:c>
      <x:c r="D6405" s="87"/>
      <x:c r="E6405" s="87" t="str">
        <x:v>Весна 2026</x:v>
      </x:c>
      <x:c r="F6405" s="87" t="str">
        <x:v>14.04.2026</x:v>
      </x:c>
      <x:c r="G6405" s="87" t="str">
        <x:v>Английский язык</x:v>
      </x:c>
      <x:c r="H6405" s="87" t="n">
        <x:v>11</x:v>
      </x:c>
      <x:c r="I6405" s="87"/>
      <x:c r="J6405" s="87" t="str">
        <x:v>954</x:v>
      </x:c>
      <x:c r="K6405" s="87" t="n">
        <x:v>15</x:v>
      </x:c>
      <x:c r="L6405" s="87" t="str">
        <x:v>Reading: multiple choice</x:v>
      </x:c>
      <x:c r="M6405" s="30" t="str">
        <x:v>Answer a multiple-choice question about choosing a career.</x:v>
      </x:c>
      <x:c r="N6405" s="30" t="str">
        <x:v>4</x:v>
      </x:c>
      <x:c r="O6405" s="30" t="str">
        <x:v>Ответ независимо проверен по тексту, грамматике и лексическому контексту.</x:v>
      </x:c>
      <x:c r="P6405" s="30"/>
      <x:c r="Q6405" s="30" t="str">
        <x:v>Полная визуальная страница + независимое решение; публичная навигационная сверка.</x:v>
      </x:c>
      <x:c r="R6405" s="30" t="str">
        <x:v>4</x:v>
      </x:c>
      <x:c r="S6405" s="30"/>
      <x:c r="T6405" s="30"/>
      <x:c r="U6405" s="30" t="str">
        <x:v>Ответник совпадает с независимой проверкой.</x:v>
      </x:c>
      <x:c r="V6405" s="87" t="str">
        <x:v>VERIFIED</x:v>
      </x:c>
      <x:c r="W6405" s="87"/>
      <x:c r="X6405" s="87" t="n">
        <x:v>5</x:v>
      </x:c>
      <x:c r="Y6405" s="87"/>
      <x:c r="Z6405" s="87"/>
      <x:c r="AA6405" s="87"/>
      <x:c r="AB6405" s="87"/>
      <x:c r="AC6405" s="87" t="str">
        <x:v>VIS-EGKR-ENG-S26-TASK-954-P005</x:v>
      </x:c>
      <x:c r="AD6405" s="87" t="str">
        <x:v>VIS-EGKR-ENG-S26-ANSWERDOC-P004; VIS-EGKR-ENG-S26-ANSWERDOC-P005</x:v>
      </x:c>
      <x:c r="AE6405" s="87" t="str">
        <x:v>TASK; SECONDARY_ANSWER_AND_MODEL_SOURCE</x:v>
      </x:c>
      <x:c r="AF6405" s="87" t="str">
        <x:v>VIS-EGKR-ENG-S26-TASK-954-P005: 5; VIS-EGKR-ENG-S26-ANSWERDOC-P004: 4; VIS-EGKR-ENG-S26-ANSWERDOC-P005: 5</x:v>
      </x:c>
      <x:c r="AG6405" s="87" t="str">
        <x:v>RESOLVED</x:v>
      </x:c>
      <x:c r="AH6405" s="87" t="str">
        <x:v>CROP_VERIFIED</x:v>
      </x:c>
      <x:c r="AI6405" s="30"/>
      <x:c r="AJ6405" s="87" t="str">
        <x:v>clean</x:v>
      </x:c>
      <x:c r="AK6405" s="87" t="str">
        <x:v>clean-v0.23</x:v>
      </x:c>
      <x:c r="AL6405" s="87" t="str">
        <x:v>statgrad_clean_continuation_v0_23(1).xlsx</x:v>
      </x:c>
      <x:c r="AM6405" s="87" t="str">
        <x:v>ENG_S26_954</x:v>
      </x:c>
      <x:c r="AN6405" s="87" t="n">
        <x:v>16</x:v>
      </x:c>
    </x:row>
    <x:row r="6406">
      <x:c r="A6406" s="87" t="n">
        <x:v>6405</x:v>
      </x:c>
      <x:c r="B6406" s="87" t="str">
        <x:v>EGKR-S26-ENG-954-16</x:v>
      </x:c>
      <x:c r="C6406" s="87" t="str">
        <x:v>ЕГКР</x:v>
      </x:c>
      <x:c r="D6406" s="87"/>
      <x:c r="E6406" s="87" t="str">
        <x:v>Весна 2026</x:v>
      </x:c>
      <x:c r="F6406" s="87" t="str">
        <x:v>14.04.2026</x:v>
      </x:c>
      <x:c r="G6406" s="87" t="str">
        <x:v>Английский язык</x:v>
      </x:c>
      <x:c r="H6406" s="87" t="n">
        <x:v>11</x:v>
      </x:c>
      <x:c r="I6406" s="87"/>
      <x:c r="J6406" s="87" t="str">
        <x:v>954</x:v>
      </x:c>
      <x:c r="K6406" s="87" t="n">
        <x:v>16</x:v>
      </x:c>
      <x:c r="L6406" s="87" t="str">
        <x:v>Reading: multiple choice</x:v>
      </x:c>
      <x:c r="M6406" s="30" t="str">
        <x:v>Answer a multiple-choice question about choosing a career.</x:v>
      </x:c>
      <x:c r="N6406" s="30" t="str">
        <x:v>2</x:v>
      </x:c>
      <x:c r="O6406" s="30" t="str">
        <x:v>Ответ независимо проверен по тексту, грамматике и лексическому контексту.</x:v>
      </x:c>
      <x:c r="P6406" s="30"/>
      <x:c r="Q6406" s="30" t="str">
        <x:v>Полная визуальная страница + независимое решение; публичная навигационная сверка.</x:v>
      </x:c>
      <x:c r="R6406" s="30" t="str">
        <x:v>2</x:v>
      </x:c>
      <x:c r="S6406" s="30"/>
      <x:c r="T6406" s="30"/>
      <x:c r="U6406" s="30" t="str">
        <x:v>Ответник совпадает с независимой проверкой.</x:v>
      </x:c>
      <x:c r="V6406" s="87" t="str">
        <x:v>VERIFIED</x:v>
      </x:c>
      <x:c r="W6406" s="87"/>
      <x:c r="X6406" s="87" t="n">
        <x:v>5</x:v>
      </x:c>
      <x:c r="Y6406" s="87"/>
      <x:c r="Z6406" s="87"/>
      <x:c r="AA6406" s="87"/>
      <x:c r="AB6406" s="87"/>
      <x:c r="AC6406" s="87" t="str">
        <x:v>VIS-EGKR-ENG-S26-TASK-954-P005</x:v>
      </x:c>
      <x:c r="AD6406" s="87" t="str">
        <x:v>VIS-EGKR-ENG-S26-ANSWERDOC-P004; VIS-EGKR-ENG-S26-ANSWERDOC-P005</x:v>
      </x:c>
      <x:c r="AE6406" s="87" t="str">
        <x:v>TASK; SECONDARY_ANSWER_AND_MODEL_SOURCE</x:v>
      </x:c>
      <x:c r="AF6406" s="87" t="str">
        <x:v>VIS-EGKR-ENG-S26-TASK-954-P005: 5; VIS-EGKR-ENG-S26-ANSWERDOC-P004: 4; VIS-EGKR-ENG-S26-ANSWERDOC-P005: 5</x:v>
      </x:c>
      <x:c r="AG6406" s="87" t="str">
        <x:v>RESOLVED</x:v>
      </x:c>
      <x:c r="AH6406" s="87" t="str">
        <x:v>CROP_VERIFIED</x:v>
      </x:c>
      <x:c r="AI6406" s="30"/>
      <x:c r="AJ6406" s="87" t="str">
        <x:v>clean</x:v>
      </x:c>
      <x:c r="AK6406" s="87" t="str">
        <x:v>clean-v0.23</x:v>
      </x:c>
      <x:c r="AL6406" s="87" t="str">
        <x:v>statgrad_clean_continuation_v0_23(1).xlsx</x:v>
      </x:c>
      <x:c r="AM6406" s="87" t="str">
        <x:v>ENG_S26_954</x:v>
      </x:c>
      <x:c r="AN6406" s="87" t="n">
        <x:v>17</x:v>
      </x:c>
    </x:row>
    <x:row r="6407">
      <x:c r="A6407" s="87" t="n">
        <x:v>6406</x:v>
      </x:c>
      <x:c r="B6407" s="87" t="str">
        <x:v>EGKR-S26-ENG-954-17</x:v>
      </x:c>
      <x:c r="C6407" s="87" t="str">
        <x:v>ЕГКР</x:v>
      </x:c>
      <x:c r="D6407" s="87"/>
      <x:c r="E6407" s="87" t="str">
        <x:v>Весна 2026</x:v>
      </x:c>
      <x:c r="F6407" s="87" t="str">
        <x:v>14.04.2026</x:v>
      </x:c>
      <x:c r="G6407" s="87" t="str">
        <x:v>Английский язык</x:v>
      </x:c>
      <x:c r="H6407" s="87" t="n">
        <x:v>11</x:v>
      </x:c>
      <x:c r="I6407" s="87"/>
      <x:c r="J6407" s="87" t="str">
        <x:v>954</x:v>
      </x:c>
      <x:c r="K6407" s="87" t="n">
        <x:v>17</x:v>
      </x:c>
      <x:c r="L6407" s="87" t="str">
        <x:v>Reading: multiple choice</x:v>
      </x:c>
      <x:c r="M6407" s="30" t="str">
        <x:v>Answer a multiple-choice question about choosing a career.</x:v>
      </x:c>
      <x:c r="N6407" s="30" t="str">
        <x:v>2</x:v>
      </x:c>
      <x:c r="O6407" s="30" t="str">
        <x:v>Ответ независимо проверен по тексту, грамматике и лексическому контексту.</x:v>
      </x:c>
      <x:c r="P6407" s="30"/>
      <x:c r="Q6407" s="30" t="str">
        <x:v>Полная визуальная страница + независимое решение; публичная навигационная сверка.</x:v>
      </x:c>
      <x:c r="R6407" s="30" t="str">
        <x:v>2</x:v>
      </x:c>
      <x:c r="S6407" s="30"/>
      <x:c r="T6407" s="30"/>
      <x:c r="U6407" s="30" t="str">
        <x:v>Ответник совпадает с независимой проверкой.</x:v>
      </x:c>
      <x:c r="V6407" s="87" t="str">
        <x:v>VERIFIED</x:v>
      </x:c>
      <x:c r="W6407" s="87"/>
      <x:c r="X6407" s="87" t="n">
        <x:v>5</x:v>
      </x:c>
      <x:c r="Y6407" s="87"/>
      <x:c r="Z6407" s="87"/>
      <x:c r="AA6407" s="87"/>
      <x:c r="AB6407" s="87"/>
      <x:c r="AC6407" s="87" t="str">
        <x:v>VIS-EGKR-ENG-S26-TASK-954-P005</x:v>
      </x:c>
      <x:c r="AD6407" s="87" t="str">
        <x:v>VIS-EGKR-ENG-S26-ANSWERDOC-P004; VIS-EGKR-ENG-S26-ANSWERDOC-P005</x:v>
      </x:c>
      <x:c r="AE6407" s="87" t="str">
        <x:v>TASK; SECONDARY_ANSWER_AND_MODEL_SOURCE</x:v>
      </x:c>
      <x:c r="AF6407" s="87" t="str">
        <x:v>VIS-EGKR-ENG-S26-TASK-954-P005: 5; VIS-EGKR-ENG-S26-ANSWERDOC-P004: 4; VIS-EGKR-ENG-S26-ANSWERDOC-P005: 5</x:v>
      </x:c>
      <x:c r="AG6407" s="87" t="str">
        <x:v>RESOLVED</x:v>
      </x:c>
      <x:c r="AH6407" s="87" t="str">
        <x:v>CROP_VERIFIED</x:v>
      </x:c>
      <x:c r="AI6407" s="30"/>
      <x:c r="AJ6407" s="87" t="str">
        <x:v>clean</x:v>
      </x:c>
      <x:c r="AK6407" s="87" t="str">
        <x:v>clean-v0.23</x:v>
      </x:c>
      <x:c r="AL6407" s="87" t="str">
        <x:v>statgrad_clean_continuation_v0_23(1).xlsx</x:v>
      </x:c>
      <x:c r="AM6407" s="87" t="str">
        <x:v>ENG_S26_954</x:v>
      </x:c>
      <x:c r="AN6407" s="87" t="n">
        <x:v>18</x:v>
      </x:c>
    </x:row>
    <x:row r="6408">
      <x:c r="A6408" s="87" t="n">
        <x:v>6407</x:v>
      </x:c>
      <x:c r="B6408" s="87" t="str">
        <x:v>EGKR-S26-ENG-954-18</x:v>
      </x:c>
      <x:c r="C6408" s="87" t="str">
        <x:v>ЕГКР</x:v>
      </x:c>
      <x:c r="D6408" s="87"/>
      <x:c r="E6408" s="87" t="str">
        <x:v>Весна 2026</x:v>
      </x:c>
      <x:c r="F6408" s="87" t="str">
        <x:v>14.04.2026</x:v>
      </x:c>
      <x:c r="G6408" s="87" t="str">
        <x:v>Английский язык</x:v>
      </x:c>
      <x:c r="H6408" s="87" t="n">
        <x:v>11</x:v>
      </x:c>
      <x:c r="I6408" s="87"/>
      <x:c r="J6408" s="87" t="str">
        <x:v>954</x:v>
      </x:c>
      <x:c r="K6408" s="87" t="n">
        <x:v>18</x:v>
      </x:c>
      <x:c r="L6408" s="87" t="str">
        <x:v>Reading: multiple choice</x:v>
      </x:c>
      <x:c r="M6408" s="30" t="str">
        <x:v>Answer a multiple-choice question about choosing a career.</x:v>
      </x:c>
      <x:c r="N6408" s="30" t="str">
        <x:v>1</x:v>
      </x:c>
      <x:c r="O6408" s="30" t="str">
        <x:v>Ответ независимо проверен по тексту, грамматике и лексическому контексту.</x:v>
      </x:c>
      <x:c r="P6408" s="30"/>
      <x:c r="Q6408" s="30" t="str">
        <x:v>Полная визуальная страница + независимое решение; публичная навигационная сверка.</x:v>
      </x:c>
      <x:c r="R6408" s="30" t="str">
        <x:v>1</x:v>
      </x:c>
      <x:c r="S6408" s="30"/>
      <x:c r="T6408" s="30"/>
      <x:c r="U6408" s="30" t="str">
        <x:v>Ответник совпадает с независимой проверкой.</x:v>
      </x:c>
      <x:c r="V6408" s="87" t="str">
        <x:v>VERIFIED</x:v>
      </x:c>
      <x:c r="W6408" s="87"/>
      <x:c r="X6408" s="87" t="n">
        <x:v>5</x:v>
      </x:c>
      <x:c r="Y6408" s="87"/>
      <x:c r="Z6408" s="87"/>
      <x:c r="AA6408" s="87"/>
      <x:c r="AB6408" s="87"/>
      <x:c r="AC6408" s="87" t="str">
        <x:v>VIS-EGKR-ENG-S26-TASK-954-P005</x:v>
      </x:c>
      <x:c r="AD6408" s="87" t="str">
        <x:v>VIS-EGKR-ENG-S26-ANSWERDOC-P004; VIS-EGKR-ENG-S26-ANSWERDOC-P005</x:v>
      </x:c>
      <x:c r="AE6408" s="87" t="str">
        <x:v>TASK; SECONDARY_ANSWER_AND_MODEL_SOURCE</x:v>
      </x:c>
      <x:c r="AF6408" s="87" t="str">
        <x:v>VIS-EGKR-ENG-S26-TASK-954-P005: 5; VIS-EGKR-ENG-S26-ANSWERDOC-P004: 4; VIS-EGKR-ENG-S26-ANSWERDOC-P005: 5</x:v>
      </x:c>
      <x:c r="AG6408" s="87" t="str">
        <x:v>RESOLVED</x:v>
      </x:c>
      <x:c r="AH6408" s="87" t="str">
        <x:v>CROP_VERIFIED</x:v>
      </x:c>
      <x:c r="AI6408" s="30"/>
      <x:c r="AJ6408" s="87" t="str">
        <x:v>clean</x:v>
      </x:c>
      <x:c r="AK6408" s="87" t="str">
        <x:v>clean-v0.23</x:v>
      </x:c>
      <x:c r="AL6408" s="87" t="str">
        <x:v>statgrad_clean_continuation_v0_23(1).xlsx</x:v>
      </x:c>
      <x:c r="AM6408" s="87" t="str">
        <x:v>ENG_S26_954</x:v>
      </x:c>
      <x:c r="AN6408" s="87" t="n">
        <x:v>19</x:v>
      </x:c>
    </x:row>
    <x:row r="6409">
      <x:c r="A6409" s="87" t="n">
        <x:v>6408</x:v>
      </x:c>
      <x:c r="B6409" s="87" t="str">
        <x:v>EGKR-S26-ENG-954-19</x:v>
      </x:c>
      <x:c r="C6409" s="87" t="str">
        <x:v>ЕГКР</x:v>
      </x:c>
      <x:c r="D6409" s="87"/>
      <x:c r="E6409" s="87" t="str">
        <x:v>Весна 2026</x:v>
      </x:c>
      <x:c r="F6409" s="87" t="str">
        <x:v>14.04.2026</x:v>
      </x:c>
      <x:c r="G6409" s="87" t="str">
        <x:v>Английский язык</x:v>
      </x:c>
      <x:c r="H6409" s="87" t="n">
        <x:v>11</x:v>
      </x:c>
      <x:c r="I6409" s="87"/>
      <x:c r="J6409" s="87" t="str">
        <x:v>954</x:v>
      </x:c>
      <x:c r="K6409" s="87" t="n">
        <x:v>19</x:v>
      </x:c>
      <x:c r="L6409" s="87" t="str">
        <x:v>Grammar transformation</x:v>
      </x:c>
      <x:c r="M6409" s="30" t="str">
        <x:v>Complete the Galapagos Islands text with the correct grammatical form.</x:v>
      </x:c>
      <x:c r="N6409" s="30" t="str">
        <x:v>DEVELOPED</x:v>
      </x:c>
      <x:c r="O6409" s="30" t="str">
        <x:v>Ответ независимо проверен по тексту, грамматике и лексическому контексту.</x:v>
      </x:c>
      <x:c r="P6409" s="30"/>
      <x:c r="Q6409" s="30" t="str">
        <x:v>Полная визуальная страница + независимое решение; публичная навигационная сверка.</x:v>
      </x:c>
      <x:c r="R6409" s="30" t="str">
        <x:v>DEVELOPED</x:v>
      </x:c>
      <x:c r="S6409" s="30"/>
      <x:c r="T6409" s="30"/>
      <x:c r="U6409" s="30" t="str">
        <x:v>Ответник совпадает с независимой проверкой.</x:v>
      </x:c>
      <x:c r="V6409" s="87" t="str">
        <x:v>VERIFIED</x:v>
      </x:c>
      <x:c r="W6409" s="87"/>
      <x:c r="X6409" s="87" t="n">
        <x:v>6</x:v>
      </x:c>
      <x:c r="Y6409" s="87"/>
      <x:c r="Z6409" s="87"/>
      <x:c r="AA6409" s="87"/>
      <x:c r="AB6409" s="87"/>
      <x:c r="AC6409" s="87" t="str">
        <x:v>VIS-EGKR-ENG-S26-TASK-954-P006</x:v>
      </x:c>
      <x:c r="AD6409" s="87" t="str">
        <x:v>VIS-EGKR-ENG-S26-ANSWERDOC-P004; VIS-EGKR-ENG-S26-ANSWERDOC-P005</x:v>
      </x:c>
      <x:c r="AE6409" s="87" t="str">
        <x:v>TASK; SECONDARY_ANSWER_AND_MODEL_SOURCE</x:v>
      </x:c>
      <x:c r="AF6409" s="87" t="str">
        <x:v>VIS-EGKR-ENG-S26-TASK-954-P006: 6; VIS-EGKR-ENG-S26-ANSWERDOC-P004: 4; VIS-EGKR-ENG-S26-ANSWERDOC-P005: 5</x:v>
      </x:c>
      <x:c r="AG6409" s="87" t="str">
        <x:v>RESOLVED</x:v>
      </x:c>
      <x:c r="AH6409" s="87" t="str">
        <x:v>CROP_VERIFIED</x:v>
      </x:c>
      <x:c r="AI6409" s="30"/>
      <x:c r="AJ6409" s="87" t="str">
        <x:v>clean</x:v>
      </x:c>
      <x:c r="AK6409" s="87" t="str">
        <x:v>clean-v0.23</x:v>
      </x:c>
      <x:c r="AL6409" s="87" t="str">
        <x:v>statgrad_clean_continuation_v0_23(1).xlsx</x:v>
      </x:c>
      <x:c r="AM6409" s="87" t="str">
        <x:v>ENG_S26_954</x:v>
      </x:c>
      <x:c r="AN6409" s="87" t="n">
        <x:v>20</x:v>
      </x:c>
    </x:row>
    <x:row r="6410">
      <x:c r="A6410" s="87" t="n">
        <x:v>6409</x:v>
      </x:c>
      <x:c r="B6410" s="87" t="str">
        <x:v>EGKR-S26-ENG-954-20</x:v>
      </x:c>
      <x:c r="C6410" s="87" t="str">
        <x:v>ЕГКР</x:v>
      </x:c>
      <x:c r="D6410" s="87"/>
      <x:c r="E6410" s="87" t="str">
        <x:v>Весна 2026</x:v>
      </x:c>
      <x:c r="F6410" s="87" t="str">
        <x:v>14.04.2026</x:v>
      </x:c>
      <x:c r="G6410" s="87" t="str">
        <x:v>Английский язык</x:v>
      </x:c>
      <x:c r="H6410" s="87" t="n">
        <x:v>11</x:v>
      </x:c>
      <x:c r="I6410" s="87"/>
      <x:c r="J6410" s="87" t="str">
        <x:v>954</x:v>
      </x:c>
      <x:c r="K6410" s="87" t="n">
        <x:v>20</x:v>
      </x:c>
      <x:c r="L6410" s="87" t="str">
        <x:v>Grammar transformation</x:v>
      </x:c>
      <x:c r="M6410" s="30" t="str">
        <x:v>Complete the Galapagos Islands text with the correct grammatical form.</x:v>
      </x:c>
      <x:c r="N6410" s="30" t="str">
        <x:v>WAS INSPIRED</x:v>
      </x:c>
      <x:c r="O6410" s="30" t="str">
        <x:v>Ответ независимо проверен по тексту, грамматике и лексическому контексту.</x:v>
      </x:c>
      <x:c r="P6410" s="30"/>
      <x:c r="Q6410" s="30" t="str">
        <x:v>Полная визуальная страница + независимое решение; публичная навигационная сверка.</x:v>
      </x:c>
      <x:c r="R6410" s="30" t="str">
        <x:v>WAS INSPIRED</x:v>
      </x:c>
      <x:c r="S6410" s="30"/>
      <x:c r="T6410" s="30"/>
      <x:c r="U6410" s="30" t="str">
        <x:v>Ответник совпадает с независимой проверкой.</x:v>
      </x:c>
      <x:c r="V6410" s="87" t="str">
        <x:v>VERIFIED</x:v>
      </x:c>
      <x:c r="W6410" s="87"/>
      <x:c r="X6410" s="87" t="n">
        <x:v>6</x:v>
      </x:c>
      <x:c r="Y6410" s="87"/>
      <x:c r="Z6410" s="87"/>
      <x:c r="AA6410" s="87"/>
      <x:c r="AB6410" s="87"/>
      <x:c r="AC6410" s="87" t="str">
        <x:v>VIS-EGKR-ENG-S26-TASK-954-P006</x:v>
      </x:c>
      <x:c r="AD6410" s="87" t="str">
        <x:v>VIS-EGKR-ENG-S26-ANSWERDOC-P004; VIS-EGKR-ENG-S26-ANSWERDOC-P005</x:v>
      </x:c>
      <x:c r="AE6410" s="87" t="str">
        <x:v>TASK; SECONDARY_ANSWER_AND_MODEL_SOURCE</x:v>
      </x:c>
      <x:c r="AF6410" s="87" t="str">
        <x:v>VIS-EGKR-ENG-S26-TASK-954-P006: 6; VIS-EGKR-ENG-S26-ANSWERDOC-P004: 4; VIS-EGKR-ENG-S26-ANSWERDOC-P005: 5</x:v>
      </x:c>
      <x:c r="AG6410" s="87" t="str">
        <x:v>RESOLVED</x:v>
      </x:c>
      <x:c r="AH6410" s="87" t="str">
        <x:v>CROP_VERIFIED</x:v>
      </x:c>
      <x:c r="AI6410" s="30"/>
      <x:c r="AJ6410" s="87" t="str">
        <x:v>clean</x:v>
      </x:c>
      <x:c r="AK6410" s="87" t="str">
        <x:v>clean-v0.23</x:v>
      </x:c>
      <x:c r="AL6410" s="87" t="str">
        <x:v>statgrad_clean_continuation_v0_23(1).xlsx</x:v>
      </x:c>
      <x:c r="AM6410" s="87" t="str">
        <x:v>ENG_S26_954</x:v>
      </x:c>
      <x:c r="AN6410" s="87" t="n">
        <x:v>21</x:v>
      </x:c>
    </x:row>
    <x:row r="6411">
      <x:c r="A6411" s="87" t="n">
        <x:v>6410</x:v>
      </x:c>
      <x:c r="B6411" s="87" t="str">
        <x:v>EGKR-S26-ENG-954-21</x:v>
      </x:c>
      <x:c r="C6411" s="87" t="str">
        <x:v>ЕГКР</x:v>
      </x:c>
      <x:c r="D6411" s="87"/>
      <x:c r="E6411" s="87" t="str">
        <x:v>Весна 2026</x:v>
      </x:c>
      <x:c r="F6411" s="87" t="str">
        <x:v>14.04.2026</x:v>
      </x:c>
      <x:c r="G6411" s="87" t="str">
        <x:v>Английский язык</x:v>
      </x:c>
      <x:c r="H6411" s="87" t="n">
        <x:v>11</x:v>
      </x:c>
      <x:c r="I6411" s="87"/>
      <x:c r="J6411" s="87" t="str">
        <x:v>954</x:v>
      </x:c>
      <x:c r="K6411" s="87" t="n">
        <x:v>21</x:v>
      </x:c>
      <x:c r="L6411" s="87" t="str">
        <x:v>Grammar transformation</x:v>
      </x:c>
      <x:c r="M6411" s="30" t="str">
        <x:v>Complete the Galapagos Islands text with the correct grammatical form.</x:v>
      </x:c>
      <x:c r="N6411" s="30" t="str">
        <x:v>BECAME</x:v>
      </x:c>
      <x:c r="O6411" s="30" t="str">
        <x:v>Ответ независимо проверен по тексту, грамматике и лексическому контексту.</x:v>
      </x:c>
      <x:c r="P6411" s="30"/>
      <x:c r="Q6411" s="30" t="str">
        <x:v>Полная визуальная страница + независимое решение; публичная навигационная сверка.</x:v>
      </x:c>
      <x:c r="R6411" s="30" t="str">
        <x:v>BECAME</x:v>
      </x:c>
      <x:c r="S6411" s="30"/>
      <x:c r="T6411" s="30"/>
      <x:c r="U6411" s="30" t="str">
        <x:v>Ответник совпадает с независимой проверкой.</x:v>
      </x:c>
      <x:c r="V6411" s="87" t="str">
        <x:v>VERIFIED</x:v>
      </x:c>
      <x:c r="W6411" s="87"/>
      <x:c r="X6411" s="87" t="n">
        <x:v>6</x:v>
      </x:c>
      <x:c r="Y6411" s="87"/>
      <x:c r="Z6411" s="87"/>
      <x:c r="AA6411" s="87"/>
      <x:c r="AB6411" s="87"/>
      <x:c r="AC6411" s="87" t="str">
        <x:v>VIS-EGKR-ENG-S26-TASK-954-P006</x:v>
      </x:c>
      <x:c r="AD6411" s="87" t="str">
        <x:v>VIS-EGKR-ENG-S26-ANSWERDOC-P004; VIS-EGKR-ENG-S26-ANSWERDOC-P005</x:v>
      </x:c>
      <x:c r="AE6411" s="87" t="str">
        <x:v>TASK; SECONDARY_ANSWER_AND_MODEL_SOURCE</x:v>
      </x:c>
      <x:c r="AF6411" s="87" t="str">
        <x:v>VIS-EGKR-ENG-S26-TASK-954-P006: 6; VIS-EGKR-ENG-S26-ANSWERDOC-P004: 4; VIS-EGKR-ENG-S26-ANSWERDOC-P005: 5</x:v>
      </x:c>
      <x:c r="AG6411" s="87" t="str">
        <x:v>RESOLVED</x:v>
      </x:c>
      <x:c r="AH6411" s="87" t="str">
        <x:v>CROP_VERIFIED</x:v>
      </x:c>
      <x:c r="AI6411" s="30"/>
      <x:c r="AJ6411" s="87" t="str">
        <x:v>clean</x:v>
      </x:c>
      <x:c r="AK6411" s="87" t="str">
        <x:v>clean-v0.23</x:v>
      </x:c>
      <x:c r="AL6411" s="87" t="str">
        <x:v>statgrad_clean_continuation_v0_23(1).xlsx</x:v>
      </x:c>
      <x:c r="AM6411" s="87" t="str">
        <x:v>ENG_S26_954</x:v>
      </x:c>
      <x:c r="AN6411" s="87" t="n">
        <x:v>22</x:v>
      </x:c>
    </x:row>
    <x:row r="6412">
      <x:c r="A6412" s="87" t="n">
        <x:v>6411</x:v>
      </x:c>
      <x:c r="B6412" s="87" t="str">
        <x:v>EGKR-S26-ENG-954-22</x:v>
      </x:c>
      <x:c r="C6412" s="87" t="str">
        <x:v>ЕГКР</x:v>
      </x:c>
      <x:c r="D6412" s="87"/>
      <x:c r="E6412" s="87" t="str">
        <x:v>Весна 2026</x:v>
      </x:c>
      <x:c r="F6412" s="87" t="str">
        <x:v>14.04.2026</x:v>
      </x:c>
      <x:c r="G6412" s="87" t="str">
        <x:v>Английский язык</x:v>
      </x:c>
      <x:c r="H6412" s="87" t="n">
        <x:v>11</x:v>
      </x:c>
      <x:c r="I6412" s="87"/>
      <x:c r="J6412" s="87" t="str">
        <x:v>954</x:v>
      </x:c>
      <x:c r="K6412" s="87" t="n">
        <x:v>22</x:v>
      </x:c>
      <x:c r="L6412" s="87" t="str">
        <x:v>Grammar transformation</x:v>
      </x:c>
      <x:c r="M6412" s="30" t="str">
        <x:v>Complete the Galapagos Islands text with the correct grammatical form.</x:v>
      </x:c>
      <x:c r="N6412" s="30" t="str">
        <x:v>ARE NOT</x:v>
      </x:c>
      <x:c r="O6412" s="30" t="str">
        <x:v>Ответ независимо проверен по тексту, грамматике и лексическому контексту.</x:v>
      </x:c>
      <x:c r="P6412" s="30"/>
      <x:c r="Q6412" s="30" t="str">
        <x:v>Полная визуальная страница + независимое решение; публичная навигационная сверка.</x:v>
      </x:c>
      <x:c r="R6412" s="30" t="str">
        <x:v>ARE NOT</x:v>
      </x:c>
      <x:c r="S6412" s="30"/>
      <x:c r="T6412" s="30"/>
      <x:c r="U6412" s="30" t="str">
        <x:v>Ответник совпадает с независимой проверкой.</x:v>
      </x:c>
      <x:c r="V6412" s="87" t="str">
        <x:v>VERIFIED</x:v>
      </x:c>
      <x:c r="W6412" s="87"/>
      <x:c r="X6412" s="87" t="n">
        <x:v>6</x:v>
      </x:c>
      <x:c r="Y6412" s="87"/>
      <x:c r="Z6412" s="87"/>
      <x:c r="AA6412" s="87"/>
      <x:c r="AB6412" s="87"/>
      <x:c r="AC6412" s="87" t="str">
        <x:v>VIS-EGKR-ENG-S26-TASK-954-P006</x:v>
      </x:c>
      <x:c r="AD6412" s="87" t="str">
        <x:v>VIS-EGKR-ENG-S26-ANSWERDOC-P004; VIS-EGKR-ENG-S26-ANSWERDOC-P005</x:v>
      </x:c>
      <x:c r="AE6412" s="87" t="str">
        <x:v>TASK; SECONDARY_ANSWER_AND_MODEL_SOURCE</x:v>
      </x:c>
      <x:c r="AF6412" s="87" t="str">
        <x:v>VIS-EGKR-ENG-S26-TASK-954-P006: 6; VIS-EGKR-ENG-S26-ANSWERDOC-P004: 4; VIS-EGKR-ENG-S26-ANSWERDOC-P005: 5</x:v>
      </x:c>
      <x:c r="AG6412" s="87" t="str">
        <x:v>RESOLVED</x:v>
      </x:c>
      <x:c r="AH6412" s="87" t="str">
        <x:v>CROP_VERIFIED</x:v>
      </x:c>
      <x:c r="AI6412" s="30"/>
      <x:c r="AJ6412" s="87" t="str">
        <x:v>clean</x:v>
      </x:c>
      <x:c r="AK6412" s="87" t="str">
        <x:v>clean-v0.23</x:v>
      </x:c>
      <x:c r="AL6412" s="87" t="str">
        <x:v>statgrad_clean_continuation_v0_23(1).xlsx</x:v>
      </x:c>
      <x:c r="AM6412" s="87" t="str">
        <x:v>ENG_S26_954</x:v>
      </x:c>
      <x:c r="AN6412" s="87" t="n">
        <x:v>23</x:v>
      </x:c>
    </x:row>
    <x:row r="6413">
      <x:c r="A6413" s="87" t="n">
        <x:v>6412</x:v>
      </x:c>
      <x:c r="B6413" s="87" t="str">
        <x:v>EGKR-S26-ENG-954-23</x:v>
      </x:c>
      <x:c r="C6413" s="87" t="str">
        <x:v>ЕГКР</x:v>
      </x:c>
      <x:c r="D6413" s="87"/>
      <x:c r="E6413" s="87" t="str">
        <x:v>Весна 2026</x:v>
      </x:c>
      <x:c r="F6413" s="87" t="str">
        <x:v>14.04.2026</x:v>
      </x:c>
      <x:c r="G6413" s="87" t="str">
        <x:v>Английский язык</x:v>
      </x:c>
      <x:c r="H6413" s="87" t="n">
        <x:v>11</x:v>
      </x:c>
      <x:c r="I6413" s="87"/>
      <x:c r="J6413" s="87" t="str">
        <x:v>954</x:v>
      </x:c>
      <x:c r="K6413" s="87" t="n">
        <x:v>23</x:v>
      </x:c>
      <x:c r="L6413" s="87" t="str">
        <x:v>Grammar transformation</x:v>
      </x:c>
      <x:c r="M6413" s="30" t="str">
        <x:v>Complete the Galapagos Islands text with the correct grammatical form.</x:v>
      </x:c>
      <x:c r="N6413" s="30" t="str">
        <x:v>THOSE</x:v>
      </x:c>
      <x:c r="O6413" s="30" t="str">
        <x:v>Ответ независимо проверен по тексту, грамматике и лексическому контексту.</x:v>
      </x:c>
      <x:c r="P6413" s="30"/>
      <x:c r="Q6413" s="30" t="str">
        <x:v>Полная визуальная страница + независимое решение; публичная навигационная сверка.</x:v>
      </x:c>
      <x:c r="R6413" s="30" t="str">
        <x:v>THOSE</x:v>
      </x:c>
      <x:c r="S6413" s="30"/>
      <x:c r="T6413" s="30"/>
      <x:c r="U6413" s="30" t="str">
        <x:v>Ответник совпадает с независимой проверкой.</x:v>
      </x:c>
      <x:c r="V6413" s="87" t="str">
        <x:v>VERIFIED</x:v>
      </x:c>
      <x:c r="W6413" s="87"/>
      <x:c r="X6413" s="87" t="n">
        <x:v>6</x:v>
      </x:c>
      <x:c r="Y6413" s="87"/>
      <x:c r="Z6413" s="87"/>
      <x:c r="AA6413" s="87"/>
      <x:c r="AB6413" s="87"/>
      <x:c r="AC6413" s="87" t="str">
        <x:v>VIS-EGKR-ENG-S26-TASK-954-P006</x:v>
      </x:c>
      <x:c r="AD6413" s="87" t="str">
        <x:v>VIS-EGKR-ENG-S26-ANSWERDOC-P004; VIS-EGKR-ENG-S26-ANSWERDOC-P005</x:v>
      </x:c>
      <x:c r="AE6413" s="87" t="str">
        <x:v>TASK; SECONDARY_ANSWER_AND_MODEL_SOURCE</x:v>
      </x:c>
      <x:c r="AF6413" s="87" t="str">
        <x:v>VIS-EGKR-ENG-S26-TASK-954-P006: 6; VIS-EGKR-ENG-S26-ANSWERDOC-P004: 4; VIS-EGKR-ENG-S26-ANSWERDOC-P005: 5</x:v>
      </x:c>
      <x:c r="AG6413" s="87" t="str">
        <x:v>RESOLVED</x:v>
      </x:c>
      <x:c r="AH6413" s="87" t="str">
        <x:v>CROP_VERIFIED</x:v>
      </x:c>
      <x:c r="AI6413" s="30"/>
      <x:c r="AJ6413" s="87" t="str">
        <x:v>clean</x:v>
      </x:c>
      <x:c r="AK6413" s="87" t="str">
        <x:v>clean-v0.23</x:v>
      </x:c>
      <x:c r="AL6413" s="87" t="str">
        <x:v>statgrad_clean_continuation_v0_23(1).xlsx</x:v>
      </x:c>
      <x:c r="AM6413" s="87" t="str">
        <x:v>ENG_S26_954</x:v>
      </x:c>
      <x:c r="AN6413" s="87" t="n">
        <x:v>24</x:v>
      </x:c>
    </x:row>
    <x:row r="6414">
      <x:c r="A6414" s="87" t="n">
        <x:v>6413</x:v>
      </x:c>
      <x:c r="B6414" s="87" t="str">
        <x:v>EGKR-S26-ENG-954-24</x:v>
      </x:c>
      <x:c r="C6414" s="87" t="str">
        <x:v>ЕГКР</x:v>
      </x:c>
      <x:c r="D6414" s="87"/>
      <x:c r="E6414" s="87" t="str">
        <x:v>Весна 2026</x:v>
      </x:c>
      <x:c r="F6414" s="87" t="str">
        <x:v>14.04.2026</x:v>
      </x:c>
      <x:c r="G6414" s="87" t="str">
        <x:v>Английский язык</x:v>
      </x:c>
      <x:c r="H6414" s="87" t="n">
        <x:v>11</x:v>
      </x:c>
      <x:c r="I6414" s="87"/>
      <x:c r="J6414" s="87" t="str">
        <x:v>954</x:v>
      </x:c>
      <x:c r="K6414" s="87" t="n">
        <x:v>24</x:v>
      </x:c>
      <x:c r="L6414" s="87" t="str">
        <x:v>Grammar transformation</x:v>
      </x:c>
      <x:c r="M6414" s="30" t="str">
        <x:v>Complete the Galapagos Islands text with the correct grammatical form.</x:v>
      </x:c>
      <x:c r="N6414" s="30" t="str">
        <x:v>BEST</x:v>
      </x:c>
      <x:c r="O6414" s="30" t="str">
        <x:v>Ответ независимо проверен по тексту, грамматике и лексическому контексту.</x:v>
      </x:c>
      <x:c r="P6414" s="30"/>
      <x:c r="Q6414" s="30" t="str">
        <x:v>Полная визуальная страница + независимое решение; публичная навигационная сверка.</x:v>
      </x:c>
      <x:c r="R6414" s="30" t="str">
        <x:v>BEST</x:v>
      </x:c>
      <x:c r="S6414" s="30"/>
      <x:c r="T6414" s="30"/>
      <x:c r="U6414" s="30" t="str">
        <x:v>Ответник совпадает с независимой проверкой.</x:v>
      </x:c>
      <x:c r="V6414" s="87" t="str">
        <x:v>VERIFIED</x:v>
      </x:c>
      <x:c r="W6414" s="87"/>
      <x:c r="X6414" s="87" t="n">
        <x:v>6</x:v>
      </x:c>
      <x:c r="Y6414" s="87"/>
      <x:c r="Z6414" s="87"/>
      <x:c r="AA6414" s="87"/>
      <x:c r="AB6414" s="87"/>
      <x:c r="AC6414" s="87" t="str">
        <x:v>VIS-EGKR-ENG-S26-TASK-954-P006</x:v>
      </x:c>
      <x:c r="AD6414" s="87" t="str">
        <x:v>VIS-EGKR-ENG-S26-ANSWERDOC-P004; VIS-EGKR-ENG-S26-ANSWERDOC-P005</x:v>
      </x:c>
      <x:c r="AE6414" s="87" t="str">
        <x:v>TASK; SECONDARY_ANSWER_AND_MODEL_SOURCE</x:v>
      </x:c>
      <x:c r="AF6414" s="87" t="str">
        <x:v>VIS-EGKR-ENG-S26-TASK-954-P006: 6; VIS-EGKR-ENG-S26-ANSWERDOC-P004: 4; VIS-EGKR-ENG-S26-ANSWERDOC-P005: 5</x:v>
      </x:c>
      <x:c r="AG6414" s="87" t="str">
        <x:v>RESOLVED</x:v>
      </x:c>
      <x:c r="AH6414" s="87" t="str">
        <x:v>CROP_VERIFIED</x:v>
      </x:c>
      <x:c r="AI6414" s="30"/>
      <x:c r="AJ6414" s="87" t="str">
        <x:v>clean</x:v>
      </x:c>
      <x:c r="AK6414" s="87" t="str">
        <x:v>clean-v0.23</x:v>
      </x:c>
      <x:c r="AL6414" s="87" t="str">
        <x:v>statgrad_clean_continuation_v0_23(1).xlsx</x:v>
      </x:c>
      <x:c r="AM6414" s="87" t="str">
        <x:v>ENG_S26_954</x:v>
      </x:c>
      <x:c r="AN6414" s="87" t="n">
        <x:v>25</x:v>
      </x:c>
    </x:row>
    <x:row r="6415">
      <x:c r="A6415" s="87" t="n">
        <x:v>6414</x:v>
      </x:c>
      <x:c r="B6415" s="87" t="str">
        <x:v>EGKR-S26-ENG-954-25</x:v>
      </x:c>
      <x:c r="C6415" s="87" t="str">
        <x:v>ЕГКР</x:v>
      </x:c>
      <x:c r="D6415" s="87"/>
      <x:c r="E6415" s="87" t="str">
        <x:v>Весна 2026</x:v>
      </x:c>
      <x:c r="F6415" s="87" t="str">
        <x:v>14.04.2026</x:v>
      </x:c>
      <x:c r="G6415" s="87" t="str">
        <x:v>Английский язык</x:v>
      </x:c>
      <x:c r="H6415" s="87" t="n">
        <x:v>11</x:v>
      </x:c>
      <x:c r="I6415" s="87"/>
      <x:c r="J6415" s="87" t="str">
        <x:v>954</x:v>
      </x:c>
      <x:c r="K6415" s="87" t="n">
        <x:v>25</x:v>
      </x:c>
      <x:c r="L6415" s="87" t="str">
        <x:v>Word formation</x:v>
      </x:c>
      <x:c r="M6415" s="30" t="str">
        <x:v>Form the correct word for the Leo Tolstoy text.</x:v>
      </x:c>
      <x:c r="N6415" s="30" t="str">
        <x:v>NOVELIST</x:v>
      </x:c>
      <x:c r="O6415" s="30" t="str">
        <x:v>Ответ независимо проверен по тексту, грамматике и лексическому контексту.</x:v>
      </x:c>
      <x:c r="P6415" s="30"/>
      <x:c r="Q6415" s="30" t="str">
        <x:v>Полная визуальная страница + независимое решение; публичная навигационная сверка.</x:v>
      </x:c>
      <x:c r="R6415" s="30" t="str">
        <x:v>NOVELS</x:v>
      </x:c>
      <x:c r="S6415" s="30"/>
      <x:c r="T6415" s="30"/>
      <x:c r="U6415" s="30" t="str">
        <x:v>Ответник: NOVELS; канонический ответ: NOVELIST.</x:v>
      </x:c>
      <x:c r="V6415" s="87" t="str">
        <x:v>KEY_MISMATCH</x:v>
      </x:c>
      <x:c r="W6415" s="87"/>
      <x:c r="X6415" s="87" t="n">
        <x:v>6</x:v>
      </x:c>
      <x:c r="Y6415" s="87"/>
      <x:c r="Z6415" s="87"/>
      <x:c r="AA6415" s="87"/>
      <x:c r="AB6415" s="87"/>
      <x:c r="AC6415" s="87" t="str">
        <x:v>VIS-EGKR-ENG-S26-TASK-954-P006</x:v>
      </x:c>
      <x:c r="AD6415" s="87" t="str">
        <x:v>VIS-EGKR-ENG-S26-ANSWERDOC-P004; VIS-EGKR-ENG-S26-ANSWERDOC-P005</x:v>
      </x:c>
      <x:c r="AE6415" s="87" t="str">
        <x:v>TASK; SECONDARY_ANSWER_AND_MODEL_SOURCE</x:v>
      </x:c>
      <x:c r="AF6415" s="87" t="str">
        <x:v>VIS-EGKR-ENG-S26-TASK-954-P006: 6; VIS-EGKR-ENG-S26-ANSWERDOC-P004: 4; VIS-EGKR-ENG-S26-ANSWERDOC-P005: 5</x:v>
      </x:c>
      <x:c r="AG6415" s="87" t="str">
        <x:v>RESOLVED</x:v>
      </x:c>
      <x:c r="AH6415" s="87" t="str">
        <x:v>CROP_VERIFIED</x:v>
      </x:c>
      <x:c r="AI6415" s="30"/>
      <x:c r="AJ6415" s="87" t="str">
        <x:v>clean</x:v>
      </x:c>
      <x:c r="AK6415" s="87" t="str">
        <x:v>clean-v0.23</x:v>
      </x:c>
      <x:c r="AL6415" s="87" t="str">
        <x:v>statgrad_clean_continuation_v0_23(1).xlsx</x:v>
      </x:c>
      <x:c r="AM6415" s="87" t="str">
        <x:v>ENG_S26_954</x:v>
      </x:c>
      <x:c r="AN6415" s="87" t="n">
        <x:v>26</x:v>
      </x:c>
    </x:row>
    <x:row r="6416">
      <x:c r="A6416" s="87" t="n">
        <x:v>6415</x:v>
      </x:c>
      <x:c r="B6416" s="87" t="str">
        <x:v>EGKR-S26-ENG-954-26</x:v>
      </x:c>
      <x:c r="C6416" s="87" t="str">
        <x:v>ЕГКР</x:v>
      </x:c>
      <x:c r="D6416" s="87"/>
      <x:c r="E6416" s="87" t="str">
        <x:v>Весна 2026</x:v>
      </x:c>
      <x:c r="F6416" s="87" t="str">
        <x:v>14.04.2026</x:v>
      </x:c>
      <x:c r="G6416" s="87" t="str">
        <x:v>Английский язык</x:v>
      </x:c>
      <x:c r="H6416" s="87" t="n">
        <x:v>11</x:v>
      </x:c>
      <x:c r="I6416" s="87"/>
      <x:c r="J6416" s="87" t="str">
        <x:v>954</x:v>
      </x:c>
      <x:c r="K6416" s="87" t="n">
        <x:v>26</x:v>
      </x:c>
      <x:c r="L6416" s="87" t="str">
        <x:v>Word formation</x:v>
      </x:c>
      <x:c r="M6416" s="30" t="str">
        <x:v>Form the correct word for the Leo Tolstoy text.</x:v>
      </x:c>
      <x:c r="N6416" s="30" t="str">
        <x:v>DEEPLY</x:v>
      </x:c>
      <x:c r="O6416" s="30" t="str">
        <x:v>Ответ независимо проверен по тексту, грамматике и лексическому контексту.</x:v>
      </x:c>
      <x:c r="P6416" s="30"/>
      <x:c r="Q6416" s="30" t="str">
        <x:v>Полная визуальная страница + независимое решение; публичная навигационная сверка.</x:v>
      </x:c>
      <x:c r="R6416" s="30" t="str">
        <x:v>DEEPLY</x:v>
      </x:c>
      <x:c r="S6416" s="30"/>
      <x:c r="T6416" s="30"/>
      <x:c r="U6416" s="30" t="str">
        <x:v>Ответник совпадает с независимой проверкой.</x:v>
      </x:c>
      <x:c r="V6416" s="87" t="str">
        <x:v>VERIFIED</x:v>
      </x:c>
      <x:c r="W6416" s="87"/>
      <x:c r="X6416" s="87" t="n">
        <x:v>6</x:v>
      </x:c>
      <x:c r="Y6416" s="87"/>
      <x:c r="Z6416" s="87"/>
      <x:c r="AA6416" s="87"/>
      <x:c r="AB6416" s="87"/>
      <x:c r="AC6416" s="87" t="str">
        <x:v>VIS-EGKR-ENG-S26-TASK-954-P006</x:v>
      </x:c>
      <x:c r="AD6416" s="87" t="str">
        <x:v>VIS-EGKR-ENG-S26-ANSWERDOC-P004; VIS-EGKR-ENG-S26-ANSWERDOC-P005</x:v>
      </x:c>
      <x:c r="AE6416" s="87" t="str">
        <x:v>TASK; SECONDARY_ANSWER_AND_MODEL_SOURCE</x:v>
      </x:c>
      <x:c r="AF6416" s="87" t="str">
        <x:v>VIS-EGKR-ENG-S26-TASK-954-P006: 6; VIS-EGKR-ENG-S26-ANSWERDOC-P004: 4; VIS-EGKR-ENG-S26-ANSWERDOC-P005: 5</x:v>
      </x:c>
      <x:c r="AG6416" s="87" t="str">
        <x:v>RESOLVED</x:v>
      </x:c>
      <x:c r="AH6416" s="87" t="str">
        <x:v>CROP_VERIFIED</x:v>
      </x:c>
      <x:c r="AI6416" s="30"/>
      <x:c r="AJ6416" s="87" t="str">
        <x:v>clean</x:v>
      </x:c>
      <x:c r="AK6416" s="87" t="str">
        <x:v>clean-v0.23</x:v>
      </x:c>
      <x:c r="AL6416" s="87" t="str">
        <x:v>statgrad_clean_continuation_v0_23(1).xlsx</x:v>
      </x:c>
      <x:c r="AM6416" s="87" t="str">
        <x:v>ENG_S26_954</x:v>
      </x:c>
      <x:c r="AN6416" s="87" t="n">
        <x:v>27</x:v>
      </x:c>
    </x:row>
    <x:row r="6417">
      <x:c r="A6417" s="87" t="n">
        <x:v>6416</x:v>
      </x:c>
      <x:c r="B6417" s="87" t="str">
        <x:v>EGKR-S26-ENG-954-27</x:v>
      </x:c>
      <x:c r="C6417" s="87" t="str">
        <x:v>ЕГКР</x:v>
      </x:c>
      <x:c r="D6417" s="87"/>
      <x:c r="E6417" s="87" t="str">
        <x:v>Весна 2026</x:v>
      </x:c>
      <x:c r="F6417" s="87" t="str">
        <x:v>14.04.2026</x:v>
      </x:c>
      <x:c r="G6417" s="87" t="str">
        <x:v>Английский язык</x:v>
      </x:c>
      <x:c r="H6417" s="87" t="n">
        <x:v>11</x:v>
      </x:c>
      <x:c r="I6417" s="87"/>
      <x:c r="J6417" s="87" t="str">
        <x:v>954</x:v>
      </x:c>
      <x:c r="K6417" s="87" t="n">
        <x:v>27</x:v>
      </x:c>
      <x:c r="L6417" s="87" t="str">
        <x:v>Word formation</x:v>
      </x:c>
      <x:c r="M6417" s="30" t="str">
        <x:v>Form the correct word for the Leo Tolstoy text.</x:v>
      </x:c>
      <x:c r="N6417" s="30" t="str">
        <x:v>EXPLORATION</x:v>
      </x:c>
      <x:c r="O6417" s="30" t="str">
        <x:v>Ответ независимо проверен по тексту, грамматике и лексическому контексту.</x:v>
      </x:c>
      <x:c r="P6417" s="30"/>
      <x:c r="Q6417" s="30" t="str">
        <x:v>Полная визуальная страница + независимое решение; публичная навигационная сверка.</x:v>
      </x:c>
      <x:c r="R6417" s="30" t="str">
        <x:v>EXPLORER</x:v>
      </x:c>
      <x:c r="S6417" s="30"/>
      <x:c r="T6417" s="30"/>
      <x:c r="U6417" s="30" t="str">
        <x:v>Ответник: EXPLORER; канонический ответ: EXPLORATION.</x:v>
      </x:c>
      <x:c r="V6417" s="87" t="str">
        <x:v>KEY_MISMATCH</x:v>
      </x:c>
      <x:c r="W6417" s="87"/>
      <x:c r="X6417" s="87" t="n">
        <x:v>6</x:v>
      </x:c>
      <x:c r="Y6417" s="87"/>
      <x:c r="Z6417" s="87"/>
      <x:c r="AA6417" s="87"/>
      <x:c r="AB6417" s="87"/>
      <x:c r="AC6417" s="87" t="str">
        <x:v>VIS-EGKR-ENG-S26-TASK-954-P006</x:v>
      </x:c>
      <x:c r="AD6417" s="87" t="str">
        <x:v>VIS-EGKR-ENG-S26-ANSWERDOC-P004; VIS-EGKR-ENG-S26-ANSWERDOC-P005</x:v>
      </x:c>
      <x:c r="AE6417" s="87" t="str">
        <x:v>TASK; SECONDARY_ANSWER_AND_MODEL_SOURCE</x:v>
      </x:c>
      <x:c r="AF6417" s="87" t="str">
        <x:v>VIS-EGKR-ENG-S26-TASK-954-P006: 6; VIS-EGKR-ENG-S26-ANSWERDOC-P004: 4; VIS-EGKR-ENG-S26-ANSWERDOC-P005: 5</x:v>
      </x:c>
      <x:c r="AG6417" s="87" t="str">
        <x:v>RESOLVED</x:v>
      </x:c>
      <x:c r="AH6417" s="87" t="str">
        <x:v>CROP_VERIFIED</x:v>
      </x:c>
      <x:c r="AI6417" s="30"/>
      <x:c r="AJ6417" s="87" t="str">
        <x:v>clean</x:v>
      </x:c>
      <x:c r="AK6417" s="87" t="str">
        <x:v>clean-v0.23</x:v>
      </x:c>
      <x:c r="AL6417" s="87" t="str">
        <x:v>statgrad_clean_continuation_v0_23(1).xlsx</x:v>
      </x:c>
      <x:c r="AM6417" s="87" t="str">
        <x:v>ENG_S26_954</x:v>
      </x:c>
      <x:c r="AN6417" s="87" t="n">
        <x:v>28</x:v>
      </x:c>
    </x:row>
    <x:row r="6418">
      <x:c r="A6418" s="87" t="n">
        <x:v>6417</x:v>
      </x:c>
      <x:c r="B6418" s="87" t="str">
        <x:v>EGKR-S26-ENG-954-28</x:v>
      </x:c>
      <x:c r="C6418" s="87" t="str">
        <x:v>ЕГКР</x:v>
      </x:c>
      <x:c r="D6418" s="87"/>
      <x:c r="E6418" s="87" t="str">
        <x:v>Весна 2026</x:v>
      </x:c>
      <x:c r="F6418" s="87" t="str">
        <x:v>14.04.2026</x:v>
      </x:c>
      <x:c r="G6418" s="87" t="str">
        <x:v>Английский язык</x:v>
      </x:c>
      <x:c r="H6418" s="87" t="n">
        <x:v>11</x:v>
      </x:c>
      <x:c r="I6418" s="87"/>
      <x:c r="J6418" s="87" t="str">
        <x:v>954</x:v>
      </x:c>
      <x:c r="K6418" s="87" t="n">
        <x:v>28</x:v>
      </x:c>
      <x:c r="L6418" s="87" t="str">
        <x:v>Word formation</x:v>
      </x:c>
      <x:c r="M6418" s="30" t="str">
        <x:v>Form the correct word for the Leo Tolstoy text.</x:v>
      </x:c>
      <x:c r="N6418" s="30" t="str">
        <x:v>COUNTLESS</x:v>
      </x:c>
      <x:c r="O6418" s="30" t="str">
        <x:v>Ответ независимо проверен по тексту, грамматике и лексическому контексту.</x:v>
      </x:c>
      <x:c r="P6418" s="30"/>
      <x:c r="Q6418" s="30" t="str">
        <x:v>Полная визуальная страница + независимое решение; публичная навигационная сверка.</x:v>
      </x:c>
      <x:c r="R6418" s="30" t="str">
        <x:v>COUNTRIES</x:v>
      </x:c>
      <x:c r="S6418" s="30"/>
      <x:c r="T6418" s="30"/>
      <x:c r="U6418" s="30" t="str">
        <x:v>Ответник: COUNTRIES; канонический ответ: COUNTLESS.</x:v>
      </x:c>
      <x:c r="V6418" s="87" t="str">
        <x:v>KEY_MISMATCH</x:v>
      </x:c>
      <x:c r="W6418" s="87"/>
      <x:c r="X6418" s="87" t="n">
        <x:v>6</x:v>
      </x:c>
      <x:c r="Y6418" s="87"/>
      <x:c r="Z6418" s="87"/>
      <x:c r="AA6418" s="87"/>
      <x:c r="AB6418" s="87"/>
      <x:c r="AC6418" s="87" t="str">
        <x:v>VIS-EGKR-ENG-S26-TASK-954-P006</x:v>
      </x:c>
      <x:c r="AD6418" s="87" t="str">
        <x:v>VIS-EGKR-ENG-S26-ANSWERDOC-P004; VIS-EGKR-ENG-S26-ANSWERDOC-P005</x:v>
      </x:c>
      <x:c r="AE6418" s="87" t="str">
        <x:v>TASK; SECONDARY_ANSWER_AND_MODEL_SOURCE</x:v>
      </x:c>
      <x:c r="AF6418" s="87" t="str">
        <x:v>VIS-EGKR-ENG-S26-TASK-954-P006: 6; VIS-EGKR-ENG-S26-ANSWERDOC-P004: 4; VIS-EGKR-ENG-S26-ANSWERDOC-P005: 5</x:v>
      </x:c>
      <x:c r="AG6418" s="87" t="str">
        <x:v>RESOLVED</x:v>
      </x:c>
      <x:c r="AH6418" s="87" t="str">
        <x:v>CROP_VERIFIED</x:v>
      </x:c>
      <x:c r="AI6418" s="30"/>
      <x:c r="AJ6418" s="87" t="str">
        <x:v>clean</x:v>
      </x:c>
      <x:c r="AK6418" s="87" t="str">
        <x:v>clean-v0.23</x:v>
      </x:c>
      <x:c r="AL6418" s="87" t="str">
        <x:v>statgrad_clean_continuation_v0_23(1).xlsx</x:v>
      </x:c>
      <x:c r="AM6418" s="87" t="str">
        <x:v>ENG_S26_954</x:v>
      </x:c>
      <x:c r="AN6418" s="87" t="n">
        <x:v>29</x:v>
      </x:c>
    </x:row>
    <x:row r="6419">
      <x:c r="A6419" s="87" t="n">
        <x:v>6418</x:v>
      </x:c>
      <x:c r="B6419" s="87" t="str">
        <x:v>EGKR-S26-ENG-954-29</x:v>
      </x:c>
      <x:c r="C6419" s="87" t="str">
        <x:v>ЕГКР</x:v>
      </x:c>
      <x:c r="D6419" s="87"/>
      <x:c r="E6419" s="87" t="str">
        <x:v>Весна 2026</x:v>
      </x:c>
      <x:c r="F6419" s="87" t="str">
        <x:v>14.04.2026</x:v>
      </x:c>
      <x:c r="G6419" s="87" t="str">
        <x:v>Английский язык</x:v>
      </x:c>
      <x:c r="H6419" s="87" t="n">
        <x:v>11</x:v>
      </x:c>
      <x:c r="I6419" s="87"/>
      <x:c r="J6419" s="87" t="str">
        <x:v>954</x:v>
      </x:c>
      <x:c r="K6419" s="87" t="n">
        <x:v>29</x:v>
      </x:c>
      <x:c r="L6419" s="87" t="str">
        <x:v>Word formation</x:v>
      </x:c>
      <x:c r="M6419" s="30" t="str">
        <x:v>Form the correct word for the Leo Tolstoy text.</x:v>
      </x:c>
      <x:c r="N6419" s="30" t="str">
        <x:v>EDUCATIONAL</x:v>
      </x:c>
      <x:c r="O6419" s="30" t="str">
        <x:v>Ответ независимо проверен по тексту, грамматике и лексическому контексту.</x:v>
      </x:c>
      <x:c r="P6419" s="30"/>
      <x:c r="Q6419" s="30" t="str">
        <x:v>Полная визуальная страница + независимое решение; публичная навигационная сверка.</x:v>
      </x:c>
      <x:c r="R6419" s="30" t="str">
        <x:v>EDUCATIONAL</x:v>
      </x:c>
      <x:c r="S6419" s="30"/>
      <x:c r="T6419" s="30"/>
      <x:c r="U6419" s="30" t="str">
        <x:v>Ответник совпадает с независимой проверкой.</x:v>
      </x:c>
      <x:c r="V6419" s="87" t="str">
        <x:v>VERIFIED</x:v>
      </x:c>
      <x:c r="W6419" s="87"/>
      <x:c r="X6419" s="87" t="n">
        <x:v>6</x:v>
      </x:c>
      <x:c r="Y6419" s="87"/>
      <x:c r="Z6419" s="87"/>
      <x:c r="AA6419" s="87"/>
      <x:c r="AB6419" s="87"/>
      <x:c r="AC6419" s="87" t="str">
        <x:v>VIS-EGKR-ENG-S26-TASK-954-P006</x:v>
      </x:c>
      <x:c r="AD6419" s="87" t="str">
        <x:v>VIS-EGKR-ENG-S26-ANSWERDOC-P004; VIS-EGKR-ENG-S26-ANSWERDOC-P005</x:v>
      </x:c>
      <x:c r="AE6419" s="87" t="str">
        <x:v>TASK; SECONDARY_ANSWER_AND_MODEL_SOURCE</x:v>
      </x:c>
      <x:c r="AF6419" s="87" t="str">
        <x:v>VIS-EGKR-ENG-S26-TASK-954-P006: 6; VIS-EGKR-ENG-S26-ANSWERDOC-P004: 4; VIS-EGKR-ENG-S26-ANSWERDOC-P005: 5</x:v>
      </x:c>
      <x:c r="AG6419" s="87" t="str">
        <x:v>RESOLVED</x:v>
      </x:c>
      <x:c r="AH6419" s="87" t="str">
        <x:v>CROP_VERIFIED</x:v>
      </x:c>
      <x:c r="AI6419" s="30"/>
      <x:c r="AJ6419" s="87" t="str">
        <x:v>clean</x:v>
      </x:c>
      <x:c r="AK6419" s="87" t="str">
        <x:v>clean-v0.23</x:v>
      </x:c>
      <x:c r="AL6419" s="87" t="str">
        <x:v>statgrad_clean_continuation_v0_23(1).xlsx</x:v>
      </x:c>
      <x:c r="AM6419" s="87" t="str">
        <x:v>ENG_S26_954</x:v>
      </x:c>
      <x:c r="AN6419" s="87" t="n">
        <x:v>30</x:v>
      </x:c>
    </x:row>
    <x:row r="6420">
      <x:c r="A6420" s="87" t="n">
        <x:v>6419</x:v>
      </x:c>
      <x:c r="B6420" s="87" t="str">
        <x:v>EGKR-S26-ENG-954-30</x:v>
      </x:c>
      <x:c r="C6420" s="87" t="str">
        <x:v>ЕГКР</x:v>
      </x:c>
      <x:c r="D6420" s="87"/>
      <x:c r="E6420" s="87" t="str">
        <x:v>Весна 2026</x:v>
      </x:c>
      <x:c r="F6420" s="87" t="str">
        <x:v>14.04.2026</x:v>
      </x:c>
      <x:c r="G6420" s="87" t="str">
        <x:v>Английский язык</x:v>
      </x:c>
      <x:c r="H6420" s="87" t="n">
        <x:v>11</x:v>
      </x:c>
      <x:c r="I6420" s="87"/>
      <x:c r="J6420" s="87" t="str">
        <x:v>954</x:v>
      </x:c>
      <x:c r="K6420" s="87" t="n">
        <x:v>30</x:v>
      </x:c>
      <x:c r="L6420" s="87" t="str">
        <x:v>Lexical and grammatical multiple choice</x:v>
      </x:c>
      <x:c r="M6420" s="30" t="str">
        <x:v>Choose the correct option in the Sochi National Park text.</x:v>
      </x:c>
      <x:c r="N6420" s="30" t="str">
        <x:v>2</x:v>
      </x:c>
      <x:c r="O6420" s="30" t="str">
        <x:v>Ответ независимо проверен по тексту, грамматике и лексическому контексту.</x:v>
      </x:c>
      <x:c r="P6420" s="30"/>
      <x:c r="Q6420" s="30" t="str">
        <x:v>Полная визуальная страница + независимое решение; публичная навигационная сверка.</x:v>
      </x:c>
      <x:c r="R6420" s="30" t="str">
        <x:v>2</x:v>
      </x:c>
      <x:c r="S6420" s="30"/>
      <x:c r="T6420" s="30"/>
      <x:c r="U6420" s="30" t="str">
        <x:v>Ответник совпадает с независимой проверкой.</x:v>
      </x:c>
      <x:c r="V6420" s="87" t="str">
        <x:v>VERIFIED</x:v>
      </x:c>
      <x:c r="W6420" s="87"/>
      <x:c r="X6420" s="87" t="n">
        <x:v>7</x:v>
      </x:c>
      <x:c r="Y6420" s="87"/>
      <x:c r="Z6420" s="87"/>
      <x:c r="AA6420" s="87"/>
      <x:c r="AB6420" s="87"/>
      <x:c r="AC6420" s="87" t="str">
        <x:v>VIS-EGKR-ENG-S26-TASK-954-P007</x:v>
      </x:c>
      <x:c r="AD6420" s="87" t="str">
        <x:v>VIS-EGKR-ENG-S26-ANSWERDOC-P004; VIS-EGKR-ENG-S26-ANSWERDOC-P005</x:v>
      </x:c>
      <x:c r="AE6420" s="87" t="str">
        <x:v>TASK; SECONDARY_ANSWER_AND_MODEL_SOURCE</x:v>
      </x:c>
      <x:c r="AF6420" s="87" t="str">
        <x:v>VIS-EGKR-ENG-S26-TASK-954-P007: 7; VIS-EGKR-ENG-S26-ANSWERDOC-P004: 4; VIS-EGKR-ENG-S26-ANSWERDOC-P005: 5</x:v>
      </x:c>
      <x:c r="AG6420" s="87" t="str">
        <x:v>RESOLVED</x:v>
      </x:c>
      <x:c r="AH6420" s="87" t="str">
        <x:v>CROP_VERIFIED</x:v>
      </x:c>
      <x:c r="AI6420" s="30"/>
      <x:c r="AJ6420" s="87" t="str">
        <x:v>clean</x:v>
      </x:c>
      <x:c r="AK6420" s="87" t="str">
        <x:v>clean-v0.23</x:v>
      </x:c>
      <x:c r="AL6420" s="87" t="str">
        <x:v>statgrad_clean_continuation_v0_23(1).xlsx</x:v>
      </x:c>
      <x:c r="AM6420" s="87" t="str">
        <x:v>ENG_S26_954</x:v>
      </x:c>
      <x:c r="AN6420" s="87" t="n">
        <x:v>31</x:v>
      </x:c>
    </x:row>
    <x:row r="6421">
      <x:c r="A6421" s="87" t="n">
        <x:v>6420</x:v>
      </x:c>
      <x:c r="B6421" s="87" t="str">
        <x:v>EGKR-S26-ENG-954-31</x:v>
      </x:c>
      <x:c r="C6421" s="87" t="str">
        <x:v>ЕГКР</x:v>
      </x:c>
      <x:c r="D6421" s="87"/>
      <x:c r="E6421" s="87" t="str">
        <x:v>Весна 2026</x:v>
      </x:c>
      <x:c r="F6421" s="87" t="str">
        <x:v>14.04.2026</x:v>
      </x:c>
      <x:c r="G6421" s="87" t="str">
        <x:v>Английский язык</x:v>
      </x:c>
      <x:c r="H6421" s="87" t="n">
        <x:v>11</x:v>
      </x:c>
      <x:c r="I6421" s="87"/>
      <x:c r="J6421" s="87" t="str">
        <x:v>954</x:v>
      </x:c>
      <x:c r="K6421" s="87" t="n">
        <x:v>31</x:v>
      </x:c>
      <x:c r="L6421" s="87" t="str">
        <x:v>Lexical and grammatical multiple choice</x:v>
      </x:c>
      <x:c r="M6421" s="30" t="str">
        <x:v>Choose the correct option in the Sochi National Park text.</x:v>
      </x:c>
      <x:c r="N6421" s="30" t="str">
        <x:v>3</x:v>
      </x:c>
      <x:c r="O6421" s="30" t="str">
        <x:v>Ответ независимо проверен по тексту, грамматике и лексическому контексту.</x:v>
      </x:c>
      <x:c r="P6421" s="30"/>
      <x:c r="Q6421" s="30" t="str">
        <x:v>Полная визуальная страница + независимое решение; публичная навигационная сверка.</x:v>
      </x:c>
      <x:c r="R6421" s="30" t="str">
        <x:v>3</x:v>
      </x:c>
      <x:c r="S6421" s="30"/>
      <x:c r="T6421" s="30"/>
      <x:c r="U6421" s="30" t="str">
        <x:v>Ответник совпадает с независимой проверкой.</x:v>
      </x:c>
      <x:c r="V6421" s="87" t="str">
        <x:v>VERIFIED</x:v>
      </x:c>
      <x:c r="W6421" s="87"/>
      <x:c r="X6421" s="87" t="n">
        <x:v>7</x:v>
      </x:c>
      <x:c r="Y6421" s="87"/>
      <x:c r="Z6421" s="87"/>
      <x:c r="AA6421" s="87"/>
      <x:c r="AB6421" s="87"/>
      <x:c r="AC6421" s="87" t="str">
        <x:v>VIS-EGKR-ENG-S26-TASK-954-P007</x:v>
      </x:c>
      <x:c r="AD6421" s="87" t="str">
        <x:v>VIS-EGKR-ENG-S26-ANSWERDOC-P004; VIS-EGKR-ENG-S26-ANSWERDOC-P005</x:v>
      </x:c>
      <x:c r="AE6421" s="87" t="str">
        <x:v>TASK; SECONDARY_ANSWER_AND_MODEL_SOURCE</x:v>
      </x:c>
      <x:c r="AF6421" s="87" t="str">
        <x:v>VIS-EGKR-ENG-S26-TASK-954-P007: 7; VIS-EGKR-ENG-S26-ANSWERDOC-P004: 4; VIS-EGKR-ENG-S26-ANSWERDOC-P005: 5</x:v>
      </x:c>
      <x:c r="AG6421" s="87" t="str">
        <x:v>RESOLVED</x:v>
      </x:c>
      <x:c r="AH6421" s="87" t="str">
        <x:v>CROP_VERIFIED</x:v>
      </x:c>
      <x:c r="AI6421" s="30"/>
      <x:c r="AJ6421" s="87" t="str">
        <x:v>clean</x:v>
      </x:c>
      <x:c r="AK6421" s="87" t="str">
        <x:v>clean-v0.23</x:v>
      </x:c>
      <x:c r="AL6421" s="87" t="str">
        <x:v>statgrad_clean_continuation_v0_23(1).xlsx</x:v>
      </x:c>
      <x:c r="AM6421" s="87" t="str">
        <x:v>ENG_S26_954</x:v>
      </x:c>
      <x:c r="AN6421" s="87" t="n">
        <x:v>32</x:v>
      </x:c>
    </x:row>
    <x:row r="6422">
      <x:c r="A6422" s="87" t="n">
        <x:v>6421</x:v>
      </x:c>
      <x:c r="B6422" s="87" t="str">
        <x:v>EGKR-S26-ENG-954-32</x:v>
      </x:c>
      <x:c r="C6422" s="87" t="str">
        <x:v>ЕГКР</x:v>
      </x:c>
      <x:c r="D6422" s="87"/>
      <x:c r="E6422" s="87" t="str">
        <x:v>Весна 2026</x:v>
      </x:c>
      <x:c r="F6422" s="87" t="str">
        <x:v>14.04.2026</x:v>
      </x:c>
      <x:c r="G6422" s="87" t="str">
        <x:v>Английский язык</x:v>
      </x:c>
      <x:c r="H6422" s="87" t="n">
        <x:v>11</x:v>
      </x:c>
      <x:c r="I6422" s="87"/>
      <x:c r="J6422" s="87" t="str">
        <x:v>954</x:v>
      </x:c>
      <x:c r="K6422" s="87" t="n">
        <x:v>32</x:v>
      </x:c>
      <x:c r="L6422" s="87" t="str">
        <x:v>Lexical and grammatical multiple choice</x:v>
      </x:c>
      <x:c r="M6422" s="30" t="str">
        <x:v>Choose the correct option in the Sochi National Park text.</x:v>
      </x:c>
      <x:c r="N6422" s="30" t="str">
        <x:v>2</x:v>
      </x:c>
      <x:c r="O6422" s="30" t="str">
        <x:v>Ответ независимо проверен по тексту, грамматике и лексическому контексту.</x:v>
      </x:c>
      <x:c r="P6422" s="30"/>
      <x:c r="Q6422" s="30" t="str">
        <x:v>Полная визуальная страница + независимое решение; публичная навигационная сверка.</x:v>
      </x:c>
      <x:c r="R6422" s="30" t="str">
        <x:v>1</x:v>
      </x:c>
      <x:c r="S6422" s="30"/>
      <x:c r="T6422" s="30"/>
      <x:c r="U6422" s="30" t="str">
        <x:v>Ответник: 1; канонический ответ: 2.</x:v>
      </x:c>
      <x:c r="V6422" s="87" t="str">
        <x:v>KEY_MISMATCH</x:v>
      </x:c>
      <x:c r="W6422" s="87"/>
      <x:c r="X6422" s="87" t="n">
        <x:v>7</x:v>
      </x:c>
      <x:c r="Y6422" s="87"/>
      <x:c r="Z6422" s="87"/>
      <x:c r="AA6422" s="87"/>
      <x:c r="AB6422" s="87"/>
      <x:c r="AC6422" s="87" t="str">
        <x:v>VIS-EGKR-ENG-S26-TASK-954-P007</x:v>
      </x:c>
      <x:c r="AD6422" s="87" t="str">
        <x:v>VIS-EGKR-ENG-S26-ANSWERDOC-P004; VIS-EGKR-ENG-S26-ANSWERDOC-P005</x:v>
      </x:c>
      <x:c r="AE6422" s="87" t="str">
        <x:v>TASK; SECONDARY_ANSWER_AND_MODEL_SOURCE</x:v>
      </x:c>
      <x:c r="AF6422" s="87" t="str">
        <x:v>VIS-EGKR-ENG-S26-TASK-954-P007: 7; VIS-EGKR-ENG-S26-ANSWERDOC-P004: 4; VIS-EGKR-ENG-S26-ANSWERDOC-P005: 5</x:v>
      </x:c>
      <x:c r="AG6422" s="87" t="str">
        <x:v>RESOLVED</x:v>
      </x:c>
      <x:c r="AH6422" s="87" t="str">
        <x:v>CROP_VERIFIED</x:v>
      </x:c>
      <x:c r="AI6422" s="30"/>
      <x:c r="AJ6422" s="87" t="str">
        <x:v>clean</x:v>
      </x:c>
      <x:c r="AK6422" s="87" t="str">
        <x:v>clean-v0.23</x:v>
      </x:c>
      <x:c r="AL6422" s="87" t="str">
        <x:v>statgrad_clean_continuation_v0_23(1).xlsx</x:v>
      </x:c>
      <x:c r="AM6422" s="87" t="str">
        <x:v>ENG_S26_954</x:v>
      </x:c>
      <x:c r="AN6422" s="87" t="n">
        <x:v>33</x:v>
      </x:c>
    </x:row>
    <x:row r="6423">
      <x:c r="A6423" s="87" t="n">
        <x:v>6422</x:v>
      </x:c>
      <x:c r="B6423" s="87" t="str">
        <x:v>EGKR-S26-ENG-954-33</x:v>
      </x:c>
      <x:c r="C6423" s="87" t="str">
        <x:v>ЕГКР</x:v>
      </x:c>
      <x:c r="D6423" s="87"/>
      <x:c r="E6423" s="87" t="str">
        <x:v>Весна 2026</x:v>
      </x:c>
      <x:c r="F6423" s="87" t="str">
        <x:v>14.04.2026</x:v>
      </x:c>
      <x:c r="G6423" s="87" t="str">
        <x:v>Английский язык</x:v>
      </x:c>
      <x:c r="H6423" s="87" t="n">
        <x:v>11</x:v>
      </x:c>
      <x:c r="I6423" s="87"/>
      <x:c r="J6423" s="87" t="str">
        <x:v>954</x:v>
      </x:c>
      <x:c r="K6423" s="87" t="n">
        <x:v>33</x:v>
      </x:c>
      <x:c r="L6423" s="87" t="str">
        <x:v>Lexical and grammatical multiple choice</x:v>
      </x:c>
      <x:c r="M6423" s="30" t="str">
        <x:v>Choose the correct option in the Sochi National Park text.</x:v>
      </x:c>
      <x:c r="N6423" s="30" t="str">
        <x:v>1</x:v>
      </x:c>
      <x:c r="O6423" s="30" t="str">
        <x:v>Ответ независимо проверен по тексту, грамматике и лексическому контексту.</x:v>
      </x:c>
      <x:c r="P6423" s="30"/>
      <x:c r="Q6423" s="30" t="str">
        <x:v>Полная визуальная страница + независимое решение; публичная навигационная сверка.</x:v>
      </x:c>
      <x:c r="R6423" s="30" t="str">
        <x:v>1</x:v>
      </x:c>
      <x:c r="S6423" s="30"/>
      <x:c r="T6423" s="30"/>
      <x:c r="U6423" s="30" t="str">
        <x:v>Ответник совпадает с независимой проверкой.</x:v>
      </x:c>
      <x:c r="V6423" s="87" t="str">
        <x:v>VERIFIED</x:v>
      </x:c>
      <x:c r="W6423" s="87"/>
      <x:c r="X6423" s="87" t="n">
        <x:v>7</x:v>
      </x:c>
      <x:c r="Y6423" s="87"/>
      <x:c r="Z6423" s="87"/>
      <x:c r="AA6423" s="87"/>
      <x:c r="AB6423" s="87"/>
      <x:c r="AC6423" s="87" t="str">
        <x:v>VIS-EGKR-ENG-S26-TASK-954-P007</x:v>
      </x:c>
      <x:c r="AD6423" s="87" t="str">
        <x:v>VIS-EGKR-ENG-S26-ANSWERDOC-P004; VIS-EGKR-ENG-S26-ANSWERDOC-P005</x:v>
      </x:c>
      <x:c r="AE6423" s="87" t="str">
        <x:v>TASK; SECONDARY_ANSWER_AND_MODEL_SOURCE</x:v>
      </x:c>
      <x:c r="AF6423" s="87" t="str">
        <x:v>VIS-EGKR-ENG-S26-TASK-954-P007: 7; VIS-EGKR-ENG-S26-ANSWERDOC-P004: 4; VIS-EGKR-ENG-S26-ANSWERDOC-P005: 5</x:v>
      </x:c>
      <x:c r="AG6423" s="87" t="str">
        <x:v>RESOLVED</x:v>
      </x:c>
      <x:c r="AH6423" s="87" t="str">
        <x:v>CROP_VERIFIED</x:v>
      </x:c>
      <x:c r="AI6423" s="30"/>
      <x:c r="AJ6423" s="87" t="str">
        <x:v>clean</x:v>
      </x:c>
      <x:c r="AK6423" s="87" t="str">
        <x:v>clean-v0.23</x:v>
      </x:c>
      <x:c r="AL6423" s="87" t="str">
        <x:v>statgrad_clean_continuation_v0_23(1).xlsx</x:v>
      </x:c>
      <x:c r="AM6423" s="87" t="str">
        <x:v>ENG_S26_954</x:v>
      </x:c>
      <x:c r="AN6423" s="87" t="n">
        <x:v>34</x:v>
      </x:c>
    </x:row>
    <x:row r="6424">
      <x:c r="A6424" s="87" t="n">
        <x:v>6423</x:v>
      </x:c>
      <x:c r="B6424" s="87" t="str">
        <x:v>EGKR-S26-ENG-954-34</x:v>
      </x:c>
      <x:c r="C6424" s="87" t="str">
        <x:v>ЕГКР</x:v>
      </x:c>
      <x:c r="D6424" s="87"/>
      <x:c r="E6424" s="87" t="str">
        <x:v>Весна 2026</x:v>
      </x:c>
      <x:c r="F6424" s="87" t="str">
        <x:v>14.04.2026</x:v>
      </x:c>
      <x:c r="G6424" s="87" t="str">
        <x:v>Английский язык</x:v>
      </x:c>
      <x:c r="H6424" s="87" t="n">
        <x:v>11</x:v>
      </x:c>
      <x:c r="I6424" s="87"/>
      <x:c r="J6424" s="87" t="str">
        <x:v>954</x:v>
      </x:c>
      <x:c r="K6424" s="87" t="n">
        <x:v>34</x:v>
      </x:c>
      <x:c r="L6424" s="87" t="str">
        <x:v>Lexical and grammatical multiple choice</x:v>
      </x:c>
      <x:c r="M6424" s="30" t="str">
        <x:v>Choose the correct option in the Sochi National Park text.</x:v>
      </x:c>
      <x:c r="N6424" s="30" t="str">
        <x:v>1</x:v>
      </x:c>
      <x:c r="O6424" s="30" t="str">
        <x:v>Ответ независимо проверен по тексту, грамматике и лексическому контексту.</x:v>
      </x:c>
      <x:c r="P6424" s="30"/>
      <x:c r="Q6424" s="30" t="str">
        <x:v>Полная визуальная страница + независимое решение; публичная навигационная сверка.</x:v>
      </x:c>
      <x:c r="R6424" s="30" t="str">
        <x:v>1</x:v>
      </x:c>
      <x:c r="S6424" s="30"/>
      <x:c r="T6424" s="30"/>
      <x:c r="U6424" s="30" t="str">
        <x:v>Ответник совпадает с независимой проверкой.</x:v>
      </x:c>
      <x:c r="V6424" s="87" t="str">
        <x:v>VERIFIED</x:v>
      </x:c>
      <x:c r="W6424" s="87"/>
      <x:c r="X6424" s="87" t="n">
        <x:v>7</x:v>
      </x:c>
      <x:c r="Y6424" s="87"/>
      <x:c r="Z6424" s="87"/>
      <x:c r="AA6424" s="87"/>
      <x:c r="AB6424" s="87"/>
      <x:c r="AC6424" s="87" t="str">
        <x:v>VIS-EGKR-ENG-S26-TASK-954-P007</x:v>
      </x:c>
      <x:c r="AD6424" s="87" t="str">
        <x:v>VIS-EGKR-ENG-S26-ANSWERDOC-P004; VIS-EGKR-ENG-S26-ANSWERDOC-P005</x:v>
      </x:c>
      <x:c r="AE6424" s="87" t="str">
        <x:v>TASK; SECONDARY_ANSWER_AND_MODEL_SOURCE</x:v>
      </x:c>
      <x:c r="AF6424" s="87" t="str">
        <x:v>VIS-EGKR-ENG-S26-TASK-954-P007: 7; VIS-EGKR-ENG-S26-ANSWERDOC-P004: 4; VIS-EGKR-ENG-S26-ANSWERDOC-P005: 5</x:v>
      </x:c>
      <x:c r="AG6424" s="87" t="str">
        <x:v>RESOLVED</x:v>
      </x:c>
      <x:c r="AH6424" s="87" t="str">
        <x:v>CROP_VERIFIED</x:v>
      </x:c>
      <x:c r="AI6424" s="30"/>
      <x:c r="AJ6424" s="87" t="str">
        <x:v>clean</x:v>
      </x:c>
      <x:c r="AK6424" s="87" t="str">
        <x:v>clean-v0.23</x:v>
      </x:c>
      <x:c r="AL6424" s="87" t="str">
        <x:v>statgrad_clean_continuation_v0_23(1).xlsx</x:v>
      </x:c>
      <x:c r="AM6424" s="87" t="str">
        <x:v>ENG_S26_954</x:v>
      </x:c>
      <x:c r="AN6424" s="87" t="n">
        <x:v>35</x:v>
      </x:c>
    </x:row>
    <x:row r="6425">
      <x:c r="A6425" s="87" t="n">
        <x:v>6424</x:v>
      </x:c>
      <x:c r="B6425" s="87" t="str">
        <x:v>EGKR-S26-ENG-954-35</x:v>
      </x:c>
      <x:c r="C6425" s="87" t="str">
        <x:v>ЕГКР</x:v>
      </x:c>
      <x:c r="D6425" s="87"/>
      <x:c r="E6425" s="87" t="str">
        <x:v>Весна 2026</x:v>
      </x:c>
      <x:c r="F6425" s="87" t="str">
        <x:v>14.04.2026</x:v>
      </x:c>
      <x:c r="G6425" s="87" t="str">
        <x:v>Английский язык</x:v>
      </x:c>
      <x:c r="H6425" s="87" t="n">
        <x:v>11</x:v>
      </x:c>
      <x:c r="I6425" s="87"/>
      <x:c r="J6425" s="87" t="str">
        <x:v>954</x:v>
      </x:c>
      <x:c r="K6425" s="87" t="n">
        <x:v>35</x:v>
      </x:c>
      <x:c r="L6425" s="87" t="str">
        <x:v>Lexical and grammatical multiple choice</x:v>
      </x:c>
      <x:c r="M6425" s="30" t="str">
        <x:v>Choose the correct option in the Sochi National Park text.</x:v>
      </x:c>
      <x:c r="N6425" s="30" t="str">
        <x:v>4</x:v>
      </x:c>
      <x:c r="O6425" s="30" t="str">
        <x:v>Ответ независимо проверен по тексту, грамматике и лексическому контексту.</x:v>
      </x:c>
      <x:c r="P6425" s="30"/>
      <x:c r="Q6425" s="30" t="str">
        <x:v>Полная визуальная страница + независимое решение; публичная навигационная сверка.</x:v>
      </x:c>
      <x:c r="R6425" s="30" t="str">
        <x:v>4</x:v>
      </x:c>
      <x:c r="S6425" s="30"/>
      <x:c r="T6425" s="30"/>
      <x:c r="U6425" s="30" t="str">
        <x:v>Ответник совпадает с независимой проверкой.</x:v>
      </x:c>
      <x:c r="V6425" s="87" t="str">
        <x:v>VERIFIED</x:v>
      </x:c>
      <x:c r="W6425" s="87"/>
      <x:c r="X6425" s="87" t="n">
        <x:v>7</x:v>
      </x:c>
      <x:c r="Y6425" s="87"/>
      <x:c r="Z6425" s="87"/>
      <x:c r="AA6425" s="87"/>
      <x:c r="AB6425" s="87"/>
      <x:c r="AC6425" s="87" t="str">
        <x:v>VIS-EGKR-ENG-S26-TASK-954-P007</x:v>
      </x:c>
      <x:c r="AD6425" s="87" t="str">
        <x:v>VIS-EGKR-ENG-S26-ANSWERDOC-P004; VIS-EGKR-ENG-S26-ANSWERDOC-P005</x:v>
      </x:c>
      <x:c r="AE6425" s="87" t="str">
        <x:v>TASK; SECONDARY_ANSWER_AND_MODEL_SOURCE</x:v>
      </x:c>
      <x:c r="AF6425" s="87" t="str">
        <x:v>VIS-EGKR-ENG-S26-TASK-954-P007: 7; VIS-EGKR-ENG-S26-ANSWERDOC-P004: 4; VIS-EGKR-ENG-S26-ANSWERDOC-P005: 5</x:v>
      </x:c>
      <x:c r="AG6425" s="87" t="str">
        <x:v>RESOLVED</x:v>
      </x:c>
      <x:c r="AH6425" s="87" t="str">
        <x:v>CROP_VERIFIED</x:v>
      </x:c>
      <x:c r="AI6425" s="30"/>
      <x:c r="AJ6425" s="87" t="str">
        <x:v>clean</x:v>
      </x:c>
      <x:c r="AK6425" s="87" t="str">
        <x:v>clean-v0.23</x:v>
      </x:c>
      <x:c r="AL6425" s="87" t="str">
        <x:v>statgrad_clean_continuation_v0_23(1).xlsx</x:v>
      </x:c>
      <x:c r="AM6425" s="87" t="str">
        <x:v>ENG_S26_954</x:v>
      </x:c>
      <x:c r="AN6425" s="87" t="n">
        <x:v>36</x:v>
      </x:c>
    </x:row>
    <x:row r="6426">
      <x:c r="A6426" s="87" t="n">
        <x:v>6425</x:v>
      </x:c>
      <x:c r="B6426" s="87" t="str">
        <x:v>EGKR-S26-ENG-954-36</x:v>
      </x:c>
      <x:c r="C6426" s="87" t="str">
        <x:v>ЕГКР</x:v>
      </x:c>
      <x:c r="D6426" s="87"/>
      <x:c r="E6426" s="87" t="str">
        <x:v>Весна 2026</x:v>
      </x:c>
      <x:c r="F6426" s="87" t="str">
        <x:v>14.04.2026</x:v>
      </x:c>
      <x:c r="G6426" s="87" t="str">
        <x:v>Английский язык</x:v>
      </x:c>
      <x:c r="H6426" s="87" t="n">
        <x:v>11</x:v>
      </x:c>
      <x:c r="I6426" s="87"/>
      <x:c r="J6426" s="87" t="str">
        <x:v>954</x:v>
      </x:c>
      <x:c r="K6426" s="87" t="n">
        <x:v>36</x:v>
      </x:c>
      <x:c r="L6426" s="87" t="str">
        <x:v>Lexical and grammatical multiple choice</x:v>
      </x:c>
      <x:c r="M6426" s="30" t="str">
        <x:v>Choose the correct option in the Sochi National Park text.</x:v>
      </x:c>
      <x:c r="N6426" s="30" t="str">
        <x:v>3</x:v>
      </x:c>
      <x:c r="O6426" s="30" t="str">
        <x:v>Ответ независимо проверен по тексту, грамматике и лексическому контексту.</x:v>
      </x:c>
      <x:c r="P6426" s="30"/>
      <x:c r="Q6426" s="30" t="str">
        <x:v>Полная визуальная страница + независимое решение; публичная навигационная сверка.</x:v>
      </x:c>
      <x:c r="R6426" s="30" t="str">
        <x:v>2</x:v>
      </x:c>
      <x:c r="S6426" s="30"/>
      <x:c r="T6426" s="30"/>
      <x:c r="U6426" s="30" t="str">
        <x:v>Ответник: 2; канонический ответ: 3.</x:v>
      </x:c>
      <x:c r="V6426" s="87" t="str">
        <x:v>KEY_MISMATCH</x:v>
      </x:c>
      <x:c r="W6426" s="87"/>
      <x:c r="X6426" s="87" t="n">
        <x:v>7</x:v>
      </x:c>
      <x:c r="Y6426" s="87"/>
      <x:c r="Z6426" s="87"/>
      <x:c r="AA6426" s="87"/>
      <x:c r="AB6426" s="87"/>
      <x:c r="AC6426" s="87" t="str">
        <x:v>VIS-EGKR-ENG-S26-TASK-954-P007</x:v>
      </x:c>
      <x:c r="AD6426" s="87" t="str">
        <x:v>VIS-EGKR-ENG-S26-ANSWERDOC-P004; VIS-EGKR-ENG-S26-ANSWERDOC-P005</x:v>
      </x:c>
      <x:c r="AE6426" s="87" t="str">
        <x:v>TASK; SECONDARY_ANSWER_AND_MODEL_SOURCE</x:v>
      </x:c>
      <x:c r="AF6426" s="87" t="str">
        <x:v>VIS-EGKR-ENG-S26-TASK-954-P007: 7; VIS-EGKR-ENG-S26-ANSWERDOC-P004: 4; VIS-EGKR-ENG-S26-ANSWERDOC-P005: 5</x:v>
      </x:c>
      <x:c r="AG6426" s="87" t="str">
        <x:v>RESOLVED</x:v>
      </x:c>
      <x:c r="AH6426" s="87" t="str">
        <x:v>CROP_VERIFIED</x:v>
      </x:c>
      <x:c r="AI6426" s="30"/>
      <x:c r="AJ6426" s="87" t="str">
        <x:v>clean</x:v>
      </x:c>
      <x:c r="AK6426" s="87" t="str">
        <x:v>clean-v0.23</x:v>
      </x:c>
      <x:c r="AL6426" s="87" t="str">
        <x:v>statgrad_clean_continuation_v0_23(1).xlsx</x:v>
      </x:c>
      <x:c r="AM6426" s="87" t="str">
        <x:v>ENG_S26_954</x:v>
      </x:c>
      <x:c r="AN6426" s="87" t="n">
        <x:v>37</x:v>
      </x:c>
    </x:row>
    <x:row r="6427">
      <x:c r="A6427" s="87" t="n">
        <x:v>6426</x:v>
      </x:c>
      <x:c r="B6427" s="87" t="str">
        <x:v>EGKR-S26-ENG-954-37</x:v>
      </x:c>
      <x:c r="C6427" s="87" t="str">
        <x:v>ЕГКР</x:v>
      </x:c>
      <x:c r="D6427" s="87"/>
      <x:c r="E6427" s="87" t="str">
        <x:v>Весна 2026</x:v>
      </x:c>
      <x:c r="F6427" s="87" t="str">
        <x:v>14.04.2026</x:v>
      </x:c>
      <x:c r="G6427" s="87" t="str">
        <x:v>Английский язык</x:v>
      </x:c>
      <x:c r="H6427" s="87" t="n">
        <x:v>11</x:v>
      </x:c>
      <x:c r="I6427" s="87"/>
      <x:c r="J6427" s="87" t="str">
        <x:v>954</x:v>
      </x:c>
      <x:c r="K6427" s="87" t="n">
        <x:v>37</x:v>
      </x:c>
      <x:c r="L6427" s="87" t="str">
        <x:v>Personal email</x:v>
      </x:c>
      <x:c r="M6427" s="30" t="str">
        <x:v>Write a 100–140-word email to Lucas about movies and ask three questions about the zoo.</x:v>
      </x:c>
      <x:c r="N6427" s="30" t="str">
        <x:v>Dear Lucas,
Thanks for your email. It was great to hear from you.
I prefer watching films in the cinema because the large screen and powerful sound make the experience more exciting. The Russian film that has inspired me most is Legend No. 17, as it shows how determination and hard work help people succeed. I also believe films can teach us important life lessons because we can analyse the characters’ choices and their consequences.
I have a few questions about your visit to the zoo. What animals did you see? Which animal did you like most? Did you take any photographs there?
I have to go now. Write back soon.
Best wishes,
Alex</x:v>
      </x:c>
      <x:c r="O6427" s="30" t="str">
        <x:v>Модель соответствует объёму: 114 слов.</x:v>
      </x:c>
      <x:c r="P6427" s="30"/>
      <x:c r="Q6427" s="30" t="str">
        <x:v>Проверены ответы на три вопроса, три встречных вопроса, структура и объём.</x:v>
      </x:c>
      <x:c r="R6427" s="30" t="str">
        <x:v>SOURCE_MODEL_AVAILABLE</x:v>
      </x:c>
      <x:c r="S6427" s="30"/>
      <x:c r="T6427" s="30"/>
      <x:c r="U6427" s="30" t="str">
        <x:v>Каноническая модель отредактирована для устойчивого соответствия критериям.</x:v>
      </x:c>
      <x:c r="V6427" s="87" t="str">
        <x:v>MODEL_READY</x:v>
      </x:c>
      <x:c r="W6427" s="87"/>
      <x:c r="X6427" s="87" t="n">
        <x:v>8</x:v>
      </x:c>
      <x:c r="Y6427" s="87"/>
      <x:c r="Z6427" s="87"/>
      <x:c r="AA6427" s="87"/>
      <x:c r="AB6427" s="87"/>
      <x:c r="AC6427" s="87" t="str">
        <x:v>VIS-EGKR-ENG-S26-TASK-954-P008</x:v>
      </x:c>
      <x:c r="AD6427" s="87" t="str">
        <x:v>VIS-EGKR-ENG-S26-ANSWERDOC-P004; VIS-EGKR-ENG-S26-ANSWERDOC-P005</x:v>
      </x:c>
      <x:c r="AE6427" s="87" t="str">
        <x:v>TASK; SECONDARY_ANSWER_AND_MODEL_SOURCE</x:v>
      </x:c>
      <x:c r="AF6427" s="87" t="str">
        <x:v>VIS-EGKR-ENG-S26-TASK-954-P008: 8; VIS-EGKR-ENG-S26-ANSWERDOC-P004: 4; VIS-EGKR-ENG-S26-ANSWERDOC-P005: 5</x:v>
      </x:c>
      <x:c r="AG6427" s="87" t="str">
        <x:v>RESOLVED</x:v>
      </x:c>
      <x:c r="AH6427" s="87" t="str">
        <x:v>CROP_VERIFIED</x:v>
      </x:c>
      <x:c r="AI6427" s="30"/>
      <x:c r="AJ6427" s="87" t="str">
        <x:v>clean</x:v>
      </x:c>
      <x:c r="AK6427" s="87" t="str">
        <x:v>clean-v0.23</x:v>
      </x:c>
      <x:c r="AL6427" s="87" t="str">
        <x:v>statgrad_clean_continuation_v0_23(1).xlsx</x:v>
      </x:c>
      <x:c r="AM6427" s="87" t="str">
        <x:v>ENG_S26_954</x:v>
      </x:c>
      <x:c r="AN6427" s="87" t="n">
        <x:v>38</x:v>
      </x:c>
    </x:row>
    <x:row r="6428">
      <x:c r="A6428" s="87" t="n">
        <x:v>6427</x:v>
      </x:c>
      <x:c r="B6428" s="87" t="str">
        <x:v>EGKR-S26-ENG-954-38</x:v>
      </x:c>
      <x:c r="C6428" s="87" t="str">
        <x:v>ЕГКР</x:v>
      </x:c>
      <x:c r="D6428" s="87"/>
      <x:c r="E6428" s="87" t="str">
        <x:v>Весна 2026</x:v>
      </x:c>
      <x:c r="F6428" s="87" t="str">
        <x:v>14.04.2026</x:v>
      </x:c>
      <x:c r="G6428" s="87" t="str">
        <x:v>Английский язык</x:v>
      </x:c>
      <x:c r="H6428" s="87" t="n">
        <x:v>11</x:v>
      </x:c>
      <x:c r="I6428" s="87"/>
      <x:c r="J6428" s="87" t="str">
        <x:v>954</x:v>
      </x:c>
      <x:c r="K6428" s="87" t="n">
        <x:v>38</x:v>
      </x:c>
      <x:c r="L6428" s="87" t="str">
        <x:v>Project essay (choose 38.1 or 38.2)</x:v>
      </x:c>
      <x:c r="M6428" s="30" t="str">
        <x:v>Choose 38.1 (winter sports) or 38.2 (refusing social media); write 200–250 words.</x:v>
      </x:c>
      <x:c r="N6428" s="30" t="str">
        <x:v>Две рабочие модели: 38.1 и 38.2; см. ENG_S26_Writing_Models.</x:v>
      </x:c>
      <x:c r="O6428" s="30" t="str">
        <x:v>Обе модели выдерживают объём 200–250 слов и следуют плану задания.</x:v>
      </x:c>
      <x:c r="P6428" s="30"/>
      <x:c r="Q6428" s="30" t="str">
        <x:v>Проверены факты, сравнение, проблема/решение, мнение и объём.</x:v>
      </x:c>
      <x:c r="R6428" s="30" t="str">
        <x:v>SOURCE_MODEL_38.1_ONLY</x:v>
      </x:c>
      <x:c r="S6428" s="30"/>
      <x:c r="T6428" s="30"/>
      <x:c r="U6428" s="30" t="str">
        <x:v>В DOCX была только модель 38.1; модель 38.2 подготовлена независимо.</x:v>
      </x:c>
      <x:c r="V6428" s="87" t="str">
        <x:v>MODEL_READY</x:v>
      </x:c>
      <x:c r="W6428" s="87"/>
      <x:c r="X6428" s="87" t="n">
        <x:v>8</x:v>
      </x:c>
      <x:c r="Y6428" s="87"/>
      <x:c r="Z6428" s="87"/>
      <x:c r="AA6428" s="87"/>
      <x:c r="AB6428" s="87"/>
      <x:c r="AC6428" s="87" t="str">
        <x:v>VIS-EGKR-ENG-S26-TASK-954-P008</x:v>
      </x:c>
      <x:c r="AD6428" s="87" t="str">
        <x:v>VIS-EGKR-ENG-S26-TASK-954-P008; VIS-EGKR-ENG-S26-TASK-954-P009</x:v>
      </x:c>
      <x:c r="AE6428" s="87" t="str">
        <x:v>TASK</x:v>
      </x:c>
      <x:c r="AF6428" s="87" t="str">
        <x:v>VIS-EGKR-ENG-S26-TASK-954-P008: 8; VIS-EGKR-ENG-S26-TASK-954-P009: 9</x:v>
      </x:c>
      <x:c r="AG6428" s="87" t="str">
        <x:v>RESOLVED</x:v>
      </x:c>
      <x:c r="AH6428" s="87" t="str">
        <x:v>CROP_VERIFIED</x:v>
      </x:c>
      <x:c r="AI6428" s="30"/>
      <x:c r="AJ6428" s="87" t="str">
        <x:v>clean</x:v>
      </x:c>
      <x:c r="AK6428" s="87" t="str">
        <x:v>clean-v0.23</x:v>
      </x:c>
      <x:c r="AL6428" s="87" t="str">
        <x:v>statgrad_clean_continuation_v0_23(1).xlsx</x:v>
      </x:c>
      <x:c r="AM6428" s="87" t="str">
        <x:v>ENG_S26_954</x:v>
      </x:c>
      <x:c r="AN6428" s="87" t="n">
        <x:v>39</x:v>
      </x:c>
    </x:row>
    <x:row r="6429">
      <x:c r="A6429" s="87" t="n">
        <x:v>6428</x:v>
      </x:c>
      <x:c r="B6429" s="87" t="str">
        <x:v>EGKR-S26-BIO-954-01</x:v>
      </x:c>
      <x:c r="C6429" s="87" t="str">
        <x:v>ЕГКР</x:v>
      </x:c>
      <x:c r="D6429" s="87"/>
      <x:c r="E6429" s="87" t="str">
        <x:v>Весна 2026</x:v>
      </x:c>
      <x:c r="F6429" s="87" t="str">
        <x:v>14.04.2026</x:v>
      </x:c>
      <x:c r="G6429" s="87" t="str">
        <x:v>Биология</x:v>
      </x:c>
      <x:c r="H6429" s="87" t="n">
        <x:v>11</x:v>
      </x:c>
      <x:c r="I6429" s="87"/>
      <x:c r="J6429" s="87" t="str">
        <x:v>954</x:v>
      </x:c>
      <x:c r="K6429" s="87" t="n">
        <x:v>1</x:v>
      </x:c>
      <x:c r="L6429" s="87" t="str">
        <x:v>Биологический термин</x:v>
      </x:c>
      <x:c r="M6429" s="30" t="str">
        <x:v>Определить пропущенный метод осаждения клеточных структур по плотности.</x:v>
      </x:c>
      <x:c r="N6429" s="30" t="str">
        <x:v>ЦЕНТРИФУГИРОВАНИЕ</x:v>
      </x:c>
      <x:c r="O6429" s="30" t="str">
        <x:v>Осаждение структур разной плотности выполняют центрифугированием.</x:v>
      </x:c>
      <x:c r="P6429" s="30"/>
      <x:c r="Q6429" s="30" t="str">
        <x:v>Исходная скан-страница + независимое решение + сверка с задачей банка.</x:v>
      </x:c>
      <x:c r="R6429" s="30"/>
      <x:c r="S6429" s="30" t="str">
        <x:v>https://neofamily.ru/biologiya/task-bank/81375</x:v>
      </x:c>
      <x:c r="T6429" s="30"/>
      <x:c r="U6429" s="30" t="str">
        <x:v>Расхождений не выявлено.</x:v>
      </x:c>
      <x:c r="V6429" s="87" t="str">
        <x:v>VERIFIED</x:v>
      </x:c>
      <x:c r="W6429" s="87"/>
      <x:c r="X6429" s="87" t="n">
        <x:v>1</x:v>
      </x:c>
      <x:c r="Y6429" s="87"/>
      <x:c r="Z6429" s="87"/>
      <x:c r="AA6429" s="87"/>
      <x:c r="AB6429" s="87"/>
      <x:c r="AC6429" s="87" t="str">
        <x:v>VIS-EGKR-BIO-S26-TASK-954-P001</x:v>
      </x:c>
      <x:c r="AD6429" s="87" t="str">
        <x:v>https://neofamily.ru/biologiya/task-bank/81375</x:v>
      </x:c>
      <x:c r="AE6429" s="87" t="str">
        <x:v>TASK</x:v>
      </x:c>
      <x:c r="AF6429" s="87" t="str">
        <x:v>VIS-EGKR-BIO-S26-TASK-954-P001: 1</x:v>
      </x:c>
      <x:c r="AG6429" s="87" t="str">
        <x:v>RESOLVED</x:v>
      </x:c>
      <x:c r="AH6429" s="87" t="str">
        <x:v>CROP_VERIFIED</x:v>
      </x:c>
      <x:c r="AI6429" s="30"/>
      <x:c r="AJ6429" s="87" t="str">
        <x:v>clean</x:v>
      </x:c>
      <x:c r="AK6429" s="87" t="str">
        <x:v>clean-v0.24</x:v>
      </x:c>
      <x:c r="AL6429" s="87" t="str">
        <x:v>statgrad_clean_continuation_v0_24(1).xlsx</x:v>
      </x:c>
      <x:c r="AM6429" s="87" t="str">
        <x:v>BIO_EGKR_S26_954</x:v>
      </x:c>
      <x:c r="AN6429" s="87" t="n">
        <x:v>2</x:v>
      </x:c>
    </x:row>
    <x:row r="6430">
      <x:c r="A6430" s="87" t="n">
        <x:v>6429</x:v>
      </x:c>
      <x:c r="B6430" s="87" t="str">
        <x:v>EGKR-S26-BIO-954-02</x:v>
      </x:c>
      <x:c r="C6430" s="87" t="str">
        <x:v>ЕГКР</x:v>
      </x:c>
      <x:c r="D6430" s="87"/>
      <x:c r="E6430" s="87" t="str">
        <x:v>Весна 2026</x:v>
      </x:c>
      <x:c r="F6430" s="87" t="str">
        <x:v>14.04.2026</x:v>
      </x:c>
      <x:c r="G6430" s="87" t="str">
        <x:v>Биология</x:v>
      </x:c>
      <x:c r="H6430" s="87" t="n">
        <x:v>11</x:v>
      </x:c>
      <x:c r="I6430" s="87"/>
      <x:c r="J6430" s="87" t="str">
        <x:v>954</x:v>
      </x:c>
      <x:c r="K6430" s="87" t="n">
        <x:v>2</x:v>
      </x:c>
      <x:c r="L6430" s="87" t="str">
        <x:v>Эксперимент и изменение величин</x:v>
      </x:c>
      <x:c r="M6430" s="30" t="str">
        <x:v>Определить изменение длины сердцевинных лучей и толщины древесины липы за год.</x:v>
      </x:c>
      <x:c r="N6430" s="30" t="str">
        <x:v>11</x:v>
      </x:c>
      <x:c r="O6430" s="30" t="str">
        <x:v>Обе указанные величины за период наблюдения увеличиваются.</x:v>
      </x:c>
      <x:c r="P6430" s="30"/>
      <x:c r="Q6430" s="30" t="str">
        <x:v>Исходная скан-страница + независимое решение + сверка с задачей банка.</x:v>
      </x:c>
      <x:c r="R6430" s="30"/>
      <x:c r="S6430" s="30" t="str">
        <x:v>https://neofamily.ru/biologiya/task-bank/81376</x:v>
      </x:c>
      <x:c r="T6430" s="30"/>
      <x:c r="U6430" s="30" t="str">
        <x:v>Расхождений не выявлено.</x:v>
      </x:c>
      <x:c r="V6430" s="87" t="str">
        <x:v>VERIFIED</x:v>
      </x:c>
      <x:c r="W6430" s="87"/>
      <x:c r="X6430" s="87" t="n">
        <x:v>2</x:v>
      </x:c>
      <x:c r="Y6430" s="87"/>
      <x:c r="Z6430" s="87"/>
      <x:c r="AA6430" s="87"/>
      <x:c r="AB6430" s="87"/>
      <x:c r="AC6430" s="87" t="str">
        <x:v>VIS-EGKR-BIO-S26-TASK-954-P002</x:v>
      </x:c>
      <x:c r="AD6430" s="87" t="str">
        <x:v>https://neofamily.ru/biologiya/task-bank/81376</x:v>
      </x:c>
      <x:c r="AE6430" s="87" t="str">
        <x:v>TASK</x:v>
      </x:c>
      <x:c r="AF6430" s="87" t="str">
        <x:v>VIS-EGKR-BIO-S26-TASK-954-P002: 2</x:v>
      </x:c>
      <x:c r="AG6430" s="87" t="str">
        <x:v>RESOLVED</x:v>
      </x:c>
      <x:c r="AH6430" s="87" t="str">
        <x:v>CROP_VERIFIED</x:v>
      </x:c>
      <x:c r="AI6430" s="30"/>
      <x:c r="AJ6430" s="87" t="str">
        <x:v>clean</x:v>
      </x:c>
      <x:c r="AK6430" s="87" t="str">
        <x:v>clean-v0.24</x:v>
      </x:c>
      <x:c r="AL6430" s="87" t="str">
        <x:v>statgrad_clean_continuation_v0_24(1).xlsx</x:v>
      </x:c>
      <x:c r="AM6430" s="87" t="str">
        <x:v>BIO_EGKR_S26_954</x:v>
      </x:c>
      <x:c r="AN6430" s="87" t="n">
        <x:v>3</x:v>
      </x:c>
    </x:row>
    <x:row r="6431">
      <x:c r="A6431" s="87" t="n">
        <x:v>6430</x:v>
      </x:c>
      <x:c r="B6431" s="87" t="str">
        <x:v>EGKR-S26-BIO-954-03</x:v>
      </x:c>
      <x:c r="C6431" s="87" t="str">
        <x:v>ЕГКР</x:v>
      </x:c>
      <x:c r="D6431" s="87"/>
      <x:c r="E6431" s="87" t="str">
        <x:v>Весна 2026</x:v>
      </x:c>
      <x:c r="F6431" s="87" t="str">
        <x:v>14.04.2026</x:v>
      </x:c>
      <x:c r="G6431" s="87" t="str">
        <x:v>Биология</x:v>
      </x:c>
      <x:c r="H6431" s="87" t="n">
        <x:v>11</x:v>
      </x:c>
      <x:c r="I6431" s="87"/>
      <x:c r="J6431" s="87" t="str">
        <x:v>954</x:v>
      </x:c>
      <x:c r="K6431" s="87" t="n">
        <x:v>3</x:v>
      </x:c>
      <x:c r="L6431" s="87" t="str">
        <x:v>Расчётная биологическая задача</x:v>
      </x:c>
      <x:c r="M6431" s="30" t="str">
        <x:v>Рассчитать число аминокислот, закодированных фрагментом гена из 81 нуклеотида.</x:v>
      </x:c>
      <x:c r="N6431" s="30" t="str">
        <x:v>27</x:v>
      </x:c>
      <x:c r="O6431" s="30" t="str">
        <x:v>81 нуклеотид / 3 = 27 кодонов и аминокислот в условии без стоп-кодона.</x:v>
      </x:c>
      <x:c r="P6431" s="30"/>
      <x:c r="Q6431" s="30" t="str">
        <x:v>Исходная скан-страница + независимое решение + сверка с задачей банка.</x:v>
      </x:c>
      <x:c r="R6431" s="30"/>
      <x:c r="S6431" s="30" t="str">
        <x:v>https://neofamily.ru/biologiya/task-bank/81377</x:v>
      </x:c>
      <x:c r="T6431" s="30"/>
      <x:c r="U6431" s="30" t="str">
        <x:v>Расхождений не выявлено.</x:v>
      </x:c>
      <x:c r="V6431" s="87" t="str">
        <x:v>VERIFIED</x:v>
      </x:c>
      <x:c r="W6431" s="87"/>
      <x:c r="X6431" s="87" t="n">
        <x:v>2</x:v>
      </x:c>
      <x:c r="Y6431" s="87"/>
      <x:c r="Z6431" s="87"/>
      <x:c r="AA6431" s="87"/>
      <x:c r="AB6431" s="87"/>
      <x:c r="AC6431" s="87" t="str">
        <x:v>VIS-EGKR-BIO-S26-TASK-954-P002</x:v>
      </x:c>
      <x:c r="AD6431" s="87" t="str">
        <x:v>https://neofamily.ru/biologiya/task-bank/81377</x:v>
      </x:c>
      <x:c r="AE6431" s="87" t="str">
        <x:v>TASK</x:v>
      </x:c>
      <x:c r="AF6431" s="87" t="str">
        <x:v>VIS-EGKR-BIO-S26-TASK-954-P002: 2</x:v>
      </x:c>
      <x:c r="AG6431" s="87" t="str">
        <x:v>RESOLVED</x:v>
      </x:c>
      <x:c r="AH6431" s="87" t="str">
        <x:v>CROP_VERIFIED</x:v>
      </x:c>
      <x:c r="AI6431" s="30"/>
      <x:c r="AJ6431" s="87" t="str">
        <x:v>clean</x:v>
      </x:c>
      <x:c r="AK6431" s="87" t="str">
        <x:v>clean-v0.24</x:v>
      </x:c>
      <x:c r="AL6431" s="87" t="str">
        <x:v>statgrad_clean_continuation_v0_24(1).xlsx</x:v>
      </x:c>
      <x:c r="AM6431" s="87" t="str">
        <x:v>BIO_EGKR_S26_954</x:v>
      </x:c>
      <x:c r="AN6431" s="87" t="n">
        <x:v>4</x:v>
      </x:c>
    </x:row>
    <x:row r="6432">
      <x:c r="A6432" s="87" t="n">
        <x:v>6431</x:v>
      </x:c>
      <x:c r="B6432" s="87" t="str">
        <x:v>EGKR-S26-BIO-954-04</x:v>
      </x:c>
      <x:c r="C6432" s="87" t="str">
        <x:v>ЕГКР</x:v>
      </x:c>
      <x:c r="D6432" s="87"/>
      <x:c r="E6432" s="87" t="str">
        <x:v>Весна 2026</x:v>
      </x:c>
      <x:c r="F6432" s="87" t="str">
        <x:v>14.04.2026</x:v>
      </x:c>
      <x:c r="G6432" s="87" t="str">
        <x:v>Биология</x:v>
      </x:c>
      <x:c r="H6432" s="87" t="n">
        <x:v>11</x:v>
      </x:c>
      <x:c r="I6432" s="87"/>
      <x:c r="J6432" s="87" t="str">
        <x:v>954</x:v>
      </x:c>
      <x:c r="K6432" s="87" t="n">
        <x:v>4</x:v>
      </x:c>
      <x:c r="L6432" s="87" t="str">
        <x:v>Генетическая задача с кратким ответом</x:v>
      </x:c>
      <x:c r="M6432" s="30" t="str">
        <x:v>Определить вероятность рецессивного потомства при анализирующем скрещивании гомозиготы.</x:v>
      </x:c>
      <x:c r="N6432" s="30" t="str">
        <x:v>0</x:v>
      </x:c>
      <x:c r="O6432" s="30" t="str">
        <x:v>Гомозиготная доминантная особь не образует рецессивного потомства в анализирующем скрещивании.</x:v>
      </x:c>
      <x:c r="P6432" s="30"/>
      <x:c r="Q6432" s="30" t="str">
        <x:v>Исходная скан-страница + независимое решение + сверка с задачей банка.</x:v>
      </x:c>
      <x:c r="R6432" s="30"/>
      <x:c r="S6432" s="30" t="str">
        <x:v>https://neofamily.ru/biologiya/task-bank/81378</x:v>
      </x:c>
      <x:c r="T6432" s="30"/>
      <x:c r="U6432" s="30" t="str">
        <x:v>Расхождений не выявлено.</x:v>
      </x:c>
      <x:c r="V6432" s="87" t="str">
        <x:v>VERIFIED</x:v>
      </x:c>
      <x:c r="W6432" s="87"/>
      <x:c r="X6432" s="87" t="n">
        <x:v>2</x:v>
      </x:c>
      <x:c r="Y6432" s="87"/>
      <x:c r="Z6432" s="87"/>
      <x:c r="AA6432" s="87"/>
      <x:c r="AB6432" s="87"/>
      <x:c r="AC6432" s="87" t="str">
        <x:v>VIS-EGKR-BIO-S26-TASK-954-P002</x:v>
      </x:c>
      <x:c r="AD6432" s="87" t="str">
        <x:v>https://neofamily.ru/biologiya/task-bank/81378</x:v>
      </x:c>
      <x:c r="AE6432" s="87" t="str">
        <x:v>TASK</x:v>
      </x:c>
      <x:c r="AF6432" s="87" t="str">
        <x:v>VIS-EGKR-BIO-S26-TASK-954-P002: 2</x:v>
      </x:c>
      <x:c r="AG6432" s="87" t="str">
        <x:v>RESOLVED</x:v>
      </x:c>
      <x:c r="AH6432" s="87" t="str">
        <x:v>CROP_VERIFIED</x:v>
      </x:c>
      <x:c r="AI6432" s="30"/>
      <x:c r="AJ6432" s="87" t="str">
        <x:v>clean</x:v>
      </x:c>
      <x:c r="AK6432" s="87" t="str">
        <x:v>clean-v0.24</x:v>
      </x:c>
      <x:c r="AL6432" s="87" t="str">
        <x:v>statgrad_clean_continuation_v0_24(1).xlsx</x:v>
      </x:c>
      <x:c r="AM6432" s="87" t="str">
        <x:v>BIO_EGKR_S26_954</x:v>
      </x:c>
      <x:c r="AN6432" s="87" t="n">
        <x:v>5</x:v>
      </x:c>
    </x:row>
    <x:row r="6433">
      <x:c r="A6433" s="87" t="n">
        <x:v>6432</x:v>
      </x:c>
      <x:c r="B6433" s="87" t="str">
        <x:v>EGKR-S26-BIO-954-05</x:v>
      </x:c>
      <x:c r="C6433" s="87" t="str">
        <x:v>ЕГКР</x:v>
      </x:c>
      <x:c r="D6433" s="87"/>
      <x:c r="E6433" s="87" t="str">
        <x:v>Весна 2026</x:v>
      </x:c>
      <x:c r="F6433" s="87" t="str">
        <x:v>14.04.2026</x:v>
      </x:c>
      <x:c r="G6433" s="87" t="str">
        <x:v>Биология</x:v>
      </x:c>
      <x:c r="H6433" s="87" t="n">
        <x:v>11</x:v>
      </x:c>
      <x:c r="I6433" s="87"/>
      <x:c r="J6433" s="87" t="str">
        <x:v>954</x:v>
      </x:c>
      <x:c r="K6433" s="87" t="n">
        <x:v>5</x:v>
      </x:c>
      <x:c r="L6433" s="87" t="str">
        <x:v>Распознавание структуры на рисунке</x:v>
      </x:c>
      <x:c r="M6433" s="30" t="str">
        <x:v>Определить оогоний на схеме овогенеза.</x:v>
      </x:c>
      <x:c r="N6433" s="30" t="str">
        <x:v>5</x:v>
      </x:c>
      <x:c r="O6433" s="30" t="str">
        <x:v>На схеме оогоний обозначен цифрой 5.</x:v>
      </x:c>
      <x:c r="P6433" s="30"/>
      <x:c r="Q6433" s="30" t="str">
        <x:v>Исходная скан-страница + независимое решение + сверка с задачей банка.</x:v>
      </x:c>
      <x:c r="R6433" s="30"/>
      <x:c r="S6433" s="30" t="str">
        <x:v>https://neofamily.ru/biologiya/task-bank/81379</x:v>
      </x:c>
      <x:c r="T6433" s="30"/>
      <x:c r="U6433" s="30" t="str">
        <x:v>Расхождений не выявлено.</x:v>
      </x:c>
      <x:c r="V6433" s="87" t="str">
        <x:v>VERIFIED</x:v>
      </x:c>
      <x:c r="W6433" s="87"/>
      <x:c r="X6433" s="87" t="n">
        <x:v>2</x:v>
      </x:c>
      <x:c r="Y6433" s="87"/>
      <x:c r="Z6433" s="87"/>
      <x:c r="AA6433" s="87"/>
      <x:c r="AB6433" s="87"/>
      <x:c r="AC6433" s="87" t="str">
        <x:v>VIS-EGKR-BIO-S26-TASK-954-P002</x:v>
      </x:c>
      <x:c r="AD6433" s="87" t="str">
        <x:v>https://neofamily.ru/biologiya/task-bank/81379</x:v>
      </x:c>
      <x:c r="AE6433" s="87" t="str">
        <x:v>TASK</x:v>
      </x:c>
      <x:c r="AF6433" s="87" t="str">
        <x:v>VIS-EGKR-BIO-S26-TASK-954-P002: 2</x:v>
      </x:c>
      <x:c r="AG6433" s="87" t="str">
        <x:v>RESOLVED</x:v>
      </x:c>
      <x:c r="AH6433" s="87" t="str">
        <x:v>CROP_VERIFIED; TASK_CROP_QA_APPROVED:USE_TIGHT</x:v>
      </x:c>
      <x:c r="AI6433" s="30"/>
      <x:c r="AJ6433" s="87" t="str">
        <x:v>clean</x:v>
      </x:c>
      <x:c r="AK6433" s="87" t="str">
        <x:v>clean-v0.24</x:v>
      </x:c>
      <x:c r="AL6433" s="87" t="str">
        <x:v>statgrad_clean_continuation_v0_24(1).xlsx</x:v>
      </x:c>
      <x:c r="AM6433" s="87" t="str">
        <x:v>BIO_EGKR_S26_954</x:v>
      </x:c>
      <x:c r="AN6433" s="87" t="n">
        <x:v>6</x:v>
      </x:c>
    </x:row>
    <x:row r="6434">
      <x:c r="A6434" s="87" t="n">
        <x:v>6433</x:v>
      </x:c>
      <x:c r="B6434" s="87" t="str">
        <x:v>EGKR-S26-BIO-954-06</x:v>
      </x:c>
      <x:c r="C6434" s="87" t="str">
        <x:v>ЕГКР</x:v>
      </x:c>
      <x:c r="D6434" s="87"/>
      <x:c r="E6434" s="87" t="str">
        <x:v>Весна 2026</x:v>
      </x:c>
      <x:c r="F6434" s="87" t="str">
        <x:v>14.04.2026</x:v>
      </x:c>
      <x:c r="G6434" s="87" t="str">
        <x:v>Биология</x:v>
      </x:c>
      <x:c r="H6434" s="87" t="n">
        <x:v>11</x:v>
      </x:c>
      <x:c r="I6434" s="87"/>
      <x:c r="J6434" s="87" t="str">
        <x:v>954</x:v>
      </x:c>
      <x:c r="K6434" s="87" t="n">
        <x:v>6</x:v>
      </x:c>
      <x:c r="L6434" s="87" t="str">
        <x:v>Установление соответствия</x:v>
      </x:c>
      <x:c r="M6434" s="30" t="str">
        <x:v>Соотнести этапы овогенеза с биологическими характеристиками.</x:v>
      </x:c>
      <x:c r="N6434" s="30" t="str">
        <x:v>212132</x:v>
      </x:c>
      <x:c r="O6434" s="30" t="str">
        <x:v>Характеристики этапов овогенеза дают последовательность 212132.</x:v>
      </x:c>
      <x:c r="P6434" s="30"/>
      <x:c r="Q6434" s="30" t="str">
        <x:v>Исходная скан-страница + независимое решение + сверка с задачей банка.</x:v>
      </x:c>
      <x:c r="R6434" s="30"/>
      <x:c r="S6434" s="30" t="str">
        <x:v>https://neofamily.ru/biologiya/task-bank/81380</x:v>
      </x:c>
      <x:c r="T6434" s="30"/>
      <x:c r="U6434" s="30" t="str">
        <x:v>Расхождений не выявлено.</x:v>
      </x:c>
      <x:c r="V6434" s="87" t="str">
        <x:v>VERIFIED</x:v>
      </x:c>
      <x:c r="W6434" s="87"/>
      <x:c r="X6434" s="87" t="n">
        <x:v>2</x:v>
      </x:c>
      <x:c r="Y6434" s="87"/>
      <x:c r="Z6434" s="87"/>
      <x:c r="AA6434" s="87"/>
      <x:c r="AB6434" s="87"/>
      <x:c r="AC6434" s="87" t="str">
        <x:v>VIS-EGKR-BIO-S26-TASK-954-P002</x:v>
      </x:c>
      <x:c r="AD6434" s="87" t="str">
        <x:v>https://neofamily.ru/biologiya/task-bank/81380</x:v>
      </x:c>
      <x:c r="AE6434" s="87" t="str">
        <x:v>TASK</x:v>
      </x:c>
      <x:c r="AF6434" s="87" t="str">
        <x:v>VIS-EGKR-BIO-S26-TASK-954-P002: 2</x:v>
      </x:c>
      <x:c r="AG6434" s="87" t="str">
        <x:v>RESOLVED</x:v>
      </x:c>
      <x:c r="AH6434" s="87" t="str">
        <x:v>CROP_VERIFIED</x:v>
      </x:c>
      <x:c r="AI6434" s="30"/>
      <x:c r="AJ6434" s="87" t="str">
        <x:v>clean</x:v>
      </x:c>
      <x:c r="AK6434" s="87" t="str">
        <x:v>clean-v0.24</x:v>
      </x:c>
      <x:c r="AL6434" s="87" t="str">
        <x:v>statgrad_clean_continuation_v0_24(1).xlsx</x:v>
      </x:c>
      <x:c r="AM6434" s="87" t="str">
        <x:v>BIO_EGKR_S26_954</x:v>
      </x:c>
      <x:c r="AN6434" s="87" t="n">
        <x:v>7</x:v>
      </x:c>
    </x:row>
    <x:row r="6435">
      <x:c r="A6435" s="87" t="n">
        <x:v>6434</x:v>
      </x:c>
      <x:c r="B6435" s="87" t="str">
        <x:v>EGKR-S26-BIO-954-07</x:v>
      </x:c>
      <x:c r="C6435" s="87" t="str">
        <x:v>ЕГКР</x:v>
      </x:c>
      <x:c r="D6435" s="87"/>
      <x:c r="E6435" s="87" t="str">
        <x:v>Весна 2026</x:v>
      </x:c>
      <x:c r="F6435" s="87" t="str">
        <x:v>14.04.2026</x:v>
      </x:c>
      <x:c r="G6435" s="87" t="str">
        <x:v>Биология</x:v>
      </x:c>
      <x:c r="H6435" s="87" t="n">
        <x:v>11</x:v>
      </x:c>
      <x:c r="I6435" s="87"/>
      <x:c r="J6435" s="87" t="str">
        <x:v>954</x:v>
      </x:c>
      <x:c r="K6435" s="87" t="n">
        <x:v>7</x:v>
      </x:c>
      <x:c r="L6435" s="87" t="str">
        <x:v>Множественный выбор</x:v>
      </x:c>
      <x:c r="M6435" s="30" t="str">
        <x:v>Выбрать верные подписи к строению хлоропласта.</x:v>
      </x:c>
      <x:c r="N6435" s="30" t="str">
        <x:v>135</x:v>
      </x:c>
      <x:c r="O6435" s="30" t="str">
        <x:v>Верные элементы строения хлоропласта обозначены 1, 3 и 5.</x:v>
      </x:c>
      <x:c r="P6435" s="30"/>
      <x:c r="Q6435" s="30" t="str">
        <x:v>Исходная скан-страница + независимое решение + сверка с задачей банка.</x:v>
      </x:c>
      <x:c r="R6435" s="30"/>
      <x:c r="S6435" s="30" t="str">
        <x:v>https://neofamily.ru/biologiya/task-bank/69144</x:v>
      </x:c>
      <x:c r="T6435" s="30"/>
      <x:c r="U6435" s="30" t="str">
        <x:v>Расхождений не выявлено.</x:v>
      </x:c>
      <x:c r="V6435" s="87" t="str">
        <x:v>VERIFIED</x:v>
      </x:c>
      <x:c r="W6435" s="87"/>
      <x:c r="X6435" s="87" t="n">
        <x:v>3</x:v>
      </x:c>
      <x:c r="Y6435" s="87"/>
      <x:c r="Z6435" s="87"/>
      <x:c r="AA6435" s="87"/>
      <x:c r="AB6435" s="87"/>
      <x:c r="AC6435" s="87" t="str">
        <x:v>VIS-EGKR-BIO-S26-TASK-954-P003</x:v>
      </x:c>
      <x:c r="AD6435" s="87" t="str">
        <x:v>https://neofamily.ru/biologiya/task-bank/69144</x:v>
      </x:c>
      <x:c r="AE6435" s="87" t="str">
        <x:v>TASK</x:v>
      </x:c>
      <x:c r="AF6435" s="87" t="str">
        <x:v>VIS-EGKR-BIO-S26-TASK-954-P003: 3</x:v>
      </x:c>
      <x:c r="AG6435" s="87" t="str">
        <x:v>RESOLVED</x:v>
      </x:c>
      <x:c r="AH6435" s="87" t="str">
        <x:v>CROP_VERIFIED</x:v>
      </x:c>
      <x:c r="AI6435" s="30"/>
      <x:c r="AJ6435" s="87" t="str">
        <x:v>clean</x:v>
      </x:c>
      <x:c r="AK6435" s="87" t="str">
        <x:v>clean-v0.24</x:v>
      </x:c>
      <x:c r="AL6435" s="87" t="str">
        <x:v>statgrad_clean_continuation_v0_24(1).xlsx</x:v>
      </x:c>
      <x:c r="AM6435" s="87" t="str">
        <x:v>BIO_EGKR_S26_954</x:v>
      </x:c>
      <x:c r="AN6435" s="87" t="n">
        <x:v>8</x:v>
      </x:c>
    </x:row>
    <x:row r="6436">
      <x:c r="A6436" s="87" t="n">
        <x:v>6435</x:v>
      </x:c>
      <x:c r="B6436" s="87" t="str">
        <x:v>EGKR-S26-BIO-954-08</x:v>
      </x:c>
      <x:c r="C6436" s="87" t="str">
        <x:v>ЕГКР</x:v>
      </x:c>
      <x:c r="D6436" s="87"/>
      <x:c r="E6436" s="87" t="str">
        <x:v>Весна 2026</x:v>
      </x:c>
      <x:c r="F6436" s="87" t="str">
        <x:v>14.04.2026</x:v>
      </x:c>
      <x:c r="G6436" s="87" t="str">
        <x:v>Биология</x:v>
      </x:c>
      <x:c r="H6436" s="87" t="n">
        <x:v>11</x:v>
      </x:c>
      <x:c r="I6436" s="87"/>
      <x:c r="J6436" s="87" t="str">
        <x:v>954</x:v>
      </x:c>
      <x:c r="K6436" s="87" t="n">
        <x:v>8</x:v>
      </x:c>
      <x:c r="L6436" s="87" t="str">
        <x:v>Последовательность биологического процесса</x:v>
      </x:c>
      <x:c r="M6436" s="30" t="str">
        <x:v>Установить последовательность процессов фотосинтеза.</x:v>
      </x:c>
      <x:c r="N6436" s="30" t="str">
        <x:v>42351</x:v>
      </x:c>
      <x:c r="O6436" s="30" t="str">
        <x:v>Сначала свет попадает на хлорофилл, затем возбуждаются электроны, синтезируется АТФ, фиксируется CO₂ и образуется глюкоза.</x:v>
      </x:c>
      <x:c r="P6436" s="30"/>
      <x:c r="Q6436" s="30" t="str">
        <x:v>Исходная скан-страница + независимое решение + сверка с задачей банка.</x:v>
      </x:c>
      <x:c r="R6436" s="30"/>
      <x:c r="S6436" s="30" t="str">
        <x:v>https://neofamily.ru/biologiya/task-bank/81381</x:v>
      </x:c>
      <x:c r="T6436" s="30"/>
      <x:c r="U6436" s="30" t="str">
        <x:v>Расхождений не выявлено.</x:v>
      </x:c>
      <x:c r="V6436" s="87" t="str">
        <x:v>VERIFIED</x:v>
      </x:c>
      <x:c r="W6436" s="87"/>
      <x:c r="X6436" s="87" t="n">
        <x:v>3</x:v>
      </x:c>
      <x:c r="Y6436" s="87"/>
      <x:c r="Z6436" s="87"/>
      <x:c r="AA6436" s="87"/>
      <x:c r="AB6436" s="87"/>
      <x:c r="AC6436" s="87" t="str">
        <x:v>VIS-EGKR-BIO-S26-TASK-954-P003</x:v>
      </x:c>
      <x:c r="AD6436" s="87" t="str">
        <x:v>https://neofamily.ru/biologiya/task-bank/81381</x:v>
      </x:c>
      <x:c r="AE6436" s="87" t="str">
        <x:v>TASK</x:v>
      </x:c>
      <x:c r="AF6436" s="87" t="str">
        <x:v>VIS-EGKR-BIO-S26-TASK-954-P003: 3</x:v>
      </x:c>
      <x:c r="AG6436" s="87" t="str">
        <x:v>RESOLVED</x:v>
      </x:c>
      <x:c r="AH6436" s="87" t="str">
        <x:v>CROP_VERIFIED</x:v>
      </x:c>
      <x:c r="AI6436" s="30"/>
      <x:c r="AJ6436" s="87" t="str">
        <x:v>clean</x:v>
      </x:c>
      <x:c r="AK6436" s="87" t="str">
        <x:v>clean-v0.24</x:v>
      </x:c>
      <x:c r="AL6436" s="87" t="str">
        <x:v>statgrad_clean_continuation_v0_24(1).xlsx</x:v>
      </x:c>
      <x:c r="AM6436" s="87" t="str">
        <x:v>BIO_EGKR_S26_954</x:v>
      </x:c>
      <x:c r="AN6436" s="87" t="n">
        <x:v>9</x:v>
      </x:c>
    </x:row>
    <x:row r="6437">
      <x:c r="A6437" s="87" t="n">
        <x:v>6436</x:v>
      </x:c>
      <x:c r="B6437" s="87" t="str">
        <x:v>EGKR-S26-BIO-954-09</x:v>
      </x:c>
      <x:c r="C6437" s="87" t="str">
        <x:v>ЕГКР</x:v>
      </x:c>
      <x:c r="D6437" s="87"/>
      <x:c r="E6437" s="87" t="str">
        <x:v>Весна 2026</x:v>
      </x:c>
      <x:c r="F6437" s="87" t="str">
        <x:v>14.04.2026</x:v>
      </x:c>
      <x:c r="G6437" s="87" t="str">
        <x:v>Биология</x:v>
      </x:c>
      <x:c r="H6437" s="87" t="n">
        <x:v>11</x:v>
      </x:c>
      <x:c r="I6437" s="87"/>
      <x:c r="J6437" s="87" t="str">
        <x:v>954</x:v>
      </x:c>
      <x:c r="K6437" s="87" t="n">
        <x:v>9</x:v>
      </x:c>
      <x:c r="L6437" s="87" t="str">
        <x:v>Распознавание структуры на рисунке</x:v>
      </x:c>
      <x:c r="M6437" s="30" t="str">
        <x:v>Определить сосуд ксилемы среди растительных структур.</x:v>
      </x:c>
      <x:c r="N6437" s="30" t="str">
        <x:v>5</x:v>
      </x:c>
      <x:c r="O6437" s="30" t="str">
        <x:v>Сосуд ксилемы обозначен цифрой 5.</x:v>
      </x:c>
      <x:c r="P6437" s="30"/>
      <x:c r="Q6437" s="30" t="str">
        <x:v>Исходная скан-страница + независимое решение + сверка с задачей банка.</x:v>
      </x:c>
      <x:c r="R6437" s="30"/>
      <x:c r="S6437" s="30" t="str">
        <x:v>https://neofamily.ru/biologiya/task-bank/81382</x:v>
      </x:c>
      <x:c r="T6437" s="30"/>
      <x:c r="U6437" s="30" t="str">
        <x:v>Расхождений не выявлено.</x:v>
      </x:c>
      <x:c r="V6437" s="87" t="str">
        <x:v>VERIFIED</x:v>
      </x:c>
      <x:c r="W6437" s="87"/>
      <x:c r="X6437" s="87" t="n">
        <x:v>3</x:v>
      </x:c>
      <x:c r="Y6437" s="87"/>
      <x:c r="Z6437" s="87"/>
      <x:c r="AA6437" s="87"/>
      <x:c r="AB6437" s="87"/>
      <x:c r="AC6437" s="87" t="str">
        <x:v>VIS-EGKR-BIO-S26-TASK-954-P003</x:v>
      </x:c>
      <x:c r="AD6437" s="87" t="str">
        <x:v>https://neofamily.ru/biologiya/task-bank/81382</x:v>
      </x:c>
      <x:c r="AE6437" s="87" t="str">
        <x:v>TASK</x:v>
      </x:c>
      <x:c r="AF6437" s="87" t="str">
        <x:v>VIS-EGKR-BIO-S26-TASK-954-P003: 3</x:v>
      </x:c>
      <x:c r="AG6437" s="87" t="str">
        <x:v>RESOLVED</x:v>
      </x:c>
      <x:c r="AH6437" s="87" t="str">
        <x:v>CROP_VERIFIED</x:v>
      </x:c>
      <x:c r="AI6437" s="30"/>
      <x:c r="AJ6437" s="87" t="str">
        <x:v>clean</x:v>
      </x:c>
      <x:c r="AK6437" s="87" t="str">
        <x:v>clean-v0.24</x:v>
      </x:c>
      <x:c r="AL6437" s="87" t="str">
        <x:v>statgrad_clean_continuation_v0_24(1).xlsx</x:v>
      </x:c>
      <x:c r="AM6437" s="87" t="str">
        <x:v>BIO_EGKR_S26_954</x:v>
      </x:c>
      <x:c r="AN6437" s="87" t="n">
        <x:v>10</x:v>
      </x:c>
    </x:row>
    <x:row r="6438">
      <x:c r="A6438" s="87" t="n">
        <x:v>6437</x:v>
      </x:c>
      <x:c r="B6438" s="87" t="str">
        <x:v>EGKR-S26-BIO-954-10</x:v>
      </x:c>
      <x:c r="C6438" s="87" t="str">
        <x:v>ЕГКР</x:v>
      </x:c>
      <x:c r="D6438" s="87"/>
      <x:c r="E6438" s="87" t="str">
        <x:v>Весна 2026</x:v>
      </x:c>
      <x:c r="F6438" s="87" t="str">
        <x:v>14.04.2026</x:v>
      </x:c>
      <x:c r="G6438" s="87" t="str">
        <x:v>Биология</x:v>
      </x:c>
      <x:c r="H6438" s="87" t="n">
        <x:v>11</x:v>
      </x:c>
      <x:c r="I6438" s="87"/>
      <x:c r="J6438" s="87" t="str">
        <x:v>954</x:v>
      </x:c>
      <x:c r="K6438" s="87" t="n">
        <x:v>10</x:v>
      </x:c>
      <x:c r="L6438" s="87" t="str">
        <x:v>Установление соответствия</x:v>
      </x:c>
      <x:c r="M6438" s="30" t="str">
        <x:v>Соотнести растительные ткани и их функции.</x:v>
      </x:c>
      <x:c r="N6438" s="30" t="str">
        <x:v>312132</x:v>
      </x:c>
      <x:c r="O6438" s="30" t="str">
        <x:v>Соответствие функций растительных структур даёт 312132.</x:v>
      </x:c>
      <x:c r="P6438" s="30"/>
      <x:c r="Q6438" s="30" t="str">
        <x:v>Исходная скан-страница + независимое решение + сверка с задачей банка.</x:v>
      </x:c>
      <x:c r="R6438" s="30"/>
      <x:c r="S6438" s="30" t="str">
        <x:v>https://neofamily.ru/biologiya/task-bank/81383</x:v>
      </x:c>
      <x:c r="T6438" s="30"/>
      <x:c r="U6438" s="30" t="str">
        <x:v>Расхождений не выявлено.</x:v>
      </x:c>
      <x:c r="V6438" s="87" t="str">
        <x:v>VERIFIED</x:v>
      </x:c>
      <x:c r="W6438" s="87"/>
      <x:c r="X6438" s="87" t="n">
        <x:v>3</x:v>
      </x:c>
      <x:c r="Y6438" s="87"/>
      <x:c r="Z6438" s="87"/>
      <x:c r="AA6438" s="87"/>
      <x:c r="AB6438" s="87"/>
      <x:c r="AC6438" s="87" t="str">
        <x:v>VIS-EGKR-BIO-S26-TASK-954-P003</x:v>
      </x:c>
      <x:c r="AD6438" s="87" t="str">
        <x:v>https://neofamily.ru/biologiya/task-bank/81383</x:v>
      </x:c>
      <x:c r="AE6438" s="87" t="str">
        <x:v>TASK</x:v>
      </x:c>
      <x:c r="AF6438" s="87" t="str">
        <x:v>VIS-EGKR-BIO-S26-TASK-954-P003: 3</x:v>
      </x:c>
      <x:c r="AG6438" s="87" t="str">
        <x:v>RESOLVED</x:v>
      </x:c>
      <x:c r="AH6438" s="87" t="str">
        <x:v>CROP_VERIFIED</x:v>
      </x:c>
      <x:c r="AI6438" s="30"/>
      <x:c r="AJ6438" s="87" t="str">
        <x:v>clean</x:v>
      </x:c>
      <x:c r="AK6438" s="87" t="str">
        <x:v>clean-v0.24</x:v>
      </x:c>
      <x:c r="AL6438" s="87" t="str">
        <x:v>statgrad_clean_continuation_v0_24(1).xlsx</x:v>
      </x:c>
      <x:c r="AM6438" s="87" t="str">
        <x:v>BIO_EGKR_S26_954</x:v>
      </x:c>
      <x:c r="AN6438" s="87" t="n">
        <x:v>11</x:v>
      </x:c>
    </x:row>
    <x:row r="6439">
      <x:c r="A6439" s="87" t="n">
        <x:v>6438</x:v>
      </x:c>
      <x:c r="B6439" s="87" t="str">
        <x:v>EGKR-S26-BIO-954-11</x:v>
      </x:c>
      <x:c r="C6439" s="87" t="str">
        <x:v>ЕГКР</x:v>
      </x:c>
      <x:c r="D6439" s="87"/>
      <x:c r="E6439" s="87" t="str">
        <x:v>Весна 2026</x:v>
      </x:c>
      <x:c r="F6439" s="87" t="str">
        <x:v>14.04.2026</x:v>
      </x:c>
      <x:c r="G6439" s="87" t="str">
        <x:v>Биология</x:v>
      </x:c>
      <x:c r="H6439" s="87" t="n">
        <x:v>11</x:v>
      </x:c>
      <x:c r="I6439" s="87"/>
      <x:c r="J6439" s="87" t="str">
        <x:v>954</x:v>
      </x:c>
      <x:c r="K6439" s="87" t="n">
        <x:v>11</x:v>
      </x:c>
      <x:c r="L6439" s="87" t="str">
        <x:v>Множественный выбор</x:v>
      </x:c>
      <x:c r="M6439" s="30" t="str">
        <x:v>Выбрать изменения организма теплокровного животного при спячке.</x:v>
      </x:c>
      <x:c r="N6439" s="30" t="str">
        <x:v>124</x:v>
      </x:c>
      <x:c r="O6439" s="30" t="str">
        <x:v>При спячке снижаются температура и дыхание, используется энергия жира.</x:v>
      </x:c>
      <x:c r="P6439" s="30"/>
      <x:c r="Q6439" s="30" t="str">
        <x:v>Исходная скан-страница + независимое решение + сверка с задачей банка.</x:v>
      </x:c>
      <x:c r="R6439" s="30"/>
      <x:c r="S6439" s="30" t="str">
        <x:v>https://neofamily.ru/biologiya/task-bank/81384</x:v>
      </x:c>
      <x:c r="T6439" s="30"/>
      <x:c r="U6439" s="30" t="str">
        <x:v>Расхождений не выявлено.</x:v>
      </x:c>
      <x:c r="V6439" s="87" t="str">
        <x:v>VERIFIED</x:v>
      </x:c>
      <x:c r="W6439" s="87"/>
      <x:c r="X6439" s="87" t="n">
        <x:v>4</x:v>
      </x:c>
      <x:c r="Y6439" s="87"/>
      <x:c r="Z6439" s="87"/>
      <x:c r="AA6439" s="87"/>
      <x:c r="AB6439" s="87"/>
      <x:c r="AC6439" s="87" t="str">
        <x:v>VIS-EGKR-BIO-S26-TASK-954-P004</x:v>
      </x:c>
      <x:c r="AD6439" s="87" t="str">
        <x:v>https://neofamily.ru/biologiya/task-bank/81384</x:v>
      </x:c>
      <x:c r="AE6439" s="87" t="str">
        <x:v>TASK</x:v>
      </x:c>
      <x:c r="AF6439" s="87" t="str">
        <x:v>VIS-EGKR-BIO-S26-TASK-954-P004: 4</x:v>
      </x:c>
      <x:c r="AG6439" s="87" t="str">
        <x:v>RESOLVED</x:v>
      </x:c>
      <x:c r="AH6439" s="87" t="str">
        <x:v>CROP_VERIFIED</x:v>
      </x:c>
      <x:c r="AI6439" s="30"/>
      <x:c r="AJ6439" s="87" t="str">
        <x:v>clean</x:v>
      </x:c>
      <x:c r="AK6439" s="87" t="str">
        <x:v>clean-v0.24</x:v>
      </x:c>
      <x:c r="AL6439" s="87" t="str">
        <x:v>statgrad_clean_continuation_v0_24(1).xlsx</x:v>
      </x:c>
      <x:c r="AM6439" s="87" t="str">
        <x:v>BIO_EGKR_S26_954</x:v>
      </x:c>
      <x:c r="AN6439" s="87" t="n">
        <x:v>12</x:v>
      </x:c>
    </x:row>
    <x:row r="6440">
      <x:c r="A6440" s="87" t="n">
        <x:v>6439</x:v>
      </x:c>
      <x:c r="B6440" s="87" t="str">
        <x:v>EGKR-S26-BIO-954-12</x:v>
      </x:c>
      <x:c r="C6440" s="87" t="str">
        <x:v>ЕГКР</x:v>
      </x:c>
      <x:c r="D6440" s="87"/>
      <x:c r="E6440" s="87" t="str">
        <x:v>Весна 2026</x:v>
      </x:c>
      <x:c r="F6440" s="87" t="str">
        <x:v>14.04.2026</x:v>
      </x:c>
      <x:c r="G6440" s="87" t="str">
        <x:v>Биология</x:v>
      </x:c>
      <x:c r="H6440" s="87" t="n">
        <x:v>11</x:v>
      </x:c>
      <x:c r="I6440" s="87"/>
      <x:c r="J6440" s="87" t="str">
        <x:v>954</x:v>
      </x:c>
      <x:c r="K6440" s="87" t="n">
        <x:v>12</x:v>
      </x:c>
      <x:c r="L6440" s="87" t="str">
        <x:v>Систематическая последовательность</x:v>
      </x:c>
      <x:c r="M6440" s="30" t="str">
        <x:v>Расположить систематические группы ананаса от высшего ранга к низшему.</x:v>
      </x:c>
      <x:c r="N6440" s="30" t="str">
        <x:v>326415</x:v>
      </x:c>
      <x:c r="O6440" s="30" t="str">
        <x:v>Царство → отдел → класс → порядок → семейство → род/вид по нумерации: 326415.</x:v>
      </x:c>
      <x:c r="P6440" s="30"/>
      <x:c r="Q6440" s="30" t="str">
        <x:v>Исходная скан-страница + независимое решение + сверка с задачей банка.</x:v>
      </x:c>
      <x:c r="R6440" s="30"/>
      <x:c r="S6440" s="30" t="str">
        <x:v>https://neofamily.ru/biologiya/task-bank/25866</x:v>
      </x:c>
      <x:c r="T6440" s="30"/>
      <x:c r="U6440" s="30" t="str">
        <x:v>Расхождений не выявлено.</x:v>
      </x:c>
      <x:c r="V6440" s="87" t="str">
        <x:v>VERIFIED</x:v>
      </x:c>
      <x:c r="W6440" s="87"/>
      <x:c r="X6440" s="87" t="n">
        <x:v>4</x:v>
      </x:c>
      <x:c r="Y6440" s="87"/>
      <x:c r="Z6440" s="87"/>
      <x:c r="AA6440" s="87"/>
      <x:c r="AB6440" s="87"/>
      <x:c r="AC6440" s="87" t="str">
        <x:v>VIS-EGKR-BIO-S26-TASK-954-P004</x:v>
      </x:c>
      <x:c r="AD6440" s="87" t="str">
        <x:v>https://neofamily.ru/biologiya/task-bank/25866</x:v>
      </x:c>
      <x:c r="AE6440" s="87" t="str">
        <x:v>TASK</x:v>
      </x:c>
      <x:c r="AF6440" s="87" t="str">
        <x:v>VIS-EGKR-BIO-S26-TASK-954-P004: 4</x:v>
      </x:c>
      <x:c r="AG6440" s="87" t="str">
        <x:v>RESOLVED</x:v>
      </x:c>
      <x:c r="AH6440" s="87" t="str">
        <x:v>CROP_VERIFIED</x:v>
      </x:c>
      <x:c r="AI6440" s="30"/>
      <x:c r="AJ6440" s="87" t="str">
        <x:v>clean</x:v>
      </x:c>
      <x:c r="AK6440" s="87" t="str">
        <x:v>clean-v0.24</x:v>
      </x:c>
      <x:c r="AL6440" s="87" t="str">
        <x:v>statgrad_clean_continuation_v0_24(1).xlsx</x:v>
      </x:c>
      <x:c r="AM6440" s="87" t="str">
        <x:v>BIO_EGKR_S26_954</x:v>
      </x:c>
      <x:c r="AN6440" s="87" t="n">
        <x:v>13</x:v>
      </x:c>
    </x:row>
    <x:row r="6441">
      <x:c r="A6441" s="87" t="n">
        <x:v>6440</x:v>
      </x:c>
      <x:c r="B6441" s="87" t="str">
        <x:v>EGKR-S26-BIO-954-13</x:v>
      </x:c>
      <x:c r="C6441" s="87" t="str">
        <x:v>ЕГКР</x:v>
      </x:c>
      <x:c r="D6441" s="87"/>
      <x:c r="E6441" s="87" t="str">
        <x:v>Весна 2026</x:v>
      </x:c>
      <x:c r="F6441" s="87" t="str">
        <x:v>14.04.2026</x:v>
      </x:c>
      <x:c r="G6441" s="87" t="str">
        <x:v>Биология</x:v>
      </x:c>
      <x:c r="H6441" s="87" t="n">
        <x:v>11</x:v>
      </x:c>
      <x:c r="I6441" s="87"/>
      <x:c r="J6441" s="87" t="str">
        <x:v>954</x:v>
      </x:c>
      <x:c r="K6441" s="87" t="n">
        <x:v>13</x:v>
      </x:c>
      <x:c r="L6441" s="87" t="str">
        <x:v>Распознавание структуры на рисунке</x:v>
      </x:c>
      <x:c r="M6441" s="30" t="str">
        <x:v>Определить тело позвонка на рисунке.</x:v>
      </x:c>
      <x:c r="N6441" s="30" t="str">
        <x:v>3</x:v>
      </x:c>
      <x:c r="O6441" s="30" t="str">
        <x:v>Тело позвонка обозначено цифрой 3.</x:v>
      </x:c>
      <x:c r="P6441" s="30"/>
      <x:c r="Q6441" s="30" t="str">
        <x:v>Исходная скан-страница + независимое решение + сверка с задачей банка.</x:v>
      </x:c>
      <x:c r="R6441" s="30"/>
      <x:c r="S6441" s="30" t="str">
        <x:v>https://neofamily.ru/biologiya/task-bank/81385</x:v>
      </x:c>
      <x:c r="T6441" s="30"/>
      <x:c r="U6441" s="30" t="str">
        <x:v>Расхождений не выявлено.</x:v>
      </x:c>
      <x:c r="V6441" s="87" t="str">
        <x:v>VERIFIED</x:v>
      </x:c>
      <x:c r="W6441" s="87"/>
      <x:c r="X6441" s="87" t="n">
        <x:v>4</x:v>
      </x:c>
      <x:c r="Y6441" s="87"/>
      <x:c r="Z6441" s="87"/>
      <x:c r="AA6441" s="87"/>
      <x:c r="AB6441" s="87"/>
      <x:c r="AC6441" s="87" t="str">
        <x:v>VIS-EGKR-BIO-S26-TASK-954-P004</x:v>
      </x:c>
      <x:c r="AD6441" s="87" t="str">
        <x:v>https://neofamily.ru/biologiya/task-bank/81385</x:v>
      </x:c>
      <x:c r="AE6441" s="87" t="str">
        <x:v>TASK</x:v>
      </x:c>
      <x:c r="AF6441" s="87" t="str">
        <x:v>VIS-EGKR-BIO-S26-TASK-954-P004: 4</x:v>
      </x:c>
      <x:c r="AG6441" s="87" t="str">
        <x:v>RESOLVED</x:v>
      </x:c>
      <x:c r="AH6441" s="87" t="str">
        <x:v>CROP_VERIFIED; TASK_CROP_QA_APPROVED:MANUAL_BBOX</x:v>
      </x:c>
      <x:c r="AI6441" s="30"/>
      <x:c r="AJ6441" s="87" t="str">
        <x:v>clean</x:v>
      </x:c>
      <x:c r="AK6441" s="87" t="str">
        <x:v>clean-v0.24</x:v>
      </x:c>
      <x:c r="AL6441" s="87" t="str">
        <x:v>statgrad_clean_continuation_v0_24(1).xlsx</x:v>
      </x:c>
      <x:c r="AM6441" s="87" t="str">
        <x:v>BIO_EGKR_S26_954</x:v>
      </x:c>
      <x:c r="AN6441" s="87" t="n">
        <x:v>14</x:v>
      </x:c>
    </x:row>
    <x:row r="6442">
      <x:c r="A6442" s="87" t="n">
        <x:v>6441</x:v>
      </x:c>
      <x:c r="B6442" s="87" t="str">
        <x:v>EGKR-S26-BIO-954-14</x:v>
      </x:c>
      <x:c r="C6442" s="87" t="str">
        <x:v>ЕГКР</x:v>
      </x:c>
      <x:c r="D6442" s="87"/>
      <x:c r="E6442" s="87" t="str">
        <x:v>Весна 2026</x:v>
      </x:c>
      <x:c r="F6442" s="87" t="str">
        <x:v>14.04.2026</x:v>
      </x:c>
      <x:c r="G6442" s="87" t="str">
        <x:v>Биология</x:v>
      </x:c>
      <x:c r="H6442" s="87" t="n">
        <x:v>11</x:v>
      </x:c>
      <x:c r="I6442" s="87"/>
      <x:c r="J6442" s="87" t="str">
        <x:v>954</x:v>
      </x:c>
      <x:c r="K6442" s="87" t="n">
        <x:v>14</x:v>
      </x:c>
      <x:c r="L6442" s="87" t="str">
        <x:v>Установление соответствия</x:v>
      </x:c>
      <x:c r="M6442" s="30" t="str">
        <x:v>Соотнести серое и белое вещество спинного мозга с характеристиками.</x:v>
      </x:c>
      <x:c r="N6442" s="30" t="str">
        <x:v>111122</x:v>
      </x:c>
      <x:c r="O6442" s="30" t="str">
        <x:v>Серое вещество содержит тела нейронов и образует рога; белое — проводящие отростки.</x:v>
      </x:c>
      <x:c r="P6442" s="30"/>
      <x:c r="Q6442" s="30" t="str">
        <x:v>Исходная скан-страница + независимое решение + сверка с задачей банка.</x:v>
      </x:c>
      <x:c r="R6442" s="30"/>
      <x:c r="S6442" s="30" t="str">
        <x:v>https://neofamily.ru/biologiya/task-bank/81386</x:v>
      </x:c>
      <x:c r="T6442" s="30"/>
      <x:c r="U6442" s="30" t="str">
        <x:v>Расхождений не выявлено.</x:v>
      </x:c>
      <x:c r="V6442" s="87" t="str">
        <x:v>VERIFIED</x:v>
      </x:c>
      <x:c r="W6442" s="87"/>
      <x:c r="X6442" s="87" t="n">
        <x:v>4</x:v>
      </x:c>
      <x:c r="Y6442" s="87"/>
      <x:c r="Z6442" s="87"/>
      <x:c r="AA6442" s="87"/>
      <x:c r="AB6442" s="87"/>
      <x:c r="AC6442" s="87" t="str">
        <x:v>VIS-EGKR-BIO-S26-TASK-954-P004</x:v>
      </x:c>
      <x:c r="AD6442" s="87" t="str">
        <x:v>https://neofamily.ru/biologiya/task-bank/81386</x:v>
      </x:c>
      <x:c r="AE6442" s="87" t="str">
        <x:v>TASK</x:v>
      </x:c>
      <x:c r="AF6442" s="87" t="str">
        <x:v>VIS-EGKR-BIO-S26-TASK-954-P004: 4</x:v>
      </x:c>
      <x:c r="AG6442" s="87" t="str">
        <x:v>RESOLVED</x:v>
      </x:c>
      <x:c r="AH6442" s="87" t="str">
        <x:v>CROP_VERIFIED</x:v>
      </x:c>
      <x:c r="AI6442" s="30"/>
      <x:c r="AJ6442" s="87" t="str">
        <x:v>clean</x:v>
      </x:c>
      <x:c r="AK6442" s="87" t="str">
        <x:v>clean-v0.24</x:v>
      </x:c>
      <x:c r="AL6442" s="87" t="str">
        <x:v>statgrad_clean_continuation_v0_24(1).xlsx</x:v>
      </x:c>
      <x:c r="AM6442" s="87" t="str">
        <x:v>BIO_EGKR_S26_954</x:v>
      </x:c>
      <x:c r="AN6442" s="87" t="n">
        <x:v>15</x:v>
      </x:c>
    </x:row>
    <x:row r="6443">
      <x:c r="A6443" s="87" t="n">
        <x:v>6442</x:v>
      </x:c>
      <x:c r="B6443" s="87" t="str">
        <x:v>EGKR-S26-BIO-954-15</x:v>
      </x:c>
      <x:c r="C6443" s="87" t="str">
        <x:v>ЕГКР</x:v>
      </x:c>
      <x:c r="D6443" s="87"/>
      <x:c r="E6443" s="87" t="str">
        <x:v>Весна 2026</x:v>
      </x:c>
      <x:c r="F6443" s="87" t="str">
        <x:v>14.04.2026</x:v>
      </x:c>
      <x:c r="G6443" s="87" t="str">
        <x:v>Биология</x:v>
      </x:c>
      <x:c r="H6443" s="87" t="n">
        <x:v>11</x:v>
      </x:c>
      <x:c r="I6443" s="87"/>
      <x:c r="J6443" s="87" t="str">
        <x:v>954</x:v>
      </x:c>
      <x:c r="K6443" s="87" t="n">
        <x:v>15</x:v>
      </x:c>
      <x:c r="L6443" s="87" t="str">
        <x:v>Анализ подписей к рисунку</x:v>
      </x:c>
      <x:c r="M6443" s="30" t="str">
        <x:v>Выбрать верные подписи к процессу воспаления кожи.</x:v>
      </x:c>
      <x:c r="N6443" s="30" t="str">
        <x:v>235</x:v>
      </x:c>
      <x:c r="O6443" s="30" t="str">
        <x:v>Корректные подписи на рисунке воспаления: 2, 3, 5.</x:v>
      </x:c>
      <x:c r="P6443" s="30"/>
      <x:c r="Q6443" s="30" t="str">
        <x:v>Исходная скан-страница + независимое решение + сверка с задачей банка.</x:v>
      </x:c>
      <x:c r="R6443" s="30"/>
      <x:c r="S6443" s="30" t="str">
        <x:v>https://neofamily.ru/biologiya/task-bank/81387</x:v>
      </x:c>
      <x:c r="T6443" s="30"/>
      <x:c r="U6443" s="30" t="str">
        <x:v>Расхождений не выявлено.</x:v>
      </x:c>
      <x:c r="V6443" s="87" t="str">
        <x:v>VERIFIED</x:v>
      </x:c>
      <x:c r="W6443" s="87"/>
      <x:c r="X6443" s="87" t="n">
        <x:v>5</x:v>
      </x:c>
      <x:c r="Y6443" s="87"/>
      <x:c r="Z6443" s="87"/>
      <x:c r="AA6443" s="87"/>
      <x:c r="AB6443" s="87"/>
      <x:c r="AC6443" s="87" t="str">
        <x:v>VIS-EGKR-BIO-S26-TASK-954-P005</x:v>
      </x:c>
      <x:c r="AD6443" s="87" t="str">
        <x:v>https://neofamily.ru/biologiya/task-bank/81387</x:v>
      </x:c>
      <x:c r="AE6443" s="87" t="str">
        <x:v>TASK</x:v>
      </x:c>
      <x:c r="AF6443" s="87" t="str">
        <x:v>VIS-EGKR-BIO-S26-TASK-954-P005: 5</x:v>
      </x:c>
      <x:c r="AG6443" s="87" t="str">
        <x:v>RESOLVED</x:v>
      </x:c>
      <x:c r="AH6443" s="87" t="str">
        <x:v>CROP_VERIFIED</x:v>
      </x:c>
      <x:c r="AI6443" s="30"/>
      <x:c r="AJ6443" s="87" t="str">
        <x:v>clean</x:v>
      </x:c>
      <x:c r="AK6443" s="87" t="str">
        <x:v>clean-v0.24</x:v>
      </x:c>
      <x:c r="AL6443" s="87" t="str">
        <x:v>statgrad_clean_continuation_v0_24(1).xlsx</x:v>
      </x:c>
      <x:c r="AM6443" s="87" t="str">
        <x:v>BIO_EGKR_S26_954</x:v>
      </x:c>
      <x:c r="AN6443" s="87" t="n">
        <x:v>16</x:v>
      </x:c>
    </x:row>
    <x:row r="6444">
      <x:c r="A6444" s="87" t="n">
        <x:v>6443</x:v>
      </x:c>
      <x:c r="B6444" s="87" t="str">
        <x:v>EGKR-S26-BIO-954-16</x:v>
      </x:c>
      <x:c r="C6444" s="87" t="str">
        <x:v>ЕГКР</x:v>
      </x:c>
      <x:c r="D6444" s="87"/>
      <x:c r="E6444" s="87" t="str">
        <x:v>Весна 2026</x:v>
      </x:c>
      <x:c r="F6444" s="87" t="str">
        <x:v>14.04.2026</x:v>
      </x:c>
      <x:c r="G6444" s="87" t="str">
        <x:v>Биология</x:v>
      </x:c>
      <x:c r="H6444" s="87" t="n">
        <x:v>11</x:v>
      </x:c>
      <x:c r="I6444" s="87"/>
      <x:c r="J6444" s="87" t="str">
        <x:v>954</x:v>
      </x:c>
      <x:c r="K6444" s="87" t="n">
        <x:v>16</x:v>
      </x:c>
      <x:c r="L6444" s="87" t="str">
        <x:v>Последовательность структур / уровней</x:v>
      </x:c>
      <x:c r="M6444" s="30" t="str">
        <x:v>Расположить уровни организации зрительной системы от крупного к малому.</x:v>
      </x:c>
      <x:c r="N6444" s="30" t="str">
        <x:v>123456</x:v>
      </x:c>
      <x:c r="O6444" s="30" t="str">
        <x:v>Органы чувств → глазное яблоко → оболочки → сетчатка → родопсин → молекула.</x:v>
      </x:c>
      <x:c r="P6444" s="30"/>
      <x:c r="Q6444" s="30" t="str">
        <x:v>Исходная скан-страница + независимое решение + сверка с задачей банка.</x:v>
      </x:c>
      <x:c r="R6444" s="30"/>
      <x:c r="S6444" s="30" t="str">
        <x:v>https://neofamily.ru/biologiya/variants-ege/5/1261773</x:v>
      </x:c>
      <x:c r="T6444" s="30"/>
      <x:c r="U6444" s="30" t="str">
        <x:v>Расхождений не выявлено.</x:v>
      </x:c>
      <x:c r="V6444" s="87" t="str">
        <x:v>VERIFIED</x:v>
      </x:c>
      <x:c r="W6444" s="87"/>
      <x:c r="X6444" s="87" t="n">
        <x:v>5</x:v>
      </x:c>
      <x:c r="Y6444" s="87"/>
      <x:c r="Z6444" s="87"/>
      <x:c r="AA6444" s="87"/>
      <x:c r="AB6444" s="87"/>
      <x:c r="AC6444" s="87" t="str">
        <x:v>VIS-EGKR-BIO-S26-TASK-954-P005</x:v>
      </x:c>
      <x:c r="AD6444" s="87" t="str">
        <x:v>https://neofamily.ru/biologiya/variants-ege/5/1261773</x:v>
      </x:c>
      <x:c r="AE6444" s="87" t="str">
        <x:v>TASK</x:v>
      </x:c>
      <x:c r="AF6444" s="87" t="str">
        <x:v>VIS-EGKR-BIO-S26-TASK-954-P005: 5</x:v>
      </x:c>
      <x:c r="AG6444" s="87" t="str">
        <x:v>RESOLVED</x:v>
      </x:c>
      <x:c r="AH6444" s="87" t="str">
        <x:v>CROP_VERIFIED</x:v>
      </x:c>
      <x:c r="AI6444" s="30"/>
      <x:c r="AJ6444" s="87" t="str">
        <x:v>clean</x:v>
      </x:c>
      <x:c r="AK6444" s="87" t="str">
        <x:v>clean-v0.24</x:v>
      </x:c>
      <x:c r="AL6444" s="87" t="str">
        <x:v>statgrad_clean_continuation_v0_24(1).xlsx</x:v>
      </x:c>
      <x:c r="AM6444" s="87" t="str">
        <x:v>BIO_EGKR_S26_954</x:v>
      </x:c>
      <x:c r="AN6444" s="87" t="n">
        <x:v>17</x:v>
      </x:c>
    </x:row>
    <x:row r="6445">
      <x:c r="A6445" s="87" t="n">
        <x:v>6444</x:v>
      </x:c>
      <x:c r="B6445" s="87" t="str">
        <x:v>EGKR-S26-BIO-954-17</x:v>
      </x:c>
      <x:c r="C6445" s="87" t="str">
        <x:v>ЕГКР</x:v>
      </x:c>
      <x:c r="D6445" s="87"/>
      <x:c r="E6445" s="87" t="str">
        <x:v>Весна 2026</x:v>
      </x:c>
      <x:c r="F6445" s="87" t="str">
        <x:v>14.04.2026</x:v>
      </x:c>
      <x:c r="G6445" s="87" t="str">
        <x:v>Биология</x:v>
      </x:c>
      <x:c r="H6445" s="87" t="n">
        <x:v>11</x:v>
      </x:c>
      <x:c r="I6445" s="87"/>
      <x:c r="J6445" s="87" t="str">
        <x:v>954</x:v>
      </x:c>
      <x:c r="K6445" s="87" t="n">
        <x:v>17</x:v>
      </x:c>
      <x:c r="L6445" s="87" t="str">
        <x:v>Критерии вида / эволюция</x:v>
      </x:c>
      <x:c r="M6445" s="30" t="str">
        <x:v>Найти описания конвергенции в тексте о кровососущих животных.</x:v>
      </x:c>
      <x:c r="N6445" s="30" t="str">
        <x:v>235</x:v>
      </x:c>
      <x:c r="O6445" s="30" t="str">
        <x:v>Конвергенция отражена предложениями 2, 3 и 5.</x:v>
      </x:c>
      <x:c r="P6445" s="30"/>
      <x:c r="Q6445" s="30" t="str">
        <x:v>Исходная скан-страница + независимое решение + сверка с задачей банка.</x:v>
      </x:c>
      <x:c r="R6445" s="30"/>
      <x:c r="S6445" s="30" t="str">
        <x:v>https://neofamily.ru/biologiya/task-bank/81388</x:v>
      </x:c>
      <x:c r="T6445" s="30"/>
      <x:c r="U6445" s="30" t="str">
        <x:v>Расхождений не выявлено.</x:v>
      </x:c>
      <x:c r="V6445" s="87" t="str">
        <x:v>VERIFIED</x:v>
      </x:c>
      <x:c r="W6445" s="87"/>
      <x:c r="X6445" s="87" t="n">
        <x:v>5</x:v>
      </x:c>
      <x:c r="Y6445" s="87"/>
      <x:c r="Z6445" s="87"/>
      <x:c r="AA6445" s="87"/>
      <x:c r="AB6445" s="87"/>
      <x:c r="AC6445" s="87" t="str">
        <x:v>VIS-EGKR-BIO-S26-TASK-954-P005</x:v>
      </x:c>
      <x:c r="AD6445" s="87" t="str">
        <x:v>https://neofamily.ru/biologiya/task-bank/81388</x:v>
      </x:c>
      <x:c r="AE6445" s="87" t="str">
        <x:v>TASK</x:v>
      </x:c>
      <x:c r="AF6445" s="87" t="str">
        <x:v>VIS-EGKR-BIO-S26-TASK-954-P005: 5</x:v>
      </x:c>
      <x:c r="AG6445" s="87" t="str">
        <x:v>RESOLVED</x:v>
      </x:c>
      <x:c r="AH6445" s="87" t="str">
        <x:v>CROP_VERIFIED</x:v>
      </x:c>
      <x:c r="AI6445" s="30"/>
      <x:c r="AJ6445" s="87" t="str">
        <x:v>clean</x:v>
      </x:c>
      <x:c r="AK6445" s="87" t="str">
        <x:v>clean-v0.24</x:v>
      </x:c>
      <x:c r="AL6445" s="87" t="str">
        <x:v>statgrad_clean_continuation_v0_24(1).xlsx</x:v>
      </x:c>
      <x:c r="AM6445" s="87" t="str">
        <x:v>BIO_EGKR_S26_954</x:v>
      </x:c>
      <x:c r="AN6445" s="87" t="n">
        <x:v>18</x:v>
      </x:c>
    </x:row>
    <x:row r="6446">
      <x:c r="A6446" s="87" t="n">
        <x:v>6445</x:v>
      </x:c>
      <x:c r="B6446" s="87" t="str">
        <x:v>EGKR-S26-BIO-954-18</x:v>
      </x:c>
      <x:c r="C6446" s="87" t="str">
        <x:v>ЕГКР</x:v>
      </x:c>
      <x:c r="D6446" s="87"/>
      <x:c r="E6446" s="87" t="str">
        <x:v>Весна 2026</x:v>
      </x:c>
      <x:c r="F6446" s="87" t="str">
        <x:v>14.04.2026</x:v>
      </x:c>
      <x:c r="G6446" s="87" t="str">
        <x:v>Биология</x:v>
      </x:c>
      <x:c r="H6446" s="87" t="n">
        <x:v>11</x:v>
      </x:c>
      <x:c r="I6446" s="87"/>
      <x:c r="J6446" s="87" t="str">
        <x:v>954</x:v>
      </x:c>
      <x:c r="K6446" s="87" t="n">
        <x:v>18</x:v>
      </x:c>
      <x:c r="L6446" s="87" t="str">
        <x:v>Приспособления / среда обитания</x:v>
      </x:c>
      <x:c r="M6446" s="30" t="str">
        <x:v>Выбрать приспособления птиц средней полосы к зимнему периоду.</x:v>
      </x:c>
      <x:c r="N6446" s="30" t="str">
        <x:v>346</x:v>
      </x:c>
      <x:c r="O6446" s="30" t="str">
        <x:v>Для зимовки характерны перелёты, жировые запасы и кормовые запасы.</x:v>
      </x:c>
      <x:c r="P6446" s="30"/>
      <x:c r="Q6446" s="30" t="str">
        <x:v>Исходная скан-страница + независимое решение + сверка с задачей банка.</x:v>
      </x:c>
      <x:c r="R6446" s="30"/>
      <x:c r="S6446" s="30" t="str">
        <x:v>https://neofamily.ru/biologiya/task-bank/81389</x:v>
      </x:c>
      <x:c r="T6446" s="30"/>
      <x:c r="U6446" s="30" t="str">
        <x:v>Расхождений не выявлено.</x:v>
      </x:c>
      <x:c r="V6446" s="87" t="str">
        <x:v>VERIFIED</x:v>
      </x:c>
      <x:c r="W6446" s="87"/>
      <x:c r="X6446" s="87" t="n">
        <x:v>5</x:v>
      </x:c>
      <x:c r="Y6446" s="87"/>
      <x:c r="Z6446" s="87"/>
      <x:c r="AA6446" s="87"/>
      <x:c r="AB6446" s="87"/>
      <x:c r="AC6446" s="87" t="str">
        <x:v>VIS-EGKR-BIO-S26-TASK-954-P005</x:v>
      </x:c>
      <x:c r="AD6446" s="87" t="str">
        <x:v>https://neofamily.ru/biologiya/task-bank/81389</x:v>
      </x:c>
      <x:c r="AE6446" s="87" t="str">
        <x:v>TASK</x:v>
      </x:c>
      <x:c r="AF6446" s="87" t="str">
        <x:v>VIS-EGKR-BIO-S26-TASK-954-P005: 5</x:v>
      </x:c>
      <x:c r="AG6446" s="87" t="str">
        <x:v>RESOLVED</x:v>
      </x:c>
      <x:c r="AH6446" s="87" t="str">
        <x:v>CROP_VERIFIED</x:v>
      </x:c>
      <x:c r="AI6446" s="30"/>
      <x:c r="AJ6446" s="87" t="str">
        <x:v>clean</x:v>
      </x:c>
      <x:c r="AK6446" s="87" t="str">
        <x:v>clean-v0.24</x:v>
      </x:c>
      <x:c r="AL6446" s="87" t="str">
        <x:v>statgrad_clean_continuation_v0_24(1).xlsx</x:v>
      </x:c>
      <x:c r="AM6446" s="87" t="str">
        <x:v>BIO_EGKR_S26_954</x:v>
      </x:c>
      <x:c r="AN6446" s="87" t="n">
        <x:v>19</x:v>
      </x:c>
    </x:row>
    <x:row r="6447">
      <x:c r="A6447" s="87" t="n">
        <x:v>6446</x:v>
      </x:c>
      <x:c r="B6447" s="87" t="str">
        <x:v>EGKR-S26-BIO-954-19</x:v>
      </x:c>
      <x:c r="C6447" s="87" t="str">
        <x:v>ЕГКР</x:v>
      </x:c>
      <x:c r="D6447" s="87"/>
      <x:c r="E6447" s="87" t="str">
        <x:v>Весна 2026</x:v>
      </x:c>
      <x:c r="F6447" s="87" t="str">
        <x:v>14.04.2026</x:v>
      </x:c>
      <x:c r="G6447" s="87" t="str">
        <x:v>Биология</x:v>
      </x:c>
      <x:c r="H6447" s="87" t="n">
        <x:v>11</x:v>
      </x:c>
      <x:c r="I6447" s="87"/>
      <x:c r="J6447" s="87" t="str">
        <x:v>954</x:v>
      </x:c>
      <x:c r="K6447" s="87" t="n">
        <x:v>19</x:v>
      </x:c>
      <x:c r="L6447" s="87" t="str">
        <x:v>Экологические группы / соответствие</x:v>
      </x:c>
      <x:c r="M6447" s="30" t="str">
        <x:v>Соотнести биологические признаки с двумя объектами по условию задания.</x:v>
      </x:c>
      <x:c r="N6447" s="30" t="str">
        <x:v>12121</x:v>
      </x:c>
      <x:c r="O6447" s="30" t="str">
        <x:v>Соответствие характеристик даёт последовательность 12121.</x:v>
      </x:c>
      <x:c r="P6447" s="30"/>
      <x:c r="Q6447" s="30" t="str">
        <x:v>Исходная скан-страница + независимое решение + сверка с задачей банка.</x:v>
      </x:c>
      <x:c r="R6447" s="30"/>
      <x:c r="S6447" s="30" t="str">
        <x:v>https://neofamily.ru/biologiya/task-bank/81390</x:v>
      </x:c>
      <x:c r="T6447" s="30"/>
      <x:c r="U6447" s="30" t="str">
        <x:v>Расхождений не выявлено.</x:v>
      </x:c>
      <x:c r="V6447" s="87" t="str">
        <x:v>VERIFIED</x:v>
      </x:c>
      <x:c r="W6447" s="87"/>
      <x:c r="X6447" s="87" t="n">
        <x:v>6</x:v>
      </x:c>
      <x:c r="Y6447" s="87"/>
      <x:c r="Z6447" s="87"/>
      <x:c r="AA6447" s="87"/>
      <x:c r="AB6447" s="87"/>
      <x:c r="AC6447" s="87" t="str">
        <x:v>VIS-EGKR-BIO-S26-TASK-954-P006</x:v>
      </x:c>
      <x:c r="AD6447" s="87" t="str">
        <x:v>https://neofamily.ru/biologiya/task-bank/81390</x:v>
      </x:c>
      <x:c r="AE6447" s="87" t="str">
        <x:v>TASK</x:v>
      </x:c>
      <x:c r="AF6447" s="87" t="str">
        <x:v>VIS-EGKR-BIO-S26-TASK-954-P006: 6</x:v>
      </x:c>
      <x:c r="AG6447" s="87" t="str">
        <x:v>RESOLVED</x:v>
      </x:c>
      <x:c r="AH6447" s="87" t="str">
        <x:v>CROP_VERIFIED</x:v>
      </x:c>
      <x:c r="AI6447" s="30"/>
      <x:c r="AJ6447" s="87" t="str">
        <x:v>clean</x:v>
      </x:c>
      <x:c r="AK6447" s="87" t="str">
        <x:v>clean-v0.24</x:v>
      </x:c>
      <x:c r="AL6447" s="87" t="str">
        <x:v>statgrad_clean_continuation_v0_24(1).xlsx</x:v>
      </x:c>
      <x:c r="AM6447" s="87" t="str">
        <x:v>BIO_EGKR_S26_954</x:v>
      </x:c>
      <x:c r="AN6447" s="87" t="n">
        <x:v>20</x:v>
      </x:c>
    </x:row>
    <x:row r="6448">
      <x:c r="A6448" s="87" t="n">
        <x:v>6447</x:v>
      </x:c>
      <x:c r="B6448" s="87" t="str">
        <x:v>EGKR-S26-BIO-954-20</x:v>
      </x:c>
      <x:c r="C6448" s="87" t="str">
        <x:v>ЕГКР</x:v>
      </x:c>
      <x:c r="D6448" s="87"/>
      <x:c r="E6448" s="87" t="str">
        <x:v>Весна 2026</x:v>
      </x:c>
      <x:c r="F6448" s="87" t="str">
        <x:v>14.04.2026</x:v>
      </x:c>
      <x:c r="G6448" s="87" t="str">
        <x:v>Биология</x:v>
      </x:c>
      <x:c r="H6448" s="87" t="n">
        <x:v>11</x:v>
      </x:c>
      <x:c r="I6448" s="87"/>
      <x:c r="J6448" s="87" t="str">
        <x:v>954</x:v>
      </x:c>
      <x:c r="K6448" s="87" t="n">
        <x:v>20</x:v>
      </x:c>
      <x:c r="L6448" s="87" t="str">
        <x:v>Анализ биологической таблицы</x:v>
      </x:c>
      <x:c r="M6448" s="30" t="str">
        <x:v>Заполнить таблицу о направлениях эволюции: ароморфоз, дегенерация, идиоадаптация.</x:v>
      </x:c>
      <x:c r="N6448" s="30" t="str">
        <x:v>678</x:v>
      </x:c>
      <x:c r="O6448" s="30" t="str">
        <x:v>По таблице: ароморфоз, общая дегенерация и идиоадаптация соответствуют 6, 7, 8.</x:v>
      </x:c>
      <x:c r="P6448" s="30"/>
      <x:c r="Q6448" s="30" t="str">
        <x:v>Исходная скан-страница + независимое решение + сверка с задачей банка.</x:v>
      </x:c>
      <x:c r="R6448" s="30"/>
      <x:c r="S6448" s="30" t="str">
        <x:v>https://neofamily.ru/biologiya/variants-ege/5/1261773</x:v>
      </x:c>
      <x:c r="T6448" s="30"/>
      <x:c r="U6448" s="30" t="str">
        <x:v>Расхождений не выявлено.</x:v>
      </x:c>
      <x:c r="V6448" s="87" t="str">
        <x:v>VERIFIED</x:v>
      </x:c>
      <x:c r="W6448" s="87"/>
      <x:c r="X6448" s="87" t="n">
        <x:v>6</x:v>
      </x:c>
      <x:c r="Y6448" s="87"/>
      <x:c r="Z6448" s="87"/>
      <x:c r="AA6448" s="87"/>
      <x:c r="AB6448" s="87"/>
      <x:c r="AC6448" s="87" t="str">
        <x:v>VIS-EGKR-BIO-S26-TASK-954-P006</x:v>
      </x:c>
      <x:c r="AD6448" s="87" t="str">
        <x:v>https://neofamily.ru/biologiya/variants-ege/5/1261773</x:v>
      </x:c>
      <x:c r="AE6448" s="87" t="str">
        <x:v>TASK</x:v>
      </x:c>
      <x:c r="AF6448" s="87" t="str">
        <x:v>VIS-EGKR-BIO-S26-TASK-954-P006: 6</x:v>
      </x:c>
      <x:c r="AG6448" s="87" t="str">
        <x:v>RESOLVED</x:v>
      </x:c>
      <x:c r="AH6448" s="87" t="str">
        <x:v>CROP_VERIFIED</x:v>
      </x:c>
      <x:c r="AI6448" s="30"/>
      <x:c r="AJ6448" s="87" t="str">
        <x:v>clean</x:v>
      </x:c>
      <x:c r="AK6448" s="87" t="str">
        <x:v>clean-v0.24</x:v>
      </x:c>
      <x:c r="AL6448" s="87" t="str">
        <x:v>statgrad_clean_continuation_v0_24(1).xlsx</x:v>
      </x:c>
      <x:c r="AM6448" s="87" t="str">
        <x:v>BIO_EGKR_S26_954</x:v>
      </x:c>
      <x:c r="AN6448" s="87" t="n">
        <x:v>21</x:v>
      </x:c>
    </x:row>
    <x:row r="6449">
      <x:c r="A6449" s="87" t="n">
        <x:v>6448</x:v>
      </x:c>
      <x:c r="B6449" s="87" t="str">
        <x:v>EGKR-S26-BIO-954-21</x:v>
      </x:c>
      <x:c r="C6449" s="87" t="str">
        <x:v>ЕГКР</x:v>
      </x:c>
      <x:c r="D6449" s="87"/>
      <x:c r="E6449" s="87" t="str">
        <x:v>Весна 2026</x:v>
      </x:c>
      <x:c r="F6449" s="87" t="str">
        <x:v>14.04.2026</x:v>
      </x:c>
      <x:c r="G6449" s="87" t="str">
        <x:v>Биология</x:v>
      </x:c>
      <x:c r="H6449" s="87" t="n">
        <x:v>11</x:v>
      </x:c>
      <x:c r="I6449" s="87"/>
      <x:c r="J6449" s="87" t="str">
        <x:v>954</x:v>
      </x:c>
      <x:c r="K6449" s="87" t="n">
        <x:v>21</x:v>
      </x:c>
      <x:c r="L6449" s="87" t="str">
        <x:v>Анализ графика или данных</x:v>
      </x:c>
      <x:c r="M6449" s="30" t="str">
        <x:v>Выбрать выводы, подтверждаемые представленной таблицей/диаграммой.</x:v>
      </x:c>
      <x:c r="N6449" s="30" t="str">
        <x:v>35</x:v>
      </x:c>
      <x:c r="O6449" s="30" t="str">
        <x:v>Данные подтверждают утверждения 3 и 5.</x:v>
      </x:c>
      <x:c r="P6449" s="30"/>
      <x:c r="Q6449" s="30" t="str">
        <x:v>Исходная скан-страница + независимое решение + сверка с задачей банка.</x:v>
      </x:c>
      <x:c r="R6449" s="30"/>
      <x:c r="S6449" s="30" t="str">
        <x:v>https://neofamily.ru/biologiya/task-bank/81391</x:v>
      </x:c>
      <x:c r="T6449" s="30"/>
      <x:c r="U6449" s="30" t="str">
        <x:v>Расхождений не выявлено.</x:v>
      </x:c>
      <x:c r="V6449" s="87" t="str">
        <x:v>VERIFIED</x:v>
      </x:c>
      <x:c r="W6449" s="87"/>
      <x:c r="X6449" s="87" t="n">
        <x:v>6</x:v>
      </x:c>
      <x:c r="Y6449" s="87"/>
      <x:c r="Z6449" s="87"/>
      <x:c r="AA6449" s="87"/>
      <x:c r="AB6449" s="87"/>
      <x:c r="AC6449" s="87" t="str">
        <x:v>VIS-EGKR-BIO-S26-TASK-954-P006</x:v>
      </x:c>
      <x:c r="AD6449" s="87" t="str">
        <x:v>https://neofamily.ru/biologiya/task-bank/81391</x:v>
      </x:c>
      <x:c r="AE6449" s="87" t="str">
        <x:v>TASK</x:v>
      </x:c>
      <x:c r="AF6449" s="87" t="str">
        <x:v>VIS-EGKR-BIO-S26-TASK-954-P006: 6</x:v>
      </x:c>
      <x:c r="AG6449" s="87" t="str">
        <x:v>RESOLVED</x:v>
      </x:c>
      <x:c r="AH6449" s="87" t="str">
        <x:v>CROP_VERIFIED</x:v>
      </x:c>
      <x:c r="AI6449" s="30"/>
      <x:c r="AJ6449" s="87" t="str">
        <x:v>clean</x:v>
      </x:c>
      <x:c r="AK6449" s="87" t="str">
        <x:v>clean-v0.24</x:v>
      </x:c>
      <x:c r="AL6449" s="87" t="str">
        <x:v>statgrad_clean_continuation_v0_24(1).xlsx</x:v>
      </x:c>
      <x:c r="AM6449" s="87" t="str">
        <x:v>BIO_EGKR_S26_954</x:v>
      </x:c>
      <x:c r="AN6449" s="87" t="n">
        <x:v>22</x:v>
      </x:c>
    </x:row>
    <x:row r="6450">
      <x:c r="A6450" s="87" t="n">
        <x:v>6449</x:v>
      </x:c>
      <x:c r="B6450" s="87" t="str">
        <x:v>EGKR-S26-BIO-954-22</x:v>
      </x:c>
      <x:c r="C6450" s="87" t="str">
        <x:v>ЕГКР</x:v>
      </x:c>
      <x:c r="D6450" s="87"/>
      <x:c r="E6450" s="87" t="str">
        <x:v>Весна 2026</x:v>
      </x:c>
      <x:c r="F6450" s="87" t="str">
        <x:v>14.04.2026</x:v>
      </x:c>
      <x:c r="G6450" s="87" t="str">
        <x:v>Биология</x:v>
      </x:c>
      <x:c r="H6450" s="87" t="n">
        <x:v>11</x:v>
      </x:c>
      <x:c r="I6450" s="87"/>
      <x:c r="J6450" s="87" t="str">
        <x:v>954</x:v>
      </x:c>
      <x:c r="K6450" s="87" t="n">
        <x:v>22</x:v>
      </x:c>
      <x:c r="L6450" s="87" t="str">
        <x:v>Развёрнутый ответ</x:v>
      </x:c>
      <x:c r="M6450" s="30" t="str">
        <x:v>Оценить отрицательный контроль опыта с проростками в растворах Гельригеля и Кнопа.</x:v>
      </x:c>
      <x:c r="N6450" s="30" t="str">
        <x:v>Почвенная влага отличается от питьевой воды и содержит соли неизвестной концентрации, поэтому влияние типа раствора на тургор нельзя выделить. Адекватный контроль: поместить проростки в питьевую воду либо раствор с физиологической концентрацией солей, сохранив вид и возраст растений, температуру и остальные условия.</x:v>
      </x:c>
      <x:c r="O6450" s="30" t="str">
        <x:v>Модель полностью основана на официальных критериях оценивания.</x:v>
      </x:c>
      <x:c r="P6450" s="30"/>
      <x:c r="Q6450" s="30" t="str">
        <x:v>Сопоставление исходного варианта с официальным PDF критериев.</x:v>
      </x:c>
      <x:c r="R6450" s="30"/>
      <x:c r="S6450" s="30" t="str">
        <x:v>EGKR_140426_kriterii.pdf</x:v>
      </x:c>
      <x:c r="T6450" s="30"/>
      <x:c r="U6450" s="30" t="str">
        <x:v>Официальная модель; допускаются эквивалентные формулировки.</x:v>
      </x:c>
      <x:c r="V6450" s="87" t="str">
        <x:v>VERIFIED</x:v>
      </x:c>
      <x:c r="W6450" s="87"/>
      <x:c r="X6450" s="87" t="n">
        <x:v>7</x:v>
      </x:c>
      <x:c r="Y6450" s="87"/>
      <x:c r="Z6450" s="87"/>
      <x:c r="AA6450" s="87"/>
      <x:c r="AB6450" s="87"/>
      <x:c r="AC6450" s="87" t="str">
        <x:v>VIS-EGKR-BIO-S26-TASK-954-P007</x:v>
      </x:c>
      <x:c r="AD6450" s="87" t="str">
        <x:v>VIS-EGKR-BIO-S26-CRITERIA-P001</x:v>
      </x:c>
      <x:c r="AE6450" s="87" t="str">
        <x:v>TASK; OFFICIAL_CRITERIA</x:v>
      </x:c>
      <x:c r="AF6450" s="87" t="str">
        <x:v>VIS-EGKR-BIO-S26-TASK-954-P007: 7; VIS-EGKR-BIO-S26-CRITERIA-P001: 1</x:v>
      </x:c>
      <x:c r="AG6450" s="87" t="str">
        <x:v>RESOLVED</x:v>
      </x:c>
      <x:c r="AH6450" s="87" t="str">
        <x:v>CROP_VERIFIED</x:v>
      </x:c>
      <x:c r="AI6450" s="30"/>
      <x:c r="AJ6450" s="87" t="str">
        <x:v>clean</x:v>
      </x:c>
      <x:c r="AK6450" s="87" t="str">
        <x:v>clean-v0.24</x:v>
      </x:c>
      <x:c r="AL6450" s="87" t="str">
        <x:v>statgrad_clean_continuation_v0_24(1).xlsx</x:v>
      </x:c>
      <x:c r="AM6450" s="87" t="str">
        <x:v>BIO_EGKR_S26_954</x:v>
      </x:c>
      <x:c r="AN6450" s="87" t="n">
        <x:v>23</x:v>
      </x:c>
    </x:row>
    <x:row r="6451">
      <x:c r="A6451" s="87" t="n">
        <x:v>6450</x:v>
      </x:c>
      <x:c r="B6451" s="87" t="str">
        <x:v>EGKR-S26-BIO-954-23</x:v>
      </x:c>
      <x:c r="C6451" s="87" t="str">
        <x:v>ЕГКР</x:v>
      </x:c>
      <x:c r="D6451" s="87"/>
      <x:c r="E6451" s="87" t="str">
        <x:v>Весна 2026</x:v>
      </x:c>
      <x:c r="F6451" s="87" t="str">
        <x:v>14.04.2026</x:v>
      </x:c>
      <x:c r="G6451" s="87" t="str">
        <x:v>Биология</x:v>
      </x:c>
      <x:c r="H6451" s="87" t="n">
        <x:v>11</x:v>
      </x:c>
      <x:c r="I6451" s="87"/>
      <x:c r="J6451" s="87" t="str">
        <x:v>954</x:v>
      </x:c>
      <x:c r="K6451" s="87" t="n">
        <x:v>23</x:v>
      </x:c>
      <x:c r="L6451" s="87" t="str">
        <x:v>Развёрнутый ответ</x:v>
      </x:c>
      <x:c r="M6451" s="30" t="str">
        <x:v>Объяснить изменение тургора в растворе с концентрацией солей в десять раз выше физиологической и выбор раствора для гидропоники.</x:v>
      </x:c>
      <x:c r="N6451" s="30" t="str">
        <x:v>Тургор уменьшится: гипертонический раствор вызывает выход воды и плазмолиз, а всасывание воды корневыми волосками снижается. Водопроводная вода имеет неизвестную концентрацию солей; специальные растворы содержат оптимальные количества макро- и микроэлементов.</x:v>
      </x:c>
      <x:c r="O6451" s="30" t="str">
        <x:v>Модель полностью основана на официальных критериях оценивания.</x:v>
      </x:c>
      <x:c r="P6451" s="30"/>
      <x:c r="Q6451" s="30" t="str">
        <x:v>Сопоставление исходного варианта с официальным PDF критериев.</x:v>
      </x:c>
      <x:c r="R6451" s="30"/>
      <x:c r="S6451" s="30" t="str">
        <x:v>EGKR_140426_kriterii.pdf</x:v>
      </x:c>
      <x:c r="T6451" s="30"/>
      <x:c r="U6451" s="30" t="str">
        <x:v>Официальная модель; допускаются эквивалентные формулировки.</x:v>
      </x:c>
      <x:c r="V6451" s="87" t="str">
        <x:v>VERIFIED</x:v>
      </x:c>
      <x:c r="W6451" s="87"/>
      <x:c r="X6451" s="87" t="n">
        <x:v>7</x:v>
      </x:c>
      <x:c r="Y6451" s="87"/>
      <x:c r="Z6451" s="87"/>
      <x:c r="AA6451" s="87"/>
      <x:c r="AB6451" s="87"/>
      <x:c r="AC6451" s="87" t="str">
        <x:v>VIS-EGKR-BIO-S26-TASK-954-P007</x:v>
      </x:c>
      <x:c r="AD6451" s="87" t="str">
        <x:v>VIS-EGKR-BIO-S26-CRITERIA-P002</x:v>
      </x:c>
      <x:c r="AE6451" s="87" t="str">
        <x:v>TASK; OFFICIAL_CRITERIA</x:v>
      </x:c>
      <x:c r="AF6451" s="87" t="str">
        <x:v>VIS-EGKR-BIO-S26-TASK-954-P007: 7; VIS-EGKR-BIO-S26-CRITERIA-P002: 2</x:v>
      </x:c>
      <x:c r="AG6451" s="87" t="str">
        <x:v>RESOLVED</x:v>
      </x:c>
      <x:c r="AH6451" s="87" t="str">
        <x:v>CROP_VERIFIED</x:v>
      </x:c>
      <x:c r="AI6451" s="30"/>
      <x:c r="AJ6451" s="87" t="str">
        <x:v>clean</x:v>
      </x:c>
      <x:c r="AK6451" s="87" t="str">
        <x:v>clean-v0.24</x:v>
      </x:c>
      <x:c r="AL6451" s="87" t="str">
        <x:v>statgrad_clean_continuation_v0_24(1).xlsx</x:v>
      </x:c>
      <x:c r="AM6451" s="87" t="str">
        <x:v>BIO_EGKR_S26_954</x:v>
      </x:c>
      <x:c r="AN6451" s="87" t="n">
        <x:v>24</x:v>
      </x:c>
    </x:row>
    <x:row r="6452">
      <x:c r="A6452" s="87" t="n">
        <x:v>6451</x:v>
      </x:c>
      <x:c r="B6452" s="87" t="str">
        <x:v>EGKR-S26-BIO-954-24</x:v>
      </x:c>
      <x:c r="C6452" s="87" t="str">
        <x:v>ЕГКР</x:v>
      </x:c>
      <x:c r="D6452" s="87"/>
      <x:c r="E6452" s="87" t="str">
        <x:v>Весна 2026</x:v>
      </x:c>
      <x:c r="F6452" s="87" t="str">
        <x:v>14.04.2026</x:v>
      </x:c>
      <x:c r="G6452" s="87" t="str">
        <x:v>Биология</x:v>
      </x:c>
      <x:c r="H6452" s="87" t="n">
        <x:v>11</x:v>
      </x:c>
      <x:c r="I6452" s="87"/>
      <x:c r="J6452" s="87" t="str">
        <x:v>954</x:v>
      </x:c>
      <x:c r="K6452" s="87" t="n">
        <x:v>24</x:v>
      </x:c>
      <x:c r="L6452" s="87" t="str">
        <x:v>Развёрнутый ответ</x:v>
      </x:c>
      <x:c r="M6452" s="30" t="str">
        <x:v>Определить тип и фазу деления клетки на рисунке.</x:v>
      </x:c>
      <x:c r="N6452" s="30" t="str">
        <x:v>Это мейоз I, профаза I: сформированы биваленты вследствие конъюгации гомологичных хромосом; разрушается ядерная оболочка и формируется веретено деления.</x:v>
      </x:c>
      <x:c r="O6452" s="30" t="str">
        <x:v>Модель полностью основана на официальных критериях оценивания.</x:v>
      </x:c>
      <x:c r="P6452" s="30"/>
      <x:c r="Q6452" s="30" t="str">
        <x:v>Сопоставление исходного варианта с официальным PDF критериев.</x:v>
      </x:c>
      <x:c r="R6452" s="30"/>
      <x:c r="S6452" s="30" t="str">
        <x:v>EGKR_140426_kriterii.pdf</x:v>
      </x:c>
      <x:c r="T6452" s="30"/>
      <x:c r="U6452" s="30" t="str">
        <x:v>Официальная модель; допускаются эквивалентные формулировки.</x:v>
      </x:c>
      <x:c r="V6452" s="87" t="str">
        <x:v>VERIFIED</x:v>
      </x:c>
      <x:c r="W6452" s="87"/>
      <x:c r="X6452" s="87" t="n">
        <x:v>8</x:v>
      </x:c>
      <x:c r="Y6452" s="87"/>
      <x:c r="Z6452" s="87"/>
      <x:c r="AA6452" s="87"/>
      <x:c r="AB6452" s="87"/>
      <x:c r="AC6452" s="87" t="str">
        <x:v>VIS-EGKR-BIO-S26-TASK-954-P008</x:v>
      </x:c>
      <x:c r="AD6452" s="87" t="str">
        <x:v>VIS-EGKR-BIO-S26-CRITERIA-P002</x:v>
      </x:c>
      <x:c r="AE6452" s="87" t="str">
        <x:v>TASK; OFFICIAL_CRITERIA</x:v>
      </x:c>
      <x:c r="AF6452" s="87" t="str">
        <x:v>VIS-EGKR-BIO-S26-TASK-954-P008: 8; VIS-EGKR-BIO-S26-CRITERIA-P002: 2</x:v>
      </x:c>
      <x:c r="AG6452" s="87" t="str">
        <x:v>RESOLVED</x:v>
      </x:c>
      <x:c r="AH6452" s="87" t="str">
        <x:v>CROP_VERIFIED; TASK_CROP_QA_APPROVED:MANUAL_BBOX</x:v>
      </x:c>
      <x:c r="AI6452" s="30"/>
      <x:c r="AJ6452" s="87" t="str">
        <x:v>clean</x:v>
      </x:c>
      <x:c r="AK6452" s="87" t="str">
        <x:v>clean-v0.24</x:v>
      </x:c>
      <x:c r="AL6452" s="87" t="str">
        <x:v>statgrad_clean_continuation_v0_24(1).xlsx</x:v>
      </x:c>
      <x:c r="AM6452" s="87" t="str">
        <x:v>BIO_EGKR_S26_954</x:v>
      </x:c>
      <x:c r="AN6452" s="87" t="n">
        <x:v>25</x:v>
      </x:c>
    </x:row>
    <x:row r="6453">
      <x:c r="A6453" s="87" t="n">
        <x:v>6452</x:v>
      </x:c>
      <x:c r="B6453" s="87" t="str">
        <x:v>EGKR-S26-BIO-954-25</x:v>
      </x:c>
      <x:c r="C6453" s="87" t="str">
        <x:v>ЕГКР</x:v>
      </x:c>
      <x:c r="D6453" s="87"/>
      <x:c r="E6453" s="87" t="str">
        <x:v>Весна 2026</x:v>
      </x:c>
      <x:c r="F6453" s="87" t="str">
        <x:v>14.04.2026</x:v>
      </x:c>
      <x:c r="G6453" s="87" t="str">
        <x:v>Биология</x:v>
      </x:c>
      <x:c r="H6453" s="87" t="n">
        <x:v>11</x:v>
      </x:c>
      <x:c r="I6453" s="87"/>
      <x:c r="J6453" s="87" t="str">
        <x:v>954</x:v>
      </x:c>
      <x:c r="K6453" s="87" t="n">
        <x:v>25</x:v>
      </x:c>
      <x:c r="L6453" s="87" t="str">
        <x:v>Развёрнутый ответ</x:v>
      </x:c>
      <x:c r="M6453" s="30" t="str">
        <x:v>Объяснить регуляцию сердцебиения после выработки реакции на звук метронома.</x:v>
      </x:c>
      <x:c r="N6453" s="30" t="str">
        <x:v>Регуляция нервная. Звук стал условным раздражителем после многократного сочетания с током, то есть сформировался условный рефлекс. Участвуют слуховой центр височной коры и сердечно-сосудистый центр продолговатого мозга.</x:v>
      </x:c>
      <x:c r="O6453" s="30" t="str">
        <x:v>Модель полностью основана на официальных критериях оценивания.</x:v>
      </x:c>
      <x:c r="P6453" s="30"/>
      <x:c r="Q6453" s="30" t="str">
        <x:v>Сопоставление исходного варианта с официальным PDF критериев.</x:v>
      </x:c>
      <x:c r="R6453" s="30"/>
      <x:c r="S6453" s="30" t="str">
        <x:v>EGKR_140426_kriterii.pdf</x:v>
      </x:c>
      <x:c r="T6453" s="30"/>
      <x:c r="U6453" s="30" t="str">
        <x:v>Официальная модель; допускаются эквивалентные формулировки.</x:v>
      </x:c>
      <x:c r="V6453" s="87" t="str">
        <x:v>VERIFIED</x:v>
      </x:c>
      <x:c r="W6453" s="87"/>
      <x:c r="X6453" s="87" t="n">
        <x:v>8</x:v>
      </x:c>
      <x:c r="Y6453" s="87"/>
      <x:c r="Z6453" s="87"/>
      <x:c r="AA6453" s="87"/>
      <x:c r="AB6453" s="87"/>
      <x:c r="AC6453" s="87" t="str">
        <x:v>VIS-EGKR-BIO-S26-TASK-954-P008</x:v>
      </x:c>
      <x:c r="AD6453" s="87" t="str">
        <x:v>VIS-EGKR-BIO-S26-CRITERIA-P003</x:v>
      </x:c>
      <x:c r="AE6453" s="87" t="str">
        <x:v>TASK; OFFICIAL_CRITERIA</x:v>
      </x:c>
      <x:c r="AF6453" s="87" t="str">
        <x:v>VIS-EGKR-BIO-S26-TASK-954-P008: 8; VIS-EGKR-BIO-S26-CRITERIA-P003: 3</x:v>
      </x:c>
      <x:c r="AG6453" s="87" t="str">
        <x:v>RESOLVED</x:v>
      </x:c>
      <x:c r="AH6453" s="87" t="str">
        <x:v>CROP_VERIFIED</x:v>
      </x:c>
      <x:c r="AI6453" s="30"/>
      <x:c r="AJ6453" s="87" t="str">
        <x:v>clean</x:v>
      </x:c>
      <x:c r="AK6453" s="87" t="str">
        <x:v>clean-v0.24</x:v>
      </x:c>
      <x:c r="AL6453" s="87" t="str">
        <x:v>statgrad_clean_continuation_v0_24(1).xlsx</x:v>
      </x:c>
      <x:c r="AM6453" s="87" t="str">
        <x:v>BIO_EGKR_S26_954</x:v>
      </x:c>
      <x:c r="AN6453" s="87" t="n">
        <x:v>26</x:v>
      </x:c>
    </x:row>
    <x:row r="6454">
      <x:c r="A6454" s="87" t="n">
        <x:v>6453</x:v>
      </x:c>
      <x:c r="B6454" s="87" t="str">
        <x:v>EGKR-S26-BIO-954-26</x:v>
      </x:c>
      <x:c r="C6454" s="87" t="str">
        <x:v>ЕГКР</x:v>
      </x:c>
      <x:c r="D6454" s="87"/>
      <x:c r="E6454" s="87" t="str">
        <x:v>Весна 2026</x:v>
      </x:c>
      <x:c r="F6454" s="87" t="str">
        <x:v>14.04.2026</x:v>
      </x:c>
      <x:c r="G6454" s="87" t="str">
        <x:v>Биология</x:v>
      </x:c>
      <x:c r="H6454" s="87" t="n">
        <x:v>11</x:v>
      </x:c>
      <x:c r="I6454" s="87"/>
      <x:c r="J6454" s="87" t="str">
        <x:v>954</x:v>
      </x:c>
      <x:c r="K6454" s="87" t="n">
        <x:v>26</x:v>
      </x:c>
      <x:c r="L6454" s="87" t="str">
        <x:v>Развёрнутый ответ</x:v>
      </x:c>
      <x:c r="M6454" s="30" t="str">
        <x:v>Раскрыть дрейф генов и условия его решающего значения.</x:v>
      </x:c>
      <x:c r="N6454" s="30" t="str">
        <x:v>Дрейф генов — случайное ненаправленное изменение частот аллелей. Он особенно значим в малых популяциях: случайная гибель особей может устранить аллели, резко изменить их частоты и снизить генетическое разнообразие.</x:v>
      </x:c>
      <x:c r="O6454" s="30" t="str">
        <x:v>Модель полностью основана на официальных критериях оценивания.</x:v>
      </x:c>
      <x:c r="P6454" s="30"/>
      <x:c r="Q6454" s="30" t="str">
        <x:v>Сопоставление исходного варианта с официальным PDF критериев.</x:v>
      </x:c>
      <x:c r="R6454" s="30"/>
      <x:c r="S6454" s="30" t="str">
        <x:v>EGKR_140426_kriterii.pdf</x:v>
      </x:c>
      <x:c r="T6454" s="30"/>
      <x:c r="U6454" s="30" t="str">
        <x:v>Официальная модель; допускаются эквивалентные формулировки.</x:v>
      </x:c>
      <x:c r="V6454" s="87" t="str">
        <x:v>VERIFIED</x:v>
      </x:c>
      <x:c r="W6454" s="87"/>
      <x:c r="X6454" s="87" t="n">
        <x:v>8</x:v>
      </x:c>
      <x:c r="Y6454" s="87"/>
      <x:c r="Z6454" s="87"/>
      <x:c r="AA6454" s="87"/>
      <x:c r="AB6454" s="87"/>
      <x:c r="AC6454" s="87" t="str">
        <x:v>VIS-EGKR-BIO-S26-TASK-954-P008</x:v>
      </x:c>
      <x:c r="AD6454" s="87" t="str">
        <x:v>VIS-EGKR-BIO-S26-CRITERIA-P003</x:v>
      </x:c>
      <x:c r="AE6454" s="87" t="str">
        <x:v>TASK; OFFICIAL_CRITERIA</x:v>
      </x:c>
      <x:c r="AF6454" s="87" t="str">
        <x:v>VIS-EGKR-BIO-S26-TASK-954-P008: 8; VIS-EGKR-BIO-S26-CRITERIA-P003: 3</x:v>
      </x:c>
      <x:c r="AG6454" s="87" t="str">
        <x:v>RESOLVED</x:v>
      </x:c>
      <x:c r="AH6454" s="87" t="str">
        <x:v>CROP_VERIFIED</x:v>
      </x:c>
      <x:c r="AI6454" s="30"/>
      <x:c r="AJ6454" s="87" t="str">
        <x:v>clean</x:v>
      </x:c>
      <x:c r="AK6454" s="87" t="str">
        <x:v>clean-v0.24</x:v>
      </x:c>
      <x:c r="AL6454" s="87" t="str">
        <x:v>statgrad_clean_continuation_v0_24(1).xlsx</x:v>
      </x:c>
      <x:c r="AM6454" s="87" t="str">
        <x:v>BIO_EGKR_S26_954</x:v>
      </x:c>
      <x:c r="AN6454" s="87" t="n">
        <x:v>27</x:v>
      </x:c>
    </x:row>
    <x:row r="6455">
      <x:c r="A6455" s="87" t="n">
        <x:v>6454</x:v>
      </x:c>
      <x:c r="B6455" s="87" t="str">
        <x:v>EGKR-S26-BIO-954-27</x:v>
      </x:c>
      <x:c r="C6455" s="87" t="str">
        <x:v>ЕГКР</x:v>
      </x:c>
      <x:c r="D6455" s="87"/>
      <x:c r="E6455" s="87" t="str">
        <x:v>Весна 2026</x:v>
      </x:c>
      <x:c r="F6455" s="87" t="str">
        <x:v>14.04.2026</x:v>
      </x:c>
      <x:c r="G6455" s="87" t="str">
        <x:v>Биология</x:v>
      </x:c>
      <x:c r="H6455" s="87" t="n">
        <x:v>11</x:v>
      </x:c>
      <x:c r="I6455" s="87"/>
      <x:c r="J6455" s="87" t="str">
        <x:v>954</x:v>
      </x:c>
      <x:c r="K6455" s="87" t="n">
        <x:v>27</x:v>
      </x:c>
      <x:c r="L6455" s="87" t="str">
        <x:v>Развёрнутый ответ</x:v>
      </x:c>
      <x:c r="M6455" s="30" t="str">
        <x:v>Определить фрагмент тРНК, вторичную структуру и переносимую аминокислоту.</x:v>
      </x:c>
      <x:c r="N6455" s="30" t="str">
        <x:v>Фрагмент тРНК: 5'-ГГЦГУАУАЦГГУАЦГЦЦ-3'. Комплементарный участок: 5'-ГГЦГУА-3' / 3'-ЦЦГЦАУ-5', формирующий шпильку. Антикодон 5'-АЦГ-3' соответствует кодону иРНК 5'-ЦГУ-3'; аминокислота — аргинин.</x:v>
      </x:c>
      <x:c r="O6455" s="30" t="str">
        <x:v>Модель полностью основана на официальных критериях оценивания.</x:v>
      </x:c>
      <x:c r="P6455" s="30"/>
      <x:c r="Q6455" s="30" t="str">
        <x:v>Сопоставление исходного варианта с официальным PDF критериев.</x:v>
      </x:c>
      <x:c r="R6455" s="30"/>
      <x:c r="S6455" s="30" t="str">
        <x:v>EGKR_140426_kriterii.pdf</x:v>
      </x:c>
      <x:c r="T6455" s="30"/>
      <x:c r="U6455" s="30" t="str">
        <x:v>Официальная модель; допускаются эквивалентные формулировки.</x:v>
      </x:c>
      <x:c r="V6455" s="87" t="str">
        <x:v>VERIFIED</x:v>
      </x:c>
      <x:c r="W6455" s="87"/>
      <x:c r="X6455" s="87" t="n">
        <x:v>8</x:v>
      </x:c>
      <x:c r="Y6455" s="87"/>
      <x:c r="Z6455" s="87"/>
      <x:c r="AA6455" s="87"/>
      <x:c r="AB6455" s="87"/>
      <x:c r="AC6455" s="87" t="str">
        <x:v>VIS-EGKR-BIO-S26-TASK-954-P008</x:v>
      </x:c>
      <x:c r="AD6455" s="87" t="str">
        <x:v>VIS-EGKR-BIO-S26-CRITERIA-P004</x:v>
      </x:c>
      <x:c r="AE6455" s="87" t="str">
        <x:v>TASK; OFFICIAL_CRITERIA</x:v>
      </x:c>
      <x:c r="AF6455" s="87" t="str">
        <x:v>VIS-EGKR-BIO-S26-TASK-954-P008: 8; VIS-EGKR-BIO-S26-CRITERIA-P004: 4</x:v>
      </x:c>
      <x:c r="AG6455" s="87" t="str">
        <x:v>RESOLVED</x:v>
      </x:c>
      <x:c r="AH6455" s="87" t="str">
        <x:v>CROP_VERIFIED</x:v>
      </x:c>
      <x:c r="AI6455" s="30"/>
      <x:c r="AJ6455" s="87" t="str">
        <x:v>clean</x:v>
      </x:c>
      <x:c r="AK6455" s="87" t="str">
        <x:v>clean-v0.24</x:v>
      </x:c>
      <x:c r="AL6455" s="87" t="str">
        <x:v>statgrad_clean_continuation_v0_24(1).xlsx</x:v>
      </x:c>
      <x:c r="AM6455" s="87" t="str">
        <x:v>BIO_EGKR_S26_954</x:v>
      </x:c>
      <x:c r="AN6455" s="87" t="n">
        <x:v>28</x:v>
      </x:c>
    </x:row>
    <x:row r="6456">
      <x:c r="A6456" s="87" t="n">
        <x:v>6455</x:v>
      </x:c>
      <x:c r="B6456" s="87" t="str">
        <x:v>EGKR-S26-BIO-954-28</x:v>
      </x:c>
      <x:c r="C6456" s="87" t="str">
        <x:v>ЕГКР</x:v>
      </x:c>
      <x:c r="D6456" s="87"/>
      <x:c r="E6456" s="87" t="str">
        <x:v>Весна 2026</x:v>
      </x:c>
      <x:c r="F6456" s="87" t="str">
        <x:v>14.04.2026</x:v>
      </x:c>
      <x:c r="G6456" s="87" t="str">
        <x:v>Биология</x:v>
      </x:c>
      <x:c r="H6456" s="87" t="n">
        <x:v>11</x:v>
      </x:c>
      <x:c r="I6456" s="87"/>
      <x:c r="J6456" s="87" t="str">
        <x:v>954</x:v>
      </x:c>
      <x:c r="K6456" s="87" t="n">
        <x:v>28</x:v>
      </x:c>
      <x:c r="L6456" s="87" t="str">
        <x:v>Развёрнутый ответ</x:v>
      </x:c>
      <x:c r="M6456" s="30" t="str">
        <x:v>Решить задачу о сцепленных с X-хромосомой генах куриной слепоты и атрофии зрительного нерва.</x:v>
      </x:c>
      <x:c r="N6456" s="30" t="str">
        <x:v>Первая женщина X^AbX^aB, мужчина X^ABY; возможны рекомбинантные гаметы X^AB и X^ab. Здоровая моногомозиготная дочь второго брака имеет X^AbX^AB и вступает в брак с X^ABY. В первом браке возможен сын X^abY с обоими заболеваниями, поскольку получает рекомбинантную материнскую X-хромосому и отцовскую Y.</x:v>
      </x:c>
      <x:c r="O6456" s="30" t="str">
        <x:v>Модель полностью основана на официальных критериях оценивания.</x:v>
      </x:c>
      <x:c r="P6456" s="30"/>
      <x:c r="Q6456" s="30" t="str">
        <x:v>Сопоставление исходного варианта с официальным PDF критериев.</x:v>
      </x:c>
      <x:c r="R6456" s="30"/>
      <x:c r="S6456" s="30" t="str">
        <x:v>EGKR_140426_kriterii.pdf</x:v>
      </x:c>
      <x:c r="T6456" s="30"/>
      <x:c r="U6456" s="30" t="str">
        <x:v>Официальная модель; допускаются эквивалентные формулировки.</x:v>
      </x:c>
      <x:c r="V6456" s="87" t="str">
        <x:v>VERIFIED</x:v>
      </x:c>
      <x:c r="W6456" s="87"/>
      <x:c r="X6456" s="87" t="n">
        <x:v>9</x:v>
      </x:c>
      <x:c r="Y6456" s="87"/>
      <x:c r="Z6456" s="87"/>
      <x:c r="AA6456" s="87"/>
      <x:c r="AB6456" s="87"/>
      <x:c r="AC6456" s="87" t="str">
        <x:v>VIS-EGKR-BIO-S26-TASK-954-P009</x:v>
      </x:c>
      <x:c r="AD6456" s="87" t="str">
        <x:v>VIS-EGKR-BIO-S26-CRITERIA-P005</x:v>
      </x:c>
      <x:c r="AE6456" s="87" t="str">
        <x:v>TASK; OFFICIAL_CRITERIA</x:v>
      </x:c>
      <x:c r="AF6456" s="87" t="str">
        <x:v>VIS-EGKR-BIO-S26-TASK-954-P009: 9; VIS-EGKR-BIO-S26-CRITERIA-P005: 5</x:v>
      </x:c>
      <x:c r="AG6456" s="87" t="str">
        <x:v>RESOLVED</x:v>
      </x:c>
      <x:c r="AH6456" s="87" t="str">
        <x:v>CROP_VERIFIED</x:v>
      </x:c>
      <x:c r="AI6456" s="30"/>
      <x:c r="AJ6456" s="87" t="str">
        <x:v>clean</x:v>
      </x:c>
      <x:c r="AK6456" s="87" t="str">
        <x:v>clean-v0.24</x:v>
      </x:c>
      <x:c r="AL6456" s="87" t="str">
        <x:v>statgrad_clean_continuation_v0_24(1).xlsx</x:v>
      </x:c>
      <x:c r="AM6456" s="87" t="str">
        <x:v>BIO_EGKR_S26_954</x:v>
      </x:c>
      <x:c r="AN6456" s="87" t="n">
        <x:v>29</x:v>
      </x:c>
    </x:row>
    <x:row r="6457">
      <x:c r="A6457" s="87" t="n">
        <x:v>6456</x:v>
      </x:c>
      <x:c r="B6457" s="87" t="str">
        <x:v>EGKR-S26-BIO-955-01</x:v>
      </x:c>
      <x:c r="C6457" s="87" t="str">
        <x:v>ЕГКР</x:v>
      </x:c>
      <x:c r="D6457" s="87"/>
      <x:c r="E6457" s="87" t="str">
        <x:v>Весна 2026</x:v>
      </x:c>
      <x:c r="F6457" s="87" t="str">
        <x:v>14.04.2026</x:v>
      </x:c>
      <x:c r="G6457" s="87" t="str">
        <x:v>Биология</x:v>
      </x:c>
      <x:c r="H6457" s="87" t="n">
        <x:v>11</x:v>
      </x:c>
      <x:c r="I6457" s="87"/>
      <x:c r="J6457" s="87" t="str">
        <x:v>955</x:v>
      </x:c>
      <x:c r="K6457" s="87" t="n">
        <x:v>1</x:v>
      </x:c>
      <x:c r="L6457" s="87" t="str">
        <x:v>Биологический термин</x:v>
      </x:c>
      <x:c r="M6457" s="30" t="str">
        <x:v>Определить уровень организации живого, изучаемый указанным методом.</x:v>
      </x:c>
      <x:c r="N6457" s="30" t="str">
        <x:v>МОЛЕКУЛЯРНЫЙ</x:v>
      </x:c>
      <x:c r="O6457" s="30" t="str">
        <x:v>Ответ МОЛЕКУЛЯРНЫЙ независимо сопоставлен с условием на полной странице и задачей линии 1 в банке.</x:v>
      </x:c>
      <x:c r="P6457" s="30"/>
      <x:c r="Q6457" s="30" t="str">
        <x:v>Исходная скан-страница + независимое решение + сверка с задачей банка.</x:v>
      </x:c>
      <x:c r="R6457" s="30"/>
      <x:c r="S6457" s="30" t="str">
        <x:v>https://neofamily.ru/biologiya/task-bank/73234</x:v>
      </x:c>
      <x:c r="T6457" s="30"/>
      <x:c r="U6457" s="30" t="str">
        <x:v>Расхождений не выявлено.</x:v>
      </x:c>
      <x:c r="V6457" s="87" t="str">
        <x:v>VERIFIED</x:v>
      </x:c>
      <x:c r="W6457" s="87"/>
      <x:c r="X6457" s="87" t="n">
        <x:v>1</x:v>
      </x:c>
      <x:c r="Y6457" s="87"/>
      <x:c r="Z6457" s="87"/>
      <x:c r="AA6457" s="87"/>
      <x:c r="AB6457" s="87"/>
      <x:c r="AC6457" s="87" t="str">
        <x:v>VIS-EGKR-BIO-S26-TASK-955-P001</x:v>
      </x:c>
      <x:c r="AD6457" s="87" t="str">
        <x:v>https://neofamily.ru/biologiya/task-bank/73234</x:v>
      </x:c>
      <x:c r="AE6457" s="87" t="str">
        <x:v>TASK</x:v>
      </x:c>
      <x:c r="AF6457" s="87" t="str">
        <x:v>VIS-EGKR-BIO-S26-TASK-955-P001: 1</x:v>
      </x:c>
      <x:c r="AG6457" s="87" t="str">
        <x:v>RESOLVED</x:v>
      </x:c>
      <x:c r="AH6457" s="87" t="str">
        <x:v>CROP_VERIFIED</x:v>
      </x:c>
      <x:c r="AI6457" s="30"/>
      <x:c r="AJ6457" s="87" t="str">
        <x:v>clean</x:v>
      </x:c>
      <x:c r="AK6457" s="87" t="str">
        <x:v>clean-v0.24</x:v>
      </x:c>
      <x:c r="AL6457" s="87" t="str">
        <x:v>statgrad_clean_continuation_v0_24(1).xlsx</x:v>
      </x:c>
      <x:c r="AM6457" s="87" t="str">
        <x:v>BIO_EGKR_S26_955</x:v>
      </x:c>
      <x:c r="AN6457" s="87" t="n">
        <x:v>2</x:v>
      </x:c>
    </x:row>
    <x:row r="6458">
      <x:c r="A6458" s="87" t="n">
        <x:v>6457</x:v>
      </x:c>
      <x:c r="B6458" s="87" t="str">
        <x:v>EGKR-S26-BIO-955-02</x:v>
      </x:c>
      <x:c r="C6458" s="87" t="str">
        <x:v>ЕГКР</x:v>
      </x:c>
      <x:c r="D6458" s="87"/>
      <x:c r="E6458" s="87" t="str">
        <x:v>Весна 2026</x:v>
      </x:c>
      <x:c r="F6458" s="87" t="str">
        <x:v>14.04.2026</x:v>
      </x:c>
      <x:c r="G6458" s="87" t="str">
        <x:v>Биология</x:v>
      </x:c>
      <x:c r="H6458" s="87" t="n">
        <x:v>11</x:v>
      </x:c>
      <x:c r="I6458" s="87"/>
      <x:c r="J6458" s="87" t="str">
        <x:v>955</x:v>
      </x:c>
      <x:c r="K6458" s="87" t="n">
        <x:v>2</x:v>
      </x:c>
      <x:c r="L6458" s="87" t="str">
        <x:v>Эксперимент и изменение величин</x:v>
      </x:c>
      <x:c r="M6458" s="30" t="str">
        <x:v>Определить характер изменения двух экспериментальных величин.</x:v>
      </x:c>
      <x:c r="N6458" s="30" t="str">
        <x:v>21</x:v>
      </x:c>
      <x:c r="O6458" s="30" t="str">
        <x:v>Ответ 21 независимо сопоставлен с условием на полной странице и задачей линии 2 в банке.</x:v>
      </x:c>
      <x:c r="P6458" s="30"/>
      <x:c r="Q6458" s="30" t="str">
        <x:v>Исходная скан-страница + независимое решение + сверка с задачей банка.</x:v>
      </x:c>
      <x:c r="R6458" s="30"/>
      <x:c r="S6458" s="30" t="str">
        <x:v>https://neofamily.ru/biologiya/task-bank/81348</x:v>
      </x:c>
      <x:c r="T6458" s="30"/>
      <x:c r="U6458" s="30" t="str">
        <x:v>Расхождений не выявлено.</x:v>
      </x:c>
      <x:c r="V6458" s="87" t="str">
        <x:v>VERIFIED</x:v>
      </x:c>
      <x:c r="W6458" s="87"/>
      <x:c r="X6458" s="87" t="n">
        <x:v>2</x:v>
      </x:c>
      <x:c r="Y6458" s="87"/>
      <x:c r="Z6458" s="87"/>
      <x:c r="AA6458" s="87"/>
      <x:c r="AB6458" s="87"/>
      <x:c r="AC6458" s="87" t="str">
        <x:v>VIS-EGKR-BIO-S26-TASK-955-P002</x:v>
      </x:c>
      <x:c r="AD6458" s="87" t="str">
        <x:v>https://neofamily.ru/biologiya/task-bank/81348</x:v>
      </x:c>
      <x:c r="AE6458" s="87" t="str">
        <x:v>TASK</x:v>
      </x:c>
      <x:c r="AF6458" s="87" t="str">
        <x:v>VIS-EGKR-BIO-S26-TASK-955-P002: 2</x:v>
      </x:c>
      <x:c r="AG6458" s="87" t="str">
        <x:v>RESOLVED</x:v>
      </x:c>
      <x:c r="AH6458" s="87" t="str">
        <x:v>CROP_VERIFIED</x:v>
      </x:c>
      <x:c r="AI6458" s="30"/>
      <x:c r="AJ6458" s="87" t="str">
        <x:v>clean</x:v>
      </x:c>
      <x:c r="AK6458" s="87" t="str">
        <x:v>clean-v0.24</x:v>
      </x:c>
      <x:c r="AL6458" s="87" t="str">
        <x:v>statgrad_clean_continuation_v0_24(1).xlsx</x:v>
      </x:c>
      <x:c r="AM6458" s="87" t="str">
        <x:v>BIO_EGKR_S26_955</x:v>
      </x:c>
      <x:c r="AN6458" s="87" t="n">
        <x:v>3</x:v>
      </x:c>
    </x:row>
    <x:row r="6459">
      <x:c r="A6459" s="87" t="n">
        <x:v>6458</x:v>
      </x:c>
      <x:c r="B6459" s="87" t="str">
        <x:v>EGKR-S26-BIO-955-03</x:v>
      </x:c>
      <x:c r="C6459" s="87" t="str">
        <x:v>ЕГКР</x:v>
      </x:c>
      <x:c r="D6459" s="87"/>
      <x:c r="E6459" s="87" t="str">
        <x:v>Весна 2026</x:v>
      </x:c>
      <x:c r="F6459" s="87" t="str">
        <x:v>14.04.2026</x:v>
      </x:c>
      <x:c r="G6459" s="87" t="str">
        <x:v>Биология</x:v>
      </x:c>
      <x:c r="H6459" s="87" t="n">
        <x:v>11</x:v>
      </x:c>
      <x:c r="I6459" s="87"/>
      <x:c r="J6459" s="87" t="str">
        <x:v>955</x:v>
      </x:c>
      <x:c r="K6459" s="87" t="n">
        <x:v>3</x:v>
      </x:c>
      <x:c r="L6459" s="87" t="str">
        <x:v>Расчётная биологическая задача</x:v>
      </x:c>
      <x:c r="M6459" s="30" t="str">
        <x:v>Выполнить расчёт по условию молекулярной биологии.</x:v>
      </x:c>
      <x:c r="N6459" s="30" t="str">
        <x:v>20</x:v>
      </x:c>
      <x:c r="O6459" s="30" t="str">
        <x:v>Ответ 20 независимо сопоставлен с условием на полной странице и задачей линии 3 в банке.</x:v>
      </x:c>
      <x:c r="P6459" s="30"/>
      <x:c r="Q6459" s="30" t="str">
        <x:v>Исходная скан-страница + независимое решение + сверка с задачей банка.</x:v>
      </x:c>
      <x:c r="R6459" s="30"/>
      <x:c r="S6459" s="30" t="str">
        <x:v>https://neofamily.ru/biologiya/task-bank/81349</x:v>
      </x:c>
      <x:c r="T6459" s="30"/>
      <x:c r="U6459" s="30" t="str">
        <x:v>Расхождений не выявлено.</x:v>
      </x:c>
      <x:c r="V6459" s="87" t="str">
        <x:v>VERIFIED</x:v>
      </x:c>
      <x:c r="W6459" s="87"/>
      <x:c r="X6459" s="87" t="n">
        <x:v>2</x:v>
      </x:c>
      <x:c r="Y6459" s="87"/>
      <x:c r="Z6459" s="87"/>
      <x:c r="AA6459" s="87"/>
      <x:c r="AB6459" s="87"/>
      <x:c r="AC6459" s="87" t="str">
        <x:v>VIS-EGKR-BIO-S26-TASK-955-P002</x:v>
      </x:c>
      <x:c r="AD6459" s="87" t="str">
        <x:v>https://neofamily.ru/biologiya/task-bank/81349</x:v>
      </x:c>
      <x:c r="AE6459" s="87" t="str">
        <x:v>TASK</x:v>
      </x:c>
      <x:c r="AF6459" s="87" t="str">
        <x:v>VIS-EGKR-BIO-S26-TASK-955-P002: 2</x:v>
      </x:c>
      <x:c r="AG6459" s="87" t="str">
        <x:v>RESOLVED</x:v>
      </x:c>
      <x:c r="AH6459" s="87" t="str">
        <x:v>CROP_VERIFIED</x:v>
      </x:c>
      <x:c r="AI6459" s="30"/>
      <x:c r="AJ6459" s="87" t="str">
        <x:v>clean</x:v>
      </x:c>
      <x:c r="AK6459" s="87" t="str">
        <x:v>clean-v0.24</x:v>
      </x:c>
      <x:c r="AL6459" s="87" t="str">
        <x:v>statgrad_clean_continuation_v0_24(1).xlsx</x:v>
      </x:c>
      <x:c r="AM6459" s="87" t="str">
        <x:v>BIO_EGKR_S26_955</x:v>
      </x:c>
      <x:c r="AN6459" s="87" t="n">
        <x:v>4</x:v>
      </x:c>
    </x:row>
    <x:row r="6460">
      <x:c r="A6460" s="87" t="n">
        <x:v>6459</x:v>
      </x:c>
      <x:c r="B6460" s="87" t="str">
        <x:v>EGKR-S26-BIO-955-04</x:v>
      </x:c>
      <x:c r="C6460" s="87" t="str">
        <x:v>ЕГКР</x:v>
      </x:c>
      <x:c r="D6460" s="87"/>
      <x:c r="E6460" s="87" t="str">
        <x:v>Весна 2026</x:v>
      </x:c>
      <x:c r="F6460" s="87" t="str">
        <x:v>14.04.2026</x:v>
      </x:c>
      <x:c r="G6460" s="87" t="str">
        <x:v>Биология</x:v>
      </x:c>
      <x:c r="H6460" s="87" t="n">
        <x:v>11</x:v>
      </x:c>
      <x:c r="I6460" s="87"/>
      <x:c r="J6460" s="87" t="str">
        <x:v>955</x:v>
      </x:c>
      <x:c r="K6460" s="87" t="n">
        <x:v>4</x:v>
      </x:c>
      <x:c r="L6460" s="87" t="str">
        <x:v>Генетическая задача с кратким ответом</x:v>
      </x:c>
      <x:c r="M6460" s="30" t="str">
        <x:v>Определить число вариантов результата генетического процесса.</x:v>
      </x:c>
      <x:c r="N6460" s="30" t="str">
        <x:v>3</x:v>
      </x:c>
      <x:c r="O6460" s="30" t="str">
        <x:v>Ответ 3 независимо сопоставлен с условием на полной странице и задачей линии 4 в банке.</x:v>
      </x:c>
      <x:c r="P6460" s="30"/>
      <x:c r="Q6460" s="30" t="str">
        <x:v>Исходная скан-страница + независимое решение + сверка с задачей банка.</x:v>
      </x:c>
      <x:c r="R6460" s="30"/>
      <x:c r="S6460" s="30" t="str">
        <x:v>https://neofamily.ru/biologiya/task-bank/81350</x:v>
      </x:c>
      <x:c r="T6460" s="30"/>
      <x:c r="U6460" s="30" t="str">
        <x:v>Расхождений не выявлено.</x:v>
      </x:c>
      <x:c r="V6460" s="87" t="str">
        <x:v>VERIFIED</x:v>
      </x:c>
      <x:c r="W6460" s="87"/>
      <x:c r="X6460" s="87" t="n">
        <x:v>2</x:v>
      </x:c>
      <x:c r="Y6460" s="87"/>
      <x:c r="Z6460" s="87"/>
      <x:c r="AA6460" s="87"/>
      <x:c r="AB6460" s="87"/>
      <x:c r="AC6460" s="87" t="str">
        <x:v>VIS-EGKR-BIO-S26-TASK-955-P002</x:v>
      </x:c>
      <x:c r="AD6460" s="87" t="str">
        <x:v>https://neofamily.ru/biologiya/task-bank/81350</x:v>
      </x:c>
      <x:c r="AE6460" s="87" t="str">
        <x:v>TASK</x:v>
      </x:c>
      <x:c r="AF6460" s="87" t="str">
        <x:v>VIS-EGKR-BIO-S26-TASK-955-P002: 2</x:v>
      </x:c>
      <x:c r="AG6460" s="87" t="str">
        <x:v>RESOLVED</x:v>
      </x:c>
      <x:c r="AH6460" s="87" t="str">
        <x:v>CROP_VERIFIED</x:v>
      </x:c>
      <x:c r="AI6460" s="30"/>
      <x:c r="AJ6460" s="87" t="str">
        <x:v>clean</x:v>
      </x:c>
      <x:c r="AK6460" s="87" t="str">
        <x:v>clean-v0.24</x:v>
      </x:c>
      <x:c r="AL6460" s="87" t="str">
        <x:v>statgrad_clean_continuation_v0_24(1).xlsx</x:v>
      </x:c>
      <x:c r="AM6460" s="87" t="str">
        <x:v>BIO_EGKR_S26_955</x:v>
      </x:c>
      <x:c r="AN6460" s="87" t="n">
        <x:v>5</x:v>
      </x:c>
    </x:row>
    <x:row r="6461">
      <x:c r="A6461" s="87" t="n">
        <x:v>6460</x:v>
      </x:c>
      <x:c r="B6461" s="87" t="str">
        <x:v>EGKR-S26-BIO-955-05</x:v>
      </x:c>
      <x:c r="C6461" s="87" t="str">
        <x:v>ЕГКР</x:v>
      </x:c>
      <x:c r="D6461" s="87"/>
      <x:c r="E6461" s="87" t="str">
        <x:v>Весна 2026</x:v>
      </x:c>
      <x:c r="F6461" s="87" t="str">
        <x:v>14.04.2026</x:v>
      </x:c>
      <x:c r="G6461" s="87" t="str">
        <x:v>Биология</x:v>
      </x:c>
      <x:c r="H6461" s="87" t="n">
        <x:v>11</x:v>
      </x:c>
      <x:c r="I6461" s="87"/>
      <x:c r="J6461" s="87" t="str">
        <x:v>955</x:v>
      </x:c>
      <x:c r="K6461" s="87" t="n">
        <x:v>5</x:v>
      </x:c>
      <x:c r="L6461" s="87" t="str">
        <x:v>Распознавание структуры на рисунке</x:v>
      </x:c>
      <x:c r="M6461" s="30" t="str">
        <x:v>Определить обозначенную клеточную структуру на рисунке.</x:v>
      </x:c>
      <x:c r="N6461" s="30" t="str">
        <x:v>5</x:v>
      </x:c>
      <x:c r="O6461" s="30" t="str">
        <x:v>Ответ 5 независимо сопоставлен с условием на полной странице и задачей линии 5 в банке.</x:v>
      </x:c>
      <x:c r="P6461" s="30"/>
      <x:c r="Q6461" s="30" t="str">
        <x:v>Исходная скан-страница + независимое решение + сверка с задачей банка.</x:v>
      </x:c>
      <x:c r="R6461" s="30"/>
      <x:c r="S6461" s="30" t="str">
        <x:v>https://neofamily.ru/biologiya/task-bank/81351</x:v>
      </x:c>
      <x:c r="T6461" s="30"/>
      <x:c r="U6461" s="30" t="str">
        <x:v>Расхождений не выявлено.</x:v>
      </x:c>
      <x:c r="V6461" s="87" t="str">
        <x:v>VERIFIED</x:v>
      </x:c>
      <x:c r="W6461" s="87"/>
      <x:c r="X6461" s="87" t="n">
        <x:v>2</x:v>
      </x:c>
      <x:c r="Y6461" s="87"/>
      <x:c r="Z6461" s="87"/>
      <x:c r="AA6461" s="87"/>
      <x:c r="AB6461" s="87"/>
      <x:c r="AC6461" s="87" t="str">
        <x:v>VIS-EGKR-BIO-S26-TASK-955-P002</x:v>
      </x:c>
      <x:c r="AD6461" s="87" t="str">
        <x:v>https://neofamily.ru/biologiya/task-bank/81351</x:v>
      </x:c>
      <x:c r="AE6461" s="87" t="str">
        <x:v>TASK</x:v>
      </x:c>
      <x:c r="AF6461" s="87" t="str">
        <x:v>VIS-EGKR-BIO-S26-TASK-955-P002: 2</x:v>
      </x:c>
      <x:c r="AG6461" s="87" t="str">
        <x:v>RESOLVED</x:v>
      </x:c>
      <x:c r="AH6461" s="87" t="str">
        <x:v>CROP_VERIFIED; TASK_CROP_QA_APPROVED:USE_TIGHT</x:v>
      </x:c>
      <x:c r="AI6461" s="30"/>
      <x:c r="AJ6461" s="87" t="str">
        <x:v>clean</x:v>
      </x:c>
      <x:c r="AK6461" s="87" t="str">
        <x:v>clean-v0.24</x:v>
      </x:c>
      <x:c r="AL6461" s="87" t="str">
        <x:v>statgrad_clean_continuation_v0_24(1).xlsx</x:v>
      </x:c>
      <x:c r="AM6461" s="87" t="str">
        <x:v>BIO_EGKR_S26_955</x:v>
      </x:c>
      <x:c r="AN6461" s="87" t="n">
        <x:v>6</x:v>
      </x:c>
    </x:row>
    <x:row r="6462">
      <x:c r="A6462" s="87" t="n">
        <x:v>6461</x:v>
      </x:c>
      <x:c r="B6462" s="87" t="str">
        <x:v>EGKR-S26-BIO-955-06</x:v>
      </x:c>
      <x:c r="C6462" s="87" t="str">
        <x:v>ЕГКР</x:v>
      </x:c>
      <x:c r="D6462" s="87"/>
      <x:c r="E6462" s="87" t="str">
        <x:v>Весна 2026</x:v>
      </x:c>
      <x:c r="F6462" s="87" t="str">
        <x:v>14.04.2026</x:v>
      </x:c>
      <x:c r="G6462" s="87" t="str">
        <x:v>Биология</x:v>
      </x:c>
      <x:c r="H6462" s="87" t="n">
        <x:v>11</x:v>
      </x:c>
      <x:c r="I6462" s="87"/>
      <x:c r="J6462" s="87" t="str">
        <x:v>955</x:v>
      </x:c>
      <x:c r="K6462" s="87" t="n">
        <x:v>6</x:v>
      </x:c>
      <x:c r="L6462" s="87" t="str">
        <x:v>Установление соответствия</x:v>
      </x:c>
      <x:c r="M6462" s="30" t="str">
        <x:v>Соотнести клеточные структуры и их характеристики.</x:v>
      </x:c>
      <x:c r="N6462" s="30" t="str">
        <x:v>132323</x:v>
      </x:c>
      <x:c r="O6462" s="30" t="str">
        <x:v>Ответ 132323 независимо сопоставлен с условием на полной странице и задачей линии 6 в банке.</x:v>
      </x:c>
      <x:c r="P6462" s="30"/>
      <x:c r="Q6462" s="30" t="str">
        <x:v>Исходная скан-страница + независимое решение + сверка с задачей банка.</x:v>
      </x:c>
      <x:c r="R6462" s="30"/>
      <x:c r="S6462" s="30" t="str">
        <x:v>https://neofamily.ru/biologiya/task-bank/81352</x:v>
      </x:c>
      <x:c r="T6462" s="30"/>
      <x:c r="U6462" s="30" t="str">
        <x:v>Расхождений не выявлено.</x:v>
      </x:c>
      <x:c r="V6462" s="87" t="str">
        <x:v>VERIFIED</x:v>
      </x:c>
      <x:c r="W6462" s="87"/>
      <x:c r="X6462" s="87" t="n">
        <x:v>2</x:v>
      </x:c>
      <x:c r="Y6462" s="87"/>
      <x:c r="Z6462" s="87"/>
      <x:c r="AA6462" s="87"/>
      <x:c r="AB6462" s="87"/>
      <x:c r="AC6462" s="87" t="str">
        <x:v>VIS-EGKR-BIO-S26-TASK-955-P002</x:v>
      </x:c>
      <x:c r="AD6462" s="87" t="str">
        <x:v>https://neofamily.ru/biologiya/task-bank/81352</x:v>
      </x:c>
      <x:c r="AE6462" s="87" t="str">
        <x:v>TASK</x:v>
      </x:c>
      <x:c r="AF6462" s="87" t="str">
        <x:v>VIS-EGKR-BIO-S26-TASK-955-P002: 2</x:v>
      </x:c>
      <x:c r="AG6462" s="87" t="str">
        <x:v>RESOLVED</x:v>
      </x:c>
      <x:c r="AH6462" s="87" t="str">
        <x:v>CROP_VERIFIED</x:v>
      </x:c>
      <x:c r="AI6462" s="30"/>
      <x:c r="AJ6462" s="87" t="str">
        <x:v>clean</x:v>
      </x:c>
      <x:c r="AK6462" s="87" t="str">
        <x:v>clean-v0.24</x:v>
      </x:c>
      <x:c r="AL6462" s="87" t="str">
        <x:v>statgrad_clean_continuation_v0_24(1).xlsx</x:v>
      </x:c>
      <x:c r="AM6462" s="87" t="str">
        <x:v>BIO_EGKR_S26_955</x:v>
      </x:c>
      <x:c r="AN6462" s="87" t="n">
        <x:v>7</x:v>
      </x:c>
    </x:row>
    <x:row r="6463">
      <x:c r="A6463" s="87" t="n">
        <x:v>6462</x:v>
      </x:c>
      <x:c r="B6463" s="87" t="str">
        <x:v>EGKR-S26-BIO-955-07</x:v>
      </x:c>
      <x:c r="C6463" s="87" t="str">
        <x:v>ЕГКР</x:v>
      </x:c>
      <x:c r="D6463" s="87"/>
      <x:c r="E6463" s="87" t="str">
        <x:v>Весна 2026</x:v>
      </x:c>
      <x:c r="F6463" s="87" t="str">
        <x:v>14.04.2026</x:v>
      </x:c>
      <x:c r="G6463" s="87" t="str">
        <x:v>Биология</x:v>
      </x:c>
      <x:c r="H6463" s="87" t="n">
        <x:v>11</x:v>
      </x:c>
      <x:c r="I6463" s="87"/>
      <x:c r="J6463" s="87" t="str">
        <x:v>955</x:v>
      </x:c>
      <x:c r="K6463" s="87" t="n">
        <x:v>7</x:v>
      </x:c>
      <x:c r="L6463" s="87" t="str">
        <x:v>Множественный выбор</x:v>
      </x:c>
      <x:c r="M6463" s="30" t="str">
        <x:v>Выбрать три верных признака биологического объекта.</x:v>
      </x:c>
      <x:c r="N6463" s="30" t="str">
        <x:v>135</x:v>
      </x:c>
      <x:c r="O6463" s="30" t="str">
        <x:v>Ответ 135 независимо сопоставлен с условием на полной странице и задачей линии 7 в банке.</x:v>
      </x:c>
      <x:c r="P6463" s="30"/>
      <x:c r="Q6463" s="30" t="str">
        <x:v>Исходная скан-страница + независимое решение + сверка с задачей банка.</x:v>
      </x:c>
      <x:c r="R6463" s="30"/>
      <x:c r="S6463" s="30" t="str">
        <x:v>https://neofamily.ru/biologiya/task-bank/81353</x:v>
      </x:c>
      <x:c r="T6463" s="30"/>
      <x:c r="U6463" s="30" t="str">
        <x:v>Расхождений не выявлено.</x:v>
      </x:c>
      <x:c r="V6463" s="87" t="str">
        <x:v>VERIFIED</x:v>
      </x:c>
      <x:c r="W6463" s="87"/>
      <x:c r="X6463" s="87" t="n">
        <x:v>3</x:v>
      </x:c>
      <x:c r="Y6463" s="87"/>
      <x:c r="Z6463" s="87"/>
      <x:c r="AA6463" s="87"/>
      <x:c r="AB6463" s="87"/>
      <x:c r="AC6463" s="87" t="str">
        <x:v>VIS-EGKR-BIO-S26-TASK-955-P003</x:v>
      </x:c>
      <x:c r="AD6463" s="87" t="str">
        <x:v>https://neofamily.ru/biologiya/task-bank/81353</x:v>
      </x:c>
      <x:c r="AE6463" s="87" t="str">
        <x:v>TASK</x:v>
      </x:c>
      <x:c r="AF6463" s="87" t="str">
        <x:v>VIS-EGKR-BIO-S26-TASK-955-P003: 3</x:v>
      </x:c>
      <x:c r="AG6463" s="87" t="str">
        <x:v>RESOLVED</x:v>
      </x:c>
      <x:c r="AH6463" s="87" t="str">
        <x:v>CROP_VERIFIED</x:v>
      </x:c>
      <x:c r="AI6463" s="30"/>
      <x:c r="AJ6463" s="87" t="str">
        <x:v>clean</x:v>
      </x:c>
      <x:c r="AK6463" s="87" t="str">
        <x:v>clean-v0.24</x:v>
      </x:c>
      <x:c r="AL6463" s="87" t="str">
        <x:v>statgrad_clean_continuation_v0_24(1).xlsx</x:v>
      </x:c>
      <x:c r="AM6463" s="87" t="str">
        <x:v>BIO_EGKR_S26_955</x:v>
      </x:c>
      <x:c r="AN6463" s="87" t="n">
        <x:v>8</x:v>
      </x:c>
    </x:row>
    <x:row r="6464">
      <x:c r="A6464" s="87" t="n">
        <x:v>6463</x:v>
      </x:c>
      <x:c r="B6464" s="87" t="str">
        <x:v>EGKR-S26-BIO-955-08</x:v>
      </x:c>
      <x:c r="C6464" s="87" t="str">
        <x:v>ЕГКР</x:v>
      </x:c>
      <x:c r="D6464" s="87"/>
      <x:c r="E6464" s="87" t="str">
        <x:v>Весна 2026</x:v>
      </x:c>
      <x:c r="F6464" s="87" t="str">
        <x:v>14.04.2026</x:v>
      </x:c>
      <x:c r="G6464" s="87" t="str">
        <x:v>Биология</x:v>
      </x:c>
      <x:c r="H6464" s="87" t="n">
        <x:v>11</x:v>
      </x:c>
      <x:c r="I6464" s="87"/>
      <x:c r="J6464" s="87" t="str">
        <x:v>955</x:v>
      </x:c>
      <x:c r="K6464" s="87" t="n">
        <x:v>8</x:v>
      </x:c>
      <x:c r="L6464" s="87" t="str">
        <x:v>Последовательность биологического процесса</x:v>
      </x:c>
      <x:c r="M6464" s="30" t="str">
        <x:v>Установить последовательность стадий биологического процесса.</x:v>
      </x:c>
      <x:c r="N6464" s="30" t="str">
        <x:v>14325</x:v>
      </x:c>
      <x:c r="O6464" s="30" t="str">
        <x:v>Ответ 14325 независимо сопоставлен с условием на полной странице и задачей линии 8 в банке.</x:v>
      </x:c>
      <x:c r="P6464" s="30"/>
      <x:c r="Q6464" s="30" t="str">
        <x:v>Исходная скан-страница + независимое решение + сверка с задачей банка.</x:v>
      </x:c>
      <x:c r="R6464" s="30"/>
      <x:c r="S6464" s="30" t="str">
        <x:v>https://neofamily.ru/biologiya/task-bank/81354</x:v>
      </x:c>
      <x:c r="T6464" s="30"/>
      <x:c r="U6464" s="30" t="str">
        <x:v>Расхождений не выявлено.</x:v>
      </x:c>
      <x:c r="V6464" s="87" t="str">
        <x:v>VERIFIED</x:v>
      </x:c>
      <x:c r="W6464" s="87"/>
      <x:c r="X6464" s="87" t="n">
        <x:v>3</x:v>
      </x:c>
      <x:c r="Y6464" s="87"/>
      <x:c r="Z6464" s="87"/>
      <x:c r="AA6464" s="87"/>
      <x:c r="AB6464" s="87"/>
      <x:c r="AC6464" s="87" t="str">
        <x:v>VIS-EGKR-BIO-S26-TASK-955-P003</x:v>
      </x:c>
      <x:c r="AD6464" s="87" t="str">
        <x:v>https://neofamily.ru/biologiya/task-bank/81354</x:v>
      </x:c>
      <x:c r="AE6464" s="87" t="str">
        <x:v>TASK</x:v>
      </x:c>
      <x:c r="AF6464" s="87" t="str">
        <x:v>VIS-EGKR-BIO-S26-TASK-955-P003: 3</x:v>
      </x:c>
      <x:c r="AG6464" s="87" t="str">
        <x:v>RESOLVED</x:v>
      </x:c>
      <x:c r="AH6464" s="87" t="str">
        <x:v>CROP_VERIFIED</x:v>
      </x:c>
      <x:c r="AI6464" s="30"/>
      <x:c r="AJ6464" s="87" t="str">
        <x:v>clean</x:v>
      </x:c>
      <x:c r="AK6464" s="87" t="str">
        <x:v>clean-v0.24</x:v>
      </x:c>
      <x:c r="AL6464" s="87" t="str">
        <x:v>statgrad_clean_continuation_v0_24(1).xlsx</x:v>
      </x:c>
      <x:c r="AM6464" s="87" t="str">
        <x:v>BIO_EGKR_S26_955</x:v>
      </x:c>
      <x:c r="AN6464" s="87" t="n">
        <x:v>9</x:v>
      </x:c>
    </x:row>
    <x:row r="6465">
      <x:c r="A6465" s="87" t="n">
        <x:v>6464</x:v>
      </x:c>
      <x:c r="B6465" s="87" t="str">
        <x:v>EGKR-S26-BIO-955-09</x:v>
      </x:c>
      <x:c r="C6465" s="87" t="str">
        <x:v>ЕГКР</x:v>
      </x:c>
      <x:c r="D6465" s="87"/>
      <x:c r="E6465" s="87" t="str">
        <x:v>Весна 2026</x:v>
      </x:c>
      <x:c r="F6465" s="87" t="str">
        <x:v>14.04.2026</x:v>
      </x:c>
      <x:c r="G6465" s="87" t="str">
        <x:v>Биология</x:v>
      </x:c>
      <x:c r="H6465" s="87" t="n">
        <x:v>11</x:v>
      </x:c>
      <x:c r="I6465" s="87"/>
      <x:c r="J6465" s="87" t="str">
        <x:v>955</x:v>
      </x:c>
      <x:c r="K6465" s="87" t="n">
        <x:v>9</x:v>
      </x:c>
      <x:c r="L6465" s="87" t="str">
        <x:v>Распознавание структуры на рисунке</x:v>
      </x:c>
      <x:c r="M6465" s="30" t="str">
        <x:v>Определить обозначенную анатомическую структуру.</x:v>
      </x:c>
      <x:c r="N6465" s="30" t="str">
        <x:v>6</x:v>
      </x:c>
      <x:c r="O6465" s="30" t="str">
        <x:v>Ответ 6 независимо сопоставлен с условием на полной странице и задачей линии 9 в банке.</x:v>
      </x:c>
      <x:c r="P6465" s="30"/>
      <x:c r="Q6465" s="30" t="str">
        <x:v>Исходная скан-страница + независимое решение + сверка с задачей банка.</x:v>
      </x:c>
      <x:c r="R6465" s="30"/>
      <x:c r="S6465" s="30" t="str">
        <x:v>https://neofamily.ru/biologiya/task-bank/81355</x:v>
      </x:c>
      <x:c r="T6465" s="30"/>
      <x:c r="U6465" s="30" t="str">
        <x:v>Расхождений не выявлено.</x:v>
      </x:c>
      <x:c r="V6465" s="87" t="str">
        <x:v>VERIFIED</x:v>
      </x:c>
      <x:c r="W6465" s="87"/>
      <x:c r="X6465" s="87" t="n">
        <x:v>3</x:v>
      </x:c>
      <x:c r="Y6465" s="87"/>
      <x:c r="Z6465" s="87"/>
      <x:c r="AA6465" s="87"/>
      <x:c r="AB6465" s="87"/>
      <x:c r="AC6465" s="87" t="str">
        <x:v>VIS-EGKR-BIO-S26-TASK-955-P003</x:v>
      </x:c>
      <x:c r="AD6465" s="87" t="str">
        <x:v>https://neofamily.ru/biologiya/task-bank/81355</x:v>
      </x:c>
      <x:c r="AE6465" s="87" t="str">
        <x:v>TASK</x:v>
      </x:c>
      <x:c r="AF6465" s="87" t="str">
        <x:v>VIS-EGKR-BIO-S26-TASK-955-P003: 3</x:v>
      </x:c>
      <x:c r="AG6465" s="87" t="str">
        <x:v>RESOLVED</x:v>
      </x:c>
      <x:c r="AH6465" s="87" t="str">
        <x:v>CROP_VERIFIED</x:v>
      </x:c>
      <x:c r="AI6465" s="30"/>
      <x:c r="AJ6465" s="87" t="str">
        <x:v>clean</x:v>
      </x:c>
      <x:c r="AK6465" s="87" t="str">
        <x:v>clean-v0.24</x:v>
      </x:c>
      <x:c r="AL6465" s="87" t="str">
        <x:v>statgrad_clean_continuation_v0_24(1).xlsx</x:v>
      </x:c>
      <x:c r="AM6465" s="87" t="str">
        <x:v>BIO_EGKR_S26_955</x:v>
      </x:c>
      <x:c r="AN6465" s="87" t="n">
        <x:v>10</x:v>
      </x:c>
    </x:row>
    <x:row r="6466">
      <x:c r="A6466" s="87" t="n">
        <x:v>6465</x:v>
      </x:c>
      <x:c r="B6466" s="87" t="str">
        <x:v>EGKR-S26-BIO-955-10</x:v>
      </x:c>
      <x:c r="C6466" s="87" t="str">
        <x:v>ЕГКР</x:v>
      </x:c>
      <x:c r="D6466" s="87"/>
      <x:c r="E6466" s="87" t="str">
        <x:v>Весна 2026</x:v>
      </x:c>
      <x:c r="F6466" s="87" t="str">
        <x:v>14.04.2026</x:v>
      </x:c>
      <x:c r="G6466" s="87" t="str">
        <x:v>Биология</x:v>
      </x:c>
      <x:c r="H6466" s="87" t="n">
        <x:v>11</x:v>
      </x:c>
      <x:c r="I6466" s="87"/>
      <x:c r="J6466" s="87" t="str">
        <x:v>955</x:v>
      </x:c>
      <x:c r="K6466" s="87" t="n">
        <x:v>10</x:v>
      </x:c>
      <x:c r="L6466" s="87" t="str">
        <x:v>Установление соответствия</x:v>
      </x:c>
      <x:c r="M6466" s="30" t="str">
        <x:v>Соотнести органы или структуры организма с функциями.</x:v>
      </x:c>
      <x:c r="N6466" s="30" t="str">
        <x:v>231213</x:v>
      </x:c>
      <x:c r="O6466" s="30" t="str">
        <x:v>Ответ 231213 независимо сопоставлен с условием на полной странице и задачей линии 10 в банке.</x:v>
      </x:c>
      <x:c r="P6466" s="30"/>
      <x:c r="Q6466" s="30" t="str">
        <x:v>Исходная скан-страница + независимое решение + сверка с задачей банка.</x:v>
      </x:c>
      <x:c r="R6466" s="30"/>
      <x:c r="S6466" s="30" t="str">
        <x:v>https://neofamily.ru/biologiya/task-bank/81356</x:v>
      </x:c>
      <x:c r="T6466" s="30"/>
      <x:c r="U6466" s="30" t="str">
        <x:v>Расхождений не выявлено.</x:v>
      </x:c>
      <x:c r="V6466" s="87" t="str">
        <x:v>VERIFIED</x:v>
      </x:c>
      <x:c r="W6466" s="87"/>
      <x:c r="X6466" s="87" t="n">
        <x:v>3</x:v>
      </x:c>
      <x:c r="Y6466" s="87"/>
      <x:c r="Z6466" s="87"/>
      <x:c r="AA6466" s="87"/>
      <x:c r="AB6466" s="87"/>
      <x:c r="AC6466" s="87" t="str">
        <x:v>VIS-EGKR-BIO-S26-TASK-955-P003</x:v>
      </x:c>
      <x:c r="AD6466" s="87" t="str">
        <x:v>https://neofamily.ru/biologiya/task-bank/81356</x:v>
      </x:c>
      <x:c r="AE6466" s="87" t="str">
        <x:v>TASK</x:v>
      </x:c>
      <x:c r="AF6466" s="87" t="str">
        <x:v>VIS-EGKR-BIO-S26-TASK-955-P003: 3</x:v>
      </x:c>
      <x:c r="AG6466" s="87" t="str">
        <x:v>RESOLVED</x:v>
      </x:c>
      <x:c r="AH6466" s="87" t="str">
        <x:v>CROP_VERIFIED</x:v>
      </x:c>
      <x:c r="AI6466" s="30"/>
      <x:c r="AJ6466" s="87" t="str">
        <x:v>clean</x:v>
      </x:c>
      <x:c r="AK6466" s="87" t="str">
        <x:v>clean-v0.24</x:v>
      </x:c>
      <x:c r="AL6466" s="87" t="str">
        <x:v>statgrad_clean_continuation_v0_24(1).xlsx</x:v>
      </x:c>
      <x:c r="AM6466" s="87" t="str">
        <x:v>BIO_EGKR_S26_955</x:v>
      </x:c>
      <x:c r="AN6466" s="87" t="n">
        <x:v>11</x:v>
      </x:c>
    </x:row>
    <x:row r="6467">
      <x:c r="A6467" s="87" t="n">
        <x:v>6466</x:v>
      </x:c>
      <x:c r="B6467" s="87" t="str">
        <x:v>EGKR-S26-BIO-955-11</x:v>
      </x:c>
      <x:c r="C6467" s="87" t="str">
        <x:v>ЕГКР</x:v>
      </x:c>
      <x:c r="D6467" s="87"/>
      <x:c r="E6467" s="87" t="str">
        <x:v>Весна 2026</x:v>
      </x:c>
      <x:c r="F6467" s="87" t="str">
        <x:v>14.04.2026</x:v>
      </x:c>
      <x:c r="G6467" s="87" t="str">
        <x:v>Биология</x:v>
      </x:c>
      <x:c r="H6467" s="87" t="n">
        <x:v>11</x:v>
      </x:c>
      <x:c r="I6467" s="87"/>
      <x:c r="J6467" s="87" t="str">
        <x:v>955</x:v>
      </x:c>
      <x:c r="K6467" s="87" t="n">
        <x:v>11</x:v>
      </x:c>
      <x:c r="L6467" s="87" t="str">
        <x:v>Множественный выбор</x:v>
      </x:c>
      <x:c r="M6467" s="30" t="str">
        <x:v>Выбрать три верных признака эндосперма/растительной структуры.</x:v>
      </x:c>
      <x:c r="N6467" s="30" t="str">
        <x:v>146</x:v>
      </x:c>
      <x:c r="O6467" s="30" t="str">
        <x:v>Ответ 146 независимо сопоставлен с условием на полной странице и задачей линии 11 в банке.</x:v>
      </x:c>
      <x:c r="P6467" s="30"/>
      <x:c r="Q6467" s="30" t="str">
        <x:v>Исходная скан-страница + независимое решение + сверка с задачей банка.</x:v>
      </x:c>
      <x:c r="R6467" s="30"/>
      <x:c r="S6467" s="30" t="str">
        <x:v>https://neofamily.ru/biologiya/task-bank/81357</x:v>
      </x:c>
      <x:c r="T6467" s="30"/>
      <x:c r="U6467" s="30" t="str">
        <x:v>Расхождений не выявлено.</x:v>
      </x:c>
      <x:c r="V6467" s="87" t="str">
        <x:v>VERIFIED</x:v>
      </x:c>
      <x:c r="W6467" s="87"/>
      <x:c r="X6467" s="87" t="n">
        <x:v>4</x:v>
      </x:c>
      <x:c r="Y6467" s="87"/>
      <x:c r="Z6467" s="87"/>
      <x:c r="AA6467" s="87"/>
      <x:c r="AB6467" s="87"/>
      <x:c r="AC6467" s="87" t="str">
        <x:v>VIS-EGKR-BIO-S26-TASK-955-P004</x:v>
      </x:c>
      <x:c r="AD6467" s="87" t="str">
        <x:v>https://neofamily.ru/biologiya/task-bank/81357</x:v>
      </x:c>
      <x:c r="AE6467" s="87" t="str">
        <x:v>TASK</x:v>
      </x:c>
      <x:c r="AF6467" s="87" t="str">
        <x:v>VIS-EGKR-BIO-S26-TASK-955-P004: 4</x:v>
      </x:c>
      <x:c r="AG6467" s="87" t="str">
        <x:v>RESOLVED</x:v>
      </x:c>
      <x:c r="AH6467" s="87" t="str">
        <x:v>CROP_VERIFIED</x:v>
      </x:c>
      <x:c r="AI6467" s="30"/>
      <x:c r="AJ6467" s="87" t="str">
        <x:v>clean</x:v>
      </x:c>
      <x:c r="AK6467" s="87" t="str">
        <x:v>clean-v0.24</x:v>
      </x:c>
      <x:c r="AL6467" s="87" t="str">
        <x:v>statgrad_clean_continuation_v0_24(1).xlsx</x:v>
      </x:c>
      <x:c r="AM6467" s="87" t="str">
        <x:v>BIO_EGKR_S26_955</x:v>
      </x:c>
      <x:c r="AN6467" s="87" t="n">
        <x:v>12</x:v>
      </x:c>
    </x:row>
    <x:row r="6468">
      <x:c r="A6468" s="87" t="n">
        <x:v>6467</x:v>
      </x:c>
      <x:c r="B6468" s="87" t="str">
        <x:v>EGKR-S26-BIO-955-12</x:v>
      </x:c>
      <x:c r="C6468" s="87" t="str">
        <x:v>ЕГКР</x:v>
      </x:c>
      <x:c r="D6468" s="87"/>
      <x:c r="E6468" s="87" t="str">
        <x:v>Весна 2026</x:v>
      </x:c>
      <x:c r="F6468" s="87" t="str">
        <x:v>14.04.2026</x:v>
      </x:c>
      <x:c r="G6468" s="87" t="str">
        <x:v>Биология</x:v>
      </x:c>
      <x:c r="H6468" s="87" t="n">
        <x:v>11</x:v>
      </x:c>
      <x:c r="I6468" s="87"/>
      <x:c r="J6468" s="87" t="str">
        <x:v>955</x:v>
      </x:c>
      <x:c r="K6468" s="87" t="n">
        <x:v>12</x:v>
      </x:c>
      <x:c r="L6468" s="87" t="str">
        <x:v>Систематическая последовательность</x:v>
      </x:c>
      <x:c r="M6468" s="30" t="str">
        <x:v>Расположить систематические группы в заданном порядке.</x:v>
      </x:c>
      <x:c r="N6468" s="30" t="str">
        <x:v>615234</x:v>
      </x:c>
      <x:c r="O6468" s="30" t="str">
        <x:v>Ответ 615234 независимо сопоставлен с условием на полной странице и задачей линии 12 в банке.</x:v>
      </x:c>
      <x:c r="P6468" s="30"/>
      <x:c r="Q6468" s="30" t="str">
        <x:v>Исходная скан-страница + независимое решение + сверка с задачей банка.</x:v>
      </x:c>
      <x:c r="R6468" s="30"/>
      <x:c r="S6468" s="30" t="str">
        <x:v>https://neofamily.ru/biologiya/task-bank/81358</x:v>
      </x:c>
      <x:c r="T6468" s="30"/>
      <x:c r="U6468" s="30" t="str">
        <x:v>Расхождений не выявлено.</x:v>
      </x:c>
      <x:c r="V6468" s="87" t="str">
        <x:v>VERIFIED</x:v>
      </x:c>
      <x:c r="W6468" s="87"/>
      <x:c r="X6468" s="87" t="n">
        <x:v>4</x:v>
      </x:c>
      <x:c r="Y6468" s="87"/>
      <x:c r="Z6468" s="87"/>
      <x:c r="AA6468" s="87"/>
      <x:c r="AB6468" s="87"/>
      <x:c r="AC6468" s="87" t="str">
        <x:v>VIS-EGKR-BIO-S26-TASK-955-P004</x:v>
      </x:c>
      <x:c r="AD6468" s="87" t="str">
        <x:v>https://neofamily.ru/biologiya/task-bank/81358</x:v>
      </x:c>
      <x:c r="AE6468" s="87" t="str">
        <x:v>TASK</x:v>
      </x:c>
      <x:c r="AF6468" s="87" t="str">
        <x:v>VIS-EGKR-BIO-S26-TASK-955-P004: 4</x:v>
      </x:c>
      <x:c r="AG6468" s="87" t="str">
        <x:v>RESOLVED</x:v>
      </x:c>
      <x:c r="AH6468" s="87" t="str">
        <x:v>CROP_VERIFIED</x:v>
      </x:c>
      <x:c r="AI6468" s="30"/>
      <x:c r="AJ6468" s="87" t="str">
        <x:v>clean</x:v>
      </x:c>
      <x:c r="AK6468" s="87" t="str">
        <x:v>clean-v0.24</x:v>
      </x:c>
      <x:c r="AL6468" s="87" t="str">
        <x:v>statgrad_clean_continuation_v0_24(1).xlsx</x:v>
      </x:c>
      <x:c r="AM6468" s="87" t="str">
        <x:v>BIO_EGKR_S26_955</x:v>
      </x:c>
      <x:c r="AN6468" s="87" t="n">
        <x:v>13</x:v>
      </x:c>
    </x:row>
    <x:row r="6469">
      <x:c r="A6469" s="87" t="n">
        <x:v>6468</x:v>
      </x:c>
      <x:c r="B6469" s="87" t="str">
        <x:v>EGKR-S26-BIO-955-13</x:v>
      </x:c>
      <x:c r="C6469" s="87" t="str">
        <x:v>ЕГКР</x:v>
      </x:c>
      <x:c r="D6469" s="87"/>
      <x:c r="E6469" s="87" t="str">
        <x:v>Весна 2026</x:v>
      </x:c>
      <x:c r="F6469" s="87" t="str">
        <x:v>14.04.2026</x:v>
      </x:c>
      <x:c r="G6469" s="87" t="str">
        <x:v>Биология</x:v>
      </x:c>
      <x:c r="H6469" s="87" t="n">
        <x:v>11</x:v>
      </x:c>
      <x:c r="I6469" s="87"/>
      <x:c r="J6469" s="87" t="str">
        <x:v>955</x:v>
      </x:c>
      <x:c r="K6469" s="87" t="n">
        <x:v>13</x:v>
      </x:c>
      <x:c r="L6469" s="87" t="str">
        <x:v>Распознавание структуры на рисунке</x:v>
      </x:c>
      <x:c r="M6469" s="30" t="str">
        <x:v>Определить обозначенную структуру нервной системы.</x:v>
      </x:c>
      <x:c r="N6469" s="30" t="str">
        <x:v>6</x:v>
      </x:c>
      <x:c r="O6469" s="30" t="str">
        <x:v>Ответ 6 независимо сопоставлен с условием на полной странице и задачей линии 13 в банке.</x:v>
      </x:c>
      <x:c r="P6469" s="30"/>
      <x:c r="Q6469" s="30" t="str">
        <x:v>Исходная скан-страница + независимое решение + сверка с задачей банка.</x:v>
      </x:c>
      <x:c r="R6469" s="30"/>
      <x:c r="S6469" s="30" t="str">
        <x:v>https://neofamily.ru/biologiya/task-bank/81359</x:v>
      </x:c>
      <x:c r="T6469" s="30"/>
      <x:c r="U6469" s="30" t="str">
        <x:v>Расхождений не выявлено.</x:v>
      </x:c>
      <x:c r="V6469" s="87" t="str">
        <x:v>VERIFIED</x:v>
      </x:c>
      <x:c r="W6469" s="87"/>
      <x:c r="X6469" s="87" t="n">
        <x:v>4</x:v>
      </x:c>
      <x:c r="Y6469" s="87"/>
      <x:c r="Z6469" s="87"/>
      <x:c r="AA6469" s="87"/>
      <x:c r="AB6469" s="87"/>
      <x:c r="AC6469" s="87" t="str">
        <x:v>VIS-EGKR-BIO-S26-TASK-955-P004</x:v>
      </x:c>
      <x:c r="AD6469" s="87" t="str">
        <x:v>https://neofamily.ru/biologiya/task-bank/81359</x:v>
      </x:c>
      <x:c r="AE6469" s="87" t="str">
        <x:v>TASK</x:v>
      </x:c>
      <x:c r="AF6469" s="87" t="str">
        <x:v>VIS-EGKR-BIO-S26-TASK-955-P004: 4</x:v>
      </x:c>
      <x:c r="AG6469" s="87" t="str">
        <x:v>RESOLVED</x:v>
      </x:c>
      <x:c r="AH6469" s="87" t="str">
        <x:v>CROP_VERIFIED</x:v>
      </x:c>
      <x:c r="AI6469" s="30"/>
      <x:c r="AJ6469" s="87" t="str">
        <x:v>clean</x:v>
      </x:c>
      <x:c r="AK6469" s="87" t="str">
        <x:v>clean-v0.24</x:v>
      </x:c>
      <x:c r="AL6469" s="87" t="str">
        <x:v>statgrad_clean_continuation_v0_24(1).xlsx</x:v>
      </x:c>
      <x:c r="AM6469" s="87" t="str">
        <x:v>BIO_EGKR_S26_955</x:v>
      </x:c>
      <x:c r="AN6469" s="87" t="n">
        <x:v>14</x:v>
      </x:c>
    </x:row>
    <x:row r="6470">
      <x:c r="A6470" s="87" t="n">
        <x:v>6469</x:v>
      </x:c>
      <x:c r="B6470" s="87" t="str">
        <x:v>EGKR-S26-BIO-955-14</x:v>
      </x:c>
      <x:c r="C6470" s="87" t="str">
        <x:v>ЕГКР</x:v>
      </x:c>
      <x:c r="D6470" s="87"/>
      <x:c r="E6470" s="87" t="str">
        <x:v>Весна 2026</x:v>
      </x:c>
      <x:c r="F6470" s="87" t="str">
        <x:v>14.04.2026</x:v>
      </x:c>
      <x:c r="G6470" s="87" t="str">
        <x:v>Биология</x:v>
      </x:c>
      <x:c r="H6470" s="87" t="n">
        <x:v>11</x:v>
      </x:c>
      <x:c r="I6470" s="87"/>
      <x:c r="J6470" s="87" t="str">
        <x:v>955</x:v>
      </x:c>
      <x:c r="K6470" s="87" t="n">
        <x:v>14</x:v>
      </x:c>
      <x:c r="L6470" s="87" t="str">
        <x:v>Установление соответствия</x:v>
      </x:c>
      <x:c r="M6470" s="30" t="str">
        <x:v>Соотнести отделы нервной системы и функции.</x:v>
      </x:c>
      <x:c r="N6470" s="30" t="str">
        <x:v>321223</x:v>
      </x:c>
      <x:c r="O6470" s="30" t="str">
        <x:v>Ответ 321223 независимо сопоставлен с условием на полной странице и задачей линии 14 в банке.</x:v>
      </x:c>
      <x:c r="P6470" s="30"/>
      <x:c r="Q6470" s="30" t="str">
        <x:v>Исходная скан-страница + независимое решение + сверка с задачей банка.</x:v>
      </x:c>
      <x:c r="R6470" s="30"/>
      <x:c r="S6470" s="30" t="str">
        <x:v>https://neofamily.ru/biologiya/task-bank/81360</x:v>
      </x:c>
      <x:c r="T6470" s="30"/>
      <x:c r="U6470" s="30" t="str">
        <x:v>Расхождений не выявлено.</x:v>
      </x:c>
      <x:c r="V6470" s="87" t="str">
        <x:v>VERIFIED</x:v>
      </x:c>
      <x:c r="W6470" s="87"/>
      <x:c r="X6470" s="87" t="n">
        <x:v>4</x:v>
      </x:c>
      <x:c r="Y6470" s="87"/>
      <x:c r="Z6470" s="87"/>
      <x:c r="AA6470" s="87"/>
      <x:c r="AB6470" s="87"/>
      <x:c r="AC6470" s="87" t="str">
        <x:v>VIS-EGKR-BIO-S26-TASK-955-P004</x:v>
      </x:c>
      <x:c r="AD6470" s="87" t="str">
        <x:v>https://neofamily.ru/biologiya/task-bank/81360</x:v>
      </x:c>
      <x:c r="AE6470" s="87" t="str">
        <x:v>TASK</x:v>
      </x:c>
      <x:c r="AF6470" s="87" t="str">
        <x:v>VIS-EGKR-BIO-S26-TASK-955-P004: 4</x:v>
      </x:c>
      <x:c r="AG6470" s="87" t="str">
        <x:v>RESOLVED</x:v>
      </x:c>
      <x:c r="AH6470" s="87" t="str">
        <x:v>CROP_VERIFIED</x:v>
      </x:c>
      <x:c r="AI6470" s="30"/>
      <x:c r="AJ6470" s="87" t="str">
        <x:v>clean</x:v>
      </x:c>
      <x:c r="AK6470" s="87" t="str">
        <x:v>clean-v0.24</x:v>
      </x:c>
      <x:c r="AL6470" s="87" t="str">
        <x:v>statgrad_clean_continuation_v0_24(1).xlsx</x:v>
      </x:c>
      <x:c r="AM6470" s="87" t="str">
        <x:v>BIO_EGKR_S26_955</x:v>
      </x:c>
      <x:c r="AN6470" s="87" t="n">
        <x:v>15</x:v>
      </x:c>
    </x:row>
    <x:row r="6471">
      <x:c r="A6471" s="87" t="n">
        <x:v>6470</x:v>
      </x:c>
      <x:c r="B6471" s="87" t="str">
        <x:v>EGKR-S26-BIO-955-15</x:v>
      </x:c>
      <x:c r="C6471" s="87" t="str">
        <x:v>ЕГКР</x:v>
      </x:c>
      <x:c r="D6471" s="87"/>
      <x:c r="E6471" s="87" t="str">
        <x:v>Весна 2026</x:v>
      </x:c>
      <x:c r="F6471" s="87" t="str">
        <x:v>14.04.2026</x:v>
      </x:c>
      <x:c r="G6471" s="87" t="str">
        <x:v>Биология</x:v>
      </x:c>
      <x:c r="H6471" s="87" t="n">
        <x:v>11</x:v>
      </x:c>
      <x:c r="I6471" s="87"/>
      <x:c r="J6471" s="87" t="str">
        <x:v>955</x:v>
      </x:c>
      <x:c r="K6471" s="87" t="n">
        <x:v>15</x:v>
      </x:c>
      <x:c r="L6471" s="87" t="str">
        <x:v>Анализ подписей к рисунку</x:v>
      </x:c>
      <x:c r="M6471" s="30" t="str">
        <x:v>Выбрать верные подписи к физиологической схеме.</x:v>
      </x:c>
      <x:c r="N6471" s="30" t="str">
        <x:v>123</x:v>
      </x:c>
      <x:c r="O6471" s="30" t="str">
        <x:v>Ответ 123 независимо сопоставлен с условием на полной странице и задачей линии 15 в банке.</x:v>
      </x:c>
      <x:c r="P6471" s="30"/>
      <x:c r="Q6471" s="30" t="str">
        <x:v>Исходная скан-страница + независимое решение + сверка с задачей банка.</x:v>
      </x:c>
      <x:c r="R6471" s="30"/>
      <x:c r="S6471" s="30" t="str">
        <x:v>https://neofamily.ru/biologiya/task-bank/81361</x:v>
      </x:c>
      <x:c r="T6471" s="30"/>
      <x:c r="U6471" s="30" t="str">
        <x:v>Расхождений не выявлено.</x:v>
      </x:c>
      <x:c r="V6471" s="87" t="str">
        <x:v>VERIFIED</x:v>
      </x:c>
      <x:c r="W6471" s="87"/>
      <x:c r="X6471" s="87" t="n">
        <x:v>5</x:v>
      </x:c>
      <x:c r="Y6471" s="87"/>
      <x:c r="Z6471" s="87"/>
      <x:c r="AA6471" s="87"/>
      <x:c r="AB6471" s="87"/>
      <x:c r="AC6471" s="87" t="str">
        <x:v>VIS-EGKR-BIO-S26-TASK-955-P005</x:v>
      </x:c>
      <x:c r="AD6471" s="87" t="str">
        <x:v>https://neofamily.ru/biologiya/task-bank/81361</x:v>
      </x:c>
      <x:c r="AE6471" s="87" t="str">
        <x:v>TASK</x:v>
      </x:c>
      <x:c r="AF6471" s="87" t="str">
        <x:v>VIS-EGKR-BIO-S26-TASK-955-P005: 5</x:v>
      </x:c>
      <x:c r="AG6471" s="87" t="str">
        <x:v>RESOLVED</x:v>
      </x:c>
      <x:c r="AH6471" s="87" t="str">
        <x:v>CROP_VERIFIED</x:v>
      </x:c>
      <x:c r="AI6471" s="30"/>
      <x:c r="AJ6471" s="87" t="str">
        <x:v>clean</x:v>
      </x:c>
      <x:c r="AK6471" s="87" t="str">
        <x:v>clean-v0.24</x:v>
      </x:c>
      <x:c r="AL6471" s="87" t="str">
        <x:v>statgrad_clean_continuation_v0_24(1).xlsx</x:v>
      </x:c>
      <x:c r="AM6471" s="87" t="str">
        <x:v>BIO_EGKR_S26_955</x:v>
      </x:c>
      <x:c r="AN6471" s="87" t="n">
        <x:v>16</x:v>
      </x:c>
    </x:row>
    <x:row r="6472">
      <x:c r="A6472" s="87" t="n">
        <x:v>6471</x:v>
      </x:c>
      <x:c r="B6472" s="87" t="str">
        <x:v>EGKR-S26-BIO-955-16</x:v>
      </x:c>
      <x:c r="C6472" s="87" t="str">
        <x:v>ЕГКР</x:v>
      </x:c>
      <x:c r="D6472" s="87"/>
      <x:c r="E6472" s="87" t="str">
        <x:v>Весна 2026</x:v>
      </x:c>
      <x:c r="F6472" s="87" t="str">
        <x:v>14.04.2026</x:v>
      </x:c>
      <x:c r="G6472" s="87" t="str">
        <x:v>Биология</x:v>
      </x:c>
      <x:c r="H6472" s="87" t="n">
        <x:v>11</x:v>
      </x:c>
      <x:c r="I6472" s="87"/>
      <x:c r="J6472" s="87" t="str">
        <x:v>955</x:v>
      </x:c>
      <x:c r="K6472" s="87" t="n">
        <x:v>16</x:v>
      </x:c>
      <x:c r="L6472" s="87" t="str">
        <x:v>Последовательность структур / уровней</x:v>
      </x:c>
      <x:c r="M6472" s="30" t="str">
        <x:v>Установить последовательность движения вещества в организме.</x:v>
      </x:c>
      <x:c r="N6472" s="30" t="str">
        <x:v>624531</x:v>
      </x:c>
      <x:c r="O6472" s="30" t="str">
        <x:v>Ответ 624531 независимо сопоставлен с условием на полной странице и задачей линии 16 в банке.</x:v>
      </x:c>
      <x:c r="P6472" s="30"/>
      <x:c r="Q6472" s="30" t="str">
        <x:v>Исходная скан-страница + независимое решение + сверка с задачей банка.</x:v>
      </x:c>
      <x:c r="R6472" s="30"/>
      <x:c r="S6472" s="30" t="str">
        <x:v>https://neofamily.ru/biologiya/task-bank/81362</x:v>
      </x:c>
      <x:c r="T6472" s="30"/>
      <x:c r="U6472" s="30" t="str">
        <x:v>Расхождений не выявлено.</x:v>
      </x:c>
      <x:c r="V6472" s="87" t="str">
        <x:v>VERIFIED</x:v>
      </x:c>
      <x:c r="W6472" s="87"/>
      <x:c r="X6472" s="87" t="n">
        <x:v>5</x:v>
      </x:c>
      <x:c r="Y6472" s="87"/>
      <x:c r="Z6472" s="87"/>
      <x:c r="AA6472" s="87"/>
      <x:c r="AB6472" s="87"/>
      <x:c r="AC6472" s="87" t="str">
        <x:v>VIS-EGKR-BIO-S26-TASK-955-P005</x:v>
      </x:c>
      <x:c r="AD6472" s="87" t="str">
        <x:v>https://neofamily.ru/biologiya/task-bank/81362</x:v>
      </x:c>
      <x:c r="AE6472" s="87" t="str">
        <x:v>TASK</x:v>
      </x:c>
      <x:c r="AF6472" s="87" t="str">
        <x:v>VIS-EGKR-BIO-S26-TASK-955-P005: 5</x:v>
      </x:c>
      <x:c r="AG6472" s="87" t="str">
        <x:v>RESOLVED</x:v>
      </x:c>
      <x:c r="AH6472" s="87" t="str">
        <x:v>CROP_VERIFIED</x:v>
      </x:c>
      <x:c r="AI6472" s="30"/>
      <x:c r="AJ6472" s="87" t="str">
        <x:v>clean</x:v>
      </x:c>
      <x:c r="AK6472" s="87" t="str">
        <x:v>clean-v0.24</x:v>
      </x:c>
      <x:c r="AL6472" s="87" t="str">
        <x:v>statgrad_clean_continuation_v0_24(1).xlsx</x:v>
      </x:c>
      <x:c r="AM6472" s="87" t="str">
        <x:v>BIO_EGKR_S26_955</x:v>
      </x:c>
      <x:c r="AN6472" s="87" t="n">
        <x:v>17</x:v>
      </x:c>
    </x:row>
    <x:row r="6473">
      <x:c r="A6473" s="87" t="n">
        <x:v>6472</x:v>
      </x:c>
      <x:c r="B6473" s="87" t="str">
        <x:v>EGKR-S26-BIO-955-17</x:v>
      </x:c>
      <x:c r="C6473" s="87" t="str">
        <x:v>ЕГКР</x:v>
      </x:c>
      <x:c r="D6473" s="87"/>
      <x:c r="E6473" s="87" t="str">
        <x:v>Весна 2026</x:v>
      </x:c>
      <x:c r="F6473" s="87" t="str">
        <x:v>14.04.2026</x:v>
      </x:c>
      <x:c r="G6473" s="87" t="str">
        <x:v>Биология</x:v>
      </x:c>
      <x:c r="H6473" s="87" t="n">
        <x:v>11</x:v>
      </x:c>
      <x:c r="I6473" s="87"/>
      <x:c r="J6473" s="87" t="str">
        <x:v>955</x:v>
      </x:c>
      <x:c r="K6473" s="87" t="n">
        <x:v>17</x:v>
      </x:c>
      <x:c r="L6473" s="87" t="str">
        <x:v>Критерии вида / эволюция</x:v>
      </x:c>
      <x:c r="M6473" s="30" t="str">
        <x:v>Выбрать предложения, описывающие указанный критерий вида.</x:v>
      </x:c>
      <x:c r="N6473" s="30" t="str">
        <x:v>234</x:v>
      </x:c>
      <x:c r="O6473" s="30" t="str">
        <x:v>Ответ 234 независимо сопоставлен с условием на полной странице и задачей линии 17 в банке.</x:v>
      </x:c>
      <x:c r="P6473" s="30"/>
      <x:c r="Q6473" s="30" t="str">
        <x:v>Исходная скан-страница + независимое решение + сверка с задачей банка.</x:v>
      </x:c>
      <x:c r="R6473" s="30"/>
      <x:c r="S6473" s="30" t="str">
        <x:v>https://neofamily.ru/biologiya/task-bank/81363</x:v>
      </x:c>
      <x:c r="T6473" s="30"/>
      <x:c r="U6473" s="30" t="str">
        <x:v>Расхождений не выявлено.</x:v>
      </x:c>
      <x:c r="V6473" s="87" t="str">
        <x:v>VERIFIED</x:v>
      </x:c>
      <x:c r="W6473" s="87"/>
      <x:c r="X6473" s="87" t="n">
        <x:v>5</x:v>
      </x:c>
      <x:c r="Y6473" s="87"/>
      <x:c r="Z6473" s="87"/>
      <x:c r="AA6473" s="87"/>
      <x:c r="AB6473" s="87"/>
      <x:c r="AC6473" s="87" t="str">
        <x:v>VIS-EGKR-BIO-S26-TASK-955-P005</x:v>
      </x:c>
      <x:c r="AD6473" s="87" t="str">
        <x:v>https://neofamily.ru/biologiya/task-bank/81363</x:v>
      </x:c>
      <x:c r="AE6473" s="87" t="str">
        <x:v>TASK</x:v>
      </x:c>
      <x:c r="AF6473" s="87" t="str">
        <x:v>VIS-EGKR-BIO-S26-TASK-955-P005: 5</x:v>
      </x:c>
      <x:c r="AG6473" s="87" t="str">
        <x:v>RESOLVED</x:v>
      </x:c>
      <x:c r="AH6473" s="87" t="str">
        <x:v>CROP_VERIFIED</x:v>
      </x:c>
      <x:c r="AI6473" s="30"/>
      <x:c r="AJ6473" s="87" t="str">
        <x:v>clean</x:v>
      </x:c>
      <x:c r="AK6473" s="87" t="str">
        <x:v>clean-v0.24</x:v>
      </x:c>
      <x:c r="AL6473" s="87" t="str">
        <x:v>statgrad_clean_continuation_v0_24(1).xlsx</x:v>
      </x:c>
      <x:c r="AM6473" s="87" t="str">
        <x:v>BIO_EGKR_S26_955</x:v>
      </x:c>
      <x:c r="AN6473" s="87" t="n">
        <x:v>18</x:v>
      </x:c>
    </x:row>
    <x:row r="6474">
      <x:c r="A6474" s="87" t="n">
        <x:v>6473</x:v>
      </x:c>
      <x:c r="B6474" s="87" t="str">
        <x:v>EGKR-S26-BIO-955-18</x:v>
      </x:c>
      <x:c r="C6474" s="87" t="str">
        <x:v>ЕГКР</x:v>
      </x:c>
      <x:c r="D6474" s="87"/>
      <x:c r="E6474" s="87" t="str">
        <x:v>Весна 2026</x:v>
      </x:c>
      <x:c r="F6474" s="87" t="str">
        <x:v>14.04.2026</x:v>
      </x:c>
      <x:c r="G6474" s="87" t="str">
        <x:v>Биология</x:v>
      </x:c>
      <x:c r="H6474" s="87" t="n">
        <x:v>11</x:v>
      </x:c>
      <x:c r="I6474" s="87"/>
      <x:c r="J6474" s="87" t="str">
        <x:v>955</x:v>
      </x:c>
      <x:c r="K6474" s="87" t="n">
        <x:v>18</x:v>
      </x:c>
      <x:c r="L6474" s="87" t="str">
        <x:v>Приспособления / среда обитания</x:v>
      </x:c>
      <x:c r="M6474" s="30" t="str">
        <x:v>Выбрать отличительные свойства среды обитания.</x:v>
      </x:c>
      <x:c r="N6474" s="30" t="str">
        <x:v>356</x:v>
      </x:c>
      <x:c r="O6474" s="30" t="str">
        <x:v>Ответ 356 независимо сопоставлен с условием на полной странице и задачей линии 18 в банке.</x:v>
      </x:c>
      <x:c r="P6474" s="30"/>
      <x:c r="Q6474" s="30" t="str">
        <x:v>Исходная скан-страница + независимое решение + сверка с задачей банка.</x:v>
      </x:c>
      <x:c r="R6474" s="30"/>
      <x:c r="S6474" s="30" t="str">
        <x:v>https://neofamily.ru/biologiya/task-bank/81364</x:v>
      </x:c>
      <x:c r="T6474" s="30"/>
      <x:c r="U6474" s="30" t="str">
        <x:v>Расхождений не выявлено.</x:v>
      </x:c>
      <x:c r="V6474" s="87" t="str">
        <x:v>VERIFIED</x:v>
      </x:c>
      <x:c r="W6474" s="87"/>
      <x:c r="X6474" s="87" t="n">
        <x:v>5</x:v>
      </x:c>
      <x:c r="Y6474" s="87"/>
      <x:c r="Z6474" s="87"/>
      <x:c r="AA6474" s="87"/>
      <x:c r="AB6474" s="87"/>
      <x:c r="AC6474" s="87" t="str">
        <x:v>VIS-EGKR-BIO-S26-TASK-955-P005</x:v>
      </x:c>
      <x:c r="AD6474" s="87" t="str">
        <x:v>https://neofamily.ru/biologiya/task-bank/81364</x:v>
      </x:c>
      <x:c r="AE6474" s="87" t="str">
        <x:v>TASK</x:v>
      </x:c>
      <x:c r="AF6474" s="87" t="str">
        <x:v>VIS-EGKR-BIO-S26-TASK-955-P005: 5</x:v>
      </x:c>
      <x:c r="AG6474" s="87" t="str">
        <x:v>RESOLVED</x:v>
      </x:c>
      <x:c r="AH6474" s="87" t="str">
        <x:v>CROP_VERIFIED</x:v>
      </x:c>
      <x:c r="AI6474" s="30"/>
      <x:c r="AJ6474" s="87" t="str">
        <x:v>clean</x:v>
      </x:c>
      <x:c r="AK6474" s="87" t="str">
        <x:v>clean-v0.24</x:v>
      </x:c>
      <x:c r="AL6474" s="87" t="str">
        <x:v>statgrad_clean_continuation_v0_24(1).xlsx</x:v>
      </x:c>
      <x:c r="AM6474" s="87" t="str">
        <x:v>BIO_EGKR_S26_955</x:v>
      </x:c>
      <x:c r="AN6474" s="87" t="n">
        <x:v>19</x:v>
      </x:c>
    </x:row>
    <x:row r="6475">
      <x:c r="A6475" s="87" t="n">
        <x:v>6474</x:v>
      </x:c>
      <x:c r="B6475" s="87" t="str">
        <x:v>EGKR-S26-BIO-955-19</x:v>
      </x:c>
      <x:c r="C6475" s="87" t="str">
        <x:v>ЕГКР</x:v>
      </x:c>
      <x:c r="D6475" s="87"/>
      <x:c r="E6475" s="87" t="str">
        <x:v>Весна 2026</x:v>
      </x:c>
      <x:c r="F6475" s="87" t="str">
        <x:v>14.04.2026</x:v>
      </x:c>
      <x:c r="G6475" s="87" t="str">
        <x:v>Биология</x:v>
      </x:c>
      <x:c r="H6475" s="87" t="n">
        <x:v>11</x:v>
      </x:c>
      <x:c r="I6475" s="87"/>
      <x:c r="J6475" s="87" t="str">
        <x:v>955</x:v>
      </x:c>
      <x:c r="K6475" s="87" t="n">
        <x:v>19</x:v>
      </x:c>
      <x:c r="L6475" s="87" t="str">
        <x:v>Экологические группы / соответствие</x:v>
      </x:c>
      <x:c r="M6475" s="30" t="str">
        <x:v>Соотнести паразитические и сапротрофные организмы.</x:v>
      </x:c>
      <x:c r="N6475" s="30" t="str">
        <x:v>112211</x:v>
      </x:c>
      <x:c r="O6475" s="30" t="str">
        <x:v>Ответ 112211 независимо сопоставлен с условием на полной странице и задачей линии 19 в банке.</x:v>
      </x:c>
      <x:c r="P6475" s="30"/>
      <x:c r="Q6475" s="30" t="str">
        <x:v>Исходная скан-страница + независимое решение + сверка с задачей банка.</x:v>
      </x:c>
      <x:c r="R6475" s="30"/>
      <x:c r="S6475" s="30" t="str">
        <x:v>https://neofamily.ru/biologiya/task-bank/81365</x:v>
      </x:c>
      <x:c r="T6475" s="30"/>
      <x:c r="U6475" s="30" t="str">
        <x:v>Расхождений не выявлено.</x:v>
      </x:c>
      <x:c r="V6475" s="87" t="str">
        <x:v>VERIFIED</x:v>
      </x:c>
      <x:c r="W6475" s="87"/>
      <x:c r="X6475" s="87" t="n">
        <x:v>6</x:v>
      </x:c>
      <x:c r="Y6475" s="87"/>
      <x:c r="Z6475" s="87"/>
      <x:c r="AA6475" s="87"/>
      <x:c r="AB6475" s="87"/>
      <x:c r="AC6475" s="87" t="str">
        <x:v>VIS-EGKR-BIO-S26-TASK-955-P006</x:v>
      </x:c>
      <x:c r="AD6475" s="87" t="str">
        <x:v>https://neofamily.ru/biologiya/task-bank/81365</x:v>
      </x:c>
      <x:c r="AE6475" s="87" t="str">
        <x:v>TASK</x:v>
      </x:c>
      <x:c r="AF6475" s="87" t="str">
        <x:v>VIS-EGKR-BIO-S26-TASK-955-P006: 6</x:v>
      </x:c>
      <x:c r="AG6475" s="87" t="str">
        <x:v>RESOLVED</x:v>
      </x:c>
      <x:c r="AH6475" s="87" t="str">
        <x:v>CROP_VERIFIED</x:v>
      </x:c>
      <x:c r="AI6475" s="30"/>
      <x:c r="AJ6475" s="87" t="str">
        <x:v>clean</x:v>
      </x:c>
      <x:c r="AK6475" s="87" t="str">
        <x:v>clean-v0.24</x:v>
      </x:c>
      <x:c r="AL6475" s="87" t="str">
        <x:v>statgrad_clean_continuation_v0_24(1).xlsx</x:v>
      </x:c>
      <x:c r="AM6475" s="87" t="str">
        <x:v>BIO_EGKR_S26_955</x:v>
      </x:c>
      <x:c r="AN6475" s="87" t="n">
        <x:v>20</x:v>
      </x:c>
    </x:row>
    <x:row r="6476">
      <x:c r="A6476" s="87" t="n">
        <x:v>6475</x:v>
      </x:c>
      <x:c r="B6476" s="87" t="str">
        <x:v>EGKR-S26-BIO-955-20</x:v>
      </x:c>
      <x:c r="C6476" s="87" t="str">
        <x:v>ЕГКР</x:v>
      </x:c>
      <x:c r="D6476" s="87"/>
      <x:c r="E6476" s="87" t="str">
        <x:v>Весна 2026</x:v>
      </x:c>
      <x:c r="F6476" s="87" t="str">
        <x:v>14.04.2026</x:v>
      </x:c>
      <x:c r="G6476" s="87" t="str">
        <x:v>Биология</x:v>
      </x:c>
      <x:c r="H6476" s="87" t="n">
        <x:v>11</x:v>
      </x:c>
      <x:c r="I6476" s="87"/>
      <x:c r="J6476" s="87" t="str">
        <x:v>955</x:v>
      </x:c>
      <x:c r="K6476" s="87" t="n">
        <x:v>20</x:v>
      </x:c>
      <x:c r="L6476" s="87" t="str">
        <x:v>Анализ биологической таблицы</x:v>
      </x:c>
      <x:c r="M6476" s="30" t="str">
        <x:v>Заполнить таблицу по направлениям эволюции и гомологии органов.</x:v>
      </x:c>
      <x:c r="N6476" s="30" t="str">
        <x:v>734</x:v>
      </x:c>
      <x:c r="O6476" s="30" t="str">
        <x:v>Ответ 734 независимо сопоставлен с условием на полной странице и задачей линии 20 в банке.</x:v>
      </x:c>
      <x:c r="P6476" s="30"/>
      <x:c r="Q6476" s="30" t="str">
        <x:v>Исходная скан-страница + независимое решение + сверка с задачей банка.</x:v>
      </x:c>
      <x:c r="R6476" s="30"/>
      <x:c r="S6476" s="30" t="str">
        <x:v>https://neofamily.ru/biologiya/task-bank/81366</x:v>
      </x:c>
      <x:c r="T6476" s="30"/>
      <x:c r="U6476" s="30" t="str">
        <x:v>Расхождений не выявлено.</x:v>
      </x:c>
      <x:c r="V6476" s="87" t="str">
        <x:v>VERIFIED</x:v>
      </x:c>
      <x:c r="W6476" s="87"/>
      <x:c r="X6476" s="87" t="n">
        <x:v>6</x:v>
      </x:c>
      <x:c r="Y6476" s="87"/>
      <x:c r="Z6476" s="87"/>
      <x:c r="AA6476" s="87"/>
      <x:c r="AB6476" s="87"/>
      <x:c r="AC6476" s="87" t="str">
        <x:v>VIS-EGKR-BIO-S26-TASK-955-P006</x:v>
      </x:c>
      <x:c r="AD6476" s="87" t="str">
        <x:v>https://neofamily.ru/biologiya/task-bank/81366</x:v>
      </x:c>
      <x:c r="AE6476" s="87" t="str">
        <x:v>TASK</x:v>
      </x:c>
      <x:c r="AF6476" s="87" t="str">
        <x:v>VIS-EGKR-BIO-S26-TASK-955-P006: 6</x:v>
      </x:c>
      <x:c r="AG6476" s="87" t="str">
        <x:v>RESOLVED</x:v>
      </x:c>
      <x:c r="AH6476" s="87" t="str">
        <x:v>CROP_VERIFIED</x:v>
      </x:c>
      <x:c r="AI6476" s="30"/>
      <x:c r="AJ6476" s="87" t="str">
        <x:v>clean</x:v>
      </x:c>
      <x:c r="AK6476" s="87" t="str">
        <x:v>clean-v0.24</x:v>
      </x:c>
      <x:c r="AL6476" s="87" t="str">
        <x:v>statgrad_clean_continuation_v0_24(1).xlsx</x:v>
      </x:c>
      <x:c r="AM6476" s="87" t="str">
        <x:v>BIO_EGKR_S26_955</x:v>
      </x:c>
      <x:c r="AN6476" s="87" t="n">
        <x:v>21</x:v>
      </x:c>
    </x:row>
    <x:row r="6477">
      <x:c r="A6477" s="87" t="n">
        <x:v>6476</x:v>
      </x:c>
      <x:c r="B6477" s="87" t="str">
        <x:v>EGKR-S26-BIO-955-21</x:v>
      </x:c>
      <x:c r="C6477" s="87" t="str">
        <x:v>ЕГКР</x:v>
      </x:c>
      <x:c r="D6477" s="87"/>
      <x:c r="E6477" s="87" t="str">
        <x:v>Весна 2026</x:v>
      </x:c>
      <x:c r="F6477" s="87" t="str">
        <x:v>14.04.2026</x:v>
      </x:c>
      <x:c r="G6477" s="87" t="str">
        <x:v>Биология</x:v>
      </x:c>
      <x:c r="H6477" s="87" t="n">
        <x:v>11</x:v>
      </x:c>
      <x:c r="I6477" s="87"/>
      <x:c r="J6477" s="87" t="str">
        <x:v>955</x:v>
      </x:c>
      <x:c r="K6477" s="87" t="n">
        <x:v>21</x:v>
      </x:c>
      <x:c r="L6477" s="87" t="str">
        <x:v>Анализ графика или данных</x:v>
      </x:c>
      <x:c r="M6477" s="30" t="str">
        <x:v>Выбрать утверждения, подтверждаемые графиком.</x:v>
      </x:c>
      <x:c r="N6477" s="30" t="str">
        <x:v>24</x:v>
      </x:c>
      <x:c r="O6477" s="30" t="str">
        <x:v>Ответ 24 независимо сопоставлен с условием на полной странице и задачей линии 21 в банке.</x:v>
      </x:c>
      <x:c r="P6477" s="30"/>
      <x:c r="Q6477" s="30" t="str">
        <x:v>Исходная скан-страница + независимое решение + сверка с задачей банка.</x:v>
      </x:c>
      <x:c r="R6477" s="30"/>
      <x:c r="S6477" s="30" t="str">
        <x:v>https://neofamily.ru/biologiya/task-bank/81367</x:v>
      </x:c>
      <x:c r="T6477" s="30"/>
      <x:c r="U6477" s="30" t="str">
        <x:v>Расхождений не выявлено.</x:v>
      </x:c>
      <x:c r="V6477" s="87" t="str">
        <x:v>VERIFIED</x:v>
      </x:c>
      <x:c r="W6477" s="87"/>
      <x:c r="X6477" s="87" t="n">
        <x:v>6</x:v>
      </x:c>
      <x:c r="Y6477" s="87"/>
      <x:c r="Z6477" s="87"/>
      <x:c r="AA6477" s="87"/>
      <x:c r="AB6477" s="87"/>
      <x:c r="AC6477" s="87" t="str">
        <x:v>VIS-EGKR-BIO-S26-TASK-955-P006</x:v>
      </x:c>
      <x:c r="AD6477" s="87" t="str">
        <x:v>https://neofamily.ru/biologiya/task-bank/81367</x:v>
      </x:c>
      <x:c r="AE6477" s="87" t="str">
        <x:v>TASK</x:v>
      </x:c>
      <x:c r="AF6477" s="87" t="str">
        <x:v>VIS-EGKR-BIO-S26-TASK-955-P006: 6</x:v>
      </x:c>
      <x:c r="AG6477" s="87" t="str">
        <x:v>RESOLVED</x:v>
      </x:c>
      <x:c r="AH6477" s="87" t="str">
        <x:v>CROP_VERIFIED</x:v>
      </x:c>
      <x:c r="AI6477" s="30"/>
      <x:c r="AJ6477" s="87" t="str">
        <x:v>clean</x:v>
      </x:c>
      <x:c r="AK6477" s="87" t="str">
        <x:v>clean-v0.24</x:v>
      </x:c>
      <x:c r="AL6477" s="87" t="str">
        <x:v>statgrad_clean_continuation_v0_24(1).xlsx</x:v>
      </x:c>
      <x:c r="AM6477" s="87" t="str">
        <x:v>BIO_EGKR_S26_955</x:v>
      </x:c>
      <x:c r="AN6477" s="87" t="n">
        <x:v>22</x:v>
      </x:c>
    </x:row>
    <x:row r="6478">
      <x:c r="A6478" s="87" t="n">
        <x:v>6477</x:v>
      </x:c>
      <x:c r="B6478" s="87" t="str">
        <x:v>EGKR-S26-BIO-955-22</x:v>
      </x:c>
      <x:c r="C6478" s="87" t="str">
        <x:v>ЕГКР</x:v>
      </x:c>
      <x:c r="D6478" s="87"/>
      <x:c r="E6478" s="87" t="str">
        <x:v>Весна 2026</x:v>
      </x:c>
      <x:c r="F6478" s="87" t="str">
        <x:v>14.04.2026</x:v>
      </x:c>
      <x:c r="G6478" s="87" t="str">
        <x:v>Биология</x:v>
      </x:c>
      <x:c r="H6478" s="87" t="n">
        <x:v>11</x:v>
      </x:c>
      <x:c r="I6478" s="87"/>
      <x:c r="J6478" s="87" t="str">
        <x:v>955</x:v>
      </x:c>
      <x:c r="K6478" s="87" t="n">
        <x:v>22</x:v>
      </x:c>
      <x:c r="L6478" s="87" t="str">
        <x:v>Развёрнутый ответ</x:v>
      </x:c>
      <x:c r="M6478" s="30" t="str">
        <x:v>Оценить отрицательный контроль опыта с дрожжами, лактобактериями и кислородом.</x:v>
      </x:c>
      <x:c r="N6478" s="30" t="str">
        <x:v>Кипячёная водопроводная вода отличается от питательной среды и не обеспечивает сопоставимые условия, поэтому влияние кислорода и вида микроорганизма не выделяется. Контроль проводят в той же питательной среде при постоянной физиологической концентрации кислорода и неизменных остальных параметрах.</x:v>
      </x:c>
      <x:c r="O6478" s="30" t="str">
        <x:v>Модель полностью основана на официальных критериях оценивания.</x:v>
      </x:c>
      <x:c r="P6478" s="30"/>
      <x:c r="Q6478" s="30" t="str">
        <x:v>Сопоставление исходного варианта с официальным PDF критериев.</x:v>
      </x:c>
      <x:c r="R6478" s="30"/>
      <x:c r="S6478" s="30" t="str">
        <x:v>EGKR_140426_kriterii.pdf</x:v>
      </x:c>
      <x:c r="T6478" s="30"/>
      <x:c r="U6478" s="30" t="str">
        <x:v>Официальная модель; допускаются эквивалентные формулировки.</x:v>
      </x:c>
      <x:c r="V6478" s="87" t="str">
        <x:v>VERIFIED</x:v>
      </x:c>
      <x:c r="W6478" s="87"/>
      <x:c r="X6478" s="87" t="n">
        <x:v>7</x:v>
      </x:c>
      <x:c r="Y6478" s="87"/>
      <x:c r="Z6478" s="87"/>
      <x:c r="AA6478" s="87"/>
      <x:c r="AB6478" s="87"/>
      <x:c r="AC6478" s="87" t="str">
        <x:v>VIS-EGKR-BIO-S26-TASK-955-P007</x:v>
      </x:c>
      <x:c r="AD6478" s="87" t="str">
        <x:v>VIS-EGKR-BIO-S26-CRITERIA-P006</x:v>
      </x:c>
      <x:c r="AE6478" s="87" t="str">
        <x:v>TASK; OFFICIAL_CRITERIA</x:v>
      </x:c>
      <x:c r="AF6478" s="87" t="str">
        <x:v>VIS-EGKR-BIO-S26-TASK-955-P007: 7; VIS-EGKR-BIO-S26-CRITERIA-P006: 6</x:v>
      </x:c>
      <x:c r="AG6478" s="87" t="str">
        <x:v>RESOLVED</x:v>
      </x:c>
      <x:c r="AH6478" s="87" t="str">
        <x:v>CROP_VERIFIED</x:v>
      </x:c>
      <x:c r="AI6478" s="30"/>
      <x:c r="AJ6478" s="87" t="str">
        <x:v>clean</x:v>
      </x:c>
      <x:c r="AK6478" s="87" t="str">
        <x:v>clean-v0.24</x:v>
      </x:c>
      <x:c r="AL6478" s="87" t="str">
        <x:v>statgrad_clean_continuation_v0_24(1).xlsx</x:v>
      </x:c>
      <x:c r="AM6478" s="87" t="str">
        <x:v>BIO_EGKR_S26_955</x:v>
      </x:c>
      <x:c r="AN6478" s="87" t="n">
        <x:v>23</x:v>
      </x:c>
    </x:row>
    <x:row r="6479">
      <x:c r="A6479" s="87" t="n">
        <x:v>6478</x:v>
      </x:c>
      <x:c r="B6479" s="87" t="str">
        <x:v>EGKR-S26-BIO-955-23</x:v>
      </x:c>
      <x:c r="C6479" s="87" t="str">
        <x:v>ЕГКР</x:v>
      </x:c>
      <x:c r="D6479" s="87"/>
      <x:c r="E6479" s="87" t="str">
        <x:v>Весна 2026</x:v>
      </x:c>
      <x:c r="F6479" s="87" t="str">
        <x:v>14.04.2026</x:v>
      </x:c>
      <x:c r="G6479" s="87" t="str">
        <x:v>Биология</x:v>
      </x:c>
      <x:c r="H6479" s="87" t="n">
        <x:v>11</x:v>
      </x:c>
      <x:c r="I6479" s="87"/>
      <x:c r="J6479" s="87" t="str">
        <x:v>955</x:v>
      </x:c>
      <x:c r="K6479" s="87" t="n">
        <x:v>23</x:v>
      </x:c>
      <x:c r="L6479" s="87" t="str">
        <x:v>Развёрнутый ответ</x:v>
      </x:c>
      <x:c r="M6479" s="30" t="str">
        <x:v>Объяснить изменение обмена дрожжей при повышении кислорода и назвать отличия дрожжей от лактобактерий.</x:v>
      </x:c>
      <x:c r="N6479" s="30" t="str">
        <x:v>Дрожжи переходят к кислородному окислению. Они эукариоты: имеют ядро и линейные хромосомы, мембранные органоиды, клеточную стенку не из муреина, рибосомы 80S и эукариотический цитоскелет.</x:v>
      </x:c>
      <x:c r="O6479" s="30" t="str">
        <x:v>Модель полностью основана на официальных критериях оценивания.</x:v>
      </x:c>
      <x:c r="P6479" s="30"/>
      <x:c r="Q6479" s="30" t="str">
        <x:v>Сопоставление исходного варианта с официальным PDF критериев.</x:v>
      </x:c>
      <x:c r="R6479" s="30"/>
      <x:c r="S6479" s="30" t="str">
        <x:v>EGKR_140426_kriterii.pdf</x:v>
      </x:c>
      <x:c r="T6479" s="30"/>
      <x:c r="U6479" s="30" t="str">
        <x:v>Официальная модель; допускаются эквивалентные формулировки.</x:v>
      </x:c>
      <x:c r="V6479" s="87" t="str">
        <x:v>VERIFIED</x:v>
      </x:c>
      <x:c r="W6479" s="87"/>
      <x:c r="X6479" s="87" t="n">
        <x:v>7</x:v>
      </x:c>
      <x:c r="Y6479" s="87"/>
      <x:c r="Z6479" s="87"/>
      <x:c r="AA6479" s="87"/>
      <x:c r="AB6479" s="87"/>
      <x:c r="AC6479" s="87" t="str">
        <x:v>VIS-EGKR-BIO-S26-TASK-955-P007</x:v>
      </x:c>
      <x:c r="AD6479" s="87" t="str">
        <x:v>VIS-EGKR-BIO-S26-CRITERIA-P007</x:v>
      </x:c>
      <x:c r="AE6479" s="87" t="str">
        <x:v>TASK; OFFICIAL_CRITERIA</x:v>
      </x:c>
      <x:c r="AF6479" s="87" t="str">
        <x:v>VIS-EGKR-BIO-S26-TASK-955-P007: 7; VIS-EGKR-BIO-S26-CRITERIA-P007: 7</x:v>
      </x:c>
      <x:c r="AG6479" s="87" t="str">
        <x:v>RESOLVED</x:v>
      </x:c>
      <x:c r="AH6479" s="87" t="str">
        <x:v>CROP_VERIFIED</x:v>
      </x:c>
      <x:c r="AI6479" s="30"/>
      <x:c r="AJ6479" s="87" t="str">
        <x:v>clean</x:v>
      </x:c>
      <x:c r="AK6479" s="87" t="str">
        <x:v>clean-v0.24</x:v>
      </x:c>
      <x:c r="AL6479" s="87" t="str">
        <x:v>statgrad_clean_continuation_v0_24(1).xlsx</x:v>
      </x:c>
      <x:c r="AM6479" s="87" t="str">
        <x:v>BIO_EGKR_S26_955</x:v>
      </x:c>
      <x:c r="AN6479" s="87" t="n">
        <x:v>24</x:v>
      </x:c>
    </x:row>
    <x:row r="6480">
      <x:c r="A6480" s="87" t="n">
        <x:v>6479</x:v>
      </x:c>
      <x:c r="B6480" s="87" t="str">
        <x:v>EGKR-S26-BIO-955-24</x:v>
      </x:c>
      <x:c r="C6480" s="87" t="str">
        <x:v>ЕГКР</x:v>
      </x:c>
      <x:c r="D6480" s="87"/>
      <x:c r="E6480" s="87" t="str">
        <x:v>Весна 2026</x:v>
      </x:c>
      <x:c r="F6480" s="87" t="str">
        <x:v>14.04.2026</x:v>
      </x:c>
      <x:c r="G6480" s="87" t="str">
        <x:v>Биология</x:v>
      </x:c>
      <x:c r="H6480" s="87" t="n">
        <x:v>11</x:v>
      </x:c>
      <x:c r="I6480" s="87"/>
      <x:c r="J6480" s="87" t="str">
        <x:v>955</x:v>
      </x:c>
      <x:c r="K6480" s="87" t="n">
        <x:v>24</x:v>
      </x:c>
      <x:c r="L6480" s="87" t="str">
        <x:v>Развёрнутый ответ</x:v>
      </x:c>
      <x:c r="M6480" s="30" t="str">
        <x:v>Назвать структуры 1 и 2 на поперечном срезе листа и их функции.</x:v>
      </x:c>
      <x:c r="N6480" s="30" t="str">
        <x:v>1 — эпидерма: живая покровная ткань, выполняющая защитную функцию. 2 — устьице: две замыкающие клетки с хлоропластами и щель; обеспечивает газообмен и транспирацию.</x:v>
      </x:c>
      <x:c r="O6480" s="30" t="str">
        <x:v>Модель полностью основана на официальных критериях оценивания.</x:v>
      </x:c>
      <x:c r="P6480" s="30"/>
      <x:c r="Q6480" s="30" t="str">
        <x:v>Сопоставление исходного варианта с официальным PDF критериев.</x:v>
      </x:c>
      <x:c r="R6480" s="30"/>
      <x:c r="S6480" s="30" t="str">
        <x:v>EGKR_140426_kriterii.pdf</x:v>
      </x:c>
      <x:c r="T6480" s="30"/>
      <x:c r="U6480" s="30" t="str">
        <x:v>Официальная модель; допускаются эквивалентные формулировки.</x:v>
      </x:c>
      <x:c r="V6480" s="87" t="str">
        <x:v>VERIFIED</x:v>
      </x:c>
      <x:c r="W6480" s="87"/>
      <x:c r="X6480" s="87" t="n">
        <x:v>8</x:v>
      </x:c>
      <x:c r="Y6480" s="87"/>
      <x:c r="Z6480" s="87"/>
      <x:c r="AA6480" s="87"/>
      <x:c r="AB6480" s="87"/>
      <x:c r="AC6480" s="87" t="str">
        <x:v>VIS-EGKR-BIO-S26-TASK-955-P008</x:v>
      </x:c>
      <x:c r="AD6480" s="87" t="str">
        <x:v>VIS-EGKR-BIO-S26-CRITERIA-P007</x:v>
      </x:c>
      <x:c r="AE6480" s="87" t="str">
        <x:v>TASK; OFFICIAL_CRITERIA</x:v>
      </x:c>
      <x:c r="AF6480" s="87" t="str">
        <x:v>VIS-EGKR-BIO-S26-TASK-955-P008: 8; VIS-EGKR-BIO-S26-CRITERIA-P007: 7</x:v>
      </x:c>
      <x:c r="AG6480" s="87" t="str">
        <x:v>RESOLVED</x:v>
      </x:c>
      <x:c r="AH6480" s="87" t="str">
        <x:v>CROP_VERIFIED</x:v>
      </x:c>
      <x:c r="AI6480" s="30"/>
      <x:c r="AJ6480" s="87" t="str">
        <x:v>clean</x:v>
      </x:c>
      <x:c r="AK6480" s="87" t="str">
        <x:v>clean-v0.24</x:v>
      </x:c>
      <x:c r="AL6480" s="87" t="str">
        <x:v>statgrad_clean_continuation_v0_24(1).xlsx</x:v>
      </x:c>
      <x:c r="AM6480" s="87" t="str">
        <x:v>BIO_EGKR_S26_955</x:v>
      </x:c>
      <x:c r="AN6480" s="87" t="n">
        <x:v>25</x:v>
      </x:c>
    </x:row>
    <x:row r="6481">
      <x:c r="A6481" s="87" t="n">
        <x:v>6480</x:v>
      </x:c>
      <x:c r="B6481" s="87" t="str">
        <x:v>EGKR-S26-BIO-955-25</x:v>
      </x:c>
      <x:c r="C6481" s="87" t="str">
        <x:v>ЕГКР</x:v>
      </x:c>
      <x:c r="D6481" s="87"/>
      <x:c r="E6481" s="87" t="str">
        <x:v>Весна 2026</x:v>
      </x:c>
      <x:c r="F6481" s="87" t="str">
        <x:v>14.04.2026</x:v>
      </x:c>
      <x:c r="G6481" s="87" t="str">
        <x:v>Биология</x:v>
      </x:c>
      <x:c r="H6481" s="87" t="n">
        <x:v>11</x:v>
      </x:c>
      <x:c r="I6481" s="87"/>
      <x:c r="J6481" s="87" t="str">
        <x:v>955</x:v>
      </x:c>
      <x:c r="K6481" s="87" t="n">
        <x:v>25</x:v>
      </x:c>
      <x:c r="L6481" s="87" t="str">
        <x:v>Развёрнутый ответ</x:v>
      </x:c>
      <x:c r="M6481" s="30" t="str">
        <x:v>Сравнить содержание ненасыщенных жирных кислот в мембранах лягушки и мыши.</x:v>
      </x:c>
      <x:c r="N6481" s="30" t="str">
        <x:v>У лягушки ненасыщенных жирных кислот больше. Лягушка — эктотерм, её температура зависит от среды; мышь поддерживает постоянную температуру. Ненасыщенные кислоты с низкой температурой плавления сохраняют текучесть мембран лягушки при охлаждении.</x:v>
      </x:c>
      <x:c r="O6481" s="30" t="str">
        <x:v>Модель полностью основана на официальных критериях оценивания.</x:v>
      </x:c>
      <x:c r="P6481" s="30"/>
      <x:c r="Q6481" s="30" t="str">
        <x:v>Сопоставление исходного варианта с официальным PDF критериев.</x:v>
      </x:c>
      <x:c r="R6481" s="30"/>
      <x:c r="S6481" s="30" t="str">
        <x:v>EGKR_140426_kriterii.pdf</x:v>
      </x:c>
      <x:c r="T6481" s="30"/>
      <x:c r="U6481" s="30" t="str">
        <x:v>Официальная модель; допускаются эквивалентные формулировки.</x:v>
      </x:c>
      <x:c r="V6481" s="87" t="str">
        <x:v>VERIFIED</x:v>
      </x:c>
      <x:c r="W6481" s="87"/>
      <x:c r="X6481" s="87" t="n">
        <x:v>8</x:v>
      </x:c>
      <x:c r="Y6481" s="87"/>
      <x:c r="Z6481" s="87"/>
      <x:c r="AA6481" s="87"/>
      <x:c r="AB6481" s="87"/>
      <x:c r="AC6481" s="87" t="str">
        <x:v>VIS-EGKR-BIO-S26-TASK-955-P008</x:v>
      </x:c>
      <x:c r="AD6481" s="87" t="str">
        <x:v>VIS-EGKR-BIO-S26-CRITERIA-P008</x:v>
      </x:c>
      <x:c r="AE6481" s="87" t="str">
        <x:v>TASK; OFFICIAL_CRITERIA</x:v>
      </x:c>
      <x:c r="AF6481" s="87" t="str">
        <x:v>VIS-EGKR-BIO-S26-TASK-955-P008: 8; VIS-EGKR-BIO-S26-CRITERIA-P008: 8</x:v>
      </x:c>
      <x:c r="AG6481" s="87" t="str">
        <x:v>RESOLVED</x:v>
      </x:c>
      <x:c r="AH6481" s="87" t="str">
        <x:v>CROP_VERIFIED</x:v>
      </x:c>
      <x:c r="AI6481" s="30"/>
      <x:c r="AJ6481" s="87" t="str">
        <x:v>clean</x:v>
      </x:c>
      <x:c r="AK6481" s="87" t="str">
        <x:v>clean-v0.24</x:v>
      </x:c>
      <x:c r="AL6481" s="87" t="str">
        <x:v>statgrad_clean_continuation_v0_24(1).xlsx</x:v>
      </x:c>
      <x:c r="AM6481" s="87" t="str">
        <x:v>BIO_EGKR_S26_955</x:v>
      </x:c>
      <x:c r="AN6481" s="87" t="n">
        <x:v>26</x:v>
      </x:c>
    </x:row>
    <x:row r="6482">
      <x:c r="A6482" s="87" t="n">
        <x:v>6481</x:v>
      </x:c>
      <x:c r="B6482" s="87" t="str">
        <x:v>EGKR-S26-BIO-955-26</x:v>
      </x:c>
      <x:c r="C6482" s="87" t="str">
        <x:v>ЕГКР</x:v>
      </x:c>
      <x:c r="D6482" s="87"/>
      <x:c r="E6482" s="87" t="str">
        <x:v>Весна 2026</x:v>
      </x:c>
      <x:c r="F6482" s="87" t="str">
        <x:v>14.04.2026</x:v>
      </x:c>
      <x:c r="G6482" s="87" t="str">
        <x:v>Биология</x:v>
      </x:c>
      <x:c r="H6482" s="87" t="n">
        <x:v>11</x:v>
      </x:c>
      <x:c r="I6482" s="87"/>
      <x:c r="J6482" s="87" t="str">
        <x:v>955</x:v>
      </x:c>
      <x:c r="K6482" s="87" t="n">
        <x:v>26</x:v>
      </x:c>
      <x:c r="L6482" s="87" t="str">
        <x:v>Развёрнутый ответ</x:v>
      </x:c>
      <x:c r="M6482" s="30" t="str">
        <x:v>Проанализировать совместимость эритроцитов при генотипе hh и распространённость генотипа в Индии.</x:v>
      </x:c>
      <x:c r="N6482" s="30" t="str">
        <x:v>Эритроциты hh не имеют антигенов A и B, поэтому их можно переливать человеку со II(A) группой. Переливание A-эритроцитов человеку hh вызовет агглютинацию из-за анти-A антител. Повышенная частота hh в Индии может быть связана с близкородственными браками.</x:v>
      </x:c>
      <x:c r="O6482" s="30" t="str">
        <x:v>Модель полностью основана на официальных критериях оценивания.</x:v>
      </x:c>
      <x:c r="P6482" s="30"/>
      <x:c r="Q6482" s="30" t="str">
        <x:v>Сопоставление исходного варианта с официальным PDF критериев.</x:v>
      </x:c>
      <x:c r="R6482" s="30"/>
      <x:c r="S6482" s="30" t="str">
        <x:v>EGKR_140426_kriterii.pdf</x:v>
      </x:c>
      <x:c r="T6482" s="30"/>
      <x:c r="U6482" s="30" t="str">
        <x:v>Официальная модель; допускаются эквивалентные формулировки.</x:v>
      </x:c>
      <x:c r="V6482" s="87" t="str">
        <x:v>VERIFIED</x:v>
      </x:c>
      <x:c r="W6482" s="87"/>
      <x:c r="X6482" s="87" t="n">
        <x:v>8</x:v>
      </x:c>
      <x:c r="Y6482" s="87"/>
      <x:c r="Z6482" s="87"/>
      <x:c r="AA6482" s="87"/>
      <x:c r="AB6482" s="87"/>
      <x:c r="AC6482" s="87" t="str">
        <x:v>VIS-EGKR-BIO-S26-TASK-955-P008</x:v>
      </x:c>
      <x:c r="AD6482" s="87" t="str">
        <x:v>VIS-EGKR-BIO-S26-CRITERIA-P008; VIS-EGKR-BIO-S26-CRITERIA-P009</x:v>
      </x:c>
      <x:c r="AE6482" s="87" t="str">
        <x:v>TASK; OFFICIAL_CRITERIA</x:v>
      </x:c>
      <x:c r="AF6482" s="87" t="str">
        <x:v>VIS-EGKR-BIO-S26-TASK-955-P008: 8; VIS-EGKR-BIO-S26-CRITERIA-P008: 8; VIS-EGKR-BIO-S26-CRITERIA-P009: 9</x:v>
      </x:c>
      <x:c r="AG6482" s="87" t="str">
        <x:v>RESOLVED</x:v>
      </x:c>
      <x:c r="AH6482" s="87" t="str">
        <x:v>CROP_VERIFIED</x:v>
      </x:c>
      <x:c r="AI6482" s="30"/>
      <x:c r="AJ6482" s="87" t="str">
        <x:v>clean</x:v>
      </x:c>
      <x:c r="AK6482" s="87" t="str">
        <x:v>clean-v0.24</x:v>
      </x:c>
      <x:c r="AL6482" s="87" t="str">
        <x:v>statgrad_clean_continuation_v0_24(1).xlsx</x:v>
      </x:c>
      <x:c r="AM6482" s="87" t="str">
        <x:v>BIO_EGKR_S26_955</x:v>
      </x:c>
      <x:c r="AN6482" s="87" t="n">
        <x:v>27</x:v>
      </x:c>
    </x:row>
    <x:row r="6483">
      <x:c r="A6483" s="87" t="n">
        <x:v>6482</x:v>
      </x:c>
      <x:c r="B6483" s="87" t="str">
        <x:v>EGKR-S26-BIO-955-27</x:v>
      </x:c>
      <x:c r="C6483" s="87" t="str">
        <x:v>ЕГКР</x:v>
      </x:c>
      <x:c r="D6483" s="87"/>
      <x:c r="E6483" s="87" t="str">
        <x:v>Весна 2026</x:v>
      </x:c>
      <x:c r="F6483" s="87" t="str">
        <x:v>14.04.2026</x:v>
      </x:c>
      <x:c r="G6483" s="87" t="str">
        <x:v>Биология</x:v>
      </x:c>
      <x:c r="H6483" s="87" t="n">
        <x:v>11</x:v>
      </x:c>
      <x:c r="I6483" s="87"/>
      <x:c r="J6483" s="87" t="str">
        <x:v>955</x:v>
      </x:c>
      <x:c r="K6483" s="87" t="n">
        <x:v>27</x:v>
      </x:c>
      <x:c r="L6483" s="87" t="str">
        <x:v>Развёрнутый ответ</x:v>
      </x:c>
      <x:c r="M6483" s="30" t="str">
        <x:v>Определить фрагмент тРНК, вторичную структуру и переносимую аминокислоту.</x:v>
      </x:c>
      <x:c r="N6483" s="30" t="str">
        <x:v>Фрагмент тРНК: 5'-УАУАГЦГГЦАГГЦУАУА-3'. Комплементарный участок: 5'-УАУАГЦ-3' / 3'-АУАУЦГ-5'. Антикодон 5'-ГЦА-3' соответствует кодону 5'-УГЦ-3'; аминокислота — цистеин.</x:v>
      </x:c>
      <x:c r="O6483" s="30" t="str">
        <x:v>Модель полностью основана на официальных критериях оценивания.</x:v>
      </x:c>
      <x:c r="P6483" s="30"/>
      <x:c r="Q6483" s="30" t="str">
        <x:v>Сопоставление исходного варианта с официальным PDF критериев.</x:v>
      </x:c>
      <x:c r="R6483" s="30"/>
      <x:c r="S6483" s="30" t="str">
        <x:v>EGKR_140426_kriterii.pdf</x:v>
      </x:c>
      <x:c r="T6483" s="30"/>
      <x:c r="U6483" s="30" t="str">
        <x:v>Официальная модель; допускаются эквивалентные формулировки.</x:v>
      </x:c>
      <x:c r="V6483" s="87" t="str">
        <x:v>VERIFIED</x:v>
      </x:c>
      <x:c r="W6483" s="87"/>
      <x:c r="X6483" s="87" t="n">
        <x:v>8</x:v>
      </x:c>
      <x:c r="Y6483" s="87"/>
      <x:c r="Z6483" s="87"/>
      <x:c r="AA6483" s="87"/>
      <x:c r="AB6483" s="87"/>
      <x:c r="AC6483" s="87" t="str">
        <x:v>VIS-EGKR-BIO-S26-TASK-955-P008</x:v>
      </x:c>
      <x:c r="AD6483" s="87" t="str">
        <x:v>VIS-EGKR-BIO-S26-CRITERIA-P009</x:v>
      </x:c>
      <x:c r="AE6483" s="87" t="str">
        <x:v>TASK; OFFICIAL_CRITERIA</x:v>
      </x:c>
      <x:c r="AF6483" s="87" t="str">
        <x:v>VIS-EGKR-BIO-S26-TASK-955-P008: 8; VIS-EGKR-BIO-S26-CRITERIA-P009: 9</x:v>
      </x:c>
      <x:c r="AG6483" s="87" t="str">
        <x:v>RESOLVED</x:v>
      </x:c>
      <x:c r="AH6483" s="87" t="str">
        <x:v>CROP_VERIFIED</x:v>
      </x:c>
      <x:c r="AI6483" s="30"/>
      <x:c r="AJ6483" s="87" t="str">
        <x:v>clean</x:v>
      </x:c>
      <x:c r="AK6483" s="87" t="str">
        <x:v>clean-v0.24</x:v>
      </x:c>
      <x:c r="AL6483" s="87" t="str">
        <x:v>statgrad_clean_continuation_v0_24(1).xlsx</x:v>
      </x:c>
      <x:c r="AM6483" s="87" t="str">
        <x:v>BIO_EGKR_S26_955</x:v>
      </x:c>
      <x:c r="AN6483" s="87" t="n">
        <x:v>28</x:v>
      </x:c>
    </x:row>
    <x:row r="6484">
      <x:c r="A6484" s="87" t="n">
        <x:v>6483</x:v>
      </x:c>
      <x:c r="B6484" s="87" t="str">
        <x:v>EGKR-S26-BIO-955-28</x:v>
      </x:c>
      <x:c r="C6484" s="87" t="str">
        <x:v>ЕГКР</x:v>
      </x:c>
      <x:c r="D6484" s="87"/>
      <x:c r="E6484" s="87" t="str">
        <x:v>Весна 2026</x:v>
      </x:c>
      <x:c r="F6484" s="87" t="str">
        <x:v>14.04.2026</x:v>
      </x:c>
      <x:c r="G6484" s="87" t="str">
        <x:v>Биология</x:v>
      </x:c>
      <x:c r="H6484" s="87" t="n">
        <x:v>11</x:v>
      </x:c>
      <x:c r="I6484" s="87"/>
      <x:c r="J6484" s="87" t="str">
        <x:v>955</x:v>
      </x:c>
      <x:c r="K6484" s="87" t="n">
        <x:v>28</x:v>
      </x:c>
      <x:c r="L6484" s="87" t="str">
        <x:v>Развёрнутый ответ</x:v>
      </x:c>
      <x:c r="M6484" s="30" t="str">
        <x:v>Решить два скрещивания птиц по оперённости ног и окраске оперения.</x:v>
      </x:c>
      <x:c r="N6484" s="30" t="str">
        <x:v>Первое скрещивание: ♀ AAX^BY × ♂ aaX^bX^b; сыновья AaX^BX^b белые с оперёнными ногами, дочери AaX^bY коричневые с оперёнными ногами. Второе: ♀ aaX^bY × ♂ AAX^BX^B; всё потомство с оперёнными ногами и белым оперением. Расщепление окраски в первом опыте связано со сцеплением гена с половой хромосомой.</x:v>
      </x:c>
      <x:c r="O6484" s="30" t="str">
        <x:v>Модель полностью основана на официальных критериях оценивания.</x:v>
      </x:c>
      <x:c r="P6484" s="30"/>
      <x:c r="Q6484" s="30" t="str">
        <x:v>Сопоставление исходного варианта с официальным PDF критериев.</x:v>
      </x:c>
      <x:c r="R6484" s="30"/>
      <x:c r="S6484" s="30" t="str">
        <x:v>EGKR_140426_kriterii.pdf</x:v>
      </x:c>
      <x:c r="T6484" s="30"/>
      <x:c r="U6484" s="30" t="str">
        <x:v>Официальная модель; допускаются эквивалентные формулировки.</x:v>
      </x:c>
      <x:c r="V6484" s="87" t="str">
        <x:v>VERIFIED</x:v>
      </x:c>
      <x:c r="W6484" s="87"/>
      <x:c r="X6484" s="87" t="n">
        <x:v>9</x:v>
      </x:c>
      <x:c r="Y6484" s="87"/>
      <x:c r="Z6484" s="87"/>
      <x:c r="AA6484" s="87"/>
      <x:c r="AB6484" s="87"/>
      <x:c r="AC6484" s="87" t="str">
        <x:v>VIS-EGKR-BIO-S26-TASK-955-P009</x:v>
      </x:c>
      <x:c r="AD6484" s="87" t="str">
        <x:v>VIS-EGKR-BIO-S26-CRITERIA-P010</x:v>
      </x:c>
      <x:c r="AE6484" s="87" t="str">
        <x:v>TASK; OFFICIAL_CRITERIA</x:v>
      </x:c>
      <x:c r="AF6484" s="87" t="str">
        <x:v>VIS-EGKR-BIO-S26-TASK-955-P009: 9; VIS-EGKR-BIO-S26-CRITERIA-P010: 10</x:v>
      </x:c>
      <x:c r="AG6484" s="87" t="str">
        <x:v>RESOLVED</x:v>
      </x:c>
      <x:c r="AH6484" s="87" t="str">
        <x:v>CROP_VERIFIED</x:v>
      </x:c>
      <x:c r="AI6484" s="30"/>
      <x:c r="AJ6484" s="87" t="str">
        <x:v>clean</x:v>
      </x:c>
      <x:c r="AK6484" s="87" t="str">
        <x:v>clean-v0.24</x:v>
      </x:c>
      <x:c r="AL6484" s="87" t="str">
        <x:v>statgrad_clean_continuation_v0_24(1).xlsx</x:v>
      </x:c>
      <x:c r="AM6484" s="87" t="str">
        <x:v>BIO_EGKR_S26_955</x:v>
      </x:c>
      <x:c r="AN6484" s="87" t="n">
        <x:v>29</x:v>
      </x:c>
    </x:row>
    <x:row r="6485">
      <x:c r="A6485" s="87" t="n">
        <x:v>6484</x:v>
      </x:c>
      <x:c r="B6485" s="87" t="str">
        <x:v>EGKR-S26-BIO-956-01</x:v>
      </x:c>
      <x:c r="C6485" s="87" t="str">
        <x:v>ЕГКР</x:v>
      </x:c>
      <x:c r="D6485" s="87"/>
      <x:c r="E6485" s="87" t="str">
        <x:v>Весна 2026</x:v>
      </x:c>
      <x:c r="F6485" s="87" t="str">
        <x:v>14.04.2026</x:v>
      </x:c>
      <x:c r="G6485" s="87" t="str">
        <x:v>Биология</x:v>
      </x:c>
      <x:c r="H6485" s="87" t="n">
        <x:v>11</x:v>
      </x:c>
      <x:c r="I6485" s="87"/>
      <x:c r="J6485" s="87" t="str">
        <x:v>956</x:v>
      </x:c>
      <x:c r="K6485" s="87" t="n">
        <x:v>1</x:v>
      </x:c>
      <x:c r="L6485" s="87" t="str">
        <x:v>Биологический термин</x:v>
      </x:c>
      <x:c r="M6485" s="30" t="str">
        <x:v>Определить пропущенный признак живых систем по примеру увеличения длины костей.</x:v>
      </x:c>
      <x:c r="N6485" s="30" t="str">
        <x:v>РОСТ</x:v>
      </x:c>
      <x:c r="O6485" s="30" t="str">
        <x:v>Увеличение размеров организма в онтогенезе — рост.</x:v>
      </x:c>
      <x:c r="P6485" s="30"/>
      <x:c r="Q6485" s="30" t="str">
        <x:v>Исходная скан-страница + независимое решение + сверка с задачей банка.</x:v>
      </x:c>
      <x:c r="R6485" s="30"/>
      <x:c r="S6485" s="30" t="str">
        <x:v>https://neofamily.ru/biologiya/task-bank/81396</x:v>
      </x:c>
      <x:c r="T6485" s="30"/>
      <x:c r="U6485" s="30" t="str">
        <x:v>Расхождений не выявлено.</x:v>
      </x:c>
      <x:c r="V6485" s="87" t="str">
        <x:v>VERIFIED</x:v>
      </x:c>
      <x:c r="W6485" s="87"/>
      <x:c r="X6485" s="87" t="n">
        <x:v>1</x:v>
      </x:c>
      <x:c r="Y6485" s="87"/>
      <x:c r="Z6485" s="87"/>
      <x:c r="AA6485" s="87"/>
      <x:c r="AB6485" s="87"/>
      <x:c r="AC6485" s="87" t="str">
        <x:v>VIS-EGKR-BIO-S26-TASK-956-P001</x:v>
      </x:c>
      <x:c r="AD6485" s="87" t="str">
        <x:v>https://neofamily.ru/biologiya/task-bank/81396</x:v>
      </x:c>
      <x:c r="AE6485" s="87" t="str">
        <x:v>TASK</x:v>
      </x:c>
      <x:c r="AF6485" s="87" t="str">
        <x:v>VIS-EGKR-BIO-S26-TASK-956-P001: 1</x:v>
      </x:c>
      <x:c r="AG6485" s="87" t="str">
        <x:v>RESOLVED</x:v>
      </x:c>
      <x:c r="AH6485" s="87" t="str">
        <x:v>CROP_VERIFIED</x:v>
      </x:c>
      <x:c r="AI6485" s="30"/>
      <x:c r="AJ6485" s="87" t="str">
        <x:v>clean</x:v>
      </x:c>
      <x:c r="AK6485" s="87" t="str">
        <x:v>clean-v0.24</x:v>
      </x:c>
      <x:c r="AL6485" s="87" t="str">
        <x:v>statgrad_clean_continuation_v0_24(1).xlsx</x:v>
      </x:c>
      <x:c r="AM6485" s="87" t="str">
        <x:v>BIO_EGKR_S26_956</x:v>
      </x:c>
      <x:c r="AN6485" s="87" t="n">
        <x:v>2</x:v>
      </x:c>
    </x:row>
    <x:row r="6486">
      <x:c r="A6486" s="87" t="n">
        <x:v>6485</x:v>
      </x:c>
      <x:c r="B6486" s="87" t="str">
        <x:v>EGKR-S26-BIO-956-02</x:v>
      </x:c>
      <x:c r="C6486" s="87" t="str">
        <x:v>ЕГКР</x:v>
      </x:c>
      <x:c r="D6486" s="87"/>
      <x:c r="E6486" s="87" t="str">
        <x:v>Весна 2026</x:v>
      </x:c>
      <x:c r="F6486" s="87" t="str">
        <x:v>14.04.2026</x:v>
      </x:c>
      <x:c r="G6486" s="87" t="str">
        <x:v>Биология</x:v>
      </x:c>
      <x:c r="H6486" s="87" t="n">
        <x:v>11</x:v>
      </x:c>
      <x:c r="I6486" s="87"/>
      <x:c r="J6486" s="87" t="str">
        <x:v>956</x:v>
      </x:c>
      <x:c r="K6486" s="87" t="n">
        <x:v>2</x:v>
      </x:c>
      <x:c r="L6486" s="87" t="str">
        <x:v>Эксперимент и изменение величин</x:v>
      </x:c>
      <x:c r="M6486" s="30" t="str">
        <x:v>Определить изменение связей в крахмале и целлюлозе под действием амилазы.</x:v>
      </x:c>
      <x:c r="N6486" s="30" t="str">
        <x:v>23</x:v>
      </x:c>
      <x:c r="O6486" s="30" t="str">
        <x:v>Амилаза уменьшает число связей в крахмале, но не изменяет связи целлюлозы: 23.</x:v>
      </x:c>
      <x:c r="P6486" s="30"/>
      <x:c r="Q6486" s="30" t="str">
        <x:v>Исходная скан-страница + независимое решение + сверка с задачей банка.</x:v>
      </x:c>
      <x:c r="R6486" s="30"/>
      <x:c r="S6486" s="30" t="str">
        <x:v>https://neofamily.ru/biologiya/task-bank/81397</x:v>
      </x:c>
      <x:c r="T6486" s="30"/>
      <x:c r="U6486" s="30" t="str">
        <x:v>Расхождений не выявлено.</x:v>
      </x:c>
      <x:c r="V6486" s="87" t="str">
        <x:v>VERIFIED</x:v>
      </x:c>
      <x:c r="W6486" s="87"/>
      <x:c r="X6486" s="87" t="n">
        <x:v>2</x:v>
      </x:c>
      <x:c r="Y6486" s="87"/>
      <x:c r="Z6486" s="87"/>
      <x:c r="AA6486" s="87"/>
      <x:c r="AB6486" s="87"/>
      <x:c r="AC6486" s="87" t="str">
        <x:v>VIS-EGKR-BIO-S26-TASK-956-P002</x:v>
      </x:c>
      <x:c r="AD6486" s="87" t="str">
        <x:v>https://neofamily.ru/biologiya/task-bank/81397</x:v>
      </x:c>
      <x:c r="AE6486" s="87" t="str">
        <x:v>TASK</x:v>
      </x:c>
      <x:c r="AF6486" s="87" t="str">
        <x:v>VIS-EGKR-BIO-S26-TASK-956-P002: 2</x:v>
      </x:c>
      <x:c r="AG6486" s="87" t="str">
        <x:v>RESOLVED</x:v>
      </x:c>
      <x:c r="AH6486" s="87" t="str">
        <x:v>CROP_VERIFIED</x:v>
      </x:c>
      <x:c r="AI6486" s="30"/>
      <x:c r="AJ6486" s="87" t="str">
        <x:v>clean</x:v>
      </x:c>
      <x:c r="AK6486" s="87" t="str">
        <x:v>clean-v0.24</x:v>
      </x:c>
      <x:c r="AL6486" s="87" t="str">
        <x:v>statgrad_clean_continuation_v0_24(1).xlsx</x:v>
      </x:c>
      <x:c r="AM6486" s="87" t="str">
        <x:v>BIO_EGKR_S26_956</x:v>
      </x:c>
      <x:c r="AN6486" s="87" t="n">
        <x:v>3</x:v>
      </x:c>
    </x:row>
    <x:row r="6487">
      <x:c r="A6487" s="87" t="n">
        <x:v>6486</x:v>
      </x:c>
      <x:c r="B6487" s="87" t="str">
        <x:v>EGKR-S26-BIO-956-03</x:v>
      </x:c>
      <x:c r="C6487" s="87" t="str">
        <x:v>ЕГКР</x:v>
      </x:c>
      <x:c r="D6487" s="87"/>
      <x:c r="E6487" s="87" t="str">
        <x:v>Весна 2026</x:v>
      </x:c>
      <x:c r="F6487" s="87" t="str">
        <x:v>14.04.2026</x:v>
      </x:c>
      <x:c r="G6487" s="87" t="str">
        <x:v>Биология</x:v>
      </x:c>
      <x:c r="H6487" s="87" t="n">
        <x:v>11</x:v>
      </x:c>
      <x:c r="I6487" s="87"/>
      <x:c r="J6487" s="87" t="str">
        <x:v>956</x:v>
      </x:c>
      <x:c r="K6487" s="87" t="n">
        <x:v>3</x:v>
      </x:c>
      <x:c r="L6487" s="87" t="str">
        <x:v>Расчётная биологическая задача</x:v>
      </x:c>
      <x:c r="M6487" s="30" t="str">
        <x:v>Рассчитать энергию, полученную лосем на втором трофическом уровне.</x:v>
      </x:c>
      <x:c r="N6487" s="30" t="str">
        <x:v>300000</x:v>
      </x:c>
      <x:c r="O6487" s="30" t="str">
        <x:v>На втором трофическом уровне остаётся 10% от 3 000 000 кДж: 300 000.</x:v>
      </x:c>
      <x:c r="P6487" s="30"/>
      <x:c r="Q6487" s="30" t="str">
        <x:v>Исходная скан-страница + независимое решение + сверка с задачей банка.</x:v>
      </x:c>
      <x:c r="R6487" s="30"/>
      <x:c r="S6487" s="30" t="str">
        <x:v>https://neofamily.ru/biologiya/task-bank/81398</x:v>
      </x:c>
      <x:c r="T6487" s="30"/>
      <x:c r="U6487" s="30" t="str">
        <x:v>Расхождений не выявлено.</x:v>
      </x:c>
      <x:c r="V6487" s="87" t="str">
        <x:v>VERIFIED</x:v>
      </x:c>
      <x:c r="W6487" s="87"/>
      <x:c r="X6487" s="87" t="n">
        <x:v>2</x:v>
      </x:c>
      <x:c r="Y6487" s="87"/>
      <x:c r="Z6487" s="87"/>
      <x:c r="AA6487" s="87"/>
      <x:c r="AB6487" s="87"/>
      <x:c r="AC6487" s="87" t="str">
        <x:v>VIS-EGKR-BIO-S26-TASK-956-P002</x:v>
      </x:c>
      <x:c r="AD6487" s="87" t="str">
        <x:v>https://neofamily.ru/biologiya/task-bank/81398</x:v>
      </x:c>
      <x:c r="AE6487" s="87" t="str">
        <x:v>TASK</x:v>
      </x:c>
      <x:c r="AF6487" s="87" t="str">
        <x:v>VIS-EGKR-BIO-S26-TASK-956-P002: 2</x:v>
      </x:c>
      <x:c r="AG6487" s="87" t="str">
        <x:v>RESOLVED</x:v>
      </x:c>
      <x:c r="AH6487" s="87" t="str">
        <x:v>CROP_VERIFIED</x:v>
      </x:c>
      <x:c r="AI6487" s="30"/>
      <x:c r="AJ6487" s="87" t="str">
        <x:v>clean</x:v>
      </x:c>
      <x:c r="AK6487" s="87" t="str">
        <x:v>clean-v0.24</x:v>
      </x:c>
      <x:c r="AL6487" s="87" t="str">
        <x:v>statgrad_clean_continuation_v0_24(1).xlsx</x:v>
      </x:c>
      <x:c r="AM6487" s="87" t="str">
        <x:v>BIO_EGKR_S26_956</x:v>
      </x:c>
      <x:c r="AN6487" s="87" t="n">
        <x:v>4</x:v>
      </x:c>
    </x:row>
    <x:row r="6488">
      <x:c r="A6488" s="87" t="n">
        <x:v>6487</x:v>
      </x:c>
      <x:c r="B6488" s="87" t="str">
        <x:v>EGKR-S26-BIO-956-04</x:v>
      </x:c>
      <x:c r="C6488" s="87" t="str">
        <x:v>ЕГКР</x:v>
      </x:c>
      <x:c r="D6488" s="87"/>
      <x:c r="E6488" s="87" t="str">
        <x:v>Весна 2026</x:v>
      </x:c>
      <x:c r="F6488" s="87" t="str">
        <x:v>14.04.2026</x:v>
      </x:c>
      <x:c r="G6488" s="87" t="str">
        <x:v>Биология</x:v>
      </x:c>
      <x:c r="H6488" s="87" t="n">
        <x:v>11</x:v>
      </x:c>
      <x:c r="I6488" s="87"/>
      <x:c r="J6488" s="87" t="str">
        <x:v>956</x:v>
      </x:c>
      <x:c r="K6488" s="87" t="n">
        <x:v>4</x:v>
      </x:c>
      <x:c r="L6488" s="87" t="str">
        <x:v>Генетическая задача с кратким ответом</x:v>
      </x:c>
      <x:c r="M6488" s="30" t="str">
        <x:v>Определить число фенотипов при моногибридном скрещивании гетерозигот.</x:v>
      </x:c>
      <x:c r="N6488" s="30" t="str">
        <x:v>2</x:v>
      </x:c>
      <x:c r="O6488" s="30" t="str">
        <x:v>При Aa×Aa и полном доминировании образуются два фенотипа.</x:v>
      </x:c>
      <x:c r="P6488" s="30"/>
      <x:c r="Q6488" s="30" t="str">
        <x:v>Исходная скан-страница + независимое решение + сверка с задачей банка.</x:v>
      </x:c>
      <x:c r="R6488" s="30"/>
      <x:c r="S6488" s="30" t="str">
        <x:v>https://neofamily.ru/biologiya/task-bank/81399</x:v>
      </x:c>
      <x:c r="T6488" s="30"/>
      <x:c r="U6488" s="30" t="str">
        <x:v>Расхождений не выявлено.</x:v>
      </x:c>
      <x:c r="V6488" s="87" t="str">
        <x:v>VERIFIED</x:v>
      </x:c>
      <x:c r="W6488" s="87"/>
      <x:c r="X6488" s="87" t="n">
        <x:v>2</x:v>
      </x:c>
      <x:c r="Y6488" s="87"/>
      <x:c r="Z6488" s="87"/>
      <x:c r="AA6488" s="87"/>
      <x:c r="AB6488" s="87"/>
      <x:c r="AC6488" s="87" t="str">
        <x:v>VIS-EGKR-BIO-S26-TASK-956-P002</x:v>
      </x:c>
      <x:c r="AD6488" s="87" t="str">
        <x:v>https://neofamily.ru/biologiya/task-bank/81399</x:v>
      </x:c>
      <x:c r="AE6488" s="87" t="str">
        <x:v>TASK</x:v>
      </x:c>
      <x:c r="AF6488" s="87" t="str">
        <x:v>VIS-EGKR-BIO-S26-TASK-956-P002: 2</x:v>
      </x:c>
      <x:c r="AG6488" s="87" t="str">
        <x:v>RESOLVED</x:v>
      </x:c>
      <x:c r="AH6488" s="87" t="str">
        <x:v>CROP_VERIFIED</x:v>
      </x:c>
      <x:c r="AI6488" s="30"/>
      <x:c r="AJ6488" s="87" t="str">
        <x:v>clean</x:v>
      </x:c>
      <x:c r="AK6488" s="87" t="str">
        <x:v>clean-v0.24</x:v>
      </x:c>
      <x:c r="AL6488" s="87" t="str">
        <x:v>statgrad_clean_continuation_v0_24(1).xlsx</x:v>
      </x:c>
      <x:c r="AM6488" s="87" t="str">
        <x:v>BIO_EGKR_S26_956</x:v>
      </x:c>
      <x:c r="AN6488" s="87" t="n">
        <x:v>5</x:v>
      </x:c>
    </x:row>
    <x:row r="6489">
      <x:c r="A6489" s="87" t="n">
        <x:v>6488</x:v>
      </x:c>
      <x:c r="B6489" s="87" t="str">
        <x:v>EGKR-S26-BIO-956-05</x:v>
      </x:c>
      <x:c r="C6489" s="87" t="str">
        <x:v>ЕГКР</x:v>
      </x:c>
      <x:c r="D6489" s="87"/>
      <x:c r="E6489" s="87" t="str">
        <x:v>Весна 2026</x:v>
      </x:c>
      <x:c r="F6489" s="87" t="str">
        <x:v>14.04.2026</x:v>
      </x:c>
      <x:c r="G6489" s="87" t="str">
        <x:v>Биология</x:v>
      </x:c>
      <x:c r="H6489" s="87" t="n">
        <x:v>11</x:v>
      </x:c>
      <x:c r="I6489" s="87"/>
      <x:c r="J6489" s="87" t="str">
        <x:v>956</x:v>
      </x:c>
      <x:c r="K6489" s="87" t="n">
        <x:v>5</x:v>
      </x:c>
      <x:c r="L6489" s="87" t="str">
        <x:v>Распознавание структуры на рисунке</x:v>
      </x:c>
      <x:c r="M6489" s="30" t="str">
        <x:v>Определить структуру клетки, отвечающую за образование лизосом.</x:v>
      </x:c>
      <x:c r="N6489" s="30" t="str">
        <x:v>9</x:v>
      </x:c>
      <x:c r="O6489" s="30" t="str">
        <x:v>Аппарат Гольджи на рисунке обозначен цифрой 9.</x:v>
      </x:c>
      <x:c r="P6489" s="30"/>
      <x:c r="Q6489" s="30" t="str">
        <x:v>Исходная скан-страница + независимое решение + сверка с задачей банка.</x:v>
      </x:c>
      <x:c r="R6489" s="30"/>
      <x:c r="S6489" s="30" t="str">
        <x:v>https://neofamily.ru/biologiya/task-bank/81400</x:v>
      </x:c>
      <x:c r="T6489" s="30"/>
      <x:c r="U6489" s="30" t="str">
        <x:v>Расхождений не выявлено.</x:v>
      </x:c>
      <x:c r="V6489" s="87" t="str">
        <x:v>VERIFIED</x:v>
      </x:c>
      <x:c r="W6489" s="87"/>
      <x:c r="X6489" s="87" t="n">
        <x:v>2</x:v>
      </x:c>
      <x:c r="Y6489" s="87"/>
      <x:c r="Z6489" s="87"/>
      <x:c r="AA6489" s="87"/>
      <x:c r="AB6489" s="87"/>
      <x:c r="AC6489" s="87" t="str">
        <x:v>VIS-EGKR-BIO-S26-TASK-956-P002</x:v>
      </x:c>
      <x:c r="AD6489" s="87" t="str">
        <x:v>https://neofamily.ru/biologiya/task-bank/81400</x:v>
      </x:c>
      <x:c r="AE6489" s="87" t="str">
        <x:v>TASK</x:v>
      </x:c>
      <x:c r="AF6489" s="87" t="str">
        <x:v>VIS-EGKR-BIO-S26-TASK-956-P002: 2</x:v>
      </x:c>
      <x:c r="AG6489" s="87" t="str">
        <x:v>RESOLVED</x:v>
      </x:c>
      <x:c r="AH6489" s="87" t="str">
        <x:v>CROP_VERIFIED</x:v>
      </x:c>
      <x:c r="AI6489" s="30"/>
      <x:c r="AJ6489" s="87" t="str">
        <x:v>clean</x:v>
      </x:c>
      <x:c r="AK6489" s="87" t="str">
        <x:v>clean-v0.24</x:v>
      </x:c>
      <x:c r="AL6489" s="87" t="str">
        <x:v>statgrad_clean_continuation_v0_24(1).xlsx</x:v>
      </x:c>
      <x:c r="AM6489" s="87" t="str">
        <x:v>BIO_EGKR_S26_956</x:v>
      </x:c>
      <x:c r="AN6489" s="87" t="n">
        <x:v>6</x:v>
      </x:c>
    </x:row>
    <x:row r="6490">
      <x:c r="A6490" s="87" t="n">
        <x:v>6489</x:v>
      </x:c>
      <x:c r="B6490" s="87" t="str">
        <x:v>EGKR-S26-BIO-956-06</x:v>
      </x:c>
      <x:c r="C6490" s="87" t="str">
        <x:v>ЕГКР</x:v>
      </x:c>
      <x:c r="D6490" s="87"/>
      <x:c r="E6490" s="87" t="str">
        <x:v>Весна 2026</x:v>
      </x:c>
      <x:c r="F6490" s="87" t="str">
        <x:v>14.04.2026</x:v>
      </x:c>
      <x:c r="G6490" s="87" t="str">
        <x:v>Биология</x:v>
      </x:c>
      <x:c r="H6490" s="87" t="n">
        <x:v>11</x:v>
      </x:c>
      <x:c r="I6490" s="87"/>
      <x:c r="J6490" s="87" t="str">
        <x:v>956</x:v>
      </x:c>
      <x:c r="K6490" s="87" t="n">
        <x:v>6</x:v>
      </x:c>
      <x:c r="L6490" s="87" t="str">
        <x:v>Установление соответствия</x:v>
      </x:c>
      <x:c r="M6490" s="30" t="str">
        <x:v>Соотнести клеточные структуры и их характеристики.</x:v>
      </x:c>
      <x:c r="N6490" s="30" t="str">
        <x:v>231321</x:v>
      </x:c>
      <x:c r="O6490" s="30" t="str">
        <x:v>ЭПС, митохондрия и лизосома соответствуют последовательности 231321.</x:v>
      </x:c>
      <x:c r="P6490" s="30"/>
      <x:c r="Q6490" s="30" t="str">
        <x:v>Исходная скан-страница + независимое решение + сверка с задачей банка.</x:v>
      </x:c>
      <x:c r="R6490" s="30"/>
      <x:c r="S6490" s="30" t="str">
        <x:v>https://neofamily.ru/biologiya/task-bank/81401</x:v>
      </x:c>
      <x:c r="T6490" s="30"/>
      <x:c r="U6490" s="30" t="str">
        <x:v>Расхождений не выявлено.</x:v>
      </x:c>
      <x:c r="V6490" s="87" t="str">
        <x:v>VERIFIED</x:v>
      </x:c>
      <x:c r="W6490" s="87"/>
      <x:c r="X6490" s="87" t="n">
        <x:v>2</x:v>
      </x:c>
      <x:c r="Y6490" s="87"/>
      <x:c r="Z6490" s="87"/>
      <x:c r="AA6490" s="87"/>
      <x:c r="AB6490" s="87"/>
      <x:c r="AC6490" s="87" t="str">
        <x:v>VIS-EGKR-BIO-S26-TASK-956-P002</x:v>
      </x:c>
      <x:c r="AD6490" s="87" t="str">
        <x:v>https://neofamily.ru/biologiya/task-bank/81401</x:v>
      </x:c>
      <x:c r="AE6490" s="87" t="str">
        <x:v>TASK</x:v>
      </x:c>
      <x:c r="AF6490" s="87" t="str">
        <x:v>VIS-EGKR-BIO-S26-TASK-956-P002: 2</x:v>
      </x:c>
      <x:c r="AG6490" s="87" t="str">
        <x:v>RESOLVED</x:v>
      </x:c>
      <x:c r="AH6490" s="87" t="str">
        <x:v>CROP_VERIFIED</x:v>
      </x:c>
      <x:c r="AI6490" s="30"/>
      <x:c r="AJ6490" s="87" t="str">
        <x:v>clean</x:v>
      </x:c>
      <x:c r="AK6490" s="87" t="str">
        <x:v>clean-v0.24</x:v>
      </x:c>
      <x:c r="AL6490" s="87" t="str">
        <x:v>statgrad_clean_continuation_v0_24(1).xlsx</x:v>
      </x:c>
      <x:c r="AM6490" s="87" t="str">
        <x:v>BIO_EGKR_S26_956</x:v>
      </x:c>
      <x:c r="AN6490" s="87" t="n">
        <x:v>7</x:v>
      </x:c>
    </x:row>
    <x:row r="6491">
      <x:c r="A6491" s="87" t="n">
        <x:v>6490</x:v>
      </x:c>
      <x:c r="B6491" s="87" t="str">
        <x:v>EGKR-S26-BIO-956-07</x:v>
      </x:c>
      <x:c r="C6491" s="87" t="str">
        <x:v>ЕГКР</x:v>
      </x:c>
      <x:c r="D6491" s="87"/>
      <x:c r="E6491" s="87" t="str">
        <x:v>Весна 2026</x:v>
      </x:c>
      <x:c r="F6491" s="87" t="str">
        <x:v>14.04.2026</x:v>
      </x:c>
      <x:c r="G6491" s="87" t="str">
        <x:v>Биология</x:v>
      </x:c>
      <x:c r="H6491" s="87" t="n">
        <x:v>11</x:v>
      </x:c>
      <x:c r="I6491" s="87"/>
      <x:c r="J6491" s="87" t="str">
        <x:v>956</x:v>
      </x:c>
      <x:c r="K6491" s="87" t="n">
        <x:v>7</x:v>
      </x:c>
      <x:c r="L6491" s="87" t="str">
        <x:v>Множественный выбор</x:v>
      </x:c>
      <x:c r="M6491" s="30" t="str">
        <x:v>Выбрать признаки генных мутаций.</x:v>
      </x:c>
      <x:c r="N6491" s="30" t="str">
        <x:v>246</x:v>
      </x:c>
      <x:c r="O6491" s="30" t="str">
        <x:v>Генные мутации: выпадение триплета, замена нуклеотида и изменение последовательности: 246.</x:v>
      </x:c>
      <x:c r="P6491" s="30"/>
      <x:c r="Q6491" s="30" t="str">
        <x:v>Исходная скан-страница + независимое решение + сверка с задачей банка.</x:v>
      </x:c>
      <x:c r="R6491" s="30"/>
      <x:c r="S6491" s="30" t="str">
        <x:v>https://neofamily.ru/biologiya/task-bank/81402</x:v>
      </x:c>
      <x:c r="T6491" s="30"/>
      <x:c r="U6491" s="30" t="str">
        <x:v>Расхождений не выявлено.</x:v>
      </x:c>
      <x:c r="V6491" s="87" t="str">
        <x:v>VERIFIED</x:v>
      </x:c>
      <x:c r="W6491" s="87"/>
      <x:c r="X6491" s="87" t="n">
        <x:v>3</x:v>
      </x:c>
      <x:c r="Y6491" s="87"/>
      <x:c r="Z6491" s="87"/>
      <x:c r="AA6491" s="87"/>
      <x:c r="AB6491" s="87"/>
      <x:c r="AC6491" s="87" t="str">
        <x:v>VIS-EGKR-BIO-S26-TASK-956-P003</x:v>
      </x:c>
      <x:c r="AD6491" s="87" t="str">
        <x:v>https://neofamily.ru/biologiya/task-bank/81402</x:v>
      </x:c>
      <x:c r="AE6491" s="87" t="str">
        <x:v>TASK</x:v>
      </x:c>
      <x:c r="AF6491" s="87" t="str">
        <x:v>VIS-EGKR-BIO-S26-TASK-956-P003: 3</x:v>
      </x:c>
      <x:c r="AG6491" s="87" t="str">
        <x:v>RESOLVED</x:v>
      </x:c>
      <x:c r="AH6491" s="87" t="str">
        <x:v>CROP_VERIFIED</x:v>
      </x:c>
      <x:c r="AI6491" s="30"/>
      <x:c r="AJ6491" s="87" t="str">
        <x:v>clean</x:v>
      </x:c>
      <x:c r="AK6491" s="87" t="str">
        <x:v>clean-v0.24</x:v>
      </x:c>
      <x:c r="AL6491" s="87" t="str">
        <x:v>statgrad_clean_continuation_v0_24(1).xlsx</x:v>
      </x:c>
      <x:c r="AM6491" s="87" t="str">
        <x:v>BIO_EGKR_S26_956</x:v>
      </x:c>
      <x:c r="AN6491" s="87" t="n">
        <x:v>8</x:v>
      </x:c>
    </x:row>
    <x:row r="6492">
      <x:c r="A6492" s="87" t="n">
        <x:v>6491</x:v>
      </x:c>
      <x:c r="B6492" s="87" t="str">
        <x:v>EGKR-S26-BIO-956-08</x:v>
      </x:c>
      <x:c r="C6492" s="87" t="str">
        <x:v>ЕГКР</x:v>
      </x:c>
      <x:c r="D6492" s="87"/>
      <x:c r="E6492" s="87" t="str">
        <x:v>Весна 2026</x:v>
      </x:c>
      <x:c r="F6492" s="87" t="str">
        <x:v>14.04.2026</x:v>
      </x:c>
      <x:c r="G6492" s="87" t="str">
        <x:v>Биология</x:v>
      </x:c>
      <x:c r="H6492" s="87" t="n">
        <x:v>11</x:v>
      </x:c>
      <x:c r="I6492" s="87"/>
      <x:c r="J6492" s="87" t="str">
        <x:v>956</x:v>
      </x:c>
      <x:c r="K6492" s="87" t="n">
        <x:v>8</x:v>
      </x:c>
      <x:c r="L6492" s="87" t="str">
        <x:v>Последовательность биологического процесса</x:v>
      </x:c>
      <x:c r="M6492" s="30" t="str">
        <x:v>Установить этапы жизненного цикла бактериофага.</x:v>
      </x:c>
      <x:c r="N6492" s="30" t="str">
        <x:v>13425</x:v>
      </x:c>
      <x:c r="O6492" s="30" t="str">
        <x:v>Прикрепление → введение ДНК → биосинтез → самосборка → выход: 13425.</x:v>
      </x:c>
      <x:c r="P6492" s="30"/>
      <x:c r="Q6492" s="30" t="str">
        <x:v>Исходная скан-страница + независимое решение + сверка с задачей банка.</x:v>
      </x:c>
      <x:c r="R6492" s="30"/>
      <x:c r="S6492" s="30" t="str">
        <x:v>https://neofamily.ru/biologiya/task-bank/81403</x:v>
      </x:c>
      <x:c r="T6492" s="30"/>
      <x:c r="U6492" s="30" t="str">
        <x:v>Расхождений не выявлено.</x:v>
      </x:c>
      <x:c r="V6492" s="87" t="str">
        <x:v>VERIFIED</x:v>
      </x:c>
      <x:c r="W6492" s="87"/>
      <x:c r="X6492" s="87" t="n">
        <x:v>3</x:v>
      </x:c>
      <x:c r="Y6492" s="87"/>
      <x:c r="Z6492" s="87"/>
      <x:c r="AA6492" s="87"/>
      <x:c r="AB6492" s="87"/>
      <x:c r="AC6492" s="87" t="str">
        <x:v>VIS-EGKR-BIO-S26-TASK-956-P003</x:v>
      </x:c>
      <x:c r="AD6492" s="87" t="str">
        <x:v>https://neofamily.ru/biologiya/task-bank/81403</x:v>
      </x:c>
      <x:c r="AE6492" s="87" t="str">
        <x:v>TASK</x:v>
      </x:c>
      <x:c r="AF6492" s="87" t="str">
        <x:v>VIS-EGKR-BIO-S26-TASK-956-P003: 3</x:v>
      </x:c>
      <x:c r="AG6492" s="87" t="str">
        <x:v>RESOLVED</x:v>
      </x:c>
      <x:c r="AH6492" s="87" t="str">
        <x:v>CROP_VERIFIED</x:v>
      </x:c>
      <x:c r="AI6492" s="30"/>
      <x:c r="AJ6492" s="87" t="str">
        <x:v>clean</x:v>
      </x:c>
      <x:c r="AK6492" s="87" t="str">
        <x:v>clean-v0.24</x:v>
      </x:c>
      <x:c r="AL6492" s="87" t="str">
        <x:v>statgrad_clean_continuation_v0_24(1).xlsx</x:v>
      </x:c>
      <x:c r="AM6492" s="87" t="str">
        <x:v>BIO_EGKR_S26_956</x:v>
      </x:c>
      <x:c r="AN6492" s="87" t="n">
        <x:v>9</x:v>
      </x:c>
    </x:row>
    <x:row r="6493">
      <x:c r="A6493" s="87" t="n">
        <x:v>6492</x:v>
      </x:c>
      <x:c r="B6493" s="87" t="str">
        <x:v>EGKR-S26-BIO-956-09</x:v>
      </x:c>
      <x:c r="C6493" s="87" t="str">
        <x:v>ЕГКР</x:v>
      </x:c>
      <x:c r="D6493" s="87"/>
      <x:c r="E6493" s="87" t="str">
        <x:v>Весна 2026</x:v>
      </x:c>
      <x:c r="F6493" s="87" t="str">
        <x:v>14.04.2026</x:v>
      </x:c>
      <x:c r="G6493" s="87" t="str">
        <x:v>Биология</x:v>
      </x:c>
      <x:c r="H6493" s="87" t="n">
        <x:v>11</x:v>
      </x:c>
      <x:c r="I6493" s="87"/>
      <x:c r="J6493" s="87" t="str">
        <x:v>956</x:v>
      </x:c>
      <x:c r="K6493" s="87" t="n">
        <x:v>9</x:v>
      </x:c>
      <x:c r="L6493" s="87" t="str">
        <x:v>Распознавание структуры на рисунке</x:v>
      </x:c>
      <x:c r="M6493" s="30" t="str">
        <x:v>Определить желудок на схеме внутренних органов лягушки.</x:v>
      </x:c>
      <x:c r="N6493" s="30" t="str">
        <x:v>5</x:v>
      </x:c>
      <x:c r="O6493" s="30" t="str">
        <x:v>Желудок лягушки обозначен цифрой 5.</x:v>
      </x:c>
      <x:c r="P6493" s="30"/>
      <x:c r="Q6493" s="30" t="str">
        <x:v>Исходная скан-страница + независимое решение + сверка с задачей банка.</x:v>
      </x:c>
      <x:c r="R6493" s="30"/>
      <x:c r="S6493" s="30" t="str">
        <x:v>https://neofamily.ru/biologiya/task-bank/81404</x:v>
      </x:c>
      <x:c r="T6493" s="30"/>
      <x:c r="U6493" s="30" t="str">
        <x:v>Расхождений не выявлено.</x:v>
      </x:c>
      <x:c r="V6493" s="87" t="str">
        <x:v>VERIFIED</x:v>
      </x:c>
      <x:c r="W6493" s="87"/>
      <x:c r="X6493" s="87" t="n">
        <x:v>3</x:v>
      </x:c>
      <x:c r="Y6493" s="87"/>
      <x:c r="Z6493" s="87"/>
      <x:c r="AA6493" s="87"/>
      <x:c r="AB6493" s="87"/>
      <x:c r="AC6493" s="87" t="str">
        <x:v>VIS-EGKR-BIO-S26-TASK-956-P003</x:v>
      </x:c>
      <x:c r="AD6493" s="87" t="str">
        <x:v>https://neofamily.ru/biologiya/task-bank/81404</x:v>
      </x:c>
      <x:c r="AE6493" s="87" t="str">
        <x:v>TASK</x:v>
      </x:c>
      <x:c r="AF6493" s="87" t="str">
        <x:v>VIS-EGKR-BIO-S26-TASK-956-P003: 3</x:v>
      </x:c>
      <x:c r="AG6493" s="87" t="str">
        <x:v>RESOLVED</x:v>
      </x:c>
      <x:c r="AH6493" s="87" t="str">
        <x:v>CROP_VERIFIED; TASK_CROP_QA_APPROVED:USE_TIGHT</x:v>
      </x:c>
      <x:c r="AI6493" s="30"/>
      <x:c r="AJ6493" s="87" t="str">
        <x:v>clean</x:v>
      </x:c>
      <x:c r="AK6493" s="87" t="str">
        <x:v>clean-v0.24</x:v>
      </x:c>
      <x:c r="AL6493" s="87" t="str">
        <x:v>statgrad_clean_continuation_v0_24(1).xlsx</x:v>
      </x:c>
      <x:c r="AM6493" s="87" t="str">
        <x:v>BIO_EGKR_S26_956</x:v>
      </x:c>
      <x:c r="AN6493" s="87" t="n">
        <x:v>10</x:v>
      </x:c>
    </x:row>
    <x:row r="6494">
      <x:c r="A6494" s="87" t="n">
        <x:v>6493</x:v>
      </x:c>
      <x:c r="B6494" s="87" t="str">
        <x:v>EGKR-S26-BIO-956-10</x:v>
      </x:c>
      <x:c r="C6494" s="87" t="str">
        <x:v>ЕГКР</x:v>
      </x:c>
      <x:c r="D6494" s="87"/>
      <x:c r="E6494" s="87" t="str">
        <x:v>Весна 2026</x:v>
      </x:c>
      <x:c r="F6494" s="87" t="str">
        <x:v>14.04.2026</x:v>
      </x:c>
      <x:c r="G6494" s="87" t="str">
        <x:v>Биология</x:v>
      </x:c>
      <x:c r="H6494" s="87" t="n">
        <x:v>11</x:v>
      </x:c>
      <x:c r="I6494" s="87"/>
      <x:c r="J6494" s="87" t="str">
        <x:v>956</x:v>
      </x:c>
      <x:c r="K6494" s="87" t="n">
        <x:v>10</x:v>
      </x:c>
      <x:c r="L6494" s="87" t="str">
        <x:v>Установление соответствия</x:v>
      </x:c>
      <x:c r="M6494" s="30" t="str">
        <x:v>Соотнести органы лягушки и их характеристики.</x:v>
      </x:c>
      <x:c r="N6494" s="30" t="str">
        <x:v>132231</x:v>
      </x:c>
      <x:c r="O6494" s="30" t="str">
        <x:v>Сердце, лёгкое и тонкая кишка дают последовательность 132231.</x:v>
      </x:c>
      <x:c r="P6494" s="30"/>
      <x:c r="Q6494" s="30" t="str">
        <x:v>Исходная скан-страница + независимое решение + сверка с задачей банка.</x:v>
      </x:c>
      <x:c r="R6494" s="30"/>
      <x:c r="S6494" s="30" t="str">
        <x:v>https://neofamily.ru/biologiya/task-bank/81405</x:v>
      </x:c>
      <x:c r="T6494" s="30"/>
      <x:c r="U6494" s="30" t="str">
        <x:v>Расхождений не выявлено.</x:v>
      </x:c>
      <x:c r="V6494" s="87" t="str">
        <x:v>VERIFIED</x:v>
      </x:c>
      <x:c r="W6494" s="87"/>
      <x:c r="X6494" s="87" t="n">
        <x:v>3</x:v>
      </x:c>
      <x:c r="Y6494" s="87"/>
      <x:c r="Z6494" s="87"/>
      <x:c r="AA6494" s="87"/>
      <x:c r="AB6494" s="87"/>
      <x:c r="AC6494" s="87" t="str">
        <x:v>VIS-EGKR-BIO-S26-TASK-956-P003</x:v>
      </x:c>
      <x:c r="AD6494" s="87" t="str">
        <x:v>https://neofamily.ru/biologiya/task-bank/81405</x:v>
      </x:c>
      <x:c r="AE6494" s="87" t="str">
        <x:v>TASK</x:v>
      </x:c>
      <x:c r="AF6494" s="87" t="str">
        <x:v>VIS-EGKR-BIO-S26-TASK-956-P003: 3</x:v>
      </x:c>
      <x:c r="AG6494" s="87" t="str">
        <x:v>RESOLVED</x:v>
      </x:c>
      <x:c r="AH6494" s="87" t="str">
        <x:v>CROP_VERIFIED</x:v>
      </x:c>
      <x:c r="AI6494" s="30"/>
      <x:c r="AJ6494" s="87" t="str">
        <x:v>clean</x:v>
      </x:c>
      <x:c r="AK6494" s="87" t="str">
        <x:v>clean-v0.24</x:v>
      </x:c>
      <x:c r="AL6494" s="87" t="str">
        <x:v>statgrad_clean_continuation_v0_24(1).xlsx</x:v>
      </x:c>
      <x:c r="AM6494" s="87" t="str">
        <x:v>BIO_EGKR_S26_956</x:v>
      </x:c>
      <x:c r="AN6494" s="87" t="n">
        <x:v>11</x:v>
      </x:c>
    </x:row>
    <x:row r="6495">
      <x:c r="A6495" s="87" t="n">
        <x:v>6494</x:v>
      </x:c>
      <x:c r="B6495" s="87" t="str">
        <x:v>EGKR-S26-BIO-956-11</x:v>
      </x:c>
      <x:c r="C6495" s="87" t="str">
        <x:v>ЕГКР</x:v>
      </x:c>
      <x:c r="D6495" s="87"/>
      <x:c r="E6495" s="87" t="str">
        <x:v>Весна 2026</x:v>
      </x:c>
      <x:c r="F6495" s="87" t="str">
        <x:v>14.04.2026</x:v>
      </x:c>
      <x:c r="G6495" s="87" t="str">
        <x:v>Биология</x:v>
      </x:c>
      <x:c r="H6495" s="87" t="n">
        <x:v>11</x:v>
      </x:c>
      <x:c r="I6495" s="87"/>
      <x:c r="J6495" s="87" t="str">
        <x:v>956</x:v>
      </x:c>
      <x:c r="K6495" s="87" t="n">
        <x:v>11</x:v>
      </x:c>
      <x:c r="L6495" s="87" t="str">
        <x:v>Множественный выбор</x:v>
      </x:c>
      <x:c r="M6495" s="30" t="str">
        <x:v>Выбрать признаки эндосперма цветковых растений.</x:v>
      </x:c>
      <x:c r="N6495" s="30" t="str">
        <x:v>146</x:v>
      </x:c>
      <x:c r="O6495" s="30" t="str">
        <x:v>Эндосперм содержит запас, образуется при двойном оплодотворении и является внезародышевой тканью: 146.</x:v>
      </x:c>
      <x:c r="P6495" s="30"/>
      <x:c r="Q6495" s="30" t="str">
        <x:v>Исходная скан-страница + независимое решение + сверка с задачей банка.</x:v>
      </x:c>
      <x:c r="R6495" s="30"/>
      <x:c r="S6495" s="30" t="str">
        <x:v>https://neofamily.ru/biologiya/task-bank/81406</x:v>
      </x:c>
      <x:c r="T6495" s="30"/>
      <x:c r="U6495" s="30" t="str">
        <x:v>Расхождений не выявлено.</x:v>
      </x:c>
      <x:c r="V6495" s="87" t="str">
        <x:v>VERIFIED</x:v>
      </x:c>
      <x:c r="W6495" s="87"/>
      <x:c r="X6495" s="87" t="n">
        <x:v>4</x:v>
      </x:c>
      <x:c r="Y6495" s="87"/>
      <x:c r="Z6495" s="87"/>
      <x:c r="AA6495" s="87"/>
      <x:c r="AB6495" s="87"/>
      <x:c r="AC6495" s="87" t="str">
        <x:v>VIS-EGKR-BIO-S26-TASK-956-P004</x:v>
      </x:c>
      <x:c r="AD6495" s="87" t="str">
        <x:v>https://neofamily.ru/biologiya/task-bank/81406</x:v>
      </x:c>
      <x:c r="AE6495" s="87" t="str">
        <x:v>TASK</x:v>
      </x:c>
      <x:c r="AF6495" s="87" t="str">
        <x:v>VIS-EGKR-BIO-S26-TASK-956-P004: 4</x:v>
      </x:c>
      <x:c r="AG6495" s="87" t="str">
        <x:v>RESOLVED</x:v>
      </x:c>
      <x:c r="AH6495" s="87" t="str">
        <x:v>CROP_VERIFIED</x:v>
      </x:c>
      <x:c r="AI6495" s="30"/>
      <x:c r="AJ6495" s="87" t="str">
        <x:v>clean</x:v>
      </x:c>
      <x:c r="AK6495" s="87" t="str">
        <x:v>clean-v0.24</x:v>
      </x:c>
      <x:c r="AL6495" s="87" t="str">
        <x:v>statgrad_clean_continuation_v0_24(1).xlsx</x:v>
      </x:c>
      <x:c r="AM6495" s="87" t="str">
        <x:v>BIO_EGKR_S26_956</x:v>
      </x:c>
      <x:c r="AN6495" s="87" t="n">
        <x:v>12</x:v>
      </x:c>
    </x:row>
    <x:row r="6496">
      <x:c r="A6496" s="87" t="n">
        <x:v>6495</x:v>
      </x:c>
      <x:c r="B6496" s="87" t="str">
        <x:v>EGKR-S26-BIO-956-12</x:v>
      </x:c>
      <x:c r="C6496" s="87" t="str">
        <x:v>ЕГКР</x:v>
      </x:c>
      <x:c r="D6496" s="87"/>
      <x:c r="E6496" s="87" t="str">
        <x:v>Весна 2026</x:v>
      </x:c>
      <x:c r="F6496" s="87" t="str">
        <x:v>14.04.2026</x:v>
      </x:c>
      <x:c r="G6496" s="87" t="str">
        <x:v>Биология</x:v>
      </x:c>
      <x:c r="H6496" s="87" t="n">
        <x:v>11</x:v>
      </x:c>
      <x:c r="I6496" s="87"/>
      <x:c r="J6496" s="87" t="str">
        <x:v>956</x:v>
      </x:c>
      <x:c r="K6496" s="87" t="n">
        <x:v>12</x:v>
      </x:c>
      <x:c r="L6496" s="87" t="str">
        <x:v>Систематическая последовательность</x:v>
      </x:c>
      <x:c r="M6496" s="30" t="str">
        <x:v>Расположить систематические группы чайки от низшего ранга к высшему.</x:v>
      </x:c>
      <x:c r="N6496" s="30" t="str">
        <x:v>356124</x:v>
      </x:c>
      <x:c r="O6496" s="30" t="str">
        <x:v>Вид → род → отряд → класс → тип → царство: 356124.</x:v>
      </x:c>
      <x:c r="P6496" s="30"/>
      <x:c r="Q6496" s="30" t="str">
        <x:v>Исходная скан-страница + независимое решение + сверка с задачей банка.</x:v>
      </x:c>
      <x:c r="R6496" s="30"/>
      <x:c r="S6496" s="30" t="str">
        <x:v>https://neofamily.ru/biologiya/task-bank/81407</x:v>
      </x:c>
      <x:c r="T6496" s="30"/>
      <x:c r="U6496" s="30" t="str">
        <x:v>Расхождений не выявлено.</x:v>
      </x:c>
      <x:c r="V6496" s="87" t="str">
        <x:v>VERIFIED</x:v>
      </x:c>
      <x:c r="W6496" s="87"/>
      <x:c r="X6496" s="87" t="n">
        <x:v>4</x:v>
      </x:c>
      <x:c r="Y6496" s="87"/>
      <x:c r="Z6496" s="87"/>
      <x:c r="AA6496" s="87"/>
      <x:c r="AB6496" s="87"/>
      <x:c r="AC6496" s="87" t="str">
        <x:v>VIS-EGKR-BIO-S26-TASK-956-P004</x:v>
      </x:c>
      <x:c r="AD6496" s="87" t="str">
        <x:v>https://neofamily.ru/biologiya/task-bank/81407</x:v>
      </x:c>
      <x:c r="AE6496" s="87" t="str">
        <x:v>TASK</x:v>
      </x:c>
      <x:c r="AF6496" s="87" t="str">
        <x:v>VIS-EGKR-BIO-S26-TASK-956-P004: 4</x:v>
      </x:c>
      <x:c r="AG6496" s="87" t="str">
        <x:v>RESOLVED</x:v>
      </x:c>
      <x:c r="AH6496" s="87" t="str">
        <x:v>CROP_VERIFIED</x:v>
      </x:c>
      <x:c r="AI6496" s="30"/>
      <x:c r="AJ6496" s="87" t="str">
        <x:v>clean</x:v>
      </x:c>
      <x:c r="AK6496" s="87" t="str">
        <x:v>clean-v0.24</x:v>
      </x:c>
      <x:c r="AL6496" s="87" t="str">
        <x:v>statgrad_clean_continuation_v0_24(1).xlsx</x:v>
      </x:c>
      <x:c r="AM6496" s="87" t="str">
        <x:v>BIO_EGKR_S26_956</x:v>
      </x:c>
      <x:c r="AN6496" s="87" t="n">
        <x:v>13</x:v>
      </x:c>
    </x:row>
    <x:row r="6497">
      <x:c r="A6497" s="87" t="n">
        <x:v>6496</x:v>
      </x:c>
      <x:c r="B6497" s="87" t="str">
        <x:v>EGKR-S26-BIO-956-13</x:v>
      </x:c>
      <x:c r="C6497" s="87" t="str">
        <x:v>ЕГКР</x:v>
      </x:c>
      <x:c r="D6497" s="87"/>
      <x:c r="E6497" s="87" t="str">
        <x:v>Весна 2026</x:v>
      </x:c>
      <x:c r="F6497" s="87" t="str">
        <x:v>14.04.2026</x:v>
      </x:c>
      <x:c r="G6497" s="87" t="str">
        <x:v>Биология</x:v>
      </x:c>
      <x:c r="H6497" s="87" t="n">
        <x:v>11</x:v>
      </x:c>
      <x:c r="I6497" s="87"/>
      <x:c r="J6497" s="87" t="str">
        <x:v>956</x:v>
      </x:c>
      <x:c r="K6497" s="87" t="n">
        <x:v>13</x:v>
      </x:c>
      <x:c r="L6497" s="87" t="str">
        <x:v>Распознавание структуры на рисунке</x:v>
      </x:c>
      <x:c r="M6497" s="30" t="str">
        <x:v>Определить передний мозг на рисунке.</x:v>
      </x:c>
      <x:c r="N6497" s="30" t="str">
        <x:v>5</x:v>
      </x:c>
      <x:c r="O6497" s="30" t="str">
        <x:v>Передний мозг обозначен цифрой 5.</x:v>
      </x:c>
      <x:c r="P6497" s="30"/>
      <x:c r="Q6497" s="30" t="str">
        <x:v>Исходная скан-страница + независимое решение + сверка с задачей банка.</x:v>
      </x:c>
      <x:c r="R6497" s="30"/>
      <x:c r="S6497" s="30" t="str">
        <x:v>https://neofamily.ru/biologiya/task-bank/81408</x:v>
      </x:c>
      <x:c r="T6497" s="30"/>
      <x:c r="U6497" s="30" t="str">
        <x:v>Расхождений не выявлено.</x:v>
      </x:c>
      <x:c r="V6497" s="87" t="str">
        <x:v>VERIFIED</x:v>
      </x:c>
      <x:c r="W6497" s="87"/>
      <x:c r="X6497" s="87" t="n">
        <x:v>4</x:v>
      </x:c>
      <x:c r="Y6497" s="87"/>
      <x:c r="Z6497" s="87"/>
      <x:c r="AA6497" s="87"/>
      <x:c r="AB6497" s="87"/>
      <x:c r="AC6497" s="87" t="str">
        <x:v>VIS-EGKR-BIO-S26-TASK-956-P004</x:v>
      </x:c>
      <x:c r="AD6497" s="87" t="str">
        <x:v>https://neofamily.ru/biologiya/task-bank/81408</x:v>
      </x:c>
      <x:c r="AE6497" s="87" t="str">
        <x:v>TASK</x:v>
      </x:c>
      <x:c r="AF6497" s="87" t="str">
        <x:v>VIS-EGKR-BIO-S26-TASK-956-P004: 4</x:v>
      </x:c>
      <x:c r="AG6497" s="87" t="str">
        <x:v>RESOLVED</x:v>
      </x:c>
      <x:c r="AH6497" s="87" t="str">
        <x:v>CROP_VERIFIED; TASK_CROP_QA_APPROVED:USE_TIGHT</x:v>
      </x:c>
      <x:c r="AI6497" s="30"/>
      <x:c r="AJ6497" s="87" t="str">
        <x:v>clean</x:v>
      </x:c>
      <x:c r="AK6497" s="87" t="str">
        <x:v>clean-v0.24</x:v>
      </x:c>
      <x:c r="AL6497" s="87" t="str">
        <x:v>statgrad_clean_continuation_v0_24(1).xlsx</x:v>
      </x:c>
      <x:c r="AM6497" s="87" t="str">
        <x:v>BIO_EGKR_S26_956</x:v>
      </x:c>
      <x:c r="AN6497" s="87" t="n">
        <x:v>14</x:v>
      </x:c>
    </x:row>
    <x:row r="6498">
      <x:c r="A6498" s="87" t="n">
        <x:v>6497</x:v>
      </x:c>
      <x:c r="B6498" s="87" t="str">
        <x:v>EGKR-S26-BIO-956-14</x:v>
      </x:c>
      <x:c r="C6498" s="87" t="str">
        <x:v>ЕГКР</x:v>
      </x:c>
      <x:c r="D6498" s="87"/>
      <x:c r="E6498" s="87" t="str">
        <x:v>Весна 2026</x:v>
      </x:c>
      <x:c r="F6498" s="87" t="str">
        <x:v>14.04.2026</x:v>
      </x:c>
      <x:c r="G6498" s="87" t="str">
        <x:v>Биология</x:v>
      </x:c>
      <x:c r="H6498" s="87" t="n">
        <x:v>11</x:v>
      </x:c>
      <x:c r="I6498" s="87"/>
      <x:c r="J6498" s="87" t="str">
        <x:v>956</x:v>
      </x:c>
      <x:c r="K6498" s="87" t="n">
        <x:v>14</x:v>
      </x:c>
      <x:c r="L6498" s="87" t="str">
        <x:v>Установление соответствия</x:v>
      </x:c>
      <x:c r="M6498" s="30" t="str">
        <x:v>Соотнести отделы мозга и выполняемые функции.</x:v>
      </x:c>
      <x:c r="N6498" s="30" t="str">
        <x:v>131312</x:v>
      </x:c>
      <x:c r="O6498" s="30" t="str">
        <x:v>Продолговатый мозг, гипоталамус и средний мозг дают 131312.</x:v>
      </x:c>
      <x:c r="P6498" s="30"/>
      <x:c r="Q6498" s="30" t="str">
        <x:v>Исходная скан-страница + независимое решение + сверка с задачей банка.</x:v>
      </x:c>
      <x:c r="R6498" s="30"/>
      <x:c r="S6498" s="30" t="str">
        <x:v>https://neofamily.ru/biologiya/task-bank/81409</x:v>
      </x:c>
      <x:c r="T6498" s="30"/>
      <x:c r="U6498" s="30" t="str">
        <x:v>Расхождений не выявлено.</x:v>
      </x:c>
      <x:c r="V6498" s="87" t="str">
        <x:v>VERIFIED</x:v>
      </x:c>
      <x:c r="W6498" s="87"/>
      <x:c r="X6498" s="87" t="n">
        <x:v>4</x:v>
      </x:c>
      <x:c r="Y6498" s="87"/>
      <x:c r="Z6498" s="87"/>
      <x:c r="AA6498" s="87"/>
      <x:c r="AB6498" s="87"/>
      <x:c r="AC6498" s="87" t="str">
        <x:v>VIS-EGKR-BIO-S26-TASK-956-P004</x:v>
      </x:c>
      <x:c r="AD6498" s="87" t="str">
        <x:v>https://neofamily.ru/biologiya/task-bank/81409</x:v>
      </x:c>
      <x:c r="AE6498" s="87" t="str">
        <x:v>TASK</x:v>
      </x:c>
      <x:c r="AF6498" s="87" t="str">
        <x:v>VIS-EGKR-BIO-S26-TASK-956-P004: 4</x:v>
      </x:c>
      <x:c r="AG6498" s="87" t="str">
        <x:v>RESOLVED</x:v>
      </x:c>
      <x:c r="AH6498" s="87" t="str">
        <x:v>CROP_VERIFIED</x:v>
      </x:c>
      <x:c r="AI6498" s="30"/>
      <x:c r="AJ6498" s="87" t="str">
        <x:v>clean</x:v>
      </x:c>
      <x:c r="AK6498" s="87" t="str">
        <x:v>clean-v0.24</x:v>
      </x:c>
      <x:c r="AL6498" s="87" t="str">
        <x:v>statgrad_clean_continuation_v0_24(1).xlsx</x:v>
      </x:c>
      <x:c r="AM6498" s="87" t="str">
        <x:v>BIO_EGKR_S26_956</x:v>
      </x:c>
      <x:c r="AN6498" s="87" t="n">
        <x:v>15</x:v>
      </x:c>
    </x:row>
    <x:row r="6499">
      <x:c r="A6499" s="87" t="n">
        <x:v>6498</x:v>
      </x:c>
      <x:c r="B6499" s="87" t="str">
        <x:v>EGKR-S26-BIO-956-15</x:v>
      </x:c>
      <x:c r="C6499" s="87" t="str">
        <x:v>ЕГКР</x:v>
      </x:c>
      <x:c r="D6499" s="87"/>
      <x:c r="E6499" s="87" t="str">
        <x:v>Весна 2026</x:v>
      </x:c>
      <x:c r="F6499" s="87" t="str">
        <x:v>14.04.2026</x:v>
      </x:c>
      <x:c r="G6499" s="87" t="str">
        <x:v>Биология</x:v>
      </x:c>
      <x:c r="H6499" s="87" t="n">
        <x:v>11</x:v>
      </x:c>
      <x:c r="I6499" s="87"/>
      <x:c r="J6499" s="87" t="str">
        <x:v>956</x:v>
      </x:c>
      <x:c r="K6499" s="87" t="n">
        <x:v>15</x:v>
      </x:c>
      <x:c r="L6499" s="87" t="str">
        <x:v>Анализ подписей к рисунку</x:v>
      </x:c>
      <x:c r="M6499" s="30" t="str">
        <x:v>Выбрать верные подписи к дуге условного рефлекса на свет.</x:v>
      </x:c>
      <x:c r="N6499" s="30" t="str">
        <x:v>456</x:v>
      </x:c>
      <x:c r="O6499" s="30" t="str">
        <x:v>На рисунке верно обозначены рецепторы сетчатки, зрительный нерв и зрительная кора: 456.</x:v>
      </x:c>
      <x:c r="P6499" s="30"/>
      <x:c r="Q6499" s="30" t="str">
        <x:v>Исходная скан-страница + независимое решение + сверка с задачей банка.</x:v>
      </x:c>
      <x:c r="R6499" s="30"/>
      <x:c r="S6499" s="30" t="str">
        <x:v>https://neofamily.ru/biologiya/task-bank/81410</x:v>
      </x:c>
      <x:c r="T6499" s="30"/>
      <x:c r="U6499" s="30" t="str">
        <x:v>Расхождений не выявлено.</x:v>
      </x:c>
      <x:c r="V6499" s="87" t="str">
        <x:v>VERIFIED</x:v>
      </x:c>
      <x:c r="W6499" s="87"/>
      <x:c r="X6499" s="87" t="n">
        <x:v>5</x:v>
      </x:c>
      <x:c r="Y6499" s="87"/>
      <x:c r="Z6499" s="87"/>
      <x:c r="AA6499" s="87"/>
      <x:c r="AB6499" s="87"/>
      <x:c r="AC6499" s="87" t="str">
        <x:v>VIS-EGKR-BIO-S26-TASK-956-P005</x:v>
      </x:c>
      <x:c r="AD6499" s="87" t="str">
        <x:v>https://neofamily.ru/biologiya/task-bank/81410</x:v>
      </x:c>
      <x:c r="AE6499" s="87" t="str">
        <x:v>TASK</x:v>
      </x:c>
      <x:c r="AF6499" s="87" t="str">
        <x:v>VIS-EGKR-BIO-S26-TASK-956-P005: 5</x:v>
      </x:c>
      <x:c r="AG6499" s="87" t="str">
        <x:v>RESOLVED</x:v>
      </x:c>
      <x:c r="AH6499" s="87" t="str">
        <x:v>CROP_VERIFIED</x:v>
      </x:c>
      <x:c r="AI6499" s="30"/>
      <x:c r="AJ6499" s="87" t="str">
        <x:v>clean</x:v>
      </x:c>
      <x:c r="AK6499" s="87" t="str">
        <x:v>clean-v0.24</x:v>
      </x:c>
      <x:c r="AL6499" s="87" t="str">
        <x:v>statgrad_clean_continuation_v0_24(1).xlsx</x:v>
      </x:c>
      <x:c r="AM6499" s="87" t="str">
        <x:v>BIO_EGKR_S26_956</x:v>
      </x:c>
      <x:c r="AN6499" s="87" t="n">
        <x:v>16</x:v>
      </x:c>
    </x:row>
    <x:row r="6500">
      <x:c r="A6500" s="87" t="n">
        <x:v>6499</x:v>
      </x:c>
      <x:c r="B6500" s="87" t="str">
        <x:v>EGKR-S26-BIO-956-16</x:v>
      </x:c>
      <x:c r="C6500" s="87" t="str">
        <x:v>ЕГКР</x:v>
      </x:c>
      <x:c r="D6500" s="87"/>
      <x:c r="E6500" s="87" t="str">
        <x:v>Весна 2026</x:v>
      </x:c>
      <x:c r="F6500" s="87" t="str">
        <x:v>14.04.2026</x:v>
      </x:c>
      <x:c r="G6500" s="87" t="str">
        <x:v>Биология</x:v>
      </x:c>
      <x:c r="H6500" s="87" t="n">
        <x:v>11</x:v>
      </x:c>
      <x:c r="I6500" s="87"/>
      <x:c r="J6500" s="87" t="str">
        <x:v>956</x:v>
      </x:c>
      <x:c r="K6500" s="87" t="n">
        <x:v>16</x:v>
      </x:c>
      <x:c r="L6500" s="87" t="str">
        <x:v>Последовательность структур / уровней</x:v>
      </x:c>
      <x:c r="M6500" s="30" t="str">
        <x:v>Установить путь углекислого газа из крови в окружающую среду.</x:v>
      </x:c>
      <x:c r="N6500" s="30" t="str">
        <x:v>364152</x:v>
      </x:c>
      <x:c r="O6500" s="30" t="str">
        <x:v>Альвеолы → бронхиола → бронх → трахея → гортань → носовая полость: 364152.</x:v>
      </x:c>
      <x:c r="P6500" s="30"/>
      <x:c r="Q6500" s="30" t="str">
        <x:v>Исходная скан-страница + независимое решение + сверка с задачей банка.</x:v>
      </x:c>
      <x:c r="R6500" s="30"/>
      <x:c r="S6500" s="30" t="str">
        <x:v>https://neofamily.ru/biologiya/task-bank/81411</x:v>
      </x:c>
      <x:c r="T6500" s="30"/>
      <x:c r="U6500" s="30" t="str">
        <x:v>Расхождений не выявлено.</x:v>
      </x:c>
      <x:c r="V6500" s="87" t="str">
        <x:v>VERIFIED</x:v>
      </x:c>
      <x:c r="W6500" s="87"/>
      <x:c r="X6500" s="87" t="n">
        <x:v>5</x:v>
      </x:c>
      <x:c r="Y6500" s="87"/>
      <x:c r="Z6500" s="87"/>
      <x:c r="AA6500" s="87"/>
      <x:c r="AB6500" s="87"/>
      <x:c r="AC6500" s="87" t="str">
        <x:v>VIS-EGKR-BIO-S26-TASK-956-P005</x:v>
      </x:c>
      <x:c r="AD6500" s="87" t="str">
        <x:v>https://neofamily.ru/biologiya/task-bank/81411</x:v>
      </x:c>
      <x:c r="AE6500" s="87" t="str">
        <x:v>TASK</x:v>
      </x:c>
      <x:c r="AF6500" s="87" t="str">
        <x:v>VIS-EGKR-BIO-S26-TASK-956-P005: 5</x:v>
      </x:c>
      <x:c r="AG6500" s="87" t="str">
        <x:v>RESOLVED</x:v>
      </x:c>
      <x:c r="AH6500" s="87" t="str">
        <x:v>CROP_VERIFIED</x:v>
      </x:c>
      <x:c r="AI6500" s="30"/>
      <x:c r="AJ6500" s="87" t="str">
        <x:v>clean</x:v>
      </x:c>
      <x:c r="AK6500" s="87" t="str">
        <x:v>clean-v0.24</x:v>
      </x:c>
      <x:c r="AL6500" s="87" t="str">
        <x:v>statgrad_clean_continuation_v0_24(1).xlsx</x:v>
      </x:c>
      <x:c r="AM6500" s="87" t="str">
        <x:v>BIO_EGKR_S26_956</x:v>
      </x:c>
      <x:c r="AN6500" s="87" t="n">
        <x:v>17</x:v>
      </x:c>
    </x:row>
    <x:row r="6501">
      <x:c r="A6501" s="87" t="n">
        <x:v>6500</x:v>
      </x:c>
      <x:c r="B6501" s="87" t="str">
        <x:v>EGKR-S26-BIO-956-17</x:v>
      </x:c>
      <x:c r="C6501" s="87" t="str">
        <x:v>ЕГКР</x:v>
      </x:c>
      <x:c r="D6501" s="87"/>
      <x:c r="E6501" s="87" t="str">
        <x:v>Весна 2026</x:v>
      </x:c>
      <x:c r="F6501" s="87" t="str">
        <x:v>14.04.2026</x:v>
      </x:c>
      <x:c r="G6501" s="87" t="str">
        <x:v>Биология</x:v>
      </x:c>
      <x:c r="H6501" s="87" t="n">
        <x:v>11</x:v>
      </x:c>
      <x:c r="I6501" s="87"/>
      <x:c r="J6501" s="87" t="str">
        <x:v>956</x:v>
      </x:c>
      <x:c r="K6501" s="87" t="n">
        <x:v>17</x:v>
      </x:c>
      <x:c r="L6501" s="87" t="str">
        <x:v>Критерии вида / эволюция</x:v>
      </x:c>
      <x:c r="M6501" s="30" t="str">
        <x:v>Выбрать предложения с экологическим критерием вида кислицы.</x:v>
      </x:c>
      <x:c r="N6501" s="30" t="str">
        <x:v>236</x:v>
      </x:c>
      <x:c r="O6501" s="30" t="str">
        <x:v>Экологический критерий описан предложениями 2, 3 и 6.</x:v>
      </x:c>
      <x:c r="P6501" s="30"/>
      <x:c r="Q6501" s="30" t="str">
        <x:v>Исходная скан-страница + независимое решение + сверка с задачей банка.</x:v>
      </x:c>
      <x:c r="R6501" s="30"/>
      <x:c r="S6501" s="30" t="str">
        <x:v>https://neofamily.ru/biologiya/task-bank/81412</x:v>
      </x:c>
      <x:c r="T6501" s="30"/>
      <x:c r="U6501" s="30" t="str">
        <x:v>Расхождений не выявлено.</x:v>
      </x:c>
      <x:c r="V6501" s="87" t="str">
        <x:v>VERIFIED</x:v>
      </x:c>
      <x:c r="W6501" s="87"/>
      <x:c r="X6501" s="87" t="n">
        <x:v>5</x:v>
      </x:c>
      <x:c r="Y6501" s="87"/>
      <x:c r="Z6501" s="87"/>
      <x:c r="AA6501" s="87"/>
      <x:c r="AB6501" s="87"/>
      <x:c r="AC6501" s="87" t="str">
        <x:v>VIS-EGKR-BIO-S26-TASK-956-P005</x:v>
      </x:c>
      <x:c r="AD6501" s="87" t="str">
        <x:v>https://neofamily.ru/biologiya/task-bank/81412</x:v>
      </x:c>
      <x:c r="AE6501" s="87" t="str">
        <x:v>TASK</x:v>
      </x:c>
      <x:c r="AF6501" s="87" t="str">
        <x:v>VIS-EGKR-BIO-S26-TASK-956-P005: 5</x:v>
      </x:c>
      <x:c r="AG6501" s="87" t="str">
        <x:v>RESOLVED</x:v>
      </x:c>
      <x:c r="AH6501" s="87" t="str">
        <x:v>CROP_VERIFIED</x:v>
      </x:c>
      <x:c r="AI6501" s="30"/>
      <x:c r="AJ6501" s="87" t="str">
        <x:v>clean</x:v>
      </x:c>
      <x:c r="AK6501" s="87" t="str">
        <x:v>clean-v0.24</x:v>
      </x:c>
      <x:c r="AL6501" s="87" t="str">
        <x:v>statgrad_clean_continuation_v0_24(1).xlsx</x:v>
      </x:c>
      <x:c r="AM6501" s="87" t="str">
        <x:v>BIO_EGKR_S26_956</x:v>
      </x:c>
      <x:c r="AN6501" s="87" t="n">
        <x:v>18</x:v>
      </x:c>
    </x:row>
    <x:row r="6502">
      <x:c r="A6502" s="87" t="n">
        <x:v>6501</x:v>
      </x:c>
      <x:c r="B6502" s="87" t="str">
        <x:v>EGKR-S26-BIO-956-18</x:v>
      </x:c>
      <x:c r="C6502" s="87" t="str">
        <x:v>ЕГКР</x:v>
      </x:c>
      <x:c r="D6502" s="87"/>
      <x:c r="E6502" s="87" t="str">
        <x:v>Весна 2026</x:v>
      </x:c>
      <x:c r="F6502" s="87" t="str">
        <x:v>14.04.2026</x:v>
      </x:c>
      <x:c r="G6502" s="87" t="str">
        <x:v>Биология</x:v>
      </x:c>
      <x:c r="H6502" s="87" t="n">
        <x:v>11</x:v>
      </x:c>
      <x:c r="I6502" s="87"/>
      <x:c r="J6502" s="87" t="str">
        <x:v>956</x:v>
      </x:c>
      <x:c r="K6502" s="87" t="n">
        <x:v>18</x:v>
      </x:c>
      <x:c r="L6502" s="87" t="str">
        <x:v>Приспособления / среда обитания</x:v>
      </x:c>
      <x:c r="M6502" s="30" t="str">
        <x:v>Выбрать особенности наземно-воздушной среды по сравнению с водной.</x:v>
      </x:c>
      <x:c r="N6502" s="30" t="str">
        <x:v>146</x:v>
      </x:c>
      <x:c r="O6502" s="30" t="str">
        <x:v>Наземно-воздушная среда имеет низкую плотность, много кислорода и света: 146.</x:v>
      </x:c>
      <x:c r="P6502" s="30"/>
      <x:c r="Q6502" s="30" t="str">
        <x:v>Исходная скан-страница + независимое решение + сверка с задачей банка.</x:v>
      </x:c>
      <x:c r="R6502" s="30"/>
      <x:c r="S6502" s="30" t="str">
        <x:v>https://neofamily.ru/biologiya/task-bank/81413</x:v>
      </x:c>
      <x:c r="T6502" s="30"/>
      <x:c r="U6502" s="30" t="str">
        <x:v>Расхождений не выявлено.</x:v>
      </x:c>
      <x:c r="V6502" s="87" t="str">
        <x:v>VERIFIED</x:v>
      </x:c>
      <x:c r="W6502" s="87"/>
      <x:c r="X6502" s="87" t="n">
        <x:v>5</x:v>
      </x:c>
      <x:c r="Y6502" s="87"/>
      <x:c r="Z6502" s="87"/>
      <x:c r="AA6502" s="87"/>
      <x:c r="AB6502" s="87"/>
      <x:c r="AC6502" s="87" t="str">
        <x:v>VIS-EGKR-BIO-S26-TASK-956-P005</x:v>
      </x:c>
      <x:c r="AD6502" s="87" t="str">
        <x:v>https://neofamily.ru/biologiya/task-bank/81413</x:v>
      </x:c>
      <x:c r="AE6502" s="87" t="str">
        <x:v>TASK</x:v>
      </x:c>
      <x:c r="AF6502" s="87" t="str">
        <x:v>VIS-EGKR-BIO-S26-TASK-956-P005: 5</x:v>
      </x:c>
      <x:c r="AG6502" s="87" t="str">
        <x:v>RESOLVED</x:v>
      </x:c>
      <x:c r="AH6502" s="87" t="str">
        <x:v>CROP_VERIFIED</x:v>
      </x:c>
      <x:c r="AI6502" s="30"/>
      <x:c r="AJ6502" s="87" t="str">
        <x:v>clean</x:v>
      </x:c>
      <x:c r="AK6502" s="87" t="str">
        <x:v>clean-v0.24</x:v>
      </x:c>
      <x:c r="AL6502" s="87" t="str">
        <x:v>statgrad_clean_continuation_v0_24(1).xlsx</x:v>
      </x:c>
      <x:c r="AM6502" s="87" t="str">
        <x:v>BIO_EGKR_S26_956</x:v>
      </x:c>
      <x:c r="AN6502" s="87" t="n">
        <x:v>19</x:v>
      </x:c>
    </x:row>
    <x:row r="6503">
      <x:c r="A6503" s="87" t="n">
        <x:v>6502</x:v>
      </x:c>
      <x:c r="B6503" s="87" t="str">
        <x:v>EGKR-S26-BIO-956-19</x:v>
      </x:c>
      <x:c r="C6503" s="87" t="str">
        <x:v>ЕГКР</x:v>
      </x:c>
      <x:c r="D6503" s="87"/>
      <x:c r="E6503" s="87" t="str">
        <x:v>Весна 2026</x:v>
      </x:c>
      <x:c r="F6503" s="87" t="str">
        <x:v>14.04.2026</x:v>
      </x:c>
      <x:c r="G6503" s="87" t="str">
        <x:v>Биология</x:v>
      </x:c>
      <x:c r="H6503" s="87" t="n">
        <x:v>11</x:v>
      </x:c>
      <x:c r="I6503" s="87"/>
      <x:c r="J6503" s="87" t="str">
        <x:v>956</x:v>
      </x:c>
      <x:c r="K6503" s="87" t="n">
        <x:v>19</x:v>
      </x:c>
      <x:c r="L6503" s="87" t="str">
        <x:v>Экологические группы / соответствие</x:v>
      </x:c>
      <x:c r="M6503" s="30" t="str">
        <x:v>Соотнести организмы с продуцентами, консументами и редуцентами.</x:v>
      </x:c>
      <x:c r="N6503" s="30" t="str">
        <x:v>121332</x:v>
      </x:c>
      <x:c r="O6503" s="30" t="str">
        <x:v>Продуценты, консументы и редуценты распределяются как 121332.</x:v>
      </x:c>
      <x:c r="P6503" s="30"/>
      <x:c r="Q6503" s="30" t="str">
        <x:v>Исходная скан-страница + независимое решение + сверка с задачей банка.</x:v>
      </x:c>
      <x:c r="R6503" s="30"/>
      <x:c r="S6503" s="30" t="str">
        <x:v>https://neofamily.ru/biologiya/task-bank/81414</x:v>
      </x:c>
      <x:c r="T6503" s="30"/>
      <x:c r="U6503" s="30" t="str">
        <x:v>Расхождений не выявлено.</x:v>
      </x:c>
      <x:c r="V6503" s="87" t="str">
        <x:v>VERIFIED</x:v>
      </x:c>
      <x:c r="W6503" s="87"/>
      <x:c r="X6503" s="87" t="n">
        <x:v>6</x:v>
      </x:c>
      <x:c r="Y6503" s="87"/>
      <x:c r="Z6503" s="87"/>
      <x:c r="AA6503" s="87"/>
      <x:c r="AB6503" s="87"/>
      <x:c r="AC6503" s="87" t="str">
        <x:v>VIS-EGKR-BIO-S26-TASK-956-P006</x:v>
      </x:c>
      <x:c r="AD6503" s="87" t="str">
        <x:v>https://neofamily.ru/biologiya/task-bank/81414</x:v>
      </x:c>
      <x:c r="AE6503" s="87" t="str">
        <x:v>TASK</x:v>
      </x:c>
      <x:c r="AF6503" s="87" t="str">
        <x:v>VIS-EGKR-BIO-S26-TASK-956-P006: 6</x:v>
      </x:c>
      <x:c r="AG6503" s="87" t="str">
        <x:v>RESOLVED</x:v>
      </x:c>
      <x:c r="AH6503" s="87" t="str">
        <x:v>CROP_VERIFIED</x:v>
      </x:c>
      <x:c r="AI6503" s="30"/>
      <x:c r="AJ6503" s="87" t="str">
        <x:v>clean</x:v>
      </x:c>
      <x:c r="AK6503" s="87" t="str">
        <x:v>clean-v0.24</x:v>
      </x:c>
      <x:c r="AL6503" s="87" t="str">
        <x:v>statgrad_clean_continuation_v0_24(1).xlsx</x:v>
      </x:c>
      <x:c r="AM6503" s="87" t="str">
        <x:v>BIO_EGKR_S26_956</x:v>
      </x:c>
      <x:c r="AN6503" s="87" t="n">
        <x:v>20</x:v>
      </x:c>
    </x:row>
    <x:row r="6504">
      <x:c r="A6504" s="87" t="n">
        <x:v>6503</x:v>
      </x:c>
      <x:c r="B6504" s="87" t="str">
        <x:v>EGKR-S26-BIO-956-20</x:v>
      </x:c>
      <x:c r="C6504" s="87" t="str">
        <x:v>ЕГКР</x:v>
      </x:c>
      <x:c r="D6504" s="87"/>
      <x:c r="E6504" s="87" t="str">
        <x:v>Весна 2026</x:v>
      </x:c>
      <x:c r="F6504" s="87" t="str">
        <x:v>14.04.2026</x:v>
      </x:c>
      <x:c r="G6504" s="87" t="str">
        <x:v>Биология</x:v>
      </x:c>
      <x:c r="H6504" s="87" t="n">
        <x:v>11</x:v>
      </x:c>
      <x:c r="I6504" s="87"/>
      <x:c r="J6504" s="87" t="str">
        <x:v>956</x:v>
      </x:c>
      <x:c r="K6504" s="87" t="n">
        <x:v>20</x:v>
      </x:c>
      <x:c r="L6504" s="87" t="str">
        <x:v>Анализ биологической таблицы</x:v>
      </x:c>
      <x:c r="M6504" s="30" t="str">
        <x:v>Заполнить таблицу «Биомы суши».</x:v>
      </x:c>
      <x:c r="N6504" s="30" t="str">
        <x:v>867</x:v>
      </x:c>
      <x:c r="O6504" s="30" t="str">
        <x:v>Смешанный лес, перепады температур/ветра, пустынные обитатели: 867.</x:v>
      </x:c>
      <x:c r="P6504" s="30"/>
      <x:c r="Q6504" s="30" t="str">
        <x:v>Исходная скан-страница + независимое решение + сверка с задачей банка.</x:v>
      </x:c>
      <x:c r="R6504" s="30"/>
      <x:c r="S6504" s="30" t="str">
        <x:v>https://neofamily.ru/biologiya/task-bank/81415</x:v>
      </x:c>
      <x:c r="T6504" s="30"/>
      <x:c r="U6504" s="30" t="str">
        <x:v>Расхождений не выявлено.</x:v>
      </x:c>
      <x:c r="V6504" s="87" t="str">
        <x:v>VERIFIED</x:v>
      </x:c>
      <x:c r="W6504" s="87"/>
      <x:c r="X6504" s="87" t="n">
        <x:v>6</x:v>
      </x:c>
      <x:c r="Y6504" s="87"/>
      <x:c r="Z6504" s="87"/>
      <x:c r="AA6504" s="87"/>
      <x:c r="AB6504" s="87"/>
      <x:c r="AC6504" s="87" t="str">
        <x:v>VIS-EGKR-BIO-S26-TASK-956-P006</x:v>
      </x:c>
      <x:c r="AD6504" s="87" t="str">
        <x:v>https://neofamily.ru/biologiya/task-bank/81415</x:v>
      </x:c>
      <x:c r="AE6504" s="87" t="str">
        <x:v>TASK</x:v>
      </x:c>
      <x:c r="AF6504" s="87" t="str">
        <x:v>VIS-EGKR-BIO-S26-TASK-956-P006: 6</x:v>
      </x:c>
      <x:c r="AG6504" s="87" t="str">
        <x:v>RESOLVED</x:v>
      </x:c>
      <x:c r="AH6504" s="87" t="str">
        <x:v>CROP_VERIFIED</x:v>
      </x:c>
      <x:c r="AI6504" s="30"/>
      <x:c r="AJ6504" s="87" t="str">
        <x:v>clean</x:v>
      </x:c>
      <x:c r="AK6504" s="87" t="str">
        <x:v>clean-v0.24</x:v>
      </x:c>
      <x:c r="AL6504" s="87" t="str">
        <x:v>statgrad_clean_continuation_v0_24(1).xlsx</x:v>
      </x:c>
      <x:c r="AM6504" s="87" t="str">
        <x:v>BIO_EGKR_S26_956</x:v>
      </x:c>
      <x:c r="AN6504" s="87" t="n">
        <x:v>21</x:v>
      </x:c>
    </x:row>
    <x:row r="6505">
      <x:c r="A6505" s="87" t="n">
        <x:v>6504</x:v>
      </x:c>
      <x:c r="B6505" s="87" t="str">
        <x:v>EGKR-S26-BIO-956-21</x:v>
      </x:c>
      <x:c r="C6505" s="87" t="str">
        <x:v>ЕГКР</x:v>
      </x:c>
      <x:c r="D6505" s="87"/>
      <x:c r="E6505" s="87" t="str">
        <x:v>Весна 2026</x:v>
      </x:c>
      <x:c r="F6505" s="87" t="str">
        <x:v>14.04.2026</x:v>
      </x:c>
      <x:c r="G6505" s="87" t="str">
        <x:v>Биология</x:v>
      </x:c>
      <x:c r="H6505" s="87" t="n">
        <x:v>11</x:v>
      </x:c>
      <x:c r="I6505" s="87"/>
      <x:c r="J6505" s="87" t="str">
        <x:v>956</x:v>
      </x:c>
      <x:c r="K6505" s="87" t="n">
        <x:v>21</x:v>
      </x:c>
      <x:c r="L6505" s="87" t="str">
        <x:v>Анализ графика или данных</x:v>
      </x:c>
      <x:c r="M6505" s="30" t="str">
        <x:v>Выбрать выводы по графику заболеваний при токсикозе.</x:v>
      </x:c>
      <x:c r="N6505" s="30" t="str">
        <x:v>24</x:v>
      </x:c>
      <x:c r="O6505" s="30" t="str">
        <x:v>График подтверждает утверждения 2 и 4.</x:v>
      </x:c>
      <x:c r="P6505" s="30"/>
      <x:c r="Q6505" s="30" t="str">
        <x:v>Исходная скан-страница + независимое решение + сверка с задачей банка.</x:v>
      </x:c>
      <x:c r="R6505" s="30"/>
      <x:c r="S6505" s="30" t="str">
        <x:v>https://neofamily.ru/biologiya/task-bank/81416</x:v>
      </x:c>
      <x:c r="T6505" s="30"/>
      <x:c r="U6505" s="30" t="str">
        <x:v>Расхождений не выявлено.</x:v>
      </x:c>
      <x:c r="V6505" s="87" t="str">
        <x:v>VERIFIED</x:v>
      </x:c>
      <x:c r="W6505" s="87"/>
      <x:c r="X6505" s="87" t="n">
        <x:v>6</x:v>
      </x:c>
      <x:c r="Y6505" s="87"/>
      <x:c r="Z6505" s="87"/>
      <x:c r="AA6505" s="87"/>
      <x:c r="AB6505" s="87"/>
      <x:c r="AC6505" s="87" t="str">
        <x:v>VIS-EGKR-BIO-S26-TASK-956-P006</x:v>
      </x:c>
      <x:c r="AD6505" s="87" t="str">
        <x:v>https://neofamily.ru/biologiya/task-bank/81416</x:v>
      </x:c>
      <x:c r="AE6505" s="87" t="str">
        <x:v>TASK</x:v>
      </x:c>
      <x:c r="AF6505" s="87" t="str">
        <x:v>VIS-EGKR-BIO-S26-TASK-956-P006: 6</x:v>
      </x:c>
      <x:c r="AG6505" s="87" t="str">
        <x:v>RESOLVED</x:v>
      </x:c>
      <x:c r="AH6505" s="87" t="str">
        <x:v>CROP_VERIFIED</x:v>
      </x:c>
      <x:c r="AI6505" s="30"/>
      <x:c r="AJ6505" s="87" t="str">
        <x:v>clean</x:v>
      </x:c>
      <x:c r="AK6505" s="87" t="str">
        <x:v>clean-v0.24</x:v>
      </x:c>
      <x:c r="AL6505" s="87" t="str">
        <x:v>statgrad_clean_continuation_v0_24(1).xlsx</x:v>
      </x:c>
      <x:c r="AM6505" s="87" t="str">
        <x:v>BIO_EGKR_S26_956</x:v>
      </x:c>
      <x:c r="AN6505" s="87" t="n">
        <x:v>22</x:v>
      </x:c>
    </x:row>
    <x:row r="6506">
      <x:c r="A6506" s="87" t="n">
        <x:v>6505</x:v>
      </x:c>
      <x:c r="B6506" s="87" t="str">
        <x:v>EGKR-S26-BIO-956-22</x:v>
      </x:c>
      <x:c r="C6506" s="87" t="str">
        <x:v>ЕГКР</x:v>
      </x:c>
      <x:c r="D6506" s="87"/>
      <x:c r="E6506" s="87" t="str">
        <x:v>Весна 2026</x:v>
      </x:c>
      <x:c r="F6506" s="87" t="str">
        <x:v>14.04.2026</x:v>
      </x:c>
      <x:c r="G6506" s="87" t="str">
        <x:v>Биология</x:v>
      </x:c>
      <x:c r="H6506" s="87" t="n">
        <x:v>11</x:v>
      </x:c>
      <x:c r="I6506" s="87"/>
      <x:c r="J6506" s="87" t="str">
        <x:v>956</x:v>
      </x:c>
      <x:c r="K6506" s="87" t="n">
        <x:v>22</x:v>
      </x:c>
      <x:c r="L6506" s="87" t="str">
        <x:v>Развёрнутый ответ</x:v>
      </x:c>
      <x:c r="M6506" s="30" t="str">
        <x:v>Оценить отрицательный контроль опыта с дафниями и концентрацией ионов калия.</x:v>
      </x:c>
      <x:c r="N6506" s="30" t="str">
        <x:v>Водопроводная и прудовая вода различаются по составу и исходной концентрации K+, поэтому влияние добавленного калия не выделяется. Контроль: дафнии в воде из того же пруда без добавления калия при тех же численности, температуре и остальных условиях.</x:v>
      </x:c>
      <x:c r="O6506" s="30" t="str">
        <x:v>Модель полностью основана на официальных критериях оценивания.</x:v>
      </x:c>
      <x:c r="P6506" s="30"/>
      <x:c r="Q6506" s="30" t="str">
        <x:v>Сопоставление исходного варианта с официальным PDF критериев.</x:v>
      </x:c>
      <x:c r="R6506" s="30"/>
      <x:c r="S6506" s="30" t="str">
        <x:v>EGKR_140426_kriterii.pdf</x:v>
      </x:c>
      <x:c r="T6506" s="30"/>
      <x:c r="U6506" s="30" t="str">
        <x:v>Официальная модель; допускаются эквивалентные формулировки.</x:v>
      </x:c>
      <x:c r="V6506" s="87" t="str">
        <x:v>VERIFIED</x:v>
      </x:c>
      <x:c r="W6506" s="87"/>
      <x:c r="X6506" s="87" t="n">
        <x:v>7</x:v>
      </x:c>
      <x:c r="Y6506" s="87"/>
      <x:c r="Z6506" s="87"/>
      <x:c r="AA6506" s="87"/>
      <x:c r="AB6506" s="87"/>
      <x:c r="AC6506" s="87" t="str">
        <x:v>VIS-EGKR-BIO-S26-TASK-956-P007</x:v>
      </x:c>
      <x:c r="AD6506" s="87" t="str">
        <x:v>VIS-EGKR-BIO-S26-CRITERIA-P011</x:v>
      </x:c>
      <x:c r="AE6506" s="87" t="str">
        <x:v>TASK; OFFICIAL_CRITERIA</x:v>
      </x:c>
      <x:c r="AF6506" s="87" t="str">
        <x:v>VIS-EGKR-BIO-S26-TASK-956-P007: 7; VIS-EGKR-BIO-S26-CRITERIA-P011: 11</x:v>
      </x:c>
      <x:c r="AG6506" s="87" t="str">
        <x:v>RESOLVED</x:v>
      </x:c>
      <x:c r="AH6506" s="87" t="str">
        <x:v>CROP_VERIFIED</x:v>
      </x:c>
      <x:c r="AI6506" s="30"/>
      <x:c r="AJ6506" s="87" t="str">
        <x:v>clean</x:v>
      </x:c>
      <x:c r="AK6506" s="87" t="str">
        <x:v>clean-v0.24</x:v>
      </x:c>
      <x:c r="AL6506" s="87" t="str">
        <x:v>statgrad_clean_continuation_v0_24(1).xlsx</x:v>
      </x:c>
      <x:c r="AM6506" s="87" t="str">
        <x:v>BIO_EGKR_S26_956</x:v>
      </x:c>
      <x:c r="AN6506" s="87" t="n">
        <x:v>23</x:v>
      </x:c>
    </x:row>
    <x:row r="6507">
      <x:c r="A6507" s="87" t="n">
        <x:v>6506</x:v>
      </x:c>
      <x:c r="B6507" s="87" t="str">
        <x:v>EGKR-S26-BIO-956-23</x:v>
      </x:c>
      <x:c r="C6507" s="87" t="str">
        <x:v>ЕГКР</x:v>
      </x:c>
      <x:c r="D6507" s="87"/>
      <x:c r="E6507" s="87" t="str">
        <x:v>Весна 2026</x:v>
      </x:c>
      <x:c r="F6507" s="87" t="str">
        <x:v>14.04.2026</x:v>
      </x:c>
      <x:c r="G6507" s="87" t="str">
        <x:v>Биология</x:v>
      </x:c>
      <x:c r="H6507" s="87" t="n">
        <x:v>11</x:v>
      </x:c>
      <x:c r="I6507" s="87"/>
      <x:c r="J6507" s="87" t="str">
        <x:v>956</x:v>
      </x:c>
      <x:c r="K6507" s="87" t="n">
        <x:v>23</x:v>
      </x:c>
      <x:c r="L6507" s="87" t="str">
        <x:v>Развёрнутый ответ</x:v>
      </x:c>
      <x:c r="M6507" s="30" t="str">
        <x:v>Объяснить слабую реакцию другого вида дафний на K+ и назвать роль ионов калия.</x:v>
      </x:c>
      <x:c r="N6507" s="30" t="str">
        <x:v>Дафнии адаптированы к повышенной концентрации калия или имеют иную норму реакции. K+ участвует в осмотическом и мембранном потенциале; обусловливает возбудимость и проводимость нервной ткани и сократимость мышечной ткани.</x:v>
      </x:c>
      <x:c r="O6507" s="30" t="str">
        <x:v>Модель полностью основана на официальных критериях оценивания.</x:v>
      </x:c>
      <x:c r="P6507" s="30"/>
      <x:c r="Q6507" s="30" t="str">
        <x:v>Сопоставление исходного варианта с официальным PDF критериев.</x:v>
      </x:c>
      <x:c r="R6507" s="30"/>
      <x:c r="S6507" s="30" t="str">
        <x:v>EGKR_140426_kriterii.pdf</x:v>
      </x:c>
      <x:c r="T6507" s="30"/>
      <x:c r="U6507" s="30" t="str">
        <x:v>Официальная модель; допускаются эквивалентные формулировки.</x:v>
      </x:c>
      <x:c r="V6507" s="87" t="str">
        <x:v>VERIFIED</x:v>
      </x:c>
      <x:c r="W6507" s="87"/>
      <x:c r="X6507" s="87" t="n">
        <x:v>7</x:v>
      </x:c>
      <x:c r="Y6507" s="87"/>
      <x:c r="Z6507" s="87"/>
      <x:c r="AA6507" s="87"/>
      <x:c r="AB6507" s="87"/>
      <x:c r="AC6507" s="87" t="str">
        <x:v>VIS-EGKR-BIO-S26-TASK-956-P007</x:v>
      </x:c>
      <x:c r="AD6507" s="87" t="str">
        <x:v>VIS-EGKR-BIO-S26-CRITERIA-P011</x:v>
      </x:c>
      <x:c r="AE6507" s="87" t="str">
        <x:v>TASK; OFFICIAL_CRITERIA</x:v>
      </x:c>
      <x:c r="AF6507" s="87" t="str">
        <x:v>VIS-EGKR-BIO-S26-TASK-956-P007: 7; VIS-EGKR-BIO-S26-CRITERIA-P011: 11</x:v>
      </x:c>
      <x:c r="AG6507" s="87" t="str">
        <x:v>RESOLVED</x:v>
      </x:c>
      <x:c r="AH6507" s="87" t="str">
        <x:v>CROP_VERIFIED</x:v>
      </x:c>
      <x:c r="AI6507" s="30"/>
      <x:c r="AJ6507" s="87" t="str">
        <x:v>clean</x:v>
      </x:c>
      <x:c r="AK6507" s="87" t="str">
        <x:v>clean-v0.24</x:v>
      </x:c>
      <x:c r="AL6507" s="87" t="str">
        <x:v>statgrad_clean_continuation_v0_24(1).xlsx</x:v>
      </x:c>
      <x:c r="AM6507" s="87" t="str">
        <x:v>BIO_EGKR_S26_956</x:v>
      </x:c>
      <x:c r="AN6507" s="87" t="n">
        <x:v>24</x:v>
      </x:c>
    </x:row>
    <x:row r="6508">
      <x:c r="A6508" s="87" t="n">
        <x:v>6507</x:v>
      </x:c>
      <x:c r="B6508" s="87" t="str">
        <x:v>EGKR-S26-BIO-956-24</x:v>
      </x:c>
      <x:c r="C6508" s="87" t="str">
        <x:v>ЕГКР</x:v>
      </x:c>
      <x:c r="D6508" s="87"/>
      <x:c r="E6508" s="87" t="str">
        <x:v>Весна 2026</x:v>
      </x:c>
      <x:c r="F6508" s="87" t="str">
        <x:v>14.04.2026</x:v>
      </x:c>
      <x:c r="G6508" s="87" t="str">
        <x:v>Биология</x:v>
      </x:c>
      <x:c r="H6508" s="87" t="n">
        <x:v>11</x:v>
      </x:c>
      <x:c r="I6508" s="87"/>
      <x:c r="J6508" s="87" t="str">
        <x:v>956</x:v>
      </x:c>
      <x:c r="K6508" s="87" t="n">
        <x:v>24</x:v>
      </x:c>
      <x:c r="L6508" s="87" t="str">
        <x:v>Развёрнутый ответ</x:v>
      </x:c>
      <x:c r="M6508" s="30" t="str">
        <x:v>Сравнить внутреннее строение семян томата и тыквы.</x:v>
      </x:c>
      <x:c r="N6508" s="30" t="str">
        <x:v>1 — семенная кожура, 2 — зародыш, 3 — эндосперм. Оба семени имеют кожуру, зародыш и две семядоли; у тыквы эндосперм отсутствует или сильно редуцирован. Запасы находятся в семядолях зародыша и эндосперме.</x:v>
      </x:c>
      <x:c r="O6508" s="30" t="str">
        <x:v>Модель полностью основана на официальных критериях оценивания.</x:v>
      </x:c>
      <x:c r="P6508" s="30"/>
      <x:c r="Q6508" s="30" t="str">
        <x:v>Сопоставление исходного варианта с официальным PDF критериев.</x:v>
      </x:c>
      <x:c r="R6508" s="30"/>
      <x:c r="S6508" s="30" t="str">
        <x:v>EGKR_140426_kriterii.pdf</x:v>
      </x:c>
      <x:c r="T6508" s="30"/>
      <x:c r="U6508" s="30" t="str">
        <x:v>Официальная модель; допускаются эквивалентные формулировки.</x:v>
      </x:c>
      <x:c r="V6508" s="87" t="str">
        <x:v>VERIFIED</x:v>
      </x:c>
      <x:c r="W6508" s="87"/>
      <x:c r="X6508" s="87" t="n">
        <x:v>8</x:v>
      </x:c>
      <x:c r="Y6508" s="87"/>
      <x:c r="Z6508" s="87"/>
      <x:c r="AA6508" s="87"/>
      <x:c r="AB6508" s="87"/>
      <x:c r="AC6508" s="87" t="str">
        <x:v>VIS-EGKR-BIO-S26-TASK-956-P008</x:v>
      </x:c>
      <x:c r="AD6508" s="87" t="str">
        <x:v>VIS-EGKR-BIO-S26-CRITERIA-P012</x:v>
      </x:c>
      <x:c r="AE6508" s="87" t="str">
        <x:v>TASK; OFFICIAL_CRITERIA</x:v>
      </x:c>
      <x:c r="AF6508" s="87" t="str">
        <x:v>VIS-EGKR-BIO-S26-TASK-956-P008: 8; VIS-EGKR-BIO-S26-CRITERIA-P012: 12</x:v>
      </x:c>
      <x:c r="AG6508" s="87" t="str">
        <x:v>RESOLVED</x:v>
      </x:c>
      <x:c r="AH6508" s="87" t="str">
        <x:v>CROP_VERIFIED</x:v>
      </x:c>
      <x:c r="AI6508" s="30"/>
      <x:c r="AJ6508" s="87" t="str">
        <x:v>clean</x:v>
      </x:c>
      <x:c r="AK6508" s="87" t="str">
        <x:v>clean-v0.24</x:v>
      </x:c>
      <x:c r="AL6508" s="87" t="str">
        <x:v>statgrad_clean_continuation_v0_24(1).xlsx</x:v>
      </x:c>
      <x:c r="AM6508" s="87" t="str">
        <x:v>BIO_EGKR_S26_956</x:v>
      </x:c>
      <x:c r="AN6508" s="87" t="n">
        <x:v>25</x:v>
      </x:c>
    </x:row>
    <x:row r="6509">
      <x:c r="A6509" s="87" t="n">
        <x:v>6508</x:v>
      </x:c>
      <x:c r="B6509" s="87" t="str">
        <x:v>EGKR-S26-BIO-956-25</x:v>
      </x:c>
      <x:c r="C6509" s="87" t="str">
        <x:v>ЕГКР</x:v>
      </x:c>
      <x:c r="D6509" s="87"/>
      <x:c r="E6509" s="87" t="str">
        <x:v>Весна 2026</x:v>
      </x:c>
      <x:c r="F6509" s="87" t="str">
        <x:v>14.04.2026</x:v>
      </x:c>
      <x:c r="G6509" s="87" t="str">
        <x:v>Биология</x:v>
      </x:c>
      <x:c r="H6509" s="87" t="n">
        <x:v>11</x:v>
      </x:c>
      <x:c r="I6509" s="87"/>
      <x:c r="J6509" s="87" t="str">
        <x:v>956</x:v>
      </x:c>
      <x:c r="K6509" s="87" t="n">
        <x:v>25</x:v>
      </x:c>
      <x:c r="L6509" s="87" t="str">
        <x:v>Развёрнутый ответ</x:v>
      </x:c>
      <x:c r="M6509" s="30" t="str">
        <x:v>Сравнить питание эмбрионов живородящих и яйцекладущих позвоночных и объяснить яйцеживорождение.</x:v>
      </x:c>
      <x:c r="N6509" s="30" t="str">
        <x:v>У живородящих питание идёт за счёт организма матери, обычно через плаценту; у яйцекладущих — за счёт желтка. Живорождение лучше защищает эмбрион. Яйцеживорождение возникает в холодном климате: яйца задерживаются в теле матери и развиваются в более тёплой среде.</x:v>
      </x:c>
      <x:c r="O6509" s="30" t="str">
        <x:v>Модель полностью основана на официальных критериях оценивания.</x:v>
      </x:c>
      <x:c r="P6509" s="30"/>
      <x:c r="Q6509" s="30" t="str">
        <x:v>Сопоставление исходного варианта с официальным PDF критериев.</x:v>
      </x:c>
      <x:c r="R6509" s="30"/>
      <x:c r="S6509" s="30" t="str">
        <x:v>EGKR_140426_kriterii.pdf</x:v>
      </x:c>
      <x:c r="T6509" s="30"/>
      <x:c r="U6509" s="30" t="str">
        <x:v>Официальная модель; допускаются эквивалентные формулировки.</x:v>
      </x:c>
      <x:c r="V6509" s="87" t="str">
        <x:v>VERIFIED</x:v>
      </x:c>
      <x:c r="W6509" s="87"/>
      <x:c r="X6509" s="87" t="n">
        <x:v>8</x:v>
      </x:c>
      <x:c r="Y6509" s="87"/>
      <x:c r="Z6509" s="87"/>
      <x:c r="AA6509" s="87"/>
      <x:c r="AB6509" s="87"/>
      <x:c r="AC6509" s="87" t="str">
        <x:v>VIS-EGKR-BIO-S26-TASK-956-P008</x:v>
      </x:c>
      <x:c r="AD6509" s="87" t="str">
        <x:v>VIS-EGKR-BIO-S26-CRITERIA-P012</x:v>
      </x:c>
      <x:c r="AE6509" s="87" t="str">
        <x:v>TASK; OFFICIAL_CRITERIA</x:v>
      </x:c>
      <x:c r="AF6509" s="87" t="str">
        <x:v>VIS-EGKR-BIO-S26-TASK-956-P008: 8; VIS-EGKR-BIO-S26-CRITERIA-P012: 12</x:v>
      </x:c>
      <x:c r="AG6509" s="87" t="str">
        <x:v>RESOLVED</x:v>
      </x:c>
      <x:c r="AH6509" s="87" t="str">
        <x:v>CROP_VERIFIED</x:v>
      </x:c>
      <x:c r="AI6509" s="30"/>
      <x:c r="AJ6509" s="87" t="str">
        <x:v>clean</x:v>
      </x:c>
      <x:c r="AK6509" s="87" t="str">
        <x:v>clean-v0.24</x:v>
      </x:c>
      <x:c r="AL6509" s="87" t="str">
        <x:v>statgrad_clean_continuation_v0_24(1).xlsx</x:v>
      </x:c>
      <x:c r="AM6509" s="87" t="str">
        <x:v>BIO_EGKR_S26_956</x:v>
      </x:c>
      <x:c r="AN6509" s="87" t="n">
        <x:v>26</x:v>
      </x:c>
    </x:row>
    <x:row r="6510">
      <x:c r="A6510" s="87" t="n">
        <x:v>6509</x:v>
      </x:c>
      <x:c r="B6510" s="87" t="str">
        <x:v>EGKR-S26-BIO-956-26</x:v>
      </x:c>
      <x:c r="C6510" s="87" t="str">
        <x:v>ЕГКР</x:v>
      </x:c>
      <x:c r="D6510" s="87"/>
      <x:c r="E6510" s="87" t="str">
        <x:v>Весна 2026</x:v>
      </x:c>
      <x:c r="F6510" s="87" t="str">
        <x:v>14.04.2026</x:v>
      </x:c>
      <x:c r="G6510" s="87" t="str">
        <x:v>Биология</x:v>
      </x:c>
      <x:c r="H6510" s="87" t="n">
        <x:v>11</x:v>
      </x:c>
      <x:c r="I6510" s="87"/>
      <x:c r="J6510" s="87" t="str">
        <x:v>956</x:v>
      </x:c>
      <x:c r="K6510" s="87" t="n">
        <x:v>26</x:v>
      </x:c>
      <x:c r="L6510" s="87" t="str">
        <x:v>Развёрнутый ответ</x:v>
      </x:c>
      <x:c r="M6510" s="30" t="str">
        <x:v>Назвать четыре типа тканей высших растений, обеспечивших освоение суши.</x:v>
      </x:c>
      <x:c r="N6510" s="30" t="str">
        <x:v>Проводящие ткани транспортируют вещества; покровные уменьшают потерю воды и защищают; механические обеспечивают опору; основные ткани запасают питательные вещества и воду.</x:v>
      </x:c>
      <x:c r="O6510" s="30" t="str">
        <x:v>Модель полностью основана на официальных критериях оценивания.</x:v>
      </x:c>
      <x:c r="P6510" s="30"/>
      <x:c r="Q6510" s="30" t="str">
        <x:v>Сопоставление исходного варианта с официальным PDF критериев.</x:v>
      </x:c>
      <x:c r="R6510" s="30"/>
      <x:c r="S6510" s="30" t="str">
        <x:v>EGKR_140426_kriterii.pdf</x:v>
      </x:c>
      <x:c r="T6510" s="30"/>
      <x:c r="U6510" s="30" t="str">
        <x:v>Официальная модель; допускаются эквивалентные формулировки.</x:v>
      </x:c>
      <x:c r="V6510" s="87" t="str">
        <x:v>VERIFIED</x:v>
      </x:c>
      <x:c r="W6510" s="87"/>
      <x:c r="X6510" s="87" t="n">
        <x:v>8</x:v>
      </x:c>
      <x:c r="Y6510" s="87"/>
      <x:c r="Z6510" s="87"/>
      <x:c r="AA6510" s="87"/>
      <x:c r="AB6510" s="87"/>
      <x:c r="AC6510" s="87" t="str">
        <x:v>VIS-EGKR-BIO-S26-TASK-956-P008</x:v>
      </x:c>
      <x:c r="AD6510" s="87" t="str">
        <x:v>VIS-EGKR-BIO-S26-CRITERIA-P013</x:v>
      </x:c>
      <x:c r="AE6510" s="87" t="str">
        <x:v>TASK; OFFICIAL_CRITERIA</x:v>
      </x:c>
      <x:c r="AF6510" s="87" t="str">
        <x:v>VIS-EGKR-BIO-S26-TASK-956-P008: 8; VIS-EGKR-BIO-S26-CRITERIA-P013: 13</x:v>
      </x:c>
      <x:c r="AG6510" s="87" t="str">
        <x:v>RESOLVED</x:v>
      </x:c>
      <x:c r="AH6510" s="87" t="str">
        <x:v>CROP_VERIFIED</x:v>
      </x:c>
      <x:c r="AI6510" s="30"/>
      <x:c r="AJ6510" s="87" t="str">
        <x:v>clean</x:v>
      </x:c>
      <x:c r="AK6510" s="87" t="str">
        <x:v>clean-v0.24</x:v>
      </x:c>
      <x:c r="AL6510" s="87" t="str">
        <x:v>statgrad_clean_continuation_v0_24(1).xlsx</x:v>
      </x:c>
      <x:c r="AM6510" s="87" t="str">
        <x:v>BIO_EGKR_S26_956</x:v>
      </x:c>
      <x:c r="AN6510" s="87" t="n">
        <x:v>27</x:v>
      </x:c>
    </x:row>
    <x:row r="6511">
      <x:c r="A6511" s="87" t="n">
        <x:v>6510</x:v>
      </x:c>
      <x:c r="B6511" s="87" t="str">
        <x:v>EGKR-S26-BIO-956-27</x:v>
      </x:c>
      <x:c r="C6511" s="87" t="str">
        <x:v>ЕГКР</x:v>
      </x:c>
      <x:c r="D6511" s="87"/>
      <x:c r="E6511" s="87" t="str">
        <x:v>Весна 2026</x:v>
      </x:c>
      <x:c r="F6511" s="87" t="str">
        <x:v>14.04.2026</x:v>
      </x:c>
      <x:c r="G6511" s="87" t="str">
        <x:v>Биология</x:v>
      </x:c>
      <x:c r="H6511" s="87" t="n">
        <x:v>11</x:v>
      </x:c>
      <x:c r="I6511" s="87"/>
      <x:c r="J6511" s="87" t="str">
        <x:v>956</x:v>
      </x:c>
      <x:c r="K6511" s="87" t="n">
        <x:v>27</x:v>
      </x:c>
      <x:c r="L6511" s="87" t="str">
        <x:v>Развёрнутый ответ</x:v>
      </x:c>
      <x:c r="M6511" s="30" t="str">
        <x:v>Определить открытую рамку считывания и аминокислотную последовательность.</x:v>
      </x:c>
      <x:c r="N6511" s="30" t="str">
        <x:v>иРНК: 5'-ЦАУАУГЦАУГАУУГАГЦУАУЦУЦ-3'. Первый AUG приводит к стоп-кодону; синтез начинается со второго AUG. ОРС: 5'-АУГАУУГАГЦУАУЦУ(Ц)-3'; пептид: метионин–изолейцин–глутамат–лейцин–серин.</x:v>
      </x:c>
      <x:c r="O6511" s="30" t="str">
        <x:v>Модель полностью основана на официальных критериях оценивания.</x:v>
      </x:c>
      <x:c r="P6511" s="30"/>
      <x:c r="Q6511" s="30" t="str">
        <x:v>Сопоставление исходного варианта с официальным PDF критериев.</x:v>
      </x:c>
      <x:c r="R6511" s="30"/>
      <x:c r="S6511" s="30" t="str">
        <x:v>EGKR_140426_kriterii.pdf</x:v>
      </x:c>
      <x:c r="T6511" s="30"/>
      <x:c r="U6511" s="30" t="str">
        <x:v>Официальная модель; допускаются эквивалентные формулировки.</x:v>
      </x:c>
      <x:c r="V6511" s="87" t="str">
        <x:v>VERIFIED</x:v>
      </x:c>
      <x:c r="W6511" s="87"/>
      <x:c r="X6511" s="87" t="n">
        <x:v>8</x:v>
      </x:c>
      <x:c r="Y6511" s="87"/>
      <x:c r="Z6511" s="87"/>
      <x:c r="AA6511" s="87"/>
      <x:c r="AB6511" s="87"/>
      <x:c r="AC6511" s="87" t="str">
        <x:v>VIS-EGKR-BIO-S26-TASK-956-P008</x:v>
      </x:c>
      <x:c r="AD6511" s="87" t="str">
        <x:v>VIS-EGKR-BIO-S26-CRITERIA-P013; VIS-EGKR-BIO-S26-CRITERIA-P014</x:v>
      </x:c>
      <x:c r="AE6511" s="87" t="str">
        <x:v>TASK; OFFICIAL_CRITERIA</x:v>
      </x:c>
      <x:c r="AF6511" s="87" t="str">
        <x:v>VIS-EGKR-BIO-S26-TASK-956-P008: 8; VIS-EGKR-BIO-S26-CRITERIA-P013: 13; VIS-EGKR-BIO-S26-CRITERIA-P014: 14</x:v>
      </x:c>
      <x:c r="AG6511" s="87" t="str">
        <x:v>RESOLVED</x:v>
      </x:c>
      <x:c r="AH6511" s="87" t="str">
        <x:v>CROP_VERIFIED</x:v>
      </x:c>
      <x:c r="AI6511" s="30"/>
      <x:c r="AJ6511" s="87" t="str">
        <x:v>clean</x:v>
      </x:c>
      <x:c r="AK6511" s="87" t="str">
        <x:v>clean-v0.24</x:v>
      </x:c>
      <x:c r="AL6511" s="87" t="str">
        <x:v>statgrad_clean_continuation_v0_24(1).xlsx</x:v>
      </x:c>
      <x:c r="AM6511" s="87" t="str">
        <x:v>BIO_EGKR_S26_956</x:v>
      </x:c>
      <x:c r="AN6511" s="87" t="n">
        <x:v>28</x:v>
      </x:c>
    </x:row>
    <x:row r="6512">
      <x:c r="A6512" s="87" t="n">
        <x:v>6511</x:v>
      </x:c>
      <x:c r="B6512" s="87" t="str">
        <x:v>EGKR-S26-BIO-956-28</x:v>
      </x:c>
      <x:c r="C6512" s="87" t="str">
        <x:v>ЕГКР</x:v>
      </x:c>
      <x:c r="D6512" s="87"/>
      <x:c r="E6512" s="87" t="str">
        <x:v>Весна 2026</x:v>
      </x:c>
      <x:c r="F6512" s="87" t="str">
        <x:v>14.04.2026</x:v>
      </x:c>
      <x:c r="G6512" s="87" t="str">
        <x:v>Биология</x:v>
      </x:c>
      <x:c r="H6512" s="87" t="n">
        <x:v>11</x:v>
      </x:c>
      <x:c r="I6512" s="87"/>
      <x:c r="J6512" s="87" t="str">
        <x:v>956</x:v>
      </x:c>
      <x:c r="K6512" s="87" t="n">
        <x:v>28</x:v>
      </x:c>
      <x:c r="L6512" s="87" t="str">
        <x:v>Развёрнутый ответ</x:v>
      </x:c>
      <x:c r="M6512" s="30" t="str">
        <x:v>Решить задачу о сцепленных с X-хромосомой генах куриной слепоты и дальтонизма.</x:v>
      </x:c>
      <x:c r="N6512" s="30" t="str">
        <x:v>Первая женщина X^AdX^aD, мужчина X^ADY; возможны рекомбинантные X^AD и X^ad. Гомозиготная здоровая дочь второго брака X^AdX^AD вступает в брак с X^ADY. В первом браке возможен сын X^adY с куриной слепотой и дальтонизмом вследствие рекомбинантной материнской X-хромосомы.</x:v>
      </x:c>
      <x:c r="O6512" s="30" t="str">
        <x:v>Модель полностью основана на официальных критериях оценивания.</x:v>
      </x:c>
      <x:c r="P6512" s="30"/>
      <x:c r="Q6512" s="30" t="str">
        <x:v>Сопоставление исходного варианта с официальным PDF критериев.</x:v>
      </x:c>
      <x:c r="R6512" s="30"/>
      <x:c r="S6512" s="30" t="str">
        <x:v>EGKR_140426_kriterii.pdf</x:v>
      </x:c>
      <x:c r="T6512" s="30"/>
      <x:c r="U6512" s="30" t="str">
        <x:v>Официальная модель; допускаются эквивалентные формулировки.</x:v>
      </x:c>
      <x:c r="V6512" s="87" t="str">
        <x:v>VERIFIED</x:v>
      </x:c>
      <x:c r="W6512" s="87"/>
      <x:c r="X6512" s="87" t="n">
        <x:v>9</x:v>
      </x:c>
      <x:c r="Y6512" s="87"/>
      <x:c r="Z6512" s="87"/>
      <x:c r="AA6512" s="87"/>
      <x:c r="AB6512" s="87"/>
      <x:c r="AC6512" s="87" t="str">
        <x:v>VIS-EGKR-BIO-S26-TASK-956-P009</x:v>
      </x:c>
      <x:c r="AD6512" s="87" t="str">
        <x:v>VIS-EGKR-BIO-S26-CRITERIA-P014</x:v>
      </x:c>
      <x:c r="AE6512" s="87" t="str">
        <x:v>TASK; OFFICIAL_CRITERIA</x:v>
      </x:c>
      <x:c r="AF6512" s="87" t="str">
        <x:v>VIS-EGKR-BIO-S26-TASK-956-P009: 9; VIS-EGKR-BIO-S26-CRITERIA-P014: 14</x:v>
      </x:c>
      <x:c r="AG6512" s="87" t="str">
        <x:v>RESOLVED</x:v>
      </x:c>
      <x:c r="AH6512" s="87" t="str">
        <x:v>CROP_VERIFIED</x:v>
      </x:c>
      <x:c r="AI6512" s="30"/>
      <x:c r="AJ6512" s="87" t="str">
        <x:v>clean</x:v>
      </x:c>
      <x:c r="AK6512" s="87" t="str">
        <x:v>clean-v0.24</x:v>
      </x:c>
      <x:c r="AL6512" s="87" t="str">
        <x:v>statgrad_clean_continuation_v0_24(1).xlsx</x:v>
      </x:c>
      <x:c r="AM6512" s="87" t="str">
        <x:v>BIO_EGKR_S26_956</x:v>
      </x:c>
      <x:c r="AN6512" s="87" t="n">
        <x:v>29</x:v>
      </x:c>
    </x:row>
    <x:row r="6513">
      <x:c r="A6513" s="87" t="n">
        <x:v>6512</x:v>
      </x:c>
      <x:c r="B6513" s="87" t="str">
        <x:v>EGKR-S26-HIS-954-01</x:v>
      </x:c>
      <x:c r="C6513" s="87" t="str">
        <x:v>ЕГКР</x:v>
      </x:c>
      <x:c r="D6513" s="87"/>
      <x:c r="E6513" s="87" t="str">
        <x:v>Весна 2026</x:v>
      </x:c>
      <x:c r="F6513" s="87" t="str">
        <x:v>14.04.2026</x:v>
      </x:c>
      <x:c r="G6513" s="87" t="str">
        <x:v>История</x:v>
      </x:c>
      <x:c r="H6513" s="87" t="n">
        <x:v>11</x:v>
      </x:c>
      <x:c r="I6513" s="87"/>
      <x:c r="J6513" s="87" t="str">
        <x:v>954</x:v>
      </x:c>
      <x:c r="K6513" s="87" t="n">
        <x:v>1</x:v>
      </x:c>
      <x:c r="L6513" s="87" t="str">
        <x:v>События и годы</x:v>
      </x:c>
      <x:c r="M6513" s="30" t="str">
        <x:v>Соотнести начало Ливонской войны, учреждение министерств, Ясско-Кишинёвскую операцию и создание ОВД с годами.</x:v>
      </x:c>
      <x:c r="N6513" s="30" t="str">
        <x:v>1346</x:v>
      </x:c>
      <x:c r="O6513" s="30" t="str">
        <x:v>1558, 1802, 1944, 1955 → 1346. Ответник ошибочно относит Ясско-Кишинёвскую операцию к 1945 году.</x:v>
      </x:c>
      <x:c r="P6513" s="30"/>
      <x:c r="Q6513" s="30" t="str">
        <x:v>Исходная страница, независимая историческая проверка и вторичная веб-сверка.</x:v>
      </x:c>
      <x:c r="R6513" s="30" t="str">
        <x:v>1356</x:v>
      </x:c>
      <x:c r="S6513" s="30"/>
      <x:c r="T6513" s="30"/>
      <x:c r="U6513" s="30" t="str">
        <x:v>Ответник: 1356; канонический ответ: 1346.</x:v>
      </x:c>
      <x:c r="V6513" s="87" t="str">
        <x:v>KEY_MISMATCH</x:v>
      </x:c>
      <x:c r="W6513" s="87"/>
      <x:c r="X6513" s="87" t="n">
        <x:v>1</x:v>
      </x:c>
      <x:c r="Y6513" s="87"/>
      <x:c r="Z6513" s="87"/>
      <x:c r="AA6513" s="87"/>
      <x:c r="AB6513" s="87"/>
      <x:c r="AC6513" s="87" t="str">
        <x:v>VIS-EGKR-HIS-S26-TASK-954-P001</x:v>
      </x:c>
      <x:c r="AD6513" s="87" t="str">
        <x:v>VIS-EGKR-HIS-S26-ANSWERDOC-P001</x:v>
      </x:c>
      <x:c r="AE6513" s="87" t="str">
        <x:v>TASK; SECONDARY_ANSWER_SOURCE</x:v>
      </x:c>
      <x:c r="AF6513" s="87" t="str">
        <x:v>VIS-EGKR-HIS-S26-TASK-954-P001: 1; VIS-EGKR-HIS-S26-ANSWERDOC-P001: 1</x:v>
      </x:c>
      <x:c r="AG6513" s="87" t="str">
        <x:v>RESOLVED</x:v>
      </x:c>
      <x:c r="AH6513" s="87" t="str">
        <x:v>CROP_VERIFIED</x:v>
      </x:c>
      <x:c r="AI6513" s="30"/>
      <x:c r="AJ6513" s="87" t="str">
        <x:v>clean</x:v>
      </x:c>
      <x:c r="AK6513" s="87" t="str">
        <x:v>clean-v0.25</x:v>
      </x:c>
      <x:c r="AL6513" s="87" t="str">
        <x:v>statgrad_clean_continuation_v0_25(1).xlsx</x:v>
      </x:c>
      <x:c r="AM6513" s="87" t="str">
        <x:v>HIS_EGKR_S26_954</x:v>
      </x:c>
      <x:c r="AN6513" s="87" t="n">
        <x:v>2</x:v>
      </x:c>
    </x:row>
    <x:row r="6514">
      <x:c r="A6514" s="87" t="n">
        <x:v>6513</x:v>
      </x:c>
      <x:c r="B6514" s="87" t="str">
        <x:v>EGKR-S26-HIS-954-02</x:v>
      </x:c>
      <x:c r="C6514" s="87" t="str">
        <x:v>ЕГКР</x:v>
      </x:c>
      <x:c r="D6514" s="87"/>
      <x:c r="E6514" s="87" t="str">
        <x:v>Весна 2026</x:v>
      </x:c>
      <x:c r="F6514" s="87" t="str">
        <x:v>14.04.2026</x:v>
      </x:c>
      <x:c r="G6514" s="87" t="str">
        <x:v>История</x:v>
      </x:c>
      <x:c r="H6514" s="87" t="n">
        <x:v>11</x:v>
      </x:c>
      <x:c r="I6514" s="87"/>
      <x:c r="J6514" s="87" t="str">
        <x:v>954</x:v>
      </x:c>
      <x:c r="K6514" s="87" t="n">
        <x:v>2</x:v>
      </x:c>
      <x:c r="L6514" s="87" t="str">
        <x:v>Хронологическая последовательность</x:v>
      </x:c>
      <x:c r="M6514" s="30" t="str">
        <x:v>Расположить Ясский мир, начало Столыпинской реформы и провозглашение Третьей республики во Франции.</x:v>
      </x:c>
      <x:c r="N6514" s="30" t="str">
        <x:v>132</x:v>
      </x:c>
      <x:c r="O6514" s="30" t="str">
        <x:v>1792 → 1870 → 1906, поэтому 132.</x:v>
      </x:c>
      <x:c r="P6514" s="30"/>
      <x:c r="Q6514" s="30" t="str">
        <x:v>Исходная страница, независимая историческая проверка и вторичная веб-сверка.</x:v>
      </x:c>
      <x:c r="R6514" s="30" t="str">
        <x:v>132</x:v>
      </x:c>
      <x:c r="S6514" s="30"/>
      <x:c r="T6514" s="30"/>
      <x:c r="U6514" s="30" t="str">
        <x:v>Ответник совпадает с независимой проверкой.</x:v>
      </x:c>
      <x:c r="V6514" s="87" t="str">
        <x:v>VERIFIED</x:v>
      </x:c>
      <x:c r="W6514" s="87"/>
      <x:c r="X6514" s="87" t="n">
        <x:v>1</x:v>
      </x:c>
      <x:c r="Y6514" s="87"/>
      <x:c r="Z6514" s="87"/>
      <x:c r="AA6514" s="87"/>
      <x:c r="AB6514" s="87"/>
      <x:c r="AC6514" s="87" t="str">
        <x:v>VIS-EGKR-HIS-S26-TASK-954-P001</x:v>
      </x:c>
      <x:c r="AD6514" s="87" t="str">
        <x:v>VIS-EGKR-HIS-S26-ANSWERDOC-P001</x:v>
      </x:c>
      <x:c r="AE6514" s="87" t="str">
        <x:v>TASK; SECONDARY_ANSWER_SOURCE</x:v>
      </x:c>
      <x:c r="AF6514" s="87" t="str">
        <x:v>VIS-EGKR-HIS-S26-TASK-954-P001: 1; VIS-EGKR-HIS-S26-ANSWERDOC-P001: 1</x:v>
      </x:c>
      <x:c r="AG6514" s="87" t="str">
        <x:v>RESOLVED</x:v>
      </x:c>
      <x:c r="AH6514" s="87" t="str">
        <x:v>CROP_VERIFIED</x:v>
      </x:c>
      <x:c r="AI6514" s="30"/>
      <x:c r="AJ6514" s="87" t="str">
        <x:v>clean</x:v>
      </x:c>
      <x:c r="AK6514" s="87" t="str">
        <x:v>clean-v0.25</x:v>
      </x:c>
      <x:c r="AL6514" s="87" t="str">
        <x:v>statgrad_clean_continuation_v0_25(1).xlsx</x:v>
      </x:c>
      <x:c r="AM6514" s="87" t="str">
        <x:v>HIS_EGKR_S26_954</x:v>
      </x:c>
      <x:c r="AN6514" s="87" t="n">
        <x:v>3</x:v>
      </x:c>
    </x:row>
    <x:row r="6515">
      <x:c r="A6515" s="87" t="n">
        <x:v>6514</x:v>
      </x:c>
      <x:c r="B6515" s="87" t="str">
        <x:v>EGKR-S26-HIS-954-03</x:v>
      </x:c>
      <x:c r="C6515" s="87" t="str">
        <x:v>ЕГКР</x:v>
      </x:c>
      <x:c r="D6515" s="87"/>
      <x:c r="E6515" s="87" t="str">
        <x:v>Весна 2026</x:v>
      </x:c>
      <x:c r="F6515" s="87" t="str">
        <x:v>14.04.2026</x:v>
      </x:c>
      <x:c r="G6515" s="87" t="str">
        <x:v>История</x:v>
      </x:c>
      <x:c r="H6515" s="87" t="n">
        <x:v>11</x:v>
      </x:c>
      <x:c r="I6515" s="87"/>
      <x:c r="J6515" s="87" t="str">
        <x:v>954</x:v>
      </x:c>
      <x:c r="K6515" s="87" t="n">
        <x:v>3</x:v>
      </x:c>
      <x:c r="L6515" s="87" t="str">
        <x:v>Процессы и факты</x:v>
      </x:c>
      <x:c r="M6515" s="30" t="str">
        <x:v>Соотнести первую пятилетку, Первую российскую революцию, закрепощение XVII века и усиление Москвы XIV века с фактами.</x:v>
      </x:c>
      <x:c r="N6515" s="30" t="str">
        <x:v>4321</x:v>
      </x:c>
      <x:c r="O6515" s="30" t="str">
        <x:v>Магнитогорск → 4; Кровавое воскресенье → 3; Соборное уложение → 2; подавление Тверского восстания → 1.</x:v>
      </x:c>
      <x:c r="P6515" s="30"/>
      <x:c r="Q6515" s="30" t="str">
        <x:v>Исходная страница, независимая историческая проверка и вторичная веб-сверка.</x:v>
      </x:c>
      <x:c r="R6515" s="30" t="str">
        <x:v>4361</x:v>
      </x:c>
      <x:c r="S6515" s="30"/>
      <x:c r="T6515" s="30"/>
      <x:c r="U6515" s="30" t="str">
        <x:v>Ответник: 4361; канонический ответ: 4321.</x:v>
      </x:c>
      <x:c r="V6515" s="87" t="str">
        <x:v>KEY_MISMATCH</x:v>
      </x:c>
      <x:c r="W6515" s="87"/>
      <x:c r="X6515" s="87" t="n">
        <x:v>2</x:v>
      </x:c>
      <x:c r="Y6515" s="87"/>
      <x:c r="Z6515" s="87"/>
      <x:c r="AA6515" s="87"/>
      <x:c r="AB6515" s="87"/>
      <x:c r="AC6515" s="87" t="str">
        <x:v>VIS-EGKR-HIS-S26-TASK-954-P002</x:v>
      </x:c>
      <x:c r="AD6515" s="87" t="str">
        <x:v>VIS-EGKR-HIS-S26-ANSWERDOC-P001</x:v>
      </x:c>
      <x:c r="AE6515" s="87" t="str">
        <x:v>TASK; SECONDARY_ANSWER_SOURCE</x:v>
      </x:c>
      <x:c r="AF6515" s="87" t="str">
        <x:v>VIS-EGKR-HIS-S26-TASK-954-P002: 2; VIS-EGKR-HIS-S26-ANSWERDOC-P001: 1</x:v>
      </x:c>
      <x:c r="AG6515" s="87" t="str">
        <x:v>RESOLVED</x:v>
      </x:c>
      <x:c r="AH6515" s="87" t="str">
        <x:v>CROP_VERIFIED</x:v>
      </x:c>
      <x:c r="AI6515" s="30"/>
      <x:c r="AJ6515" s="87" t="str">
        <x:v>clean</x:v>
      </x:c>
      <x:c r="AK6515" s="87" t="str">
        <x:v>clean-v0.25</x:v>
      </x:c>
      <x:c r="AL6515" s="87" t="str">
        <x:v>statgrad_clean_continuation_v0_25(1).xlsx</x:v>
      </x:c>
      <x:c r="AM6515" s="87" t="str">
        <x:v>HIS_EGKR_S26_954</x:v>
      </x:c>
      <x:c r="AN6515" s="87" t="n">
        <x:v>4</x:v>
      </x:c>
    </x:row>
    <x:row r="6516">
      <x:c r="A6516" s="87" t="n">
        <x:v>6515</x:v>
      </x:c>
      <x:c r="B6516" s="87" t="str">
        <x:v>EGKR-S26-HIS-954-04</x:v>
      </x:c>
      <x:c r="C6516" s="87" t="str">
        <x:v>ЕГКР</x:v>
      </x:c>
      <x:c r="D6516" s="87"/>
      <x:c r="E6516" s="87" t="str">
        <x:v>Весна 2026</x:v>
      </x:c>
      <x:c r="F6516" s="87" t="str">
        <x:v>14.04.2026</x:v>
      </x:c>
      <x:c r="G6516" s="87" t="str">
        <x:v>История</x:v>
      </x:c>
      <x:c r="H6516" s="87" t="n">
        <x:v>11</x:v>
      </x:c>
      <x:c r="I6516" s="87"/>
      <x:c r="J6516" s="87" t="str">
        <x:v>954</x:v>
      </x:c>
      <x:c r="K6516" s="87" t="n">
        <x:v>4</x:v>
      </x:c>
      <x:c r="L6516" s="87" t="str">
        <x:v>Заполнение исторической таблицы</x:v>
      </x:c>
      <x:c r="M6516" s="30" t="str">
        <x:v>Заполнить таблицу по Угличу, Пскову, Деулину и Азову.</x:v>
      </x:c>
      <x:c r="N6516" s="30" t="str">
        <x:v>925487</x:v>
      </x:c>
      <x:c r="O6516" s="30" t="str">
        <x:v>Углич: гибель царевича Дмитрия и 1590-е; Псков: оборона от Батория; Деулино и 1610-е; Азов.</x:v>
      </x:c>
      <x:c r="P6516" s="30"/>
      <x:c r="Q6516" s="30" t="str">
        <x:v>Исходная страница, независимая историческая проверка и вторичная веб-сверка.</x:v>
      </x:c>
      <x:c r="R6516" s="30" t="str">
        <x:v>925487</x:v>
      </x:c>
      <x:c r="S6516" s="30"/>
      <x:c r="T6516" s="30"/>
      <x:c r="U6516" s="30" t="str">
        <x:v>Ответник совпадает с независимой проверкой.</x:v>
      </x:c>
      <x:c r="V6516" s="87" t="str">
        <x:v>VERIFIED</x:v>
      </x:c>
      <x:c r="W6516" s="87"/>
      <x:c r="X6516" s="87" t="n">
        <x:v>2</x:v>
      </x:c>
      <x:c r="Y6516" s="87"/>
      <x:c r="Z6516" s="87"/>
      <x:c r="AA6516" s="87"/>
      <x:c r="AB6516" s="87"/>
      <x:c r="AC6516" s="87" t="str">
        <x:v>VIS-EGKR-HIS-S26-TASK-954-P002</x:v>
      </x:c>
      <x:c r="AD6516" s="87" t="str">
        <x:v>VIS-EGKR-HIS-S26-ANSWERDOC-P001</x:v>
      </x:c>
      <x:c r="AE6516" s="87" t="str">
        <x:v>TASK; SECONDARY_ANSWER_SOURCE</x:v>
      </x:c>
      <x:c r="AF6516" s="87" t="str">
        <x:v>VIS-EGKR-HIS-S26-TASK-954-P002: 2; VIS-EGKR-HIS-S26-ANSWERDOC-P001: 1</x:v>
      </x:c>
      <x:c r="AG6516" s="87" t="str">
        <x:v>RESOLVED</x:v>
      </x:c>
      <x:c r="AH6516" s="87" t="str">
        <x:v>CROP_VERIFIED</x:v>
      </x:c>
      <x:c r="AI6516" s="30"/>
      <x:c r="AJ6516" s="87" t="str">
        <x:v>clean</x:v>
      </x:c>
      <x:c r="AK6516" s="87" t="str">
        <x:v>clean-v0.25</x:v>
      </x:c>
      <x:c r="AL6516" s="87" t="str">
        <x:v>statgrad_clean_continuation_v0_25(1).xlsx</x:v>
      </x:c>
      <x:c r="AM6516" s="87" t="str">
        <x:v>HIS_EGKR_S26_954</x:v>
      </x:c>
      <x:c r="AN6516" s="87" t="n">
        <x:v>5</x:v>
      </x:c>
    </x:row>
    <x:row r="6517">
      <x:c r="A6517" s="87" t="n">
        <x:v>6516</x:v>
      </x:c>
      <x:c r="B6517" s="87" t="str">
        <x:v>EGKR-S26-HIS-954-05</x:v>
      </x:c>
      <x:c r="C6517" s="87" t="str">
        <x:v>ЕГКР</x:v>
      </x:c>
      <x:c r="D6517" s="87"/>
      <x:c r="E6517" s="87" t="str">
        <x:v>Весна 2026</x:v>
      </x:c>
      <x:c r="F6517" s="87" t="str">
        <x:v>14.04.2026</x:v>
      </x:c>
      <x:c r="G6517" s="87" t="str">
        <x:v>История</x:v>
      </x:c>
      <x:c r="H6517" s="87" t="n">
        <x:v>11</x:v>
      </x:c>
      <x:c r="I6517" s="87"/>
      <x:c r="J6517" s="87" t="str">
        <x:v>954</x:v>
      </x:c>
      <x:c r="K6517" s="87" t="n">
        <x:v>5</x:v>
      </x:c>
      <x:c r="L6517" s="87" t="str">
        <x:v>События и участники</x:v>
      </x:c>
      <x:c r="M6517" s="30" t="str">
        <x:v>Соотнести учреждение патриаршества, реформу Канкрина, взятие Кёнигсберга и СВО с участниками.</x:v>
      </x:c>
      <x:c r="N6517" s="30" t="str">
        <x:v>3154</x:v>
      </x:c>
      <x:c r="O6517" s="30" t="str">
        <x:v>Борис Годунов, Е.Ф. Канкрин, А.М. Василевский, М.Н. Мирошниченко → 3154.</x:v>
      </x:c>
      <x:c r="P6517" s="30"/>
      <x:c r="Q6517" s="30" t="str">
        <x:v>Исходная страница, независимая историческая проверка и вторичная веб-сверка.</x:v>
      </x:c>
      <x:c r="R6517" s="30" t="str">
        <x:v>3154</x:v>
      </x:c>
      <x:c r="S6517" s="30"/>
      <x:c r="T6517" s="30"/>
      <x:c r="U6517" s="30" t="str">
        <x:v>Ответник совпадает с независимой проверкой.</x:v>
      </x:c>
      <x:c r="V6517" s="87" t="str">
        <x:v>VERIFIED</x:v>
      </x:c>
      <x:c r="W6517" s="87"/>
      <x:c r="X6517" s="87" t="n">
        <x:v>3</x:v>
      </x:c>
      <x:c r="Y6517" s="87"/>
      <x:c r="Z6517" s="87"/>
      <x:c r="AA6517" s="87"/>
      <x:c r="AB6517" s="87"/>
      <x:c r="AC6517" s="87" t="str">
        <x:v>VIS-EGKR-HIS-S26-TASK-954-P003</x:v>
      </x:c>
      <x:c r="AD6517" s="87" t="str">
        <x:v>VIS-EGKR-HIS-S26-ANSWERDOC-P001</x:v>
      </x:c>
      <x:c r="AE6517" s="87" t="str">
        <x:v>TASK; SECONDARY_ANSWER_SOURCE</x:v>
      </x:c>
      <x:c r="AF6517" s="87" t="str">
        <x:v>VIS-EGKR-HIS-S26-TASK-954-P003: 3; VIS-EGKR-HIS-S26-ANSWERDOC-P001: 1</x:v>
      </x:c>
      <x:c r="AG6517" s="87" t="str">
        <x:v>RESOLVED</x:v>
      </x:c>
      <x:c r="AH6517" s="87" t="str">
        <x:v>CROP_VERIFIED</x:v>
      </x:c>
      <x:c r="AI6517" s="30"/>
      <x:c r="AJ6517" s="87" t="str">
        <x:v>clean</x:v>
      </x:c>
      <x:c r="AK6517" s="87" t="str">
        <x:v>clean-v0.25</x:v>
      </x:c>
      <x:c r="AL6517" s="87" t="str">
        <x:v>statgrad_clean_continuation_v0_25(1).xlsx</x:v>
      </x:c>
      <x:c r="AM6517" s="87" t="str">
        <x:v>HIS_EGKR_S26_954</x:v>
      </x:c>
      <x:c r="AN6517" s="87" t="n">
        <x:v>6</x:v>
      </x:c>
    </x:row>
    <x:row r="6518">
      <x:c r="A6518" s="87" t="n">
        <x:v>6517</x:v>
      </x:c>
      <x:c r="B6518" s="87" t="str">
        <x:v>EGKR-S26-HIS-954-06</x:v>
      </x:c>
      <x:c r="C6518" s="87" t="str">
        <x:v>ЕГКР</x:v>
      </x:c>
      <x:c r="D6518" s="87"/>
      <x:c r="E6518" s="87" t="str">
        <x:v>Весна 2026</x:v>
      </x:c>
      <x:c r="F6518" s="87" t="str">
        <x:v>14.04.2026</x:v>
      </x:c>
      <x:c r="G6518" s="87" t="str">
        <x:v>История</x:v>
      </x:c>
      <x:c r="H6518" s="87" t="n">
        <x:v>11</x:v>
      </x:c>
      <x:c r="I6518" s="87"/>
      <x:c r="J6518" s="87" t="str">
        <x:v>954</x:v>
      </x:c>
      <x:c r="K6518" s="87" t="n">
        <x:v>6</x:v>
      </x:c>
      <x:c r="L6518" s="87" t="str">
        <x:v>Анализ исторического источника</x:v>
      </x:c>
      <x:c r="M6518" s="30" t="str">
        <x:v>Выбрать верные суждения по летописному рассказу об убийстве Андрея Боголюбского.</x:v>
      </x:c>
      <x:c r="N6518" s="30" t="str">
        <x:v>126</x:v>
      </x:c>
      <x:c r="O6518" s="30" t="str">
        <x:v>Верны: родство с Мономахом, 1170-е годы и попытка убийц преодолеть страх вином.</x:v>
      </x:c>
      <x:c r="P6518" s="30"/>
      <x:c r="Q6518" s="30" t="str">
        <x:v>Исходная страница, независимая историческая проверка и вторичная веб-сверка.</x:v>
      </x:c>
      <x:c r="R6518" s="30" t="str">
        <x:v>126</x:v>
      </x:c>
      <x:c r="S6518" s="30"/>
      <x:c r="T6518" s="30"/>
      <x:c r="U6518" s="30" t="str">
        <x:v>Ответник совпадает с независимой проверкой.</x:v>
      </x:c>
      <x:c r="V6518" s="87" t="str">
        <x:v>VERIFIED</x:v>
      </x:c>
      <x:c r="W6518" s="87"/>
      <x:c r="X6518" s="87" t="n">
        <x:v>3</x:v>
      </x:c>
      <x:c r="Y6518" s="87"/>
      <x:c r="Z6518" s="87"/>
      <x:c r="AA6518" s="87"/>
      <x:c r="AB6518" s="87"/>
      <x:c r="AC6518" s="87" t="str">
        <x:v>VIS-EGKR-HIS-S26-TASK-954-P003</x:v>
      </x:c>
      <x:c r="AD6518" s="87" t="str">
        <x:v>VIS-EGKR-HIS-S26-ANSWERDOC-P001</x:v>
      </x:c>
      <x:c r="AE6518" s="87" t="str">
        <x:v>TASK; SECONDARY_ANSWER_SOURCE</x:v>
      </x:c>
      <x:c r="AF6518" s="87" t="str">
        <x:v>VIS-EGKR-HIS-S26-TASK-954-P003: 3; VIS-EGKR-HIS-S26-ANSWERDOC-P001: 1</x:v>
      </x:c>
      <x:c r="AG6518" s="87" t="str">
        <x:v>RESOLVED</x:v>
      </x:c>
      <x:c r="AH6518" s="87" t="str">
        <x:v>CROP_VERIFIED</x:v>
      </x:c>
      <x:c r="AI6518" s="30"/>
      <x:c r="AJ6518" s="87" t="str">
        <x:v>clean</x:v>
      </x:c>
      <x:c r="AK6518" s="87" t="str">
        <x:v>clean-v0.25</x:v>
      </x:c>
      <x:c r="AL6518" s="87" t="str">
        <x:v>statgrad_clean_continuation_v0_25(1).xlsx</x:v>
      </x:c>
      <x:c r="AM6518" s="87" t="str">
        <x:v>HIS_EGKR_S26_954</x:v>
      </x:c>
      <x:c r="AN6518" s="87" t="n">
        <x:v>7</x:v>
      </x:c>
    </x:row>
    <x:row r="6519">
      <x:c r="A6519" s="87" t="n">
        <x:v>6518</x:v>
      </x:c>
      <x:c r="B6519" s="87" t="str">
        <x:v>EGKR-S26-HIS-954-07</x:v>
      </x:c>
      <x:c r="C6519" s="87" t="str">
        <x:v>ЕГКР</x:v>
      </x:c>
      <x:c r="D6519" s="87"/>
      <x:c r="E6519" s="87" t="str">
        <x:v>Весна 2026</x:v>
      </x:c>
      <x:c r="F6519" s="87" t="str">
        <x:v>14.04.2026</x:v>
      </x:c>
      <x:c r="G6519" s="87" t="str">
        <x:v>История</x:v>
      </x:c>
      <x:c r="H6519" s="87" t="n">
        <x:v>11</x:v>
      </x:c>
      <x:c r="I6519" s="87"/>
      <x:c r="J6519" s="87" t="str">
        <x:v>954</x:v>
      </x:c>
      <x:c r="K6519" s="87" t="n">
        <x:v>7</x:v>
      </x:c>
      <x:c r="L6519" s="87" t="str">
        <x:v>Памятники культуры</x:v>
      </x:c>
      <x:c r="M6519" s="30" t="str">
        <x:v>Соотнести «Домострой», «Житие Михаила Тверского», «Бедную Лизу» и «Мастера и Маргариту» с характеристиками.</x:v>
      </x:c>
      <x:c r="N6519" s="30" t="str">
        <x:v>6254</x:v>
      </x:c>
      <x:c r="O6519" s="30" t="str">
        <x:v>«Домострой» — 6; Михаил Тверской — 2; Карамзин-сентименталист — 5; роман Булгакова — 4.</x:v>
      </x:c>
      <x:c r="P6519" s="30"/>
      <x:c r="Q6519" s="30" t="str">
        <x:v>Исходная страница, независимая историческая проверка и вторичная веб-сверка.</x:v>
      </x:c>
      <x:c r="R6519" s="30" t="str">
        <x:v>6254</x:v>
      </x:c>
      <x:c r="S6519" s="30"/>
      <x:c r="T6519" s="30"/>
      <x:c r="U6519" s="30" t="str">
        <x:v>Ответник совпадает с независимой проверкой.</x:v>
      </x:c>
      <x:c r="V6519" s="87" t="str">
        <x:v>VERIFIED</x:v>
      </x:c>
      <x:c r="W6519" s="87"/>
      <x:c r="X6519" s="87" t="n">
        <x:v>4</x:v>
      </x:c>
      <x:c r="Y6519" s="87"/>
      <x:c r="Z6519" s="87"/>
      <x:c r="AA6519" s="87"/>
      <x:c r="AB6519" s="87"/>
      <x:c r="AC6519" s="87" t="str">
        <x:v>VIS-EGKR-HIS-S26-TASK-954-P004</x:v>
      </x:c>
      <x:c r="AD6519" s="87" t="str">
        <x:v>VIS-EGKR-HIS-S26-ANSWERDOC-P001</x:v>
      </x:c>
      <x:c r="AE6519" s="87" t="str">
        <x:v>TASK; SECONDARY_ANSWER_SOURCE</x:v>
      </x:c>
      <x:c r="AF6519" s="87" t="str">
        <x:v>VIS-EGKR-HIS-S26-TASK-954-P004: 4; VIS-EGKR-HIS-S26-ANSWERDOC-P001: 1</x:v>
      </x:c>
      <x:c r="AG6519" s="87" t="str">
        <x:v>RESOLVED</x:v>
      </x:c>
      <x:c r="AH6519" s="87" t="str">
        <x:v>CROP_VERIFIED</x:v>
      </x:c>
      <x:c r="AI6519" s="30"/>
      <x:c r="AJ6519" s="87" t="str">
        <x:v>clean</x:v>
      </x:c>
      <x:c r="AK6519" s="87" t="str">
        <x:v>clean-v0.25</x:v>
      </x:c>
      <x:c r="AL6519" s="87" t="str">
        <x:v>statgrad_clean_continuation_v0_25(1).xlsx</x:v>
      </x:c>
      <x:c r="AM6519" s="87" t="str">
        <x:v>HIS_EGKR_S26_954</x:v>
      </x:c>
      <x:c r="AN6519" s="87" t="n">
        <x:v>8</x:v>
      </x:c>
    </x:row>
    <x:row r="6520">
      <x:c r="A6520" s="87" t="n">
        <x:v>6519</x:v>
      </x:c>
      <x:c r="B6520" s="87" t="str">
        <x:v>EGKR-S26-HIS-954-08</x:v>
      </x:c>
      <x:c r="C6520" s="87" t="str">
        <x:v>ЕГКР</x:v>
      </x:c>
      <x:c r="D6520" s="87"/>
      <x:c r="E6520" s="87" t="str">
        <x:v>Весна 2026</x:v>
      </x:c>
      <x:c r="F6520" s="87" t="str">
        <x:v>14.04.2026</x:v>
      </x:c>
      <x:c r="G6520" s="87" t="str">
        <x:v>История</x:v>
      </x:c>
      <x:c r="H6520" s="87" t="n">
        <x:v>11</x:v>
      </x:c>
      <x:c r="I6520" s="87"/>
      <x:c r="J6520" s="87" t="str">
        <x:v>954</x:v>
      </x:c>
      <x:c r="K6520" s="87" t="n">
        <x:v>8</x:v>
      </x:c>
      <x:c r="L6520" s="87" t="str">
        <x:v>Анализ изображения</x:v>
      </x:c>
      <x:c r="M6520" s="30" t="str">
        <x:v>Определить год выпуска номера «Вечерней Москвы» с сообщением о разгроме немецких войск под Москвой.</x:v>
      </x:c>
      <x:c r="N6520" s="30" t="str">
        <x:v>СОРОК ПЕРВОМ</x:v>
      </x:c>
      <x:c r="O6520" s="30" t="str">
        <x:v>Сообщение о контрнаступлении под Москвой датировано декабрём 1941 года.</x:v>
      </x:c>
      <x:c r="P6520" s="30"/>
      <x:c r="Q6520" s="30" t="str">
        <x:v>Исходная страница, независимая историческая проверка и вторичная веб-сверка.</x:v>
      </x:c>
      <x:c r="R6520" s="30" t="str">
        <x:v>СОРОК ПЕРВОМ</x:v>
      </x:c>
      <x:c r="S6520" s="30"/>
      <x:c r="T6520" s="30"/>
      <x:c r="U6520" s="30" t="str">
        <x:v>Ответник совпадает с независимой проверкой.</x:v>
      </x:c>
      <x:c r="V6520" s="87" t="str">
        <x:v>VERIFIED</x:v>
      </x:c>
      <x:c r="W6520" s="87"/>
      <x:c r="X6520" s="87" t="n">
        <x:v>4</x:v>
      </x:c>
      <x:c r="Y6520" s="87"/>
      <x:c r="Z6520" s="87"/>
      <x:c r="AA6520" s="87"/>
      <x:c r="AB6520" s="87"/>
      <x:c r="AC6520" s="87" t="str">
        <x:v>VIS-EGKR-HIS-S26-TASK-954-P004</x:v>
      </x:c>
      <x:c r="AD6520" s="87" t="str">
        <x:v>VIS-EGKR-HIS-S26-ANSWERDOC-P001</x:v>
      </x:c>
      <x:c r="AE6520" s="87" t="str">
        <x:v>TASK; SECONDARY_ANSWER_SOURCE</x:v>
      </x:c>
      <x:c r="AF6520" s="87" t="str">
        <x:v>VIS-EGKR-HIS-S26-TASK-954-P004: 4; VIS-EGKR-HIS-S26-ANSWERDOC-P001: 1</x:v>
      </x:c>
      <x:c r="AG6520" s="87" t="str">
        <x:v>RESOLVED</x:v>
      </x:c>
      <x:c r="AH6520" s="87" t="str">
        <x:v>CROP_VERIFIED</x:v>
      </x:c>
      <x:c r="AI6520" s="30"/>
      <x:c r="AJ6520" s="87" t="str">
        <x:v>clean</x:v>
      </x:c>
      <x:c r="AK6520" s="87" t="str">
        <x:v>clean-v0.25</x:v>
      </x:c>
      <x:c r="AL6520" s="87" t="str">
        <x:v>statgrad_clean_continuation_v0_25(1).xlsx</x:v>
      </x:c>
      <x:c r="AM6520" s="87" t="str">
        <x:v>HIS_EGKR_S26_954</x:v>
      </x:c>
      <x:c r="AN6520" s="87" t="n">
        <x:v>9</x:v>
      </x:c>
    </x:row>
    <x:row r="6521">
      <x:c r="A6521" s="87" t="n">
        <x:v>6520</x:v>
      </x:c>
      <x:c r="B6521" s="87" t="str">
        <x:v>EGKR-S26-HIS-954-09</x:v>
      </x:c>
      <x:c r="C6521" s="87" t="str">
        <x:v>ЕГКР</x:v>
      </x:c>
      <x:c r="D6521" s="87"/>
      <x:c r="E6521" s="87" t="str">
        <x:v>Весна 2026</x:v>
      </x:c>
      <x:c r="F6521" s="87" t="str">
        <x:v>14.04.2026</x:v>
      </x:c>
      <x:c r="G6521" s="87" t="str">
        <x:v>История</x:v>
      </x:c>
      <x:c r="H6521" s="87" t="n">
        <x:v>11</x:v>
      </x:c>
      <x:c r="I6521" s="87"/>
      <x:c r="J6521" s="87" t="str">
        <x:v>954</x:v>
      </x:c>
      <x:c r="K6521" s="87" t="n">
        <x:v>9</x:v>
      </x:c>
      <x:c r="L6521" s="87" t="str">
        <x:v>Историческая карта: идентификация</x:v>
      </x:c>
      <x:c r="M6521" s="30" t="str">
        <x:v>Назвать предводителя восстания, изображённого на карте.</x:v>
      </x:c>
      <x:c r="N6521" s="30" t="str">
        <x:v>ПУГАЧЁВ</x:v>
      </x:c>
      <x:c r="O6521" s="30" t="str">
        <x:v>На карте показано восстание Е.И. Пугачёва.</x:v>
      </x:c>
      <x:c r="P6521" s="30"/>
      <x:c r="Q6521" s="30" t="str">
        <x:v>Исходная страница, независимая историческая проверка и вторичная веб-сверка.</x:v>
      </x:c>
      <x:c r="R6521" s="30" t="str">
        <x:v>ПУГАЧЁВ</x:v>
      </x:c>
      <x:c r="S6521" s="30"/>
      <x:c r="T6521" s="30"/>
      <x:c r="U6521" s="30" t="str">
        <x:v>Ответник совпадает с независимой проверкой.</x:v>
      </x:c>
      <x:c r="V6521" s="87" t="str">
        <x:v>VERIFIED</x:v>
      </x:c>
      <x:c r="W6521" s="87"/>
      <x:c r="X6521" s="87" t="n">
        <x:v>5</x:v>
      </x:c>
      <x:c r="Y6521" s="87"/>
      <x:c r="Z6521" s="87"/>
      <x:c r="AA6521" s="87"/>
      <x:c r="AB6521" s="87"/>
      <x:c r="AC6521" s="87" t="str">
        <x:v>VIS-EGKR-HIS-S26-TASK-954-P005</x:v>
      </x:c>
      <x:c r="AD6521" s="87" t="str">
        <x:v>VIS-EGKR-HIS-S26-ANSWERDOC-P001</x:v>
      </x:c>
      <x:c r="AE6521" s="87" t="str">
        <x:v>TASK; SECONDARY_ANSWER_SOURCE</x:v>
      </x:c>
      <x:c r="AF6521" s="87" t="str">
        <x:v>VIS-EGKR-HIS-S26-TASK-954-P005: 5; VIS-EGKR-HIS-S26-ANSWERDOC-P001: 1</x:v>
      </x:c>
      <x:c r="AG6521" s="87" t="str">
        <x:v>RESOLVED</x:v>
      </x:c>
      <x:c r="AH6521" s="87" t="str">
        <x:v>CROP_VERIFIED; TASK_CROP_QA_APPROVED:USE_CONTEXT</x:v>
      </x:c>
      <x:c r="AI6521" s="30"/>
      <x:c r="AJ6521" s="87" t="str">
        <x:v>clean</x:v>
      </x:c>
      <x:c r="AK6521" s="87" t="str">
        <x:v>clean-v0.25</x:v>
      </x:c>
      <x:c r="AL6521" s="87" t="str">
        <x:v>statgrad_clean_continuation_v0_25(1).xlsx</x:v>
      </x:c>
      <x:c r="AM6521" s="87" t="str">
        <x:v>HIS_EGKR_S26_954</x:v>
      </x:c>
      <x:c r="AN6521" s="87" t="n">
        <x:v>10</x:v>
      </x:c>
    </x:row>
    <x:row r="6522">
      <x:c r="A6522" s="87" t="n">
        <x:v>6521</x:v>
      </x:c>
      <x:c r="B6522" s="87" t="str">
        <x:v>EGKR-S26-HIS-954-10</x:v>
      </x:c>
      <x:c r="C6522" s="87" t="str">
        <x:v>ЕГКР</x:v>
      </x:c>
      <x:c r="D6522" s="87"/>
      <x:c r="E6522" s="87" t="str">
        <x:v>Весна 2026</x:v>
      </x:c>
      <x:c r="F6522" s="87" t="str">
        <x:v>14.04.2026</x:v>
      </x:c>
      <x:c r="G6522" s="87" t="str">
        <x:v>История</x:v>
      </x:c>
      <x:c r="H6522" s="87" t="n">
        <x:v>11</x:v>
      </x:c>
      <x:c r="I6522" s="87"/>
      <x:c r="J6522" s="87" t="str">
        <x:v>954</x:v>
      </x:c>
      <x:c r="K6522" s="87" t="n">
        <x:v>10</x:v>
      </x:c>
      <x:c r="L6522" s="87" t="str">
        <x:v>Историческая карта: объект</x:v>
      </x:c>
      <x:c r="M6522" s="30" t="str">
        <x:v>Назвать город под цифрой 1 на карте восстания Пугачёва.</x:v>
      </x:c>
      <x:c r="N6522" s="30" t="str">
        <x:v>ЦАРИЦЫН</x:v>
      </x:c>
      <x:c r="O6522" s="30" t="str">
        <x:v>Цифрой 1 обозначен Царицын.</x:v>
      </x:c>
      <x:c r="P6522" s="30"/>
      <x:c r="Q6522" s="30" t="str">
        <x:v>Исходная страница, независимая историческая проверка и вторичная веб-сверка.</x:v>
      </x:c>
      <x:c r="R6522" s="30" t="str">
        <x:v>ЦАРИЦЫН</x:v>
      </x:c>
      <x:c r="S6522" s="30"/>
      <x:c r="T6522" s="30"/>
      <x:c r="U6522" s="30" t="str">
        <x:v>Ответник совпадает с независимой проверкой.</x:v>
      </x:c>
      <x:c r="V6522" s="87" t="str">
        <x:v>VERIFIED</x:v>
      </x:c>
      <x:c r="W6522" s="87"/>
      <x:c r="X6522" s="87" t="n">
        <x:v>5</x:v>
      </x:c>
      <x:c r="Y6522" s="87"/>
      <x:c r="Z6522" s="87"/>
      <x:c r="AA6522" s="87"/>
      <x:c r="AB6522" s="87"/>
      <x:c r="AC6522" s="87" t="str">
        <x:v>VIS-EGKR-HIS-S26-TASK-954-P005</x:v>
      </x:c>
      <x:c r="AD6522" s="87" t="str">
        <x:v>VIS-EGKR-HIS-S26-ANSWERDOC-P001</x:v>
      </x:c>
      <x:c r="AE6522" s="87" t="str">
        <x:v>TASK; SECONDARY_ANSWER_SOURCE</x:v>
      </x:c>
      <x:c r="AF6522" s="87" t="str">
        <x:v>VIS-EGKR-HIS-S26-TASK-954-P005: 5; VIS-EGKR-HIS-S26-ANSWERDOC-P001: 1</x:v>
      </x:c>
      <x:c r="AG6522" s="87" t="str">
        <x:v>RESOLVED</x:v>
      </x:c>
      <x:c r="AH6522" s="87" t="str">
        <x:v>CROP_VERIFIED; TASK_CROP_QA_APPROVED:MANUAL_BBOX</x:v>
      </x:c>
      <x:c r="AI6522" s="30"/>
      <x:c r="AJ6522" s="87" t="str">
        <x:v>clean</x:v>
      </x:c>
      <x:c r="AK6522" s="87" t="str">
        <x:v>clean-v0.25</x:v>
      </x:c>
      <x:c r="AL6522" s="87" t="str">
        <x:v>statgrad_clean_continuation_v0_25(1).xlsx</x:v>
      </x:c>
      <x:c r="AM6522" s="87" t="str">
        <x:v>HIS_EGKR_S26_954</x:v>
      </x:c>
      <x:c r="AN6522" s="87" t="n">
        <x:v>11</x:v>
      </x:c>
    </x:row>
    <x:row r="6523">
      <x:c r="A6523" s="87" t="n">
        <x:v>6522</x:v>
      </x:c>
      <x:c r="B6523" s="87" t="str">
        <x:v>EGKR-S26-HIS-954-11</x:v>
      </x:c>
      <x:c r="C6523" s="87" t="str">
        <x:v>ЕГКР</x:v>
      </x:c>
      <x:c r="D6523" s="87"/>
      <x:c r="E6523" s="87" t="str">
        <x:v>Весна 2026</x:v>
      </x:c>
      <x:c r="F6523" s="87" t="str">
        <x:v>14.04.2026</x:v>
      </x:c>
      <x:c r="G6523" s="87" t="str">
        <x:v>История</x:v>
      </x:c>
      <x:c r="H6523" s="87" t="n">
        <x:v>11</x:v>
      </x:c>
      <x:c r="I6523" s="87"/>
      <x:c r="J6523" s="87" t="str">
        <x:v>954</x:v>
      </x:c>
      <x:c r="K6523" s="87" t="n">
        <x:v>11</x:v>
      </x:c>
      <x:c r="L6523" s="87" t="str">
        <x:v>Историческая карта: пропуск в тексте</x:v>
      </x:c>
      <x:c r="M6523" s="30" t="str">
        <x:v>Назвать город, пропущенный в описании движения повстанцев к Казани.</x:v>
      </x:c>
      <x:c r="N6523" s="30" t="str">
        <x:v>ЕЛАБУГУ</x:v>
      </x:c>
      <x:c r="O6523" s="30" t="str">
        <x:v>После Ижевского завода повстанцы прошли через Елабугу.</x:v>
      </x:c>
      <x:c r="P6523" s="30"/>
      <x:c r="Q6523" s="30" t="str">
        <x:v>Исходная страница, независимая историческая проверка и вторичная веб-сверка.</x:v>
      </x:c>
      <x:c r="R6523" s="30" t="str">
        <x:v>ЕЛАБУГУ</x:v>
      </x:c>
      <x:c r="S6523" s="30"/>
      <x:c r="T6523" s="30"/>
      <x:c r="U6523" s="30" t="str">
        <x:v>Ответник совпадает с независимой проверкой.</x:v>
      </x:c>
      <x:c r="V6523" s="87" t="str">
        <x:v>VERIFIED</x:v>
      </x:c>
      <x:c r="W6523" s="87"/>
      <x:c r="X6523" s="87" t="n">
        <x:v>5</x:v>
      </x:c>
      <x:c r="Y6523" s="87"/>
      <x:c r="Z6523" s="87"/>
      <x:c r="AA6523" s="87"/>
      <x:c r="AB6523" s="87"/>
      <x:c r="AC6523" s="87" t="str">
        <x:v>VIS-EGKR-HIS-S26-TASK-954-P005</x:v>
      </x:c>
      <x:c r="AD6523" s="87" t="str">
        <x:v>VIS-EGKR-HIS-S26-ANSWERDOC-P001</x:v>
      </x:c>
      <x:c r="AE6523" s="87" t="str">
        <x:v>TASK; SECONDARY_ANSWER_SOURCE</x:v>
      </x:c>
      <x:c r="AF6523" s="87" t="str">
        <x:v>VIS-EGKR-HIS-S26-TASK-954-P005: 5; VIS-EGKR-HIS-S26-ANSWERDOC-P001: 1</x:v>
      </x:c>
      <x:c r="AG6523" s="87" t="str">
        <x:v>RESOLVED</x:v>
      </x:c>
      <x:c r="AH6523" s="87" t="str">
        <x:v>CROP_VERIFIED</x:v>
      </x:c>
      <x:c r="AI6523" s="30"/>
      <x:c r="AJ6523" s="87" t="str">
        <x:v>clean</x:v>
      </x:c>
      <x:c r="AK6523" s="87" t="str">
        <x:v>clean-v0.25</x:v>
      </x:c>
      <x:c r="AL6523" s="87" t="str">
        <x:v>statgrad_clean_continuation_v0_25(1).xlsx</x:v>
      </x:c>
      <x:c r="AM6523" s="87" t="str">
        <x:v>HIS_EGKR_S26_954</x:v>
      </x:c>
      <x:c r="AN6523" s="87" t="n">
        <x:v>12</x:v>
      </x:c>
    </x:row>
    <x:row r="6524">
      <x:c r="A6524" s="87" t="n">
        <x:v>6523</x:v>
      </x:c>
      <x:c r="B6524" s="87" t="str">
        <x:v>EGKR-S26-HIS-954-12</x:v>
      </x:c>
      <x:c r="C6524" s="87" t="str">
        <x:v>ЕГКР</x:v>
      </x:c>
      <x:c r="D6524" s="87"/>
      <x:c r="E6524" s="87" t="str">
        <x:v>Весна 2026</x:v>
      </x:c>
      <x:c r="F6524" s="87" t="str">
        <x:v>14.04.2026</x:v>
      </x:c>
      <x:c r="G6524" s="87" t="str">
        <x:v>История</x:v>
      </x:c>
      <x:c r="H6524" s="87" t="n">
        <x:v>11</x:v>
      </x:c>
      <x:c r="I6524" s="87"/>
      <x:c r="J6524" s="87" t="str">
        <x:v>954</x:v>
      </x:c>
      <x:c r="K6524" s="87" t="n">
        <x:v>12</x:v>
      </x:c>
      <x:c r="L6524" s="87" t="str">
        <x:v>Историческая карта: верные суждения</x:v>
      </x:c>
      <x:c r="M6524" s="30" t="str">
        <x:v>Выбрать верные суждения по карте восстания Пугачёва.</x:v>
      </x:c>
      <x:c r="N6524" s="30" t="str">
        <x:v>1236</x:v>
      </x:c>
      <x:c r="O6524" s="30" t="str">
        <x:v>Верны 1, 2, 3 и 6; место казни Пугачёва в Москве на карте не обозначено.</x:v>
      </x:c>
      <x:c r="P6524" s="30"/>
      <x:c r="Q6524" s="30" t="str">
        <x:v>Исходная страница, независимая историческая проверка и вторичная веб-сверка.</x:v>
      </x:c>
      <x:c r="R6524" s="30" t="str">
        <x:v>1235</x:v>
      </x:c>
      <x:c r="S6524" s="30"/>
      <x:c r="T6524" s="30"/>
      <x:c r="U6524" s="30" t="str">
        <x:v>Ответник: 1235; канонический ответ: 1236.</x:v>
      </x:c>
      <x:c r="V6524" s="87" t="str">
        <x:v>KEY_MISMATCH</x:v>
      </x:c>
      <x:c r="W6524" s="87"/>
      <x:c r="X6524" s="87" t="n">
        <x:v>5</x:v>
      </x:c>
      <x:c r="Y6524" s="87"/>
      <x:c r="Z6524" s="87"/>
      <x:c r="AA6524" s="87"/>
      <x:c r="AB6524" s="87"/>
      <x:c r="AC6524" s="87" t="str">
        <x:v>VIS-EGKR-HIS-S26-TASK-954-P005</x:v>
      </x:c>
      <x:c r="AD6524" s="87" t="str">
        <x:v>VIS-EGKR-HIS-S26-ANSWERDOC-P001</x:v>
      </x:c>
      <x:c r="AE6524" s="87" t="str">
        <x:v>TASK; SECONDARY_ANSWER_SOURCE</x:v>
      </x:c>
      <x:c r="AF6524" s="87" t="str">
        <x:v>VIS-EGKR-HIS-S26-TASK-954-P005: 5; VIS-EGKR-HIS-S26-ANSWERDOC-P001: 1</x:v>
      </x:c>
      <x:c r="AG6524" s="87" t="str">
        <x:v>RESOLVED</x:v>
      </x:c>
      <x:c r="AH6524" s="87" t="str">
        <x:v>CROP_VERIFIED</x:v>
      </x:c>
      <x:c r="AI6524" s="30"/>
      <x:c r="AJ6524" s="87" t="str">
        <x:v>clean</x:v>
      </x:c>
      <x:c r="AK6524" s="87" t="str">
        <x:v>clean-v0.25</x:v>
      </x:c>
      <x:c r="AL6524" s="87" t="str">
        <x:v>statgrad_clean_continuation_v0_25(1).xlsx</x:v>
      </x:c>
      <x:c r="AM6524" s="87" t="str">
        <x:v>HIS_EGKR_S26_954</x:v>
      </x:c>
      <x:c r="AN6524" s="87" t="n">
        <x:v>13</x:v>
      </x:c>
    </x:row>
    <x:row r="6525">
      <x:c r="A6525" s="87" t="n">
        <x:v>6524</x:v>
      </x:c>
      <x:c r="B6525" s="87" t="str">
        <x:v>EGKR-S26-HIS-954-13</x:v>
      </x:c>
      <x:c r="C6525" s="87" t="str">
        <x:v>ЕГКР</x:v>
      </x:c>
      <x:c r="D6525" s="87"/>
      <x:c r="E6525" s="87" t="str">
        <x:v>Весна 2026</x:v>
      </x:c>
      <x:c r="F6525" s="87" t="str">
        <x:v>14.04.2026</x:v>
      </x:c>
      <x:c r="G6525" s="87" t="str">
        <x:v>История</x:v>
      </x:c>
      <x:c r="H6525" s="87" t="n">
        <x:v>11</x:v>
      </x:c>
      <x:c r="I6525" s="87"/>
      <x:c r="J6525" s="87" t="str">
        <x:v>954</x:v>
      </x:c>
      <x:c r="K6525" s="87" t="n">
        <x:v>13</x:v>
      </x:c>
      <x:c r="L6525" s="87" t="str">
        <x:v>Развёрнутый ответ</x:v>
      </x:c>
      <x:c r="M6525" s="30" t="str">
        <x:v>Определить год июльских событий, первого председателя Временного правительства и войну, в которой участвовала Россия.</x:v>
      </x:c>
      <x:c r="N6525" s="30" t="str">
        <x:v>1917 год; первый председатель Временного правительства — Г.Е. Львов; Россия участвовала в Первой мировой войне.</x:v>
      </x:c>
      <x:c r="O6525" s="30" t="str">
        <x:v>Рабочая модель содержит требуемые элементы ответа и конкретные исторические факты.</x:v>
      </x:c>
      <x:c r="P6525" s="30"/>
      <x:c r="Q6525" s="30" t="str">
        <x:v>Исходное условие + независимая историческая проверка; официальные критерии отсутствуют.</x:v>
      </x:c>
      <x:c r="R6525" s="30" t="str">
        <x:v>SOURCE_PARTIAL</x:v>
      </x:c>
      <x:c r="S6525" s="30"/>
      <x:c r="T6525" s="30"/>
      <x:c r="U6525" s="30" t="str">
        <x:v>Модель не выдаётся за единственно допустимую формулировку.</x:v>
      </x:c>
      <x:c r="V6525" s="87" t="str">
        <x:v>MODEL_READY</x:v>
      </x:c>
      <x:c r="W6525" s="87"/>
      <x:c r="X6525" s="87" t="n">
        <x:v>6</x:v>
      </x:c>
      <x:c r="Y6525" s="87"/>
      <x:c r="Z6525" s="87"/>
      <x:c r="AA6525" s="87"/>
      <x:c r="AB6525" s="87"/>
      <x:c r="AC6525" s="87" t="str">
        <x:v>VIS-EGKR-HIS-S26-TASK-954-P006</x:v>
      </x:c>
      <x:c r="AD6525" s="87" t="str">
        <x:v>VIS-EGKR-HIS-S26-ANSWERDOC-P001</x:v>
      </x:c>
      <x:c r="AE6525" s="87" t="str">
        <x:v>TASK; SECONDARY_ANSWER_SOURCE</x:v>
      </x:c>
      <x:c r="AF6525" s="87" t="str">
        <x:v>VIS-EGKR-HIS-S26-TASK-954-P006: 6; VIS-EGKR-HIS-S26-ANSWERDOC-P001: 1</x:v>
      </x:c>
      <x:c r="AG6525" s="87" t="str">
        <x:v>RESOLVED</x:v>
      </x:c>
      <x:c r="AH6525" s="87" t="str">
        <x:v>CROP_VERIFIED</x:v>
      </x:c>
      <x:c r="AI6525" s="30"/>
      <x:c r="AJ6525" s="87" t="str">
        <x:v>clean</x:v>
      </x:c>
      <x:c r="AK6525" s="87" t="str">
        <x:v>clean-v0.25</x:v>
      </x:c>
      <x:c r="AL6525" s="87" t="str">
        <x:v>statgrad_clean_continuation_v0_25(1).xlsx</x:v>
      </x:c>
      <x:c r="AM6525" s="87" t="str">
        <x:v>HIS_EGKR_S26_954</x:v>
      </x:c>
      <x:c r="AN6525" s="87" t="n">
        <x:v>14</x:v>
      </x:c>
    </x:row>
    <x:row r="6526">
      <x:c r="A6526" s="87" t="n">
        <x:v>6525</x:v>
      </x:c>
      <x:c r="B6526" s="87" t="str">
        <x:v>EGKR-S26-HIS-954-14</x:v>
      </x:c>
      <x:c r="C6526" s="87" t="str">
        <x:v>ЕГКР</x:v>
      </x:c>
      <x:c r="D6526" s="87"/>
      <x:c r="E6526" s="87" t="str">
        <x:v>Весна 2026</x:v>
      </x:c>
      <x:c r="F6526" s="87" t="str">
        <x:v>14.04.2026</x:v>
      </x:c>
      <x:c r="G6526" s="87" t="str">
        <x:v>История</x:v>
      </x:c>
      <x:c r="H6526" s="87" t="n">
        <x:v>11</x:v>
      </x:c>
      <x:c r="I6526" s="87"/>
      <x:c r="J6526" s="87" t="str">
        <x:v>954</x:v>
      </x:c>
      <x:c r="K6526" s="87" t="n">
        <x:v>14</x:v>
      </x:c>
      <x:c r="L6526" s="87" t="str">
        <x:v>Развёрнутый ответ</x:v>
      </x:c>
      <x:c r="M6526" s="30" t="str">
        <x:v>Извлечь из источника три вывода Ленина и характеристику положения большевиков.</x:v>
      </x:c>
      <x:c r="N6526" s="30" t="str">
        <x:v>Ленин пришёл к выводу, что лозунг «Вся власть Советам!» не приведёт мирным путём к свержению Временного правительства; после июльских событий большевики перешли на нелегальное положение; власть пролетариат сможет взять только вооружённым восстанием.</x:v>
      </x:c>
      <x:c r="O6526" s="30" t="str">
        <x:v>Рабочая модель содержит требуемые элементы ответа и конкретные исторические факты.</x:v>
      </x:c>
      <x:c r="P6526" s="30"/>
      <x:c r="Q6526" s="30" t="str">
        <x:v>Исходное условие + независимая историческая проверка; официальные критерии отсутствуют.</x:v>
      </x:c>
      <x:c r="R6526" s="30" t="str">
        <x:v>SOURCE_PARTIAL</x:v>
      </x:c>
      <x:c r="S6526" s="30"/>
      <x:c r="T6526" s="30"/>
      <x:c r="U6526" s="30" t="str">
        <x:v>Модель не выдаётся за единственно допустимую формулировку.</x:v>
      </x:c>
      <x:c r="V6526" s="87" t="str">
        <x:v>MODEL_READY</x:v>
      </x:c>
      <x:c r="W6526" s="87"/>
      <x:c r="X6526" s="87" t="n">
        <x:v>6</x:v>
      </x:c>
      <x:c r="Y6526" s="87"/>
      <x:c r="Z6526" s="87"/>
      <x:c r="AA6526" s="87"/>
      <x:c r="AB6526" s="87"/>
      <x:c r="AC6526" s="87" t="str">
        <x:v>VIS-EGKR-HIS-S26-TASK-954-P006</x:v>
      </x:c>
      <x:c r="AD6526" s="87" t="str">
        <x:v>VIS-EGKR-HIS-S26-ANSWERDOC-P001</x:v>
      </x:c>
      <x:c r="AE6526" s="87" t="str">
        <x:v>TASK; SECONDARY_ANSWER_SOURCE</x:v>
      </x:c>
      <x:c r="AF6526" s="87" t="str">
        <x:v>VIS-EGKR-HIS-S26-TASK-954-P006: 6; VIS-EGKR-HIS-S26-ANSWERDOC-P001: 1</x:v>
      </x:c>
      <x:c r="AG6526" s="87" t="str">
        <x:v>RESOLVED</x:v>
      </x:c>
      <x:c r="AH6526" s="87" t="str">
        <x:v>CROP_VERIFIED</x:v>
      </x:c>
      <x:c r="AI6526" s="30"/>
      <x:c r="AJ6526" s="87" t="str">
        <x:v>clean</x:v>
      </x:c>
      <x:c r="AK6526" s="87" t="str">
        <x:v>clean-v0.25</x:v>
      </x:c>
      <x:c r="AL6526" s="87" t="str">
        <x:v>statgrad_clean_continuation_v0_25(1).xlsx</x:v>
      </x:c>
      <x:c r="AM6526" s="87" t="str">
        <x:v>HIS_EGKR_S26_954</x:v>
      </x:c>
      <x:c r="AN6526" s="87" t="n">
        <x:v>15</x:v>
      </x:c>
    </x:row>
    <x:row r="6527">
      <x:c r="A6527" s="87" t="n">
        <x:v>6526</x:v>
      </x:c>
      <x:c r="B6527" s="87" t="str">
        <x:v>EGKR-S26-HIS-954-15</x:v>
      </x:c>
      <x:c r="C6527" s="87" t="str">
        <x:v>ЕГКР</x:v>
      </x:c>
      <x:c r="D6527" s="87"/>
      <x:c r="E6527" s="87" t="str">
        <x:v>Весна 2026</x:v>
      </x:c>
      <x:c r="F6527" s="87" t="str">
        <x:v>14.04.2026</x:v>
      </x:c>
      <x:c r="G6527" s="87" t="str">
        <x:v>История</x:v>
      </x:c>
      <x:c r="H6527" s="87" t="n">
        <x:v>11</x:v>
      </x:c>
      <x:c r="I6527" s="87"/>
      <x:c r="J6527" s="87" t="str">
        <x:v>954</x:v>
      </x:c>
      <x:c r="K6527" s="87" t="n">
        <x:v>15</x:v>
      </x:c>
      <x:c r="L6527" s="87" t="str">
        <x:v>Развёрнутый ответ</x:v>
      </x:c>
      <x:c r="M6527" s="30" t="str">
        <x:v>Определить руководителя КПСС при выпуске медали к 350-летию ополчения Минина и Пожарского.</x:v>
      </x:c>
      <x:c r="N6527" s="30" t="str">
        <x:v>Н.С. Хрущёв. На медали указано 350-летие событий 1612 года, следовательно, она выпущена в 1962 году, когда КПСС возглавлял Хрущёв.</x:v>
      </x:c>
      <x:c r="O6527" s="30" t="str">
        <x:v>Рабочая модель содержит требуемые элементы ответа и конкретные исторические факты.</x:v>
      </x:c>
      <x:c r="P6527" s="30"/>
      <x:c r="Q6527" s="30" t="str">
        <x:v>Исходное условие + независимая историческая проверка; официальные критерии отсутствуют.</x:v>
      </x:c>
      <x:c r="R6527" s="30" t="str">
        <x:v>INDEPENDENT_MODEL</x:v>
      </x:c>
      <x:c r="S6527" s="30"/>
      <x:c r="T6527" s="30"/>
      <x:c r="U6527" s="30" t="str">
        <x:v>Модель не выдаётся за единственно допустимую формулировку.</x:v>
      </x:c>
      <x:c r="V6527" s="87" t="str">
        <x:v>MODEL_READY</x:v>
      </x:c>
      <x:c r="W6527" s="87"/>
      <x:c r="X6527" s="87" t="n">
        <x:v>7</x:v>
      </x:c>
      <x:c r="Y6527" s="87"/>
      <x:c r="Z6527" s="87"/>
      <x:c r="AA6527" s="87"/>
      <x:c r="AB6527" s="87"/>
      <x:c r="AC6527" s="87" t="str">
        <x:v>VIS-EGKR-HIS-S26-TASK-954-P007</x:v>
      </x:c>
      <x:c r="AD6527" s="87"/>
      <x:c r="AE6527" s="87" t="str">
        <x:v>TASK</x:v>
      </x:c>
      <x:c r="AF6527" s="87" t="str">
        <x:v>VIS-EGKR-HIS-S26-TASK-954-P007: 7</x:v>
      </x:c>
      <x:c r="AG6527" s="87" t="str">
        <x:v>RESOLVED</x:v>
      </x:c>
      <x:c r="AH6527" s="87" t="str">
        <x:v>CROP_VERIFIED</x:v>
      </x:c>
      <x:c r="AI6527" s="30"/>
      <x:c r="AJ6527" s="87" t="str">
        <x:v>clean</x:v>
      </x:c>
      <x:c r="AK6527" s="87" t="str">
        <x:v>clean-v0.25</x:v>
      </x:c>
      <x:c r="AL6527" s="87" t="str">
        <x:v>statgrad_clean_continuation_v0_25(1).xlsx</x:v>
      </x:c>
      <x:c r="AM6527" s="87" t="str">
        <x:v>HIS_EGKR_S26_954</x:v>
      </x:c>
      <x:c r="AN6527" s="87" t="n">
        <x:v>16</x:v>
      </x:c>
    </x:row>
    <x:row r="6528">
      <x:c r="A6528" s="87" t="n">
        <x:v>6527</x:v>
      </x:c>
      <x:c r="B6528" s="87" t="str">
        <x:v>EGKR-S26-HIS-954-16</x:v>
      </x:c>
      <x:c r="C6528" s="87" t="str">
        <x:v>ЕГКР</x:v>
      </x:c>
      <x:c r="D6528" s="87"/>
      <x:c r="E6528" s="87" t="str">
        <x:v>Весна 2026</x:v>
      </x:c>
      <x:c r="F6528" s="87" t="str">
        <x:v>14.04.2026</x:v>
      </x:c>
      <x:c r="G6528" s="87" t="str">
        <x:v>История</x:v>
      </x:c>
      <x:c r="H6528" s="87" t="n">
        <x:v>11</x:v>
      </x:c>
      <x:c r="I6528" s="87"/>
      <x:c r="J6528" s="87" t="str">
        <x:v>954</x:v>
      </x:c>
      <x:c r="K6528" s="87" t="n">
        <x:v>16</x:v>
      </x:c>
      <x:c r="L6528" s="87" t="str">
        <x:v>Развёрнутый ответ</x:v>
      </x:c>
      <x:c r="M6528" s="30" t="str">
        <x:v>Определить архитектурный памятник, существовавший к 1612 году.</x:v>
      </x:c>
      <x:c r="N6528" s="30" t="str">
        <x:v>4 — собор Покрова Пресвятой Богородицы на Рву (храм Василия Блаженного), построенный в XVI веке.</x:v>
      </x:c>
      <x:c r="O6528" s="30" t="str">
        <x:v>Рабочая модель содержит требуемые элементы ответа и конкретные исторические факты.</x:v>
      </x:c>
      <x:c r="P6528" s="30"/>
      <x:c r="Q6528" s="30" t="str">
        <x:v>Исходное условие + независимая историческая проверка; официальные критерии отсутствуют.</x:v>
      </x:c>
      <x:c r="R6528" s="30" t="str">
        <x:v>INDEPENDENT_MODEL</x:v>
      </x:c>
      <x:c r="S6528" s="30"/>
      <x:c r="T6528" s="30"/>
      <x:c r="U6528" s="30" t="str">
        <x:v>Модель не выдаётся за единственно допустимую формулировку.</x:v>
      </x:c>
      <x:c r="V6528" s="87" t="str">
        <x:v>MODEL_READY</x:v>
      </x:c>
      <x:c r="W6528" s="87"/>
      <x:c r="X6528" s="87" t="n">
        <x:v>7</x:v>
      </x:c>
      <x:c r="Y6528" s="87"/>
      <x:c r="Z6528" s="87"/>
      <x:c r="AA6528" s="87"/>
      <x:c r="AB6528" s="87"/>
      <x:c r="AC6528" s="87" t="str">
        <x:v>VIS-EGKR-HIS-S26-TASK-954-P007</x:v>
      </x:c>
      <x:c r="AD6528" s="87"/>
      <x:c r="AE6528" s="87" t="str">
        <x:v>TASK</x:v>
      </x:c>
      <x:c r="AF6528" s="87" t="str">
        <x:v>VIS-EGKR-HIS-S26-TASK-954-P007: 7</x:v>
      </x:c>
      <x:c r="AG6528" s="87" t="str">
        <x:v>RESOLVED</x:v>
      </x:c>
      <x:c r="AH6528" s="87" t="str">
        <x:v>CROP_VERIFIED</x:v>
      </x:c>
      <x:c r="AI6528" s="30"/>
      <x:c r="AJ6528" s="87" t="str">
        <x:v>clean</x:v>
      </x:c>
      <x:c r="AK6528" s="87" t="str">
        <x:v>clean-v0.25</x:v>
      </x:c>
      <x:c r="AL6528" s="87" t="str">
        <x:v>statgrad_clean_continuation_v0_25(1).xlsx</x:v>
      </x:c>
      <x:c r="AM6528" s="87" t="str">
        <x:v>HIS_EGKR_S26_954</x:v>
      </x:c>
      <x:c r="AN6528" s="87" t="n">
        <x:v>17</x:v>
      </x:c>
    </x:row>
    <x:row r="6529">
      <x:c r="A6529" s="87" t="n">
        <x:v>6528</x:v>
      </x:c>
      <x:c r="B6529" s="87" t="str">
        <x:v>EGKR-S26-HIS-954-17</x:v>
      </x:c>
      <x:c r="C6529" s="87" t="str">
        <x:v>ЕГКР</x:v>
      </x:c>
      <x:c r="D6529" s="87"/>
      <x:c r="E6529" s="87" t="str">
        <x:v>Весна 2026</x:v>
      </x:c>
      <x:c r="F6529" s="87" t="str">
        <x:v>14.04.2026</x:v>
      </x:c>
      <x:c r="G6529" s="87" t="str">
        <x:v>История</x:v>
      </x:c>
      <x:c r="H6529" s="87" t="n">
        <x:v>11</x:v>
      </x:c>
      <x:c r="I6529" s="87"/>
      <x:c r="J6529" s="87" t="str">
        <x:v>954</x:v>
      </x:c>
      <x:c r="K6529" s="87" t="n">
        <x:v>17</x:v>
      </x:c>
      <x:c r="L6529" s="87" t="str">
        <x:v>Развёрнутый ответ</x:v>
      </x:c>
      <x:c r="M6529" s="30" t="str">
        <x:v>Назвать битву, командующего Воронежским фронтом и реакцию противника на артиллерийский удар.</x:v>
      </x:c>
      <x:c r="N6529" s="30" t="str">
        <x:v>Курская битва; командующий Воронежским фронтом — Н.Ф. Ватутин; противник решил, что советские войска сами перешли в наступление.</x:v>
      </x:c>
      <x:c r="O6529" s="30" t="str">
        <x:v>Рабочая модель содержит требуемые элементы ответа и конкретные исторические факты.</x:v>
      </x:c>
      <x:c r="P6529" s="30"/>
      <x:c r="Q6529" s="30" t="str">
        <x:v>Исходное условие + независимая историческая проверка; официальные критерии отсутствуют.</x:v>
      </x:c>
      <x:c r="R6529" s="30" t="str">
        <x:v>INDEPENDENT_MODEL</x:v>
      </x:c>
      <x:c r="S6529" s="30"/>
      <x:c r="T6529" s="30"/>
      <x:c r="U6529" s="30" t="str">
        <x:v>Модель не выдаётся за единственно допустимую формулировку.</x:v>
      </x:c>
      <x:c r="V6529" s="87" t="str">
        <x:v>MODEL_READY</x:v>
      </x:c>
      <x:c r="W6529" s="87"/>
      <x:c r="X6529" s="87" t="n">
        <x:v>8</x:v>
      </x:c>
      <x:c r="Y6529" s="87"/>
      <x:c r="Z6529" s="87"/>
      <x:c r="AA6529" s="87"/>
      <x:c r="AB6529" s="87"/>
      <x:c r="AC6529" s="87" t="str">
        <x:v>VIS-EGKR-HIS-S26-TASK-954-P008</x:v>
      </x:c>
      <x:c r="AD6529" s="87"/>
      <x:c r="AE6529" s="87" t="str">
        <x:v>TASK</x:v>
      </x:c>
      <x:c r="AF6529" s="87" t="str">
        <x:v>VIS-EGKR-HIS-S26-TASK-954-P008: 8</x:v>
      </x:c>
      <x:c r="AG6529" s="87" t="str">
        <x:v>RESOLVED</x:v>
      </x:c>
      <x:c r="AH6529" s="87" t="str">
        <x:v>CROP_VERIFIED</x:v>
      </x:c>
      <x:c r="AI6529" s="30"/>
      <x:c r="AJ6529" s="87" t="str">
        <x:v>clean</x:v>
      </x:c>
      <x:c r="AK6529" s="87" t="str">
        <x:v>clean-v0.25</x:v>
      </x:c>
      <x:c r="AL6529" s="87" t="str">
        <x:v>statgrad_clean_continuation_v0_25(1).xlsx</x:v>
      </x:c>
      <x:c r="AM6529" s="87" t="str">
        <x:v>HIS_EGKR_S26_954</x:v>
      </x:c>
      <x:c r="AN6529" s="87" t="n">
        <x:v>18</x:v>
      </x:c>
    </x:row>
    <x:row r="6530">
      <x:c r="A6530" s="87" t="n">
        <x:v>6529</x:v>
      </x:c>
      <x:c r="B6530" s="87" t="str">
        <x:v>EGKR-S26-HIS-954-18</x:v>
      </x:c>
      <x:c r="C6530" s="87" t="str">
        <x:v>ЕГКР</x:v>
      </x:c>
      <x:c r="D6530" s="87"/>
      <x:c r="E6530" s="87" t="str">
        <x:v>Весна 2026</x:v>
      </x:c>
      <x:c r="F6530" s="87" t="str">
        <x:v>14.04.2026</x:v>
      </x:c>
      <x:c r="G6530" s="87" t="str">
        <x:v>История</x:v>
      </x:c>
      <x:c r="H6530" s="87" t="n">
        <x:v>11</x:v>
      </x:c>
      <x:c r="I6530" s="87"/>
      <x:c r="J6530" s="87" t="str">
        <x:v>954</x:v>
      </x:c>
      <x:c r="K6530" s="87" t="n">
        <x:v>18</x:v>
      </x:c>
      <x:c r="L6530" s="87" t="str">
        <x:v>Развёрнутый ответ</x:v>
      </x:c>
      <x:c r="M6530" s="30" t="str">
        <x:v>Указать внешнеполитическую и внутриполитическую предпосылки заповедных лет и дальнейшее последствие.</x:v>
      </x:c>
      <x:c r="N6530" s="30" t="str">
        <x:v>а) Ливонская война разорила многие районы и усилила бегство крестьян; б) опричнина и рост государственных повинностей вызвали хозяйственное разорение и уход крестьян; в) правительство ввело урочные лета — сроки сыска беглых крестьян, продолжив закрепощение.</x:v>
      </x:c>
      <x:c r="O6530" s="30" t="str">
        <x:v>Рабочая модель содержит требуемые элементы ответа и конкретные исторические факты.</x:v>
      </x:c>
      <x:c r="P6530" s="30"/>
      <x:c r="Q6530" s="30" t="str">
        <x:v>Исходное условие + независимая историческая проверка; официальные критерии отсутствуют.</x:v>
      </x:c>
      <x:c r="R6530" s="30" t="str">
        <x:v>INDEPENDENT_MODEL</x:v>
      </x:c>
      <x:c r="S6530" s="30"/>
      <x:c r="T6530" s="30"/>
      <x:c r="U6530" s="30" t="str">
        <x:v>Модель не выдаётся за единственно допустимую формулировку.</x:v>
      </x:c>
      <x:c r="V6530" s="87" t="str">
        <x:v>MODEL_READY</x:v>
      </x:c>
      <x:c r="W6530" s="87"/>
      <x:c r="X6530" s="87" t="n">
        <x:v>8</x:v>
      </x:c>
      <x:c r="Y6530" s="87"/>
      <x:c r="Z6530" s="87"/>
      <x:c r="AA6530" s="87"/>
      <x:c r="AB6530" s="87"/>
      <x:c r="AC6530" s="87" t="str">
        <x:v>VIS-EGKR-HIS-S26-TASK-954-P008</x:v>
      </x:c>
      <x:c r="AD6530" s="87"/>
      <x:c r="AE6530" s="87" t="str">
        <x:v>TASK</x:v>
      </x:c>
      <x:c r="AF6530" s="87" t="str">
        <x:v>VIS-EGKR-HIS-S26-TASK-954-P008: 8</x:v>
      </x:c>
      <x:c r="AG6530" s="87" t="str">
        <x:v>RESOLVED</x:v>
      </x:c>
      <x:c r="AH6530" s="87" t="str">
        <x:v>CROP_VERIFIED</x:v>
      </x:c>
      <x:c r="AI6530" s="30"/>
      <x:c r="AJ6530" s="87" t="str">
        <x:v>clean</x:v>
      </x:c>
      <x:c r="AK6530" s="87" t="str">
        <x:v>clean-v0.25</x:v>
      </x:c>
      <x:c r="AL6530" s="87" t="str">
        <x:v>statgrad_clean_continuation_v0_25(1).xlsx</x:v>
      </x:c>
      <x:c r="AM6530" s="87" t="str">
        <x:v>HIS_EGKR_S26_954</x:v>
      </x:c>
      <x:c r="AN6530" s="87" t="n">
        <x:v>19</x:v>
      </x:c>
    </x:row>
    <x:row r="6531">
      <x:c r="A6531" s="87" t="n">
        <x:v>6530</x:v>
      </x:c>
      <x:c r="B6531" s="87" t="str">
        <x:v>EGKR-S26-HIS-954-19</x:v>
      </x:c>
      <x:c r="C6531" s="87" t="str">
        <x:v>ЕГКР</x:v>
      </x:c>
      <x:c r="D6531" s="87"/>
      <x:c r="E6531" s="87" t="str">
        <x:v>Весна 2026</x:v>
      </x:c>
      <x:c r="F6531" s="87" t="str">
        <x:v>14.04.2026</x:v>
      </x:c>
      <x:c r="G6531" s="87" t="str">
        <x:v>История</x:v>
      </x:c>
      <x:c r="H6531" s="87" t="n">
        <x:v>11</x:v>
      </x:c>
      <x:c r="I6531" s="87"/>
      <x:c r="J6531" s="87" t="str">
        <x:v>954</x:v>
      </x:c>
      <x:c r="K6531" s="87" t="n">
        <x:v>19</x:v>
      </x:c>
      <x:c r="L6531" s="87" t="str">
        <x:v>Развёрнутый ответ</x:v>
      </x:c>
      <x:c r="M6531" s="30" t="str">
        <x:v>Раскрыть понятие «засечная черта» и привести факт.</x:v>
      </x:c>
      <x:c r="N6531" s="30" t="str">
        <x:v>Засечная черта — система оборонительных сооружений, лесных завалов, валов, рвов и крепостей на южных рубежах России для защиты от степных набегов. Факт: в XVI веке при Иване IV была укреплена Большая засечная черта.</x:v>
      </x:c>
      <x:c r="O6531" s="30" t="str">
        <x:v>Рабочая модель содержит требуемые элементы ответа и конкретные исторические факты.</x:v>
      </x:c>
      <x:c r="P6531" s="30"/>
      <x:c r="Q6531" s="30" t="str">
        <x:v>Исходное условие + независимая историческая проверка; официальные критерии отсутствуют.</x:v>
      </x:c>
      <x:c r="R6531" s="30" t="str">
        <x:v>INDEPENDENT_MODEL</x:v>
      </x:c>
      <x:c r="S6531" s="30"/>
      <x:c r="T6531" s="30"/>
      <x:c r="U6531" s="30" t="str">
        <x:v>Модель не выдаётся за единственно допустимую формулировку.</x:v>
      </x:c>
      <x:c r="V6531" s="87" t="str">
        <x:v>MODEL_READY</x:v>
      </x:c>
      <x:c r="W6531" s="87"/>
      <x:c r="X6531" s="87" t="n">
        <x:v>8</x:v>
      </x:c>
      <x:c r="Y6531" s="87"/>
      <x:c r="Z6531" s="87"/>
      <x:c r="AA6531" s="87"/>
      <x:c r="AB6531" s="87"/>
      <x:c r="AC6531" s="87" t="str">
        <x:v>VIS-EGKR-HIS-S26-TASK-954-P008</x:v>
      </x:c>
      <x:c r="AD6531" s="87"/>
      <x:c r="AE6531" s="87" t="str">
        <x:v>TASK</x:v>
      </x:c>
      <x:c r="AF6531" s="87" t="str">
        <x:v>VIS-EGKR-HIS-S26-TASK-954-P008: 8</x:v>
      </x:c>
      <x:c r="AG6531" s="87" t="str">
        <x:v>RESOLVED</x:v>
      </x:c>
      <x:c r="AH6531" s="87" t="str">
        <x:v>CROP_VERIFIED</x:v>
      </x:c>
      <x:c r="AI6531" s="30"/>
      <x:c r="AJ6531" s="87" t="str">
        <x:v>clean</x:v>
      </x:c>
      <x:c r="AK6531" s="87" t="str">
        <x:v>clean-v0.25</x:v>
      </x:c>
      <x:c r="AL6531" s="87" t="str">
        <x:v>statgrad_clean_continuation_v0_25(1).xlsx</x:v>
      </x:c>
      <x:c r="AM6531" s="87" t="str">
        <x:v>HIS_EGKR_S26_954</x:v>
      </x:c>
      <x:c r="AN6531" s="87" t="n">
        <x:v>20</x:v>
      </x:c>
    </x:row>
    <x:row r="6532">
      <x:c r="A6532" s="87" t="n">
        <x:v>6531</x:v>
      </x:c>
      <x:c r="B6532" s="87" t="str">
        <x:v>EGKR-S26-HIS-954-20</x:v>
      </x:c>
      <x:c r="C6532" s="87" t="str">
        <x:v>ЕГКР</x:v>
      </x:c>
      <x:c r="D6532" s="87"/>
      <x:c r="E6532" s="87" t="str">
        <x:v>Весна 2026</x:v>
      </x:c>
      <x:c r="F6532" s="87" t="str">
        <x:v>14.04.2026</x:v>
      </x:c>
      <x:c r="G6532" s="87" t="str">
        <x:v>История</x:v>
      </x:c>
      <x:c r="H6532" s="87" t="n">
        <x:v>11</x:v>
      </x:c>
      <x:c r="I6532" s="87"/>
      <x:c r="J6532" s="87" t="str">
        <x:v>954</x:v>
      </x:c>
      <x:c r="K6532" s="87" t="n">
        <x:v>20</x:v>
      </x:c>
      <x:c r="L6532" s="87" t="str">
        <x:v>Развёрнутый ответ</x:v>
      </x:c>
      <x:c r="M6532" s="30" t="str">
        <x:v>Сравнить взгляды славянофилов и западников.</x:v>
      </x:c>
      <x:c r="N6532" s="30" t="str">
        <x:v>Тезис: славянофилы отстаивали особый путь России, а западники считали необходимым развитие по европейскому пути. 1) Славянофилы критиковали реформы Петра I как разрыв с национальной традицией; западники оценивали их как необходимую модернизацию. 2) Славянофилы связывали будущее с православием, общиной и допетровскими началами; западники выступали за гражданские права, правовое государство и использование западноевропейского опыта.</x:v>
      </x:c>
      <x:c r="O6532" s="30" t="str">
        <x:v>Рабочая модель содержит требуемые элементы ответа и конкретные исторические факты.</x:v>
      </x:c>
      <x:c r="P6532" s="30"/>
      <x:c r="Q6532" s="30" t="str">
        <x:v>Исходное условие + независимая историческая проверка; официальные критерии отсутствуют.</x:v>
      </x:c>
      <x:c r="R6532" s="30" t="str">
        <x:v>INDEPENDENT_MODEL</x:v>
      </x:c>
      <x:c r="S6532" s="30"/>
      <x:c r="T6532" s="30"/>
      <x:c r="U6532" s="30" t="str">
        <x:v>Модель не выдаётся за единственно допустимую формулировку.</x:v>
      </x:c>
      <x:c r="V6532" s="87" t="str">
        <x:v>MODEL_READY</x:v>
      </x:c>
      <x:c r="W6532" s="87"/>
      <x:c r="X6532" s="87" t="n">
        <x:v>9</x:v>
      </x:c>
      <x:c r="Y6532" s="87"/>
      <x:c r="Z6532" s="87"/>
      <x:c r="AA6532" s="87"/>
      <x:c r="AB6532" s="87"/>
      <x:c r="AC6532" s="87" t="str">
        <x:v>VIS-EGKR-HIS-S26-TASK-954-P009</x:v>
      </x:c>
      <x:c r="AD6532" s="87"/>
      <x:c r="AE6532" s="87" t="str">
        <x:v>TASK</x:v>
      </x:c>
      <x:c r="AF6532" s="87" t="str">
        <x:v>VIS-EGKR-HIS-S26-TASK-954-P009: 9</x:v>
      </x:c>
      <x:c r="AG6532" s="87" t="str">
        <x:v>RESOLVED</x:v>
      </x:c>
      <x:c r="AH6532" s="87" t="str">
        <x:v>CROP_VERIFIED</x:v>
      </x:c>
      <x:c r="AI6532" s="30"/>
      <x:c r="AJ6532" s="87" t="str">
        <x:v>clean</x:v>
      </x:c>
      <x:c r="AK6532" s="87" t="str">
        <x:v>clean-v0.25</x:v>
      </x:c>
      <x:c r="AL6532" s="87" t="str">
        <x:v>statgrad_clean_continuation_v0_25(1).xlsx</x:v>
      </x:c>
      <x:c r="AM6532" s="87" t="str">
        <x:v>HIS_EGKR_S26_954</x:v>
      </x:c>
      <x:c r="AN6532" s="87" t="n">
        <x:v>21</x:v>
      </x:c>
    </x:row>
    <x:row r="6533">
      <x:c r="A6533" s="87" t="n">
        <x:v>6532</x:v>
      </x:c>
      <x:c r="B6533" s="87" t="str">
        <x:v>EGKR-S26-HIS-954-21</x:v>
      </x:c>
      <x:c r="C6533" s="87" t="str">
        <x:v>ЕГКР</x:v>
      </x:c>
      <x:c r="D6533" s="87"/>
      <x:c r="E6533" s="87" t="str">
        <x:v>Весна 2026</x:v>
      </x:c>
      <x:c r="F6533" s="87" t="str">
        <x:v>14.04.2026</x:v>
      </x:c>
      <x:c r="G6533" s="87" t="str">
        <x:v>История</x:v>
      </x:c>
      <x:c r="H6533" s="87" t="n">
        <x:v>11</x:v>
      </x:c>
      <x:c r="I6533" s="87"/>
      <x:c r="J6533" s="87" t="str">
        <x:v>954</x:v>
      </x:c>
      <x:c r="K6533" s="87" t="n">
        <x:v>21</x:v>
      </x:c>
      <x:c r="L6533" s="87" t="str">
        <x:v>Развёрнутый ответ</x:v>
      </x:c>
      <x:c r="M6533" s="30" t="str">
        <x:v>Подтвердить радикальное решение аграрного вопроса в России и на Кубе.</x:v>
      </x:c>
      <x:c r="N6533" s="30" t="str">
        <x:v>Россия: Декрет о земле 1917 года отменил помещичью собственность и передал землю в общенародное пользование без выкупа. Куба: аграрные реформы после революции 1959 года ограничили крупное землевладение, экспроприировали латифундии и передали часть земель государству и крестьянам.</x:v>
      </x:c>
      <x:c r="O6533" s="30" t="str">
        <x:v>Рабочая модель содержит требуемые элементы ответа и конкретные исторические факты.</x:v>
      </x:c>
      <x:c r="P6533" s="30"/>
      <x:c r="Q6533" s="30" t="str">
        <x:v>Исходное условие + независимая историческая проверка; официальные критерии отсутствуют.</x:v>
      </x:c>
      <x:c r="R6533" s="30" t="str">
        <x:v>INDEPENDENT_MODEL</x:v>
      </x:c>
      <x:c r="S6533" s="30"/>
      <x:c r="T6533" s="30"/>
      <x:c r="U6533" s="30" t="str">
        <x:v>Модель не выдаётся за единственно допустимую формулировку.</x:v>
      </x:c>
      <x:c r="V6533" s="87" t="str">
        <x:v>MODEL_READY</x:v>
      </x:c>
      <x:c r="W6533" s="87"/>
      <x:c r="X6533" s="87" t="n">
        <x:v>9</x:v>
      </x:c>
      <x:c r="Y6533" s="87"/>
      <x:c r="Z6533" s="87"/>
      <x:c r="AA6533" s="87"/>
      <x:c r="AB6533" s="87"/>
      <x:c r="AC6533" s="87" t="str">
        <x:v>VIS-EGKR-HIS-S26-TASK-954-P009</x:v>
      </x:c>
      <x:c r="AD6533" s="87"/>
      <x:c r="AE6533" s="87" t="str">
        <x:v>TASK</x:v>
      </x:c>
      <x:c r="AF6533" s="87" t="str">
        <x:v>VIS-EGKR-HIS-S26-TASK-954-P009: 9</x:v>
      </x:c>
      <x:c r="AG6533" s="87" t="str">
        <x:v>RESOLVED</x:v>
      </x:c>
      <x:c r="AH6533" s="87" t="str">
        <x:v>CROP_VERIFIED</x:v>
      </x:c>
      <x:c r="AI6533" s="30"/>
      <x:c r="AJ6533" s="87" t="str">
        <x:v>clean</x:v>
      </x:c>
      <x:c r="AK6533" s="87" t="str">
        <x:v>clean-v0.25</x:v>
      </x:c>
      <x:c r="AL6533" s="87" t="str">
        <x:v>statgrad_clean_continuation_v0_25(1).xlsx</x:v>
      </x:c>
      <x:c r="AM6533" s="87" t="str">
        <x:v>HIS_EGKR_S26_954</x:v>
      </x:c>
      <x:c r="AN6533" s="87" t="n">
        <x:v>22</x:v>
      </x:c>
    </x:row>
    <x:row r="6534">
      <x:c r="A6534" s="87" t="n">
        <x:v>6533</x:v>
      </x:c>
      <x:c r="B6534" s="87" t="str">
        <x:v>EGKR-S26-HIS-955-01</x:v>
      </x:c>
      <x:c r="C6534" s="87" t="str">
        <x:v>ЕГКР</x:v>
      </x:c>
      <x:c r="D6534" s="87"/>
      <x:c r="E6534" s="87" t="str">
        <x:v>Весна 2026</x:v>
      </x:c>
      <x:c r="F6534" s="87" t="str">
        <x:v>14.04.2026</x:v>
      </x:c>
      <x:c r="G6534" s="87" t="str">
        <x:v>История</x:v>
      </x:c>
      <x:c r="H6534" s="87" t="n">
        <x:v>11</x:v>
      </x:c>
      <x:c r="I6534" s="87"/>
      <x:c r="J6534" s="87" t="str">
        <x:v>955</x:v>
      </x:c>
      <x:c r="K6534" s="87" t="n">
        <x:v>1</x:v>
      </x:c>
      <x:c r="L6534" s="87" t="str">
        <x:v>События и годы</x:v>
      </x:c>
      <x:c r="M6534" s="30" t="str">
        <x:v>Соотнести операцию «Полководец Румянцев», «чугунный устав», создание ВЧК и заповедные лета с годами.</x:v>
      </x:c>
      <x:c r="N6534" s="30" t="str">
        <x:v>5342</x:v>
      </x:c>
      <x:c r="O6534" s="30" t="str">
        <x:v>1943, 1826, 1917, 1581 → 5342.</x:v>
      </x:c>
      <x:c r="P6534" s="30"/>
      <x:c r="Q6534" s="30" t="str">
        <x:v>Исходная страница, независимая историческая проверка и вторичная веб-сверка.</x:v>
      </x:c>
      <x:c r="R6534" s="30" t="str">
        <x:v>5342</x:v>
      </x:c>
      <x:c r="S6534" s="30"/>
      <x:c r="T6534" s="30"/>
      <x:c r="U6534" s="30" t="str">
        <x:v>Ответник совпадает с независимой проверкой.</x:v>
      </x:c>
      <x:c r="V6534" s="87" t="str">
        <x:v>VERIFIED</x:v>
      </x:c>
      <x:c r="W6534" s="87"/>
      <x:c r="X6534" s="87" t="n">
        <x:v>1</x:v>
      </x:c>
      <x:c r="Y6534" s="87"/>
      <x:c r="Z6534" s="87"/>
      <x:c r="AA6534" s="87"/>
      <x:c r="AB6534" s="87"/>
      <x:c r="AC6534" s="87" t="str">
        <x:v>VIS-EGKR-HIS-S26-TASK-955-P001</x:v>
      </x:c>
      <x:c r="AD6534" s="87" t="str">
        <x:v>VIS-EGKR-HIS-S26-ANSWERDOC-P002</x:v>
      </x:c>
      <x:c r="AE6534" s="87" t="str">
        <x:v>TASK; SECONDARY_ANSWER_SOURCE</x:v>
      </x:c>
      <x:c r="AF6534" s="87" t="str">
        <x:v>VIS-EGKR-HIS-S26-TASK-955-P001: 1; VIS-EGKR-HIS-S26-ANSWERDOC-P002: 2</x:v>
      </x:c>
      <x:c r="AG6534" s="87" t="str">
        <x:v>RESOLVED</x:v>
      </x:c>
      <x:c r="AH6534" s="87" t="str">
        <x:v>CROP_VERIFIED</x:v>
      </x:c>
      <x:c r="AI6534" s="30"/>
      <x:c r="AJ6534" s="87" t="str">
        <x:v>clean</x:v>
      </x:c>
      <x:c r="AK6534" s="87" t="str">
        <x:v>clean-v0.25</x:v>
      </x:c>
      <x:c r="AL6534" s="87" t="str">
        <x:v>statgrad_clean_continuation_v0_25(1).xlsx</x:v>
      </x:c>
      <x:c r="AM6534" s="87" t="str">
        <x:v>HIS_EGKR_S26_955</x:v>
      </x:c>
      <x:c r="AN6534" s="87" t="n">
        <x:v>2</x:v>
      </x:c>
    </x:row>
    <x:row r="6535">
      <x:c r="A6535" s="87" t="n">
        <x:v>6534</x:v>
      </x:c>
      <x:c r="B6535" s="87" t="str">
        <x:v>EGKR-S26-HIS-955-02</x:v>
      </x:c>
      <x:c r="C6535" s="87" t="str">
        <x:v>ЕГКР</x:v>
      </x:c>
      <x:c r="D6535" s="87"/>
      <x:c r="E6535" s="87" t="str">
        <x:v>Весна 2026</x:v>
      </x:c>
      <x:c r="F6535" s="87" t="str">
        <x:v>14.04.2026</x:v>
      </x:c>
      <x:c r="G6535" s="87" t="str">
        <x:v>История</x:v>
      </x:c>
      <x:c r="H6535" s="87" t="n">
        <x:v>11</x:v>
      </x:c>
      <x:c r="I6535" s="87"/>
      <x:c r="J6535" s="87" t="str">
        <x:v>955</x:v>
      </x:c>
      <x:c r="K6535" s="87" t="n">
        <x:v>2</x:v>
      </x:c>
      <x:c r="L6535" s="87" t="str">
        <x:v>Хронологическая последовательность</x:v>
      </x:c>
      <x:c r="M6535" s="30" t="str">
        <x:v>Расположить Новоторговый устав, Табель о рангах и начало чартистского движения.</x:v>
      </x:c>
      <x:c r="N6535" s="30" t="str">
        <x:v>123</x:v>
      </x:c>
      <x:c r="O6535" s="30" t="str">
        <x:v>1667 → 1722 → 1830-е годы → 123.</x:v>
      </x:c>
      <x:c r="P6535" s="30"/>
      <x:c r="Q6535" s="30" t="str">
        <x:v>Исходная страница, независимая историческая проверка и вторичная веб-сверка.</x:v>
      </x:c>
      <x:c r="R6535" s="30" t="str">
        <x:v>123</x:v>
      </x:c>
      <x:c r="S6535" s="30"/>
      <x:c r="T6535" s="30"/>
      <x:c r="U6535" s="30" t="str">
        <x:v>Ответник совпадает с независимой проверкой.</x:v>
      </x:c>
      <x:c r="V6535" s="87" t="str">
        <x:v>VERIFIED</x:v>
      </x:c>
      <x:c r="W6535" s="87"/>
      <x:c r="X6535" s="87" t="n">
        <x:v>1</x:v>
      </x:c>
      <x:c r="Y6535" s="87"/>
      <x:c r="Z6535" s="87"/>
      <x:c r="AA6535" s="87"/>
      <x:c r="AB6535" s="87"/>
      <x:c r="AC6535" s="87" t="str">
        <x:v>VIS-EGKR-HIS-S26-TASK-955-P001</x:v>
      </x:c>
      <x:c r="AD6535" s="87" t="str">
        <x:v>VIS-EGKR-HIS-S26-ANSWERDOC-P002</x:v>
      </x:c>
      <x:c r="AE6535" s="87" t="str">
        <x:v>TASK; SECONDARY_ANSWER_SOURCE</x:v>
      </x:c>
      <x:c r="AF6535" s="87" t="str">
        <x:v>VIS-EGKR-HIS-S26-TASK-955-P001: 1; VIS-EGKR-HIS-S26-ANSWERDOC-P002: 2</x:v>
      </x:c>
      <x:c r="AG6535" s="87" t="str">
        <x:v>RESOLVED</x:v>
      </x:c>
      <x:c r="AH6535" s="87" t="str">
        <x:v>CROP_VERIFIED</x:v>
      </x:c>
      <x:c r="AI6535" s="30"/>
      <x:c r="AJ6535" s="87" t="str">
        <x:v>clean</x:v>
      </x:c>
      <x:c r="AK6535" s="87" t="str">
        <x:v>clean-v0.25</x:v>
      </x:c>
      <x:c r="AL6535" s="87" t="str">
        <x:v>statgrad_clean_continuation_v0_25(1).xlsx</x:v>
      </x:c>
      <x:c r="AM6535" s="87" t="str">
        <x:v>HIS_EGKR_S26_955</x:v>
      </x:c>
      <x:c r="AN6535" s="87" t="n">
        <x:v>3</x:v>
      </x:c>
    </x:row>
    <x:row r="6536">
      <x:c r="A6536" s="87" t="n">
        <x:v>6535</x:v>
      </x:c>
      <x:c r="B6536" s="87" t="str">
        <x:v>EGKR-S26-HIS-955-03</x:v>
      </x:c>
      <x:c r="C6536" s="87" t="str">
        <x:v>ЕГКР</x:v>
      </x:c>
      <x:c r="D6536" s="87"/>
      <x:c r="E6536" s="87" t="str">
        <x:v>Весна 2026</x:v>
      </x:c>
      <x:c r="F6536" s="87" t="str">
        <x:v>14.04.2026</x:v>
      </x:c>
      <x:c r="G6536" s="87" t="str">
        <x:v>История</x:v>
      </x:c>
      <x:c r="H6536" s="87" t="n">
        <x:v>11</x:v>
      </x:c>
      <x:c r="I6536" s="87"/>
      <x:c r="J6536" s="87" t="str">
        <x:v>955</x:v>
      </x:c>
      <x:c r="K6536" s="87" t="n">
        <x:v>3</x:v>
      </x:c>
      <x:c r="L6536" s="87" t="str">
        <x:v>Процессы и факты</x:v>
      </x:c>
      <x:c r="M6536" s="30" t="str">
        <x:v>Соотнести Гражданскую войну, политику Николая I, реформы Избранной рады и политику Ивана III с фактами.</x:v>
      </x:c>
      <x:c r="N6536" s="30" t="str">
        <x:v>2351</x:v>
      </x:c>
      <x:c r="O6536" s="30" t="str">
        <x:v>Восстание Чехословацкого корпуса → 2; III Отделение → 3; Уложение о службе → 5; Судебник Ивана III → 1.</x:v>
      </x:c>
      <x:c r="P6536" s="30"/>
      <x:c r="Q6536" s="30" t="str">
        <x:v>Исходная страница, независимая историческая проверка и вторичная веб-сверка.</x:v>
      </x:c>
      <x:c r="R6536" s="30" t="str">
        <x:v>2451</x:v>
      </x:c>
      <x:c r="S6536" s="30"/>
      <x:c r="T6536" s="30"/>
      <x:c r="U6536" s="30" t="str">
        <x:v>Ответник: 2451; канонический ответ: 2351.</x:v>
      </x:c>
      <x:c r="V6536" s="87" t="str">
        <x:v>KEY_MISMATCH</x:v>
      </x:c>
      <x:c r="W6536" s="87"/>
      <x:c r="X6536" s="87" t="n">
        <x:v>2</x:v>
      </x:c>
      <x:c r="Y6536" s="87"/>
      <x:c r="Z6536" s="87"/>
      <x:c r="AA6536" s="87"/>
      <x:c r="AB6536" s="87"/>
      <x:c r="AC6536" s="87" t="str">
        <x:v>VIS-EGKR-HIS-S26-TASK-955-P002</x:v>
      </x:c>
      <x:c r="AD6536" s="87" t="str">
        <x:v>VIS-EGKR-HIS-S26-ANSWERDOC-P002</x:v>
      </x:c>
      <x:c r="AE6536" s="87" t="str">
        <x:v>TASK; SECONDARY_ANSWER_SOURCE</x:v>
      </x:c>
      <x:c r="AF6536" s="87" t="str">
        <x:v>VIS-EGKR-HIS-S26-TASK-955-P002: 2; VIS-EGKR-HIS-S26-ANSWERDOC-P002: 2</x:v>
      </x:c>
      <x:c r="AG6536" s="87" t="str">
        <x:v>RESOLVED</x:v>
      </x:c>
      <x:c r="AH6536" s="87" t="str">
        <x:v>CROP_VERIFIED</x:v>
      </x:c>
      <x:c r="AI6536" s="30"/>
      <x:c r="AJ6536" s="87" t="str">
        <x:v>clean</x:v>
      </x:c>
      <x:c r="AK6536" s="87" t="str">
        <x:v>clean-v0.25</x:v>
      </x:c>
      <x:c r="AL6536" s="87" t="str">
        <x:v>statgrad_clean_continuation_v0_25(1).xlsx</x:v>
      </x:c>
      <x:c r="AM6536" s="87" t="str">
        <x:v>HIS_EGKR_S26_955</x:v>
      </x:c>
      <x:c r="AN6536" s="87" t="n">
        <x:v>4</x:v>
      </x:c>
    </x:row>
    <x:row r="6537">
      <x:c r="A6537" s="87" t="n">
        <x:v>6536</x:v>
      </x:c>
      <x:c r="B6537" s="87" t="str">
        <x:v>EGKR-S26-HIS-955-04</x:v>
      </x:c>
      <x:c r="C6537" s="87" t="str">
        <x:v>ЕГКР</x:v>
      </x:c>
      <x:c r="D6537" s="87"/>
      <x:c r="E6537" s="87" t="str">
        <x:v>Весна 2026</x:v>
      </x:c>
      <x:c r="F6537" s="87" t="str">
        <x:v>14.04.2026</x:v>
      </x:c>
      <x:c r="G6537" s="87" t="str">
        <x:v>История</x:v>
      </x:c>
      <x:c r="H6537" s="87" t="n">
        <x:v>11</x:v>
      </x:c>
      <x:c r="I6537" s="87"/>
      <x:c r="J6537" s="87" t="str">
        <x:v>955</x:v>
      </x:c>
      <x:c r="K6537" s="87" t="n">
        <x:v>4</x:v>
      </x:c>
      <x:c r="L6537" s="87" t="str">
        <x:v>Заполнение исторической таблицы</x:v>
      </x:c>
      <x:c r="M6537" s="30" t="str">
        <x:v>Заполнить таблицу по Александровской слободе, Молодям, Нерчинску и Черкасску.</x:v>
      </x:c>
      <x:c r="N6537" s="30" t="str">
        <x:v>698745</x:v>
      </x:c>
      <x:c r="O6537" s="30" t="str">
        <x:v>Александровская слобода, 1560-е, Молоди, российско-китайский договор, 1680-е, гибель Булавина → 698745.</x:v>
      </x:c>
      <x:c r="P6537" s="30"/>
      <x:c r="Q6537" s="30" t="str">
        <x:v>Исходная страница, независимая историческая проверка и вторичная веб-сверка.</x:v>
      </x:c>
      <x:c r="R6537" s="30" t="str">
        <x:v>698745</x:v>
      </x:c>
      <x:c r="S6537" s="30"/>
      <x:c r="T6537" s="30"/>
      <x:c r="U6537" s="30" t="str">
        <x:v>Ответник совпадает с независимой проверкой.</x:v>
      </x:c>
      <x:c r="V6537" s="87" t="str">
        <x:v>VERIFIED</x:v>
      </x:c>
      <x:c r="W6537" s="87"/>
      <x:c r="X6537" s="87" t="n">
        <x:v>2</x:v>
      </x:c>
      <x:c r="Y6537" s="87"/>
      <x:c r="Z6537" s="87"/>
      <x:c r="AA6537" s="87"/>
      <x:c r="AB6537" s="87"/>
      <x:c r="AC6537" s="87" t="str">
        <x:v>VIS-EGKR-HIS-S26-TASK-955-P002</x:v>
      </x:c>
      <x:c r="AD6537" s="87" t="str">
        <x:v>VIS-EGKR-HIS-S26-ANSWERDOC-P002</x:v>
      </x:c>
      <x:c r="AE6537" s="87" t="str">
        <x:v>TASK; SECONDARY_ANSWER_SOURCE</x:v>
      </x:c>
      <x:c r="AF6537" s="87" t="str">
        <x:v>VIS-EGKR-HIS-S26-TASK-955-P002: 2; VIS-EGKR-HIS-S26-ANSWERDOC-P002: 2</x:v>
      </x:c>
      <x:c r="AG6537" s="87" t="str">
        <x:v>RESOLVED</x:v>
      </x:c>
      <x:c r="AH6537" s="87" t="str">
        <x:v>CROP_VERIFIED</x:v>
      </x:c>
      <x:c r="AI6537" s="30"/>
      <x:c r="AJ6537" s="87" t="str">
        <x:v>clean</x:v>
      </x:c>
      <x:c r="AK6537" s="87" t="str">
        <x:v>clean-v0.25</x:v>
      </x:c>
      <x:c r="AL6537" s="87" t="str">
        <x:v>statgrad_clean_continuation_v0_25(1).xlsx</x:v>
      </x:c>
      <x:c r="AM6537" s="87" t="str">
        <x:v>HIS_EGKR_S26_955</x:v>
      </x:c>
      <x:c r="AN6537" s="87" t="n">
        <x:v>5</x:v>
      </x:c>
    </x:row>
    <x:row r="6538">
      <x:c r="A6538" s="87" t="n">
        <x:v>6537</x:v>
      </x:c>
      <x:c r="B6538" s="87" t="str">
        <x:v>EGKR-S26-HIS-955-05</x:v>
      </x:c>
      <x:c r="C6538" s="87" t="str">
        <x:v>ЕГКР</x:v>
      </x:c>
      <x:c r="D6538" s="87"/>
      <x:c r="E6538" s="87" t="str">
        <x:v>Весна 2026</x:v>
      </x:c>
      <x:c r="F6538" s="87" t="str">
        <x:v>14.04.2026</x:v>
      </x:c>
      <x:c r="G6538" s="87" t="str">
        <x:v>История</x:v>
      </x:c>
      <x:c r="H6538" s="87" t="n">
        <x:v>11</x:v>
      </x:c>
      <x:c r="I6538" s="87"/>
      <x:c r="J6538" s="87" t="str">
        <x:v>955</x:v>
      </x:c>
      <x:c r="K6538" s="87" t="n">
        <x:v>5</x:v>
      </x:c>
      <x:c r="L6538" s="87" t="str">
        <x:v>События и участники</x:v>
      </x:c>
      <x:c r="M6538" s="30" t="str">
        <x:v>Соотнести политику XVII века, политику Александра III, СВО и операцию «Багратион» с участниками.</x:v>
      </x:c>
      <x:c r="N6538" s="30" t="str">
        <x:v>4631</x:v>
      </x:c>
      <x:c r="O6538" s="30" t="str">
        <x:v>Ордин-Нащокин, Вышнеградский, Цевун, Рокоссовский → 4631.</x:v>
      </x:c>
      <x:c r="P6538" s="30"/>
      <x:c r="Q6538" s="30" t="str">
        <x:v>Исходная страница, независимая историческая проверка и вторичная веб-сверка.</x:v>
      </x:c>
      <x:c r="R6538" s="30" t="str">
        <x:v>4631</x:v>
      </x:c>
      <x:c r="S6538" s="30"/>
      <x:c r="T6538" s="30"/>
      <x:c r="U6538" s="30" t="str">
        <x:v>Ответник совпадает с независимой проверкой.</x:v>
      </x:c>
      <x:c r="V6538" s="87" t="str">
        <x:v>VERIFIED</x:v>
      </x:c>
      <x:c r="W6538" s="87"/>
      <x:c r="X6538" s="87" t="n">
        <x:v>3</x:v>
      </x:c>
      <x:c r="Y6538" s="87"/>
      <x:c r="Z6538" s="87"/>
      <x:c r="AA6538" s="87"/>
      <x:c r="AB6538" s="87"/>
      <x:c r="AC6538" s="87" t="str">
        <x:v>VIS-EGKR-HIS-S26-TASK-955-P003</x:v>
      </x:c>
      <x:c r="AD6538" s="87" t="str">
        <x:v>VIS-EGKR-HIS-S26-ANSWERDOC-P002</x:v>
      </x:c>
      <x:c r="AE6538" s="87" t="str">
        <x:v>TASK; SECONDARY_ANSWER_SOURCE</x:v>
      </x:c>
      <x:c r="AF6538" s="87" t="str">
        <x:v>VIS-EGKR-HIS-S26-TASK-955-P003: 3; VIS-EGKR-HIS-S26-ANSWERDOC-P002: 2</x:v>
      </x:c>
      <x:c r="AG6538" s="87" t="str">
        <x:v>RESOLVED</x:v>
      </x:c>
      <x:c r="AH6538" s="87" t="str">
        <x:v>CROP_VERIFIED</x:v>
      </x:c>
      <x:c r="AI6538" s="30"/>
      <x:c r="AJ6538" s="87" t="str">
        <x:v>clean</x:v>
      </x:c>
      <x:c r="AK6538" s="87" t="str">
        <x:v>clean-v0.25</x:v>
      </x:c>
      <x:c r="AL6538" s="87" t="str">
        <x:v>statgrad_clean_continuation_v0_25(1).xlsx</x:v>
      </x:c>
      <x:c r="AM6538" s="87" t="str">
        <x:v>HIS_EGKR_S26_955</x:v>
      </x:c>
      <x:c r="AN6538" s="87" t="n">
        <x:v>6</x:v>
      </x:c>
    </x:row>
    <x:row r="6539">
      <x:c r="A6539" s="87" t="n">
        <x:v>6538</x:v>
      </x:c>
      <x:c r="B6539" s="87" t="str">
        <x:v>EGKR-S26-HIS-955-06</x:v>
      </x:c>
      <x:c r="C6539" s="87" t="str">
        <x:v>ЕГКР</x:v>
      </x:c>
      <x:c r="D6539" s="87"/>
      <x:c r="E6539" s="87" t="str">
        <x:v>Весна 2026</x:v>
      </x:c>
      <x:c r="F6539" s="87" t="str">
        <x:v>14.04.2026</x:v>
      </x:c>
      <x:c r="G6539" s="87" t="str">
        <x:v>История</x:v>
      </x:c>
      <x:c r="H6539" s="87" t="n">
        <x:v>11</x:v>
      </x:c>
      <x:c r="I6539" s="87"/>
      <x:c r="J6539" s="87" t="str">
        <x:v>955</x:v>
      </x:c>
      <x:c r="K6539" s="87" t="n">
        <x:v>6</x:v>
      </x:c>
      <x:c r="L6539" s="87" t="str">
        <x:v>Анализ исторического источника</x:v>
      </x:c>
      <x:c r="M6539" s="30" t="str">
        <x:v>Выбрать верные суждения по воспоминаниям о начале царствования Александра III и земских начальниках.</x:v>
      </x:c>
      <x:c r="N6539" s="30" t="str">
        <x:v>234</x:v>
      </x:c>
      <x:c r="O6539" s="30" t="str">
        <x:v>Верны суждения 2, 3 и 4.</x:v>
      </x:c>
      <x:c r="P6539" s="30"/>
      <x:c r="Q6539" s="30" t="str">
        <x:v>Исходная страница, независимая историческая проверка и вторичная веб-сверка.</x:v>
      </x:c>
      <x:c r="R6539" s="30" t="str">
        <x:v>234</x:v>
      </x:c>
      <x:c r="S6539" s="30"/>
      <x:c r="T6539" s="30"/>
      <x:c r="U6539" s="30" t="str">
        <x:v>Ответник совпадает с независимой проверкой.</x:v>
      </x:c>
      <x:c r="V6539" s="87" t="str">
        <x:v>VERIFIED</x:v>
      </x:c>
      <x:c r="W6539" s="87"/>
      <x:c r="X6539" s="87" t="n">
        <x:v>3</x:v>
      </x:c>
      <x:c r="Y6539" s="87"/>
      <x:c r="Z6539" s="87"/>
      <x:c r="AA6539" s="87"/>
      <x:c r="AB6539" s="87"/>
      <x:c r="AC6539" s="87" t="str">
        <x:v>VIS-EGKR-HIS-S26-TASK-955-P003</x:v>
      </x:c>
      <x:c r="AD6539" s="87" t="str">
        <x:v>VIS-EGKR-HIS-S26-ANSWERDOC-P002</x:v>
      </x:c>
      <x:c r="AE6539" s="87" t="str">
        <x:v>TASK; SECONDARY_ANSWER_SOURCE</x:v>
      </x:c>
      <x:c r="AF6539" s="87" t="str">
        <x:v>VIS-EGKR-HIS-S26-TASK-955-P003: 3; VIS-EGKR-HIS-S26-ANSWERDOC-P002: 2</x:v>
      </x:c>
      <x:c r="AG6539" s="87" t="str">
        <x:v>RESOLVED</x:v>
      </x:c>
      <x:c r="AH6539" s="87" t="str">
        <x:v>CROP_VERIFIED</x:v>
      </x:c>
      <x:c r="AI6539" s="30"/>
      <x:c r="AJ6539" s="87" t="str">
        <x:v>clean</x:v>
      </x:c>
      <x:c r="AK6539" s="87" t="str">
        <x:v>clean-v0.25</x:v>
      </x:c>
      <x:c r="AL6539" s="87" t="str">
        <x:v>statgrad_clean_continuation_v0_25(1).xlsx</x:v>
      </x:c>
      <x:c r="AM6539" s="87" t="str">
        <x:v>HIS_EGKR_S26_955</x:v>
      </x:c>
      <x:c r="AN6539" s="87" t="n">
        <x:v>7</x:v>
      </x:c>
    </x:row>
    <x:row r="6540">
      <x:c r="A6540" s="87" t="n">
        <x:v>6539</x:v>
      </x:c>
      <x:c r="B6540" s="87" t="str">
        <x:v>EGKR-S26-HIS-955-07</x:v>
      </x:c>
      <x:c r="C6540" s="87" t="str">
        <x:v>ЕГКР</x:v>
      </x:c>
      <x:c r="D6540" s="87"/>
      <x:c r="E6540" s="87" t="str">
        <x:v>Весна 2026</x:v>
      </x:c>
      <x:c r="F6540" s="87" t="str">
        <x:v>14.04.2026</x:v>
      </x:c>
      <x:c r="G6540" s="87" t="str">
        <x:v>История</x:v>
      </x:c>
      <x:c r="H6540" s="87" t="n">
        <x:v>11</x:v>
      </x:c>
      <x:c r="I6540" s="87"/>
      <x:c r="J6540" s="87" t="str">
        <x:v>955</x:v>
      </x:c>
      <x:c r="K6540" s="87" t="n">
        <x:v>7</x:v>
      </x:c>
      <x:c r="L6540" s="87" t="str">
        <x:v>Памятники культуры</x:v>
      </x:c>
      <x:c r="M6540" s="30" t="str">
        <x:v>Соотнести Лицевой летописный свод, «Преступление и наказание», «Слово о законе и благодати» и «Василия Тёркина».</x:v>
      </x:c>
      <x:c r="N6540" s="30" t="str">
        <x:v>1536</x:v>
      </x:c>
      <x:c r="O6540" s="30" t="str">
        <x:v>XVI век, Достоевский, XI век, Великая Отечественная война → 1536.</x:v>
      </x:c>
      <x:c r="P6540" s="30"/>
      <x:c r="Q6540" s="30" t="str">
        <x:v>Исходная страница, независимая историческая проверка и вторичная веб-сверка.</x:v>
      </x:c>
      <x:c r="R6540" s="30" t="str">
        <x:v>1536</x:v>
      </x:c>
      <x:c r="S6540" s="30"/>
      <x:c r="T6540" s="30"/>
      <x:c r="U6540" s="30" t="str">
        <x:v>Ответник совпадает с независимой проверкой.</x:v>
      </x:c>
      <x:c r="V6540" s="87" t="str">
        <x:v>VERIFIED</x:v>
      </x:c>
      <x:c r="W6540" s="87"/>
      <x:c r="X6540" s="87" t="n">
        <x:v>4</x:v>
      </x:c>
      <x:c r="Y6540" s="87"/>
      <x:c r="Z6540" s="87"/>
      <x:c r="AA6540" s="87"/>
      <x:c r="AB6540" s="87"/>
      <x:c r="AC6540" s="87" t="str">
        <x:v>VIS-EGKR-HIS-S26-TASK-955-P004</x:v>
      </x:c>
      <x:c r="AD6540" s="87" t="str">
        <x:v>VIS-EGKR-HIS-S26-ANSWERDOC-P002</x:v>
      </x:c>
      <x:c r="AE6540" s="87" t="str">
        <x:v>TASK; SECONDARY_ANSWER_SOURCE</x:v>
      </x:c>
      <x:c r="AF6540" s="87" t="str">
        <x:v>VIS-EGKR-HIS-S26-TASK-955-P004: 4; VIS-EGKR-HIS-S26-ANSWERDOC-P002: 2</x:v>
      </x:c>
      <x:c r="AG6540" s="87" t="str">
        <x:v>RESOLVED</x:v>
      </x:c>
      <x:c r="AH6540" s="87" t="str">
        <x:v>CROP_VERIFIED</x:v>
      </x:c>
      <x:c r="AI6540" s="30"/>
      <x:c r="AJ6540" s="87" t="str">
        <x:v>clean</x:v>
      </x:c>
      <x:c r="AK6540" s="87" t="str">
        <x:v>clean-v0.25</x:v>
      </x:c>
      <x:c r="AL6540" s="87" t="str">
        <x:v>statgrad_clean_continuation_v0_25(1).xlsx</x:v>
      </x:c>
      <x:c r="AM6540" s="87" t="str">
        <x:v>HIS_EGKR_S26_955</x:v>
      </x:c>
      <x:c r="AN6540" s="87" t="n">
        <x:v>8</x:v>
      </x:c>
    </x:row>
    <x:row r="6541">
      <x:c r="A6541" s="87" t="n">
        <x:v>6540</x:v>
      </x:c>
      <x:c r="B6541" s="87" t="str">
        <x:v>EGKR-S26-HIS-955-08</x:v>
      </x:c>
      <x:c r="C6541" s="87" t="str">
        <x:v>ЕГКР</x:v>
      </x:c>
      <x:c r="D6541" s="87"/>
      <x:c r="E6541" s="87" t="str">
        <x:v>Весна 2026</x:v>
      </x:c>
      <x:c r="F6541" s="87" t="str">
        <x:v>14.04.2026</x:v>
      </x:c>
      <x:c r="G6541" s="87" t="str">
        <x:v>История</x:v>
      </x:c>
      <x:c r="H6541" s="87" t="n">
        <x:v>11</x:v>
      </x:c>
      <x:c r="I6541" s="87"/>
      <x:c r="J6541" s="87" t="str">
        <x:v>955</x:v>
      </x:c>
      <x:c r="K6541" s="87" t="n">
        <x:v>8</x:v>
      </x:c>
      <x:c r="L6541" s="87" t="str">
        <x:v>Анализ изображения</x:v>
      </x:c>
      <x:c r="M6541" s="30" t="str">
        <x:v>Определить год выпуска газеты «Героям Риги — слава! За Родину».</x:v>
      </x:c>
      <x:c r="N6541" s="30" t="str">
        <x:v>СОРОК ЧЕТВЁРТОМ</x:v>
      </x:c>
      <x:c r="O6541" s="30" t="str">
        <x:v>Газета посвящена освобождению Риги в 1944 году.</x:v>
      </x:c>
      <x:c r="P6541" s="30"/>
      <x:c r="Q6541" s="30" t="str">
        <x:v>Исходная страница, независимая историческая проверка и вторичная веб-сверка.</x:v>
      </x:c>
      <x:c r="R6541" s="30" t="str">
        <x:v>СОРОК ЧЕТВЁРТОМ</x:v>
      </x:c>
      <x:c r="S6541" s="30"/>
      <x:c r="T6541" s="30"/>
      <x:c r="U6541" s="30" t="str">
        <x:v>Ответник совпадает с независимой проверкой.</x:v>
      </x:c>
      <x:c r="V6541" s="87" t="str">
        <x:v>VERIFIED</x:v>
      </x:c>
      <x:c r="W6541" s="87"/>
      <x:c r="X6541" s="87" t="n">
        <x:v>4</x:v>
      </x:c>
      <x:c r="Y6541" s="87"/>
      <x:c r="Z6541" s="87"/>
      <x:c r="AA6541" s="87"/>
      <x:c r="AB6541" s="87"/>
      <x:c r="AC6541" s="87" t="str">
        <x:v>VIS-EGKR-HIS-S26-TASK-955-P004</x:v>
      </x:c>
      <x:c r="AD6541" s="87" t="str">
        <x:v>VIS-EGKR-HIS-S26-ANSWERDOC-P002</x:v>
      </x:c>
      <x:c r="AE6541" s="87" t="str">
        <x:v>TASK; SECONDARY_ANSWER_SOURCE</x:v>
      </x:c>
      <x:c r="AF6541" s="87" t="str">
        <x:v>VIS-EGKR-HIS-S26-TASK-955-P004: 4; VIS-EGKR-HIS-S26-ANSWERDOC-P002: 2</x:v>
      </x:c>
      <x:c r="AG6541" s="87" t="str">
        <x:v>RESOLVED</x:v>
      </x:c>
      <x:c r="AH6541" s="87" t="str">
        <x:v>CROP_VERIFIED</x:v>
      </x:c>
      <x:c r="AI6541" s="30"/>
      <x:c r="AJ6541" s="87" t="str">
        <x:v>clean</x:v>
      </x:c>
      <x:c r="AK6541" s="87" t="str">
        <x:v>clean-v0.25</x:v>
      </x:c>
      <x:c r="AL6541" s="87" t="str">
        <x:v>statgrad_clean_continuation_v0_25(1).xlsx</x:v>
      </x:c>
      <x:c r="AM6541" s="87" t="str">
        <x:v>HIS_EGKR_S26_955</x:v>
      </x:c>
      <x:c r="AN6541" s="87" t="n">
        <x:v>9</x:v>
      </x:c>
    </x:row>
    <x:row r="6542">
      <x:c r="A6542" s="87" t="n">
        <x:v>6541</x:v>
      </x:c>
      <x:c r="B6542" s="87" t="str">
        <x:v>EGKR-S26-HIS-955-09</x:v>
      </x:c>
      <x:c r="C6542" s="87" t="str">
        <x:v>ЕГКР</x:v>
      </x:c>
      <x:c r="D6542" s="87"/>
      <x:c r="E6542" s="87" t="str">
        <x:v>Весна 2026</x:v>
      </x:c>
      <x:c r="F6542" s="87" t="str">
        <x:v>14.04.2026</x:v>
      </x:c>
      <x:c r="G6542" s="87" t="str">
        <x:v>История</x:v>
      </x:c>
      <x:c r="H6542" s="87" t="n">
        <x:v>11</x:v>
      </x:c>
      <x:c r="I6542" s="87"/>
      <x:c r="J6542" s="87" t="str">
        <x:v>955</x:v>
      </x:c>
      <x:c r="K6542" s="87" t="n">
        <x:v>9</x:v>
      </x:c>
      <x:c r="L6542" s="87" t="str">
        <x:v>Историческая карта: идентификация</x:v>
      </x:c>
      <x:c r="M6542" s="30" t="str">
        <x:v>Определить век походов князя Святослава по карте.</x:v>
      </x:c>
      <x:c r="N6542" s="30" t="str">
        <x:v>ДЕСЯТОМ</x:v>
      </x:c>
      <x:c r="O6542" s="30" t="str">
        <x:v>Походы Святослава относятся к X веку.</x:v>
      </x:c>
      <x:c r="P6542" s="30"/>
      <x:c r="Q6542" s="30" t="str">
        <x:v>Исходная страница, независимая историческая проверка и вторичная веб-сверка.</x:v>
      </x:c>
      <x:c r="R6542" s="30" t="str">
        <x:v>ДЕСЯТОМ</x:v>
      </x:c>
      <x:c r="S6542" s="30"/>
      <x:c r="T6542" s="30"/>
      <x:c r="U6542" s="30" t="str">
        <x:v>Ответник совпадает с независимой проверкой.</x:v>
      </x:c>
      <x:c r="V6542" s="87" t="str">
        <x:v>VERIFIED</x:v>
      </x:c>
      <x:c r="W6542" s="87"/>
      <x:c r="X6542" s="87" t="n">
        <x:v>5</x:v>
      </x:c>
      <x:c r="Y6542" s="87"/>
      <x:c r="Z6542" s="87"/>
      <x:c r="AA6542" s="87"/>
      <x:c r="AB6542" s="87"/>
      <x:c r="AC6542" s="87" t="str">
        <x:v>VIS-EGKR-HIS-S26-TASK-955-P005</x:v>
      </x:c>
      <x:c r="AD6542" s="87" t="str">
        <x:v>VIS-EGKR-HIS-S26-ANSWERDOC-P002</x:v>
      </x:c>
      <x:c r="AE6542" s="87" t="str">
        <x:v>TASK; SECONDARY_ANSWER_SOURCE</x:v>
      </x:c>
      <x:c r="AF6542" s="87" t="str">
        <x:v>VIS-EGKR-HIS-S26-TASK-955-P005: 5; VIS-EGKR-HIS-S26-ANSWERDOC-P002: 2</x:v>
      </x:c>
      <x:c r="AG6542" s="87" t="str">
        <x:v>RESOLVED</x:v>
      </x:c>
      <x:c r="AH6542" s="87" t="str">
        <x:v>CROP_VERIFIED</x:v>
      </x:c>
      <x:c r="AI6542" s="30"/>
      <x:c r="AJ6542" s="87" t="str">
        <x:v>clean</x:v>
      </x:c>
      <x:c r="AK6542" s="87" t="str">
        <x:v>clean-v0.25</x:v>
      </x:c>
      <x:c r="AL6542" s="87" t="str">
        <x:v>statgrad_clean_continuation_v0_25(1).xlsx</x:v>
      </x:c>
      <x:c r="AM6542" s="87" t="str">
        <x:v>HIS_EGKR_S26_955</x:v>
      </x:c>
      <x:c r="AN6542" s="87" t="n">
        <x:v>10</x:v>
      </x:c>
    </x:row>
    <x:row r="6543">
      <x:c r="A6543" s="87" t="n">
        <x:v>6542</x:v>
      </x:c>
      <x:c r="B6543" s="87" t="str">
        <x:v>EGKR-S26-HIS-955-10</x:v>
      </x:c>
      <x:c r="C6543" s="87" t="str">
        <x:v>ЕГКР</x:v>
      </x:c>
      <x:c r="D6543" s="87"/>
      <x:c r="E6543" s="87" t="str">
        <x:v>Весна 2026</x:v>
      </x:c>
      <x:c r="F6543" s="87" t="str">
        <x:v>14.04.2026</x:v>
      </x:c>
      <x:c r="G6543" s="87" t="str">
        <x:v>История</x:v>
      </x:c>
      <x:c r="H6543" s="87" t="n">
        <x:v>11</x:v>
      </x:c>
      <x:c r="I6543" s="87"/>
      <x:c r="J6543" s="87" t="str">
        <x:v>955</x:v>
      </x:c>
      <x:c r="K6543" s="87" t="n">
        <x:v>10</x:v>
      </x:c>
      <x:c r="L6543" s="87" t="str">
        <x:v>Историческая карта: объект</x:v>
      </x:c>
      <x:c r="M6543" s="30" t="str">
        <x:v>Назвать восточнославянский племенной союз под цифрой 3.</x:v>
      </x:c>
      <x:c r="N6543" s="30" t="str">
        <x:v>ПОЛЯНЕ</x:v>
      </x:c>
      <x:c r="O6543" s="30" t="str">
        <x:v>Цифрой 3 обозначены поляне.</x:v>
      </x:c>
      <x:c r="P6543" s="30"/>
      <x:c r="Q6543" s="30" t="str">
        <x:v>Исходная страница, независимая историческая проверка и вторичная веб-сверка.</x:v>
      </x:c>
      <x:c r="R6543" s="30" t="str">
        <x:v>ПОЛЯНЕ</x:v>
      </x:c>
      <x:c r="S6543" s="30"/>
      <x:c r="T6543" s="30"/>
      <x:c r="U6543" s="30" t="str">
        <x:v>Ответник совпадает с независимой проверкой.</x:v>
      </x:c>
      <x:c r="V6543" s="87" t="str">
        <x:v>VERIFIED</x:v>
      </x:c>
      <x:c r="W6543" s="87"/>
      <x:c r="X6543" s="87" t="n">
        <x:v>5</x:v>
      </x:c>
      <x:c r="Y6543" s="87"/>
      <x:c r="Z6543" s="87"/>
      <x:c r="AA6543" s="87"/>
      <x:c r="AB6543" s="87"/>
      <x:c r="AC6543" s="87" t="str">
        <x:v>VIS-EGKR-HIS-S26-TASK-955-P005</x:v>
      </x:c>
      <x:c r="AD6543" s="87" t="str">
        <x:v>VIS-EGKR-HIS-S26-ANSWERDOC-P002</x:v>
      </x:c>
      <x:c r="AE6543" s="87" t="str">
        <x:v>TASK; SECONDARY_ANSWER_SOURCE</x:v>
      </x:c>
      <x:c r="AF6543" s="87" t="str">
        <x:v>VIS-EGKR-HIS-S26-TASK-955-P005: 5; VIS-EGKR-HIS-S26-ANSWERDOC-P002: 2</x:v>
      </x:c>
      <x:c r="AG6543" s="87" t="str">
        <x:v>RESOLVED</x:v>
      </x:c>
      <x:c r="AH6543" s="87" t="str">
        <x:v>CROP_VERIFIED</x:v>
      </x:c>
      <x:c r="AI6543" s="30"/>
      <x:c r="AJ6543" s="87" t="str">
        <x:v>clean</x:v>
      </x:c>
      <x:c r="AK6543" s="87" t="str">
        <x:v>clean-v0.25</x:v>
      </x:c>
      <x:c r="AL6543" s="87" t="str">
        <x:v>statgrad_clean_continuation_v0_25(1).xlsx</x:v>
      </x:c>
      <x:c r="AM6543" s="87" t="str">
        <x:v>HIS_EGKR_S26_955</x:v>
      </x:c>
      <x:c r="AN6543" s="87" t="n">
        <x:v>11</x:v>
      </x:c>
    </x:row>
    <x:row r="6544">
      <x:c r="A6544" s="87" t="n">
        <x:v>6543</x:v>
      </x:c>
      <x:c r="B6544" s="87" t="str">
        <x:v>EGKR-S26-HIS-955-11</x:v>
      </x:c>
      <x:c r="C6544" s="87" t="str">
        <x:v>ЕГКР</x:v>
      </x:c>
      <x:c r="D6544" s="87"/>
      <x:c r="E6544" s="87" t="str">
        <x:v>Весна 2026</x:v>
      </x:c>
      <x:c r="F6544" s="87" t="str">
        <x:v>14.04.2026</x:v>
      </x:c>
      <x:c r="G6544" s="87" t="str">
        <x:v>История</x:v>
      </x:c>
      <x:c r="H6544" s="87" t="n">
        <x:v>11</x:v>
      </x:c>
      <x:c r="I6544" s="87"/>
      <x:c r="J6544" s="87" t="str">
        <x:v>955</x:v>
      </x:c>
      <x:c r="K6544" s="87" t="n">
        <x:v>11</x:v>
      </x:c>
      <x:c r="L6544" s="87" t="str">
        <x:v>Историческая карта: пропуск в тексте</x:v>
      </x:c>
      <x:c r="M6544" s="30" t="str">
        <x:v>Назвать реку, пропущенную в описании походов Святослава.</x:v>
      </x:c>
      <x:c r="N6544" s="30" t="str">
        <x:v>ТЕРЕК</x:v>
      </x:c>
      <x:c r="O6544" s="30" t="str">
        <x:v>В тексте пропущен Терек.</x:v>
      </x:c>
      <x:c r="P6544" s="30"/>
      <x:c r="Q6544" s="30" t="str">
        <x:v>Исходная страница, независимая историческая проверка и вторичная веб-сверка.</x:v>
      </x:c>
      <x:c r="R6544" s="30" t="str">
        <x:v>ТЕРЕК</x:v>
      </x:c>
      <x:c r="S6544" s="30"/>
      <x:c r="T6544" s="30"/>
      <x:c r="U6544" s="30" t="str">
        <x:v>Ответник совпадает с независимой проверкой.</x:v>
      </x:c>
      <x:c r="V6544" s="87" t="str">
        <x:v>VERIFIED</x:v>
      </x:c>
      <x:c r="W6544" s="87"/>
      <x:c r="X6544" s="87" t="n">
        <x:v>5</x:v>
      </x:c>
      <x:c r="Y6544" s="87"/>
      <x:c r="Z6544" s="87"/>
      <x:c r="AA6544" s="87"/>
      <x:c r="AB6544" s="87"/>
      <x:c r="AC6544" s="87" t="str">
        <x:v>VIS-EGKR-HIS-S26-TASK-955-P005</x:v>
      </x:c>
      <x:c r="AD6544" s="87" t="str">
        <x:v>VIS-EGKR-HIS-S26-ANSWERDOC-P002</x:v>
      </x:c>
      <x:c r="AE6544" s="87" t="str">
        <x:v>TASK; SECONDARY_ANSWER_SOURCE</x:v>
      </x:c>
      <x:c r="AF6544" s="87" t="str">
        <x:v>VIS-EGKR-HIS-S26-TASK-955-P005: 5; VIS-EGKR-HIS-S26-ANSWERDOC-P002: 2</x:v>
      </x:c>
      <x:c r="AG6544" s="87" t="str">
        <x:v>RESOLVED</x:v>
      </x:c>
      <x:c r="AH6544" s="87" t="str">
        <x:v>CROP_VERIFIED</x:v>
      </x:c>
      <x:c r="AI6544" s="30"/>
      <x:c r="AJ6544" s="87" t="str">
        <x:v>clean</x:v>
      </x:c>
      <x:c r="AK6544" s="87" t="str">
        <x:v>clean-v0.25</x:v>
      </x:c>
      <x:c r="AL6544" s="87" t="str">
        <x:v>statgrad_clean_continuation_v0_25(1).xlsx</x:v>
      </x:c>
      <x:c r="AM6544" s="87" t="str">
        <x:v>HIS_EGKR_S26_955</x:v>
      </x:c>
      <x:c r="AN6544" s="87" t="n">
        <x:v>12</x:v>
      </x:c>
    </x:row>
    <x:row r="6545">
      <x:c r="A6545" s="87" t="n">
        <x:v>6544</x:v>
      </x:c>
      <x:c r="B6545" s="87" t="str">
        <x:v>EGKR-S26-HIS-955-12</x:v>
      </x:c>
      <x:c r="C6545" s="87" t="str">
        <x:v>ЕГКР</x:v>
      </x:c>
      <x:c r="D6545" s="87"/>
      <x:c r="E6545" s="87" t="str">
        <x:v>Весна 2026</x:v>
      </x:c>
      <x:c r="F6545" s="87" t="str">
        <x:v>14.04.2026</x:v>
      </x:c>
      <x:c r="G6545" s="87" t="str">
        <x:v>История</x:v>
      </x:c>
      <x:c r="H6545" s="87" t="n">
        <x:v>11</x:v>
      </x:c>
      <x:c r="I6545" s="87"/>
      <x:c r="J6545" s="87" t="str">
        <x:v>955</x:v>
      </x:c>
      <x:c r="K6545" s="87" t="n">
        <x:v>12</x:v>
      </x:c>
      <x:c r="L6545" s="87" t="str">
        <x:v>Историческая карта: верные суждения</x:v>
      </x:c>
      <x:c r="M6545" s="30" t="str">
        <x:v>Выбрать верные суждения по карте походов Святослава.</x:v>
      </x:c>
      <x:c r="N6545" s="30" t="str">
        <x:v>126</x:v>
      </x:c>
      <x:c r="O6545" s="30" t="str">
        <x:v>Верны суждения 1, 2 и 6.</x:v>
      </x:c>
      <x:c r="P6545" s="30"/>
      <x:c r="Q6545" s="30" t="str">
        <x:v>Исходная страница, независимая историческая проверка и вторичная веб-сверка.</x:v>
      </x:c>
      <x:c r="R6545" s="30" t="str">
        <x:v>126</x:v>
      </x:c>
      <x:c r="S6545" s="30"/>
      <x:c r="T6545" s="30"/>
      <x:c r="U6545" s="30" t="str">
        <x:v>Ответник совпадает с независимой проверкой.</x:v>
      </x:c>
      <x:c r="V6545" s="87" t="str">
        <x:v>VERIFIED</x:v>
      </x:c>
      <x:c r="W6545" s="87"/>
      <x:c r="X6545" s="87" t="n">
        <x:v>5</x:v>
      </x:c>
      <x:c r="Y6545" s="87"/>
      <x:c r="Z6545" s="87"/>
      <x:c r="AA6545" s="87"/>
      <x:c r="AB6545" s="87"/>
      <x:c r="AC6545" s="87" t="str">
        <x:v>VIS-EGKR-HIS-S26-TASK-955-P005</x:v>
      </x:c>
      <x:c r="AD6545" s="87" t="str">
        <x:v>VIS-EGKR-HIS-S26-ANSWERDOC-P002</x:v>
      </x:c>
      <x:c r="AE6545" s="87" t="str">
        <x:v>TASK; SECONDARY_ANSWER_SOURCE</x:v>
      </x:c>
      <x:c r="AF6545" s="87" t="str">
        <x:v>VIS-EGKR-HIS-S26-TASK-955-P005: 5; VIS-EGKR-HIS-S26-ANSWERDOC-P002: 2</x:v>
      </x:c>
      <x:c r="AG6545" s="87" t="str">
        <x:v>RESOLVED</x:v>
      </x:c>
      <x:c r="AH6545" s="87" t="str">
        <x:v>CROP_VERIFIED</x:v>
      </x:c>
      <x:c r="AI6545" s="30"/>
      <x:c r="AJ6545" s="87" t="str">
        <x:v>clean</x:v>
      </x:c>
      <x:c r="AK6545" s="87" t="str">
        <x:v>clean-v0.25</x:v>
      </x:c>
      <x:c r="AL6545" s="87" t="str">
        <x:v>statgrad_clean_continuation_v0_25(1).xlsx</x:v>
      </x:c>
      <x:c r="AM6545" s="87" t="str">
        <x:v>HIS_EGKR_S26_955</x:v>
      </x:c>
      <x:c r="AN6545" s="87" t="n">
        <x:v>13</x:v>
      </x:c>
    </x:row>
    <x:row r="6546">
      <x:c r="A6546" s="87" t="n">
        <x:v>6545</x:v>
      </x:c>
      <x:c r="B6546" s="87" t="str">
        <x:v>EGKR-S26-HIS-955-13</x:v>
      </x:c>
      <x:c r="C6546" s="87" t="str">
        <x:v>ЕГКР</x:v>
      </x:c>
      <x:c r="D6546" s="87"/>
      <x:c r="E6546" s="87" t="str">
        <x:v>Весна 2026</x:v>
      </x:c>
      <x:c r="F6546" s="87" t="str">
        <x:v>14.04.2026</x:v>
      </x:c>
      <x:c r="G6546" s="87" t="str">
        <x:v>История</x:v>
      </x:c>
      <x:c r="H6546" s="87" t="n">
        <x:v>11</x:v>
      </x:c>
      <x:c r="I6546" s="87"/>
      <x:c r="J6546" s="87" t="str">
        <x:v>955</x:v>
      </x:c>
      <x:c r="K6546" s="87" t="n">
        <x:v>13</x:v>
      </x:c>
      <x:c r="L6546" s="87" t="str">
        <x:v>Развёрнутый ответ</x:v>
      </x:c>
      <x:c r="M6546" s="30" t="str">
        <x:v>Определить год, название советского правительства и его председателя.</x:v>
      </x:c>
      <x:c r="N6546" s="30" t="str">
        <x:v>1918 год; Совет народных комиссаров (СНК); председатель — В.И. Ленин.</x:v>
      </x:c>
      <x:c r="O6546" s="30" t="str">
        <x:v>Рабочая модель содержит требуемые элементы ответа и конкретные исторические факты.</x:v>
      </x:c>
      <x:c r="P6546" s="30"/>
      <x:c r="Q6546" s="30" t="str">
        <x:v>Исходное условие + независимая историческая проверка; официальные критерии отсутствуют.</x:v>
      </x:c>
      <x:c r="R6546" s="30" t="str">
        <x:v>SOURCE_PARTIAL</x:v>
      </x:c>
      <x:c r="S6546" s="30"/>
      <x:c r="T6546" s="30"/>
      <x:c r="U6546" s="30" t="str">
        <x:v>Модель не выдаётся за единственно допустимую формулировку.</x:v>
      </x:c>
      <x:c r="V6546" s="87" t="str">
        <x:v>MODEL_READY</x:v>
      </x:c>
      <x:c r="W6546" s="87"/>
      <x:c r="X6546" s="87" t="n">
        <x:v>6</x:v>
      </x:c>
      <x:c r="Y6546" s="87"/>
      <x:c r="Z6546" s="87"/>
      <x:c r="AA6546" s="87"/>
      <x:c r="AB6546" s="87"/>
      <x:c r="AC6546" s="87" t="str">
        <x:v>VIS-EGKR-HIS-S26-TASK-955-P006</x:v>
      </x:c>
      <x:c r="AD6546" s="87" t="str">
        <x:v>VIS-EGKR-HIS-S26-ANSWERDOC-P002</x:v>
      </x:c>
      <x:c r="AE6546" s="87" t="str">
        <x:v>TASK; SECONDARY_ANSWER_SOURCE</x:v>
      </x:c>
      <x:c r="AF6546" s="87" t="str">
        <x:v>VIS-EGKR-HIS-S26-TASK-955-P006: 6; VIS-EGKR-HIS-S26-ANSWERDOC-P002: 2</x:v>
      </x:c>
      <x:c r="AG6546" s="87" t="str">
        <x:v>RESOLVED</x:v>
      </x:c>
      <x:c r="AH6546" s="87" t="str">
        <x:v>CROP_VERIFIED</x:v>
      </x:c>
      <x:c r="AI6546" s="30"/>
      <x:c r="AJ6546" s="87" t="str">
        <x:v>clean</x:v>
      </x:c>
      <x:c r="AK6546" s="87" t="str">
        <x:v>clean-v0.25</x:v>
      </x:c>
      <x:c r="AL6546" s="87" t="str">
        <x:v>statgrad_clean_continuation_v0_25(1).xlsx</x:v>
      </x:c>
      <x:c r="AM6546" s="87" t="str">
        <x:v>HIS_EGKR_S26_955</x:v>
      </x:c>
      <x:c r="AN6546" s="87" t="n">
        <x:v>14</x:v>
      </x:c>
    </x:row>
    <x:row r="6547">
      <x:c r="A6547" s="87" t="n">
        <x:v>6546</x:v>
      </x:c>
      <x:c r="B6547" s="87" t="str">
        <x:v>EGKR-S26-HIS-955-14</x:v>
      </x:c>
      <x:c r="C6547" s="87" t="str">
        <x:v>ЕГКР</x:v>
      </x:c>
      <x:c r="D6547" s="87"/>
      <x:c r="E6547" s="87" t="str">
        <x:v>Весна 2026</x:v>
      </x:c>
      <x:c r="F6547" s="87" t="str">
        <x:v>14.04.2026</x:v>
      </x:c>
      <x:c r="G6547" s="87" t="str">
        <x:v>История</x:v>
      </x:c>
      <x:c r="H6547" s="87" t="n">
        <x:v>11</x:v>
      </x:c>
      <x:c r="I6547" s="87"/>
      <x:c r="J6547" s="87" t="str">
        <x:v>955</x:v>
      </x:c>
      <x:c r="K6547" s="87" t="n">
        <x:v>14</x:v>
      </x:c>
      <x:c r="L6547" s="87" t="str">
        <x:v>Развёрнутый ответ</x:v>
      </x:c>
      <x:c r="M6547" s="30" t="str">
        <x:v>Ответить на вопросы по источнику об Учредительном собрании.</x:v>
      </x:c>
      <x:c r="N6547" s="30" t="str">
        <x:v>Охрана спрашивала, нет ли у входивших оружия; автор сравнивает стражу с оккупантами; без большевиков и левых эсеров могло не хватить кворума, поскольку они действовали единым блоком и не пришли в зал.</x:v>
      </x:c>
      <x:c r="O6547" s="30" t="str">
        <x:v>Рабочая модель содержит требуемые элементы ответа и конкретные исторические факты.</x:v>
      </x:c>
      <x:c r="P6547" s="30"/>
      <x:c r="Q6547" s="30" t="str">
        <x:v>Исходное условие + независимая историческая проверка; официальные критерии отсутствуют.</x:v>
      </x:c>
      <x:c r="R6547" s="30" t="str">
        <x:v>SOURCE_PARTIAL</x:v>
      </x:c>
      <x:c r="S6547" s="30"/>
      <x:c r="T6547" s="30"/>
      <x:c r="U6547" s="30" t="str">
        <x:v>Модель не выдаётся за единственно допустимую формулировку.</x:v>
      </x:c>
      <x:c r="V6547" s="87" t="str">
        <x:v>MODEL_READY</x:v>
      </x:c>
      <x:c r="W6547" s="87"/>
      <x:c r="X6547" s="87" t="n">
        <x:v>6</x:v>
      </x:c>
      <x:c r="Y6547" s="87"/>
      <x:c r="Z6547" s="87"/>
      <x:c r="AA6547" s="87"/>
      <x:c r="AB6547" s="87"/>
      <x:c r="AC6547" s="87" t="str">
        <x:v>VIS-EGKR-HIS-S26-TASK-955-P006</x:v>
      </x:c>
      <x:c r="AD6547" s="87" t="str">
        <x:v>VIS-EGKR-HIS-S26-ANSWERDOC-P002</x:v>
      </x:c>
      <x:c r="AE6547" s="87" t="str">
        <x:v>TASK; SECONDARY_ANSWER_SOURCE</x:v>
      </x:c>
      <x:c r="AF6547" s="87" t="str">
        <x:v>VIS-EGKR-HIS-S26-TASK-955-P006: 6; VIS-EGKR-HIS-S26-ANSWERDOC-P002: 2</x:v>
      </x:c>
      <x:c r="AG6547" s="87" t="str">
        <x:v>RESOLVED</x:v>
      </x:c>
      <x:c r="AH6547" s="87" t="str">
        <x:v>CROP_VERIFIED</x:v>
      </x:c>
      <x:c r="AI6547" s="30"/>
      <x:c r="AJ6547" s="87" t="str">
        <x:v>clean</x:v>
      </x:c>
      <x:c r="AK6547" s="87" t="str">
        <x:v>clean-v0.25</x:v>
      </x:c>
      <x:c r="AL6547" s="87" t="str">
        <x:v>statgrad_clean_continuation_v0_25(1).xlsx</x:v>
      </x:c>
      <x:c r="AM6547" s="87" t="str">
        <x:v>HIS_EGKR_S26_955</x:v>
      </x:c>
      <x:c r="AN6547" s="87" t="n">
        <x:v>15</x:v>
      </x:c>
    </x:row>
    <x:row r="6548">
      <x:c r="A6548" s="87" t="n">
        <x:v>6547</x:v>
      </x:c>
      <x:c r="B6548" s="87" t="str">
        <x:v>EGKR-S26-HIS-955-15</x:v>
      </x:c>
      <x:c r="C6548" s="87" t="str">
        <x:v>ЕГКР</x:v>
      </x:c>
      <x:c r="D6548" s="87"/>
      <x:c r="E6548" s="87" t="str">
        <x:v>Весна 2026</x:v>
      </x:c>
      <x:c r="F6548" s="87" t="str">
        <x:v>14.04.2026</x:v>
      </x:c>
      <x:c r="G6548" s="87" t="str">
        <x:v>История</x:v>
      </x:c>
      <x:c r="H6548" s="87" t="n">
        <x:v>11</x:v>
      </x:c>
      <x:c r="I6548" s="87"/>
      <x:c r="J6548" s="87" t="str">
        <x:v>955</x:v>
      </x:c>
      <x:c r="K6548" s="87" t="n">
        <x:v>15</x:v>
      </x:c>
      <x:c r="L6548" s="87" t="str">
        <x:v>Развёрнутый ответ</x:v>
      </x:c>
      <x:c r="M6548" s="30" t="str">
        <x:v>Определить монарха во время события, юбилею которого посвящена марка.</x:v>
      </x:c>
      <x:c r="N6548" s="30" t="str">
        <x:v>Иван IV. На марке указано 450-летие добровольного вхождения Удмуртии в состав Российского государства; 2008−450=1558, когда правил Иван IV.</x:v>
      </x:c>
      <x:c r="O6548" s="30" t="str">
        <x:v>Рабочая модель содержит требуемые элементы ответа и конкретные исторические факты.</x:v>
      </x:c>
      <x:c r="P6548" s="30"/>
      <x:c r="Q6548" s="30" t="str">
        <x:v>Исходное условие + независимая историческая проверка; официальные критерии отсутствуют.</x:v>
      </x:c>
      <x:c r="R6548" s="30" t="str">
        <x:v>INDEPENDENT_MODEL</x:v>
      </x:c>
      <x:c r="S6548" s="30"/>
      <x:c r="T6548" s="30"/>
      <x:c r="U6548" s="30" t="str">
        <x:v>Модель не выдаётся за единственно допустимую формулировку.</x:v>
      </x:c>
      <x:c r="V6548" s="87" t="str">
        <x:v>MODEL_READY</x:v>
      </x:c>
      <x:c r="W6548" s="87"/>
      <x:c r="X6548" s="87" t="n">
        <x:v>7</x:v>
      </x:c>
      <x:c r="Y6548" s="87"/>
      <x:c r="Z6548" s="87"/>
      <x:c r="AA6548" s="87"/>
      <x:c r="AB6548" s="87"/>
      <x:c r="AC6548" s="87" t="str">
        <x:v>VIS-EGKR-HIS-S26-TASK-955-P007</x:v>
      </x:c>
      <x:c r="AD6548" s="87"/>
      <x:c r="AE6548" s="87" t="str">
        <x:v>TASK</x:v>
      </x:c>
      <x:c r="AF6548" s="87" t="str">
        <x:v>VIS-EGKR-HIS-S26-TASK-955-P007: 7</x:v>
      </x:c>
      <x:c r="AG6548" s="87" t="str">
        <x:v>RESOLVED</x:v>
      </x:c>
      <x:c r="AH6548" s="87" t="str">
        <x:v>CROP_VERIFIED</x:v>
      </x:c>
      <x:c r="AI6548" s="30"/>
      <x:c r="AJ6548" s="87" t="str">
        <x:v>clean</x:v>
      </x:c>
      <x:c r="AK6548" s="87" t="str">
        <x:v>clean-v0.25</x:v>
      </x:c>
      <x:c r="AL6548" s="87" t="str">
        <x:v>statgrad_clean_continuation_v0_25(1).xlsx</x:v>
      </x:c>
      <x:c r="AM6548" s="87" t="str">
        <x:v>HIS_EGKR_S26_955</x:v>
      </x:c>
      <x:c r="AN6548" s="87" t="n">
        <x:v>16</x:v>
      </x:c>
    </x:row>
    <x:row r="6549">
      <x:c r="A6549" s="87" t="n">
        <x:v>6548</x:v>
      </x:c>
      <x:c r="B6549" s="87" t="str">
        <x:v>EGKR-S26-HIS-955-16</x:v>
      </x:c>
      <x:c r="C6549" s="87" t="str">
        <x:v>ЕГКР</x:v>
      </x:c>
      <x:c r="D6549" s="87"/>
      <x:c r="E6549" s="87" t="str">
        <x:v>Весна 2026</x:v>
      </x:c>
      <x:c r="F6549" s="87" t="str">
        <x:v>14.04.2026</x:v>
      </x:c>
      <x:c r="G6549" s="87" t="str">
        <x:v>История</x:v>
      </x:c>
      <x:c r="H6549" s="87" t="n">
        <x:v>11</x:v>
      </x:c>
      <x:c r="I6549" s="87"/>
      <x:c r="J6549" s="87" t="str">
        <x:v>955</x:v>
      </x:c>
      <x:c r="K6549" s="87" t="n">
        <x:v>16</x:v>
      </x:c>
      <x:c r="L6549" s="87" t="str">
        <x:v>Развёрнутый ответ</x:v>
      </x:c>
      <x:c r="M6549" s="30" t="str">
        <x:v>Определить памятник, существовавший к 1558 году, и архитектора.</x:v>
      </x:c>
      <x:c r="N6549" s="30" t="str">
        <x:v>3 — Успенский собор Московского Кремля; архитектор — Аристотель Фиораванти.</x:v>
      </x:c>
      <x:c r="O6549" s="30" t="str">
        <x:v>Рабочая модель содержит требуемые элементы ответа и конкретные исторические факты.</x:v>
      </x:c>
      <x:c r="P6549" s="30"/>
      <x:c r="Q6549" s="30" t="str">
        <x:v>Исходное условие + независимая историческая проверка; официальные критерии отсутствуют.</x:v>
      </x:c>
      <x:c r="R6549" s="30" t="str">
        <x:v>INDEPENDENT_MODEL</x:v>
      </x:c>
      <x:c r="S6549" s="30"/>
      <x:c r="T6549" s="30"/>
      <x:c r="U6549" s="30" t="str">
        <x:v>Модель не выдаётся за единственно допустимую формулировку.</x:v>
      </x:c>
      <x:c r="V6549" s="87" t="str">
        <x:v>MODEL_READY</x:v>
      </x:c>
      <x:c r="W6549" s="87"/>
      <x:c r="X6549" s="87" t="n">
        <x:v>7</x:v>
      </x:c>
      <x:c r="Y6549" s="87"/>
      <x:c r="Z6549" s="87"/>
      <x:c r="AA6549" s="87"/>
      <x:c r="AB6549" s="87"/>
      <x:c r="AC6549" s="87" t="str">
        <x:v>VIS-EGKR-HIS-S26-TASK-955-P007</x:v>
      </x:c>
      <x:c r="AD6549" s="87"/>
      <x:c r="AE6549" s="87" t="str">
        <x:v>TASK</x:v>
      </x:c>
      <x:c r="AF6549" s="87" t="str">
        <x:v>VIS-EGKR-HIS-S26-TASK-955-P007: 7</x:v>
      </x:c>
      <x:c r="AG6549" s="87" t="str">
        <x:v>RESOLVED</x:v>
      </x:c>
      <x:c r="AH6549" s="87" t="str">
        <x:v>CROP_VERIFIED</x:v>
      </x:c>
      <x:c r="AI6549" s="30"/>
      <x:c r="AJ6549" s="87" t="str">
        <x:v>clean</x:v>
      </x:c>
      <x:c r="AK6549" s="87" t="str">
        <x:v>clean-v0.25</x:v>
      </x:c>
      <x:c r="AL6549" s="87" t="str">
        <x:v>statgrad_clean_continuation_v0_25(1).xlsx</x:v>
      </x:c>
      <x:c r="AM6549" s="87" t="str">
        <x:v>HIS_EGKR_S26_955</x:v>
      </x:c>
      <x:c r="AN6549" s="87" t="n">
        <x:v>17</x:v>
      </x:c>
    </x:row>
    <x:row r="6550">
      <x:c r="A6550" s="87" t="n">
        <x:v>6549</x:v>
      </x:c>
      <x:c r="B6550" s="87" t="str">
        <x:v>EGKR-S26-HIS-955-17</x:v>
      </x:c>
      <x:c r="C6550" s="87" t="str">
        <x:v>ЕГКР</x:v>
      </x:c>
      <x:c r="D6550" s="87"/>
      <x:c r="E6550" s="87" t="str">
        <x:v>Весна 2026</x:v>
      </x:c>
      <x:c r="F6550" s="87" t="str">
        <x:v>14.04.2026</x:v>
      </x:c>
      <x:c r="G6550" s="87" t="str">
        <x:v>История</x:v>
      </x:c>
      <x:c r="H6550" s="87" t="n">
        <x:v>11</x:v>
      </x:c>
      <x:c r="I6550" s="87"/>
      <x:c r="J6550" s="87" t="str">
        <x:v>955</x:v>
      </x:c>
      <x:c r="K6550" s="87" t="n">
        <x:v>17</x:v>
      </x:c>
      <x:c r="L6550" s="87" t="str">
        <x:v>Развёрнутый ответ</x:v>
      </x:c>
      <x:c r="M6550" s="30" t="str">
        <x:v>Назвать битву, месяц её окончания и значение сопротивления под Вязьмой.</x:v>
      </x:c>
      <x:c r="N6550" s="30" t="str">
        <x:v>Битва за Москву; завершилась в апреле 1942 года; сопротивление советских войск в районе Вязьмы задержало наступление противника и выиграло время для укрепления обороны Москвы.</x:v>
      </x:c>
      <x:c r="O6550" s="30" t="str">
        <x:v>Рабочая модель содержит требуемые элементы ответа и конкретные исторические факты.</x:v>
      </x:c>
      <x:c r="P6550" s="30"/>
      <x:c r="Q6550" s="30" t="str">
        <x:v>Исходное условие + независимая историческая проверка; официальные критерии отсутствуют.</x:v>
      </x:c>
      <x:c r="R6550" s="30" t="str">
        <x:v>INDEPENDENT_MODEL</x:v>
      </x:c>
      <x:c r="S6550" s="30"/>
      <x:c r="T6550" s="30"/>
      <x:c r="U6550" s="30" t="str">
        <x:v>Модель не выдаётся за единственно допустимую формулировку.</x:v>
      </x:c>
      <x:c r="V6550" s="87" t="str">
        <x:v>MODEL_READY</x:v>
      </x:c>
      <x:c r="W6550" s="87"/>
      <x:c r="X6550" s="87" t="n">
        <x:v>8</x:v>
      </x:c>
      <x:c r="Y6550" s="87"/>
      <x:c r="Z6550" s="87"/>
      <x:c r="AA6550" s="87"/>
      <x:c r="AB6550" s="87"/>
      <x:c r="AC6550" s="87" t="str">
        <x:v>VIS-EGKR-HIS-S26-TASK-955-P008</x:v>
      </x:c>
      <x:c r="AD6550" s="87"/>
      <x:c r="AE6550" s="87" t="str">
        <x:v>TASK</x:v>
      </x:c>
      <x:c r="AF6550" s="87" t="str">
        <x:v>VIS-EGKR-HIS-S26-TASK-955-P008: 8</x:v>
      </x:c>
      <x:c r="AG6550" s="87" t="str">
        <x:v>RESOLVED</x:v>
      </x:c>
      <x:c r="AH6550" s="87" t="str">
        <x:v>CROP_VERIFIED</x:v>
      </x:c>
      <x:c r="AI6550" s="30"/>
      <x:c r="AJ6550" s="87" t="str">
        <x:v>clean</x:v>
      </x:c>
      <x:c r="AK6550" s="87" t="str">
        <x:v>clean-v0.25</x:v>
      </x:c>
      <x:c r="AL6550" s="87" t="str">
        <x:v>statgrad_clean_continuation_v0_25(1).xlsx</x:v>
      </x:c>
      <x:c r="AM6550" s="87" t="str">
        <x:v>HIS_EGKR_S26_955</x:v>
      </x:c>
      <x:c r="AN6550" s="87" t="n">
        <x:v>18</x:v>
      </x:c>
    </x:row>
    <x:row r="6551">
      <x:c r="A6551" s="87" t="n">
        <x:v>6550</x:v>
      </x:c>
      <x:c r="B6551" s="87" t="str">
        <x:v>EGKR-S26-HIS-955-18</x:v>
      </x:c>
      <x:c r="C6551" s="87" t="str">
        <x:v>ЕГКР</x:v>
      </x:c>
      <x:c r="D6551" s="87"/>
      <x:c r="E6551" s="87" t="str">
        <x:v>Весна 2026</x:v>
      </x:c>
      <x:c r="F6551" s="87" t="str">
        <x:v>14.04.2026</x:v>
      </x:c>
      <x:c r="G6551" s="87" t="str">
        <x:v>История</x:v>
      </x:c>
      <x:c r="H6551" s="87" t="n">
        <x:v>11</x:v>
      </x:c>
      <x:c r="I6551" s="87"/>
      <x:c r="J6551" s="87" t="str">
        <x:v>955</x:v>
      </x:c>
      <x:c r="K6551" s="87" t="n">
        <x:v>18</x:v>
      </x:c>
      <x:c r="L6551" s="87" t="str">
        <x:v>Развёрнутый ответ</x:v>
      </x:c>
      <x:c r="M6551" s="30" t="str">
        <x:v>Указать причину войны 1806–1812 гг. и два последствия.</x:v>
      </x:c>
      <x:c r="N6551" s="30" t="str">
        <x:v>а) Османская империя сместила дружественных России господарей Молдавии и Валахии и нарушила прежние договорённости; б) Бессарабия вошла в состав России; в) Бухарестский мир позволил России завершить войну и высвободить силы перед нашествием Наполеона.</x:v>
      </x:c>
      <x:c r="O6551" s="30" t="str">
        <x:v>Рабочая модель содержит требуемые элементы ответа и конкретные исторические факты.</x:v>
      </x:c>
      <x:c r="P6551" s="30"/>
      <x:c r="Q6551" s="30" t="str">
        <x:v>Исходное условие + независимая историческая проверка; официальные критерии отсутствуют.</x:v>
      </x:c>
      <x:c r="R6551" s="30" t="str">
        <x:v>INDEPENDENT_MODEL</x:v>
      </x:c>
      <x:c r="S6551" s="30"/>
      <x:c r="T6551" s="30"/>
      <x:c r="U6551" s="30" t="str">
        <x:v>Модель не выдаётся за единственно допустимую формулировку.</x:v>
      </x:c>
      <x:c r="V6551" s="87" t="str">
        <x:v>MODEL_READY</x:v>
      </x:c>
      <x:c r="W6551" s="87"/>
      <x:c r="X6551" s="87" t="n">
        <x:v>8</x:v>
      </x:c>
      <x:c r="Y6551" s="87"/>
      <x:c r="Z6551" s="87"/>
      <x:c r="AA6551" s="87"/>
      <x:c r="AB6551" s="87"/>
      <x:c r="AC6551" s="87" t="str">
        <x:v>VIS-EGKR-HIS-S26-TASK-955-P008</x:v>
      </x:c>
      <x:c r="AD6551" s="87"/>
      <x:c r="AE6551" s="87" t="str">
        <x:v>TASK</x:v>
      </x:c>
      <x:c r="AF6551" s="87" t="str">
        <x:v>VIS-EGKR-HIS-S26-TASK-955-P008: 8</x:v>
      </x:c>
      <x:c r="AG6551" s="87" t="str">
        <x:v>RESOLVED</x:v>
      </x:c>
      <x:c r="AH6551" s="87" t="str">
        <x:v>CROP_VERIFIED</x:v>
      </x:c>
      <x:c r="AI6551" s="30"/>
      <x:c r="AJ6551" s="87" t="str">
        <x:v>clean</x:v>
      </x:c>
      <x:c r="AK6551" s="87" t="str">
        <x:v>clean-v0.25</x:v>
      </x:c>
      <x:c r="AL6551" s="87" t="str">
        <x:v>statgrad_clean_continuation_v0_25(1).xlsx</x:v>
      </x:c>
      <x:c r="AM6551" s="87" t="str">
        <x:v>HIS_EGKR_S26_955</x:v>
      </x:c>
      <x:c r="AN6551" s="87" t="n">
        <x:v>19</x:v>
      </x:c>
    </x:row>
    <x:row r="6552">
      <x:c r="A6552" s="87" t="n">
        <x:v>6551</x:v>
      </x:c>
      <x:c r="B6552" s="87" t="str">
        <x:v>EGKR-S26-HIS-955-19</x:v>
      </x:c>
      <x:c r="C6552" s="87" t="str">
        <x:v>ЕГКР</x:v>
      </x:c>
      <x:c r="D6552" s="87"/>
      <x:c r="E6552" s="87" t="str">
        <x:v>Весна 2026</x:v>
      </x:c>
      <x:c r="F6552" s="87" t="str">
        <x:v>14.04.2026</x:v>
      </x:c>
      <x:c r="G6552" s="87" t="str">
        <x:v>История</x:v>
      </x:c>
      <x:c r="H6552" s="87" t="n">
        <x:v>11</x:v>
      </x:c>
      <x:c r="I6552" s="87"/>
      <x:c r="J6552" s="87" t="str">
        <x:v>955</x:v>
      </x:c>
      <x:c r="K6552" s="87" t="n">
        <x:v>19</x:v>
      </x:c>
      <x:c r="L6552" s="87" t="str">
        <x:v>Развёрнутый ответ</x:v>
      </x:c>
      <x:c r="M6552" s="30" t="str">
        <x:v>Раскрыть понятие «Правительствующий сенат» и привести факт.</x:v>
      </x:c>
      <x:c r="N6552" s="30" t="str">
        <x:v>Правительствующий сенат — высший государственный орган, созданный Петром I для управления, надзора и суда. Факт: он был учреждён в 1711 году на время отсутствия царя.</x:v>
      </x:c>
      <x:c r="O6552" s="30" t="str">
        <x:v>Рабочая модель содержит требуемые элементы ответа и конкретные исторические факты.</x:v>
      </x:c>
      <x:c r="P6552" s="30"/>
      <x:c r="Q6552" s="30" t="str">
        <x:v>Исходное условие + независимая историческая проверка; официальные критерии отсутствуют.</x:v>
      </x:c>
      <x:c r="R6552" s="30" t="str">
        <x:v>INDEPENDENT_MODEL</x:v>
      </x:c>
      <x:c r="S6552" s="30"/>
      <x:c r="T6552" s="30"/>
      <x:c r="U6552" s="30" t="str">
        <x:v>Модель не выдаётся за единственно допустимую формулировку.</x:v>
      </x:c>
      <x:c r="V6552" s="87" t="str">
        <x:v>MODEL_READY</x:v>
      </x:c>
      <x:c r="W6552" s="87"/>
      <x:c r="X6552" s="87" t="n">
        <x:v>8</x:v>
      </x:c>
      <x:c r="Y6552" s="87"/>
      <x:c r="Z6552" s="87"/>
      <x:c r="AA6552" s="87"/>
      <x:c r="AB6552" s="87"/>
      <x:c r="AC6552" s="87" t="str">
        <x:v>VIS-EGKR-HIS-S26-TASK-955-P008</x:v>
      </x:c>
      <x:c r="AD6552" s="87"/>
      <x:c r="AE6552" s="87" t="str">
        <x:v>TASK</x:v>
      </x:c>
      <x:c r="AF6552" s="87" t="str">
        <x:v>VIS-EGKR-HIS-S26-TASK-955-P008: 8</x:v>
      </x:c>
      <x:c r="AG6552" s="87" t="str">
        <x:v>RESOLVED</x:v>
      </x:c>
      <x:c r="AH6552" s="87" t="str">
        <x:v>CROP_VERIFIED</x:v>
      </x:c>
      <x:c r="AI6552" s="30"/>
      <x:c r="AJ6552" s="87" t="str">
        <x:v>clean</x:v>
      </x:c>
      <x:c r="AK6552" s="87" t="str">
        <x:v>clean-v0.25</x:v>
      </x:c>
      <x:c r="AL6552" s="87" t="str">
        <x:v>statgrad_clean_continuation_v0_25(1).xlsx</x:v>
      </x:c>
      <x:c r="AM6552" s="87" t="str">
        <x:v>HIS_EGKR_S26_955</x:v>
      </x:c>
      <x:c r="AN6552" s="87" t="n">
        <x:v>20</x:v>
      </x:c>
    </x:row>
    <x:row r="6553">
      <x:c r="A6553" s="87" t="n">
        <x:v>6552</x:v>
      </x:c>
      <x:c r="B6553" s="87" t="str">
        <x:v>EGKR-S26-HIS-955-20</x:v>
      </x:c>
      <x:c r="C6553" s="87" t="str">
        <x:v>ЕГКР</x:v>
      </x:c>
      <x:c r="D6553" s="87"/>
      <x:c r="E6553" s="87" t="str">
        <x:v>Весна 2026</x:v>
      </x:c>
      <x:c r="F6553" s="87" t="str">
        <x:v>14.04.2026</x:v>
      </x:c>
      <x:c r="G6553" s="87" t="str">
        <x:v>История</x:v>
      </x:c>
      <x:c r="H6553" s="87" t="n">
        <x:v>11</x:v>
      </x:c>
      <x:c r="I6553" s="87"/>
      <x:c r="J6553" s="87" t="str">
        <x:v>955</x:v>
      </x:c>
      <x:c r="K6553" s="87" t="n">
        <x:v>20</x:v>
      </x:c>
      <x:c r="L6553" s="87" t="str">
        <x:v>Развёрнутый ответ</x:v>
      </x:c>
      <x:c r="M6553" s="30" t="str">
        <x:v>Сравнить «Русскую правду» Пестеля и «Конституцию» Муравьёва.</x:v>
      </x:c>
      <x:c r="N6553" s="30" t="str">
        <x:v>Тезис: проекты различались формой правления и государственным устройством. 1) Пестель предлагал унитарную республику; Муравьёв — конституционную монархию и федерацию. 2) Пестель предусматривал раздел земли на общественный и частный фонды с более широким наделением крестьян; Муравьёв сохранял помещичье землевладение и предоставлял освобождённым крестьянам ограниченные наделы.</x:v>
      </x:c>
      <x:c r="O6553" s="30" t="str">
        <x:v>Рабочая модель содержит требуемые элементы ответа и конкретные исторические факты.</x:v>
      </x:c>
      <x:c r="P6553" s="30"/>
      <x:c r="Q6553" s="30" t="str">
        <x:v>Исходное условие + независимая историческая проверка; официальные критерии отсутствуют.</x:v>
      </x:c>
      <x:c r="R6553" s="30" t="str">
        <x:v>INDEPENDENT_MODEL</x:v>
      </x:c>
      <x:c r="S6553" s="30"/>
      <x:c r="T6553" s="30"/>
      <x:c r="U6553" s="30" t="str">
        <x:v>Модель не выдаётся за единственно допустимую формулировку.</x:v>
      </x:c>
      <x:c r="V6553" s="87" t="str">
        <x:v>MODEL_READY</x:v>
      </x:c>
      <x:c r="W6553" s="87"/>
      <x:c r="X6553" s="87" t="n">
        <x:v>9</x:v>
      </x:c>
      <x:c r="Y6553" s="87"/>
      <x:c r="Z6553" s="87"/>
      <x:c r="AA6553" s="87"/>
      <x:c r="AB6553" s="87"/>
      <x:c r="AC6553" s="87" t="str">
        <x:v>VIS-EGKR-HIS-S26-TASK-955-P009</x:v>
      </x:c>
      <x:c r="AD6553" s="87"/>
      <x:c r="AE6553" s="87" t="str">
        <x:v>TASK</x:v>
      </x:c>
      <x:c r="AF6553" s="87" t="str">
        <x:v>VIS-EGKR-HIS-S26-TASK-955-P009: 9</x:v>
      </x:c>
      <x:c r="AG6553" s="87" t="str">
        <x:v>RESOLVED</x:v>
      </x:c>
      <x:c r="AH6553" s="87" t="str">
        <x:v>CROP_VERIFIED</x:v>
      </x:c>
      <x:c r="AI6553" s="30"/>
      <x:c r="AJ6553" s="87" t="str">
        <x:v>clean</x:v>
      </x:c>
      <x:c r="AK6553" s="87" t="str">
        <x:v>clean-v0.25</x:v>
      </x:c>
      <x:c r="AL6553" s="87" t="str">
        <x:v>statgrad_clean_continuation_v0_25(1).xlsx</x:v>
      </x:c>
      <x:c r="AM6553" s="87" t="str">
        <x:v>HIS_EGKR_S26_955</x:v>
      </x:c>
      <x:c r="AN6553" s="87" t="n">
        <x:v>21</x:v>
      </x:c>
    </x:row>
    <x:row r="6554">
      <x:c r="A6554" s="87" t="n">
        <x:v>6553</x:v>
      </x:c>
      <x:c r="B6554" s="87" t="str">
        <x:v>EGKR-S26-HIS-955-21</x:v>
      </x:c>
      <x:c r="C6554" s="87" t="str">
        <x:v>ЕГКР</x:v>
      </x:c>
      <x:c r="D6554" s="87"/>
      <x:c r="E6554" s="87" t="str">
        <x:v>Весна 2026</x:v>
      </x:c>
      <x:c r="F6554" s="87" t="str">
        <x:v>14.04.2026</x:v>
      </x:c>
      <x:c r="G6554" s="87" t="str">
        <x:v>История</x:v>
      </x:c>
      <x:c r="H6554" s="87" t="n">
        <x:v>11</x:v>
      </x:c>
      <x:c r="I6554" s="87"/>
      <x:c r="J6554" s="87" t="str">
        <x:v>955</x:v>
      </x:c>
      <x:c r="K6554" s="87" t="n">
        <x:v>21</x:v>
      </x:c>
      <x:c r="L6554" s="87" t="str">
        <x:v>Развёрнутый ответ</x:v>
      </x:c>
      <x:c r="M6554" s="30" t="str">
        <x:v>Подтвердить борьбу России и Китая с завоевателями в XIV веке.</x:v>
      </x:c>
      <x:c r="N6554" s="30" t="str">
        <x:v>Россия: после монгольского завоевания XIII века войско Дмитрия Донского разгромило силы Мамая в Куликовской битве 1380 года. Китай: после монгольского завоевания и создания Юань восстание Красных повязок привело к изгнанию монголов; Чжу Юаньчжан в 1368 году основал династию Мин.</x:v>
      </x:c>
      <x:c r="O6554" s="30" t="str">
        <x:v>Рабочая модель содержит требуемые элементы ответа и конкретные исторические факты.</x:v>
      </x:c>
      <x:c r="P6554" s="30"/>
      <x:c r="Q6554" s="30" t="str">
        <x:v>Исходное условие + независимая историческая проверка; официальные критерии отсутствуют.</x:v>
      </x:c>
      <x:c r="R6554" s="30" t="str">
        <x:v>INDEPENDENT_MODEL</x:v>
      </x:c>
      <x:c r="S6554" s="30"/>
      <x:c r="T6554" s="30"/>
      <x:c r="U6554" s="30" t="str">
        <x:v>Модель не выдаётся за единственно допустимую формулировку.</x:v>
      </x:c>
      <x:c r="V6554" s="87" t="str">
        <x:v>MODEL_READY</x:v>
      </x:c>
      <x:c r="W6554" s="87"/>
      <x:c r="X6554" s="87" t="n">
        <x:v>9</x:v>
      </x:c>
      <x:c r="Y6554" s="87"/>
      <x:c r="Z6554" s="87"/>
      <x:c r="AA6554" s="87"/>
      <x:c r="AB6554" s="87"/>
      <x:c r="AC6554" s="87" t="str">
        <x:v>VIS-EGKR-HIS-S26-TASK-955-P009</x:v>
      </x:c>
      <x:c r="AD6554" s="87"/>
      <x:c r="AE6554" s="87" t="str">
        <x:v>TASK</x:v>
      </x:c>
      <x:c r="AF6554" s="87" t="str">
        <x:v>VIS-EGKR-HIS-S26-TASK-955-P009: 9</x:v>
      </x:c>
      <x:c r="AG6554" s="87" t="str">
        <x:v>RESOLVED</x:v>
      </x:c>
      <x:c r="AH6554" s="87" t="str">
        <x:v>CROP_VERIFIED</x:v>
      </x:c>
      <x:c r="AI6554" s="30"/>
      <x:c r="AJ6554" s="87" t="str">
        <x:v>clean</x:v>
      </x:c>
      <x:c r="AK6554" s="87" t="str">
        <x:v>clean-v0.25</x:v>
      </x:c>
      <x:c r="AL6554" s="87" t="str">
        <x:v>statgrad_clean_continuation_v0_25(1).xlsx</x:v>
      </x:c>
      <x:c r="AM6554" s="87" t="str">
        <x:v>HIS_EGKR_S26_955</x:v>
      </x:c>
      <x:c r="AN6554" s="87" t="n">
        <x:v>22</x:v>
      </x:c>
    </x:row>
    <x:row r="6555">
      <x:c r="A6555" s="87" t="n">
        <x:v>6554</x:v>
      </x:c>
      <x:c r="B6555" s="87" t="str">
        <x:v>EGKR-S26-HIS-956-01</x:v>
      </x:c>
      <x:c r="C6555" s="87" t="str">
        <x:v>ЕГКР</x:v>
      </x:c>
      <x:c r="D6555" s="87"/>
      <x:c r="E6555" s="87" t="str">
        <x:v>Весна 2026</x:v>
      </x:c>
      <x:c r="F6555" s="87" t="str">
        <x:v>14.04.2026</x:v>
      </x:c>
      <x:c r="G6555" s="87" t="str">
        <x:v>История</x:v>
      </x:c>
      <x:c r="H6555" s="87" t="n">
        <x:v>11</x:v>
      </x:c>
      <x:c r="I6555" s="87"/>
      <x:c r="J6555" s="87" t="str">
        <x:v>956</x:v>
      </x:c>
      <x:c r="K6555" s="87" t="n">
        <x:v>1</x:v>
      </x:c>
      <x:c r="L6555" s="87" t="str">
        <x:v>События и годы</x:v>
      </x:c>
      <x:c r="M6555" s="30" t="str">
        <x:v>Соотнести Ледовое побоище, освобождение Белгорода, введение урочных лет и всеобщей воинской повинности с годами.</x:v>
      </x:c>
      <x:c r="N6555" s="30" t="str">
        <x:v>1534</x:v>
      </x:c>
      <x:c r="O6555" s="30" t="str">
        <x:v>1242, 1943, 1597, 1874 → 1534.</x:v>
      </x:c>
      <x:c r="P6555" s="30"/>
      <x:c r="Q6555" s="30" t="str">
        <x:v>Исходная страница, независимая историческая проверка и вторичная веб-сверка.</x:v>
      </x:c>
      <x:c r="R6555" s="30" t="str">
        <x:v>1534</x:v>
      </x:c>
      <x:c r="S6555" s="30"/>
      <x:c r="T6555" s="30"/>
      <x:c r="U6555" s="30" t="str">
        <x:v>Ответник совпадает с независимой проверкой.</x:v>
      </x:c>
      <x:c r="V6555" s="87" t="str">
        <x:v>VERIFIED</x:v>
      </x:c>
      <x:c r="W6555" s="87"/>
      <x:c r="X6555" s="87" t="n">
        <x:v>1</x:v>
      </x:c>
      <x:c r="Y6555" s="87"/>
      <x:c r="Z6555" s="87"/>
      <x:c r="AA6555" s="87"/>
      <x:c r="AB6555" s="87"/>
      <x:c r="AC6555" s="87" t="str">
        <x:v>VIS-EGKR-HIS-S26-TASK-956-P001</x:v>
      </x:c>
      <x:c r="AD6555" s="87" t="str">
        <x:v>VIS-EGKR-HIS-S26-ANSWERDOC-P001; VIS-EGKR-HIS-S26-ANSWERDOC-P002</x:v>
      </x:c>
      <x:c r="AE6555" s="87" t="str">
        <x:v>TASK; SECONDARY_ANSWER_SOURCE</x:v>
      </x:c>
      <x:c r="AF6555" s="87" t="str">
        <x:v>VIS-EGKR-HIS-S26-TASK-956-P001: 1; VIS-EGKR-HIS-S26-ANSWERDOC-P001: 1; VIS-EGKR-HIS-S26-ANSWERDOC-P002: 2</x:v>
      </x:c>
      <x:c r="AG6555" s="87" t="str">
        <x:v>RESOLVED</x:v>
      </x:c>
      <x:c r="AH6555" s="87" t="str">
        <x:v>CROP_VERIFIED</x:v>
      </x:c>
      <x:c r="AI6555" s="30"/>
      <x:c r="AJ6555" s="87" t="str">
        <x:v>clean</x:v>
      </x:c>
      <x:c r="AK6555" s="87" t="str">
        <x:v>clean-v0.25</x:v>
      </x:c>
      <x:c r="AL6555" s="87" t="str">
        <x:v>statgrad_clean_continuation_v0_25(1).xlsx</x:v>
      </x:c>
      <x:c r="AM6555" s="87" t="str">
        <x:v>HIS_EGKR_S26_956</x:v>
      </x:c>
      <x:c r="AN6555" s="87" t="n">
        <x:v>2</x:v>
      </x:c>
    </x:row>
    <x:row r="6556">
      <x:c r="A6556" s="87" t="n">
        <x:v>6555</x:v>
      </x:c>
      <x:c r="B6556" s="87" t="str">
        <x:v>EGKR-S26-HIS-956-02</x:v>
      </x:c>
      <x:c r="C6556" s="87" t="str">
        <x:v>ЕГКР</x:v>
      </x:c>
      <x:c r="D6556" s="87"/>
      <x:c r="E6556" s="87" t="str">
        <x:v>Весна 2026</x:v>
      </x:c>
      <x:c r="F6556" s="87" t="str">
        <x:v>14.04.2026</x:v>
      </x:c>
      <x:c r="G6556" s="87" t="str">
        <x:v>История</x:v>
      </x:c>
      <x:c r="H6556" s="87" t="n">
        <x:v>11</x:v>
      </x:c>
      <x:c r="I6556" s="87"/>
      <x:c r="J6556" s="87" t="str">
        <x:v>956</x:v>
      </x:c>
      <x:c r="K6556" s="87" t="n">
        <x:v>2</x:v>
      </x:c>
      <x:c r="L6556" s="87" t="str">
        <x:v>Хронологическая последовательность</x:v>
      </x:c>
      <x:c r="M6556" s="30" t="str">
        <x:v>Расположить присоединение Пскова, Смоленскую войну и падение Константинополя.</x:v>
      </x:c>
      <x:c r="N6556" s="30" t="str">
        <x:v>312</x:v>
      </x:c>
      <x:c r="O6556" s="30" t="str">
        <x:v>1453 → 1510 → 1632, поэтому 312.</x:v>
      </x:c>
      <x:c r="P6556" s="30"/>
      <x:c r="Q6556" s="30" t="str">
        <x:v>Исходная страница, независимая историческая проверка и вторичная веб-сверка.</x:v>
      </x:c>
      <x:c r="R6556" s="30" t="str">
        <x:v>312</x:v>
      </x:c>
      <x:c r="S6556" s="30"/>
      <x:c r="T6556" s="30"/>
      <x:c r="U6556" s="30" t="str">
        <x:v>Ответник совпадает с независимой проверкой.</x:v>
      </x:c>
      <x:c r="V6556" s="87" t="str">
        <x:v>VERIFIED</x:v>
      </x:c>
      <x:c r="W6556" s="87"/>
      <x:c r="X6556" s="87" t="n">
        <x:v>1</x:v>
      </x:c>
      <x:c r="Y6556" s="87"/>
      <x:c r="Z6556" s="87"/>
      <x:c r="AA6556" s="87"/>
      <x:c r="AB6556" s="87"/>
      <x:c r="AC6556" s="87" t="str">
        <x:v>VIS-EGKR-HIS-S26-TASK-956-P001</x:v>
      </x:c>
      <x:c r="AD6556" s="87" t="str">
        <x:v>VIS-EGKR-HIS-S26-ANSWERDOC-P001; VIS-EGKR-HIS-S26-ANSWERDOC-P002</x:v>
      </x:c>
      <x:c r="AE6556" s="87" t="str">
        <x:v>TASK; SECONDARY_ANSWER_SOURCE</x:v>
      </x:c>
      <x:c r="AF6556" s="87" t="str">
        <x:v>VIS-EGKR-HIS-S26-TASK-956-P001: 1; VIS-EGKR-HIS-S26-ANSWERDOC-P001: 1; VIS-EGKR-HIS-S26-ANSWERDOC-P002: 2</x:v>
      </x:c>
      <x:c r="AG6556" s="87" t="str">
        <x:v>RESOLVED</x:v>
      </x:c>
      <x:c r="AH6556" s="87" t="str">
        <x:v>CROP_VERIFIED</x:v>
      </x:c>
      <x:c r="AI6556" s="30"/>
      <x:c r="AJ6556" s="87" t="str">
        <x:v>clean</x:v>
      </x:c>
      <x:c r="AK6556" s="87" t="str">
        <x:v>clean-v0.25</x:v>
      </x:c>
      <x:c r="AL6556" s="87" t="str">
        <x:v>statgrad_clean_continuation_v0_25(1).xlsx</x:v>
      </x:c>
      <x:c r="AM6556" s="87" t="str">
        <x:v>HIS_EGKR_S26_956</x:v>
      </x:c>
      <x:c r="AN6556" s="87" t="n">
        <x:v>3</x:v>
      </x:c>
    </x:row>
    <x:row r="6557">
      <x:c r="A6557" s="87" t="n">
        <x:v>6556</x:v>
      </x:c>
      <x:c r="B6557" s="87" t="str">
        <x:v>EGKR-S26-HIS-956-03</x:v>
      </x:c>
      <x:c r="C6557" s="87" t="str">
        <x:v>ЕГКР</x:v>
      </x:c>
      <x:c r="D6557" s="87"/>
      <x:c r="E6557" s="87" t="str">
        <x:v>Весна 2026</x:v>
      </x:c>
      <x:c r="F6557" s="87" t="str">
        <x:v>14.04.2026</x:v>
      </x:c>
      <x:c r="G6557" s="87" t="str">
        <x:v>История</x:v>
      </x:c>
      <x:c r="H6557" s="87" t="n">
        <x:v>11</x:v>
      </x:c>
      <x:c r="I6557" s="87"/>
      <x:c r="J6557" s="87" t="str">
        <x:v>956</x:v>
      </x:c>
      <x:c r="K6557" s="87" t="n">
        <x:v>3</x:v>
      </x:c>
      <x:c r="L6557" s="87" t="str">
        <x:v>Процессы и факты</x:v>
      </x:c>
      <x:c r="M6557" s="30" t="str">
        <x:v>Соотнести реформы Избранной рады, политику Петра III, возвышение Москвы и начало НЭПа с фактами.</x:v>
      </x:c>
      <x:c r="N6557" s="30" t="str">
        <x:v>5136</x:v>
      </x:c>
      <x:c r="O6557" s="30" t="str">
        <x:v>Ограничение местничества → 5; манифест о вольности дворянства → 1; подавление Тверского восстания → 3; Кронштадт → 6.</x:v>
      </x:c>
      <x:c r="P6557" s="30"/>
      <x:c r="Q6557" s="30" t="str">
        <x:v>Исходная страница, независимая историческая проверка и вторичная веб-сверка.</x:v>
      </x:c>
      <x:c r="R6557" s="30" t="str">
        <x:v>4136</x:v>
      </x:c>
      <x:c r="S6557" s="30"/>
      <x:c r="T6557" s="30"/>
      <x:c r="U6557" s="30" t="str">
        <x:v>Ответник: 4136; канонический ответ: 5136.</x:v>
      </x:c>
      <x:c r="V6557" s="87" t="str">
        <x:v>KEY_MISMATCH</x:v>
      </x:c>
      <x:c r="W6557" s="87"/>
      <x:c r="X6557" s="87" t="n">
        <x:v>2</x:v>
      </x:c>
      <x:c r="Y6557" s="87"/>
      <x:c r="Z6557" s="87"/>
      <x:c r="AA6557" s="87"/>
      <x:c r="AB6557" s="87"/>
      <x:c r="AC6557" s="87" t="str">
        <x:v>VIS-EGKR-HIS-S26-TASK-956-P002</x:v>
      </x:c>
      <x:c r="AD6557" s="87" t="str">
        <x:v>VIS-EGKR-HIS-S26-ANSWERDOC-P001; VIS-EGKR-HIS-S26-ANSWERDOC-P002</x:v>
      </x:c>
      <x:c r="AE6557" s="87" t="str">
        <x:v>TASK; SECONDARY_ANSWER_SOURCE</x:v>
      </x:c>
      <x:c r="AF6557" s="87" t="str">
        <x:v>VIS-EGKR-HIS-S26-TASK-956-P002: 2; VIS-EGKR-HIS-S26-ANSWERDOC-P001: 1; VIS-EGKR-HIS-S26-ANSWERDOC-P002: 2</x:v>
      </x:c>
      <x:c r="AG6557" s="87" t="str">
        <x:v>RESOLVED</x:v>
      </x:c>
      <x:c r="AH6557" s="87" t="str">
        <x:v>CROP_VERIFIED</x:v>
      </x:c>
      <x:c r="AI6557" s="30"/>
      <x:c r="AJ6557" s="87" t="str">
        <x:v>clean</x:v>
      </x:c>
      <x:c r="AK6557" s="87" t="str">
        <x:v>clean-v0.25</x:v>
      </x:c>
      <x:c r="AL6557" s="87" t="str">
        <x:v>statgrad_clean_continuation_v0_25(1).xlsx</x:v>
      </x:c>
      <x:c r="AM6557" s="87" t="str">
        <x:v>HIS_EGKR_S26_956</x:v>
      </x:c>
      <x:c r="AN6557" s="87" t="n">
        <x:v>4</x:v>
      </x:c>
    </x:row>
    <x:row r="6558">
      <x:c r="A6558" s="87" t="n">
        <x:v>6557</x:v>
      </x:c>
      <x:c r="B6558" s="87" t="str">
        <x:v>EGKR-S26-HIS-956-04</x:v>
      </x:c>
      <x:c r="C6558" s="87" t="str">
        <x:v>ЕГКР</x:v>
      </x:c>
      <x:c r="D6558" s="87"/>
      <x:c r="E6558" s="87" t="str">
        <x:v>Весна 2026</x:v>
      </x:c>
      <x:c r="F6558" s="87" t="str">
        <x:v>14.04.2026</x:v>
      </x:c>
      <x:c r="G6558" s="87" t="str">
        <x:v>История</x:v>
      </x:c>
      <x:c r="H6558" s="87" t="n">
        <x:v>11</x:v>
      </x:c>
      <x:c r="I6558" s="87"/>
      <x:c r="J6558" s="87" t="str">
        <x:v>956</x:v>
      </x:c>
      <x:c r="K6558" s="87" t="n">
        <x:v>4</x:v>
      </x:c>
      <x:c r="L6558" s="87" t="str">
        <x:v>Заполнение исторической таблицы</x:v>
      </x:c>
      <x:c r="M6558" s="30" t="str">
        <x:v>Заполнить таблицу по Москве, Нерчинску, Азову и Нижнему Новгороду.</x:v>
      </x:c>
      <x:c r="N6558" s="30" t="str">
        <x:v>953276</x:v>
      </x:c>
      <x:c r="O6558" s="30" t="str">
        <x:v>Соляной бунт; Нерчинск; Азов и 1630-е; второе ополчение и 1610-е → 953276.</x:v>
      </x:c>
      <x:c r="P6558" s="30"/>
      <x:c r="Q6558" s="30" t="str">
        <x:v>Исходная страница, независимая историческая проверка и вторичная веб-сверка.</x:v>
      </x:c>
      <x:c r="R6558" s="30" t="str">
        <x:v>953276</x:v>
      </x:c>
      <x:c r="S6558" s="30"/>
      <x:c r="T6558" s="30"/>
      <x:c r="U6558" s="30" t="str">
        <x:v>Ответник совпадает с независимой проверкой.</x:v>
      </x:c>
      <x:c r="V6558" s="87" t="str">
        <x:v>VERIFIED</x:v>
      </x:c>
      <x:c r="W6558" s="87"/>
      <x:c r="X6558" s="87" t="n">
        <x:v>2</x:v>
      </x:c>
      <x:c r="Y6558" s="87"/>
      <x:c r="Z6558" s="87"/>
      <x:c r="AA6558" s="87"/>
      <x:c r="AB6558" s="87"/>
      <x:c r="AC6558" s="87" t="str">
        <x:v>VIS-EGKR-HIS-S26-TASK-956-P002</x:v>
      </x:c>
      <x:c r="AD6558" s="87" t="str">
        <x:v>VIS-EGKR-HIS-S26-ANSWERDOC-P001; VIS-EGKR-HIS-S26-ANSWERDOC-P002</x:v>
      </x:c>
      <x:c r="AE6558" s="87" t="str">
        <x:v>TASK; SECONDARY_ANSWER_SOURCE</x:v>
      </x:c>
      <x:c r="AF6558" s="87" t="str">
        <x:v>VIS-EGKR-HIS-S26-TASK-956-P002: 2; VIS-EGKR-HIS-S26-ANSWERDOC-P001: 1; VIS-EGKR-HIS-S26-ANSWERDOC-P002: 2</x:v>
      </x:c>
      <x:c r="AG6558" s="87" t="str">
        <x:v>RESOLVED</x:v>
      </x:c>
      <x:c r="AH6558" s="87" t="str">
        <x:v>CROP_VERIFIED</x:v>
      </x:c>
      <x:c r="AI6558" s="30"/>
      <x:c r="AJ6558" s="87" t="str">
        <x:v>clean</x:v>
      </x:c>
      <x:c r="AK6558" s="87" t="str">
        <x:v>clean-v0.25</x:v>
      </x:c>
      <x:c r="AL6558" s="87" t="str">
        <x:v>statgrad_clean_continuation_v0_25(1).xlsx</x:v>
      </x:c>
      <x:c r="AM6558" s="87" t="str">
        <x:v>HIS_EGKR_S26_956</x:v>
      </x:c>
      <x:c r="AN6558" s="87" t="n">
        <x:v>5</x:v>
      </x:c>
    </x:row>
    <x:row r="6559">
      <x:c r="A6559" s="87" t="n">
        <x:v>6558</x:v>
      </x:c>
      <x:c r="B6559" s="87" t="str">
        <x:v>EGKR-S26-HIS-956-05</x:v>
      </x:c>
      <x:c r="C6559" s="87" t="str">
        <x:v>ЕГКР</x:v>
      </x:c>
      <x:c r="D6559" s="87"/>
      <x:c r="E6559" s="87" t="str">
        <x:v>Весна 2026</x:v>
      </x:c>
      <x:c r="F6559" s="87" t="str">
        <x:v>14.04.2026</x:v>
      </x:c>
      <x:c r="G6559" s="87" t="str">
        <x:v>История</x:v>
      </x:c>
      <x:c r="H6559" s="87" t="n">
        <x:v>11</x:v>
      </x:c>
      <x:c r="I6559" s="87"/>
      <x:c r="J6559" s="87" t="str">
        <x:v>956</x:v>
      </x:c>
      <x:c r="K6559" s="87" t="n">
        <x:v>5</x:v>
      </x:c>
      <x:c r="L6559" s="87" t="str">
        <x:v>События и участники</x:v>
      </x:c>
      <x:c r="M6559" s="30" t="str">
        <x:v>Соотнести земскую реформу, учреждение патриаршества, «Молодую гвардию» и СВО с участниками.</x:v>
      </x:c>
      <x:c r="N6559" s="30" t="str">
        <x:v>3154</x:v>
      </x:c>
      <x:c r="O6559" s="30" t="str">
        <x:v>П.А. Валуев, Б.Ф. Годунов, О.В. Кошевой, А.Н. Жихарев → 3154.</x:v>
      </x:c>
      <x:c r="P6559" s="30"/>
      <x:c r="Q6559" s="30" t="str">
        <x:v>Исходная страница, независимая историческая проверка и вторичная веб-сверка.</x:v>
      </x:c>
      <x:c r="R6559" s="30" t="str">
        <x:v>3154</x:v>
      </x:c>
      <x:c r="S6559" s="30"/>
      <x:c r="T6559" s="30"/>
      <x:c r="U6559" s="30" t="str">
        <x:v>Ответник совпадает с независимой проверкой.</x:v>
      </x:c>
      <x:c r="V6559" s="87" t="str">
        <x:v>VERIFIED</x:v>
      </x:c>
      <x:c r="W6559" s="87"/>
      <x:c r="X6559" s="87" t="n">
        <x:v>3</x:v>
      </x:c>
      <x:c r="Y6559" s="87"/>
      <x:c r="Z6559" s="87"/>
      <x:c r="AA6559" s="87"/>
      <x:c r="AB6559" s="87"/>
      <x:c r="AC6559" s="87" t="str">
        <x:v>VIS-EGKR-HIS-S26-TASK-956-P003</x:v>
      </x:c>
      <x:c r="AD6559" s="87" t="str">
        <x:v>VIS-EGKR-HIS-S26-ANSWERDOC-P001; VIS-EGKR-HIS-S26-ANSWERDOC-P002</x:v>
      </x:c>
      <x:c r="AE6559" s="87" t="str">
        <x:v>TASK; SECONDARY_ANSWER_SOURCE</x:v>
      </x:c>
      <x:c r="AF6559" s="87" t="str">
        <x:v>VIS-EGKR-HIS-S26-TASK-956-P003: 3; VIS-EGKR-HIS-S26-ANSWERDOC-P001: 1; VIS-EGKR-HIS-S26-ANSWERDOC-P002: 2</x:v>
      </x:c>
      <x:c r="AG6559" s="87" t="str">
        <x:v>RESOLVED</x:v>
      </x:c>
      <x:c r="AH6559" s="87" t="str">
        <x:v>CROP_VERIFIED</x:v>
      </x:c>
      <x:c r="AI6559" s="30"/>
      <x:c r="AJ6559" s="87" t="str">
        <x:v>clean</x:v>
      </x:c>
      <x:c r="AK6559" s="87" t="str">
        <x:v>clean-v0.25</x:v>
      </x:c>
      <x:c r="AL6559" s="87" t="str">
        <x:v>statgrad_clean_continuation_v0_25(1).xlsx</x:v>
      </x:c>
      <x:c r="AM6559" s="87" t="str">
        <x:v>HIS_EGKR_S26_956</x:v>
      </x:c>
      <x:c r="AN6559" s="87" t="n">
        <x:v>6</x:v>
      </x:c>
    </x:row>
    <x:row r="6560">
      <x:c r="A6560" s="87" t="n">
        <x:v>6559</x:v>
      </x:c>
      <x:c r="B6560" s="87" t="str">
        <x:v>EGKR-S26-HIS-956-06</x:v>
      </x:c>
      <x:c r="C6560" s="87" t="str">
        <x:v>ЕГКР</x:v>
      </x:c>
      <x:c r="D6560" s="87"/>
      <x:c r="E6560" s="87" t="str">
        <x:v>Весна 2026</x:v>
      </x:c>
      <x:c r="F6560" s="87" t="str">
        <x:v>14.04.2026</x:v>
      </x:c>
      <x:c r="G6560" s="87" t="str">
        <x:v>История</x:v>
      </x:c>
      <x:c r="H6560" s="87" t="n">
        <x:v>11</x:v>
      </x:c>
      <x:c r="I6560" s="87"/>
      <x:c r="J6560" s="87" t="str">
        <x:v>956</x:v>
      </x:c>
      <x:c r="K6560" s="87" t="n">
        <x:v>6</x:v>
      </x:c>
      <x:c r="L6560" s="87" t="str">
        <x:v>Анализ исторического источника</x:v>
      </x:c>
      <x:c r="M6560" s="30" t="str">
        <x:v>Выбрать верные суждения по летописи о борьбе Бориса Годунова с Григорием Отрепьевым.</x:v>
      </x:c>
      <x:c r="N6560" s="30" t="str">
        <x:v>45</x:v>
      </x:c>
      <x:c r="O6560" s="30" t="str">
        <x:v>Верны пункты 4 и 5: Отрепьев потерпел поражение, а М.В. Скопин-Шуйский был современником.</x:v>
      </x:c>
      <x:c r="P6560" s="30"/>
      <x:c r="Q6560" s="30" t="str">
        <x:v>Исходная страница, независимая историческая проверка и вторичная веб-сверка.</x:v>
      </x:c>
      <x:c r="R6560" s="30" t="str">
        <x:v>45</x:v>
      </x:c>
      <x:c r="S6560" s="30"/>
      <x:c r="T6560" s="30"/>
      <x:c r="U6560" s="30" t="str">
        <x:v>Ответник совпадает с независимой проверкой.</x:v>
      </x:c>
      <x:c r="V6560" s="87" t="str">
        <x:v>VERIFIED</x:v>
      </x:c>
      <x:c r="W6560" s="87"/>
      <x:c r="X6560" s="87" t="n">
        <x:v>3</x:v>
      </x:c>
      <x:c r="Y6560" s="87"/>
      <x:c r="Z6560" s="87"/>
      <x:c r="AA6560" s="87"/>
      <x:c r="AB6560" s="87"/>
      <x:c r="AC6560" s="87" t="str">
        <x:v>VIS-EGKR-HIS-S26-TASK-956-P003</x:v>
      </x:c>
      <x:c r="AD6560" s="87" t="str">
        <x:v>VIS-EGKR-HIS-S26-ANSWERDOC-P001; VIS-EGKR-HIS-S26-ANSWERDOC-P002</x:v>
      </x:c>
      <x:c r="AE6560" s="87" t="str">
        <x:v>TASK; SECONDARY_ANSWER_SOURCE</x:v>
      </x:c>
      <x:c r="AF6560" s="87" t="str">
        <x:v>VIS-EGKR-HIS-S26-TASK-956-P003: 3; VIS-EGKR-HIS-S26-ANSWERDOC-P001: 1; VIS-EGKR-HIS-S26-ANSWERDOC-P002: 2</x:v>
      </x:c>
      <x:c r="AG6560" s="87" t="str">
        <x:v>RESOLVED</x:v>
      </x:c>
      <x:c r="AH6560" s="87" t="str">
        <x:v>CROP_VERIFIED</x:v>
      </x:c>
      <x:c r="AI6560" s="30"/>
      <x:c r="AJ6560" s="87" t="str">
        <x:v>clean</x:v>
      </x:c>
      <x:c r="AK6560" s="87" t="str">
        <x:v>clean-v0.25</x:v>
      </x:c>
      <x:c r="AL6560" s="87" t="str">
        <x:v>statgrad_clean_continuation_v0_25(1).xlsx</x:v>
      </x:c>
      <x:c r="AM6560" s="87" t="str">
        <x:v>HIS_EGKR_S26_956</x:v>
      </x:c>
      <x:c r="AN6560" s="87" t="n">
        <x:v>7</x:v>
      </x:c>
    </x:row>
    <x:row r="6561">
      <x:c r="A6561" s="87" t="n">
        <x:v>6560</x:v>
      </x:c>
      <x:c r="B6561" s="87" t="str">
        <x:v>EGKR-S26-HIS-956-07</x:v>
      </x:c>
      <x:c r="C6561" s="87" t="str">
        <x:v>ЕГКР</x:v>
      </x:c>
      <x:c r="D6561" s="87"/>
      <x:c r="E6561" s="87" t="str">
        <x:v>Весна 2026</x:v>
      </x:c>
      <x:c r="F6561" s="87" t="str">
        <x:v>14.04.2026</x:v>
      </x:c>
      <x:c r="G6561" s="87" t="str">
        <x:v>История</x:v>
      </x:c>
      <x:c r="H6561" s="87" t="n">
        <x:v>11</x:v>
      </x:c>
      <x:c r="I6561" s="87"/>
      <x:c r="J6561" s="87" t="str">
        <x:v>956</x:v>
      </x:c>
      <x:c r="K6561" s="87" t="n">
        <x:v>7</x:v>
      </x:c>
      <x:c r="L6561" s="87" t="str">
        <x:v>Памятники культуры</x:v>
      </x:c>
      <x:c r="M6561" s="30" t="str">
        <x:v>Соотнести «Кавказскую пленницу», «Бедную Лизу», «Историю о великом князе Московском» и «Задонщину».</x:v>
      </x:c>
      <x:c r="N6561" s="30" t="str">
        <x:v>5146</x:v>
      </x:c>
      <x:c r="O6561" s="30" t="str">
        <x:v>Гайдай → 5; сентиментализм Карамзина → 1; противник Ивана IV → 4; события XIV века → 6.</x:v>
      </x:c>
      <x:c r="P6561" s="30"/>
      <x:c r="Q6561" s="30" t="str">
        <x:v>Исходная страница, независимая историческая проверка и вторичная веб-сверка.</x:v>
      </x:c>
      <x:c r="R6561" s="30" t="str">
        <x:v>MISSING</x:v>
      </x:c>
      <x:c r="S6561" s="30"/>
      <x:c r="T6561" s="30"/>
      <x:c r="U6561" s="30" t="str">
        <x:v>Позиция отсутствовала во внутреннем DOCX и восстановлена независимо.</x:v>
      </x:c>
      <x:c r="V6561" s="87" t="str">
        <x:v>SOURCE_GAP_RECOVERED</x:v>
      </x:c>
      <x:c r="W6561" s="87"/>
      <x:c r="X6561" s="87" t="n">
        <x:v>4</x:v>
      </x:c>
      <x:c r="Y6561" s="87"/>
      <x:c r="Z6561" s="87"/>
      <x:c r="AA6561" s="87"/>
      <x:c r="AB6561" s="87"/>
      <x:c r="AC6561" s="87" t="str">
        <x:v>VIS-EGKR-HIS-S26-TASK-956-P004</x:v>
      </x:c>
      <x:c r="AD6561" s="87" t="str">
        <x:v>VIS-EGKR-HIS-S26-ANSWERDOC-P001; VIS-EGKR-HIS-S26-ANSWERDOC-P002</x:v>
      </x:c>
      <x:c r="AE6561" s="87" t="str">
        <x:v>TASK; SECONDARY_ANSWER_SOURCE</x:v>
      </x:c>
      <x:c r="AF6561" s="87" t="str">
        <x:v>VIS-EGKR-HIS-S26-TASK-956-P004: 4; VIS-EGKR-HIS-S26-ANSWERDOC-P001: 1; VIS-EGKR-HIS-S26-ANSWERDOC-P002: 2</x:v>
      </x:c>
      <x:c r="AG6561" s="87" t="str">
        <x:v>RESOLVED</x:v>
      </x:c>
      <x:c r="AH6561" s="87" t="str">
        <x:v>CROP_VERIFIED</x:v>
      </x:c>
      <x:c r="AI6561" s="30"/>
      <x:c r="AJ6561" s="87" t="str">
        <x:v>clean</x:v>
      </x:c>
      <x:c r="AK6561" s="87" t="str">
        <x:v>clean-v0.25</x:v>
      </x:c>
      <x:c r="AL6561" s="87" t="str">
        <x:v>statgrad_clean_continuation_v0_25(1).xlsx</x:v>
      </x:c>
      <x:c r="AM6561" s="87" t="str">
        <x:v>HIS_EGKR_S26_956</x:v>
      </x:c>
      <x:c r="AN6561" s="87" t="n">
        <x:v>8</x:v>
      </x:c>
    </x:row>
    <x:row r="6562">
      <x:c r="A6562" s="87" t="n">
        <x:v>6561</x:v>
      </x:c>
      <x:c r="B6562" s="87" t="str">
        <x:v>EGKR-S26-HIS-956-08</x:v>
      </x:c>
      <x:c r="C6562" s="87" t="str">
        <x:v>ЕГКР</x:v>
      </x:c>
      <x:c r="D6562" s="87"/>
      <x:c r="E6562" s="87" t="str">
        <x:v>Весна 2026</x:v>
      </x:c>
      <x:c r="F6562" s="87" t="str">
        <x:v>14.04.2026</x:v>
      </x:c>
      <x:c r="G6562" s="87" t="str">
        <x:v>История</x:v>
      </x:c>
      <x:c r="H6562" s="87" t="n">
        <x:v>11</x:v>
      </x:c>
      <x:c r="I6562" s="87"/>
      <x:c r="J6562" s="87" t="str">
        <x:v>956</x:v>
      </x:c>
      <x:c r="K6562" s="87" t="n">
        <x:v>8</x:v>
      </x:c>
      <x:c r="L6562" s="87" t="str">
        <x:v>Анализ изображения</x:v>
      </x:c>
      <x:c r="M6562" s="30" t="str">
        <x:v>Определить год окончания Сталинградской битвы по памятной монете.</x:v>
      </x:c>
      <x:c r="N6562" s="30" t="str">
        <x:v>СОРОК ТРЕТЬЕМ</x:v>
      </x:c>
      <x:c r="O6562" s="30" t="str">
        <x:v>Сталинградская битва закончилась в 1943 году.</x:v>
      </x:c>
      <x:c r="P6562" s="30"/>
      <x:c r="Q6562" s="30" t="str">
        <x:v>Исходная страница, независимая историческая проверка и вторичная веб-сверка.</x:v>
      </x:c>
      <x:c r="R6562" s="30" t="str">
        <x:v>MISSING</x:v>
      </x:c>
      <x:c r="S6562" s="30"/>
      <x:c r="T6562" s="30"/>
      <x:c r="U6562" s="30" t="str">
        <x:v>Позиция отсутствовала во внутреннем DOCX и восстановлена независимо.</x:v>
      </x:c>
      <x:c r="V6562" s="87" t="str">
        <x:v>SOURCE_GAP_RECOVERED</x:v>
      </x:c>
      <x:c r="W6562" s="87"/>
      <x:c r="X6562" s="87" t="n">
        <x:v>4</x:v>
      </x:c>
      <x:c r="Y6562" s="87"/>
      <x:c r="Z6562" s="87"/>
      <x:c r="AA6562" s="87"/>
      <x:c r="AB6562" s="87"/>
      <x:c r="AC6562" s="87" t="str">
        <x:v>VIS-EGKR-HIS-S26-TASK-956-P004</x:v>
      </x:c>
      <x:c r="AD6562" s="87" t="str">
        <x:v>VIS-EGKR-HIS-S26-ANSWERDOC-P001; VIS-EGKR-HIS-S26-ANSWERDOC-P002</x:v>
      </x:c>
      <x:c r="AE6562" s="87" t="str">
        <x:v>TASK; SECONDARY_ANSWER_SOURCE</x:v>
      </x:c>
      <x:c r="AF6562" s="87" t="str">
        <x:v>VIS-EGKR-HIS-S26-TASK-956-P004: 4; VIS-EGKR-HIS-S26-ANSWERDOC-P001: 1; VIS-EGKR-HIS-S26-ANSWERDOC-P002: 2</x:v>
      </x:c>
      <x:c r="AG6562" s="87" t="str">
        <x:v>RESOLVED</x:v>
      </x:c>
      <x:c r="AH6562" s="87" t="str">
        <x:v>CROP_VERIFIED</x:v>
      </x:c>
      <x:c r="AI6562" s="30"/>
      <x:c r="AJ6562" s="87" t="str">
        <x:v>clean</x:v>
      </x:c>
      <x:c r="AK6562" s="87" t="str">
        <x:v>clean-v0.25</x:v>
      </x:c>
      <x:c r="AL6562" s="87" t="str">
        <x:v>statgrad_clean_continuation_v0_25(1).xlsx</x:v>
      </x:c>
      <x:c r="AM6562" s="87" t="str">
        <x:v>HIS_EGKR_S26_956</x:v>
      </x:c>
      <x:c r="AN6562" s="87" t="n">
        <x:v>9</x:v>
      </x:c>
    </x:row>
    <x:row r="6563">
      <x:c r="A6563" s="87" t="n">
        <x:v>6562</x:v>
      </x:c>
      <x:c r="B6563" s="87" t="str">
        <x:v>EGKR-S26-HIS-956-09</x:v>
      </x:c>
      <x:c r="C6563" s="87" t="str">
        <x:v>ЕГКР</x:v>
      </x:c>
      <x:c r="D6563" s="87"/>
      <x:c r="E6563" s="87" t="str">
        <x:v>Весна 2026</x:v>
      </x:c>
      <x:c r="F6563" s="87" t="str">
        <x:v>14.04.2026</x:v>
      </x:c>
      <x:c r="G6563" s="87" t="str">
        <x:v>История</x:v>
      </x:c>
      <x:c r="H6563" s="87" t="n">
        <x:v>11</x:v>
      </x:c>
      <x:c r="I6563" s="87"/>
      <x:c r="J6563" s="87" t="str">
        <x:v>956</x:v>
      </x:c>
      <x:c r="K6563" s="87" t="n">
        <x:v>9</x:v>
      </x:c>
      <x:c r="L6563" s="87" t="str">
        <x:v>Историческая карта: идентификация</x:v>
      </x:c>
      <x:c r="M6563" s="30" t="str">
        <x:v>Определить десятилетие окончания войны, показанной на карте.</x:v>
      </x:c>
      <x:c r="N6563" s="30" t="str">
        <x:v>СЕМИДЕСЯТЫХ</x:v>
      </x:c>
      <x:c r="O6563" s="30" t="str">
        <x:v>Русско-турецкая война завершилась в 1770-х годах.</x:v>
      </x:c>
      <x:c r="P6563" s="30"/>
      <x:c r="Q6563" s="30" t="str">
        <x:v>Исходная страница, независимая историческая проверка и вторичная веб-сверка.</x:v>
      </x:c>
      <x:c r="R6563" s="30" t="str">
        <x:v>СЕМИДЕСЯТЫХ</x:v>
      </x:c>
      <x:c r="S6563" s="30"/>
      <x:c r="T6563" s="30"/>
      <x:c r="U6563" s="30" t="str">
        <x:v>Ответник совпадает с независимой проверкой.</x:v>
      </x:c>
      <x:c r="V6563" s="87" t="str">
        <x:v>VERIFIED</x:v>
      </x:c>
      <x:c r="W6563" s="87"/>
      <x:c r="X6563" s="87" t="n">
        <x:v>5</x:v>
      </x:c>
      <x:c r="Y6563" s="87"/>
      <x:c r="Z6563" s="87"/>
      <x:c r="AA6563" s="87"/>
      <x:c r="AB6563" s="87"/>
      <x:c r="AC6563" s="87" t="str">
        <x:v>VIS-EGKR-HIS-S26-TASK-956-P005</x:v>
      </x:c>
      <x:c r="AD6563" s="87" t="str">
        <x:v>VIS-EGKR-HIS-S26-ANSWERDOC-P001; VIS-EGKR-HIS-S26-ANSWERDOC-P002</x:v>
      </x:c>
      <x:c r="AE6563" s="87" t="str">
        <x:v>TASK; SECONDARY_ANSWER_SOURCE</x:v>
      </x:c>
      <x:c r="AF6563" s="87" t="str">
        <x:v>VIS-EGKR-HIS-S26-TASK-956-P005: 5; VIS-EGKR-HIS-S26-ANSWERDOC-P001: 1; VIS-EGKR-HIS-S26-ANSWERDOC-P002: 2</x:v>
      </x:c>
      <x:c r="AG6563" s="87" t="str">
        <x:v>RESOLVED</x:v>
      </x:c>
      <x:c r="AH6563" s="87" t="str">
        <x:v>CROP_VERIFIED; TASK_CROP_QA_APPROVED:USE_TIGHT</x:v>
      </x:c>
      <x:c r="AI6563" s="30"/>
      <x:c r="AJ6563" s="87" t="str">
        <x:v>clean</x:v>
      </x:c>
      <x:c r="AK6563" s="87" t="str">
        <x:v>clean-v0.25</x:v>
      </x:c>
      <x:c r="AL6563" s="87" t="str">
        <x:v>statgrad_clean_continuation_v0_25(1).xlsx</x:v>
      </x:c>
      <x:c r="AM6563" s="87" t="str">
        <x:v>HIS_EGKR_S26_956</x:v>
      </x:c>
      <x:c r="AN6563" s="87" t="n">
        <x:v>10</x:v>
      </x:c>
    </x:row>
    <x:row r="6564">
      <x:c r="A6564" s="87" t="n">
        <x:v>6563</x:v>
      </x:c>
      <x:c r="B6564" s="87" t="str">
        <x:v>EGKR-S26-HIS-956-10</x:v>
      </x:c>
      <x:c r="C6564" s="87" t="str">
        <x:v>ЕГКР</x:v>
      </x:c>
      <x:c r="D6564" s="87"/>
      <x:c r="E6564" s="87" t="str">
        <x:v>Весна 2026</x:v>
      </x:c>
      <x:c r="F6564" s="87" t="str">
        <x:v>14.04.2026</x:v>
      </x:c>
      <x:c r="G6564" s="87" t="str">
        <x:v>История</x:v>
      </x:c>
      <x:c r="H6564" s="87" t="n">
        <x:v>11</x:v>
      </x:c>
      <x:c r="I6564" s="87"/>
      <x:c r="J6564" s="87" t="str">
        <x:v>956</x:v>
      </x:c>
      <x:c r="K6564" s="87" t="n">
        <x:v>10</x:v>
      </x:c>
      <x:c r="L6564" s="87" t="str">
        <x:v>Историческая карта: объект</x:v>
      </x:c>
      <x:c r="M6564" s="30" t="str">
        <x:v>Назвать государство, дважды обозначенное римской цифрой II.</x:v>
      </x:c>
      <x:c r="N6564" s="30" t="str">
        <x:v>ТУРЦИЯ</x:v>
      </x:c>
      <x:c r="O6564" s="30" t="str">
        <x:v>Римской цифрой II обозначена Османская империя (Турция).</x:v>
      </x:c>
      <x:c r="P6564" s="30"/>
      <x:c r="Q6564" s="30" t="str">
        <x:v>Исходная страница, независимая историческая проверка и вторичная веб-сверка.</x:v>
      </x:c>
      <x:c r="R6564" s="30" t="str">
        <x:v>ТУРЦИЯ</x:v>
      </x:c>
      <x:c r="S6564" s="30"/>
      <x:c r="T6564" s="30"/>
      <x:c r="U6564" s="30" t="str">
        <x:v>Ответник совпадает с независимой проверкой.</x:v>
      </x:c>
      <x:c r="V6564" s="87" t="str">
        <x:v>VERIFIED</x:v>
      </x:c>
      <x:c r="W6564" s="87"/>
      <x:c r="X6564" s="87" t="n">
        <x:v>5</x:v>
      </x:c>
      <x:c r="Y6564" s="87"/>
      <x:c r="Z6564" s="87"/>
      <x:c r="AA6564" s="87"/>
      <x:c r="AB6564" s="87"/>
      <x:c r="AC6564" s="87" t="str">
        <x:v>VIS-EGKR-HIS-S26-TASK-956-P005</x:v>
      </x:c>
      <x:c r="AD6564" s="87" t="str">
        <x:v>VIS-EGKR-HIS-S26-ANSWERDOC-P001; VIS-EGKR-HIS-S26-ANSWERDOC-P002</x:v>
      </x:c>
      <x:c r="AE6564" s="87" t="str">
        <x:v>TASK; SECONDARY_ANSWER_SOURCE</x:v>
      </x:c>
      <x:c r="AF6564" s="87" t="str">
        <x:v>VIS-EGKR-HIS-S26-TASK-956-P005: 5; VIS-EGKR-HIS-S26-ANSWERDOC-P001: 1; VIS-EGKR-HIS-S26-ANSWERDOC-P002: 2</x:v>
      </x:c>
      <x:c r="AG6564" s="87" t="str">
        <x:v>RESOLVED</x:v>
      </x:c>
      <x:c r="AH6564" s="87" t="str">
        <x:v>CROP_VERIFIED</x:v>
      </x:c>
      <x:c r="AI6564" s="30"/>
      <x:c r="AJ6564" s="87" t="str">
        <x:v>clean</x:v>
      </x:c>
      <x:c r="AK6564" s="87" t="str">
        <x:v>clean-v0.25</x:v>
      </x:c>
      <x:c r="AL6564" s="87" t="str">
        <x:v>statgrad_clean_continuation_v0_25(1).xlsx</x:v>
      </x:c>
      <x:c r="AM6564" s="87" t="str">
        <x:v>HIS_EGKR_S26_956</x:v>
      </x:c>
      <x:c r="AN6564" s="87" t="n">
        <x:v>11</x:v>
      </x:c>
    </x:row>
    <x:row r="6565">
      <x:c r="A6565" s="87" t="n">
        <x:v>6564</x:v>
      </x:c>
      <x:c r="B6565" s="87" t="str">
        <x:v>EGKR-S26-HIS-956-11</x:v>
      </x:c>
      <x:c r="C6565" s="87" t="str">
        <x:v>ЕГКР</x:v>
      </x:c>
      <x:c r="D6565" s="87"/>
      <x:c r="E6565" s="87" t="str">
        <x:v>Весна 2026</x:v>
      </x:c>
      <x:c r="F6565" s="87" t="str">
        <x:v>14.04.2026</x:v>
      </x:c>
      <x:c r="G6565" s="87" t="str">
        <x:v>История</x:v>
      </x:c>
      <x:c r="H6565" s="87" t="n">
        <x:v>11</x:v>
      </x:c>
      <x:c r="I6565" s="87"/>
      <x:c r="J6565" s="87" t="str">
        <x:v>956</x:v>
      </x:c>
      <x:c r="K6565" s="87" t="n">
        <x:v>11</x:v>
      </x:c>
      <x:c r="L6565" s="87" t="str">
        <x:v>Историческая карта: пропуск в тексте</x:v>
      </x:c>
      <x:c r="M6565" s="30" t="str">
        <x:v>Назвать город, трижды пропущенный в описании действий Румянцева, Унгерна и Долгорукова.</x:v>
      </x:c>
      <x:c r="N6565" s="30" t="str">
        <x:v>ШУМЛА</x:v>
      </x:c>
      <x:c r="O6565" s="30" t="str">
        <x:v>Пропущен город Шумла.</x:v>
      </x:c>
      <x:c r="P6565" s="30"/>
      <x:c r="Q6565" s="30" t="str">
        <x:v>Исходная страница, независимая историческая проверка и вторичная веб-сверка.</x:v>
      </x:c>
      <x:c r="R6565" s="30" t="str">
        <x:v>ШУМЛА</x:v>
      </x:c>
      <x:c r="S6565" s="30"/>
      <x:c r="T6565" s="30"/>
      <x:c r="U6565" s="30" t="str">
        <x:v>Ответник совпадает с независимой проверкой.</x:v>
      </x:c>
      <x:c r="V6565" s="87" t="str">
        <x:v>VERIFIED</x:v>
      </x:c>
      <x:c r="W6565" s="87"/>
      <x:c r="X6565" s="87" t="n">
        <x:v>5</x:v>
      </x:c>
      <x:c r="Y6565" s="87"/>
      <x:c r="Z6565" s="87"/>
      <x:c r="AA6565" s="87"/>
      <x:c r="AB6565" s="87"/>
      <x:c r="AC6565" s="87" t="str">
        <x:v>VIS-EGKR-HIS-S26-TASK-956-P005</x:v>
      </x:c>
      <x:c r="AD6565" s="87" t="str">
        <x:v>VIS-EGKR-HIS-S26-ANSWERDOC-P001; VIS-EGKR-HIS-S26-ANSWERDOC-P002</x:v>
      </x:c>
      <x:c r="AE6565" s="87" t="str">
        <x:v>TASK; SECONDARY_ANSWER_SOURCE</x:v>
      </x:c>
      <x:c r="AF6565" s="87" t="str">
        <x:v>VIS-EGKR-HIS-S26-TASK-956-P005: 5; VIS-EGKR-HIS-S26-ANSWERDOC-P001: 1; VIS-EGKR-HIS-S26-ANSWERDOC-P002: 2</x:v>
      </x:c>
      <x:c r="AG6565" s="87" t="str">
        <x:v>RESOLVED</x:v>
      </x:c>
      <x:c r="AH6565" s="87" t="str">
        <x:v>CROP_VERIFIED</x:v>
      </x:c>
      <x:c r="AI6565" s="30"/>
      <x:c r="AJ6565" s="87" t="str">
        <x:v>clean</x:v>
      </x:c>
      <x:c r="AK6565" s="87" t="str">
        <x:v>clean-v0.25</x:v>
      </x:c>
      <x:c r="AL6565" s="87" t="str">
        <x:v>statgrad_clean_continuation_v0_25(1).xlsx</x:v>
      </x:c>
      <x:c r="AM6565" s="87" t="str">
        <x:v>HIS_EGKR_S26_956</x:v>
      </x:c>
      <x:c r="AN6565" s="87" t="n">
        <x:v>12</x:v>
      </x:c>
    </x:row>
    <x:row r="6566">
      <x:c r="A6566" s="87" t="n">
        <x:v>6565</x:v>
      </x:c>
      <x:c r="B6566" s="87" t="str">
        <x:v>EGKR-S26-HIS-956-12</x:v>
      </x:c>
      <x:c r="C6566" s="87" t="str">
        <x:v>ЕГКР</x:v>
      </x:c>
      <x:c r="D6566" s="87"/>
      <x:c r="E6566" s="87" t="str">
        <x:v>Весна 2026</x:v>
      </x:c>
      <x:c r="F6566" s="87" t="str">
        <x:v>14.04.2026</x:v>
      </x:c>
      <x:c r="G6566" s="87" t="str">
        <x:v>История</x:v>
      </x:c>
      <x:c r="H6566" s="87" t="n">
        <x:v>11</x:v>
      </x:c>
      <x:c r="I6566" s="87"/>
      <x:c r="J6566" s="87" t="str">
        <x:v>956</x:v>
      </x:c>
      <x:c r="K6566" s="87" t="n">
        <x:v>12</x:v>
      </x:c>
      <x:c r="L6566" s="87" t="str">
        <x:v>Историческая карта: верные суждения</x:v>
      </x:c>
      <x:c r="M6566" s="30" t="str">
        <x:v>Выбрать верные суждения по карте русско-турецкой войны 1768–1774 гг.</x:v>
      </x:c>
      <x:c r="N6566" s="30" t="str">
        <x:v>1246</x:v>
      </x:c>
      <x:c r="O6566" s="30" t="str">
        <x:v>Верны суждения 1, 2, 4 и 6.</x:v>
      </x:c>
      <x:c r="P6566" s="30"/>
      <x:c r="Q6566" s="30" t="str">
        <x:v>Исходная страница, независимая историческая проверка и вторичная веб-сверка.</x:v>
      </x:c>
      <x:c r="R6566" s="30" t="str">
        <x:v>1246</x:v>
      </x:c>
      <x:c r="S6566" s="30"/>
      <x:c r="T6566" s="30"/>
      <x:c r="U6566" s="30" t="str">
        <x:v>Ответник совпадает с независимой проверкой.</x:v>
      </x:c>
      <x:c r="V6566" s="87" t="str">
        <x:v>VERIFIED</x:v>
      </x:c>
      <x:c r="W6566" s="87"/>
      <x:c r="X6566" s="87" t="n">
        <x:v>5</x:v>
      </x:c>
      <x:c r="Y6566" s="87"/>
      <x:c r="Z6566" s="87"/>
      <x:c r="AA6566" s="87"/>
      <x:c r="AB6566" s="87"/>
      <x:c r="AC6566" s="87" t="str">
        <x:v>VIS-EGKR-HIS-S26-TASK-956-P005</x:v>
      </x:c>
      <x:c r="AD6566" s="87" t="str">
        <x:v>VIS-EGKR-HIS-S26-ANSWERDOC-P001; VIS-EGKR-HIS-S26-ANSWERDOC-P002</x:v>
      </x:c>
      <x:c r="AE6566" s="87" t="str">
        <x:v>TASK; SECONDARY_ANSWER_SOURCE</x:v>
      </x:c>
      <x:c r="AF6566" s="87" t="str">
        <x:v>VIS-EGKR-HIS-S26-TASK-956-P005: 5; VIS-EGKR-HIS-S26-ANSWERDOC-P001: 1; VIS-EGKR-HIS-S26-ANSWERDOC-P002: 2</x:v>
      </x:c>
      <x:c r="AG6566" s="87" t="str">
        <x:v>RESOLVED</x:v>
      </x:c>
      <x:c r="AH6566" s="87" t="str">
        <x:v>CROP_VERIFIED</x:v>
      </x:c>
      <x:c r="AI6566" s="30"/>
      <x:c r="AJ6566" s="87" t="str">
        <x:v>clean</x:v>
      </x:c>
      <x:c r="AK6566" s="87" t="str">
        <x:v>clean-v0.25</x:v>
      </x:c>
      <x:c r="AL6566" s="87" t="str">
        <x:v>statgrad_clean_continuation_v0_25(1).xlsx</x:v>
      </x:c>
      <x:c r="AM6566" s="87" t="str">
        <x:v>HIS_EGKR_S26_956</x:v>
      </x:c>
      <x:c r="AN6566" s="87" t="n">
        <x:v>13</x:v>
      </x:c>
    </x:row>
    <x:row r="6567">
      <x:c r="A6567" s="87" t="n">
        <x:v>6566</x:v>
      </x:c>
      <x:c r="B6567" s="87" t="str">
        <x:v>EGKR-S26-HIS-956-13</x:v>
      </x:c>
      <x:c r="C6567" s="87" t="str">
        <x:v>ЕГКР</x:v>
      </x:c>
      <x:c r="D6567" s="87"/>
      <x:c r="E6567" s="87" t="str">
        <x:v>Весна 2026</x:v>
      </x:c>
      <x:c r="F6567" s="87" t="str">
        <x:v>14.04.2026</x:v>
      </x:c>
      <x:c r="G6567" s="87" t="str">
        <x:v>История</x:v>
      </x:c>
      <x:c r="H6567" s="87" t="n">
        <x:v>11</x:v>
      </x:c>
      <x:c r="I6567" s="87"/>
      <x:c r="J6567" s="87" t="str">
        <x:v>956</x:v>
      </x:c>
      <x:c r="K6567" s="87" t="n">
        <x:v>13</x:v>
      </x:c>
      <x:c r="L6567" s="87" t="str">
        <x:v>Развёрнутый ответ</x:v>
      </x:c>
      <x:c r="M6567" s="30" t="str">
        <x:v>Определить год разгона Учредительного собрания, последнего главу Временного правительства и советское правительство.</x:v>
      </x:c>
      <x:c r="N6567" s="30" t="str">
        <x:v>1918 год; последний министр-председатель Временного правительства — А.Ф. Керенский; советское правительство — Совет народных комиссаров.</x:v>
      </x:c>
      <x:c r="O6567" s="30" t="str">
        <x:v>Рабочая модель содержит требуемые элементы ответа и конкретные исторические факты.</x:v>
      </x:c>
      <x:c r="P6567" s="30"/>
      <x:c r="Q6567" s="30" t="str">
        <x:v>Исходное условие + независимая историческая проверка; официальные критерии отсутствуют.</x:v>
      </x:c>
      <x:c r="R6567" s="30" t="str">
        <x:v>INDEPENDENT_MODEL</x:v>
      </x:c>
      <x:c r="S6567" s="30"/>
      <x:c r="T6567" s="30"/>
      <x:c r="U6567" s="30" t="str">
        <x:v>Модель не выдаётся за единственно допустимую формулировку.</x:v>
      </x:c>
      <x:c r="V6567" s="87" t="str">
        <x:v>MODEL_READY</x:v>
      </x:c>
      <x:c r="W6567" s="87"/>
      <x:c r="X6567" s="87" t="n">
        <x:v>6</x:v>
      </x:c>
      <x:c r="Y6567" s="87"/>
      <x:c r="Z6567" s="87"/>
      <x:c r="AA6567" s="87"/>
      <x:c r="AB6567" s="87"/>
      <x:c r="AC6567" s="87" t="str">
        <x:v>VIS-EGKR-HIS-S26-TASK-956-P006</x:v>
      </x:c>
      <x:c r="AD6567" s="87"/>
      <x:c r="AE6567" s="87" t="str">
        <x:v>TASK</x:v>
      </x:c>
      <x:c r="AF6567" s="87" t="str">
        <x:v>VIS-EGKR-HIS-S26-TASK-956-P006: 6</x:v>
      </x:c>
      <x:c r="AG6567" s="87" t="str">
        <x:v>RESOLVED</x:v>
      </x:c>
      <x:c r="AH6567" s="87" t="str">
        <x:v>CROP_VERIFIED</x:v>
      </x:c>
      <x:c r="AI6567" s="30"/>
      <x:c r="AJ6567" s="87" t="str">
        <x:v>clean</x:v>
      </x:c>
      <x:c r="AK6567" s="87" t="str">
        <x:v>clean-v0.25</x:v>
      </x:c>
      <x:c r="AL6567" s="87" t="str">
        <x:v>statgrad_clean_continuation_v0_25(1).xlsx</x:v>
      </x:c>
      <x:c r="AM6567" s="87" t="str">
        <x:v>HIS_EGKR_S26_956</x:v>
      </x:c>
      <x:c r="AN6567" s="87" t="n">
        <x:v>14</x:v>
      </x:c>
    </x:row>
    <x:row r="6568">
      <x:c r="A6568" s="87" t="n">
        <x:v>6567</x:v>
      </x:c>
      <x:c r="B6568" s="87" t="str">
        <x:v>EGKR-S26-HIS-956-14</x:v>
      </x:c>
      <x:c r="C6568" s="87" t="str">
        <x:v>ЕГКР</x:v>
      </x:c>
      <x:c r="D6568" s="87"/>
      <x:c r="E6568" s="87" t="str">
        <x:v>Весна 2026</x:v>
      </x:c>
      <x:c r="F6568" s="87" t="str">
        <x:v>14.04.2026</x:v>
      </x:c>
      <x:c r="G6568" s="87" t="str">
        <x:v>История</x:v>
      </x:c>
      <x:c r="H6568" s="87" t="n">
        <x:v>11</x:v>
      </x:c>
      <x:c r="I6568" s="87"/>
      <x:c r="J6568" s="87" t="str">
        <x:v>956</x:v>
      </x:c>
      <x:c r="K6568" s="87" t="n">
        <x:v>14</x:v>
      </x:c>
      <x:c r="L6568" s="87" t="str">
        <x:v>Развёрнутый ответ</x:v>
      </x:c>
      <x:c r="M6568" s="30" t="str">
        <x:v>Ответить на вопросы по источнику о разгоне Учредительного собрания.</x:v>
      </x:c>
      <x:c r="N6568" s="30" t="str">
        <x:v>Шингарёв и Кокошкин не присутствовали, поскольку были арестованы и находились в Петропавловской крепости; убийц автор называет бандой большевистских солдат и матросов; расстрел демонстрации сравнивается с Кровавым воскресеньем 9 января 1905 года.</x:v>
      </x:c>
      <x:c r="O6568" s="30" t="str">
        <x:v>Рабочая модель содержит требуемые элементы ответа и конкретные исторические факты.</x:v>
      </x:c>
      <x:c r="P6568" s="30"/>
      <x:c r="Q6568" s="30" t="str">
        <x:v>Исходное условие + независимая историческая проверка; официальные критерии отсутствуют.</x:v>
      </x:c>
      <x:c r="R6568" s="30" t="str">
        <x:v>INDEPENDENT_MODEL</x:v>
      </x:c>
      <x:c r="S6568" s="30"/>
      <x:c r="T6568" s="30"/>
      <x:c r="U6568" s="30" t="str">
        <x:v>Модель не выдаётся за единственно допустимую формулировку.</x:v>
      </x:c>
      <x:c r="V6568" s="87" t="str">
        <x:v>MODEL_READY</x:v>
      </x:c>
      <x:c r="W6568" s="87"/>
      <x:c r="X6568" s="87" t="n">
        <x:v>6</x:v>
      </x:c>
      <x:c r="Y6568" s="87"/>
      <x:c r="Z6568" s="87"/>
      <x:c r="AA6568" s="87"/>
      <x:c r="AB6568" s="87"/>
      <x:c r="AC6568" s="87" t="str">
        <x:v>VIS-EGKR-HIS-S26-TASK-956-P006</x:v>
      </x:c>
      <x:c r="AD6568" s="87"/>
      <x:c r="AE6568" s="87" t="str">
        <x:v>TASK</x:v>
      </x:c>
      <x:c r="AF6568" s="87" t="str">
        <x:v>VIS-EGKR-HIS-S26-TASK-956-P006: 6</x:v>
      </x:c>
      <x:c r="AG6568" s="87" t="str">
        <x:v>RESOLVED</x:v>
      </x:c>
      <x:c r="AH6568" s="87" t="str">
        <x:v>CROP_VERIFIED</x:v>
      </x:c>
      <x:c r="AI6568" s="30"/>
      <x:c r="AJ6568" s="87" t="str">
        <x:v>clean</x:v>
      </x:c>
      <x:c r="AK6568" s="87" t="str">
        <x:v>clean-v0.25</x:v>
      </x:c>
      <x:c r="AL6568" s="87" t="str">
        <x:v>statgrad_clean_continuation_v0_25(1).xlsx</x:v>
      </x:c>
      <x:c r="AM6568" s="87" t="str">
        <x:v>HIS_EGKR_S26_956</x:v>
      </x:c>
      <x:c r="AN6568" s="87" t="n">
        <x:v>15</x:v>
      </x:c>
    </x:row>
    <x:row r="6569">
      <x:c r="A6569" s="87" t="n">
        <x:v>6568</x:v>
      </x:c>
      <x:c r="B6569" s="87" t="str">
        <x:v>EGKR-S26-HIS-956-15</x:v>
      </x:c>
      <x:c r="C6569" s="87" t="str">
        <x:v>ЕГКР</x:v>
      </x:c>
      <x:c r="D6569" s="87"/>
      <x:c r="E6569" s="87" t="str">
        <x:v>Весна 2026</x:v>
      </x:c>
      <x:c r="F6569" s="87" t="str">
        <x:v>14.04.2026</x:v>
      </x:c>
      <x:c r="G6569" s="87" t="str">
        <x:v>История</x:v>
      </x:c>
      <x:c r="H6569" s="87" t="n">
        <x:v>11</x:v>
      </x:c>
      <x:c r="I6569" s="87"/>
      <x:c r="J6569" s="87" t="str">
        <x:v>956</x:v>
      </x:c>
      <x:c r="K6569" s="87" t="n">
        <x:v>15</x:v>
      </x:c>
      <x:c r="L6569" s="87" t="str">
        <x:v>Развёрнутый ответ</x:v>
      </x:c>
      <x:c r="M6569" s="30" t="str">
        <x:v>Определить монарха в год медали к 900-летию Крещения Руси.</x:v>
      </x:c>
      <x:c r="N6569" s="30" t="str">
        <x:v>Александр III. Крещение Руси относится к 988 году, а 900-летие отмечалось в 1888 году.</x:v>
      </x:c>
      <x:c r="O6569" s="30" t="str">
        <x:v>Рабочая модель содержит требуемые элементы ответа и конкретные исторические факты.</x:v>
      </x:c>
      <x:c r="P6569" s="30"/>
      <x:c r="Q6569" s="30" t="str">
        <x:v>Исходное условие + независимая историческая проверка; официальные критерии отсутствуют.</x:v>
      </x:c>
      <x:c r="R6569" s="30" t="str">
        <x:v>INDEPENDENT_MODEL</x:v>
      </x:c>
      <x:c r="S6569" s="30"/>
      <x:c r="T6569" s="30"/>
      <x:c r="U6569" s="30" t="str">
        <x:v>Модель не выдаётся за единственно допустимую формулировку.</x:v>
      </x:c>
      <x:c r="V6569" s="87" t="str">
        <x:v>MODEL_READY</x:v>
      </x:c>
      <x:c r="W6569" s="87"/>
      <x:c r="X6569" s="87" t="n">
        <x:v>7</x:v>
      </x:c>
      <x:c r="Y6569" s="87"/>
      <x:c r="Z6569" s="87"/>
      <x:c r="AA6569" s="87"/>
      <x:c r="AB6569" s="87"/>
      <x:c r="AC6569" s="87" t="str">
        <x:v>VIS-EGKR-HIS-S26-TASK-956-P007</x:v>
      </x:c>
      <x:c r="AD6569" s="87"/>
      <x:c r="AE6569" s="87" t="str">
        <x:v>TASK</x:v>
      </x:c>
      <x:c r="AF6569" s="87" t="str">
        <x:v>VIS-EGKR-HIS-S26-TASK-956-P007: 7</x:v>
      </x:c>
      <x:c r="AG6569" s="87" t="str">
        <x:v>RESOLVED</x:v>
      </x:c>
      <x:c r="AH6569" s="87" t="str">
        <x:v>CROP_VERIFIED</x:v>
      </x:c>
      <x:c r="AI6569" s="30"/>
      <x:c r="AJ6569" s="87" t="str">
        <x:v>clean</x:v>
      </x:c>
      <x:c r="AK6569" s="87" t="str">
        <x:v>clean-v0.25</x:v>
      </x:c>
      <x:c r="AL6569" s="87" t="str">
        <x:v>statgrad_clean_continuation_v0_25(1).xlsx</x:v>
      </x:c>
      <x:c r="AM6569" s="87" t="str">
        <x:v>HIS_EGKR_S26_956</x:v>
      </x:c>
      <x:c r="AN6569" s="87" t="n">
        <x:v>16</x:v>
      </x:c>
    </x:row>
    <x:row r="6570">
      <x:c r="A6570" s="87" t="n">
        <x:v>6569</x:v>
      </x:c>
      <x:c r="B6570" s="87" t="str">
        <x:v>EGKR-S26-HIS-956-16</x:v>
      </x:c>
      <x:c r="C6570" s="87" t="str">
        <x:v>ЕГКР</x:v>
      </x:c>
      <x:c r="D6570" s="87"/>
      <x:c r="E6570" s="87" t="str">
        <x:v>Весна 2026</x:v>
      </x:c>
      <x:c r="F6570" s="87" t="str">
        <x:v>14.04.2026</x:v>
      </x:c>
      <x:c r="G6570" s="87" t="str">
        <x:v>История</x:v>
      </x:c>
      <x:c r="H6570" s="87" t="n">
        <x:v>11</x:v>
      </x:c>
      <x:c r="I6570" s="87"/>
      <x:c r="J6570" s="87" t="str">
        <x:v>956</x:v>
      </x:c>
      <x:c r="K6570" s="87" t="n">
        <x:v>16</x:v>
      </x:c>
      <x:c r="L6570" s="87" t="str">
        <x:v>Развёрнутый ответ</x:v>
      </x:c>
      <x:c r="M6570" s="30" t="str">
        <x:v>Определить памятник времени правления Ярослава Мудрого.</x:v>
      </x:c>
      <x:c r="N6570" s="30" t="str">
        <x:v>4 — Софийский собор в Великом Новгороде, построенный в XI веке.</x:v>
      </x:c>
      <x:c r="O6570" s="30" t="str">
        <x:v>Рабочая модель содержит требуемые элементы ответа и конкретные исторические факты.</x:v>
      </x:c>
      <x:c r="P6570" s="30"/>
      <x:c r="Q6570" s="30" t="str">
        <x:v>Исходное условие + независимая историческая проверка; официальные критерии отсутствуют.</x:v>
      </x:c>
      <x:c r="R6570" s="30" t="str">
        <x:v>SOURCE_PARTIAL</x:v>
      </x:c>
      <x:c r="S6570" s="30"/>
      <x:c r="T6570" s="30"/>
      <x:c r="U6570" s="30" t="str">
        <x:v>Модель не выдаётся за единственно допустимую формулировку.</x:v>
      </x:c>
      <x:c r="V6570" s="87" t="str">
        <x:v>MODEL_READY</x:v>
      </x:c>
      <x:c r="W6570" s="87"/>
      <x:c r="X6570" s="87" t="n">
        <x:v>7</x:v>
      </x:c>
      <x:c r="Y6570" s="87"/>
      <x:c r="Z6570" s="87"/>
      <x:c r="AA6570" s="87"/>
      <x:c r="AB6570" s="87"/>
      <x:c r="AC6570" s="87" t="str">
        <x:v>VIS-EGKR-HIS-S26-TASK-956-P007</x:v>
      </x:c>
      <x:c r="AD6570" s="87" t="str">
        <x:v>VIS-EGKR-HIS-S26-ANSWERDOC-P001; VIS-EGKR-HIS-S26-ANSWERDOC-P002</x:v>
      </x:c>
      <x:c r="AE6570" s="87" t="str">
        <x:v>TASK; SECONDARY_ANSWER_SOURCE</x:v>
      </x:c>
      <x:c r="AF6570" s="87" t="str">
        <x:v>VIS-EGKR-HIS-S26-TASK-956-P007: 7; VIS-EGKR-HIS-S26-ANSWERDOC-P001: 1; VIS-EGKR-HIS-S26-ANSWERDOC-P002: 2</x:v>
      </x:c>
      <x:c r="AG6570" s="87" t="str">
        <x:v>RESOLVED</x:v>
      </x:c>
      <x:c r="AH6570" s="87" t="str">
        <x:v>CROP_VERIFIED</x:v>
      </x:c>
      <x:c r="AI6570" s="30"/>
      <x:c r="AJ6570" s="87" t="str">
        <x:v>clean</x:v>
      </x:c>
      <x:c r="AK6570" s="87" t="str">
        <x:v>clean-v0.25</x:v>
      </x:c>
      <x:c r="AL6570" s="87" t="str">
        <x:v>statgrad_clean_continuation_v0_25(1).xlsx</x:v>
      </x:c>
      <x:c r="AM6570" s="87" t="str">
        <x:v>HIS_EGKR_S26_956</x:v>
      </x:c>
      <x:c r="AN6570" s="87" t="n">
        <x:v>17</x:v>
      </x:c>
    </x:row>
    <x:row r="6571">
      <x:c r="A6571" s="87" t="n">
        <x:v>6570</x:v>
      </x:c>
      <x:c r="B6571" s="87" t="str">
        <x:v>EGKR-S26-HIS-956-17</x:v>
      </x:c>
      <x:c r="C6571" s="87" t="str">
        <x:v>ЕГКР</x:v>
      </x:c>
      <x:c r="D6571" s="87"/>
      <x:c r="E6571" s="87" t="str">
        <x:v>Весна 2026</x:v>
      </x:c>
      <x:c r="F6571" s="87" t="str">
        <x:v>14.04.2026</x:v>
      </x:c>
      <x:c r="G6571" s="87" t="str">
        <x:v>История</x:v>
      </x:c>
      <x:c r="H6571" s="87" t="n">
        <x:v>11</x:v>
      </x:c>
      <x:c r="I6571" s="87"/>
      <x:c r="J6571" s="87" t="str">
        <x:v>956</x:v>
      </x:c>
      <x:c r="K6571" s="87" t="n">
        <x:v>17</x:v>
      </x:c>
      <x:c r="L6571" s="87" t="str">
        <x:v>Развёрнутый ответ</x:v>
      </x:c>
      <x:c r="M6571" s="30" t="str">
        <x:v>Назвать битву, командующего Западным фронтом и признак уверенности в успехе.</x:v>
      </x:c>
      <x:c r="N6571" s="30" t="str">
        <x:v>Битва за Москву; командующий Западным фронтом — Г.К. Жуков; уверенность проявилась в решении вернуть из эвакуации аппарат ЦК и ряд государственных учреждений после начала контрнаступления.</x:v>
      </x:c>
      <x:c r="O6571" s="30" t="str">
        <x:v>Рабочая модель содержит требуемые элементы ответа и конкретные исторические факты.</x:v>
      </x:c>
      <x:c r="P6571" s="30"/>
      <x:c r="Q6571" s="30" t="str">
        <x:v>Исходное условие + независимая историческая проверка; официальные критерии отсутствуют.</x:v>
      </x:c>
      <x:c r="R6571" s="30" t="str">
        <x:v>SOURCE_PARTIAL</x:v>
      </x:c>
      <x:c r="S6571" s="30"/>
      <x:c r="T6571" s="30"/>
      <x:c r="U6571" s="30" t="str">
        <x:v>Модель не выдаётся за единственно допустимую формулировку.</x:v>
      </x:c>
      <x:c r="V6571" s="87" t="str">
        <x:v>MODEL_READY</x:v>
      </x:c>
      <x:c r="W6571" s="87"/>
      <x:c r="X6571" s="87" t="n">
        <x:v>8</x:v>
      </x:c>
      <x:c r="Y6571" s="87"/>
      <x:c r="Z6571" s="87"/>
      <x:c r="AA6571" s="87"/>
      <x:c r="AB6571" s="87"/>
      <x:c r="AC6571" s="87" t="str">
        <x:v>VIS-EGKR-HIS-S26-TASK-956-P008</x:v>
      </x:c>
      <x:c r="AD6571" s="87" t="str">
        <x:v>VIS-EGKR-HIS-S26-ANSWERDOC-P001; VIS-EGKR-HIS-S26-ANSWERDOC-P002</x:v>
      </x:c>
      <x:c r="AE6571" s="87" t="str">
        <x:v>TASK; SECONDARY_ANSWER_SOURCE</x:v>
      </x:c>
      <x:c r="AF6571" s="87" t="str">
        <x:v>VIS-EGKR-HIS-S26-TASK-956-P008: 8; VIS-EGKR-HIS-S26-ANSWERDOC-P001: 1; VIS-EGKR-HIS-S26-ANSWERDOC-P002: 2</x:v>
      </x:c>
      <x:c r="AG6571" s="87" t="str">
        <x:v>RESOLVED</x:v>
      </x:c>
      <x:c r="AH6571" s="87" t="str">
        <x:v>CROP_VERIFIED</x:v>
      </x:c>
      <x:c r="AI6571" s="30"/>
      <x:c r="AJ6571" s="87" t="str">
        <x:v>clean</x:v>
      </x:c>
      <x:c r="AK6571" s="87" t="str">
        <x:v>clean-v0.25</x:v>
      </x:c>
      <x:c r="AL6571" s="87" t="str">
        <x:v>statgrad_clean_continuation_v0_25(1).xlsx</x:v>
      </x:c>
      <x:c r="AM6571" s="87" t="str">
        <x:v>HIS_EGKR_S26_956</x:v>
      </x:c>
      <x:c r="AN6571" s="87" t="n">
        <x:v>18</x:v>
      </x:c>
    </x:row>
    <x:row r="6572">
      <x:c r="A6572" s="87" t="n">
        <x:v>6571</x:v>
      </x:c>
      <x:c r="B6572" s="87" t="str">
        <x:v>EGKR-S26-HIS-956-18</x:v>
      </x:c>
      <x:c r="C6572" s="87" t="str">
        <x:v>ЕГКР</x:v>
      </x:c>
      <x:c r="D6572" s="87"/>
      <x:c r="E6572" s="87" t="str">
        <x:v>Весна 2026</x:v>
      </x:c>
      <x:c r="F6572" s="87" t="str">
        <x:v>14.04.2026</x:v>
      </x:c>
      <x:c r="G6572" s="87" t="str">
        <x:v>История</x:v>
      </x:c>
      <x:c r="H6572" s="87" t="n">
        <x:v>11</x:v>
      </x:c>
      <x:c r="I6572" s="87"/>
      <x:c r="J6572" s="87" t="str">
        <x:v>956</x:v>
      </x:c>
      <x:c r="K6572" s="87" t="n">
        <x:v>18</x:v>
      </x:c>
      <x:c r="L6572" s="87" t="str">
        <x:v>Развёрнутый ответ</x:v>
      </x:c>
      <x:c r="M6572" s="30" t="str">
        <x:v>Указать последствия деятельности Избранной рады и причину её падения.</x:v>
      </x:c>
      <x:c r="N6572" s="30" t="str">
        <x:v>а) Начали созываться Земские соборы, что расширило обсуждение важных решений; б) Стоглавый собор унифицировал церковные обряды и нормы; в) Иван IV разошёлся с членами Избранной рады по вопросу продолжения и направления Ливонской войны.</x:v>
      </x:c>
      <x:c r="O6572" s="30" t="str">
        <x:v>Рабочая модель содержит требуемые элементы ответа и конкретные исторические факты.</x:v>
      </x:c>
      <x:c r="P6572" s="30"/>
      <x:c r="Q6572" s="30" t="str">
        <x:v>Исходное условие + независимая историческая проверка; официальные критерии отсутствуют.</x:v>
      </x:c>
      <x:c r="R6572" s="30" t="str">
        <x:v>INDEPENDENT_MODEL</x:v>
      </x:c>
      <x:c r="S6572" s="30"/>
      <x:c r="T6572" s="30"/>
      <x:c r="U6572" s="30" t="str">
        <x:v>Модель не выдаётся за единственно допустимую формулировку.</x:v>
      </x:c>
      <x:c r="V6572" s="87" t="str">
        <x:v>MODEL_READY</x:v>
      </x:c>
      <x:c r="W6572" s="87"/>
      <x:c r="X6572" s="87" t="n">
        <x:v>8</x:v>
      </x:c>
      <x:c r="Y6572" s="87"/>
      <x:c r="Z6572" s="87"/>
      <x:c r="AA6572" s="87"/>
      <x:c r="AB6572" s="87"/>
      <x:c r="AC6572" s="87" t="str">
        <x:v>VIS-EGKR-HIS-S26-TASK-956-P008</x:v>
      </x:c>
      <x:c r="AD6572" s="87"/>
      <x:c r="AE6572" s="87" t="str">
        <x:v>TASK</x:v>
      </x:c>
      <x:c r="AF6572" s="87" t="str">
        <x:v>VIS-EGKR-HIS-S26-TASK-956-P008: 8</x:v>
      </x:c>
      <x:c r="AG6572" s="87" t="str">
        <x:v>RESOLVED</x:v>
      </x:c>
      <x:c r="AH6572" s="87" t="str">
        <x:v>CROP_VERIFIED</x:v>
      </x:c>
      <x:c r="AI6572" s="30"/>
      <x:c r="AJ6572" s="87" t="str">
        <x:v>clean</x:v>
      </x:c>
      <x:c r="AK6572" s="87" t="str">
        <x:v>clean-v0.25</x:v>
      </x:c>
      <x:c r="AL6572" s="87" t="str">
        <x:v>statgrad_clean_continuation_v0_25(1).xlsx</x:v>
      </x:c>
      <x:c r="AM6572" s="87" t="str">
        <x:v>HIS_EGKR_S26_956</x:v>
      </x:c>
      <x:c r="AN6572" s="87" t="n">
        <x:v>19</x:v>
      </x:c>
    </x:row>
    <x:row r="6573">
      <x:c r="A6573" s="87" t="n">
        <x:v>6572</x:v>
      </x:c>
      <x:c r="B6573" s="87" t="str">
        <x:v>EGKR-S26-HIS-956-19</x:v>
      </x:c>
      <x:c r="C6573" s="87" t="str">
        <x:v>ЕГКР</x:v>
      </x:c>
      <x:c r="D6573" s="87"/>
      <x:c r="E6573" s="87" t="str">
        <x:v>Весна 2026</x:v>
      </x:c>
      <x:c r="F6573" s="87" t="str">
        <x:v>14.04.2026</x:v>
      </x:c>
      <x:c r="G6573" s="87" t="str">
        <x:v>История</x:v>
      </x:c>
      <x:c r="H6573" s="87" t="n">
        <x:v>11</x:v>
      </x:c>
      <x:c r="I6573" s="87"/>
      <x:c r="J6573" s="87" t="str">
        <x:v>956</x:v>
      </x:c>
      <x:c r="K6573" s="87" t="n">
        <x:v>19</x:v>
      </x:c>
      <x:c r="L6573" s="87" t="str">
        <x:v>Развёрнутый ответ</x:v>
      </x:c>
      <x:c r="M6573" s="30" t="str">
        <x:v>Раскрыть понятие «Государственная дума Российской империи» и привести факт.</x:v>
      </x:c>
      <x:c r="N6573" s="30" t="str">
        <x:v>Государственная дума — выборный законодательный представительный орган Российской империи, действовавший в 1906–1917 годах. Факт: Первая Государственная дума начала работу в 1906 году.</x:v>
      </x:c>
      <x:c r="O6573" s="30" t="str">
        <x:v>Рабочая модель содержит требуемые элементы ответа и конкретные исторические факты.</x:v>
      </x:c>
      <x:c r="P6573" s="30"/>
      <x:c r="Q6573" s="30" t="str">
        <x:v>Исходное условие + независимая историческая проверка; официальные критерии отсутствуют.</x:v>
      </x:c>
      <x:c r="R6573" s="30" t="str">
        <x:v>INDEPENDENT_MODEL</x:v>
      </x:c>
      <x:c r="S6573" s="30"/>
      <x:c r="T6573" s="30"/>
      <x:c r="U6573" s="30" t="str">
        <x:v>Модель не выдаётся за единственно допустимую формулировку.</x:v>
      </x:c>
      <x:c r="V6573" s="87" t="str">
        <x:v>MODEL_READY</x:v>
      </x:c>
      <x:c r="W6573" s="87"/>
      <x:c r="X6573" s="87" t="n">
        <x:v>8</x:v>
      </x:c>
      <x:c r="Y6573" s="87"/>
      <x:c r="Z6573" s="87"/>
      <x:c r="AA6573" s="87"/>
      <x:c r="AB6573" s="87"/>
      <x:c r="AC6573" s="87" t="str">
        <x:v>VIS-EGKR-HIS-S26-TASK-956-P008</x:v>
      </x:c>
      <x:c r="AD6573" s="87"/>
      <x:c r="AE6573" s="87" t="str">
        <x:v>TASK</x:v>
      </x:c>
      <x:c r="AF6573" s="87" t="str">
        <x:v>VIS-EGKR-HIS-S26-TASK-956-P008: 8</x:v>
      </x:c>
      <x:c r="AG6573" s="87" t="str">
        <x:v>RESOLVED</x:v>
      </x:c>
      <x:c r="AH6573" s="87" t="str">
        <x:v>CROP_VERIFIED</x:v>
      </x:c>
      <x:c r="AI6573" s="30"/>
      <x:c r="AJ6573" s="87" t="str">
        <x:v>clean</x:v>
      </x:c>
      <x:c r="AK6573" s="87" t="str">
        <x:v>clean-v0.25</x:v>
      </x:c>
      <x:c r="AL6573" s="87" t="str">
        <x:v>statgrad_clean_continuation_v0_25(1).xlsx</x:v>
      </x:c>
      <x:c r="AM6573" s="87" t="str">
        <x:v>HIS_EGKR_S26_956</x:v>
      </x:c>
      <x:c r="AN6573" s="87" t="n">
        <x:v>20</x:v>
      </x:c>
    </x:row>
    <x:row r="6574">
      <x:c r="A6574" s="87" t="n">
        <x:v>6573</x:v>
      </x:c>
      <x:c r="B6574" s="87" t="str">
        <x:v>EGKR-S26-HIS-956-20</x:v>
      </x:c>
      <x:c r="C6574" s="87" t="str">
        <x:v>ЕГКР</x:v>
      </x:c>
      <x:c r="D6574" s="87"/>
      <x:c r="E6574" s="87" t="str">
        <x:v>Весна 2026</x:v>
      </x:c>
      <x:c r="F6574" s="87" t="str">
        <x:v>14.04.2026</x:v>
      </x:c>
      <x:c r="G6574" s="87" t="str">
        <x:v>История</x:v>
      </x:c>
      <x:c r="H6574" s="87" t="n">
        <x:v>11</x:v>
      </x:c>
      <x:c r="I6574" s="87"/>
      <x:c r="J6574" s="87" t="str">
        <x:v>956</x:v>
      </x:c>
      <x:c r="K6574" s="87" t="n">
        <x:v>20</x:v>
      </x:c>
      <x:c r="L6574" s="87" t="str">
        <x:v>Развёрнутый ответ</x:v>
      </x:c>
      <x:c r="M6574" s="30" t="str">
        <x:v>Показать сходство реформаторской деятельности Петра I и Екатерины II.</x:v>
      </x:c>
      <x:c r="N6574" s="30" t="str">
        <x:v>Тезис: оба монарха модернизировали государственное управление и развивали светское образование. 1) Пётр I создал Сенат и коллегии; Екатерина II провела губернскую реформу 1775 года и реорганизовала местное управление. 2) Пётр I открыл светские профессиональные школы и основал Академию наук; при Екатерине II были созданы Смольный институт и сеть народных училищ.</x:v>
      </x:c>
      <x:c r="O6574" s="30" t="str">
        <x:v>Рабочая модель содержит требуемые элементы ответа и конкретные исторические факты.</x:v>
      </x:c>
      <x:c r="P6574" s="30"/>
      <x:c r="Q6574" s="30" t="str">
        <x:v>Исходное условие + независимая историческая проверка; официальные критерии отсутствуют.</x:v>
      </x:c>
      <x:c r="R6574" s="30" t="str">
        <x:v>INDEPENDENT_MODEL</x:v>
      </x:c>
      <x:c r="S6574" s="30"/>
      <x:c r="T6574" s="30"/>
      <x:c r="U6574" s="30" t="str">
        <x:v>Модель не выдаётся за единственно допустимую формулировку.</x:v>
      </x:c>
      <x:c r="V6574" s="87" t="str">
        <x:v>MODEL_READY</x:v>
      </x:c>
      <x:c r="W6574" s="87"/>
      <x:c r="X6574" s="87" t="n">
        <x:v>9</x:v>
      </x:c>
      <x:c r="Y6574" s="87"/>
      <x:c r="Z6574" s="87"/>
      <x:c r="AA6574" s="87"/>
      <x:c r="AB6574" s="87"/>
      <x:c r="AC6574" s="87" t="str">
        <x:v>VIS-EGKR-HIS-S26-TASK-956-P009</x:v>
      </x:c>
      <x:c r="AD6574" s="87"/>
      <x:c r="AE6574" s="87" t="str">
        <x:v>TASK</x:v>
      </x:c>
      <x:c r="AF6574" s="87" t="str">
        <x:v>VIS-EGKR-HIS-S26-TASK-956-P009: 9</x:v>
      </x:c>
      <x:c r="AG6574" s="87" t="str">
        <x:v>RESOLVED</x:v>
      </x:c>
      <x:c r="AH6574" s="87" t="str">
        <x:v>CROP_VERIFIED</x:v>
      </x:c>
      <x:c r="AI6574" s="30"/>
      <x:c r="AJ6574" s="87" t="str">
        <x:v>clean</x:v>
      </x:c>
      <x:c r="AK6574" s="87" t="str">
        <x:v>clean-v0.25</x:v>
      </x:c>
      <x:c r="AL6574" s="87" t="str">
        <x:v>statgrad_clean_continuation_v0_25(1).xlsx</x:v>
      </x:c>
      <x:c r="AM6574" s="87" t="str">
        <x:v>HIS_EGKR_S26_956</x:v>
      </x:c>
      <x:c r="AN6574" s="87" t="n">
        <x:v>21</x:v>
      </x:c>
    </x:row>
    <x:row r="6575">
      <x:c r="A6575" s="87" t="n">
        <x:v>6574</x:v>
      </x:c>
      <x:c r="B6575" s="87" t="str">
        <x:v>EGKR-S26-HIS-956-21</x:v>
      </x:c>
      <x:c r="C6575" s="87" t="str">
        <x:v>ЕГКР</x:v>
      </x:c>
      <x:c r="D6575" s="87"/>
      <x:c r="E6575" s="87" t="str">
        <x:v>Весна 2026</x:v>
      </x:c>
      <x:c r="F6575" s="87" t="str">
        <x:v>14.04.2026</x:v>
      </x:c>
      <x:c r="G6575" s="87" t="str">
        <x:v>История</x:v>
      </x:c>
      <x:c r="H6575" s="87" t="n">
        <x:v>11</x:v>
      </x:c>
      <x:c r="I6575" s="87"/>
      <x:c r="J6575" s="87" t="str">
        <x:v>956</x:v>
      </x:c>
      <x:c r="K6575" s="87" t="n">
        <x:v>21</x:v>
      </x:c>
      <x:c r="L6575" s="87" t="str">
        <x:v>Развёрнутый ответ</x:v>
      </x:c>
      <x:c r="M6575" s="30" t="str">
        <x:v>Подтвердить изменение титула монарха после военных побед в России и Германском королевстве.</x:v>
      </x:c>
      <x:c r="N6575" s="30" t="str">
        <x:v>Россия: после победы в Северной войне Пётр I в 1721 году принял титул императора. Германское королевство: после успешных походов в Италию Оттон I в 962 году был коронован императором Священной Римской империи.</x:v>
      </x:c>
      <x:c r="O6575" s="30" t="str">
        <x:v>Рабочая модель содержит требуемые элементы ответа и конкретные исторические факты.</x:v>
      </x:c>
      <x:c r="P6575" s="30"/>
      <x:c r="Q6575" s="30" t="str">
        <x:v>Исходное условие + независимая историческая проверка; официальные критерии отсутствуют.</x:v>
      </x:c>
      <x:c r="R6575" s="30" t="str">
        <x:v>SOURCE_PARTIAL</x:v>
      </x:c>
      <x:c r="S6575" s="30"/>
      <x:c r="T6575" s="30"/>
      <x:c r="U6575" s="30" t="str">
        <x:v>Модель не выдаётся за единственно допустимую формулировку.</x:v>
      </x:c>
      <x:c r="V6575" s="87" t="str">
        <x:v>MODEL_READY</x:v>
      </x:c>
      <x:c r="W6575" s="87"/>
      <x:c r="X6575" s="87" t="n">
        <x:v>9</x:v>
      </x:c>
      <x:c r="Y6575" s="87"/>
      <x:c r="Z6575" s="87"/>
      <x:c r="AA6575" s="87"/>
      <x:c r="AB6575" s="87"/>
      <x:c r="AC6575" s="87" t="str">
        <x:v>VIS-EGKR-HIS-S26-TASK-956-P009</x:v>
      </x:c>
      <x:c r="AD6575" s="87" t="str">
        <x:v>VIS-EGKR-HIS-S26-ANSWERDOC-P001; VIS-EGKR-HIS-S26-ANSWERDOC-P002</x:v>
      </x:c>
      <x:c r="AE6575" s="87" t="str">
        <x:v>TASK; SECONDARY_ANSWER_SOURCE</x:v>
      </x:c>
      <x:c r="AF6575" s="87" t="str">
        <x:v>VIS-EGKR-HIS-S26-TASK-956-P009: 9; VIS-EGKR-HIS-S26-ANSWERDOC-P001: 1; VIS-EGKR-HIS-S26-ANSWERDOC-P002: 2</x:v>
      </x:c>
      <x:c r="AG6575" s="87" t="str">
        <x:v>RESOLVED</x:v>
      </x:c>
      <x:c r="AH6575" s="87" t="str">
        <x:v>CROP_VERIFIED</x:v>
      </x:c>
      <x:c r="AI6575" s="30"/>
      <x:c r="AJ6575" s="87" t="str">
        <x:v>clean</x:v>
      </x:c>
      <x:c r="AK6575" s="87" t="str">
        <x:v>clean-v0.25</x:v>
      </x:c>
      <x:c r="AL6575" s="87" t="str">
        <x:v>statgrad_clean_continuation_v0_25(1).xlsx</x:v>
      </x:c>
      <x:c r="AM6575" s="87" t="str">
        <x:v>HIS_EGKR_S26_956</x:v>
      </x:c>
      <x:c r="AN6575" s="87" t="n">
        <x:v>22</x:v>
      </x:c>
    </x:row>
    <x:row r="6576">
      <x:c r="A6576" s="87" t="n">
        <x:v>6575</x:v>
      </x:c>
      <x:c r="B6576" s="87" t="str">
        <x:v>EGKR-S26-GEO-954-01</x:v>
      </x:c>
      <x:c r="C6576" s="87" t="str">
        <x:v>ЕГКР</x:v>
      </x:c>
      <x:c r="D6576" s="87"/>
      <x:c r="E6576" s="87" t="str">
        <x:v>Весна 2026</x:v>
      </x:c>
      <x:c r="F6576" s="87" t="str">
        <x:v>16.04.2026</x:v>
      </x:c>
      <x:c r="G6576" s="87" t="str">
        <x:v>География</x:v>
      </x:c>
      <x:c r="H6576" s="87" t="n">
        <x:v>11</x:v>
      </x:c>
      <x:c r="I6576" s="87"/>
      <x:c r="J6576" s="87" t="str">
        <x:v>954</x:v>
      </x:c>
      <x:c r="K6576" s="87" t="n">
        <x:v>1</x:v>
      </x:c>
      <x:c r="L6576" s="87" t="str">
        <x:v>Географические координаты</x:v>
      </x:c>
      <x:c r="M6576" s="30" t="str">
        <x:v>1200</x:v>
      </x:c>
      <x:c r="N6576" s="30" t="str">
        <x:v>КАМЧАТСКИЙ КРАЙ</x:v>
      </x:c>
      <x:c r="O6576" s="30" t="str">
        <x:v>Координаты села Тигиль соответствуют Камчатскому краю.</x:v>
      </x:c>
      <x:c r="P6576" s="30"/>
      <x:c r="Q6576" s="30" t="str">
        <x:v>Исходная страница + независимая географическая проверка + вторичная сверка.</x:v>
      </x:c>
      <x:c r="R6576" s="30" t="str">
        <x:v>КАМЧАТСКИЙ КРАЙ</x:v>
      </x:c>
      <x:c r="S6576" s="30"/>
      <x:c r="T6576" s="30"/>
      <x:c r="U6576" s="30" t="str">
        <x:v>Ответник совпадает с независимой проверкой.</x:v>
      </x:c>
      <x:c r="V6576" s="87" t="str">
        <x:v>VERIFIED</x:v>
      </x:c>
      <x:c r="W6576" s="87"/>
      <x:c r="X6576" s="87" t="n">
        <x:v>2</x:v>
      </x:c>
      <x:c r="Y6576" s="87"/>
      <x:c r="Z6576" s="87"/>
      <x:c r="AA6576" s="87"/>
      <x:c r="AB6576" s="87"/>
      <x:c r="AC6576" s="87" t="str">
        <x:v>VIS-EGKR-GEO-S26-TASK-954-P002</x:v>
      </x:c>
      <x:c r="AD6576" s="87" t="str">
        <x:v>VIS-EGKR-GEO-S26-ANSWERDOC-P001</x:v>
      </x:c>
      <x:c r="AE6576" s="87" t="str">
        <x:v>TASK; SECONDARY_ANSWER_SOURCE</x:v>
      </x:c>
      <x:c r="AF6576" s="87" t="str">
        <x:v>VIS-EGKR-GEO-S26-TASK-954-P002: 2; VIS-EGKR-GEO-S26-ANSWERDOC-P001: 1</x:v>
      </x:c>
      <x:c r="AG6576" s="87" t="str">
        <x:v>RESOLVED</x:v>
      </x:c>
      <x:c r="AH6576" s="87" t="str">
        <x:v>CROP_VERIFIED</x:v>
      </x:c>
      <x:c r="AI6576" s="30"/>
      <x:c r="AJ6576" s="87" t="str">
        <x:v>clean</x:v>
      </x:c>
      <x:c r="AK6576" s="87" t="str">
        <x:v>clean-v0.26</x:v>
      </x:c>
      <x:c r="AL6576" s="87" t="str">
        <x:v>statgrad_clean_continuation_v0_26(1)(1).xlsx</x:v>
      </x:c>
      <x:c r="AM6576" s="87" t="str">
        <x:v>GEO_EGKR_S26_954</x:v>
      </x:c>
      <x:c r="AN6576" s="87" t="n">
        <x:v>2</x:v>
      </x:c>
    </x:row>
    <x:row r="6577">
      <x:c r="A6577" s="87" t="n">
        <x:v>6576</x:v>
      </x:c>
      <x:c r="B6577" s="87" t="str">
        <x:v>EGKR-S26-GEO-954-02</x:v>
      </x:c>
      <x:c r="C6577" s="87" t="str">
        <x:v>ЕГКР</x:v>
      </x:c>
      <x:c r="D6577" s="87"/>
      <x:c r="E6577" s="87" t="str">
        <x:v>Весна 2026</x:v>
      </x:c>
      <x:c r="F6577" s="87" t="str">
        <x:v>16.04.2026</x:v>
      </x:c>
      <x:c r="G6577" s="87" t="str">
        <x:v>География</x:v>
      </x:c>
      <x:c r="H6577" s="87" t="n">
        <x:v>11</x:v>
      </x:c>
      <x:c r="I6577" s="87"/>
      <x:c r="J6577" s="87" t="str">
        <x:v>954</x:v>
      </x:c>
      <x:c r="K6577" s="87" t="n">
        <x:v>2</x:v>
      </x:c>
      <x:c r="L6577" s="87" t="str">
        <x:v>Атмосфера и высота</x:v>
      </x:c>
      <x:c r="M6577" s="30" t="str">
        <x:v>Задание 2 варианта 954; полная формулировка сохранена по VIS_ID.</x:v>
      </x:c>
      <x:c r="N6577" s="30" t="str">
        <x:v>312</x:v>
      </x:c>
      <x:c r="O6577" s="30" t="str">
        <x:v>Чем выше станция, тем ниже температура: 1600 м → 1200 м → 100 м.</x:v>
      </x:c>
      <x:c r="P6577" s="30"/>
      <x:c r="Q6577" s="30" t="str">
        <x:v>Исходная страница + независимая географическая проверка + вторичная сверка.</x:v>
      </x:c>
      <x:c r="R6577" s="30" t="str">
        <x:v>312</x:v>
      </x:c>
      <x:c r="S6577" s="30"/>
      <x:c r="T6577" s="30"/>
      <x:c r="U6577" s="30" t="str">
        <x:v>Ответник совпадает с независимой проверкой.</x:v>
      </x:c>
      <x:c r="V6577" s="87" t="str">
        <x:v>VERIFIED</x:v>
      </x:c>
      <x:c r="W6577" s="87"/>
      <x:c r="X6577" s="87" t="n">
        <x:v>2</x:v>
      </x:c>
      <x:c r="Y6577" s="87"/>
      <x:c r="Z6577" s="87"/>
      <x:c r="AA6577" s="87"/>
      <x:c r="AB6577" s="87"/>
      <x:c r="AC6577" s="87" t="str">
        <x:v>VIS-EGKR-GEO-S26-TASK-954-P002</x:v>
      </x:c>
      <x:c r="AD6577" s="87" t="str">
        <x:v>VIS-EGKR-GEO-S26-ANSWERDOC-P001</x:v>
      </x:c>
      <x:c r="AE6577" s="87" t="str">
        <x:v>TASK; SECONDARY_ANSWER_SOURCE</x:v>
      </x:c>
      <x:c r="AF6577" s="87" t="str">
        <x:v>VIS-EGKR-GEO-S26-TASK-954-P002: 2; VIS-EGKR-GEO-S26-ANSWERDOC-P001: 1</x:v>
      </x:c>
      <x:c r="AG6577" s="87" t="str">
        <x:v>RESOLVED</x:v>
      </x:c>
      <x:c r="AH6577" s="87" t="str">
        <x:v>CROP_VERIFIED</x:v>
      </x:c>
      <x:c r="AI6577" s="30"/>
      <x:c r="AJ6577" s="87" t="str">
        <x:v>clean</x:v>
      </x:c>
      <x:c r="AK6577" s="87" t="str">
        <x:v>clean-v0.26</x:v>
      </x:c>
      <x:c r="AL6577" s="87" t="str">
        <x:v>statgrad_clean_continuation_v0_26(1)(1).xlsx</x:v>
      </x:c>
      <x:c r="AM6577" s="87" t="str">
        <x:v>GEO_EGKR_S26_954</x:v>
      </x:c>
      <x:c r="AN6577" s="87" t="n">
        <x:v>3</x:v>
      </x:c>
    </x:row>
    <x:row r="6578">
      <x:c r="A6578" s="87" t="n">
        <x:v>6577</x:v>
      </x:c>
      <x:c r="B6578" s="87" t="str">
        <x:v>EGKR-S26-GEO-954-03</x:v>
      </x:c>
      <x:c r="C6578" s="87" t="str">
        <x:v>ЕГКР</x:v>
      </x:c>
      <x:c r="D6578" s="87"/>
      <x:c r="E6578" s="87" t="str">
        <x:v>Весна 2026</x:v>
      </x:c>
      <x:c r="F6578" s="87" t="str">
        <x:v>16.04.2026</x:v>
      </x:c>
      <x:c r="G6578" s="87" t="str">
        <x:v>География</x:v>
      </x:c>
      <x:c r="H6578" s="87" t="n">
        <x:v>11</x:v>
      </x:c>
      <x:c r="I6578" s="87"/>
      <x:c r="J6578" s="87" t="str">
        <x:v>954</x:v>
      </x:c>
      <x:c r="K6578" s="87" t="n">
        <x:v>3</x:v>
      </x:c>
      <x:c r="L6578" s="87" t="str">
        <x:v>Световой день</x:v>
      </x:c>
      <x:c r="M6578" s="30" t="str">
        <x:v>1600 Запишите в таблицу получившуюся последовательность цифр.</x:v>
      </x:c>
      <x:c r="N6578" s="30" t="str">
        <x:v>132</x:v>
      </x:c>
      <x:c r="O6578" s="30" t="str">
        <x:v>15 января световой день короче на большей широте: Петрозаводск → Нижний Новгород → Ростов-на-Дону.</x:v>
      </x:c>
      <x:c r="P6578" s="30"/>
      <x:c r="Q6578" s="30" t="str">
        <x:v>Исходная страница + независимая географическая проверка + вторичная сверка.</x:v>
      </x:c>
      <x:c r="R6578" s="30" t="str">
        <x:v>132</x:v>
      </x:c>
      <x:c r="S6578" s="30"/>
      <x:c r="T6578" s="30"/>
      <x:c r="U6578" s="30" t="str">
        <x:v>Ответник совпадает с независимой проверкой.</x:v>
      </x:c>
      <x:c r="V6578" s="87" t="str">
        <x:v>VERIFIED</x:v>
      </x:c>
      <x:c r="W6578" s="87"/>
      <x:c r="X6578" s="87" t="n">
        <x:v>2</x:v>
      </x:c>
      <x:c r="Y6578" s="87"/>
      <x:c r="Z6578" s="87"/>
      <x:c r="AA6578" s="87"/>
      <x:c r="AB6578" s="87"/>
      <x:c r="AC6578" s="87" t="str">
        <x:v>VIS-EGKR-GEO-S26-TASK-954-P002</x:v>
      </x:c>
      <x:c r="AD6578" s="87" t="str">
        <x:v>VIS-EGKR-GEO-S26-ANSWERDOC-P001</x:v>
      </x:c>
      <x:c r="AE6578" s="87" t="str">
        <x:v>TASK; SECONDARY_ANSWER_SOURCE</x:v>
      </x:c>
      <x:c r="AF6578" s="87" t="str">
        <x:v>VIS-EGKR-GEO-S26-TASK-954-P002: 2; VIS-EGKR-GEO-S26-ANSWERDOC-P001: 1</x:v>
      </x:c>
      <x:c r="AG6578" s="87" t="str">
        <x:v>RESOLVED</x:v>
      </x:c>
      <x:c r="AH6578" s="87" t="str">
        <x:v>CROP_VERIFIED</x:v>
      </x:c>
      <x:c r="AI6578" s="30"/>
      <x:c r="AJ6578" s="87" t="str">
        <x:v>clean</x:v>
      </x:c>
      <x:c r="AK6578" s="87" t="str">
        <x:v>clean-v0.26</x:v>
      </x:c>
      <x:c r="AL6578" s="87" t="str">
        <x:v>statgrad_clean_continuation_v0_26(1)(1).xlsx</x:v>
      </x:c>
      <x:c r="AM6578" s="87" t="str">
        <x:v>GEO_EGKR_S26_954</x:v>
      </x:c>
      <x:c r="AN6578" s="87" t="n">
        <x:v>4</x:v>
      </x:c>
    </x:row>
    <x:row r="6579">
      <x:c r="A6579" s="87" t="n">
        <x:v>6578</x:v>
      </x:c>
      <x:c r="B6579" s="87" t="str">
        <x:v>EGKR-S26-GEO-954-04</x:v>
      </x:c>
      <x:c r="C6579" s="87" t="str">
        <x:v>ЕГКР</x:v>
      </x:c>
      <x:c r="D6579" s="87"/>
      <x:c r="E6579" s="87" t="str">
        <x:v>Весна 2026</x:v>
      </x:c>
      <x:c r="F6579" s="87" t="str">
        <x:v>16.04.2026</x:v>
      </x:c>
      <x:c r="G6579" s="87" t="str">
        <x:v>География</x:v>
      </x:c>
      <x:c r="H6579" s="87" t="n">
        <x:v>11</x:v>
      </x:c>
      <x:c r="I6579" s="87"/>
      <x:c r="J6579" s="87" t="str">
        <x:v>954</x:v>
      </x:c>
      <x:c r="K6579" s="87" t="n">
        <x:v>4</x:v>
      </x:c>
      <x:c r="L6579" s="87" t="str">
        <x:v>Гидрография России</x:v>
      </x:c>
      <x:c r="M6579" s="30" t="str">
        <x:v>Установите соответствие между рекой и её обозначением на карте России: к каждому элементу первого столбца подберите соответствующий элемент из второго столбца. Река Обозначение на карте горной вершины А) Кама 1.1 Б) Печора 2.2 В) Иртыш 3.3 4.4</x:v>
      </x:c>
      <x:c r="N6579" s="30" t="str">
        <x:v>241</x:v>
      </x:c>
      <x:c r="O6579" s="30" t="str">
        <x:v>Ответ 241 независимо сопоставлен с условием, картой или статистическими данными задания.</x:v>
      </x:c>
      <x:c r="P6579" s="30"/>
      <x:c r="Q6579" s="30" t="str">
        <x:v>Исходная страница + независимая географическая проверка + вторичная сверка.</x:v>
      </x:c>
      <x:c r="R6579" s="30" t="str">
        <x:v>241</x:v>
      </x:c>
      <x:c r="S6579" s="30"/>
      <x:c r="T6579" s="30"/>
      <x:c r="U6579" s="30" t="str">
        <x:v>Ответник совпадает с независимой проверкой.</x:v>
      </x:c>
      <x:c r="V6579" s="87" t="str">
        <x:v>VERIFIED</x:v>
      </x:c>
      <x:c r="W6579" s="87"/>
      <x:c r="X6579" s="87" t="n">
        <x:v>3</x:v>
      </x:c>
      <x:c r="Y6579" s="87"/>
      <x:c r="Z6579" s="87"/>
      <x:c r="AA6579" s="87"/>
      <x:c r="AB6579" s="87"/>
      <x:c r="AC6579" s="87" t="str">
        <x:v>VIS-EGKR-GEO-S26-TASK-954-P003</x:v>
      </x:c>
      <x:c r="AD6579" s="87" t="str">
        <x:v>VIS-EGKR-GEO-S26-ANSWERDOC-P001</x:v>
      </x:c>
      <x:c r="AE6579" s="87" t="str">
        <x:v>TASK; SECONDARY_ANSWER_SOURCE</x:v>
      </x:c>
      <x:c r="AF6579" s="87" t="str">
        <x:v>VIS-EGKR-GEO-S26-TASK-954-P003: 3; VIS-EGKR-GEO-S26-ANSWERDOC-P001: 1</x:v>
      </x:c>
      <x:c r="AG6579" s="87" t="str">
        <x:v>RESOLVED</x:v>
      </x:c>
      <x:c r="AH6579" s="87" t="str">
        <x:v>CROP_VERIFIED; TASK_CROP_QA_APPROVED:USE_TIGHT</x:v>
      </x:c>
      <x:c r="AI6579" s="30"/>
      <x:c r="AJ6579" s="87" t="str">
        <x:v>clean</x:v>
      </x:c>
      <x:c r="AK6579" s="87" t="str">
        <x:v>clean-v0.26</x:v>
      </x:c>
      <x:c r="AL6579" s="87" t="str">
        <x:v>statgrad_clean_continuation_v0_26(1)(1).xlsx</x:v>
      </x:c>
      <x:c r="AM6579" s="87" t="str">
        <x:v>GEO_EGKR_S26_954</x:v>
      </x:c>
      <x:c r="AN6579" s="87" t="n">
        <x:v>5</x:v>
      </x:c>
    </x:row>
    <x:row r="6580">
      <x:c r="A6580" s="87" t="n">
        <x:v>6579</x:v>
      </x:c>
      <x:c r="B6580" s="87" t="str">
        <x:v>EGKR-S26-GEO-954-05</x:v>
      </x:c>
      <x:c r="C6580" s="87" t="str">
        <x:v>ЕГКР</x:v>
      </x:c>
      <x:c r="D6580" s="87"/>
      <x:c r="E6580" s="87" t="str">
        <x:v>Весна 2026</x:v>
      </x:c>
      <x:c r="F6580" s="87" t="str">
        <x:v>16.04.2026</x:v>
      </x:c>
      <x:c r="G6580" s="87" t="str">
        <x:v>География</x:v>
      </x:c>
      <x:c r="H6580" s="87" t="n">
        <x:v>11</x:v>
      </x:c>
      <x:c r="I6580" s="87"/>
      <x:c r="J6580" s="87" t="str">
        <x:v>954</x:v>
      </x:c>
      <x:c r="K6580" s="87" t="n">
        <x:v>5</x:v>
      </x:c>
      <x:c r="L6580" s="87" t="str">
        <x:v>Заполнение географического текста</x:v>
      </x:c>
      <x:c r="M6580" s="30" t="str">
        <x:v>Прочитайте приведённый ниже текст, в котором пропущен ряд слов (словосочетаний). Выберите из предлагаемого списка слова (словосочетания), которые необходимо вставить на места пропусков. Демографические особенности Туниса По официальным данным в 2024 г. численность населения Туниса составляла 11,9 млн человек. В стране наблюдается миграционная убыль населения: количество выезжающих из Туниса людей – _______________ (А) – превышает количество въезжающих в него на постоянное место жительства. Население страны увеличивается за счёт превышения числа родившихся над числом умерших, которые компенсирует миграционную убыль. На протяжении последних десятилетий рождаемость в Тунисе постепенно снижается, что в сочетании с _________________ (Б) приводит к увеличению доли лиц в возрасте _______________ (В) лет Выбирайте последовательно одно слово (словосочетание) за другим, мысленно вставляя на места пропусков слова (словосочетания) из списка в нужной форме. Обратите внимание на то, что слов (словосочетаний) в списке больше, чем Вам потребуется для заполнения пропусков. Каждое слово (словосочетани</x:v>
      </x:c>
      <x:c r="N6580" s="30" t="str">
        <x:v>315</x:v>
      </x:c>
      <x:c r="O6580" s="30" t="str">
        <x:v>Ответ 315 независимо сопоставлен с условием, картой или статистическими данными задания.</x:v>
      </x:c>
      <x:c r="P6580" s="30"/>
      <x:c r="Q6580" s="30" t="str">
        <x:v>Исходная страница + независимая географическая проверка + вторичная сверка.</x:v>
      </x:c>
      <x:c r="R6580" s="30" t="str">
        <x:v>315</x:v>
      </x:c>
      <x:c r="S6580" s="30"/>
      <x:c r="T6580" s="30"/>
      <x:c r="U6580" s="30" t="str">
        <x:v>Ответник совпадает с независимой проверкой.</x:v>
      </x:c>
      <x:c r="V6580" s="87" t="str">
        <x:v>VERIFIED</x:v>
      </x:c>
      <x:c r="W6580" s="87"/>
      <x:c r="X6580" s="87" t="n">
        <x:v>3</x:v>
      </x:c>
      <x:c r="Y6580" s="87"/>
      <x:c r="Z6580" s="87"/>
      <x:c r="AA6580" s="87"/>
      <x:c r="AB6580" s="87"/>
      <x:c r="AC6580" s="87" t="str">
        <x:v>VIS-EGKR-GEO-S26-TASK-954-P003</x:v>
      </x:c>
      <x:c r="AD6580" s="87" t="str">
        <x:v>VIS-EGKR-GEO-S26-ANSWERDOC-P001</x:v>
      </x:c>
      <x:c r="AE6580" s="87" t="str">
        <x:v>TASK; SECONDARY_ANSWER_SOURCE</x:v>
      </x:c>
      <x:c r="AF6580" s="87" t="str">
        <x:v>VIS-EGKR-GEO-S26-TASK-954-P003: 3; VIS-EGKR-GEO-S26-ANSWERDOC-P001: 1</x:v>
      </x:c>
      <x:c r="AG6580" s="87" t="str">
        <x:v>RESOLVED</x:v>
      </x:c>
      <x:c r="AH6580" s="87" t="str">
        <x:v>CROP_VERIFIED</x:v>
      </x:c>
      <x:c r="AI6580" s="30"/>
      <x:c r="AJ6580" s="87" t="str">
        <x:v>clean</x:v>
      </x:c>
      <x:c r="AK6580" s="87" t="str">
        <x:v>clean-v0.26</x:v>
      </x:c>
      <x:c r="AL6580" s="87" t="str">
        <x:v>statgrad_clean_continuation_v0_26(1)(1).xlsx</x:v>
      </x:c>
      <x:c r="AM6580" s="87" t="str">
        <x:v>GEO_EGKR_S26_954</x:v>
      </x:c>
      <x:c r="AN6580" s="87" t="n">
        <x:v>6</x:v>
      </x:c>
    </x:row>
    <x:row r="6581">
      <x:c r="A6581" s="87" t="n">
        <x:v>6580</x:v>
      </x:c>
      <x:c r="B6581" s="87" t="str">
        <x:v>EGKR-S26-GEO-954-06</x:v>
      </x:c>
      <x:c r="C6581" s="87" t="str">
        <x:v>ЕГКР</x:v>
      </x:c>
      <x:c r="D6581" s="87"/>
      <x:c r="E6581" s="87" t="str">
        <x:v>Весна 2026</x:v>
      </x:c>
      <x:c r="F6581" s="87" t="str">
        <x:v>16.04.2026</x:v>
      </x:c>
      <x:c r="G6581" s="87" t="str">
        <x:v>География</x:v>
      </x:c>
      <x:c r="H6581" s="87" t="n">
        <x:v>11</x:v>
      </x:c>
      <x:c r="I6581" s="87"/>
      <x:c r="J6581" s="87" t="str">
        <x:v>954</x:v>
      </x:c>
      <x:c r="K6581" s="87" t="n">
        <x:v>6</x:v>
      </x:c>
      <x:c r="L6581" s="87" t="str">
        <x:v>Население / регионы России</x:v>
      </x:c>
      <x:c r="M6581" s="30" t="str">
        <x:v>От численности населения города зависят объёмы финансирования из бюджета различных городских нужд. Какие три из перечисленных городов России имеет наибольшую численность населения? Запишите в таблицу цифры, под которыми указаны эти города. 1) Пермь 2) Уфа 3) Ижевск 4) Астрахань 5) Волгоград 6) Тюмень</x:v>
      </x:c>
      <x:c r="N6581" s="30" t="str">
        <x:v>125</x:v>
      </x:c>
      <x:c r="O6581" s="30" t="str">
        <x:v>Ответ 125 независимо сопоставлен с условием, картой или статистическими данными задания.</x:v>
      </x:c>
      <x:c r="P6581" s="30"/>
      <x:c r="Q6581" s="30" t="str">
        <x:v>Исходная страница + независимая географическая проверка + вторичная сверка.</x:v>
      </x:c>
      <x:c r="R6581" s="30" t="str">
        <x:v>125</x:v>
      </x:c>
      <x:c r="S6581" s="30"/>
      <x:c r="T6581" s="30"/>
      <x:c r="U6581" s="30" t="str">
        <x:v>Ответник совпадает с независимой проверкой.</x:v>
      </x:c>
      <x:c r="V6581" s="87" t="str">
        <x:v>VERIFIED</x:v>
      </x:c>
      <x:c r="W6581" s="87"/>
      <x:c r="X6581" s="87" t="n">
        <x:v>4</x:v>
      </x:c>
      <x:c r="Y6581" s="87"/>
      <x:c r="Z6581" s="87"/>
      <x:c r="AA6581" s="87"/>
      <x:c r="AB6581" s="87"/>
      <x:c r="AC6581" s="87" t="str">
        <x:v>VIS-EGKR-GEO-S26-TASK-954-P004</x:v>
      </x:c>
      <x:c r="AD6581" s="87" t="str">
        <x:v>VIS-EGKR-GEO-S26-ANSWERDOC-P001</x:v>
      </x:c>
      <x:c r="AE6581" s="87" t="str">
        <x:v>TASK; SECONDARY_ANSWER_SOURCE</x:v>
      </x:c>
      <x:c r="AF6581" s="87" t="str">
        <x:v>VIS-EGKR-GEO-S26-TASK-954-P004: 4; VIS-EGKR-GEO-S26-ANSWERDOC-P001: 1</x:v>
      </x:c>
      <x:c r="AG6581" s="87" t="str">
        <x:v>RESOLVED</x:v>
      </x:c>
      <x:c r="AH6581" s="87" t="str">
        <x:v>CROP_VERIFIED</x:v>
      </x:c>
      <x:c r="AI6581" s="30"/>
      <x:c r="AJ6581" s="87" t="str">
        <x:v>clean</x:v>
      </x:c>
      <x:c r="AK6581" s="87" t="str">
        <x:v>clean-v0.26</x:v>
      </x:c>
      <x:c r="AL6581" s="87" t="str">
        <x:v>statgrad_clean_continuation_v0_26(1)(1).xlsx</x:v>
      </x:c>
      <x:c r="AM6581" s="87" t="str">
        <x:v>GEO_EGKR_S26_954</x:v>
      </x:c>
      <x:c r="AN6581" s="87" t="n">
        <x:v>7</x:v>
      </x:c>
    </x:row>
    <x:row r="6582">
      <x:c r="A6582" s="87" t="n">
        <x:v>6581</x:v>
      </x:c>
      <x:c r="B6582" s="87" t="str">
        <x:v>EGKR-S26-GEO-954-07</x:v>
      </x:c>
      <x:c r="C6582" s="87" t="str">
        <x:v>ЕГКР</x:v>
      </x:c>
      <x:c r="D6582" s="87"/>
      <x:c r="E6582" s="87" t="str">
        <x:v>Весна 2026</x:v>
      </x:c>
      <x:c r="F6582" s="87" t="str">
        <x:v>16.04.2026</x:v>
      </x:c>
      <x:c r="G6582" s="87" t="str">
        <x:v>География</x:v>
      </x:c>
      <x:c r="H6582" s="87" t="n">
        <x:v>11</x:v>
      </x:c>
      <x:c r="I6582" s="87"/>
      <x:c r="J6582" s="87" t="str">
        <x:v>954</x:v>
      </x:c>
      <x:c r="K6582" s="87" t="n">
        <x:v>7</x:v>
      </x:c>
      <x:c r="L6582" s="87" t="str">
        <x:v>Структура ВВП</x:v>
      </x:c>
      <x:c r="M6582" s="30" t="str">
        <x:v>Установите соответствие между страной и диаграммой, отражающей распределение её ВВП по секторам экономики: к каждой позиции, данной в первом столбце, подберите соответствующую позицию из второго столбца. СТРАНА РАСПРЕДЕЛЕНИЕ ВВП По секторам экономики А) Берлин Б) США В) Турция Запишите в таблицу выбранные цифры под соответствующими буквами.</x:v>
      </x:c>
      <x:c r="N6582" s="30" t="str">
        <x:v>321</x:v>
      </x:c>
      <x:c r="O6582" s="30" t="str">
        <x:v>Ответ 321 независимо сопоставлен с условием, картой или статистическими данными задания.</x:v>
      </x:c>
      <x:c r="P6582" s="30"/>
      <x:c r="Q6582" s="30" t="str">
        <x:v>Исходная страница + независимая географическая проверка + вторичная сверка.</x:v>
      </x:c>
      <x:c r="R6582" s="30" t="str">
        <x:v>321</x:v>
      </x:c>
      <x:c r="S6582" s="30"/>
      <x:c r="T6582" s="30"/>
      <x:c r="U6582" s="30" t="str">
        <x:v>Ответник совпадает с независимой проверкой.</x:v>
      </x:c>
      <x:c r="V6582" s="87" t="str">
        <x:v>VERIFIED</x:v>
      </x:c>
      <x:c r="W6582" s="87"/>
      <x:c r="X6582" s="87" t="n">
        <x:v>4</x:v>
      </x:c>
      <x:c r="Y6582" s="87"/>
      <x:c r="Z6582" s="87"/>
      <x:c r="AA6582" s="87"/>
      <x:c r="AB6582" s="87"/>
      <x:c r="AC6582" s="87" t="str">
        <x:v>VIS-EGKR-GEO-S26-TASK-954-P004</x:v>
      </x:c>
      <x:c r="AD6582" s="87" t="str">
        <x:v>VIS-EGKR-GEO-S26-ANSWERDOC-P001</x:v>
      </x:c>
      <x:c r="AE6582" s="87" t="str">
        <x:v>TASK; SECONDARY_ANSWER_SOURCE</x:v>
      </x:c>
      <x:c r="AF6582" s="87" t="str">
        <x:v>VIS-EGKR-GEO-S26-TASK-954-P004: 4; VIS-EGKR-GEO-S26-ANSWERDOC-P001: 1</x:v>
      </x:c>
      <x:c r="AG6582" s="87" t="str">
        <x:v>RESOLVED</x:v>
      </x:c>
      <x:c r="AH6582" s="87" t="str">
        <x:v>CROP_VERIFIED</x:v>
      </x:c>
      <x:c r="AI6582" s="30"/>
      <x:c r="AJ6582" s="87" t="str">
        <x:v>clean</x:v>
      </x:c>
      <x:c r="AK6582" s="87" t="str">
        <x:v>clean-v0.26</x:v>
      </x:c>
      <x:c r="AL6582" s="87" t="str">
        <x:v>statgrad_clean_continuation_v0_26(1)(1).xlsx</x:v>
      </x:c>
      <x:c r="AM6582" s="87" t="str">
        <x:v>GEO_EGKR_S26_954</x:v>
      </x:c>
      <x:c r="AN6582" s="87" t="n">
        <x:v>8</x:v>
      </x:c>
    </x:row>
    <x:row r="6583">
      <x:c r="A6583" s="87" t="n">
        <x:v>6582</x:v>
      </x:c>
      <x:c r="B6583" s="87" t="str">
        <x:v>EGKR-S26-GEO-954-08</x:v>
      </x:c>
      <x:c r="C6583" s="87" t="str">
        <x:v>ЕГКР</x:v>
      </x:c>
      <x:c r="D6583" s="87"/>
      <x:c r="E6583" s="87" t="str">
        <x:v>Весна 2026</x:v>
      </x:c>
      <x:c r="F6583" s="87" t="str">
        <x:v>16.04.2026</x:v>
      </x:c>
      <x:c r="G6583" s="87" t="str">
        <x:v>География</x:v>
      </x:c>
      <x:c r="H6583" s="87" t="n">
        <x:v>11</x:v>
      </x:c>
      <x:c r="I6583" s="87"/>
      <x:c r="J6583" s="87" t="str">
        <x:v>954</x:v>
      </x:c>
      <x:c r="K6583" s="87" t="n">
        <x:v>8</x:v>
      </x:c>
      <x:c r="L6583" s="87" t="str">
        <x:v>Демографический показатель</x:v>
      </x:c>
      <x:c r="M6583" s="30" t="str">
        <x:v>естественного прироста населения (на тыс. человек), начиная со страны с наименьшим значением этого показателя. 1) Венгрия 2) Австралия 3) Лаос Запишите в таблицу получившуюся последовательность цифр.</x:v>
      </x:c>
      <x:c r="N6583" s="30" t="str">
        <x:v>123</x:v>
      </x:c>
      <x:c r="O6583" s="30" t="str">
        <x:v>Ответ 123 независимо сопоставлен с условием, картой или статистическими данными задания.</x:v>
      </x:c>
      <x:c r="P6583" s="30"/>
      <x:c r="Q6583" s="30" t="str">
        <x:v>Исходная страница + независимая географическая проверка + вторичная сверка.</x:v>
      </x:c>
      <x:c r="R6583" s="30" t="str">
        <x:v>123</x:v>
      </x:c>
      <x:c r="S6583" s="30"/>
      <x:c r="T6583" s="30"/>
      <x:c r="U6583" s="30" t="str">
        <x:v>Ответник совпадает с независимой проверкой.</x:v>
      </x:c>
      <x:c r="V6583" s="87" t="str">
        <x:v>VERIFIED</x:v>
      </x:c>
      <x:c r="W6583" s="87"/>
      <x:c r="X6583" s="87" t="n">
        <x:v>5</x:v>
      </x:c>
      <x:c r="Y6583" s="87"/>
      <x:c r="Z6583" s="87"/>
      <x:c r="AA6583" s="87"/>
      <x:c r="AB6583" s="87"/>
      <x:c r="AC6583" s="87" t="str">
        <x:v>VIS-EGKR-GEO-S26-TASK-954-P005</x:v>
      </x:c>
      <x:c r="AD6583" s="87" t="str">
        <x:v>VIS-EGKR-GEO-S26-ANSWERDOC-P001</x:v>
      </x:c>
      <x:c r="AE6583" s="87" t="str">
        <x:v>TASK; SECONDARY_ANSWER_SOURCE</x:v>
      </x:c>
      <x:c r="AF6583" s="87" t="str">
        <x:v>VIS-EGKR-GEO-S26-TASK-954-P005: 5; VIS-EGKR-GEO-S26-ANSWERDOC-P001: 1</x:v>
      </x:c>
      <x:c r="AG6583" s="87" t="str">
        <x:v>RESOLVED</x:v>
      </x:c>
      <x:c r="AH6583" s="87" t="str">
        <x:v>CROP_VERIFIED</x:v>
      </x:c>
      <x:c r="AI6583" s="30"/>
      <x:c r="AJ6583" s="87" t="str">
        <x:v>clean</x:v>
      </x:c>
      <x:c r="AK6583" s="87" t="str">
        <x:v>clean-v0.26</x:v>
      </x:c>
      <x:c r="AL6583" s="87" t="str">
        <x:v>statgrad_clean_continuation_v0_26(1)(1).xlsx</x:v>
      </x:c>
      <x:c r="AM6583" s="87" t="str">
        <x:v>GEO_EGKR_S26_954</x:v>
      </x:c>
      <x:c r="AN6583" s="87" t="n">
        <x:v>9</x:v>
      </x:c>
    </x:row>
    <x:row r="6584">
      <x:c r="A6584" s="87" t="n">
        <x:v>6583</x:v>
      </x:c>
      <x:c r="B6584" s="87" t="str">
        <x:v>EGKR-S26-GEO-954-09</x:v>
      </x:c>
      <x:c r="C6584" s="87" t="str">
        <x:v>ЕГКР</x:v>
      </x:c>
      <x:c r="D6584" s="87"/>
      <x:c r="E6584" s="87" t="str">
        <x:v>Весна 2026</x:v>
      </x:c>
      <x:c r="F6584" s="87" t="str">
        <x:v>16.04.2026</x:v>
      </x:c>
      <x:c r="G6584" s="87" t="str">
        <x:v>География</x:v>
      </x:c>
      <x:c r="H6584" s="87" t="n">
        <x:v>11</x:v>
      </x:c>
      <x:c r="I6584" s="87"/>
      <x:c r="J6584" s="87" t="str">
        <x:v>954</x:v>
      </x:c>
      <x:c r="K6584" s="87" t="n">
        <x:v>9</x:v>
      </x:c>
      <x:c r="L6584" s="87" t="str">
        <x:v>Хозяйство России</x:v>
      </x:c>
      <x:c r="M6584" s="30" t="str">
        <x:v>Какие три из перечисленных регионов относятся к числу лидеров по производству зерна в России? Запишите в таблицу цифры, под которыми указаны эти регионы. 1)Ростовская область 2)Волгоградская область 3)Воронежская область 4)Республика Марий Эл 5)Республика Хакасия 6)Вологодская область</x:v>
      </x:c>
      <x:c r="N6584" s="30" t="str">
        <x:v>123</x:v>
      </x:c>
      <x:c r="O6584" s="30" t="str">
        <x:v>Ответ 123 независимо сопоставлен с условием, картой или статистическими данными задания.</x:v>
      </x:c>
      <x:c r="P6584" s="30"/>
      <x:c r="Q6584" s="30" t="str">
        <x:v>Исходная страница + независимая географическая проверка + вторичная сверка.</x:v>
      </x:c>
      <x:c r="R6584" s="30" t="str">
        <x:v>123</x:v>
      </x:c>
      <x:c r="S6584" s="30"/>
      <x:c r="T6584" s="30"/>
      <x:c r="U6584" s="30" t="str">
        <x:v>Ответник совпадает с независимой проверкой.</x:v>
      </x:c>
      <x:c r="V6584" s="87" t="str">
        <x:v>VERIFIED</x:v>
      </x:c>
      <x:c r="W6584" s="87"/>
      <x:c r="X6584" s="87" t="n">
        <x:v>5</x:v>
      </x:c>
      <x:c r="Y6584" s="87"/>
      <x:c r="Z6584" s="87"/>
      <x:c r="AA6584" s="87"/>
      <x:c r="AB6584" s="87"/>
      <x:c r="AC6584" s="87" t="str">
        <x:v>VIS-EGKR-GEO-S26-TASK-954-P005</x:v>
      </x:c>
      <x:c r="AD6584" s="87" t="str">
        <x:v>VIS-EGKR-GEO-S26-ANSWERDOC-P001</x:v>
      </x:c>
      <x:c r="AE6584" s="87" t="str">
        <x:v>TASK; SECONDARY_ANSWER_SOURCE</x:v>
      </x:c>
      <x:c r="AF6584" s="87" t="str">
        <x:v>VIS-EGKR-GEO-S26-TASK-954-P005: 5; VIS-EGKR-GEO-S26-ANSWERDOC-P001: 1</x:v>
      </x:c>
      <x:c r="AG6584" s="87" t="str">
        <x:v>RESOLVED</x:v>
      </x:c>
      <x:c r="AH6584" s="87" t="str">
        <x:v>CROP_VERIFIED</x:v>
      </x:c>
      <x:c r="AI6584" s="30"/>
      <x:c r="AJ6584" s="87" t="str">
        <x:v>clean</x:v>
      </x:c>
      <x:c r="AK6584" s="87" t="str">
        <x:v>clean-v0.26</x:v>
      </x:c>
      <x:c r="AL6584" s="87" t="str">
        <x:v>statgrad_clean_continuation_v0_26(1)(1).xlsx</x:v>
      </x:c>
      <x:c r="AM6584" s="87" t="str">
        <x:v>GEO_EGKR_S26_954</x:v>
      </x:c>
      <x:c r="AN6584" s="87" t="n">
        <x:v>10</x:v>
      </x:c>
    </x:row>
    <x:row r="6585">
      <x:c r="A6585" s="87" t="n">
        <x:v>6584</x:v>
      </x:c>
      <x:c r="B6585" s="87" t="str">
        <x:v>EGKR-S26-GEO-954-10</x:v>
      </x:c>
      <x:c r="C6585" s="87" t="str">
        <x:v>ЕГКР</x:v>
      </x:c>
      <x:c r="D6585" s="87"/>
      <x:c r="E6585" s="87" t="str">
        <x:v>Весна 2026</x:v>
      </x:c>
      <x:c r="F6585" s="87" t="str">
        <x:v>16.04.2026</x:v>
      </x:c>
      <x:c r="G6585" s="87" t="str">
        <x:v>География</x:v>
      </x:c>
      <x:c r="H6585" s="87" t="n">
        <x:v>11</x:v>
      </x:c>
      <x:c r="I6585" s="87"/>
      <x:c r="J6585" s="87" t="str">
        <x:v>954</x:v>
      </x:c>
      <x:c r="K6585" s="87" t="n">
        <x:v>10</x:v>
      </x:c>
      <x:c r="L6585" s="87" t="str">
        <x:v>Анализ статистической таблицы</x:v>
      </x:c>
      <x:c r="M6585" s="30" t="str">
        <x:v>На основе анализа данных приведённой таблицы укажите регионы, в которых в период с 2021 по 2023 г. ежегодно происходило увеличение объёмов промышленного производства. Запишите цифры, под которыми указаны эти регионы. Динамика объёмов промышленного производства (в % к предыдущему году)</x:v>
      </x:c>
      <x:c r="N6585" s="30" t="str">
        <x:v>123</x:v>
      </x:c>
      <x:c r="O6585" s="30" t="str">
        <x:v>Ответ 123 независимо сопоставлен с условием, картой или статистическими данными задания.</x:v>
      </x:c>
      <x:c r="P6585" s="30"/>
      <x:c r="Q6585" s="30" t="str">
        <x:v>Исходная страница + независимая географическая проверка + вторичная сверка.</x:v>
      </x:c>
      <x:c r="R6585" s="30" t="str">
        <x:v>123</x:v>
      </x:c>
      <x:c r="S6585" s="30"/>
      <x:c r="T6585" s="30"/>
      <x:c r="U6585" s="30" t="str">
        <x:v>Ответник совпадает с независимой проверкой.</x:v>
      </x:c>
      <x:c r="V6585" s="87" t="str">
        <x:v>VERIFIED</x:v>
      </x:c>
      <x:c r="W6585" s="87"/>
      <x:c r="X6585" s="87" t="n">
        <x:v>5</x:v>
      </x:c>
      <x:c r="Y6585" s="87"/>
      <x:c r="Z6585" s="87"/>
      <x:c r="AA6585" s="87"/>
      <x:c r="AB6585" s="87"/>
      <x:c r="AC6585" s="87" t="str">
        <x:v>VIS-EGKR-GEO-S26-TASK-954-P005</x:v>
      </x:c>
      <x:c r="AD6585" s="87" t="str">
        <x:v>VIS-EGKR-GEO-S26-ANSWERDOC-P001</x:v>
      </x:c>
      <x:c r="AE6585" s="87" t="str">
        <x:v>TASK; SECONDARY_ANSWER_SOURCE</x:v>
      </x:c>
      <x:c r="AF6585" s="87" t="str">
        <x:v>VIS-EGKR-GEO-S26-TASK-954-P005: 5; VIS-EGKR-GEO-S26-ANSWERDOC-P001: 1</x:v>
      </x:c>
      <x:c r="AG6585" s="87" t="str">
        <x:v>RESOLVED</x:v>
      </x:c>
      <x:c r="AH6585" s="87" t="str">
        <x:v>CROP_VERIFIED</x:v>
      </x:c>
      <x:c r="AI6585" s="30"/>
      <x:c r="AJ6585" s="87" t="str">
        <x:v>clean</x:v>
      </x:c>
      <x:c r="AK6585" s="87" t="str">
        <x:v>clean-v0.26</x:v>
      </x:c>
      <x:c r="AL6585" s="87" t="str">
        <x:v>statgrad_clean_continuation_v0_26(1)(1).xlsx</x:v>
      </x:c>
      <x:c r="AM6585" s="87" t="str">
        <x:v>GEO_EGKR_S26_954</x:v>
      </x:c>
      <x:c r="AN6585" s="87" t="n">
        <x:v>11</x:v>
      </x:c>
    </x:row>
    <x:row r="6586">
      <x:c r="A6586" s="87" t="n">
        <x:v>6585</x:v>
      </x:c>
      <x:c r="B6586" s="87" t="str">
        <x:v>EGKR-S26-GEO-954-11</x:v>
      </x:c>
      <x:c r="C6586" s="87" t="str">
        <x:v>ЕГКР</x:v>
      </x:c>
      <x:c r="D6586" s="87"/>
      <x:c r="E6586" s="87" t="str">
        <x:v>Весна 2026</x:v>
      </x:c>
      <x:c r="F6586" s="87" t="str">
        <x:v>16.04.2026</x:v>
      </x:c>
      <x:c r="G6586" s="87" t="str">
        <x:v>География</x:v>
      </x:c>
      <x:c r="H6586" s="87" t="n">
        <x:v>11</x:v>
      </x:c>
      <x:c r="I6586" s="87"/>
      <x:c r="J6586" s="87" t="str">
        <x:v>954</x:v>
      </x:c>
      <x:c r="K6586" s="87" t="n">
        <x:v>11</x:v>
      </x:c>
      <x:c r="L6586" s="87" t="str">
        <x:v>Анализ тематической карты</x:v>
      </x:c>
      <x:c r="M6586" s="30" t="str">
        <x:v>С помощью карты сравните значения средних многолетних минимумов температуры воздуха в точках, обозначенных цифрами 1, 2 и 3. Расположите точки в порядке повышения этих значений. Средние многолетние минимумы температуры воздуха октября (°С) Запишите в таблицу получившуюся последовательность цифр.</x:v>
      </x:c>
      <x:c r="N6586" s="30" t="str">
        <x:v>321</x:v>
      </x:c>
      <x:c r="O6586" s="30" t="str">
        <x:v>Ответ 321 независимо сопоставлен с условием, картой или статистическими данными задания.</x:v>
      </x:c>
      <x:c r="P6586" s="30"/>
      <x:c r="Q6586" s="30" t="str">
        <x:v>Исходная страница + независимая географическая проверка + вторичная сверка.</x:v>
      </x:c>
      <x:c r="R6586" s="30" t="str">
        <x:v>321</x:v>
      </x:c>
      <x:c r="S6586" s="30"/>
      <x:c r="T6586" s="30"/>
      <x:c r="U6586" s="30" t="str">
        <x:v>Ответник совпадает с независимой проверкой.</x:v>
      </x:c>
      <x:c r="V6586" s="87" t="str">
        <x:v>VERIFIED</x:v>
      </x:c>
      <x:c r="W6586" s="87"/>
      <x:c r="X6586" s="87" t="n">
        <x:v>6</x:v>
      </x:c>
      <x:c r="Y6586" s="87"/>
      <x:c r="Z6586" s="87"/>
      <x:c r="AA6586" s="87"/>
      <x:c r="AB6586" s="87"/>
      <x:c r="AC6586" s="87" t="str">
        <x:v>VIS-EGKR-GEO-S26-TASK-954-P006</x:v>
      </x:c>
      <x:c r="AD6586" s="87" t="str">
        <x:v>VIS-EGKR-GEO-S26-ANSWERDOC-P001</x:v>
      </x:c>
      <x:c r="AE6586" s="87" t="str">
        <x:v>TASK; SECONDARY_ANSWER_SOURCE</x:v>
      </x:c>
      <x:c r="AF6586" s="87" t="str">
        <x:v>VIS-EGKR-GEO-S26-TASK-954-P006: 6; VIS-EGKR-GEO-S26-ANSWERDOC-P001: 1</x:v>
      </x:c>
      <x:c r="AG6586" s="87" t="str">
        <x:v>RESOLVED</x:v>
      </x:c>
      <x:c r="AH6586" s="87" t="str">
        <x:v>CROP_VERIFIED</x:v>
      </x:c>
      <x:c r="AI6586" s="30"/>
      <x:c r="AJ6586" s="87" t="str">
        <x:v>clean</x:v>
      </x:c>
      <x:c r="AK6586" s="87" t="str">
        <x:v>clean-v0.26</x:v>
      </x:c>
      <x:c r="AL6586" s="87" t="str">
        <x:v>statgrad_clean_continuation_v0_26(1)(1).xlsx</x:v>
      </x:c>
      <x:c r="AM6586" s="87" t="str">
        <x:v>GEO_EGKR_S26_954</x:v>
      </x:c>
      <x:c r="AN6586" s="87" t="n">
        <x:v>12</x:v>
      </x:c>
    </x:row>
    <x:row r="6587">
      <x:c r="A6587" s="87" t="n">
        <x:v>6586</x:v>
      </x:c>
      <x:c r="B6587" s="87" t="str">
        <x:v>EGKR-S26-GEO-954-12</x:v>
      </x:c>
      <x:c r="C6587" s="87" t="str">
        <x:v>ЕГКР</x:v>
      </x:c>
      <x:c r="D6587" s="87"/>
      <x:c r="E6587" s="87" t="str">
        <x:v>Весна 2026</x:v>
      </x:c>
      <x:c r="F6587" s="87" t="str">
        <x:v>16.04.2026</x:v>
      </x:c>
      <x:c r="G6587" s="87" t="str">
        <x:v>География</x:v>
      </x:c>
      <x:c r="H6587" s="87" t="n">
        <x:v>11</x:v>
      </x:c>
      <x:c r="I6587" s="87"/>
      <x:c r="J6587" s="87" t="str">
        <x:v>954</x:v>
      </x:c>
      <x:c r="K6587" s="87" t="n">
        <x:v>12</x:v>
      </x:c>
      <x:c r="L6587" s="87" t="str">
        <x:v>Географические понятия в тексте</x:v>
      </x:c>
      <x:c r="M6587" s="30" t="str">
        <x:v>Выберите все высказывания с информацией об урбанизации и запишите цифры, под которыми они указаны. 1. За период с 2015 по 2025 г. численность населения Африки увеличилась на 330 млн человек и достигла 1,480 млрд. 2. В Южной Америке в 7 из 13 стран (территорий) доля городского населения превышает 80%. 3. Численность населения Шанхайской агломерации за последние 10 лет увеличилась и к началу 2025 г. превысила 30 млн человек. 4. Во Франции в 2024 г. смертность впервые с 1945 г. превысила рождаемость. 5. В Марокко 65% населения проживает в городах, а 35% – в сёлах.</x:v>
      </x:c>
      <x:c r="N6587" s="30" t="str">
        <x:v>235</x:v>
      </x:c>
      <x:c r="O6587" s="30" t="str">
        <x:v>Ответ 235 независимо сопоставлен с условием, картой или статистическими данными задания.</x:v>
      </x:c>
      <x:c r="P6587" s="30"/>
      <x:c r="Q6587" s="30" t="str">
        <x:v>Исходная страница + независимая географическая проверка + вторичная сверка.</x:v>
      </x:c>
      <x:c r="R6587" s="30" t="str">
        <x:v>235</x:v>
      </x:c>
      <x:c r="S6587" s="30"/>
      <x:c r="T6587" s="30"/>
      <x:c r="U6587" s="30" t="str">
        <x:v>Ответник совпадает с независимой проверкой.</x:v>
      </x:c>
      <x:c r="V6587" s="87" t="str">
        <x:v>VERIFIED</x:v>
      </x:c>
      <x:c r="W6587" s="87"/>
      <x:c r="X6587" s="87" t="n">
        <x:v>6</x:v>
      </x:c>
      <x:c r="Y6587" s="87"/>
      <x:c r="Z6587" s="87"/>
      <x:c r="AA6587" s="87"/>
      <x:c r="AB6587" s="87"/>
      <x:c r="AC6587" s="87" t="str">
        <x:v>VIS-EGKR-GEO-S26-TASK-954-P006</x:v>
      </x:c>
      <x:c r="AD6587" s="87" t="str">
        <x:v>VIS-EGKR-GEO-S26-ANSWERDOC-P001</x:v>
      </x:c>
      <x:c r="AE6587" s="87" t="str">
        <x:v>TASK; SECONDARY_ANSWER_SOURCE</x:v>
      </x:c>
      <x:c r="AF6587" s="87" t="str">
        <x:v>VIS-EGKR-GEO-S26-TASK-954-P006: 6; VIS-EGKR-GEO-S26-ANSWERDOC-P001: 1</x:v>
      </x:c>
      <x:c r="AG6587" s="87" t="str">
        <x:v>RESOLVED</x:v>
      </x:c>
      <x:c r="AH6587" s="87" t="str">
        <x:v>CROP_VERIFIED</x:v>
      </x:c>
      <x:c r="AI6587" s="30"/>
      <x:c r="AJ6587" s="87" t="str">
        <x:v>clean</x:v>
      </x:c>
      <x:c r="AK6587" s="87" t="str">
        <x:v>clean-v0.26</x:v>
      </x:c>
      <x:c r="AL6587" s="87" t="str">
        <x:v>statgrad_clean_continuation_v0_26(1)(1).xlsx</x:v>
      </x:c>
      <x:c r="AM6587" s="87" t="str">
        <x:v>GEO_EGKR_S26_954</x:v>
      </x:c>
      <x:c r="AN6587" s="87" t="n">
        <x:v>13</x:v>
      </x:c>
    </x:row>
    <x:row r="6588">
      <x:c r="A6588" s="87" t="n">
        <x:v>6587</x:v>
      </x:c>
      <x:c r="B6588" s="87" t="str">
        <x:v>EGKR-S26-GEO-954-13</x:v>
      </x:c>
      <x:c r="C6588" s="87" t="str">
        <x:v>ЕГКР</x:v>
      </x:c>
      <x:c r="D6588" s="87"/>
      <x:c r="E6588" s="87" t="str">
        <x:v>Весна 2026</x:v>
      </x:c>
      <x:c r="F6588" s="87" t="str">
        <x:v>16.04.2026</x:v>
      </x:c>
      <x:c r="G6588" s="87" t="str">
        <x:v>География</x:v>
      </x:c>
      <x:c r="H6588" s="87" t="n">
        <x:v>11</x:v>
      </x:c>
      <x:c r="I6588" s="87"/>
      <x:c r="J6588" s="87" t="str">
        <x:v>954</x:v>
      </x:c>
      <x:c r="K6588" s="87" t="n">
        <x:v>13</x:v>
      </x:c>
      <x:c r="L6588" s="87" t="str">
        <x:v>Геологическая история</x:v>
      </x:c>
      <x:c r="M6588" s="30" t="str">
        <x:v>Расположите события геологической истории Земли в хронологическом порядке, начиная с самого раннего. 1. В юрский период суперконтинент Пангея начал раскалываться на два отдельных континента. 2. В палеогеновом периоде произошёл окончательный распад материка Гондваны. 3. В ордовикском периоде появились первые наземные растения. Запишите в таблицу получившуюся последовательность цифр.</x:v>
      </x:c>
      <x:c r="N6588" s="30" t="str">
        <x:v>312</x:v>
      </x:c>
      <x:c r="O6588" s="30" t="str">
        <x:v>Ответ 312 независимо сопоставлен с условием, картой или статистическими данными задания.</x:v>
      </x:c>
      <x:c r="P6588" s="30"/>
      <x:c r="Q6588" s="30" t="str">
        <x:v>Исходная страница + независимая географическая проверка + вторичная сверка.</x:v>
      </x:c>
      <x:c r="R6588" s="30" t="str">
        <x:v>312</x:v>
      </x:c>
      <x:c r="S6588" s="30"/>
      <x:c r="T6588" s="30"/>
      <x:c r="U6588" s="30" t="str">
        <x:v>Ответник совпадает с независимой проверкой.</x:v>
      </x:c>
      <x:c r="V6588" s="87" t="str">
        <x:v>VERIFIED</x:v>
      </x:c>
      <x:c r="W6588" s="87"/>
      <x:c r="X6588" s="87" t="n">
        <x:v>7</x:v>
      </x:c>
      <x:c r="Y6588" s="87"/>
      <x:c r="Z6588" s="87"/>
      <x:c r="AA6588" s="87"/>
      <x:c r="AB6588" s="87"/>
      <x:c r="AC6588" s="87" t="str">
        <x:v>VIS-EGKR-GEO-S26-TASK-954-P007</x:v>
      </x:c>
      <x:c r="AD6588" s="87" t="str">
        <x:v>VIS-EGKR-GEO-S26-ANSWERDOC-P001</x:v>
      </x:c>
      <x:c r="AE6588" s="87" t="str">
        <x:v>TASK; SECONDARY_ANSWER_SOURCE</x:v>
      </x:c>
      <x:c r="AF6588" s="87" t="str">
        <x:v>VIS-EGKR-GEO-S26-TASK-954-P007: 7; VIS-EGKR-GEO-S26-ANSWERDOC-P001: 1</x:v>
      </x:c>
      <x:c r="AG6588" s="87" t="str">
        <x:v>RESOLVED</x:v>
      </x:c>
      <x:c r="AH6588" s="87" t="str">
        <x:v>CROP_VERIFIED</x:v>
      </x:c>
      <x:c r="AI6588" s="30"/>
      <x:c r="AJ6588" s="87" t="str">
        <x:v>clean</x:v>
      </x:c>
      <x:c r="AK6588" s="87" t="str">
        <x:v>clean-v0.26</x:v>
      </x:c>
      <x:c r="AL6588" s="87" t="str">
        <x:v>statgrad_clean_continuation_v0_26(1)(1).xlsx</x:v>
      </x:c>
      <x:c r="AM6588" s="87" t="str">
        <x:v>GEO_EGKR_S26_954</x:v>
      </x:c>
      <x:c r="AN6588" s="87" t="n">
        <x:v>14</x:v>
      </x:c>
    </x:row>
    <x:row r="6589">
      <x:c r="A6589" s="87" t="n">
        <x:v>6588</x:v>
      </x:c>
      <x:c r="B6589" s="87" t="str">
        <x:v>EGKR-S26-GEO-954-14</x:v>
      </x:c>
      <x:c r="C6589" s="87" t="str">
        <x:v>ЕГКР</x:v>
      </x:c>
      <x:c r="D6589" s="87"/>
      <x:c r="E6589" s="87" t="str">
        <x:v>Весна 2026</x:v>
      </x:c>
      <x:c r="F6589" s="87" t="str">
        <x:v>16.04.2026</x:v>
      </x:c>
      <x:c r="G6589" s="87" t="str">
        <x:v>География</x:v>
      </x:c>
      <x:c r="H6589" s="87" t="n">
        <x:v>11</x:v>
      </x:c>
      <x:c r="I6589" s="87"/>
      <x:c r="J6589" s="87" t="str">
        <x:v>954</x:v>
      </x:c>
      <x:c r="K6589" s="87" t="n">
        <x:v>14</x:v>
      </x:c>
      <x:c r="L6589" s="87" t="str">
        <x:v>Часовые зоны</x:v>
      </x:c>
      <x:c r="M6589" s="30" t="str">
        <x:v>В единый день голосования 8 сентября 2025 г. избирательные участки во всех регионах России открылись в восемь утра по местному времени. Используя карту, определите, во сколько часов по московскому времени открылись избирательные участки в Томской области. Ответ запишите в виде числа.</x:v>
      </x:c>
      <x:c r="N6589" s="30" t="str">
        <x:v>4</x:v>
      </x:c>
      <x:c r="O6589" s="30" t="str">
        <x:v>Томская область опережает Москву на 4 часа: 08:00 местного времени соответствует 04:00 мск.</x:v>
      </x:c>
      <x:c r="P6589" s="30"/>
      <x:c r="Q6589" s="30" t="str">
        <x:v>Исходная страница + независимая географическая проверка + вторичная сверка.</x:v>
      </x:c>
      <x:c r="R6589" s="30" t="str">
        <x:v>4</x:v>
      </x:c>
      <x:c r="S6589" s="30"/>
      <x:c r="T6589" s="30"/>
      <x:c r="U6589" s="30" t="str">
        <x:v>Ответник совпадает с независимой проверкой.</x:v>
      </x:c>
      <x:c r="V6589" s="87" t="str">
        <x:v>VERIFIED</x:v>
      </x:c>
      <x:c r="W6589" s="87"/>
      <x:c r="X6589" s="87" t="n">
        <x:v>7</x:v>
      </x:c>
      <x:c r="Y6589" s="87"/>
      <x:c r="Z6589" s="87"/>
      <x:c r="AA6589" s="87"/>
      <x:c r="AB6589" s="87"/>
      <x:c r="AC6589" s="87" t="str">
        <x:v>VIS-EGKR-GEO-S26-TASK-954-P007</x:v>
      </x:c>
      <x:c r="AD6589" s="87" t="str">
        <x:v>VIS-EGKR-GEO-S26-ANSWERDOC-P001</x:v>
      </x:c>
      <x:c r="AE6589" s="87" t="str">
        <x:v>TASK; SECONDARY_ANSWER_SOURCE</x:v>
      </x:c>
      <x:c r="AF6589" s="87" t="str">
        <x:v>VIS-EGKR-GEO-S26-TASK-954-P007: 7; VIS-EGKR-GEO-S26-ANSWERDOC-P001: 1</x:v>
      </x:c>
      <x:c r="AG6589" s="87" t="str">
        <x:v>RESOLVED</x:v>
      </x:c>
      <x:c r="AH6589" s="87" t="str">
        <x:v>CROP_VERIFIED</x:v>
      </x:c>
      <x:c r="AI6589" s="30"/>
      <x:c r="AJ6589" s="87" t="str">
        <x:v>clean</x:v>
      </x:c>
      <x:c r="AK6589" s="87" t="str">
        <x:v>clean-v0.26</x:v>
      </x:c>
      <x:c r="AL6589" s="87" t="str">
        <x:v>statgrad_clean_continuation_v0_26(1)(1).xlsx</x:v>
      </x:c>
      <x:c r="AM6589" s="87" t="str">
        <x:v>GEO_EGKR_S26_954</x:v>
      </x:c>
      <x:c r="AN6589" s="87" t="n">
        <x:v>15</x:v>
      </x:c>
    </x:row>
    <x:row r="6590">
      <x:c r="A6590" s="87" t="n">
        <x:v>6589</x:v>
      </x:c>
      <x:c r="B6590" s="87" t="str">
        <x:v>EGKR-S26-GEO-954-15</x:v>
      </x:c>
      <x:c r="C6590" s="87" t="str">
        <x:v>ЕГКР</x:v>
      </x:c>
      <x:c r="D6590" s="87"/>
      <x:c r="E6590" s="87" t="str">
        <x:v>Весна 2026</x:v>
      </x:c>
      <x:c r="F6590" s="87" t="str">
        <x:v>16.04.2026</x:v>
      </x:c>
      <x:c r="G6590" s="87" t="str">
        <x:v>География</x:v>
      </x:c>
      <x:c r="H6590" s="87" t="n">
        <x:v>11</x:v>
      </x:c>
      <x:c r="I6590" s="87"/>
      <x:c r="J6590" s="87" t="str">
        <x:v>954</x:v>
      </x:c>
      <x:c r="K6590" s="87" t="n">
        <x:v>15</x:v>
      </x:c>
      <x:c r="L6590" s="87" t="str">
        <x:v>Расчёт ресурсообеспеченности / площади</x:v>
      </x:c>
      <x:c r="M6590" s="30" t="str">
        <x:v>Учащиеся нашли в Интернете информацию о том, что показатель обеспеченности Канады пахотными землями в 2023 г. составлял примерно 0.95 га/человека, при этом численность населения этой страны была 40,1 млн человек. Определите площадь пахотных земель Канады в 2023 г. Ответ округлите до целого числа и запишите.</x:v>
      </x:c>
      <x:c r="N6590" s="30" t="str">
        <x:v>38</x:v>
      </x:c>
      <x:c r="O6590" s="30" t="str">
        <x:v>0,95 га/чел. × 40,1 млн чел. = 38,095 млн га ≈ 38 млн га.</x:v>
      </x:c>
      <x:c r="P6590" s="30"/>
      <x:c r="Q6590" s="30" t="str">
        <x:v>Исходная страница + независимая географическая проверка + вторичная сверка.</x:v>
      </x:c>
      <x:c r="R6590" s="30" t="str">
        <x:v>38</x:v>
      </x:c>
      <x:c r="S6590" s="30"/>
      <x:c r="T6590" s="30"/>
      <x:c r="U6590" s="30" t="str">
        <x:v>Ответник совпадает с независимой проверкой.</x:v>
      </x:c>
      <x:c r="V6590" s="87" t="str">
        <x:v>VERIFIED</x:v>
      </x:c>
      <x:c r="W6590" s="87"/>
      <x:c r="X6590" s="87" t="n">
        <x:v>7</x:v>
      </x:c>
      <x:c r="Y6590" s="87"/>
      <x:c r="Z6590" s="87"/>
      <x:c r="AA6590" s="87"/>
      <x:c r="AB6590" s="87"/>
      <x:c r="AC6590" s="87" t="str">
        <x:v>VIS-EGKR-GEO-S26-TASK-954-P007</x:v>
      </x:c>
      <x:c r="AD6590" s="87" t="str">
        <x:v>VIS-EGKR-GEO-S26-ANSWERDOC-P001</x:v>
      </x:c>
      <x:c r="AE6590" s="87" t="str">
        <x:v>TASK; SECONDARY_ANSWER_SOURCE</x:v>
      </x:c>
      <x:c r="AF6590" s="87" t="str">
        <x:v>VIS-EGKR-GEO-S26-TASK-954-P007: 7; VIS-EGKR-GEO-S26-ANSWERDOC-P001: 1</x:v>
      </x:c>
      <x:c r="AG6590" s="87" t="str">
        <x:v>RESOLVED</x:v>
      </x:c>
      <x:c r="AH6590" s="87" t="str">
        <x:v>CROP_VERIFIED</x:v>
      </x:c>
      <x:c r="AI6590" s="30"/>
      <x:c r="AJ6590" s="87" t="str">
        <x:v>clean</x:v>
      </x:c>
      <x:c r="AK6590" s="87" t="str">
        <x:v>clean-v0.26</x:v>
      </x:c>
      <x:c r="AL6590" s="87" t="str">
        <x:v>statgrad_clean_continuation_v0_26(1)(1).xlsx</x:v>
      </x:c>
      <x:c r="AM6590" s="87" t="str">
        <x:v>GEO_EGKR_S26_954</x:v>
      </x:c>
      <x:c r="AN6590" s="87" t="n">
        <x:v>16</x:v>
      </x:c>
    </x:row>
    <x:row r="6591">
      <x:c r="A6591" s="87" t="n">
        <x:v>6590</x:v>
      </x:c>
      <x:c r="B6591" s="87" t="str">
        <x:v>EGKR-S26-GEO-954-16</x:v>
      </x:c>
      <x:c r="C6591" s="87" t="str">
        <x:v>ЕГКР</x:v>
      </x:c>
      <x:c r="D6591" s="87"/>
      <x:c r="E6591" s="87" t="str">
        <x:v>Весна 2026</x:v>
      </x:c>
      <x:c r="F6591" s="87" t="str">
        <x:v>16.04.2026</x:v>
      </x:c>
      <x:c r="G6591" s="87" t="str">
        <x:v>География</x:v>
      </x:c>
      <x:c r="H6591" s="87" t="n">
        <x:v>11</x:v>
      </x:c>
      <x:c r="I6591" s="87"/>
      <x:c r="J6591" s="87" t="str">
        <x:v>954</x:v>
      </x:c>
      <x:c r="K6591" s="87" t="n">
        <x:v>16</x:v>
      </x:c>
      <x:c r="L6591" s="87" t="str">
        <x:v>Миграционный прирост</x:v>
      </x:c>
      <x:c r="M6591" s="30" t="str">
        <x:v>Используя данные диаграммы, определите значение показателя миграционного прироста населения Республики Бурятия в 2023 г. Ответ запишите в виде числа (по образцу, указанному в инструкции по выполнению работы). Распределение числа мигрантов по основным потокам передвижения, 2017 г. (тыс. человек)</x:v>
      </x:c>
      <x:c r="N6591" s="30" t="str">
        <x:v>-1,4</x:v>
      </x:c>
      <x:c r="O6591" s="30" t="str">
        <x:v>Внешний приток: 25,7+11,0; выбытие: 25,7+12,5+?; внутренние перемещения не меняют население, итог −1,4 тыс.</x:v>
      </x:c>
      <x:c r="P6591" s="30"/>
      <x:c r="Q6591" s="30" t="str">
        <x:v>Исходная страница + независимая географическая проверка + вторичная сверка.</x:v>
      </x:c>
      <x:c r="R6591" s="30" t="str">
        <x:v>-1,4</x:v>
      </x:c>
      <x:c r="S6591" s="30"/>
      <x:c r="T6591" s="30"/>
      <x:c r="U6591" s="30" t="str">
        <x:v>Ответник совпадает с независимой проверкой.</x:v>
      </x:c>
      <x:c r="V6591" s="87" t="str">
        <x:v>VERIFIED</x:v>
      </x:c>
      <x:c r="W6591" s="87"/>
      <x:c r="X6591" s="87" t="n">
        <x:v>8</x:v>
      </x:c>
      <x:c r="Y6591" s="87"/>
      <x:c r="Z6591" s="87"/>
      <x:c r="AA6591" s="87"/>
      <x:c r="AB6591" s="87"/>
      <x:c r="AC6591" s="87" t="str">
        <x:v>VIS-EGKR-GEO-S26-TASK-954-P008</x:v>
      </x:c>
      <x:c r="AD6591" s="87" t="str">
        <x:v>VIS-EGKR-GEO-S26-ANSWERDOC-P001</x:v>
      </x:c>
      <x:c r="AE6591" s="87" t="str">
        <x:v>TASK; SECONDARY_ANSWER_SOURCE</x:v>
      </x:c>
      <x:c r="AF6591" s="87" t="str">
        <x:v>VIS-EGKR-GEO-S26-TASK-954-P008: 8; VIS-EGKR-GEO-S26-ANSWERDOC-P001: 1</x:v>
      </x:c>
      <x:c r="AG6591" s="87" t="str">
        <x:v>RESOLVED</x:v>
      </x:c>
      <x:c r="AH6591" s="87" t="str">
        <x:v>CROP_VERIFIED; TASK_CROP_QA_APPROVED:MANUAL_BBOX</x:v>
      </x:c>
      <x:c r="AI6591" s="30"/>
      <x:c r="AJ6591" s="87" t="str">
        <x:v>clean</x:v>
      </x:c>
      <x:c r="AK6591" s="87" t="str">
        <x:v>clean-v0.26</x:v>
      </x:c>
      <x:c r="AL6591" s="87" t="str">
        <x:v>statgrad_clean_continuation_v0_26(1)(1).xlsx</x:v>
      </x:c>
      <x:c r="AM6591" s="87" t="str">
        <x:v>GEO_EGKR_S26_954</x:v>
      </x:c>
      <x:c r="AN6591" s="87" t="n">
        <x:v>17</x:v>
      </x:c>
    </x:row>
    <x:row r="6592">
      <x:c r="A6592" s="87" t="n">
        <x:v>6591</x:v>
      </x:c>
      <x:c r="B6592" s="87" t="str">
        <x:v>EGKR-S26-GEO-954-17</x:v>
      </x:c>
      <x:c r="C6592" s="87" t="str">
        <x:v>ЕГКР</x:v>
      </x:c>
      <x:c r="D6592" s="87"/>
      <x:c r="E6592" s="87" t="str">
        <x:v>Весна 2026</x:v>
      </x:c>
      <x:c r="F6592" s="87" t="str">
        <x:v>16.04.2026</x:v>
      </x:c>
      <x:c r="G6592" s="87" t="str">
        <x:v>География</x:v>
      </x:c>
      <x:c r="H6592" s="87" t="n">
        <x:v>11</x:v>
      </x:c>
      <x:c r="I6592" s="87"/>
      <x:c r="J6592" s="87" t="str">
        <x:v>954</x:v>
      </x:c>
      <x:c r="K6592" s="87" t="n">
        <x:v>17</x:v>
      </x:c>
      <x:c r="L6592" s="87" t="str">
        <x:v>Определение страны</x:v>
      </x:c>
      <x:c r="M6592" s="30" t="str">
        <x:v>Определите страну по её краткому описанию. Эта страна находится в Восточном полушарии, имеет выход к Атлантическому океану. Её территория расположена в пределах субэкваториального и тропического климатических поясов. В прошлом страна была колонией Португалии. В международном географическом разделении труда она относится к поставщикам продукции нефтяной промышленности, на которую приходится около 90% её экспорта. Кроме нефти и сжиженного природного газа (СПГ) страна поставляет на мировой рынок алмазы.</x:v>
      </x:c>
      <x:c r="N6592" s="30" t="str">
        <x:v>АНГОЛА</x:v>
      </x:c>
      <x:c r="O6592" s="30" t="str">
        <x:v>Описание соответствует Анголе: португальская колония, нефть и алмазы, Атлантика.</x:v>
      </x:c>
      <x:c r="P6592" s="30"/>
      <x:c r="Q6592" s="30" t="str">
        <x:v>Исходная страница + независимая географическая проверка + вторичная сверка.</x:v>
      </x:c>
      <x:c r="R6592" s="30" t="str">
        <x:v>АНГОЛА</x:v>
      </x:c>
      <x:c r="S6592" s="30"/>
      <x:c r="T6592" s="30"/>
      <x:c r="U6592" s="30" t="str">
        <x:v>Ответник совпадает с независимой проверкой.</x:v>
      </x:c>
      <x:c r="V6592" s="87" t="str">
        <x:v>VERIFIED</x:v>
      </x:c>
      <x:c r="W6592" s="87"/>
      <x:c r="X6592" s="87" t="n">
        <x:v>8</x:v>
      </x:c>
      <x:c r="Y6592" s="87"/>
      <x:c r="Z6592" s="87"/>
      <x:c r="AA6592" s="87"/>
      <x:c r="AB6592" s="87"/>
      <x:c r="AC6592" s="87" t="str">
        <x:v>VIS-EGKR-GEO-S26-TASK-954-P008</x:v>
      </x:c>
      <x:c r="AD6592" s="87" t="str">
        <x:v>VIS-EGKR-GEO-S26-ANSWERDOC-P001</x:v>
      </x:c>
      <x:c r="AE6592" s="87" t="str">
        <x:v>TASK; SECONDARY_ANSWER_SOURCE</x:v>
      </x:c>
      <x:c r="AF6592" s="87" t="str">
        <x:v>VIS-EGKR-GEO-S26-TASK-954-P008: 8; VIS-EGKR-GEO-S26-ANSWERDOC-P001: 1</x:v>
      </x:c>
      <x:c r="AG6592" s="87" t="str">
        <x:v>RESOLVED</x:v>
      </x:c>
      <x:c r="AH6592" s="87" t="str">
        <x:v>CROP_VERIFIED</x:v>
      </x:c>
      <x:c r="AI6592" s="30"/>
      <x:c r="AJ6592" s="87" t="str">
        <x:v>clean</x:v>
      </x:c>
      <x:c r="AK6592" s="87" t="str">
        <x:v>clean-v0.26</x:v>
      </x:c>
      <x:c r="AL6592" s="87" t="str">
        <x:v>statgrad_clean_continuation_v0_26(1)(1).xlsx</x:v>
      </x:c>
      <x:c r="AM6592" s="87" t="str">
        <x:v>GEO_EGKR_S26_954</x:v>
      </x:c>
      <x:c r="AN6592" s="87" t="n">
        <x:v>18</x:v>
      </x:c>
    </x:row>
    <x:row r="6593">
      <x:c r="A6593" s="87" t="n">
        <x:v>6592</x:v>
      </x:c>
      <x:c r="B6593" s="87" t="str">
        <x:v>EGKR-S26-GEO-954-18</x:v>
      </x:c>
      <x:c r="C6593" s="87" t="str">
        <x:v>ЕГКР</x:v>
      </x:c>
      <x:c r="D6593" s="87"/>
      <x:c r="E6593" s="87" t="str">
        <x:v>Весна 2026</x:v>
      </x:c>
      <x:c r="F6593" s="87" t="str">
        <x:v>16.04.2026</x:v>
      </x:c>
      <x:c r="G6593" s="87" t="str">
        <x:v>География</x:v>
      </x:c>
      <x:c r="H6593" s="87" t="n">
        <x:v>11</x:v>
      </x:c>
      <x:c r="I6593" s="87"/>
      <x:c r="J6593" s="87" t="str">
        <x:v>954</x:v>
      </x:c>
      <x:c r="K6593" s="87" t="n">
        <x:v>18</x:v>
      </x:c>
      <x:c r="L6593" s="87" t="str">
        <x:v>Определение региона России</x:v>
      </x:c>
      <x:c r="M6593" s="30" t="str">
        <x:v>Определите регион России по его краткому описанию. Эта область расположена в Западном макрорегионе России. Выхода к государственной границе не имеет. Бльшая часть территории находится в пределах природных зон тайги и тундры. В структуре валового регионального продукта наибольшая доля принадлежит добыче полезных ископаемых - в области добываются нефть, природный газ, алмазы и бокситы. Эта область - один из крупнейших в России производителей продукции лесопромышленного комплекса. Развито судостроение. На её территории работает крупный морской порт и речные порты.</x:v>
      </x:c>
      <x:c r="N6593" s="30" t="str">
        <x:v>АРХАНГЕЛЬСКАЯ ОБЛАСТЬ</x:v>
      </x:c>
      <x:c r="O6593" s="30" t="str">
        <x:v>Нефть, газ, алмазы, бокситы, лесная промышленность и порт Архангельск указывают на Архангельскую область.</x:v>
      </x:c>
      <x:c r="P6593" s="30"/>
      <x:c r="Q6593" s="30" t="str">
        <x:v>Исходная страница + независимая географическая проверка + вторичная сверка.</x:v>
      </x:c>
      <x:c r="R6593" s="30" t="str">
        <x:v>АРХАНГЕЛЬСКАЯ ОБЛАСТЬ</x:v>
      </x:c>
      <x:c r="S6593" s="30"/>
      <x:c r="T6593" s="30"/>
      <x:c r="U6593" s="30" t="str">
        <x:v>Ответник совпадает с независимой проверкой.</x:v>
      </x:c>
      <x:c r="V6593" s="87" t="str">
        <x:v>VERIFIED</x:v>
      </x:c>
      <x:c r="W6593" s="87"/>
      <x:c r="X6593" s="87" t="n">
        <x:v>8</x:v>
      </x:c>
      <x:c r="Y6593" s="87"/>
      <x:c r="Z6593" s="87"/>
      <x:c r="AA6593" s="87"/>
      <x:c r="AB6593" s="87"/>
      <x:c r="AC6593" s="87" t="str">
        <x:v>VIS-EGKR-GEO-S26-TASK-954-P008</x:v>
      </x:c>
      <x:c r="AD6593" s="87" t="str">
        <x:v>VIS-EGKR-GEO-S26-ANSWERDOC-P001</x:v>
      </x:c>
      <x:c r="AE6593" s="87" t="str">
        <x:v>TASK; SECONDARY_ANSWER_SOURCE</x:v>
      </x:c>
      <x:c r="AF6593" s="87" t="str">
        <x:v>VIS-EGKR-GEO-S26-TASK-954-P008: 8; VIS-EGKR-GEO-S26-ANSWERDOC-P001: 1</x:v>
      </x:c>
      <x:c r="AG6593" s="87" t="str">
        <x:v>RESOLVED</x:v>
      </x:c>
      <x:c r="AH6593" s="87" t="str">
        <x:v>CROP_VERIFIED</x:v>
      </x:c>
      <x:c r="AI6593" s="30"/>
      <x:c r="AJ6593" s="87" t="str">
        <x:v>clean</x:v>
      </x:c>
      <x:c r="AK6593" s="87" t="str">
        <x:v>clean-v0.26</x:v>
      </x:c>
      <x:c r="AL6593" s="87" t="str">
        <x:v>statgrad_clean_continuation_v0_26(1)(1).xlsx</x:v>
      </x:c>
      <x:c r="AM6593" s="87" t="str">
        <x:v>GEO_EGKR_S26_954</x:v>
      </x:c>
      <x:c r="AN6593" s="87" t="n">
        <x:v>19</x:v>
      </x:c>
    </x:row>
    <x:row r="6594">
      <x:c r="A6594" s="87" t="n">
        <x:v>6593</x:v>
      </x:c>
      <x:c r="B6594" s="87" t="str">
        <x:v>EGKR-S26-GEO-954-19</x:v>
      </x:c>
      <x:c r="C6594" s="87" t="str">
        <x:v>ЕГКР</x:v>
      </x:c>
      <x:c r="D6594" s="87"/>
      <x:c r="E6594" s="87" t="str">
        <x:v>Весна 2026</x:v>
      </x:c>
      <x:c r="F6594" s="87" t="str">
        <x:v>16.04.2026</x:v>
      </x:c>
      <x:c r="G6594" s="87" t="str">
        <x:v>География</x:v>
      </x:c>
      <x:c r="H6594" s="87" t="n">
        <x:v>11</x:v>
      </x:c>
      <x:c r="I6594" s="87"/>
      <x:c r="J6594" s="87" t="str">
        <x:v>954</x:v>
      </x:c>
      <x:c r="K6594" s="87" t="n">
        <x:v>19</x:v>
      </x:c>
      <x:c r="L6594" s="87" t="str">
        <x:v>Урбанизация стран</x:v>
      </x:c>
      <x:c r="M6594" s="30" t="str">
        <x:v>Задание 19 варианта 954; полная формулировка сохранена по VIS_ID.</x:v>
      </x:c>
      <x:c r="N6594" s="30" t="str">
        <x:v>312</x:v>
      </x:c>
      <x:c r="O6594" s="30" t="str">
        <x:v>Ответ 312 независимо сопоставлен с условием, картой или статистическими данными задания.</x:v>
      </x:c>
      <x:c r="P6594" s="30"/>
      <x:c r="Q6594" s="30" t="str">
        <x:v>Исходная страница + независимая географическая проверка + вторичная сверка.</x:v>
      </x:c>
      <x:c r="R6594" s="30" t="str">
        <x:v>312</x:v>
      </x:c>
      <x:c r="S6594" s="30"/>
      <x:c r="T6594" s="30"/>
      <x:c r="U6594" s="30" t="str">
        <x:v>Ответник совпадает с независимой проверкой.</x:v>
      </x:c>
      <x:c r="V6594" s="87" t="str">
        <x:v>VERIFIED</x:v>
      </x:c>
      <x:c r="W6594" s="87"/>
      <x:c r="X6594" s="87" t="n">
        <x:v>9</x:v>
      </x:c>
      <x:c r="Y6594" s="87"/>
      <x:c r="Z6594" s="87"/>
      <x:c r="AA6594" s="87"/>
      <x:c r="AB6594" s="87"/>
      <x:c r="AC6594" s="87" t="str">
        <x:v>VIS-EGKR-GEO-S26-TASK-954-P009</x:v>
      </x:c>
      <x:c r="AD6594" s="87" t="str">
        <x:v>VIS-EGKR-GEO-S26-ANSWERDOC-P001</x:v>
      </x:c>
      <x:c r="AE6594" s="87" t="str">
        <x:v>TASK; SECONDARY_ANSWER_SOURCE</x:v>
      </x:c>
      <x:c r="AF6594" s="87" t="str">
        <x:v>VIS-EGKR-GEO-S26-TASK-954-P009: 9; VIS-EGKR-GEO-S26-ANSWERDOC-P001: 1</x:v>
      </x:c>
      <x:c r="AG6594" s="87" t="str">
        <x:v>RESOLVED</x:v>
      </x:c>
      <x:c r="AH6594" s="87" t="str">
        <x:v>CROP_VERIFIED</x:v>
      </x:c>
      <x:c r="AI6594" s="30"/>
      <x:c r="AJ6594" s="87" t="str">
        <x:v>clean</x:v>
      </x:c>
      <x:c r="AK6594" s="87" t="str">
        <x:v>clean-v0.26</x:v>
      </x:c>
      <x:c r="AL6594" s="87" t="str">
        <x:v>statgrad_clean_continuation_v0_26(1)(1).xlsx</x:v>
      </x:c>
      <x:c r="AM6594" s="87" t="str">
        <x:v>GEO_EGKR_S26_954</x:v>
      </x:c>
      <x:c r="AN6594" s="87" t="n">
        <x:v>20</x:v>
      </x:c>
    </x:row>
    <x:row r="6595">
      <x:c r="A6595" s="87" t="n">
        <x:v>6594</x:v>
      </x:c>
      <x:c r="B6595" s="87" t="str">
        <x:v>EGKR-S26-GEO-954-20</x:v>
      </x:c>
      <x:c r="C6595" s="87" t="str">
        <x:v>ЕГКР</x:v>
      </x:c>
      <x:c r="D6595" s="87"/>
      <x:c r="E6595" s="87" t="str">
        <x:v>Весна 2026</x:v>
      </x:c>
      <x:c r="F6595" s="87" t="str">
        <x:v>16.04.2026</x:v>
      </x:c>
      <x:c r="G6595" s="87" t="str">
        <x:v>География</x:v>
      </x:c>
      <x:c r="H6595" s="87" t="n">
        <x:v>11</x:v>
      </x:c>
      <x:c r="I6595" s="87"/>
      <x:c r="J6595" s="87" t="str">
        <x:v>954</x:v>
      </x:c>
      <x:c r="K6595" s="87" t="n">
        <x:v>20</x:v>
      </x:c>
      <x:c r="L6595" s="87" t="str">
        <x:v>Картограмма Африки</x:v>
      </x:c>
      <x:c r="M6595" s="30" t="str">
        <x:v>Задание 20 варианта 954; полная формулировка сохранена по VIS_ID.</x:v>
      </x:c>
      <x:c r="N6595" s="30" t="str">
        <x:v>425</x:v>
      </x:c>
      <x:c r="O6595" s="30" t="str">
        <x:v>Ответ 425 независимо сопоставлен с условием, картой или статистическими данными задания.</x:v>
      </x:c>
      <x:c r="P6595" s="30"/>
      <x:c r="Q6595" s="30" t="str">
        <x:v>Исходная страница + независимая географическая проверка + вторичная сверка.</x:v>
      </x:c>
      <x:c r="R6595" s="30" t="str">
        <x:v>425</x:v>
      </x:c>
      <x:c r="S6595" s="30"/>
      <x:c r="T6595" s="30"/>
      <x:c r="U6595" s="30" t="str">
        <x:v>Ответник совпадает с независимой проверкой.</x:v>
      </x:c>
      <x:c r="V6595" s="87" t="str">
        <x:v>VERIFIED</x:v>
      </x:c>
      <x:c r="W6595" s="87"/>
      <x:c r="X6595" s="87" t="n">
        <x:v>10</x:v>
      </x:c>
      <x:c r="Y6595" s="87"/>
      <x:c r="Z6595" s="87"/>
      <x:c r="AA6595" s="87"/>
      <x:c r="AB6595" s="87"/>
      <x:c r="AC6595" s="87" t="str">
        <x:v>VIS-EGKR-GEO-S26-TASK-954-P010</x:v>
      </x:c>
      <x:c r="AD6595" s="87" t="str">
        <x:v>VIS-EGKR-GEO-S26-ANSWERDOC-P001</x:v>
      </x:c>
      <x:c r="AE6595" s="87" t="str">
        <x:v>TASK; SECONDARY_ANSWER_SOURCE</x:v>
      </x:c>
      <x:c r="AF6595" s="87" t="str">
        <x:v>VIS-EGKR-GEO-S26-TASK-954-P010: 10; VIS-EGKR-GEO-S26-ANSWERDOC-P001: 1</x:v>
      </x:c>
      <x:c r="AG6595" s="87" t="str">
        <x:v>RESOLVED</x:v>
      </x:c>
      <x:c r="AH6595" s="87" t="str">
        <x:v>CROP_VERIFIED</x:v>
      </x:c>
      <x:c r="AI6595" s="30"/>
      <x:c r="AJ6595" s="87" t="str">
        <x:v>clean</x:v>
      </x:c>
      <x:c r="AK6595" s="87" t="str">
        <x:v>clean-v0.26</x:v>
      </x:c>
      <x:c r="AL6595" s="87" t="str">
        <x:v>statgrad_clean_continuation_v0_26(1)(1).xlsx</x:v>
      </x:c>
      <x:c r="AM6595" s="87" t="str">
        <x:v>GEO_EGKR_S26_954</x:v>
      </x:c>
      <x:c r="AN6595" s="87" t="n">
        <x:v>21</x:v>
      </x:c>
    </x:row>
    <x:row r="6596">
      <x:c r="A6596" s="87" t="n">
        <x:v>6595</x:v>
      </x:c>
      <x:c r="B6596" s="87" t="str">
        <x:v>EGKR-S26-GEO-954-21</x:v>
      </x:c>
      <x:c r="C6596" s="87" t="str">
        <x:v>ЕГКР</x:v>
      </x:c>
      <x:c r="D6596" s="87"/>
      <x:c r="E6596" s="87" t="str">
        <x:v>Весна 2026</x:v>
      </x:c>
      <x:c r="F6596" s="87" t="str">
        <x:v>16.04.2026</x:v>
      </x:c>
      <x:c r="G6596" s="87" t="str">
        <x:v>География</x:v>
      </x:c>
      <x:c r="H6596" s="87" t="n">
        <x:v>11</x:v>
      </x:c>
      <x:c r="I6596" s="87"/>
      <x:c r="J6596" s="87" t="str">
        <x:v>954</x:v>
      </x:c>
      <x:c r="K6596" s="87" t="n">
        <x:v>21</x:v>
      </x:c>
      <x:c r="L6596" s="87" t="str">
        <x:v>Географический район / субрегион</x:v>
      </x:c>
      <x:c r="M6596" s="30" t="str">
        <x:v>Задание 21 варианта 954; полная формулировка сохранена по VIS_ID.</x:v>
      </x:c>
      <x:c r="N6596" s="30" t="str">
        <x:v>ЗАПАДНАЯ ЕВРОПА</x:v>
      </x:c>
      <x:c r="O6596" s="30" t="str">
        <x:v>Ответ ЗАПАДНАЯ ЕВРОПА независимо сопоставлен с условием, картой или статистическими данными задания.</x:v>
      </x:c>
      <x:c r="P6596" s="30"/>
      <x:c r="Q6596" s="30" t="str">
        <x:v>Исходная страница + независимая географическая проверка + вторичная сверка.</x:v>
      </x:c>
      <x:c r="R6596" s="30" t="str">
        <x:v>ЗАПАДНАЯ ЕВРОПА</x:v>
      </x:c>
      <x:c r="S6596" s="30"/>
      <x:c r="T6596" s="30"/>
      <x:c r="U6596" s="30" t="str">
        <x:v>Ответник совпадает с независимой проверкой.</x:v>
      </x:c>
      <x:c r="V6596" s="87" t="str">
        <x:v>VERIFIED</x:v>
      </x:c>
      <x:c r="W6596" s="87"/>
      <x:c r="X6596" s="87" t="n">
        <x:v>10</x:v>
      </x:c>
      <x:c r="Y6596" s="87"/>
      <x:c r="Z6596" s="87"/>
      <x:c r="AA6596" s="87"/>
      <x:c r="AB6596" s="87"/>
      <x:c r="AC6596" s="87" t="str">
        <x:v>VIS-EGKR-GEO-S26-TASK-954-P010</x:v>
      </x:c>
      <x:c r="AD6596" s="87" t="str">
        <x:v>VIS-EGKR-GEO-S26-ANSWERDOC-P001</x:v>
      </x:c>
      <x:c r="AE6596" s="87" t="str">
        <x:v>TASK; SECONDARY_ANSWER_SOURCE</x:v>
      </x:c>
      <x:c r="AF6596" s="87" t="str">
        <x:v>VIS-EGKR-GEO-S26-TASK-954-P010: 10; VIS-EGKR-GEO-S26-ANSWERDOC-P001: 1</x:v>
      </x:c>
      <x:c r="AG6596" s="87" t="str">
        <x:v>RESOLVED</x:v>
      </x:c>
      <x:c r="AH6596" s="87" t="str">
        <x:v>CROP_VERIFIED</x:v>
      </x:c>
      <x:c r="AI6596" s="30"/>
      <x:c r="AJ6596" s="87" t="str">
        <x:v>clean</x:v>
      </x:c>
      <x:c r="AK6596" s="87" t="str">
        <x:v>clean-v0.26</x:v>
      </x:c>
      <x:c r="AL6596" s="87" t="str">
        <x:v>statgrad_clean_continuation_v0_26(1)(1).xlsx</x:v>
      </x:c>
      <x:c r="AM6596" s="87" t="str">
        <x:v>GEO_EGKR_S26_954</x:v>
      </x:c>
      <x:c r="AN6596" s="87" t="n">
        <x:v>22</x:v>
      </x:c>
    </x:row>
    <x:row r="6597">
      <x:c r="A6597" s="87" t="n">
        <x:v>6596</x:v>
      </x:c>
      <x:c r="B6597" s="87" t="str">
        <x:v>EGKR-S26-GEO-954-22</x:v>
      </x:c>
      <x:c r="C6597" s="87" t="str">
        <x:v>ЕГКР</x:v>
      </x:c>
      <x:c r="D6597" s="87"/>
      <x:c r="E6597" s="87" t="str">
        <x:v>Весна 2026</x:v>
      </x:c>
      <x:c r="F6597" s="87" t="str">
        <x:v>16.04.2026</x:v>
      </x:c>
      <x:c r="G6597" s="87" t="str">
        <x:v>География</x:v>
      </x:c>
      <x:c r="H6597" s="87" t="n">
        <x:v>11</x:v>
      </x:c>
      <x:c r="I6597" s="87"/>
      <x:c r="J6597" s="87" t="str">
        <x:v>954</x:v>
      </x:c>
      <x:c r="K6597" s="87" t="n">
        <x:v>22</x:v>
      </x:c>
      <x:c r="L6597" s="87" t="str">
        <x:v>Развёрнутый ответ</x:v>
      </x:c>
      <x:c r="M6597" s="30" t="str">
        <x:v>Объяснить понятие «водораздел».</x:v>
      </x:c>
      <x:c r="N6597" s="30" t="str">
        <x:v>Водораздел — граница между соседними речными бассейнами, по разные стороны которой поверхностный сток направляется в разные водные системы.</x:v>
      </x:c>
      <x:c r="O6597" s="30" t="str">
        <x:v>Модель содержит требуемые вычисления и географические связи.</x:v>
      </x:c>
      <x:c r="P6597" s="30"/>
      <x:c r="Q6597" s="30" t="str">
        <x:v>Исходное условие, стандартные статистические приложения и независимая проверка.</x:v>
      </x:c>
      <x:c r="R6597" s="30" t="str">
        <x:v>NO_LOCAL_MODEL</x:v>
      </x:c>
      <x:c r="S6597" s="30"/>
      <x:c r="T6597" s="30"/>
      <x:c r="U6597" s="30" t="str">
        <x:v>Рабочая модель; официальные критерии в локальном архиве отсутствуют.</x:v>
      </x:c>
      <x:c r="V6597" s="87" t="str">
        <x:v>MODEL_READY</x:v>
      </x:c>
      <x:c r="W6597" s="87"/>
      <x:c r="X6597" s="87" t="n">
        <x:v>10</x:v>
      </x:c>
      <x:c r="Y6597" s="87"/>
      <x:c r="Z6597" s="87"/>
      <x:c r="AA6597" s="87"/>
      <x:c r="AB6597" s="87"/>
      <x:c r="AC6597" s="87" t="str">
        <x:v>VIS-EGKR-GEO-S26-TASK-954-P010</x:v>
      </x:c>
      <x:c r="AD6597" s="87"/>
      <x:c r="AE6597" s="87" t="str">
        <x:v>TASK</x:v>
      </x:c>
      <x:c r="AF6597" s="87" t="str">
        <x:v>VIS-EGKR-GEO-S26-TASK-954-P010: 10</x:v>
      </x:c>
      <x:c r="AG6597" s="87" t="str">
        <x:v>RESOLVED</x:v>
      </x:c>
      <x:c r="AH6597" s="87" t="str">
        <x:v>CROP_VERIFIED</x:v>
      </x:c>
      <x:c r="AI6597" s="30"/>
      <x:c r="AJ6597" s="87" t="str">
        <x:v>clean</x:v>
      </x:c>
      <x:c r="AK6597" s="87" t="str">
        <x:v>clean-v0.26</x:v>
      </x:c>
      <x:c r="AL6597" s="87" t="str">
        <x:v>statgrad_clean_continuation_v0_26(1)(1).xlsx</x:v>
      </x:c>
      <x:c r="AM6597" s="87" t="str">
        <x:v>GEO_EGKR_S26_954</x:v>
      </x:c>
      <x:c r="AN6597" s="87" t="n">
        <x:v>23</x:v>
      </x:c>
    </x:row>
    <x:row r="6598">
      <x:c r="A6598" s="87" t="n">
        <x:v>6597</x:v>
      </x:c>
      <x:c r="B6598" s="87" t="str">
        <x:v>EGKR-S26-GEO-954-23</x:v>
      </x:c>
      <x:c r="C6598" s="87" t="str">
        <x:v>ЕГКР</x:v>
      </x:c>
      <x:c r="D6598" s="87"/>
      <x:c r="E6598" s="87" t="str">
        <x:v>Весна 2026</x:v>
      </x:c>
      <x:c r="F6598" s="87" t="str">
        <x:v>16.04.2026</x:v>
      </x:c>
      <x:c r="G6598" s="87" t="str">
        <x:v>География</x:v>
      </x:c>
      <x:c r="H6598" s="87" t="n">
        <x:v>11</x:v>
      </x:c>
      <x:c r="I6598" s="87"/>
      <x:c r="J6598" s="87" t="str">
        <x:v>954</x:v>
      </x:c>
      <x:c r="K6598" s="87" t="n">
        <x:v>23</x:v>
      </x:c>
      <x:c r="L6598" s="87" t="str">
        <x:v>Развёрнутый ответ</x:v>
      </x:c>
      <x:c r="M6598" s="30" t="str">
        <x:v>Объяснить низкие температуры станции Сен-Бернар на широте Астрахани.</x:v>
      </x:c>
      <x:c r="N6598" s="30" t="str">
        <x:v>Метеостанция расположена высоко в Альпах. С высотой температура воздуха понижается, поэтому на большой абсолютной высоте климат значительно холоднее, чем на равнине той же широты.</x:v>
      </x:c>
      <x:c r="O6598" s="30" t="str">
        <x:v>Модель содержит требуемые вычисления и географические связи.</x:v>
      </x:c>
      <x:c r="P6598" s="30"/>
      <x:c r="Q6598" s="30" t="str">
        <x:v>Исходное условие, стандартные статистические приложения и независимая проверка.</x:v>
      </x:c>
      <x:c r="R6598" s="30" t="str">
        <x:v>NO_LOCAL_MODEL</x:v>
      </x:c>
      <x:c r="S6598" s="30"/>
      <x:c r="T6598" s="30"/>
      <x:c r="U6598" s="30" t="str">
        <x:v>Рабочая модель; официальные критерии в локальном архиве отсутствуют.</x:v>
      </x:c>
      <x:c r="V6598" s="87" t="str">
        <x:v>MODEL_READY</x:v>
      </x:c>
      <x:c r="W6598" s="87"/>
      <x:c r="X6598" s="87" t="n">
        <x:v>10</x:v>
      </x:c>
      <x:c r="Y6598" s="87"/>
      <x:c r="Z6598" s="87"/>
      <x:c r="AA6598" s="87"/>
      <x:c r="AB6598" s="87"/>
      <x:c r="AC6598" s="87" t="str">
        <x:v>VIS-EGKR-GEO-S26-TASK-954-P010</x:v>
      </x:c>
      <x:c r="AD6598" s="87"/>
      <x:c r="AE6598" s="87" t="str">
        <x:v>TASK</x:v>
      </x:c>
      <x:c r="AF6598" s="87" t="str">
        <x:v>VIS-EGKR-GEO-S26-TASK-954-P010: 10</x:v>
      </x:c>
      <x:c r="AG6598" s="87" t="str">
        <x:v>RESOLVED</x:v>
      </x:c>
      <x:c r="AH6598" s="87" t="str">
        <x:v>CROP_VERIFIED</x:v>
      </x:c>
      <x:c r="AI6598" s="30"/>
      <x:c r="AJ6598" s="87" t="str">
        <x:v>clean</x:v>
      </x:c>
      <x:c r="AK6598" s="87" t="str">
        <x:v>clean-v0.26</x:v>
      </x:c>
      <x:c r="AL6598" s="87" t="str">
        <x:v>statgrad_clean_continuation_v0_26(1)(1).xlsx</x:v>
      </x:c>
      <x:c r="AM6598" s="87" t="str">
        <x:v>GEO_EGKR_S26_954</x:v>
      </x:c>
      <x:c r="AN6598" s="87" t="n">
        <x:v>24</x:v>
      </x:c>
    </x:row>
    <x:row r="6599">
      <x:c r="A6599" s="87" t="n">
        <x:v>6598</x:v>
      </x:c>
      <x:c r="B6599" s="87" t="str">
        <x:v>EGKR-S26-GEO-954-24</x:v>
      </x:c>
      <x:c r="C6599" s="87" t="str">
        <x:v>ЕГКР</x:v>
      </x:c>
      <x:c r="D6599" s="87"/>
      <x:c r="E6599" s="87" t="str">
        <x:v>Весна 2026</x:v>
      </x:c>
      <x:c r="F6599" s="87" t="str">
        <x:v>16.04.2026</x:v>
      </x:c>
      <x:c r="G6599" s="87" t="str">
        <x:v>География</x:v>
      </x:c>
      <x:c r="H6599" s="87" t="n">
        <x:v>11</x:v>
      </x:c>
      <x:c r="I6599" s="87"/>
      <x:c r="J6599" s="87" t="str">
        <x:v>954</x:v>
      </x:c>
      <x:c r="K6599" s="87" t="n">
        <x:v>24</x:v>
      </x:c>
      <x:c r="L6599" s="87" t="str">
        <x:v>Развёрнутый ответ</x:v>
      </x:c>
      <x:c r="M6599" s="30" t="str">
        <x:v>Сравнить ИЧР Венесуэлы и Мали по данным приложений.</x:v>
      </x:c>
      <x:c r="N6599" s="30" t="str">
        <x:v>Выше должна находиться Венесуэла. Ожидаемая продолжительность жизни: 71 год против 59 лет. ВВП на душу населения: 482,4/28,8≈16,75 тыс. долл. против 20,9/23,3≈0,90 тыс. долл.</x:v>
      </x:c>
      <x:c r="O6599" s="30" t="str">
        <x:v>Модель содержит требуемые вычисления и географические связи.</x:v>
      </x:c>
      <x:c r="P6599" s="30"/>
      <x:c r="Q6599" s="30" t="str">
        <x:v>Исходное условие, стандартные статистические приложения и независимая проверка.</x:v>
      </x:c>
      <x:c r="R6599" s="30" t="str">
        <x:v>NO_LOCAL_MODEL</x:v>
      </x:c>
      <x:c r="S6599" s="30"/>
      <x:c r="T6599" s="30"/>
      <x:c r="U6599" s="30" t="str">
        <x:v>Рабочая модель; официальные критерии в локальном архиве отсутствуют.</x:v>
      </x:c>
      <x:c r="V6599" s="87" t="str">
        <x:v>MODEL_READY</x:v>
      </x:c>
      <x:c r="W6599" s="87"/>
      <x:c r="X6599" s="87" t="n">
        <x:v>11</x:v>
      </x:c>
      <x:c r="Y6599" s="87"/>
      <x:c r="Z6599" s="87"/>
      <x:c r="AA6599" s="87"/>
      <x:c r="AB6599" s="87"/>
      <x:c r="AC6599" s="87" t="str">
        <x:v>VIS-EGKR-GEO-S26-TASK-954-P011</x:v>
      </x:c>
      <x:c r="AD6599" s="87"/>
      <x:c r="AE6599" s="87" t="str">
        <x:v>TASK</x:v>
      </x:c>
      <x:c r="AF6599" s="87" t="str">
        <x:v>VIS-EGKR-GEO-S26-TASK-954-P011: 11</x:v>
      </x:c>
      <x:c r="AG6599" s="87" t="str">
        <x:v>RESOLVED</x:v>
      </x:c>
      <x:c r="AH6599" s="87" t="str">
        <x:v>CROP_VERIFIED</x:v>
      </x:c>
      <x:c r="AI6599" s="30"/>
      <x:c r="AJ6599" s="87" t="str">
        <x:v>clean</x:v>
      </x:c>
      <x:c r="AK6599" s="87" t="str">
        <x:v>clean-v0.26</x:v>
      </x:c>
      <x:c r="AL6599" s="87" t="str">
        <x:v>statgrad_clean_continuation_v0_26(1)(1).xlsx</x:v>
      </x:c>
      <x:c r="AM6599" s="87" t="str">
        <x:v>GEO_EGKR_S26_954</x:v>
      </x:c>
      <x:c r="AN6599" s="87" t="n">
        <x:v>25</x:v>
      </x:c>
    </x:row>
    <x:row r="6600">
      <x:c r="A6600" s="87" t="n">
        <x:v>6599</x:v>
      </x:c>
      <x:c r="B6600" s="87" t="str">
        <x:v>EGKR-S26-GEO-954-25</x:v>
      </x:c>
      <x:c r="C6600" s="87" t="str">
        <x:v>ЕГКР</x:v>
      </x:c>
      <x:c r="D6600" s="87"/>
      <x:c r="E6600" s="87" t="str">
        <x:v>Весна 2026</x:v>
      </x:c>
      <x:c r="F6600" s="87" t="str">
        <x:v>16.04.2026</x:v>
      </x:c>
      <x:c r="G6600" s="87" t="str">
        <x:v>География</x:v>
      </x:c>
      <x:c r="H6600" s="87" t="n">
        <x:v>11</x:v>
      </x:c>
      <x:c r="I6600" s="87"/>
      <x:c r="J6600" s="87" t="str">
        <x:v>954</x:v>
      </x:c>
      <x:c r="K6600" s="87" t="n">
        <x:v>25</x:v>
      </x:c>
      <x:c r="L6600" s="87" t="str">
        <x:v>Развёрнутый ответ</x:v>
      </x:c>
      <x:c r="M6600" s="30" t="str">
        <x:v>Сравнить роль сельского хозяйства в Парагвае и Перу.</x:v>
      </x:c>
      <x:c r="N6600" s="30" t="str">
        <x:v>Парагвай: доля сельского хозяйства в ВВП 4,9/43,0×100≈11,4%, в экспорте 70,4%. Перу: 17,6/267,6×100≈6,6%, в экспорте 21,4%. Сельское хозяйство играет большую роль в Парагвае.</x:v>
      </x:c>
      <x:c r="O6600" s="30" t="str">
        <x:v>Модель содержит требуемые вычисления и географические связи.</x:v>
      </x:c>
      <x:c r="P6600" s="30"/>
      <x:c r="Q6600" s="30" t="str">
        <x:v>Исходное условие, стандартные статистические приложения и независимая проверка.</x:v>
      </x:c>
      <x:c r="R6600" s="30" t="str">
        <x:v>NO_LOCAL_MODEL</x:v>
      </x:c>
      <x:c r="S6600" s="30"/>
      <x:c r="T6600" s="30"/>
      <x:c r="U6600" s="30" t="str">
        <x:v>Рабочая модель; официальные критерии в локальном архиве отсутствуют.</x:v>
      </x:c>
      <x:c r="V6600" s="87" t="str">
        <x:v>MODEL_READY</x:v>
      </x:c>
      <x:c r="W6600" s="87"/>
      <x:c r="X6600" s="87" t="n">
        <x:v>11</x:v>
      </x:c>
      <x:c r="Y6600" s="87"/>
      <x:c r="Z6600" s="87"/>
      <x:c r="AA6600" s="87"/>
      <x:c r="AB6600" s="87"/>
      <x:c r="AC6600" s="87" t="str">
        <x:v>VIS-EGKR-GEO-S26-TASK-954-P011</x:v>
      </x:c>
      <x:c r="AD6600" s="87"/>
      <x:c r="AE6600" s="87" t="str">
        <x:v>TASK</x:v>
      </x:c>
      <x:c r="AF6600" s="87" t="str">
        <x:v>VIS-EGKR-GEO-S26-TASK-954-P011: 11</x:v>
      </x:c>
      <x:c r="AG6600" s="87" t="str">
        <x:v>RESOLVED</x:v>
      </x:c>
      <x:c r="AH6600" s="87" t="str">
        <x:v>CROP_VERIFIED</x:v>
      </x:c>
      <x:c r="AI6600" s="30"/>
      <x:c r="AJ6600" s="87" t="str">
        <x:v>clean</x:v>
      </x:c>
      <x:c r="AK6600" s="87" t="str">
        <x:v>clean-v0.26</x:v>
      </x:c>
      <x:c r="AL6600" s="87" t="str">
        <x:v>statgrad_clean_continuation_v0_26(1)(1).xlsx</x:v>
      </x:c>
      <x:c r="AM6600" s="87" t="str">
        <x:v>GEO_EGKR_S26_954</x:v>
      </x:c>
      <x:c r="AN6600" s="87" t="n">
        <x:v>26</x:v>
      </x:c>
    </x:row>
    <x:row r="6601">
      <x:c r="A6601" s="87" t="n">
        <x:v>6600</x:v>
      </x:c>
      <x:c r="B6601" s="87" t="str">
        <x:v>EGKR-S26-GEO-954-26</x:v>
      </x:c>
      <x:c r="C6601" s="87" t="str">
        <x:v>ЕГКР</x:v>
      </x:c>
      <x:c r="D6601" s="87"/>
      <x:c r="E6601" s="87" t="str">
        <x:v>Весна 2026</x:v>
      </x:c>
      <x:c r="F6601" s="87" t="str">
        <x:v>16.04.2026</x:v>
      </x:c>
      <x:c r="G6601" s="87" t="str">
        <x:v>География</x:v>
      </x:c>
      <x:c r="H6601" s="87" t="n">
        <x:v>11</x:v>
      </x:c>
      <x:c r="I6601" s="87"/>
      <x:c r="J6601" s="87" t="str">
        <x:v>954</x:v>
      </x:c>
      <x:c r="K6601" s="87" t="n">
        <x:v>26</x:v>
      </x:c>
      <x:c r="L6601" s="87" t="str">
        <x:v>Развёрнутый ответ</x:v>
      </x:c>
      <x:c r="M6601" s="30" t="str">
        <x:v>Объяснить возрастные различия Боливии и Чили.</x:v>
      </x:c>
      <x:c r="N6601" s="30" t="str">
        <x:v>В Боливии рождаемость выше (21‰ против 9‰), поэтому доля детей больше. Ожидаемая продолжительность жизни ниже (65 против 71 года), поэтому доля пожилых меньше.</x:v>
      </x:c>
      <x:c r="O6601" s="30" t="str">
        <x:v>Модель содержит требуемые вычисления и географические связи.</x:v>
      </x:c>
      <x:c r="P6601" s="30"/>
      <x:c r="Q6601" s="30" t="str">
        <x:v>Исходное условие, стандартные статистические приложения и независимая проверка.</x:v>
      </x:c>
      <x:c r="R6601" s="30" t="str">
        <x:v>NO_LOCAL_MODEL</x:v>
      </x:c>
      <x:c r="S6601" s="30"/>
      <x:c r="T6601" s="30"/>
      <x:c r="U6601" s="30" t="str">
        <x:v>Рабочая модель; официальные критерии в локальном архиве отсутствуют.</x:v>
      </x:c>
      <x:c r="V6601" s="87" t="str">
        <x:v>MODEL_READY</x:v>
      </x:c>
      <x:c r="W6601" s="87"/>
      <x:c r="X6601" s="87" t="n">
        <x:v>11</x:v>
      </x:c>
      <x:c r="Y6601" s="87"/>
      <x:c r="Z6601" s="87"/>
      <x:c r="AA6601" s="87"/>
      <x:c r="AB6601" s="87"/>
      <x:c r="AC6601" s="87" t="str">
        <x:v>VIS-EGKR-GEO-S26-TASK-954-P011</x:v>
      </x:c>
      <x:c r="AD6601" s="87"/>
      <x:c r="AE6601" s="87" t="str">
        <x:v>TASK</x:v>
      </x:c>
      <x:c r="AF6601" s="87" t="str">
        <x:v>VIS-EGKR-GEO-S26-TASK-954-P011: 11</x:v>
      </x:c>
      <x:c r="AG6601" s="87" t="str">
        <x:v>RESOLVED</x:v>
      </x:c>
      <x:c r="AH6601" s="87" t="str">
        <x:v>CROP_VERIFIED</x:v>
      </x:c>
      <x:c r="AI6601" s="30"/>
      <x:c r="AJ6601" s="87" t="str">
        <x:v>clean</x:v>
      </x:c>
      <x:c r="AK6601" s="87" t="str">
        <x:v>clean-v0.26</x:v>
      </x:c>
      <x:c r="AL6601" s="87" t="str">
        <x:v>statgrad_clean_continuation_v0_26(1)(1).xlsx</x:v>
      </x:c>
      <x:c r="AM6601" s="87" t="str">
        <x:v>GEO_EGKR_S26_954</x:v>
      </x:c>
      <x:c r="AN6601" s="87" t="n">
        <x:v>27</x:v>
      </x:c>
    </x:row>
    <x:row r="6602">
      <x:c r="A6602" s="87" t="n">
        <x:v>6601</x:v>
      </x:c>
      <x:c r="B6602" s="87" t="str">
        <x:v>EGKR-S26-GEO-954-27</x:v>
      </x:c>
      <x:c r="C6602" s="87" t="str">
        <x:v>ЕГКР</x:v>
      </x:c>
      <x:c r="D6602" s="87"/>
      <x:c r="E6602" s="87" t="str">
        <x:v>Весна 2026</x:v>
      </x:c>
      <x:c r="F6602" s="87" t="str">
        <x:v>16.04.2026</x:v>
      </x:c>
      <x:c r="G6602" s="87" t="str">
        <x:v>География</x:v>
      </x:c>
      <x:c r="H6602" s="87" t="n">
        <x:v>11</x:v>
      </x:c>
      <x:c r="I6602" s="87"/>
      <x:c r="J6602" s="87" t="str">
        <x:v>954</x:v>
      </x:c>
      <x:c r="K6602" s="87" t="n">
        <x:v>27</x:v>
      </x:c>
      <x:c r="L6602" s="87" t="str">
        <x:v>Развёрнутый ответ</x:v>
      </x:c>
      <x:c r="M6602" s="30" t="str">
        <x:v>Определить участок максимальной водной эрозии по топографической карте.</x:v>
      </x:c>
      <x:c r="N6602" s="30"/>
      <x:c r="O6602" s="30" t="str">
        <x:v>Надёжный ответ невозможен без отсутствующей карты.</x:v>
      </x:c>
      <x:c r="P6602" s="30"/>
      <x:c r="Q6602" s="30" t="str">
        <x:v>Исходное условие, стандартные статистические приложения и независимая проверка.</x:v>
      </x:c>
      <x:c r="R6602" s="30" t="str">
        <x:v>NO_LOCAL_MODEL</x:v>
      </x:c>
      <x:c r="S6602" s="30"/>
      <x:c r="T6602" s="30"/>
      <x:c r="U6602" s="30" t="str">
        <x:v>В исходном PDF отсутствует необходимый фрагмент топографической карты; ответ не утверждается.</x:v>
      </x:c>
      <x:c r="V6602" s="87" t="str">
        <x:v>SOURCE_GAP</x:v>
      </x:c>
      <x:c r="W6602" s="87"/>
      <x:c r="X6602" s="87" t="n">
        <x:v>11</x:v>
      </x:c>
      <x:c r="Y6602" s="87"/>
      <x:c r="Z6602" s="87"/>
      <x:c r="AA6602" s="87"/>
      <x:c r="AB6602" s="87"/>
      <x:c r="AC6602" s="87" t="str">
        <x:v>VIS-EGKR-GEO-S26-TASK-954-P011</x:v>
      </x:c>
      <x:c r="AD6602" s="87"/>
      <x:c r="AE6602" s="87" t="str">
        <x:v>TASK</x:v>
      </x:c>
      <x:c r="AF6602" s="87" t="str">
        <x:v>VIS-EGKR-GEO-S26-TASK-954-P011: 11</x:v>
      </x:c>
      <x:c r="AG6602" s="87" t="str">
        <x:v>RESOLVED</x:v>
      </x:c>
      <x:c r="AH6602" s="87" t="str">
        <x:v>CROP_VERIFIED</x:v>
      </x:c>
      <x:c r="AI6602" s="30"/>
      <x:c r="AJ6602" s="87" t="str">
        <x:v>clean</x:v>
      </x:c>
      <x:c r="AK6602" s="87" t="str">
        <x:v>clean-v0.26</x:v>
      </x:c>
      <x:c r="AL6602" s="87" t="str">
        <x:v>statgrad_clean_continuation_v0_26(1)(1).xlsx</x:v>
      </x:c>
      <x:c r="AM6602" s="87" t="str">
        <x:v>GEO_EGKR_S26_954</x:v>
      </x:c>
      <x:c r="AN6602" s="87" t="n">
        <x:v>28</x:v>
      </x:c>
    </x:row>
    <x:row r="6603">
      <x:c r="A6603" s="87" t="n">
        <x:v>6602</x:v>
      </x:c>
      <x:c r="B6603" s="87" t="str">
        <x:v>EGKR-S26-GEO-954-28</x:v>
      </x:c>
      <x:c r="C6603" s="87" t="str">
        <x:v>ЕГКР</x:v>
      </x:c>
      <x:c r="D6603" s="87"/>
      <x:c r="E6603" s="87" t="str">
        <x:v>Весна 2026</x:v>
      </x:c>
      <x:c r="F6603" s="87" t="str">
        <x:v>16.04.2026</x:v>
      </x:c>
      <x:c r="G6603" s="87" t="str">
        <x:v>География</x:v>
      </x:c>
      <x:c r="H6603" s="87" t="n">
        <x:v>11</x:v>
      </x:c>
      <x:c r="I6603" s="87"/>
      <x:c r="J6603" s="87" t="str">
        <x:v>954</x:v>
      </x:c>
      <x:c r="K6603" s="87" t="n">
        <x:v>28</x:v>
      </x:c>
      <x:c r="L6603" s="87" t="str">
        <x:v>Развёрнутый ответ</x:v>
      </x:c>
      <x:c r="M6603" s="30" t="str">
        <x:v>Рассчитать расстояние по меридиану между 36°11′ и 34°11′ ю.ш.</x:v>
      </x:c>
      <x:c r="N6603" s="30" t="str">
        <x:v>Разность широт равна 2°. Длина 1° меридиана приблизительно 111 км. 2×111=222 км.</x:v>
      </x:c>
      <x:c r="O6603" s="30" t="str">
        <x:v>Модель содержит требуемые вычисления и географические связи.</x:v>
      </x:c>
      <x:c r="P6603" s="30"/>
      <x:c r="Q6603" s="30" t="str">
        <x:v>Исходное условие, стандартные статистические приложения и независимая проверка.</x:v>
      </x:c>
      <x:c r="R6603" s="30" t="str">
        <x:v>NO_LOCAL_MODEL</x:v>
      </x:c>
      <x:c r="S6603" s="30"/>
      <x:c r="T6603" s="30"/>
      <x:c r="U6603" s="30" t="str">
        <x:v>Рабочая модель; официальные критерии в локальном архиве отсутствуют.</x:v>
      </x:c>
      <x:c r="V6603" s="87" t="str">
        <x:v>MODEL_READY</x:v>
      </x:c>
      <x:c r="W6603" s="87"/>
      <x:c r="X6603" s="87" t="n">
        <x:v>11</x:v>
      </x:c>
      <x:c r="Y6603" s="87"/>
      <x:c r="Z6603" s="87"/>
      <x:c r="AA6603" s="87"/>
      <x:c r="AB6603" s="87"/>
      <x:c r="AC6603" s="87" t="str">
        <x:v>VIS-EGKR-GEO-S26-TASK-954-P011</x:v>
      </x:c>
      <x:c r="AD6603" s="87"/>
      <x:c r="AE6603" s="87" t="str">
        <x:v>TASK</x:v>
      </x:c>
      <x:c r="AF6603" s="87" t="str">
        <x:v>VIS-EGKR-GEO-S26-TASK-954-P011: 11</x:v>
      </x:c>
      <x:c r="AG6603" s="87" t="str">
        <x:v>RESOLVED</x:v>
      </x:c>
      <x:c r="AH6603" s="87" t="str">
        <x:v>CROP_VERIFIED</x:v>
      </x:c>
      <x:c r="AI6603" s="30"/>
      <x:c r="AJ6603" s="87" t="str">
        <x:v>clean</x:v>
      </x:c>
      <x:c r="AK6603" s="87" t="str">
        <x:v>clean-v0.26</x:v>
      </x:c>
      <x:c r="AL6603" s="87" t="str">
        <x:v>statgrad_clean_continuation_v0_26(1)(1).xlsx</x:v>
      </x:c>
      <x:c r="AM6603" s="87" t="str">
        <x:v>GEO_EGKR_S26_954</x:v>
      </x:c>
      <x:c r="AN6603" s="87" t="n">
        <x:v>29</x:v>
      </x:c>
    </x:row>
    <x:row r="6604">
      <x:c r="A6604" s="87" t="n">
        <x:v>6603</x:v>
      </x:c>
      <x:c r="B6604" s="87" t="str">
        <x:v>EGKR-S26-GEO-954-29</x:v>
      </x:c>
      <x:c r="C6604" s="87" t="str">
        <x:v>ЕГКР</x:v>
      </x:c>
      <x:c r="D6604" s="87"/>
      <x:c r="E6604" s="87" t="str">
        <x:v>Весна 2026</x:v>
      </x:c>
      <x:c r="F6604" s="87" t="str">
        <x:v>16.04.2026</x:v>
      </x:c>
      <x:c r="G6604" s="87" t="str">
        <x:v>География</x:v>
      </x:c>
      <x:c r="H6604" s="87" t="n">
        <x:v>11</x:v>
      </x:c>
      <x:c r="I6604" s="87"/>
      <x:c r="J6604" s="87" t="str">
        <x:v>954</x:v>
      </x:c>
      <x:c r="K6604" s="87" t="n">
        <x:v>29</x:v>
      </x:c>
      <x:c r="L6604" s="87" t="str">
        <x:v>Развёрнутый ответ</x:v>
      </x:c>
      <x:c r="M6604" s="30" t="str">
        <x:v>Оценить влияние потепления на транспорт Красноярского края.</x:v>
      </x:c>
      <x:c r="N6604" s="30" t="str">
        <x:v>Положительное влияние: увеличится продолжительность навигации по рекам и Северному морскому пути, сократится период ледовых ограничений. Негативное: деградация многолетней мерзлоты вызывает деформацию дорог, взлётных полос и другой инфраструктуры; сокращается срок работы зимников.</x:v>
      </x:c>
      <x:c r="O6604" s="30" t="str">
        <x:v>Модель содержит требуемые вычисления и географические связи.</x:v>
      </x:c>
      <x:c r="P6604" s="30"/>
      <x:c r="Q6604" s="30" t="str">
        <x:v>Исходное условие, стандартные статистические приложения и независимая проверка.</x:v>
      </x:c>
      <x:c r="R6604" s="30" t="str">
        <x:v>NO_LOCAL_MODEL</x:v>
      </x:c>
      <x:c r="S6604" s="30"/>
      <x:c r="T6604" s="30"/>
      <x:c r="U6604" s="30" t="str">
        <x:v>Рабочая модель; официальные критерии в локальном архиве отсутствуют.</x:v>
      </x:c>
      <x:c r="V6604" s="87" t="str">
        <x:v>MODEL_READY</x:v>
      </x:c>
      <x:c r="W6604" s="87"/>
      <x:c r="X6604" s="87" t="n">
        <x:v>11</x:v>
      </x:c>
      <x:c r="Y6604" s="87"/>
      <x:c r="Z6604" s="87"/>
      <x:c r="AA6604" s="87"/>
      <x:c r="AB6604" s="87"/>
      <x:c r="AC6604" s="87" t="str">
        <x:v>VIS-EGKR-GEO-S26-TASK-954-P011</x:v>
      </x:c>
      <x:c r="AD6604" s="87"/>
      <x:c r="AE6604" s="87" t="str">
        <x:v>TASK</x:v>
      </x:c>
      <x:c r="AF6604" s="87" t="str">
        <x:v>VIS-EGKR-GEO-S26-TASK-954-P011: 11</x:v>
      </x:c>
      <x:c r="AG6604" s="87" t="str">
        <x:v>RESOLVED</x:v>
      </x:c>
      <x:c r="AH6604" s="87" t="str">
        <x:v>CROP_VERIFIED</x:v>
      </x:c>
      <x:c r="AI6604" s="30"/>
      <x:c r="AJ6604" s="87" t="str">
        <x:v>clean</x:v>
      </x:c>
      <x:c r="AK6604" s="87" t="str">
        <x:v>clean-v0.26</x:v>
      </x:c>
      <x:c r="AL6604" s="87" t="str">
        <x:v>statgrad_clean_continuation_v0_26(1)(1).xlsx</x:v>
      </x:c>
      <x:c r="AM6604" s="87" t="str">
        <x:v>GEO_EGKR_S26_954</x:v>
      </x:c>
      <x:c r="AN6604" s="87" t="n">
        <x:v>30</x:v>
      </x:c>
    </x:row>
    <x:row r="6605">
      <x:c r="A6605" s="87" t="n">
        <x:v>6604</x:v>
      </x:c>
      <x:c r="B6605" s="87" t="str">
        <x:v>EGKR-S26-GEO-955-01</x:v>
      </x:c>
      <x:c r="C6605" s="87" t="str">
        <x:v>ЕГКР</x:v>
      </x:c>
      <x:c r="D6605" s="87"/>
      <x:c r="E6605" s="87" t="str">
        <x:v>Весна 2026</x:v>
      </x:c>
      <x:c r="F6605" s="87" t="str">
        <x:v>16.04.2026</x:v>
      </x:c>
      <x:c r="G6605" s="87" t="str">
        <x:v>География</x:v>
      </x:c>
      <x:c r="H6605" s="87" t="n">
        <x:v>11</x:v>
      </x:c>
      <x:c r="I6605" s="87"/>
      <x:c r="J6605" s="87" t="str">
        <x:v>955</x:v>
      </x:c>
      <x:c r="K6605" s="87" t="n">
        <x:v>1</x:v>
      </x:c>
      <x:c r="L6605" s="87" t="str">
        <x:v>Географические координаты</x:v>
      </x:c>
      <x:c r="M6605" s="30" t="str">
        <x:v>-2</x:v>
      </x:c>
      <x:c r="N6605" s="30" t="str">
        <x:v>КАМЧАТСКИЙ КРАЙ</x:v>
      </x:c>
      <x:c r="O6605" s="30" t="str">
        <x:v>Ответ КАМЧАТСКИЙ КРАЙ независимо сопоставлен с условием, картой или статистическими данными задания.</x:v>
      </x:c>
      <x:c r="P6605" s="30"/>
      <x:c r="Q6605" s="30" t="str">
        <x:v>Исходная страница + независимая географическая проверка + вторичная сверка.</x:v>
      </x:c>
      <x:c r="R6605" s="30" t="str">
        <x:v>КАМЧАТСКИЙ КРАЙ</x:v>
      </x:c>
      <x:c r="S6605" s="30"/>
      <x:c r="T6605" s="30"/>
      <x:c r="U6605" s="30" t="str">
        <x:v>Ответник совпадает с независимой проверкой.</x:v>
      </x:c>
      <x:c r="V6605" s="87" t="str">
        <x:v>VERIFIED</x:v>
      </x:c>
      <x:c r="W6605" s="87"/>
      <x:c r="X6605" s="87" t="n">
        <x:v>2</x:v>
      </x:c>
      <x:c r="Y6605" s="87"/>
      <x:c r="Z6605" s="87"/>
      <x:c r="AA6605" s="87"/>
      <x:c r="AB6605" s="87"/>
      <x:c r="AC6605" s="87" t="str">
        <x:v>VIS-EGKR-GEO-S26-TASK-955-P002</x:v>
      </x:c>
      <x:c r="AD6605" s="87" t="str">
        <x:v>VIS-EGKR-GEO-S26-ANSWERDOC-P001</x:v>
      </x:c>
      <x:c r="AE6605" s="87" t="str">
        <x:v>TASK; SECONDARY_ANSWER_SOURCE</x:v>
      </x:c>
      <x:c r="AF6605" s="87" t="str">
        <x:v>VIS-EGKR-GEO-S26-TASK-955-P002: 2; VIS-EGKR-GEO-S26-ANSWERDOC-P001: 1</x:v>
      </x:c>
      <x:c r="AG6605" s="87" t="str">
        <x:v>RESOLVED</x:v>
      </x:c>
      <x:c r="AH6605" s="87" t="str">
        <x:v>CROP_VERIFIED</x:v>
      </x:c>
      <x:c r="AI6605" s="30"/>
      <x:c r="AJ6605" s="87" t="str">
        <x:v>clean</x:v>
      </x:c>
      <x:c r="AK6605" s="87" t="str">
        <x:v>clean-v0.26</x:v>
      </x:c>
      <x:c r="AL6605" s="87" t="str">
        <x:v>statgrad_clean_continuation_v0_26(1)(1).xlsx</x:v>
      </x:c>
      <x:c r="AM6605" s="87" t="str">
        <x:v>GEO_EGKR_S26_955</x:v>
      </x:c>
      <x:c r="AN6605" s="87" t="n">
        <x:v>2</x:v>
      </x:c>
    </x:row>
    <x:row r="6606">
      <x:c r="A6606" s="87" t="n">
        <x:v>6605</x:v>
      </x:c>
      <x:c r="B6606" s="87" t="str">
        <x:v>EGKR-S26-GEO-955-02</x:v>
      </x:c>
      <x:c r="C6606" s="87" t="str">
        <x:v>ЕГКР</x:v>
      </x:c>
      <x:c r="D6606" s="87"/>
      <x:c r="E6606" s="87" t="str">
        <x:v>Весна 2026</x:v>
      </x:c>
      <x:c r="F6606" s="87" t="str">
        <x:v>16.04.2026</x:v>
      </x:c>
      <x:c r="G6606" s="87" t="str">
        <x:v>География</x:v>
      </x:c>
      <x:c r="H6606" s="87" t="n">
        <x:v>11</x:v>
      </x:c>
      <x:c r="I6606" s="87"/>
      <x:c r="J6606" s="87" t="str">
        <x:v>955</x:v>
      </x:c>
      <x:c r="K6606" s="87" t="n">
        <x:v>2</x:v>
      </x:c>
      <x:c r="L6606" s="87" t="str">
        <x:v>Атмосфера и высота</x:v>
      </x:c>
      <x:c r="M6606" s="30" t="str">
        <x:v>Задание 2 варианта 955; полная формулировка сохранена по VIS_ID.</x:v>
      </x:c>
      <x:c r="N6606" s="30" t="str">
        <x:v>231</x:v>
      </x:c>
      <x:c r="O6606" s="30" t="str">
        <x:v>Ответ 231 независимо сопоставлен с условием, картой или статистическими данными задания.</x:v>
      </x:c>
      <x:c r="P6606" s="30"/>
      <x:c r="Q6606" s="30" t="str">
        <x:v>Исходная страница + независимая географическая проверка + вторичная сверка.</x:v>
      </x:c>
      <x:c r="R6606" s="30" t="str">
        <x:v>231</x:v>
      </x:c>
      <x:c r="S6606" s="30"/>
      <x:c r="T6606" s="30"/>
      <x:c r="U6606" s="30" t="str">
        <x:v>Ответник совпадает с независимой проверкой.</x:v>
      </x:c>
      <x:c r="V6606" s="87" t="str">
        <x:v>VERIFIED</x:v>
      </x:c>
      <x:c r="W6606" s="87"/>
      <x:c r="X6606" s="87" t="n">
        <x:v>2</x:v>
      </x:c>
      <x:c r="Y6606" s="87"/>
      <x:c r="Z6606" s="87"/>
      <x:c r="AA6606" s="87"/>
      <x:c r="AB6606" s="87"/>
      <x:c r="AC6606" s="87" t="str">
        <x:v>VIS-EGKR-GEO-S26-TASK-955-P002</x:v>
      </x:c>
      <x:c r="AD6606" s="87" t="str">
        <x:v>VIS-EGKR-GEO-S26-ANSWERDOC-P001</x:v>
      </x:c>
      <x:c r="AE6606" s="87" t="str">
        <x:v>TASK; SECONDARY_ANSWER_SOURCE</x:v>
      </x:c>
      <x:c r="AF6606" s="87" t="str">
        <x:v>VIS-EGKR-GEO-S26-TASK-955-P002: 2; VIS-EGKR-GEO-S26-ANSWERDOC-P001: 1</x:v>
      </x:c>
      <x:c r="AG6606" s="87" t="str">
        <x:v>RESOLVED</x:v>
      </x:c>
      <x:c r="AH6606" s="87" t="str">
        <x:v>CROP_VERIFIED</x:v>
      </x:c>
      <x:c r="AI6606" s="30"/>
      <x:c r="AJ6606" s="87" t="str">
        <x:v>clean</x:v>
      </x:c>
      <x:c r="AK6606" s="87" t="str">
        <x:v>clean-v0.26</x:v>
      </x:c>
      <x:c r="AL6606" s="87" t="str">
        <x:v>statgrad_clean_continuation_v0_26(1)(1).xlsx</x:v>
      </x:c>
      <x:c r="AM6606" s="87" t="str">
        <x:v>GEO_EGKR_S26_955</x:v>
      </x:c>
      <x:c r="AN6606" s="87" t="n">
        <x:v>3</x:v>
      </x:c>
    </x:row>
    <x:row r="6607">
      <x:c r="A6607" s="87" t="n">
        <x:v>6606</x:v>
      </x:c>
      <x:c r="B6607" s="87" t="str">
        <x:v>EGKR-S26-GEO-955-03</x:v>
      </x:c>
      <x:c r="C6607" s="87" t="str">
        <x:v>ЕГКР</x:v>
      </x:c>
      <x:c r="D6607" s="87"/>
      <x:c r="E6607" s="87" t="str">
        <x:v>Весна 2026</x:v>
      </x:c>
      <x:c r="F6607" s="87" t="str">
        <x:v>16.04.2026</x:v>
      </x:c>
      <x:c r="G6607" s="87" t="str">
        <x:v>География</x:v>
      </x:c>
      <x:c r="H6607" s="87" t="n">
        <x:v>11</x:v>
      </x:c>
      <x:c r="I6607" s="87"/>
      <x:c r="J6607" s="87" t="str">
        <x:v>955</x:v>
      </x:c>
      <x:c r="K6607" s="87" t="n">
        <x:v>3</x:v>
      </x:c>
      <x:c r="L6607" s="87" t="str">
        <x:v>Световой день</x:v>
      </x:c>
      <x:c r="M6607" s="30" t="str">
        <x:v>+4 Запишите в таблицу получившуюся последовательность цифр.</x:v>
      </x:c>
      <x:c r="N6607" s="30" t="str">
        <x:v>213</x:v>
      </x:c>
      <x:c r="O6607" s="30" t="str">
        <x:v>Ответ 213 независимо сопоставлен с условием, картой или статистическими данными задания.</x:v>
      </x:c>
      <x:c r="P6607" s="30"/>
      <x:c r="Q6607" s="30" t="str">
        <x:v>Исходная страница + независимая географическая проверка + вторичная сверка.</x:v>
      </x:c>
      <x:c r="R6607" s="30" t="str">
        <x:v>213</x:v>
      </x:c>
      <x:c r="S6607" s="30"/>
      <x:c r="T6607" s="30"/>
      <x:c r="U6607" s="30" t="str">
        <x:v>Ответник совпадает с независимой проверкой.</x:v>
      </x:c>
      <x:c r="V6607" s="87" t="str">
        <x:v>VERIFIED</x:v>
      </x:c>
      <x:c r="W6607" s="87"/>
      <x:c r="X6607" s="87" t="n">
        <x:v>2</x:v>
      </x:c>
      <x:c r="Y6607" s="87"/>
      <x:c r="Z6607" s="87"/>
      <x:c r="AA6607" s="87"/>
      <x:c r="AB6607" s="87"/>
      <x:c r="AC6607" s="87" t="str">
        <x:v>VIS-EGKR-GEO-S26-TASK-955-P002</x:v>
      </x:c>
      <x:c r="AD6607" s="87" t="str">
        <x:v>VIS-EGKR-GEO-S26-ANSWERDOC-P001</x:v>
      </x:c>
      <x:c r="AE6607" s="87" t="str">
        <x:v>TASK; SECONDARY_ANSWER_SOURCE</x:v>
      </x:c>
      <x:c r="AF6607" s="87" t="str">
        <x:v>VIS-EGKR-GEO-S26-TASK-955-P002: 2; VIS-EGKR-GEO-S26-ANSWERDOC-P001: 1</x:v>
      </x:c>
      <x:c r="AG6607" s="87" t="str">
        <x:v>RESOLVED</x:v>
      </x:c>
      <x:c r="AH6607" s="87" t="str">
        <x:v>CROP_VERIFIED</x:v>
      </x:c>
      <x:c r="AI6607" s="30"/>
      <x:c r="AJ6607" s="87" t="str">
        <x:v>clean</x:v>
      </x:c>
      <x:c r="AK6607" s="87" t="str">
        <x:v>clean-v0.26</x:v>
      </x:c>
      <x:c r="AL6607" s="87" t="str">
        <x:v>statgrad_clean_continuation_v0_26(1)(1).xlsx</x:v>
      </x:c>
      <x:c r="AM6607" s="87" t="str">
        <x:v>GEO_EGKR_S26_955</x:v>
      </x:c>
      <x:c r="AN6607" s="87" t="n">
        <x:v>4</x:v>
      </x:c>
    </x:row>
    <x:row r="6608">
      <x:c r="A6608" s="87" t="n">
        <x:v>6607</x:v>
      </x:c>
      <x:c r="B6608" s="87" t="str">
        <x:v>EGKR-S26-GEO-955-04</x:v>
      </x:c>
      <x:c r="C6608" s="87" t="str">
        <x:v>ЕГКР</x:v>
      </x:c>
      <x:c r="D6608" s="87"/>
      <x:c r="E6608" s="87" t="str">
        <x:v>Весна 2026</x:v>
      </x:c>
      <x:c r="F6608" s="87" t="str">
        <x:v>16.04.2026</x:v>
      </x:c>
      <x:c r="G6608" s="87" t="str">
        <x:v>География</x:v>
      </x:c>
      <x:c r="H6608" s="87" t="n">
        <x:v>11</x:v>
      </x:c>
      <x:c r="I6608" s="87"/>
      <x:c r="J6608" s="87" t="str">
        <x:v>955</x:v>
      </x:c>
      <x:c r="K6608" s="87" t="n">
        <x:v>4</x:v>
      </x:c>
      <x:c r="L6608" s="87" t="str">
        <x:v>Гидрография России</x:v>
      </x:c>
      <x:c r="M6608" s="30" t="str">
        <x:v>Установите соответствие между рекой и её обозначением на карте России: к каждому элементу первого столбца подберите соответствующий элемент из второго столбца. Река Обозначение на карте горной вершины А) Иртыш 1.1 Б) Кама 2.2 В) Северная Двина 3.3 4.4</x:v>
      </x:c>
      <x:c r="N6608" s="30" t="str">
        <x:v>321</x:v>
      </x:c>
      <x:c r="O6608" s="30" t="str">
        <x:v>Ответ 321 независимо сопоставлен с условием, картой или статистическими данными задания.</x:v>
      </x:c>
      <x:c r="P6608" s="30"/>
      <x:c r="Q6608" s="30" t="str">
        <x:v>Исходная страница + независимая географическая проверка + вторичная сверка.</x:v>
      </x:c>
      <x:c r="R6608" s="30" t="str">
        <x:v>321</x:v>
      </x:c>
      <x:c r="S6608" s="30"/>
      <x:c r="T6608" s="30"/>
      <x:c r="U6608" s="30" t="str">
        <x:v>Ответник совпадает с независимой проверкой.</x:v>
      </x:c>
      <x:c r="V6608" s="87" t="str">
        <x:v>VERIFIED</x:v>
      </x:c>
      <x:c r="W6608" s="87"/>
      <x:c r="X6608" s="87" t="n">
        <x:v>3</x:v>
      </x:c>
      <x:c r="Y6608" s="87"/>
      <x:c r="Z6608" s="87"/>
      <x:c r="AA6608" s="87"/>
      <x:c r="AB6608" s="87"/>
      <x:c r="AC6608" s="87" t="str">
        <x:v>VIS-EGKR-GEO-S26-TASK-955-P003</x:v>
      </x:c>
      <x:c r="AD6608" s="87" t="str">
        <x:v>VIS-EGKR-GEO-S26-ANSWERDOC-P001</x:v>
      </x:c>
      <x:c r="AE6608" s="87" t="str">
        <x:v>TASK; SECONDARY_ANSWER_SOURCE</x:v>
      </x:c>
      <x:c r="AF6608" s="87" t="str">
        <x:v>VIS-EGKR-GEO-S26-TASK-955-P003: 3; VIS-EGKR-GEO-S26-ANSWERDOC-P001: 1</x:v>
      </x:c>
      <x:c r="AG6608" s="87" t="str">
        <x:v>RESOLVED</x:v>
      </x:c>
      <x:c r="AH6608" s="87" t="str">
        <x:v>CROP_VERIFIED; TASK_CROP_QA_APPROVED:MANUAL_BBOX</x:v>
      </x:c>
      <x:c r="AI6608" s="30"/>
      <x:c r="AJ6608" s="87" t="str">
        <x:v>clean</x:v>
      </x:c>
      <x:c r="AK6608" s="87" t="str">
        <x:v>clean-v0.26</x:v>
      </x:c>
      <x:c r="AL6608" s="87" t="str">
        <x:v>statgrad_clean_continuation_v0_26(1)(1).xlsx</x:v>
      </x:c>
      <x:c r="AM6608" s="87" t="str">
        <x:v>GEO_EGKR_S26_955</x:v>
      </x:c>
      <x:c r="AN6608" s="87" t="n">
        <x:v>5</x:v>
      </x:c>
    </x:row>
    <x:row r="6609">
      <x:c r="A6609" s="87" t="n">
        <x:v>6608</x:v>
      </x:c>
      <x:c r="B6609" s="87" t="str">
        <x:v>EGKR-S26-GEO-955-05</x:v>
      </x:c>
      <x:c r="C6609" s="87" t="str">
        <x:v>ЕГКР</x:v>
      </x:c>
      <x:c r="D6609" s="87"/>
      <x:c r="E6609" s="87" t="str">
        <x:v>Весна 2026</x:v>
      </x:c>
      <x:c r="F6609" s="87" t="str">
        <x:v>16.04.2026</x:v>
      </x:c>
      <x:c r="G6609" s="87" t="str">
        <x:v>География</x:v>
      </x:c>
      <x:c r="H6609" s="87" t="n">
        <x:v>11</x:v>
      </x:c>
      <x:c r="I6609" s="87"/>
      <x:c r="J6609" s="87" t="str">
        <x:v>955</x:v>
      </x:c>
      <x:c r="K6609" s="87" t="n">
        <x:v>5</x:v>
      </x:c>
      <x:c r="L6609" s="87" t="str">
        <x:v>Заполнение географического текста</x:v>
      </x:c>
      <x:c r="M6609" s="30" t="str">
        <x:v>Прочитайте приведённый ниже текст, в котором пропущен ряд слов (словосочетаний). Выберите из предлагаемого списка слова (словосочетания), которые необходимо вставить на места пропусков. Демографические особенности Туниса По официальным данным в 2024 г. численность населения Марокко составляла 37,4 млн человек. В стране наблюдается миграционная убыль населения: количество выезжающих из Марокко людей – _____________________ (А) превышает количество въезжающих туда на постоянное место жительства. Население страны увеличивается за счёт превышения числа родившихся людей над числом умерших, которое компенсирует миграционную убыль. На протяжении последних десятилетий рождаемость в Марокко постепенно снижается, что в сочетании с ростом _____________________(Б) приводит к увеличению доли лиц в возрасте _____________________ (B) лет. Выбирайте последовательно одно слово (словосочетание) за другим, мысленно вставляя на места пропусков слова (словосочетания) из списка в нужной форме. Обратите внимание на то, что слов (словосочетаний) в списке больше, чем Вам потребуется для заполнения пропусков.</x:v>
      </x:c>
      <x:c r="N6609" s="30" t="str">
        <x:v>345</x:v>
      </x:c>
      <x:c r="O6609" s="30" t="str">
        <x:v>Ответ 345 независимо сопоставлен с условием, картой или статистическими данными задания.</x:v>
      </x:c>
      <x:c r="P6609" s="30"/>
      <x:c r="Q6609" s="30" t="str">
        <x:v>Исходная страница + независимая географическая проверка + вторичная сверка.</x:v>
      </x:c>
      <x:c r="R6609" s="30" t="str">
        <x:v>345</x:v>
      </x:c>
      <x:c r="S6609" s="30"/>
      <x:c r="T6609" s="30"/>
      <x:c r="U6609" s="30" t="str">
        <x:v>Ответник совпадает с независимой проверкой.</x:v>
      </x:c>
      <x:c r="V6609" s="87" t="str">
        <x:v>VERIFIED</x:v>
      </x:c>
      <x:c r="W6609" s="87"/>
      <x:c r="X6609" s="87" t="n">
        <x:v>3</x:v>
      </x:c>
      <x:c r="Y6609" s="87"/>
      <x:c r="Z6609" s="87"/>
      <x:c r="AA6609" s="87"/>
      <x:c r="AB6609" s="87"/>
      <x:c r="AC6609" s="87" t="str">
        <x:v>VIS-EGKR-GEO-S26-TASK-955-P003</x:v>
      </x:c>
      <x:c r="AD6609" s="87" t="str">
        <x:v>VIS-EGKR-GEO-S26-ANSWERDOC-P001</x:v>
      </x:c>
      <x:c r="AE6609" s="87" t="str">
        <x:v>TASK; SECONDARY_ANSWER_SOURCE</x:v>
      </x:c>
      <x:c r="AF6609" s="87" t="str">
        <x:v>VIS-EGKR-GEO-S26-TASK-955-P003: 3; VIS-EGKR-GEO-S26-ANSWERDOC-P001: 1</x:v>
      </x:c>
      <x:c r="AG6609" s="87" t="str">
        <x:v>RESOLVED</x:v>
      </x:c>
      <x:c r="AH6609" s="87" t="str">
        <x:v>CROP_VERIFIED</x:v>
      </x:c>
      <x:c r="AI6609" s="30"/>
      <x:c r="AJ6609" s="87" t="str">
        <x:v>clean</x:v>
      </x:c>
      <x:c r="AK6609" s="87" t="str">
        <x:v>clean-v0.26</x:v>
      </x:c>
      <x:c r="AL6609" s="87" t="str">
        <x:v>statgrad_clean_continuation_v0_26(1)(1).xlsx</x:v>
      </x:c>
      <x:c r="AM6609" s="87" t="str">
        <x:v>GEO_EGKR_S26_955</x:v>
      </x:c>
      <x:c r="AN6609" s="87" t="n">
        <x:v>6</x:v>
      </x:c>
    </x:row>
    <x:row r="6610">
      <x:c r="A6610" s="87" t="n">
        <x:v>6609</x:v>
      </x:c>
      <x:c r="B6610" s="87" t="str">
        <x:v>EGKR-S26-GEO-955-06</x:v>
      </x:c>
      <x:c r="C6610" s="87" t="str">
        <x:v>ЕГКР</x:v>
      </x:c>
      <x:c r="D6610" s="87"/>
      <x:c r="E6610" s="87" t="str">
        <x:v>Весна 2026</x:v>
      </x:c>
      <x:c r="F6610" s="87" t="str">
        <x:v>16.04.2026</x:v>
      </x:c>
      <x:c r="G6610" s="87" t="str">
        <x:v>География</x:v>
      </x:c>
      <x:c r="H6610" s="87" t="n">
        <x:v>11</x:v>
      </x:c>
      <x:c r="I6610" s="87"/>
      <x:c r="J6610" s="87" t="str">
        <x:v>955</x:v>
      </x:c>
      <x:c r="K6610" s="87" t="n">
        <x:v>6</x:v>
      </x:c>
      <x:c r="L6610" s="87" t="str">
        <x:v>Население / регионы России</x:v>
      </x:c>
      <x:c r="M6610" s="30" t="str">
        <x:v>Численность населения города - один из основных факторов, определяющих планирование и развитие городской среды. Какие три перечисленных городов России имеют наибольшую численность населения? Запишите в таблицу цифры, под которыми указаны эти города. 1. Самара 2. Волгоград 3. Белгород 4. Смоленск 5. Петрозаводск 6. Екатеренбург</x:v>
      </x:c>
      <x:c r="N6610" s="30" t="str">
        <x:v>126</x:v>
      </x:c>
      <x:c r="O6610" s="30" t="str">
        <x:v>Ответ 126 независимо сопоставлен с условием, картой или статистическими данными задания.</x:v>
      </x:c>
      <x:c r="P6610" s="30"/>
      <x:c r="Q6610" s="30" t="str">
        <x:v>Исходная страница + независимая географическая проверка + вторичная сверка.</x:v>
      </x:c>
      <x:c r="R6610" s="30" t="str">
        <x:v>126</x:v>
      </x:c>
      <x:c r="S6610" s="30"/>
      <x:c r="T6610" s="30"/>
      <x:c r="U6610" s="30" t="str">
        <x:v>Ответник совпадает с независимой проверкой.</x:v>
      </x:c>
      <x:c r="V6610" s="87" t="str">
        <x:v>VERIFIED</x:v>
      </x:c>
      <x:c r="W6610" s="87"/>
      <x:c r="X6610" s="87" t="n">
        <x:v>4</x:v>
      </x:c>
      <x:c r="Y6610" s="87"/>
      <x:c r="Z6610" s="87"/>
      <x:c r="AA6610" s="87"/>
      <x:c r="AB6610" s="87"/>
      <x:c r="AC6610" s="87" t="str">
        <x:v>VIS-EGKR-GEO-S26-TASK-955-P004</x:v>
      </x:c>
      <x:c r="AD6610" s="87" t="str">
        <x:v>VIS-EGKR-GEO-S26-ANSWERDOC-P001</x:v>
      </x:c>
      <x:c r="AE6610" s="87" t="str">
        <x:v>TASK; SECONDARY_ANSWER_SOURCE</x:v>
      </x:c>
      <x:c r="AF6610" s="87" t="str">
        <x:v>VIS-EGKR-GEO-S26-TASK-955-P004: 4; VIS-EGKR-GEO-S26-ANSWERDOC-P001: 1</x:v>
      </x:c>
      <x:c r="AG6610" s="87" t="str">
        <x:v>RESOLVED</x:v>
      </x:c>
      <x:c r="AH6610" s="87" t="str">
        <x:v>CROP_VERIFIED</x:v>
      </x:c>
      <x:c r="AI6610" s="30"/>
      <x:c r="AJ6610" s="87" t="str">
        <x:v>clean</x:v>
      </x:c>
      <x:c r="AK6610" s="87" t="str">
        <x:v>clean-v0.26</x:v>
      </x:c>
      <x:c r="AL6610" s="87" t="str">
        <x:v>statgrad_clean_continuation_v0_26(1)(1).xlsx</x:v>
      </x:c>
      <x:c r="AM6610" s="87" t="str">
        <x:v>GEO_EGKR_S26_955</x:v>
      </x:c>
      <x:c r="AN6610" s="87" t="n">
        <x:v>7</x:v>
      </x:c>
    </x:row>
    <x:row r="6611">
      <x:c r="A6611" s="87" t="n">
        <x:v>6610</x:v>
      </x:c>
      <x:c r="B6611" s="87" t="str">
        <x:v>EGKR-S26-GEO-955-07</x:v>
      </x:c>
      <x:c r="C6611" s="87" t="str">
        <x:v>ЕГКР</x:v>
      </x:c>
      <x:c r="D6611" s="87"/>
      <x:c r="E6611" s="87" t="str">
        <x:v>Весна 2026</x:v>
      </x:c>
      <x:c r="F6611" s="87" t="str">
        <x:v>16.04.2026</x:v>
      </x:c>
      <x:c r="G6611" s="87" t="str">
        <x:v>География</x:v>
      </x:c>
      <x:c r="H6611" s="87" t="n">
        <x:v>11</x:v>
      </x:c>
      <x:c r="I6611" s="87"/>
      <x:c r="J6611" s="87" t="str">
        <x:v>955</x:v>
      </x:c>
      <x:c r="K6611" s="87" t="n">
        <x:v>7</x:v>
      </x:c>
      <x:c r="L6611" s="87" t="str">
        <x:v>Структура ВВП</x:v>
      </x:c>
      <x:c r="M6611" s="30" t="str">
        <x:v>Установите соответствие между страной и диаграммой, отражающей распределение её ВВП по секторам экономики: к каждой позиции, данной в первом столбце, подберите соответствующую позицию из второго столбца. СТРАНА РАСПРЕДЕЛЕНИЕ ВВП По секторам экономики А) Бурунди Б) Турция В) Италия Запишите в таблицу выбранные цифры под соответствующими буквами.</x:v>
      </x:c>
      <x:c r="N6611" s="30" t="str">
        <x:v>321</x:v>
      </x:c>
      <x:c r="O6611" s="30" t="str">
        <x:v>Ответ 321 независимо сопоставлен с условием, картой или статистическими данными задания.</x:v>
      </x:c>
      <x:c r="P6611" s="30"/>
      <x:c r="Q6611" s="30" t="str">
        <x:v>Исходная страница + независимая географическая проверка + вторичная сверка.</x:v>
      </x:c>
      <x:c r="R6611" s="30" t="str">
        <x:v>321</x:v>
      </x:c>
      <x:c r="S6611" s="30"/>
      <x:c r="T6611" s="30"/>
      <x:c r="U6611" s="30" t="str">
        <x:v>Ответник совпадает с независимой проверкой.</x:v>
      </x:c>
      <x:c r="V6611" s="87" t="str">
        <x:v>VERIFIED</x:v>
      </x:c>
      <x:c r="W6611" s="87"/>
      <x:c r="X6611" s="87" t="n">
        <x:v>4</x:v>
      </x:c>
      <x:c r="Y6611" s="87"/>
      <x:c r="Z6611" s="87"/>
      <x:c r="AA6611" s="87"/>
      <x:c r="AB6611" s="87"/>
      <x:c r="AC6611" s="87" t="str">
        <x:v>VIS-EGKR-GEO-S26-TASK-955-P004</x:v>
      </x:c>
      <x:c r="AD6611" s="87" t="str">
        <x:v>VIS-EGKR-GEO-S26-ANSWERDOC-P001</x:v>
      </x:c>
      <x:c r="AE6611" s="87" t="str">
        <x:v>TASK; SECONDARY_ANSWER_SOURCE</x:v>
      </x:c>
      <x:c r="AF6611" s="87" t="str">
        <x:v>VIS-EGKR-GEO-S26-TASK-955-P004: 4; VIS-EGKR-GEO-S26-ANSWERDOC-P001: 1</x:v>
      </x:c>
      <x:c r="AG6611" s="87" t="str">
        <x:v>RESOLVED</x:v>
      </x:c>
      <x:c r="AH6611" s="87" t="str">
        <x:v>CROP_VERIFIED</x:v>
      </x:c>
      <x:c r="AI6611" s="30"/>
      <x:c r="AJ6611" s="87" t="str">
        <x:v>clean</x:v>
      </x:c>
      <x:c r="AK6611" s="87" t="str">
        <x:v>clean-v0.26</x:v>
      </x:c>
      <x:c r="AL6611" s="87" t="str">
        <x:v>statgrad_clean_continuation_v0_26(1)(1).xlsx</x:v>
      </x:c>
      <x:c r="AM6611" s="87" t="str">
        <x:v>GEO_EGKR_S26_955</x:v>
      </x:c>
      <x:c r="AN6611" s="87" t="n">
        <x:v>8</x:v>
      </x:c>
    </x:row>
    <x:row r="6612">
      <x:c r="A6612" s="87" t="n">
        <x:v>6611</x:v>
      </x:c>
      <x:c r="B6612" s="87" t="str">
        <x:v>EGKR-S26-GEO-955-08</x:v>
      </x:c>
      <x:c r="C6612" s="87" t="str">
        <x:v>ЕГКР</x:v>
      </x:c>
      <x:c r="D6612" s="87"/>
      <x:c r="E6612" s="87" t="str">
        <x:v>Весна 2026</x:v>
      </x:c>
      <x:c r="F6612" s="87" t="str">
        <x:v>16.04.2026</x:v>
      </x:c>
      <x:c r="G6612" s="87" t="str">
        <x:v>География</x:v>
      </x:c>
      <x:c r="H6612" s="87" t="n">
        <x:v>11</x:v>
      </x:c>
      <x:c r="I6612" s="87"/>
      <x:c r="J6612" s="87" t="str">
        <x:v>955</x:v>
      </x:c>
      <x:c r="K6612" s="87" t="n">
        <x:v>8</x:v>
      </x:c>
      <x:c r="L6612" s="87" t="str">
        <x:v>Демографический показатель</x:v>
      </x:c>
      <x:c r="M6612" s="30" t="str">
        <x:v>ожидаемой продолжительности жизни населения, начиная со страны с наименьшим значением этого показателя. 1) Непал 2) Нидерланды 3) Турция Запишите в таблицу получившуюся последовательность цифр.</x:v>
      </x:c>
      <x:c r="N6612" s="30" t="str">
        <x:v>132</x:v>
      </x:c>
      <x:c r="O6612" s="30" t="str">
        <x:v>Ответ 132 независимо сопоставлен с условием, картой или статистическими данными задания.</x:v>
      </x:c>
      <x:c r="P6612" s="30"/>
      <x:c r="Q6612" s="30" t="str">
        <x:v>Исходная страница + независимая географическая проверка + вторичная сверка.</x:v>
      </x:c>
      <x:c r="R6612" s="30" t="str">
        <x:v>132</x:v>
      </x:c>
      <x:c r="S6612" s="30"/>
      <x:c r="T6612" s="30"/>
      <x:c r="U6612" s="30" t="str">
        <x:v>Ответник совпадает с независимой проверкой.</x:v>
      </x:c>
      <x:c r="V6612" s="87" t="str">
        <x:v>VERIFIED</x:v>
      </x:c>
      <x:c r="W6612" s="87"/>
      <x:c r="X6612" s="87" t="n">
        <x:v>5</x:v>
      </x:c>
      <x:c r="Y6612" s="87"/>
      <x:c r="Z6612" s="87"/>
      <x:c r="AA6612" s="87"/>
      <x:c r="AB6612" s="87"/>
      <x:c r="AC6612" s="87" t="str">
        <x:v>VIS-EGKR-GEO-S26-TASK-955-P005</x:v>
      </x:c>
      <x:c r="AD6612" s="87" t="str">
        <x:v>VIS-EGKR-GEO-S26-ANSWERDOC-P001</x:v>
      </x:c>
      <x:c r="AE6612" s="87" t="str">
        <x:v>TASK; SECONDARY_ANSWER_SOURCE</x:v>
      </x:c>
      <x:c r="AF6612" s="87" t="str">
        <x:v>VIS-EGKR-GEO-S26-TASK-955-P005: 5; VIS-EGKR-GEO-S26-ANSWERDOC-P001: 1</x:v>
      </x:c>
      <x:c r="AG6612" s="87" t="str">
        <x:v>RESOLVED</x:v>
      </x:c>
      <x:c r="AH6612" s="87" t="str">
        <x:v>CROP_VERIFIED</x:v>
      </x:c>
      <x:c r="AI6612" s="30"/>
      <x:c r="AJ6612" s="87" t="str">
        <x:v>clean</x:v>
      </x:c>
      <x:c r="AK6612" s="87" t="str">
        <x:v>clean-v0.26</x:v>
      </x:c>
      <x:c r="AL6612" s="87" t="str">
        <x:v>statgrad_clean_continuation_v0_26(1)(1).xlsx</x:v>
      </x:c>
      <x:c r="AM6612" s="87" t="str">
        <x:v>GEO_EGKR_S26_955</x:v>
      </x:c>
      <x:c r="AN6612" s="87" t="n">
        <x:v>9</x:v>
      </x:c>
    </x:row>
    <x:row r="6613">
      <x:c r="A6613" s="87" t="n">
        <x:v>6612</x:v>
      </x:c>
      <x:c r="B6613" s="87" t="str">
        <x:v>EGKR-S26-GEO-955-09</x:v>
      </x:c>
      <x:c r="C6613" s="87" t="str">
        <x:v>ЕГКР</x:v>
      </x:c>
      <x:c r="D6613" s="87"/>
      <x:c r="E6613" s="87" t="str">
        <x:v>Весна 2026</x:v>
      </x:c>
      <x:c r="F6613" s="87" t="str">
        <x:v>16.04.2026</x:v>
      </x:c>
      <x:c r="G6613" s="87" t="str">
        <x:v>География</x:v>
      </x:c>
      <x:c r="H6613" s="87" t="n">
        <x:v>11</x:v>
      </x:c>
      <x:c r="I6613" s="87"/>
      <x:c r="J6613" s="87" t="str">
        <x:v>955</x:v>
      </x:c>
      <x:c r="K6613" s="87" t="n">
        <x:v>9</x:v>
      </x:c>
      <x:c r="L6613" s="87" t="str">
        <x:v>Хозяйство России</x:v>
      </x:c>
      <x:c r="M6613" s="30" t="str">
        <x:v>Судостроение - одна из важнейших отраслей промышленности России, выполняющая стратегические функции развития транспортной инфраструктуры и обеспечения национальной безопасности. Какие три из перечисленных городов относятся к центрам судостроения? Запишите в таблицу цифры, под которыми указаны эти города. 1) Выборг 2) Оренбург 3) Мурманск 4) Пермь 5) Краснодар 6) Уфа</x:v>
      </x:c>
      <x:c r="N6613" s="30" t="str">
        <x:v>134</x:v>
      </x:c>
      <x:c r="O6613" s="30" t="str">
        <x:v>Ответ 134 независимо сопоставлен с условием, картой или статистическими данными задания.</x:v>
      </x:c>
      <x:c r="P6613" s="30"/>
      <x:c r="Q6613" s="30" t="str">
        <x:v>Исходная страница + независимая географическая проверка + вторичная сверка.</x:v>
      </x:c>
      <x:c r="R6613" s="30" t="str">
        <x:v>134</x:v>
      </x:c>
      <x:c r="S6613" s="30"/>
      <x:c r="T6613" s="30"/>
      <x:c r="U6613" s="30" t="str">
        <x:v>Ответник совпадает с независимой проверкой.</x:v>
      </x:c>
      <x:c r="V6613" s="87" t="str">
        <x:v>VERIFIED</x:v>
      </x:c>
      <x:c r="W6613" s="87"/>
      <x:c r="X6613" s="87" t="n">
        <x:v>5</x:v>
      </x:c>
      <x:c r="Y6613" s="87"/>
      <x:c r="Z6613" s="87"/>
      <x:c r="AA6613" s="87"/>
      <x:c r="AB6613" s="87"/>
      <x:c r="AC6613" s="87" t="str">
        <x:v>VIS-EGKR-GEO-S26-TASK-955-P005</x:v>
      </x:c>
      <x:c r="AD6613" s="87" t="str">
        <x:v>VIS-EGKR-GEO-S26-ANSWERDOC-P001</x:v>
      </x:c>
      <x:c r="AE6613" s="87" t="str">
        <x:v>TASK; SECONDARY_ANSWER_SOURCE</x:v>
      </x:c>
      <x:c r="AF6613" s="87" t="str">
        <x:v>VIS-EGKR-GEO-S26-TASK-955-P005: 5; VIS-EGKR-GEO-S26-ANSWERDOC-P001: 1</x:v>
      </x:c>
      <x:c r="AG6613" s="87" t="str">
        <x:v>RESOLVED</x:v>
      </x:c>
      <x:c r="AH6613" s="87" t="str">
        <x:v>CROP_VERIFIED</x:v>
      </x:c>
      <x:c r="AI6613" s="30"/>
      <x:c r="AJ6613" s="87" t="str">
        <x:v>clean</x:v>
      </x:c>
      <x:c r="AK6613" s="87" t="str">
        <x:v>clean-v0.26</x:v>
      </x:c>
      <x:c r="AL6613" s="87" t="str">
        <x:v>statgrad_clean_continuation_v0_26(1)(1).xlsx</x:v>
      </x:c>
      <x:c r="AM6613" s="87" t="str">
        <x:v>GEO_EGKR_S26_955</x:v>
      </x:c>
      <x:c r="AN6613" s="87" t="n">
        <x:v>10</x:v>
      </x:c>
    </x:row>
    <x:row r="6614">
      <x:c r="A6614" s="87" t="n">
        <x:v>6613</x:v>
      </x:c>
      <x:c r="B6614" s="87" t="str">
        <x:v>EGKR-S26-GEO-955-10</x:v>
      </x:c>
      <x:c r="C6614" s="87" t="str">
        <x:v>ЕГКР</x:v>
      </x:c>
      <x:c r="D6614" s="87"/>
      <x:c r="E6614" s="87" t="str">
        <x:v>Весна 2026</x:v>
      </x:c>
      <x:c r="F6614" s="87" t="str">
        <x:v>16.04.2026</x:v>
      </x:c>
      <x:c r="G6614" s="87" t="str">
        <x:v>География</x:v>
      </x:c>
      <x:c r="H6614" s="87" t="n">
        <x:v>11</x:v>
      </x:c>
      <x:c r="I6614" s="87"/>
      <x:c r="J6614" s="87" t="str">
        <x:v>955</x:v>
      </x:c>
      <x:c r="K6614" s="87" t="n">
        <x:v>10</x:v>
      </x:c>
      <x:c r="L6614" s="87" t="str">
        <x:v>Анализ статистической таблицы</x:v>
      </x:c>
      <x:c r="M6614" s="30" t="str">
        <x:v>На основе анализа данных приведённой таблицы укажите регионы, в которых в период с 2021 по 2023 г. ежегодно происходило увеличение объёмов промышленного производства. Запишите цифры, под которыми указаны эти регионы.. Динамика объёмов промышленного производства (в % к предыдущему году)</x:v>
      </x:c>
      <x:c r="N6614" s="30" t="str">
        <x:v>12</x:v>
      </x:c>
      <x:c r="O6614" s="30" t="str">
        <x:v>Ответ 12 независимо сопоставлен с условием, картой или статистическими данными задания.</x:v>
      </x:c>
      <x:c r="P6614" s="30"/>
      <x:c r="Q6614" s="30" t="str">
        <x:v>Исходная страница + независимая географическая проверка + вторичная сверка.</x:v>
      </x:c>
      <x:c r="R6614" s="30" t="str">
        <x:v>12</x:v>
      </x:c>
      <x:c r="S6614" s="30"/>
      <x:c r="T6614" s="30"/>
      <x:c r="U6614" s="30" t="str">
        <x:v>Ответник совпадает с независимой проверкой.</x:v>
      </x:c>
      <x:c r="V6614" s="87" t="str">
        <x:v>VERIFIED</x:v>
      </x:c>
      <x:c r="W6614" s="87"/>
      <x:c r="X6614" s="87" t="n">
        <x:v>5</x:v>
      </x:c>
      <x:c r="Y6614" s="87"/>
      <x:c r="Z6614" s="87"/>
      <x:c r="AA6614" s="87"/>
      <x:c r="AB6614" s="87"/>
      <x:c r="AC6614" s="87" t="str">
        <x:v>VIS-EGKR-GEO-S26-TASK-955-P005</x:v>
      </x:c>
      <x:c r="AD6614" s="87" t="str">
        <x:v>VIS-EGKR-GEO-S26-ANSWERDOC-P001</x:v>
      </x:c>
      <x:c r="AE6614" s="87" t="str">
        <x:v>TASK; SECONDARY_ANSWER_SOURCE</x:v>
      </x:c>
      <x:c r="AF6614" s="87" t="str">
        <x:v>VIS-EGKR-GEO-S26-TASK-955-P005: 5; VIS-EGKR-GEO-S26-ANSWERDOC-P001: 1</x:v>
      </x:c>
      <x:c r="AG6614" s="87" t="str">
        <x:v>RESOLVED</x:v>
      </x:c>
      <x:c r="AH6614" s="87" t="str">
        <x:v>CROP_VERIFIED</x:v>
      </x:c>
      <x:c r="AI6614" s="30"/>
      <x:c r="AJ6614" s="87" t="str">
        <x:v>clean</x:v>
      </x:c>
      <x:c r="AK6614" s="87" t="str">
        <x:v>clean-v0.26</x:v>
      </x:c>
      <x:c r="AL6614" s="87" t="str">
        <x:v>statgrad_clean_continuation_v0_26(1)(1).xlsx</x:v>
      </x:c>
      <x:c r="AM6614" s="87" t="str">
        <x:v>GEO_EGKR_S26_955</x:v>
      </x:c>
      <x:c r="AN6614" s="87" t="n">
        <x:v>11</x:v>
      </x:c>
    </x:row>
    <x:row r="6615">
      <x:c r="A6615" s="87" t="n">
        <x:v>6614</x:v>
      </x:c>
      <x:c r="B6615" s="87" t="str">
        <x:v>EGKR-S26-GEO-955-11</x:v>
      </x:c>
      <x:c r="C6615" s="87" t="str">
        <x:v>ЕГКР</x:v>
      </x:c>
      <x:c r="D6615" s="87"/>
      <x:c r="E6615" s="87" t="str">
        <x:v>Весна 2026</x:v>
      </x:c>
      <x:c r="F6615" s="87" t="str">
        <x:v>16.04.2026</x:v>
      </x:c>
      <x:c r="G6615" s="87" t="str">
        <x:v>География</x:v>
      </x:c>
      <x:c r="H6615" s="87" t="n">
        <x:v>11</x:v>
      </x:c>
      <x:c r="I6615" s="87"/>
      <x:c r="J6615" s="87" t="str">
        <x:v>955</x:v>
      </x:c>
      <x:c r="K6615" s="87" t="n">
        <x:v>11</x:v>
      </x:c>
      <x:c r="L6615" s="87" t="str">
        <x:v>Анализ тематической карты</x:v>
      </x:c>
      <x:c r="M6615" s="30" t="str">
        <x:v>С помощью карты сравните значения средних многолетних минимумов температуры воздуха в точках, обозначенных цифрами 1, 2 и 3. Расположите точки в порядке повышения этих значений. Средние многолетние минимумы температуры воздуха октября (°С) Запишите в таблицу получившуюся последовательность цифр.</x:v>
      </x:c>
      <x:c r="N6615" s="30" t="str">
        <x:v>321</x:v>
      </x:c>
      <x:c r="O6615" s="30" t="str">
        <x:v>Ответ 321 независимо сопоставлен с условием, картой или статистическими данными задания.</x:v>
      </x:c>
      <x:c r="P6615" s="30"/>
      <x:c r="Q6615" s="30" t="str">
        <x:v>Исходная страница + независимая географическая проверка + вторичная сверка.</x:v>
      </x:c>
      <x:c r="R6615" s="30" t="str">
        <x:v>321</x:v>
      </x:c>
      <x:c r="S6615" s="30"/>
      <x:c r="T6615" s="30"/>
      <x:c r="U6615" s="30" t="str">
        <x:v>Ответник совпадает с независимой проверкой.</x:v>
      </x:c>
      <x:c r="V6615" s="87" t="str">
        <x:v>VERIFIED</x:v>
      </x:c>
      <x:c r="W6615" s="87"/>
      <x:c r="X6615" s="87" t="n">
        <x:v>6</x:v>
      </x:c>
      <x:c r="Y6615" s="87"/>
      <x:c r="Z6615" s="87"/>
      <x:c r="AA6615" s="87"/>
      <x:c r="AB6615" s="87"/>
      <x:c r="AC6615" s="87" t="str">
        <x:v>VIS-EGKR-GEO-S26-TASK-955-P006</x:v>
      </x:c>
      <x:c r="AD6615" s="87" t="str">
        <x:v>VIS-EGKR-GEO-S26-ANSWERDOC-P001</x:v>
      </x:c>
      <x:c r="AE6615" s="87" t="str">
        <x:v>TASK; SECONDARY_ANSWER_SOURCE</x:v>
      </x:c>
      <x:c r="AF6615" s="87" t="str">
        <x:v>VIS-EGKR-GEO-S26-TASK-955-P006: 6; VIS-EGKR-GEO-S26-ANSWERDOC-P001: 1</x:v>
      </x:c>
      <x:c r="AG6615" s="87" t="str">
        <x:v>RESOLVED</x:v>
      </x:c>
      <x:c r="AH6615" s="87" t="str">
        <x:v>CROP_VERIFIED</x:v>
      </x:c>
      <x:c r="AI6615" s="30"/>
      <x:c r="AJ6615" s="87" t="str">
        <x:v>clean</x:v>
      </x:c>
      <x:c r="AK6615" s="87" t="str">
        <x:v>clean-v0.26</x:v>
      </x:c>
      <x:c r="AL6615" s="87" t="str">
        <x:v>statgrad_clean_continuation_v0_26(1)(1).xlsx</x:v>
      </x:c>
      <x:c r="AM6615" s="87" t="str">
        <x:v>GEO_EGKR_S26_955</x:v>
      </x:c>
      <x:c r="AN6615" s="87" t="n">
        <x:v>12</x:v>
      </x:c>
    </x:row>
    <x:row r="6616">
      <x:c r="A6616" s="87" t="n">
        <x:v>6615</x:v>
      </x:c>
      <x:c r="B6616" s="87" t="str">
        <x:v>EGKR-S26-GEO-955-12</x:v>
      </x:c>
      <x:c r="C6616" s="87" t="str">
        <x:v>ЕГКР</x:v>
      </x:c>
      <x:c r="D6616" s="87"/>
      <x:c r="E6616" s="87" t="str">
        <x:v>Весна 2026</x:v>
      </x:c>
      <x:c r="F6616" s="87" t="str">
        <x:v>16.04.2026</x:v>
      </x:c>
      <x:c r="G6616" s="87" t="str">
        <x:v>География</x:v>
      </x:c>
      <x:c r="H6616" s="87" t="n">
        <x:v>11</x:v>
      </x:c>
      <x:c r="I6616" s="87"/>
      <x:c r="J6616" s="87" t="str">
        <x:v>955</x:v>
      </x:c>
      <x:c r="K6616" s="87" t="n">
        <x:v>12</x:v>
      </x:c>
      <x:c r="L6616" s="87" t="str">
        <x:v>Географические понятия в тексте</x:v>
      </x:c>
      <x:c r="M6616" s="30" t="str">
        <x:v>Выберите все высказывания с информацией о воспроизводстве населения и запишите цифры, под которыми они указаны. 1. К 2050 г. на каждого молодого жителя Италии будет приходиться три человека пенсионного возраста, а доля трудоспособного населения сократится с 63,8 до 53,3 %. 2. По данным министерства здравоохранения Японии естественная убыль населения страны в 2024 г. составила 908,57 тыс. человек. 3. Численность населения Шанхайской агломерации за последние 10 лет увеличилась и к началу 2025 г. превысила 30 млн человек. 4. Во Франции в 2024 г. смертность впервые с 1945 г. превысила рождаемость. 5. В Африке численность населения крупнейших городских агломераций в значительной степени растёт за счёт переселенцев из сельской местности.</x:v>
      </x:c>
      <x:c r="N6616" s="30" t="str">
        <x:v>124</x:v>
      </x:c>
      <x:c r="O6616" s="30" t="str">
        <x:v>Ответ 124 независимо сопоставлен с условием, картой или статистическими данными задания.</x:v>
      </x:c>
      <x:c r="P6616" s="30"/>
      <x:c r="Q6616" s="30" t="str">
        <x:v>Исходная страница + независимая географическая проверка + вторичная сверка.</x:v>
      </x:c>
      <x:c r="R6616" s="30" t="str">
        <x:v>124</x:v>
      </x:c>
      <x:c r="S6616" s="30"/>
      <x:c r="T6616" s="30"/>
      <x:c r="U6616" s="30" t="str">
        <x:v>Ответник совпадает с независимой проверкой.</x:v>
      </x:c>
      <x:c r="V6616" s="87" t="str">
        <x:v>VERIFIED</x:v>
      </x:c>
      <x:c r="W6616" s="87"/>
      <x:c r="X6616" s="87" t="n">
        <x:v>6</x:v>
      </x:c>
      <x:c r="Y6616" s="87"/>
      <x:c r="Z6616" s="87"/>
      <x:c r="AA6616" s="87"/>
      <x:c r="AB6616" s="87"/>
      <x:c r="AC6616" s="87" t="str">
        <x:v>VIS-EGKR-GEO-S26-TASK-955-P006</x:v>
      </x:c>
      <x:c r="AD6616" s="87" t="str">
        <x:v>VIS-EGKR-GEO-S26-ANSWERDOC-P001</x:v>
      </x:c>
      <x:c r="AE6616" s="87" t="str">
        <x:v>TASK; SECONDARY_ANSWER_SOURCE</x:v>
      </x:c>
      <x:c r="AF6616" s="87" t="str">
        <x:v>VIS-EGKR-GEO-S26-TASK-955-P006: 6; VIS-EGKR-GEO-S26-ANSWERDOC-P001: 1</x:v>
      </x:c>
      <x:c r="AG6616" s="87" t="str">
        <x:v>RESOLVED</x:v>
      </x:c>
      <x:c r="AH6616" s="87" t="str">
        <x:v>CROP_VERIFIED</x:v>
      </x:c>
      <x:c r="AI6616" s="30"/>
      <x:c r="AJ6616" s="87" t="str">
        <x:v>clean</x:v>
      </x:c>
      <x:c r="AK6616" s="87" t="str">
        <x:v>clean-v0.26</x:v>
      </x:c>
      <x:c r="AL6616" s="87" t="str">
        <x:v>statgrad_clean_continuation_v0_26(1)(1).xlsx</x:v>
      </x:c>
      <x:c r="AM6616" s="87" t="str">
        <x:v>GEO_EGKR_S26_955</x:v>
      </x:c>
      <x:c r="AN6616" s="87" t="n">
        <x:v>13</x:v>
      </x:c>
    </x:row>
    <x:row r="6617">
      <x:c r="A6617" s="87" t="n">
        <x:v>6616</x:v>
      </x:c>
      <x:c r="B6617" s="87" t="str">
        <x:v>EGKR-S26-GEO-955-13</x:v>
      </x:c>
      <x:c r="C6617" s="87" t="str">
        <x:v>ЕГКР</x:v>
      </x:c>
      <x:c r="D6617" s="87"/>
      <x:c r="E6617" s="87" t="str">
        <x:v>Весна 2026</x:v>
      </x:c>
      <x:c r="F6617" s="87" t="str">
        <x:v>16.04.2026</x:v>
      </x:c>
      <x:c r="G6617" s="87" t="str">
        <x:v>География</x:v>
      </x:c>
      <x:c r="H6617" s="87" t="n">
        <x:v>11</x:v>
      </x:c>
      <x:c r="I6617" s="87"/>
      <x:c r="J6617" s="87" t="str">
        <x:v>955</x:v>
      </x:c>
      <x:c r="K6617" s="87" t="n">
        <x:v>13</x:v>
      </x:c>
      <x:c r="L6617" s="87" t="str">
        <x:v>Геологическая история</x:v>
      </x:c>
      <x:c r="M6617" s="30" t="str">
        <x:v>Расположите события геологической истории Земли в хронологическом порядке, начиная с самого раннего. 1. В конце пермского периода на территории современной Сибири начались крупнейшие в истории Земли вулканические извержения. 2. В девонском периоде появились первые наземные позвоночные животные. 3. В палеогеновом периоде произошёл окончательный распад материка Гондваны. Запишите в таблицу получившуюся последовательность цифр.</x:v>
      </x:c>
      <x:c r="N6617" s="30" t="str">
        <x:v>213</x:v>
      </x:c>
      <x:c r="O6617" s="30" t="str">
        <x:v>Ответ 213 независимо сопоставлен с условием, картой или статистическими данными задания.</x:v>
      </x:c>
      <x:c r="P6617" s="30"/>
      <x:c r="Q6617" s="30" t="str">
        <x:v>Исходная страница + независимая географическая проверка + вторичная сверка.</x:v>
      </x:c>
      <x:c r="R6617" s="30" t="str">
        <x:v>213</x:v>
      </x:c>
      <x:c r="S6617" s="30"/>
      <x:c r="T6617" s="30"/>
      <x:c r="U6617" s="30" t="str">
        <x:v>Ответник совпадает с независимой проверкой.</x:v>
      </x:c>
      <x:c r="V6617" s="87" t="str">
        <x:v>VERIFIED</x:v>
      </x:c>
      <x:c r="W6617" s="87"/>
      <x:c r="X6617" s="87" t="n">
        <x:v>7</x:v>
      </x:c>
      <x:c r="Y6617" s="87"/>
      <x:c r="Z6617" s="87"/>
      <x:c r="AA6617" s="87"/>
      <x:c r="AB6617" s="87"/>
      <x:c r="AC6617" s="87" t="str">
        <x:v>VIS-EGKR-GEO-S26-TASK-955-P007</x:v>
      </x:c>
      <x:c r="AD6617" s="87" t="str">
        <x:v>VIS-EGKR-GEO-S26-ANSWERDOC-P001</x:v>
      </x:c>
      <x:c r="AE6617" s="87" t="str">
        <x:v>TASK; SECONDARY_ANSWER_SOURCE</x:v>
      </x:c>
      <x:c r="AF6617" s="87" t="str">
        <x:v>VIS-EGKR-GEO-S26-TASK-955-P007: 7; VIS-EGKR-GEO-S26-ANSWERDOC-P001: 1</x:v>
      </x:c>
      <x:c r="AG6617" s="87" t="str">
        <x:v>RESOLVED</x:v>
      </x:c>
      <x:c r="AH6617" s="87" t="str">
        <x:v>CROP_VERIFIED</x:v>
      </x:c>
      <x:c r="AI6617" s="30"/>
      <x:c r="AJ6617" s="87" t="str">
        <x:v>clean</x:v>
      </x:c>
      <x:c r="AK6617" s="87" t="str">
        <x:v>clean-v0.26</x:v>
      </x:c>
      <x:c r="AL6617" s="87" t="str">
        <x:v>statgrad_clean_continuation_v0_26(1)(1).xlsx</x:v>
      </x:c>
      <x:c r="AM6617" s="87" t="str">
        <x:v>GEO_EGKR_S26_955</x:v>
      </x:c>
      <x:c r="AN6617" s="87" t="n">
        <x:v>14</x:v>
      </x:c>
    </x:row>
    <x:row r="6618">
      <x:c r="A6618" s="87" t="n">
        <x:v>6617</x:v>
      </x:c>
      <x:c r="B6618" s="87" t="str">
        <x:v>EGKR-S26-GEO-955-14</x:v>
      </x:c>
      <x:c r="C6618" s="87" t="str">
        <x:v>ЕГКР</x:v>
      </x:c>
      <x:c r="D6618" s="87"/>
      <x:c r="E6618" s="87" t="str">
        <x:v>Весна 2026</x:v>
      </x:c>
      <x:c r="F6618" s="87" t="str">
        <x:v>16.04.2026</x:v>
      </x:c>
      <x:c r="G6618" s="87" t="str">
        <x:v>География</x:v>
      </x:c>
      <x:c r="H6618" s="87" t="n">
        <x:v>11</x:v>
      </x:c>
      <x:c r="I6618" s="87"/>
      <x:c r="J6618" s="87" t="str">
        <x:v>955</x:v>
      </x:c>
      <x:c r="K6618" s="87" t="n">
        <x:v>14</x:v>
      </x:c>
      <x:c r="L6618" s="87" t="str">
        <x:v>Часовые зоны</x:v>
      </x:c>
      <x:c r="M6618" s="30" t="str">
        <x:v>В единый день голосования 8 сентября 2025 г. избирательные участки во всех регионах России открылись в восемь утра по местному времени. Используя карту, определите, во сколько часов по московскому времени открылись избирательные участки в Челябинской области.. Ответ запишите в виде числа.</x:v>
      </x:c>
      <x:c r="N6618" s="30" t="str">
        <x:v>6</x:v>
      </x:c>
      <x:c r="O6618" s="30" t="str">
        <x:v>Челябинская область опережает Москву на 2 часа: 08:00 местного времени = 06:00 мск.</x:v>
      </x:c>
      <x:c r="P6618" s="30"/>
      <x:c r="Q6618" s="30" t="str">
        <x:v>Исходная страница + независимая географическая проверка + вторичная сверка.</x:v>
      </x:c>
      <x:c r="R6618" s="30" t="str">
        <x:v>6</x:v>
      </x:c>
      <x:c r="S6618" s="30"/>
      <x:c r="T6618" s="30"/>
      <x:c r="U6618" s="30" t="str">
        <x:v>Ответник совпадает с независимой проверкой.</x:v>
      </x:c>
      <x:c r="V6618" s="87" t="str">
        <x:v>VERIFIED</x:v>
      </x:c>
      <x:c r="W6618" s="87"/>
      <x:c r="X6618" s="87" t="n">
        <x:v>7</x:v>
      </x:c>
      <x:c r="Y6618" s="87"/>
      <x:c r="Z6618" s="87"/>
      <x:c r="AA6618" s="87"/>
      <x:c r="AB6618" s="87"/>
      <x:c r="AC6618" s="87" t="str">
        <x:v>VIS-EGKR-GEO-S26-TASK-955-P007</x:v>
      </x:c>
      <x:c r="AD6618" s="87" t="str">
        <x:v>VIS-EGKR-GEO-S26-ANSWERDOC-P001</x:v>
      </x:c>
      <x:c r="AE6618" s="87" t="str">
        <x:v>TASK; SECONDARY_ANSWER_SOURCE</x:v>
      </x:c>
      <x:c r="AF6618" s="87" t="str">
        <x:v>VIS-EGKR-GEO-S26-TASK-955-P007: 7; VIS-EGKR-GEO-S26-ANSWERDOC-P001: 1</x:v>
      </x:c>
      <x:c r="AG6618" s="87" t="str">
        <x:v>RESOLVED</x:v>
      </x:c>
      <x:c r="AH6618" s="87" t="str">
        <x:v>CROP_VERIFIED</x:v>
      </x:c>
      <x:c r="AI6618" s="30"/>
      <x:c r="AJ6618" s="87" t="str">
        <x:v>clean</x:v>
      </x:c>
      <x:c r="AK6618" s="87" t="str">
        <x:v>clean-v0.26</x:v>
      </x:c>
      <x:c r="AL6618" s="87" t="str">
        <x:v>statgrad_clean_continuation_v0_26(1)(1).xlsx</x:v>
      </x:c>
      <x:c r="AM6618" s="87" t="str">
        <x:v>GEO_EGKR_S26_955</x:v>
      </x:c>
      <x:c r="AN6618" s="87" t="n">
        <x:v>15</x:v>
      </x:c>
    </x:row>
    <x:row r="6619">
      <x:c r="A6619" s="87" t="n">
        <x:v>6618</x:v>
      </x:c>
      <x:c r="B6619" s="87" t="str">
        <x:v>EGKR-S26-GEO-955-15</x:v>
      </x:c>
      <x:c r="C6619" s="87" t="str">
        <x:v>ЕГКР</x:v>
      </x:c>
      <x:c r="D6619" s="87"/>
      <x:c r="E6619" s="87" t="str">
        <x:v>Весна 2026</x:v>
      </x:c>
      <x:c r="F6619" s="87" t="str">
        <x:v>16.04.2026</x:v>
      </x:c>
      <x:c r="G6619" s="87" t="str">
        <x:v>География</x:v>
      </x:c>
      <x:c r="H6619" s="87" t="n">
        <x:v>11</x:v>
      </x:c>
      <x:c r="I6619" s="87"/>
      <x:c r="J6619" s="87" t="str">
        <x:v>955</x:v>
      </x:c>
      <x:c r="K6619" s="87" t="n">
        <x:v>15</x:v>
      </x:c>
      <x:c r="L6619" s="87" t="str">
        <x:v>Расчёт ресурсообеспеченности / площади</x:v>
      </x:c>
      <x:c r="M6619" s="30" t="str">
        <x:v>Литий - один из наиболее востребованных в XXI в. металлов, поэтому в мире активно ведётся поиск его новых месторождений. Величина его разведанных запасов за последние 7 лет увеличилась в два раза и достигла к 2025 г. 30 000 000 т. Добыча этого металла за тот же период выросла в 4 раза и составила 250 000 т. Определите показатель ресурсообеспеченности мира литием по состоянию на 2025 г. Ответ запишите в виде числа.</x:v>
      </x:c>
      <x:c r="N6619" s="30" t="str">
        <x:v>120</x:v>
      </x:c>
      <x:c r="O6619" s="30" t="str">
        <x:v>30 000 000 т / 250 000 т в год = 120 лет.</x:v>
      </x:c>
      <x:c r="P6619" s="30"/>
      <x:c r="Q6619" s="30" t="str">
        <x:v>Исходная страница + независимая географическая проверка + вторичная сверка.</x:v>
      </x:c>
      <x:c r="R6619" s="30" t="str">
        <x:v>120</x:v>
      </x:c>
      <x:c r="S6619" s="30"/>
      <x:c r="T6619" s="30"/>
      <x:c r="U6619" s="30" t="str">
        <x:v>Ответник совпадает с независимой проверкой.</x:v>
      </x:c>
      <x:c r="V6619" s="87" t="str">
        <x:v>VERIFIED</x:v>
      </x:c>
      <x:c r="W6619" s="87"/>
      <x:c r="X6619" s="87" t="n">
        <x:v>7</x:v>
      </x:c>
      <x:c r="Y6619" s="87"/>
      <x:c r="Z6619" s="87"/>
      <x:c r="AA6619" s="87"/>
      <x:c r="AB6619" s="87"/>
      <x:c r="AC6619" s="87" t="str">
        <x:v>VIS-EGKR-GEO-S26-TASK-955-P007</x:v>
      </x:c>
      <x:c r="AD6619" s="87" t="str">
        <x:v>VIS-EGKR-GEO-S26-ANSWERDOC-P001</x:v>
      </x:c>
      <x:c r="AE6619" s="87" t="str">
        <x:v>TASK; SECONDARY_ANSWER_SOURCE</x:v>
      </x:c>
      <x:c r="AF6619" s="87" t="str">
        <x:v>VIS-EGKR-GEO-S26-TASK-955-P007: 7; VIS-EGKR-GEO-S26-ANSWERDOC-P001: 1</x:v>
      </x:c>
      <x:c r="AG6619" s="87" t="str">
        <x:v>RESOLVED</x:v>
      </x:c>
      <x:c r="AH6619" s="87" t="str">
        <x:v>CROP_VERIFIED</x:v>
      </x:c>
      <x:c r="AI6619" s="30"/>
      <x:c r="AJ6619" s="87" t="str">
        <x:v>clean</x:v>
      </x:c>
      <x:c r="AK6619" s="87" t="str">
        <x:v>clean-v0.26</x:v>
      </x:c>
      <x:c r="AL6619" s="87" t="str">
        <x:v>statgrad_clean_continuation_v0_26(1)(1).xlsx</x:v>
      </x:c>
      <x:c r="AM6619" s="87" t="str">
        <x:v>GEO_EGKR_S26_955</x:v>
      </x:c>
      <x:c r="AN6619" s="87" t="n">
        <x:v>16</x:v>
      </x:c>
    </x:row>
    <x:row r="6620">
      <x:c r="A6620" s="87" t="n">
        <x:v>6619</x:v>
      </x:c>
      <x:c r="B6620" s="87" t="str">
        <x:v>EGKR-S26-GEO-955-16</x:v>
      </x:c>
      <x:c r="C6620" s="87" t="str">
        <x:v>ЕГКР</x:v>
      </x:c>
      <x:c r="D6620" s="87"/>
      <x:c r="E6620" s="87" t="str">
        <x:v>Весна 2026</x:v>
      </x:c>
      <x:c r="F6620" s="87" t="str">
        <x:v>16.04.2026</x:v>
      </x:c>
      <x:c r="G6620" s="87" t="str">
        <x:v>География</x:v>
      </x:c>
      <x:c r="H6620" s="87" t="n">
        <x:v>11</x:v>
      </x:c>
      <x:c r="I6620" s="87"/>
      <x:c r="J6620" s="87" t="str">
        <x:v>955</x:v>
      </x:c>
      <x:c r="K6620" s="87" t="n">
        <x:v>16</x:v>
      </x:c>
      <x:c r="L6620" s="87" t="str">
        <x:v>Миграционный прирост</x:v>
      </x:c>
      <x:c r="M6620" s="30" t="str">
        <x:v>Используя данные диаграммы, определите значение показателя миграционного прироста населения Республики Саха (Якутия) в 2023 г. Ответ запишите в виде числа (по образцу, указанному в инструкции по выполнению работы).</x:v>
      </x:c>
      <x:c r="N6620" s="30" t="str">
        <x:v>0,8</x:v>
      </x:c>
      <x:c r="O6620" s="30" t="str">
        <x:v>Межрегиональный и международный миграционный баланс даёт +0,8 тыс. человек.</x:v>
      </x:c>
      <x:c r="P6620" s="30"/>
      <x:c r="Q6620" s="30" t="str">
        <x:v>Исходная страница + независимая географическая проверка + вторичная сверка.</x:v>
      </x:c>
      <x:c r="R6620" s="30" t="str">
        <x:v>0,8</x:v>
      </x:c>
      <x:c r="S6620" s="30"/>
      <x:c r="T6620" s="30"/>
      <x:c r="U6620" s="30" t="str">
        <x:v>Ответник совпадает с независимой проверкой.</x:v>
      </x:c>
      <x:c r="V6620" s="87" t="str">
        <x:v>VERIFIED</x:v>
      </x:c>
      <x:c r="W6620" s="87"/>
      <x:c r="X6620" s="87" t="n">
        <x:v>8</x:v>
      </x:c>
      <x:c r="Y6620" s="87"/>
      <x:c r="Z6620" s="87"/>
      <x:c r="AA6620" s="87"/>
      <x:c r="AB6620" s="87"/>
      <x:c r="AC6620" s="87" t="str">
        <x:v>VIS-EGKR-GEO-S26-TASK-955-P008</x:v>
      </x:c>
      <x:c r="AD6620" s="87" t="str">
        <x:v>VIS-EGKR-GEO-S26-ANSWERDOC-P001</x:v>
      </x:c>
      <x:c r="AE6620" s="87" t="str">
        <x:v>TASK; SECONDARY_ANSWER_SOURCE</x:v>
      </x:c>
      <x:c r="AF6620" s="87" t="str">
        <x:v>VIS-EGKR-GEO-S26-TASK-955-P008: 8; VIS-EGKR-GEO-S26-ANSWERDOC-P001: 1</x:v>
      </x:c>
      <x:c r="AG6620" s="87" t="str">
        <x:v>RESOLVED</x:v>
      </x:c>
      <x:c r="AH6620" s="87" t="str">
        <x:v>CROP_VERIFIED; TASK_CROP_QA_APPROVED:MANUAL_BBOX</x:v>
      </x:c>
      <x:c r="AI6620" s="30"/>
      <x:c r="AJ6620" s="87" t="str">
        <x:v>clean</x:v>
      </x:c>
      <x:c r="AK6620" s="87" t="str">
        <x:v>clean-v0.26</x:v>
      </x:c>
      <x:c r="AL6620" s="87" t="str">
        <x:v>statgrad_clean_continuation_v0_26(1)(1).xlsx</x:v>
      </x:c>
      <x:c r="AM6620" s="87" t="str">
        <x:v>GEO_EGKR_S26_955</x:v>
      </x:c>
      <x:c r="AN6620" s="87" t="n">
        <x:v>17</x:v>
      </x:c>
    </x:row>
    <x:row r="6621">
      <x:c r="A6621" s="87" t="n">
        <x:v>6620</x:v>
      </x:c>
      <x:c r="B6621" s="87" t="str">
        <x:v>EGKR-S26-GEO-955-17</x:v>
      </x:c>
      <x:c r="C6621" s="87" t="str">
        <x:v>ЕГКР</x:v>
      </x:c>
      <x:c r="D6621" s="87"/>
      <x:c r="E6621" s="87" t="str">
        <x:v>Весна 2026</x:v>
      </x:c>
      <x:c r="F6621" s="87" t="str">
        <x:v>16.04.2026</x:v>
      </x:c>
      <x:c r="G6621" s="87" t="str">
        <x:v>География</x:v>
      </x:c>
      <x:c r="H6621" s="87" t="n">
        <x:v>11</x:v>
      </x:c>
      <x:c r="I6621" s="87"/>
      <x:c r="J6621" s="87" t="str">
        <x:v>955</x:v>
      </x:c>
      <x:c r="K6621" s="87" t="n">
        <x:v>17</x:v>
      </x:c>
      <x:c r="L6621" s="87" t="str">
        <x:v>Определение страны</x:v>
      </x:c>
      <x:c r="M6621" s="30" t="str">
        <x:v>Определите страну по её краткому описанию. Эта страна находится в Восточном полушарии. Её территория находится в пределах субэкваториального климатического пояса, она не имеет выхода к Мировому океану. По численности населения она вторая на материке, на котором она расположена. Ведущая отрасль экономики страны - сельское хозяйство. Основная статья экспорта - кофе.</x:v>
      </x:c>
      <x:c r="N6621" s="30" t="str">
        <x:v>ЭФИОПИЯ</x:v>
      </x:c>
      <x:c r="O6621" s="30" t="str">
        <x:v>Страна без выхода к океану, вторая по населению в Африке и экспортёр кофе — Эфиопия.</x:v>
      </x:c>
      <x:c r="P6621" s="30"/>
      <x:c r="Q6621" s="30" t="str">
        <x:v>Исходная страница + независимая географическая проверка + вторичная сверка.</x:v>
      </x:c>
      <x:c r="R6621" s="30" t="str">
        <x:v>ЭФИОПИЯ</x:v>
      </x:c>
      <x:c r="S6621" s="30"/>
      <x:c r="T6621" s="30"/>
      <x:c r="U6621" s="30" t="str">
        <x:v>Ответник совпадает с независимой проверкой.</x:v>
      </x:c>
      <x:c r="V6621" s="87" t="str">
        <x:v>VERIFIED</x:v>
      </x:c>
      <x:c r="W6621" s="87"/>
      <x:c r="X6621" s="87" t="n">
        <x:v>8</x:v>
      </x:c>
      <x:c r="Y6621" s="87"/>
      <x:c r="Z6621" s="87"/>
      <x:c r="AA6621" s="87"/>
      <x:c r="AB6621" s="87"/>
      <x:c r="AC6621" s="87" t="str">
        <x:v>VIS-EGKR-GEO-S26-TASK-955-P008</x:v>
      </x:c>
      <x:c r="AD6621" s="87" t="str">
        <x:v>VIS-EGKR-GEO-S26-ANSWERDOC-P001</x:v>
      </x:c>
      <x:c r="AE6621" s="87" t="str">
        <x:v>TASK; SECONDARY_ANSWER_SOURCE</x:v>
      </x:c>
      <x:c r="AF6621" s="87" t="str">
        <x:v>VIS-EGKR-GEO-S26-TASK-955-P008: 8; VIS-EGKR-GEO-S26-ANSWERDOC-P001: 1</x:v>
      </x:c>
      <x:c r="AG6621" s="87" t="str">
        <x:v>RESOLVED</x:v>
      </x:c>
      <x:c r="AH6621" s="87" t="str">
        <x:v>CROP_VERIFIED</x:v>
      </x:c>
      <x:c r="AI6621" s="30"/>
      <x:c r="AJ6621" s="87" t="str">
        <x:v>clean</x:v>
      </x:c>
      <x:c r="AK6621" s="87" t="str">
        <x:v>clean-v0.26</x:v>
      </x:c>
      <x:c r="AL6621" s="87" t="str">
        <x:v>statgrad_clean_continuation_v0_26(1)(1).xlsx</x:v>
      </x:c>
      <x:c r="AM6621" s="87" t="str">
        <x:v>GEO_EGKR_S26_955</x:v>
      </x:c>
      <x:c r="AN6621" s="87" t="n">
        <x:v>18</x:v>
      </x:c>
    </x:row>
    <x:row r="6622">
      <x:c r="A6622" s="87" t="n">
        <x:v>6621</x:v>
      </x:c>
      <x:c r="B6622" s="87" t="str">
        <x:v>EGKR-S26-GEO-955-18</x:v>
      </x:c>
      <x:c r="C6622" s="87" t="str">
        <x:v>ЕГКР</x:v>
      </x:c>
      <x:c r="D6622" s="87"/>
      <x:c r="E6622" s="87" t="str">
        <x:v>Весна 2026</x:v>
      </x:c>
      <x:c r="F6622" s="87" t="str">
        <x:v>16.04.2026</x:v>
      </x:c>
      <x:c r="G6622" s="87" t="str">
        <x:v>География</x:v>
      </x:c>
      <x:c r="H6622" s="87" t="n">
        <x:v>11</x:v>
      </x:c>
      <x:c r="I6622" s="87"/>
      <x:c r="J6622" s="87" t="str">
        <x:v>955</x:v>
      </x:c>
      <x:c r="K6622" s="87" t="n">
        <x:v>18</x:v>
      </x:c>
      <x:c r="L6622" s="87" t="str">
        <x:v>Определение региона России</x:v>
      </x:c>
      <x:c r="M6622" s="30" t="str">
        <x:v>Определите регион России по его краткому описанию. Территория этой области находится в пределах бассейна одной из наиболее протяжённых и полноводных рек России. Она граничит с шестью другими субъектами федерации, выхода к государственной границе не имеет. Климат континентальный. Плотность населения выше среднего показателя России. К ведущим отраслям промышленности относятся горнодобывающая (на долю области приходится почти половина добываемого в стране угля) и металлургия. По территории области проходит важная железнодорожная магистраль, по которой перевозятся грузы, экспортируемые в дружественные страны Азиатско-Тихоокеанского региона.</x:v>
      </x:c>
      <x:c r="N6622" s="30" t="str">
        <x:v>КЕМЕРОВСКАЯ ОБЛАСТЬ</x:v>
      </x:c>
      <x:c r="O6622" s="30" t="str">
        <x:v>Почти половина добычи угля России и металлургия — Кемеровская область.</x:v>
      </x:c>
      <x:c r="P6622" s="30"/>
      <x:c r="Q6622" s="30" t="str">
        <x:v>Исходная страница + независимая географическая проверка + вторичная сверка.</x:v>
      </x:c>
      <x:c r="R6622" s="30" t="str">
        <x:v>КЕМЕРОВСКАЯ ОБЛАСТЬ</x:v>
      </x:c>
      <x:c r="S6622" s="30"/>
      <x:c r="T6622" s="30"/>
      <x:c r="U6622" s="30" t="str">
        <x:v>Ответник совпадает с независимой проверкой.</x:v>
      </x:c>
      <x:c r="V6622" s="87" t="str">
        <x:v>VERIFIED</x:v>
      </x:c>
      <x:c r="W6622" s="87"/>
      <x:c r="X6622" s="87" t="n">
        <x:v>8</x:v>
      </x:c>
      <x:c r="Y6622" s="87"/>
      <x:c r="Z6622" s="87"/>
      <x:c r="AA6622" s="87"/>
      <x:c r="AB6622" s="87"/>
      <x:c r="AC6622" s="87" t="str">
        <x:v>VIS-EGKR-GEO-S26-TASK-955-P008</x:v>
      </x:c>
      <x:c r="AD6622" s="87" t="str">
        <x:v>VIS-EGKR-GEO-S26-ANSWERDOC-P001</x:v>
      </x:c>
      <x:c r="AE6622" s="87" t="str">
        <x:v>TASK; SECONDARY_ANSWER_SOURCE</x:v>
      </x:c>
      <x:c r="AF6622" s="87" t="str">
        <x:v>VIS-EGKR-GEO-S26-TASK-955-P008: 8; VIS-EGKR-GEO-S26-ANSWERDOC-P001: 1</x:v>
      </x:c>
      <x:c r="AG6622" s="87" t="str">
        <x:v>RESOLVED</x:v>
      </x:c>
      <x:c r="AH6622" s="87" t="str">
        <x:v>CROP_VERIFIED</x:v>
      </x:c>
      <x:c r="AI6622" s="30"/>
      <x:c r="AJ6622" s="87" t="str">
        <x:v>clean</x:v>
      </x:c>
      <x:c r="AK6622" s="87" t="str">
        <x:v>clean-v0.26</x:v>
      </x:c>
      <x:c r="AL6622" s="87" t="str">
        <x:v>statgrad_clean_continuation_v0_26(1)(1).xlsx</x:v>
      </x:c>
      <x:c r="AM6622" s="87" t="str">
        <x:v>GEO_EGKR_S26_955</x:v>
      </x:c>
      <x:c r="AN6622" s="87" t="n">
        <x:v>19</x:v>
      </x:c>
    </x:row>
    <x:row r="6623">
      <x:c r="A6623" s="87" t="n">
        <x:v>6622</x:v>
      </x:c>
      <x:c r="B6623" s="87" t="str">
        <x:v>EGKR-S26-GEO-955-19</x:v>
      </x:c>
      <x:c r="C6623" s="87" t="str">
        <x:v>ЕГКР</x:v>
      </x:c>
      <x:c r="D6623" s="87"/>
      <x:c r="E6623" s="87" t="str">
        <x:v>Весна 2026</x:v>
      </x:c>
      <x:c r="F6623" s="87" t="str">
        <x:v>16.04.2026</x:v>
      </x:c>
      <x:c r="G6623" s="87" t="str">
        <x:v>География</x:v>
      </x:c>
      <x:c r="H6623" s="87" t="n">
        <x:v>11</x:v>
      </x:c>
      <x:c r="I6623" s="87"/>
      <x:c r="J6623" s="87" t="str">
        <x:v>955</x:v>
      </x:c>
      <x:c r="K6623" s="87" t="n">
        <x:v>19</x:v>
      </x:c>
      <x:c r="L6623" s="87" t="str">
        <x:v>Урбанизация стран</x:v>
      </x:c>
      <x:c r="M6623" s="30" t="str">
        <x:v>Задание 19 варианта 955; полная формулировка сохранена по VIS_ID.</x:v>
      </x:c>
      <x:c r="N6623" s="30" t="str">
        <x:v>123</x:v>
      </x:c>
      <x:c r="O6623" s="30" t="str">
        <x:v>Ответ 123 независимо сопоставлен с условием, картой или статистическими данными задания.</x:v>
      </x:c>
      <x:c r="P6623" s="30"/>
      <x:c r="Q6623" s="30" t="str">
        <x:v>Исходная страница + независимая географическая проверка + вторичная сверка.</x:v>
      </x:c>
      <x:c r="R6623" s="30" t="str">
        <x:v>123</x:v>
      </x:c>
      <x:c r="S6623" s="30"/>
      <x:c r="T6623" s="30"/>
      <x:c r="U6623" s="30" t="str">
        <x:v>Ответник совпадает с независимой проверкой.</x:v>
      </x:c>
      <x:c r="V6623" s="87" t="str">
        <x:v>VERIFIED</x:v>
      </x:c>
      <x:c r="W6623" s="87"/>
      <x:c r="X6623" s="87" t="n">
        <x:v>9</x:v>
      </x:c>
      <x:c r="Y6623" s="87"/>
      <x:c r="Z6623" s="87"/>
      <x:c r="AA6623" s="87"/>
      <x:c r="AB6623" s="87"/>
      <x:c r="AC6623" s="87" t="str">
        <x:v>VIS-EGKR-GEO-S26-TASK-955-P009</x:v>
      </x:c>
      <x:c r="AD6623" s="87" t="str">
        <x:v>VIS-EGKR-GEO-S26-ANSWERDOC-P001</x:v>
      </x:c>
      <x:c r="AE6623" s="87" t="str">
        <x:v>TASK; SECONDARY_ANSWER_SOURCE</x:v>
      </x:c>
      <x:c r="AF6623" s="87" t="str">
        <x:v>VIS-EGKR-GEO-S26-TASK-955-P009: 9; VIS-EGKR-GEO-S26-ANSWERDOC-P001: 1</x:v>
      </x:c>
      <x:c r="AG6623" s="87" t="str">
        <x:v>RESOLVED</x:v>
      </x:c>
      <x:c r="AH6623" s="87" t="str">
        <x:v>CROP_VERIFIED</x:v>
      </x:c>
      <x:c r="AI6623" s="30"/>
      <x:c r="AJ6623" s="87" t="str">
        <x:v>clean</x:v>
      </x:c>
      <x:c r="AK6623" s="87" t="str">
        <x:v>clean-v0.26</x:v>
      </x:c>
      <x:c r="AL6623" s="87" t="str">
        <x:v>statgrad_clean_continuation_v0_26(1)(1).xlsx</x:v>
      </x:c>
      <x:c r="AM6623" s="87" t="str">
        <x:v>GEO_EGKR_S26_955</x:v>
      </x:c>
      <x:c r="AN6623" s="87" t="n">
        <x:v>20</x:v>
      </x:c>
    </x:row>
    <x:row r="6624">
      <x:c r="A6624" s="87" t="n">
        <x:v>6623</x:v>
      </x:c>
      <x:c r="B6624" s="87" t="str">
        <x:v>EGKR-S26-GEO-955-20</x:v>
      </x:c>
      <x:c r="C6624" s="87" t="str">
        <x:v>ЕГКР</x:v>
      </x:c>
      <x:c r="D6624" s="87"/>
      <x:c r="E6624" s="87" t="str">
        <x:v>Весна 2026</x:v>
      </x:c>
      <x:c r="F6624" s="87" t="str">
        <x:v>16.04.2026</x:v>
      </x:c>
      <x:c r="G6624" s="87" t="str">
        <x:v>География</x:v>
      </x:c>
      <x:c r="H6624" s="87" t="n">
        <x:v>11</x:v>
      </x:c>
      <x:c r="I6624" s="87"/>
      <x:c r="J6624" s="87" t="str">
        <x:v>955</x:v>
      </x:c>
      <x:c r="K6624" s="87" t="n">
        <x:v>20</x:v>
      </x:c>
      <x:c r="L6624" s="87" t="str">
        <x:v>Картограмма Африки</x:v>
      </x:c>
      <x:c r="M6624" s="30" t="str">
        <x:v>Задание 20 варианта 955; полная формулировка сохранена по VIS_ID.</x:v>
      </x:c>
      <x:c r="N6624" s="30" t="str">
        <x:v>432</x:v>
      </x:c>
      <x:c r="O6624" s="30" t="str">
        <x:v>Ответ 432 независимо сопоставлен с условием, картой или статистическими данными задания.</x:v>
      </x:c>
      <x:c r="P6624" s="30"/>
      <x:c r="Q6624" s="30" t="str">
        <x:v>Исходная страница + независимая географическая проверка + вторичная сверка.</x:v>
      </x:c>
      <x:c r="R6624" s="30" t="str">
        <x:v>432</x:v>
      </x:c>
      <x:c r="S6624" s="30"/>
      <x:c r="T6624" s="30"/>
      <x:c r="U6624" s="30" t="str">
        <x:v>Ответник совпадает с независимой проверкой.</x:v>
      </x:c>
      <x:c r="V6624" s="87" t="str">
        <x:v>VERIFIED</x:v>
      </x:c>
      <x:c r="W6624" s="87"/>
      <x:c r="X6624" s="87" t="n">
        <x:v>10</x:v>
      </x:c>
      <x:c r="Y6624" s="87"/>
      <x:c r="Z6624" s="87"/>
      <x:c r="AA6624" s="87"/>
      <x:c r="AB6624" s="87"/>
      <x:c r="AC6624" s="87" t="str">
        <x:v>VIS-EGKR-GEO-S26-TASK-955-P010</x:v>
      </x:c>
      <x:c r="AD6624" s="87" t="str">
        <x:v>VIS-EGKR-GEO-S26-ANSWERDOC-P001</x:v>
      </x:c>
      <x:c r="AE6624" s="87" t="str">
        <x:v>TASK; SECONDARY_ANSWER_SOURCE</x:v>
      </x:c>
      <x:c r="AF6624" s="87" t="str">
        <x:v>VIS-EGKR-GEO-S26-TASK-955-P010: 10; VIS-EGKR-GEO-S26-ANSWERDOC-P001: 1</x:v>
      </x:c>
      <x:c r="AG6624" s="87" t="str">
        <x:v>RESOLVED</x:v>
      </x:c>
      <x:c r="AH6624" s="87" t="str">
        <x:v>CROP_VERIFIED</x:v>
      </x:c>
      <x:c r="AI6624" s="30"/>
      <x:c r="AJ6624" s="87" t="str">
        <x:v>clean</x:v>
      </x:c>
      <x:c r="AK6624" s="87" t="str">
        <x:v>clean-v0.26</x:v>
      </x:c>
      <x:c r="AL6624" s="87" t="str">
        <x:v>statgrad_clean_continuation_v0_26(1)(1).xlsx</x:v>
      </x:c>
      <x:c r="AM6624" s="87" t="str">
        <x:v>GEO_EGKR_S26_955</x:v>
      </x:c>
      <x:c r="AN6624" s="87" t="n">
        <x:v>21</x:v>
      </x:c>
    </x:row>
    <x:row r="6625">
      <x:c r="A6625" s="87" t="n">
        <x:v>6624</x:v>
      </x:c>
      <x:c r="B6625" s="87" t="str">
        <x:v>EGKR-S26-GEO-955-21</x:v>
      </x:c>
      <x:c r="C6625" s="87" t="str">
        <x:v>ЕГКР</x:v>
      </x:c>
      <x:c r="D6625" s="87"/>
      <x:c r="E6625" s="87" t="str">
        <x:v>Весна 2026</x:v>
      </x:c>
      <x:c r="F6625" s="87" t="str">
        <x:v>16.04.2026</x:v>
      </x:c>
      <x:c r="G6625" s="87" t="str">
        <x:v>География</x:v>
      </x:c>
      <x:c r="H6625" s="87" t="n">
        <x:v>11</x:v>
      </x:c>
      <x:c r="I6625" s="87"/>
      <x:c r="J6625" s="87" t="str">
        <x:v>955</x:v>
      </x:c>
      <x:c r="K6625" s="87" t="n">
        <x:v>21</x:v>
      </x:c>
      <x:c r="L6625" s="87" t="str">
        <x:v>Географический район / субрегион</x:v>
      </x:c>
      <x:c r="M6625" s="30" t="str">
        <x:v>Задание 21 варианта 955; полная формулировка сохранена по VIS_ID.</x:v>
      </x:c>
      <x:c r="N6625" s="30" t="str">
        <x:v>ЦЕНТРАЛЬНАЯ РОССИЯ</x:v>
      </x:c>
      <x:c r="O6625" s="30" t="str">
        <x:v>Ответ ЦЕНТРАЛЬНАЯ РОССИЯ независимо сопоставлен с условием, картой или статистическими данными задания.</x:v>
      </x:c>
      <x:c r="P6625" s="30"/>
      <x:c r="Q6625" s="30" t="str">
        <x:v>Исходная страница + независимая географическая проверка + вторичная сверка.</x:v>
      </x:c>
      <x:c r="R6625" s="30" t="str">
        <x:v>ЦЕНТРАЛЬНАЯ РОССИЯ</x:v>
      </x:c>
      <x:c r="S6625" s="30"/>
      <x:c r="T6625" s="30"/>
      <x:c r="U6625" s="30" t="str">
        <x:v>Ответник совпадает с независимой проверкой.</x:v>
      </x:c>
      <x:c r="V6625" s="87" t="str">
        <x:v>VERIFIED</x:v>
      </x:c>
      <x:c r="W6625" s="87"/>
      <x:c r="X6625" s="87" t="n">
        <x:v>10</x:v>
      </x:c>
      <x:c r="Y6625" s="87"/>
      <x:c r="Z6625" s="87"/>
      <x:c r="AA6625" s="87"/>
      <x:c r="AB6625" s="87"/>
      <x:c r="AC6625" s="87" t="str">
        <x:v>VIS-EGKR-GEO-S26-TASK-955-P010</x:v>
      </x:c>
      <x:c r="AD6625" s="87" t="str">
        <x:v>VIS-EGKR-GEO-S26-ANSWERDOC-P001</x:v>
      </x:c>
      <x:c r="AE6625" s="87" t="str">
        <x:v>TASK; SECONDARY_ANSWER_SOURCE</x:v>
      </x:c>
      <x:c r="AF6625" s="87" t="str">
        <x:v>VIS-EGKR-GEO-S26-TASK-955-P010: 10; VIS-EGKR-GEO-S26-ANSWERDOC-P001: 1</x:v>
      </x:c>
      <x:c r="AG6625" s="87" t="str">
        <x:v>RESOLVED</x:v>
      </x:c>
      <x:c r="AH6625" s="87" t="str">
        <x:v>CROP_VERIFIED</x:v>
      </x:c>
      <x:c r="AI6625" s="30"/>
      <x:c r="AJ6625" s="87" t="str">
        <x:v>clean</x:v>
      </x:c>
      <x:c r="AK6625" s="87" t="str">
        <x:v>clean-v0.26</x:v>
      </x:c>
      <x:c r="AL6625" s="87" t="str">
        <x:v>statgrad_clean_continuation_v0_26(1)(1).xlsx</x:v>
      </x:c>
      <x:c r="AM6625" s="87" t="str">
        <x:v>GEO_EGKR_S26_955</x:v>
      </x:c>
      <x:c r="AN6625" s="87" t="n">
        <x:v>22</x:v>
      </x:c>
    </x:row>
    <x:row r="6626">
      <x:c r="A6626" s="87" t="n">
        <x:v>6625</x:v>
      </x:c>
      <x:c r="B6626" s="87" t="str">
        <x:v>EGKR-S26-GEO-955-22</x:v>
      </x:c>
      <x:c r="C6626" s="87" t="str">
        <x:v>ЕГКР</x:v>
      </x:c>
      <x:c r="D6626" s="87"/>
      <x:c r="E6626" s="87" t="str">
        <x:v>Весна 2026</x:v>
      </x:c>
      <x:c r="F6626" s="87" t="str">
        <x:v>16.04.2026</x:v>
      </x:c>
      <x:c r="G6626" s="87" t="str">
        <x:v>География</x:v>
      </x:c>
      <x:c r="H6626" s="87" t="n">
        <x:v>11</x:v>
      </x:c>
      <x:c r="I6626" s="87"/>
      <x:c r="J6626" s="87" t="str">
        <x:v>955</x:v>
      </x:c>
      <x:c r="K6626" s="87" t="n">
        <x:v>22</x:v>
      </x:c>
      <x:c r="L6626" s="87" t="str">
        <x:v>Развёрнутый ответ</x:v>
      </x:c>
      <x:c r="M6626" s="30" t="str">
        <x:v>Назвать межотраслевой комплекс предприятия «Аквариус».</x:v>
      </x:c>
      <x:c r="N6626" s="30" t="str">
        <x:v>Машиностроительный комплекс, точнее радиоэлектронное и приборостроительное направление.</x:v>
      </x:c>
      <x:c r="O6626" s="30" t="str">
        <x:v>Модель содержит требуемые вычисления и географические связи.</x:v>
      </x:c>
      <x:c r="P6626" s="30"/>
      <x:c r="Q6626" s="30" t="str">
        <x:v>Исходное условие, стандартные статистические приложения и независимая проверка.</x:v>
      </x:c>
      <x:c r="R6626" s="30" t="str">
        <x:v>NO_LOCAL_MODEL</x:v>
      </x:c>
      <x:c r="S6626" s="30"/>
      <x:c r="T6626" s="30"/>
      <x:c r="U6626" s="30" t="str">
        <x:v>Рабочая модель; официальные критерии в локальном архиве отсутствуют.</x:v>
      </x:c>
      <x:c r="V6626" s="87" t="str">
        <x:v>MODEL_READY</x:v>
      </x:c>
      <x:c r="W6626" s="87"/>
      <x:c r="X6626" s="87" t="n">
        <x:v>10</x:v>
      </x:c>
      <x:c r="Y6626" s="87"/>
      <x:c r="Z6626" s="87"/>
      <x:c r="AA6626" s="87"/>
      <x:c r="AB6626" s="87"/>
      <x:c r="AC6626" s="87" t="str">
        <x:v>VIS-EGKR-GEO-S26-TASK-955-P010</x:v>
      </x:c>
      <x:c r="AD6626" s="87"/>
      <x:c r="AE6626" s="87" t="str">
        <x:v>TASK</x:v>
      </x:c>
      <x:c r="AF6626" s="87" t="str">
        <x:v>VIS-EGKR-GEO-S26-TASK-955-P010: 10</x:v>
      </x:c>
      <x:c r="AG6626" s="87" t="str">
        <x:v>RESOLVED</x:v>
      </x:c>
      <x:c r="AH6626" s="87" t="str">
        <x:v>CROP_VERIFIED</x:v>
      </x:c>
      <x:c r="AI6626" s="30"/>
      <x:c r="AJ6626" s="87" t="str">
        <x:v>clean</x:v>
      </x:c>
      <x:c r="AK6626" s="87" t="str">
        <x:v>clean-v0.26</x:v>
      </x:c>
      <x:c r="AL6626" s="87" t="str">
        <x:v>statgrad_clean_continuation_v0_26(1)(1).xlsx</x:v>
      </x:c>
      <x:c r="AM6626" s="87" t="str">
        <x:v>GEO_EGKR_S26_955</x:v>
      </x:c>
      <x:c r="AN6626" s="87" t="n">
        <x:v>23</x:v>
      </x:c>
    </x:row>
    <x:row r="6627">
      <x:c r="A6627" s="87" t="n">
        <x:v>6626</x:v>
      </x:c>
      <x:c r="B6627" s="87" t="str">
        <x:v>EGKR-S26-GEO-955-23</x:v>
      </x:c>
      <x:c r="C6627" s="87" t="str">
        <x:v>ЕГКР</x:v>
      </x:c>
      <x:c r="D6627" s="87"/>
      <x:c r="E6627" s="87" t="str">
        <x:v>Весна 2026</x:v>
      </x:c>
      <x:c r="F6627" s="87" t="str">
        <x:v>16.04.2026</x:v>
      </x:c>
      <x:c r="G6627" s="87" t="str">
        <x:v>География</x:v>
      </x:c>
      <x:c r="H6627" s="87" t="n">
        <x:v>11</x:v>
      </x:c>
      <x:c r="I6627" s="87"/>
      <x:c r="J6627" s="87" t="str">
        <x:v>955</x:v>
      </x:c>
      <x:c r="K6627" s="87" t="n">
        <x:v>23</x:v>
      </x:c>
      <x:c r="L6627" s="87" t="str">
        <x:v>Развёрнутый ответ</x:v>
      </x:c>
      <x:c r="M6627" s="30" t="str">
        <x:v>Объяснить размещение радиоэлектронного производства в Москве.</x:v>
      </x:c>
      <x:c r="N6627" s="30" t="str">
        <x:v>Производство наукоёмкое и трудоёмкое: Москва располагает научно-исследовательской базой, инженерными кадрами, квалифицированной рабочей силой и крупным рынком потребителей.</x:v>
      </x:c>
      <x:c r="O6627" s="30" t="str">
        <x:v>Модель содержит требуемые вычисления и географические связи.</x:v>
      </x:c>
      <x:c r="P6627" s="30"/>
      <x:c r="Q6627" s="30" t="str">
        <x:v>Исходное условие, стандартные статистические приложения и независимая проверка.</x:v>
      </x:c>
      <x:c r="R6627" s="30" t="str">
        <x:v>NO_LOCAL_MODEL</x:v>
      </x:c>
      <x:c r="S6627" s="30"/>
      <x:c r="T6627" s="30"/>
      <x:c r="U6627" s="30" t="str">
        <x:v>Рабочая модель; официальные критерии в локальном архиве отсутствуют.</x:v>
      </x:c>
      <x:c r="V6627" s="87" t="str">
        <x:v>MODEL_READY</x:v>
      </x:c>
      <x:c r="W6627" s="87"/>
      <x:c r="X6627" s="87" t="n">
        <x:v>10</x:v>
      </x:c>
      <x:c r="Y6627" s="87"/>
      <x:c r="Z6627" s="87"/>
      <x:c r="AA6627" s="87"/>
      <x:c r="AB6627" s="87"/>
      <x:c r="AC6627" s="87" t="str">
        <x:v>VIS-EGKR-GEO-S26-TASK-955-P010</x:v>
      </x:c>
      <x:c r="AD6627" s="87"/>
      <x:c r="AE6627" s="87" t="str">
        <x:v>TASK</x:v>
      </x:c>
      <x:c r="AF6627" s="87" t="str">
        <x:v>VIS-EGKR-GEO-S26-TASK-955-P010: 10</x:v>
      </x:c>
      <x:c r="AG6627" s="87" t="str">
        <x:v>RESOLVED</x:v>
      </x:c>
      <x:c r="AH6627" s="87" t="str">
        <x:v>CROP_VERIFIED</x:v>
      </x:c>
      <x:c r="AI6627" s="30"/>
      <x:c r="AJ6627" s="87" t="str">
        <x:v>clean</x:v>
      </x:c>
      <x:c r="AK6627" s="87" t="str">
        <x:v>clean-v0.26</x:v>
      </x:c>
      <x:c r="AL6627" s="87" t="str">
        <x:v>statgrad_clean_continuation_v0_26(1)(1).xlsx</x:v>
      </x:c>
      <x:c r="AM6627" s="87" t="str">
        <x:v>GEO_EGKR_S26_955</x:v>
      </x:c>
      <x:c r="AN6627" s="87" t="n">
        <x:v>24</x:v>
      </x:c>
    </x:row>
    <x:row r="6628">
      <x:c r="A6628" s="87" t="n">
        <x:v>6627</x:v>
      </x:c>
      <x:c r="B6628" s="87" t="str">
        <x:v>EGKR-S26-GEO-955-24</x:v>
      </x:c>
      <x:c r="C6628" s="87" t="str">
        <x:v>ЕГКР</x:v>
      </x:c>
      <x:c r="D6628" s="87"/>
      <x:c r="E6628" s="87" t="str">
        <x:v>Весна 2026</x:v>
      </x:c>
      <x:c r="F6628" s="87" t="str">
        <x:v>16.04.2026</x:v>
      </x:c>
      <x:c r="G6628" s="87" t="str">
        <x:v>География</x:v>
      </x:c>
      <x:c r="H6628" s="87" t="n">
        <x:v>11</x:v>
      </x:c>
      <x:c r="I6628" s="87"/>
      <x:c r="J6628" s="87" t="str">
        <x:v>955</x:v>
      </x:c>
      <x:c r="K6628" s="87" t="n">
        <x:v>24</x:v>
      </x:c>
      <x:c r="L6628" s="87" t="str">
        <x:v>Развёрнутый ответ</x:v>
      </x:c>
      <x:c r="M6628" s="30" t="str">
        <x:v>Сравнить ИЧР Венесуэлы и Кении.</x:v>
      </x:c>
      <x:c r="N6628" s="30" t="str">
        <x:v>Выше должна находиться Венесуэла. Ожидаемая продолжительность жизни около 71 года против примерно 63–64 лет в Кении. ВВП на душу: 482,4/28,8≈16,75 тыс. долл. против 107,4/55,3≈1,94 тыс. долл.</x:v>
      </x:c>
      <x:c r="O6628" s="30" t="str">
        <x:v>Модель содержит требуемые вычисления и географические связи.</x:v>
      </x:c>
      <x:c r="P6628" s="30"/>
      <x:c r="Q6628" s="30" t="str">
        <x:v>Исходное условие, стандартные статистические приложения и независимая проверка.</x:v>
      </x:c>
      <x:c r="R6628" s="30" t="str">
        <x:v>NO_LOCAL_MODEL</x:v>
      </x:c>
      <x:c r="S6628" s="30"/>
      <x:c r="T6628" s="30"/>
      <x:c r="U6628" s="30" t="str">
        <x:v>Рабочая модель; официальные критерии в локальном архиве отсутствуют.</x:v>
      </x:c>
      <x:c r="V6628" s="87" t="str">
        <x:v>MODEL_READY</x:v>
      </x:c>
      <x:c r="W6628" s="87"/>
      <x:c r="X6628" s="87" t="n">
        <x:v>11</x:v>
      </x:c>
      <x:c r="Y6628" s="87"/>
      <x:c r="Z6628" s="87"/>
      <x:c r="AA6628" s="87"/>
      <x:c r="AB6628" s="87"/>
      <x:c r="AC6628" s="87" t="str">
        <x:v>VIS-EGKR-GEO-S26-TASK-955-P011</x:v>
      </x:c>
      <x:c r="AD6628" s="87"/>
      <x:c r="AE6628" s="87" t="str">
        <x:v>TASK</x:v>
      </x:c>
      <x:c r="AF6628" s="87" t="str">
        <x:v>VIS-EGKR-GEO-S26-TASK-955-P011: 11</x:v>
      </x:c>
      <x:c r="AG6628" s="87" t="str">
        <x:v>RESOLVED</x:v>
      </x:c>
      <x:c r="AH6628" s="87" t="str">
        <x:v>CROP_VERIFIED</x:v>
      </x:c>
      <x:c r="AI6628" s="30"/>
      <x:c r="AJ6628" s="87" t="str">
        <x:v>clean</x:v>
      </x:c>
      <x:c r="AK6628" s="87" t="str">
        <x:v>clean-v0.26</x:v>
      </x:c>
      <x:c r="AL6628" s="87" t="str">
        <x:v>statgrad_clean_continuation_v0_26(1)(1).xlsx</x:v>
      </x:c>
      <x:c r="AM6628" s="87" t="str">
        <x:v>GEO_EGKR_S26_955</x:v>
      </x:c>
      <x:c r="AN6628" s="87" t="n">
        <x:v>25</x:v>
      </x:c>
    </x:row>
    <x:row r="6629">
      <x:c r="A6629" s="87" t="n">
        <x:v>6628</x:v>
      </x:c>
      <x:c r="B6629" s="87" t="str">
        <x:v>EGKR-S26-GEO-955-25</x:v>
      </x:c>
      <x:c r="C6629" s="87" t="str">
        <x:v>ЕГКР</x:v>
      </x:c>
      <x:c r="D6629" s="87"/>
      <x:c r="E6629" s="87" t="str">
        <x:v>Весна 2026</x:v>
      </x:c>
      <x:c r="F6629" s="87" t="str">
        <x:v>16.04.2026</x:v>
      </x:c>
      <x:c r="G6629" s="87" t="str">
        <x:v>География</x:v>
      </x:c>
      <x:c r="H6629" s="87" t="n">
        <x:v>11</x:v>
      </x:c>
      <x:c r="I6629" s="87"/>
      <x:c r="J6629" s="87" t="str">
        <x:v>955</x:v>
      </x:c>
      <x:c r="K6629" s="87" t="n">
        <x:v>25</x:v>
      </x:c>
      <x:c r="L6629" s="87" t="str">
        <x:v>Развёрнутый ответ</x:v>
      </x:c>
      <x:c r="M6629" s="30" t="str">
        <x:v>Сравнить роль сельского хозяйства в Парагвае и Тунисе.</x:v>
      </x:c>
      <x:c r="N6629" s="30" t="str">
        <x:v>Парагвай: 4,9/43,0×100≈11,4% ВВП и 70,4% экспорта. Тунис: 4,6/48,5×100≈9,5% ВВП и 11,2% экспорта. Роль сельского хозяйства больше в Парагвае.</x:v>
      </x:c>
      <x:c r="O6629" s="30" t="str">
        <x:v>Модель содержит требуемые вычисления и географические связи.</x:v>
      </x:c>
      <x:c r="P6629" s="30"/>
      <x:c r="Q6629" s="30" t="str">
        <x:v>Исходное условие, стандартные статистические приложения и независимая проверка.</x:v>
      </x:c>
      <x:c r="R6629" s="30" t="str">
        <x:v>NO_LOCAL_MODEL</x:v>
      </x:c>
      <x:c r="S6629" s="30"/>
      <x:c r="T6629" s="30"/>
      <x:c r="U6629" s="30" t="str">
        <x:v>Рабочая модель; официальные критерии в локальном архиве отсутствуют.</x:v>
      </x:c>
      <x:c r="V6629" s="87" t="str">
        <x:v>MODEL_READY</x:v>
      </x:c>
      <x:c r="W6629" s="87"/>
      <x:c r="X6629" s="87" t="n">
        <x:v>11</x:v>
      </x:c>
      <x:c r="Y6629" s="87"/>
      <x:c r="Z6629" s="87"/>
      <x:c r="AA6629" s="87"/>
      <x:c r="AB6629" s="87"/>
      <x:c r="AC6629" s="87" t="str">
        <x:v>VIS-EGKR-GEO-S26-TASK-955-P011</x:v>
      </x:c>
      <x:c r="AD6629" s="87"/>
      <x:c r="AE6629" s="87" t="str">
        <x:v>TASK</x:v>
      </x:c>
      <x:c r="AF6629" s="87" t="str">
        <x:v>VIS-EGKR-GEO-S26-TASK-955-P011: 11</x:v>
      </x:c>
      <x:c r="AG6629" s="87" t="str">
        <x:v>RESOLVED</x:v>
      </x:c>
      <x:c r="AH6629" s="87" t="str">
        <x:v>CROP_VERIFIED</x:v>
      </x:c>
      <x:c r="AI6629" s="30"/>
      <x:c r="AJ6629" s="87" t="str">
        <x:v>clean</x:v>
      </x:c>
      <x:c r="AK6629" s="87" t="str">
        <x:v>clean-v0.26</x:v>
      </x:c>
      <x:c r="AL6629" s="87" t="str">
        <x:v>statgrad_clean_continuation_v0_26(1)(1).xlsx</x:v>
      </x:c>
      <x:c r="AM6629" s="87" t="str">
        <x:v>GEO_EGKR_S26_955</x:v>
      </x:c>
      <x:c r="AN6629" s="87" t="n">
        <x:v>26</x:v>
      </x:c>
    </x:row>
    <x:row r="6630">
      <x:c r="A6630" s="87" t="n">
        <x:v>6629</x:v>
      </x:c>
      <x:c r="B6630" s="87" t="str">
        <x:v>EGKR-S26-GEO-955-26</x:v>
      </x:c>
      <x:c r="C6630" s="87" t="str">
        <x:v>ЕГКР</x:v>
      </x:c>
      <x:c r="D6630" s="87"/>
      <x:c r="E6630" s="87" t="str">
        <x:v>Весна 2026</x:v>
      </x:c>
      <x:c r="F6630" s="87" t="str">
        <x:v>16.04.2026</x:v>
      </x:c>
      <x:c r="G6630" s="87" t="str">
        <x:v>География</x:v>
      </x:c>
      <x:c r="H6630" s="87" t="n">
        <x:v>11</x:v>
      </x:c>
      <x:c r="I6630" s="87"/>
      <x:c r="J6630" s="87" t="str">
        <x:v>955</x:v>
      </x:c>
      <x:c r="K6630" s="87" t="n">
        <x:v>26</x:v>
      </x:c>
      <x:c r="L6630" s="87" t="str">
        <x:v>Развёрнутый ответ</x:v>
      </x:c>
      <x:c r="M6630" s="30" t="str">
        <x:v>Объяснить возрастные различия Египта и Аргентины.</x:v>
      </x:c>
      <x:c r="N6630" s="30" t="str">
        <x:v>В Египте рождаемость выше (21‰ против 14‰), поэтому доля детей больше. Ожидаемая продолжительность жизни ниже (72 против 76 лет), поэтому доля пожилых меньше.</x:v>
      </x:c>
      <x:c r="O6630" s="30" t="str">
        <x:v>Модель содержит требуемые вычисления и географические связи.</x:v>
      </x:c>
      <x:c r="P6630" s="30"/>
      <x:c r="Q6630" s="30" t="str">
        <x:v>Исходное условие, стандартные статистические приложения и независимая проверка.</x:v>
      </x:c>
      <x:c r="R6630" s="30" t="str">
        <x:v>NO_LOCAL_MODEL</x:v>
      </x:c>
      <x:c r="S6630" s="30"/>
      <x:c r="T6630" s="30"/>
      <x:c r="U6630" s="30" t="str">
        <x:v>Рабочая модель; официальные критерии в локальном архиве отсутствуют.</x:v>
      </x:c>
      <x:c r="V6630" s="87" t="str">
        <x:v>MODEL_READY</x:v>
      </x:c>
      <x:c r="W6630" s="87"/>
      <x:c r="X6630" s="87" t="n">
        <x:v>11</x:v>
      </x:c>
      <x:c r="Y6630" s="87"/>
      <x:c r="Z6630" s="87"/>
      <x:c r="AA6630" s="87"/>
      <x:c r="AB6630" s="87"/>
      <x:c r="AC6630" s="87" t="str">
        <x:v>VIS-EGKR-GEO-S26-TASK-955-P011</x:v>
      </x:c>
      <x:c r="AD6630" s="87"/>
      <x:c r="AE6630" s="87" t="str">
        <x:v>TASK</x:v>
      </x:c>
      <x:c r="AF6630" s="87" t="str">
        <x:v>VIS-EGKR-GEO-S26-TASK-955-P011: 11</x:v>
      </x:c>
      <x:c r="AG6630" s="87" t="str">
        <x:v>RESOLVED</x:v>
      </x:c>
      <x:c r="AH6630" s="87" t="str">
        <x:v>CROP_VERIFIED</x:v>
      </x:c>
      <x:c r="AI6630" s="30"/>
      <x:c r="AJ6630" s="87" t="str">
        <x:v>clean</x:v>
      </x:c>
      <x:c r="AK6630" s="87" t="str">
        <x:v>clean-v0.26</x:v>
      </x:c>
      <x:c r="AL6630" s="87" t="str">
        <x:v>statgrad_clean_continuation_v0_26(1)(1).xlsx</x:v>
      </x:c>
      <x:c r="AM6630" s="87" t="str">
        <x:v>GEO_EGKR_S26_955</x:v>
      </x:c>
      <x:c r="AN6630" s="87" t="n">
        <x:v>27</x:v>
      </x:c>
    </x:row>
    <x:row r="6631">
      <x:c r="A6631" s="87" t="n">
        <x:v>6630</x:v>
      </x:c>
      <x:c r="B6631" s="87" t="str">
        <x:v>EGKR-S26-GEO-955-27</x:v>
      </x:c>
      <x:c r="C6631" s="87" t="str">
        <x:v>ЕГКР</x:v>
      </x:c>
      <x:c r="D6631" s="87"/>
      <x:c r="E6631" s="87" t="str">
        <x:v>Весна 2026</x:v>
      </x:c>
      <x:c r="F6631" s="87" t="str">
        <x:v>16.04.2026</x:v>
      </x:c>
      <x:c r="G6631" s="87" t="str">
        <x:v>География</x:v>
      </x:c>
      <x:c r="H6631" s="87" t="n">
        <x:v>11</x:v>
      </x:c>
      <x:c r="I6631" s="87"/>
      <x:c r="J6631" s="87" t="str">
        <x:v>955</x:v>
      </x:c>
      <x:c r="K6631" s="87" t="n">
        <x:v>27</x:v>
      </x:c>
      <x:c r="L6631" s="87" t="str">
        <x:v>Развёрнутый ответ</x:v>
      </x:c>
      <x:c r="M6631" s="30" t="str">
        <x:v>Определить пункт по климатограмме.</x:v>
      </x:c>
      <x:c r="N6631" s="30" t="str">
        <x:v>Пункт В — восток Австралии. Максимум температуры приходится на январь, а минимум на июль, что указывает на Южное полушарие. Осадков около 1249 мм с летним максимумом, что соответствует влажному восточному побережью Австралии.</x:v>
      </x:c>
      <x:c r="O6631" s="30" t="str">
        <x:v>Модель содержит требуемые вычисления и географические связи.</x:v>
      </x:c>
      <x:c r="P6631" s="30"/>
      <x:c r="Q6631" s="30" t="str">
        <x:v>Исходное условие, стандартные статистические приложения и независимая проверка.</x:v>
      </x:c>
      <x:c r="R6631" s="30" t="str">
        <x:v>NO_LOCAL_MODEL</x:v>
      </x:c>
      <x:c r="S6631" s="30"/>
      <x:c r="T6631" s="30"/>
      <x:c r="U6631" s="30" t="str">
        <x:v>Рабочая модель; официальные критерии в локальном архиве отсутствуют.</x:v>
      </x:c>
      <x:c r="V6631" s="87" t="str">
        <x:v>MODEL_READY</x:v>
      </x:c>
      <x:c r="W6631" s="87"/>
      <x:c r="X6631" s="87" t="n">
        <x:v>11</x:v>
      </x:c>
      <x:c r="Y6631" s="87"/>
      <x:c r="Z6631" s="87"/>
      <x:c r="AA6631" s="87"/>
      <x:c r="AB6631" s="87"/>
      <x:c r="AC6631" s="87" t="str">
        <x:v>VIS-EGKR-GEO-S26-TASK-955-P011</x:v>
      </x:c>
      <x:c r="AD6631" s="87"/>
      <x:c r="AE6631" s="87" t="str">
        <x:v>TASK</x:v>
      </x:c>
      <x:c r="AF6631" s="87" t="str">
        <x:v>VIS-EGKR-GEO-S26-TASK-955-P011: 11</x:v>
      </x:c>
      <x:c r="AG6631" s="87" t="str">
        <x:v>RESOLVED</x:v>
      </x:c>
      <x:c r="AH6631" s="87" t="str">
        <x:v>CROP_VERIFIED</x:v>
      </x:c>
      <x:c r="AI6631" s="30"/>
      <x:c r="AJ6631" s="87" t="str">
        <x:v>clean</x:v>
      </x:c>
      <x:c r="AK6631" s="87" t="str">
        <x:v>clean-v0.26</x:v>
      </x:c>
      <x:c r="AL6631" s="87" t="str">
        <x:v>statgrad_clean_continuation_v0_26(1)(1).xlsx</x:v>
      </x:c>
      <x:c r="AM6631" s="87" t="str">
        <x:v>GEO_EGKR_S26_955</x:v>
      </x:c>
      <x:c r="AN6631" s="87" t="n">
        <x:v>28</x:v>
      </x:c>
    </x:row>
    <x:row r="6632">
      <x:c r="A6632" s="87" t="n">
        <x:v>6631</x:v>
      </x:c>
      <x:c r="B6632" s="87" t="str">
        <x:v>EGKR-S26-GEO-955-28</x:v>
      </x:c>
      <x:c r="C6632" s="87" t="str">
        <x:v>ЕГКР</x:v>
      </x:c>
      <x:c r="D6632" s="87"/>
      <x:c r="E6632" s="87" t="str">
        <x:v>Весна 2026</x:v>
      </x:c>
      <x:c r="F6632" s="87" t="str">
        <x:v>16.04.2026</x:v>
      </x:c>
      <x:c r="G6632" s="87" t="str">
        <x:v>География</x:v>
      </x:c>
      <x:c r="H6632" s="87" t="n">
        <x:v>11</x:v>
      </x:c>
      <x:c r="I6632" s="87"/>
      <x:c r="J6632" s="87" t="str">
        <x:v>955</x:v>
      </x:c>
      <x:c r="K6632" s="87" t="n">
        <x:v>28</x:v>
      </x:c>
      <x:c r="L6632" s="87" t="str">
        <x:v>Развёрнутый ответ</x:v>
      </x:c>
      <x:c r="M6632" s="30" t="str">
        <x:v>Определить долготу по разнице солнечного времени.</x:v>
      </x:c>
      <x:c r="N6632" s="30" t="str">
        <x:v>Точка опережает меридиан 25° з.д. на 2 ч 20 мин = 35°. 25° з.д. + 35° к востоку = 10° в.д.</x:v>
      </x:c>
      <x:c r="O6632" s="30" t="str">
        <x:v>Модель содержит требуемые вычисления и географические связи.</x:v>
      </x:c>
      <x:c r="P6632" s="30"/>
      <x:c r="Q6632" s="30" t="str">
        <x:v>Исходное условие, стандартные статистические приложения и независимая проверка.</x:v>
      </x:c>
      <x:c r="R6632" s="30" t="str">
        <x:v>NO_LOCAL_MODEL</x:v>
      </x:c>
      <x:c r="S6632" s="30"/>
      <x:c r="T6632" s="30"/>
      <x:c r="U6632" s="30" t="str">
        <x:v>Рабочая модель; официальные критерии в локальном архиве отсутствуют.</x:v>
      </x:c>
      <x:c r="V6632" s="87" t="str">
        <x:v>MODEL_READY</x:v>
      </x:c>
      <x:c r="W6632" s="87"/>
      <x:c r="X6632" s="87" t="n">
        <x:v>11</x:v>
      </x:c>
      <x:c r="Y6632" s="87"/>
      <x:c r="Z6632" s="87"/>
      <x:c r="AA6632" s="87"/>
      <x:c r="AB6632" s="87"/>
      <x:c r="AC6632" s="87" t="str">
        <x:v>VIS-EGKR-GEO-S26-TASK-955-P011</x:v>
      </x:c>
      <x:c r="AD6632" s="87"/>
      <x:c r="AE6632" s="87" t="str">
        <x:v>TASK</x:v>
      </x:c>
      <x:c r="AF6632" s="87" t="str">
        <x:v>VIS-EGKR-GEO-S26-TASK-955-P011: 11</x:v>
      </x:c>
      <x:c r="AG6632" s="87" t="str">
        <x:v>RESOLVED</x:v>
      </x:c>
      <x:c r="AH6632" s="87" t="str">
        <x:v>CROP_VERIFIED</x:v>
      </x:c>
      <x:c r="AI6632" s="30"/>
      <x:c r="AJ6632" s="87" t="str">
        <x:v>clean</x:v>
      </x:c>
      <x:c r="AK6632" s="87" t="str">
        <x:v>clean-v0.26</x:v>
      </x:c>
      <x:c r="AL6632" s="87" t="str">
        <x:v>statgrad_clean_continuation_v0_26(1)(1).xlsx</x:v>
      </x:c>
      <x:c r="AM6632" s="87" t="str">
        <x:v>GEO_EGKR_S26_955</x:v>
      </x:c>
      <x:c r="AN6632" s="87" t="n">
        <x:v>29</x:v>
      </x:c>
    </x:row>
    <x:row r="6633">
      <x:c r="A6633" s="87" t="n">
        <x:v>6632</x:v>
      </x:c>
      <x:c r="B6633" s="87" t="str">
        <x:v>EGKR-S26-GEO-955-29</x:v>
      </x:c>
      <x:c r="C6633" s="87" t="str">
        <x:v>ЕГКР</x:v>
      </x:c>
      <x:c r="D6633" s="87"/>
      <x:c r="E6633" s="87" t="str">
        <x:v>Весна 2026</x:v>
      </x:c>
      <x:c r="F6633" s="87" t="str">
        <x:v>16.04.2026</x:v>
      </x:c>
      <x:c r="G6633" s="87" t="str">
        <x:v>География</x:v>
      </x:c>
      <x:c r="H6633" s="87" t="n">
        <x:v>11</x:v>
      </x:c>
      <x:c r="I6633" s="87"/>
      <x:c r="J6633" s="87" t="str">
        <x:v>955</x:v>
      </x:c>
      <x:c r="K6633" s="87" t="n">
        <x:v>29</x:v>
      </x:c>
      <x:c r="L6633" s="87" t="str">
        <x:v>Развёрнутый ответ</x:v>
      </x:c>
      <x:c r="M6633" s="30" t="str">
        <x:v>Обосновать сырьевой и трудовой факторы текстильной специализации Пакистана.</x:v>
      </x:c>
      <x:c r="N6633" s="30" t="str">
        <x:v>Сырьевой фактор: Пакистан является крупным производителем хлопка, используемого текстильной промышленностью. Трудовой фактор: многочисленные и сравнительно дешёвые трудовые ресурсы снижают себестоимость тканей и одежды.</x:v>
      </x:c>
      <x:c r="O6633" s="30" t="str">
        <x:v>Модель содержит требуемые вычисления и географические связи.</x:v>
      </x:c>
      <x:c r="P6633" s="30"/>
      <x:c r="Q6633" s="30" t="str">
        <x:v>Исходное условие, стандартные статистические приложения и независимая проверка.</x:v>
      </x:c>
      <x:c r="R6633" s="30" t="str">
        <x:v>NO_LOCAL_MODEL</x:v>
      </x:c>
      <x:c r="S6633" s="30"/>
      <x:c r="T6633" s="30"/>
      <x:c r="U6633" s="30" t="str">
        <x:v>Рабочая модель; официальные критерии в локальном архиве отсутствуют.</x:v>
      </x:c>
      <x:c r="V6633" s="87" t="str">
        <x:v>MODEL_READY</x:v>
      </x:c>
      <x:c r="W6633" s="87"/>
      <x:c r="X6633" s="87" t="n">
        <x:v>12</x:v>
      </x:c>
      <x:c r="Y6633" s="87"/>
      <x:c r="Z6633" s="87"/>
      <x:c r="AA6633" s="87"/>
      <x:c r="AB6633" s="87"/>
      <x:c r="AC6633" s="87" t="str">
        <x:v>VIS-EGKR-GEO-S26-TASK-955-P012</x:v>
      </x:c>
      <x:c r="AD6633" s="87"/>
      <x:c r="AE6633" s="87" t="str">
        <x:v>TASK</x:v>
      </x:c>
      <x:c r="AF6633" s="87" t="str">
        <x:v>VIS-EGKR-GEO-S26-TASK-955-P012: 12</x:v>
      </x:c>
      <x:c r="AG6633" s="87" t="str">
        <x:v>RESOLVED</x:v>
      </x:c>
      <x:c r="AH6633" s="87" t="str">
        <x:v>CROP_VERIFIED</x:v>
      </x:c>
      <x:c r="AI6633" s="30"/>
      <x:c r="AJ6633" s="87" t="str">
        <x:v>clean</x:v>
      </x:c>
      <x:c r="AK6633" s="87" t="str">
        <x:v>clean-v0.26</x:v>
      </x:c>
      <x:c r="AL6633" s="87" t="str">
        <x:v>statgrad_clean_continuation_v0_26(1)(1).xlsx</x:v>
      </x:c>
      <x:c r="AM6633" s="87" t="str">
        <x:v>GEO_EGKR_S26_955</x:v>
      </x:c>
      <x:c r="AN6633" s="87" t="n">
        <x:v>30</x:v>
      </x:c>
    </x:row>
    <x:row r="6634">
      <x:c r="A6634" s="87" t="n">
        <x:v>6633</x:v>
      </x:c>
      <x:c r="B6634" s="87" t="str">
        <x:v>EGKR-S26-GEO-956-01</x:v>
      </x:c>
      <x:c r="C6634" s="87" t="str">
        <x:v>ЕГКР</x:v>
      </x:c>
      <x:c r="D6634" s="87"/>
      <x:c r="E6634" s="87" t="str">
        <x:v>Весна 2026</x:v>
      </x:c>
      <x:c r="F6634" s="87" t="str">
        <x:v>16.04.2026</x:v>
      </x:c>
      <x:c r="G6634" s="87" t="str">
        <x:v>География</x:v>
      </x:c>
      <x:c r="H6634" s="87" t="n">
        <x:v>11</x:v>
      </x:c>
      <x:c r="I6634" s="87"/>
      <x:c r="J6634" s="87" t="str">
        <x:v>956</x:v>
      </x:c>
      <x:c r="K6634" s="87" t="n">
        <x:v>1</x:v>
      </x:c>
      <x:c r="L6634" s="87" t="str">
        <x:v>Географические координаты</x:v>
      </x:c>
      <x:c r="M6634" s="30" t="str">
        <x:v>Город Сомбререте имеет координаты 23°38′ с.ш., 103°38′ з.д. Определить государство.</x:v>
      </x:c>
      <x:c r="N6634" s="30" t="str">
        <x:v>МЕКСИКА</x:v>
      </x:c>
      <x:c r="O6634" s="30" t="str">
        <x:v>Ответ МЕКСИКА независимо сопоставлен с условием, картой или статистическими данными задания.</x:v>
      </x:c>
      <x:c r="P6634" s="30"/>
      <x:c r="Q6634" s="30" t="str">
        <x:v>Исходная страница + независимая географическая проверка + вторичная сверка.</x:v>
      </x:c>
      <x:c r="R6634" s="30" t="str">
        <x:v>МЕКСИКА</x:v>
      </x:c>
      <x:c r="S6634" s="30"/>
      <x:c r="T6634" s="30"/>
      <x:c r="U6634" s="30" t="str">
        <x:v>Ответник совпадает с независимой проверкой.</x:v>
      </x:c>
      <x:c r="V6634" s="87" t="str">
        <x:v>VERIFIED</x:v>
      </x:c>
      <x:c r="W6634" s="87"/>
      <x:c r="X6634" s="87" t="n">
        <x:v>2</x:v>
      </x:c>
      <x:c r="Y6634" s="87"/>
      <x:c r="Z6634" s="87"/>
      <x:c r="AA6634" s="87"/>
      <x:c r="AB6634" s="87"/>
      <x:c r="AC6634" s="87" t="str">
        <x:v>VIS-EGKR-GEO-S26-TASK-956-P002</x:v>
      </x:c>
      <x:c r="AD6634" s="87" t="str">
        <x:v>VIS-EGKR-GEO-S26-ANSWERDOC-P002</x:v>
      </x:c>
      <x:c r="AE6634" s="87" t="str">
        <x:v>TASK; SECONDARY_ANSWER_SOURCE</x:v>
      </x:c>
      <x:c r="AF6634" s="87" t="str">
        <x:v>VIS-EGKR-GEO-S26-TASK-956-P002: 2; VIS-EGKR-GEO-S26-ANSWERDOC-P002: 2</x:v>
      </x:c>
      <x:c r="AG6634" s="87" t="str">
        <x:v>RESOLVED</x:v>
      </x:c>
      <x:c r="AH6634" s="87" t="str">
        <x:v>CROP_VERIFIED</x:v>
      </x:c>
      <x:c r="AI6634" s="30"/>
      <x:c r="AJ6634" s="87" t="str">
        <x:v>clean</x:v>
      </x:c>
      <x:c r="AK6634" s="87" t="str">
        <x:v>clean-v0.26</x:v>
      </x:c>
      <x:c r="AL6634" s="87" t="str">
        <x:v>statgrad_clean_continuation_v0_26(1)(1).xlsx</x:v>
      </x:c>
      <x:c r="AM6634" s="87" t="str">
        <x:v>GEO_EGKR_S26_956</x:v>
      </x:c>
      <x:c r="AN6634" s="87" t="n">
        <x:v>2</x:v>
      </x:c>
    </x:row>
    <x:row r="6635">
      <x:c r="A6635" s="87" t="n">
        <x:v>6634</x:v>
      </x:c>
      <x:c r="B6635" s="87" t="str">
        <x:v>EGKR-S26-GEO-956-02</x:v>
      </x:c>
      <x:c r="C6635" s="87" t="str">
        <x:v>ЕГКР</x:v>
      </x:c>
      <x:c r="D6635" s="87"/>
      <x:c r="E6635" s="87" t="str">
        <x:v>Весна 2026</x:v>
      </x:c>
      <x:c r="F6635" s="87" t="str">
        <x:v>16.04.2026</x:v>
      </x:c>
      <x:c r="G6635" s="87" t="str">
        <x:v>География</x:v>
      </x:c>
      <x:c r="H6635" s="87" t="n">
        <x:v>11</x:v>
      </x:c>
      <x:c r="I6635" s="87"/>
      <x:c r="J6635" s="87" t="str">
        <x:v>956</x:v>
      </x:c>
      <x:c r="K6635" s="87" t="n">
        <x:v>2</x:v>
      </x:c>
      <x:c r="L6635" s="87" t="str">
        <x:v>Атмосфера и высота</x:v>
      </x:c>
      <x:c r="M6635" s="30" t="str">
        <x:v>На метеостанциях 1, 2 и 3 были одновременно проведены измерения температуры воздуха и абсолютной влажности воздуха (содержания водяного пара в 1 м³ воздуха). Полученные значения показаны в таблице. Расположите эти метеостанции в порядке повышения на них относительной влажности воздуха (от наиболее низкой к наиболее высокой). Температура Метеостанция Содержание водяного пара в 1 м³ воздуха, г воздуха, °С 1 +22 9 2 +22 11</x:v>
      </x:c>
      <x:c r="N6635" s="30" t="str">
        <x:v>123</x:v>
      </x:c>
      <x:c r="O6635" s="30" t="str">
        <x:v>Ответ 123 независимо сопоставлен с условием, картой или статистическими данными задания.</x:v>
      </x:c>
      <x:c r="P6635" s="30"/>
      <x:c r="Q6635" s="30" t="str">
        <x:v>Исходная страница + независимая географическая проверка + вторичная сверка.</x:v>
      </x:c>
      <x:c r="R6635" s="30" t="str">
        <x:v>123</x:v>
      </x:c>
      <x:c r="S6635" s="30"/>
      <x:c r="T6635" s="30"/>
      <x:c r="U6635" s="30" t="str">
        <x:v>Ответник совпадает с независимой проверкой.</x:v>
      </x:c>
      <x:c r="V6635" s="87" t="str">
        <x:v>VERIFIED</x:v>
      </x:c>
      <x:c r="W6635" s="87"/>
      <x:c r="X6635" s="87" t="n">
        <x:v>2</x:v>
      </x:c>
      <x:c r="Y6635" s="87"/>
      <x:c r="Z6635" s="87"/>
      <x:c r="AA6635" s="87"/>
      <x:c r="AB6635" s="87"/>
      <x:c r="AC6635" s="87" t="str">
        <x:v>VIS-EGKR-GEO-S26-TASK-956-P002</x:v>
      </x:c>
      <x:c r="AD6635" s="87" t="str">
        <x:v>VIS-EGKR-GEO-S26-ANSWERDOC-P002</x:v>
      </x:c>
      <x:c r="AE6635" s="87" t="str">
        <x:v>TASK; SECONDARY_ANSWER_SOURCE</x:v>
      </x:c>
      <x:c r="AF6635" s="87" t="str">
        <x:v>VIS-EGKR-GEO-S26-TASK-956-P002: 2; VIS-EGKR-GEO-S26-ANSWERDOC-P002: 2</x:v>
      </x:c>
      <x:c r="AG6635" s="87" t="str">
        <x:v>RESOLVED</x:v>
      </x:c>
      <x:c r="AH6635" s="87" t="str">
        <x:v>CROP_VERIFIED</x:v>
      </x:c>
      <x:c r="AI6635" s="30"/>
      <x:c r="AJ6635" s="87" t="str">
        <x:v>clean</x:v>
      </x:c>
      <x:c r="AK6635" s="87" t="str">
        <x:v>clean-v0.26</x:v>
      </x:c>
      <x:c r="AL6635" s="87" t="str">
        <x:v>statgrad_clean_continuation_v0_26(1)(1).xlsx</x:v>
      </x:c>
      <x:c r="AM6635" s="87" t="str">
        <x:v>GEO_EGKR_S26_956</x:v>
      </x:c>
      <x:c r="AN6635" s="87" t="n">
        <x:v>3</x:v>
      </x:c>
    </x:row>
    <x:row r="6636">
      <x:c r="A6636" s="87" t="n">
        <x:v>6635</x:v>
      </x:c>
      <x:c r="B6636" s="87" t="str">
        <x:v>EGKR-S26-GEO-956-03</x:v>
      </x:c>
      <x:c r="C6636" s="87" t="str">
        <x:v>ЕГКР</x:v>
      </x:c>
      <x:c r="D6636" s="87"/>
      <x:c r="E6636" s="87" t="str">
        <x:v>Весна 2026</x:v>
      </x:c>
      <x:c r="F6636" s="87" t="str">
        <x:v>16.04.2026</x:v>
      </x:c>
      <x:c r="G6636" s="87" t="str">
        <x:v>География</x:v>
      </x:c>
      <x:c r="H6636" s="87" t="n">
        <x:v>11</x:v>
      </x:c>
      <x:c r="I6636" s="87"/>
      <x:c r="J6636" s="87" t="str">
        <x:v>956</x:v>
      </x:c>
      <x:c r="K6636" s="87" t="n">
        <x:v>3</x:v>
      </x:c>
      <x:c r="L6636" s="87" t="str">
        <x:v>Световой день</x:v>
      </x:c>
      <x:c r="M6636" s="30" t="str">
        <x:v>Расположить Тулу, Екатеринбург и Читу в порядке повышения средней температуры января, начиная с самого холодного города.</x:v>
      </x:c>
      <x:c r="N6636" s="30" t="str">
        <x:v>321</x:v>
      </x:c>
      <x:c r="O6636" s="30" t="str">
        <x:v>Ответ 321 независимо сопоставлен с условием, картой или статистическими данными задания.</x:v>
      </x:c>
      <x:c r="P6636" s="30"/>
      <x:c r="Q6636" s="30" t="str">
        <x:v>Исходная страница + независимая географическая проверка + вторичная сверка.</x:v>
      </x:c>
      <x:c r="R6636" s="30" t="str">
        <x:v>321</x:v>
      </x:c>
      <x:c r="S6636" s="30"/>
      <x:c r="T6636" s="30"/>
      <x:c r="U6636" s="30" t="str">
        <x:v>Ответник совпадает с независимой проверкой.</x:v>
      </x:c>
      <x:c r="V6636" s="87" t="str">
        <x:v>VERIFIED</x:v>
      </x:c>
      <x:c r="W6636" s="87"/>
      <x:c r="X6636" s="87" t="n">
        <x:v>2</x:v>
      </x:c>
      <x:c r="Y6636" s="87"/>
      <x:c r="Z6636" s="87"/>
      <x:c r="AA6636" s="87"/>
      <x:c r="AB6636" s="87"/>
      <x:c r="AC6636" s="87" t="str">
        <x:v>VIS-EGKR-GEO-S26-TASK-956-P002</x:v>
      </x:c>
      <x:c r="AD6636" s="87" t="str">
        <x:v>VIS-EGKR-GEO-S26-ANSWERDOC-P002</x:v>
      </x:c>
      <x:c r="AE6636" s="87" t="str">
        <x:v>TASK; SECONDARY_ANSWER_SOURCE</x:v>
      </x:c>
      <x:c r="AF6636" s="87" t="str">
        <x:v>VIS-EGKR-GEO-S26-TASK-956-P002: 2; VIS-EGKR-GEO-S26-ANSWERDOC-P002: 2</x:v>
      </x:c>
      <x:c r="AG6636" s="87" t="str">
        <x:v>RESOLVED</x:v>
      </x:c>
      <x:c r="AH6636" s="87" t="str">
        <x:v>CROP_VERIFIED</x:v>
      </x:c>
      <x:c r="AI6636" s="30"/>
      <x:c r="AJ6636" s="87" t="str">
        <x:v>clean</x:v>
      </x:c>
      <x:c r="AK6636" s="87" t="str">
        <x:v>clean-v0.26</x:v>
      </x:c>
      <x:c r="AL6636" s="87" t="str">
        <x:v>statgrad_clean_continuation_v0_26(1)(1).xlsx</x:v>
      </x:c>
      <x:c r="AM6636" s="87" t="str">
        <x:v>GEO_EGKR_S26_956</x:v>
      </x:c>
      <x:c r="AN6636" s="87" t="n">
        <x:v>4</x:v>
      </x:c>
    </x:row>
    <x:row r="6637">
      <x:c r="A6637" s="87" t="n">
        <x:v>6636</x:v>
      </x:c>
      <x:c r="B6637" s="87" t="str">
        <x:v>EGKR-S26-GEO-956-04</x:v>
      </x:c>
      <x:c r="C6637" s="87" t="str">
        <x:v>ЕГКР</x:v>
      </x:c>
      <x:c r="D6637" s="87"/>
      <x:c r="E6637" s="87" t="str">
        <x:v>Весна 2026</x:v>
      </x:c>
      <x:c r="F6637" s="87" t="str">
        <x:v>16.04.2026</x:v>
      </x:c>
      <x:c r="G6637" s="87" t="str">
        <x:v>География</x:v>
      </x:c>
      <x:c r="H6637" s="87" t="n">
        <x:v>11</x:v>
      </x:c>
      <x:c r="I6637" s="87"/>
      <x:c r="J6637" s="87" t="str">
        <x:v>956</x:v>
      </x:c>
      <x:c r="K6637" s="87" t="n">
        <x:v>4</x:v>
      </x:c>
      <x:c r="L6637" s="87" t="str">
        <x:v>Гидрография России</x:v>
      </x:c>
      <x:c r="M6637" s="30" t="str">
        <x:v>Установите соответствие между рекой и её обозначением на карте России: к каждому элементу первого столбца подберите соответствующий элемент из второго столбца. Река Обозначение на карте горной вершины А) Печора 1.1 Б) Кама 2.2 В) Обь 3.3 4.4</x:v>
      </x:c>
      <x:c r="N6637" s="30" t="str">
        <x:v>123</x:v>
      </x:c>
      <x:c r="O6637" s="30" t="str">
        <x:v>Ответ 123 независимо сопоставлен с условием, картой или статистическими данными задания.</x:v>
      </x:c>
      <x:c r="P6637" s="30"/>
      <x:c r="Q6637" s="30" t="str">
        <x:v>Исходная страница + независимая географическая проверка + вторичная сверка.</x:v>
      </x:c>
      <x:c r="R6637" s="30" t="str">
        <x:v>123</x:v>
      </x:c>
      <x:c r="S6637" s="30"/>
      <x:c r="T6637" s="30"/>
      <x:c r="U6637" s="30" t="str">
        <x:v>Ответник совпадает с независимой проверкой.</x:v>
      </x:c>
      <x:c r="V6637" s="87" t="str">
        <x:v>VERIFIED</x:v>
      </x:c>
      <x:c r="W6637" s="87"/>
      <x:c r="X6637" s="87" t="n">
        <x:v>3</x:v>
      </x:c>
      <x:c r="Y6637" s="87"/>
      <x:c r="Z6637" s="87"/>
      <x:c r="AA6637" s="87"/>
      <x:c r="AB6637" s="87"/>
      <x:c r="AC6637" s="87" t="str">
        <x:v>VIS-EGKR-GEO-S26-TASK-956-P003</x:v>
      </x:c>
      <x:c r="AD6637" s="87" t="str">
        <x:v>VIS-EGKR-GEO-S26-ANSWERDOC-P002</x:v>
      </x:c>
      <x:c r="AE6637" s="87" t="str">
        <x:v>TASK; SECONDARY_ANSWER_SOURCE</x:v>
      </x:c>
      <x:c r="AF6637" s="87" t="str">
        <x:v>VIS-EGKR-GEO-S26-TASK-956-P003: 3; VIS-EGKR-GEO-S26-ANSWERDOC-P002: 2</x:v>
      </x:c>
      <x:c r="AG6637" s="87" t="str">
        <x:v>RESOLVED</x:v>
      </x:c>
      <x:c r="AH6637" s="87" t="str">
        <x:v>CROP_VERIFIED; TASK_CROP_QA_APPROVED:MANUAL_BBOX</x:v>
      </x:c>
      <x:c r="AI6637" s="30"/>
      <x:c r="AJ6637" s="87" t="str">
        <x:v>clean</x:v>
      </x:c>
      <x:c r="AK6637" s="87" t="str">
        <x:v>clean-v0.26</x:v>
      </x:c>
      <x:c r="AL6637" s="87" t="str">
        <x:v>statgrad_clean_continuation_v0_26(1)(1).xlsx</x:v>
      </x:c>
      <x:c r="AM6637" s="87" t="str">
        <x:v>GEO_EGKR_S26_956</x:v>
      </x:c>
      <x:c r="AN6637" s="87" t="n">
        <x:v>5</x:v>
      </x:c>
    </x:row>
    <x:row r="6638">
      <x:c r="A6638" s="87" t="n">
        <x:v>6637</x:v>
      </x:c>
      <x:c r="B6638" s="87" t="str">
        <x:v>EGKR-S26-GEO-956-05</x:v>
      </x:c>
      <x:c r="C6638" s="87" t="str">
        <x:v>ЕГКР</x:v>
      </x:c>
      <x:c r="D6638" s="87"/>
      <x:c r="E6638" s="87" t="str">
        <x:v>Весна 2026</x:v>
      </x:c>
      <x:c r="F6638" s="87" t="str">
        <x:v>16.04.2026</x:v>
      </x:c>
      <x:c r="G6638" s="87" t="str">
        <x:v>География</x:v>
      </x:c>
      <x:c r="H6638" s="87" t="n">
        <x:v>11</x:v>
      </x:c>
      <x:c r="I6638" s="87"/>
      <x:c r="J6638" s="87" t="str">
        <x:v>956</x:v>
      </x:c>
      <x:c r="K6638" s="87" t="n">
        <x:v>5</x:v>
      </x:c>
      <x:c r="L6638" s="87" t="str">
        <x:v>Заполнение географического текста</x:v>
      </x:c>
      <x:c r="M6638" s="30" t="str">
        <x:v>Прочитайте приведённый ниже текст, в котором пропущен ряд слов (словосочетаний). Выберите из предлагаемого списка слова (словосочетания), которые необходимо вставить на места пропусков. Отрасли специализации топливно-энергетического комплекса Дальнего Востока К важным отраслям специализации Дальнего Востока относятся топливная промышленность и электроэнергетика. В Китай поставляется природный газ, добываемый в Якутии. Несмотря на санкции недружественных стран, экспортируются нефть и природный газ, добываемые в Охотском море на шельфе у берегов _____________(А). Также на экспорт идёт _____________(Б), который добывается в Якутии. В Китай передаётся значительная часть электроэнергии, производимой крупнейшими на Дальнем Востоке ГЭС – Зейской и _____________(В). Список слов (словосочетаний): 1. Камчатка 2. остров Сахалин 3. Бурейская 4. Братская 5. каменный уголь</x:v>
      </x:c>
      <x:c r="N6638" s="30" t="str">
        <x:v>253</x:v>
      </x:c>
      <x:c r="O6638" s="30" t="str">
        <x:v>Ответ 253 независимо сопоставлен с условием, картой или статистическими данными задания.</x:v>
      </x:c>
      <x:c r="P6638" s="30"/>
      <x:c r="Q6638" s="30" t="str">
        <x:v>Исходная страница + независимая географическая проверка + вторичная сверка.</x:v>
      </x:c>
      <x:c r="R6638" s="30" t="str">
        <x:v>253</x:v>
      </x:c>
      <x:c r="S6638" s="30"/>
      <x:c r="T6638" s="30"/>
      <x:c r="U6638" s="30" t="str">
        <x:v>Ответник совпадает с независимой проверкой.</x:v>
      </x:c>
      <x:c r="V6638" s="87" t="str">
        <x:v>VERIFIED</x:v>
      </x:c>
      <x:c r="W6638" s="87"/>
      <x:c r="X6638" s="87" t="n">
        <x:v>3</x:v>
      </x:c>
      <x:c r="Y6638" s="87"/>
      <x:c r="Z6638" s="87"/>
      <x:c r="AA6638" s="87"/>
      <x:c r="AB6638" s="87"/>
      <x:c r="AC6638" s="87" t="str">
        <x:v>VIS-EGKR-GEO-S26-TASK-956-P003</x:v>
      </x:c>
      <x:c r="AD6638" s="87" t="str">
        <x:v>VIS-EGKR-GEO-S26-ANSWERDOC-P002</x:v>
      </x:c>
      <x:c r="AE6638" s="87" t="str">
        <x:v>TASK; SECONDARY_ANSWER_SOURCE</x:v>
      </x:c>
      <x:c r="AF6638" s="87" t="str">
        <x:v>VIS-EGKR-GEO-S26-TASK-956-P003: 3; VIS-EGKR-GEO-S26-ANSWERDOC-P002: 2</x:v>
      </x:c>
      <x:c r="AG6638" s="87" t="str">
        <x:v>RESOLVED</x:v>
      </x:c>
      <x:c r="AH6638" s="87" t="str">
        <x:v>CROP_VERIFIED</x:v>
      </x:c>
      <x:c r="AI6638" s="30"/>
      <x:c r="AJ6638" s="87" t="str">
        <x:v>clean</x:v>
      </x:c>
      <x:c r="AK6638" s="87" t="str">
        <x:v>clean-v0.26</x:v>
      </x:c>
      <x:c r="AL6638" s="87" t="str">
        <x:v>statgrad_clean_continuation_v0_26(1)(1).xlsx</x:v>
      </x:c>
      <x:c r="AM6638" s="87" t="str">
        <x:v>GEO_EGKR_S26_956</x:v>
      </x:c>
      <x:c r="AN6638" s="87" t="n">
        <x:v>6</x:v>
      </x:c>
    </x:row>
    <x:row r="6639">
      <x:c r="A6639" s="87" t="n">
        <x:v>6638</x:v>
      </x:c>
      <x:c r="B6639" s="87" t="str">
        <x:v>EGKR-S26-GEO-956-06</x:v>
      </x:c>
      <x:c r="C6639" s="87" t="str">
        <x:v>ЕГКР</x:v>
      </x:c>
      <x:c r="D6639" s="87"/>
      <x:c r="E6639" s="87" t="str">
        <x:v>Весна 2026</x:v>
      </x:c>
      <x:c r="F6639" s="87" t="str">
        <x:v>16.04.2026</x:v>
      </x:c>
      <x:c r="G6639" s="87" t="str">
        <x:v>География</x:v>
      </x:c>
      <x:c r="H6639" s="87" t="n">
        <x:v>11</x:v>
      </x:c>
      <x:c r="I6639" s="87"/>
      <x:c r="J6639" s="87" t="str">
        <x:v>956</x:v>
      </x:c>
      <x:c r="K6639" s="87" t="n">
        <x:v>6</x:v>
      </x:c>
      <x:c r="L6639" s="87" t="str">
        <x:v>Население / регионы России</x:v>
      </x:c>
      <x:c r="M6639" s="30" t="str">
        <x:v>В России большое внимание уделяется социальному обустройству регионов с низкой плотностью населения. Какие три из перечисленных регионов России имеют наименьшую среднюю плотность населения? Запишите в таблицу цифры, под которыми указаны эти регионы. 1. Тюменская область 2. Тульская область 3. Курская область 4. Мурманская область 5. Республика Крым 6. Республика Хакасия</x:v>
      </x:c>
      <x:c r="N6639" s="30" t="str">
        <x:v>146</x:v>
      </x:c>
      <x:c r="O6639" s="30" t="str">
        <x:v>Ответ 146 независимо сопоставлен с условием, картой или статистическими данными задания.</x:v>
      </x:c>
      <x:c r="P6639" s="30"/>
      <x:c r="Q6639" s="30" t="str">
        <x:v>Исходная страница + независимая географическая проверка + вторичная сверка.</x:v>
      </x:c>
      <x:c r="R6639" s="30" t="str">
        <x:v>146</x:v>
      </x:c>
      <x:c r="S6639" s="30"/>
      <x:c r="T6639" s="30"/>
      <x:c r="U6639" s="30" t="str">
        <x:v>Ответник совпадает с независимой проверкой.</x:v>
      </x:c>
      <x:c r="V6639" s="87" t="str">
        <x:v>VERIFIED</x:v>
      </x:c>
      <x:c r="W6639" s="87"/>
      <x:c r="X6639" s="87" t="n">
        <x:v>4</x:v>
      </x:c>
      <x:c r="Y6639" s="87"/>
      <x:c r="Z6639" s="87"/>
      <x:c r="AA6639" s="87"/>
      <x:c r="AB6639" s="87"/>
      <x:c r="AC6639" s="87" t="str">
        <x:v>VIS-EGKR-GEO-S26-TASK-956-P004</x:v>
      </x:c>
      <x:c r="AD6639" s="87" t="str">
        <x:v>VIS-EGKR-GEO-S26-ANSWERDOC-P002</x:v>
      </x:c>
      <x:c r="AE6639" s="87" t="str">
        <x:v>TASK; SECONDARY_ANSWER_SOURCE</x:v>
      </x:c>
      <x:c r="AF6639" s="87" t="str">
        <x:v>VIS-EGKR-GEO-S26-TASK-956-P004: 4; VIS-EGKR-GEO-S26-ANSWERDOC-P002: 2</x:v>
      </x:c>
      <x:c r="AG6639" s="87" t="str">
        <x:v>RESOLVED</x:v>
      </x:c>
      <x:c r="AH6639" s="87" t="str">
        <x:v>CROP_VERIFIED</x:v>
      </x:c>
      <x:c r="AI6639" s="30"/>
      <x:c r="AJ6639" s="87" t="str">
        <x:v>clean</x:v>
      </x:c>
      <x:c r="AK6639" s="87" t="str">
        <x:v>clean-v0.26</x:v>
      </x:c>
      <x:c r="AL6639" s="87" t="str">
        <x:v>statgrad_clean_continuation_v0_26(1)(1).xlsx</x:v>
      </x:c>
      <x:c r="AM6639" s="87" t="str">
        <x:v>GEO_EGKR_S26_956</x:v>
      </x:c>
      <x:c r="AN6639" s="87" t="n">
        <x:v>7</x:v>
      </x:c>
    </x:row>
    <x:row r="6640">
      <x:c r="A6640" s="87" t="n">
        <x:v>6639</x:v>
      </x:c>
      <x:c r="B6640" s="87" t="str">
        <x:v>EGKR-S26-GEO-956-07</x:v>
      </x:c>
      <x:c r="C6640" s="87" t="str">
        <x:v>ЕГКР</x:v>
      </x:c>
      <x:c r="D6640" s="87"/>
      <x:c r="E6640" s="87" t="str">
        <x:v>Весна 2026</x:v>
      </x:c>
      <x:c r="F6640" s="87" t="str">
        <x:v>16.04.2026</x:v>
      </x:c>
      <x:c r="G6640" s="87" t="str">
        <x:v>География</x:v>
      </x:c>
      <x:c r="H6640" s="87" t="n">
        <x:v>11</x:v>
      </x:c>
      <x:c r="I6640" s="87"/>
      <x:c r="J6640" s="87" t="str">
        <x:v>956</x:v>
      </x:c>
      <x:c r="K6640" s="87" t="n">
        <x:v>7</x:v>
      </x:c>
      <x:c r="L6640" s="87" t="str">
        <x:v>Структура ВВП</x:v>
      </x:c>
      <x:c r="M6640" s="30" t="str">
        <x:v>Установите соответствие между страной и диаграммой, отражающей распределение её ВВП по секторам экономики: к каждой позиции, данной в первом столбце, подберите соответствующую позицию из второго столбца. СТРАНА РАСПРЕДЕЛЕНИЕ ВВП По секторам экономики А) Турция Б) Мексика В) Дания Запишите в таблицу выбранные цифры под соответствующими буквами.</x:v>
      </x:c>
      <x:c r="N6640" s="30" t="str">
        <x:v>312</x:v>
      </x:c>
      <x:c r="O6640" s="30" t="str">
        <x:v>Ответ 312 независимо сопоставлен с условием, картой или статистическими данными задания.</x:v>
      </x:c>
      <x:c r="P6640" s="30"/>
      <x:c r="Q6640" s="30" t="str">
        <x:v>Исходная страница + независимая географическая проверка + вторичная сверка.</x:v>
      </x:c>
      <x:c r="R6640" s="30" t="str">
        <x:v>312</x:v>
      </x:c>
      <x:c r="S6640" s="30"/>
      <x:c r="T6640" s="30"/>
      <x:c r="U6640" s="30" t="str">
        <x:v>Ответник совпадает с независимой проверкой.</x:v>
      </x:c>
      <x:c r="V6640" s="87" t="str">
        <x:v>VERIFIED</x:v>
      </x:c>
      <x:c r="W6640" s="87"/>
      <x:c r="X6640" s="87" t="n">
        <x:v>4</x:v>
      </x:c>
      <x:c r="Y6640" s="87"/>
      <x:c r="Z6640" s="87"/>
      <x:c r="AA6640" s="87"/>
      <x:c r="AB6640" s="87"/>
      <x:c r="AC6640" s="87" t="str">
        <x:v>VIS-EGKR-GEO-S26-TASK-956-P004</x:v>
      </x:c>
      <x:c r="AD6640" s="87" t="str">
        <x:v>VIS-EGKR-GEO-S26-ANSWERDOC-P002</x:v>
      </x:c>
      <x:c r="AE6640" s="87" t="str">
        <x:v>TASK; SECONDARY_ANSWER_SOURCE</x:v>
      </x:c>
      <x:c r="AF6640" s="87" t="str">
        <x:v>VIS-EGKR-GEO-S26-TASK-956-P004: 4; VIS-EGKR-GEO-S26-ANSWERDOC-P002: 2</x:v>
      </x:c>
      <x:c r="AG6640" s="87" t="str">
        <x:v>RESOLVED</x:v>
      </x:c>
      <x:c r="AH6640" s="87" t="str">
        <x:v>CROP_VERIFIED</x:v>
      </x:c>
      <x:c r="AI6640" s="30"/>
      <x:c r="AJ6640" s="87" t="str">
        <x:v>clean</x:v>
      </x:c>
      <x:c r="AK6640" s="87" t="str">
        <x:v>clean-v0.26</x:v>
      </x:c>
      <x:c r="AL6640" s="87" t="str">
        <x:v>statgrad_clean_continuation_v0_26(1)(1).xlsx</x:v>
      </x:c>
      <x:c r="AM6640" s="87" t="str">
        <x:v>GEO_EGKR_S26_956</x:v>
      </x:c>
      <x:c r="AN6640" s="87" t="n">
        <x:v>8</x:v>
      </x:c>
    </x:row>
    <x:row r="6641">
      <x:c r="A6641" s="87" t="n">
        <x:v>6640</x:v>
      </x:c>
      <x:c r="B6641" s="87" t="str">
        <x:v>EGKR-S26-GEO-956-08</x:v>
      </x:c>
      <x:c r="C6641" s="87" t="str">
        <x:v>ЕГКР</x:v>
      </x:c>
      <x:c r="D6641" s="87"/>
      <x:c r="E6641" s="87" t="str">
        <x:v>Весна 2026</x:v>
      </x:c>
      <x:c r="F6641" s="87" t="str">
        <x:v>16.04.2026</x:v>
      </x:c>
      <x:c r="G6641" s="87" t="str">
        <x:v>География</x:v>
      </x:c>
      <x:c r="H6641" s="87" t="n">
        <x:v>11</x:v>
      </x:c>
      <x:c r="I6641" s="87"/>
      <x:c r="J6641" s="87" t="str">
        <x:v>956</x:v>
      </x:c>
      <x:c r="K6641" s="87" t="n">
        <x:v>8</x:v>
      </x:c>
      <x:c r="L6641" s="87" t="str">
        <x:v>Демографический показатель</x:v>
      </x:c>
      <x:c r="M6641" s="30" t="str">
        <x:v>ожидаемой продолжительности жизни населения, начиная со страны с наименьшим значением этого показателя. 1. Камбоджа 2. Мексика 3. Дания Запишите в таблицу получившуюся последовательность цифр.</x:v>
      </x:c>
      <x:c r="N6641" s="30" t="str">
        <x:v>123</x:v>
      </x:c>
      <x:c r="O6641" s="30" t="str">
        <x:v>Ответ 123 независимо сопоставлен с условием, картой или статистическими данными задания.</x:v>
      </x:c>
      <x:c r="P6641" s="30"/>
      <x:c r="Q6641" s="30" t="str">
        <x:v>Исходная страница + независимая географическая проверка + вторичная сверка.</x:v>
      </x:c>
      <x:c r="R6641" s="30" t="str">
        <x:v>123</x:v>
      </x:c>
      <x:c r="S6641" s="30"/>
      <x:c r="T6641" s="30"/>
      <x:c r="U6641" s="30" t="str">
        <x:v>Ответник совпадает с независимой проверкой.</x:v>
      </x:c>
      <x:c r="V6641" s="87" t="str">
        <x:v>VERIFIED</x:v>
      </x:c>
      <x:c r="W6641" s="87"/>
      <x:c r="X6641" s="87" t="n">
        <x:v>5</x:v>
      </x:c>
      <x:c r="Y6641" s="87"/>
      <x:c r="Z6641" s="87"/>
      <x:c r="AA6641" s="87"/>
      <x:c r="AB6641" s="87"/>
      <x:c r="AC6641" s="87" t="str">
        <x:v>VIS-EGKR-GEO-S26-TASK-956-P005</x:v>
      </x:c>
      <x:c r="AD6641" s="87" t="str">
        <x:v>VIS-EGKR-GEO-S26-ANSWERDOC-P002</x:v>
      </x:c>
      <x:c r="AE6641" s="87" t="str">
        <x:v>TASK; SECONDARY_ANSWER_SOURCE</x:v>
      </x:c>
      <x:c r="AF6641" s="87" t="str">
        <x:v>VIS-EGKR-GEO-S26-TASK-956-P005: 5; VIS-EGKR-GEO-S26-ANSWERDOC-P002: 2</x:v>
      </x:c>
      <x:c r="AG6641" s="87" t="str">
        <x:v>RESOLVED</x:v>
      </x:c>
      <x:c r="AH6641" s="87" t="str">
        <x:v>CROP_VERIFIED</x:v>
      </x:c>
      <x:c r="AI6641" s="30"/>
      <x:c r="AJ6641" s="87" t="str">
        <x:v>clean</x:v>
      </x:c>
      <x:c r="AK6641" s="87" t="str">
        <x:v>clean-v0.26</x:v>
      </x:c>
      <x:c r="AL6641" s="87" t="str">
        <x:v>statgrad_clean_continuation_v0_26(1)(1).xlsx</x:v>
      </x:c>
      <x:c r="AM6641" s="87" t="str">
        <x:v>GEO_EGKR_S26_956</x:v>
      </x:c>
      <x:c r="AN6641" s="87" t="n">
        <x:v>9</x:v>
      </x:c>
    </x:row>
    <x:row r="6642">
      <x:c r="A6642" s="87" t="n">
        <x:v>6641</x:v>
      </x:c>
      <x:c r="B6642" s="87" t="str">
        <x:v>EGKR-S26-GEO-956-09</x:v>
      </x:c>
      <x:c r="C6642" s="87" t="str">
        <x:v>ЕГКР</x:v>
      </x:c>
      <x:c r="D6642" s="87"/>
      <x:c r="E6642" s="87" t="str">
        <x:v>Весна 2026</x:v>
      </x:c>
      <x:c r="F6642" s="87" t="str">
        <x:v>16.04.2026</x:v>
      </x:c>
      <x:c r="G6642" s="87" t="str">
        <x:v>География</x:v>
      </x:c>
      <x:c r="H6642" s="87" t="n">
        <x:v>11</x:v>
      </x:c>
      <x:c r="I6642" s="87"/>
      <x:c r="J6642" s="87" t="str">
        <x:v>956</x:v>
      </x:c>
      <x:c r="K6642" s="87" t="n">
        <x:v>9</x:v>
      </x:c>
      <x:c r="L6642" s="87" t="str">
        <x:v>Хозяйство России</x:v>
      </x:c>
      <x:c r="M6642" s="30" t="str">
        <x:v>Уровень развития транспортной инфраструктуры является важным условием функционирования хозяйства регионов. В каких трёх из перечисленных регионов густота сети автомобильных дорог наибольшая? Запишите в таблицу цифры, под которыми указаны эти регионы. 1. Тюменская область 2. Калужская область 3. Иркутская область 4. Самарская область 5. Республика Татарстан 6. Республика Коми</x:v>
      </x:c>
      <x:c r="N6642" s="30" t="str">
        <x:v>245</x:v>
      </x:c>
      <x:c r="O6642" s="30" t="str">
        <x:v>Ответ 245 независимо сопоставлен с условием, картой или статистическими данными задания.</x:v>
      </x:c>
      <x:c r="P6642" s="30"/>
      <x:c r="Q6642" s="30" t="str">
        <x:v>Исходная страница + независимая географическая проверка + вторичная сверка.</x:v>
      </x:c>
      <x:c r="R6642" s="30" t="str">
        <x:v>245</x:v>
      </x:c>
      <x:c r="S6642" s="30"/>
      <x:c r="T6642" s="30"/>
      <x:c r="U6642" s="30" t="str">
        <x:v>Ответник совпадает с независимой проверкой.</x:v>
      </x:c>
      <x:c r="V6642" s="87" t="str">
        <x:v>VERIFIED</x:v>
      </x:c>
      <x:c r="W6642" s="87"/>
      <x:c r="X6642" s="87" t="n">
        <x:v>5</x:v>
      </x:c>
      <x:c r="Y6642" s="87"/>
      <x:c r="Z6642" s="87"/>
      <x:c r="AA6642" s="87"/>
      <x:c r="AB6642" s="87"/>
      <x:c r="AC6642" s="87" t="str">
        <x:v>VIS-EGKR-GEO-S26-TASK-956-P005</x:v>
      </x:c>
      <x:c r="AD6642" s="87" t="str">
        <x:v>VIS-EGKR-GEO-S26-ANSWERDOC-P002</x:v>
      </x:c>
      <x:c r="AE6642" s="87" t="str">
        <x:v>TASK; SECONDARY_ANSWER_SOURCE</x:v>
      </x:c>
      <x:c r="AF6642" s="87" t="str">
        <x:v>VIS-EGKR-GEO-S26-TASK-956-P005: 5; VIS-EGKR-GEO-S26-ANSWERDOC-P002: 2</x:v>
      </x:c>
      <x:c r="AG6642" s="87" t="str">
        <x:v>RESOLVED</x:v>
      </x:c>
      <x:c r="AH6642" s="87" t="str">
        <x:v>CROP_VERIFIED</x:v>
      </x:c>
      <x:c r="AI6642" s="30"/>
      <x:c r="AJ6642" s="87" t="str">
        <x:v>clean</x:v>
      </x:c>
      <x:c r="AK6642" s="87" t="str">
        <x:v>clean-v0.26</x:v>
      </x:c>
      <x:c r="AL6642" s="87" t="str">
        <x:v>statgrad_clean_continuation_v0_26(1)(1).xlsx</x:v>
      </x:c>
      <x:c r="AM6642" s="87" t="str">
        <x:v>GEO_EGKR_S26_956</x:v>
      </x:c>
      <x:c r="AN6642" s="87" t="n">
        <x:v>10</x:v>
      </x:c>
    </x:row>
    <x:row r="6643">
      <x:c r="A6643" s="87" t="n">
        <x:v>6642</x:v>
      </x:c>
      <x:c r="B6643" s="87" t="str">
        <x:v>EGKR-S26-GEO-956-10</x:v>
      </x:c>
      <x:c r="C6643" s="87" t="str">
        <x:v>ЕГКР</x:v>
      </x:c>
      <x:c r="D6643" s="87"/>
      <x:c r="E6643" s="87" t="str">
        <x:v>Весна 2026</x:v>
      </x:c>
      <x:c r="F6643" s="87" t="str">
        <x:v>16.04.2026</x:v>
      </x:c>
      <x:c r="G6643" s="87" t="str">
        <x:v>География</x:v>
      </x:c>
      <x:c r="H6643" s="87" t="n">
        <x:v>11</x:v>
      </x:c>
      <x:c r="I6643" s="87"/>
      <x:c r="J6643" s="87" t="str">
        <x:v>956</x:v>
      </x:c>
      <x:c r="K6643" s="87" t="n">
        <x:v>10</x:v>
      </x:c>
      <x:c r="L6643" s="87" t="str">
        <x:v>Анализ статистической таблицы</x:v>
      </x:c>
      <x:c r="M6643" s="30" t="str">
        <x:v>с 2021 по 2023 г. ежегодно происходило увеличение объёмов промышленного производства. Запишите цифры, под которыми указаны эти регионы. Динамика объёмов промышленного производства (в % к предыдущему году) Регион 2021 г. 2022 г. 2023 г. 1. Белгородская область 104,4 102,1 104,7 2. Омская область 103,3 105,7 106,2 3. Волгоградская область 98,4 102,8 102,5 4. Республика Дагестан 110,5 109,4 123,8</x:v>
      </x:c>
      <x:c r="N6643" s="30" t="str">
        <x:v>124</x:v>
      </x:c>
      <x:c r="O6643" s="30" t="str">
        <x:v>Ответ 124 независимо сопоставлен с условием, картой или статистическими данными задания.</x:v>
      </x:c>
      <x:c r="P6643" s="30"/>
      <x:c r="Q6643" s="30" t="str">
        <x:v>Исходная страница + независимая географическая проверка + вторичная сверка.</x:v>
      </x:c>
      <x:c r="R6643" s="30" t="str">
        <x:v>124</x:v>
      </x:c>
      <x:c r="S6643" s="30"/>
      <x:c r="T6643" s="30"/>
      <x:c r="U6643" s="30" t="str">
        <x:v>Ответник совпадает с независимой проверкой.</x:v>
      </x:c>
      <x:c r="V6643" s="87" t="str">
        <x:v>VERIFIED</x:v>
      </x:c>
      <x:c r="W6643" s="87"/>
      <x:c r="X6643" s="87" t="n">
        <x:v>5</x:v>
      </x:c>
      <x:c r="Y6643" s="87"/>
      <x:c r="Z6643" s="87"/>
      <x:c r="AA6643" s="87"/>
      <x:c r="AB6643" s="87"/>
      <x:c r="AC6643" s="87" t="str">
        <x:v>VIS-EGKR-GEO-S26-TASK-956-P005</x:v>
      </x:c>
      <x:c r="AD6643" s="87" t="str">
        <x:v>VIS-EGKR-GEO-S26-ANSWERDOC-P002</x:v>
      </x:c>
      <x:c r="AE6643" s="87" t="str">
        <x:v>TASK; SECONDARY_ANSWER_SOURCE</x:v>
      </x:c>
      <x:c r="AF6643" s="87" t="str">
        <x:v>VIS-EGKR-GEO-S26-TASK-956-P005: 5; VIS-EGKR-GEO-S26-ANSWERDOC-P002: 2</x:v>
      </x:c>
      <x:c r="AG6643" s="87" t="str">
        <x:v>RESOLVED</x:v>
      </x:c>
      <x:c r="AH6643" s="87" t="str">
        <x:v>CROP_VERIFIED</x:v>
      </x:c>
      <x:c r="AI6643" s="30"/>
      <x:c r="AJ6643" s="87" t="str">
        <x:v>clean</x:v>
      </x:c>
      <x:c r="AK6643" s="87" t="str">
        <x:v>clean-v0.26</x:v>
      </x:c>
      <x:c r="AL6643" s="87" t="str">
        <x:v>statgrad_clean_continuation_v0_26(1)(1).xlsx</x:v>
      </x:c>
      <x:c r="AM6643" s="87" t="str">
        <x:v>GEO_EGKR_S26_956</x:v>
      </x:c>
      <x:c r="AN6643" s="87" t="n">
        <x:v>11</x:v>
      </x:c>
    </x:row>
    <x:row r="6644">
      <x:c r="A6644" s="87" t="n">
        <x:v>6643</x:v>
      </x:c>
      <x:c r="B6644" s="87" t="str">
        <x:v>EGKR-S26-GEO-956-11</x:v>
      </x:c>
      <x:c r="C6644" s="87" t="str">
        <x:v>ЕГКР</x:v>
      </x:c>
      <x:c r="D6644" s="87"/>
      <x:c r="E6644" s="87" t="str">
        <x:v>Весна 2026</x:v>
      </x:c>
      <x:c r="F6644" s="87" t="str">
        <x:v>16.04.2026</x:v>
      </x:c>
      <x:c r="G6644" s="87" t="str">
        <x:v>География</x:v>
      </x:c>
      <x:c r="H6644" s="87" t="n">
        <x:v>11</x:v>
      </x:c>
      <x:c r="I6644" s="87"/>
      <x:c r="J6644" s="87" t="str">
        <x:v>956</x:v>
      </x:c>
      <x:c r="K6644" s="87" t="n">
        <x:v>11</x:v>
      </x:c>
      <x:c r="L6644" s="87" t="str">
        <x:v>Анализ тематической карты</x:v>
      </x:c>
      <x:c r="M6644" s="30" t="str">
        <x:v>С помощью карты сравните абсолютные высоты точек, обозначенных на карте цифрами 1, 2 и 3. Расположите эти точки в порядке увеличения их абсолютных высот. Запишите в таблицу получившуюся последовательность цифр.</x:v>
      </x:c>
      <x:c r="N6644" s="30" t="str">
        <x:v>123</x:v>
      </x:c>
      <x:c r="O6644" s="30" t="str">
        <x:v>Ответ 123 независимо сопоставлен с условием, картой или статистическими данными задания.</x:v>
      </x:c>
      <x:c r="P6644" s="30"/>
      <x:c r="Q6644" s="30" t="str">
        <x:v>Исходная страница + независимая географическая проверка + вторичная сверка.</x:v>
      </x:c>
      <x:c r="R6644" s="30" t="str">
        <x:v>123</x:v>
      </x:c>
      <x:c r="S6644" s="30"/>
      <x:c r="T6644" s="30"/>
      <x:c r="U6644" s="30" t="str">
        <x:v>Ответник совпадает с независимой проверкой.</x:v>
      </x:c>
      <x:c r="V6644" s="87" t="str">
        <x:v>VERIFIED</x:v>
      </x:c>
      <x:c r="W6644" s="87"/>
      <x:c r="X6644" s="87" t="n">
        <x:v>6</x:v>
      </x:c>
      <x:c r="Y6644" s="87"/>
      <x:c r="Z6644" s="87"/>
      <x:c r="AA6644" s="87"/>
      <x:c r="AB6644" s="87"/>
      <x:c r="AC6644" s="87" t="str">
        <x:v>VIS-EGKR-GEO-S26-TASK-956-P006</x:v>
      </x:c>
      <x:c r="AD6644" s="87" t="str">
        <x:v>VIS-EGKR-GEO-S26-ANSWERDOC-P002</x:v>
      </x:c>
      <x:c r="AE6644" s="87" t="str">
        <x:v>TASK; SECONDARY_ANSWER_SOURCE</x:v>
      </x:c>
      <x:c r="AF6644" s="87" t="str">
        <x:v>VIS-EGKR-GEO-S26-TASK-956-P006: 6; VIS-EGKR-GEO-S26-ANSWERDOC-P002: 2</x:v>
      </x:c>
      <x:c r="AG6644" s="87" t="str">
        <x:v>RESOLVED</x:v>
      </x:c>
      <x:c r="AH6644" s="87" t="str">
        <x:v>CROP_VERIFIED; TASK_CROP_QA_APPROVED:MANUAL_BBOX</x:v>
      </x:c>
      <x:c r="AI6644" s="30"/>
      <x:c r="AJ6644" s="87" t="str">
        <x:v>clean</x:v>
      </x:c>
      <x:c r="AK6644" s="87" t="str">
        <x:v>clean-v0.26</x:v>
      </x:c>
      <x:c r="AL6644" s="87" t="str">
        <x:v>statgrad_clean_continuation_v0_26(1)(1).xlsx</x:v>
      </x:c>
      <x:c r="AM6644" s="87" t="str">
        <x:v>GEO_EGKR_S26_956</x:v>
      </x:c>
      <x:c r="AN6644" s="87" t="n">
        <x:v>12</x:v>
      </x:c>
    </x:row>
    <x:row r="6645">
      <x:c r="A6645" s="87" t="n">
        <x:v>6644</x:v>
      </x:c>
      <x:c r="B6645" s="87" t="str">
        <x:v>EGKR-S26-GEO-956-12</x:v>
      </x:c>
      <x:c r="C6645" s="87" t="str">
        <x:v>ЕГКР</x:v>
      </x:c>
      <x:c r="D6645" s="87"/>
      <x:c r="E6645" s="87" t="str">
        <x:v>Весна 2026</x:v>
      </x:c>
      <x:c r="F6645" s="87" t="str">
        <x:v>16.04.2026</x:v>
      </x:c>
      <x:c r="G6645" s="87" t="str">
        <x:v>География</x:v>
      </x:c>
      <x:c r="H6645" s="87" t="n">
        <x:v>11</x:v>
      </x:c>
      <x:c r="I6645" s="87"/>
      <x:c r="J6645" s="87" t="str">
        <x:v>956</x:v>
      </x:c>
      <x:c r="K6645" s="87" t="n">
        <x:v>12</x:v>
      </x:c>
      <x:c r="L6645" s="87" t="str">
        <x:v>Географические понятия в тексте</x:v>
      </x:c>
      <x:c r="M6645" s="30" t="str">
        <x:v>Выберите все высказывания с информацией о миграциях населения и запишите цифры, под которыми они указаны. 1. В Африке численность населения крупнейших городских агломераций в значительной степени растёт за счёт переселенцев из сельской местности. 2. США являются мировым лидером по числу людей, переехавших сюда из других стран – 52,4 млн человек на середину 2024 г. 3. В настоящее время численность населения мира продолжает увеличиваться, но темпы прироста за последние 50 лет снизились вдвое. 4. Во Франции в 2024 г. смертность впервые с 1945 г. превысила рождаемость. 5. По данным министерства здравоохранения Японии естественная убыль населения страны в 2024 г. составила 908,57 тыс. человек.</x:v>
      </x:c>
      <x:c r="N6645" s="30" t="str">
        <x:v>12</x:v>
      </x:c>
      <x:c r="O6645" s="30" t="str">
        <x:v>Ответ 12 независимо сопоставлен с условием, картой или статистическими данными задания.</x:v>
      </x:c>
      <x:c r="P6645" s="30"/>
      <x:c r="Q6645" s="30" t="str">
        <x:v>Исходная страница + независимая географическая проверка + вторичная сверка.</x:v>
      </x:c>
      <x:c r="R6645" s="30" t="str">
        <x:v>12</x:v>
      </x:c>
      <x:c r="S6645" s="30"/>
      <x:c r="T6645" s="30"/>
      <x:c r="U6645" s="30" t="str">
        <x:v>Ответник совпадает с независимой проверкой.</x:v>
      </x:c>
      <x:c r="V6645" s="87" t="str">
        <x:v>VERIFIED</x:v>
      </x:c>
      <x:c r="W6645" s="87"/>
      <x:c r="X6645" s="87" t="n">
        <x:v>6</x:v>
      </x:c>
      <x:c r="Y6645" s="87"/>
      <x:c r="Z6645" s="87"/>
      <x:c r="AA6645" s="87"/>
      <x:c r="AB6645" s="87"/>
      <x:c r="AC6645" s="87" t="str">
        <x:v>VIS-EGKR-GEO-S26-TASK-956-P006</x:v>
      </x:c>
      <x:c r="AD6645" s="87" t="str">
        <x:v>VIS-EGKR-GEO-S26-ANSWERDOC-P002</x:v>
      </x:c>
      <x:c r="AE6645" s="87" t="str">
        <x:v>TASK; SECONDARY_ANSWER_SOURCE</x:v>
      </x:c>
      <x:c r="AF6645" s="87" t="str">
        <x:v>VIS-EGKR-GEO-S26-TASK-956-P006: 6; VIS-EGKR-GEO-S26-ANSWERDOC-P002: 2</x:v>
      </x:c>
      <x:c r="AG6645" s="87" t="str">
        <x:v>RESOLVED</x:v>
      </x:c>
      <x:c r="AH6645" s="87" t="str">
        <x:v>CROP_VERIFIED</x:v>
      </x:c>
      <x:c r="AI6645" s="30"/>
      <x:c r="AJ6645" s="87" t="str">
        <x:v>clean</x:v>
      </x:c>
      <x:c r="AK6645" s="87" t="str">
        <x:v>clean-v0.26</x:v>
      </x:c>
      <x:c r="AL6645" s="87" t="str">
        <x:v>statgrad_clean_continuation_v0_26(1)(1).xlsx</x:v>
      </x:c>
      <x:c r="AM6645" s="87" t="str">
        <x:v>GEO_EGKR_S26_956</x:v>
      </x:c>
      <x:c r="AN6645" s="87" t="n">
        <x:v>13</x:v>
      </x:c>
    </x:row>
    <x:row r="6646">
      <x:c r="A6646" s="87" t="n">
        <x:v>6645</x:v>
      </x:c>
      <x:c r="B6646" s="87" t="str">
        <x:v>EGKR-S26-GEO-956-13</x:v>
      </x:c>
      <x:c r="C6646" s="87" t="str">
        <x:v>ЕГКР</x:v>
      </x:c>
      <x:c r="D6646" s="87"/>
      <x:c r="E6646" s="87" t="str">
        <x:v>Весна 2026</x:v>
      </x:c>
      <x:c r="F6646" s="87" t="str">
        <x:v>16.04.2026</x:v>
      </x:c>
      <x:c r="G6646" s="87" t="str">
        <x:v>География</x:v>
      </x:c>
      <x:c r="H6646" s="87" t="n">
        <x:v>11</x:v>
      </x:c>
      <x:c r="I6646" s="87"/>
      <x:c r="J6646" s="87" t="str">
        <x:v>956</x:v>
      </x:c>
      <x:c r="K6646" s="87" t="n">
        <x:v>13</x:v>
      </x:c>
      <x:c r="L6646" s="87" t="str">
        <x:v>Геологическая история</x:v>
      </x:c>
      <x:c r="M6646" s="30" t="str">
        <x:v>Расположите события в геологической истории Земли в хронологическом порядке, начиная с самого раннего. 1. В кембрийском периоде возникли первые членистоногие организмы. 2. В юрском периоде появились археоптериксы – первоптицы. 3. В конце мелового периода началось отделение Австралии от Антарктиды. Запишите в таблицу получившуюся последовательность цифр.</x:v>
      </x:c>
      <x:c r="N6646" s="30" t="str">
        <x:v>123</x:v>
      </x:c>
      <x:c r="O6646" s="30" t="str">
        <x:v>Ответ 123 независимо сопоставлен с условием, картой или статистическими данными задания.</x:v>
      </x:c>
      <x:c r="P6646" s="30"/>
      <x:c r="Q6646" s="30" t="str">
        <x:v>Исходная страница + независимая географическая проверка + вторичная сверка.</x:v>
      </x:c>
      <x:c r="R6646" s="30" t="str">
        <x:v>123</x:v>
      </x:c>
      <x:c r="S6646" s="30"/>
      <x:c r="T6646" s="30"/>
      <x:c r="U6646" s="30" t="str">
        <x:v>Ответник совпадает с независимой проверкой.</x:v>
      </x:c>
      <x:c r="V6646" s="87" t="str">
        <x:v>VERIFIED</x:v>
      </x:c>
      <x:c r="W6646" s="87"/>
      <x:c r="X6646" s="87" t="n">
        <x:v>7</x:v>
      </x:c>
      <x:c r="Y6646" s="87"/>
      <x:c r="Z6646" s="87"/>
      <x:c r="AA6646" s="87"/>
      <x:c r="AB6646" s="87"/>
      <x:c r="AC6646" s="87" t="str">
        <x:v>VIS-EGKR-GEO-S26-TASK-956-P007</x:v>
      </x:c>
      <x:c r="AD6646" s="87" t="str">
        <x:v>VIS-EGKR-GEO-S26-ANSWERDOC-P002</x:v>
      </x:c>
      <x:c r="AE6646" s="87" t="str">
        <x:v>TASK; SECONDARY_ANSWER_SOURCE</x:v>
      </x:c>
      <x:c r="AF6646" s="87" t="str">
        <x:v>VIS-EGKR-GEO-S26-TASK-956-P007: 7; VIS-EGKR-GEO-S26-ANSWERDOC-P002: 2</x:v>
      </x:c>
      <x:c r="AG6646" s="87" t="str">
        <x:v>RESOLVED</x:v>
      </x:c>
      <x:c r="AH6646" s="87" t="str">
        <x:v>CROP_VERIFIED</x:v>
      </x:c>
      <x:c r="AI6646" s="30"/>
      <x:c r="AJ6646" s="87" t="str">
        <x:v>clean</x:v>
      </x:c>
      <x:c r="AK6646" s="87" t="str">
        <x:v>clean-v0.26</x:v>
      </x:c>
      <x:c r="AL6646" s="87" t="str">
        <x:v>statgrad_clean_continuation_v0_26(1)(1).xlsx</x:v>
      </x:c>
      <x:c r="AM6646" s="87" t="str">
        <x:v>GEO_EGKR_S26_956</x:v>
      </x:c>
      <x:c r="AN6646" s="87" t="n">
        <x:v>14</x:v>
      </x:c>
    </x:row>
    <x:row r="6647">
      <x:c r="A6647" s="87" t="n">
        <x:v>6646</x:v>
      </x:c>
      <x:c r="B6647" s="87" t="str">
        <x:v>EGKR-S26-GEO-956-14</x:v>
      </x:c>
      <x:c r="C6647" s="87" t="str">
        <x:v>ЕГКР</x:v>
      </x:c>
      <x:c r="D6647" s="87"/>
      <x:c r="E6647" s="87" t="str">
        <x:v>Весна 2026</x:v>
      </x:c>
      <x:c r="F6647" s="87" t="str">
        <x:v>16.04.2026</x:v>
      </x:c>
      <x:c r="G6647" s="87" t="str">
        <x:v>География</x:v>
      </x:c>
      <x:c r="H6647" s="87" t="n">
        <x:v>11</x:v>
      </x:c>
      <x:c r="I6647" s="87"/>
      <x:c r="J6647" s="87" t="str">
        <x:v>956</x:v>
      </x:c>
      <x:c r="K6647" s="87" t="n">
        <x:v>14</x:v>
      </x:c>
      <x:c r="L6647" s="87" t="str">
        <x:v>Часовые зоны</x:v>
      </x:c>
      <x:c r="M6647" s="30" t="str">
        <x:v>В единый день голосования 8 сентября 2025 г. избирательные участки во всех регионах России открылись в восемь утра по местному времени. Используя карту, определите, во сколько часов по московскому времени открылись избирательные участки в Еврейской автономной области. Ответ запишите в виде числа.</x:v>
      </x:c>
      <x:c r="N6647" s="30" t="str">
        <x:v>1</x:v>
      </x:c>
      <x:c r="O6647" s="30" t="str">
        <x:v>ЕАО опережает Москву на 7 часов: 08:00 местного времени = 01:00 мск.</x:v>
      </x:c>
      <x:c r="P6647" s="30"/>
      <x:c r="Q6647" s="30" t="str">
        <x:v>Исходная страница + независимая географическая проверка + вторичная сверка.</x:v>
      </x:c>
      <x:c r="R6647" s="30" t="str">
        <x:v>1</x:v>
      </x:c>
      <x:c r="S6647" s="30"/>
      <x:c r="T6647" s="30"/>
      <x:c r="U6647" s="30" t="str">
        <x:v>Ответник совпадает с независимой проверкой.</x:v>
      </x:c>
      <x:c r="V6647" s="87" t="str">
        <x:v>VERIFIED</x:v>
      </x:c>
      <x:c r="W6647" s="87"/>
      <x:c r="X6647" s="87" t="n">
        <x:v>7</x:v>
      </x:c>
      <x:c r="Y6647" s="87"/>
      <x:c r="Z6647" s="87"/>
      <x:c r="AA6647" s="87"/>
      <x:c r="AB6647" s="87"/>
      <x:c r="AC6647" s="87" t="str">
        <x:v>VIS-EGKR-GEO-S26-TASK-956-P007</x:v>
      </x:c>
      <x:c r="AD6647" s="87" t="str">
        <x:v>VIS-EGKR-GEO-S26-ANSWERDOC-P002</x:v>
      </x:c>
      <x:c r="AE6647" s="87" t="str">
        <x:v>TASK; SECONDARY_ANSWER_SOURCE</x:v>
      </x:c>
      <x:c r="AF6647" s="87" t="str">
        <x:v>VIS-EGKR-GEO-S26-TASK-956-P007: 7; VIS-EGKR-GEO-S26-ANSWERDOC-P002: 2</x:v>
      </x:c>
      <x:c r="AG6647" s="87" t="str">
        <x:v>RESOLVED</x:v>
      </x:c>
      <x:c r="AH6647" s="87" t="str">
        <x:v>CROP_VERIFIED</x:v>
      </x:c>
      <x:c r="AI6647" s="30"/>
      <x:c r="AJ6647" s="87" t="str">
        <x:v>clean</x:v>
      </x:c>
      <x:c r="AK6647" s="87" t="str">
        <x:v>clean-v0.26</x:v>
      </x:c>
      <x:c r="AL6647" s="87" t="str">
        <x:v>statgrad_clean_continuation_v0_26(1)(1).xlsx</x:v>
      </x:c>
      <x:c r="AM6647" s="87" t="str">
        <x:v>GEO_EGKR_S26_956</x:v>
      </x:c>
      <x:c r="AN6647" s="87" t="n">
        <x:v>15</x:v>
      </x:c>
    </x:row>
    <x:row r="6648">
      <x:c r="A6648" s="87" t="n">
        <x:v>6647</x:v>
      </x:c>
      <x:c r="B6648" s="87" t="str">
        <x:v>EGKR-S26-GEO-956-15</x:v>
      </x:c>
      <x:c r="C6648" s="87" t="str">
        <x:v>ЕГКР</x:v>
      </x:c>
      <x:c r="D6648" s="87"/>
      <x:c r="E6648" s="87" t="str">
        <x:v>Весна 2026</x:v>
      </x:c>
      <x:c r="F6648" s="87" t="str">
        <x:v>16.04.2026</x:v>
      </x:c>
      <x:c r="G6648" s="87" t="str">
        <x:v>География</x:v>
      </x:c>
      <x:c r="H6648" s="87" t="n">
        <x:v>11</x:v>
      </x:c>
      <x:c r="I6648" s="87"/>
      <x:c r="J6648" s="87" t="str">
        <x:v>956</x:v>
      </x:c>
      <x:c r="K6648" s="87" t="n">
        <x:v>15</x:v>
      </x:c>
      <x:c r="L6648" s="87" t="str">
        <x:v>Расчёт ресурсообеспеченности / площади</x:v>
      </x:c>
      <x:c r="M6648" s="30" t="str">
        <x:v>Учащиеся нашли в Интернете информацию о том, что показатель обеспеченности США пахотными землями в 2024 г. составлял примерно 0,45 га/человека, при этом численность населения США составляла 335,6 млн человек. Определите площадь пахотных земель в США в 2024 г. Ответ округлите до целого числа.</x:v>
      </x:c>
      <x:c r="N6648" s="30" t="str">
        <x:v>151</x:v>
      </x:c>
      <x:c r="O6648" s="30" t="str">
        <x:v>0,45 га/чел. × 335,6 млн чел. = 151,02 млн га ≈ 151 млн га.</x:v>
      </x:c>
      <x:c r="P6648" s="30"/>
      <x:c r="Q6648" s="30" t="str">
        <x:v>Исходная страница + независимая географическая проверка + вторичная сверка.</x:v>
      </x:c>
      <x:c r="R6648" s="30" t="str">
        <x:v>151</x:v>
      </x:c>
      <x:c r="S6648" s="30"/>
      <x:c r="T6648" s="30"/>
      <x:c r="U6648" s="30" t="str">
        <x:v>Ответник совпадает с независимой проверкой.</x:v>
      </x:c>
      <x:c r="V6648" s="87" t="str">
        <x:v>VERIFIED</x:v>
      </x:c>
      <x:c r="W6648" s="87"/>
      <x:c r="X6648" s="87" t="n">
        <x:v>7</x:v>
      </x:c>
      <x:c r="Y6648" s="87"/>
      <x:c r="Z6648" s="87"/>
      <x:c r="AA6648" s="87"/>
      <x:c r="AB6648" s="87"/>
      <x:c r="AC6648" s="87" t="str">
        <x:v>VIS-EGKR-GEO-S26-TASK-956-P007</x:v>
      </x:c>
      <x:c r="AD6648" s="87" t="str">
        <x:v>VIS-EGKR-GEO-S26-ANSWERDOC-P002</x:v>
      </x:c>
      <x:c r="AE6648" s="87" t="str">
        <x:v>TASK; SECONDARY_ANSWER_SOURCE</x:v>
      </x:c>
      <x:c r="AF6648" s="87" t="str">
        <x:v>VIS-EGKR-GEO-S26-TASK-956-P007: 7; VIS-EGKR-GEO-S26-ANSWERDOC-P002: 2</x:v>
      </x:c>
      <x:c r="AG6648" s="87" t="str">
        <x:v>RESOLVED</x:v>
      </x:c>
      <x:c r="AH6648" s="87" t="str">
        <x:v>CROP_VERIFIED</x:v>
      </x:c>
      <x:c r="AI6648" s="30"/>
      <x:c r="AJ6648" s="87" t="str">
        <x:v>clean</x:v>
      </x:c>
      <x:c r="AK6648" s="87" t="str">
        <x:v>clean-v0.26</x:v>
      </x:c>
      <x:c r="AL6648" s="87" t="str">
        <x:v>statgrad_clean_continuation_v0_26(1)(1).xlsx</x:v>
      </x:c>
      <x:c r="AM6648" s="87" t="str">
        <x:v>GEO_EGKR_S26_956</x:v>
      </x:c>
      <x:c r="AN6648" s="87" t="n">
        <x:v>16</x:v>
      </x:c>
    </x:row>
    <x:row r="6649">
      <x:c r="A6649" s="87" t="n">
        <x:v>6648</x:v>
      </x:c>
      <x:c r="B6649" s="87" t="str">
        <x:v>EGKR-S26-GEO-956-16</x:v>
      </x:c>
      <x:c r="C6649" s="87" t="str">
        <x:v>ЕГКР</x:v>
      </x:c>
      <x:c r="D6649" s="87"/>
      <x:c r="E6649" s="87" t="str">
        <x:v>Весна 2026</x:v>
      </x:c>
      <x:c r="F6649" s="87" t="str">
        <x:v>16.04.2026</x:v>
      </x:c>
      <x:c r="G6649" s="87" t="str">
        <x:v>География</x:v>
      </x:c>
      <x:c r="H6649" s="87" t="n">
        <x:v>11</x:v>
      </x:c>
      <x:c r="I6649" s="87"/>
      <x:c r="J6649" s="87" t="str">
        <x:v>956</x:v>
      </x:c>
      <x:c r="K6649" s="87" t="n">
        <x:v>16</x:v>
      </x:c>
      <x:c r="L6649" s="87" t="str">
        <x:v>Миграционный прирост</x:v>
      </x:c>
      <x:c r="M6649" s="30" t="str">
        <x:v>Используя данные диаграммы, определите значение показателя миграционного прироста населения Забайкальского края в 2023 г. Ответ запишите в виде числа.</x:v>
      </x:c>
      <x:c r="N6649" s="30" t="str">
        <x:v>-4,9</x:v>
      </x:c>
      <x:c r="O6649" s="30" t="str">
        <x:v>(7,7+0,4) − (12,4+0,6) = −4,9 тыс.; перемещения внутри региона не учитываются.</x:v>
      </x:c>
      <x:c r="P6649" s="30"/>
      <x:c r="Q6649" s="30" t="str">
        <x:v>Исходная страница + независимая географическая проверка + вторичная сверка.</x:v>
      </x:c>
      <x:c r="R6649" s="30" t="str">
        <x:v>-4,9</x:v>
      </x:c>
      <x:c r="S6649" s="30"/>
      <x:c r="T6649" s="30"/>
      <x:c r="U6649" s="30" t="str">
        <x:v>Ответник совпадает с независимой проверкой.</x:v>
      </x:c>
      <x:c r="V6649" s="87" t="str">
        <x:v>VERIFIED</x:v>
      </x:c>
      <x:c r="W6649" s="87"/>
      <x:c r="X6649" s="87" t="n">
        <x:v>8</x:v>
      </x:c>
      <x:c r="Y6649" s="87"/>
      <x:c r="Z6649" s="87"/>
      <x:c r="AA6649" s="87"/>
      <x:c r="AB6649" s="87"/>
      <x:c r="AC6649" s="87" t="str">
        <x:v>VIS-EGKR-GEO-S26-TASK-956-P008</x:v>
      </x:c>
      <x:c r="AD6649" s="87" t="str">
        <x:v>VIS-EGKR-GEO-S26-ANSWERDOC-P002</x:v>
      </x:c>
      <x:c r="AE6649" s="87" t="str">
        <x:v>TASK; SECONDARY_ANSWER_SOURCE</x:v>
      </x:c>
      <x:c r="AF6649" s="87" t="str">
        <x:v>VIS-EGKR-GEO-S26-TASK-956-P008: 8; VIS-EGKR-GEO-S26-ANSWERDOC-P002: 2</x:v>
      </x:c>
      <x:c r="AG6649" s="87" t="str">
        <x:v>RESOLVED</x:v>
      </x:c>
      <x:c r="AH6649" s="87" t="str">
        <x:v>CROP_VERIFIED; TASK_CROP_QA_APPROVED:MANUAL_BBOX</x:v>
      </x:c>
      <x:c r="AI6649" s="30"/>
      <x:c r="AJ6649" s="87" t="str">
        <x:v>clean</x:v>
      </x:c>
      <x:c r="AK6649" s="87" t="str">
        <x:v>clean-v0.26</x:v>
      </x:c>
      <x:c r="AL6649" s="87" t="str">
        <x:v>statgrad_clean_continuation_v0_26(1)(1).xlsx</x:v>
      </x:c>
      <x:c r="AM6649" s="87" t="str">
        <x:v>GEO_EGKR_S26_956</x:v>
      </x:c>
      <x:c r="AN6649" s="87" t="n">
        <x:v>17</x:v>
      </x:c>
    </x:row>
    <x:row r="6650">
      <x:c r="A6650" s="87" t="n">
        <x:v>6649</x:v>
      </x:c>
      <x:c r="B6650" s="87" t="str">
        <x:v>EGKR-S26-GEO-956-17</x:v>
      </x:c>
      <x:c r="C6650" s="87" t="str">
        <x:v>ЕГКР</x:v>
      </x:c>
      <x:c r="D6650" s="87"/>
      <x:c r="E6650" s="87" t="str">
        <x:v>Весна 2026</x:v>
      </x:c>
      <x:c r="F6650" s="87" t="str">
        <x:v>16.04.2026</x:v>
      </x:c>
      <x:c r="G6650" s="87" t="str">
        <x:v>География</x:v>
      </x:c>
      <x:c r="H6650" s="87" t="n">
        <x:v>11</x:v>
      </x:c>
      <x:c r="I6650" s="87"/>
      <x:c r="J6650" s="87" t="str">
        <x:v>956</x:v>
      </x:c>
      <x:c r="K6650" s="87" t="n">
        <x:v>17</x:v>
      </x:c>
      <x:c r="L6650" s="87" t="str">
        <x:v>Определение страны</x:v>
      </x:c>
      <x:c r="M6650" s="30" t="str">
        <x:v>Определите страну по её краткому описанию. Эта страна относится к числу дружественных для России стран. Территория страны расположена в пределах субтропического и тропического климатических поясов, на юге она имеет выход к заливам Индийского океана. Большая часть территории имеет горный рельеф. Абсолютная высота самой высокой точки – более 5000 м. Численность населения превышает 90 млн человек. По запасам нефти и природного газа страна занимает одно из первых мест в мире. На мировой рынок она поставляет нефть, природный газ и нефтепродукты – на них приходится около 40% экспорта.</x:v>
      </x:c>
      <x:c r="N6650" s="30" t="str">
        <x:v>ИРАН</x:v>
      </x:c>
      <x:c r="O6650" s="30" t="str">
        <x:v>Описание соответствует Ирану: горная страна у заливов Индийского океана, крупные запасы нефти и газа.</x:v>
      </x:c>
      <x:c r="P6650" s="30"/>
      <x:c r="Q6650" s="30" t="str">
        <x:v>Исходная страница + независимая географическая проверка + вторичная сверка.</x:v>
      </x:c>
      <x:c r="R6650" s="30" t="str">
        <x:v>ИРАН</x:v>
      </x:c>
      <x:c r="S6650" s="30"/>
      <x:c r="T6650" s="30"/>
      <x:c r="U6650" s="30" t="str">
        <x:v>Ответник совпадает с независимой проверкой.</x:v>
      </x:c>
      <x:c r="V6650" s="87" t="str">
        <x:v>VERIFIED</x:v>
      </x:c>
      <x:c r="W6650" s="87"/>
      <x:c r="X6650" s="87" t="n">
        <x:v>8</x:v>
      </x:c>
      <x:c r="Y6650" s="87"/>
      <x:c r="Z6650" s="87"/>
      <x:c r="AA6650" s="87"/>
      <x:c r="AB6650" s="87"/>
      <x:c r="AC6650" s="87" t="str">
        <x:v>VIS-EGKR-GEO-S26-TASK-956-P008</x:v>
      </x:c>
      <x:c r="AD6650" s="87" t="str">
        <x:v>VIS-EGKR-GEO-S26-ANSWERDOC-P002</x:v>
      </x:c>
      <x:c r="AE6650" s="87" t="str">
        <x:v>TASK; SECONDARY_ANSWER_SOURCE</x:v>
      </x:c>
      <x:c r="AF6650" s="87" t="str">
        <x:v>VIS-EGKR-GEO-S26-TASK-956-P008: 8; VIS-EGKR-GEO-S26-ANSWERDOC-P002: 2</x:v>
      </x:c>
      <x:c r="AG6650" s="87" t="str">
        <x:v>RESOLVED</x:v>
      </x:c>
      <x:c r="AH6650" s="87" t="str">
        <x:v>CROP_VERIFIED</x:v>
      </x:c>
      <x:c r="AI6650" s="30"/>
      <x:c r="AJ6650" s="87" t="str">
        <x:v>clean</x:v>
      </x:c>
      <x:c r="AK6650" s="87" t="str">
        <x:v>clean-v0.26</x:v>
      </x:c>
      <x:c r="AL6650" s="87" t="str">
        <x:v>statgrad_clean_continuation_v0_26(1)(1).xlsx</x:v>
      </x:c>
      <x:c r="AM6650" s="87" t="str">
        <x:v>GEO_EGKR_S26_956</x:v>
      </x:c>
      <x:c r="AN6650" s="87" t="n">
        <x:v>18</x:v>
      </x:c>
    </x:row>
    <x:row r="6651">
      <x:c r="A6651" s="87" t="n">
        <x:v>6650</x:v>
      </x:c>
      <x:c r="B6651" s="87" t="str">
        <x:v>EGKR-S26-GEO-956-18</x:v>
      </x:c>
      <x:c r="C6651" s="87" t="str">
        <x:v>ЕГКР</x:v>
      </x:c>
      <x:c r="D6651" s="87"/>
      <x:c r="E6651" s="87" t="str">
        <x:v>Весна 2026</x:v>
      </x:c>
      <x:c r="F6651" s="87" t="str">
        <x:v>16.04.2026</x:v>
      </x:c>
      <x:c r="G6651" s="87" t="str">
        <x:v>География</x:v>
      </x:c>
      <x:c r="H6651" s="87" t="n">
        <x:v>11</x:v>
      </x:c>
      <x:c r="I6651" s="87"/>
      <x:c r="J6651" s="87" t="str">
        <x:v>956</x:v>
      </x:c>
      <x:c r="K6651" s="87" t="n">
        <x:v>18</x:v>
      </x:c>
      <x:c r="L6651" s="87" t="str">
        <x:v>Определение региона России</x:v>
      </x:c>
      <x:c r="M6651" s="30" t="str">
        <x:v>Определите регион России по его краткому описанию. Эта область расположена в Восточном макрорегионе России. Её территория имеет выход к морю, но выхода к Государственной границе России не имеет. Характерная особенность ЭГП – отсутствие железнодорожного сообщения с другими регионами страны. Плотность населения ниже средней по стране. Характерно широкое распространение многолетней мерзлоты. Основные отрасли промышленности: горнодобывающая и рыбная. Административный центр – морской порт.</x:v>
      </x:c>
      <x:c r="N6651" s="30" t="str">
        <x:v>МАГАДАНСКАЯ ОБЛАСТЬ</x:v>
      </x:c>
      <x:c r="O6651" s="30" t="str">
        <x:v>Выход к морю, отсутствие железной дороги, мерзлота, горнодобыча и рыбная отрасль — Магаданская область.</x:v>
      </x:c>
      <x:c r="P6651" s="30"/>
      <x:c r="Q6651" s="30" t="str">
        <x:v>Исходная страница + независимая географическая проверка + вторичная сверка.</x:v>
      </x:c>
      <x:c r="R6651" s="30" t="str">
        <x:v>МАГАДАНСКАЯ ОБЛАСТЬ</x:v>
      </x:c>
      <x:c r="S6651" s="30"/>
      <x:c r="T6651" s="30"/>
      <x:c r="U6651" s="30" t="str">
        <x:v>Ответник совпадает с независимой проверкой.</x:v>
      </x:c>
      <x:c r="V6651" s="87" t="str">
        <x:v>VERIFIED</x:v>
      </x:c>
      <x:c r="W6651" s="87"/>
      <x:c r="X6651" s="87" t="n">
        <x:v>8</x:v>
      </x:c>
      <x:c r="Y6651" s="87"/>
      <x:c r="Z6651" s="87"/>
      <x:c r="AA6651" s="87"/>
      <x:c r="AB6651" s="87"/>
      <x:c r="AC6651" s="87" t="str">
        <x:v>VIS-EGKR-GEO-S26-TASK-956-P008</x:v>
      </x:c>
      <x:c r="AD6651" s="87" t="str">
        <x:v>VIS-EGKR-GEO-S26-ANSWERDOC-P002</x:v>
      </x:c>
      <x:c r="AE6651" s="87" t="str">
        <x:v>TASK; SECONDARY_ANSWER_SOURCE</x:v>
      </x:c>
      <x:c r="AF6651" s="87" t="str">
        <x:v>VIS-EGKR-GEO-S26-TASK-956-P008: 8; VIS-EGKR-GEO-S26-ANSWERDOC-P002: 2</x:v>
      </x:c>
      <x:c r="AG6651" s="87" t="str">
        <x:v>RESOLVED</x:v>
      </x:c>
      <x:c r="AH6651" s="87" t="str">
        <x:v>CROP_VERIFIED</x:v>
      </x:c>
      <x:c r="AI6651" s="30"/>
      <x:c r="AJ6651" s="87" t="str">
        <x:v>clean</x:v>
      </x:c>
      <x:c r="AK6651" s="87" t="str">
        <x:v>clean-v0.26</x:v>
      </x:c>
      <x:c r="AL6651" s="87" t="str">
        <x:v>statgrad_clean_continuation_v0_26(1)(1).xlsx</x:v>
      </x:c>
      <x:c r="AM6651" s="87" t="str">
        <x:v>GEO_EGKR_S26_956</x:v>
      </x:c>
      <x:c r="AN6651" s="87" t="n">
        <x:v>19</x:v>
      </x:c>
    </x:row>
    <x:row r="6652">
      <x:c r="A6652" s="87" t="n">
        <x:v>6651</x:v>
      </x:c>
      <x:c r="B6652" s="87" t="str">
        <x:v>EGKR-S26-GEO-956-21</x:v>
      </x:c>
      <x:c r="C6652" s="87" t="str">
        <x:v>ЕГКР</x:v>
      </x:c>
      <x:c r="D6652" s="87"/>
      <x:c r="E6652" s="87" t="str">
        <x:v>Весна 2026</x:v>
      </x:c>
      <x:c r="F6652" s="87" t="str">
        <x:v>16.04.2026</x:v>
      </x:c>
      <x:c r="G6652" s="87" t="str">
        <x:v>География</x:v>
      </x:c>
      <x:c r="H6652" s="87" t="n">
        <x:v>11</x:v>
      </x:c>
      <x:c r="I6652" s="87"/>
      <x:c r="J6652" s="87" t="str">
        <x:v>956</x:v>
      </x:c>
      <x:c r="K6652" s="87" t="n">
        <x:v>21</x:v>
      </x:c>
      <x:c r="L6652" s="87" t="str">
        <x:v>Географический район / субрегион</x:v>
      </x:c>
      <x:c r="M6652" s="30" t="str">
        <x:v>Задание 21 варианта 956; полная формулировка сохранена по VIS_ID.</x:v>
      </x:c>
      <x:c r="N6652" s="30" t="str">
        <x:v>ЮЖНАЯ АЗИЯ</x:v>
      </x:c>
      <x:c r="O6652" s="30" t="str">
        <x:v>Ответ ЮЖНАЯ АЗИЯ независимо сопоставлен с условием, картой или статистическими данными задания.</x:v>
      </x:c>
      <x:c r="P6652" s="30"/>
      <x:c r="Q6652" s="30" t="str">
        <x:v>Исходная страница + независимая географическая проверка + вторичная сверка.</x:v>
      </x:c>
      <x:c r="R6652" s="30" t="str">
        <x:v>ЮЖНАЯ АЗИЯ</x:v>
      </x:c>
      <x:c r="S6652" s="30"/>
      <x:c r="T6652" s="30"/>
      <x:c r="U6652" s="30" t="str">
        <x:v>Ответник совпадает с независимой проверкой.</x:v>
      </x:c>
      <x:c r="V6652" s="87" t="str">
        <x:v>VERIFIED</x:v>
      </x:c>
      <x:c r="W6652" s="87"/>
      <x:c r="X6652" s="87" t="n">
        <x:v>9</x:v>
      </x:c>
      <x:c r="Y6652" s="87"/>
      <x:c r="Z6652" s="87"/>
      <x:c r="AA6652" s="87"/>
      <x:c r="AB6652" s="87"/>
      <x:c r="AC6652" s="87" t="str">
        <x:v>VIS-EGKR-GEO-S26-TASK-956-P009</x:v>
      </x:c>
      <x:c r="AD6652" s="87" t="str">
        <x:v>VIS-EGKR-GEO-S26-ANSWERDOC-P002</x:v>
      </x:c>
      <x:c r="AE6652" s="87" t="str">
        <x:v>TASK; SECONDARY_ANSWER_SOURCE</x:v>
      </x:c>
      <x:c r="AF6652" s="87" t="str">
        <x:v>VIS-EGKR-GEO-S26-TASK-956-P009: 9; VIS-EGKR-GEO-S26-ANSWERDOC-P002: 2</x:v>
      </x:c>
      <x:c r="AG6652" s="87" t="str">
        <x:v>RESOLVED</x:v>
      </x:c>
      <x:c r="AH6652" s="87" t="str">
        <x:v>CROP_VERIFIED</x:v>
      </x:c>
      <x:c r="AI6652" s="30"/>
      <x:c r="AJ6652" s="87" t="str">
        <x:v>clean</x:v>
      </x:c>
      <x:c r="AK6652" s="87" t="str">
        <x:v>clean-v0.26</x:v>
      </x:c>
      <x:c r="AL6652" s="87" t="str">
        <x:v>statgrad_clean_continuation_v0_26(1)(1).xlsx</x:v>
      </x:c>
      <x:c r="AM6652" s="87" t="str">
        <x:v>GEO_EGKR_S26_956</x:v>
      </x:c>
      <x:c r="AN6652" s="87" t="n">
        <x:v>20</x:v>
      </x:c>
    </x:row>
    <x:row r="6653">
      <x:c r="A6653" s="87" t="n">
        <x:v>6652</x:v>
      </x:c>
      <x:c r="B6653" s="87" t="str">
        <x:v>EGKR-S26-GEO-956-22</x:v>
      </x:c>
      <x:c r="C6653" s="87" t="str">
        <x:v>ЕГКР</x:v>
      </x:c>
      <x:c r="D6653" s="87"/>
      <x:c r="E6653" s="87" t="str">
        <x:v>Весна 2026</x:v>
      </x:c>
      <x:c r="F6653" s="87" t="str">
        <x:v>16.04.2026</x:v>
      </x:c>
      <x:c r="G6653" s="87" t="str">
        <x:v>География</x:v>
      </x:c>
      <x:c r="H6653" s="87" t="n">
        <x:v>11</x:v>
      </x:c>
      <x:c r="I6653" s="87"/>
      <x:c r="J6653" s="87" t="str">
        <x:v>956</x:v>
      </x:c>
      <x:c r="K6653" s="87" t="n">
        <x:v>22</x:v>
      </x:c>
      <x:c r="L6653" s="87" t="str">
        <x:v>Развёрнутый ответ</x:v>
      </x:c>
      <x:c r="M6653" s="30" t="str">
        <x:v>Объяснить понятие отрасли международной специализации.</x:v>
      </x:c>
      <x:c r="N6653" s="30" t="str">
        <x:v>Это отрасль, продукция которой производится в объёмах, превышающих внутренние потребности страны, конкурентоспособна и в значительной степени поставляется на мировой рынок.</x:v>
      </x:c>
      <x:c r="O6653" s="30" t="str">
        <x:v>Модель содержит требуемые вычисления и географические связи.</x:v>
      </x:c>
      <x:c r="P6653" s="30"/>
      <x:c r="Q6653" s="30" t="str">
        <x:v>Исходное условие, стандартные статистические приложения и независимая проверка.</x:v>
      </x:c>
      <x:c r="R6653" s="30" t="str">
        <x:v>NO_LOCAL_MODEL</x:v>
      </x:c>
      <x:c r="S6653" s="30"/>
      <x:c r="T6653" s="30"/>
      <x:c r="U6653" s="30" t="str">
        <x:v>Рабочая модель; официальные критерии в локальном архиве отсутствуют.</x:v>
      </x:c>
      <x:c r="V6653" s="87" t="str">
        <x:v>MODEL_READY</x:v>
      </x:c>
      <x:c r="W6653" s="87"/>
      <x:c r="X6653" s="87" t="n">
        <x:v>9</x:v>
      </x:c>
      <x:c r="Y6653" s="87"/>
      <x:c r="Z6653" s="87"/>
      <x:c r="AA6653" s="87"/>
      <x:c r="AB6653" s="87"/>
      <x:c r="AC6653" s="87" t="str">
        <x:v>VIS-EGKR-GEO-S26-TASK-956-P009</x:v>
      </x:c>
      <x:c r="AD6653" s="87"/>
      <x:c r="AE6653" s="87" t="str">
        <x:v>TASK</x:v>
      </x:c>
      <x:c r="AF6653" s="87" t="str">
        <x:v>VIS-EGKR-GEO-S26-TASK-956-P009: 9</x:v>
      </x:c>
      <x:c r="AG6653" s="87" t="str">
        <x:v>RESOLVED</x:v>
      </x:c>
      <x:c r="AH6653" s="87" t="str">
        <x:v>CROP_VERIFIED</x:v>
      </x:c>
      <x:c r="AI6653" s="30"/>
      <x:c r="AJ6653" s="87" t="str">
        <x:v>clean</x:v>
      </x:c>
      <x:c r="AK6653" s="87" t="str">
        <x:v>clean-v0.26</x:v>
      </x:c>
      <x:c r="AL6653" s="87" t="str">
        <x:v>statgrad_clean_continuation_v0_26(1)(1).xlsx</x:v>
      </x:c>
      <x:c r="AM6653" s="87" t="str">
        <x:v>GEO_EGKR_S26_956</x:v>
      </x:c>
      <x:c r="AN6653" s="87" t="n">
        <x:v>21</x:v>
      </x:c>
    </x:row>
    <x:row r="6654">
      <x:c r="A6654" s="87" t="n">
        <x:v>6653</x:v>
      </x:c>
      <x:c r="B6654" s="87" t="str">
        <x:v>EGKR-S26-GEO-956-23</x:v>
      </x:c>
      <x:c r="C6654" s="87" t="str">
        <x:v>ЕГКР</x:v>
      </x:c>
      <x:c r="D6654" s="87"/>
      <x:c r="E6654" s="87" t="str">
        <x:v>Весна 2026</x:v>
      </x:c>
      <x:c r="F6654" s="87" t="str">
        <x:v>16.04.2026</x:v>
      </x:c>
      <x:c r="G6654" s="87" t="str">
        <x:v>География</x:v>
      </x:c>
      <x:c r="H6654" s="87" t="n">
        <x:v>11</x:v>
      </x:c>
      <x:c r="I6654" s="87"/>
      <x:c r="J6654" s="87" t="str">
        <x:v>956</x:v>
      </x:c>
      <x:c r="K6654" s="87" t="n">
        <x:v>23</x:v>
      </x:c>
      <x:c r="L6654" s="87" t="str">
        <x:v>Развёрнутый ответ</x:v>
      </x:c>
      <x:c r="M6654" s="30" t="str">
        <x:v>Объяснить низкую себестоимость лёгкой промышленности Пакистана.</x:v>
      </x:c>
      <x:c r="N6654" s="30" t="str">
        <x:v>Главное условие — наличие многочисленных дешёвых трудовых ресурсов: невысокая стоимость труда снижает расходы на производство трудоёмкой текстильной и швейной продукции.</x:v>
      </x:c>
      <x:c r="O6654" s="30" t="str">
        <x:v>Модель содержит требуемые вычисления и географические связи.</x:v>
      </x:c>
      <x:c r="P6654" s="30"/>
      <x:c r="Q6654" s="30" t="str">
        <x:v>Исходное условие, стандартные статистические приложения и независимая проверка.</x:v>
      </x:c>
      <x:c r="R6654" s="30" t="str">
        <x:v>NO_LOCAL_MODEL</x:v>
      </x:c>
      <x:c r="S6654" s="30"/>
      <x:c r="T6654" s="30"/>
      <x:c r="U6654" s="30" t="str">
        <x:v>Рабочая модель; официальные критерии в локальном архиве отсутствуют.</x:v>
      </x:c>
      <x:c r="V6654" s="87" t="str">
        <x:v>MODEL_READY</x:v>
      </x:c>
      <x:c r="W6654" s="87"/>
      <x:c r="X6654" s="87" t="n">
        <x:v>9</x:v>
      </x:c>
      <x:c r="Y6654" s="87"/>
      <x:c r="Z6654" s="87"/>
      <x:c r="AA6654" s="87"/>
      <x:c r="AB6654" s="87"/>
      <x:c r="AC6654" s="87" t="str">
        <x:v>VIS-EGKR-GEO-S26-TASK-956-P009</x:v>
      </x:c>
      <x:c r="AD6654" s="87"/>
      <x:c r="AE6654" s="87" t="str">
        <x:v>TASK</x:v>
      </x:c>
      <x:c r="AF6654" s="87" t="str">
        <x:v>VIS-EGKR-GEO-S26-TASK-956-P009: 9</x:v>
      </x:c>
      <x:c r="AG6654" s="87" t="str">
        <x:v>RESOLVED</x:v>
      </x:c>
      <x:c r="AH6654" s="87" t="str">
        <x:v>CROP_VERIFIED</x:v>
      </x:c>
      <x:c r="AI6654" s="30"/>
      <x:c r="AJ6654" s="87" t="str">
        <x:v>clean</x:v>
      </x:c>
      <x:c r="AK6654" s="87" t="str">
        <x:v>clean-v0.26</x:v>
      </x:c>
      <x:c r="AL6654" s="87" t="str">
        <x:v>statgrad_clean_continuation_v0_26(1)(1).xlsx</x:v>
      </x:c>
      <x:c r="AM6654" s="87" t="str">
        <x:v>GEO_EGKR_S26_956</x:v>
      </x:c>
      <x:c r="AN6654" s="87" t="n">
        <x:v>22</x:v>
      </x:c>
    </x:row>
    <x:row r="6655">
      <x:c r="A6655" s="87" t="n">
        <x:v>6654</x:v>
      </x:c>
      <x:c r="B6655" s="87" t="str">
        <x:v>EGKR-S26-GEO-956-24</x:v>
      </x:c>
      <x:c r="C6655" s="87" t="str">
        <x:v>ЕГКР</x:v>
      </x:c>
      <x:c r="D6655" s="87"/>
      <x:c r="E6655" s="87" t="str">
        <x:v>Весна 2026</x:v>
      </x:c>
      <x:c r="F6655" s="87" t="str">
        <x:v>16.04.2026</x:v>
      </x:c>
      <x:c r="G6655" s="87" t="str">
        <x:v>География</x:v>
      </x:c>
      <x:c r="H6655" s="87" t="n">
        <x:v>11</x:v>
      </x:c>
      <x:c r="I6655" s="87"/>
      <x:c r="J6655" s="87" t="str">
        <x:v>956</x:v>
      </x:c>
      <x:c r="K6655" s="87" t="n">
        <x:v>24</x:v>
      </x:c>
      <x:c r="L6655" s="87" t="str">
        <x:v>Развёрнутый ответ</x:v>
      </x:c>
      <x:c r="M6655" s="30" t="str">
        <x:v>Сравнить ИЧР Венесуэлы и Эфиопии.</x:v>
      </x:c>
      <x:c r="N6655" s="30" t="str">
        <x:v>Выше должна находиться Венесуэла. Ожидаемая продолжительность жизни: 71 год против 66 лет. ВВП на душу: 482,4/28,8≈16,75 тыс. долл. против 163,7/126,5≈1,29 тыс. долл.</x:v>
      </x:c>
      <x:c r="O6655" s="30" t="str">
        <x:v>Модель содержит требуемые вычисления и географические связи.</x:v>
      </x:c>
      <x:c r="P6655" s="30"/>
      <x:c r="Q6655" s="30" t="str">
        <x:v>Исходное условие, стандартные статистические приложения и независимая проверка.</x:v>
      </x:c>
      <x:c r="R6655" s="30" t="str">
        <x:v>NO_LOCAL_MODEL</x:v>
      </x:c>
      <x:c r="S6655" s="30"/>
      <x:c r="T6655" s="30"/>
      <x:c r="U6655" s="30" t="str">
        <x:v>Рабочая модель; официальные критерии в локальном архиве отсутствуют.</x:v>
      </x:c>
      <x:c r="V6655" s="87" t="str">
        <x:v>MODEL_READY</x:v>
      </x:c>
      <x:c r="W6655" s="87"/>
      <x:c r="X6655" s="87" t="n">
        <x:v>9</x:v>
      </x:c>
      <x:c r="Y6655" s="87"/>
      <x:c r="Z6655" s="87"/>
      <x:c r="AA6655" s="87"/>
      <x:c r="AB6655" s="87"/>
      <x:c r="AC6655" s="87" t="str">
        <x:v>VIS-EGKR-GEO-S26-TASK-956-P009</x:v>
      </x:c>
      <x:c r="AD6655" s="87"/>
      <x:c r="AE6655" s="87" t="str">
        <x:v>TASK</x:v>
      </x:c>
      <x:c r="AF6655" s="87" t="str">
        <x:v>VIS-EGKR-GEO-S26-TASK-956-P009: 9</x:v>
      </x:c>
      <x:c r="AG6655" s="87" t="str">
        <x:v>RESOLVED</x:v>
      </x:c>
      <x:c r="AH6655" s="87" t="str">
        <x:v>CROP_VERIFIED</x:v>
      </x:c>
      <x:c r="AI6655" s="30"/>
      <x:c r="AJ6655" s="87" t="str">
        <x:v>clean</x:v>
      </x:c>
      <x:c r="AK6655" s="87" t="str">
        <x:v>clean-v0.26</x:v>
      </x:c>
      <x:c r="AL6655" s="87" t="str">
        <x:v>statgrad_clean_continuation_v0_26(1)(1).xlsx</x:v>
      </x:c>
      <x:c r="AM6655" s="87" t="str">
        <x:v>GEO_EGKR_S26_956</x:v>
      </x:c>
      <x:c r="AN6655" s="87" t="n">
        <x:v>23</x:v>
      </x:c>
    </x:row>
    <x:row r="6656">
      <x:c r="A6656" s="87" t="n">
        <x:v>6655</x:v>
      </x:c>
      <x:c r="B6656" s="87" t="str">
        <x:v>EGKR-S26-GEO-956-25</x:v>
      </x:c>
      <x:c r="C6656" s="87" t="str">
        <x:v>ЕГКР</x:v>
      </x:c>
      <x:c r="D6656" s="87"/>
      <x:c r="E6656" s="87" t="str">
        <x:v>Весна 2026</x:v>
      </x:c>
      <x:c r="F6656" s="87" t="str">
        <x:v>16.04.2026</x:v>
      </x:c>
      <x:c r="G6656" s="87" t="str">
        <x:v>География</x:v>
      </x:c>
      <x:c r="H6656" s="87" t="n">
        <x:v>11</x:v>
      </x:c>
      <x:c r="I6656" s="87"/>
      <x:c r="J6656" s="87" t="str">
        <x:v>956</x:v>
      </x:c>
      <x:c r="K6656" s="87" t="n">
        <x:v>25</x:v>
      </x:c>
      <x:c r="L6656" s="87" t="str">
        <x:v>Развёрнутый ответ</x:v>
      </x:c>
      <x:c r="M6656" s="30" t="str">
        <x:v>Сравнить роль сельского хозяйства в Парагвае и Эквадоре.</x:v>
      </x:c>
      <x:c r="N6656" s="30" t="str">
        <x:v>Парагвай: 4,9/43,0×100≈11,4% ВВП и 70,4% экспорта. Эквадор: 9,1/118,8×100≈7,7% ВВП и 52,8% экспорта. Роль сельского хозяйства больше в Парагвае.</x:v>
      </x:c>
      <x:c r="O6656" s="30" t="str">
        <x:v>Модель содержит требуемые вычисления и географические связи.</x:v>
      </x:c>
      <x:c r="P6656" s="30"/>
      <x:c r="Q6656" s="30" t="str">
        <x:v>Исходное условие, стандартные статистические приложения и независимая проверка.</x:v>
      </x:c>
      <x:c r="R6656" s="30" t="str">
        <x:v>NO_LOCAL_MODEL</x:v>
      </x:c>
      <x:c r="S6656" s="30"/>
      <x:c r="T6656" s="30"/>
      <x:c r="U6656" s="30" t="str">
        <x:v>Рабочая модель; официальные критерии в локальном архиве отсутствуют.</x:v>
      </x:c>
      <x:c r="V6656" s="87" t="str">
        <x:v>MODEL_READY</x:v>
      </x:c>
      <x:c r="W6656" s="87"/>
      <x:c r="X6656" s="87" t="n">
        <x:v>9</x:v>
      </x:c>
      <x:c r="Y6656" s="87"/>
      <x:c r="Z6656" s="87"/>
      <x:c r="AA6656" s="87"/>
      <x:c r="AB6656" s="87"/>
      <x:c r="AC6656" s="87" t="str">
        <x:v>VIS-EGKR-GEO-S26-TASK-956-P009</x:v>
      </x:c>
      <x:c r="AD6656" s="87"/>
      <x:c r="AE6656" s="87" t="str">
        <x:v>TASK</x:v>
      </x:c>
      <x:c r="AF6656" s="87" t="str">
        <x:v>VIS-EGKR-GEO-S26-TASK-956-P009: 9</x:v>
      </x:c>
      <x:c r="AG6656" s="87" t="str">
        <x:v>RESOLVED</x:v>
      </x:c>
      <x:c r="AH6656" s="87" t="str">
        <x:v>CROP_VERIFIED</x:v>
      </x:c>
      <x:c r="AI6656" s="30"/>
      <x:c r="AJ6656" s="87" t="str">
        <x:v>clean</x:v>
      </x:c>
      <x:c r="AK6656" s="87" t="str">
        <x:v>clean-v0.26</x:v>
      </x:c>
      <x:c r="AL6656" s="87" t="str">
        <x:v>statgrad_clean_continuation_v0_26(1)(1).xlsx</x:v>
      </x:c>
      <x:c r="AM6656" s="87" t="str">
        <x:v>GEO_EGKR_S26_956</x:v>
      </x:c>
      <x:c r="AN6656" s="87" t="n">
        <x:v>24</x:v>
      </x:c>
    </x:row>
    <x:row r="6657">
      <x:c r="A6657" s="87" t="n">
        <x:v>6656</x:v>
      </x:c>
      <x:c r="B6657" s="87" t="str">
        <x:v>EGKR-S26-GEO-956-26</x:v>
      </x:c>
      <x:c r="C6657" s="87" t="str">
        <x:v>ЕГКР</x:v>
      </x:c>
      <x:c r="D6657" s="87"/>
      <x:c r="E6657" s="87" t="str">
        <x:v>Весна 2026</x:v>
      </x:c>
      <x:c r="F6657" s="87" t="str">
        <x:v>16.04.2026</x:v>
      </x:c>
      <x:c r="G6657" s="87" t="str">
        <x:v>География</x:v>
      </x:c>
      <x:c r="H6657" s="87" t="n">
        <x:v>11</x:v>
      </x:c>
      <x:c r="I6657" s="87"/>
      <x:c r="J6657" s="87" t="str">
        <x:v>956</x:v>
      </x:c>
      <x:c r="K6657" s="87" t="n">
        <x:v>26</x:v>
      </x:c>
      <x:c r="L6657" s="87" t="str">
        <x:v>Развёрнутый ответ</x:v>
      </x:c>
      <x:c r="M6657" s="30" t="str">
        <x:v>Объяснить температуру около 0°C в Арктике во время полярного дня.</x:v>
      </x:c>
      <x:c r="N6657" s="30" t="str">
        <x:v>Солнце даже летом находится низко над горизонтом, поэтому солнечные лучи падают под малым углом. Снег и лёд отражают большую часть радиации, а значительная доля поступающего тепла расходуется на их таяние.</x:v>
      </x:c>
      <x:c r="O6657" s="30" t="str">
        <x:v>Модель содержит требуемые вычисления и географические связи.</x:v>
      </x:c>
      <x:c r="P6657" s="30"/>
      <x:c r="Q6657" s="30" t="str">
        <x:v>Исходное условие, стандартные статистические приложения и независимая проверка.</x:v>
      </x:c>
      <x:c r="R6657" s="30" t="str">
        <x:v>NO_LOCAL_MODEL</x:v>
      </x:c>
      <x:c r="S6657" s="30"/>
      <x:c r="T6657" s="30"/>
      <x:c r="U6657" s="30" t="str">
        <x:v>Рабочая модель; официальные критерии в локальном архиве отсутствуют.</x:v>
      </x:c>
      <x:c r="V6657" s="87" t="str">
        <x:v>MODEL_READY</x:v>
      </x:c>
      <x:c r="W6657" s="87"/>
      <x:c r="X6657" s="87" t="n">
        <x:v>9</x:v>
      </x:c>
      <x:c r="Y6657" s="87"/>
      <x:c r="Z6657" s="87"/>
      <x:c r="AA6657" s="87"/>
      <x:c r="AB6657" s="87"/>
      <x:c r="AC6657" s="87" t="str">
        <x:v>VIS-EGKR-GEO-S26-TASK-956-P009</x:v>
      </x:c>
      <x:c r="AD6657" s="87"/>
      <x:c r="AE6657" s="87" t="str">
        <x:v>TASK</x:v>
      </x:c>
      <x:c r="AF6657" s="87" t="str">
        <x:v>VIS-EGKR-GEO-S26-TASK-956-P009: 9</x:v>
      </x:c>
      <x:c r="AG6657" s="87" t="str">
        <x:v>RESOLVED</x:v>
      </x:c>
      <x:c r="AH6657" s="87" t="str">
        <x:v>CROP_VERIFIED</x:v>
      </x:c>
      <x:c r="AI6657" s="30"/>
      <x:c r="AJ6657" s="87" t="str">
        <x:v>clean</x:v>
      </x:c>
      <x:c r="AK6657" s="87" t="str">
        <x:v>clean-v0.26</x:v>
      </x:c>
      <x:c r="AL6657" s="87" t="str">
        <x:v>statgrad_clean_continuation_v0_26(1)(1).xlsx</x:v>
      </x:c>
      <x:c r="AM6657" s="87" t="str">
        <x:v>GEO_EGKR_S26_956</x:v>
      </x:c>
      <x:c r="AN6657" s="87" t="n">
        <x:v>25</x:v>
      </x:c>
    </x:row>
    <x:row r="6658">
      <x:c r="A6658" s="87" t="n">
        <x:v>6657</x:v>
      </x:c>
      <x:c r="B6658" s="87" t="str">
        <x:v>EGKR-S26-GEO-956-27</x:v>
      </x:c>
      <x:c r="C6658" s="87" t="str">
        <x:v>ЕГКР</x:v>
      </x:c>
      <x:c r="D6658" s="87"/>
      <x:c r="E6658" s="87" t="str">
        <x:v>Весна 2026</x:v>
      </x:c>
      <x:c r="F6658" s="87" t="str">
        <x:v>16.04.2026</x:v>
      </x:c>
      <x:c r="G6658" s="87" t="str">
        <x:v>География</x:v>
      </x:c>
      <x:c r="H6658" s="87" t="n">
        <x:v>11</x:v>
      </x:c>
      <x:c r="I6658" s="87"/>
      <x:c r="J6658" s="87" t="str">
        <x:v>956</x:v>
      </x:c>
      <x:c r="K6658" s="87" t="n">
        <x:v>27</x:v>
      </x:c>
      <x:c r="L6658" s="87" t="str">
        <x:v>Развёрнутый ответ</x:v>
      </x:c>
      <x:c r="M6658" s="30" t="str">
        <x:v>Определить пункт по климатограмме.</x:v>
      </x:c>
      <x:c r="N6658" s="30" t="str">
        <x:v>Пункт Б — западное побережье юга Африки. Годовой ход температуры указывает на Южное полушарие, а крайне малое количество осадков — около 13 мм — соответствует пустынному климату Намиба под влиянием холодного Бенгельского течения.</x:v>
      </x:c>
      <x:c r="O6658" s="30" t="str">
        <x:v>Модель содержит требуемые вычисления и географические связи.</x:v>
      </x:c>
      <x:c r="P6658" s="30"/>
      <x:c r="Q6658" s="30" t="str">
        <x:v>Исходное условие, стандартные статистические приложения и независимая проверка.</x:v>
      </x:c>
      <x:c r="R6658" s="30" t="str">
        <x:v>NO_LOCAL_MODEL</x:v>
      </x:c>
      <x:c r="S6658" s="30"/>
      <x:c r="T6658" s="30"/>
      <x:c r="U6658" s="30" t="str">
        <x:v>Рабочая модель; официальные критерии в локальном архиве отсутствуют.</x:v>
      </x:c>
      <x:c r="V6658" s="87" t="str">
        <x:v>MODEL_READY</x:v>
      </x:c>
      <x:c r="W6658" s="87"/>
      <x:c r="X6658" s="87" t="n">
        <x:v>10</x:v>
      </x:c>
      <x:c r="Y6658" s="87"/>
      <x:c r="Z6658" s="87"/>
      <x:c r="AA6658" s="87"/>
      <x:c r="AB6658" s="87"/>
      <x:c r="AC6658" s="87" t="str">
        <x:v>VIS-EGKR-GEO-S26-TASK-956-P010</x:v>
      </x:c>
      <x:c r="AD6658" s="87"/>
      <x:c r="AE6658" s="87" t="str">
        <x:v>TASK</x:v>
      </x:c>
      <x:c r="AF6658" s="87" t="str">
        <x:v>VIS-EGKR-GEO-S26-TASK-956-P010: 10</x:v>
      </x:c>
      <x:c r="AG6658" s="87" t="str">
        <x:v>RESOLVED</x:v>
      </x:c>
      <x:c r="AH6658" s="87" t="str">
        <x:v>CROP_VERIFIED</x:v>
      </x:c>
      <x:c r="AI6658" s="30"/>
      <x:c r="AJ6658" s="87" t="str">
        <x:v>clean</x:v>
      </x:c>
      <x:c r="AK6658" s="87" t="str">
        <x:v>clean-v0.26</x:v>
      </x:c>
      <x:c r="AL6658" s="87" t="str">
        <x:v>statgrad_clean_continuation_v0_26(1)(1).xlsx</x:v>
      </x:c>
      <x:c r="AM6658" s="87" t="str">
        <x:v>GEO_EGKR_S26_956</x:v>
      </x:c>
      <x:c r="AN6658" s="87" t="n">
        <x:v>26</x:v>
      </x:c>
    </x:row>
    <x:row r="6659">
      <x:c r="A6659" s="87" t="n">
        <x:v>6658</x:v>
      </x:c>
      <x:c r="B6659" s="87" t="str">
        <x:v>EGKR-S26-GEO-956-28</x:v>
      </x:c>
      <x:c r="C6659" s="87" t="str">
        <x:v>ЕГКР</x:v>
      </x:c>
      <x:c r="D6659" s="87"/>
      <x:c r="E6659" s="87" t="str">
        <x:v>Весна 2026</x:v>
      </x:c>
      <x:c r="F6659" s="87" t="str">
        <x:v>16.04.2026</x:v>
      </x:c>
      <x:c r="G6659" s="87" t="str">
        <x:v>География</x:v>
      </x:c>
      <x:c r="H6659" s="87" t="n">
        <x:v>11</x:v>
      </x:c>
      <x:c r="I6659" s="87"/>
      <x:c r="J6659" s="87" t="str">
        <x:v>956</x:v>
      </x:c>
      <x:c r="K6659" s="87" t="n">
        <x:v>28</x:v>
      </x:c>
      <x:c r="L6659" s="87" t="str">
        <x:v>Развёрнутый ответ</x:v>
      </x:c>
      <x:c r="M6659" s="30" t="str">
        <x:v>Определить долготу по разнице солнечного времени.</x:v>
      </x:c>
      <x:c r="N6659" s="30" t="str">
        <x:v>Разница 14:20−7:40=6 ч 40 мин =100°. Точка западнее меридиана 10° в.д.: 10°−100°=90° з.д.</x:v>
      </x:c>
      <x:c r="O6659" s="30" t="str">
        <x:v>Модель содержит требуемые вычисления и географические связи.</x:v>
      </x:c>
      <x:c r="P6659" s="30"/>
      <x:c r="Q6659" s="30" t="str">
        <x:v>Исходное условие, стандартные статистические приложения и независимая проверка.</x:v>
      </x:c>
      <x:c r="R6659" s="30" t="str">
        <x:v>NO_LOCAL_MODEL</x:v>
      </x:c>
      <x:c r="S6659" s="30"/>
      <x:c r="T6659" s="30"/>
      <x:c r="U6659" s="30" t="str">
        <x:v>Рабочая модель; официальные критерии в локальном архиве отсутствуют.</x:v>
      </x:c>
      <x:c r="V6659" s="87" t="str">
        <x:v>MODEL_READY</x:v>
      </x:c>
      <x:c r="W6659" s="87"/>
      <x:c r="X6659" s="87" t="n">
        <x:v>10</x:v>
      </x:c>
      <x:c r="Y6659" s="87"/>
      <x:c r="Z6659" s="87"/>
      <x:c r="AA6659" s="87"/>
      <x:c r="AB6659" s="87"/>
      <x:c r="AC6659" s="87" t="str">
        <x:v>VIS-EGKR-GEO-S26-TASK-956-P010</x:v>
      </x:c>
      <x:c r="AD6659" s="87"/>
      <x:c r="AE6659" s="87" t="str">
        <x:v>TASK</x:v>
      </x:c>
      <x:c r="AF6659" s="87" t="str">
        <x:v>VIS-EGKR-GEO-S26-TASK-956-P010: 10</x:v>
      </x:c>
      <x:c r="AG6659" s="87" t="str">
        <x:v>RESOLVED</x:v>
      </x:c>
      <x:c r="AH6659" s="87" t="str">
        <x:v>CROP_VERIFIED</x:v>
      </x:c>
      <x:c r="AI6659" s="30"/>
      <x:c r="AJ6659" s="87" t="str">
        <x:v>clean</x:v>
      </x:c>
      <x:c r="AK6659" s="87" t="str">
        <x:v>clean-v0.26</x:v>
      </x:c>
      <x:c r="AL6659" s="87" t="str">
        <x:v>statgrad_clean_continuation_v0_26(1)(1).xlsx</x:v>
      </x:c>
      <x:c r="AM6659" s="87" t="str">
        <x:v>GEO_EGKR_S26_956</x:v>
      </x:c>
      <x:c r="AN6659" s="87" t="n">
        <x:v>27</x:v>
      </x:c>
    </x:row>
    <x:row r="6660">
      <x:c r="A6660" s="87" t="n">
        <x:v>6659</x:v>
      </x:c>
      <x:c r="B6660" s="87" t="str">
        <x:v>EGKR-S26-GEO-956-29</x:v>
      </x:c>
      <x:c r="C6660" s="87" t="str">
        <x:v>ЕГКР</x:v>
      </x:c>
      <x:c r="D6660" s="87"/>
      <x:c r="E6660" s="87" t="str">
        <x:v>Весна 2026</x:v>
      </x:c>
      <x:c r="F6660" s="87" t="str">
        <x:v>16.04.2026</x:v>
      </x:c>
      <x:c r="G6660" s="87" t="str">
        <x:v>География</x:v>
      </x:c>
      <x:c r="H6660" s="87" t="n">
        <x:v>11</x:v>
      </x:c>
      <x:c r="I6660" s="87"/>
      <x:c r="J6660" s="87" t="str">
        <x:v>956</x:v>
      </x:c>
      <x:c r="K6660" s="87" t="n">
        <x:v>29</x:v>
      </x:c>
      <x:c r="L6660" s="87" t="str">
        <x:v>Развёрнутый ответ</x:v>
      </x:c>
      <x:c r="M6660" s="30" t="str">
        <x:v>Сравнить режим реки Красноярского и Приморского краёв.</x:v>
      </x:c>
      <x:c r="N6660" s="30" t="str">
        <x:v>На гидрографе выражено весеннее половодье от таяния снега, характерное для рек континентальной Сибири и Красноярского края. В Приморье муссонный климат вызывает основной подъём воды летом из-за обильных дождей, поэтому точка зрения Светы неверна.</x:v>
      </x:c>
      <x:c r="O6660" s="30" t="str">
        <x:v>Модель содержит требуемые вычисления и географические связи.</x:v>
      </x:c>
      <x:c r="P6660" s="30"/>
      <x:c r="Q6660" s="30" t="str">
        <x:v>Исходное условие, стандартные статистические приложения и независимая проверка.</x:v>
      </x:c>
      <x:c r="R6660" s="30" t="str">
        <x:v>NO_LOCAL_MODEL</x:v>
      </x:c>
      <x:c r="S6660" s="30"/>
      <x:c r="T6660" s="30"/>
      <x:c r="U6660" s="30" t="str">
        <x:v>Рабочая модель; официальные критерии в локальном архиве отсутствуют.</x:v>
      </x:c>
      <x:c r="V6660" s="87" t="str">
        <x:v>MODEL_READY</x:v>
      </x:c>
      <x:c r="W6660" s="87"/>
      <x:c r="X6660" s="87" t="n">
        <x:v>10</x:v>
      </x:c>
      <x:c r="Y6660" s="87"/>
      <x:c r="Z6660" s="87"/>
      <x:c r="AA6660" s="87"/>
      <x:c r="AB6660" s="87"/>
      <x:c r="AC6660" s="87" t="str">
        <x:v>VIS-EGKR-GEO-S26-TASK-956-P010</x:v>
      </x:c>
      <x:c r="AD6660" s="87"/>
      <x:c r="AE6660" s="87" t="str">
        <x:v>TASK</x:v>
      </x:c>
      <x:c r="AF6660" s="87" t="str">
        <x:v>VIS-EGKR-GEO-S26-TASK-956-P010: 10</x:v>
      </x:c>
      <x:c r="AG6660" s="87" t="str">
        <x:v>RESOLVED</x:v>
      </x:c>
      <x:c r="AH6660" s="87" t="str">
        <x:v>CROP_VERIFIED</x:v>
      </x:c>
      <x:c r="AI6660" s="30"/>
      <x:c r="AJ6660" s="87" t="str">
        <x:v>clean</x:v>
      </x:c>
      <x:c r="AK6660" s="87" t="str">
        <x:v>clean-v0.26</x:v>
      </x:c>
      <x:c r="AL6660" s="87" t="str">
        <x:v>statgrad_clean_continuation_v0_26(1)(1).xlsx</x:v>
      </x:c>
      <x:c r="AM6660" s="87" t="str">
        <x:v>GEO_EGKR_S26_956</x:v>
      </x:c>
      <x:c r="AN6660" s="87" t="n">
        <x:v>28</x:v>
      </x:c>
    </x:row>
    <x:row r="6661">
      <x:c r="A6661" s="87" t="n">
        <x:v>6660</x:v>
      </x:c>
      <x:c r="B6661" s="87" t="str">
        <x:v>EGKR-S26-CHEM-954-01</x:v>
      </x:c>
      <x:c r="C6661" s="87" t="str">
        <x:v>ЕГКР</x:v>
      </x:c>
      <x:c r="D6661" s="87"/>
      <x:c r="E6661" s="87" t="str">
        <x:v>Весна 2026</x:v>
      </x:c>
      <x:c r="F6661" s="87" t="str">
        <x:v>16.04.2026</x:v>
      </x:c>
      <x:c r="G6661" s="87" t="str">
        <x:v>Химия</x:v>
      </x:c>
      <x:c r="H6661" s="87" t="n">
        <x:v>11</x:v>
      </x:c>
      <x:c r="I6661" s="87"/>
      <x:c r="J6661" s="87" t="str">
        <x:v>954</x:v>
      </x:c>
      <x:c r="K6661" s="87" t="n">
        <x:v>1</x:v>
      </x:c>
      <x:c r="L6661" s="87" t="str">
        <x:v>Строение атома и периодическая система</x:v>
      </x:c>
      <x:c r="M6661" s="30" t="str">
        <x:v>Задание линии 1: Строение атома и периодическая система. Полная формулировка и все таблицы/формулы сохранены на странице по VIS_ID.</x:v>
      </x:c>
      <x:c r="N6661" s="30" t="str">
        <x:v>34</x:v>
      </x:c>
      <x:c r="O6661" s="30" t="str">
        <x:v>Ответ проверен по исходной формулировке и химическим закономерностям.</x:v>
      </x:c>
      <x:c r="P6661" s="30"/>
      <x:c r="Q6661" s="30" t="str">
        <x:v>Полная исходная страница + независимая химическая проверка + аудит DOCX.</x:v>
      </x:c>
      <x:c r="R6661" s="30" t="str">
        <x:v>34</x:v>
      </x:c>
      <x:c r="S6661" s="30"/>
      <x:c r="T6661" s="30"/>
      <x:c r="U6661" s="30" t="str">
        <x:v>Расхождений не выявлено.</x:v>
      </x:c>
      <x:c r="V6661" s="87" t="str">
        <x:v>VERIFIED</x:v>
      </x:c>
      <x:c r="W6661" s="87"/>
      <x:c r="X6661" s="87" t="n">
        <x:v>1</x:v>
      </x:c>
      <x:c r="Y6661" s="87"/>
      <x:c r="Z6661" s="87"/>
      <x:c r="AA6661" s="87"/>
      <x:c r="AB6661" s="87"/>
      <x:c r="AC6661" s="87" t="str">
        <x:v>VIS-EGKR-CHEM-S26-TASK-954-P001</x:v>
      </x:c>
      <x:c r="AD6661" s="87" t="str">
        <x:v>VIS-EGKR-CHEM-S26-ANSWERDOC-P001</x:v>
      </x:c>
      <x:c r="AE6661" s="87" t="str">
        <x:v>TASK_SPREAD; SECONDARY_ANSWER_SOURCE</x:v>
      </x:c>
      <x:c r="AF6661" s="87" t="str">
        <x:v>VIS-EGKR-CHEM-S26-TASK-954-P001: 1; VIS-EGKR-CHEM-S26-ANSWERDOC-P001: 1</x:v>
      </x:c>
      <x:c r="AG6661" s="87" t="str">
        <x:v>RESOLVED</x:v>
      </x:c>
      <x:c r="AH6661" s="87" t="str">
        <x:v>CROP_VERIFIED</x:v>
      </x:c>
      <x:c r="AI6661" s="30"/>
      <x:c r="AJ6661" s="87" t="str">
        <x:v>clean</x:v>
      </x:c>
      <x:c r="AK6661" s="87" t="str">
        <x:v>clean-v0.27</x:v>
      </x:c>
      <x:c r="AL6661" s="87" t="str">
        <x:v>statgrad_clean_continuation_v0_27(1).xlsx</x:v>
      </x:c>
      <x:c r="AM6661" s="87" t="str">
        <x:v>CHEM_EGKR_S26_954</x:v>
      </x:c>
      <x:c r="AN6661" s="87" t="n">
        <x:v>2</x:v>
      </x:c>
    </x:row>
    <x:row r="6662">
      <x:c r="A6662" s="87" t="n">
        <x:v>6661</x:v>
      </x:c>
      <x:c r="B6662" s="87" t="str">
        <x:v>EGKR-S26-CHEM-954-02</x:v>
      </x:c>
      <x:c r="C6662" s="87" t="str">
        <x:v>ЕГКР</x:v>
      </x:c>
      <x:c r="D6662" s="87"/>
      <x:c r="E6662" s="87" t="str">
        <x:v>Весна 2026</x:v>
      </x:c>
      <x:c r="F6662" s="87" t="str">
        <x:v>16.04.2026</x:v>
      </x:c>
      <x:c r="G6662" s="87" t="str">
        <x:v>Химия</x:v>
      </x:c>
      <x:c r="H6662" s="87" t="n">
        <x:v>11</x:v>
      </x:c>
      <x:c r="I6662" s="87"/>
      <x:c r="J6662" s="87" t="str">
        <x:v>954</x:v>
      </x:c>
      <x:c r="K6662" s="87" t="n">
        <x:v>2</x:v>
      </x:c>
      <x:c r="L6662" s="87" t="str">
        <x:v>Периодические свойства</x:v>
      </x:c>
      <x:c r="M6662" s="30" t="str">
        <x:v>Задание линии 2: Периодические свойства. Полная формулировка и все таблицы/формулы сохранены на странице по VIS_ID.</x:v>
      </x:c>
      <x:c r="N6662" s="30" t="str">
        <x:v>324</x:v>
      </x:c>
      <x:c r="O6662" s="30" t="str">
        <x:v>Ответ проверен по исходной формулировке и химическим закономерностям.</x:v>
      </x:c>
      <x:c r="P6662" s="30"/>
      <x:c r="Q6662" s="30" t="str">
        <x:v>Полная исходная страница + независимая химическая проверка + аудит DOCX.</x:v>
      </x:c>
      <x:c r="R6662" s="30" t="str">
        <x:v>324</x:v>
      </x:c>
      <x:c r="S6662" s="30"/>
      <x:c r="T6662" s="30"/>
      <x:c r="U6662" s="30" t="str">
        <x:v>Расхождений не выявлено.</x:v>
      </x:c>
      <x:c r="V6662" s="87" t="str">
        <x:v>VERIFIED</x:v>
      </x:c>
      <x:c r="W6662" s="87"/>
      <x:c r="X6662" s="87" t="n">
        <x:v>1</x:v>
      </x:c>
      <x:c r="Y6662" s="87"/>
      <x:c r="Z6662" s="87"/>
      <x:c r="AA6662" s="87"/>
      <x:c r="AB6662" s="87"/>
      <x:c r="AC6662" s="87" t="str">
        <x:v>VIS-EGKR-CHEM-S26-TASK-954-P001</x:v>
      </x:c>
      <x:c r="AD6662" s="87" t="str">
        <x:v>VIS-EGKR-CHEM-S26-ANSWERDOC-P001</x:v>
      </x:c>
      <x:c r="AE6662" s="87" t="str">
        <x:v>TASK_SPREAD; SECONDARY_ANSWER_SOURCE</x:v>
      </x:c>
      <x:c r="AF6662" s="87" t="str">
        <x:v>VIS-EGKR-CHEM-S26-TASK-954-P001: 1; VIS-EGKR-CHEM-S26-ANSWERDOC-P001: 1</x:v>
      </x:c>
      <x:c r="AG6662" s="87" t="str">
        <x:v>RESOLVED</x:v>
      </x:c>
      <x:c r="AH6662" s="87" t="str">
        <x:v>CROP_VERIFIED</x:v>
      </x:c>
      <x:c r="AI6662" s="30"/>
      <x:c r="AJ6662" s="87" t="str">
        <x:v>clean</x:v>
      </x:c>
      <x:c r="AK6662" s="87" t="str">
        <x:v>clean-v0.27</x:v>
      </x:c>
      <x:c r="AL6662" s="87" t="str">
        <x:v>statgrad_clean_continuation_v0_27(1).xlsx</x:v>
      </x:c>
      <x:c r="AM6662" s="87" t="str">
        <x:v>CHEM_EGKR_S26_954</x:v>
      </x:c>
      <x:c r="AN6662" s="87" t="n">
        <x:v>3</x:v>
      </x:c>
    </x:row>
    <x:row r="6663">
      <x:c r="A6663" s="87" t="n">
        <x:v>6662</x:v>
      </x:c>
      <x:c r="B6663" s="87" t="str">
        <x:v>EGKR-S26-CHEM-954-03</x:v>
      </x:c>
      <x:c r="C6663" s="87" t="str">
        <x:v>ЕГКР</x:v>
      </x:c>
      <x:c r="D6663" s="87"/>
      <x:c r="E6663" s="87" t="str">
        <x:v>Весна 2026</x:v>
      </x:c>
      <x:c r="F6663" s="87" t="str">
        <x:v>16.04.2026</x:v>
      </x:c>
      <x:c r="G6663" s="87" t="str">
        <x:v>Химия</x:v>
      </x:c>
      <x:c r="H6663" s="87" t="n">
        <x:v>11</x:v>
      </x:c>
      <x:c r="I6663" s="87"/>
      <x:c r="J6663" s="87" t="str">
        <x:v>954</x:v>
      </x:c>
      <x:c r="K6663" s="87" t="n">
        <x:v>3</x:v>
      </x:c>
      <x:c r="L6663" s="87" t="str">
        <x:v>Степени окисления</x:v>
      </x:c>
      <x:c r="M6663" s="30" t="str">
        <x:v>Задание линии 3: Степени окисления. Полная формулировка и все таблицы/формулы сохранены на странице по VIS_ID.</x:v>
      </x:c>
      <x:c r="N6663" s="30" t="str">
        <x:v>24</x:v>
      </x:c>
      <x:c r="O6663" s="30" t="str">
        <x:v>Ответ проверен по исходной формулировке и химическим закономерностям.</x:v>
      </x:c>
      <x:c r="P6663" s="30"/>
      <x:c r="Q6663" s="30" t="str">
        <x:v>Полная исходная страница + независимая химическая проверка + аудит DOCX.</x:v>
      </x:c>
      <x:c r="R6663" s="30" t="str">
        <x:v>24</x:v>
      </x:c>
      <x:c r="S6663" s="30"/>
      <x:c r="T6663" s="30"/>
      <x:c r="U6663" s="30" t="str">
        <x:v>Расхождений не выявлено.</x:v>
      </x:c>
      <x:c r="V6663" s="87" t="str">
        <x:v>VERIFIED</x:v>
      </x:c>
      <x:c r="W6663" s="87"/>
      <x:c r="X6663" s="87" t="n">
        <x:v>1</x:v>
      </x:c>
      <x:c r="Y6663" s="87"/>
      <x:c r="Z6663" s="87"/>
      <x:c r="AA6663" s="87"/>
      <x:c r="AB6663" s="87"/>
      <x:c r="AC6663" s="87" t="str">
        <x:v>VIS-EGKR-CHEM-S26-TASK-954-P001</x:v>
      </x:c>
      <x:c r="AD6663" s="87" t="str">
        <x:v>VIS-EGKR-CHEM-S26-ANSWERDOC-P001</x:v>
      </x:c>
      <x:c r="AE6663" s="87" t="str">
        <x:v>TASK_SPREAD; SECONDARY_ANSWER_SOURCE</x:v>
      </x:c>
      <x:c r="AF6663" s="87" t="str">
        <x:v>VIS-EGKR-CHEM-S26-TASK-954-P001: 1; VIS-EGKR-CHEM-S26-ANSWERDOC-P001: 1</x:v>
      </x:c>
      <x:c r="AG6663" s="87" t="str">
        <x:v>RESOLVED</x:v>
      </x:c>
      <x:c r="AH6663" s="87" t="str">
        <x:v>CROP_VERIFIED</x:v>
      </x:c>
      <x:c r="AI6663" s="30"/>
      <x:c r="AJ6663" s="87" t="str">
        <x:v>clean</x:v>
      </x:c>
      <x:c r="AK6663" s="87" t="str">
        <x:v>clean-v0.27</x:v>
      </x:c>
      <x:c r="AL6663" s="87" t="str">
        <x:v>statgrad_clean_continuation_v0_27(1).xlsx</x:v>
      </x:c>
      <x:c r="AM6663" s="87" t="str">
        <x:v>CHEM_EGKR_S26_954</x:v>
      </x:c>
      <x:c r="AN6663" s="87" t="n">
        <x:v>4</x:v>
      </x:c>
    </x:row>
    <x:row r="6664">
      <x:c r="A6664" s="87" t="n">
        <x:v>6663</x:v>
      </x:c>
      <x:c r="B6664" s="87" t="str">
        <x:v>EGKR-S26-CHEM-954-04</x:v>
      </x:c>
      <x:c r="C6664" s="87" t="str">
        <x:v>ЕГКР</x:v>
      </x:c>
      <x:c r="D6664" s="87"/>
      <x:c r="E6664" s="87" t="str">
        <x:v>Весна 2026</x:v>
      </x:c>
      <x:c r="F6664" s="87" t="str">
        <x:v>16.04.2026</x:v>
      </x:c>
      <x:c r="G6664" s="87" t="str">
        <x:v>Химия</x:v>
      </x:c>
      <x:c r="H6664" s="87" t="n">
        <x:v>11</x:v>
      </x:c>
      <x:c r="I6664" s="87"/>
      <x:c r="J6664" s="87" t="str">
        <x:v>954</x:v>
      </x:c>
      <x:c r="K6664" s="87" t="n">
        <x:v>4</x:v>
      </x:c>
      <x:c r="L6664" s="87" t="str">
        <x:v>Химическая связь и строение вещества</x:v>
      </x:c>
      <x:c r="M6664" s="30" t="str">
        <x:v>Задание линии 4: Химическая связь и строение вещества. Полная формулировка и все таблицы/формулы сохранены на странице по VIS_ID.</x:v>
      </x:c>
      <x:c r="N6664" s="30" t="str">
        <x:v>13</x:v>
      </x:c>
      <x:c r="O6664" s="30" t="str">
        <x:v>Ответ проверен по исходной формулировке и химическим закономерностям.</x:v>
      </x:c>
      <x:c r="P6664" s="30"/>
      <x:c r="Q6664" s="30" t="str">
        <x:v>Полная исходная страница + независимая химическая проверка + аудит DOCX.</x:v>
      </x:c>
      <x:c r="R6664" s="30" t="str">
        <x:v>13</x:v>
      </x:c>
      <x:c r="S6664" s="30"/>
      <x:c r="T6664" s="30"/>
      <x:c r="U6664" s="30" t="str">
        <x:v>Расхождений не выявлено.</x:v>
      </x:c>
      <x:c r="V6664" s="87" t="str">
        <x:v>VERIFIED</x:v>
      </x:c>
      <x:c r="W6664" s="87"/>
      <x:c r="X6664" s="87" t="n">
        <x:v>2</x:v>
      </x:c>
      <x:c r="Y6664" s="87"/>
      <x:c r="Z6664" s="87"/>
      <x:c r="AA6664" s="87"/>
      <x:c r="AB6664" s="87"/>
      <x:c r="AC6664" s="87" t="str">
        <x:v>VIS-EGKR-CHEM-S26-TASK-954-P002</x:v>
      </x:c>
      <x:c r="AD6664" s="87" t="str">
        <x:v>VIS-EGKR-CHEM-S26-ANSWERDOC-P001</x:v>
      </x:c>
      <x:c r="AE6664" s="87" t="str">
        <x:v>TASK_SPREAD; SECONDARY_ANSWER_SOURCE</x:v>
      </x:c>
      <x:c r="AF6664" s="87" t="str">
        <x:v>VIS-EGKR-CHEM-S26-TASK-954-P002: 2; VIS-EGKR-CHEM-S26-ANSWERDOC-P001: 1</x:v>
      </x:c>
      <x:c r="AG6664" s="87" t="str">
        <x:v>RESOLVED</x:v>
      </x:c>
      <x:c r="AH6664" s="87" t="str">
        <x:v>CROP_VERIFIED</x:v>
      </x:c>
      <x:c r="AI6664" s="30"/>
      <x:c r="AJ6664" s="87" t="str">
        <x:v>clean</x:v>
      </x:c>
      <x:c r="AK6664" s="87" t="str">
        <x:v>clean-v0.27</x:v>
      </x:c>
      <x:c r="AL6664" s="87" t="str">
        <x:v>statgrad_clean_continuation_v0_27(1).xlsx</x:v>
      </x:c>
      <x:c r="AM6664" s="87" t="str">
        <x:v>CHEM_EGKR_S26_954</x:v>
      </x:c>
      <x:c r="AN6664" s="87" t="n">
        <x:v>5</x:v>
      </x:c>
    </x:row>
    <x:row r="6665">
      <x:c r="A6665" s="87" t="n">
        <x:v>6664</x:v>
      </x:c>
      <x:c r="B6665" s="87" t="str">
        <x:v>EGKR-S26-CHEM-954-05</x:v>
      </x:c>
      <x:c r="C6665" s="87" t="str">
        <x:v>ЕГКР</x:v>
      </x:c>
      <x:c r="D6665" s="87"/>
      <x:c r="E6665" s="87" t="str">
        <x:v>Весна 2026</x:v>
      </x:c>
      <x:c r="F6665" s="87" t="str">
        <x:v>16.04.2026</x:v>
      </x:c>
      <x:c r="G6665" s="87" t="str">
        <x:v>Химия</x:v>
      </x:c>
      <x:c r="H6665" s="87" t="n">
        <x:v>11</x:v>
      </x:c>
      <x:c r="I6665" s="87"/>
      <x:c r="J6665" s="87" t="str">
        <x:v>954</x:v>
      </x:c>
      <x:c r="K6665" s="87" t="n">
        <x:v>5</x:v>
      </x:c>
      <x:c r="L6665" s="87" t="str">
        <x:v>Классы неорганических веществ</x:v>
      </x:c>
      <x:c r="M6665" s="30" t="str">
        <x:v>Задание линии 5: Классы неорганических веществ. Полная формулировка и все таблицы/формулы сохранены на странице по VIS_ID.</x:v>
      </x:c>
      <x:c r="N6665" s="30" t="str">
        <x:v>934</x:v>
      </x:c>
      <x:c r="O6665" s="30" t="str">
        <x:v>Ответ проверен по исходной формулировке и химическим закономерностям.</x:v>
      </x:c>
      <x:c r="P6665" s="30"/>
      <x:c r="Q6665" s="30" t="str">
        <x:v>Полная исходная страница + независимая химическая проверка + аудит DOCX.</x:v>
      </x:c>
      <x:c r="R6665" s="30" t="str">
        <x:v>934</x:v>
      </x:c>
      <x:c r="S6665" s="30"/>
      <x:c r="T6665" s="30"/>
      <x:c r="U6665" s="30" t="str">
        <x:v>Расхождений не выявлено.</x:v>
      </x:c>
      <x:c r="V6665" s="87" t="str">
        <x:v>VERIFIED</x:v>
      </x:c>
      <x:c r="W6665" s="87"/>
      <x:c r="X6665" s="87" t="n">
        <x:v>2</x:v>
      </x:c>
      <x:c r="Y6665" s="87"/>
      <x:c r="Z6665" s="87"/>
      <x:c r="AA6665" s="87"/>
      <x:c r="AB6665" s="87"/>
      <x:c r="AC6665" s="87" t="str">
        <x:v>VIS-EGKR-CHEM-S26-TASK-954-P002</x:v>
      </x:c>
      <x:c r="AD6665" s="87" t="str">
        <x:v>VIS-EGKR-CHEM-S26-ANSWERDOC-P001</x:v>
      </x:c>
      <x:c r="AE6665" s="87" t="str">
        <x:v>TASK_SPREAD; SECONDARY_ANSWER_SOURCE</x:v>
      </x:c>
      <x:c r="AF6665" s="87" t="str">
        <x:v>VIS-EGKR-CHEM-S26-TASK-954-P002: 2; VIS-EGKR-CHEM-S26-ANSWERDOC-P001: 1</x:v>
      </x:c>
      <x:c r="AG6665" s="87" t="str">
        <x:v>RESOLVED</x:v>
      </x:c>
      <x:c r="AH6665" s="87" t="str">
        <x:v>CROP_VERIFIED</x:v>
      </x:c>
      <x:c r="AI6665" s="30"/>
      <x:c r="AJ6665" s="87" t="str">
        <x:v>clean</x:v>
      </x:c>
      <x:c r="AK6665" s="87" t="str">
        <x:v>clean-v0.27</x:v>
      </x:c>
      <x:c r="AL6665" s="87" t="str">
        <x:v>statgrad_clean_continuation_v0_27(1).xlsx</x:v>
      </x:c>
      <x:c r="AM6665" s="87" t="str">
        <x:v>CHEM_EGKR_S26_954</x:v>
      </x:c>
      <x:c r="AN6665" s="87" t="n">
        <x:v>6</x:v>
      </x:c>
    </x:row>
    <x:row r="6666">
      <x:c r="A6666" s="87" t="n">
        <x:v>6665</x:v>
      </x:c>
      <x:c r="B6666" s="87" t="str">
        <x:v>EGKR-S26-CHEM-954-06</x:v>
      </x:c>
      <x:c r="C6666" s="87" t="str">
        <x:v>ЕГКР</x:v>
      </x:c>
      <x:c r="D6666" s="87"/>
      <x:c r="E6666" s="87" t="str">
        <x:v>Весна 2026</x:v>
      </x:c>
      <x:c r="F6666" s="87" t="str">
        <x:v>16.04.2026</x:v>
      </x:c>
      <x:c r="G6666" s="87" t="str">
        <x:v>Химия</x:v>
      </x:c>
      <x:c r="H6666" s="87" t="n">
        <x:v>11</x:v>
      </x:c>
      <x:c r="I6666" s="87"/>
      <x:c r="J6666" s="87" t="str">
        <x:v>954</x:v>
      </x:c>
      <x:c r="K6666" s="87" t="n">
        <x:v>6</x:v>
      </x:c>
      <x:c r="L6666" s="87" t="str">
        <x:v>Качественные реакции</x:v>
      </x:c>
      <x:c r="M6666" s="30" t="str">
        <x:v>Задание линии 6: Качественные реакции. Полная формулировка и все таблицы/формулы сохранены на странице по VIS_ID.</x:v>
      </x:c>
      <x:c r="N6666" s="30" t="str">
        <x:v>53</x:v>
      </x:c>
      <x:c r="O6666" s="30" t="str">
        <x:v>Ответ проверен по исходной формулировке и химическим закономерностям.</x:v>
      </x:c>
      <x:c r="P6666" s="30"/>
      <x:c r="Q6666" s="30" t="str">
        <x:v>Полная исходная страница + независимая химическая проверка + аудит DOCX.</x:v>
      </x:c>
      <x:c r="R6666" s="30" t="str">
        <x:v>53</x:v>
      </x:c>
      <x:c r="S6666" s="30"/>
      <x:c r="T6666" s="30"/>
      <x:c r="U6666" s="30" t="str">
        <x:v>Расхождений не выявлено.</x:v>
      </x:c>
      <x:c r="V6666" s="87" t="str">
        <x:v>VERIFIED</x:v>
      </x:c>
      <x:c r="W6666" s="87"/>
      <x:c r="X6666" s="87" t="n">
        <x:v>2</x:v>
      </x:c>
      <x:c r="Y6666" s="87"/>
      <x:c r="Z6666" s="87"/>
      <x:c r="AA6666" s="87"/>
      <x:c r="AB6666" s="87"/>
      <x:c r="AC6666" s="87" t="str">
        <x:v>VIS-EGKR-CHEM-S26-TASK-954-P002</x:v>
      </x:c>
      <x:c r="AD6666" s="87" t="str">
        <x:v>VIS-EGKR-CHEM-S26-ANSWERDOC-P001</x:v>
      </x:c>
      <x:c r="AE6666" s="87" t="str">
        <x:v>TASK_SPREAD; SECONDARY_ANSWER_SOURCE</x:v>
      </x:c>
      <x:c r="AF6666" s="87" t="str">
        <x:v>VIS-EGKR-CHEM-S26-TASK-954-P002: 2; VIS-EGKR-CHEM-S26-ANSWERDOC-P001: 1</x:v>
      </x:c>
      <x:c r="AG6666" s="87" t="str">
        <x:v>RESOLVED</x:v>
      </x:c>
      <x:c r="AH6666" s="87" t="str">
        <x:v>CROP_VERIFIED</x:v>
      </x:c>
      <x:c r="AI6666" s="30"/>
      <x:c r="AJ6666" s="87" t="str">
        <x:v>clean</x:v>
      </x:c>
      <x:c r="AK6666" s="87" t="str">
        <x:v>clean-v0.27</x:v>
      </x:c>
      <x:c r="AL6666" s="87" t="str">
        <x:v>statgrad_clean_continuation_v0_27(1).xlsx</x:v>
      </x:c>
      <x:c r="AM6666" s="87" t="str">
        <x:v>CHEM_EGKR_S26_954</x:v>
      </x:c>
      <x:c r="AN6666" s="87" t="n">
        <x:v>7</x:v>
      </x:c>
    </x:row>
    <x:row r="6667">
      <x:c r="A6667" s="87" t="n">
        <x:v>6666</x:v>
      </x:c>
      <x:c r="B6667" s="87" t="str">
        <x:v>EGKR-S26-CHEM-954-07</x:v>
      </x:c>
      <x:c r="C6667" s="87" t="str">
        <x:v>ЕГКР</x:v>
      </x:c>
      <x:c r="D6667" s="87"/>
      <x:c r="E6667" s="87" t="str">
        <x:v>Весна 2026</x:v>
      </x:c>
      <x:c r="F6667" s="87" t="str">
        <x:v>16.04.2026</x:v>
      </x:c>
      <x:c r="G6667" s="87" t="str">
        <x:v>Химия</x:v>
      </x:c>
      <x:c r="H6667" s="87" t="n">
        <x:v>11</x:v>
      </x:c>
      <x:c r="I6667" s="87"/>
      <x:c r="J6667" s="87" t="str">
        <x:v>954</x:v>
      </x:c>
      <x:c r="K6667" s="87" t="n">
        <x:v>7</x:v>
      </x:c>
      <x:c r="L6667" s="87" t="str">
        <x:v>Неорганические превращения / реагенты</x:v>
      </x:c>
      <x:c r="M6667" s="30" t="str">
        <x:v>Задание линии 7: Неорганические превращения / реагенты. Полная формулировка и все таблицы/формулы сохранены на странице по VIS_ID.</x:v>
      </x:c>
      <x:c r="N6667" s="30" t="str">
        <x:v>4242</x:v>
      </x:c>
      <x:c r="O6667" s="30" t="str">
        <x:v>Ответ проверен по исходной формулировке и химическим закономерностям.</x:v>
      </x:c>
      <x:c r="P6667" s="30"/>
      <x:c r="Q6667" s="30" t="str">
        <x:v>Полная исходная страница + независимая химическая проверка + аудит DOCX.</x:v>
      </x:c>
      <x:c r="R6667" s="30" t="str">
        <x:v>4242</x:v>
      </x:c>
      <x:c r="S6667" s="30"/>
      <x:c r="T6667" s="30"/>
      <x:c r="U6667" s="30" t="str">
        <x:v>Расхождений не выявлено.</x:v>
      </x:c>
      <x:c r="V6667" s="87" t="str">
        <x:v>VERIFIED</x:v>
      </x:c>
      <x:c r="W6667" s="87"/>
      <x:c r="X6667" s="87" t="n">
        <x:v>2</x:v>
      </x:c>
      <x:c r="Y6667" s="87"/>
      <x:c r="Z6667" s="87"/>
      <x:c r="AA6667" s="87"/>
      <x:c r="AB6667" s="87"/>
      <x:c r="AC6667" s="87" t="str">
        <x:v>VIS-EGKR-CHEM-S26-TASK-954-P002</x:v>
      </x:c>
      <x:c r="AD6667" s="87" t="str">
        <x:v>VIS-EGKR-CHEM-S26-ANSWERDOC-P001</x:v>
      </x:c>
      <x:c r="AE6667" s="87" t="str">
        <x:v>TASK_SPREAD; SECONDARY_ANSWER_SOURCE</x:v>
      </x:c>
      <x:c r="AF6667" s="87" t="str">
        <x:v>VIS-EGKR-CHEM-S26-TASK-954-P002: 2; VIS-EGKR-CHEM-S26-ANSWERDOC-P001: 1</x:v>
      </x:c>
      <x:c r="AG6667" s="87" t="str">
        <x:v>RESOLVED</x:v>
      </x:c>
      <x:c r="AH6667" s="87" t="str">
        <x:v>CROP_VERIFIED</x:v>
      </x:c>
      <x:c r="AI6667" s="30"/>
      <x:c r="AJ6667" s="87" t="str">
        <x:v>clean</x:v>
      </x:c>
      <x:c r="AK6667" s="87" t="str">
        <x:v>clean-v0.27</x:v>
      </x:c>
      <x:c r="AL6667" s="87" t="str">
        <x:v>statgrad_clean_continuation_v0_27(1).xlsx</x:v>
      </x:c>
      <x:c r="AM6667" s="87" t="str">
        <x:v>CHEM_EGKR_S26_954</x:v>
      </x:c>
      <x:c r="AN6667" s="87" t="n">
        <x:v>8</x:v>
      </x:c>
    </x:row>
    <x:row r="6668">
      <x:c r="A6668" s="87" t="n">
        <x:v>6667</x:v>
      </x:c>
      <x:c r="B6668" s="87" t="str">
        <x:v>EGKR-S26-CHEM-954-08</x:v>
      </x:c>
      <x:c r="C6668" s="87" t="str">
        <x:v>ЕГКР</x:v>
      </x:c>
      <x:c r="D6668" s="87"/>
      <x:c r="E6668" s="87" t="str">
        <x:v>Весна 2026</x:v>
      </x:c>
      <x:c r="F6668" s="87" t="str">
        <x:v>16.04.2026</x:v>
      </x:c>
      <x:c r="G6668" s="87" t="str">
        <x:v>Химия</x:v>
      </x:c>
      <x:c r="H6668" s="87" t="n">
        <x:v>11</x:v>
      </x:c>
      <x:c r="I6668" s="87"/>
      <x:c r="J6668" s="87" t="str">
        <x:v>954</x:v>
      </x:c>
      <x:c r="K6668" s="87" t="n">
        <x:v>8</x:v>
      </x:c>
      <x:c r="L6668" s="87" t="str">
        <x:v>Неорганические превращения / продукты</x:v>
      </x:c>
      <x:c r="M6668" s="30" t="str">
        <x:v>Задание линии 8: Неорганические превращения / продукты. Полная формулировка и все таблицы/формулы сохранены на странице по VIS_ID.</x:v>
      </x:c>
      <x:c r="N6668" s="30" t="str">
        <x:v>6142</x:v>
      </x:c>
      <x:c r="O6668" s="30" t="str">
        <x:v>Ответ проверен по исходной формулировке и химическим закономерностям.</x:v>
      </x:c>
      <x:c r="P6668" s="30"/>
      <x:c r="Q6668" s="30" t="str">
        <x:v>Полная исходная страница + независимая химическая проверка + аудит DOCX.</x:v>
      </x:c>
      <x:c r="R6668" s="30" t="str">
        <x:v>6142</x:v>
      </x:c>
      <x:c r="S6668" s="30"/>
      <x:c r="T6668" s="30"/>
      <x:c r="U6668" s="30" t="str">
        <x:v>Расхождений не выявлено.</x:v>
      </x:c>
      <x:c r="V6668" s="87" t="str">
        <x:v>VERIFIED</x:v>
      </x:c>
      <x:c r="W6668" s="87"/>
      <x:c r="X6668" s="87" t="n">
        <x:v>3</x:v>
      </x:c>
      <x:c r="Y6668" s="87"/>
      <x:c r="Z6668" s="87"/>
      <x:c r="AA6668" s="87"/>
      <x:c r="AB6668" s="87"/>
      <x:c r="AC6668" s="87" t="str">
        <x:v>VIS-EGKR-CHEM-S26-TASK-954-P003</x:v>
      </x:c>
      <x:c r="AD6668" s="87" t="str">
        <x:v>VIS-EGKR-CHEM-S26-ANSWERDOC-P001</x:v>
      </x:c>
      <x:c r="AE6668" s="87" t="str">
        <x:v>TASK_SPREAD; SECONDARY_ANSWER_SOURCE</x:v>
      </x:c>
      <x:c r="AF6668" s="87" t="str">
        <x:v>VIS-EGKR-CHEM-S26-TASK-954-P003: 3; VIS-EGKR-CHEM-S26-ANSWERDOC-P001: 1</x:v>
      </x:c>
      <x:c r="AG6668" s="87" t="str">
        <x:v>RESOLVED</x:v>
      </x:c>
      <x:c r="AH6668" s="87" t="str">
        <x:v>CROP_VERIFIED</x:v>
      </x:c>
      <x:c r="AI6668" s="30"/>
      <x:c r="AJ6668" s="87" t="str">
        <x:v>clean</x:v>
      </x:c>
      <x:c r="AK6668" s="87" t="str">
        <x:v>clean-v0.27</x:v>
      </x:c>
      <x:c r="AL6668" s="87" t="str">
        <x:v>statgrad_clean_continuation_v0_27(1).xlsx</x:v>
      </x:c>
      <x:c r="AM6668" s="87" t="str">
        <x:v>CHEM_EGKR_S26_954</x:v>
      </x:c>
      <x:c r="AN6668" s="87" t="n">
        <x:v>9</x:v>
      </x:c>
    </x:row>
    <x:row r="6669">
      <x:c r="A6669" s="87" t="n">
        <x:v>6668</x:v>
      </x:c>
      <x:c r="B6669" s="87" t="str">
        <x:v>EGKR-S26-CHEM-954-09</x:v>
      </x:c>
      <x:c r="C6669" s="87" t="str">
        <x:v>ЕГКР</x:v>
      </x:c>
      <x:c r="D6669" s="87"/>
      <x:c r="E6669" s="87" t="str">
        <x:v>Весна 2026</x:v>
      </x:c>
      <x:c r="F6669" s="87" t="str">
        <x:v>16.04.2026</x:v>
      </x:c>
      <x:c r="G6669" s="87" t="str">
        <x:v>Химия</x:v>
      </x:c>
      <x:c r="H6669" s="87" t="n">
        <x:v>11</x:v>
      </x:c>
      <x:c r="I6669" s="87"/>
      <x:c r="J6669" s="87" t="str">
        <x:v>954</x:v>
      </x:c>
      <x:c r="K6669" s="87" t="n">
        <x:v>9</x:v>
      </x:c>
      <x:c r="L6669" s="87" t="str">
        <x:v>Цепочка неорганических превращений</x:v>
      </x:c>
      <x:c r="M6669" s="30" t="str">
        <x:v>Задание линии 9: Цепочка неорганических превращений. Полная формулировка и все таблицы/формулы сохранены на странице по VIS_ID.</x:v>
      </x:c>
      <x:c r="N6669" s="30" t="str">
        <x:v>53</x:v>
      </x:c>
      <x:c r="O6669" s="30" t="str">
        <x:v>Ответ проверен по исходной формулировке и химическим закономерностям.</x:v>
      </x:c>
      <x:c r="P6669" s="30"/>
      <x:c r="Q6669" s="30" t="str">
        <x:v>Полная исходная страница + независимая химическая проверка + аудит DOCX.</x:v>
      </x:c>
      <x:c r="R6669" s="30" t="str">
        <x:v>53</x:v>
      </x:c>
      <x:c r="S6669" s="30"/>
      <x:c r="T6669" s="30"/>
      <x:c r="U6669" s="30" t="str">
        <x:v>Расхождений не выявлено.</x:v>
      </x:c>
      <x:c r="V6669" s="87" t="str">
        <x:v>VERIFIED</x:v>
      </x:c>
      <x:c r="W6669" s="87"/>
      <x:c r="X6669" s="87" t="n">
        <x:v>3</x:v>
      </x:c>
      <x:c r="Y6669" s="87"/>
      <x:c r="Z6669" s="87"/>
      <x:c r="AA6669" s="87"/>
      <x:c r="AB6669" s="87"/>
      <x:c r="AC6669" s="87" t="str">
        <x:v>VIS-EGKR-CHEM-S26-TASK-954-P003</x:v>
      </x:c>
      <x:c r="AD6669" s="87" t="str">
        <x:v>VIS-EGKR-CHEM-S26-ANSWERDOC-P001</x:v>
      </x:c>
      <x:c r="AE6669" s="87" t="str">
        <x:v>TASK_SPREAD; SECONDARY_ANSWER_SOURCE</x:v>
      </x:c>
      <x:c r="AF6669" s="87" t="str">
        <x:v>VIS-EGKR-CHEM-S26-TASK-954-P003: 3; VIS-EGKR-CHEM-S26-ANSWERDOC-P001: 1</x:v>
      </x:c>
      <x:c r="AG6669" s="87" t="str">
        <x:v>RESOLVED</x:v>
      </x:c>
      <x:c r="AH6669" s="87" t="str">
        <x:v>CROP_VERIFIED</x:v>
      </x:c>
      <x:c r="AI6669" s="30"/>
      <x:c r="AJ6669" s="87" t="str">
        <x:v>clean</x:v>
      </x:c>
      <x:c r="AK6669" s="87" t="str">
        <x:v>clean-v0.27</x:v>
      </x:c>
      <x:c r="AL6669" s="87" t="str">
        <x:v>statgrad_clean_continuation_v0_27(1).xlsx</x:v>
      </x:c>
      <x:c r="AM6669" s="87" t="str">
        <x:v>CHEM_EGKR_S26_954</x:v>
      </x:c>
      <x:c r="AN6669" s="87" t="n">
        <x:v>10</x:v>
      </x:c>
    </x:row>
    <x:row r="6670">
      <x:c r="A6670" s="87" t="n">
        <x:v>6669</x:v>
      </x:c>
      <x:c r="B6670" s="87" t="str">
        <x:v>EGKR-S26-CHEM-954-10</x:v>
      </x:c>
      <x:c r="C6670" s="87" t="str">
        <x:v>ЕГКР</x:v>
      </x:c>
      <x:c r="D6670" s="87"/>
      <x:c r="E6670" s="87" t="str">
        <x:v>Весна 2026</x:v>
      </x:c>
      <x:c r="F6670" s="87" t="str">
        <x:v>16.04.2026</x:v>
      </x:c>
      <x:c r="G6670" s="87" t="str">
        <x:v>Химия</x:v>
      </x:c>
      <x:c r="H6670" s="87" t="n">
        <x:v>11</x:v>
      </x:c>
      <x:c r="I6670" s="87"/>
      <x:c r="J6670" s="87" t="str">
        <x:v>954</x:v>
      </x:c>
      <x:c r="K6670" s="87" t="n">
        <x:v>10</x:v>
      </x:c>
      <x:c r="L6670" s="87" t="str">
        <x:v>Классы и группы органических соединений</x:v>
      </x:c>
      <x:c r="M6670" s="30" t="str">
        <x:v>Задание линии 10: Классы и группы органических соединений. Полная формулировка и все таблицы/формулы сохранены на странице по VIS_ID.</x:v>
      </x:c>
      <x:c r="N6670" s="30" t="str">
        <x:v>234</x:v>
      </x:c>
      <x:c r="O6670" s="30" t="str">
        <x:v>Ответ проверен по исходной формулировке и химическим закономерностям.</x:v>
      </x:c>
      <x:c r="P6670" s="30"/>
      <x:c r="Q6670" s="30" t="str">
        <x:v>Полная исходная страница + независимая химическая проверка + аудит DOCX.</x:v>
      </x:c>
      <x:c r="R6670" s="30" t="str">
        <x:v>234</x:v>
      </x:c>
      <x:c r="S6670" s="30"/>
      <x:c r="T6670" s="30"/>
      <x:c r="U6670" s="30" t="str">
        <x:v>Расхождений не выявлено.</x:v>
      </x:c>
      <x:c r="V6670" s="87" t="str">
        <x:v>VERIFIED</x:v>
      </x:c>
      <x:c r="W6670" s="87"/>
      <x:c r="X6670" s="87" t="n">
        <x:v>3</x:v>
      </x:c>
      <x:c r="Y6670" s="87"/>
      <x:c r="Z6670" s="87"/>
      <x:c r="AA6670" s="87"/>
      <x:c r="AB6670" s="87"/>
      <x:c r="AC6670" s="87" t="str">
        <x:v>VIS-EGKR-CHEM-S26-TASK-954-P003</x:v>
      </x:c>
      <x:c r="AD6670" s="87" t="str">
        <x:v>VIS-EGKR-CHEM-S26-ANSWERDOC-P001</x:v>
      </x:c>
      <x:c r="AE6670" s="87" t="str">
        <x:v>TASK_SPREAD; SECONDARY_ANSWER_SOURCE</x:v>
      </x:c>
      <x:c r="AF6670" s="87" t="str">
        <x:v>VIS-EGKR-CHEM-S26-TASK-954-P003: 3; VIS-EGKR-CHEM-S26-ANSWERDOC-P001: 1</x:v>
      </x:c>
      <x:c r="AG6670" s="87" t="str">
        <x:v>RESOLVED</x:v>
      </x:c>
      <x:c r="AH6670" s="87" t="str">
        <x:v>CROP_VERIFIED</x:v>
      </x:c>
      <x:c r="AI6670" s="30"/>
      <x:c r="AJ6670" s="87" t="str">
        <x:v>clean</x:v>
      </x:c>
      <x:c r="AK6670" s="87" t="str">
        <x:v>clean-v0.27</x:v>
      </x:c>
      <x:c r="AL6670" s="87" t="str">
        <x:v>statgrad_clean_continuation_v0_27(1).xlsx</x:v>
      </x:c>
      <x:c r="AM6670" s="87" t="str">
        <x:v>CHEM_EGKR_S26_954</x:v>
      </x:c>
      <x:c r="AN6670" s="87" t="n">
        <x:v>11</x:v>
      </x:c>
    </x:row>
    <x:row r="6671">
      <x:c r="A6671" s="87" t="n">
        <x:v>6670</x:v>
      </x:c>
      <x:c r="B6671" s="87" t="str">
        <x:v>EGKR-S26-CHEM-954-11</x:v>
      </x:c>
      <x:c r="C6671" s="87" t="str">
        <x:v>ЕГКР</x:v>
      </x:c>
      <x:c r="D6671" s="87"/>
      <x:c r="E6671" s="87" t="str">
        <x:v>Весна 2026</x:v>
      </x:c>
      <x:c r="F6671" s="87" t="str">
        <x:v>16.04.2026</x:v>
      </x:c>
      <x:c r="G6671" s="87" t="str">
        <x:v>Химия</x:v>
      </x:c>
      <x:c r="H6671" s="87" t="n">
        <x:v>11</x:v>
      </x:c>
      <x:c r="I6671" s="87"/>
      <x:c r="J6671" s="87" t="str">
        <x:v>954</x:v>
      </x:c>
      <x:c r="K6671" s="87" t="n">
        <x:v>11</x:v>
      </x:c>
      <x:c r="L6671" s="87" t="str">
        <x:v>Строение и изомерия органических веществ</x:v>
      </x:c>
      <x:c r="M6671" s="30" t="str">
        <x:v>Задание линии 11: Строение и изомерия органических веществ. Полная формулировка и все таблицы/формулы сохранены на странице по VIS_ID.</x:v>
      </x:c>
      <x:c r="N6671" s="30" t="str">
        <x:v>34</x:v>
      </x:c>
      <x:c r="O6671" s="30" t="str">
        <x:v>Ответ проверен по исходной формулировке и химическим закономерностям.</x:v>
      </x:c>
      <x:c r="P6671" s="30"/>
      <x:c r="Q6671" s="30" t="str">
        <x:v>Полная исходная страница + независимая химическая проверка + аудит DOCX.</x:v>
      </x:c>
      <x:c r="R6671" s="30" t="str">
        <x:v>34</x:v>
      </x:c>
      <x:c r="S6671" s="30"/>
      <x:c r="T6671" s="30"/>
      <x:c r="U6671" s="30" t="str">
        <x:v>Расхождений не выявлено.</x:v>
      </x:c>
      <x:c r="V6671" s="87" t="str">
        <x:v>VERIFIED</x:v>
      </x:c>
      <x:c r="W6671" s="87"/>
      <x:c r="X6671" s="87" t="n">
        <x:v>3</x:v>
      </x:c>
      <x:c r="Y6671" s="87"/>
      <x:c r="Z6671" s="87"/>
      <x:c r="AA6671" s="87"/>
      <x:c r="AB6671" s="87"/>
      <x:c r="AC6671" s="87" t="str">
        <x:v>VIS-EGKR-CHEM-S26-TASK-954-P003</x:v>
      </x:c>
      <x:c r="AD6671" s="87" t="str">
        <x:v>VIS-EGKR-CHEM-S26-ANSWERDOC-P001</x:v>
      </x:c>
      <x:c r="AE6671" s="87" t="str">
        <x:v>TASK_SPREAD; SECONDARY_ANSWER_SOURCE</x:v>
      </x:c>
      <x:c r="AF6671" s="87" t="str">
        <x:v>VIS-EGKR-CHEM-S26-TASK-954-P003: 3; VIS-EGKR-CHEM-S26-ANSWERDOC-P001: 1</x:v>
      </x:c>
      <x:c r="AG6671" s="87" t="str">
        <x:v>RESOLVED</x:v>
      </x:c>
      <x:c r="AH6671" s="87" t="str">
        <x:v>CROP_VERIFIED</x:v>
      </x:c>
      <x:c r="AI6671" s="30"/>
      <x:c r="AJ6671" s="87" t="str">
        <x:v>clean</x:v>
      </x:c>
      <x:c r="AK6671" s="87" t="str">
        <x:v>clean-v0.27</x:v>
      </x:c>
      <x:c r="AL6671" s="87" t="str">
        <x:v>statgrad_clean_continuation_v0_27(1).xlsx</x:v>
      </x:c>
      <x:c r="AM6671" s="87" t="str">
        <x:v>CHEM_EGKR_S26_954</x:v>
      </x:c>
      <x:c r="AN6671" s="87" t="n">
        <x:v>12</x:v>
      </x:c>
    </x:row>
    <x:row r="6672">
      <x:c r="A6672" s="87" t="n">
        <x:v>6671</x:v>
      </x:c>
      <x:c r="B6672" s="87" t="str">
        <x:v>EGKR-S26-CHEM-954-12</x:v>
      </x:c>
      <x:c r="C6672" s="87" t="str">
        <x:v>ЕГКР</x:v>
      </x:c>
      <x:c r="D6672" s="87"/>
      <x:c r="E6672" s="87" t="str">
        <x:v>Весна 2026</x:v>
      </x:c>
      <x:c r="F6672" s="87" t="str">
        <x:v>16.04.2026</x:v>
      </x:c>
      <x:c r="G6672" s="87" t="str">
        <x:v>Химия</x:v>
      </x:c>
      <x:c r="H6672" s="87" t="n">
        <x:v>11</x:v>
      </x:c>
      <x:c r="I6672" s="87"/>
      <x:c r="J6672" s="87" t="str">
        <x:v>954</x:v>
      </x:c>
      <x:c r="K6672" s="87" t="n">
        <x:v>12</x:v>
      </x:c>
      <x:c r="L6672" s="87" t="str">
        <x:v>Химические свойства органических веществ</x:v>
      </x:c>
      <x:c r="M6672" s="30" t="str">
        <x:v>Задание линии 12: Химические свойства органических веществ. Полная формулировка и все таблицы/формулы сохранены на странице по VIS_ID.</x:v>
      </x:c>
      <x:c r="N6672" s="30" t="str">
        <x:v>245</x:v>
      </x:c>
      <x:c r="O6672" s="30" t="str">
        <x:v>Ответ проверен по исходной формулировке и химическим закономерностям.</x:v>
      </x:c>
      <x:c r="P6672" s="30"/>
      <x:c r="Q6672" s="30" t="str">
        <x:v>Полная исходная страница + независимая химическая проверка + аудит DOCX.</x:v>
      </x:c>
      <x:c r="R6672" s="30" t="str">
        <x:v>245</x:v>
      </x:c>
      <x:c r="S6672" s="30"/>
      <x:c r="T6672" s="30"/>
      <x:c r="U6672" s="30" t="str">
        <x:v>Расхождений не выявлено.</x:v>
      </x:c>
      <x:c r="V6672" s="87" t="str">
        <x:v>VERIFIED</x:v>
      </x:c>
      <x:c r="W6672" s="87"/>
      <x:c r="X6672" s="87" t="n">
        <x:v>3</x:v>
      </x:c>
      <x:c r="Y6672" s="87"/>
      <x:c r="Z6672" s="87"/>
      <x:c r="AA6672" s="87"/>
      <x:c r="AB6672" s="87"/>
      <x:c r="AC6672" s="87" t="str">
        <x:v>VIS-EGKR-CHEM-S26-TASK-954-P003</x:v>
      </x:c>
      <x:c r="AD6672" s="87" t="str">
        <x:v>VIS-EGKR-CHEM-S26-ANSWERDOC-P001</x:v>
      </x:c>
      <x:c r="AE6672" s="87" t="str">
        <x:v>TASK_SPREAD; SECONDARY_ANSWER_SOURCE</x:v>
      </x:c>
      <x:c r="AF6672" s="87" t="str">
        <x:v>VIS-EGKR-CHEM-S26-TASK-954-P003: 3; VIS-EGKR-CHEM-S26-ANSWERDOC-P001: 1</x:v>
      </x:c>
      <x:c r="AG6672" s="87" t="str">
        <x:v>RESOLVED</x:v>
      </x:c>
      <x:c r="AH6672" s="87" t="str">
        <x:v>CROP_VERIFIED</x:v>
      </x:c>
      <x:c r="AI6672" s="30"/>
      <x:c r="AJ6672" s="87" t="str">
        <x:v>clean</x:v>
      </x:c>
      <x:c r="AK6672" s="87" t="str">
        <x:v>clean-v0.27</x:v>
      </x:c>
      <x:c r="AL6672" s="87" t="str">
        <x:v>statgrad_clean_continuation_v0_27(1).xlsx</x:v>
      </x:c>
      <x:c r="AM6672" s="87" t="str">
        <x:v>CHEM_EGKR_S26_954</x:v>
      </x:c>
      <x:c r="AN6672" s="87" t="n">
        <x:v>13</x:v>
      </x:c>
    </x:row>
    <x:row r="6673">
      <x:c r="A6673" s="87" t="n">
        <x:v>6672</x:v>
      </x:c>
      <x:c r="B6673" s="87" t="str">
        <x:v>EGKR-S26-CHEM-954-13</x:v>
      </x:c>
      <x:c r="C6673" s="87" t="str">
        <x:v>ЕГКР</x:v>
      </x:c>
      <x:c r="D6673" s="87"/>
      <x:c r="E6673" s="87" t="str">
        <x:v>Весна 2026</x:v>
      </x:c>
      <x:c r="F6673" s="87" t="str">
        <x:v>16.04.2026</x:v>
      </x:c>
      <x:c r="G6673" s="87" t="str">
        <x:v>Химия</x:v>
      </x:c>
      <x:c r="H6673" s="87" t="n">
        <x:v>11</x:v>
      </x:c>
      <x:c r="I6673" s="87"/>
      <x:c r="J6673" s="87" t="str">
        <x:v>954</x:v>
      </x:c>
      <x:c r="K6673" s="87" t="n">
        <x:v>13</x:v>
      </x:c>
      <x:c r="L6673" s="87" t="str">
        <x:v>Химические свойства азотсодержащих соединений</x:v>
      </x:c>
      <x:c r="M6673" s="30" t="str">
        <x:v>Задание линии 13: Химические свойства азотсодержащих соединений. Полная формулировка и все таблицы/формулы сохранены на странице по VIS_ID.</x:v>
      </x:c>
      <x:c r="N6673" s="30" t="str">
        <x:v>14</x:v>
      </x:c>
      <x:c r="O6673" s="30" t="str">
        <x:v>Ответ проверен по исходной формулировке и химическим закономерностям.</x:v>
      </x:c>
      <x:c r="P6673" s="30"/>
      <x:c r="Q6673" s="30" t="str">
        <x:v>Полная исходная страница + независимая химическая проверка + аудит DOCX.</x:v>
      </x:c>
      <x:c r="R6673" s="30" t="str">
        <x:v>14</x:v>
      </x:c>
      <x:c r="S6673" s="30"/>
      <x:c r="T6673" s="30"/>
      <x:c r="U6673" s="30" t="str">
        <x:v>Расхождений не выявлено.</x:v>
      </x:c>
      <x:c r="V6673" s="87" t="str">
        <x:v>VERIFIED</x:v>
      </x:c>
      <x:c r="W6673" s="87"/>
      <x:c r="X6673" s="87" t="n">
        <x:v>4</x:v>
      </x:c>
      <x:c r="Y6673" s="87"/>
      <x:c r="Z6673" s="87"/>
      <x:c r="AA6673" s="87"/>
      <x:c r="AB6673" s="87"/>
      <x:c r="AC6673" s="87" t="str">
        <x:v>VIS-EGKR-CHEM-S26-TASK-954-P004</x:v>
      </x:c>
      <x:c r="AD6673" s="87" t="str">
        <x:v>VIS-EGKR-CHEM-S26-ANSWERDOC-P001</x:v>
      </x:c>
      <x:c r="AE6673" s="87" t="str">
        <x:v>TASK_SPREAD; SECONDARY_ANSWER_SOURCE</x:v>
      </x:c>
      <x:c r="AF6673" s="87" t="str">
        <x:v>VIS-EGKR-CHEM-S26-TASK-954-P004: 4; VIS-EGKR-CHEM-S26-ANSWERDOC-P001: 1</x:v>
      </x:c>
      <x:c r="AG6673" s="87" t="str">
        <x:v>RESOLVED</x:v>
      </x:c>
      <x:c r="AH6673" s="87" t="str">
        <x:v>CROP_VERIFIED</x:v>
      </x:c>
      <x:c r="AI6673" s="30"/>
      <x:c r="AJ6673" s="87" t="str">
        <x:v>clean</x:v>
      </x:c>
      <x:c r="AK6673" s="87" t="str">
        <x:v>clean-v0.27</x:v>
      </x:c>
      <x:c r="AL6673" s="87" t="str">
        <x:v>statgrad_clean_continuation_v0_27(1).xlsx</x:v>
      </x:c>
      <x:c r="AM6673" s="87" t="str">
        <x:v>CHEM_EGKR_S26_954</x:v>
      </x:c>
      <x:c r="AN6673" s="87" t="n">
        <x:v>14</x:v>
      </x:c>
    </x:row>
    <x:row r="6674">
      <x:c r="A6674" s="87" t="n">
        <x:v>6673</x:v>
      </x:c>
      <x:c r="B6674" s="87" t="str">
        <x:v>EGKR-S26-CHEM-954-14</x:v>
      </x:c>
      <x:c r="C6674" s="87" t="str">
        <x:v>ЕГКР</x:v>
      </x:c>
      <x:c r="D6674" s="87"/>
      <x:c r="E6674" s="87" t="str">
        <x:v>Весна 2026</x:v>
      </x:c>
      <x:c r="F6674" s="87" t="str">
        <x:v>16.04.2026</x:v>
      </x:c>
      <x:c r="G6674" s="87" t="str">
        <x:v>Химия</x:v>
      </x:c>
      <x:c r="H6674" s="87" t="n">
        <x:v>11</x:v>
      </x:c>
      <x:c r="I6674" s="87"/>
      <x:c r="J6674" s="87" t="str">
        <x:v>954</x:v>
      </x:c>
      <x:c r="K6674" s="87" t="n">
        <x:v>14</x:v>
      </x:c>
      <x:c r="L6674" s="87" t="str">
        <x:v>Органические превращения</x:v>
      </x:c>
      <x:c r="M6674" s="30" t="str">
        <x:v>Задание линии 14: Органические превращения. Полная формулировка и все таблицы/формулы сохранены на странице по VIS_ID.</x:v>
      </x:c>
      <x:c r="N6674" s="30" t="str">
        <x:v>2446</x:v>
      </x:c>
      <x:c r="O6674" s="30" t="str">
        <x:v>Ответ проверен по исходной формулировке и химическим закономерностям.</x:v>
      </x:c>
      <x:c r="P6674" s="30"/>
      <x:c r="Q6674" s="30" t="str">
        <x:v>Полная исходная страница + независимая химическая проверка + аудит DOCX.</x:v>
      </x:c>
      <x:c r="R6674" s="30" t="str">
        <x:v>2446</x:v>
      </x:c>
      <x:c r="S6674" s="30"/>
      <x:c r="T6674" s="30"/>
      <x:c r="U6674" s="30" t="str">
        <x:v>Расхождений не выявлено.</x:v>
      </x:c>
      <x:c r="V6674" s="87" t="str">
        <x:v>VERIFIED</x:v>
      </x:c>
      <x:c r="W6674" s="87"/>
      <x:c r="X6674" s="87" t="n">
        <x:v>4</x:v>
      </x:c>
      <x:c r="Y6674" s="87"/>
      <x:c r="Z6674" s="87"/>
      <x:c r="AA6674" s="87"/>
      <x:c r="AB6674" s="87"/>
      <x:c r="AC6674" s="87" t="str">
        <x:v>VIS-EGKR-CHEM-S26-TASK-954-P004</x:v>
      </x:c>
      <x:c r="AD6674" s="87" t="str">
        <x:v>VIS-EGKR-CHEM-S26-ANSWERDOC-P001</x:v>
      </x:c>
      <x:c r="AE6674" s="87" t="str">
        <x:v>TASK_SPREAD; SECONDARY_ANSWER_SOURCE</x:v>
      </x:c>
      <x:c r="AF6674" s="87" t="str">
        <x:v>VIS-EGKR-CHEM-S26-TASK-954-P004: 4; VIS-EGKR-CHEM-S26-ANSWERDOC-P001: 1</x:v>
      </x:c>
      <x:c r="AG6674" s="87" t="str">
        <x:v>RESOLVED</x:v>
      </x:c>
      <x:c r="AH6674" s="87" t="str">
        <x:v>CROP_VERIFIED</x:v>
      </x:c>
      <x:c r="AI6674" s="30"/>
      <x:c r="AJ6674" s="87" t="str">
        <x:v>clean</x:v>
      </x:c>
      <x:c r="AK6674" s="87" t="str">
        <x:v>clean-v0.27</x:v>
      </x:c>
      <x:c r="AL6674" s="87" t="str">
        <x:v>statgrad_clean_continuation_v0_27(1).xlsx</x:v>
      </x:c>
      <x:c r="AM6674" s="87" t="str">
        <x:v>CHEM_EGKR_S26_954</x:v>
      </x:c>
      <x:c r="AN6674" s="87" t="n">
        <x:v>15</x:v>
      </x:c>
    </x:row>
    <x:row r="6675">
      <x:c r="A6675" s="87" t="n">
        <x:v>6674</x:v>
      </x:c>
      <x:c r="B6675" s="87" t="str">
        <x:v>EGKR-S26-CHEM-954-15</x:v>
      </x:c>
      <x:c r="C6675" s="87" t="str">
        <x:v>ЕГКР</x:v>
      </x:c>
      <x:c r="D6675" s="87"/>
      <x:c r="E6675" s="87" t="str">
        <x:v>Весна 2026</x:v>
      </x:c>
      <x:c r="F6675" s="87" t="str">
        <x:v>16.04.2026</x:v>
      </x:c>
      <x:c r="G6675" s="87" t="str">
        <x:v>Химия</x:v>
      </x:c>
      <x:c r="H6675" s="87" t="n">
        <x:v>11</x:v>
      </x:c>
      <x:c r="I6675" s="87"/>
      <x:c r="J6675" s="87" t="str">
        <x:v>954</x:v>
      </x:c>
      <x:c r="K6675" s="87" t="n">
        <x:v>15</x:v>
      </x:c>
      <x:c r="L6675" s="87" t="str">
        <x:v>Органические превращения / гидролиз</x:v>
      </x:c>
      <x:c r="M6675" s="30" t="str">
        <x:v>Задание линии 15: Органические превращения / гидролиз. Полная формулировка и все таблицы/формулы сохранены на странице по VIS_ID.</x:v>
      </x:c>
      <x:c r="N6675" s="30" t="str">
        <x:v>5635</x:v>
      </x:c>
      <x:c r="O6675" s="30" t="str">
        <x:v>Ответ сохранён из внутреннего ключа без повышения до VERIFIED.</x:v>
      </x:c>
      <x:c r="P6675" s="30"/>
      <x:c r="Q6675" s="30" t="str">
        <x:v>Полная исходная страница + независимая химическая проверка + аудит DOCX.</x:v>
      </x:c>
      <x:c r="R6675" s="30" t="str">
        <x:v>5635</x:v>
      </x:c>
      <x:c r="S6675" s="30"/>
      <x:c r="T6675" s="30"/>
      <x:c r="U6675" s="30" t="str">
        <x:v>На исходной странице структурные формулы реагентов утрачены и отображаются только как молекулярные формулы. Значение 5635 сохранено как SOURCE_ONLY.</x:v>
      </x:c>
      <x:c r="V6675" s="87" t="str">
        <x:v>SOURCE_ONLY</x:v>
      </x:c>
      <x:c r="W6675" s="87"/>
      <x:c r="X6675" s="87" t="n">
        <x:v>4</x:v>
      </x:c>
      <x:c r="Y6675" s="87"/>
      <x:c r="Z6675" s="87"/>
      <x:c r="AA6675" s="87"/>
      <x:c r="AB6675" s="87"/>
      <x:c r="AC6675" s="87" t="str">
        <x:v>VIS-EGKR-CHEM-S26-TASK-954-P004</x:v>
      </x:c>
      <x:c r="AD6675" s="87" t="str">
        <x:v>VIS-EGKR-CHEM-S26-ANSWERDOC-P001</x:v>
      </x:c>
      <x:c r="AE6675" s="87" t="str">
        <x:v>TASK_SPREAD; SECONDARY_ANSWER_SOURCE</x:v>
      </x:c>
      <x:c r="AF6675" s="87" t="str">
        <x:v>VIS-EGKR-CHEM-S26-TASK-954-P004: 4; VIS-EGKR-CHEM-S26-ANSWERDOC-P001: 1</x:v>
      </x:c>
      <x:c r="AG6675" s="87" t="str">
        <x:v>RESOLVED</x:v>
      </x:c>
      <x:c r="AH6675" s="87" t="str">
        <x:v>CROP_VERIFIED</x:v>
      </x:c>
      <x:c r="AI6675" s="30"/>
      <x:c r="AJ6675" s="87" t="str">
        <x:v>clean</x:v>
      </x:c>
      <x:c r="AK6675" s="87" t="str">
        <x:v>clean-v0.27</x:v>
      </x:c>
      <x:c r="AL6675" s="87" t="str">
        <x:v>statgrad_clean_continuation_v0_27(1).xlsx</x:v>
      </x:c>
      <x:c r="AM6675" s="87" t="str">
        <x:v>CHEM_EGKR_S26_954</x:v>
      </x:c>
      <x:c r="AN6675" s="87" t="n">
        <x:v>16</x:v>
      </x:c>
    </x:row>
    <x:row r="6676">
      <x:c r="A6676" s="87" t="n">
        <x:v>6675</x:v>
      </x:c>
      <x:c r="B6676" s="87" t="str">
        <x:v>EGKR-S26-CHEM-954-16</x:v>
      </x:c>
      <x:c r="C6676" s="87" t="str">
        <x:v>ЕГКР</x:v>
      </x:c>
      <x:c r="D6676" s="87"/>
      <x:c r="E6676" s="87" t="str">
        <x:v>Весна 2026</x:v>
      </x:c>
      <x:c r="F6676" s="87" t="str">
        <x:v>16.04.2026</x:v>
      </x:c>
      <x:c r="G6676" s="87" t="str">
        <x:v>Химия</x:v>
      </x:c>
      <x:c r="H6676" s="87" t="n">
        <x:v>11</x:v>
      </x:c>
      <x:c r="I6676" s="87"/>
      <x:c r="J6676" s="87" t="str">
        <x:v>954</x:v>
      </x:c>
      <x:c r="K6676" s="87" t="n">
        <x:v>16</x:v>
      </x:c>
      <x:c r="L6676" s="87" t="str">
        <x:v>Цепочка органических превращений</x:v>
      </x:c>
      <x:c r="M6676" s="30" t="str">
        <x:v>Задание линии 16: Цепочка органических превращений. Полная формулировка и все таблицы/формулы сохранены на странице по VIS_ID.</x:v>
      </x:c>
      <x:c r="N6676" s="30" t="str">
        <x:v>43</x:v>
      </x:c>
      <x:c r="O6676" s="30" t="str">
        <x:v>Ответ проверен по исходной формулировке и химическим закономерностям.</x:v>
      </x:c>
      <x:c r="P6676" s="30"/>
      <x:c r="Q6676" s="30" t="str">
        <x:v>Полная исходная страница + независимая химическая проверка + аудит DOCX.</x:v>
      </x:c>
      <x:c r="R6676" s="30" t="str">
        <x:v>43</x:v>
      </x:c>
      <x:c r="S6676" s="30"/>
      <x:c r="T6676" s="30"/>
      <x:c r="U6676" s="30" t="str">
        <x:v>Расхождений не выявлено.</x:v>
      </x:c>
      <x:c r="V6676" s="87" t="str">
        <x:v>VERIFIED</x:v>
      </x:c>
      <x:c r="W6676" s="87"/>
      <x:c r="X6676" s="87" t="n">
        <x:v>4</x:v>
      </x:c>
      <x:c r="Y6676" s="87"/>
      <x:c r="Z6676" s="87"/>
      <x:c r="AA6676" s="87"/>
      <x:c r="AB6676" s="87"/>
      <x:c r="AC6676" s="87" t="str">
        <x:v>VIS-EGKR-CHEM-S26-TASK-954-P004</x:v>
      </x:c>
      <x:c r="AD6676" s="87" t="str">
        <x:v>VIS-EGKR-CHEM-S26-ANSWERDOC-P001</x:v>
      </x:c>
      <x:c r="AE6676" s="87" t="str">
        <x:v>TASK_SPREAD; SECONDARY_ANSWER_SOURCE</x:v>
      </x:c>
      <x:c r="AF6676" s="87" t="str">
        <x:v>VIS-EGKR-CHEM-S26-TASK-954-P004: 4; VIS-EGKR-CHEM-S26-ANSWERDOC-P001: 1</x:v>
      </x:c>
      <x:c r="AG6676" s="87" t="str">
        <x:v>RESOLVED</x:v>
      </x:c>
      <x:c r="AH6676" s="87" t="str">
        <x:v>CROP_VERIFIED</x:v>
      </x:c>
      <x:c r="AI6676" s="30"/>
      <x:c r="AJ6676" s="87" t="str">
        <x:v>clean</x:v>
      </x:c>
      <x:c r="AK6676" s="87" t="str">
        <x:v>clean-v0.27</x:v>
      </x:c>
      <x:c r="AL6676" s="87" t="str">
        <x:v>statgrad_clean_continuation_v0_27(1).xlsx</x:v>
      </x:c>
      <x:c r="AM6676" s="87" t="str">
        <x:v>CHEM_EGKR_S26_954</x:v>
      </x:c>
      <x:c r="AN6676" s="87" t="n">
        <x:v>17</x:v>
      </x:c>
    </x:row>
    <x:row r="6677">
      <x:c r="A6677" s="87" t="n">
        <x:v>6676</x:v>
      </x:c>
      <x:c r="B6677" s="87" t="str">
        <x:v>EGKR-S26-CHEM-954-17</x:v>
      </x:c>
      <x:c r="C6677" s="87" t="str">
        <x:v>ЕГКР</x:v>
      </x:c>
      <x:c r="D6677" s="87"/>
      <x:c r="E6677" s="87" t="str">
        <x:v>Весна 2026</x:v>
      </x:c>
      <x:c r="F6677" s="87" t="str">
        <x:v>16.04.2026</x:v>
      </x:c>
      <x:c r="G6677" s="87" t="str">
        <x:v>Химия</x:v>
      </x:c>
      <x:c r="H6677" s="87" t="n">
        <x:v>11</x:v>
      </x:c>
      <x:c r="I6677" s="87"/>
      <x:c r="J6677" s="87" t="str">
        <x:v>954</x:v>
      </x:c>
      <x:c r="K6677" s="87" t="n">
        <x:v>17</x:v>
      </x:c>
      <x:c r="L6677" s="87" t="str">
        <x:v>Классификация химических реакций</x:v>
      </x:c>
      <x:c r="M6677" s="30" t="str">
        <x:v>Задание линии 17: Классификация химических реакций. Полная формулировка и все таблицы/формулы сохранены на странице по VIS_ID.</x:v>
      </x:c>
      <x:c r="N6677" s="30" t="str">
        <x:v>221</x:v>
      </x:c>
      <x:c r="O6677" s="30" t="str">
        <x:v>Ответ проверен по исходной формулировке и химическим закономерностям.</x:v>
      </x:c>
      <x:c r="P6677" s="30"/>
      <x:c r="Q6677" s="30" t="str">
        <x:v>Полная исходная страница + независимая химическая проверка + аудит DOCX.</x:v>
      </x:c>
      <x:c r="R6677" s="30" t="str">
        <x:v>221</x:v>
      </x:c>
      <x:c r="S6677" s="30"/>
      <x:c r="T6677" s="30"/>
      <x:c r="U6677" s="30" t="str">
        <x:v>Расхождений не выявлено.</x:v>
      </x:c>
      <x:c r="V6677" s="87" t="str">
        <x:v>VERIFIED</x:v>
      </x:c>
      <x:c r="W6677" s="87"/>
      <x:c r="X6677" s="87" t="n">
        <x:v>5</x:v>
      </x:c>
      <x:c r="Y6677" s="87"/>
      <x:c r="Z6677" s="87"/>
      <x:c r="AA6677" s="87"/>
      <x:c r="AB6677" s="87"/>
      <x:c r="AC6677" s="87" t="str">
        <x:v>VIS-EGKR-CHEM-S26-TASK-954-P005</x:v>
      </x:c>
      <x:c r="AD6677" s="87" t="str">
        <x:v>VIS-EGKR-CHEM-S26-ANSWERDOC-P001</x:v>
      </x:c>
      <x:c r="AE6677" s="87" t="str">
        <x:v>TASK_SPREAD; SECONDARY_ANSWER_SOURCE</x:v>
      </x:c>
      <x:c r="AF6677" s="87" t="str">
        <x:v>VIS-EGKR-CHEM-S26-TASK-954-P005: 5; VIS-EGKR-CHEM-S26-ANSWERDOC-P001: 1</x:v>
      </x:c>
      <x:c r="AG6677" s="87" t="str">
        <x:v>RESOLVED</x:v>
      </x:c>
      <x:c r="AH6677" s="87" t="str">
        <x:v>CROP_VERIFIED</x:v>
      </x:c>
      <x:c r="AI6677" s="30"/>
      <x:c r="AJ6677" s="87" t="str">
        <x:v>clean</x:v>
      </x:c>
      <x:c r="AK6677" s="87" t="str">
        <x:v>clean-v0.27</x:v>
      </x:c>
      <x:c r="AL6677" s="87" t="str">
        <x:v>statgrad_clean_continuation_v0_27(1).xlsx</x:v>
      </x:c>
      <x:c r="AM6677" s="87" t="str">
        <x:v>CHEM_EGKR_S26_954</x:v>
      </x:c>
      <x:c r="AN6677" s="87" t="n">
        <x:v>18</x:v>
      </x:c>
    </x:row>
    <x:row r="6678">
      <x:c r="A6678" s="87" t="n">
        <x:v>6677</x:v>
      </x:c>
      <x:c r="B6678" s="87" t="str">
        <x:v>EGKR-S26-CHEM-954-18</x:v>
      </x:c>
      <x:c r="C6678" s="87" t="str">
        <x:v>ЕГКР</x:v>
      </x:c>
      <x:c r="D6678" s="87"/>
      <x:c r="E6678" s="87" t="str">
        <x:v>Весна 2026</x:v>
      </x:c>
      <x:c r="F6678" s="87" t="str">
        <x:v>16.04.2026</x:v>
      </x:c>
      <x:c r="G6678" s="87" t="str">
        <x:v>Химия</x:v>
      </x:c>
      <x:c r="H6678" s="87" t="n">
        <x:v>11</x:v>
      </x:c>
      <x:c r="I6678" s="87"/>
      <x:c r="J6678" s="87" t="str">
        <x:v>954</x:v>
      </x:c>
      <x:c r="K6678" s="87" t="n">
        <x:v>18</x:v>
      </x:c>
      <x:c r="L6678" s="87" t="str">
        <x:v>Скорость химической реакции</x:v>
      </x:c>
      <x:c r="M6678" s="30" t="str">
        <x:v>Задание линии 18: Скорость химической реакции. Полная формулировка и все таблицы/формулы сохранены на странице по VIS_ID.</x:v>
      </x:c>
      <x:c r="N6678" s="30" t="str">
        <x:v>1245</x:v>
      </x:c>
      <x:c r="O6678" s="30" t="str">
        <x:v>Ответ проверен по исходной формулировке и химическим закономерностям.</x:v>
      </x:c>
      <x:c r="P6678" s="30"/>
      <x:c r="Q6678" s="30" t="str">
        <x:v>Полная исходная страница + независимая химическая проверка + аудит DOCX.</x:v>
      </x:c>
      <x:c r="R6678" s="30" t="str">
        <x:v>1245</x:v>
      </x:c>
      <x:c r="S6678" s="30"/>
      <x:c r="T6678" s="30"/>
      <x:c r="U6678" s="30" t="str">
        <x:v>Расхождений не выявлено.</x:v>
      </x:c>
      <x:c r="V6678" s="87" t="str">
        <x:v>VERIFIED</x:v>
      </x:c>
      <x:c r="W6678" s="87"/>
      <x:c r="X6678" s="87" t="n">
        <x:v>5</x:v>
      </x:c>
      <x:c r="Y6678" s="87"/>
      <x:c r="Z6678" s="87"/>
      <x:c r="AA6678" s="87"/>
      <x:c r="AB6678" s="87"/>
      <x:c r="AC6678" s="87" t="str">
        <x:v>VIS-EGKR-CHEM-S26-TASK-954-P005</x:v>
      </x:c>
      <x:c r="AD6678" s="87" t="str">
        <x:v>VIS-EGKR-CHEM-S26-ANSWERDOC-P001</x:v>
      </x:c>
      <x:c r="AE6678" s="87" t="str">
        <x:v>TASK_SPREAD; SECONDARY_ANSWER_SOURCE</x:v>
      </x:c>
      <x:c r="AF6678" s="87" t="str">
        <x:v>VIS-EGKR-CHEM-S26-TASK-954-P005: 5; VIS-EGKR-CHEM-S26-ANSWERDOC-P001: 1</x:v>
      </x:c>
      <x:c r="AG6678" s="87" t="str">
        <x:v>RESOLVED</x:v>
      </x:c>
      <x:c r="AH6678" s="87" t="str">
        <x:v>CROP_VERIFIED</x:v>
      </x:c>
      <x:c r="AI6678" s="30"/>
      <x:c r="AJ6678" s="87" t="str">
        <x:v>clean</x:v>
      </x:c>
      <x:c r="AK6678" s="87" t="str">
        <x:v>clean-v0.27</x:v>
      </x:c>
      <x:c r="AL6678" s="87" t="str">
        <x:v>statgrad_clean_continuation_v0_27(1).xlsx</x:v>
      </x:c>
      <x:c r="AM6678" s="87" t="str">
        <x:v>CHEM_EGKR_S26_954</x:v>
      </x:c>
      <x:c r="AN6678" s="87" t="n">
        <x:v>19</x:v>
      </x:c>
    </x:row>
    <x:row r="6679">
      <x:c r="A6679" s="87" t="n">
        <x:v>6678</x:v>
      </x:c>
      <x:c r="B6679" s="87" t="str">
        <x:v>EGKR-S26-CHEM-954-19</x:v>
      </x:c>
      <x:c r="C6679" s="87" t="str">
        <x:v>ЕГКР</x:v>
      </x:c>
      <x:c r="D6679" s="87"/>
      <x:c r="E6679" s="87" t="str">
        <x:v>Весна 2026</x:v>
      </x:c>
      <x:c r="F6679" s="87" t="str">
        <x:v>16.04.2026</x:v>
      </x:c>
      <x:c r="G6679" s="87" t="str">
        <x:v>Химия</x:v>
      </x:c>
      <x:c r="H6679" s="87" t="n">
        <x:v>11</x:v>
      </x:c>
      <x:c r="I6679" s="87"/>
      <x:c r="J6679" s="87" t="str">
        <x:v>954</x:v>
      </x:c>
      <x:c r="K6679" s="87" t="n">
        <x:v>19</x:v>
      </x:c>
      <x:c r="L6679" s="87" t="str">
        <x:v>Окислитель и изменение степени окисления</x:v>
      </x:c>
      <x:c r="M6679" s="30" t="str">
        <x:v>Задание линии 19: Окислитель и изменение степени окисления. Полная формулировка и все таблицы/формулы сохранены на странице по VIS_ID.</x:v>
      </x:c>
      <x:c r="N6679" s="30" t="str">
        <x:v>114</x:v>
      </x:c>
      <x:c r="O6679" s="30" t="str">
        <x:v>Ответ проверен по исходной формулировке и химическим закономерностям.</x:v>
      </x:c>
      <x:c r="P6679" s="30"/>
      <x:c r="Q6679" s="30" t="str">
        <x:v>Полная исходная страница + независимая химическая проверка + аудит DOCX.</x:v>
      </x:c>
      <x:c r="R6679" s="30" t="str">
        <x:v>114</x:v>
      </x:c>
      <x:c r="S6679" s="30"/>
      <x:c r="T6679" s="30"/>
      <x:c r="U6679" s="30" t="str">
        <x:v>Расхождений не выявлено.</x:v>
      </x:c>
      <x:c r="V6679" s="87" t="str">
        <x:v>VERIFIED</x:v>
      </x:c>
      <x:c r="W6679" s="87"/>
      <x:c r="X6679" s="87" t="n">
        <x:v>5</x:v>
      </x:c>
      <x:c r="Y6679" s="87"/>
      <x:c r="Z6679" s="87"/>
      <x:c r="AA6679" s="87"/>
      <x:c r="AB6679" s="87"/>
      <x:c r="AC6679" s="87" t="str">
        <x:v>VIS-EGKR-CHEM-S26-TASK-954-P005</x:v>
      </x:c>
      <x:c r="AD6679" s="87" t="str">
        <x:v>VIS-EGKR-CHEM-S26-ANSWERDOC-P001</x:v>
      </x:c>
      <x:c r="AE6679" s="87" t="str">
        <x:v>TASK_SPREAD; SECONDARY_ANSWER_SOURCE</x:v>
      </x:c>
      <x:c r="AF6679" s="87" t="str">
        <x:v>VIS-EGKR-CHEM-S26-TASK-954-P005: 5; VIS-EGKR-CHEM-S26-ANSWERDOC-P001: 1</x:v>
      </x:c>
      <x:c r="AG6679" s="87" t="str">
        <x:v>RESOLVED</x:v>
      </x:c>
      <x:c r="AH6679" s="87" t="str">
        <x:v>CROP_VERIFIED</x:v>
      </x:c>
      <x:c r="AI6679" s="30"/>
      <x:c r="AJ6679" s="87" t="str">
        <x:v>clean</x:v>
      </x:c>
      <x:c r="AK6679" s="87" t="str">
        <x:v>clean-v0.27</x:v>
      </x:c>
      <x:c r="AL6679" s="87" t="str">
        <x:v>statgrad_clean_continuation_v0_27(1).xlsx</x:v>
      </x:c>
      <x:c r="AM6679" s="87" t="str">
        <x:v>CHEM_EGKR_S26_954</x:v>
      </x:c>
      <x:c r="AN6679" s="87" t="n">
        <x:v>20</x:v>
      </x:c>
    </x:row>
    <x:row r="6680">
      <x:c r="A6680" s="87" t="n">
        <x:v>6679</x:v>
      </x:c>
      <x:c r="B6680" s="87" t="str">
        <x:v>EGKR-S26-CHEM-954-20</x:v>
      </x:c>
      <x:c r="C6680" s="87" t="str">
        <x:v>ЕГКР</x:v>
      </x:c>
      <x:c r="D6680" s="87"/>
      <x:c r="E6680" s="87" t="str">
        <x:v>Весна 2026</x:v>
      </x:c>
      <x:c r="F6680" s="87" t="str">
        <x:v>16.04.2026</x:v>
      </x:c>
      <x:c r="G6680" s="87" t="str">
        <x:v>Химия</x:v>
      </x:c>
      <x:c r="H6680" s="87" t="n">
        <x:v>11</x:v>
      </x:c>
      <x:c r="I6680" s="87"/>
      <x:c r="J6680" s="87" t="str">
        <x:v>954</x:v>
      </x:c>
      <x:c r="K6680" s="87" t="n">
        <x:v>20</x:v>
      </x:c>
      <x:c r="L6680" s="87" t="str">
        <x:v>Электролиз</x:v>
      </x:c>
      <x:c r="M6680" s="30" t="str">
        <x:v>Задание линии 20: Электролиз. Полная формулировка и все таблицы/формулы сохранены на странице по VIS_ID.</x:v>
      </x:c>
      <x:c r="N6680" s="30" t="str">
        <x:v>324</x:v>
      </x:c>
      <x:c r="O6680" s="30" t="str">
        <x:v>Ответ проверен по исходной формулировке и химическим закономерностям.</x:v>
      </x:c>
      <x:c r="P6680" s="30"/>
      <x:c r="Q6680" s="30" t="str">
        <x:v>Полная исходная страница + независимая химическая проверка + аудит DOCX.</x:v>
      </x:c>
      <x:c r="R6680" s="30" t="str">
        <x:v>324</x:v>
      </x:c>
      <x:c r="S6680" s="30"/>
      <x:c r="T6680" s="30"/>
      <x:c r="U6680" s="30" t="str">
        <x:v>Расхождений не выявлено.</x:v>
      </x:c>
      <x:c r="V6680" s="87" t="str">
        <x:v>VERIFIED</x:v>
      </x:c>
      <x:c r="W6680" s="87"/>
      <x:c r="X6680" s="87" t="n">
        <x:v>5</x:v>
      </x:c>
      <x:c r="Y6680" s="87"/>
      <x:c r="Z6680" s="87"/>
      <x:c r="AA6680" s="87"/>
      <x:c r="AB6680" s="87"/>
      <x:c r="AC6680" s="87" t="str">
        <x:v>VIS-EGKR-CHEM-S26-TASK-954-P005</x:v>
      </x:c>
      <x:c r="AD6680" s="87" t="str">
        <x:v>VIS-EGKR-CHEM-S26-ANSWERDOC-P001</x:v>
      </x:c>
      <x:c r="AE6680" s="87" t="str">
        <x:v>TASK_SPREAD; SECONDARY_ANSWER_SOURCE</x:v>
      </x:c>
      <x:c r="AF6680" s="87" t="str">
        <x:v>VIS-EGKR-CHEM-S26-TASK-954-P005: 5; VIS-EGKR-CHEM-S26-ANSWERDOC-P001: 1</x:v>
      </x:c>
      <x:c r="AG6680" s="87" t="str">
        <x:v>RESOLVED</x:v>
      </x:c>
      <x:c r="AH6680" s="87" t="str">
        <x:v>CROP_VERIFIED</x:v>
      </x:c>
      <x:c r="AI6680" s="30"/>
      <x:c r="AJ6680" s="87" t="str">
        <x:v>clean</x:v>
      </x:c>
      <x:c r="AK6680" s="87" t="str">
        <x:v>clean-v0.27</x:v>
      </x:c>
      <x:c r="AL6680" s="87" t="str">
        <x:v>statgrad_clean_continuation_v0_27(1).xlsx</x:v>
      </x:c>
      <x:c r="AM6680" s="87" t="str">
        <x:v>CHEM_EGKR_S26_954</x:v>
      </x:c>
      <x:c r="AN6680" s="87" t="n">
        <x:v>21</x:v>
      </x:c>
    </x:row>
    <x:row r="6681">
      <x:c r="A6681" s="87" t="n">
        <x:v>6680</x:v>
      </x:c>
      <x:c r="B6681" s="87" t="str">
        <x:v>EGKR-S26-CHEM-954-21</x:v>
      </x:c>
      <x:c r="C6681" s="87" t="str">
        <x:v>ЕГКР</x:v>
      </x:c>
      <x:c r="D6681" s="87"/>
      <x:c r="E6681" s="87" t="str">
        <x:v>Весна 2026</x:v>
      </x:c>
      <x:c r="F6681" s="87" t="str">
        <x:v>16.04.2026</x:v>
      </x:c>
      <x:c r="G6681" s="87" t="str">
        <x:v>Химия</x:v>
      </x:c>
      <x:c r="H6681" s="87" t="n">
        <x:v>11</x:v>
      </x:c>
      <x:c r="I6681" s="87"/>
      <x:c r="J6681" s="87" t="str">
        <x:v>954</x:v>
      </x:c>
      <x:c r="K6681" s="87" t="n">
        <x:v>21</x:v>
      </x:c>
      <x:c r="L6681" s="87" t="str">
        <x:v>Среда растворов и pH</x:v>
      </x:c>
      <x:c r="M6681" s="30" t="str">
        <x:v>Задание линии 21: Среда растворов и pH. Полная формулировка и все таблицы/формулы сохранены на странице по VIS_ID.</x:v>
      </x:c>
      <x:c r="N6681" s="30" t="str">
        <x:v>1342</x:v>
      </x:c>
      <x:c r="O6681" s="30" t="str">
        <x:v>Ответ проверен по исходной формулировке и химическим закономерностям.</x:v>
      </x:c>
      <x:c r="P6681" s="30"/>
      <x:c r="Q6681" s="30" t="str">
        <x:v>Полная исходная страница + независимая химическая проверка + аудит DOCX.</x:v>
      </x:c>
      <x:c r="R6681" s="30" t="str">
        <x:v>1342</x:v>
      </x:c>
      <x:c r="S6681" s="30"/>
      <x:c r="T6681" s="30"/>
      <x:c r="U6681" s="30" t="str">
        <x:v>Расхождений не выявлено.</x:v>
      </x:c>
      <x:c r="V6681" s="87" t="str">
        <x:v>VERIFIED</x:v>
      </x:c>
      <x:c r="W6681" s="87"/>
      <x:c r="X6681" s="87" t="n">
        <x:v>6</x:v>
      </x:c>
      <x:c r="Y6681" s="87"/>
      <x:c r="Z6681" s="87"/>
      <x:c r="AA6681" s="87"/>
      <x:c r="AB6681" s="87"/>
      <x:c r="AC6681" s="87" t="str">
        <x:v>VIS-EGKR-CHEM-S26-TASK-954-P006</x:v>
      </x:c>
      <x:c r="AD6681" s="87" t="str">
        <x:v>VIS-EGKR-CHEM-S26-ANSWERDOC-P001</x:v>
      </x:c>
      <x:c r="AE6681" s="87" t="str">
        <x:v>TASK_SPREAD; SECONDARY_ANSWER_SOURCE</x:v>
      </x:c>
      <x:c r="AF6681" s="87" t="str">
        <x:v>VIS-EGKR-CHEM-S26-TASK-954-P006: 6; VIS-EGKR-CHEM-S26-ANSWERDOC-P001: 1</x:v>
      </x:c>
      <x:c r="AG6681" s="87" t="str">
        <x:v>RESOLVED</x:v>
      </x:c>
      <x:c r="AH6681" s="87" t="str">
        <x:v>CROP_VERIFIED</x:v>
      </x:c>
      <x:c r="AI6681" s="30"/>
      <x:c r="AJ6681" s="87" t="str">
        <x:v>clean</x:v>
      </x:c>
      <x:c r="AK6681" s="87" t="str">
        <x:v>clean-v0.27</x:v>
      </x:c>
      <x:c r="AL6681" s="87" t="str">
        <x:v>statgrad_clean_continuation_v0_27(1).xlsx</x:v>
      </x:c>
      <x:c r="AM6681" s="87" t="str">
        <x:v>CHEM_EGKR_S26_954</x:v>
      </x:c>
      <x:c r="AN6681" s="87" t="n">
        <x:v>22</x:v>
      </x:c>
    </x:row>
    <x:row r="6682">
      <x:c r="A6682" s="87" t="n">
        <x:v>6681</x:v>
      </x:c>
      <x:c r="B6682" s="87" t="str">
        <x:v>EGKR-S26-CHEM-954-22</x:v>
      </x:c>
      <x:c r="C6682" s="87" t="str">
        <x:v>ЕГКР</x:v>
      </x:c>
      <x:c r="D6682" s="87"/>
      <x:c r="E6682" s="87" t="str">
        <x:v>Весна 2026</x:v>
      </x:c>
      <x:c r="F6682" s="87" t="str">
        <x:v>16.04.2026</x:v>
      </x:c>
      <x:c r="G6682" s="87" t="str">
        <x:v>Химия</x:v>
      </x:c>
      <x:c r="H6682" s="87" t="n">
        <x:v>11</x:v>
      </x:c>
      <x:c r="I6682" s="87"/>
      <x:c r="J6682" s="87" t="str">
        <x:v>954</x:v>
      </x:c>
      <x:c r="K6682" s="87" t="n">
        <x:v>22</x:v>
      </x:c>
      <x:c r="L6682" s="87" t="str">
        <x:v>Химическое равновесие</x:v>
      </x:c>
      <x:c r="M6682" s="30" t="str">
        <x:v>Задание линии 22: Химическое равновесие. Полная формулировка и все таблицы/формулы сохранены на странице по VIS_ID.</x:v>
      </x:c>
      <x:c r="N6682" s="30" t="str">
        <x:v>2221</x:v>
      </x:c>
      <x:c r="O6682" s="30" t="str">
        <x:v>Ответ проверен по исходной формулировке и химическим закономерностям.</x:v>
      </x:c>
      <x:c r="P6682" s="30"/>
      <x:c r="Q6682" s="30" t="str">
        <x:v>Полная исходная страница + независимая химическая проверка + аудит DOCX.</x:v>
      </x:c>
      <x:c r="R6682" s="30" t="str">
        <x:v>2221</x:v>
      </x:c>
      <x:c r="S6682" s="30"/>
      <x:c r="T6682" s="30"/>
      <x:c r="U6682" s="30" t="str">
        <x:v>Расхождений не выявлено.</x:v>
      </x:c>
      <x:c r="V6682" s="87" t="str">
        <x:v>VERIFIED</x:v>
      </x:c>
      <x:c r="W6682" s="87"/>
      <x:c r="X6682" s="87" t="n">
        <x:v>6</x:v>
      </x:c>
      <x:c r="Y6682" s="87"/>
      <x:c r="Z6682" s="87"/>
      <x:c r="AA6682" s="87"/>
      <x:c r="AB6682" s="87"/>
      <x:c r="AC6682" s="87" t="str">
        <x:v>VIS-EGKR-CHEM-S26-TASK-954-P006</x:v>
      </x:c>
      <x:c r="AD6682" s="87" t="str">
        <x:v>VIS-EGKR-CHEM-S26-ANSWERDOC-P001</x:v>
      </x:c>
      <x:c r="AE6682" s="87" t="str">
        <x:v>TASK_SPREAD; SECONDARY_ANSWER_SOURCE</x:v>
      </x:c>
      <x:c r="AF6682" s="87" t="str">
        <x:v>VIS-EGKR-CHEM-S26-TASK-954-P006: 6; VIS-EGKR-CHEM-S26-ANSWERDOC-P001: 1</x:v>
      </x:c>
      <x:c r="AG6682" s="87" t="str">
        <x:v>RESOLVED</x:v>
      </x:c>
      <x:c r="AH6682" s="87" t="str">
        <x:v>CROP_VERIFIED</x:v>
      </x:c>
      <x:c r="AI6682" s="30"/>
      <x:c r="AJ6682" s="87" t="str">
        <x:v>clean</x:v>
      </x:c>
      <x:c r="AK6682" s="87" t="str">
        <x:v>clean-v0.27</x:v>
      </x:c>
      <x:c r="AL6682" s="87" t="str">
        <x:v>statgrad_clean_continuation_v0_27(1).xlsx</x:v>
      </x:c>
      <x:c r="AM6682" s="87" t="str">
        <x:v>CHEM_EGKR_S26_954</x:v>
      </x:c>
      <x:c r="AN6682" s="87" t="n">
        <x:v>23</x:v>
      </x:c>
    </x:row>
    <x:row r="6683">
      <x:c r="A6683" s="87" t="n">
        <x:v>6682</x:v>
      </x:c>
      <x:c r="B6683" s="87" t="str">
        <x:v>EGKR-S26-CHEM-954-23</x:v>
      </x:c>
      <x:c r="C6683" s="87" t="str">
        <x:v>ЕГКР</x:v>
      </x:c>
      <x:c r="D6683" s="87"/>
      <x:c r="E6683" s="87" t="str">
        <x:v>Весна 2026</x:v>
      </x:c>
      <x:c r="F6683" s="87" t="str">
        <x:v>16.04.2026</x:v>
      </x:c>
      <x:c r="G6683" s="87" t="str">
        <x:v>Химия</x:v>
      </x:c>
      <x:c r="H6683" s="87" t="n">
        <x:v>11</x:v>
      </x:c>
      <x:c r="I6683" s="87"/>
      <x:c r="J6683" s="87" t="str">
        <x:v>954</x:v>
      </x:c>
      <x:c r="K6683" s="87" t="n">
        <x:v>23</x:v>
      </x:c>
      <x:c r="L6683" s="87" t="str">
        <x:v>Расчёт равновесных концентраций</x:v>
      </x:c>
      <x:c r="M6683" s="30" t="str">
        <x:v>Задание линии 23: Расчёт равновесных концентраций. Полная формулировка и все таблицы/формулы сохранены на странице по VIS_ID.</x:v>
      </x:c>
      <x:c r="N6683" s="30" t="str">
        <x:v>36</x:v>
      </x:c>
      <x:c r="O6683" s="30" t="str">
        <x:v>Ответ проверен по исходной формулировке и химическим закономерностям.</x:v>
      </x:c>
      <x:c r="P6683" s="30"/>
      <x:c r="Q6683" s="30" t="str">
        <x:v>Полная исходная страница + независимая химическая проверка + аудит DOCX.</x:v>
      </x:c>
      <x:c r="R6683" s="30" t="str">
        <x:v>36</x:v>
      </x:c>
      <x:c r="S6683" s="30"/>
      <x:c r="T6683" s="30"/>
      <x:c r="U6683" s="30" t="str">
        <x:v>Расхождений не выявлено.</x:v>
      </x:c>
      <x:c r="V6683" s="87" t="str">
        <x:v>VERIFIED</x:v>
      </x:c>
      <x:c r="W6683" s="87"/>
      <x:c r="X6683" s="87" t="n">
        <x:v>6</x:v>
      </x:c>
      <x:c r="Y6683" s="87"/>
      <x:c r="Z6683" s="87"/>
      <x:c r="AA6683" s="87"/>
      <x:c r="AB6683" s="87"/>
      <x:c r="AC6683" s="87" t="str">
        <x:v>VIS-EGKR-CHEM-S26-TASK-954-P006</x:v>
      </x:c>
      <x:c r="AD6683" s="87" t="str">
        <x:v>VIS-EGKR-CHEM-S26-ANSWERDOC-P001</x:v>
      </x:c>
      <x:c r="AE6683" s="87" t="str">
        <x:v>TASK_SPREAD; SECONDARY_ANSWER_SOURCE</x:v>
      </x:c>
      <x:c r="AF6683" s="87" t="str">
        <x:v>VIS-EGKR-CHEM-S26-TASK-954-P006: 6; VIS-EGKR-CHEM-S26-ANSWERDOC-P001: 1</x:v>
      </x:c>
      <x:c r="AG6683" s="87" t="str">
        <x:v>RESOLVED</x:v>
      </x:c>
      <x:c r="AH6683" s="87" t="str">
        <x:v>CROP_VERIFIED</x:v>
      </x:c>
      <x:c r="AI6683" s="30"/>
      <x:c r="AJ6683" s="87" t="str">
        <x:v>clean</x:v>
      </x:c>
      <x:c r="AK6683" s="87" t="str">
        <x:v>clean-v0.27</x:v>
      </x:c>
      <x:c r="AL6683" s="87" t="str">
        <x:v>statgrad_clean_continuation_v0_27(1).xlsx</x:v>
      </x:c>
      <x:c r="AM6683" s="87" t="str">
        <x:v>CHEM_EGKR_S26_954</x:v>
      </x:c>
      <x:c r="AN6683" s="87" t="n">
        <x:v>24</x:v>
      </x:c>
    </x:row>
    <x:row r="6684">
      <x:c r="A6684" s="87" t="n">
        <x:v>6683</x:v>
      </x:c>
      <x:c r="B6684" s="87" t="str">
        <x:v>EGKR-S26-CHEM-954-24</x:v>
      </x:c>
      <x:c r="C6684" s="87" t="str">
        <x:v>ЕГКР</x:v>
      </x:c>
      <x:c r="D6684" s="87"/>
      <x:c r="E6684" s="87" t="str">
        <x:v>Весна 2026</x:v>
      </x:c>
      <x:c r="F6684" s="87" t="str">
        <x:v>16.04.2026</x:v>
      </x:c>
      <x:c r="G6684" s="87" t="str">
        <x:v>Химия</x:v>
      </x:c>
      <x:c r="H6684" s="87" t="n">
        <x:v>11</x:v>
      </x:c>
      <x:c r="I6684" s="87"/>
      <x:c r="J6684" s="87" t="str">
        <x:v>954</x:v>
      </x:c>
      <x:c r="K6684" s="87" t="n">
        <x:v>24</x:v>
      </x:c>
      <x:c r="L6684" s="87" t="str">
        <x:v>Качественное различение веществ</x:v>
      </x:c>
      <x:c r="M6684" s="30" t="str">
        <x:v>Задание линии 24: Качественное различение веществ. Полная формулировка и все таблицы/формулы сохранены на странице по VIS_ID.</x:v>
      </x:c>
      <x:c r="N6684" s="30" t="str">
        <x:v>1235</x:v>
      </x:c>
      <x:c r="O6684" s="30" t="str">
        <x:v>Ответ проверен по исходной формулировке и химическим закономерностям.</x:v>
      </x:c>
      <x:c r="P6684" s="30"/>
      <x:c r="Q6684" s="30" t="str">
        <x:v>Полная исходная страница + независимая химическая проверка + аудит DOCX.</x:v>
      </x:c>
      <x:c r="R6684" s="30" t="str">
        <x:v>1235</x:v>
      </x:c>
      <x:c r="S6684" s="30"/>
      <x:c r="T6684" s="30"/>
      <x:c r="U6684" s="30" t="str">
        <x:v>Расхождений не выявлено.</x:v>
      </x:c>
      <x:c r="V6684" s="87" t="str">
        <x:v>VERIFIED</x:v>
      </x:c>
      <x:c r="W6684" s="87"/>
      <x:c r="X6684" s="87" t="n">
        <x:v>7</x:v>
      </x:c>
      <x:c r="Y6684" s="87"/>
      <x:c r="Z6684" s="87"/>
      <x:c r="AA6684" s="87"/>
      <x:c r="AB6684" s="87"/>
      <x:c r="AC6684" s="87" t="str">
        <x:v>VIS-EGKR-CHEM-S26-TASK-954-P007</x:v>
      </x:c>
      <x:c r="AD6684" s="87" t="str">
        <x:v>VIS-EGKR-CHEM-S26-ANSWERDOC-P001</x:v>
      </x:c>
      <x:c r="AE6684" s="87" t="str">
        <x:v>TASK_SPREAD; SECONDARY_ANSWER_SOURCE</x:v>
      </x:c>
      <x:c r="AF6684" s="87" t="str">
        <x:v>VIS-EGKR-CHEM-S26-TASK-954-P007: 7; VIS-EGKR-CHEM-S26-ANSWERDOC-P001: 1</x:v>
      </x:c>
      <x:c r="AG6684" s="87" t="str">
        <x:v>RESOLVED</x:v>
      </x:c>
      <x:c r="AH6684" s="87" t="str">
        <x:v>CROP_VERIFIED</x:v>
      </x:c>
      <x:c r="AI6684" s="30"/>
      <x:c r="AJ6684" s="87" t="str">
        <x:v>clean</x:v>
      </x:c>
      <x:c r="AK6684" s="87" t="str">
        <x:v>clean-v0.27</x:v>
      </x:c>
      <x:c r="AL6684" s="87" t="str">
        <x:v>statgrad_clean_continuation_v0_27(1).xlsx</x:v>
      </x:c>
      <x:c r="AM6684" s="87" t="str">
        <x:v>CHEM_EGKR_S26_954</x:v>
      </x:c>
      <x:c r="AN6684" s="87" t="n">
        <x:v>25</x:v>
      </x:c>
    </x:row>
    <x:row r="6685">
      <x:c r="A6685" s="87" t="n">
        <x:v>6684</x:v>
      </x:c>
      <x:c r="B6685" s="87" t="str">
        <x:v>EGKR-S26-CHEM-954-25</x:v>
      </x:c>
      <x:c r="C6685" s="87" t="str">
        <x:v>ЕГКР</x:v>
      </x:c>
      <x:c r="D6685" s="87"/>
      <x:c r="E6685" s="87" t="str">
        <x:v>Весна 2026</x:v>
      </x:c>
      <x:c r="F6685" s="87" t="str">
        <x:v>16.04.2026</x:v>
      </x:c>
      <x:c r="G6685" s="87" t="str">
        <x:v>Химия</x:v>
      </x:c>
      <x:c r="H6685" s="87" t="n">
        <x:v>11</x:v>
      </x:c>
      <x:c r="I6685" s="87"/>
      <x:c r="J6685" s="87" t="str">
        <x:v>954</x:v>
      </x:c>
      <x:c r="K6685" s="87" t="n">
        <x:v>25</x:v>
      </x:c>
      <x:c r="L6685" s="87" t="str">
        <x:v>Применение веществ</x:v>
      </x:c>
      <x:c r="M6685" s="30" t="str">
        <x:v>Задание линии 25: Применение веществ. Полная формулировка и все таблицы/формулы сохранены на странице по VIS_ID.</x:v>
      </x:c>
      <x:c r="N6685" s="30" t="str">
        <x:v>132</x:v>
      </x:c>
      <x:c r="O6685" s="30" t="str">
        <x:v>Ответ проверен по исходной формулировке и химическим закономерностям.</x:v>
      </x:c>
      <x:c r="P6685" s="30"/>
      <x:c r="Q6685" s="30" t="str">
        <x:v>Полная исходная страница + независимая химическая проверка + аудит DOCX.</x:v>
      </x:c>
      <x:c r="R6685" s="30" t="str">
        <x:v>132</x:v>
      </x:c>
      <x:c r="S6685" s="30"/>
      <x:c r="T6685" s="30"/>
      <x:c r="U6685" s="30" t="str">
        <x:v>Расхождений не выявлено.</x:v>
      </x:c>
      <x:c r="V6685" s="87" t="str">
        <x:v>VERIFIED</x:v>
      </x:c>
      <x:c r="W6685" s="87"/>
      <x:c r="X6685" s="87" t="n">
        <x:v>7</x:v>
      </x:c>
      <x:c r="Y6685" s="87"/>
      <x:c r="Z6685" s="87"/>
      <x:c r="AA6685" s="87"/>
      <x:c r="AB6685" s="87"/>
      <x:c r="AC6685" s="87" t="str">
        <x:v>VIS-EGKR-CHEM-S26-TASK-954-P007</x:v>
      </x:c>
      <x:c r="AD6685" s="87" t="str">
        <x:v>VIS-EGKR-CHEM-S26-ANSWERDOC-P001</x:v>
      </x:c>
      <x:c r="AE6685" s="87" t="str">
        <x:v>TASK_SPREAD; SECONDARY_ANSWER_SOURCE</x:v>
      </x:c>
      <x:c r="AF6685" s="87" t="str">
        <x:v>VIS-EGKR-CHEM-S26-TASK-954-P007: 7; VIS-EGKR-CHEM-S26-ANSWERDOC-P001: 1</x:v>
      </x:c>
      <x:c r="AG6685" s="87" t="str">
        <x:v>RESOLVED</x:v>
      </x:c>
      <x:c r="AH6685" s="87" t="str">
        <x:v>CROP_VERIFIED</x:v>
      </x:c>
      <x:c r="AI6685" s="30"/>
      <x:c r="AJ6685" s="87" t="str">
        <x:v>clean</x:v>
      </x:c>
      <x:c r="AK6685" s="87" t="str">
        <x:v>clean-v0.27</x:v>
      </x:c>
      <x:c r="AL6685" s="87" t="str">
        <x:v>statgrad_clean_continuation_v0_27(1).xlsx</x:v>
      </x:c>
      <x:c r="AM6685" s="87" t="str">
        <x:v>CHEM_EGKR_S26_954</x:v>
      </x:c>
      <x:c r="AN6685" s="87" t="n">
        <x:v>26</x:v>
      </x:c>
    </x:row>
    <x:row r="6686">
      <x:c r="A6686" s="87" t="n">
        <x:v>6685</x:v>
      </x:c>
      <x:c r="B6686" s="87" t="str">
        <x:v>EGKR-S26-CHEM-954-26</x:v>
      </x:c>
      <x:c r="C6686" s="87" t="str">
        <x:v>ЕГКР</x:v>
      </x:c>
      <x:c r="D6686" s="87"/>
      <x:c r="E6686" s="87" t="str">
        <x:v>Весна 2026</x:v>
      </x:c>
      <x:c r="F6686" s="87" t="str">
        <x:v>16.04.2026</x:v>
      </x:c>
      <x:c r="G6686" s="87" t="str">
        <x:v>Химия</x:v>
      </x:c>
      <x:c r="H6686" s="87" t="n">
        <x:v>11</x:v>
      </x:c>
      <x:c r="I6686" s="87"/>
      <x:c r="J6686" s="87" t="str">
        <x:v>954</x:v>
      </x:c>
      <x:c r="K6686" s="87" t="n">
        <x:v>26</x:v>
      </x:c>
      <x:c r="L6686" s="87" t="str">
        <x:v>Расчёт по растворам</x:v>
      </x:c>
      <x:c r="M6686" s="30" t="str">
        <x:v>Задание линии 26: Расчёт по растворам. Полная формулировка и все таблицы/формулы сохранены на странице по VIS_ID.</x:v>
      </x:c>
      <x:c r="N6686" s="30" t="str">
        <x:v>40</x:v>
      </x:c>
      <x:c r="O6686" s="30" t="str">
        <x:v>0,14x/(x+30)=0,08, откуда x=40 г.</x:v>
      </x:c>
      <x:c r="P6686" s="30"/>
      <x:c r="Q6686" s="30" t="str">
        <x:v>Полная исходная страница + независимая химическая проверка + аудит DOCX.</x:v>
      </x:c>
      <x:c r="R6686" s="30" t="str">
        <x:v>40</x:v>
      </x:c>
      <x:c r="S6686" s="30"/>
      <x:c r="T6686" s="30"/>
      <x:c r="U6686" s="30" t="str">
        <x:v>Расхождений не выявлено.</x:v>
      </x:c>
      <x:c r="V6686" s="87" t="str">
        <x:v>VERIFIED</x:v>
      </x:c>
      <x:c r="W6686" s="87"/>
      <x:c r="X6686" s="87" t="n">
        <x:v>7</x:v>
      </x:c>
      <x:c r="Y6686" s="87"/>
      <x:c r="Z6686" s="87"/>
      <x:c r="AA6686" s="87"/>
      <x:c r="AB6686" s="87"/>
      <x:c r="AC6686" s="87" t="str">
        <x:v>VIS-EGKR-CHEM-S26-TASK-954-P007</x:v>
      </x:c>
      <x:c r="AD6686" s="87" t="str">
        <x:v>VIS-EGKR-CHEM-S26-ANSWERDOC-P001</x:v>
      </x:c>
      <x:c r="AE6686" s="87" t="str">
        <x:v>TASK_SPREAD; SECONDARY_ANSWER_SOURCE</x:v>
      </x:c>
      <x:c r="AF6686" s="87" t="str">
        <x:v>VIS-EGKR-CHEM-S26-TASK-954-P007: 7; VIS-EGKR-CHEM-S26-ANSWERDOC-P001: 1</x:v>
      </x:c>
      <x:c r="AG6686" s="87" t="str">
        <x:v>RESOLVED</x:v>
      </x:c>
      <x:c r="AH6686" s="87" t="str">
        <x:v>CROP_VERIFIED</x:v>
      </x:c>
      <x:c r="AI6686" s="30"/>
      <x:c r="AJ6686" s="87" t="str">
        <x:v>clean</x:v>
      </x:c>
      <x:c r="AK6686" s="87" t="str">
        <x:v>clean-v0.27</x:v>
      </x:c>
      <x:c r="AL6686" s="87" t="str">
        <x:v>statgrad_clean_continuation_v0_27(1).xlsx</x:v>
      </x:c>
      <x:c r="AM6686" s="87" t="str">
        <x:v>CHEM_EGKR_S26_954</x:v>
      </x:c>
      <x:c r="AN6686" s="87" t="n">
        <x:v>27</x:v>
      </x:c>
    </x:row>
    <x:row r="6687">
      <x:c r="A6687" s="87" t="n">
        <x:v>6686</x:v>
      </x:c>
      <x:c r="B6687" s="87" t="str">
        <x:v>EGKR-S26-CHEM-954-27</x:v>
      </x:c>
      <x:c r="C6687" s="87" t="str">
        <x:v>ЕГКР</x:v>
      </x:c>
      <x:c r="D6687" s="87"/>
      <x:c r="E6687" s="87" t="str">
        <x:v>Весна 2026</x:v>
      </x:c>
      <x:c r="F6687" s="87" t="str">
        <x:v>16.04.2026</x:v>
      </x:c>
      <x:c r="G6687" s="87" t="str">
        <x:v>Химия</x:v>
      </x:c>
      <x:c r="H6687" s="87" t="n">
        <x:v>11</x:v>
      </x:c>
      <x:c r="I6687" s="87"/>
      <x:c r="J6687" s="87" t="str">
        <x:v>954</x:v>
      </x:c>
      <x:c r="K6687" s="87" t="n">
        <x:v>27</x:v>
      </x:c>
      <x:c r="L6687" s="87" t="str">
        <x:v>Термохимический расчёт</x:v>
      </x:c>
      <x:c r="M6687" s="30" t="str">
        <x:v>Задание линии 27: Термохимический расчёт. Полная формулировка и все таблицы/формулы сохранены на странице по VIS_ID.</x:v>
      </x:c>
      <x:c r="N6687" s="30" t="str">
        <x:v>8,96</x:v>
      </x:c>
      <x:c r="O6687" s="30" t="str">
        <x:v>477/2385=0,2 реакции; сгорает 0,4 моль CH3CHO, V=0,4·22,4=8,96 л.</x:v>
      </x:c>
      <x:c r="P6687" s="30"/>
      <x:c r="Q6687" s="30" t="str">
        <x:v>Полная исходная страница + независимая химическая проверка + аудит DOCX.</x:v>
      </x:c>
      <x:c r="R6687" s="30" t="str">
        <x:v>8,96</x:v>
      </x:c>
      <x:c r="S6687" s="30"/>
      <x:c r="T6687" s="30"/>
      <x:c r="U6687" s="30" t="str">
        <x:v>Расхождений не выявлено.</x:v>
      </x:c>
      <x:c r="V6687" s="87" t="str">
        <x:v>VERIFIED</x:v>
      </x:c>
      <x:c r="W6687" s="87"/>
      <x:c r="X6687" s="87" t="n">
        <x:v>7</x:v>
      </x:c>
      <x:c r="Y6687" s="87"/>
      <x:c r="Z6687" s="87"/>
      <x:c r="AA6687" s="87"/>
      <x:c r="AB6687" s="87"/>
      <x:c r="AC6687" s="87" t="str">
        <x:v>VIS-EGKR-CHEM-S26-TASK-954-P007</x:v>
      </x:c>
      <x:c r="AD6687" s="87" t="str">
        <x:v>VIS-EGKR-CHEM-S26-ANSWERDOC-P001</x:v>
      </x:c>
      <x:c r="AE6687" s="87" t="str">
        <x:v>TASK_SPREAD; SECONDARY_ANSWER_SOURCE</x:v>
      </x:c>
      <x:c r="AF6687" s="87" t="str">
        <x:v>VIS-EGKR-CHEM-S26-TASK-954-P007: 7; VIS-EGKR-CHEM-S26-ANSWERDOC-P001: 1</x:v>
      </x:c>
      <x:c r="AG6687" s="87" t="str">
        <x:v>RESOLVED</x:v>
      </x:c>
      <x:c r="AH6687" s="87" t="str">
        <x:v>CROP_VERIFIED</x:v>
      </x:c>
      <x:c r="AI6687" s="30"/>
      <x:c r="AJ6687" s="87" t="str">
        <x:v>clean</x:v>
      </x:c>
      <x:c r="AK6687" s="87" t="str">
        <x:v>clean-v0.27</x:v>
      </x:c>
      <x:c r="AL6687" s="87" t="str">
        <x:v>statgrad_clean_continuation_v0_27(1).xlsx</x:v>
      </x:c>
      <x:c r="AM6687" s="87" t="str">
        <x:v>CHEM_EGKR_S26_954</x:v>
      </x:c>
      <x:c r="AN6687" s="87" t="n">
        <x:v>28</x:v>
      </x:c>
    </x:row>
    <x:row r="6688">
      <x:c r="A6688" s="87" t="n">
        <x:v>6687</x:v>
      </x:c>
      <x:c r="B6688" s="87" t="str">
        <x:v>EGKR-S26-CHEM-954-28</x:v>
      </x:c>
      <x:c r="C6688" s="87" t="str">
        <x:v>ЕГКР</x:v>
      </x:c>
      <x:c r="D6688" s="87"/>
      <x:c r="E6688" s="87" t="str">
        <x:v>Весна 2026</x:v>
      </x:c>
      <x:c r="F6688" s="87" t="str">
        <x:v>16.04.2026</x:v>
      </x:c>
      <x:c r="G6688" s="87" t="str">
        <x:v>Химия</x:v>
      </x:c>
      <x:c r="H6688" s="87" t="n">
        <x:v>11</x:v>
      </x:c>
      <x:c r="I6688" s="87"/>
      <x:c r="J6688" s="87" t="str">
        <x:v>954</x:v>
      </x:c>
      <x:c r="K6688" s="87" t="n">
        <x:v>28</x:v>
      </x:c>
      <x:c r="L6688" s="87" t="str">
        <x:v>Расчёт выхода / примесей</x:v>
      </x:c>
      <x:c r="M6688" s="30" t="str">
        <x:v>Задание линии 28: Расчёт выхода / примесей. Полная формулировка и все таблицы/формулы сохранены на странице по VIS_ID.</x:v>
      </x:c>
      <x:c r="N6688" s="30" t="str">
        <x:v>85</x:v>
      </x:c>
      <x:c r="O6688" s="30" t="str">
        <x:v>16 г Ca =0,4 моль; Vтеор(H2)=8,96 л; 7,616/8,96=85%.</x:v>
      </x:c>
      <x:c r="P6688" s="30"/>
      <x:c r="Q6688" s="30" t="str">
        <x:v>Полная исходная страница + независимая химическая проверка + аудит DOCX.</x:v>
      </x:c>
      <x:c r="R6688" s="30" t="str">
        <x:v>85</x:v>
      </x:c>
      <x:c r="S6688" s="30"/>
      <x:c r="T6688" s="30"/>
      <x:c r="U6688" s="30" t="str">
        <x:v>Расхождений не выявлено.</x:v>
      </x:c>
      <x:c r="V6688" s="87" t="str">
        <x:v>VERIFIED</x:v>
      </x:c>
      <x:c r="W6688" s="87"/>
      <x:c r="X6688" s="87" t="n">
        <x:v>7</x:v>
      </x:c>
      <x:c r="Y6688" s="87"/>
      <x:c r="Z6688" s="87"/>
      <x:c r="AA6688" s="87"/>
      <x:c r="AB6688" s="87"/>
      <x:c r="AC6688" s="87" t="str">
        <x:v>VIS-EGKR-CHEM-S26-TASK-954-P007</x:v>
      </x:c>
      <x:c r="AD6688" s="87" t="str">
        <x:v>VIS-EGKR-CHEM-S26-ANSWERDOC-P001</x:v>
      </x:c>
      <x:c r="AE6688" s="87" t="str">
        <x:v>TASK_SPREAD; SECONDARY_ANSWER_SOURCE</x:v>
      </x:c>
      <x:c r="AF6688" s="87" t="str">
        <x:v>VIS-EGKR-CHEM-S26-TASK-954-P007: 7; VIS-EGKR-CHEM-S26-ANSWERDOC-P001: 1</x:v>
      </x:c>
      <x:c r="AG6688" s="87" t="str">
        <x:v>RESOLVED</x:v>
      </x:c>
      <x:c r="AH6688" s="87" t="str">
        <x:v>CROP_VERIFIED</x:v>
      </x:c>
      <x:c r="AI6688" s="30"/>
      <x:c r="AJ6688" s="87" t="str">
        <x:v>clean</x:v>
      </x:c>
      <x:c r="AK6688" s="87" t="str">
        <x:v>clean-v0.27</x:v>
      </x:c>
      <x:c r="AL6688" s="87" t="str">
        <x:v>statgrad_clean_continuation_v0_27(1).xlsx</x:v>
      </x:c>
      <x:c r="AM6688" s="87" t="str">
        <x:v>CHEM_EGKR_S26_954</x:v>
      </x:c>
      <x:c r="AN6688" s="87" t="n">
        <x:v>29</x:v>
      </x:c>
    </x:row>
    <x:row r="6689">
      <x:c r="A6689" s="87" t="n">
        <x:v>6688</x:v>
      </x:c>
      <x:c r="B6689" s="87" t="str">
        <x:v>EGKR-S26-CHEM-954-29</x:v>
      </x:c>
      <x:c r="C6689" s="87" t="str">
        <x:v>ЕГКР</x:v>
      </x:c>
      <x:c r="D6689" s="87"/>
      <x:c r="E6689" s="87" t="str">
        <x:v>Весна 2026</x:v>
      </x:c>
      <x:c r="F6689" s="87" t="str">
        <x:v>16.04.2026</x:v>
      </x:c>
      <x:c r="G6689" s="87" t="str">
        <x:v>Химия</x:v>
      </x:c>
      <x:c r="H6689" s="87" t="n">
        <x:v>11</x:v>
      </x:c>
      <x:c r="I6689" s="87"/>
      <x:c r="J6689" s="87" t="str">
        <x:v>954</x:v>
      </x:c>
      <x:c r="K6689" s="87" t="n">
        <x:v>29</x:v>
      </x:c>
      <x:c r="L6689" s="87" t="str">
        <x:v>ОВР с выбором веществ</x:v>
      </x:c>
      <x:c r="M6689" s="30" t="str">
        <x:v>Выбрать Fe2(SO4)3 и SO2; в воде образуются только соли и кислота.</x:v>
      </x:c>
      <x:c r="N6689" s="30" t="str">
        <x:v>Fe2(SO4)3 + SO2 + 2H2O → 2FeSO4 + 2H2SO4. Баланс: 2Fe(+3)+2e→2Fe(+2); S(+4)−2e→S(+6). Окислитель Fe2(SO4)3, восстановитель SO2.</x:v>
      </x:c>
      <x:c r="O6689" s="30" t="str">
        <x:v>Рабочая модель составлена по исходному условию; официальные критерии в архиве отсутствуют.</x:v>
      </x:c>
      <x:c r="P6689" s="30"/>
      <x:c r="Q6689" s="30" t="str">
        <x:v>Баланс атомов/заряда, химическая логика и независимые расчёты.</x:v>
      </x:c>
      <x:c r="R6689" s="30" t="str">
        <x:v>NO_OFFICIAL_MODEL</x:v>
      </x:c>
      <x:c r="S6689" s="30"/>
      <x:c r="T6689" s="30"/>
      <x:c r="U6689" s="30" t="str">
        <x:v>Модель не выдаётся за единственно допустимую формулировку.</x:v>
      </x:c>
      <x:c r="V6689" s="87" t="str">
        <x:v>MODEL_READY</x:v>
      </x:c>
      <x:c r="W6689" s="87"/>
      <x:c r="X6689" s="87" t="n">
        <x:v>8</x:v>
      </x:c>
      <x:c r="Y6689" s="87"/>
      <x:c r="Z6689" s="87"/>
      <x:c r="AA6689" s="87"/>
      <x:c r="AB6689" s="87"/>
      <x:c r="AC6689" s="87" t="str">
        <x:v>VIS-EGKR-CHEM-S26-TASK-954-P008</x:v>
      </x:c>
      <x:c r="AD6689" s="87"/>
      <x:c r="AE6689" s="87" t="str">
        <x:v>TASK_SPREAD</x:v>
      </x:c>
      <x:c r="AF6689" s="87" t="str">
        <x:v>VIS-EGKR-CHEM-S26-TASK-954-P008: 8</x:v>
      </x:c>
      <x:c r="AG6689" s="87" t="str">
        <x:v>RESOLVED</x:v>
      </x:c>
      <x:c r="AH6689" s="87" t="str">
        <x:v>CROP_VERIFIED</x:v>
      </x:c>
      <x:c r="AI6689" s="30"/>
      <x:c r="AJ6689" s="87" t="str">
        <x:v>clean</x:v>
      </x:c>
      <x:c r="AK6689" s="87" t="str">
        <x:v>clean-v0.27</x:v>
      </x:c>
      <x:c r="AL6689" s="87" t="str">
        <x:v>statgrad_clean_continuation_v0_27(1).xlsx</x:v>
      </x:c>
      <x:c r="AM6689" s="87" t="str">
        <x:v>CHEM_EGKR_S26_954</x:v>
      </x:c>
      <x:c r="AN6689" s="87" t="n">
        <x:v>30</x:v>
      </x:c>
    </x:row>
    <x:row r="6690">
      <x:c r="A6690" s="87" t="n">
        <x:v>6689</x:v>
      </x:c>
      <x:c r="B6690" s="87" t="str">
        <x:v>EGKR-S26-CHEM-954-30</x:v>
      </x:c>
      <x:c r="C6690" s="87" t="str">
        <x:v>ЕГКР</x:v>
      </x:c>
      <x:c r="D6690" s="87"/>
      <x:c r="E6690" s="87" t="str">
        <x:v>Весна 2026</x:v>
      </x:c>
      <x:c r="F6690" s="87" t="str">
        <x:v>16.04.2026</x:v>
      </x:c>
      <x:c r="G6690" s="87" t="str">
        <x:v>Химия</x:v>
      </x:c>
      <x:c r="H6690" s="87" t="n">
        <x:v>11</x:v>
      </x:c>
      <x:c r="I6690" s="87"/>
      <x:c r="J6690" s="87" t="str">
        <x:v>954</x:v>
      </x:c>
      <x:c r="K6690" s="87" t="n">
        <x:v>30</x:v>
      </x:c>
      <x:c r="L6690" s="87" t="str">
        <x:v>Ионный обмен</x:v>
      </x:c>
      <x:c r="M6690" s="30" t="str">
        <x:v>Получить белый осадок гидроксида цинка.</x:v>
      </x:c>
      <x:c r="N6690" s="30" t="str">
        <x:v>Zn(NO3)2 + 2NaOH → Zn(OH)2↓ + 2NaNO3. Полное ионное: Zn2+ +2NO3− +2Na+ +2OH− → Zn(OH)2↓ +2Na+ +2NO3−. Сокращённое: Zn2+ +2OH− → Zn(OH)2↓.</x:v>
      </x:c>
      <x:c r="O6690" s="30" t="str">
        <x:v>Рабочая модель составлена по исходному условию; официальные критерии в архиве отсутствуют.</x:v>
      </x:c>
      <x:c r="P6690" s="30"/>
      <x:c r="Q6690" s="30" t="str">
        <x:v>Баланс атомов/заряда, химическая логика и независимые расчёты.</x:v>
      </x:c>
      <x:c r="R6690" s="30" t="str">
        <x:v>NO_OFFICIAL_MODEL</x:v>
      </x:c>
      <x:c r="S6690" s="30"/>
      <x:c r="T6690" s="30"/>
      <x:c r="U6690" s="30" t="str">
        <x:v>Модель не выдаётся за единственно допустимую формулировку.</x:v>
      </x:c>
      <x:c r="V6690" s="87" t="str">
        <x:v>MODEL_READY</x:v>
      </x:c>
      <x:c r="W6690" s="87"/>
      <x:c r="X6690" s="87" t="n">
        <x:v>8</x:v>
      </x:c>
      <x:c r="Y6690" s="87"/>
      <x:c r="Z6690" s="87"/>
      <x:c r="AA6690" s="87"/>
      <x:c r="AB6690" s="87"/>
      <x:c r="AC6690" s="87" t="str">
        <x:v>VIS-EGKR-CHEM-S26-TASK-954-P008</x:v>
      </x:c>
      <x:c r="AD6690" s="87"/>
      <x:c r="AE6690" s="87" t="str">
        <x:v>TASK_SPREAD</x:v>
      </x:c>
      <x:c r="AF6690" s="87" t="str">
        <x:v>VIS-EGKR-CHEM-S26-TASK-954-P008: 8</x:v>
      </x:c>
      <x:c r="AG6690" s="87" t="str">
        <x:v>RESOLVED</x:v>
      </x:c>
      <x:c r="AH6690" s="87" t="str">
        <x:v>CROP_VERIFIED</x:v>
      </x:c>
      <x:c r="AI6690" s="30"/>
      <x:c r="AJ6690" s="87" t="str">
        <x:v>clean</x:v>
      </x:c>
      <x:c r="AK6690" s="87" t="str">
        <x:v>clean-v0.27</x:v>
      </x:c>
      <x:c r="AL6690" s="87" t="str">
        <x:v>statgrad_clean_continuation_v0_27(1).xlsx</x:v>
      </x:c>
      <x:c r="AM6690" s="87" t="str">
        <x:v>CHEM_EGKR_S26_954</x:v>
      </x:c>
      <x:c r="AN6690" s="87" t="n">
        <x:v>31</x:v>
      </x:c>
    </x:row>
    <x:row r="6691">
      <x:c r="A6691" s="87" t="n">
        <x:v>6690</x:v>
      </x:c>
      <x:c r="B6691" s="87" t="str">
        <x:v>EGKR-S26-CHEM-954-31</x:v>
      </x:c>
      <x:c r="C6691" s="87" t="str">
        <x:v>ЕГКР</x:v>
      </x:c>
      <x:c r="D6691" s="87"/>
      <x:c r="E6691" s="87" t="str">
        <x:v>Весна 2026</x:v>
      </x:c>
      <x:c r="F6691" s="87" t="str">
        <x:v>16.04.2026</x:v>
      </x:c>
      <x:c r="G6691" s="87" t="str">
        <x:v>Химия</x:v>
      </x:c>
      <x:c r="H6691" s="87" t="n">
        <x:v>11</x:v>
      </x:c>
      <x:c r="I6691" s="87"/>
      <x:c r="J6691" s="87" t="str">
        <x:v>954</x:v>
      </x:c>
      <x:c r="K6691" s="87" t="n">
        <x:v>31</x:v>
      </x:c>
      <x:c r="L6691" s="87" t="str">
        <x:v>Цепочка неорганических реакций</x:v>
      </x:c>
      <x:c r="M6691" s="30" t="str">
        <x:v>Осуществить цепочку AlP → раствор соли Al → SO2 → реакции с дихроматом и йодом.</x:v>
      </x:c>
      <x:c r="N6691" s="30" t="str">
        <x:v>AlP+3HCl→AlCl3+PH3↑; 2AlCl3+3Na2SO3+3H2O→2Al(OH)3↓+3SO2↑+6NaCl; K2Cr2O7+3SO2+H2SO4→Cr2(SO4)3+K2SO4+H2O; SO2+I2+2H2O→H2SO4+2HI.</x:v>
      </x:c>
      <x:c r="O6691" s="30" t="str">
        <x:v>Рабочая модель составлена по исходному условию; официальные критерии в архиве отсутствуют.</x:v>
      </x:c>
      <x:c r="P6691" s="30"/>
      <x:c r="Q6691" s="30" t="str">
        <x:v>Баланс атомов/заряда, химическая логика и независимые расчёты.</x:v>
      </x:c>
      <x:c r="R6691" s="30" t="str">
        <x:v>NO_OFFICIAL_MODEL</x:v>
      </x:c>
      <x:c r="S6691" s="30"/>
      <x:c r="T6691" s="30"/>
      <x:c r="U6691" s="30" t="str">
        <x:v>Модель не выдаётся за единственно допустимую формулировку.</x:v>
      </x:c>
      <x:c r="V6691" s="87" t="str">
        <x:v>MODEL_READY</x:v>
      </x:c>
      <x:c r="W6691" s="87"/>
      <x:c r="X6691" s="87" t="n">
        <x:v>8</x:v>
      </x:c>
      <x:c r="Y6691" s="87"/>
      <x:c r="Z6691" s="87"/>
      <x:c r="AA6691" s="87"/>
      <x:c r="AB6691" s="87"/>
      <x:c r="AC6691" s="87" t="str">
        <x:v>VIS-EGKR-CHEM-S26-TASK-954-P008</x:v>
      </x:c>
      <x:c r="AD6691" s="87"/>
      <x:c r="AE6691" s="87" t="str">
        <x:v>TASK_SPREAD</x:v>
      </x:c>
      <x:c r="AF6691" s="87" t="str">
        <x:v>VIS-EGKR-CHEM-S26-TASK-954-P008: 8</x:v>
      </x:c>
      <x:c r="AG6691" s="87" t="str">
        <x:v>RESOLVED</x:v>
      </x:c>
      <x:c r="AH6691" s="87" t="str">
        <x:v>CROP_VERIFIED</x:v>
      </x:c>
      <x:c r="AI6691" s="30"/>
      <x:c r="AJ6691" s="87" t="str">
        <x:v>clean</x:v>
      </x:c>
      <x:c r="AK6691" s="87" t="str">
        <x:v>clean-v0.27</x:v>
      </x:c>
      <x:c r="AL6691" s="87" t="str">
        <x:v>statgrad_clean_continuation_v0_27(1).xlsx</x:v>
      </x:c>
      <x:c r="AM6691" s="87" t="str">
        <x:v>CHEM_EGKR_S26_954</x:v>
      </x:c>
      <x:c r="AN6691" s="87" t="n">
        <x:v>32</x:v>
      </x:c>
    </x:row>
    <x:row r="6692">
      <x:c r="A6692" s="87" t="n">
        <x:v>6691</x:v>
      </x:c>
      <x:c r="B6692" s="87" t="str">
        <x:v>EGKR-S26-CHEM-954-32</x:v>
      </x:c>
      <x:c r="C6692" s="87" t="str">
        <x:v>ЕГКР</x:v>
      </x:c>
      <x:c r="D6692" s="87"/>
      <x:c r="E6692" s="87" t="str">
        <x:v>Весна 2026</x:v>
      </x:c>
      <x:c r="F6692" s="87" t="str">
        <x:v>16.04.2026</x:v>
      </x:c>
      <x:c r="G6692" s="87" t="str">
        <x:v>Химия</x:v>
      </x:c>
      <x:c r="H6692" s="87" t="n">
        <x:v>11</x:v>
      </x:c>
      <x:c r="I6692" s="87"/>
      <x:c r="J6692" s="87" t="str">
        <x:v>954</x:v>
      </x:c>
      <x:c r="K6692" s="87" t="n">
        <x:v>32</x:v>
      </x:c>
      <x:c r="L6692" s="87" t="str">
        <x:v>Цепочка органических превращений</x:v>
      </x:c>
      <x:c r="M6692" s="30" t="str">
        <x:v>Ацетилен → бензол → гексахлорциклогексан → хлорциклогексан → циклогексен → циклогексан-1,2-диол.</x:v>
      </x:c>
      <x:c r="N6692" s="30" t="str">
        <x:v>3HC≡CH→C6H6; C6H6+3Cl2(hν)→C6H6Cl6; C6H6Cl6+5H2→C6H11Cl+5HCl; C6H11Cl+KOH(спирт.)→C6H10+KCl+H2O; 3C6H10+2KMnO4+4H2O→3C6H10(OH)2+2MnO2+2KOH.</x:v>
      </x:c>
      <x:c r="O6692" s="30" t="str">
        <x:v>Рабочая модель составлена по исходному условию; официальные критерии в архиве отсутствуют.</x:v>
      </x:c>
      <x:c r="P6692" s="30"/>
      <x:c r="Q6692" s="30" t="str">
        <x:v>Баланс атомов/заряда, химическая логика и независимые расчёты.</x:v>
      </x:c>
      <x:c r="R6692" s="30" t="str">
        <x:v>NO_OFFICIAL_MODEL</x:v>
      </x:c>
      <x:c r="S6692" s="30"/>
      <x:c r="T6692" s="30"/>
      <x:c r="U6692" s="30" t="str">
        <x:v>Модель не выдаётся за единственно допустимую формулировку.</x:v>
      </x:c>
      <x:c r="V6692" s="87" t="str">
        <x:v>MODEL_READY</x:v>
      </x:c>
      <x:c r="W6692" s="87"/>
      <x:c r="X6692" s="87" t="n">
        <x:v>8</x:v>
      </x:c>
      <x:c r="Y6692" s="87"/>
      <x:c r="Z6692" s="87"/>
      <x:c r="AA6692" s="87"/>
      <x:c r="AB6692" s="87"/>
      <x:c r="AC6692" s="87" t="str">
        <x:v>VIS-EGKR-CHEM-S26-TASK-954-P008</x:v>
      </x:c>
      <x:c r="AD6692" s="87"/>
      <x:c r="AE6692" s="87" t="str">
        <x:v>TASK_SPREAD</x:v>
      </x:c>
      <x:c r="AF6692" s="87" t="str">
        <x:v>VIS-EGKR-CHEM-S26-TASK-954-P008: 8</x:v>
      </x:c>
      <x:c r="AG6692" s="87" t="str">
        <x:v>RESOLVED</x:v>
      </x:c>
      <x:c r="AH6692" s="87" t="str">
        <x:v>CROP_VERIFIED</x:v>
      </x:c>
      <x:c r="AI6692" s="30"/>
      <x:c r="AJ6692" s="87" t="str">
        <x:v>clean</x:v>
      </x:c>
      <x:c r="AK6692" s="87" t="str">
        <x:v>clean-v0.27</x:v>
      </x:c>
      <x:c r="AL6692" s="87" t="str">
        <x:v>statgrad_clean_continuation_v0_27(1).xlsx</x:v>
      </x:c>
      <x:c r="AM6692" s="87" t="str">
        <x:v>CHEM_EGKR_S26_954</x:v>
      </x:c>
      <x:c r="AN6692" s="87" t="n">
        <x:v>33</x:v>
      </x:c>
    </x:row>
    <x:row r="6693">
      <x:c r="A6693" s="87" t="n">
        <x:v>6692</x:v>
      </x:c>
      <x:c r="B6693" s="87" t="str">
        <x:v>EGKR-S26-CHEM-954-33</x:v>
      </x:c>
      <x:c r="C6693" s="87" t="str">
        <x:v>ЕГКР</x:v>
      </x:c>
      <x:c r="D6693" s="87"/>
      <x:c r="E6693" s="87" t="str">
        <x:v>Весна 2026</x:v>
      </x:c>
      <x:c r="F6693" s="87" t="str">
        <x:v>16.04.2026</x:v>
      </x:c>
      <x:c r="G6693" s="87" t="str">
        <x:v>Химия</x:v>
      </x:c>
      <x:c r="H6693" s="87" t="n">
        <x:v>11</x:v>
      </x:c>
      <x:c r="I6693" s="87"/>
      <x:c r="J6693" s="87" t="str">
        <x:v>954</x:v>
      </x:c>
      <x:c r="K6693" s="87" t="n">
        <x:v>33</x:v>
      </x:c>
      <x:c r="L6693" s="87" t="str">
        <x:v>Установление формулы органического вещества</x:v>
      </x:c>
      <x:c r="M6693" s="30" t="str">
        <x:v>Определить кальциевую соль дикарбоновой кислоты и продукт сухой перегонки.</x:v>
      </x:c>
      <x:c r="N6693" s="30" t="str">
        <x:v>Из массовых долей получается Ca:C:H:O=1:6:8:4, формула CaC6H8O4. Это адипинат кальция Ca[−OOC−(CH2)4−COO−]. При нагревании: Ca[−OOC−(CH2)4−COO−]→циклопентанон+CaCO3.</x:v>
      </x:c>
      <x:c r="O6693" s="30" t="str">
        <x:v>Рабочая модель составлена по исходному условию; официальные критерии в архиве отсутствуют.</x:v>
      </x:c>
      <x:c r="P6693" s="30"/>
      <x:c r="Q6693" s="30" t="str">
        <x:v>Баланс атомов/заряда, химическая логика и независимые расчёты.</x:v>
      </x:c>
      <x:c r="R6693" s="30" t="str">
        <x:v>NO_OFFICIAL_MODEL</x:v>
      </x:c>
      <x:c r="S6693" s="30"/>
      <x:c r="T6693" s="30"/>
      <x:c r="U6693" s="30" t="str">
        <x:v>Модель не выдаётся за единственно допустимую формулировку.</x:v>
      </x:c>
      <x:c r="V6693" s="87" t="str">
        <x:v>MODEL_READY</x:v>
      </x:c>
      <x:c r="W6693" s="87"/>
      <x:c r="X6693" s="87" t="n">
        <x:v>8</x:v>
      </x:c>
      <x:c r="Y6693" s="87"/>
      <x:c r="Z6693" s="87"/>
      <x:c r="AA6693" s="87"/>
      <x:c r="AB6693" s="87"/>
      <x:c r="AC6693" s="87" t="str">
        <x:v>VIS-EGKR-CHEM-S26-TASK-954-P008</x:v>
      </x:c>
      <x:c r="AD6693" s="87"/>
      <x:c r="AE6693" s="87" t="str">
        <x:v>TASK_SPREAD</x:v>
      </x:c>
      <x:c r="AF6693" s="87" t="str">
        <x:v>VIS-EGKR-CHEM-S26-TASK-954-P008: 8</x:v>
      </x:c>
      <x:c r="AG6693" s="87" t="str">
        <x:v>RESOLVED</x:v>
      </x:c>
      <x:c r="AH6693" s="87" t="str">
        <x:v>CROP_VERIFIED</x:v>
      </x:c>
      <x:c r="AI6693" s="30"/>
      <x:c r="AJ6693" s="87" t="str">
        <x:v>clean</x:v>
      </x:c>
      <x:c r="AK6693" s="87" t="str">
        <x:v>clean-v0.27</x:v>
      </x:c>
      <x:c r="AL6693" s="87" t="str">
        <x:v>statgrad_clean_continuation_v0_27(1).xlsx</x:v>
      </x:c>
      <x:c r="AM6693" s="87" t="str">
        <x:v>CHEM_EGKR_S26_954</x:v>
      </x:c>
      <x:c r="AN6693" s="87" t="n">
        <x:v>34</x:v>
      </x:c>
    </x:row>
    <x:row r="6694">
      <x:c r="A6694" s="87" t="n">
        <x:v>6693</x:v>
      </x:c>
      <x:c r="B6694" s="87" t="str">
        <x:v>EGKR-S26-CHEM-954-34</x:v>
      </x:c>
      <x:c r="C6694" s="87" t="str">
        <x:v>ЕГКР</x:v>
      </x:c>
      <x:c r="D6694" s="87"/>
      <x:c r="E6694" s="87" t="str">
        <x:v>Весна 2026</x:v>
      </x:c>
      <x:c r="F6694" s="87" t="str">
        <x:v>16.04.2026</x:v>
      </x:c>
      <x:c r="G6694" s="87" t="str">
        <x:v>Химия</x:v>
      </x:c>
      <x:c r="H6694" s="87" t="n">
        <x:v>11</x:v>
      </x:c>
      <x:c r="I6694" s="87"/>
      <x:c r="J6694" s="87" t="str">
        <x:v>954</x:v>
      </x:c>
      <x:c r="K6694" s="87" t="n">
        <x:v>34</x:v>
      </x:c>
      <x:c r="L6694" s="87" t="str">
        <x:v>Расчётная задача высокой сложности</x:v>
      </x:c>
      <x:c r="M6694" s="30" t="str">
        <x:v>Рассчитать массу 15%-ного NaOH после электролиза CuCl2.</x:v>
      </x:c>
      <x:c r="N6694" s="30" t="str">
        <x:v>n(CuCl2)=0,400 моль; n(Cl2)=0,200 моль, осаждается 0,200 моль Cu. После удаления Cu и Cl2 масса раствора ≈333,0 г, остаётся 0,200 моль CuCl2. В порции 66,6 г содержится 0,040 моль CuCl2; требуется 0,080 моль NaOH=3,2 г. m(15%-ного раствора)=3,2/0,15=21,3 г.</x:v>
      </x:c>
      <x:c r="O6694" s="30" t="str">
        <x:v>Рабочая модель составлена по исходному условию; официальные критерии в архиве отсутствуют.</x:v>
      </x:c>
      <x:c r="P6694" s="30"/>
      <x:c r="Q6694" s="30" t="str">
        <x:v>Баланс атомов/заряда, химическая логика и независимые расчёты.</x:v>
      </x:c>
      <x:c r="R6694" s="30" t="str">
        <x:v>NO_OFFICIAL_MODEL</x:v>
      </x:c>
      <x:c r="S6694" s="30"/>
      <x:c r="T6694" s="30"/>
      <x:c r="U6694" s="30" t="str">
        <x:v>Модель не выдаётся за единственно допустимую формулировку.</x:v>
      </x:c>
      <x:c r="V6694" s="87" t="str">
        <x:v>MODEL_READY</x:v>
      </x:c>
      <x:c r="W6694" s="87"/>
      <x:c r="X6694" s="87" t="n">
        <x:v>8</x:v>
      </x:c>
      <x:c r="Y6694" s="87"/>
      <x:c r="Z6694" s="87"/>
      <x:c r="AA6694" s="87"/>
      <x:c r="AB6694" s="87"/>
      <x:c r="AC6694" s="87" t="str">
        <x:v>VIS-EGKR-CHEM-S26-TASK-954-P008</x:v>
      </x:c>
      <x:c r="AD6694" s="87"/>
      <x:c r="AE6694" s="87" t="str">
        <x:v>TASK_SPREAD</x:v>
      </x:c>
      <x:c r="AF6694" s="87" t="str">
        <x:v>VIS-EGKR-CHEM-S26-TASK-954-P008: 8</x:v>
      </x:c>
      <x:c r="AG6694" s="87" t="str">
        <x:v>RESOLVED</x:v>
      </x:c>
      <x:c r="AH6694" s="87" t="str">
        <x:v>CROP_VERIFIED</x:v>
      </x:c>
      <x:c r="AI6694" s="30"/>
      <x:c r="AJ6694" s="87" t="str">
        <x:v>clean</x:v>
      </x:c>
      <x:c r="AK6694" s="87" t="str">
        <x:v>clean-v0.27</x:v>
      </x:c>
      <x:c r="AL6694" s="87" t="str">
        <x:v>statgrad_clean_continuation_v0_27(1).xlsx</x:v>
      </x:c>
      <x:c r="AM6694" s="87" t="str">
        <x:v>CHEM_EGKR_S26_954</x:v>
      </x:c>
      <x:c r="AN6694" s="87" t="n">
        <x:v>35</x:v>
      </x:c>
    </x:row>
    <x:row r="6695">
      <x:c r="A6695" s="87" t="n">
        <x:v>6694</x:v>
      </x:c>
      <x:c r="B6695" s="87" t="str">
        <x:v>EGKR-S26-CHEM-955-01</x:v>
      </x:c>
      <x:c r="C6695" s="87" t="str">
        <x:v>ЕГКР</x:v>
      </x:c>
      <x:c r="D6695" s="87"/>
      <x:c r="E6695" s="87" t="str">
        <x:v>Весна 2026</x:v>
      </x:c>
      <x:c r="F6695" s="87" t="str">
        <x:v>16.04.2026</x:v>
      </x:c>
      <x:c r="G6695" s="87" t="str">
        <x:v>Химия</x:v>
      </x:c>
      <x:c r="H6695" s="87" t="n">
        <x:v>11</x:v>
      </x:c>
      <x:c r="I6695" s="87"/>
      <x:c r="J6695" s="87" t="str">
        <x:v>955</x:v>
      </x:c>
      <x:c r="K6695" s="87" t="n">
        <x:v>1</x:v>
      </x:c>
      <x:c r="L6695" s="87" t="str">
        <x:v>Строение атома и периодическая система</x:v>
      </x:c>
      <x:c r="M6695" s="30" t="str">
        <x:v>Задание линии 1: Строение атома и периодическая система. Полная формулировка и все таблицы/формулы сохранены на странице по VIS_ID.</x:v>
      </x:c>
      <x:c r="N6695" s="30" t="str">
        <x:v>12</x:v>
      </x:c>
      <x:c r="O6695" s="30" t="str">
        <x:v>Ответ проверен по исходной формулировке и химическим закономерностям.</x:v>
      </x:c>
      <x:c r="P6695" s="30"/>
      <x:c r="Q6695" s="30" t="str">
        <x:v>Полная исходная страница + независимая химическая проверка + аудит DOCX.</x:v>
      </x:c>
      <x:c r="R6695" s="30" t="str">
        <x:v>34</x:v>
      </x:c>
      <x:c r="S6695" s="30"/>
      <x:c r="T6695" s="30"/>
      <x:c r="U6695" s="30" t="str">
        <x:v>У Cr и Ca на внешнем энергетическом уровне отсутствуют p-электроны: ответ 12, а не 34.</x:v>
      </x:c>
      <x:c r="V6695" s="87" t="str">
        <x:v>KEY_MISMATCH</x:v>
      </x:c>
      <x:c r="W6695" s="87"/>
      <x:c r="X6695" s="87" t="n">
        <x:v>2</x:v>
      </x:c>
      <x:c r="Y6695" s="87"/>
      <x:c r="Z6695" s="87"/>
      <x:c r="AA6695" s="87"/>
      <x:c r="AB6695" s="87"/>
      <x:c r="AC6695" s="87" t="str">
        <x:v>VIS-EGKR-CHEM-S26-TASK-955-P002</x:v>
      </x:c>
      <x:c r="AD6695" s="87" t="str">
        <x:v>VIS-EGKR-CHEM-S26-ANSWERDOC-P002</x:v>
      </x:c>
      <x:c r="AE6695" s="87" t="str">
        <x:v>TASK; SECONDARY_ANSWER_SOURCE</x:v>
      </x:c>
      <x:c r="AF6695" s="87" t="str">
        <x:v>VIS-EGKR-CHEM-S26-TASK-955-P002: 2; VIS-EGKR-CHEM-S26-ANSWERDOC-P002: 2</x:v>
      </x:c>
      <x:c r="AG6695" s="87" t="str">
        <x:v>RESOLVED</x:v>
      </x:c>
      <x:c r="AH6695" s="87" t="str">
        <x:v>CROP_VERIFIED</x:v>
      </x:c>
      <x:c r="AI6695" s="30"/>
      <x:c r="AJ6695" s="87" t="str">
        <x:v>clean</x:v>
      </x:c>
      <x:c r="AK6695" s="87" t="str">
        <x:v>clean-v0.27</x:v>
      </x:c>
      <x:c r="AL6695" s="87" t="str">
        <x:v>statgrad_clean_continuation_v0_27(1).xlsx</x:v>
      </x:c>
      <x:c r="AM6695" s="87" t="str">
        <x:v>CHEM_EGKR_S26_955</x:v>
      </x:c>
      <x:c r="AN6695" s="87" t="n">
        <x:v>2</x:v>
      </x:c>
    </x:row>
    <x:row r="6696">
      <x:c r="A6696" s="87" t="n">
        <x:v>6695</x:v>
      </x:c>
      <x:c r="B6696" s="87" t="str">
        <x:v>EGKR-S26-CHEM-955-02</x:v>
      </x:c>
      <x:c r="C6696" s="87" t="str">
        <x:v>ЕГКР</x:v>
      </x:c>
      <x:c r="D6696" s="87"/>
      <x:c r="E6696" s="87" t="str">
        <x:v>Весна 2026</x:v>
      </x:c>
      <x:c r="F6696" s="87" t="str">
        <x:v>16.04.2026</x:v>
      </x:c>
      <x:c r="G6696" s="87" t="str">
        <x:v>Химия</x:v>
      </x:c>
      <x:c r="H6696" s="87" t="n">
        <x:v>11</x:v>
      </x:c>
      <x:c r="I6696" s="87"/>
      <x:c r="J6696" s="87" t="str">
        <x:v>955</x:v>
      </x:c>
      <x:c r="K6696" s="87" t="n">
        <x:v>2</x:v>
      </x:c>
      <x:c r="L6696" s="87" t="str">
        <x:v>Периодические свойства</x:v>
      </x:c>
      <x:c r="M6696" s="30" t="str">
        <x:v>Задание линии 2: Периодические свойства. Полная формулировка и все таблицы/формулы сохранены на странице по VIS_ID.</x:v>
      </x:c>
      <x:c r="N6696" s="30" t="str">
        <x:v>251</x:v>
      </x:c>
      <x:c r="O6696" s="30" t="str">
        <x:v>Ответ проверен по исходной формулировке и химическим закономерностям.</x:v>
      </x:c>
      <x:c r="P6696" s="30"/>
      <x:c r="Q6696" s="30" t="str">
        <x:v>Полная исходная страница + независимая химическая проверка + аудит DOCX.</x:v>
      </x:c>
      <x:c r="R6696" s="30" t="str">
        <x:v>251</x:v>
      </x:c>
      <x:c r="S6696" s="30"/>
      <x:c r="T6696" s="30"/>
      <x:c r="U6696" s="30" t="str">
        <x:v>Расхождений не выявлено.</x:v>
      </x:c>
      <x:c r="V6696" s="87" t="str">
        <x:v>VERIFIED</x:v>
      </x:c>
      <x:c r="W6696" s="87"/>
      <x:c r="X6696" s="87" t="n">
        <x:v>2</x:v>
      </x:c>
      <x:c r="Y6696" s="87"/>
      <x:c r="Z6696" s="87"/>
      <x:c r="AA6696" s="87"/>
      <x:c r="AB6696" s="87"/>
      <x:c r="AC6696" s="87" t="str">
        <x:v>VIS-EGKR-CHEM-S26-TASK-955-P002</x:v>
      </x:c>
      <x:c r="AD6696" s="87" t="str">
        <x:v>VIS-EGKR-CHEM-S26-ANSWERDOC-P002</x:v>
      </x:c>
      <x:c r="AE6696" s="87" t="str">
        <x:v>TASK; SECONDARY_ANSWER_SOURCE</x:v>
      </x:c>
      <x:c r="AF6696" s="87" t="str">
        <x:v>VIS-EGKR-CHEM-S26-TASK-955-P002: 2; VIS-EGKR-CHEM-S26-ANSWERDOC-P002: 2</x:v>
      </x:c>
      <x:c r="AG6696" s="87" t="str">
        <x:v>RESOLVED</x:v>
      </x:c>
      <x:c r="AH6696" s="87" t="str">
        <x:v>CROP_VERIFIED</x:v>
      </x:c>
      <x:c r="AI6696" s="30"/>
      <x:c r="AJ6696" s="87" t="str">
        <x:v>clean</x:v>
      </x:c>
      <x:c r="AK6696" s="87" t="str">
        <x:v>clean-v0.27</x:v>
      </x:c>
      <x:c r="AL6696" s="87" t="str">
        <x:v>statgrad_clean_continuation_v0_27(1).xlsx</x:v>
      </x:c>
      <x:c r="AM6696" s="87" t="str">
        <x:v>CHEM_EGKR_S26_955</x:v>
      </x:c>
      <x:c r="AN6696" s="87" t="n">
        <x:v>3</x:v>
      </x:c>
    </x:row>
    <x:row r="6697">
      <x:c r="A6697" s="87" t="n">
        <x:v>6696</x:v>
      </x:c>
      <x:c r="B6697" s="87" t="str">
        <x:v>EGKR-S26-CHEM-955-03</x:v>
      </x:c>
      <x:c r="C6697" s="87" t="str">
        <x:v>ЕГКР</x:v>
      </x:c>
      <x:c r="D6697" s="87"/>
      <x:c r="E6697" s="87" t="str">
        <x:v>Весна 2026</x:v>
      </x:c>
      <x:c r="F6697" s="87" t="str">
        <x:v>16.04.2026</x:v>
      </x:c>
      <x:c r="G6697" s="87" t="str">
        <x:v>Химия</x:v>
      </x:c>
      <x:c r="H6697" s="87" t="n">
        <x:v>11</x:v>
      </x:c>
      <x:c r="I6697" s="87"/>
      <x:c r="J6697" s="87" t="str">
        <x:v>955</x:v>
      </x:c>
      <x:c r="K6697" s="87" t="n">
        <x:v>3</x:v>
      </x:c>
      <x:c r="L6697" s="87" t="str">
        <x:v>Степени окисления</x:v>
      </x:c>
      <x:c r="M6697" s="30" t="str">
        <x:v>Задание линии 3: Степени окисления. Полная формулировка и все таблицы/формулы сохранены на странице по VIS_ID.</x:v>
      </x:c>
      <x:c r="N6697" s="30" t="str">
        <x:v>24</x:v>
      </x:c>
      <x:c r="O6697" s="30" t="str">
        <x:v>Ответ проверен по исходной формулировке и химическим закономерностям.</x:v>
      </x:c>
      <x:c r="P6697" s="30"/>
      <x:c r="Q6697" s="30" t="str">
        <x:v>Полная исходная страница + независимая химическая проверка + аудит DOCX.</x:v>
      </x:c>
      <x:c r="R6697" s="30" t="str">
        <x:v>24</x:v>
      </x:c>
      <x:c r="S6697" s="30"/>
      <x:c r="T6697" s="30"/>
      <x:c r="U6697" s="30" t="str">
        <x:v>Расхождений не выявлено.</x:v>
      </x:c>
      <x:c r="V6697" s="87" t="str">
        <x:v>VERIFIED</x:v>
      </x:c>
      <x:c r="W6697" s="87"/>
      <x:c r="X6697" s="87" t="n">
        <x:v>2</x:v>
      </x:c>
      <x:c r="Y6697" s="87"/>
      <x:c r="Z6697" s="87"/>
      <x:c r="AA6697" s="87"/>
      <x:c r="AB6697" s="87"/>
      <x:c r="AC6697" s="87" t="str">
        <x:v>VIS-EGKR-CHEM-S26-TASK-955-P002</x:v>
      </x:c>
      <x:c r="AD6697" s="87" t="str">
        <x:v>VIS-EGKR-CHEM-S26-ANSWERDOC-P002</x:v>
      </x:c>
      <x:c r="AE6697" s="87" t="str">
        <x:v>TASK; SECONDARY_ANSWER_SOURCE</x:v>
      </x:c>
      <x:c r="AF6697" s="87" t="str">
        <x:v>VIS-EGKR-CHEM-S26-TASK-955-P002: 2; VIS-EGKR-CHEM-S26-ANSWERDOC-P002: 2</x:v>
      </x:c>
      <x:c r="AG6697" s="87" t="str">
        <x:v>RESOLVED</x:v>
      </x:c>
      <x:c r="AH6697" s="87" t="str">
        <x:v>CROP_VERIFIED</x:v>
      </x:c>
      <x:c r="AI6697" s="30"/>
      <x:c r="AJ6697" s="87" t="str">
        <x:v>clean</x:v>
      </x:c>
      <x:c r="AK6697" s="87" t="str">
        <x:v>clean-v0.27</x:v>
      </x:c>
      <x:c r="AL6697" s="87" t="str">
        <x:v>statgrad_clean_continuation_v0_27(1).xlsx</x:v>
      </x:c>
      <x:c r="AM6697" s="87" t="str">
        <x:v>CHEM_EGKR_S26_955</x:v>
      </x:c>
      <x:c r="AN6697" s="87" t="n">
        <x:v>4</x:v>
      </x:c>
    </x:row>
    <x:row r="6698">
      <x:c r="A6698" s="87" t="n">
        <x:v>6697</x:v>
      </x:c>
      <x:c r="B6698" s="87" t="str">
        <x:v>EGKR-S26-CHEM-955-04</x:v>
      </x:c>
      <x:c r="C6698" s="87" t="str">
        <x:v>ЕГКР</x:v>
      </x:c>
      <x:c r="D6698" s="87"/>
      <x:c r="E6698" s="87" t="str">
        <x:v>Весна 2026</x:v>
      </x:c>
      <x:c r="F6698" s="87" t="str">
        <x:v>16.04.2026</x:v>
      </x:c>
      <x:c r="G6698" s="87" t="str">
        <x:v>Химия</x:v>
      </x:c>
      <x:c r="H6698" s="87" t="n">
        <x:v>11</x:v>
      </x:c>
      <x:c r="I6698" s="87"/>
      <x:c r="J6698" s="87" t="str">
        <x:v>955</x:v>
      </x:c>
      <x:c r="K6698" s="87" t="n">
        <x:v>4</x:v>
      </x:c>
      <x:c r="L6698" s="87" t="str">
        <x:v>Химическая связь и строение вещества</x:v>
      </x:c>
      <x:c r="M6698" s="30" t="str">
        <x:v>Задание линии 4: Химическая связь и строение вещества. Полная формулировка и все таблицы/формулы сохранены на странице по VIS_ID.</x:v>
      </x:c>
      <x:c r="N6698" s="30" t="str">
        <x:v>24</x:v>
      </x:c>
      <x:c r="O6698" s="30" t="str">
        <x:v>Ответ проверен по исходной формулировке и химическим закономерностям.</x:v>
      </x:c>
      <x:c r="P6698" s="30"/>
      <x:c r="Q6698" s="30" t="str">
        <x:v>Полная исходная страница + независимая химическая проверка + аудит DOCX.</x:v>
      </x:c>
      <x:c r="R6698" s="30" t="str">
        <x:v>24</x:v>
      </x:c>
      <x:c r="S6698" s="30"/>
      <x:c r="T6698" s="30"/>
      <x:c r="U6698" s="30" t="str">
        <x:v>Расхождений не выявлено.</x:v>
      </x:c>
      <x:c r="V6698" s="87" t="str">
        <x:v>VERIFIED</x:v>
      </x:c>
      <x:c r="W6698" s="87"/>
      <x:c r="X6698" s="87" t="n">
        <x:v>2</x:v>
      </x:c>
      <x:c r="Y6698" s="87"/>
      <x:c r="Z6698" s="87"/>
      <x:c r="AA6698" s="87"/>
      <x:c r="AB6698" s="87"/>
      <x:c r="AC6698" s="87" t="str">
        <x:v>VIS-EGKR-CHEM-S26-TASK-955-P002</x:v>
      </x:c>
      <x:c r="AD6698" s="87" t="str">
        <x:v>VIS-EGKR-CHEM-S26-ANSWERDOC-P002</x:v>
      </x:c>
      <x:c r="AE6698" s="87" t="str">
        <x:v>TASK; SECONDARY_ANSWER_SOURCE</x:v>
      </x:c>
      <x:c r="AF6698" s="87" t="str">
        <x:v>VIS-EGKR-CHEM-S26-TASK-955-P002: 2; VIS-EGKR-CHEM-S26-ANSWERDOC-P002: 2</x:v>
      </x:c>
      <x:c r="AG6698" s="87" t="str">
        <x:v>RESOLVED</x:v>
      </x:c>
      <x:c r="AH6698" s="87" t="str">
        <x:v>CROP_VERIFIED</x:v>
      </x:c>
      <x:c r="AI6698" s="30"/>
      <x:c r="AJ6698" s="87" t="str">
        <x:v>clean</x:v>
      </x:c>
      <x:c r="AK6698" s="87" t="str">
        <x:v>clean-v0.27</x:v>
      </x:c>
      <x:c r="AL6698" s="87" t="str">
        <x:v>statgrad_clean_continuation_v0_27(1).xlsx</x:v>
      </x:c>
      <x:c r="AM6698" s="87" t="str">
        <x:v>CHEM_EGKR_S26_955</x:v>
      </x:c>
      <x:c r="AN6698" s="87" t="n">
        <x:v>5</x:v>
      </x:c>
    </x:row>
    <x:row r="6699">
      <x:c r="A6699" s="87" t="n">
        <x:v>6698</x:v>
      </x:c>
      <x:c r="B6699" s="87" t="str">
        <x:v>EGKR-S26-CHEM-955-05</x:v>
      </x:c>
      <x:c r="C6699" s="87" t="str">
        <x:v>ЕГКР</x:v>
      </x:c>
      <x:c r="D6699" s="87"/>
      <x:c r="E6699" s="87" t="str">
        <x:v>Весна 2026</x:v>
      </x:c>
      <x:c r="F6699" s="87" t="str">
        <x:v>16.04.2026</x:v>
      </x:c>
      <x:c r="G6699" s="87" t="str">
        <x:v>Химия</x:v>
      </x:c>
      <x:c r="H6699" s="87" t="n">
        <x:v>11</x:v>
      </x:c>
      <x:c r="I6699" s="87"/>
      <x:c r="J6699" s="87" t="str">
        <x:v>955</x:v>
      </x:c>
      <x:c r="K6699" s="87" t="n">
        <x:v>5</x:v>
      </x:c>
      <x:c r="L6699" s="87" t="str">
        <x:v>Классы неорганических веществ</x:v>
      </x:c>
      <x:c r="M6699" s="30" t="str">
        <x:v>Задание линии 5: Классы неорганических веществ. Полная формулировка и все таблицы/формулы сохранены на странице по VIS_ID.</x:v>
      </x:c>
      <x:c r="N6699" s="30" t="str">
        <x:v>493</x:v>
      </x:c>
      <x:c r="O6699" s="30" t="str">
        <x:v>Ответ проверен по исходной формулировке и химическим закономерностям.</x:v>
      </x:c>
      <x:c r="P6699" s="30"/>
      <x:c r="Q6699" s="30" t="str">
        <x:v>Полная исходная страница + независимая химическая проверка + аудит DOCX.</x:v>
      </x:c>
      <x:c r="R6699" s="30" t="str">
        <x:v>493</x:v>
      </x:c>
      <x:c r="S6699" s="30"/>
      <x:c r="T6699" s="30"/>
      <x:c r="U6699" s="30" t="str">
        <x:v>Расхождений не выявлено.</x:v>
      </x:c>
      <x:c r="V6699" s="87" t="str">
        <x:v>VERIFIED</x:v>
      </x:c>
      <x:c r="W6699" s="87"/>
      <x:c r="X6699" s="87" t="n">
        <x:v>3</x:v>
      </x:c>
      <x:c r="Y6699" s="87"/>
      <x:c r="Z6699" s="87"/>
      <x:c r="AA6699" s="87"/>
      <x:c r="AB6699" s="87"/>
      <x:c r="AC6699" s="87" t="str">
        <x:v>VIS-EGKR-CHEM-S26-TASK-955-P003</x:v>
      </x:c>
      <x:c r="AD6699" s="87" t="str">
        <x:v>VIS-EGKR-CHEM-S26-ANSWERDOC-P002</x:v>
      </x:c>
      <x:c r="AE6699" s="87" t="str">
        <x:v>TASK; SECONDARY_ANSWER_SOURCE</x:v>
      </x:c>
      <x:c r="AF6699" s="87" t="str">
        <x:v>VIS-EGKR-CHEM-S26-TASK-955-P003: 3; VIS-EGKR-CHEM-S26-ANSWERDOC-P002: 2</x:v>
      </x:c>
      <x:c r="AG6699" s="87" t="str">
        <x:v>RESOLVED</x:v>
      </x:c>
      <x:c r="AH6699" s="87" t="str">
        <x:v>CROP_VERIFIED</x:v>
      </x:c>
      <x:c r="AI6699" s="30"/>
      <x:c r="AJ6699" s="87" t="str">
        <x:v>clean</x:v>
      </x:c>
      <x:c r="AK6699" s="87" t="str">
        <x:v>clean-v0.27</x:v>
      </x:c>
      <x:c r="AL6699" s="87" t="str">
        <x:v>statgrad_clean_continuation_v0_27(1).xlsx</x:v>
      </x:c>
      <x:c r="AM6699" s="87" t="str">
        <x:v>CHEM_EGKR_S26_955</x:v>
      </x:c>
      <x:c r="AN6699" s="87" t="n">
        <x:v>6</x:v>
      </x:c>
    </x:row>
    <x:row r="6700">
      <x:c r="A6700" s="87" t="n">
        <x:v>6699</x:v>
      </x:c>
      <x:c r="B6700" s="87" t="str">
        <x:v>EGKR-S26-CHEM-955-06</x:v>
      </x:c>
      <x:c r="C6700" s="87" t="str">
        <x:v>ЕГКР</x:v>
      </x:c>
      <x:c r="D6700" s="87"/>
      <x:c r="E6700" s="87" t="str">
        <x:v>Весна 2026</x:v>
      </x:c>
      <x:c r="F6700" s="87" t="str">
        <x:v>16.04.2026</x:v>
      </x:c>
      <x:c r="G6700" s="87" t="str">
        <x:v>Химия</x:v>
      </x:c>
      <x:c r="H6700" s="87" t="n">
        <x:v>11</x:v>
      </x:c>
      <x:c r="I6700" s="87"/>
      <x:c r="J6700" s="87" t="str">
        <x:v>955</x:v>
      </x:c>
      <x:c r="K6700" s="87" t="n">
        <x:v>6</x:v>
      </x:c>
      <x:c r="L6700" s="87" t="str">
        <x:v>Качественные реакции</x:v>
      </x:c>
      <x:c r="M6700" s="30" t="str">
        <x:v>Задание линии 6: Качественные реакции. Полная формулировка и все таблицы/формулы сохранены на странице по VIS_ID.</x:v>
      </x:c>
      <x:c r="N6700" s="30" t="str">
        <x:v>41</x:v>
      </x:c>
      <x:c r="O6700" s="30" t="str">
        <x:v>Ответ проверен по исходной формулировке и химическим закономерностям.</x:v>
      </x:c>
      <x:c r="P6700" s="30"/>
      <x:c r="Q6700" s="30" t="str">
        <x:v>Полная исходная страница + независимая химическая проверка + аудит DOCX.</x:v>
      </x:c>
      <x:c r="R6700" s="30" t="str">
        <x:v>41</x:v>
      </x:c>
      <x:c r="S6700" s="30"/>
      <x:c r="T6700" s="30"/>
      <x:c r="U6700" s="30" t="str">
        <x:v>Расхождений не выявлено.</x:v>
      </x:c>
      <x:c r="V6700" s="87" t="str">
        <x:v>VERIFIED</x:v>
      </x:c>
      <x:c r="W6700" s="87"/>
      <x:c r="X6700" s="87" t="n">
        <x:v>3</x:v>
      </x:c>
      <x:c r="Y6700" s="87"/>
      <x:c r="Z6700" s="87"/>
      <x:c r="AA6700" s="87"/>
      <x:c r="AB6700" s="87"/>
      <x:c r="AC6700" s="87" t="str">
        <x:v>VIS-EGKR-CHEM-S26-TASK-955-P003</x:v>
      </x:c>
      <x:c r="AD6700" s="87" t="str">
        <x:v>VIS-EGKR-CHEM-S26-ANSWERDOC-P002</x:v>
      </x:c>
      <x:c r="AE6700" s="87" t="str">
        <x:v>TASK; SECONDARY_ANSWER_SOURCE</x:v>
      </x:c>
      <x:c r="AF6700" s="87" t="str">
        <x:v>VIS-EGKR-CHEM-S26-TASK-955-P003: 3; VIS-EGKR-CHEM-S26-ANSWERDOC-P002: 2</x:v>
      </x:c>
      <x:c r="AG6700" s="87" t="str">
        <x:v>RESOLVED</x:v>
      </x:c>
      <x:c r="AH6700" s="87" t="str">
        <x:v>CROP_VERIFIED</x:v>
      </x:c>
      <x:c r="AI6700" s="30"/>
      <x:c r="AJ6700" s="87" t="str">
        <x:v>clean</x:v>
      </x:c>
      <x:c r="AK6700" s="87" t="str">
        <x:v>clean-v0.27</x:v>
      </x:c>
      <x:c r="AL6700" s="87" t="str">
        <x:v>statgrad_clean_continuation_v0_27(1).xlsx</x:v>
      </x:c>
      <x:c r="AM6700" s="87" t="str">
        <x:v>CHEM_EGKR_S26_955</x:v>
      </x:c>
      <x:c r="AN6700" s="87" t="n">
        <x:v>7</x:v>
      </x:c>
    </x:row>
    <x:row r="6701">
      <x:c r="A6701" s="87" t="n">
        <x:v>6700</x:v>
      </x:c>
      <x:c r="B6701" s="87" t="str">
        <x:v>EGKR-S26-CHEM-955-07</x:v>
      </x:c>
      <x:c r="C6701" s="87" t="str">
        <x:v>ЕГКР</x:v>
      </x:c>
      <x:c r="D6701" s="87"/>
      <x:c r="E6701" s="87" t="str">
        <x:v>Весна 2026</x:v>
      </x:c>
      <x:c r="F6701" s="87" t="str">
        <x:v>16.04.2026</x:v>
      </x:c>
      <x:c r="G6701" s="87" t="str">
        <x:v>Химия</x:v>
      </x:c>
      <x:c r="H6701" s="87" t="n">
        <x:v>11</x:v>
      </x:c>
      <x:c r="I6701" s="87"/>
      <x:c r="J6701" s="87" t="str">
        <x:v>955</x:v>
      </x:c>
      <x:c r="K6701" s="87" t="n">
        <x:v>7</x:v>
      </x:c>
      <x:c r="L6701" s="87" t="str">
        <x:v>Неорганические превращения / реагенты</x:v>
      </x:c>
      <x:c r="M6701" s="30" t="str">
        <x:v>Задание линии 7: Неорганические превращения / реагенты. Полная формулировка и все таблицы/формулы сохранены на странице по VIS_ID.</x:v>
      </x:c>
      <x:c r="N6701" s="30" t="str">
        <x:v>4132</x:v>
      </x:c>
      <x:c r="O6701" s="30" t="str">
        <x:v>Ответ проверен по исходной формулировке и химическим закономерностям.</x:v>
      </x:c>
      <x:c r="P6701" s="30"/>
      <x:c r="Q6701" s="30" t="str">
        <x:v>Полная исходная страница + независимая химическая проверка + аудит DOCX.</x:v>
      </x:c>
      <x:c r="R6701" s="30" t="str">
        <x:v>4132</x:v>
      </x:c>
      <x:c r="S6701" s="30"/>
      <x:c r="T6701" s="30"/>
      <x:c r="U6701" s="30" t="str">
        <x:v>Расхождений не выявлено.</x:v>
      </x:c>
      <x:c r="V6701" s="87" t="str">
        <x:v>VERIFIED</x:v>
      </x:c>
      <x:c r="W6701" s="87"/>
      <x:c r="X6701" s="87" t="n">
        <x:v>4</x:v>
      </x:c>
      <x:c r="Y6701" s="87"/>
      <x:c r="Z6701" s="87"/>
      <x:c r="AA6701" s="87"/>
      <x:c r="AB6701" s="87"/>
      <x:c r="AC6701" s="87" t="str">
        <x:v>VIS-EGKR-CHEM-S26-TASK-955-P004</x:v>
      </x:c>
      <x:c r="AD6701" s="87" t="str">
        <x:v>VIS-EGKR-CHEM-S26-ANSWERDOC-P002</x:v>
      </x:c>
      <x:c r="AE6701" s="87" t="str">
        <x:v>TASK; SECONDARY_ANSWER_SOURCE</x:v>
      </x:c>
      <x:c r="AF6701" s="87" t="str">
        <x:v>VIS-EGKR-CHEM-S26-TASK-955-P004: 4; VIS-EGKR-CHEM-S26-ANSWERDOC-P002: 2</x:v>
      </x:c>
      <x:c r="AG6701" s="87" t="str">
        <x:v>RESOLVED</x:v>
      </x:c>
      <x:c r="AH6701" s="87" t="str">
        <x:v>CROP_VERIFIED</x:v>
      </x:c>
      <x:c r="AI6701" s="30"/>
      <x:c r="AJ6701" s="87" t="str">
        <x:v>clean</x:v>
      </x:c>
      <x:c r="AK6701" s="87" t="str">
        <x:v>clean-v0.27</x:v>
      </x:c>
      <x:c r="AL6701" s="87" t="str">
        <x:v>statgrad_clean_continuation_v0_27(1).xlsx</x:v>
      </x:c>
      <x:c r="AM6701" s="87" t="str">
        <x:v>CHEM_EGKR_S26_955</x:v>
      </x:c>
      <x:c r="AN6701" s="87" t="n">
        <x:v>8</x:v>
      </x:c>
    </x:row>
    <x:row r="6702">
      <x:c r="A6702" s="87" t="n">
        <x:v>6701</x:v>
      </x:c>
      <x:c r="B6702" s="87" t="str">
        <x:v>EGKR-S26-CHEM-955-08</x:v>
      </x:c>
      <x:c r="C6702" s="87" t="str">
        <x:v>ЕГКР</x:v>
      </x:c>
      <x:c r="D6702" s="87"/>
      <x:c r="E6702" s="87" t="str">
        <x:v>Весна 2026</x:v>
      </x:c>
      <x:c r="F6702" s="87" t="str">
        <x:v>16.04.2026</x:v>
      </x:c>
      <x:c r="G6702" s="87" t="str">
        <x:v>Химия</x:v>
      </x:c>
      <x:c r="H6702" s="87" t="n">
        <x:v>11</x:v>
      </x:c>
      <x:c r="I6702" s="87"/>
      <x:c r="J6702" s="87" t="str">
        <x:v>955</x:v>
      </x:c>
      <x:c r="K6702" s="87" t="n">
        <x:v>8</x:v>
      </x:c>
      <x:c r="L6702" s="87" t="str">
        <x:v>Неорганические превращения / продукты</x:v>
      </x:c>
      <x:c r="M6702" s="30" t="str">
        <x:v>Задание линии 8: Неорганические превращения / продукты. Полная формулировка и все таблицы/формулы сохранены на странице по VIS_ID.</x:v>
      </x:c>
      <x:c r="N6702" s="30" t="str">
        <x:v>5622</x:v>
      </x:c>
      <x:c r="O6702" s="30" t="str">
        <x:v>Ответ проверен по исходной формулировке и химическим закономерностям.</x:v>
      </x:c>
      <x:c r="P6702" s="30"/>
      <x:c r="Q6702" s="30" t="str">
        <x:v>Полная исходная страница + независимая химическая проверка + аудит DOCX.</x:v>
      </x:c>
      <x:c r="R6702" s="30" t="str">
        <x:v>5622</x:v>
      </x:c>
      <x:c r="S6702" s="30"/>
      <x:c r="T6702" s="30"/>
      <x:c r="U6702" s="30" t="str">
        <x:v>Расхождений не выявлено.</x:v>
      </x:c>
      <x:c r="V6702" s="87" t="str">
        <x:v>VERIFIED</x:v>
      </x:c>
      <x:c r="W6702" s="87"/>
      <x:c r="X6702" s="87" t="n">
        <x:v>4</x:v>
      </x:c>
      <x:c r="Y6702" s="87"/>
      <x:c r="Z6702" s="87"/>
      <x:c r="AA6702" s="87"/>
      <x:c r="AB6702" s="87"/>
      <x:c r="AC6702" s="87" t="str">
        <x:v>VIS-EGKR-CHEM-S26-TASK-955-P004</x:v>
      </x:c>
      <x:c r="AD6702" s="87" t="str">
        <x:v>VIS-EGKR-CHEM-S26-ANSWERDOC-P002</x:v>
      </x:c>
      <x:c r="AE6702" s="87" t="str">
        <x:v>TASK; SECONDARY_ANSWER_SOURCE</x:v>
      </x:c>
      <x:c r="AF6702" s="87" t="str">
        <x:v>VIS-EGKR-CHEM-S26-TASK-955-P004: 4; VIS-EGKR-CHEM-S26-ANSWERDOC-P002: 2</x:v>
      </x:c>
      <x:c r="AG6702" s="87" t="str">
        <x:v>RESOLVED</x:v>
      </x:c>
      <x:c r="AH6702" s="87" t="str">
        <x:v>CROP_VERIFIED</x:v>
      </x:c>
      <x:c r="AI6702" s="30"/>
      <x:c r="AJ6702" s="87" t="str">
        <x:v>clean</x:v>
      </x:c>
      <x:c r="AK6702" s="87" t="str">
        <x:v>clean-v0.27</x:v>
      </x:c>
      <x:c r="AL6702" s="87" t="str">
        <x:v>statgrad_clean_continuation_v0_27(1).xlsx</x:v>
      </x:c>
      <x:c r="AM6702" s="87" t="str">
        <x:v>CHEM_EGKR_S26_955</x:v>
      </x:c>
      <x:c r="AN6702" s="87" t="n">
        <x:v>9</x:v>
      </x:c>
    </x:row>
    <x:row r="6703">
      <x:c r="A6703" s="87" t="n">
        <x:v>6702</x:v>
      </x:c>
      <x:c r="B6703" s="87" t="str">
        <x:v>EGKR-S26-CHEM-955-09</x:v>
      </x:c>
      <x:c r="C6703" s="87" t="str">
        <x:v>ЕГКР</x:v>
      </x:c>
      <x:c r="D6703" s="87"/>
      <x:c r="E6703" s="87" t="str">
        <x:v>Весна 2026</x:v>
      </x:c>
      <x:c r="F6703" s="87" t="str">
        <x:v>16.04.2026</x:v>
      </x:c>
      <x:c r="G6703" s="87" t="str">
        <x:v>Химия</x:v>
      </x:c>
      <x:c r="H6703" s="87" t="n">
        <x:v>11</x:v>
      </x:c>
      <x:c r="I6703" s="87"/>
      <x:c r="J6703" s="87" t="str">
        <x:v>955</x:v>
      </x:c>
      <x:c r="K6703" s="87" t="n">
        <x:v>9</x:v>
      </x:c>
      <x:c r="L6703" s="87" t="str">
        <x:v>Цепочка неорганических превращений</x:v>
      </x:c>
      <x:c r="M6703" s="30" t="str">
        <x:v>Задание линии 9: Цепочка неорганических превращений. Полная формулировка и все таблицы/формулы сохранены на странице по VIS_ID.</x:v>
      </x:c>
      <x:c r="N6703" s="30" t="str">
        <x:v>32</x:v>
      </x:c>
      <x:c r="O6703" s="30" t="str">
        <x:v>Ответ проверен по исходной формулировке и химическим закономерностям.</x:v>
      </x:c>
      <x:c r="P6703" s="30"/>
      <x:c r="Q6703" s="30" t="str">
        <x:v>Полная исходная страница + независимая химическая проверка + аудит DOCX.</x:v>
      </x:c>
      <x:c r="R6703" s="30" t="str">
        <x:v>31</x:v>
      </x:c>
      <x:c r="S6703" s="30"/>
      <x:c r="T6703" s="30"/>
      <x:c r="U6703" s="30" t="str">
        <x:v>NaNO3 при нагревании даёт NaNO2; затем образуется N2: X=3, Y=2.</x:v>
      </x:c>
      <x:c r="V6703" s="87" t="str">
        <x:v>KEY_MISMATCH</x:v>
      </x:c>
      <x:c r="W6703" s="87"/>
      <x:c r="X6703" s="87" t="n">
        <x:v>5</x:v>
      </x:c>
      <x:c r="Y6703" s="87"/>
      <x:c r="Z6703" s="87"/>
      <x:c r="AA6703" s="87"/>
      <x:c r="AB6703" s="87"/>
      <x:c r="AC6703" s="87" t="str">
        <x:v>VIS-EGKR-CHEM-S26-TASK-955-P005</x:v>
      </x:c>
      <x:c r="AD6703" s="87" t="str">
        <x:v>VIS-EGKR-CHEM-S26-ANSWERDOC-P002</x:v>
      </x:c>
      <x:c r="AE6703" s="87" t="str">
        <x:v>TASK; SECONDARY_ANSWER_SOURCE</x:v>
      </x:c>
      <x:c r="AF6703" s="87" t="str">
        <x:v>VIS-EGKR-CHEM-S26-TASK-955-P005: 5; VIS-EGKR-CHEM-S26-ANSWERDOC-P002: 2</x:v>
      </x:c>
      <x:c r="AG6703" s="87" t="str">
        <x:v>RESOLVED</x:v>
      </x:c>
      <x:c r="AH6703" s="87" t="str">
        <x:v>CROP_VERIFIED</x:v>
      </x:c>
      <x:c r="AI6703" s="30"/>
      <x:c r="AJ6703" s="87" t="str">
        <x:v>clean</x:v>
      </x:c>
      <x:c r="AK6703" s="87" t="str">
        <x:v>clean-v0.27</x:v>
      </x:c>
      <x:c r="AL6703" s="87" t="str">
        <x:v>statgrad_clean_continuation_v0_27(1).xlsx</x:v>
      </x:c>
      <x:c r="AM6703" s="87" t="str">
        <x:v>CHEM_EGKR_S26_955</x:v>
      </x:c>
      <x:c r="AN6703" s="87" t="n">
        <x:v>10</x:v>
      </x:c>
    </x:row>
    <x:row r="6704">
      <x:c r="A6704" s="87" t="n">
        <x:v>6703</x:v>
      </x:c>
      <x:c r="B6704" s="87" t="str">
        <x:v>EGKR-S26-CHEM-955-10</x:v>
      </x:c>
      <x:c r="C6704" s="87" t="str">
        <x:v>ЕГКР</x:v>
      </x:c>
      <x:c r="D6704" s="87"/>
      <x:c r="E6704" s="87" t="str">
        <x:v>Весна 2026</x:v>
      </x:c>
      <x:c r="F6704" s="87" t="str">
        <x:v>16.04.2026</x:v>
      </x:c>
      <x:c r="G6704" s="87" t="str">
        <x:v>Химия</x:v>
      </x:c>
      <x:c r="H6704" s="87" t="n">
        <x:v>11</x:v>
      </x:c>
      <x:c r="I6704" s="87"/>
      <x:c r="J6704" s="87" t="str">
        <x:v>955</x:v>
      </x:c>
      <x:c r="K6704" s="87" t="n">
        <x:v>10</x:v>
      </x:c>
      <x:c r="L6704" s="87" t="str">
        <x:v>Классы и группы органических соединений</x:v>
      </x:c>
      <x:c r="M6704" s="30" t="str">
        <x:v>Задание линии 10: Классы и группы органических соединений. Полная формулировка и все таблицы/формулы сохранены на странице по VIS_ID.</x:v>
      </x:c>
      <x:c r="N6704" s="30" t="str">
        <x:v>132</x:v>
      </x:c>
      <x:c r="O6704" s="30" t="str">
        <x:v>Ответ проверен по исходной формулировке и химическим закономерностям.</x:v>
      </x:c>
      <x:c r="P6704" s="30"/>
      <x:c r="Q6704" s="30" t="str">
        <x:v>Полная исходная страница + независимая химическая проверка + аудит DOCX.</x:v>
      </x:c>
      <x:c r="R6704" s="30" t="str">
        <x:v>243</x:v>
      </x:c>
      <x:c r="S6704" s="30"/>
      <x:c r="T6704" s="30"/>
      <x:c r="U6704" s="30" t="str">
        <x:v>CnH2nO — кетоны (1), CnH2n+2O2 — многоатомные спирты (3), CnH2n+2O — одноатомные спирты (2).</x:v>
      </x:c>
      <x:c r="V6704" s="87" t="str">
        <x:v>KEY_MISMATCH</x:v>
      </x:c>
      <x:c r="W6704" s="87"/>
      <x:c r="X6704" s="87" t="n">
        <x:v>5</x:v>
      </x:c>
      <x:c r="Y6704" s="87"/>
      <x:c r="Z6704" s="87"/>
      <x:c r="AA6704" s="87"/>
      <x:c r="AB6704" s="87"/>
      <x:c r="AC6704" s="87" t="str">
        <x:v>VIS-EGKR-CHEM-S26-TASK-955-P005</x:v>
      </x:c>
      <x:c r="AD6704" s="87" t="str">
        <x:v>VIS-EGKR-CHEM-S26-ANSWERDOC-P002</x:v>
      </x:c>
      <x:c r="AE6704" s="87" t="str">
        <x:v>TASK; SECONDARY_ANSWER_SOURCE</x:v>
      </x:c>
      <x:c r="AF6704" s="87" t="str">
        <x:v>VIS-EGKR-CHEM-S26-TASK-955-P005: 5; VIS-EGKR-CHEM-S26-ANSWERDOC-P002: 2</x:v>
      </x:c>
      <x:c r="AG6704" s="87" t="str">
        <x:v>RESOLVED</x:v>
      </x:c>
      <x:c r="AH6704" s="87" t="str">
        <x:v>CROP_VERIFIED</x:v>
      </x:c>
      <x:c r="AI6704" s="30"/>
      <x:c r="AJ6704" s="87" t="str">
        <x:v>clean</x:v>
      </x:c>
      <x:c r="AK6704" s="87" t="str">
        <x:v>clean-v0.27</x:v>
      </x:c>
      <x:c r="AL6704" s="87" t="str">
        <x:v>statgrad_clean_continuation_v0_27(1).xlsx</x:v>
      </x:c>
      <x:c r="AM6704" s="87" t="str">
        <x:v>CHEM_EGKR_S26_955</x:v>
      </x:c>
      <x:c r="AN6704" s="87" t="n">
        <x:v>11</x:v>
      </x:c>
    </x:row>
    <x:row r="6705">
      <x:c r="A6705" s="87" t="n">
        <x:v>6704</x:v>
      </x:c>
      <x:c r="B6705" s="87" t="str">
        <x:v>EGKR-S26-CHEM-955-11</x:v>
      </x:c>
      <x:c r="C6705" s="87" t="str">
        <x:v>ЕГКР</x:v>
      </x:c>
      <x:c r="D6705" s="87"/>
      <x:c r="E6705" s="87" t="str">
        <x:v>Весна 2026</x:v>
      </x:c>
      <x:c r="F6705" s="87" t="str">
        <x:v>16.04.2026</x:v>
      </x:c>
      <x:c r="G6705" s="87" t="str">
        <x:v>Химия</x:v>
      </x:c>
      <x:c r="H6705" s="87" t="n">
        <x:v>11</x:v>
      </x:c>
      <x:c r="I6705" s="87"/>
      <x:c r="J6705" s="87" t="str">
        <x:v>955</x:v>
      </x:c>
      <x:c r="K6705" s="87" t="n">
        <x:v>11</x:v>
      </x:c>
      <x:c r="L6705" s="87" t="str">
        <x:v>Строение и изомерия органических веществ</x:v>
      </x:c>
      <x:c r="M6705" s="30" t="str">
        <x:v>Задание линии 11: Строение и изомерия органических веществ. Полная формулировка и все таблицы/формулы сохранены на странице по VIS_ID.</x:v>
      </x:c>
      <x:c r="N6705" s="30" t="str">
        <x:v>24</x:v>
      </x:c>
      <x:c r="O6705" s="30" t="str">
        <x:v>Ответ проверен по исходной формулировке и химическим закономерностям.</x:v>
      </x:c>
      <x:c r="P6705" s="30"/>
      <x:c r="Q6705" s="30" t="str">
        <x:v>Полная исходная страница + независимая химическая проверка + аудит DOCX.</x:v>
      </x:c>
      <x:c r="R6705" s="30" t="str">
        <x:v>24</x:v>
      </x:c>
      <x:c r="S6705" s="30"/>
      <x:c r="T6705" s="30"/>
      <x:c r="U6705" s="30" t="str">
        <x:v>Расхождений не выявлено.</x:v>
      </x:c>
      <x:c r="V6705" s="87" t="str">
        <x:v>VERIFIED</x:v>
      </x:c>
      <x:c r="W6705" s="87"/>
      <x:c r="X6705" s="87" t="n">
        <x:v>5</x:v>
      </x:c>
      <x:c r="Y6705" s="87"/>
      <x:c r="Z6705" s="87"/>
      <x:c r="AA6705" s="87"/>
      <x:c r="AB6705" s="87"/>
      <x:c r="AC6705" s="87" t="str">
        <x:v>VIS-EGKR-CHEM-S26-TASK-955-P005</x:v>
      </x:c>
      <x:c r="AD6705" s="87" t="str">
        <x:v>VIS-EGKR-CHEM-S26-ANSWERDOC-P002</x:v>
      </x:c>
      <x:c r="AE6705" s="87" t="str">
        <x:v>TASK; SECONDARY_ANSWER_SOURCE</x:v>
      </x:c>
      <x:c r="AF6705" s="87" t="str">
        <x:v>VIS-EGKR-CHEM-S26-TASK-955-P005: 5; VIS-EGKR-CHEM-S26-ANSWERDOC-P002: 2</x:v>
      </x:c>
      <x:c r="AG6705" s="87" t="str">
        <x:v>RESOLVED</x:v>
      </x:c>
      <x:c r="AH6705" s="87" t="str">
        <x:v>CROP_VERIFIED</x:v>
      </x:c>
      <x:c r="AI6705" s="30"/>
      <x:c r="AJ6705" s="87" t="str">
        <x:v>clean</x:v>
      </x:c>
      <x:c r="AK6705" s="87" t="str">
        <x:v>clean-v0.27</x:v>
      </x:c>
      <x:c r="AL6705" s="87" t="str">
        <x:v>statgrad_clean_continuation_v0_27(1).xlsx</x:v>
      </x:c>
      <x:c r="AM6705" s="87" t="str">
        <x:v>CHEM_EGKR_S26_955</x:v>
      </x:c>
      <x:c r="AN6705" s="87" t="n">
        <x:v>12</x:v>
      </x:c>
    </x:row>
    <x:row r="6706">
      <x:c r="A6706" s="87" t="n">
        <x:v>6705</x:v>
      </x:c>
      <x:c r="B6706" s="87" t="str">
        <x:v>EGKR-S26-CHEM-955-12</x:v>
      </x:c>
      <x:c r="C6706" s="87" t="str">
        <x:v>ЕГКР</x:v>
      </x:c>
      <x:c r="D6706" s="87"/>
      <x:c r="E6706" s="87" t="str">
        <x:v>Весна 2026</x:v>
      </x:c>
      <x:c r="F6706" s="87" t="str">
        <x:v>16.04.2026</x:v>
      </x:c>
      <x:c r="G6706" s="87" t="str">
        <x:v>Химия</x:v>
      </x:c>
      <x:c r="H6706" s="87" t="n">
        <x:v>11</x:v>
      </x:c>
      <x:c r="I6706" s="87"/>
      <x:c r="J6706" s="87" t="str">
        <x:v>955</x:v>
      </x:c>
      <x:c r="K6706" s="87" t="n">
        <x:v>12</x:v>
      </x:c>
      <x:c r="L6706" s="87" t="str">
        <x:v>Химические свойства органических веществ</x:v>
      </x:c>
      <x:c r="M6706" s="30" t="str">
        <x:v>Задание линии 12: Химические свойства органических веществ. Полная формулировка и все таблицы/формулы сохранены на странице по VIS_ID.</x:v>
      </x:c>
      <x:c r="N6706" s="30" t="str">
        <x:v>235</x:v>
      </x:c>
      <x:c r="O6706" s="30" t="str">
        <x:v>Ответ проверен по исходной формулировке и химическим закономерностям.</x:v>
      </x:c>
      <x:c r="P6706" s="30"/>
      <x:c r="Q6706" s="30" t="str">
        <x:v>Полная исходная страница + независимая химическая проверка + аудит DOCX.</x:v>
      </x:c>
      <x:c r="R6706" s="30" t="str">
        <x:v>235</x:v>
      </x:c>
      <x:c r="S6706" s="30"/>
      <x:c r="T6706" s="30"/>
      <x:c r="U6706" s="30" t="str">
        <x:v>Расхождений не выявлено.</x:v>
      </x:c>
      <x:c r="V6706" s="87" t="str">
        <x:v>VERIFIED</x:v>
      </x:c>
      <x:c r="W6706" s="87"/>
      <x:c r="X6706" s="87" t="n">
        <x:v>6</x:v>
      </x:c>
      <x:c r="Y6706" s="87"/>
      <x:c r="Z6706" s="87"/>
      <x:c r="AA6706" s="87"/>
      <x:c r="AB6706" s="87"/>
      <x:c r="AC6706" s="87" t="str">
        <x:v>VIS-EGKR-CHEM-S26-TASK-955-P006</x:v>
      </x:c>
      <x:c r="AD6706" s="87" t="str">
        <x:v>VIS-EGKR-CHEM-S26-ANSWERDOC-P002</x:v>
      </x:c>
      <x:c r="AE6706" s="87" t="str">
        <x:v>TASK; SECONDARY_ANSWER_SOURCE</x:v>
      </x:c>
      <x:c r="AF6706" s="87" t="str">
        <x:v>VIS-EGKR-CHEM-S26-TASK-955-P006: 6; VIS-EGKR-CHEM-S26-ANSWERDOC-P002: 2</x:v>
      </x:c>
      <x:c r="AG6706" s="87" t="str">
        <x:v>RESOLVED</x:v>
      </x:c>
      <x:c r="AH6706" s="87" t="str">
        <x:v>CROP_VERIFIED</x:v>
      </x:c>
      <x:c r="AI6706" s="30"/>
      <x:c r="AJ6706" s="87" t="str">
        <x:v>clean</x:v>
      </x:c>
      <x:c r="AK6706" s="87" t="str">
        <x:v>clean-v0.27</x:v>
      </x:c>
      <x:c r="AL6706" s="87" t="str">
        <x:v>statgrad_clean_continuation_v0_27(1).xlsx</x:v>
      </x:c>
      <x:c r="AM6706" s="87" t="str">
        <x:v>CHEM_EGKR_S26_955</x:v>
      </x:c>
      <x:c r="AN6706" s="87" t="n">
        <x:v>13</x:v>
      </x:c>
    </x:row>
    <x:row r="6707">
      <x:c r="A6707" s="87" t="n">
        <x:v>6706</x:v>
      </x:c>
      <x:c r="B6707" s="87" t="str">
        <x:v>EGKR-S26-CHEM-955-13</x:v>
      </x:c>
      <x:c r="C6707" s="87" t="str">
        <x:v>ЕГКР</x:v>
      </x:c>
      <x:c r="D6707" s="87"/>
      <x:c r="E6707" s="87" t="str">
        <x:v>Весна 2026</x:v>
      </x:c>
      <x:c r="F6707" s="87" t="str">
        <x:v>16.04.2026</x:v>
      </x:c>
      <x:c r="G6707" s="87" t="str">
        <x:v>Химия</x:v>
      </x:c>
      <x:c r="H6707" s="87" t="n">
        <x:v>11</x:v>
      </x:c>
      <x:c r="I6707" s="87"/>
      <x:c r="J6707" s="87" t="str">
        <x:v>955</x:v>
      </x:c>
      <x:c r="K6707" s="87" t="n">
        <x:v>13</x:v>
      </x:c>
      <x:c r="L6707" s="87" t="str">
        <x:v>Химические свойства азотсодержащих соединений</x:v>
      </x:c>
      <x:c r="M6707" s="30" t="str">
        <x:v>Задание линии 13: Химические свойства азотсодержащих соединений. Полная формулировка и все таблицы/формулы сохранены на странице по VIS_ID.</x:v>
      </x:c>
      <x:c r="N6707" s="30" t="str">
        <x:v>45</x:v>
      </x:c>
      <x:c r="O6707" s="30" t="str">
        <x:v>Ответ проверен по исходной формулировке и химическим закономерностям.</x:v>
      </x:c>
      <x:c r="P6707" s="30"/>
      <x:c r="Q6707" s="30" t="str">
        <x:v>Полная исходная страница + независимая химическая проверка + аудит DOCX.</x:v>
      </x:c>
      <x:c r="R6707" s="30" t="str">
        <x:v>45</x:v>
      </x:c>
      <x:c r="S6707" s="30"/>
      <x:c r="T6707" s="30"/>
      <x:c r="U6707" s="30" t="str">
        <x:v>Расхождений не выявлено.</x:v>
      </x:c>
      <x:c r="V6707" s="87" t="str">
        <x:v>VERIFIED</x:v>
      </x:c>
      <x:c r="W6707" s="87"/>
      <x:c r="X6707" s="87" t="n">
        <x:v>6</x:v>
      </x:c>
      <x:c r="Y6707" s="87"/>
      <x:c r="Z6707" s="87"/>
      <x:c r="AA6707" s="87"/>
      <x:c r="AB6707" s="87"/>
      <x:c r="AC6707" s="87" t="str">
        <x:v>VIS-EGKR-CHEM-S26-TASK-955-P006</x:v>
      </x:c>
      <x:c r="AD6707" s="87" t="str">
        <x:v>VIS-EGKR-CHEM-S26-ANSWERDOC-P002</x:v>
      </x:c>
      <x:c r="AE6707" s="87" t="str">
        <x:v>TASK; SECONDARY_ANSWER_SOURCE</x:v>
      </x:c>
      <x:c r="AF6707" s="87" t="str">
        <x:v>VIS-EGKR-CHEM-S26-TASK-955-P006: 6; VIS-EGKR-CHEM-S26-ANSWERDOC-P002: 2</x:v>
      </x:c>
      <x:c r="AG6707" s="87" t="str">
        <x:v>RESOLVED</x:v>
      </x:c>
      <x:c r="AH6707" s="87" t="str">
        <x:v>CROP_VERIFIED</x:v>
      </x:c>
      <x:c r="AI6707" s="30"/>
      <x:c r="AJ6707" s="87" t="str">
        <x:v>clean</x:v>
      </x:c>
      <x:c r="AK6707" s="87" t="str">
        <x:v>clean-v0.27</x:v>
      </x:c>
      <x:c r="AL6707" s="87" t="str">
        <x:v>statgrad_clean_continuation_v0_27(1).xlsx</x:v>
      </x:c>
      <x:c r="AM6707" s="87" t="str">
        <x:v>CHEM_EGKR_S26_955</x:v>
      </x:c>
      <x:c r="AN6707" s="87" t="n">
        <x:v>14</x:v>
      </x:c>
    </x:row>
    <x:row r="6708">
      <x:c r="A6708" s="87" t="n">
        <x:v>6707</x:v>
      </x:c>
      <x:c r="B6708" s="87" t="str">
        <x:v>EGKR-S26-CHEM-955-14</x:v>
      </x:c>
      <x:c r="C6708" s="87" t="str">
        <x:v>ЕГКР</x:v>
      </x:c>
      <x:c r="D6708" s="87"/>
      <x:c r="E6708" s="87" t="str">
        <x:v>Весна 2026</x:v>
      </x:c>
      <x:c r="F6708" s="87" t="str">
        <x:v>16.04.2026</x:v>
      </x:c>
      <x:c r="G6708" s="87" t="str">
        <x:v>Химия</x:v>
      </x:c>
      <x:c r="H6708" s="87" t="n">
        <x:v>11</x:v>
      </x:c>
      <x:c r="I6708" s="87"/>
      <x:c r="J6708" s="87" t="str">
        <x:v>955</x:v>
      </x:c>
      <x:c r="K6708" s="87" t="n">
        <x:v>14</x:v>
      </x:c>
      <x:c r="L6708" s="87" t="str">
        <x:v>Органические превращения</x:v>
      </x:c>
      <x:c r="M6708" s="30" t="str">
        <x:v>Задание линии 14: Органические превращения. Полная формулировка и все таблицы/формулы сохранены на странице по VIS_ID.</x:v>
      </x:c>
      <x:c r="N6708" s="30" t="str">
        <x:v>1661</x:v>
      </x:c>
      <x:c r="O6708" s="30" t="str">
        <x:v>Ответ проверен по исходной формулировке и химическим закономерностям.</x:v>
      </x:c>
      <x:c r="P6708" s="30"/>
      <x:c r="Q6708" s="30" t="str">
        <x:v>Полная исходная страница + независимая химическая проверка + аудит DOCX.</x:v>
      </x:c>
      <x:c r="R6708" s="30" t="str">
        <x:v>1661</x:v>
      </x:c>
      <x:c r="S6708" s="30"/>
      <x:c r="T6708" s="30"/>
      <x:c r="U6708" s="30" t="str">
        <x:v>Расхождений не выявлено.</x:v>
      </x:c>
      <x:c r="V6708" s="87" t="str">
        <x:v>VERIFIED</x:v>
      </x:c>
      <x:c r="W6708" s="87"/>
      <x:c r="X6708" s="87" t="n">
        <x:v>7</x:v>
      </x:c>
      <x:c r="Y6708" s="87"/>
      <x:c r="Z6708" s="87"/>
      <x:c r="AA6708" s="87"/>
      <x:c r="AB6708" s="87"/>
      <x:c r="AC6708" s="87" t="str">
        <x:v>VIS-EGKR-CHEM-S26-TASK-955-P007</x:v>
      </x:c>
      <x:c r="AD6708" s="87" t="str">
        <x:v>VIS-EGKR-CHEM-S26-ANSWERDOC-P002</x:v>
      </x:c>
      <x:c r="AE6708" s="87" t="str">
        <x:v>TASK; SECONDARY_ANSWER_SOURCE</x:v>
      </x:c>
      <x:c r="AF6708" s="87" t="str">
        <x:v>VIS-EGKR-CHEM-S26-TASK-955-P007: 7; VIS-EGKR-CHEM-S26-ANSWERDOC-P002: 2</x:v>
      </x:c>
      <x:c r="AG6708" s="87" t="str">
        <x:v>RESOLVED</x:v>
      </x:c>
      <x:c r="AH6708" s="87" t="str">
        <x:v>CROP_VERIFIED</x:v>
      </x:c>
      <x:c r="AI6708" s="30"/>
      <x:c r="AJ6708" s="87" t="str">
        <x:v>clean</x:v>
      </x:c>
      <x:c r="AK6708" s="87" t="str">
        <x:v>clean-v0.27</x:v>
      </x:c>
      <x:c r="AL6708" s="87" t="str">
        <x:v>statgrad_clean_continuation_v0_27(1).xlsx</x:v>
      </x:c>
      <x:c r="AM6708" s="87" t="str">
        <x:v>CHEM_EGKR_S26_955</x:v>
      </x:c>
      <x:c r="AN6708" s="87" t="n">
        <x:v>15</x:v>
      </x:c>
    </x:row>
    <x:row r="6709">
      <x:c r="A6709" s="87" t="n">
        <x:v>6708</x:v>
      </x:c>
      <x:c r="B6709" s="87" t="str">
        <x:v>EGKR-S26-CHEM-955-15</x:v>
      </x:c>
      <x:c r="C6709" s="87" t="str">
        <x:v>ЕГКР</x:v>
      </x:c>
      <x:c r="D6709" s="87"/>
      <x:c r="E6709" s="87" t="str">
        <x:v>Весна 2026</x:v>
      </x:c>
      <x:c r="F6709" s="87" t="str">
        <x:v>16.04.2026</x:v>
      </x:c>
      <x:c r="G6709" s="87" t="str">
        <x:v>Химия</x:v>
      </x:c>
      <x:c r="H6709" s="87" t="n">
        <x:v>11</x:v>
      </x:c>
      <x:c r="I6709" s="87"/>
      <x:c r="J6709" s="87" t="str">
        <x:v>955</x:v>
      </x:c>
      <x:c r="K6709" s="87" t="n">
        <x:v>15</x:v>
      </x:c>
      <x:c r="L6709" s="87" t="str">
        <x:v>Органические превращения / гидролиз</x:v>
      </x:c>
      <x:c r="M6709" s="30" t="str">
        <x:v>Задание линии 15: Органические превращения / гидролиз. Полная формулировка и все таблицы/формулы сохранены на странице по VIS_ID.</x:v>
      </x:c>
      <x:c r="N6709" s="30" t="str">
        <x:v>1542</x:v>
      </x:c>
      <x:c r="O6709" s="30" t="str">
        <x:v>Ответ проверен по исходной формулировке и химическим закономерностям.</x:v>
      </x:c>
      <x:c r="P6709" s="30"/>
      <x:c r="Q6709" s="30" t="str">
        <x:v>Полная исходная страница + независимая химическая проверка + аудит DOCX.</x:v>
      </x:c>
      <x:c r="R6709" s="30" t="str">
        <x:v>1542</x:v>
      </x:c>
      <x:c r="S6709" s="30"/>
      <x:c r="T6709" s="30"/>
      <x:c r="U6709" s="30" t="str">
        <x:v>Расхождений не выявлено.</x:v>
      </x:c>
      <x:c r="V6709" s="87" t="str">
        <x:v>VERIFIED</x:v>
      </x:c>
      <x:c r="W6709" s="87"/>
      <x:c r="X6709" s="87" t="n">
        <x:v>8</x:v>
      </x:c>
      <x:c r="Y6709" s="87"/>
      <x:c r="Z6709" s="87"/>
      <x:c r="AA6709" s="87"/>
      <x:c r="AB6709" s="87"/>
      <x:c r="AC6709" s="87" t="str">
        <x:v>VIS-EGKR-CHEM-S26-TASK-955-P008</x:v>
      </x:c>
      <x:c r="AD6709" s="87" t="str">
        <x:v>VIS-EGKR-CHEM-S26-ANSWERDOC-P002</x:v>
      </x:c>
      <x:c r="AE6709" s="87" t="str">
        <x:v>TASK; SECONDARY_ANSWER_SOURCE</x:v>
      </x:c>
      <x:c r="AF6709" s="87" t="str">
        <x:v>VIS-EGKR-CHEM-S26-TASK-955-P008: 8; VIS-EGKR-CHEM-S26-ANSWERDOC-P002: 2</x:v>
      </x:c>
      <x:c r="AG6709" s="87" t="str">
        <x:v>RESOLVED</x:v>
      </x:c>
      <x:c r="AH6709" s="87" t="str">
        <x:v>CROP_VERIFIED</x:v>
      </x:c>
      <x:c r="AI6709" s="30"/>
      <x:c r="AJ6709" s="87" t="str">
        <x:v>clean</x:v>
      </x:c>
      <x:c r="AK6709" s="87" t="str">
        <x:v>clean-v0.27</x:v>
      </x:c>
      <x:c r="AL6709" s="87" t="str">
        <x:v>statgrad_clean_continuation_v0_27(1).xlsx</x:v>
      </x:c>
      <x:c r="AM6709" s="87" t="str">
        <x:v>CHEM_EGKR_S26_955</x:v>
      </x:c>
      <x:c r="AN6709" s="87" t="n">
        <x:v>16</x:v>
      </x:c>
    </x:row>
    <x:row r="6710">
      <x:c r="A6710" s="87" t="n">
        <x:v>6709</x:v>
      </x:c>
      <x:c r="B6710" s="87" t="str">
        <x:v>EGKR-S26-CHEM-955-16</x:v>
      </x:c>
      <x:c r="C6710" s="87" t="str">
        <x:v>ЕГКР</x:v>
      </x:c>
      <x:c r="D6710" s="87"/>
      <x:c r="E6710" s="87" t="str">
        <x:v>Весна 2026</x:v>
      </x:c>
      <x:c r="F6710" s="87" t="str">
        <x:v>16.04.2026</x:v>
      </x:c>
      <x:c r="G6710" s="87" t="str">
        <x:v>Химия</x:v>
      </x:c>
      <x:c r="H6710" s="87" t="n">
        <x:v>11</x:v>
      </x:c>
      <x:c r="I6710" s="87"/>
      <x:c r="J6710" s="87" t="str">
        <x:v>955</x:v>
      </x:c>
      <x:c r="K6710" s="87" t="n">
        <x:v>16</x:v>
      </x:c>
      <x:c r="L6710" s="87" t="str">
        <x:v>Цепочка органических превращений</x:v>
      </x:c>
      <x:c r="M6710" s="30" t="str">
        <x:v>Задание линии 16: Цепочка органических превращений. Полная формулировка и все таблицы/формулы сохранены на странице по VIS_ID.</x:v>
      </x:c>
      <x:c r="N6710" s="30" t="str">
        <x:v>21</x:v>
      </x:c>
      <x:c r="O6710" s="30" t="str">
        <x:v>Ответ проверен по исходной формулировке и химическим закономерностям.</x:v>
      </x:c>
      <x:c r="P6710" s="30"/>
      <x:c r="Q6710" s="30" t="str">
        <x:v>Полная исходная страница + независимая химическая проверка + аудит DOCX.</x:v>
      </x:c>
      <x:c r="R6710" s="30" t="str">
        <x:v>21</x:v>
      </x:c>
      <x:c r="S6710" s="30"/>
      <x:c r="T6710" s="30"/>
      <x:c r="U6710" s="30" t="str">
        <x:v>Расхождений не выявлено.</x:v>
      </x:c>
      <x:c r="V6710" s="87" t="str">
        <x:v>VERIFIED</x:v>
      </x:c>
      <x:c r="W6710" s="87"/>
      <x:c r="X6710" s="87" t="n">
        <x:v>8</x:v>
      </x:c>
      <x:c r="Y6710" s="87"/>
      <x:c r="Z6710" s="87"/>
      <x:c r="AA6710" s="87"/>
      <x:c r="AB6710" s="87"/>
      <x:c r="AC6710" s="87" t="str">
        <x:v>VIS-EGKR-CHEM-S26-TASK-955-P008</x:v>
      </x:c>
      <x:c r="AD6710" s="87" t="str">
        <x:v>VIS-EGKR-CHEM-S26-ANSWERDOC-P002</x:v>
      </x:c>
      <x:c r="AE6710" s="87" t="str">
        <x:v>TASK; SECONDARY_ANSWER_SOURCE</x:v>
      </x:c>
      <x:c r="AF6710" s="87" t="str">
        <x:v>VIS-EGKR-CHEM-S26-TASK-955-P008: 8; VIS-EGKR-CHEM-S26-ANSWERDOC-P002: 2</x:v>
      </x:c>
      <x:c r="AG6710" s="87" t="str">
        <x:v>RESOLVED</x:v>
      </x:c>
      <x:c r="AH6710" s="87" t="str">
        <x:v>CROP_VERIFIED</x:v>
      </x:c>
      <x:c r="AI6710" s="30"/>
      <x:c r="AJ6710" s="87" t="str">
        <x:v>clean</x:v>
      </x:c>
      <x:c r="AK6710" s="87" t="str">
        <x:v>clean-v0.27</x:v>
      </x:c>
      <x:c r="AL6710" s="87" t="str">
        <x:v>statgrad_clean_continuation_v0_27(1).xlsx</x:v>
      </x:c>
      <x:c r="AM6710" s="87" t="str">
        <x:v>CHEM_EGKR_S26_955</x:v>
      </x:c>
      <x:c r="AN6710" s="87" t="n">
        <x:v>17</x:v>
      </x:c>
    </x:row>
    <x:row r="6711">
      <x:c r="A6711" s="87" t="n">
        <x:v>6710</x:v>
      </x:c>
      <x:c r="B6711" s="87" t="str">
        <x:v>EGKR-S26-CHEM-955-17</x:v>
      </x:c>
      <x:c r="C6711" s="87" t="str">
        <x:v>ЕГКР</x:v>
      </x:c>
      <x:c r="D6711" s="87"/>
      <x:c r="E6711" s="87" t="str">
        <x:v>Весна 2026</x:v>
      </x:c>
      <x:c r="F6711" s="87" t="str">
        <x:v>16.04.2026</x:v>
      </x:c>
      <x:c r="G6711" s="87" t="str">
        <x:v>Химия</x:v>
      </x:c>
      <x:c r="H6711" s="87" t="n">
        <x:v>11</x:v>
      </x:c>
      <x:c r="I6711" s="87"/>
      <x:c r="J6711" s="87" t="str">
        <x:v>955</x:v>
      </x:c>
      <x:c r="K6711" s="87" t="n">
        <x:v>17</x:v>
      </x:c>
      <x:c r="L6711" s="87" t="str">
        <x:v>Классификация химических реакций</x:v>
      </x:c>
      <x:c r="M6711" s="30" t="str">
        <x:v>Задание линии 17: Классификация химических реакций. Полная формулировка и все таблицы/формулы сохранены на странице по VIS_ID.</x:v>
      </x:c>
      <x:c r="N6711" s="30" t="str">
        <x:v>142</x:v>
      </x:c>
      <x:c r="O6711" s="30" t="str">
        <x:v>Ответ проверен по исходной формулировке и химическим закономерностям.</x:v>
      </x:c>
      <x:c r="P6711" s="30"/>
      <x:c r="Q6711" s="30" t="str">
        <x:v>Полная исходная страница + независимая химическая проверка + аудит DOCX.</x:v>
      </x:c>
      <x:c r="R6711" s="30" t="str">
        <x:v>241</x:v>
      </x:c>
      <x:c r="S6711" s="30"/>
      <x:c r="T6711" s="30"/>
      <x:c r="U6711" s="30" t="str">
        <x:v>Гидратация пропина — 1; кислотный гидролиз этилформиата — 4; гидрирование пропилена — 2.</x:v>
      </x:c>
      <x:c r="V6711" s="87" t="str">
        <x:v>KEY_MISMATCH</x:v>
      </x:c>
      <x:c r="W6711" s="87"/>
      <x:c r="X6711" s="87" t="n">
        <x:v>9</x:v>
      </x:c>
      <x:c r="Y6711" s="87"/>
      <x:c r="Z6711" s="87"/>
      <x:c r="AA6711" s="87"/>
      <x:c r="AB6711" s="87"/>
      <x:c r="AC6711" s="87" t="str">
        <x:v>VIS-EGKR-CHEM-S26-TASK-955-P009</x:v>
      </x:c>
      <x:c r="AD6711" s="87" t="str">
        <x:v>VIS-EGKR-CHEM-S26-ANSWERDOC-P002</x:v>
      </x:c>
      <x:c r="AE6711" s="87" t="str">
        <x:v>TASK; SECONDARY_ANSWER_SOURCE</x:v>
      </x:c>
      <x:c r="AF6711" s="87" t="str">
        <x:v>VIS-EGKR-CHEM-S26-TASK-955-P009: 9; VIS-EGKR-CHEM-S26-ANSWERDOC-P002: 2</x:v>
      </x:c>
      <x:c r="AG6711" s="87" t="str">
        <x:v>RESOLVED</x:v>
      </x:c>
      <x:c r="AH6711" s="87" t="str">
        <x:v>CROP_VERIFIED</x:v>
      </x:c>
      <x:c r="AI6711" s="30"/>
      <x:c r="AJ6711" s="87" t="str">
        <x:v>clean</x:v>
      </x:c>
      <x:c r="AK6711" s="87" t="str">
        <x:v>clean-v0.27</x:v>
      </x:c>
      <x:c r="AL6711" s="87" t="str">
        <x:v>statgrad_clean_continuation_v0_27(1).xlsx</x:v>
      </x:c>
      <x:c r="AM6711" s="87" t="str">
        <x:v>CHEM_EGKR_S26_955</x:v>
      </x:c>
      <x:c r="AN6711" s="87" t="n">
        <x:v>18</x:v>
      </x:c>
    </x:row>
    <x:row r="6712">
      <x:c r="A6712" s="87" t="n">
        <x:v>6711</x:v>
      </x:c>
      <x:c r="B6712" s="87" t="str">
        <x:v>EGKR-S26-CHEM-955-18</x:v>
      </x:c>
      <x:c r="C6712" s="87" t="str">
        <x:v>ЕГКР</x:v>
      </x:c>
      <x:c r="D6712" s="87"/>
      <x:c r="E6712" s="87" t="str">
        <x:v>Весна 2026</x:v>
      </x:c>
      <x:c r="F6712" s="87" t="str">
        <x:v>16.04.2026</x:v>
      </x:c>
      <x:c r="G6712" s="87" t="str">
        <x:v>Химия</x:v>
      </x:c>
      <x:c r="H6712" s="87" t="n">
        <x:v>11</x:v>
      </x:c>
      <x:c r="I6712" s="87"/>
      <x:c r="J6712" s="87" t="str">
        <x:v>955</x:v>
      </x:c>
      <x:c r="K6712" s="87" t="n">
        <x:v>18</x:v>
      </x:c>
      <x:c r="L6712" s="87" t="str">
        <x:v>Скорость химической реакции</x:v>
      </x:c>
      <x:c r="M6712" s="30" t="str">
        <x:v>Задание линии 18: Скорость химической реакции. Полная формулировка и все таблицы/формулы сохранены на странице по VIS_ID.</x:v>
      </x:c>
      <x:c r="N6712" s="30" t="str">
        <x:v>1235</x:v>
      </x:c>
      <x:c r="O6712" s="30" t="str">
        <x:v>Ответ проверен по исходной формулировке и химическим закономерностям.</x:v>
      </x:c>
      <x:c r="P6712" s="30"/>
      <x:c r="Q6712" s="30" t="str">
        <x:v>Полная исходная страница + независимая химическая проверка + аудит DOCX.</x:v>
      </x:c>
      <x:c r="R6712" s="30" t="str">
        <x:v>1235</x:v>
      </x:c>
      <x:c r="S6712" s="30"/>
      <x:c r="T6712" s="30"/>
      <x:c r="U6712" s="30" t="str">
        <x:v>Расхождений не выявлено.</x:v>
      </x:c>
      <x:c r="V6712" s="87" t="str">
        <x:v>VERIFIED</x:v>
      </x:c>
      <x:c r="W6712" s="87"/>
      <x:c r="X6712" s="87" t="n">
        <x:v>9</x:v>
      </x:c>
      <x:c r="Y6712" s="87"/>
      <x:c r="Z6712" s="87"/>
      <x:c r="AA6712" s="87"/>
      <x:c r="AB6712" s="87"/>
      <x:c r="AC6712" s="87" t="str">
        <x:v>VIS-EGKR-CHEM-S26-TASK-955-P009</x:v>
      </x:c>
      <x:c r="AD6712" s="87" t="str">
        <x:v>VIS-EGKR-CHEM-S26-ANSWERDOC-P002</x:v>
      </x:c>
      <x:c r="AE6712" s="87" t="str">
        <x:v>TASK; SECONDARY_ANSWER_SOURCE</x:v>
      </x:c>
      <x:c r="AF6712" s="87" t="str">
        <x:v>VIS-EGKR-CHEM-S26-TASK-955-P009: 9; VIS-EGKR-CHEM-S26-ANSWERDOC-P002: 2</x:v>
      </x:c>
      <x:c r="AG6712" s="87" t="str">
        <x:v>RESOLVED</x:v>
      </x:c>
      <x:c r="AH6712" s="87" t="str">
        <x:v>CROP_VERIFIED</x:v>
      </x:c>
      <x:c r="AI6712" s="30"/>
      <x:c r="AJ6712" s="87" t="str">
        <x:v>clean</x:v>
      </x:c>
      <x:c r="AK6712" s="87" t="str">
        <x:v>clean-v0.27</x:v>
      </x:c>
      <x:c r="AL6712" s="87" t="str">
        <x:v>statgrad_clean_continuation_v0_27(1).xlsx</x:v>
      </x:c>
      <x:c r="AM6712" s="87" t="str">
        <x:v>CHEM_EGKR_S26_955</x:v>
      </x:c>
      <x:c r="AN6712" s="87" t="n">
        <x:v>19</x:v>
      </x:c>
    </x:row>
    <x:row r="6713">
      <x:c r="A6713" s="87" t="n">
        <x:v>6712</x:v>
      </x:c>
      <x:c r="B6713" s="87" t="str">
        <x:v>EGKR-S26-CHEM-955-19</x:v>
      </x:c>
      <x:c r="C6713" s="87" t="str">
        <x:v>ЕГКР</x:v>
      </x:c>
      <x:c r="D6713" s="87"/>
      <x:c r="E6713" s="87" t="str">
        <x:v>Весна 2026</x:v>
      </x:c>
      <x:c r="F6713" s="87" t="str">
        <x:v>16.04.2026</x:v>
      </x:c>
      <x:c r="G6713" s="87" t="str">
        <x:v>Химия</x:v>
      </x:c>
      <x:c r="H6713" s="87" t="n">
        <x:v>11</x:v>
      </x:c>
      <x:c r="I6713" s="87"/>
      <x:c r="J6713" s="87" t="str">
        <x:v>955</x:v>
      </x:c>
      <x:c r="K6713" s="87" t="n">
        <x:v>19</x:v>
      </x:c>
      <x:c r="L6713" s="87" t="str">
        <x:v>Окислитель и изменение степени окисления</x:v>
      </x:c>
      <x:c r="M6713" s="30" t="str">
        <x:v>Задание линии 19: Окислитель и изменение степени окисления. Полная формулировка и все таблицы/формулы сохранены на странице по VIS_ID.</x:v>
      </x:c>
      <x:c r="N6713" s="30" t="str">
        <x:v>342</x:v>
      </x:c>
      <x:c r="O6713" s="30" t="str">
        <x:v>Ответ проверен по исходной формулировке и химическим закономерностям.</x:v>
      </x:c>
      <x:c r="P6713" s="30"/>
      <x:c r="Q6713" s="30" t="str">
        <x:v>Полная исходная страница + независимая химическая проверка + аудит DOCX.</x:v>
      </x:c>
      <x:c r="R6713" s="30" t="str">
        <x:v>342</x:v>
      </x:c>
      <x:c r="S6713" s="30"/>
      <x:c r="T6713" s="30"/>
      <x:c r="U6713" s="30" t="str">
        <x:v>Расхождений не выявлено.</x:v>
      </x:c>
      <x:c r="V6713" s="87" t="str">
        <x:v>VERIFIED</x:v>
      </x:c>
      <x:c r="W6713" s="87"/>
      <x:c r="X6713" s="87" t="n">
        <x:v>9</x:v>
      </x:c>
      <x:c r="Y6713" s="87"/>
      <x:c r="Z6713" s="87"/>
      <x:c r="AA6713" s="87"/>
      <x:c r="AB6713" s="87"/>
      <x:c r="AC6713" s="87" t="str">
        <x:v>VIS-EGKR-CHEM-S26-TASK-955-P009</x:v>
      </x:c>
      <x:c r="AD6713" s="87" t="str">
        <x:v>VIS-EGKR-CHEM-S26-ANSWERDOC-P002</x:v>
      </x:c>
      <x:c r="AE6713" s="87" t="str">
        <x:v>TASK; SECONDARY_ANSWER_SOURCE</x:v>
      </x:c>
      <x:c r="AF6713" s="87" t="str">
        <x:v>VIS-EGKR-CHEM-S26-TASK-955-P009: 9; VIS-EGKR-CHEM-S26-ANSWERDOC-P002: 2</x:v>
      </x:c>
      <x:c r="AG6713" s="87" t="str">
        <x:v>RESOLVED</x:v>
      </x:c>
      <x:c r="AH6713" s="87" t="str">
        <x:v>CROP_VERIFIED</x:v>
      </x:c>
      <x:c r="AI6713" s="30"/>
      <x:c r="AJ6713" s="87" t="str">
        <x:v>clean</x:v>
      </x:c>
      <x:c r="AK6713" s="87" t="str">
        <x:v>clean-v0.27</x:v>
      </x:c>
      <x:c r="AL6713" s="87" t="str">
        <x:v>statgrad_clean_continuation_v0_27(1).xlsx</x:v>
      </x:c>
      <x:c r="AM6713" s="87" t="str">
        <x:v>CHEM_EGKR_S26_955</x:v>
      </x:c>
      <x:c r="AN6713" s="87" t="n">
        <x:v>20</x:v>
      </x:c>
    </x:row>
    <x:row r="6714">
      <x:c r="A6714" s="87" t="n">
        <x:v>6713</x:v>
      </x:c>
      <x:c r="B6714" s="87" t="str">
        <x:v>EGKR-S26-CHEM-955-20</x:v>
      </x:c>
      <x:c r="C6714" s="87" t="str">
        <x:v>ЕГКР</x:v>
      </x:c>
      <x:c r="D6714" s="87"/>
      <x:c r="E6714" s="87" t="str">
        <x:v>Весна 2026</x:v>
      </x:c>
      <x:c r="F6714" s="87" t="str">
        <x:v>16.04.2026</x:v>
      </x:c>
      <x:c r="G6714" s="87" t="str">
        <x:v>Химия</x:v>
      </x:c>
      <x:c r="H6714" s="87" t="n">
        <x:v>11</x:v>
      </x:c>
      <x:c r="I6714" s="87"/>
      <x:c r="J6714" s="87" t="str">
        <x:v>955</x:v>
      </x:c>
      <x:c r="K6714" s="87" t="n">
        <x:v>20</x:v>
      </x:c>
      <x:c r="L6714" s="87" t="str">
        <x:v>Электролиз</x:v>
      </x:c>
      <x:c r="M6714" s="30" t="str">
        <x:v>Задание линии 20: Электролиз. Полная формулировка и все таблицы/формулы сохранены на странице по VIS_ID.</x:v>
      </x:c>
      <x:c r="N6714" s="30" t="str">
        <x:v>213</x:v>
      </x:c>
      <x:c r="O6714" s="30" t="str">
        <x:v>Ответ проверен по исходной формулировке и химическим закономерностям.</x:v>
      </x:c>
      <x:c r="P6714" s="30"/>
      <x:c r="Q6714" s="30" t="str">
        <x:v>Полная исходная страница + независимая химическая проверка + аудит DOCX.</x:v>
      </x:c>
      <x:c r="R6714" s="30" t="str">
        <x:v>322</x:v>
      </x:c>
      <x:c r="S6714" s="30"/>
      <x:c r="T6714" s="30"/>
      <x:c r="U6714" s="30" t="str">
        <x:v>NaI: H2 и I2 (2); Cu(NO3)2: Cu и O2 (1); K2SO4: H2 и O2 (3).</x:v>
      </x:c>
      <x:c r="V6714" s="87" t="str">
        <x:v>KEY_MISMATCH</x:v>
      </x:c>
      <x:c r="W6714" s="87"/>
      <x:c r="X6714" s="87" t="n">
        <x:v>10</x:v>
      </x:c>
      <x:c r="Y6714" s="87"/>
      <x:c r="Z6714" s="87"/>
      <x:c r="AA6714" s="87"/>
      <x:c r="AB6714" s="87"/>
      <x:c r="AC6714" s="87" t="str">
        <x:v>VIS-EGKR-CHEM-S26-TASK-955-P010</x:v>
      </x:c>
      <x:c r="AD6714" s="87" t="str">
        <x:v>VIS-EGKR-CHEM-S26-ANSWERDOC-P002</x:v>
      </x:c>
      <x:c r="AE6714" s="87" t="str">
        <x:v>TASK; SECONDARY_ANSWER_SOURCE</x:v>
      </x:c>
      <x:c r="AF6714" s="87" t="str">
        <x:v>VIS-EGKR-CHEM-S26-TASK-955-P010: 10; VIS-EGKR-CHEM-S26-ANSWERDOC-P002: 2</x:v>
      </x:c>
      <x:c r="AG6714" s="87" t="str">
        <x:v>RESOLVED</x:v>
      </x:c>
      <x:c r="AH6714" s="87" t="str">
        <x:v>CROP_VERIFIED</x:v>
      </x:c>
      <x:c r="AI6714" s="30"/>
      <x:c r="AJ6714" s="87" t="str">
        <x:v>clean</x:v>
      </x:c>
      <x:c r="AK6714" s="87" t="str">
        <x:v>clean-v0.27</x:v>
      </x:c>
      <x:c r="AL6714" s="87" t="str">
        <x:v>statgrad_clean_continuation_v0_27(1).xlsx</x:v>
      </x:c>
      <x:c r="AM6714" s="87" t="str">
        <x:v>CHEM_EGKR_S26_955</x:v>
      </x:c>
      <x:c r="AN6714" s="87" t="n">
        <x:v>21</x:v>
      </x:c>
    </x:row>
    <x:row r="6715">
      <x:c r="A6715" s="87" t="n">
        <x:v>6714</x:v>
      </x:c>
      <x:c r="B6715" s="87" t="str">
        <x:v>EGKR-S26-CHEM-955-21</x:v>
      </x:c>
      <x:c r="C6715" s="87" t="str">
        <x:v>ЕГКР</x:v>
      </x:c>
      <x:c r="D6715" s="87"/>
      <x:c r="E6715" s="87" t="str">
        <x:v>Весна 2026</x:v>
      </x:c>
      <x:c r="F6715" s="87" t="str">
        <x:v>16.04.2026</x:v>
      </x:c>
      <x:c r="G6715" s="87" t="str">
        <x:v>Химия</x:v>
      </x:c>
      <x:c r="H6715" s="87" t="n">
        <x:v>11</x:v>
      </x:c>
      <x:c r="I6715" s="87"/>
      <x:c r="J6715" s="87" t="str">
        <x:v>955</x:v>
      </x:c>
      <x:c r="K6715" s="87" t="n">
        <x:v>21</x:v>
      </x:c>
      <x:c r="L6715" s="87" t="str">
        <x:v>Среда растворов и pH</x:v>
      </x:c>
      <x:c r="M6715" s="30" t="str">
        <x:v>Задание линии 21: Среда растворов и pH. Полная формулировка и все таблицы/формулы сохранены на странице по VIS_ID.</x:v>
      </x:c>
      <x:c r="N6715" s="30" t="str">
        <x:v>3124</x:v>
      </x:c>
      <x:c r="O6715" s="30" t="str">
        <x:v>Ответ проверен по исходной формулировке и химическим закономерностям.</x:v>
      </x:c>
      <x:c r="P6715" s="30"/>
      <x:c r="Q6715" s="30" t="str">
        <x:v>Полная исходная страница + независимая химическая проверка + аудит DOCX.</x:v>
      </x:c>
      <x:c r="R6715" s="30" t="str">
        <x:v>3124</x:v>
      </x:c>
      <x:c r="S6715" s="30"/>
      <x:c r="T6715" s="30"/>
      <x:c r="U6715" s="30" t="str">
        <x:v>Расхождений не выявлено.</x:v>
      </x:c>
      <x:c r="V6715" s="87" t="str">
        <x:v>VERIFIED</x:v>
      </x:c>
      <x:c r="W6715" s="87"/>
      <x:c r="X6715" s="87" t="n">
        <x:v>10</x:v>
      </x:c>
      <x:c r="Y6715" s="87"/>
      <x:c r="Z6715" s="87"/>
      <x:c r="AA6715" s="87"/>
      <x:c r="AB6715" s="87"/>
      <x:c r="AC6715" s="87" t="str">
        <x:v>VIS-EGKR-CHEM-S26-TASK-955-P010</x:v>
      </x:c>
      <x:c r="AD6715" s="87" t="str">
        <x:v>VIS-EGKR-CHEM-S26-ANSWERDOC-P002</x:v>
      </x:c>
      <x:c r="AE6715" s="87" t="str">
        <x:v>TASK; SECONDARY_ANSWER_SOURCE</x:v>
      </x:c>
      <x:c r="AF6715" s="87" t="str">
        <x:v>VIS-EGKR-CHEM-S26-TASK-955-P010: 10; VIS-EGKR-CHEM-S26-ANSWERDOC-P002: 2</x:v>
      </x:c>
      <x:c r="AG6715" s="87" t="str">
        <x:v>RESOLVED</x:v>
      </x:c>
      <x:c r="AH6715" s="87" t="str">
        <x:v>CROP_VERIFIED</x:v>
      </x:c>
      <x:c r="AI6715" s="30"/>
      <x:c r="AJ6715" s="87" t="str">
        <x:v>clean</x:v>
      </x:c>
      <x:c r="AK6715" s="87" t="str">
        <x:v>clean-v0.27</x:v>
      </x:c>
      <x:c r="AL6715" s="87" t="str">
        <x:v>statgrad_clean_continuation_v0_27(1).xlsx</x:v>
      </x:c>
      <x:c r="AM6715" s="87" t="str">
        <x:v>CHEM_EGKR_S26_955</x:v>
      </x:c>
      <x:c r="AN6715" s="87" t="n">
        <x:v>22</x:v>
      </x:c>
    </x:row>
    <x:row r="6716">
      <x:c r="A6716" s="87" t="n">
        <x:v>6715</x:v>
      </x:c>
      <x:c r="B6716" s="87" t="str">
        <x:v>EGKR-S26-CHEM-955-22</x:v>
      </x:c>
      <x:c r="C6716" s="87" t="str">
        <x:v>ЕГКР</x:v>
      </x:c>
      <x:c r="D6716" s="87"/>
      <x:c r="E6716" s="87" t="str">
        <x:v>Весна 2026</x:v>
      </x:c>
      <x:c r="F6716" s="87" t="str">
        <x:v>16.04.2026</x:v>
      </x:c>
      <x:c r="G6716" s="87" t="str">
        <x:v>Химия</x:v>
      </x:c>
      <x:c r="H6716" s="87" t="n">
        <x:v>11</x:v>
      </x:c>
      <x:c r="I6716" s="87"/>
      <x:c r="J6716" s="87" t="str">
        <x:v>955</x:v>
      </x:c>
      <x:c r="K6716" s="87" t="n">
        <x:v>22</x:v>
      </x:c>
      <x:c r="L6716" s="87" t="str">
        <x:v>Химическое равновесие</x:v>
      </x:c>
      <x:c r="M6716" s="30" t="str">
        <x:v>Задание линии 22: Химическое равновесие. Полная формулировка и все таблицы/формулы сохранены на странице по VIS_ID.</x:v>
      </x:c>
      <x:c r="N6716" s="30" t="str">
        <x:v>NOT_ASSERTED</x:v>
      </x:c>
      <x:c r="O6716" s="30" t="str">
        <x:v>Источник не позволяет однозначно восстановить корректный ответ.</x:v>
      </x:c>
      <x:c r="P6716" s="30"/>
      <x:c r="Q6716" s="30" t="str">
        <x:v>Полная исходная страница + независимая химическая проверка + аудит DOCX.</x:v>
      </x:c>
      <x:c r="R6716" s="30" t="str">
        <x:v>2113</x:v>
      </x:c>
      <x:c r="S6716" s="30"/>
      <x:c r="T6716" s="30"/>
      <x:c r="U6716" s="30" t="str">
        <x:v>Напечатанное равновесное уравнение не сохраняет элементы, поэтому ответ не может быть установлен надёжно.</x:v>
      </x:c>
      <x:c r="V6716" s="87" t="str">
        <x:v>TASK_DEFECT</x:v>
      </x:c>
      <x:c r="W6716" s="87"/>
      <x:c r="X6716" s="87" t="n">
        <x:v>11</x:v>
      </x:c>
      <x:c r="Y6716" s="87"/>
      <x:c r="Z6716" s="87"/>
      <x:c r="AA6716" s="87"/>
      <x:c r="AB6716" s="87"/>
      <x:c r="AC6716" s="87" t="str">
        <x:v>VIS-EGKR-CHEM-S26-TASK-955-P011</x:v>
      </x:c>
      <x:c r="AD6716" s="87" t="str">
        <x:v>VIS-EGKR-CHEM-S26-ANSWERDOC-P002</x:v>
      </x:c>
      <x:c r="AE6716" s="87" t="str">
        <x:v>TASK; SECONDARY_ANSWER_SOURCE</x:v>
      </x:c>
      <x:c r="AF6716" s="87" t="str">
        <x:v>VIS-EGKR-CHEM-S26-TASK-955-P011: 11; VIS-EGKR-CHEM-S26-ANSWERDOC-P002: 2</x:v>
      </x:c>
      <x:c r="AG6716" s="87" t="str">
        <x:v>RESOLVED</x:v>
      </x:c>
      <x:c r="AH6716" s="87" t="str">
        <x:v>CROP_VERIFIED</x:v>
      </x:c>
      <x:c r="AI6716" s="30"/>
      <x:c r="AJ6716" s="87" t="str">
        <x:v>clean</x:v>
      </x:c>
      <x:c r="AK6716" s="87" t="str">
        <x:v>clean-v0.27</x:v>
      </x:c>
      <x:c r="AL6716" s="87" t="str">
        <x:v>statgrad_clean_continuation_v0_27(1).xlsx</x:v>
      </x:c>
      <x:c r="AM6716" s="87" t="str">
        <x:v>CHEM_EGKR_S26_955</x:v>
      </x:c>
      <x:c r="AN6716" s="87" t="n">
        <x:v>23</x:v>
      </x:c>
    </x:row>
    <x:row r="6717">
      <x:c r="A6717" s="87" t="n">
        <x:v>6716</x:v>
      </x:c>
      <x:c r="B6717" s="87" t="str">
        <x:v>EGKR-S26-CHEM-955-23</x:v>
      </x:c>
      <x:c r="C6717" s="87" t="str">
        <x:v>ЕГКР</x:v>
      </x:c>
      <x:c r="D6717" s="87"/>
      <x:c r="E6717" s="87" t="str">
        <x:v>Весна 2026</x:v>
      </x:c>
      <x:c r="F6717" s="87" t="str">
        <x:v>16.04.2026</x:v>
      </x:c>
      <x:c r="G6717" s="87" t="str">
        <x:v>Химия</x:v>
      </x:c>
      <x:c r="H6717" s="87" t="n">
        <x:v>11</x:v>
      </x:c>
      <x:c r="I6717" s="87"/>
      <x:c r="J6717" s="87" t="str">
        <x:v>955</x:v>
      </x:c>
      <x:c r="K6717" s="87" t="n">
        <x:v>23</x:v>
      </x:c>
      <x:c r="L6717" s="87" t="str">
        <x:v>Расчёт равновесных концентраций</x:v>
      </x:c>
      <x:c r="M6717" s="30" t="str">
        <x:v>Задание линии 23: Расчёт равновесных концентраций. Полная формулировка и все таблицы/формулы сохранены на странице по VIS_ID.</x:v>
      </x:c>
      <x:c r="N6717" s="30" t="str">
        <x:v>24</x:v>
      </x:c>
      <x:c r="O6717" s="30" t="str">
        <x:v>Ответ проверен по исходной формулировке и химическим закономерностям.</x:v>
      </x:c>
      <x:c r="P6717" s="30"/>
      <x:c r="Q6717" s="30" t="str">
        <x:v>Полная исходная страница + независимая химическая проверка + аудит DOCX.</x:v>
      </x:c>
      <x:c r="R6717" s="30" t="str">
        <x:v>24</x:v>
      </x:c>
      <x:c r="S6717" s="30"/>
      <x:c r="T6717" s="30"/>
      <x:c r="U6717" s="30" t="str">
        <x:v>В условии напечатана неверная реакция. По исходным N2/O2 и концентрации продукта восстанавливается N2+O2⇄2NO; ответ 24.</x:v>
      </x:c>
      <x:c r="V6717" s="87" t="str">
        <x:v>TASK_DEFECT_RECOVERED</x:v>
      </x:c>
      <x:c r="W6717" s="87"/>
      <x:c r="X6717" s="87" t="n">
        <x:v>11</x:v>
      </x:c>
      <x:c r="Y6717" s="87"/>
      <x:c r="Z6717" s="87"/>
      <x:c r="AA6717" s="87"/>
      <x:c r="AB6717" s="87"/>
      <x:c r="AC6717" s="87" t="str">
        <x:v>VIS-EGKR-CHEM-S26-TASK-955-P011</x:v>
      </x:c>
      <x:c r="AD6717" s="87" t="str">
        <x:v>VIS-EGKR-CHEM-S26-ANSWERDOC-P002</x:v>
      </x:c>
      <x:c r="AE6717" s="87" t="str">
        <x:v>TASK; SECONDARY_ANSWER_SOURCE</x:v>
      </x:c>
      <x:c r="AF6717" s="87" t="str">
        <x:v>VIS-EGKR-CHEM-S26-TASK-955-P011: 11; VIS-EGKR-CHEM-S26-ANSWERDOC-P002: 2</x:v>
      </x:c>
      <x:c r="AG6717" s="87" t="str">
        <x:v>RESOLVED</x:v>
      </x:c>
      <x:c r="AH6717" s="87" t="str">
        <x:v>CROP_VERIFIED</x:v>
      </x:c>
      <x:c r="AI6717" s="30"/>
      <x:c r="AJ6717" s="87" t="str">
        <x:v>clean</x:v>
      </x:c>
      <x:c r="AK6717" s="87" t="str">
        <x:v>clean-v0.27</x:v>
      </x:c>
      <x:c r="AL6717" s="87" t="str">
        <x:v>statgrad_clean_continuation_v0_27(1).xlsx</x:v>
      </x:c>
      <x:c r="AM6717" s="87" t="str">
        <x:v>CHEM_EGKR_S26_955</x:v>
      </x:c>
      <x:c r="AN6717" s="87" t="n">
        <x:v>24</x:v>
      </x:c>
    </x:row>
    <x:row r="6718">
      <x:c r="A6718" s="87" t="n">
        <x:v>6717</x:v>
      </x:c>
      <x:c r="B6718" s="87" t="str">
        <x:v>EGKR-S26-CHEM-955-24</x:v>
      </x:c>
      <x:c r="C6718" s="87" t="str">
        <x:v>ЕГКР</x:v>
      </x:c>
      <x:c r="D6718" s="87"/>
      <x:c r="E6718" s="87" t="str">
        <x:v>Весна 2026</x:v>
      </x:c>
      <x:c r="F6718" s="87" t="str">
        <x:v>16.04.2026</x:v>
      </x:c>
      <x:c r="G6718" s="87" t="str">
        <x:v>Химия</x:v>
      </x:c>
      <x:c r="H6718" s="87" t="n">
        <x:v>11</x:v>
      </x:c>
      <x:c r="I6718" s="87"/>
      <x:c r="J6718" s="87" t="str">
        <x:v>955</x:v>
      </x:c>
      <x:c r="K6718" s="87" t="n">
        <x:v>24</x:v>
      </x:c>
      <x:c r="L6718" s="87" t="str">
        <x:v>Качественное различение веществ</x:v>
      </x:c>
      <x:c r="M6718" s="30" t="str">
        <x:v>Задание линии 24: Качественное различение веществ. Полная формулировка и все таблицы/формулы сохранены на странице по VIS_ID.</x:v>
      </x:c>
      <x:c r="N6718" s="30" t="str">
        <x:v>3211</x:v>
      </x:c>
      <x:c r="O6718" s="30" t="str">
        <x:v>Ответ проверен по исходной формулировке и химическим закономерностям.</x:v>
      </x:c>
      <x:c r="P6718" s="30"/>
      <x:c r="Q6718" s="30" t="str">
        <x:v>Полная исходная страница + независимая химическая проверка + аудит DOCX.</x:v>
      </x:c>
      <x:c r="R6718" s="30" t="str">
        <x:v>3211</x:v>
      </x:c>
      <x:c r="S6718" s="30"/>
      <x:c r="T6718" s="30"/>
      <x:c r="U6718" s="30" t="str">
        <x:v>Расхождений не выявлено.</x:v>
      </x:c>
      <x:c r="V6718" s="87" t="str">
        <x:v>VERIFIED</x:v>
      </x:c>
      <x:c r="W6718" s="87"/>
      <x:c r="X6718" s="87" t="n">
        <x:v>12</x:v>
      </x:c>
      <x:c r="Y6718" s="87"/>
      <x:c r="Z6718" s="87"/>
      <x:c r="AA6718" s="87"/>
      <x:c r="AB6718" s="87"/>
      <x:c r="AC6718" s="87" t="str">
        <x:v>VIS-EGKR-CHEM-S26-TASK-955-P012</x:v>
      </x:c>
      <x:c r="AD6718" s="87" t="str">
        <x:v>VIS-EGKR-CHEM-S26-ANSWERDOC-P002</x:v>
      </x:c>
      <x:c r="AE6718" s="87" t="str">
        <x:v>TASK; SECONDARY_ANSWER_SOURCE</x:v>
      </x:c>
      <x:c r="AF6718" s="87" t="str">
        <x:v>VIS-EGKR-CHEM-S26-TASK-955-P012: 12; VIS-EGKR-CHEM-S26-ANSWERDOC-P002: 2</x:v>
      </x:c>
      <x:c r="AG6718" s="87" t="str">
        <x:v>RESOLVED</x:v>
      </x:c>
      <x:c r="AH6718" s="87" t="str">
        <x:v>CROP_VERIFIED</x:v>
      </x:c>
      <x:c r="AI6718" s="30"/>
      <x:c r="AJ6718" s="87" t="str">
        <x:v>clean</x:v>
      </x:c>
      <x:c r="AK6718" s="87" t="str">
        <x:v>clean-v0.27</x:v>
      </x:c>
      <x:c r="AL6718" s="87" t="str">
        <x:v>statgrad_clean_continuation_v0_27(1).xlsx</x:v>
      </x:c>
      <x:c r="AM6718" s="87" t="str">
        <x:v>CHEM_EGKR_S26_955</x:v>
      </x:c>
      <x:c r="AN6718" s="87" t="n">
        <x:v>25</x:v>
      </x:c>
    </x:row>
    <x:row r="6719">
      <x:c r="A6719" s="87" t="n">
        <x:v>6718</x:v>
      </x:c>
      <x:c r="B6719" s="87" t="str">
        <x:v>EGKR-S26-CHEM-955-25</x:v>
      </x:c>
      <x:c r="C6719" s="87" t="str">
        <x:v>ЕГКР</x:v>
      </x:c>
      <x:c r="D6719" s="87"/>
      <x:c r="E6719" s="87" t="str">
        <x:v>Весна 2026</x:v>
      </x:c>
      <x:c r="F6719" s="87" t="str">
        <x:v>16.04.2026</x:v>
      </x:c>
      <x:c r="G6719" s="87" t="str">
        <x:v>Химия</x:v>
      </x:c>
      <x:c r="H6719" s="87" t="n">
        <x:v>11</x:v>
      </x:c>
      <x:c r="I6719" s="87"/>
      <x:c r="J6719" s="87" t="str">
        <x:v>955</x:v>
      </x:c>
      <x:c r="K6719" s="87" t="n">
        <x:v>25</x:v>
      </x:c>
      <x:c r="L6719" s="87" t="str">
        <x:v>Применение веществ</x:v>
      </x:c>
      <x:c r="M6719" s="30" t="str">
        <x:v>Задание линии 25: Применение веществ. Полная формулировка и все таблицы/формулы сохранены на странице по VIS_ID.</x:v>
      </x:c>
      <x:c r="N6719" s="30" t="str">
        <x:v>342</x:v>
      </x:c>
      <x:c r="O6719" s="30" t="str">
        <x:v>Ответ проверен по исходной формулировке и химическим закономерностям.</x:v>
      </x:c>
      <x:c r="P6719" s="30"/>
      <x:c r="Q6719" s="30" t="str">
        <x:v>Полная исходная страница + независимая химическая проверка + аудит DOCX.</x:v>
      </x:c>
      <x:c r="R6719" s="30" t="str">
        <x:v>342</x:v>
      </x:c>
      <x:c r="S6719" s="30"/>
      <x:c r="T6719" s="30"/>
      <x:c r="U6719" s="30" t="str">
        <x:v>Расхождений не выявлено.</x:v>
      </x:c>
      <x:c r="V6719" s="87" t="str">
        <x:v>VERIFIED</x:v>
      </x:c>
      <x:c r="W6719" s="87"/>
      <x:c r="X6719" s="87" t="n">
        <x:v>12</x:v>
      </x:c>
      <x:c r="Y6719" s="87"/>
      <x:c r="Z6719" s="87"/>
      <x:c r="AA6719" s="87"/>
      <x:c r="AB6719" s="87"/>
      <x:c r="AC6719" s="87" t="str">
        <x:v>VIS-EGKR-CHEM-S26-TASK-955-P012</x:v>
      </x:c>
      <x:c r="AD6719" s="87" t="str">
        <x:v>VIS-EGKR-CHEM-S26-ANSWERDOC-P002</x:v>
      </x:c>
      <x:c r="AE6719" s="87" t="str">
        <x:v>TASK; SECONDARY_ANSWER_SOURCE</x:v>
      </x:c>
      <x:c r="AF6719" s="87" t="str">
        <x:v>VIS-EGKR-CHEM-S26-TASK-955-P012: 12; VIS-EGKR-CHEM-S26-ANSWERDOC-P002: 2</x:v>
      </x:c>
      <x:c r="AG6719" s="87" t="str">
        <x:v>RESOLVED</x:v>
      </x:c>
      <x:c r="AH6719" s="87" t="str">
        <x:v>CROP_VERIFIED</x:v>
      </x:c>
      <x:c r="AI6719" s="30"/>
      <x:c r="AJ6719" s="87" t="str">
        <x:v>clean</x:v>
      </x:c>
      <x:c r="AK6719" s="87" t="str">
        <x:v>clean-v0.27</x:v>
      </x:c>
      <x:c r="AL6719" s="87" t="str">
        <x:v>statgrad_clean_continuation_v0_27(1).xlsx</x:v>
      </x:c>
      <x:c r="AM6719" s="87" t="str">
        <x:v>CHEM_EGKR_S26_955</x:v>
      </x:c>
      <x:c r="AN6719" s="87" t="n">
        <x:v>26</x:v>
      </x:c>
    </x:row>
    <x:row r="6720">
      <x:c r="A6720" s="87" t="n">
        <x:v>6719</x:v>
      </x:c>
      <x:c r="B6720" s="87" t="str">
        <x:v>EGKR-S26-CHEM-955-26</x:v>
      </x:c>
      <x:c r="C6720" s="87" t="str">
        <x:v>ЕГКР</x:v>
      </x:c>
      <x:c r="D6720" s="87"/>
      <x:c r="E6720" s="87" t="str">
        <x:v>Весна 2026</x:v>
      </x:c>
      <x:c r="F6720" s="87" t="str">
        <x:v>16.04.2026</x:v>
      </x:c>
      <x:c r="G6720" s="87" t="str">
        <x:v>Химия</x:v>
      </x:c>
      <x:c r="H6720" s="87" t="n">
        <x:v>11</x:v>
      </x:c>
      <x:c r="I6720" s="87"/>
      <x:c r="J6720" s="87" t="str">
        <x:v>955</x:v>
      </x:c>
      <x:c r="K6720" s="87" t="n">
        <x:v>26</x:v>
      </x:c>
      <x:c r="L6720" s="87" t="str">
        <x:v>Расчёт по растворам</x:v>
      </x:c>
      <x:c r="M6720" s="30" t="str">
        <x:v>Задание линии 26: Расчёт по растворам. Полная формулировка и все таблицы/формулы сохранены на странице по VIS_ID.</x:v>
      </x:c>
      <x:c r="N6720" s="30" t="str">
        <x:v>21,3</x:v>
      </x:c>
      <x:c r="O6720" s="30" t="str">
        <x:v>0,07x/(x−13)=0,18; x=21,3 г.</x:v>
      </x:c>
      <x:c r="P6720" s="30"/>
      <x:c r="Q6720" s="30" t="str">
        <x:v>Полная исходная страница + независимая химическая проверка + аудит DOCX.</x:v>
      </x:c>
      <x:c r="R6720" s="30" t="str">
        <x:v>21,3</x:v>
      </x:c>
      <x:c r="S6720" s="30"/>
      <x:c r="T6720" s="30"/>
      <x:c r="U6720" s="30" t="str">
        <x:v>Расхождений не выявлено.</x:v>
      </x:c>
      <x:c r="V6720" s="87" t="str">
        <x:v>VERIFIED</x:v>
      </x:c>
      <x:c r="W6720" s="87"/>
      <x:c r="X6720" s="87" t="n">
        <x:v>13</x:v>
      </x:c>
      <x:c r="Y6720" s="87"/>
      <x:c r="Z6720" s="87"/>
      <x:c r="AA6720" s="87"/>
      <x:c r="AB6720" s="87"/>
      <x:c r="AC6720" s="87" t="str">
        <x:v>VIS-EGKR-CHEM-S26-TASK-955-P013</x:v>
      </x:c>
      <x:c r="AD6720" s="87" t="str">
        <x:v>VIS-EGKR-CHEM-S26-ANSWERDOC-P002</x:v>
      </x:c>
      <x:c r="AE6720" s="87" t="str">
        <x:v>TASK; SECONDARY_ANSWER_SOURCE</x:v>
      </x:c>
      <x:c r="AF6720" s="87" t="str">
        <x:v>VIS-EGKR-CHEM-S26-TASK-955-P013: 13; VIS-EGKR-CHEM-S26-ANSWERDOC-P002: 2</x:v>
      </x:c>
      <x:c r="AG6720" s="87" t="str">
        <x:v>RESOLVED</x:v>
      </x:c>
      <x:c r="AH6720" s="87" t="str">
        <x:v>CROP_VERIFIED</x:v>
      </x:c>
      <x:c r="AI6720" s="30"/>
      <x:c r="AJ6720" s="87" t="str">
        <x:v>clean</x:v>
      </x:c>
      <x:c r="AK6720" s="87" t="str">
        <x:v>clean-v0.27</x:v>
      </x:c>
      <x:c r="AL6720" s="87" t="str">
        <x:v>statgrad_clean_continuation_v0_27(1).xlsx</x:v>
      </x:c>
      <x:c r="AM6720" s="87" t="str">
        <x:v>CHEM_EGKR_S26_955</x:v>
      </x:c>
      <x:c r="AN6720" s="87" t="n">
        <x:v>27</x:v>
      </x:c>
    </x:row>
    <x:row r="6721">
      <x:c r="A6721" s="87" t="n">
        <x:v>6720</x:v>
      </x:c>
      <x:c r="B6721" s="87" t="str">
        <x:v>EGKR-S26-CHEM-955-27</x:v>
      </x:c>
      <x:c r="C6721" s="87" t="str">
        <x:v>ЕГКР</x:v>
      </x:c>
      <x:c r="D6721" s="87"/>
      <x:c r="E6721" s="87" t="str">
        <x:v>Весна 2026</x:v>
      </x:c>
      <x:c r="F6721" s="87" t="str">
        <x:v>16.04.2026</x:v>
      </x:c>
      <x:c r="G6721" s="87" t="str">
        <x:v>Химия</x:v>
      </x:c>
      <x:c r="H6721" s="87" t="n">
        <x:v>11</x:v>
      </x:c>
      <x:c r="I6721" s="87"/>
      <x:c r="J6721" s="87" t="str">
        <x:v>955</x:v>
      </x:c>
      <x:c r="K6721" s="87" t="n">
        <x:v>27</x:v>
      </x:c>
      <x:c r="L6721" s="87" t="str">
        <x:v>Термохимический расчёт</x:v>
      </x:c>
      <x:c r="M6721" s="30" t="str">
        <x:v>Задание линии 27: Термохимический расчёт. Полная формулировка и все таблицы/формулы сохранены на странице по VIS_ID.</x:v>
      </x:c>
      <x:c r="N6721" s="30" t="str">
        <x:v>100,8</x:v>
      </x:c>
      <x:c r="O6721" s="30" t="str">
        <x:v>490,5/109=4,5 моль CH3OH; V=4,5·22,4=100,8 л (после восстановления опечатки).</x:v>
      </x:c>
      <x:c r="P6721" s="30"/>
      <x:c r="Q6721" s="30" t="str">
        <x:v>Полная исходная страница + независимая химическая проверка + аудит DOCX.</x:v>
      </x:c>
      <x:c r="R6721" s="30" t="str">
        <x:v>100,8</x:v>
      </x:c>
      <x:c r="S6721" s="30"/>
      <x:c r="T6721" s="30"/>
      <x:c r="U6721" s="30" t="str">
        <x:v>Термохимическое уравнение в PDF не сбалансировано и содержит 10 кДж. Ответ 100,8 л соответствует замыслу CO+2H2→CH3OH+109 кДж.</x:v>
      </x:c>
      <x:c r="V6721" s="87" t="str">
        <x:v>TASK_DEFECT_RECOVERED</x:v>
      </x:c>
      <x:c r="W6721" s="87"/>
      <x:c r="X6721" s="87" t="n">
        <x:v>13</x:v>
      </x:c>
      <x:c r="Y6721" s="87"/>
      <x:c r="Z6721" s="87"/>
      <x:c r="AA6721" s="87"/>
      <x:c r="AB6721" s="87"/>
      <x:c r="AC6721" s="87" t="str">
        <x:v>VIS-EGKR-CHEM-S26-TASK-955-P013</x:v>
      </x:c>
      <x:c r="AD6721" s="87" t="str">
        <x:v>VIS-EGKR-CHEM-S26-ANSWERDOC-P002</x:v>
      </x:c>
      <x:c r="AE6721" s="87" t="str">
        <x:v>TASK; SECONDARY_ANSWER_SOURCE</x:v>
      </x:c>
      <x:c r="AF6721" s="87" t="str">
        <x:v>VIS-EGKR-CHEM-S26-TASK-955-P013: 13; VIS-EGKR-CHEM-S26-ANSWERDOC-P002: 2</x:v>
      </x:c>
      <x:c r="AG6721" s="87" t="str">
        <x:v>RESOLVED</x:v>
      </x:c>
      <x:c r="AH6721" s="87" t="str">
        <x:v>CROP_VERIFIED</x:v>
      </x:c>
      <x:c r="AI6721" s="30"/>
      <x:c r="AJ6721" s="87" t="str">
        <x:v>clean</x:v>
      </x:c>
      <x:c r="AK6721" s="87" t="str">
        <x:v>clean-v0.27</x:v>
      </x:c>
      <x:c r="AL6721" s="87" t="str">
        <x:v>statgrad_clean_continuation_v0_27(1).xlsx</x:v>
      </x:c>
      <x:c r="AM6721" s="87" t="str">
        <x:v>CHEM_EGKR_S26_955</x:v>
      </x:c>
      <x:c r="AN6721" s="87" t="n">
        <x:v>28</x:v>
      </x:c>
    </x:row>
    <x:row r="6722">
      <x:c r="A6722" s="87" t="n">
        <x:v>6721</x:v>
      </x:c>
      <x:c r="B6722" s="87" t="str">
        <x:v>EGKR-S26-CHEM-955-28</x:v>
      </x:c>
      <x:c r="C6722" s="87" t="str">
        <x:v>ЕГКР</x:v>
      </x:c>
      <x:c r="D6722" s="87"/>
      <x:c r="E6722" s="87" t="str">
        <x:v>Весна 2026</x:v>
      </x:c>
      <x:c r="F6722" s="87" t="str">
        <x:v>16.04.2026</x:v>
      </x:c>
      <x:c r="G6722" s="87" t="str">
        <x:v>Химия</x:v>
      </x:c>
      <x:c r="H6722" s="87" t="n">
        <x:v>11</x:v>
      </x:c>
      <x:c r="I6722" s="87"/>
      <x:c r="J6722" s="87" t="str">
        <x:v>955</x:v>
      </x:c>
      <x:c r="K6722" s="87" t="n">
        <x:v>28</x:v>
      </x:c>
      <x:c r="L6722" s="87" t="str">
        <x:v>Расчёт выхода / примесей</x:v>
      </x:c>
      <x:c r="M6722" s="30" t="str">
        <x:v>Задание линии 28: Расчёт выхода / примесей. Полная формулировка и все таблицы/формулы сохранены на странице по VIS_ID.</x:v>
      </x:c>
      <x:c r="N6722" s="30" t="str">
        <x:v>19,2</x:v>
      </x:c>
      <x:c r="O6722" s="30" t="str">
        <x:v>Чистого Al4C3: 72·0,8=57,6 г=0,4 моль; CH4=1,2 моль=19,2 г.</x:v>
      </x:c>
      <x:c r="P6722" s="30"/>
      <x:c r="Q6722" s="30" t="str">
        <x:v>Полная исходная страница + независимая химическая проверка + аудит DOCX.</x:v>
      </x:c>
      <x:c r="R6722" s="30" t="str">
        <x:v>19,2</x:v>
      </x:c>
      <x:c r="S6722" s="30"/>
      <x:c r="T6722" s="30"/>
      <x:c r="U6722" s="30" t="str">
        <x:v>Расхождений не выявлено.</x:v>
      </x:c>
      <x:c r="V6722" s="87" t="str">
        <x:v>VERIFIED</x:v>
      </x:c>
      <x:c r="W6722" s="87"/>
      <x:c r="X6722" s="87" t="n">
        <x:v>13</x:v>
      </x:c>
      <x:c r="Y6722" s="87"/>
      <x:c r="Z6722" s="87"/>
      <x:c r="AA6722" s="87"/>
      <x:c r="AB6722" s="87"/>
      <x:c r="AC6722" s="87" t="str">
        <x:v>VIS-EGKR-CHEM-S26-TASK-955-P013</x:v>
      </x:c>
      <x:c r="AD6722" s="87" t="str">
        <x:v>VIS-EGKR-CHEM-S26-ANSWERDOC-P002</x:v>
      </x:c>
      <x:c r="AE6722" s="87" t="str">
        <x:v>TASK; SECONDARY_ANSWER_SOURCE</x:v>
      </x:c>
      <x:c r="AF6722" s="87" t="str">
        <x:v>VIS-EGKR-CHEM-S26-TASK-955-P013: 13; VIS-EGKR-CHEM-S26-ANSWERDOC-P002: 2</x:v>
      </x:c>
      <x:c r="AG6722" s="87" t="str">
        <x:v>RESOLVED</x:v>
      </x:c>
      <x:c r="AH6722" s="87" t="str">
        <x:v>CROP_VERIFIED</x:v>
      </x:c>
      <x:c r="AI6722" s="30"/>
      <x:c r="AJ6722" s="87" t="str">
        <x:v>clean</x:v>
      </x:c>
      <x:c r="AK6722" s="87" t="str">
        <x:v>clean-v0.27</x:v>
      </x:c>
      <x:c r="AL6722" s="87" t="str">
        <x:v>statgrad_clean_continuation_v0_27(1).xlsx</x:v>
      </x:c>
      <x:c r="AM6722" s="87" t="str">
        <x:v>CHEM_EGKR_S26_955</x:v>
      </x:c>
      <x:c r="AN6722" s="87" t="n">
        <x:v>29</x:v>
      </x:c>
    </x:row>
    <x:row r="6723">
      <x:c r="A6723" s="87" t="n">
        <x:v>6722</x:v>
      </x:c>
      <x:c r="B6723" s="87" t="str">
        <x:v>EGKR-S26-CHEM-955-29</x:v>
      </x:c>
      <x:c r="C6723" s="87" t="str">
        <x:v>ЕГКР</x:v>
      </x:c>
      <x:c r="D6723" s="87"/>
      <x:c r="E6723" s="87" t="str">
        <x:v>Весна 2026</x:v>
      </x:c>
      <x:c r="F6723" s="87" t="str">
        <x:v>16.04.2026</x:v>
      </x:c>
      <x:c r="G6723" s="87" t="str">
        <x:v>Химия</x:v>
      </x:c>
      <x:c r="H6723" s="87" t="n">
        <x:v>11</x:v>
      </x:c>
      <x:c r="I6723" s="87"/>
      <x:c r="J6723" s="87" t="str">
        <x:v>955</x:v>
      </x:c>
      <x:c r="K6723" s="87" t="n">
        <x:v>29</x:v>
      </x:c>
      <x:c r="L6723" s="87" t="str">
        <x:v>ОВР с выбором веществ</x:v>
      </x:c>
      <x:c r="M6723" s="30" t="str">
        <x:v>Использовать MnO2 как окислитель, NH4I как восстановитель и Na2CO3 как третье вещество.</x:v>
      </x:c>
      <x:c r="N6723" s="30" t="str">
        <x:v>MnO2+2NH4I+Na2CO3→MnO+I2+2NaOH+2NH3+CO2. Баланс: Mn(+4)+2e→Mn(+2); 2I(−1)−2e→I2. Окислитель MnO2, восстановитель NH4I.</x:v>
      </x:c>
      <x:c r="O6723" s="30" t="str">
        <x:v>Рабочая модель составлена по исходному условию; официальные критерии в архиве отсутствуют.</x:v>
      </x:c>
      <x:c r="P6723" s="30"/>
      <x:c r="Q6723" s="30" t="str">
        <x:v>Баланс атомов/заряда, химическая логика и независимые расчёты.</x:v>
      </x:c>
      <x:c r="R6723" s="30" t="str">
        <x:v>NO_OFFICIAL_MODEL</x:v>
      </x:c>
      <x:c r="S6723" s="30"/>
      <x:c r="T6723" s="30"/>
      <x:c r="U6723" s="30" t="str">
        <x:v>Модель не выдаётся за единственно допустимую формулировку.</x:v>
      </x:c>
      <x:c r="V6723" s="87" t="str">
        <x:v>MODEL_READY</x:v>
      </x:c>
      <x:c r="W6723" s="87"/>
      <x:c r="X6723" s="87" t="n">
        <x:v>14</x:v>
      </x:c>
      <x:c r="Y6723" s="87"/>
      <x:c r="Z6723" s="87"/>
      <x:c r="AA6723" s="87"/>
      <x:c r="AB6723" s="87"/>
      <x:c r="AC6723" s="87" t="str">
        <x:v>VIS-EGKR-CHEM-S26-TASK-955-P014</x:v>
      </x:c>
      <x:c r="AD6723" s="87"/>
      <x:c r="AE6723" s="87" t="str">
        <x:v>TASK</x:v>
      </x:c>
      <x:c r="AF6723" s="87" t="str">
        <x:v>VIS-EGKR-CHEM-S26-TASK-955-P014: 14</x:v>
      </x:c>
      <x:c r="AG6723" s="87" t="str">
        <x:v>RESOLVED</x:v>
      </x:c>
      <x:c r="AH6723" s="87" t="str">
        <x:v>CROP_VERIFIED</x:v>
      </x:c>
      <x:c r="AI6723" s="30"/>
      <x:c r="AJ6723" s="87" t="str">
        <x:v>clean</x:v>
      </x:c>
      <x:c r="AK6723" s="87" t="str">
        <x:v>clean-v0.27</x:v>
      </x:c>
      <x:c r="AL6723" s="87" t="str">
        <x:v>statgrad_clean_continuation_v0_27(1).xlsx</x:v>
      </x:c>
      <x:c r="AM6723" s="87" t="str">
        <x:v>CHEM_EGKR_S26_955</x:v>
      </x:c>
      <x:c r="AN6723" s="87" t="n">
        <x:v>30</x:v>
      </x:c>
    </x:row>
    <x:row r="6724">
      <x:c r="A6724" s="87" t="n">
        <x:v>6723</x:v>
      </x:c>
      <x:c r="B6724" s="87" t="str">
        <x:v>EGKR-S26-CHEM-955-30</x:v>
      </x:c>
      <x:c r="C6724" s="87" t="str">
        <x:v>ЕГКР</x:v>
      </x:c>
      <x:c r="D6724" s="87"/>
      <x:c r="E6724" s="87" t="str">
        <x:v>Весна 2026</x:v>
      </x:c>
      <x:c r="F6724" s="87" t="str">
        <x:v>16.04.2026</x:v>
      </x:c>
      <x:c r="G6724" s="87" t="str">
        <x:v>Химия</x:v>
      </x:c>
      <x:c r="H6724" s="87" t="n">
        <x:v>11</x:v>
      </x:c>
      <x:c r="I6724" s="87"/>
      <x:c r="J6724" s="87" t="str">
        <x:v>955</x:v>
      </x:c>
      <x:c r="K6724" s="87" t="n">
        <x:v>30</x:v>
      </x:c>
      <x:c r="L6724" s="87" t="str">
        <x:v>Ионный обмен</x:v>
      </x:c>
      <x:c r="M6724" s="30" t="str">
        <x:v>Реакция NH4I и Na2CO3 проходит без осадка и изменения окраски.</x:v>
      </x:c>
      <x:c r="N6724" s="30" t="str">
        <x:v>NH4I+Na2CO3+H2O⇄NH3·H2O+NaHCO3+NaI. Полное ионное записывается с диссоциацией сильных электролитов; сокращённое: NH4+ + CO3^2− + H2O ⇄ NH3·H2O + HCO3−.</x:v>
      </x:c>
      <x:c r="O6724" s="30" t="str">
        <x:v>Рабочая модель составлена по исходному условию; официальные критерии в архиве отсутствуют.</x:v>
      </x:c>
      <x:c r="P6724" s="30"/>
      <x:c r="Q6724" s="30" t="str">
        <x:v>Баланс атомов/заряда, химическая логика и независимые расчёты.</x:v>
      </x:c>
      <x:c r="R6724" s="30" t="str">
        <x:v>NO_OFFICIAL_MODEL</x:v>
      </x:c>
      <x:c r="S6724" s="30"/>
      <x:c r="T6724" s="30"/>
      <x:c r="U6724" s="30" t="str">
        <x:v>Модель не выдаётся за единственно допустимую формулировку.</x:v>
      </x:c>
      <x:c r="V6724" s="87" t="str">
        <x:v>MODEL_READY</x:v>
      </x:c>
      <x:c r="W6724" s="87"/>
      <x:c r="X6724" s="87" t="n">
        <x:v>14</x:v>
      </x:c>
      <x:c r="Y6724" s="87"/>
      <x:c r="Z6724" s="87"/>
      <x:c r="AA6724" s="87"/>
      <x:c r="AB6724" s="87"/>
      <x:c r="AC6724" s="87" t="str">
        <x:v>VIS-EGKR-CHEM-S26-TASK-955-P014</x:v>
      </x:c>
      <x:c r="AD6724" s="87"/>
      <x:c r="AE6724" s="87" t="str">
        <x:v>TASK</x:v>
      </x:c>
      <x:c r="AF6724" s="87" t="str">
        <x:v>VIS-EGKR-CHEM-S26-TASK-955-P014: 14</x:v>
      </x:c>
      <x:c r="AG6724" s="87" t="str">
        <x:v>RESOLVED</x:v>
      </x:c>
      <x:c r="AH6724" s="87" t="str">
        <x:v>CROP_VERIFIED</x:v>
      </x:c>
      <x:c r="AI6724" s="30"/>
      <x:c r="AJ6724" s="87" t="str">
        <x:v>clean</x:v>
      </x:c>
      <x:c r="AK6724" s="87" t="str">
        <x:v>clean-v0.27</x:v>
      </x:c>
      <x:c r="AL6724" s="87" t="str">
        <x:v>statgrad_clean_continuation_v0_27(1).xlsx</x:v>
      </x:c>
      <x:c r="AM6724" s="87" t="str">
        <x:v>CHEM_EGKR_S26_955</x:v>
      </x:c>
      <x:c r="AN6724" s="87" t="n">
        <x:v>31</x:v>
      </x:c>
    </x:row>
    <x:row r="6725">
      <x:c r="A6725" s="87" t="n">
        <x:v>6724</x:v>
      </x:c>
      <x:c r="B6725" s="87" t="str">
        <x:v>EGKR-S26-CHEM-955-31</x:v>
      </x:c>
      <x:c r="C6725" s="87" t="str">
        <x:v>ЕГКР</x:v>
      </x:c>
      <x:c r="D6725" s="87"/>
      <x:c r="E6725" s="87" t="str">
        <x:v>Весна 2026</x:v>
      </x:c>
      <x:c r="F6725" s="87" t="str">
        <x:v>16.04.2026</x:v>
      </x:c>
      <x:c r="G6725" s="87" t="str">
        <x:v>Химия</x:v>
      </x:c>
      <x:c r="H6725" s="87" t="n">
        <x:v>11</x:v>
      </x:c>
      <x:c r="I6725" s="87"/>
      <x:c r="J6725" s="87" t="str">
        <x:v>955</x:v>
      </x:c>
      <x:c r="K6725" s="87" t="n">
        <x:v>31</x:v>
      </x:c>
      <x:c r="L6725" s="87" t="str">
        <x:v>Цепочка неорганических реакций</x:v>
      </x:c>
      <x:c r="M6725" s="30" t="str">
        <x:v>Электролиз Cu(NO3)2, получение Na2O2 и окисление Cr(III) до хромата.</x:v>
      </x:c>
      <x:c r="N6725" s="30" t="str">
        <x:v>2Cu(NO3)2+2H2O→2Cu+O2↑+4HNO3; O2+2Na→Na2O2; Na2O2+2H2O→2NaOH+H2O2; Cr2(SO4)3+3H2O2+10NaOH→2Na2CrO4+3Na2SO4+8H2O.</x:v>
      </x:c>
      <x:c r="O6725" s="30" t="str">
        <x:v>Рабочая модель составлена по исходному условию; официальные критерии в архиве отсутствуют.</x:v>
      </x:c>
      <x:c r="P6725" s="30"/>
      <x:c r="Q6725" s="30" t="str">
        <x:v>Баланс атомов/заряда, химическая логика и независимые расчёты.</x:v>
      </x:c>
      <x:c r="R6725" s="30" t="str">
        <x:v>NO_OFFICIAL_MODEL</x:v>
      </x:c>
      <x:c r="S6725" s="30"/>
      <x:c r="T6725" s="30"/>
      <x:c r="U6725" s="30" t="str">
        <x:v>Модель не выдаётся за единственно допустимую формулировку.</x:v>
      </x:c>
      <x:c r="V6725" s="87" t="str">
        <x:v>MODEL_READY</x:v>
      </x:c>
      <x:c r="W6725" s="87"/>
      <x:c r="X6725" s="87" t="n">
        <x:v>14</x:v>
      </x:c>
      <x:c r="Y6725" s="87"/>
      <x:c r="Z6725" s="87"/>
      <x:c r="AA6725" s="87"/>
      <x:c r="AB6725" s="87"/>
      <x:c r="AC6725" s="87" t="str">
        <x:v>VIS-EGKR-CHEM-S26-TASK-955-P014</x:v>
      </x:c>
      <x:c r="AD6725" s="87"/>
      <x:c r="AE6725" s="87" t="str">
        <x:v>TASK</x:v>
      </x:c>
      <x:c r="AF6725" s="87" t="str">
        <x:v>VIS-EGKR-CHEM-S26-TASK-955-P014: 14</x:v>
      </x:c>
      <x:c r="AG6725" s="87" t="str">
        <x:v>RESOLVED</x:v>
      </x:c>
      <x:c r="AH6725" s="87" t="str">
        <x:v>CROP_VERIFIED</x:v>
      </x:c>
      <x:c r="AI6725" s="30"/>
      <x:c r="AJ6725" s="87" t="str">
        <x:v>clean</x:v>
      </x:c>
      <x:c r="AK6725" s="87" t="str">
        <x:v>clean-v0.27</x:v>
      </x:c>
      <x:c r="AL6725" s="87" t="str">
        <x:v>statgrad_clean_continuation_v0_27(1).xlsx</x:v>
      </x:c>
      <x:c r="AM6725" s="87" t="str">
        <x:v>CHEM_EGKR_S26_955</x:v>
      </x:c>
      <x:c r="AN6725" s="87" t="n">
        <x:v>32</x:v>
      </x:c>
    </x:row>
    <x:row r="6726">
      <x:c r="A6726" s="87" t="n">
        <x:v>6725</x:v>
      </x:c>
      <x:c r="B6726" s="87" t="str">
        <x:v>EGKR-S26-CHEM-955-32</x:v>
      </x:c>
      <x:c r="C6726" s="87" t="str">
        <x:v>ЕГКР</x:v>
      </x:c>
      <x:c r="D6726" s="87"/>
      <x:c r="E6726" s="87" t="str">
        <x:v>Весна 2026</x:v>
      </x:c>
      <x:c r="F6726" s="87" t="str">
        <x:v>16.04.2026</x:v>
      </x:c>
      <x:c r="G6726" s="87" t="str">
        <x:v>Химия</x:v>
      </x:c>
      <x:c r="H6726" s="87" t="n">
        <x:v>11</x:v>
      </x:c>
      <x:c r="I6726" s="87"/>
      <x:c r="J6726" s="87" t="str">
        <x:v>955</x:v>
      </x:c>
      <x:c r="K6726" s="87" t="n">
        <x:v>32</x:v>
      </x:c>
      <x:c r="L6726" s="87" t="str">
        <x:v>Цепочка органических превращений</x:v>
      </x:c>
      <x:c r="M6726" s="30" t="str">
        <x:v>Бензол → этилбензол → 1-хлорэтилбензол → стирол → бензойная кислота → метилбензоат.</x:v>
      </x:c>
      <x:c r="N6726" s="30" t="str">
        <x:v>C6H6+C2H4→C6H5CH2CH3; C6H5CH2CH3+Cl2(hν)→C6H5CHClCH3+HCl; C6H5CHClCH3+KOH(спирт.)→C6H5CH=CH2+KCl+H2O; C6H5CH=CH2+[O]→C6H5COOH+CO2; C6H5COOH+CH3OH⇄C6H5COOCH3+H2O.</x:v>
      </x:c>
      <x:c r="O6726" s="30" t="str">
        <x:v>Рабочая модель составлена по исходному условию; официальные критерии в архиве отсутствуют.</x:v>
      </x:c>
      <x:c r="P6726" s="30"/>
      <x:c r="Q6726" s="30" t="str">
        <x:v>Баланс атомов/заряда, химическая логика и независимые расчёты.</x:v>
      </x:c>
      <x:c r="R6726" s="30" t="str">
        <x:v>NO_OFFICIAL_MODEL</x:v>
      </x:c>
      <x:c r="S6726" s="30"/>
      <x:c r="T6726" s="30"/>
      <x:c r="U6726" s="30" t="str">
        <x:v>Модель не выдаётся за единственно допустимую формулировку.</x:v>
      </x:c>
      <x:c r="V6726" s="87" t="str">
        <x:v>MODEL_READY</x:v>
      </x:c>
      <x:c r="W6726" s="87"/>
      <x:c r="X6726" s="87" t="n">
        <x:v>14</x:v>
      </x:c>
      <x:c r="Y6726" s="87"/>
      <x:c r="Z6726" s="87"/>
      <x:c r="AA6726" s="87"/>
      <x:c r="AB6726" s="87"/>
      <x:c r="AC6726" s="87" t="str">
        <x:v>VIS-EGKR-CHEM-S26-TASK-955-P014</x:v>
      </x:c>
      <x:c r="AD6726" s="87"/>
      <x:c r="AE6726" s="87" t="str">
        <x:v>TASK</x:v>
      </x:c>
      <x:c r="AF6726" s="87" t="str">
        <x:v>VIS-EGKR-CHEM-S26-TASK-955-P014: 14</x:v>
      </x:c>
      <x:c r="AG6726" s="87" t="str">
        <x:v>RESOLVED</x:v>
      </x:c>
      <x:c r="AH6726" s="87" t="str">
        <x:v>CROP_VERIFIED</x:v>
      </x:c>
      <x:c r="AI6726" s="30"/>
      <x:c r="AJ6726" s="87" t="str">
        <x:v>clean</x:v>
      </x:c>
      <x:c r="AK6726" s="87" t="str">
        <x:v>clean-v0.27</x:v>
      </x:c>
      <x:c r="AL6726" s="87" t="str">
        <x:v>statgrad_clean_continuation_v0_27(1).xlsx</x:v>
      </x:c>
      <x:c r="AM6726" s="87" t="str">
        <x:v>CHEM_EGKR_S26_955</x:v>
      </x:c>
      <x:c r="AN6726" s="87" t="n">
        <x:v>33</x:v>
      </x:c>
    </x:row>
    <x:row r="6727">
      <x:c r="A6727" s="87" t="n">
        <x:v>6726</x:v>
      </x:c>
      <x:c r="B6727" s="87" t="str">
        <x:v>EGKR-S26-CHEM-955-33</x:v>
      </x:c>
      <x:c r="C6727" s="87" t="str">
        <x:v>ЕГКР</x:v>
      </x:c>
      <x:c r="D6727" s="87"/>
      <x:c r="E6727" s="87" t="str">
        <x:v>Весна 2026</x:v>
      </x:c>
      <x:c r="F6727" s="87" t="str">
        <x:v>16.04.2026</x:v>
      </x:c>
      <x:c r="G6727" s="87" t="str">
        <x:v>Химия</x:v>
      </x:c>
      <x:c r="H6727" s="87" t="n">
        <x:v>11</x:v>
      </x:c>
      <x:c r="I6727" s="87"/>
      <x:c r="J6727" s="87" t="str">
        <x:v>955</x:v>
      </x:c>
      <x:c r="K6727" s="87" t="n">
        <x:v>33</x:v>
      </x:c>
      <x:c r="L6727" s="87" t="str">
        <x:v>Установление формулы органического вещества</x:v>
      </x:c>
      <x:c r="M6727" s="30" t="str">
        <x:v>Определить натриевое производное 3,5-диметилфенола.</x:v>
      </x:c>
      <x:c r="N6727" s="30" t="str">
        <x:v>Углерод учитывается и в CO2, и в Na2CO3: n(C)=0,225+0,015=0,240 моль; n(H)=0,270 моль; n(Na)=0,030 моль; n(O)=0,030 моль. Формула A: C8H9ONa; структура — 3,5-диметилфенолят натрия. HO−C6H3(CH3)2+NaOH→NaO−C6H3(CH3)2+H2O; 2HO−C6H3(CH3)2+2Na→2NaO−C6H3(CH3)2+H2↑.</x:v>
      </x:c>
      <x:c r="O6727" s="30" t="str">
        <x:v>Рабочая модель составлена по исходному условию; официальные критерии в архиве отсутствуют.</x:v>
      </x:c>
      <x:c r="P6727" s="30"/>
      <x:c r="Q6727" s="30" t="str">
        <x:v>Баланс атомов/заряда, химическая логика и независимые расчёты.</x:v>
      </x:c>
      <x:c r="R6727" s="30" t="str">
        <x:v>NO_OFFICIAL_MODEL</x:v>
      </x:c>
      <x:c r="S6727" s="30"/>
      <x:c r="T6727" s="30"/>
      <x:c r="U6727" s="30" t="str">
        <x:v>Модель не выдаётся за единственно допустимую формулировку.</x:v>
      </x:c>
      <x:c r="V6727" s="87" t="str">
        <x:v>MODEL_READY</x:v>
      </x:c>
      <x:c r="W6727" s="87"/>
      <x:c r="X6727" s="87" t="n">
        <x:v>15</x:v>
      </x:c>
      <x:c r="Y6727" s="87"/>
      <x:c r="Z6727" s="87"/>
      <x:c r="AA6727" s="87"/>
      <x:c r="AB6727" s="87"/>
      <x:c r="AC6727" s="87" t="str">
        <x:v>VIS-EGKR-CHEM-S26-TASK-955-P015</x:v>
      </x:c>
      <x:c r="AD6727" s="87"/>
      <x:c r="AE6727" s="87" t="str">
        <x:v>TASK</x:v>
      </x:c>
      <x:c r="AF6727" s="87" t="str">
        <x:v>VIS-EGKR-CHEM-S26-TASK-955-P015: 15</x:v>
      </x:c>
      <x:c r="AG6727" s="87" t="str">
        <x:v>RESOLVED</x:v>
      </x:c>
      <x:c r="AH6727" s="87" t="str">
        <x:v>CROP_VERIFIED</x:v>
      </x:c>
      <x:c r="AI6727" s="30"/>
      <x:c r="AJ6727" s="87" t="str">
        <x:v>clean</x:v>
      </x:c>
      <x:c r="AK6727" s="87" t="str">
        <x:v>clean-v0.27</x:v>
      </x:c>
      <x:c r="AL6727" s="87" t="str">
        <x:v>statgrad_clean_continuation_v0_27(1).xlsx</x:v>
      </x:c>
      <x:c r="AM6727" s="87" t="str">
        <x:v>CHEM_EGKR_S26_955</x:v>
      </x:c>
      <x:c r="AN6727" s="87" t="n">
        <x:v>34</x:v>
      </x:c>
    </x:row>
    <x:row r="6728">
      <x:c r="A6728" s="87" t="n">
        <x:v>6727</x:v>
      </x:c>
      <x:c r="B6728" s="87" t="str">
        <x:v>EGKR-S26-CHEM-955-34</x:v>
      </x:c>
      <x:c r="C6728" s="87" t="str">
        <x:v>ЕГКР</x:v>
      </x:c>
      <x:c r="D6728" s="87"/>
      <x:c r="E6728" s="87" t="str">
        <x:v>Весна 2026</x:v>
      </x:c>
      <x:c r="F6728" s="87" t="str">
        <x:v>16.04.2026</x:v>
      </x:c>
      <x:c r="G6728" s="87" t="str">
        <x:v>Химия</x:v>
      </x:c>
      <x:c r="H6728" s="87" t="n">
        <x:v>11</x:v>
      </x:c>
      <x:c r="I6728" s="87"/>
      <x:c r="J6728" s="87" t="str">
        <x:v>955</x:v>
      </x:c>
      <x:c r="K6728" s="87" t="n">
        <x:v>34</x:v>
      </x:c>
      <x:c r="L6728" s="87" t="str">
        <x:v>Расчётная задача высокой сложности</x:v>
      </x:c>
      <x:c r="M6728" s="30" t="str">
        <x:v>Найти массовую долю оставшегося Na2CO3 после реакций HCl, Ca3P2 и кристаллической соды.</x:v>
      </x:c>
      <x:c r="N6728" s="30" t="str">
        <x:v>n(HCl)=1,0 моль; n(Ca3P2)=0,1 моль; n(Na2CO3·10H2O)=0,7 моль. Ca3P2+6HCl→3CaCl2+2PH3↑; затем 0,2 моль Na2CO3 нейтрализует HCl, 0,3 моль осаждает CaCO3; остаётся 0,2 моль Na2CO3=21,2 г. Масса конечного раствора без газов и осадка 614,4 г; w=3,45%.</x:v>
      </x:c>
      <x:c r="O6728" s="30" t="str">
        <x:v>Рабочая модель составлена по исходному условию; официальные критерии в архиве отсутствуют.</x:v>
      </x:c>
      <x:c r="P6728" s="30"/>
      <x:c r="Q6728" s="30" t="str">
        <x:v>Баланс атомов/заряда, химическая логика и независимые расчёты.</x:v>
      </x:c>
      <x:c r="R6728" s="30" t="str">
        <x:v>NO_OFFICIAL_MODEL</x:v>
      </x:c>
      <x:c r="S6728" s="30"/>
      <x:c r="T6728" s="30"/>
      <x:c r="U6728" s="30" t="str">
        <x:v>Модель не выдаётся за единственно допустимую формулировку.</x:v>
      </x:c>
      <x:c r="V6728" s="87" t="str">
        <x:v>MODEL_READY</x:v>
      </x:c>
      <x:c r="W6728" s="87"/>
      <x:c r="X6728" s="87" t="n">
        <x:v>15</x:v>
      </x:c>
      <x:c r="Y6728" s="87"/>
      <x:c r="Z6728" s="87"/>
      <x:c r="AA6728" s="87"/>
      <x:c r="AB6728" s="87"/>
      <x:c r="AC6728" s="87" t="str">
        <x:v>VIS-EGKR-CHEM-S26-TASK-955-P015</x:v>
      </x:c>
      <x:c r="AD6728" s="87"/>
      <x:c r="AE6728" s="87" t="str">
        <x:v>TASK</x:v>
      </x:c>
      <x:c r="AF6728" s="87" t="str">
        <x:v>VIS-EGKR-CHEM-S26-TASK-955-P015: 15</x:v>
      </x:c>
      <x:c r="AG6728" s="87" t="str">
        <x:v>RESOLVED</x:v>
      </x:c>
      <x:c r="AH6728" s="87" t="str">
        <x:v>CROP_VERIFIED</x:v>
      </x:c>
      <x:c r="AI6728" s="30"/>
      <x:c r="AJ6728" s="87" t="str">
        <x:v>clean</x:v>
      </x:c>
      <x:c r="AK6728" s="87" t="str">
        <x:v>clean-v0.27</x:v>
      </x:c>
      <x:c r="AL6728" s="87" t="str">
        <x:v>statgrad_clean_continuation_v0_27(1).xlsx</x:v>
      </x:c>
      <x:c r="AM6728" s="87" t="str">
        <x:v>CHEM_EGKR_S26_955</x:v>
      </x:c>
      <x:c r="AN6728" s="87" t="n">
        <x:v>35</x:v>
      </x:c>
    </x:row>
    <x:row r="6729">
      <x:c r="A6729" s="87" t="n">
        <x:v>6728</x:v>
      </x:c>
      <x:c r="B6729" s="87" t="str">
        <x:v>EGKR-S26-CHEM-956-01</x:v>
      </x:c>
      <x:c r="C6729" s="87" t="str">
        <x:v>ЕГКР</x:v>
      </x:c>
      <x:c r="D6729" s="87"/>
      <x:c r="E6729" s="87" t="str">
        <x:v>Весна 2026</x:v>
      </x:c>
      <x:c r="F6729" s="87" t="str">
        <x:v>16.04.2026</x:v>
      </x:c>
      <x:c r="G6729" s="87" t="str">
        <x:v>Химия</x:v>
      </x:c>
      <x:c r="H6729" s="87" t="n">
        <x:v>11</x:v>
      </x:c>
      <x:c r="I6729" s="87"/>
      <x:c r="J6729" s="87" t="str">
        <x:v>956</x:v>
      </x:c>
      <x:c r="K6729" s="87" t="n">
        <x:v>1</x:v>
      </x:c>
      <x:c r="L6729" s="87" t="str">
        <x:v>Строение атома и периодическая система</x:v>
      </x:c>
      <x:c r="M6729" s="30" t="str">
        <x:v>Задание линии 1: Строение атома и периодическая система. Полная формулировка и все таблицы/формулы сохранены на странице по VIS_ID.</x:v>
      </x:c>
      <x:c r="N6729" s="30" t="str">
        <x:v>25</x:v>
      </x:c>
      <x:c r="O6729" s="30" t="str">
        <x:v>Ответ проверен по исходной формулировке и химическим закономерностям.</x:v>
      </x:c>
      <x:c r="P6729" s="30"/>
      <x:c r="Q6729" s="30" t="str">
        <x:v>Полная исходная страница + независимая химическая проверка + аудит DOCX.</x:v>
      </x:c>
      <x:c r="R6729" s="30" t="str">
        <x:v>25</x:v>
      </x:c>
      <x:c r="S6729" s="30"/>
      <x:c r="T6729" s="30"/>
      <x:c r="U6729" s="30" t="str">
        <x:v>Расхождений не выявлено.</x:v>
      </x:c>
      <x:c r="V6729" s="87" t="str">
        <x:v>VERIFIED</x:v>
      </x:c>
      <x:c r="W6729" s="87"/>
      <x:c r="X6729" s="87" t="n">
        <x:v>2</x:v>
      </x:c>
      <x:c r="Y6729" s="87"/>
      <x:c r="Z6729" s="87"/>
      <x:c r="AA6729" s="87"/>
      <x:c r="AB6729" s="87"/>
      <x:c r="AC6729" s="87" t="str">
        <x:v>VIS-EGKR-CHEM-S26-TASK-956-P002</x:v>
      </x:c>
      <x:c r="AD6729" s="87" t="str">
        <x:v>VIS-EGKR-CHEM-S26-ANSWERDOC-P003</x:v>
      </x:c>
      <x:c r="AE6729" s="87" t="str">
        <x:v>TASK; SECONDARY_ANSWER_SOURCE</x:v>
      </x:c>
      <x:c r="AF6729" s="87" t="str">
        <x:v>VIS-EGKR-CHEM-S26-TASK-956-P002: 2; VIS-EGKR-CHEM-S26-ANSWERDOC-P003: 3</x:v>
      </x:c>
      <x:c r="AG6729" s="87" t="str">
        <x:v>RESOLVED</x:v>
      </x:c>
      <x:c r="AH6729" s="87" t="str">
        <x:v>CROP_VERIFIED</x:v>
      </x:c>
      <x:c r="AI6729" s="30"/>
      <x:c r="AJ6729" s="87" t="str">
        <x:v>clean</x:v>
      </x:c>
      <x:c r="AK6729" s="87" t="str">
        <x:v>clean-v0.27</x:v>
      </x:c>
      <x:c r="AL6729" s="87" t="str">
        <x:v>statgrad_clean_continuation_v0_27(1).xlsx</x:v>
      </x:c>
      <x:c r="AM6729" s="87" t="str">
        <x:v>CHEM_EGKR_S26_956</x:v>
      </x:c>
      <x:c r="AN6729" s="87" t="n">
        <x:v>2</x:v>
      </x:c>
    </x:row>
    <x:row r="6730">
      <x:c r="A6730" s="87" t="n">
        <x:v>6729</x:v>
      </x:c>
      <x:c r="B6730" s="87" t="str">
        <x:v>EGKR-S26-CHEM-956-02</x:v>
      </x:c>
      <x:c r="C6730" s="87" t="str">
        <x:v>ЕГКР</x:v>
      </x:c>
      <x:c r="D6730" s="87"/>
      <x:c r="E6730" s="87" t="str">
        <x:v>Весна 2026</x:v>
      </x:c>
      <x:c r="F6730" s="87" t="str">
        <x:v>16.04.2026</x:v>
      </x:c>
      <x:c r="G6730" s="87" t="str">
        <x:v>Химия</x:v>
      </x:c>
      <x:c r="H6730" s="87" t="n">
        <x:v>11</x:v>
      </x:c>
      <x:c r="I6730" s="87"/>
      <x:c r="J6730" s="87" t="str">
        <x:v>956</x:v>
      </x:c>
      <x:c r="K6730" s="87" t="n">
        <x:v>2</x:v>
      </x:c>
      <x:c r="L6730" s="87" t="str">
        <x:v>Периодические свойства</x:v>
      </x:c>
      <x:c r="M6730" s="30" t="str">
        <x:v>Задание линии 2: Периодические свойства. Полная формулировка и все таблицы/формулы сохранены на странице по VIS_ID.</x:v>
      </x:c>
      <x:c r="N6730" s="30" t="str">
        <x:v>145</x:v>
      </x:c>
      <x:c r="O6730" s="30" t="str">
        <x:v>Ответ проверен по исходной формулировке и химическим закономерностям.</x:v>
      </x:c>
      <x:c r="P6730" s="30"/>
      <x:c r="Q6730" s="30" t="str">
        <x:v>Полная исходная страница + независимая химическая проверка + аудит DOCX.</x:v>
      </x:c>
      <x:c r="R6730" s="30" t="str">
        <x:v>145</x:v>
      </x:c>
      <x:c r="S6730" s="30"/>
      <x:c r="T6730" s="30"/>
      <x:c r="U6730" s="30" t="str">
        <x:v>Расхождений не выявлено.</x:v>
      </x:c>
      <x:c r="V6730" s="87" t="str">
        <x:v>VERIFIED</x:v>
      </x:c>
      <x:c r="W6730" s="87"/>
      <x:c r="X6730" s="87" t="n">
        <x:v>2</x:v>
      </x:c>
      <x:c r="Y6730" s="87"/>
      <x:c r="Z6730" s="87"/>
      <x:c r="AA6730" s="87"/>
      <x:c r="AB6730" s="87"/>
      <x:c r="AC6730" s="87" t="str">
        <x:v>VIS-EGKR-CHEM-S26-TASK-956-P002</x:v>
      </x:c>
      <x:c r="AD6730" s="87" t="str">
        <x:v>VIS-EGKR-CHEM-S26-ANSWERDOC-P003</x:v>
      </x:c>
      <x:c r="AE6730" s="87" t="str">
        <x:v>TASK; SECONDARY_ANSWER_SOURCE</x:v>
      </x:c>
      <x:c r="AF6730" s="87" t="str">
        <x:v>VIS-EGKR-CHEM-S26-TASK-956-P002: 2; VIS-EGKR-CHEM-S26-ANSWERDOC-P003: 3</x:v>
      </x:c>
      <x:c r="AG6730" s="87" t="str">
        <x:v>RESOLVED</x:v>
      </x:c>
      <x:c r="AH6730" s="87" t="str">
        <x:v>CROP_VERIFIED</x:v>
      </x:c>
      <x:c r="AI6730" s="30"/>
      <x:c r="AJ6730" s="87" t="str">
        <x:v>clean</x:v>
      </x:c>
      <x:c r="AK6730" s="87" t="str">
        <x:v>clean-v0.27</x:v>
      </x:c>
      <x:c r="AL6730" s="87" t="str">
        <x:v>statgrad_clean_continuation_v0_27(1).xlsx</x:v>
      </x:c>
      <x:c r="AM6730" s="87" t="str">
        <x:v>CHEM_EGKR_S26_956</x:v>
      </x:c>
      <x:c r="AN6730" s="87" t="n">
        <x:v>3</x:v>
      </x:c>
    </x:row>
    <x:row r="6731">
      <x:c r="A6731" s="87" t="n">
        <x:v>6730</x:v>
      </x:c>
      <x:c r="B6731" s="87" t="str">
        <x:v>EGKR-S26-CHEM-956-03</x:v>
      </x:c>
      <x:c r="C6731" s="87" t="str">
        <x:v>ЕГКР</x:v>
      </x:c>
      <x:c r="D6731" s="87"/>
      <x:c r="E6731" s="87" t="str">
        <x:v>Весна 2026</x:v>
      </x:c>
      <x:c r="F6731" s="87" t="str">
        <x:v>16.04.2026</x:v>
      </x:c>
      <x:c r="G6731" s="87" t="str">
        <x:v>Химия</x:v>
      </x:c>
      <x:c r="H6731" s="87" t="n">
        <x:v>11</x:v>
      </x:c>
      <x:c r="I6731" s="87"/>
      <x:c r="J6731" s="87" t="str">
        <x:v>956</x:v>
      </x:c>
      <x:c r="K6731" s="87" t="n">
        <x:v>3</x:v>
      </x:c>
      <x:c r="L6731" s="87" t="str">
        <x:v>Степени окисления</x:v>
      </x:c>
      <x:c r="M6731" s="30" t="str">
        <x:v>Задание линии 3: Степени окисления. Полная формулировка и все таблицы/формулы сохранены на странице по VIS_ID.</x:v>
      </x:c>
      <x:c r="N6731" s="30" t="str">
        <x:v>25</x:v>
      </x:c>
      <x:c r="O6731" s="30" t="str">
        <x:v>Ответ проверен по исходной формулировке и химическим закономерностям.</x:v>
      </x:c>
      <x:c r="P6731" s="30"/>
      <x:c r="Q6731" s="30" t="str">
        <x:v>Полная исходная страница + независимая химическая проверка + аудит DOCX.</x:v>
      </x:c>
      <x:c r="R6731" s="30" t="str">
        <x:v>25</x:v>
      </x:c>
      <x:c r="S6731" s="30"/>
      <x:c r="T6731" s="30"/>
      <x:c r="U6731" s="30" t="str">
        <x:v>Расхождений не выявлено.</x:v>
      </x:c>
      <x:c r="V6731" s="87" t="str">
        <x:v>VERIFIED</x:v>
      </x:c>
      <x:c r="W6731" s="87"/>
      <x:c r="X6731" s="87" t="n">
        <x:v>2</x:v>
      </x:c>
      <x:c r="Y6731" s="87"/>
      <x:c r="Z6731" s="87"/>
      <x:c r="AA6731" s="87"/>
      <x:c r="AB6731" s="87"/>
      <x:c r="AC6731" s="87" t="str">
        <x:v>VIS-EGKR-CHEM-S26-TASK-956-P002</x:v>
      </x:c>
      <x:c r="AD6731" s="87" t="str">
        <x:v>VIS-EGKR-CHEM-S26-ANSWERDOC-P003</x:v>
      </x:c>
      <x:c r="AE6731" s="87" t="str">
        <x:v>TASK; SECONDARY_ANSWER_SOURCE</x:v>
      </x:c>
      <x:c r="AF6731" s="87" t="str">
        <x:v>VIS-EGKR-CHEM-S26-TASK-956-P002: 2; VIS-EGKR-CHEM-S26-ANSWERDOC-P003: 3</x:v>
      </x:c>
      <x:c r="AG6731" s="87" t="str">
        <x:v>RESOLVED</x:v>
      </x:c>
      <x:c r="AH6731" s="87" t="str">
        <x:v>CROP_VERIFIED</x:v>
      </x:c>
      <x:c r="AI6731" s="30"/>
      <x:c r="AJ6731" s="87" t="str">
        <x:v>clean</x:v>
      </x:c>
      <x:c r="AK6731" s="87" t="str">
        <x:v>clean-v0.27</x:v>
      </x:c>
      <x:c r="AL6731" s="87" t="str">
        <x:v>statgrad_clean_continuation_v0_27(1).xlsx</x:v>
      </x:c>
      <x:c r="AM6731" s="87" t="str">
        <x:v>CHEM_EGKR_S26_956</x:v>
      </x:c>
      <x:c r="AN6731" s="87" t="n">
        <x:v>4</x:v>
      </x:c>
    </x:row>
    <x:row r="6732">
      <x:c r="A6732" s="87" t="n">
        <x:v>6731</x:v>
      </x:c>
      <x:c r="B6732" s="87" t="str">
        <x:v>EGKR-S26-CHEM-956-04</x:v>
      </x:c>
      <x:c r="C6732" s="87" t="str">
        <x:v>ЕГКР</x:v>
      </x:c>
      <x:c r="D6732" s="87"/>
      <x:c r="E6732" s="87" t="str">
        <x:v>Весна 2026</x:v>
      </x:c>
      <x:c r="F6732" s="87" t="str">
        <x:v>16.04.2026</x:v>
      </x:c>
      <x:c r="G6732" s="87" t="str">
        <x:v>Химия</x:v>
      </x:c>
      <x:c r="H6732" s="87" t="n">
        <x:v>11</x:v>
      </x:c>
      <x:c r="I6732" s="87"/>
      <x:c r="J6732" s="87" t="str">
        <x:v>956</x:v>
      </x:c>
      <x:c r="K6732" s="87" t="n">
        <x:v>4</x:v>
      </x:c>
      <x:c r="L6732" s="87" t="str">
        <x:v>Химическая связь и строение вещества</x:v>
      </x:c>
      <x:c r="M6732" s="30" t="str">
        <x:v>Задание линии 4: Химическая связь и строение вещества. Полная формулировка и все таблицы/формулы сохранены на странице по VIS_ID.</x:v>
      </x:c>
      <x:c r="N6732" s="30" t="str">
        <x:v>14</x:v>
      </x:c>
      <x:c r="O6732" s="30" t="str">
        <x:v>Ответ проверен по исходной формулировке и химическим закономерностям.</x:v>
      </x:c>
      <x:c r="P6732" s="30"/>
      <x:c r="Q6732" s="30" t="str">
        <x:v>Полная исходная страница + независимая химическая проверка + аудит DOCX.</x:v>
      </x:c>
      <x:c r="R6732" s="30" t="str">
        <x:v>14</x:v>
      </x:c>
      <x:c r="S6732" s="30"/>
      <x:c r="T6732" s="30"/>
      <x:c r="U6732" s="30" t="str">
        <x:v>Расхождений не выявлено.</x:v>
      </x:c>
      <x:c r="V6732" s="87" t="str">
        <x:v>VERIFIED</x:v>
      </x:c>
      <x:c r="W6732" s="87"/>
      <x:c r="X6732" s="87" t="n">
        <x:v>2</x:v>
      </x:c>
      <x:c r="Y6732" s="87"/>
      <x:c r="Z6732" s="87"/>
      <x:c r="AA6732" s="87"/>
      <x:c r="AB6732" s="87"/>
      <x:c r="AC6732" s="87" t="str">
        <x:v>VIS-EGKR-CHEM-S26-TASK-956-P002</x:v>
      </x:c>
      <x:c r="AD6732" s="87" t="str">
        <x:v>VIS-EGKR-CHEM-S26-ANSWERDOC-P003</x:v>
      </x:c>
      <x:c r="AE6732" s="87" t="str">
        <x:v>TASK; SECONDARY_ANSWER_SOURCE</x:v>
      </x:c>
      <x:c r="AF6732" s="87" t="str">
        <x:v>VIS-EGKR-CHEM-S26-TASK-956-P002: 2; VIS-EGKR-CHEM-S26-ANSWERDOC-P003: 3</x:v>
      </x:c>
      <x:c r="AG6732" s="87" t="str">
        <x:v>RESOLVED</x:v>
      </x:c>
      <x:c r="AH6732" s="87" t="str">
        <x:v>CROP_VERIFIED</x:v>
      </x:c>
      <x:c r="AI6732" s="30"/>
      <x:c r="AJ6732" s="87" t="str">
        <x:v>clean</x:v>
      </x:c>
      <x:c r="AK6732" s="87" t="str">
        <x:v>clean-v0.27</x:v>
      </x:c>
      <x:c r="AL6732" s="87" t="str">
        <x:v>statgrad_clean_continuation_v0_27(1).xlsx</x:v>
      </x:c>
      <x:c r="AM6732" s="87" t="str">
        <x:v>CHEM_EGKR_S26_956</x:v>
      </x:c>
      <x:c r="AN6732" s="87" t="n">
        <x:v>5</x:v>
      </x:c>
    </x:row>
    <x:row r="6733">
      <x:c r="A6733" s="87" t="n">
        <x:v>6732</x:v>
      </x:c>
      <x:c r="B6733" s="87" t="str">
        <x:v>EGKR-S26-CHEM-956-05</x:v>
      </x:c>
      <x:c r="C6733" s="87" t="str">
        <x:v>ЕГКР</x:v>
      </x:c>
      <x:c r="D6733" s="87"/>
      <x:c r="E6733" s="87" t="str">
        <x:v>Весна 2026</x:v>
      </x:c>
      <x:c r="F6733" s="87" t="str">
        <x:v>16.04.2026</x:v>
      </x:c>
      <x:c r="G6733" s="87" t="str">
        <x:v>Химия</x:v>
      </x:c>
      <x:c r="H6733" s="87" t="n">
        <x:v>11</x:v>
      </x:c>
      <x:c r="I6733" s="87"/>
      <x:c r="J6733" s="87" t="str">
        <x:v>956</x:v>
      </x:c>
      <x:c r="K6733" s="87" t="n">
        <x:v>5</x:v>
      </x:c>
      <x:c r="L6733" s="87" t="str">
        <x:v>Классы неорганических веществ</x:v>
      </x:c>
      <x:c r="M6733" s="30" t="str">
        <x:v>Задание линии 5: Классы неорганических веществ. Полная формулировка и все таблицы/формулы сохранены на странице по VIS_ID.</x:v>
      </x:c>
      <x:c r="N6733" s="30" t="str">
        <x:v>NOT_ASSERTED</x:v>
      </x:c>
      <x:c r="O6733" s="30" t="str">
        <x:v>Источник не позволяет однозначно восстановить корректный ответ.</x:v>
      </x:c>
      <x:c r="P6733" s="30"/>
      <x:c r="Q6733" s="30" t="str">
        <x:v>Полная исходная страница + независимая химическая проверка + аудит DOCX.</x:v>
      </x:c>
      <x:c r="R6733" s="30" t="str">
        <x:v>321</x:v>
      </x:c>
      <x:c r="S6733" s="30"/>
      <x:c r="T6733" s="30"/>
      <x:c r="U6733" s="30" t="str">
        <x:v>Таблица содержит несколько оксидов и не содержит однозначной сильной кислоты; единственный ответ не утверждается.</x:v>
      </x:c>
      <x:c r="V6733" s="87" t="str">
        <x:v>TASK_DEFECT</x:v>
      </x:c>
      <x:c r="W6733" s="87"/>
      <x:c r="X6733" s="87" t="n">
        <x:v>3</x:v>
      </x:c>
      <x:c r="Y6733" s="87"/>
      <x:c r="Z6733" s="87"/>
      <x:c r="AA6733" s="87"/>
      <x:c r="AB6733" s="87"/>
      <x:c r="AC6733" s="87" t="str">
        <x:v>VIS-EGKR-CHEM-S26-TASK-956-P003</x:v>
      </x:c>
      <x:c r="AD6733" s="87" t="str">
        <x:v>VIS-EGKR-CHEM-S26-ANSWERDOC-P003</x:v>
      </x:c>
      <x:c r="AE6733" s="87" t="str">
        <x:v>TASK; SECONDARY_ANSWER_SOURCE</x:v>
      </x:c>
      <x:c r="AF6733" s="87" t="str">
        <x:v>VIS-EGKR-CHEM-S26-TASK-956-P003: 3; VIS-EGKR-CHEM-S26-ANSWERDOC-P003: 3</x:v>
      </x:c>
      <x:c r="AG6733" s="87" t="str">
        <x:v>RESOLVED</x:v>
      </x:c>
      <x:c r="AH6733" s="87" t="str">
        <x:v>CROP_VERIFIED</x:v>
      </x:c>
      <x:c r="AI6733" s="30"/>
      <x:c r="AJ6733" s="87" t="str">
        <x:v>clean</x:v>
      </x:c>
      <x:c r="AK6733" s="87" t="str">
        <x:v>clean-v0.27</x:v>
      </x:c>
      <x:c r="AL6733" s="87" t="str">
        <x:v>statgrad_clean_continuation_v0_27(1).xlsx</x:v>
      </x:c>
      <x:c r="AM6733" s="87" t="str">
        <x:v>CHEM_EGKR_S26_956</x:v>
      </x:c>
      <x:c r="AN6733" s="87" t="n">
        <x:v>6</x:v>
      </x:c>
    </x:row>
    <x:row r="6734">
      <x:c r="A6734" s="87" t="n">
        <x:v>6733</x:v>
      </x:c>
      <x:c r="B6734" s="87" t="str">
        <x:v>EGKR-S26-CHEM-956-06</x:v>
      </x:c>
      <x:c r="C6734" s="87" t="str">
        <x:v>ЕГКР</x:v>
      </x:c>
      <x:c r="D6734" s="87"/>
      <x:c r="E6734" s="87" t="str">
        <x:v>Весна 2026</x:v>
      </x:c>
      <x:c r="F6734" s="87" t="str">
        <x:v>16.04.2026</x:v>
      </x:c>
      <x:c r="G6734" s="87" t="str">
        <x:v>Химия</x:v>
      </x:c>
      <x:c r="H6734" s="87" t="n">
        <x:v>11</x:v>
      </x:c>
      <x:c r="I6734" s="87"/>
      <x:c r="J6734" s="87" t="str">
        <x:v>956</x:v>
      </x:c>
      <x:c r="K6734" s="87" t="n">
        <x:v>6</x:v>
      </x:c>
      <x:c r="L6734" s="87" t="str">
        <x:v>Качественные реакции</x:v>
      </x:c>
      <x:c r="M6734" s="30" t="str">
        <x:v>Задание линии 6: Качественные реакции. Полная формулировка и все таблицы/формулы сохранены на странице по VIS_ID.</x:v>
      </x:c>
      <x:c r="N6734" s="30" t="str">
        <x:v>32</x:v>
      </x:c>
      <x:c r="O6734" s="30" t="str">
        <x:v>Ответ проверен по исходной формулировке и химическим закономерностям.</x:v>
      </x:c>
      <x:c r="P6734" s="30"/>
      <x:c r="Q6734" s="30" t="str">
        <x:v>Полная исходная страница + независимая химическая проверка + аудит DOCX.</x:v>
      </x:c>
      <x:c r="R6734" s="30" t="str">
        <x:v>41</x:v>
      </x:c>
      <x:c r="S6734" s="30"/>
      <x:c r="T6734" s="30"/>
      <x:c r="U6734" s="30" t="str">
        <x:v>Осадок BaHPO4 образуется с Ba(OH)2 (3), а HBr (2) даёт H2PO4−.</x:v>
      </x:c>
      <x:c r="V6734" s="87" t="str">
        <x:v>KEY_MISMATCH</x:v>
      </x:c>
      <x:c r="W6734" s="87"/>
      <x:c r="X6734" s="87" t="n">
        <x:v>3</x:v>
      </x:c>
      <x:c r="Y6734" s="87"/>
      <x:c r="Z6734" s="87"/>
      <x:c r="AA6734" s="87"/>
      <x:c r="AB6734" s="87"/>
      <x:c r="AC6734" s="87" t="str">
        <x:v>VIS-EGKR-CHEM-S26-TASK-956-P003</x:v>
      </x:c>
      <x:c r="AD6734" s="87" t="str">
        <x:v>VIS-EGKR-CHEM-S26-ANSWERDOC-P003</x:v>
      </x:c>
      <x:c r="AE6734" s="87" t="str">
        <x:v>TASK; SECONDARY_ANSWER_SOURCE</x:v>
      </x:c>
      <x:c r="AF6734" s="87" t="str">
        <x:v>VIS-EGKR-CHEM-S26-TASK-956-P003: 3; VIS-EGKR-CHEM-S26-ANSWERDOC-P003: 3</x:v>
      </x:c>
      <x:c r="AG6734" s="87" t="str">
        <x:v>RESOLVED</x:v>
      </x:c>
      <x:c r="AH6734" s="87" t="str">
        <x:v>CROP_VERIFIED</x:v>
      </x:c>
      <x:c r="AI6734" s="30"/>
      <x:c r="AJ6734" s="87" t="str">
        <x:v>clean</x:v>
      </x:c>
      <x:c r="AK6734" s="87" t="str">
        <x:v>clean-v0.27</x:v>
      </x:c>
      <x:c r="AL6734" s="87" t="str">
        <x:v>statgrad_clean_continuation_v0_27(1).xlsx</x:v>
      </x:c>
      <x:c r="AM6734" s="87" t="str">
        <x:v>CHEM_EGKR_S26_956</x:v>
      </x:c>
      <x:c r="AN6734" s="87" t="n">
        <x:v>7</x:v>
      </x:c>
    </x:row>
    <x:row r="6735">
      <x:c r="A6735" s="87" t="n">
        <x:v>6734</x:v>
      </x:c>
      <x:c r="B6735" s="87" t="str">
        <x:v>EGKR-S26-CHEM-956-07</x:v>
      </x:c>
      <x:c r="C6735" s="87" t="str">
        <x:v>ЕГКР</x:v>
      </x:c>
      <x:c r="D6735" s="87"/>
      <x:c r="E6735" s="87" t="str">
        <x:v>Весна 2026</x:v>
      </x:c>
      <x:c r="F6735" s="87" t="str">
        <x:v>16.04.2026</x:v>
      </x:c>
      <x:c r="G6735" s="87" t="str">
        <x:v>Химия</x:v>
      </x:c>
      <x:c r="H6735" s="87" t="n">
        <x:v>11</x:v>
      </x:c>
      <x:c r="I6735" s="87"/>
      <x:c r="J6735" s="87" t="str">
        <x:v>956</x:v>
      </x:c>
      <x:c r="K6735" s="87" t="n">
        <x:v>7</x:v>
      </x:c>
      <x:c r="L6735" s="87" t="str">
        <x:v>Неорганические превращения / реагенты</x:v>
      </x:c>
      <x:c r="M6735" s="30" t="str">
        <x:v>Задание линии 7: Неорганические превращения / реагенты. Полная формулировка и все таблицы/формулы сохранены на странице по VIS_ID.</x:v>
      </x:c>
      <x:c r="N6735" s="30" t="str">
        <x:v>1522</x:v>
      </x:c>
      <x:c r="O6735" s="30" t="str">
        <x:v>Ответ проверен по исходной формулировке и химическим закономерностям.</x:v>
      </x:c>
      <x:c r="P6735" s="30"/>
      <x:c r="Q6735" s="30" t="str">
        <x:v>Полная исходная страница + независимая химическая проверка + аудит DOCX.</x:v>
      </x:c>
      <x:c r="R6735" s="30" t="str">
        <x:v>1523</x:v>
      </x:c>
      <x:c r="S6735" s="30"/>
      <x:c r="T6735" s="30"/>
      <x:c r="U6735" s="30" t="str">
        <x:v>KI взаимодействует со всеми реагентами набора 2: Cl2, CuSO4 и HgCl2.</x:v>
      </x:c>
      <x:c r="V6735" s="87" t="str">
        <x:v>KEY_MISMATCH</x:v>
      </x:c>
      <x:c r="W6735" s="87"/>
      <x:c r="X6735" s="87" t="n">
        <x:v>4</x:v>
      </x:c>
      <x:c r="Y6735" s="87"/>
      <x:c r="Z6735" s="87"/>
      <x:c r="AA6735" s="87"/>
      <x:c r="AB6735" s="87"/>
      <x:c r="AC6735" s="87" t="str">
        <x:v>VIS-EGKR-CHEM-S26-TASK-956-P004</x:v>
      </x:c>
      <x:c r="AD6735" s="87" t="str">
        <x:v>VIS-EGKR-CHEM-S26-ANSWERDOC-P003</x:v>
      </x:c>
      <x:c r="AE6735" s="87" t="str">
        <x:v>TASK; SECONDARY_ANSWER_SOURCE</x:v>
      </x:c>
      <x:c r="AF6735" s="87" t="str">
        <x:v>VIS-EGKR-CHEM-S26-TASK-956-P004: 4; VIS-EGKR-CHEM-S26-ANSWERDOC-P003: 3</x:v>
      </x:c>
      <x:c r="AG6735" s="87" t="str">
        <x:v>RESOLVED</x:v>
      </x:c>
      <x:c r="AH6735" s="87" t="str">
        <x:v>CROP_VERIFIED</x:v>
      </x:c>
      <x:c r="AI6735" s="30"/>
      <x:c r="AJ6735" s="87" t="str">
        <x:v>clean</x:v>
      </x:c>
      <x:c r="AK6735" s="87" t="str">
        <x:v>clean-v0.27</x:v>
      </x:c>
      <x:c r="AL6735" s="87" t="str">
        <x:v>statgrad_clean_continuation_v0_27(1).xlsx</x:v>
      </x:c>
      <x:c r="AM6735" s="87" t="str">
        <x:v>CHEM_EGKR_S26_956</x:v>
      </x:c>
      <x:c r="AN6735" s="87" t="n">
        <x:v>8</x:v>
      </x:c>
    </x:row>
    <x:row r="6736">
      <x:c r="A6736" s="87" t="n">
        <x:v>6735</x:v>
      </x:c>
      <x:c r="B6736" s="87" t="str">
        <x:v>EGKR-S26-CHEM-956-08</x:v>
      </x:c>
      <x:c r="C6736" s="87" t="str">
        <x:v>ЕГКР</x:v>
      </x:c>
      <x:c r="D6736" s="87"/>
      <x:c r="E6736" s="87" t="str">
        <x:v>Весна 2026</x:v>
      </x:c>
      <x:c r="F6736" s="87" t="str">
        <x:v>16.04.2026</x:v>
      </x:c>
      <x:c r="G6736" s="87" t="str">
        <x:v>Химия</x:v>
      </x:c>
      <x:c r="H6736" s="87" t="n">
        <x:v>11</x:v>
      </x:c>
      <x:c r="I6736" s="87"/>
      <x:c r="J6736" s="87" t="str">
        <x:v>956</x:v>
      </x:c>
      <x:c r="K6736" s="87" t="n">
        <x:v>8</x:v>
      </x:c>
      <x:c r="L6736" s="87" t="str">
        <x:v>Неорганические превращения / продукты</x:v>
      </x:c>
      <x:c r="M6736" s="30" t="str">
        <x:v>Задание линии 8: Неорганические превращения / продукты. Полная формулировка и все таблицы/формулы сохранены на странице по VIS_ID.</x:v>
      </x:c>
      <x:c r="N6736" s="30" t="str">
        <x:v>4145</x:v>
      </x:c>
      <x:c r="O6736" s="30" t="str">
        <x:v>Ответ проверен по исходной формулировке и химическим закономерностям.</x:v>
      </x:c>
      <x:c r="P6736" s="30"/>
      <x:c r="Q6736" s="30" t="str">
        <x:v>Полная исходная страница + независимая химическая проверка + аудит DOCX.</x:v>
      </x:c>
      <x:c r="R6736" s="30" t="str">
        <x:v>4145</x:v>
      </x:c>
      <x:c r="S6736" s="30"/>
      <x:c r="T6736" s="30"/>
      <x:c r="U6736" s="30" t="str">
        <x:v>Расхождений не выявлено.</x:v>
      </x:c>
      <x:c r="V6736" s="87" t="str">
        <x:v>VERIFIED</x:v>
      </x:c>
      <x:c r="W6736" s="87"/>
      <x:c r="X6736" s="87" t="n">
        <x:v>4</x:v>
      </x:c>
      <x:c r="Y6736" s="87"/>
      <x:c r="Z6736" s="87"/>
      <x:c r="AA6736" s="87"/>
      <x:c r="AB6736" s="87"/>
      <x:c r="AC6736" s="87" t="str">
        <x:v>VIS-EGKR-CHEM-S26-TASK-956-P004</x:v>
      </x:c>
      <x:c r="AD6736" s="87" t="str">
        <x:v>VIS-EGKR-CHEM-S26-ANSWERDOC-P003</x:v>
      </x:c>
      <x:c r="AE6736" s="87" t="str">
        <x:v>TASK; SECONDARY_ANSWER_SOURCE</x:v>
      </x:c>
      <x:c r="AF6736" s="87" t="str">
        <x:v>VIS-EGKR-CHEM-S26-TASK-956-P004: 4; VIS-EGKR-CHEM-S26-ANSWERDOC-P003: 3</x:v>
      </x:c>
      <x:c r="AG6736" s="87" t="str">
        <x:v>RESOLVED</x:v>
      </x:c>
      <x:c r="AH6736" s="87" t="str">
        <x:v>CROP_VERIFIED</x:v>
      </x:c>
      <x:c r="AI6736" s="30"/>
      <x:c r="AJ6736" s="87" t="str">
        <x:v>clean</x:v>
      </x:c>
      <x:c r="AK6736" s="87" t="str">
        <x:v>clean-v0.27</x:v>
      </x:c>
      <x:c r="AL6736" s="87" t="str">
        <x:v>statgrad_clean_continuation_v0_27(1).xlsx</x:v>
      </x:c>
      <x:c r="AM6736" s="87" t="str">
        <x:v>CHEM_EGKR_S26_956</x:v>
      </x:c>
      <x:c r="AN6736" s="87" t="n">
        <x:v>9</x:v>
      </x:c>
    </x:row>
    <x:row r="6737">
      <x:c r="A6737" s="87" t="n">
        <x:v>6736</x:v>
      </x:c>
      <x:c r="B6737" s="87" t="str">
        <x:v>EGKR-S26-CHEM-956-09</x:v>
      </x:c>
      <x:c r="C6737" s="87" t="str">
        <x:v>ЕГКР</x:v>
      </x:c>
      <x:c r="D6737" s="87"/>
      <x:c r="E6737" s="87" t="str">
        <x:v>Весна 2026</x:v>
      </x:c>
      <x:c r="F6737" s="87" t="str">
        <x:v>16.04.2026</x:v>
      </x:c>
      <x:c r="G6737" s="87" t="str">
        <x:v>Химия</x:v>
      </x:c>
      <x:c r="H6737" s="87" t="n">
        <x:v>11</x:v>
      </x:c>
      <x:c r="I6737" s="87"/>
      <x:c r="J6737" s="87" t="str">
        <x:v>956</x:v>
      </x:c>
      <x:c r="K6737" s="87" t="n">
        <x:v>9</x:v>
      </x:c>
      <x:c r="L6737" s="87" t="str">
        <x:v>Цепочка неорганических превращений</x:v>
      </x:c>
      <x:c r="M6737" s="30" t="str">
        <x:v>Задание линии 9: Цепочка неорганических превращений. Полная формулировка и все таблицы/формулы сохранены на странице по VIS_ID.</x:v>
      </x:c>
      <x:c r="N6737" s="30" t="str">
        <x:v>25</x:v>
      </x:c>
      <x:c r="O6737" s="30" t="str">
        <x:v>Ответ проверен по исходной формулировке и химическим закономерностям.</x:v>
      </x:c>
      <x:c r="P6737" s="30"/>
      <x:c r="Q6737" s="30" t="str">
        <x:v>Полная исходная страница + независимая химическая проверка + аудит DOCX.</x:v>
      </x:c>
      <x:c r="R6737" s="30" t="str">
        <x:v>25</x:v>
      </x:c>
      <x:c r="S6737" s="30"/>
      <x:c r="T6737" s="30"/>
      <x:c r="U6737" s="30" t="str">
        <x:v>Расхождений не выявлено.</x:v>
      </x:c>
      <x:c r="V6737" s="87" t="str">
        <x:v>VERIFIED</x:v>
      </x:c>
      <x:c r="W6737" s="87"/>
      <x:c r="X6737" s="87" t="n">
        <x:v>5</x:v>
      </x:c>
      <x:c r="Y6737" s="87"/>
      <x:c r="Z6737" s="87"/>
      <x:c r="AA6737" s="87"/>
      <x:c r="AB6737" s="87"/>
      <x:c r="AC6737" s="87" t="str">
        <x:v>VIS-EGKR-CHEM-S26-TASK-956-P005</x:v>
      </x:c>
      <x:c r="AD6737" s="87" t="str">
        <x:v>VIS-EGKR-CHEM-S26-ANSWERDOC-P003</x:v>
      </x:c>
      <x:c r="AE6737" s="87" t="str">
        <x:v>TASK; SECONDARY_ANSWER_SOURCE</x:v>
      </x:c>
      <x:c r="AF6737" s="87" t="str">
        <x:v>VIS-EGKR-CHEM-S26-TASK-956-P005: 5; VIS-EGKR-CHEM-S26-ANSWERDOC-P003: 3</x:v>
      </x:c>
      <x:c r="AG6737" s="87" t="str">
        <x:v>RESOLVED</x:v>
      </x:c>
      <x:c r="AH6737" s="87" t="str">
        <x:v>CROP_VERIFIED</x:v>
      </x:c>
      <x:c r="AI6737" s="30"/>
      <x:c r="AJ6737" s="87" t="str">
        <x:v>clean</x:v>
      </x:c>
      <x:c r="AK6737" s="87" t="str">
        <x:v>clean-v0.27</x:v>
      </x:c>
      <x:c r="AL6737" s="87" t="str">
        <x:v>statgrad_clean_continuation_v0_27(1).xlsx</x:v>
      </x:c>
      <x:c r="AM6737" s="87" t="str">
        <x:v>CHEM_EGKR_S26_956</x:v>
      </x:c>
      <x:c r="AN6737" s="87" t="n">
        <x:v>10</x:v>
      </x:c>
    </x:row>
    <x:row r="6738">
      <x:c r="A6738" s="87" t="n">
        <x:v>6737</x:v>
      </x:c>
      <x:c r="B6738" s="87" t="str">
        <x:v>EGKR-S26-CHEM-956-10</x:v>
      </x:c>
      <x:c r="C6738" s="87" t="str">
        <x:v>ЕГКР</x:v>
      </x:c>
      <x:c r="D6738" s="87"/>
      <x:c r="E6738" s="87" t="str">
        <x:v>Весна 2026</x:v>
      </x:c>
      <x:c r="F6738" s="87" t="str">
        <x:v>16.04.2026</x:v>
      </x:c>
      <x:c r="G6738" s="87" t="str">
        <x:v>Химия</x:v>
      </x:c>
      <x:c r="H6738" s="87" t="n">
        <x:v>11</x:v>
      </x:c>
      <x:c r="I6738" s="87"/>
      <x:c r="J6738" s="87" t="str">
        <x:v>956</x:v>
      </x:c>
      <x:c r="K6738" s="87" t="n">
        <x:v>10</x:v>
      </x:c>
      <x:c r="L6738" s="87" t="str">
        <x:v>Классы и группы органических соединений</x:v>
      </x:c>
      <x:c r="M6738" s="30" t="str">
        <x:v>Задание линии 10: Классы и группы органических соединений. Полная формулировка и все таблицы/формулы сохранены на странице по VIS_ID.</x:v>
      </x:c>
      <x:c r="N6738" s="30" t="str">
        <x:v>432</x:v>
      </x:c>
      <x:c r="O6738" s="30" t="str">
        <x:v>Ответ проверен по исходной формулировке и химическим закономерностям.</x:v>
      </x:c>
      <x:c r="P6738" s="30"/>
      <x:c r="Q6738" s="30" t="str">
        <x:v>Полная исходная страница + независимая химическая проверка + аудит DOCX.</x:v>
      </x:c>
      <x:c r="R6738" s="30" t="str">
        <x:v>432</x:v>
      </x:c>
      <x:c r="S6738" s="30"/>
      <x:c r="T6738" s="30"/>
      <x:c r="U6738" s="30" t="str">
        <x:v>Расхождений не выявлено.</x:v>
      </x:c>
      <x:c r="V6738" s="87" t="str">
        <x:v>VERIFIED</x:v>
      </x:c>
      <x:c r="W6738" s="87"/>
      <x:c r="X6738" s="87" t="n">
        <x:v>5</x:v>
      </x:c>
      <x:c r="Y6738" s="87"/>
      <x:c r="Z6738" s="87"/>
      <x:c r="AA6738" s="87"/>
      <x:c r="AB6738" s="87"/>
      <x:c r="AC6738" s="87" t="str">
        <x:v>VIS-EGKR-CHEM-S26-TASK-956-P005</x:v>
      </x:c>
      <x:c r="AD6738" s="87" t="str">
        <x:v>VIS-EGKR-CHEM-S26-ANSWERDOC-P003</x:v>
      </x:c>
      <x:c r="AE6738" s="87" t="str">
        <x:v>TASK; SECONDARY_ANSWER_SOURCE</x:v>
      </x:c>
      <x:c r="AF6738" s="87" t="str">
        <x:v>VIS-EGKR-CHEM-S26-TASK-956-P005: 5; VIS-EGKR-CHEM-S26-ANSWERDOC-P003: 3</x:v>
      </x:c>
      <x:c r="AG6738" s="87" t="str">
        <x:v>RESOLVED</x:v>
      </x:c>
      <x:c r="AH6738" s="87" t="str">
        <x:v>CROP_VERIFIED</x:v>
      </x:c>
      <x:c r="AI6738" s="30"/>
      <x:c r="AJ6738" s="87" t="str">
        <x:v>clean</x:v>
      </x:c>
      <x:c r="AK6738" s="87" t="str">
        <x:v>clean-v0.27</x:v>
      </x:c>
      <x:c r="AL6738" s="87" t="str">
        <x:v>statgrad_clean_continuation_v0_27(1).xlsx</x:v>
      </x:c>
      <x:c r="AM6738" s="87" t="str">
        <x:v>CHEM_EGKR_S26_956</x:v>
      </x:c>
      <x:c r="AN6738" s="87" t="n">
        <x:v>11</x:v>
      </x:c>
    </x:row>
    <x:row r="6739">
      <x:c r="A6739" s="87" t="n">
        <x:v>6738</x:v>
      </x:c>
      <x:c r="B6739" s="87" t="str">
        <x:v>EGKR-S26-CHEM-956-11</x:v>
      </x:c>
      <x:c r="C6739" s="87" t="str">
        <x:v>ЕГКР</x:v>
      </x:c>
      <x:c r="D6739" s="87"/>
      <x:c r="E6739" s="87" t="str">
        <x:v>Весна 2026</x:v>
      </x:c>
      <x:c r="F6739" s="87" t="str">
        <x:v>16.04.2026</x:v>
      </x:c>
      <x:c r="G6739" s="87" t="str">
        <x:v>Химия</x:v>
      </x:c>
      <x:c r="H6739" s="87" t="n">
        <x:v>11</x:v>
      </x:c>
      <x:c r="I6739" s="87"/>
      <x:c r="J6739" s="87" t="str">
        <x:v>956</x:v>
      </x:c>
      <x:c r="K6739" s="87" t="n">
        <x:v>11</x:v>
      </x:c>
      <x:c r="L6739" s="87" t="str">
        <x:v>Строение и изомерия органических веществ</x:v>
      </x:c>
      <x:c r="M6739" s="30" t="str">
        <x:v>Задание линии 11: Строение и изомерия органических веществ. Полная формулировка и все таблицы/формулы сохранены на странице по VIS_ID.</x:v>
      </x:c>
      <x:c r="N6739" s="30" t="str">
        <x:v>23</x:v>
      </x:c>
      <x:c r="O6739" s="30" t="str">
        <x:v>Ответ проверен по исходной формулировке и химическим закономерностям.</x:v>
      </x:c>
      <x:c r="P6739" s="30"/>
      <x:c r="Q6739" s="30" t="str">
        <x:v>Полная исходная страница + независимая химическая проверка + аудит DOCX.</x:v>
      </x:c>
      <x:c r="R6739" s="30" t="str">
        <x:v>23</x:v>
      </x:c>
      <x:c r="S6739" s="30"/>
      <x:c r="T6739" s="30"/>
      <x:c r="U6739" s="30" t="str">
        <x:v>Расхождений не выявлено.</x:v>
      </x:c>
      <x:c r="V6739" s="87" t="str">
        <x:v>VERIFIED</x:v>
      </x:c>
      <x:c r="W6739" s="87"/>
      <x:c r="X6739" s="87" t="n">
        <x:v>5</x:v>
      </x:c>
      <x:c r="Y6739" s="87"/>
      <x:c r="Z6739" s="87"/>
      <x:c r="AA6739" s="87"/>
      <x:c r="AB6739" s="87"/>
      <x:c r="AC6739" s="87" t="str">
        <x:v>VIS-EGKR-CHEM-S26-TASK-956-P005</x:v>
      </x:c>
      <x:c r="AD6739" s="87" t="str">
        <x:v>VIS-EGKR-CHEM-S26-ANSWERDOC-P003</x:v>
      </x:c>
      <x:c r="AE6739" s="87" t="str">
        <x:v>TASK; SECONDARY_ANSWER_SOURCE</x:v>
      </x:c>
      <x:c r="AF6739" s="87" t="str">
        <x:v>VIS-EGKR-CHEM-S26-TASK-956-P005: 5; VIS-EGKR-CHEM-S26-ANSWERDOC-P003: 3</x:v>
      </x:c>
      <x:c r="AG6739" s="87" t="str">
        <x:v>RESOLVED</x:v>
      </x:c>
      <x:c r="AH6739" s="87" t="str">
        <x:v>CROP_VERIFIED</x:v>
      </x:c>
      <x:c r="AI6739" s="30"/>
      <x:c r="AJ6739" s="87" t="str">
        <x:v>clean</x:v>
      </x:c>
      <x:c r="AK6739" s="87" t="str">
        <x:v>clean-v0.27</x:v>
      </x:c>
      <x:c r="AL6739" s="87" t="str">
        <x:v>statgrad_clean_continuation_v0_27(1).xlsx</x:v>
      </x:c>
      <x:c r="AM6739" s="87" t="str">
        <x:v>CHEM_EGKR_S26_956</x:v>
      </x:c>
      <x:c r="AN6739" s="87" t="n">
        <x:v>12</x:v>
      </x:c>
    </x:row>
    <x:row r="6740">
      <x:c r="A6740" s="87" t="n">
        <x:v>6739</x:v>
      </x:c>
      <x:c r="B6740" s="87" t="str">
        <x:v>EGKR-S26-CHEM-956-12</x:v>
      </x:c>
      <x:c r="C6740" s="87" t="str">
        <x:v>ЕГКР</x:v>
      </x:c>
      <x:c r="D6740" s="87"/>
      <x:c r="E6740" s="87" t="str">
        <x:v>Весна 2026</x:v>
      </x:c>
      <x:c r="F6740" s="87" t="str">
        <x:v>16.04.2026</x:v>
      </x:c>
      <x:c r="G6740" s="87" t="str">
        <x:v>Химия</x:v>
      </x:c>
      <x:c r="H6740" s="87" t="n">
        <x:v>11</x:v>
      </x:c>
      <x:c r="I6740" s="87"/>
      <x:c r="J6740" s="87" t="str">
        <x:v>956</x:v>
      </x:c>
      <x:c r="K6740" s="87" t="n">
        <x:v>12</x:v>
      </x:c>
      <x:c r="L6740" s="87" t="str">
        <x:v>Химические свойства органических веществ</x:v>
      </x:c>
      <x:c r="M6740" s="30" t="str">
        <x:v>Задание линии 12: Химические свойства органических веществ. Полная формулировка и все таблицы/формулы сохранены на странице по VIS_ID.</x:v>
      </x:c>
      <x:c r="N6740" s="30" t="str">
        <x:v>345</x:v>
      </x:c>
      <x:c r="O6740" s="30" t="str">
        <x:v>Ответ проверен по исходной формулировке и химическим закономерностям.</x:v>
      </x:c>
      <x:c r="P6740" s="30"/>
      <x:c r="Q6740" s="30" t="str">
        <x:v>Полная исходная страница + независимая химическая проверка + аудит DOCX.</x:v>
      </x:c>
      <x:c r="R6740" s="30" t="str">
        <x:v>45</x:v>
      </x:c>
      <x:c r="S6740" s="30"/>
      <x:c r="T6740" s="30"/>
      <x:c r="U6740" s="30" t="str">
        <x:v>Пропанол-1 образуется при гидролизе пропилацетата, 1-бромпропана и восстановлении пропаналя: 345.</x:v>
      </x:c>
      <x:c r="V6740" s="87" t="str">
        <x:v>KEY_MISMATCH</x:v>
      </x:c>
      <x:c r="W6740" s="87"/>
      <x:c r="X6740" s="87" t="n">
        <x:v>6</x:v>
      </x:c>
      <x:c r="Y6740" s="87"/>
      <x:c r="Z6740" s="87"/>
      <x:c r="AA6740" s="87"/>
      <x:c r="AB6740" s="87"/>
      <x:c r="AC6740" s="87" t="str">
        <x:v>VIS-EGKR-CHEM-S26-TASK-956-P006</x:v>
      </x:c>
      <x:c r="AD6740" s="87" t="str">
        <x:v>VIS-EGKR-CHEM-S26-ANSWERDOC-P003</x:v>
      </x:c>
      <x:c r="AE6740" s="87" t="str">
        <x:v>TASK; SECONDARY_ANSWER_SOURCE</x:v>
      </x:c>
      <x:c r="AF6740" s="87" t="str">
        <x:v>VIS-EGKR-CHEM-S26-TASK-956-P006: 6; VIS-EGKR-CHEM-S26-ANSWERDOC-P003: 3</x:v>
      </x:c>
      <x:c r="AG6740" s="87" t="str">
        <x:v>RESOLVED</x:v>
      </x:c>
      <x:c r="AH6740" s="87" t="str">
        <x:v>CROP_VERIFIED</x:v>
      </x:c>
      <x:c r="AI6740" s="30"/>
      <x:c r="AJ6740" s="87" t="str">
        <x:v>clean</x:v>
      </x:c>
      <x:c r="AK6740" s="87" t="str">
        <x:v>clean-v0.27</x:v>
      </x:c>
      <x:c r="AL6740" s="87" t="str">
        <x:v>statgrad_clean_continuation_v0_27(1).xlsx</x:v>
      </x:c>
      <x:c r="AM6740" s="87" t="str">
        <x:v>CHEM_EGKR_S26_956</x:v>
      </x:c>
      <x:c r="AN6740" s="87" t="n">
        <x:v>13</x:v>
      </x:c>
    </x:row>
    <x:row r="6741">
      <x:c r="A6741" s="87" t="n">
        <x:v>6740</x:v>
      </x:c>
      <x:c r="B6741" s="87" t="str">
        <x:v>EGKR-S26-CHEM-956-13</x:v>
      </x:c>
      <x:c r="C6741" s="87" t="str">
        <x:v>ЕГКР</x:v>
      </x:c>
      <x:c r="D6741" s="87"/>
      <x:c r="E6741" s="87" t="str">
        <x:v>Весна 2026</x:v>
      </x:c>
      <x:c r="F6741" s="87" t="str">
        <x:v>16.04.2026</x:v>
      </x:c>
      <x:c r="G6741" s="87" t="str">
        <x:v>Химия</x:v>
      </x:c>
      <x:c r="H6741" s="87" t="n">
        <x:v>11</x:v>
      </x:c>
      <x:c r="I6741" s="87"/>
      <x:c r="J6741" s="87" t="str">
        <x:v>956</x:v>
      </x:c>
      <x:c r="K6741" s="87" t="n">
        <x:v>13</x:v>
      </x:c>
      <x:c r="L6741" s="87" t="str">
        <x:v>Химические свойства азотсодержащих соединений</x:v>
      </x:c>
      <x:c r="M6741" s="30" t="str">
        <x:v>Задание линии 13: Химические свойства азотсодержащих соединений. Полная формулировка и все таблицы/формулы сохранены на странице по VIS_ID.</x:v>
      </x:c>
      <x:c r="N6741" s="30" t="str">
        <x:v>25</x:v>
      </x:c>
      <x:c r="O6741" s="30" t="str">
        <x:v>Ответ проверен по исходной формулировке и химическим закономерностям.</x:v>
      </x:c>
      <x:c r="P6741" s="30"/>
      <x:c r="Q6741" s="30" t="str">
        <x:v>Полная исходная страница + независимая химическая проверка + аудит DOCX.</x:v>
      </x:c>
      <x:c r="R6741" s="30" t="str">
        <x:v>25</x:v>
      </x:c>
      <x:c r="S6741" s="30"/>
      <x:c r="T6741" s="30"/>
      <x:c r="U6741" s="30" t="str">
        <x:v>Расхождений не выявлено.</x:v>
      </x:c>
      <x:c r="V6741" s="87" t="str">
        <x:v>VERIFIED</x:v>
      </x:c>
      <x:c r="W6741" s="87"/>
      <x:c r="X6741" s="87" t="n">
        <x:v>6</x:v>
      </x:c>
      <x:c r="Y6741" s="87"/>
      <x:c r="Z6741" s="87"/>
      <x:c r="AA6741" s="87"/>
      <x:c r="AB6741" s="87"/>
      <x:c r="AC6741" s="87" t="str">
        <x:v>VIS-EGKR-CHEM-S26-TASK-956-P006</x:v>
      </x:c>
      <x:c r="AD6741" s="87" t="str">
        <x:v>VIS-EGKR-CHEM-S26-ANSWERDOC-P003</x:v>
      </x:c>
      <x:c r="AE6741" s="87" t="str">
        <x:v>TASK; SECONDARY_ANSWER_SOURCE</x:v>
      </x:c>
      <x:c r="AF6741" s="87" t="str">
        <x:v>VIS-EGKR-CHEM-S26-TASK-956-P006: 6; VIS-EGKR-CHEM-S26-ANSWERDOC-P003: 3</x:v>
      </x:c>
      <x:c r="AG6741" s="87" t="str">
        <x:v>RESOLVED</x:v>
      </x:c>
      <x:c r="AH6741" s="87" t="str">
        <x:v>CROP_VERIFIED</x:v>
      </x:c>
      <x:c r="AI6741" s="30"/>
      <x:c r="AJ6741" s="87" t="str">
        <x:v>clean</x:v>
      </x:c>
      <x:c r="AK6741" s="87" t="str">
        <x:v>clean-v0.27</x:v>
      </x:c>
      <x:c r="AL6741" s="87" t="str">
        <x:v>statgrad_clean_continuation_v0_27(1).xlsx</x:v>
      </x:c>
      <x:c r="AM6741" s="87" t="str">
        <x:v>CHEM_EGKR_S26_956</x:v>
      </x:c>
      <x:c r="AN6741" s="87" t="n">
        <x:v>14</x:v>
      </x:c>
    </x:row>
    <x:row r="6742">
      <x:c r="A6742" s="87" t="n">
        <x:v>6741</x:v>
      </x:c>
      <x:c r="B6742" s="87" t="str">
        <x:v>EGKR-S26-CHEM-956-14</x:v>
      </x:c>
      <x:c r="C6742" s="87" t="str">
        <x:v>ЕГКР</x:v>
      </x:c>
      <x:c r="D6742" s="87"/>
      <x:c r="E6742" s="87" t="str">
        <x:v>Весна 2026</x:v>
      </x:c>
      <x:c r="F6742" s="87" t="str">
        <x:v>16.04.2026</x:v>
      </x:c>
      <x:c r="G6742" s="87" t="str">
        <x:v>Химия</x:v>
      </x:c>
      <x:c r="H6742" s="87" t="n">
        <x:v>11</x:v>
      </x:c>
      <x:c r="I6742" s="87"/>
      <x:c r="J6742" s="87" t="str">
        <x:v>956</x:v>
      </x:c>
      <x:c r="K6742" s="87" t="n">
        <x:v>14</x:v>
      </x:c>
      <x:c r="L6742" s="87" t="str">
        <x:v>Органические превращения</x:v>
      </x:c>
      <x:c r="M6742" s="30" t="str">
        <x:v>Задание линии 14: Органические превращения. Полная формулировка и все таблицы/формулы сохранены на странице по VIS_ID.</x:v>
      </x:c>
      <x:c r="N6742" s="30" t="str">
        <x:v>2645</x:v>
      </x:c>
      <x:c r="O6742" s="30" t="str">
        <x:v>Ответ проверен по исходной формулировке и химическим закономерностям.</x:v>
      </x:c>
      <x:c r="P6742" s="30"/>
      <x:c r="Q6742" s="30" t="str">
        <x:v>Полная исходная страница + независимая химическая проверка + аудит DOCX.</x:v>
      </x:c>
      <x:c r="R6742" s="30" t="str">
        <x:v>2645</x:v>
      </x:c>
      <x:c r="S6742" s="30"/>
      <x:c r="T6742" s="30"/>
      <x:c r="U6742" s="30" t="str">
        <x:v>Расхождений не выявлено.</x:v>
      </x:c>
      <x:c r="V6742" s="87" t="str">
        <x:v>VERIFIED</x:v>
      </x:c>
      <x:c r="W6742" s="87"/>
      <x:c r="X6742" s="87" t="n">
        <x:v>7</x:v>
      </x:c>
      <x:c r="Y6742" s="87"/>
      <x:c r="Z6742" s="87"/>
      <x:c r="AA6742" s="87"/>
      <x:c r="AB6742" s="87"/>
      <x:c r="AC6742" s="87" t="str">
        <x:v>VIS-EGKR-CHEM-S26-TASK-956-P007</x:v>
      </x:c>
      <x:c r="AD6742" s="87" t="str">
        <x:v>VIS-EGKR-CHEM-S26-ANSWERDOC-P003</x:v>
      </x:c>
      <x:c r="AE6742" s="87" t="str">
        <x:v>TASK; SECONDARY_ANSWER_SOURCE</x:v>
      </x:c>
      <x:c r="AF6742" s="87" t="str">
        <x:v>VIS-EGKR-CHEM-S26-TASK-956-P007: 7; VIS-EGKR-CHEM-S26-ANSWERDOC-P003: 3</x:v>
      </x:c>
      <x:c r="AG6742" s="87" t="str">
        <x:v>RESOLVED</x:v>
      </x:c>
      <x:c r="AH6742" s="87" t="str">
        <x:v>CROP_VERIFIED</x:v>
      </x:c>
      <x:c r="AI6742" s="30"/>
      <x:c r="AJ6742" s="87" t="str">
        <x:v>clean</x:v>
      </x:c>
      <x:c r="AK6742" s="87" t="str">
        <x:v>clean-v0.27</x:v>
      </x:c>
      <x:c r="AL6742" s="87" t="str">
        <x:v>statgrad_clean_continuation_v0_27(1).xlsx</x:v>
      </x:c>
      <x:c r="AM6742" s="87" t="str">
        <x:v>CHEM_EGKR_S26_956</x:v>
      </x:c>
      <x:c r="AN6742" s="87" t="n">
        <x:v>15</x:v>
      </x:c>
    </x:row>
    <x:row r="6743">
      <x:c r="A6743" s="87" t="n">
        <x:v>6742</x:v>
      </x:c>
      <x:c r="B6743" s="87" t="str">
        <x:v>EGKR-S26-CHEM-956-15</x:v>
      </x:c>
      <x:c r="C6743" s="87" t="str">
        <x:v>ЕГКР</x:v>
      </x:c>
      <x:c r="D6743" s="87"/>
      <x:c r="E6743" s="87" t="str">
        <x:v>Весна 2026</x:v>
      </x:c>
      <x:c r="F6743" s="87" t="str">
        <x:v>16.04.2026</x:v>
      </x:c>
      <x:c r="G6743" s="87" t="str">
        <x:v>Химия</x:v>
      </x:c>
      <x:c r="H6743" s="87" t="n">
        <x:v>11</x:v>
      </x:c>
      <x:c r="I6743" s="87"/>
      <x:c r="J6743" s="87" t="str">
        <x:v>956</x:v>
      </x:c>
      <x:c r="K6743" s="87" t="n">
        <x:v>15</x:v>
      </x:c>
      <x:c r="L6743" s="87" t="str">
        <x:v>Органические превращения / гидролиз</x:v>
      </x:c>
      <x:c r="M6743" s="30" t="str">
        <x:v>Задание линии 15: Органические превращения / гидролиз. Полная формулировка и все таблицы/формулы сохранены на странице по VIS_ID.</x:v>
      </x:c>
      <x:c r="N6743" s="30" t="str">
        <x:v>3154</x:v>
      </x:c>
      <x:c r="O6743" s="30" t="str">
        <x:v>Ответ сохранён из внутреннего ключа без повышения до VERIFIED.</x:v>
      </x:c>
      <x:c r="P6743" s="30"/>
      <x:c r="Q6743" s="30" t="str">
        <x:v>Полная исходная страница + независимая химическая проверка + аудит DOCX.</x:v>
      </x:c>
      <x:c r="R6743" s="30" t="str">
        <x:v>3154</x:v>
      </x:c>
      <x:c r="S6743" s="30"/>
      <x:c r="T6743" s="30"/>
      <x:c r="U6743" s="30" t="str">
        <x:v>На странице утрачены части структурных формул и присутствуют несогласованные названия продуктов; 3154 сохранено как SOURCE_ONLY.</x:v>
      </x:c>
      <x:c r="V6743" s="87" t="str">
        <x:v>SOURCE_ONLY</x:v>
      </x:c>
      <x:c r="W6743" s="87"/>
      <x:c r="X6743" s="87" t="n">
        <x:v>8</x:v>
      </x:c>
      <x:c r="Y6743" s="87"/>
      <x:c r="Z6743" s="87"/>
      <x:c r="AA6743" s="87"/>
      <x:c r="AB6743" s="87"/>
      <x:c r="AC6743" s="87" t="str">
        <x:v>VIS-EGKR-CHEM-S26-TASK-956-P008</x:v>
      </x:c>
      <x:c r="AD6743" s="87" t="str">
        <x:v>VIS-EGKR-CHEM-S26-ANSWERDOC-P003</x:v>
      </x:c>
      <x:c r="AE6743" s="87" t="str">
        <x:v>TASK; SECONDARY_ANSWER_SOURCE</x:v>
      </x:c>
      <x:c r="AF6743" s="87" t="str">
        <x:v>VIS-EGKR-CHEM-S26-TASK-956-P008: 8; VIS-EGKR-CHEM-S26-ANSWERDOC-P003: 3</x:v>
      </x:c>
      <x:c r="AG6743" s="87" t="str">
        <x:v>RESOLVED</x:v>
      </x:c>
      <x:c r="AH6743" s="87" t="str">
        <x:v>CROP_VERIFIED</x:v>
      </x:c>
      <x:c r="AI6743" s="30"/>
      <x:c r="AJ6743" s="87" t="str">
        <x:v>clean</x:v>
      </x:c>
      <x:c r="AK6743" s="87" t="str">
        <x:v>clean-v0.27</x:v>
      </x:c>
      <x:c r="AL6743" s="87" t="str">
        <x:v>statgrad_clean_continuation_v0_27(1).xlsx</x:v>
      </x:c>
      <x:c r="AM6743" s="87" t="str">
        <x:v>CHEM_EGKR_S26_956</x:v>
      </x:c>
      <x:c r="AN6743" s="87" t="n">
        <x:v>16</x:v>
      </x:c>
    </x:row>
    <x:row r="6744">
      <x:c r="A6744" s="87" t="n">
        <x:v>6743</x:v>
      </x:c>
      <x:c r="B6744" s="87" t="str">
        <x:v>EGKR-S26-CHEM-956-16</x:v>
      </x:c>
      <x:c r="C6744" s="87" t="str">
        <x:v>ЕГКР</x:v>
      </x:c>
      <x:c r="D6744" s="87"/>
      <x:c r="E6744" s="87" t="str">
        <x:v>Весна 2026</x:v>
      </x:c>
      <x:c r="F6744" s="87" t="str">
        <x:v>16.04.2026</x:v>
      </x:c>
      <x:c r="G6744" s="87" t="str">
        <x:v>Химия</x:v>
      </x:c>
      <x:c r="H6744" s="87" t="n">
        <x:v>11</x:v>
      </x:c>
      <x:c r="I6744" s="87"/>
      <x:c r="J6744" s="87" t="str">
        <x:v>956</x:v>
      </x:c>
      <x:c r="K6744" s="87" t="n">
        <x:v>16</x:v>
      </x:c>
      <x:c r="L6744" s="87" t="str">
        <x:v>Цепочка органических превращений</x:v>
      </x:c>
      <x:c r="M6744" s="30" t="str">
        <x:v>Задание линии 16: Цепочка органических превращений. Полная формулировка и все таблицы/формулы сохранены на странице по VIS_ID.</x:v>
      </x:c>
      <x:c r="N6744" s="30" t="str">
        <x:v>12</x:v>
      </x:c>
      <x:c r="O6744" s="30" t="str">
        <x:v>Ответ проверен по исходной формулировке и химическим закономерностям.</x:v>
      </x:c>
      <x:c r="P6744" s="30"/>
      <x:c r="Q6744" s="30" t="str">
        <x:v>Полная исходная страница + независимая химическая проверка + аудит DOCX.</x:v>
      </x:c>
      <x:c r="R6744" s="30" t="str">
        <x:v>21</x:v>
      </x:c>
      <x:c r="S6744" s="30"/>
      <x:c r="T6744" s="30"/>
      <x:c r="U6744" s="30" t="str">
        <x:v>Этанол окисляют до уксусной кислоты (1), затем получают ацетат кальция (2), который даёт ацетон.</x:v>
      </x:c>
      <x:c r="V6744" s="87" t="str">
        <x:v>KEY_MISMATCH</x:v>
      </x:c>
      <x:c r="W6744" s="87"/>
      <x:c r="X6744" s="87" t="n">
        <x:v>8</x:v>
      </x:c>
      <x:c r="Y6744" s="87"/>
      <x:c r="Z6744" s="87"/>
      <x:c r="AA6744" s="87"/>
      <x:c r="AB6744" s="87"/>
      <x:c r="AC6744" s="87" t="str">
        <x:v>VIS-EGKR-CHEM-S26-TASK-956-P008</x:v>
      </x:c>
      <x:c r="AD6744" s="87" t="str">
        <x:v>VIS-EGKR-CHEM-S26-ANSWERDOC-P003</x:v>
      </x:c>
      <x:c r="AE6744" s="87" t="str">
        <x:v>TASK; SECONDARY_ANSWER_SOURCE</x:v>
      </x:c>
      <x:c r="AF6744" s="87" t="str">
        <x:v>VIS-EGKR-CHEM-S26-TASK-956-P008: 8; VIS-EGKR-CHEM-S26-ANSWERDOC-P003: 3</x:v>
      </x:c>
      <x:c r="AG6744" s="87" t="str">
        <x:v>RESOLVED</x:v>
      </x:c>
      <x:c r="AH6744" s="87" t="str">
        <x:v>CROP_VERIFIED</x:v>
      </x:c>
      <x:c r="AI6744" s="30"/>
      <x:c r="AJ6744" s="87" t="str">
        <x:v>clean</x:v>
      </x:c>
      <x:c r="AK6744" s="87" t="str">
        <x:v>clean-v0.27</x:v>
      </x:c>
      <x:c r="AL6744" s="87" t="str">
        <x:v>statgrad_clean_continuation_v0_27(1).xlsx</x:v>
      </x:c>
      <x:c r="AM6744" s="87" t="str">
        <x:v>CHEM_EGKR_S26_956</x:v>
      </x:c>
      <x:c r="AN6744" s="87" t="n">
        <x:v>17</x:v>
      </x:c>
    </x:row>
    <x:row r="6745">
      <x:c r="A6745" s="87" t="n">
        <x:v>6744</x:v>
      </x:c>
      <x:c r="B6745" s="87" t="str">
        <x:v>EGKR-S26-CHEM-956-17</x:v>
      </x:c>
      <x:c r="C6745" s="87" t="str">
        <x:v>ЕГКР</x:v>
      </x:c>
      <x:c r="D6745" s="87"/>
      <x:c r="E6745" s="87" t="str">
        <x:v>Весна 2026</x:v>
      </x:c>
      <x:c r="F6745" s="87" t="str">
        <x:v>16.04.2026</x:v>
      </x:c>
      <x:c r="G6745" s="87" t="str">
        <x:v>Химия</x:v>
      </x:c>
      <x:c r="H6745" s="87" t="n">
        <x:v>11</x:v>
      </x:c>
      <x:c r="I6745" s="87"/>
      <x:c r="J6745" s="87" t="str">
        <x:v>956</x:v>
      </x:c>
      <x:c r="K6745" s="87" t="n">
        <x:v>17</x:v>
      </x:c>
      <x:c r="L6745" s="87" t="str">
        <x:v>Классификация химических реакций</x:v>
      </x:c>
      <x:c r="M6745" s="30" t="str">
        <x:v>Задание линии 17: Классификация химических реакций. Полная формулировка и все таблицы/формулы сохранены на странице по VIS_ID.</x:v>
      </x:c>
      <x:c r="N6745" s="30" t="str">
        <x:v>341</x:v>
      </x:c>
      <x:c r="O6745" s="30" t="str">
        <x:v>Ответ проверен по исходной формулировке и химическим закономерностям.</x:v>
      </x:c>
      <x:c r="P6745" s="30"/>
      <x:c r="Q6745" s="30" t="str">
        <x:v>Полная исходная страница + независимая химическая проверка + аудит DOCX.</x:v>
      </x:c>
      <x:c r="R6745" s="30" t="str">
        <x:v>234</x:v>
      </x:c>
      <x:c r="S6745" s="30"/>
      <x:c r="T6745" s="30"/>
      <x:c r="U6745" s="30" t="str">
        <x:v>Обмен необратимый — 3; соединение каталитическое — 4; замещение гетерогенное — 1.</x:v>
      </x:c>
      <x:c r="V6745" s="87" t="str">
        <x:v>KEY_MISMATCH</x:v>
      </x:c>
      <x:c r="W6745" s="87"/>
      <x:c r="X6745" s="87" t="n">
        <x:v>9</x:v>
      </x:c>
      <x:c r="Y6745" s="87"/>
      <x:c r="Z6745" s="87"/>
      <x:c r="AA6745" s="87"/>
      <x:c r="AB6745" s="87"/>
      <x:c r="AC6745" s="87" t="str">
        <x:v>VIS-EGKR-CHEM-S26-TASK-956-P009</x:v>
      </x:c>
      <x:c r="AD6745" s="87" t="str">
        <x:v>VIS-EGKR-CHEM-S26-ANSWERDOC-P003</x:v>
      </x:c>
      <x:c r="AE6745" s="87" t="str">
        <x:v>TASK; SECONDARY_ANSWER_SOURCE</x:v>
      </x:c>
      <x:c r="AF6745" s="87" t="str">
        <x:v>VIS-EGKR-CHEM-S26-TASK-956-P009: 9; VIS-EGKR-CHEM-S26-ANSWERDOC-P003: 3</x:v>
      </x:c>
      <x:c r="AG6745" s="87" t="str">
        <x:v>RESOLVED</x:v>
      </x:c>
      <x:c r="AH6745" s="87" t="str">
        <x:v>CROP_VERIFIED</x:v>
      </x:c>
      <x:c r="AI6745" s="30"/>
      <x:c r="AJ6745" s="87" t="str">
        <x:v>clean</x:v>
      </x:c>
      <x:c r="AK6745" s="87" t="str">
        <x:v>clean-v0.27</x:v>
      </x:c>
      <x:c r="AL6745" s="87" t="str">
        <x:v>statgrad_clean_continuation_v0_27(1).xlsx</x:v>
      </x:c>
      <x:c r="AM6745" s="87" t="str">
        <x:v>CHEM_EGKR_S26_956</x:v>
      </x:c>
      <x:c r="AN6745" s="87" t="n">
        <x:v>18</x:v>
      </x:c>
    </x:row>
    <x:row r="6746">
      <x:c r="A6746" s="87" t="n">
        <x:v>6745</x:v>
      </x:c>
      <x:c r="B6746" s="87" t="str">
        <x:v>EGKR-S26-CHEM-956-18</x:v>
      </x:c>
      <x:c r="C6746" s="87" t="str">
        <x:v>ЕГКР</x:v>
      </x:c>
      <x:c r="D6746" s="87"/>
      <x:c r="E6746" s="87" t="str">
        <x:v>Весна 2026</x:v>
      </x:c>
      <x:c r="F6746" s="87" t="str">
        <x:v>16.04.2026</x:v>
      </x:c>
      <x:c r="G6746" s="87" t="str">
        <x:v>Химия</x:v>
      </x:c>
      <x:c r="H6746" s="87" t="n">
        <x:v>11</x:v>
      </x:c>
      <x:c r="I6746" s="87"/>
      <x:c r="J6746" s="87" t="str">
        <x:v>956</x:v>
      </x:c>
      <x:c r="K6746" s="87" t="n">
        <x:v>18</x:v>
      </x:c>
      <x:c r="L6746" s="87" t="str">
        <x:v>Скорость химической реакции</x:v>
      </x:c>
      <x:c r="M6746" s="30" t="str">
        <x:v>Задание линии 18: Скорость химической реакции. Полная формулировка и все таблицы/формулы сохранены на странице по VIS_ID.</x:v>
      </x:c>
      <x:c r="N6746" s="30" t="str">
        <x:v>24</x:v>
      </x:c>
      <x:c r="O6746" s="30" t="str">
        <x:v>Ответ проверен по исходной формулировке и химическим закономерностям.</x:v>
      </x:c>
      <x:c r="P6746" s="30"/>
      <x:c r="Q6746" s="30" t="str">
        <x:v>Полная исходная страница + независимая химическая проверка + аудит DOCX.</x:v>
      </x:c>
      <x:c r="R6746" s="30" t="str">
        <x:v>24</x:v>
      </x:c>
      <x:c r="S6746" s="30"/>
      <x:c r="T6746" s="30"/>
      <x:c r="U6746" s="30" t="str">
        <x:v>Расхождений не выявлено.</x:v>
      </x:c>
      <x:c r="V6746" s="87" t="str">
        <x:v>VERIFIED</x:v>
      </x:c>
      <x:c r="W6746" s="87"/>
      <x:c r="X6746" s="87" t="n">
        <x:v>9</x:v>
      </x:c>
      <x:c r="Y6746" s="87"/>
      <x:c r="Z6746" s="87"/>
      <x:c r="AA6746" s="87"/>
      <x:c r="AB6746" s="87"/>
      <x:c r="AC6746" s="87" t="str">
        <x:v>VIS-EGKR-CHEM-S26-TASK-956-P009</x:v>
      </x:c>
      <x:c r="AD6746" s="87" t="str">
        <x:v>VIS-EGKR-CHEM-S26-ANSWERDOC-P003</x:v>
      </x:c>
      <x:c r="AE6746" s="87" t="str">
        <x:v>TASK; SECONDARY_ANSWER_SOURCE</x:v>
      </x:c>
      <x:c r="AF6746" s="87" t="str">
        <x:v>VIS-EGKR-CHEM-S26-TASK-956-P009: 9; VIS-EGKR-CHEM-S26-ANSWERDOC-P003: 3</x:v>
      </x:c>
      <x:c r="AG6746" s="87" t="str">
        <x:v>RESOLVED</x:v>
      </x:c>
      <x:c r="AH6746" s="87" t="str">
        <x:v>CROP_VERIFIED</x:v>
      </x:c>
      <x:c r="AI6746" s="30"/>
      <x:c r="AJ6746" s="87" t="str">
        <x:v>clean</x:v>
      </x:c>
      <x:c r="AK6746" s="87" t="str">
        <x:v>clean-v0.27</x:v>
      </x:c>
      <x:c r="AL6746" s="87" t="str">
        <x:v>statgrad_clean_continuation_v0_27(1).xlsx</x:v>
      </x:c>
      <x:c r="AM6746" s="87" t="str">
        <x:v>CHEM_EGKR_S26_956</x:v>
      </x:c>
      <x:c r="AN6746" s="87" t="n">
        <x:v>19</x:v>
      </x:c>
    </x:row>
    <x:row r="6747">
      <x:c r="A6747" s="87" t="n">
        <x:v>6746</x:v>
      </x:c>
      <x:c r="B6747" s="87" t="str">
        <x:v>EGKR-S26-CHEM-956-19</x:v>
      </x:c>
      <x:c r="C6747" s="87" t="str">
        <x:v>ЕГКР</x:v>
      </x:c>
      <x:c r="D6747" s="87"/>
      <x:c r="E6747" s="87" t="str">
        <x:v>Весна 2026</x:v>
      </x:c>
      <x:c r="F6747" s="87" t="str">
        <x:v>16.04.2026</x:v>
      </x:c>
      <x:c r="G6747" s="87" t="str">
        <x:v>Химия</x:v>
      </x:c>
      <x:c r="H6747" s="87" t="n">
        <x:v>11</x:v>
      </x:c>
      <x:c r="I6747" s="87"/>
      <x:c r="J6747" s="87" t="str">
        <x:v>956</x:v>
      </x:c>
      <x:c r="K6747" s="87" t="n">
        <x:v>19</x:v>
      </x:c>
      <x:c r="L6747" s="87" t="str">
        <x:v>Окислитель и изменение степени окисления</x:v>
      </x:c>
      <x:c r="M6747" s="30" t="str">
        <x:v>Задание линии 19: Окислитель и изменение степени окисления. Полная формулировка и все таблицы/формулы сохранены на странице по VIS_ID.</x:v>
      </x:c>
      <x:c r="N6747" s="30" t="str">
        <x:v>324</x:v>
      </x:c>
      <x:c r="O6747" s="30" t="str">
        <x:v>Ответ проверен по исходной формулировке и химическим закономерностям.</x:v>
      </x:c>
      <x:c r="P6747" s="30"/>
      <x:c r="Q6747" s="30" t="str">
        <x:v>Полная исходная страница + независимая химическая проверка + аудит DOCX.</x:v>
      </x:c>
      <x:c r="R6747" s="30" t="str">
        <x:v>324</x:v>
      </x:c>
      <x:c r="S6747" s="30"/>
      <x:c r="T6747" s="30"/>
      <x:c r="U6747" s="30" t="str">
        <x:v>Расхождений не выявлено.</x:v>
      </x:c>
      <x:c r="V6747" s="87" t="str">
        <x:v>VERIFIED</x:v>
      </x:c>
      <x:c r="W6747" s="87"/>
      <x:c r="X6747" s="87" t="n">
        <x:v>9</x:v>
      </x:c>
      <x:c r="Y6747" s="87"/>
      <x:c r="Z6747" s="87"/>
      <x:c r="AA6747" s="87"/>
      <x:c r="AB6747" s="87"/>
      <x:c r="AC6747" s="87" t="str">
        <x:v>VIS-EGKR-CHEM-S26-TASK-956-P009</x:v>
      </x:c>
      <x:c r="AD6747" s="87" t="str">
        <x:v>VIS-EGKR-CHEM-S26-ANSWERDOC-P003</x:v>
      </x:c>
      <x:c r="AE6747" s="87" t="str">
        <x:v>TASK; SECONDARY_ANSWER_SOURCE</x:v>
      </x:c>
      <x:c r="AF6747" s="87" t="str">
        <x:v>VIS-EGKR-CHEM-S26-TASK-956-P009: 9; VIS-EGKR-CHEM-S26-ANSWERDOC-P003: 3</x:v>
      </x:c>
      <x:c r="AG6747" s="87" t="str">
        <x:v>RESOLVED</x:v>
      </x:c>
      <x:c r="AH6747" s="87" t="str">
        <x:v>CROP_VERIFIED</x:v>
      </x:c>
      <x:c r="AI6747" s="30"/>
      <x:c r="AJ6747" s="87" t="str">
        <x:v>clean</x:v>
      </x:c>
      <x:c r="AK6747" s="87" t="str">
        <x:v>clean-v0.27</x:v>
      </x:c>
      <x:c r="AL6747" s="87" t="str">
        <x:v>statgrad_clean_continuation_v0_27(1).xlsx</x:v>
      </x:c>
      <x:c r="AM6747" s="87" t="str">
        <x:v>CHEM_EGKR_S26_956</x:v>
      </x:c>
      <x:c r="AN6747" s="87" t="n">
        <x:v>20</x:v>
      </x:c>
    </x:row>
    <x:row r="6748">
      <x:c r="A6748" s="87" t="n">
        <x:v>6747</x:v>
      </x:c>
      <x:c r="B6748" s="87" t="str">
        <x:v>EGKR-S26-CHEM-956-20</x:v>
      </x:c>
      <x:c r="C6748" s="87" t="str">
        <x:v>ЕГКР</x:v>
      </x:c>
      <x:c r="D6748" s="87"/>
      <x:c r="E6748" s="87" t="str">
        <x:v>Весна 2026</x:v>
      </x:c>
      <x:c r="F6748" s="87" t="str">
        <x:v>16.04.2026</x:v>
      </x:c>
      <x:c r="G6748" s="87" t="str">
        <x:v>Химия</x:v>
      </x:c>
      <x:c r="H6748" s="87" t="n">
        <x:v>11</x:v>
      </x:c>
      <x:c r="I6748" s="87"/>
      <x:c r="J6748" s="87" t="str">
        <x:v>956</x:v>
      </x:c>
      <x:c r="K6748" s="87" t="n">
        <x:v>20</x:v>
      </x:c>
      <x:c r="L6748" s="87" t="str">
        <x:v>Электролиз</x:v>
      </x:c>
      <x:c r="M6748" s="30" t="str">
        <x:v>Задание линии 20: Электролиз. Полная формулировка и все таблицы/формулы сохранены на странице по VIS_ID.</x:v>
      </x:c>
      <x:c r="N6748" s="30" t="str">
        <x:v>342</x:v>
      </x:c>
      <x:c r="O6748" s="30" t="str">
        <x:v>Ответ проверен по исходной формулировке и химическим закономерностям.</x:v>
      </x:c>
      <x:c r="P6748" s="30"/>
      <x:c r="Q6748" s="30" t="str">
        <x:v>Полная исходная страница + независимая химическая проверка + аудит DOCX.</x:v>
      </x:c>
      <x:c r="R6748" s="30" t="str">
        <x:v>342</x:v>
      </x:c>
      <x:c r="S6748" s="30"/>
      <x:c r="T6748" s="30"/>
      <x:c r="U6748" s="30" t="str">
        <x:v>Расхождений не выявлено.</x:v>
      </x:c>
      <x:c r="V6748" s="87" t="str">
        <x:v>VERIFIED</x:v>
      </x:c>
      <x:c r="W6748" s="87"/>
      <x:c r="X6748" s="87" t="n">
        <x:v>10</x:v>
      </x:c>
      <x:c r="Y6748" s="87"/>
      <x:c r="Z6748" s="87"/>
      <x:c r="AA6748" s="87"/>
      <x:c r="AB6748" s="87"/>
      <x:c r="AC6748" s="87" t="str">
        <x:v>VIS-EGKR-CHEM-S26-TASK-956-P010</x:v>
      </x:c>
      <x:c r="AD6748" s="87" t="str">
        <x:v>VIS-EGKR-CHEM-S26-ANSWERDOC-P003</x:v>
      </x:c>
      <x:c r="AE6748" s="87" t="str">
        <x:v>TASK; SECONDARY_ANSWER_SOURCE</x:v>
      </x:c>
      <x:c r="AF6748" s="87" t="str">
        <x:v>VIS-EGKR-CHEM-S26-TASK-956-P010: 10; VIS-EGKR-CHEM-S26-ANSWERDOC-P003: 3</x:v>
      </x:c>
      <x:c r="AG6748" s="87" t="str">
        <x:v>RESOLVED</x:v>
      </x:c>
      <x:c r="AH6748" s="87" t="str">
        <x:v>CROP_VERIFIED</x:v>
      </x:c>
      <x:c r="AI6748" s="30"/>
      <x:c r="AJ6748" s="87" t="str">
        <x:v>clean</x:v>
      </x:c>
      <x:c r="AK6748" s="87" t="str">
        <x:v>clean-v0.27</x:v>
      </x:c>
      <x:c r="AL6748" s="87" t="str">
        <x:v>statgrad_clean_continuation_v0_27(1).xlsx</x:v>
      </x:c>
      <x:c r="AM6748" s="87" t="str">
        <x:v>CHEM_EGKR_S26_956</x:v>
      </x:c>
      <x:c r="AN6748" s="87" t="n">
        <x:v>21</x:v>
      </x:c>
    </x:row>
    <x:row r="6749">
      <x:c r="A6749" s="87" t="n">
        <x:v>6748</x:v>
      </x:c>
      <x:c r="B6749" s="87" t="str">
        <x:v>EGKR-S26-CHEM-956-21</x:v>
      </x:c>
      <x:c r="C6749" s="87" t="str">
        <x:v>ЕГКР</x:v>
      </x:c>
      <x:c r="D6749" s="87"/>
      <x:c r="E6749" s="87" t="str">
        <x:v>Весна 2026</x:v>
      </x:c>
      <x:c r="F6749" s="87" t="str">
        <x:v>16.04.2026</x:v>
      </x:c>
      <x:c r="G6749" s="87" t="str">
        <x:v>Химия</x:v>
      </x:c>
      <x:c r="H6749" s="87" t="n">
        <x:v>11</x:v>
      </x:c>
      <x:c r="I6749" s="87"/>
      <x:c r="J6749" s="87" t="str">
        <x:v>956</x:v>
      </x:c>
      <x:c r="K6749" s="87" t="n">
        <x:v>21</x:v>
      </x:c>
      <x:c r="L6749" s="87" t="str">
        <x:v>Среда растворов и pH</x:v>
      </x:c>
      <x:c r="M6749" s="30" t="str">
        <x:v>Задание линии 21: Среда растворов и pH. Полная формулировка и все таблицы/формулы сохранены на странице по VIS_ID.</x:v>
      </x:c>
      <x:c r="N6749" s="30" t="str">
        <x:v>4312</x:v>
      </x:c>
      <x:c r="O6749" s="30" t="str">
        <x:v>Ответ проверен по исходной формулировке и химическим закономерностям.</x:v>
      </x:c>
      <x:c r="P6749" s="30"/>
      <x:c r="Q6749" s="30" t="str">
        <x:v>Полная исходная страница + независимая химическая проверка + аудит DOCX.</x:v>
      </x:c>
      <x:c r="R6749" s="30" t="str">
        <x:v>4321</x:v>
      </x:c>
      <x:c r="S6749" s="30"/>
      <x:c r="T6749" s="30"/>
      <x:c r="U6749" s="30" t="str">
        <x:v>KHCO3 имеет щелочную среду, Na2SO4 слабощелочную, KBr нейтральную, Cu(NO3)2 кислую: 4312.</x:v>
      </x:c>
      <x:c r="V6749" s="87" t="str">
        <x:v>KEY_MISMATCH</x:v>
      </x:c>
      <x:c r="W6749" s="87"/>
      <x:c r="X6749" s="87" t="n">
        <x:v>10</x:v>
      </x:c>
      <x:c r="Y6749" s="87"/>
      <x:c r="Z6749" s="87"/>
      <x:c r="AA6749" s="87"/>
      <x:c r="AB6749" s="87"/>
      <x:c r="AC6749" s="87" t="str">
        <x:v>VIS-EGKR-CHEM-S26-TASK-956-P010</x:v>
      </x:c>
      <x:c r="AD6749" s="87" t="str">
        <x:v>VIS-EGKR-CHEM-S26-ANSWERDOC-P003</x:v>
      </x:c>
      <x:c r="AE6749" s="87" t="str">
        <x:v>TASK; SECONDARY_ANSWER_SOURCE</x:v>
      </x:c>
      <x:c r="AF6749" s="87" t="str">
        <x:v>VIS-EGKR-CHEM-S26-TASK-956-P010: 10; VIS-EGKR-CHEM-S26-ANSWERDOC-P003: 3</x:v>
      </x:c>
      <x:c r="AG6749" s="87" t="str">
        <x:v>RESOLVED</x:v>
      </x:c>
      <x:c r="AH6749" s="87" t="str">
        <x:v>CROP_VERIFIED</x:v>
      </x:c>
      <x:c r="AI6749" s="30"/>
      <x:c r="AJ6749" s="87" t="str">
        <x:v>clean</x:v>
      </x:c>
      <x:c r="AK6749" s="87" t="str">
        <x:v>clean-v0.27</x:v>
      </x:c>
      <x:c r="AL6749" s="87" t="str">
        <x:v>statgrad_clean_continuation_v0_27(1).xlsx</x:v>
      </x:c>
      <x:c r="AM6749" s="87" t="str">
        <x:v>CHEM_EGKR_S26_956</x:v>
      </x:c>
      <x:c r="AN6749" s="87" t="n">
        <x:v>22</x:v>
      </x:c>
    </x:row>
    <x:row r="6750">
      <x:c r="A6750" s="87" t="n">
        <x:v>6749</x:v>
      </x:c>
      <x:c r="B6750" s="87" t="str">
        <x:v>EGKR-S26-CHEM-956-22</x:v>
      </x:c>
      <x:c r="C6750" s="87" t="str">
        <x:v>ЕГКР</x:v>
      </x:c>
      <x:c r="D6750" s="87"/>
      <x:c r="E6750" s="87" t="str">
        <x:v>Весна 2026</x:v>
      </x:c>
      <x:c r="F6750" s="87" t="str">
        <x:v>16.04.2026</x:v>
      </x:c>
      <x:c r="G6750" s="87" t="str">
        <x:v>Химия</x:v>
      </x:c>
      <x:c r="H6750" s="87" t="n">
        <x:v>11</x:v>
      </x:c>
      <x:c r="I6750" s="87"/>
      <x:c r="J6750" s="87" t="str">
        <x:v>956</x:v>
      </x:c>
      <x:c r="K6750" s="87" t="n">
        <x:v>22</x:v>
      </x:c>
      <x:c r="L6750" s="87" t="str">
        <x:v>Химическое равновесие</x:v>
      </x:c>
      <x:c r="M6750" s="30" t="str">
        <x:v>Задание линии 22: Химическое равновесие. Полная формулировка и все таблицы/формулы сохранены на странице по VIS_ID.</x:v>
      </x:c>
      <x:c r="N6750" s="30" t="str">
        <x:v>1221</x:v>
      </x:c>
      <x:c r="O6750" s="30" t="str">
        <x:v>Ответ проверен по исходной формулировке и химическим закономерностям.</x:v>
      </x:c>
      <x:c r="P6750" s="30"/>
      <x:c r="Q6750" s="30" t="str">
        <x:v>Полная исходная страница + независимая химическая проверка + аудит DOCX.</x:v>
      </x:c>
      <x:c r="R6750" s="30" t="str">
        <x:v>1221</x:v>
      </x:c>
      <x:c r="S6750" s="30"/>
      <x:c r="T6750" s="30"/>
      <x:c r="U6750" s="30" t="str">
        <x:v>Расхождений не выявлено.</x:v>
      </x:c>
      <x:c r="V6750" s="87" t="str">
        <x:v>VERIFIED</x:v>
      </x:c>
      <x:c r="W6750" s="87"/>
      <x:c r="X6750" s="87" t="n">
        <x:v>10</x:v>
      </x:c>
      <x:c r="Y6750" s="87"/>
      <x:c r="Z6750" s="87"/>
      <x:c r="AA6750" s="87"/>
      <x:c r="AB6750" s="87"/>
      <x:c r="AC6750" s="87" t="str">
        <x:v>VIS-EGKR-CHEM-S26-TASK-956-P010</x:v>
      </x:c>
      <x:c r="AD6750" s="87" t="str">
        <x:v>VIS-EGKR-CHEM-S26-ANSWERDOC-P003</x:v>
      </x:c>
      <x:c r="AE6750" s="87" t="str">
        <x:v>TASK; SECONDARY_ANSWER_SOURCE</x:v>
      </x:c>
      <x:c r="AF6750" s="87" t="str">
        <x:v>VIS-EGKR-CHEM-S26-TASK-956-P010: 10; VIS-EGKR-CHEM-S26-ANSWERDOC-P003: 3</x:v>
      </x:c>
      <x:c r="AG6750" s="87" t="str">
        <x:v>RESOLVED</x:v>
      </x:c>
      <x:c r="AH6750" s="87" t="str">
        <x:v>CROP_VERIFIED</x:v>
      </x:c>
      <x:c r="AI6750" s="30"/>
      <x:c r="AJ6750" s="87" t="str">
        <x:v>clean</x:v>
      </x:c>
      <x:c r="AK6750" s="87" t="str">
        <x:v>clean-v0.27</x:v>
      </x:c>
      <x:c r="AL6750" s="87" t="str">
        <x:v>statgrad_clean_continuation_v0_27(1).xlsx</x:v>
      </x:c>
      <x:c r="AM6750" s="87" t="str">
        <x:v>CHEM_EGKR_S26_956</x:v>
      </x:c>
      <x:c r="AN6750" s="87" t="n">
        <x:v>23</x:v>
      </x:c>
    </x:row>
    <x:row r="6751">
      <x:c r="A6751" s="87" t="n">
        <x:v>6750</x:v>
      </x:c>
      <x:c r="B6751" s="87" t="str">
        <x:v>EGKR-S26-CHEM-956-23</x:v>
      </x:c>
      <x:c r="C6751" s="87" t="str">
        <x:v>ЕГКР</x:v>
      </x:c>
      <x:c r="D6751" s="87"/>
      <x:c r="E6751" s="87" t="str">
        <x:v>Весна 2026</x:v>
      </x:c>
      <x:c r="F6751" s="87" t="str">
        <x:v>16.04.2026</x:v>
      </x:c>
      <x:c r="G6751" s="87" t="str">
        <x:v>Химия</x:v>
      </x:c>
      <x:c r="H6751" s="87" t="n">
        <x:v>11</x:v>
      </x:c>
      <x:c r="I6751" s="87"/>
      <x:c r="J6751" s="87" t="str">
        <x:v>956</x:v>
      </x:c>
      <x:c r="K6751" s="87" t="n">
        <x:v>23</x:v>
      </x:c>
      <x:c r="L6751" s="87" t="str">
        <x:v>Расчёт равновесных концентраций</x:v>
      </x:c>
      <x:c r="M6751" s="30" t="str">
        <x:v>Задание линии 23: Расчёт равновесных концентраций. Полная формулировка и все таблицы/формулы сохранены на странице по VIS_ID.</x:v>
      </x:c>
      <x:c r="N6751" s="30" t="str">
        <x:v>26</x:v>
      </x:c>
      <x:c r="O6751" s="30" t="str">
        <x:v>Ответ проверен по исходной формулировке и химическим закономерностям.</x:v>
      </x:c>
      <x:c r="P6751" s="30"/>
      <x:c r="Q6751" s="30" t="str">
        <x:v>Полная исходная страница + независимая химическая проверка + аудит DOCX.</x:v>
      </x:c>
      <x:c r="R6751" s="30" t="str">
        <x:v>21</x:v>
      </x:c>
      <x:c r="S6751" s="30"/>
      <x:c r="T6751" s="30"/>
      <x:c r="U6751" s="30" t="str">
        <x:v>В тексте перепутаны названия исходных веществ и формула реакции. По восстановленной системе 2CH4+O2⇄2CO+4H2 ответ X=0,2, Y=0,8: 26.</x:v>
      </x:c>
      <x:c r="V6751" s="87" t="str">
        <x:v>TASK_DEFECT_RECOVERED</x:v>
      </x:c>
      <x:c r="W6751" s="87"/>
      <x:c r="X6751" s="87" t="n">
        <x:v>11</x:v>
      </x:c>
      <x:c r="Y6751" s="87"/>
      <x:c r="Z6751" s="87"/>
      <x:c r="AA6751" s="87"/>
      <x:c r="AB6751" s="87"/>
      <x:c r="AC6751" s="87" t="str">
        <x:v>VIS-EGKR-CHEM-S26-TASK-956-P011</x:v>
      </x:c>
      <x:c r="AD6751" s="87" t="str">
        <x:v>VIS-EGKR-CHEM-S26-ANSWERDOC-P003</x:v>
      </x:c>
      <x:c r="AE6751" s="87" t="str">
        <x:v>TASK; SECONDARY_ANSWER_SOURCE</x:v>
      </x:c>
      <x:c r="AF6751" s="87" t="str">
        <x:v>VIS-EGKR-CHEM-S26-TASK-956-P011: 11; VIS-EGKR-CHEM-S26-ANSWERDOC-P003: 3</x:v>
      </x:c>
      <x:c r="AG6751" s="87" t="str">
        <x:v>RESOLVED</x:v>
      </x:c>
      <x:c r="AH6751" s="87" t="str">
        <x:v>CROP_VERIFIED</x:v>
      </x:c>
      <x:c r="AI6751" s="30"/>
      <x:c r="AJ6751" s="87" t="str">
        <x:v>clean</x:v>
      </x:c>
      <x:c r="AK6751" s="87" t="str">
        <x:v>clean-v0.27</x:v>
      </x:c>
      <x:c r="AL6751" s="87" t="str">
        <x:v>statgrad_clean_continuation_v0_27(1).xlsx</x:v>
      </x:c>
      <x:c r="AM6751" s="87" t="str">
        <x:v>CHEM_EGKR_S26_956</x:v>
      </x:c>
      <x:c r="AN6751" s="87" t="n">
        <x:v>24</x:v>
      </x:c>
    </x:row>
    <x:row r="6752">
      <x:c r="A6752" s="87" t="n">
        <x:v>6751</x:v>
      </x:c>
      <x:c r="B6752" s="87" t="str">
        <x:v>EGKR-S26-CHEM-956-24</x:v>
      </x:c>
      <x:c r="C6752" s="87" t="str">
        <x:v>ЕГКР</x:v>
      </x:c>
      <x:c r="D6752" s="87"/>
      <x:c r="E6752" s="87" t="str">
        <x:v>Весна 2026</x:v>
      </x:c>
      <x:c r="F6752" s="87" t="str">
        <x:v>16.04.2026</x:v>
      </x:c>
      <x:c r="G6752" s="87" t="str">
        <x:v>Химия</x:v>
      </x:c>
      <x:c r="H6752" s="87" t="n">
        <x:v>11</x:v>
      </x:c>
      <x:c r="I6752" s="87"/>
      <x:c r="J6752" s="87" t="str">
        <x:v>956</x:v>
      </x:c>
      <x:c r="K6752" s="87" t="n">
        <x:v>24</x:v>
      </x:c>
      <x:c r="L6752" s="87" t="str">
        <x:v>Качественное различение веществ</x:v>
      </x:c>
      <x:c r="M6752" s="30" t="str">
        <x:v>Задание линии 24: Качественное различение веществ. Полная формулировка и все таблицы/формулы сохранены на странице по VIS_ID.</x:v>
      </x:c>
      <x:c r="N6752" s="30" t="str">
        <x:v>3424</x:v>
      </x:c>
      <x:c r="O6752" s="30" t="str">
        <x:v>Ответ проверен по исходной формулировке и химическим закономерностям.</x:v>
      </x:c>
      <x:c r="P6752" s="30"/>
      <x:c r="Q6752" s="30" t="str">
        <x:v>Полная исходная страница + независимая химическая проверка + аудит DOCX.</x:v>
      </x:c>
      <x:c r="R6752" s="30" t="str">
        <x:v>3424</x:v>
      </x:c>
      <x:c r="S6752" s="30"/>
      <x:c r="T6752" s="30"/>
      <x:c r="U6752" s="30" t="str">
        <x:v>Расхождений не выявлено.</x:v>
      </x:c>
      <x:c r="V6752" s="87" t="str">
        <x:v>VERIFIED</x:v>
      </x:c>
      <x:c r="W6752" s="87"/>
      <x:c r="X6752" s="87" t="n">
        <x:v>12</x:v>
      </x:c>
      <x:c r="Y6752" s="87"/>
      <x:c r="Z6752" s="87"/>
      <x:c r="AA6752" s="87"/>
      <x:c r="AB6752" s="87"/>
      <x:c r="AC6752" s="87" t="str">
        <x:v>VIS-EGKR-CHEM-S26-TASK-956-P012</x:v>
      </x:c>
      <x:c r="AD6752" s="87" t="str">
        <x:v>VIS-EGKR-CHEM-S26-ANSWERDOC-P003</x:v>
      </x:c>
      <x:c r="AE6752" s="87" t="str">
        <x:v>TASK; SECONDARY_ANSWER_SOURCE</x:v>
      </x:c>
      <x:c r="AF6752" s="87" t="str">
        <x:v>VIS-EGKR-CHEM-S26-TASK-956-P012: 12; VIS-EGKR-CHEM-S26-ANSWERDOC-P003: 3</x:v>
      </x:c>
      <x:c r="AG6752" s="87" t="str">
        <x:v>RESOLVED</x:v>
      </x:c>
      <x:c r="AH6752" s="87" t="str">
        <x:v>CROP_VERIFIED</x:v>
      </x:c>
      <x:c r="AI6752" s="30"/>
      <x:c r="AJ6752" s="87" t="str">
        <x:v>clean</x:v>
      </x:c>
      <x:c r="AK6752" s="87" t="str">
        <x:v>clean-v0.27</x:v>
      </x:c>
      <x:c r="AL6752" s="87" t="str">
        <x:v>statgrad_clean_continuation_v0_27(1).xlsx</x:v>
      </x:c>
      <x:c r="AM6752" s="87" t="str">
        <x:v>CHEM_EGKR_S26_956</x:v>
      </x:c>
      <x:c r="AN6752" s="87" t="n">
        <x:v>25</x:v>
      </x:c>
    </x:row>
    <x:row r="6753">
      <x:c r="A6753" s="87" t="n">
        <x:v>6752</x:v>
      </x:c>
      <x:c r="B6753" s="87" t="str">
        <x:v>EGKR-S26-CHEM-956-25</x:v>
      </x:c>
      <x:c r="C6753" s="87" t="str">
        <x:v>ЕГКР</x:v>
      </x:c>
      <x:c r="D6753" s="87"/>
      <x:c r="E6753" s="87" t="str">
        <x:v>Весна 2026</x:v>
      </x:c>
      <x:c r="F6753" s="87" t="str">
        <x:v>16.04.2026</x:v>
      </x:c>
      <x:c r="G6753" s="87" t="str">
        <x:v>Химия</x:v>
      </x:c>
      <x:c r="H6753" s="87" t="n">
        <x:v>11</x:v>
      </x:c>
      <x:c r="I6753" s="87"/>
      <x:c r="J6753" s="87" t="str">
        <x:v>956</x:v>
      </x:c>
      <x:c r="K6753" s="87" t="n">
        <x:v>25</x:v>
      </x:c>
      <x:c r="L6753" s="87" t="str">
        <x:v>Применение веществ</x:v>
      </x:c>
      <x:c r="M6753" s="30" t="str">
        <x:v>Задание линии 25: Применение веществ. Полная формулировка и все таблицы/формулы сохранены на странице по VIS_ID.</x:v>
      </x:c>
      <x:c r="N6753" s="30" t="str">
        <x:v>441</x:v>
      </x:c>
      <x:c r="O6753" s="30" t="str">
        <x:v>Ответ проверен по исходной формулировке и химическим закономерностям.</x:v>
      </x:c>
      <x:c r="P6753" s="30"/>
      <x:c r="Q6753" s="30" t="str">
        <x:v>Полная исходная страница + независимая химическая проверка + аудит DOCX.</x:v>
      </x:c>
      <x:c r="R6753" s="30" t="str">
        <x:v>441</x:v>
      </x:c>
      <x:c r="S6753" s="30"/>
      <x:c r="T6753" s="30"/>
      <x:c r="U6753" s="30" t="str">
        <x:v>Расхождений не выявлено.</x:v>
      </x:c>
      <x:c r="V6753" s="87" t="str">
        <x:v>VERIFIED</x:v>
      </x:c>
      <x:c r="W6753" s="87"/>
      <x:c r="X6753" s="87" t="n">
        <x:v>12</x:v>
      </x:c>
      <x:c r="Y6753" s="87"/>
      <x:c r="Z6753" s="87"/>
      <x:c r="AA6753" s="87"/>
      <x:c r="AB6753" s="87"/>
      <x:c r="AC6753" s="87" t="str">
        <x:v>VIS-EGKR-CHEM-S26-TASK-956-P012</x:v>
      </x:c>
      <x:c r="AD6753" s="87" t="str">
        <x:v>VIS-EGKR-CHEM-S26-ANSWERDOC-P003</x:v>
      </x:c>
      <x:c r="AE6753" s="87" t="str">
        <x:v>TASK; SECONDARY_ANSWER_SOURCE</x:v>
      </x:c>
      <x:c r="AF6753" s="87" t="str">
        <x:v>VIS-EGKR-CHEM-S26-TASK-956-P012: 12; VIS-EGKR-CHEM-S26-ANSWERDOC-P003: 3</x:v>
      </x:c>
      <x:c r="AG6753" s="87" t="str">
        <x:v>RESOLVED</x:v>
      </x:c>
      <x:c r="AH6753" s="87" t="str">
        <x:v>CROP_VERIFIED</x:v>
      </x:c>
      <x:c r="AI6753" s="30"/>
      <x:c r="AJ6753" s="87" t="str">
        <x:v>clean</x:v>
      </x:c>
      <x:c r="AK6753" s="87" t="str">
        <x:v>clean-v0.27</x:v>
      </x:c>
      <x:c r="AL6753" s="87" t="str">
        <x:v>statgrad_clean_continuation_v0_27(1).xlsx</x:v>
      </x:c>
      <x:c r="AM6753" s="87" t="str">
        <x:v>CHEM_EGKR_S26_956</x:v>
      </x:c>
      <x:c r="AN6753" s="87" t="n">
        <x:v>26</x:v>
      </x:c>
    </x:row>
    <x:row r="6754">
      <x:c r="A6754" s="87" t="n">
        <x:v>6753</x:v>
      </x:c>
      <x:c r="B6754" s="87" t="str">
        <x:v>EGKR-S26-CHEM-956-26</x:v>
      </x:c>
      <x:c r="C6754" s="87" t="str">
        <x:v>ЕГКР</x:v>
      </x:c>
      <x:c r="D6754" s="87"/>
      <x:c r="E6754" s="87" t="str">
        <x:v>Весна 2026</x:v>
      </x:c>
      <x:c r="F6754" s="87" t="str">
        <x:v>16.04.2026</x:v>
      </x:c>
      <x:c r="G6754" s="87" t="str">
        <x:v>Химия</x:v>
      </x:c>
      <x:c r="H6754" s="87" t="n">
        <x:v>11</x:v>
      </x:c>
      <x:c r="I6754" s="87"/>
      <x:c r="J6754" s="87" t="str">
        <x:v>956</x:v>
      </x:c>
      <x:c r="K6754" s="87" t="n">
        <x:v>26</x:v>
      </x:c>
      <x:c r="L6754" s="87" t="str">
        <x:v>Расчёт по растворам</x:v>
      </x:c>
      <x:c r="M6754" s="30" t="str">
        <x:v>Задание линии 26: Расчёт по растворам. Полная формулировка и все таблицы/формулы сохранены на странице по VIS_ID.</x:v>
      </x:c>
      <x:c r="N6754" s="30" t="str">
        <x:v>11</x:v>
      </x:c>
      <x:c r="O6754" s="30" t="str">
        <x:v>(10+x)/(200+x)=0,10; x≈11 г.</x:v>
      </x:c>
      <x:c r="P6754" s="30"/>
      <x:c r="Q6754" s="30" t="str">
        <x:v>Полная исходная страница + независимая химическая проверка + аудит DOCX.</x:v>
      </x:c>
      <x:c r="R6754" s="30" t="str">
        <x:v>11</x:v>
      </x:c>
      <x:c r="S6754" s="30"/>
      <x:c r="T6754" s="30"/>
      <x:c r="U6754" s="30" t="str">
        <x:v>Расхождений не выявлено.</x:v>
      </x:c>
      <x:c r="V6754" s="87" t="str">
        <x:v>VERIFIED</x:v>
      </x:c>
      <x:c r="W6754" s="87"/>
      <x:c r="X6754" s="87" t="n">
        <x:v>13</x:v>
      </x:c>
      <x:c r="Y6754" s="87"/>
      <x:c r="Z6754" s="87"/>
      <x:c r="AA6754" s="87"/>
      <x:c r="AB6754" s="87"/>
      <x:c r="AC6754" s="87" t="str">
        <x:v>VIS-EGKR-CHEM-S26-TASK-956-P013</x:v>
      </x:c>
      <x:c r="AD6754" s="87" t="str">
        <x:v>VIS-EGKR-CHEM-S26-ANSWERDOC-P003</x:v>
      </x:c>
      <x:c r="AE6754" s="87" t="str">
        <x:v>TASK; SECONDARY_ANSWER_SOURCE</x:v>
      </x:c>
      <x:c r="AF6754" s="87" t="str">
        <x:v>VIS-EGKR-CHEM-S26-TASK-956-P013: 13; VIS-EGKR-CHEM-S26-ANSWERDOC-P003: 3</x:v>
      </x:c>
      <x:c r="AG6754" s="87" t="str">
        <x:v>RESOLVED</x:v>
      </x:c>
      <x:c r="AH6754" s="87" t="str">
        <x:v>CROP_VERIFIED</x:v>
      </x:c>
      <x:c r="AI6754" s="30"/>
      <x:c r="AJ6754" s="87" t="str">
        <x:v>clean</x:v>
      </x:c>
      <x:c r="AK6754" s="87" t="str">
        <x:v>clean-v0.27</x:v>
      </x:c>
      <x:c r="AL6754" s="87" t="str">
        <x:v>statgrad_clean_continuation_v0_27(1).xlsx</x:v>
      </x:c>
      <x:c r="AM6754" s="87" t="str">
        <x:v>CHEM_EGKR_S26_956</x:v>
      </x:c>
      <x:c r="AN6754" s="87" t="n">
        <x:v>27</x:v>
      </x:c>
    </x:row>
    <x:row r="6755">
      <x:c r="A6755" s="87" t="n">
        <x:v>6754</x:v>
      </x:c>
      <x:c r="B6755" s="87" t="str">
        <x:v>EGKR-S26-CHEM-956-27</x:v>
      </x:c>
      <x:c r="C6755" s="87" t="str">
        <x:v>ЕГКР</x:v>
      </x:c>
      <x:c r="D6755" s="87"/>
      <x:c r="E6755" s="87" t="str">
        <x:v>Весна 2026</x:v>
      </x:c>
      <x:c r="F6755" s="87" t="str">
        <x:v>16.04.2026</x:v>
      </x:c>
      <x:c r="G6755" s="87" t="str">
        <x:v>Химия</x:v>
      </x:c>
      <x:c r="H6755" s="87" t="n">
        <x:v>11</x:v>
      </x:c>
      <x:c r="I6755" s="87"/>
      <x:c r="J6755" s="87" t="str">
        <x:v>956</x:v>
      </x:c>
      <x:c r="K6755" s="87" t="n">
        <x:v>27</x:v>
      </x:c>
      <x:c r="L6755" s="87" t="str">
        <x:v>Термохимический расчёт</x:v>
      </x:c>
      <x:c r="M6755" s="30" t="str">
        <x:v>Задание линии 27: Термохимический расчёт. Полная формулировка и все таблицы/формулы сохранены на странице по VIS_ID.</x:v>
      </x:c>
      <x:c r="N6755" s="30" t="str">
        <x:v>26,8</x:v>
      </x:c>
      <x:c r="O6755" s="30" t="str">
        <x:v>22,4/56=0,4 моль CaO; Q=0,4·67=26,8 кДж.</x:v>
      </x:c>
      <x:c r="P6755" s="30"/>
      <x:c r="Q6755" s="30" t="str">
        <x:v>Полная исходная страница + независимая химическая проверка + аудит DOCX.</x:v>
      </x:c>
      <x:c r="R6755" s="30" t="str">
        <x:v>26,8</x:v>
      </x:c>
      <x:c r="S6755" s="30"/>
      <x:c r="T6755" s="30"/>
      <x:c r="U6755" s="30" t="str">
        <x:v>Расхождений не выявлено.</x:v>
      </x:c>
      <x:c r="V6755" s="87" t="str">
        <x:v>VERIFIED</x:v>
      </x:c>
      <x:c r="W6755" s="87"/>
      <x:c r="X6755" s="87" t="n">
        <x:v>13</x:v>
      </x:c>
      <x:c r="Y6755" s="87"/>
      <x:c r="Z6755" s="87"/>
      <x:c r="AA6755" s="87"/>
      <x:c r="AB6755" s="87"/>
      <x:c r="AC6755" s="87" t="str">
        <x:v>VIS-EGKR-CHEM-S26-TASK-956-P013</x:v>
      </x:c>
      <x:c r="AD6755" s="87" t="str">
        <x:v>VIS-EGKR-CHEM-S26-ANSWERDOC-P003</x:v>
      </x:c>
      <x:c r="AE6755" s="87" t="str">
        <x:v>TASK; SECONDARY_ANSWER_SOURCE</x:v>
      </x:c>
      <x:c r="AF6755" s="87" t="str">
        <x:v>VIS-EGKR-CHEM-S26-TASK-956-P013: 13; VIS-EGKR-CHEM-S26-ANSWERDOC-P003: 3</x:v>
      </x:c>
      <x:c r="AG6755" s="87" t="str">
        <x:v>RESOLVED</x:v>
      </x:c>
      <x:c r="AH6755" s="87" t="str">
        <x:v>CROP_VERIFIED</x:v>
      </x:c>
      <x:c r="AI6755" s="30"/>
      <x:c r="AJ6755" s="87" t="str">
        <x:v>clean</x:v>
      </x:c>
      <x:c r="AK6755" s="87" t="str">
        <x:v>clean-v0.27</x:v>
      </x:c>
      <x:c r="AL6755" s="87" t="str">
        <x:v>statgrad_clean_continuation_v0_27(1).xlsx</x:v>
      </x:c>
      <x:c r="AM6755" s="87" t="str">
        <x:v>CHEM_EGKR_S26_956</x:v>
      </x:c>
      <x:c r="AN6755" s="87" t="n">
        <x:v>28</x:v>
      </x:c>
    </x:row>
    <x:row r="6756">
      <x:c r="A6756" s="87" t="n">
        <x:v>6755</x:v>
      </x:c>
      <x:c r="B6756" s="87" t="str">
        <x:v>EGKR-S26-CHEM-956-28</x:v>
      </x:c>
      <x:c r="C6756" s="87" t="str">
        <x:v>ЕГКР</x:v>
      </x:c>
      <x:c r="D6756" s="87"/>
      <x:c r="E6756" s="87" t="str">
        <x:v>Весна 2026</x:v>
      </x:c>
      <x:c r="F6756" s="87" t="str">
        <x:v>16.04.2026</x:v>
      </x:c>
      <x:c r="G6756" s="87" t="str">
        <x:v>Химия</x:v>
      </x:c>
      <x:c r="H6756" s="87" t="n">
        <x:v>11</x:v>
      </x:c>
      <x:c r="I6756" s="87"/>
      <x:c r="J6756" s="87" t="str">
        <x:v>956</x:v>
      </x:c>
      <x:c r="K6756" s="87" t="n">
        <x:v>28</x:v>
      </x:c>
      <x:c r="L6756" s="87" t="str">
        <x:v>Расчёт выхода / примесей</x:v>
      </x:c>
      <x:c r="M6756" s="30" t="str">
        <x:v>Задание линии 28: Расчёт выхода / примесей. Полная формулировка и все таблицы/формулы сохранены на странице по VIS_ID.</x:v>
      </x:c>
      <x:c r="N6756" s="30" t="str">
        <x:v>20</x:v>
      </x:c>
      <x:c r="O6756" s="30" t="str">
        <x:v>56 л C2H2=2,5 моль; чистого CaC2 160 г, примесей 40 г из 200 г: 20%.</x:v>
      </x:c>
      <x:c r="P6756" s="30"/>
      <x:c r="Q6756" s="30" t="str">
        <x:v>Полная исходная страница + независимая химическая проверка + аудит DOCX.</x:v>
      </x:c>
      <x:c r="R6756" s="30" t="str">
        <x:v>20</x:v>
      </x:c>
      <x:c r="S6756" s="30"/>
      <x:c r="T6756" s="30"/>
      <x:c r="U6756" s="30" t="str">
        <x:v>Расхождений не выявлено.</x:v>
      </x:c>
      <x:c r="V6756" s="87" t="str">
        <x:v>VERIFIED</x:v>
      </x:c>
      <x:c r="W6756" s="87"/>
      <x:c r="X6756" s="87" t="n">
        <x:v>13</x:v>
      </x:c>
      <x:c r="Y6756" s="87"/>
      <x:c r="Z6756" s="87"/>
      <x:c r="AA6756" s="87"/>
      <x:c r="AB6756" s="87"/>
      <x:c r="AC6756" s="87" t="str">
        <x:v>VIS-EGKR-CHEM-S26-TASK-956-P013</x:v>
      </x:c>
      <x:c r="AD6756" s="87" t="str">
        <x:v>VIS-EGKR-CHEM-S26-ANSWERDOC-P003</x:v>
      </x:c>
      <x:c r="AE6756" s="87" t="str">
        <x:v>TASK; SECONDARY_ANSWER_SOURCE</x:v>
      </x:c>
      <x:c r="AF6756" s="87" t="str">
        <x:v>VIS-EGKR-CHEM-S26-TASK-956-P013: 13; VIS-EGKR-CHEM-S26-ANSWERDOC-P003: 3</x:v>
      </x:c>
      <x:c r="AG6756" s="87" t="str">
        <x:v>RESOLVED</x:v>
      </x:c>
      <x:c r="AH6756" s="87" t="str">
        <x:v>CROP_VERIFIED</x:v>
      </x:c>
      <x:c r="AI6756" s="30"/>
      <x:c r="AJ6756" s="87" t="str">
        <x:v>clean</x:v>
      </x:c>
      <x:c r="AK6756" s="87" t="str">
        <x:v>clean-v0.27</x:v>
      </x:c>
      <x:c r="AL6756" s="87" t="str">
        <x:v>statgrad_clean_continuation_v0_27(1).xlsx</x:v>
      </x:c>
      <x:c r="AM6756" s="87" t="str">
        <x:v>CHEM_EGKR_S26_956</x:v>
      </x:c>
      <x:c r="AN6756" s="87" t="n">
        <x:v>29</x:v>
      </x:c>
    </x:row>
    <x:row r="6757">
      <x:c r="A6757" s="87" t="n">
        <x:v>6756</x:v>
      </x:c>
      <x:c r="B6757" s="87" t="str">
        <x:v>EGKR-S26-CHEM-956-29</x:v>
      </x:c>
      <x:c r="C6757" s="87" t="str">
        <x:v>ЕГКР</x:v>
      </x:c>
      <x:c r="D6757" s="87"/>
      <x:c r="E6757" s="87" t="str">
        <x:v>Весна 2026</x:v>
      </x:c>
      <x:c r="F6757" s="87" t="str">
        <x:v>16.04.2026</x:v>
      </x:c>
      <x:c r="G6757" s="87" t="str">
        <x:v>Химия</x:v>
      </x:c>
      <x:c r="H6757" s="87" t="n">
        <x:v>11</x:v>
      </x:c>
      <x:c r="I6757" s="87"/>
      <x:c r="J6757" s="87" t="str">
        <x:v>956</x:v>
      </x:c>
      <x:c r="K6757" s="87" t="n">
        <x:v>29</x:v>
      </x:c>
      <x:c r="L6757" s="87" t="str">
        <x:v>ОВР с выбором веществ</x:v>
      </x:c>
      <x:c r="M6757" s="30" t="str">
        <x:v>Предполагаемая ОВР MnO2 с NH4I в кислой среде.</x:v>
      </x:c>
      <x:c r="N6757" s="30" t="str">
        <x:v>MnO2+2NH4I+2H2SO4→MnSO4+(NH4)2SO4+I2+2H2O. Mn(+4)+2e→Mn(+2); 2I(−1)−2e→I2. Источник называет газ бурым, хотя пары йода фиолетовые; модель помечена дефектом источника.</x:v>
      </x:c>
      <x:c r="O6757" s="30" t="str">
        <x:v>Рабочая модель составлена по исходному условию; официальные критерии в архиве отсутствуют.</x:v>
      </x:c>
      <x:c r="P6757" s="30"/>
      <x:c r="Q6757" s="30" t="str">
        <x:v>Баланс атомов/заряда, химическая логика и независимые расчёты.</x:v>
      </x:c>
      <x:c r="R6757" s="30" t="str">
        <x:v>NO_OFFICIAL_MODEL</x:v>
      </x:c>
      <x:c r="S6757" s="30"/>
      <x:c r="T6757" s="30"/>
      <x:c r="U6757" s="30" t="str">
        <x:v>Источник содержит дефект или пропуск, отражённый в модели.</x:v>
      </x:c>
      <x:c r="V6757" s="87" t="str">
        <x:v>MODEL_SOURCE_DEFECT</x:v>
      </x:c>
      <x:c r="W6757" s="87"/>
      <x:c r="X6757" s="87" t="n">
        <x:v>14</x:v>
      </x:c>
      <x:c r="Y6757" s="87"/>
      <x:c r="Z6757" s="87"/>
      <x:c r="AA6757" s="87"/>
      <x:c r="AB6757" s="87"/>
      <x:c r="AC6757" s="87" t="str">
        <x:v>VIS-EGKR-CHEM-S26-TASK-956-P014</x:v>
      </x:c>
      <x:c r="AD6757" s="87"/>
      <x:c r="AE6757" s="87" t="str">
        <x:v>TASK</x:v>
      </x:c>
      <x:c r="AF6757" s="87" t="str">
        <x:v>VIS-EGKR-CHEM-S26-TASK-956-P014: 14</x:v>
      </x:c>
      <x:c r="AG6757" s="87" t="str">
        <x:v>RESOLVED</x:v>
      </x:c>
      <x:c r="AH6757" s="87" t="str">
        <x:v>CROP_VERIFIED</x:v>
      </x:c>
      <x:c r="AI6757" s="30"/>
      <x:c r="AJ6757" s="87" t="str">
        <x:v>clean</x:v>
      </x:c>
      <x:c r="AK6757" s="87" t="str">
        <x:v>clean-v0.27</x:v>
      </x:c>
      <x:c r="AL6757" s="87" t="str">
        <x:v>statgrad_clean_continuation_v0_27(1).xlsx</x:v>
      </x:c>
      <x:c r="AM6757" s="87" t="str">
        <x:v>CHEM_EGKR_S26_956</x:v>
      </x:c>
      <x:c r="AN6757" s="87" t="n">
        <x:v>30</x:v>
      </x:c>
    </x:row>
    <x:row r="6758">
      <x:c r="A6758" s="87" t="n">
        <x:v>6757</x:v>
      </x:c>
      <x:c r="B6758" s="87" t="str">
        <x:v>EGKR-S26-CHEM-956-30</x:v>
      </x:c>
      <x:c r="C6758" s="87" t="str">
        <x:v>ЕГКР</x:v>
      </x:c>
      <x:c r="D6758" s="87"/>
      <x:c r="E6758" s="87" t="str">
        <x:v>Весна 2026</x:v>
      </x:c>
      <x:c r="F6758" s="87" t="str">
        <x:v>16.04.2026</x:v>
      </x:c>
      <x:c r="G6758" s="87" t="str">
        <x:v>Химия</x:v>
      </x:c>
      <x:c r="H6758" s="87" t="n">
        <x:v>11</x:v>
      </x:c>
      <x:c r="I6758" s="87"/>
      <x:c r="J6758" s="87" t="str">
        <x:v>956</x:v>
      </x:c>
      <x:c r="K6758" s="87" t="n">
        <x:v>30</x:v>
      </x:c>
      <x:c r="L6758" s="87" t="str">
        <x:v>Ионный обмен</x:v>
      </x:c>
      <x:c r="M6758" s="30" t="str">
        <x:v>Реакция NH4I и Na2CO3 без осадка и изменения окраски.</x:v>
      </x:c>
      <x:c r="N6758" s="30" t="str">
        <x:v>NH4I+Na2CO3+H2O⇄NH3·H2O+NaHCO3+NaI; сокращённое: NH4+ + CO3^2− + H2O ⇄ NH3·H2O + HCO3−.</x:v>
      </x:c>
      <x:c r="O6758" s="30" t="str">
        <x:v>Рабочая модель составлена по исходному условию; официальные критерии в архиве отсутствуют.</x:v>
      </x:c>
      <x:c r="P6758" s="30"/>
      <x:c r="Q6758" s="30" t="str">
        <x:v>Баланс атомов/заряда, химическая логика и независимые расчёты.</x:v>
      </x:c>
      <x:c r="R6758" s="30" t="str">
        <x:v>NO_OFFICIAL_MODEL</x:v>
      </x:c>
      <x:c r="S6758" s="30"/>
      <x:c r="T6758" s="30"/>
      <x:c r="U6758" s="30" t="str">
        <x:v>Модель не выдаётся за единственно допустимую формулировку.</x:v>
      </x:c>
      <x:c r="V6758" s="87" t="str">
        <x:v>MODEL_READY</x:v>
      </x:c>
      <x:c r="W6758" s="87"/>
      <x:c r="X6758" s="87" t="n">
        <x:v>14</x:v>
      </x:c>
      <x:c r="Y6758" s="87"/>
      <x:c r="Z6758" s="87"/>
      <x:c r="AA6758" s="87"/>
      <x:c r="AB6758" s="87"/>
      <x:c r="AC6758" s="87" t="str">
        <x:v>VIS-EGKR-CHEM-S26-TASK-956-P014</x:v>
      </x:c>
      <x:c r="AD6758" s="87"/>
      <x:c r="AE6758" s="87" t="str">
        <x:v>TASK</x:v>
      </x:c>
      <x:c r="AF6758" s="87" t="str">
        <x:v>VIS-EGKR-CHEM-S26-TASK-956-P014: 14</x:v>
      </x:c>
      <x:c r="AG6758" s="87" t="str">
        <x:v>RESOLVED</x:v>
      </x:c>
      <x:c r="AH6758" s="87" t="str">
        <x:v>CROP_VERIFIED</x:v>
      </x:c>
      <x:c r="AI6758" s="30"/>
      <x:c r="AJ6758" s="87" t="str">
        <x:v>clean</x:v>
      </x:c>
      <x:c r="AK6758" s="87" t="str">
        <x:v>clean-v0.27</x:v>
      </x:c>
      <x:c r="AL6758" s="87" t="str">
        <x:v>statgrad_clean_continuation_v0_27(1).xlsx</x:v>
      </x:c>
      <x:c r="AM6758" s="87" t="str">
        <x:v>CHEM_EGKR_S26_956</x:v>
      </x:c>
      <x:c r="AN6758" s="87" t="n">
        <x:v>31</x:v>
      </x:c>
    </x:row>
    <x:row r="6759">
      <x:c r="A6759" s="87" t="n">
        <x:v>6758</x:v>
      </x:c>
      <x:c r="B6759" s="87" t="str">
        <x:v>EGKR-S26-CHEM-956-31</x:v>
      </x:c>
      <x:c r="C6759" s="87" t="str">
        <x:v>ЕГКР</x:v>
      </x:c>
      <x:c r="D6759" s="87"/>
      <x:c r="E6759" s="87" t="str">
        <x:v>Весна 2026</x:v>
      </x:c>
      <x:c r="F6759" s="87" t="str">
        <x:v>16.04.2026</x:v>
      </x:c>
      <x:c r="G6759" s="87" t="str">
        <x:v>Химия</x:v>
      </x:c>
      <x:c r="H6759" s="87" t="n">
        <x:v>11</x:v>
      </x:c>
      <x:c r="I6759" s="87"/>
      <x:c r="J6759" s="87" t="str">
        <x:v>956</x:v>
      </x:c>
      <x:c r="K6759" s="87" t="n">
        <x:v>31</x:v>
      </x:c>
      <x:c r="L6759" s="87" t="str">
        <x:v>Цепочка неорганических реакций</x:v>
      </x:c>
      <x:c r="M6759" s="30" t="str">
        <x:v>Нейтрализация HCl, электролиз NaCl, восстановление CuO и окисление Cu ионами Fe(III).</x:v>
      </x:c>
      <x:c r="N6759" s="30" t="str">
        <x:v>2HCl+Na2CO3→2NaCl+CO2↑+H2O; 2NaCl+2H2O→H2↑+Cl2↑+2NaOH; CuO+H2→Cu+H2O; Cu+2FeCl3→CuCl2+2FeCl2.</x:v>
      </x:c>
      <x:c r="O6759" s="30" t="str">
        <x:v>Рабочая модель составлена по исходному условию; официальные критерии в архиве отсутствуют.</x:v>
      </x:c>
      <x:c r="P6759" s="30"/>
      <x:c r="Q6759" s="30" t="str">
        <x:v>Баланс атомов/заряда, химическая логика и независимые расчёты.</x:v>
      </x:c>
      <x:c r="R6759" s="30" t="str">
        <x:v>NO_OFFICIAL_MODEL</x:v>
      </x:c>
      <x:c r="S6759" s="30"/>
      <x:c r="T6759" s="30"/>
      <x:c r="U6759" s="30" t="str">
        <x:v>Модель не выдаётся за единственно допустимую формулировку.</x:v>
      </x:c>
      <x:c r="V6759" s="87" t="str">
        <x:v>MODEL_READY</x:v>
      </x:c>
      <x:c r="W6759" s="87"/>
      <x:c r="X6759" s="87" t="n">
        <x:v>14</x:v>
      </x:c>
      <x:c r="Y6759" s="87"/>
      <x:c r="Z6759" s="87"/>
      <x:c r="AA6759" s="87"/>
      <x:c r="AB6759" s="87"/>
      <x:c r="AC6759" s="87" t="str">
        <x:v>VIS-EGKR-CHEM-S26-TASK-956-P014</x:v>
      </x:c>
      <x:c r="AD6759" s="87"/>
      <x:c r="AE6759" s="87" t="str">
        <x:v>TASK</x:v>
      </x:c>
      <x:c r="AF6759" s="87" t="str">
        <x:v>VIS-EGKR-CHEM-S26-TASK-956-P014: 14</x:v>
      </x:c>
      <x:c r="AG6759" s="87" t="str">
        <x:v>RESOLVED</x:v>
      </x:c>
      <x:c r="AH6759" s="87" t="str">
        <x:v>CROP_VERIFIED</x:v>
      </x:c>
      <x:c r="AI6759" s="30"/>
      <x:c r="AJ6759" s="87" t="str">
        <x:v>clean</x:v>
      </x:c>
      <x:c r="AK6759" s="87" t="str">
        <x:v>clean-v0.27</x:v>
      </x:c>
      <x:c r="AL6759" s="87" t="str">
        <x:v>statgrad_clean_continuation_v0_27(1).xlsx</x:v>
      </x:c>
      <x:c r="AM6759" s="87" t="str">
        <x:v>CHEM_EGKR_S26_956</x:v>
      </x:c>
      <x:c r="AN6759" s="87" t="n">
        <x:v>32</x:v>
      </x:c>
    </x:row>
    <x:row r="6760">
      <x:c r="A6760" s="87" t="n">
        <x:v>6759</x:v>
      </x:c>
      <x:c r="B6760" s="87" t="str">
        <x:v>EGKR-S26-CHEM-956-32</x:v>
      </x:c>
      <x:c r="C6760" s="87" t="str">
        <x:v>ЕГКР</x:v>
      </x:c>
      <x:c r="D6760" s="87"/>
      <x:c r="E6760" s="87" t="str">
        <x:v>Весна 2026</x:v>
      </x:c>
      <x:c r="F6760" s="87" t="str">
        <x:v>16.04.2026</x:v>
      </x:c>
      <x:c r="G6760" s="87" t="str">
        <x:v>Химия</x:v>
      </x:c>
      <x:c r="H6760" s="87" t="n">
        <x:v>11</x:v>
      </x:c>
      <x:c r="I6760" s="87"/>
      <x:c r="J6760" s="87" t="str">
        <x:v>956</x:v>
      </x:c>
      <x:c r="K6760" s="87" t="n">
        <x:v>32</x:v>
      </x:c>
      <x:c r="L6760" s="87" t="str">
        <x:v>Цепочка органических превращений</x:v>
      </x:c>
      <x:c r="M6760" s="30" t="str">
        <x:v>Фенол → циклогексанол → бромциклогексан → циклогексен → адипиновая кислота → гексаметилендиамин → полиамид.</x:v>
      </x:c>
      <x:c r="N6760" s="30" t="str">
        <x:v>C6H5OH+3H2→C6H11OH; C6H11OH+HBr→C6H11Br+H2O; C6H11Br+KOH(спирт.)→C6H10+KBr+H2O; C6H10+4[O]→HOOC(CH2)4COOH. Переход к H2N(CH2)6NH2 требует промежуточного получения адипамида и восстановления; последняя стадия с диметиладипинатом даёт нейлон-6,6 и CH3OH. Реагент над стрелкой X4→X5 в источнике отсутствует.</x:v>
      </x:c>
      <x:c r="O6760" s="30" t="str">
        <x:v>Рабочая модель составлена по исходному условию; официальные критерии в архиве отсутствуют.</x:v>
      </x:c>
      <x:c r="P6760" s="30"/>
      <x:c r="Q6760" s="30" t="str">
        <x:v>Баланс атомов/заряда, химическая логика и независимые расчёты.</x:v>
      </x:c>
      <x:c r="R6760" s="30" t="str">
        <x:v>NO_OFFICIAL_MODEL</x:v>
      </x:c>
      <x:c r="S6760" s="30"/>
      <x:c r="T6760" s="30"/>
      <x:c r="U6760" s="30" t="str">
        <x:v>Источник содержит дефект или пропуск, отражённый в модели.</x:v>
      </x:c>
      <x:c r="V6760" s="87" t="str">
        <x:v>MODEL_SOURCE_DEFECT</x:v>
      </x:c>
      <x:c r="W6760" s="87"/>
      <x:c r="X6760" s="87" t="n">
        <x:v>14</x:v>
      </x:c>
      <x:c r="Y6760" s="87"/>
      <x:c r="Z6760" s="87"/>
      <x:c r="AA6760" s="87"/>
      <x:c r="AB6760" s="87"/>
      <x:c r="AC6760" s="87" t="str">
        <x:v>VIS-EGKR-CHEM-S26-TASK-956-P014</x:v>
      </x:c>
      <x:c r="AD6760" s="87"/>
      <x:c r="AE6760" s="87" t="str">
        <x:v>TASK</x:v>
      </x:c>
      <x:c r="AF6760" s="87" t="str">
        <x:v>VIS-EGKR-CHEM-S26-TASK-956-P014: 14</x:v>
      </x:c>
      <x:c r="AG6760" s="87" t="str">
        <x:v>RESOLVED</x:v>
      </x:c>
      <x:c r="AH6760" s="87" t="str">
        <x:v>CROP_VERIFIED</x:v>
      </x:c>
      <x:c r="AI6760" s="30"/>
      <x:c r="AJ6760" s="87" t="str">
        <x:v>clean</x:v>
      </x:c>
      <x:c r="AK6760" s="87" t="str">
        <x:v>clean-v0.27</x:v>
      </x:c>
      <x:c r="AL6760" s="87" t="str">
        <x:v>statgrad_clean_continuation_v0_27(1).xlsx</x:v>
      </x:c>
      <x:c r="AM6760" s="87" t="str">
        <x:v>CHEM_EGKR_S26_956</x:v>
      </x:c>
      <x:c r="AN6760" s="87" t="n">
        <x:v>33</x:v>
      </x:c>
    </x:row>
    <x:row r="6761">
      <x:c r="A6761" s="87" t="n">
        <x:v>6760</x:v>
      </x:c>
      <x:c r="B6761" s="87" t="str">
        <x:v>EGKR-S26-CHEM-956-33</x:v>
      </x:c>
      <x:c r="C6761" s="87" t="str">
        <x:v>ЕГКР</x:v>
      </x:c>
      <x:c r="D6761" s="87"/>
      <x:c r="E6761" s="87" t="str">
        <x:v>Весна 2026</x:v>
      </x:c>
      <x:c r="F6761" s="87" t="str">
        <x:v>16.04.2026</x:v>
      </x:c>
      <x:c r="G6761" s="87" t="str">
        <x:v>Химия</x:v>
      </x:c>
      <x:c r="H6761" s="87" t="n">
        <x:v>11</x:v>
      </x:c>
      <x:c r="I6761" s="87"/>
      <x:c r="J6761" s="87" t="str">
        <x:v>956</x:v>
      </x:c>
      <x:c r="K6761" s="87" t="n">
        <x:v>33</x:v>
      </x:c>
      <x:c r="L6761" s="87" t="str">
        <x:v>Установление формулы органического вещества</x:v>
      </x:c>
      <x:c r="M6761" s="30" t="str">
        <x:v>Восстановить единицу измерения 1,68 л CO2 и определить сложный эфир.</x:v>
      </x:c>
      <x:c r="N6761" s="30" t="str">
        <x:v>Если 1,68 — объём при н.у., n(CO2)=0,075 моль, n(H)=0,150 моль, n(O)=0,050 моль; соотношение C:H:O=3:6:2, формула C3H6O2. Подходящая структура — этилформиат HCOOC2H5; HCOOC2H5+H2O⇄HCOOH+C2H5OH. В PDF ошибочно напечатано «1,68 г (н.у.)».</x:v>
      </x:c>
      <x:c r="O6761" s="30" t="str">
        <x:v>Рабочая модель составлена по исходному условию; официальные критерии в архиве отсутствуют.</x:v>
      </x:c>
      <x:c r="P6761" s="30"/>
      <x:c r="Q6761" s="30" t="str">
        <x:v>Баланс атомов/заряда, химическая логика и независимые расчёты.</x:v>
      </x:c>
      <x:c r="R6761" s="30" t="str">
        <x:v>NO_OFFICIAL_MODEL</x:v>
      </x:c>
      <x:c r="S6761" s="30"/>
      <x:c r="T6761" s="30"/>
      <x:c r="U6761" s="30" t="str">
        <x:v>Источник содержит дефект или пропуск, отражённый в модели.</x:v>
      </x:c>
      <x:c r="V6761" s="87" t="str">
        <x:v>MODEL_SOURCE_DEFECT</x:v>
      </x:c>
      <x:c r="W6761" s="87"/>
      <x:c r="X6761" s="87" t="n">
        <x:v>15</x:v>
      </x:c>
      <x:c r="Y6761" s="87"/>
      <x:c r="Z6761" s="87"/>
      <x:c r="AA6761" s="87"/>
      <x:c r="AB6761" s="87"/>
      <x:c r="AC6761" s="87" t="str">
        <x:v>VIS-EGKR-CHEM-S26-TASK-956-P015</x:v>
      </x:c>
      <x:c r="AD6761" s="87"/>
      <x:c r="AE6761" s="87" t="str">
        <x:v>TASK</x:v>
      </x:c>
      <x:c r="AF6761" s="87" t="str">
        <x:v>VIS-EGKR-CHEM-S26-TASK-956-P015: 15</x:v>
      </x:c>
      <x:c r="AG6761" s="87" t="str">
        <x:v>RESOLVED</x:v>
      </x:c>
      <x:c r="AH6761" s="87" t="str">
        <x:v>CROP_VERIFIED</x:v>
      </x:c>
      <x:c r="AI6761" s="30"/>
      <x:c r="AJ6761" s="87" t="str">
        <x:v>clean</x:v>
      </x:c>
      <x:c r="AK6761" s="87" t="str">
        <x:v>clean-v0.27</x:v>
      </x:c>
      <x:c r="AL6761" s="87" t="str">
        <x:v>statgrad_clean_continuation_v0_27(1).xlsx</x:v>
      </x:c>
      <x:c r="AM6761" s="87" t="str">
        <x:v>CHEM_EGKR_S26_956</x:v>
      </x:c>
      <x:c r="AN6761" s="87" t="n">
        <x:v>34</x:v>
      </x:c>
    </x:row>
    <x:row r="6762">
      <x:c r="A6762" s="87" t="n">
        <x:v>6761</x:v>
      </x:c>
      <x:c r="B6762" s="87" t="str">
        <x:v>EGKR-S26-CHEM-956-34</x:v>
      </x:c>
      <x:c r="C6762" s="87" t="str">
        <x:v>ЕГКР</x:v>
      </x:c>
      <x:c r="D6762" s="87"/>
      <x:c r="E6762" s="87" t="str">
        <x:v>Весна 2026</x:v>
      </x:c>
      <x:c r="F6762" s="87" t="str">
        <x:v>16.04.2026</x:v>
      </x:c>
      <x:c r="G6762" s="87" t="str">
        <x:v>Химия</x:v>
      </x:c>
      <x:c r="H6762" s="87" t="n">
        <x:v>11</x:v>
      </x:c>
      <x:c r="I6762" s="87"/>
      <x:c r="J6762" s="87" t="str">
        <x:v>956</x:v>
      </x:c>
      <x:c r="K6762" s="87" t="n">
        <x:v>34</x:v>
      </x:c>
      <x:c r="L6762" s="87" t="str">
        <x:v>Расчётная задача высокой сложности</x:v>
      </x:c>
      <x:c r="M6762" s="30" t="str">
        <x:v>Использовать равенство количеств NO2 и NO и данные поглощения NO2 раствором KOH.</x:v>
      </x:c>
      <x:c r="N6762" s="30" t="str">
        <x:v>По массовой доле атомов H в 375,6 г раствора определяется 282,6 г воды. Для 2NO2+2KOH→KNO2+KNO3+H2O получается n(NO2)=1,0 моль; значит n(NO)=1,0 моль. Во второй колбе 3Cu+8HNO3→3Cu(NO3)2+2NO+4H2O, поэтому n(Cu(NO3)2)=1,5 моль, m=282 г. Масса раствора после растворения меди: 350+250+96−30=666 г; w=42,3%.</x:v>
      </x:c>
      <x:c r="O6762" s="30" t="str">
        <x:v>Рабочая модель составлена по исходному условию; официальные критерии в архиве отсутствуют.</x:v>
      </x:c>
      <x:c r="P6762" s="30"/>
      <x:c r="Q6762" s="30" t="str">
        <x:v>Баланс атомов/заряда, химическая логика и независимые расчёты.</x:v>
      </x:c>
      <x:c r="R6762" s="30" t="str">
        <x:v>NO_OFFICIAL_MODEL</x:v>
      </x:c>
      <x:c r="S6762" s="30"/>
      <x:c r="T6762" s="30"/>
      <x:c r="U6762" s="30" t="str">
        <x:v>Модель не выдаётся за единственно допустимую формулировку.</x:v>
      </x:c>
      <x:c r="V6762" s="87" t="str">
        <x:v>MODEL_READY</x:v>
      </x:c>
      <x:c r="W6762" s="87"/>
      <x:c r="X6762" s="87" t="n">
        <x:v>15</x:v>
      </x:c>
      <x:c r="Y6762" s="87"/>
      <x:c r="Z6762" s="87"/>
      <x:c r="AA6762" s="87"/>
      <x:c r="AB6762" s="87"/>
      <x:c r="AC6762" s="87" t="str">
        <x:v>VIS-EGKR-CHEM-S26-TASK-956-P015</x:v>
      </x:c>
      <x:c r="AD6762" s="87"/>
      <x:c r="AE6762" s="87" t="str">
        <x:v>TASK</x:v>
      </x:c>
      <x:c r="AF6762" s="87" t="str">
        <x:v>VIS-EGKR-CHEM-S26-TASK-956-P015: 15</x:v>
      </x:c>
      <x:c r="AG6762" s="87" t="str">
        <x:v>RESOLVED</x:v>
      </x:c>
      <x:c r="AH6762" s="87" t="str">
        <x:v>CROP_VERIFIED</x:v>
      </x:c>
      <x:c r="AI6762" s="30"/>
      <x:c r="AJ6762" s="87" t="str">
        <x:v>clean</x:v>
      </x:c>
      <x:c r="AK6762" s="87" t="str">
        <x:v>clean-v0.27</x:v>
      </x:c>
      <x:c r="AL6762" s="87" t="str">
        <x:v>statgrad_clean_continuation_v0_27(1).xlsx</x:v>
      </x:c>
      <x:c r="AM6762" s="87" t="str">
        <x:v>CHEM_EGKR_S26_956</x:v>
      </x:c>
      <x:c r="AN6762" s="87" t="n">
        <x:v>35</x:v>
      </x:c>
    </x:row>
    <x:row r="6763">
      <x:c r="A6763" s="87" t="n">
        <x:v>6762</x:v>
      </x:c>
      <x:c r="B6763" s="87" t="str">
        <x:v>EGKR-S26-INF-954-01</x:v>
      </x:c>
      <x:c r="C6763" s="87" t="str">
        <x:v>ЕГКР</x:v>
      </x:c>
      <x:c r="D6763" s="87"/>
      <x:c r="E6763" s="87" t="str">
        <x:v>Весна 2026</x:v>
      </x:c>
      <x:c r="F6763" s="87" t="str">
        <x:v>18.04.2026</x:v>
      </x:c>
      <x:c r="G6763" s="87" t="str">
        <x:v>Информатика</x:v>
      </x:c>
      <x:c r="H6763" s="87" t="n">
        <x:v>11</x:v>
      </x:c>
      <x:c r="I6763" s="87"/>
      <x:c r="J6763" s="87" t="str">
        <x:v>954</x:v>
      </x:c>
      <x:c r="K6763" s="87" t="n">
        <x:v>1</x:v>
      </x:c>
      <x:c r="L6763" s="87" t="str">
        <x:v>Графы и таблицы</x:v>
      </x:c>
      <x:c r="M6763" s="30" t="str">
        <x:v>Формулировка задания №1 варианта 954 отсутствует в локальном архиве. Запись сохранена как явный контрольный пропуск без реконструкции по аналогии.</x:v>
      </x:c>
      <x:c r="N6763" s="30"/>
      <x:c r="O6763" s="30" t="str">
        <x:v>Ответ не утверждается: нет локальной формулировки и исходного ключа.</x:v>
      </x:c>
      <x:c r="P6763" s="30"/>
      <x:c r="Q6763" s="30" t="str">
        <x:v>Аудит состава локального архива ЕГКР.</x:v>
      </x:c>
      <x:c r="R6763" s="30"/>
      <x:c r="S6763" s="30"/>
      <x:c r="T6763" s="30"/>
      <x:c r="U6763" s="30" t="str">
        <x:v>SOURCE_GAP: не подменять заданием другого варианта.</x:v>
      </x:c>
      <x:c r="V6763" s="87" t="str">
        <x:v>SOURCE_GAP</x:v>
      </x:c>
      <x:c r="W6763" s="87"/>
      <x:c r="X6763" s="87"/>
      <x:c r="Y6763" s="87"/>
      <x:c r="Z6763" s="87"/>
      <x:c r="AA6763" s="87"/>
      <x:c r="AB6763" s="87"/>
      <x:c r="AC6763" s="87"/>
      <x:c r="AD6763" s="87"/>
      <x:c r="AE6763" s="87"/>
      <x:c r="AF6763" s="87"/>
      <x:c r="AG6763" s="87"/>
      <x:c r="AH6763" s="87"/>
      <x:c r="AI6763" s="30"/>
      <x:c r="AJ6763" s="87" t="str">
        <x:v>clean</x:v>
      </x:c>
      <x:c r="AK6763" s="87" t="str">
        <x:v>clean-v0.28</x:v>
      </x:c>
      <x:c r="AL6763" s="87" t="str">
        <x:v>statgrad_clean_continuation_v0_28(2).xlsx</x:v>
      </x:c>
      <x:c r="AM6763" s="87" t="str">
        <x:v>INF_EGKR_S26_954</x:v>
      </x:c>
      <x:c r="AN6763" s="87" t="n">
        <x:v>2</x:v>
      </x:c>
    </x:row>
    <x:row r="6764">
      <x:c r="A6764" s="87" t="n">
        <x:v>6763</x:v>
      </x:c>
      <x:c r="B6764" s="87" t="str">
        <x:v>EGKR-S26-INF-954-02</x:v>
      </x:c>
      <x:c r="C6764" s="87" t="str">
        <x:v>ЕГКР</x:v>
      </x:c>
      <x:c r="D6764" s="87"/>
      <x:c r="E6764" s="87" t="str">
        <x:v>Весна 2026</x:v>
      </x:c>
      <x:c r="F6764" s="87" t="str">
        <x:v>18.04.2026</x:v>
      </x:c>
      <x:c r="G6764" s="87" t="str">
        <x:v>Информатика</x:v>
      </x:c>
      <x:c r="H6764" s="87" t="n">
        <x:v>11</x:v>
      </x:c>
      <x:c r="I6764" s="87"/>
      <x:c r="J6764" s="87" t="str">
        <x:v>954</x:v>
      </x:c>
      <x:c r="K6764" s="87" t="n">
        <x:v>2</x:v>
      </x:c>
      <x:c r="L6764" s="87" t="str">
        <x:v>Логические функции и таблицы истинности</x:v>
      </x:c>
      <x:c r="M6764" s="30" t="str">
        <x:v>Формулировка задания №2 варианта 954 отсутствует в локальном архиве. Запись сохранена как явный контрольный пропуск без реконструкции по аналогии.</x:v>
      </x:c>
      <x:c r="N6764" s="30"/>
      <x:c r="O6764" s="30" t="str">
        <x:v>Ответ не утверждается: нет локальной формулировки и исходного ключа.</x:v>
      </x:c>
      <x:c r="P6764" s="30"/>
      <x:c r="Q6764" s="30" t="str">
        <x:v>Аудит состава локального архива ЕГКР.</x:v>
      </x:c>
      <x:c r="R6764" s="30"/>
      <x:c r="S6764" s="30"/>
      <x:c r="T6764" s="30"/>
      <x:c r="U6764" s="30" t="str">
        <x:v>SOURCE_GAP: не подменять заданием другого варианта.</x:v>
      </x:c>
      <x:c r="V6764" s="87" t="str">
        <x:v>SOURCE_GAP</x:v>
      </x:c>
      <x:c r="W6764" s="87"/>
      <x:c r="X6764" s="87"/>
      <x:c r="Y6764" s="87"/>
      <x:c r="Z6764" s="87"/>
      <x:c r="AA6764" s="87"/>
      <x:c r="AB6764" s="87"/>
      <x:c r="AC6764" s="87"/>
      <x:c r="AD6764" s="87"/>
      <x:c r="AE6764" s="87"/>
      <x:c r="AF6764" s="87"/>
      <x:c r="AG6764" s="87"/>
      <x:c r="AH6764" s="87"/>
      <x:c r="AI6764" s="30"/>
      <x:c r="AJ6764" s="87" t="str">
        <x:v>clean</x:v>
      </x:c>
      <x:c r="AK6764" s="87" t="str">
        <x:v>clean-v0.28</x:v>
      </x:c>
      <x:c r="AL6764" s="87" t="str">
        <x:v>statgrad_clean_continuation_v0_28(2).xlsx</x:v>
      </x:c>
      <x:c r="AM6764" s="87" t="str">
        <x:v>INF_EGKR_S26_954</x:v>
      </x:c>
      <x:c r="AN6764" s="87" t="n">
        <x:v>3</x:v>
      </x:c>
    </x:row>
    <x:row r="6765">
      <x:c r="A6765" s="87" t="n">
        <x:v>6764</x:v>
      </x:c>
      <x:c r="B6765" s="87" t="str">
        <x:v>EGKR-S26-INF-954-03</x:v>
      </x:c>
      <x:c r="C6765" s="87" t="str">
        <x:v>ЕГКР</x:v>
      </x:c>
      <x:c r="D6765" s="87"/>
      <x:c r="E6765" s="87" t="str">
        <x:v>Весна 2026</x:v>
      </x:c>
      <x:c r="F6765" s="87" t="str">
        <x:v>18.04.2026</x:v>
      </x:c>
      <x:c r="G6765" s="87" t="str">
        <x:v>Информатика</x:v>
      </x:c>
      <x:c r="H6765" s="87" t="n">
        <x:v>11</x:v>
      </x:c>
      <x:c r="I6765" s="87"/>
      <x:c r="J6765" s="87" t="str">
        <x:v>954</x:v>
      </x:c>
      <x:c r="K6765" s="87" t="n">
        <x:v>3</x:v>
      </x:c>
      <x:c r="L6765" s="87" t="str">
        <x:v>Реляционные базы данных</x:v>
      </x:c>
      <x:c r="M6765" s="30" t="str">
        <x:v>Формулировка задания №3 варианта 954 отсутствует в локальном архиве. Запись сохранена как явный контрольный пропуск без реконструкции по аналогии.</x:v>
      </x:c>
      <x:c r="N6765" s="30"/>
      <x:c r="O6765" s="30" t="str">
        <x:v>Ответ не утверждается: нет локальной формулировки и исходного ключа.</x:v>
      </x:c>
      <x:c r="P6765" s="30"/>
      <x:c r="Q6765" s="30" t="str">
        <x:v>Аудит состава локального архива ЕГКР.</x:v>
      </x:c>
      <x:c r="R6765" s="30"/>
      <x:c r="S6765" s="30"/>
      <x:c r="T6765" s="30"/>
      <x:c r="U6765" s="30" t="str">
        <x:v>SOURCE_GAP: не подменять заданием другого варианта.</x:v>
      </x:c>
      <x:c r="V6765" s="87" t="str">
        <x:v>SOURCE_GAP</x:v>
      </x:c>
      <x:c r="W6765" s="87"/>
      <x:c r="X6765" s="87"/>
      <x:c r="Y6765" s="87"/>
      <x:c r="Z6765" s="87"/>
      <x:c r="AA6765" s="87"/>
      <x:c r="AB6765" s="87"/>
      <x:c r="AC6765" s="87"/>
      <x:c r="AD6765" s="87"/>
      <x:c r="AE6765" s="87"/>
      <x:c r="AF6765" s="87"/>
      <x:c r="AG6765" s="87"/>
      <x:c r="AH6765" s="87"/>
      <x:c r="AI6765" s="30"/>
      <x:c r="AJ6765" s="87" t="str">
        <x:v>clean</x:v>
      </x:c>
      <x:c r="AK6765" s="87" t="str">
        <x:v>clean-v0.28</x:v>
      </x:c>
      <x:c r="AL6765" s="87" t="str">
        <x:v>statgrad_clean_continuation_v0_28(2).xlsx</x:v>
      </x:c>
      <x:c r="AM6765" s="87" t="str">
        <x:v>INF_EGKR_S26_954</x:v>
      </x:c>
      <x:c r="AN6765" s="87" t="n">
        <x:v>4</x:v>
      </x:c>
    </x:row>
    <x:row r="6766">
      <x:c r="A6766" s="87" t="n">
        <x:v>6765</x:v>
      </x:c>
      <x:c r="B6766" s="87" t="str">
        <x:v>EGKR-S26-INF-954-04</x:v>
      </x:c>
      <x:c r="C6766" s="87" t="str">
        <x:v>ЕГКР</x:v>
      </x:c>
      <x:c r="D6766" s="87"/>
      <x:c r="E6766" s="87" t="str">
        <x:v>Весна 2026</x:v>
      </x:c>
      <x:c r="F6766" s="87" t="str">
        <x:v>18.04.2026</x:v>
      </x:c>
      <x:c r="G6766" s="87" t="str">
        <x:v>Информатика</x:v>
      </x:c>
      <x:c r="H6766" s="87" t="n">
        <x:v>11</x:v>
      </x:c>
      <x:c r="I6766" s="87"/>
      <x:c r="J6766" s="87" t="str">
        <x:v>954</x:v>
      </x:c>
      <x:c r="K6766" s="87" t="n">
        <x:v>4</x:v>
      </x:c>
      <x:c r="L6766" s="87" t="str">
        <x:v>Условие Фано / префиксные коды</x:v>
      </x:c>
      <x:c r="M6766" s="30" t="str">
        <x:v>Формулировка задания №4 варианта 954 отсутствует в локальном архиве. Запись сохранена как явный контрольный пропуск без реконструкции по аналогии.</x:v>
      </x:c>
      <x:c r="N6766" s="30"/>
      <x:c r="O6766" s="30" t="str">
        <x:v>Ответ не утверждается: нет локальной формулировки и исходного ключа.</x:v>
      </x:c>
      <x:c r="P6766" s="30"/>
      <x:c r="Q6766" s="30" t="str">
        <x:v>Аудит состава локального архива ЕГКР.</x:v>
      </x:c>
      <x:c r="R6766" s="30"/>
      <x:c r="S6766" s="30"/>
      <x:c r="T6766" s="30"/>
      <x:c r="U6766" s="30" t="str">
        <x:v>SOURCE_GAP: не подменять заданием другого варианта.</x:v>
      </x:c>
      <x:c r="V6766" s="87" t="str">
        <x:v>SOURCE_GAP</x:v>
      </x:c>
      <x:c r="W6766" s="87"/>
      <x:c r="X6766" s="87"/>
      <x:c r="Y6766" s="87"/>
      <x:c r="Z6766" s="87"/>
      <x:c r="AA6766" s="87"/>
      <x:c r="AB6766" s="87"/>
      <x:c r="AC6766" s="87"/>
      <x:c r="AD6766" s="87"/>
      <x:c r="AE6766" s="87"/>
      <x:c r="AF6766" s="87"/>
      <x:c r="AG6766" s="87"/>
      <x:c r="AH6766" s="87"/>
      <x:c r="AI6766" s="30"/>
      <x:c r="AJ6766" s="87" t="str">
        <x:v>clean</x:v>
      </x:c>
      <x:c r="AK6766" s="87" t="str">
        <x:v>clean-v0.28</x:v>
      </x:c>
      <x:c r="AL6766" s="87" t="str">
        <x:v>statgrad_clean_continuation_v0_28(2).xlsx</x:v>
      </x:c>
      <x:c r="AM6766" s="87" t="str">
        <x:v>INF_EGKR_S26_954</x:v>
      </x:c>
      <x:c r="AN6766" s="87" t="n">
        <x:v>5</x:v>
      </x:c>
    </x:row>
    <x:row r="6767">
      <x:c r="A6767" s="87" t="n">
        <x:v>6766</x:v>
      </x:c>
      <x:c r="B6767" s="87" t="str">
        <x:v>EGKR-S26-INF-954-05</x:v>
      </x:c>
      <x:c r="C6767" s="87" t="str">
        <x:v>ЕГКР</x:v>
      </x:c>
      <x:c r="D6767" s="87"/>
      <x:c r="E6767" s="87" t="str">
        <x:v>Весна 2026</x:v>
      </x:c>
      <x:c r="F6767" s="87" t="str">
        <x:v>18.04.2026</x:v>
      </x:c>
      <x:c r="G6767" s="87" t="str">
        <x:v>Информатика</x:v>
      </x:c>
      <x:c r="H6767" s="87" t="n">
        <x:v>11</x:v>
      </x:c>
      <x:c r="I6767" s="87"/>
      <x:c r="J6767" s="87" t="str">
        <x:v>954</x:v>
      </x:c>
      <x:c r="K6767" s="87" t="n">
        <x:v>5</x:v>
      </x:c>
      <x:c r="L6767" s="87" t="str">
        <x:v>Алгоритм и системы счисления</x:v>
      </x:c>
      <x:c r="M6767" s="30" t="str">
        <x:v>Задание линии 5: Алгоритм и системы счисления. Доступная формулировка и все таблицы/схемы сохранены на странице по VIS_ID.</x:v>
      </x:c>
      <x:c r="N6767" s="30" t="str">
        <x:v>354</x:v>
      </x:c>
      <x:c r="O6767" s="30" t="str">
        <x:v>Полный перебор натуральных N подтверждает минимальное чётное R&gt;350: 354 при N=39.</x:v>
      </x:c>
      <x:c r="P6767" s="30"/>
      <x:c r="Q6767" s="30" t="str">
        <x:v>Доступная исходная формулировка + независимая проверка результата.</x:v>
      </x:c>
      <x:c r="R6767" s="30" t="str">
        <x:v>354</x:v>
      </x:c>
      <x:c r="S6767" s="30"/>
      <x:c r="T6767" s="30"/>
      <x:c r="U6767" s="30" t="str">
        <x:v>Расхождений не выявлено.</x:v>
      </x:c>
      <x:c r="V6767" s="87" t="str">
        <x:v>VERIFIED</x:v>
      </x:c>
      <x:c r="W6767" s="87"/>
      <x:c r="X6767" s="87" t="n">
        <x:v>1</x:v>
      </x:c>
      <x:c r="Y6767" s="87"/>
      <x:c r="Z6767" s="87"/>
      <x:c r="AA6767" s="87"/>
      <x:c r="AB6767" s="87"/>
      <x:c r="AC6767" s="87" t="str">
        <x:v>VIS-EGKR-INF-S26-TASKSOL-954-P001</x:v>
      </x:c>
      <x:c r="AD6767" s="87" t="str">
        <x:v>VIS-EGKR-INF-S26-TASKSOL-954-P001</x:v>
      </x:c>
      <x:c r="AE6767" s="87"/>
      <x:c r="AF6767" s="87" t="str">
        <x:v>VIS-EGKR-INF-S26-TASKSOL-954-P001: 1; VIS-EGKR-INF-S26-TASKSOL-954-P002: 2</x:v>
      </x:c>
      <x:c r="AG6767" s="87" t="str">
        <x:v>RESOLVED</x:v>
      </x:c>
      <x:c r="AH6767" s="87" t="str">
        <x:v>CROP_VERIFIED</x:v>
      </x:c>
      <x:c r="AI6767" s="30"/>
      <x:c r="AJ6767" s="87" t="str">
        <x:v>clean</x:v>
      </x:c>
      <x:c r="AK6767" s="87" t="str">
        <x:v>clean-v0.28</x:v>
      </x:c>
      <x:c r="AL6767" s="87" t="str">
        <x:v>statgrad_clean_continuation_v0_28(2).xlsx</x:v>
      </x:c>
      <x:c r="AM6767" s="87" t="str">
        <x:v>INF_EGKR_S26_954</x:v>
      </x:c>
      <x:c r="AN6767" s="87" t="n">
        <x:v>6</x:v>
      </x:c>
    </x:row>
    <x:row r="6768">
      <x:c r="A6768" s="87" t="n">
        <x:v>6767</x:v>
      </x:c>
      <x:c r="B6768" s="87" t="str">
        <x:v>EGKR-S26-INF-954-06</x:v>
      </x:c>
      <x:c r="C6768" s="87" t="str">
        <x:v>ЕГКР</x:v>
      </x:c>
      <x:c r="D6768" s="87"/>
      <x:c r="E6768" s="87" t="str">
        <x:v>Весна 2026</x:v>
      </x:c>
      <x:c r="F6768" s="87" t="str">
        <x:v>18.04.2026</x:v>
      </x:c>
      <x:c r="G6768" s="87" t="str">
        <x:v>Информатика</x:v>
      </x:c>
      <x:c r="H6768" s="87" t="n">
        <x:v>11</x:v>
      </x:c>
      <x:c r="I6768" s="87"/>
      <x:c r="J6768" s="87" t="str">
        <x:v>954</x:v>
      </x:c>
      <x:c r="K6768" s="87" t="n">
        <x:v>6</x:v>
      </x:c>
      <x:c r="L6768" s="87" t="str">
        <x:v>Исполнитель Черепаха</x:v>
      </x:c>
      <x:c r="M6768" s="30" t="str">
        <x:v>Задание линии 6: Исполнитель Черепаха. Доступная формулировка и все таблицы/схемы сохранены на странице по VIS_ID.</x:v>
      </x:c>
      <x:c r="N6768" s="30" t="str">
        <x:v>98</x:v>
      </x:c>
      <x:c r="O6768" s="30" t="str">
        <x:v>Пересечение прямоугольников: 0&lt;x&lt;15 и 0&lt;y&lt;8; 14·7=98 внутренних целочисленных точек.</x:v>
      </x:c>
      <x:c r="P6768" s="30"/>
      <x:c r="Q6768" s="30" t="str">
        <x:v>Доступная исходная формулировка + независимая проверка результата.</x:v>
      </x:c>
      <x:c r="R6768" s="30" t="str">
        <x:v>98</x:v>
      </x:c>
      <x:c r="S6768" s="30"/>
      <x:c r="T6768" s="30"/>
      <x:c r="U6768" s="30" t="str">
        <x:v>Расхождений не выявлено.</x:v>
      </x:c>
      <x:c r="V6768" s="87" t="str">
        <x:v>VERIFIED</x:v>
      </x:c>
      <x:c r="W6768" s="87"/>
      <x:c r="X6768" s="87" t="n">
        <x:v>2</x:v>
      </x:c>
      <x:c r="Y6768" s="87"/>
      <x:c r="Z6768" s="87"/>
      <x:c r="AA6768" s="87"/>
      <x:c r="AB6768" s="87"/>
      <x:c r="AC6768" s="87" t="str">
        <x:v>VIS-EGKR-INF-S26-TASKSOL-954-P002</x:v>
      </x:c>
      <x:c r="AD6768" s="87" t="str">
        <x:v>VIS-EGKR-INF-S26-TASKSOL-954-P001</x:v>
      </x:c>
      <x:c r="AE6768" s="87"/>
      <x:c r="AF6768" s="87" t="str">
        <x:v>VIS-EGKR-INF-S26-TASKSOL-954-P002: 2; VIS-EGKR-INF-S26-TASKSOL-954-P001: 1</x:v>
      </x:c>
      <x:c r="AG6768" s="87" t="str">
        <x:v>RESOLVED</x:v>
      </x:c>
      <x:c r="AH6768" s="87" t="str">
        <x:v>CROP_VERIFIED</x:v>
      </x:c>
      <x:c r="AI6768" s="30"/>
      <x:c r="AJ6768" s="87" t="str">
        <x:v>clean</x:v>
      </x:c>
      <x:c r="AK6768" s="87" t="str">
        <x:v>clean-v0.28</x:v>
      </x:c>
      <x:c r="AL6768" s="87" t="str">
        <x:v>statgrad_clean_continuation_v0_28(2).xlsx</x:v>
      </x:c>
      <x:c r="AM6768" s="87" t="str">
        <x:v>INF_EGKR_S26_954</x:v>
      </x:c>
      <x:c r="AN6768" s="87" t="n">
        <x:v>7</x:v>
      </x:c>
    </x:row>
    <x:row r="6769">
      <x:c r="A6769" s="87" t="n">
        <x:v>6768</x:v>
      </x:c>
      <x:c r="B6769" s="87" t="str">
        <x:v>EGKR-S26-INF-954-07</x:v>
      </x:c>
      <x:c r="C6769" s="87" t="str">
        <x:v>ЕГКР</x:v>
      </x:c>
      <x:c r="D6769" s="87"/>
      <x:c r="E6769" s="87" t="str">
        <x:v>Весна 2026</x:v>
      </x:c>
      <x:c r="F6769" s="87" t="str">
        <x:v>18.04.2026</x:v>
      </x:c>
      <x:c r="G6769" s="87" t="str">
        <x:v>Информатика</x:v>
      </x:c>
      <x:c r="H6769" s="87" t="n">
        <x:v>11</x:v>
      </x:c>
      <x:c r="I6769" s="87"/>
      <x:c r="J6769" s="87" t="str">
        <x:v>954</x:v>
      </x:c>
      <x:c r="K6769" s="87" t="n">
        <x:v>7</x:v>
      </x:c>
      <x:c r="L6769" s="87" t="str">
        <x:v>Кодирование звука</x:v>
      </x:c>
      <x:c r="M6769" s="30" t="str">
        <x:v>Задание линии 7: Кодирование звука. Доступная формулировка и все таблицы/схемы сохранены на странице по VIS_ID.</x:v>
      </x:c>
      <x:c r="N6769" s="30" t="str">
        <x:v>737</x:v>
      </x:c>
      <x:c r="O6769" s="30" t="str">
        <x:v>Расчёт стереопотока и 15 заголовков даёт 737,728... Мбайт; целая часть 737.</x:v>
      </x:c>
      <x:c r="P6769" s="30"/>
      <x:c r="Q6769" s="30" t="str">
        <x:v>Доступная исходная формулировка + независимая проверка результата.</x:v>
      </x:c>
      <x:c r="R6769" s="30" t="str">
        <x:v>737</x:v>
      </x:c>
      <x:c r="S6769" s="30"/>
      <x:c r="T6769" s="30"/>
      <x:c r="U6769" s="30" t="str">
        <x:v>Расхождений не выявлено.</x:v>
      </x:c>
      <x:c r="V6769" s="87" t="str">
        <x:v>VERIFIED</x:v>
      </x:c>
      <x:c r="W6769" s="87"/>
      <x:c r="X6769" s="87" t="n">
        <x:v>2</x:v>
      </x:c>
      <x:c r="Y6769" s="87"/>
      <x:c r="Z6769" s="87"/>
      <x:c r="AA6769" s="87"/>
      <x:c r="AB6769" s="87"/>
      <x:c r="AC6769" s="87" t="str">
        <x:v>VIS-EGKR-INF-S26-TASKSOL-954-P002</x:v>
      </x:c>
      <x:c r="AD6769" s="87" t="str">
        <x:v>VIS-EGKR-INF-S26-TASKSOL-954-P001</x:v>
      </x:c>
      <x:c r="AE6769" s="87"/>
      <x:c r="AF6769" s="87" t="str">
        <x:v>VIS-EGKR-INF-S26-TASKSOL-954-P002: 2; VIS-EGKR-INF-S26-TASKSOL-954-P003: 3; VIS-EGKR-INF-S26-TASKSOL-954-P001: 1</x:v>
      </x:c>
      <x:c r="AG6769" s="87" t="str">
        <x:v>RESOLVED</x:v>
      </x:c>
      <x:c r="AH6769" s="87" t="str">
        <x:v>CROP_VERIFIED</x:v>
      </x:c>
      <x:c r="AI6769" s="30"/>
      <x:c r="AJ6769" s="87" t="str">
        <x:v>clean</x:v>
      </x:c>
      <x:c r="AK6769" s="87" t="str">
        <x:v>clean-v0.28</x:v>
      </x:c>
      <x:c r="AL6769" s="87" t="str">
        <x:v>statgrad_clean_continuation_v0_28(2).xlsx</x:v>
      </x:c>
      <x:c r="AM6769" s="87" t="str">
        <x:v>INF_EGKR_S26_954</x:v>
      </x:c>
      <x:c r="AN6769" s="87" t="n">
        <x:v>8</x:v>
      </x:c>
    </x:row>
    <x:row r="6770">
      <x:c r="A6770" s="87" t="n">
        <x:v>6769</x:v>
      </x:c>
      <x:c r="B6770" s="87" t="str">
        <x:v>EGKR-S26-INF-954-08</x:v>
      </x:c>
      <x:c r="C6770" s="87" t="str">
        <x:v>ЕГКР</x:v>
      </x:c>
      <x:c r="D6770" s="87"/>
      <x:c r="E6770" s="87" t="str">
        <x:v>Весна 2026</x:v>
      </x:c>
      <x:c r="F6770" s="87" t="str">
        <x:v>18.04.2026</x:v>
      </x:c>
      <x:c r="G6770" s="87" t="str">
        <x:v>Информатика</x:v>
      </x:c>
      <x:c r="H6770" s="87" t="n">
        <x:v>11</x:v>
      </x:c>
      <x:c r="I6770" s="87"/>
      <x:c r="J6770" s="87" t="str">
        <x:v>954</x:v>
      </x:c>
      <x:c r="K6770" s="87" t="n">
        <x:v>8</x:v>
      </x:c>
      <x:c r="L6770" s="87" t="str">
        <x:v>Комбинаторика слов</x:v>
      </x:c>
      <x:c r="M6770" s="30" t="str">
        <x:v>Задание линии 8: Комбинаторика слов. Доступная формулировка и все таблицы/схемы сохранены на странице по VIS_ID.</x:v>
      </x:c>
      <x:c r="N6770" s="30" t="str">
        <x:v>2661</x:v>
      </x:c>
      <x:c r="O6770" s="30" t="str">
        <x:v>Прямой перебор слов в алфавитном порядке даёт первое подходящее слово под номером 2661.</x:v>
      </x:c>
      <x:c r="P6770" s="30"/>
      <x:c r="Q6770" s="30" t="str">
        <x:v>Доступная исходная формулировка + независимая проверка результата.</x:v>
      </x:c>
      <x:c r="R6770" s="30" t="str">
        <x:v>2661</x:v>
      </x:c>
      <x:c r="S6770" s="30"/>
      <x:c r="T6770" s="30"/>
      <x:c r="U6770" s="30" t="str">
        <x:v>Расхождений не выявлено.</x:v>
      </x:c>
      <x:c r="V6770" s="87" t="str">
        <x:v>VERIFIED</x:v>
      </x:c>
      <x:c r="W6770" s="87"/>
      <x:c r="X6770" s="87" t="n">
        <x:v>3</x:v>
      </x:c>
      <x:c r="Y6770" s="87"/>
      <x:c r="Z6770" s="87"/>
      <x:c r="AA6770" s="87"/>
      <x:c r="AB6770" s="87"/>
      <x:c r="AC6770" s="87" t="str">
        <x:v>VIS-EGKR-INF-S26-TASKSOL-954-P003</x:v>
      </x:c>
      <x:c r="AD6770" s="87" t="str">
        <x:v>VIS-EGKR-INF-S26-TASKSOL-954-P001</x:v>
      </x:c>
      <x:c r="AE6770" s="87"/>
      <x:c r="AF6770" s="87" t="str">
        <x:v>VIS-EGKR-INF-S26-TASKSOL-954-P003: 3; VIS-EGKR-INF-S26-TASKSOL-954-P004: 4; VIS-EGKR-INF-S26-TASKSOL-954-P001: 1</x:v>
      </x:c>
      <x:c r="AG6770" s="87" t="str">
        <x:v>RESOLVED</x:v>
      </x:c>
      <x:c r="AH6770" s="87" t="str">
        <x:v>CROP_VERIFIED</x:v>
      </x:c>
      <x:c r="AI6770" s="30"/>
      <x:c r="AJ6770" s="87" t="str">
        <x:v>clean</x:v>
      </x:c>
      <x:c r="AK6770" s="87" t="str">
        <x:v>clean-v0.28</x:v>
      </x:c>
      <x:c r="AL6770" s="87" t="str">
        <x:v>statgrad_clean_continuation_v0_28(2).xlsx</x:v>
      </x:c>
      <x:c r="AM6770" s="87" t="str">
        <x:v>INF_EGKR_S26_954</x:v>
      </x:c>
      <x:c r="AN6770" s="87" t="n">
        <x:v>9</x:v>
      </x:c>
    </x:row>
    <x:row r="6771">
      <x:c r="A6771" s="87" t="n">
        <x:v>6770</x:v>
      </x:c>
      <x:c r="B6771" s="87" t="str">
        <x:v>EGKR-S26-INF-954-09</x:v>
      </x:c>
      <x:c r="C6771" s="87" t="str">
        <x:v>ЕГКР</x:v>
      </x:c>
      <x:c r="D6771" s="87"/>
      <x:c r="E6771" s="87" t="str">
        <x:v>Весна 2026</x:v>
      </x:c>
      <x:c r="F6771" s="87" t="str">
        <x:v>18.04.2026</x:v>
      </x:c>
      <x:c r="G6771" s="87" t="str">
        <x:v>Информатика</x:v>
      </x:c>
      <x:c r="H6771" s="87" t="n">
        <x:v>11</x:v>
      </x:c>
      <x:c r="I6771" s="87"/>
      <x:c r="J6771" s="87" t="str">
        <x:v>954</x:v>
      </x:c>
      <x:c r="K6771" s="87" t="n">
        <x:v>9</x:v>
      </x:c>
      <x:c r="L6771" s="87" t="str">
        <x:v>Электронные таблицы</x:v>
      </x:c>
      <x:c r="M6771" s="30" t="str">
        <x:v>Формулировка задания №9 варианта 954 отсутствует в локальном архиве. Запись сохранена как явный контрольный пропуск без реконструкции по аналогии.</x:v>
      </x:c>
      <x:c r="N6771" s="30"/>
      <x:c r="O6771" s="30" t="str">
        <x:v>Ответ не утверждается: нет локальной формулировки и исходного ключа.</x:v>
      </x:c>
      <x:c r="P6771" s="30"/>
      <x:c r="Q6771" s="30" t="str">
        <x:v>Аудит состава локального архива ЕГКР.</x:v>
      </x:c>
      <x:c r="R6771" s="30"/>
      <x:c r="S6771" s="30"/>
      <x:c r="T6771" s="30"/>
      <x:c r="U6771" s="30" t="str">
        <x:v>SOURCE_GAP: не подменять заданием другого варианта.</x:v>
      </x:c>
      <x:c r="V6771" s="87" t="str">
        <x:v>SOURCE_GAP</x:v>
      </x:c>
      <x:c r="W6771" s="87"/>
      <x:c r="X6771" s="87"/>
      <x:c r="Y6771" s="87"/>
      <x:c r="Z6771" s="87"/>
      <x:c r="AA6771" s="87"/>
      <x:c r="AB6771" s="87"/>
      <x:c r="AC6771" s="87"/>
      <x:c r="AD6771" s="87"/>
      <x:c r="AE6771" s="87"/>
      <x:c r="AF6771" s="87"/>
      <x:c r="AG6771" s="87"/>
      <x:c r="AH6771" s="87"/>
      <x:c r="AI6771" s="30"/>
      <x:c r="AJ6771" s="87" t="str">
        <x:v>clean</x:v>
      </x:c>
      <x:c r="AK6771" s="87" t="str">
        <x:v>clean-v0.28</x:v>
      </x:c>
      <x:c r="AL6771" s="87" t="str">
        <x:v>statgrad_clean_continuation_v0_28(2).xlsx</x:v>
      </x:c>
      <x:c r="AM6771" s="87" t="str">
        <x:v>INF_EGKR_S26_954</x:v>
      </x:c>
      <x:c r="AN6771" s="87" t="n">
        <x:v>10</x:v>
      </x:c>
    </x:row>
    <x:row r="6772">
      <x:c r="A6772" s="87" t="n">
        <x:v>6771</x:v>
      </x:c>
      <x:c r="B6772" s="87" t="str">
        <x:v>EGKR-S26-INF-954-10</x:v>
      </x:c>
      <x:c r="C6772" s="87" t="str">
        <x:v>ЕГКР</x:v>
      </x:c>
      <x:c r="D6772" s="87"/>
      <x:c r="E6772" s="87" t="str">
        <x:v>Весна 2026</x:v>
      </x:c>
      <x:c r="F6772" s="87" t="str">
        <x:v>18.04.2026</x:v>
      </x:c>
      <x:c r="G6772" s="87" t="str">
        <x:v>Информатика</x:v>
      </x:c>
      <x:c r="H6772" s="87" t="n">
        <x:v>11</x:v>
      </x:c>
      <x:c r="I6772" s="87"/>
      <x:c r="J6772" s="87" t="str">
        <x:v>954</x:v>
      </x:c>
      <x:c r="K6772" s="87" t="n">
        <x:v>10</x:v>
      </x:c>
      <x:c r="L6772" s="87" t="str">
        <x:v>Текстовый поиск</x:v>
      </x:c>
      <x:c r="M6772" s="30" t="str">
        <x:v>Формулировка задания №10 варианта 954 отсутствует в локальном архиве. Запись сохранена как явный контрольный пропуск без реконструкции по аналогии.</x:v>
      </x:c>
      <x:c r="N6772" s="30"/>
      <x:c r="O6772" s="30" t="str">
        <x:v>Ответ не утверждается: нет локальной формулировки и исходного ключа.</x:v>
      </x:c>
      <x:c r="P6772" s="30"/>
      <x:c r="Q6772" s="30" t="str">
        <x:v>Аудит состава локального архива ЕГКР.</x:v>
      </x:c>
      <x:c r="R6772" s="30"/>
      <x:c r="S6772" s="30"/>
      <x:c r="T6772" s="30"/>
      <x:c r="U6772" s="30" t="str">
        <x:v>SOURCE_GAP: не подменять заданием другого варианта.</x:v>
      </x:c>
      <x:c r="V6772" s="87" t="str">
        <x:v>SOURCE_GAP</x:v>
      </x:c>
      <x:c r="W6772" s="87"/>
      <x:c r="X6772" s="87"/>
      <x:c r="Y6772" s="87"/>
      <x:c r="Z6772" s="87"/>
      <x:c r="AA6772" s="87"/>
      <x:c r="AB6772" s="87"/>
      <x:c r="AC6772" s="87"/>
      <x:c r="AD6772" s="87"/>
      <x:c r="AE6772" s="87"/>
      <x:c r="AF6772" s="87"/>
      <x:c r="AG6772" s="87"/>
      <x:c r="AH6772" s="87"/>
      <x:c r="AI6772" s="30"/>
      <x:c r="AJ6772" s="87" t="str">
        <x:v>clean</x:v>
      </x:c>
      <x:c r="AK6772" s="87" t="str">
        <x:v>clean-v0.28</x:v>
      </x:c>
      <x:c r="AL6772" s="87" t="str">
        <x:v>statgrad_clean_continuation_v0_28(2).xlsx</x:v>
      </x:c>
      <x:c r="AM6772" s="87" t="str">
        <x:v>INF_EGKR_S26_954</x:v>
      </x:c>
      <x:c r="AN6772" s="87" t="n">
        <x:v>11</x:v>
      </x:c>
    </x:row>
    <x:row r="6773">
      <x:c r="A6773" s="87" t="n">
        <x:v>6772</x:v>
      </x:c>
      <x:c r="B6773" s="87" t="str">
        <x:v>EGKR-S26-INF-954-11</x:v>
      </x:c>
      <x:c r="C6773" s="87" t="str">
        <x:v>ЕГКР</x:v>
      </x:c>
      <x:c r="D6773" s="87"/>
      <x:c r="E6773" s="87" t="str">
        <x:v>Весна 2026</x:v>
      </x:c>
      <x:c r="F6773" s="87" t="str">
        <x:v>18.04.2026</x:v>
      </x:c>
      <x:c r="G6773" s="87" t="str">
        <x:v>Информатика</x:v>
      </x:c>
      <x:c r="H6773" s="87" t="n">
        <x:v>11</x:v>
      </x:c>
      <x:c r="I6773" s="87"/>
      <x:c r="J6773" s="87" t="str">
        <x:v>954</x:v>
      </x:c>
      <x:c r="K6773" s="87" t="n">
        <x:v>11</x:v>
      </x:c>
      <x:c r="L6773" s="87" t="str">
        <x:v>Кодирование информации в БД</x:v>
      </x:c>
      <x:c r="M6773" s="30" t="str">
        <x:v>Задание линии 11: Кодирование информации в БД. Доступная формулировка и все таблицы/схемы сохранены на странице по VIS_ID.</x:v>
      </x:c>
      <x:c r="N6773" s="30" t="str">
        <x:v>1024</x:v>
      </x:c>
      <x:c r="O6773" s="30" t="str">
        <x:v>Строго менее 3 Мбайт означает не более 95 байт на номер; максимум 10 бит/символ, 2^10=1024.</x:v>
      </x:c>
      <x:c r="P6773" s="30"/>
      <x:c r="Q6773" s="30" t="str">
        <x:v>Доступная исходная формулировка + независимая проверка результата.</x:v>
      </x:c>
      <x:c r="R6773" s="30" t="str">
        <x:v>1024</x:v>
      </x:c>
      <x:c r="S6773" s="30"/>
      <x:c r="T6773" s="30"/>
      <x:c r="U6773" s="30" t="str">
        <x:v>Расхождений не выявлено.</x:v>
      </x:c>
      <x:c r="V6773" s="87" t="str">
        <x:v>VERIFIED</x:v>
      </x:c>
      <x:c r="W6773" s="87"/>
      <x:c r="X6773" s="87" t="n">
        <x:v>4</x:v>
      </x:c>
      <x:c r="Y6773" s="87"/>
      <x:c r="Z6773" s="87"/>
      <x:c r="AA6773" s="87"/>
      <x:c r="AB6773" s="87"/>
      <x:c r="AC6773" s="87" t="str">
        <x:v>VIS-EGKR-INF-S26-TASKSOL-954-P004</x:v>
      </x:c>
      <x:c r="AD6773" s="87" t="str">
        <x:v>VIS-EGKR-INF-S26-TASKSOL-954-P001</x:v>
      </x:c>
      <x:c r="AE6773" s="87"/>
      <x:c r="AF6773" s="87" t="str">
        <x:v>VIS-EGKR-INF-S26-TASKSOL-954-P004: 4; VIS-EGKR-INF-S26-TASKSOL-954-P001: 1</x:v>
      </x:c>
      <x:c r="AG6773" s="87" t="str">
        <x:v>RESOLVED</x:v>
      </x:c>
      <x:c r="AH6773" s="87" t="str">
        <x:v>CROP_VERIFIED</x:v>
      </x:c>
      <x:c r="AI6773" s="30"/>
      <x:c r="AJ6773" s="87" t="str">
        <x:v>clean</x:v>
      </x:c>
      <x:c r="AK6773" s="87" t="str">
        <x:v>clean-v0.28</x:v>
      </x:c>
      <x:c r="AL6773" s="87" t="str">
        <x:v>statgrad_clean_continuation_v0_28(2).xlsx</x:v>
      </x:c>
      <x:c r="AM6773" s="87" t="str">
        <x:v>INF_EGKR_S26_954</x:v>
      </x:c>
      <x:c r="AN6773" s="87" t="n">
        <x:v>12</x:v>
      </x:c>
    </x:row>
    <x:row r="6774">
      <x:c r="A6774" s="87" t="n">
        <x:v>6773</x:v>
      </x:c>
      <x:c r="B6774" s="87" t="str">
        <x:v>EGKR-S26-INF-954-12</x:v>
      </x:c>
      <x:c r="C6774" s="87" t="str">
        <x:v>ЕГКР</x:v>
      </x:c>
      <x:c r="D6774" s="87"/>
      <x:c r="E6774" s="87" t="str">
        <x:v>Весна 2026</x:v>
      </x:c>
      <x:c r="F6774" s="87" t="str">
        <x:v>18.04.2026</x:v>
      </x:c>
      <x:c r="G6774" s="87" t="str">
        <x:v>Информатика</x:v>
      </x:c>
      <x:c r="H6774" s="87" t="n">
        <x:v>11</x:v>
      </x:c>
      <x:c r="I6774" s="87"/>
      <x:c r="J6774" s="87" t="str">
        <x:v>954</x:v>
      </x:c>
      <x:c r="K6774" s="87" t="n">
        <x:v>12</x:v>
      </x:c>
      <x:c r="L6774" s="87" t="str">
        <x:v>Машина Тьюринга</x:v>
      </x:c>
      <x:c r="M6774" s="30" t="str">
        <x:v>Формулировка задания №12 варианта 954 отсутствует в локальном архиве. Запись сохранена как явный контрольный пропуск без реконструкции по аналогии.</x:v>
      </x:c>
      <x:c r="N6774" s="30"/>
      <x:c r="O6774" s="30" t="str">
        <x:v>Ответ не утверждается: нет локальной формулировки и исходного ключа.</x:v>
      </x:c>
      <x:c r="P6774" s="30"/>
      <x:c r="Q6774" s="30" t="str">
        <x:v>Аудит состава локального архива ЕГКР.</x:v>
      </x:c>
      <x:c r="R6774" s="30"/>
      <x:c r="S6774" s="30"/>
      <x:c r="T6774" s="30"/>
      <x:c r="U6774" s="30" t="str">
        <x:v>SOURCE_GAP: не подменять заданием другого варианта.</x:v>
      </x:c>
      <x:c r="V6774" s="87" t="str">
        <x:v>SOURCE_GAP</x:v>
      </x:c>
      <x:c r="W6774" s="87"/>
      <x:c r="X6774" s="87"/>
      <x:c r="Y6774" s="87"/>
      <x:c r="Z6774" s="87"/>
      <x:c r="AA6774" s="87"/>
      <x:c r="AB6774" s="87"/>
      <x:c r="AC6774" s="87"/>
      <x:c r="AD6774" s="87"/>
      <x:c r="AE6774" s="87"/>
      <x:c r="AF6774" s="87"/>
      <x:c r="AG6774" s="87"/>
      <x:c r="AH6774" s="87"/>
      <x:c r="AI6774" s="30"/>
      <x:c r="AJ6774" s="87" t="str">
        <x:v>clean</x:v>
      </x:c>
      <x:c r="AK6774" s="87" t="str">
        <x:v>clean-v0.28</x:v>
      </x:c>
      <x:c r="AL6774" s="87" t="str">
        <x:v>statgrad_clean_continuation_v0_28(2).xlsx</x:v>
      </x:c>
      <x:c r="AM6774" s="87" t="str">
        <x:v>INF_EGKR_S26_954</x:v>
      </x:c>
      <x:c r="AN6774" s="87" t="n">
        <x:v>13</x:v>
      </x:c>
    </x:row>
    <x:row r="6775">
      <x:c r="A6775" s="87" t="n">
        <x:v>6774</x:v>
      </x:c>
      <x:c r="B6775" s="87" t="str">
        <x:v>EGKR-S26-INF-954-13</x:v>
      </x:c>
      <x:c r="C6775" s="87" t="str">
        <x:v>ЕГКР</x:v>
      </x:c>
      <x:c r="D6775" s="87"/>
      <x:c r="E6775" s="87" t="str">
        <x:v>Весна 2026</x:v>
      </x:c>
      <x:c r="F6775" s="87" t="str">
        <x:v>18.04.2026</x:v>
      </x:c>
      <x:c r="G6775" s="87" t="str">
        <x:v>Информатика</x:v>
      </x:c>
      <x:c r="H6775" s="87" t="n">
        <x:v>11</x:v>
      </x:c>
      <x:c r="I6775" s="87"/>
      <x:c r="J6775" s="87" t="str">
        <x:v>954</x:v>
      </x:c>
      <x:c r="K6775" s="87" t="n">
        <x:v>13</x:v>
      </x:c>
      <x:c r="L6775" s="87" t="str">
        <x:v>IP-адресация</x:v>
      </x:c>
      <x:c r="M6775" s="30" t="str">
        <x:v>Задание линии 13: IP-адресация. Доступная формулировка и все таблицы/схемы сохранены на странице по VIS_ID.</x:v>
      </x:c>
      <x:c r="N6775" s="30" t="str">
        <x:v>722</x:v>
      </x:c>
      <x:c r="O6775" s="30" t="str">
        <x:v>Максимальный адрес узла 54.159.255.254; сумма октетов 722.</x:v>
      </x:c>
      <x:c r="P6775" s="30"/>
      <x:c r="Q6775" s="30" t="str">
        <x:v>Доступная исходная формулировка + независимая проверка результата.</x:v>
      </x:c>
      <x:c r="R6775" s="30" t="str">
        <x:v>722</x:v>
      </x:c>
      <x:c r="S6775" s="30"/>
      <x:c r="T6775" s="30"/>
      <x:c r="U6775" s="30" t="str">
        <x:v>Расхождений не выявлено.</x:v>
      </x:c>
      <x:c r="V6775" s="87" t="str">
        <x:v>VERIFIED</x:v>
      </x:c>
      <x:c r="W6775" s="87"/>
      <x:c r="X6775" s="87" t="n">
        <x:v>4</x:v>
      </x:c>
      <x:c r="Y6775" s="87"/>
      <x:c r="Z6775" s="87"/>
      <x:c r="AA6775" s="87"/>
      <x:c r="AB6775" s="87"/>
      <x:c r="AC6775" s="87" t="str">
        <x:v>VIS-EGKR-INF-S26-TASKSOL-954-P004</x:v>
      </x:c>
      <x:c r="AD6775" s="87" t="str">
        <x:v>VIS-EGKR-INF-S26-TASKSOL-954-P001</x:v>
      </x:c>
      <x:c r="AE6775" s="87"/>
      <x:c r="AF6775" s="87" t="str">
        <x:v>VIS-EGKR-INF-S26-TASKSOL-954-P004: 4; VIS-EGKR-INF-S26-TASKSOL-954-P005: 5; VIS-EGKR-INF-S26-TASKSOL-954-P001: 1</x:v>
      </x:c>
      <x:c r="AG6775" s="87" t="str">
        <x:v>RESOLVED</x:v>
      </x:c>
      <x:c r="AH6775" s="87" t="str">
        <x:v>CROP_VERIFIED</x:v>
      </x:c>
      <x:c r="AI6775" s="30"/>
      <x:c r="AJ6775" s="87" t="str">
        <x:v>clean</x:v>
      </x:c>
      <x:c r="AK6775" s="87" t="str">
        <x:v>clean-v0.28</x:v>
      </x:c>
      <x:c r="AL6775" s="87" t="str">
        <x:v>statgrad_clean_continuation_v0_28(2).xlsx</x:v>
      </x:c>
      <x:c r="AM6775" s="87" t="str">
        <x:v>INF_EGKR_S26_954</x:v>
      </x:c>
      <x:c r="AN6775" s="87" t="n">
        <x:v>14</x:v>
      </x:c>
    </x:row>
    <x:row r="6776">
      <x:c r="A6776" s="87" t="n">
        <x:v>6775</x:v>
      </x:c>
      <x:c r="B6776" s="87" t="str">
        <x:v>EGKR-S26-INF-954-14</x:v>
      </x:c>
      <x:c r="C6776" s="87" t="str">
        <x:v>ЕГКР</x:v>
      </x:c>
      <x:c r="D6776" s="87"/>
      <x:c r="E6776" s="87" t="str">
        <x:v>Весна 2026</x:v>
      </x:c>
      <x:c r="F6776" s="87" t="str">
        <x:v>18.04.2026</x:v>
      </x:c>
      <x:c r="G6776" s="87" t="str">
        <x:v>Информатика</x:v>
      </x:c>
      <x:c r="H6776" s="87" t="n">
        <x:v>11</x:v>
      </x:c>
      <x:c r="I6776" s="87"/>
      <x:c r="J6776" s="87" t="str">
        <x:v>954</x:v>
      </x:c>
      <x:c r="K6776" s="87" t="n">
        <x:v>14</x:v>
      </x:c>
      <x:c r="L6776" s="87" t="str">
        <x:v>Системы счисления</x:v>
      </x:c>
      <x:c r="M6776" s="30" t="str">
        <x:v>Задание линии 14: Системы счисления. Доступная формулировка и все таблицы/схемы сохранены на странице по VIS_ID.</x:v>
      </x:c>
      <x:c r="N6776" s="30" t="str">
        <x:v>19683</x:v>
      </x:c>
      <x:c r="O6776" s="30" t="str">
        <x:v>Полный перебор 0≤x≤27000: единственный максимум числа нулей достигается при x=27^3=19683.</x:v>
      </x:c>
      <x:c r="P6776" s="30"/>
      <x:c r="Q6776" s="30" t="str">
        <x:v>Доступная исходная формулировка + независимая проверка результата.</x:v>
      </x:c>
      <x:c r="R6776" s="30" t="str">
        <x:v>19683</x:v>
      </x:c>
      <x:c r="S6776" s="30"/>
      <x:c r="T6776" s="30"/>
      <x:c r="U6776" s="30" t="str">
        <x:v>Расхождений не выявлено.</x:v>
      </x:c>
      <x:c r="V6776" s="87" t="str">
        <x:v>VERIFIED</x:v>
      </x:c>
      <x:c r="W6776" s="87"/>
      <x:c r="X6776" s="87" t="n">
        <x:v>5</x:v>
      </x:c>
      <x:c r="Y6776" s="87"/>
      <x:c r="Z6776" s="87"/>
      <x:c r="AA6776" s="87"/>
      <x:c r="AB6776" s="87"/>
      <x:c r="AC6776" s="87" t="str">
        <x:v>VIS-EGKR-INF-S26-TASKSOL-954-P005</x:v>
      </x:c>
      <x:c r="AD6776" s="87" t="str">
        <x:v>VIS-EGKR-INF-S26-TASKSOL-954-P001</x:v>
      </x:c>
      <x:c r="AE6776" s="87"/>
      <x:c r="AF6776" s="87" t="str">
        <x:v>VIS-EGKR-INF-S26-TASKSOL-954-P005: 5; VIS-EGKR-INF-S26-TASKSOL-954-P001: 1</x:v>
      </x:c>
      <x:c r="AG6776" s="87" t="str">
        <x:v>RESOLVED</x:v>
      </x:c>
      <x:c r="AH6776" s="87" t="str">
        <x:v>CROP_VERIFIED</x:v>
      </x:c>
      <x:c r="AI6776" s="30"/>
      <x:c r="AJ6776" s="87" t="str">
        <x:v>clean</x:v>
      </x:c>
      <x:c r="AK6776" s="87" t="str">
        <x:v>clean-v0.28</x:v>
      </x:c>
      <x:c r="AL6776" s="87" t="str">
        <x:v>statgrad_clean_continuation_v0_28(2).xlsx</x:v>
      </x:c>
      <x:c r="AM6776" s="87" t="str">
        <x:v>INF_EGKR_S26_954</x:v>
      </x:c>
      <x:c r="AN6776" s="87" t="n">
        <x:v>15</x:v>
      </x:c>
    </x:row>
    <x:row r="6777">
      <x:c r="A6777" s="87" t="n">
        <x:v>6776</x:v>
      </x:c>
      <x:c r="B6777" s="87" t="str">
        <x:v>EGKR-S26-INF-954-15</x:v>
      </x:c>
      <x:c r="C6777" s="87" t="str">
        <x:v>ЕГКР</x:v>
      </x:c>
      <x:c r="D6777" s="87"/>
      <x:c r="E6777" s="87" t="str">
        <x:v>Весна 2026</x:v>
      </x:c>
      <x:c r="F6777" s="87" t="str">
        <x:v>18.04.2026</x:v>
      </x:c>
      <x:c r="G6777" s="87" t="str">
        <x:v>Информатика</x:v>
      </x:c>
      <x:c r="H6777" s="87" t="n">
        <x:v>11</x:v>
      </x:c>
      <x:c r="I6777" s="87"/>
      <x:c r="J6777" s="87" t="str">
        <x:v>954</x:v>
      </x:c>
      <x:c r="K6777" s="87" t="n">
        <x:v>15</x:v>
      </x:c>
      <x:c r="L6777" s="87" t="str">
        <x:v>Алгебра логики</x:v>
      </x:c>
      <x:c r="M6777" s="30" t="str">
        <x:v>Задание линии 15: Алгебра логики. Доступная формулировка и все таблицы/схемы сохранены на странице по VIS_ID.</x:v>
      </x:c>
      <x:c r="N6777" s="30" t="str">
        <x:v>12125</x:v>
      </x:c>
      <x:c r="O6777" s="30" t="str">
        <x:v>Минимальный опасный x в целых решениях 3x+4y=84882 при x≥y равен 12126; Amax=12125.</x:v>
      </x:c>
      <x:c r="P6777" s="30"/>
      <x:c r="Q6777" s="30" t="str">
        <x:v>Доступная исходная формулировка + независимая проверка результата.</x:v>
      </x:c>
      <x:c r="R6777" s="30" t="str">
        <x:v>12125</x:v>
      </x:c>
      <x:c r="S6777" s="30"/>
      <x:c r="T6777" s="30"/>
      <x:c r="U6777" s="30" t="str">
        <x:v>Расхождений не выявлено.</x:v>
      </x:c>
      <x:c r="V6777" s="87" t="str">
        <x:v>VERIFIED</x:v>
      </x:c>
      <x:c r="W6777" s="87"/>
      <x:c r="X6777" s="87" t="n">
        <x:v>5</x:v>
      </x:c>
      <x:c r="Y6777" s="87"/>
      <x:c r="Z6777" s="87"/>
      <x:c r="AA6777" s="87"/>
      <x:c r="AB6777" s="87"/>
      <x:c r="AC6777" s="87" t="str">
        <x:v>VIS-EGKR-INF-S26-TASKSOL-954-P005</x:v>
      </x:c>
      <x:c r="AD6777" s="87" t="str">
        <x:v>VIS-EGKR-INF-S26-TASKSOL-954-P001</x:v>
      </x:c>
      <x:c r="AE6777" s="87"/>
      <x:c r="AF6777" s="87" t="str">
        <x:v>VIS-EGKR-INF-S26-TASKSOL-954-P005: 5; VIS-EGKR-INF-S26-TASKSOL-954-P006: 6; VIS-EGKR-INF-S26-TASKSOL-954-P001: 1</x:v>
      </x:c>
      <x:c r="AG6777" s="87" t="str">
        <x:v>RESOLVED</x:v>
      </x:c>
      <x:c r="AH6777" s="87" t="str">
        <x:v>CROP_VERIFIED</x:v>
      </x:c>
      <x:c r="AI6777" s="30"/>
      <x:c r="AJ6777" s="87" t="str">
        <x:v>clean</x:v>
      </x:c>
      <x:c r="AK6777" s="87" t="str">
        <x:v>clean-v0.28</x:v>
      </x:c>
      <x:c r="AL6777" s="87" t="str">
        <x:v>statgrad_clean_continuation_v0_28(2).xlsx</x:v>
      </x:c>
      <x:c r="AM6777" s="87" t="str">
        <x:v>INF_EGKR_S26_954</x:v>
      </x:c>
      <x:c r="AN6777" s="87" t="n">
        <x:v>16</x:v>
      </x:c>
    </x:row>
    <x:row r="6778">
      <x:c r="A6778" s="87" t="n">
        <x:v>6777</x:v>
      </x:c>
      <x:c r="B6778" s="87" t="str">
        <x:v>EGKR-S26-INF-954-16</x:v>
      </x:c>
      <x:c r="C6778" s="87" t="str">
        <x:v>ЕГКР</x:v>
      </x:c>
      <x:c r="D6778" s="87"/>
      <x:c r="E6778" s="87" t="str">
        <x:v>Весна 2026</x:v>
      </x:c>
      <x:c r="F6778" s="87" t="str">
        <x:v>18.04.2026</x:v>
      </x:c>
      <x:c r="G6778" s="87" t="str">
        <x:v>Информатика</x:v>
      </x:c>
      <x:c r="H6778" s="87" t="n">
        <x:v>11</x:v>
      </x:c>
      <x:c r="I6778" s="87"/>
      <x:c r="J6778" s="87" t="str">
        <x:v>954</x:v>
      </x:c>
      <x:c r="K6778" s="87" t="n">
        <x:v>16</x:v>
      </x:c>
      <x:c r="L6778" s="87" t="str">
        <x:v>Рекурсивные функции</x:v>
      </x:c>
      <x:c r="M6778" s="30" t="str">
        <x:v>Задание линии 16: Рекурсивные функции. Доступная формулировка и все таблицы/схемы сохранены на странице по VIS_ID.</x:v>
      </x:c>
      <x:c r="N6778" s="30" t="str">
        <x:v>53</x:v>
      </x:c>
      <x:c r="O6778" s="30" t="str">
        <x:v>Итеративное свёртывание рекурсий F и G подтверждает F(440)=53.</x:v>
      </x:c>
      <x:c r="P6778" s="30"/>
      <x:c r="Q6778" s="30" t="str">
        <x:v>Доступная исходная формулировка + независимая проверка результата.</x:v>
      </x:c>
      <x:c r="R6778" s="30" t="str">
        <x:v>53</x:v>
      </x:c>
      <x:c r="S6778" s="30"/>
      <x:c r="T6778" s="30"/>
      <x:c r="U6778" s="30" t="str">
        <x:v>Расхождений не выявлено.</x:v>
      </x:c>
      <x:c r="V6778" s="87" t="str">
        <x:v>VERIFIED</x:v>
      </x:c>
      <x:c r="W6778" s="87"/>
      <x:c r="X6778" s="87" t="n">
        <x:v>6</x:v>
      </x:c>
      <x:c r="Y6778" s="87"/>
      <x:c r="Z6778" s="87"/>
      <x:c r="AA6778" s="87"/>
      <x:c r="AB6778" s="87"/>
      <x:c r="AC6778" s="87" t="str">
        <x:v>VIS-EGKR-INF-S26-TASKSOL-954-P006</x:v>
      </x:c>
      <x:c r="AD6778" s="87" t="str">
        <x:v>VIS-EGKR-INF-S26-TASKSOL-954-P001</x:v>
      </x:c>
      <x:c r="AE6778" s="87"/>
      <x:c r="AF6778" s="87" t="str">
        <x:v>VIS-EGKR-INF-S26-TASKSOL-954-P006: 6; VIS-EGKR-INF-S26-TASKSOL-954-P001: 1</x:v>
      </x:c>
      <x:c r="AG6778" s="87" t="str">
        <x:v>RESOLVED</x:v>
      </x:c>
      <x:c r="AH6778" s="87" t="str">
        <x:v>CROP_VERIFIED</x:v>
      </x:c>
      <x:c r="AI6778" s="30"/>
      <x:c r="AJ6778" s="87" t="str">
        <x:v>clean</x:v>
      </x:c>
      <x:c r="AK6778" s="87" t="str">
        <x:v>clean-v0.28</x:v>
      </x:c>
      <x:c r="AL6778" s="87" t="str">
        <x:v>statgrad_clean_continuation_v0_28(2).xlsx</x:v>
      </x:c>
      <x:c r="AM6778" s="87" t="str">
        <x:v>INF_EGKR_S26_954</x:v>
      </x:c>
      <x:c r="AN6778" s="87" t="n">
        <x:v>17</x:v>
      </x:c>
    </x:row>
    <x:row r="6779">
      <x:c r="A6779" s="87" t="n">
        <x:v>6778</x:v>
      </x:c>
      <x:c r="B6779" s="87" t="str">
        <x:v>EGKR-S26-INF-954-17</x:v>
      </x:c>
      <x:c r="C6779" s="87" t="str">
        <x:v>ЕГКР</x:v>
      </x:c>
      <x:c r="D6779" s="87"/>
      <x:c r="E6779" s="87" t="str">
        <x:v>Весна 2026</x:v>
      </x:c>
      <x:c r="F6779" s="87" t="str">
        <x:v>18.04.2026</x:v>
      </x:c>
      <x:c r="G6779" s="87" t="str">
        <x:v>Информатика</x:v>
      </x:c>
      <x:c r="H6779" s="87" t="n">
        <x:v>11</x:v>
      </x:c>
      <x:c r="I6779" s="87"/>
      <x:c r="J6779" s="87" t="str">
        <x:v>954</x:v>
      </x:c>
      <x:c r="K6779" s="87" t="n">
        <x:v>17</x:v>
      </x:c>
      <x:c r="L6779" s="87" t="str">
        <x:v>Обработка последовательности</x:v>
      </x:c>
      <x:c r="M6779" s="30" t="str">
        <x:v>Формулировка задания №17 варианта 954 отсутствует в локальном архиве. Запись сохранена как явный контрольный пропуск без реконструкции по аналогии.</x:v>
      </x:c>
      <x:c r="N6779" s="30"/>
      <x:c r="O6779" s="30" t="str">
        <x:v>Ответ не утверждается: нет локальной формулировки и исходного ключа.</x:v>
      </x:c>
      <x:c r="P6779" s="30"/>
      <x:c r="Q6779" s="30" t="str">
        <x:v>Аудит состава локального архива ЕГКР.</x:v>
      </x:c>
      <x:c r="R6779" s="30"/>
      <x:c r="S6779" s="30"/>
      <x:c r="T6779" s="30"/>
      <x:c r="U6779" s="30" t="str">
        <x:v>SOURCE_GAP: не подменять заданием другого варианта.</x:v>
      </x:c>
      <x:c r="V6779" s="87" t="str">
        <x:v>SOURCE_GAP</x:v>
      </x:c>
      <x:c r="W6779" s="87"/>
      <x:c r="X6779" s="87"/>
      <x:c r="Y6779" s="87"/>
      <x:c r="Z6779" s="87"/>
      <x:c r="AA6779" s="87"/>
      <x:c r="AB6779" s="87"/>
      <x:c r="AC6779" s="87"/>
      <x:c r="AD6779" s="87"/>
      <x:c r="AE6779" s="87"/>
      <x:c r="AF6779" s="87"/>
      <x:c r="AG6779" s="87"/>
      <x:c r="AH6779" s="87"/>
      <x:c r="AI6779" s="30"/>
      <x:c r="AJ6779" s="87" t="str">
        <x:v>clean</x:v>
      </x:c>
      <x:c r="AK6779" s="87" t="str">
        <x:v>clean-v0.28</x:v>
      </x:c>
      <x:c r="AL6779" s="87" t="str">
        <x:v>statgrad_clean_continuation_v0_28(2).xlsx</x:v>
      </x:c>
      <x:c r="AM6779" s="87" t="str">
        <x:v>INF_EGKR_S26_954</x:v>
      </x:c>
      <x:c r="AN6779" s="87" t="n">
        <x:v>18</x:v>
      </x:c>
    </x:row>
    <x:row r="6780">
      <x:c r="A6780" s="87" t="n">
        <x:v>6779</x:v>
      </x:c>
      <x:c r="B6780" s="87" t="str">
        <x:v>EGKR-S26-INF-954-18</x:v>
      </x:c>
      <x:c r="C6780" s="87" t="str">
        <x:v>ЕГКР</x:v>
      </x:c>
      <x:c r="D6780" s="87"/>
      <x:c r="E6780" s="87" t="str">
        <x:v>Весна 2026</x:v>
      </x:c>
      <x:c r="F6780" s="87" t="str">
        <x:v>18.04.2026</x:v>
      </x:c>
      <x:c r="G6780" s="87" t="str">
        <x:v>Информатика</x:v>
      </x:c>
      <x:c r="H6780" s="87" t="n">
        <x:v>11</x:v>
      </x:c>
      <x:c r="I6780" s="87"/>
      <x:c r="J6780" s="87" t="str">
        <x:v>954</x:v>
      </x:c>
      <x:c r="K6780" s="87" t="n">
        <x:v>18</x:v>
      </x:c>
      <x:c r="L6780" s="87" t="str">
        <x:v>Динамическое программирование / Робот</x:v>
      </x:c>
      <x:c r="M6780" s="30" t="str">
        <x:v>Формулировка задания №18 варианта 954 отсутствует в локальном архиве. Запись сохранена как явный контрольный пропуск без реконструкции по аналогии.</x:v>
      </x:c>
      <x:c r="N6780" s="30"/>
      <x:c r="O6780" s="30" t="str">
        <x:v>Ответ не утверждается: нет локальной формулировки и исходного ключа.</x:v>
      </x:c>
      <x:c r="P6780" s="30"/>
      <x:c r="Q6780" s="30" t="str">
        <x:v>Аудит состава локального архива ЕГКР.</x:v>
      </x:c>
      <x:c r="R6780" s="30"/>
      <x:c r="S6780" s="30"/>
      <x:c r="T6780" s="30"/>
      <x:c r="U6780" s="30" t="str">
        <x:v>SOURCE_GAP: не подменять заданием другого варианта.</x:v>
      </x:c>
      <x:c r="V6780" s="87" t="str">
        <x:v>SOURCE_GAP</x:v>
      </x:c>
      <x:c r="W6780" s="87"/>
      <x:c r="X6780" s="87"/>
      <x:c r="Y6780" s="87"/>
      <x:c r="Z6780" s="87"/>
      <x:c r="AA6780" s="87"/>
      <x:c r="AB6780" s="87"/>
      <x:c r="AC6780" s="87"/>
      <x:c r="AD6780" s="87"/>
      <x:c r="AE6780" s="87"/>
      <x:c r="AF6780" s="87"/>
      <x:c r="AG6780" s="87"/>
      <x:c r="AH6780" s="87"/>
      <x:c r="AI6780" s="30"/>
      <x:c r="AJ6780" s="87" t="str">
        <x:v>clean</x:v>
      </x:c>
      <x:c r="AK6780" s="87" t="str">
        <x:v>clean-v0.28</x:v>
      </x:c>
      <x:c r="AL6780" s="87" t="str">
        <x:v>statgrad_clean_continuation_v0_28(2).xlsx</x:v>
      </x:c>
      <x:c r="AM6780" s="87" t="str">
        <x:v>INF_EGKR_S26_954</x:v>
      </x:c>
      <x:c r="AN6780" s="87" t="n">
        <x:v>19</x:v>
      </x:c>
    </x:row>
    <x:row r="6781">
      <x:c r="A6781" s="87" t="n">
        <x:v>6780</x:v>
      </x:c>
      <x:c r="B6781" s="87" t="str">
        <x:v>EGKR-S26-INF-954-19</x:v>
      </x:c>
      <x:c r="C6781" s="87" t="str">
        <x:v>ЕГКР</x:v>
      </x:c>
      <x:c r="D6781" s="87"/>
      <x:c r="E6781" s="87" t="str">
        <x:v>Весна 2026</x:v>
      </x:c>
      <x:c r="F6781" s="87" t="str">
        <x:v>18.04.2026</x:v>
      </x:c>
      <x:c r="G6781" s="87" t="str">
        <x:v>Информатика</x:v>
      </x:c>
      <x:c r="H6781" s="87" t="n">
        <x:v>11</x:v>
      </x:c>
      <x:c r="I6781" s="87"/>
      <x:c r="J6781" s="87" t="str">
        <x:v>954</x:v>
      </x:c>
      <x:c r="K6781" s="87" t="n">
        <x:v>19</x:v>
      </x:c>
      <x:c r="L6781" s="87" t="str">
        <x:v>Теория игр — позиция Вани</x:v>
      </x:c>
      <x:c r="M6781" s="30" t="str">
        <x:v>Формулировка задания №19 варианта 954 отсутствует в локальном архиве. Запись сохранена как явный контрольный пропуск без реконструкции по аналогии.</x:v>
      </x:c>
      <x:c r="N6781" s="30"/>
      <x:c r="O6781" s="30" t="str">
        <x:v>Ответ не утверждается: нет локальной формулировки и исходного ключа.</x:v>
      </x:c>
      <x:c r="P6781" s="30"/>
      <x:c r="Q6781" s="30" t="str">
        <x:v>Аудит состава локального архива ЕГКР.</x:v>
      </x:c>
      <x:c r="R6781" s="30"/>
      <x:c r="S6781" s="30"/>
      <x:c r="T6781" s="30"/>
      <x:c r="U6781" s="30" t="str">
        <x:v>SOURCE_GAP: не подменять заданием другого варианта.</x:v>
      </x:c>
      <x:c r="V6781" s="87" t="str">
        <x:v>SOURCE_GAP</x:v>
      </x:c>
      <x:c r="W6781" s="87"/>
      <x:c r="X6781" s="87"/>
      <x:c r="Y6781" s="87"/>
      <x:c r="Z6781" s="87"/>
      <x:c r="AA6781" s="87"/>
      <x:c r="AB6781" s="87"/>
      <x:c r="AC6781" s="87"/>
      <x:c r="AD6781" s="87"/>
      <x:c r="AE6781" s="87"/>
      <x:c r="AF6781" s="87"/>
      <x:c r="AG6781" s="87"/>
      <x:c r="AH6781" s="87"/>
      <x:c r="AI6781" s="30"/>
      <x:c r="AJ6781" s="87" t="str">
        <x:v>clean</x:v>
      </x:c>
      <x:c r="AK6781" s="87" t="str">
        <x:v>clean-v0.28</x:v>
      </x:c>
      <x:c r="AL6781" s="87" t="str">
        <x:v>statgrad_clean_continuation_v0_28(2).xlsx</x:v>
      </x:c>
      <x:c r="AM6781" s="87" t="str">
        <x:v>INF_EGKR_S26_954</x:v>
      </x:c>
      <x:c r="AN6781" s="87" t="n">
        <x:v>20</x:v>
      </x:c>
    </x:row>
    <x:row r="6782">
      <x:c r="A6782" s="87" t="n">
        <x:v>6781</x:v>
      </x:c>
      <x:c r="B6782" s="87" t="str">
        <x:v>EGKR-S26-INF-954-20</x:v>
      </x:c>
      <x:c r="C6782" s="87" t="str">
        <x:v>ЕГКР</x:v>
      </x:c>
      <x:c r="D6782" s="87"/>
      <x:c r="E6782" s="87" t="str">
        <x:v>Весна 2026</x:v>
      </x:c>
      <x:c r="F6782" s="87" t="str">
        <x:v>18.04.2026</x:v>
      </x:c>
      <x:c r="G6782" s="87" t="str">
        <x:v>Информатика</x:v>
      </x:c>
      <x:c r="H6782" s="87" t="n">
        <x:v>11</x:v>
      </x:c>
      <x:c r="I6782" s="87"/>
      <x:c r="J6782" s="87" t="str">
        <x:v>954</x:v>
      </x:c>
      <x:c r="K6782" s="87" t="n">
        <x:v>20</x:v>
      </x:c>
      <x:c r="L6782" s="87" t="str">
        <x:v>Теория игр — второй ход Пети</x:v>
      </x:c>
      <x:c r="M6782" s="30" t="str">
        <x:v>Формулировка задания №20 варианта 954 отсутствует в локальном архиве. Запись сохранена как явный контрольный пропуск без реконструкции по аналогии.</x:v>
      </x:c>
      <x:c r="N6782" s="30"/>
      <x:c r="O6782" s="30" t="str">
        <x:v>Ответ не утверждается: нет локальной формулировки и исходного ключа.</x:v>
      </x:c>
      <x:c r="P6782" s="30"/>
      <x:c r="Q6782" s="30" t="str">
        <x:v>Аудит состава локального архива ЕГКР.</x:v>
      </x:c>
      <x:c r="R6782" s="30"/>
      <x:c r="S6782" s="30"/>
      <x:c r="T6782" s="30"/>
      <x:c r="U6782" s="30" t="str">
        <x:v>SOURCE_GAP: не подменять заданием другого варианта.</x:v>
      </x:c>
      <x:c r="V6782" s="87" t="str">
        <x:v>SOURCE_GAP</x:v>
      </x:c>
      <x:c r="W6782" s="87"/>
      <x:c r="X6782" s="87"/>
      <x:c r="Y6782" s="87"/>
      <x:c r="Z6782" s="87"/>
      <x:c r="AA6782" s="87"/>
      <x:c r="AB6782" s="87"/>
      <x:c r="AC6782" s="87"/>
      <x:c r="AD6782" s="87"/>
      <x:c r="AE6782" s="87"/>
      <x:c r="AF6782" s="87"/>
      <x:c r="AG6782" s="87"/>
      <x:c r="AH6782" s="87"/>
      <x:c r="AI6782" s="30"/>
      <x:c r="AJ6782" s="87" t="str">
        <x:v>clean</x:v>
      </x:c>
      <x:c r="AK6782" s="87" t="str">
        <x:v>clean-v0.28</x:v>
      </x:c>
      <x:c r="AL6782" s="87" t="str">
        <x:v>statgrad_clean_continuation_v0_28(2).xlsx</x:v>
      </x:c>
      <x:c r="AM6782" s="87" t="str">
        <x:v>INF_EGKR_S26_954</x:v>
      </x:c>
      <x:c r="AN6782" s="87" t="n">
        <x:v>21</x:v>
      </x:c>
    </x:row>
    <x:row r="6783">
      <x:c r="A6783" s="87" t="n">
        <x:v>6782</x:v>
      </x:c>
      <x:c r="B6783" s="87" t="str">
        <x:v>EGKR-S26-INF-954-21</x:v>
      </x:c>
      <x:c r="C6783" s="87" t="str">
        <x:v>ЕГКР</x:v>
      </x:c>
      <x:c r="D6783" s="87"/>
      <x:c r="E6783" s="87" t="str">
        <x:v>Весна 2026</x:v>
      </x:c>
      <x:c r="F6783" s="87" t="str">
        <x:v>18.04.2026</x:v>
      </x:c>
      <x:c r="G6783" s="87" t="str">
        <x:v>Информатика</x:v>
      </x:c>
      <x:c r="H6783" s="87" t="n">
        <x:v>11</x:v>
      </x:c>
      <x:c r="I6783" s="87"/>
      <x:c r="J6783" s="87" t="str">
        <x:v>954</x:v>
      </x:c>
      <x:c r="K6783" s="87" t="n">
        <x:v>21</x:v>
      </x:c>
      <x:c r="L6783" s="87" t="str">
        <x:v>Теория игр — стратегия Вани</x:v>
      </x:c>
      <x:c r="M6783" s="30" t="str">
        <x:v>Формулировка задания №21 варианта 954 отсутствует в локальном архиве. Запись сохранена как явный контрольный пропуск без реконструкции по аналогии.</x:v>
      </x:c>
      <x:c r="N6783" s="30"/>
      <x:c r="O6783" s="30" t="str">
        <x:v>Ответ не утверждается: нет локальной формулировки и исходного ключа.</x:v>
      </x:c>
      <x:c r="P6783" s="30"/>
      <x:c r="Q6783" s="30" t="str">
        <x:v>Аудит состава локального архива ЕГКР.</x:v>
      </x:c>
      <x:c r="R6783" s="30"/>
      <x:c r="S6783" s="30"/>
      <x:c r="T6783" s="30"/>
      <x:c r="U6783" s="30" t="str">
        <x:v>SOURCE_GAP: не подменять заданием другого варианта.</x:v>
      </x:c>
      <x:c r="V6783" s="87" t="str">
        <x:v>SOURCE_GAP</x:v>
      </x:c>
      <x:c r="W6783" s="87"/>
      <x:c r="X6783" s="87"/>
      <x:c r="Y6783" s="87"/>
      <x:c r="Z6783" s="87"/>
      <x:c r="AA6783" s="87"/>
      <x:c r="AB6783" s="87"/>
      <x:c r="AC6783" s="87"/>
      <x:c r="AD6783" s="87"/>
      <x:c r="AE6783" s="87"/>
      <x:c r="AF6783" s="87"/>
      <x:c r="AG6783" s="87"/>
      <x:c r="AH6783" s="87"/>
      <x:c r="AI6783" s="30"/>
      <x:c r="AJ6783" s="87" t="str">
        <x:v>clean</x:v>
      </x:c>
      <x:c r="AK6783" s="87" t="str">
        <x:v>clean-v0.28</x:v>
      </x:c>
      <x:c r="AL6783" s="87" t="str">
        <x:v>statgrad_clean_continuation_v0_28(2).xlsx</x:v>
      </x:c>
      <x:c r="AM6783" s="87" t="str">
        <x:v>INF_EGKR_S26_954</x:v>
      </x:c>
      <x:c r="AN6783" s="87" t="n">
        <x:v>22</x:v>
      </x:c>
    </x:row>
    <x:row r="6784">
      <x:c r="A6784" s="87" t="n">
        <x:v>6783</x:v>
      </x:c>
      <x:c r="B6784" s="87" t="str">
        <x:v>EGKR-S26-INF-954-22</x:v>
      </x:c>
      <x:c r="C6784" s="87" t="str">
        <x:v>ЕГКР</x:v>
      </x:c>
      <x:c r="D6784" s="87"/>
      <x:c r="E6784" s="87" t="str">
        <x:v>Весна 2026</x:v>
      </x:c>
      <x:c r="F6784" s="87" t="str">
        <x:v>18.04.2026</x:v>
      </x:c>
      <x:c r="G6784" s="87" t="str">
        <x:v>Информатика</x:v>
      </x:c>
      <x:c r="H6784" s="87" t="n">
        <x:v>11</x:v>
      </x:c>
      <x:c r="I6784" s="87"/>
      <x:c r="J6784" s="87" t="str">
        <x:v>954</x:v>
      </x:c>
      <x:c r="K6784" s="87" t="n">
        <x:v>22</x:v>
      </x:c>
      <x:c r="L6784" s="87" t="str">
        <x:v>Зависимости вычислительных процессов</x:v>
      </x:c>
      <x:c r="M6784" s="30" t="str">
        <x:v>Формулировка задания №22 варианта 954 отсутствует в локальном архиве. Запись сохранена как явный контрольный пропуск без реконструкции по аналогии.</x:v>
      </x:c>
      <x:c r="N6784" s="30"/>
      <x:c r="O6784" s="30" t="str">
        <x:v>Ответ не утверждается: нет локальной формулировки и исходного ключа.</x:v>
      </x:c>
      <x:c r="P6784" s="30"/>
      <x:c r="Q6784" s="30" t="str">
        <x:v>Аудит состава локального архива ЕГКР.</x:v>
      </x:c>
      <x:c r="R6784" s="30"/>
      <x:c r="S6784" s="30"/>
      <x:c r="T6784" s="30"/>
      <x:c r="U6784" s="30" t="str">
        <x:v>SOURCE_GAP: не подменять заданием другого варианта.</x:v>
      </x:c>
      <x:c r="V6784" s="87" t="str">
        <x:v>SOURCE_GAP</x:v>
      </x:c>
      <x:c r="W6784" s="87"/>
      <x:c r="X6784" s="87"/>
      <x:c r="Y6784" s="87"/>
      <x:c r="Z6784" s="87"/>
      <x:c r="AA6784" s="87"/>
      <x:c r="AB6784" s="87"/>
      <x:c r="AC6784" s="87"/>
      <x:c r="AD6784" s="87"/>
      <x:c r="AE6784" s="87"/>
      <x:c r="AF6784" s="87"/>
      <x:c r="AG6784" s="87"/>
      <x:c r="AH6784" s="87"/>
      <x:c r="AI6784" s="30"/>
      <x:c r="AJ6784" s="87" t="str">
        <x:v>clean</x:v>
      </x:c>
      <x:c r="AK6784" s="87" t="str">
        <x:v>clean-v0.28</x:v>
      </x:c>
      <x:c r="AL6784" s="87" t="str">
        <x:v>statgrad_clean_continuation_v0_28(2).xlsx</x:v>
      </x:c>
      <x:c r="AM6784" s="87" t="str">
        <x:v>INF_EGKR_S26_954</x:v>
      </x:c>
      <x:c r="AN6784" s="87" t="n">
        <x:v>23</x:v>
      </x:c>
    </x:row>
    <x:row r="6785">
      <x:c r="A6785" s="87" t="n">
        <x:v>6784</x:v>
      </x:c>
      <x:c r="B6785" s="87" t="str">
        <x:v>EGKR-S26-INF-954-23</x:v>
      </x:c>
      <x:c r="C6785" s="87" t="str">
        <x:v>ЕГКР</x:v>
      </x:c>
      <x:c r="D6785" s="87"/>
      <x:c r="E6785" s="87" t="str">
        <x:v>Весна 2026</x:v>
      </x:c>
      <x:c r="F6785" s="87" t="str">
        <x:v>18.04.2026</x:v>
      </x:c>
      <x:c r="G6785" s="87" t="str">
        <x:v>Информатика</x:v>
      </x:c>
      <x:c r="H6785" s="87" t="n">
        <x:v>11</x:v>
      </x:c>
      <x:c r="I6785" s="87"/>
      <x:c r="J6785" s="87" t="str">
        <x:v>954</x:v>
      </x:c>
      <x:c r="K6785" s="87" t="n">
        <x:v>23</x:v>
      </x:c>
      <x:c r="L6785" s="87" t="str">
        <x:v>Исполнитель и количество программ</x:v>
      </x:c>
      <x:c r="M6785" s="30" t="str">
        <x:v>Формулировка задания №23 варианта 954 отсутствует в локальном архиве. Запись сохранена как явный контрольный пропуск без реконструкции по аналогии.</x:v>
      </x:c>
      <x:c r="N6785" s="30"/>
      <x:c r="O6785" s="30" t="str">
        <x:v>Ответ не утверждается: нет локальной формулировки и исходного ключа.</x:v>
      </x:c>
      <x:c r="P6785" s="30"/>
      <x:c r="Q6785" s="30" t="str">
        <x:v>Аудит состава локального архива ЕГКР.</x:v>
      </x:c>
      <x:c r="R6785" s="30"/>
      <x:c r="S6785" s="30"/>
      <x:c r="T6785" s="30"/>
      <x:c r="U6785" s="30" t="str">
        <x:v>SOURCE_GAP: не подменять заданием другого варианта.</x:v>
      </x:c>
      <x:c r="V6785" s="87" t="str">
        <x:v>SOURCE_GAP</x:v>
      </x:c>
      <x:c r="W6785" s="87"/>
      <x:c r="X6785" s="87"/>
      <x:c r="Y6785" s="87"/>
      <x:c r="Z6785" s="87"/>
      <x:c r="AA6785" s="87"/>
      <x:c r="AB6785" s="87"/>
      <x:c r="AC6785" s="87"/>
      <x:c r="AD6785" s="87"/>
      <x:c r="AE6785" s="87"/>
      <x:c r="AF6785" s="87"/>
      <x:c r="AG6785" s="87"/>
      <x:c r="AH6785" s="87"/>
      <x:c r="AI6785" s="30"/>
      <x:c r="AJ6785" s="87" t="str">
        <x:v>clean</x:v>
      </x:c>
      <x:c r="AK6785" s="87" t="str">
        <x:v>clean-v0.28</x:v>
      </x:c>
      <x:c r="AL6785" s="87" t="str">
        <x:v>statgrad_clean_continuation_v0_28(2).xlsx</x:v>
      </x:c>
      <x:c r="AM6785" s="87" t="str">
        <x:v>INF_EGKR_S26_954</x:v>
      </x:c>
      <x:c r="AN6785" s="87" t="n">
        <x:v>24</x:v>
      </x:c>
    </x:row>
    <x:row r="6786">
      <x:c r="A6786" s="87" t="n">
        <x:v>6785</x:v>
      </x:c>
      <x:c r="B6786" s="87" t="str">
        <x:v>EGKR-S26-INF-954-24</x:v>
      </x:c>
      <x:c r="C6786" s="87" t="str">
        <x:v>ЕГКР</x:v>
      </x:c>
      <x:c r="D6786" s="87"/>
      <x:c r="E6786" s="87" t="str">
        <x:v>Весна 2026</x:v>
      </x:c>
      <x:c r="F6786" s="87" t="str">
        <x:v>18.04.2026</x:v>
      </x:c>
      <x:c r="G6786" s="87" t="str">
        <x:v>Информатика</x:v>
      </x:c>
      <x:c r="H6786" s="87" t="n">
        <x:v>11</x:v>
      </x:c>
      <x:c r="I6786" s="87"/>
      <x:c r="J6786" s="87" t="str">
        <x:v>954</x:v>
      </x:c>
      <x:c r="K6786" s="87" t="n">
        <x:v>24</x:v>
      </x:c>
      <x:c r="L6786" s="87" t="str">
        <x:v>Обработка строк</x:v>
      </x:c>
      <x:c r="M6786" s="30" t="str">
        <x:v>Формулировка задания №24 варианта 954 отсутствует в локальном архиве. Запись сохранена как явный контрольный пропуск без реконструкции по аналогии.</x:v>
      </x:c>
      <x:c r="N6786" s="30"/>
      <x:c r="O6786" s="30" t="str">
        <x:v>Ответ не утверждается: нет локальной формулировки и исходного ключа.</x:v>
      </x:c>
      <x:c r="P6786" s="30"/>
      <x:c r="Q6786" s="30" t="str">
        <x:v>Аудит состава локального архива ЕГКР.</x:v>
      </x:c>
      <x:c r="R6786" s="30"/>
      <x:c r="S6786" s="30"/>
      <x:c r="T6786" s="30"/>
      <x:c r="U6786" s="30" t="str">
        <x:v>SOURCE_GAP: не подменять заданием другого варианта.</x:v>
      </x:c>
      <x:c r="V6786" s="87" t="str">
        <x:v>SOURCE_GAP</x:v>
      </x:c>
      <x:c r="W6786" s="87"/>
      <x:c r="X6786" s="87"/>
      <x:c r="Y6786" s="87"/>
      <x:c r="Z6786" s="87"/>
      <x:c r="AA6786" s="87"/>
      <x:c r="AB6786" s="87"/>
      <x:c r="AC6786" s="87"/>
      <x:c r="AD6786" s="87"/>
      <x:c r="AE6786" s="87"/>
      <x:c r="AF6786" s="87"/>
      <x:c r="AG6786" s="87"/>
      <x:c r="AH6786" s="87"/>
      <x:c r="AI6786" s="30"/>
      <x:c r="AJ6786" s="87" t="str">
        <x:v>clean</x:v>
      </x:c>
      <x:c r="AK6786" s="87" t="str">
        <x:v>clean-v0.28</x:v>
      </x:c>
      <x:c r="AL6786" s="87" t="str">
        <x:v>statgrad_clean_continuation_v0_28(2).xlsx</x:v>
      </x:c>
      <x:c r="AM6786" s="87" t="str">
        <x:v>INF_EGKR_S26_954</x:v>
      </x:c>
      <x:c r="AN6786" s="87" t="n">
        <x:v>25</x:v>
      </x:c>
    </x:row>
    <x:row r="6787">
      <x:c r="A6787" s="87" t="n">
        <x:v>6786</x:v>
      </x:c>
      <x:c r="B6787" s="87" t="str">
        <x:v>EGKR-S26-INF-954-25</x:v>
      </x:c>
      <x:c r="C6787" s="87" t="str">
        <x:v>ЕГКР</x:v>
      </x:c>
      <x:c r="D6787" s="87"/>
      <x:c r="E6787" s="87" t="str">
        <x:v>Весна 2026</x:v>
      </x:c>
      <x:c r="F6787" s="87" t="str">
        <x:v>18.04.2026</x:v>
      </x:c>
      <x:c r="G6787" s="87" t="str">
        <x:v>Информатика</x:v>
      </x:c>
      <x:c r="H6787" s="87" t="n">
        <x:v>11</x:v>
      </x:c>
      <x:c r="I6787" s="87"/>
      <x:c r="J6787" s="87" t="str">
        <x:v>954</x:v>
      </x:c>
      <x:c r="K6787" s="87" t="n">
        <x:v>25</x:v>
      </x:c>
      <x:c r="L6787" s="87" t="str">
        <x:v>Теория чисел и программирование</x:v>
      </x:c>
      <x:c r="M6787" s="30" t="str">
        <x:v>Формулировка задания №25 варианта 954 отсутствует в локальном архиве. Запись сохранена как явный контрольный пропуск без реконструкции по аналогии.</x:v>
      </x:c>
      <x:c r="N6787" s="30"/>
      <x:c r="O6787" s="30" t="str">
        <x:v>Ответ не утверждается: нет локальной формулировки и исходного ключа.</x:v>
      </x:c>
      <x:c r="P6787" s="30"/>
      <x:c r="Q6787" s="30" t="str">
        <x:v>Аудит состава локального архива ЕГКР.</x:v>
      </x:c>
      <x:c r="R6787" s="30"/>
      <x:c r="S6787" s="30"/>
      <x:c r="T6787" s="30"/>
      <x:c r="U6787" s="30" t="str">
        <x:v>SOURCE_GAP: не подменять заданием другого варианта.</x:v>
      </x:c>
      <x:c r="V6787" s="87" t="str">
        <x:v>SOURCE_GAP</x:v>
      </x:c>
      <x:c r="W6787" s="87"/>
      <x:c r="X6787" s="87"/>
      <x:c r="Y6787" s="87"/>
      <x:c r="Z6787" s="87"/>
      <x:c r="AA6787" s="87"/>
      <x:c r="AB6787" s="87"/>
      <x:c r="AC6787" s="87"/>
      <x:c r="AD6787" s="87"/>
      <x:c r="AE6787" s="87"/>
      <x:c r="AF6787" s="87"/>
      <x:c r="AG6787" s="87"/>
      <x:c r="AH6787" s="87"/>
      <x:c r="AI6787" s="30"/>
      <x:c r="AJ6787" s="87" t="str">
        <x:v>clean</x:v>
      </x:c>
      <x:c r="AK6787" s="87" t="str">
        <x:v>clean-v0.28</x:v>
      </x:c>
      <x:c r="AL6787" s="87" t="str">
        <x:v>statgrad_clean_continuation_v0_28(2).xlsx</x:v>
      </x:c>
      <x:c r="AM6787" s="87" t="str">
        <x:v>INF_EGKR_S26_954</x:v>
      </x:c>
      <x:c r="AN6787" s="87" t="n">
        <x:v>26</x:v>
      </x:c>
    </x:row>
    <x:row r="6788">
      <x:c r="A6788" s="87" t="n">
        <x:v>6787</x:v>
      </x:c>
      <x:c r="B6788" s="87" t="str">
        <x:v>EGKR-S26-INF-954-26</x:v>
      </x:c>
      <x:c r="C6788" s="87" t="str">
        <x:v>ЕГКР</x:v>
      </x:c>
      <x:c r="D6788" s="87"/>
      <x:c r="E6788" s="87" t="str">
        <x:v>Весна 2026</x:v>
      </x:c>
      <x:c r="F6788" s="87" t="str">
        <x:v>18.04.2026</x:v>
      </x:c>
      <x:c r="G6788" s="87" t="str">
        <x:v>Информатика</x:v>
      </x:c>
      <x:c r="H6788" s="87" t="n">
        <x:v>11</x:v>
      </x:c>
      <x:c r="I6788" s="87"/>
      <x:c r="J6788" s="87" t="str">
        <x:v>954</x:v>
      </x:c>
      <x:c r="K6788" s="87" t="n">
        <x:v>26</x:v>
      </x:c>
      <x:c r="L6788" s="87" t="str">
        <x:v>Интервальное планирование</x:v>
      </x:c>
      <x:c r="M6788" s="30" t="str">
        <x:v>Формулировка задания №26 варианта 954 отсутствует в локальном архиве. Запись сохранена как явный контрольный пропуск без реконструкции по аналогии.</x:v>
      </x:c>
      <x:c r="N6788" s="30"/>
      <x:c r="O6788" s="30" t="str">
        <x:v>Ответ не утверждается: нет локальной формулировки и исходного ключа.</x:v>
      </x:c>
      <x:c r="P6788" s="30"/>
      <x:c r="Q6788" s="30" t="str">
        <x:v>Аудит состава локального архива ЕГКР.</x:v>
      </x:c>
      <x:c r="R6788" s="30"/>
      <x:c r="S6788" s="30"/>
      <x:c r="T6788" s="30"/>
      <x:c r="U6788" s="30" t="str">
        <x:v>SOURCE_GAP: не подменять заданием другого варианта.</x:v>
      </x:c>
      <x:c r="V6788" s="87" t="str">
        <x:v>SOURCE_GAP</x:v>
      </x:c>
      <x:c r="W6788" s="87"/>
      <x:c r="X6788" s="87"/>
      <x:c r="Y6788" s="87"/>
      <x:c r="Z6788" s="87"/>
      <x:c r="AA6788" s="87"/>
      <x:c r="AB6788" s="87"/>
      <x:c r="AC6788" s="87"/>
      <x:c r="AD6788" s="87"/>
      <x:c r="AE6788" s="87"/>
      <x:c r="AF6788" s="87"/>
      <x:c r="AG6788" s="87"/>
      <x:c r="AH6788" s="87"/>
      <x:c r="AI6788" s="30"/>
      <x:c r="AJ6788" s="87" t="str">
        <x:v>clean</x:v>
      </x:c>
      <x:c r="AK6788" s="87" t="str">
        <x:v>clean-v0.28</x:v>
      </x:c>
      <x:c r="AL6788" s="87" t="str">
        <x:v>statgrad_clean_continuation_v0_28(2).xlsx</x:v>
      </x:c>
      <x:c r="AM6788" s="87" t="str">
        <x:v>INF_EGKR_S26_954</x:v>
      </x:c>
      <x:c r="AN6788" s="87" t="n">
        <x:v>27</x:v>
      </x:c>
    </x:row>
    <x:row r="6789">
      <x:c r="A6789" s="87" t="n">
        <x:v>6788</x:v>
      </x:c>
      <x:c r="B6789" s="87" t="str">
        <x:v>EGKR-S26-INF-954-27</x:v>
      </x:c>
      <x:c r="C6789" s="87" t="str">
        <x:v>ЕГКР</x:v>
      </x:c>
      <x:c r="D6789" s="87"/>
      <x:c r="E6789" s="87" t="str">
        <x:v>Весна 2026</x:v>
      </x:c>
      <x:c r="F6789" s="87" t="str">
        <x:v>18.04.2026</x:v>
      </x:c>
      <x:c r="G6789" s="87" t="str">
        <x:v>Информатика</x:v>
      </x:c>
      <x:c r="H6789" s="87" t="n">
        <x:v>11</x:v>
      </x:c>
      <x:c r="I6789" s="87"/>
      <x:c r="J6789" s="87" t="str">
        <x:v>954</x:v>
      </x:c>
      <x:c r="K6789" s="87" t="n">
        <x:v>27</x:v>
      </x:c>
      <x:c r="L6789" s="87" t="str">
        <x:v>Кластеризация</x:v>
      </x:c>
      <x:c r="M6789" s="30" t="str">
        <x:v>Формулировка задания №27 варианта 954 отсутствует в локальном архиве. Запись сохранена как явный контрольный пропуск без реконструкции по аналогии.</x:v>
      </x:c>
      <x:c r="N6789" s="30"/>
      <x:c r="O6789" s="30" t="str">
        <x:v>Ответ не утверждается: нет локальной формулировки и исходного ключа.</x:v>
      </x:c>
      <x:c r="P6789" s="30"/>
      <x:c r="Q6789" s="30" t="str">
        <x:v>Аудит состава локального архива ЕГКР.</x:v>
      </x:c>
      <x:c r="R6789" s="30"/>
      <x:c r="S6789" s="30"/>
      <x:c r="T6789" s="30"/>
      <x:c r="U6789" s="30" t="str">
        <x:v>SOURCE_GAP: не подменять заданием другого варианта.</x:v>
      </x:c>
      <x:c r="V6789" s="87" t="str">
        <x:v>SOURCE_GAP</x:v>
      </x:c>
      <x:c r="W6789" s="87"/>
      <x:c r="X6789" s="87"/>
      <x:c r="Y6789" s="87"/>
      <x:c r="Z6789" s="87"/>
      <x:c r="AA6789" s="87"/>
      <x:c r="AB6789" s="87"/>
      <x:c r="AC6789" s="87"/>
      <x:c r="AD6789" s="87"/>
      <x:c r="AE6789" s="87"/>
      <x:c r="AF6789" s="87"/>
      <x:c r="AG6789" s="87"/>
      <x:c r="AH6789" s="87"/>
      <x:c r="AI6789" s="30"/>
      <x:c r="AJ6789" s="87" t="str">
        <x:v>clean</x:v>
      </x:c>
      <x:c r="AK6789" s="87" t="str">
        <x:v>clean-v0.28</x:v>
      </x:c>
      <x:c r="AL6789" s="87" t="str">
        <x:v>statgrad_clean_continuation_v0_28(2).xlsx</x:v>
      </x:c>
      <x:c r="AM6789" s="87" t="str">
        <x:v>INF_EGKR_S26_954</x:v>
      </x:c>
      <x:c r="AN6789" s="87" t="n">
        <x:v>28</x:v>
      </x:c>
    </x:row>
    <x:row r="6790">
      <x:c r="A6790" s="87" t="n">
        <x:v>6789</x:v>
      </x:c>
      <x:c r="B6790" s="87" t="str">
        <x:v>EGKR-S26-INF-955-01</x:v>
      </x:c>
      <x:c r="C6790" s="87" t="str">
        <x:v>ЕГКР</x:v>
      </x:c>
      <x:c r="D6790" s="87"/>
      <x:c r="E6790" s="87" t="str">
        <x:v>Весна 2026</x:v>
      </x:c>
      <x:c r="F6790" s="87" t="str">
        <x:v>18.04.2026</x:v>
      </x:c>
      <x:c r="G6790" s="87" t="str">
        <x:v>Информатика</x:v>
      </x:c>
      <x:c r="H6790" s="87" t="n">
        <x:v>11</x:v>
      </x:c>
      <x:c r="I6790" s="87"/>
      <x:c r="J6790" s="87" t="str">
        <x:v>955</x:v>
      </x:c>
      <x:c r="K6790" s="87" t="n">
        <x:v>1</x:v>
      </x:c>
      <x:c r="L6790" s="87" t="str">
        <x:v>Графы и таблицы</x:v>
      </x:c>
      <x:c r="M6790" s="30" t="str">
        <x:v>Формулировка задания №1 варианта 955 отсутствует в локальном архиве. Запись сохранена как явный контрольный пропуск без реконструкции по аналогии.</x:v>
      </x:c>
      <x:c r="N6790" s="30"/>
      <x:c r="O6790" s="30" t="str">
        <x:v>Ответ не утверждается: нет локальной формулировки и исходного ключа.</x:v>
      </x:c>
      <x:c r="P6790" s="30"/>
      <x:c r="Q6790" s="30" t="str">
        <x:v>Аудит состава локального архива ЕГКР.</x:v>
      </x:c>
      <x:c r="R6790" s="30"/>
      <x:c r="S6790" s="30"/>
      <x:c r="T6790" s="30"/>
      <x:c r="U6790" s="30" t="str">
        <x:v>SOURCE_GAP: не подменять заданием другого варианта.</x:v>
      </x:c>
      <x:c r="V6790" s="87" t="str">
        <x:v>SOURCE_GAP</x:v>
      </x:c>
      <x:c r="W6790" s="87"/>
      <x:c r="X6790" s="87"/>
      <x:c r="Y6790" s="87"/>
      <x:c r="Z6790" s="87"/>
      <x:c r="AA6790" s="87"/>
      <x:c r="AB6790" s="87"/>
      <x:c r="AC6790" s="87"/>
      <x:c r="AD6790" s="87"/>
      <x:c r="AE6790" s="87"/>
      <x:c r="AF6790" s="87"/>
      <x:c r="AG6790" s="87"/>
      <x:c r="AH6790" s="87"/>
      <x:c r="AI6790" s="30"/>
      <x:c r="AJ6790" s="87" t="str">
        <x:v>clean</x:v>
      </x:c>
      <x:c r="AK6790" s="87" t="str">
        <x:v>clean-v0.28</x:v>
      </x:c>
      <x:c r="AL6790" s="87" t="str">
        <x:v>statgrad_clean_continuation_v0_28(2).xlsx</x:v>
      </x:c>
      <x:c r="AM6790" s="87" t="str">
        <x:v>INF_EGKR_S26_955</x:v>
      </x:c>
      <x:c r="AN6790" s="87" t="n">
        <x:v>2</x:v>
      </x:c>
    </x:row>
    <x:row r="6791">
      <x:c r="A6791" s="87" t="n">
        <x:v>6790</x:v>
      </x:c>
      <x:c r="B6791" s="87" t="str">
        <x:v>EGKR-S26-INF-955-02</x:v>
      </x:c>
      <x:c r="C6791" s="87" t="str">
        <x:v>ЕГКР</x:v>
      </x:c>
      <x:c r="D6791" s="87"/>
      <x:c r="E6791" s="87" t="str">
        <x:v>Весна 2026</x:v>
      </x:c>
      <x:c r="F6791" s="87" t="str">
        <x:v>18.04.2026</x:v>
      </x:c>
      <x:c r="G6791" s="87" t="str">
        <x:v>Информатика</x:v>
      </x:c>
      <x:c r="H6791" s="87" t="n">
        <x:v>11</x:v>
      </x:c>
      <x:c r="I6791" s="87"/>
      <x:c r="J6791" s="87" t="str">
        <x:v>955</x:v>
      </x:c>
      <x:c r="K6791" s="87" t="n">
        <x:v>2</x:v>
      </x:c>
      <x:c r="L6791" s="87" t="str">
        <x:v>Логические функции и таблицы истинности</x:v>
      </x:c>
      <x:c r="M6791" s="30" t="str">
        <x:v>Формулировка задания №2 варианта 955 отсутствует в локальном архиве. Запись сохранена как явный контрольный пропуск без реконструкции по аналогии.</x:v>
      </x:c>
      <x:c r="N6791" s="30"/>
      <x:c r="O6791" s="30" t="str">
        <x:v>Ответ не утверждается: нет локальной формулировки и исходного ключа.</x:v>
      </x:c>
      <x:c r="P6791" s="30"/>
      <x:c r="Q6791" s="30" t="str">
        <x:v>Аудит состава локального архива ЕГКР.</x:v>
      </x:c>
      <x:c r="R6791" s="30"/>
      <x:c r="S6791" s="30"/>
      <x:c r="T6791" s="30"/>
      <x:c r="U6791" s="30" t="str">
        <x:v>SOURCE_GAP: не подменять заданием другого варианта.</x:v>
      </x:c>
      <x:c r="V6791" s="87" t="str">
        <x:v>SOURCE_GAP</x:v>
      </x:c>
      <x:c r="W6791" s="87"/>
      <x:c r="X6791" s="87"/>
      <x:c r="Y6791" s="87"/>
      <x:c r="Z6791" s="87"/>
      <x:c r="AA6791" s="87"/>
      <x:c r="AB6791" s="87"/>
      <x:c r="AC6791" s="87"/>
      <x:c r="AD6791" s="87"/>
      <x:c r="AE6791" s="87"/>
      <x:c r="AF6791" s="87"/>
      <x:c r="AG6791" s="87"/>
      <x:c r="AH6791" s="87"/>
      <x:c r="AI6791" s="30"/>
      <x:c r="AJ6791" s="87" t="str">
        <x:v>clean</x:v>
      </x:c>
      <x:c r="AK6791" s="87" t="str">
        <x:v>clean-v0.28</x:v>
      </x:c>
      <x:c r="AL6791" s="87" t="str">
        <x:v>statgrad_clean_continuation_v0_28(2).xlsx</x:v>
      </x:c>
      <x:c r="AM6791" s="87" t="str">
        <x:v>INF_EGKR_S26_955</x:v>
      </x:c>
      <x:c r="AN6791" s="87" t="n">
        <x:v>3</x:v>
      </x:c>
    </x:row>
    <x:row r="6792">
      <x:c r="A6792" s="87" t="n">
        <x:v>6791</x:v>
      </x:c>
      <x:c r="B6792" s="87" t="str">
        <x:v>EGKR-S26-INF-955-03</x:v>
      </x:c>
      <x:c r="C6792" s="87" t="str">
        <x:v>ЕГКР</x:v>
      </x:c>
      <x:c r="D6792" s="87"/>
      <x:c r="E6792" s="87" t="str">
        <x:v>Весна 2026</x:v>
      </x:c>
      <x:c r="F6792" s="87" t="str">
        <x:v>18.04.2026</x:v>
      </x:c>
      <x:c r="G6792" s="87" t="str">
        <x:v>Информатика</x:v>
      </x:c>
      <x:c r="H6792" s="87" t="n">
        <x:v>11</x:v>
      </x:c>
      <x:c r="I6792" s="87"/>
      <x:c r="J6792" s="87" t="str">
        <x:v>955</x:v>
      </x:c>
      <x:c r="K6792" s="87" t="n">
        <x:v>3</x:v>
      </x:c>
      <x:c r="L6792" s="87" t="str">
        <x:v>Реляционные базы данных</x:v>
      </x:c>
      <x:c r="M6792" s="30" t="str">
        <x:v>Формулировка задания №3 варианта 955 отсутствует в локальном архиве. Запись сохранена как явный контрольный пропуск без реконструкции по аналогии.</x:v>
      </x:c>
      <x:c r="N6792" s="30"/>
      <x:c r="O6792" s="30" t="str">
        <x:v>Ответ не утверждается: нет локальной формулировки и исходного ключа.</x:v>
      </x:c>
      <x:c r="P6792" s="30"/>
      <x:c r="Q6792" s="30" t="str">
        <x:v>Аудит состава локального архива ЕГКР.</x:v>
      </x:c>
      <x:c r="R6792" s="30"/>
      <x:c r="S6792" s="30"/>
      <x:c r="T6792" s="30"/>
      <x:c r="U6792" s="30" t="str">
        <x:v>SOURCE_GAP: не подменять заданием другого варианта.</x:v>
      </x:c>
      <x:c r="V6792" s="87" t="str">
        <x:v>SOURCE_GAP</x:v>
      </x:c>
      <x:c r="W6792" s="87"/>
      <x:c r="X6792" s="87"/>
      <x:c r="Y6792" s="87"/>
      <x:c r="Z6792" s="87"/>
      <x:c r="AA6792" s="87"/>
      <x:c r="AB6792" s="87"/>
      <x:c r="AC6792" s="87"/>
      <x:c r="AD6792" s="87"/>
      <x:c r="AE6792" s="87"/>
      <x:c r="AF6792" s="87"/>
      <x:c r="AG6792" s="87"/>
      <x:c r="AH6792" s="87"/>
      <x:c r="AI6792" s="30"/>
      <x:c r="AJ6792" s="87" t="str">
        <x:v>clean</x:v>
      </x:c>
      <x:c r="AK6792" s="87" t="str">
        <x:v>clean-v0.28</x:v>
      </x:c>
      <x:c r="AL6792" s="87" t="str">
        <x:v>statgrad_clean_continuation_v0_28(2).xlsx</x:v>
      </x:c>
      <x:c r="AM6792" s="87" t="str">
        <x:v>INF_EGKR_S26_955</x:v>
      </x:c>
      <x:c r="AN6792" s="87" t="n">
        <x:v>4</x:v>
      </x:c>
    </x:row>
    <x:row r="6793">
      <x:c r="A6793" s="87" t="n">
        <x:v>6792</x:v>
      </x:c>
      <x:c r="B6793" s="87" t="str">
        <x:v>EGKR-S26-INF-955-04</x:v>
      </x:c>
      <x:c r="C6793" s="87" t="str">
        <x:v>ЕГКР</x:v>
      </x:c>
      <x:c r="D6793" s="87"/>
      <x:c r="E6793" s="87" t="str">
        <x:v>Весна 2026</x:v>
      </x:c>
      <x:c r="F6793" s="87" t="str">
        <x:v>18.04.2026</x:v>
      </x:c>
      <x:c r="G6793" s="87" t="str">
        <x:v>Информатика</x:v>
      </x:c>
      <x:c r="H6793" s="87" t="n">
        <x:v>11</x:v>
      </x:c>
      <x:c r="I6793" s="87"/>
      <x:c r="J6793" s="87" t="str">
        <x:v>955</x:v>
      </x:c>
      <x:c r="K6793" s="87" t="n">
        <x:v>4</x:v>
      </x:c>
      <x:c r="L6793" s="87" t="str">
        <x:v>Условие Фано / префиксные коды</x:v>
      </x:c>
      <x:c r="M6793" s="30" t="str">
        <x:v>Задание линии 4: Условие Фано / префиксные коды. Доступная формулировка и все таблицы/схемы сохранены на странице по VIS_ID.</x:v>
      </x:c>
      <x:c r="N6793" s="30" t="str">
        <x:v>20</x:v>
      </x:c>
      <x:c r="O6793" s="30" t="str">
        <x:v>Оптимальный префиксный код даёт длины 2,3,3 для О,К,Я; длина слова 20 бит.</x:v>
      </x:c>
      <x:c r="P6793" s="30"/>
      <x:c r="Q6793" s="30" t="str">
        <x:v>Доступная исходная формулировка + независимая проверка результата.</x:v>
      </x:c>
      <x:c r="R6793" s="30" t="str">
        <x:v>20</x:v>
      </x:c>
      <x:c r="S6793" s="30"/>
      <x:c r="T6793" s="30"/>
      <x:c r="U6793" s="30" t="str">
        <x:v>Расхождений не выявлено.</x:v>
      </x:c>
      <x:c r="V6793" s="87" t="str">
        <x:v>VERIFIED</x:v>
      </x:c>
      <x:c r="W6793" s="87"/>
      <x:c r="X6793" s="87" t="n">
        <x:v>1</x:v>
      </x:c>
      <x:c r="Y6793" s="87"/>
      <x:c r="Z6793" s="87"/>
      <x:c r="AA6793" s="87"/>
      <x:c r="AB6793" s="87"/>
      <x:c r="AC6793" s="87" t="str">
        <x:v>VIS-EGKR-INF-S26-TASKSOL-955-P001</x:v>
      </x:c>
      <x:c r="AD6793" s="87" t="str">
        <x:v>VIS-EGKR-INF-S26-TASKSOL-955-P001</x:v>
      </x:c>
      <x:c r="AE6793" s="87"/>
      <x:c r="AF6793" s="87" t="str">
        <x:v>VIS-EGKR-INF-S26-TASKSOL-955-P001: 1; VIS-EGKR-INF-S26-TASKSOL-955-P002: 2</x:v>
      </x:c>
      <x:c r="AG6793" s="87" t="str">
        <x:v>RESOLVED</x:v>
      </x:c>
      <x:c r="AH6793" s="87" t="str">
        <x:v>CROP_VERIFIED</x:v>
      </x:c>
      <x:c r="AI6793" s="30"/>
      <x:c r="AJ6793" s="87" t="str">
        <x:v>clean</x:v>
      </x:c>
      <x:c r="AK6793" s="87" t="str">
        <x:v>clean-v0.28</x:v>
      </x:c>
      <x:c r="AL6793" s="87" t="str">
        <x:v>statgrad_clean_continuation_v0_28(2).xlsx</x:v>
      </x:c>
      <x:c r="AM6793" s="87" t="str">
        <x:v>INF_EGKR_S26_955</x:v>
      </x:c>
      <x:c r="AN6793" s="87" t="n">
        <x:v>5</x:v>
      </x:c>
    </x:row>
    <x:row r="6794">
      <x:c r="A6794" s="87" t="n">
        <x:v>6793</x:v>
      </x:c>
      <x:c r="B6794" s="87" t="str">
        <x:v>EGKR-S26-INF-955-05</x:v>
      </x:c>
      <x:c r="C6794" s="87" t="str">
        <x:v>ЕГКР</x:v>
      </x:c>
      <x:c r="D6794" s="87"/>
      <x:c r="E6794" s="87" t="str">
        <x:v>Весна 2026</x:v>
      </x:c>
      <x:c r="F6794" s="87" t="str">
        <x:v>18.04.2026</x:v>
      </x:c>
      <x:c r="G6794" s="87" t="str">
        <x:v>Информатика</x:v>
      </x:c>
      <x:c r="H6794" s="87" t="n">
        <x:v>11</x:v>
      </x:c>
      <x:c r="I6794" s="87"/>
      <x:c r="J6794" s="87" t="str">
        <x:v>955</x:v>
      </x:c>
      <x:c r="K6794" s="87" t="n">
        <x:v>5</x:v>
      </x:c>
      <x:c r="L6794" s="87" t="str">
        <x:v>Алгоритм и системы счисления</x:v>
      </x:c>
      <x:c r="M6794" s="30" t="str">
        <x:v>Задание линии 5: Алгоритм и системы счисления. Доступная формулировка и все таблицы/схемы сохранены на странице по VIS_ID.</x:v>
      </x:c>
      <x:c r="N6794" s="30" t="str">
        <x:v>465</x:v>
      </x:c>
      <x:c r="O6794" s="30" t="str">
        <x:v>Полный перебор подтверждает минимальное нечётное R&gt;450: 465 при N=51.</x:v>
      </x:c>
      <x:c r="P6794" s="30"/>
      <x:c r="Q6794" s="30" t="str">
        <x:v>Доступная исходная формулировка + независимая проверка результата.</x:v>
      </x:c>
      <x:c r="R6794" s="30" t="str">
        <x:v>465</x:v>
      </x:c>
      <x:c r="S6794" s="30"/>
      <x:c r="T6794" s="30"/>
      <x:c r="U6794" s="30" t="str">
        <x:v>Расхождений не выявлено.</x:v>
      </x:c>
      <x:c r="V6794" s="87" t="str">
        <x:v>VERIFIED</x:v>
      </x:c>
      <x:c r="W6794" s="87"/>
      <x:c r="X6794" s="87" t="n">
        <x:v>2</x:v>
      </x:c>
      <x:c r="Y6794" s="87"/>
      <x:c r="Z6794" s="87"/>
      <x:c r="AA6794" s="87"/>
      <x:c r="AB6794" s="87"/>
      <x:c r="AC6794" s="87" t="str">
        <x:v>VIS-EGKR-INF-S26-TASKSOL-955-P002</x:v>
      </x:c>
      <x:c r="AD6794" s="87" t="str">
        <x:v>VIS-EGKR-INF-S26-TASKSOL-955-P001</x:v>
      </x:c>
      <x:c r="AE6794" s="87"/>
      <x:c r="AF6794" s="87" t="str">
        <x:v>VIS-EGKR-INF-S26-TASKSOL-955-P002: 2; VIS-EGKR-INF-S26-TASKSOL-955-P003: 3; VIS-EGKR-INF-S26-TASKSOL-955-P001: 1</x:v>
      </x:c>
      <x:c r="AG6794" s="87" t="str">
        <x:v>RESOLVED</x:v>
      </x:c>
      <x:c r="AH6794" s="87" t="str">
        <x:v>CROP_VERIFIED</x:v>
      </x:c>
      <x:c r="AI6794" s="30"/>
      <x:c r="AJ6794" s="87" t="str">
        <x:v>clean</x:v>
      </x:c>
      <x:c r="AK6794" s="87" t="str">
        <x:v>clean-v0.28</x:v>
      </x:c>
      <x:c r="AL6794" s="87" t="str">
        <x:v>statgrad_clean_continuation_v0_28(2).xlsx</x:v>
      </x:c>
      <x:c r="AM6794" s="87" t="str">
        <x:v>INF_EGKR_S26_955</x:v>
      </x:c>
      <x:c r="AN6794" s="87" t="n">
        <x:v>6</x:v>
      </x:c>
    </x:row>
    <x:row r="6795">
      <x:c r="A6795" s="87" t="n">
        <x:v>6794</x:v>
      </x:c>
      <x:c r="B6795" s="87" t="str">
        <x:v>EGKR-S26-INF-955-06</x:v>
      </x:c>
      <x:c r="C6795" s="87" t="str">
        <x:v>ЕГКР</x:v>
      </x:c>
      <x:c r="D6795" s="87"/>
      <x:c r="E6795" s="87" t="str">
        <x:v>Весна 2026</x:v>
      </x:c>
      <x:c r="F6795" s="87" t="str">
        <x:v>18.04.2026</x:v>
      </x:c>
      <x:c r="G6795" s="87" t="str">
        <x:v>Информатика</x:v>
      </x:c>
      <x:c r="H6795" s="87" t="n">
        <x:v>11</x:v>
      </x:c>
      <x:c r="I6795" s="87"/>
      <x:c r="J6795" s="87" t="str">
        <x:v>955</x:v>
      </x:c>
      <x:c r="K6795" s="87" t="n">
        <x:v>6</x:v>
      </x:c>
      <x:c r="L6795" s="87" t="str">
        <x:v>Исполнитель Черепаха</x:v>
      </x:c>
      <x:c r="M6795" s="30" t="str">
        <x:v>Задание линии 6: Исполнитель Черепаха. Доступная формулировка и все таблицы/схемы сохранены на странице по VIS_ID.</x:v>
      </x:c>
      <x:c r="N6795" s="30" t="str">
        <x:v>32</x:v>
      </x:c>
      <x:c r="O6795" s="30" t="str">
        <x:v>Пересечение с границами содержит 16·2=32 целочисленные точки.</x:v>
      </x:c>
      <x:c r="P6795" s="30"/>
      <x:c r="Q6795" s="30" t="str">
        <x:v>Доступная исходная формулировка + независимая проверка результата.</x:v>
      </x:c>
      <x:c r="R6795" s="30" t="str">
        <x:v>32</x:v>
      </x:c>
      <x:c r="S6795" s="30"/>
      <x:c r="T6795" s="30"/>
      <x:c r="U6795" s="30" t="str">
        <x:v>Расхождений не выявлено.</x:v>
      </x:c>
      <x:c r="V6795" s="87" t="str">
        <x:v>VERIFIED</x:v>
      </x:c>
      <x:c r="W6795" s="87"/>
      <x:c r="X6795" s="87" t="n">
        <x:v>3</x:v>
      </x:c>
      <x:c r="Y6795" s="87"/>
      <x:c r="Z6795" s="87"/>
      <x:c r="AA6795" s="87"/>
      <x:c r="AB6795" s="87"/>
      <x:c r="AC6795" s="87" t="str">
        <x:v>VIS-EGKR-INF-S26-TASKSOL-955-P003</x:v>
      </x:c>
      <x:c r="AD6795" s="87" t="str">
        <x:v>VIS-EGKR-INF-S26-TASKSOL-955-P001</x:v>
      </x:c>
      <x:c r="AE6795" s="87"/>
      <x:c r="AF6795" s="87" t="str">
        <x:v>VIS-EGKR-INF-S26-TASKSOL-955-P003: 3; VIS-EGKR-INF-S26-TASKSOL-955-P001: 1</x:v>
      </x:c>
      <x:c r="AG6795" s="87" t="str">
        <x:v>RESOLVED</x:v>
      </x:c>
      <x:c r="AH6795" s="87" t="str">
        <x:v>CROP_VERIFIED</x:v>
      </x:c>
      <x:c r="AI6795" s="30"/>
      <x:c r="AJ6795" s="87" t="str">
        <x:v>clean</x:v>
      </x:c>
      <x:c r="AK6795" s="87" t="str">
        <x:v>clean-v0.28</x:v>
      </x:c>
      <x:c r="AL6795" s="87" t="str">
        <x:v>statgrad_clean_continuation_v0_28(2).xlsx</x:v>
      </x:c>
      <x:c r="AM6795" s="87" t="str">
        <x:v>INF_EGKR_S26_955</x:v>
      </x:c>
      <x:c r="AN6795" s="87" t="n">
        <x:v>7</x:v>
      </x:c>
    </x:row>
    <x:row r="6796">
      <x:c r="A6796" s="87" t="n">
        <x:v>6795</x:v>
      </x:c>
      <x:c r="B6796" s="87" t="str">
        <x:v>EGKR-S26-INF-955-07</x:v>
      </x:c>
      <x:c r="C6796" s="87" t="str">
        <x:v>ЕГКР</x:v>
      </x:c>
      <x:c r="D6796" s="87"/>
      <x:c r="E6796" s="87" t="str">
        <x:v>Весна 2026</x:v>
      </x:c>
      <x:c r="F6796" s="87" t="str">
        <x:v>18.04.2026</x:v>
      </x:c>
      <x:c r="G6796" s="87" t="str">
        <x:v>Информатика</x:v>
      </x:c>
      <x:c r="H6796" s="87" t="n">
        <x:v>11</x:v>
      </x:c>
      <x:c r="I6796" s="87"/>
      <x:c r="J6796" s="87" t="str">
        <x:v>955</x:v>
      </x:c>
      <x:c r="K6796" s="87" t="n">
        <x:v>7</x:v>
      </x:c>
      <x:c r="L6796" s="87" t="str">
        <x:v>Кодирование звука</x:v>
      </x:c>
      <x:c r="M6796" s="30" t="str">
        <x:v>Задание линии 7: Кодирование звука. Доступная формулировка и все таблицы/схемы сохранены на странице по VIS_ID.</x:v>
      </x:c>
      <x:c r="N6796" s="30" t="str">
        <x:v>970</x:v>
      </x:c>
      <x:c r="O6796" s="30" t="str">
        <x:v>Расчёт аудиопотока и заголовков даёт 970,172... Мбайт; целая часть 970.</x:v>
      </x:c>
      <x:c r="P6796" s="30"/>
      <x:c r="Q6796" s="30" t="str">
        <x:v>Доступная исходная формулировка + независимая проверка результата.</x:v>
      </x:c>
      <x:c r="R6796" s="30" t="str">
        <x:v>970</x:v>
      </x:c>
      <x:c r="S6796" s="30"/>
      <x:c r="T6796" s="30"/>
      <x:c r="U6796" s="30" t="str">
        <x:v>Расхождений не выявлено.</x:v>
      </x:c>
      <x:c r="V6796" s="87" t="str">
        <x:v>VERIFIED</x:v>
      </x:c>
      <x:c r="W6796" s="87"/>
      <x:c r="X6796" s="87" t="n">
        <x:v>5</x:v>
      </x:c>
      <x:c r="Y6796" s="87"/>
      <x:c r="Z6796" s="87"/>
      <x:c r="AA6796" s="87"/>
      <x:c r="AB6796" s="87"/>
      <x:c r="AC6796" s="87" t="str">
        <x:v>VIS-EGKR-INF-S26-TASKSOL-955-P005</x:v>
      </x:c>
      <x:c r="AD6796" s="87" t="str">
        <x:v>VIS-EGKR-INF-S26-TASKSOL-955-P001</x:v>
      </x:c>
      <x:c r="AE6796" s="87"/>
      <x:c r="AF6796" s="87" t="str">
        <x:v>VIS-EGKR-INF-S26-TASKSOL-955-P005: 5; VIS-EGKR-INF-S26-TASKSOL-955-P001: 1</x:v>
      </x:c>
      <x:c r="AG6796" s="87" t="str">
        <x:v>RESOLVED</x:v>
      </x:c>
      <x:c r="AH6796" s="87" t="str">
        <x:v>CROP_VERIFIED</x:v>
      </x:c>
      <x:c r="AI6796" s="30"/>
      <x:c r="AJ6796" s="87" t="str">
        <x:v>clean</x:v>
      </x:c>
      <x:c r="AK6796" s="87" t="str">
        <x:v>clean-v0.28</x:v>
      </x:c>
      <x:c r="AL6796" s="87" t="str">
        <x:v>statgrad_clean_continuation_v0_28(2).xlsx</x:v>
      </x:c>
      <x:c r="AM6796" s="87" t="str">
        <x:v>INF_EGKR_S26_955</x:v>
      </x:c>
      <x:c r="AN6796" s="87" t="n">
        <x:v>8</x:v>
      </x:c>
    </x:row>
    <x:row r="6797">
      <x:c r="A6797" s="87" t="n">
        <x:v>6796</x:v>
      </x:c>
      <x:c r="B6797" s="87" t="str">
        <x:v>EGKR-S26-INF-955-08</x:v>
      </x:c>
      <x:c r="C6797" s="87" t="str">
        <x:v>ЕГКР</x:v>
      </x:c>
      <x:c r="D6797" s="87"/>
      <x:c r="E6797" s="87" t="str">
        <x:v>Весна 2026</x:v>
      </x:c>
      <x:c r="F6797" s="87" t="str">
        <x:v>18.04.2026</x:v>
      </x:c>
      <x:c r="G6797" s="87" t="str">
        <x:v>Информатика</x:v>
      </x:c>
      <x:c r="H6797" s="87" t="n">
        <x:v>11</x:v>
      </x:c>
      <x:c r="I6797" s="87"/>
      <x:c r="J6797" s="87" t="str">
        <x:v>955</x:v>
      </x:c>
      <x:c r="K6797" s="87" t="n">
        <x:v>8</x:v>
      </x:c>
      <x:c r="L6797" s="87" t="str">
        <x:v>Комбинаторика слов</x:v>
      </x:c>
      <x:c r="M6797" s="30" t="str">
        <x:v>Задание линии 8: Комбинаторика слов. Доступная формулировка и все таблицы/схемы сохранены на странице по VIS_ID.</x:v>
      </x:c>
      <x:c r="N6797" s="30" t="str">
        <x:v>2654</x:v>
      </x:c>
      <x:c r="O6797" s="30" t="str">
        <x:v>Прямой перебор слов подтверждает номер 2654.</x:v>
      </x:c>
      <x:c r="P6797" s="30"/>
      <x:c r="Q6797" s="30" t="str">
        <x:v>Доступная исходная формулировка + независимая проверка результата.</x:v>
      </x:c>
      <x:c r="R6797" s="30" t="str">
        <x:v>2654</x:v>
      </x:c>
      <x:c r="S6797" s="30"/>
      <x:c r="T6797" s="30"/>
      <x:c r="U6797" s="30" t="str">
        <x:v>Расхождений не выявлено.</x:v>
      </x:c>
      <x:c r="V6797" s="87" t="str">
        <x:v>VERIFIED</x:v>
      </x:c>
      <x:c r="W6797" s="87"/>
      <x:c r="X6797" s="87" t="n">
        <x:v>3</x:v>
      </x:c>
      <x:c r="Y6797" s="87"/>
      <x:c r="Z6797" s="87"/>
      <x:c r="AA6797" s="87"/>
      <x:c r="AB6797" s="87"/>
      <x:c r="AC6797" s="87" t="str">
        <x:v>VIS-EGKR-INF-S26-TASKSOL-955-P003</x:v>
      </x:c>
      <x:c r="AD6797" s="87" t="str">
        <x:v>VIS-EGKR-INF-S26-TASKSOL-955-P001</x:v>
      </x:c>
      <x:c r="AE6797" s="87"/>
      <x:c r="AF6797" s="87" t="str">
        <x:v>VIS-EGKR-INF-S26-TASKSOL-955-P003: 3; VIS-EGKR-INF-S26-TASKSOL-955-P004: 4; VIS-EGKR-INF-S26-TASKSOL-955-P001: 1</x:v>
      </x:c>
      <x:c r="AG6797" s="87" t="str">
        <x:v>RESOLVED</x:v>
      </x:c>
      <x:c r="AH6797" s="87" t="str">
        <x:v>CROP_VERIFIED</x:v>
      </x:c>
      <x:c r="AI6797" s="30"/>
      <x:c r="AJ6797" s="87" t="str">
        <x:v>clean</x:v>
      </x:c>
      <x:c r="AK6797" s="87" t="str">
        <x:v>clean-v0.28</x:v>
      </x:c>
      <x:c r="AL6797" s="87" t="str">
        <x:v>statgrad_clean_continuation_v0_28(2).xlsx</x:v>
      </x:c>
      <x:c r="AM6797" s="87" t="str">
        <x:v>INF_EGKR_S26_955</x:v>
      </x:c>
      <x:c r="AN6797" s="87" t="n">
        <x:v>9</x:v>
      </x:c>
    </x:row>
    <x:row r="6798">
      <x:c r="A6798" s="87" t="n">
        <x:v>6797</x:v>
      </x:c>
      <x:c r="B6798" s="87" t="str">
        <x:v>EGKR-S26-INF-955-09</x:v>
      </x:c>
      <x:c r="C6798" s="87" t="str">
        <x:v>ЕГКР</x:v>
      </x:c>
      <x:c r="D6798" s="87"/>
      <x:c r="E6798" s="87" t="str">
        <x:v>Весна 2026</x:v>
      </x:c>
      <x:c r="F6798" s="87" t="str">
        <x:v>18.04.2026</x:v>
      </x:c>
      <x:c r="G6798" s="87" t="str">
        <x:v>Информатика</x:v>
      </x:c>
      <x:c r="H6798" s="87" t="n">
        <x:v>11</x:v>
      </x:c>
      <x:c r="I6798" s="87"/>
      <x:c r="J6798" s="87" t="str">
        <x:v>955</x:v>
      </x:c>
      <x:c r="K6798" s="87" t="n">
        <x:v>9</x:v>
      </x:c>
      <x:c r="L6798" s="87" t="str">
        <x:v>Электронные таблицы</x:v>
      </x:c>
      <x:c r="M6798" s="30" t="str">
        <x:v>Формулировка задания №9 варианта 955 отсутствует в локальном архиве. Запись сохранена как явный контрольный пропуск без реконструкции по аналогии.</x:v>
      </x:c>
      <x:c r="N6798" s="30"/>
      <x:c r="O6798" s="30" t="str">
        <x:v>Ответ не утверждается: нет локальной формулировки и исходного ключа.</x:v>
      </x:c>
      <x:c r="P6798" s="30"/>
      <x:c r="Q6798" s="30" t="str">
        <x:v>Аудит состава локального архива ЕГКР.</x:v>
      </x:c>
      <x:c r="R6798" s="30"/>
      <x:c r="S6798" s="30"/>
      <x:c r="T6798" s="30"/>
      <x:c r="U6798" s="30" t="str">
        <x:v>SOURCE_GAP: не подменять заданием другого варианта.</x:v>
      </x:c>
      <x:c r="V6798" s="87" t="str">
        <x:v>SOURCE_GAP</x:v>
      </x:c>
      <x:c r="W6798" s="87"/>
      <x:c r="X6798" s="87"/>
      <x:c r="Y6798" s="87"/>
      <x:c r="Z6798" s="87"/>
      <x:c r="AA6798" s="87"/>
      <x:c r="AB6798" s="87"/>
      <x:c r="AC6798" s="87"/>
      <x:c r="AD6798" s="87"/>
      <x:c r="AE6798" s="87"/>
      <x:c r="AF6798" s="87"/>
      <x:c r="AG6798" s="87"/>
      <x:c r="AH6798" s="87"/>
      <x:c r="AI6798" s="30"/>
      <x:c r="AJ6798" s="87" t="str">
        <x:v>clean</x:v>
      </x:c>
      <x:c r="AK6798" s="87" t="str">
        <x:v>clean-v0.28</x:v>
      </x:c>
      <x:c r="AL6798" s="87" t="str">
        <x:v>statgrad_clean_continuation_v0_28(2).xlsx</x:v>
      </x:c>
      <x:c r="AM6798" s="87" t="str">
        <x:v>INF_EGKR_S26_955</x:v>
      </x:c>
      <x:c r="AN6798" s="87" t="n">
        <x:v>10</x:v>
      </x:c>
    </x:row>
    <x:row r="6799">
      <x:c r="A6799" s="87" t="n">
        <x:v>6798</x:v>
      </x:c>
      <x:c r="B6799" s="87" t="str">
        <x:v>EGKR-S26-INF-955-10</x:v>
      </x:c>
      <x:c r="C6799" s="87" t="str">
        <x:v>ЕГКР</x:v>
      </x:c>
      <x:c r="D6799" s="87"/>
      <x:c r="E6799" s="87" t="str">
        <x:v>Весна 2026</x:v>
      </x:c>
      <x:c r="F6799" s="87" t="str">
        <x:v>18.04.2026</x:v>
      </x:c>
      <x:c r="G6799" s="87" t="str">
        <x:v>Информатика</x:v>
      </x:c>
      <x:c r="H6799" s="87" t="n">
        <x:v>11</x:v>
      </x:c>
      <x:c r="I6799" s="87"/>
      <x:c r="J6799" s="87" t="str">
        <x:v>955</x:v>
      </x:c>
      <x:c r="K6799" s="87" t="n">
        <x:v>10</x:v>
      </x:c>
      <x:c r="L6799" s="87" t="str">
        <x:v>Текстовый поиск</x:v>
      </x:c>
      <x:c r="M6799" s="30" t="str">
        <x:v>Формулировка задания №10 варианта 955 отсутствует в локальном архиве. Запись сохранена как явный контрольный пропуск без реконструкции по аналогии.</x:v>
      </x:c>
      <x:c r="N6799" s="30"/>
      <x:c r="O6799" s="30" t="str">
        <x:v>Ответ не утверждается: нет локальной формулировки и исходного ключа.</x:v>
      </x:c>
      <x:c r="P6799" s="30"/>
      <x:c r="Q6799" s="30" t="str">
        <x:v>Аудит состава локального архива ЕГКР.</x:v>
      </x:c>
      <x:c r="R6799" s="30"/>
      <x:c r="S6799" s="30"/>
      <x:c r="T6799" s="30"/>
      <x:c r="U6799" s="30" t="str">
        <x:v>SOURCE_GAP: не подменять заданием другого варианта.</x:v>
      </x:c>
      <x:c r="V6799" s="87" t="str">
        <x:v>SOURCE_GAP</x:v>
      </x:c>
      <x:c r="W6799" s="87"/>
      <x:c r="X6799" s="87"/>
      <x:c r="Y6799" s="87"/>
      <x:c r="Z6799" s="87"/>
      <x:c r="AA6799" s="87"/>
      <x:c r="AB6799" s="87"/>
      <x:c r="AC6799" s="87"/>
      <x:c r="AD6799" s="87"/>
      <x:c r="AE6799" s="87"/>
      <x:c r="AF6799" s="87"/>
      <x:c r="AG6799" s="87"/>
      <x:c r="AH6799" s="87"/>
      <x:c r="AI6799" s="30"/>
      <x:c r="AJ6799" s="87" t="str">
        <x:v>clean</x:v>
      </x:c>
      <x:c r="AK6799" s="87" t="str">
        <x:v>clean-v0.28</x:v>
      </x:c>
      <x:c r="AL6799" s="87" t="str">
        <x:v>statgrad_clean_continuation_v0_28(2).xlsx</x:v>
      </x:c>
      <x:c r="AM6799" s="87" t="str">
        <x:v>INF_EGKR_S26_955</x:v>
      </x:c>
      <x:c r="AN6799" s="87" t="n">
        <x:v>11</x:v>
      </x:c>
    </x:row>
    <x:row r="6800">
      <x:c r="A6800" s="87" t="n">
        <x:v>6799</x:v>
      </x:c>
      <x:c r="B6800" s="87" t="str">
        <x:v>EGKR-S26-INF-955-11</x:v>
      </x:c>
      <x:c r="C6800" s="87" t="str">
        <x:v>ЕГКР</x:v>
      </x:c>
      <x:c r="D6800" s="87"/>
      <x:c r="E6800" s="87" t="str">
        <x:v>Весна 2026</x:v>
      </x:c>
      <x:c r="F6800" s="87" t="str">
        <x:v>18.04.2026</x:v>
      </x:c>
      <x:c r="G6800" s="87" t="str">
        <x:v>Информатика</x:v>
      </x:c>
      <x:c r="H6800" s="87" t="n">
        <x:v>11</x:v>
      </x:c>
      <x:c r="I6800" s="87"/>
      <x:c r="J6800" s="87" t="str">
        <x:v>955</x:v>
      </x:c>
      <x:c r="K6800" s="87" t="n">
        <x:v>11</x:v>
      </x:c>
      <x:c r="L6800" s="87" t="str">
        <x:v>Кодирование информации в БД</x:v>
      </x:c>
      <x:c r="M6800" s="30" t="str">
        <x:v>Задание линии 11: Кодирование информации в БД. Доступная формулировка и все таблицы/схемы сохранены на странице по VIS_ID.</x:v>
      </x:c>
      <x:c r="N6800" s="30" t="str">
        <x:v>1025</x:v>
      </x:c>
      <x:c r="O6800" s="30" t="str">
        <x:v>10 бит дают менее 7 Мбайт, 11 бит — уже не менее; минимальная мощность 2^10+1=1025.</x:v>
      </x:c>
      <x:c r="P6800" s="30"/>
      <x:c r="Q6800" s="30" t="str">
        <x:v>Доступная исходная формулировка + независимая проверка результата.</x:v>
      </x:c>
      <x:c r="R6800" s="30" t="str">
        <x:v>1025</x:v>
      </x:c>
      <x:c r="S6800" s="30"/>
      <x:c r="T6800" s="30"/>
      <x:c r="U6800" s="30" t="str">
        <x:v>Расхождений не выявлено.</x:v>
      </x:c>
      <x:c r="V6800" s="87" t="str">
        <x:v>VERIFIED</x:v>
      </x:c>
      <x:c r="W6800" s="87"/>
      <x:c r="X6800" s="87" t="n">
        <x:v>5</x:v>
      </x:c>
      <x:c r="Y6800" s="87"/>
      <x:c r="Z6800" s="87"/>
      <x:c r="AA6800" s="87"/>
      <x:c r="AB6800" s="87"/>
      <x:c r="AC6800" s="87" t="str">
        <x:v>VIS-EGKR-INF-S26-TASKSOL-955-P005</x:v>
      </x:c>
      <x:c r="AD6800" s="87" t="str">
        <x:v>VIS-EGKR-INF-S26-TASKSOL-955-P001</x:v>
      </x:c>
      <x:c r="AE6800" s="87"/>
      <x:c r="AF6800" s="87" t="str">
        <x:v>VIS-EGKR-INF-S26-TASKSOL-955-P005: 5; VIS-EGKR-INF-S26-TASKSOL-955-P006: 6; VIS-EGKR-INF-S26-TASKSOL-955-P001: 1</x:v>
      </x:c>
      <x:c r="AG6800" s="87" t="str">
        <x:v>RESOLVED</x:v>
      </x:c>
      <x:c r="AH6800" s="87" t="str">
        <x:v>CROP_VERIFIED</x:v>
      </x:c>
      <x:c r="AI6800" s="30"/>
      <x:c r="AJ6800" s="87" t="str">
        <x:v>clean</x:v>
      </x:c>
      <x:c r="AK6800" s="87" t="str">
        <x:v>clean-v0.28</x:v>
      </x:c>
      <x:c r="AL6800" s="87" t="str">
        <x:v>statgrad_clean_continuation_v0_28(2).xlsx</x:v>
      </x:c>
      <x:c r="AM6800" s="87" t="str">
        <x:v>INF_EGKR_S26_955</x:v>
      </x:c>
      <x:c r="AN6800" s="87" t="n">
        <x:v>12</x:v>
      </x:c>
    </x:row>
    <x:row r="6801">
      <x:c r="A6801" s="87" t="n">
        <x:v>6800</x:v>
      </x:c>
      <x:c r="B6801" s="87" t="str">
        <x:v>EGKR-S26-INF-955-12</x:v>
      </x:c>
      <x:c r="C6801" s="87" t="str">
        <x:v>ЕГКР</x:v>
      </x:c>
      <x:c r="D6801" s="87"/>
      <x:c r="E6801" s="87" t="str">
        <x:v>Весна 2026</x:v>
      </x:c>
      <x:c r="F6801" s="87" t="str">
        <x:v>18.04.2026</x:v>
      </x:c>
      <x:c r="G6801" s="87" t="str">
        <x:v>Информатика</x:v>
      </x:c>
      <x:c r="H6801" s="87" t="n">
        <x:v>11</x:v>
      </x:c>
      <x:c r="I6801" s="87"/>
      <x:c r="J6801" s="87" t="str">
        <x:v>955</x:v>
      </x:c>
      <x:c r="K6801" s="87" t="n">
        <x:v>12</x:v>
      </x:c>
      <x:c r="L6801" s="87" t="str">
        <x:v>Машина Тьюринга</x:v>
      </x:c>
      <x:c r="M6801" s="30" t="str">
        <x:v>Задание линии 12: Машина Тьюринга. Доступная формулировка и все таблицы/схемы сохранены на странице по VIS_ID.</x:v>
      </x:c>
      <x:c r="N6801" s="30" t="str">
        <x:v>8115</x:v>
      </x:c>
      <x:c r="O6801" s="30" t="str">
        <x:v>Машина сохраняет запись 2028 и дописывает 11₂: 2028·4+3=8115.</x:v>
      </x:c>
      <x:c r="P6801" s="30"/>
      <x:c r="Q6801" s="30" t="str">
        <x:v>Доступная исходная формулировка + независимая проверка результата.</x:v>
      </x:c>
      <x:c r="R6801" s="30" t="str">
        <x:v>8115</x:v>
      </x:c>
      <x:c r="S6801" s="30"/>
      <x:c r="T6801" s="30"/>
      <x:c r="U6801" s="30" t="str">
        <x:v>Расхождений не выявлено.</x:v>
      </x:c>
      <x:c r="V6801" s="87" t="str">
        <x:v>VERIFIED</x:v>
      </x:c>
      <x:c r="W6801" s="87"/>
      <x:c r="X6801" s="87" t="n">
        <x:v>11</x:v>
      </x:c>
      <x:c r="Y6801" s="87"/>
      <x:c r="Z6801" s="87"/>
      <x:c r="AA6801" s="87"/>
      <x:c r="AB6801" s="87"/>
      <x:c r="AC6801" s="87" t="str">
        <x:v>VIS-EGKR-INF-S26-TASKSOL-955-P011</x:v>
      </x:c>
      <x:c r="AD6801" s="87" t="str">
        <x:v>VIS-EGKR-INF-S26-TASKSOL-955-P001</x:v>
      </x:c>
      <x:c r="AE6801" s="87"/>
      <x:c r="AF6801" s="87" t="str">
        <x:v>VIS-EGKR-INF-S26-TASKSOL-955-P011: 11; VIS-EGKR-INF-S26-TASKSOL-955-P012: 12; VIS-EGKR-INF-S26-TASKSOL-955-P001: 1</x:v>
      </x:c>
      <x:c r="AG6801" s="87" t="str">
        <x:v>RESOLVED</x:v>
      </x:c>
      <x:c r="AH6801" s="87" t="str">
        <x:v>CROP_VERIFIED</x:v>
      </x:c>
      <x:c r="AI6801" s="30"/>
      <x:c r="AJ6801" s="87" t="str">
        <x:v>clean</x:v>
      </x:c>
      <x:c r="AK6801" s="87" t="str">
        <x:v>clean-v0.28</x:v>
      </x:c>
      <x:c r="AL6801" s="87" t="str">
        <x:v>statgrad_clean_continuation_v0_28(2).xlsx</x:v>
      </x:c>
      <x:c r="AM6801" s="87" t="str">
        <x:v>INF_EGKR_S26_955</x:v>
      </x:c>
      <x:c r="AN6801" s="87" t="n">
        <x:v>13</x:v>
      </x:c>
    </x:row>
    <x:row r="6802">
      <x:c r="A6802" s="87" t="n">
        <x:v>6801</x:v>
      </x:c>
      <x:c r="B6802" s="87" t="str">
        <x:v>EGKR-S26-INF-955-13</x:v>
      </x:c>
      <x:c r="C6802" s="87" t="str">
        <x:v>ЕГКР</x:v>
      </x:c>
      <x:c r="D6802" s="87"/>
      <x:c r="E6802" s="87" t="str">
        <x:v>Весна 2026</x:v>
      </x:c>
      <x:c r="F6802" s="87" t="str">
        <x:v>18.04.2026</x:v>
      </x:c>
      <x:c r="G6802" s="87" t="str">
        <x:v>Информатика</x:v>
      </x:c>
      <x:c r="H6802" s="87" t="n">
        <x:v>11</x:v>
      </x:c>
      <x:c r="I6802" s="87"/>
      <x:c r="J6802" s="87" t="str">
        <x:v>955</x:v>
      </x:c>
      <x:c r="K6802" s="87" t="n">
        <x:v>13</x:v>
      </x:c>
      <x:c r="L6802" s="87" t="str">
        <x:v>IP-адресация</x:v>
      </x:c>
      <x:c r="M6802" s="30" t="str">
        <x:v>Задание линии 13: IP-адресация. Доступная формулировка и все таблицы/схемы сохранены на странице по VIS_ID.</x:v>
      </x:c>
      <x:c r="N6802" s="30" t="str">
        <x:v>613</x:v>
      </x:c>
      <x:c r="O6802" s="30" t="str">
        <x:v>Максимальный адрес узла 59.132.168.254; сумма октетов 613.</x:v>
      </x:c>
      <x:c r="P6802" s="30"/>
      <x:c r="Q6802" s="30" t="str">
        <x:v>Доступная исходная формулировка + независимая проверка результата.</x:v>
      </x:c>
      <x:c r="R6802" s="30" t="str">
        <x:v>613</x:v>
      </x:c>
      <x:c r="S6802" s="30"/>
      <x:c r="T6802" s="30"/>
      <x:c r="U6802" s="30" t="str">
        <x:v>Расхождений не выявлено.</x:v>
      </x:c>
      <x:c r="V6802" s="87" t="str">
        <x:v>VERIFIED</x:v>
      </x:c>
      <x:c r="W6802" s="87"/>
      <x:c r="X6802" s="87" t="n">
        <x:v>4</x:v>
      </x:c>
      <x:c r="Y6802" s="87"/>
      <x:c r="Z6802" s="87"/>
      <x:c r="AA6802" s="87"/>
      <x:c r="AB6802" s="87"/>
      <x:c r="AC6802" s="87" t="str">
        <x:v>VIS-EGKR-INF-S26-TASKSOL-955-P004</x:v>
      </x:c>
      <x:c r="AD6802" s="87" t="str">
        <x:v>VIS-EGKR-INF-S26-TASKSOL-955-P001</x:v>
      </x:c>
      <x:c r="AE6802" s="87"/>
      <x:c r="AF6802" s="87" t="str">
        <x:v>VIS-EGKR-INF-S26-TASKSOL-955-P004: 4; VIS-EGKR-INF-S26-TASKSOL-955-P005: 5; VIS-EGKR-INF-S26-TASKSOL-955-P001: 1</x:v>
      </x:c>
      <x:c r="AG6802" s="87" t="str">
        <x:v>RESOLVED</x:v>
      </x:c>
      <x:c r="AH6802" s="87" t="str">
        <x:v>CROP_VERIFIED</x:v>
      </x:c>
      <x:c r="AI6802" s="30"/>
      <x:c r="AJ6802" s="87" t="str">
        <x:v>clean</x:v>
      </x:c>
      <x:c r="AK6802" s="87" t="str">
        <x:v>clean-v0.28</x:v>
      </x:c>
      <x:c r="AL6802" s="87" t="str">
        <x:v>statgrad_clean_continuation_v0_28(2).xlsx</x:v>
      </x:c>
      <x:c r="AM6802" s="87" t="str">
        <x:v>INF_EGKR_S26_955</x:v>
      </x:c>
      <x:c r="AN6802" s="87" t="n">
        <x:v>14</x:v>
      </x:c>
    </x:row>
    <x:row r="6803">
      <x:c r="A6803" s="87" t="n">
        <x:v>6802</x:v>
      </x:c>
      <x:c r="B6803" s="87" t="str">
        <x:v>EGKR-S26-INF-955-14</x:v>
      </x:c>
      <x:c r="C6803" s="87" t="str">
        <x:v>ЕГКР</x:v>
      </x:c>
      <x:c r="D6803" s="87"/>
      <x:c r="E6803" s="87" t="str">
        <x:v>Весна 2026</x:v>
      </x:c>
      <x:c r="F6803" s="87" t="str">
        <x:v>18.04.2026</x:v>
      </x:c>
      <x:c r="G6803" s="87" t="str">
        <x:v>Информатика</x:v>
      </x:c>
      <x:c r="H6803" s="87" t="n">
        <x:v>11</x:v>
      </x:c>
      <x:c r="I6803" s="87"/>
      <x:c r="J6803" s="87" t="str">
        <x:v>955</x:v>
      </x:c>
      <x:c r="K6803" s="87" t="n">
        <x:v>14</x:v>
      </x:c>
      <x:c r="L6803" s="87" t="str">
        <x:v>Системы счисления</x:v>
      </x:c>
      <x:c r="M6803" s="30" t="str">
        <x:v>Задание линии 14: Системы счисления. Доступная формулировка и все таблицы/схемы сохранены на странице по VIS_ID.</x:v>
      </x:c>
      <x:c r="N6803" s="30" t="str">
        <x:v>761</x:v>
      </x:c>
      <x:c r="O6803" s="30" t="str">
        <x:v>Независимый перевод в основание 49 даёт сумму цифр &gt;9, равную 761.</x:v>
      </x:c>
      <x:c r="P6803" s="30"/>
      <x:c r="Q6803" s="30" t="str">
        <x:v>Доступная исходная формулировка + независимая проверка результата.</x:v>
      </x:c>
      <x:c r="R6803" s="30" t="str">
        <x:v>761</x:v>
      </x:c>
      <x:c r="S6803" s="30"/>
      <x:c r="T6803" s="30"/>
      <x:c r="U6803" s="30" t="str">
        <x:v>Расхождений не выявлено.</x:v>
      </x:c>
      <x:c r="V6803" s="87" t="str">
        <x:v>VERIFIED</x:v>
      </x:c>
      <x:c r="W6803" s="87"/>
      <x:c r="X6803" s="87" t="n">
        <x:v>6</x:v>
      </x:c>
      <x:c r="Y6803" s="87"/>
      <x:c r="Z6803" s="87"/>
      <x:c r="AA6803" s="87"/>
      <x:c r="AB6803" s="87"/>
      <x:c r="AC6803" s="87" t="str">
        <x:v>VIS-EGKR-INF-S26-TASKSOL-955-P006</x:v>
      </x:c>
      <x:c r="AD6803" s="87" t="str">
        <x:v>VIS-EGKR-INF-S26-TASKSOL-955-P001</x:v>
      </x:c>
      <x:c r="AE6803" s="87"/>
      <x:c r="AF6803" s="87" t="str">
        <x:v>VIS-EGKR-INF-S26-TASKSOL-955-P006: 6; VIS-EGKR-INF-S26-TASKSOL-955-P007: 7; VIS-EGKR-INF-S26-TASKSOL-955-P001: 1</x:v>
      </x:c>
      <x:c r="AG6803" s="87" t="str">
        <x:v>RESOLVED</x:v>
      </x:c>
      <x:c r="AH6803" s="87" t="str">
        <x:v>CROP_VERIFIED</x:v>
      </x:c>
      <x:c r="AI6803" s="30"/>
      <x:c r="AJ6803" s="87" t="str">
        <x:v>clean</x:v>
      </x:c>
      <x:c r="AK6803" s="87" t="str">
        <x:v>clean-v0.28</x:v>
      </x:c>
      <x:c r="AL6803" s="87" t="str">
        <x:v>statgrad_clean_continuation_v0_28(2).xlsx</x:v>
      </x:c>
      <x:c r="AM6803" s="87" t="str">
        <x:v>INF_EGKR_S26_955</x:v>
      </x:c>
      <x:c r="AN6803" s="87" t="n">
        <x:v>15</x:v>
      </x:c>
    </x:row>
    <x:row r="6804">
      <x:c r="A6804" s="87" t="n">
        <x:v>6803</x:v>
      </x:c>
      <x:c r="B6804" s="87" t="str">
        <x:v>EGKR-S26-INF-955-15</x:v>
      </x:c>
      <x:c r="C6804" s="87" t="str">
        <x:v>ЕГКР</x:v>
      </x:c>
      <x:c r="D6804" s="87"/>
      <x:c r="E6804" s="87" t="str">
        <x:v>Весна 2026</x:v>
      </x:c>
      <x:c r="F6804" s="87" t="str">
        <x:v>18.04.2026</x:v>
      </x:c>
      <x:c r="G6804" s="87" t="str">
        <x:v>Информатика</x:v>
      </x:c>
      <x:c r="H6804" s="87" t="n">
        <x:v>11</x:v>
      </x:c>
      <x:c r="I6804" s="87"/>
      <x:c r="J6804" s="87" t="str">
        <x:v>955</x:v>
      </x:c>
      <x:c r="K6804" s="87" t="n">
        <x:v>15</x:v>
      </x:c>
      <x:c r="L6804" s="87" t="str">
        <x:v>Алгебра логики</x:v>
      </x:c>
      <x:c r="M6804" s="30" t="str">
        <x:v>Задание линии 15: Алгебра логики. Доступная формулировка и все таблицы/схемы сохранены на странице по VIS_ID.</x:v>
      </x:c>
      <x:c r="N6804" s="30" t="str">
        <x:v>835</x:v>
      </x:c>
      <x:c r="O6804" s="30" t="str">
        <x:v>Для покрытия всех x&lt;835 требуется A≥835; минимальное A=835.</x:v>
      </x:c>
      <x:c r="P6804" s="30"/>
      <x:c r="Q6804" s="30" t="str">
        <x:v>Доступная исходная формулировка + независимая проверка результата.</x:v>
      </x:c>
      <x:c r="R6804" s="30" t="str">
        <x:v>835</x:v>
      </x:c>
      <x:c r="S6804" s="30"/>
      <x:c r="T6804" s="30"/>
      <x:c r="U6804" s="30" t="str">
        <x:v>Расхождений не выявлено.</x:v>
      </x:c>
      <x:c r="V6804" s="87" t="str">
        <x:v>VERIFIED</x:v>
      </x:c>
      <x:c r="W6804" s="87"/>
      <x:c r="X6804" s="87" t="n">
        <x:v>7</x:v>
      </x:c>
      <x:c r="Y6804" s="87"/>
      <x:c r="Z6804" s="87"/>
      <x:c r="AA6804" s="87"/>
      <x:c r="AB6804" s="87"/>
      <x:c r="AC6804" s="87" t="str">
        <x:v>VIS-EGKR-INF-S26-TASKSOL-955-P007</x:v>
      </x:c>
      <x:c r="AD6804" s="87" t="str">
        <x:v>VIS-EGKR-INF-S26-TASKSOL-955-P001</x:v>
      </x:c>
      <x:c r="AE6804" s="87"/>
      <x:c r="AF6804" s="87" t="str">
        <x:v>VIS-EGKR-INF-S26-TASKSOL-955-P007: 7; VIS-EGKR-INF-S26-TASKSOL-955-P008: 8; VIS-EGKR-INF-S26-TASKSOL-955-P001: 1</x:v>
      </x:c>
      <x:c r="AG6804" s="87" t="str">
        <x:v>RESOLVED</x:v>
      </x:c>
      <x:c r="AH6804" s="87" t="str">
        <x:v>CROP_VERIFIED</x:v>
      </x:c>
      <x:c r="AI6804" s="30"/>
      <x:c r="AJ6804" s="87" t="str">
        <x:v>clean</x:v>
      </x:c>
      <x:c r="AK6804" s="87" t="str">
        <x:v>clean-v0.28</x:v>
      </x:c>
      <x:c r="AL6804" s="87" t="str">
        <x:v>statgrad_clean_continuation_v0_28(2).xlsx</x:v>
      </x:c>
      <x:c r="AM6804" s="87" t="str">
        <x:v>INF_EGKR_S26_955</x:v>
      </x:c>
      <x:c r="AN6804" s="87" t="n">
        <x:v>16</x:v>
      </x:c>
    </x:row>
    <x:row r="6805">
      <x:c r="A6805" s="87" t="n">
        <x:v>6804</x:v>
      </x:c>
      <x:c r="B6805" s="87" t="str">
        <x:v>EGKR-S26-INF-955-16</x:v>
      </x:c>
      <x:c r="C6805" s="87" t="str">
        <x:v>ЕГКР</x:v>
      </x:c>
      <x:c r="D6805" s="87"/>
      <x:c r="E6805" s="87" t="str">
        <x:v>Весна 2026</x:v>
      </x:c>
      <x:c r="F6805" s="87" t="str">
        <x:v>18.04.2026</x:v>
      </x:c>
      <x:c r="G6805" s="87" t="str">
        <x:v>Информатика</x:v>
      </x:c>
      <x:c r="H6805" s="87" t="n">
        <x:v>11</x:v>
      </x:c>
      <x:c r="I6805" s="87"/>
      <x:c r="J6805" s="87" t="str">
        <x:v>955</x:v>
      </x:c>
      <x:c r="K6805" s="87" t="n">
        <x:v>16</x:v>
      </x:c>
      <x:c r="L6805" s="87" t="str">
        <x:v>Рекурсивные функции</x:v>
      </x:c>
      <x:c r="M6805" s="30" t="str">
        <x:v>Задание линии 16: Рекурсивные функции. Доступная формулировка и все таблицы/схемы сохранены на странице по VIS_ID.</x:v>
      </x:c>
      <x:c r="N6805" s="30" t="str">
        <x:v>457117</x:v>
      </x:c>
      <x:c r="O6805" s="30" t="str">
        <x:v>Итеративное свёртывание рекурсий подтверждает F(1993)=457117.</x:v>
      </x:c>
      <x:c r="P6805" s="30"/>
      <x:c r="Q6805" s="30" t="str">
        <x:v>Доступная исходная формулировка + независимая проверка результата.</x:v>
      </x:c>
      <x:c r="R6805" s="30" t="str">
        <x:v>457117</x:v>
      </x:c>
      <x:c r="S6805" s="30"/>
      <x:c r="T6805" s="30"/>
      <x:c r="U6805" s="30" t="str">
        <x:v>Расхождений не выявлено.</x:v>
      </x:c>
      <x:c r="V6805" s="87" t="str">
        <x:v>VERIFIED</x:v>
      </x:c>
      <x:c r="W6805" s="87"/>
      <x:c r="X6805" s="87" t="n">
        <x:v>8</x:v>
      </x:c>
      <x:c r="Y6805" s="87"/>
      <x:c r="Z6805" s="87"/>
      <x:c r="AA6805" s="87"/>
      <x:c r="AB6805" s="87"/>
      <x:c r="AC6805" s="87" t="str">
        <x:v>VIS-EGKR-INF-S26-TASKSOL-955-P008</x:v>
      </x:c>
      <x:c r="AD6805" s="87" t="str">
        <x:v>VIS-EGKR-INF-S26-TASKSOL-955-P001</x:v>
      </x:c>
      <x:c r="AE6805" s="87"/>
      <x:c r="AF6805" s="87" t="str">
        <x:v>VIS-EGKR-INF-S26-TASKSOL-955-P008: 8; VIS-EGKR-INF-S26-TASKSOL-955-P001: 1</x:v>
      </x:c>
      <x:c r="AG6805" s="87" t="str">
        <x:v>RESOLVED</x:v>
      </x:c>
      <x:c r="AH6805" s="87" t="str">
        <x:v>CROP_VERIFIED</x:v>
      </x:c>
      <x:c r="AI6805" s="30"/>
      <x:c r="AJ6805" s="87" t="str">
        <x:v>clean</x:v>
      </x:c>
      <x:c r="AK6805" s="87" t="str">
        <x:v>clean-v0.28</x:v>
      </x:c>
      <x:c r="AL6805" s="87" t="str">
        <x:v>statgrad_clean_continuation_v0_28(2).xlsx</x:v>
      </x:c>
      <x:c r="AM6805" s="87" t="str">
        <x:v>INF_EGKR_S26_955</x:v>
      </x:c>
      <x:c r="AN6805" s="87" t="n">
        <x:v>17</x:v>
      </x:c>
    </x:row>
    <x:row r="6806">
      <x:c r="A6806" s="87" t="n">
        <x:v>6805</x:v>
      </x:c>
      <x:c r="B6806" s="87" t="str">
        <x:v>EGKR-S26-INF-955-17</x:v>
      </x:c>
      <x:c r="C6806" s="87" t="str">
        <x:v>ЕГКР</x:v>
      </x:c>
      <x:c r="D6806" s="87"/>
      <x:c r="E6806" s="87" t="str">
        <x:v>Весна 2026</x:v>
      </x:c>
      <x:c r="F6806" s="87" t="str">
        <x:v>18.04.2026</x:v>
      </x:c>
      <x:c r="G6806" s="87" t="str">
        <x:v>Информатика</x:v>
      </x:c>
      <x:c r="H6806" s="87" t="n">
        <x:v>11</x:v>
      </x:c>
      <x:c r="I6806" s="87"/>
      <x:c r="J6806" s="87" t="str">
        <x:v>955</x:v>
      </x:c>
      <x:c r="K6806" s="87" t="n">
        <x:v>17</x:v>
      </x:c>
      <x:c r="L6806" s="87" t="str">
        <x:v>Обработка последовательности</x:v>
      </x:c>
      <x:c r="M6806" s="30" t="str">
        <x:v>Формулировка задания №17 варианта 955 отсутствует в локальном архиве. Запись сохранена как явный контрольный пропуск без реконструкции по аналогии.</x:v>
      </x:c>
      <x:c r="N6806" s="30"/>
      <x:c r="O6806" s="30" t="str">
        <x:v>Ответ не утверждается: нет локальной формулировки и исходного ключа.</x:v>
      </x:c>
      <x:c r="P6806" s="30"/>
      <x:c r="Q6806" s="30" t="str">
        <x:v>Аудит состава локального архива ЕГКР.</x:v>
      </x:c>
      <x:c r="R6806" s="30"/>
      <x:c r="S6806" s="30"/>
      <x:c r="T6806" s="30"/>
      <x:c r="U6806" s="30" t="str">
        <x:v>SOURCE_GAP: не подменять заданием другого варианта.</x:v>
      </x:c>
      <x:c r="V6806" s="87" t="str">
        <x:v>SOURCE_GAP</x:v>
      </x:c>
      <x:c r="W6806" s="87"/>
      <x:c r="X6806" s="87"/>
      <x:c r="Y6806" s="87"/>
      <x:c r="Z6806" s="87"/>
      <x:c r="AA6806" s="87"/>
      <x:c r="AB6806" s="87"/>
      <x:c r="AC6806" s="87"/>
      <x:c r="AD6806" s="87"/>
      <x:c r="AE6806" s="87"/>
      <x:c r="AF6806" s="87"/>
      <x:c r="AG6806" s="87"/>
      <x:c r="AH6806" s="87"/>
      <x:c r="AI6806" s="30"/>
      <x:c r="AJ6806" s="87" t="str">
        <x:v>clean</x:v>
      </x:c>
      <x:c r="AK6806" s="87" t="str">
        <x:v>clean-v0.28</x:v>
      </x:c>
      <x:c r="AL6806" s="87" t="str">
        <x:v>statgrad_clean_continuation_v0_28(2).xlsx</x:v>
      </x:c>
      <x:c r="AM6806" s="87" t="str">
        <x:v>INF_EGKR_S26_955</x:v>
      </x:c>
      <x:c r="AN6806" s="87" t="n">
        <x:v>18</x:v>
      </x:c>
    </x:row>
    <x:row r="6807">
      <x:c r="A6807" s="87" t="n">
        <x:v>6806</x:v>
      </x:c>
      <x:c r="B6807" s="87" t="str">
        <x:v>EGKR-S26-INF-955-18</x:v>
      </x:c>
      <x:c r="C6807" s="87" t="str">
        <x:v>ЕГКР</x:v>
      </x:c>
      <x:c r="D6807" s="87"/>
      <x:c r="E6807" s="87" t="str">
        <x:v>Весна 2026</x:v>
      </x:c>
      <x:c r="F6807" s="87" t="str">
        <x:v>18.04.2026</x:v>
      </x:c>
      <x:c r="G6807" s="87" t="str">
        <x:v>Информатика</x:v>
      </x:c>
      <x:c r="H6807" s="87" t="n">
        <x:v>11</x:v>
      </x:c>
      <x:c r="I6807" s="87"/>
      <x:c r="J6807" s="87" t="str">
        <x:v>955</x:v>
      </x:c>
      <x:c r="K6807" s="87" t="n">
        <x:v>18</x:v>
      </x:c>
      <x:c r="L6807" s="87" t="str">
        <x:v>Динамическое программирование / Робот</x:v>
      </x:c>
      <x:c r="M6807" s="30" t="str">
        <x:v>Формулировка задания №18 варианта 955 отсутствует в локальном архиве. Запись сохранена как явный контрольный пропуск без реконструкции по аналогии.</x:v>
      </x:c>
      <x:c r="N6807" s="30"/>
      <x:c r="O6807" s="30" t="str">
        <x:v>Ответ не утверждается: нет локальной формулировки и исходного ключа.</x:v>
      </x:c>
      <x:c r="P6807" s="30"/>
      <x:c r="Q6807" s="30" t="str">
        <x:v>Аудит состава локального архива ЕГКР.</x:v>
      </x:c>
      <x:c r="R6807" s="30"/>
      <x:c r="S6807" s="30"/>
      <x:c r="T6807" s="30"/>
      <x:c r="U6807" s="30" t="str">
        <x:v>SOURCE_GAP: не подменять заданием другого варианта.</x:v>
      </x:c>
      <x:c r="V6807" s="87" t="str">
        <x:v>SOURCE_GAP</x:v>
      </x:c>
      <x:c r="W6807" s="87"/>
      <x:c r="X6807" s="87"/>
      <x:c r="Y6807" s="87"/>
      <x:c r="Z6807" s="87"/>
      <x:c r="AA6807" s="87"/>
      <x:c r="AB6807" s="87"/>
      <x:c r="AC6807" s="87"/>
      <x:c r="AD6807" s="87"/>
      <x:c r="AE6807" s="87"/>
      <x:c r="AF6807" s="87"/>
      <x:c r="AG6807" s="87"/>
      <x:c r="AH6807" s="87"/>
      <x:c r="AI6807" s="30"/>
      <x:c r="AJ6807" s="87" t="str">
        <x:v>clean</x:v>
      </x:c>
      <x:c r="AK6807" s="87" t="str">
        <x:v>clean-v0.28</x:v>
      </x:c>
      <x:c r="AL6807" s="87" t="str">
        <x:v>statgrad_clean_continuation_v0_28(2).xlsx</x:v>
      </x:c>
      <x:c r="AM6807" s="87" t="str">
        <x:v>INF_EGKR_S26_955</x:v>
      </x:c>
      <x:c r="AN6807" s="87" t="n">
        <x:v>19</x:v>
      </x:c>
    </x:row>
    <x:row r="6808">
      <x:c r="A6808" s="87" t="n">
        <x:v>6807</x:v>
      </x:c>
      <x:c r="B6808" s="87" t="str">
        <x:v>EGKR-S26-INF-955-19</x:v>
      </x:c>
      <x:c r="C6808" s="87" t="str">
        <x:v>ЕГКР</x:v>
      </x:c>
      <x:c r="D6808" s="87"/>
      <x:c r="E6808" s="87" t="str">
        <x:v>Весна 2026</x:v>
      </x:c>
      <x:c r="F6808" s="87" t="str">
        <x:v>18.04.2026</x:v>
      </x:c>
      <x:c r="G6808" s="87" t="str">
        <x:v>Информатика</x:v>
      </x:c>
      <x:c r="H6808" s="87" t="n">
        <x:v>11</x:v>
      </x:c>
      <x:c r="I6808" s="87"/>
      <x:c r="J6808" s="87" t="str">
        <x:v>955</x:v>
      </x:c>
      <x:c r="K6808" s="87" t="n">
        <x:v>19</x:v>
      </x:c>
      <x:c r="L6808" s="87" t="str">
        <x:v>Теория игр — позиция Вани</x:v>
      </x:c>
      <x:c r="M6808" s="30" t="str">
        <x:v>Задание линии 19: Теория игр — позиция Вани. Доступная формулировка и все таблицы/схемы сохранены на странице по VIS_ID.</x:v>
      </x:c>
      <x:c r="N6808" s="30" t="str">
        <x:v>33</x:v>
      </x:c>
      <x:c r="O6808" s="30" t="str">
        <x:v>Игровой анализ: единственная минимальная проигрышная позиция первого порядка — 33.</x:v>
      </x:c>
      <x:c r="P6808" s="30"/>
      <x:c r="Q6808" s="30" t="str">
        <x:v>Доступная исходная формулировка + независимая проверка результата.</x:v>
      </x:c>
      <x:c r="R6808" s="30" t="str">
        <x:v>33</x:v>
      </x:c>
      <x:c r="S6808" s="30"/>
      <x:c r="T6808" s="30"/>
      <x:c r="U6808" s="30" t="str">
        <x:v>Расхождений не выявлено.</x:v>
      </x:c>
      <x:c r="V6808" s="87" t="str">
        <x:v>VERIFIED</x:v>
      </x:c>
      <x:c r="W6808" s="87"/>
      <x:c r="X6808" s="87" t="n">
        <x:v>9</x:v>
      </x:c>
      <x:c r="Y6808" s="87"/>
      <x:c r="Z6808" s="87"/>
      <x:c r="AA6808" s="87"/>
      <x:c r="AB6808" s="87"/>
      <x:c r="AC6808" s="87" t="str">
        <x:v>VIS-EGKR-INF-S26-TASKSOL-955-P009</x:v>
      </x:c>
      <x:c r="AD6808" s="87" t="str">
        <x:v>VIS-EGKR-INF-S26-TASKSOL-955-P001</x:v>
      </x:c>
      <x:c r="AE6808" s="87"/>
      <x:c r="AF6808" s="87" t="str">
        <x:v>VIS-EGKR-INF-S26-TASKSOL-955-P009: 9; VIS-EGKR-INF-S26-TASKSOL-955-P001: 1</x:v>
      </x:c>
      <x:c r="AG6808" s="87" t="str">
        <x:v>RESOLVED</x:v>
      </x:c>
      <x:c r="AH6808" s="87" t="str">
        <x:v>CROP_VERIFIED</x:v>
      </x:c>
      <x:c r="AI6808" s="30"/>
      <x:c r="AJ6808" s="87" t="str">
        <x:v>clean</x:v>
      </x:c>
      <x:c r="AK6808" s="87" t="str">
        <x:v>clean-v0.28</x:v>
      </x:c>
      <x:c r="AL6808" s="87" t="str">
        <x:v>statgrad_clean_continuation_v0_28(2).xlsx</x:v>
      </x:c>
      <x:c r="AM6808" s="87" t="str">
        <x:v>INF_EGKR_S26_955</x:v>
      </x:c>
      <x:c r="AN6808" s="87" t="n">
        <x:v>20</x:v>
      </x:c>
    </x:row>
    <x:row r="6809">
      <x:c r="A6809" s="87" t="n">
        <x:v>6808</x:v>
      </x:c>
      <x:c r="B6809" s="87" t="str">
        <x:v>EGKR-S26-INF-955-20</x:v>
      </x:c>
      <x:c r="C6809" s="87" t="str">
        <x:v>ЕГКР</x:v>
      </x:c>
      <x:c r="D6809" s="87"/>
      <x:c r="E6809" s="87" t="str">
        <x:v>Весна 2026</x:v>
      </x:c>
      <x:c r="F6809" s="87" t="str">
        <x:v>18.04.2026</x:v>
      </x:c>
      <x:c r="G6809" s="87" t="str">
        <x:v>Информатика</x:v>
      </x:c>
      <x:c r="H6809" s="87" t="n">
        <x:v>11</x:v>
      </x:c>
      <x:c r="I6809" s="87"/>
      <x:c r="J6809" s="87" t="str">
        <x:v>955</x:v>
      </x:c>
      <x:c r="K6809" s="87" t="n">
        <x:v>20</x:v>
      </x:c>
      <x:c r="L6809" s="87" t="str">
        <x:v>Теория игр — второй ход Пети</x:v>
      </x:c>
      <x:c r="M6809" s="30" t="str">
        <x:v>Задание линии 20: Теория игр — второй ход Пети. Доступная формулировка и все таблицы/схемы сохранены на странице по VIS_ID.</x:v>
      </x:c>
      <x:c r="N6809" s="30" t="str">
        <x:v>34 36</x:v>
      </x:c>
      <x:c r="O6809" s="30" t="str">
        <x:v>Две минимальные позиции выигрыша вторым ходом — 34 и 36.</x:v>
      </x:c>
      <x:c r="P6809" s="30"/>
      <x:c r="Q6809" s="30" t="str">
        <x:v>Доступная исходная формулировка + независимая проверка результата.</x:v>
      </x:c>
      <x:c r="R6809" s="30" t="str">
        <x:v>34 36</x:v>
      </x:c>
      <x:c r="S6809" s="30"/>
      <x:c r="T6809" s="30"/>
      <x:c r="U6809" s="30" t="str">
        <x:v>Расхождений не выявлено.</x:v>
      </x:c>
      <x:c r="V6809" s="87" t="str">
        <x:v>VERIFIED</x:v>
      </x:c>
      <x:c r="W6809" s="87"/>
      <x:c r="X6809" s="87" t="n">
        <x:v>9</x:v>
      </x:c>
      <x:c r="Y6809" s="87"/>
      <x:c r="Z6809" s="87"/>
      <x:c r="AA6809" s="87"/>
      <x:c r="AB6809" s="87"/>
      <x:c r="AC6809" s="87" t="str">
        <x:v>VIS-EGKR-INF-S26-TASKSOL-955-P009</x:v>
      </x:c>
      <x:c r="AD6809" s="87" t="str">
        <x:v>VIS-EGKR-INF-S26-TASKSOL-955-P001</x:v>
      </x:c>
      <x:c r="AE6809" s="87"/>
      <x:c r="AF6809" s="87" t="str">
        <x:v>VIS-EGKR-INF-S26-TASKSOL-955-P009: 9; VIS-EGKR-INF-S26-TASKSOL-955-P001: 1</x:v>
      </x:c>
      <x:c r="AG6809" s="87" t="str">
        <x:v>RESOLVED</x:v>
      </x:c>
      <x:c r="AH6809" s="87" t="str">
        <x:v>CROP_VERIFIED</x:v>
      </x:c>
      <x:c r="AI6809" s="30"/>
      <x:c r="AJ6809" s="87" t="str">
        <x:v>clean</x:v>
      </x:c>
      <x:c r="AK6809" s="87" t="str">
        <x:v>clean-v0.28</x:v>
      </x:c>
      <x:c r="AL6809" s="87" t="str">
        <x:v>statgrad_clean_continuation_v0_28(2).xlsx</x:v>
      </x:c>
      <x:c r="AM6809" s="87" t="str">
        <x:v>INF_EGKR_S26_955</x:v>
      </x:c>
      <x:c r="AN6809" s="87" t="n">
        <x:v>21</x:v>
      </x:c>
    </x:row>
    <x:row r="6810">
      <x:c r="A6810" s="87" t="n">
        <x:v>6809</x:v>
      </x:c>
      <x:c r="B6810" s="87" t="str">
        <x:v>EGKR-S26-INF-955-21</x:v>
      </x:c>
      <x:c r="C6810" s="87" t="str">
        <x:v>ЕГКР</x:v>
      </x:c>
      <x:c r="D6810" s="87"/>
      <x:c r="E6810" s="87" t="str">
        <x:v>Весна 2026</x:v>
      </x:c>
      <x:c r="F6810" s="87" t="str">
        <x:v>18.04.2026</x:v>
      </x:c>
      <x:c r="G6810" s="87" t="str">
        <x:v>Информатика</x:v>
      </x:c>
      <x:c r="H6810" s="87" t="n">
        <x:v>11</x:v>
      </x:c>
      <x:c r="I6810" s="87"/>
      <x:c r="J6810" s="87" t="str">
        <x:v>955</x:v>
      </x:c>
      <x:c r="K6810" s="87" t="n">
        <x:v>21</x:v>
      </x:c>
      <x:c r="L6810" s="87" t="str">
        <x:v>Теория игр — стратегия Вани</x:v>
      </x:c>
      <x:c r="M6810" s="30" t="str">
        <x:v>Задание линии 21: Теория игр — стратегия Вани. Доступная формулировка и все таблицы/схемы сохранены на странице по VIS_ID.</x:v>
      </x:c>
      <x:c r="N6810" s="30" t="str">
        <x:v>35</x:v>
      </x:c>
      <x:c r="O6810" s="30" t="str">
        <x:v>Минимальная позиция стратегии Вани за один или два хода — 35.</x:v>
      </x:c>
      <x:c r="P6810" s="30"/>
      <x:c r="Q6810" s="30" t="str">
        <x:v>Доступная исходная формулировка + независимая проверка результата.</x:v>
      </x:c>
      <x:c r="R6810" s="30" t="str">
        <x:v>35</x:v>
      </x:c>
      <x:c r="S6810" s="30"/>
      <x:c r="T6810" s="30"/>
      <x:c r="U6810" s="30" t="str">
        <x:v>Расхождений не выявлено.</x:v>
      </x:c>
      <x:c r="V6810" s="87" t="str">
        <x:v>VERIFIED</x:v>
      </x:c>
      <x:c r="W6810" s="87"/>
      <x:c r="X6810" s="87" t="n">
        <x:v>9</x:v>
      </x:c>
      <x:c r="Y6810" s="87"/>
      <x:c r="Z6810" s="87"/>
      <x:c r="AA6810" s="87"/>
      <x:c r="AB6810" s="87"/>
      <x:c r="AC6810" s="87" t="str">
        <x:v>VIS-EGKR-INF-S26-TASKSOL-955-P009</x:v>
      </x:c>
      <x:c r="AD6810" s="87" t="str">
        <x:v>VIS-EGKR-INF-S26-TASKSOL-955-P001</x:v>
      </x:c>
      <x:c r="AE6810" s="87"/>
      <x:c r="AF6810" s="87" t="str">
        <x:v>VIS-EGKR-INF-S26-TASKSOL-955-P009: 9; VIS-EGKR-INF-S26-TASKSOL-955-P001: 1</x:v>
      </x:c>
      <x:c r="AG6810" s="87" t="str">
        <x:v>RESOLVED</x:v>
      </x:c>
      <x:c r="AH6810" s="87" t="str">
        <x:v>CROP_VERIFIED</x:v>
      </x:c>
      <x:c r="AI6810" s="30"/>
      <x:c r="AJ6810" s="87" t="str">
        <x:v>clean</x:v>
      </x:c>
      <x:c r="AK6810" s="87" t="str">
        <x:v>clean-v0.28</x:v>
      </x:c>
      <x:c r="AL6810" s="87" t="str">
        <x:v>statgrad_clean_continuation_v0_28(2).xlsx</x:v>
      </x:c>
      <x:c r="AM6810" s="87" t="str">
        <x:v>INF_EGKR_S26_955</x:v>
      </x:c>
      <x:c r="AN6810" s="87" t="n">
        <x:v>22</x:v>
      </x:c>
    </x:row>
    <x:row r="6811">
      <x:c r="A6811" s="87" t="n">
        <x:v>6810</x:v>
      </x:c>
      <x:c r="B6811" s="87" t="str">
        <x:v>EGKR-S26-INF-955-22</x:v>
      </x:c>
      <x:c r="C6811" s="87" t="str">
        <x:v>ЕГКР</x:v>
      </x:c>
      <x:c r="D6811" s="87"/>
      <x:c r="E6811" s="87" t="str">
        <x:v>Весна 2026</x:v>
      </x:c>
      <x:c r="F6811" s="87" t="str">
        <x:v>18.04.2026</x:v>
      </x:c>
      <x:c r="G6811" s="87" t="str">
        <x:v>Информатика</x:v>
      </x:c>
      <x:c r="H6811" s="87" t="n">
        <x:v>11</x:v>
      </x:c>
      <x:c r="I6811" s="87"/>
      <x:c r="J6811" s="87" t="str">
        <x:v>955</x:v>
      </x:c>
      <x:c r="K6811" s="87" t="n">
        <x:v>22</x:v>
      </x:c>
      <x:c r="L6811" s="87" t="str">
        <x:v>Зависимости вычислительных процессов</x:v>
      </x:c>
      <x:c r="M6811" s="30" t="str">
        <x:v>Формулировка задания №22 варианта 955 отсутствует в локальном архиве. Запись сохранена как явный контрольный пропуск без реконструкции по аналогии.</x:v>
      </x:c>
      <x:c r="N6811" s="30"/>
      <x:c r="O6811" s="30" t="str">
        <x:v>Ответ не утверждается: нет локальной формулировки и исходного ключа.</x:v>
      </x:c>
      <x:c r="P6811" s="30"/>
      <x:c r="Q6811" s="30" t="str">
        <x:v>Аудит состава локального архива ЕГКР.</x:v>
      </x:c>
      <x:c r="R6811" s="30"/>
      <x:c r="S6811" s="30"/>
      <x:c r="T6811" s="30"/>
      <x:c r="U6811" s="30" t="str">
        <x:v>SOURCE_GAP: не подменять заданием другого варианта.</x:v>
      </x:c>
      <x:c r="V6811" s="87" t="str">
        <x:v>SOURCE_GAP</x:v>
      </x:c>
      <x:c r="W6811" s="87"/>
      <x:c r="X6811" s="87"/>
      <x:c r="Y6811" s="87"/>
      <x:c r="Z6811" s="87"/>
      <x:c r="AA6811" s="87"/>
      <x:c r="AB6811" s="87"/>
      <x:c r="AC6811" s="87"/>
      <x:c r="AD6811" s="87"/>
      <x:c r="AE6811" s="87"/>
      <x:c r="AF6811" s="87"/>
      <x:c r="AG6811" s="87"/>
      <x:c r="AH6811" s="87"/>
      <x:c r="AI6811" s="30"/>
      <x:c r="AJ6811" s="87" t="str">
        <x:v>clean</x:v>
      </x:c>
      <x:c r="AK6811" s="87" t="str">
        <x:v>clean-v0.28</x:v>
      </x:c>
      <x:c r="AL6811" s="87" t="str">
        <x:v>statgrad_clean_continuation_v0_28(2).xlsx</x:v>
      </x:c>
      <x:c r="AM6811" s="87" t="str">
        <x:v>INF_EGKR_S26_955</x:v>
      </x:c>
      <x:c r="AN6811" s="87" t="n">
        <x:v>23</x:v>
      </x:c>
    </x:row>
    <x:row r="6812">
      <x:c r="A6812" s="87" t="n">
        <x:v>6811</x:v>
      </x:c>
      <x:c r="B6812" s="87" t="str">
        <x:v>EGKR-S26-INF-955-23</x:v>
      </x:c>
      <x:c r="C6812" s="87" t="str">
        <x:v>ЕГКР</x:v>
      </x:c>
      <x:c r="D6812" s="87"/>
      <x:c r="E6812" s="87" t="str">
        <x:v>Весна 2026</x:v>
      </x:c>
      <x:c r="F6812" s="87" t="str">
        <x:v>18.04.2026</x:v>
      </x:c>
      <x:c r="G6812" s="87" t="str">
        <x:v>Информатика</x:v>
      </x:c>
      <x:c r="H6812" s="87" t="n">
        <x:v>11</x:v>
      </x:c>
      <x:c r="I6812" s="87"/>
      <x:c r="J6812" s="87" t="str">
        <x:v>955</x:v>
      </x:c>
      <x:c r="K6812" s="87" t="n">
        <x:v>23</x:v>
      </x:c>
      <x:c r="L6812" s="87" t="str">
        <x:v>Исполнитель и количество программ</x:v>
      </x:c>
      <x:c r="M6812" s="30" t="str">
        <x:v>Формулировка задания №23 варианта 955 отсутствует в локальном архиве. Запись сохранена как явный контрольный пропуск без реконструкции по аналогии.</x:v>
      </x:c>
      <x:c r="N6812" s="30"/>
      <x:c r="O6812" s="30" t="str">
        <x:v>Ответ не утверждается: нет локальной формулировки и исходного ключа.</x:v>
      </x:c>
      <x:c r="P6812" s="30"/>
      <x:c r="Q6812" s="30" t="str">
        <x:v>Аудит состава локального архива ЕГКР.</x:v>
      </x:c>
      <x:c r="R6812" s="30"/>
      <x:c r="S6812" s="30"/>
      <x:c r="T6812" s="30"/>
      <x:c r="U6812" s="30" t="str">
        <x:v>SOURCE_GAP: не подменять заданием другого варианта.</x:v>
      </x:c>
      <x:c r="V6812" s="87" t="str">
        <x:v>SOURCE_GAP</x:v>
      </x:c>
      <x:c r="W6812" s="87"/>
      <x:c r="X6812" s="87"/>
      <x:c r="Y6812" s="87"/>
      <x:c r="Z6812" s="87"/>
      <x:c r="AA6812" s="87"/>
      <x:c r="AB6812" s="87"/>
      <x:c r="AC6812" s="87"/>
      <x:c r="AD6812" s="87"/>
      <x:c r="AE6812" s="87"/>
      <x:c r="AF6812" s="87"/>
      <x:c r="AG6812" s="87"/>
      <x:c r="AH6812" s="87"/>
      <x:c r="AI6812" s="30"/>
      <x:c r="AJ6812" s="87" t="str">
        <x:v>clean</x:v>
      </x:c>
      <x:c r="AK6812" s="87" t="str">
        <x:v>clean-v0.28</x:v>
      </x:c>
      <x:c r="AL6812" s="87" t="str">
        <x:v>statgrad_clean_continuation_v0_28(2).xlsx</x:v>
      </x:c>
      <x:c r="AM6812" s="87" t="str">
        <x:v>INF_EGKR_S26_955</x:v>
      </x:c>
      <x:c r="AN6812" s="87" t="n">
        <x:v>24</x:v>
      </x:c>
    </x:row>
    <x:row r="6813">
      <x:c r="A6813" s="87" t="n">
        <x:v>6812</x:v>
      </x:c>
      <x:c r="B6813" s="87" t="str">
        <x:v>EGKR-S26-INF-955-24</x:v>
      </x:c>
      <x:c r="C6813" s="87" t="str">
        <x:v>ЕГКР</x:v>
      </x:c>
      <x:c r="D6813" s="87"/>
      <x:c r="E6813" s="87" t="str">
        <x:v>Весна 2026</x:v>
      </x:c>
      <x:c r="F6813" s="87" t="str">
        <x:v>18.04.2026</x:v>
      </x:c>
      <x:c r="G6813" s="87" t="str">
        <x:v>Информатика</x:v>
      </x:c>
      <x:c r="H6813" s="87" t="n">
        <x:v>11</x:v>
      </x:c>
      <x:c r="I6813" s="87"/>
      <x:c r="J6813" s="87" t="str">
        <x:v>955</x:v>
      </x:c>
      <x:c r="K6813" s="87" t="n">
        <x:v>24</x:v>
      </x:c>
      <x:c r="L6813" s="87" t="str">
        <x:v>Обработка строк</x:v>
      </x:c>
      <x:c r="M6813" s="30" t="str">
        <x:v>Формулировка задания №24 варианта 955 отсутствует в локальном архиве. Запись сохранена как явный контрольный пропуск без реконструкции по аналогии.</x:v>
      </x:c>
      <x:c r="N6813" s="30"/>
      <x:c r="O6813" s="30" t="str">
        <x:v>Ответ не утверждается: нет локальной формулировки и исходного ключа.</x:v>
      </x:c>
      <x:c r="P6813" s="30"/>
      <x:c r="Q6813" s="30" t="str">
        <x:v>Аудит состава локального архива ЕГКР.</x:v>
      </x:c>
      <x:c r="R6813" s="30"/>
      <x:c r="S6813" s="30"/>
      <x:c r="T6813" s="30"/>
      <x:c r="U6813" s="30" t="str">
        <x:v>SOURCE_GAP: не подменять заданием другого варианта.</x:v>
      </x:c>
      <x:c r="V6813" s="87" t="str">
        <x:v>SOURCE_GAP</x:v>
      </x:c>
      <x:c r="W6813" s="87"/>
      <x:c r="X6813" s="87"/>
      <x:c r="Y6813" s="87"/>
      <x:c r="Z6813" s="87"/>
      <x:c r="AA6813" s="87"/>
      <x:c r="AB6813" s="87"/>
      <x:c r="AC6813" s="87"/>
      <x:c r="AD6813" s="87"/>
      <x:c r="AE6813" s="87"/>
      <x:c r="AF6813" s="87"/>
      <x:c r="AG6813" s="87"/>
      <x:c r="AH6813" s="87"/>
      <x:c r="AI6813" s="30"/>
      <x:c r="AJ6813" s="87" t="str">
        <x:v>clean</x:v>
      </x:c>
      <x:c r="AK6813" s="87" t="str">
        <x:v>clean-v0.28</x:v>
      </x:c>
      <x:c r="AL6813" s="87" t="str">
        <x:v>statgrad_clean_continuation_v0_28(2).xlsx</x:v>
      </x:c>
      <x:c r="AM6813" s="87" t="str">
        <x:v>INF_EGKR_S26_955</x:v>
      </x:c>
      <x:c r="AN6813" s="87" t="n">
        <x:v>25</x:v>
      </x:c>
    </x:row>
    <x:row r="6814">
      <x:c r="A6814" s="87" t="n">
        <x:v>6813</x:v>
      </x:c>
      <x:c r="B6814" s="87" t="str">
        <x:v>EGKR-S26-INF-955-25</x:v>
      </x:c>
      <x:c r="C6814" s="87" t="str">
        <x:v>ЕГКР</x:v>
      </x:c>
      <x:c r="D6814" s="87"/>
      <x:c r="E6814" s="87" t="str">
        <x:v>Весна 2026</x:v>
      </x:c>
      <x:c r="F6814" s="87" t="str">
        <x:v>18.04.2026</x:v>
      </x:c>
      <x:c r="G6814" s="87" t="str">
        <x:v>Информатика</x:v>
      </x:c>
      <x:c r="H6814" s="87" t="n">
        <x:v>11</x:v>
      </x:c>
      <x:c r="I6814" s="87"/>
      <x:c r="J6814" s="87" t="str">
        <x:v>955</x:v>
      </x:c>
      <x:c r="K6814" s="87" t="n">
        <x:v>25</x:v>
      </x:c>
      <x:c r="L6814" s="87" t="str">
        <x:v>Теория чисел и программирование</x:v>
      </x:c>
      <x:c r="M6814" s="30" t="str">
        <x:v>Доступная формулировка задания №25 варианта 955 сохранена на странице по VIS_ID. Официальный итоговый ответ в локальном архиве отсутствует.</x:v>
      </x:c>
      <x:c r="N6814" s="30" t="str">
        <x:v>8569121 779011; 8570111 779101; 8570441 779131; 8577211 8161; 8577391 6211</x:v>
      </x:c>
      <x:c r="O6814" s="30" t="str">
        <x:v>Результат получен независимым точным перебором и факторизацией; каждое найденное число проверено как произведение ровно двух простых множителей с требуемым количеством заданной цифры.</x:v>
      </x:c>
      <x:c r="P6814" s="30"/>
      <x:c r="Q6814" s="30" t="str">
        <x:v>Независимая программа + повторная проверка простоты и факторизации.</x:v>
      </x:c>
      <x:c r="R6814" s="30"/>
      <x:c r="S6814" s="30"/>
      <x:c r="T6814" s="30"/>
      <x:c r="U6814" s="30" t="str">
        <x:v>MODEL_READY: детерминированный вычислительный результат без официального ключа.</x:v>
      </x:c>
      <x:c r="V6814" s="87" t="str">
        <x:v>MODEL_READY</x:v>
      </x:c>
      <x:c r="W6814" s="87"/>
      <x:c r="X6814" s="87" t="n">
        <x:v>10</x:v>
      </x:c>
      <x:c r="Y6814" s="87"/>
      <x:c r="Z6814" s="87"/>
      <x:c r="AA6814" s="87"/>
      <x:c r="AB6814" s="87"/>
      <x:c r="AC6814" s="87" t="str">
        <x:v>VIS-EGKR-INF-S26-TASKSOL-955-P010</x:v>
      </x:c>
      <x:c r="AD6814" s="87" t="str">
        <x:v>INDEPENDENT_MODEL</x:v>
      </x:c>
      <x:c r="AE6814" s="87"/>
      <x:c r="AF6814" s="87" t="str">
        <x:v>VIS-EGKR-INF-S26-TASKSOL-955-P010: 10; VIS-EGKR-INF-S26-TASKSOL-955-P011: 11</x:v>
      </x:c>
      <x:c r="AG6814" s="87" t="str">
        <x:v>RESOLVED</x:v>
      </x:c>
      <x:c r="AH6814" s="87" t="str">
        <x:v>CROP_VERIFIED</x:v>
      </x:c>
      <x:c r="AI6814" s="30"/>
      <x:c r="AJ6814" s="87" t="str">
        <x:v>clean</x:v>
      </x:c>
      <x:c r="AK6814" s="87" t="str">
        <x:v>clean-v0.28</x:v>
      </x:c>
      <x:c r="AL6814" s="87" t="str">
        <x:v>statgrad_clean_continuation_v0_28(2).xlsx</x:v>
      </x:c>
      <x:c r="AM6814" s="87" t="str">
        <x:v>INF_EGKR_S26_955</x:v>
      </x:c>
      <x:c r="AN6814" s="87" t="n">
        <x:v>26</x:v>
      </x:c>
    </x:row>
    <x:row r="6815">
      <x:c r="A6815" s="87" t="n">
        <x:v>6814</x:v>
      </x:c>
      <x:c r="B6815" s="87" t="str">
        <x:v>EGKR-S26-INF-955-26</x:v>
      </x:c>
      <x:c r="C6815" s="87" t="str">
        <x:v>ЕГКР</x:v>
      </x:c>
      <x:c r="D6815" s="87"/>
      <x:c r="E6815" s="87" t="str">
        <x:v>Весна 2026</x:v>
      </x:c>
      <x:c r="F6815" s="87" t="str">
        <x:v>18.04.2026</x:v>
      </x:c>
      <x:c r="G6815" s="87" t="str">
        <x:v>Информатика</x:v>
      </x:c>
      <x:c r="H6815" s="87" t="n">
        <x:v>11</x:v>
      </x:c>
      <x:c r="I6815" s="87"/>
      <x:c r="J6815" s="87" t="str">
        <x:v>955</x:v>
      </x:c>
      <x:c r="K6815" s="87" t="n">
        <x:v>26</x:v>
      </x:c>
      <x:c r="L6815" s="87" t="str">
        <x:v>Интервальное планирование</x:v>
      </x:c>
      <x:c r="M6815" s="30" t="str">
        <x:v>Формулировка задания №26 варианта 955 отсутствует в локальном архиве. Запись сохранена как явный контрольный пропуск без реконструкции по аналогии.</x:v>
      </x:c>
      <x:c r="N6815" s="30"/>
      <x:c r="O6815" s="30" t="str">
        <x:v>Ответ не утверждается: нет локальной формулировки и исходного ключа.</x:v>
      </x:c>
      <x:c r="P6815" s="30"/>
      <x:c r="Q6815" s="30" t="str">
        <x:v>Аудит состава локального архива ЕГКР.</x:v>
      </x:c>
      <x:c r="R6815" s="30"/>
      <x:c r="S6815" s="30"/>
      <x:c r="T6815" s="30"/>
      <x:c r="U6815" s="30" t="str">
        <x:v>SOURCE_GAP: не подменять заданием другого варианта.</x:v>
      </x:c>
      <x:c r="V6815" s="87" t="str">
        <x:v>SOURCE_GAP</x:v>
      </x:c>
      <x:c r="W6815" s="87"/>
      <x:c r="X6815" s="87"/>
      <x:c r="Y6815" s="87"/>
      <x:c r="Z6815" s="87"/>
      <x:c r="AA6815" s="87"/>
      <x:c r="AB6815" s="87"/>
      <x:c r="AC6815" s="87"/>
      <x:c r="AD6815" s="87"/>
      <x:c r="AE6815" s="87"/>
      <x:c r="AF6815" s="87"/>
      <x:c r="AG6815" s="87"/>
      <x:c r="AH6815" s="87"/>
      <x:c r="AI6815" s="30"/>
      <x:c r="AJ6815" s="87" t="str">
        <x:v>clean</x:v>
      </x:c>
      <x:c r="AK6815" s="87" t="str">
        <x:v>clean-v0.28</x:v>
      </x:c>
      <x:c r="AL6815" s="87" t="str">
        <x:v>statgrad_clean_continuation_v0_28(2).xlsx</x:v>
      </x:c>
      <x:c r="AM6815" s="87" t="str">
        <x:v>INF_EGKR_S26_955</x:v>
      </x:c>
      <x:c r="AN6815" s="87" t="n">
        <x:v>27</x:v>
      </x:c>
    </x:row>
    <x:row r="6816">
      <x:c r="A6816" s="87" t="n">
        <x:v>6815</x:v>
      </x:c>
      <x:c r="B6816" s="87" t="str">
        <x:v>EGKR-S26-INF-955-27</x:v>
      </x:c>
      <x:c r="C6816" s="87" t="str">
        <x:v>ЕГКР</x:v>
      </x:c>
      <x:c r="D6816" s="87"/>
      <x:c r="E6816" s="87" t="str">
        <x:v>Весна 2026</x:v>
      </x:c>
      <x:c r="F6816" s="87" t="str">
        <x:v>18.04.2026</x:v>
      </x:c>
      <x:c r="G6816" s="87" t="str">
        <x:v>Информатика</x:v>
      </x:c>
      <x:c r="H6816" s="87" t="n">
        <x:v>11</x:v>
      </x:c>
      <x:c r="I6816" s="87"/>
      <x:c r="J6816" s="87" t="str">
        <x:v>955</x:v>
      </x:c>
      <x:c r="K6816" s="87" t="n">
        <x:v>27</x:v>
      </x:c>
      <x:c r="L6816" s="87" t="str">
        <x:v>Кластеризация</x:v>
      </x:c>
      <x:c r="M6816" s="30" t="str">
        <x:v>Формулировка задания №27 варианта 955 отсутствует в локальном архиве. Запись сохранена как явный контрольный пропуск без реконструкции по аналогии.</x:v>
      </x:c>
      <x:c r="N6816" s="30"/>
      <x:c r="O6816" s="30" t="str">
        <x:v>Ответ не утверждается: нет локальной формулировки и исходного ключа.</x:v>
      </x:c>
      <x:c r="P6816" s="30"/>
      <x:c r="Q6816" s="30" t="str">
        <x:v>Аудит состава локального архива ЕГКР.</x:v>
      </x:c>
      <x:c r="R6816" s="30"/>
      <x:c r="S6816" s="30"/>
      <x:c r="T6816" s="30"/>
      <x:c r="U6816" s="30" t="str">
        <x:v>SOURCE_GAP: не подменять заданием другого варианта.</x:v>
      </x:c>
      <x:c r="V6816" s="87" t="str">
        <x:v>SOURCE_GAP</x:v>
      </x:c>
      <x:c r="W6816" s="87"/>
      <x:c r="X6816" s="87"/>
      <x:c r="Y6816" s="87"/>
      <x:c r="Z6816" s="87"/>
      <x:c r="AA6816" s="87"/>
      <x:c r="AB6816" s="87"/>
      <x:c r="AC6816" s="87"/>
      <x:c r="AD6816" s="87"/>
      <x:c r="AE6816" s="87"/>
      <x:c r="AF6816" s="87"/>
      <x:c r="AG6816" s="87"/>
      <x:c r="AH6816" s="87"/>
      <x:c r="AI6816" s="30"/>
      <x:c r="AJ6816" s="87" t="str">
        <x:v>clean</x:v>
      </x:c>
      <x:c r="AK6816" s="87" t="str">
        <x:v>clean-v0.28</x:v>
      </x:c>
      <x:c r="AL6816" s="87" t="str">
        <x:v>statgrad_clean_continuation_v0_28(2).xlsx</x:v>
      </x:c>
      <x:c r="AM6816" s="87" t="str">
        <x:v>INF_EGKR_S26_955</x:v>
      </x:c>
      <x:c r="AN6816" s="87" t="n">
        <x:v>28</x:v>
      </x:c>
    </x:row>
    <x:row r="6817">
      <x:c r="A6817" s="87" t="n">
        <x:v>6816</x:v>
      </x:c>
      <x:c r="B6817" s="87" t="str">
        <x:v>EGKR-S26-INF-956-01</x:v>
      </x:c>
      <x:c r="C6817" s="87" t="str">
        <x:v>ЕГКР</x:v>
      </x:c>
      <x:c r="D6817" s="87"/>
      <x:c r="E6817" s="87" t="str">
        <x:v>Весна 2026</x:v>
      </x:c>
      <x:c r="F6817" s="87" t="str">
        <x:v>18.04.2026</x:v>
      </x:c>
      <x:c r="G6817" s="87" t="str">
        <x:v>Информатика</x:v>
      </x:c>
      <x:c r="H6817" s="87" t="n">
        <x:v>11</x:v>
      </x:c>
      <x:c r="I6817" s="87"/>
      <x:c r="J6817" s="87" t="str">
        <x:v>956</x:v>
      </x:c>
      <x:c r="K6817" s="87" t="n">
        <x:v>1</x:v>
      </x:c>
      <x:c r="L6817" s="87" t="str">
        <x:v>Графы и таблицы</x:v>
      </x:c>
      <x:c r="M6817" s="30" t="str">
        <x:v>Задание линии 1: Графы и таблицы. Доступная формулировка и все таблицы/схемы сохранены на странице по VIS_ID.</x:v>
      </x:c>
      <x:c r="N6817" s="30" t="str">
        <x:v>57</x:v>
      </x:c>
      <x:c r="O6817" s="30" t="str">
        <x:v>Изоморфизм графов даёт A=6, H=3, B=5; длины BA и HA равны 38 и 19, сумма 57.</x:v>
      </x:c>
      <x:c r="P6817" s="30"/>
      <x:c r="Q6817" s="30" t="str">
        <x:v>Доступная исходная формулировка + независимая проверка результата.</x:v>
      </x:c>
      <x:c r="R6817" s="30" t="str">
        <x:v>57</x:v>
      </x:c>
      <x:c r="S6817" s="30"/>
      <x:c r="T6817" s="30"/>
      <x:c r="U6817" s="30" t="str">
        <x:v>Расхождений не выявлено.</x:v>
      </x:c>
      <x:c r="V6817" s="87" t="str">
        <x:v>VERIFIED</x:v>
      </x:c>
      <x:c r="W6817" s="87"/>
      <x:c r="X6817" s="87" t="n">
        <x:v>1</x:v>
      </x:c>
      <x:c r="Y6817" s="87"/>
      <x:c r="Z6817" s="87"/>
      <x:c r="AA6817" s="87"/>
      <x:c r="AB6817" s="87"/>
      <x:c r="AC6817" s="87" t="str">
        <x:v>VIS-EGKR-INF-S26-TASK-956-P001</x:v>
      </x:c>
      <x:c r="AD6817" s="87" t="str">
        <x:v>VIS-EGKR-INF-S26-ANSWER-956-P001</x:v>
      </x:c>
      <x:c r="AE6817" s="87"/>
      <x:c r="AF6817" s="87" t="str">
        <x:v>VIS-EGKR-INF-S26-TASK-956-P001: 1; VIS-EGKR-INF-S26-ANSWER-956-P001: 1</x:v>
      </x:c>
      <x:c r="AG6817" s="87" t="str">
        <x:v>RESOLVED</x:v>
      </x:c>
      <x:c r="AH6817" s="87" t="str">
        <x:v>CROP_VERIFIED</x:v>
      </x:c>
      <x:c r="AI6817" s="30"/>
      <x:c r="AJ6817" s="87" t="str">
        <x:v>clean</x:v>
      </x:c>
      <x:c r="AK6817" s="87" t="str">
        <x:v>clean-v0.28</x:v>
      </x:c>
      <x:c r="AL6817" s="87" t="str">
        <x:v>statgrad_clean_continuation_v0_28(2).xlsx</x:v>
      </x:c>
      <x:c r="AM6817" s="87" t="str">
        <x:v>INF_EGKR_S26_956</x:v>
      </x:c>
      <x:c r="AN6817" s="87" t="n">
        <x:v>2</x:v>
      </x:c>
    </x:row>
    <x:row r="6818">
      <x:c r="A6818" s="87" t="n">
        <x:v>6817</x:v>
      </x:c>
      <x:c r="B6818" s="87" t="str">
        <x:v>EGKR-S26-INF-956-02</x:v>
      </x:c>
      <x:c r="C6818" s="87" t="str">
        <x:v>ЕГКР</x:v>
      </x:c>
      <x:c r="D6818" s="87"/>
      <x:c r="E6818" s="87" t="str">
        <x:v>Весна 2026</x:v>
      </x:c>
      <x:c r="F6818" s="87" t="str">
        <x:v>18.04.2026</x:v>
      </x:c>
      <x:c r="G6818" s="87" t="str">
        <x:v>Информатика</x:v>
      </x:c>
      <x:c r="H6818" s="87" t="n">
        <x:v>11</x:v>
      </x:c>
      <x:c r="I6818" s="87"/>
      <x:c r="J6818" s="87" t="str">
        <x:v>956</x:v>
      </x:c>
      <x:c r="K6818" s="87" t="n">
        <x:v>2</x:v>
      </x:c>
      <x:c r="L6818" s="87" t="str">
        <x:v>Логические функции и таблицы истинности</x:v>
      </x:c>
      <x:c r="M6818" s="30" t="str">
        <x:v>Задание линии 2: Логические функции и таблицы истинности. Доступная формулировка и все таблицы/схемы сохранены на странице по VIS_ID.</x:v>
      </x:c>
      <x:c r="N6818" s="30" t="str">
        <x:v>wxyz</x:v>
      </x:c>
      <x:c r="O6818" s="30" t="str">
        <x:v>Источник указывает ywxz, но это несовместимо с фрагментом таблицы: при F=1 обязательно x=1 и z=0; третий столбец содержит и 1, и 0, поэтому не может соответствовать x. Единственный порядок столбцов — wxyz.</x:v>
      </x:c>
      <x:c r="P6818" s="30"/>
      <x:c r="Q6818" s="30" t="str">
        <x:v>Полная исходная страница + независимая логическая/алгоритмическая проверка + аудит ответного DOCX.</x:v>
      </x:c>
      <x:c r="R6818" s="30" t="str">
        <x:v>ywxz</x:v>
      </x:c>
      <x:c r="S6818" s="30"/>
      <x:c r="T6818" s="30"/>
      <x:c r="U6818" s="30" t="str">
        <x:v>Источник: ywxz; канонический ответ: wxyz.</x:v>
      </x:c>
      <x:c r="V6818" s="87" t="str">
        <x:v>KEY_MISMATCH</x:v>
      </x:c>
      <x:c r="W6818" s="87"/>
      <x:c r="X6818" s="87" t="n">
        <x:v>1</x:v>
      </x:c>
      <x:c r="Y6818" s="87"/>
      <x:c r="Z6818" s="87"/>
      <x:c r="AA6818" s="87"/>
      <x:c r="AB6818" s="87"/>
      <x:c r="AC6818" s="87" t="str">
        <x:v>VIS-EGKR-INF-S26-TASK-956-P001</x:v>
      </x:c>
      <x:c r="AD6818" s="87" t="str">
        <x:v>VIS-EGKR-INF-S26-ANSWER-956-P001</x:v>
      </x:c>
      <x:c r="AE6818" s="87"/>
      <x:c r="AF6818" s="87" t="str">
        <x:v>VIS-EGKR-INF-S26-TASK-956-P001: 1; VIS-EGKR-INF-S26-ANSWER-956-P001: 1</x:v>
      </x:c>
      <x:c r="AG6818" s="87" t="str">
        <x:v>RESOLVED</x:v>
      </x:c>
      <x:c r="AH6818" s="87" t="str">
        <x:v>CROP_VERIFIED</x:v>
      </x:c>
      <x:c r="AI6818" s="30"/>
      <x:c r="AJ6818" s="87" t="str">
        <x:v>clean</x:v>
      </x:c>
      <x:c r="AK6818" s="87" t="str">
        <x:v>clean-v0.28</x:v>
      </x:c>
      <x:c r="AL6818" s="87" t="str">
        <x:v>statgrad_clean_continuation_v0_28(2).xlsx</x:v>
      </x:c>
      <x:c r="AM6818" s="87" t="str">
        <x:v>INF_EGKR_S26_956</x:v>
      </x:c>
      <x:c r="AN6818" s="87" t="n">
        <x:v>3</x:v>
      </x:c>
    </x:row>
    <x:row r="6819">
      <x:c r="A6819" s="87" t="n">
        <x:v>6818</x:v>
      </x:c>
      <x:c r="B6819" s="87" t="str">
        <x:v>EGKR-S26-INF-956-03</x:v>
      </x:c>
      <x:c r="C6819" s="87" t="str">
        <x:v>ЕГКР</x:v>
      </x:c>
      <x:c r="D6819" s="87"/>
      <x:c r="E6819" s="87" t="str">
        <x:v>Весна 2026</x:v>
      </x:c>
      <x:c r="F6819" s="87" t="str">
        <x:v>18.04.2026</x:v>
      </x:c>
      <x:c r="G6819" s="87" t="str">
        <x:v>Информатика</x:v>
      </x:c>
      <x:c r="H6819" s="87" t="n">
        <x:v>11</x:v>
      </x:c>
      <x:c r="I6819" s="87"/>
      <x:c r="J6819" s="87" t="str">
        <x:v>956</x:v>
      </x:c>
      <x:c r="K6819" s="87" t="n">
        <x:v>3</x:v>
      </x:c>
      <x:c r="L6819" s="87" t="str">
        <x:v>Реляционные базы данных</x:v>
      </x:c>
      <x:c r="M6819" s="30" t="str">
        <x:v>Полная формулировка задания №3 варианта 956 сохранена на странице по VIS_ID, но необходимый приложенный файл отсутствует в локальном архиве.</x:v>
      </x:c>
      <x:c r="N6819" s="30"/>
      <x:c r="O6819" s="30" t="str">
        <x:v>Числовой ответ не утверждается до появления соответствующего файла данных.</x:v>
      </x:c>
      <x:c r="P6819" s="30"/>
      <x:c r="Q6819" s="30" t="str">
        <x:v>Визуальная проверка задания + аудит вложений архива.</x:v>
      </x:c>
      <x:c r="R6819" s="30"/>
      <x:c r="S6819" s="30"/>
      <x:c r="T6819" s="30"/>
      <x:c r="U6819" s="30" t="str">
        <x:v>ATTACHMENT_MISSING.</x:v>
      </x:c>
      <x:c r="V6819" s="87" t="str">
        <x:v>ATTACHMENT_MISSING</x:v>
      </x:c>
      <x:c r="W6819" s="87"/>
      <x:c r="X6819" s="87" t="n">
        <x:v>1</x:v>
      </x:c>
      <x:c r="Y6819" s="87"/>
      <x:c r="Z6819" s="87"/>
      <x:c r="AA6819" s="87"/>
      <x:c r="AB6819" s="87"/>
      <x:c r="AC6819" s="87" t="str">
        <x:v>VIS-EGKR-INF-S26-TASK-956-P001</x:v>
      </x:c>
      <x:c r="AD6819" s="87"/>
      <x:c r="AE6819" s="87"/>
      <x:c r="AF6819" s="87" t="str">
        <x:v>VIS-EGKR-INF-S26-TASK-956-P001: 1</x:v>
      </x:c>
      <x:c r="AG6819" s="87" t="str">
        <x:v>RESOLVED</x:v>
      </x:c>
      <x:c r="AH6819" s="87" t="str">
        <x:v>CROP_VERIFIED</x:v>
      </x:c>
      <x:c r="AI6819" s="30"/>
      <x:c r="AJ6819" s="87" t="str">
        <x:v>clean</x:v>
      </x:c>
      <x:c r="AK6819" s="87" t="str">
        <x:v>clean-v0.28</x:v>
      </x:c>
      <x:c r="AL6819" s="87" t="str">
        <x:v>statgrad_clean_continuation_v0_28(2).xlsx</x:v>
      </x:c>
      <x:c r="AM6819" s="87" t="str">
        <x:v>INF_EGKR_S26_956</x:v>
      </x:c>
      <x:c r="AN6819" s="87" t="n">
        <x:v>4</x:v>
      </x:c>
    </x:row>
    <x:row r="6820">
      <x:c r="A6820" s="87" t="n">
        <x:v>6819</x:v>
      </x:c>
      <x:c r="B6820" s="87" t="str">
        <x:v>EGKR-S26-INF-956-04</x:v>
      </x:c>
      <x:c r="C6820" s="87" t="str">
        <x:v>ЕГКР</x:v>
      </x:c>
      <x:c r="D6820" s="87"/>
      <x:c r="E6820" s="87" t="str">
        <x:v>Весна 2026</x:v>
      </x:c>
      <x:c r="F6820" s="87" t="str">
        <x:v>18.04.2026</x:v>
      </x:c>
      <x:c r="G6820" s="87" t="str">
        <x:v>Информатика</x:v>
      </x:c>
      <x:c r="H6820" s="87" t="n">
        <x:v>11</x:v>
      </x:c>
      <x:c r="I6820" s="87"/>
      <x:c r="J6820" s="87" t="str">
        <x:v>956</x:v>
      </x:c>
      <x:c r="K6820" s="87" t="n">
        <x:v>4</x:v>
      </x:c>
      <x:c r="L6820" s="87" t="str">
        <x:v>Условие Фано / префиксные коды</x:v>
      </x:c>
      <x:c r="M6820" s="30" t="str">
        <x:v>Задание линии 4: Условие Фано / префиксные коды. Доступная формулировка и все таблицы/схемы сохранены на странице по VIS_ID.</x:v>
      </x:c>
      <x:c r="N6820" s="30" t="str">
        <x:v>21</x:v>
      </x:c>
      <x:c r="O6820" s="30" t="str">
        <x:v>Оптимальные коды A=10, Т=0110, Я=0111 дают 21 двоичный знак.</x:v>
      </x:c>
      <x:c r="P6820" s="30"/>
      <x:c r="Q6820" s="30" t="str">
        <x:v>Доступная исходная формулировка + независимая проверка результата.</x:v>
      </x:c>
      <x:c r="R6820" s="30" t="str">
        <x:v>21</x:v>
      </x:c>
      <x:c r="S6820" s="30"/>
      <x:c r="T6820" s="30"/>
      <x:c r="U6820" s="30" t="str">
        <x:v>Расхождений не выявлено.</x:v>
      </x:c>
      <x:c r="V6820" s="87" t="str">
        <x:v>VERIFIED</x:v>
      </x:c>
      <x:c r="W6820" s="87"/>
      <x:c r="X6820" s="87" t="n">
        <x:v>2</x:v>
      </x:c>
      <x:c r="Y6820" s="87"/>
      <x:c r="Z6820" s="87"/>
      <x:c r="AA6820" s="87"/>
      <x:c r="AB6820" s="87"/>
      <x:c r="AC6820" s="87" t="str">
        <x:v>VIS-EGKR-INF-S26-TASK-956-P002</x:v>
      </x:c>
      <x:c r="AD6820" s="87" t="str">
        <x:v>VIS-EGKR-INF-S26-ANSWER-956-P001</x:v>
      </x:c>
      <x:c r="AE6820" s="87"/>
      <x:c r="AF6820" s="87" t="str">
        <x:v>VIS-EGKR-INF-S26-TASK-956-P002: 2; VIS-EGKR-INF-S26-ANSWER-956-P001: 1</x:v>
      </x:c>
      <x:c r="AG6820" s="87" t="str">
        <x:v>RESOLVED</x:v>
      </x:c>
      <x:c r="AH6820" s="87" t="str">
        <x:v>CROP_VERIFIED</x:v>
      </x:c>
      <x:c r="AI6820" s="30"/>
      <x:c r="AJ6820" s="87" t="str">
        <x:v>clean</x:v>
      </x:c>
      <x:c r="AK6820" s="87" t="str">
        <x:v>clean-v0.28</x:v>
      </x:c>
      <x:c r="AL6820" s="87" t="str">
        <x:v>statgrad_clean_continuation_v0_28(2).xlsx</x:v>
      </x:c>
      <x:c r="AM6820" s="87" t="str">
        <x:v>INF_EGKR_S26_956</x:v>
      </x:c>
      <x:c r="AN6820" s="87" t="n">
        <x:v>5</x:v>
      </x:c>
    </x:row>
    <x:row r="6821">
      <x:c r="A6821" s="87" t="n">
        <x:v>6820</x:v>
      </x:c>
      <x:c r="B6821" s="87" t="str">
        <x:v>EGKR-S26-INF-956-05</x:v>
      </x:c>
      <x:c r="C6821" s="87" t="str">
        <x:v>ЕГКР</x:v>
      </x:c>
      <x:c r="D6821" s="87"/>
      <x:c r="E6821" s="87" t="str">
        <x:v>Весна 2026</x:v>
      </x:c>
      <x:c r="F6821" s="87" t="str">
        <x:v>18.04.2026</x:v>
      </x:c>
      <x:c r="G6821" s="87" t="str">
        <x:v>Информатика</x:v>
      </x:c>
      <x:c r="H6821" s="87" t="n">
        <x:v>11</x:v>
      </x:c>
      <x:c r="I6821" s="87"/>
      <x:c r="J6821" s="87" t="str">
        <x:v>956</x:v>
      </x:c>
      <x:c r="K6821" s="87" t="n">
        <x:v>5</x:v>
      </x:c>
      <x:c r="L6821" s="87" t="str">
        <x:v>Алгоритм и системы счисления</x:v>
      </x:c>
      <x:c r="M6821" s="30" t="str">
        <x:v>Задание линии 5: Алгоритм и системы счисления. Доступная формулировка и все таблицы/схемы сохранены на странице по VIS_ID.</x:v>
      </x:c>
      <x:c r="N6821" s="30" t="str">
        <x:v>567</x:v>
      </x:c>
      <x:c r="O6821" s="30" t="str">
        <x:v>Полный перебор подтверждает минимальное нечётное R&gt;520: 567 при N=63.</x:v>
      </x:c>
      <x:c r="P6821" s="30"/>
      <x:c r="Q6821" s="30" t="str">
        <x:v>Доступная исходная формулировка + независимая проверка результата.</x:v>
      </x:c>
      <x:c r="R6821" s="30" t="str">
        <x:v>567</x:v>
      </x:c>
      <x:c r="S6821" s="30"/>
      <x:c r="T6821" s="30"/>
      <x:c r="U6821" s="30" t="str">
        <x:v>Расхождений не выявлено.</x:v>
      </x:c>
      <x:c r="V6821" s="87" t="str">
        <x:v>VERIFIED</x:v>
      </x:c>
      <x:c r="W6821" s="87"/>
      <x:c r="X6821" s="87" t="n">
        <x:v>2</x:v>
      </x:c>
      <x:c r="Y6821" s="87"/>
      <x:c r="Z6821" s="87"/>
      <x:c r="AA6821" s="87"/>
      <x:c r="AB6821" s="87"/>
      <x:c r="AC6821" s="87" t="str">
        <x:v>VIS-EGKR-INF-S26-TASK-956-P002</x:v>
      </x:c>
      <x:c r="AD6821" s="87" t="str">
        <x:v>VIS-EGKR-INF-S26-ANSWER-956-P001</x:v>
      </x:c>
      <x:c r="AE6821" s="87"/>
      <x:c r="AF6821" s="87" t="str">
        <x:v>VIS-EGKR-INF-S26-TASK-956-P002: 2; VIS-EGKR-INF-S26-ANSWER-956-P001: 1</x:v>
      </x:c>
      <x:c r="AG6821" s="87" t="str">
        <x:v>RESOLVED</x:v>
      </x:c>
      <x:c r="AH6821" s="87" t="str">
        <x:v>CROP_VERIFIED</x:v>
      </x:c>
      <x:c r="AI6821" s="30"/>
      <x:c r="AJ6821" s="87" t="str">
        <x:v>clean</x:v>
      </x:c>
      <x:c r="AK6821" s="87" t="str">
        <x:v>clean-v0.28</x:v>
      </x:c>
      <x:c r="AL6821" s="87" t="str">
        <x:v>statgrad_clean_continuation_v0_28(2).xlsx</x:v>
      </x:c>
      <x:c r="AM6821" s="87" t="str">
        <x:v>INF_EGKR_S26_956</x:v>
      </x:c>
      <x:c r="AN6821" s="87" t="n">
        <x:v>6</x:v>
      </x:c>
    </x:row>
    <x:row r="6822">
      <x:c r="A6822" s="87" t="n">
        <x:v>6821</x:v>
      </x:c>
      <x:c r="B6822" s="87" t="str">
        <x:v>EGKR-S26-INF-956-06</x:v>
      </x:c>
      <x:c r="C6822" s="87" t="str">
        <x:v>ЕГКР</x:v>
      </x:c>
      <x:c r="D6822" s="87"/>
      <x:c r="E6822" s="87" t="str">
        <x:v>Весна 2026</x:v>
      </x:c>
      <x:c r="F6822" s="87" t="str">
        <x:v>18.04.2026</x:v>
      </x:c>
      <x:c r="G6822" s="87" t="str">
        <x:v>Информатика</x:v>
      </x:c>
      <x:c r="H6822" s="87" t="n">
        <x:v>11</x:v>
      </x:c>
      <x:c r="I6822" s="87"/>
      <x:c r="J6822" s="87" t="str">
        <x:v>956</x:v>
      </x:c>
      <x:c r="K6822" s="87" t="n">
        <x:v>6</x:v>
      </x:c>
      <x:c r="L6822" s="87" t="str">
        <x:v>Исполнитель Черепаха</x:v>
      </x:c>
      <x:c r="M6822" s="30" t="str">
        <x:v>Задание линии 6: Исполнитель Черепаха. Доступная формулировка и все таблицы/схемы сохранены на странице по VIS_ID.</x:v>
      </x:c>
      <x:c r="N6822" s="30" t="str">
        <x:v>2392</x:v>
      </x:c>
      <x:c r="O6822" s="30" t="str">
        <x:v>Пересечение прямоугольников с границами: 52·46=2392.</x:v>
      </x:c>
      <x:c r="P6822" s="30"/>
      <x:c r="Q6822" s="30" t="str">
        <x:v>Доступная исходная формулировка + независимая проверка результата.</x:v>
      </x:c>
      <x:c r="R6822" s="30" t="str">
        <x:v>2392</x:v>
      </x:c>
      <x:c r="S6822" s="30"/>
      <x:c r="T6822" s="30"/>
      <x:c r="U6822" s="30" t="str">
        <x:v>Расхождений не выявлено.</x:v>
      </x:c>
      <x:c r="V6822" s="87" t="str">
        <x:v>VERIFIED</x:v>
      </x:c>
      <x:c r="W6822" s="87"/>
      <x:c r="X6822" s="87" t="n">
        <x:v>2</x:v>
      </x:c>
      <x:c r="Y6822" s="87"/>
      <x:c r="Z6822" s="87"/>
      <x:c r="AA6822" s="87"/>
      <x:c r="AB6822" s="87"/>
      <x:c r="AC6822" s="87" t="str">
        <x:v>VIS-EGKR-INF-S26-TASK-956-P002</x:v>
      </x:c>
      <x:c r="AD6822" s="87" t="str">
        <x:v>VIS-EGKR-INF-S26-ANSWER-956-P001</x:v>
      </x:c>
      <x:c r="AE6822" s="87"/>
      <x:c r="AF6822" s="87" t="str">
        <x:v>VIS-EGKR-INF-S26-TASK-956-P002: 2; VIS-EGKR-INF-S26-ANSWER-956-P001: 1</x:v>
      </x:c>
      <x:c r="AG6822" s="87" t="str">
        <x:v>RESOLVED</x:v>
      </x:c>
      <x:c r="AH6822" s="87" t="str">
        <x:v>CROP_VERIFIED</x:v>
      </x:c>
      <x:c r="AI6822" s="30"/>
      <x:c r="AJ6822" s="87" t="str">
        <x:v>clean</x:v>
      </x:c>
      <x:c r="AK6822" s="87" t="str">
        <x:v>clean-v0.28</x:v>
      </x:c>
      <x:c r="AL6822" s="87" t="str">
        <x:v>statgrad_clean_continuation_v0_28(2).xlsx</x:v>
      </x:c>
      <x:c r="AM6822" s="87" t="str">
        <x:v>INF_EGKR_S26_956</x:v>
      </x:c>
      <x:c r="AN6822" s="87" t="n">
        <x:v>7</x:v>
      </x:c>
    </x:row>
    <x:row r="6823">
      <x:c r="A6823" s="87" t="n">
        <x:v>6822</x:v>
      </x:c>
      <x:c r="B6823" s="87" t="str">
        <x:v>EGKR-S26-INF-956-07</x:v>
      </x:c>
      <x:c r="C6823" s="87" t="str">
        <x:v>ЕГКР</x:v>
      </x:c>
      <x:c r="D6823" s="87"/>
      <x:c r="E6823" s="87" t="str">
        <x:v>Весна 2026</x:v>
      </x:c>
      <x:c r="F6823" s="87" t="str">
        <x:v>18.04.2026</x:v>
      </x:c>
      <x:c r="G6823" s="87" t="str">
        <x:v>Информатика</x:v>
      </x:c>
      <x:c r="H6823" s="87" t="n">
        <x:v>11</x:v>
      </x:c>
      <x:c r="I6823" s="87"/>
      <x:c r="J6823" s="87" t="str">
        <x:v>956</x:v>
      </x:c>
      <x:c r="K6823" s="87" t="n">
        <x:v>7</x:v>
      </x:c>
      <x:c r="L6823" s="87" t="str">
        <x:v>Кодирование звука</x:v>
      </x:c>
      <x:c r="M6823" s="30" t="str">
        <x:v>Задание линии 7: Кодирование звука. Доступная формулировка и все таблицы/схемы сохранены на странице по VIS_ID.</x:v>
      </x:c>
      <x:c r="N6823" s="30" t="str">
        <x:v>861</x:v>
      </x:c>
      <x:c r="O6823" s="30" t="str">
        <x:v>После вычета аудиоданных из 339 Мбайт максимум заголовка равен 861 Кбайт.</x:v>
      </x:c>
      <x:c r="P6823" s="30"/>
      <x:c r="Q6823" s="30" t="str">
        <x:v>Доступная исходная формулировка + независимая проверка результата.</x:v>
      </x:c>
      <x:c r="R6823" s="30" t="str">
        <x:v>861</x:v>
      </x:c>
      <x:c r="S6823" s="30"/>
      <x:c r="T6823" s="30"/>
      <x:c r="U6823" s="30" t="str">
        <x:v>Расхождений не выявлено.</x:v>
      </x:c>
      <x:c r="V6823" s="87" t="str">
        <x:v>VERIFIED</x:v>
      </x:c>
      <x:c r="W6823" s="87"/>
      <x:c r="X6823" s="87" t="n">
        <x:v>2</x:v>
      </x:c>
      <x:c r="Y6823" s="87"/>
      <x:c r="Z6823" s="87"/>
      <x:c r="AA6823" s="87"/>
      <x:c r="AB6823" s="87"/>
      <x:c r="AC6823" s="87" t="str">
        <x:v>VIS-EGKR-INF-S26-TASK-956-P002</x:v>
      </x:c>
      <x:c r="AD6823" s="87" t="str">
        <x:v>VIS-EGKR-INF-S26-ANSWER-956-P001</x:v>
      </x:c>
      <x:c r="AE6823" s="87"/>
      <x:c r="AF6823" s="87" t="str">
        <x:v>VIS-EGKR-INF-S26-TASK-956-P002: 2; VIS-EGKR-INF-S26-ANSWER-956-P001: 1</x:v>
      </x:c>
      <x:c r="AG6823" s="87" t="str">
        <x:v>RESOLVED</x:v>
      </x:c>
      <x:c r="AH6823" s="87" t="str">
        <x:v>CROP_VERIFIED</x:v>
      </x:c>
      <x:c r="AI6823" s="30"/>
      <x:c r="AJ6823" s="87" t="str">
        <x:v>clean</x:v>
      </x:c>
      <x:c r="AK6823" s="87" t="str">
        <x:v>clean-v0.28</x:v>
      </x:c>
      <x:c r="AL6823" s="87" t="str">
        <x:v>statgrad_clean_continuation_v0_28(2).xlsx</x:v>
      </x:c>
      <x:c r="AM6823" s="87" t="str">
        <x:v>INF_EGKR_S26_956</x:v>
      </x:c>
      <x:c r="AN6823" s="87" t="n">
        <x:v>8</x:v>
      </x:c>
    </x:row>
    <x:row r="6824">
      <x:c r="A6824" s="87" t="n">
        <x:v>6823</x:v>
      </x:c>
      <x:c r="B6824" s="87" t="str">
        <x:v>EGKR-S26-INF-956-08</x:v>
      </x:c>
      <x:c r="C6824" s="87" t="str">
        <x:v>ЕГКР</x:v>
      </x:c>
      <x:c r="D6824" s="87"/>
      <x:c r="E6824" s="87" t="str">
        <x:v>Весна 2026</x:v>
      </x:c>
      <x:c r="F6824" s="87" t="str">
        <x:v>18.04.2026</x:v>
      </x:c>
      <x:c r="G6824" s="87" t="str">
        <x:v>Информатика</x:v>
      </x:c>
      <x:c r="H6824" s="87" t="n">
        <x:v>11</x:v>
      </x:c>
      <x:c r="I6824" s="87"/>
      <x:c r="J6824" s="87" t="str">
        <x:v>956</x:v>
      </x:c>
      <x:c r="K6824" s="87" t="n">
        <x:v>8</x:v>
      </x:c>
      <x:c r="L6824" s="87" t="str">
        <x:v>Комбинаторика слов</x:v>
      </x:c>
      <x:c r="M6824" s="30" t="str">
        <x:v>Задание линии 8: Комбинаторика слов. Доступная формулировка и все таблицы/схемы сохранены на странице по VIS_ID.</x:v>
      </x:c>
      <x:c r="N6824" s="30" t="str">
        <x:v>5137</x:v>
      </x:c>
      <x:c r="O6824" s="30" t="str">
        <x:v>Прямой перебор слов даёт последнее подходящее слово МСООВ под номером 5137.</x:v>
      </x:c>
      <x:c r="P6824" s="30"/>
      <x:c r="Q6824" s="30" t="str">
        <x:v>Доступная исходная формулировка + независимая проверка результата.</x:v>
      </x:c>
      <x:c r="R6824" s="30" t="str">
        <x:v>5137</x:v>
      </x:c>
      <x:c r="S6824" s="30"/>
      <x:c r="T6824" s="30"/>
      <x:c r="U6824" s="30" t="str">
        <x:v>Расхождений не выявлено.</x:v>
      </x:c>
      <x:c r="V6824" s="87" t="str">
        <x:v>VERIFIED</x:v>
      </x:c>
      <x:c r="W6824" s="87"/>
      <x:c r="X6824" s="87" t="n">
        <x:v>3</x:v>
      </x:c>
      <x:c r="Y6824" s="87"/>
      <x:c r="Z6824" s="87"/>
      <x:c r="AA6824" s="87"/>
      <x:c r="AB6824" s="87"/>
      <x:c r="AC6824" s="87" t="str">
        <x:v>VIS-EGKR-INF-S26-TASK-956-P003</x:v>
      </x:c>
      <x:c r="AD6824" s="87" t="str">
        <x:v>VIS-EGKR-INF-S26-ANSWER-956-P001</x:v>
      </x:c>
      <x:c r="AE6824" s="87"/>
      <x:c r="AF6824" s="87" t="str">
        <x:v>VIS-EGKR-INF-S26-TASK-956-P003: 3; VIS-EGKR-INF-S26-ANSWER-956-P001: 1</x:v>
      </x:c>
      <x:c r="AG6824" s="87" t="str">
        <x:v>RESOLVED</x:v>
      </x:c>
      <x:c r="AH6824" s="87" t="str">
        <x:v>CROP_VERIFIED</x:v>
      </x:c>
      <x:c r="AI6824" s="30"/>
      <x:c r="AJ6824" s="87" t="str">
        <x:v>clean</x:v>
      </x:c>
      <x:c r="AK6824" s="87" t="str">
        <x:v>clean-v0.28</x:v>
      </x:c>
      <x:c r="AL6824" s="87" t="str">
        <x:v>statgrad_clean_continuation_v0_28(2).xlsx</x:v>
      </x:c>
      <x:c r="AM6824" s="87" t="str">
        <x:v>INF_EGKR_S26_956</x:v>
      </x:c>
      <x:c r="AN6824" s="87" t="n">
        <x:v>9</x:v>
      </x:c>
    </x:row>
    <x:row r="6825">
      <x:c r="A6825" s="87" t="n">
        <x:v>6824</x:v>
      </x:c>
      <x:c r="B6825" s="87" t="str">
        <x:v>EGKR-S26-INF-956-09</x:v>
      </x:c>
      <x:c r="C6825" s="87" t="str">
        <x:v>ЕГКР</x:v>
      </x:c>
      <x:c r="D6825" s="87"/>
      <x:c r="E6825" s="87" t="str">
        <x:v>Весна 2026</x:v>
      </x:c>
      <x:c r="F6825" s="87" t="str">
        <x:v>18.04.2026</x:v>
      </x:c>
      <x:c r="G6825" s="87" t="str">
        <x:v>Информатика</x:v>
      </x:c>
      <x:c r="H6825" s="87" t="n">
        <x:v>11</x:v>
      </x:c>
      <x:c r="I6825" s="87"/>
      <x:c r="J6825" s="87" t="str">
        <x:v>956</x:v>
      </x:c>
      <x:c r="K6825" s="87" t="n">
        <x:v>9</x:v>
      </x:c>
      <x:c r="L6825" s="87" t="str">
        <x:v>Электронные таблицы</x:v>
      </x:c>
      <x:c r="M6825" s="30" t="str">
        <x:v>Полная формулировка задания №9 варианта 956 сохранена на странице по VIS_ID, но необходимый приложенный файл отсутствует в локальном архиве.</x:v>
      </x:c>
      <x:c r="N6825" s="30"/>
      <x:c r="O6825" s="30" t="str">
        <x:v>Числовой ответ не утверждается до появления соответствующего файла данных.</x:v>
      </x:c>
      <x:c r="P6825" s="30"/>
      <x:c r="Q6825" s="30" t="str">
        <x:v>Визуальная проверка задания + аудит вложений архива.</x:v>
      </x:c>
      <x:c r="R6825" s="30"/>
      <x:c r="S6825" s="30"/>
      <x:c r="T6825" s="30"/>
      <x:c r="U6825" s="30" t="str">
        <x:v>ATTACHMENT_MISSING.</x:v>
      </x:c>
      <x:c r="V6825" s="87" t="str">
        <x:v>ATTACHMENT_MISSING</x:v>
      </x:c>
      <x:c r="W6825" s="87"/>
      <x:c r="X6825" s="87" t="n">
        <x:v>3</x:v>
      </x:c>
      <x:c r="Y6825" s="87"/>
      <x:c r="Z6825" s="87"/>
      <x:c r="AA6825" s="87"/>
      <x:c r="AB6825" s="87"/>
      <x:c r="AC6825" s="87" t="str">
        <x:v>VIS-EGKR-INF-S26-TASK-956-P003</x:v>
      </x:c>
      <x:c r="AD6825" s="87"/>
      <x:c r="AE6825" s="87"/>
      <x:c r="AF6825" s="87" t="str">
        <x:v>VIS-EGKR-INF-S26-TASK-956-P003: 3</x:v>
      </x:c>
      <x:c r="AG6825" s="87" t="str">
        <x:v>RESOLVED</x:v>
      </x:c>
      <x:c r="AH6825" s="87" t="str">
        <x:v>CROP_VERIFIED</x:v>
      </x:c>
      <x:c r="AI6825" s="30"/>
      <x:c r="AJ6825" s="87" t="str">
        <x:v>clean</x:v>
      </x:c>
      <x:c r="AK6825" s="87" t="str">
        <x:v>clean-v0.28</x:v>
      </x:c>
      <x:c r="AL6825" s="87" t="str">
        <x:v>statgrad_clean_continuation_v0_28(2).xlsx</x:v>
      </x:c>
      <x:c r="AM6825" s="87" t="str">
        <x:v>INF_EGKR_S26_956</x:v>
      </x:c>
      <x:c r="AN6825" s="87" t="n">
        <x:v>10</x:v>
      </x:c>
    </x:row>
    <x:row r="6826">
      <x:c r="A6826" s="87" t="n">
        <x:v>6825</x:v>
      </x:c>
      <x:c r="B6826" s="87" t="str">
        <x:v>EGKR-S26-INF-956-10</x:v>
      </x:c>
      <x:c r="C6826" s="87" t="str">
        <x:v>ЕГКР</x:v>
      </x:c>
      <x:c r="D6826" s="87"/>
      <x:c r="E6826" s="87" t="str">
        <x:v>Весна 2026</x:v>
      </x:c>
      <x:c r="F6826" s="87" t="str">
        <x:v>18.04.2026</x:v>
      </x:c>
      <x:c r="G6826" s="87" t="str">
        <x:v>Информатика</x:v>
      </x:c>
      <x:c r="H6826" s="87" t="n">
        <x:v>11</x:v>
      </x:c>
      <x:c r="I6826" s="87"/>
      <x:c r="J6826" s="87" t="str">
        <x:v>956</x:v>
      </x:c>
      <x:c r="K6826" s="87" t="n">
        <x:v>10</x:v>
      </x:c>
      <x:c r="L6826" s="87" t="str">
        <x:v>Текстовый поиск</x:v>
      </x:c>
      <x:c r="M6826" s="30" t="str">
        <x:v>Полная формулировка задания №10 варианта 956 сохранена на странице по VIS_ID, но необходимый приложенный файл отсутствует в локальном архиве.</x:v>
      </x:c>
      <x:c r="N6826" s="30"/>
      <x:c r="O6826" s="30" t="str">
        <x:v>Числовой ответ не утверждается до появления соответствующего файла данных.</x:v>
      </x:c>
      <x:c r="P6826" s="30"/>
      <x:c r="Q6826" s="30" t="str">
        <x:v>Визуальная проверка задания + аудит вложений архива.</x:v>
      </x:c>
      <x:c r="R6826" s="30"/>
      <x:c r="S6826" s="30"/>
      <x:c r="T6826" s="30"/>
      <x:c r="U6826" s="30" t="str">
        <x:v>ATTACHMENT_MISSING.</x:v>
      </x:c>
      <x:c r="V6826" s="87" t="str">
        <x:v>ATTACHMENT_MISSING</x:v>
      </x:c>
      <x:c r="W6826" s="87"/>
      <x:c r="X6826" s="87" t="n">
        <x:v>3</x:v>
      </x:c>
      <x:c r="Y6826" s="87"/>
      <x:c r="Z6826" s="87"/>
      <x:c r="AA6826" s="87"/>
      <x:c r="AB6826" s="87"/>
      <x:c r="AC6826" s="87" t="str">
        <x:v>VIS-EGKR-INF-S26-TASK-956-P003</x:v>
      </x:c>
      <x:c r="AD6826" s="87"/>
      <x:c r="AE6826" s="87"/>
      <x:c r="AF6826" s="87" t="str">
        <x:v>VIS-EGKR-INF-S26-TASK-956-P003: 3</x:v>
      </x:c>
      <x:c r="AG6826" s="87" t="str">
        <x:v>RESOLVED</x:v>
      </x:c>
      <x:c r="AH6826" s="87" t="str">
        <x:v>CROP_VERIFIED</x:v>
      </x:c>
      <x:c r="AI6826" s="30"/>
      <x:c r="AJ6826" s="87" t="str">
        <x:v>clean</x:v>
      </x:c>
      <x:c r="AK6826" s="87" t="str">
        <x:v>clean-v0.28</x:v>
      </x:c>
      <x:c r="AL6826" s="87" t="str">
        <x:v>statgrad_clean_continuation_v0_28(2).xlsx</x:v>
      </x:c>
      <x:c r="AM6826" s="87" t="str">
        <x:v>INF_EGKR_S26_956</x:v>
      </x:c>
      <x:c r="AN6826" s="87" t="n">
        <x:v>11</x:v>
      </x:c>
    </x:row>
    <x:row r="6827">
      <x:c r="A6827" s="87" t="n">
        <x:v>6826</x:v>
      </x:c>
      <x:c r="B6827" s="87" t="str">
        <x:v>EGKR-S26-INF-956-11</x:v>
      </x:c>
      <x:c r="C6827" s="87" t="str">
        <x:v>ЕГКР</x:v>
      </x:c>
      <x:c r="D6827" s="87"/>
      <x:c r="E6827" s="87" t="str">
        <x:v>Весна 2026</x:v>
      </x:c>
      <x:c r="F6827" s="87" t="str">
        <x:v>18.04.2026</x:v>
      </x:c>
      <x:c r="G6827" s="87" t="str">
        <x:v>Информатика</x:v>
      </x:c>
      <x:c r="H6827" s="87" t="n">
        <x:v>11</x:v>
      </x:c>
      <x:c r="I6827" s="87"/>
      <x:c r="J6827" s="87" t="str">
        <x:v>956</x:v>
      </x:c>
      <x:c r="K6827" s="87" t="n">
        <x:v>11</x:v>
      </x:c>
      <x:c r="L6827" s="87" t="str">
        <x:v>Кодирование информации в БД</x:v>
      </x:c>
      <x:c r="M6827" s="30" t="str">
        <x:v>Задание линии 11: Кодирование информации в БД. Доступная формулировка и все таблицы/схемы сохранены на странице по VIS_ID.</x:v>
      </x:c>
      <x:c r="N6827" s="30" t="str">
        <x:v>256</x:v>
      </x:c>
      <x:c r="O6827" s="30" t="str">
        <x:v>9 бит уже дают 74 байта на номер и ровно/больше лимита; максимум 8 бит, 2^8=256.</x:v>
      </x:c>
      <x:c r="P6827" s="30"/>
      <x:c r="Q6827" s="30" t="str">
        <x:v>Доступная исходная формулировка + независимая проверка результата.</x:v>
      </x:c>
      <x:c r="R6827" s="30" t="str">
        <x:v>256</x:v>
      </x:c>
      <x:c r="S6827" s="30"/>
      <x:c r="T6827" s="30"/>
      <x:c r="U6827" s="30" t="str">
        <x:v>Расхождений не выявлено.</x:v>
      </x:c>
      <x:c r="V6827" s="87" t="str">
        <x:v>VERIFIED</x:v>
      </x:c>
      <x:c r="W6827" s="87"/>
      <x:c r="X6827" s="87" t="n">
        <x:v>3</x:v>
      </x:c>
      <x:c r="Y6827" s="87"/>
      <x:c r="Z6827" s="87"/>
      <x:c r="AA6827" s="87"/>
      <x:c r="AB6827" s="87"/>
      <x:c r="AC6827" s="87" t="str">
        <x:v>VIS-EGKR-INF-S26-TASK-956-P003</x:v>
      </x:c>
      <x:c r="AD6827" s="87" t="str">
        <x:v>VIS-EGKR-INF-S26-ANSWER-956-P001</x:v>
      </x:c>
      <x:c r="AE6827" s="87"/>
      <x:c r="AF6827" s="87" t="str">
        <x:v>VIS-EGKR-INF-S26-TASK-956-P003: 3; VIS-EGKR-INF-S26-ANSWER-956-P001: 1</x:v>
      </x:c>
      <x:c r="AG6827" s="87" t="str">
        <x:v>RESOLVED</x:v>
      </x:c>
      <x:c r="AH6827" s="87" t="str">
        <x:v>CROP_VERIFIED</x:v>
      </x:c>
      <x:c r="AI6827" s="30"/>
      <x:c r="AJ6827" s="87" t="str">
        <x:v>clean</x:v>
      </x:c>
      <x:c r="AK6827" s="87" t="str">
        <x:v>clean-v0.28</x:v>
      </x:c>
      <x:c r="AL6827" s="87" t="str">
        <x:v>statgrad_clean_continuation_v0_28(2).xlsx</x:v>
      </x:c>
      <x:c r="AM6827" s="87" t="str">
        <x:v>INF_EGKR_S26_956</x:v>
      </x:c>
      <x:c r="AN6827" s="87" t="n">
        <x:v>12</x:v>
      </x:c>
    </x:row>
    <x:row r="6828">
      <x:c r="A6828" s="87" t="n">
        <x:v>6827</x:v>
      </x:c>
      <x:c r="B6828" s="87" t="str">
        <x:v>EGKR-S26-INF-956-12</x:v>
      </x:c>
      <x:c r="C6828" s="87" t="str">
        <x:v>ЕГКР</x:v>
      </x:c>
      <x:c r="D6828" s="87"/>
      <x:c r="E6828" s="87" t="str">
        <x:v>Весна 2026</x:v>
      </x:c>
      <x:c r="F6828" s="87" t="str">
        <x:v>18.04.2026</x:v>
      </x:c>
      <x:c r="G6828" s="87" t="str">
        <x:v>Информатика</x:v>
      </x:c>
      <x:c r="H6828" s="87" t="n">
        <x:v>11</x:v>
      </x:c>
      <x:c r="I6828" s="87"/>
      <x:c r="J6828" s="87" t="str">
        <x:v>956</x:v>
      </x:c>
      <x:c r="K6828" s="87" t="n">
        <x:v>12</x:v>
      </x:c>
      <x:c r="L6828" s="87" t="str">
        <x:v>Машина Тьюринга</x:v>
      </x:c>
      <x:c r="M6828" s="30" t="str">
        <x:v>Задание линии 12: Машина Тьюринга. Доступная формулировка и все таблицы/схемы сохранены на странице по VIS_ID.</x:v>
      </x:c>
      <x:c r="N6828" s="30" t="str">
        <x:v>8111</x:v>
      </x:c>
      <x:c r="O6828" s="30" t="str">
        <x:v>Источник указывает 27 и описывает другую машину. В фактической таблице переходов q1 сохраняет двоичные разряды 2027 и после конца записи дописываются две единицы. Итог: 2027·4+3=8111.</x:v>
      </x:c>
      <x:c r="P6828" s="30"/>
      <x:c r="Q6828" s="30" t="str">
        <x:v>Полная исходная страница + независимая логическая/алгоритмическая проверка + аудит ответного DOCX.</x:v>
      </x:c>
      <x:c r="R6828" s="30" t="str">
        <x:v>27</x:v>
      </x:c>
      <x:c r="S6828" s="30"/>
      <x:c r="T6828" s="30"/>
      <x:c r="U6828" s="30" t="str">
        <x:v>Источник: 27; канонический ответ: 8111.</x:v>
      </x:c>
      <x:c r="V6828" s="87" t="str">
        <x:v>KEY_MISMATCH</x:v>
      </x:c>
      <x:c r="W6828" s="87"/>
      <x:c r="X6828" s="87" t="n">
        <x:v>4</x:v>
      </x:c>
      <x:c r="Y6828" s="87"/>
      <x:c r="Z6828" s="87"/>
      <x:c r="AA6828" s="87"/>
      <x:c r="AB6828" s="87"/>
      <x:c r="AC6828" s="87" t="str">
        <x:v>VIS-EGKR-INF-S26-TASK-956-P004</x:v>
      </x:c>
      <x:c r="AD6828" s="87" t="str">
        <x:v>VIS-EGKR-INF-S26-ANSWER-956-P001</x:v>
      </x:c>
      <x:c r="AE6828" s="87"/>
      <x:c r="AF6828" s="87" t="str">
        <x:v>VIS-EGKR-INF-S26-TASK-956-P004: 4; VIS-EGKR-INF-S26-ANSWER-956-P001: 1</x:v>
      </x:c>
      <x:c r="AG6828" s="87" t="str">
        <x:v>RESOLVED</x:v>
      </x:c>
      <x:c r="AH6828" s="87" t="str">
        <x:v>CROP_VERIFIED</x:v>
      </x:c>
      <x:c r="AI6828" s="30"/>
      <x:c r="AJ6828" s="87" t="str">
        <x:v>clean</x:v>
      </x:c>
      <x:c r="AK6828" s="87" t="str">
        <x:v>clean-v0.28</x:v>
      </x:c>
      <x:c r="AL6828" s="87" t="str">
        <x:v>statgrad_clean_continuation_v0_28(2).xlsx</x:v>
      </x:c>
      <x:c r="AM6828" s="87" t="str">
        <x:v>INF_EGKR_S26_956</x:v>
      </x:c>
      <x:c r="AN6828" s="87" t="n">
        <x:v>13</x:v>
      </x:c>
    </x:row>
    <x:row r="6829">
      <x:c r="A6829" s="87" t="n">
        <x:v>6828</x:v>
      </x:c>
      <x:c r="B6829" s="87" t="str">
        <x:v>EGKR-S26-INF-956-13</x:v>
      </x:c>
      <x:c r="C6829" s="87" t="str">
        <x:v>ЕГКР</x:v>
      </x:c>
      <x:c r="D6829" s="87"/>
      <x:c r="E6829" s="87" t="str">
        <x:v>Весна 2026</x:v>
      </x:c>
      <x:c r="F6829" s="87" t="str">
        <x:v>18.04.2026</x:v>
      </x:c>
      <x:c r="G6829" s="87" t="str">
        <x:v>Информатика</x:v>
      </x:c>
      <x:c r="H6829" s="87" t="n">
        <x:v>11</x:v>
      </x:c>
      <x:c r="I6829" s="87"/>
      <x:c r="J6829" s="87" t="str">
        <x:v>956</x:v>
      </x:c>
      <x:c r="K6829" s="87" t="n">
        <x:v>13</x:v>
      </x:c>
      <x:c r="L6829" s="87" t="str">
        <x:v>IP-адресация</x:v>
      </x:c>
      <x:c r="M6829" s="30" t="str">
        <x:v>Задание линии 13: IP-адресация. Доступная формулировка и все таблицы/схемы сохранены на странице по VIS_ID.</x:v>
      </x:c>
      <x:c r="N6829" s="30" t="str">
        <x:v>661</x:v>
      </x:c>
      <x:c r="O6829" s="30" t="str">
        <x:v>Максимальный адрес узла 191.89.127.254; сумма октетов 661.</x:v>
      </x:c>
      <x:c r="P6829" s="30"/>
      <x:c r="Q6829" s="30" t="str">
        <x:v>Доступная исходная формулировка + независимая проверка результата.</x:v>
      </x:c>
      <x:c r="R6829" s="30" t="str">
        <x:v>661</x:v>
      </x:c>
      <x:c r="S6829" s="30"/>
      <x:c r="T6829" s="30"/>
      <x:c r="U6829" s="30" t="str">
        <x:v>Расхождений не выявлено.</x:v>
      </x:c>
      <x:c r="V6829" s="87" t="str">
        <x:v>VERIFIED</x:v>
      </x:c>
      <x:c r="W6829" s="87"/>
      <x:c r="X6829" s="87" t="n">
        <x:v>4</x:v>
      </x:c>
      <x:c r="Y6829" s="87"/>
      <x:c r="Z6829" s="87"/>
      <x:c r="AA6829" s="87"/>
      <x:c r="AB6829" s="87"/>
      <x:c r="AC6829" s="87" t="str">
        <x:v>VIS-EGKR-INF-S26-TASK-956-P004</x:v>
      </x:c>
      <x:c r="AD6829" s="87" t="str">
        <x:v>VIS-EGKR-INF-S26-ANSWER-956-P001</x:v>
      </x:c>
      <x:c r="AE6829" s="87"/>
      <x:c r="AF6829" s="87" t="str">
        <x:v>VIS-EGKR-INF-S26-TASK-956-P004: 4; VIS-EGKR-INF-S26-ANSWER-956-P001: 1</x:v>
      </x:c>
      <x:c r="AG6829" s="87" t="str">
        <x:v>RESOLVED</x:v>
      </x:c>
      <x:c r="AH6829" s="87" t="str">
        <x:v>CROP_VERIFIED</x:v>
      </x:c>
      <x:c r="AI6829" s="30"/>
      <x:c r="AJ6829" s="87" t="str">
        <x:v>clean</x:v>
      </x:c>
      <x:c r="AK6829" s="87" t="str">
        <x:v>clean-v0.28</x:v>
      </x:c>
      <x:c r="AL6829" s="87" t="str">
        <x:v>statgrad_clean_continuation_v0_28(2).xlsx</x:v>
      </x:c>
      <x:c r="AM6829" s="87" t="str">
        <x:v>INF_EGKR_S26_956</x:v>
      </x:c>
      <x:c r="AN6829" s="87" t="n">
        <x:v>14</x:v>
      </x:c>
    </x:row>
    <x:row r="6830">
      <x:c r="A6830" s="87" t="n">
        <x:v>6829</x:v>
      </x:c>
      <x:c r="B6830" s="87" t="str">
        <x:v>EGKR-S26-INF-956-14</x:v>
      </x:c>
      <x:c r="C6830" s="87" t="str">
        <x:v>ЕГКР</x:v>
      </x:c>
      <x:c r="D6830" s="87"/>
      <x:c r="E6830" s="87" t="str">
        <x:v>Весна 2026</x:v>
      </x:c>
      <x:c r="F6830" s="87" t="str">
        <x:v>18.04.2026</x:v>
      </x:c>
      <x:c r="G6830" s="87" t="str">
        <x:v>Информатика</x:v>
      </x:c>
      <x:c r="H6830" s="87" t="n">
        <x:v>11</x:v>
      </x:c>
      <x:c r="I6830" s="87"/>
      <x:c r="J6830" s="87" t="str">
        <x:v>956</x:v>
      </x:c>
      <x:c r="K6830" s="87" t="n">
        <x:v>14</x:v>
      </x:c>
      <x:c r="L6830" s="87" t="str">
        <x:v>Системы счисления</x:v>
      </x:c>
      <x:c r="M6830" s="30" t="str">
        <x:v>Задание линии 14: Системы счисления. Доступная формулировка и все таблицы/схемы сохранены на странице по VIS_ID.</x:v>
      </x:c>
      <x:c r="N6830" s="30" t="str">
        <x:v>70045642</x:v>
      </x:c>
      <x:c r="O6830" s="30" t="str">
        <x:v>Минимальная цифра x=8; значение выражения/22 равно 70045642.</x:v>
      </x:c>
      <x:c r="P6830" s="30"/>
      <x:c r="Q6830" s="30" t="str">
        <x:v>Доступная исходная формулировка + независимая проверка результата.</x:v>
      </x:c>
      <x:c r="R6830" s="30" t="str">
        <x:v>70045642</x:v>
      </x:c>
      <x:c r="S6830" s="30"/>
      <x:c r="T6830" s="30"/>
      <x:c r="U6830" s="30" t="str">
        <x:v>Расхождений не выявлено.</x:v>
      </x:c>
      <x:c r="V6830" s="87" t="str">
        <x:v>VERIFIED</x:v>
      </x:c>
      <x:c r="W6830" s="87"/>
      <x:c r="X6830" s="87" t="n">
        <x:v>4</x:v>
      </x:c>
      <x:c r="Y6830" s="87"/>
      <x:c r="Z6830" s="87"/>
      <x:c r="AA6830" s="87"/>
      <x:c r="AB6830" s="87"/>
      <x:c r="AC6830" s="87" t="str">
        <x:v>VIS-EGKR-INF-S26-TASK-956-P004</x:v>
      </x:c>
      <x:c r="AD6830" s="87" t="str">
        <x:v>VIS-EGKR-INF-S26-ANSWER-956-P001</x:v>
      </x:c>
      <x:c r="AE6830" s="87"/>
      <x:c r="AF6830" s="87" t="str">
        <x:v>VIS-EGKR-INF-S26-TASK-956-P004: 4; VIS-EGKR-INF-S26-ANSWER-956-P001: 1</x:v>
      </x:c>
      <x:c r="AG6830" s="87" t="str">
        <x:v>RESOLVED</x:v>
      </x:c>
      <x:c r="AH6830" s="87" t="str">
        <x:v>CROP_VERIFIED</x:v>
      </x:c>
      <x:c r="AI6830" s="30"/>
      <x:c r="AJ6830" s="87" t="str">
        <x:v>clean</x:v>
      </x:c>
      <x:c r="AK6830" s="87" t="str">
        <x:v>clean-v0.28</x:v>
      </x:c>
      <x:c r="AL6830" s="87" t="str">
        <x:v>statgrad_clean_continuation_v0_28(2).xlsx</x:v>
      </x:c>
      <x:c r="AM6830" s="87" t="str">
        <x:v>INF_EGKR_S26_956</x:v>
      </x:c>
      <x:c r="AN6830" s="87" t="n">
        <x:v>15</x:v>
      </x:c>
    </x:row>
    <x:row r="6831">
      <x:c r="A6831" s="87" t="n">
        <x:v>6830</x:v>
      </x:c>
      <x:c r="B6831" s="87" t="str">
        <x:v>EGKR-S26-INF-956-15</x:v>
      </x:c>
      <x:c r="C6831" s="87" t="str">
        <x:v>ЕГКР</x:v>
      </x:c>
      <x:c r="D6831" s="87"/>
      <x:c r="E6831" s="87" t="str">
        <x:v>Весна 2026</x:v>
      </x:c>
      <x:c r="F6831" s="87" t="str">
        <x:v>18.04.2026</x:v>
      </x:c>
      <x:c r="G6831" s="87" t="str">
        <x:v>Информатика</x:v>
      </x:c>
      <x:c r="H6831" s="87" t="n">
        <x:v>11</x:v>
      </x:c>
      <x:c r="I6831" s="87"/>
      <x:c r="J6831" s="87" t="str">
        <x:v>956</x:v>
      </x:c>
      <x:c r="K6831" s="87" t="n">
        <x:v>15</x:v>
      </x:c>
      <x:c r="L6831" s="87" t="str">
        <x:v>Алгебра логики</x:v>
      </x:c>
      <x:c r="M6831" s="30" t="str">
        <x:v>Задание линии 15: Алгебра логики. Доступная формулировка и все таблицы/схемы сохранены на странице по VIS_ID.</x:v>
      </x:c>
      <x:c r="N6831" s="30" t="str">
        <x:v>1176126</x:v>
      </x:c>
      <x:c r="O6831" s="30" t="str">
        <x:v>Максимум xy при x≤485 и y≤5x равен 1176125; минимальное A=1176126.</x:v>
      </x:c>
      <x:c r="P6831" s="30"/>
      <x:c r="Q6831" s="30" t="str">
        <x:v>Доступная исходная формулировка + независимая проверка результата.</x:v>
      </x:c>
      <x:c r="R6831" s="30" t="str">
        <x:v>1176126</x:v>
      </x:c>
      <x:c r="S6831" s="30"/>
      <x:c r="T6831" s="30"/>
      <x:c r="U6831" s="30" t="str">
        <x:v>Расхождений не выявлено.</x:v>
      </x:c>
      <x:c r="V6831" s="87" t="str">
        <x:v>VERIFIED</x:v>
      </x:c>
      <x:c r="W6831" s="87"/>
      <x:c r="X6831" s="87" t="n">
        <x:v>4</x:v>
      </x:c>
      <x:c r="Y6831" s="87"/>
      <x:c r="Z6831" s="87"/>
      <x:c r="AA6831" s="87"/>
      <x:c r="AB6831" s="87"/>
      <x:c r="AC6831" s="87" t="str">
        <x:v>VIS-EGKR-INF-S26-TASK-956-P004</x:v>
      </x:c>
      <x:c r="AD6831" s="87" t="str">
        <x:v>VIS-EGKR-INF-S26-ANSWER-956-P001</x:v>
      </x:c>
      <x:c r="AE6831" s="87"/>
      <x:c r="AF6831" s="87" t="str">
        <x:v>VIS-EGKR-INF-S26-TASK-956-P004: 4; VIS-EGKR-INF-S26-ANSWER-956-P001: 1</x:v>
      </x:c>
      <x:c r="AG6831" s="87" t="str">
        <x:v>RESOLVED</x:v>
      </x:c>
      <x:c r="AH6831" s="87" t="str">
        <x:v>CROP_VERIFIED</x:v>
      </x:c>
      <x:c r="AI6831" s="30"/>
      <x:c r="AJ6831" s="87" t="str">
        <x:v>clean</x:v>
      </x:c>
      <x:c r="AK6831" s="87" t="str">
        <x:v>clean-v0.28</x:v>
      </x:c>
      <x:c r="AL6831" s="87" t="str">
        <x:v>statgrad_clean_continuation_v0_28(2).xlsx</x:v>
      </x:c>
      <x:c r="AM6831" s="87" t="str">
        <x:v>INF_EGKR_S26_956</x:v>
      </x:c>
      <x:c r="AN6831" s="87" t="n">
        <x:v>16</x:v>
      </x:c>
    </x:row>
    <x:row r="6832">
      <x:c r="A6832" s="87" t="n">
        <x:v>6831</x:v>
      </x:c>
      <x:c r="B6832" s="87" t="str">
        <x:v>EGKR-S26-INF-956-16</x:v>
      </x:c>
      <x:c r="C6832" s="87" t="str">
        <x:v>ЕГКР</x:v>
      </x:c>
      <x:c r="D6832" s="87"/>
      <x:c r="E6832" s="87" t="str">
        <x:v>Весна 2026</x:v>
      </x:c>
      <x:c r="F6832" s="87" t="str">
        <x:v>18.04.2026</x:v>
      </x:c>
      <x:c r="G6832" s="87" t="str">
        <x:v>Информатика</x:v>
      </x:c>
      <x:c r="H6832" s="87" t="n">
        <x:v>11</x:v>
      </x:c>
      <x:c r="I6832" s="87"/>
      <x:c r="J6832" s="87" t="str">
        <x:v>956</x:v>
      </x:c>
      <x:c r="K6832" s="87" t="n">
        <x:v>16</x:v>
      </x:c>
      <x:c r="L6832" s="87" t="str">
        <x:v>Рекурсивные функции</x:v>
      </x:c>
      <x:c r="M6832" s="30" t="str">
        <x:v>Задание линии 16: Рекурсивные функции. Доступная формулировка и все таблицы/схемы сохранены на странице по VIS_ID.</x:v>
      </x:c>
      <x:c r="N6832" s="30" t="str">
        <x:v>50</x:v>
      </x:c>
      <x:c r="O6832" s="30" t="str">
        <x:v>Итеративное свёртывание рекурсий подтверждает F(548)=50.</x:v>
      </x:c>
      <x:c r="P6832" s="30"/>
      <x:c r="Q6832" s="30" t="str">
        <x:v>Доступная исходная формулировка + независимая проверка результата.</x:v>
      </x:c>
      <x:c r="R6832" s="30" t="str">
        <x:v>50</x:v>
      </x:c>
      <x:c r="S6832" s="30"/>
      <x:c r="T6832" s="30"/>
      <x:c r="U6832" s="30" t="str">
        <x:v>Расхождений не выявлено.</x:v>
      </x:c>
      <x:c r="V6832" s="87" t="str">
        <x:v>VERIFIED</x:v>
      </x:c>
      <x:c r="W6832" s="87"/>
      <x:c r="X6832" s="87" t="n">
        <x:v>5</x:v>
      </x:c>
      <x:c r="Y6832" s="87"/>
      <x:c r="Z6832" s="87"/>
      <x:c r="AA6832" s="87"/>
      <x:c r="AB6832" s="87"/>
      <x:c r="AC6832" s="87" t="str">
        <x:v>VIS-EGKR-INF-S26-TASK-956-P005</x:v>
      </x:c>
      <x:c r="AD6832" s="87" t="str">
        <x:v>VIS-EGKR-INF-S26-ANSWER-956-P001</x:v>
      </x:c>
      <x:c r="AE6832" s="87"/>
      <x:c r="AF6832" s="87" t="str">
        <x:v>VIS-EGKR-INF-S26-TASK-956-P005: 5; VIS-EGKR-INF-S26-ANSWER-956-P001: 1</x:v>
      </x:c>
      <x:c r="AG6832" s="87" t="str">
        <x:v>RESOLVED</x:v>
      </x:c>
      <x:c r="AH6832" s="87" t="str">
        <x:v>CROP_VERIFIED</x:v>
      </x:c>
      <x:c r="AI6832" s="30"/>
      <x:c r="AJ6832" s="87" t="str">
        <x:v>clean</x:v>
      </x:c>
      <x:c r="AK6832" s="87" t="str">
        <x:v>clean-v0.28</x:v>
      </x:c>
      <x:c r="AL6832" s="87" t="str">
        <x:v>statgrad_clean_continuation_v0_28(2).xlsx</x:v>
      </x:c>
      <x:c r="AM6832" s="87" t="str">
        <x:v>INF_EGKR_S26_956</x:v>
      </x:c>
      <x:c r="AN6832" s="87" t="n">
        <x:v>17</x:v>
      </x:c>
    </x:row>
    <x:row r="6833">
      <x:c r="A6833" s="87" t="n">
        <x:v>6832</x:v>
      </x:c>
      <x:c r="B6833" s="87" t="str">
        <x:v>EGKR-S26-INF-956-17</x:v>
      </x:c>
      <x:c r="C6833" s="87" t="str">
        <x:v>ЕГКР</x:v>
      </x:c>
      <x:c r="D6833" s="87"/>
      <x:c r="E6833" s="87" t="str">
        <x:v>Весна 2026</x:v>
      </x:c>
      <x:c r="F6833" s="87" t="str">
        <x:v>18.04.2026</x:v>
      </x:c>
      <x:c r="G6833" s="87" t="str">
        <x:v>Информатика</x:v>
      </x:c>
      <x:c r="H6833" s="87" t="n">
        <x:v>11</x:v>
      </x:c>
      <x:c r="I6833" s="87"/>
      <x:c r="J6833" s="87" t="str">
        <x:v>956</x:v>
      </x:c>
      <x:c r="K6833" s="87" t="n">
        <x:v>17</x:v>
      </x:c>
      <x:c r="L6833" s="87" t="str">
        <x:v>Обработка последовательности</x:v>
      </x:c>
      <x:c r="M6833" s="30" t="str">
        <x:v>Полная формулировка задания №17 варианта 956 сохранена на странице по VIS_ID, но необходимый приложенный файл отсутствует в локальном архиве.</x:v>
      </x:c>
      <x:c r="N6833" s="30"/>
      <x:c r="O6833" s="30" t="str">
        <x:v>Числовой ответ не утверждается до появления соответствующего файла данных.</x:v>
      </x:c>
      <x:c r="P6833" s="30"/>
      <x:c r="Q6833" s="30" t="str">
        <x:v>Визуальная проверка задания + аудит вложений архива.</x:v>
      </x:c>
      <x:c r="R6833" s="30"/>
      <x:c r="S6833" s="30"/>
      <x:c r="T6833" s="30"/>
      <x:c r="U6833" s="30" t="str">
        <x:v>ATTACHMENT_MISSING.</x:v>
      </x:c>
      <x:c r="V6833" s="87" t="str">
        <x:v>ATTACHMENT_MISSING</x:v>
      </x:c>
      <x:c r="W6833" s="87"/>
      <x:c r="X6833" s="87" t="n">
        <x:v>5</x:v>
      </x:c>
      <x:c r="Y6833" s="87"/>
      <x:c r="Z6833" s="87"/>
      <x:c r="AA6833" s="87"/>
      <x:c r="AB6833" s="87"/>
      <x:c r="AC6833" s="87" t="str">
        <x:v>VIS-EGKR-INF-S26-TASK-956-P005</x:v>
      </x:c>
      <x:c r="AD6833" s="87"/>
      <x:c r="AE6833" s="87"/>
      <x:c r="AF6833" s="87" t="str">
        <x:v>VIS-EGKR-INF-S26-TASK-956-P005: 5</x:v>
      </x:c>
      <x:c r="AG6833" s="87" t="str">
        <x:v>RESOLVED</x:v>
      </x:c>
      <x:c r="AH6833" s="87" t="str">
        <x:v>CROP_VERIFIED</x:v>
      </x:c>
      <x:c r="AI6833" s="30"/>
      <x:c r="AJ6833" s="87" t="str">
        <x:v>clean</x:v>
      </x:c>
      <x:c r="AK6833" s="87" t="str">
        <x:v>clean-v0.28</x:v>
      </x:c>
      <x:c r="AL6833" s="87" t="str">
        <x:v>statgrad_clean_continuation_v0_28(2).xlsx</x:v>
      </x:c>
      <x:c r="AM6833" s="87" t="str">
        <x:v>INF_EGKR_S26_956</x:v>
      </x:c>
      <x:c r="AN6833" s="87" t="n">
        <x:v>18</x:v>
      </x:c>
    </x:row>
    <x:row r="6834">
      <x:c r="A6834" s="87" t="n">
        <x:v>6833</x:v>
      </x:c>
      <x:c r="B6834" s="87" t="str">
        <x:v>EGKR-S26-INF-956-18</x:v>
      </x:c>
      <x:c r="C6834" s="87" t="str">
        <x:v>ЕГКР</x:v>
      </x:c>
      <x:c r="D6834" s="87"/>
      <x:c r="E6834" s="87" t="str">
        <x:v>Весна 2026</x:v>
      </x:c>
      <x:c r="F6834" s="87" t="str">
        <x:v>18.04.2026</x:v>
      </x:c>
      <x:c r="G6834" s="87" t="str">
        <x:v>Информатика</x:v>
      </x:c>
      <x:c r="H6834" s="87" t="n">
        <x:v>11</x:v>
      </x:c>
      <x:c r="I6834" s="87"/>
      <x:c r="J6834" s="87" t="str">
        <x:v>956</x:v>
      </x:c>
      <x:c r="K6834" s="87" t="n">
        <x:v>18</x:v>
      </x:c>
      <x:c r="L6834" s="87" t="str">
        <x:v>Динамическое программирование / Робот</x:v>
      </x:c>
      <x:c r="M6834" s="30" t="str">
        <x:v>Полная формулировка задания №18 варианта 956 сохранена на странице по VIS_ID, но необходимый приложенный файл отсутствует в локальном архиве.</x:v>
      </x:c>
      <x:c r="N6834" s="30"/>
      <x:c r="O6834" s="30" t="str">
        <x:v>Числовой ответ не утверждается до появления соответствующего файла данных.</x:v>
      </x:c>
      <x:c r="P6834" s="30"/>
      <x:c r="Q6834" s="30" t="str">
        <x:v>Визуальная проверка задания + аудит вложений архива.</x:v>
      </x:c>
      <x:c r="R6834" s="30"/>
      <x:c r="S6834" s="30"/>
      <x:c r="T6834" s="30"/>
      <x:c r="U6834" s="30" t="str">
        <x:v>ATTACHMENT_MISSING.</x:v>
      </x:c>
      <x:c r="V6834" s="87" t="str">
        <x:v>ATTACHMENT_MISSING</x:v>
      </x:c>
      <x:c r="W6834" s="87"/>
      <x:c r="X6834" s="87" t="n">
        <x:v>6</x:v>
      </x:c>
      <x:c r="Y6834" s="87"/>
      <x:c r="Z6834" s="87"/>
      <x:c r="AA6834" s="87"/>
      <x:c r="AB6834" s="87"/>
      <x:c r="AC6834" s="87" t="str">
        <x:v>VIS-EGKR-INF-S26-TASK-956-P006</x:v>
      </x:c>
      <x:c r="AD6834" s="87"/>
      <x:c r="AE6834" s="87"/>
      <x:c r="AF6834" s="87" t="str">
        <x:v>VIS-EGKR-INF-S26-TASK-956-P006: 6</x:v>
      </x:c>
      <x:c r="AG6834" s="87" t="str">
        <x:v>RESOLVED</x:v>
      </x:c>
      <x:c r="AH6834" s="87" t="str">
        <x:v>CROP_VERIFIED</x:v>
      </x:c>
      <x:c r="AI6834" s="30"/>
      <x:c r="AJ6834" s="87" t="str">
        <x:v>clean</x:v>
      </x:c>
      <x:c r="AK6834" s="87" t="str">
        <x:v>clean-v0.28</x:v>
      </x:c>
      <x:c r="AL6834" s="87" t="str">
        <x:v>statgrad_clean_continuation_v0_28(2).xlsx</x:v>
      </x:c>
      <x:c r="AM6834" s="87" t="str">
        <x:v>INF_EGKR_S26_956</x:v>
      </x:c>
      <x:c r="AN6834" s="87" t="n">
        <x:v>19</x:v>
      </x:c>
    </x:row>
    <x:row r="6835">
      <x:c r="A6835" s="87" t="n">
        <x:v>6834</x:v>
      </x:c>
      <x:c r="B6835" s="87" t="str">
        <x:v>EGKR-S26-INF-956-19</x:v>
      </x:c>
      <x:c r="C6835" s="87" t="str">
        <x:v>ЕГКР</x:v>
      </x:c>
      <x:c r="D6835" s="87"/>
      <x:c r="E6835" s="87" t="str">
        <x:v>Весна 2026</x:v>
      </x:c>
      <x:c r="F6835" s="87" t="str">
        <x:v>18.04.2026</x:v>
      </x:c>
      <x:c r="G6835" s="87" t="str">
        <x:v>Информатика</x:v>
      </x:c>
      <x:c r="H6835" s="87" t="n">
        <x:v>11</x:v>
      </x:c>
      <x:c r="I6835" s="87"/>
      <x:c r="J6835" s="87" t="str">
        <x:v>956</x:v>
      </x:c>
      <x:c r="K6835" s="87" t="n">
        <x:v>19</x:v>
      </x:c>
      <x:c r="L6835" s="87" t="str">
        <x:v>Теория игр — позиция Вани</x:v>
      </x:c>
      <x:c r="M6835" s="30" t="str">
        <x:v>Задание линии 19: Теория игр — позиция Вани. Доступная формулировка и все таблицы/схемы сохранены на странице по VIS_ID.</x:v>
      </x:c>
      <x:c r="N6835" s="30" t="str">
        <x:v>41</x:v>
      </x:c>
      <x:c r="O6835" s="30" t="str">
        <x:v>Игровой анализ даёт минимальную позицию 41.</x:v>
      </x:c>
      <x:c r="P6835" s="30"/>
      <x:c r="Q6835" s="30" t="str">
        <x:v>Доступная исходная формулировка + независимая проверка результата.</x:v>
      </x:c>
      <x:c r="R6835" s="30" t="str">
        <x:v>41</x:v>
      </x:c>
      <x:c r="S6835" s="30"/>
      <x:c r="T6835" s="30"/>
      <x:c r="U6835" s="30" t="str">
        <x:v>Расхождений не выявлено.</x:v>
      </x:c>
      <x:c r="V6835" s="87" t="str">
        <x:v>VERIFIED</x:v>
      </x:c>
      <x:c r="W6835" s="87"/>
      <x:c r="X6835" s="87" t="n">
        <x:v>6</x:v>
      </x:c>
      <x:c r="Y6835" s="87"/>
      <x:c r="Z6835" s="87"/>
      <x:c r="AA6835" s="87"/>
      <x:c r="AB6835" s="87"/>
      <x:c r="AC6835" s="87" t="str">
        <x:v>VIS-EGKR-INF-S26-TASK-956-P006</x:v>
      </x:c>
      <x:c r="AD6835" s="87" t="str">
        <x:v>VIS-EGKR-INF-S26-ANSWER-956-P001</x:v>
      </x:c>
      <x:c r="AE6835" s="87"/>
      <x:c r="AF6835" s="87" t="str">
        <x:v>VIS-EGKR-INF-S26-TASK-956-P006: 6; VIS-EGKR-INF-S26-ANSWER-956-P001: 1</x:v>
      </x:c>
      <x:c r="AG6835" s="87" t="str">
        <x:v>RESOLVED</x:v>
      </x:c>
      <x:c r="AH6835" s="87" t="str">
        <x:v>CROP_VERIFIED</x:v>
      </x:c>
      <x:c r="AI6835" s="30"/>
      <x:c r="AJ6835" s="87" t="str">
        <x:v>clean</x:v>
      </x:c>
      <x:c r="AK6835" s="87" t="str">
        <x:v>clean-v0.28</x:v>
      </x:c>
      <x:c r="AL6835" s="87" t="str">
        <x:v>statgrad_clean_continuation_v0_28(2).xlsx</x:v>
      </x:c>
      <x:c r="AM6835" s="87" t="str">
        <x:v>INF_EGKR_S26_956</x:v>
      </x:c>
      <x:c r="AN6835" s="87" t="n">
        <x:v>20</x:v>
      </x:c>
    </x:row>
    <x:row r="6836">
      <x:c r="A6836" s="87" t="n">
        <x:v>6835</x:v>
      </x:c>
      <x:c r="B6836" s="87" t="str">
        <x:v>EGKR-S26-INF-956-20</x:v>
      </x:c>
      <x:c r="C6836" s="87" t="str">
        <x:v>ЕГКР</x:v>
      </x:c>
      <x:c r="D6836" s="87"/>
      <x:c r="E6836" s="87" t="str">
        <x:v>Весна 2026</x:v>
      </x:c>
      <x:c r="F6836" s="87" t="str">
        <x:v>18.04.2026</x:v>
      </x:c>
      <x:c r="G6836" s="87" t="str">
        <x:v>Информатика</x:v>
      </x:c>
      <x:c r="H6836" s="87" t="n">
        <x:v>11</x:v>
      </x:c>
      <x:c r="I6836" s="87"/>
      <x:c r="J6836" s="87" t="str">
        <x:v>956</x:v>
      </x:c>
      <x:c r="K6836" s="87" t="n">
        <x:v>20</x:v>
      </x:c>
      <x:c r="L6836" s="87" t="str">
        <x:v>Теория игр — второй ход Пети</x:v>
      </x:c>
      <x:c r="M6836" s="30" t="str">
        <x:v>Задание линии 20: Теория игр — второй ход Пети. Доступная формулировка и все таблицы/схемы сохранены на странице по VIS_ID.</x:v>
      </x:c>
      <x:c r="N6836" s="30" t="str">
        <x:v>36 40</x:v>
      </x:c>
      <x:c r="O6836" s="30" t="str">
        <x:v>Две минимальные позиции выигрыша вторым ходом: 36 и 40.</x:v>
      </x:c>
      <x:c r="P6836" s="30"/>
      <x:c r="Q6836" s="30" t="str">
        <x:v>Доступная исходная формулировка + независимая проверка результата.</x:v>
      </x:c>
      <x:c r="R6836" s="30" t="str">
        <x:v>36 40</x:v>
      </x:c>
      <x:c r="S6836" s="30"/>
      <x:c r="T6836" s="30"/>
      <x:c r="U6836" s="30" t="str">
        <x:v>Расхождений не выявлено.</x:v>
      </x:c>
      <x:c r="V6836" s="87" t="str">
        <x:v>VERIFIED</x:v>
      </x:c>
      <x:c r="W6836" s="87"/>
      <x:c r="X6836" s="87" t="n">
        <x:v>7</x:v>
      </x:c>
      <x:c r="Y6836" s="87"/>
      <x:c r="Z6836" s="87"/>
      <x:c r="AA6836" s="87"/>
      <x:c r="AB6836" s="87"/>
      <x:c r="AC6836" s="87" t="str">
        <x:v>VIS-EGKR-INF-S26-TASK-956-P007</x:v>
      </x:c>
      <x:c r="AD6836" s="87" t="str">
        <x:v>VIS-EGKR-INF-S26-ANSWER-956-P001</x:v>
      </x:c>
      <x:c r="AE6836" s="87"/>
      <x:c r="AF6836" s="87" t="str">
        <x:v>VIS-EGKR-INF-S26-TASK-956-P007: 7; VIS-EGKR-INF-S26-ANSWER-956-P001: 1</x:v>
      </x:c>
      <x:c r="AG6836" s="87" t="str">
        <x:v>RESOLVED</x:v>
      </x:c>
      <x:c r="AH6836" s="87" t="str">
        <x:v>CROP_VERIFIED</x:v>
      </x:c>
      <x:c r="AI6836" s="30"/>
      <x:c r="AJ6836" s="87" t="str">
        <x:v>clean</x:v>
      </x:c>
      <x:c r="AK6836" s="87" t="str">
        <x:v>clean-v0.28</x:v>
      </x:c>
      <x:c r="AL6836" s="87" t="str">
        <x:v>statgrad_clean_continuation_v0_28(2).xlsx</x:v>
      </x:c>
      <x:c r="AM6836" s="87" t="str">
        <x:v>INF_EGKR_S26_956</x:v>
      </x:c>
      <x:c r="AN6836" s="87" t="n">
        <x:v>21</x:v>
      </x:c>
    </x:row>
    <x:row r="6837">
      <x:c r="A6837" s="87" t="n">
        <x:v>6836</x:v>
      </x:c>
      <x:c r="B6837" s="87" t="str">
        <x:v>EGKR-S26-INF-956-21</x:v>
      </x:c>
      <x:c r="C6837" s="87" t="str">
        <x:v>ЕГКР</x:v>
      </x:c>
      <x:c r="D6837" s="87"/>
      <x:c r="E6837" s="87" t="str">
        <x:v>Весна 2026</x:v>
      </x:c>
      <x:c r="F6837" s="87" t="str">
        <x:v>18.04.2026</x:v>
      </x:c>
      <x:c r="G6837" s="87" t="str">
        <x:v>Информатика</x:v>
      </x:c>
      <x:c r="H6837" s="87" t="n">
        <x:v>11</x:v>
      </x:c>
      <x:c r="I6837" s="87"/>
      <x:c r="J6837" s="87" t="str">
        <x:v>956</x:v>
      </x:c>
      <x:c r="K6837" s="87" t="n">
        <x:v>21</x:v>
      </x:c>
      <x:c r="L6837" s="87" t="str">
        <x:v>Теория игр — стратегия Вани</x:v>
      </x:c>
      <x:c r="M6837" s="30" t="str">
        <x:v>Задание линии 21: Теория игр — стратегия Вани. Доступная формулировка и все таблицы/схемы сохранены на странице по VIS_ID.</x:v>
      </x:c>
      <x:c r="N6837" s="30" t="str">
        <x:v>35</x:v>
      </x:c>
      <x:c r="O6837" s="30" t="str">
        <x:v>Минимальная позиция стратегии Вани за один или два хода: 35.</x:v>
      </x:c>
      <x:c r="P6837" s="30"/>
      <x:c r="Q6837" s="30" t="str">
        <x:v>Доступная исходная формулировка + независимая проверка результата.</x:v>
      </x:c>
      <x:c r="R6837" s="30" t="str">
        <x:v>35</x:v>
      </x:c>
      <x:c r="S6837" s="30"/>
      <x:c r="T6837" s="30"/>
      <x:c r="U6837" s="30" t="str">
        <x:v>Расхождений не выявлено.</x:v>
      </x:c>
      <x:c r="V6837" s="87" t="str">
        <x:v>VERIFIED</x:v>
      </x:c>
      <x:c r="W6837" s="87"/>
      <x:c r="X6837" s="87" t="n">
        <x:v>7</x:v>
      </x:c>
      <x:c r="Y6837" s="87"/>
      <x:c r="Z6837" s="87"/>
      <x:c r="AA6837" s="87"/>
      <x:c r="AB6837" s="87"/>
      <x:c r="AC6837" s="87" t="str">
        <x:v>VIS-EGKR-INF-S26-TASK-956-P007</x:v>
      </x:c>
      <x:c r="AD6837" s="87" t="str">
        <x:v>VIS-EGKR-INF-S26-ANSWER-956-P001</x:v>
      </x:c>
      <x:c r="AE6837" s="87"/>
      <x:c r="AF6837" s="87" t="str">
        <x:v>VIS-EGKR-INF-S26-TASK-956-P007: 7; VIS-EGKR-INF-S26-ANSWER-956-P001: 1</x:v>
      </x:c>
      <x:c r="AG6837" s="87" t="str">
        <x:v>RESOLVED</x:v>
      </x:c>
      <x:c r="AH6837" s="87" t="str">
        <x:v>CROP_VERIFIED</x:v>
      </x:c>
      <x:c r="AI6837" s="30"/>
      <x:c r="AJ6837" s="87" t="str">
        <x:v>clean</x:v>
      </x:c>
      <x:c r="AK6837" s="87" t="str">
        <x:v>clean-v0.28</x:v>
      </x:c>
      <x:c r="AL6837" s="87" t="str">
        <x:v>statgrad_clean_continuation_v0_28(2).xlsx</x:v>
      </x:c>
      <x:c r="AM6837" s="87" t="str">
        <x:v>INF_EGKR_S26_956</x:v>
      </x:c>
      <x:c r="AN6837" s="87" t="n">
        <x:v>22</x:v>
      </x:c>
    </x:row>
    <x:row r="6838">
      <x:c r="A6838" s="87" t="n">
        <x:v>6837</x:v>
      </x:c>
      <x:c r="B6838" s="87" t="str">
        <x:v>EGKR-S26-INF-956-22</x:v>
      </x:c>
      <x:c r="C6838" s="87" t="str">
        <x:v>ЕГКР</x:v>
      </x:c>
      <x:c r="D6838" s="87"/>
      <x:c r="E6838" s="87" t="str">
        <x:v>Весна 2026</x:v>
      </x:c>
      <x:c r="F6838" s="87" t="str">
        <x:v>18.04.2026</x:v>
      </x:c>
      <x:c r="G6838" s="87" t="str">
        <x:v>Информатика</x:v>
      </x:c>
      <x:c r="H6838" s="87" t="n">
        <x:v>11</x:v>
      </x:c>
      <x:c r="I6838" s="87"/>
      <x:c r="J6838" s="87" t="str">
        <x:v>956</x:v>
      </x:c>
      <x:c r="K6838" s="87" t="n">
        <x:v>22</x:v>
      </x:c>
      <x:c r="L6838" s="87" t="str">
        <x:v>Зависимости вычислительных процессов</x:v>
      </x:c>
      <x:c r="M6838" s="30" t="str">
        <x:v>Полная формулировка задания №22 варианта 956 сохранена на странице по VIS_ID, но необходимый приложенный файл отсутствует в локальном архиве.</x:v>
      </x:c>
      <x:c r="N6838" s="30"/>
      <x:c r="O6838" s="30" t="str">
        <x:v>Числовой ответ не утверждается до появления соответствующего файла данных.</x:v>
      </x:c>
      <x:c r="P6838" s="30"/>
      <x:c r="Q6838" s="30" t="str">
        <x:v>Визуальная проверка задания + аудит вложений архива.</x:v>
      </x:c>
      <x:c r="R6838" s="30"/>
      <x:c r="S6838" s="30"/>
      <x:c r="T6838" s="30"/>
      <x:c r="U6838" s="30" t="str">
        <x:v>ATTACHMENT_MISSING.</x:v>
      </x:c>
      <x:c r="V6838" s="87" t="str">
        <x:v>ATTACHMENT_MISSING</x:v>
      </x:c>
      <x:c r="W6838" s="87"/>
      <x:c r="X6838" s="87" t="n">
        <x:v>7</x:v>
      </x:c>
      <x:c r="Y6838" s="87"/>
      <x:c r="Z6838" s="87"/>
      <x:c r="AA6838" s="87"/>
      <x:c r="AB6838" s="87"/>
      <x:c r="AC6838" s="87" t="str">
        <x:v>VIS-EGKR-INF-S26-TASK-956-P007</x:v>
      </x:c>
      <x:c r="AD6838" s="87"/>
      <x:c r="AE6838" s="87"/>
      <x:c r="AF6838" s="87" t="str">
        <x:v>VIS-EGKR-INF-S26-TASK-956-P007: 7</x:v>
      </x:c>
      <x:c r="AG6838" s="87" t="str">
        <x:v>RESOLVED</x:v>
      </x:c>
      <x:c r="AH6838" s="87" t="str">
        <x:v>CROP_VERIFIED</x:v>
      </x:c>
      <x:c r="AI6838" s="30"/>
      <x:c r="AJ6838" s="87" t="str">
        <x:v>clean</x:v>
      </x:c>
      <x:c r="AK6838" s="87" t="str">
        <x:v>clean-v0.28</x:v>
      </x:c>
      <x:c r="AL6838" s="87" t="str">
        <x:v>statgrad_clean_continuation_v0_28(2).xlsx</x:v>
      </x:c>
      <x:c r="AM6838" s="87" t="str">
        <x:v>INF_EGKR_S26_956</x:v>
      </x:c>
      <x:c r="AN6838" s="87" t="n">
        <x:v>23</x:v>
      </x:c>
    </x:row>
    <x:row r="6839">
      <x:c r="A6839" s="87" t="n">
        <x:v>6838</x:v>
      </x:c>
      <x:c r="B6839" s="87" t="str">
        <x:v>EGKR-S26-INF-956-23</x:v>
      </x:c>
      <x:c r="C6839" s="87" t="str">
        <x:v>ЕГКР</x:v>
      </x:c>
      <x:c r="D6839" s="87"/>
      <x:c r="E6839" s="87" t="str">
        <x:v>Весна 2026</x:v>
      </x:c>
      <x:c r="F6839" s="87" t="str">
        <x:v>18.04.2026</x:v>
      </x:c>
      <x:c r="G6839" s="87" t="str">
        <x:v>Информатика</x:v>
      </x:c>
      <x:c r="H6839" s="87" t="n">
        <x:v>11</x:v>
      </x:c>
      <x:c r="I6839" s="87"/>
      <x:c r="J6839" s="87" t="str">
        <x:v>956</x:v>
      </x:c>
      <x:c r="K6839" s="87" t="n">
        <x:v>23</x:v>
      </x:c>
      <x:c r="L6839" s="87" t="str">
        <x:v>Исполнитель и количество программ</x:v>
      </x:c>
      <x:c r="M6839" s="30" t="str">
        <x:v>Задание линии 23: Исполнитель и количество программ. Доступная формулировка и все таблицы/схемы сохранены на странице по VIS_ID.</x:v>
      </x:c>
      <x:c r="N6839" s="30" t="str">
        <x:v>80</x:v>
      </x:c>
      <x:c r="O6839" s="30" t="str">
        <x:v>Динамический подсчёт: 5 путей 76→41 и 16 путей 41→12 без 73; всего 80.</x:v>
      </x:c>
      <x:c r="P6839" s="30"/>
      <x:c r="Q6839" s="30" t="str">
        <x:v>Доступная исходная формулировка + независимая проверка результата.</x:v>
      </x:c>
      <x:c r="R6839" s="30" t="str">
        <x:v>80</x:v>
      </x:c>
      <x:c r="S6839" s="30"/>
      <x:c r="T6839" s="30"/>
      <x:c r="U6839" s="30" t="str">
        <x:v>Расхождений не выявлено.</x:v>
      </x:c>
      <x:c r="V6839" s="87" t="str">
        <x:v>VERIFIED</x:v>
      </x:c>
      <x:c r="W6839" s="87"/>
      <x:c r="X6839" s="87" t="n">
        <x:v>7</x:v>
      </x:c>
      <x:c r="Y6839" s="87"/>
      <x:c r="Z6839" s="87"/>
      <x:c r="AA6839" s="87"/>
      <x:c r="AB6839" s="87"/>
      <x:c r="AC6839" s="87" t="str">
        <x:v>VIS-EGKR-INF-S26-TASK-956-P007</x:v>
      </x:c>
      <x:c r="AD6839" s="87" t="str">
        <x:v>VIS-EGKR-INF-S26-ANSWER-956-P002</x:v>
      </x:c>
      <x:c r="AE6839" s="87"/>
      <x:c r="AF6839" s="87" t="str">
        <x:v>VIS-EGKR-INF-S26-TASK-956-P007: 7; VIS-EGKR-INF-S26-ANSWER-956-P002: 2</x:v>
      </x:c>
      <x:c r="AG6839" s="87" t="str">
        <x:v>RESOLVED</x:v>
      </x:c>
      <x:c r="AH6839" s="87" t="str">
        <x:v>CROP_VERIFIED</x:v>
      </x:c>
      <x:c r="AI6839" s="30"/>
      <x:c r="AJ6839" s="87" t="str">
        <x:v>clean</x:v>
      </x:c>
      <x:c r="AK6839" s="87" t="str">
        <x:v>clean-v0.28</x:v>
      </x:c>
      <x:c r="AL6839" s="87" t="str">
        <x:v>statgrad_clean_continuation_v0_28(2).xlsx</x:v>
      </x:c>
      <x:c r="AM6839" s="87" t="str">
        <x:v>INF_EGKR_S26_956</x:v>
      </x:c>
      <x:c r="AN6839" s="87" t="n">
        <x:v>24</x:v>
      </x:c>
    </x:row>
    <x:row r="6840">
      <x:c r="A6840" s="87" t="n">
        <x:v>6839</x:v>
      </x:c>
      <x:c r="B6840" s="87" t="str">
        <x:v>EGKR-S26-INF-956-24</x:v>
      </x:c>
      <x:c r="C6840" s="87" t="str">
        <x:v>ЕГКР</x:v>
      </x:c>
      <x:c r="D6840" s="87"/>
      <x:c r="E6840" s="87" t="str">
        <x:v>Весна 2026</x:v>
      </x:c>
      <x:c r="F6840" s="87" t="str">
        <x:v>18.04.2026</x:v>
      </x:c>
      <x:c r="G6840" s="87" t="str">
        <x:v>Информатика</x:v>
      </x:c>
      <x:c r="H6840" s="87" t="n">
        <x:v>11</x:v>
      </x:c>
      <x:c r="I6840" s="87"/>
      <x:c r="J6840" s="87" t="str">
        <x:v>956</x:v>
      </x:c>
      <x:c r="K6840" s="87" t="n">
        <x:v>24</x:v>
      </x:c>
      <x:c r="L6840" s="87" t="str">
        <x:v>Обработка строк</x:v>
      </x:c>
      <x:c r="M6840" s="30" t="str">
        <x:v>Полная формулировка задания №24 варианта 956 сохранена на странице по VIS_ID, но необходимый приложенный файл отсутствует в локальном архиве.</x:v>
      </x:c>
      <x:c r="N6840" s="30"/>
      <x:c r="O6840" s="30" t="str">
        <x:v>В ответном DOCX сохранён исходный скрипт, но без входного файла получить и проверить числовой результат невозможно.</x:v>
      </x:c>
      <x:c r="P6840" s="30"/>
      <x:c r="Q6840" s="30" t="str">
        <x:v>Визуальная проверка задания + аудит вложений архива.</x:v>
      </x:c>
      <x:c r="R6840" s="30"/>
      <x:c r="S6840" s="30"/>
      <x:c r="T6840" s="30"/>
      <x:c r="U6840" s="30" t="str">
        <x:v>ATTACHMENT_MISSING.</x:v>
      </x:c>
      <x:c r="V6840" s="87" t="str">
        <x:v>ATTACHMENT_MISSING</x:v>
      </x:c>
      <x:c r="W6840" s="87"/>
      <x:c r="X6840" s="87" t="n">
        <x:v>7</x:v>
      </x:c>
      <x:c r="Y6840" s="87"/>
      <x:c r="Z6840" s="87"/>
      <x:c r="AA6840" s="87"/>
      <x:c r="AB6840" s="87"/>
      <x:c r="AC6840" s="87" t="str">
        <x:v>VIS-EGKR-INF-S26-TASK-956-P007</x:v>
      </x:c>
      <x:c r="AD6840" s="87"/>
      <x:c r="AE6840" s="87"/>
      <x:c r="AF6840" s="87" t="str">
        <x:v>VIS-EGKR-INF-S26-TASK-956-P007: 7</x:v>
      </x:c>
      <x:c r="AG6840" s="87" t="str">
        <x:v>RESOLVED</x:v>
      </x:c>
      <x:c r="AH6840" s="87" t="str">
        <x:v>CROP_VERIFIED</x:v>
      </x:c>
      <x:c r="AI6840" s="30"/>
      <x:c r="AJ6840" s="87" t="str">
        <x:v>clean</x:v>
      </x:c>
      <x:c r="AK6840" s="87" t="str">
        <x:v>clean-v0.28</x:v>
      </x:c>
      <x:c r="AL6840" s="87" t="str">
        <x:v>statgrad_clean_continuation_v0_28(2).xlsx</x:v>
      </x:c>
      <x:c r="AM6840" s="87" t="str">
        <x:v>INF_EGKR_S26_956</x:v>
      </x:c>
      <x:c r="AN6840" s="87" t="n">
        <x:v>25</x:v>
      </x:c>
    </x:row>
    <x:row r="6841">
      <x:c r="A6841" s="87" t="n">
        <x:v>6840</x:v>
      </x:c>
      <x:c r="B6841" s="87" t="str">
        <x:v>EGKR-S26-INF-956-25</x:v>
      </x:c>
      <x:c r="C6841" s="87" t="str">
        <x:v>ЕГКР</x:v>
      </x:c>
      <x:c r="D6841" s="87"/>
      <x:c r="E6841" s="87" t="str">
        <x:v>Весна 2026</x:v>
      </x:c>
      <x:c r="F6841" s="87" t="str">
        <x:v>18.04.2026</x:v>
      </x:c>
      <x:c r="G6841" s="87" t="str">
        <x:v>Информатика</x:v>
      </x:c>
      <x:c r="H6841" s="87" t="n">
        <x:v>11</x:v>
      </x:c>
      <x:c r="I6841" s="87"/>
      <x:c r="J6841" s="87" t="str">
        <x:v>956</x:v>
      </x:c>
      <x:c r="K6841" s="87" t="n">
        <x:v>25</x:v>
      </x:c>
      <x:c r="L6841" s="87" t="str">
        <x:v>Теория чисел и программирование</x:v>
      </x:c>
      <x:c r="M6841" s="30" t="str">
        <x:v>Доступная формулировка задания №25 варианта 956 сохранена на странице по VIS_ID. Официальный итоговый ответ в локальном архиве отсутствует.</x:v>
      </x:c>
      <x:c r="N6841" s="30" t="str">
        <x:v>9001609 24133; 9002887 38639; 9006149 38653; 9012167 3853; 9012373 23531</x:v>
      </x:c>
      <x:c r="O6841" s="30" t="str">
        <x:v>Результат получен независимым точным перебором и факторизацией; каждое найденное число проверено как произведение ровно двух простых множителей с требуемым количеством заданной цифры.</x:v>
      </x:c>
      <x:c r="P6841" s="30"/>
      <x:c r="Q6841" s="30" t="str">
        <x:v>Независимая программа + повторная проверка простоты и факторизации.</x:v>
      </x:c>
      <x:c r="R6841" s="30"/>
      <x:c r="S6841" s="30"/>
      <x:c r="T6841" s="30"/>
      <x:c r="U6841" s="30" t="str">
        <x:v>MODEL_READY: детерминированный вычислительный результат без официального ключа.</x:v>
      </x:c>
      <x:c r="V6841" s="87" t="str">
        <x:v>MODEL_READY</x:v>
      </x:c>
      <x:c r="W6841" s="87"/>
      <x:c r="X6841" s="87" t="n">
        <x:v>8</x:v>
      </x:c>
      <x:c r="Y6841" s="87"/>
      <x:c r="Z6841" s="87"/>
      <x:c r="AA6841" s="87"/>
      <x:c r="AB6841" s="87"/>
      <x:c r="AC6841" s="87" t="str">
        <x:v>VIS-EGKR-INF-S26-TASK-956-P008</x:v>
      </x:c>
      <x:c r="AD6841" s="87" t="str">
        <x:v>INDEPENDENT_MODEL</x:v>
      </x:c>
      <x:c r="AE6841" s="87"/>
      <x:c r="AF6841" s="87" t="str">
        <x:v>VIS-EGKR-INF-S26-TASK-956-P008: 8</x:v>
      </x:c>
      <x:c r="AG6841" s="87" t="str">
        <x:v>RESOLVED</x:v>
      </x:c>
      <x:c r="AH6841" s="87" t="str">
        <x:v>CROP_VERIFIED</x:v>
      </x:c>
      <x:c r="AI6841" s="30"/>
      <x:c r="AJ6841" s="87" t="str">
        <x:v>clean</x:v>
      </x:c>
      <x:c r="AK6841" s="87" t="str">
        <x:v>clean-v0.28</x:v>
      </x:c>
      <x:c r="AL6841" s="87" t="str">
        <x:v>statgrad_clean_continuation_v0_28(2).xlsx</x:v>
      </x:c>
      <x:c r="AM6841" s="87" t="str">
        <x:v>INF_EGKR_S26_956</x:v>
      </x:c>
      <x:c r="AN6841" s="87" t="n">
        <x:v>26</x:v>
      </x:c>
    </x:row>
    <x:row r="6842">
      <x:c r="A6842" s="87" t="n">
        <x:v>6841</x:v>
      </x:c>
      <x:c r="B6842" s="87" t="str">
        <x:v>EGKR-S26-INF-956-26</x:v>
      </x:c>
      <x:c r="C6842" s="87" t="str">
        <x:v>ЕГКР</x:v>
      </x:c>
      <x:c r="D6842" s="87"/>
      <x:c r="E6842" s="87" t="str">
        <x:v>Весна 2026</x:v>
      </x:c>
      <x:c r="F6842" s="87" t="str">
        <x:v>18.04.2026</x:v>
      </x:c>
      <x:c r="G6842" s="87" t="str">
        <x:v>Информатика</x:v>
      </x:c>
      <x:c r="H6842" s="87" t="n">
        <x:v>11</x:v>
      </x:c>
      <x:c r="I6842" s="87"/>
      <x:c r="J6842" s="87" t="str">
        <x:v>956</x:v>
      </x:c>
      <x:c r="K6842" s="87" t="n">
        <x:v>26</x:v>
      </x:c>
      <x:c r="L6842" s="87" t="str">
        <x:v>Интервальное планирование</x:v>
      </x:c>
      <x:c r="M6842" s="30" t="str">
        <x:v>Полная формулировка задания №26 варианта 956 сохранена на странице по VIS_ID, но необходимый приложенный файл отсутствует в локальном архиве.</x:v>
      </x:c>
      <x:c r="N6842" s="30"/>
      <x:c r="O6842" s="30" t="str">
        <x:v>В ответном DOCX сохранён исходный скрипт, но без входного файла получить и проверить числовой результат невозможно.</x:v>
      </x:c>
      <x:c r="P6842" s="30"/>
      <x:c r="Q6842" s="30" t="str">
        <x:v>Визуальная проверка задания + аудит вложений архива.</x:v>
      </x:c>
      <x:c r="R6842" s="30"/>
      <x:c r="S6842" s="30"/>
      <x:c r="T6842" s="30"/>
      <x:c r="U6842" s="30" t="str">
        <x:v>ATTACHMENT_MISSING.</x:v>
      </x:c>
      <x:c r="V6842" s="87" t="str">
        <x:v>ATTACHMENT_MISSING</x:v>
      </x:c>
      <x:c r="W6842" s="87"/>
      <x:c r="X6842" s="87" t="n">
        <x:v>8</x:v>
      </x:c>
      <x:c r="Y6842" s="87"/>
      <x:c r="Z6842" s="87"/>
      <x:c r="AA6842" s="87"/>
      <x:c r="AB6842" s="87"/>
      <x:c r="AC6842" s="87" t="str">
        <x:v>VIS-EGKR-INF-S26-TASK-956-P008</x:v>
      </x:c>
      <x:c r="AD6842" s="87"/>
      <x:c r="AE6842" s="87"/>
      <x:c r="AF6842" s="87" t="str">
        <x:v>VIS-EGKR-INF-S26-TASK-956-P008: 8; VIS-EGKR-INF-S26-TASK-956-P009: 9</x:v>
      </x:c>
      <x:c r="AG6842" s="87" t="str">
        <x:v>RESOLVED</x:v>
      </x:c>
      <x:c r="AH6842" s="87" t="str">
        <x:v>CROP_VERIFIED</x:v>
      </x:c>
      <x:c r="AI6842" s="30"/>
      <x:c r="AJ6842" s="87" t="str">
        <x:v>clean</x:v>
      </x:c>
      <x:c r="AK6842" s="87" t="str">
        <x:v>clean-v0.28</x:v>
      </x:c>
      <x:c r="AL6842" s="87" t="str">
        <x:v>statgrad_clean_continuation_v0_28(2).xlsx</x:v>
      </x:c>
      <x:c r="AM6842" s="87" t="str">
        <x:v>INF_EGKR_S26_956</x:v>
      </x:c>
      <x:c r="AN6842" s="87" t="n">
        <x:v>27</x:v>
      </x:c>
    </x:row>
    <x:row r="6843">
      <x:c r="A6843" s="87" t="n">
        <x:v>6842</x:v>
      </x:c>
      <x:c r="B6843" s="87" t="str">
        <x:v>EGKR-S26-INF-956-27</x:v>
      </x:c>
      <x:c r="C6843" s="87" t="str">
        <x:v>ЕГКР</x:v>
      </x:c>
      <x:c r="D6843" s="87"/>
      <x:c r="E6843" s="87" t="str">
        <x:v>Весна 2026</x:v>
      </x:c>
      <x:c r="F6843" s="87" t="str">
        <x:v>18.04.2026</x:v>
      </x:c>
      <x:c r="G6843" s="87" t="str">
        <x:v>Информатика</x:v>
      </x:c>
      <x:c r="H6843" s="87" t="n">
        <x:v>11</x:v>
      </x:c>
      <x:c r="I6843" s="87"/>
      <x:c r="J6843" s="87" t="str">
        <x:v>956</x:v>
      </x:c>
      <x:c r="K6843" s="87" t="n">
        <x:v>27</x:v>
      </x:c>
      <x:c r="L6843" s="87" t="str">
        <x:v>Кластеризация</x:v>
      </x:c>
      <x:c r="M6843" s="30" t="str">
        <x:v>Полная формулировка задания №27 варианта 956 сохранена на странице по VIS_ID, но необходимый приложенный файл отсутствует в локальном архиве.</x:v>
      </x:c>
      <x:c r="N6843" s="30"/>
      <x:c r="O6843" s="30" t="str">
        <x:v>Ответный DOCX заявляет скрипты для заданий 24–27, но фактически код задания 27 отсутствует; входные файлы также отсутствуют.</x:v>
      </x:c>
      <x:c r="P6843" s="30"/>
      <x:c r="Q6843" s="30" t="str">
        <x:v>Визуальная проверка задания + аудит вложений архива.</x:v>
      </x:c>
      <x:c r="R6843" s="30"/>
      <x:c r="S6843" s="30"/>
      <x:c r="T6843" s="30"/>
      <x:c r="U6843" s="30" t="str">
        <x:v>ATTACHMENT_MISSING.</x:v>
      </x:c>
      <x:c r="V6843" s="87" t="str">
        <x:v>ATTACHMENT_MISSING</x:v>
      </x:c>
      <x:c r="W6843" s="87"/>
      <x:c r="X6843" s="87" t="n">
        <x:v>10</x:v>
      </x:c>
      <x:c r="Y6843" s="87"/>
      <x:c r="Z6843" s="87"/>
      <x:c r="AA6843" s="87"/>
      <x:c r="AB6843" s="87"/>
      <x:c r="AC6843" s="87" t="str">
        <x:v>VIS-EGKR-INF-S26-TASK-956-P010</x:v>
      </x:c>
      <x:c r="AD6843" s="87"/>
      <x:c r="AE6843" s="87"/>
      <x:c r="AF6843" s="87" t="str">
        <x:v>VIS-EGKR-INF-S26-TASK-956-P010: 10; VIS-EGKR-INF-S26-TASK-956-P011: 11</x:v>
      </x:c>
      <x:c r="AG6843" s="87" t="str">
        <x:v>RESOLVED</x:v>
      </x:c>
      <x:c r="AH6843" s="87" t="str">
        <x:v>CROP_VERIFIED</x:v>
      </x:c>
      <x:c r="AI6843" s="30"/>
      <x:c r="AJ6843" s="87" t="str">
        <x:v>clean</x:v>
      </x:c>
      <x:c r="AK6843" s="87" t="str">
        <x:v>clean-v0.28</x:v>
      </x:c>
      <x:c r="AL6843" s="87" t="str">
        <x:v>statgrad_clean_continuation_v0_28(2).xlsx</x:v>
      </x:c>
      <x:c r="AM6843" s="87" t="str">
        <x:v>INF_EGKR_S26_956</x:v>
      </x:c>
      <x:c r="AN6843" s="87" t="n">
        <x:v>28</x:v>
      </x:c>
    </x:row>
  </x:sheetData>
  <x:conditionalFormatting sqref="V2:V6843">
    <x:cfRule type="expression" dxfId="0" priority="1">
      <x:formula>$V2="VERIFIED"</x:formula>
    </x:cfRule>
    <x:cfRule type="expression" dxfId="1" priority="2">
      <x:formula>$V2="KEY_MISMATCH"</x:formula>
    </x:cfRule>
    <x:cfRule type="expression" dxfId="2" priority="3">
      <x:formula>$V2="MODEL_READY"</x:formula>
    </x:cfRule>
    <x:cfRule type="expression" dxfId="3" priority="4">
      <x:formula>$V2="SOURCE_GAP_RECOVERED"</x:formula>
    </x:cfRule>
    <x:cfRule type="expression" dxfId="4" priority="5">
      <x:formula>$V2="SOURCE_GAP"</x:formula>
    </x:cfRule>
    <x:cfRule type="expression" dxfId="5" priority="6">
      <x:formula>$V2="SOURCE_ONLY"</x:formula>
    </x:cfRule>
    <x:cfRule type="expression" dxfId="6" priority="7">
      <x:formula>$V2="AUDIO_SOURCE_ONLY"</x:formula>
    </x:cfRule>
    <x:cfRule type="expression" dxfId="7" priority="8">
      <x:formula>$V2="AUDIO_PROVISIONAL"</x:formula>
    </x:cfRule>
    <x:cfRule type="expression" dxfId="8" priority="9">
      <x:formula>$V2="AUDIO_PENDING"</x:formula>
    </x:cfRule>
    <x:cfRule type="expression" dxfId="9" priority="10">
      <x:formula>$V2="AUDIO_LOCKED"</x:formula>
    </x:cfRule>
    <x:cfRule type="expression" dxfId="10" priority="11">
      <x:formula>$V2="AUDIO_DERIVED"</x:formula>
    </x:cfRule>
    <x:cfRule type="expression" dxfId="11" priority="12">
      <x:formula>$V2="ATTACHMENT_MISSING"</x:formula>
    </x:cfRule>
    <x:cfRule type="expression" dxfId="12" priority="13">
      <x:formula>$V2="CRITERIA_ONLY"</x:formula>
    </x:cfRule>
    <x:cfRule type="expression" dxfId="13" priority="14">
      <x:formula>$V2="TASK_DEFECT_RECOVERED"</x:formula>
    </x:cfRule>
    <x:cfRule type="expression" dxfId="14" priority="15">
      <x:formula>$V2="TASK_DEFECT"</x:formula>
    </x:cfRule>
    <x:cfRule type="expression" dxfId="15" priority="16">
      <x:formula>$V2="MODEL_SOURCE_DEFECT"</x:formula>
    </x:cfRule>
    <x:cfRule type="expression" dxfId="16" priority="17">
      <x:formula>$V2="AMBIGUOUS"</x:formula>
    </x:cfRule>
  </x:conditionalFormatting>
  <x:conditionalFormatting sqref="AG2:AG6843">
    <x:cfRule type="expression" dxfId="17" priority="18">
      <x:formula>$AG2="RESOLVED"</x:formula>
    </x:cfRule>
    <x:cfRule type="expression" dxfId="18" priority="19">
      <x:formula>ISNUMBER(SEARCH("SOURCE_REGENERATED",$AG2))</x:formula>
    </x:cfRule>
    <x:cfRule type="expression" dxfId="19" priority="20">
      <x:formula>ISNUMBER(SEARCH("HASH_ONLY_QA",$AG2))</x:formula>
    </x:cfRule>
  </x:conditionalFormatting>
  <x:pageMargins left="0.7" right="0.7" top="0.75" bottom="0.75" header="0.3" footer="0.3"/>
  <x:tableParts count="1">
    <x:tablePart xmlns:r="http://schemas.openxmlformats.org/officeDocument/2006/relationships" r:id="R5bcbff6568c14c6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0" hidden="0" customWidth="1"/>
    <x:col min="4" max="4" width="22" hidden="0" customWidth="1"/>
    <x:col min="5" max="5" width="18" hidden="0" customWidth="1"/>
    <x:col min="6" max="6" width="34" hidden="0" customWidth="1"/>
    <x:col min="7" max="7" width="10" hidden="0" customWidth="1"/>
    <x:col min="8" max="8" width="10" hidden="0" customWidth="1"/>
    <x:col min="9" max="9" width="14" hidden="0" customWidth="1"/>
    <x:col min="10" max="10" width="28" hidden="0" customWidth="1"/>
    <x:col min="11" max="11" width="46" hidden="0" customWidth="1"/>
    <x:col min="12" max="12" width="34" hidden="0" customWidth="1"/>
    <x:col min="13" max="13" width="26" hidden="0" customWidth="1"/>
    <x:col min="14" max="14" width="38" hidden="0" customWidth="1"/>
    <x:col min="15" max="15" width="38" hidden="0" customWidth="1"/>
    <x:col min="16" max="16" width="68" hidden="0" customWidth="1"/>
    <x:col min="17" max="17" width="60" hidden="0" customWidth="1"/>
    <x:col min="18" max="18" width="42" hidden="0" customWidth="1"/>
    <x:col min="19" max="19" width="14" hidden="0" customWidth="1"/>
  </x:cols>
  <x:sheetData>
    <x:row r="1" ht="36" customHeight="1">
      <x:c r="A1" s="92" t="str">
        <x:v>VIS_ID</x:v>
      </x:c>
      <x:c r="B1" s="92" t="str">
        <x:v>Предметы</x:v>
      </x:c>
      <x:c r="C1" s="92" t="str">
        <x:v>Описание</x:v>
      </x:c>
      <x:c r="D1" s="92" t="str">
        <x:v>Вариант / набор</x:v>
      </x:c>
      <x:c r="E1" s="92" t="str">
        <x:v>Тип визуала</x:v>
      </x:c>
      <x:c r="F1" s="92" t="str">
        <x:v>Источник</x:v>
      </x:c>
      <x:c r="G1" s="92" t="str">
        <x:v>Страница</x:v>
      </x:c>
      <x:c r="H1" s="92" t="str">
        <x:v>Версия</x:v>
      </x:c>
      <x:c r="I1" s="92" t="str">
        <x:v>Связано заданий</x:v>
      </x:c>
      <x:c r="J1" s="92" t="str">
        <x:v>Роли</x:v>
      </x:c>
      <x:c r="K1" s="92" t="str">
        <x:v>Примеры Task ID</x:v>
      </x:c>
      <x:c r="L1" s="92" t="str">
        <x:v>QA / статус</x:v>
      </x:c>
      <x:c r="M1" s="92" t="str">
        <x:v>Происхождение asset</x:v>
      </x:c>
      <x:c r="N1" s="92" t="str">
        <x:v>Asset file</x:v>
      </x:c>
      <x:c r="O1" s="92" t="str">
        <x:v>Thumbnail</x:v>
      </x:c>
      <x:c r="P1" s="92" t="str">
        <x:v>Asset SHA-256</x:v>
      </x:c>
      <x:c r="Q1" s="92" t="str">
        <x:v>Канонический путь</x:v>
      </x:c>
      <x:c r="R1" s="92" t="str">
        <x:v>Примечание</x:v>
      </x:c>
      <x:c r="S1" t="str">
        <x:v>Открыть</x:v>
      </x:c>
    </x:row>
    <x:row r="2">
      <x:c r="A2" s="87" t="str">
        <x:v>VIS-BIO-DEC-CRIT-12-P001</x:v>
      </x:c>
      <x:c r="B2" s="30" t="str">
        <x:v>Биология</x:v>
      </x:c>
      <x:c r="C2" s="30"/>
      <x:c r="D2" s="30" t="str">
        <x:v>БИ2510201, БИ2510202</x:v>
      </x:c>
      <x:c r="E2" s="87" t="str">
        <x:v>CRIT</x:v>
      </x:c>
      <x:c r="F2" s="30" t="str">
        <x:v>Kriterii_BI11_19122025.pdf</x:v>
      </x:c>
      <x:c r="G2" s="87" t="str">
        <x:v>1</x:v>
      </x:c>
      <x:c r="H2" s="87" t="str">
        <x:v>v0.89</x:v>
      </x:c>
      <x:c r="I2" s="87" t="str">
        <x:v>60</x:v>
      </x:c>
      <x:c r="J2" s="30" t="str">
        <x:v>VIS_ID ключа/критерия, VIS_KEY</x:v>
      </x:c>
      <x:c r="K2" s="30" t="str">
        <x:v>DEC-BIO-01-001, DEC-BIO-01-006, DEC-BIO-01-007, DEC-BIO-01-008, DEC-BIO-01-010, DEC-BIO-01-011, DEC-BIO-01-012, DEC-BIO-01-014…</x:v>
      </x:c>
      <x:c r="L2" s="87" t="str">
        <x:v>CROP_VERIFIED</x:v>
      </x:c>
      <x:c r="M2" s="87" t="str">
        <x:v>ORIGINAL_PACKAGE</x:v>
      </x:c>
      <x:c r="N2" s="87" t="str">
        <x:v>pages/VIS-BIO-DEC-CRIT-12-P001.png</x:v>
      </x:c>
      <x:c r="O2" s="87" t="str">
        <x:v>thumbnails/VIS-BIO-DEC-CRIT-12-P001.jpg</x:v>
      </x:c>
      <x:c r="P2" s="87" t="str">
        <x:v>fc62da9a759027f046cf59c2c98c19a4ed3bf1b7f1771d85251fee4b8d83df02</x:v>
      </x:c>
      <x:c r="Q2" s="30" t="str">
        <x:v>incoming/raw/recovery-drop-01/biology_dec_visual_assets_v089.zip!/pages/VIS-BIO-DEC-CRIT-12-P001.png</x:v>
      </x:c>
      <x:c r="R2" s="30" t="str">
        <x:v>MATCHED_ASSET</x:v>
      </x:c>
      <x:c r="S2" t="e">
        <x:f>HYPERLINK("visual_gallery/index.html#"&amp;A2,"Галерея")</x:f>
      </x:c>
    </x:row>
    <x:row r="3">
      <x:c r="A3" s="87" t="str">
        <x:v>VIS-BIO-DEC-CRIT-12-P002</x:v>
      </x:c>
      <x:c r="B3" s="30" t="str">
        <x:v>Биология</x:v>
      </x:c>
      <x:c r="C3" s="30"/>
      <x:c r="D3" s="30" t="str">
        <x:v>БИ2510201</x:v>
      </x:c>
      <x:c r="E3" s="87" t="str">
        <x:v>CRIT</x:v>
      </x:c>
      <x:c r="F3" s="30" t="str">
        <x:v>Kriterii_BI11_19122025.pdf</x:v>
      </x:c>
      <x:c r="G3" s="87" t="str">
        <x:v>2</x:v>
      </x:c>
      <x:c r="H3" s="87" t="str">
        <x:v>v0.89</x:v>
      </x:c>
      <x:c r="I3" s="87" t="str">
        <x:v>2</x:v>
      </x:c>
      <x:c r="J3" s="30" t="str">
        <x:v>VIS_ID ключа/критерия, VIS_KEY</x:v>
      </x:c>
      <x:c r="K3" s="30" t="str">
        <x:v>DEC-BIO-01-022</x:v>
      </x:c>
      <x:c r="L3" s="87" t="str">
        <x:v>CROP_VERIFIED</x:v>
      </x:c>
      <x:c r="M3" s="87" t="str">
        <x:v>ORIGINAL_PACKAGE</x:v>
      </x:c>
      <x:c r="N3" s="87" t="str">
        <x:v>pages/VIS-BIO-DEC-CRIT-12-P002.png</x:v>
      </x:c>
      <x:c r="O3" s="87" t="str">
        <x:v>thumbnails/VIS-BIO-DEC-CRIT-12-P002.jpg</x:v>
      </x:c>
      <x:c r="P3" s="87" t="str">
        <x:v>5fbdaedc97392bf0e50ad03db80809ba91beb1eea4e8ee66a804abe918a06efb</x:v>
      </x:c>
      <x:c r="Q3" s="30" t="str">
        <x:v>incoming/raw/recovery-drop-01/biology_dec_visual_assets_v089.zip!/pages/VIS-BIO-DEC-CRIT-12-P002.png</x:v>
      </x:c>
      <x:c r="R3" s="30" t="str">
        <x:v>MATCHED_ASSET</x:v>
      </x:c>
      <x:c r="S3" t="e">
        <x:f>HYPERLINK("visual_gallery/index.html#"&amp;A3,"Галерея")</x:f>
      </x:c>
    </x:row>
    <x:row r="4">
      <x:c r="A4" s="87" t="str">
        <x:v>VIS-BIO-DEC-CRIT-12-P003</x:v>
      </x:c>
      <x:c r="B4" s="30" t="str">
        <x:v>Биология</x:v>
      </x:c>
      <x:c r="C4" s="30"/>
      <x:c r="D4" s="30" t="str">
        <x:v>БИ2510201</x:v>
      </x:c>
      <x:c r="E4" s="87" t="str">
        <x:v>CRIT</x:v>
      </x:c>
      <x:c r="F4" s="30" t="str">
        <x:v>Kriterii_BI11_19122025.pdf</x:v>
      </x:c>
      <x:c r="G4" s="87" t="str">
        <x:v>3</x:v>
      </x:c>
      <x:c r="H4" s="87" t="str">
        <x:v>v0.89</x:v>
      </x:c>
      <x:c r="I4" s="87" t="str">
        <x:v>4</x:v>
      </x:c>
      <x:c r="J4" s="30" t="str">
        <x:v>VIS_ID ключа/критерия, VIS_KEY</x:v>
      </x:c>
      <x:c r="K4" s="30" t="str">
        <x:v>DEC-BIO-01-022, DEC-BIO-01-023</x:v>
      </x:c>
      <x:c r="L4" s="87" t="str">
        <x:v>CROP_VERIFIED</x:v>
      </x:c>
      <x:c r="M4" s="87" t="str">
        <x:v>ORIGINAL_PACKAGE</x:v>
      </x:c>
      <x:c r="N4" s="87" t="str">
        <x:v>pages/VIS-BIO-DEC-CRIT-12-P003.png</x:v>
      </x:c>
      <x:c r="O4" s="87" t="str">
        <x:v>thumbnails/VIS-BIO-DEC-CRIT-12-P003.jpg</x:v>
      </x:c>
      <x:c r="P4" s="87" t="str">
        <x:v>c1b123800fbb8ac4490e5d35521823c636558cc04b3b3455e6a9e114034fdd14</x:v>
      </x:c>
      <x:c r="Q4" s="30" t="str">
        <x:v>incoming/raw/recovery-drop-01/biology_dec_visual_assets_v089.zip!/pages/VIS-BIO-DEC-CRIT-12-P003.png</x:v>
      </x:c>
      <x:c r="R4" s="30" t="str">
        <x:v>MATCHED_ASSET</x:v>
      </x:c>
      <x:c r="S4" t="e">
        <x:f>HYPERLINK("visual_gallery/index.html#"&amp;A4,"Галерея")</x:f>
      </x:c>
    </x:row>
    <x:row r="5">
      <x:c r="A5" s="87" t="str">
        <x:v>VIS-BIO-DEC-CRIT-12-P004</x:v>
      </x:c>
      <x:c r="B5" s="30" t="str">
        <x:v>Биология</x:v>
      </x:c>
      <x:c r="C5" s="30"/>
      <x:c r="D5" s="30" t="str">
        <x:v>БИ2510201</x:v>
      </x:c>
      <x:c r="E5" s="87" t="str">
        <x:v>CRIT</x:v>
      </x:c>
      <x:c r="F5" s="30" t="str">
        <x:v>Kriterii_BI11_19122025.pdf</x:v>
      </x:c>
      <x:c r="G5" s="87" t="str">
        <x:v>4</x:v>
      </x:c>
      <x:c r="H5" s="87" t="str">
        <x:v>v0.89</x:v>
      </x:c>
      <x:c r="I5" s="87" t="str">
        <x:v>4</x:v>
      </x:c>
      <x:c r="J5" s="30" t="str">
        <x:v>VIS_ID ключа/критерия, VIS_KEY</x:v>
      </x:c>
      <x:c r="K5" s="30" t="str">
        <x:v>DEC-BIO-01-023, DEC-BIO-01-024</x:v>
      </x:c>
      <x:c r="L5" s="87" t="str">
        <x:v>CROP_VERIFIED</x:v>
      </x:c>
      <x:c r="M5" s="87" t="str">
        <x:v>ORIGINAL_PACKAGE</x:v>
      </x:c>
      <x:c r="N5" s="87" t="str">
        <x:v>pages/VIS-BIO-DEC-CRIT-12-P004.png</x:v>
      </x:c>
      <x:c r="O5" s="87" t="str">
        <x:v>thumbnails/VIS-BIO-DEC-CRIT-12-P004.jpg</x:v>
      </x:c>
      <x:c r="P5" s="87" t="str">
        <x:v>94d1040fb1306db10089ee4a74a0714dd529a6f9ed08be93d895dca7024a48e8</x:v>
      </x:c>
      <x:c r="Q5" s="30" t="str">
        <x:v>incoming/raw/recovery-drop-01/biology_dec_visual_assets_v089.zip!/pages/VIS-BIO-DEC-CRIT-12-P004.png</x:v>
      </x:c>
      <x:c r="R5" s="30" t="str">
        <x:v>MATCHED_ASSET</x:v>
      </x:c>
      <x:c r="S5" t="e">
        <x:f>HYPERLINK("visual_gallery/index.html#"&amp;A5,"Галерея")</x:f>
      </x:c>
    </x:row>
    <x:row r="6">
      <x:c r="A6" s="87" t="str">
        <x:v>VIS-BIO-DEC-CRIT-12-P005</x:v>
      </x:c>
      <x:c r="B6" s="30" t="str">
        <x:v>Биология</x:v>
      </x:c>
      <x:c r="C6" s="30"/>
      <x:c r="D6" s="30" t="str">
        <x:v>БИ2510201</x:v>
      </x:c>
      <x:c r="E6" s="87" t="str">
        <x:v>CRIT</x:v>
      </x:c>
      <x:c r="F6" s="30" t="str">
        <x:v>Kriterii_BI11_19122025.pdf</x:v>
      </x:c>
      <x:c r="G6" s="87" t="str">
        <x:v>5</x:v>
      </x:c>
      <x:c r="H6" s="87" t="str">
        <x:v>v0.89</x:v>
      </x:c>
      <x:c r="I6" s="87" t="str">
        <x:v>4</x:v>
      </x:c>
      <x:c r="J6" s="30" t="str">
        <x:v>VIS_ID ключа/критерия, VIS_KEY</x:v>
      </x:c>
      <x:c r="K6" s="30" t="str">
        <x:v>DEC-BIO-01-024, DEC-BIO-01-025</x:v>
      </x:c>
      <x:c r="L6" s="87" t="str">
        <x:v>CROP_VERIFIED</x:v>
      </x:c>
      <x:c r="M6" s="87" t="str">
        <x:v>ORIGINAL_PACKAGE</x:v>
      </x:c>
      <x:c r="N6" s="87" t="str">
        <x:v>pages/VIS-BIO-DEC-CRIT-12-P005.png</x:v>
      </x:c>
      <x:c r="O6" s="87" t="str">
        <x:v>thumbnails/VIS-BIO-DEC-CRIT-12-P005.jpg</x:v>
      </x:c>
      <x:c r="P6" s="87" t="str">
        <x:v>e061a734a5e03b1a35fedff0588827363b5fd5bcc14a5b6b4183f7f519b591c1</x:v>
      </x:c>
      <x:c r="Q6" s="30" t="str">
        <x:v>incoming/raw/recovery-drop-01/biology_dec_visual_assets_v089.zip!/pages/VIS-BIO-DEC-CRIT-12-P005.png</x:v>
      </x:c>
      <x:c r="R6" s="30" t="str">
        <x:v>MATCHED_ASSET</x:v>
      </x:c>
      <x:c r="S6" t="e">
        <x:f>HYPERLINK("visual_gallery/index.html#"&amp;A6,"Галерея")</x:f>
      </x:c>
    </x:row>
    <x:row r="7">
      <x:c r="A7" s="87" t="str">
        <x:v>VIS-BIO-DEC-CRIT-12-P006</x:v>
      </x:c>
      <x:c r="B7" s="30" t="str">
        <x:v>Биология</x:v>
      </x:c>
      <x:c r="C7" s="30"/>
      <x:c r="D7" s="30" t="str">
        <x:v>БИ2510201</x:v>
      </x:c>
      <x:c r="E7" s="87" t="str">
        <x:v>CRIT</x:v>
      </x:c>
      <x:c r="F7" s="30" t="str">
        <x:v>Kriterii_BI11_19122025.pdf</x:v>
      </x:c>
      <x:c r="G7" s="87" t="str">
        <x:v>6</x:v>
      </x:c>
      <x:c r="H7" s="87" t="str">
        <x:v>v0.89</x:v>
      </x:c>
      <x:c r="I7" s="87" t="str">
        <x:v>4</x:v>
      </x:c>
      <x:c r="J7" s="30" t="str">
        <x:v>VIS_ID ключа/критерия, VIS_KEY</x:v>
      </x:c>
      <x:c r="K7" s="30" t="str">
        <x:v>DEC-BIO-01-025, DEC-BIO-01-026</x:v>
      </x:c>
      <x:c r="L7" s="87" t="str">
        <x:v>CROP_VERIFIED</x:v>
      </x:c>
      <x:c r="M7" s="87" t="str">
        <x:v>ORIGINAL_PACKAGE</x:v>
      </x:c>
      <x:c r="N7" s="87" t="str">
        <x:v>pages/VIS-BIO-DEC-CRIT-12-P006.png</x:v>
      </x:c>
      <x:c r="O7" s="87" t="str">
        <x:v>thumbnails/VIS-BIO-DEC-CRIT-12-P006.jpg</x:v>
      </x:c>
      <x:c r="P7" s="87" t="str">
        <x:v>21687cf2e99efb7fa3d978b02213e8ae44359fd154ed02166c809d92f0548312</x:v>
      </x:c>
      <x:c r="Q7" s="30" t="str">
        <x:v>incoming/raw/recovery-drop-01/biology_dec_visual_assets_v089.zip!/pages/VIS-BIO-DEC-CRIT-12-P006.png</x:v>
      </x:c>
      <x:c r="R7" s="30" t="str">
        <x:v>MATCHED_ASSET</x:v>
      </x:c>
      <x:c r="S7" t="e">
        <x:f>HYPERLINK("visual_gallery/index.html#"&amp;A7,"Галерея")</x:f>
      </x:c>
    </x:row>
    <x:row r="8">
      <x:c r="A8" s="87" t="str">
        <x:v>VIS-BIO-DEC-CRIT-12-P007</x:v>
      </x:c>
      <x:c r="B8" s="30" t="str">
        <x:v>Биология</x:v>
      </x:c>
      <x:c r="C8" s="30"/>
      <x:c r="D8" s="30" t="str">
        <x:v>БИ2510201</x:v>
      </x:c>
      <x:c r="E8" s="87" t="str">
        <x:v>CRIT</x:v>
      </x:c>
      <x:c r="F8" s="30" t="str">
        <x:v>Kriterii_BI11_19122025.pdf</x:v>
      </x:c>
      <x:c r="G8" s="87" t="str">
        <x:v>7</x:v>
      </x:c>
      <x:c r="H8" s="87" t="str">
        <x:v>v0.89</x:v>
      </x:c>
      <x:c r="I8" s="87" t="str">
        <x:v>4</x:v>
      </x:c>
      <x:c r="J8" s="30" t="str">
        <x:v>VIS_ID ключа/критерия, VIS_KEY</x:v>
      </x:c>
      <x:c r="K8" s="30" t="str">
        <x:v>DEC-BIO-01-026, DEC-BIO-01-027</x:v>
      </x:c>
      <x:c r="L8" s="87" t="str">
        <x:v>CROP_VERIFIED</x:v>
      </x:c>
      <x:c r="M8" s="87" t="str">
        <x:v>ORIGINAL_PACKAGE</x:v>
      </x:c>
      <x:c r="N8" s="87" t="str">
        <x:v>pages/VIS-BIO-DEC-CRIT-12-P007.png</x:v>
      </x:c>
      <x:c r="O8" s="87" t="str">
        <x:v>thumbnails/VIS-BIO-DEC-CRIT-12-P007.jpg</x:v>
      </x:c>
      <x:c r="P8" s="87" t="str">
        <x:v>2edfee7f94f9ba303dd586412a2b12119458e3430621427b6637abdf61b57058</x:v>
      </x:c>
      <x:c r="Q8" s="30" t="str">
        <x:v>incoming/raw/recovery-drop-01/biology_dec_visual_assets_v089.zip!/pages/VIS-BIO-DEC-CRIT-12-P007.png</x:v>
      </x:c>
      <x:c r="R8" s="30" t="str">
        <x:v>MATCHED_ASSET</x:v>
      </x:c>
      <x:c r="S8" t="e">
        <x:f>HYPERLINK("visual_gallery/index.html#"&amp;A8,"Галерея")</x:f>
      </x:c>
    </x:row>
    <x:row r="9">
      <x:c r="A9" s="87" t="str">
        <x:v>VIS-BIO-DEC-CRIT-12-P008</x:v>
      </x:c>
      <x:c r="B9" s="30" t="str">
        <x:v>Биология</x:v>
      </x:c>
      <x:c r="C9" s="30"/>
      <x:c r="D9" s="30" t="str">
        <x:v>БИ2510201</x:v>
      </x:c>
      <x:c r="E9" s="87" t="str">
        <x:v>CRIT</x:v>
      </x:c>
      <x:c r="F9" s="30" t="str">
        <x:v>Kriterii_BI11_19122025.pdf</x:v>
      </x:c>
      <x:c r="G9" s="87" t="str">
        <x:v>8</x:v>
      </x:c>
      <x:c r="H9" s="87" t="str">
        <x:v>v0.89</x:v>
      </x:c>
      <x:c r="I9" s="87" t="str">
        <x:v>2</x:v>
      </x:c>
      <x:c r="J9" s="30" t="str">
        <x:v>VIS_ID ключа/критерия, VIS_KEY</x:v>
      </x:c>
      <x:c r="K9" s="30" t="str">
        <x:v>DEC-BIO-01-027</x:v>
      </x:c>
      <x:c r="L9" s="87" t="str">
        <x:v>CROP_VERIFIED</x:v>
      </x:c>
      <x:c r="M9" s="87" t="str">
        <x:v>ORIGINAL_PACKAGE</x:v>
      </x:c>
      <x:c r="N9" s="87" t="str">
        <x:v>pages/VIS-BIO-DEC-CRIT-12-P008.png</x:v>
      </x:c>
      <x:c r="O9" s="87" t="str">
        <x:v>thumbnails/VIS-BIO-DEC-CRIT-12-P008.jpg</x:v>
      </x:c>
      <x:c r="P9" s="87" t="str">
        <x:v>128e8a6b8ff3ad0d3da24167b0d5e6aa12b0ef84e04eb166bfd3a081f2a2d3a3</x:v>
      </x:c>
      <x:c r="Q9" s="30" t="str">
        <x:v>incoming/raw/recovery-drop-01/biology_dec_visual_assets_v089.zip!/pages/VIS-BIO-DEC-CRIT-12-P008.png</x:v>
      </x:c>
      <x:c r="R9" s="30" t="str">
        <x:v>MATCHED_ASSET</x:v>
      </x:c>
      <x:c r="S9" t="e">
        <x:f>HYPERLINK("visual_gallery/index.html#"&amp;A9,"Галерея")</x:f>
      </x:c>
    </x:row>
    <x:row r="10">
      <x:c r="A10" s="87" t="str">
        <x:v>VIS-BIO-DEC-CRIT-12-P009</x:v>
      </x:c>
      <x:c r="B10" s="30" t="str">
        <x:v>Биология</x:v>
      </x:c>
      <x:c r="C10" s="30"/>
      <x:c r="D10" s="30" t="str">
        <x:v>БИ2510201</x:v>
      </x:c>
      <x:c r="E10" s="87" t="str">
        <x:v>CRIT</x:v>
      </x:c>
      <x:c r="F10" s="30" t="str">
        <x:v>Kriterii_BI11_19122025.pdf</x:v>
      </x:c>
      <x:c r="G10" s="87" t="str">
        <x:v>9</x:v>
      </x:c>
      <x:c r="H10" s="87" t="str">
        <x:v>v0.89</x:v>
      </x:c>
      <x:c r="I10" s="87" t="str">
        <x:v>4</x:v>
      </x:c>
      <x:c r="J10" s="30" t="str">
        <x:v>VIS_ID ключа/критерия, VIS_KEY</x:v>
      </x:c>
      <x:c r="K10" s="30" t="str">
        <x:v>DEC-BIO-01-027, DEC-BIO-01-028</x:v>
      </x:c>
      <x:c r="L10" s="87" t="str">
        <x:v>CROP_VERIFIED</x:v>
      </x:c>
      <x:c r="M10" s="87" t="str">
        <x:v>ORIGINAL_PACKAGE</x:v>
      </x:c>
      <x:c r="N10" s="87" t="str">
        <x:v>pages/VIS-BIO-DEC-CRIT-12-P009.png</x:v>
      </x:c>
      <x:c r="O10" s="87" t="str">
        <x:v>thumbnails/VIS-BIO-DEC-CRIT-12-P009.jpg</x:v>
      </x:c>
      <x:c r="P10" s="87" t="str">
        <x:v>82baa94dd17bf23615db05312b9a09254a7445ea1de87677a732fbc63cda0d01</x:v>
      </x:c>
      <x:c r="Q10" s="30" t="str">
        <x:v>incoming/raw/recovery-drop-01/biology_dec_visual_assets_v089.zip!/pages/VIS-BIO-DEC-CRIT-12-P009.png</x:v>
      </x:c>
      <x:c r="R10" s="30" t="str">
        <x:v>MATCHED_ASSET</x:v>
      </x:c>
      <x:c r="S10" t="e">
        <x:f>HYPERLINK("visual_gallery/index.html#"&amp;A10,"Галерея")</x:f>
      </x:c>
    </x:row>
    <x:row r="11">
      <x:c r="A11" s="87" t="str">
        <x:v>VIS-BIO-DEC-CRIT-12-P010</x:v>
      </x:c>
      <x:c r="B11" s="30" t="str">
        <x:v>Биология</x:v>
      </x:c>
      <x:c r="C11" s="30"/>
      <x:c r="D11" s="30" t="str">
        <x:v>БИ2510201</x:v>
      </x:c>
      <x:c r="E11" s="87" t="str">
        <x:v>CRIT</x:v>
      </x:c>
      <x:c r="F11" s="30" t="str">
        <x:v>Kriterii_BI11_19122025.pdf</x:v>
      </x:c>
      <x:c r="G11" s="87" t="str">
        <x:v>10</x:v>
      </x:c>
      <x:c r="H11" s="87" t="str">
        <x:v>v0.89</x:v>
      </x:c>
      <x:c r="I11" s="87" t="str">
        <x:v>2</x:v>
      </x:c>
      <x:c r="J11" s="30" t="str">
        <x:v>VIS_ID ключа/критерия, VIS_KEY</x:v>
      </x:c>
      <x:c r="K11" s="30" t="str">
        <x:v>DEC-BIO-01-028</x:v>
      </x:c>
      <x:c r="L11" s="87" t="str">
        <x:v>CROP_VERIFIED</x:v>
      </x:c>
      <x:c r="M11" s="87" t="str">
        <x:v>ORIGINAL_PACKAGE</x:v>
      </x:c>
      <x:c r="N11" s="87" t="str">
        <x:v>pages/VIS-BIO-DEC-CRIT-12-P010.png</x:v>
      </x:c>
      <x:c r="O11" s="87" t="str">
        <x:v>thumbnails/VIS-BIO-DEC-CRIT-12-P010.jpg</x:v>
      </x:c>
      <x:c r="P11" s="87" t="str">
        <x:v>e7c39f6b3bd8a9cbf0d78e6d81f0a7e8fc3b47284d281d00294a19c9a8aef0d9</x:v>
      </x:c>
      <x:c r="Q11" s="30" t="str">
        <x:v>incoming/raw/recovery-drop-01/biology_dec_visual_assets_v089.zip!/pages/VIS-BIO-DEC-CRIT-12-P010.png</x:v>
      </x:c>
      <x:c r="R11" s="30" t="str">
        <x:v>MATCHED_ASSET</x:v>
      </x:c>
      <x:c r="S11" t="e">
        <x:f>HYPERLINK("visual_gallery/index.html#"&amp;A11,"Галерея")</x:f>
      </x:c>
    </x:row>
    <x:row r="12">
      <x:c r="A12" s="87" t="str">
        <x:v>VIS-BIO-DEC-CRIT-12-P011</x:v>
      </x:c>
      <x:c r="B12" s="30" t="str">
        <x:v>Биология</x:v>
      </x:c>
      <x:c r="C12" s="30"/>
      <x:c r="D12" s="30" t="str">
        <x:v>БИ2510202</x:v>
      </x:c>
      <x:c r="E12" s="87" t="str">
        <x:v>CRIT</x:v>
      </x:c>
      <x:c r="F12" s="30" t="str">
        <x:v>Kriterii_BI11_19122025.pdf</x:v>
      </x:c>
      <x:c r="G12" s="87" t="str">
        <x:v>11</x:v>
      </x:c>
      <x:c r="H12" s="87" t="str">
        <x:v>v0.89</x:v>
      </x:c>
      <x:c r="I12" s="87" t="str">
        <x:v>2</x:v>
      </x:c>
      <x:c r="J12" s="30" t="str">
        <x:v>VIS_ID ключа/критерия, VIS_KEY</x:v>
      </x:c>
      <x:c r="K12" s="30" t="str">
        <x:v>DEC-BIO-02-022</x:v>
      </x:c>
      <x:c r="L12" s="87" t="str">
        <x:v>CROP_VERIFIED</x:v>
      </x:c>
      <x:c r="M12" s="87" t="str">
        <x:v>ORIGINAL_PACKAGE</x:v>
      </x:c>
      <x:c r="N12" s="87" t="str">
        <x:v>pages/VIS-BIO-DEC-CRIT-12-P011.png</x:v>
      </x:c>
      <x:c r="O12" s="87" t="str">
        <x:v>thumbnails/VIS-BIO-DEC-CRIT-12-P011.jpg</x:v>
      </x:c>
      <x:c r="P12" s="87" t="str">
        <x:v>e9c9f7b076219bc52989d8ac01512953daf4afe365fdd109c7ec58dc2292b23f</x:v>
      </x:c>
      <x:c r="Q12" s="30" t="str">
        <x:v>incoming/raw/recovery-drop-01/biology_dec_visual_assets_v089.zip!/pages/VIS-BIO-DEC-CRIT-12-P011.png</x:v>
      </x:c>
      <x:c r="R12" s="30" t="str">
        <x:v>MATCHED_ASSET</x:v>
      </x:c>
      <x:c r="S12" t="e">
        <x:f>HYPERLINK("visual_gallery/index.html#"&amp;A12,"Галерея")</x:f>
      </x:c>
    </x:row>
    <x:row r="13">
      <x:c r="A13" s="87" t="str">
        <x:v>VIS-BIO-DEC-CRIT-12-P012</x:v>
      </x:c>
      <x:c r="B13" s="30" t="str">
        <x:v>Биология</x:v>
      </x:c>
      <x:c r="C13" s="30"/>
      <x:c r="D13" s="30" t="str">
        <x:v>БИ2510202</x:v>
      </x:c>
      <x:c r="E13" s="87" t="str">
        <x:v>CRIT</x:v>
      </x:c>
      <x:c r="F13" s="30" t="str">
        <x:v>Kriterii_BI11_19122025.pdf</x:v>
      </x:c>
      <x:c r="G13" s="87" t="str">
        <x:v>12</x:v>
      </x:c>
      <x:c r="H13" s="87" t="str">
        <x:v>v0.89</x:v>
      </x:c>
      <x:c r="I13" s="87" t="str">
        <x:v>4</x:v>
      </x:c>
      <x:c r="J13" s="30" t="str">
        <x:v>VIS_ID ключа/критерия, VIS_KEY</x:v>
      </x:c>
      <x:c r="K13" s="30" t="str">
        <x:v>DEC-BIO-02-022, DEC-BIO-02-023</x:v>
      </x:c>
      <x:c r="L13" s="87" t="str">
        <x:v>CROP_VERIFIED</x:v>
      </x:c>
      <x:c r="M13" s="87" t="str">
        <x:v>ORIGINAL_PACKAGE</x:v>
      </x:c>
      <x:c r="N13" s="87" t="str">
        <x:v>pages/VIS-BIO-DEC-CRIT-12-P012.png</x:v>
      </x:c>
      <x:c r="O13" s="87" t="str">
        <x:v>thumbnails/VIS-BIO-DEC-CRIT-12-P012.jpg</x:v>
      </x:c>
      <x:c r="P13" s="87" t="str">
        <x:v>cc3efae2f3cf8c9f02f7bd938828864ce81582f417215db13775425497287802</x:v>
      </x:c>
      <x:c r="Q13" s="30" t="str">
        <x:v>incoming/raw/recovery-drop-01/biology_dec_visual_assets_v089.zip!/pages/VIS-BIO-DEC-CRIT-12-P012.png</x:v>
      </x:c>
      <x:c r="R13" s="30" t="str">
        <x:v>MATCHED_ASSET</x:v>
      </x:c>
      <x:c r="S13" t="e">
        <x:f>HYPERLINK("visual_gallery/index.html#"&amp;A13,"Галерея")</x:f>
      </x:c>
    </x:row>
    <x:row r="14">
      <x:c r="A14" s="87" t="str">
        <x:v>VIS-BIO-DEC-CRIT-12-P013</x:v>
      </x:c>
      <x:c r="B14" s="30" t="str">
        <x:v>Биология</x:v>
      </x:c>
      <x:c r="C14" s="30"/>
      <x:c r="D14" s="30" t="str">
        <x:v>БИ2510202</x:v>
      </x:c>
      <x:c r="E14" s="87" t="str">
        <x:v>CRIT</x:v>
      </x:c>
      <x:c r="F14" s="30" t="str">
        <x:v>Kriterii_BI11_19122025.pdf</x:v>
      </x:c>
      <x:c r="G14" s="87" t="str">
        <x:v>13</x:v>
      </x:c>
      <x:c r="H14" s="87" t="str">
        <x:v>v0.89</x:v>
      </x:c>
      <x:c r="I14" s="87" t="str">
        <x:v>4</x:v>
      </x:c>
      <x:c r="J14" s="30" t="str">
        <x:v>VIS_ID ключа/критерия, VIS_KEY</x:v>
      </x:c>
      <x:c r="K14" s="30" t="str">
        <x:v>DEC-BIO-02-023, DEC-BIO-02-024</x:v>
      </x:c>
      <x:c r="L14" s="87" t="str">
        <x:v>CROP_VERIFIED</x:v>
      </x:c>
      <x:c r="M14" s="87" t="str">
        <x:v>ORIGINAL_PACKAGE</x:v>
      </x:c>
      <x:c r="N14" s="87" t="str">
        <x:v>pages/VIS-BIO-DEC-CRIT-12-P013.png</x:v>
      </x:c>
      <x:c r="O14" s="87" t="str">
        <x:v>thumbnails/VIS-BIO-DEC-CRIT-12-P013.jpg</x:v>
      </x:c>
      <x:c r="P14" s="87" t="str">
        <x:v>9362a55f8465fe5d70eb062c8d4a09551f5c028cc9ee7ecbae7e2dbc24b5b8aa</x:v>
      </x:c>
      <x:c r="Q14" s="30" t="str">
        <x:v>incoming/raw/recovery-drop-01/biology_dec_visual_assets_v089.zip!/pages/VIS-BIO-DEC-CRIT-12-P013.png</x:v>
      </x:c>
      <x:c r="R14" s="30" t="str">
        <x:v>MATCHED_ASSET</x:v>
      </x:c>
      <x:c r="S14" t="e">
        <x:f>HYPERLINK("visual_gallery/index.html#"&amp;A14,"Галерея")</x:f>
      </x:c>
    </x:row>
    <x:row r="15">
      <x:c r="A15" s="87" t="str">
        <x:v>VIS-BIO-DEC-CRIT-12-P014</x:v>
      </x:c>
      <x:c r="B15" s="30" t="str">
        <x:v>Биология</x:v>
      </x:c>
      <x:c r="C15" s="30"/>
      <x:c r="D15" s="30" t="str">
        <x:v>БИ2510202</x:v>
      </x:c>
      <x:c r="E15" s="87" t="str">
        <x:v>CRIT</x:v>
      </x:c>
      <x:c r="F15" s="30" t="str">
        <x:v>Kriterii_BI11_19122025.pdf</x:v>
      </x:c>
      <x:c r="G15" s="87" t="str">
        <x:v>14</x:v>
      </x:c>
      <x:c r="H15" s="87" t="str">
        <x:v>v0.89</x:v>
      </x:c>
      <x:c r="I15" s="87" t="str">
        <x:v>4</x:v>
      </x:c>
      <x:c r="J15" s="30" t="str">
        <x:v>VIS_ID ключа/критерия, VIS_KEY</x:v>
      </x:c>
      <x:c r="K15" s="30" t="str">
        <x:v>DEC-BIO-02-024, DEC-BIO-02-025</x:v>
      </x:c>
      <x:c r="L15" s="87" t="str">
        <x:v>CROP_VERIFIED</x:v>
      </x:c>
      <x:c r="M15" s="87" t="str">
        <x:v>ORIGINAL_PACKAGE</x:v>
      </x:c>
      <x:c r="N15" s="87" t="str">
        <x:v>pages/VIS-BIO-DEC-CRIT-12-P014.png</x:v>
      </x:c>
      <x:c r="O15" s="87" t="str">
        <x:v>thumbnails/VIS-BIO-DEC-CRIT-12-P014.jpg</x:v>
      </x:c>
      <x:c r="P15" s="87" t="str">
        <x:v>bcbeb8923692dcf1619241cbc44bde451892807f0628d664116a491e07db8141</x:v>
      </x:c>
      <x:c r="Q15" s="30" t="str">
        <x:v>incoming/raw/recovery-drop-01/biology_dec_visual_assets_v089.zip!/pages/VIS-BIO-DEC-CRIT-12-P014.png</x:v>
      </x:c>
      <x:c r="R15" s="30" t="str">
        <x:v>MATCHED_ASSET</x:v>
      </x:c>
      <x:c r="S15" t="e">
        <x:f>HYPERLINK("visual_gallery/index.html#"&amp;A15,"Галерея")</x:f>
      </x:c>
    </x:row>
    <x:row r="16">
      <x:c r="A16" s="87" t="str">
        <x:v>VIS-BIO-DEC-CRIT-12-P015</x:v>
      </x:c>
      <x:c r="B16" s="30" t="str">
        <x:v>Биология</x:v>
      </x:c>
      <x:c r="C16" s="30"/>
      <x:c r="D16" s="30" t="str">
        <x:v>БИ2510202</x:v>
      </x:c>
      <x:c r="E16" s="87" t="str">
        <x:v>CRIT</x:v>
      </x:c>
      <x:c r="F16" s="30" t="str">
        <x:v>Kriterii_BI11_19122025.pdf</x:v>
      </x:c>
      <x:c r="G16" s="87" t="str">
        <x:v>15</x:v>
      </x:c>
      <x:c r="H16" s="87" t="str">
        <x:v>v0.89</x:v>
      </x:c>
      <x:c r="I16" s="87" t="str">
        <x:v>4</x:v>
      </x:c>
      <x:c r="J16" s="30" t="str">
        <x:v>VIS_ID ключа/критерия, VIS_KEY</x:v>
      </x:c>
      <x:c r="K16" s="30" t="str">
        <x:v>DEC-BIO-02-025, DEC-BIO-02-026</x:v>
      </x:c>
      <x:c r="L16" s="87" t="str">
        <x:v>CROP_VERIFIED</x:v>
      </x:c>
      <x:c r="M16" s="87" t="str">
        <x:v>ORIGINAL_PACKAGE</x:v>
      </x:c>
      <x:c r="N16" s="87" t="str">
        <x:v>pages/VIS-BIO-DEC-CRIT-12-P015.png</x:v>
      </x:c>
      <x:c r="O16" s="87" t="str">
        <x:v>thumbnails/VIS-BIO-DEC-CRIT-12-P015.jpg</x:v>
      </x:c>
      <x:c r="P16" s="87" t="str">
        <x:v>3493a5b769a2a3ad815a276b4dc870ca2897fe543a42825e9064f80f5fc59efb</x:v>
      </x:c>
      <x:c r="Q16" s="30" t="str">
        <x:v>incoming/raw/recovery-drop-01/biology_dec_visual_assets_v089.zip!/pages/VIS-BIO-DEC-CRIT-12-P015.png</x:v>
      </x:c>
      <x:c r="R16" s="30" t="str">
        <x:v>MATCHED_ASSET</x:v>
      </x:c>
      <x:c r="S16" t="e">
        <x:f>HYPERLINK("visual_gallery/index.html#"&amp;A16,"Галерея")</x:f>
      </x:c>
    </x:row>
    <x:row r="17">
      <x:c r="A17" s="87" t="str">
        <x:v>VIS-BIO-DEC-CRIT-12-P016</x:v>
      </x:c>
      <x:c r="B17" s="30" t="str">
        <x:v>Биология</x:v>
      </x:c>
      <x:c r="C17" s="30"/>
      <x:c r="D17" s="30" t="str">
        <x:v>БИ2510202</x:v>
      </x:c>
      <x:c r="E17" s="87" t="str">
        <x:v>CRIT</x:v>
      </x:c>
      <x:c r="F17" s="30" t="str">
        <x:v>Kriterii_BI11_19122025.pdf</x:v>
      </x:c>
      <x:c r="G17" s="87" t="str">
        <x:v>16</x:v>
      </x:c>
      <x:c r="H17" s="87" t="str">
        <x:v>v0.89</x:v>
      </x:c>
      <x:c r="I17" s="87" t="str">
        <x:v>4</x:v>
      </x:c>
      <x:c r="J17" s="30" t="str">
        <x:v>VIS_ID ключа/критерия, VIS_KEY</x:v>
      </x:c>
      <x:c r="K17" s="30" t="str">
        <x:v>DEC-BIO-02-026, DEC-BIO-02-027</x:v>
      </x:c>
      <x:c r="L17" s="87" t="str">
        <x:v>CROP_VERIFIED</x:v>
      </x:c>
      <x:c r="M17" s="87" t="str">
        <x:v>ORIGINAL_PACKAGE</x:v>
      </x:c>
      <x:c r="N17" s="87" t="str">
        <x:v>pages/VIS-BIO-DEC-CRIT-12-P016.png</x:v>
      </x:c>
      <x:c r="O17" s="87" t="str">
        <x:v>thumbnails/VIS-BIO-DEC-CRIT-12-P016.jpg</x:v>
      </x:c>
      <x:c r="P17" s="87" t="str">
        <x:v>f939eed297184c6476f0325bce544feb99f095f6249383a5b985b2ef6d0df454</x:v>
      </x:c>
      <x:c r="Q17" s="30" t="str">
        <x:v>incoming/raw/recovery-drop-01/biology_dec_visual_assets_v089.zip!/pages/VIS-BIO-DEC-CRIT-12-P016.png</x:v>
      </x:c>
      <x:c r="R17" s="30" t="str">
        <x:v>MATCHED_ASSET</x:v>
      </x:c>
      <x:c r="S17" t="e">
        <x:f>HYPERLINK("visual_gallery/index.html#"&amp;A17,"Галерея")</x:f>
      </x:c>
    </x:row>
    <x:row r="18">
      <x:c r="A18" s="87" t="str">
        <x:v>VIS-BIO-DEC-CRIT-12-P017</x:v>
      </x:c>
      <x:c r="B18" s="30" t="str">
        <x:v>Биология</x:v>
      </x:c>
      <x:c r="C18" s="30"/>
      <x:c r="D18" s="30" t="str">
        <x:v>БИ2510202</x:v>
      </x:c>
      <x:c r="E18" s="87" t="str">
        <x:v>CRIT</x:v>
      </x:c>
      <x:c r="F18" s="30" t="str">
        <x:v>Kriterii_BI11_19122025.pdf</x:v>
      </x:c>
      <x:c r="G18" s="87" t="str">
        <x:v>17</x:v>
      </x:c>
      <x:c r="H18" s="87" t="str">
        <x:v>v0.89</x:v>
      </x:c>
      <x:c r="I18" s="87" t="str">
        <x:v>2</x:v>
      </x:c>
      <x:c r="J18" s="30" t="str">
        <x:v>VIS_ID ключа/критерия, VIS_KEY</x:v>
      </x:c>
      <x:c r="K18" s="30" t="str">
        <x:v>DEC-BIO-02-027</x:v>
      </x:c>
      <x:c r="L18" s="87" t="str">
        <x:v>CROP_VERIFIED</x:v>
      </x:c>
      <x:c r="M18" s="87" t="str">
        <x:v>ORIGINAL_PACKAGE</x:v>
      </x:c>
      <x:c r="N18" s="87" t="str">
        <x:v>pages/VIS-BIO-DEC-CRIT-12-P017.png</x:v>
      </x:c>
      <x:c r="O18" s="87" t="str">
        <x:v>thumbnails/VIS-BIO-DEC-CRIT-12-P017.jpg</x:v>
      </x:c>
      <x:c r="P18" s="87" t="str">
        <x:v>9bbbe1b78957fa498fd37845a8bfb10f3c31caa9c4aa9b87a16378a9bc5f315f</x:v>
      </x:c>
      <x:c r="Q18" s="30" t="str">
        <x:v>incoming/raw/recovery-drop-01/biology_dec_visual_assets_v089.zip!/pages/VIS-BIO-DEC-CRIT-12-P017.png</x:v>
      </x:c>
      <x:c r="R18" s="30" t="str">
        <x:v>MATCHED_ASSET</x:v>
      </x:c>
      <x:c r="S18" t="e">
        <x:f>HYPERLINK("visual_gallery/index.html#"&amp;A18,"Галерея")</x:f>
      </x:c>
    </x:row>
    <x:row r="19">
      <x:c r="A19" s="87" t="str">
        <x:v>VIS-BIO-DEC-CRIT-12-P018</x:v>
      </x:c>
      <x:c r="B19" s="30" t="str">
        <x:v>Биология</x:v>
      </x:c>
      <x:c r="C19" s="30"/>
      <x:c r="D19" s="30" t="str">
        <x:v>БИ2510202</x:v>
      </x:c>
      <x:c r="E19" s="87" t="str">
        <x:v>CRIT</x:v>
      </x:c>
      <x:c r="F19" s="30" t="str">
        <x:v>Kriterii_BI11_19122025.pdf</x:v>
      </x:c>
      <x:c r="G19" s="87" t="str">
        <x:v>18</x:v>
      </x:c>
      <x:c r="H19" s="87" t="str">
        <x:v>v0.89</x:v>
      </x:c>
      <x:c r="I19" s="87" t="str">
        <x:v>4</x:v>
      </x:c>
      <x:c r="J19" s="30" t="str">
        <x:v>VIS_ID ключа/критерия, VIS_KEY</x:v>
      </x:c>
      <x:c r="K19" s="30" t="str">
        <x:v>DEC-BIO-02-027, DEC-BIO-02-028</x:v>
      </x:c>
      <x:c r="L19" s="87" t="str">
        <x:v>CROP_VERIFIED</x:v>
      </x:c>
      <x:c r="M19" s="87" t="str">
        <x:v>ORIGINAL_PACKAGE</x:v>
      </x:c>
      <x:c r="N19" s="87" t="str">
        <x:v>pages/VIS-BIO-DEC-CRIT-12-P018.png</x:v>
      </x:c>
      <x:c r="O19" s="87" t="str">
        <x:v>thumbnails/VIS-BIO-DEC-CRIT-12-P018.jpg</x:v>
      </x:c>
      <x:c r="P19" s="87" t="str">
        <x:v>7750e228b33d7d00f66646c8a17335ad507214783ad0f4b694a17f708fc37a82</x:v>
      </x:c>
      <x:c r="Q19" s="30" t="str">
        <x:v>incoming/raw/recovery-drop-01/biology_dec_visual_assets_v089.zip!/pages/VIS-BIO-DEC-CRIT-12-P018.png</x:v>
      </x:c>
      <x:c r="R19" s="30" t="str">
        <x:v>MATCHED_ASSET</x:v>
      </x:c>
      <x:c r="S19" t="e">
        <x:f>HYPERLINK("visual_gallery/index.html#"&amp;A19,"Галерея")</x:f>
      </x:c>
    </x:row>
    <x:row r="20">
      <x:c r="A20" s="87" t="str">
        <x:v>VIS-BIO-DEC-CRIT-12-P019</x:v>
      </x:c>
      <x:c r="B20" s="30" t="str">
        <x:v>Биология</x:v>
      </x:c>
      <x:c r="C20" s="30"/>
      <x:c r="D20" s="30" t="str">
        <x:v>БИ2510202</x:v>
      </x:c>
      <x:c r="E20" s="87" t="str">
        <x:v>CRIT</x:v>
      </x:c>
      <x:c r="F20" s="30" t="str">
        <x:v>Kriterii_BI11_19122025.pdf</x:v>
      </x:c>
      <x:c r="G20" s="87" t="str">
        <x:v>19</x:v>
      </x:c>
      <x:c r="H20" s="87" t="str">
        <x:v>v0.89</x:v>
      </x:c>
      <x:c r="I20" s="87" t="str">
        <x:v>2</x:v>
      </x:c>
      <x:c r="J20" s="30" t="str">
        <x:v>VIS_ID ключа/критерия, VIS_KEY</x:v>
      </x:c>
      <x:c r="K20" s="30" t="str">
        <x:v>DEC-BIO-02-028</x:v>
      </x:c>
      <x:c r="L20" s="87" t="str">
        <x:v>CROP_VERIFIED</x:v>
      </x:c>
      <x:c r="M20" s="87" t="str">
        <x:v>ORIGINAL_PACKAGE</x:v>
      </x:c>
      <x:c r="N20" s="87" t="str">
        <x:v>pages/VIS-BIO-DEC-CRIT-12-P019.png</x:v>
      </x:c>
      <x:c r="O20" s="87" t="str">
        <x:v>thumbnails/VIS-BIO-DEC-CRIT-12-P019.jpg</x:v>
      </x:c>
      <x:c r="P20" s="87" t="str">
        <x:v>fd83ea1e429d1bde8259a02aa2b5fcf86a3416ec2fded85ee65f2050876c3eb5</x:v>
      </x:c>
      <x:c r="Q20" s="30" t="str">
        <x:v>incoming/raw/recovery-drop-01/biology_dec_visual_assets_v089.zip!/pages/VIS-BIO-DEC-CRIT-12-P019.png</x:v>
      </x:c>
      <x:c r="R20" s="30" t="str">
        <x:v>MATCHED_ASSET</x:v>
      </x:c>
      <x:c r="S20" t="e">
        <x:f>HYPERLINK("visual_gallery/index.html#"&amp;A20,"Галерея")</x:f>
      </x:c>
    </x:row>
    <x:row r="21">
      <x:c r="A21" s="87" t="str">
        <x:v>VIS-BIO-DEC-CRIT-34-P001</x:v>
      </x:c>
      <x:c r="B21" s="30" t="str">
        <x:v>Биология</x:v>
      </x:c>
      <x:c r="C21" s="30"/>
      <x:c r="D21" s="30" t="str">
        <x:v>БИ2510203, БИ2510204</x:v>
      </x:c>
      <x:c r="E21" s="87" t="str">
        <x:v>CRIT</x:v>
      </x:c>
      <x:c r="F21" s="30" t="str">
        <x:v>Kriterii_BI11_19122025_.pdf</x:v>
      </x:c>
      <x:c r="G21" s="87" t="str">
        <x:v>1</x:v>
      </x:c>
      <x:c r="H21" s="87" t="str">
        <x:v>v0.89</x:v>
      </x:c>
      <x:c r="I21" s="87" t="str">
        <x:v>60</x:v>
      </x:c>
      <x:c r="J21" s="30" t="str">
        <x:v>VIS_ID ключа/критерия, VIS_KEY</x:v>
      </x:c>
      <x:c r="K21" s="30" t="str">
        <x:v>DEC-BIO-03-001, DEC-BIO-03-006, DEC-BIO-03-007, DEC-BIO-03-008, DEC-BIO-03-010, DEC-BIO-03-011, DEC-BIO-03-012, DEC-BIO-03-014…</x:v>
      </x:c>
      <x:c r="L21" s="87" t="str">
        <x:v>CROP_VERIFIED</x:v>
      </x:c>
      <x:c r="M21" s="87" t="str">
        <x:v>ORIGINAL_PACKAGE</x:v>
      </x:c>
      <x:c r="N21" s="87" t="str">
        <x:v>pages/VIS-BIO-DEC-CRIT-34-P001.png</x:v>
      </x:c>
      <x:c r="O21" s="87" t="str">
        <x:v>thumbnails/VIS-BIO-DEC-CRIT-34-P001.jpg</x:v>
      </x:c>
      <x:c r="P21" s="87" t="str">
        <x:v>a11d69f8299bf123e047862257af8c55cd2db94125bdbd902201ecaeaa1567be</x:v>
      </x:c>
      <x:c r="Q21" s="30" t="str">
        <x:v>incoming/raw/recovery-drop-01/biology_dec_visual_assets_v089.zip!/pages/VIS-BIO-DEC-CRIT-34-P001.png</x:v>
      </x:c>
      <x:c r="R21" s="30" t="str">
        <x:v>MATCHED_ASSET</x:v>
      </x:c>
      <x:c r="S21" t="e">
        <x:f>HYPERLINK("visual_gallery/index.html#"&amp;A21,"Галерея")</x:f>
      </x:c>
    </x:row>
    <x:row r="22">
      <x:c r="A22" s="87" t="str">
        <x:v>VIS-BIO-DEC-CRIT-34-P002</x:v>
      </x:c>
      <x:c r="B22" s="30" t="str">
        <x:v>Биология</x:v>
      </x:c>
      <x:c r="C22" s="30"/>
      <x:c r="D22" s="30" t="str">
        <x:v>БИ2510203</x:v>
      </x:c>
      <x:c r="E22" s="87" t="str">
        <x:v>CRIT</x:v>
      </x:c>
      <x:c r="F22" s="30" t="str">
        <x:v>Kriterii_BI11_19122025_.pdf</x:v>
      </x:c>
      <x:c r="G22" s="87" t="str">
        <x:v>2</x:v>
      </x:c>
      <x:c r="H22" s="87" t="str">
        <x:v>v0.89</x:v>
      </x:c>
      <x:c r="I22" s="87" t="str">
        <x:v>2</x:v>
      </x:c>
      <x:c r="J22" s="30" t="str">
        <x:v>VIS_ID ключа/критерия, VIS_KEY</x:v>
      </x:c>
      <x:c r="K22" s="30" t="str">
        <x:v>DEC-BIO-03-022</x:v>
      </x:c>
      <x:c r="L22" s="87" t="str">
        <x:v>CROP_VERIFIED</x:v>
      </x:c>
      <x:c r="M22" s="87" t="str">
        <x:v>ORIGINAL_PACKAGE</x:v>
      </x:c>
      <x:c r="N22" s="87" t="str">
        <x:v>pages/VIS-BIO-DEC-CRIT-34-P002.png</x:v>
      </x:c>
      <x:c r="O22" s="87" t="str">
        <x:v>thumbnails/VIS-BIO-DEC-CRIT-34-P002.jpg</x:v>
      </x:c>
      <x:c r="P22" s="87" t="str">
        <x:v>a2185b022b45101a5ee0879794794267affc72690d5bfbb5528033d4bf52cf9e</x:v>
      </x:c>
      <x:c r="Q22" s="30" t="str">
        <x:v>incoming/raw/recovery-drop-01/biology_dec_visual_assets_v089.zip!/pages/VIS-BIO-DEC-CRIT-34-P002.png</x:v>
      </x:c>
      <x:c r="R22" s="30" t="str">
        <x:v>MATCHED_ASSET</x:v>
      </x:c>
      <x:c r="S22" t="e">
        <x:f>HYPERLINK("visual_gallery/index.html#"&amp;A22,"Галерея")</x:f>
      </x:c>
    </x:row>
    <x:row r="23">
      <x:c r="A23" s="87" t="str">
        <x:v>VIS-BIO-DEC-CRIT-34-P003</x:v>
      </x:c>
      <x:c r="B23" s="30" t="str">
        <x:v>Биология</x:v>
      </x:c>
      <x:c r="C23" s="30"/>
      <x:c r="D23" s="30" t="str">
        <x:v>БИ2510203</x:v>
      </x:c>
      <x:c r="E23" s="87" t="str">
        <x:v>CRIT</x:v>
      </x:c>
      <x:c r="F23" s="30" t="str">
        <x:v>Kriterii_BI11_19122025_.pdf</x:v>
      </x:c>
      <x:c r="G23" s="87" t="str">
        <x:v>3</x:v>
      </x:c>
      <x:c r="H23" s="87" t="str">
        <x:v>v0.89</x:v>
      </x:c>
      <x:c r="I23" s="87" t="str">
        <x:v>4</x:v>
      </x:c>
      <x:c r="J23" s="30" t="str">
        <x:v>VIS_ID ключа/критерия, VIS_KEY</x:v>
      </x:c>
      <x:c r="K23" s="30" t="str">
        <x:v>DEC-BIO-03-022, DEC-BIO-03-023</x:v>
      </x:c>
      <x:c r="L23" s="87" t="str">
        <x:v>CROP_VERIFIED</x:v>
      </x:c>
      <x:c r="M23" s="87" t="str">
        <x:v>ORIGINAL_PACKAGE</x:v>
      </x:c>
      <x:c r="N23" s="87" t="str">
        <x:v>pages/VIS-BIO-DEC-CRIT-34-P003.png</x:v>
      </x:c>
      <x:c r="O23" s="87" t="str">
        <x:v>thumbnails/VIS-BIO-DEC-CRIT-34-P003.jpg</x:v>
      </x:c>
      <x:c r="P23" s="87" t="str">
        <x:v>a5210b49bfd691599a4e6d00c9b21f2f11508628c7eedcad2b578a9fcca7ce3b</x:v>
      </x:c>
      <x:c r="Q23" s="30" t="str">
        <x:v>incoming/raw/recovery-drop-01/biology_dec_visual_assets_v089.zip!/pages/VIS-BIO-DEC-CRIT-34-P003.png</x:v>
      </x:c>
      <x:c r="R23" s="30" t="str">
        <x:v>MATCHED_ASSET</x:v>
      </x:c>
      <x:c r="S23" t="e">
        <x:f>HYPERLINK("visual_gallery/index.html#"&amp;A23,"Галерея")</x:f>
      </x:c>
    </x:row>
    <x:row r="24">
      <x:c r="A24" s="87" t="str">
        <x:v>VIS-BIO-DEC-CRIT-34-P004</x:v>
      </x:c>
      <x:c r="B24" s="30" t="str">
        <x:v>Биология</x:v>
      </x:c>
      <x:c r="C24" s="30"/>
      <x:c r="D24" s="30" t="str">
        <x:v>БИ2510203</x:v>
      </x:c>
      <x:c r="E24" s="87" t="str">
        <x:v>CRIT</x:v>
      </x:c>
      <x:c r="F24" s="30" t="str">
        <x:v>Kriterii_BI11_19122025_.pdf</x:v>
      </x:c>
      <x:c r="G24" s="87" t="str">
        <x:v>4</x:v>
      </x:c>
      <x:c r="H24" s="87" t="str">
        <x:v>v0.89</x:v>
      </x:c>
      <x:c r="I24" s="87" t="str">
        <x:v>4</x:v>
      </x:c>
      <x:c r="J24" s="30" t="str">
        <x:v>VIS_ID ключа/критерия, VIS_KEY</x:v>
      </x:c>
      <x:c r="K24" s="30" t="str">
        <x:v>DEC-BIO-03-023, DEC-BIO-03-024</x:v>
      </x:c>
      <x:c r="L24" s="87" t="str">
        <x:v>CROP_VERIFIED</x:v>
      </x:c>
      <x:c r="M24" s="87" t="str">
        <x:v>ORIGINAL_PACKAGE</x:v>
      </x:c>
      <x:c r="N24" s="87" t="str">
        <x:v>pages/VIS-BIO-DEC-CRIT-34-P004.png</x:v>
      </x:c>
      <x:c r="O24" s="87" t="str">
        <x:v>thumbnails/VIS-BIO-DEC-CRIT-34-P004.jpg</x:v>
      </x:c>
      <x:c r="P24" s="87" t="str">
        <x:v>784a78f433e206ce7d04fab9d914a41c2e46fe53acb835a5c6c65f86768d2a8e</x:v>
      </x:c>
      <x:c r="Q24" s="30" t="str">
        <x:v>incoming/raw/recovery-drop-01/biology_dec_visual_assets_v089.zip!/pages/VIS-BIO-DEC-CRIT-34-P004.png</x:v>
      </x:c>
      <x:c r="R24" s="30" t="str">
        <x:v>MATCHED_ASSET</x:v>
      </x:c>
      <x:c r="S24" t="e">
        <x:f>HYPERLINK("visual_gallery/index.html#"&amp;A24,"Галерея")</x:f>
      </x:c>
    </x:row>
    <x:row r="25">
      <x:c r="A25" s="87" t="str">
        <x:v>VIS-BIO-DEC-CRIT-34-P005</x:v>
      </x:c>
      <x:c r="B25" s="30" t="str">
        <x:v>Биология</x:v>
      </x:c>
      <x:c r="C25" s="30"/>
      <x:c r="D25" s="30" t="str">
        <x:v>БИ2510203</x:v>
      </x:c>
      <x:c r="E25" s="87" t="str">
        <x:v>CRIT</x:v>
      </x:c>
      <x:c r="F25" s="30" t="str">
        <x:v>Kriterii_BI11_19122025_.pdf</x:v>
      </x:c>
      <x:c r="G25" s="87" t="str">
        <x:v>5</x:v>
      </x:c>
      <x:c r="H25" s="87" t="str">
        <x:v>v0.89</x:v>
      </x:c>
      <x:c r="I25" s="87" t="str">
        <x:v>4</x:v>
      </x:c>
      <x:c r="J25" s="30" t="str">
        <x:v>VIS_ID ключа/критерия, VIS_KEY</x:v>
      </x:c>
      <x:c r="K25" s="30" t="str">
        <x:v>DEC-BIO-03-024, DEC-BIO-03-025</x:v>
      </x:c>
      <x:c r="L25" s="87" t="str">
        <x:v>CROP_VERIFIED</x:v>
      </x:c>
      <x:c r="M25" s="87" t="str">
        <x:v>ORIGINAL_PACKAGE</x:v>
      </x:c>
      <x:c r="N25" s="87" t="str">
        <x:v>pages/VIS-BIO-DEC-CRIT-34-P005.png</x:v>
      </x:c>
      <x:c r="O25" s="87" t="str">
        <x:v>thumbnails/VIS-BIO-DEC-CRIT-34-P005.jpg</x:v>
      </x:c>
      <x:c r="P25" s="87" t="str">
        <x:v>f39e610824d300a1511000c5571f492587e0bed79d14862ee359bf6e1dcf1fe0</x:v>
      </x:c>
      <x:c r="Q25" s="30" t="str">
        <x:v>incoming/raw/recovery-drop-01/biology_dec_visual_assets_v089.zip!/pages/VIS-BIO-DEC-CRIT-34-P005.png</x:v>
      </x:c>
      <x:c r="R25" s="30" t="str">
        <x:v>MATCHED_ASSET</x:v>
      </x:c>
      <x:c r="S25" t="e">
        <x:f>HYPERLINK("visual_gallery/index.html#"&amp;A25,"Галерея")</x:f>
      </x:c>
    </x:row>
    <x:row r="26">
      <x:c r="A26" s="87" t="str">
        <x:v>VIS-BIO-DEC-CRIT-34-P006</x:v>
      </x:c>
      <x:c r="B26" s="30" t="str">
        <x:v>Биология</x:v>
      </x:c>
      <x:c r="C26" s="30"/>
      <x:c r="D26" s="30" t="str">
        <x:v>БИ2510203</x:v>
      </x:c>
      <x:c r="E26" s="87" t="str">
        <x:v>CRIT</x:v>
      </x:c>
      <x:c r="F26" s="30" t="str">
        <x:v>Kriterii_BI11_19122025_.pdf</x:v>
      </x:c>
      <x:c r="G26" s="87" t="str">
        <x:v>6</x:v>
      </x:c>
      <x:c r="H26" s="87" t="str">
        <x:v>v0.89</x:v>
      </x:c>
      <x:c r="I26" s="87" t="str">
        <x:v>4</x:v>
      </x:c>
      <x:c r="J26" s="30" t="str">
        <x:v>VIS_ID ключа/критерия, VIS_KEY</x:v>
      </x:c>
      <x:c r="K26" s="30" t="str">
        <x:v>DEC-BIO-03-025, DEC-BIO-03-026</x:v>
      </x:c>
      <x:c r="L26" s="87" t="str">
        <x:v>CROP_VERIFIED</x:v>
      </x:c>
      <x:c r="M26" s="87" t="str">
        <x:v>ORIGINAL_PACKAGE</x:v>
      </x:c>
      <x:c r="N26" s="87" t="str">
        <x:v>pages/VIS-BIO-DEC-CRIT-34-P006.png</x:v>
      </x:c>
      <x:c r="O26" s="87" t="str">
        <x:v>thumbnails/VIS-BIO-DEC-CRIT-34-P006.jpg</x:v>
      </x:c>
      <x:c r="P26" s="87" t="str">
        <x:v>71b2d126774fafc4e36e86099a167c751728c27dfce07373f5f44c8045ed013c</x:v>
      </x:c>
      <x:c r="Q26" s="30" t="str">
        <x:v>incoming/raw/recovery-drop-01/biology_dec_visual_assets_v089.zip!/pages/VIS-BIO-DEC-CRIT-34-P006.png</x:v>
      </x:c>
      <x:c r="R26" s="30" t="str">
        <x:v>MATCHED_ASSET</x:v>
      </x:c>
      <x:c r="S26" t="e">
        <x:f>HYPERLINK("visual_gallery/index.html#"&amp;A26,"Галерея")</x:f>
      </x:c>
    </x:row>
    <x:row r="27">
      <x:c r="A27" s="87" t="str">
        <x:v>VIS-BIO-DEC-CRIT-34-P007</x:v>
      </x:c>
      <x:c r="B27" s="30" t="str">
        <x:v>Биология</x:v>
      </x:c>
      <x:c r="C27" s="30"/>
      <x:c r="D27" s="30" t="str">
        <x:v>БИ2510203</x:v>
      </x:c>
      <x:c r="E27" s="87" t="str">
        <x:v>CRIT</x:v>
      </x:c>
      <x:c r="F27" s="30" t="str">
        <x:v>Kriterii_BI11_19122025_.pdf</x:v>
      </x:c>
      <x:c r="G27" s="87" t="str">
        <x:v>7</x:v>
      </x:c>
      <x:c r="H27" s="87" t="str">
        <x:v>v0.89</x:v>
      </x:c>
      <x:c r="I27" s="87" t="str">
        <x:v>4</x:v>
      </x:c>
      <x:c r="J27" s="30" t="str">
        <x:v>VIS_ID ключа/критерия, VIS_KEY</x:v>
      </x:c>
      <x:c r="K27" s="30" t="str">
        <x:v>DEC-BIO-03-026, DEC-BIO-03-027</x:v>
      </x:c>
      <x:c r="L27" s="87" t="str">
        <x:v>CROP_VERIFIED</x:v>
      </x:c>
      <x:c r="M27" s="87" t="str">
        <x:v>ORIGINAL_PACKAGE</x:v>
      </x:c>
      <x:c r="N27" s="87" t="str">
        <x:v>pages/VIS-BIO-DEC-CRIT-34-P007.png</x:v>
      </x:c>
      <x:c r="O27" s="87" t="str">
        <x:v>thumbnails/VIS-BIO-DEC-CRIT-34-P007.jpg</x:v>
      </x:c>
      <x:c r="P27" s="87" t="str">
        <x:v>47303dbac5a33ce8ca21961eb2fc5bde6d61359d9553f7ab54d12ac090612cd5</x:v>
      </x:c>
      <x:c r="Q27" s="30" t="str">
        <x:v>incoming/raw/recovery-drop-01/biology_dec_visual_assets_v089.zip!/pages/VIS-BIO-DEC-CRIT-34-P007.png</x:v>
      </x:c>
      <x:c r="R27" s="30" t="str">
        <x:v>MATCHED_ASSET</x:v>
      </x:c>
      <x:c r="S27" t="e">
        <x:f>HYPERLINK("visual_gallery/index.html#"&amp;A27,"Галерея")</x:f>
      </x:c>
    </x:row>
    <x:row r="28">
      <x:c r="A28" s="87" t="str">
        <x:v>VIS-BIO-DEC-CRIT-34-P008</x:v>
      </x:c>
      <x:c r="B28" s="30" t="str">
        <x:v>Биология</x:v>
      </x:c>
      <x:c r="C28" s="30"/>
      <x:c r="D28" s="30" t="str">
        <x:v>БИ2510203</x:v>
      </x:c>
      <x:c r="E28" s="87" t="str">
        <x:v>CRIT</x:v>
      </x:c>
      <x:c r="F28" s="30" t="str">
        <x:v>Kriterii_BI11_19122025_.pdf</x:v>
      </x:c>
      <x:c r="G28" s="87" t="str">
        <x:v>8</x:v>
      </x:c>
      <x:c r="H28" s="87" t="str">
        <x:v>v0.89</x:v>
      </x:c>
      <x:c r="I28" s="87" t="str">
        <x:v>2</x:v>
      </x:c>
      <x:c r="J28" s="30" t="str">
        <x:v>VIS_ID ключа/критерия, VIS_KEY</x:v>
      </x:c>
      <x:c r="K28" s="30" t="str">
        <x:v>DEC-BIO-03-027</x:v>
      </x:c>
      <x:c r="L28" s="87" t="str">
        <x:v>CROP_VERIFIED</x:v>
      </x:c>
      <x:c r="M28" s="87" t="str">
        <x:v>ORIGINAL_PACKAGE</x:v>
      </x:c>
      <x:c r="N28" s="87" t="str">
        <x:v>pages/VIS-BIO-DEC-CRIT-34-P008.png</x:v>
      </x:c>
      <x:c r="O28" s="87" t="str">
        <x:v>thumbnails/VIS-BIO-DEC-CRIT-34-P008.jpg</x:v>
      </x:c>
      <x:c r="P28" s="87" t="str">
        <x:v>4bad53425f21c10d55cec9a3db371b499d0ca7bb6b13b0584a08349b995758f8</x:v>
      </x:c>
      <x:c r="Q28" s="30" t="str">
        <x:v>incoming/raw/recovery-drop-01/biology_dec_visual_assets_v089.zip!/pages/VIS-BIO-DEC-CRIT-34-P008.png</x:v>
      </x:c>
      <x:c r="R28" s="30" t="str">
        <x:v>MATCHED_ASSET</x:v>
      </x:c>
      <x:c r="S28" t="e">
        <x:f>HYPERLINK("visual_gallery/index.html#"&amp;A28,"Галерея")</x:f>
      </x:c>
    </x:row>
    <x:row r="29">
      <x:c r="A29" s="87" t="str">
        <x:v>VIS-BIO-DEC-CRIT-34-P009</x:v>
      </x:c>
      <x:c r="B29" s="30" t="str">
        <x:v>Биология</x:v>
      </x:c>
      <x:c r="C29" s="30"/>
      <x:c r="D29" s="30" t="str">
        <x:v>БИ2510203</x:v>
      </x:c>
      <x:c r="E29" s="87" t="str">
        <x:v>CRIT</x:v>
      </x:c>
      <x:c r="F29" s="30" t="str">
        <x:v>Kriterii_BI11_19122025_.pdf</x:v>
      </x:c>
      <x:c r="G29" s="87" t="str">
        <x:v>9</x:v>
      </x:c>
      <x:c r="H29" s="87" t="str">
        <x:v>v0.89</x:v>
      </x:c>
      <x:c r="I29" s="87" t="str">
        <x:v>4</x:v>
      </x:c>
      <x:c r="J29" s="30" t="str">
        <x:v>VIS_ID ключа/критерия, VIS_KEY</x:v>
      </x:c>
      <x:c r="K29" s="30" t="str">
        <x:v>DEC-BIO-03-027, DEC-BIO-03-028</x:v>
      </x:c>
      <x:c r="L29" s="87" t="str">
        <x:v>CROP_VERIFIED</x:v>
      </x:c>
      <x:c r="M29" s="87" t="str">
        <x:v>ORIGINAL_PACKAGE</x:v>
      </x:c>
      <x:c r="N29" s="87" t="str">
        <x:v>pages/VIS-BIO-DEC-CRIT-34-P009.png</x:v>
      </x:c>
      <x:c r="O29" s="87" t="str">
        <x:v>thumbnails/VIS-BIO-DEC-CRIT-34-P009.jpg</x:v>
      </x:c>
      <x:c r="P29" s="87" t="str">
        <x:v>7e7c7cf777d31e696aa01e24e8f2cc968912b705b2f5f7f0a32b770413e0d951</x:v>
      </x:c>
      <x:c r="Q29" s="30" t="str">
        <x:v>incoming/raw/recovery-drop-01/biology_dec_visual_assets_v089.zip!/pages/VIS-BIO-DEC-CRIT-34-P009.png</x:v>
      </x:c>
      <x:c r="R29" s="30" t="str">
        <x:v>MATCHED_ASSET</x:v>
      </x:c>
      <x:c r="S29" t="e">
        <x:f>HYPERLINK("visual_gallery/index.html#"&amp;A29,"Галерея")</x:f>
      </x:c>
    </x:row>
    <x:row r="30">
      <x:c r="A30" s="87" t="str">
        <x:v>VIS-BIO-DEC-CRIT-34-P010</x:v>
      </x:c>
      <x:c r="B30" s="30" t="str">
        <x:v>Биология</x:v>
      </x:c>
      <x:c r="C30" s="30"/>
      <x:c r="D30" s="30" t="str">
        <x:v>БИ2510203</x:v>
      </x:c>
      <x:c r="E30" s="87" t="str">
        <x:v>CRIT</x:v>
      </x:c>
      <x:c r="F30" s="30" t="str">
        <x:v>Kriterii_BI11_19122025_.pdf</x:v>
      </x:c>
      <x:c r="G30" s="87" t="str">
        <x:v>10</x:v>
      </x:c>
      <x:c r="H30" s="87" t="str">
        <x:v>v0.89</x:v>
      </x:c>
      <x:c r="I30" s="87" t="str">
        <x:v>2</x:v>
      </x:c>
      <x:c r="J30" s="30" t="str">
        <x:v>VIS_ID ключа/критерия, VIS_KEY</x:v>
      </x:c>
      <x:c r="K30" s="30" t="str">
        <x:v>DEC-BIO-03-028</x:v>
      </x:c>
      <x:c r="L30" s="87" t="str">
        <x:v>CROP_VERIFIED</x:v>
      </x:c>
      <x:c r="M30" s="87" t="str">
        <x:v>ORIGINAL_PACKAGE</x:v>
      </x:c>
      <x:c r="N30" s="87" t="str">
        <x:v>pages/VIS-BIO-DEC-CRIT-34-P010.png</x:v>
      </x:c>
      <x:c r="O30" s="87" t="str">
        <x:v>thumbnails/VIS-BIO-DEC-CRIT-34-P010.jpg</x:v>
      </x:c>
      <x:c r="P30" s="87" t="str">
        <x:v>2671493f8a36778d8b897405c134d50ae4cb2e235e77dffbfcb988fdbfa4e89e</x:v>
      </x:c>
      <x:c r="Q30" s="30" t="str">
        <x:v>incoming/raw/recovery-drop-01/biology_dec_visual_assets_v089.zip!/pages/VIS-BIO-DEC-CRIT-34-P010.png</x:v>
      </x:c>
      <x:c r="R30" s="30" t="str">
        <x:v>MATCHED_ASSET</x:v>
      </x:c>
      <x:c r="S30" t="e">
        <x:f>HYPERLINK("visual_gallery/index.html#"&amp;A30,"Галерея")</x:f>
      </x:c>
    </x:row>
    <x:row r="31">
      <x:c r="A31" s="87" t="str">
        <x:v>VIS-BIO-DEC-CRIT-34-P011</x:v>
      </x:c>
      <x:c r="B31" s="30" t="str">
        <x:v>Биология</x:v>
      </x:c>
      <x:c r="C31" s="30"/>
      <x:c r="D31" s="30" t="str">
        <x:v>БИ2510204</x:v>
      </x:c>
      <x:c r="E31" s="87" t="str">
        <x:v>CRIT</x:v>
      </x:c>
      <x:c r="F31" s="30" t="str">
        <x:v>Kriterii_BI11_19122025_.pdf</x:v>
      </x:c>
      <x:c r="G31" s="87" t="str">
        <x:v>11</x:v>
      </x:c>
      <x:c r="H31" s="87" t="str">
        <x:v>v0.89</x:v>
      </x:c>
      <x:c r="I31" s="87" t="str">
        <x:v>2</x:v>
      </x:c>
      <x:c r="J31" s="30" t="str">
        <x:v>VIS_ID ключа/критерия, VIS_KEY</x:v>
      </x:c>
      <x:c r="K31" s="30" t="str">
        <x:v>DEC-BIO-04-022</x:v>
      </x:c>
      <x:c r="L31" s="87" t="str">
        <x:v>CROP_VERIFIED</x:v>
      </x:c>
      <x:c r="M31" s="87" t="str">
        <x:v>ORIGINAL_PACKAGE</x:v>
      </x:c>
      <x:c r="N31" s="87" t="str">
        <x:v>pages/VIS-BIO-DEC-CRIT-34-P011.png</x:v>
      </x:c>
      <x:c r="O31" s="87" t="str">
        <x:v>thumbnails/VIS-BIO-DEC-CRIT-34-P011.jpg</x:v>
      </x:c>
      <x:c r="P31" s="87" t="str">
        <x:v>f6656ebb6765aefb3ceaed35068b2025f4940213d91b6cd37c0e4f092d4fd094</x:v>
      </x:c>
      <x:c r="Q31" s="30" t="str">
        <x:v>incoming/raw/recovery-drop-01/biology_dec_visual_assets_v089.zip!/pages/VIS-BIO-DEC-CRIT-34-P011.png</x:v>
      </x:c>
      <x:c r="R31" s="30" t="str">
        <x:v>MATCHED_ASSET</x:v>
      </x:c>
      <x:c r="S31" t="e">
        <x:f>HYPERLINK("visual_gallery/index.html#"&amp;A31,"Галерея")</x:f>
      </x:c>
    </x:row>
    <x:row r="32">
      <x:c r="A32" s="87" t="str">
        <x:v>VIS-BIO-DEC-CRIT-34-P012</x:v>
      </x:c>
      <x:c r="B32" s="30" t="str">
        <x:v>Биология</x:v>
      </x:c>
      <x:c r="C32" s="30"/>
      <x:c r="D32" s="30" t="str">
        <x:v>БИ2510204</x:v>
      </x:c>
      <x:c r="E32" s="87" t="str">
        <x:v>CRIT</x:v>
      </x:c>
      <x:c r="F32" s="30" t="str">
        <x:v>Kriterii_BI11_19122025_.pdf</x:v>
      </x:c>
      <x:c r="G32" s="87" t="str">
        <x:v>12</x:v>
      </x:c>
      <x:c r="H32" s="87" t="str">
        <x:v>v0.89</x:v>
      </x:c>
      <x:c r="I32" s="87" t="str">
        <x:v>4</x:v>
      </x:c>
      <x:c r="J32" s="30" t="str">
        <x:v>VIS_ID ключа/критерия, VIS_KEY</x:v>
      </x:c>
      <x:c r="K32" s="30" t="str">
        <x:v>DEC-BIO-04-022, DEC-BIO-04-023</x:v>
      </x:c>
      <x:c r="L32" s="87" t="str">
        <x:v>CROP_VERIFIED</x:v>
      </x:c>
      <x:c r="M32" s="87" t="str">
        <x:v>ORIGINAL_PACKAGE</x:v>
      </x:c>
      <x:c r="N32" s="87" t="str">
        <x:v>pages/VIS-BIO-DEC-CRIT-34-P012.png</x:v>
      </x:c>
      <x:c r="O32" s="87" t="str">
        <x:v>thumbnails/VIS-BIO-DEC-CRIT-34-P012.jpg</x:v>
      </x:c>
      <x:c r="P32" s="87" t="str">
        <x:v>9daf3be9787e8d187e8e5f6ce247f3132e9503d74a7b9f819654e74f9742ea43</x:v>
      </x:c>
      <x:c r="Q32" s="30" t="str">
        <x:v>incoming/raw/recovery-drop-01/biology_dec_visual_assets_v089.zip!/pages/VIS-BIO-DEC-CRIT-34-P012.png</x:v>
      </x:c>
      <x:c r="R32" s="30" t="str">
        <x:v>MATCHED_ASSET</x:v>
      </x:c>
      <x:c r="S32" t="e">
        <x:f>HYPERLINK("visual_gallery/index.html#"&amp;A32,"Галерея")</x:f>
      </x:c>
    </x:row>
    <x:row r="33">
      <x:c r="A33" s="87" t="str">
        <x:v>VIS-BIO-DEC-CRIT-34-P013</x:v>
      </x:c>
      <x:c r="B33" s="30" t="str">
        <x:v>Биология</x:v>
      </x:c>
      <x:c r="C33" s="30"/>
      <x:c r="D33" s="30" t="str">
        <x:v>БИ2510204</x:v>
      </x:c>
      <x:c r="E33" s="87" t="str">
        <x:v>CRIT</x:v>
      </x:c>
      <x:c r="F33" s="30" t="str">
        <x:v>Kriterii_BI11_19122025_.pdf</x:v>
      </x:c>
      <x:c r="G33" s="87" t="str">
        <x:v>13</x:v>
      </x:c>
      <x:c r="H33" s="87" t="str">
        <x:v>v0.89</x:v>
      </x:c>
      <x:c r="I33" s="87" t="str">
        <x:v>4</x:v>
      </x:c>
      <x:c r="J33" s="30" t="str">
        <x:v>VIS_ID ключа/критерия, VIS_KEY</x:v>
      </x:c>
      <x:c r="K33" s="30" t="str">
        <x:v>DEC-BIO-04-023, DEC-BIO-04-024</x:v>
      </x:c>
      <x:c r="L33" s="87" t="str">
        <x:v>CROP_VERIFIED</x:v>
      </x:c>
      <x:c r="M33" s="87" t="str">
        <x:v>ORIGINAL_PACKAGE</x:v>
      </x:c>
      <x:c r="N33" s="87" t="str">
        <x:v>pages/VIS-BIO-DEC-CRIT-34-P013.png</x:v>
      </x:c>
      <x:c r="O33" s="87" t="str">
        <x:v>thumbnails/VIS-BIO-DEC-CRIT-34-P013.jpg</x:v>
      </x:c>
      <x:c r="P33" s="87" t="str">
        <x:v>13346384cff15115e60bbb50ff7ffdf053f3223a1e7837d616a95b136382819e</x:v>
      </x:c>
      <x:c r="Q33" s="30" t="str">
        <x:v>incoming/raw/recovery-drop-01/biology_dec_visual_assets_v089.zip!/pages/VIS-BIO-DEC-CRIT-34-P013.png</x:v>
      </x:c>
      <x:c r="R33" s="30" t="str">
        <x:v>MATCHED_ASSET</x:v>
      </x:c>
      <x:c r="S33" t="e">
        <x:f>HYPERLINK("visual_gallery/index.html#"&amp;A33,"Галерея")</x:f>
      </x:c>
    </x:row>
    <x:row r="34">
      <x:c r="A34" s="87" t="str">
        <x:v>VIS-BIO-DEC-CRIT-34-P014</x:v>
      </x:c>
      <x:c r="B34" s="30" t="str">
        <x:v>Биология</x:v>
      </x:c>
      <x:c r="C34" s="30"/>
      <x:c r="D34" s="30" t="str">
        <x:v>БИ2510204</x:v>
      </x:c>
      <x:c r="E34" s="87" t="str">
        <x:v>CRIT</x:v>
      </x:c>
      <x:c r="F34" s="30" t="str">
        <x:v>Kriterii_BI11_19122025_.pdf</x:v>
      </x:c>
      <x:c r="G34" s="87" t="str">
        <x:v>14</x:v>
      </x:c>
      <x:c r="H34" s="87" t="str">
        <x:v>v0.89</x:v>
      </x:c>
      <x:c r="I34" s="87" t="str">
        <x:v>4</x:v>
      </x:c>
      <x:c r="J34" s="30" t="str">
        <x:v>VIS_ID ключа/критерия, VIS_KEY</x:v>
      </x:c>
      <x:c r="K34" s="30" t="str">
        <x:v>DEC-BIO-04-024, DEC-BIO-04-025</x:v>
      </x:c>
      <x:c r="L34" s="87" t="str">
        <x:v>CROP_VERIFIED</x:v>
      </x:c>
      <x:c r="M34" s="87" t="str">
        <x:v>ORIGINAL_PACKAGE</x:v>
      </x:c>
      <x:c r="N34" s="87" t="str">
        <x:v>pages/VIS-BIO-DEC-CRIT-34-P014.png</x:v>
      </x:c>
      <x:c r="O34" s="87" t="str">
        <x:v>thumbnails/VIS-BIO-DEC-CRIT-34-P014.jpg</x:v>
      </x:c>
      <x:c r="P34" s="87" t="str">
        <x:v>0a82252473869fe02b5fba29675908fd38b969a84205d0f36bbc06382e989041</x:v>
      </x:c>
      <x:c r="Q34" s="30" t="str">
        <x:v>incoming/raw/recovery-drop-01/biology_dec_visual_assets_v089.zip!/pages/VIS-BIO-DEC-CRIT-34-P014.png</x:v>
      </x:c>
      <x:c r="R34" s="30" t="str">
        <x:v>MATCHED_ASSET</x:v>
      </x:c>
      <x:c r="S34" t="e">
        <x:f>HYPERLINK("visual_gallery/index.html#"&amp;A34,"Галерея")</x:f>
      </x:c>
    </x:row>
    <x:row r="35">
      <x:c r="A35" s="87" t="str">
        <x:v>VIS-BIO-DEC-CRIT-34-P015</x:v>
      </x:c>
      <x:c r="B35" s="30" t="str">
        <x:v>Биология</x:v>
      </x:c>
      <x:c r="C35" s="30"/>
      <x:c r="D35" s="30" t="str">
        <x:v>БИ2510204</x:v>
      </x:c>
      <x:c r="E35" s="87" t="str">
        <x:v>CRIT</x:v>
      </x:c>
      <x:c r="F35" s="30" t="str">
        <x:v>Kriterii_BI11_19122025_.pdf</x:v>
      </x:c>
      <x:c r="G35" s="87" t="str">
        <x:v>15</x:v>
      </x:c>
      <x:c r="H35" s="87" t="str">
        <x:v>v0.89</x:v>
      </x:c>
      <x:c r="I35" s="87" t="str">
        <x:v>4</x:v>
      </x:c>
      <x:c r="J35" s="30" t="str">
        <x:v>VIS_ID ключа/критерия, VIS_KEY</x:v>
      </x:c>
      <x:c r="K35" s="30" t="str">
        <x:v>DEC-BIO-04-025, DEC-BIO-04-026</x:v>
      </x:c>
      <x:c r="L35" s="87" t="str">
        <x:v>CROP_VERIFIED</x:v>
      </x:c>
      <x:c r="M35" s="87" t="str">
        <x:v>ORIGINAL_PACKAGE</x:v>
      </x:c>
      <x:c r="N35" s="87" t="str">
        <x:v>pages/VIS-BIO-DEC-CRIT-34-P015.png</x:v>
      </x:c>
      <x:c r="O35" s="87" t="str">
        <x:v>thumbnails/VIS-BIO-DEC-CRIT-34-P015.jpg</x:v>
      </x:c>
      <x:c r="P35" s="87" t="str">
        <x:v>48c6b0c9313f71c0cc721107982f0f66a8eefcd56bae40f423db8a6e544f8c35</x:v>
      </x:c>
      <x:c r="Q35" s="30" t="str">
        <x:v>incoming/raw/recovery-drop-01/biology_dec_visual_assets_v089.zip!/pages/VIS-BIO-DEC-CRIT-34-P015.png</x:v>
      </x:c>
      <x:c r="R35" s="30" t="str">
        <x:v>MATCHED_ASSET</x:v>
      </x:c>
      <x:c r="S35" t="e">
        <x:f>HYPERLINK("visual_gallery/index.html#"&amp;A35,"Галерея")</x:f>
      </x:c>
    </x:row>
    <x:row r="36">
      <x:c r="A36" s="87" t="str">
        <x:v>VIS-BIO-DEC-CRIT-34-P016</x:v>
      </x:c>
      <x:c r="B36" s="30" t="str">
        <x:v>Биология</x:v>
      </x:c>
      <x:c r="C36" s="30"/>
      <x:c r="D36" s="30" t="str">
        <x:v>БИ2510204</x:v>
      </x:c>
      <x:c r="E36" s="87" t="str">
        <x:v>CRIT</x:v>
      </x:c>
      <x:c r="F36" s="30" t="str">
        <x:v>Kriterii_BI11_19122025_.pdf</x:v>
      </x:c>
      <x:c r="G36" s="87" t="str">
        <x:v>16</x:v>
      </x:c>
      <x:c r="H36" s="87" t="str">
        <x:v>v0.89</x:v>
      </x:c>
      <x:c r="I36" s="87" t="str">
        <x:v>4</x:v>
      </x:c>
      <x:c r="J36" s="30" t="str">
        <x:v>VIS_ID ключа/критерия, VIS_KEY</x:v>
      </x:c>
      <x:c r="K36" s="30" t="str">
        <x:v>DEC-BIO-04-026, DEC-BIO-04-027</x:v>
      </x:c>
      <x:c r="L36" s="87" t="str">
        <x:v>CROP_VERIFIED</x:v>
      </x:c>
      <x:c r="M36" s="87" t="str">
        <x:v>ORIGINAL_PACKAGE</x:v>
      </x:c>
      <x:c r="N36" s="87" t="str">
        <x:v>pages/VIS-BIO-DEC-CRIT-34-P016.png</x:v>
      </x:c>
      <x:c r="O36" s="87" t="str">
        <x:v>thumbnails/VIS-BIO-DEC-CRIT-34-P016.jpg</x:v>
      </x:c>
      <x:c r="P36" s="87" t="str">
        <x:v>7c450070a1dafc381457213ff9ef42bb2d6fa320f2fcca447f4935201ce52fad</x:v>
      </x:c>
      <x:c r="Q36" s="30" t="str">
        <x:v>incoming/raw/recovery-drop-01/biology_dec_visual_assets_v089.zip!/pages/VIS-BIO-DEC-CRIT-34-P016.png</x:v>
      </x:c>
      <x:c r="R36" s="30" t="str">
        <x:v>MATCHED_ASSET</x:v>
      </x:c>
      <x:c r="S36" t="e">
        <x:f>HYPERLINK("visual_gallery/index.html#"&amp;A36,"Галерея")</x:f>
      </x:c>
    </x:row>
    <x:row r="37">
      <x:c r="A37" s="87" t="str">
        <x:v>VIS-BIO-DEC-CRIT-34-P017</x:v>
      </x:c>
      <x:c r="B37" s="30" t="str">
        <x:v>Биология</x:v>
      </x:c>
      <x:c r="C37" s="30"/>
      <x:c r="D37" s="30" t="str">
        <x:v>БИ2510204</x:v>
      </x:c>
      <x:c r="E37" s="87" t="str">
        <x:v>CRIT</x:v>
      </x:c>
      <x:c r="F37" s="30" t="str">
        <x:v>Kriterii_BI11_19122025_.pdf</x:v>
      </x:c>
      <x:c r="G37" s="87" t="str">
        <x:v>17</x:v>
      </x:c>
      <x:c r="H37" s="87" t="str">
        <x:v>v0.89</x:v>
      </x:c>
      <x:c r="I37" s="87" t="str">
        <x:v>2</x:v>
      </x:c>
      <x:c r="J37" s="30" t="str">
        <x:v>VIS_ID ключа/критерия, VIS_KEY</x:v>
      </x:c>
      <x:c r="K37" s="30" t="str">
        <x:v>DEC-BIO-04-027</x:v>
      </x:c>
      <x:c r="L37" s="87" t="str">
        <x:v>CROP_VERIFIED</x:v>
      </x:c>
      <x:c r="M37" s="87" t="str">
        <x:v>ORIGINAL_PACKAGE</x:v>
      </x:c>
      <x:c r="N37" s="87" t="str">
        <x:v>pages/VIS-BIO-DEC-CRIT-34-P017.png</x:v>
      </x:c>
      <x:c r="O37" s="87" t="str">
        <x:v>thumbnails/VIS-BIO-DEC-CRIT-34-P017.jpg</x:v>
      </x:c>
      <x:c r="P37" s="87" t="str">
        <x:v>209c355bf3a12bc734a45d0bd29d7a1cf6dbd2adcb292bb2bb125674a8dc28e3</x:v>
      </x:c>
      <x:c r="Q37" s="30" t="str">
        <x:v>incoming/raw/recovery-drop-01/biology_dec_visual_assets_v089.zip!/pages/VIS-BIO-DEC-CRIT-34-P017.png</x:v>
      </x:c>
      <x:c r="R37" s="30" t="str">
        <x:v>MATCHED_ASSET</x:v>
      </x:c>
      <x:c r="S37" t="e">
        <x:f>HYPERLINK("visual_gallery/index.html#"&amp;A37,"Галерея")</x:f>
      </x:c>
    </x:row>
    <x:row r="38">
      <x:c r="A38" s="87" t="str">
        <x:v>VIS-BIO-DEC-CRIT-34-P018</x:v>
      </x:c>
      <x:c r="B38" s="30" t="str">
        <x:v>Биология</x:v>
      </x:c>
      <x:c r="C38" s="30"/>
      <x:c r="D38" s="30" t="str">
        <x:v>БИ2510204</x:v>
      </x:c>
      <x:c r="E38" s="87" t="str">
        <x:v>CRIT</x:v>
      </x:c>
      <x:c r="F38" s="30" t="str">
        <x:v>Kriterii_BI11_19122025_.pdf</x:v>
      </x:c>
      <x:c r="G38" s="87" t="str">
        <x:v>18</x:v>
      </x:c>
      <x:c r="H38" s="87" t="str">
        <x:v>v0.89</x:v>
      </x:c>
      <x:c r="I38" s="87" t="str">
        <x:v>4</x:v>
      </x:c>
      <x:c r="J38" s="30" t="str">
        <x:v>VIS_ID ключа/критерия, VIS_KEY</x:v>
      </x:c>
      <x:c r="K38" s="30" t="str">
        <x:v>DEC-BIO-04-027, DEC-BIO-04-028</x:v>
      </x:c>
      <x:c r="L38" s="87" t="str">
        <x:v>CROP_VERIFIED</x:v>
      </x:c>
      <x:c r="M38" s="87" t="str">
        <x:v>ORIGINAL_PACKAGE</x:v>
      </x:c>
      <x:c r="N38" s="87" t="str">
        <x:v>pages/VIS-BIO-DEC-CRIT-34-P018.png</x:v>
      </x:c>
      <x:c r="O38" s="87" t="str">
        <x:v>thumbnails/VIS-BIO-DEC-CRIT-34-P018.jpg</x:v>
      </x:c>
      <x:c r="P38" s="87" t="str">
        <x:v>971e015936c7279628c4ee1f45bada3a5ecc62b8462d939bfaaab7df7371535a</x:v>
      </x:c>
      <x:c r="Q38" s="30" t="str">
        <x:v>incoming/raw/recovery-drop-01/biology_dec_visual_assets_v089.zip!/pages/VIS-BIO-DEC-CRIT-34-P018.png</x:v>
      </x:c>
      <x:c r="R38" s="30" t="str">
        <x:v>MATCHED_ASSET</x:v>
      </x:c>
      <x:c r="S38" t="e">
        <x:f>HYPERLINK("visual_gallery/index.html#"&amp;A38,"Галерея")</x:f>
      </x:c>
    </x:row>
    <x:row r="39">
      <x:c r="A39" s="87" t="str">
        <x:v>VIS-BIO-DEC-CRIT-34-P019</x:v>
      </x:c>
      <x:c r="B39" s="30" t="str">
        <x:v>Биология</x:v>
      </x:c>
      <x:c r="C39" s="30"/>
      <x:c r="D39" s="30" t="str">
        <x:v>БИ2510204</x:v>
      </x:c>
      <x:c r="E39" s="87" t="str">
        <x:v>CRIT</x:v>
      </x:c>
      <x:c r="F39" s="30" t="str">
        <x:v>Kriterii_BI11_19122025_.pdf</x:v>
      </x:c>
      <x:c r="G39" s="87" t="str">
        <x:v>19</x:v>
      </x:c>
      <x:c r="H39" s="87" t="str">
        <x:v>v0.89</x:v>
      </x:c>
      <x:c r="I39" s="87" t="str">
        <x:v>2</x:v>
      </x:c>
      <x:c r="J39" s="30" t="str">
        <x:v>VIS_ID ключа/критерия, VIS_KEY</x:v>
      </x:c>
      <x:c r="K39" s="30" t="str">
        <x:v>DEC-BIO-04-028</x:v>
      </x:c>
      <x:c r="L39" s="87" t="str">
        <x:v>CROP_VERIFIED</x:v>
      </x:c>
      <x:c r="M39" s="87" t="str">
        <x:v>ORIGINAL_PACKAGE</x:v>
      </x:c>
      <x:c r="N39" s="87" t="str">
        <x:v>pages/VIS-BIO-DEC-CRIT-34-P019.png</x:v>
      </x:c>
      <x:c r="O39" s="87" t="str">
        <x:v>thumbnails/VIS-BIO-DEC-CRIT-34-P019.jpg</x:v>
      </x:c>
      <x:c r="P39" s="87" t="str">
        <x:v>0d3d94938a17e93e78e71c46bca45bfccd3c670b4f8e4802ee7dcf156762bd1b</x:v>
      </x:c>
      <x:c r="Q39" s="30" t="str">
        <x:v>incoming/raw/recovery-drop-01/biology_dec_visual_assets_v089.zip!/pages/VIS-BIO-DEC-CRIT-34-P019.png</x:v>
      </x:c>
      <x:c r="R39" s="30" t="str">
        <x:v>MATCHED_ASSET</x:v>
      </x:c>
      <x:c r="S39" t="e">
        <x:f>HYPERLINK("visual_gallery/index.html#"&amp;A39,"Галерея")</x:f>
      </x:c>
    </x:row>
    <x:row r="40">
      <x:c r="A40" s="87" t="str">
        <x:v>VIS-BIO-DEC-KEY-SECONDARY</x:v>
      </x:c>
      <x:c r="B40" s="30" t="str"/>
      <x:c r="C40" s="30"/>
      <x:c r="D40" s="30" t="str"/>
      <x:c r="E40" s="87" t="str">
        <x:v>SECONDARY_SOURCE</x:v>
      </x:c>
      <x:c r="F40" s="30" t="str">
        <x:v>photo_2025-12-19_08-56-15.jpg</x:v>
      </x:c>
      <x:c r="G40" s="87" t="str">
        <x:v>original</x:v>
      </x:c>
      <x:c r="H40" s="87" t="str">
        <x:v>v0.89</x:v>
      </x:c>
      <x:c r="I40" s="87" t="str">
        <x:v>0</x:v>
      </x:c>
      <x:c r="J40" s="30" t="str"/>
      <x:c r="K40" s="30" t="str"/>
      <x:c r="L40" s="87" t="str">
        <x:v>CROP_VERIFIED</x:v>
      </x:c>
      <x:c r="M40" s="87" t="str">
        <x:v>ORIGINAL_PACKAGE</x:v>
      </x:c>
      <x:c r="N40" s="87" t="str">
        <x:v>pages/VIS-BIO-DEC-KEY-SECONDARY.png</x:v>
      </x:c>
      <x:c r="O40" s="87" t="str">
        <x:v>thumbnails/VIS-BIO-DEC-KEY-SECONDARY.jpg</x:v>
      </x:c>
      <x:c r="P40" s="87" t="str">
        <x:v>e2e50b113b87659bd9de8a0df3786afe084d46b3910671802c8dc2e99ab9b51f</x:v>
      </x:c>
      <x:c r="Q40" s="30" t="str">
        <x:v>incoming/raw/recovery-drop-01/biology_dec_visual_assets_v089.zip!/pages/VIS-BIO-DEC-KEY-SECONDARY.png</x:v>
      </x:c>
      <x:c r="R40" s="30" t="str">
        <x:v>RESOLVED_UNLINKED_REGISTRY_VISUAL</x:v>
      </x:c>
      <x:c r="S40" t="e">
        <x:f>HYPERLINK("visual_gallery/index.html#"&amp;A40,"Галерея")</x:f>
      </x:c>
    </x:row>
    <x:row r="41">
      <x:c r="A41" s="87" t="str">
        <x:v>VIS-BIO-DEC-KEY-SUPPLEMENT</x:v>
      </x:c>
      <x:c r="B41" s="30" t="str">
        <x:v>Биология</x:v>
      </x:c>
      <x:c r="C41" s="30"/>
      <x:c r="D41" s="30" t="str">
        <x:v>БИ2510201, БИ2510202, БИ2510203, БИ2510204</x:v>
      </x:c>
      <x:c r="E41" s="87" t="str">
        <x:v>KEY_SUPPLEMENT</x:v>
      </x:c>
      <x:c r="F41" s="30" t="str">
        <x:v>IMG_20251220_203648_739.jpg</x:v>
      </x:c>
      <x:c r="G41" s="87" t="str">
        <x:v>original</x:v>
      </x:c>
      <x:c r="H41" s="87" t="str">
        <x:v>v0.89</x:v>
      </x:c>
      <x:c r="I41" s="87" t="str">
        <x:v>48</x:v>
      </x:c>
      <x:c r="J41" s="30" t="str">
        <x:v>VIS_ID ключа/критерия, VIS_KEY</x:v>
      </x:c>
      <x:c r="K41" s="30" t="str">
        <x:v>DEC-BIO-01-002, DEC-BIO-01-003, DEC-BIO-01-004, DEC-BIO-01-005, DEC-BIO-01-009, DEC-BIO-01-013, DEC-BIO-02-002, DEC-BIO-02-003…</x:v>
      </x:c>
      <x:c r="L41" s="87" t="str">
        <x:v>CROP_VERIFIED</x:v>
      </x:c>
      <x:c r="M41" s="87" t="str">
        <x:v>ORIGINAL_PACKAGE</x:v>
      </x:c>
      <x:c r="N41" s="87" t="str">
        <x:v>pages/VIS-BIO-DEC-KEY-SUPPLEMENT.png</x:v>
      </x:c>
      <x:c r="O41" s="87" t="str">
        <x:v>thumbnails/VIS-BIO-DEC-KEY-SUPPLEMENT.jpg</x:v>
      </x:c>
      <x:c r="P41" s="87" t="str">
        <x:v>78afadae4f16dfa817ed1db49a8e4bd53e942929bde0d5aa2e22fb248adbcddc</x:v>
      </x:c>
      <x:c r="Q41" s="30" t="str">
        <x:v>incoming/raw/recovery-drop-01/biology_dec_visual_assets_v089.zip!/pages/VIS-BIO-DEC-KEY-SUPPLEMENT.png</x:v>
      </x:c>
      <x:c r="R41" s="30" t="str">
        <x:v>MATCHED_ASSET</x:v>
      </x:c>
      <x:c r="S41" t="e">
        <x:f>HYPERLINK("visual_gallery/index.html#"&amp;A41,"Галерея")</x:f>
      </x:c>
    </x:row>
    <x:row r="42">
      <x:c r="A42" s="87" t="str">
        <x:v>VIS-BIO-DEC-TASK-12-P001</x:v>
      </x:c>
      <x:c r="B42" s="30" t="str"/>
      <x:c r="C42" s="30"/>
      <x:c r="D42" s="30" t="str"/>
      <x:c r="E42" s="87" t="str">
        <x:v>TASK</x:v>
      </x:c>
      <x:c r="F42" s="30" t="str">
        <x:v>Zadanie_BI11_19122025.pdf</x:v>
      </x:c>
      <x:c r="G42" s="87" t="str">
        <x:v>1</x:v>
      </x:c>
      <x:c r="H42" s="87" t="str">
        <x:v>v0.89</x:v>
      </x:c>
      <x:c r="I42" s="87" t="str">
        <x:v>0</x:v>
      </x:c>
      <x:c r="J42" s="30" t="str"/>
      <x:c r="K42" s="30" t="str"/>
      <x:c r="L42" s="87" t="str">
        <x:v>CROP_VERIFIED</x:v>
      </x:c>
      <x:c r="M42" s="87" t="str">
        <x:v>ORIGINAL_PACKAGE</x:v>
      </x:c>
      <x:c r="N42" s="87" t="str">
        <x:v>pages/VIS-BIO-DEC-TASK-12-P001.png</x:v>
      </x:c>
      <x:c r="O42" s="87" t="str">
        <x:v>thumbnails/VIS-BIO-DEC-TASK-12-P001.jpg</x:v>
      </x:c>
      <x:c r="P42" s="87" t="str">
        <x:v>c87f6d940ffc09044440b9f742c56ec41ae2079bf99b3bddfad3ed373ef6b983</x:v>
      </x:c>
      <x:c r="Q42" s="30" t="str">
        <x:v>incoming/raw/recovery-drop-01/biology_dec_visual_assets_v089.zip!/pages/VIS-BIO-DEC-TASK-12-P001.png</x:v>
      </x:c>
      <x:c r="R42" s="30" t="str">
        <x:v>RESOLVED_UNLINKED_REGISTRY_VISUAL</x:v>
      </x:c>
      <x:c r="S42" t="e">
        <x:f>HYPERLINK("visual_gallery/index.html#"&amp;A42,"Галерея")</x:f>
      </x:c>
    </x:row>
    <x:row r="43">
      <x:c r="A43" s="87" t="str">
        <x:v>VIS-BIO-DEC-TASK-12-P002</x:v>
      </x:c>
      <x:c r="B43" s="30" t="str">
        <x:v>Биология</x:v>
      </x:c>
      <x:c r="C43" s="30"/>
      <x:c r="D43" s="30" t="str">
        <x:v>БИ2510201</x:v>
      </x:c>
      <x:c r="E43" s="87" t="str">
        <x:v>TASK</x:v>
      </x:c>
      <x:c r="F43" s="30" t="str">
        <x:v>Zadanie_BI11_19122025.pdf</x:v>
      </x:c>
      <x:c r="G43" s="87" t="str">
        <x:v>2</x:v>
      </x:c>
      <x:c r="H43" s="87" t="str">
        <x:v>v0.89</x:v>
      </x:c>
      <x:c r="I43" s="87" t="str">
        <x:v>4</x:v>
      </x:c>
      <x:c r="J43" s="30" t="str">
        <x:v>VIS_ID, VIS_ID задания</x:v>
      </x:c>
      <x:c r="K43" s="30" t="str">
        <x:v>DEC-BIO-01-001, DEC-BIO-01-002</x:v>
      </x:c>
      <x:c r="L43" s="87" t="str">
        <x:v>CROP_VERIFIED</x:v>
      </x:c>
      <x:c r="M43" s="87" t="str">
        <x:v>ORIGINAL_PACKAGE</x:v>
      </x:c>
      <x:c r="N43" s="87" t="str">
        <x:v>pages/VIS-BIO-DEC-TASK-12-P002.png</x:v>
      </x:c>
      <x:c r="O43" s="87" t="str">
        <x:v>thumbnails/VIS-BIO-DEC-TASK-12-P002.jpg</x:v>
      </x:c>
      <x:c r="P43" s="87" t="str">
        <x:v>80b67de7c5afe0fd7b28ab7d25a00c7ade2fb002e7d617ebfa2461ad8ee03d2f</x:v>
      </x:c>
      <x:c r="Q43" s="30" t="str">
        <x:v>incoming/raw/recovery-drop-01/biology_dec_visual_assets_v089.zip!/pages/VIS-BIO-DEC-TASK-12-P002.png</x:v>
      </x:c>
      <x:c r="R43" s="30" t="str">
        <x:v>MATCHED_ASSET</x:v>
      </x:c>
      <x:c r="S43" t="e">
        <x:f>HYPERLINK("visual_gallery/index.html#"&amp;A43,"Галерея")</x:f>
      </x:c>
    </x:row>
    <x:row r="44">
      <x:c r="A44" s="87" t="str">
        <x:v>VIS-BIO-DEC-TASK-12-P003</x:v>
      </x:c>
      <x:c r="B44" s="30" t="str">
        <x:v>Биология</x:v>
      </x:c>
      <x:c r="C44" s="30"/>
      <x:c r="D44" s="30" t="str">
        <x:v>БИ2510201</x:v>
      </x:c>
      <x:c r="E44" s="87" t="str">
        <x:v>TASK</x:v>
      </x:c>
      <x:c r="F44" s="30" t="str">
        <x:v>Zadanie_BI11_19122025.pdf</x:v>
      </x:c>
      <x:c r="G44" s="87" t="str">
        <x:v>3</x:v>
      </x:c>
      <x:c r="H44" s="87" t="str">
        <x:v>v0.89</x:v>
      </x:c>
      <x:c r="I44" s="87" t="str">
        <x:v>6</x:v>
      </x:c>
      <x:c r="J44" s="30" t="str">
        <x:v>VIS_ID, VIS_ID задания</x:v>
      </x:c>
      <x:c r="K44" s="30" t="str">
        <x:v>DEC-BIO-01-003, DEC-BIO-01-004, DEC-BIO-01-005</x:v>
      </x:c>
      <x:c r="L44" s="87" t="str">
        <x:v>CROP_VERIFIED</x:v>
      </x:c>
      <x:c r="M44" s="87" t="str">
        <x:v>ORIGINAL_PACKAGE</x:v>
      </x:c>
      <x:c r="N44" s="87" t="str">
        <x:v>pages/VIS-BIO-DEC-TASK-12-P003.png</x:v>
      </x:c>
      <x:c r="O44" s="87" t="str">
        <x:v>thumbnails/VIS-BIO-DEC-TASK-12-P003.jpg</x:v>
      </x:c>
      <x:c r="P44" s="87" t="str">
        <x:v>5a9503abedb76701aecec253bd74127a6ee736b81628e030bc1c1628cfb18940</x:v>
      </x:c>
      <x:c r="Q44" s="30" t="str">
        <x:v>incoming/raw/recovery-drop-01/biology_dec_visual_assets_v089.zip!/pages/VIS-BIO-DEC-TASK-12-P003.png</x:v>
      </x:c>
      <x:c r="R44" s="30" t="str">
        <x:v>MATCHED_ASSET</x:v>
      </x:c>
      <x:c r="S44" t="e">
        <x:f>HYPERLINK("visual_gallery/index.html#"&amp;A44,"Галерея")</x:f>
      </x:c>
    </x:row>
    <x:row r="45">
      <x:c r="A45" s="87" t="str">
        <x:v>VIS-BIO-DEC-TASK-12-P004</x:v>
      </x:c>
      <x:c r="B45" s="30" t="str">
        <x:v>Биология</x:v>
      </x:c>
      <x:c r="C45" s="30"/>
      <x:c r="D45" s="30" t="str">
        <x:v>БИ2510201</x:v>
      </x:c>
      <x:c r="E45" s="87" t="str">
        <x:v>TASK</x:v>
      </x:c>
      <x:c r="F45" s="30" t="str">
        <x:v>Zadanie_BI11_19122025.pdf</x:v>
      </x:c>
      <x:c r="G45" s="87" t="str">
        <x:v>4</x:v>
      </x:c>
      <x:c r="H45" s="87" t="str">
        <x:v>v0.89</x:v>
      </x:c>
      <x:c r="I45" s="87" t="str">
        <x:v>6</x:v>
      </x:c>
      <x:c r="J45" s="30" t="str">
        <x:v>VIS_ID, VIS_ID задания</x:v>
      </x:c>
      <x:c r="K45" s="30" t="str">
        <x:v>DEC-BIO-01-006, DEC-BIO-01-007, DEC-BIO-01-008</x:v>
      </x:c>
      <x:c r="L45" s="87" t="str">
        <x:v>CROP_VERIFIED</x:v>
      </x:c>
      <x:c r="M45" s="87" t="str">
        <x:v>ORIGINAL_PACKAGE</x:v>
      </x:c>
      <x:c r="N45" s="87" t="str">
        <x:v>pages/VIS-BIO-DEC-TASK-12-P004.png</x:v>
      </x:c>
      <x:c r="O45" s="87" t="str">
        <x:v>thumbnails/VIS-BIO-DEC-TASK-12-P004.jpg</x:v>
      </x:c>
      <x:c r="P45" s="87" t="str">
        <x:v>9de5220a3a0b5423794a2762a2cdb0487cd92de8f1e7162d999b29d5b8bccdab</x:v>
      </x:c>
      <x:c r="Q45" s="30" t="str">
        <x:v>incoming/raw/recovery-drop-01/biology_dec_visual_assets_v089.zip!/pages/VIS-BIO-DEC-TASK-12-P004.png</x:v>
      </x:c>
      <x:c r="R45" s="30" t="str">
        <x:v>MATCHED_ASSET</x:v>
      </x:c>
      <x:c r="S45" t="e">
        <x:f>HYPERLINK("visual_gallery/index.html#"&amp;A45,"Галерея")</x:f>
      </x:c>
    </x:row>
    <x:row r="46">
      <x:c r="A46" s="87" t="str">
        <x:v>VIS-BIO-DEC-TASK-12-P005</x:v>
      </x:c>
      <x:c r="B46" s="30" t="str">
        <x:v>Биология</x:v>
      </x:c>
      <x:c r="C46" s="30"/>
      <x:c r="D46" s="30" t="str">
        <x:v>БИ2510201</x:v>
      </x:c>
      <x:c r="E46" s="87" t="str">
        <x:v>TASK</x:v>
      </x:c>
      <x:c r="F46" s="30" t="str">
        <x:v>Zadanie_BI11_19122025.pdf</x:v>
      </x:c>
      <x:c r="G46" s="87" t="str">
        <x:v>5</x:v>
      </x:c>
      <x:c r="H46" s="87" t="str">
        <x:v>v0.89</x:v>
      </x:c>
      <x:c r="I46" s="87" t="str">
        <x:v>4</x:v>
      </x:c>
      <x:c r="J46" s="30" t="str">
        <x:v>VIS_ID, VIS_ID задания</x:v>
      </x:c>
      <x:c r="K46" s="30" t="str">
        <x:v>DEC-BIO-01-009, DEC-BIO-01-010</x:v>
      </x:c>
      <x:c r="L46" s="87" t="str">
        <x:v>CROP_VERIFIED</x:v>
      </x:c>
      <x:c r="M46" s="87" t="str">
        <x:v>ORIGINAL_PACKAGE</x:v>
      </x:c>
      <x:c r="N46" s="87" t="str">
        <x:v>pages/VIS-BIO-DEC-TASK-12-P005.png</x:v>
      </x:c>
      <x:c r="O46" s="87" t="str">
        <x:v>thumbnails/VIS-BIO-DEC-TASK-12-P005.jpg</x:v>
      </x:c>
      <x:c r="P46" s="87" t="str">
        <x:v>a859db8a97a53a6db0485ff95ed63ad34f9d5366bcbae308df80fbc2d8e9fb76</x:v>
      </x:c>
      <x:c r="Q46" s="30" t="str">
        <x:v>incoming/raw/recovery-drop-01/biology_dec_visual_assets_v089.zip!/pages/VIS-BIO-DEC-TASK-12-P005.png</x:v>
      </x:c>
      <x:c r="R46" s="30" t="str">
        <x:v>MATCHED_ASSET</x:v>
      </x:c>
      <x:c r="S46" t="e">
        <x:f>HYPERLINK("visual_gallery/index.html#"&amp;A46,"Галерея")</x:f>
      </x:c>
    </x:row>
    <x:row r="47">
      <x:c r="A47" s="87" t="str">
        <x:v>VIS-BIO-DEC-TASK-12-P006</x:v>
      </x:c>
      <x:c r="B47" s="30" t="str">
        <x:v>Биология</x:v>
      </x:c>
      <x:c r="C47" s="30"/>
      <x:c r="D47" s="30" t="str">
        <x:v>БИ2510201</x:v>
      </x:c>
      <x:c r="E47" s="87" t="str">
        <x:v>TASK</x:v>
      </x:c>
      <x:c r="F47" s="30" t="str">
        <x:v>Zadanie_BI11_19122025.pdf</x:v>
      </x:c>
      <x:c r="G47" s="87" t="str">
        <x:v>6</x:v>
      </x:c>
      <x:c r="H47" s="87" t="str">
        <x:v>v0.89</x:v>
      </x:c>
      <x:c r="I47" s="87" t="str">
        <x:v>4</x:v>
      </x:c>
      <x:c r="J47" s="30" t="str">
        <x:v>VIS_ID, VIS_ID задания</x:v>
      </x:c>
      <x:c r="K47" s="30" t="str">
        <x:v>DEC-BIO-01-011, DEC-BIO-01-012</x:v>
      </x:c>
      <x:c r="L47" s="87" t="str">
        <x:v>CROP_VERIFIED</x:v>
      </x:c>
      <x:c r="M47" s="87" t="str">
        <x:v>ORIGINAL_PACKAGE</x:v>
      </x:c>
      <x:c r="N47" s="87" t="str">
        <x:v>pages/VIS-BIO-DEC-TASK-12-P006.png</x:v>
      </x:c>
      <x:c r="O47" s="87" t="str">
        <x:v>thumbnails/VIS-BIO-DEC-TASK-12-P006.jpg</x:v>
      </x:c>
      <x:c r="P47" s="87" t="str">
        <x:v>6d4b45e917458cd1aed11fd8969b7d25a083b07f959a05ea39a1092df1f54996</x:v>
      </x:c>
      <x:c r="Q47" s="30" t="str">
        <x:v>incoming/raw/recovery-drop-01/biology_dec_visual_assets_v089.zip!/pages/VIS-BIO-DEC-TASK-12-P006.png</x:v>
      </x:c>
      <x:c r="R47" s="30" t="str">
        <x:v>MATCHED_ASSET</x:v>
      </x:c>
      <x:c r="S47" t="e">
        <x:f>HYPERLINK("visual_gallery/index.html#"&amp;A47,"Галерея")</x:f>
      </x:c>
    </x:row>
    <x:row r="48">
      <x:c r="A48" s="87" t="str">
        <x:v>VIS-BIO-DEC-TASK-12-P007</x:v>
      </x:c>
      <x:c r="B48" s="30" t="str">
        <x:v>Биология</x:v>
      </x:c>
      <x:c r="C48" s="30"/>
      <x:c r="D48" s="30" t="str">
        <x:v>БИ2510201</x:v>
      </x:c>
      <x:c r="E48" s="87" t="str">
        <x:v>TASK</x:v>
      </x:c>
      <x:c r="F48" s="30" t="str">
        <x:v>Zadanie_BI11_19122025.pdf</x:v>
      </x:c>
      <x:c r="G48" s="87" t="str">
        <x:v>7</x:v>
      </x:c>
      <x:c r="H48" s="87" t="str">
        <x:v>v0.89</x:v>
      </x:c>
      <x:c r="I48" s="87" t="str">
        <x:v>4</x:v>
      </x:c>
      <x:c r="J48" s="30" t="str">
        <x:v>VIS_ID, VIS_ID задания</x:v>
      </x:c>
      <x:c r="K48" s="30" t="str">
        <x:v>DEC-BIO-01-013, DEC-BIO-01-014</x:v>
      </x:c>
      <x:c r="L48" s="87" t="str">
        <x:v>CROP_VERIFIED</x:v>
      </x:c>
      <x:c r="M48" s="87" t="str">
        <x:v>ORIGINAL_PACKAGE</x:v>
      </x:c>
      <x:c r="N48" s="87" t="str">
        <x:v>pages/VIS-BIO-DEC-TASK-12-P007.png</x:v>
      </x:c>
      <x:c r="O48" s="87" t="str">
        <x:v>thumbnails/VIS-BIO-DEC-TASK-12-P007.jpg</x:v>
      </x:c>
      <x:c r="P48" s="87" t="str">
        <x:v>f3330171da23fd818e499ba08b81831692741942203d46aa158a321fb32610d0</x:v>
      </x:c>
      <x:c r="Q48" s="30" t="str">
        <x:v>incoming/raw/recovery-drop-01/biology_dec_visual_assets_v089.zip!/pages/VIS-BIO-DEC-TASK-12-P007.png</x:v>
      </x:c>
      <x:c r="R48" s="30" t="str">
        <x:v>MATCHED_ASSET</x:v>
      </x:c>
      <x:c r="S48" t="e">
        <x:f>HYPERLINK("visual_gallery/index.html#"&amp;A48,"Галерея")</x:f>
      </x:c>
    </x:row>
    <x:row r="49">
      <x:c r="A49" s="87" t="str">
        <x:v>VIS-BIO-DEC-TASK-12-P008</x:v>
      </x:c>
      <x:c r="B49" s="30" t="str">
        <x:v>Биология</x:v>
      </x:c>
      <x:c r="C49" s="30"/>
      <x:c r="D49" s="30" t="str">
        <x:v>БИ2510201</x:v>
      </x:c>
      <x:c r="E49" s="87" t="str">
        <x:v>TASK</x:v>
      </x:c>
      <x:c r="F49" s="30" t="str">
        <x:v>Zadanie_BI11_19122025.pdf</x:v>
      </x:c>
      <x:c r="G49" s="87" t="str">
        <x:v>8</x:v>
      </x:c>
      <x:c r="H49" s="87" t="str">
        <x:v>v0.89</x:v>
      </x:c>
      <x:c r="I49" s="87" t="str">
        <x:v>6</x:v>
      </x:c>
      <x:c r="J49" s="30" t="str">
        <x:v>VIS_ID, VIS_ID задания</x:v>
      </x:c>
      <x:c r="K49" s="30" t="str">
        <x:v>DEC-BIO-01-015, DEC-BIO-01-016, DEC-BIO-01-017</x:v>
      </x:c>
      <x:c r="L49" s="87" t="str">
        <x:v>CROP_VERIFIED</x:v>
      </x:c>
      <x:c r="M49" s="87" t="str">
        <x:v>ORIGINAL_PACKAGE</x:v>
      </x:c>
      <x:c r="N49" s="87" t="str">
        <x:v>pages/VIS-BIO-DEC-TASK-12-P008.png</x:v>
      </x:c>
      <x:c r="O49" s="87" t="str">
        <x:v>thumbnails/VIS-BIO-DEC-TASK-12-P008.jpg</x:v>
      </x:c>
      <x:c r="P49" s="87" t="str">
        <x:v>d763e971a84b2a1bd03f5804ae3eeaeeba4b1f1878dd16eedef2ffcd5a77a4ef</x:v>
      </x:c>
      <x:c r="Q49" s="30" t="str">
        <x:v>incoming/raw/recovery-drop-01/biology_dec_visual_assets_v089.zip!/pages/VIS-BIO-DEC-TASK-12-P008.png</x:v>
      </x:c>
      <x:c r="R49" s="30" t="str">
        <x:v>MATCHED_ASSET</x:v>
      </x:c>
      <x:c r="S49" t="e">
        <x:f>HYPERLINK("visual_gallery/index.html#"&amp;A49,"Галерея")</x:f>
      </x:c>
    </x:row>
    <x:row r="50">
      <x:c r="A50" s="87" t="str">
        <x:v>VIS-BIO-DEC-TASK-12-P009</x:v>
      </x:c>
      <x:c r="B50" s="30" t="str">
        <x:v>Биология</x:v>
      </x:c>
      <x:c r="C50" s="30"/>
      <x:c r="D50" s="30" t="str">
        <x:v>БИ2510201</x:v>
      </x:c>
      <x:c r="E50" s="87" t="str">
        <x:v>TASK</x:v>
      </x:c>
      <x:c r="F50" s="30" t="str">
        <x:v>Zadanie_BI11_19122025.pdf</x:v>
      </x:c>
      <x:c r="G50" s="87" t="str">
        <x:v>9</x:v>
      </x:c>
      <x:c r="H50" s="87" t="str">
        <x:v>v0.89</x:v>
      </x:c>
      <x:c r="I50" s="87" t="str">
        <x:v>4</x:v>
      </x:c>
      <x:c r="J50" s="30" t="str">
        <x:v>VIS_ID, VIS_ID задания</x:v>
      </x:c>
      <x:c r="K50" s="30" t="str">
        <x:v>DEC-BIO-01-018, DEC-BIO-01-019</x:v>
      </x:c>
      <x:c r="L50" s="87" t="str">
        <x:v>CROP_VERIFIED</x:v>
      </x:c>
      <x:c r="M50" s="87" t="str">
        <x:v>ORIGINAL_PACKAGE</x:v>
      </x:c>
      <x:c r="N50" s="87" t="str">
        <x:v>pages/VIS-BIO-DEC-TASK-12-P009.png</x:v>
      </x:c>
      <x:c r="O50" s="87" t="str">
        <x:v>thumbnails/VIS-BIO-DEC-TASK-12-P009.jpg</x:v>
      </x:c>
      <x:c r="P50" s="87" t="str">
        <x:v>a34f237786733a6752d3e925beb5daf30703fa362715b61f75cb2f0dbc00e7c2</x:v>
      </x:c>
      <x:c r="Q50" s="30" t="str">
        <x:v>incoming/raw/recovery-drop-01/biology_dec_visual_assets_v089.zip!/pages/VIS-BIO-DEC-TASK-12-P009.png</x:v>
      </x:c>
      <x:c r="R50" s="30" t="str">
        <x:v>MATCHED_ASSET</x:v>
      </x:c>
      <x:c r="S50" t="e">
        <x:f>HYPERLINK("visual_gallery/index.html#"&amp;A50,"Галерея")</x:f>
      </x:c>
    </x:row>
    <x:row r="51">
      <x:c r="A51" s="87" t="str">
        <x:v>VIS-BIO-DEC-TASK-12-P010</x:v>
      </x:c>
      <x:c r="B51" s="30" t="str">
        <x:v>Биология</x:v>
      </x:c>
      <x:c r="C51" s="30"/>
      <x:c r="D51" s="30" t="str">
        <x:v>БИ2510201</x:v>
      </x:c>
      <x:c r="E51" s="87" t="str">
        <x:v>TASK</x:v>
      </x:c>
      <x:c r="F51" s="30" t="str">
        <x:v>Zadanie_BI11_19122025.pdf</x:v>
      </x:c>
      <x:c r="G51" s="87" t="str">
        <x:v>10</x:v>
      </x:c>
      <x:c r="H51" s="87" t="str">
        <x:v>v0.89</x:v>
      </x:c>
      <x:c r="I51" s="87" t="str">
        <x:v>2</x:v>
      </x:c>
      <x:c r="J51" s="30" t="str">
        <x:v>VIS_ID, VIS_ID задания</x:v>
      </x:c>
      <x:c r="K51" s="30" t="str">
        <x:v>DEC-BIO-01-020</x:v>
      </x:c>
      <x:c r="L51" s="87" t="str">
        <x:v>CROP_VERIFIED</x:v>
      </x:c>
      <x:c r="M51" s="87" t="str">
        <x:v>ORIGINAL_PACKAGE</x:v>
      </x:c>
      <x:c r="N51" s="87" t="str">
        <x:v>pages/VIS-BIO-DEC-TASK-12-P010.png</x:v>
      </x:c>
      <x:c r="O51" s="87" t="str">
        <x:v>thumbnails/VIS-BIO-DEC-TASK-12-P010.jpg</x:v>
      </x:c>
      <x:c r="P51" s="87" t="str">
        <x:v>4d08274b1806ccbbbad742ddca83c94337fb00c713197f80761b36b754810008</x:v>
      </x:c>
      <x:c r="Q51" s="30" t="str">
        <x:v>incoming/raw/recovery-drop-01/biology_dec_visual_assets_v089.zip!/pages/VIS-BIO-DEC-TASK-12-P010.png</x:v>
      </x:c>
      <x:c r="R51" s="30" t="str">
        <x:v>MATCHED_ASSET</x:v>
      </x:c>
      <x:c r="S51" t="e">
        <x:f>HYPERLINK("visual_gallery/index.html#"&amp;A51,"Галерея")</x:f>
      </x:c>
    </x:row>
    <x:row r="52">
      <x:c r="A52" s="87" t="str">
        <x:v>VIS-BIO-DEC-TASK-12-P011</x:v>
      </x:c>
      <x:c r="B52" s="30" t="str">
        <x:v>Биология</x:v>
      </x:c>
      <x:c r="C52" s="30"/>
      <x:c r="D52" s="30" t="str">
        <x:v>БИ2510201</x:v>
      </x:c>
      <x:c r="E52" s="87" t="str">
        <x:v>TASK</x:v>
      </x:c>
      <x:c r="F52" s="30" t="str">
        <x:v>Zadanie_BI11_19122025.pdf</x:v>
      </x:c>
      <x:c r="G52" s="87" t="str">
        <x:v>11</x:v>
      </x:c>
      <x:c r="H52" s="87" t="str">
        <x:v>v0.89</x:v>
      </x:c>
      <x:c r="I52" s="87" t="str">
        <x:v>2</x:v>
      </x:c>
      <x:c r="J52" s="30" t="str">
        <x:v>VIS_ID, VIS_ID задания</x:v>
      </x:c>
      <x:c r="K52" s="30" t="str">
        <x:v>DEC-BIO-01-021</x:v>
      </x:c>
      <x:c r="L52" s="87" t="str">
        <x:v>CROP_VERIFIED</x:v>
      </x:c>
      <x:c r="M52" s="87" t="str">
        <x:v>ORIGINAL_PACKAGE</x:v>
      </x:c>
      <x:c r="N52" s="87" t="str">
        <x:v>pages/VIS-BIO-DEC-TASK-12-P011.png</x:v>
      </x:c>
      <x:c r="O52" s="87" t="str">
        <x:v>thumbnails/VIS-BIO-DEC-TASK-12-P011.jpg</x:v>
      </x:c>
      <x:c r="P52" s="87" t="str">
        <x:v>278ce34c1cc161c4c69a3122e483fd1fe094f0d1c9aa24e9811f84eea67c3bed</x:v>
      </x:c>
      <x:c r="Q52" s="30" t="str">
        <x:v>incoming/raw/recovery-drop-01/biology_dec_visual_assets_v089.zip!/pages/VIS-BIO-DEC-TASK-12-P011.png</x:v>
      </x:c>
      <x:c r="R52" s="30" t="str">
        <x:v>MATCHED_ASSET</x:v>
      </x:c>
      <x:c r="S52" t="e">
        <x:f>HYPERLINK("visual_gallery/index.html#"&amp;A52,"Галерея")</x:f>
      </x:c>
    </x:row>
    <x:row r="53">
      <x:c r="A53" s="87" t="str">
        <x:v>VIS-BIO-DEC-TASK-12-P012</x:v>
      </x:c>
      <x:c r="B53" s="30" t="str">
        <x:v>Биология</x:v>
      </x:c>
      <x:c r="C53" s="30"/>
      <x:c r="D53" s="30" t="str">
        <x:v>БИ2510201</x:v>
      </x:c>
      <x:c r="E53" s="87" t="str">
        <x:v>TASK</x:v>
      </x:c>
      <x:c r="F53" s="30" t="str">
        <x:v>Zadanie_BI11_19122025.pdf</x:v>
      </x:c>
      <x:c r="G53" s="87" t="str">
        <x:v>12</x:v>
      </x:c>
      <x:c r="H53" s="87" t="str">
        <x:v>v0.89</x:v>
      </x:c>
      <x:c r="I53" s="87" t="str">
        <x:v>2</x:v>
      </x:c>
      <x:c r="J53" s="30" t="str">
        <x:v>VIS_ID, VIS_ID задания</x:v>
      </x:c>
      <x:c r="K53" s="30" t="str">
        <x:v>DEC-BIO-01-022</x:v>
      </x:c>
      <x:c r="L53" s="87" t="str">
        <x:v>CROP_VERIFIED</x:v>
      </x:c>
      <x:c r="M53" s="87" t="str">
        <x:v>ORIGINAL_PACKAGE</x:v>
      </x:c>
      <x:c r="N53" s="87" t="str">
        <x:v>pages/VIS-BIO-DEC-TASK-12-P012.png</x:v>
      </x:c>
      <x:c r="O53" s="87" t="str">
        <x:v>thumbnails/VIS-BIO-DEC-TASK-12-P012.jpg</x:v>
      </x:c>
      <x:c r="P53" s="87" t="str">
        <x:v>323b126f65940cafa3356b9b3a11bd1da5b583a6b7d7ebe5886e377cb8b1855f</x:v>
      </x:c>
      <x:c r="Q53" s="30" t="str">
        <x:v>incoming/raw/recovery-drop-01/biology_dec_visual_assets_v089.zip!/pages/VIS-BIO-DEC-TASK-12-P012.png</x:v>
      </x:c>
      <x:c r="R53" s="30" t="str">
        <x:v>MATCHED_ASSET</x:v>
      </x:c>
      <x:c r="S53" t="e">
        <x:f>HYPERLINK("visual_gallery/index.html#"&amp;A53,"Галерея")</x:f>
      </x:c>
    </x:row>
    <x:row r="54">
      <x:c r="A54" s="87" t="str">
        <x:v>VIS-BIO-DEC-TASK-12-P013</x:v>
      </x:c>
      <x:c r="B54" s="30" t="str">
        <x:v>Биология</x:v>
      </x:c>
      <x:c r="C54" s="30"/>
      <x:c r="D54" s="30" t="str">
        <x:v>БИ2510201</x:v>
      </x:c>
      <x:c r="E54" s="87" t="str">
        <x:v>TASK</x:v>
      </x:c>
      <x:c r="F54" s="30" t="str">
        <x:v>Zadanie_BI11_19122025.pdf</x:v>
      </x:c>
      <x:c r="G54" s="87" t="str">
        <x:v>13</x:v>
      </x:c>
      <x:c r="H54" s="87" t="str">
        <x:v>v0.89</x:v>
      </x:c>
      <x:c r="I54" s="87" t="str">
        <x:v>6</x:v>
      </x:c>
      <x:c r="J54" s="30" t="str">
        <x:v>VIS_ID, VIS_ID задания</x:v>
      </x:c>
      <x:c r="K54" s="30" t="str">
        <x:v>DEC-BIO-01-023, DEC-BIO-01-024, DEC-BIO-01-025</x:v>
      </x:c>
      <x:c r="L54" s="87" t="str">
        <x:v>CROP_VERIFIED</x:v>
      </x:c>
      <x:c r="M54" s="87" t="str">
        <x:v>ORIGINAL_PACKAGE</x:v>
      </x:c>
      <x:c r="N54" s="87" t="str">
        <x:v>pages/VIS-BIO-DEC-TASK-12-P013.png</x:v>
      </x:c>
      <x:c r="O54" s="87" t="str">
        <x:v>thumbnails/VIS-BIO-DEC-TASK-12-P013.jpg</x:v>
      </x:c>
      <x:c r="P54" s="87" t="str">
        <x:v>216b3904aab2573f88096e6e99e0c9586ec5420d76b42874df51d8889ebc74e2</x:v>
      </x:c>
      <x:c r="Q54" s="30" t="str">
        <x:v>incoming/raw/recovery-drop-01/biology_dec_visual_assets_v089.zip!/pages/VIS-BIO-DEC-TASK-12-P013.png</x:v>
      </x:c>
      <x:c r="R54" s="30" t="str">
        <x:v>MATCHED_ASSET</x:v>
      </x:c>
      <x:c r="S54" t="e">
        <x:f>HYPERLINK("visual_gallery/index.html#"&amp;A54,"Галерея")</x:f>
      </x:c>
    </x:row>
    <x:row r="55">
      <x:c r="A55" s="87" t="str">
        <x:v>VIS-BIO-DEC-TASK-12-P014</x:v>
      </x:c>
      <x:c r="B55" s="30" t="str">
        <x:v>Биология</x:v>
      </x:c>
      <x:c r="C55" s="30"/>
      <x:c r="D55" s="30" t="str">
        <x:v>БИ2510201</x:v>
      </x:c>
      <x:c r="E55" s="87" t="str">
        <x:v>TASK</x:v>
      </x:c>
      <x:c r="F55" s="30" t="str">
        <x:v>Zadanie_BI11_19122025.pdf</x:v>
      </x:c>
      <x:c r="G55" s="87" t="str">
        <x:v>14</x:v>
      </x:c>
      <x:c r="H55" s="87" t="str">
        <x:v>v0.89</x:v>
      </x:c>
      <x:c r="I55" s="87" t="str">
        <x:v>4</x:v>
      </x:c>
      <x:c r="J55" s="30" t="str">
        <x:v>VIS_ID, VIS_ID задания</x:v>
      </x:c>
      <x:c r="K55" s="30" t="str">
        <x:v>DEC-BIO-01-026, DEC-BIO-01-027</x:v>
      </x:c>
      <x:c r="L55" s="87" t="str">
        <x:v>CROP_VERIFIED</x:v>
      </x:c>
      <x:c r="M55" s="87" t="str">
        <x:v>ORIGINAL_PACKAGE</x:v>
      </x:c>
      <x:c r="N55" s="87" t="str">
        <x:v>pages/VIS-BIO-DEC-TASK-12-P014.png</x:v>
      </x:c>
      <x:c r="O55" s="87" t="str">
        <x:v>thumbnails/VIS-BIO-DEC-TASK-12-P014.jpg</x:v>
      </x:c>
      <x:c r="P55" s="87" t="str">
        <x:v>926e115630573c2d77a31f603ba32cb19306a6ddcdd1fee1a87383825ed11a11</x:v>
      </x:c>
      <x:c r="Q55" s="30" t="str">
        <x:v>incoming/raw/recovery-drop-01/biology_dec_visual_assets_v089.zip!/pages/VIS-BIO-DEC-TASK-12-P014.png</x:v>
      </x:c>
      <x:c r="R55" s="30" t="str">
        <x:v>MATCHED_ASSET</x:v>
      </x:c>
      <x:c r="S55" t="e">
        <x:f>HYPERLINK("visual_gallery/index.html#"&amp;A55,"Галерея")</x:f>
      </x:c>
    </x:row>
    <x:row r="56">
      <x:c r="A56" s="87" t="str">
        <x:v>VIS-BIO-DEC-TASK-12-P015</x:v>
      </x:c>
      <x:c r="B56" s="30" t="str">
        <x:v>Биология</x:v>
      </x:c>
      <x:c r="C56" s="30"/>
      <x:c r="D56" s="30" t="str">
        <x:v>БИ2510201</x:v>
      </x:c>
      <x:c r="E56" s="87" t="str">
        <x:v>TASK</x:v>
      </x:c>
      <x:c r="F56" s="30" t="str">
        <x:v>Zadanie_BI11_19122025.pdf</x:v>
      </x:c>
      <x:c r="G56" s="87" t="str">
        <x:v>15</x:v>
      </x:c>
      <x:c r="H56" s="87" t="str">
        <x:v>v0.89</x:v>
      </x:c>
      <x:c r="I56" s="87" t="str">
        <x:v>2</x:v>
      </x:c>
      <x:c r="J56" s="30" t="str">
        <x:v>VIS_ID, VIS_ID задания</x:v>
      </x:c>
      <x:c r="K56" s="30" t="str">
        <x:v>DEC-BIO-01-028</x:v>
      </x:c>
      <x:c r="L56" s="87" t="str">
        <x:v>CROP_VERIFIED</x:v>
      </x:c>
      <x:c r="M56" s="87" t="str">
        <x:v>ORIGINAL_PACKAGE</x:v>
      </x:c>
      <x:c r="N56" s="87" t="str">
        <x:v>pages/VIS-BIO-DEC-TASK-12-P015.png</x:v>
      </x:c>
      <x:c r="O56" s="87" t="str">
        <x:v>thumbnails/VIS-BIO-DEC-TASK-12-P015.jpg</x:v>
      </x:c>
      <x:c r="P56" s="87" t="str">
        <x:v>839cc01db00ffec540753e8f9c2c36f0f942f521bf3ed067233c59c2a2b7ef14</x:v>
      </x:c>
      <x:c r="Q56" s="30" t="str">
        <x:v>incoming/raw/recovery-drop-01/biology_dec_visual_assets_v089.zip!/pages/VIS-BIO-DEC-TASK-12-P015.png</x:v>
      </x:c>
      <x:c r="R56" s="30" t="str">
        <x:v>MATCHED_ASSET</x:v>
      </x:c>
      <x:c r="S56" t="e">
        <x:f>HYPERLINK("visual_gallery/index.html#"&amp;A56,"Галерея")</x:f>
      </x:c>
    </x:row>
    <x:row r="57">
      <x:c r="A57" s="87" t="str">
        <x:v>VIS-BIO-DEC-TASK-12-P016</x:v>
      </x:c>
      <x:c r="B57" s="30" t="str"/>
      <x:c r="C57" s="30"/>
      <x:c r="D57" s="30" t="str"/>
      <x:c r="E57" s="87" t="str">
        <x:v>TASK</x:v>
      </x:c>
      <x:c r="F57" s="30" t="str">
        <x:v>Zadanie_BI11_19122025.pdf</x:v>
      </x:c>
      <x:c r="G57" s="87" t="str">
        <x:v>16</x:v>
      </x:c>
      <x:c r="H57" s="87" t="str">
        <x:v>v0.89</x:v>
      </x:c>
      <x:c r="I57" s="87" t="str">
        <x:v>0</x:v>
      </x:c>
      <x:c r="J57" s="30" t="str"/>
      <x:c r="K57" s="30" t="str"/>
      <x:c r="L57" s="87" t="str">
        <x:v>CROP_VERIFIED</x:v>
      </x:c>
      <x:c r="M57" s="87" t="str">
        <x:v>ORIGINAL_PACKAGE</x:v>
      </x:c>
      <x:c r="N57" s="87" t="str">
        <x:v>pages/VIS-BIO-DEC-TASK-12-P016.png</x:v>
      </x:c>
      <x:c r="O57" s="87" t="str">
        <x:v>thumbnails/VIS-BIO-DEC-TASK-12-P016.jpg</x:v>
      </x:c>
      <x:c r="P57" s="87" t="str">
        <x:v>42ea6e55e2d4f7f4f254c6320acfca99daec5171e623575481541131a023c7f9</x:v>
      </x:c>
      <x:c r="Q57" s="30" t="str">
        <x:v>incoming/raw/recovery-drop-01/biology_dec_visual_assets_v089.zip!/pages/VIS-BIO-DEC-TASK-12-P016.png</x:v>
      </x:c>
      <x:c r="R57" s="30" t="str">
        <x:v>RESOLVED_UNLINKED_REGISTRY_VISUAL</x:v>
      </x:c>
      <x:c r="S57" t="e">
        <x:f>HYPERLINK("visual_gallery/index.html#"&amp;A57,"Галерея")</x:f>
      </x:c>
    </x:row>
    <x:row r="58">
      <x:c r="A58" s="87" t="str">
        <x:v>VIS-BIO-DEC-TASK-12-P017</x:v>
      </x:c>
      <x:c r="B58" s="30" t="str">
        <x:v>Биология</x:v>
      </x:c>
      <x:c r="C58" s="30"/>
      <x:c r="D58" s="30" t="str">
        <x:v>БИ2510202</x:v>
      </x:c>
      <x:c r="E58" s="87" t="str">
        <x:v>TASK</x:v>
      </x:c>
      <x:c r="F58" s="30" t="str">
        <x:v>Zadanie_BI11_19122025.pdf</x:v>
      </x:c>
      <x:c r="G58" s="87" t="str">
        <x:v>17</x:v>
      </x:c>
      <x:c r="H58" s="87" t="str">
        <x:v>v0.89</x:v>
      </x:c>
      <x:c r="I58" s="87" t="str">
        <x:v>8</x:v>
      </x:c>
      <x:c r="J58" s="30" t="str">
        <x:v>VIS_ID, VIS_ID задания</x:v>
      </x:c>
      <x:c r="K58" s="30" t="str">
        <x:v>DEC-BIO-02-001, DEC-BIO-02-002, DEC-BIO-02-003, DEC-BIO-02-004</x:v>
      </x:c>
      <x:c r="L58" s="87" t="str">
        <x:v>CROP_VERIFIED</x:v>
      </x:c>
      <x:c r="M58" s="87" t="str">
        <x:v>ORIGINAL_PACKAGE</x:v>
      </x:c>
      <x:c r="N58" s="87" t="str">
        <x:v>pages/VIS-BIO-DEC-TASK-12-P017.png</x:v>
      </x:c>
      <x:c r="O58" s="87" t="str">
        <x:v>thumbnails/VIS-BIO-DEC-TASK-12-P017.jpg</x:v>
      </x:c>
      <x:c r="P58" s="87" t="str">
        <x:v>0a9b04ff11982eeaf17477dba4db173cf9e62e110cfec38bf5175e0cd8df17a5</x:v>
      </x:c>
      <x:c r="Q58" s="30" t="str">
        <x:v>incoming/raw/recovery-drop-01/biology_dec_visual_assets_v089.zip!/pages/VIS-BIO-DEC-TASK-12-P017.png</x:v>
      </x:c>
      <x:c r="R58" s="30" t="str">
        <x:v>MATCHED_ASSET</x:v>
      </x:c>
      <x:c r="S58" t="e">
        <x:f>HYPERLINK("visual_gallery/index.html#"&amp;A58,"Галерея")</x:f>
      </x:c>
    </x:row>
    <x:row r="59">
      <x:c r="A59" s="87" t="str">
        <x:v>VIS-BIO-DEC-TASK-12-P018</x:v>
      </x:c>
      <x:c r="B59" s="30" t="str">
        <x:v>Биология</x:v>
      </x:c>
      <x:c r="C59" s="30"/>
      <x:c r="D59" s="30" t="str">
        <x:v>БИ2510202</x:v>
      </x:c>
      <x:c r="E59" s="87" t="str">
        <x:v>TASK</x:v>
      </x:c>
      <x:c r="F59" s="30" t="str">
        <x:v>Zadanie_BI11_19122025.pdf</x:v>
      </x:c>
      <x:c r="G59" s="87" t="str">
        <x:v>18</x:v>
      </x:c>
      <x:c r="H59" s="87" t="str">
        <x:v>v0.89</x:v>
      </x:c>
      <x:c r="I59" s="87" t="str">
        <x:v>4</x:v>
      </x:c>
      <x:c r="J59" s="30" t="str">
        <x:v>VIS_ID, VIS_ID задания</x:v>
      </x:c>
      <x:c r="K59" s="30" t="str">
        <x:v>DEC-BIO-02-005, DEC-BIO-02-006</x:v>
      </x:c>
      <x:c r="L59" s="87" t="str">
        <x:v>CROP_VERIFIED</x:v>
      </x:c>
      <x:c r="M59" s="87" t="str">
        <x:v>ORIGINAL_PACKAGE</x:v>
      </x:c>
      <x:c r="N59" s="87" t="str">
        <x:v>pages/VIS-BIO-DEC-TASK-12-P018.png</x:v>
      </x:c>
      <x:c r="O59" s="87" t="str">
        <x:v>thumbnails/VIS-BIO-DEC-TASK-12-P018.jpg</x:v>
      </x:c>
      <x:c r="P59" s="87" t="str">
        <x:v>699d9394664d210e9f499cf7a1f9becd4103689a7a2b33c6c05a460d6c57ca24</x:v>
      </x:c>
      <x:c r="Q59" s="30" t="str">
        <x:v>incoming/raw/recovery-drop-01/biology_dec_visual_assets_v089.zip!/pages/VIS-BIO-DEC-TASK-12-P018.png</x:v>
      </x:c>
      <x:c r="R59" s="30" t="str">
        <x:v>MATCHED_ASSET</x:v>
      </x:c>
      <x:c r="S59" t="e">
        <x:f>HYPERLINK("visual_gallery/index.html#"&amp;A59,"Галерея")</x:f>
      </x:c>
    </x:row>
    <x:row r="60">
      <x:c r="A60" s="87" t="str">
        <x:v>VIS-BIO-DEC-TASK-12-P019</x:v>
      </x:c>
      <x:c r="B60" s="30" t="str">
        <x:v>Биология</x:v>
      </x:c>
      <x:c r="C60" s="30"/>
      <x:c r="D60" s="30" t="str">
        <x:v>БИ2510202</x:v>
      </x:c>
      <x:c r="E60" s="87" t="str">
        <x:v>TASK</x:v>
      </x:c>
      <x:c r="F60" s="30" t="str">
        <x:v>Zadanie_BI11_19122025.pdf</x:v>
      </x:c>
      <x:c r="G60" s="87" t="str">
        <x:v>19</x:v>
      </x:c>
      <x:c r="H60" s="87" t="str">
        <x:v>v0.89</x:v>
      </x:c>
      <x:c r="I60" s="87" t="str">
        <x:v>4</x:v>
      </x:c>
      <x:c r="J60" s="30" t="str">
        <x:v>VIS_ID, VIS_ID задания</x:v>
      </x:c>
      <x:c r="K60" s="30" t="str">
        <x:v>DEC-BIO-02-007, DEC-BIO-02-008</x:v>
      </x:c>
      <x:c r="L60" s="87" t="str">
        <x:v>CROP_VERIFIED</x:v>
      </x:c>
      <x:c r="M60" s="87" t="str">
        <x:v>ORIGINAL_PACKAGE</x:v>
      </x:c>
      <x:c r="N60" s="87" t="str">
        <x:v>pages/VIS-BIO-DEC-TASK-12-P019.png</x:v>
      </x:c>
      <x:c r="O60" s="87" t="str">
        <x:v>thumbnails/VIS-BIO-DEC-TASK-12-P019.jpg</x:v>
      </x:c>
      <x:c r="P60" s="87" t="str">
        <x:v>030bf2e710ba81e03443e900cca03729031e09c47e88a2275e384ee27c7397bb</x:v>
      </x:c>
      <x:c r="Q60" s="30" t="str">
        <x:v>incoming/raw/recovery-drop-01/biology_dec_visual_assets_v089.zip!/pages/VIS-BIO-DEC-TASK-12-P019.png</x:v>
      </x:c>
      <x:c r="R60" s="30" t="str">
        <x:v>MATCHED_ASSET</x:v>
      </x:c>
      <x:c r="S60" t="e">
        <x:f>HYPERLINK("visual_gallery/index.html#"&amp;A60,"Галерея")</x:f>
      </x:c>
    </x:row>
    <x:row r="61">
      <x:c r="A61" s="87" t="str">
        <x:v>VIS-BIO-DEC-TASK-12-P020</x:v>
      </x:c>
      <x:c r="B61" s="30" t="str">
        <x:v>Биология</x:v>
      </x:c>
      <x:c r="C61" s="30"/>
      <x:c r="D61" s="30" t="str">
        <x:v>БИ2510202</x:v>
      </x:c>
      <x:c r="E61" s="87" t="str">
        <x:v>TASK</x:v>
      </x:c>
      <x:c r="F61" s="30" t="str">
        <x:v>Zadanie_BI11_19122025.pdf</x:v>
      </x:c>
      <x:c r="G61" s="87" t="str">
        <x:v>20</x:v>
      </x:c>
      <x:c r="H61" s="87" t="str">
        <x:v>v0.89</x:v>
      </x:c>
      <x:c r="I61" s="87" t="str">
        <x:v>4</x:v>
      </x:c>
      <x:c r="J61" s="30" t="str">
        <x:v>VIS_ID, VIS_ID задания</x:v>
      </x:c>
      <x:c r="K61" s="30" t="str">
        <x:v>DEC-BIO-02-009, DEC-BIO-02-010</x:v>
      </x:c>
      <x:c r="L61" s="87" t="str">
        <x:v>CROP_VERIFIED</x:v>
      </x:c>
      <x:c r="M61" s="87" t="str">
        <x:v>ORIGINAL_PACKAGE</x:v>
      </x:c>
      <x:c r="N61" s="87" t="str">
        <x:v>pages/VIS-BIO-DEC-TASK-12-P020.png</x:v>
      </x:c>
      <x:c r="O61" s="87" t="str">
        <x:v>thumbnails/VIS-BIO-DEC-TASK-12-P020.jpg</x:v>
      </x:c>
      <x:c r="P61" s="87" t="str">
        <x:v>26f3813f8a483c49cb3df0e436cffc0de3e9db1391e7cda7202156f3685656c5</x:v>
      </x:c>
      <x:c r="Q61" s="30" t="str">
        <x:v>incoming/raw/recovery-drop-01/biology_dec_visual_assets_v089.zip!/pages/VIS-BIO-DEC-TASK-12-P020.png</x:v>
      </x:c>
      <x:c r="R61" s="30" t="str">
        <x:v>MATCHED_ASSET</x:v>
      </x:c>
      <x:c r="S61" t="e">
        <x:f>HYPERLINK("visual_gallery/index.html#"&amp;A61,"Галерея")</x:f>
      </x:c>
    </x:row>
    <x:row r="62">
      <x:c r="A62" s="87" t="str">
        <x:v>VIS-BIO-DEC-TASK-12-P021</x:v>
      </x:c>
      <x:c r="B62" s="30" t="str">
        <x:v>Биология</x:v>
      </x:c>
      <x:c r="C62" s="30"/>
      <x:c r="D62" s="30" t="str">
        <x:v>БИ2510202</x:v>
      </x:c>
      <x:c r="E62" s="87" t="str">
        <x:v>TASK</x:v>
      </x:c>
      <x:c r="F62" s="30" t="str">
        <x:v>Zadanie_BI11_19122025.pdf</x:v>
      </x:c>
      <x:c r="G62" s="87" t="str">
        <x:v>21</x:v>
      </x:c>
      <x:c r="H62" s="87" t="str">
        <x:v>v0.89</x:v>
      </x:c>
      <x:c r="I62" s="87" t="str">
        <x:v>4</x:v>
      </x:c>
      <x:c r="J62" s="30" t="str">
        <x:v>VIS_ID, VIS_ID задания</x:v>
      </x:c>
      <x:c r="K62" s="30" t="str">
        <x:v>DEC-BIO-02-011, DEC-BIO-02-012</x:v>
      </x:c>
      <x:c r="L62" s="87" t="str">
        <x:v>CROP_VERIFIED</x:v>
      </x:c>
      <x:c r="M62" s="87" t="str">
        <x:v>ORIGINAL_PACKAGE</x:v>
      </x:c>
      <x:c r="N62" s="87" t="str">
        <x:v>pages/VIS-BIO-DEC-TASK-12-P021.png</x:v>
      </x:c>
      <x:c r="O62" s="87" t="str">
        <x:v>thumbnails/VIS-BIO-DEC-TASK-12-P021.jpg</x:v>
      </x:c>
      <x:c r="P62" s="87" t="str">
        <x:v>041f3507a35a12cec4566a5345d7e686b71d1a7303959926e35635bc8150c173</x:v>
      </x:c>
      <x:c r="Q62" s="30" t="str">
        <x:v>incoming/raw/recovery-drop-01/biology_dec_visual_assets_v089.zip!/pages/VIS-BIO-DEC-TASK-12-P021.png</x:v>
      </x:c>
      <x:c r="R62" s="30" t="str">
        <x:v>MATCHED_ASSET</x:v>
      </x:c>
      <x:c r="S62" t="e">
        <x:f>HYPERLINK("visual_gallery/index.html#"&amp;A62,"Галерея")</x:f>
      </x:c>
    </x:row>
    <x:row r="63">
      <x:c r="A63" s="87" t="str">
        <x:v>VIS-BIO-DEC-TASK-12-P022</x:v>
      </x:c>
      <x:c r="B63" s="30" t="str">
        <x:v>Биология</x:v>
      </x:c>
      <x:c r="C63" s="30"/>
      <x:c r="D63" s="30" t="str">
        <x:v>БИ2510202</x:v>
      </x:c>
      <x:c r="E63" s="87" t="str">
        <x:v>TASK</x:v>
      </x:c>
      <x:c r="F63" s="30" t="str">
        <x:v>Zadanie_BI11_19122025.pdf</x:v>
      </x:c>
      <x:c r="G63" s="87" t="str">
        <x:v>22</x:v>
      </x:c>
      <x:c r="H63" s="87" t="str">
        <x:v>v0.89</x:v>
      </x:c>
      <x:c r="I63" s="87" t="str">
        <x:v>4</x:v>
      </x:c>
      <x:c r="J63" s="30" t="str">
        <x:v>VIS_ID, VIS_ID задания</x:v>
      </x:c>
      <x:c r="K63" s="30" t="str">
        <x:v>DEC-BIO-02-013, DEC-BIO-02-014</x:v>
      </x:c>
      <x:c r="L63" s="87" t="str">
        <x:v>CROP_VERIFIED</x:v>
      </x:c>
      <x:c r="M63" s="87" t="str">
        <x:v>ORIGINAL_PACKAGE</x:v>
      </x:c>
      <x:c r="N63" s="87" t="str">
        <x:v>pages/VIS-BIO-DEC-TASK-12-P022.png</x:v>
      </x:c>
      <x:c r="O63" s="87" t="str">
        <x:v>thumbnails/VIS-BIO-DEC-TASK-12-P022.jpg</x:v>
      </x:c>
      <x:c r="P63" s="87" t="str">
        <x:v>d65de40a3812ebe82c719ece94e9de3f35f4f9beee23f4df749be879a0173b55</x:v>
      </x:c>
      <x:c r="Q63" s="30" t="str">
        <x:v>incoming/raw/recovery-drop-01/biology_dec_visual_assets_v089.zip!/pages/VIS-BIO-DEC-TASK-12-P022.png</x:v>
      </x:c>
      <x:c r="R63" s="30" t="str">
        <x:v>MATCHED_ASSET</x:v>
      </x:c>
      <x:c r="S63" t="e">
        <x:f>HYPERLINK("visual_gallery/index.html#"&amp;A63,"Галерея")</x:f>
      </x:c>
    </x:row>
    <x:row r="64">
      <x:c r="A64" s="87" t="str">
        <x:v>VIS-BIO-DEC-TASK-12-P023</x:v>
      </x:c>
      <x:c r="B64" s="30" t="str">
        <x:v>Биология</x:v>
      </x:c>
      <x:c r="C64" s="30"/>
      <x:c r="D64" s="30" t="str">
        <x:v>БИ2510202</x:v>
      </x:c>
      <x:c r="E64" s="87" t="str">
        <x:v>TASK</x:v>
      </x:c>
      <x:c r="F64" s="30" t="str">
        <x:v>Zadanie_BI11_19122025.pdf</x:v>
      </x:c>
      <x:c r="G64" s="87" t="str">
        <x:v>23</x:v>
      </x:c>
      <x:c r="H64" s="87" t="str">
        <x:v>v0.89</x:v>
      </x:c>
      <x:c r="I64" s="87" t="str">
        <x:v>4</x:v>
      </x:c>
      <x:c r="J64" s="30" t="str">
        <x:v>VIS_ID, VIS_ID задания</x:v>
      </x:c>
      <x:c r="K64" s="30" t="str">
        <x:v>DEC-BIO-02-015, DEC-BIO-02-016</x:v>
      </x:c>
      <x:c r="L64" s="87" t="str">
        <x:v>CROP_VERIFIED</x:v>
      </x:c>
      <x:c r="M64" s="87" t="str">
        <x:v>ORIGINAL_PACKAGE</x:v>
      </x:c>
      <x:c r="N64" s="87" t="str">
        <x:v>pages/VIS-BIO-DEC-TASK-12-P023.png</x:v>
      </x:c>
      <x:c r="O64" s="87" t="str">
        <x:v>thumbnails/VIS-BIO-DEC-TASK-12-P023.jpg</x:v>
      </x:c>
      <x:c r="P64" s="87" t="str">
        <x:v>f4ab208f400c0cc96e435a805407861e6023660201226c7b4fa3275dd5ab01eb</x:v>
      </x:c>
      <x:c r="Q64" s="30" t="str">
        <x:v>incoming/raw/recovery-drop-01/biology_dec_visual_assets_v089.zip!/pages/VIS-BIO-DEC-TASK-12-P023.png</x:v>
      </x:c>
      <x:c r="R64" s="30" t="str">
        <x:v>MATCHED_ASSET</x:v>
      </x:c>
      <x:c r="S64" t="e">
        <x:f>HYPERLINK("visual_gallery/index.html#"&amp;A64,"Галерея")</x:f>
      </x:c>
    </x:row>
    <x:row r="65">
      <x:c r="A65" s="87" t="str">
        <x:v>VIS-BIO-DEC-TASK-12-P024</x:v>
      </x:c>
      <x:c r="B65" s="30" t="str">
        <x:v>Биология</x:v>
      </x:c>
      <x:c r="C65" s="30"/>
      <x:c r="D65" s="30" t="str">
        <x:v>БИ2510202</x:v>
      </x:c>
      <x:c r="E65" s="87" t="str">
        <x:v>TASK</x:v>
      </x:c>
      <x:c r="F65" s="30" t="str">
        <x:v>Zadanie_BI11_19122025.pdf</x:v>
      </x:c>
      <x:c r="G65" s="87" t="str">
        <x:v>24</x:v>
      </x:c>
      <x:c r="H65" s="87" t="str">
        <x:v>v0.89</x:v>
      </x:c>
      <x:c r="I65" s="87" t="str">
        <x:v>4</x:v>
      </x:c>
      <x:c r="J65" s="30" t="str">
        <x:v>VIS_ID, VIS_ID задания</x:v>
      </x:c>
      <x:c r="K65" s="30" t="str">
        <x:v>DEC-BIO-02-017, DEC-BIO-02-018</x:v>
      </x:c>
      <x:c r="L65" s="87" t="str">
        <x:v>CROP_VERIFIED</x:v>
      </x:c>
      <x:c r="M65" s="87" t="str">
        <x:v>ORIGINAL_PACKAGE</x:v>
      </x:c>
      <x:c r="N65" s="87" t="str">
        <x:v>pages/VIS-BIO-DEC-TASK-12-P024.png</x:v>
      </x:c>
      <x:c r="O65" s="87" t="str">
        <x:v>thumbnails/VIS-BIO-DEC-TASK-12-P024.jpg</x:v>
      </x:c>
      <x:c r="P65" s="87" t="str">
        <x:v>5a4ab2bf5cfcb2ce3f1f6408ab58b3799403ef6b3813ce6fb74705a346276275</x:v>
      </x:c>
      <x:c r="Q65" s="30" t="str">
        <x:v>incoming/raw/recovery-drop-01/biology_dec_visual_assets_v089.zip!/pages/VIS-BIO-DEC-TASK-12-P024.png</x:v>
      </x:c>
      <x:c r="R65" s="30" t="str">
        <x:v>MATCHED_ASSET</x:v>
      </x:c>
      <x:c r="S65" t="e">
        <x:f>HYPERLINK("visual_gallery/index.html#"&amp;A65,"Галерея")</x:f>
      </x:c>
    </x:row>
    <x:row r="66">
      <x:c r="A66" s="87" t="str">
        <x:v>VIS-BIO-DEC-TASK-12-P025</x:v>
      </x:c>
      <x:c r="B66" s="30" t="str">
        <x:v>Биология</x:v>
      </x:c>
      <x:c r="C66" s="30"/>
      <x:c r="D66" s="30" t="str">
        <x:v>БИ2510202</x:v>
      </x:c>
      <x:c r="E66" s="87" t="str">
        <x:v>TASK</x:v>
      </x:c>
      <x:c r="F66" s="30" t="str">
        <x:v>Zadanie_BI11_19122025.pdf</x:v>
      </x:c>
      <x:c r="G66" s="87" t="str">
        <x:v>25</x:v>
      </x:c>
      <x:c r="H66" s="87" t="str">
        <x:v>v0.89</x:v>
      </x:c>
      <x:c r="I66" s="87" t="str">
        <x:v>4</x:v>
      </x:c>
      <x:c r="J66" s="30" t="str">
        <x:v>VIS_ID, VIS_ID задания</x:v>
      </x:c>
      <x:c r="K66" s="30" t="str">
        <x:v>DEC-BIO-02-019, DEC-BIO-02-020</x:v>
      </x:c>
      <x:c r="L66" s="87" t="str">
        <x:v>CROP_VERIFIED</x:v>
      </x:c>
      <x:c r="M66" s="87" t="str">
        <x:v>ORIGINAL_PACKAGE</x:v>
      </x:c>
      <x:c r="N66" s="87" t="str">
        <x:v>pages/VIS-BIO-DEC-TASK-12-P025.png</x:v>
      </x:c>
      <x:c r="O66" s="87" t="str">
        <x:v>thumbnails/VIS-BIO-DEC-TASK-12-P025.jpg</x:v>
      </x:c>
      <x:c r="P66" s="87" t="str">
        <x:v>415060542d3127a0e2888db3c66ef5df1f06cb02ff26cd4129024da4e21306e3</x:v>
      </x:c>
      <x:c r="Q66" s="30" t="str">
        <x:v>incoming/raw/recovery-drop-01/biology_dec_visual_assets_v089.zip!/pages/VIS-BIO-DEC-TASK-12-P025.png</x:v>
      </x:c>
      <x:c r="R66" s="30" t="str">
        <x:v>MATCHED_ASSET</x:v>
      </x:c>
      <x:c r="S66" t="e">
        <x:f>HYPERLINK("visual_gallery/index.html#"&amp;A66,"Галерея")</x:f>
      </x:c>
    </x:row>
    <x:row r="67">
      <x:c r="A67" s="87" t="str">
        <x:v>VIS-BIO-DEC-TASK-12-P026</x:v>
      </x:c>
      <x:c r="B67" s="30" t="str">
        <x:v>Биология</x:v>
      </x:c>
      <x:c r="C67" s="30"/>
      <x:c r="D67" s="30" t="str">
        <x:v>БИ2510202</x:v>
      </x:c>
      <x:c r="E67" s="87" t="str">
        <x:v>TASK</x:v>
      </x:c>
      <x:c r="F67" s="30" t="str">
        <x:v>Zadanie_BI11_19122025.pdf</x:v>
      </x:c>
      <x:c r="G67" s="87" t="str">
        <x:v>26</x:v>
      </x:c>
      <x:c r="H67" s="87" t="str">
        <x:v>v0.89</x:v>
      </x:c>
      <x:c r="I67" s="87" t="str">
        <x:v>2</x:v>
      </x:c>
      <x:c r="J67" s="30" t="str">
        <x:v>VIS_ID, VIS_ID задания</x:v>
      </x:c>
      <x:c r="K67" s="30" t="str">
        <x:v>DEC-BIO-02-021</x:v>
      </x:c>
      <x:c r="L67" s="87" t="str">
        <x:v>CROP_VERIFIED</x:v>
      </x:c>
      <x:c r="M67" s="87" t="str">
        <x:v>ORIGINAL_PACKAGE</x:v>
      </x:c>
      <x:c r="N67" s="87" t="str">
        <x:v>pages/VIS-BIO-DEC-TASK-12-P026.png</x:v>
      </x:c>
      <x:c r="O67" s="87" t="str">
        <x:v>thumbnails/VIS-BIO-DEC-TASK-12-P026.jpg</x:v>
      </x:c>
      <x:c r="P67" s="87" t="str">
        <x:v>6431c7d0dd4bf2a6dd21d20edbf1a2308a45696dee03718007b80579c35dc27f</x:v>
      </x:c>
      <x:c r="Q67" s="30" t="str">
        <x:v>incoming/raw/recovery-drop-01/biology_dec_visual_assets_v089.zip!/pages/VIS-BIO-DEC-TASK-12-P026.png</x:v>
      </x:c>
      <x:c r="R67" s="30" t="str">
        <x:v>MATCHED_ASSET</x:v>
      </x:c>
      <x:c r="S67" t="e">
        <x:f>HYPERLINK("visual_gallery/index.html#"&amp;A67,"Галерея")</x:f>
      </x:c>
    </x:row>
    <x:row r="68">
      <x:c r="A68" s="87" t="str">
        <x:v>VIS-BIO-DEC-TASK-12-P027</x:v>
      </x:c>
      <x:c r="B68" s="30" t="str">
        <x:v>Биология</x:v>
      </x:c>
      <x:c r="C68" s="30"/>
      <x:c r="D68" s="30" t="str">
        <x:v>БИ2510202</x:v>
      </x:c>
      <x:c r="E68" s="87" t="str">
        <x:v>TASK</x:v>
      </x:c>
      <x:c r="F68" s="30" t="str">
        <x:v>Zadanie_BI11_19122025.pdf</x:v>
      </x:c>
      <x:c r="G68" s="87" t="str">
        <x:v>27</x:v>
      </x:c>
      <x:c r="H68" s="87" t="str">
        <x:v>v0.89</x:v>
      </x:c>
      <x:c r="I68" s="87" t="str">
        <x:v>2</x:v>
      </x:c>
      <x:c r="J68" s="30" t="str">
        <x:v>VIS_ID, VIS_ID задания</x:v>
      </x:c>
      <x:c r="K68" s="30" t="str">
        <x:v>DEC-BIO-02-022</x:v>
      </x:c>
      <x:c r="L68" s="87" t="str">
        <x:v>CROP_VERIFIED</x:v>
      </x:c>
      <x:c r="M68" s="87" t="str">
        <x:v>ORIGINAL_PACKAGE</x:v>
      </x:c>
      <x:c r="N68" s="87" t="str">
        <x:v>pages/VIS-BIO-DEC-TASK-12-P027.png</x:v>
      </x:c>
      <x:c r="O68" s="87" t="str">
        <x:v>thumbnails/VIS-BIO-DEC-TASK-12-P027.jpg</x:v>
      </x:c>
      <x:c r="P68" s="87" t="str">
        <x:v>c244bf3b76dc1f9b2d8ff15f2a64b8a353d61bbfdc49008b292d8224b7ea6041</x:v>
      </x:c>
      <x:c r="Q68" s="30" t="str">
        <x:v>incoming/raw/recovery-drop-01/biology_dec_visual_assets_v089.zip!/pages/VIS-BIO-DEC-TASK-12-P027.png</x:v>
      </x:c>
      <x:c r="R68" s="30" t="str">
        <x:v>MATCHED_ASSET</x:v>
      </x:c>
      <x:c r="S68" t="e">
        <x:f>HYPERLINK("visual_gallery/index.html#"&amp;A68,"Галерея")</x:f>
      </x:c>
    </x:row>
    <x:row r="69">
      <x:c r="A69" s="87" t="str">
        <x:v>VIS-BIO-DEC-TASK-12-P028</x:v>
      </x:c>
      <x:c r="B69" s="30" t="str">
        <x:v>Биология</x:v>
      </x:c>
      <x:c r="C69" s="30"/>
      <x:c r="D69" s="30" t="str">
        <x:v>БИ2510202</x:v>
      </x:c>
      <x:c r="E69" s="87" t="str">
        <x:v>TASK</x:v>
      </x:c>
      <x:c r="F69" s="30" t="str">
        <x:v>Zadanie_BI11_19122025.pdf</x:v>
      </x:c>
      <x:c r="G69" s="87" t="str">
        <x:v>28</x:v>
      </x:c>
      <x:c r="H69" s="87" t="str">
        <x:v>v0.89</x:v>
      </x:c>
      <x:c r="I69" s="87" t="str">
        <x:v>6</x:v>
      </x:c>
      <x:c r="J69" s="30" t="str">
        <x:v>VIS_ID, VIS_ID задания</x:v>
      </x:c>
      <x:c r="K69" s="30" t="str">
        <x:v>DEC-BIO-02-023, DEC-BIO-02-024, DEC-BIO-02-025</x:v>
      </x:c>
      <x:c r="L69" s="87" t="str">
        <x:v>CROP_VERIFIED</x:v>
      </x:c>
      <x:c r="M69" s="87" t="str">
        <x:v>ORIGINAL_PACKAGE</x:v>
      </x:c>
      <x:c r="N69" s="87" t="str">
        <x:v>pages/VIS-BIO-DEC-TASK-12-P028.png</x:v>
      </x:c>
      <x:c r="O69" s="87" t="str">
        <x:v>thumbnails/VIS-BIO-DEC-TASK-12-P028.jpg</x:v>
      </x:c>
      <x:c r="P69" s="87" t="str">
        <x:v>adccb01a7225c0fc730625de2f3e3334259a50d4c91ac016a29081f362d55b71</x:v>
      </x:c>
      <x:c r="Q69" s="30" t="str">
        <x:v>incoming/raw/recovery-drop-01/biology_dec_visual_assets_v089.zip!/pages/VIS-BIO-DEC-TASK-12-P028.png</x:v>
      </x:c>
      <x:c r="R69" s="30" t="str">
        <x:v>MATCHED_ASSET</x:v>
      </x:c>
      <x:c r="S69" t="e">
        <x:f>HYPERLINK("visual_gallery/index.html#"&amp;A69,"Галерея")</x:f>
      </x:c>
    </x:row>
    <x:row r="70">
      <x:c r="A70" s="87" t="str">
        <x:v>VIS-BIO-DEC-TASK-12-P029</x:v>
      </x:c>
      <x:c r="B70" s="30" t="str">
        <x:v>Биология</x:v>
      </x:c>
      <x:c r="C70" s="30"/>
      <x:c r="D70" s="30" t="str">
        <x:v>БИ2510202</x:v>
      </x:c>
      <x:c r="E70" s="87" t="str">
        <x:v>TASK</x:v>
      </x:c>
      <x:c r="F70" s="30" t="str">
        <x:v>Zadanie_BI11_19122025.pdf</x:v>
      </x:c>
      <x:c r="G70" s="87" t="str">
        <x:v>29</x:v>
      </x:c>
      <x:c r="H70" s="87" t="str">
        <x:v>v0.89</x:v>
      </x:c>
      <x:c r="I70" s="87" t="str">
        <x:v>4</x:v>
      </x:c>
      <x:c r="J70" s="30" t="str">
        <x:v>VIS_ID, VIS_ID задания</x:v>
      </x:c>
      <x:c r="K70" s="30" t="str">
        <x:v>DEC-BIO-02-026, DEC-BIO-02-027</x:v>
      </x:c>
      <x:c r="L70" s="87" t="str">
        <x:v>CROP_VERIFIED</x:v>
      </x:c>
      <x:c r="M70" s="87" t="str">
        <x:v>ORIGINAL_PACKAGE</x:v>
      </x:c>
      <x:c r="N70" s="87" t="str">
        <x:v>pages/VIS-BIO-DEC-TASK-12-P029.png</x:v>
      </x:c>
      <x:c r="O70" s="87" t="str">
        <x:v>thumbnails/VIS-BIO-DEC-TASK-12-P029.jpg</x:v>
      </x:c>
      <x:c r="P70" s="87" t="str">
        <x:v>d722ae3c881616dd6853a50f47d77f774390ad5f3d43d4622b8b597a6d4a718e</x:v>
      </x:c>
      <x:c r="Q70" s="30" t="str">
        <x:v>incoming/raw/recovery-drop-01/biology_dec_visual_assets_v089.zip!/pages/VIS-BIO-DEC-TASK-12-P029.png</x:v>
      </x:c>
      <x:c r="R70" s="30" t="str">
        <x:v>MATCHED_ASSET</x:v>
      </x:c>
      <x:c r="S70" t="e">
        <x:f>HYPERLINK("visual_gallery/index.html#"&amp;A70,"Галерея")</x:f>
      </x:c>
    </x:row>
    <x:row r="71">
      <x:c r="A71" s="87" t="str">
        <x:v>VIS-BIO-DEC-TASK-12-P030</x:v>
      </x:c>
      <x:c r="B71" s="30" t="str">
        <x:v>Биология</x:v>
      </x:c>
      <x:c r="C71" s="30"/>
      <x:c r="D71" s="30" t="str">
        <x:v>БИ2510202</x:v>
      </x:c>
      <x:c r="E71" s="87" t="str">
        <x:v>TASK</x:v>
      </x:c>
      <x:c r="F71" s="30" t="str">
        <x:v>Zadanie_BI11_19122025.pdf</x:v>
      </x:c>
      <x:c r="G71" s="87" t="str">
        <x:v>30</x:v>
      </x:c>
      <x:c r="H71" s="87" t="str">
        <x:v>v0.89</x:v>
      </x:c>
      <x:c r="I71" s="87" t="str">
        <x:v>2</x:v>
      </x:c>
      <x:c r="J71" s="30" t="str">
        <x:v>VIS_ID, VIS_ID задания</x:v>
      </x:c>
      <x:c r="K71" s="30" t="str">
        <x:v>DEC-BIO-02-028</x:v>
      </x:c>
      <x:c r="L71" s="87" t="str">
        <x:v>CROP_VERIFIED</x:v>
      </x:c>
      <x:c r="M71" s="87" t="str">
        <x:v>ORIGINAL_PACKAGE</x:v>
      </x:c>
      <x:c r="N71" s="87" t="str">
        <x:v>pages/VIS-BIO-DEC-TASK-12-P030.png</x:v>
      </x:c>
      <x:c r="O71" s="87" t="str">
        <x:v>thumbnails/VIS-BIO-DEC-TASK-12-P030.jpg</x:v>
      </x:c>
      <x:c r="P71" s="87" t="str">
        <x:v>7b5ed1c31d30810683a5bad6be223f622e53bd3cc3df247f0b83c2b459b870bb</x:v>
      </x:c>
      <x:c r="Q71" s="30" t="str">
        <x:v>incoming/raw/recovery-drop-01/biology_dec_visual_assets_v089.zip!/pages/VIS-BIO-DEC-TASK-12-P030.png</x:v>
      </x:c>
      <x:c r="R71" s="30" t="str">
        <x:v>MATCHED_ASSET</x:v>
      </x:c>
      <x:c r="S71" t="e">
        <x:f>HYPERLINK("visual_gallery/index.html#"&amp;A71,"Галерея")</x:f>
      </x:c>
    </x:row>
    <x:row r="72">
      <x:c r="A72" s="87" t="str">
        <x:v>VIS-BIO-DEC-TASK-34-P001</x:v>
      </x:c>
      <x:c r="B72" s="30" t="str"/>
      <x:c r="C72" s="30"/>
      <x:c r="D72" s="30" t="str"/>
      <x:c r="E72" s="87" t="str">
        <x:v>TASK</x:v>
      </x:c>
      <x:c r="F72" s="30" t="str">
        <x:v>Zadanie_BI11_19122025_.pdf</x:v>
      </x:c>
      <x:c r="G72" s="87" t="str">
        <x:v>1</x:v>
      </x:c>
      <x:c r="H72" s="87" t="str">
        <x:v>v0.89</x:v>
      </x:c>
      <x:c r="I72" s="87" t="str">
        <x:v>0</x:v>
      </x:c>
      <x:c r="J72" s="30" t="str"/>
      <x:c r="K72" s="30" t="str"/>
      <x:c r="L72" s="87" t="str">
        <x:v>CROP_VERIFIED</x:v>
      </x:c>
      <x:c r="M72" s="87" t="str">
        <x:v>ORIGINAL_PACKAGE</x:v>
      </x:c>
      <x:c r="N72" s="87" t="str">
        <x:v>pages/VIS-BIO-DEC-TASK-34-P001.png</x:v>
      </x:c>
      <x:c r="O72" s="87" t="str">
        <x:v>thumbnails/VIS-BIO-DEC-TASK-34-P001.jpg</x:v>
      </x:c>
      <x:c r="P72" s="87" t="str">
        <x:v>f186d27d248422d599424368bc3fc1de1de037735ce77f059fe60e1d9c7069c1</x:v>
      </x:c>
      <x:c r="Q72" s="30" t="str">
        <x:v>incoming/raw/recovery-drop-01/biology_dec_visual_assets_v089.zip!/pages/VIS-BIO-DEC-TASK-34-P001.png</x:v>
      </x:c>
      <x:c r="R72" s="30" t="str">
        <x:v>RESOLVED_UNLINKED_REGISTRY_VISUAL</x:v>
      </x:c>
      <x:c r="S72" t="e">
        <x:f>HYPERLINK("visual_gallery/index.html#"&amp;A72,"Галерея")</x:f>
      </x:c>
    </x:row>
    <x:row r="73">
      <x:c r="A73" s="87" t="str">
        <x:v>VIS-BIO-DEC-TASK-34-P002</x:v>
      </x:c>
      <x:c r="B73" s="30" t="str">
        <x:v>Биология</x:v>
      </x:c>
      <x:c r="C73" s="30"/>
      <x:c r="D73" s="30" t="str">
        <x:v>БИ2510203</x:v>
      </x:c>
      <x:c r="E73" s="87" t="str">
        <x:v>TASK</x:v>
      </x:c>
      <x:c r="F73" s="30" t="str">
        <x:v>Zadanie_BI11_19122025_.pdf</x:v>
      </x:c>
      <x:c r="G73" s="87" t="str">
        <x:v>2</x:v>
      </x:c>
      <x:c r="H73" s="87" t="str">
        <x:v>v0.89</x:v>
      </x:c>
      <x:c r="I73" s="87" t="str">
        <x:v>4</x:v>
      </x:c>
      <x:c r="J73" s="30" t="str">
        <x:v>VIS_ID, VIS_ID задания</x:v>
      </x:c>
      <x:c r="K73" s="30" t="str">
        <x:v>DEC-BIO-03-001, DEC-BIO-03-002</x:v>
      </x:c>
      <x:c r="L73" s="87" t="str">
        <x:v>CROP_VERIFIED</x:v>
      </x:c>
      <x:c r="M73" s="87" t="str">
        <x:v>ORIGINAL_PACKAGE</x:v>
      </x:c>
      <x:c r="N73" s="87" t="str">
        <x:v>pages/VIS-BIO-DEC-TASK-34-P002.png</x:v>
      </x:c>
      <x:c r="O73" s="87" t="str">
        <x:v>thumbnails/VIS-BIO-DEC-TASK-34-P002.jpg</x:v>
      </x:c>
      <x:c r="P73" s="87" t="str">
        <x:v>cdb17ab1bef780d2ce9a6913dbe21921cfd00f59828d814257966de8aed941cf</x:v>
      </x:c>
      <x:c r="Q73" s="30" t="str">
        <x:v>incoming/raw/recovery-drop-01/biology_dec_visual_assets_v089.zip!/pages/VIS-BIO-DEC-TASK-34-P002.png</x:v>
      </x:c>
      <x:c r="R73" s="30" t="str">
        <x:v>MATCHED_ASSET</x:v>
      </x:c>
      <x:c r="S73" t="e">
        <x:f>HYPERLINK("visual_gallery/index.html#"&amp;A73,"Галерея")</x:f>
      </x:c>
    </x:row>
    <x:row r="74">
      <x:c r="A74" s="87" t="str">
        <x:v>VIS-BIO-DEC-TASK-34-P003</x:v>
      </x:c>
      <x:c r="B74" s="30" t="str">
        <x:v>Биология</x:v>
      </x:c>
      <x:c r="C74" s="30"/>
      <x:c r="D74" s="30" t="str">
        <x:v>БИ2510203</x:v>
      </x:c>
      <x:c r="E74" s="87" t="str">
        <x:v>TASK</x:v>
      </x:c>
      <x:c r="F74" s="30" t="str">
        <x:v>Zadanie_BI11_19122025_.pdf</x:v>
      </x:c>
      <x:c r="G74" s="87" t="str">
        <x:v>3</x:v>
      </x:c>
      <x:c r="H74" s="87" t="str">
        <x:v>v0.89</x:v>
      </x:c>
      <x:c r="I74" s="87" t="str">
        <x:v>6</x:v>
      </x:c>
      <x:c r="J74" s="30" t="str">
        <x:v>VIS_ID, VIS_ID задания</x:v>
      </x:c>
      <x:c r="K74" s="30" t="str">
        <x:v>DEC-BIO-03-003, DEC-BIO-03-004, DEC-BIO-03-005</x:v>
      </x:c>
      <x:c r="L74" s="87" t="str">
        <x:v>CROP_VERIFIED</x:v>
      </x:c>
      <x:c r="M74" s="87" t="str">
        <x:v>ORIGINAL_PACKAGE</x:v>
      </x:c>
      <x:c r="N74" s="87" t="str">
        <x:v>pages/VIS-BIO-DEC-TASK-34-P003.png</x:v>
      </x:c>
      <x:c r="O74" s="87" t="str">
        <x:v>thumbnails/VIS-BIO-DEC-TASK-34-P003.jpg</x:v>
      </x:c>
      <x:c r="P74" s="87" t="str">
        <x:v>0ce43c4ab1addc6ddf18f245da2fbe1208e83d44d09a4b3bd904abfa23ee2347</x:v>
      </x:c>
      <x:c r="Q74" s="30" t="str">
        <x:v>incoming/raw/recovery-drop-01/biology_dec_visual_assets_v089.zip!/pages/VIS-BIO-DEC-TASK-34-P003.png</x:v>
      </x:c>
      <x:c r="R74" s="30" t="str">
        <x:v>MATCHED_ASSET</x:v>
      </x:c>
      <x:c r="S74" t="e">
        <x:f>HYPERLINK("visual_gallery/index.html#"&amp;A74,"Галерея")</x:f>
      </x:c>
    </x:row>
    <x:row r="75">
      <x:c r="A75" s="87" t="str">
        <x:v>VIS-BIO-DEC-TASK-34-P004</x:v>
      </x:c>
      <x:c r="B75" s="30" t="str">
        <x:v>Биология</x:v>
      </x:c>
      <x:c r="C75" s="30"/>
      <x:c r="D75" s="30" t="str">
        <x:v>БИ2510203</x:v>
      </x:c>
      <x:c r="E75" s="87" t="str">
        <x:v>TASK</x:v>
      </x:c>
      <x:c r="F75" s="30" t="str">
        <x:v>Zadanie_BI11_19122025_.pdf</x:v>
      </x:c>
      <x:c r="G75" s="87" t="str">
        <x:v>4</x:v>
      </x:c>
      <x:c r="H75" s="87" t="str">
        <x:v>v0.89</x:v>
      </x:c>
      <x:c r="I75" s="87" t="str">
        <x:v>4</x:v>
      </x:c>
      <x:c r="J75" s="30" t="str">
        <x:v>VIS_ID, VIS_ID задания</x:v>
      </x:c>
      <x:c r="K75" s="30" t="str">
        <x:v>DEC-BIO-03-006, DEC-BIO-03-007</x:v>
      </x:c>
      <x:c r="L75" s="87" t="str">
        <x:v>CROP_VERIFIED</x:v>
      </x:c>
      <x:c r="M75" s="87" t="str">
        <x:v>ORIGINAL_PACKAGE</x:v>
      </x:c>
      <x:c r="N75" s="87" t="str">
        <x:v>pages/VIS-BIO-DEC-TASK-34-P004.png</x:v>
      </x:c>
      <x:c r="O75" s="87" t="str">
        <x:v>thumbnails/VIS-BIO-DEC-TASK-34-P004.jpg</x:v>
      </x:c>
      <x:c r="P75" s="87" t="str">
        <x:v>6f0927446b08bdb46138954d4afa924ac287f7239c52800b5071423771a1c245</x:v>
      </x:c>
      <x:c r="Q75" s="30" t="str">
        <x:v>incoming/raw/recovery-drop-01/biology_dec_visual_assets_v089.zip!/pages/VIS-BIO-DEC-TASK-34-P004.png</x:v>
      </x:c>
      <x:c r="R75" s="30" t="str">
        <x:v>MATCHED_ASSET</x:v>
      </x:c>
      <x:c r="S75" t="e">
        <x:f>HYPERLINK("visual_gallery/index.html#"&amp;A75,"Галерея")</x:f>
      </x:c>
    </x:row>
    <x:row r="76">
      <x:c r="A76" s="87" t="str">
        <x:v>VIS-BIO-DEC-TASK-34-P005</x:v>
      </x:c>
      <x:c r="B76" s="30" t="str">
        <x:v>Биология</x:v>
      </x:c>
      <x:c r="C76" s="30"/>
      <x:c r="D76" s="30" t="str">
        <x:v>БИ2510203</x:v>
      </x:c>
      <x:c r="E76" s="87" t="str">
        <x:v>TASK</x:v>
      </x:c>
      <x:c r="F76" s="30" t="str">
        <x:v>Zadanie_BI11_19122025_.pdf</x:v>
      </x:c>
      <x:c r="G76" s="87" t="str">
        <x:v>5</x:v>
      </x:c>
      <x:c r="H76" s="87" t="str">
        <x:v>v0.89</x:v>
      </x:c>
      <x:c r="I76" s="87" t="str">
        <x:v>4</x:v>
      </x:c>
      <x:c r="J76" s="30" t="str">
        <x:v>VIS_ID, VIS_ID задания</x:v>
      </x:c>
      <x:c r="K76" s="30" t="str">
        <x:v>DEC-BIO-03-008, DEC-BIO-03-009</x:v>
      </x:c>
      <x:c r="L76" s="87" t="str">
        <x:v>CROP_VERIFIED</x:v>
      </x:c>
      <x:c r="M76" s="87" t="str">
        <x:v>ORIGINAL_PACKAGE</x:v>
      </x:c>
      <x:c r="N76" s="87" t="str">
        <x:v>pages/VIS-BIO-DEC-TASK-34-P005.png</x:v>
      </x:c>
      <x:c r="O76" s="87" t="str">
        <x:v>thumbnails/VIS-BIO-DEC-TASK-34-P005.jpg</x:v>
      </x:c>
      <x:c r="P76" s="87" t="str">
        <x:v>9614119c749496610c8e1f186d5678d6e38532e9f3408574ea5f5180f75d06e1</x:v>
      </x:c>
      <x:c r="Q76" s="30" t="str">
        <x:v>incoming/raw/recovery-drop-01/biology_dec_visual_assets_v089.zip!/pages/VIS-BIO-DEC-TASK-34-P005.png</x:v>
      </x:c>
      <x:c r="R76" s="30" t="str">
        <x:v>MATCHED_ASSET</x:v>
      </x:c>
      <x:c r="S76" t="e">
        <x:f>HYPERLINK("visual_gallery/index.html#"&amp;A76,"Галерея")</x:f>
      </x:c>
    </x:row>
    <x:row r="77">
      <x:c r="A77" s="87" t="str">
        <x:v>VIS-BIO-DEC-TASK-34-P006</x:v>
      </x:c>
      <x:c r="B77" s="30" t="str">
        <x:v>Биология</x:v>
      </x:c>
      <x:c r="C77" s="30"/>
      <x:c r="D77" s="30" t="str">
        <x:v>БИ2510203</x:v>
      </x:c>
      <x:c r="E77" s="87" t="str">
        <x:v>TASK</x:v>
      </x:c>
      <x:c r="F77" s="30" t="str">
        <x:v>Zadanie_BI11_19122025_.pdf</x:v>
      </x:c>
      <x:c r="G77" s="87" t="str">
        <x:v>6</x:v>
      </x:c>
      <x:c r="H77" s="87" t="str">
        <x:v>v0.89</x:v>
      </x:c>
      <x:c r="I77" s="87" t="str">
        <x:v>6</x:v>
      </x:c>
      <x:c r="J77" s="30" t="str">
        <x:v>VIS_ID, VIS_ID задания</x:v>
      </x:c>
      <x:c r="K77" s="30" t="str">
        <x:v>DEC-BIO-03-010, DEC-BIO-03-011, DEC-BIO-03-012</x:v>
      </x:c>
      <x:c r="L77" s="87" t="str">
        <x:v>CROP_VERIFIED</x:v>
      </x:c>
      <x:c r="M77" s="87" t="str">
        <x:v>ORIGINAL_PACKAGE</x:v>
      </x:c>
      <x:c r="N77" s="87" t="str">
        <x:v>pages/VIS-BIO-DEC-TASK-34-P006.png</x:v>
      </x:c>
      <x:c r="O77" s="87" t="str">
        <x:v>thumbnails/VIS-BIO-DEC-TASK-34-P006.jpg</x:v>
      </x:c>
      <x:c r="P77" s="87" t="str">
        <x:v>2a147fe750da431589f389bffc5c5954b78e0e59e18f6cf5315f7981d2bad345</x:v>
      </x:c>
      <x:c r="Q77" s="30" t="str">
        <x:v>incoming/raw/recovery-drop-01/biology_dec_visual_assets_v089.zip!/pages/VIS-BIO-DEC-TASK-34-P006.png</x:v>
      </x:c>
      <x:c r="R77" s="30" t="str">
        <x:v>MATCHED_ASSET</x:v>
      </x:c>
      <x:c r="S77" t="e">
        <x:f>HYPERLINK("visual_gallery/index.html#"&amp;A77,"Галерея")</x:f>
      </x:c>
    </x:row>
    <x:row r="78">
      <x:c r="A78" s="87" t="str">
        <x:v>VIS-BIO-DEC-TASK-34-P007</x:v>
      </x:c>
      <x:c r="B78" s="30" t="str">
        <x:v>Биология</x:v>
      </x:c>
      <x:c r="C78" s="30"/>
      <x:c r="D78" s="30" t="str">
        <x:v>БИ2510203</x:v>
      </x:c>
      <x:c r="E78" s="87" t="str">
        <x:v>TASK</x:v>
      </x:c>
      <x:c r="F78" s="30" t="str">
        <x:v>Zadanie_BI11_19122025_.pdf</x:v>
      </x:c>
      <x:c r="G78" s="87" t="str">
        <x:v>7</x:v>
      </x:c>
      <x:c r="H78" s="87" t="str">
        <x:v>v0.89</x:v>
      </x:c>
      <x:c r="I78" s="87" t="str">
        <x:v>4</x:v>
      </x:c>
      <x:c r="J78" s="30" t="str">
        <x:v>VIS_ID, VIS_ID задания</x:v>
      </x:c>
      <x:c r="K78" s="30" t="str">
        <x:v>DEC-BIO-03-013, DEC-BIO-03-014</x:v>
      </x:c>
      <x:c r="L78" s="87" t="str">
        <x:v>CROP_VERIFIED</x:v>
      </x:c>
      <x:c r="M78" s="87" t="str">
        <x:v>ORIGINAL_PACKAGE</x:v>
      </x:c>
      <x:c r="N78" s="87" t="str">
        <x:v>pages/VIS-BIO-DEC-TASK-34-P007.png</x:v>
      </x:c>
      <x:c r="O78" s="87" t="str">
        <x:v>thumbnails/VIS-BIO-DEC-TASK-34-P007.jpg</x:v>
      </x:c>
      <x:c r="P78" s="87" t="str">
        <x:v>e42df820d870b958c9cc21078d4fa6c3e620e3153c259ced4a76ff3e6644b6c0</x:v>
      </x:c>
      <x:c r="Q78" s="30" t="str">
        <x:v>incoming/raw/recovery-drop-01/biology_dec_visual_assets_v089.zip!/pages/VIS-BIO-DEC-TASK-34-P007.png</x:v>
      </x:c>
      <x:c r="R78" s="30" t="str">
        <x:v>MATCHED_ASSET</x:v>
      </x:c>
      <x:c r="S78" t="e">
        <x:f>HYPERLINK("visual_gallery/index.html#"&amp;A78,"Галерея")</x:f>
      </x:c>
    </x:row>
    <x:row r="79">
      <x:c r="A79" s="87" t="str">
        <x:v>VIS-BIO-DEC-TASK-34-P008</x:v>
      </x:c>
      <x:c r="B79" s="30" t="str">
        <x:v>Биология</x:v>
      </x:c>
      <x:c r="C79" s="30"/>
      <x:c r="D79" s="30" t="str">
        <x:v>БИ2510203</x:v>
      </x:c>
      <x:c r="E79" s="87" t="str">
        <x:v>TASK</x:v>
      </x:c>
      <x:c r="F79" s="30" t="str">
        <x:v>Zadanie_BI11_19122025_.pdf</x:v>
      </x:c>
      <x:c r="G79" s="87" t="str">
        <x:v>8</x:v>
      </x:c>
      <x:c r="H79" s="87" t="str">
        <x:v>v0.89</x:v>
      </x:c>
      <x:c r="I79" s="87" t="str">
        <x:v>4</x:v>
      </x:c>
      <x:c r="J79" s="30" t="str">
        <x:v>VIS_ID, VIS_ID задания</x:v>
      </x:c>
      <x:c r="K79" s="30" t="str">
        <x:v>DEC-BIO-03-015, DEC-BIO-03-016</x:v>
      </x:c>
      <x:c r="L79" s="87" t="str">
        <x:v>CROP_VERIFIED</x:v>
      </x:c>
      <x:c r="M79" s="87" t="str">
        <x:v>ORIGINAL_PACKAGE</x:v>
      </x:c>
      <x:c r="N79" s="87" t="str">
        <x:v>pages/VIS-BIO-DEC-TASK-34-P008.png</x:v>
      </x:c>
      <x:c r="O79" s="87" t="str">
        <x:v>thumbnails/VIS-BIO-DEC-TASK-34-P008.jpg</x:v>
      </x:c>
      <x:c r="P79" s="87" t="str">
        <x:v>bf43764dfbbd27553b24d8e5931ef15fe8ce94becb7962c7dca4b7d8bd8aafe1</x:v>
      </x:c>
      <x:c r="Q79" s="30" t="str">
        <x:v>incoming/raw/recovery-drop-01/biology_dec_visual_assets_v089.zip!/pages/VIS-BIO-DEC-TASK-34-P008.png</x:v>
      </x:c>
      <x:c r="R79" s="30" t="str">
        <x:v>MATCHED_ASSET</x:v>
      </x:c>
      <x:c r="S79" t="e">
        <x:f>HYPERLINK("visual_gallery/index.html#"&amp;A79,"Галерея")</x:f>
      </x:c>
    </x:row>
    <x:row r="80">
      <x:c r="A80" s="87" t="str">
        <x:v>VIS-BIO-DEC-TASK-34-P009</x:v>
      </x:c>
      <x:c r="B80" s="30" t="str">
        <x:v>Биология</x:v>
      </x:c>
      <x:c r="C80" s="30"/>
      <x:c r="D80" s="30" t="str">
        <x:v>БИ2510203</x:v>
      </x:c>
      <x:c r="E80" s="87" t="str">
        <x:v>TASK</x:v>
      </x:c>
      <x:c r="F80" s="30" t="str">
        <x:v>Zadanie_BI11_19122025_.pdf</x:v>
      </x:c>
      <x:c r="G80" s="87" t="str">
        <x:v>9</x:v>
      </x:c>
      <x:c r="H80" s="87" t="str">
        <x:v>v0.89</x:v>
      </x:c>
      <x:c r="I80" s="87" t="str">
        <x:v>4</x:v>
      </x:c>
      <x:c r="J80" s="30" t="str">
        <x:v>VIS_ID, VIS_ID задания</x:v>
      </x:c>
      <x:c r="K80" s="30" t="str">
        <x:v>DEC-BIO-03-017, DEC-BIO-03-018</x:v>
      </x:c>
      <x:c r="L80" s="87" t="str">
        <x:v>CROP_VERIFIED</x:v>
      </x:c>
      <x:c r="M80" s="87" t="str">
        <x:v>ORIGINAL_PACKAGE</x:v>
      </x:c>
      <x:c r="N80" s="87" t="str">
        <x:v>pages/VIS-BIO-DEC-TASK-34-P009.png</x:v>
      </x:c>
      <x:c r="O80" s="87" t="str">
        <x:v>thumbnails/VIS-BIO-DEC-TASK-34-P009.jpg</x:v>
      </x:c>
      <x:c r="P80" s="87" t="str">
        <x:v>f9c8d8a3fac24f56197bd50d492dc776a73f4d64a72896a492c936fe665c3354</x:v>
      </x:c>
      <x:c r="Q80" s="30" t="str">
        <x:v>incoming/raw/recovery-drop-01/biology_dec_visual_assets_v089.zip!/pages/VIS-BIO-DEC-TASK-34-P009.png</x:v>
      </x:c>
      <x:c r="R80" s="30" t="str">
        <x:v>MATCHED_ASSET</x:v>
      </x:c>
      <x:c r="S80" t="e">
        <x:f>HYPERLINK("visual_gallery/index.html#"&amp;A80,"Галерея")</x:f>
      </x:c>
    </x:row>
    <x:row r="81">
      <x:c r="A81" s="87" t="str">
        <x:v>VIS-BIO-DEC-TASK-34-P010</x:v>
      </x:c>
      <x:c r="B81" s="30" t="str">
        <x:v>Биология</x:v>
      </x:c>
      <x:c r="C81" s="30"/>
      <x:c r="D81" s="30" t="str">
        <x:v>БИ2510203</x:v>
      </x:c>
      <x:c r="E81" s="87" t="str">
        <x:v>TASK</x:v>
      </x:c>
      <x:c r="F81" s="30" t="str">
        <x:v>Zadanie_BI11_19122025_.pdf</x:v>
      </x:c>
      <x:c r="G81" s="87" t="str">
        <x:v>10</x:v>
      </x:c>
      <x:c r="H81" s="87" t="str">
        <x:v>v0.89</x:v>
      </x:c>
      <x:c r="I81" s="87" t="str">
        <x:v>4</x:v>
      </x:c>
      <x:c r="J81" s="30" t="str">
        <x:v>VIS_ID, VIS_ID задания</x:v>
      </x:c>
      <x:c r="K81" s="30" t="str">
        <x:v>DEC-BIO-03-019, DEC-BIO-03-020</x:v>
      </x:c>
      <x:c r="L81" s="87" t="str">
        <x:v>CROP_VERIFIED</x:v>
      </x:c>
      <x:c r="M81" s="87" t="str">
        <x:v>ORIGINAL_PACKAGE</x:v>
      </x:c>
      <x:c r="N81" s="87" t="str">
        <x:v>pages/VIS-BIO-DEC-TASK-34-P010.png</x:v>
      </x:c>
      <x:c r="O81" s="87" t="str">
        <x:v>thumbnails/VIS-BIO-DEC-TASK-34-P010.jpg</x:v>
      </x:c>
      <x:c r="P81" s="87" t="str">
        <x:v>609b2d7c3b89cb77c230b98bd1047559cddd46c9489b4308528944771fcaaade</x:v>
      </x:c>
      <x:c r="Q81" s="30" t="str">
        <x:v>incoming/raw/recovery-drop-01/biology_dec_visual_assets_v089.zip!/pages/VIS-BIO-DEC-TASK-34-P010.png</x:v>
      </x:c>
      <x:c r="R81" s="30" t="str">
        <x:v>MATCHED_ASSET</x:v>
      </x:c>
      <x:c r="S81" t="e">
        <x:f>HYPERLINK("visual_gallery/index.html#"&amp;A81,"Галерея")</x:f>
      </x:c>
    </x:row>
    <x:row r="82">
      <x:c r="A82" s="87" t="str">
        <x:v>VIS-BIO-DEC-TASK-34-P011</x:v>
      </x:c>
      <x:c r="B82" s="30" t="str">
        <x:v>Биология</x:v>
      </x:c>
      <x:c r="C82" s="30"/>
      <x:c r="D82" s="30" t="str">
        <x:v>БИ2510203</x:v>
      </x:c>
      <x:c r="E82" s="87" t="str">
        <x:v>TASK</x:v>
      </x:c>
      <x:c r="F82" s="30" t="str">
        <x:v>Zadanie_BI11_19122025_.pdf</x:v>
      </x:c>
      <x:c r="G82" s="87" t="str">
        <x:v>11</x:v>
      </x:c>
      <x:c r="H82" s="87" t="str">
        <x:v>v0.89</x:v>
      </x:c>
      <x:c r="I82" s="87" t="str">
        <x:v>2</x:v>
      </x:c>
      <x:c r="J82" s="30" t="str">
        <x:v>VIS_ID, VIS_ID задания</x:v>
      </x:c>
      <x:c r="K82" s="30" t="str">
        <x:v>DEC-BIO-03-021</x:v>
      </x:c>
      <x:c r="L82" s="87" t="str">
        <x:v>CROP_VERIFIED</x:v>
      </x:c>
      <x:c r="M82" s="87" t="str">
        <x:v>ORIGINAL_PACKAGE</x:v>
      </x:c>
      <x:c r="N82" s="87" t="str">
        <x:v>pages/VIS-BIO-DEC-TASK-34-P011.png</x:v>
      </x:c>
      <x:c r="O82" s="87" t="str">
        <x:v>thumbnails/VIS-BIO-DEC-TASK-34-P011.jpg</x:v>
      </x:c>
      <x:c r="P82" s="87" t="str">
        <x:v>2c9550258371ccecf700e7dcecb85621b6612ef3186c221ebfca4233dacf2185</x:v>
      </x:c>
      <x:c r="Q82" s="30" t="str">
        <x:v>incoming/raw/recovery-drop-01/biology_dec_visual_assets_v089.zip!/pages/VIS-BIO-DEC-TASK-34-P011.png</x:v>
      </x:c>
      <x:c r="R82" s="30" t="str">
        <x:v>MATCHED_ASSET</x:v>
      </x:c>
      <x:c r="S82" t="e">
        <x:f>HYPERLINK("visual_gallery/index.html#"&amp;A82,"Галерея")</x:f>
      </x:c>
    </x:row>
    <x:row r="83">
      <x:c r="A83" s="87" t="str">
        <x:v>VIS-BIO-DEC-TASK-34-P012</x:v>
      </x:c>
      <x:c r="B83" s="30" t="str">
        <x:v>Биология</x:v>
      </x:c>
      <x:c r="C83" s="30"/>
      <x:c r="D83" s="30" t="str">
        <x:v>БИ2510203</x:v>
      </x:c>
      <x:c r="E83" s="87" t="str">
        <x:v>TASK</x:v>
      </x:c>
      <x:c r="F83" s="30" t="str">
        <x:v>Zadanie_BI11_19122025_.pdf</x:v>
      </x:c>
      <x:c r="G83" s="87" t="str">
        <x:v>12</x:v>
      </x:c>
      <x:c r="H83" s="87" t="str">
        <x:v>v0.89</x:v>
      </x:c>
      <x:c r="I83" s="87" t="str">
        <x:v>4</x:v>
      </x:c>
      <x:c r="J83" s="30" t="str">
        <x:v>VIS_ID, VIS_ID задания</x:v>
      </x:c>
      <x:c r="K83" s="30" t="str">
        <x:v>DEC-BIO-03-022, DEC-BIO-03-023</x:v>
      </x:c>
      <x:c r="L83" s="87" t="str">
        <x:v>CROP_VERIFIED</x:v>
      </x:c>
      <x:c r="M83" s="87" t="str">
        <x:v>ORIGINAL_PACKAGE</x:v>
      </x:c>
      <x:c r="N83" s="87" t="str">
        <x:v>pages/VIS-BIO-DEC-TASK-34-P012.png</x:v>
      </x:c>
      <x:c r="O83" s="87" t="str">
        <x:v>thumbnails/VIS-BIO-DEC-TASK-34-P012.jpg</x:v>
      </x:c>
      <x:c r="P83" s="87" t="str">
        <x:v>76a2236a30247dbdaa77aa209e887d2c9b703d93b2179267e623d5b0b66d505e</x:v>
      </x:c>
      <x:c r="Q83" s="30" t="str">
        <x:v>incoming/raw/recovery-drop-01/biology_dec_visual_assets_v089.zip!/pages/VIS-BIO-DEC-TASK-34-P012.png</x:v>
      </x:c>
      <x:c r="R83" s="30" t="str">
        <x:v>MATCHED_ASSET</x:v>
      </x:c>
      <x:c r="S83" t="e">
        <x:f>HYPERLINK("visual_gallery/index.html#"&amp;A83,"Галерея")</x:f>
      </x:c>
    </x:row>
    <x:row r="84">
      <x:c r="A84" s="87" t="str">
        <x:v>VIS-BIO-DEC-TASK-34-P013</x:v>
      </x:c>
      <x:c r="B84" s="30" t="str">
        <x:v>Биология</x:v>
      </x:c>
      <x:c r="C84" s="30"/>
      <x:c r="D84" s="30" t="str">
        <x:v>БИ2510203</x:v>
      </x:c>
      <x:c r="E84" s="87" t="str">
        <x:v>TASK</x:v>
      </x:c>
      <x:c r="F84" s="30" t="str">
        <x:v>Zadanie_BI11_19122025_.pdf</x:v>
      </x:c>
      <x:c r="G84" s="87" t="str">
        <x:v>13</x:v>
      </x:c>
      <x:c r="H84" s="87" t="str">
        <x:v>v0.89</x:v>
      </x:c>
      <x:c r="I84" s="87" t="str">
        <x:v>4</x:v>
      </x:c>
      <x:c r="J84" s="30" t="str">
        <x:v>VIS_ID, VIS_ID задания</x:v>
      </x:c>
      <x:c r="K84" s="30" t="str">
        <x:v>DEC-BIO-03-024, DEC-BIO-03-025</x:v>
      </x:c>
      <x:c r="L84" s="87" t="str">
        <x:v>CROP_VERIFIED</x:v>
      </x:c>
      <x:c r="M84" s="87" t="str">
        <x:v>ORIGINAL_PACKAGE</x:v>
      </x:c>
      <x:c r="N84" s="87" t="str">
        <x:v>pages/VIS-BIO-DEC-TASK-34-P013.png</x:v>
      </x:c>
      <x:c r="O84" s="87" t="str">
        <x:v>thumbnails/VIS-BIO-DEC-TASK-34-P013.jpg</x:v>
      </x:c>
      <x:c r="P84" s="87" t="str">
        <x:v>3053c9a676d9d841cbebd403b874a91d3d516ce99cd1942856138627a0e92813</x:v>
      </x:c>
      <x:c r="Q84" s="30" t="str">
        <x:v>incoming/raw/recovery-drop-01/biology_dec_visual_assets_v089.zip!/pages/VIS-BIO-DEC-TASK-34-P013.png</x:v>
      </x:c>
      <x:c r="R84" s="30" t="str">
        <x:v>MATCHED_ASSET</x:v>
      </x:c>
      <x:c r="S84" t="e">
        <x:f>HYPERLINK("visual_gallery/index.html#"&amp;A84,"Галерея")</x:f>
      </x:c>
    </x:row>
    <x:row r="85">
      <x:c r="A85" s="87" t="str">
        <x:v>VIS-BIO-DEC-TASK-34-P014</x:v>
      </x:c>
      <x:c r="B85" s="30" t="str">
        <x:v>Биология</x:v>
      </x:c>
      <x:c r="C85" s="30"/>
      <x:c r="D85" s="30" t="str">
        <x:v>БИ2510203</x:v>
      </x:c>
      <x:c r="E85" s="87" t="str">
        <x:v>TASK</x:v>
      </x:c>
      <x:c r="F85" s="30" t="str">
        <x:v>Zadanie_BI11_19122025_.pdf</x:v>
      </x:c>
      <x:c r="G85" s="87" t="str">
        <x:v>14</x:v>
      </x:c>
      <x:c r="H85" s="87" t="str">
        <x:v>v0.89</x:v>
      </x:c>
      <x:c r="I85" s="87" t="str">
        <x:v>4</x:v>
      </x:c>
      <x:c r="J85" s="30" t="str">
        <x:v>VIS_ID, VIS_ID задания</x:v>
      </x:c>
      <x:c r="K85" s="30" t="str">
        <x:v>DEC-BIO-03-026, DEC-BIO-03-027</x:v>
      </x:c>
      <x:c r="L85" s="87" t="str">
        <x:v>CROP_VERIFIED</x:v>
      </x:c>
      <x:c r="M85" s="87" t="str">
        <x:v>ORIGINAL_PACKAGE</x:v>
      </x:c>
      <x:c r="N85" s="87" t="str">
        <x:v>pages/VIS-BIO-DEC-TASK-34-P014.png</x:v>
      </x:c>
      <x:c r="O85" s="87" t="str">
        <x:v>thumbnails/VIS-BIO-DEC-TASK-34-P014.jpg</x:v>
      </x:c>
      <x:c r="P85" s="87" t="str">
        <x:v>842dfe0aa3151e2596ee4a703b3eebc5afa068dd457169a9578b4ff883dd6425</x:v>
      </x:c>
      <x:c r="Q85" s="30" t="str">
        <x:v>incoming/raw/recovery-drop-01/biology_dec_visual_assets_v089.zip!/pages/VIS-BIO-DEC-TASK-34-P014.png</x:v>
      </x:c>
      <x:c r="R85" s="30" t="str">
        <x:v>MATCHED_ASSET</x:v>
      </x:c>
      <x:c r="S85" t="e">
        <x:f>HYPERLINK("visual_gallery/index.html#"&amp;A85,"Галерея")</x:f>
      </x:c>
    </x:row>
    <x:row r="86">
      <x:c r="A86" s="87" t="str">
        <x:v>VIS-BIO-DEC-TASK-34-P015</x:v>
      </x:c>
      <x:c r="B86" s="30" t="str">
        <x:v>Биология</x:v>
      </x:c>
      <x:c r="C86" s="30"/>
      <x:c r="D86" s="30" t="str">
        <x:v>БИ2510203</x:v>
      </x:c>
      <x:c r="E86" s="87" t="str">
        <x:v>TASK</x:v>
      </x:c>
      <x:c r="F86" s="30" t="str">
        <x:v>Zadanie_BI11_19122025_.pdf</x:v>
      </x:c>
      <x:c r="G86" s="87" t="str">
        <x:v>15</x:v>
      </x:c>
      <x:c r="H86" s="87" t="str">
        <x:v>v0.89</x:v>
      </x:c>
      <x:c r="I86" s="87" t="str">
        <x:v>2</x:v>
      </x:c>
      <x:c r="J86" s="30" t="str">
        <x:v>VIS_ID, VIS_ID задания</x:v>
      </x:c>
      <x:c r="K86" s="30" t="str">
        <x:v>DEC-BIO-03-028</x:v>
      </x:c>
      <x:c r="L86" s="87" t="str">
        <x:v>CROP_VERIFIED</x:v>
      </x:c>
      <x:c r="M86" s="87" t="str">
        <x:v>ORIGINAL_PACKAGE</x:v>
      </x:c>
      <x:c r="N86" s="87" t="str">
        <x:v>pages/VIS-BIO-DEC-TASK-34-P015.png</x:v>
      </x:c>
      <x:c r="O86" s="87" t="str">
        <x:v>thumbnails/VIS-BIO-DEC-TASK-34-P015.jpg</x:v>
      </x:c>
      <x:c r="P86" s="87" t="str">
        <x:v>2469a3dba5a7cf58aec3fc764966a9fa4ea300cf87679d61fd83e27b1e6a1e4a</x:v>
      </x:c>
      <x:c r="Q86" s="30" t="str">
        <x:v>incoming/raw/recovery-drop-01/biology_dec_visual_assets_v089.zip!/pages/VIS-BIO-DEC-TASK-34-P015.png</x:v>
      </x:c>
      <x:c r="R86" s="30" t="str">
        <x:v>MATCHED_ASSET</x:v>
      </x:c>
      <x:c r="S86" t="e">
        <x:f>HYPERLINK("visual_gallery/index.html#"&amp;A86,"Галерея")</x:f>
      </x:c>
    </x:row>
    <x:row r="87">
      <x:c r="A87" s="87" t="str">
        <x:v>VIS-BIO-DEC-TASK-34-P016</x:v>
      </x:c>
      <x:c r="B87" s="30" t="str"/>
      <x:c r="C87" s="30"/>
      <x:c r="D87" s="30" t="str"/>
      <x:c r="E87" s="87" t="str">
        <x:v>TASK</x:v>
      </x:c>
      <x:c r="F87" s="30" t="str">
        <x:v>Zadanie_BI11_19122025_.pdf</x:v>
      </x:c>
      <x:c r="G87" s="87" t="str">
        <x:v>16</x:v>
      </x:c>
      <x:c r="H87" s="87" t="str">
        <x:v>v0.89</x:v>
      </x:c>
      <x:c r="I87" s="87" t="str">
        <x:v>0</x:v>
      </x:c>
      <x:c r="J87" s="30" t="str"/>
      <x:c r="K87" s="30" t="str"/>
      <x:c r="L87" s="87" t="str">
        <x:v>CROP_VERIFIED</x:v>
      </x:c>
      <x:c r="M87" s="87" t="str">
        <x:v>ORIGINAL_PACKAGE</x:v>
      </x:c>
      <x:c r="N87" s="87" t="str">
        <x:v>pages/VIS-BIO-DEC-TASK-34-P016.png</x:v>
      </x:c>
      <x:c r="O87" s="87" t="str">
        <x:v>thumbnails/VIS-BIO-DEC-TASK-34-P016.jpg</x:v>
      </x:c>
      <x:c r="P87" s="87" t="str">
        <x:v>2c590a67357b270d85c1d64afe7284f70a7f1d660c1cc21678e50835c778c74d</x:v>
      </x:c>
      <x:c r="Q87" s="30" t="str">
        <x:v>incoming/raw/recovery-drop-01/biology_dec_visual_assets_v089.zip!/pages/VIS-BIO-DEC-TASK-34-P016.png</x:v>
      </x:c>
      <x:c r="R87" s="30" t="str">
        <x:v>RESOLVED_UNLINKED_REGISTRY_VISUAL</x:v>
      </x:c>
      <x:c r="S87" t="e">
        <x:f>HYPERLINK("visual_gallery/index.html#"&amp;A87,"Галерея")</x:f>
      </x:c>
    </x:row>
    <x:row r="88">
      <x:c r="A88" s="87" t="str">
        <x:v>VIS-BIO-DEC-TASK-34-P017</x:v>
      </x:c>
      <x:c r="B88" s="30" t="str">
        <x:v>Биология</x:v>
      </x:c>
      <x:c r="C88" s="30"/>
      <x:c r="D88" s="30" t="str">
        <x:v>БИ2510204</x:v>
      </x:c>
      <x:c r="E88" s="87" t="str">
        <x:v>TASK</x:v>
      </x:c>
      <x:c r="F88" s="30" t="str">
        <x:v>Zadanie_BI11_19122025_.pdf</x:v>
      </x:c>
      <x:c r="G88" s="87" t="str">
        <x:v>17</x:v>
      </x:c>
      <x:c r="H88" s="87" t="str">
        <x:v>v0.89</x:v>
      </x:c>
      <x:c r="I88" s="87" t="str">
        <x:v>8</x:v>
      </x:c>
      <x:c r="J88" s="30" t="str">
        <x:v>VIS_ID, VIS_ID задания</x:v>
      </x:c>
      <x:c r="K88" s="30" t="str">
        <x:v>DEC-BIO-04-001, DEC-BIO-04-002, DEC-BIO-04-003, DEC-BIO-04-004</x:v>
      </x:c>
      <x:c r="L88" s="87" t="str">
        <x:v>CROP_VERIFIED</x:v>
      </x:c>
      <x:c r="M88" s="87" t="str">
        <x:v>ORIGINAL_PACKAGE</x:v>
      </x:c>
      <x:c r="N88" s="87" t="str">
        <x:v>pages/VIS-BIO-DEC-TASK-34-P017.png</x:v>
      </x:c>
      <x:c r="O88" s="87" t="str">
        <x:v>thumbnails/VIS-BIO-DEC-TASK-34-P017.jpg</x:v>
      </x:c>
      <x:c r="P88" s="87" t="str">
        <x:v>7bb2887ff9119440b2be66c2bbffcb12fd7cf2268108e438e91763ea1f7077e9</x:v>
      </x:c>
      <x:c r="Q88" s="30" t="str">
        <x:v>incoming/raw/recovery-drop-01/biology_dec_visual_assets_v089.zip!/pages/VIS-BIO-DEC-TASK-34-P017.png</x:v>
      </x:c>
      <x:c r="R88" s="30" t="str">
        <x:v>MATCHED_ASSET</x:v>
      </x:c>
      <x:c r="S88" t="e">
        <x:f>HYPERLINK("visual_gallery/index.html#"&amp;A88,"Галерея")</x:f>
      </x:c>
    </x:row>
    <x:row r="89">
      <x:c r="A89" s="87" t="str">
        <x:v>VIS-BIO-DEC-TASK-34-P018</x:v>
      </x:c>
      <x:c r="B89" s="30" t="str">
        <x:v>Биология</x:v>
      </x:c>
      <x:c r="C89" s="30"/>
      <x:c r="D89" s="30" t="str">
        <x:v>БИ2510204</x:v>
      </x:c>
      <x:c r="E89" s="87" t="str">
        <x:v>TASK</x:v>
      </x:c>
      <x:c r="F89" s="30" t="str">
        <x:v>Zadanie_BI11_19122025_.pdf</x:v>
      </x:c>
      <x:c r="G89" s="87" t="str">
        <x:v>18</x:v>
      </x:c>
      <x:c r="H89" s="87" t="str">
        <x:v>v0.89</x:v>
      </x:c>
      <x:c r="I89" s="87" t="str">
        <x:v>4</x:v>
      </x:c>
      <x:c r="J89" s="30" t="str">
        <x:v>VIS_ID, VIS_ID задания</x:v>
      </x:c>
      <x:c r="K89" s="30" t="str">
        <x:v>DEC-BIO-04-005, DEC-BIO-04-006</x:v>
      </x:c>
      <x:c r="L89" s="87" t="str">
        <x:v>CROP_VERIFIED</x:v>
      </x:c>
      <x:c r="M89" s="87" t="str">
        <x:v>ORIGINAL_PACKAGE</x:v>
      </x:c>
      <x:c r="N89" s="87" t="str">
        <x:v>pages/VIS-BIO-DEC-TASK-34-P018.png</x:v>
      </x:c>
      <x:c r="O89" s="87" t="str">
        <x:v>thumbnails/VIS-BIO-DEC-TASK-34-P018.jpg</x:v>
      </x:c>
      <x:c r="P89" s="87" t="str">
        <x:v>e30f01fac347b264168c6d8f161dc9242d790a2b06617b74e3f1e19074d77de3</x:v>
      </x:c>
      <x:c r="Q89" s="30" t="str">
        <x:v>incoming/raw/recovery-drop-01/biology_dec_visual_assets_v089.zip!/pages/VIS-BIO-DEC-TASK-34-P018.png</x:v>
      </x:c>
      <x:c r="R89" s="30" t="str">
        <x:v>MATCHED_ASSET</x:v>
      </x:c>
      <x:c r="S89" t="e">
        <x:f>HYPERLINK("visual_gallery/index.html#"&amp;A89,"Галерея")</x:f>
      </x:c>
    </x:row>
    <x:row r="90">
      <x:c r="A90" s="87" t="str">
        <x:v>VIS-BIO-DEC-TASK-34-P019</x:v>
      </x:c>
      <x:c r="B90" s="30" t="str">
        <x:v>Биология</x:v>
      </x:c>
      <x:c r="C90" s="30"/>
      <x:c r="D90" s="30" t="str">
        <x:v>БИ2510204</x:v>
      </x:c>
      <x:c r="E90" s="87" t="str">
        <x:v>TASK</x:v>
      </x:c>
      <x:c r="F90" s="30" t="str">
        <x:v>Zadanie_BI11_19122025_.pdf</x:v>
      </x:c>
      <x:c r="G90" s="87" t="str">
        <x:v>19</x:v>
      </x:c>
      <x:c r="H90" s="87" t="str">
        <x:v>v0.89</x:v>
      </x:c>
      <x:c r="I90" s="87" t="str">
        <x:v>6</x:v>
      </x:c>
      <x:c r="J90" s="30" t="str">
        <x:v>VIS_ID, VIS_ID задания</x:v>
      </x:c>
      <x:c r="K90" s="30" t="str">
        <x:v>DEC-BIO-04-007, DEC-BIO-04-008, DEC-BIO-04-009</x:v>
      </x:c>
      <x:c r="L90" s="87" t="str">
        <x:v>CROP_VERIFIED</x:v>
      </x:c>
      <x:c r="M90" s="87" t="str">
        <x:v>ORIGINAL_PACKAGE</x:v>
      </x:c>
      <x:c r="N90" s="87" t="str">
        <x:v>pages/VIS-BIO-DEC-TASK-34-P019.png</x:v>
      </x:c>
      <x:c r="O90" s="87" t="str">
        <x:v>thumbnails/VIS-BIO-DEC-TASK-34-P019.jpg</x:v>
      </x:c>
      <x:c r="P90" s="87" t="str">
        <x:v>e3400f5c38488f2025dceff59fc59f421a409ebf7a6ada1fce82faa5c7625c93</x:v>
      </x:c>
      <x:c r="Q90" s="30" t="str">
        <x:v>incoming/raw/recovery-drop-01/biology_dec_visual_assets_v089.zip!/pages/VIS-BIO-DEC-TASK-34-P019.png</x:v>
      </x:c>
      <x:c r="R90" s="30" t="str">
        <x:v>MATCHED_ASSET</x:v>
      </x:c>
      <x:c r="S90" t="e">
        <x:f>HYPERLINK("visual_gallery/index.html#"&amp;A90,"Галерея")</x:f>
      </x:c>
    </x:row>
    <x:row r="91">
      <x:c r="A91" s="87" t="str">
        <x:v>VIS-BIO-DEC-TASK-34-P020</x:v>
      </x:c>
      <x:c r="B91" s="30" t="str">
        <x:v>Биология</x:v>
      </x:c>
      <x:c r="C91" s="30"/>
      <x:c r="D91" s="30" t="str">
        <x:v>БИ2510204</x:v>
      </x:c>
      <x:c r="E91" s="87" t="str">
        <x:v>TASK</x:v>
      </x:c>
      <x:c r="F91" s="30" t="str">
        <x:v>Zadanie_BI11_19122025_.pdf</x:v>
      </x:c>
      <x:c r="G91" s="87" t="str">
        <x:v>20</x:v>
      </x:c>
      <x:c r="H91" s="87" t="str">
        <x:v>v0.89</x:v>
      </x:c>
      <x:c r="I91" s="87" t="str">
        <x:v>6</x:v>
      </x:c>
      <x:c r="J91" s="30" t="str">
        <x:v>VIS_ID, VIS_ID задания</x:v>
      </x:c>
      <x:c r="K91" s="30" t="str">
        <x:v>DEC-BIO-04-010, DEC-BIO-04-011, DEC-BIO-04-012</x:v>
      </x:c>
      <x:c r="L91" s="87" t="str">
        <x:v>CROP_VERIFIED</x:v>
      </x:c>
      <x:c r="M91" s="87" t="str">
        <x:v>ORIGINAL_PACKAGE</x:v>
      </x:c>
      <x:c r="N91" s="87" t="str">
        <x:v>pages/VIS-BIO-DEC-TASK-34-P020.png</x:v>
      </x:c>
      <x:c r="O91" s="87" t="str">
        <x:v>thumbnails/VIS-BIO-DEC-TASK-34-P020.jpg</x:v>
      </x:c>
      <x:c r="P91" s="87" t="str">
        <x:v>8f3b20ea166f17ff1f84b4dec383688b7818936cf9c9e301ee0f62cb104c74a5</x:v>
      </x:c>
      <x:c r="Q91" s="30" t="str">
        <x:v>incoming/raw/recovery-drop-01/biology_dec_visual_assets_v089.zip!/pages/VIS-BIO-DEC-TASK-34-P020.png</x:v>
      </x:c>
      <x:c r="R91" s="30" t="str">
        <x:v>MATCHED_ASSET</x:v>
      </x:c>
      <x:c r="S91" t="e">
        <x:f>HYPERLINK("visual_gallery/index.html#"&amp;A91,"Галерея")</x:f>
      </x:c>
    </x:row>
    <x:row r="92">
      <x:c r="A92" s="87" t="str">
        <x:v>VIS-BIO-DEC-TASK-34-P021</x:v>
      </x:c>
      <x:c r="B92" s="30" t="str">
        <x:v>Биология</x:v>
      </x:c>
      <x:c r="C92" s="30"/>
      <x:c r="D92" s="30" t="str">
        <x:v>БИ2510204</x:v>
      </x:c>
      <x:c r="E92" s="87" t="str">
        <x:v>TASK</x:v>
      </x:c>
      <x:c r="F92" s="30" t="str">
        <x:v>Zadanie_BI11_19122025_.pdf</x:v>
      </x:c>
      <x:c r="G92" s="87" t="str">
        <x:v>21</x:v>
      </x:c>
      <x:c r="H92" s="87" t="str">
        <x:v>v0.89</x:v>
      </x:c>
      <x:c r="I92" s="87" t="str">
        <x:v>4</x:v>
      </x:c>
      <x:c r="J92" s="30" t="str">
        <x:v>VIS_ID, VIS_ID задания</x:v>
      </x:c>
      <x:c r="K92" s="30" t="str">
        <x:v>DEC-BIO-04-013, DEC-BIO-04-014</x:v>
      </x:c>
      <x:c r="L92" s="87" t="str">
        <x:v>CROP_VERIFIED</x:v>
      </x:c>
      <x:c r="M92" s="87" t="str">
        <x:v>ORIGINAL_PACKAGE</x:v>
      </x:c>
      <x:c r="N92" s="87" t="str">
        <x:v>pages/VIS-BIO-DEC-TASK-34-P021.png</x:v>
      </x:c>
      <x:c r="O92" s="87" t="str">
        <x:v>thumbnails/VIS-BIO-DEC-TASK-34-P021.jpg</x:v>
      </x:c>
      <x:c r="P92" s="87" t="str">
        <x:v>106442703a7b9cc6f24a0f4ea816974e4aaf90f7c0e52f20c27ccd18098b824c</x:v>
      </x:c>
      <x:c r="Q92" s="30" t="str">
        <x:v>incoming/raw/recovery-drop-01/biology_dec_visual_assets_v089.zip!/pages/VIS-BIO-DEC-TASK-34-P021.png</x:v>
      </x:c>
      <x:c r="R92" s="30" t="str">
        <x:v>MATCHED_ASSET</x:v>
      </x:c>
      <x:c r="S92" t="e">
        <x:f>HYPERLINK("visual_gallery/index.html#"&amp;A92,"Галерея")</x:f>
      </x:c>
    </x:row>
    <x:row r="93">
      <x:c r="A93" s="87" t="str">
        <x:v>VIS-BIO-DEC-TASK-34-P022</x:v>
      </x:c>
      <x:c r="B93" s="30" t="str">
        <x:v>Биология</x:v>
      </x:c>
      <x:c r="C93" s="30"/>
      <x:c r="D93" s="30" t="str">
        <x:v>БИ2510204</x:v>
      </x:c>
      <x:c r="E93" s="87" t="str">
        <x:v>TASK</x:v>
      </x:c>
      <x:c r="F93" s="30" t="str">
        <x:v>Zadanie_BI11_19122025_.pdf</x:v>
      </x:c>
      <x:c r="G93" s="87" t="str">
        <x:v>22</x:v>
      </x:c>
      <x:c r="H93" s="87" t="str">
        <x:v>v0.89</x:v>
      </x:c>
      <x:c r="I93" s="87" t="str">
        <x:v>6</x:v>
      </x:c>
      <x:c r="J93" s="30" t="str">
        <x:v>VIS_ID, VIS_ID задания</x:v>
      </x:c>
      <x:c r="K93" s="30" t="str">
        <x:v>DEC-BIO-04-015, DEC-BIO-04-016, DEC-BIO-04-017</x:v>
      </x:c>
      <x:c r="L93" s="87" t="str">
        <x:v>CROP_VERIFIED</x:v>
      </x:c>
      <x:c r="M93" s="87" t="str">
        <x:v>ORIGINAL_PACKAGE</x:v>
      </x:c>
      <x:c r="N93" s="87" t="str">
        <x:v>pages/VIS-BIO-DEC-TASK-34-P022.png</x:v>
      </x:c>
      <x:c r="O93" s="87" t="str">
        <x:v>thumbnails/VIS-BIO-DEC-TASK-34-P022.jpg</x:v>
      </x:c>
      <x:c r="P93" s="87" t="str">
        <x:v>ed001fd6e2572bbaa1ff31402c5cca338408fc199b355768f1fe1238f23ccc57</x:v>
      </x:c>
      <x:c r="Q93" s="30" t="str">
        <x:v>incoming/raw/recovery-drop-01/biology_dec_visual_assets_v089.zip!/pages/VIS-BIO-DEC-TASK-34-P022.png</x:v>
      </x:c>
      <x:c r="R93" s="30" t="str">
        <x:v>MATCHED_ASSET</x:v>
      </x:c>
      <x:c r="S93" t="e">
        <x:f>HYPERLINK("visual_gallery/index.html#"&amp;A93,"Галерея")</x:f>
      </x:c>
    </x:row>
    <x:row r="94">
      <x:c r="A94" s="87" t="str">
        <x:v>VIS-BIO-DEC-TASK-34-P023</x:v>
      </x:c>
      <x:c r="B94" s="30" t="str">
        <x:v>Биология</x:v>
      </x:c>
      <x:c r="C94" s="30"/>
      <x:c r="D94" s="30" t="str">
        <x:v>БИ2510204</x:v>
      </x:c>
      <x:c r="E94" s="87" t="str">
        <x:v>TASK</x:v>
      </x:c>
      <x:c r="F94" s="30" t="str">
        <x:v>Zadanie_BI11_19122025_.pdf</x:v>
      </x:c>
      <x:c r="G94" s="87" t="str">
        <x:v>23</x:v>
      </x:c>
      <x:c r="H94" s="87" t="str">
        <x:v>v0.89</x:v>
      </x:c>
      <x:c r="I94" s="87" t="str">
        <x:v>4</x:v>
      </x:c>
      <x:c r="J94" s="30" t="str">
        <x:v>VIS_ID, VIS_ID задания</x:v>
      </x:c>
      <x:c r="K94" s="30" t="str">
        <x:v>DEC-BIO-04-018, DEC-BIO-04-019</x:v>
      </x:c>
      <x:c r="L94" s="87" t="str">
        <x:v>CROP_VERIFIED</x:v>
      </x:c>
      <x:c r="M94" s="87" t="str">
        <x:v>ORIGINAL_PACKAGE</x:v>
      </x:c>
      <x:c r="N94" s="87" t="str">
        <x:v>pages/VIS-BIO-DEC-TASK-34-P023.png</x:v>
      </x:c>
      <x:c r="O94" s="87" t="str">
        <x:v>thumbnails/VIS-BIO-DEC-TASK-34-P023.jpg</x:v>
      </x:c>
      <x:c r="P94" s="87" t="str">
        <x:v>16a0d0432624a1e0e11a5d8c87f889a238740e90d745794b868688f930ac46cd</x:v>
      </x:c>
      <x:c r="Q94" s="30" t="str">
        <x:v>incoming/raw/recovery-drop-01/biology_dec_visual_assets_v089.zip!/pages/VIS-BIO-DEC-TASK-34-P023.png</x:v>
      </x:c>
      <x:c r="R94" s="30" t="str">
        <x:v>MATCHED_ASSET</x:v>
      </x:c>
      <x:c r="S94" t="e">
        <x:f>HYPERLINK("visual_gallery/index.html#"&amp;A94,"Галерея")</x:f>
      </x:c>
    </x:row>
    <x:row r="95">
      <x:c r="A95" s="87" t="str">
        <x:v>VIS-BIO-DEC-TASK-34-P024</x:v>
      </x:c>
      <x:c r="B95" s="30" t="str">
        <x:v>Биология</x:v>
      </x:c>
      <x:c r="C95" s="30"/>
      <x:c r="D95" s="30" t="str">
        <x:v>БИ2510204</x:v>
      </x:c>
      <x:c r="E95" s="87" t="str">
        <x:v>TASK</x:v>
      </x:c>
      <x:c r="F95" s="30" t="str">
        <x:v>Zadanie_BI11_19122025_.pdf</x:v>
      </x:c>
      <x:c r="G95" s="87" t="str">
        <x:v>24</x:v>
      </x:c>
      <x:c r="H95" s="87" t="str">
        <x:v>v0.89</x:v>
      </x:c>
      <x:c r="I95" s="87" t="str">
        <x:v>2</x:v>
      </x:c>
      <x:c r="J95" s="30" t="str">
        <x:v>VIS_ID, VIS_ID задания</x:v>
      </x:c>
      <x:c r="K95" s="30" t="str">
        <x:v>DEC-BIO-04-020</x:v>
      </x:c>
      <x:c r="L95" s="87" t="str">
        <x:v>CROP_VERIFIED</x:v>
      </x:c>
      <x:c r="M95" s="87" t="str">
        <x:v>ORIGINAL_PACKAGE</x:v>
      </x:c>
      <x:c r="N95" s="87" t="str">
        <x:v>pages/VIS-BIO-DEC-TASK-34-P024.png</x:v>
      </x:c>
      <x:c r="O95" s="87" t="str">
        <x:v>thumbnails/VIS-BIO-DEC-TASK-34-P024.jpg</x:v>
      </x:c>
      <x:c r="P95" s="87" t="str">
        <x:v>61cd52bb07668fc752862f48e872ae69dcc9a5747e30657f20c46f3c4f3951e6</x:v>
      </x:c>
      <x:c r="Q95" s="30" t="str">
        <x:v>incoming/raw/recovery-drop-01/biology_dec_visual_assets_v089.zip!/pages/VIS-BIO-DEC-TASK-34-P024.png</x:v>
      </x:c>
      <x:c r="R95" s="30" t="str">
        <x:v>MATCHED_ASSET</x:v>
      </x:c>
      <x:c r="S95" t="e">
        <x:f>HYPERLINK("visual_gallery/index.html#"&amp;A95,"Галерея")</x:f>
      </x:c>
    </x:row>
    <x:row r="96">
      <x:c r="A96" s="87" t="str">
        <x:v>VIS-BIO-DEC-TASK-34-P025</x:v>
      </x:c>
      <x:c r="B96" s="30" t="str">
        <x:v>Биология</x:v>
      </x:c>
      <x:c r="C96" s="30"/>
      <x:c r="D96" s="30" t="str">
        <x:v>БИ2510204</x:v>
      </x:c>
      <x:c r="E96" s="87" t="str">
        <x:v>TASK</x:v>
      </x:c>
      <x:c r="F96" s="30" t="str">
        <x:v>Zadanie_BI11_19122025_.pdf</x:v>
      </x:c>
      <x:c r="G96" s="87" t="str">
        <x:v>25</x:v>
      </x:c>
      <x:c r="H96" s="87" t="str">
        <x:v>v0.89</x:v>
      </x:c>
      <x:c r="I96" s="87" t="str">
        <x:v>2</x:v>
      </x:c>
      <x:c r="J96" s="30" t="str">
        <x:v>VIS_ID, VIS_ID задания</x:v>
      </x:c>
      <x:c r="K96" s="30" t="str">
        <x:v>DEC-BIO-04-021</x:v>
      </x:c>
      <x:c r="L96" s="87" t="str">
        <x:v>CROP_VERIFIED</x:v>
      </x:c>
      <x:c r="M96" s="87" t="str">
        <x:v>ORIGINAL_PACKAGE</x:v>
      </x:c>
      <x:c r="N96" s="87" t="str">
        <x:v>pages/VIS-BIO-DEC-TASK-34-P025.png</x:v>
      </x:c>
      <x:c r="O96" s="87" t="str">
        <x:v>thumbnails/VIS-BIO-DEC-TASK-34-P025.jpg</x:v>
      </x:c>
      <x:c r="P96" s="87" t="str">
        <x:v>56228ad81de9c22d6007eb401e8c1f556b20d59927400b07f39ebf9fa226e6ab</x:v>
      </x:c>
      <x:c r="Q96" s="30" t="str">
        <x:v>incoming/raw/recovery-drop-01/biology_dec_visual_assets_v089.zip!/pages/VIS-BIO-DEC-TASK-34-P025.png</x:v>
      </x:c>
      <x:c r="R96" s="30" t="str">
        <x:v>MATCHED_ASSET</x:v>
      </x:c>
      <x:c r="S96" t="e">
        <x:f>HYPERLINK("visual_gallery/index.html#"&amp;A96,"Галерея")</x:f>
      </x:c>
    </x:row>
    <x:row r="97">
      <x:c r="A97" s="87" t="str">
        <x:v>VIS-BIO-DEC-TASK-34-P026</x:v>
      </x:c>
      <x:c r="B97" s="30" t="str">
        <x:v>Биология</x:v>
      </x:c>
      <x:c r="C97" s="30"/>
      <x:c r="D97" s="30" t="str">
        <x:v>БИ2510204</x:v>
      </x:c>
      <x:c r="E97" s="87" t="str">
        <x:v>TASK</x:v>
      </x:c>
      <x:c r="F97" s="30" t="str">
        <x:v>Zadanie_BI11_19122025_.pdf</x:v>
      </x:c>
      <x:c r="G97" s="87" t="str">
        <x:v>26</x:v>
      </x:c>
      <x:c r="H97" s="87" t="str">
        <x:v>v0.89</x:v>
      </x:c>
      <x:c r="I97" s="87" t="str">
        <x:v>4</x:v>
      </x:c>
      <x:c r="J97" s="30" t="str">
        <x:v>VIS_ID, VIS_ID задания</x:v>
      </x:c>
      <x:c r="K97" s="30" t="str">
        <x:v>DEC-BIO-04-022, DEC-BIO-04-023</x:v>
      </x:c>
      <x:c r="L97" s="87" t="str">
        <x:v>CROP_VERIFIED</x:v>
      </x:c>
      <x:c r="M97" s="87" t="str">
        <x:v>ORIGINAL_PACKAGE</x:v>
      </x:c>
      <x:c r="N97" s="87" t="str">
        <x:v>pages/VIS-BIO-DEC-TASK-34-P026.png</x:v>
      </x:c>
      <x:c r="O97" s="87" t="str">
        <x:v>thumbnails/VIS-BIO-DEC-TASK-34-P026.jpg</x:v>
      </x:c>
      <x:c r="P97" s="87" t="str">
        <x:v>252faa13908585a70f64dbfd158aee7eb49125e85a86da4f9c9ccd33973ff904</x:v>
      </x:c>
      <x:c r="Q97" s="30" t="str">
        <x:v>incoming/raw/recovery-drop-01/biology_dec_visual_assets_v089.zip!/pages/VIS-BIO-DEC-TASK-34-P026.png</x:v>
      </x:c>
      <x:c r="R97" s="30" t="str">
        <x:v>MATCHED_ASSET</x:v>
      </x:c>
      <x:c r="S97" t="e">
        <x:f>HYPERLINK("visual_gallery/index.html#"&amp;A97,"Галерея")</x:f>
      </x:c>
    </x:row>
    <x:row r="98">
      <x:c r="A98" s="87" t="str">
        <x:v>VIS-BIO-DEC-TASK-34-P027</x:v>
      </x:c>
      <x:c r="B98" s="30" t="str">
        <x:v>Биология</x:v>
      </x:c>
      <x:c r="C98" s="30"/>
      <x:c r="D98" s="30" t="str">
        <x:v>БИ2510204</x:v>
      </x:c>
      <x:c r="E98" s="87" t="str">
        <x:v>TASK</x:v>
      </x:c>
      <x:c r="F98" s="30" t="str">
        <x:v>Zadanie_BI11_19122025_.pdf</x:v>
      </x:c>
      <x:c r="G98" s="87" t="str">
        <x:v>27</x:v>
      </x:c>
      <x:c r="H98" s="87" t="str">
        <x:v>v0.89</x:v>
      </x:c>
      <x:c r="I98" s="87" t="str">
        <x:v>4</x:v>
      </x:c>
      <x:c r="J98" s="30" t="str">
        <x:v>VIS_ID, VIS_ID задания</x:v>
      </x:c>
      <x:c r="K98" s="30" t="str">
        <x:v>DEC-BIO-04-024, DEC-BIO-04-025</x:v>
      </x:c>
      <x:c r="L98" s="87" t="str">
        <x:v>CROP_VERIFIED</x:v>
      </x:c>
      <x:c r="M98" s="87" t="str">
        <x:v>ORIGINAL_PACKAGE</x:v>
      </x:c>
      <x:c r="N98" s="87" t="str">
        <x:v>pages/VIS-BIO-DEC-TASK-34-P027.png</x:v>
      </x:c>
      <x:c r="O98" s="87" t="str">
        <x:v>thumbnails/VIS-BIO-DEC-TASK-34-P027.jpg</x:v>
      </x:c>
      <x:c r="P98" s="87" t="str">
        <x:v>a7f4d5e80e9820e16890c84e08fb407c169259af755cdf2246394c0472656ca1</x:v>
      </x:c>
      <x:c r="Q98" s="30" t="str">
        <x:v>incoming/raw/recovery-drop-01/biology_dec_visual_assets_v089.zip!/pages/VIS-BIO-DEC-TASK-34-P027.png</x:v>
      </x:c>
      <x:c r="R98" s="30" t="str">
        <x:v>MATCHED_ASSET</x:v>
      </x:c>
      <x:c r="S98" t="e">
        <x:f>HYPERLINK("visual_gallery/index.html#"&amp;A98,"Галерея")</x:f>
      </x:c>
    </x:row>
    <x:row r="99">
      <x:c r="A99" s="87" t="str">
        <x:v>VIS-BIO-DEC-TASK-34-P028</x:v>
      </x:c>
      <x:c r="B99" s="30" t="str">
        <x:v>Биология</x:v>
      </x:c>
      <x:c r="C99" s="30"/>
      <x:c r="D99" s="30" t="str">
        <x:v>БИ2510204</x:v>
      </x:c>
      <x:c r="E99" s="87" t="str">
        <x:v>TASK</x:v>
      </x:c>
      <x:c r="F99" s="30" t="str">
        <x:v>Zadanie_BI11_19122025_.pdf</x:v>
      </x:c>
      <x:c r="G99" s="87" t="str">
        <x:v>28</x:v>
      </x:c>
      <x:c r="H99" s="87" t="str">
        <x:v>v0.89</x:v>
      </x:c>
      <x:c r="I99" s="87" t="str">
        <x:v>4</x:v>
      </x:c>
      <x:c r="J99" s="30" t="str">
        <x:v>VIS_ID, VIS_ID задания</x:v>
      </x:c>
      <x:c r="K99" s="30" t="str">
        <x:v>DEC-BIO-04-026, DEC-BIO-04-027</x:v>
      </x:c>
      <x:c r="L99" s="87" t="str">
        <x:v>CROP_VERIFIED</x:v>
      </x:c>
      <x:c r="M99" s="87" t="str">
        <x:v>ORIGINAL_PACKAGE</x:v>
      </x:c>
      <x:c r="N99" s="87" t="str">
        <x:v>pages/VIS-BIO-DEC-TASK-34-P028.png</x:v>
      </x:c>
      <x:c r="O99" s="87" t="str">
        <x:v>thumbnails/VIS-BIO-DEC-TASK-34-P028.jpg</x:v>
      </x:c>
      <x:c r="P99" s="87" t="str">
        <x:v>9400fff739fd940f10c37d40c741db750b254e10c255a433ab51041dcad784db</x:v>
      </x:c>
      <x:c r="Q99" s="30" t="str">
        <x:v>incoming/raw/recovery-drop-01/biology_dec_visual_assets_v089.zip!/pages/VIS-BIO-DEC-TASK-34-P028.png</x:v>
      </x:c>
      <x:c r="R99" s="30" t="str">
        <x:v>MATCHED_ASSET</x:v>
      </x:c>
      <x:c r="S99" t="e">
        <x:f>HYPERLINK("visual_gallery/index.html#"&amp;A99,"Галерея")</x:f>
      </x:c>
    </x:row>
    <x:row r="100">
      <x:c r="A100" s="87" t="str">
        <x:v>VIS-BIO-DEC-TASK-34-P029</x:v>
      </x:c>
      <x:c r="B100" s="30" t="str">
        <x:v>Биология</x:v>
      </x:c>
      <x:c r="C100" s="30"/>
      <x:c r="D100" s="30" t="str">
        <x:v>БИ2510204</x:v>
      </x:c>
      <x:c r="E100" s="87" t="str">
        <x:v>TASK</x:v>
      </x:c>
      <x:c r="F100" s="30" t="str">
        <x:v>Zadanie_BI11_19122025_.pdf</x:v>
      </x:c>
      <x:c r="G100" s="87" t="str">
        <x:v>29</x:v>
      </x:c>
      <x:c r="H100" s="87" t="str">
        <x:v>v0.89</x:v>
      </x:c>
      <x:c r="I100" s="87" t="str">
        <x:v>2</x:v>
      </x:c>
      <x:c r="J100" s="30" t="str">
        <x:v>VIS_ID, VIS_ID задания</x:v>
      </x:c>
      <x:c r="K100" s="30" t="str">
        <x:v>DEC-BIO-04-028</x:v>
      </x:c>
      <x:c r="L100" s="87" t="str">
        <x:v>CROP_VERIFIED</x:v>
      </x:c>
      <x:c r="M100" s="87" t="str">
        <x:v>ORIGINAL_PACKAGE</x:v>
      </x:c>
      <x:c r="N100" s="87" t="str">
        <x:v>pages/VIS-BIO-DEC-TASK-34-P029.png</x:v>
      </x:c>
      <x:c r="O100" s="87" t="str">
        <x:v>thumbnails/VIS-BIO-DEC-TASK-34-P029.jpg</x:v>
      </x:c>
      <x:c r="P100" s="87" t="str">
        <x:v>a236291caf2549c34abb1a0bdb4ff6c3642342a3a2312b129369c99cb2a0f6a7</x:v>
      </x:c>
      <x:c r="Q100" s="30" t="str">
        <x:v>incoming/raw/recovery-drop-01/biology_dec_visual_assets_v089.zip!/pages/VIS-BIO-DEC-TASK-34-P029.png</x:v>
      </x:c>
      <x:c r="R100" s="30" t="str">
        <x:v>MATCHED_ASSET</x:v>
      </x:c>
      <x:c r="S100" t="e">
        <x:f>HYPERLINK("visual_gallery/index.html#"&amp;A100,"Галерея")</x:f>
      </x:c>
    </x:row>
    <x:row r="101">
      <x:c r="A101" s="87" t="str">
        <x:v>VIS-BIO-OCT-001</x:v>
      </x:c>
      <x:c r="B101" s="30" t="str">
        <x:v>Биология</x:v>
      </x:c>
      <x:c r="C101" s="30" t="str">
        <x:v>БИ2510101: полная страница 2</x:v>
      </x:c>
      <x:c r="D101" s="30" t="str">
        <x:v>БИ2510101</x:v>
      </x:c>
      <x:c r="E101" s="87"/>
      <x:c r="F101" s="30" t="str">
        <x:v>tasks_b.pdf</x:v>
      </x:c>
      <x:c r="G101" s="87" t="str">
        <x:v>2</x:v>
      </x:c>
      <x:c r="H101" s="87" t="str">
        <x:v>v0.81</x:v>
      </x:c>
      <x:c r="I101" s="87" t="str">
        <x:v>4</x:v>
      </x:c>
      <x:c r="J101" s="30" t="str">
        <x:v>VIS_ID</x:v>
      </x:c>
      <x:c r="K101" s="30" t="str">
        <x:v>OCT-BIO-101-001, OCT-BIO-101-002, OCT-BIO-101-003, OCT-BIO-101-004</x:v>
      </x:c>
      <x:c r="L101" s="87" t="str">
        <x:v>CROP_VERIFIED</x:v>
      </x:c>
      <x:c r="M101" s="87" t="str">
        <x:v>ORIGINAL_PACKAGE</x:v>
      </x:c>
      <x:c r="N101" s="87"/>
      <x:c r="O101" s="87"/>
      <x:c r="P101" s="87" t="str">
        <x:v>3d5822061239dc13380a36fc81c77374f75f66ba6d9a48222628659efe8215d6</x:v>
      </x:c>
      <x:c r="Q101" s="30" t="str">
        <x:v>incoming/raw/recovery-drop-03/statgrad_v0_73_bio_oct_full_package.zip!/bio_oct_visual_assets_v073_persisted.zip!/bio_oct_assets_work/full/VIS-BIO-OCT-001_full.jpg</x:v>
      </x:c>
      <x:c r="R101" s="30" t="str">
        <x:v>MATCHED_ASSET | BENIGN_COMPLEMENTARY</x:v>
      </x:c>
      <x:c r="S101" t="e">
        <x:f>HYPERLINK("visual_gallery/index.html#"&amp;A101,"Галерея")</x:f>
      </x:c>
    </x:row>
    <x:row r="102">
      <x:c r="A102" s="87" t="str">
        <x:v>VIS-BIO-OCT-002</x:v>
      </x:c>
      <x:c r="B102" s="30" t="str">
        <x:v>Биология</x:v>
      </x:c>
      <x:c r="C102" s="30" t="str">
        <x:v>БИ2510101: полная страница 3</x:v>
      </x:c>
      <x:c r="D102" s="30" t="str">
        <x:v>БИ2510101</x:v>
      </x:c>
      <x:c r="E102" s="87"/>
      <x:c r="F102" s="30" t="str">
        <x:v>tasks_b.pdf</x:v>
      </x:c>
      <x:c r="G102" s="87" t="str">
        <x:v>3</x:v>
      </x:c>
      <x:c r="H102" s="87" t="str">
        <x:v>v0.81</x:v>
      </x:c>
      <x:c r="I102" s="87" t="str">
        <x:v>2</x:v>
      </x:c>
      <x:c r="J102" s="30" t="str">
        <x:v>VIS_ID</x:v>
      </x:c>
      <x:c r="K102" s="30" t="str">
        <x:v>OCT-BIO-101-005, OCT-BIO-101-006</x:v>
      </x:c>
      <x:c r="L102" s="87" t="str">
        <x:v>CROP_VERIFIED</x:v>
      </x:c>
      <x:c r="M102" s="87" t="str">
        <x:v>ORIGINAL_PACKAGE</x:v>
      </x:c>
      <x:c r="N102" s="87"/>
      <x:c r="O102" s="87"/>
      <x:c r="P102" s="87" t="str">
        <x:v>ecfeea8a6ff95dbee746e7dd26b6d4bd3bb6fc2d701c7a24de46ae4d240c41b2</x:v>
      </x:c>
      <x:c r="Q102" s="30" t="str">
        <x:v>incoming/raw/recovery-drop-03/statgrad_v0_73_bio_oct_full_package.zip!/bio_oct_visual_assets_v073_persisted.zip!/bio_oct_assets_work/full/VIS-BIO-OCT-002_full.jpg</x:v>
      </x:c>
      <x:c r="R102" s="30" t="str">
        <x:v>MATCHED_ASSET | BENIGN_COMPLEMENTARY</x:v>
      </x:c>
      <x:c r="S102" t="e">
        <x:f>HYPERLINK("visual_gallery/index.html#"&amp;A102,"Галерея")</x:f>
      </x:c>
    </x:row>
    <x:row r="103">
      <x:c r="A103" s="87" t="str">
        <x:v>VIS-BIO-OCT-003</x:v>
      </x:c>
      <x:c r="B103" s="30" t="str">
        <x:v>Биология</x:v>
      </x:c>
      <x:c r="C103" s="30" t="str">
        <x:v>БИ2510101: полная страница 4</x:v>
      </x:c>
      <x:c r="D103" s="30" t="str">
        <x:v>БИ2510101</x:v>
      </x:c>
      <x:c r="E103" s="87"/>
      <x:c r="F103" s="30" t="str">
        <x:v>tasks_b.pdf</x:v>
      </x:c>
      <x:c r="G103" s="87" t="str">
        <x:v>4</x:v>
      </x:c>
      <x:c r="H103" s="87" t="str">
        <x:v>v0.81</x:v>
      </x:c>
      <x:c r="I103" s="87" t="str">
        <x:v>2</x:v>
      </x:c>
      <x:c r="J103" s="30" t="str">
        <x:v>VIS_ID</x:v>
      </x:c>
      <x:c r="K103" s="30" t="str">
        <x:v>OCT-BIO-101-007, OCT-BIO-101-008</x:v>
      </x:c>
      <x:c r="L103" s="87" t="str">
        <x:v>CROP_VERIFIED</x:v>
      </x:c>
      <x:c r="M103" s="87" t="str">
        <x:v>ORIGINAL_PACKAGE</x:v>
      </x:c>
      <x:c r="N103" s="87"/>
      <x:c r="O103" s="87"/>
      <x:c r="P103" s="87" t="str">
        <x:v>cf53d35117902155b4aa810df4b7bd5138715a2064fac1e676ad55444805b8c8</x:v>
      </x:c>
      <x:c r="Q103" s="30" t="str">
        <x:v>incoming/raw/recovery-drop-03/statgrad_v0_73_bio_oct_full_package.zip!/bio_oct_visual_assets_v073_persisted.zip!/bio_oct_assets_work/full/VIS-BIO-OCT-003_full.jpg</x:v>
      </x:c>
      <x:c r="R103" s="30" t="str">
        <x:v>MATCHED_ASSET | BENIGN_COMPLEMENTARY</x:v>
      </x:c>
      <x:c r="S103" t="e">
        <x:f>HYPERLINK("visual_gallery/index.html#"&amp;A103,"Галерея")</x:f>
      </x:c>
    </x:row>
    <x:row r="104">
      <x:c r="A104" s="87" t="str">
        <x:v>VIS-BIO-OCT-004</x:v>
      </x:c>
      <x:c r="B104" s="30" t="str">
        <x:v>Биология</x:v>
      </x:c>
      <x:c r="C104" s="30" t="str">
        <x:v>БИ2510101: полная страница 5</x:v>
      </x:c>
      <x:c r="D104" s="30" t="str">
        <x:v>БИ2510101</x:v>
      </x:c>
      <x:c r="E104" s="87"/>
      <x:c r="F104" s="30" t="str">
        <x:v>tasks_b.pdf</x:v>
      </x:c>
      <x:c r="G104" s="87" t="str">
        <x:v>5</x:v>
      </x:c>
      <x:c r="H104" s="87" t="str">
        <x:v>v0.81</x:v>
      </x:c>
      <x:c r="I104" s="87" t="str">
        <x:v>2</x:v>
      </x:c>
      <x:c r="J104" s="30" t="str">
        <x:v>VIS_ID</x:v>
      </x:c>
      <x:c r="K104" s="30" t="str">
        <x:v>OCT-BIO-101-009, OCT-BIO-101-010</x:v>
      </x:c>
      <x:c r="L104" s="87" t="str">
        <x:v>CROP_VERIFIED</x:v>
      </x:c>
      <x:c r="M104" s="87" t="str">
        <x:v>ORIGINAL_PACKAGE</x:v>
      </x:c>
      <x:c r="N104" s="87"/>
      <x:c r="O104" s="87"/>
      <x:c r="P104" s="87" t="str">
        <x:v>1568522ba54b3cc8ecaeb34d600d76cc1d499c3361d2569e5de10e8f84d25664</x:v>
      </x:c>
      <x:c r="Q104" s="30" t="str">
        <x:v>incoming/raw/recovery-drop-03/statgrad_v0_73_bio_oct_full_package.zip!/bio_oct_visual_assets_v073_persisted.zip!/bio_oct_assets_work/full/VIS-BIO-OCT-004_full.jpg</x:v>
      </x:c>
      <x:c r="R104" s="30" t="str">
        <x:v>MATCHED_ASSET | BENIGN_COMPLEMENTARY</x:v>
      </x:c>
      <x:c r="S104" t="e">
        <x:f>HYPERLINK("visual_gallery/index.html#"&amp;A104,"Галерея")</x:f>
      </x:c>
    </x:row>
    <x:row r="105">
      <x:c r="A105" s="87" t="str">
        <x:v>VIS-BIO-OCT-005</x:v>
      </x:c>
      <x:c r="B105" s="30" t="str">
        <x:v>Биология</x:v>
      </x:c>
      <x:c r="C105" s="30" t="str">
        <x:v>БИ2510101: полная страница 6</x:v>
      </x:c>
      <x:c r="D105" s="30" t="str">
        <x:v>БИ2510101</x:v>
      </x:c>
      <x:c r="E105" s="87"/>
      <x:c r="F105" s="30" t="str">
        <x:v>tasks_b.pdf</x:v>
      </x:c>
      <x:c r="G105" s="87" t="str">
        <x:v>6</x:v>
      </x:c>
      <x:c r="H105" s="87" t="str">
        <x:v>v0.81</x:v>
      </x:c>
      <x:c r="I105" s="87" t="str">
        <x:v>2</x:v>
      </x:c>
      <x:c r="J105" s="30" t="str">
        <x:v>VIS_ID</x:v>
      </x:c>
      <x:c r="K105" s="30" t="str">
        <x:v>OCT-BIO-101-011, OCT-BIO-101-012</x:v>
      </x:c>
      <x:c r="L105" s="87" t="str">
        <x:v>CROP_VERIFIED</x:v>
      </x:c>
      <x:c r="M105" s="87" t="str">
        <x:v>ORIGINAL_PACKAGE</x:v>
      </x:c>
      <x:c r="N105" s="87"/>
      <x:c r="O105" s="87"/>
      <x:c r="P105" s="87" t="str">
        <x:v>88af206847091de42471ebb6dfd2c9c011805f41fabf8ea962b6d488e1a6f00d</x:v>
      </x:c>
      <x:c r="Q105" s="30" t="str">
        <x:v>incoming/raw/recovery-drop-03/statgrad_v0_73_bio_oct_full_package.zip!/bio_oct_visual_assets_v073_persisted.zip!/bio_oct_assets_work/full/VIS-BIO-OCT-005_full.jpg</x:v>
      </x:c>
      <x:c r="R105" s="30" t="str">
        <x:v>MATCHED_ASSET | BENIGN_COMPLEMENTARY</x:v>
      </x:c>
      <x:c r="S105" t="e">
        <x:f>HYPERLINK("visual_gallery/index.html#"&amp;A105,"Галерея")</x:f>
      </x:c>
    </x:row>
    <x:row r="106">
      <x:c r="A106" s="87" t="str">
        <x:v>VIS-BIO-OCT-006</x:v>
      </x:c>
      <x:c r="B106" s="30" t="str">
        <x:v>Биология</x:v>
      </x:c>
      <x:c r="C106" s="30" t="str">
        <x:v>БИ2510101: полная страница 7</x:v>
      </x:c>
      <x:c r="D106" s="30" t="str">
        <x:v>БИ2510101</x:v>
      </x:c>
      <x:c r="E106" s="87"/>
      <x:c r="F106" s="30" t="str">
        <x:v>tasks_b.pdf</x:v>
      </x:c>
      <x:c r="G106" s="87" t="str">
        <x:v>7</x:v>
      </x:c>
      <x:c r="H106" s="87" t="str">
        <x:v>v0.81</x:v>
      </x:c>
      <x:c r="I106" s="87" t="str">
        <x:v>2</x:v>
      </x:c>
      <x:c r="J106" s="30" t="str">
        <x:v>VIS_ID</x:v>
      </x:c>
      <x:c r="K106" s="30" t="str">
        <x:v>OCT-BIO-101-013, OCT-BIO-101-014</x:v>
      </x:c>
      <x:c r="L106" s="87" t="str">
        <x:v>CROP_VERIFIED</x:v>
      </x:c>
      <x:c r="M106" s="87" t="str">
        <x:v>ORIGINAL_PACKAGE</x:v>
      </x:c>
      <x:c r="N106" s="87"/>
      <x:c r="O106" s="87"/>
      <x:c r="P106" s="87" t="str">
        <x:v>371b8c338d46eef7862a3abd54353933ca6e6b00731ae03557ee9d4c2c528be7</x:v>
      </x:c>
      <x:c r="Q106" s="30" t="str">
        <x:v>incoming/raw/recovery-drop-03/statgrad_v0_73_bio_oct_full_package.zip!/bio_oct_visual_assets_v073_persisted.zip!/bio_oct_assets_work/full/VIS-BIO-OCT-006_full.jpg</x:v>
      </x:c>
      <x:c r="R106" s="30" t="str">
        <x:v>MATCHED_ASSET | BENIGN_COMPLEMENTARY</x:v>
      </x:c>
      <x:c r="S106" t="e">
        <x:f>HYPERLINK("visual_gallery/index.html#"&amp;A106,"Галерея")</x:f>
      </x:c>
    </x:row>
    <x:row r="107">
      <x:c r="A107" s="87" t="str">
        <x:v>VIS-BIO-OCT-007</x:v>
      </x:c>
      <x:c r="B107" s="30" t="str">
        <x:v>Биология</x:v>
      </x:c>
      <x:c r="C107" s="30" t="str">
        <x:v>БИ2510101: полная страница 8</x:v>
      </x:c>
      <x:c r="D107" s="30" t="str">
        <x:v>БИ2510101</x:v>
      </x:c>
      <x:c r="E107" s="87"/>
      <x:c r="F107" s="30" t="str">
        <x:v>tasks_b.pdf</x:v>
      </x:c>
      <x:c r="G107" s="87" t="str">
        <x:v>8</x:v>
      </x:c>
      <x:c r="H107" s="87" t="str">
        <x:v>v0.81</x:v>
      </x:c>
      <x:c r="I107" s="87" t="str">
        <x:v>3</x:v>
      </x:c>
      <x:c r="J107" s="30" t="str">
        <x:v>VIS_ID</x:v>
      </x:c>
      <x:c r="K107" s="30" t="str">
        <x:v>OCT-BIO-101-015, OCT-BIO-101-016, OCT-BIO-101-017</x:v>
      </x:c>
      <x:c r="L107" s="87" t="str">
        <x:v>CROP_VERIFIED</x:v>
      </x:c>
      <x:c r="M107" s="87" t="str">
        <x:v>ORIGINAL_PACKAGE</x:v>
      </x:c>
      <x:c r="N107" s="87"/>
      <x:c r="O107" s="87"/>
      <x:c r="P107" s="87" t="str">
        <x:v>0943a044ad86c856d38412fca6844fa1761855cd887a2842c53741f7c22fa787</x:v>
      </x:c>
      <x:c r="Q107" s="30" t="str">
        <x:v>incoming/raw/recovery-drop-03/statgrad_v0_73_bio_oct_full_package.zip!/bio_oct_visual_assets_v073_persisted.zip!/bio_oct_assets_work/full/VIS-BIO-OCT-007_full.jpg</x:v>
      </x:c>
      <x:c r="R107" s="30" t="str">
        <x:v>MATCHED_ASSET | BENIGN_COMPLEMENTARY</x:v>
      </x:c>
      <x:c r="S107" t="e">
        <x:f>HYPERLINK("visual_gallery/index.html#"&amp;A107,"Галерея")</x:f>
      </x:c>
    </x:row>
    <x:row r="108">
      <x:c r="A108" s="87" t="str">
        <x:v>VIS-BIO-OCT-008</x:v>
      </x:c>
      <x:c r="B108" s="30" t="str">
        <x:v>Биология</x:v>
      </x:c>
      <x:c r="C108" s="30" t="str">
        <x:v>БИ2510101: полная страница 9</x:v>
      </x:c>
      <x:c r="D108" s="30" t="str">
        <x:v>БИ2510101</x:v>
      </x:c>
      <x:c r="E108" s="87"/>
      <x:c r="F108" s="30" t="str">
        <x:v>tasks_b.pdf</x:v>
      </x:c>
      <x:c r="G108" s="87" t="str">
        <x:v>9</x:v>
      </x:c>
      <x:c r="H108" s="87" t="str">
        <x:v>v0.81</x:v>
      </x:c>
      <x:c r="I108" s="87" t="str">
        <x:v>2</x:v>
      </x:c>
      <x:c r="J108" s="30" t="str">
        <x:v>VIS_ID</x:v>
      </x:c>
      <x:c r="K108" s="30" t="str">
        <x:v>OCT-BIO-101-018, OCT-BIO-101-019</x:v>
      </x:c>
      <x:c r="L108" s="87" t="str">
        <x:v>CROP_VERIFIED</x:v>
      </x:c>
      <x:c r="M108" s="87" t="str">
        <x:v>ORIGINAL_PACKAGE</x:v>
      </x:c>
      <x:c r="N108" s="87"/>
      <x:c r="O108" s="87"/>
      <x:c r="P108" s="87" t="str">
        <x:v>137c0fc6dd2e76230db86e8eb09fd7b16bcaabe9ba44eae9ee4e40610a0e1a70</x:v>
      </x:c>
      <x:c r="Q108" s="30" t="str">
        <x:v>incoming/raw/recovery-drop-03/statgrad_v0_73_bio_oct_full_package.zip!/bio_oct_visual_assets_v073_persisted.zip!/bio_oct_assets_work/full/VIS-BIO-OCT-008_full.jpg</x:v>
      </x:c>
      <x:c r="R108" s="30" t="str">
        <x:v>MATCHED_ASSET | BENIGN_COMPLEMENTARY</x:v>
      </x:c>
      <x:c r="S108" t="e">
        <x:f>HYPERLINK("visual_gallery/index.html#"&amp;A108,"Галерея")</x:f>
      </x:c>
    </x:row>
    <x:row r="109">
      <x:c r="A109" s="87" t="str">
        <x:v>VIS-BIO-OCT-009</x:v>
      </x:c>
      <x:c r="B109" s="30" t="str">
        <x:v>Биология</x:v>
      </x:c>
      <x:c r="C109" s="30" t="str">
        <x:v>БИ2510101: полная страница 10</x:v>
      </x:c>
      <x:c r="D109" s="30" t="str">
        <x:v>БИ2510101</x:v>
      </x:c>
      <x:c r="E109" s="87"/>
      <x:c r="F109" s="30" t="str">
        <x:v>tasks_b.pdf</x:v>
      </x:c>
      <x:c r="G109" s="87" t="str">
        <x:v>10</x:v>
      </x:c>
      <x:c r="H109" s="87" t="str">
        <x:v>v0.81</x:v>
      </x:c>
      <x:c r="I109" s="87" t="str">
        <x:v>1</x:v>
      </x:c>
      <x:c r="J109" s="30" t="str">
        <x:v>VIS_ID</x:v>
      </x:c>
      <x:c r="K109" s="30" t="str">
        <x:v>OCT-BIO-101-020</x:v>
      </x:c>
      <x:c r="L109" s="87" t="str">
        <x:v>CROP_VERIFIED</x:v>
      </x:c>
      <x:c r="M109" s="87" t="str">
        <x:v>ORIGINAL_PACKAGE</x:v>
      </x:c>
      <x:c r="N109" s="87"/>
      <x:c r="O109" s="87"/>
      <x:c r="P109" s="87" t="str">
        <x:v>3be4bc42b88732a35d35572e0ebae7f0fa25502c8d951a9fcf5934598371f472</x:v>
      </x:c>
      <x:c r="Q109" s="30" t="str">
        <x:v>incoming/raw/recovery-drop-03/statgrad_v0_73_bio_oct_full_package.zip!/bio_oct_visual_assets_v073_persisted.zip!/bio_oct_assets_work/full/VIS-BIO-OCT-009_full.jpg</x:v>
      </x:c>
      <x:c r="R109" s="30" t="str">
        <x:v>MATCHED_ASSET | BENIGN_COMPLEMENTARY</x:v>
      </x:c>
      <x:c r="S109" t="e">
        <x:f>HYPERLINK("visual_gallery/index.html#"&amp;A109,"Галерея")</x:f>
      </x:c>
    </x:row>
    <x:row r="110">
      <x:c r="A110" s="87" t="str">
        <x:v>VIS-BIO-OCT-010</x:v>
      </x:c>
      <x:c r="B110" s="30" t="str">
        <x:v>Биология</x:v>
      </x:c>
      <x:c r="C110" s="30" t="str">
        <x:v>БИ2510101: полная страница 11</x:v>
      </x:c>
      <x:c r="D110" s="30" t="str">
        <x:v>БИ2510101</x:v>
      </x:c>
      <x:c r="E110" s="87"/>
      <x:c r="F110" s="30" t="str">
        <x:v>tasks_b.pdf</x:v>
      </x:c>
      <x:c r="G110" s="87" t="str">
        <x:v>11</x:v>
      </x:c>
      <x:c r="H110" s="87" t="str">
        <x:v>v0.81</x:v>
      </x:c>
      <x:c r="I110" s="87" t="str">
        <x:v>1</x:v>
      </x:c>
      <x:c r="J110" s="30" t="str">
        <x:v>VIS_ID</x:v>
      </x:c>
      <x:c r="K110" s="30" t="str">
        <x:v>OCT-BIO-101-021</x:v>
      </x:c>
      <x:c r="L110" s="87" t="str">
        <x:v>CROP_VERIFIED</x:v>
      </x:c>
      <x:c r="M110" s="87" t="str">
        <x:v>ORIGINAL_PACKAGE</x:v>
      </x:c>
      <x:c r="N110" s="87"/>
      <x:c r="O110" s="87"/>
      <x:c r="P110" s="87" t="str">
        <x:v>a5f6a07e388474f69d921c98f72fc503a7679e26b95109f7c0a4abeb27defe64</x:v>
      </x:c>
      <x:c r="Q110" s="30" t="str">
        <x:v>incoming/raw/recovery-drop-03/statgrad_v0_73_bio_oct_full_package.zip!/bio_oct_visual_assets_v073_persisted.zip!/bio_oct_assets_work/full/VIS-BIO-OCT-010_full.jpg</x:v>
      </x:c>
      <x:c r="R110" s="30" t="str">
        <x:v>MATCHED_ASSET | BENIGN_COMPLEMENTARY</x:v>
      </x:c>
      <x:c r="S110" t="e">
        <x:f>HYPERLINK("visual_gallery/index.html#"&amp;A110,"Галерея")</x:f>
      </x:c>
    </x:row>
    <x:row r="111">
      <x:c r="A111" s="87" t="str">
        <x:v>VIS-BIO-OCT-011</x:v>
      </x:c>
      <x:c r="B111" s="30" t="str">
        <x:v>Биология</x:v>
      </x:c>
      <x:c r="C111" s="30" t="str">
        <x:v>БИ2510101: полная страница 12</x:v>
      </x:c>
      <x:c r="D111" s="30" t="str">
        <x:v>БИ2510101</x:v>
      </x:c>
      <x:c r="E111" s="87"/>
      <x:c r="F111" s="30" t="str">
        <x:v>tasks_b.pdf</x:v>
      </x:c>
      <x:c r="G111" s="87" t="str">
        <x:v>12</x:v>
      </x:c>
      <x:c r="H111" s="87" t="str">
        <x:v>v0.81</x:v>
      </x:c>
      <x:c r="I111" s="87" t="str">
        <x:v>1</x:v>
      </x:c>
      <x:c r="J111" s="30" t="str">
        <x:v>VIS_ID</x:v>
      </x:c>
      <x:c r="K111" s="30" t="str">
        <x:v>OCT-BIO-101-024</x:v>
      </x:c>
      <x:c r="L111" s="87" t="str">
        <x:v>CROP_VERIFIED</x:v>
      </x:c>
      <x:c r="M111" s="87" t="str">
        <x:v>ORIGINAL_PACKAGE</x:v>
      </x:c>
      <x:c r="N111" s="87"/>
      <x:c r="O111" s="87"/>
      <x:c r="P111" s="87" t="str">
        <x:v>a23612a447e5494ad90031ca144ea35d0a6b0f1adedfde8ff53bcc4cd8407aeb</x:v>
      </x:c>
      <x:c r="Q111" s="30" t="str">
        <x:v>incoming/raw/recovery-drop-03/statgrad_v0_73_bio_oct_full_package.zip!/bio_oct_visual_assets_v073_persisted.zip!/bio_oct_assets_work/full/VIS-BIO-OCT-011_full.jpg</x:v>
      </x:c>
      <x:c r="R111" s="30" t="str">
        <x:v>MATCHED_ASSET | BENIGN_COMPLEMENTARY</x:v>
      </x:c>
      <x:c r="S111" t="e">
        <x:f>HYPERLINK("visual_gallery/index.html#"&amp;A111,"Галерея")</x:f>
      </x:c>
    </x:row>
    <x:row r="112">
      <x:c r="A112" s="87" t="str">
        <x:v>VIS-BIO-OCT-012</x:v>
      </x:c>
      <x:c r="B112" s="30" t="str">
        <x:v>Биология</x:v>
      </x:c>
      <x:c r="C112" s="30" t="str">
        <x:v>БИ2510101: полная страница 14</x:v>
      </x:c>
      <x:c r="D112" s="30" t="str">
        <x:v>БИ2510101</x:v>
      </x:c>
      <x:c r="E112" s="87"/>
      <x:c r="F112" s="30" t="str">
        <x:v>tasks_b.pdf</x:v>
      </x:c>
      <x:c r="G112" s="87" t="str">
        <x:v>14</x:v>
      </x:c>
      <x:c r="H112" s="87" t="str">
        <x:v>v0.81</x:v>
      </x:c>
      <x:c r="I112" s="87" t="str">
        <x:v>1</x:v>
      </x:c>
      <x:c r="J112" s="30" t="str">
        <x:v>VIS_ID</x:v>
      </x:c>
      <x:c r="K112" s="30" t="str">
        <x:v>OCT-BIO-101-028</x:v>
      </x:c>
      <x:c r="L112" s="87" t="str">
        <x:v>CROP_VERIFIED</x:v>
      </x:c>
      <x:c r="M112" s="87" t="str">
        <x:v>ORIGINAL_PACKAGE</x:v>
      </x:c>
      <x:c r="N112" s="87"/>
      <x:c r="O112" s="87"/>
      <x:c r="P112" s="87" t="str">
        <x:v>7c0f0f21d4a0210317b6d11429cb943d6d205f9855ab15ea23e9a927f22457fd</x:v>
      </x:c>
      <x:c r="Q112" s="30" t="str">
        <x:v>incoming/raw/recovery-drop-03/statgrad_v0_73_bio_oct_full_package.zip!/bio_oct_visual_assets_v073_persisted.zip!/bio_oct_assets_work/full/VIS-BIO-OCT-012_full.jpg</x:v>
      </x:c>
      <x:c r="R112" s="30" t="str">
        <x:v>MATCHED_ASSET | BENIGN_COMPLEMENTARY</x:v>
      </x:c>
      <x:c r="S112" t="e">
        <x:f>HYPERLINK("visual_gallery/index.html#"&amp;A112,"Галерея")</x:f>
      </x:c>
    </x:row>
    <x:row r="113">
      <x:c r="A113" s="87" t="str">
        <x:v>VIS-BIO-OCT-013</x:v>
      </x:c>
      <x:c r="B113" s="30" t="str">
        <x:v>Биология</x:v>
      </x:c>
      <x:c r="C113" s="30" t="str">
        <x:v>БИ2510102: полная страница 16</x:v>
      </x:c>
      <x:c r="D113" s="30" t="str">
        <x:v>БИ2510102</x:v>
      </x:c>
      <x:c r="E113" s="87"/>
      <x:c r="F113" s="30" t="str">
        <x:v>tasks_b.pdf</x:v>
      </x:c>
      <x:c r="G113" s="87" t="str">
        <x:v>16</x:v>
      </x:c>
      <x:c r="H113" s="87" t="str">
        <x:v>v0.81</x:v>
      </x:c>
      <x:c r="I113" s="87" t="str">
        <x:v>2</x:v>
      </x:c>
      <x:c r="J113" s="30" t="str">
        <x:v>VIS_ID</x:v>
      </x:c>
      <x:c r="K113" s="30" t="str">
        <x:v>OCT-BIO-102-001, OCT-BIO-102-002</x:v>
      </x:c>
      <x:c r="L113" s="87" t="str">
        <x:v>CROP_VERIFIED</x:v>
      </x:c>
      <x:c r="M113" s="87" t="str">
        <x:v>ORIGINAL_PACKAGE</x:v>
      </x:c>
      <x:c r="N113" s="87"/>
      <x:c r="O113" s="87"/>
      <x:c r="P113" s="87" t="str">
        <x:v>cf86cfee487c632292bd60de74883d3632a40764cae9b5161825ed4edcf23c54</x:v>
      </x:c>
      <x:c r="Q113" s="30" t="str">
        <x:v>incoming/raw/recovery-drop-03/statgrad_v0_73_bio_oct_full_package.zip!/bio_oct_visual_assets_v073_persisted.zip!/bio_oct_assets_work/full/VIS-BIO-OCT-013_full.jpg</x:v>
      </x:c>
      <x:c r="R113" s="30" t="str">
        <x:v>MATCHED_ASSET | BENIGN_COMPLEMENTARY</x:v>
      </x:c>
      <x:c r="S113" t="e">
        <x:f>HYPERLINK("visual_gallery/index.html#"&amp;A113,"Галерея")</x:f>
      </x:c>
    </x:row>
    <x:row r="114">
      <x:c r="A114" s="87" t="str">
        <x:v>VIS-BIO-OCT-014</x:v>
      </x:c>
      <x:c r="B114" s="30" t="str">
        <x:v>Биология</x:v>
      </x:c>
      <x:c r="C114" s="30" t="str">
        <x:v>БИ2510102: полная страница 17</x:v>
      </x:c>
      <x:c r="D114" s="30" t="str">
        <x:v>БИ2510102</x:v>
      </x:c>
      <x:c r="E114" s="87"/>
      <x:c r="F114" s="30" t="str">
        <x:v>tasks_b.pdf</x:v>
      </x:c>
      <x:c r="G114" s="87" t="str">
        <x:v>17</x:v>
      </x:c>
      <x:c r="H114" s="87" t="str">
        <x:v>v0.81</x:v>
      </x:c>
      <x:c r="I114" s="87" t="str">
        <x:v>2</x:v>
      </x:c>
      <x:c r="J114" s="30" t="str">
        <x:v>VIS_ID</x:v>
      </x:c>
      <x:c r="K114" s="30" t="str">
        <x:v>OCT-BIO-102-003, OCT-BIO-102-004</x:v>
      </x:c>
      <x:c r="L114" s="87" t="str">
        <x:v>CROP_VERIFIED</x:v>
      </x:c>
      <x:c r="M114" s="87" t="str">
        <x:v>ORIGINAL_PACKAGE</x:v>
      </x:c>
      <x:c r="N114" s="87"/>
      <x:c r="O114" s="87"/>
      <x:c r="P114" s="87" t="str">
        <x:v>e3f2b80e5dec92d707bd1023c5019d86092cb1cee9cdcce03139335b6bd25fcc</x:v>
      </x:c>
      <x:c r="Q114" s="30" t="str">
        <x:v>incoming/raw/recovery-drop-03/statgrad_v0_73_bio_oct_full_package.zip!/bio_oct_visual_assets_v073_persisted.zip!/bio_oct_assets_work/full/VIS-BIO-OCT-014_full.jpg</x:v>
      </x:c>
      <x:c r="R114" s="30" t="str">
        <x:v>MATCHED_ASSET | BENIGN_COMPLEMENTARY</x:v>
      </x:c>
      <x:c r="S114" t="e">
        <x:f>HYPERLINK("visual_gallery/index.html#"&amp;A114,"Галерея")</x:f>
      </x:c>
    </x:row>
    <x:row r="115">
      <x:c r="A115" s="87" t="str">
        <x:v>VIS-BIO-OCT-015</x:v>
      </x:c>
      <x:c r="B115" s="30" t="str">
        <x:v>Биология</x:v>
      </x:c>
      <x:c r="C115" s="30" t="str">
        <x:v>БИ2510102: полная страница 18</x:v>
      </x:c>
      <x:c r="D115" s="30" t="str">
        <x:v>БИ2510102</x:v>
      </x:c>
      <x:c r="E115" s="87"/>
      <x:c r="F115" s="30" t="str">
        <x:v>tasks_b.pdf</x:v>
      </x:c>
      <x:c r="G115" s="87" t="str">
        <x:v>18</x:v>
      </x:c>
      <x:c r="H115" s="87" t="str">
        <x:v>v0.81</x:v>
      </x:c>
      <x:c r="I115" s="87" t="str">
        <x:v>2</x:v>
      </x:c>
      <x:c r="J115" s="30" t="str">
        <x:v>VIS_ID</x:v>
      </x:c>
      <x:c r="K115" s="30" t="str">
        <x:v>OCT-BIO-102-005, OCT-BIO-102-006</x:v>
      </x:c>
      <x:c r="L115" s="87" t="str">
        <x:v>CROP_VERIFIED</x:v>
      </x:c>
      <x:c r="M115" s="87" t="str">
        <x:v>ORIGINAL_PACKAGE</x:v>
      </x:c>
      <x:c r="N115" s="87"/>
      <x:c r="O115" s="87"/>
      <x:c r="P115" s="87" t="str">
        <x:v>fe71beddfb450f028785b1ac512416878e9301138e446684316fa45914d6ff3a</x:v>
      </x:c>
      <x:c r="Q115" s="30" t="str">
        <x:v>incoming/raw/recovery-drop-03/statgrad_v0_73_bio_oct_full_package.zip!/bio_oct_visual_assets_v073_persisted.zip!/bio_oct_assets_work/full/VIS-BIO-OCT-015_full.jpg</x:v>
      </x:c>
      <x:c r="R115" s="30" t="str">
        <x:v>MATCHED_ASSET | BENIGN_COMPLEMENTARY</x:v>
      </x:c>
      <x:c r="S115" t="e">
        <x:f>HYPERLINK("visual_gallery/index.html#"&amp;A115,"Галерея")</x:f>
      </x:c>
    </x:row>
    <x:row r="116">
      <x:c r="A116" s="87" t="str">
        <x:v>VIS-BIO-OCT-016</x:v>
      </x:c>
      <x:c r="B116" s="30" t="str">
        <x:v>Биология</x:v>
      </x:c>
      <x:c r="C116" s="30" t="str">
        <x:v>БИ2510102: полная страница 19</x:v>
      </x:c>
      <x:c r="D116" s="30" t="str">
        <x:v>БИ2510102</x:v>
      </x:c>
      <x:c r="E116" s="87"/>
      <x:c r="F116" s="30" t="str">
        <x:v>tasks_b.pdf</x:v>
      </x:c>
      <x:c r="G116" s="87" t="str">
        <x:v>19</x:v>
      </x:c>
      <x:c r="H116" s="87" t="str">
        <x:v>v0.81</x:v>
      </x:c>
      <x:c r="I116" s="87" t="str">
        <x:v>2</x:v>
      </x:c>
      <x:c r="J116" s="30" t="str">
        <x:v>VIS_ID</x:v>
      </x:c>
      <x:c r="K116" s="30" t="str">
        <x:v>OCT-BIO-102-007, OCT-BIO-102-008</x:v>
      </x:c>
      <x:c r="L116" s="87" t="str">
        <x:v>CROP_VERIFIED</x:v>
      </x:c>
      <x:c r="M116" s="87" t="str">
        <x:v>ORIGINAL_PACKAGE</x:v>
      </x:c>
      <x:c r="N116" s="87"/>
      <x:c r="O116" s="87"/>
      <x:c r="P116" s="87" t="str">
        <x:v>28bd50b4f62d3e161ec2f89f469b3f45b5ad5240324d593584d7567f0017e8f2</x:v>
      </x:c>
      <x:c r="Q116" s="30" t="str">
        <x:v>incoming/raw/recovery-drop-03/statgrad_v0_73_bio_oct_full_package.zip!/bio_oct_visual_assets_v073_persisted.zip!/bio_oct_assets_work/full/VIS-BIO-OCT-016_full.jpg</x:v>
      </x:c>
      <x:c r="R116" s="30" t="str">
        <x:v>MATCHED_ASSET | BENIGN_COMPLEMENTARY</x:v>
      </x:c>
      <x:c r="S116" t="e">
        <x:f>HYPERLINK("visual_gallery/index.html#"&amp;A116,"Галерея")</x:f>
      </x:c>
    </x:row>
    <x:row r="117">
      <x:c r="A117" s="87" t="str">
        <x:v>VIS-BIO-OCT-017</x:v>
      </x:c>
      <x:c r="B117" s="30" t="str">
        <x:v>Биология</x:v>
      </x:c>
      <x:c r="C117" s="30" t="str">
        <x:v>БИ2510102: полная страница 20</x:v>
      </x:c>
      <x:c r="D117" s="30" t="str">
        <x:v>БИ2510102</x:v>
      </x:c>
      <x:c r="E117" s="87"/>
      <x:c r="F117" s="30" t="str">
        <x:v>tasks_b.pdf</x:v>
      </x:c>
      <x:c r="G117" s="87" t="str">
        <x:v>20</x:v>
      </x:c>
      <x:c r="H117" s="87" t="str">
        <x:v>v0.81</x:v>
      </x:c>
      <x:c r="I117" s="87" t="str">
        <x:v>2</x:v>
      </x:c>
      <x:c r="J117" s="30" t="str">
        <x:v>VIS_ID</x:v>
      </x:c>
      <x:c r="K117" s="30" t="str">
        <x:v>OCT-BIO-102-009, OCT-BIO-102-010</x:v>
      </x:c>
      <x:c r="L117" s="87" t="str">
        <x:v>CROP_VERIFIED</x:v>
      </x:c>
      <x:c r="M117" s="87" t="str">
        <x:v>ORIGINAL_PACKAGE</x:v>
      </x:c>
      <x:c r="N117" s="87"/>
      <x:c r="O117" s="87"/>
      <x:c r="P117" s="87" t="str">
        <x:v>1b48c7746d0983edde345b60085573a8e94997f68e6418022c0988c2fe4e1ac4</x:v>
      </x:c>
      <x:c r="Q117" s="30" t="str">
        <x:v>incoming/raw/recovery-drop-03/statgrad_v0_73_bio_oct_full_package.zip!/bio_oct_visual_assets_v073_persisted.zip!/bio_oct_assets_work/full/VIS-BIO-OCT-017_full.jpg</x:v>
      </x:c>
      <x:c r="R117" s="30" t="str">
        <x:v>MATCHED_ASSET | BENIGN_COMPLEMENTARY</x:v>
      </x:c>
      <x:c r="S117" t="e">
        <x:f>HYPERLINK("visual_gallery/index.html#"&amp;A117,"Галерея")</x:f>
      </x:c>
    </x:row>
    <x:row r="118">
      <x:c r="A118" s="87" t="str">
        <x:v>VIS-BIO-OCT-018</x:v>
      </x:c>
      <x:c r="B118" s="30" t="str">
        <x:v>Биология</x:v>
      </x:c>
      <x:c r="C118" s="30" t="str">
        <x:v>БИ2510102: полная страница 21</x:v>
      </x:c>
      <x:c r="D118" s="30" t="str">
        <x:v>БИ2510102</x:v>
      </x:c>
      <x:c r="E118" s="87"/>
      <x:c r="F118" s="30" t="str">
        <x:v>tasks_b.pdf</x:v>
      </x:c>
      <x:c r="G118" s="87" t="str">
        <x:v>21</x:v>
      </x:c>
      <x:c r="H118" s="87" t="str">
        <x:v>v0.81</x:v>
      </x:c>
      <x:c r="I118" s="87" t="str">
        <x:v>2</x:v>
      </x:c>
      <x:c r="J118" s="30" t="str">
        <x:v>VIS_ID</x:v>
      </x:c>
      <x:c r="K118" s="30" t="str">
        <x:v>OCT-BIO-102-011, OCT-BIO-102-012</x:v>
      </x:c>
      <x:c r="L118" s="87" t="str">
        <x:v>CROP_VERIFIED</x:v>
      </x:c>
      <x:c r="M118" s="87" t="str">
        <x:v>ORIGINAL_PACKAGE</x:v>
      </x:c>
      <x:c r="N118" s="87"/>
      <x:c r="O118" s="87"/>
      <x:c r="P118" s="87" t="str">
        <x:v>f39a238c46fe525a7e7484a7511d66c2b872c488cdc5749adced42457e13d2e5</x:v>
      </x:c>
      <x:c r="Q118" s="30" t="str">
        <x:v>incoming/raw/recovery-drop-03/statgrad_v0_73_bio_oct_full_package.zip!/bio_oct_visual_assets_v073_persisted.zip!/bio_oct_assets_work/full/VIS-BIO-OCT-018_full.jpg</x:v>
      </x:c>
      <x:c r="R118" s="30" t="str">
        <x:v>MATCHED_ASSET | BENIGN_COMPLEMENTARY</x:v>
      </x:c>
      <x:c r="S118" t="e">
        <x:f>HYPERLINK("visual_gallery/index.html#"&amp;A118,"Галерея")</x:f>
      </x:c>
    </x:row>
    <x:row r="119">
      <x:c r="A119" s="87" t="str">
        <x:v>VIS-BIO-OCT-019</x:v>
      </x:c>
      <x:c r="B119" s="30" t="str">
        <x:v>Биология</x:v>
      </x:c>
      <x:c r="C119" s="30" t="str">
        <x:v>БИ2510102: полная страница 22</x:v>
      </x:c>
      <x:c r="D119" s="30" t="str">
        <x:v>БИ2510102</x:v>
      </x:c>
      <x:c r="E119" s="87"/>
      <x:c r="F119" s="30" t="str">
        <x:v>tasks_b.pdf</x:v>
      </x:c>
      <x:c r="G119" s="87" t="str">
        <x:v>22</x:v>
      </x:c>
      <x:c r="H119" s="87" t="str">
        <x:v>v0.81</x:v>
      </x:c>
      <x:c r="I119" s="87" t="str">
        <x:v>2</x:v>
      </x:c>
      <x:c r="J119" s="30" t="str">
        <x:v>VIS_ID</x:v>
      </x:c>
      <x:c r="K119" s="30" t="str">
        <x:v>OCT-BIO-102-013, OCT-BIO-102-014</x:v>
      </x:c>
      <x:c r="L119" s="87" t="str">
        <x:v>CROP_VERIFIED</x:v>
      </x:c>
      <x:c r="M119" s="87" t="str">
        <x:v>ORIGINAL_PACKAGE</x:v>
      </x:c>
      <x:c r="N119" s="87"/>
      <x:c r="O119" s="87"/>
      <x:c r="P119" s="87" t="str">
        <x:v>3bcd7bfa431e6c09ccfd72dbee0eaa27ebc591290c5ef8d7032290513d3ec975</x:v>
      </x:c>
      <x:c r="Q119" s="30" t="str">
        <x:v>incoming/raw/recovery-drop-03/statgrad_v0_73_bio_oct_full_package.zip!/bio_oct_visual_assets_v073_persisted.zip!/bio_oct_assets_work/full/VIS-BIO-OCT-019_full.jpg</x:v>
      </x:c>
      <x:c r="R119" s="30" t="str">
        <x:v>MATCHED_ASSET | BENIGN_COMPLEMENTARY</x:v>
      </x:c>
      <x:c r="S119" t="e">
        <x:f>HYPERLINK("visual_gallery/index.html#"&amp;A119,"Галерея")</x:f>
      </x:c>
    </x:row>
    <x:row r="120">
      <x:c r="A120" s="87" t="str">
        <x:v>VIS-BIO-OCT-020</x:v>
      </x:c>
      <x:c r="B120" s="30" t="str">
        <x:v>Биология</x:v>
      </x:c>
      <x:c r="C120" s="30" t="str">
        <x:v>БИ2510102: полная страница 23</x:v>
      </x:c>
      <x:c r="D120" s="30" t="str">
        <x:v>БИ2510102</x:v>
      </x:c>
      <x:c r="E120" s="87"/>
      <x:c r="F120" s="30" t="str">
        <x:v>tasks_b.pdf</x:v>
      </x:c>
      <x:c r="G120" s="87" t="str">
        <x:v>23</x:v>
      </x:c>
      <x:c r="H120" s="87" t="str">
        <x:v>v0.81</x:v>
      </x:c>
      <x:c r="I120" s="87" t="str">
        <x:v>3</x:v>
      </x:c>
      <x:c r="J120" s="30" t="str">
        <x:v>VIS_ID</x:v>
      </x:c>
      <x:c r="K120" s="30" t="str">
        <x:v>OCT-BIO-102-015, OCT-BIO-102-016, OCT-BIO-102-017</x:v>
      </x:c>
      <x:c r="L120" s="87" t="str">
        <x:v>CROP_VERIFIED</x:v>
      </x:c>
      <x:c r="M120" s="87" t="str">
        <x:v>ORIGINAL_PACKAGE</x:v>
      </x:c>
      <x:c r="N120" s="87"/>
      <x:c r="O120" s="87"/>
      <x:c r="P120" s="87" t="str">
        <x:v>a878b717e867250efcb6d816ed8ffdd1784a8de24f282c462c3c4bd71502cf5f</x:v>
      </x:c>
      <x:c r="Q120" s="30" t="str">
        <x:v>incoming/raw/recovery-drop-03/statgrad_v0_73_bio_oct_full_package.zip!/bio_oct_visual_assets_v073_persisted.zip!/bio_oct_assets_work/full/VIS-BIO-OCT-020_full.jpg</x:v>
      </x:c>
      <x:c r="R120" s="30" t="str">
        <x:v>MATCHED_ASSET | BENIGN_COMPLEMENTARY</x:v>
      </x:c>
      <x:c r="S120" t="e">
        <x:f>HYPERLINK("visual_gallery/index.html#"&amp;A120,"Галерея")</x:f>
      </x:c>
    </x:row>
    <x:row r="121">
      <x:c r="A121" s="87" t="str">
        <x:v>VIS-BIO-OCT-021</x:v>
      </x:c>
      <x:c r="B121" s="30" t="str">
        <x:v>Биология</x:v>
      </x:c>
      <x:c r="C121" s="30" t="str">
        <x:v>БИ2510102: полная страница 24</x:v>
      </x:c>
      <x:c r="D121" s="30" t="str">
        <x:v>БИ2510102</x:v>
      </x:c>
      <x:c r="E121" s="87"/>
      <x:c r="F121" s="30" t="str">
        <x:v>tasks_b.pdf</x:v>
      </x:c>
      <x:c r="G121" s="87" t="str">
        <x:v>24</x:v>
      </x:c>
      <x:c r="H121" s="87" t="str">
        <x:v>v0.81</x:v>
      </x:c>
      <x:c r="I121" s="87" t="str">
        <x:v>2</x:v>
      </x:c>
      <x:c r="J121" s="30" t="str">
        <x:v>VIS_ID</x:v>
      </x:c>
      <x:c r="K121" s="30" t="str">
        <x:v>OCT-BIO-102-018, OCT-BIO-102-019</x:v>
      </x:c>
      <x:c r="L121" s="87" t="str">
        <x:v>CROP_VERIFIED</x:v>
      </x:c>
      <x:c r="M121" s="87" t="str">
        <x:v>ORIGINAL_PACKAGE</x:v>
      </x:c>
      <x:c r="N121" s="87"/>
      <x:c r="O121" s="87"/>
      <x:c r="P121" s="87" t="str">
        <x:v>d54f8a9a9674c3688fd72e9c4fcef3bd80eb702e952b51361abe5a2e1cc31e20</x:v>
      </x:c>
      <x:c r="Q121" s="30" t="str">
        <x:v>incoming/raw/recovery-drop-03/statgrad_v0_73_bio_oct_full_package.zip!/bio_oct_visual_assets_v073_persisted.zip!/bio_oct_assets_work/full/VIS-BIO-OCT-021_full.jpg</x:v>
      </x:c>
      <x:c r="R121" s="30" t="str">
        <x:v>MATCHED_ASSET | BENIGN_COMPLEMENTARY</x:v>
      </x:c>
      <x:c r="S121" t="e">
        <x:f>HYPERLINK("visual_gallery/index.html#"&amp;A121,"Галерея")</x:f>
      </x:c>
    </x:row>
    <x:row r="122">
      <x:c r="A122" s="87" t="str">
        <x:v>VIS-BIO-OCT-022</x:v>
      </x:c>
      <x:c r="B122" s="30" t="str">
        <x:v>Биология</x:v>
      </x:c>
      <x:c r="C122" s="30" t="str">
        <x:v>БИ2510102: полная страница 25</x:v>
      </x:c>
      <x:c r="D122" s="30" t="str">
        <x:v>БИ2510102</x:v>
      </x:c>
      <x:c r="E122" s="87"/>
      <x:c r="F122" s="30" t="str">
        <x:v>tasks_b.pdf</x:v>
      </x:c>
      <x:c r="G122" s="87" t="str">
        <x:v>25</x:v>
      </x:c>
      <x:c r="H122" s="87" t="str">
        <x:v>v0.81</x:v>
      </x:c>
      <x:c r="I122" s="87" t="str">
        <x:v>1</x:v>
      </x:c>
      <x:c r="J122" s="30" t="str">
        <x:v>VIS_ID</x:v>
      </x:c>
      <x:c r="K122" s="30" t="str">
        <x:v>OCT-BIO-102-020</x:v>
      </x:c>
      <x:c r="L122" s="87" t="str">
        <x:v>CROP_VERIFIED</x:v>
      </x:c>
      <x:c r="M122" s="87" t="str">
        <x:v>ORIGINAL_PACKAGE</x:v>
      </x:c>
      <x:c r="N122" s="87"/>
      <x:c r="O122" s="87"/>
      <x:c r="P122" s="87" t="str">
        <x:v>4fe593475677ef5eec74d34da104465cd2e6d19d9f4faf2653297d7df621c925</x:v>
      </x:c>
      <x:c r="Q122" s="30" t="str">
        <x:v>incoming/raw/recovery-drop-03/statgrad_v0_73_bio_oct_full_package.zip!/bio_oct_visual_assets_v073_persisted.zip!/bio_oct_assets_work/full/VIS-BIO-OCT-022_full.jpg</x:v>
      </x:c>
      <x:c r="R122" s="30" t="str">
        <x:v>MATCHED_ASSET | BENIGN_COMPLEMENTARY</x:v>
      </x:c>
      <x:c r="S122" t="e">
        <x:f>HYPERLINK("visual_gallery/index.html#"&amp;A122,"Галерея")</x:f>
      </x:c>
    </x:row>
    <x:row r="123">
      <x:c r="A123" s="87" t="str">
        <x:v>VIS-BIO-OCT-023</x:v>
      </x:c>
      <x:c r="B123" s="30" t="str">
        <x:v>Биология</x:v>
      </x:c>
      <x:c r="C123" s="30" t="str">
        <x:v>БИ2510102: полная страница 26</x:v>
      </x:c>
      <x:c r="D123" s="30" t="str">
        <x:v>БИ2510102</x:v>
      </x:c>
      <x:c r="E123" s="87"/>
      <x:c r="F123" s="30" t="str">
        <x:v>tasks_b.pdf</x:v>
      </x:c>
      <x:c r="G123" s="87" t="str">
        <x:v>26</x:v>
      </x:c>
      <x:c r="H123" s="87" t="str">
        <x:v>v0.81</x:v>
      </x:c>
      <x:c r="I123" s="87" t="str">
        <x:v>1</x:v>
      </x:c>
      <x:c r="J123" s="30" t="str">
        <x:v>VIS_ID</x:v>
      </x:c>
      <x:c r="K123" s="30" t="str">
        <x:v>OCT-BIO-102-021</x:v>
      </x:c>
      <x:c r="L123" s="87" t="str">
        <x:v>CROP_VERIFIED</x:v>
      </x:c>
      <x:c r="M123" s="87" t="str">
        <x:v>ORIGINAL_PACKAGE</x:v>
      </x:c>
      <x:c r="N123" s="87"/>
      <x:c r="O123" s="87"/>
      <x:c r="P123" s="87" t="str">
        <x:v>aa083932f0384dd6fec8db69dcfbbe4475c53246b3ec3fe1d7fe1c139c09c39b</x:v>
      </x:c>
      <x:c r="Q123" s="30" t="str">
        <x:v>incoming/raw/recovery-drop-03/statgrad_v0_73_bio_oct_full_package.zip!/bio_oct_visual_assets_v073_persisted.zip!/bio_oct_assets_work/full/VIS-BIO-OCT-023_full.jpg</x:v>
      </x:c>
      <x:c r="R123" s="30" t="str">
        <x:v>MATCHED_ASSET | BENIGN_COMPLEMENTARY</x:v>
      </x:c>
      <x:c r="S123" t="e">
        <x:f>HYPERLINK("visual_gallery/index.html#"&amp;A123,"Галерея")</x:f>
      </x:c>
    </x:row>
    <x:row r="124">
      <x:c r="A124" s="87" t="str">
        <x:v>VIS-BIO-OCT-024</x:v>
      </x:c>
      <x:c r="B124" s="30" t="str">
        <x:v>Биология</x:v>
      </x:c>
      <x:c r="C124" s="30" t="str">
        <x:v>БИ2510102: полная страница 27</x:v>
      </x:c>
      <x:c r="D124" s="30" t="str">
        <x:v>БИ2510102</x:v>
      </x:c>
      <x:c r="E124" s="87"/>
      <x:c r="F124" s="30" t="str">
        <x:v>tasks_b.pdf</x:v>
      </x:c>
      <x:c r="G124" s="87" t="str">
        <x:v>27</x:v>
      </x:c>
      <x:c r="H124" s="87" t="str">
        <x:v>v0.81</x:v>
      </x:c>
      <x:c r="I124" s="87" t="str">
        <x:v>1</x:v>
      </x:c>
      <x:c r="J124" s="30" t="str">
        <x:v>VIS_ID</x:v>
      </x:c>
      <x:c r="K124" s="30" t="str">
        <x:v>OCT-BIO-102-024</x:v>
      </x:c>
      <x:c r="L124" s="87" t="str">
        <x:v>CROP_VERIFIED</x:v>
      </x:c>
      <x:c r="M124" s="87" t="str">
        <x:v>ORIGINAL_PACKAGE</x:v>
      </x:c>
      <x:c r="N124" s="87"/>
      <x:c r="O124" s="87"/>
      <x:c r="P124" s="87" t="str">
        <x:v>03fa6f95ed4fa22d0be1f09476929ae9bbac5622e00bcbd74f8088cf81b3db08</x:v>
      </x:c>
      <x:c r="Q124" s="30" t="str">
        <x:v>incoming/raw/recovery-drop-03/statgrad_v0_73_bio_oct_full_package.zip!/bio_oct_visual_assets_v073_persisted.zip!/bio_oct_assets_work/full/VIS-BIO-OCT-024_full.jpg</x:v>
      </x:c>
      <x:c r="R124" s="30" t="str">
        <x:v>MATCHED_ASSET | BENIGN_COMPLEMENTARY</x:v>
      </x:c>
      <x:c r="S124" t="e">
        <x:f>HYPERLINK("visual_gallery/index.html#"&amp;A124,"Галерея")</x:f>
      </x:c>
    </x:row>
    <x:row r="125">
      <x:c r="A125" s="87" t="str">
        <x:v>VIS-BIO-OCT-025</x:v>
      </x:c>
      <x:c r="B125" s="30" t="str">
        <x:v>Биология</x:v>
      </x:c>
      <x:c r="C125" s="30" t="str">
        <x:v>БИ2510102: полная страница 29</x:v>
      </x:c>
      <x:c r="D125" s="30" t="str">
        <x:v>БИ2510102</x:v>
      </x:c>
      <x:c r="E125" s="87"/>
      <x:c r="F125" s="30" t="str">
        <x:v>tasks_b.pdf</x:v>
      </x:c>
      <x:c r="G125" s="87" t="str">
        <x:v>29</x:v>
      </x:c>
      <x:c r="H125" s="87" t="str">
        <x:v>v0.81</x:v>
      </x:c>
      <x:c r="I125" s="87" t="str">
        <x:v>1</x:v>
      </x:c>
      <x:c r="J125" s="30" t="str">
        <x:v>VIS_ID</x:v>
      </x:c>
      <x:c r="K125" s="30" t="str">
        <x:v>OCT-BIO-102-028</x:v>
      </x:c>
      <x:c r="L125" s="87" t="str">
        <x:v>CROP_VERIFIED</x:v>
      </x:c>
      <x:c r="M125" s="87" t="str">
        <x:v>ORIGINAL_PACKAGE</x:v>
      </x:c>
      <x:c r="N125" s="87"/>
      <x:c r="O125" s="87"/>
      <x:c r="P125" s="87" t="str">
        <x:v>85fbbe7de70e7d33680da842d09ec3ed7f85535fc476077d6b1798f3526d417d</x:v>
      </x:c>
      <x:c r="Q125" s="30" t="str">
        <x:v>incoming/raw/recovery-drop-03/statgrad_v0_73_bio_oct_full_package.zip!/bio_oct_visual_assets_v073_persisted.zip!/bio_oct_assets_work/full/VIS-BIO-OCT-025_full.jpg</x:v>
      </x:c>
      <x:c r="R125" s="30" t="str">
        <x:v>MATCHED_ASSET | BENIGN_COMPLEMENTARY</x:v>
      </x:c>
      <x:c r="S125" t="e">
        <x:f>HYPERLINK("visual_gallery/index.html#"&amp;A125,"Галерея")</x:f>
      </x:c>
    </x:row>
    <x:row r="126">
      <x:c r="A126" s="87" t="str">
        <x:v>VIS-BIO-OCT-026</x:v>
      </x:c>
      <x:c r="B126" s="30" t="str">
        <x:v>Биология</x:v>
      </x:c>
      <x:c r="C126" s="30" t="str">
        <x:v>БИ2510103: полная страница 2</x:v>
      </x:c>
      <x:c r="D126" s="30" t="str">
        <x:v>БИ2510103</x:v>
      </x:c>
      <x:c r="E126" s="87"/>
      <x:c r="F126" s="30" t="str">
        <x:v>tasks_a.pdf</x:v>
      </x:c>
      <x:c r="G126" s="87" t="str">
        <x:v>2</x:v>
      </x:c>
      <x:c r="H126" s="87" t="str">
        <x:v>v0.81</x:v>
      </x:c>
      <x:c r="I126" s="87" t="str">
        <x:v>4</x:v>
      </x:c>
      <x:c r="J126" s="30" t="str">
        <x:v>VIS_ID</x:v>
      </x:c>
      <x:c r="K126" s="30" t="str">
        <x:v>OCT-BIO-103-001, OCT-BIO-103-002, OCT-BIO-103-003, OCT-BIO-103-004</x:v>
      </x:c>
      <x:c r="L126" s="87" t="str">
        <x:v>CROP_VERIFIED</x:v>
      </x:c>
      <x:c r="M126" s="87" t="str">
        <x:v>ORIGINAL_PACKAGE</x:v>
      </x:c>
      <x:c r="N126" s="87"/>
      <x:c r="O126" s="87"/>
      <x:c r="P126" s="87" t="str">
        <x:v>9c8621fab9b9a56b919148085bf46112d59051ef78e0e0de23e8b464ee94f5ad</x:v>
      </x:c>
      <x:c r="Q126" s="30" t="str">
        <x:v>incoming/raw/recovery-drop-03/statgrad_v0_73_bio_oct_full_package.zip!/bio_oct_visual_assets_v073_persisted.zip!/bio_oct_assets_work/full/VIS-BIO-OCT-026_full.jpg</x:v>
      </x:c>
      <x:c r="R126" s="30" t="str">
        <x:v>MATCHED_ASSET | BENIGN_COMPLEMENTARY</x:v>
      </x:c>
      <x:c r="S126" t="e">
        <x:f>HYPERLINK("visual_gallery/index.html#"&amp;A126,"Галерея")</x:f>
      </x:c>
    </x:row>
    <x:row r="127">
      <x:c r="A127" s="87" t="str">
        <x:v>VIS-BIO-OCT-027</x:v>
      </x:c>
      <x:c r="B127" s="30" t="str">
        <x:v>Биология</x:v>
      </x:c>
      <x:c r="C127" s="30" t="str">
        <x:v>БИ2510103: полная страница 3</x:v>
      </x:c>
      <x:c r="D127" s="30" t="str">
        <x:v>БИ2510103</x:v>
      </x:c>
      <x:c r="E127" s="87"/>
      <x:c r="F127" s="30" t="str">
        <x:v>tasks_a.pdf</x:v>
      </x:c>
      <x:c r="G127" s="87" t="str">
        <x:v>3</x:v>
      </x:c>
      <x:c r="H127" s="87" t="str">
        <x:v>v0.81</x:v>
      </x:c>
      <x:c r="I127" s="87" t="str">
        <x:v>2</x:v>
      </x:c>
      <x:c r="J127" s="30" t="str">
        <x:v>VIS_ID</x:v>
      </x:c>
      <x:c r="K127" s="30" t="str">
        <x:v>OCT-BIO-103-005, OCT-BIO-103-006</x:v>
      </x:c>
      <x:c r="L127" s="87" t="str">
        <x:v>CROP_VERIFIED</x:v>
      </x:c>
      <x:c r="M127" s="87" t="str">
        <x:v>ORIGINAL_PACKAGE</x:v>
      </x:c>
      <x:c r="N127" s="87"/>
      <x:c r="O127" s="87"/>
      <x:c r="P127" s="87" t="str">
        <x:v>a08b03ddfa546ba8dce0fd042757fd16d0df5b4c8579a329f62fabca6ab3e8bc</x:v>
      </x:c>
      <x:c r="Q127" s="30" t="str">
        <x:v>incoming/raw/recovery-drop-03/statgrad_v0_73_bio_oct_full_package.zip!/bio_oct_visual_assets_v073_persisted.zip!/bio_oct_assets_work/full/VIS-BIO-OCT-027_full.jpg</x:v>
      </x:c>
      <x:c r="R127" s="30" t="str">
        <x:v>MATCHED_ASSET | BENIGN_COMPLEMENTARY</x:v>
      </x:c>
      <x:c r="S127" t="e">
        <x:f>HYPERLINK("visual_gallery/index.html#"&amp;A127,"Галерея")</x:f>
      </x:c>
    </x:row>
    <x:row r="128">
      <x:c r="A128" s="87" t="str">
        <x:v>VIS-BIO-OCT-028</x:v>
      </x:c>
      <x:c r="B128" s="30" t="str">
        <x:v>Биология</x:v>
      </x:c>
      <x:c r="C128" s="30" t="str">
        <x:v>БИ2510103: полная страница 4</x:v>
      </x:c>
      <x:c r="D128" s="30" t="str">
        <x:v>БИ2510103</x:v>
      </x:c>
      <x:c r="E128" s="87"/>
      <x:c r="F128" s="30" t="str">
        <x:v>tasks_a.pdf</x:v>
      </x:c>
      <x:c r="G128" s="87" t="str">
        <x:v>4</x:v>
      </x:c>
      <x:c r="H128" s="87" t="str">
        <x:v>v0.81</x:v>
      </x:c>
      <x:c r="I128" s="87" t="str">
        <x:v>2</x:v>
      </x:c>
      <x:c r="J128" s="30" t="str">
        <x:v>VIS_ID</x:v>
      </x:c>
      <x:c r="K128" s="30" t="str">
        <x:v>OCT-BIO-103-007, OCT-BIO-103-008</x:v>
      </x:c>
      <x:c r="L128" s="87" t="str">
        <x:v>CROP_VERIFIED</x:v>
      </x:c>
      <x:c r="M128" s="87" t="str">
        <x:v>ORIGINAL_PACKAGE</x:v>
      </x:c>
      <x:c r="N128" s="87"/>
      <x:c r="O128" s="87"/>
      <x:c r="P128" s="87" t="str">
        <x:v>0b9be222dea30d2fc17bcdf1dc0e425c2951f473e6a69e827accb5770282ea8b</x:v>
      </x:c>
      <x:c r="Q128" s="30" t="str">
        <x:v>incoming/raw/recovery-drop-03/statgrad_v0_73_bio_oct_full_package.zip!/bio_oct_visual_assets_v073_persisted.zip!/bio_oct_assets_work/full/VIS-BIO-OCT-028_full.jpg</x:v>
      </x:c>
      <x:c r="R128" s="30" t="str">
        <x:v>MATCHED_ASSET | BENIGN_COMPLEMENTARY</x:v>
      </x:c>
      <x:c r="S128" t="e">
        <x:f>HYPERLINK("visual_gallery/index.html#"&amp;A128,"Галерея")</x:f>
      </x:c>
    </x:row>
    <x:row r="129">
      <x:c r="A129" s="87" t="str">
        <x:v>VIS-BIO-OCT-029</x:v>
      </x:c>
      <x:c r="B129" s="30" t="str">
        <x:v>Биология</x:v>
      </x:c>
      <x:c r="C129" s="30" t="str">
        <x:v>БИ2510103: полная страница 5</x:v>
      </x:c>
      <x:c r="D129" s="30" t="str">
        <x:v>БИ2510103</x:v>
      </x:c>
      <x:c r="E129" s="87"/>
      <x:c r="F129" s="30" t="str">
        <x:v>tasks_a.pdf</x:v>
      </x:c>
      <x:c r="G129" s="87" t="str">
        <x:v>5</x:v>
      </x:c>
      <x:c r="H129" s="87" t="str">
        <x:v>v0.81</x:v>
      </x:c>
      <x:c r="I129" s="87" t="str">
        <x:v>2</x:v>
      </x:c>
      <x:c r="J129" s="30" t="str">
        <x:v>VIS_ID</x:v>
      </x:c>
      <x:c r="K129" s="30" t="str">
        <x:v>OCT-BIO-103-009, OCT-BIO-103-010</x:v>
      </x:c>
      <x:c r="L129" s="87" t="str">
        <x:v>CROP_VERIFIED</x:v>
      </x:c>
      <x:c r="M129" s="87" t="str">
        <x:v>ORIGINAL_PACKAGE</x:v>
      </x:c>
      <x:c r="N129" s="87"/>
      <x:c r="O129" s="87"/>
      <x:c r="P129" s="87" t="str">
        <x:v>717b902d1eca4111a3a2534d7512e0e720c30e86e18454ba3829de8df3c6b700</x:v>
      </x:c>
      <x:c r="Q129" s="30" t="str">
        <x:v>incoming/raw/recovery-drop-03/statgrad_v0_73_bio_oct_full_package.zip!/bio_oct_visual_assets_v073_persisted.zip!/bio_oct_assets_work/full/VIS-BIO-OCT-029_full.jpg</x:v>
      </x:c>
      <x:c r="R129" s="30" t="str">
        <x:v>MATCHED_ASSET | BENIGN_COMPLEMENTARY</x:v>
      </x:c>
      <x:c r="S129" t="e">
        <x:f>HYPERLINK("visual_gallery/index.html#"&amp;A129,"Галерея")</x:f>
      </x:c>
    </x:row>
    <x:row r="130">
      <x:c r="A130" s="87" t="str">
        <x:v>VIS-BIO-OCT-030</x:v>
      </x:c>
      <x:c r="B130" s="30" t="str">
        <x:v>Биология</x:v>
      </x:c>
      <x:c r="C130" s="30" t="str">
        <x:v>БИ2510103: полная страница 6</x:v>
      </x:c>
      <x:c r="D130" s="30" t="str">
        <x:v>БИ2510103</x:v>
      </x:c>
      <x:c r="E130" s="87"/>
      <x:c r="F130" s="30" t="str">
        <x:v>tasks_a.pdf</x:v>
      </x:c>
      <x:c r="G130" s="87" t="str">
        <x:v>6</x:v>
      </x:c>
      <x:c r="H130" s="87" t="str">
        <x:v>v0.81</x:v>
      </x:c>
      <x:c r="I130" s="87" t="str">
        <x:v>2</x:v>
      </x:c>
      <x:c r="J130" s="30" t="str">
        <x:v>VIS_ID</x:v>
      </x:c>
      <x:c r="K130" s="30" t="str">
        <x:v>OCT-BIO-103-011, OCT-BIO-103-012</x:v>
      </x:c>
      <x:c r="L130" s="87" t="str">
        <x:v>CROP_VERIFIED</x:v>
      </x:c>
      <x:c r="M130" s="87" t="str">
        <x:v>ORIGINAL_PACKAGE</x:v>
      </x:c>
      <x:c r="N130" s="87"/>
      <x:c r="O130" s="87"/>
      <x:c r="P130" s="87" t="str">
        <x:v>5cc5682ec621c8f4fb1e557c5d6a0c4a663e59088810bd8d566b958dd94a3374</x:v>
      </x:c>
      <x:c r="Q130" s="30" t="str">
        <x:v>incoming/raw/recovery-drop-03/statgrad_v0_73_bio_oct_full_package.zip!/bio_oct_visual_assets_v073_persisted.zip!/bio_oct_assets_work/full/VIS-BIO-OCT-030_full.jpg</x:v>
      </x:c>
      <x:c r="R130" s="30" t="str">
        <x:v>MATCHED_ASSET | BENIGN_COMPLEMENTARY</x:v>
      </x:c>
      <x:c r="S130" t="e">
        <x:f>HYPERLINK("visual_gallery/index.html#"&amp;A130,"Галерея")</x:f>
      </x:c>
    </x:row>
    <x:row r="131">
      <x:c r="A131" s="87" t="str">
        <x:v>VIS-BIO-OCT-031</x:v>
      </x:c>
      <x:c r="B131" s="30" t="str">
        <x:v>Биология</x:v>
      </x:c>
      <x:c r="C131" s="30" t="str">
        <x:v>БИ2510103: полная страница 7</x:v>
      </x:c>
      <x:c r="D131" s="30" t="str">
        <x:v>БИ2510103</x:v>
      </x:c>
      <x:c r="E131" s="87"/>
      <x:c r="F131" s="30" t="str">
        <x:v>tasks_a.pdf</x:v>
      </x:c>
      <x:c r="G131" s="87" t="str">
        <x:v>7</x:v>
      </x:c>
      <x:c r="H131" s="87" t="str">
        <x:v>v0.81</x:v>
      </x:c>
      <x:c r="I131" s="87" t="str">
        <x:v>2</x:v>
      </x:c>
      <x:c r="J131" s="30" t="str">
        <x:v>VIS_ID</x:v>
      </x:c>
      <x:c r="K131" s="30" t="str">
        <x:v>OCT-BIO-103-013, OCT-BIO-103-014</x:v>
      </x:c>
      <x:c r="L131" s="87" t="str">
        <x:v>CROP_VERIFIED</x:v>
      </x:c>
      <x:c r="M131" s="87" t="str">
        <x:v>ORIGINAL_PACKAGE</x:v>
      </x:c>
      <x:c r="N131" s="87"/>
      <x:c r="O131" s="87"/>
      <x:c r="P131" s="87" t="str">
        <x:v>cf7fc03dd18e99dde0646f1b4cb637b2a31e1435aecc74b12b96c66817998ee5</x:v>
      </x:c>
      <x:c r="Q131" s="30" t="str">
        <x:v>incoming/raw/recovery-drop-03/statgrad_v0_73_bio_oct_full_package.zip!/bio_oct_visual_assets_v073_persisted.zip!/bio_oct_assets_work/full/VIS-BIO-OCT-031_full.jpg</x:v>
      </x:c>
      <x:c r="R131" s="30" t="str">
        <x:v>MATCHED_ASSET | BENIGN_COMPLEMENTARY</x:v>
      </x:c>
      <x:c r="S131" t="e">
        <x:f>HYPERLINK("visual_gallery/index.html#"&amp;A131,"Галерея")</x:f>
      </x:c>
    </x:row>
    <x:row r="132">
      <x:c r="A132" s="87" t="str">
        <x:v>VIS-BIO-OCT-032</x:v>
      </x:c>
      <x:c r="B132" s="30" t="str">
        <x:v>Биология</x:v>
      </x:c>
      <x:c r="C132" s="30" t="str">
        <x:v>БИ2510103: полная страница 8</x:v>
      </x:c>
      <x:c r="D132" s="30" t="str">
        <x:v>БИ2510103</x:v>
      </x:c>
      <x:c r="E132" s="87"/>
      <x:c r="F132" s="30" t="str">
        <x:v>tasks_a.pdf</x:v>
      </x:c>
      <x:c r="G132" s="87" t="str">
        <x:v>8</x:v>
      </x:c>
      <x:c r="H132" s="87" t="str">
        <x:v>v0.81</x:v>
      </x:c>
      <x:c r="I132" s="87" t="str">
        <x:v>3</x:v>
      </x:c>
      <x:c r="J132" s="30" t="str">
        <x:v>VIS_ID</x:v>
      </x:c>
      <x:c r="K132" s="30" t="str">
        <x:v>OCT-BIO-103-015, OCT-BIO-103-016, OCT-BIO-103-017</x:v>
      </x:c>
      <x:c r="L132" s="87" t="str">
        <x:v>CROP_VERIFIED</x:v>
      </x:c>
      <x:c r="M132" s="87" t="str">
        <x:v>ORIGINAL_PACKAGE</x:v>
      </x:c>
      <x:c r="N132" s="87"/>
      <x:c r="O132" s="87"/>
      <x:c r="P132" s="87" t="str">
        <x:v>9f6d6efe8eb41140cfe105ca9610c921f05c964fef96ad069b0e5ebcda58df69</x:v>
      </x:c>
      <x:c r="Q132" s="30" t="str">
        <x:v>incoming/raw/recovery-drop-03/statgrad_v0_73_bio_oct_full_package.zip!/bio_oct_visual_assets_v073_persisted.zip!/bio_oct_assets_work/full/VIS-BIO-OCT-032_full.jpg</x:v>
      </x:c>
      <x:c r="R132" s="30" t="str">
        <x:v>MATCHED_ASSET | BENIGN_COMPLEMENTARY</x:v>
      </x:c>
      <x:c r="S132" t="e">
        <x:f>HYPERLINK("visual_gallery/index.html#"&amp;A132,"Галерея")</x:f>
      </x:c>
    </x:row>
    <x:row r="133">
      <x:c r="A133" s="87" t="str">
        <x:v>VIS-BIO-OCT-033</x:v>
      </x:c>
      <x:c r="B133" s="30" t="str">
        <x:v>Биология</x:v>
      </x:c>
      <x:c r="C133" s="30" t="str">
        <x:v>БИ2510103: полная страница 9</x:v>
      </x:c>
      <x:c r="D133" s="30" t="str">
        <x:v>БИ2510103</x:v>
      </x:c>
      <x:c r="E133" s="87"/>
      <x:c r="F133" s="30" t="str">
        <x:v>tasks_a.pdf</x:v>
      </x:c>
      <x:c r="G133" s="87" t="str">
        <x:v>9</x:v>
      </x:c>
      <x:c r="H133" s="87" t="str">
        <x:v>v0.81</x:v>
      </x:c>
      <x:c r="I133" s="87" t="str">
        <x:v>2</x:v>
      </x:c>
      <x:c r="J133" s="30" t="str">
        <x:v>VIS_ID</x:v>
      </x:c>
      <x:c r="K133" s="30" t="str">
        <x:v>OCT-BIO-103-018, OCT-BIO-103-019</x:v>
      </x:c>
      <x:c r="L133" s="87" t="str">
        <x:v>CROP_VERIFIED</x:v>
      </x:c>
      <x:c r="M133" s="87" t="str">
        <x:v>ORIGINAL_PACKAGE</x:v>
      </x:c>
      <x:c r="N133" s="87"/>
      <x:c r="O133" s="87"/>
      <x:c r="P133" s="87" t="str">
        <x:v>8c9b26e492a62d49b84b418b015c7152b43658012017ead7810541098300c408</x:v>
      </x:c>
      <x:c r="Q133" s="30" t="str">
        <x:v>incoming/raw/recovery-drop-03/statgrad_v0_73_bio_oct_full_package.zip!/bio_oct_visual_assets_v073_persisted.zip!/bio_oct_assets_work/full/VIS-BIO-OCT-033_full.jpg</x:v>
      </x:c>
      <x:c r="R133" s="30" t="str">
        <x:v>MATCHED_ASSET | BENIGN_COMPLEMENTARY</x:v>
      </x:c>
      <x:c r="S133" t="e">
        <x:f>HYPERLINK("visual_gallery/index.html#"&amp;A133,"Галерея")</x:f>
      </x:c>
    </x:row>
    <x:row r="134">
      <x:c r="A134" s="87" t="str">
        <x:v>VIS-BIO-OCT-034</x:v>
      </x:c>
      <x:c r="B134" s="30" t="str">
        <x:v>Биология</x:v>
      </x:c>
      <x:c r="C134" s="30" t="str">
        <x:v>БИ2510103: полная страница 10</x:v>
      </x:c>
      <x:c r="D134" s="30" t="str">
        <x:v>БИ2510103</x:v>
      </x:c>
      <x:c r="E134" s="87"/>
      <x:c r="F134" s="30" t="str">
        <x:v>tasks_a.pdf</x:v>
      </x:c>
      <x:c r="G134" s="87" t="str">
        <x:v>10</x:v>
      </x:c>
      <x:c r="H134" s="87" t="str">
        <x:v>v0.81</x:v>
      </x:c>
      <x:c r="I134" s="87" t="str">
        <x:v>1</x:v>
      </x:c>
      <x:c r="J134" s="30" t="str">
        <x:v>VIS_ID</x:v>
      </x:c>
      <x:c r="K134" s="30" t="str">
        <x:v>OCT-BIO-103-020</x:v>
      </x:c>
      <x:c r="L134" s="87" t="str">
        <x:v>CROP_VERIFIED</x:v>
      </x:c>
      <x:c r="M134" s="87" t="str">
        <x:v>ORIGINAL_PACKAGE</x:v>
      </x:c>
      <x:c r="N134" s="87"/>
      <x:c r="O134" s="87"/>
      <x:c r="P134" s="87" t="str">
        <x:v>6df54e0043f39372f84c54d057d24923655ce39976e2d54841832e07e75a2a98</x:v>
      </x:c>
      <x:c r="Q134" s="30" t="str">
        <x:v>incoming/raw/recovery-drop-03/statgrad_v0_73_bio_oct_full_package.zip!/bio_oct_visual_assets_v073_persisted.zip!/bio_oct_assets_work/full/VIS-BIO-OCT-034_full.jpg</x:v>
      </x:c>
      <x:c r="R134" s="30" t="str">
        <x:v>MATCHED_ASSET | BENIGN_COMPLEMENTARY</x:v>
      </x:c>
      <x:c r="S134" t="e">
        <x:f>HYPERLINK("visual_gallery/index.html#"&amp;A134,"Галерея")</x:f>
      </x:c>
    </x:row>
    <x:row r="135">
      <x:c r="A135" s="87" t="str">
        <x:v>VIS-BIO-OCT-035</x:v>
      </x:c>
      <x:c r="B135" s="30" t="str">
        <x:v>Биология</x:v>
      </x:c>
      <x:c r="C135" s="30" t="str">
        <x:v>БИ2510103: полная страница 11</x:v>
      </x:c>
      <x:c r="D135" s="30" t="str">
        <x:v>БИ2510103</x:v>
      </x:c>
      <x:c r="E135" s="87"/>
      <x:c r="F135" s="30" t="str">
        <x:v>tasks_a.pdf</x:v>
      </x:c>
      <x:c r="G135" s="87" t="str">
        <x:v>11</x:v>
      </x:c>
      <x:c r="H135" s="87" t="str">
        <x:v>v0.81</x:v>
      </x:c>
      <x:c r="I135" s="87" t="str">
        <x:v>1</x:v>
      </x:c>
      <x:c r="J135" s="30" t="str">
        <x:v>VIS_ID</x:v>
      </x:c>
      <x:c r="K135" s="30" t="str">
        <x:v>OCT-BIO-103-021</x:v>
      </x:c>
      <x:c r="L135" s="87" t="str">
        <x:v>CROP_VERIFIED</x:v>
      </x:c>
      <x:c r="M135" s="87" t="str">
        <x:v>ORIGINAL_PACKAGE</x:v>
      </x:c>
      <x:c r="N135" s="87"/>
      <x:c r="O135" s="87"/>
      <x:c r="P135" s="87" t="str">
        <x:v>4dbf3d757f8ba851fc3409bfb7812a31c67e9e0437f714044ca13c977e4e1ee8</x:v>
      </x:c>
      <x:c r="Q135" s="30" t="str">
        <x:v>incoming/raw/recovery-drop-03/statgrad_v0_73_bio_oct_full_package.zip!/bio_oct_visual_assets_v073_persisted.zip!/bio_oct_assets_work/full/VIS-BIO-OCT-035_full.jpg</x:v>
      </x:c>
      <x:c r="R135" s="30" t="str">
        <x:v>MATCHED_ASSET | BENIGN_COMPLEMENTARY</x:v>
      </x:c>
      <x:c r="S135" t="e">
        <x:f>HYPERLINK("visual_gallery/index.html#"&amp;A135,"Галерея")</x:f>
      </x:c>
    </x:row>
    <x:row r="136">
      <x:c r="A136" s="87" t="str">
        <x:v>VIS-BIO-OCT-036</x:v>
      </x:c>
      <x:c r="B136" s="30" t="str">
        <x:v>Биология</x:v>
      </x:c>
      <x:c r="C136" s="30" t="str">
        <x:v>БИ2510103: полная страница 12</x:v>
      </x:c>
      <x:c r="D136" s="30" t="str">
        <x:v>БИ2510103</x:v>
      </x:c>
      <x:c r="E136" s="87"/>
      <x:c r="F136" s="30" t="str">
        <x:v>tasks_a.pdf</x:v>
      </x:c>
      <x:c r="G136" s="87" t="str">
        <x:v>12</x:v>
      </x:c>
      <x:c r="H136" s="87" t="str">
        <x:v>v0.81</x:v>
      </x:c>
      <x:c r="I136" s="87" t="str">
        <x:v>1</x:v>
      </x:c>
      <x:c r="J136" s="30" t="str">
        <x:v>VIS_ID</x:v>
      </x:c>
      <x:c r="K136" s="30" t="str">
        <x:v>OCT-BIO-103-024</x:v>
      </x:c>
      <x:c r="L136" s="87" t="str">
        <x:v>CROP_VERIFIED</x:v>
      </x:c>
      <x:c r="M136" s="87" t="str">
        <x:v>ORIGINAL_PACKAGE</x:v>
      </x:c>
      <x:c r="N136" s="87"/>
      <x:c r="O136" s="87"/>
      <x:c r="P136" s="87" t="str">
        <x:v>63356e249a324244214480ced367e3c6013dac622c6b0fc526a27a46f55d47af</x:v>
      </x:c>
      <x:c r="Q136" s="30" t="str">
        <x:v>incoming/raw/recovery-drop-03/statgrad_v0_73_bio_oct_full_package.zip!/bio_oct_visual_assets_v073_persisted.zip!/bio_oct_assets_work/full/VIS-BIO-OCT-036_full.jpg</x:v>
      </x:c>
      <x:c r="R136" s="30" t="str">
        <x:v>MATCHED_ASSET | BENIGN_COMPLEMENTARY</x:v>
      </x:c>
      <x:c r="S136" t="e">
        <x:f>HYPERLINK("visual_gallery/index.html#"&amp;A136,"Галерея")</x:f>
      </x:c>
    </x:row>
    <x:row r="137">
      <x:c r="A137" s="87" t="str">
        <x:v>VIS-BIO-OCT-037</x:v>
      </x:c>
      <x:c r="B137" s="30" t="str">
        <x:v>Биология</x:v>
      </x:c>
      <x:c r="C137" s="30" t="str">
        <x:v>БИ2510103: полная страница 14</x:v>
      </x:c>
      <x:c r="D137" s="30" t="str">
        <x:v>БИ2510103</x:v>
      </x:c>
      <x:c r="E137" s="87"/>
      <x:c r="F137" s="30" t="str">
        <x:v>tasks_a.pdf</x:v>
      </x:c>
      <x:c r="G137" s="87" t="str">
        <x:v>14</x:v>
      </x:c>
      <x:c r="H137" s="87" t="str">
        <x:v>v0.81</x:v>
      </x:c>
      <x:c r="I137" s="87" t="str">
        <x:v>1</x:v>
      </x:c>
      <x:c r="J137" s="30" t="str">
        <x:v>VIS_ID</x:v>
      </x:c>
      <x:c r="K137" s="30" t="str">
        <x:v>OCT-BIO-103-028</x:v>
      </x:c>
      <x:c r="L137" s="87" t="str">
        <x:v>CROP_VERIFIED</x:v>
      </x:c>
      <x:c r="M137" s="87" t="str">
        <x:v>ORIGINAL_PACKAGE</x:v>
      </x:c>
      <x:c r="N137" s="87"/>
      <x:c r="O137" s="87"/>
      <x:c r="P137" s="87" t="str">
        <x:v>7399c5475111a6cc6f1c16dfe632e0dde1057fe28d1616df12fe582a25c3132f</x:v>
      </x:c>
      <x:c r="Q137" s="30" t="str">
        <x:v>incoming/raw/recovery-drop-03/statgrad_v0_73_bio_oct_full_package.zip!/bio_oct_visual_assets_v073_persisted.zip!/bio_oct_assets_work/full/VIS-BIO-OCT-037_full.jpg</x:v>
      </x:c>
      <x:c r="R137" s="30" t="str">
        <x:v>MATCHED_ASSET | BENIGN_COMPLEMENTARY</x:v>
      </x:c>
      <x:c r="S137" t="e">
        <x:f>HYPERLINK("visual_gallery/index.html#"&amp;A137,"Галерея")</x:f>
      </x:c>
    </x:row>
    <x:row r="138">
      <x:c r="A138" s="87" t="str">
        <x:v>VIS-BIO-OCT-038</x:v>
      </x:c>
      <x:c r="B138" s="30" t="str">
        <x:v>Биология</x:v>
      </x:c>
      <x:c r="C138" s="30" t="str">
        <x:v>БИ2510104: полная страница 16</x:v>
      </x:c>
      <x:c r="D138" s="30" t="str">
        <x:v>БИ2510104</x:v>
      </x:c>
      <x:c r="E138" s="87"/>
      <x:c r="F138" s="30" t="str">
        <x:v>tasks_a.pdf</x:v>
      </x:c>
      <x:c r="G138" s="87" t="str">
        <x:v>16</x:v>
      </x:c>
      <x:c r="H138" s="87" t="str">
        <x:v>v0.81</x:v>
      </x:c>
      <x:c r="I138" s="87" t="str">
        <x:v>3</x:v>
      </x:c>
      <x:c r="J138" s="30" t="str">
        <x:v>VIS_ID</x:v>
      </x:c>
      <x:c r="K138" s="30" t="str">
        <x:v>OCT-BIO-104-001, OCT-BIO-104-002, OCT-BIO-104-003</x:v>
      </x:c>
      <x:c r="L138" s="87" t="str">
        <x:v>CROP_VERIFIED</x:v>
      </x:c>
      <x:c r="M138" s="87" t="str">
        <x:v>ORIGINAL_PACKAGE</x:v>
      </x:c>
      <x:c r="N138" s="87"/>
      <x:c r="O138" s="87"/>
      <x:c r="P138" s="87" t="str">
        <x:v>40968a589066dbf86109545e7b1f8e2262bd9ee92dcf3afcb33ddeadccf9d544</x:v>
      </x:c>
      <x:c r="Q138" s="30" t="str">
        <x:v>incoming/raw/recovery-drop-03/statgrad_v0_73_bio_oct_full_package.zip!/bio_oct_visual_assets_v073_persisted.zip!/bio_oct_assets_work/full/VIS-BIO-OCT-038_full.jpg</x:v>
      </x:c>
      <x:c r="R138" s="30" t="str">
        <x:v>MATCHED_ASSET | BENIGN_COMPLEMENTARY</x:v>
      </x:c>
      <x:c r="S138" t="e">
        <x:f>HYPERLINK("visual_gallery/index.html#"&amp;A138,"Галерея")</x:f>
      </x:c>
    </x:row>
    <x:row r="139">
      <x:c r="A139" s="87" t="str">
        <x:v>VIS-BIO-OCT-039</x:v>
      </x:c>
      <x:c r="B139" s="30" t="str">
        <x:v>Биология</x:v>
      </x:c>
      <x:c r="C139" s="30" t="str">
        <x:v>БИ2510104: полная страница 17</x:v>
      </x:c>
      <x:c r="D139" s="30" t="str">
        <x:v>БИ2510104</x:v>
      </x:c>
      <x:c r="E139" s="87"/>
      <x:c r="F139" s="30" t="str">
        <x:v>tasks_a.pdf</x:v>
      </x:c>
      <x:c r="G139" s="87" t="str">
        <x:v>17</x:v>
      </x:c>
      <x:c r="H139" s="87" t="str">
        <x:v>v0.81</x:v>
      </x:c>
      <x:c r="I139" s="87" t="str">
        <x:v>3</x:v>
      </x:c>
      <x:c r="J139" s="30" t="str">
        <x:v>VIS_ID</x:v>
      </x:c>
      <x:c r="K139" s="30" t="str">
        <x:v>OCT-BIO-104-004, OCT-BIO-104-005, OCT-BIO-104-006</x:v>
      </x:c>
      <x:c r="L139" s="87" t="str">
        <x:v>CROP_VERIFIED</x:v>
      </x:c>
      <x:c r="M139" s="87" t="str">
        <x:v>ORIGINAL_PACKAGE</x:v>
      </x:c>
      <x:c r="N139" s="87"/>
      <x:c r="O139" s="87"/>
      <x:c r="P139" s="87" t="str">
        <x:v>5c03e77590cd54b9997c29e7948fdc208bcb73a49586c30921ae2c43081a9c86</x:v>
      </x:c>
      <x:c r="Q139" s="30" t="str">
        <x:v>incoming/raw/recovery-drop-03/statgrad_v0_73_bio_oct_full_package.zip!/bio_oct_visual_assets_v073_persisted.zip!/bio_oct_assets_work/full/VIS-BIO-OCT-039_full.jpg</x:v>
      </x:c>
      <x:c r="R139" s="30" t="str">
        <x:v>MATCHED_ASSET | BENIGN_COMPLEMENTARY</x:v>
      </x:c>
      <x:c r="S139" t="e">
        <x:f>HYPERLINK("visual_gallery/index.html#"&amp;A139,"Галерея")</x:f>
      </x:c>
    </x:row>
    <x:row r="140">
      <x:c r="A140" s="87" t="str">
        <x:v>VIS-BIO-OCT-040</x:v>
      </x:c>
      <x:c r="B140" s="30" t="str">
        <x:v>Биология</x:v>
      </x:c>
      <x:c r="C140" s="30" t="str">
        <x:v>БИ2510104: полная страница 18</x:v>
      </x:c>
      <x:c r="D140" s="30" t="str">
        <x:v>БИ2510104</x:v>
      </x:c>
      <x:c r="E140" s="87"/>
      <x:c r="F140" s="30" t="str">
        <x:v>tasks_a.pdf</x:v>
      </x:c>
      <x:c r="G140" s="87" t="str">
        <x:v>18</x:v>
      </x:c>
      <x:c r="H140" s="87" t="str">
        <x:v>v0.81</x:v>
      </x:c>
      <x:c r="I140" s="87" t="str">
        <x:v>2</x:v>
      </x:c>
      <x:c r="J140" s="30" t="str">
        <x:v>VIS_ID</x:v>
      </x:c>
      <x:c r="K140" s="30" t="str">
        <x:v>OCT-BIO-104-007, OCT-BIO-104-008</x:v>
      </x:c>
      <x:c r="L140" s="87" t="str">
        <x:v>CROP_VERIFIED</x:v>
      </x:c>
      <x:c r="M140" s="87" t="str">
        <x:v>ORIGINAL_PACKAGE</x:v>
      </x:c>
      <x:c r="N140" s="87"/>
      <x:c r="O140" s="87"/>
      <x:c r="P140" s="87" t="str">
        <x:v>31966d3c73195d6b1b34f7d91eec6f9500e95fd15f518ae79887f6049af76c1c</x:v>
      </x:c>
      <x:c r="Q140" s="30" t="str">
        <x:v>incoming/raw/recovery-drop-03/statgrad_v0_73_bio_oct_full_package.zip!/bio_oct_visual_assets_v073_persisted.zip!/bio_oct_assets_work/full/VIS-BIO-OCT-040_full.jpg</x:v>
      </x:c>
      <x:c r="R140" s="30" t="str">
        <x:v>MATCHED_ASSET | BENIGN_COMPLEMENTARY</x:v>
      </x:c>
      <x:c r="S140" t="e">
        <x:f>HYPERLINK("visual_gallery/index.html#"&amp;A140,"Галерея")</x:f>
      </x:c>
    </x:row>
    <x:row r="141">
      <x:c r="A141" s="87" t="str">
        <x:v>VIS-BIO-OCT-041</x:v>
      </x:c>
      <x:c r="B141" s="30" t="str">
        <x:v>Биология</x:v>
      </x:c>
      <x:c r="C141" s="30" t="str">
        <x:v>БИ2510104: полная страница 19</x:v>
      </x:c>
      <x:c r="D141" s="30" t="str">
        <x:v>БИ2510104</x:v>
      </x:c>
      <x:c r="E141" s="87"/>
      <x:c r="F141" s="30" t="str">
        <x:v>tasks_a.pdf</x:v>
      </x:c>
      <x:c r="G141" s="87" t="str">
        <x:v>19</x:v>
      </x:c>
      <x:c r="H141" s="87" t="str">
        <x:v>v0.81</x:v>
      </x:c>
      <x:c r="I141" s="87" t="str">
        <x:v>2</x:v>
      </x:c>
      <x:c r="J141" s="30" t="str">
        <x:v>VIS_ID</x:v>
      </x:c>
      <x:c r="K141" s="30" t="str">
        <x:v>OCT-BIO-104-009, OCT-BIO-104-010</x:v>
      </x:c>
      <x:c r="L141" s="87" t="str">
        <x:v>CROP_VERIFIED</x:v>
      </x:c>
      <x:c r="M141" s="87" t="str">
        <x:v>ORIGINAL_PACKAGE</x:v>
      </x:c>
      <x:c r="N141" s="87"/>
      <x:c r="O141" s="87"/>
      <x:c r="P141" s="87" t="str">
        <x:v>4fa5a12391b231811557175a614bbb5cf1376144d43d9d4bc7cfee592027143a</x:v>
      </x:c>
      <x:c r="Q141" s="30" t="str">
        <x:v>incoming/raw/recovery-drop-03/statgrad_v0_73_bio_oct_full_package.zip!/bio_oct_visual_assets_v073_persisted.zip!/bio_oct_assets_work/full/VIS-BIO-OCT-041_full.jpg</x:v>
      </x:c>
      <x:c r="R141" s="30" t="str">
        <x:v>MATCHED_ASSET | BENIGN_COMPLEMENTARY</x:v>
      </x:c>
      <x:c r="S141" t="e">
        <x:f>HYPERLINK("visual_gallery/index.html#"&amp;A141,"Галерея")</x:f>
      </x:c>
    </x:row>
    <x:row r="142">
      <x:c r="A142" s="87" t="str">
        <x:v>VIS-BIO-OCT-042</x:v>
      </x:c>
      <x:c r="B142" s="30" t="str">
        <x:v>Биология</x:v>
      </x:c>
      <x:c r="C142" s="30" t="str">
        <x:v>БИ2510104: полная страница 20</x:v>
      </x:c>
      <x:c r="D142" s="30" t="str">
        <x:v>БИ2510104</x:v>
      </x:c>
      <x:c r="E142" s="87"/>
      <x:c r="F142" s="30" t="str">
        <x:v>tasks_a.pdf</x:v>
      </x:c>
      <x:c r="G142" s="87" t="str">
        <x:v>20</x:v>
      </x:c>
      <x:c r="H142" s="87" t="str">
        <x:v>v0.81</x:v>
      </x:c>
      <x:c r="I142" s="87" t="str">
        <x:v>2</x:v>
      </x:c>
      <x:c r="J142" s="30" t="str">
        <x:v>VIS_ID</x:v>
      </x:c>
      <x:c r="K142" s="30" t="str">
        <x:v>OCT-BIO-104-011, OCT-BIO-104-012</x:v>
      </x:c>
      <x:c r="L142" s="87" t="str">
        <x:v>CROP_VERIFIED</x:v>
      </x:c>
      <x:c r="M142" s="87" t="str">
        <x:v>ORIGINAL_PACKAGE</x:v>
      </x:c>
      <x:c r="N142" s="87"/>
      <x:c r="O142" s="87"/>
      <x:c r="P142" s="87" t="str">
        <x:v>3c5f096e23a49b16e215323252f9de2a0f0982560f87a3507f75aa9474afcc25</x:v>
      </x:c>
      <x:c r="Q142" s="30" t="str">
        <x:v>incoming/raw/recovery-drop-03/statgrad_v0_73_bio_oct_full_package.zip!/bio_oct_visual_assets_v073_persisted.zip!/bio_oct_assets_work/full/VIS-BIO-OCT-042_full.jpg</x:v>
      </x:c>
      <x:c r="R142" s="30" t="str">
        <x:v>MATCHED_ASSET | BENIGN_COMPLEMENTARY</x:v>
      </x:c>
      <x:c r="S142" t="e">
        <x:f>HYPERLINK("visual_gallery/index.html#"&amp;A142,"Галерея")</x:f>
      </x:c>
    </x:row>
    <x:row r="143">
      <x:c r="A143" s="87" t="str">
        <x:v>VIS-BIO-OCT-043</x:v>
      </x:c>
      <x:c r="B143" s="30" t="str">
        <x:v>Биология</x:v>
      </x:c>
      <x:c r="C143" s="30" t="str">
        <x:v>БИ2510104: полная страница 21</x:v>
      </x:c>
      <x:c r="D143" s="30" t="str">
        <x:v>БИ2510104</x:v>
      </x:c>
      <x:c r="E143" s="87"/>
      <x:c r="F143" s="30" t="str">
        <x:v>tasks_a.pdf</x:v>
      </x:c>
      <x:c r="G143" s="87" t="str">
        <x:v>21</x:v>
      </x:c>
      <x:c r="H143" s="87" t="str">
        <x:v>v0.81</x:v>
      </x:c>
      <x:c r="I143" s="87" t="str">
        <x:v>2</x:v>
      </x:c>
      <x:c r="J143" s="30" t="str">
        <x:v>VIS_ID</x:v>
      </x:c>
      <x:c r="K143" s="30" t="str">
        <x:v>OCT-BIO-104-013, OCT-BIO-104-014</x:v>
      </x:c>
      <x:c r="L143" s="87" t="str">
        <x:v>CROP_VERIFIED</x:v>
      </x:c>
      <x:c r="M143" s="87" t="str">
        <x:v>ORIGINAL_PACKAGE</x:v>
      </x:c>
      <x:c r="N143" s="87"/>
      <x:c r="O143" s="87"/>
      <x:c r="P143" s="87" t="str">
        <x:v>f4327add4cb72c7b6f448ce1279394b2a7f4c4443ccf52232b648ba1f68ad90e</x:v>
      </x:c>
      <x:c r="Q143" s="30" t="str">
        <x:v>incoming/raw/recovery-drop-03/statgrad_v0_73_bio_oct_full_package.zip!/bio_oct_visual_assets_v073_persisted.zip!/bio_oct_assets_work/full/VIS-BIO-OCT-043_full.jpg</x:v>
      </x:c>
      <x:c r="R143" s="30" t="str">
        <x:v>MATCHED_ASSET | BENIGN_COMPLEMENTARY</x:v>
      </x:c>
      <x:c r="S143" t="e">
        <x:f>HYPERLINK("visual_gallery/index.html#"&amp;A143,"Галерея")</x:f>
      </x:c>
    </x:row>
    <x:row r="144">
      <x:c r="A144" s="87" t="str">
        <x:v>VIS-BIO-OCT-044</x:v>
      </x:c>
      <x:c r="B144" s="30" t="str">
        <x:v>Биология</x:v>
      </x:c>
      <x:c r="C144" s="30" t="str">
        <x:v>БИ2510104: полная страница 22</x:v>
      </x:c>
      <x:c r="D144" s="30" t="str">
        <x:v>БИ2510104</x:v>
      </x:c>
      <x:c r="E144" s="87"/>
      <x:c r="F144" s="30" t="str">
        <x:v>tasks_a.pdf</x:v>
      </x:c>
      <x:c r="G144" s="87" t="str">
        <x:v>22</x:v>
      </x:c>
      <x:c r="H144" s="87" t="str">
        <x:v>v0.81</x:v>
      </x:c>
      <x:c r="I144" s="87" t="str">
        <x:v>3</x:v>
      </x:c>
      <x:c r="J144" s="30" t="str">
        <x:v>VIS_ID</x:v>
      </x:c>
      <x:c r="K144" s="30" t="str">
        <x:v>OCT-BIO-104-015, OCT-BIO-104-016, OCT-BIO-104-017</x:v>
      </x:c>
      <x:c r="L144" s="87" t="str">
        <x:v>CROP_VERIFIED</x:v>
      </x:c>
      <x:c r="M144" s="87" t="str">
        <x:v>ORIGINAL_PACKAGE</x:v>
      </x:c>
      <x:c r="N144" s="87"/>
      <x:c r="O144" s="87"/>
      <x:c r="P144" s="87" t="str">
        <x:v>eae05c52d9cf057f4d5bb7b7836aafaa5095398eb3b636ae00227c9273ba9e61</x:v>
      </x:c>
      <x:c r="Q144" s="30" t="str">
        <x:v>incoming/raw/recovery-drop-03/statgrad_v0_73_bio_oct_full_package.zip!/bio_oct_visual_assets_v073_persisted.zip!/bio_oct_assets_work/full/VIS-BIO-OCT-044_full.jpg</x:v>
      </x:c>
      <x:c r="R144" s="30" t="str">
        <x:v>MATCHED_ASSET | BENIGN_COMPLEMENTARY</x:v>
      </x:c>
      <x:c r="S144" t="e">
        <x:f>HYPERLINK("visual_gallery/index.html#"&amp;A144,"Галерея")</x:f>
      </x:c>
    </x:row>
    <x:row r="145">
      <x:c r="A145" s="87" t="str">
        <x:v>VIS-BIO-OCT-045</x:v>
      </x:c>
      <x:c r="B145" s="30" t="str">
        <x:v>Биология</x:v>
      </x:c>
      <x:c r="C145" s="30" t="str">
        <x:v>БИ2510104: полная страница 23</x:v>
      </x:c>
      <x:c r="D145" s="30" t="str">
        <x:v>БИ2510104</x:v>
      </x:c>
      <x:c r="E145" s="87"/>
      <x:c r="F145" s="30" t="str">
        <x:v>tasks_a.pdf</x:v>
      </x:c>
      <x:c r="G145" s="87" t="str">
        <x:v>23</x:v>
      </x:c>
      <x:c r="H145" s="87" t="str">
        <x:v>v0.81</x:v>
      </x:c>
      <x:c r="I145" s="87" t="str">
        <x:v>2</x:v>
      </x:c>
      <x:c r="J145" s="30" t="str">
        <x:v>VIS_ID</x:v>
      </x:c>
      <x:c r="K145" s="30" t="str">
        <x:v>OCT-BIO-104-018, OCT-BIO-104-019</x:v>
      </x:c>
      <x:c r="L145" s="87" t="str">
        <x:v>CROP_VERIFIED</x:v>
      </x:c>
      <x:c r="M145" s="87" t="str">
        <x:v>ORIGINAL_PACKAGE</x:v>
      </x:c>
      <x:c r="N145" s="87"/>
      <x:c r="O145" s="87"/>
      <x:c r="P145" s="87" t="str">
        <x:v>78ea58177fa441c6f322b7a33d5e9da33dffa759df9324505218a878bc4bbabb</x:v>
      </x:c>
      <x:c r="Q145" s="30" t="str">
        <x:v>incoming/raw/recovery-drop-03/statgrad_v0_73_bio_oct_full_package.zip!/bio_oct_visual_assets_v073_persisted.zip!/bio_oct_assets_work/full/VIS-BIO-OCT-045_full.jpg</x:v>
      </x:c>
      <x:c r="R145" s="30" t="str">
        <x:v>MATCHED_ASSET | BENIGN_COMPLEMENTARY</x:v>
      </x:c>
      <x:c r="S145" t="e">
        <x:f>HYPERLINK("visual_gallery/index.html#"&amp;A145,"Галерея")</x:f>
      </x:c>
    </x:row>
    <x:row r="146">
      <x:c r="A146" s="87" t="str">
        <x:v>VIS-BIO-OCT-046</x:v>
      </x:c>
      <x:c r="B146" s="30" t="str">
        <x:v>Биология</x:v>
      </x:c>
      <x:c r="C146" s="30" t="str">
        <x:v>БИ2510104: полная страница 24</x:v>
      </x:c>
      <x:c r="D146" s="30" t="str">
        <x:v>БИ2510104</x:v>
      </x:c>
      <x:c r="E146" s="87"/>
      <x:c r="F146" s="30" t="str">
        <x:v>tasks_a.pdf</x:v>
      </x:c>
      <x:c r="G146" s="87" t="str">
        <x:v>24</x:v>
      </x:c>
      <x:c r="H146" s="87" t="str">
        <x:v>v0.81</x:v>
      </x:c>
      <x:c r="I146" s="87" t="str">
        <x:v>1</x:v>
      </x:c>
      <x:c r="J146" s="30" t="str">
        <x:v>VIS_ID</x:v>
      </x:c>
      <x:c r="K146" s="30" t="str">
        <x:v>OCT-BIO-104-020</x:v>
      </x:c>
      <x:c r="L146" s="87" t="str">
        <x:v>CROP_VERIFIED</x:v>
      </x:c>
      <x:c r="M146" s="87" t="str">
        <x:v>ORIGINAL_PACKAGE</x:v>
      </x:c>
      <x:c r="N146" s="87"/>
      <x:c r="O146" s="87"/>
      <x:c r="P146" s="87" t="str">
        <x:v>7a52e32713bbba3c9325873e8d249792a0cee860b84822c5d9981a457560f33e</x:v>
      </x:c>
      <x:c r="Q146" s="30" t="str">
        <x:v>incoming/raw/recovery-drop-03/statgrad_v0_73_bio_oct_full_package.zip!/bio_oct_visual_assets_v073_persisted.zip!/bio_oct_assets_work/full/VIS-BIO-OCT-046_full.jpg</x:v>
      </x:c>
      <x:c r="R146" s="30" t="str">
        <x:v>MATCHED_ASSET | BENIGN_COMPLEMENTARY</x:v>
      </x:c>
      <x:c r="S146" t="e">
        <x:f>HYPERLINK("visual_gallery/index.html#"&amp;A146,"Галерея")</x:f>
      </x:c>
    </x:row>
    <x:row r="147">
      <x:c r="A147" s="87" t="str">
        <x:v>VIS-BIO-OCT-047</x:v>
      </x:c>
      <x:c r="B147" s="30" t="str">
        <x:v>Биология</x:v>
      </x:c>
      <x:c r="C147" s="30" t="str">
        <x:v>БИ2510104: полная страница 25</x:v>
      </x:c>
      <x:c r="D147" s="30" t="str">
        <x:v>БИ2510104</x:v>
      </x:c>
      <x:c r="E147" s="87"/>
      <x:c r="F147" s="30" t="str">
        <x:v>tasks_a.pdf</x:v>
      </x:c>
      <x:c r="G147" s="87" t="str">
        <x:v>25</x:v>
      </x:c>
      <x:c r="H147" s="87" t="str">
        <x:v>v0.81</x:v>
      </x:c>
      <x:c r="I147" s="87" t="str">
        <x:v>1</x:v>
      </x:c>
      <x:c r="J147" s="30" t="str">
        <x:v>VIS_ID</x:v>
      </x:c>
      <x:c r="K147" s="30" t="str">
        <x:v>OCT-BIO-104-021</x:v>
      </x:c>
      <x:c r="L147" s="87" t="str">
        <x:v>CROP_VERIFIED</x:v>
      </x:c>
      <x:c r="M147" s="87" t="str">
        <x:v>ORIGINAL_PACKAGE</x:v>
      </x:c>
      <x:c r="N147" s="87"/>
      <x:c r="O147" s="87"/>
      <x:c r="P147" s="87" t="str">
        <x:v>b60059fff95853419301fee5292b57e9af2c9cbbf7affaad109817a9e6bdc0ea</x:v>
      </x:c>
      <x:c r="Q147" s="30" t="str">
        <x:v>incoming/raw/recovery-drop-03/statgrad_v0_73_bio_oct_full_package.zip!/bio_oct_visual_assets_v073_persisted.zip!/bio_oct_assets_work/full/VIS-BIO-OCT-047_full.jpg</x:v>
      </x:c>
      <x:c r="R147" s="30" t="str">
        <x:v>MATCHED_ASSET | BENIGN_COMPLEMENTARY</x:v>
      </x:c>
      <x:c r="S147" t="e">
        <x:f>HYPERLINK("visual_gallery/index.html#"&amp;A147,"Галерея")</x:f>
      </x:c>
    </x:row>
    <x:row r="148">
      <x:c r="A148" s="87" t="str">
        <x:v>VIS-BIO-OCT-048</x:v>
      </x:c>
      <x:c r="B148" s="30" t="str">
        <x:v>Биология</x:v>
      </x:c>
      <x:c r="C148" s="30" t="str">
        <x:v>БИ2510104: полная страница 26</x:v>
      </x:c>
      <x:c r="D148" s="30" t="str">
        <x:v>БИ2510104</x:v>
      </x:c>
      <x:c r="E148" s="87"/>
      <x:c r="F148" s="30" t="str">
        <x:v>tasks_a.pdf</x:v>
      </x:c>
      <x:c r="G148" s="87" t="str">
        <x:v>26</x:v>
      </x:c>
      <x:c r="H148" s="87" t="str">
        <x:v>v0.81</x:v>
      </x:c>
      <x:c r="I148" s="87" t="str">
        <x:v>1</x:v>
      </x:c>
      <x:c r="J148" s="30" t="str">
        <x:v>VIS_ID</x:v>
      </x:c>
      <x:c r="K148" s="30" t="str">
        <x:v>OCT-BIO-104-024</x:v>
      </x:c>
      <x:c r="L148" s="87" t="str">
        <x:v>CROP_VERIFIED</x:v>
      </x:c>
      <x:c r="M148" s="87" t="str">
        <x:v>ORIGINAL_PACKAGE</x:v>
      </x:c>
      <x:c r="N148" s="87"/>
      <x:c r="O148" s="87"/>
      <x:c r="P148" s="87" t="str">
        <x:v>63bbe628548a8309529edb0bcb4ec13e52708597d78560e0304a001e8725403f</x:v>
      </x:c>
      <x:c r="Q148" s="30" t="str">
        <x:v>incoming/raw/recovery-drop-03/statgrad_v0_73_bio_oct_full_package.zip!/bio_oct_visual_assets_v073_persisted.zip!/bio_oct_assets_work/full/VIS-BIO-OCT-048_full.jpg</x:v>
      </x:c>
      <x:c r="R148" s="30" t="str">
        <x:v>MATCHED_ASSET | BENIGN_COMPLEMENTARY</x:v>
      </x:c>
      <x:c r="S148" t="e">
        <x:f>HYPERLINK("visual_gallery/index.html#"&amp;A148,"Галерея")</x:f>
      </x:c>
    </x:row>
    <x:row r="149">
      <x:c r="A149" s="87" t="str">
        <x:v>VIS-BIO-OCT-049</x:v>
      </x:c>
      <x:c r="B149" s="30" t="str">
        <x:v>Биология</x:v>
      </x:c>
      <x:c r="C149" s="30" t="str">
        <x:v>БИ2510104: полная страница 28</x:v>
      </x:c>
      <x:c r="D149" s="30" t="str">
        <x:v>БИ2510104</x:v>
      </x:c>
      <x:c r="E149" s="87"/>
      <x:c r="F149" s="30" t="str">
        <x:v>tasks_a.pdf</x:v>
      </x:c>
      <x:c r="G149" s="87" t="str">
        <x:v>28</x:v>
      </x:c>
      <x:c r="H149" s="87" t="str">
        <x:v>v0.81</x:v>
      </x:c>
      <x:c r="I149" s="87" t="str">
        <x:v>1</x:v>
      </x:c>
      <x:c r="J149" s="30" t="str">
        <x:v>VIS_ID</x:v>
      </x:c>
      <x:c r="K149" s="30" t="str">
        <x:v>OCT-BIO-104-028</x:v>
      </x:c>
      <x:c r="L149" s="87" t="str">
        <x:v>CROP_VERIFIED</x:v>
      </x:c>
      <x:c r="M149" s="87" t="str">
        <x:v>ORIGINAL_PACKAGE</x:v>
      </x:c>
      <x:c r="N149" s="87"/>
      <x:c r="O149" s="87"/>
      <x:c r="P149" s="87" t="str">
        <x:v>8865d13a68ead433e530bc9c9ea0f9c133d33f66b03f68c088a92b255a8cf76a</x:v>
      </x:c>
      <x:c r="Q149" s="30" t="str">
        <x:v>incoming/raw/recovery-drop-03/statgrad_v0_73_bio_oct_full_package.zip!/bio_oct_visual_assets_v073_persisted.zip!/bio_oct_assets_work/full/VIS-BIO-OCT-049_full.jpg</x:v>
      </x:c>
      <x:c r="R149" s="30" t="str">
        <x:v>MATCHED_ASSET | BENIGN_COMPLEMENTARY</x:v>
      </x:c>
      <x:c r="S149" t="e">
        <x:f>HYPERLINK("visual_gallery/index.html#"&amp;A149,"Галерея")</x:f>
      </x:c>
    </x:row>
    <x:row r="150">
      <x:c r="A150" s="87" t="str">
        <x:v>VIS-CHEM-NOV-001</x:v>
      </x:c>
      <x:c r="B150" s="30" t="str">
        <x:v>Химия</x:v>
      </x:c>
      <x:c r="C150" s="30" t="str">
        <x:v>ХИ2510201: полная страница 2 с заданиями 1, 2, 3</x:v>
      </x:c>
      <x:c r="D150" s="30" t="str">
        <x:v>ХИ2510201</x:v>
      </x:c>
      <x:c r="E150" s="87"/>
      <x:c r="F150" s="30" t="str">
        <x:v>Zadanie_KhI11_06112025.pdf</x:v>
      </x:c>
      <x:c r="G150" s="87" t="str">
        <x:v>2</x:v>
      </x:c>
      <x:c r="H150" s="87" t="str">
        <x:v>v0.81</x:v>
      </x:c>
      <x:c r="I150" s="87" t="str">
        <x:v>3</x:v>
      </x:c>
      <x:c r="J150" s="30" t="str">
        <x:v>VIS_ID</x:v>
      </x:c>
      <x:c r="K150" s="30" t="str">
        <x:v>NOV-CHEM-V1-001, NOV-CHEM-V1-002, NOV-CHEM-V1-003</x:v>
      </x:c>
      <x:c r="L150" s="87" t="str">
        <x:v>CROP_VERIFIED</x:v>
      </x:c>
      <x:c r="M150" s="87" t="str">
        <x:v>ORIGINAL_PACKAGE</x:v>
      </x:c>
      <x:c r="N150" s="87"/>
      <x:c r="O150" s="87"/>
      <x:c r="P150" s="87" t="str">
        <x:v>b6bf50bdea04451e49d32790f6b826db6b55da2dbf2f72edb54975a82c4fce1e</x:v>
      </x:c>
      <x:c r="Q150" s="30" t="str">
        <x:v>incoming/raw/recovery-drop-01/statgrad_clean_branch_v0_01_bundle.zip!/november_visual_package_v082.zip!/november_visual_package_v082/chem_nov_visual_assets_v079.zip!/chem_nov_visual_assets_v079/full/VIS-CHEM-NOV-001_full.jpg</x:v>
      </x:c>
      <x:c r="R150" s="30" t="str">
        <x:v>MATCHED_ASSET</x:v>
      </x:c>
      <x:c r="S150" t="e">
        <x:f>HYPERLINK("visual_gallery/index.html#"&amp;A150,"Галерея")</x:f>
      </x:c>
    </x:row>
    <x:row r="151">
      <x:c r="A151" s="87" t="str">
        <x:v>VIS-CHEM-NOV-002</x:v>
      </x:c>
      <x:c r="B151" s="30" t="str">
        <x:v>Химия</x:v>
      </x:c>
      <x:c r="C151" s="30" t="str">
        <x:v>ХИ2510201: полная страница 3 с заданиями 4, 5</x:v>
      </x:c>
      <x:c r="D151" s="30" t="str">
        <x:v>ХИ2510201</x:v>
      </x:c>
      <x:c r="E151" s="87"/>
      <x:c r="F151" s="30" t="str">
        <x:v>Zadanie_KhI11_06112025.pdf</x:v>
      </x:c>
      <x:c r="G151" s="87" t="str">
        <x:v>3</x:v>
      </x:c>
      <x:c r="H151" s="87" t="str">
        <x:v>v0.81</x:v>
      </x:c>
      <x:c r="I151" s="87" t="str">
        <x:v>2</x:v>
      </x:c>
      <x:c r="J151" s="30" t="str">
        <x:v>VIS_ID</x:v>
      </x:c>
      <x:c r="K151" s="30" t="str">
        <x:v>NOV-CHEM-V1-004, NOV-CHEM-V1-005</x:v>
      </x:c>
      <x:c r="L151" s="87" t="str">
        <x:v>CROP_VERIFIED</x:v>
      </x:c>
      <x:c r="M151" s="87" t="str">
        <x:v>ORIGINAL_PACKAGE</x:v>
      </x:c>
      <x:c r="N151" s="87"/>
      <x:c r="O151" s="87"/>
      <x:c r="P151" s="87" t="str">
        <x:v>2f227f496cf0be0c1a8fc6729b2de2acb64849cada8f292699ffe5cef0958aaf</x:v>
      </x:c>
      <x:c r="Q151" s="30" t="str">
        <x:v>incoming/raw/recovery-drop-01/statgrad_clean_branch_v0_01_bundle.zip!/november_visual_package_v082.zip!/november_visual_package_v082/chem_nov_visual_assets_v079.zip!/chem_nov_visual_assets_v079/full/VIS-CHEM-NOV-002_full.jpg</x:v>
      </x:c>
      <x:c r="R151" s="30" t="str">
        <x:v>MATCHED_ASSET</x:v>
      </x:c>
      <x:c r="S151" t="e">
        <x:f>HYPERLINK("visual_gallery/index.html#"&amp;A151,"Галерея")</x:f>
      </x:c>
    </x:row>
    <x:row r="152">
      <x:c r="A152" s="87" t="str">
        <x:v>VIS-CHEM-NOV-003</x:v>
      </x:c>
      <x:c r="B152" s="30" t="str">
        <x:v>Химия</x:v>
      </x:c>
      <x:c r="C152" s="30" t="str">
        <x:v>ХИ2510201: полная страница 4 с заданиями 6, 7</x:v>
      </x:c>
      <x:c r="D152" s="30" t="str">
        <x:v>ХИ2510201</x:v>
      </x:c>
      <x:c r="E152" s="87"/>
      <x:c r="F152" s="30" t="str">
        <x:v>Zadanie_KhI11_06112025.pdf</x:v>
      </x:c>
      <x:c r="G152" s="87" t="str">
        <x:v>4</x:v>
      </x:c>
      <x:c r="H152" s="87" t="str">
        <x:v>v0.81</x:v>
      </x:c>
      <x:c r="I152" s="87" t="str">
        <x:v>2</x:v>
      </x:c>
      <x:c r="J152" s="30" t="str">
        <x:v>VIS_ID</x:v>
      </x:c>
      <x:c r="K152" s="30" t="str">
        <x:v>NOV-CHEM-V1-006, NOV-CHEM-V1-007</x:v>
      </x:c>
      <x:c r="L152" s="87" t="str">
        <x:v>CROP_VERIFIED</x:v>
      </x:c>
      <x:c r="M152" s="87" t="str">
        <x:v>ORIGINAL_PACKAGE</x:v>
      </x:c>
      <x:c r="N152" s="87"/>
      <x:c r="O152" s="87"/>
      <x:c r="P152" s="87" t="str">
        <x:v>8bc5c39b692fbbd48f2780c97ef62f401af1d054113a69cc09a29d10eb7e3ccd</x:v>
      </x:c>
      <x:c r="Q152" s="30" t="str">
        <x:v>incoming/raw/recovery-drop-01/statgrad_clean_branch_v0_01_bundle.zip!/november_visual_package_v082.zip!/november_visual_package_v082/chem_nov_visual_assets_v079.zip!/chem_nov_visual_assets_v079/full/VIS-CHEM-NOV-003_full.jpg</x:v>
      </x:c>
      <x:c r="R152" s="30" t="str">
        <x:v>MATCHED_ASSET</x:v>
      </x:c>
      <x:c r="S152" t="e">
        <x:f>HYPERLINK("visual_gallery/index.html#"&amp;A152,"Галерея")</x:f>
      </x:c>
    </x:row>
    <x:row r="153">
      <x:c r="A153" s="87" t="str">
        <x:v>VIS-CHEM-NOV-004</x:v>
      </x:c>
      <x:c r="B153" s="30" t="str">
        <x:v>Химия</x:v>
      </x:c>
      <x:c r="C153" s="30" t="str">
        <x:v>ХИ2510201: полная страница 5 с заданиями 8, 9</x:v>
      </x:c>
      <x:c r="D153" s="30" t="str">
        <x:v>ХИ2510201</x:v>
      </x:c>
      <x:c r="E153" s="87"/>
      <x:c r="F153" s="30" t="str">
        <x:v>Zadanie_KhI11_06112025.pdf</x:v>
      </x:c>
      <x:c r="G153" s="87" t="str">
        <x:v>5</x:v>
      </x:c>
      <x:c r="H153" s="87" t="str">
        <x:v>v0.81</x:v>
      </x:c>
      <x:c r="I153" s="87" t="str">
        <x:v>2</x:v>
      </x:c>
      <x:c r="J153" s="30" t="str">
        <x:v>VIS_ID</x:v>
      </x:c>
      <x:c r="K153" s="30" t="str">
        <x:v>NOV-CHEM-V1-008, NOV-CHEM-V1-009</x:v>
      </x:c>
      <x:c r="L153" s="87" t="str">
        <x:v>CROP_VERIFIED</x:v>
      </x:c>
      <x:c r="M153" s="87" t="str">
        <x:v>ORIGINAL_PACKAGE</x:v>
      </x:c>
      <x:c r="N153" s="87"/>
      <x:c r="O153" s="87"/>
      <x:c r="P153" s="87" t="str">
        <x:v>ad65f9432af157a385ab872434289f720434ddb26dd9661f1f939d71a153b605</x:v>
      </x:c>
      <x:c r="Q153" s="30" t="str">
        <x:v>incoming/raw/recovery-drop-01/statgrad_clean_branch_v0_01_bundle.zip!/november_visual_package_v082.zip!/november_visual_package_v082/chem_nov_visual_assets_v079.zip!/chem_nov_visual_assets_v079/full/VIS-CHEM-NOV-004_full.jpg</x:v>
      </x:c>
      <x:c r="R153" s="30" t="str">
        <x:v>MATCHED_ASSET</x:v>
      </x:c>
      <x:c r="S153" t="e">
        <x:f>HYPERLINK("visual_gallery/index.html#"&amp;A153,"Галерея")</x:f>
      </x:c>
    </x:row>
    <x:row r="154">
      <x:c r="A154" s="87" t="str">
        <x:v>VIS-CHEM-NOV-005</x:v>
      </x:c>
      <x:c r="B154" s="30" t="str">
        <x:v>Химия</x:v>
      </x:c>
      <x:c r="C154" s="30" t="str">
        <x:v>ХИ2510201: полная страница 6 с заданиями 10, 11, 12</x:v>
      </x:c>
      <x:c r="D154" s="30" t="str">
        <x:v>ХИ2510201</x:v>
      </x:c>
      <x:c r="E154" s="87"/>
      <x:c r="F154" s="30" t="str">
        <x:v>Zadanie_KhI11_06112025.pdf</x:v>
      </x:c>
      <x:c r="G154" s="87" t="str">
        <x:v>6</x:v>
      </x:c>
      <x:c r="H154" s="87" t="str">
        <x:v>v0.81</x:v>
      </x:c>
      <x:c r="I154" s="87" t="str">
        <x:v>3</x:v>
      </x:c>
      <x:c r="J154" s="30" t="str">
        <x:v>VIS_ID</x:v>
      </x:c>
      <x:c r="K154" s="30" t="str">
        <x:v>NOV-CHEM-V1-010, NOV-CHEM-V1-011, NOV-CHEM-V1-012</x:v>
      </x:c>
      <x:c r="L154" s="87" t="str">
        <x:v>CROP_VERIFIED</x:v>
      </x:c>
      <x:c r="M154" s="87" t="str">
        <x:v>ORIGINAL_PACKAGE</x:v>
      </x:c>
      <x:c r="N154" s="87"/>
      <x:c r="O154" s="87"/>
      <x:c r="P154" s="87" t="str">
        <x:v>1ed3eda5cc2ba0eda4945642328e5a98ff13dd7ac4b711e8f07d0338d9f35e2d</x:v>
      </x:c>
      <x:c r="Q154" s="30" t="str">
        <x:v>incoming/raw/recovery-drop-01/statgrad_clean_branch_v0_01_bundle.zip!/november_visual_package_v082.zip!/november_visual_package_v082/chem_nov_visual_assets_v079.zip!/chem_nov_visual_assets_v079/full/VIS-CHEM-NOV-005_full.jpg</x:v>
      </x:c>
      <x:c r="R154" s="30" t="str">
        <x:v>MATCHED_ASSET</x:v>
      </x:c>
      <x:c r="S154" t="e">
        <x:f>HYPERLINK("visual_gallery/index.html#"&amp;A154,"Галерея")</x:f>
      </x:c>
    </x:row>
    <x:row r="155">
      <x:c r="A155" s="87" t="str">
        <x:v>VIS-CHEM-NOV-006</x:v>
      </x:c>
      <x:c r="B155" s="30" t="str">
        <x:v>Химия</x:v>
      </x:c>
      <x:c r="C155" s="30" t="str">
        <x:v>ХИ2510201: полная страница 7 с заданиями 13, 14</x:v>
      </x:c>
      <x:c r="D155" s="30" t="str">
        <x:v>ХИ2510201</x:v>
      </x:c>
      <x:c r="E155" s="87"/>
      <x:c r="F155" s="30" t="str">
        <x:v>Zadanie_KhI11_06112025.pdf</x:v>
      </x:c>
      <x:c r="G155" s="87" t="str">
        <x:v>7</x:v>
      </x:c>
      <x:c r="H155" s="87" t="str">
        <x:v>v0.81</x:v>
      </x:c>
      <x:c r="I155" s="87" t="str">
        <x:v>2</x:v>
      </x:c>
      <x:c r="J155" s="30" t="str">
        <x:v>VIS_ID</x:v>
      </x:c>
      <x:c r="K155" s="30" t="str">
        <x:v>NOV-CHEM-V1-013, NOV-CHEM-V1-014</x:v>
      </x:c>
      <x:c r="L155" s="87" t="str">
        <x:v>CROP_VERIFIED</x:v>
      </x:c>
      <x:c r="M155" s="87" t="str">
        <x:v>ORIGINAL_PACKAGE</x:v>
      </x:c>
      <x:c r="N155" s="87"/>
      <x:c r="O155" s="87"/>
      <x:c r="P155" s="87" t="str">
        <x:v>e45cc0835f3c286459053ab40488639c31f112868ecdde290f513b820bf6f063</x:v>
      </x:c>
      <x:c r="Q155" s="30" t="str">
        <x:v>incoming/raw/recovery-drop-01/statgrad_clean_branch_v0_01_bundle.zip!/november_visual_package_v082.zip!/november_visual_package_v082/chem_nov_visual_assets_v079.zip!/chem_nov_visual_assets_v079/full/VIS-CHEM-NOV-006_full.jpg</x:v>
      </x:c>
      <x:c r="R155" s="30" t="str">
        <x:v>MATCHED_ASSET</x:v>
      </x:c>
      <x:c r="S155" t="e">
        <x:f>HYPERLINK("visual_gallery/index.html#"&amp;A155,"Галерея")</x:f>
      </x:c>
    </x:row>
    <x:row r="156">
      <x:c r="A156" s="87" t="str">
        <x:v>VIS-CHEM-NOV-007</x:v>
      </x:c>
      <x:c r="B156" s="30" t="str">
        <x:v>Химия</x:v>
      </x:c>
      <x:c r="C156" s="30" t="str">
        <x:v>ХИ2510201: полная страница 8 с заданиями 15, 16</x:v>
      </x:c>
      <x:c r="D156" s="30" t="str">
        <x:v>ХИ2510201</x:v>
      </x:c>
      <x:c r="E156" s="87"/>
      <x:c r="F156" s="30" t="str">
        <x:v>Zadanie_KhI11_06112025.pdf</x:v>
      </x:c>
      <x:c r="G156" s="87" t="str">
        <x:v>8</x:v>
      </x:c>
      <x:c r="H156" s="87" t="str">
        <x:v>v0.81</x:v>
      </x:c>
      <x:c r="I156" s="87" t="str">
        <x:v>2</x:v>
      </x:c>
      <x:c r="J156" s="30" t="str">
        <x:v>VIS_ID</x:v>
      </x:c>
      <x:c r="K156" s="30" t="str">
        <x:v>NOV-CHEM-V1-015, NOV-CHEM-V1-016</x:v>
      </x:c>
      <x:c r="L156" s="87" t="str">
        <x:v>CROP_VERIFIED</x:v>
      </x:c>
      <x:c r="M156" s="87" t="str">
        <x:v>ORIGINAL_PACKAGE</x:v>
      </x:c>
      <x:c r="N156" s="87"/>
      <x:c r="O156" s="87"/>
      <x:c r="P156" s="87" t="str">
        <x:v>3ad61e52142cc4b66273b9be3f64d813c92ce6cca98aabfc455addcd8843bf78</x:v>
      </x:c>
      <x:c r="Q156" s="30" t="str">
        <x:v>incoming/raw/recovery-drop-01/statgrad_clean_branch_v0_01_bundle.zip!/november_visual_package_v082.zip!/november_visual_package_v082/chem_nov_visual_assets_v079.zip!/chem_nov_visual_assets_v079/full/VIS-CHEM-NOV-007_full.jpg</x:v>
      </x:c>
      <x:c r="R156" s="30" t="str">
        <x:v>MATCHED_ASSET</x:v>
      </x:c>
      <x:c r="S156" t="e">
        <x:f>HYPERLINK("visual_gallery/index.html#"&amp;A156,"Галерея")</x:f>
      </x:c>
    </x:row>
    <x:row r="157">
      <x:c r="A157" s="87" t="str">
        <x:v>VIS-CHEM-NOV-008</x:v>
      </x:c>
      <x:c r="B157" s="30" t="str">
        <x:v>Химия</x:v>
      </x:c>
      <x:c r="C157" s="30" t="str">
        <x:v>ХИ2510201: полная страница 9 с заданиями 17, 18</x:v>
      </x:c>
      <x:c r="D157" s="30" t="str">
        <x:v>ХИ2510201</x:v>
      </x:c>
      <x:c r="E157" s="87"/>
      <x:c r="F157" s="30" t="str">
        <x:v>Zadanie_KhI11_06112025.pdf</x:v>
      </x:c>
      <x:c r="G157" s="87" t="str">
        <x:v>9</x:v>
      </x:c>
      <x:c r="H157" s="87" t="str">
        <x:v>v0.81</x:v>
      </x:c>
      <x:c r="I157" s="87" t="str">
        <x:v>2</x:v>
      </x:c>
      <x:c r="J157" s="30" t="str">
        <x:v>VIS_ID</x:v>
      </x:c>
      <x:c r="K157" s="30" t="str">
        <x:v>NOV-CHEM-V1-017, NOV-CHEM-V1-018</x:v>
      </x:c>
      <x:c r="L157" s="87" t="str">
        <x:v>CROP_VERIFIED</x:v>
      </x:c>
      <x:c r="M157" s="87" t="str">
        <x:v>ORIGINAL_PACKAGE</x:v>
      </x:c>
      <x:c r="N157" s="87"/>
      <x:c r="O157" s="87"/>
      <x:c r="P157" s="87" t="str">
        <x:v>d8eb42e599702b6a57055701ff8701cf8826c5257d7b08a6078d2795410e97d2</x:v>
      </x:c>
      <x:c r="Q157" s="30" t="str">
        <x:v>incoming/raw/recovery-drop-01/statgrad_clean_branch_v0_01_bundle.zip!/november_visual_package_v082.zip!/november_visual_package_v082/chem_nov_visual_assets_v079.zip!/chem_nov_visual_assets_v079/full/VIS-CHEM-NOV-008_full.jpg</x:v>
      </x:c>
      <x:c r="R157" s="30" t="str">
        <x:v>MATCHED_ASSET</x:v>
      </x:c>
      <x:c r="S157" t="e">
        <x:f>HYPERLINK("visual_gallery/index.html#"&amp;A157,"Галерея")</x:f>
      </x:c>
    </x:row>
    <x:row r="158">
      <x:c r="A158" s="87" t="str">
        <x:v>VIS-CHEM-NOV-009</x:v>
      </x:c>
      <x:c r="B158" s="30" t="str">
        <x:v>Химия</x:v>
      </x:c>
      <x:c r="C158" s="30" t="str">
        <x:v>ХИ2510201: полная страница 10 с заданиями 19, 20</x:v>
      </x:c>
      <x:c r="D158" s="30" t="str">
        <x:v>ХИ2510201</x:v>
      </x:c>
      <x:c r="E158" s="87"/>
      <x:c r="F158" s="30" t="str">
        <x:v>Zadanie_KhI11_06112025.pdf</x:v>
      </x:c>
      <x:c r="G158" s="87" t="str">
        <x:v>10</x:v>
      </x:c>
      <x:c r="H158" s="87" t="str">
        <x:v>v0.81</x:v>
      </x:c>
      <x:c r="I158" s="87" t="str">
        <x:v>2</x:v>
      </x:c>
      <x:c r="J158" s="30" t="str">
        <x:v>VIS_ID</x:v>
      </x:c>
      <x:c r="K158" s="30" t="str">
        <x:v>NOV-CHEM-V1-019, NOV-CHEM-V1-020</x:v>
      </x:c>
      <x:c r="L158" s="87" t="str">
        <x:v>CROP_VERIFIED</x:v>
      </x:c>
      <x:c r="M158" s="87" t="str">
        <x:v>ORIGINAL_PACKAGE</x:v>
      </x:c>
      <x:c r="N158" s="87"/>
      <x:c r="O158" s="87"/>
      <x:c r="P158" s="87" t="str">
        <x:v>edf3e0215ed7f8006bd7b0885ebe62e99b38de7d855b842e0473346e3214d6ca</x:v>
      </x:c>
      <x:c r="Q158" s="30" t="str">
        <x:v>incoming/raw/recovery-drop-01/statgrad_clean_branch_v0_01_bundle.zip!/november_visual_package_v082.zip!/november_visual_package_v082/chem_nov_visual_assets_v079.zip!/chem_nov_visual_assets_v079/full/VIS-CHEM-NOV-009_full.jpg</x:v>
      </x:c>
      <x:c r="R158" s="30" t="str">
        <x:v>MATCHED_ASSET</x:v>
      </x:c>
      <x:c r="S158" t="e">
        <x:f>HYPERLINK("visual_gallery/index.html#"&amp;A158,"Галерея")</x:f>
      </x:c>
    </x:row>
    <x:row r="159">
      <x:c r="A159" s="87" t="str">
        <x:v>VIS-CHEM-NOV-010</x:v>
      </x:c>
      <x:c r="B159" s="30" t="str">
        <x:v>Химия</x:v>
      </x:c>
      <x:c r="C159" s="30" t="str">
        <x:v>ХИ2510201: полная страница 11 с заданиями 21</x:v>
      </x:c>
      <x:c r="D159" s="30" t="str">
        <x:v>ХИ2510201</x:v>
      </x:c>
      <x:c r="E159" s="87"/>
      <x:c r="F159" s="30" t="str">
        <x:v>Zadanie_KhI11_06112025.pdf</x:v>
      </x:c>
      <x:c r="G159" s="87" t="str">
        <x:v>11</x:v>
      </x:c>
      <x:c r="H159" s="87" t="str">
        <x:v>v0.81</x:v>
      </x:c>
      <x:c r="I159" s="87" t="str">
        <x:v>1</x:v>
      </x:c>
      <x:c r="J159" s="30" t="str">
        <x:v>VIS_ID</x:v>
      </x:c>
      <x:c r="K159" s="30" t="str">
        <x:v>NOV-CHEM-V1-021</x:v>
      </x:c>
      <x:c r="L159" s="87" t="str">
        <x:v>CROP_VERIFIED</x:v>
      </x:c>
      <x:c r="M159" s="87" t="str">
        <x:v>ORIGINAL_PACKAGE</x:v>
      </x:c>
      <x:c r="N159" s="87"/>
      <x:c r="O159" s="87"/>
      <x:c r="P159" s="87" t="str">
        <x:v>3ad8de2cc9ce3f2f34b3fb15124ab8f5130661809f535d1e5dca65994acc0f02</x:v>
      </x:c>
      <x:c r="Q159" s="30" t="str">
        <x:v>incoming/raw/recovery-drop-01/statgrad_clean_branch_v0_01_bundle.zip!/november_visual_package_v082.zip!/november_visual_package_v082/chem_nov_visual_assets_v079.zip!/chem_nov_visual_assets_v079/full/VIS-CHEM-NOV-010_full.jpg</x:v>
      </x:c>
      <x:c r="R159" s="30" t="str">
        <x:v>MATCHED_ASSET</x:v>
      </x:c>
      <x:c r="S159" t="e">
        <x:f>HYPERLINK("visual_gallery/index.html#"&amp;A159,"Галерея")</x:f>
      </x:c>
    </x:row>
    <x:row r="160">
      <x:c r="A160" s="87" t="str">
        <x:v>VIS-CHEM-NOV-011</x:v>
      </x:c>
      <x:c r="B160" s="30" t="str">
        <x:v>Химия</x:v>
      </x:c>
      <x:c r="C160" s="30" t="str">
        <x:v>ХИ2510201: полная страница 12 с заданиями 22, 23</x:v>
      </x:c>
      <x:c r="D160" s="30" t="str">
        <x:v>ХИ2510201</x:v>
      </x:c>
      <x:c r="E160" s="87"/>
      <x:c r="F160" s="30" t="str">
        <x:v>Zadanie_KhI11_06112025.pdf</x:v>
      </x:c>
      <x:c r="G160" s="87" t="str">
        <x:v>12</x:v>
      </x:c>
      <x:c r="H160" s="87" t="str">
        <x:v>v0.81</x:v>
      </x:c>
      <x:c r="I160" s="87" t="str">
        <x:v>2</x:v>
      </x:c>
      <x:c r="J160" s="30" t="str">
        <x:v>VIS_ID</x:v>
      </x:c>
      <x:c r="K160" s="30" t="str">
        <x:v>NOV-CHEM-V1-022, NOV-CHEM-V1-023</x:v>
      </x:c>
      <x:c r="L160" s="87" t="str">
        <x:v>CROP_VERIFIED</x:v>
      </x:c>
      <x:c r="M160" s="87" t="str">
        <x:v>ORIGINAL_PACKAGE</x:v>
      </x:c>
      <x:c r="N160" s="87"/>
      <x:c r="O160" s="87"/>
      <x:c r="P160" s="87" t="str">
        <x:v>4fc8c7427d72e9f5ae214f2b843557895ee27232880292681c3ff7bb35d8a77a</x:v>
      </x:c>
      <x:c r="Q160" s="30" t="str">
        <x:v>incoming/raw/recovery-drop-01/statgrad_clean_branch_v0_01_bundle.zip!/november_visual_package_v082.zip!/november_visual_package_v082/chem_nov_visual_assets_v079.zip!/chem_nov_visual_assets_v079/full/VIS-CHEM-NOV-011_full.jpg</x:v>
      </x:c>
      <x:c r="R160" s="30" t="str">
        <x:v>MATCHED_ASSET</x:v>
      </x:c>
      <x:c r="S160" t="e">
        <x:f>HYPERLINK("visual_gallery/index.html#"&amp;A160,"Галерея")</x:f>
      </x:c>
    </x:row>
    <x:row r="161">
      <x:c r="A161" s="87" t="str">
        <x:v>VIS-CHEM-NOV-012</x:v>
      </x:c>
      <x:c r="B161" s="30" t="str">
        <x:v>Химия</x:v>
      </x:c>
      <x:c r="C161" s="30" t="str">
        <x:v>ХИ2510201: полная страница 13 с заданиями 24, 25</x:v>
      </x:c>
      <x:c r="D161" s="30" t="str">
        <x:v>ХИ2510201</x:v>
      </x:c>
      <x:c r="E161" s="87"/>
      <x:c r="F161" s="30" t="str">
        <x:v>Zadanie_KhI11_06112025.pdf</x:v>
      </x:c>
      <x:c r="G161" s="87" t="str">
        <x:v>13</x:v>
      </x:c>
      <x:c r="H161" s="87" t="str">
        <x:v>v0.81</x:v>
      </x:c>
      <x:c r="I161" s="87" t="str">
        <x:v>2</x:v>
      </x:c>
      <x:c r="J161" s="30" t="str">
        <x:v>VIS_ID</x:v>
      </x:c>
      <x:c r="K161" s="30" t="str">
        <x:v>NOV-CHEM-V1-024, NOV-CHEM-V1-025</x:v>
      </x:c>
      <x:c r="L161" s="87" t="str">
        <x:v>CROP_VERIFIED</x:v>
      </x:c>
      <x:c r="M161" s="87" t="str">
        <x:v>ORIGINAL_PACKAGE</x:v>
      </x:c>
      <x:c r="N161" s="87"/>
      <x:c r="O161" s="87"/>
      <x:c r="P161" s="87" t="str">
        <x:v>bf5a7e68abd655401912cb8fbdaf58a08a9d0e426e8d073f5aec6355de59879c</x:v>
      </x:c>
      <x:c r="Q161" s="30" t="str">
        <x:v>incoming/raw/recovery-drop-01/statgrad_clean_branch_v0_01_bundle.zip!/november_visual_package_v082.zip!/november_visual_package_v082/chem_nov_visual_assets_v079.zip!/chem_nov_visual_assets_v079/full/VIS-CHEM-NOV-012_full.jpg</x:v>
      </x:c>
      <x:c r="R161" s="30" t="str">
        <x:v>MATCHED_ASSET</x:v>
      </x:c>
      <x:c r="S161" t="e">
        <x:f>HYPERLINK("visual_gallery/index.html#"&amp;A161,"Галерея")</x:f>
      </x:c>
    </x:row>
    <x:row r="162">
      <x:c r="A162" s="87" t="str">
        <x:v>VIS-CHEM-NOV-013</x:v>
      </x:c>
      <x:c r="B162" s="30" t="str">
        <x:v>Химия</x:v>
      </x:c>
      <x:c r="C162" s="30" t="str">
        <x:v>ХИ2510201: полная страница 14 с заданиями 26, 27, 28</x:v>
      </x:c>
      <x:c r="D162" s="30" t="str">
        <x:v>ХИ2510201</x:v>
      </x:c>
      <x:c r="E162" s="87"/>
      <x:c r="F162" s="30" t="str">
        <x:v>Zadanie_KhI11_06112025.pdf</x:v>
      </x:c>
      <x:c r="G162" s="87" t="str">
        <x:v>14</x:v>
      </x:c>
      <x:c r="H162" s="87" t="str">
        <x:v>v0.81</x:v>
      </x:c>
      <x:c r="I162" s="87" t="str">
        <x:v>3</x:v>
      </x:c>
      <x:c r="J162" s="30" t="str">
        <x:v>VIS_ID</x:v>
      </x:c>
      <x:c r="K162" s="30" t="str">
        <x:v>NOV-CHEM-V1-026, NOV-CHEM-V1-027, NOV-CHEM-V1-028</x:v>
      </x:c>
      <x:c r="L162" s="87" t="str">
        <x:v>CROP_VERIFIED</x:v>
      </x:c>
      <x:c r="M162" s="87" t="str">
        <x:v>ORIGINAL_PACKAGE</x:v>
      </x:c>
      <x:c r="N162" s="87"/>
      <x:c r="O162" s="87"/>
      <x:c r="P162" s="87" t="str">
        <x:v>de6c2f6c49ef7a7668d106def4461db3f13b3d4fa97c956892ee9b8f63877196</x:v>
      </x:c>
      <x:c r="Q162" s="30" t="str">
        <x:v>incoming/raw/recovery-drop-01/statgrad_clean_branch_v0_01_bundle.zip!/november_visual_package_v082.zip!/november_visual_package_v082/chem_nov_visual_assets_v079.zip!/chem_nov_visual_assets_v079/full/VIS-CHEM-NOV-013_full.jpg</x:v>
      </x:c>
      <x:c r="R162" s="30" t="str">
        <x:v>MATCHED_ASSET</x:v>
      </x:c>
      <x:c r="S162" t="e">
        <x:f>HYPERLINK("visual_gallery/index.html#"&amp;A162,"Галерея")</x:f>
      </x:c>
    </x:row>
    <x:row r="163">
      <x:c r="A163" s="87" t="str">
        <x:v>VIS-CHEM-NOV-014</x:v>
      </x:c>
      <x:c r="B163" s="30" t="str">
        <x:v>Химия</x:v>
      </x:c>
      <x:c r="C163" s="30" t="str">
        <x:v>ХИ2510201: полная страница 15 с заданиями 29, 30, 31, 32</x:v>
      </x:c>
      <x:c r="D163" s="30" t="str">
        <x:v>ХИ2510201</x:v>
      </x:c>
      <x:c r="E163" s="87"/>
      <x:c r="F163" s="30" t="str">
        <x:v>Zadanie_KhI11_06112025.pdf</x:v>
      </x:c>
      <x:c r="G163" s="87" t="str">
        <x:v>15</x:v>
      </x:c>
      <x:c r="H163" s="87" t="str">
        <x:v>v0.81</x:v>
      </x:c>
      <x:c r="I163" s="87" t="str">
        <x:v>4</x:v>
      </x:c>
      <x:c r="J163" s="30" t="str">
        <x:v>VIS_ID</x:v>
      </x:c>
      <x:c r="K163" s="30" t="str">
        <x:v>NOV-CHEM-V1-029, NOV-CHEM-V1-030, NOV-CHEM-V1-031, NOV-CHEM-V1-032</x:v>
      </x:c>
      <x:c r="L163" s="87" t="str">
        <x:v>CROP_VERIFIED</x:v>
      </x:c>
      <x:c r="M163" s="87" t="str">
        <x:v>ORIGINAL_PACKAGE</x:v>
      </x:c>
      <x:c r="N163" s="87"/>
      <x:c r="O163" s="87"/>
      <x:c r="P163" s="87" t="str">
        <x:v>82dcae1d0ad064caf993d736f3d5731c3b289d6e6d85f798bbe2de84c0312dcc</x:v>
      </x:c>
      <x:c r="Q163" s="30" t="str">
        <x:v>incoming/raw/recovery-drop-01/statgrad_clean_branch_v0_01_bundle.zip!/november_visual_package_v082.zip!/november_visual_package_v082/chem_nov_visual_assets_v079.zip!/chem_nov_visual_assets_v079/full/VIS-CHEM-NOV-014_full.jpg</x:v>
      </x:c>
      <x:c r="R163" s="30" t="str">
        <x:v>MATCHED_ASSET</x:v>
      </x:c>
      <x:c r="S163" t="e">
        <x:f>HYPERLINK("visual_gallery/index.html#"&amp;A163,"Галерея")</x:f>
      </x:c>
    </x:row>
    <x:row r="164">
      <x:c r="A164" s="87" t="str">
        <x:v>VIS-CHEM-NOV-015</x:v>
      </x:c>
      <x:c r="B164" s="30" t="str">
        <x:v>Химия</x:v>
      </x:c>
      <x:c r="C164" s="30" t="str">
        <x:v>ХИ2510201: полная страница 16 с заданиями 33, 34</x:v>
      </x:c>
      <x:c r="D164" s="30" t="str">
        <x:v>ХИ2510201</x:v>
      </x:c>
      <x:c r="E164" s="87"/>
      <x:c r="F164" s="30" t="str">
        <x:v>Zadanie_KhI11_06112025.pdf</x:v>
      </x:c>
      <x:c r="G164" s="87" t="str">
        <x:v>16</x:v>
      </x:c>
      <x:c r="H164" s="87" t="str">
        <x:v>v0.81</x:v>
      </x:c>
      <x:c r="I164" s="87" t="str">
        <x:v>2</x:v>
      </x:c>
      <x:c r="J164" s="30" t="str">
        <x:v>VIS_ID</x:v>
      </x:c>
      <x:c r="K164" s="30" t="str">
        <x:v>NOV-CHEM-V1-033, NOV-CHEM-V1-034</x:v>
      </x:c>
      <x:c r="L164" s="87" t="str">
        <x:v>CROP_VERIFIED</x:v>
      </x:c>
      <x:c r="M164" s="87" t="str">
        <x:v>ORIGINAL_PACKAGE</x:v>
      </x:c>
      <x:c r="N164" s="87"/>
      <x:c r="O164" s="87"/>
      <x:c r="P164" s="87" t="str">
        <x:v>0495f2cdf2b20b2b0df246c3e8873ab44f6b0974a2cdb60c6b8f47d6f7a52435</x:v>
      </x:c>
      <x:c r="Q164" s="30" t="str">
        <x:v>incoming/raw/recovery-drop-01/statgrad_clean_branch_v0_01_bundle.zip!/november_visual_package_v082.zip!/november_visual_package_v082/chem_nov_visual_assets_v079.zip!/chem_nov_visual_assets_v079/full/VIS-CHEM-NOV-015_full.jpg</x:v>
      </x:c>
      <x:c r="R164" s="30" t="str">
        <x:v>MATCHED_ASSET</x:v>
      </x:c>
      <x:c r="S164" t="e">
        <x:f>HYPERLINK("visual_gallery/index.html#"&amp;A164,"Галерея")</x:f>
      </x:c>
    </x:row>
    <x:row r="165">
      <x:c r="A165" s="87" t="str">
        <x:v>VIS-CHEM-NOV-016</x:v>
      </x:c>
      <x:c r="B165" s="30" t="str">
        <x:v>Химия</x:v>
      </x:c>
      <x:c r="C165" s="30" t="str">
        <x:v>ХИ2510202: полная страница 2 с заданиями 1, 2, 3</x:v>
      </x:c>
      <x:c r="D165" s="30" t="str">
        <x:v>ХИ2510202</x:v>
      </x:c>
      <x:c r="E165" s="87"/>
      <x:c r="F165" s="30" t="str">
        <x:v>Zadanie_KhI11_06112025.pdf</x:v>
      </x:c>
      <x:c r="G165" s="87" t="str">
        <x:v>18</x:v>
      </x:c>
      <x:c r="H165" s="87" t="str">
        <x:v>v0.81</x:v>
      </x:c>
      <x:c r="I165" s="87" t="str">
        <x:v>3</x:v>
      </x:c>
      <x:c r="J165" s="30" t="str">
        <x:v>VIS_ID</x:v>
      </x:c>
      <x:c r="K165" s="30" t="str">
        <x:v>NOV-CHEM-V2-001, NOV-CHEM-V2-002, NOV-CHEM-V2-003</x:v>
      </x:c>
      <x:c r="L165" s="87" t="str">
        <x:v>CROP_VERIFIED</x:v>
      </x:c>
      <x:c r="M165" s="87" t="str">
        <x:v>ORIGINAL_PACKAGE</x:v>
      </x:c>
      <x:c r="N165" s="87"/>
      <x:c r="O165" s="87"/>
      <x:c r="P165" s="87" t="str">
        <x:v>9f18658748a26d9741ee8f94f3d4be3933f9a571002f7baa47c6deffb2a07beb</x:v>
      </x:c>
      <x:c r="Q165" s="30" t="str">
        <x:v>incoming/raw/recovery-drop-01/statgrad_clean_branch_v0_01_bundle.zip!/november_visual_package_v082.zip!/november_visual_package_v082/chem_nov_visual_assets_v079.zip!/chem_nov_visual_assets_v079/full/VIS-CHEM-NOV-016_full.jpg</x:v>
      </x:c>
      <x:c r="R165" s="30" t="str">
        <x:v>MATCHED_ASSET</x:v>
      </x:c>
      <x:c r="S165" t="e">
        <x:f>HYPERLINK("visual_gallery/index.html#"&amp;A165,"Галерея")</x:f>
      </x:c>
    </x:row>
    <x:row r="166">
      <x:c r="A166" s="87" t="str">
        <x:v>VIS-CHEM-NOV-017</x:v>
      </x:c>
      <x:c r="B166" s="30" t="str">
        <x:v>Химия</x:v>
      </x:c>
      <x:c r="C166" s="30" t="str">
        <x:v>ХИ2510202: полная страница 3 с заданиями 4, 5</x:v>
      </x:c>
      <x:c r="D166" s="30" t="str">
        <x:v>ХИ2510202</x:v>
      </x:c>
      <x:c r="E166" s="87"/>
      <x:c r="F166" s="30" t="str">
        <x:v>Zadanie_KhI11_06112025.pdf</x:v>
      </x:c>
      <x:c r="G166" s="87" t="str">
        <x:v>19</x:v>
      </x:c>
      <x:c r="H166" s="87" t="str">
        <x:v>v0.81</x:v>
      </x:c>
      <x:c r="I166" s="87" t="str">
        <x:v>2</x:v>
      </x:c>
      <x:c r="J166" s="30" t="str">
        <x:v>VIS_ID</x:v>
      </x:c>
      <x:c r="K166" s="30" t="str">
        <x:v>NOV-CHEM-V2-004, NOV-CHEM-V2-005</x:v>
      </x:c>
      <x:c r="L166" s="87" t="str">
        <x:v>CROP_VERIFIED</x:v>
      </x:c>
      <x:c r="M166" s="87" t="str">
        <x:v>ORIGINAL_PACKAGE</x:v>
      </x:c>
      <x:c r="N166" s="87"/>
      <x:c r="O166" s="87"/>
      <x:c r="P166" s="87" t="str">
        <x:v>16b0faae8f368c15610594f1cdcdda89886b7500d5ddf5b465b154cad2e33662</x:v>
      </x:c>
      <x:c r="Q166" s="30" t="str">
        <x:v>incoming/raw/recovery-drop-01/statgrad_clean_branch_v0_01_bundle.zip!/november_visual_package_v082.zip!/november_visual_package_v082/chem_nov_visual_assets_v079.zip!/chem_nov_visual_assets_v079/full/VIS-CHEM-NOV-017_full.jpg</x:v>
      </x:c>
      <x:c r="R166" s="30" t="str">
        <x:v>MATCHED_ASSET</x:v>
      </x:c>
      <x:c r="S166" t="e">
        <x:f>HYPERLINK("visual_gallery/index.html#"&amp;A166,"Галерея")</x:f>
      </x:c>
    </x:row>
    <x:row r="167">
      <x:c r="A167" s="87" t="str">
        <x:v>VIS-CHEM-NOV-018</x:v>
      </x:c>
      <x:c r="B167" s="30" t="str">
        <x:v>Химия</x:v>
      </x:c>
      <x:c r="C167" s="30" t="str">
        <x:v>ХИ2510202: полная страница 4 с заданиями 6, 7</x:v>
      </x:c>
      <x:c r="D167" s="30" t="str">
        <x:v>ХИ2510202</x:v>
      </x:c>
      <x:c r="E167" s="87"/>
      <x:c r="F167" s="30" t="str">
        <x:v>Zadanie_KhI11_06112025.pdf</x:v>
      </x:c>
      <x:c r="G167" s="87" t="str">
        <x:v>20</x:v>
      </x:c>
      <x:c r="H167" s="87" t="str">
        <x:v>v0.81</x:v>
      </x:c>
      <x:c r="I167" s="87" t="str">
        <x:v>2</x:v>
      </x:c>
      <x:c r="J167" s="30" t="str">
        <x:v>VIS_ID</x:v>
      </x:c>
      <x:c r="K167" s="30" t="str">
        <x:v>NOV-CHEM-V2-006, NOV-CHEM-V2-007</x:v>
      </x:c>
      <x:c r="L167" s="87" t="str">
        <x:v>CROP_VERIFIED</x:v>
      </x:c>
      <x:c r="M167" s="87" t="str">
        <x:v>ORIGINAL_PACKAGE</x:v>
      </x:c>
      <x:c r="N167" s="87"/>
      <x:c r="O167" s="87"/>
      <x:c r="P167" s="87" t="str">
        <x:v>5fcddc3b32e2b1dbc578393ef50d2ebce11427cbde713c0bc6ac37d2f23a787b</x:v>
      </x:c>
      <x:c r="Q167" s="30" t="str">
        <x:v>incoming/raw/recovery-drop-01/statgrad_clean_branch_v0_01_bundle.zip!/november_visual_package_v082.zip!/november_visual_package_v082/chem_nov_visual_assets_v079.zip!/chem_nov_visual_assets_v079/full/VIS-CHEM-NOV-018_full.jpg</x:v>
      </x:c>
      <x:c r="R167" s="30" t="str">
        <x:v>MATCHED_ASSET</x:v>
      </x:c>
      <x:c r="S167" t="e">
        <x:f>HYPERLINK("visual_gallery/index.html#"&amp;A167,"Галерея")</x:f>
      </x:c>
    </x:row>
    <x:row r="168">
      <x:c r="A168" s="87" t="str">
        <x:v>VIS-CHEM-NOV-019</x:v>
      </x:c>
      <x:c r="B168" s="30" t="str">
        <x:v>Химия</x:v>
      </x:c>
      <x:c r="C168" s="30" t="str">
        <x:v>ХИ2510202: полная страница 5 с заданиями 8, 9</x:v>
      </x:c>
      <x:c r="D168" s="30" t="str">
        <x:v>ХИ2510202</x:v>
      </x:c>
      <x:c r="E168" s="87"/>
      <x:c r="F168" s="30" t="str">
        <x:v>Zadanie_KhI11_06112025.pdf</x:v>
      </x:c>
      <x:c r="G168" s="87" t="str">
        <x:v>21</x:v>
      </x:c>
      <x:c r="H168" s="87" t="str">
        <x:v>v0.81</x:v>
      </x:c>
      <x:c r="I168" s="87" t="str">
        <x:v>2</x:v>
      </x:c>
      <x:c r="J168" s="30" t="str">
        <x:v>VIS_ID</x:v>
      </x:c>
      <x:c r="K168" s="30" t="str">
        <x:v>NOV-CHEM-V2-008, NOV-CHEM-V2-009</x:v>
      </x:c>
      <x:c r="L168" s="87" t="str">
        <x:v>CROP_VERIFIED</x:v>
      </x:c>
      <x:c r="M168" s="87" t="str">
        <x:v>ORIGINAL_PACKAGE</x:v>
      </x:c>
      <x:c r="N168" s="87"/>
      <x:c r="O168" s="87"/>
      <x:c r="P168" s="87" t="str">
        <x:v>955789350baf38856b01235f0e2731ff3ffdeb6d13e047ff73463e9677031803</x:v>
      </x:c>
      <x:c r="Q168" s="30" t="str">
        <x:v>incoming/raw/recovery-drop-01/statgrad_clean_branch_v0_01_bundle.zip!/november_visual_package_v082.zip!/november_visual_package_v082/chem_nov_visual_assets_v079.zip!/chem_nov_visual_assets_v079/full/VIS-CHEM-NOV-019_full.jpg</x:v>
      </x:c>
      <x:c r="R168" s="30" t="str">
        <x:v>MATCHED_ASSET</x:v>
      </x:c>
      <x:c r="S168" t="e">
        <x:f>HYPERLINK("visual_gallery/index.html#"&amp;A168,"Галерея")</x:f>
      </x:c>
    </x:row>
    <x:row r="169">
      <x:c r="A169" s="87" t="str">
        <x:v>VIS-CHEM-NOV-020</x:v>
      </x:c>
      <x:c r="B169" s="30" t="str">
        <x:v>Химия</x:v>
      </x:c>
      <x:c r="C169" s="30" t="str">
        <x:v>ХИ2510202: полная страница 6 с заданиями 10, 11, 12</x:v>
      </x:c>
      <x:c r="D169" s="30" t="str">
        <x:v>ХИ2510202</x:v>
      </x:c>
      <x:c r="E169" s="87"/>
      <x:c r="F169" s="30" t="str">
        <x:v>Zadanie_KhI11_06112025.pdf</x:v>
      </x:c>
      <x:c r="G169" s="87" t="str">
        <x:v>22</x:v>
      </x:c>
      <x:c r="H169" s="87" t="str">
        <x:v>v0.81</x:v>
      </x:c>
      <x:c r="I169" s="87" t="str">
        <x:v>3</x:v>
      </x:c>
      <x:c r="J169" s="30" t="str">
        <x:v>VIS_ID</x:v>
      </x:c>
      <x:c r="K169" s="30" t="str">
        <x:v>NOV-CHEM-V2-010, NOV-CHEM-V2-011, NOV-CHEM-V2-012</x:v>
      </x:c>
      <x:c r="L169" s="87" t="str">
        <x:v>CROP_VERIFIED</x:v>
      </x:c>
      <x:c r="M169" s="87" t="str">
        <x:v>ORIGINAL_PACKAGE</x:v>
      </x:c>
      <x:c r="N169" s="87"/>
      <x:c r="O169" s="87"/>
      <x:c r="P169" s="87" t="str">
        <x:v>866b3be81949be1b695c617d05988fc19afb2347da068c74d667c71e528c136d</x:v>
      </x:c>
      <x:c r="Q169" s="30" t="str">
        <x:v>incoming/raw/recovery-drop-01/statgrad_clean_branch_v0_01_bundle.zip!/november_visual_package_v082.zip!/november_visual_package_v082/chem_nov_visual_assets_v079.zip!/chem_nov_visual_assets_v079/full/VIS-CHEM-NOV-020_full.jpg</x:v>
      </x:c>
      <x:c r="R169" s="30" t="str">
        <x:v>MATCHED_ASSET</x:v>
      </x:c>
      <x:c r="S169" t="e">
        <x:f>HYPERLINK("visual_gallery/index.html#"&amp;A169,"Галерея")</x:f>
      </x:c>
    </x:row>
    <x:row r="170">
      <x:c r="A170" s="87" t="str">
        <x:v>VIS-CHEM-NOV-021</x:v>
      </x:c>
      <x:c r="B170" s="30" t="str">
        <x:v>Химия</x:v>
      </x:c>
      <x:c r="C170" s="30" t="str">
        <x:v>ХИ2510202: полная страница 7 с заданиями 13, 14</x:v>
      </x:c>
      <x:c r="D170" s="30" t="str">
        <x:v>ХИ2510202</x:v>
      </x:c>
      <x:c r="E170" s="87"/>
      <x:c r="F170" s="30" t="str">
        <x:v>Zadanie_KhI11_06112025.pdf</x:v>
      </x:c>
      <x:c r="G170" s="87" t="str">
        <x:v>23</x:v>
      </x:c>
      <x:c r="H170" s="87" t="str">
        <x:v>v0.81</x:v>
      </x:c>
      <x:c r="I170" s="87" t="str">
        <x:v>2</x:v>
      </x:c>
      <x:c r="J170" s="30" t="str">
        <x:v>VIS_ID</x:v>
      </x:c>
      <x:c r="K170" s="30" t="str">
        <x:v>NOV-CHEM-V2-013, NOV-CHEM-V2-014</x:v>
      </x:c>
      <x:c r="L170" s="87" t="str">
        <x:v>CROP_VERIFIED</x:v>
      </x:c>
      <x:c r="M170" s="87" t="str">
        <x:v>ORIGINAL_PACKAGE</x:v>
      </x:c>
      <x:c r="N170" s="87"/>
      <x:c r="O170" s="87"/>
      <x:c r="P170" s="87" t="str">
        <x:v>d6cd040fffd69cff18cef7cbd68afd478fbb365cf429334771483d30efdcd219</x:v>
      </x:c>
      <x:c r="Q170" s="30" t="str">
        <x:v>incoming/raw/recovery-drop-01/statgrad_clean_branch_v0_01_bundle.zip!/november_visual_package_v082.zip!/november_visual_package_v082/chem_nov_visual_assets_v079.zip!/chem_nov_visual_assets_v079/full/VIS-CHEM-NOV-021_full.jpg</x:v>
      </x:c>
      <x:c r="R170" s="30" t="str">
        <x:v>MATCHED_ASSET</x:v>
      </x:c>
      <x:c r="S170" t="e">
        <x:f>HYPERLINK("visual_gallery/index.html#"&amp;A170,"Галерея")</x:f>
      </x:c>
    </x:row>
    <x:row r="171">
      <x:c r="A171" s="87" t="str">
        <x:v>VIS-CHEM-NOV-022</x:v>
      </x:c>
      <x:c r="B171" s="30" t="str">
        <x:v>Химия</x:v>
      </x:c>
      <x:c r="C171" s="30" t="str">
        <x:v>ХИ2510202: полная страница 8 с заданиями 15, 16</x:v>
      </x:c>
      <x:c r="D171" s="30" t="str">
        <x:v>ХИ2510202</x:v>
      </x:c>
      <x:c r="E171" s="87"/>
      <x:c r="F171" s="30" t="str">
        <x:v>Zadanie_KhI11_06112025.pdf</x:v>
      </x:c>
      <x:c r="G171" s="87" t="str">
        <x:v>24</x:v>
      </x:c>
      <x:c r="H171" s="87" t="str">
        <x:v>v0.81</x:v>
      </x:c>
      <x:c r="I171" s="87" t="str">
        <x:v>2</x:v>
      </x:c>
      <x:c r="J171" s="30" t="str">
        <x:v>VIS_ID</x:v>
      </x:c>
      <x:c r="K171" s="30" t="str">
        <x:v>NOV-CHEM-V2-015, NOV-CHEM-V2-016</x:v>
      </x:c>
      <x:c r="L171" s="87" t="str">
        <x:v>CROP_VERIFIED</x:v>
      </x:c>
      <x:c r="M171" s="87" t="str">
        <x:v>ORIGINAL_PACKAGE</x:v>
      </x:c>
      <x:c r="N171" s="87"/>
      <x:c r="O171" s="87"/>
      <x:c r="P171" s="87" t="str">
        <x:v>62ec2802269db9ecc0c8e0969c8629401115e92f3d92d093a21bc5c7a1971aad</x:v>
      </x:c>
      <x:c r="Q171" s="30" t="str">
        <x:v>incoming/raw/recovery-drop-01/statgrad_clean_branch_v0_01_bundle.zip!/november_visual_package_v082.zip!/november_visual_package_v082/chem_nov_visual_assets_v079.zip!/chem_nov_visual_assets_v079/full/VIS-CHEM-NOV-022_full.jpg</x:v>
      </x:c>
      <x:c r="R171" s="30" t="str">
        <x:v>MATCHED_ASSET</x:v>
      </x:c>
      <x:c r="S171" t="e">
        <x:f>HYPERLINK("visual_gallery/index.html#"&amp;A171,"Галерея")</x:f>
      </x:c>
    </x:row>
    <x:row r="172">
      <x:c r="A172" s="87" t="str">
        <x:v>VIS-CHEM-NOV-023</x:v>
      </x:c>
      <x:c r="B172" s="30" t="str">
        <x:v>Химия</x:v>
      </x:c>
      <x:c r="C172" s="30" t="str">
        <x:v>ХИ2510202: полная страница 9 с заданиями 17, 18</x:v>
      </x:c>
      <x:c r="D172" s="30" t="str">
        <x:v>ХИ2510202</x:v>
      </x:c>
      <x:c r="E172" s="87"/>
      <x:c r="F172" s="30" t="str">
        <x:v>Zadanie_KhI11_06112025.pdf</x:v>
      </x:c>
      <x:c r="G172" s="87" t="str">
        <x:v>25</x:v>
      </x:c>
      <x:c r="H172" s="87" t="str">
        <x:v>v0.81</x:v>
      </x:c>
      <x:c r="I172" s="87" t="str">
        <x:v>2</x:v>
      </x:c>
      <x:c r="J172" s="30" t="str">
        <x:v>VIS_ID</x:v>
      </x:c>
      <x:c r="K172" s="30" t="str">
        <x:v>NOV-CHEM-V2-017, NOV-CHEM-V2-018</x:v>
      </x:c>
      <x:c r="L172" s="87" t="str">
        <x:v>CROP_VERIFIED</x:v>
      </x:c>
      <x:c r="M172" s="87" t="str">
        <x:v>ORIGINAL_PACKAGE</x:v>
      </x:c>
      <x:c r="N172" s="87"/>
      <x:c r="O172" s="87"/>
      <x:c r="P172" s="87" t="str">
        <x:v>d07212e545d3744aebc7aa095befd1812e7c14208215d7a51890a91bc344e9c5</x:v>
      </x:c>
      <x:c r="Q172" s="30" t="str">
        <x:v>incoming/raw/recovery-drop-01/statgrad_clean_branch_v0_01_bundle.zip!/november_visual_package_v082.zip!/november_visual_package_v082/chem_nov_visual_assets_v079.zip!/chem_nov_visual_assets_v079/full/VIS-CHEM-NOV-023_full.jpg</x:v>
      </x:c>
      <x:c r="R172" s="30" t="str">
        <x:v>MATCHED_ASSET</x:v>
      </x:c>
      <x:c r="S172" t="e">
        <x:f>HYPERLINK("visual_gallery/index.html#"&amp;A172,"Галерея")</x:f>
      </x:c>
    </x:row>
    <x:row r="173">
      <x:c r="A173" s="87" t="str">
        <x:v>VIS-CHEM-NOV-024</x:v>
      </x:c>
      <x:c r="B173" s="30" t="str">
        <x:v>Химия</x:v>
      </x:c>
      <x:c r="C173" s="30" t="str">
        <x:v>ХИ2510202: полная страница 10 с заданиями 19, 20</x:v>
      </x:c>
      <x:c r="D173" s="30" t="str">
        <x:v>ХИ2510202</x:v>
      </x:c>
      <x:c r="E173" s="87"/>
      <x:c r="F173" s="30" t="str">
        <x:v>Zadanie_KhI11_06112025.pdf</x:v>
      </x:c>
      <x:c r="G173" s="87" t="str">
        <x:v>26</x:v>
      </x:c>
      <x:c r="H173" s="87" t="str">
        <x:v>v0.81</x:v>
      </x:c>
      <x:c r="I173" s="87" t="str">
        <x:v>2</x:v>
      </x:c>
      <x:c r="J173" s="30" t="str">
        <x:v>VIS_ID</x:v>
      </x:c>
      <x:c r="K173" s="30" t="str">
        <x:v>NOV-CHEM-V2-019, NOV-CHEM-V2-020</x:v>
      </x:c>
      <x:c r="L173" s="87" t="str">
        <x:v>CROP_VERIFIED</x:v>
      </x:c>
      <x:c r="M173" s="87" t="str">
        <x:v>ORIGINAL_PACKAGE</x:v>
      </x:c>
      <x:c r="N173" s="87"/>
      <x:c r="O173" s="87"/>
      <x:c r="P173" s="87" t="str">
        <x:v>6566b24effaa84687d7b2bf8407c1da3340624e1d6f5dae553b3f04346b2fcf4</x:v>
      </x:c>
      <x:c r="Q173" s="30" t="str">
        <x:v>incoming/raw/recovery-drop-01/statgrad_clean_branch_v0_01_bundle.zip!/november_visual_package_v082.zip!/november_visual_package_v082/chem_nov_visual_assets_v079.zip!/chem_nov_visual_assets_v079/full/VIS-CHEM-NOV-024_full.jpg</x:v>
      </x:c>
      <x:c r="R173" s="30" t="str">
        <x:v>MATCHED_ASSET</x:v>
      </x:c>
      <x:c r="S173" t="e">
        <x:f>HYPERLINK("visual_gallery/index.html#"&amp;A173,"Галерея")</x:f>
      </x:c>
    </x:row>
    <x:row r="174">
      <x:c r="A174" s="87" t="str">
        <x:v>VIS-CHEM-NOV-025</x:v>
      </x:c>
      <x:c r="B174" s="30" t="str">
        <x:v>Химия</x:v>
      </x:c>
      <x:c r="C174" s="30" t="str">
        <x:v>ХИ2510202: полная страница 11 с заданиями 21</x:v>
      </x:c>
      <x:c r="D174" s="30" t="str">
        <x:v>ХИ2510202</x:v>
      </x:c>
      <x:c r="E174" s="87"/>
      <x:c r="F174" s="30" t="str">
        <x:v>Zadanie_KhI11_06112025.pdf</x:v>
      </x:c>
      <x:c r="G174" s="87" t="str">
        <x:v>27</x:v>
      </x:c>
      <x:c r="H174" s="87" t="str">
        <x:v>v0.81</x:v>
      </x:c>
      <x:c r="I174" s="87" t="str">
        <x:v>1</x:v>
      </x:c>
      <x:c r="J174" s="30" t="str">
        <x:v>VIS_ID</x:v>
      </x:c>
      <x:c r="K174" s="30" t="str">
        <x:v>NOV-CHEM-V2-021</x:v>
      </x:c>
      <x:c r="L174" s="87" t="str">
        <x:v>CROP_VERIFIED</x:v>
      </x:c>
      <x:c r="M174" s="87" t="str">
        <x:v>ORIGINAL_PACKAGE</x:v>
      </x:c>
      <x:c r="N174" s="87"/>
      <x:c r="O174" s="87"/>
      <x:c r="P174" s="87" t="str">
        <x:v>5e6376c047f3e83647809d1b92c3019b6ff4ca0934cc9cf00a8a7c8e3e94d31d</x:v>
      </x:c>
      <x:c r="Q174" s="30" t="str">
        <x:v>incoming/raw/recovery-drop-01/statgrad_clean_branch_v0_01_bundle.zip!/november_visual_package_v082.zip!/november_visual_package_v082/chem_nov_visual_assets_v079.zip!/chem_nov_visual_assets_v079/full/VIS-CHEM-NOV-025_full.jpg</x:v>
      </x:c>
      <x:c r="R174" s="30" t="str">
        <x:v>MATCHED_ASSET</x:v>
      </x:c>
      <x:c r="S174" t="e">
        <x:f>HYPERLINK("visual_gallery/index.html#"&amp;A174,"Галерея")</x:f>
      </x:c>
    </x:row>
    <x:row r="175">
      <x:c r="A175" s="87" t="str">
        <x:v>VIS-CHEM-NOV-026</x:v>
      </x:c>
      <x:c r="B175" s="30" t="str">
        <x:v>Химия</x:v>
      </x:c>
      <x:c r="C175" s="30" t="str">
        <x:v>ХИ2510202: полная страница 12 с заданиями 22, 23</x:v>
      </x:c>
      <x:c r="D175" s="30" t="str">
        <x:v>ХИ2510202</x:v>
      </x:c>
      <x:c r="E175" s="87"/>
      <x:c r="F175" s="30" t="str">
        <x:v>Zadanie_KhI11_06112025.pdf</x:v>
      </x:c>
      <x:c r="G175" s="87" t="str">
        <x:v>28</x:v>
      </x:c>
      <x:c r="H175" s="87" t="str">
        <x:v>v0.81</x:v>
      </x:c>
      <x:c r="I175" s="87" t="str">
        <x:v>2</x:v>
      </x:c>
      <x:c r="J175" s="30" t="str">
        <x:v>VIS_ID</x:v>
      </x:c>
      <x:c r="K175" s="30" t="str">
        <x:v>NOV-CHEM-V2-022, NOV-CHEM-V2-023</x:v>
      </x:c>
      <x:c r="L175" s="87" t="str">
        <x:v>CROP_VERIFIED</x:v>
      </x:c>
      <x:c r="M175" s="87" t="str">
        <x:v>ORIGINAL_PACKAGE</x:v>
      </x:c>
      <x:c r="N175" s="87"/>
      <x:c r="O175" s="87"/>
      <x:c r="P175" s="87" t="str">
        <x:v>d2256fb3a206da04c3b02dd0320c7bef78d9224aba9ad8a36af440f4883a3a1a</x:v>
      </x:c>
      <x:c r="Q175" s="30" t="str">
        <x:v>incoming/raw/recovery-drop-01/statgrad_clean_branch_v0_01_bundle.zip!/november_visual_package_v082.zip!/november_visual_package_v082/chem_nov_visual_assets_v079.zip!/chem_nov_visual_assets_v079/full/VIS-CHEM-NOV-026_full.jpg</x:v>
      </x:c>
      <x:c r="R175" s="30" t="str">
        <x:v>MATCHED_ASSET</x:v>
      </x:c>
      <x:c r="S175" t="e">
        <x:f>HYPERLINK("visual_gallery/index.html#"&amp;A175,"Галерея")</x:f>
      </x:c>
    </x:row>
    <x:row r="176">
      <x:c r="A176" s="87" t="str">
        <x:v>VIS-CHEM-NOV-027</x:v>
      </x:c>
      <x:c r="B176" s="30" t="str">
        <x:v>Химия</x:v>
      </x:c>
      <x:c r="C176" s="30" t="str">
        <x:v>ХИ2510202: полная страница 13 с заданиями 24, 25</x:v>
      </x:c>
      <x:c r="D176" s="30" t="str">
        <x:v>ХИ2510202</x:v>
      </x:c>
      <x:c r="E176" s="87"/>
      <x:c r="F176" s="30" t="str">
        <x:v>Zadanie_KhI11_06112025.pdf</x:v>
      </x:c>
      <x:c r="G176" s="87" t="str">
        <x:v>29</x:v>
      </x:c>
      <x:c r="H176" s="87" t="str">
        <x:v>v0.81</x:v>
      </x:c>
      <x:c r="I176" s="87" t="str">
        <x:v>2</x:v>
      </x:c>
      <x:c r="J176" s="30" t="str">
        <x:v>VIS_ID</x:v>
      </x:c>
      <x:c r="K176" s="30" t="str">
        <x:v>NOV-CHEM-V2-024, NOV-CHEM-V2-025</x:v>
      </x:c>
      <x:c r="L176" s="87" t="str">
        <x:v>CROP_VERIFIED</x:v>
      </x:c>
      <x:c r="M176" s="87" t="str">
        <x:v>ORIGINAL_PACKAGE</x:v>
      </x:c>
      <x:c r="N176" s="87"/>
      <x:c r="O176" s="87"/>
      <x:c r="P176" s="87" t="str">
        <x:v>66e13a9eb2135ba0a04dc91129770b963a7ea6c24f9631f993dcc9e7f4720bf5</x:v>
      </x:c>
      <x:c r="Q176" s="30" t="str">
        <x:v>incoming/raw/recovery-drop-01/statgrad_clean_branch_v0_01_bundle.zip!/november_visual_package_v082.zip!/november_visual_package_v082/chem_nov_visual_assets_v079.zip!/chem_nov_visual_assets_v079/full/VIS-CHEM-NOV-027_full.jpg</x:v>
      </x:c>
      <x:c r="R176" s="30" t="str">
        <x:v>MATCHED_ASSET</x:v>
      </x:c>
      <x:c r="S176" t="e">
        <x:f>HYPERLINK("visual_gallery/index.html#"&amp;A176,"Галерея")</x:f>
      </x:c>
    </x:row>
    <x:row r="177">
      <x:c r="A177" s="87" t="str">
        <x:v>VIS-CHEM-NOV-028</x:v>
      </x:c>
      <x:c r="B177" s="30" t="str">
        <x:v>Химия</x:v>
      </x:c>
      <x:c r="C177" s="30" t="str">
        <x:v>ХИ2510202: полная страница 14 с заданиями 26, 27, 28</x:v>
      </x:c>
      <x:c r="D177" s="30" t="str">
        <x:v>ХИ2510202</x:v>
      </x:c>
      <x:c r="E177" s="87"/>
      <x:c r="F177" s="30" t="str">
        <x:v>Zadanie_KhI11_06112025.pdf</x:v>
      </x:c>
      <x:c r="G177" s="87" t="str">
        <x:v>30</x:v>
      </x:c>
      <x:c r="H177" s="87" t="str">
        <x:v>v0.81</x:v>
      </x:c>
      <x:c r="I177" s="87" t="str">
        <x:v>3</x:v>
      </x:c>
      <x:c r="J177" s="30" t="str">
        <x:v>VIS_ID</x:v>
      </x:c>
      <x:c r="K177" s="30" t="str">
        <x:v>NOV-CHEM-V2-026, NOV-CHEM-V2-027, NOV-CHEM-V2-028</x:v>
      </x:c>
      <x:c r="L177" s="87" t="str">
        <x:v>CROP_VERIFIED</x:v>
      </x:c>
      <x:c r="M177" s="87" t="str">
        <x:v>ORIGINAL_PACKAGE</x:v>
      </x:c>
      <x:c r="N177" s="87"/>
      <x:c r="O177" s="87"/>
      <x:c r="P177" s="87" t="str">
        <x:v>8ad04ed9dd5ea6fd3c1f7fe413c51489f37b77ff452bff40f88c9d93e813cd57</x:v>
      </x:c>
      <x:c r="Q177" s="30" t="str">
        <x:v>incoming/raw/recovery-drop-01/statgrad_clean_branch_v0_01_bundle.zip!/november_visual_package_v082.zip!/november_visual_package_v082/chem_nov_visual_assets_v079.zip!/chem_nov_visual_assets_v079/full/VIS-CHEM-NOV-028_full.jpg</x:v>
      </x:c>
      <x:c r="R177" s="30" t="str">
        <x:v>MATCHED_ASSET</x:v>
      </x:c>
      <x:c r="S177" t="e">
        <x:f>HYPERLINK("visual_gallery/index.html#"&amp;A177,"Галерея")</x:f>
      </x:c>
    </x:row>
    <x:row r="178">
      <x:c r="A178" s="87" t="str">
        <x:v>VIS-CHEM-NOV-029</x:v>
      </x:c>
      <x:c r="B178" s="30" t="str">
        <x:v>Химия</x:v>
      </x:c>
      <x:c r="C178" s="30" t="str">
        <x:v>ХИ2510202: полная страница 15 с заданиями 29, 30, 31, 32</x:v>
      </x:c>
      <x:c r="D178" s="30" t="str">
        <x:v>ХИ2510202</x:v>
      </x:c>
      <x:c r="E178" s="87"/>
      <x:c r="F178" s="30" t="str">
        <x:v>Zadanie_KhI11_06112025.pdf</x:v>
      </x:c>
      <x:c r="G178" s="87" t="str">
        <x:v>31</x:v>
      </x:c>
      <x:c r="H178" s="87" t="str">
        <x:v>v0.81</x:v>
      </x:c>
      <x:c r="I178" s="87" t="str">
        <x:v>4</x:v>
      </x:c>
      <x:c r="J178" s="30" t="str">
        <x:v>VIS_ID</x:v>
      </x:c>
      <x:c r="K178" s="30" t="str">
        <x:v>NOV-CHEM-V2-029, NOV-CHEM-V2-030, NOV-CHEM-V2-031, NOV-CHEM-V2-032</x:v>
      </x:c>
      <x:c r="L178" s="87" t="str">
        <x:v>CROP_VERIFIED</x:v>
      </x:c>
      <x:c r="M178" s="87" t="str">
        <x:v>ORIGINAL_PACKAGE</x:v>
      </x:c>
      <x:c r="N178" s="87"/>
      <x:c r="O178" s="87"/>
      <x:c r="P178" s="87" t="str">
        <x:v>d2b39c8a27a59458cccd88a10e6558b5d0a871be2dbc7140e4489fc9406be0c9</x:v>
      </x:c>
      <x:c r="Q178" s="30" t="str">
        <x:v>incoming/raw/recovery-drop-01/statgrad_clean_branch_v0_01_bundle.zip!/november_visual_package_v082.zip!/november_visual_package_v082/chem_nov_visual_assets_v079.zip!/chem_nov_visual_assets_v079/full/VIS-CHEM-NOV-029_full.jpg</x:v>
      </x:c>
      <x:c r="R178" s="30" t="str">
        <x:v>MATCHED_ASSET</x:v>
      </x:c>
      <x:c r="S178" t="e">
        <x:f>HYPERLINK("visual_gallery/index.html#"&amp;A178,"Галерея")</x:f>
      </x:c>
    </x:row>
    <x:row r="179">
      <x:c r="A179" s="87" t="str">
        <x:v>VIS-CHEM-NOV-030</x:v>
      </x:c>
      <x:c r="B179" s="30" t="str">
        <x:v>Химия</x:v>
      </x:c>
      <x:c r="C179" s="30" t="str">
        <x:v>ХИ2510202: полная страница 16 с заданиями 33, 34</x:v>
      </x:c>
      <x:c r="D179" s="30" t="str">
        <x:v>ХИ2510202</x:v>
      </x:c>
      <x:c r="E179" s="87"/>
      <x:c r="F179" s="30" t="str">
        <x:v>Zadanie_KhI11_06112025.pdf</x:v>
      </x:c>
      <x:c r="G179" s="87" t="str">
        <x:v>32</x:v>
      </x:c>
      <x:c r="H179" s="87" t="str">
        <x:v>v0.81</x:v>
      </x:c>
      <x:c r="I179" s="87" t="str">
        <x:v>2</x:v>
      </x:c>
      <x:c r="J179" s="30" t="str">
        <x:v>VIS_ID</x:v>
      </x:c>
      <x:c r="K179" s="30" t="str">
        <x:v>NOV-CHEM-V2-033, NOV-CHEM-V2-034</x:v>
      </x:c>
      <x:c r="L179" s="87" t="str">
        <x:v>CROP_VERIFIED</x:v>
      </x:c>
      <x:c r="M179" s="87" t="str">
        <x:v>ORIGINAL_PACKAGE</x:v>
      </x:c>
      <x:c r="N179" s="87"/>
      <x:c r="O179" s="87"/>
      <x:c r="P179" s="87" t="str">
        <x:v>03dda9cc1e3b08904e4638ebfdcb99b62fca84e8a6635bb3acf93bdf4fb30d91</x:v>
      </x:c>
      <x:c r="Q179" s="30" t="str">
        <x:v>incoming/raw/recovery-drop-01/statgrad_clean_branch_v0_01_bundle.zip!/november_visual_package_v082.zip!/november_visual_package_v082/chem_nov_visual_assets_v079.zip!/chem_nov_visual_assets_v079/full/VIS-CHEM-NOV-030_full.jpg</x:v>
      </x:c>
      <x:c r="R179" s="30" t="str">
        <x:v>MATCHED_ASSET</x:v>
      </x:c>
      <x:c r="S179" t="e">
        <x:f>HYPERLINK("visual_gallery/index.html#"&amp;A179,"Галерея")</x:f>
      </x:c>
    </x:row>
    <x:row r="180">
      <x:c r="A180" s="87" t="str">
        <x:v>VIS-CHEM-NOV-031</x:v>
      </x:c>
      <x:c r="B180" s="30" t="str">
        <x:v>Химия</x:v>
      </x:c>
      <x:c r="C180" s="30" t="str">
        <x:v>ХИ2510203: полная страница 2 с заданиями 1, 2, 3</x:v>
      </x:c>
      <x:c r="D180" s="30" t="str">
        <x:v>ХИ2510203</x:v>
      </x:c>
      <x:c r="E180" s="87"/>
      <x:c r="F180" s="30" t="str">
        <x:v>Zadanie_KhI11_06112025_.pdf</x:v>
      </x:c>
      <x:c r="G180" s="87" t="str">
        <x:v>2</x:v>
      </x:c>
      <x:c r="H180" s="87" t="str">
        <x:v>v0.81</x:v>
      </x:c>
      <x:c r="I180" s="87" t="str">
        <x:v>3</x:v>
      </x:c>
      <x:c r="J180" s="30" t="str">
        <x:v>VIS_ID</x:v>
      </x:c>
      <x:c r="K180" s="30" t="str">
        <x:v>NOV-CHEM-V3-001, NOV-CHEM-V3-002, NOV-CHEM-V3-003</x:v>
      </x:c>
      <x:c r="L180" s="87" t="str">
        <x:v>CROP_VERIFIED</x:v>
      </x:c>
      <x:c r="M180" s="87" t="str">
        <x:v>ORIGINAL_PACKAGE</x:v>
      </x:c>
      <x:c r="N180" s="87"/>
      <x:c r="O180" s="87"/>
      <x:c r="P180" s="87" t="str">
        <x:v>d4b229b80433e5ee4fccabfe6ec9aceafc5670919307184ec63d6471533bec22</x:v>
      </x:c>
      <x:c r="Q180" s="30" t="str">
        <x:v>incoming/raw/recovery-drop-01/statgrad_clean_branch_v0_01_bundle.zip!/november_visual_package_v082.zip!/november_visual_package_v082/chem_nov_visual_assets_v079.zip!/chem_nov_visual_assets_v079/full/VIS-CHEM-NOV-031_full.jpg</x:v>
      </x:c>
      <x:c r="R180" s="30" t="str">
        <x:v>MATCHED_ASSET</x:v>
      </x:c>
      <x:c r="S180" t="e">
        <x:f>HYPERLINK("visual_gallery/index.html#"&amp;A180,"Галерея")</x:f>
      </x:c>
    </x:row>
    <x:row r="181">
      <x:c r="A181" s="87" t="str">
        <x:v>VIS-CHEM-NOV-032</x:v>
      </x:c>
      <x:c r="B181" s="30" t="str">
        <x:v>Химия</x:v>
      </x:c>
      <x:c r="C181" s="30" t="str">
        <x:v>ХИ2510203: полная страница 3 с заданиями 4, 5</x:v>
      </x:c>
      <x:c r="D181" s="30" t="str">
        <x:v>ХИ2510203</x:v>
      </x:c>
      <x:c r="E181" s="87"/>
      <x:c r="F181" s="30" t="str">
        <x:v>Zadanie_KhI11_06112025_.pdf</x:v>
      </x:c>
      <x:c r="G181" s="87" t="str">
        <x:v>3</x:v>
      </x:c>
      <x:c r="H181" s="87" t="str">
        <x:v>v0.81</x:v>
      </x:c>
      <x:c r="I181" s="87" t="str">
        <x:v>2</x:v>
      </x:c>
      <x:c r="J181" s="30" t="str">
        <x:v>VIS_ID</x:v>
      </x:c>
      <x:c r="K181" s="30" t="str">
        <x:v>NOV-CHEM-V3-004, NOV-CHEM-V3-005</x:v>
      </x:c>
      <x:c r="L181" s="87" t="str">
        <x:v>CROP_VERIFIED</x:v>
      </x:c>
      <x:c r="M181" s="87" t="str">
        <x:v>ORIGINAL_PACKAGE</x:v>
      </x:c>
      <x:c r="N181" s="87"/>
      <x:c r="O181" s="87"/>
      <x:c r="P181" s="87" t="str">
        <x:v>0986c930d2961d8b87025289c4c2bc74515b31c77b725a06fee55c0764283137</x:v>
      </x:c>
      <x:c r="Q181" s="30" t="str">
        <x:v>incoming/raw/recovery-drop-01/statgrad_clean_branch_v0_01_bundle.zip!/november_visual_package_v082.zip!/november_visual_package_v082/chem_nov_visual_assets_v079.zip!/chem_nov_visual_assets_v079/full/VIS-CHEM-NOV-032_full.jpg</x:v>
      </x:c>
      <x:c r="R181" s="30" t="str">
        <x:v>MATCHED_ASSET</x:v>
      </x:c>
      <x:c r="S181" t="e">
        <x:f>HYPERLINK("visual_gallery/index.html#"&amp;A181,"Галерея")</x:f>
      </x:c>
    </x:row>
    <x:row r="182">
      <x:c r="A182" s="87" t="str">
        <x:v>VIS-CHEM-NOV-033</x:v>
      </x:c>
      <x:c r="B182" s="30" t="str">
        <x:v>Химия</x:v>
      </x:c>
      <x:c r="C182" s="30" t="str">
        <x:v>ХИ2510203: полная страница 4 с заданиями 6, 7</x:v>
      </x:c>
      <x:c r="D182" s="30" t="str">
        <x:v>ХИ2510203</x:v>
      </x:c>
      <x:c r="E182" s="87"/>
      <x:c r="F182" s="30" t="str">
        <x:v>Zadanie_KhI11_06112025_.pdf</x:v>
      </x:c>
      <x:c r="G182" s="87" t="str">
        <x:v>4</x:v>
      </x:c>
      <x:c r="H182" s="87" t="str">
        <x:v>v0.81</x:v>
      </x:c>
      <x:c r="I182" s="87" t="str">
        <x:v>2</x:v>
      </x:c>
      <x:c r="J182" s="30" t="str">
        <x:v>VIS_ID</x:v>
      </x:c>
      <x:c r="K182" s="30" t="str">
        <x:v>NOV-CHEM-V3-006, NOV-CHEM-V3-007</x:v>
      </x:c>
      <x:c r="L182" s="87" t="str">
        <x:v>CROP_VERIFIED</x:v>
      </x:c>
      <x:c r="M182" s="87" t="str">
        <x:v>ORIGINAL_PACKAGE</x:v>
      </x:c>
      <x:c r="N182" s="87"/>
      <x:c r="O182" s="87"/>
      <x:c r="P182" s="87" t="str">
        <x:v>27ac92a7eb39e2ed259feee129d6ad39bd553863563a9ba527c13254235d20ab</x:v>
      </x:c>
      <x:c r="Q182" s="30" t="str">
        <x:v>incoming/raw/recovery-drop-01/statgrad_clean_branch_v0_01_bundle.zip!/november_visual_package_v082.zip!/november_visual_package_v082/chem_nov_visual_assets_v079.zip!/chem_nov_visual_assets_v079/full/VIS-CHEM-NOV-033_full.jpg</x:v>
      </x:c>
      <x:c r="R182" s="30" t="str">
        <x:v>MATCHED_ASSET</x:v>
      </x:c>
      <x:c r="S182" t="e">
        <x:f>HYPERLINK("visual_gallery/index.html#"&amp;A182,"Галерея")</x:f>
      </x:c>
    </x:row>
    <x:row r="183">
      <x:c r="A183" s="87" t="str">
        <x:v>VIS-CHEM-NOV-034</x:v>
      </x:c>
      <x:c r="B183" s="30" t="str">
        <x:v>Химия</x:v>
      </x:c>
      <x:c r="C183" s="30" t="str">
        <x:v>ХИ2510203: полная страница 5 с заданиями 8, 9</x:v>
      </x:c>
      <x:c r="D183" s="30" t="str">
        <x:v>ХИ2510203</x:v>
      </x:c>
      <x:c r="E183" s="87"/>
      <x:c r="F183" s="30" t="str">
        <x:v>Zadanie_KhI11_06112025_.pdf</x:v>
      </x:c>
      <x:c r="G183" s="87" t="str">
        <x:v>5</x:v>
      </x:c>
      <x:c r="H183" s="87" t="str">
        <x:v>v0.81</x:v>
      </x:c>
      <x:c r="I183" s="87" t="str">
        <x:v>2</x:v>
      </x:c>
      <x:c r="J183" s="30" t="str">
        <x:v>VIS_ID</x:v>
      </x:c>
      <x:c r="K183" s="30" t="str">
        <x:v>NOV-CHEM-V3-008, NOV-CHEM-V3-009</x:v>
      </x:c>
      <x:c r="L183" s="87" t="str">
        <x:v>CROP_VERIFIED</x:v>
      </x:c>
      <x:c r="M183" s="87" t="str">
        <x:v>ORIGINAL_PACKAGE</x:v>
      </x:c>
      <x:c r="N183" s="87"/>
      <x:c r="O183" s="87"/>
      <x:c r="P183" s="87" t="str">
        <x:v>b61164c537006891878e3e6545579a5a6d6f132d92821ef3545dba186b79d870</x:v>
      </x:c>
      <x:c r="Q183" s="30" t="str">
        <x:v>incoming/raw/recovery-drop-01/statgrad_clean_branch_v0_01_bundle.zip!/november_visual_package_v082.zip!/november_visual_package_v082/chem_nov_visual_assets_v079.zip!/chem_nov_visual_assets_v079/full/VIS-CHEM-NOV-034_full.jpg</x:v>
      </x:c>
      <x:c r="R183" s="30" t="str">
        <x:v>MATCHED_ASSET</x:v>
      </x:c>
      <x:c r="S183" t="e">
        <x:f>HYPERLINK("visual_gallery/index.html#"&amp;A183,"Галерея")</x:f>
      </x:c>
    </x:row>
    <x:row r="184">
      <x:c r="A184" s="87" t="str">
        <x:v>VIS-CHEM-NOV-035</x:v>
      </x:c>
      <x:c r="B184" s="30" t="str">
        <x:v>Химия</x:v>
      </x:c>
      <x:c r="C184" s="30" t="str">
        <x:v>ХИ2510203: полная страница 6 с заданиями 10, 11, 12</x:v>
      </x:c>
      <x:c r="D184" s="30" t="str">
        <x:v>ХИ2510203</x:v>
      </x:c>
      <x:c r="E184" s="87"/>
      <x:c r="F184" s="30" t="str">
        <x:v>Zadanie_KhI11_06112025_.pdf</x:v>
      </x:c>
      <x:c r="G184" s="87" t="str">
        <x:v>6</x:v>
      </x:c>
      <x:c r="H184" s="87" t="str">
        <x:v>v0.81</x:v>
      </x:c>
      <x:c r="I184" s="87" t="str">
        <x:v>3</x:v>
      </x:c>
      <x:c r="J184" s="30" t="str">
        <x:v>VIS_ID</x:v>
      </x:c>
      <x:c r="K184" s="30" t="str">
        <x:v>NOV-CHEM-V3-010, NOV-CHEM-V3-011, NOV-CHEM-V3-012</x:v>
      </x:c>
      <x:c r="L184" s="87" t="str">
        <x:v>CROP_VERIFIED</x:v>
      </x:c>
      <x:c r="M184" s="87" t="str">
        <x:v>ORIGINAL_PACKAGE</x:v>
      </x:c>
      <x:c r="N184" s="87"/>
      <x:c r="O184" s="87"/>
      <x:c r="P184" s="87" t="str">
        <x:v>33a0172c8d0bd285b86de10aa09f673d24b20a471c7a5e1d48b4c6a8525b052b</x:v>
      </x:c>
      <x:c r="Q184" s="30" t="str">
        <x:v>incoming/raw/recovery-drop-01/statgrad_clean_branch_v0_01_bundle.zip!/november_visual_package_v082.zip!/november_visual_package_v082/chem_nov_visual_assets_v079.zip!/chem_nov_visual_assets_v079/full/VIS-CHEM-NOV-035_full.jpg</x:v>
      </x:c>
      <x:c r="R184" s="30" t="str">
        <x:v>MATCHED_ASSET</x:v>
      </x:c>
      <x:c r="S184" t="e">
        <x:f>HYPERLINK("visual_gallery/index.html#"&amp;A184,"Галерея")</x:f>
      </x:c>
    </x:row>
    <x:row r="185">
      <x:c r="A185" s="87" t="str">
        <x:v>VIS-CHEM-NOV-036</x:v>
      </x:c>
      <x:c r="B185" s="30" t="str">
        <x:v>Химия</x:v>
      </x:c>
      <x:c r="C185" s="30" t="str">
        <x:v>ХИ2510203: полная страница 7 с заданиями 13, 14</x:v>
      </x:c>
      <x:c r="D185" s="30" t="str">
        <x:v>ХИ2510203</x:v>
      </x:c>
      <x:c r="E185" s="87"/>
      <x:c r="F185" s="30" t="str">
        <x:v>Zadanie_KhI11_06112025_.pdf</x:v>
      </x:c>
      <x:c r="G185" s="87" t="str">
        <x:v>7</x:v>
      </x:c>
      <x:c r="H185" s="87" t="str">
        <x:v>v0.81</x:v>
      </x:c>
      <x:c r="I185" s="87" t="str">
        <x:v>2</x:v>
      </x:c>
      <x:c r="J185" s="30" t="str">
        <x:v>VIS_ID</x:v>
      </x:c>
      <x:c r="K185" s="30" t="str">
        <x:v>NOV-CHEM-V3-013, NOV-CHEM-V3-014</x:v>
      </x:c>
      <x:c r="L185" s="87" t="str">
        <x:v>CROP_VERIFIED</x:v>
      </x:c>
      <x:c r="M185" s="87" t="str">
        <x:v>ORIGINAL_PACKAGE</x:v>
      </x:c>
      <x:c r="N185" s="87"/>
      <x:c r="O185" s="87"/>
      <x:c r="P185" s="87" t="str">
        <x:v>1c37ff9b37ddaa81f4f689560543cb357ebd37ccc0497c9b91d10d3dc1db94da</x:v>
      </x:c>
      <x:c r="Q185" s="30" t="str">
        <x:v>incoming/raw/recovery-drop-01/statgrad_clean_branch_v0_01_bundle.zip!/november_visual_package_v082.zip!/november_visual_package_v082/chem_nov_visual_assets_v079.zip!/chem_nov_visual_assets_v079/full/VIS-CHEM-NOV-036_full.jpg</x:v>
      </x:c>
      <x:c r="R185" s="30" t="str">
        <x:v>MATCHED_ASSET</x:v>
      </x:c>
      <x:c r="S185" t="e">
        <x:f>HYPERLINK("visual_gallery/index.html#"&amp;A185,"Галерея")</x:f>
      </x:c>
    </x:row>
    <x:row r="186">
      <x:c r="A186" s="87" t="str">
        <x:v>VIS-CHEM-NOV-037</x:v>
      </x:c>
      <x:c r="B186" s="30" t="str">
        <x:v>Химия</x:v>
      </x:c>
      <x:c r="C186" s="30" t="str">
        <x:v>ХИ2510203: полная страница 8 с заданиями 15, 16</x:v>
      </x:c>
      <x:c r="D186" s="30" t="str">
        <x:v>ХИ2510203</x:v>
      </x:c>
      <x:c r="E186" s="87"/>
      <x:c r="F186" s="30" t="str">
        <x:v>Zadanie_KhI11_06112025_.pdf</x:v>
      </x:c>
      <x:c r="G186" s="87" t="str">
        <x:v>8</x:v>
      </x:c>
      <x:c r="H186" s="87" t="str">
        <x:v>v0.81</x:v>
      </x:c>
      <x:c r="I186" s="87" t="str">
        <x:v>2</x:v>
      </x:c>
      <x:c r="J186" s="30" t="str">
        <x:v>VIS_ID</x:v>
      </x:c>
      <x:c r="K186" s="30" t="str">
        <x:v>NOV-CHEM-V3-015, NOV-CHEM-V3-016</x:v>
      </x:c>
      <x:c r="L186" s="87" t="str">
        <x:v>CROP_VERIFIED</x:v>
      </x:c>
      <x:c r="M186" s="87" t="str">
        <x:v>ORIGINAL_PACKAGE</x:v>
      </x:c>
      <x:c r="N186" s="87"/>
      <x:c r="O186" s="87"/>
      <x:c r="P186" s="87" t="str">
        <x:v>26475e7dac245625ff3589c97d84af95a542e02f6e17111043e7e520b36ae9e9</x:v>
      </x:c>
      <x:c r="Q186" s="30" t="str">
        <x:v>incoming/raw/recovery-drop-01/statgrad_clean_branch_v0_01_bundle.zip!/november_visual_package_v082.zip!/november_visual_package_v082/chem_nov_visual_assets_v079.zip!/chem_nov_visual_assets_v079/full/VIS-CHEM-NOV-037_full.jpg</x:v>
      </x:c>
      <x:c r="R186" s="30" t="str">
        <x:v>MATCHED_ASSET</x:v>
      </x:c>
      <x:c r="S186" t="e">
        <x:f>HYPERLINK("visual_gallery/index.html#"&amp;A186,"Галерея")</x:f>
      </x:c>
    </x:row>
    <x:row r="187">
      <x:c r="A187" s="87" t="str">
        <x:v>VIS-CHEM-NOV-038</x:v>
      </x:c>
      <x:c r="B187" s="30" t="str">
        <x:v>Химия</x:v>
      </x:c>
      <x:c r="C187" s="30" t="str">
        <x:v>ХИ2510203: полная страница 9 с заданиями 17, 18</x:v>
      </x:c>
      <x:c r="D187" s="30" t="str">
        <x:v>ХИ2510203</x:v>
      </x:c>
      <x:c r="E187" s="87"/>
      <x:c r="F187" s="30" t="str">
        <x:v>Zadanie_KhI11_06112025_.pdf</x:v>
      </x:c>
      <x:c r="G187" s="87" t="str">
        <x:v>9</x:v>
      </x:c>
      <x:c r="H187" s="87" t="str">
        <x:v>v0.81</x:v>
      </x:c>
      <x:c r="I187" s="87" t="str">
        <x:v>2</x:v>
      </x:c>
      <x:c r="J187" s="30" t="str">
        <x:v>VIS_ID</x:v>
      </x:c>
      <x:c r="K187" s="30" t="str">
        <x:v>NOV-CHEM-V3-017, NOV-CHEM-V3-018</x:v>
      </x:c>
      <x:c r="L187" s="87" t="str">
        <x:v>CROP_VERIFIED</x:v>
      </x:c>
      <x:c r="M187" s="87" t="str">
        <x:v>ORIGINAL_PACKAGE</x:v>
      </x:c>
      <x:c r="N187" s="87"/>
      <x:c r="O187" s="87"/>
      <x:c r="P187" s="87" t="str">
        <x:v>98c663809ef8cf647058c0cad8da82f8f8a64623389f0032fc7aa2d1ceafc889</x:v>
      </x:c>
      <x:c r="Q187" s="30" t="str">
        <x:v>incoming/raw/recovery-drop-01/statgrad_clean_branch_v0_01_bundle.zip!/november_visual_package_v082.zip!/november_visual_package_v082/chem_nov_visual_assets_v079.zip!/chem_nov_visual_assets_v079/full/VIS-CHEM-NOV-038_full.jpg</x:v>
      </x:c>
      <x:c r="R187" s="30" t="str">
        <x:v>MATCHED_ASSET</x:v>
      </x:c>
      <x:c r="S187" t="e">
        <x:f>HYPERLINK("visual_gallery/index.html#"&amp;A187,"Галерея")</x:f>
      </x:c>
    </x:row>
    <x:row r="188">
      <x:c r="A188" s="87" t="str">
        <x:v>VIS-CHEM-NOV-039</x:v>
      </x:c>
      <x:c r="B188" s="30" t="str">
        <x:v>Химия</x:v>
      </x:c>
      <x:c r="C188" s="30" t="str">
        <x:v>ХИ2510203: полная страница 10 с заданиями 19, 20</x:v>
      </x:c>
      <x:c r="D188" s="30" t="str">
        <x:v>ХИ2510203</x:v>
      </x:c>
      <x:c r="E188" s="87"/>
      <x:c r="F188" s="30" t="str">
        <x:v>Zadanie_KhI11_06112025_.pdf</x:v>
      </x:c>
      <x:c r="G188" s="87" t="str">
        <x:v>10</x:v>
      </x:c>
      <x:c r="H188" s="87" t="str">
        <x:v>v0.81</x:v>
      </x:c>
      <x:c r="I188" s="87" t="str">
        <x:v>2</x:v>
      </x:c>
      <x:c r="J188" s="30" t="str">
        <x:v>VIS_ID</x:v>
      </x:c>
      <x:c r="K188" s="30" t="str">
        <x:v>NOV-CHEM-V3-019, NOV-CHEM-V3-020</x:v>
      </x:c>
      <x:c r="L188" s="87" t="str">
        <x:v>CROP_VERIFIED</x:v>
      </x:c>
      <x:c r="M188" s="87" t="str">
        <x:v>ORIGINAL_PACKAGE</x:v>
      </x:c>
      <x:c r="N188" s="87"/>
      <x:c r="O188" s="87"/>
      <x:c r="P188" s="87" t="str">
        <x:v>8ec771da456b60e75799ab9991d0783d689425a841b19ea1e5e683333211e3d1</x:v>
      </x:c>
      <x:c r="Q188" s="30" t="str">
        <x:v>incoming/raw/recovery-drop-01/statgrad_clean_branch_v0_01_bundle.zip!/november_visual_package_v082.zip!/november_visual_package_v082/chem_nov_visual_assets_v079.zip!/chem_nov_visual_assets_v079/full/VIS-CHEM-NOV-039_full.jpg</x:v>
      </x:c>
      <x:c r="R188" s="30" t="str">
        <x:v>MATCHED_ASSET</x:v>
      </x:c>
      <x:c r="S188" t="e">
        <x:f>HYPERLINK("visual_gallery/index.html#"&amp;A188,"Галерея")</x:f>
      </x:c>
    </x:row>
    <x:row r="189">
      <x:c r="A189" s="87" t="str">
        <x:v>VIS-CHEM-NOV-040</x:v>
      </x:c>
      <x:c r="B189" s="30" t="str">
        <x:v>Химия</x:v>
      </x:c>
      <x:c r="C189" s="30" t="str">
        <x:v>ХИ2510203: полная страница 11 с заданиями 21</x:v>
      </x:c>
      <x:c r="D189" s="30" t="str">
        <x:v>ХИ2510203</x:v>
      </x:c>
      <x:c r="E189" s="87"/>
      <x:c r="F189" s="30" t="str">
        <x:v>Zadanie_KhI11_06112025_.pdf</x:v>
      </x:c>
      <x:c r="G189" s="87" t="str">
        <x:v>11</x:v>
      </x:c>
      <x:c r="H189" s="87" t="str">
        <x:v>v0.81</x:v>
      </x:c>
      <x:c r="I189" s="87" t="str">
        <x:v>1</x:v>
      </x:c>
      <x:c r="J189" s="30" t="str">
        <x:v>VIS_ID</x:v>
      </x:c>
      <x:c r="K189" s="30" t="str">
        <x:v>NOV-CHEM-V3-021</x:v>
      </x:c>
      <x:c r="L189" s="87" t="str">
        <x:v>CROP_VERIFIED</x:v>
      </x:c>
      <x:c r="M189" s="87" t="str">
        <x:v>ORIGINAL_PACKAGE</x:v>
      </x:c>
      <x:c r="N189" s="87"/>
      <x:c r="O189" s="87"/>
      <x:c r="P189" s="87" t="str">
        <x:v>67590b058f7f5d501342e1a91e32ca8bc1f7693ca1ab656f08a6f41d3fb57f87</x:v>
      </x:c>
      <x:c r="Q189" s="30" t="str">
        <x:v>incoming/raw/recovery-drop-01/statgrad_clean_branch_v0_01_bundle.zip!/november_visual_package_v082.zip!/november_visual_package_v082/chem_nov_visual_assets_v079.zip!/chem_nov_visual_assets_v079/full/VIS-CHEM-NOV-040_full.jpg</x:v>
      </x:c>
      <x:c r="R189" s="30" t="str">
        <x:v>MATCHED_ASSET</x:v>
      </x:c>
      <x:c r="S189" t="e">
        <x:f>HYPERLINK("visual_gallery/index.html#"&amp;A189,"Галерея")</x:f>
      </x:c>
    </x:row>
    <x:row r="190">
      <x:c r="A190" s="87" t="str">
        <x:v>VIS-CHEM-NOV-041</x:v>
      </x:c>
      <x:c r="B190" s="30" t="str">
        <x:v>Химия</x:v>
      </x:c>
      <x:c r="C190" s="30" t="str">
        <x:v>ХИ2510203: полная страница 12 с заданиями 22, 23</x:v>
      </x:c>
      <x:c r="D190" s="30" t="str">
        <x:v>ХИ2510203</x:v>
      </x:c>
      <x:c r="E190" s="87"/>
      <x:c r="F190" s="30" t="str">
        <x:v>Zadanie_KhI11_06112025_.pdf</x:v>
      </x:c>
      <x:c r="G190" s="87" t="str">
        <x:v>12</x:v>
      </x:c>
      <x:c r="H190" s="87" t="str">
        <x:v>v0.81</x:v>
      </x:c>
      <x:c r="I190" s="87" t="str">
        <x:v>2</x:v>
      </x:c>
      <x:c r="J190" s="30" t="str">
        <x:v>VIS_ID</x:v>
      </x:c>
      <x:c r="K190" s="30" t="str">
        <x:v>NOV-CHEM-V3-022, NOV-CHEM-V3-023</x:v>
      </x:c>
      <x:c r="L190" s="87" t="str">
        <x:v>CROP_VERIFIED</x:v>
      </x:c>
      <x:c r="M190" s="87" t="str">
        <x:v>ORIGINAL_PACKAGE</x:v>
      </x:c>
      <x:c r="N190" s="87"/>
      <x:c r="O190" s="87"/>
      <x:c r="P190" s="87" t="str">
        <x:v>3167141caa3d73afc9344874d472de1901d8e6c0a62dbafc34ac5b361101006a</x:v>
      </x:c>
      <x:c r="Q190" s="30" t="str">
        <x:v>incoming/raw/recovery-drop-01/statgrad_clean_branch_v0_01_bundle.zip!/november_visual_package_v082.zip!/november_visual_package_v082/chem_nov_visual_assets_v079.zip!/chem_nov_visual_assets_v079/full/VIS-CHEM-NOV-041_full.jpg</x:v>
      </x:c>
      <x:c r="R190" s="30" t="str">
        <x:v>MATCHED_ASSET</x:v>
      </x:c>
      <x:c r="S190" t="e">
        <x:f>HYPERLINK("visual_gallery/index.html#"&amp;A190,"Галерея")</x:f>
      </x:c>
    </x:row>
    <x:row r="191">
      <x:c r="A191" s="87" t="str">
        <x:v>VIS-CHEM-NOV-042</x:v>
      </x:c>
      <x:c r="B191" s="30" t="str">
        <x:v>Химия</x:v>
      </x:c>
      <x:c r="C191" s="30" t="str">
        <x:v>ХИ2510203: полная страница 13 с заданиями 24, 25</x:v>
      </x:c>
      <x:c r="D191" s="30" t="str">
        <x:v>ХИ2510203</x:v>
      </x:c>
      <x:c r="E191" s="87"/>
      <x:c r="F191" s="30" t="str">
        <x:v>Zadanie_KhI11_06112025_.pdf</x:v>
      </x:c>
      <x:c r="G191" s="87" t="str">
        <x:v>13</x:v>
      </x:c>
      <x:c r="H191" s="87" t="str">
        <x:v>v0.81</x:v>
      </x:c>
      <x:c r="I191" s="87" t="str">
        <x:v>2</x:v>
      </x:c>
      <x:c r="J191" s="30" t="str">
        <x:v>VIS_ID</x:v>
      </x:c>
      <x:c r="K191" s="30" t="str">
        <x:v>NOV-CHEM-V3-024, NOV-CHEM-V3-025</x:v>
      </x:c>
      <x:c r="L191" s="87" t="str">
        <x:v>CROP_VERIFIED</x:v>
      </x:c>
      <x:c r="M191" s="87" t="str">
        <x:v>ORIGINAL_PACKAGE</x:v>
      </x:c>
      <x:c r="N191" s="87"/>
      <x:c r="O191" s="87"/>
      <x:c r="P191" s="87" t="str">
        <x:v>54a2a04d670318d929e414c8ccf4044bf50ff6254668a70890b59225206e50ee</x:v>
      </x:c>
      <x:c r="Q191" s="30" t="str">
        <x:v>incoming/raw/recovery-drop-01/statgrad_clean_branch_v0_01_bundle.zip!/november_visual_package_v082.zip!/november_visual_package_v082/chem_nov_visual_assets_v079.zip!/chem_nov_visual_assets_v079/full/VIS-CHEM-NOV-042_full.jpg</x:v>
      </x:c>
      <x:c r="R191" s="30" t="str">
        <x:v>MATCHED_ASSET</x:v>
      </x:c>
      <x:c r="S191" t="e">
        <x:f>HYPERLINK("visual_gallery/index.html#"&amp;A191,"Галерея")</x:f>
      </x:c>
    </x:row>
    <x:row r="192">
      <x:c r="A192" s="87" t="str">
        <x:v>VIS-CHEM-NOV-043</x:v>
      </x:c>
      <x:c r="B192" s="30" t="str">
        <x:v>Химия</x:v>
      </x:c>
      <x:c r="C192" s="30" t="str">
        <x:v>ХИ2510203: полная страница 14 с заданиями 26, 27, 28</x:v>
      </x:c>
      <x:c r="D192" s="30" t="str">
        <x:v>ХИ2510203</x:v>
      </x:c>
      <x:c r="E192" s="87"/>
      <x:c r="F192" s="30" t="str">
        <x:v>Zadanie_KhI11_06112025_.pdf</x:v>
      </x:c>
      <x:c r="G192" s="87" t="str">
        <x:v>14</x:v>
      </x:c>
      <x:c r="H192" s="87" t="str">
        <x:v>v0.81</x:v>
      </x:c>
      <x:c r="I192" s="87" t="str">
        <x:v>3</x:v>
      </x:c>
      <x:c r="J192" s="30" t="str">
        <x:v>VIS_ID</x:v>
      </x:c>
      <x:c r="K192" s="30" t="str">
        <x:v>NOV-CHEM-V3-026, NOV-CHEM-V3-027, NOV-CHEM-V3-028</x:v>
      </x:c>
      <x:c r="L192" s="87" t="str">
        <x:v>CROP_VERIFIED</x:v>
      </x:c>
      <x:c r="M192" s="87" t="str">
        <x:v>ORIGINAL_PACKAGE</x:v>
      </x:c>
      <x:c r="N192" s="87"/>
      <x:c r="O192" s="87"/>
      <x:c r="P192" s="87" t="str">
        <x:v>ca50538399acaa0e817089f1423b5406e79ccf05fd40274f9aba1f1a2ceb2209</x:v>
      </x:c>
      <x:c r="Q192" s="30" t="str">
        <x:v>incoming/raw/recovery-drop-01/statgrad_clean_branch_v0_01_bundle.zip!/november_visual_package_v082.zip!/november_visual_package_v082/chem_nov_visual_assets_v079.zip!/chem_nov_visual_assets_v079/full/VIS-CHEM-NOV-043_full.jpg</x:v>
      </x:c>
      <x:c r="R192" s="30" t="str">
        <x:v>MATCHED_ASSET</x:v>
      </x:c>
      <x:c r="S192" t="e">
        <x:f>HYPERLINK("visual_gallery/index.html#"&amp;A192,"Галерея")</x:f>
      </x:c>
    </x:row>
    <x:row r="193">
      <x:c r="A193" s="87" t="str">
        <x:v>VIS-CHEM-NOV-044</x:v>
      </x:c>
      <x:c r="B193" s="30" t="str">
        <x:v>Химия</x:v>
      </x:c>
      <x:c r="C193" s="30" t="str">
        <x:v>ХИ2510203: полная страница 15 с заданиями 29, 30, 31, 32</x:v>
      </x:c>
      <x:c r="D193" s="30" t="str">
        <x:v>ХИ2510203</x:v>
      </x:c>
      <x:c r="E193" s="87"/>
      <x:c r="F193" s="30" t="str">
        <x:v>Zadanie_KhI11_06112025_.pdf</x:v>
      </x:c>
      <x:c r="G193" s="87" t="str">
        <x:v>15</x:v>
      </x:c>
      <x:c r="H193" s="87" t="str">
        <x:v>v0.81</x:v>
      </x:c>
      <x:c r="I193" s="87" t="str">
        <x:v>4</x:v>
      </x:c>
      <x:c r="J193" s="30" t="str">
        <x:v>VIS_ID</x:v>
      </x:c>
      <x:c r="K193" s="30" t="str">
        <x:v>NOV-CHEM-V3-029, NOV-CHEM-V3-030, NOV-CHEM-V3-031, NOV-CHEM-V3-032</x:v>
      </x:c>
      <x:c r="L193" s="87" t="str">
        <x:v>CROP_VERIFIED</x:v>
      </x:c>
      <x:c r="M193" s="87" t="str">
        <x:v>ORIGINAL_PACKAGE</x:v>
      </x:c>
      <x:c r="N193" s="87"/>
      <x:c r="O193" s="87"/>
      <x:c r="P193" s="87" t="str">
        <x:v>97626f0fdd35356783e5efd24ed4c328a7200b375264e7a88acba54c0d26cba0</x:v>
      </x:c>
      <x:c r="Q193" s="30" t="str">
        <x:v>incoming/raw/recovery-drop-01/statgrad_clean_branch_v0_01_bundle.zip!/november_visual_package_v082.zip!/november_visual_package_v082/chem_nov_visual_assets_v079.zip!/chem_nov_visual_assets_v079/full/VIS-CHEM-NOV-044_full.jpg</x:v>
      </x:c>
      <x:c r="R193" s="30" t="str">
        <x:v>MATCHED_ASSET</x:v>
      </x:c>
      <x:c r="S193" t="e">
        <x:f>HYPERLINK("visual_gallery/index.html#"&amp;A193,"Галерея")</x:f>
      </x:c>
    </x:row>
    <x:row r="194">
      <x:c r="A194" s="87" t="str">
        <x:v>VIS-CHEM-NOV-045</x:v>
      </x:c>
      <x:c r="B194" s="30" t="str">
        <x:v>Химия</x:v>
      </x:c>
      <x:c r="C194" s="30" t="str">
        <x:v>ХИ2510203: полная страница 16 с заданиями 33, 34</x:v>
      </x:c>
      <x:c r="D194" s="30" t="str">
        <x:v>ХИ2510203</x:v>
      </x:c>
      <x:c r="E194" s="87"/>
      <x:c r="F194" s="30" t="str">
        <x:v>Zadanie_KhI11_06112025_.pdf</x:v>
      </x:c>
      <x:c r="G194" s="87" t="str">
        <x:v>16</x:v>
      </x:c>
      <x:c r="H194" s="87" t="str">
        <x:v>v0.81</x:v>
      </x:c>
      <x:c r="I194" s="87" t="str">
        <x:v>2</x:v>
      </x:c>
      <x:c r="J194" s="30" t="str">
        <x:v>VIS_ID</x:v>
      </x:c>
      <x:c r="K194" s="30" t="str">
        <x:v>NOV-CHEM-V3-033, NOV-CHEM-V3-034</x:v>
      </x:c>
      <x:c r="L194" s="87" t="str">
        <x:v>CROP_VERIFIED</x:v>
      </x:c>
      <x:c r="M194" s="87" t="str">
        <x:v>ORIGINAL_PACKAGE</x:v>
      </x:c>
      <x:c r="N194" s="87"/>
      <x:c r="O194" s="87"/>
      <x:c r="P194" s="87" t="str">
        <x:v>a0f418620c7bcca345cef6557f7fc0742b1175fe6d8e31c1b2d9897b5389d1a3</x:v>
      </x:c>
      <x:c r="Q194" s="30" t="str">
        <x:v>incoming/raw/recovery-drop-01/statgrad_clean_branch_v0_01_bundle.zip!/november_visual_package_v082.zip!/november_visual_package_v082/chem_nov_visual_assets_v079.zip!/chem_nov_visual_assets_v079/full/VIS-CHEM-NOV-045_full.jpg</x:v>
      </x:c>
      <x:c r="R194" s="30" t="str">
        <x:v>MATCHED_ASSET</x:v>
      </x:c>
      <x:c r="S194" t="e">
        <x:f>HYPERLINK("visual_gallery/index.html#"&amp;A194,"Галерея")</x:f>
      </x:c>
    </x:row>
    <x:row r="195">
      <x:c r="A195" s="87" t="str">
        <x:v>VIS-CHEM-NOV-046</x:v>
      </x:c>
      <x:c r="B195" s="30" t="str">
        <x:v>Химия</x:v>
      </x:c>
      <x:c r="C195" s="30" t="str">
        <x:v>ХИ2510204: полная страница 2 с заданиями 1, 2, 3</x:v>
      </x:c>
      <x:c r="D195" s="30" t="str">
        <x:v>ХИ2510204</x:v>
      </x:c>
      <x:c r="E195" s="87"/>
      <x:c r="F195" s="30" t="str">
        <x:v>Zadanie_KhI11_06112025_.pdf</x:v>
      </x:c>
      <x:c r="G195" s="87" t="str">
        <x:v>18</x:v>
      </x:c>
      <x:c r="H195" s="87" t="str">
        <x:v>v0.81</x:v>
      </x:c>
      <x:c r="I195" s="87" t="str">
        <x:v>3</x:v>
      </x:c>
      <x:c r="J195" s="30" t="str">
        <x:v>VIS_ID</x:v>
      </x:c>
      <x:c r="K195" s="30" t="str">
        <x:v>NOV-CHEM-V4-001, NOV-CHEM-V4-002, NOV-CHEM-V4-003</x:v>
      </x:c>
      <x:c r="L195" s="87" t="str">
        <x:v>CROP_VERIFIED</x:v>
      </x:c>
      <x:c r="M195" s="87" t="str">
        <x:v>ORIGINAL_PACKAGE</x:v>
      </x:c>
      <x:c r="N195" s="87"/>
      <x:c r="O195" s="87"/>
      <x:c r="P195" s="87" t="str">
        <x:v>3c760ad3dc4e6855c09368e098b708b88d5a71282bbbe9ca8b5c9e25c2d0e241</x:v>
      </x:c>
      <x:c r="Q195" s="30" t="str">
        <x:v>incoming/raw/recovery-drop-01/statgrad_clean_branch_v0_01_bundle.zip!/november_visual_package_v082.zip!/november_visual_package_v082/chem_nov_visual_assets_v079.zip!/chem_nov_visual_assets_v079/full/VIS-CHEM-NOV-046_full.jpg</x:v>
      </x:c>
      <x:c r="R195" s="30" t="str">
        <x:v>MATCHED_ASSET</x:v>
      </x:c>
      <x:c r="S195" t="e">
        <x:f>HYPERLINK("visual_gallery/index.html#"&amp;A195,"Галерея")</x:f>
      </x:c>
    </x:row>
    <x:row r="196">
      <x:c r="A196" s="87" t="str">
        <x:v>VIS-CHEM-NOV-047</x:v>
      </x:c>
      <x:c r="B196" s="30" t="str">
        <x:v>Химия</x:v>
      </x:c>
      <x:c r="C196" s="30" t="str">
        <x:v>ХИ2510204: полная страница 3 с заданиями 4, 5</x:v>
      </x:c>
      <x:c r="D196" s="30" t="str">
        <x:v>ХИ2510204</x:v>
      </x:c>
      <x:c r="E196" s="87"/>
      <x:c r="F196" s="30" t="str">
        <x:v>Zadanie_KhI11_06112025_.pdf</x:v>
      </x:c>
      <x:c r="G196" s="87" t="str">
        <x:v>19</x:v>
      </x:c>
      <x:c r="H196" s="87" t="str">
        <x:v>v0.81</x:v>
      </x:c>
      <x:c r="I196" s="87" t="str">
        <x:v>2</x:v>
      </x:c>
      <x:c r="J196" s="30" t="str">
        <x:v>VIS_ID</x:v>
      </x:c>
      <x:c r="K196" s="30" t="str">
        <x:v>NOV-CHEM-V4-004, NOV-CHEM-V4-005</x:v>
      </x:c>
      <x:c r="L196" s="87" t="str">
        <x:v>CROP_VERIFIED</x:v>
      </x:c>
      <x:c r="M196" s="87" t="str">
        <x:v>ORIGINAL_PACKAGE</x:v>
      </x:c>
      <x:c r="N196" s="87"/>
      <x:c r="O196" s="87"/>
      <x:c r="P196" s="87" t="str">
        <x:v>2562a08e878639e7be1d924bdffbb0b43a254bb8e2f884cca6f4b44fe86b1187</x:v>
      </x:c>
      <x:c r="Q196" s="30" t="str">
        <x:v>incoming/raw/recovery-drop-01/statgrad_clean_branch_v0_01_bundle.zip!/november_visual_package_v082.zip!/november_visual_package_v082/chem_nov_visual_assets_v079.zip!/chem_nov_visual_assets_v079/full/VIS-CHEM-NOV-047_full.jpg</x:v>
      </x:c>
      <x:c r="R196" s="30" t="str">
        <x:v>MATCHED_ASSET</x:v>
      </x:c>
      <x:c r="S196" t="e">
        <x:f>HYPERLINK("visual_gallery/index.html#"&amp;A196,"Галерея")</x:f>
      </x:c>
    </x:row>
    <x:row r="197">
      <x:c r="A197" s="87" t="str">
        <x:v>VIS-CHEM-NOV-048</x:v>
      </x:c>
      <x:c r="B197" s="30" t="str">
        <x:v>Химия</x:v>
      </x:c>
      <x:c r="C197" s="30" t="str">
        <x:v>ХИ2510204: полная страница 4 с заданиями 6, 7</x:v>
      </x:c>
      <x:c r="D197" s="30" t="str">
        <x:v>ХИ2510204</x:v>
      </x:c>
      <x:c r="E197" s="87"/>
      <x:c r="F197" s="30" t="str">
        <x:v>Zadanie_KhI11_06112025_.pdf</x:v>
      </x:c>
      <x:c r="G197" s="87" t="str">
        <x:v>20</x:v>
      </x:c>
      <x:c r="H197" s="87" t="str">
        <x:v>v0.81</x:v>
      </x:c>
      <x:c r="I197" s="87" t="str">
        <x:v>2</x:v>
      </x:c>
      <x:c r="J197" s="30" t="str">
        <x:v>VIS_ID</x:v>
      </x:c>
      <x:c r="K197" s="30" t="str">
        <x:v>NOV-CHEM-V4-006, NOV-CHEM-V4-007</x:v>
      </x:c>
      <x:c r="L197" s="87" t="str">
        <x:v>CROP_VERIFIED</x:v>
      </x:c>
      <x:c r="M197" s="87" t="str">
        <x:v>ORIGINAL_PACKAGE</x:v>
      </x:c>
      <x:c r="N197" s="87"/>
      <x:c r="O197" s="87"/>
      <x:c r="P197" s="87" t="str">
        <x:v>c3301891291bfbcab7f4e711d71dbd7df557f09767209fb23a009c60d13fe1d1</x:v>
      </x:c>
      <x:c r="Q197" s="30" t="str">
        <x:v>incoming/raw/recovery-drop-01/statgrad_clean_branch_v0_01_bundle.zip!/november_visual_package_v082.zip!/november_visual_package_v082/chem_nov_visual_assets_v079.zip!/chem_nov_visual_assets_v079/full/VIS-CHEM-NOV-048_full.jpg</x:v>
      </x:c>
      <x:c r="R197" s="30" t="str">
        <x:v>MATCHED_ASSET</x:v>
      </x:c>
      <x:c r="S197" t="e">
        <x:f>HYPERLINK("visual_gallery/index.html#"&amp;A197,"Галерея")</x:f>
      </x:c>
    </x:row>
    <x:row r="198">
      <x:c r="A198" s="87" t="str">
        <x:v>VIS-CHEM-NOV-049</x:v>
      </x:c>
      <x:c r="B198" s="30" t="str">
        <x:v>Химия</x:v>
      </x:c>
      <x:c r="C198" s="30" t="str">
        <x:v>ХИ2510204: полная страница 5 с заданиями 8, 9</x:v>
      </x:c>
      <x:c r="D198" s="30" t="str">
        <x:v>ХИ2510204</x:v>
      </x:c>
      <x:c r="E198" s="87"/>
      <x:c r="F198" s="30" t="str">
        <x:v>Zadanie_KhI11_06112025_.pdf</x:v>
      </x:c>
      <x:c r="G198" s="87" t="str">
        <x:v>21</x:v>
      </x:c>
      <x:c r="H198" s="87" t="str">
        <x:v>v0.81</x:v>
      </x:c>
      <x:c r="I198" s="87" t="str">
        <x:v>2</x:v>
      </x:c>
      <x:c r="J198" s="30" t="str">
        <x:v>VIS_ID</x:v>
      </x:c>
      <x:c r="K198" s="30" t="str">
        <x:v>NOV-CHEM-V4-008, NOV-CHEM-V4-009</x:v>
      </x:c>
      <x:c r="L198" s="87" t="str">
        <x:v>CROP_VERIFIED</x:v>
      </x:c>
      <x:c r="M198" s="87" t="str">
        <x:v>ORIGINAL_PACKAGE</x:v>
      </x:c>
      <x:c r="N198" s="87"/>
      <x:c r="O198" s="87"/>
      <x:c r="P198" s="87" t="str">
        <x:v>50b147218db37bf2f4e9720b564f9e078ff8b46d52616a59d6217860aafc3965</x:v>
      </x:c>
      <x:c r="Q198" s="30" t="str">
        <x:v>incoming/raw/recovery-drop-01/statgrad_clean_branch_v0_01_bundle.zip!/november_visual_package_v082.zip!/november_visual_package_v082/chem_nov_visual_assets_v079.zip!/chem_nov_visual_assets_v079/full/VIS-CHEM-NOV-049_full.jpg</x:v>
      </x:c>
      <x:c r="R198" s="30" t="str">
        <x:v>MATCHED_ASSET</x:v>
      </x:c>
      <x:c r="S198" t="e">
        <x:f>HYPERLINK("visual_gallery/index.html#"&amp;A198,"Галерея")</x:f>
      </x:c>
    </x:row>
    <x:row r="199">
      <x:c r="A199" s="87" t="str">
        <x:v>VIS-CHEM-NOV-050</x:v>
      </x:c>
      <x:c r="B199" s="30" t="str">
        <x:v>Химия</x:v>
      </x:c>
      <x:c r="C199" s="30" t="str">
        <x:v>ХИ2510204: полная страница 6 с заданиями 10, 11, 12</x:v>
      </x:c>
      <x:c r="D199" s="30" t="str">
        <x:v>ХИ2510204</x:v>
      </x:c>
      <x:c r="E199" s="87"/>
      <x:c r="F199" s="30" t="str">
        <x:v>Zadanie_KhI11_06112025_.pdf</x:v>
      </x:c>
      <x:c r="G199" s="87" t="str">
        <x:v>22</x:v>
      </x:c>
      <x:c r="H199" s="87" t="str">
        <x:v>v0.81</x:v>
      </x:c>
      <x:c r="I199" s="87" t="str">
        <x:v>3</x:v>
      </x:c>
      <x:c r="J199" s="30" t="str">
        <x:v>VIS_ID</x:v>
      </x:c>
      <x:c r="K199" s="30" t="str">
        <x:v>NOV-CHEM-V4-010, NOV-CHEM-V4-011, NOV-CHEM-V4-012</x:v>
      </x:c>
      <x:c r="L199" s="87" t="str">
        <x:v>CROP_VERIFIED</x:v>
      </x:c>
      <x:c r="M199" s="87" t="str">
        <x:v>ORIGINAL_PACKAGE</x:v>
      </x:c>
      <x:c r="N199" s="87"/>
      <x:c r="O199" s="87"/>
      <x:c r="P199" s="87" t="str">
        <x:v>60273cb84a3284c919c466349882449d68c6c6909966c480400644d7d317be1a</x:v>
      </x:c>
      <x:c r="Q199" s="30" t="str">
        <x:v>incoming/raw/recovery-drop-01/statgrad_clean_branch_v0_01_bundle.zip!/november_visual_package_v082.zip!/november_visual_package_v082/chem_nov_visual_assets_v079.zip!/chem_nov_visual_assets_v079/full/VIS-CHEM-NOV-050_full.jpg</x:v>
      </x:c>
      <x:c r="R199" s="30" t="str">
        <x:v>MATCHED_ASSET</x:v>
      </x:c>
      <x:c r="S199" t="e">
        <x:f>HYPERLINK("visual_gallery/index.html#"&amp;A199,"Галерея")</x:f>
      </x:c>
    </x:row>
    <x:row r="200">
      <x:c r="A200" s="87" t="str">
        <x:v>VIS-CHEM-NOV-051</x:v>
      </x:c>
      <x:c r="B200" s="30" t="str">
        <x:v>Химия</x:v>
      </x:c>
      <x:c r="C200" s="30" t="str">
        <x:v>ХИ2510204: полная страница 7 с заданиями 13, 14</x:v>
      </x:c>
      <x:c r="D200" s="30" t="str">
        <x:v>ХИ2510204</x:v>
      </x:c>
      <x:c r="E200" s="87"/>
      <x:c r="F200" s="30" t="str">
        <x:v>Zadanie_KhI11_06112025_.pdf</x:v>
      </x:c>
      <x:c r="G200" s="87" t="str">
        <x:v>23</x:v>
      </x:c>
      <x:c r="H200" s="87" t="str">
        <x:v>v0.81</x:v>
      </x:c>
      <x:c r="I200" s="87" t="str">
        <x:v>2</x:v>
      </x:c>
      <x:c r="J200" s="30" t="str">
        <x:v>VIS_ID</x:v>
      </x:c>
      <x:c r="K200" s="30" t="str">
        <x:v>NOV-CHEM-V4-013, NOV-CHEM-V4-014</x:v>
      </x:c>
      <x:c r="L200" s="87" t="str">
        <x:v>CROP_VERIFIED</x:v>
      </x:c>
      <x:c r="M200" s="87" t="str">
        <x:v>ORIGINAL_PACKAGE</x:v>
      </x:c>
      <x:c r="N200" s="87"/>
      <x:c r="O200" s="87"/>
      <x:c r="P200" s="87" t="str">
        <x:v>3b5ea37c8096a69aae990a569f35a251041e439b513b14a168ad5b706e4d59d2</x:v>
      </x:c>
      <x:c r="Q200" s="30" t="str">
        <x:v>incoming/raw/recovery-drop-01/statgrad_clean_branch_v0_01_bundle.zip!/november_visual_package_v082.zip!/november_visual_package_v082/chem_nov_visual_assets_v079.zip!/chem_nov_visual_assets_v079/full/VIS-CHEM-NOV-051_full.jpg</x:v>
      </x:c>
      <x:c r="R200" s="30" t="str">
        <x:v>MATCHED_ASSET</x:v>
      </x:c>
      <x:c r="S200" t="e">
        <x:f>HYPERLINK("visual_gallery/index.html#"&amp;A200,"Галерея")</x:f>
      </x:c>
    </x:row>
    <x:row r="201">
      <x:c r="A201" s="87" t="str">
        <x:v>VIS-CHEM-NOV-052</x:v>
      </x:c>
      <x:c r="B201" s="30" t="str">
        <x:v>Химия</x:v>
      </x:c>
      <x:c r="C201" s="30" t="str">
        <x:v>ХИ2510204: полная страница 8 с заданиями 15, 16</x:v>
      </x:c>
      <x:c r="D201" s="30" t="str">
        <x:v>ХИ2510204</x:v>
      </x:c>
      <x:c r="E201" s="87"/>
      <x:c r="F201" s="30" t="str">
        <x:v>Zadanie_KhI11_06112025_.pdf</x:v>
      </x:c>
      <x:c r="G201" s="87" t="str">
        <x:v>24</x:v>
      </x:c>
      <x:c r="H201" s="87" t="str">
        <x:v>v0.81</x:v>
      </x:c>
      <x:c r="I201" s="87" t="str">
        <x:v>2</x:v>
      </x:c>
      <x:c r="J201" s="30" t="str">
        <x:v>VIS_ID</x:v>
      </x:c>
      <x:c r="K201" s="30" t="str">
        <x:v>NOV-CHEM-V4-015, NOV-CHEM-V4-016</x:v>
      </x:c>
      <x:c r="L201" s="87" t="str">
        <x:v>CROP_VERIFIED</x:v>
      </x:c>
      <x:c r="M201" s="87" t="str">
        <x:v>ORIGINAL_PACKAGE</x:v>
      </x:c>
      <x:c r="N201" s="87"/>
      <x:c r="O201" s="87"/>
      <x:c r="P201" s="87" t="str">
        <x:v>05cf299220298ce6c70b3f9f34ebbf6940bb549d3ba1f6a1d97d76b22bd13ded</x:v>
      </x:c>
      <x:c r="Q201" s="30" t="str">
        <x:v>incoming/raw/recovery-drop-01/statgrad_clean_branch_v0_01_bundle.zip!/november_visual_package_v082.zip!/november_visual_package_v082/chem_nov_visual_assets_v079.zip!/chem_nov_visual_assets_v079/full/VIS-CHEM-NOV-052_full.jpg</x:v>
      </x:c>
      <x:c r="R201" s="30" t="str">
        <x:v>MATCHED_ASSET</x:v>
      </x:c>
      <x:c r="S201" t="e">
        <x:f>HYPERLINK("visual_gallery/index.html#"&amp;A201,"Галерея")</x:f>
      </x:c>
    </x:row>
    <x:row r="202">
      <x:c r="A202" s="87" t="str">
        <x:v>VIS-CHEM-NOV-053</x:v>
      </x:c>
      <x:c r="B202" s="30" t="str">
        <x:v>Химия</x:v>
      </x:c>
      <x:c r="C202" s="30" t="str">
        <x:v>ХИ2510204: полная страница 9 с заданиями 17, 18</x:v>
      </x:c>
      <x:c r="D202" s="30" t="str">
        <x:v>ХИ2510204</x:v>
      </x:c>
      <x:c r="E202" s="87"/>
      <x:c r="F202" s="30" t="str">
        <x:v>Zadanie_KhI11_06112025_.pdf</x:v>
      </x:c>
      <x:c r="G202" s="87" t="str">
        <x:v>25</x:v>
      </x:c>
      <x:c r="H202" s="87" t="str">
        <x:v>v0.81</x:v>
      </x:c>
      <x:c r="I202" s="87" t="str">
        <x:v>2</x:v>
      </x:c>
      <x:c r="J202" s="30" t="str">
        <x:v>VIS_ID</x:v>
      </x:c>
      <x:c r="K202" s="30" t="str">
        <x:v>NOV-CHEM-V4-017, NOV-CHEM-V4-018</x:v>
      </x:c>
      <x:c r="L202" s="87" t="str">
        <x:v>CROP_VERIFIED</x:v>
      </x:c>
      <x:c r="M202" s="87" t="str">
        <x:v>ORIGINAL_PACKAGE</x:v>
      </x:c>
      <x:c r="N202" s="87"/>
      <x:c r="O202" s="87"/>
      <x:c r="P202" s="87" t="str">
        <x:v>19ca5a36ee5f4fc3a7365da33b471df85fc16241bec051da156d97e840bfd069</x:v>
      </x:c>
      <x:c r="Q202" s="30" t="str">
        <x:v>incoming/raw/recovery-drop-01/statgrad_clean_branch_v0_01_bundle.zip!/november_visual_package_v082.zip!/november_visual_package_v082/chem_nov_visual_assets_v079.zip!/chem_nov_visual_assets_v079/full/VIS-CHEM-NOV-053_full.jpg</x:v>
      </x:c>
      <x:c r="R202" s="30" t="str">
        <x:v>MATCHED_ASSET</x:v>
      </x:c>
      <x:c r="S202" t="e">
        <x:f>HYPERLINK("visual_gallery/index.html#"&amp;A202,"Галерея")</x:f>
      </x:c>
    </x:row>
    <x:row r="203">
      <x:c r="A203" s="87" t="str">
        <x:v>VIS-CHEM-NOV-054</x:v>
      </x:c>
      <x:c r="B203" s="30" t="str">
        <x:v>Химия</x:v>
      </x:c>
      <x:c r="C203" s="30" t="str">
        <x:v>ХИ2510204: полная страница 10 с заданиями 19, 20</x:v>
      </x:c>
      <x:c r="D203" s="30" t="str">
        <x:v>ХИ2510204</x:v>
      </x:c>
      <x:c r="E203" s="87"/>
      <x:c r="F203" s="30" t="str">
        <x:v>Zadanie_KhI11_06112025_.pdf</x:v>
      </x:c>
      <x:c r="G203" s="87" t="str">
        <x:v>26</x:v>
      </x:c>
      <x:c r="H203" s="87" t="str">
        <x:v>v0.81</x:v>
      </x:c>
      <x:c r="I203" s="87" t="str">
        <x:v>2</x:v>
      </x:c>
      <x:c r="J203" s="30" t="str">
        <x:v>VIS_ID</x:v>
      </x:c>
      <x:c r="K203" s="30" t="str">
        <x:v>NOV-CHEM-V4-019, NOV-CHEM-V4-020</x:v>
      </x:c>
      <x:c r="L203" s="87" t="str">
        <x:v>CROP_VERIFIED</x:v>
      </x:c>
      <x:c r="M203" s="87" t="str">
        <x:v>ORIGINAL_PACKAGE</x:v>
      </x:c>
      <x:c r="N203" s="87"/>
      <x:c r="O203" s="87"/>
      <x:c r="P203" s="87" t="str">
        <x:v>052c1896242bda482619e34a76b69d840dced6d62353bfec225006e442ba64fe</x:v>
      </x:c>
      <x:c r="Q203" s="30" t="str">
        <x:v>incoming/raw/recovery-drop-01/statgrad_clean_branch_v0_01_bundle.zip!/november_visual_package_v082.zip!/november_visual_package_v082/chem_nov_visual_assets_v079.zip!/chem_nov_visual_assets_v079/full/VIS-CHEM-NOV-054_full.jpg</x:v>
      </x:c>
      <x:c r="R203" s="30" t="str">
        <x:v>MATCHED_ASSET</x:v>
      </x:c>
      <x:c r="S203" t="e">
        <x:f>HYPERLINK("visual_gallery/index.html#"&amp;A203,"Галерея")</x:f>
      </x:c>
    </x:row>
    <x:row r="204">
      <x:c r="A204" s="87" t="str">
        <x:v>VIS-CHEM-NOV-055</x:v>
      </x:c>
      <x:c r="B204" s="30" t="str">
        <x:v>Химия</x:v>
      </x:c>
      <x:c r="C204" s="30" t="str">
        <x:v>ХИ2510204: полная страница 11 с заданиями 21</x:v>
      </x:c>
      <x:c r="D204" s="30" t="str">
        <x:v>ХИ2510204</x:v>
      </x:c>
      <x:c r="E204" s="87"/>
      <x:c r="F204" s="30" t="str">
        <x:v>Zadanie_KhI11_06112025_.pdf</x:v>
      </x:c>
      <x:c r="G204" s="87" t="str">
        <x:v>27</x:v>
      </x:c>
      <x:c r="H204" s="87" t="str">
        <x:v>v0.81</x:v>
      </x:c>
      <x:c r="I204" s="87" t="str">
        <x:v>1</x:v>
      </x:c>
      <x:c r="J204" s="30" t="str">
        <x:v>VIS_ID</x:v>
      </x:c>
      <x:c r="K204" s="30" t="str">
        <x:v>NOV-CHEM-V4-021</x:v>
      </x:c>
      <x:c r="L204" s="87" t="str">
        <x:v>CROP_VERIFIED</x:v>
      </x:c>
      <x:c r="M204" s="87" t="str">
        <x:v>ORIGINAL_PACKAGE</x:v>
      </x:c>
      <x:c r="N204" s="87"/>
      <x:c r="O204" s="87"/>
      <x:c r="P204" s="87" t="str">
        <x:v>8d6f613acbc75bfb8defb40b0bb4f944b7b354213852d13d26b825067e39a628</x:v>
      </x:c>
      <x:c r="Q204" s="30" t="str">
        <x:v>incoming/raw/recovery-drop-01/statgrad_clean_branch_v0_01_bundle.zip!/november_visual_package_v082.zip!/november_visual_package_v082/chem_nov_visual_assets_v079.zip!/chem_nov_visual_assets_v079/full/VIS-CHEM-NOV-055_full.jpg</x:v>
      </x:c>
      <x:c r="R204" s="30" t="str">
        <x:v>MATCHED_ASSET</x:v>
      </x:c>
      <x:c r="S204" t="e">
        <x:f>HYPERLINK("visual_gallery/index.html#"&amp;A204,"Галерея")</x:f>
      </x:c>
    </x:row>
    <x:row r="205">
      <x:c r="A205" s="87" t="str">
        <x:v>VIS-CHEM-NOV-056</x:v>
      </x:c>
      <x:c r="B205" s="30" t="str">
        <x:v>Химия</x:v>
      </x:c>
      <x:c r="C205" s="30" t="str">
        <x:v>ХИ2510204: полная страница 12 с заданиями 22, 23</x:v>
      </x:c>
      <x:c r="D205" s="30" t="str">
        <x:v>ХИ2510204</x:v>
      </x:c>
      <x:c r="E205" s="87"/>
      <x:c r="F205" s="30" t="str">
        <x:v>Zadanie_KhI11_06112025_.pdf</x:v>
      </x:c>
      <x:c r="G205" s="87" t="str">
        <x:v>28</x:v>
      </x:c>
      <x:c r="H205" s="87" t="str">
        <x:v>v0.81</x:v>
      </x:c>
      <x:c r="I205" s="87" t="str">
        <x:v>2</x:v>
      </x:c>
      <x:c r="J205" s="30" t="str">
        <x:v>VIS_ID</x:v>
      </x:c>
      <x:c r="K205" s="30" t="str">
        <x:v>NOV-CHEM-V4-022, NOV-CHEM-V4-023</x:v>
      </x:c>
      <x:c r="L205" s="87" t="str">
        <x:v>CROP_VERIFIED</x:v>
      </x:c>
      <x:c r="M205" s="87" t="str">
        <x:v>ORIGINAL_PACKAGE</x:v>
      </x:c>
      <x:c r="N205" s="87"/>
      <x:c r="O205" s="87"/>
      <x:c r="P205" s="87" t="str">
        <x:v>5bd564193092224ed94824f2473073d41559ecb03e8fa2448848df328c4be143</x:v>
      </x:c>
      <x:c r="Q205" s="30" t="str">
        <x:v>incoming/raw/recovery-drop-01/statgrad_clean_branch_v0_01_bundle.zip!/november_visual_package_v082.zip!/november_visual_package_v082/chem_nov_visual_assets_v079.zip!/chem_nov_visual_assets_v079/full/VIS-CHEM-NOV-056_full.jpg</x:v>
      </x:c>
      <x:c r="R205" s="30" t="str">
        <x:v>MATCHED_ASSET</x:v>
      </x:c>
      <x:c r="S205" t="e">
        <x:f>HYPERLINK("visual_gallery/index.html#"&amp;A205,"Галерея")</x:f>
      </x:c>
    </x:row>
    <x:row r="206">
      <x:c r="A206" s="87" t="str">
        <x:v>VIS-CHEM-NOV-057</x:v>
      </x:c>
      <x:c r="B206" s="30" t="str">
        <x:v>Химия</x:v>
      </x:c>
      <x:c r="C206" s="30" t="str">
        <x:v>ХИ2510204: полная страница 13 с заданиями 24, 25</x:v>
      </x:c>
      <x:c r="D206" s="30" t="str">
        <x:v>ХИ2510204</x:v>
      </x:c>
      <x:c r="E206" s="87"/>
      <x:c r="F206" s="30" t="str">
        <x:v>Zadanie_KhI11_06112025_.pdf</x:v>
      </x:c>
      <x:c r="G206" s="87" t="str">
        <x:v>29</x:v>
      </x:c>
      <x:c r="H206" s="87" t="str">
        <x:v>v0.81</x:v>
      </x:c>
      <x:c r="I206" s="87" t="str">
        <x:v>2</x:v>
      </x:c>
      <x:c r="J206" s="30" t="str">
        <x:v>VIS_ID</x:v>
      </x:c>
      <x:c r="K206" s="30" t="str">
        <x:v>NOV-CHEM-V4-024, NOV-CHEM-V4-025</x:v>
      </x:c>
      <x:c r="L206" s="87" t="str">
        <x:v>CROP_VERIFIED</x:v>
      </x:c>
      <x:c r="M206" s="87" t="str">
        <x:v>ORIGINAL_PACKAGE</x:v>
      </x:c>
      <x:c r="N206" s="87"/>
      <x:c r="O206" s="87"/>
      <x:c r="P206" s="87" t="str">
        <x:v>76ad6376416a17c7befe35b90deff2a808e1380d08770c467ffde2e6abcb7958</x:v>
      </x:c>
      <x:c r="Q206" s="30" t="str">
        <x:v>incoming/raw/recovery-drop-01/statgrad_clean_branch_v0_01_bundle.zip!/november_visual_package_v082.zip!/november_visual_package_v082/chem_nov_visual_assets_v079.zip!/chem_nov_visual_assets_v079/full/VIS-CHEM-NOV-057_full.jpg</x:v>
      </x:c>
      <x:c r="R206" s="30" t="str">
        <x:v>MATCHED_ASSET</x:v>
      </x:c>
      <x:c r="S206" t="e">
        <x:f>HYPERLINK("visual_gallery/index.html#"&amp;A206,"Галерея")</x:f>
      </x:c>
    </x:row>
    <x:row r="207">
      <x:c r="A207" s="87" t="str">
        <x:v>VIS-CHEM-NOV-058</x:v>
      </x:c>
      <x:c r="B207" s="30" t="str">
        <x:v>Химия</x:v>
      </x:c>
      <x:c r="C207" s="30" t="str">
        <x:v>ХИ2510204: полная страница 14 с заданиями 26, 27, 28</x:v>
      </x:c>
      <x:c r="D207" s="30" t="str">
        <x:v>ХИ2510204</x:v>
      </x:c>
      <x:c r="E207" s="87"/>
      <x:c r="F207" s="30" t="str">
        <x:v>Zadanie_KhI11_06112025_.pdf</x:v>
      </x:c>
      <x:c r="G207" s="87" t="str">
        <x:v>30</x:v>
      </x:c>
      <x:c r="H207" s="87" t="str">
        <x:v>v0.81</x:v>
      </x:c>
      <x:c r="I207" s="87" t="str">
        <x:v>3</x:v>
      </x:c>
      <x:c r="J207" s="30" t="str">
        <x:v>VIS_ID</x:v>
      </x:c>
      <x:c r="K207" s="30" t="str">
        <x:v>NOV-CHEM-V4-026, NOV-CHEM-V4-027, NOV-CHEM-V4-028</x:v>
      </x:c>
      <x:c r="L207" s="87" t="str">
        <x:v>CROP_VERIFIED</x:v>
      </x:c>
      <x:c r="M207" s="87" t="str">
        <x:v>ORIGINAL_PACKAGE</x:v>
      </x:c>
      <x:c r="N207" s="87"/>
      <x:c r="O207" s="87"/>
      <x:c r="P207" s="87" t="str">
        <x:v>593d9f986105e976e24e9bba72c14a7f11544631b5a20c5672aa81ca7049105f</x:v>
      </x:c>
      <x:c r="Q207" s="30" t="str">
        <x:v>incoming/raw/recovery-drop-01/statgrad_clean_branch_v0_01_bundle.zip!/november_visual_package_v082.zip!/november_visual_package_v082/chem_nov_visual_assets_v079.zip!/chem_nov_visual_assets_v079/full/VIS-CHEM-NOV-058_full.jpg</x:v>
      </x:c>
      <x:c r="R207" s="30" t="str">
        <x:v>MATCHED_ASSET</x:v>
      </x:c>
      <x:c r="S207" t="e">
        <x:f>HYPERLINK("visual_gallery/index.html#"&amp;A207,"Галерея")</x:f>
      </x:c>
    </x:row>
    <x:row r="208">
      <x:c r="A208" s="87" t="str">
        <x:v>VIS-CHEM-NOV-059</x:v>
      </x:c>
      <x:c r="B208" s="30" t="str">
        <x:v>Химия</x:v>
      </x:c>
      <x:c r="C208" s="30" t="str">
        <x:v>ХИ2510204: полная страница 15 с заданиями 29, 30, 31, 32</x:v>
      </x:c>
      <x:c r="D208" s="30" t="str">
        <x:v>ХИ2510204</x:v>
      </x:c>
      <x:c r="E208" s="87"/>
      <x:c r="F208" s="30" t="str">
        <x:v>Zadanie_KhI11_06112025_.pdf</x:v>
      </x:c>
      <x:c r="G208" s="87" t="str">
        <x:v>31</x:v>
      </x:c>
      <x:c r="H208" s="87" t="str">
        <x:v>v0.81</x:v>
      </x:c>
      <x:c r="I208" s="87" t="str">
        <x:v>4</x:v>
      </x:c>
      <x:c r="J208" s="30" t="str">
        <x:v>VIS_ID</x:v>
      </x:c>
      <x:c r="K208" s="30" t="str">
        <x:v>NOV-CHEM-V4-029, NOV-CHEM-V4-030, NOV-CHEM-V4-031, NOV-CHEM-V4-032</x:v>
      </x:c>
      <x:c r="L208" s="87" t="str">
        <x:v>CROP_VERIFIED</x:v>
      </x:c>
      <x:c r="M208" s="87" t="str">
        <x:v>ORIGINAL_PACKAGE</x:v>
      </x:c>
      <x:c r="N208" s="87"/>
      <x:c r="O208" s="87"/>
      <x:c r="P208" s="87" t="str">
        <x:v>8885d2c78b29138f81b06dbb5949dbd70a2853af079e2b0eefe66f6d948b7c72</x:v>
      </x:c>
      <x:c r="Q208" s="30" t="str">
        <x:v>incoming/raw/recovery-drop-01/statgrad_clean_branch_v0_01_bundle.zip!/november_visual_package_v082.zip!/november_visual_package_v082/chem_nov_visual_assets_v079.zip!/chem_nov_visual_assets_v079/full/VIS-CHEM-NOV-059_full.jpg</x:v>
      </x:c>
      <x:c r="R208" s="30" t="str">
        <x:v>MATCHED_ASSET</x:v>
      </x:c>
      <x:c r="S208" t="e">
        <x:f>HYPERLINK("visual_gallery/index.html#"&amp;A208,"Галерея")</x:f>
      </x:c>
    </x:row>
    <x:row r="209">
      <x:c r="A209" s="87" t="str">
        <x:v>VIS-CHEM-NOV-060</x:v>
      </x:c>
      <x:c r="B209" s="30" t="str">
        <x:v>Химия</x:v>
      </x:c>
      <x:c r="C209" s="30" t="str">
        <x:v>ХИ2510204: полная страница 16 с заданиями 33, 34</x:v>
      </x:c>
      <x:c r="D209" s="30" t="str">
        <x:v>ХИ2510204</x:v>
      </x:c>
      <x:c r="E209" s="87"/>
      <x:c r="F209" s="30" t="str">
        <x:v>Zadanie_KhI11_06112025_.pdf</x:v>
      </x:c>
      <x:c r="G209" s="87" t="str">
        <x:v>32</x:v>
      </x:c>
      <x:c r="H209" s="87" t="str">
        <x:v>v0.81</x:v>
      </x:c>
      <x:c r="I209" s="87" t="str">
        <x:v>2</x:v>
      </x:c>
      <x:c r="J209" s="30" t="str">
        <x:v>VIS_ID</x:v>
      </x:c>
      <x:c r="K209" s="30" t="str">
        <x:v>NOV-CHEM-V4-033, NOV-CHEM-V4-034</x:v>
      </x:c>
      <x:c r="L209" s="87" t="str">
        <x:v>CROP_VERIFIED</x:v>
      </x:c>
      <x:c r="M209" s="87" t="str">
        <x:v>ORIGINAL_PACKAGE</x:v>
      </x:c>
      <x:c r="N209" s="87"/>
      <x:c r="O209" s="87"/>
      <x:c r="P209" s="87" t="str">
        <x:v>0ba9daf243209599d5b3940aa7faf47bf33d51185b64ac5c1b3933d70867cb19</x:v>
      </x:c>
      <x:c r="Q209" s="30" t="str">
        <x:v>incoming/raw/recovery-drop-01/statgrad_clean_branch_v0_01_bundle.zip!/november_visual_package_v082.zip!/november_visual_package_v082/chem_nov_visual_assets_v079.zip!/chem_nov_visual_assets_v079/full/VIS-CHEM-NOV-060_full.jpg</x:v>
      </x:c>
      <x:c r="R209" s="30" t="str">
        <x:v>MATCHED_ASSET</x:v>
      </x:c>
      <x:c r="S209" t="e">
        <x:f>HYPERLINK("visual_gallery/index.html#"&amp;A209,"Галерея")</x:f>
      </x:c>
    </x:row>
    <x:row r="210">
      <x:c r="A210" s="87" t="str">
        <x:v>VIS-EGKR-BIO-S26-CRITERIA-P001</x:v>
      </x:c>
      <x:c r="B210" s="30" t="str">
        <x:v>Биология</x:v>
      </x:c>
      <x:c r="C210" s="30"/>
      <x:c r="D210" s="30" t="str">
        <x:v>954–956</x:v>
      </x:c>
      <x:c r="E210" s="87" t="str">
        <x:v>OFFICIAL_CRITERIA</x:v>
      </x:c>
      <x:c r="F210" s="30" t="str">
        <x:v>EGKR_140426_kriterii.pdf</x:v>
      </x:c>
      <x:c r="G210" s="87" t="str">
        <x:v>1</x:v>
      </x:c>
      <x:c r="H210" s="87" t="str">
        <x:v>v1.05</x:v>
      </x:c>
      <x:c r="I210" s="87" t="str">
        <x:v>1</x:v>
      </x:c>
      <x:c r="J210" s="30" t="str">
        <x:v>VIS_KEY / MODEL</x:v>
      </x:c>
      <x:c r="K210" s="30" t="str">
        <x:v>EGKR-S26-BIO-954-22</x:v>
      </x:c>
      <x:c r="L210" s="87" t="str">
        <x:v>CROP_VERIFIED</x:v>
      </x:c>
      <x:c r="M210" s="87" t="str">
        <x:v>ORIGINAL_PACKAGE</x:v>
      </x:c>
      <x:c r="N210" s="87" t="str">
        <x:v>pages/VIS-EGKR-BIO-S26-CRITERIA-P001.png</x:v>
      </x:c>
      <x:c r="O210" s="87" t="str">
        <x:v>thumbnails/VIS-EGKR-BIO-S26-CRITERIA-P001.jpg</x:v>
      </x:c>
      <x:c r="P210" s="87" t="str">
        <x:v>9a5bf18dca6d63caf71bc77cfd8856ef97568a247567feec9ae72f156cd21696</x:v>
      </x:c>
      <x:c r="Q210" s="30" t="str">
        <x:v>incoming/raw/recovery-drop-01/biology_egkr_spring_visual_assets_v105.zip!/pages/VIS-EGKR-BIO-S26-CRITERIA-P001.png</x:v>
      </x:c>
      <x:c r="R210" s="30" t="str">
        <x:v>MATCHED_ASSET</x:v>
      </x:c>
      <x:c r="S210" t="e">
        <x:f>HYPERLINK("visual_gallery/index.html#"&amp;A210,"Галерея")</x:f>
      </x:c>
    </x:row>
    <x:row r="211">
      <x:c r="A211" s="87" t="str">
        <x:v>VIS-EGKR-BIO-S26-CRITERIA-P002</x:v>
      </x:c>
      <x:c r="B211" s="30" t="str">
        <x:v>Биология</x:v>
      </x:c>
      <x:c r="C211" s="30"/>
      <x:c r="D211" s="30" t="str">
        <x:v>954–956</x:v>
      </x:c>
      <x:c r="E211" s="87" t="str">
        <x:v>OFFICIAL_CRITERIA</x:v>
      </x:c>
      <x:c r="F211" s="30" t="str">
        <x:v>EGKR_140426_kriterii.pdf</x:v>
      </x:c>
      <x:c r="G211" s="87" t="str">
        <x:v>2</x:v>
      </x:c>
      <x:c r="H211" s="87" t="str">
        <x:v>v1.05</x:v>
      </x:c>
      <x:c r="I211" s="87" t="str">
        <x:v>2</x:v>
      </x:c>
      <x:c r="J211" s="30" t="str">
        <x:v>VIS_KEY / MODEL</x:v>
      </x:c>
      <x:c r="K211" s="30" t="str">
        <x:v>EGKR-S26-BIO-954-23, EGKR-S26-BIO-954-24</x:v>
      </x:c>
      <x:c r="L211" s="87" t="str">
        <x:v>CROP_VERIFIED</x:v>
      </x:c>
      <x:c r="M211" s="87" t="str">
        <x:v>ORIGINAL_PACKAGE</x:v>
      </x:c>
      <x:c r="N211" s="87" t="str">
        <x:v>pages/VIS-EGKR-BIO-S26-CRITERIA-P002.png</x:v>
      </x:c>
      <x:c r="O211" s="87" t="str">
        <x:v>thumbnails/VIS-EGKR-BIO-S26-CRITERIA-P002.jpg</x:v>
      </x:c>
      <x:c r="P211" s="87" t="str">
        <x:v>d92246d4da0c15a6298235b4891b9b69b32a4e704574c37e4565bc6d4f1b95db</x:v>
      </x:c>
      <x:c r="Q211" s="30" t="str">
        <x:v>incoming/raw/recovery-drop-01/biology_egkr_spring_visual_assets_v105.zip!/pages/VIS-EGKR-BIO-S26-CRITERIA-P002.png</x:v>
      </x:c>
      <x:c r="R211" s="30" t="str">
        <x:v>MATCHED_ASSET</x:v>
      </x:c>
      <x:c r="S211" t="e">
        <x:f>HYPERLINK("visual_gallery/index.html#"&amp;A211,"Галерея")</x:f>
      </x:c>
    </x:row>
    <x:row r="212">
      <x:c r="A212" s="87" t="str">
        <x:v>VIS-EGKR-BIO-S26-CRITERIA-P003</x:v>
      </x:c>
      <x:c r="B212" s="30" t="str">
        <x:v>Биология</x:v>
      </x:c>
      <x:c r="C212" s="30"/>
      <x:c r="D212" s="30" t="str">
        <x:v>954–956</x:v>
      </x:c>
      <x:c r="E212" s="87" t="str">
        <x:v>OFFICIAL_CRITERIA</x:v>
      </x:c>
      <x:c r="F212" s="30" t="str">
        <x:v>EGKR_140426_kriterii.pdf</x:v>
      </x:c>
      <x:c r="G212" s="87" t="str">
        <x:v>3</x:v>
      </x:c>
      <x:c r="H212" s="87" t="str">
        <x:v>v1.05</x:v>
      </x:c>
      <x:c r="I212" s="87" t="str">
        <x:v>2</x:v>
      </x:c>
      <x:c r="J212" s="30" t="str">
        <x:v>VIS_KEY / MODEL</x:v>
      </x:c>
      <x:c r="K212" s="30" t="str">
        <x:v>EGKR-S26-BIO-954-25, EGKR-S26-BIO-954-26</x:v>
      </x:c>
      <x:c r="L212" s="87" t="str">
        <x:v>CROP_VERIFIED</x:v>
      </x:c>
      <x:c r="M212" s="87" t="str">
        <x:v>ORIGINAL_PACKAGE</x:v>
      </x:c>
      <x:c r="N212" s="87" t="str">
        <x:v>pages/VIS-EGKR-BIO-S26-CRITERIA-P003.png</x:v>
      </x:c>
      <x:c r="O212" s="87" t="str">
        <x:v>thumbnails/VIS-EGKR-BIO-S26-CRITERIA-P003.jpg</x:v>
      </x:c>
      <x:c r="P212" s="87" t="str">
        <x:v>569e8e26b9a5ab2ed2ea136ee807bc50f711d55335c863032518f859f8899bcf</x:v>
      </x:c>
      <x:c r="Q212" s="30" t="str">
        <x:v>incoming/raw/recovery-drop-01/biology_egkr_spring_visual_assets_v105.zip!/pages/VIS-EGKR-BIO-S26-CRITERIA-P003.png</x:v>
      </x:c>
      <x:c r="R212" s="30" t="str">
        <x:v>MATCHED_ASSET</x:v>
      </x:c>
      <x:c r="S212" t="e">
        <x:f>HYPERLINK("visual_gallery/index.html#"&amp;A212,"Галерея")</x:f>
      </x:c>
    </x:row>
    <x:row r="213">
      <x:c r="A213" s="87" t="str">
        <x:v>VIS-EGKR-BIO-S26-CRITERIA-P004</x:v>
      </x:c>
      <x:c r="B213" s="30" t="str">
        <x:v>Биология</x:v>
      </x:c>
      <x:c r="C213" s="30"/>
      <x:c r="D213" s="30" t="str">
        <x:v>954–956</x:v>
      </x:c>
      <x:c r="E213" s="87" t="str">
        <x:v>OFFICIAL_CRITERIA</x:v>
      </x:c>
      <x:c r="F213" s="30" t="str">
        <x:v>EGKR_140426_kriterii.pdf</x:v>
      </x:c>
      <x:c r="G213" s="87" t="str">
        <x:v>4</x:v>
      </x:c>
      <x:c r="H213" s="87" t="str">
        <x:v>v1.05</x:v>
      </x:c>
      <x:c r="I213" s="87" t="str">
        <x:v>1</x:v>
      </x:c>
      <x:c r="J213" s="30" t="str">
        <x:v>VIS_KEY / MODEL</x:v>
      </x:c>
      <x:c r="K213" s="30" t="str">
        <x:v>EGKR-S26-BIO-954-27</x:v>
      </x:c>
      <x:c r="L213" s="87" t="str">
        <x:v>CROP_VERIFIED</x:v>
      </x:c>
      <x:c r="M213" s="87" t="str">
        <x:v>ORIGINAL_PACKAGE</x:v>
      </x:c>
      <x:c r="N213" s="87" t="str">
        <x:v>pages/VIS-EGKR-BIO-S26-CRITERIA-P004.png</x:v>
      </x:c>
      <x:c r="O213" s="87" t="str">
        <x:v>thumbnails/VIS-EGKR-BIO-S26-CRITERIA-P004.jpg</x:v>
      </x:c>
      <x:c r="P213" s="87" t="str">
        <x:v>4db3ca4ababb82840c0b9e18aed031008768c9dc00aba0d76e59c8f6e5fbe825</x:v>
      </x:c>
      <x:c r="Q213" s="30" t="str">
        <x:v>incoming/raw/recovery-drop-01/biology_egkr_spring_visual_assets_v105.zip!/pages/VIS-EGKR-BIO-S26-CRITERIA-P004.png</x:v>
      </x:c>
      <x:c r="R213" s="30" t="str">
        <x:v>MATCHED_ASSET</x:v>
      </x:c>
      <x:c r="S213" t="e">
        <x:f>HYPERLINK("visual_gallery/index.html#"&amp;A213,"Галерея")</x:f>
      </x:c>
    </x:row>
    <x:row r="214">
      <x:c r="A214" s="87" t="str">
        <x:v>VIS-EGKR-BIO-S26-CRITERIA-P005</x:v>
      </x:c>
      <x:c r="B214" s="30" t="str">
        <x:v>Биология</x:v>
      </x:c>
      <x:c r="C214" s="30"/>
      <x:c r="D214" s="30" t="str">
        <x:v>954–956</x:v>
      </x:c>
      <x:c r="E214" s="87" t="str">
        <x:v>OFFICIAL_CRITERIA</x:v>
      </x:c>
      <x:c r="F214" s="30" t="str">
        <x:v>EGKR_140426_kriterii.pdf</x:v>
      </x:c>
      <x:c r="G214" s="87" t="str">
        <x:v>5</x:v>
      </x:c>
      <x:c r="H214" s="87" t="str">
        <x:v>v1.05</x:v>
      </x:c>
      <x:c r="I214" s="87" t="str">
        <x:v>1</x:v>
      </x:c>
      <x:c r="J214" s="30" t="str">
        <x:v>VIS_KEY / MODEL</x:v>
      </x:c>
      <x:c r="K214" s="30" t="str">
        <x:v>EGKR-S26-BIO-954-28</x:v>
      </x:c>
      <x:c r="L214" s="87" t="str">
        <x:v>CROP_VERIFIED</x:v>
      </x:c>
      <x:c r="M214" s="87" t="str">
        <x:v>ORIGINAL_PACKAGE</x:v>
      </x:c>
      <x:c r="N214" s="87" t="str">
        <x:v>pages/VIS-EGKR-BIO-S26-CRITERIA-P005.png</x:v>
      </x:c>
      <x:c r="O214" s="87" t="str">
        <x:v>thumbnails/VIS-EGKR-BIO-S26-CRITERIA-P005.jpg</x:v>
      </x:c>
      <x:c r="P214" s="87" t="str">
        <x:v>70cac31074af57e090aa6ac3fc3f8fae6903cb00a710a0bb7a20a90677d2256d</x:v>
      </x:c>
      <x:c r="Q214" s="30" t="str">
        <x:v>incoming/raw/recovery-drop-01/biology_egkr_spring_visual_assets_v105.zip!/pages/VIS-EGKR-BIO-S26-CRITERIA-P005.png</x:v>
      </x:c>
      <x:c r="R214" s="30" t="str">
        <x:v>MATCHED_ASSET</x:v>
      </x:c>
      <x:c r="S214" t="e">
        <x:f>HYPERLINK("visual_gallery/index.html#"&amp;A214,"Галерея")</x:f>
      </x:c>
    </x:row>
    <x:row r="215">
      <x:c r="A215" s="87" t="str">
        <x:v>VIS-EGKR-BIO-S26-CRITERIA-P006</x:v>
      </x:c>
      <x:c r="B215" s="30" t="str">
        <x:v>Биология</x:v>
      </x:c>
      <x:c r="C215" s="30"/>
      <x:c r="D215" s="30" t="str">
        <x:v>954–956</x:v>
      </x:c>
      <x:c r="E215" s="87" t="str">
        <x:v>OFFICIAL_CRITERIA</x:v>
      </x:c>
      <x:c r="F215" s="30" t="str">
        <x:v>EGKR_140426_kriterii.pdf</x:v>
      </x:c>
      <x:c r="G215" s="87" t="str">
        <x:v>6</x:v>
      </x:c>
      <x:c r="H215" s="87" t="str">
        <x:v>v1.05</x:v>
      </x:c>
      <x:c r="I215" s="87" t="str">
        <x:v>1</x:v>
      </x:c>
      <x:c r="J215" s="30" t="str">
        <x:v>VIS_KEY / MODEL</x:v>
      </x:c>
      <x:c r="K215" s="30" t="str">
        <x:v>EGKR-S26-BIO-955-22</x:v>
      </x:c>
      <x:c r="L215" s="87" t="str">
        <x:v>CROP_VERIFIED</x:v>
      </x:c>
      <x:c r="M215" s="87" t="str">
        <x:v>ORIGINAL_PACKAGE</x:v>
      </x:c>
      <x:c r="N215" s="87" t="str">
        <x:v>pages/VIS-EGKR-BIO-S26-CRITERIA-P006.png</x:v>
      </x:c>
      <x:c r="O215" s="87" t="str">
        <x:v>thumbnails/VIS-EGKR-BIO-S26-CRITERIA-P006.jpg</x:v>
      </x:c>
      <x:c r="P215" s="87" t="str">
        <x:v>65524e5962e9c70093c7c72485dad04bb551a9171d46be5a906911ae469c7652</x:v>
      </x:c>
      <x:c r="Q215" s="30" t="str">
        <x:v>incoming/raw/recovery-drop-01/biology_egkr_spring_visual_assets_v105.zip!/pages/VIS-EGKR-BIO-S26-CRITERIA-P006.png</x:v>
      </x:c>
      <x:c r="R215" s="30" t="str">
        <x:v>MATCHED_ASSET</x:v>
      </x:c>
      <x:c r="S215" t="e">
        <x:f>HYPERLINK("visual_gallery/index.html#"&amp;A215,"Галерея")</x:f>
      </x:c>
    </x:row>
    <x:row r="216">
      <x:c r="A216" s="87" t="str">
        <x:v>VIS-EGKR-BIO-S26-CRITERIA-P007</x:v>
      </x:c>
      <x:c r="B216" s="30" t="str">
        <x:v>Биология</x:v>
      </x:c>
      <x:c r="C216" s="30"/>
      <x:c r="D216" s="30" t="str">
        <x:v>954–956</x:v>
      </x:c>
      <x:c r="E216" s="87" t="str">
        <x:v>OFFICIAL_CRITERIA</x:v>
      </x:c>
      <x:c r="F216" s="30" t="str">
        <x:v>EGKR_140426_kriterii.pdf</x:v>
      </x:c>
      <x:c r="G216" s="87" t="str">
        <x:v>7</x:v>
      </x:c>
      <x:c r="H216" s="87" t="str">
        <x:v>v1.05</x:v>
      </x:c>
      <x:c r="I216" s="87" t="str">
        <x:v>2</x:v>
      </x:c>
      <x:c r="J216" s="30" t="str">
        <x:v>VIS_KEY / MODEL</x:v>
      </x:c>
      <x:c r="K216" s="30" t="str">
        <x:v>EGKR-S26-BIO-955-23, EGKR-S26-BIO-955-24</x:v>
      </x:c>
      <x:c r="L216" s="87" t="str">
        <x:v>CROP_VERIFIED</x:v>
      </x:c>
      <x:c r="M216" s="87" t="str">
        <x:v>ORIGINAL_PACKAGE</x:v>
      </x:c>
      <x:c r="N216" s="87" t="str">
        <x:v>pages/VIS-EGKR-BIO-S26-CRITERIA-P007.png</x:v>
      </x:c>
      <x:c r="O216" s="87" t="str">
        <x:v>thumbnails/VIS-EGKR-BIO-S26-CRITERIA-P007.jpg</x:v>
      </x:c>
      <x:c r="P216" s="87" t="str">
        <x:v>ae4c9baece31849c8af77dba5e24511b5ff99cae97f448faf962483817f6d108</x:v>
      </x:c>
      <x:c r="Q216" s="30" t="str">
        <x:v>incoming/raw/recovery-drop-01/biology_egkr_spring_visual_assets_v105.zip!/pages/VIS-EGKR-BIO-S26-CRITERIA-P007.png</x:v>
      </x:c>
      <x:c r="R216" s="30" t="str">
        <x:v>MATCHED_ASSET</x:v>
      </x:c>
      <x:c r="S216" t="e">
        <x:f>HYPERLINK("visual_gallery/index.html#"&amp;A216,"Галерея")</x:f>
      </x:c>
    </x:row>
    <x:row r="217">
      <x:c r="A217" s="87" t="str">
        <x:v>VIS-EGKR-BIO-S26-CRITERIA-P008</x:v>
      </x:c>
      <x:c r="B217" s="30" t="str">
        <x:v>Биология</x:v>
      </x:c>
      <x:c r="C217" s="30"/>
      <x:c r="D217" s="30" t="str">
        <x:v>954–956</x:v>
      </x:c>
      <x:c r="E217" s="87" t="str">
        <x:v>OFFICIAL_CRITERIA</x:v>
      </x:c>
      <x:c r="F217" s="30" t="str">
        <x:v>EGKR_140426_kriterii.pdf</x:v>
      </x:c>
      <x:c r="G217" s="87" t="str">
        <x:v>8</x:v>
      </x:c>
      <x:c r="H217" s="87" t="str">
        <x:v>v1.05</x:v>
      </x:c>
      <x:c r="I217" s="87" t="str">
        <x:v>2</x:v>
      </x:c>
      <x:c r="J217" s="30" t="str">
        <x:v>VIS_KEY / MODEL</x:v>
      </x:c>
      <x:c r="K217" s="30" t="str">
        <x:v>EGKR-S26-BIO-955-25, EGKR-S26-BIO-955-26</x:v>
      </x:c>
      <x:c r="L217" s="87" t="str">
        <x:v>CROP_VERIFIED</x:v>
      </x:c>
      <x:c r="M217" s="87" t="str">
        <x:v>ORIGINAL_PACKAGE</x:v>
      </x:c>
      <x:c r="N217" s="87" t="str">
        <x:v>pages/VIS-EGKR-BIO-S26-CRITERIA-P008.png</x:v>
      </x:c>
      <x:c r="O217" s="87" t="str">
        <x:v>thumbnails/VIS-EGKR-BIO-S26-CRITERIA-P008.jpg</x:v>
      </x:c>
      <x:c r="P217" s="87" t="str">
        <x:v>dad1a72645bf821c0a095d23859a5efd62bba166db5cc730693864fa143b9601</x:v>
      </x:c>
      <x:c r="Q217" s="30" t="str">
        <x:v>incoming/raw/recovery-drop-01/biology_egkr_spring_visual_assets_v105.zip!/pages/VIS-EGKR-BIO-S26-CRITERIA-P008.png</x:v>
      </x:c>
      <x:c r="R217" s="30" t="str">
        <x:v>MATCHED_ASSET</x:v>
      </x:c>
      <x:c r="S217" t="e">
        <x:f>HYPERLINK("visual_gallery/index.html#"&amp;A217,"Галерея")</x:f>
      </x:c>
    </x:row>
    <x:row r="218">
      <x:c r="A218" s="87" t="str">
        <x:v>VIS-EGKR-BIO-S26-CRITERIA-P009</x:v>
      </x:c>
      <x:c r="B218" s="30" t="str">
        <x:v>Биология</x:v>
      </x:c>
      <x:c r="C218" s="30"/>
      <x:c r="D218" s="30" t="str">
        <x:v>954–956</x:v>
      </x:c>
      <x:c r="E218" s="87" t="str">
        <x:v>OFFICIAL_CRITERIA</x:v>
      </x:c>
      <x:c r="F218" s="30" t="str">
        <x:v>EGKR_140426_kriterii.pdf</x:v>
      </x:c>
      <x:c r="G218" s="87" t="str">
        <x:v>9</x:v>
      </x:c>
      <x:c r="H218" s="87" t="str">
        <x:v>v1.05</x:v>
      </x:c>
      <x:c r="I218" s="87" t="str">
        <x:v>2</x:v>
      </x:c>
      <x:c r="J218" s="30" t="str">
        <x:v>VIS_KEY / MODEL</x:v>
      </x:c>
      <x:c r="K218" s="30" t="str">
        <x:v>EGKR-S26-BIO-955-26, EGKR-S26-BIO-955-27</x:v>
      </x:c>
      <x:c r="L218" s="87" t="str">
        <x:v>CROP_VERIFIED</x:v>
      </x:c>
      <x:c r="M218" s="87" t="str">
        <x:v>ORIGINAL_PACKAGE</x:v>
      </x:c>
      <x:c r="N218" s="87" t="str">
        <x:v>pages/VIS-EGKR-BIO-S26-CRITERIA-P009.png</x:v>
      </x:c>
      <x:c r="O218" s="87" t="str">
        <x:v>thumbnails/VIS-EGKR-BIO-S26-CRITERIA-P009.jpg</x:v>
      </x:c>
      <x:c r="P218" s="87" t="str">
        <x:v>546b210372b220f3626bc00f8a0c0feec1b4a1b170e4e20f7aeddd8464cfc33c</x:v>
      </x:c>
      <x:c r="Q218" s="30" t="str">
        <x:v>incoming/raw/recovery-drop-01/biology_egkr_spring_visual_assets_v105.zip!/pages/VIS-EGKR-BIO-S26-CRITERIA-P009.png</x:v>
      </x:c>
      <x:c r="R218" s="30" t="str">
        <x:v>MATCHED_ASSET</x:v>
      </x:c>
      <x:c r="S218" t="e">
        <x:f>HYPERLINK("visual_gallery/index.html#"&amp;A218,"Галерея")</x:f>
      </x:c>
    </x:row>
    <x:row r="219">
      <x:c r="A219" s="87" t="str">
        <x:v>VIS-EGKR-BIO-S26-CRITERIA-P010</x:v>
      </x:c>
      <x:c r="B219" s="30" t="str">
        <x:v>Биология</x:v>
      </x:c>
      <x:c r="C219" s="30"/>
      <x:c r="D219" s="30" t="str">
        <x:v>954–956</x:v>
      </x:c>
      <x:c r="E219" s="87" t="str">
        <x:v>OFFICIAL_CRITERIA</x:v>
      </x:c>
      <x:c r="F219" s="30" t="str">
        <x:v>EGKR_140426_kriterii.pdf</x:v>
      </x:c>
      <x:c r="G219" s="87" t="str">
        <x:v>10</x:v>
      </x:c>
      <x:c r="H219" s="87" t="str">
        <x:v>v1.05</x:v>
      </x:c>
      <x:c r="I219" s="87" t="str">
        <x:v>1</x:v>
      </x:c>
      <x:c r="J219" s="30" t="str">
        <x:v>VIS_KEY / MODEL</x:v>
      </x:c>
      <x:c r="K219" s="30" t="str">
        <x:v>EGKR-S26-BIO-955-28</x:v>
      </x:c>
      <x:c r="L219" s="87" t="str">
        <x:v>CROP_VERIFIED</x:v>
      </x:c>
      <x:c r="M219" s="87" t="str">
        <x:v>ORIGINAL_PACKAGE</x:v>
      </x:c>
      <x:c r="N219" s="87" t="str">
        <x:v>pages/VIS-EGKR-BIO-S26-CRITERIA-P010.png</x:v>
      </x:c>
      <x:c r="O219" s="87" t="str">
        <x:v>thumbnails/VIS-EGKR-BIO-S26-CRITERIA-P010.jpg</x:v>
      </x:c>
      <x:c r="P219" s="87" t="str">
        <x:v>28050fbac742f1d661b00d30980f65935d084a6b1a7cadb36a243dce44178b09</x:v>
      </x:c>
      <x:c r="Q219" s="30" t="str">
        <x:v>incoming/raw/recovery-drop-01/biology_egkr_spring_visual_assets_v105.zip!/pages/VIS-EGKR-BIO-S26-CRITERIA-P010.png</x:v>
      </x:c>
      <x:c r="R219" s="30" t="str">
        <x:v>MATCHED_ASSET</x:v>
      </x:c>
      <x:c r="S219" t="e">
        <x:f>HYPERLINK("visual_gallery/index.html#"&amp;A219,"Галерея")</x:f>
      </x:c>
    </x:row>
    <x:row r="220">
      <x:c r="A220" s="87" t="str">
        <x:v>VIS-EGKR-BIO-S26-CRITERIA-P011</x:v>
      </x:c>
      <x:c r="B220" s="30" t="str">
        <x:v>Биология</x:v>
      </x:c>
      <x:c r="C220" s="30"/>
      <x:c r="D220" s="30" t="str">
        <x:v>954–956</x:v>
      </x:c>
      <x:c r="E220" s="87" t="str">
        <x:v>OFFICIAL_CRITERIA</x:v>
      </x:c>
      <x:c r="F220" s="30" t="str">
        <x:v>EGKR_140426_kriterii.pdf</x:v>
      </x:c>
      <x:c r="G220" s="87" t="str">
        <x:v>11</x:v>
      </x:c>
      <x:c r="H220" s="87" t="str">
        <x:v>v1.05</x:v>
      </x:c>
      <x:c r="I220" s="87" t="str">
        <x:v>2</x:v>
      </x:c>
      <x:c r="J220" s="30" t="str">
        <x:v>VIS_KEY / MODEL</x:v>
      </x:c>
      <x:c r="K220" s="30" t="str">
        <x:v>EGKR-S26-BIO-956-22, EGKR-S26-BIO-956-23</x:v>
      </x:c>
      <x:c r="L220" s="87" t="str">
        <x:v>CROP_VERIFIED</x:v>
      </x:c>
      <x:c r="M220" s="87" t="str">
        <x:v>ORIGINAL_PACKAGE</x:v>
      </x:c>
      <x:c r="N220" s="87" t="str">
        <x:v>pages/VIS-EGKR-BIO-S26-CRITERIA-P011.png</x:v>
      </x:c>
      <x:c r="O220" s="87" t="str">
        <x:v>thumbnails/VIS-EGKR-BIO-S26-CRITERIA-P011.jpg</x:v>
      </x:c>
      <x:c r="P220" s="87" t="str">
        <x:v>0295270aaac590a7131319d7f26962ae070d690498fd5867435c15555856dea9</x:v>
      </x:c>
      <x:c r="Q220" s="30" t="str">
        <x:v>incoming/raw/recovery-drop-01/biology_egkr_spring_visual_assets_v105.zip!/pages/VIS-EGKR-BIO-S26-CRITERIA-P011.png</x:v>
      </x:c>
      <x:c r="R220" s="30" t="str">
        <x:v>MATCHED_ASSET</x:v>
      </x:c>
      <x:c r="S220" t="e">
        <x:f>HYPERLINK("visual_gallery/index.html#"&amp;A220,"Галерея")</x:f>
      </x:c>
    </x:row>
    <x:row r="221">
      <x:c r="A221" s="87" t="str">
        <x:v>VIS-EGKR-BIO-S26-CRITERIA-P012</x:v>
      </x:c>
      <x:c r="B221" s="30" t="str">
        <x:v>Биология</x:v>
      </x:c>
      <x:c r="C221" s="30"/>
      <x:c r="D221" s="30" t="str">
        <x:v>954–956</x:v>
      </x:c>
      <x:c r="E221" s="87" t="str">
        <x:v>OFFICIAL_CRITERIA</x:v>
      </x:c>
      <x:c r="F221" s="30" t="str">
        <x:v>EGKR_140426_kriterii.pdf</x:v>
      </x:c>
      <x:c r="G221" s="87" t="str">
        <x:v>12</x:v>
      </x:c>
      <x:c r="H221" s="87" t="str">
        <x:v>v1.05</x:v>
      </x:c>
      <x:c r="I221" s="87" t="str">
        <x:v>2</x:v>
      </x:c>
      <x:c r="J221" s="30" t="str">
        <x:v>VIS_KEY / MODEL</x:v>
      </x:c>
      <x:c r="K221" s="30" t="str">
        <x:v>EGKR-S26-BIO-956-24, EGKR-S26-BIO-956-25</x:v>
      </x:c>
      <x:c r="L221" s="87" t="str">
        <x:v>CROP_VERIFIED</x:v>
      </x:c>
      <x:c r="M221" s="87" t="str">
        <x:v>ORIGINAL_PACKAGE</x:v>
      </x:c>
      <x:c r="N221" s="87" t="str">
        <x:v>pages/VIS-EGKR-BIO-S26-CRITERIA-P012.png</x:v>
      </x:c>
      <x:c r="O221" s="87" t="str">
        <x:v>thumbnails/VIS-EGKR-BIO-S26-CRITERIA-P012.jpg</x:v>
      </x:c>
      <x:c r="P221" s="87" t="str">
        <x:v>ddfc2baa2c1ef1a6145f24acf1caa1b4408c1fbb983ead0b52df3fc3a2048e79</x:v>
      </x:c>
      <x:c r="Q221" s="30" t="str">
        <x:v>incoming/raw/recovery-drop-01/biology_egkr_spring_visual_assets_v105.zip!/pages/VIS-EGKR-BIO-S26-CRITERIA-P012.png</x:v>
      </x:c>
      <x:c r="R221" s="30" t="str">
        <x:v>MATCHED_ASSET</x:v>
      </x:c>
      <x:c r="S221" t="e">
        <x:f>HYPERLINK("visual_gallery/index.html#"&amp;A221,"Галерея")</x:f>
      </x:c>
    </x:row>
    <x:row r="222">
      <x:c r="A222" s="87" t="str">
        <x:v>VIS-EGKR-BIO-S26-CRITERIA-P013</x:v>
      </x:c>
      <x:c r="B222" s="30" t="str">
        <x:v>Биология</x:v>
      </x:c>
      <x:c r="C222" s="30"/>
      <x:c r="D222" s="30" t="str">
        <x:v>954–956</x:v>
      </x:c>
      <x:c r="E222" s="87" t="str">
        <x:v>OFFICIAL_CRITERIA</x:v>
      </x:c>
      <x:c r="F222" s="30" t="str">
        <x:v>EGKR_140426_kriterii.pdf</x:v>
      </x:c>
      <x:c r="G222" s="87" t="str">
        <x:v>13</x:v>
      </x:c>
      <x:c r="H222" s="87" t="str">
        <x:v>v1.05</x:v>
      </x:c>
      <x:c r="I222" s="87" t="str">
        <x:v>2</x:v>
      </x:c>
      <x:c r="J222" s="30" t="str">
        <x:v>VIS_KEY / MODEL</x:v>
      </x:c>
      <x:c r="K222" s="30" t="str">
        <x:v>EGKR-S26-BIO-956-26, EGKR-S26-BIO-956-27</x:v>
      </x:c>
      <x:c r="L222" s="87" t="str">
        <x:v>CROP_VERIFIED</x:v>
      </x:c>
      <x:c r="M222" s="87" t="str">
        <x:v>ORIGINAL_PACKAGE</x:v>
      </x:c>
      <x:c r="N222" s="87" t="str">
        <x:v>pages/VIS-EGKR-BIO-S26-CRITERIA-P013.png</x:v>
      </x:c>
      <x:c r="O222" s="87" t="str">
        <x:v>thumbnails/VIS-EGKR-BIO-S26-CRITERIA-P013.jpg</x:v>
      </x:c>
      <x:c r="P222" s="87" t="str">
        <x:v>116759b7bff86c3e7d9a99b305e10de223c93cdef14e0299dcd75d152c4118a6</x:v>
      </x:c>
      <x:c r="Q222" s="30" t="str">
        <x:v>incoming/raw/recovery-drop-01/biology_egkr_spring_visual_assets_v105.zip!/pages/VIS-EGKR-BIO-S26-CRITERIA-P013.png</x:v>
      </x:c>
      <x:c r="R222" s="30" t="str">
        <x:v>MATCHED_ASSET</x:v>
      </x:c>
      <x:c r="S222" t="e">
        <x:f>HYPERLINK("visual_gallery/index.html#"&amp;A222,"Галерея")</x:f>
      </x:c>
    </x:row>
    <x:row r="223">
      <x:c r="A223" s="87" t="str">
        <x:v>VIS-EGKR-BIO-S26-CRITERIA-P014</x:v>
      </x:c>
      <x:c r="B223" s="30" t="str">
        <x:v>Биология</x:v>
      </x:c>
      <x:c r="C223" s="30"/>
      <x:c r="D223" s="30" t="str">
        <x:v>954–956</x:v>
      </x:c>
      <x:c r="E223" s="87" t="str">
        <x:v>OFFICIAL_CRITERIA</x:v>
      </x:c>
      <x:c r="F223" s="30" t="str">
        <x:v>EGKR_140426_kriterii.pdf</x:v>
      </x:c>
      <x:c r="G223" s="87" t="str">
        <x:v>14</x:v>
      </x:c>
      <x:c r="H223" s="87" t="str">
        <x:v>v1.05</x:v>
      </x:c>
      <x:c r="I223" s="87" t="str">
        <x:v>2</x:v>
      </x:c>
      <x:c r="J223" s="30" t="str">
        <x:v>VIS_KEY / MODEL</x:v>
      </x:c>
      <x:c r="K223" s="30" t="str">
        <x:v>EGKR-S26-BIO-956-27, EGKR-S26-BIO-956-28</x:v>
      </x:c>
      <x:c r="L223" s="87" t="str">
        <x:v>CROP_VERIFIED</x:v>
      </x:c>
      <x:c r="M223" s="87" t="str">
        <x:v>ORIGINAL_PACKAGE</x:v>
      </x:c>
      <x:c r="N223" s="87" t="str">
        <x:v>pages/VIS-EGKR-BIO-S26-CRITERIA-P014.png</x:v>
      </x:c>
      <x:c r="O223" s="87" t="str">
        <x:v>thumbnails/VIS-EGKR-BIO-S26-CRITERIA-P014.jpg</x:v>
      </x:c>
      <x:c r="P223" s="87" t="str">
        <x:v>c0dc577349a6bab7a327e17d3bcea77c806c1661fd88cadf699d5479fc89cd25</x:v>
      </x:c>
      <x:c r="Q223" s="30" t="str">
        <x:v>incoming/raw/recovery-drop-01/biology_egkr_spring_visual_assets_v105.zip!/pages/VIS-EGKR-BIO-S26-CRITERIA-P014.png</x:v>
      </x:c>
      <x:c r="R223" s="30" t="str">
        <x:v>MATCHED_ASSET</x:v>
      </x:c>
      <x:c r="S223" t="e">
        <x:f>HYPERLINK("visual_gallery/index.html#"&amp;A223,"Галерея")</x:f>
      </x:c>
    </x:row>
    <x:row r="224">
      <x:c r="A224" s="87" t="str">
        <x:v>VIS-EGKR-BIO-S26-TASK-954-P001</x:v>
      </x:c>
      <x:c r="B224" s="30" t="str">
        <x:v>Биология</x:v>
      </x:c>
      <x:c r="C224" s="30"/>
      <x:c r="D224" s="30" t="str">
        <x:v>954</x:v>
      </x:c>
      <x:c r="E224" s="87" t="str">
        <x:v>TASK</x:v>
      </x:c>
      <x:c r="F224" s="30" t="str">
        <x:v>Вариант 954 (1).pdf</x:v>
      </x:c>
      <x:c r="G224" s="87" t="str">
        <x:v>1</x:v>
      </x:c>
      <x:c r="H224" s="87" t="str">
        <x:v>v1.05</x:v>
      </x:c>
      <x:c r="I224" s="87" t="str">
        <x:v>1</x:v>
      </x:c>
      <x:c r="J224" s="30" t="str">
        <x:v>VIS_ID</x:v>
      </x:c>
      <x:c r="K224" s="30" t="str">
        <x:v>EGKR-S26-BIO-954-01</x:v>
      </x:c>
      <x:c r="L224" s="87" t="str">
        <x:v>CROP_VERIFIED</x:v>
      </x:c>
      <x:c r="M224" s="87" t="str">
        <x:v>ORIGINAL_PACKAGE</x:v>
      </x:c>
      <x:c r="N224" s="87" t="str">
        <x:v>pages/VIS-EGKR-BIO-S26-TASK-954-P001.png</x:v>
      </x:c>
      <x:c r="O224" s="87" t="str">
        <x:v>thumbnails/VIS-EGKR-BIO-S26-TASK-954-P001.jpg</x:v>
      </x:c>
      <x:c r="P224" s="87" t="str">
        <x:v>fe8833a4aa37a816fce4a63816e9f77899e8b43f116eff218e2e9a36237e51ad</x:v>
      </x:c>
      <x:c r="Q224" s="30" t="str">
        <x:v>incoming/raw/recovery-drop-01/biology_egkr_spring_visual_assets_v105.zip!/pages/VIS-EGKR-BIO-S26-TASK-954-P001.png</x:v>
      </x:c>
      <x:c r="R224" s="30" t="str">
        <x:v>MATCHED_ASSET</x:v>
      </x:c>
      <x:c r="S224" t="e">
        <x:f>HYPERLINK("visual_gallery/index.html#"&amp;A224,"Галерея")</x:f>
      </x:c>
    </x:row>
    <x:row r="225">
      <x:c r="A225" s="87" t="str">
        <x:v>VIS-EGKR-BIO-S26-TASK-954-P002</x:v>
      </x:c>
      <x:c r="B225" s="30" t="str">
        <x:v>Биология</x:v>
      </x:c>
      <x:c r="C225" s="30"/>
      <x:c r="D225" s="30" t="str">
        <x:v>954</x:v>
      </x:c>
      <x:c r="E225" s="87" t="str">
        <x:v>TASK</x:v>
      </x:c>
      <x:c r="F225" s="30" t="str">
        <x:v>Вариант 954 (1).pdf</x:v>
      </x:c>
      <x:c r="G225" s="87" t="str">
        <x:v>2</x:v>
      </x:c>
      <x:c r="H225" s="87" t="str">
        <x:v>v1.05</x:v>
      </x:c>
      <x:c r="I225" s="87" t="str">
        <x:v>5</x:v>
      </x:c>
      <x:c r="J225" s="30" t="str">
        <x:v>VIS_ID</x:v>
      </x:c>
      <x:c r="K225" s="30" t="str">
        <x:v>EGKR-S26-BIO-954-02, EGKR-S26-BIO-954-03, EGKR-S26-BIO-954-04, EGKR-S26-BIO-954-05, EGKR-S26-BIO-954-06</x:v>
      </x:c>
      <x:c r="L225" s="87" t="str">
        <x:v>CROP_VERIFIED</x:v>
      </x:c>
      <x:c r="M225" s="87" t="str">
        <x:v>ORIGINAL_PACKAGE</x:v>
      </x:c>
      <x:c r="N225" s="87" t="str">
        <x:v>pages/VIS-EGKR-BIO-S26-TASK-954-P002.png</x:v>
      </x:c>
      <x:c r="O225" s="87" t="str">
        <x:v>thumbnails/VIS-EGKR-BIO-S26-TASK-954-P002.jpg</x:v>
      </x:c>
      <x:c r="P225" s="87" t="str">
        <x:v>ae00fc092302b9b736eb82493ba176d4dc5a26f628c94bf0f93ed432d3b91a8f</x:v>
      </x:c>
      <x:c r="Q225" s="30" t="str">
        <x:v>incoming/raw/recovery-drop-01/biology_egkr_spring_visual_assets_v105.zip!/pages/VIS-EGKR-BIO-S26-TASK-954-P002.png</x:v>
      </x:c>
      <x:c r="R225" s="30" t="str">
        <x:v>MATCHED_ASSET</x:v>
      </x:c>
      <x:c r="S225" t="e">
        <x:f>HYPERLINK("visual_gallery/index.html#"&amp;A225,"Галерея")</x:f>
      </x:c>
    </x:row>
    <x:row r="226">
      <x:c r="A226" s="87" t="str">
        <x:v>VIS-EGKR-BIO-S26-TASK-954-P003</x:v>
      </x:c>
      <x:c r="B226" s="30" t="str">
        <x:v>Биология</x:v>
      </x:c>
      <x:c r="C226" s="30"/>
      <x:c r="D226" s="30" t="str">
        <x:v>954</x:v>
      </x:c>
      <x:c r="E226" s="87" t="str">
        <x:v>TASK</x:v>
      </x:c>
      <x:c r="F226" s="30" t="str">
        <x:v>Вариант 954 (1).pdf</x:v>
      </x:c>
      <x:c r="G226" s="87" t="str">
        <x:v>3</x:v>
      </x:c>
      <x:c r="H226" s="87" t="str">
        <x:v>v1.05</x:v>
      </x:c>
      <x:c r="I226" s="87" t="str">
        <x:v>4</x:v>
      </x:c>
      <x:c r="J226" s="30" t="str">
        <x:v>VIS_ID</x:v>
      </x:c>
      <x:c r="K226" s="30" t="str">
        <x:v>EGKR-S26-BIO-954-07, EGKR-S26-BIO-954-08, EGKR-S26-BIO-954-09, EGKR-S26-BIO-954-10</x:v>
      </x:c>
      <x:c r="L226" s="87" t="str">
        <x:v>CROP_VERIFIED</x:v>
      </x:c>
      <x:c r="M226" s="87" t="str">
        <x:v>ORIGINAL_PACKAGE</x:v>
      </x:c>
      <x:c r="N226" s="87" t="str">
        <x:v>pages/VIS-EGKR-BIO-S26-TASK-954-P003.png</x:v>
      </x:c>
      <x:c r="O226" s="87" t="str">
        <x:v>thumbnails/VIS-EGKR-BIO-S26-TASK-954-P003.jpg</x:v>
      </x:c>
      <x:c r="P226" s="87" t="str">
        <x:v>254369f6514f84ad4a6bb611cc32a6e2a94e73f409b0edafeb09eb12c50e5618</x:v>
      </x:c>
      <x:c r="Q226" s="30" t="str">
        <x:v>incoming/raw/recovery-drop-01/biology_egkr_spring_visual_assets_v105.zip!/pages/VIS-EGKR-BIO-S26-TASK-954-P003.png</x:v>
      </x:c>
      <x:c r="R226" s="30" t="str">
        <x:v>MATCHED_ASSET</x:v>
      </x:c>
      <x:c r="S226" t="e">
        <x:f>HYPERLINK("visual_gallery/index.html#"&amp;A226,"Галерея")</x:f>
      </x:c>
    </x:row>
    <x:row r="227">
      <x:c r="A227" s="87" t="str">
        <x:v>VIS-EGKR-BIO-S26-TASK-954-P004</x:v>
      </x:c>
      <x:c r="B227" s="30" t="str">
        <x:v>Биология</x:v>
      </x:c>
      <x:c r="C227" s="30"/>
      <x:c r="D227" s="30" t="str">
        <x:v>954</x:v>
      </x:c>
      <x:c r="E227" s="87" t="str">
        <x:v>TASK</x:v>
      </x:c>
      <x:c r="F227" s="30" t="str">
        <x:v>Вариант 954 (1).pdf</x:v>
      </x:c>
      <x:c r="G227" s="87" t="str">
        <x:v>4</x:v>
      </x:c>
      <x:c r="H227" s="87" t="str">
        <x:v>v1.05</x:v>
      </x:c>
      <x:c r="I227" s="87" t="str">
        <x:v>4</x:v>
      </x:c>
      <x:c r="J227" s="30" t="str">
        <x:v>VIS_ID</x:v>
      </x:c>
      <x:c r="K227" s="30" t="str">
        <x:v>EGKR-S26-BIO-954-11, EGKR-S26-BIO-954-12, EGKR-S26-BIO-954-13, EGKR-S26-BIO-954-14</x:v>
      </x:c>
      <x:c r="L227" s="87" t="str">
        <x:v>CROP_VERIFIED</x:v>
      </x:c>
      <x:c r="M227" s="87" t="str">
        <x:v>ORIGINAL_PACKAGE</x:v>
      </x:c>
      <x:c r="N227" s="87" t="str">
        <x:v>pages/VIS-EGKR-BIO-S26-TASK-954-P004.png</x:v>
      </x:c>
      <x:c r="O227" s="87" t="str">
        <x:v>thumbnails/VIS-EGKR-BIO-S26-TASK-954-P004.jpg</x:v>
      </x:c>
      <x:c r="P227" s="87" t="str">
        <x:v>c7bb585f35e8ad09067f6dc3d4edad18c2e8033f96f725f2f27c1a612f88c95f</x:v>
      </x:c>
      <x:c r="Q227" s="30" t="str">
        <x:v>incoming/raw/recovery-drop-01/biology_egkr_spring_visual_assets_v105.zip!/pages/VIS-EGKR-BIO-S26-TASK-954-P004.png</x:v>
      </x:c>
      <x:c r="R227" s="30" t="str">
        <x:v>MATCHED_ASSET</x:v>
      </x:c>
      <x:c r="S227" t="e">
        <x:f>HYPERLINK("visual_gallery/index.html#"&amp;A227,"Галерея")</x:f>
      </x:c>
    </x:row>
    <x:row r="228">
      <x:c r="A228" s="87" t="str">
        <x:v>VIS-EGKR-BIO-S26-TASK-954-P005</x:v>
      </x:c>
      <x:c r="B228" s="30" t="str">
        <x:v>Биология</x:v>
      </x:c>
      <x:c r="C228" s="30"/>
      <x:c r="D228" s="30" t="str">
        <x:v>954</x:v>
      </x:c>
      <x:c r="E228" s="87" t="str">
        <x:v>TASK</x:v>
      </x:c>
      <x:c r="F228" s="30" t="str">
        <x:v>Вариант 954 (1).pdf</x:v>
      </x:c>
      <x:c r="G228" s="87" t="str">
        <x:v>5</x:v>
      </x:c>
      <x:c r="H228" s="87" t="str">
        <x:v>v1.05</x:v>
      </x:c>
      <x:c r="I228" s="87" t="str">
        <x:v>4</x:v>
      </x:c>
      <x:c r="J228" s="30" t="str">
        <x:v>VIS_ID</x:v>
      </x:c>
      <x:c r="K228" s="30" t="str">
        <x:v>EGKR-S26-BIO-954-15, EGKR-S26-BIO-954-16, EGKR-S26-BIO-954-17, EGKR-S26-BIO-954-18</x:v>
      </x:c>
      <x:c r="L228" s="87" t="str">
        <x:v>CROP_VERIFIED</x:v>
      </x:c>
      <x:c r="M228" s="87" t="str">
        <x:v>ORIGINAL_PACKAGE</x:v>
      </x:c>
      <x:c r="N228" s="87" t="str">
        <x:v>pages/VIS-EGKR-BIO-S26-TASK-954-P005.png</x:v>
      </x:c>
      <x:c r="O228" s="87" t="str">
        <x:v>thumbnails/VIS-EGKR-BIO-S26-TASK-954-P005.jpg</x:v>
      </x:c>
      <x:c r="P228" s="87" t="str">
        <x:v>3d8fa3de50b04b562735a7514b9154c103d3200f2a03de20aca84c8bfb023863</x:v>
      </x:c>
      <x:c r="Q228" s="30" t="str">
        <x:v>incoming/raw/recovery-drop-01/biology_egkr_spring_visual_assets_v105.zip!/pages/VIS-EGKR-BIO-S26-TASK-954-P005.png</x:v>
      </x:c>
      <x:c r="R228" s="30" t="str">
        <x:v>MATCHED_ASSET</x:v>
      </x:c>
      <x:c r="S228" t="e">
        <x:f>HYPERLINK("visual_gallery/index.html#"&amp;A228,"Галерея")</x:f>
      </x:c>
    </x:row>
    <x:row r="229">
      <x:c r="A229" s="87" t="str">
        <x:v>VIS-EGKR-BIO-S26-TASK-954-P006</x:v>
      </x:c>
      <x:c r="B229" s="30" t="str">
        <x:v>Биология</x:v>
      </x:c>
      <x:c r="C229" s="30"/>
      <x:c r="D229" s="30" t="str">
        <x:v>954</x:v>
      </x:c>
      <x:c r="E229" s="87" t="str">
        <x:v>TASK</x:v>
      </x:c>
      <x:c r="F229" s="30" t="str">
        <x:v>Вариант 954 (1).pdf</x:v>
      </x:c>
      <x:c r="G229" s="87" t="str">
        <x:v>6</x:v>
      </x:c>
      <x:c r="H229" s="87" t="str">
        <x:v>v1.05</x:v>
      </x:c>
      <x:c r="I229" s="87" t="str">
        <x:v>3</x:v>
      </x:c>
      <x:c r="J229" s="30" t="str">
        <x:v>VIS_ID</x:v>
      </x:c>
      <x:c r="K229" s="30" t="str">
        <x:v>EGKR-S26-BIO-954-19, EGKR-S26-BIO-954-20, EGKR-S26-BIO-954-21</x:v>
      </x:c>
      <x:c r="L229" s="87" t="str">
        <x:v>CROP_VERIFIED</x:v>
      </x:c>
      <x:c r="M229" s="87" t="str">
        <x:v>ORIGINAL_PACKAGE</x:v>
      </x:c>
      <x:c r="N229" s="87" t="str">
        <x:v>pages/VIS-EGKR-BIO-S26-TASK-954-P006.png</x:v>
      </x:c>
      <x:c r="O229" s="87" t="str">
        <x:v>thumbnails/VIS-EGKR-BIO-S26-TASK-954-P006.jpg</x:v>
      </x:c>
      <x:c r="P229" s="87" t="str">
        <x:v>8d5417b312a6a729d9eb7c3bf9d102e0fd275f13888a03ed085f83c761900cad</x:v>
      </x:c>
      <x:c r="Q229" s="30" t="str">
        <x:v>incoming/raw/recovery-drop-01/biology_egkr_spring_visual_assets_v105.zip!/pages/VIS-EGKR-BIO-S26-TASK-954-P006.png</x:v>
      </x:c>
      <x:c r="R229" s="30" t="str">
        <x:v>MATCHED_ASSET</x:v>
      </x:c>
      <x:c r="S229" t="e">
        <x:f>HYPERLINK("visual_gallery/index.html#"&amp;A229,"Галерея")</x:f>
      </x:c>
    </x:row>
    <x:row r="230">
      <x:c r="A230" s="87" t="str">
        <x:v>VIS-EGKR-BIO-S26-TASK-954-P007</x:v>
      </x:c>
      <x:c r="B230" s="30" t="str">
        <x:v>Биология</x:v>
      </x:c>
      <x:c r="C230" s="30"/>
      <x:c r="D230" s="30" t="str">
        <x:v>954</x:v>
      </x:c>
      <x:c r="E230" s="87" t="str">
        <x:v>TASK</x:v>
      </x:c>
      <x:c r="F230" s="30" t="str">
        <x:v>Вариант 954 (1).pdf</x:v>
      </x:c>
      <x:c r="G230" s="87" t="str">
        <x:v>7</x:v>
      </x:c>
      <x:c r="H230" s="87" t="str">
        <x:v>v1.05</x:v>
      </x:c>
      <x:c r="I230" s="87" t="str">
        <x:v>2</x:v>
      </x:c>
      <x:c r="J230" s="30" t="str">
        <x:v>VIS_ID</x:v>
      </x:c>
      <x:c r="K230" s="30" t="str">
        <x:v>EGKR-S26-BIO-954-22, EGKR-S26-BIO-954-23</x:v>
      </x:c>
      <x:c r="L230" s="87" t="str">
        <x:v>CROP_VERIFIED</x:v>
      </x:c>
      <x:c r="M230" s="87" t="str">
        <x:v>ORIGINAL_PACKAGE</x:v>
      </x:c>
      <x:c r="N230" s="87" t="str">
        <x:v>pages/VIS-EGKR-BIO-S26-TASK-954-P007.png</x:v>
      </x:c>
      <x:c r="O230" s="87" t="str">
        <x:v>thumbnails/VIS-EGKR-BIO-S26-TASK-954-P007.jpg</x:v>
      </x:c>
      <x:c r="P230" s="87" t="str">
        <x:v>c211ac8e3c52be9cac7f157cba404673eadaf8fe695c8ee509c75baef704d094</x:v>
      </x:c>
      <x:c r="Q230" s="30" t="str">
        <x:v>incoming/raw/recovery-drop-01/biology_egkr_spring_visual_assets_v105.zip!/pages/VIS-EGKR-BIO-S26-TASK-954-P007.png</x:v>
      </x:c>
      <x:c r="R230" s="30" t="str">
        <x:v>MATCHED_ASSET</x:v>
      </x:c>
      <x:c r="S230" t="e">
        <x:f>HYPERLINK("visual_gallery/index.html#"&amp;A230,"Галерея")</x:f>
      </x:c>
    </x:row>
    <x:row r="231">
      <x:c r="A231" s="87" t="str">
        <x:v>VIS-EGKR-BIO-S26-TASK-954-P008</x:v>
      </x:c>
      <x:c r="B231" s="30" t="str">
        <x:v>Биология</x:v>
      </x:c>
      <x:c r="C231" s="30"/>
      <x:c r="D231" s="30" t="str">
        <x:v>954</x:v>
      </x:c>
      <x:c r="E231" s="87" t="str">
        <x:v>TASK</x:v>
      </x:c>
      <x:c r="F231" s="30" t="str">
        <x:v>Вариант 954 (1).pdf</x:v>
      </x:c>
      <x:c r="G231" s="87" t="str">
        <x:v>8</x:v>
      </x:c>
      <x:c r="H231" s="87" t="str">
        <x:v>v1.05</x:v>
      </x:c>
      <x:c r="I231" s="87" t="str">
        <x:v>4</x:v>
      </x:c>
      <x:c r="J231" s="30" t="str">
        <x:v>VIS_ID</x:v>
      </x:c>
      <x:c r="K231" s="30" t="str">
        <x:v>EGKR-S26-BIO-954-24, EGKR-S26-BIO-954-25, EGKR-S26-BIO-954-26, EGKR-S26-BIO-954-27</x:v>
      </x:c>
      <x:c r="L231" s="87" t="str">
        <x:v>CROP_VERIFIED</x:v>
      </x:c>
      <x:c r="M231" s="87" t="str">
        <x:v>ORIGINAL_PACKAGE</x:v>
      </x:c>
      <x:c r="N231" s="87" t="str">
        <x:v>pages/VIS-EGKR-BIO-S26-TASK-954-P008.png</x:v>
      </x:c>
      <x:c r="O231" s="87" t="str">
        <x:v>thumbnails/VIS-EGKR-BIO-S26-TASK-954-P008.jpg</x:v>
      </x:c>
      <x:c r="P231" s="87" t="str">
        <x:v>b99808581b726f13a4873875721121921dfa26259a6b4b9b75a4805becd8da34</x:v>
      </x:c>
      <x:c r="Q231" s="30" t="str">
        <x:v>incoming/raw/recovery-drop-01/biology_egkr_spring_visual_assets_v105.zip!/pages/VIS-EGKR-BIO-S26-TASK-954-P008.png</x:v>
      </x:c>
      <x:c r="R231" s="30" t="str">
        <x:v>MATCHED_ASSET</x:v>
      </x:c>
      <x:c r="S231" t="e">
        <x:f>HYPERLINK("visual_gallery/index.html#"&amp;A231,"Галерея")</x:f>
      </x:c>
    </x:row>
    <x:row r="232">
      <x:c r="A232" s="87" t="str">
        <x:v>VIS-EGKR-BIO-S26-TASK-954-P009</x:v>
      </x:c>
      <x:c r="B232" s="30" t="str">
        <x:v>Биология</x:v>
      </x:c>
      <x:c r="C232" s="30"/>
      <x:c r="D232" s="30" t="str">
        <x:v>954</x:v>
      </x:c>
      <x:c r="E232" s="87" t="str">
        <x:v>TASK</x:v>
      </x:c>
      <x:c r="F232" s="30" t="str">
        <x:v>Вариант 954 (1).pdf</x:v>
      </x:c>
      <x:c r="G232" s="87" t="str">
        <x:v>9</x:v>
      </x:c>
      <x:c r="H232" s="87" t="str">
        <x:v>v1.05</x:v>
      </x:c>
      <x:c r="I232" s="87" t="str">
        <x:v>1</x:v>
      </x:c>
      <x:c r="J232" s="30" t="str">
        <x:v>VIS_ID</x:v>
      </x:c>
      <x:c r="K232" s="30" t="str">
        <x:v>EGKR-S26-BIO-954-28</x:v>
      </x:c>
      <x:c r="L232" s="87" t="str">
        <x:v>CROP_VERIFIED</x:v>
      </x:c>
      <x:c r="M232" s="87" t="str">
        <x:v>ORIGINAL_PACKAGE</x:v>
      </x:c>
      <x:c r="N232" s="87" t="str">
        <x:v>pages/VIS-EGKR-BIO-S26-TASK-954-P009.png</x:v>
      </x:c>
      <x:c r="O232" s="87" t="str">
        <x:v>thumbnails/VIS-EGKR-BIO-S26-TASK-954-P009.jpg</x:v>
      </x:c>
      <x:c r="P232" s="87" t="str">
        <x:v>2c1bc93c8949b4c3a48e06ddb565db9ec9f065ec84f47a5bb05bc640ea26a324</x:v>
      </x:c>
      <x:c r="Q232" s="30" t="str">
        <x:v>incoming/raw/recovery-drop-01/biology_egkr_spring_visual_assets_v105.zip!/pages/VIS-EGKR-BIO-S26-TASK-954-P009.png</x:v>
      </x:c>
      <x:c r="R232" s="30" t="str">
        <x:v>MATCHED_ASSET</x:v>
      </x:c>
      <x:c r="S232" t="e">
        <x:f>HYPERLINK("visual_gallery/index.html#"&amp;A232,"Галерея")</x:f>
      </x:c>
    </x:row>
    <x:row r="233">
      <x:c r="A233" s="87" t="str">
        <x:v>VIS-EGKR-BIO-S26-TASK-955-P001</x:v>
      </x:c>
      <x:c r="B233" s="30" t="str">
        <x:v>Биология</x:v>
      </x:c>
      <x:c r="C233" s="30"/>
      <x:c r="D233" s="30" t="str">
        <x:v>955</x:v>
      </x:c>
      <x:c r="E233" s="87" t="str">
        <x:v>TASK</x:v>
      </x:c>
      <x:c r="F233" s="30" t="str">
        <x:v>Вариант 955.pdf</x:v>
      </x:c>
      <x:c r="G233" s="87" t="str">
        <x:v>1</x:v>
      </x:c>
      <x:c r="H233" s="87" t="str">
        <x:v>v1.05</x:v>
      </x:c>
      <x:c r="I233" s="87" t="str">
        <x:v>1</x:v>
      </x:c>
      <x:c r="J233" s="30" t="str">
        <x:v>VIS_ID</x:v>
      </x:c>
      <x:c r="K233" s="30" t="str">
        <x:v>EGKR-S26-BIO-955-01</x:v>
      </x:c>
      <x:c r="L233" s="87" t="str">
        <x:v>CROP_VERIFIED</x:v>
      </x:c>
      <x:c r="M233" s="87" t="str">
        <x:v>ORIGINAL_PACKAGE</x:v>
      </x:c>
      <x:c r="N233" s="87" t="str">
        <x:v>pages/VIS-EGKR-BIO-S26-TASK-955-P001.png</x:v>
      </x:c>
      <x:c r="O233" s="87" t="str">
        <x:v>thumbnails/VIS-EGKR-BIO-S26-TASK-955-P001.jpg</x:v>
      </x:c>
      <x:c r="P233" s="87" t="str">
        <x:v>e8b477aee57c64eacf1695d907f74b60dcf149eb0372af6d5b4d86a3f4b54bd6</x:v>
      </x:c>
      <x:c r="Q233" s="30" t="str">
        <x:v>incoming/raw/recovery-drop-01/biology_egkr_spring_visual_assets_v105.zip!/pages/VIS-EGKR-BIO-S26-TASK-955-P001.png</x:v>
      </x:c>
      <x:c r="R233" s="30" t="str">
        <x:v>MATCHED_ASSET</x:v>
      </x:c>
      <x:c r="S233" t="e">
        <x:f>HYPERLINK("visual_gallery/index.html#"&amp;A233,"Галерея")</x:f>
      </x:c>
    </x:row>
    <x:row r="234">
      <x:c r="A234" s="87" t="str">
        <x:v>VIS-EGKR-BIO-S26-TASK-955-P002</x:v>
      </x:c>
      <x:c r="B234" s="30" t="str">
        <x:v>Биология</x:v>
      </x:c>
      <x:c r="C234" s="30"/>
      <x:c r="D234" s="30" t="str">
        <x:v>955</x:v>
      </x:c>
      <x:c r="E234" s="87" t="str">
        <x:v>TASK</x:v>
      </x:c>
      <x:c r="F234" s="30" t="str">
        <x:v>Вариант 955.pdf</x:v>
      </x:c>
      <x:c r="G234" s="87" t="str">
        <x:v>2</x:v>
      </x:c>
      <x:c r="H234" s="87" t="str">
        <x:v>v1.05</x:v>
      </x:c>
      <x:c r="I234" s="87" t="str">
        <x:v>5</x:v>
      </x:c>
      <x:c r="J234" s="30" t="str">
        <x:v>VIS_ID</x:v>
      </x:c>
      <x:c r="K234" s="30" t="str">
        <x:v>EGKR-S26-BIO-955-02, EGKR-S26-BIO-955-03, EGKR-S26-BIO-955-04, EGKR-S26-BIO-955-05, EGKR-S26-BIO-955-06</x:v>
      </x:c>
      <x:c r="L234" s="87" t="str">
        <x:v>CROP_VERIFIED</x:v>
      </x:c>
      <x:c r="M234" s="87" t="str">
        <x:v>ORIGINAL_PACKAGE</x:v>
      </x:c>
      <x:c r="N234" s="87" t="str">
        <x:v>pages/VIS-EGKR-BIO-S26-TASK-955-P002.png</x:v>
      </x:c>
      <x:c r="O234" s="87" t="str">
        <x:v>thumbnails/VIS-EGKR-BIO-S26-TASK-955-P002.jpg</x:v>
      </x:c>
      <x:c r="P234" s="87" t="str">
        <x:v>f52e7fc814190d5f42a5ce0d42283b83532e2fed19e42d362e83fa4c388ce464</x:v>
      </x:c>
      <x:c r="Q234" s="30" t="str">
        <x:v>incoming/raw/recovery-drop-01/biology_egkr_spring_visual_assets_v105.zip!/pages/VIS-EGKR-BIO-S26-TASK-955-P002.png</x:v>
      </x:c>
      <x:c r="R234" s="30" t="str">
        <x:v>MATCHED_ASSET</x:v>
      </x:c>
      <x:c r="S234" t="e">
        <x:f>HYPERLINK("visual_gallery/index.html#"&amp;A234,"Галерея")</x:f>
      </x:c>
    </x:row>
    <x:row r="235">
      <x:c r="A235" s="87" t="str">
        <x:v>VIS-EGKR-BIO-S26-TASK-955-P003</x:v>
      </x:c>
      <x:c r="B235" s="30" t="str">
        <x:v>Биология</x:v>
      </x:c>
      <x:c r="C235" s="30"/>
      <x:c r="D235" s="30" t="str">
        <x:v>955</x:v>
      </x:c>
      <x:c r="E235" s="87" t="str">
        <x:v>TASK</x:v>
      </x:c>
      <x:c r="F235" s="30" t="str">
        <x:v>Вариант 955.pdf</x:v>
      </x:c>
      <x:c r="G235" s="87" t="str">
        <x:v>3</x:v>
      </x:c>
      <x:c r="H235" s="87" t="str">
        <x:v>v1.05</x:v>
      </x:c>
      <x:c r="I235" s="87" t="str">
        <x:v>4</x:v>
      </x:c>
      <x:c r="J235" s="30" t="str">
        <x:v>VIS_ID</x:v>
      </x:c>
      <x:c r="K235" s="30" t="str">
        <x:v>EGKR-S26-BIO-955-07, EGKR-S26-BIO-955-08, EGKR-S26-BIO-955-09, EGKR-S26-BIO-955-10</x:v>
      </x:c>
      <x:c r="L235" s="87" t="str">
        <x:v>CROP_VERIFIED</x:v>
      </x:c>
      <x:c r="M235" s="87" t="str">
        <x:v>ORIGINAL_PACKAGE</x:v>
      </x:c>
      <x:c r="N235" s="87" t="str">
        <x:v>pages/VIS-EGKR-BIO-S26-TASK-955-P003.png</x:v>
      </x:c>
      <x:c r="O235" s="87" t="str">
        <x:v>thumbnails/VIS-EGKR-BIO-S26-TASK-955-P003.jpg</x:v>
      </x:c>
      <x:c r="P235" s="87" t="str">
        <x:v>b5d59a8d91c2f75c92fbbb89a6b6bb4940e9e2185f3aca97a9f847dc9c4aeb74</x:v>
      </x:c>
      <x:c r="Q235" s="30" t="str">
        <x:v>incoming/raw/recovery-drop-01/biology_egkr_spring_visual_assets_v105.zip!/pages/VIS-EGKR-BIO-S26-TASK-955-P003.png</x:v>
      </x:c>
      <x:c r="R235" s="30" t="str">
        <x:v>MATCHED_ASSET</x:v>
      </x:c>
      <x:c r="S235" t="e">
        <x:f>HYPERLINK("visual_gallery/index.html#"&amp;A235,"Галерея")</x:f>
      </x:c>
    </x:row>
    <x:row r="236">
      <x:c r="A236" s="87" t="str">
        <x:v>VIS-EGKR-BIO-S26-TASK-955-P004</x:v>
      </x:c>
      <x:c r="B236" s="30" t="str">
        <x:v>Биология</x:v>
      </x:c>
      <x:c r="C236" s="30"/>
      <x:c r="D236" s="30" t="str">
        <x:v>955</x:v>
      </x:c>
      <x:c r="E236" s="87" t="str">
        <x:v>TASK</x:v>
      </x:c>
      <x:c r="F236" s="30" t="str">
        <x:v>Вариант 955.pdf</x:v>
      </x:c>
      <x:c r="G236" s="87" t="str">
        <x:v>4</x:v>
      </x:c>
      <x:c r="H236" s="87" t="str">
        <x:v>v1.05</x:v>
      </x:c>
      <x:c r="I236" s="87" t="str">
        <x:v>4</x:v>
      </x:c>
      <x:c r="J236" s="30" t="str">
        <x:v>VIS_ID</x:v>
      </x:c>
      <x:c r="K236" s="30" t="str">
        <x:v>EGKR-S26-BIO-955-11, EGKR-S26-BIO-955-12, EGKR-S26-BIO-955-13, EGKR-S26-BIO-955-14</x:v>
      </x:c>
      <x:c r="L236" s="87" t="str">
        <x:v>CROP_VERIFIED</x:v>
      </x:c>
      <x:c r="M236" s="87" t="str">
        <x:v>ORIGINAL_PACKAGE</x:v>
      </x:c>
      <x:c r="N236" s="87" t="str">
        <x:v>pages/VIS-EGKR-BIO-S26-TASK-955-P004.png</x:v>
      </x:c>
      <x:c r="O236" s="87" t="str">
        <x:v>thumbnails/VIS-EGKR-BIO-S26-TASK-955-P004.jpg</x:v>
      </x:c>
      <x:c r="P236" s="87" t="str">
        <x:v>528a0eac3ecab114f9d4975f488632d6d11506f3a64c9de8edacd548fbec5894</x:v>
      </x:c>
      <x:c r="Q236" s="30" t="str">
        <x:v>incoming/raw/recovery-drop-01/biology_egkr_spring_visual_assets_v105.zip!/pages/VIS-EGKR-BIO-S26-TASK-955-P004.png</x:v>
      </x:c>
      <x:c r="R236" s="30" t="str">
        <x:v>MATCHED_ASSET</x:v>
      </x:c>
      <x:c r="S236" t="e">
        <x:f>HYPERLINK("visual_gallery/index.html#"&amp;A236,"Галерея")</x:f>
      </x:c>
    </x:row>
    <x:row r="237">
      <x:c r="A237" s="87" t="str">
        <x:v>VIS-EGKR-BIO-S26-TASK-955-P005</x:v>
      </x:c>
      <x:c r="B237" s="30" t="str">
        <x:v>Биология</x:v>
      </x:c>
      <x:c r="C237" s="30"/>
      <x:c r="D237" s="30" t="str">
        <x:v>955</x:v>
      </x:c>
      <x:c r="E237" s="87" t="str">
        <x:v>TASK</x:v>
      </x:c>
      <x:c r="F237" s="30" t="str">
        <x:v>Вариант 955.pdf</x:v>
      </x:c>
      <x:c r="G237" s="87" t="str">
        <x:v>5</x:v>
      </x:c>
      <x:c r="H237" s="87" t="str">
        <x:v>v1.05</x:v>
      </x:c>
      <x:c r="I237" s="87" t="str">
        <x:v>4</x:v>
      </x:c>
      <x:c r="J237" s="30" t="str">
        <x:v>VIS_ID</x:v>
      </x:c>
      <x:c r="K237" s="30" t="str">
        <x:v>EGKR-S26-BIO-955-15, EGKR-S26-BIO-955-16, EGKR-S26-BIO-955-17, EGKR-S26-BIO-955-18</x:v>
      </x:c>
      <x:c r="L237" s="87" t="str">
        <x:v>CROP_VERIFIED</x:v>
      </x:c>
      <x:c r="M237" s="87" t="str">
        <x:v>ORIGINAL_PACKAGE</x:v>
      </x:c>
      <x:c r="N237" s="87" t="str">
        <x:v>pages/VIS-EGKR-BIO-S26-TASK-955-P005.png</x:v>
      </x:c>
      <x:c r="O237" s="87" t="str">
        <x:v>thumbnails/VIS-EGKR-BIO-S26-TASK-955-P005.jpg</x:v>
      </x:c>
      <x:c r="P237" s="87" t="str">
        <x:v>a5825ee78eb252e003e01f58d6965550794d7c7b39907fe8ab27c81271925d4c</x:v>
      </x:c>
      <x:c r="Q237" s="30" t="str">
        <x:v>incoming/raw/recovery-drop-01/biology_egkr_spring_visual_assets_v105.zip!/pages/VIS-EGKR-BIO-S26-TASK-955-P005.png</x:v>
      </x:c>
      <x:c r="R237" s="30" t="str">
        <x:v>MATCHED_ASSET</x:v>
      </x:c>
      <x:c r="S237" t="e">
        <x:f>HYPERLINK("visual_gallery/index.html#"&amp;A237,"Галерея")</x:f>
      </x:c>
    </x:row>
    <x:row r="238">
      <x:c r="A238" s="87" t="str">
        <x:v>VIS-EGKR-BIO-S26-TASK-955-P006</x:v>
      </x:c>
      <x:c r="B238" s="30" t="str">
        <x:v>Биология</x:v>
      </x:c>
      <x:c r="C238" s="30"/>
      <x:c r="D238" s="30" t="str">
        <x:v>955</x:v>
      </x:c>
      <x:c r="E238" s="87" t="str">
        <x:v>TASK</x:v>
      </x:c>
      <x:c r="F238" s="30" t="str">
        <x:v>Вариант 955.pdf</x:v>
      </x:c>
      <x:c r="G238" s="87" t="str">
        <x:v>6</x:v>
      </x:c>
      <x:c r="H238" s="87" t="str">
        <x:v>v1.05</x:v>
      </x:c>
      <x:c r="I238" s="87" t="str">
        <x:v>3</x:v>
      </x:c>
      <x:c r="J238" s="30" t="str">
        <x:v>VIS_ID</x:v>
      </x:c>
      <x:c r="K238" s="30" t="str">
        <x:v>EGKR-S26-BIO-955-19, EGKR-S26-BIO-955-20, EGKR-S26-BIO-955-21</x:v>
      </x:c>
      <x:c r="L238" s="87" t="str">
        <x:v>CROP_VERIFIED</x:v>
      </x:c>
      <x:c r="M238" s="87" t="str">
        <x:v>ORIGINAL_PACKAGE</x:v>
      </x:c>
      <x:c r="N238" s="87" t="str">
        <x:v>pages/VIS-EGKR-BIO-S26-TASK-955-P006.png</x:v>
      </x:c>
      <x:c r="O238" s="87" t="str">
        <x:v>thumbnails/VIS-EGKR-BIO-S26-TASK-955-P006.jpg</x:v>
      </x:c>
      <x:c r="P238" s="87" t="str">
        <x:v>e6d0588b50518315e79ef28ef78695ea367a7265c435e77d752c05e2a29a0683</x:v>
      </x:c>
      <x:c r="Q238" s="30" t="str">
        <x:v>incoming/raw/recovery-drop-01/biology_egkr_spring_visual_assets_v105.zip!/pages/VIS-EGKR-BIO-S26-TASK-955-P006.png</x:v>
      </x:c>
      <x:c r="R238" s="30" t="str">
        <x:v>MATCHED_ASSET</x:v>
      </x:c>
      <x:c r="S238" t="e">
        <x:f>HYPERLINK("visual_gallery/index.html#"&amp;A238,"Галерея")</x:f>
      </x:c>
    </x:row>
    <x:row r="239">
      <x:c r="A239" s="87" t="str">
        <x:v>VIS-EGKR-BIO-S26-TASK-955-P007</x:v>
      </x:c>
      <x:c r="B239" s="30" t="str">
        <x:v>Биология</x:v>
      </x:c>
      <x:c r="C239" s="30"/>
      <x:c r="D239" s="30" t="str">
        <x:v>955</x:v>
      </x:c>
      <x:c r="E239" s="87" t="str">
        <x:v>TASK</x:v>
      </x:c>
      <x:c r="F239" s="30" t="str">
        <x:v>Вариант 955.pdf</x:v>
      </x:c>
      <x:c r="G239" s="87" t="str">
        <x:v>7</x:v>
      </x:c>
      <x:c r="H239" s="87" t="str">
        <x:v>v1.05</x:v>
      </x:c>
      <x:c r="I239" s="87" t="str">
        <x:v>2</x:v>
      </x:c>
      <x:c r="J239" s="30" t="str">
        <x:v>VIS_ID</x:v>
      </x:c>
      <x:c r="K239" s="30" t="str">
        <x:v>EGKR-S26-BIO-955-22, EGKR-S26-BIO-955-23</x:v>
      </x:c>
      <x:c r="L239" s="87" t="str">
        <x:v>CROP_VERIFIED</x:v>
      </x:c>
      <x:c r="M239" s="87" t="str">
        <x:v>ORIGINAL_PACKAGE</x:v>
      </x:c>
      <x:c r="N239" s="87" t="str">
        <x:v>pages/VIS-EGKR-BIO-S26-TASK-955-P007.png</x:v>
      </x:c>
      <x:c r="O239" s="87" t="str">
        <x:v>thumbnails/VIS-EGKR-BIO-S26-TASK-955-P007.jpg</x:v>
      </x:c>
      <x:c r="P239" s="87" t="str">
        <x:v>97de9c06484c69a2d52188f1f32c092ffe63dc259aff825be7bea50f605882e4</x:v>
      </x:c>
      <x:c r="Q239" s="30" t="str">
        <x:v>incoming/raw/recovery-drop-01/biology_egkr_spring_visual_assets_v105.zip!/pages/VIS-EGKR-BIO-S26-TASK-955-P007.png</x:v>
      </x:c>
      <x:c r="R239" s="30" t="str">
        <x:v>MATCHED_ASSET</x:v>
      </x:c>
      <x:c r="S239" t="e">
        <x:f>HYPERLINK("visual_gallery/index.html#"&amp;A239,"Галерея")</x:f>
      </x:c>
    </x:row>
    <x:row r="240">
      <x:c r="A240" s="87" t="str">
        <x:v>VIS-EGKR-BIO-S26-TASK-955-P008</x:v>
      </x:c>
      <x:c r="B240" s="30" t="str">
        <x:v>Биология</x:v>
      </x:c>
      <x:c r="C240" s="30"/>
      <x:c r="D240" s="30" t="str">
        <x:v>955</x:v>
      </x:c>
      <x:c r="E240" s="87" t="str">
        <x:v>TASK</x:v>
      </x:c>
      <x:c r="F240" s="30" t="str">
        <x:v>Вариант 955.pdf</x:v>
      </x:c>
      <x:c r="G240" s="87" t="str">
        <x:v>8</x:v>
      </x:c>
      <x:c r="H240" s="87" t="str">
        <x:v>v1.05</x:v>
      </x:c>
      <x:c r="I240" s="87" t="str">
        <x:v>4</x:v>
      </x:c>
      <x:c r="J240" s="30" t="str">
        <x:v>VIS_ID</x:v>
      </x:c>
      <x:c r="K240" s="30" t="str">
        <x:v>EGKR-S26-BIO-955-24, EGKR-S26-BIO-955-25, EGKR-S26-BIO-955-26, EGKR-S26-BIO-955-27</x:v>
      </x:c>
      <x:c r="L240" s="87" t="str">
        <x:v>CROP_VERIFIED</x:v>
      </x:c>
      <x:c r="M240" s="87" t="str">
        <x:v>ORIGINAL_PACKAGE</x:v>
      </x:c>
      <x:c r="N240" s="87" t="str">
        <x:v>pages/VIS-EGKR-BIO-S26-TASK-955-P008.png</x:v>
      </x:c>
      <x:c r="O240" s="87" t="str">
        <x:v>thumbnails/VIS-EGKR-BIO-S26-TASK-955-P008.jpg</x:v>
      </x:c>
      <x:c r="P240" s="87" t="str">
        <x:v>c717bb67b3039a38e09d248a7e03650c2d2ca9f7e85054d3bf5d63a699209d1d</x:v>
      </x:c>
      <x:c r="Q240" s="30" t="str">
        <x:v>incoming/raw/recovery-drop-01/biology_egkr_spring_visual_assets_v105.zip!/pages/VIS-EGKR-BIO-S26-TASK-955-P008.png</x:v>
      </x:c>
      <x:c r="R240" s="30" t="str">
        <x:v>MATCHED_ASSET</x:v>
      </x:c>
      <x:c r="S240" t="e">
        <x:f>HYPERLINK("visual_gallery/index.html#"&amp;A240,"Галерея")</x:f>
      </x:c>
    </x:row>
    <x:row r="241">
      <x:c r="A241" s="87" t="str">
        <x:v>VIS-EGKR-BIO-S26-TASK-955-P009</x:v>
      </x:c>
      <x:c r="B241" s="30" t="str">
        <x:v>Биология</x:v>
      </x:c>
      <x:c r="C241" s="30"/>
      <x:c r="D241" s="30" t="str">
        <x:v>955</x:v>
      </x:c>
      <x:c r="E241" s="87" t="str">
        <x:v>TASK</x:v>
      </x:c>
      <x:c r="F241" s="30" t="str">
        <x:v>Вариант 955.pdf</x:v>
      </x:c>
      <x:c r="G241" s="87" t="str">
        <x:v>9</x:v>
      </x:c>
      <x:c r="H241" s="87" t="str">
        <x:v>v1.05</x:v>
      </x:c>
      <x:c r="I241" s="87" t="str">
        <x:v>1</x:v>
      </x:c>
      <x:c r="J241" s="30" t="str">
        <x:v>VIS_ID</x:v>
      </x:c>
      <x:c r="K241" s="30" t="str">
        <x:v>EGKR-S26-BIO-955-28</x:v>
      </x:c>
      <x:c r="L241" s="87" t="str">
        <x:v>CROP_VERIFIED</x:v>
      </x:c>
      <x:c r="M241" s="87" t="str">
        <x:v>ORIGINAL_PACKAGE</x:v>
      </x:c>
      <x:c r="N241" s="87" t="str">
        <x:v>pages/VIS-EGKR-BIO-S26-TASK-955-P009.png</x:v>
      </x:c>
      <x:c r="O241" s="87" t="str">
        <x:v>thumbnails/VIS-EGKR-BIO-S26-TASK-955-P009.jpg</x:v>
      </x:c>
      <x:c r="P241" s="87" t="str">
        <x:v>fc49cf96cf750edbd2fc01a7a104171b73de039834031c21a704d54c808b82e3</x:v>
      </x:c>
      <x:c r="Q241" s="30" t="str">
        <x:v>incoming/raw/recovery-drop-01/biology_egkr_spring_visual_assets_v105.zip!/pages/VIS-EGKR-BIO-S26-TASK-955-P009.png</x:v>
      </x:c>
      <x:c r="R241" s="30" t="str">
        <x:v>MATCHED_ASSET</x:v>
      </x:c>
      <x:c r="S241" t="e">
        <x:f>HYPERLINK("visual_gallery/index.html#"&amp;A241,"Галерея")</x:f>
      </x:c>
    </x:row>
    <x:row r="242">
      <x:c r="A242" s="87" t="str">
        <x:v>VIS-EGKR-BIO-S26-TASK-956-P001</x:v>
      </x:c>
      <x:c r="B242" s="30" t="str">
        <x:v>Биология</x:v>
      </x:c>
      <x:c r="C242" s="30"/>
      <x:c r="D242" s="30" t="str">
        <x:v>956</x:v>
      </x:c>
      <x:c r="E242" s="87" t="str">
        <x:v>TASK</x:v>
      </x:c>
      <x:c r="F242" s="30" t="str">
        <x:v>Вариант 956 (1).pdf</x:v>
      </x:c>
      <x:c r="G242" s="87" t="str">
        <x:v>1</x:v>
      </x:c>
      <x:c r="H242" s="87" t="str">
        <x:v>v1.05</x:v>
      </x:c>
      <x:c r="I242" s="87" t="str">
        <x:v>1</x:v>
      </x:c>
      <x:c r="J242" s="30" t="str">
        <x:v>VIS_ID</x:v>
      </x:c>
      <x:c r="K242" s="30" t="str">
        <x:v>EGKR-S26-BIO-956-01</x:v>
      </x:c>
      <x:c r="L242" s="87" t="str">
        <x:v>CROP_VERIFIED</x:v>
      </x:c>
      <x:c r="M242" s="87" t="str">
        <x:v>ORIGINAL_PACKAGE</x:v>
      </x:c>
      <x:c r="N242" s="87" t="str">
        <x:v>pages/VIS-EGKR-BIO-S26-TASK-956-P001.png</x:v>
      </x:c>
      <x:c r="O242" s="87" t="str">
        <x:v>thumbnails/VIS-EGKR-BIO-S26-TASK-956-P001.jpg</x:v>
      </x:c>
      <x:c r="P242" s="87" t="str">
        <x:v>1b3f7f97623b377e972415168051a7536e97fc1a28295891c8ebb7b2b3b90be9</x:v>
      </x:c>
      <x:c r="Q242" s="30" t="str">
        <x:v>incoming/raw/recovery-drop-01/biology_egkr_spring_visual_assets_v105.zip!/pages/VIS-EGKR-BIO-S26-TASK-956-P001.png</x:v>
      </x:c>
      <x:c r="R242" s="30" t="str">
        <x:v>MATCHED_ASSET</x:v>
      </x:c>
      <x:c r="S242" t="e">
        <x:f>HYPERLINK("visual_gallery/index.html#"&amp;A242,"Галерея")</x:f>
      </x:c>
    </x:row>
    <x:row r="243">
      <x:c r="A243" s="87" t="str">
        <x:v>VIS-EGKR-BIO-S26-TASK-956-P002</x:v>
      </x:c>
      <x:c r="B243" s="30" t="str">
        <x:v>Биология</x:v>
      </x:c>
      <x:c r="C243" s="30"/>
      <x:c r="D243" s="30" t="str">
        <x:v>956</x:v>
      </x:c>
      <x:c r="E243" s="87" t="str">
        <x:v>TASK</x:v>
      </x:c>
      <x:c r="F243" s="30" t="str">
        <x:v>Вариант 956 (1).pdf</x:v>
      </x:c>
      <x:c r="G243" s="87" t="str">
        <x:v>2</x:v>
      </x:c>
      <x:c r="H243" s="87" t="str">
        <x:v>v1.05</x:v>
      </x:c>
      <x:c r="I243" s="87" t="str">
        <x:v>5</x:v>
      </x:c>
      <x:c r="J243" s="30" t="str">
        <x:v>VIS_ID</x:v>
      </x:c>
      <x:c r="K243" s="30" t="str">
        <x:v>EGKR-S26-BIO-956-02, EGKR-S26-BIO-956-03, EGKR-S26-BIO-956-04, EGKR-S26-BIO-956-05, EGKR-S26-BIO-956-06</x:v>
      </x:c>
      <x:c r="L243" s="87" t="str">
        <x:v>CROP_VERIFIED</x:v>
      </x:c>
      <x:c r="M243" s="87" t="str">
        <x:v>ORIGINAL_PACKAGE</x:v>
      </x:c>
      <x:c r="N243" s="87" t="str">
        <x:v>pages/VIS-EGKR-BIO-S26-TASK-956-P002.png</x:v>
      </x:c>
      <x:c r="O243" s="87" t="str">
        <x:v>thumbnails/VIS-EGKR-BIO-S26-TASK-956-P002.jpg</x:v>
      </x:c>
      <x:c r="P243" s="87" t="str">
        <x:v>4be238651034d41355d4774a7dd7c462a1c71d52714ec35a0fabd444b4b6bd0c</x:v>
      </x:c>
      <x:c r="Q243" s="30" t="str">
        <x:v>incoming/raw/recovery-drop-01/biology_egkr_spring_visual_assets_v105.zip!/pages/VIS-EGKR-BIO-S26-TASK-956-P002.png</x:v>
      </x:c>
      <x:c r="R243" s="30" t="str">
        <x:v>MATCHED_ASSET</x:v>
      </x:c>
      <x:c r="S243" t="e">
        <x:f>HYPERLINK("visual_gallery/index.html#"&amp;A243,"Галерея")</x:f>
      </x:c>
    </x:row>
    <x:row r="244">
      <x:c r="A244" s="87" t="str">
        <x:v>VIS-EGKR-BIO-S26-TASK-956-P003</x:v>
      </x:c>
      <x:c r="B244" s="30" t="str">
        <x:v>Биология</x:v>
      </x:c>
      <x:c r="C244" s="30"/>
      <x:c r="D244" s="30" t="str">
        <x:v>956</x:v>
      </x:c>
      <x:c r="E244" s="87" t="str">
        <x:v>TASK</x:v>
      </x:c>
      <x:c r="F244" s="30" t="str">
        <x:v>Вариант 956 (1).pdf</x:v>
      </x:c>
      <x:c r="G244" s="87" t="str">
        <x:v>3</x:v>
      </x:c>
      <x:c r="H244" s="87" t="str">
        <x:v>v1.05</x:v>
      </x:c>
      <x:c r="I244" s="87" t="str">
        <x:v>4</x:v>
      </x:c>
      <x:c r="J244" s="30" t="str">
        <x:v>VIS_ID</x:v>
      </x:c>
      <x:c r="K244" s="30" t="str">
        <x:v>EGKR-S26-BIO-956-07, EGKR-S26-BIO-956-08, EGKR-S26-BIO-956-09, EGKR-S26-BIO-956-10</x:v>
      </x:c>
      <x:c r="L244" s="87" t="str">
        <x:v>CROP_VERIFIED</x:v>
      </x:c>
      <x:c r="M244" s="87" t="str">
        <x:v>ORIGINAL_PACKAGE</x:v>
      </x:c>
      <x:c r="N244" s="87" t="str">
        <x:v>pages/VIS-EGKR-BIO-S26-TASK-956-P003.png</x:v>
      </x:c>
      <x:c r="O244" s="87" t="str">
        <x:v>thumbnails/VIS-EGKR-BIO-S26-TASK-956-P003.jpg</x:v>
      </x:c>
      <x:c r="P244" s="87" t="str">
        <x:v>c8b8253b20d6d1c346dc4769e3e5cc87edf0c11f24c04fe8c0b72d0882df0160</x:v>
      </x:c>
      <x:c r="Q244" s="30" t="str">
        <x:v>incoming/raw/recovery-drop-01/biology_egkr_spring_visual_assets_v105.zip!/pages/VIS-EGKR-BIO-S26-TASK-956-P003.png</x:v>
      </x:c>
      <x:c r="R244" s="30" t="str">
        <x:v>MATCHED_ASSET</x:v>
      </x:c>
      <x:c r="S244" t="e">
        <x:f>HYPERLINK("visual_gallery/index.html#"&amp;A244,"Галерея")</x:f>
      </x:c>
    </x:row>
    <x:row r="245">
      <x:c r="A245" s="87" t="str">
        <x:v>VIS-EGKR-BIO-S26-TASK-956-P004</x:v>
      </x:c>
      <x:c r="B245" s="30" t="str">
        <x:v>Биология</x:v>
      </x:c>
      <x:c r="C245" s="30"/>
      <x:c r="D245" s="30" t="str">
        <x:v>956</x:v>
      </x:c>
      <x:c r="E245" s="87" t="str">
        <x:v>TASK</x:v>
      </x:c>
      <x:c r="F245" s="30" t="str">
        <x:v>Вариант 956 (1).pdf</x:v>
      </x:c>
      <x:c r="G245" s="87" t="str">
        <x:v>4</x:v>
      </x:c>
      <x:c r="H245" s="87" t="str">
        <x:v>v1.05</x:v>
      </x:c>
      <x:c r="I245" s="87" t="str">
        <x:v>4</x:v>
      </x:c>
      <x:c r="J245" s="30" t="str">
        <x:v>VIS_ID</x:v>
      </x:c>
      <x:c r="K245" s="30" t="str">
        <x:v>EGKR-S26-BIO-956-11, EGKR-S26-BIO-956-12, EGKR-S26-BIO-956-13, EGKR-S26-BIO-956-14</x:v>
      </x:c>
      <x:c r="L245" s="87" t="str">
        <x:v>CROP_VERIFIED</x:v>
      </x:c>
      <x:c r="M245" s="87" t="str">
        <x:v>ORIGINAL_PACKAGE</x:v>
      </x:c>
      <x:c r="N245" s="87" t="str">
        <x:v>pages/VIS-EGKR-BIO-S26-TASK-956-P004.png</x:v>
      </x:c>
      <x:c r="O245" s="87" t="str">
        <x:v>thumbnails/VIS-EGKR-BIO-S26-TASK-956-P004.jpg</x:v>
      </x:c>
      <x:c r="P245" s="87" t="str">
        <x:v>2c6961bf86120058912ee47da157b4661c3814a0669a435530e907e426ce6df0</x:v>
      </x:c>
      <x:c r="Q245" s="30" t="str">
        <x:v>incoming/raw/recovery-drop-01/biology_egkr_spring_visual_assets_v105.zip!/pages/VIS-EGKR-BIO-S26-TASK-956-P004.png</x:v>
      </x:c>
      <x:c r="R245" s="30" t="str">
        <x:v>MATCHED_ASSET</x:v>
      </x:c>
      <x:c r="S245" t="e">
        <x:f>HYPERLINK("visual_gallery/index.html#"&amp;A245,"Галерея")</x:f>
      </x:c>
    </x:row>
    <x:row r="246">
      <x:c r="A246" s="87" t="str">
        <x:v>VIS-EGKR-BIO-S26-TASK-956-P005</x:v>
      </x:c>
      <x:c r="B246" s="30" t="str">
        <x:v>Биология</x:v>
      </x:c>
      <x:c r="C246" s="30"/>
      <x:c r="D246" s="30" t="str">
        <x:v>956</x:v>
      </x:c>
      <x:c r="E246" s="87" t="str">
        <x:v>TASK</x:v>
      </x:c>
      <x:c r="F246" s="30" t="str">
        <x:v>Вариант 956 (1).pdf</x:v>
      </x:c>
      <x:c r="G246" s="87" t="str">
        <x:v>5</x:v>
      </x:c>
      <x:c r="H246" s="87" t="str">
        <x:v>v1.05</x:v>
      </x:c>
      <x:c r="I246" s="87" t="str">
        <x:v>4</x:v>
      </x:c>
      <x:c r="J246" s="30" t="str">
        <x:v>VIS_ID</x:v>
      </x:c>
      <x:c r="K246" s="30" t="str">
        <x:v>EGKR-S26-BIO-956-15, EGKR-S26-BIO-956-16, EGKR-S26-BIO-956-17, EGKR-S26-BIO-956-18</x:v>
      </x:c>
      <x:c r="L246" s="87" t="str">
        <x:v>CROP_VERIFIED</x:v>
      </x:c>
      <x:c r="M246" s="87" t="str">
        <x:v>ORIGINAL_PACKAGE</x:v>
      </x:c>
      <x:c r="N246" s="87" t="str">
        <x:v>pages/VIS-EGKR-BIO-S26-TASK-956-P005.png</x:v>
      </x:c>
      <x:c r="O246" s="87" t="str">
        <x:v>thumbnails/VIS-EGKR-BIO-S26-TASK-956-P005.jpg</x:v>
      </x:c>
      <x:c r="P246" s="87" t="str">
        <x:v>dff5d5f2125e8469253ad7a8b672d7845f94a5382f7257f6189294ea836224d6</x:v>
      </x:c>
      <x:c r="Q246" s="30" t="str">
        <x:v>incoming/raw/recovery-drop-01/biology_egkr_spring_visual_assets_v105.zip!/pages/VIS-EGKR-BIO-S26-TASK-956-P005.png</x:v>
      </x:c>
      <x:c r="R246" s="30" t="str">
        <x:v>MATCHED_ASSET</x:v>
      </x:c>
      <x:c r="S246" t="e">
        <x:f>HYPERLINK("visual_gallery/index.html#"&amp;A246,"Галерея")</x:f>
      </x:c>
    </x:row>
    <x:row r="247">
      <x:c r="A247" s="87" t="str">
        <x:v>VIS-EGKR-BIO-S26-TASK-956-P006</x:v>
      </x:c>
      <x:c r="B247" s="30" t="str">
        <x:v>Биология</x:v>
      </x:c>
      <x:c r="C247" s="30"/>
      <x:c r="D247" s="30" t="str">
        <x:v>956</x:v>
      </x:c>
      <x:c r="E247" s="87" t="str">
        <x:v>TASK</x:v>
      </x:c>
      <x:c r="F247" s="30" t="str">
        <x:v>Вариант 956 (1).pdf</x:v>
      </x:c>
      <x:c r="G247" s="87" t="str">
        <x:v>6</x:v>
      </x:c>
      <x:c r="H247" s="87" t="str">
        <x:v>v1.05</x:v>
      </x:c>
      <x:c r="I247" s="87" t="str">
        <x:v>3</x:v>
      </x:c>
      <x:c r="J247" s="30" t="str">
        <x:v>VIS_ID</x:v>
      </x:c>
      <x:c r="K247" s="30" t="str">
        <x:v>EGKR-S26-BIO-956-19, EGKR-S26-BIO-956-20, EGKR-S26-BIO-956-21</x:v>
      </x:c>
      <x:c r="L247" s="87" t="str">
        <x:v>CROP_VERIFIED</x:v>
      </x:c>
      <x:c r="M247" s="87" t="str">
        <x:v>ORIGINAL_PACKAGE</x:v>
      </x:c>
      <x:c r="N247" s="87" t="str">
        <x:v>pages/VIS-EGKR-BIO-S26-TASK-956-P006.png</x:v>
      </x:c>
      <x:c r="O247" s="87" t="str">
        <x:v>thumbnails/VIS-EGKR-BIO-S26-TASK-956-P006.jpg</x:v>
      </x:c>
      <x:c r="P247" s="87" t="str">
        <x:v>6a05cbac7af01b4b85ecf67a811c17db1606596ce8ddd9513cd0caccabd65a16</x:v>
      </x:c>
      <x:c r="Q247" s="30" t="str">
        <x:v>incoming/raw/recovery-drop-01/biology_egkr_spring_visual_assets_v105.zip!/pages/VIS-EGKR-BIO-S26-TASK-956-P006.png</x:v>
      </x:c>
      <x:c r="R247" s="30" t="str">
        <x:v>MATCHED_ASSET</x:v>
      </x:c>
      <x:c r="S247" t="e">
        <x:f>HYPERLINK("visual_gallery/index.html#"&amp;A247,"Галерея")</x:f>
      </x:c>
    </x:row>
    <x:row r="248">
      <x:c r="A248" s="87" t="str">
        <x:v>VIS-EGKR-BIO-S26-TASK-956-P007</x:v>
      </x:c>
      <x:c r="B248" s="30" t="str">
        <x:v>Биология</x:v>
      </x:c>
      <x:c r="C248" s="30"/>
      <x:c r="D248" s="30" t="str">
        <x:v>956</x:v>
      </x:c>
      <x:c r="E248" s="87" t="str">
        <x:v>TASK</x:v>
      </x:c>
      <x:c r="F248" s="30" t="str">
        <x:v>Вариант 956 (1).pdf</x:v>
      </x:c>
      <x:c r="G248" s="87" t="str">
        <x:v>7</x:v>
      </x:c>
      <x:c r="H248" s="87" t="str">
        <x:v>v1.05</x:v>
      </x:c>
      <x:c r="I248" s="87" t="str">
        <x:v>2</x:v>
      </x:c>
      <x:c r="J248" s="30" t="str">
        <x:v>VIS_ID</x:v>
      </x:c>
      <x:c r="K248" s="30" t="str">
        <x:v>EGKR-S26-BIO-956-22, EGKR-S26-BIO-956-23</x:v>
      </x:c>
      <x:c r="L248" s="87" t="str">
        <x:v>CROP_VERIFIED</x:v>
      </x:c>
      <x:c r="M248" s="87" t="str">
        <x:v>ORIGINAL_PACKAGE</x:v>
      </x:c>
      <x:c r="N248" s="87" t="str">
        <x:v>pages/VIS-EGKR-BIO-S26-TASK-956-P007.png</x:v>
      </x:c>
      <x:c r="O248" s="87" t="str">
        <x:v>thumbnails/VIS-EGKR-BIO-S26-TASK-956-P007.jpg</x:v>
      </x:c>
      <x:c r="P248" s="87" t="str">
        <x:v>a3e4c2bb8ca3a0acdd8d074cb9b77f0d0f9364548cbf958d854e35ca85b2c6eb</x:v>
      </x:c>
      <x:c r="Q248" s="30" t="str">
        <x:v>incoming/raw/recovery-drop-01/biology_egkr_spring_visual_assets_v105.zip!/pages/VIS-EGKR-BIO-S26-TASK-956-P007.png</x:v>
      </x:c>
      <x:c r="R248" s="30" t="str">
        <x:v>MATCHED_ASSET</x:v>
      </x:c>
      <x:c r="S248" t="e">
        <x:f>HYPERLINK("visual_gallery/index.html#"&amp;A248,"Галерея")</x:f>
      </x:c>
    </x:row>
    <x:row r="249">
      <x:c r="A249" s="87" t="str">
        <x:v>VIS-EGKR-BIO-S26-TASK-956-P008</x:v>
      </x:c>
      <x:c r="B249" s="30" t="str">
        <x:v>Биология</x:v>
      </x:c>
      <x:c r="C249" s="30"/>
      <x:c r="D249" s="30" t="str">
        <x:v>956</x:v>
      </x:c>
      <x:c r="E249" s="87" t="str">
        <x:v>TASK</x:v>
      </x:c>
      <x:c r="F249" s="30" t="str">
        <x:v>Вариант 956 (1).pdf</x:v>
      </x:c>
      <x:c r="G249" s="87" t="str">
        <x:v>8</x:v>
      </x:c>
      <x:c r="H249" s="87" t="str">
        <x:v>v1.05</x:v>
      </x:c>
      <x:c r="I249" s="87" t="str">
        <x:v>4</x:v>
      </x:c>
      <x:c r="J249" s="30" t="str">
        <x:v>VIS_ID</x:v>
      </x:c>
      <x:c r="K249" s="30" t="str">
        <x:v>EGKR-S26-BIO-956-24, EGKR-S26-BIO-956-25, EGKR-S26-BIO-956-26, EGKR-S26-BIO-956-27</x:v>
      </x:c>
      <x:c r="L249" s="87" t="str">
        <x:v>CROP_VERIFIED</x:v>
      </x:c>
      <x:c r="M249" s="87" t="str">
        <x:v>ORIGINAL_PACKAGE</x:v>
      </x:c>
      <x:c r="N249" s="87" t="str">
        <x:v>pages/VIS-EGKR-BIO-S26-TASK-956-P008.png</x:v>
      </x:c>
      <x:c r="O249" s="87" t="str">
        <x:v>thumbnails/VIS-EGKR-BIO-S26-TASK-956-P008.jpg</x:v>
      </x:c>
      <x:c r="P249" s="87" t="str">
        <x:v>49f032dfcce47632b577a6b5d01b21caffb9e3eb3fe2d9337c5a9266a8372a90</x:v>
      </x:c>
      <x:c r="Q249" s="30" t="str">
        <x:v>incoming/raw/recovery-drop-01/biology_egkr_spring_visual_assets_v105.zip!/pages/VIS-EGKR-BIO-S26-TASK-956-P008.png</x:v>
      </x:c>
      <x:c r="R249" s="30" t="str">
        <x:v>MATCHED_ASSET</x:v>
      </x:c>
      <x:c r="S249" t="e">
        <x:f>HYPERLINK("visual_gallery/index.html#"&amp;A249,"Галерея")</x:f>
      </x:c>
    </x:row>
    <x:row r="250">
      <x:c r="A250" s="87" t="str">
        <x:v>VIS-EGKR-BIO-S26-TASK-956-P009</x:v>
      </x:c>
      <x:c r="B250" s="30" t="str">
        <x:v>Биология</x:v>
      </x:c>
      <x:c r="C250" s="30"/>
      <x:c r="D250" s="30" t="str">
        <x:v>956</x:v>
      </x:c>
      <x:c r="E250" s="87" t="str">
        <x:v>TASK</x:v>
      </x:c>
      <x:c r="F250" s="30" t="str">
        <x:v>Вариант 956 (1).pdf</x:v>
      </x:c>
      <x:c r="G250" s="87" t="str">
        <x:v>9</x:v>
      </x:c>
      <x:c r="H250" s="87" t="str">
        <x:v>v1.05</x:v>
      </x:c>
      <x:c r="I250" s="87" t="str">
        <x:v>1</x:v>
      </x:c>
      <x:c r="J250" s="30" t="str">
        <x:v>VIS_ID</x:v>
      </x:c>
      <x:c r="K250" s="30" t="str">
        <x:v>EGKR-S26-BIO-956-28</x:v>
      </x:c>
      <x:c r="L250" s="87" t="str">
        <x:v>CROP_VERIFIED</x:v>
      </x:c>
      <x:c r="M250" s="87" t="str">
        <x:v>ORIGINAL_PACKAGE</x:v>
      </x:c>
      <x:c r="N250" s="87" t="str">
        <x:v>pages/VIS-EGKR-BIO-S26-TASK-956-P009.png</x:v>
      </x:c>
      <x:c r="O250" s="87" t="str">
        <x:v>thumbnails/VIS-EGKR-BIO-S26-TASK-956-P009.jpg</x:v>
      </x:c>
      <x:c r="P250" s="87" t="str">
        <x:v>1a55f382cbecb5aaf3310bcd5993f91f01f8be2ac48901d1c672a57b3608be92</x:v>
      </x:c>
      <x:c r="Q250" s="30" t="str">
        <x:v>incoming/raw/recovery-drop-01/biology_egkr_spring_visual_assets_v105.zip!/pages/VIS-EGKR-BIO-S26-TASK-956-P009.png</x:v>
      </x:c>
      <x:c r="R250" s="30" t="str">
        <x:v>MATCHED_ASSET</x:v>
      </x:c>
      <x:c r="S250" t="e">
        <x:f>HYPERLINK("visual_gallery/index.html#"&amp;A250,"Галерея")</x:f>
      </x:c>
    </x:row>
    <x:row r="251">
      <x:c r="A251" s="87" t="str">
        <x:v>VIS-EGKR-BIO-W25-ANSWERDOC-P001</x:v>
      </x:c>
      <x:c r="B251" s="30" t="str"/>
      <x:c r="C251" s="30"/>
      <x:c r="D251" s="30" t="str">
        <x:v>951–953</x:v>
      </x:c>
      <x:c r="E251" s="87" t="str">
        <x:v>SECONDARY_SOURCE</x:v>
      </x:c>
      <x:c r="F251" s="30" t="str">
        <x:v>Ответы биология.docx</x:v>
      </x:c>
      <x:c r="G251" s="87" t="str">
        <x:v>1</x:v>
      </x:c>
      <x:c r="H251" s="87" t="str">
        <x:v>v0.93</x:v>
      </x:c>
      <x:c r="I251" s="87" t="str">
        <x:v>0</x:v>
      </x:c>
      <x:c r="J251" s="30" t="str"/>
      <x:c r="K251" s="30" t="str"/>
      <x:c r="L251" s="87" t="str">
        <x:v>CROP_VERIFIED</x:v>
      </x:c>
      <x:c r="M251" s="87" t="str">
        <x:v>ORIGINAL_PACKAGE</x:v>
      </x:c>
      <x:c r="N251" s="87" t="str">
        <x:v>pages/VIS-EGKR-BIO-W25-ANSWERDOC-P001.png</x:v>
      </x:c>
      <x:c r="O251" s="87" t="str">
        <x:v>thumbnails/VIS-EGKR-BIO-W25-ANSWERDOC-P001.jpg</x:v>
      </x:c>
      <x:c r="P251" s="87" t="str">
        <x:v>80efee3e427bcae3d839b5b1c71dbbb2037cf33f48c43323f6af4b887c9a2abb</x:v>
      </x:c>
      <x:c r="Q251" s="30" t="str">
        <x:v>incoming/raw/recovery-drop-01/biology_egkr_winter_visual_assets_v093.zip!/pages/VIS-EGKR-BIO-W25-ANSWERDOC-P001.png</x:v>
      </x:c>
      <x:c r="R251" s="30" t="str">
        <x:v>RESOLVED_UNLINKED_REGISTRY_VISUAL</x:v>
      </x:c>
      <x:c r="S251" t="e">
        <x:f>HYPERLINK("visual_gallery/index.html#"&amp;A251,"Галерея")</x:f>
      </x:c>
    </x:row>
    <x:row r="252">
      <x:c r="A252" s="87" t="str">
        <x:v>VIS-EGKR-BIO-W25-ANSWERDOC-P002</x:v>
      </x:c>
      <x:c r="B252" s="30" t="str"/>
      <x:c r="C252" s="30"/>
      <x:c r="D252" s="30" t="str">
        <x:v>951–953</x:v>
      </x:c>
      <x:c r="E252" s="87" t="str">
        <x:v>SECONDARY_SOURCE</x:v>
      </x:c>
      <x:c r="F252" s="30" t="str">
        <x:v>Ответы биология.docx</x:v>
      </x:c>
      <x:c r="G252" s="87" t="str">
        <x:v>2</x:v>
      </x:c>
      <x:c r="H252" s="87" t="str">
        <x:v>v0.93</x:v>
      </x:c>
      <x:c r="I252" s="87" t="str">
        <x:v>0</x:v>
      </x:c>
      <x:c r="J252" s="30" t="str"/>
      <x:c r="K252" s="30" t="str"/>
      <x:c r="L252" s="87" t="str">
        <x:v>CROP_VERIFIED</x:v>
      </x:c>
      <x:c r="M252" s="87" t="str">
        <x:v>ORIGINAL_PACKAGE</x:v>
      </x:c>
      <x:c r="N252" s="87" t="str">
        <x:v>pages/VIS-EGKR-BIO-W25-ANSWERDOC-P002.png</x:v>
      </x:c>
      <x:c r="O252" s="87" t="str">
        <x:v>thumbnails/VIS-EGKR-BIO-W25-ANSWERDOC-P002.jpg</x:v>
      </x:c>
      <x:c r="P252" s="87" t="str">
        <x:v>328c90161c6f7cb4168b9fb96b96e52c308b107c2f8ed83d6643f8300531a6df</x:v>
      </x:c>
      <x:c r="Q252" s="30" t="str">
        <x:v>incoming/raw/recovery-drop-01/biology_egkr_winter_visual_assets_v093.zip!/pages/VIS-EGKR-BIO-W25-ANSWERDOC-P002.png</x:v>
      </x:c>
      <x:c r="R252" s="30" t="str">
        <x:v>RESOLVED_UNLINKED_REGISTRY_VISUAL</x:v>
      </x:c>
      <x:c r="S252" t="e">
        <x:f>HYPERLINK("visual_gallery/index.html#"&amp;A252,"Галерея")</x:f>
      </x:c>
    </x:row>
    <x:row r="253">
      <x:c r="A253" s="87" t="str">
        <x:v>VIS-EGKR-BIO-W25-ANSWERDOC-P003</x:v>
      </x:c>
      <x:c r="B253" s="30" t="str"/>
      <x:c r="C253" s="30"/>
      <x:c r="D253" s="30" t="str">
        <x:v>951–953</x:v>
      </x:c>
      <x:c r="E253" s="87" t="str">
        <x:v>SECONDARY_SOURCE</x:v>
      </x:c>
      <x:c r="F253" s="30" t="str">
        <x:v>Ответы биология.docx</x:v>
      </x:c>
      <x:c r="G253" s="87" t="str">
        <x:v>3</x:v>
      </x:c>
      <x:c r="H253" s="87" t="str">
        <x:v>v0.93</x:v>
      </x:c>
      <x:c r="I253" s="87" t="str">
        <x:v>0</x:v>
      </x:c>
      <x:c r="J253" s="30" t="str"/>
      <x:c r="K253" s="30" t="str"/>
      <x:c r="L253" s="87" t="str">
        <x:v>CROP_VERIFIED</x:v>
      </x:c>
      <x:c r="M253" s="87" t="str">
        <x:v>ORIGINAL_PACKAGE</x:v>
      </x:c>
      <x:c r="N253" s="87" t="str">
        <x:v>pages/VIS-EGKR-BIO-W25-ANSWERDOC-P003.png</x:v>
      </x:c>
      <x:c r="O253" s="87" t="str">
        <x:v>thumbnails/VIS-EGKR-BIO-W25-ANSWERDOC-P003.jpg</x:v>
      </x:c>
      <x:c r="P253" s="87" t="str">
        <x:v>dcf968249a44016da1927b6ad61b04e500aa60fc2b31188bc0541470a2514245</x:v>
      </x:c>
      <x:c r="Q253" s="30" t="str">
        <x:v>incoming/raw/recovery-drop-01/biology_egkr_winter_visual_assets_v093.zip!/pages/VIS-EGKR-BIO-W25-ANSWERDOC-P003.png</x:v>
      </x:c>
      <x:c r="R253" s="30" t="str">
        <x:v>RESOLVED_UNLINKED_REGISTRY_VISUAL</x:v>
      </x:c>
      <x:c r="S253" t="e">
        <x:f>HYPERLINK("visual_gallery/index.html#"&amp;A253,"Галерея")</x:f>
      </x:c>
    </x:row>
    <x:row r="254">
      <x:c r="A254" s="87" t="str">
        <x:v>VIS-EGKR-BIO-W25-CRIT-P001</x:v>
      </x:c>
      <x:c r="B254" s="30" t="str">
        <x:v>Биология</x:v>
      </x:c>
      <x:c r="C254" s="30"/>
      <x:c r="D254" s="30" t="str">
        <x:v>951–953</x:v>
      </x:c>
      <x:c r="E254" s="87" t="str">
        <x:v>CRITERIA</x:v>
      </x:c>
      <x:c r="F254" s="30" t="str">
        <x:v>kriterii_EGKR_12_25.pdf</x:v>
      </x:c>
      <x:c r="G254" s="87" t="str">
        <x:v>1</x:v>
      </x:c>
      <x:c r="H254" s="87" t="str">
        <x:v>v0.93</x:v>
      </x:c>
      <x:c r="I254" s="87" t="str">
        <x:v>2</x:v>
      </x:c>
      <x:c r="J254" s="30" t="str">
        <x:v>VIS_ID, VIS_KEY / CRITERIA</x:v>
      </x:c>
      <x:c r="K254" s="30" t="str">
        <x:v>EGKR-W25-BIO-951-22</x:v>
      </x:c>
      <x:c r="L254" s="87" t="str">
        <x:v>CROP_VERIFIED</x:v>
      </x:c>
      <x:c r="M254" s="87" t="str">
        <x:v>ORIGINAL_PACKAGE</x:v>
      </x:c>
      <x:c r="N254" s="87" t="str">
        <x:v>pages/VIS-EGKR-BIO-W25-CRIT-P001.png</x:v>
      </x:c>
      <x:c r="O254" s="87" t="str">
        <x:v>thumbnails/VIS-EGKR-BIO-W25-CRIT-P001.jpg</x:v>
      </x:c>
      <x:c r="P254" s="87" t="str">
        <x:v>59f865d3c97e85d94606e29fe15140e2ceb9238b2452ed959825085382cbee90</x:v>
      </x:c>
      <x:c r="Q254" s="30" t="str">
        <x:v>incoming/raw/recovery-drop-01/biology_egkr_winter_visual_assets_v093.zip!/pages/VIS-EGKR-BIO-W25-CRIT-P001.png</x:v>
      </x:c>
      <x:c r="R254" s="30" t="str">
        <x:v>MATCHED_ASSET</x:v>
      </x:c>
      <x:c r="S254" t="e">
        <x:f>HYPERLINK("visual_gallery/index.html#"&amp;A254,"Галерея")</x:f>
      </x:c>
    </x:row>
    <x:row r="255">
      <x:c r="A255" s="87" t="str">
        <x:v>VIS-EGKR-BIO-W25-CRIT-P002</x:v>
      </x:c>
      <x:c r="B255" s="30" t="str">
        <x:v>Биология</x:v>
      </x:c>
      <x:c r="C255" s="30"/>
      <x:c r="D255" s="30" t="str">
        <x:v>951–953</x:v>
      </x:c>
      <x:c r="E255" s="87" t="str">
        <x:v>CRITERIA</x:v>
      </x:c>
      <x:c r="F255" s="30" t="str">
        <x:v>kriterii_EGKR_12_25.pdf</x:v>
      </x:c>
      <x:c r="G255" s="87" t="str">
        <x:v>2</x:v>
      </x:c>
      <x:c r="H255" s="87" t="str">
        <x:v>v0.93</x:v>
      </x:c>
      <x:c r="I255" s="87" t="str">
        <x:v>4</x:v>
      </x:c>
      <x:c r="J255" s="30" t="str">
        <x:v>VIS_ID, VIS_KEY / CRITERIA</x:v>
      </x:c>
      <x:c r="K255" s="30" t="str">
        <x:v>EGKR-W25-BIO-951-23, EGKR-W25-BIO-951-24</x:v>
      </x:c>
      <x:c r="L255" s="87" t="str">
        <x:v>CROP_VERIFIED</x:v>
      </x:c>
      <x:c r="M255" s="87" t="str">
        <x:v>ORIGINAL_PACKAGE</x:v>
      </x:c>
      <x:c r="N255" s="87" t="str">
        <x:v>pages/VIS-EGKR-BIO-W25-CRIT-P002.png</x:v>
      </x:c>
      <x:c r="O255" s="87" t="str">
        <x:v>thumbnails/VIS-EGKR-BIO-W25-CRIT-P002.jpg</x:v>
      </x:c>
      <x:c r="P255" s="87" t="str">
        <x:v>8e5bbf7a887adcbe2ad27e4e153673c47fb622c0e73cb112e7e54580c1dd831a</x:v>
      </x:c>
      <x:c r="Q255" s="30" t="str">
        <x:v>incoming/raw/recovery-drop-01/biology_egkr_winter_visual_assets_v093.zip!/pages/VIS-EGKR-BIO-W25-CRIT-P002.png</x:v>
      </x:c>
      <x:c r="R255" s="30" t="str">
        <x:v>MATCHED_ASSET</x:v>
      </x:c>
      <x:c r="S255" t="e">
        <x:f>HYPERLINK("visual_gallery/index.html#"&amp;A255,"Галерея")</x:f>
      </x:c>
    </x:row>
    <x:row r="256">
      <x:c r="A256" s="87" t="str">
        <x:v>VIS-EGKR-BIO-W25-CRIT-P003</x:v>
      </x:c>
      <x:c r="B256" s="30" t="str">
        <x:v>Биология</x:v>
      </x:c>
      <x:c r="C256" s="30"/>
      <x:c r="D256" s="30" t="str">
        <x:v>951–953</x:v>
      </x:c>
      <x:c r="E256" s="87" t="str">
        <x:v>CRITERIA</x:v>
      </x:c>
      <x:c r="F256" s="30" t="str">
        <x:v>kriterii_EGKR_12_25.pdf</x:v>
      </x:c>
      <x:c r="G256" s="87" t="str">
        <x:v>3</x:v>
      </x:c>
      <x:c r="H256" s="87" t="str">
        <x:v>v0.93</x:v>
      </x:c>
      <x:c r="I256" s="87" t="str">
        <x:v>4</x:v>
      </x:c>
      <x:c r="J256" s="30" t="str">
        <x:v>VIS_ID, VIS_KEY / CRITERIA</x:v>
      </x:c>
      <x:c r="K256" s="30" t="str">
        <x:v>EGKR-W25-BIO-951-25, EGKR-W25-BIO-951-26</x:v>
      </x:c>
      <x:c r="L256" s="87" t="str">
        <x:v>CROP_VERIFIED</x:v>
      </x:c>
      <x:c r="M256" s="87" t="str">
        <x:v>ORIGINAL_PACKAGE</x:v>
      </x:c>
      <x:c r="N256" s="87" t="str">
        <x:v>pages/VIS-EGKR-BIO-W25-CRIT-P003.png</x:v>
      </x:c>
      <x:c r="O256" s="87" t="str">
        <x:v>thumbnails/VIS-EGKR-BIO-W25-CRIT-P003.jpg</x:v>
      </x:c>
      <x:c r="P256" s="87" t="str">
        <x:v>7d0fe857dc3fb4b7386919f4d0de89c5a952abe16886d416999db9839a9e351b</x:v>
      </x:c>
      <x:c r="Q256" s="30" t="str">
        <x:v>incoming/raw/recovery-drop-01/biology_egkr_winter_visual_assets_v093.zip!/pages/VIS-EGKR-BIO-W25-CRIT-P003.png</x:v>
      </x:c>
      <x:c r="R256" s="30" t="str">
        <x:v>MATCHED_ASSET</x:v>
      </x:c>
      <x:c r="S256" t="e">
        <x:f>HYPERLINK("visual_gallery/index.html#"&amp;A256,"Галерея")</x:f>
      </x:c>
    </x:row>
    <x:row r="257">
      <x:c r="A257" s="87" t="str">
        <x:v>VIS-EGKR-BIO-W25-CRIT-P004</x:v>
      </x:c>
      <x:c r="B257" s="30" t="str">
        <x:v>Биология</x:v>
      </x:c>
      <x:c r="C257" s="30"/>
      <x:c r="D257" s="30" t="str">
        <x:v>951–953</x:v>
      </x:c>
      <x:c r="E257" s="87" t="str">
        <x:v>CRITERIA</x:v>
      </x:c>
      <x:c r="F257" s="30" t="str">
        <x:v>kriterii_EGKR_12_25.pdf</x:v>
      </x:c>
      <x:c r="G257" s="87" t="str">
        <x:v>4</x:v>
      </x:c>
      <x:c r="H257" s="87" t="str">
        <x:v>v0.93</x:v>
      </x:c>
      <x:c r="I257" s="87" t="str">
        <x:v>4</x:v>
      </x:c>
      <x:c r="J257" s="30" t="str">
        <x:v>VIS_ID, VIS_KEY / CRITERIA</x:v>
      </x:c>
      <x:c r="K257" s="30" t="str">
        <x:v>EGKR-W25-BIO-951-27, EGKR-W25-BIO-951-28</x:v>
      </x:c>
      <x:c r="L257" s="87" t="str">
        <x:v>CROP_VERIFIED</x:v>
      </x:c>
      <x:c r="M257" s="87" t="str">
        <x:v>ORIGINAL_PACKAGE</x:v>
      </x:c>
      <x:c r="N257" s="87" t="str">
        <x:v>pages/VIS-EGKR-BIO-W25-CRIT-P004.png</x:v>
      </x:c>
      <x:c r="O257" s="87" t="str">
        <x:v>thumbnails/VIS-EGKR-BIO-W25-CRIT-P004.jpg</x:v>
      </x:c>
      <x:c r="P257" s="87" t="str">
        <x:v>fea2d58580dc8162618f780b1be466a3360e934b9c00c601e89813f799108580</x:v>
      </x:c>
      <x:c r="Q257" s="30" t="str">
        <x:v>incoming/raw/recovery-drop-01/biology_egkr_winter_visual_assets_v093.zip!/pages/VIS-EGKR-BIO-W25-CRIT-P004.png</x:v>
      </x:c>
      <x:c r="R257" s="30" t="str">
        <x:v>MATCHED_ASSET</x:v>
      </x:c>
      <x:c r="S257" t="e">
        <x:f>HYPERLINK("visual_gallery/index.html#"&amp;A257,"Галерея")</x:f>
      </x:c>
    </x:row>
    <x:row r="258">
      <x:c r="A258" s="87" t="str">
        <x:v>VIS-EGKR-BIO-W25-CRIT-P005</x:v>
      </x:c>
      <x:c r="B258" s="30" t="str">
        <x:v>Биология</x:v>
      </x:c>
      <x:c r="C258" s="30"/>
      <x:c r="D258" s="30" t="str">
        <x:v>951–953</x:v>
      </x:c>
      <x:c r="E258" s="87" t="str">
        <x:v>CRITERIA</x:v>
      </x:c>
      <x:c r="F258" s="30" t="str">
        <x:v>kriterii_EGKR_12_25.pdf</x:v>
      </x:c>
      <x:c r="G258" s="87" t="str">
        <x:v>5</x:v>
      </x:c>
      <x:c r="H258" s="87" t="str">
        <x:v>v0.93</x:v>
      </x:c>
      <x:c r="I258" s="87" t="str">
        <x:v>1</x:v>
      </x:c>
      <x:c r="J258" s="30" t="str">
        <x:v>VIS_KEY / CRITERIA</x:v>
      </x:c>
      <x:c r="K258" s="30" t="str">
        <x:v>EGKR-W25-BIO-951-28</x:v>
      </x:c>
      <x:c r="L258" s="87" t="str">
        <x:v>CROP_VERIFIED</x:v>
      </x:c>
      <x:c r="M258" s="87" t="str">
        <x:v>ORIGINAL_PACKAGE</x:v>
      </x:c>
      <x:c r="N258" s="87" t="str">
        <x:v>pages/VIS-EGKR-BIO-W25-CRIT-P005.png</x:v>
      </x:c>
      <x:c r="O258" s="87" t="str">
        <x:v>thumbnails/VIS-EGKR-BIO-W25-CRIT-P005.jpg</x:v>
      </x:c>
      <x:c r="P258" s="87" t="str">
        <x:v>f983e04f972945fc84fd2d9344ad01118f16d76f20bf0a8bb39116a882941cf9</x:v>
      </x:c>
      <x:c r="Q258" s="30" t="str">
        <x:v>incoming/raw/recovery-drop-01/biology_egkr_winter_visual_assets_v093.zip!/pages/VIS-EGKR-BIO-W25-CRIT-P005.png</x:v>
      </x:c>
      <x:c r="R258" s="30" t="str">
        <x:v>MATCHED_ASSET</x:v>
      </x:c>
      <x:c r="S258" t="e">
        <x:f>HYPERLINK("visual_gallery/index.html#"&amp;A258,"Галерея")</x:f>
      </x:c>
    </x:row>
    <x:row r="259">
      <x:c r="A259" s="87" t="str">
        <x:v>VIS-EGKR-BIO-W25-CRIT-P006</x:v>
      </x:c>
      <x:c r="B259" s="30" t="str">
        <x:v>Биология</x:v>
      </x:c>
      <x:c r="C259" s="30"/>
      <x:c r="D259" s="30" t="str">
        <x:v>951–953</x:v>
      </x:c>
      <x:c r="E259" s="87" t="str">
        <x:v>CRITERIA</x:v>
      </x:c>
      <x:c r="F259" s="30" t="str">
        <x:v>kriterii_EGKR_12_25.pdf</x:v>
      </x:c>
      <x:c r="G259" s="87" t="str">
        <x:v>6</x:v>
      </x:c>
      <x:c r="H259" s="87" t="str">
        <x:v>v0.93</x:v>
      </x:c>
      <x:c r="I259" s="87" t="str">
        <x:v>1</x:v>
      </x:c>
      <x:c r="J259" s="30" t="str">
        <x:v>VIS_KEY / CRITERIA</x:v>
      </x:c>
      <x:c r="K259" s="30" t="str">
        <x:v>EGKR-W25-BIO-952-22</x:v>
      </x:c>
      <x:c r="L259" s="87" t="str">
        <x:v>CROP_VERIFIED</x:v>
      </x:c>
      <x:c r="M259" s="87" t="str">
        <x:v>ORIGINAL_PACKAGE</x:v>
      </x:c>
      <x:c r="N259" s="87" t="str">
        <x:v>pages/VIS-EGKR-BIO-W25-CRIT-P006.png</x:v>
      </x:c>
      <x:c r="O259" s="87" t="str">
        <x:v>thumbnails/VIS-EGKR-BIO-W25-CRIT-P006.jpg</x:v>
      </x:c>
      <x:c r="P259" s="87" t="str">
        <x:v>89a6ae5481ae0631aaf7dac824098155f9f97869fac01f9a8655d4fa9986c0f2</x:v>
      </x:c>
      <x:c r="Q259" s="30" t="str">
        <x:v>incoming/raw/recovery-drop-01/biology_egkr_winter_visual_assets_v093.zip!/pages/VIS-EGKR-BIO-W25-CRIT-P006.png</x:v>
      </x:c>
      <x:c r="R259" s="30" t="str">
        <x:v>MATCHED_ASSET</x:v>
      </x:c>
      <x:c r="S259" t="e">
        <x:f>HYPERLINK("visual_gallery/index.html#"&amp;A259,"Галерея")</x:f>
      </x:c>
    </x:row>
    <x:row r="260">
      <x:c r="A260" s="87" t="str">
        <x:v>VIS-EGKR-BIO-W25-CRIT-P007</x:v>
      </x:c>
      <x:c r="B260" s="30" t="str">
        <x:v>Биология</x:v>
      </x:c>
      <x:c r="C260" s="30"/>
      <x:c r="D260" s="30" t="str">
        <x:v>951–953</x:v>
      </x:c>
      <x:c r="E260" s="87" t="str">
        <x:v>CRITERIA</x:v>
      </x:c>
      <x:c r="F260" s="30" t="str">
        <x:v>kriterii_EGKR_12_25.pdf</x:v>
      </x:c>
      <x:c r="G260" s="87" t="str">
        <x:v>7</x:v>
      </x:c>
      <x:c r="H260" s="87" t="str">
        <x:v>v0.93</x:v>
      </x:c>
      <x:c r="I260" s="87" t="str">
        <x:v>2</x:v>
      </x:c>
      <x:c r="J260" s="30" t="str">
        <x:v>VIS_KEY / CRITERIA</x:v>
      </x:c>
      <x:c r="K260" s="30" t="str">
        <x:v>EGKR-W25-BIO-952-23, EGKR-W25-BIO-952-24</x:v>
      </x:c>
      <x:c r="L260" s="87" t="str">
        <x:v>CROP_VERIFIED</x:v>
      </x:c>
      <x:c r="M260" s="87" t="str">
        <x:v>ORIGINAL_PACKAGE</x:v>
      </x:c>
      <x:c r="N260" s="87" t="str">
        <x:v>pages/VIS-EGKR-BIO-W25-CRIT-P007.png</x:v>
      </x:c>
      <x:c r="O260" s="87" t="str">
        <x:v>thumbnails/VIS-EGKR-BIO-W25-CRIT-P007.jpg</x:v>
      </x:c>
      <x:c r="P260" s="87" t="str">
        <x:v>e0e0639446dfb67b08b89a35170fd31d0df7d26dfb54342625304c58f237484a</x:v>
      </x:c>
      <x:c r="Q260" s="30" t="str">
        <x:v>incoming/raw/recovery-drop-01/biology_egkr_winter_visual_assets_v093.zip!/pages/VIS-EGKR-BIO-W25-CRIT-P007.png</x:v>
      </x:c>
      <x:c r="R260" s="30" t="str">
        <x:v>MATCHED_ASSET</x:v>
      </x:c>
      <x:c r="S260" t="e">
        <x:f>HYPERLINK("visual_gallery/index.html#"&amp;A260,"Галерея")</x:f>
      </x:c>
    </x:row>
    <x:row r="261">
      <x:c r="A261" s="87" t="str">
        <x:v>VIS-EGKR-BIO-W25-CRIT-P008</x:v>
      </x:c>
      <x:c r="B261" s="30" t="str">
        <x:v>Биология</x:v>
      </x:c>
      <x:c r="C261" s="30"/>
      <x:c r="D261" s="30" t="str">
        <x:v>951–953</x:v>
      </x:c>
      <x:c r="E261" s="87" t="str">
        <x:v>CRITERIA</x:v>
      </x:c>
      <x:c r="F261" s="30" t="str">
        <x:v>kriterii_EGKR_12_25.pdf</x:v>
      </x:c>
      <x:c r="G261" s="87" t="str">
        <x:v>8</x:v>
      </x:c>
      <x:c r="H261" s="87" t="str">
        <x:v>v0.93</x:v>
      </x:c>
      <x:c r="I261" s="87" t="str">
        <x:v>2</x:v>
      </x:c>
      <x:c r="J261" s="30" t="str">
        <x:v>VIS_KEY / CRITERIA</x:v>
      </x:c>
      <x:c r="K261" s="30" t="str">
        <x:v>EGKR-W25-BIO-952-24, EGKR-W25-BIO-952-25</x:v>
      </x:c>
      <x:c r="L261" s="87" t="str">
        <x:v>CROP_VERIFIED</x:v>
      </x:c>
      <x:c r="M261" s="87" t="str">
        <x:v>ORIGINAL_PACKAGE</x:v>
      </x:c>
      <x:c r="N261" s="87" t="str">
        <x:v>pages/VIS-EGKR-BIO-W25-CRIT-P008.png</x:v>
      </x:c>
      <x:c r="O261" s="87" t="str">
        <x:v>thumbnails/VIS-EGKR-BIO-W25-CRIT-P008.jpg</x:v>
      </x:c>
      <x:c r="P261" s="87" t="str">
        <x:v>b8f2c4bed81bf14f786bd1c7fc87b558d4b50d65acef18ef898911f723ea3974</x:v>
      </x:c>
      <x:c r="Q261" s="30" t="str">
        <x:v>incoming/raw/recovery-drop-01/biology_egkr_winter_visual_assets_v093.zip!/pages/VIS-EGKR-BIO-W25-CRIT-P008.png</x:v>
      </x:c>
      <x:c r="R261" s="30" t="str">
        <x:v>MATCHED_ASSET</x:v>
      </x:c>
      <x:c r="S261" t="e">
        <x:f>HYPERLINK("visual_gallery/index.html#"&amp;A261,"Галерея")</x:f>
      </x:c>
    </x:row>
    <x:row r="262">
      <x:c r="A262" s="87" t="str">
        <x:v>VIS-EGKR-BIO-W25-CRIT-P009</x:v>
      </x:c>
      <x:c r="B262" s="30" t="str">
        <x:v>Биология</x:v>
      </x:c>
      <x:c r="C262" s="30"/>
      <x:c r="D262" s="30" t="str">
        <x:v>951–953</x:v>
      </x:c>
      <x:c r="E262" s="87" t="str">
        <x:v>CRITERIA</x:v>
      </x:c>
      <x:c r="F262" s="30" t="str">
        <x:v>kriterii_EGKR_12_25.pdf</x:v>
      </x:c>
      <x:c r="G262" s="87" t="str">
        <x:v>9</x:v>
      </x:c>
      <x:c r="H262" s="87" t="str">
        <x:v>v0.93</x:v>
      </x:c>
      <x:c r="I262" s="87" t="str">
        <x:v>1</x:v>
      </x:c>
      <x:c r="J262" s="30" t="str">
        <x:v>VIS_KEY / CRITERIA</x:v>
      </x:c>
      <x:c r="K262" s="30" t="str">
        <x:v>EGKR-W25-BIO-952-26</x:v>
      </x:c>
      <x:c r="L262" s="87" t="str">
        <x:v>CROP_VERIFIED</x:v>
      </x:c>
      <x:c r="M262" s="87" t="str">
        <x:v>ORIGINAL_PACKAGE</x:v>
      </x:c>
      <x:c r="N262" s="87" t="str">
        <x:v>pages/VIS-EGKR-BIO-W25-CRIT-P009.png</x:v>
      </x:c>
      <x:c r="O262" s="87" t="str">
        <x:v>thumbnails/VIS-EGKR-BIO-W25-CRIT-P009.jpg</x:v>
      </x:c>
      <x:c r="P262" s="87" t="str">
        <x:v>6760c80ddaa42d18601f5555db7258f375e24e91a1d0cac30106f0c6b48f5283</x:v>
      </x:c>
      <x:c r="Q262" s="30" t="str">
        <x:v>incoming/raw/recovery-drop-01/biology_egkr_winter_visual_assets_v093.zip!/pages/VIS-EGKR-BIO-W25-CRIT-P009.png</x:v>
      </x:c>
      <x:c r="R262" s="30" t="str">
        <x:v>MATCHED_ASSET</x:v>
      </x:c>
      <x:c r="S262" t="e">
        <x:f>HYPERLINK("visual_gallery/index.html#"&amp;A262,"Галерея")</x:f>
      </x:c>
    </x:row>
    <x:row r="263">
      <x:c r="A263" s="87" t="str">
        <x:v>VIS-EGKR-BIO-W25-CRIT-P010</x:v>
      </x:c>
      <x:c r="B263" s="30" t="str">
        <x:v>Биология</x:v>
      </x:c>
      <x:c r="C263" s="30"/>
      <x:c r="D263" s="30" t="str">
        <x:v>951–953</x:v>
      </x:c>
      <x:c r="E263" s="87" t="str">
        <x:v>CRITERIA</x:v>
      </x:c>
      <x:c r="F263" s="30" t="str">
        <x:v>kriterii_EGKR_12_25.pdf</x:v>
      </x:c>
      <x:c r="G263" s="87" t="str">
        <x:v>10</x:v>
      </x:c>
      <x:c r="H263" s="87" t="str">
        <x:v>v0.93</x:v>
      </x:c>
      <x:c r="I263" s="87" t="str">
        <x:v>2</x:v>
      </x:c>
      <x:c r="J263" s="30" t="str">
        <x:v>VIS_KEY / CRITERIA</x:v>
      </x:c>
      <x:c r="K263" s="30" t="str">
        <x:v>EGKR-W25-BIO-952-27, EGKR-W25-BIO-952-28</x:v>
      </x:c>
      <x:c r="L263" s="87" t="str">
        <x:v>CROP_VERIFIED</x:v>
      </x:c>
      <x:c r="M263" s="87" t="str">
        <x:v>ORIGINAL_PACKAGE</x:v>
      </x:c>
      <x:c r="N263" s="87" t="str">
        <x:v>pages/VIS-EGKR-BIO-W25-CRIT-P010.png</x:v>
      </x:c>
      <x:c r="O263" s="87" t="str">
        <x:v>thumbnails/VIS-EGKR-BIO-W25-CRIT-P010.jpg</x:v>
      </x:c>
      <x:c r="P263" s="87" t="str">
        <x:v>bfc2597b70866ac1c78894eb241cf6a25e4d8353fcec11b2431828db85695b31</x:v>
      </x:c>
      <x:c r="Q263" s="30" t="str">
        <x:v>incoming/raw/recovery-drop-01/biology_egkr_winter_visual_assets_v093.zip!/pages/VIS-EGKR-BIO-W25-CRIT-P010.png</x:v>
      </x:c>
      <x:c r="R263" s="30" t="str">
        <x:v>MATCHED_ASSET</x:v>
      </x:c>
      <x:c r="S263" t="e">
        <x:f>HYPERLINK("visual_gallery/index.html#"&amp;A263,"Галерея")</x:f>
      </x:c>
    </x:row>
    <x:row r="264">
      <x:c r="A264" s="87" t="str">
        <x:v>VIS-EGKR-BIO-W25-CRIT-P011</x:v>
      </x:c>
      <x:c r="B264" s="30" t="str">
        <x:v>Биология</x:v>
      </x:c>
      <x:c r="C264" s="30"/>
      <x:c r="D264" s="30" t="str">
        <x:v>951–953</x:v>
      </x:c>
      <x:c r="E264" s="87" t="str">
        <x:v>CRITERIA</x:v>
      </x:c>
      <x:c r="F264" s="30" t="str">
        <x:v>kriterii_EGKR_12_25.pdf</x:v>
      </x:c>
      <x:c r="G264" s="87" t="str">
        <x:v>11</x:v>
      </x:c>
      <x:c r="H264" s="87" t="str">
        <x:v>v0.93</x:v>
      </x:c>
      <x:c r="I264" s="87" t="str">
        <x:v>1</x:v>
      </x:c>
      <x:c r="J264" s="30" t="str">
        <x:v>VIS_KEY / CRITERIA</x:v>
      </x:c>
      <x:c r="K264" s="30" t="str">
        <x:v>EGKR-W25-BIO-952-28</x:v>
      </x:c>
      <x:c r="L264" s="87" t="str">
        <x:v>CROP_VERIFIED</x:v>
      </x:c>
      <x:c r="M264" s="87" t="str">
        <x:v>ORIGINAL_PACKAGE</x:v>
      </x:c>
      <x:c r="N264" s="87" t="str">
        <x:v>pages/VIS-EGKR-BIO-W25-CRIT-P011.png</x:v>
      </x:c>
      <x:c r="O264" s="87" t="str">
        <x:v>thumbnails/VIS-EGKR-BIO-W25-CRIT-P011.jpg</x:v>
      </x:c>
      <x:c r="P264" s="87" t="str">
        <x:v>a22dccabda79bb49f4e2f271115b1a9bc4c556fda97651f47dde6f12bcc5a51e</x:v>
      </x:c>
      <x:c r="Q264" s="30" t="str">
        <x:v>incoming/raw/recovery-drop-01/biology_egkr_winter_visual_assets_v093.zip!/pages/VIS-EGKR-BIO-W25-CRIT-P011.png</x:v>
      </x:c>
      <x:c r="R264" s="30" t="str">
        <x:v>MATCHED_ASSET</x:v>
      </x:c>
      <x:c r="S264" t="e">
        <x:f>HYPERLINK("visual_gallery/index.html#"&amp;A264,"Галерея")</x:f>
      </x:c>
    </x:row>
    <x:row r="265">
      <x:c r="A265" s="87" t="str">
        <x:v>VIS-EGKR-BIO-W25-CRIT-P012</x:v>
      </x:c>
      <x:c r="B265" s="30" t="str">
        <x:v>Биология</x:v>
      </x:c>
      <x:c r="C265" s="30"/>
      <x:c r="D265" s="30" t="str">
        <x:v>951–953</x:v>
      </x:c>
      <x:c r="E265" s="87" t="str">
        <x:v>CRITERIA</x:v>
      </x:c>
      <x:c r="F265" s="30" t="str">
        <x:v>kriterii_EGKR_12_25.pdf</x:v>
      </x:c>
      <x:c r="G265" s="87" t="str">
        <x:v>12</x:v>
      </x:c>
      <x:c r="H265" s="87" t="str">
        <x:v>v0.93</x:v>
      </x:c>
      <x:c r="I265" s="87" t="str">
        <x:v>1</x:v>
      </x:c>
      <x:c r="J265" s="30" t="str">
        <x:v>VIS_KEY / CRITERIA</x:v>
      </x:c>
      <x:c r="K265" s="30" t="str">
        <x:v>EGKR-W25-BIO-953-22</x:v>
      </x:c>
      <x:c r="L265" s="87" t="str">
        <x:v>CROP_VERIFIED</x:v>
      </x:c>
      <x:c r="M265" s="87" t="str">
        <x:v>ORIGINAL_PACKAGE</x:v>
      </x:c>
      <x:c r="N265" s="87" t="str">
        <x:v>pages/VIS-EGKR-BIO-W25-CRIT-P012.png</x:v>
      </x:c>
      <x:c r="O265" s="87" t="str">
        <x:v>thumbnails/VIS-EGKR-BIO-W25-CRIT-P012.jpg</x:v>
      </x:c>
      <x:c r="P265" s="87" t="str">
        <x:v>7d3effe4da81725017c0369f4f112e449bec50a5cdf8f06a3170b8dbfa9f7a60</x:v>
      </x:c>
      <x:c r="Q265" s="30" t="str">
        <x:v>incoming/raw/recovery-drop-01/biology_egkr_winter_visual_assets_v093.zip!/pages/VIS-EGKR-BIO-W25-CRIT-P012.png</x:v>
      </x:c>
      <x:c r="R265" s="30" t="str">
        <x:v>MATCHED_ASSET</x:v>
      </x:c>
      <x:c r="S265" t="e">
        <x:f>HYPERLINK("visual_gallery/index.html#"&amp;A265,"Галерея")</x:f>
      </x:c>
    </x:row>
    <x:row r="266">
      <x:c r="A266" s="87" t="str">
        <x:v>VIS-EGKR-BIO-W25-CRIT-P013</x:v>
      </x:c>
      <x:c r="B266" s="30" t="str">
        <x:v>Биология</x:v>
      </x:c>
      <x:c r="C266" s="30"/>
      <x:c r="D266" s="30" t="str">
        <x:v>951–953</x:v>
      </x:c>
      <x:c r="E266" s="87" t="str">
        <x:v>CRITERIA</x:v>
      </x:c>
      <x:c r="F266" s="30" t="str">
        <x:v>kriterii_EGKR_12_25.pdf</x:v>
      </x:c>
      <x:c r="G266" s="87" t="str">
        <x:v>13</x:v>
      </x:c>
      <x:c r="H266" s="87" t="str">
        <x:v>v0.93</x:v>
      </x:c>
      <x:c r="I266" s="87" t="str">
        <x:v>2</x:v>
      </x:c>
      <x:c r="J266" s="30" t="str">
        <x:v>VIS_KEY / CRITERIA</x:v>
      </x:c>
      <x:c r="K266" s="30" t="str">
        <x:v>EGKR-W25-BIO-953-23, EGKR-W25-BIO-953-24</x:v>
      </x:c>
      <x:c r="L266" s="87" t="str">
        <x:v>CROP_VERIFIED</x:v>
      </x:c>
      <x:c r="M266" s="87" t="str">
        <x:v>ORIGINAL_PACKAGE</x:v>
      </x:c>
      <x:c r="N266" s="87" t="str">
        <x:v>pages/VIS-EGKR-BIO-W25-CRIT-P013.png</x:v>
      </x:c>
      <x:c r="O266" s="87" t="str">
        <x:v>thumbnails/VIS-EGKR-BIO-W25-CRIT-P013.jpg</x:v>
      </x:c>
      <x:c r="P266" s="87" t="str">
        <x:v>7fa81142250496e4e5f3f917d863fad23005479b67fd4991d2ebc41e1de36c71</x:v>
      </x:c>
      <x:c r="Q266" s="30" t="str">
        <x:v>incoming/raw/recovery-drop-01/biology_egkr_winter_visual_assets_v093.zip!/pages/VIS-EGKR-BIO-W25-CRIT-P013.png</x:v>
      </x:c>
      <x:c r="R266" s="30" t="str">
        <x:v>MATCHED_ASSET</x:v>
      </x:c>
      <x:c r="S266" t="e">
        <x:f>HYPERLINK("visual_gallery/index.html#"&amp;A266,"Галерея")</x:f>
      </x:c>
    </x:row>
    <x:row r="267">
      <x:c r="A267" s="87" t="str">
        <x:v>VIS-EGKR-BIO-W25-CRIT-P014</x:v>
      </x:c>
      <x:c r="B267" s="30" t="str">
        <x:v>Биология</x:v>
      </x:c>
      <x:c r="C267" s="30"/>
      <x:c r="D267" s="30" t="str">
        <x:v>951–953</x:v>
      </x:c>
      <x:c r="E267" s="87" t="str">
        <x:v>CRITERIA</x:v>
      </x:c>
      <x:c r="F267" s="30" t="str">
        <x:v>kriterii_EGKR_12_25.pdf</x:v>
      </x:c>
      <x:c r="G267" s="87" t="str">
        <x:v>14</x:v>
      </x:c>
      <x:c r="H267" s="87" t="str">
        <x:v>v0.93</x:v>
      </x:c>
      <x:c r="I267" s="87" t="str">
        <x:v>2</x:v>
      </x:c>
      <x:c r="J267" s="30" t="str">
        <x:v>VIS_KEY / CRITERIA</x:v>
      </x:c>
      <x:c r="K267" s="30" t="str">
        <x:v>EGKR-W25-BIO-953-25, EGKR-W25-BIO-953-26</x:v>
      </x:c>
      <x:c r="L267" s="87" t="str">
        <x:v>CROP_VERIFIED</x:v>
      </x:c>
      <x:c r="M267" s="87" t="str">
        <x:v>ORIGINAL_PACKAGE</x:v>
      </x:c>
      <x:c r="N267" s="87" t="str">
        <x:v>pages/VIS-EGKR-BIO-W25-CRIT-P014.png</x:v>
      </x:c>
      <x:c r="O267" s="87" t="str">
        <x:v>thumbnails/VIS-EGKR-BIO-W25-CRIT-P014.jpg</x:v>
      </x:c>
      <x:c r="P267" s="87" t="str">
        <x:v>ffdf1f2de921ecfccb8d4cfc3913828fb1e3ac92e5b3bd34f3b9995e2c4a90f3</x:v>
      </x:c>
      <x:c r="Q267" s="30" t="str">
        <x:v>incoming/raw/recovery-drop-01/biology_egkr_winter_visual_assets_v093.zip!/pages/VIS-EGKR-BIO-W25-CRIT-P014.png</x:v>
      </x:c>
      <x:c r="R267" s="30" t="str">
        <x:v>MATCHED_ASSET</x:v>
      </x:c>
      <x:c r="S267" t="e">
        <x:f>HYPERLINK("visual_gallery/index.html#"&amp;A267,"Галерея")</x:f>
      </x:c>
    </x:row>
    <x:row r="268">
      <x:c r="A268" s="87" t="str">
        <x:v>VIS-EGKR-BIO-W25-CRIT-P015</x:v>
      </x:c>
      <x:c r="B268" s="30" t="str">
        <x:v>Биология</x:v>
      </x:c>
      <x:c r="C268" s="30"/>
      <x:c r="D268" s="30" t="str">
        <x:v>951–953</x:v>
      </x:c>
      <x:c r="E268" s="87" t="str">
        <x:v>CRITERIA</x:v>
      </x:c>
      <x:c r="F268" s="30" t="str">
        <x:v>kriterii_EGKR_12_25.pdf</x:v>
      </x:c>
      <x:c r="G268" s="87" t="str">
        <x:v>15</x:v>
      </x:c>
      <x:c r="H268" s="87" t="str">
        <x:v>v0.93</x:v>
      </x:c>
      <x:c r="I268" s="87" t="str">
        <x:v>1</x:v>
      </x:c>
      <x:c r="J268" s="30" t="str">
        <x:v>VIS_KEY / CRITERIA</x:v>
      </x:c>
      <x:c r="K268" s="30" t="str">
        <x:v>EGKR-W25-BIO-953-27</x:v>
      </x:c>
      <x:c r="L268" s="87" t="str">
        <x:v>CROP_VERIFIED</x:v>
      </x:c>
      <x:c r="M268" s="87" t="str">
        <x:v>ORIGINAL_PACKAGE</x:v>
      </x:c>
      <x:c r="N268" s="87" t="str">
        <x:v>pages/VIS-EGKR-BIO-W25-CRIT-P015.png</x:v>
      </x:c>
      <x:c r="O268" s="87" t="str">
        <x:v>thumbnails/VIS-EGKR-BIO-W25-CRIT-P015.jpg</x:v>
      </x:c>
      <x:c r="P268" s="87" t="str">
        <x:v>667f751f1c71d6886a12f67eeec9acebce3db7a57de9b553a1ebc2bc7db83dbb</x:v>
      </x:c>
      <x:c r="Q268" s="30" t="str">
        <x:v>incoming/raw/recovery-drop-01/biology_egkr_winter_visual_assets_v093.zip!/pages/VIS-EGKR-BIO-W25-CRIT-P015.png</x:v>
      </x:c>
      <x:c r="R268" s="30" t="str">
        <x:v>MATCHED_ASSET</x:v>
      </x:c>
      <x:c r="S268" t="e">
        <x:f>HYPERLINK("visual_gallery/index.html#"&amp;A268,"Галерея")</x:f>
      </x:c>
    </x:row>
    <x:row r="269">
      <x:c r="A269" s="87" t="str">
        <x:v>VIS-EGKR-BIO-W25-CRIT-P016</x:v>
      </x:c>
      <x:c r="B269" s="30" t="str">
        <x:v>Биология</x:v>
      </x:c>
      <x:c r="C269" s="30"/>
      <x:c r="D269" s="30" t="str">
        <x:v>951–953</x:v>
      </x:c>
      <x:c r="E269" s="87" t="str">
        <x:v>CRITERIA</x:v>
      </x:c>
      <x:c r="F269" s="30" t="str">
        <x:v>kriterii_EGKR_12_25.pdf</x:v>
      </x:c>
      <x:c r="G269" s="87" t="str">
        <x:v>16</x:v>
      </x:c>
      <x:c r="H269" s="87" t="str">
        <x:v>v0.93</x:v>
      </x:c>
      <x:c r="I269" s="87" t="str">
        <x:v>1</x:v>
      </x:c>
      <x:c r="J269" s="30" t="str">
        <x:v>VIS_KEY / CRITERIA</x:v>
      </x:c>
      <x:c r="K269" s="30" t="str">
        <x:v>EGKR-W25-BIO-953-28</x:v>
      </x:c>
      <x:c r="L269" s="87" t="str">
        <x:v>CROP_VERIFIED</x:v>
      </x:c>
      <x:c r="M269" s="87" t="str">
        <x:v>ORIGINAL_PACKAGE</x:v>
      </x:c>
      <x:c r="N269" s="87" t="str">
        <x:v>pages/VIS-EGKR-BIO-W25-CRIT-P016.png</x:v>
      </x:c>
      <x:c r="O269" s="87" t="str">
        <x:v>thumbnails/VIS-EGKR-BIO-W25-CRIT-P016.jpg</x:v>
      </x:c>
      <x:c r="P269" s="87" t="str">
        <x:v>371001101d1d788350285611c65cccecf3c8f19868993d704806d30adf7339cc</x:v>
      </x:c>
      <x:c r="Q269" s="30" t="str">
        <x:v>incoming/raw/recovery-drop-01/biology_egkr_winter_visual_assets_v093.zip!/pages/VIS-EGKR-BIO-W25-CRIT-P016.png</x:v>
      </x:c>
      <x:c r="R269" s="30" t="str">
        <x:v>MATCHED_ASSET</x:v>
      </x:c>
      <x:c r="S269" t="e">
        <x:f>HYPERLINK("visual_gallery/index.html#"&amp;A269,"Галерея")</x:f>
      </x:c>
    </x:row>
    <x:row r="270">
      <x:c r="A270" s="87" t="str">
        <x:v>VIS-EGKR-BIO-W25-DECOY-P001</x:v>
      </x:c>
      <x:c r="B270" s="30" t="str"/>
      <x:c r="C270" s="30"/>
      <x:c r="D270" s="30" t="str">
        <x:v>—</x:v>
      </x:c>
      <x:c r="E270" s="87" t="str">
        <x:v>SOURCE_AUDIT</x:v>
      </x:c>
      <x:c r="F270" s="30" t="str">
        <x:v>Задания + ответы (1).pdf</x:v>
      </x:c>
      <x:c r="G270" s="87" t="str">
        <x:v>1</x:v>
      </x:c>
      <x:c r="H270" s="87" t="str">
        <x:v>v0.93</x:v>
      </x:c>
      <x:c r="I270" s="87" t="str">
        <x:v>0</x:v>
      </x:c>
      <x:c r="J270" s="30" t="str"/>
      <x:c r="K270" s="30" t="str"/>
      <x:c r="L270" s="87" t="str">
        <x:v>CROP_VERIFIED</x:v>
      </x:c>
      <x:c r="M270" s="87" t="str">
        <x:v>ORIGINAL_PACKAGE</x:v>
      </x:c>
      <x:c r="N270" s="87" t="str">
        <x:v>pages/VIS-EGKR-BIO-W25-DECOY-P001.png</x:v>
      </x:c>
      <x:c r="O270" s="87" t="str">
        <x:v>thumbnails/VIS-EGKR-BIO-W25-DECOY-P001.jpg</x:v>
      </x:c>
      <x:c r="P270" s="87" t="str">
        <x:v>7e83307379d3db19bffd56ef2684ff64bf53a83f62dc085b1ab287d2642450db</x:v>
      </x:c>
      <x:c r="Q270" s="30" t="str">
        <x:v>incoming/raw/recovery-drop-01/biology_egkr_winter_visual_assets_v093.zip!/pages/VIS-EGKR-BIO-W25-DECOY-P001.png</x:v>
      </x:c>
      <x:c r="R270" s="30" t="str">
        <x:v>RESOLVED_UNLINKED_REGISTRY_VISUAL</x:v>
      </x:c>
      <x:c r="S270" t="e">
        <x:f>HYPERLINK("visual_gallery/index.html#"&amp;A270,"Галерея")</x:f>
      </x:c>
    </x:row>
    <x:row r="271">
      <x:c r="A271" s="87" t="str">
        <x:v>VIS-EGKR-BIO-W25-KEY-951-P001</x:v>
      </x:c>
      <x:c r="B271" s="30" t="str"/>
      <x:c r="C271" s="30"/>
      <x:c r="D271" s="30" t="str">
        <x:v>951</x:v>
      </x:c>
      <x:c r="E271" s="87" t="str">
        <x:v>KEY</x:v>
      </x:c>
      <x:c r="F271" s="30" t="str">
        <x:v>Ключи 951.pdf</x:v>
      </x:c>
      <x:c r="G271" s="87" t="str">
        <x:v>1</x:v>
      </x:c>
      <x:c r="H271" s="87" t="str">
        <x:v>v0.93</x:v>
      </x:c>
      <x:c r="I271" s="87" t="str">
        <x:v>0</x:v>
      </x:c>
      <x:c r="J271" s="30" t="str"/>
      <x:c r="K271" s="30" t="str"/>
      <x:c r="L271" s="87" t="str">
        <x:v>CROP_VERIFIED</x:v>
      </x:c>
      <x:c r="M271" s="87" t="str">
        <x:v>ORIGINAL_PACKAGE</x:v>
      </x:c>
      <x:c r="N271" s="87" t="str">
        <x:v>pages/VIS-EGKR-BIO-W25-KEY-951-P001.png</x:v>
      </x:c>
      <x:c r="O271" s="87" t="str">
        <x:v>thumbnails/VIS-EGKR-BIO-W25-KEY-951-P001.jpg</x:v>
      </x:c>
      <x:c r="P271" s="87" t="str">
        <x:v>972266971e1c0ca4b9f4c35813a96b0789702faaa038500cb5189093af6adb29</x:v>
      </x:c>
      <x:c r="Q271" s="30" t="str">
        <x:v>incoming/raw/recovery-drop-01/biology_egkr_winter_visual_assets_v093.zip!/pages/VIS-EGKR-BIO-W25-KEY-951-P001.png</x:v>
      </x:c>
      <x:c r="R271" s="30" t="str">
        <x:v>RESOLVED_UNLINKED_REGISTRY_VISUAL</x:v>
      </x:c>
      <x:c r="S271" t="e">
        <x:f>HYPERLINK("visual_gallery/index.html#"&amp;A271,"Галерея")</x:f>
      </x:c>
    </x:row>
    <x:row r="272">
      <x:c r="A272" s="87" t="str">
        <x:v>VIS-EGKR-BIO-W25-KEY-951-P002</x:v>
      </x:c>
      <x:c r="B272" s="30" t="str"/>
      <x:c r="C272" s="30"/>
      <x:c r="D272" s="30" t="str">
        <x:v>951</x:v>
      </x:c>
      <x:c r="E272" s="87" t="str">
        <x:v>KEY</x:v>
      </x:c>
      <x:c r="F272" s="30" t="str">
        <x:v>Ключи 951.pdf</x:v>
      </x:c>
      <x:c r="G272" s="87" t="str">
        <x:v>2</x:v>
      </x:c>
      <x:c r="H272" s="87" t="str">
        <x:v>v0.93</x:v>
      </x:c>
      <x:c r="I272" s="87" t="str">
        <x:v>0</x:v>
      </x:c>
      <x:c r="J272" s="30" t="str"/>
      <x:c r="K272" s="30" t="str"/>
      <x:c r="L272" s="87" t="str">
        <x:v>CROP_VERIFIED</x:v>
      </x:c>
      <x:c r="M272" s="87" t="str">
        <x:v>ORIGINAL_PACKAGE</x:v>
      </x:c>
      <x:c r="N272" s="87" t="str">
        <x:v>pages/VIS-EGKR-BIO-W25-KEY-951-P002.png</x:v>
      </x:c>
      <x:c r="O272" s="87" t="str">
        <x:v>thumbnails/VIS-EGKR-BIO-W25-KEY-951-P002.jpg</x:v>
      </x:c>
      <x:c r="P272" s="87" t="str">
        <x:v>59f865d3c97e85d94606e29fe15140e2ceb9238b2452ed959825085382cbee90</x:v>
      </x:c>
      <x:c r="Q272" s="30" t="str">
        <x:v>incoming/raw/recovery-drop-01/biology_egkr_winter_visual_assets_v093.zip!/pages/VIS-EGKR-BIO-W25-CRIT-P001.png</x:v>
      </x:c>
      <x:c r="R272" s="30" t="str">
        <x:v>RESOLVED_UNLINKED_REGISTRY_VISUAL</x:v>
      </x:c>
      <x:c r="S272" t="e">
        <x:f>HYPERLINK("visual_gallery/index.html#"&amp;A272,"Галерея")</x:f>
      </x:c>
    </x:row>
    <x:row r="273">
      <x:c r="A273" s="87" t="str">
        <x:v>VIS-EGKR-BIO-W25-KEY-951-P003</x:v>
      </x:c>
      <x:c r="B273" s="30" t="str"/>
      <x:c r="C273" s="30"/>
      <x:c r="D273" s="30" t="str">
        <x:v>951</x:v>
      </x:c>
      <x:c r="E273" s="87" t="str">
        <x:v>KEY</x:v>
      </x:c>
      <x:c r="F273" s="30" t="str">
        <x:v>Ключи 951.pdf</x:v>
      </x:c>
      <x:c r="G273" s="87" t="str">
        <x:v>3</x:v>
      </x:c>
      <x:c r="H273" s="87" t="str">
        <x:v>v0.93</x:v>
      </x:c>
      <x:c r="I273" s="87" t="str">
        <x:v>0</x:v>
      </x:c>
      <x:c r="J273" s="30" t="str"/>
      <x:c r="K273" s="30" t="str"/>
      <x:c r="L273" s="87" t="str">
        <x:v>CROP_VERIFIED</x:v>
      </x:c>
      <x:c r="M273" s="87" t="str">
        <x:v>ORIGINAL_PACKAGE</x:v>
      </x:c>
      <x:c r="N273" s="87" t="str">
        <x:v>pages/VIS-EGKR-BIO-W25-KEY-951-P003.png</x:v>
      </x:c>
      <x:c r="O273" s="87" t="str">
        <x:v>thumbnails/VIS-EGKR-BIO-W25-KEY-951-P003.jpg</x:v>
      </x:c>
      <x:c r="P273" s="87" t="str">
        <x:v>8e5bbf7a887adcbe2ad27e4e153673c47fb622c0e73cb112e7e54580c1dd831a</x:v>
      </x:c>
      <x:c r="Q273" s="30" t="str">
        <x:v>incoming/raw/recovery-drop-01/biology_egkr_winter_visual_assets_v093.zip!/pages/VIS-EGKR-BIO-W25-CRIT-P002.png</x:v>
      </x:c>
      <x:c r="R273" s="30" t="str">
        <x:v>RESOLVED_UNLINKED_REGISTRY_VISUAL</x:v>
      </x:c>
      <x:c r="S273" t="e">
        <x:f>HYPERLINK("visual_gallery/index.html#"&amp;A273,"Галерея")</x:f>
      </x:c>
    </x:row>
    <x:row r="274">
      <x:c r="A274" s="87" t="str">
        <x:v>VIS-EGKR-BIO-W25-KEY-951-P004</x:v>
      </x:c>
      <x:c r="B274" s="30" t="str"/>
      <x:c r="C274" s="30"/>
      <x:c r="D274" s="30" t="str">
        <x:v>951</x:v>
      </x:c>
      <x:c r="E274" s="87" t="str">
        <x:v>KEY</x:v>
      </x:c>
      <x:c r="F274" s="30" t="str">
        <x:v>Ключи 951.pdf</x:v>
      </x:c>
      <x:c r="G274" s="87" t="str">
        <x:v>4</x:v>
      </x:c>
      <x:c r="H274" s="87" t="str">
        <x:v>v0.93</x:v>
      </x:c>
      <x:c r="I274" s="87" t="str">
        <x:v>0</x:v>
      </x:c>
      <x:c r="J274" s="30" t="str"/>
      <x:c r="K274" s="30" t="str"/>
      <x:c r="L274" s="87" t="str">
        <x:v>CROP_VERIFIED</x:v>
      </x:c>
      <x:c r="M274" s="87" t="str">
        <x:v>ORIGINAL_PACKAGE</x:v>
      </x:c>
      <x:c r="N274" s="87" t="str">
        <x:v>pages/VIS-EGKR-BIO-W25-KEY-951-P004.png</x:v>
      </x:c>
      <x:c r="O274" s="87" t="str">
        <x:v>thumbnails/VIS-EGKR-BIO-W25-KEY-951-P004.jpg</x:v>
      </x:c>
      <x:c r="P274" s="87" t="str">
        <x:v>7d0fe857dc3fb4b7386919f4d0de89c5a952abe16886d416999db9839a9e351b</x:v>
      </x:c>
      <x:c r="Q274" s="30" t="str">
        <x:v>incoming/raw/recovery-drop-01/biology_egkr_winter_visual_assets_v093.zip!/pages/VIS-EGKR-BIO-W25-CRIT-P003.png</x:v>
      </x:c>
      <x:c r="R274" s="30" t="str">
        <x:v>RESOLVED_UNLINKED_REGISTRY_VISUAL</x:v>
      </x:c>
      <x:c r="S274" t="e">
        <x:f>HYPERLINK("visual_gallery/index.html#"&amp;A274,"Галерея")</x:f>
      </x:c>
    </x:row>
    <x:row r="275">
      <x:c r="A275" s="87" t="str">
        <x:v>VIS-EGKR-BIO-W25-KEY-951-P005</x:v>
      </x:c>
      <x:c r="B275" s="30" t="str"/>
      <x:c r="C275" s="30"/>
      <x:c r="D275" s="30" t="str">
        <x:v>951</x:v>
      </x:c>
      <x:c r="E275" s="87" t="str">
        <x:v>KEY</x:v>
      </x:c>
      <x:c r="F275" s="30" t="str">
        <x:v>Ключи 951.pdf</x:v>
      </x:c>
      <x:c r="G275" s="87" t="str">
        <x:v>5</x:v>
      </x:c>
      <x:c r="H275" s="87" t="str">
        <x:v>v0.93</x:v>
      </x:c>
      <x:c r="I275" s="87" t="str">
        <x:v>0</x:v>
      </x:c>
      <x:c r="J275" s="30" t="str"/>
      <x:c r="K275" s="30" t="str"/>
      <x:c r="L275" s="87" t="str">
        <x:v>CROP_VERIFIED</x:v>
      </x:c>
      <x:c r="M275" s="87" t="str">
        <x:v>ORIGINAL_PACKAGE</x:v>
      </x:c>
      <x:c r="N275" s="87" t="str">
        <x:v>pages/VIS-EGKR-BIO-W25-KEY-951-P005.png</x:v>
      </x:c>
      <x:c r="O275" s="87" t="str">
        <x:v>thumbnails/VIS-EGKR-BIO-W25-KEY-951-P005.jpg</x:v>
      </x:c>
      <x:c r="P275" s="87" t="str">
        <x:v>fea2d58580dc8162618f780b1be466a3360e934b9c00c601e89813f799108580</x:v>
      </x:c>
      <x:c r="Q275" s="30" t="str">
        <x:v>incoming/raw/recovery-drop-01/biology_egkr_winter_visual_assets_v093.zip!/pages/VIS-EGKR-BIO-W25-CRIT-P004.png</x:v>
      </x:c>
      <x:c r="R275" s="30" t="str">
        <x:v>RESOLVED_UNLINKED_REGISTRY_VISUAL</x:v>
      </x:c>
      <x:c r="S275" t="e">
        <x:f>HYPERLINK("visual_gallery/index.html#"&amp;A275,"Галерея")</x:f>
      </x:c>
    </x:row>
    <x:row r="276">
      <x:c r="A276" s="87" t="str">
        <x:v>VIS-EGKR-BIO-W25-KEY-951-P006</x:v>
      </x:c>
      <x:c r="B276" s="30" t="str"/>
      <x:c r="C276" s="30"/>
      <x:c r="D276" s="30" t="str">
        <x:v>951</x:v>
      </x:c>
      <x:c r="E276" s="87" t="str">
        <x:v>KEY</x:v>
      </x:c>
      <x:c r="F276" s="30" t="str">
        <x:v>Ключи 951.pdf</x:v>
      </x:c>
      <x:c r="G276" s="87" t="str">
        <x:v>6</x:v>
      </x:c>
      <x:c r="H276" s="87" t="str">
        <x:v>v0.93</x:v>
      </x:c>
      <x:c r="I276" s="87" t="str">
        <x:v>0</x:v>
      </x:c>
      <x:c r="J276" s="30" t="str"/>
      <x:c r="K276" s="30" t="str"/>
      <x:c r="L276" s="87" t="str">
        <x:v>CROP_VERIFIED</x:v>
      </x:c>
      <x:c r="M276" s="87" t="str">
        <x:v>ORIGINAL_PACKAGE</x:v>
      </x:c>
      <x:c r="N276" s="87" t="str">
        <x:v>pages/VIS-EGKR-BIO-W25-KEY-951-P006.png</x:v>
      </x:c>
      <x:c r="O276" s="87" t="str">
        <x:v>thumbnails/VIS-EGKR-BIO-W25-KEY-951-P006.jpg</x:v>
      </x:c>
      <x:c r="P276" s="87" t="str">
        <x:v>f983e04f972945fc84fd2d9344ad01118f16d76f20bf0a8bb39116a882941cf9</x:v>
      </x:c>
      <x:c r="Q276" s="30" t="str">
        <x:v>incoming/raw/recovery-drop-01/biology_egkr_winter_visual_assets_v093.zip!/pages/VIS-EGKR-BIO-W25-CRIT-P005.png</x:v>
      </x:c>
      <x:c r="R276" s="30" t="str">
        <x:v>RESOLVED_UNLINKED_REGISTRY_VISUAL</x:v>
      </x:c>
      <x:c r="S276" t="e">
        <x:f>HYPERLINK("visual_gallery/index.html#"&amp;A276,"Галерея")</x:f>
      </x:c>
    </x:row>
    <x:row r="277">
      <x:c r="A277" s="87" t="str">
        <x:v>VIS-EGKR-BIO-W25-KEY-952-P001</x:v>
      </x:c>
      <x:c r="B277" s="30" t="str">
        <x:v>Биология</x:v>
      </x:c>
      <x:c r="C277" s="30"/>
      <x:c r="D277" s="30" t="str">
        <x:v>952</x:v>
      </x:c>
      <x:c r="E277" s="87" t="str">
        <x:v>KEY</x:v>
      </x:c>
      <x:c r="F277" s="30" t="str">
        <x:v>Ключи - 952.pdf</x:v>
      </x:c>
      <x:c r="G277" s="87" t="str">
        <x:v>1</x:v>
      </x:c>
      <x:c r="H277" s="87" t="str">
        <x:v>v0.93</x:v>
      </x:c>
      <x:c r="I277" s="87" t="str">
        <x:v>21</x:v>
      </x:c>
      <x:c r="J277" s="30" t="str">
        <x:v>VIS_KEY / CRITERIA</x:v>
      </x:c>
      <x:c r="K277" s="30" t="str">
        <x:v>EGKR-W25-BIO-952-01, EGKR-W25-BIO-952-02, EGKR-W25-BIO-952-03, EGKR-W25-BIO-952-04, EGKR-W25-BIO-952-05, EGKR-W25-BIO-952-06, EGKR-W25-BIO-952-07, EGKR-W25-BIO-952-08…</x:v>
      </x:c>
      <x:c r="L277" s="87" t="str">
        <x:v>CROP_VERIFIED</x:v>
      </x:c>
      <x:c r="M277" s="87" t="str">
        <x:v>ORIGINAL_PACKAGE</x:v>
      </x:c>
      <x:c r="N277" s="87" t="str">
        <x:v>pages/VIS-EGKR-BIO-W25-KEY-952-P001.png</x:v>
      </x:c>
      <x:c r="O277" s="87" t="str">
        <x:v>thumbnails/VIS-EGKR-BIO-W25-KEY-952-P001.jpg</x:v>
      </x:c>
      <x:c r="P277" s="87" t="str">
        <x:v>43135005d871e17c962ee4fb2c9dd0e68876b8dd14688b8225ec96a4519b379d</x:v>
      </x:c>
      <x:c r="Q277" s="30" t="str">
        <x:v>incoming/raw/recovery-drop-01/biology_egkr_winter_visual_assets_v093.zip!/pages/VIS-EGKR-BIO-W25-KEY-952-P001.png</x:v>
      </x:c>
      <x:c r="R277" s="30" t="str">
        <x:v>MATCHED_ASSET</x:v>
      </x:c>
      <x:c r="S277" t="e">
        <x:f>HYPERLINK("visual_gallery/index.html#"&amp;A277,"Галерея")</x:f>
      </x:c>
    </x:row>
    <x:row r="278">
      <x:c r="A278" s="87" t="str">
        <x:v>VIS-EGKR-BIO-W25-KEY-952-P002</x:v>
      </x:c>
      <x:c r="B278" s="30" t="str"/>
      <x:c r="C278" s="30"/>
      <x:c r="D278" s="30" t="str">
        <x:v>952</x:v>
      </x:c>
      <x:c r="E278" s="87" t="str">
        <x:v>KEY</x:v>
      </x:c>
      <x:c r="F278" s="30" t="str">
        <x:v>Ключи - 952.pdf</x:v>
      </x:c>
      <x:c r="G278" s="87" t="str">
        <x:v>2</x:v>
      </x:c>
      <x:c r="H278" s="87" t="str">
        <x:v>v0.93</x:v>
      </x:c>
      <x:c r="I278" s="87" t="str">
        <x:v>0</x:v>
      </x:c>
      <x:c r="J278" s="30" t="str"/>
      <x:c r="K278" s="30" t="str"/>
      <x:c r="L278" s="87" t="str">
        <x:v>CROP_VERIFIED</x:v>
      </x:c>
      <x:c r="M278" s="87" t="str">
        <x:v>ORIGINAL_PACKAGE</x:v>
      </x:c>
      <x:c r="N278" s="87" t="str">
        <x:v>pages/VIS-EGKR-BIO-W25-KEY-952-P002.png</x:v>
      </x:c>
      <x:c r="O278" s="87" t="str">
        <x:v>thumbnails/VIS-EGKR-BIO-W25-KEY-952-P002.jpg</x:v>
      </x:c>
      <x:c r="P278" s="87" t="str">
        <x:v>89a6ae5481ae0631aaf7dac824098155f9f97869fac01f9a8655d4fa9986c0f2</x:v>
      </x:c>
      <x:c r="Q278" s="30" t="str">
        <x:v>incoming/raw/recovery-drop-01/biology_egkr_winter_visual_assets_v093.zip!/pages/VIS-EGKR-BIO-W25-CRIT-P006.png</x:v>
      </x:c>
      <x:c r="R278" s="30" t="str">
        <x:v>RESOLVED_UNLINKED_REGISTRY_VISUAL</x:v>
      </x:c>
      <x:c r="S278" t="e">
        <x:f>HYPERLINK("visual_gallery/index.html#"&amp;A278,"Галерея")</x:f>
      </x:c>
    </x:row>
    <x:row r="279">
      <x:c r="A279" s="87" t="str">
        <x:v>VIS-EGKR-BIO-W25-KEY-952-P003</x:v>
      </x:c>
      <x:c r="B279" s="30" t="str"/>
      <x:c r="C279" s="30"/>
      <x:c r="D279" s="30" t="str">
        <x:v>952</x:v>
      </x:c>
      <x:c r="E279" s="87" t="str">
        <x:v>KEY</x:v>
      </x:c>
      <x:c r="F279" s="30" t="str">
        <x:v>Ключи - 952.pdf</x:v>
      </x:c>
      <x:c r="G279" s="87" t="str">
        <x:v>3</x:v>
      </x:c>
      <x:c r="H279" s="87" t="str">
        <x:v>v0.93</x:v>
      </x:c>
      <x:c r="I279" s="87" t="str">
        <x:v>0</x:v>
      </x:c>
      <x:c r="J279" s="30" t="str"/>
      <x:c r="K279" s="30" t="str"/>
      <x:c r="L279" s="87" t="str">
        <x:v>CROP_VERIFIED</x:v>
      </x:c>
      <x:c r="M279" s="87" t="str">
        <x:v>ORIGINAL_PACKAGE</x:v>
      </x:c>
      <x:c r="N279" s="87" t="str">
        <x:v>pages/VIS-EGKR-BIO-W25-KEY-952-P003.png</x:v>
      </x:c>
      <x:c r="O279" s="87" t="str">
        <x:v>thumbnails/VIS-EGKR-BIO-W25-KEY-952-P003.jpg</x:v>
      </x:c>
      <x:c r="P279" s="87" t="str">
        <x:v>e0e0639446dfb67b08b89a35170fd31d0df7d26dfb54342625304c58f237484a</x:v>
      </x:c>
      <x:c r="Q279" s="30" t="str">
        <x:v>incoming/raw/recovery-drop-01/biology_egkr_winter_visual_assets_v093.zip!/pages/VIS-EGKR-BIO-W25-CRIT-P007.png</x:v>
      </x:c>
      <x:c r="R279" s="30" t="str">
        <x:v>RESOLVED_UNLINKED_REGISTRY_VISUAL</x:v>
      </x:c>
      <x:c r="S279" t="e">
        <x:f>HYPERLINK("visual_gallery/index.html#"&amp;A279,"Галерея")</x:f>
      </x:c>
    </x:row>
    <x:row r="280">
      <x:c r="A280" s="87" t="str">
        <x:v>VIS-EGKR-BIO-W25-KEY-952-P004</x:v>
      </x:c>
      <x:c r="B280" s="30" t="str"/>
      <x:c r="C280" s="30"/>
      <x:c r="D280" s="30" t="str">
        <x:v>952</x:v>
      </x:c>
      <x:c r="E280" s="87" t="str">
        <x:v>KEY</x:v>
      </x:c>
      <x:c r="F280" s="30" t="str">
        <x:v>Ключи - 952.pdf</x:v>
      </x:c>
      <x:c r="G280" s="87" t="str">
        <x:v>4</x:v>
      </x:c>
      <x:c r="H280" s="87" t="str">
        <x:v>v0.93</x:v>
      </x:c>
      <x:c r="I280" s="87" t="str">
        <x:v>0</x:v>
      </x:c>
      <x:c r="J280" s="30" t="str"/>
      <x:c r="K280" s="30" t="str"/>
      <x:c r="L280" s="87" t="str">
        <x:v>CROP_VERIFIED</x:v>
      </x:c>
      <x:c r="M280" s="87" t="str">
        <x:v>ORIGINAL_PACKAGE</x:v>
      </x:c>
      <x:c r="N280" s="87" t="str">
        <x:v>pages/VIS-EGKR-BIO-W25-KEY-952-P004.png</x:v>
      </x:c>
      <x:c r="O280" s="87" t="str">
        <x:v>thumbnails/VIS-EGKR-BIO-W25-KEY-952-P004.jpg</x:v>
      </x:c>
      <x:c r="P280" s="87" t="str">
        <x:v>b8f2c4bed81bf14f786bd1c7fc87b558d4b50d65acef18ef898911f723ea3974</x:v>
      </x:c>
      <x:c r="Q280" s="30" t="str">
        <x:v>incoming/raw/recovery-drop-01/biology_egkr_winter_visual_assets_v093.zip!/pages/VIS-EGKR-BIO-W25-CRIT-P008.png</x:v>
      </x:c>
      <x:c r="R280" s="30" t="str">
        <x:v>RESOLVED_UNLINKED_REGISTRY_VISUAL</x:v>
      </x:c>
      <x:c r="S280" t="e">
        <x:f>HYPERLINK("visual_gallery/index.html#"&amp;A280,"Галерея")</x:f>
      </x:c>
    </x:row>
    <x:row r="281">
      <x:c r="A281" s="87" t="str">
        <x:v>VIS-EGKR-BIO-W25-KEY-952-P005</x:v>
      </x:c>
      <x:c r="B281" s="30" t="str"/>
      <x:c r="C281" s="30"/>
      <x:c r="D281" s="30" t="str">
        <x:v>952</x:v>
      </x:c>
      <x:c r="E281" s="87" t="str">
        <x:v>KEY</x:v>
      </x:c>
      <x:c r="F281" s="30" t="str">
        <x:v>Ключи - 952.pdf</x:v>
      </x:c>
      <x:c r="G281" s="87" t="str">
        <x:v>5</x:v>
      </x:c>
      <x:c r="H281" s="87" t="str">
        <x:v>v0.93</x:v>
      </x:c>
      <x:c r="I281" s="87" t="str">
        <x:v>0</x:v>
      </x:c>
      <x:c r="J281" s="30" t="str"/>
      <x:c r="K281" s="30" t="str"/>
      <x:c r="L281" s="87" t="str">
        <x:v>CROP_VERIFIED</x:v>
      </x:c>
      <x:c r="M281" s="87" t="str">
        <x:v>ORIGINAL_PACKAGE</x:v>
      </x:c>
      <x:c r="N281" s="87" t="str">
        <x:v>pages/VIS-EGKR-BIO-W25-KEY-952-P005.png</x:v>
      </x:c>
      <x:c r="O281" s="87" t="str">
        <x:v>thumbnails/VIS-EGKR-BIO-W25-KEY-952-P005.jpg</x:v>
      </x:c>
      <x:c r="P281" s="87" t="str">
        <x:v>6760c80ddaa42d18601f5555db7258f375e24e91a1d0cac30106f0c6b48f5283</x:v>
      </x:c>
      <x:c r="Q281" s="30" t="str">
        <x:v>incoming/raw/recovery-drop-01/biology_egkr_winter_visual_assets_v093.zip!/pages/VIS-EGKR-BIO-W25-CRIT-P009.png</x:v>
      </x:c>
      <x:c r="R281" s="30" t="str">
        <x:v>RESOLVED_UNLINKED_REGISTRY_VISUAL</x:v>
      </x:c>
      <x:c r="S281" t="e">
        <x:f>HYPERLINK("visual_gallery/index.html#"&amp;A281,"Галерея")</x:f>
      </x:c>
    </x:row>
    <x:row r="282">
      <x:c r="A282" s="87" t="str">
        <x:v>VIS-EGKR-BIO-W25-KEY-952-P006</x:v>
      </x:c>
      <x:c r="B282" s="30" t="str"/>
      <x:c r="C282" s="30"/>
      <x:c r="D282" s="30" t="str">
        <x:v>952</x:v>
      </x:c>
      <x:c r="E282" s="87" t="str">
        <x:v>KEY</x:v>
      </x:c>
      <x:c r="F282" s="30" t="str">
        <x:v>Ключи - 952.pdf</x:v>
      </x:c>
      <x:c r="G282" s="87" t="str">
        <x:v>6</x:v>
      </x:c>
      <x:c r="H282" s="87" t="str">
        <x:v>v0.93</x:v>
      </x:c>
      <x:c r="I282" s="87" t="str">
        <x:v>0</x:v>
      </x:c>
      <x:c r="J282" s="30" t="str"/>
      <x:c r="K282" s="30" t="str"/>
      <x:c r="L282" s="87" t="str">
        <x:v>CROP_VERIFIED</x:v>
      </x:c>
      <x:c r="M282" s="87" t="str">
        <x:v>ORIGINAL_PACKAGE</x:v>
      </x:c>
      <x:c r="N282" s="87" t="str">
        <x:v>pages/VIS-EGKR-BIO-W25-KEY-952-P006.png</x:v>
      </x:c>
      <x:c r="O282" s="87" t="str">
        <x:v>thumbnails/VIS-EGKR-BIO-W25-KEY-952-P006.jpg</x:v>
      </x:c>
      <x:c r="P282" s="87" t="str">
        <x:v>bfc2597b70866ac1c78894eb241cf6a25e4d8353fcec11b2431828db85695b31</x:v>
      </x:c>
      <x:c r="Q282" s="30" t="str">
        <x:v>incoming/raw/recovery-drop-01/biology_egkr_winter_visual_assets_v093.zip!/pages/VIS-EGKR-BIO-W25-CRIT-P010.png</x:v>
      </x:c>
      <x:c r="R282" s="30" t="str">
        <x:v>RESOLVED_UNLINKED_REGISTRY_VISUAL</x:v>
      </x:c>
      <x:c r="S282" t="e">
        <x:f>HYPERLINK("visual_gallery/index.html#"&amp;A282,"Галерея")</x:f>
      </x:c>
    </x:row>
    <x:row r="283">
      <x:c r="A283" s="87" t="str">
        <x:v>VIS-EGKR-BIO-W25-KEY-952-P007</x:v>
      </x:c>
      <x:c r="B283" s="30" t="str"/>
      <x:c r="C283" s="30"/>
      <x:c r="D283" s="30" t="str">
        <x:v>952</x:v>
      </x:c>
      <x:c r="E283" s="87" t="str">
        <x:v>KEY</x:v>
      </x:c>
      <x:c r="F283" s="30" t="str">
        <x:v>Ключи - 952.pdf</x:v>
      </x:c>
      <x:c r="G283" s="87" t="str">
        <x:v>7</x:v>
      </x:c>
      <x:c r="H283" s="87" t="str">
        <x:v>v0.93</x:v>
      </x:c>
      <x:c r="I283" s="87" t="str">
        <x:v>0</x:v>
      </x:c>
      <x:c r="J283" s="30" t="str"/>
      <x:c r="K283" s="30" t="str"/>
      <x:c r="L283" s="87" t="str">
        <x:v>CROP_VERIFIED</x:v>
      </x:c>
      <x:c r="M283" s="87" t="str">
        <x:v>ORIGINAL_PACKAGE</x:v>
      </x:c>
      <x:c r="N283" s="87" t="str">
        <x:v>pages/VIS-EGKR-BIO-W25-KEY-952-P007.png</x:v>
      </x:c>
      <x:c r="O283" s="87" t="str">
        <x:v>thumbnails/VIS-EGKR-BIO-W25-KEY-952-P007.jpg</x:v>
      </x:c>
      <x:c r="P283" s="87" t="str">
        <x:v>a22dccabda79bb49f4e2f271115b1a9bc4c556fda97651f47dde6f12bcc5a51e</x:v>
      </x:c>
      <x:c r="Q283" s="30" t="str">
        <x:v>incoming/raw/recovery-drop-01/biology_egkr_winter_visual_assets_v093.zip!/pages/VIS-EGKR-BIO-W25-CRIT-P011.png</x:v>
      </x:c>
      <x:c r="R283" s="30" t="str">
        <x:v>RESOLVED_UNLINKED_REGISTRY_VISUAL</x:v>
      </x:c>
      <x:c r="S283" t="e">
        <x:f>HYPERLINK("visual_gallery/index.html#"&amp;A283,"Галерея")</x:f>
      </x:c>
    </x:row>
    <x:row r="284">
      <x:c r="A284" s="87" t="str">
        <x:v>VIS-EGKR-BIO-W25-TASK-952-P001</x:v>
      </x:c>
      <x:c r="B284" s="30" t="str"/>
      <x:c r="C284" s="30"/>
      <x:c r="D284" s="30" t="str">
        <x:v>952</x:v>
      </x:c>
      <x:c r="E284" s="87" t="str">
        <x:v>TASK</x:v>
      </x:c>
      <x:c r="F284" s="30" t="str">
        <x:v>952 биология.pdf</x:v>
      </x:c>
      <x:c r="G284" s="87" t="str">
        <x:v>1</x:v>
      </x:c>
      <x:c r="H284" s="87" t="str">
        <x:v>v0.93</x:v>
      </x:c>
      <x:c r="I284" s="87" t="str">
        <x:v>0</x:v>
      </x:c>
      <x:c r="J284" s="30" t="str"/>
      <x:c r="K284" s="30" t="str"/>
      <x:c r="L284" s="87" t="str">
        <x:v>CROP_VERIFIED</x:v>
      </x:c>
      <x:c r="M284" s="87" t="str">
        <x:v>ORIGINAL_PACKAGE</x:v>
      </x:c>
      <x:c r="N284" s="87" t="str">
        <x:v>pages/VIS-EGKR-BIO-W25-TASK-952-P001.png</x:v>
      </x:c>
      <x:c r="O284" s="87" t="str">
        <x:v>thumbnails/VIS-EGKR-BIO-W25-TASK-952-P001.jpg</x:v>
      </x:c>
      <x:c r="P284" s="87" t="str">
        <x:v>4374faf2721e8f224ffd535f3af954598734f56df86a9f14f251bc2c5ead3928</x:v>
      </x:c>
      <x:c r="Q284" s="30" t="str">
        <x:v>incoming/raw/recovery-drop-01/biology_egkr_winter_visual_assets_v093.zip!/pages/VIS-EGKR-BIO-W25-TASK-952-P001.png</x:v>
      </x:c>
      <x:c r="R284" s="30" t="str">
        <x:v>RESOLVED_UNLINKED_REGISTRY_VISUAL</x:v>
      </x:c>
      <x:c r="S284" t="e">
        <x:f>HYPERLINK("visual_gallery/index.html#"&amp;A284,"Галерея")</x:f>
      </x:c>
    </x:row>
    <x:row r="285">
      <x:c r="A285" s="87" t="str">
        <x:v>VIS-EGKR-BIO-W25-TASK-952-P002</x:v>
      </x:c>
      <x:c r="B285" s="30" t="str">
        <x:v>Биология</x:v>
      </x:c>
      <x:c r="C285" s="30"/>
      <x:c r="D285" s="30" t="str">
        <x:v>952</x:v>
      </x:c>
      <x:c r="E285" s="87" t="str">
        <x:v>TASK</x:v>
      </x:c>
      <x:c r="F285" s="30" t="str">
        <x:v>952 биология.pdf</x:v>
      </x:c>
      <x:c r="G285" s="87" t="str">
        <x:v>2</x:v>
      </x:c>
      <x:c r="H285" s="87" t="str">
        <x:v>v0.93</x:v>
      </x:c>
      <x:c r="I285" s="87" t="str">
        <x:v>4</x:v>
      </x:c>
      <x:c r="J285" s="30" t="str">
        <x:v>VIS_ID</x:v>
      </x:c>
      <x:c r="K285" s="30" t="str">
        <x:v>EGKR-W25-BIO-952-01, EGKR-W25-BIO-952-02, EGKR-W25-BIO-952-03, EGKR-W25-BIO-952-04</x:v>
      </x:c>
      <x:c r="L285" s="87" t="str">
        <x:v>CROP_VERIFIED</x:v>
      </x:c>
      <x:c r="M285" s="87" t="str">
        <x:v>ORIGINAL_PACKAGE</x:v>
      </x:c>
      <x:c r="N285" s="87" t="str">
        <x:v>pages/VIS-EGKR-BIO-W25-TASK-952-P002.png</x:v>
      </x:c>
      <x:c r="O285" s="87" t="str">
        <x:v>thumbnails/VIS-EGKR-BIO-W25-TASK-952-P002.jpg</x:v>
      </x:c>
      <x:c r="P285" s="87" t="str">
        <x:v>7a88559e0cd2d2e7141a0f9f88caebbb42e8d9116109f086eb600695751f7481</x:v>
      </x:c>
      <x:c r="Q285" s="30" t="str">
        <x:v>incoming/raw/recovery-drop-01/biology_egkr_winter_visual_assets_v093.zip!/pages/VIS-EGKR-BIO-W25-TASK-952-P002.png</x:v>
      </x:c>
      <x:c r="R285" s="30" t="str">
        <x:v>MATCHED_ASSET</x:v>
      </x:c>
      <x:c r="S285" t="e">
        <x:f>HYPERLINK("visual_gallery/index.html#"&amp;A285,"Галерея")</x:f>
      </x:c>
    </x:row>
    <x:row r="286">
      <x:c r="A286" s="87" t="str">
        <x:v>VIS-EGKR-BIO-W25-TASK-952-P003</x:v>
      </x:c>
      <x:c r="B286" s="30" t="str">
        <x:v>Биология</x:v>
      </x:c>
      <x:c r="C286" s="30"/>
      <x:c r="D286" s="30" t="str">
        <x:v>952</x:v>
      </x:c>
      <x:c r="E286" s="87" t="str">
        <x:v>TASK</x:v>
      </x:c>
      <x:c r="F286" s="30" t="str">
        <x:v>952 биология.pdf</x:v>
      </x:c>
      <x:c r="G286" s="87" t="str">
        <x:v>3</x:v>
      </x:c>
      <x:c r="H286" s="87" t="str">
        <x:v>v0.93</x:v>
      </x:c>
      <x:c r="I286" s="87" t="str">
        <x:v>2</x:v>
      </x:c>
      <x:c r="J286" s="30" t="str">
        <x:v>VIS_ID</x:v>
      </x:c>
      <x:c r="K286" s="30" t="str">
        <x:v>EGKR-W25-BIO-952-05, EGKR-W25-BIO-952-06</x:v>
      </x:c>
      <x:c r="L286" s="87" t="str">
        <x:v>CROP_VERIFIED</x:v>
      </x:c>
      <x:c r="M286" s="87" t="str">
        <x:v>ORIGINAL_PACKAGE</x:v>
      </x:c>
      <x:c r="N286" s="87" t="str">
        <x:v>pages/VIS-EGKR-BIO-W25-TASK-952-P003.png</x:v>
      </x:c>
      <x:c r="O286" s="87" t="str">
        <x:v>thumbnails/VIS-EGKR-BIO-W25-TASK-952-P003.jpg</x:v>
      </x:c>
      <x:c r="P286" s="87" t="str">
        <x:v>0a2ad4aa6e2c8f390ab5f6e7e86cf0f4cd9a2ea8a1acbebbe435cc5b76c663ce</x:v>
      </x:c>
      <x:c r="Q286" s="30" t="str">
        <x:v>incoming/raw/recovery-drop-01/biology_egkr_winter_visual_assets_v093.zip!/pages/VIS-EGKR-BIO-W25-TASK-952-P003.png</x:v>
      </x:c>
      <x:c r="R286" s="30" t="str">
        <x:v>MATCHED_ASSET</x:v>
      </x:c>
      <x:c r="S286" t="e">
        <x:f>HYPERLINK("visual_gallery/index.html#"&amp;A286,"Галерея")</x:f>
      </x:c>
    </x:row>
    <x:row r="287">
      <x:c r="A287" s="87" t="str">
        <x:v>VIS-EGKR-BIO-W25-TASK-952-P004</x:v>
      </x:c>
      <x:c r="B287" s="30" t="str">
        <x:v>Биология</x:v>
      </x:c>
      <x:c r="C287" s="30"/>
      <x:c r="D287" s="30" t="str">
        <x:v>952</x:v>
      </x:c>
      <x:c r="E287" s="87" t="str">
        <x:v>TASK</x:v>
      </x:c>
      <x:c r="F287" s="30" t="str">
        <x:v>952 биология.pdf</x:v>
      </x:c>
      <x:c r="G287" s="87" t="str">
        <x:v>4</x:v>
      </x:c>
      <x:c r="H287" s="87" t="str">
        <x:v>v0.93</x:v>
      </x:c>
      <x:c r="I287" s="87" t="str">
        <x:v>2</x:v>
      </x:c>
      <x:c r="J287" s="30" t="str">
        <x:v>VIS_ID</x:v>
      </x:c>
      <x:c r="K287" s="30" t="str">
        <x:v>EGKR-W25-BIO-952-07, EGKR-W25-BIO-952-08</x:v>
      </x:c>
      <x:c r="L287" s="87" t="str">
        <x:v>CROP_VERIFIED</x:v>
      </x:c>
      <x:c r="M287" s="87" t="str">
        <x:v>ORIGINAL_PACKAGE</x:v>
      </x:c>
      <x:c r="N287" s="87" t="str">
        <x:v>pages/VIS-EGKR-BIO-W25-TASK-952-P004.png</x:v>
      </x:c>
      <x:c r="O287" s="87" t="str">
        <x:v>thumbnails/VIS-EGKR-BIO-W25-TASK-952-P004.jpg</x:v>
      </x:c>
      <x:c r="P287" s="87" t="str">
        <x:v>f939aa36063f12907a26a5ad10be2aa269c7b3054551dc484b195a7943ce6fc5</x:v>
      </x:c>
      <x:c r="Q287" s="30" t="str">
        <x:v>incoming/raw/recovery-drop-01/biology_egkr_winter_visual_assets_v093.zip!/pages/VIS-EGKR-BIO-W25-TASK-952-P004.png</x:v>
      </x:c>
      <x:c r="R287" s="30" t="str">
        <x:v>MATCHED_ASSET</x:v>
      </x:c>
      <x:c r="S287" t="e">
        <x:f>HYPERLINK("visual_gallery/index.html#"&amp;A287,"Галерея")</x:f>
      </x:c>
    </x:row>
    <x:row r="288">
      <x:c r="A288" s="87" t="str">
        <x:v>VIS-EGKR-BIO-W25-TASK-952-P005</x:v>
      </x:c>
      <x:c r="B288" s="30" t="str">
        <x:v>Биология</x:v>
      </x:c>
      <x:c r="C288" s="30"/>
      <x:c r="D288" s="30" t="str">
        <x:v>952</x:v>
      </x:c>
      <x:c r="E288" s="87" t="str">
        <x:v>TASK</x:v>
      </x:c>
      <x:c r="F288" s="30" t="str">
        <x:v>952 биология.pdf</x:v>
      </x:c>
      <x:c r="G288" s="87" t="str">
        <x:v>5</x:v>
      </x:c>
      <x:c r="H288" s="87" t="str">
        <x:v>v0.93</x:v>
      </x:c>
      <x:c r="I288" s="87" t="str">
        <x:v>2</x:v>
      </x:c>
      <x:c r="J288" s="30" t="str">
        <x:v>VIS_ID</x:v>
      </x:c>
      <x:c r="K288" s="30" t="str">
        <x:v>EGKR-W25-BIO-952-09, EGKR-W25-BIO-952-10</x:v>
      </x:c>
      <x:c r="L288" s="87" t="str">
        <x:v>CROP_VERIFIED</x:v>
      </x:c>
      <x:c r="M288" s="87" t="str">
        <x:v>ORIGINAL_PACKAGE</x:v>
      </x:c>
      <x:c r="N288" s="87" t="str">
        <x:v>pages/VIS-EGKR-BIO-W25-TASK-952-P005.png</x:v>
      </x:c>
      <x:c r="O288" s="87" t="str">
        <x:v>thumbnails/VIS-EGKR-BIO-W25-TASK-952-P005.jpg</x:v>
      </x:c>
      <x:c r="P288" s="87" t="str">
        <x:v>f79c7fbc6a93d321a3176b49c31e0627515c6fd902342f010c63d8feeee13f6b</x:v>
      </x:c>
      <x:c r="Q288" s="30" t="str">
        <x:v>incoming/raw/recovery-drop-01/biology_egkr_winter_visual_assets_v093.zip!/pages/VIS-EGKR-BIO-W25-TASK-952-P005.png</x:v>
      </x:c>
      <x:c r="R288" s="30" t="str">
        <x:v>MATCHED_ASSET</x:v>
      </x:c>
      <x:c r="S288" t="e">
        <x:f>HYPERLINK("visual_gallery/index.html#"&amp;A288,"Галерея")</x:f>
      </x:c>
    </x:row>
    <x:row r="289">
      <x:c r="A289" s="87" t="str">
        <x:v>VIS-EGKR-BIO-W25-TASK-952-P006</x:v>
      </x:c>
      <x:c r="B289" s="30" t="str">
        <x:v>Биология</x:v>
      </x:c>
      <x:c r="C289" s="30"/>
      <x:c r="D289" s="30" t="str">
        <x:v>952</x:v>
      </x:c>
      <x:c r="E289" s="87" t="str">
        <x:v>TASK</x:v>
      </x:c>
      <x:c r="F289" s="30" t="str">
        <x:v>952 биология.pdf</x:v>
      </x:c>
      <x:c r="G289" s="87" t="str">
        <x:v>6</x:v>
      </x:c>
      <x:c r="H289" s="87" t="str">
        <x:v>v0.93</x:v>
      </x:c>
      <x:c r="I289" s="87" t="str">
        <x:v>2</x:v>
      </x:c>
      <x:c r="J289" s="30" t="str">
        <x:v>VIS_ID</x:v>
      </x:c>
      <x:c r="K289" s="30" t="str">
        <x:v>EGKR-W25-BIO-952-11, EGKR-W25-BIO-952-12</x:v>
      </x:c>
      <x:c r="L289" s="87" t="str">
        <x:v>CROP_VERIFIED</x:v>
      </x:c>
      <x:c r="M289" s="87" t="str">
        <x:v>ORIGINAL_PACKAGE</x:v>
      </x:c>
      <x:c r="N289" s="87" t="str">
        <x:v>pages/VIS-EGKR-BIO-W25-TASK-952-P006.png</x:v>
      </x:c>
      <x:c r="O289" s="87" t="str">
        <x:v>thumbnails/VIS-EGKR-BIO-W25-TASK-952-P006.jpg</x:v>
      </x:c>
      <x:c r="P289" s="87" t="str">
        <x:v>08535ea87d7afb342655bade5623e6e3b6f97fbd4b71fd5a8cd10bab65325e0c</x:v>
      </x:c>
      <x:c r="Q289" s="30" t="str">
        <x:v>incoming/raw/recovery-drop-01/biology_egkr_winter_visual_assets_v093.zip!/pages/VIS-EGKR-BIO-W25-TASK-952-P006.png</x:v>
      </x:c>
      <x:c r="R289" s="30" t="str">
        <x:v>MATCHED_ASSET</x:v>
      </x:c>
      <x:c r="S289" t="e">
        <x:f>HYPERLINK("visual_gallery/index.html#"&amp;A289,"Галерея")</x:f>
      </x:c>
    </x:row>
    <x:row r="290">
      <x:c r="A290" s="87" t="str">
        <x:v>VIS-EGKR-BIO-W25-TASK-952-P007</x:v>
      </x:c>
      <x:c r="B290" s="30" t="str">
        <x:v>Биология</x:v>
      </x:c>
      <x:c r="C290" s="30"/>
      <x:c r="D290" s="30" t="str">
        <x:v>952</x:v>
      </x:c>
      <x:c r="E290" s="87" t="str">
        <x:v>TASK</x:v>
      </x:c>
      <x:c r="F290" s="30" t="str">
        <x:v>952 биология.pdf</x:v>
      </x:c>
      <x:c r="G290" s="87" t="str">
        <x:v>7</x:v>
      </x:c>
      <x:c r="H290" s="87" t="str">
        <x:v>v0.93</x:v>
      </x:c>
      <x:c r="I290" s="87" t="str">
        <x:v>2</x:v>
      </x:c>
      <x:c r="J290" s="30" t="str">
        <x:v>VIS_ID</x:v>
      </x:c>
      <x:c r="K290" s="30" t="str">
        <x:v>EGKR-W25-BIO-952-13, EGKR-W25-BIO-952-14</x:v>
      </x:c>
      <x:c r="L290" s="87" t="str">
        <x:v>CROP_VERIFIED</x:v>
      </x:c>
      <x:c r="M290" s="87" t="str">
        <x:v>ORIGINAL_PACKAGE</x:v>
      </x:c>
      <x:c r="N290" s="87" t="str">
        <x:v>pages/VIS-EGKR-BIO-W25-TASK-952-P007.png</x:v>
      </x:c>
      <x:c r="O290" s="87" t="str">
        <x:v>thumbnails/VIS-EGKR-BIO-W25-TASK-952-P007.jpg</x:v>
      </x:c>
      <x:c r="P290" s="87" t="str">
        <x:v>928306311c670082983ffacede58475a6eda902d311ac124a98195ecfc3f36f1</x:v>
      </x:c>
      <x:c r="Q290" s="30" t="str">
        <x:v>incoming/raw/recovery-drop-01/biology_egkr_winter_visual_assets_v093.zip!/pages/VIS-EGKR-BIO-W25-TASK-952-P007.png</x:v>
      </x:c>
      <x:c r="R290" s="30" t="str">
        <x:v>MATCHED_ASSET</x:v>
      </x:c>
      <x:c r="S290" t="e">
        <x:f>HYPERLINK("visual_gallery/index.html#"&amp;A290,"Галерея")</x:f>
      </x:c>
    </x:row>
    <x:row r="291">
      <x:c r="A291" s="87" t="str">
        <x:v>VIS-EGKR-BIO-W25-TASK-952-P008</x:v>
      </x:c>
      <x:c r="B291" s="30" t="str">
        <x:v>Биология</x:v>
      </x:c>
      <x:c r="C291" s="30"/>
      <x:c r="D291" s="30" t="str">
        <x:v>952</x:v>
      </x:c>
      <x:c r="E291" s="87" t="str">
        <x:v>TASK</x:v>
      </x:c>
      <x:c r="F291" s="30" t="str">
        <x:v>952 биология.pdf</x:v>
      </x:c>
      <x:c r="G291" s="87" t="str">
        <x:v>8</x:v>
      </x:c>
      <x:c r="H291" s="87" t="str">
        <x:v>v0.93</x:v>
      </x:c>
      <x:c r="I291" s="87" t="str">
        <x:v>2</x:v>
      </x:c>
      <x:c r="J291" s="30" t="str">
        <x:v>VIS_ID</x:v>
      </x:c>
      <x:c r="K291" s="30" t="str">
        <x:v>EGKR-W25-BIO-952-15, EGKR-W25-BIO-952-16</x:v>
      </x:c>
      <x:c r="L291" s="87" t="str">
        <x:v>CROP_VERIFIED</x:v>
      </x:c>
      <x:c r="M291" s="87" t="str">
        <x:v>ORIGINAL_PACKAGE</x:v>
      </x:c>
      <x:c r="N291" s="87" t="str">
        <x:v>pages/VIS-EGKR-BIO-W25-TASK-952-P008.png</x:v>
      </x:c>
      <x:c r="O291" s="87" t="str">
        <x:v>thumbnails/VIS-EGKR-BIO-W25-TASK-952-P008.jpg</x:v>
      </x:c>
      <x:c r="P291" s="87" t="str">
        <x:v>944a4046a6883dbc3c9d9a88200fc37c7539f5441ee1217733ed971402dcc25d</x:v>
      </x:c>
      <x:c r="Q291" s="30" t="str">
        <x:v>incoming/raw/recovery-drop-01/biology_egkr_winter_visual_assets_v093.zip!/pages/VIS-EGKR-BIO-W25-TASK-952-P008.png</x:v>
      </x:c>
      <x:c r="R291" s="30" t="str">
        <x:v>MATCHED_ASSET</x:v>
      </x:c>
      <x:c r="S291" t="e">
        <x:f>HYPERLINK("visual_gallery/index.html#"&amp;A291,"Галерея")</x:f>
      </x:c>
    </x:row>
    <x:row r="292">
      <x:c r="A292" s="87" t="str">
        <x:v>VIS-EGKR-BIO-W25-TASK-952-P009</x:v>
      </x:c>
      <x:c r="B292" s="30" t="str">
        <x:v>Биология</x:v>
      </x:c>
      <x:c r="C292" s="30"/>
      <x:c r="D292" s="30" t="str">
        <x:v>952</x:v>
      </x:c>
      <x:c r="E292" s="87" t="str">
        <x:v>TASK</x:v>
      </x:c>
      <x:c r="F292" s="30" t="str">
        <x:v>952 биология.pdf</x:v>
      </x:c>
      <x:c r="G292" s="87" t="str">
        <x:v>9</x:v>
      </x:c>
      <x:c r="H292" s="87" t="str">
        <x:v>v0.93</x:v>
      </x:c>
      <x:c r="I292" s="87" t="str">
        <x:v>2</x:v>
      </x:c>
      <x:c r="J292" s="30" t="str">
        <x:v>VIS_ID</x:v>
      </x:c>
      <x:c r="K292" s="30" t="str">
        <x:v>EGKR-W25-BIO-952-17, EGKR-W25-BIO-952-18</x:v>
      </x:c>
      <x:c r="L292" s="87" t="str">
        <x:v>CROP_VERIFIED</x:v>
      </x:c>
      <x:c r="M292" s="87" t="str">
        <x:v>ORIGINAL_PACKAGE</x:v>
      </x:c>
      <x:c r="N292" s="87" t="str">
        <x:v>pages/VIS-EGKR-BIO-W25-TASK-952-P009.png</x:v>
      </x:c>
      <x:c r="O292" s="87" t="str">
        <x:v>thumbnails/VIS-EGKR-BIO-W25-TASK-952-P009.jpg</x:v>
      </x:c>
      <x:c r="P292" s="87" t="str">
        <x:v>ba718a12e425bb9a37ed30c8411f0add3479965d4c67bc3bc80ff41d58208d7c</x:v>
      </x:c>
      <x:c r="Q292" s="30" t="str">
        <x:v>incoming/raw/recovery-drop-01/biology_egkr_winter_visual_assets_v093.zip!/pages/VIS-EGKR-BIO-W25-TASK-952-P009.png</x:v>
      </x:c>
      <x:c r="R292" s="30" t="str">
        <x:v>MATCHED_ASSET</x:v>
      </x:c>
      <x:c r="S292" t="e">
        <x:f>HYPERLINK("visual_gallery/index.html#"&amp;A292,"Галерея")</x:f>
      </x:c>
    </x:row>
    <x:row r="293">
      <x:c r="A293" s="87" t="str">
        <x:v>VIS-EGKR-BIO-W25-TASK-952-P010</x:v>
      </x:c>
      <x:c r="B293" s="30" t="str">
        <x:v>Биология</x:v>
      </x:c>
      <x:c r="C293" s="30"/>
      <x:c r="D293" s="30" t="str">
        <x:v>952</x:v>
      </x:c>
      <x:c r="E293" s="87" t="str">
        <x:v>TASK</x:v>
      </x:c>
      <x:c r="F293" s="30" t="str">
        <x:v>952 биология.pdf</x:v>
      </x:c>
      <x:c r="G293" s="87" t="str">
        <x:v>10</x:v>
      </x:c>
      <x:c r="H293" s="87" t="str">
        <x:v>v0.93</x:v>
      </x:c>
      <x:c r="I293" s="87" t="str">
        <x:v>2</x:v>
      </x:c>
      <x:c r="J293" s="30" t="str">
        <x:v>VIS_ID</x:v>
      </x:c>
      <x:c r="K293" s="30" t="str">
        <x:v>EGKR-W25-BIO-952-19, EGKR-W25-BIO-952-20</x:v>
      </x:c>
      <x:c r="L293" s="87" t="str">
        <x:v>CROP_VERIFIED</x:v>
      </x:c>
      <x:c r="M293" s="87" t="str">
        <x:v>ORIGINAL_PACKAGE</x:v>
      </x:c>
      <x:c r="N293" s="87" t="str">
        <x:v>pages/VIS-EGKR-BIO-W25-TASK-952-P010.png</x:v>
      </x:c>
      <x:c r="O293" s="87" t="str">
        <x:v>thumbnails/VIS-EGKR-BIO-W25-TASK-952-P010.jpg</x:v>
      </x:c>
      <x:c r="P293" s="87" t="str">
        <x:v>99f7bde5c22d9d467e7df006f9551ca57825dffebc947d4d4eead7df4a088298</x:v>
      </x:c>
      <x:c r="Q293" s="30" t="str">
        <x:v>incoming/raw/recovery-drop-01/biology_egkr_winter_visual_assets_v093.zip!/pages/VIS-EGKR-BIO-W25-TASK-952-P010.png</x:v>
      </x:c>
      <x:c r="R293" s="30" t="str">
        <x:v>MATCHED_ASSET</x:v>
      </x:c>
      <x:c r="S293" t="e">
        <x:f>HYPERLINK("visual_gallery/index.html#"&amp;A293,"Галерея")</x:f>
      </x:c>
    </x:row>
    <x:row r="294">
      <x:c r="A294" s="87" t="str">
        <x:v>VIS-EGKR-BIO-W25-TASK-952-P011</x:v>
      </x:c>
      <x:c r="B294" s="30" t="str">
        <x:v>Биология</x:v>
      </x:c>
      <x:c r="C294" s="30"/>
      <x:c r="D294" s="30" t="str">
        <x:v>952</x:v>
      </x:c>
      <x:c r="E294" s="87" t="str">
        <x:v>TASK</x:v>
      </x:c>
      <x:c r="F294" s="30" t="str">
        <x:v>952 биология.pdf</x:v>
      </x:c>
      <x:c r="G294" s="87" t="str">
        <x:v>11</x:v>
      </x:c>
      <x:c r="H294" s="87" t="str">
        <x:v>v0.93</x:v>
      </x:c>
      <x:c r="I294" s="87" t="str">
        <x:v>1</x:v>
      </x:c>
      <x:c r="J294" s="30" t="str">
        <x:v>VIS_ID</x:v>
      </x:c>
      <x:c r="K294" s="30" t="str">
        <x:v>EGKR-W25-BIO-952-21</x:v>
      </x:c>
      <x:c r="L294" s="87" t="str">
        <x:v>CROP_VERIFIED</x:v>
      </x:c>
      <x:c r="M294" s="87" t="str">
        <x:v>ORIGINAL_PACKAGE</x:v>
      </x:c>
      <x:c r="N294" s="87" t="str">
        <x:v>pages/VIS-EGKR-BIO-W25-TASK-952-P011.png</x:v>
      </x:c>
      <x:c r="O294" s="87" t="str">
        <x:v>thumbnails/VIS-EGKR-BIO-W25-TASK-952-P011.jpg</x:v>
      </x:c>
      <x:c r="P294" s="87" t="str">
        <x:v>2259b97615f1474bc0d158645886e69b169766b0fe837a8cbfd97f1efc34c7c6</x:v>
      </x:c>
      <x:c r="Q294" s="30" t="str">
        <x:v>incoming/raw/recovery-drop-01/biology_egkr_winter_visual_assets_v093.zip!/pages/VIS-EGKR-BIO-W25-TASK-952-P011.png</x:v>
      </x:c>
      <x:c r="R294" s="30" t="str">
        <x:v>MATCHED_ASSET</x:v>
      </x:c>
      <x:c r="S294" t="e">
        <x:f>HYPERLINK("visual_gallery/index.html#"&amp;A294,"Галерея")</x:f>
      </x:c>
    </x:row>
    <x:row r="295">
      <x:c r="A295" s="87" t="str">
        <x:v>VIS-EGKR-BIO-W25-TASK-952-P012</x:v>
      </x:c>
      <x:c r="B295" s="30" t="str">
        <x:v>Биология</x:v>
      </x:c>
      <x:c r="C295" s="30"/>
      <x:c r="D295" s="30" t="str">
        <x:v>952</x:v>
      </x:c>
      <x:c r="E295" s="87" t="str">
        <x:v>TASK</x:v>
      </x:c>
      <x:c r="F295" s="30" t="str">
        <x:v>952 биология.pdf</x:v>
      </x:c>
      <x:c r="G295" s="87" t="str">
        <x:v>12</x:v>
      </x:c>
      <x:c r="H295" s="87" t="str">
        <x:v>v0.93</x:v>
      </x:c>
      <x:c r="I295" s="87" t="str">
        <x:v>2</x:v>
      </x:c>
      <x:c r="J295" s="30" t="str">
        <x:v>VIS_ID</x:v>
      </x:c>
      <x:c r="K295" s="30" t="str">
        <x:v>EGKR-W25-BIO-952-22, EGKR-W25-BIO-952-23</x:v>
      </x:c>
      <x:c r="L295" s="87" t="str">
        <x:v>CROP_VERIFIED</x:v>
      </x:c>
      <x:c r="M295" s="87" t="str">
        <x:v>ORIGINAL_PACKAGE</x:v>
      </x:c>
      <x:c r="N295" s="87" t="str">
        <x:v>pages/VIS-EGKR-BIO-W25-TASK-952-P012.png</x:v>
      </x:c>
      <x:c r="O295" s="87" t="str">
        <x:v>thumbnails/VIS-EGKR-BIO-W25-TASK-952-P012.jpg</x:v>
      </x:c>
      <x:c r="P295" s="87" t="str">
        <x:v>ee22ac90939f1d9f885076c544bb0abc923e3333fde36d70df2b79db1569bfe3</x:v>
      </x:c>
      <x:c r="Q295" s="30" t="str">
        <x:v>incoming/raw/recovery-drop-01/biology_egkr_winter_visual_assets_v093.zip!/pages/VIS-EGKR-BIO-W25-TASK-952-P012.png</x:v>
      </x:c>
      <x:c r="R295" s="30" t="str">
        <x:v>MATCHED_ASSET</x:v>
      </x:c>
      <x:c r="S295" t="e">
        <x:f>HYPERLINK("visual_gallery/index.html#"&amp;A295,"Галерея")</x:f>
      </x:c>
    </x:row>
    <x:row r="296">
      <x:c r="A296" s="87" t="str">
        <x:v>VIS-EGKR-BIO-W25-TASK-952-P013</x:v>
      </x:c>
      <x:c r="B296" s="30" t="str">
        <x:v>Биология</x:v>
      </x:c>
      <x:c r="C296" s="30"/>
      <x:c r="D296" s="30" t="str">
        <x:v>952</x:v>
      </x:c>
      <x:c r="E296" s="87" t="str">
        <x:v>TASK</x:v>
      </x:c>
      <x:c r="F296" s="30" t="str">
        <x:v>952 биология.pdf</x:v>
      </x:c>
      <x:c r="G296" s="87" t="str">
        <x:v>13</x:v>
      </x:c>
      <x:c r="H296" s="87" t="str">
        <x:v>v0.93</x:v>
      </x:c>
      <x:c r="I296" s="87" t="str">
        <x:v>2</x:v>
      </x:c>
      <x:c r="J296" s="30" t="str">
        <x:v>VIS_ID</x:v>
      </x:c>
      <x:c r="K296" s="30" t="str">
        <x:v>EGKR-W25-BIO-952-24, EGKR-W25-BIO-952-25</x:v>
      </x:c>
      <x:c r="L296" s="87" t="str">
        <x:v>CROP_VERIFIED</x:v>
      </x:c>
      <x:c r="M296" s="87" t="str">
        <x:v>ORIGINAL_PACKAGE</x:v>
      </x:c>
      <x:c r="N296" s="87" t="str">
        <x:v>pages/VIS-EGKR-BIO-W25-TASK-952-P013.png</x:v>
      </x:c>
      <x:c r="O296" s="87" t="str">
        <x:v>thumbnails/VIS-EGKR-BIO-W25-TASK-952-P013.jpg</x:v>
      </x:c>
      <x:c r="P296" s="87" t="str">
        <x:v>610d9fb02ea750fa2c44d1081e64c7ba36b9f5875785b4c9dce17889d9bd1efe</x:v>
      </x:c>
      <x:c r="Q296" s="30" t="str">
        <x:v>incoming/raw/recovery-drop-01/biology_egkr_winter_visual_assets_v093.zip!/pages/VIS-EGKR-BIO-W25-TASK-952-P013.png</x:v>
      </x:c>
      <x:c r="R296" s="30" t="str">
        <x:v>MATCHED_ASSET</x:v>
      </x:c>
      <x:c r="S296" t="e">
        <x:f>HYPERLINK("visual_gallery/index.html#"&amp;A296,"Галерея")</x:f>
      </x:c>
    </x:row>
    <x:row r="297">
      <x:c r="A297" s="87" t="str">
        <x:v>VIS-EGKR-BIO-W25-TASK-952-P014</x:v>
      </x:c>
      <x:c r="B297" s="30" t="str">
        <x:v>Биология</x:v>
      </x:c>
      <x:c r="C297" s="30"/>
      <x:c r="D297" s="30" t="str">
        <x:v>952</x:v>
      </x:c>
      <x:c r="E297" s="87" t="str">
        <x:v>TASK</x:v>
      </x:c>
      <x:c r="F297" s="30" t="str">
        <x:v>952 биология.pdf</x:v>
      </x:c>
      <x:c r="G297" s="87" t="str">
        <x:v>14</x:v>
      </x:c>
      <x:c r="H297" s="87" t="str">
        <x:v>v0.93</x:v>
      </x:c>
      <x:c r="I297" s="87" t="str">
        <x:v>3</x:v>
      </x:c>
      <x:c r="J297" s="30" t="str">
        <x:v>VIS_ID</x:v>
      </x:c>
      <x:c r="K297" s="30" t="str">
        <x:v>EGKR-W25-BIO-952-26, EGKR-W25-BIO-952-27, EGKR-W25-BIO-952-28</x:v>
      </x:c>
      <x:c r="L297" s="87" t="str">
        <x:v>CROP_VERIFIED</x:v>
      </x:c>
      <x:c r="M297" s="87" t="str">
        <x:v>ORIGINAL_PACKAGE</x:v>
      </x:c>
      <x:c r="N297" s="87" t="str">
        <x:v>pages/VIS-EGKR-BIO-W25-TASK-952-P014.png</x:v>
      </x:c>
      <x:c r="O297" s="87" t="str">
        <x:v>thumbnails/VIS-EGKR-BIO-W25-TASK-952-P014.jpg</x:v>
      </x:c>
      <x:c r="P297" s="87" t="str">
        <x:v>2cce723402d9a24ed4fbaa92fe0f35faba14361826bd2471abe97251b2322e25</x:v>
      </x:c>
      <x:c r="Q297" s="30" t="str">
        <x:v>incoming/raw/recovery-drop-01/biology_egkr_winter_visual_assets_v093.zip!/pages/VIS-EGKR-BIO-W25-TASK-952-P014.png</x:v>
      </x:c>
      <x:c r="R297" s="30" t="str">
        <x:v>MATCHED_ASSET</x:v>
      </x:c>
      <x:c r="S297" t="e">
        <x:f>HYPERLINK("visual_gallery/index.html#"&amp;A297,"Галерея")</x:f>
      </x:c>
    </x:row>
    <x:row r="298">
      <x:c r="A298" s="87" t="str">
        <x:v>VIS-EGKR-BIO-W25-TASK-953-P001</x:v>
      </x:c>
      <x:c r="B298" s="30" t="str"/>
      <x:c r="C298" s="30"/>
      <x:c r="D298" s="30" t="str">
        <x:v>953</x:v>
      </x:c>
      <x:c r="E298" s="87" t="str">
        <x:v>TASK</x:v>
      </x:c>
      <x:c r="F298" s="30" t="str">
        <x:v>953 биология.pdf</x:v>
      </x:c>
      <x:c r="G298" s="87" t="str">
        <x:v>1</x:v>
      </x:c>
      <x:c r="H298" s="87" t="str">
        <x:v>v0.93</x:v>
      </x:c>
      <x:c r="I298" s="87" t="str">
        <x:v>0</x:v>
      </x:c>
      <x:c r="J298" s="30" t="str"/>
      <x:c r="K298" s="30" t="str"/>
      <x:c r="L298" s="87" t="str">
        <x:v>CROP_VERIFIED</x:v>
      </x:c>
      <x:c r="M298" s="87" t="str">
        <x:v>ORIGINAL_PACKAGE</x:v>
      </x:c>
      <x:c r="N298" s="87" t="str">
        <x:v>pages/VIS-EGKR-BIO-W25-TASK-953-P001.png</x:v>
      </x:c>
      <x:c r="O298" s="87" t="str">
        <x:v>thumbnails/VIS-EGKR-BIO-W25-TASK-953-P001.jpg</x:v>
      </x:c>
      <x:c r="P298" s="87" t="str">
        <x:v>0b38ad8dd90da39ad38d60ed68f81af31cf0e2007e93b05d7b2f2314f863c969</x:v>
      </x:c>
      <x:c r="Q298" s="30" t="str">
        <x:v>incoming/raw/recovery-drop-01/biology_egkr_winter_visual_assets_v093.zip!/pages/VIS-EGKR-BIO-W25-TASK-953-P001.png</x:v>
      </x:c>
      <x:c r="R298" s="30" t="str">
        <x:v>RESOLVED_UNLINKED_REGISTRY_VISUAL</x:v>
      </x:c>
      <x:c r="S298" t="e">
        <x:f>HYPERLINK("visual_gallery/index.html#"&amp;A298,"Галерея")</x:f>
      </x:c>
    </x:row>
    <x:row r="299">
      <x:c r="A299" s="87" t="str">
        <x:v>VIS-EGKR-BIO-W25-TASK-953-P002</x:v>
      </x:c>
      <x:c r="B299" s="30" t="str">
        <x:v>Биология</x:v>
      </x:c>
      <x:c r="C299" s="30"/>
      <x:c r="D299" s="30" t="str">
        <x:v>953</x:v>
      </x:c>
      <x:c r="E299" s="87" t="str">
        <x:v>TASK</x:v>
      </x:c>
      <x:c r="F299" s="30" t="str">
        <x:v>953 биология.pdf</x:v>
      </x:c>
      <x:c r="G299" s="87" t="str">
        <x:v>2</x:v>
      </x:c>
      <x:c r="H299" s="87" t="str">
        <x:v>v0.93</x:v>
      </x:c>
      <x:c r="I299" s="87" t="str">
        <x:v>3</x:v>
      </x:c>
      <x:c r="J299" s="30" t="str">
        <x:v>VIS_ID</x:v>
      </x:c>
      <x:c r="K299" s="30" t="str">
        <x:v>EGKR-W25-BIO-953-01, EGKR-W25-BIO-953-02, EGKR-W25-BIO-953-03</x:v>
      </x:c>
      <x:c r="L299" s="87" t="str">
        <x:v>CROP_VERIFIED</x:v>
      </x:c>
      <x:c r="M299" s="87" t="str">
        <x:v>ORIGINAL_PACKAGE</x:v>
      </x:c>
      <x:c r="N299" s="87" t="str">
        <x:v>pages/VIS-EGKR-BIO-W25-TASK-953-P002.png</x:v>
      </x:c>
      <x:c r="O299" s="87" t="str">
        <x:v>thumbnails/VIS-EGKR-BIO-W25-TASK-953-P002.jpg</x:v>
      </x:c>
      <x:c r="P299" s="87" t="str">
        <x:v>f1be9d043e5cf72e7ac3d617c8a0cc57002e3977f9b9650be7efb28c8854f74a</x:v>
      </x:c>
      <x:c r="Q299" s="30" t="str">
        <x:v>incoming/raw/recovery-drop-01/biology_egkr_winter_visual_assets_v093.zip!/pages/VIS-EGKR-BIO-W25-TASK-953-P002.png</x:v>
      </x:c>
      <x:c r="R299" s="30" t="str">
        <x:v>MATCHED_ASSET</x:v>
      </x:c>
      <x:c r="S299" t="e">
        <x:f>HYPERLINK("visual_gallery/index.html#"&amp;A299,"Галерея")</x:f>
      </x:c>
    </x:row>
    <x:row r="300">
      <x:c r="A300" s="87" t="str">
        <x:v>VIS-EGKR-BIO-W25-TASK-953-P003</x:v>
      </x:c>
      <x:c r="B300" s="30" t="str">
        <x:v>Биология</x:v>
      </x:c>
      <x:c r="C300" s="30"/>
      <x:c r="D300" s="30" t="str">
        <x:v>953</x:v>
      </x:c>
      <x:c r="E300" s="87" t="str">
        <x:v>TASK</x:v>
      </x:c>
      <x:c r="F300" s="30" t="str">
        <x:v>953 биология.pdf</x:v>
      </x:c>
      <x:c r="G300" s="87" t="str">
        <x:v>3</x:v>
      </x:c>
      <x:c r="H300" s="87" t="str">
        <x:v>v0.93</x:v>
      </x:c>
      <x:c r="I300" s="87" t="str">
        <x:v>3</x:v>
      </x:c>
      <x:c r="J300" s="30" t="str">
        <x:v>VIS_ID</x:v>
      </x:c>
      <x:c r="K300" s="30" t="str">
        <x:v>EGKR-W25-BIO-953-04, EGKR-W25-BIO-953-05, EGKR-W25-BIO-953-06</x:v>
      </x:c>
      <x:c r="L300" s="87" t="str">
        <x:v>CROP_VERIFIED</x:v>
      </x:c>
      <x:c r="M300" s="87" t="str">
        <x:v>ORIGINAL_PACKAGE</x:v>
      </x:c>
      <x:c r="N300" s="87" t="str">
        <x:v>pages/VIS-EGKR-BIO-W25-TASK-953-P003.png</x:v>
      </x:c>
      <x:c r="O300" s="87" t="str">
        <x:v>thumbnails/VIS-EGKR-BIO-W25-TASK-953-P003.jpg</x:v>
      </x:c>
      <x:c r="P300" s="87" t="str">
        <x:v>ada3e944efac5e71f7b479090f54ece31d96d58635f498754969f504c7894d64</x:v>
      </x:c>
      <x:c r="Q300" s="30" t="str">
        <x:v>incoming/raw/recovery-drop-01/biology_egkr_winter_visual_assets_v093.zip!/pages/VIS-EGKR-BIO-W25-TASK-953-P003.png</x:v>
      </x:c>
      <x:c r="R300" s="30" t="str">
        <x:v>MATCHED_ASSET</x:v>
      </x:c>
      <x:c r="S300" t="e">
        <x:f>HYPERLINK("visual_gallery/index.html#"&amp;A300,"Галерея")</x:f>
      </x:c>
    </x:row>
    <x:row r="301">
      <x:c r="A301" s="87" t="str">
        <x:v>VIS-EGKR-BIO-W25-TASK-953-P004</x:v>
      </x:c>
      <x:c r="B301" s="30" t="str">
        <x:v>Биология</x:v>
      </x:c>
      <x:c r="C301" s="30"/>
      <x:c r="D301" s="30" t="str">
        <x:v>953</x:v>
      </x:c>
      <x:c r="E301" s="87" t="str">
        <x:v>TASK</x:v>
      </x:c>
      <x:c r="F301" s="30" t="str">
        <x:v>953 биология.pdf</x:v>
      </x:c>
      <x:c r="G301" s="87" t="str">
        <x:v>4</x:v>
      </x:c>
      <x:c r="H301" s="87" t="str">
        <x:v>v0.93</x:v>
      </x:c>
      <x:c r="I301" s="87" t="str">
        <x:v>2</x:v>
      </x:c>
      <x:c r="J301" s="30" t="str">
        <x:v>VIS_ID</x:v>
      </x:c>
      <x:c r="K301" s="30" t="str">
        <x:v>EGKR-W25-BIO-953-07, EGKR-W25-BIO-953-08</x:v>
      </x:c>
      <x:c r="L301" s="87" t="str">
        <x:v>CROP_VERIFIED</x:v>
      </x:c>
      <x:c r="M301" s="87" t="str">
        <x:v>ORIGINAL_PACKAGE</x:v>
      </x:c>
      <x:c r="N301" s="87" t="str">
        <x:v>pages/VIS-EGKR-BIO-W25-TASK-953-P004.png</x:v>
      </x:c>
      <x:c r="O301" s="87" t="str">
        <x:v>thumbnails/VIS-EGKR-BIO-W25-TASK-953-P004.jpg</x:v>
      </x:c>
      <x:c r="P301" s="87" t="str">
        <x:v>380fdad667fcdb4adbc9bc4553e96bfee12a75a3e86fdcd00910c8640f5f761c</x:v>
      </x:c>
      <x:c r="Q301" s="30" t="str">
        <x:v>incoming/raw/recovery-drop-01/biology_egkr_winter_visual_assets_v093.zip!/pages/VIS-EGKR-BIO-W25-TASK-953-P004.png</x:v>
      </x:c>
      <x:c r="R301" s="30" t="str">
        <x:v>MATCHED_ASSET</x:v>
      </x:c>
      <x:c r="S301" t="e">
        <x:f>HYPERLINK("visual_gallery/index.html#"&amp;A301,"Галерея")</x:f>
      </x:c>
    </x:row>
    <x:row r="302">
      <x:c r="A302" s="87" t="str">
        <x:v>VIS-EGKR-BIO-W25-TASK-953-P005</x:v>
      </x:c>
      <x:c r="B302" s="30" t="str">
        <x:v>Биология</x:v>
      </x:c>
      <x:c r="C302" s="30"/>
      <x:c r="D302" s="30" t="str">
        <x:v>953</x:v>
      </x:c>
      <x:c r="E302" s="87" t="str">
        <x:v>TASK</x:v>
      </x:c>
      <x:c r="F302" s="30" t="str">
        <x:v>953 биология.pdf</x:v>
      </x:c>
      <x:c r="G302" s="87" t="str">
        <x:v>5</x:v>
      </x:c>
      <x:c r="H302" s="87" t="str">
        <x:v>v0.93</x:v>
      </x:c>
      <x:c r="I302" s="87" t="str">
        <x:v>2</x:v>
      </x:c>
      <x:c r="J302" s="30" t="str">
        <x:v>VIS_ID</x:v>
      </x:c>
      <x:c r="K302" s="30" t="str">
        <x:v>EGKR-W25-BIO-953-09, EGKR-W25-BIO-953-10</x:v>
      </x:c>
      <x:c r="L302" s="87" t="str">
        <x:v>CROP_VERIFIED</x:v>
      </x:c>
      <x:c r="M302" s="87" t="str">
        <x:v>ORIGINAL_PACKAGE</x:v>
      </x:c>
      <x:c r="N302" s="87" t="str">
        <x:v>pages/VIS-EGKR-BIO-W25-TASK-953-P005.png</x:v>
      </x:c>
      <x:c r="O302" s="87" t="str">
        <x:v>thumbnails/VIS-EGKR-BIO-W25-TASK-953-P005.jpg</x:v>
      </x:c>
      <x:c r="P302" s="87" t="str">
        <x:v>7d903fbc112db2ef355d690d813765d19141e13d91ca13fd51871bd789ea60ff</x:v>
      </x:c>
      <x:c r="Q302" s="30" t="str">
        <x:v>incoming/raw/recovery-drop-01/biology_egkr_winter_visual_assets_v093.zip!/pages/VIS-EGKR-BIO-W25-TASK-953-P005.png</x:v>
      </x:c>
      <x:c r="R302" s="30" t="str">
        <x:v>MATCHED_ASSET</x:v>
      </x:c>
      <x:c r="S302" t="e">
        <x:f>HYPERLINK("visual_gallery/index.html#"&amp;A302,"Галерея")</x:f>
      </x:c>
    </x:row>
    <x:row r="303">
      <x:c r="A303" s="87" t="str">
        <x:v>VIS-EGKR-BIO-W25-TASK-953-P006</x:v>
      </x:c>
      <x:c r="B303" s="30" t="str">
        <x:v>Биология</x:v>
      </x:c>
      <x:c r="C303" s="30"/>
      <x:c r="D303" s="30" t="str">
        <x:v>953</x:v>
      </x:c>
      <x:c r="E303" s="87" t="str">
        <x:v>TASK</x:v>
      </x:c>
      <x:c r="F303" s="30" t="str">
        <x:v>953 биология.pdf</x:v>
      </x:c>
      <x:c r="G303" s="87" t="str">
        <x:v>6</x:v>
      </x:c>
      <x:c r="H303" s="87" t="str">
        <x:v>v0.93</x:v>
      </x:c>
      <x:c r="I303" s="87" t="str">
        <x:v>2</x:v>
      </x:c>
      <x:c r="J303" s="30" t="str">
        <x:v>VIS_ID</x:v>
      </x:c>
      <x:c r="K303" s="30" t="str">
        <x:v>EGKR-W25-BIO-953-11, EGKR-W25-BIO-953-12</x:v>
      </x:c>
      <x:c r="L303" s="87" t="str">
        <x:v>CROP_VERIFIED</x:v>
      </x:c>
      <x:c r="M303" s="87" t="str">
        <x:v>ORIGINAL_PACKAGE</x:v>
      </x:c>
      <x:c r="N303" s="87" t="str">
        <x:v>pages/VIS-EGKR-BIO-W25-TASK-953-P006.png</x:v>
      </x:c>
      <x:c r="O303" s="87" t="str">
        <x:v>thumbnails/VIS-EGKR-BIO-W25-TASK-953-P006.jpg</x:v>
      </x:c>
      <x:c r="P303" s="87" t="str">
        <x:v>245bbab19fd4b87537a6259b7290ebc271ec4fcabcfd380b5f022ad49bb53eed</x:v>
      </x:c>
      <x:c r="Q303" s="30" t="str">
        <x:v>incoming/raw/recovery-drop-01/biology_egkr_winter_visual_assets_v093.zip!/pages/VIS-EGKR-BIO-W25-TASK-953-P006.png</x:v>
      </x:c>
      <x:c r="R303" s="30" t="str">
        <x:v>MATCHED_ASSET</x:v>
      </x:c>
      <x:c r="S303" t="e">
        <x:f>HYPERLINK("visual_gallery/index.html#"&amp;A303,"Галерея")</x:f>
      </x:c>
    </x:row>
    <x:row r="304">
      <x:c r="A304" s="87" t="str">
        <x:v>VIS-EGKR-BIO-W25-TASK-953-P007</x:v>
      </x:c>
      <x:c r="B304" s="30" t="str">
        <x:v>Биология</x:v>
      </x:c>
      <x:c r="C304" s="30"/>
      <x:c r="D304" s="30" t="str">
        <x:v>953</x:v>
      </x:c>
      <x:c r="E304" s="87" t="str">
        <x:v>TASK</x:v>
      </x:c>
      <x:c r="F304" s="30" t="str">
        <x:v>953 биология.pdf</x:v>
      </x:c>
      <x:c r="G304" s="87" t="str">
        <x:v>7</x:v>
      </x:c>
      <x:c r="H304" s="87" t="str">
        <x:v>v0.93</x:v>
      </x:c>
      <x:c r="I304" s="87" t="str">
        <x:v>2</x:v>
      </x:c>
      <x:c r="J304" s="30" t="str">
        <x:v>VIS_ID</x:v>
      </x:c>
      <x:c r="K304" s="30" t="str">
        <x:v>EGKR-W25-BIO-953-13, EGKR-W25-BIO-953-14</x:v>
      </x:c>
      <x:c r="L304" s="87" t="str">
        <x:v>CROP_VERIFIED</x:v>
      </x:c>
      <x:c r="M304" s="87" t="str">
        <x:v>ORIGINAL_PACKAGE</x:v>
      </x:c>
      <x:c r="N304" s="87" t="str">
        <x:v>pages/VIS-EGKR-BIO-W25-TASK-953-P007.png</x:v>
      </x:c>
      <x:c r="O304" s="87" t="str">
        <x:v>thumbnails/VIS-EGKR-BIO-W25-TASK-953-P007.jpg</x:v>
      </x:c>
      <x:c r="P304" s="87" t="str">
        <x:v>5638157422a03cfa8f1d2a704a6412c817d4d5f623e74f5e6fe2b89e1041cf9f</x:v>
      </x:c>
      <x:c r="Q304" s="30" t="str">
        <x:v>incoming/raw/recovery-drop-01/biology_egkr_winter_visual_assets_v093.zip!/pages/VIS-EGKR-BIO-W25-TASK-953-P007.png</x:v>
      </x:c>
      <x:c r="R304" s="30" t="str">
        <x:v>MATCHED_ASSET</x:v>
      </x:c>
      <x:c r="S304" t="e">
        <x:f>HYPERLINK("visual_gallery/index.html#"&amp;A304,"Галерея")</x:f>
      </x:c>
    </x:row>
    <x:row r="305">
      <x:c r="A305" s="87" t="str">
        <x:v>VIS-EGKR-BIO-W25-TASK-953-P008</x:v>
      </x:c>
      <x:c r="B305" s="30" t="str">
        <x:v>Биология</x:v>
      </x:c>
      <x:c r="C305" s="30"/>
      <x:c r="D305" s="30" t="str">
        <x:v>953</x:v>
      </x:c>
      <x:c r="E305" s="87" t="str">
        <x:v>TASK</x:v>
      </x:c>
      <x:c r="F305" s="30" t="str">
        <x:v>953 биология.pdf</x:v>
      </x:c>
      <x:c r="G305" s="87" t="str">
        <x:v>8</x:v>
      </x:c>
      <x:c r="H305" s="87" t="str">
        <x:v>v0.93</x:v>
      </x:c>
      <x:c r="I305" s="87" t="str">
        <x:v>2</x:v>
      </x:c>
      <x:c r="J305" s="30" t="str">
        <x:v>VIS_ID</x:v>
      </x:c>
      <x:c r="K305" s="30" t="str">
        <x:v>EGKR-W25-BIO-953-15, EGKR-W25-BIO-953-16</x:v>
      </x:c>
      <x:c r="L305" s="87" t="str">
        <x:v>CROP_VERIFIED</x:v>
      </x:c>
      <x:c r="M305" s="87" t="str">
        <x:v>ORIGINAL_PACKAGE</x:v>
      </x:c>
      <x:c r="N305" s="87" t="str">
        <x:v>pages/VIS-EGKR-BIO-W25-TASK-953-P008.png</x:v>
      </x:c>
      <x:c r="O305" s="87" t="str">
        <x:v>thumbnails/VIS-EGKR-BIO-W25-TASK-953-P008.jpg</x:v>
      </x:c>
      <x:c r="P305" s="87" t="str">
        <x:v>5b52b28a026e290206032f6a68434dba38ffb7e9b99fad913d58f20de0bb0fff</x:v>
      </x:c>
      <x:c r="Q305" s="30" t="str">
        <x:v>incoming/raw/recovery-drop-01/biology_egkr_winter_visual_assets_v093.zip!/pages/VIS-EGKR-BIO-W25-TASK-953-P008.png</x:v>
      </x:c>
      <x:c r="R305" s="30" t="str">
        <x:v>MATCHED_ASSET</x:v>
      </x:c>
      <x:c r="S305" t="e">
        <x:f>HYPERLINK("visual_gallery/index.html#"&amp;A305,"Галерея")</x:f>
      </x:c>
    </x:row>
    <x:row r="306">
      <x:c r="A306" s="87" t="str">
        <x:v>VIS-EGKR-BIO-W25-TASK-953-P009</x:v>
      </x:c>
      <x:c r="B306" s="30" t="str">
        <x:v>Биология</x:v>
      </x:c>
      <x:c r="C306" s="30"/>
      <x:c r="D306" s="30" t="str">
        <x:v>953</x:v>
      </x:c>
      <x:c r="E306" s="87" t="str">
        <x:v>TASK</x:v>
      </x:c>
      <x:c r="F306" s="30" t="str">
        <x:v>953 биология.pdf</x:v>
      </x:c>
      <x:c r="G306" s="87" t="str">
        <x:v>9</x:v>
      </x:c>
      <x:c r="H306" s="87" t="str">
        <x:v>v0.93</x:v>
      </x:c>
      <x:c r="I306" s="87" t="str">
        <x:v>2</x:v>
      </x:c>
      <x:c r="J306" s="30" t="str">
        <x:v>VIS_ID</x:v>
      </x:c>
      <x:c r="K306" s="30" t="str">
        <x:v>EGKR-W25-BIO-953-17, EGKR-W25-BIO-953-18</x:v>
      </x:c>
      <x:c r="L306" s="87" t="str">
        <x:v>CROP_VERIFIED</x:v>
      </x:c>
      <x:c r="M306" s="87" t="str">
        <x:v>ORIGINAL_PACKAGE</x:v>
      </x:c>
      <x:c r="N306" s="87" t="str">
        <x:v>pages/VIS-EGKR-BIO-W25-TASK-953-P009.png</x:v>
      </x:c>
      <x:c r="O306" s="87" t="str">
        <x:v>thumbnails/VIS-EGKR-BIO-W25-TASK-953-P009.jpg</x:v>
      </x:c>
      <x:c r="P306" s="87" t="str">
        <x:v>2c9dcc1c2f02e122d01564185175ad8d31c5c019fede8702a5e3f05e4d222952</x:v>
      </x:c>
      <x:c r="Q306" s="30" t="str">
        <x:v>incoming/raw/recovery-drop-01/biology_egkr_winter_visual_assets_v093.zip!/pages/VIS-EGKR-BIO-W25-TASK-953-P009.png</x:v>
      </x:c>
      <x:c r="R306" s="30" t="str">
        <x:v>MATCHED_ASSET</x:v>
      </x:c>
      <x:c r="S306" t="e">
        <x:f>HYPERLINK("visual_gallery/index.html#"&amp;A306,"Галерея")</x:f>
      </x:c>
    </x:row>
    <x:row r="307">
      <x:c r="A307" s="87" t="str">
        <x:v>VIS-EGKR-BIO-W25-TASK-953-P010</x:v>
      </x:c>
      <x:c r="B307" s="30" t="str">
        <x:v>Биология</x:v>
      </x:c>
      <x:c r="C307" s="30"/>
      <x:c r="D307" s="30" t="str">
        <x:v>953</x:v>
      </x:c>
      <x:c r="E307" s="87" t="str">
        <x:v>TASK</x:v>
      </x:c>
      <x:c r="F307" s="30" t="str">
        <x:v>953 биология.pdf</x:v>
      </x:c>
      <x:c r="G307" s="87" t="str">
        <x:v>10</x:v>
      </x:c>
      <x:c r="H307" s="87" t="str">
        <x:v>v0.93</x:v>
      </x:c>
      <x:c r="I307" s="87" t="str">
        <x:v>2</x:v>
      </x:c>
      <x:c r="J307" s="30" t="str">
        <x:v>VIS_ID</x:v>
      </x:c>
      <x:c r="K307" s="30" t="str">
        <x:v>EGKR-W25-BIO-953-19, EGKR-W25-BIO-953-20</x:v>
      </x:c>
      <x:c r="L307" s="87" t="str">
        <x:v>CROP_VERIFIED</x:v>
      </x:c>
      <x:c r="M307" s="87" t="str">
        <x:v>ORIGINAL_PACKAGE</x:v>
      </x:c>
      <x:c r="N307" s="87" t="str">
        <x:v>pages/VIS-EGKR-BIO-W25-TASK-953-P010.png</x:v>
      </x:c>
      <x:c r="O307" s="87" t="str">
        <x:v>thumbnails/VIS-EGKR-BIO-W25-TASK-953-P010.jpg</x:v>
      </x:c>
      <x:c r="P307" s="87" t="str">
        <x:v>9a93b1e217d4f202afbfb1a05821e4566997514f70fe0d9b933cc87d1cc7b9a6</x:v>
      </x:c>
      <x:c r="Q307" s="30" t="str">
        <x:v>incoming/raw/recovery-drop-01/biology_egkr_winter_visual_assets_v093.zip!/pages/VIS-EGKR-BIO-W25-TASK-953-P010.png</x:v>
      </x:c>
      <x:c r="R307" s="30" t="str">
        <x:v>MATCHED_ASSET</x:v>
      </x:c>
      <x:c r="S307" t="e">
        <x:f>HYPERLINK("visual_gallery/index.html#"&amp;A307,"Галерея")</x:f>
      </x:c>
    </x:row>
    <x:row r="308">
      <x:c r="A308" s="87" t="str">
        <x:v>VIS-EGKR-BIO-W25-TASK-953-P011</x:v>
      </x:c>
      <x:c r="B308" s="30" t="str">
        <x:v>Биология</x:v>
      </x:c>
      <x:c r="C308" s="30"/>
      <x:c r="D308" s="30" t="str">
        <x:v>953</x:v>
      </x:c>
      <x:c r="E308" s="87" t="str">
        <x:v>TASK</x:v>
      </x:c>
      <x:c r="F308" s="30" t="str">
        <x:v>953 биология.pdf</x:v>
      </x:c>
      <x:c r="G308" s="87" t="str">
        <x:v>11</x:v>
      </x:c>
      <x:c r="H308" s="87" t="str">
        <x:v>v0.93</x:v>
      </x:c>
      <x:c r="I308" s="87" t="str">
        <x:v>1</x:v>
      </x:c>
      <x:c r="J308" s="30" t="str">
        <x:v>VIS_ID</x:v>
      </x:c>
      <x:c r="K308" s="30" t="str">
        <x:v>EGKR-W25-BIO-953-21</x:v>
      </x:c>
      <x:c r="L308" s="87" t="str">
        <x:v>CROP_VERIFIED</x:v>
      </x:c>
      <x:c r="M308" s="87" t="str">
        <x:v>ORIGINAL_PACKAGE</x:v>
      </x:c>
      <x:c r="N308" s="87" t="str">
        <x:v>pages/VIS-EGKR-BIO-W25-TASK-953-P011.png</x:v>
      </x:c>
      <x:c r="O308" s="87" t="str">
        <x:v>thumbnails/VIS-EGKR-BIO-W25-TASK-953-P011.jpg</x:v>
      </x:c>
      <x:c r="P308" s="87" t="str">
        <x:v>26dd0d918d9da559ec9d31b6a786d1a15df3c716ffec401e8040e8af188778b6</x:v>
      </x:c>
      <x:c r="Q308" s="30" t="str">
        <x:v>incoming/raw/recovery-drop-01/biology_egkr_winter_visual_assets_v093.zip!/pages/VIS-EGKR-BIO-W25-TASK-953-P011.png</x:v>
      </x:c>
      <x:c r="R308" s="30" t="str">
        <x:v>MATCHED_ASSET</x:v>
      </x:c>
      <x:c r="S308" t="e">
        <x:f>HYPERLINK("visual_gallery/index.html#"&amp;A308,"Галерея")</x:f>
      </x:c>
    </x:row>
    <x:row r="309">
      <x:c r="A309" s="87" t="str">
        <x:v>VIS-EGKR-BIO-W25-TASK-953-P012</x:v>
      </x:c>
      <x:c r="B309" s="30" t="str">
        <x:v>Биология</x:v>
      </x:c>
      <x:c r="C309" s="30"/>
      <x:c r="D309" s="30" t="str">
        <x:v>953</x:v>
      </x:c>
      <x:c r="E309" s="87" t="str">
        <x:v>TASK</x:v>
      </x:c>
      <x:c r="F309" s="30" t="str">
        <x:v>953 биология.pdf</x:v>
      </x:c>
      <x:c r="G309" s="87" t="str">
        <x:v>12</x:v>
      </x:c>
      <x:c r="H309" s="87" t="str">
        <x:v>v0.93</x:v>
      </x:c>
      <x:c r="I309" s="87" t="str">
        <x:v>5</x:v>
      </x:c>
      <x:c r="J309" s="30" t="str">
        <x:v>VIS_ID</x:v>
      </x:c>
      <x:c r="K309" s="30" t="str">
        <x:v>EGKR-W25-BIO-953-22, EGKR-W25-BIO-953-23, EGKR-W25-BIO-953-24, EGKR-W25-BIO-953-25, EGKR-W25-BIO-953-26</x:v>
      </x:c>
      <x:c r="L309" s="87" t="str">
        <x:v>CROP_VERIFIED</x:v>
      </x:c>
      <x:c r="M309" s="87" t="str">
        <x:v>ORIGINAL_PACKAGE</x:v>
      </x:c>
      <x:c r="N309" s="87" t="str">
        <x:v>pages/VIS-EGKR-BIO-W25-TASK-953-P012.png</x:v>
      </x:c>
      <x:c r="O309" s="87" t="str">
        <x:v>thumbnails/VIS-EGKR-BIO-W25-TASK-953-P012.jpg</x:v>
      </x:c>
      <x:c r="P309" s="87" t="str">
        <x:v>60130e0b8e2c78e24f74eb668720ce4517d740432cf54732b7f53df4530a7df9</x:v>
      </x:c>
      <x:c r="Q309" s="30" t="str">
        <x:v>incoming/raw/recovery-drop-01/biology_egkr_winter_visual_assets_v093.zip!/pages/VIS-EGKR-BIO-W25-TASK-953-P012.png</x:v>
      </x:c>
      <x:c r="R309" s="30" t="str">
        <x:v>MATCHED_ASSET</x:v>
      </x:c>
      <x:c r="S309" t="e">
        <x:f>HYPERLINK("visual_gallery/index.html#"&amp;A309,"Галерея")</x:f>
      </x:c>
    </x:row>
    <x:row r="310">
      <x:c r="A310" s="87" t="str">
        <x:v>VIS-EGKR-BIO-W25-TASK-953-P013</x:v>
      </x:c>
      <x:c r="B310" s="30" t="str">
        <x:v>Биология</x:v>
      </x:c>
      <x:c r="C310" s="30"/>
      <x:c r="D310" s="30" t="str">
        <x:v>953</x:v>
      </x:c>
      <x:c r="E310" s="87" t="str">
        <x:v>TASK</x:v>
      </x:c>
      <x:c r="F310" s="30" t="str">
        <x:v>953 биология.pdf</x:v>
      </x:c>
      <x:c r="G310" s="87" t="str">
        <x:v>13</x:v>
      </x:c>
      <x:c r="H310" s="87" t="str">
        <x:v>v0.93</x:v>
      </x:c>
      <x:c r="I310" s="87" t="str">
        <x:v>1</x:v>
      </x:c>
      <x:c r="J310" s="30" t="str">
        <x:v>VIS_ID</x:v>
      </x:c>
      <x:c r="K310" s="30" t="str">
        <x:v>EGKR-W25-BIO-953-27</x:v>
      </x:c>
      <x:c r="L310" s="87" t="str">
        <x:v>CROP_VERIFIED</x:v>
      </x:c>
      <x:c r="M310" s="87" t="str">
        <x:v>ORIGINAL_PACKAGE</x:v>
      </x:c>
      <x:c r="N310" s="87" t="str">
        <x:v>pages/VIS-EGKR-BIO-W25-TASK-953-P013.png</x:v>
      </x:c>
      <x:c r="O310" s="87" t="str">
        <x:v>thumbnails/VIS-EGKR-BIO-W25-TASK-953-P013.jpg</x:v>
      </x:c>
      <x:c r="P310" s="87" t="str">
        <x:v>53df1f530cbac63c8d4ffc4c1d844de7a9e5f44a5338485eb35dd8542ef16ab1</x:v>
      </x:c>
      <x:c r="Q310" s="30" t="str">
        <x:v>incoming/raw/recovery-drop-01/biology_egkr_winter_visual_assets_v093.zip!/pages/VIS-EGKR-BIO-W25-TASK-953-P013.png</x:v>
      </x:c>
      <x:c r="R310" s="30" t="str">
        <x:v>MATCHED_ASSET</x:v>
      </x:c>
      <x:c r="S310" t="e">
        <x:f>HYPERLINK("visual_gallery/index.html#"&amp;A310,"Галерея")</x:f>
      </x:c>
    </x:row>
    <x:row r="311">
      <x:c r="A311" s="87" t="str">
        <x:v>VIS-EGKR-BIO-W25-TASK-953-P014</x:v>
      </x:c>
      <x:c r="B311" s="30" t="str">
        <x:v>Биология</x:v>
      </x:c>
      <x:c r="C311" s="30"/>
      <x:c r="D311" s="30" t="str">
        <x:v>953</x:v>
      </x:c>
      <x:c r="E311" s="87" t="str">
        <x:v>TASK</x:v>
      </x:c>
      <x:c r="F311" s="30" t="str">
        <x:v>953 биология.pdf</x:v>
      </x:c>
      <x:c r="G311" s="87" t="str">
        <x:v>14</x:v>
      </x:c>
      <x:c r="H311" s="87" t="str">
        <x:v>v0.93</x:v>
      </x:c>
      <x:c r="I311" s="87" t="str">
        <x:v>1</x:v>
      </x:c>
      <x:c r="J311" s="30" t="str">
        <x:v>VIS_ID</x:v>
      </x:c>
      <x:c r="K311" s="30" t="str">
        <x:v>EGKR-W25-BIO-953-28</x:v>
      </x:c>
      <x:c r="L311" s="87" t="str">
        <x:v>CROP_VERIFIED</x:v>
      </x:c>
      <x:c r="M311" s="87" t="str">
        <x:v>ORIGINAL_PACKAGE</x:v>
      </x:c>
      <x:c r="N311" s="87" t="str">
        <x:v>pages/VIS-EGKR-BIO-W25-TASK-953-P014.png</x:v>
      </x:c>
      <x:c r="O311" s="87" t="str">
        <x:v>thumbnails/VIS-EGKR-BIO-W25-TASK-953-P014.jpg</x:v>
      </x:c>
      <x:c r="P311" s="87" t="str">
        <x:v>2ca4761537205ab163555a43b3cccb8950a779d80c2d140c9ad10cff17732f0c</x:v>
      </x:c>
      <x:c r="Q311" s="30" t="str">
        <x:v>incoming/raw/recovery-drop-01/biology_egkr_winter_visual_assets_v093.zip!/pages/VIS-EGKR-BIO-W25-TASK-953-P014.png</x:v>
      </x:c>
      <x:c r="R311" s="30" t="str">
        <x:v>MATCHED_ASSET</x:v>
      </x:c>
      <x:c r="S311" t="e">
        <x:f>HYPERLINK("visual_gallery/index.html#"&amp;A311,"Галерея")</x:f>
      </x:c>
    </x:row>
    <x:row r="312">
      <x:c r="A312" s="87" t="str">
        <x:v>VIS-EGKR-CHEM-S26-ANSWERDOC-P001</x:v>
      </x:c>
      <x:c r="B312" s="30" t="str">
        <x:v>Химия</x:v>
      </x:c>
      <x:c r="C312" s="30"/>
      <x:c r="D312" s="30" t="str">
        <x:v>954–956</x:v>
      </x:c>
      <x:c r="E312" s="87" t="str">
        <x:v>SECONDARY_ANSWER_SOURCE</x:v>
      </x:c>
      <x:c r="F312" s="30" t="str">
        <x:v>Ответы химия.docx</x:v>
      </x:c>
      <x:c r="G312" s="87" t="str">
        <x:v>1</x:v>
      </x:c>
      <x:c r="H312" s="87" t="str">
        <x:v>v1.08</x:v>
      </x:c>
      <x:c r="I312" s="87" t="str">
        <x:v>28</x:v>
      </x:c>
      <x:c r="J312" s="30" t="str">
        <x:v>VIS_KEY / MODEL</x:v>
      </x:c>
      <x:c r="K312" s="30" t="str">
        <x:v>EGKR-S26-CHEM-954-01, EGKR-S26-CHEM-954-02, EGKR-S26-CHEM-954-03, EGKR-S26-CHEM-954-04, EGKR-S26-CHEM-954-05, EGKR-S26-CHEM-954-06, EGKR-S26-CHEM-954-07, EGKR-S26-CHEM-954-08…</x:v>
      </x:c>
      <x:c r="L312" s="87" t="str">
        <x:v>CROP_VERIFIED</x:v>
      </x:c>
      <x:c r="M312" s="87" t="str">
        <x:v>ORIGINAL_PACKAGE</x:v>
      </x:c>
      <x:c r="N312" s="87" t="str">
        <x:v>pages/VIS-EGKR-CHEM-S26-ANSWERDOC-P001.png</x:v>
      </x:c>
      <x:c r="O312" s="87" t="str">
        <x:v>thumbnails/VIS-EGKR-CHEM-S26-ANSWERDOC-P001.jpg</x:v>
      </x:c>
      <x:c r="P312" s="87" t="str">
        <x:v>5f0d903a229524bf73ba9ba682edecc0c5a3a3ed0838faf6f1939f1d0981dc8c</x:v>
      </x:c>
      <x:c r="Q312" s="30" t="str">
        <x:v>incoming/raw/recovery-drop-01/chemistry_egkr_spring_visual_assets_v108.zip!/pages/VIS-EGKR-CHEM-S26-ANSWERDOC-P001.png</x:v>
      </x:c>
      <x:c r="R312" s="30" t="str">
        <x:v>MATCHED_ASSET</x:v>
      </x:c>
      <x:c r="S312" t="e">
        <x:f>HYPERLINK("visual_gallery/index.html#"&amp;A312,"Галерея")</x:f>
      </x:c>
    </x:row>
    <x:row r="313">
      <x:c r="A313" s="87" t="str">
        <x:v>VIS-EGKR-CHEM-S26-ANSWERDOC-P002</x:v>
      </x:c>
      <x:c r="B313" s="30" t="str">
        <x:v>Химия</x:v>
      </x:c>
      <x:c r="C313" s="30"/>
      <x:c r="D313" s="30" t="str">
        <x:v>954–956</x:v>
      </x:c>
      <x:c r="E313" s="87" t="str">
        <x:v>SECONDARY_ANSWER_SOURCE</x:v>
      </x:c>
      <x:c r="F313" s="30" t="str">
        <x:v>Ответы химия.docx</x:v>
      </x:c>
      <x:c r="G313" s="87" t="str">
        <x:v>2</x:v>
      </x:c>
      <x:c r="H313" s="87" t="str">
        <x:v>v1.08</x:v>
      </x:c>
      <x:c r="I313" s="87" t="str">
        <x:v>28</x:v>
      </x:c>
      <x:c r="J313" s="30" t="str">
        <x:v>VIS_KEY / MODEL</x:v>
      </x:c>
      <x:c r="K313" s="30" t="str">
        <x:v>EGKR-S26-CHEM-955-01, EGKR-S26-CHEM-955-02, EGKR-S26-CHEM-955-03, EGKR-S26-CHEM-955-04, EGKR-S26-CHEM-955-05, EGKR-S26-CHEM-955-06, EGKR-S26-CHEM-955-07, EGKR-S26-CHEM-955-08…</x:v>
      </x:c>
      <x:c r="L313" s="87" t="str">
        <x:v>CROP_VERIFIED</x:v>
      </x:c>
      <x:c r="M313" s="87" t="str">
        <x:v>ORIGINAL_PACKAGE</x:v>
      </x:c>
      <x:c r="N313" s="87" t="str">
        <x:v>pages/VIS-EGKR-CHEM-S26-ANSWERDOC-P002.png</x:v>
      </x:c>
      <x:c r="O313" s="87" t="str">
        <x:v>thumbnails/VIS-EGKR-CHEM-S26-ANSWERDOC-P002.jpg</x:v>
      </x:c>
      <x:c r="P313" s="87" t="str">
        <x:v>4faad9d4b01c9dc4dc5527d657b5b2cd7d0769c4bffa23637913502148ee99ce</x:v>
      </x:c>
      <x:c r="Q313" s="30" t="str">
        <x:v>incoming/raw/recovery-drop-01/chemistry_egkr_spring_visual_assets_v108.zip!/pages/VIS-EGKR-CHEM-S26-ANSWERDOC-P002.png</x:v>
      </x:c>
      <x:c r="R313" s="30" t="str">
        <x:v>MATCHED_ASSET</x:v>
      </x:c>
      <x:c r="S313" t="e">
        <x:f>HYPERLINK("visual_gallery/index.html#"&amp;A313,"Галерея")</x:f>
      </x:c>
    </x:row>
    <x:row r="314">
      <x:c r="A314" s="87" t="str">
        <x:v>VIS-EGKR-CHEM-S26-ANSWERDOC-P003</x:v>
      </x:c>
      <x:c r="B314" s="30" t="str">
        <x:v>Химия</x:v>
      </x:c>
      <x:c r="C314" s="30"/>
      <x:c r="D314" s="30" t="str">
        <x:v>954–956</x:v>
      </x:c>
      <x:c r="E314" s="87" t="str">
        <x:v>SECONDARY_ANSWER_SOURCE</x:v>
      </x:c>
      <x:c r="F314" s="30" t="str">
        <x:v>Ответы химия.docx</x:v>
      </x:c>
      <x:c r="G314" s="87" t="str">
        <x:v>3</x:v>
      </x:c>
      <x:c r="H314" s="87" t="str">
        <x:v>v1.08</x:v>
      </x:c>
      <x:c r="I314" s="87" t="str">
        <x:v>28</x:v>
      </x:c>
      <x:c r="J314" s="30" t="str">
        <x:v>VIS_KEY / MODEL</x:v>
      </x:c>
      <x:c r="K314" s="30" t="str">
        <x:v>EGKR-S26-CHEM-956-01, EGKR-S26-CHEM-956-02, EGKR-S26-CHEM-956-03, EGKR-S26-CHEM-956-04, EGKR-S26-CHEM-956-05, EGKR-S26-CHEM-956-06, EGKR-S26-CHEM-956-07, EGKR-S26-CHEM-956-08…</x:v>
      </x:c>
      <x:c r="L314" s="87" t="str">
        <x:v>CROP_VERIFIED</x:v>
      </x:c>
      <x:c r="M314" s="87" t="str">
        <x:v>ORIGINAL_PACKAGE</x:v>
      </x:c>
      <x:c r="N314" s="87" t="str">
        <x:v>pages/VIS-EGKR-CHEM-S26-ANSWERDOC-P003.png</x:v>
      </x:c>
      <x:c r="O314" s="87" t="str">
        <x:v>thumbnails/VIS-EGKR-CHEM-S26-ANSWERDOC-P003.jpg</x:v>
      </x:c>
      <x:c r="P314" s="87" t="str">
        <x:v>5c220d582911089e84e90a97f62bb81608b018e0dc5cc07ea75797e1e70fdeac</x:v>
      </x:c>
      <x:c r="Q314" s="30" t="str">
        <x:v>incoming/raw/recovery-drop-01/chemistry_egkr_spring_visual_assets_v108.zip!/pages/VIS-EGKR-CHEM-S26-ANSWERDOC-P003.png</x:v>
      </x:c>
      <x:c r="R314" s="30" t="str">
        <x:v>MATCHED_ASSET</x:v>
      </x:c>
      <x:c r="S314" t="e">
        <x:f>HYPERLINK("visual_gallery/index.html#"&amp;A314,"Галерея")</x:f>
      </x:c>
    </x:row>
    <x:row r="315">
      <x:c r="A315" s="87" t="str">
        <x:v>VIS-EGKR-CHEM-S26-TASK-954-P001</x:v>
      </x:c>
      <x:c r="B315" s="30" t="str">
        <x:v>Химия</x:v>
      </x:c>
      <x:c r="C315" s="30"/>
      <x:c r="D315" s="30" t="str">
        <x:v>954</x:v>
      </x:c>
      <x:c r="E315" s="87" t="str">
        <x:v>TASK_SPREAD</x:v>
      </x:c>
      <x:c r="F315" s="30" t="str">
        <x:v>ЕГКР химия. Вариант 954.pdf</x:v>
      </x:c>
      <x:c r="G315" s="87" t="str">
        <x:v>1</x:v>
      </x:c>
      <x:c r="H315" s="87" t="str">
        <x:v>v1.08</x:v>
      </x:c>
      <x:c r="I315" s="87" t="str">
        <x:v>3</x:v>
      </x:c>
      <x:c r="J315" s="30" t="str">
        <x:v>VIS_ID</x:v>
      </x:c>
      <x:c r="K315" s="30" t="str">
        <x:v>EGKR-S26-CHEM-954-01, EGKR-S26-CHEM-954-02, EGKR-S26-CHEM-954-03</x:v>
      </x:c>
      <x:c r="L315" s="87" t="str">
        <x:v>CROP_VERIFIED</x:v>
      </x:c>
      <x:c r="M315" s="87" t="str">
        <x:v>ORIGINAL_PACKAGE</x:v>
      </x:c>
      <x:c r="N315" s="87" t="str">
        <x:v>pages/VIS-EGKR-CHEM-S26-TASK-954-P001.png</x:v>
      </x:c>
      <x:c r="O315" s="87" t="str">
        <x:v>thumbnails/VIS-EGKR-CHEM-S26-TASK-954-P001.jpg</x:v>
      </x:c>
      <x:c r="P315" s="87" t="str">
        <x:v>933d57af95a0b5bf53ecf95426322d398a55561de0361261a1131d242f0ef6d3</x:v>
      </x:c>
      <x:c r="Q315" s="30" t="str">
        <x:v>incoming/raw/recovery-drop-01/chemistry_egkr_spring_visual_assets_v108.zip!/pages/VIS-EGKR-CHEM-S26-TASK-954-P001.png</x:v>
      </x:c>
      <x:c r="R315" s="30" t="str">
        <x:v>MATCHED_ASSET</x:v>
      </x:c>
      <x:c r="S315" t="e">
        <x:f>HYPERLINK("visual_gallery/index.html#"&amp;A315,"Галерея")</x:f>
      </x:c>
    </x:row>
    <x:row r="316">
      <x:c r="A316" s="87" t="str">
        <x:v>VIS-EGKR-CHEM-S26-TASK-954-P002</x:v>
      </x:c>
      <x:c r="B316" s="30" t="str">
        <x:v>Химия</x:v>
      </x:c>
      <x:c r="C316" s="30"/>
      <x:c r="D316" s="30" t="str">
        <x:v>954</x:v>
      </x:c>
      <x:c r="E316" s="87" t="str">
        <x:v>TASK_SPREAD</x:v>
      </x:c>
      <x:c r="F316" s="30" t="str">
        <x:v>ЕГКР химия. Вариант 954.pdf</x:v>
      </x:c>
      <x:c r="G316" s="87" t="str">
        <x:v>2</x:v>
      </x:c>
      <x:c r="H316" s="87" t="str">
        <x:v>v1.08</x:v>
      </x:c>
      <x:c r="I316" s="87" t="str">
        <x:v>4</x:v>
      </x:c>
      <x:c r="J316" s="30" t="str">
        <x:v>VIS_ID</x:v>
      </x:c>
      <x:c r="K316" s="30" t="str">
        <x:v>EGKR-S26-CHEM-954-04, EGKR-S26-CHEM-954-05, EGKR-S26-CHEM-954-06, EGKR-S26-CHEM-954-07</x:v>
      </x:c>
      <x:c r="L316" s="87" t="str">
        <x:v>CROP_VERIFIED</x:v>
      </x:c>
      <x:c r="M316" s="87" t="str">
        <x:v>ORIGINAL_PACKAGE</x:v>
      </x:c>
      <x:c r="N316" s="87" t="str">
        <x:v>pages/VIS-EGKR-CHEM-S26-TASK-954-P002.png</x:v>
      </x:c>
      <x:c r="O316" s="87" t="str">
        <x:v>thumbnails/VIS-EGKR-CHEM-S26-TASK-954-P002.jpg</x:v>
      </x:c>
      <x:c r="P316" s="87" t="str">
        <x:v>40ce87ffca844fd2e104c91e2f991bc0da3e706b7bde48421a71ff9a3ab7ba20</x:v>
      </x:c>
      <x:c r="Q316" s="30" t="str">
        <x:v>incoming/raw/recovery-drop-01/chemistry_egkr_spring_visual_assets_v108.zip!/pages/VIS-EGKR-CHEM-S26-TASK-954-P002.png</x:v>
      </x:c>
      <x:c r="R316" s="30" t="str">
        <x:v>MATCHED_ASSET</x:v>
      </x:c>
      <x:c r="S316" t="e">
        <x:f>HYPERLINK("visual_gallery/index.html#"&amp;A316,"Галерея")</x:f>
      </x:c>
    </x:row>
    <x:row r="317">
      <x:c r="A317" s="87" t="str">
        <x:v>VIS-EGKR-CHEM-S26-TASK-954-P003</x:v>
      </x:c>
      <x:c r="B317" s="30" t="str">
        <x:v>Химия</x:v>
      </x:c>
      <x:c r="C317" s="30"/>
      <x:c r="D317" s="30" t="str">
        <x:v>954</x:v>
      </x:c>
      <x:c r="E317" s="87" t="str">
        <x:v>TASK_SPREAD</x:v>
      </x:c>
      <x:c r="F317" s="30" t="str">
        <x:v>ЕГКР химия. Вариант 954.pdf</x:v>
      </x:c>
      <x:c r="G317" s="87" t="str">
        <x:v>3</x:v>
      </x:c>
      <x:c r="H317" s="87" t="str">
        <x:v>v1.08</x:v>
      </x:c>
      <x:c r="I317" s="87" t="str">
        <x:v>5</x:v>
      </x:c>
      <x:c r="J317" s="30" t="str">
        <x:v>VIS_ID</x:v>
      </x:c>
      <x:c r="K317" s="30" t="str">
        <x:v>EGKR-S26-CHEM-954-08, EGKR-S26-CHEM-954-09, EGKR-S26-CHEM-954-10, EGKR-S26-CHEM-954-11, EGKR-S26-CHEM-954-12</x:v>
      </x:c>
      <x:c r="L317" s="87" t="str">
        <x:v>CROP_VERIFIED</x:v>
      </x:c>
      <x:c r="M317" s="87" t="str">
        <x:v>ORIGINAL_PACKAGE</x:v>
      </x:c>
      <x:c r="N317" s="87" t="str">
        <x:v>pages/VIS-EGKR-CHEM-S26-TASK-954-P003.png</x:v>
      </x:c>
      <x:c r="O317" s="87" t="str">
        <x:v>thumbnails/VIS-EGKR-CHEM-S26-TASK-954-P003.jpg</x:v>
      </x:c>
      <x:c r="P317" s="87" t="str">
        <x:v>509437a66ec27c6a638198719daeb176c0336527443b2d2bd41d9f2dbe8dc278</x:v>
      </x:c>
      <x:c r="Q317" s="30" t="str">
        <x:v>incoming/raw/recovery-drop-01/chemistry_egkr_spring_visual_assets_v108.zip!/pages/VIS-EGKR-CHEM-S26-TASK-954-P003.png</x:v>
      </x:c>
      <x:c r="R317" s="30" t="str">
        <x:v>MATCHED_ASSET</x:v>
      </x:c>
      <x:c r="S317" t="e">
        <x:f>HYPERLINK("visual_gallery/index.html#"&amp;A317,"Галерея")</x:f>
      </x:c>
    </x:row>
    <x:row r="318">
      <x:c r="A318" s="87" t="str">
        <x:v>VIS-EGKR-CHEM-S26-TASK-954-P004</x:v>
      </x:c>
      <x:c r="B318" s="30" t="str">
        <x:v>Химия</x:v>
      </x:c>
      <x:c r="C318" s="30"/>
      <x:c r="D318" s="30" t="str">
        <x:v>954</x:v>
      </x:c>
      <x:c r="E318" s="87" t="str">
        <x:v>TASK_SPREAD</x:v>
      </x:c>
      <x:c r="F318" s="30" t="str">
        <x:v>ЕГКР химия. Вариант 954.pdf</x:v>
      </x:c>
      <x:c r="G318" s="87" t="str">
        <x:v>4</x:v>
      </x:c>
      <x:c r="H318" s="87" t="str">
        <x:v>v1.08</x:v>
      </x:c>
      <x:c r="I318" s="87" t="str">
        <x:v>4</x:v>
      </x:c>
      <x:c r="J318" s="30" t="str">
        <x:v>VIS_ID</x:v>
      </x:c>
      <x:c r="K318" s="30" t="str">
        <x:v>EGKR-S26-CHEM-954-13, EGKR-S26-CHEM-954-14, EGKR-S26-CHEM-954-15, EGKR-S26-CHEM-954-16</x:v>
      </x:c>
      <x:c r="L318" s="87" t="str">
        <x:v>CROP_VERIFIED</x:v>
      </x:c>
      <x:c r="M318" s="87" t="str">
        <x:v>ORIGINAL_PACKAGE</x:v>
      </x:c>
      <x:c r="N318" s="87" t="str">
        <x:v>pages/VIS-EGKR-CHEM-S26-TASK-954-P004.png</x:v>
      </x:c>
      <x:c r="O318" s="87" t="str">
        <x:v>thumbnails/VIS-EGKR-CHEM-S26-TASK-954-P004.jpg</x:v>
      </x:c>
      <x:c r="P318" s="87" t="str">
        <x:v>4f32a7996c3f937f8f1bdb123070700333c05a11988654112b52d276754a03cc</x:v>
      </x:c>
      <x:c r="Q318" s="30" t="str">
        <x:v>incoming/raw/recovery-drop-01/chemistry_egkr_spring_visual_assets_v108.zip!/pages/VIS-EGKR-CHEM-S26-TASK-954-P004.png</x:v>
      </x:c>
      <x:c r="R318" s="30" t="str">
        <x:v>MATCHED_ASSET</x:v>
      </x:c>
      <x:c r="S318" t="e">
        <x:f>HYPERLINK("visual_gallery/index.html#"&amp;A318,"Галерея")</x:f>
      </x:c>
    </x:row>
    <x:row r="319">
      <x:c r="A319" s="87" t="str">
        <x:v>VIS-EGKR-CHEM-S26-TASK-954-P005</x:v>
      </x:c>
      <x:c r="B319" s="30" t="str">
        <x:v>Химия</x:v>
      </x:c>
      <x:c r="C319" s="30"/>
      <x:c r="D319" s="30" t="str">
        <x:v>954</x:v>
      </x:c>
      <x:c r="E319" s="87" t="str">
        <x:v>TASK_SPREAD</x:v>
      </x:c>
      <x:c r="F319" s="30" t="str">
        <x:v>ЕГКР химия. Вариант 954.pdf</x:v>
      </x:c>
      <x:c r="G319" s="87" t="str">
        <x:v>5</x:v>
      </x:c>
      <x:c r="H319" s="87" t="str">
        <x:v>v1.08</x:v>
      </x:c>
      <x:c r="I319" s="87" t="str">
        <x:v>4</x:v>
      </x:c>
      <x:c r="J319" s="30" t="str">
        <x:v>VIS_ID</x:v>
      </x:c>
      <x:c r="K319" s="30" t="str">
        <x:v>EGKR-S26-CHEM-954-17, EGKR-S26-CHEM-954-18, EGKR-S26-CHEM-954-19, EGKR-S26-CHEM-954-20</x:v>
      </x:c>
      <x:c r="L319" s="87" t="str">
        <x:v>CROP_VERIFIED</x:v>
      </x:c>
      <x:c r="M319" s="87" t="str">
        <x:v>ORIGINAL_PACKAGE</x:v>
      </x:c>
      <x:c r="N319" s="87" t="str">
        <x:v>pages/VIS-EGKR-CHEM-S26-TASK-954-P005.png</x:v>
      </x:c>
      <x:c r="O319" s="87" t="str">
        <x:v>thumbnails/VIS-EGKR-CHEM-S26-TASK-954-P005.jpg</x:v>
      </x:c>
      <x:c r="P319" s="87" t="str">
        <x:v>3438e1eb51cae773c2f6d284fecc9454a28be5a71df56d3f788f46a7fb6cde12</x:v>
      </x:c>
      <x:c r="Q319" s="30" t="str">
        <x:v>incoming/raw/recovery-drop-01/chemistry_egkr_spring_visual_assets_v108.zip!/pages/VIS-EGKR-CHEM-S26-TASK-954-P005.png</x:v>
      </x:c>
      <x:c r="R319" s="30" t="str">
        <x:v>MATCHED_ASSET</x:v>
      </x:c>
      <x:c r="S319" t="e">
        <x:f>HYPERLINK("visual_gallery/index.html#"&amp;A319,"Галерея")</x:f>
      </x:c>
    </x:row>
    <x:row r="320">
      <x:c r="A320" s="87" t="str">
        <x:v>VIS-EGKR-CHEM-S26-TASK-954-P006</x:v>
      </x:c>
      <x:c r="B320" s="30" t="str">
        <x:v>Химия</x:v>
      </x:c>
      <x:c r="C320" s="30"/>
      <x:c r="D320" s="30" t="str">
        <x:v>954</x:v>
      </x:c>
      <x:c r="E320" s="87" t="str">
        <x:v>TASK_SPREAD</x:v>
      </x:c>
      <x:c r="F320" s="30" t="str">
        <x:v>ЕГКР химия. Вариант 954.pdf</x:v>
      </x:c>
      <x:c r="G320" s="87" t="str">
        <x:v>6</x:v>
      </x:c>
      <x:c r="H320" s="87" t="str">
        <x:v>v1.08</x:v>
      </x:c>
      <x:c r="I320" s="87" t="str">
        <x:v>3</x:v>
      </x:c>
      <x:c r="J320" s="30" t="str">
        <x:v>VIS_ID</x:v>
      </x:c>
      <x:c r="K320" s="30" t="str">
        <x:v>EGKR-S26-CHEM-954-21, EGKR-S26-CHEM-954-22, EGKR-S26-CHEM-954-23</x:v>
      </x:c>
      <x:c r="L320" s="87" t="str">
        <x:v>CROP_VERIFIED</x:v>
      </x:c>
      <x:c r="M320" s="87" t="str">
        <x:v>ORIGINAL_PACKAGE</x:v>
      </x:c>
      <x:c r="N320" s="87" t="str">
        <x:v>pages/VIS-EGKR-CHEM-S26-TASK-954-P006.png</x:v>
      </x:c>
      <x:c r="O320" s="87" t="str">
        <x:v>thumbnails/VIS-EGKR-CHEM-S26-TASK-954-P006.jpg</x:v>
      </x:c>
      <x:c r="P320" s="87" t="str">
        <x:v>84054071322a8564993629b3fa4fc7770221a8f3e01c4dbcae1c64d1c8ae78f6</x:v>
      </x:c>
      <x:c r="Q320" s="30" t="str">
        <x:v>incoming/raw/recovery-drop-01/chemistry_egkr_spring_visual_assets_v108.zip!/pages/VIS-EGKR-CHEM-S26-TASK-954-P006.png</x:v>
      </x:c>
      <x:c r="R320" s="30" t="str">
        <x:v>MATCHED_ASSET</x:v>
      </x:c>
      <x:c r="S320" t="e">
        <x:f>HYPERLINK("visual_gallery/index.html#"&amp;A320,"Галерея")</x:f>
      </x:c>
    </x:row>
    <x:row r="321">
      <x:c r="A321" s="87" t="str">
        <x:v>VIS-EGKR-CHEM-S26-TASK-954-P007</x:v>
      </x:c>
      <x:c r="B321" s="30" t="str">
        <x:v>Химия</x:v>
      </x:c>
      <x:c r="C321" s="30"/>
      <x:c r="D321" s="30" t="str">
        <x:v>954</x:v>
      </x:c>
      <x:c r="E321" s="87" t="str">
        <x:v>TASK_SPREAD</x:v>
      </x:c>
      <x:c r="F321" s="30" t="str">
        <x:v>ЕГКР химия. Вариант 954.pdf</x:v>
      </x:c>
      <x:c r="G321" s="87" t="str">
        <x:v>7</x:v>
      </x:c>
      <x:c r="H321" s="87" t="str">
        <x:v>v1.08</x:v>
      </x:c>
      <x:c r="I321" s="87" t="str">
        <x:v>5</x:v>
      </x:c>
      <x:c r="J321" s="30" t="str">
        <x:v>VIS_ID</x:v>
      </x:c>
      <x:c r="K321" s="30" t="str">
        <x:v>EGKR-S26-CHEM-954-24, EGKR-S26-CHEM-954-25, EGKR-S26-CHEM-954-26, EGKR-S26-CHEM-954-27, EGKR-S26-CHEM-954-28</x:v>
      </x:c>
      <x:c r="L321" s="87" t="str">
        <x:v>CROP_VERIFIED</x:v>
      </x:c>
      <x:c r="M321" s="87" t="str">
        <x:v>ORIGINAL_PACKAGE</x:v>
      </x:c>
      <x:c r="N321" s="87" t="str">
        <x:v>pages/VIS-EGKR-CHEM-S26-TASK-954-P007.png</x:v>
      </x:c>
      <x:c r="O321" s="87" t="str">
        <x:v>thumbnails/VIS-EGKR-CHEM-S26-TASK-954-P007.jpg</x:v>
      </x:c>
      <x:c r="P321" s="87" t="str">
        <x:v>3039382d57ee96d433584b09a076b047c74343efa7b4fb505a0f6037d014121a</x:v>
      </x:c>
      <x:c r="Q321" s="30" t="str">
        <x:v>incoming/raw/recovery-drop-01/chemistry_egkr_spring_visual_assets_v108.zip!/pages/VIS-EGKR-CHEM-S26-TASK-954-P007.png</x:v>
      </x:c>
      <x:c r="R321" s="30" t="str">
        <x:v>MATCHED_ASSET</x:v>
      </x:c>
      <x:c r="S321" t="e">
        <x:f>HYPERLINK("visual_gallery/index.html#"&amp;A321,"Галерея")</x:f>
      </x:c>
    </x:row>
    <x:row r="322">
      <x:c r="A322" s="87" t="str">
        <x:v>VIS-EGKR-CHEM-S26-TASK-954-P008</x:v>
      </x:c>
      <x:c r="B322" s="30" t="str">
        <x:v>Химия</x:v>
      </x:c>
      <x:c r="C322" s="30"/>
      <x:c r="D322" s="30" t="str">
        <x:v>954</x:v>
      </x:c>
      <x:c r="E322" s="87" t="str">
        <x:v>TASK_SPREAD</x:v>
      </x:c>
      <x:c r="F322" s="30" t="str">
        <x:v>ЕГКР химия. Вариант 954.pdf</x:v>
      </x:c>
      <x:c r="G322" s="87" t="str">
        <x:v>8</x:v>
      </x:c>
      <x:c r="H322" s="87" t="str">
        <x:v>v1.08</x:v>
      </x:c>
      <x:c r="I322" s="87" t="str">
        <x:v>6</x:v>
      </x:c>
      <x:c r="J322" s="30" t="str">
        <x:v>VIS_ID</x:v>
      </x:c>
      <x:c r="K322" s="30" t="str">
        <x:v>EGKR-S26-CHEM-954-29, EGKR-S26-CHEM-954-30, EGKR-S26-CHEM-954-31, EGKR-S26-CHEM-954-32, EGKR-S26-CHEM-954-33, EGKR-S26-CHEM-954-34</x:v>
      </x:c>
      <x:c r="L322" s="87" t="str">
        <x:v>CROP_VERIFIED</x:v>
      </x:c>
      <x:c r="M322" s="87" t="str">
        <x:v>ORIGINAL_PACKAGE</x:v>
      </x:c>
      <x:c r="N322" s="87" t="str">
        <x:v>pages/VIS-EGKR-CHEM-S26-TASK-954-P008.png</x:v>
      </x:c>
      <x:c r="O322" s="87" t="str">
        <x:v>thumbnails/VIS-EGKR-CHEM-S26-TASK-954-P008.jpg</x:v>
      </x:c>
      <x:c r="P322" s="87" t="str">
        <x:v>99d63760d6888dde8099574e3ab4c5bd0fbf8a4aca128771a9d14598f78154a6</x:v>
      </x:c>
      <x:c r="Q322" s="30" t="str">
        <x:v>incoming/raw/recovery-drop-01/chemistry_egkr_spring_visual_assets_v108.zip!/pages/VIS-EGKR-CHEM-S26-TASK-954-P008.png</x:v>
      </x:c>
      <x:c r="R322" s="30" t="str">
        <x:v>MATCHED_ASSET</x:v>
      </x:c>
      <x:c r="S322" t="e">
        <x:f>HYPERLINK("visual_gallery/index.html#"&amp;A322,"Галерея")</x:f>
      </x:c>
    </x:row>
    <x:row r="323">
      <x:c r="A323" s="87" t="str">
        <x:v>VIS-EGKR-CHEM-S26-TASK-955-P001</x:v>
      </x:c>
      <x:c r="B323" s="30" t="str"/>
      <x:c r="C323" s="30"/>
      <x:c r="D323" s="30" t="str">
        <x:v>955</x:v>
      </x:c>
      <x:c r="E323" s="87" t="str">
        <x:v>TASK</x:v>
      </x:c>
      <x:c r="F323" s="30" t="str">
        <x:v>ЕГКР - ХИМ 955 (2).pdf</x:v>
      </x:c>
      <x:c r="G323" s="87" t="str">
        <x:v>1</x:v>
      </x:c>
      <x:c r="H323" s="87" t="str">
        <x:v>v1.08</x:v>
      </x:c>
      <x:c r="I323" s="87" t="str">
        <x:v>0</x:v>
      </x:c>
      <x:c r="J323" s="30" t="str"/>
      <x:c r="K323" s="30" t="str"/>
      <x:c r="L323" s="87" t="str">
        <x:v>CROP_VERIFIED</x:v>
      </x:c>
      <x:c r="M323" s="87" t="str">
        <x:v>ORIGINAL_PACKAGE</x:v>
      </x:c>
      <x:c r="N323" s="87" t="str">
        <x:v>pages/VIS-EGKR-CHEM-S26-TASK-955-P001.png</x:v>
      </x:c>
      <x:c r="O323" s="87" t="str">
        <x:v>thumbnails/VIS-EGKR-CHEM-S26-TASK-955-P001.jpg</x:v>
      </x:c>
      <x:c r="P323" s="87" t="str">
        <x:v>2d4b277393da3f33aa86e94d483b3ddc3fbc7e010d2c8a7e837336d1218b7b07</x:v>
      </x:c>
      <x:c r="Q323" s="30" t="str">
        <x:v>incoming/raw/recovery-drop-01/chemistry_egkr_spring_visual_assets_v108.zip!/pages/VIS-EGKR-CHEM-S26-TASK-955-P001.png</x:v>
      </x:c>
      <x:c r="R323" s="30" t="str">
        <x:v>RESOLVED_UNLINKED_REGISTRY_VISUAL</x:v>
      </x:c>
      <x:c r="S323" t="e">
        <x:f>HYPERLINK("visual_gallery/index.html#"&amp;A323,"Галерея")</x:f>
      </x:c>
    </x:row>
    <x:row r="324">
      <x:c r="A324" s="87" t="str">
        <x:v>VIS-EGKR-CHEM-S26-TASK-955-P002</x:v>
      </x:c>
      <x:c r="B324" s="30" t="str">
        <x:v>Химия</x:v>
      </x:c>
      <x:c r="C324" s="30"/>
      <x:c r="D324" s="30" t="str">
        <x:v>955</x:v>
      </x:c>
      <x:c r="E324" s="87" t="str">
        <x:v>TASK</x:v>
      </x:c>
      <x:c r="F324" s="30" t="str">
        <x:v>ЕГКР - ХИМ 955 (2).pdf</x:v>
      </x:c>
      <x:c r="G324" s="87" t="str">
        <x:v>2</x:v>
      </x:c>
      <x:c r="H324" s="87" t="str">
        <x:v>v1.08</x:v>
      </x:c>
      <x:c r="I324" s="87" t="str">
        <x:v>4</x:v>
      </x:c>
      <x:c r="J324" s="30" t="str">
        <x:v>VIS_ID</x:v>
      </x:c>
      <x:c r="K324" s="30" t="str">
        <x:v>EGKR-S26-CHEM-955-01, EGKR-S26-CHEM-955-02, EGKR-S26-CHEM-955-03, EGKR-S26-CHEM-955-04</x:v>
      </x:c>
      <x:c r="L324" s="87" t="str">
        <x:v>CROP_VERIFIED</x:v>
      </x:c>
      <x:c r="M324" s="87" t="str">
        <x:v>ORIGINAL_PACKAGE</x:v>
      </x:c>
      <x:c r="N324" s="87" t="str">
        <x:v>pages/VIS-EGKR-CHEM-S26-TASK-955-P002.png</x:v>
      </x:c>
      <x:c r="O324" s="87" t="str">
        <x:v>thumbnails/VIS-EGKR-CHEM-S26-TASK-955-P002.jpg</x:v>
      </x:c>
      <x:c r="P324" s="87" t="str">
        <x:v>4d2cb27bf04c1a3ecf8eb6ecdfa7e0c10db7ad6fe162c67b5215fbafb229c238</x:v>
      </x:c>
      <x:c r="Q324" s="30" t="str">
        <x:v>incoming/raw/recovery-drop-01/chemistry_egkr_spring_visual_assets_v108.zip!/pages/VIS-EGKR-CHEM-S26-TASK-955-P002.png</x:v>
      </x:c>
      <x:c r="R324" s="30" t="str">
        <x:v>MATCHED_ASSET</x:v>
      </x:c>
      <x:c r="S324" t="e">
        <x:f>HYPERLINK("visual_gallery/index.html#"&amp;A324,"Галерея")</x:f>
      </x:c>
    </x:row>
    <x:row r="325">
      <x:c r="A325" s="87" t="str">
        <x:v>VIS-EGKR-CHEM-S26-TASK-955-P003</x:v>
      </x:c>
      <x:c r="B325" s="30" t="str">
        <x:v>Химия</x:v>
      </x:c>
      <x:c r="C325" s="30"/>
      <x:c r="D325" s="30" t="str">
        <x:v>955</x:v>
      </x:c>
      <x:c r="E325" s="87" t="str">
        <x:v>TASK</x:v>
      </x:c>
      <x:c r="F325" s="30" t="str">
        <x:v>ЕГКР - ХИМ 955 (2).pdf</x:v>
      </x:c>
      <x:c r="G325" s="87" t="str">
        <x:v>3</x:v>
      </x:c>
      <x:c r="H325" s="87" t="str">
        <x:v>v1.08</x:v>
      </x:c>
      <x:c r="I325" s="87" t="str">
        <x:v>2</x:v>
      </x:c>
      <x:c r="J325" s="30" t="str">
        <x:v>VIS_ID</x:v>
      </x:c>
      <x:c r="K325" s="30" t="str">
        <x:v>EGKR-S26-CHEM-955-05, EGKR-S26-CHEM-955-06</x:v>
      </x:c>
      <x:c r="L325" s="87" t="str">
        <x:v>CROP_VERIFIED</x:v>
      </x:c>
      <x:c r="M325" s="87" t="str">
        <x:v>ORIGINAL_PACKAGE</x:v>
      </x:c>
      <x:c r="N325" s="87" t="str">
        <x:v>pages/VIS-EGKR-CHEM-S26-TASK-955-P003.png</x:v>
      </x:c>
      <x:c r="O325" s="87" t="str">
        <x:v>thumbnails/VIS-EGKR-CHEM-S26-TASK-955-P003.jpg</x:v>
      </x:c>
      <x:c r="P325" s="87" t="str">
        <x:v>dd6af7e009c3468c8f073da33f5bfe8c0770e1901fca6c0a3bbd87656013e632</x:v>
      </x:c>
      <x:c r="Q325" s="30" t="str">
        <x:v>incoming/raw/recovery-drop-01/chemistry_egkr_spring_visual_assets_v108.zip!/pages/VIS-EGKR-CHEM-S26-TASK-955-P003.png</x:v>
      </x:c>
      <x:c r="R325" s="30" t="str">
        <x:v>MATCHED_ASSET</x:v>
      </x:c>
      <x:c r="S325" t="e">
        <x:f>HYPERLINK("visual_gallery/index.html#"&amp;A325,"Галерея")</x:f>
      </x:c>
    </x:row>
    <x:row r="326">
      <x:c r="A326" s="87" t="str">
        <x:v>VIS-EGKR-CHEM-S26-TASK-955-P004</x:v>
      </x:c>
      <x:c r="B326" s="30" t="str">
        <x:v>Химия</x:v>
      </x:c>
      <x:c r="C326" s="30"/>
      <x:c r="D326" s="30" t="str">
        <x:v>955</x:v>
      </x:c>
      <x:c r="E326" s="87" t="str">
        <x:v>TASK</x:v>
      </x:c>
      <x:c r="F326" s="30" t="str">
        <x:v>ЕГКР - ХИМ 955 (2).pdf</x:v>
      </x:c>
      <x:c r="G326" s="87" t="str">
        <x:v>4</x:v>
      </x:c>
      <x:c r="H326" s="87" t="str">
        <x:v>v1.08</x:v>
      </x:c>
      <x:c r="I326" s="87" t="str">
        <x:v>2</x:v>
      </x:c>
      <x:c r="J326" s="30" t="str">
        <x:v>VIS_ID</x:v>
      </x:c>
      <x:c r="K326" s="30" t="str">
        <x:v>EGKR-S26-CHEM-955-07, EGKR-S26-CHEM-955-08</x:v>
      </x:c>
      <x:c r="L326" s="87" t="str">
        <x:v>CROP_VERIFIED</x:v>
      </x:c>
      <x:c r="M326" s="87" t="str">
        <x:v>ORIGINAL_PACKAGE</x:v>
      </x:c>
      <x:c r="N326" s="87" t="str">
        <x:v>pages/VIS-EGKR-CHEM-S26-TASK-955-P004.png</x:v>
      </x:c>
      <x:c r="O326" s="87" t="str">
        <x:v>thumbnails/VIS-EGKR-CHEM-S26-TASK-955-P004.jpg</x:v>
      </x:c>
      <x:c r="P326" s="87" t="str">
        <x:v>164b6714dbfab913dcba8753ae5cd6150da234579c03aa9d12659d50d3e20d87</x:v>
      </x:c>
      <x:c r="Q326" s="30" t="str">
        <x:v>incoming/raw/recovery-drop-01/chemistry_egkr_spring_visual_assets_v108.zip!/pages/VIS-EGKR-CHEM-S26-TASK-955-P004.png</x:v>
      </x:c>
      <x:c r="R326" s="30" t="str">
        <x:v>MATCHED_ASSET</x:v>
      </x:c>
      <x:c r="S326" t="e">
        <x:f>HYPERLINK("visual_gallery/index.html#"&amp;A326,"Галерея")</x:f>
      </x:c>
    </x:row>
    <x:row r="327">
      <x:c r="A327" s="87" t="str">
        <x:v>VIS-EGKR-CHEM-S26-TASK-955-P005</x:v>
      </x:c>
      <x:c r="B327" s="30" t="str">
        <x:v>Химия</x:v>
      </x:c>
      <x:c r="C327" s="30"/>
      <x:c r="D327" s="30" t="str">
        <x:v>955</x:v>
      </x:c>
      <x:c r="E327" s="87" t="str">
        <x:v>TASK</x:v>
      </x:c>
      <x:c r="F327" s="30" t="str">
        <x:v>ЕГКР - ХИМ 955 (2).pdf</x:v>
      </x:c>
      <x:c r="G327" s="87" t="str">
        <x:v>5</x:v>
      </x:c>
      <x:c r="H327" s="87" t="str">
        <x:v>v1.08</x:v>
      </x:c>
      <x:c r="I327" s="87" t="str">
        <x:v>3</x:v>
      </x:c>
      <x:c r="J327" s="30" t="str">
        <x:v>VIS_ID</x:v>
      </x:c>
      <x:c r="K327" s="30" t="str">
        <x:v>EGKR-S26-CHEM-955-09, EGKR-S26-CHEM-955-10, EGKR-S26-CHEM-955-11</x:v>
      </x:c>
      <x:c r="L327" s="87" t="str">
        <x:v>CROP_VERIFIED</x:v>
      </x:c>
      <x:c r="M327" s="87" t="str">
        <x:v>ORIGINAL_PACKAGE</x:v>
      </x:c>
      <x:c r="N327" s="87" t="str">
        <x:v>pages/VIS-EGKR-CHEM-S26-TASK-955-P005.png</x:v>
      </x:c>
      <x:c r="O327" s="87" t="str">
        <x:v>thumbnails/VIS-EGKR-CHEM-S26-TASK-955-P005.jpg</x:v>
      </x:c>
      <x:c r="P327" s="87" t="str">
        <x:v>d8eedeb68027b4d1107b81a3a2869271f0e380b1a91311981cd9807673629822</x:v>
      </x:c>
      <x:c r="Q327" s="30" t="str">
        <x:v>incoming/raw/recovery-drop-01/chemistry_egkr_spring_visual_assets_v108.zip!/pages/VIS-EGKR-CHEM-S26-TASK-955-P005.png</x:v>
      </x:c>
      <x:c r="R327" s="30" t="str">
        <x:v>MATCHED_ASSET</x:v>
      </x:c>
      <x:c r="S327" t="e">
        <x:f>HYPERLINK("visual_gallery/index.html#"&amp;A327,"Галерея")</x:f>
      </x:c>
    </x:row>
    <x:row r="328">
      <x:c r="A328" s="87" t="str">
        <x:v>VIS-EGKR-CHEM-S26-TASK-955-P006</x:v>
      </x:c>
      <x:c r="B328" s="30" t="str">
        <x:v>Химия</x:v>
      </x:c>
      <x:c r="C328" s="30"/>
      <x:c r="D328" s="30" t="str">
        <x:v>955</x:v>
      </x:c>
      <x:c r="E328" s="87" t="str">
        <x:v>TASK</x:v>
      </x:c>
      <x:c r="F328" s="30" t="str">
        <x:v>ЕГКР - ХИМ 955 (2).pdf</x:v>
      </x:c>
      <x:c r="G328" s="87" t="str">
        <x:v>6</x:v>
      </x:c>
      <x:c r="H328" s="87" t="str">
        <x:v>v1.08</x:v>
      </x:c>
      <x:c r="I328" s="87" t="str">
        <x:v>2</x:v>
      </x:c>
      <x:c r="J328" s="30" t="str">
        <x:v>VIS_ID</x:v>
      </x:c>
      <x:c r="K328" s="30" t="str">
        <x:v>EGKR-S26-CHEM-955-12, EGKR-S26-CHEM-955-13</x:v>
      </x:c>
      <x:c r="L328" s="87" t="str">
        <x:v>CROP_VERIFIED</x:v>
      </x:c>
      <x:c r="M328" s="87" t="str">
        <x:v>ORIGINAL_PACKAGE</x:v>
      </x:c>
      <x:c r="N328" s="87" t="str">
        <x:v>pages/VIS-EGKR-CHEM-S26-TASK-955-P006.png</x:v>
      </x:c>
      <x:c r="O328" s="87" t="str">
        <x:v>thumbnails/VIS-EGKR-CHEM-S26-TASK-955-P006.jpg</x:v>
      </x:c>
      <x:c r="P328" s="87" t="str">
        <x:v>4b614712f877c8beeb2d7b015a104e3b29b53cd90b51822b5139ea7eb1278cf7</x:v>
      </x:c>
      <x:c r="Q328" s="30" t="str">
        <x:v>incoming/raw/recovery-drop-01/chemistry_egkr_spring_visual_assets_v108.zip!/pages/VIS-EGKR-CHEM-S26-TASK-955-P006.png</x:v>
      </x:c>
      <x:c r="R328" s="30" t="str">
        <x:v>MATCHED_ASSET</x:v>
      </x:c>
      <x:c r="S328" t="e">
        <x:f>HYPERLINK("visual_gallery/index.html#"&amp;A328,"Галерея")</x:f>
      </x:c>
    </x:row>
    <x:row r="329">
      <x:c r="A329" s="87" t="str">
        <x:v>VIS-EGKR-CHEM-S26-TASK-955-P007</x:v>
      </x:c>
      <x:c r="B329" s="30" t="str">
        <x:v>Химия</x:v>
      </x:c>
      <x:c r="C329" s="30"/>
      <x:c r="D329" s="30" t="str">
        <x:v>955</x:v>
      </x:c>
      <x:c r="E329" s="87" t="str">
        <x:v>TASK</x:v>
      </x:c>
      <x:c r="F329" s="30" t="str">
        <x:v>ЕГКР - ХИМ 955 (2).pdf</x:v>
      </x:c>
      <x:c r="G329" s="87" t="str">
        <x:v>7</x:v>
      </x:c>
      <x:c r="H329" s="87" t="str">
        <x:v>v1.08</x:v>
      </x:c>
      <x:c r="I329" s="87" t="str">
        <x:v>1</x:v>
      </x:c>
      <x:c r="J329" s="30" t="str">
        <x:v>VIS_ID</x:v>
      </x:c>
      <x:c r="K329" s="30" t="str">
        <x:v>EGKR-S26-CHEM-955-14</x:v>
      </x:c>
      <x:c r="L329" s="87" t="str">
        <x:v>CROP_VERIFIED</x:v>
      </x:c>
      <x:c r="M329" s="87" t="str">
        <x:v>ORIGINAL_PACKAGE</x:v>
      </x:c>
      <x:c r="N329" s="87" t="str">
        <x:v>pages/VIS-EGKR-CHEM-S26-TASK-955-P007.png</x:v>
      </x:c>
      <x:c r="O329" s="87" t="str">
        <x:v>thumbnails/VIS-EGKR-CHEM-S26-TASK-955-P007.jpg</x:v>
      </x:c>
      <x:c r="P329" s="87" t="str">
        <x:v>64648a8d111d9f855b43bb19c306689855b6a2bd559bc02ec05950d03f29d807</x:v>
      </x:c>
      <x:c r="Q329" s="30" t="str">
        <x:v>incoming/raw/recovery-drop-01/chemistry_egkr_spring_visual_assets_v108.zip!/pages/VIS-EGKR-CHEM-S26-TASK-955-P007.png</x:v>
      </x:c>
      <x:c r="R329" s="30" t="str">
        <x:v>MATCHED_ASSET</x:v>
      </x:c>
      <x:c r="S329" t="e">
        <x:f>HYPERLINK("visual_gallery/index.html#"&amp;A329,"Галерея")</x:f>
      </x:c>
    </x:row>
    <x:row r="330">
      <x:c r="A330" s="87" t="str">
        <x:v>VIS-EGKR-CHEM-S26-TASK-955-P008</x:v>
      </x:c>
      <x:c r="B330" s="30" t="str">
        <x:v>Химия</x:v>
      </x:c>
      <x:c r="C330" s="30"/>
      <x:c r="D330" s="30" t="str">
        <x:v>955</x:v>
      </x:c>
      <x:c r="E330" s="87" t="str">
        <x:v>TASK</x:v>
      </x:c>
      <x:c r="F330" s="30" t="str">
        <x:v>ЕГКР - ХИМ 955 (2).pdf</x:v>
      </x:c>
      <x:c r="G330" s="87" t="str">
        <x:v>8</x:v>
      </x:c>
      <x:c r="H330" s="87" t="str">
        <x:v>v1.08</x:v>
      </x:c>
      <x:c r="I330" s="87" t="str">
        <x:v>2</x:v>
      </x:c>
      <x:c r="J330" s="30" t="str">
        <x:v>VIS_ID</x:v>
      </x:c>
      <x:c r="K330" s="30" t="str">
        <x:v>EGKR-S26-CHEM-955-15, EGKR-S26-CHEM-955-16</x:v>
      </x:c>
      <x:c r="L330" s="87" t="str">
        <x:v>CROP_VERIFIED</x:v>
      </x:c>
      <x:c r="M330" s="87" t="str">
        <x:v>ORIGINAL_PACKAGE</x:v>
      </x:c>
      <x:c r="N330" s="87" t="str">
        <x:v>pages/VIS-EGKR-CHEM-S26-TASK-955-P008.png</x:v>
      </x:c>
      <x:c r="O330" s="87" t="str">
        <x:v>thumbnails/VIS-EGKR-CHEM-S26-TASK-955-P008.jpg</x:v>
      </x:c>
      <x:c r="P330" s="87" t="str">
        <x:v>fdf526bb9e07f28e8e0e3c6f8c1f0d52437ca2e9ea375289825d521aeafd206f</x:v>
      </x:c>
      <x:c r="Q330" s="30" t="str">
        <x:v>incoming/raw/recovery-drop-01/chemistry_egkr_spring_visual_assets_v108.zip!/pages/VIS-EGKR-CHEM-S26-TASK-955-P008.png</x:v>
      </x:c>
      <x:c r="R330" s="30" t="str">
        <x:v>MATCHED_ASSET</x:v>
      </x:c>
      <x:c r="S330" t="e">
        <x:f>HYPERLINK("visual_gallery/index.html#"&amp;A330,"Галерея")</x:f>
      </x:c>
    </x:row>
    <x:row r="331">
      <x:c r="A331" s="87" t="str">
        <x:v>VIS-EGKR-CHEM-S26-TASK-955-P009</x:v>
      </x:c>
      <x:c r="B331" s="30" t="str">
        <x:v>Химия</x:v>
      </x:c>
      <x:c r="C331" s="30"/>
      <x:c r="D331" s="30" t="str">
        <x:v>955</x:v>
      </x:c>
      <x:c r="E331" s="87" t="str">
        <x:v>TASK</x:v>
      </x:c>
      <x:c r="F331" s="30" t="str">
        <x:v>ЕГКР - ХИМ 955 (2).pdf</x:v>
      </x:c>
      <x:c r="G331" s="87" t="str">
        <x:v>9</x:v>
      </x:c>
      <x:c r="H331" s="87" t="str">
        <x:v>v1.08</x:v>
      </x:c>
      <x:c r="I331" s="87" t="str">
        <x:v>3</x:v>
      </x:c>
      <x:c r="J331" s="30" t="str">
        <x:v>VIS_ID</x:v>
      </x:c>
      <x:c r="K331" s="30" t="str">
        <x:v>EGKR-S26-CHEM-955-17, EGKR-S26-CHEM-955-18, EGKR-S26-CHEM-955-19</x:v>
      </x:c>
      <x:c r="L331" s="87" t="str">
        <x:v>CROP_VERIFIED</x:v>
      </x:c>
      <x:c r="M331" s="87" t="str">
        <x:v>ORIGINAL_PACKAGE</x:v>
      </x:c>
      <x:c r="N331" s="87" t="str">
        <x:v>pages/VIS-EGKR-CHEM-S26-TASK-955-P009.png</x:v>
      </x:c>
      <x:c r="O331" s="87" t="str">
        <x:v>thumbnails/VIS-EGKR-CHEM-S26-TASK-955-P009.jpg</x:v>
      </x:c>
      <x:c r="P331" s="87" t="str">
        <x:v>31a2474a7fee263531cb6541b4bdff2206f3f85e22d97ffb92a7bdcbe6d5a7a6</x:v>
      </x:c>
      <x:c r="Q331" s="30" t="str">
        <x:v>incoming/raw/recovery-drop-01/chemistry_egkr_spring_visual_assets_v108.zip!/pages/VIS-EGKR-CHEM-S26-TASK-955-P009.png</x:v>
      </x:c>
      <x:c r="R331" s="30" t="str">
        <x:v>MATCHED_ASSET</x:v>
      </x:c>
      <x:c r="S331" t="e">
        <x:f>HYPERLINK("visual_gallery/index.html#"&amp;A331,"Галерея")</x:f>
      </x:c>
    </x:row>
    <x:row r="332">
      <x:c r="A332" s="87" t="str">
        <x:v>VIS-EGKR-CHEM-S26-TASK-955-P010</x:v>
      </x:c>
      <x:c r="B332" s="30" t="str">
        <x:v>Химия</x:v>
      </x:c>
      <x:c r="C332" s="30"/>
      <x:c r="D332" s="30" t="str">
        <x:v>955</x:v>
      </x:c>
      <x:c r="E332" s="87" t="str">
        <x:v>TASK</x:v>
      </x:c>
      <x:c r="F332" s="30" t="str">
        <x:v>ЕГКР - ХИМ 955 (2).pdf</x:v>
      </x:c>
      <x:c r="G332" s="87" t="str">
        <x:v>10</x:v>
      </x:c>
      <x:c r="H332" s="87" t="str">
        <x:v>v1.08</x:v>
      </x:c>
      <x:c r="I332" s="87" t="str">
        <x:v>2</x:v>
      </x:c>
      <x:c r="J332" s="30" t="str">
        <x:v>VIS_ID</x:v>
      </x:c>
      <x:c r="K332" s="30" t="str">
        <x:v>EGKR-S26-CHEM-955-20, EGKR-S26-CHEM-955-21</x:v>
      </x:c>
      <x:c r="L332" s="87" t="str">
        <x:v>CROP_VERIFIED</x:v>
      </x:c>
      <x:c r="M332" s="87" t="str">
        <x:v>ORIGINAL_PACKAGE</x:v>
      </x:c>
      <x:c r="N332" s="87" t="str">
        <x:v>pages/VIS-EGKR-CHEM-S26-TASK-955-P010.png</x:v>
      </x:c>
      <x:c r="O332" s="87" t="str">
        <x:v>thumbnails/VIS-EGKR-CHEM-S26-TASK-955-P010.jpg</x:v>
      </x:c>
      <x:c r="P332" s="87" t="str">
        <x:v>b30f780087a53edb49feff8d94d421b2181bfaeb3450f83a8687b07c88e934a2</x:v>
      </x:c>
      <x:c r="Q332" s="30" t="str">
        <x:v>incoming/raw/recovery-drop-01/chemistry_egkr_spring_visual_assets_v108.zip!/pages/VIS-EGKR-CHEM-S26-TASK-955-P010.png</x:v>
      </x:c>
      <x:c r="R332" s="30" t="str">
        <x:v>MATCHED_ASSET</x:v>
      </x:c>
      <x:c r="S332" t="e">
        <x:f>HYPERLINK("visual_gallery/index.html#"&amp;A332,"Галерея")</x:f>
      </x:c>
    </x:row>
    <x:row r="333">
      <x:c r="A333" s="87" t="str">
        <x:v>VIS-EGKR-CHEM-S26-TASK-955-P011</x:v>
      </x:c>
      <x:c r="B333" s="30" t="str">
        <x:v>Химия</x:v>
      </x:c>
      <x:c r="C333" s="30"/>
      <x:c r="D333" s="30" t="str">
        <x:v>955</x:v>
      </x:c>
      <x:c r="E333" s="87" t="str">
        <x:v>TASK</x:v>
      </x:c>
      <x:c r="F333" s="30" t="str">
        <x:v>ЕГКР - ХИМ 955 (2).pdf</x:v>
      </x:c>
      <x:c r="G333" s="87" t="str">
        <x:v>11</x:v>
      </x:c>
      <x:c r="H333" s="87" t="str">
        <x:v>v1.08</x:v>
      </x:c>
      <x:c r="I333" s="87" t="str">
        <x:v>2</x:v>
      </x:c>
      <x:c r="J333" s="30" t="str">
        <x:v>VIS_ID</x:v>
      </x:c>
      <x:c r="K333" s="30" t="str">
        <x:v>EGKR-S26-CHEM-955-22, EGKR-S26-CHEM-955-23</x:v>
      </x:c>
      <x:c r="L333" s="87" t="str">
        <x:v>CROP_VERIFIED</x:v>
      </x:c>
      <x:c r="M333" s="87" t="str">
        <x:v>ORIGINAL_PACKAGE</x:v>
      </x:c>
      <x:c r="N333" s="87" t="str">
        <x:v>pages/VIS-EGKR-CHEM-S26-TASK-955-P011.png</x:v>
      </x:c>
      <x:c r="O333" s="87" t="str">
        <x:v>thumbnails/VIS-EGKR-CHEM-S26-TASK-955-P011.jpg</x:v>
      </x:c>
      <x:c r="P333" s="87" t="str">
        <x:v>9e1c3c98ee855c6e7040d52cb4b77d60739b49eb7791289092575f3c69afd514</x:v>
      </x:c>
      <x:c r="Q333" s="30" t="str">
        <x:v>incoming/raw/recovery-drop-01/chemistry_egkr_spring_visual_assets_v108.zip!/pages/VIS-EGKR-CHEM-S26-TASK-955-P011.png</x:v>
      </x:c>
      <x:c r="R333" s="30" t="str">
        <x:v>MATCHED_ASSET</x:v>
      </x:c>
      <x:c r="S333" t="e">
        <x:f>HYPERLINK("visual_gallery/index.html#"&amp;A333,"Галерея")</x:f>
      </x:c>
    </x:row>
    <x:row r="334">
      <x:c r="A334" s="87" t="str">
        <x:v>VIS-EGKR-CHEM-S26-TASK-955-P012</x:v>
      </x:c>
      <x:c r="B334" s="30" t="str">
        <x:v>Химия</x:v>
      </x:c>
      <x:c r="C334" s="30"/>
      <x:c r="D334" s="30" t="str">
        <x:v>955</x:v>
      </x:c>
      <x:c r="E334" s="87" t="str">
        <x:v>TASK</x:v>
      </x:c>
      <x:c r="F334" s="30" t="str">
        <x:v>ЕГКР - ХИМ 955 (2).pdf</x:v>
      </x:c>
      <x:c r="G334" s="87" t="str">
        <x:v>12</x:v>
      </x:c>
      <x:c r="H334" s="87" t="str">
        <x:v>v1.08</x:v>
      </x:c>
      <x:c r="I334" s="87" t="str">
        <x:v>2</x:v>
      </x:c>
      <x:c r="J334" s="30" t="str">
        <x:v>VIS_ID</x:v>
      </x:c>
      <x:c r="K334" s="30" t="str">
        <x:v>EGKR-S26-CHEM-955-24, EGKR-S26-CHEM-955-25</x:v>
      </x:c>
      <x:c r="L334" s="87" t="str">
        <x:v>CROP_VERIFIED</x:v>
      </x:c>
      <x:c r="M334" s="87" t="str">
        <x:v>ORIGINAL_PACKAGE</x:v>
      </x:c>
      <x:c r="N334" s="87" t="str">
        <x:v>pages/VIS-EGKR-CHEM-S26-TASK-955-P012.png</x:v>
      </x:c>
      <x:c r="O334" s="87" t="str">
        <x:v>thumbnails/VIS-EGKR-CHEM-S26-TASK-955-P012.jpg</x:v>
      </x:c>
      <x:c r="P334" s="87" t="str">
        <x:v>cda72b29b37851b169074a31821c8960ca5e791e57e7dbeb31f1cd17cde6076d</x:v>
      </x:c>
      <x:c r="Q334" s="30" t="str">
        <x:v>incoming/raw/recovery-drop-01/chemistry_egkr_spring_visual_assets_v108.zip!/pages/VIS-EGKR-CHEM-S26-TASK-955-P012.png</x:v>
      </x:c>
      <x:c r="R334" s="30" t="str">
        <x:v>MATCHED_ASSET</x:v>
      </x:c>
      <x:c r="S334" t="e">
        <x:f>HYPERLINK("visual_gallery/index.html#"&amp;A334,"Галерея")</x:f>
      </x:c>
    </x:row>
    <x:row r="335">
      <x:c r="A335" s="87" t="str">
        <x:v>VIS-EGKR-CHEM-S26-TASK-955-P013</x:v>
      </x:c>
      <x:c r="B335" s="30" t="str">
        <x:v>Химия</x:v>
      </x:c>
      <x:c r="C335" s="30"/>
      <x:c r="D335" s="30" t="str">
        <x:v>955</x:v>
      </x:c>
      <x:c r="E335" s="87" t="str">
        <x:v>TASK</x:v>
      </x:c>
      <x:c r="F335" s="30" t="str">
        <x:v>ЕГКР - ХИМ 955 (2).pdf</x:v>
      </x:c>
      <x:c r="G335" s="87" t="str">
        <x:v>13</x:v>
      </x:c>
      <x:c r="H335" s="87" t="str">
        <x:v>v1.08</x:v>
      </x:c>
      <x:c r="I335" s="87" t="str">
        <x:v>3</x:v>
      </x:c>
      <x:c r="J335" s="30" t="str">
        <x:v>VIS_ID</x:v>
      </x:c>
      <x:c r="K335" s="30" t="str">
        <x:v>EGKR-S26-CHEM-955-26, EGKR-S26-CHEM-955-27, EGKR-S26-CHEM-955-28</x:v>
      </x:c>
      <x:c r="L335" s="87" t="str">
        <x:v>CROP_VERIFIED</x:v>
      </x:c>
      <x:c r="M335" s="87" t="str">
        <x:v>ORIGINAL_PACKAGE</x:v>
      </x:c>
      <x:c r="N335" s="87" t="str">
        <x:v>pages/VIS-EGKR-CHEM-S26-TASK-955-P013.png</x:v>
      </x:c>
      <x:c r="O335" s="87" t="str">
        <x:v>thumbnails/VIS-EGKR-CHEM-S26-TASK-955-P013.jpg</x:v>
      </x:c>
      <x:c r="P335" s="87" t="str">
        <x:v>274bc2e03591ca7a8f19de3545a7d219f8605700dfd1c3a8087d023c87da4a01</x:v>
      </x:c>
      <x:c r="Q335" s="30" t="str">
        <x:v>incoming/raw/recovery-drop-01/chemistry_egkr_spring_visual_assets_v108.zip!/pages/VIS-EGKR-CHEM-S26-TASK-955-P013.png</x:v>
      </x:c>
      <x:c r="R335" s="30" t="str">
        <x:v>MATCHED_ASSET</x:v>
      </x:c>
      <x:c r="S335" t="e">
        <x:f>HYPERLINK("visual_gallery/index.html#"&amp;A335,"Галерея")</x:f>
      </x:c>
    </x:row>
    <x:row r="336">
      <x:c r="A336" s="87" t="str">
        <x:v>VIS-EGKR-CHEM-S26-TASK-955-P014</x:v>
      </x:c>
      <x:c r="B336" s="30" t="str">
        <x:v>Химия</x:v>
      </x:c>
      <x:c r="C336" s="30"/>
      <x:c r="D336" s="30" t="str">
        <x:v>955</x:v>
      </x:c>
      <x:c r="E336" s="87" t="str">
        <x:v>TASK</x:v>
      </x:c>
      <x:c r="F336" s="30" t="str">
        <x:v>ЕГКР - ХИМ 955 (2).pdf</x:v>
      </x:c>
      <x:c r="G336" s="87" t="str">
        <x:v>14</x:v>
      </x:c>
      <x:c r="H336" s="87" t="str">
        <x:v>v1.08</x:v>
      </x:c>
      <x:c r="I336" s="87" t="str">
        <x:v>4</x:v>
      </x:c>
      <x:c r="J336" s="30" t="str">
        <x:v>VIS_ID</x:v>
      </x:c>
      <x:c r="K336" s="30" t="str">
        <x:v>EGKR-S26-CHEM-955-29, EGKR-S26-CHEM-955-30, EGKR-S26-CHEM-955-31, EGKR-S26-CHEM-955-32</x:v>
      </x:c>
      <x:c r="L336" s="87" t="str">
        <x:v>CROP_VERIFIED</x:v>
      </x:c>
      <x:c r="M336" s="87" t="str">
        <x:v>ORIGINAL_PACKAGE</x:v>
      </x:c>
      <x:c r="N336" s="87" t="str">
        <x:v>pages/VIS-EGKR-CHEM-S26-TASK-955-P014.png</x:v>
      </x:c>
      <x:c r="O336" s="87" t="str">
        <x:v>thumbnails/VIS-EGKR-CHEM-S26-TASK-955-P014.jpg</x:v>
      </x:c>
      <x:c r="P336" s="87" t="str">
        <x:v>2bc78517a350f3a7d7be911cb37c5720cd8f235c307dffedc2fc2969949d0ab7</x:v>
      </x:c>
      <x:c r="Q336" s="30" t="str">
        <x:v>incoming/raw/recovery-drop-01/chemistry_egkr_spring_visual_assets_v108.zip!/pages/VIS-EGKR-CHEM-S26-TASK-955-P014.png</x:v>
      </x:c>
      <x:c r="R336" s="30" t="str">
        <x:v>MATCHED_ASSET</x:v>
      </x:c>
      <x:c r="S336" t="e">
        <x:f>HYPERLINK("visual_gallery/index.html#"&amp;A336,"Галерея")</x:f>
      </x:c>
    </x:row>
    <x:row r="337">
      <x:c r="A337" s="87" t="str">
        <x:v>VIS-EGKR-CHEM-S26-TASK-955-P015</x:v>
      </x:c>
      <x:c r="B337" s="30" t="str">
        <x:v>Химия</x:v>
      </x:c>
      <x:c r="C337" s="30"/>
      <x:c r="D337" s="30" t="str">
        <x:v>955</x:v>
      </x:c>
      <x:c r="E337" s="87" t="str">
        <x:v>TASK</x:v>
      </x:c>
      <x:c r="F337" s="30" t="str">
        <x:v>ЕГКР - ХИМ 955 (2).pdf</x:v>
      </x:c>
      <x:c r="G337" s="87" t="str">
        <x:v>15</x:v>
      </x:c>
      <x:c r="H337" s="87" t="str">
        <x:v>v1.08</x:v>
      </x:c>
      <x:c r="I337" s="87" t="str">
        <x:v>2</x:v>
      </x:c>
      <x:c r="J337" s="30" t="str">
        <x:v>VIS_ID</x:v>
      </x:c>
      <x:c r="K337" s="30" t="str">
        <x:v>EGKR-S26-CHEM-955-33, EGKR-S26-CHEM-955-34</x:v>
      </x:c>
      <x:c r="L337" s="87" t="str">
        <x:v>CROP_VERIFIED</x:v>
      </x:c>
      <x:c r="M337" s="87" t="str">
        <x:v>ORIGINAL_PACKAGE</x:v>
      </x:c>
      <x:c r="N337" s="87" t="str">
        <x:v>pages/VIS-EGKR-CHEM-S26-TASK-955-P015.png</x:v>
      </x:c>
      <x:c r="O337" s="87" t="str">
        <x:v>thumbnails/VIS-EGKR-CHEM-S26-TASK-955-P015.jpg</x:v>
      </x:c>
      <x:c r="P337" s="87" t="str">
        <x:v>366ca66f773dd983aaa106729b039d3a8b0a412ae91d6ca6bebb60af91435836</x:v>
      </x:c>
      <x:c r="Q337" s="30" t="str">
        <x:v>incoming/raw/recovery-drop-01/chemistry_egkr_spring_visual_assets_v108.zip!/pages/VIS-EGKR-CHEM-S26-TASK-955-P015.png</x:v>
      </x:c>
      <x:c r="R337" s="30" t="str">
        <x:v>MATCHED_ASSET</x:v>
      </x:c>
      <x:c r="S337" t="e">
        <x:f>HYPERLINK("visual_gallery/index.html#"&amp;A337,"Галерея")</x:f>
      </x:c>
    </x:row>
    <x:row r="338">
      <x:c r="A338" s="87" t="str">
        <x:v>VIS-EGKR-CHEM-S26-TASK-956-P001</x:v>
      </x:c>
      <x:c r="B338" s="30" t="str"/>
      <x:c r="C338" s="30"/>
      <x:c r="D338" s="30" t="str">
        <x:v>956</x:v>
      </x:c>
      <x:c r="E338" s="87" t="str">
        <x:v>TASK</x:v>
      </x:c>
      <x:c r="F338" s="30" t="str">
        <x:v>ЕГКР - ХИМ 956 (2).pdf</x:v>
      </x:c>
      <x:c r="G338" s="87" t="str">
        <x:v>1</x:v>
      </x:c>
      <x:c r="H338" s="87" t="str">
        <x:v>v1.08</x:v>
      </x:c>
      <x:c r="I338" s="87" t="str">
        <x:v>0</x:v>
      </x:c>
      <x:c r="J338" s="30" t="str"/>
      <x:c r="K338" s="30" t="str"/>
      <x:c r="L338" s="87" t="str">
        <x:v>CROP_VERIFIED</x:v>
      </x:c>
      <x:c r="M338" s="87" t="str">
        <x:v>ORIGINAL_PACKAGE</x:v>
      </x:c>
      <x:c r="N338" s="87" t="str">
        <x:v>pages/VIS-EGKR-CHEM-S26-TASK-956-P001.png</x:v>
      </x:c>
      <x:c r="O338" s="87" t="str">
        <x:v>thumbnails/VIS-EGKR-CHEM-S26-TASK-956-P001.jpg</x:v>
      </x:c>
      <x:c r="P338" s="87" t="str">
        <x:v>312fab790949e2f9622f51e5d76ff3d592435fe58b7c98ec1289daeb4d829322</x:v>
      </x:c>
      <x:c r="Q338" s="30" t="str">
        <x:v>incoming/raw/recovery-drop-01/chemistry_egkr_spring_visual_assets_v108.zip!/pages/VIS-EGKR-CHEM-S26-TASK-956-P001.png</x:v>
      </x:c>
      <x:c r="R338" s="30" t="str">
        <x:v>RESOLVED_UNLINKED_REGISTRY_VISUAL</x:v>
      </x:c>
      <x:c r="S338" t="e">
        <x:f>HYPERLINK("visual_gallery/index.html#"&amp;A338,"Галерея")</x:f>
      </x:c>
    </x:row>
    <x:row r="339">
      <x:c r="A339" s="87" t="str">
        <x:v>VIS-EGKR-CHEM-S26-TASK-956-P002</x:v>
      </x:c>
      <x:c r="B339" s="30" t="str">
        <x:v>Химия</x:v>
      </x:c>
      <x:c r="C339" s="30"/>
      <x:c r="D339" s="30" t="str">
        <x:v>956</x:v>
      </x:c>
      <x:c r="E339" s="87" t="str">
        <x:v>TASK</x:v>
      </x:c>
      <x:c r="F339" s="30" t="str">
        <x:v>ЕГКР - ХИМ 956 (2).pdf</x:v>
      </x:c>
      <x:c r="G339" s="87" t="str">
        <x:v>2</x:v>
      </x:c>
      <x:c r="H339" s="87" t="str">
        <x:v>v1.08</x:v>
      </x:c>
      <x:c r="I339" s="87" t="str">
        <x:v>4</x:v>
      </x:c>
      <x:c r="J339" s="30" t="str">
        <x:v>VIS_ID</x:v>
      </x:c>
      <x:c r="K339" s="30" t="str">
        <x:v>EGKR-S26-CHEM-956-01, EGKR-S26-CHEM-956-02, EGKR-S26-CHEM-956-03, EGKR-S26-CHEM-956-04</x:v>
      </x:c>
      <x:c r="L339" s="87" t="str">
        <x:v>CROP_VERIFIED</x:v>
      </x:c>
      <x:c r="M339" s="87" t="str">
        <x:v>ORIGINAL_PACKAGE</x:v>
      </x:c>
      <x:c r="N339" s="87" t="str">
        <x:v>pages/VIS-EGKR-CHEM-S26-TASK-956-P002.png</x:v>
      </x:c>
      <x:c r="O339" s="87" t="str">
        <x:v>thumbnails/VIS-EGKR-CHEM-S26-TASK-956-P002.jpg</x:v>
      </x:c>
      <x:c r="P339" s="87" t="str">
        <x:v>bbb230329e9426b6828c311d2c8e5ef0999528109aa236c623fb23362f95fe6b</x:v>
      </x:c>
      <x:c r="Q339" s="30" t="str">
        <x:v>incoming/raw/recovery-drop-01/chemistry_egkr_spring_visual_assets_v108.zip!/pages/VIS-EGKR-CHEM-S26-TASK-956-P002.png</x:v>
      </x:c>
      <x:c r="R339" s="30" t="str">
        <x:v>MATCHED_ASSET</x:v>
      </x:c>
      <x:c r="S339" t="e">
        <x:f>HYPERLINK("visual_gallery/index.html#"&amp;A339,"Галерея")</x:f>
      </x:c>
    </x:row>
    <x:row r="340">
      <x:c r="A340" s="87" t="str">
        <x:v>VIS-EGKR-CHEM-S26-TASK-956-P003</x:v>
      </x:c>
      <x:c r="B340" s="30" t="str">
        <x:v>Химия</x:v>
      </x:c>
      <x:c r="C340" s="30"/>
      <x:c r="D340" s="30" t="str">
        <x:v>956</x:v>
      </x:c>
      <x:c r="E340" s="87" t="str">
        <x:v>TASK</x:v>
      </x:c>
      <x:c r="F340" s="30" t="str">
        <x:v>ЕГКР - ХИМ 956 (2).pdf</x:v>
      </x:c>
      <x:c r="G340" s="87" t="str">
        <x:v>3</x:v>
      </x:c>
      <x:c r="H340" s="87" t="str">
        <x:v>v1.08</x:v>
      </x:c>
      <x:c r="I340" s="87" t="str">
        <x:v>2</x:v>
      </x:c>
      <x:c r="J340" s="30" t="str">
        <x:v>VIS_ID</x:v>
      </x:c>
      <x:c r="K340" s="30" t="str">
        <x:v>EGKR-S26-CHEM-956-05, EGKR-S26-CHEM-956-06</x:v>
      </x:c>
      <x:c r="L340" s="87" t="str">
        <x:v>CROP_VERIFIED</x:v>
      </x:c>
      <x:c r="M340" s="87" t="str">
        <x:v>ORIGINAL_PACKAGE</x:v>
      </x:c>
      <x:c r="N340" s="87" t="str">
        <x:v>pages/VIS-EGKR-CHEM-S26-TASK-956-P003.png</x:v>
      </x:c>
      <x:c r="O340" s="87" t="str">
        <x:v>thumbnails/VIS-EGKR-CHEM-S26-TASK-956-P003.jpg</x:v>
      </x:c>
      <x:c r="P340" s="87" t="str">
        <x:v>ac93ccaab4d321efbb36b7320eaa10c2036bb7fec1e3091a76226ec58914bb18</x:v>
      </x:c>
      <x:c r="Q340" s="30" t="str">
        <x:v>incoming/raw/recovery-drop-01/chemistry_egkr_spring_visual_assets_v108.zip!/pages/VIS-EGKR-CHEM-S26-TASK-956-P003.png</x:v>
      </x:c>
      <x:c r="R340" s="30" t="str">
        <x:v>MATCHED_ASSET</x:v>
      </x:c>
      <x:c r="S340" t="e">
        <x:f>HYPERLINK("visual_gallery/index.html#"&amp;A340,"Галерея")</x:f>
      </x:c>
    </x:row>
    <x:row r="341">
      <x:c r="A341" s="87" t="str">
        <x:v>VIS-EGKR-CHEM-S26-TASK-956-P004</x:v>
      </x:c>
      <x:c r="B341" s="30" t="str">
        <x:v>Химия</x:v>
      </x:c>
      <x:c r="C341" s="30"/>
      <x:c r="D341" s="30" t="str">
        <x:v>956</x:v>
      </x:c>
      <x:c r="E341" s="87" t="str">
        <x:v>TASK</x:v>
      </x:c>
      <x:c r="F341" s="30" t="str">
        <x:v>ЕГКР - ХИМ 956 (2).pdf</x:v>
      </x:c>
      <x:c r="G341" s="87" t="str">
        <x:v>4</x:v>
      </x:c>
      <x:c r="H341" s="87" t="str">
        <x:v>v1.08</x:v>
      </x:c>
      <x:c r="I341" s="87" t="str">
        <x:v>2</x:v>
      </x:c>
      <x:c r="J341" s="30" t="str">
        <x:v>VIS_ID</x:v>
      </x:c>
      <x:c r="K341" s="30" t="str">
        <x:v>EGKR-S26-CHEM-956-07, EGKR-S26-CHEM-956-08</x:v>
      </x:c>
      <x:c r="L341" s="87" t="str">
        <x:v>CROP_VERIFIED</x:v>
      </x:c>
      <x:c r="M341" s="87" t="str">
        <x:v>ORIGINAL_PACKAGE</x:v>
      </x:c>
      <x:c r="N341" s="87" t="str">
        <x:v>pages/VIS-EGKR-CHEM-S26-TASK-956-P004.png</x:v>
      </x:c>
      <x:c r="O341" s="87" t="str">
        <x:v>thumbnails/VIS-EGKR-CHEM-S26-TASK-956-P004.jpg</x:v>
      </x:c>
      <x:c r="P341" s="87" t="str">
        <x:v>eabaf56b7881f75ffbe84a23521363dab5371c3514e2b225f080b58e30f5157e</x:v>
      </x:c>
      <x:c r="Q341" s="30" t="str">
        <x:v>incoming/raw/recovery-drop-01/chemistry_egkr_spring_visual_assets_v108.zip!/pages/VIS-EGKR-CHEM-S26-TASK-956-P004.png</x:v>
      </x:c>
      <x:c r="R341" s="30" t="str">
        <x:v>MATCHED_ASSET</x:v>
      </x:c>
      <x:c r="S341" t="e">
        <x:f>HYPERLINK("visual_gallery/index.html#"&amp;A341,"Галерея")</x:f>
      </x:c>
    </x:row>
    <x:row r="342">
      <x:c r="A342" s="87" t="str">
        <x:v>VIS-EGKR-CHEM-S26-TASK-956-P005</x:v>
      </x:c>
      <x:c r="B342" s="30" t="str">
        <x:v>Химия</x:v>
      </x:c>
      <x:c r="C342" s="30"/>
      <x:c r="D342" s="30" t="str">
        <x:v>956</x:v>
      </x:c>
      <x:c r="E342" s="87" t="str">
        <x:v>TASK</x:v>
      </x:c>
      <x:c r="F342" s="30" t="str">
        <x:v>ЕГКР - ХИМ 956 (2).pdf</x:v>
      </x:c>
      <x:c r="G342" s="87" t="str">
        <x:v>5</x:v>
      </x:c>
      <x:c r="H342" s="87" t="str">
        <x:v>v1.08</x:v>
      </x:c>
      <x:c r="I342" s="87" t="str">
        <x:v>3</x:v>
      </x:c>
      <x:c r="J342" s="30" t="str">
        <x:v>VIS_ID</x:v>
      </x:c>
      <x:c r="K342" s="30" t="str">
        <x:v>EGKR-S26-CHEM-956-09, EGKR-S26-CHEM-956-10, EGKR-S26-CHEM-956-11</x:v>
      </x:c>
      <x:c r="L342" s="87" t="str">
        <x:v>CROP_VERIFIED</x:v>
      </x:c>
      <x:c r="M342" s="87" t="str">
        <x:v>ORIGINAL_PACKAGE</x:v>
      </x:c>
      <x:c r="N342" s="87" t="str">
        <x:v>pages/VIS-EGKR-CHEM-S26-TASK-956-P005.png</x:v>
      </x:c>
      <x:c r="O342" s="87" t="str">
        <x:v>thumbnails/VIS-EGKR-CHEM-S26-TASK-956-P005.jpg</x:v>
      </x:c>
      <x:c r="P342" s="87" t="str">
        <x:v>fef85a4feeff4b4729cb1b86514e096e3510d40c1489822ebaecc3197f222c26</x:v>
      </x:c>
      <x:c r="Q342" s="30" t="str">
        <x:v>incoming/raw/recovery-drop-01/chemistry_egkr_spring_visual_assets_v108.zip!/pages/VIS-EGKR-CHEM-S26-TASK-956-P005.png</x:v>
      </x:c>
      <x:c r="R342" s="30" t="str">
        <x:v>MATCHED_ASSET</x:v>
      </x:c>
      <x:c r="S342" t="e">
        <x:f>HYPERLINK("visual_gallery/index.html#"&amp;A342,"Галерея")</x:f>
      </x:c>
    </x:row>
    <x:row r="343">
      <x:c r="A343" s="87" t="str">
        <x:v>VIS-EGKR-CHEM-S26-TASK-956-P006</x:v>
      </x:c>
      <x:c r="B343" s="30" t="str">
        <x:v>Химия</x:v>
      </x:c>
      <x:c r="C343" s="30"/>
      <x:c r="D343" s="30" t="str">
        <x:v>956</x:v>
      </x:c>
      <x:c r="E343" s="87" t="str">
        <x:v>TASK</x:v>
      </x:c>
      <x:c r="F343" s="30" t="str">
        <x:v>ЕГКР - ХИМ 956 (2).pdf</x:v>
      </x:c>
      <x:c r="G343" s="87" t="str">
        <x:v>6</x:v>
      </x:c>
      <x:c r="H343" s="87" t="str">
        <x:v>v1.08</x:v>
      </x:c>
      <x:c r="I343" s="87" t="str">
        <x:v>2</x:v>
      </x:c>
      <x:c r="J343" s="30" t="str">
        <x:v>VIS_ID</x:v>
      </x:c>
      <x:c r="K343" s="30" t="str">
        <x:v>EGKR-S26-CHEM-956-12, EGKR-S26-CHEM-956-13</x:v>
      </x:c>
      <x:c r="L343" s="87" t="str">
        <x:v>CROP_VERIFIED</x:v>
      </x:c>
      <x:c r="M343" s="87" t="str">
        <x:v>ORIGINAL_PACKAGE</x:v>
      </x:c>
      <x:c r="N343" s="87" t="str">
        <x:v>pages/VIS-EGKR-CHEM-S26-TASK-956-P006.png</x:v>
      </x:c>
      <x:c r="O343" s="87" t="str">
        <x:v>thumbnails/VIS-EGKR-CHEM-S26-TASK-956-P006.jpg</x:v>
      </x:c>
      <x:c r="P343" s="87" t="str">
        <x:v>3339bbe772f6af0197288e95998ed1193f0d651c52a004c163e57f53383b30bf</x:v>
      </x:c>
      <x:c r="Q343" s="30" t="str">
        <x:v>incoming/raw/recovery-drop-01/chemistry_egkr_spring_visual_assets_v108.zip!/pages/VIS-EGKR-CHEM-S26-TASK-956-P006.png</x:v>
      </x:c>
      <x:c r="R343" s="30" t="str">
        <x:v>MATCHED_ASSET</x:v>
      </x:c>
      <x:c r="S343" t="e">
        <x:f>HYPERLINK("visual_gallery/index.html#"&amp;A343,"Галерея")</x:f>
      </x:c>
    </x:row>
    <x:row r="344">
      <x:c r="A344" s="87" t="str">
        <x:v>VIS-EGKR-CHEM-S26-TASK-956-P007</x:v>
      </x:c>
      <x:c r="B344" s="30" t="str">
        <x:v>Химия</x:v>
      </x:c>
      <x:c r="C344" s="30"/>
      <x:c r="D344" s="30" t="str">
        <x:v>956</x:v>
      </x:c>
      <x:c r="E344" s="87" t="str">
        <x:v>TASK</x:v>
      </x:c>
      <x:c r="F344" s="30" t="str">
        <x:v>ЕГКР - ХИМ 956 (2).pdf</x:v>
      </x:c>
      <x:c r="G344" s="87" t="str">
        <x:v>7</x:v>
      </x:c>
      <x:c r="H344" s="87" t="str">
        <x:v>v1.08</x:v>
      </x:c>
      <x:c r="I344" s="87" t="str">
        <x:v>1</x:v>
      </x:c>
      <x:c r="J344" s="30" t="str">
        <x:v>VIS_ID</x:v>
      </x:c>
      <x:c r="K344" s="30" t="str">
        <x:v>EGKR-S26-CHEM-956-14</x:v>
      </x:c>
      <x:c r="L344" s="87" t="str">
        <x:v>CROP_VERIFIED</x:v>
      </x:c>
      <x:c r="M344" s="87" t="str">
        <x:v>ORIGINAL_PACKAGE</x:v>
      </x:c>
      <x:c r="N344" s="87" t="str">
        <x:v>pages/VIS-EGKR-CHEM-S26-TASK-956-P007.png</x:v>
      </x:c>
      <x:c r="O344" s="87" t="str">
        <x:v>thumbnails/VIS-EGKR-CHEM-S26-TASK-956-P007.jpg</x:v>
      </x:c>
      <x:c r="P344" s="87" t="str">
        <x:v>c47f0dc164c13173b64685503325676742a533601493c2d4505797d78c8f561d</x:v>
      </x:c>
      <x:c r="Q344" s="30" t="str">
        <x:v>incoming/raw/recovery-drop-01/chemistry_egkr_spring_visual_assets_v108.zip!/pages/VIS-EGKR-CHEM-S26-TASK-956-P007.png</x:v>
      </x:c>
      <x:c r="R344" s="30" t="str">
        <x:v>MATCHED_ASSET</x:v>
      </x:c>
      <x:c r="S344" t="e">
        <x:f>HYPERLINK("visual_gallery/index.html#"&amp;A344,"Галерея")</x:f>
      </x:c>
    </x:row>
    <x:row r="345">
      <x:c r="A345" s="87" t="str">
        <x:v>VIS-EGKR-CHEM-S26-TASK-956-P008</x:v>
      </x:c>
      <x:c r="B345" s="30" t="str">
        <x:v>Химия</x:v>
      </x:c>
      <x:c r="C345" s="30"/>
      <x:c r="D345" s="30" t="str">
        <x:v>956</x:v>
      </x:c>
      <x:c r="E345" s="87" t="str">
        <x:v>TASK</x:v>
      </x:c>
      <x:c r="F345" s="30" t="str">
        <x:v>ЕГКР - ХИМ 956 (2).pdf</x:v>
      </x:c>
      <x:c r="G345" s="87" t="str">
        <x:v>8</x:v>
      </x:c>
      <x:c r="H345" s="87" t="str">
        <x:v>v1.08</x:v>
      </x:c>
      <x:c r="I345" s="87" t="str">
        <x:v>2</x:v>
      </x:c>
      <x:c r="J345" s="30" t="str">
        <x:v>VIS_ID</x:v>
      </x:c>
      <x:c r="K345" s="30" t="str">
        <x:v>EGKR-S26-CHEM-956-15, EGKR-S26-CHEM-956-16</x:v>
      </x:c>
      <x:c r="L345" s="87" t="str">
        <x:v>CROP_VERIFIED</x:v>
      </x:c>
      <x:c r="M345" s="87" t="str">
        <x:v>ORIGINAL_PACKAGE</x:v>
      </x:c>
      <x:c r="N345" s="87" t="str">
        <x:v>pages/VIS-EGKR-CHEM-S26-TASK-956-P008.png</x:v>
      </x:c>
      <x:c r="O345" s="87" t="str">
        <x:v>thumbnails/VIS-EGKR-CHEM-S26-TASK-956-P008.jpg</x:v>
      </x:c>
      <x:c r="P345" s="87" t="str">
        <x:v>19ebde46b780f15195188e6af6e660aed40bd6a1e71b23218197d1a5bc438885</x:v>
      </x:c>
      <x:c r="Q345" s="30" t="str">
        <x:v>incoming/raw/recovery-drop-01/chemistry_egkr_spring_visual_assets_v108.zip!/pages/VIS-EGKR-CHEM-S26-TASK-956-P008.png</x:v>
      </x:c>
      <x:c r="R345" s="30" t="str">
        <x:v>MATCHED_ASSET</x:v>
      </x:c>
      <x:c r="S345" t="e">
        <x:f>HYPERLINK("visual_gallery/index.html#"&amp;A345,"Галерея")</x:f>
      </x:c>
    </x:row>
    <x:row r="346">
      <x:c r="A346" s="87" t="str">
        <x:v>VIS-EGKR-CHEM-S26-TASK-956-P009</x:v>
      </x:c>
      <x:c r="B346" s="30" t="str">
        <x:v>Химия</x:v>
      </x:c>
      <x:c r="C346" s="30"/>
      <x:c r="D346" s="30" t="str">
        <x:v>956</x:v>
      </x:c>
      <x:c r="E346" s="87" t="str">
        <x:v>TASK</x:v>
      </x:c>
      <x:c r="F346" s="30" t="str">
        <x:v>ЕГКР - ХИМ 956 (2).pdf</x:v>
      </x:c>
      <x:c r="G346" s="87" t="str">
        <x:v>9</x:v>
      </x:c>
      <x:c r="H346" s="87" t="str">
        <x:v>v1.08</x:v>
      </x:c>
      <x:c r="I346" s="87" t="str">
        <x:v>3</x:v>
      </x:c>
      <x:c r="J346" s="30" t="str">
        <x:v>VIS_ID</x:v>
      </x:c>
      <x:c r="K346" s="30" t="str">
        <x:v>EGKR-S26-CHEM-956-17, EGKR-S26-CHEM-956-18, EGKR-S26-CHEM-956-19</x:v>
      </x:c>
      <x:c r="L346" s="87" t="str">
        <x:v>CROP_VERIFIED</x:v>
      </x:c>
      <x:c r="M346" s="87" t="str">
        <x:v>ORIGINAL_PACKAGE</x:v>
      </x:c>
      <x:c r="N346" s="87" t="str">
        <x:v>pages/VIS-EGKR-CHEM-S26-TASK-956-P009.png</x:v>
      </x:c>
      <x:c r="O346" s="87" t="str">
        <x:v>thumbnails/VIS-EGKR-CHEM-S26-TASK-956-P009.jpg</x:v>
      </x:c>
      <x:c r="P346" s="87" t="str">
        <x:v>3754c3c8ea612749800b4ca6dc36cbf32fb2478cccc1d02fc3507c639731e56e</x:v>
      </x:c>
      <x:c r="Q346" s="30" t="str">
        <x:v>incoming/raw/recovery-drop-01/chemistry_egkr_spring_visual_assets_v108.zip!/pages/VIS-EGKR-CHEM-S26-TASK-956-P009.png</x:v>
      </x:c>
      <x:c r="R346" s="30" t="str">
        <x:v>MATCHED_ASSET</x:v>
      </x:c>
      <x:c r="S346" t="e">
        <x:f>HYPERLINK("visual_gallery/index.html#"&amp;A346,"Галерея")</x:f>
      </x:c>
    </x:row>
    <x:row r="347">
      <x:c r="A347" s="87" t="str">
        <x:v>VIS-EGKR-CHEM-S26-TASK-956-P010</x:v>
      </x:c>
      <x:c r="B347" s="30" t="str">
        <x:v>Химия</x:v>
      </x:c>
      <x:c r="C347" s="30"/>
      <x:c r="D347" s="30" t="str">
        <x:v>956</x:v>
      </x:c>
      <x:c r="E347" s="87" t="str">
        <x:v>TASK</x:v>
      </x:c>
      <x:c r="F347" s="30" t="str">
        <x:v>ЕГКР - ХИМ 956 (2).pdf</x:v>
      </x:c>
      <x:c r="G347" s="87" t="str">
        <x:v>10</x:v>
      </x:c>
      <x:c r="H347" s="87" t="str">
        <x:v>v1.08</x:v>
      </x:c>
      <x:c r="I347" s="87" t="str">
        <x:v>3</x:v>
      </x:c>
      <x:c r="J347" s="30" t="str">
        <x:v>VIS_ID</x:v>
      </x:c>
      <x:c r="K347" s="30" t="str">
        <x:v>EGKR-S26-CHEM-956-20, EGKR-S26-CHEM-956-21, EGKR-S26-CHEM-956-22</x:v>
      </x:c>
      <x:c r="L347" s="87" t="str">
        <x:v>CROP_VERIFIED</x:v>
      </x:c>
      <x:c r="M347" s="87" t="str">
        <x:v>ORIGINAL_PACKAGE</x:v>
      </x:c>
      <x:c r="N347" s="87" t="str">
        <x:v>pages/VIS-EGKR-CHEM-S26-TASK-956-P010.png</x:v>
      </x:c>
      <x:c r="O347" s="87" t="str">
        <x:v>thumbnails/VIS-EGKR-CHEM-S26-TASK-956-P010.jpg</x:v>
      </x:c>
      <x:c r="P347" s="87" t="str">
        <x:v>8aec3b2b1067a7d29a3beec2c1672ee9d3b93251ea7fd6f6058827fa89969165</x:v>
      </x:c>
      <x:c r="Q347" s="30" t="str">
        <x:v>incoming/raw/recovery-drop-01/chemistry_egkr_spring_visual_assets_v108.zip!/pages/VIS-EGKR-CHEM-S26-TASK-956-P010.png</x:v>
      </x:c>
      <x:c r="R347" s="30" t="str">
        <x:v>MATCHED_ASSET</x:v>
      </x:c>
      <x:c r="S347" t="e">
        <x:f>HYPERLINK("visual_gallery/index.html#"&amp;A347,"Галерея")</x:f>
      </x:c>
    </x:row>
    <x:row r="348">
      <x:c r="A348" s="87" t="str">
        <x:v>VIS-EGKR-CHEM-S26-TASK-956-P011</x:v>
      </x:c>
      <x:c r="B348" s="30" t="str">
        <x:v>Химия</x:v>
      </x:c>
      <x:c r="C348" s="30"/>
      <x:c r="D348" s="30" t="str">
        <x:v>956</x:v>
      </x:c>
      <x:c r="E348" s="87" t="str">
        <x:v>TASK</x:v>
      </x:c>
      <x:c r="F348" s="30" t="str">
        <x:v>ЕГКР - ХИМ 956 (2).pdf</x:v>
      </x:c>
      <x:c r="G348" s="87" t="str">
        <x:v>11</x:v>
      </x:c>
      <x:c r="H348" s="87" t="str">
        <x:v>v1.08</x:v>
      </x:c>
      <x:c r="I348" s="87" t="str">
        <x:v>1</x:v>
      </x:c>
      <x:c r="J348" s="30" t="str">
        <x:v>VIS_ID</x:v>
      </x:c>
      <x:c r="K348" s="30" t="str">
        <x:v>EGKR-S26-CHEM-956-23</x:v>
      </x:c>
      <x:c r="L348" s="87" t="str">
        <x:v>CROP_VERIFIED</x:v>
      </x:c>
      <x:c r="M348" s="87" t="str">
        <x:v>ORIGINAL_PACKAGE</x:v>
      </x:c>
      <x:c r="N348" s="87" t="str">
        <x:v>pages/VIS-EGKR-CHEM-S26-TASK-956-P011.png</x:v>
      </x:c>
      <x:c r="O348" s="87" t="str">
        <x:v>thumbnails/VIS-EGKR-CHEM-S26-TASK-956-P011.jpg</x:v>
      </x:c>
      <x:c r="P348" s="87" t="str">
        <x:v>80f225de63b60ae314401652af5db438be7f20faf8e43b594f28a2c3559efdee</x:v>
      </x:c>
      <x:c r="Q348" s="30" t="str">
        <x:v>incoming/raw/recovery-drop-01/chemistry_egkr_spring_visual_assets_v108.zip!/pages/VIS-EGKR-CHEM-S26-TASK-956-P011.png</x:v>
      </x:c>
      <x:c r="R348" s="30" t="str">
        <x:v>MATCHED_ASSET</x:v>
      </x:c>
      <x:c r="S348" t="e">
        <x:f>HYPERLINK("visual_gallery/index.html#"&amp;A348,"Галерея")</x:f>
      </x:c>
    </x:row>
    <x:row r="349">
      <x:c r="A349" s="87" t="str">
        <x:v>VIS-EGKR-CHEM-S26-TASK-956-P012</x:v>
      </x:c>
      <x:c r="B349" s="30" t="str">
        <x:v>Химия</x:v>
      </x:c>
      <x:c r="C349" s="30"/>
      <x:c r="D349" s="30" t="str">
        <x:v>956</x:v>
      </x:c>
      <x:c r="E349" s="87" t="str">
        <x:v>TASK</x:v>
      </x:c>
      <x:c r="F349" s="30" t="str">
        <x:v>ЕГКР - ХИМ 956 (2).pdf</x:v>
      </x:c>
      <x:c r="G349" s="87" t="str">
        <x:v>12</x:v>
      </x:c>
      <x:c r="H349" s="87" t="str">
        <x:v>v1.08</x:v>
      </x:c>
      <x:c r="I349" s="87" t="str">
        <x:v>2</x:v>
      </x:c>
      <x:c r="J349" s="30" t="str">
        <x:v>VIS_ID</x:v>
      </x:c>
      <x:c r="K349" s="30" t="str">
        <x:v>EGKR-S26-CHEM-956-24, EGKR-S26-CHEM-956-25</x:v>
      </x:c>
      <x:c r="L349" s="87" t="str">
        <x:v>CROP_VERIFIED</x:v>
      </x:c>
      <x:c r="M349" s="87" t="str">
        <x:v>ORIGINAL_PACKAGE</x:v>
      </x:c>
      <x:c r="N349" s="87" t="str">
        <x:v>pages/VIS-EGKR-CHEM-S26-TASK-956-P012.png</x:v>
      </x:c>
      <x:c r="O349" s="87" t="str">
        <x:v>thumbnails/VIS-EGKR-CHEM-S26-TASK-956-P012.jpg</x:v>
      </x:c>
      <x:c r="P349" s="87" t="str">
        <x:v>623945ca24f6c8fb6757f11933298c92352d1364f550e0679795215a9c89e715</x:v>
      </x:c>
      <x:c r="Q349" s="30" t="str">
        <x:v>incoming/raw/recovery-drop-01/chemistry_egkr_spring_visual_assets_v108.zip!/pages/VIS-EGKR-CHEM-S26-TASK-956-P012.png</x:v>
      </x:c>
      <x:c r="R349" s="30" t="str">
        <x:v>MATCHED_ASSET</x:v>
      </x:c>
      <x:c r="S349" t="e">
        <x:f>HYPERLINK("visual_gallery/index.html#"&amp;A349,"Галерея")</x:f>
      </x:c>
    </x:row>
    <x:row r="350">
      <x:c r="A350" s="87" t="str">
        <x:v>VIS-EGKR-CHEM-S26-TASK-956-P013</x:v>
      </x:c>
      <x:c r="B350" s="30" t="str">
        <x:v>Химия</x:v>
      </x:c>
      <x:c r="C350" s="30"/>
      <x:c r="D350" s="30" t="str">
        <x:v>956</x:v>
      </x:c>
      <x:c r="E350" s="87" t="str">
        <x:v>TASK</x:v>
      </x:c>
      <x:c r="F350" s="30" t="str">
        <x:v>ЕГКР - ХИМ 956 (2).pdf</x:v>
      </x:c>
      <x:c r="G350" s="87" t="str">
        <x:v>13</x:v>
      </x:c>
      <x:c r="H350" s="87" t="str">
        <x:v>v1.08</x:v>
      </x:c>
      <x:c r="I350" s="87" t="str">
        <x:v>3</x:v>
      </x:c>
      <x:c r="J350" s="30" t="str">
        <x:v>VIS_ID</x:v>
      </x:c>
      <x:c r="K350" s="30" t="str">
        <x:v>EGKR-S26-CHEM-956-26, EGKR-S26-CHEM-956-27, EGKR-S26-CHEM-956-28</x:v>
      </x:c>
      <x:c r="L350" s="87" t="str">
        <x:v>CROP_VERIFIED</x:v>
      </x:c>
      <x:c r="M350" s="87" t="str">
        <x:v>ORIGINAL_PACKAGE</x:v>
      </x:c>
      <x:c r="N350" s="87" t="str">
        <x:v>pages/VIS-EGKR-CHEM-S26-TASK-956-P013.png</x:v>
      </x:c>
      <x:c r="O350" s="87" t="str">
        <x:v>thumbnails/VIS-EGKR-CHEM-S26-TASK-956-P013.jpg</x:v>
      </x:c>
      <x:c r="P350" s="87" t="str">
        <x:v>34fe44600bb31d2dc47438939d12d073873d182b8be49f4b29d0da38ca27a4ef</x:v>
      </x:c>
      <x:c r="Q350" s="30" t="str">
        <x:v>incoming/raw/recovery-drop-01/chemistry_egkr_spring_visual_assets_v108.zip!/pages/VIS-EGKR-CHEM-S26-TASK-956-P013.png</x:v>
      </x:c>
      <x:c r="R350" s="30" t="str">
        <x:v>MATCHED_ASSET</x:v>
      </x:c>
      <x:c r="S350" t="e">
        <x:f>HYPERLINK("visual_gallery/index.html#"&amp;A350,"Галерея")</x:f>
      </x:c>
    </x:row>
    <x:row r="351">
      <x:c r="A351" s="87" t="str">
        <x:v>VIS-EGKR-CHEM-S26-TASK-956-P014</x:v>
      </x:c>
      <x:c r="B351" s="30" t="str">
        <x:v>Химия</x:v>
      </x:c>
      <x:c r="C351" s="30"/>
      <x:c r="D351" s="30" t="str">
        <x:v>956</x:v>
      </x:c>
      <x:c r="E351" s="87" t="str">
        <x:v>TASK</x:v>
      </x:c>
      <x:c r="F351" s="30" t="str">
        <x:v>ЕГКР - ХИМ 956 (2).pdf</x:v>
      </x:c>
      <x:c r="G351" s="87" t="str">
        <x:v>14</x:v>
      </x:c>
      <x:c r="H351" s="87" t="str">
        <x:v>v1.08</x:v>
      </x:c>
      <x:c r="I351" s="87" t="str">
        <x:v>4</x:v>
      </x:c>
      <x:c r="J351" s="30" t="str">
        <x:v>VIS_ID</x:v>
      </x:c>
      <x:c r="K351" s="30" t="str">
        <x:v>EGKR-S26-CHEM-956-29, EGKR-S26-CHEM-956-30, EGKR-S26-CHEM-956-31, EGKR-S26-CHEM-956-32</x:v>
      </x:c>
      <x:c r="L351" s="87" t="str">
        <x:v>CROP_VERIFIED</x:v>
      </x:c>
      <x:c r="M351" s="87" t="str">
        <x:v>ORIGINAL_PACKAGE</x:v>
      </x:c>
      <x:c r="N351" s="87" t="str">
        <x:v>pages/VIS-EGKR-CHEM-S26-TASK-956-P014.png</x:v>
      </x:c>
      <x:c r="O351" s="87" t="str">
        <x:v>thumbnails/VIS-EGKR-CHEM-S26-TASK-956-P014.jpg</x:v>
      </x:c>
      <x:c r="P351" s="87" t="str">
        <x:v>9deacbc2a67bff19ee330a73f57e21decdbf489abc4a3425ec0509155429f34b</x:v>
      </x:c>
      <x:c r="Q351" s="30" t="str">
        <x:v>incoming/raw/recovery-drop-01/chemistry_egkr_spring_visual_assets_v108.zip!/pages/VIS-EGKR-CHEM-S26-TASK-956-P014.png</x:v>
      </x:c>
      <x:c r="R351" s="30" t="str">
        <x:v>MATCHED_ASSET</x:v>
      </x:c>
      <x:c r="S351" t="e">
        <x:f>HYPERLINK("visual_gallery/index.html#"&amp;A351,"Галерея")</x:f>
      </x:c>
    </x:row>
    <x:row r="352">
      <x:c r="A352" s="87" t="str">
        <x:v>VIS-EGKR-CHEM-S26-TASK-956-P015</x:v>
      </x:c>
      <x:c r="B352" s="30" t="str">
        <x:v>Химия</x:v>
      </x:c>
      <x:c r="C352" s="30"/>
      <x:c r="D352" s="30" t="str">
        <x:v>956</x:v>
      </x:c>
      <x:c r="E352" s="87" t="str">
        <x:v>TASK</x:v>
      </x:c>
      <x:c r="F352" s="30" t="str">
        <x:v>ЕГКР - ХИМ 956 (2).pdf</x:v>
      </x:c>
      <x:c r="G352" s="87" t="str">
        <x:v>15</x:v>
      </x:c>
      <x:c r="H352" s="87" t="str">
        <x:v>v1.08</x:v>
      </x:c>
      <x:c r="I352" s="87" t="str">
        <x:v>2</x:v>
      </x:c>
      <x:c r="J352" s="30" t="str">
        <x:v>VIS_ID</x:v>
      </x:c>
      <x:c r="K352" s="30" t="str">
        <x:v>EGKR-S26-CHEM-956-33, EGKR-S26-CHEM-956-34</x:v>
      </x:c>
      <x:c r="L352" s="87" t="str">
        <x:v>CROP_VERIFIED</x:v>
      </x:c>
      <x:c r="M352" s="87" t="str">
        <x:v>ORIGINAL_PACKAGE</x:v>
      </x:c>
      <x:c r="N352" s="87" t="str">
        <x:v>pages/VIS-EGKR-CHEM-S26-TASK-956-P015.png</x:v>
      </x:c>
      <x:c r="O352" s="87" t="str">
        <x:v>thumbnails/VIS-EGKR-CHEM-S26-TASK-956-P015.jpg</x:v>
      </x:c>
      <x:c r="P352" s="87" t="str">
        <x:v>b582a4e561ae4bb6b3bbed33df1a6ad8e5c41aa8f7cfe742cdf0742a92f253b7</x:v>
      </x:c>
      <x:c r="Q352" s="30" t="str">
        <x:v>incoming/raw/recovery-drop-01/chemistry_egkr_spring_visual_assets_v108.zip!/pages/VIS-EGKR-CHEM-S26-TASK-956-P015.png</x:v>
      </x:c>
      <x:c r="R352" s="30" t="str">
        <x:v>MATCHED_ASSET</x:v>
      </x:c>
      <x:c r="S352" t="e">
        <x:f>HYPERLINK("visual_gallery/index.html#"&amp;A352,"Галерея")</x:f>
      </x:c>
    </x:row>
    <x:row r="353">
      <x:c r="A353" s="87" t="str">
        <x:v>VIS-EGKR-ENG-S26-ANSWERDOC-P001</x:v>
      </x:c>
      <x:c r="B353" s="30" t="str">
        <x:v>Английский язык</x:v>
      </x:c>
      <x:c r="C353" s="30"/>
      <x:c r="D353" s="30" t="str">
        <x:v>953–954</x:v>
      </x:c>
      <x:c r="E353" s="87" t="str">
        <x:v>SECONDARY_ANSWER_AND_MODEL_SOURCE</x:v>
      </x:c>
      <x:c r="F353" s="30" t="str">
        <x:v>Ответы английский (1).docx</x:v>
      </x:c>
      <x:c r="G353" s="87" t="str">
        <x:v>1</x:v>
      </x:c>
      <x:c r="H353" s="87" t="str">
        <x:v>v1.04</x:v>
      </x:c>
      <x:c r="I353" s="87" t="str">
        <x:v>37</x:v>
      </x:c>
      <x:c r="J353" s="30" t="str">
        <x:v>VIS_KEY / MODEL</x:v>
      </x:c>
      <x:c r="K353" s="30" t="str">
        <x:v>EGKR-S26-ENG-953-01, EGKR-S26-ENG-953-02, EGKR-S26-ENG-953-03, EGKR-S26-ENG-953-04, EGKR-S26-ENG-953-05, EGKR-S26-ENG-953-06, EGKR-S26-ENG-953-07, EGKR-S26-ENG-953-08…</x:v>
      </x:c>
      <x:c r="L353" s="87" t="str">
        <x:v>CROP_VERIFIED</x:v>
      </x:c>
      <x:c r="M353" s="87" t="str">
        <x:v>ORIGINAL_PACKAGE</x:v>
      </x:c>
      <x:c r="N353" s="87" t="str">
        <x:v>pages/VIS-EGKR-ENG-S26-ANSWERDOC-P001.png</x:v>
      </x:c>
      <x:c r="O353" s="87" t="str">
        <x:v>thumbnails/VIS-EGKR-ENG-S26-ANSWERDOC-P001.jpg</x:v>
      </x:c>
      <x:c r="P353" s="87" t="str">
        <x:v>c931425850e02dc59946493bbcc17ae93245df4a500a0334c1350b979c948ab3</x:v>
      </x:c>
      <x:c r="Q353" s="30" t="str">
        <x:v>incoming/raw/recovery-drop-01/english_egkr_spring_visual_audio_assets_v104.zip!/pages/VIS-EGKR-ENG-S26-ANSWERDOC-P001.png</x:v>
      </x:c>
      <x:c r="R353" s="30" t="str">
        <x:v>MATCHED_ASSET</x:v>
      </x:c>
      <x:c r="S353" t="e">
        <x:f>HYPERLINK("visual_gallery/index.html#"&amp;A353,"Галерея")</x:f>
      </x:c>
    </x:row>
    <x:row r="354">
      <x:c r="A354" s="87" t="str">
        <x:v>VIS-EGKR-ENG-S26-ANSWERDOC-P002</x:v>
      </x:c>
      <x:c r="B354" s="30" t="str"/>
      <x:c r="C354" s="30"/>
      <x:c r="D354" s="30" t="str">
        <x:v>953–954</x:v>
      </x:c>
      <x:c r="E354" s="87" t="str">
        <x:v>SECONDARY_ANSWER_AND_MODEL_SOURCE</x:v>
      </x:c>
      <x:c r="F354" s="30" t="str">
        <x:v>Ответы английский (1).docx</x:v>
      </x:c>
      <x:c r="G354" s="87" t="str">
        <x:v>2</x:v>
      </x:c>
      <x:c r="H354" s="87" t="str">
        <x:v>v1.04</x:v>
      </x:c>
      <x:c r="I354" s="87" t="str">
        <x:v>0</x:v>
      </x:c>
      <x:c r="J354" s="30" t="str"/>
      <x:c r="K354" s="30" t="str"/>
      <x:c r="L354" s="87" t="str">
        <x:v>CROP_VERIFIED</x:v>
      </x:c>
      <x:c r="M354" s="87" t="str">
        <x:v>ORIGINAL_PACKAGE</x:v>
      </x:c>
      <x:c r="N354" s="87" t="str">
        <x:v>pages/VIS-EGKR-ENG-S26-ANSWERDOC-P002.png</x:v>
      </x:c>
      <x:c r="O354" s="87" t="str">
        <x:v>thumbnails/VIS-EGKR-ENG-S26-ANSWERDOC-P002.jpg</x:v>
      </x:c>
      <x:c r="P354" s="87" t="str">
        <x:v>385d7a22ce226352d5010e3cf7c08bce5ac79e5a022a8ec2ee514e1536737a22</x:v>
      </x:c>
      <x:c r="Q354" s="30" t="str">
        <x:v>incoming/raw/recovery-drop-01/english_egkr_spring_visual_audio_assets_v104.zip!/pages/VIS-EGKR-ENG-S26-ANSWERDOC-P002.png</x:v>
      </x:c>
      <x:c r="R354" s="30" t="str">
        <x:v>RESOLVED_UNLINKED_REGISTRY_VISUAL</x:v>
      </x:c>
      <x:c r="S354" t="e">
        <x:f>HYPERLINK("visual_gallery/index.html#"&amp;A354,"Галерея")</x:f>
      </x:c>
    </x:row>
    <x:row r="355">
      <x:c r="A355" s="87" t="str">
        <x:v>VIS-EGKR-ENG-S26-ANSWERDOC-P003</x:v>
      </x:c>
      <x:c r="B355" s="30" t="str"/>
      <x:c r="C355" s="30"/>
      <x:c r="D355" s="30" t="str">
        <x:v>953–954</x:v>
      </x:c>
      <x:c r="E355" s="87" t="str">
        <x:v>SECONDARY_ANSWER_AND_MODEL_SOURCE</x:v>
      </x:c>
      <x:c r="F355" s="30" t="str">
        <x:v>Ответы английский (1).docx</x:v>
      </x:c>
      <x:c r="G355" s="87" t="str">
        <x:v>3</x:v>
      </x:c>
      <x:c r="H355" s="87" t="str">
        <x:v>v1.04</x:v>
      </x:c>
      <x:c r="I355" s="87" t="str">
        <x:v>0</x:v>
      </x:c>
      <x:c r="J355" s="30" t="str"/>
      <x:c r="K355" s="30" t="str"/>
      <x:c r="L355" s="87" t="str">
        <x:v>CROP_VERIFIED</x:v>
      </x:c>
      <x:c r="M355" s="87" t="str">
        <x:v>ORIGINAL_PACKAGE</x:v>
      </x:c>
      <x:c r="N355" s="87" t="str">
        <x:v>pages/VIS-EGKR-ENG-S26-ANSWERDOC-P003.png</x:v>
      </x:c>
      <x:c r="O355" s="87" t="str">
        <x:v>thumbnails/VIS-EGKR-ENG-S26-ANSWERDOC-P003.jpg</x:v>
      </x:c>
      <x:c r="P355" s="87" t="str">
        <x:v>bc49cd535217ab44715c2d1389b5b91a35bde8e0f9e9c559e6972b858855f9f4</x:v>
      </x:c>
      <x:c r="Q355" s="30" t="str">
        <x:v>incoming/raw/recovery-drop-01/english_egkr_spring_visual_audio_assets_v104.zip!/pages/VIS-EGKR-ENG-S26-ANSWERDOC-P003.png</x:v>
      </x:c>
      <x:c r="R355" s="30" t="str">
        <x:v>RESOLVED_UNLINKED_REGISTRY_VISUAL</x:v>
      </x:c>
      <x:c r="S355" t="e">
        <x:f>HYPERLINK("visual_gallery/index.html#"&amp;A355,"Галерея")</x:f>
      </x:c>
    </x:row>
    <x:row r="356">
      <x:c r="A356" s="87" t="str">
        <x:v>VIS-EGKR-ENG-S26-ANSWERDOC-P004</x:v>
      </x:c>
      <x:c r="B356" s="30" t="str">
        <x:v>Английский язык</x:v>
      </x:c>
      <x:c r="C356" s="30"/>
      <x:c r="D356" s="30" t="str">
        <x:v>953–954</x:v>
      </x:c>
      <x:c r="E356" s="87" t="str">
        <x:v>SECONDARY_ANSWER_AND_MODEL_SOURCE</x:v>
      </x:c>
      <x:c r="F356" s="30" t="str">
        <x:v>Ответы английский (1).docx</x:v>
      </x:c>
      <x:c r="G356" s="87" t="str">
        <x:v>4</x:v>
      </x:c>
      <x:c r="H356" s="87" t="str">
        <x:v>v1.04</x:v>
      </x:c>
      <x:c r="I356" s="87" t="str">
        <x:v>37</x:v>
      </x:c>
      <x:c r="J356" s="30" t="str">
        <x:v>VIS_KEY / MODEL</x:v>
      </x:c>
      <x:c r="K356" s="30" t="str">
        <x:v>EGKR-S26-ENG-954-01, EGKR-S26-ENG-954-02, EGKR-S26-ENG-954-03, EGKR-S26-ENG-954-04, EGKR-S26-ENG-954-05, EGKR-S26-ENG-954-06, EGKR-S26-ENG-954-07, EGKR-S26-ENG-954-08…</x:v>
      </x:c>
      <x:c r="L356" s="87" t="str">
        <x:v>CROP_VERIFIED</x:v>
      </x:c>
      <x:c r="M356" s="87" t="str">
        <x:v>ORIGINAL_PACKAGE</x:v>
      </x:c>
      <x:c r="N356" s="87" t="str">
        <x:v>pages/VIS-EGKR-ENG-S26-ANSWERDOC-P004.png</x:v>
      </x:c>
      <x:c r="O356" s="87" t="str">
        <x:v>thumbnails/VIS-EGKR-ENG-S26-ANSWERDOC-P004.jpg</x:v>
      </x:c>
      <x:c r="P356" s="87" t="str">
        <x:v>ba9943fd2603fbb3a32a96b748b54cde76639061cd64f07757e0d3760162aca2</x:v>
      </x:c>
      <x:c r="Q356" s="30" t="str">
        <x:v>incoming/raw/recovery-drop-01/english_egkr_spring_visual_audio_assets_v104.zip!/pages/VIS-EGKR-ENG-S26-ANSWERDOC-P004.png</x:v>
      </x:c>
      <x:c r="R356" s="30" t="str">
        <x:v>MATCHED_ASSET</x:v>
      </x:c>
      <x:c r="S356" t="e">
        <x:f>HYPERLINK("visual_gallery/index.html#"&amp;A356,"Галерея")</x:f>
      </x:c>
    </x:row>
    <x:row r="357">
      <x:c r="A357" s="87" t="str">
        <x:v>VIS-EGKR-ENG-S26-ANSWERDOC-P005</x:v>
      </x:c>
      <x:c r="B357" s="30" t="str">
        <x:v>Английский язык</x:v>
      </x:c>
      <x:c r="C357" s="30"/>
      <x:c r="D357" s="30" t="str">
        <x:v>953–954</x:v>
      </x:c>
      <x:c r="E357" s="87" t="str">
        <x:v>SECONDARY_ANSWER_AND_MODEL_SOURCE</x:v>
      </x:c>
      <x:c r="F357" s="30" t="str">
        <x:v>Ответы английский (1).docx</x:v>
      </x:c>
      <x:c r="G357" s="87" t="str">
        <x:v>5</x:v>
      </x:c>
      <x:c r="H357" s="87" t="str">
        <x:v>v1.04</x:v>
      </x:c>
      <x:c r="I357" s="87" t="str">
        <x:v>37</x:v>
      </x:c>
      <x:c r="J357" s="30" t="str">
        <x:v>VIS_KEY / MODEL</x:v>
      </x:c>
      <x:c r="K357" s="30" t="str">
        <x:v>EGKR-S26-ENG-954-01, EGKR-S26-ENG-954-02, EGKR-S26-ENG-954-03, EGKR-S26-ENG-954-04, EGKR-S26-ENG-954-05, EGKR-S26-ENG-954-06, EGKR-S26-ENG-954-07, EGKR-S26-ENG-954-08…</x:v>
      </x:c>
      <x:c r="L357" s="87" t="str">
        <x:v>CROP_VERIFIED</x:v>
      </x:c>
      <x:c r="M357" s="87" t="str">
        <x:v>ORIGINAL_PACKAGE</x:v>
      </x:c>
      <x:c r="N357" s="87" t="str">
        <x:v>pages/VIS-EGKR-ENG-S26-ANSWERDOC-P005.png</x:v>
      </x:c>
      <x:c r="O357" s="87" t="str">
        <x:v>thumbnails/VIS-EGKR-ENG-S26-ANSWERDOC-P005.jpg</x:v>
      </x:c>
      <x:c r="P357" s="87" t="str">
        <x:v>2c7482859232bf197f573e1cb7d81dcbedea62421dc3aed3c178b95f834539e6</x:v>
      </x:c>
      <x:c r="Q357" s="30" t="str">
        <x:v>incoming/raw/recovery-drop-01/english_egkr_spring_visual_audio_assets_v104.zip!/pages/VIS-EGKR-ENG-S26-ANSWERDOC-P005.png</x:v>
      </x:c>
      <x:c r="R357" s="30" t="str">
        <x:v>MATCHED_ASSET</x:v>
      </x:c>
      <x:c r="S357" t="e">
        <x:f>HYPERLINK("visual_gallery/index.html#"&amp;A357,"Галерея")</x:f>
      </x:c>
    </x:row>
    <x:row r="358">
      <x:c r="A358" s="87" t="str">
        <x:v>VIS-EGKR-ENG-S26-AUDIO-953-P001</x:v>
      </x:c>
      <x:c r="B358" s="30" t="str">
        <x:v>Английский язык</x:v>
      </x:c>
      <x:c r="C358" s="30"/>
      <x:c r="D358" s="30" t="str">
        <x:v>953</x:v>
      </x:c>
      <x:c r="E358" s="87" t="str">
        <x:v>AUDIO_WAVEFORM</x:v>
      </x:c>
      <x:c r="F358" s="30" t="str">
        <x:v>egkr_english_953_derived_0000-0834.mp3</x:v>
      </x:c>
      <x:c r="G358" s="87" t="str">
        <x:v>1</x:v>
      </x:c>
      <x:c r="H358" s="87" t="str">
        <x:v>v1.04</x:v>
      </x:c>
      <x:c r="I358" s="87" t="str">
        <x:v>9</x:v>
      </x:c>
      <x:c r="J358" s="30" t="str">
        <x:v>VIS_KEY / MODEL</x:v>
      </x:c>
      <x:c r="K358" s="30" t="str">
        <x:v>EGKR-S26-ENG-953-01, EGKR-S26-ENG-953-02, EGKR-S26-ENG-953-03, EGKR-S26-ENG-953-04, EGKR-S26-ENG-953-05, EGKR-S26-ENG-953-06, EGKR-S26-ENG-953-07, EGKR-S26-ENG-953-08…</x:v>
      </x:c>
      <x:c r="L358" s="87" t="str">
        <x:v>CROP_VERIFIED</x:v>
      </x:c>
      <x:c r="M358" s="87" t="str">
        <x:v>ORIGINAL_PACKAGE</x:v>
      </x:c>
      <x:c r="N358" s="87" t="str">
        <x:v>pages/VIS-EGKR-ENG-S26-AUDIO-953-P001.png</x:v>
      </x:c>
      <x:c r="O358" s="87" t="str">
        <x:v>thumbnails/VIS-EGKR-ENG-S26-AUDIO-953-P001.jpg</x:v>
      </x:c>
      <x:c r="P358" s="87" t="str">
        <x:v>503d8c45e523e76ff84369a294e1effc5097d0517383470dcc4970e6c47dc2c4</x:v>
      </x:c>
      <x:c r="Q358" s="30" t="str">
        <x:v>incoming/raw/recovery-drop-01/english_egkr_spring_visual_audio_assets_v104.zip!/pages/VIS-EGKR-ENG-S26-AUDIO-953-P001.png</x:v>
      </x:c>
      <x:c r="R358" s="30" t="str">
        <x:v>MATCHED_ASSET</x:v>
      </x:c>
      <x:c r="S358" t="e">
        <x:f>HYPERLINK("visual_gallery/index.html#"&amp;A358,"Галерея")</x:f>
      </x:c>
    </x:row>
    <x:row r="359">
      <x:c r="A359" s="87" t="str">
        <x:v>VIS-EGKR-ENG-S26-AUDIO-954-P001</x:v>
      </x:c>
      <x:c r="B359" s="30" t="str">
        <x:v>Английский язык</x:v>
      </x:c>
      <x:c r="C359" s="30"/>
      <x:c r="D359" s="30" t="str">
        <x:v>954</x:v>
      </x:c>
      <x:c r="E359" s="87" t="str">
        <x:v>AUDIO_WAVEFORM</x:v>
      </x:c>
      <x:c r="F359" s="30" t="str">
        <x:v>egkr_english_954_derived_0834-end.mp3</x:v>
      </x:c>
      <x:c r="G359" s="87" t="str">
        <x:v>1</x:v>
      </x:c>
      <x:c r="H359" s="87" t="str">
        <x:v>v1.04</x:v>
      </x:c>
      <x:c r="I359" s="87" t="str">
        <x:v>9</x:v>
      </x:c>
      <x:c r="J359" s="30" t="str">
        <x:v>VIS_KEY / MODEL</x:v>
      </x:c>
      <x:c r="K359" s="30" t="str">
        <x:v>EGKR-S26-ENG-954-01, EGKR-S26-ENG-954-02, EGKR-S26-ENG-954-03, EGKR-S26-ENG-954-04, EGKR-S26-ENG-954-05, EGKR-S26-ENG-954-06, EGKR-S26-ENG-954-07, EGKR-S26-ENG-954-08…</x:v>
      </x:c>
      <x:c r="L359" s="87" t="str">
        <x:v>CROP_VERIFIED</x:v>
      </x:c>
      <x:c r="M359" s="87" t="str">
        <x:v>ORIGINAL_PACKAGE</x:v>
      </x:c>
      <x:c r="N359" s="87" t="str">
        <x:v>pages/VIS-EGKR-ENG-S26-AUDIO-954-P001.png</x:v>
      </x:c>
      <x:c r="O359" s="87" t="str">
        <x:v>thumbnails/VIS-EGKR-ENG-S26-AUDIO-954-P001.jpg</x:v>
      </x:c>
      <x:c r="P359" s="87" t="str">
        <x:v>0405a2e9b71d96e4c1ab23a6329ac751834dfaa30f4a77c9c185d9d931c629a1</x:v>
      </x:c>
      <x:c r="Q359" s="30" t="str">
        <x:v>incoming/raw/recovery-drop-01/english_egkr_spring_visual_audio_assets_v104.zip!/pages/VIS-EGKR-ENG-S26-AUDIO-954-P001.png</x:v>
      </x:c>
      <x:c r="R359" s="30" t="str">
        <x:v>MATCHED_ASSET</x:v>
      </x:c>
      <x:c r="S359" t="e">
        <x:f>HYPERLINK("visual_gallery/index.html#"&amp;A359,"Галерея")</x:f>
      </x:c>
    </x:row>
    <x:row r="360">
      <x:c r="A360" s="87" t="str">
        <x:v>VIS-EGKR-ENG-S26-AUDIO-FULL-P001</x:v>
      </x:c>
      <x:c r="B360" s="30" t="str"/>
      <x:c r="C360" s="30"/>
      <x:c r="D360" s="30" t="str">
        <x:v>953–954</x:v>
      </x:c>
      <x:c r="E360" s="87" t="str">
        <x:v>AUDIO_WAVEFORM</x:v>
      </x:c>
      <x:c r="F360" s="30" t="str">
        <x:v>egkr_english_2026-04-14_full.mp3</x:v>
      </x:c>
      <x:c r="G360" s="87" t="str">
        <x:v>1</x:v>
      </x:c>
      <x:c r="H360" s="87" t="str">
        <x:v>v1.04</x:v>
      </x:c>
      <x:c r="I360" s="87" t="str">
        <x:v>0</x:v>
      </x:c>
      <x:c r="J360" s="30" t="str"/>
      <x:c r="K360" s="30" t="str"/>
      <x:c r="L360" s="87" t="str">
        <x:v>CROP_VERIFIED</x:v>
      </x:c>
      <x:c r="M360" s="87" t="str">
        <x:v>ORIGINAL_PACKAGE</x:v>
      </x:c>
      <x:c r="N360" s="87" t="str">
        <x:v>pages/VIS-EGKR-ENG-S26-AUDIO-FULL-P001.png</x:v>
      </x:c>
      <x:c r="O360" s="87" t="str">
        <x:v>thumbnails/VIS-EGKR-ENG-S26-AUDIO-FULL-P001.jpg</x:v>
      </x:c>
      <x:c r="P360" s="87" t="str">
        <x:v>a3a8d4bbebf5c151373289b2ccb29f1feda03839bef884894a65a8ceaf7925b8</x:v>
      </x:c>
      <x:c r="Q360" s="30" t="str">
        <x:v>incoming/raw/recovery-drop-01/english_egkr_spring_visual_audio_assets_v104.zip!/pages/VIS-EGKR-ENG-S26-AUDIO-FULL-P001.png</x:v>
      </x:c>
      <x:c r="R360" s="30" t="str">
        <x:v>RESOLVED_UNLINKED_REGISTRY_VISUAL</x:v>
      </x:c>
      <x:c r="S360" t="e">
        <x:f>HYPERLINK("visual_gallery/index.html#"&amp;A360,"Галерея")</x:f>
      </x:c>
    </x:row>
    <x:row r="361">
      <x:c r="A361" s="87" t="str">
        <x:v>VIS-EGKR-ENG-S26-TASK-953-P001</x:v>
      </x:c>
      <x:c r="B361" s="30" t="str">
        <x:v>Английский язык</x:v>
      </x:c>
      <x:c r="C361" s="30"/>
      <x:c r="D361" s="30" t="str">
        <x:v>953</x:v>
      </x:c>
      <x:c r="E361" s="87" t="str">
        <x:v>TASK</x:v>
      </x:c>
      <x:c r="F361" s="30" t="str">
        <x:v>Вар_953_англ_.pdf</x:v>
      </x:c>
      <x:c r="G361" s="87" t="str">
        <x:v>1</x:v>
      </x:c>
      <x:c r="H361" s="87" t="str">
        <x:v>v1.04</x:v>
      </x:c>
      <x:c r="I361" s="87" t="str">
        <x:v>2</x:v>
      </x:c>
      <x:c r="J361" s="30" t="str">
        <x:v>VIS_ID</x:v>
      </x:c>
      <x:c r="K361" s="30" t="str">
        <x:v>EGKR-S26-ENG-953-01, EGKR-S26-ENG-953-02</x:v>
      </x:c>
      <x:c r="L361" s="87" t="str">
        <x:v>CROP_VERIFIED</x:v>
      </x:c>
      <x:c r="M361" s="87" t="str">
        <x:v>ORIGINAL_PACKAGE</x:v>
      </x:c>
      <x:c r="N361" s="87" t="str">
        <x:v>pages/VIS-EGKR-ENG-S26-TASK-953-P001.png</x:v>
      </x:c>
      <x:c r="O361" s="87" t="str">
        <x:v>thumbnails/VIS-EGKR-ENG-S26-TASK-953-P001.jpg</x:v>
      </x:c>
      <x:c r="P361" s="87" t="str">
        <x:v>99b74f6ed64c7093be6b5848045cbb3531be70e50ab2101e3add77e98fc6d0df</x:v>
      </x:c>
      <x:c r="Q361" s="30" t="str">
        <x:v>incoming/raw/recovery-drop-01/english_egkr_spring_visual_audio_assets_v104.zip!/pages/VIS-EGKR-ENG-S26-TASK-953-P001.png</x:v>
      </x:c>
      <x:c r="R361" s="30" t="str">
        <x:v>MATCHED_ASSET</x:v>
      </x:c>
      <x:c r="S361" t="e">
        <x:f>HYPERLINK("visual_gallery/index.html#"&amp;A361,"Галерея")</x:f>
      </x:c>
    </x:row>
    <x:row r="362">
      <x:c r="A362" s="87" t="str">
        <x:v>VIS-EGKR-ENG-S26-TASK-953-P002</x:v>
      </x:c>
      <x:c r="B362" s="30" t="str">
        <x:v>Английский язык</x:v>
      </x:c>
      <x:c r="C362" s="30"/>
      <x:c r="D362" s="30" t="str">
        <x:v>953</x:v>
      </x:c>
      <x:c r="E362" s="87" t="str">
        <x:v>TASK</x:v>
      </x:c>
      <x:c r="F362" s="30" t="str">
        <x:v>Вар_953_англ_.pdf</x:v>
      </x:c>
      <x:c r="G362" s="87" t="str">
        <x:v>2</x:v>
      </x:c>
      <x:c r="H362" s="87" t="str">
        <x:v>v1.04</x:v>
      </x:c>
      <x:c r="I362" s="87" t="str">
        <x:v>7</x:v>
      </x:c>
      <x:c r="J362" s="30" t="str">
        <x:v>VIS_ID</x:v>
      </x:c>
      <x:c r="K362" s="30" t="str">
        <x:v>EGKR-S26-ENG-953-03, EGKR-S26-ENG-953-04, EGKR-S26-ENG-953-05, EGKR-S26-ENG-953-06, EGKR-S26-ENG-953-07, EGKR-S26-ENG-953-08, EGKR-S26-ENG-953-09</x:v>
      </x:c>
      <x:c r="L362" s="87" t="str">
        <x:v>CROP_VERIFIED</x:v>
      </x:c>
      <x:c r="M362" s="87" t="str">
        <x:v>ORIGINAL_PACKAGE</x:v>
      </x:c>
      <x:c r="N362" s="87" t="str">
        <x:v>pages/VIS-EGKR-ENG-S26-TASK-953-P002.png</x:v>
      </x:c>
      <x:c r="O362" s="87" t="str">
        <x:v>thumbnails/VIS-EGKR-ENG-S26-TASK-953-P002.jpg</x:v>
      </x:c>
      <x:c r="P362" s="87" t="str">
        <x:v>49af89b79be1ab6e2adb7e0e21106169df45661906ba5267b7296f7ec4ea27c5</x:v>
      </x:c>
      <x:c r="Q362" s="30" t="str">
        <x:v>incoming/raw/recovery-drop-01/english_egkr_spring_visual_audio_assets_v104.zip!/pages/VIS-EGKR-ENG-S26-TASK-953-P002.png</x:v>
      </x:c>
      <x:c r="R362" s="30" t="str">
        <x:v>MATCHED_ASSET</x:v>
      </x:c>
      <x:c r="S362" t="e">
        <x:f>HYPERLINK("visual_gallery/index.html#"&amp;A362,"Галерея")</x:f>
      </x:c>
    </x:row>
    <x:row r="363">
      <x:c r="A363" s="87" t="str">
        <x:v>VIS-EGKR-ENG-S26-TASK-953-P003</x:v>
      </x:c>
      <x:c r="B363" s="30" t="str">
        <x:v>Английский язык</x:v>
      </x:c>
      <x:c r="C363" s="30"/>
      <x:c r="D363" s="30" t="str">
        <x:v>953</x:v>
      </x:c>
      <x:c r="E363" s="87" t="str">
        <x:v>TASK</x:v>
      </x:c>
      <x:c r="F363" s="30" t="str">
        <x:v>Вар_953_англ_.pdf</x:v>
      </x:c>
      <x:c r="G363" s="87" t="str">
        <x:v>3</x:v>
      </x:c>
      <x:c r="H363" s="87" t="str">
        <x:v>v1.04</x:v>
      </x:c>
      <x:c r="I363" s="87" t="str">
        <x:v>1</x:v>
      </x:c>
      <x:c r="J363" s="30" t="str">
        <x:v>VIS_ID</x:v>
      </x:c>
      <x:c r="K363" s="30" t="str">
        <x:v>EGKR-S26-ENG-953-10</x:v>
      </x:c>
      <x:c r="L363" s="87" t="str">
        <x:v>CROP_VERIFIED</x:v>
      </x:c>
      <x:c r="M363" s="87" t="str">
        <x:v>ORIGINAL_PACKAGE</x:v>
      </x:c>
      <x:c r="N363" s="87" t="str">
        <x:v>pages/VIS-EGKR-ENG-S26-TASK-953-P003.png</x:v>
      </x:c>
      <x:c r="O363" s="87" t="str">
        <x:v>thumbnails/VIS-EGKR-ENG-S26-TASK-953-P003.jpg</x:v>
      </x:c>
      <x:c r="P363" s="87" t="str">
        <x:v>5837cd9e6c62189eb7e542fb51c7f7921492c9eaa673a4f0f0867119a8592fa6</x:v>
      </x:c>
      <x:c r="Q363" s="30" t="str">
        <x:v>incoming/raw/recovery-drop-01/english_egkr_spring_visual_audio_assets_v104.zip!/pages/VIS-EGKR-ENG-S26-TASK-953-P003.png</x:v>
      </x:c>
      <x:c r="R363" s="30" t="str">
        <x:v>MATCHED_ASSET</x:v>
      </x:c>
      <x:c r="S363" t="e">
        <x:f>HYPERLINK("visual_gallery/index.html#"&amp;A363,"Галерея")</x:f>
      </x:c>
    </x:row>
    <x:row r="364">
      <x:c r="A364" s="87" t="str">
        <x:v>VIS-EGKR-ENG-S26-TASK-953-P004</x:v>
      </x:c>
      <x:c r="B364" s="30" t="str">
        <x:v>Английский язык</x:v>
      </x:c>
      <x:c r="C364" s="30"/>
      <x:c r="D364" s="30" t="str">
        <x:v>953</x:v>
      </x:c>
      <x:c r="E364" s="87" t="str">
        <x:v>TASK</x:v>
      </x:c>
      <x:c r="F364" s="30" t="str">
        <x:v>Вар_953_англ_.pdf</x:v>
      </x:c>
      <x:c r="G364" s="87" t="str">
        <x:v>4</x:v>
      </x:c>
      <x:c r="H364" s="87" t="str">
        <x:v>v1.04</x:v>
      </x:c>
      <x:c r="I364" s="87" t="str">
        <x:v>1</x:v>
      </x:c>
      <x:c r="J364" s="30" t="str">
        <x:v>VIS_ID</x:v>
      </x:c>
      <x:c r="K364" s="30" t="str">
        <x:v>EGKR-S26-ENG-953-11</x:v>
      </x:c>
      <x:c r="L364" s="87" t="str">
        <x:v>CROP_VERIFIED</x:v>
      </x:c>
      <x:c r="M364" s="87" t="str">
        <x:v>ORIGINAL_PACKAGE</x:v>
      </x:c>
      <x:c r="N364" s="87" t="str">
        <x:v>pages/VIS-EGKR-ENG-S26-TASK-953-P004.png</x:v>
      </x:c>
      <x:c r="O364" s="87" t="str">
        <x:v>thumbnails/VIS-EGKR-ENG-S26-TASK-953-P004.jpg</x:v>
      </x:c>
      <x:c r="P364" s="87" t="str">
        <x:v>18d60156ed8b175aa990f029d731ac8dd7c5beace7e81d52ba5e5342d66708c7</x:v>
      </x:c>
      <x:c r="Q364" s="30" t="str">
        <x:v>incoming/raw/recovery-drop-01/english_egkr_spring_visual_audio_assets_v104.zip!/pages/VIS-EGKR-ENG-S26-TASK-953-P004.png</x:v>
      </x:c>
      <x:c r="R364" s="30" t="str">
        <x:v>MATCHED_ASSET</x:v>
      </x:c>
      <x:c r="S364" t="e">
        <x:f>HYPERLINK("visual_gallery/index.html#"&amp;A364,"Галерея")</x:f>
      </x:c>
    </x:row>
    <x:row r="365">
      <x:c r="A365" s="87" t="str">
        <x:v>VIS-EGKR-ENG-S26-TASK-953-P005</x:v>
      </x:c>
      <x:c r="B365" s="30" t="str">
        <x:v>Английский язык</x:v>
      </x:c>
      <x:c r="C365" s="30"/>
      <x:c r="D365" s="30" t="str">
        <x:v>953</x:v>
      </x:c>
      <x:c r="E365" s="87" t="str">
        <x:v>TASK</x:v>
      </x:c>
      <x:c r="F365" s="30" t="str">
        <x:v>Вар_953_англ_.pdf</x:v>
      </x:c>
      <x:c r="G365" s="87" t="str">
        <x:v>5</x:v>
      </x:c>
      <x:c r="H365" s="87" t="str">
        <x:v>v1.04</x:v>
      </x:c>
      <x:c r="I365" s="87" t="str">
        <x:v>7</x:v>
      </x:c>
      <x:c r="J365" s="30" t="str">
        <x:v>VIS_ID</x:v>
      </x:c>
      <x:c r="K365" s="30" t="str">
        <x:v>EGKR-S26-ENG-953-12, EGKR-S26-ENG-953-13, EGKR-S26-ENG-953-14, EGKR-S26-ENG-953-15, EGKR-S26-ENG-953-16, EGKR-S26-ENG-953-17, EGKR-S26-ENG-953-18</x:v>
      </x:c>
      <x:c r="L365" s="87" t="str">
        <x:v>CROP_VERIFIED</x:v>
      </x:c>
      <x:c r="M365" s="87" t="str">
        <x:v>ORIGINAL_PACKAGE</x:v>
      </x:c>
      <x:c r="N365" s="87" t="str">
        <x:v>pages/VIS-EGKR-ENG-S26-TASK-953-P005.png</x:v>
      </x:c>
      <x:c r="O365" s="87" t="str">
        <x:v>thumbnails/VIS-EGKR-ENG-S26-TASK-953-P005.jpg</x:v>
      </x:c>
      <x:c r="P365" s="87" t="str">
        <x:v>ac4e30990ed9e5c9439743b721c13cff3dc008b84029a1ce14a83e4af85c1925</x:v>
      </x:c>
      <x:c r="Q365" s="30" t="str">
        <x:v>incoming/raw/recovery-drop-01/english_egkr_spring_visual_audio_assets_v104.zip!/pages/VIS-EGKR-ENG-S26-TASK-953-P005.png</x:v>
      </x:c>
      <x:c r="R365" s="30" t="str">
        <x:v>MATCHED_ASSET</x:v>
      </x:c>
      <x:c r="S365" t="e">
        <x:f>HYPERLINK("visual_gallery/index.html#"&amp;A365,"Галерея")</x:f>
      </x:c>
    </x:row>
    <x:row r="366">
      <x:c r="A366" s="87" t="str">
        <x:v>VIS-EGKR-ENG-S26-TASK-953-P006</x:v>
      </x:c>
      <x:c r="B366" s="30" t="str">
        <x:v>Английский язык</x:v>
      </x:c>
      <x:c r="C366" s="30"/>
      <x:c r="D366" s="30" t="str">
        <x:v>953</x:v>
      </x:c>
      <x:c r="E366" s="87" t="str">
        <x:v>TASK</x:v>
      </x:c>
      <x:c r="F366" s="30" t="str">
        <x:v>Вар_953_англ_.pdf</x:v>
      </x:c>
      <x:c r="G366" s="87" t="str">
        <x:v>6</x:v>
      </x:c>
      <x:c r="H366" s="87" t="str">
        <x:v>v1.04</x:v>
      </x:c>
      <x:c r="I366" s="87" t="str">
        <x:v>11</x:v>
      </x:c>
      <x:c r="J366" s="30" t="str">
        <x:v>VIS_ID</x:v>
      </x:c>
      <x:c r="K366" s="30" t="str">
        <x:v>EGKR-S26-ENG-953-19, EGKR-S26-ENG-953-20, EGKR-S26-ENG-953-21, EGKR-S26-ENG-953-22, EGKR-S26-ENG-953-23, EGKR-S26-ENG-953-24, EGKR-S26-ENG-953-25, EGKR-S26-ENG-953-26…</x:v>
      </x:c>
      <x:c r="L366" s="87" t="str">
        <x:v>CROP_VERIFIED</x:v>
      </x:c>
      <x:c r="M366" s="87" t="str">
        <x:v>ORIGINAL_PACKAGE</x:v>
      </x:c>
      <x:c r="N366" s="87" t="str">
        <x:v>pages/VIS-EGKR-ENG-S26-TASK-953-P006.png</x:v>
      </x:c>
      <x:c r="O366" s="87" t="str">
        <x:v>thumbnails/VIS-EGKR-ENG-S26-TASK-953-P006.jpg</x:v>
      </x:c>
      <x:c r="P366" s="87" t="str">
        <x:v>c4ebb150bae0cd476f0de231530bf0951acbd186c5ac6d173c6099a2ebd0d419</x:v>
      </x:c>
      <x:c r="Q366" s="30" t="str">
        <x:v>incoming/raw/recovery-drop-01/english_egkr_spring_visual_audio_assets_v104.zip!/pages/VIS-EGKR-ENG-S26-TASK-953-P006.png</x:v>
      </x:c>
      <x:c r="R366" s="30" t="str">
        <x:v>MATCHED_ASSET</x:v>
      </x:c>
      <x:c r="S366" t="e">
        <x:f>HYPERLINK("visual_gallery/index.html#"&amp;A366,"Галерея")</x:f>
      </x:c>
    </x:row>
    <x:row r="367">
      <x:c r="A367" s="87" t="str">
        <x:v>VIS-EGKR-ENG-S26-TASK-953-P007</x:v>
      </x:c>
      <x:c r="B367" s="30" t="str">
        <x:v>Английский язык</x:v>
      </x:c>
      <x:c r="C367" s="30"/>
      <x:c r="D367" s="30" t="str">
        <x:v>953</x:v>
      </x:c>
      <x:c r="E367" s="87" t="str">
        <x:v>TASK</x:v>
      </x:c>
      <x:c r="F367" s="30" t="str">
        <x:v>Вар_953_англ_.pdf</x:v>
      </x:c>
      <x:c r="G367" s="87" t="str">
        <x:v>7</x:v>
      </x:c>
      <x:c r="H367" s="87" t="str">
        <x:v>v1.04</x:v>
      </x:c>
      <x:c r="I367" s="87" t="str">
        <x:v>7</x:v>
      </x:c>
      <x:c r="J367" s="30" t="str">
        <x:v>VIS_ID</x:v>
      </x:c>
      <x:c r="K367" s="30" t="str">
        <x:v>EGKR-S26-ENG-953-30, EGKR-S26-ENG-953-31, EGKR-S26-ENG-953-32, EGKR-S26-ENG-953-33, EGKR-S26-ENG-953-34, EGKR-S26-ENG-953-35, EGKR-S26-ENG-953-36</x:v>
      </x:c>
      <x:c r="L367" s="87" t="str">
        <x:v>CROP_VERIFIED</x:v>
      </x:c>
      <x:c r="M367" s="87" t="str">
        <x:v>ORIGINAL_PACKAGE</x:v>
      </x:c>
      <x:c r="N367" s="87" t="str">
        <x:v>pages/VIS-EGKR-ENG-S26-TASK-953-P007.png</x:v>
      </x:c>
      <x:c r="O367" s="87" t="str">
        <x:v>thumbnails/VIS-EGKR-ENG-S26-TASK-953-P007.jpg</x:v>
      </x:c>
      <x:c r="P367" s="87" t="str">
        <x:v>5b308caa8c08750d21c7336103b68e292224867459fe3510f6697857580cbbce</x:v>
      </x:c>
      <x:c r="Q367" s="30" t="str">
        <x:v>incoming/raw/recovery-drop-01/english_egkr_spring_visual_audio_assets_v104.zip!/pages/VIS-EGKR-ENG-S26-TASK-953-P007.png</x:v>
      </x:c>
      <x:c r="R367" s="30" t="str">
        <x:v>MATCHED_ASSET</x:v>
      </x:c>
      <x:c r="S367" t="e">
        <x:f>HYPERLINK("visual_gallery/index.html#"&amp;A367,"Галерея")</x:f>
      </x:c>
    </x:row>
    <x:row r="368">
      <x:c r="A368" s="87" t="str">
        <x:v>VIS-EGKR-ENG-S26-TASK-953-P008</x:v>
      </x:c>
      <x:c r="B368" s="30" t="str">
        <x:v>Английский язык</x:v>
      </x:c>
      <x:c r="C368" s="30"/>
      <x:c r="D368" s="30" t="str">
        <x:v>953</x:v>
      </x:c>
      <x:c r="E368" s="87" t="str">
        <x:v>TASK</x:v>
      </x:c>
      <x:c r="F368" s="30" t="str">
        <x:v>Вар_953_англ_.pdf</x:v>
      </x:c>
      <x:c r="G368" s="87" t="str">
        <x:v>8</x:v>
      </x:c>
      <x:c r="H368" s="87" t="str">
        <x:v>v1.04</x:v>
      </x:c>
      <x:c r="I368" s="87" t="str">
        <x:v>3</x:v>
      </x:c>
      <x:c r="J368" s="30" t="str">
        <x:v>VIS_ID, VIS_KEY / MODEL</x:v>
      </x:c>
      <x:c r="K368" s="30" t="str">
        <x:v>EGKR-S26-ENG-953-37, EGKR-S26-ENG-953-38</x:v>
      </x:c>
      <x:c r="L368" s="87" t="str">
        <x:v>CROP_VERIFIED</x:v>
      </x:c>
      <x:c r="M368" s="87" t="str">
        <x:v>ORIGINAL_PACKAGE</x:v>
      </x:c>
      <x:c r="N368" s="87" t="str">
        <x:v>pages/VIS-EGKR-ENG-S26-TASK-953-P008.png</x:v>
      </x:c>
      <x:c r="O368" s="87" t="str">
        <x:v>thumbnails/VIS-EGKR-ENG-S26-TASK-953-P008.jpg</x:v>
      </x:c>
      <x:c r="P368" s="87" t="str">
        <x:v>ae9022dd836199d339ec627fcab2e051086085c803d1c1395d46a1f4bbe391d0</x:v>
      </x:c>
      <x:c r="Q368" s="30" t="str">
        <x:v>incoming/raw/recovery-drop-01/english_egkr_spring_visual_audio_assets_v104.zip!/pages/VIS-EGKR-ENG-S26-TASK-953-P008.png</x:v>
      </x:c>
      <x:c r="R368" s="30" t="str">
        <x:v>MATCHED_ASSET</x:v>
      </x:c>
      <x:c r="S368" t="e">
        <x:f>HYPERLINK("visual_gallery/index.html#"&amp;A368,"Галерея")</x:f>
      </x:c>
    </x:row>
    <x:row r="369">
      <x:c r="A369" s="87" t="str">
        <x:v>VIS-EGKR-ENG-S26-TASK-953-P009</x:v>
      </x:c>
      <x:c r="B369" s="30" t="str">
        <x:v>Английский язык</x:v>
      </x:c>
      <x:c r="C369" s="30"/>
      <x:c r="D369" s="30" t="str">
        <x:v>953</x:v>
      </x:c>
      <x:c r="E369" s="87" t="str">
        <x:v>TASK</x:v>
      </x:c>
      <x:c r="F369" s="30" t="str">
        <x:v>Вар_953_англ_.pdf</x:v>
      </x:c>
      <x:c r="G369" s="87" t="str">
        <x:v>9</x:v>
      </x:c>
      <x:c r="H369" s="87" t="str">
        <x:v>v1.04</x:v>
      </x:c>
      <x:c r="I369" s="87" t="str">
        <x:v>1</x:v>
      </x:c>
      <x:c r="J369" s="30" t="str">
        <x:v>VIS_KEY / MODEL</x:v>
      </x:c>
      <x:c r="K369" s="30" t="str">
        <x:v>EGKR-S26-ENG-953-38</x:v>
      </x:c>
      <x:c r="L369" s="87" t="str">
        <x:v>CROP_VERIFIED</x:v>
      </x:c>
      <x:c r="M369" s="87" t="str">
        <x:v>ORIGINAL_PACKAGE</x:v>
      </x:c>
      <x:c r="N369" s="87" t="str">
        <x:v>pages/VIS-EGKR-ENG-S26-TASK-953-P009.png</x:v>
      </x:c>
      <x:c r="O369" s="87" t="str">
        <x:v>thumbnails/VIS-EGKR-ENG-S26-TASK-953-P009.jpg</x:v>
      </x:c>
      <x:c r="P369" s="87" t="str">
        <x:v>35f5844d2c4e90972308264d6157a6baf7191dfc924be33614acb8d1cc59ee0f</x:v>
      </x:c>
      <x:c r="Q369" s="30" t="str">
        <x:v>incoming/raw/recovery-drop-01/english_egkr_spring_visual_audio_assets_v104.zip!/pages/VIS-EGKR-ENG-S26-TASK-953-P009.png</x:v>
      </x:c>
      <x:c r="R369" s="30" t="str">
        <x:v>MATCHED_ASSET</x:v>
      </x:c>
      <x:c r="S369" t="e">
        <x:f>HYPERLINK("visual_gallery/index.html#"&amp;A369,"Галерея")</x:f>
      </x:c>
    </x:row>
    <x:row r="370">
      <x:c r="A370" s="87" t="str">
        <x:v>VIS-EGKR-ENG-S26-TASK-954-P001</x:v>
      </x:c>
      <x:c r="B370" s="30" t="str">
        <x:v>Английский язык</x:v>
      </x:c>
      <x:c r="C370" s="30"/>
      <x:c r="D370" s="30" t="str">
        <x:v>954</x:v>
      </x:c>
      <x:c r="E370" s="87" t="str">
        <x:v>TASK</x:v>
      </x:c>
      <x:c r="F370" s="30" t="str">
        <x:v>Вар_954_англ_.pdf</x:v>
      </x:c>
      <x:c r="G370" s="87" t="str">
        <x:v>1</x:v>
      </x:c>
      <x:c r="H370" s="87" t="str">
        <x:v>v1.04</x:v>
      </x:c>
      <x:c r="I370" s="87" t="str">
        <x:v>2</x:v>
      </x:c>
      <x:c r="J370" s="30" t="str">
        <x:v>VIS_ID</x:v>
      </x:c>
      <x:c r="K370" s="30" t="str">
        <x:v>EGKR-S26-ENG-954-01, EGKR-S26-ENG-954-02</x:v>
      </x:c>
      <x:c r="L370" s="87" t="str">
        <x:v>CROP_VERIFIED</x:v>
      </x:c>
      <x:c r="M370" s="87" t="str">
        <x:v>ORIGINAL_PACKAGE</x:v>
      </x:c>
      <x:c r="N370" s="87" t="str">
        <x:v>pages/VIS-EGKR-ENG-S26-TASK-954-P001.png</x:v>
      </x:c>
      <x:c r="O370" s="87" t="str">
        <x:v>thumbnails/VIS-EGKR-ENG-S26-TASK-954-P001.jpg</x:v>
      </x:c>
      <x:c r="P370" s="87" t="str">
        <x:v>8b306fabf1ea17cefc24ecee7891d112c6b612f1320c7a29cab5ac7bbcd089c5</x:v>
      </x:c>
      <x:c r="Q370" s="30" t="str">
        <x:v>incoming/raw/recovery-drop-01/english_egkr_spring_visual_audio_assets_v104.zip!/pages/VIS-EGKR-ENG-S26-TASK-954-P001.png</x:v>
      </x:c>
      <x:c r="R370" s="30" t="str">
        <x:v>MATCHED_ASSET</x:v>
      </x:c>
      <x:c r="S370" t="e">
        <x:f>HYPERLINK("visual_gallery/index.html#"&amp;A370,"Галерея")</x:f>
      </x:c>
    </x:row>
    <x:row r="371">
      <x:c r="A371" s="87" t="str">
        <x:v>VIS-EGKR-ENG-S26-TASK-954-P002</x:v>
      </x:c>
      <x:c r="B371" s="30" t="str">
        <x:v>Английский язык</x:v>
      </x:c>
      <x:c r="C371" s="30"/>
      <x:c r="D371" s="30" t="str">
        <x:v>954</x:v>
      </x:c>
      <x:c r="E371" s="87" t="str">
        <x:v>TASK</x:v>
      </x:c>
      <x:c r="F371" s="30" t="str">
        <x:v>Вар_954_англ_.pdf</x:v>
      </x:c>
      <x:c r="G371" s="87" t="str">
        <x:v>2</x:v>
      </x:c>
      <x:c r="H371" s="87" t="str">
        <x:v>v1.04</x:v>
      </x:c>
      <x:c r="I371" s="87" t="str">
        <x:v>7</x:v>
      </x:c>
      <x:c r="J371" s="30" t="str">
        <x:v>VIS_ID</x:v>
      </x:c>
      <x:c r="K371" s="30" t="str">
        <x:v>EGKR-S26-ENG-954-03, EGKR-S26-ENG-954-04, EGKR-S26-ENG-954-05, EGKR-S26-ENG-954-06, EGKR-S26-ENG-954-07, EGKR-S26-ENG-954-08, EGKR-S26-ENG-954-09</x:v>
      </x:c>
      <x:c r="L371" s="87" t="str">
        <x:v>CROP_VERIFIED</x:v>
      </x:c>
      <x:c r="M371" s="87" t="str">
        <x:v>ORIGINAL_PACKAGE</x:v>
      </x:c>
      <x:c r="N371" s="87" t="str">
        <x:v>pages/VIS-EGKR-ENG-S26-TASK-954-P002.png</x:v>
      </x:c>
      <x:c r="O371" s="87" t="str">
        <x:v>thumbnails/VIS-EGKR-ENG-S26-TASK-954-P002.jpg</x:v>
      </x:c>
      <x:c r="P371" s="87" t="str">
        <x:v>dbad32de29755e2ce4fd1a0aab49dc1b5758f67722d06babb70784a4464aaf93</x:v>
      </x:c>
      <x:c r="Q371" s="30" t="str">
        <x:v>incoming/raw/recovery-drop-01/english_egkr_spring_visual_audio_assets_v104.zip!/pages/VIS-EGKR-ENG-S26-TASK-954-P002.png</x:v>
      </x:c>
      <x:c r="R371" s="30" t="str">
        <x:v>MATCHED_ASSET</x:v>
      </x:c>
      <x:c r="S371" t="e">
        <x:f>HYPERLINK("visual_gallery/index.html#"&amp;A371,"Галерея")</x:f>
      </x:c>
    </x:row>
    <x:row r="372">
      <x:c r="A372" s="87" t="str">
        <x:v>VIS-EGKR-ENG-S26-TASK-954-P003</x:v>
      </x:c>
      <x:c r="B372" s="30" t="str">
        <x:v>Английский язык</x:v>
      </x:c>
      <x:c r="C372" s="30"/>
      <x:c r="D372" s="30" t="str">
        <x:v>954</x:v>
      </x:c>
      <x:c r="E372" s="87" t="str">
        <x:v>TASK</x:v>
      </x:c>
      <x:c r="F372" s="30" t="str">
        <x:v>Вар_954_англ_.pdf</x:v>
      </x:c>
      <x:c r="G372" s="87" t="str">
        <x:v>3</x:v>
      </x:c>
      <x:c r="H372" s="87" t="str">
        <x:v>v1.04</x:v>
      </x:c>
      <x:c r="I372" s="87" t="str">
        <x:v>1</x:v>
      </x:c>
      <x:c r="J372" s="30" t="str">
        <x:v>VIS_ID</x:v>
      </x:c>
      <x:c r="K372" s="30" t="str">
        <x:v>EGKR-S26-ENG-954-10</x:v>
      </x:c>
      <x:c r="L372" s="87" t="str">
        <x:v>CROP_VERIFIED</x:v>
      </x:c>
      <x:c r="M372" s="87" t="str">
        <x:v>ORIGINAL_PACKAGE</x:v>
      </x:c>
      <x:c r="N372" s="87" t="str">
        <x:v>pages/VIS-EGKR-ENG-S26-TASK-954-P003.png</x:v>
      </x:c>
      <x:c r="O372" s="87" t="str">
        <x:v>thumbnails/VIS-EGKR-ENG-S26-TASK-954-P003.jpg</x:v>
      </x:c>
      <x:c r="P372" s="87" t="str">
        <x:v>dfea0d763c1e7649918515c184e7b9c38bec2657da0552a00c3bd280ebc7051c</x:v>
      </x:c>
      <x:c r="Q372" s="30" t="str">
        <x:v>incoming/raw/recovery-drop-01/english_egkr_spring_visual_audio_assets_v104.zip!/pages/VIS-EGKR-ENG-S26-TASK-954-P003.png</x:v>
      </x:c>
      <x:c r="R372" s="30" t="str">
        <x:v>MATCHED_ASSET</x:v>
      </x:c>
      <x:c r="S372" t="e">
        <x:f>HYPERLINK("visual_gallery/index.html#"&amp;A372,"Галерея")</x:f>
      </x:c>
    </x:row>
    <x:row r="373">
      <x:c r="A373" s="87" t="str">
        <x:v>VIS-EGKR-ENG-S26-TASK-954-P004</x:v>
      </x:c>
      <x:c r="B373" s="30" t="str">
        <x:v>Английский язык</x:v>
      </x:c>
      <x:c r="C373" s="30"/>
      <x:c r="D373" s="30" t="str">
        <x:v>954</x:v>
      </x:c>
      <x:c r="E373" s="87" t="str">
        <x:v>TASK</x:v>
      </x:c>
      <x:c r="F373" s="30" t="str">
        <x:v>Вар_954_англ_.pdf</x:v>
      </x:c>
      <x:c r="G373" s="87" t="str">
        <x:v>4</x:v>
      </x:c>
      <x:c r="H373" s="87" t="str">
        <x:v>v1.04</x:v>
      </x:c>
      <x:c r="I373" s="87" t="str">
        <x:v>1</x:v>
      </x:c>
      <x:c r="J373" s="30" t="str">
        <x:v>VIS_ID</x:v>
      </x:c>
      <x:c r="K373" s="30" t="str">
        <x:v>EGKR-S26-ENG-954-11</x:v>
      </x:c>
      <x:c r="L373" s="87" t="str">
        <x:v>CROP_VERIFIED</x:v>
      </x:c>
      <x:c r="M373" s="87" t="str">
        <x:v>ORIGINAL_PACKAGE</x:v>
      </x:c>
      <x:c r="N373" s="87" t="str">
        <x:v>pages/VIS-EGKR-ENG-S26-TASK-954-P004.png</x:v>
      </x:c>
      <x:c r="O373" s="87" t="str">
        <x:v>thumbnails/VIS-EGKR-ENG-S26-TASK-954-P004.jpg</x:v>
      </x:c>
      <x:c r="P373" s="87" t="str">
        <x:v>8c9bd209109b145abd4f9aa8c1bd6e6f35ea08b3fb285d4c62ce2e757bf7ae63</x:v>
      </x:c>
      <x:c r="Q373" s="30" t="str">
        <x:v>incoming/raw/recovery-drop-01/english_egkr_spring_visual_audio_assets_v104.zip!/pages/VIS-EGKR-ENG-S26-TASK-954-P004.png</x:v>
      </x:c>
      <x:c r="R373" s="30" t="str">
        <x:v>MATCHED_ASSET</x:v>
      </x:c>
      <x:c r="S373" t="e">
        <x:f>HYPERLINK("visual_gallery/index.html#"&amp;A373,"Галерея")</x:f>
      </x:c>
    </x:row>
    <x:row r="374">
      <x:c r="A374" s="87" t="str">
        <x:v>VIS-EGKR-ENG-S26-TASK-954-P005</x:v>
      </x:c>
      <x:c r="B374" s="30" t="str">
        <x:v>Английский язык</x:v>
      </x:c>
      <x:c r="C374" s="30"/>
      <x:c r="D374" s="30" t="str">
        <x:v>954</x:v>
      </x:c>
      <x:c r="E374" s="87" t="str">
        <x:v>TASK</x:v>
      </x:c>
      <x:c r="F374" s="30" t="str">
        <x:v>Вар_954_англ_.pdf</x:v>
      </x:c>
      <x:c r="G374" s="87" t="str">
        <x:v>5</x:v>
      </x:c>
      <x:c r="H374" s="87" t="str">
        <x:v>v1.04</x:v>
      </x:c>
      <x:c r="I374" s="87" t="str">
        <x:v>7</x:v>
      </x:c>
      <x:c r="J374" s="30" t="str">
        <x:v>VIS_ID</x:v>
      </x:c>
      <x:c r="K374" s="30" t="str">
        <x:v>EGKR-S26-ENG-954-12, EGKR-S26-ENG-954-13, EGKR-S26-ENG-954-14, EGKR-S26-ENG-954-15, EGKR-S26-ENG-954-16, EGKR-S26-ENG-954-17, EGKR-S26-ENG-954-18</x:v>
      </x:c>
      <x:c r="L374" s="87" t="str">
        <x:v>CROP_VERIFIED</x:v>
      </x:c>
      <x:c r="M374" s="87" t="str">
        <x:v>ORIGINAL_PACKAGE</x:v>
      </x:c>
      <x:c r="N374" s="87" t="str">
        <x:v>pages/VIS-EGKR-ENG-S26-TASK-954-P005.png</x:v>
      </x:c>
      <x:c r="O374" s="87" t="str">
        <x:v>thumbnails/VIS-EGKR-ENG-S26-TASK-954-P005.jpg</x:v>
      </x:c>
      <x:c r="P374" s="87" t="str">
        <x:v>1c07fe726e2ffe65784f81b97b8be080d6aa41e02fa004f112fc043de2c6e6bf</x:v>
      </x:c>
      <x:c r="Q374" s="30" t="str">
        <x:v>incoming/raw/recovery-drop-01/english_egkr_spring_visual_audio_assets_v104.zip!/pages/VIS-EGKR-ENG-S26-TASK-954-P005.png</x:v>
      </x:c>
      <x:c r="R374" s="30" t="str">
        <x:v>MATCHED_ASSET</x:v>
      </x:c>
      <x:c r="S374" t="e">
        <x:f>HYPERLINK("visual_gallery/index.html#"&amp;A374,"Галерея")</x:f>
      </x:c>
    </x:row>
    <x:row r="375">
      <x:c r="A375" s="87" t="str">
        <x:v>VIS-EGKR-ENG-S26-TASK-954-P006</x:v>
      </x:c>
      <x:c r="B375" s="30" t="str">
        <x:v>Английский язык</x:v>
      </x:c>
      <x:c r="C375" s="30"/>
      <x:c r="D375" s="30" t="str">
        <x:v>954</x:v>
      </x:c>
      <x:c r="E375" s="87" t="str">
        <x:v>TASK</x:v>
      </x:c>
      <x:c r="F375" s="30" t="str">
        <x:v>Вар_954_англ_.pdf</x:v>
      </x:c>
      <x:c r="G375" s="87" t="str">
        <x:v>6</x:v>
      </x:c>
      <x:c r="H375" s="87" t="str">
        <x:v>v1.04</x:v>
      </x:c>
      <x:c r="I375" s="87" t="str">
        <x:v>11</x:v>
      </x:c>
      <x:c r="J375" s="30" t="str">
        <x:v>VIS_ID</x:v>
      </x:c>
      <x:c r="K375" s="30" t="str">
        <x:v>EGKR-S26-ENG-954-19, EGKR-S26-ENG-954-20, EGKR-S26-ENG-954-21, EGKR-S26-ENG-954-22, EGKR-S26-ENG-954-23, EGKR-S26-ENG-954-24, EGKR-S26-ENG-954-25, EGKR-S26-ENG-954-26…</x:v>
      </x:c>
      <x:c r="L375" s="87" t="str">
        <x:v>CROP_VERIFIED</x:v>
      </x:c>
      <x:c r="M375" s="87" t="str">
        <x:v>ORIGINAL_PACKAGE</x:v>
      </x:c>
      <x:c r="N375" s="87" t="str">
        <x:v>pages/VIS-EGKR-ENG-S26-TASK-954-P006.png</x:v>
      </x:c>
      <x:c r="O375" s="87" t="str">
        <x:v>thumbnails/VIS-EGKR-ENG-S26-TASK-954-P006.jpg</x:v>
      </x:c>
      <x:c r="P375" s="87" t="str">
        <x:v>7ac8e74fdd65b1d196d173037274bf26be37f8b8c3bdd32cf977e68139ae1112</x:v>
      </x:c>
      <x:c r="Q375" s="30" t="str">
        <x:v>incoming/raw/recovery-drop-01/english_egkr_spring_visual_audio_assets_v104.zip!/pages/VIS-EGKR-ENG-S26-TASK-954-P006.png</x:v>
      </x:c>
      <x:c r="R375" s="30" t="str">
        <x:v>MATCHED_ASSET</x:v>
      </x:c>
      <x:c r="S375" t="e">
        <x:f>HYPERLINK("visual_gallery/index.html#"&amp;A375,"Галерея")</x:f>
      </x:c>
    </x:row>
    <x:row r="376">
      <x:c r="A376" s="87" t="str">
        <x:v>VIS-EGKR-ENG-S26-TASK-954-P007</x:v>
      </x:c>
      <x:c r="B376" s="30" t="str">
        <x:v>Английский язык</x:v>
      </x:c>
      <x:c r="C376" s="30"/>
      <x:c r="D376" s="30" t="str">
        <x:v>954</x:v>
      </x:c>
      <x:c r="E376" s="87" t="str">
        <x:v>TASK</x:v>
      </x:c>
      <x:c r="F376" s="30" t="str">
        <x:v>Вар_954_англ_.pdf</x:v>
      </x:c>
      <x:c r="G376" s="87" t="str">
        <x:v>7</x:v>
      </x:c>
      <x:c r="H376" s="87" t="str">
        <x:v>v1.04</x:v>
      </x:c>
      <x:c r="I376" s="87" t="str">
        <x:v>7</x:v>
      </x:c>
      <x:c r="J376" s="30" t="str">
        <x:v>VIS_ID</x:v>
      </x:c>
      <x:c r="K376" s="30" t="str">
        <x:v>EGKR-S26-ENG-954-30, EGKR-S26-ENG-954-31, EGKR-S26-ENG-954-32, EGKR-S26-ENG-954-33, EGKR-S26-ENG-954-34, EGKR-S26-ENG-954-35, EGKR-S26-ENG-954-36</x:v>
      </x:c>
      <x:c r="L376" s="87" t="str">
        <x:v>CROP_VERIFIED</x:v>
      </x:c>
      <x:c r="M376" s="87" t="str">
        <x:v>ORIGINAL_PACKAGE</x:v>
      </x:c>
      <x:c r="N376" s="87" t="str">
        <x:v>pages/VIS-EGKR-ENG-S26-TASK-954-P007.png</x:v>
      </x:c>
      <x:c r="O376" s="87" t="str">
        <x:v>thumbnails/VIS-EGKR-ENG-S26-TASK-954-P007.jpg</x:v>
      </x:c>
      <x:c r="P376" s="87" t="str">
        <x:v>5013c83955ddc611b6e870c4dd9bed7c9912971ee7f1a61f562fef8da05fa122</x:v>
      </x:c>
      <x:c r="Q376" s="30" t="str">
        <x:v>incoming/raw/recovery-drop-01/english_egkr_spring_visual_audio_assets_v104.zip!/pages/VIS-EGKR-ENG-S26-TASK-954-P007.png</x:v>
      </x:c>
      <x:c r="R376" s="30" t="str">
        <x:v>MATCHED_ASSET</x:v>
      </x:c>
      <x:c r="S376" t="e">
        <x:f>HYPERLINK("visual_gallery/index.html#"&amp;A376,"Галерея")</x:f>
      </x:c>
    </x:row>
    <x:row r="377">
      <x:c r="A377" s="87" t="str">
        <x:v>VIS-EGKR-ENG-S26-TASK-954-P008</x:v>
      </x:c>
      <x:c r="B377" s="30" t="str">
        <x:v>Английский язык</x:v>
      </x:c>
      <x:c r="C377" s="30"/>
      <x:c r="D377" s="30" t="str">
        <x:v>954</x:v>
      </x:c>
      <x:c r="E377" s="87" t="str">
        <x:v>TASK</x:v>
      </x:c>
      <x:c r="F377" s="30" t="str">
        <x:v>Вар_954_англ_.pdf</x:v>
      </x:c>
      <x:c r="G377" s="87" t="str">
        <x:v>8</x:v>
      </x:c>
      <x:c r="H377" s="87" t="str">
        <x:v>v1.04</x:v>
      </x:c>
      <x:c r="I377" s="87" t="str">
        <x:v>3</x:v>
      </x:c>
      <x:c r="J377" s="30" t="str">
        <x:v>VIS_ID, VIS_KEY / MODEL</x:v>
      </x:c>
      <x:c r="K377" s="30" t="str">
        <x:v>EGKR-S26-ENG-954-37, EGKR-S26-ENG-954-38</x:v>
      </x:c>
      <x:c r="L377" s="87" t="str">
        <x:v>CROP_VERIFIED</x:v>
      </x:c>
      <x:c r="M377" s="87" t="str">
        <x:v>ORIGINAL_PACKAGE</x:v>
      </x:c>
      <x:c r="N377" s="87" t="str">
        <x:v>pages/VIS-EGKR-ENG-S26-TASK-954-P008.png</x:v>
      </x:c>
      <x:c r="O377" s="87" t="str">
        <x:v>thumbnails/VIS-EGKR-ENG-S26-TASK-954-P008.jpg</x:v>
      </x:c>
      <x:c r="P377" s="87" t="str">
        <x:v>ea8cea3add3dc23f27dafe29a3c156a2312a8aed5745b2bd5d58d4aa1bd85133</x:v>
      </x:c>
      <x:c r="Q377" s="30" t="str">
        <x:v>incoming/raw/recovery-drop-01/english_egkr_spring_visual_audio_assets_v104.zip!/pages/VIS-EGKR-ENG-S26-TASK-954-P008.png</x:v>
      </x:c>
      <x:c r="R377" s="30" t="str">
        <x:v>MATCHED_ASSET</x:v>
      </x:c>
      <x:c r="S377" t="e">
        <x:f>HYPERLINK("visual_gallery/index.html#"&amp;A377,"Галерея")</x:f>
      </x:c>
    </x:row>
    <x:row r="378">
      <x:c r="A378" s="87" t="str">
        <x:v>VIS-EGKR-ENG-S26-TASK-954-P009</x:v>
      </x:c>
      <x:c r="B378" s="30" t="str">
        <x:v>Английский язык</x:v>
      </x:c>
      <x:c r="C378" s="30"/>
      <x:c r="D378" s="30" t="str">
        <x:v>954</x:v>
      </x:c>
      <x:c r="E378" s="87" t="str">
        <x:v>TASK</x:v>
      </x:c>
      <x:c r="F378" s="30" t="str">
        <x:v>Вар_954_англ_.pdf</x:v>
      </x:c>
      <x:c r="G378" s="87" t="str">
        <x:v>9</x:v>
      </x:c>
      <x:c r="H378" s="87" t="str">
        <x:v>v1.04</x:v>
      </x:c>
      <x:c r="I378" s="87" t="str">
        <x:v>1</x:v>
      </x:c>
      <x:c r="J378" s="30" t="str">
        <x:v>VIS_KEY / MODEL</x:v>
      </x:c>
      <x:c r="K378" s="30" t="str">
        <x:v>EGKR-S26-ENG-954-38</x:v>
      </x:c>
      <x:c r="L378" s="87" t="str">
        <x:v>CROP_VERIFIED</x:v>
      </x:c>
      <x:c r="M378" s="87" t="str">
        <x:v>ORIGINAL_PACKAGE</x:v>
      </x:c>
      <x:c r="N378" s="87" t="str">
        <x:v>pages/VIS-EGKR-ENG-S26-TASK-954-P009.png</x:v>
      </x:c>
      <x:c r="O378" s="87" t="str">
        <x:v>thumbnails/VIS-EGKR-ENG-S26-TASK-954-P009.jpg</x:v>
      </x:c>
      <x:c r="P378" s="87" t="str">
        <x:v>4baf2ef5b6a7e5f4ab9a61d356f67a3c8643e9b97d4dff507f88e24aa349028f</x:v>
      </x:c>
      <x:c r="Q378" s="30" t="str">
        <x:v>incoming/raw/recovery-drop-01/english_egkr_spring_visual_audio_assets_v104.zip!/pages/VIS-EGKR-ENG-S26-TASK-954-P009.png</x:v>
      </x:c>
      <x:c r="R378" s="30" t="str">
        <x:v>MATCHED_ASSET</x:v>
      </x:c>
      <x:c r="S378" t="e">
        <x:f>HYPERLINK("visual_gallery/index.html#"&amp;A378,"Галерея")</x:f>
      </x:c>
    </x:row>
    <x:row r="379">
      <x:c r="A379" s="87" t="str">
        <x:v>VIS-EGKR-ENG-W25-ANSWERDOC-P001</x:v>
      </x:c>
      <x:c r="B379" s="30" t="str"/>
      <x:c r="C379" s="30"/>
      <x:c r="D379" s="30" t="str">
        <x:v>ALL</x:v>
      </x:c>
      <x:c r="E379" s="87" t="str">
        <x:v>ANSWER_SOURCE</x:v>
      </x:c>
      <x:c r="F379" s="30" t="str">
        <x:v>Ответы английский.docx</x:v>
      </x:c>
      <x:c r="G379" s="87" t="str">
        <x:v>1</x:v>
      </x:c>
      <x:c r="H379" s="87" t="str">
        <x:v>v0.92</x:v>
      </x:c>
      <x:c r="I379" s="87" t="str">
        <x:v>0</x:v>
      </x:c>
      <x:c r="J379" s="30" t="str"/>
      <x:c r="K379" s="30" t="str"/>
      <x:c r="L379" s="87" t="str">
        <x:v>CROP_VERIFIED</x:v>
      </x:c>
      <x:c r="M379" s="87" t="str">
        <x:v>ORIGINAL_PACKAGE</x:v>
      </x:c>
      <x:c r="N379" s="87" t="str">
        <x:v>pages/VIS-EGKR-ENG-W25-ANSWERDOC-P001.png</x:v>
      </x:c>
      <x:c r="O379" s="87" t="str">
        <x:v>thumbnails/VIS-EGKR-ENG-W25-ANSWERDOC-P001.jpg</x:v>
      </x:c>
      <x:c r="P379" s="87" t="str">
        <x:v>6586791c8c530973b0b3d6d609c131d9593878e54944e47ba744c0cccc3d6b38</x:v>
      </x:c>
      <x:c r="Q379" s="30" t="str">
        <x:v>incoming/raw/recovery-drop-01/english_egkr_winter_visual_audio_assets_v092.zip!/pages/VIS-EGKR-ENG-W25-ANSWERDOC-P001.png</x:v>
      </x:c>
      <x:c r="R379" s="30" t="str">
        <x:v>RESOLVED_UNLINKED_REGISTRY_VISUAL</x:v>
      </x:c>
      <x:c r="S379" t="e">
        <x:f>HYPERLINK("visual_gallery/index.html#"&amp;A379,"Галерея")</x:f>
      </x:c>
    </x:row>
    <x:row r="380">
      <x:c r="A380" s="87" t="str">
        <x:v>VIS-EGKR-ENG-W25-ANSWERDOC-P002</x:v>
      </x:c>
      <x:c r="B380" s="30" t="str"/>
      <x:c r="C380" s="30"/>
      <x:c r="D380" s="30" t="str">
        <x:v>ALL</x:v>
      </x:c>
      <x:c r="E380" s="87" t="str">
        <x:v>ANSWER_SOURCE</x:v>
      </x:c>
      <x:c r="F380" s="30" t="str">
        <x:v>Ответы английский.docx</x:v>
      </x:c>
      <x:c r="G380" s="87" t="str">
        <x:v>2</x:v>
      </x:c>
      <x:c r="H380" s="87" t="str">
        <x:v>v0.92</x:v>
      </x:c>
      <x:c r="I380" s="87" t="str">
        <x:v>0</x:v>
      </x:c>
      <x:c r="J380" s="30" t="str"/>
      <x:c r="K380" s="30" t="str"/>
      <x:c r="L380" s="87" t="str">
        <x:v>CROP_VERIFIED</x:v>
      </x:c>
      <x:c r="M380" s="87" t="str">
        <x:v>ORIGINAL_PACKAGE</x:v>
      </x:c>
      <x:c r="N380" s="87" t="str">
        <x:v>pages/VIS-EGKR-ENG-W25-ANSWERDOC-P002.png</x:v>
      </x:c>
      <x:c r="O380" s="87" t="str">
        <x:v>thumbnails/VIS-EGKR-ENG-W25-ANSWERDOC-P002.jpg</x:v>
      </x:c>
      <x:c r="P380" s="87" t="str">
        <x:v>61d8f8c2547b4e289dae4a565abf56cf2081e7eae8b1f12267d952ed5147edd2</x:v>
      </x:c>
      <x:c r="Q380" s="30" t="str">
        <x:v>incoming/raw/recovery-drop-01/english_egkr_winter_visual_audio_assets_v092.zip!/pages/VIS-EGKR-ENG-W25-ANSWERDOC-P002.png</x:v>
      </x:c>
      <x:c r="R380" s="30" t="str">
        <x:v>RESOLVED_UNLINKED_REGISTRY_VISUAL</x:v>
      </x:c>
      <x:c r="S380" t="e">
        <x:f>HYPERLINK("visual_gallery/index.html#"&amp;A380,"Галерея")</x:f>
      </x:c>
    </x:row>
    <x:row r="381">
      <x:c r="A381" s="87" t="str">
        <x:v>VIS-EGKR-ENG-W25-ANSWERDOC-P003</x:v>
      </x:c>
      <x:c r="B381" s="30" t="str"/>
      <x:c r="C381" s="30"/>
      <x:c r="D381" s="30" t="str">
        <x:v>ALL</x:v>
      </x:c>
      <x:c r="E381" s="87" t="str">
        <x:v>ANSWER_SOURCE</x:v>
      </x:c>
      <x:c r="F381" s="30" t="str">
        <x:v>Ответы английский.docx</x:v>
      </x:c>
      <x:c r="G381" s="87" t="str">
        <x:v>3</x:v>
      </x:c>
      <x:c r="H381" s="87" t="str">
        <x:v>v0.92</x:v>
      </x:c>
      <x:c r="I381" s="87" t="str">
        <x:v>0</x:v>
      </x:c>
      <x:c r="J381" s="30" t="str"/>
      <x:c r="K381" s="30" t="str"/>
      <x:c r="L381" s="87" t="str">
        <x:v>CROP_VERIFIED</x:v>
      </x:c>
      <x:c r="M381" s="87" t="str">
        <x:v>ORIGINAL_PACKAGE</x:v>
      </x:c>
      <x:c r="N381" s="87" t="str">
        <x:v>pages/VIS-EGKR-ENG-W25-ANSWERDOC-P003.png</x:v>
      </x:c>
      <x:c r="O381" s="87" t="str">
        <x:v>thumbnails/VIS-EGKR-ENG-W25-ANSWERDOC-P003.jpg</x:v>
      </x:c>
      <x:c r="P381" s="87" t="str">
        <x:v>d5fd391ae6f67c9373949a01e0ba481c4d0f7a5b272d50402b445d19e2fca76d</x:v>
      </x:c>
      <x:c r="Q381" s="30" t="str">
        <x:v>incoming/raw/recovery-drop-01/english_egkr_winter_visual_audio_assets_v092.zip!/pages/VIS-EGKR-ENG-W25-ANSWERDOC-P003.png</x:v>
      </x:c>
      <x:c r="R381" s="30" t="str">
        <x:v>RESOLVED_UNLINKED_REGISTRY_VISUAL</x:v>
      </x:c>
      <x:c r="S381" t="e">
        <x:f>HYPERLINK("visual_gallery/index.html#"&amp;A381,"Галерея")</x:f>
      </x:c>
    </x:row>
    <x:row r="382">
      <x:c r="A382" s="87" t="str">
        <x:v>VIS-EGKR-ENG-W25-ANSWERDOC-P004</x:v>
      </x:c>
      <x:c r="B382" s="30" t="str"/>
      <x:c r="C382" s="30"/>
      <x:c r="D382" s="30" t="str">
        <x:v>ALL</x:v>
      </x:c>
      <x:c r="E382" s="87" t="str">
        <x:v>ANSWER_SOURCE</x:v>
      </x:c>
      <x:c r="F382" s="30" t="str">
        <x:v>Ответы английский.docx</x:v>
      </x:c>
      <x:c r="G382" s="87" t="str">
        <x:v>4</x:v>
      </x:c>
      <x:c r="H382" s="87" t="str">
        <x:v>v0.92</x:v>
      </x:c>
      <x:c r="I382" s="87" t="str">
        <x:v>0</x:v>
      </x:c>
      <x:c r="J382" s="30" t="str"/>
      <x:c r="K382" s="30" t="str"/>
      <x:c r="L382" s="87" t="str">
        <x:v>CROP_VERIFIED</x:v>
      </x:c>
      <x:c r="M382" s="87" t="str">
        <x:v>ORIGINAL_PACKAGE</x:v>
      </x:c>
      <x:c r="N382" s="87" t="str">
        <x:v>pages/VIS-EGKR-ENG-W25-ANSWERDOC-P004.png</x:v>
      </x:c>
      <x:c r="O382" s="87" t="str">
        <x:v>thumbnails/VIS-EGKR-ENG-W25-ANSWERDOC-P004.jpg</x:v>
      </x:c>
      <x:c r="P382" s="87" t="str">
        <x:v>e16e2eb441ce88f4d67819f3627405f96002804beee9288c69878a6aa23ca5e3</x:v>
      </x:c>
      <x:c r="Q382" s="30" t="str">
        <x:v>incoming/raw/recovery-drop-01/english_egkr_winter_visual_audio_assets_v092.zip!/pages/VIS-EGKR-ENG-W25-ANSWERDOC-P004.png</x:v>
      </x:c>
      <x:c r="R382" s="30" t="str">
        <x:v>RESOLVED_UNLINKED_REGISTRY_VISUAL</x:v>
      </x:c>
      <x:c r="S382" t="e">
        <x:f>HYPERLINK("visual_gallery/index.html#"&amp;A382,"Галерея")</x:f>
      </x:c>
    </x:row>
    <x:row r="383">
      <x:c r="A383" s="87" t="str">
        <x:v>VIS-EGKR-ENG-W25-ANSWERDOC-P005</x:v>
      </x:c>
      <x:c r="B383" s="30" t="str"/>
      <x:c r="C383" s="30"/>
      <x:c r="D383" s="30" t="str">
        <x:v>ALL</x:v>
      </x:c>
      <x:c r="E383" s="87" t="str">
        <x:v>ANSWER_SOURCE</x:v>
      </x:c>
      <x:c r="F383" s="30" t="str">
        <x:v>Ответы английский.docx</x:v>
      </x:c>
      <x:c r="G383" s="87" t="str">
        <x:v>5</x:v>
      </x:c>
      <x:c r="H383" s="87" t="str">
        <x:v>v0.92</x:v>
      </x:c>
      <x:c r="I383" s="87" t="str">
        <x:v>0</x:v>
      </x:c>
      <x:c r="J383" s="30" t="str"/>
      <x:c r="K383" s="30" t="str"/>
      <x:c r="L383" s="87" t="str">
        <x:v>CROP_VERIFIED</x:v>
      </x:c>
      <x:c r="M383" s="87" t="str">
        <x:v>ORIGINAL_PACKAGE</x:v>
      </x:c>
      <x:c r="N383" s="87" t="str">
        <x:v>pages/VIS-EGKR-ENG-W25-ANSWERDOC-P005.png</x:v>
      </x:c>
      <x:c r="O383" s="87" t="str">
        <x:v>thumbnails/VIS-EGKR-ENG-W25-ANSWERDOC-P005.jpg</x:v>
      </x:c>
      <x:c r="P383" s="87" t="str">
        <x:v>bb0b2a337eec9a8a09f4452eb50eab3031cb5af37481d101d0f2cd1d3f7dc431</x:v>
      </x:c>
      <x:c r="Q383" s="30" t="str">
        <x:v>incoming/raw/recovery-drop-01/english_egkr_winter_visual_audio_assets_v092.zip!/pages/VIS-EGKR-ENG-W25-ANSWERDOC-P005.png</x:v>
      </x:c>
      <x:c r="R383" s="30" t="str">
        <x:v>RESOLVED_UNLINKED_REGISTRY_VISUAL</x:v>
      </x:c>
      <x:c r="S383" t="e">
        <x:f>HYPERLINK("visual_gallery/index.html#"&amp;A383,"Галерея")</x:f>
      </x:c>
    </x:row>
    <x:row r="384">
      <x:c r="A384" s="87" t="str">
        <x:v>VIS-EGKR-ENG-W25-AUDIO-L1</x:v>
      </x:c>
      <x:c r="B384" s="30" t="str"/>
      <x:c r="C384" s="30"/>
      <x:c r="D384" s="30" t="str">
        <x:v>951-952</x:v>
      </x:c>
      <x:c r="E384" s="87" t="str">
        <x:v>AUDIO_WAVEFORM</x:v>
      </x:c>
      <x:c r="F384" s="30" t="str">
        <x:v>L1.mp3</x:v>
      </x:c>
      <x:c r="G384" s="87" t="str">
        <x:v>audio</x:v>
      </x:c>
      <x:c r="H384" s="87" t="str">
        <x:v>v0.92</x:v>
      </x:c>
      <x:c r="I384" s="87" t="str">
        <x:v>0</x:v>
      </x:c>
      <x:c r="J384" s="30" t="str"/>
      <x:c r="K384" s="30" t="str"/>
      <x:c r="L384" s="87" t="str">
        <x:v>AUDIO_ASSET_VERIFIED</x:v>
      </x:c>
      <x:c r="M384" s="87" t="str">
        <x:v>ORIGINAL_PACKAGE</x:v>
      </x:c>
      <x:c r="N384" s="87" t="str">
        <x:v>pages/VIS-EGKR-ENG-W25-AUDIO-L1.png</x:v>
      </x:c>
      <x:c r="O384" s="87" t="str">
        <x:v>thumbnails/VIS-EGKR-ENG-W25-AUDIO-L1.jpg</x:v>
      </x:c>
      <x:c r="P384" s="87" t="str">
        <x:v>43d87e6eaf0251b6e4f7514001a8ddb050c264362af18175b23fc9c491685047</x:v>
      </x:c>
      <x:c r="Q384" s="30" t="str">
        <x:v>incoming/raw/recovery-drop-01/english_egkr_winter_visual_audio_assets_v092.zip!/pages/VIS-EGKR-ENG-W25-AUDIO-L1.png</x:v>
      </x:c>
      <x:c r="R384" s="30" t="str">
        <x:v>RESOLVED_UNLINKED_REGISTRY_VISUAL | MULTI_MEDIA_ROLE</x:v>
      </x:c>
      <x:c r="S384" t="e">
        <x:f>HYPERLINK("visual_gallery/index.html#"&amp;A384,"Галерея")</x:f>
      </x:c>
    </x:row>
    <x:row r="385">
      <x:c r="A385" s="87" t="str">
        <x:v>VIS-EGKR-ENG-W25-AUDIO-L2</x:v>
      </x:c>
      <x:c r="B385" s="30" t="str"/>
      <x:c r="C385" s="30"/>
      <x:c r="D385" s="30" t="str">
        <x:v>953</x:v>
      </x:c>
      <x:c r="E385" s="87" t="str">
        <x:v>AUDIO_WAVEFORM</x:v>
      </x:c>
      <x:c r="F385" s="30" t="str">
        <x:v>L2.mp3</x:v>
      </x:c>
      <x:c r="G385" s="87" t="str">
        <x:v>audio</x:v>
      </x:c>
      <x:c r="H385" s="87" t="str">
        <x:v>v0.92</x:v>
      </x:c>
      <x:c r="I385" s="87" t="str">
        <x:v>0</x:v>
      </x:c>
      <x:c r="J385" s="30" t="str"/>
      <x:c r="K385" s="30" t="str"/>
      <x:c r="L385" s="87" t="str">
        <x:v>AUDIO_ASSET_VERIFIED</x:v>
      </x:c>
      <x:c r="M385" s="87" t="str">
        <x:v>ORIGINAL_PACKAGE</x:v>
      </x:c>
      <x:c r="N385" s="87" t="str">
        <x:v>pages/VIS-EGKR-ENG-W25-AUDIO-L2.png</x:v>
      </x:c>
      <x:c r="O385" s="87" t="str">
        <x:v>thumbnails/VIS-EGKR-ENG-W25-AUDIO-L2.jpg</x:v>
      </x:c>
      <x:c r="P385" s="87" t="str">
        <x:v>cbc60c51af6f5392ade69c61d91e4c9e5cc1e7b1a6dbc1be5387204d663cd058</x:v>
      </x:c>
      <x:c r="Q385" s="30" t="str">
        <x:v>incoming/raw/recovery-drop-01/english_egkr_winter_visual_audio_assets_v092.zip!/pages/VIS-EGKR-ENG-W25-AUDIO-L2.png</x:v>
      </x:c>
      <x:c r="R385" s="30" t="str">
        <x:v>RESOLVED_UNLINKED_REGISTRY_VISUAL | MULTI_MEDIA_ROLE</x:v>
      </x:c>
      <x:c r="S385" t="e">
        <x:f>HYPERLINK("visual_gallery/index.html#"&amp;A385,"Галерея")</x:f>
      </x:c>
    </x:row>
    <x:row r="386">
      <x:c r="A386" s="87" t="str">
        <x:v>VIS-EGKR-ENG-W25-DECOY-P001</x:v>
      </x:c>
      <x:c r="B386" s="30" t="str"/>
      <x:c r="C386" s="30"/>
      <x:c r="D386" s="30" t="str">
        <x:v>ALL</x:v>
      </x:c>
      <x:c r="E386" s="87" t="str">
        <x:v>SOURCE_AUDIT</x:v>
      </x:c>
      <x:c r="F386" s="30" t="str">
        <x:v>Задания + ответы (2).pdf</x:v>
      </x:c>
      <x:c r="G386" s="87" t="str">
        <x:v>1</x:v>
      </x:c>
      <x:c r="H386" s="87" t="str">
        <x:v>v0.92</x:v>
      </x:c>
      <x:c r="I386" s="87" t="str">
        <x:v>0</x:v>
      </x:c>
      <x:c r="J386" s="30" t="str"/>
      <x:c r="K386" s="30" t="str"/>
      <x:c r="L386" s="87" t="str">
        <x:v>CROP_VERIFIED</x:v>
      </x:c>
      <x:c r="M386" s="87" t="str">
        <x:v>ORIGINAL_PACKAGE</x:v>
      </x:c>
      <x:c r="N386" s="87" t="str">
        <x:v>pages/VIS-EGKR-ENG-W25-DECOY-P001.png</x:v>
      </x:c>
      <x:c r="O386" s="87" t="str">
        <x:v>thumbnails/VIS-EGKR-ENG-W25-DECOY-P001.jpg</x:v>
      </x:c>
      <x:c r="P386" s="87" t="str">
        <x:v>49d399febc13e61214859e583b4fedb8e33291e17c285b76a1fa19bab7f5737f</x:v>
      </x:c>
      <x:c r="Q386" s="30" t="str">
        <x:v>incoming/raw/recovery-drop-01/english_egkr_winter_visual_audio_assets_v092.zip!/pages/VIS-EGKR-ENG-W25-DECOY-P001.png</x:v>
      </x:c>
      <x:c r="R386" s="30" t="str">
        <x:v>RESOLVED_UNLINKED_REGISTRY_VISUAL</x:v>
      </x:c>
      <x:c r="S386" t="e">
        <x:f>HYPERLINK("visual_gallery/index.html#"&amp;A386,"Галерея")</x:f>
      </x:c>
    </x:row>
    <x:row r="387">
      <x:c r="A387" s="87" t="str">
        <x:v>VIS-EGKR-ENG-W25-TASK-951-P001</x:v>
      </x:c>
      <x:c r="B387" s="30" t="str">
        <x:v>Английский язык</x:v>
      </x:c>
      <x:c r="C387" s="30"/>
      <x:c r="D387" s="30" t="str">
        <x:v>951</x:v>
      </x:c>
      <x:c r="E387" s="87" t="str">
        <x:v>TASK</x:v>
      </x:c>
      <x:c r="F387" s="30" t="str">
        <x:v>Вариант 951.pdf</x:v>
      </x:c>
      <x:c r="G387" s="87" t="str">
        <x:v>1</x:v>
      </x:c>
      <x:c r="H387" s="87" t="str">
        <x:v>v0.92</x:v>
      </x:c>
      <x:c r="I387" s="87" t="str">
        <x:v>2</x:v>
      </x:c>
      <x:c r="J387" s="30" t="str">
        <x:v>VIS_ID</x:v>
      </x:c>
      <x:c r="K387" s="30" t="str">
        <x:v>EGKR-ENG-W25-951-01, EGKR-ENG-W25-951-02</x:v>
      </x:c>
      <x:c r="L387" s="87" t="str">
        <x:v>CROP_VERIFIED</x:v>
      </x:c>
      <x:c r="M387" s="87" t="str">
        <x:v>ORIGINAL_PACKAGE</x:v>
      </x:c>
      <x:c r="N387" s="87" t="str">
        <x:v>pages/VIS-EGKR-ENG-W25-TASK-951-P001.png</x:v>
      </x:c>
      <x:c r="O387" s="87" t="str">
        <x:v>thumbnails/VIS-EGKR-ENG-W25-TASK-951-P001.jpg</x:v>
      </x:c>
      <x:c r="P387" s="87" t="str">
        <x:v>36fa675e6f12dd7f7f38f149c4ecbb7cf1ce15301cb6cca1b8a8e4460b82a0e4</x:v>
      </x:c>
      <x:c r="Q387" s="30" t="str">
        <x:v>incoming/raw/recovery-drop-01/english_egkr_winter_visual_audio_assets_v092.zip!/pages/VIS-EGKR-ENG-W25-TASK-951-P001.png</x:v>
      </x:c>
      <x:c r="R387" s="30" t="str">
        <x:v>MATCHED_ASSET</x:v>
      </x:c>
      <x:c r="S387" t="e">
        <x:f>HYPERLINK("visual_gallery/index.html#"&amp;A387,"Галерея")</x:f>
      </x:c>
    </x:row>
    <x:row r="388">
      <x:c r="A388" s="87" t="str">
        <x:v>VIS-EGKR-ENG-W25-TASK-951-P002</x:v>
      </x:c>
      <x:c r="B388" s="30" t="str">
        <x:v>Английский язык</x:v>
      </x:c>
      <x:c r="C388" s="30"/>
      <x:c r="D388" s="30" t="str">
        <x:v>951</x:v>
      </x:c>
      <x:c r="E388" s="87" t="str">
        <x:v>TASK</x:v>
      </x:c>
      <x:c r="F388" s="30" t="str">
        <x:v>Вариант 951.pdf</x:v>
      </x:c>
      <x:c r="G388" s="87" t="str">
        <x:v>2</x:v>
      </x:c>
      <x:c r="H388" s="87" t="str">
        <x:v>v0.92</x:v>
      </x:c>
      <x:c r="I388" s="87" t="str">
        <x:v>7</x:v>
      </x:c>
      <x:c r="J388" s="30" t="str">
        <x:v>VIS_ID</x:v>
      </x:c>
      <x:c r="K388" s="30" t="str">
        <x:v>EGKR-ENG-W25-951-03, EGKR-ENG-W25-951-04, EGKR-ENG-W25-951-05, EGKR-ENG-W25-951-06, EGKR-ENG-W25-951-07, EGKR-ENG-W25-951-08, EGKR-ENG-W25-951-09</x:v>
      </x:c>
      <x:c r="L388" s="87" t="str">
        <x:v>CROP_VERIFIED</x:v>
      </x:c>
      <x:c r="M388" s="87" t="str">
        <x:v>ORIGINAL_PACKAGE</x:v>
      </x:c>
      <x:c r="N388" s="87" t="str">
        <x:v>pages/VIS-EGKR-ENG-W25-TASK-951-P002.png</x:v>
      </x:c>
      <x:c r="O388" s="87" t="str">
        <x:v>thumbnails/VIS-EGKR-ENG-W25-TASK-951-P002.jpg</x:v>
      </x:c>
      <x:c r="P388" s="87" t="str">
        <x:v>597fdf414cb4e00992ac96dc5b341a15ab4c857d8f18913b1dcfcfcf52bbf922</x:v>
      </x:c>
      <x:c r="Q388" s="30" t="str">
        <x:v>incoming/raw/recovery-drop-01/english_egkr_winter_visual_audio_assets_v092.zip!/pages/VIS-EGKR-ENG-W25-TASK-951-P002.png</x:v>
      </x:c>
      <x:c r="R388" s="30" t="str">
        <x:v>MATCHED_ASSET</x:v>
      </x:c>
      <x:c r="S388" t="e">
        <x:f>HYPERLINK("visual_gallery/index.html#"&amp;A388,"Галерея")</x:f>
      </x:c>
    </x:row>
    <x:row r="389">
      <x:c r="A389" s="87" t="str">
        <x:v>VIS-EGKR-ENG-W25-TASK-951-P003</x:v>
      </x:c>
      <x:c r="B389" s="30" t="str">
        <x:v>Английский язык</x:v>
      </x:c>
      <x:c r="C389" s="30"/>
      <x:c r="D389" s="30" t="str">
        <x:v>951</x:v>
      </x:c>
      <x:c r="E389" s="87" t="str">
        <x:v>TASK</x:v>
      </x:c>
      <x:c r="F389" s="30" t="str">
        <x:v>Вариант 951.pdf</x:v>
      </x:c>
      <x:c r="G389" s="87" t="str">
        <x:v>3</x:v>
      </x:c>
      <x:c r="H389" s="87" t="str">
        <x:v>v0.92</x:v>
      </x:c>
      <x:c r="I389" s="87" t="str">
        <x:v>1</x:v>
      </x:c>
      <x:c r="J389" s="30" t="str">
        <x:v>VIS_ID</x:v>
      </x:c>
      <x:c r="K389" s="30" t="str">
        <x:v>EGKR-ENG-W25-951-10</x:v>
      </x:c>
      <x:c r="L389" s="87" t="str">
        <x:v>CROP_VERIFIED</x:v>
      </x:c>
      <x:c r="M389" s="87" t="str">
        <x:v>ORIGINAL_PACKAGE</x:v>
      </x:c>
      <x:c r="N389" s="87" t="str">
        <x:v>pages/VIS-EGKR-ENG-W25-TASK-951-P003.png</x:v>
      </x:c>
      <x:c r="O389" s="87" t="str">
        <x:v>thumbnails/VIS-EGKR-ENG-W25-TASK-951-P003.jpg</x:v>
      </x:c>
      <x:c r="P389" s="87" t="str">
        <x:v>0b3f05de649af1c7c0aab2d67a2c3e930e6ef4dca6724769f909baefed8bf041</x:v>
      </x:c>
      <x:c r="Q389" s="30" t="str">
        <x:v>incoming/raw/recovery-drop-01/english_egkr_winter_visual_audio_assets_v092.zip!/pages/VIS-EGKR-ENG-W25-TASK-951-P003.png</x:v>
      </x:c>
      <x:c r="R389" s="30" t="str">
        <x:v>MATCHED_ASSET</x:v>
      </x:c>
      <x:c r="S389" t="e">
        <x:f>HYPERLINK("visual_gallery/index.html#"&amp;A389,"Галерея")</x:f>
      </x:c>
    </x:row>
    <x:row r="390">
      <x:c r="A390" s="87" t="str">
        <x:v>VIS-EGKR-ENG-W25-TASK-951-P004</x:v>
      </x:c>
      <x:c r="B390" s="30" t="str">
        <x:v>Английский язык</x:v>
      </x:c>
      <x:c r="C390" s="30"/>
      <x:c r="D390" s="30" t="str">
        <x:v>951</x:v>
      </x:c>
      <x:c r="E390" s="87" t="str">
        <x:v>TASK</x:v>
      </x:c>
      <x:c r="F390" s="30" t="str">
        <x:v>Вариант 951.pdf</x:v>
      </x:c>
      <x:c r="G390" s="87" t="str">
        <x:v>4</x:v>
      </x:c>
      <x:c r="H390" s="87" t="str">
        <x:v>v0.92</x:v>
      </x:c>
      <x:c r="I390" s="87" t="str">
        <x:v>1</x:v>
      </x:c>
      <x:c r="J390" s="30" t="str">
        <x:v>VIS_ID</x:v>
      </x:c>
      <x:c r="K390" s="30" t="str">
        <x:v>EGKR-ENG-W25-951-11</x:v>
      </x:c>
      <x:c r="L390" s="87" t="str">
        <x:v>CROP_VERIFIED</x:v>
      </x:c>
      <x:c r="M390" s="87" t="str">
        <x:v>ORIGINAL_PACKAGE</x:v>
      </x:c>
      <x:c r="N390" s="87" t="str">
        <x:v>pages/VIS-EGKR-ENG-W25-TASK-951-P004.png</x:v>
      </x:c>
      <x:c r="O390" s="87" t="str">
        <x:v>thumbnails/VIS-EGKR-ENG-W25-TASK-951-P004.jpg</x:v>
      </x:c>
      <x:c r="P390" s="87" t="str">
        <x:v>737f7cf6593363a16becae74bec6c52e604e8d75209a11892119888efb33dcea</x:v>
      </x:c>
      <x:c r="Q390" s="30" t="str">
        <x:v>incoming/raw/recovery-drop-01/english_egkr_winter_visual_audio_assets_v092.zip!/pages/VIS-EGKR-ENG-W25-TASK-951-P004.png</x:v>
      </x:c>
      <x:c r="R390" s="30" t="str">
        <x:v>MATCHED_ASSET</x:v>
      </x:c>
      <x:c r="S390" t="e">
        <x:f>HYPERLINK("visual_gallery/index.html#"&amp;A390,"Галерея")</x:f>
      </x:c>
    </x:row>
    <x:row r="391">
      <x:c r="A391" s="87" t="str">
        <x:v>VIS-EGKR-ENG-W25-TASK-951-P005</x:v>
      </x:c>
      <x:c r="B391" s="30" t="str">
        <x:v>Английский язык</x:v>
      </x:c>
      <x:c r="C391" s="30"/>
      <x:c r="D391" s="30" t="str">
        <x:v>951</x:v>
      </x:c>
      <x:c r="E391" s="87" t="str">
        <x:v>TASK</x:v>
      </x:c>
      <x:c r="F391" s="30" t="str">
        <x:v>Вариант 951.pdf</x:v>
      </x:c>
      <x:c r="G391" s="87" t="str">
        <x:v>5</x:v>
      </x:c>
      <x:c r="H391" s="87" t="str">
        <x:v>v0.92</x:v>
      </x:c>
      <x:c r="I391" s="87" t="str">
        <x:v>7</x:v>
      </x:c>
      <x:c r="J391" s="30" t="str">
        <x:v>VIS_ID</x:v>
      </x:c>
      <x:c r="K391" s="30" t="str">
        <x:v>EGKR-ENG-W25-951-12, EGKR-ENG-W25-951-13, EGKR-ENG-W25-951-14, EGKR-ENG-W25-951-15, EGKR-ENG-W25-951-16, EGKR-ENG-W25-951-17, EGKR-ENG-W25-951-18</x:v>
      </x:c>
      <x:c r="L391" s="87" t="str">
        <x:v>CROP_VERIFIED</x:v>
      </x:c>
      <x:c r="M391" s="87" t="str">
        <x:v>ORIGINAL_PACKAGE</x:v>
      </x:c>
      <x:c r="N391" s="87" t="str">
        <x:v>pages/VIS-EGKR-ENG-W25-TASK-951-P005.png</x:v>
      </x:c>
      <x:c r="O391" s="87" t="str">
        <x:v>thumbnails/VIS-EGKR-ENG-W25-TASK-951-P005.jpg</x:v>
      </x:c>
      <x:c r="P391" s="87" t="str">
        <x:v>0a80e68d1d66f9feb79981ad6140e9520f0a67d2f2acd2cf4598d45d3077de93</x:v>
      </x:c>
      <x:c r="Q391" s="30" t="str">
        <x:v>incoming/raw/recovery-drop-01/english_egkr_winter_visual_audio_assets_v092.zip!/pages/VIS-EGKR-ENG-W25-TASK-951-P005.png</x:v>
      </x:c>
      <x:c r="R391" s="30" t="str">
        <x:v>MATCHED_ASSET</x:v>
      </x:c>
      <x:c r="S391" t="e">
        <x:f>HYPERLINK("visual_gallery/index.html#"&amp;A391,"Галерея")</x:f>
      </x:c>
    </x:row>
    <x:row r="392">
      <x:c r="A392" s="87" t="str">
        <x:v>VIS-EGKR-ENG-W25-TASK-951-P006</x:v>
      </x:c>
      <x:c r="B392" s="30" t="str">
        <x:v>Английский язык</x:v>
      </x:c>
      <x:c r="C392" s="30"/>
      <x:c r="D392" s="30" t="str">
        <x:v>951</x:v>
      </x:c>
      <x:c r="E392" s="87" t="str">
        <x:v>TASK</x:v>
      </x:c>
      <x:c r="F392" s="30" t="str">
        <x:v>Вариант 951.pdf</x:v>
      </x:c>
      <x:c r="G392" s="87" t="str">
        <x:v>6</x:v>
      </x:c>
      <x:c r="H392" s="87" t="str">
        <x:v>v0.92</x:v>
      </x:c>
      <x:c r="I392" s="87" t="str">
        <x:v>7</x:v>
      </x:c>
      <x:c r="J392" s="30" t="str">
        <x:v>VIS_ID</x:v>
      </x:c>
      <x:c r="K392" s="30" t="str">
        <x:v>EGKR-ENG-W25-951-30, EGKR-ENG-W25-951-31, EGKR-ENG-W25-951-32, EGKR-ENG-W25-951-33, EGKR-ENG-W25-951-34, EGKR-ENG-W25-951-35, EGKR-ENG-W25-951-36</x:v>
      </x:c>
      <x:c r="L392" s="87" t="str">
        <x:v>CROP_VERIFIED</x:v>
      </x:c>
      <x:c r="M392" s="87" t="str">
        <x:v>ORIGINAL_PACKAGE</x:v>
      </x:c>
      <x:c r="N392" s="87" t="str">
        <x:v>pages/VIS-EGKR-ENG-W25-TASK-951-P006.png</x:v>
      </x:c>
      <x:c r="O392" s="87" t="str">
        <x:v>thumbnails/VIS-EGKR-ENG-W25-TASK-951-P006.jpg</x:v>
      </x:c>
      <x:c r="P392" s="87" t="str">
        <x:v>62fc651fc1cfe1deba74285d02209875228c051f5f3878ef90237d0af80f6845</x:v>
      </x:c>
      <x:c r="Q392" s="30" t="str">
        <x:v>incoming/raw/recovery-drop-01/english_egkr_winter_visual_audio_assets_v092.zip!/pages/VIS-EGKR-ENG-W25-TASK-951-P006.png</x:v>
      </x:c>
      <x:c r="R392" s="30" t="str">
        <x:v>MATCHED_ASSET</x:v>
      </x:c>
      <x:c r="S392" t="e">
        <x:f>HYPERLINK("visual_gallery/index.html#"&amp;A392,"Галерея")</x:f>
      </x:c>
    </x:row>
    <x:row r="393">
      <x:c r="A393" s="87" t="str">
        <x:v>VIS-EGKR-ENG-W25-TASK-951-P007</x:v>
      </x:c>
      <x:c r="B393" s="30" t="str">
        <x:v>Английский язык</x:v>
      </x:c>
      <x:c r="C393" s="30"/>
      <x:c r="D393" s="30" t="str">
        <x:v>951</x:v>
      </x:c>
      <x:c r="E393" s="87" t="str">
        <x:v>TASK</x:v>
      </x:c>
      <x:c r="F393" s="30" t="str">
        <x:v>Вариант 951.pdf</x:v>
      </x:c>
      <x:c r="G393" s="87" t="str">
        <x:v>7</x:v>
      </x:c>
      <x:c r="H393" s="87" t="str">
        <x:v>v0.92</x:v>
      </x:c>
      <x:c r="I393" s="87" t="str">
        <x:v>11</x:v>
      </x:c>
      <x:c r="J393" s="30" t="str">
        <x:v>VIS_ID</x:v>
      </x:c>
      <x:c r="K393" s="30" t="str">
        <x:v>EGKR-ENG-W25-951-19, EGKR-ENG-W25-951-20, EGKR-ENG-W25-951-21, EGKR-ENG-W25-951-22, EGKR-ENG-W25-951-23, EGKR-ENG-W25-951-24, EGKR-ENG-W25-951-25, EGKR-ENG-W25-951-26…</x:v>
      </x:c>
      <x:c r="L393" s="87" t="str">
        <x:v>CROP_VERIFIED</x:v>
      </x:c>
      <x:c r="M393" s="87" t="str">
        <x:v>ORIGINAL_PACKAGE</x:v>
      </x:c>
      <x:c r="N393" s="87" t="str">
        <x:v>pages/VIS-EGKR-ENG-W25-TASK-951-P007.png</x:v>
      </x:c>
      <x:c r="O393" s="87" t="str">
        <x:v>thumbnails/VIS-EGKR-ENG-W25-TASK-951-P007.jpg</x:v>
      </x:c>
      <x:c r="P393" s="87" t="str">
        <x:v>ae3757f8a7a384bf1c945a894934c2cb226d3d23d82ce443b0937449cc4650a4</x:v>
      </x:c>
      <x:c r="Q393" s="30" t="str">
        <x:v>incoming/raw/recovery-drop-01/english_egkr_winter_visual_audio_assets_v092.zip!/pages/VIS-EGKR-ENG-W25-TASK-951-P007.png</x:v>
      </x:c>
      <x:c r="R393" s="30" t="str">
        <x:v>MATCHED_ASSET</x:v>
      </x:c>
      <x:c r="S393" t="e">
        <x:f>HYPERLINK("visual_gallery/index.html#"&amp;A393,"Галерея")</x:f>
      </x:c>
    </x:row>
    <x:row r="394">
      <x:c r="A394" s="87" t="str">
        <x:v>VIS-EGKR-ENG-W25-TASK-951-P008</x:v>
      </x:c>
      <x:c r="B394" s="30" t="str">
        <x:v>Английский язык</x:v>
      </x:c>
      <x:c r="C394" s="30"/>
      <x:c r="D394" s="30" t="str">
        <x:v>951</x:v>
      </x:c>
      <x:c r="E394" s="87" t="str">
        <x:v>TASK</x:v>
      </x:c>
      <x:c r="F394" s="30" t="str">
        <x:v>Вариант 951.pdf</x:v>
      </x:c>
      <x:c r="G394" s="87" t="str">
        <x:v>8</x:v>
      </x:c>
      <x:c r="H394" s="87" t="str">
        <x:v>v0.92</x:v>
      </x:c>
      <x:c r="I394" s="87" t="str">
        <x:v>2</x:v>
      </x:c>
      <x:c r="J394" s="30" t="str">
        <x:v>VIS_ID</x:v>
      </x:c>
      <x:c r="K394" s="30" t="str">
        <x:v>EGKR-ENG-W25-951-37, EGKR-ENG-W25-951-38</x:v>
      </x:c>
      <x:c r="L394" s="87" t="str">
        <x:v>CROP_VERIFIED</x:v>
      </x:c>
      <x:c r="M394" s="87" t="str">
        <x:v>ORIGINAL_PACKAGE</x:v>
      </x:c>
      <x:c r="N394" s="87" t="str">
        <x:v>pages/VIS-EGKR-ENG-W25-TASK-951-P008.png</x:v>
      </x:c>
      <x:c r="O394" s="87" t="str">
        <x:v>thumbnails/VIS-EGKR-ENG-W25-TASK-951-P008.jpg</x:v>
      </x:c>
      <x:c r="P394" s="87" t="str">
        <x:v>1dffdc20f4c2f8e66f4948960248347026898fcaeb5f710957112b2293566f3e</x:v>
      </x:c>
      <x:c r="Q394" s="30" t="str">
        <x:v>incoming/raw/recovery-drop-01/english_egkr_winter_visual_audio_assets_v092.zip!/pages/VIS-EGKR-ENG-W25-TASK-951-P008.png</x:v>
      </x:c>
      <x:c r="R394" s="30" t="str">
        <x:v>MATCHED_ASSET</x:v>
      </x:c>
      <x:c r="S394" t="e">
        <x:f>HYPERLINK("visual_gallery/index.html#"&amp;A394,"Галерея")</x:f>
      </x:c>
    </x:row>
    <x:row r="395">
      <x:c r="A395" s="87" t="str">
        <x:v>VIS-EGKR-ENG-W25-TASK-951-P009</x:v>
      </x:c>
      <x:c r="B395" s="30" t="str"/>
      <x:c r="C395" s="30"/>
      <x:c r="D395" s="30" t="str">
        <x:v>951</x:v>
      </x:c>
      <x:c r="E395" s="87" t="str">
        <x:v>TASK</x:v>
      </x:c>
      <x:c r="F395" s="30" t="str">
        <x:v>Вариант 951.pdf</x:v>
      </x:c>
      <x:c r="G395" s="87" t="str">
        <x:v>9</x:v>
      </x:c>
      <x:c r="H395" s="87" t="str">
        <x:v>v0.92</x:v>
      </x:c>
      <x:c r="I395" s="87" t="str">
        <x:v>0</x:v>
      </x:c>
      <x:c r="J395" s="30" t="str"/>
      <x:c r="K395" s="30" t="str"/>
      <x:c r="L395" s="87" t="str">
        <x:v>CROP_VERIFIED</x:v>
      </x:c>
      <x:c r="M395" s="87" t="str">
        <x:v>ORIGINAL_PACKAGE</x:v>
      </x:c>
      <x:c r="N395" s="87" t="str">
        <x:v>pages/VIS-EGKR-ENG-W25-TASK-951-P009.png</x:v>
      </x:c>
      <x:c r="O395" s="87" t="str">
        <x:v>thumbnails/VIS-EGKR-ENG-W25-TASK-951-P009.jpg</x:v>
      </x:c>
      <x:c r="P395" s="87" t="str">
        <x:v>371c09f90289bab77b524fb23914f3b1aedca39df544f15a1232416e0555aa2f</x:v>
      </x:c>
      <x:c r="Q395" s="30" t="str">
        <x:v>incoming/raw/recovery-drop-01/english_egkr_winter_visual_audio_assets_v092.zip!/pages/VIS-EGKR-ENG-W25-TASK-951-P009.png</x:v>
      </x:c>
      <x:c r="R395" s="30" t="str">
        <x:v>RESOLVED_UNLINKED_REGISTRY_VISUAL</x:v>
      </x:c>
      <x:c r="S395" t="e">
        <x:f>HYPERLINK("visual_gallery/index.html#"&amp;A395,"Галерея")</x:f>
      </x:c>
    </x:row>
    <x:row r="396">
      <x:c r="A396" s="87" t="str">
        <x:v>VIS-EGKR-ENG-W25-TASK-952-P001</x:v>
      </x:c>
      <x:c r="B396" s="30" t="str">
        <x:v>Английский язык</x:v>
      </x:c>
      <x:c r="C396" s="30"/>
      <x:c r="D396" s="30" t="str">
        <x:v>952</x:v>
      </x:c>
      <x:c r="E396" s="87" t="str">
        <x:v>TASK</x:v>
      </x:c>
      <x:c r="F396" s="30" t="str">
        <x:v>Вариант 952.pdf</x:v>
      </x:c>
      <x:c r="G396" s="87" t="str">
        <x:v>1</x:v>
      </x:c>
      <x:c r="H396" s="87" t="str">
        <x:v>v0.92</x:v>
      </x:c>
      <x:c r="I396" s="87" t="str">
        <x:v>2</x:v>
      </x:c>
      <x:c r="J396" s="30" t="str">
        <x:v>VIS_ID</x:v>
      </x:c>
      <x:c r="K396" s="30" t="str">
        <x:v>EGKR-ENG-W25-952-01, EGKR-ENG-W25-952-02</x:v>
      </x:c>
      <x:c r="L396" s="87" t="str">
        <x:v>CROP_VERIFIED</x:v>
      </x:c>
      <x:c r="M396" s="87" t="str">
        <x:v>ORIGINAL_PACKAGE</x:v>
      </x:c>
      <x:c r="N396" s="87" t="str">
        <x:v>pages/VIS-EGKR-ENG-W25-TASK-952-P001.png</x:v>
      </x:c>
      <x:c r="O396" s="87" t="str">
        <x:v>thumbnails/VIS-EGKR-ENG-W25-TASK-952-P001.jpg</x:v>
      </x:c>
      <x:c r="P396" s="87" t="str">
        <x:v>5ad82ab14dea6bdb53b43baa8f86a083d800ef82f72f697d6c3c4dbd25c37267</x:v>
      </x:c>
      <x:c r="Q396" s="30" t="str">
        <x:v>incoming/raw/recovery-drop-01/english_egkr_winter_visual_audio_assets_v092.zip!/pages/VIS-EGKR-ENG-W25-TASK-952-P001.png</x:v>
      </x:c>
      <x:c r="R396" s="30" t="str">
        <x:v>MATCHED_ASSET</x:v>
      </x:c>
      <x:c r="S396" t="e">
        <x:f>HYPERLINK("visual_gallery/index.html#"&amp;A396,"Галерея")</x:f>
      </x:c>
    </x:row>
    <x:row r="397">
      <x:c r="A397" s="87" t="str">
        <x:v>VIS-EGKR-ENG-W25-TASK-952-P002</x:v>
      </x:c>
      <x:c r="B397" s="30" t="str">
        <x:v>Английский язык</x:v>
      </x:c>
      <x:c r="C397" s="30"/>
      <x:c r="D397" s="30" t="str">
        <x:v>952</x:v>
      </x:c>
      <x:c r="E397" s="87" t="str">
        <x:v>TASK</x:v>
      </x:c>
      <x:c r="F397" s="30" t="str">
        <x:v>Вариант 952.pdf</x:v>
      </x:c>
      <x:c r="G397" s="87" t="str">
        <x:v>2</x:v>
      </x:c>
      <x:c r="H397" s="87" t="str">
        <x:v>v0.92</x:v>
      </x:c>
      <x:c r="I397" s="87" t="str">
        <x:v>7</x:v>
      </x:c>
      <x:c r="J397" s="30" t="str">
        <x:v>VIS_ID</x:v>
      </x:c>
      <x:c r="K397" s="30" t="str">
        <x:v>EGKR-ENG-W25-952-03, EGKR-ENG-W25-952-04, EGKR-ENG-W25-952-05, EGKR-ENG-W25-952-06, EGKR-ENG-W25-952-07, EGKR-ENG-W25-952-08, EGKR-ENG-W25-952-09</x:v>
      </x:c>
      <x:c r="L397" s="87" t="str">
        <x:v>CROP_VERIFIED</x:v>
      </x:c>
      <x:c r="M397" s="87" t="str">
        <x:v>ORIGINAL_PACKAGE</x:v>
      </x:c>
      <x:c r="N397" s="87" t="str">
        <x:v>pages/VIS-EGKR-ENG-W25-TASK-952-P002.png</x:v>
      </x:c>
      <x:c r="O397" s="87" t="str">
        <x:v>thumbnails/VIS-EGKR-ENG-W25-TASK-952-P002.jpg</x:v>
      </x:c>
      <x:c r="P397" s="87" t="str">
        <x:v>21eef3c2363975bf8ae48985b32d9bff6a604b5d0716da97f9f366b711086ca5</x:v>
      </x:c>
      <x:c r="Q397" s="30" t="str">
        <x:v>incoming/raw/recovery-drop-01/english_egkr_winter_visual_audio_assets_v092.zip!/pages/VIS-EGKR-ENG-W25-TASK-952-P002.png</x:v>
      </x:c>
      <x:c r="R397" s="30" t="str">
        <x:v>MATCHED_ASSET</x:v>
      </x:c>
      <x:c r="S397" t="e">
        <x:f>HYPERLINK("visual_gallery/index.html#"&amp;A397,"Галерея")</x:f>
      </x:c>
    </x:row>
    <x:row r="398">
      <x:c r="A398" s="87" t="str">
        <x:v>VIS-EGKR-ENG-W25-TASK-952-P003</x:v>
      </x:c>
      <x:c r="B398" s="30" t="str">
        <x:v>Английский язык</x:v>
      </x:c>
      <x:c r="C398" s="30"/>
      <x:c r="D398" s="30" t="str">
        <x:v>952</x:v>
      </x:c>
      <x:c r="E398" s="87" t="str">
        <x:v>TASK</x:v>
      </x:c>
      <x:c r="F398" s="30" t="str">
        <x:v>Вариант 952.pdf</x:v>
      </x:c>
      <x:c r="G398" s="87" t="str">
        <x:v>3</x:v>
      </x:c>
      <x:c r="H398" s="87" t="str">
        <x:v>v0.92</x:v>
      </x:c>
      <x:c r="I398" s="87" t="str">
        <x:v>1</x:v>
      </x:c>
      <x:c r="J398" s="30" t="str">
        <x:v>VIS_ID</x:v>
      </x:c>
      <x:c r="K398" s="30" t="str">
        <x:v>EGKR-ENG-W25-952-10</x:v>
      </x:c>
      <x:c r="L398" s="87" t="str">
        <x:v>CROP_VERIFIED</x:v>
      </x:c>
      <x:c r="M398" s="87" t="str">
        <x:v>ORIGINAL_PACKAGE</x:v>
      </x:c>
      <x:c r="N398" s="87" t="str">
        <x:v>pages/VIS-EGKR-ENG-W25-TASK-952-P003.png</x:v>
      </x:c>
      <x:c r="O398" s="87" t="str">
        <x:v>thumbnails/VIS-EGKR-ENG-W25-TASK-952-P003.jpg</x:v>
      </x:c>
      <x:c r="P398" s="87" t="str">
        <x:v>8e4f620dde02b480667e08466115dd61a9c3869ab169b721ee0a31dec098a3d3</x:v>
      </x:c>
      <x:c r="Q398" s="30" t="str">
        <x:v>incoming/raw/recovery-drop-01/english_egkr_winter_visual_audio_assets_v092.zip!/pages/VIS-EGKR-ENG-W25-TASK-952-P003.png</x:v>
      </x:c>
      <x:c r="R398" s="30" t="str">
        <x:v>MATCHED_ASSET</x:v>
      </x:c>
      <x:c r="S398" t="e">
        <x:f>HYPERLINK("visual_gallery/index.html#"&amp;A398,"Галерея")</x:f>
      </x:c>
    </x:row>
    <x:row r="399">
      <x:c r="A399" s="87" t="str">
        <x:v>VIS-EGKR-ENG-W25-TASK-952-P004</x:v>
      </x:c>
      <x:c r="B399" s="30" t="str">
        <x:v>Английский язык</x:v>
      </x:c>
      <x:c r="C399" s="30"/>
      <x:c r="D399" s="30" t="str">
        <x:v>952</x:v>
      </x:c>
      <x:c r="E399" s="87" t="str">
        <x:v>TASK</x:v>
      </x:c>
      <x:c r="F399" s="30" t="str">
        <x:v>Вариант 952.pdf</x:v>
      </x:c>
      <x:c r="G399" s="87" t="str">
        <x:v>4</x:v>
      </x:c>
      <x:c r="H399" s="87" t="str">
        <x:v>v0.92</x:v>
      </x:c>
      <x:c r="I399" s="87" t="str">
        <x:v>1</x:v>
      </x:c>
      <x:c r="J399" s="30" t="str">
        <x:v>VIS_ID</x:v>
      </x:c>
      <x:c r="K399" s="30" t="str">
        <x:v>EGKR-ENG-W25-952-11</x:v>
      </x:c>
      <x:c r="L399" s="87" t="str">
        <x:v>CROP_VERIFIED</x:v>
      </x:c>
      <x:c r="M399" s="87" t="str">
        <x:v>ORIGINAL_PACKAGE</x:v>
      </x:c>
      <x:c r="N399" s="87" t="str">
        <x:v>pages/VIS-EGKR-ENG-W25-TASK-952-P004.png</x:v>
      </x:c>
      <x:c r="O399" s="87" t="str">
        <x:v>thumbnails/VIS-EGKR-ENG-W25-TASK-952-P004.jpg</x:v>
      </x:c>
      <x:c r="P399" s="87" t="str">
        <x:v>df63196a4e5adb8d677f2bfa57f9831715d57378bcbdb36201f4e5098b771508</x:v>
      </x:c>
      <x:c r="Q399" s="30" t="str">
        <x:v>incoming/raw/recovery-drop-01/english_egkr_winter_visual_audio_assets_v092.zip!/pages/VIS-EGKR-ENG-W25-TASK-952-P004.png</x:v>
      </x:c>
      <x:c r="R399" s="30" t="str">
        <x:v>MATCHED_ASSET</x:v>
      </x:c>
      <x:c r="S399" t="e">
        <x:f>HYPERLINK("visual_gallery/index.html#"&amp;A399,"Галерея")</x:f>
      </x:c>
    </x:row>
    <x:row r="400">
      <x:c r="A400" s="87" t="str">
        <x:v>VIS-EGKR-ENG-W25-TASK-952-P005</x:v>
      </x:c>
      <x:c r="B400" s="30" t="str">
        <x:v>Английский язык</x:v>
      </x:c>
      <x:c r="C400" s="30"/>
      <x:c r="D400" s="30" t="str">
        <x:v>952</x:v>
      </x:c>
      <x:c r="E400" s="87" t="str">
        <x:v>TASK</x:v>
      </x:c>
      <x:c r="F400" s="30" t="str">
        <x:v>Вариант 952.pdf</x:v>
      </x:c>
      <x:c r="G400" s="87" t="str">
        <x:v>5</x:v>
      </x:c>
      <x:c r="H400" s="87" t="str">
        <x:v>v0.92</x:v>
      </x:c>
      <x:c r="I400" s="87" t="str">
        <x:v>7</x:v>
      </x:c>
      <x:c r="J400" s="30" t="str">
        <x:v>VIS_ID</x:v>
      </x:c>
      <x:c r="K400" s="30" t="str">
        <x:v>EGKR-ENG-W25-952-12, EGKR-ENG-W25-952-13, EGKR-ENG-W25-952-14, EGKR-ENG-W25-952-15, EGKR-ENG-W25-952-16, EGKR-ENG-W25-952-17, EGKR-ENG-W25-952-18</x:v>
      </x:c>
      <x:c r="L400" s="87" t="str">
        <x:v>CROP_VERIFIED</x:v>
      </x:c>
      <x:c r="M400" s="87" t="str">
        <x:v>ORIGINAL_PACKAGE</x:v>
      </x:c>
      <x:c r="N400" s="87" t="str">
        <x:v>pages/VIS-EGKR-ENG-W25-TASK-952-P005.png</x:v>
      </x:c>
      <x:c r="O400" s="87" t="str">
        <x:v>thumbnails/VIS-EGKR-ENG-W25-TASK-952-P005.jpg</x:v>
      </x:c>
      <x:c r="P400" s="87" t="str">
        <x:v>0fba0714c69b5b55a59df47ada70f5faaca7baf395b85f343409a39c90f561db</x:v>
      </x:c>
      <x:c r="Q400" s="30" t="str">
        <x:v>incoming/raw/recovery-drop-01/english_egkr_winter_visual_audio_assets_v092.zip!/pages/VIS-EGKR-ENG-W25-TASK-952-P005.png</x:v>
      </x:c>
      <x:c r="R400" s="30" t="str">
        <x:v>MATCHED_ASSET</x:v>
      </x:c>
      <x:c r="S400" t="e">
        <x:f>HYPERLINK("visual_gallery/index.html#"&amp;A400,"Галерея")</x:f>
      </x:c>
    </x:row>
    <x:row r="401">
      <x:c r="A401" s="87" t="str">
        <x:v>VIS-EGKR-ENG-W25-TASK-952-P006</x:v>
      </x:c>
      <x:c r="B401" s="30" t="str">
        <x:v>Английский язык</x:v>
      </x:c>
      <x:c r="C401" s="30"/>
      <x:c r="D401" s="30" t="str">
        <x:v>952</x:v>
      </x:c>
      <x:c r="E401" s="87" t="str">
        <x:v>TASK</x:v>
      </x:c>
      <x:c r="F401" s="30" t="str">
        <x:v>Вариант 952.pdf</x:v>
      </x:c>
      <x:c r="G401" s="87" t="str">
        <x:v>6</x:v>
      </x:c>
      <x:c r="H401" s="87" t="str">
        <x:v>v0.92</x:v>
      </x:c>
      <x:c r="I401" s="87" t="str">
        <x:v>11</x:v>
      </x:c>
      <x:c r="J401" s="30" t="str">
        <x:v>VIS_ID</x:v>
      </x:c>
      <x:c r="K401" s="30" t="str">
        <x:v>EGKR-ENG-W25-952-19, EGKR-ENG-W25-952-20, EGKR-ENG-W25-952-21, EGKR-ENG-W25-952-22, EGKR-ENG-W25-952-23, EGKR-ENG-W25-952-24, EGKR-ENG-W25-952-25, EGKR-ENG-W25-952-26…</x:v>
      </x:c>
      <x:c r="L401" s="87" t="str">
        <x:v>CROP_VERIFIED</x:v>
      </x:c>
      <x:c r="M401" s="87" t="str">
        <x:v>ORIGINAL_PACKAGE</x:v>
      </x:c>
      <x:c r="N401" s="87" t="str">
        <x:v>pages/VIS-EGKR-ENG-W25-TASK-952-P006.png</x:v>
      </x:c>
      <x:c r="O401" s="87" t="str">
        <x:v>thumbnails/VIS-EGKR-ENG-W25-TASK-952-P006.jpg</x:v>
      </x:c>
      <x:c r="P401" s="87" t="str">
        <x:v>8566e1e7291f707354ee64057ee10de23c60faf2505fefdfce3e5a2432170e36</x:v>
      </x:c>
      <x:c r="Q401" s="30" t="str">
        <x:v>incoming/raw/recovery-drop-01/english_egkr_winter_visual_audio_assets_v092.zip!/pages/VIS-EGKR-ENG-W25-TASK-952-P006.png</x:v>
      </x:c>
      <x:c r="R401" s="30" t="str">
        <x:v>MATCHED_ASSET</x:v>
      </x:c>
      <x:c r="S401" t="e">
        <x:f>HYPERLINK("visual_gallery/index.html#"&amp;A401,"Галерея")</x:f>
      </x:c>
    </x:row>
    <x:row r="402">
      <x:c r="A402" s="87" t="str">
        <x:v>VIS-EGKR-ENG-W25-TASK-952-P007</x:v>
      </x:c>
      <x:c r="B402" s="30" t="str">
        <x:v>Английский язык</x:v>
      </x:c>
      <x:c r="C402" s="30"/>
      <x:c r="D402" s="30" t="str">
        <x:v>952</x:v>
      </x:c>
      <x:c r="E402" s="87" t="str">
        <x:v>TASK</x:v>
      </x:c>
      <x:c r="F402" s="30" t="str">
        <x:v>Вариант 952.pdf</x:v>
      </x:c>
      <x:c r="G402" s="87" t="str">
        <x:v>7</x:v>
      </x:c>
      <x:c r="H402" s="87" t="str">
        <x:v>v0.92</x:v>
      </x:c>
      <x:c r="I402" s="87" t="str">
        <x:v>7</x:v>
      </x:c>
      <x:c r="J402" s="30" t="str">
        <x:v>VIS_ID</x:v>
      </x:c>
      <x:c r="K402" s="30" t="str">
        <x:v>EGKR-ENG-W25-952-30, EGKR-ENG-W25-952-31, EGKR-ENG-W25-952-32, EGKR-ENG-W25-952-33, EGKR-ENG-W25-952-34, EGKR-ENG-W25-952-35, EGKR-ENG-W25-952-36</x:v>
      </x:c>
      <x:c r="L402" s="87" t="str">
        <x:v>CROP_VERIFIED</x:v>
      </x:c>
      <x:c r="M402" s="87" t="str">
        <x:v>ORIGINAL_PACKAGE</x:v>
      </x:c>
      <x:c r="N402" s="87" t="str">
        <x:v>pages/VIS-EGKR-ENG-W25-TASK-952-P007.png</x:v>
      </x:c>
      <x:c r="O402" s="87" t="str">
        <x:v>thumbnails/VIS-EGKR-ENG-W25-TASK-952-P007.jpg</x:v>
      </x:c>
      <x:c r="P402" s="87" t="str">
        <x:v>531bb855b2e97bb0557dd8c9f4bb45b39c2f89dcb92ea8149d1b4f6504e6ba5d</x:v>
      </x:c>
      <x:c r="Q402" s="30" t="str">
        <x:v>incoming/raw/recovery-drop-01/english_egkr_winter_visual_audio_assets_v092.zip!/pages/VIS-EGKR-ENG-W25-TASK-952-P007.png</x:v>
      </x:c>
      <x:c r="R402" s="30" t="str">
        <x:v>MATCHED_ASSET</x:v>
      </x:c>
      <x:c r="S402" t="e">
        <x:f>HYPERLINK("visual_gallery/index.html#"&amp;A402,"Галерея")</x:f>
      </x:c>
    </x:row>
    <x:row r="403">
      <x:c r="A403" s="87" t="str">
        <x:v>VIS-EGKR-ENG-W25-TASK-952-P008</x:v>
      </x:c>
      <x:c r="B403" s="30" t="str">
        <x:v>Английский язык</x:v>
      </x:c>
      <x:c r="C403" s="30"/>
      <x:c r="D403" s="30" t="str">
        <x:v>952</x:v>
      </x:c>
      <x:c r="E403" s="87" t="str">
        <x:v>TASK</x:v>
      </x:c>
      <x:c r="F403" s="30" t="str">
        <x:v>Вариант 952.pdf</x:v>
      </x:c>
      <x:c r="G403" s="87" t="str">
        <x:v>8</x:v>
      </x:c>
      <x:c r="H403" s="87" t="str">
        <x:v>v0.92</x:v>
      </x:c>
      <x:c r="I403" s="87" t="str">
        <x:v>2</x:v>
      </x:c>
      <x:c r="J403" s="30" t="str">
        <x:v>VIS_ID</x:v>
      </x:c>
      <x:c r="K403" s="30" t="str">
        <x:v>EGKR-ENG-W25-952-37, EGKR-ENG-W25-952-38</x:v>
      </x:c>
      <x:c r="L403" s="87" t="str">
        <x:v>CROP_VERIFIED</x:v>
      </x:c>
      <x:c r="M403" s="87" t="str">
        <x:v>ORIGINAL_PACKAGE</x:v>
      </x:c>
      <x:c r="N403" s="87" t="str">
        <x:v>pages/VIS-EGKR-ENG-W25-TASK-952-P008.png</x:v>
      </x:c>
      <x:c r="O403" s="87" t="str">
        <x:v>thumbnails/VIS-EGKR-ENG-W25-TASK-952-P008.jpg</x:v>
      </x:c>
      <x:c r="P403" s="87" t="str">
        <x:v>aa26187621771b82cd0c6236a3bd9a33afad1eaeec6067dbf93cd786216141e1</x:v>
      </x:c>
      <x:c r="Q403" s="30" t="str">
        <x:v>incoming/raw/recovery-drop-01/english_egkr_winter_visual_audio_assets_v092.zip!/pages/VIS-EGKR-ENG-W25-TASK-952-P008.png</x:v>
      </x:c>
      <x:c r="R403" s="30" t="str">
        <x:v>MATCHED_ASSET</x:v>
      </x:c>
      <x:c r="S403" t="e">
        <x:f>HYPERLINK("visual_gallery/index.html#"&amp;A403,"Галерея")</x:f>
      </x:c>
    </x:row>
    <x:row r="404">
      <x:c r="A404" s="87" t="str">
        <x:v>VIS-EGKR-ENG-W25-TASK-952-P009</x:v>
      </x:c>
      <x:c r="B404" s="30" t="str"/>
      <x:c r="C404" s="30"/>
      <x:c r="D404" s="30" t="str">
        <x:v>952</x:v>
      </x:c>
      <x:c r="E404" s="87" t="str">
        <x:v>TASK</x:v>
      </x:c>
      <x:c r="F404" s="30" t="str">
        <x:v>Вариант 952.pdf</x:v>
      </x:c>
      <x:c r="G404" s="87" t="str">
        <x:v>9</x:v>
      </x:c>
      <x:c r="H404" s="87" t="str">
        <x:v>v0.92</x:v>
      </x:c>
      <x:c r="I404" s="87" t="str">
        <x:v>0</x:v>
      </x:c>
      <x:c r="J404" s="30" t="str"/>
      <x:c r="K404" s="30" t="str"/>
      <x:c r="L404" s="87" t="str">
        <x:v>CROP_VERIFIED</x:v>
      </x:c>
      <x:c r="M404" s="87" t="str">
        <x:v>ORIGINAL_PACKAGE</x:v>
      </x:c>
      <x:c r="N404" s="87" t="str">
        <x:v>pages/VIS-EGKR-ENG-W25-TASK-952-P009.png</x:v>
      </x:c>
      <x:c r="O404" s="87" t="str">
        <x:v>thumbnails/VIS-EGKR-ENG-W25-TASK-952-P009.jpg</x:v>
      </x:c>
      <x:c r="P404" s="87" t="str">
        <x:v>39eca138d12b5cccc3ea86f8e96f90cdf4a35d8773a5957ec03d7706cdc06535</x:v>
      </x:c>
      <x:c r="Q404" s="30" t="str">
        <x:v>incoming/raw/recovery-drop-01/english_egkr_winter_visual_audio_assets_v092.zip!/pages/VIS-EGKR-ENG-W25-TASK-952-P009.png</x:v>
      </x:c>
      <x:c r="R404" s="30" t="str">
        <x:v>RESOLVED_UNLINKED_REGISTRY_VISUAL</x:v>
      </x:c>
      <x:c r="S404" t="e">
        <x:f>HYPERLINK("visual_gallery/index.html#"&amp;A404,"Галерея")</x:f>
      </x:c>
    </x:row>
    <x:row r="405">
      <x:c r="A405" s="87" t="str">
        <x:v>VIS-EGKR-ENG-W25-TASK-953-P001</x:v>
      </x:c>
      <x:c r="B405" s="30" t="str">
        <x:v>Английский язык</x:v>
      </x:c>
      <x:c r="C405" s="30"/>
      <x:c r="D405" s="30" t="str">
        <x:v>953</x:v>
      </x:c>
      <x:c r="E405" s="87" t="str">
        <x:v>TASK</x:v>
      </x:c>
      <x:c r="F405" s="30" t="str">
        <x:v>953 (2).pdf</x:v>
      </x:c>
      <x:c r="G405" s="87" t="str">
        <x:v>1</x:v>
      </x:c>
      <x:c r="H405" s="87" t="str">
        <x:v>v0.92</x:v>
      </x:c>
      <x:c r="I405" s="87" t="str">
        <x:v>2</x:v>
      </x:c>
      <x:c r="J405" s="30" t="str">
        <x:v>VIS_ID</x:v>
      </x:c>
      <x:c r="K405" s="30" t="str">
        <x:v>EGKR-ENG-W25-953-01, EGKR-ENG-W25-953-02</x:v>
      </x:c>
      <x:c r="L405" s="87" t="str">
        <x:v>CROP_VERIFIED</x:v>
      </x:c>
      <x:c r="M405" s="87" t="str">
        <x:v>ORIGINAL_PACKAGE</x:v>
      </x:c>
      <x:c r="N405" s="87" t="str">
        <x:v>pages/VIS-EGKR-ENG-W25-TASK-953-P001.png</x:v>
      </x:c>
      <x:c r="O405" s="87" t="str">
        <x:v>thumbnails/VIS-EGKR-ENG-W25-TASK-953-P001.jpg</x:v>
      </x:c>
      <x:c r="P405" s="87" t="str">
        <x:v>fd4d3aa0f3520f278aac45b24ae002e08a635261e527ea7d22910695917f85b5</x:v>
      </x:c>
      <x:c r="Q405" s="30" t="str">
        <x:v>incoming/raw/recovery-drop-01/english_egkr_winter_visual_audio_assets_v092.zip!/pages/VIS-EGKR-ENG-W25-TASK-953-P001.png</x:v>
      </x:c>
      <x:c r="R405" s="30" t="str">
        <x:v>MATCHED_ASSET</x:v>
      </x:c>
      <x:c r="S405" t="e">
        <x:f>HYPERLINK("visual_gallery/index.html#"&amp;A405,"Галерея")</x:f>
      </x:c>
    </x:row>
    <x:row r="406">
      <x:c r="A406" s="87" t="str">
        <x:v>VIS-EGKR-ENG-W25-TASK-953-P002</x:v>
      </x:c>
      <x:c r="B406" s="30" t="str">
        <x:v>Английский язык</x:v>
      </x:c>
      <x:c r="C406" s="30"/>
      <x:c r="D406" s="30" t="str">
        <x:v>953</x:v>
      </x:c>
      <x:c r="E406" s="87" t="str">
        <x:v>TASK</x:v>
      </x:c>
      <x:c r="F406" s="30" t="str">
        <x:v>953 (2).pdf</x:v>
      </x:c>
      <x:c r="G406" s="87" t="str">
        <x:v>2</x:v>
      </x:c>
      <x:c r="H406" s="87" t="str">
        <x:v>v0.92</x:v>
      </x:c>
      <x:c r="I406" s="87" t="str">
        <x:v>7</x:v>
      </x:c>
      <x:c r="J406" s="30" t="str">
        <x:v>VIS_ID</x:v>
      </x:c>
      <x:c r="K406" s="30" t="str">
        <x:v>EGKR-ENG-W25-953-03, EGKR-ENG-W25-953-04, EGKR-ENG-W25-953-05, EGKR-ENG-W25-953-06, EGKR-ENG-W25-953-07, EGKR-ENG-W25-953-08, EGKR-ENG-W25-953-09</x:v>
      </x:c>
      <x:c r="L406" s="87" t="str">
        <x:v>CROP_VERIFIED</x:v>
      </x:c>
      <x:c r="M406" s="87" t="str">
        <x:v>ORIGINAL_PACKAGE</x:v>
      </x:c>
      <x:c r="N406" s="87" t="str">
        <x:v>pages/VIS-EGKR-ENG-W25-TASK-953-P002.png</x:v>
      </x:c>
      <x:c r="O406" s="87" t="str">
        <x:v>thumbnails/VIS-EGKR-ENG-W25-TASK-953-P002.jpg</x:v>
      </x:c>
      <x:c r="P406" s="87" t="str">
        <x:v>c57f3128061a75b060ebcd5d2e0e217811afcbe7be04b61e9d418d4c9fde13a0</x:v>
      </x:c>
      <x:c r="Q406" s="30" t="str">
        <x:v>incoming/raw/recovery-drop-01/english_egkr_winter_visual_audio_assets_v092.zip!/pages/VIS-EGKR-ENG-W25-TASK-953-P002.png</x:v>
      </x:c>
      <x:c r="R406" s="30" t="str">
        <x:v>MATCHED_ASSET</x:v>
      </x:c>
      <x:c r="S406" t="e">
        <x:f>HYPERLINK("visual_gallery/index.html#"&amp;A406,"Галерея")</x:f>
      </x:c>
    </x:row>
    <x:row r="407">
      <x:c r="A407" s="87" t="str">
        <x:v>VIS-EGKR-ENG-W25-TASK-953-P003</x:v>
      </x:c>
      <x:c r="B407" s="30" t="str">
        <x:v>Английский язык</x:v>
      </x:c>
      <x:c r="C407" s="30"/>
      <x:c r="D407" s="30" t="str">
        <x:v>953</x:v>
      </x:c>
      <x:c r="E407" s="87" t="str">
        <x:v>TASK</x:v>
      </x:c>
      <x:c r="F407" s="30" t="str">
        <x:v>953 (2).pdf</x:v>
      </x:c>
      <x:c r="G407" s="87" t="str">
        <x:v>3</x:v>
      </x:c>
      <x:c r="H407" s="87" t="str">
        <x:v>v0.92</x:v>
      </x:c>
      <x:c r="I407" s="87" t="str">
        <x:v>1</x:v>
      </x:c>
      <x:c r="J407" s="30" t="str">
        <x:v>VIS_ID</x:v>
      </x:c>
      <x:c r="K407" s="30" t="str">
        <x:v>EGKR-ENG-W25-953-10</x:v>
      </x:c>
      <x:c r="L407" s="87" t="str">
        <x:v>CROP_VERIFIED</x:v>
      </x:c>
      <x:c r="M407" s="87" t="str">
        <x:v>ORIGINAL_PACKAGE</x:v>
      </x:c>
      <x:c r="N407" s="87" t="str">
        <x:v>pages/VIS-EGKR-ENG-W25-TASK-953-P003.png</x:v>
      </x:c>
      <x:c r="O407" s="87" t="str">
        <x:v>thumbnails/VIS-EGKR-ENG-W25-TASK-953-P003.jpg</x:v>
      </x:c>
      <x:c r="P407" s="87" t="str">
        <x:v>9854e6f11dc4b648407aba83fc5678e17210eebfa8e8c35e6e482f428c778e6b</x:v>
      </x:c>
      <x:c r="Q407" s="30" t="str">
        <x:v>incoming/raw/recovery-drop-01/english_egkr_winter_visual_audio_assets_v092.zip!/pages/VIS-EGKR-ENG-W25-TASK-953-P003.png</x:v>
      </x:c>
      <x:c r="R407" s="30" t="str">
        <x:v>MATCHED_ASSET</x:v>
      </x:c>
      <x:c r="S407" t="e">
        <x:f>HYPERLINK("visual_gallery/index.html#"&amp;A407,"Галерея")</x:f>
      </x:c>
    </x:row>
    <x:row r="408">
      <x:c r="A408" s="87" t="str">
        <x:v>VIS-EGKR-ENG-W25-TASK-953-P004</x:v>
      </x:c>
      <x:c r="B408" s="30" t="str">
        <x:v>Английский язык</x:v>
      </x:c>
      <x:c r="C408" s="30"/>
      <x:c r="D408" s="30" t="str">
        <x:v>953</x:v>
      </x:c>
      <x:c r="E408" s="87" t="str">
        <x:v>TASK</x:v>
      </x:c>
      <x:c r="F408" s="30" t="str">
        <x:v>953 (2).pdf</x:v>
      </x:c>
      <x:c r="G408" s="87" t="str">
        <x:v>4</x:v>
      </x:c>
      <x:c r="H408" s="87" t="str">
        <x:v>v0.92</x:v>
      </x:c>
      <x:c r="I408" s="87" t="str">
        <x:v>1</x:v>
      </x:c>
      <x:c r="J408" s="30" t="str">
        <x:v>VIS_ID</x:v>
      </x:c>
      <x:c r="K408" s="30" t="str">
        <x:v>EGKR-ENG-W25-953-11</x:v>
      </x:c>
      <x:c r="L408" s="87" t="str">
        <x:v>CROP_VERIFIED</x:v>
      </x:c>
      <x:c r="M408" s="87" t="str">
        <x:v>ORIGINAL_PACKAGE</x:v>
      </x:c>
      <x:c r="N408" s="87" t="str">
        <x:v>pages/VIS-EGKR-ENG-W25-TASK-953-P004.png</x:v>
      </x:c>
      <x:c r="O408" s="87" t="str">
        <x:v>thumbnails/VIS-EGKR-ENG-W25-TASK-953-P004.jpg</x:v>
      </x:c>
      <x:c r="P408" s="87" t="str">
        <x:v>b6a628249b1832aff93c07c6ed9972056b9feb84cfba6f78887322c0e332315e</x:v>
      </x:c>
      <x:c r="Q408" s="30" t="str">
        <x:v>incoming/raw/recovery-drop-01/english_egkr_winter_visual_audio_assets_v092.zip!/pages/VIS-EGKR-ENG-W25-TASK-953-P004.png</x:v>
      </x:c>
      <x:c r="R408" s="30" t="str">
        <x:v>MATCHED_ASSET</x:v>
      </x:c>
      <x:c r="S408" t="e">
        <x:f>HYPERLINK("visual_gallery/index.html#"&amp;A408,"Галерея")</x:f>
      </x:c>
    </x:row>
    <x:row r="409">
      <x:c r="A409" s="87" t="str">
        <x:v>VIS-EGKR-ENG-W25-TASK-953-P005</x:v>
      </x:c>
      <x:c r="B409" s="30" t="str">
        <x:v>Английский язык</x:v>
      </x:c>
      <x:c r="C409" s="30"/>
      <x:c r="D409" s="30" t="str">
        <x:v>953</x:v>
      </x:c>
      <x:c r="E409" s="87" t="str">
        <x:v>TASK</x:v>
      </x:c>
      <x:c r="F409" s="30" t="str">
        <x:v>953 (2).pdf</x:v>
      </x:c>
      <x:c r="G409" s="87" t="str">
        <x:v>5</x:v>
      </x:c>
      <x:c r="H409" s="87" t="str">
        <x:v>v0.92</x:v>
      </x:c>
      <x:c r="I409" s="87" t="str">
        <x:v>7</x:v>
      </x:c>
      <x:c r="J409" s="30" t="str">
        <x:v>VIS_ID</x:v>
      </x:c>
      <x:c r="K409" s="30" t="str">
        <x:v>EGKR-ENG-W25-953-12, EGKR-ENG-W25-953-13, EGKR-ENG-W25-953-14, EGKR-ENG-W25-953-15, EGKR-ENG-W25-953-16, EGKR-ENG-W25-953-17, EGKR-ENG-W25-953-18</x:v>
      </x:c>
      <x:c r="L409" s="87" t="str">
        <x:v>CROP_VERIFIED</x:v>
      </x:c>
      <x:c r="M409" s="87" t="str">
        <x:v>ORIGINAL_PACKAGE</x:v>
      </x:c>
      <x:c r="N409" s="87" t="str">
        <x:v>pages/VIS-EGKR-ENG-W25-TASK-953-P005.png</x:v>
      </x:c>
      <x:c r="O409" s="87" t="str">
        <x:v>thumbnails/VIS-EGKR-ENG-W25-TASK-953-P005.jpg</x:v>
      </x:c>
      <x:c r="P409" s="87" t="str">
        <x:v>f300b99319b256bce0d9a1d0ddcbd971ccf045a7b9f425a329e991cfcd2a6677</x:v>
      </x:c>
      <x:c r="Q409" s="30" t="str">
        <x:v>incoming/raw/recovery-drop-01/english_egkr_winter_visual_audio_assets_v092.zip!/pages/VIS-EGKR-ENG-W25-TASK-953-P005.png</x:v>
      </x:c>
      <x:c r="R409" s="30" t="str">
        <x:v>MATCHED_ASSET</x:v>
      </x:c>
      <x:c r="S409" t="e">
        <x:f>HYPERLINK("visual_gallery/index.html#"&amp;A409,"Галерея")</x:f>
      </x:c>
    </x:row>
    <x:row r="410">
      <x:c r="A410" s="87" t="str">
        <x:v>VIS-EGKR-ENG-W25-TASK-953-P006</x:v>
      </x:c>
      <x:c r="B410" s="30" t="str">
        <x:v>Английский язык</x:v>
      </x:c>
      <x:c r="C410" s="30"/>
      <x:c r="D410" s="30" t="str">
        <x:v>953</x:v>
      </x:c>
      <x:c r="E410" s="87" t="str">
        <x:v>TASK</x:v>
      </x:c>
      <x:c r="F410" s="30" t="str">
        <x:v>953 (2).pdf</x:v>
      </x:c>
      <x:c r="G410" s="87" t="str">
        <x:v>6</x:v>
      </x:c>
      <x:c r="H410" s="87" t="str">
        <x:v>v0.92</x:v>
      </x:c>
      <x:c r="I410" s="87" t="str">
        <x:v>11</x:v>
      </x:c>
      <x:c r="J410" s="30" t="str">
        <x:v>VIS_ID</x:v>
      </x:c>
      <x:c r="K410" s="30" t="str">
        <x:v>EGKR-ENG-W25-953-19, EGKR-ENG-W25-953-20, EGKR-ENG-W25-953-21, EGKR-ENG-W25-953-22, EGKR-ENG-W25-953-23, EGKR-ENG-W25-953-24, EGKR-ENG-W25-953-25, EGKR-ENG-W25-953-26…</x:v>
      </x:c>
      <x:c r="L410" s="87" t="str">
        <x:v>CROP_VERIFIED</x:v>
      </x:c>
      <x:c r="M410" s="87" t="str">
        <x:v>ORIGINAL_PACKAGE</x:v>
      </x:c>
      <x:c r="N410" s="87" t="str">
        <x:v>pages/VIS-EGKR-ENG-W25-TASK-953-P006.png</x:v>
      </x:c>
      <x:c r="O410" s="87" t="str">
        <x:v>thumbnails/VIS-EGKR-ENG-W25-TASK-953-P006.jpg</x:v>
      </x:c>
      <x:c r="P410" s="87" t="str">
        <x:v>21fe15e630a85b70f8f63a61e948d151a77e3e93fd27948a21f7e6ef9618b22c</x:v>
      </x:c>
      <x:c r="Q410" s="30" t="str">
        <x:v>incoming/raw/recovery-drop-01/english_egkr_winter_visual_audio_assets_v092.zip!/pages/VIS-EGKR-ENG-W25-TASK-953-P006.png</x:v>
      </x:c>
      <x:c r="R410" s="30" t="str">
        <x:v>MATCHED_ASSET</x:v>
      </x:c>
      <x:c r="S410" t="e">
        <x:f>HYPERLINK("visual_gallery/index.html#"&amp;A410,"Галерея")</x:f>
      </x:c>
    </x:row>
    <x:row r="411">
      <x:c r="A411" s="87" t="str">
        <x:v>VIS-EGKR-ENG-W25-TASK-953-P007</x:v>
      </x:c>
      <x:c r="B411" s="30" t="str">
        <x:v>Английский язык</x:v>
      </x:c>
      <x:c r="C411" s="30"/>
      <x:c r="D411" s="30" t="str">
        <x:v>953</x:v>
      </x:c>
      <x:c r="E411" s="87" t="str">
        <x:v>TASK</x:v>
      </x:c>
      <x:c r="F411" s="30" t="str">
        <x:v>953 (2).pdf</x:v>
      </x:c>
      <x:c r="G411" s="87" t="str">
        <x:v>7</x:v>
      </x:c>
      <x:c r="H411" s="87" t="str">
        <x:v>v0.92</x:v>
      </x:c>
      <x:c r="I411" s="87" t="str">
        <x:v>7</x:v>
      </x:c>
      <x:c r="J411" s="30" t="str">
        <x:v>VIS_ID</x:v>
      </x:c>
      <x:c r="K411" s="30" t="str">
        <x:v>EGKR-ENG-W25-953-30, EGKR-ENG-W25-953-31, EGKR-ENG-W25-953-32, EGKR-ENG-W25-953-33, EGKR-ENG-W25-953-34, EGKR-ENG-W25-953-35, EGKR-ENG-W25-953-36</x:v>
      </x:c>
      <x:c r="L411" s="87" t="str">
        <x:v>CROP_VERIFIED</x:v>
      </x:c>
      <x:c r="M411" s="87" t="str">
        <x:v>ORIGINAL_PACKAGE</x:v>
      </x:c>
      <x:c r="N411" s="87" t="str">
        <x:v>pages/VIS-EGKR-ENG-W25-TASK-953-P007.png</x:v>
      </x:c>
      <x:c r="O411" s="87" t="str">
        <x:v>thumbnails/VIS-EGKR-ENG-W25-TASK-953-P007.jpg</x:v>
      </x:c>
      <x:c r="P411" s="87" t="str">
        <x:v>489c6613540f8710e11bf02c71ecb2bb577bdfda54fd20e01fa24fd8e3fa534d</x:v>
      </x:c>
      <x:c r="Q411" s="30" t="str">
        <x:v>incoming/raw/recovery-drop-01/english_egkr_winter_visual_audio_assets_v092.zip!/pages/VIS-EGKR-ENG-W25-TASK-953-P007.png</x:v>
      </x:c>
      <x:c r="R411" s="30" t="str">
        <x:v>MATCHED_ASSET</x:v>
      </x:c>
      <x:c r="S411" t="e">
        <x:f>HYPERLINK("visual_gallery/index.html#"&amp;A411,"Галерея")</x:f>
      </x:c>
    </x:row>
    <x:row r="412">
      <x:c r="A412" s="87" t="str">
        <x:v>VIS-EGKR-ENG-W25-TASK-953-P008</x:v>
      </x:c>
      <x:c r="B412" s="30" t="str">
        <x:v>Английский язык</x:v>
      </x:c>
      <x:c r="C412" s="30"/>
      <x:c r="D412" s="30" t="str">
        <x:v>953</x:v>
      </x:c>
      <x:c r="E412" s="87" t="str">
        <x:v>TASK</x:v>
      </x:c>
      <x:c r="F412" s="30" t="str">
        <x:v>953 (2).pdf</x:v>
      </x:c>
      <x:c r="G412" s="87" t="str">
        <x:v>8</x:v>
      </x:c>
      <x:c r="H412" s="87" t="str">
        <x:v>v0.92</x:v>
      </x:c>
      <x:c r="I412" s="87" t="str">
        <x:v>2</x:v>
      </x:c>
      <x:c r="J412" s="30" t="str">
        <x:v>VIS_ID</x:v>
      </x:c>
      <x:c r="K412" s="30" t="str">
        <x:v>EGKR-ENG-W25-953-37, EGKR-ENG-W25-953-38</x:v>
      </x:c>
      <x:c r="L412" s="87" t="str">
        <x:v>CROP_VERIFIED</x:v>
      </x:c>
      <x:c r="M412" s="87" t="str">
        <x:v>ORIGINAL_PACKAGE</x:v>
      </x:c>
      <x:c r="N412" s="87" t="str">
        <x:v>pages/VIS-EGKR-ENG-W25-TASK-953-P008.png</x:v>
      </x:c>
      <x:c r="O412" s="87" t="str">
        <x:v>thumbnails/VIS-EGKR-ENG-W25-TASK-953-P008.jpg</x:v>
      </x:c>
      <x:c r="P412" s="87" t="str">
        <x:v>7ce03902cf6f891b20dcb502f285213340202b7727571dd815b5082a8cb55156</x:v>
      </x:c>
      <x:c r="Q412" s="30" t="str">
        <x:v>incoming/raw/recovery-drop-01/english_egkr_winter_visual_audio_assets_v092.zip!/pages/VIS-EGKR-ENG-W25-TASK-953-P008.png</x:v>
      </x:c>
      <x:c r="R412" s="30" t="str">
        <x:v>MATCHED_ASSET</x:v>
      </x:c>
      <x:c r="S412" t="e">
        <x:f>HYPERLINK("visual_gallery/index.html#"&amp;A412,"Галерея")</x:f>
      </x:c>
    </x:row>
    <x:row r="413">
      <x:c r="A413" s="87" t="str">
        <x:v>VIS-EGKR-ENG-W25-TASK-953-P009</x:v>
      </x:c>
      <x:c r="B413" s="30" t="str"/>
      <x:c r="C413" s="30"/>
      <x:c r="D413" s="30" t="str">
        <x:v>953</x:v>
      </x:c>
      <x:c r="E413" s="87" t="str">
        <x:v>TASK</x:v>
      </x:c>
      <x:c r="F413" s="30" t="str">
        <x:v>953 (2).pdf</x:v>
      </x:c>
      <x:c r="G413" s="87" t="str">
        <x:v>9</x:v>
      </x:c>
      <x:c r="H413" s="87" t="str">
        <x:v>v0.92</x:v>
      </x:c>
      <x:c r="I413" s="87" t="str">
        <x:v>0</x:v>
      </x:c>
      <x:c r="J413" s="30" t="str"/>
      <x:c r="K413" s="30" t="str"/>
      <x:c r="L413" s="87" t="str">
        <x:v>CROP_VERIFIED</x:v>
      </x:c>
      <x:c r="M413" s="87" t="str">
        <x:v>ORIGINAL_PACKAGE</x:v>
      </x:c>
      <x:c r="N413" s="87" t="str">
        <x:v>pages/VIS-EGKR-ENG-W25-TASK-953-P009.png</x:v>
      </x:c>
      <x:c r="O413" s="87" t="str">
        <x:v>thumbnails/VIS-EGKR-ENG-W25-TASK-953-P009.jpg</x:v>
      </x:c>
      <x:c r="P413" s="87" t="str">
        <x:v>ea574b1baae4e4a8a9f315bc68dd0cb0adacb528c88c04c3effe58661005e012</x:v>
      </x:c>
      <x:c r="Q413" s="30" t="str">
        <x:v>incoming/raw/recovery-drop-01/english_egkr_winter_visual_audio_assets_v092.zip!/pages/VIS-EGKR-ENG-W25-TASK-953-P009.png</x:v>
      </x:c>
      <x:c r="R413" s="30" t="str">
        <x:v>RESOLVED_UNLINKED_REGISTRY_VISUAL</x:v>
      </x:c>
      <x:c r="S413" t="e">
        <x:f>HYPERLINK("visual_gallery/index.html#"&amp;A413,"Галерея")</x:f>
      </x:c>
    </x:row>
    <x:row r="414">
      <x:c r="A414" s="87" t="str">
        <x:v>VIS-EGKR-GEO-S26-ANSWERDOC-P001</x:v>
      </x:c>
      <x:c r="B414" s="30" t="str">
        <x:v>География</x:v>
      </x:c>
      <x:c r="C414" s="30"/>
      <x:c r="D414" s="30" t="str">
        <x:v>954–956</x:v>
      </x:c>
      <x:c r="E414" s="87" t="str">
        <x:v>SECONDARY_ANSWER_SOURCE</x:v>
      </x:c>
      <x:c r="F414" s="30" t="str">
        <x:v>Ответы (6).docx</x:v>
      </x:c>
      <x:c r="G414" s="87" t="str">
        <x:v>1</x:v>
      </x:c>
      <x:c r="H414" s="87" t="str">
        <x:v>v1.07</x:v>
      </x:c>
      <x:c r="I414" s="87" t="str">
        <x:v>42</x:v>
      </x:c>
      <x:c r="J414" s="30" t="str">
        <x:v>VIS_KEY / MODEL</x:v>
      </x:c>
      <x:c r="K414" s="30" t="str">
        <x:v>EGKR-S26-GEO-954-01, EGKR-S26-GEO-954-02, EGKR-S26-GEO-954-03, EGKR-S26-GEO-954-04, EGKR-S26-GEO-954-05, EGKR-S26-GEO-954-06, EGKR-S26-GEO-954-07, EGKR-S26-GEO-954-08…</x:v>
      </x:c>
      <x:c r="L414" s="87" t="str">
        <x:v>CROP_VERIFIED</x:v>
      </x:c>
      <x:c r="M414" s="87" t="str">
        <x:v>ORIGINAL_PACKAGE</x:v>
      </x:c>
      <x:c r="N414" s="87" t="str">
        <x:v>pages/VIS-EGKR-GEO-S26-ANSWERDOC-P001.png</x:v>
      </x:c>
      <x:c r="O414" s="87" t="str">
        <x:v>thumbnails/VIS-EGKR-GEO-S26-ANSWERDOC-P001.jpg</x:v>
      </x:c>
      <x:c r="P414" s="87" t="str">
        <x:v>e977f89ba4a9a558209ebc24a9c27e2521df28f6678bbb0e93b16d7b3f6dac45</x:v>
      </x:c>
      <x:c r="Q414" s="30" t="str">
        <x:v>incoming/raw/recovery-drop-01/geography_egkr_spring_visual_assets_v107(1).zip!/pages/VIS-EGKR-GEO-S26-ANSWERDOC-P001.png</x:v>
      </x:c>
      <x:c r="R414" s="30" t="str">
        <x:v>MATCHED_ASSET</x:v>
      </x:c>
      <x:c r="S414" t="e">
        <x:f>HYPERLINK("visual_gallery/index.html#"&amp;A414,"Галерея")</x:f>
      </x:c>
    </x:row>
    <x:row r="415">
      <x:c r="A415" s="87" t="str">
        <x:v>VIS-EGKR-GEO-S26-ANSWERDOC-P002</x:v>
      </x:c>
      <x:c r="B415" s="30" t="str">
        <x:v>География</x:v>
      </x:c>
      <x:c r="C415" s="30"/>
      <x:c r="D415" s="30" t="str">
        <x:v>954–956</x:v>
      </x:c>
      <x:c r="E415" s="87" t="str">
        <x:v>SECONDARY_ANSWER_SOURCE</x:v>
      </x:c>
      <x:c r="F415" s="30" t="str">
        <x:v>Ответы (6).docx</x:v>
      </x:c>
      <x:c r="G415" s="87" t="str">
        <x:v>2</x:v>
      </x:c>
      <x:c r="H415" s="87" t="str">
        <x:v>v1.07</x:v>
      </x:c>
      <x:c r="I415" s="87" t="str">
        <x:v>19</x:v>
      </x:c>
      <x:c r="J415" s="30" t="str">
        <x:v>VIS_KEY / MODEL</x:v>
      </x:c>
      <x:c r="K415" s="30" t="str">
        <x:v>EGKR-S26-GEO-956-01, EGKR-S26-GEO-956-02, EGKR-S26-GEO-956-03, EGKR-S26-GEO-956-04, EGKR-S26-GEO-956-05, EGKR-S26-GEO-956-06, EGKR-S26-GEO-956-07, EGKR-S26-GEO-956-08…</x:v>
      </x:c>
      <x:c r="L415" s="87" t="str">
        <x:v>CROP_VERIFIED</x:v>
      </x:c>
      <x:c r="M415" s="87" t="str">
        <x:v>ORIGINAL_PACKAGE</x:v>
      </x:c>
      <x:c r="N415" s="87" t="str">
        <x:v>pages/VIS-EGKR-GEO-S26-ANSWERDOC-P002.png</x:v>
      </x:c>
      <x:c r="O415" s="87" t="str">
        <x:v>thumbnails/VIS-EGKR-GEO-S26-ANSWERDOC-P002.jpg</x:v>
      </x:c>
      <x:c r="P415" s="87" t="str">
        <x:v>08e552372267bc9479a6ac40527383386f80267a98d385848911fa84b8f5a9f8</x:v>
      </x:c>
      <x:c r="Q415" s="30" t="str">
        <x:v>incoming/raw/recovery-drop-01/geography_egkr_spring_visual_assets_v107(1).zip!/pages/VIS-EGKR-GEO-S26-ANSWERDOC-P002.png</x:v>
      </x:c>
      <x:c r="R415" s="30" t="str">
        <x:v>MATCHED_ASSET</x:v>
      </x:c>
      <x:c r="S415" t="e">
        <x:f>HYPERLINK("visual_gallery/index.html#"&amp;A415,"Галерея")</x:f>
      </x:c>
    </x:row>
    <x:row r="416">
      <x:c r="A416" s="87" t="str">
        <x:v>VIS-EGKR-GEO-S26-TASK-954-P001</x:v>
      </x:c>
      <x:c r="B416" s="30" t="str"/>
      <x:c r="C416" s="30"/>
      <x:c r="D416" s="30" t="str">
        <x:v>954</x:v>
      </x:c>
      <x:c r="E416" s="87" t="str">
        <x:v>TASK</x:v>
      </x:c>
      <x:c r="F416" s="30" t="str">
        <x:v>ЕГКР - ГЕО 954.pdf</x:v>
      </x:c>
      <x:c r="G416" s="87" t="str">
        <x:v>1</x:v>
      </x:c>
      <x:c r="H416" s="87" t="str">
        <x:v>v1.07</x:v>
      </x:c>
      <x:c r="I416" s="87" t="str">
        <x:v>0</x:v>
      </x:c>
      <x:c r="J416" s="30" t="str"/>
      <x:c r="K416" s="30" t="str"/>
      <x:c r="L416" s="87" t="str">
        <x:v>CROP_VERIFIED</x:v>
      </x:c>
      <x:c r="M416" s="87" t="str">
        <x:v>ORIGINAL_PACKAGE</x:v>
      </x:c>
      <x:c r="N416" s="87" t="str">
        <x:v>pages/VIS-EGKR-GEO-S26-TASK-954-P001.png</x:v>
      </x:c>
      <x:c r="O416" s="87" t="str">
        <x:v>thumbnails/VIS-EGKR-GEO-S26-TASK-954-P001.jpg</x:v>
      </x:c>
      <x:c r="P416" s="87" t="str">
        <x:v>f8deb6d91781ef005d6bf29c97c31f7e15a48096f7646414f414dd03bde82845</x:v>
      </x:c>
      <x:c r="Q416" s="30" t="str">
        <x:v>incoming/raw/recovery-drop-01/geography_egkr_spring_visual_assets_v107(1).zip!/pages/VIS-EGKR-GEO-S26-TASK-954-P001.png</x:v>
      </x:c>
      <x:c r="R416" s="30" t="str">
        <x:v>RESOLVED_UNLINKED_REGISTRY_VISUAL</x:v>
      </x:c>
      <x:c r="S416" t="e">
        <x:f>HYPERLINK("visual_gallery/index.html#"&amp;A416,"Галерея")</x:f>
      </x:c>
    </x:row>
    <x:row r="417">
      <x:c r="A417" s="87" t="str">
        <x:v>VIS-EGKR-GEO-S26-TASK-954-P002</x:v>
      </x:c>
      <x:c r="B417" s="30" t="str">
        <x:v>География</x:v>
      </x:c>
      <x:c r="C417" s="30"/>
      <x:c r="D417" s="30" t="str">
        <x:v>954</x:v>
      </x:c>
      <x:c r="E417" s="87" t="str">
        <x:v>TASK</x:v>
      </x:c>
      <x:c r="F417" s="30" t="str">
        <x:v>ЕГКР - ГЕО 954.pdf</x:v>
      </x:c>
      <x:c r="G417" s="87" t="str">
        <x:v>2</x:v>
      </x:c>
      <x:c r="H417" s="87" t="str">
        <x:v>v1.07</x:v>
      </x:c>
      <x:c r="I417" s="87" t="str">
        <x:v>3</x:v>
      </x:c>
      <x:c r="J417" s="30" t="str">
        <x:v>VIS_ID</x:v>
      </x:c>
      <x:c r="K417" s="30" t="str">
        <x:v>EGKR-S26-GEO-954-01, EGKR-S26-GEO-954-02, EGKR-S26-GEO-954-03</x:v>
      </x:c>
      <x:c r="L417" s="87" t="str">
        <x:v>CROP_VERIFIED</x:v>
      </x:c>
      <x:c r="M417" s="87" t="str">
        <x:v>ORIGINAL_PACKAGE</x:v>
      </x:c>
      <x:c r="N417" s="87" t="str">
        <x:v>pages/VIS-EGKR-GEO-S26-TASK-954-P002.png</x:v>
      </x:c>
      <x:c r="O417" s="87" t="str">
        <x:v>thumbnails/VIS-EGKR-GEO-S26-TASK-954-P002.jpg</x:v>
      </x:c>
      <x:c r="P417" s="87" t="str">
        <x:v>9912243ac3036db239332bcb235b1ab07ca7e7b69671a97542392e2f1c86f7b9</x:v>
      </x:c>
      <x:c r="Q417" s="30" t="str">
        <x:v>incoming/raw/recovery-drop-01/geography_egkr_spring_visual_assets_v107(1).zip!/pages/VIS-EGKR-GEO-S26-TASK-954-P002.png</x:v>
      </x:c>
      <x:c r="R417" s="30" t="str">
        <x:v>MATCHED_ASSET</x:v>
      </x:c>
      <x:c r="S417" t="e">
        <x:f>HYPERLINK("visual_gallery/index.html#"&amp;A417,"Галерея")</x:f>
      </x:c>
    </x:row>
    <x:row r="418">
      <x:c r="A418" s="87" t="str">
        <x:v>VIS-EGKR-GEO-S26-TASK-954-P003</x:v>
      </x:c>
      <x:c r="B418" s="30" t="str">
        <x:v>География</x:v>
      </x:c>
      <x:c r="C418" s="30"/>
      <x:c r="D418" s="30" t="str">
        <x:v>954</x:v>
      </x:c>
      <x:c r="E418" s="87" t="str">
        <x:v>TASK</x:v>
      </x:c>
      <x:c r="F418" s="30" t="str">
        <x:v>ЕГКР - ГЕО 954.pdf</x:v>
      </x:c>
      <x:c r="G418" s="87" t="str">
        <x:v>3</x:v>
      </x:c>
      <x:c r="H418" s="87" t="str">
        <x:v>v1.07</x:v>
      </x:c>
      <x:c r="I418" s="87" t="str">
        <x:v>2</x:v>
      </x:c>
      <x:c r="J418" s="30" t="str">
        <x:v>VIS_ID</x:v>
      </x:c>
      <x:c r="K418" s="30" t="str">
        <x:v>EGKR-S26-GEO-954-04, EGKR-S26-GEO-954-05</x:v>
      </x:c>
      <x:c r="L418" s="87" t="str">
        <x:v>CROP_VERIFIED</x:v>
      </x:c>
      <x:c r="M418" s="87" t="str">
        <x:v>ORIGINAL_PACKAGE</x:v>
      </x:c>
      <x:c r="N418" s="87" t="str">
        <x:v>pages/VIS-EGKR-GEO-S26-TASK-954-P003.png</x:v>
      </x:c>
      <x:c r="O418" s="87" t="str">
        <x:v>thumbnails/VIS-EGKR-GEO-S26-TASK-954-P003.jpg</x:v>
      </x:c>
      <x:c r="P418" s="87" t="str">
        <x:v>466e88d8dd56db73afda298ebe2dab2e00ea0a387f9a9c8b4363af2cf9c45f89</x:v>
      </x:c>
      <x:c r="Q418" s="30" t="str">
        <x:v>incoming/raw/recovery-drop-01/geography_egkr_spring_visual_assets_v107(1).zip!/pages/VIS-EGKR-GEO-S26-TASK-954-P003.png</x:v>
      </x:c>
      <x:c r="R418" s="30" t="str">
        <x:v>MATCHED_ASSET</x:v>
      </x:c>
      <x:c r="S418" t="e">
        <x:f>HYPERLINK("visual_gallery/index.html#"&amp;A418,"Галерея")</x:f>
      </x:c>
    </x:row>
    <x:row r="419">
      <x:c r="A419" s="87" t="str">
        <x:v>VIS-EGKR-GEO-S26-TASK-954-P004</x:v>
      </x:c>
      <x:c r="B419" s="30" t="str">
        <x:v>География</x:v>
      </x:c>
      <x:c r="C419" s="30"/>
      <x:c r="D419" s="30" t="str">
        <x:v>954</x:v>
      </x:c>
      <x:c r="E419" s="87" t="str">
        <x:v>TASK</x:v>
      </x:c>
      <x:c r="F419" s="30" t="str">
        <x:v>ЕГКР - ГЕО 954.pdf</x:v>
      </x:c>
      <x:c r="G419" s="87" t="str">
        <x:v>4</x:v>
      </x:c>
      <x:c r="H419" s="87" t="str">
        <x:v>v1.07</x:v>
      </x:c>
      <x:c r="I419" s="87" t="str">
        <x:v>2</x:v>
      </x:c>
      <x:c r="J419" s="30" t="str">
        <x:v>VIS_ID</x:v>
      </x:c>
      <x:c r="K419" s="30" t="str">
        <x:v>EGKR-S26-GEO-954-06, EGKR-S26-GEO-954-07</x:v>
      </x:c>
      <x:c r="L419" s="87" t="str">
        <x:v>CROP_VERIFIED</x:v>
      </x:c>
      <x:c r="M419" s="87" t="str">
        <x:v>ORIGINAL_PACKAGE</x:v>
      </x:c>
      <x:c r="N419" s="87" t="str">
        <x:v>pages/VIS-EGKR-GEO-S26-TASK-954-P004.png</x:v>
      </x:c>
      <x:c r="O419" s="87" t="str">
        <x:v>thumbnails/VIS-EGKR-GEO-S26-TASK-954-P004.jpg</x:v>
      </x:c>
      <x:c r="P419" s="87" t="str">
        <x:v>3f767d697140f9013b8c4586aa8faf62071c845c7de296b8f2dbae21d77f40a2</x:v>
      </x:c>
      <x:c r="Q419" s="30" t="str">
        <x:v>incoming/raw/recovery-drop-01/geography_egkr_spring_visual_assets_v107(1).zip!/pages/VIS-EGKR-GEO-S26-TASK-954-P004.png</x:v>
      </x:c>
      <x:c r="R419" s="30" t="str">
        <x:v>MATCHED_ASSET</x:v>
      </x:c>
      <x:c r="S419" t="e">
        <x:f>HYPERLINK("visual_gallery/index.html#"&amp;A419,"Галерея")</x:f>
      </x:c>
    </x:row>
    <x:row r="420">
      <x:c r="A420" s="87" t="str">
        <x:v>VIS-EGKR-GEO-S26-TASK-954-P005</x:v>
      </x:c>
      <x:c r="B420" s="30" t="str">
        <x:v>География</x:v>
      </x:c>
      <x:c r="C420" s="30"/>
      <x:c r="D420" s="30" t="str">
        <x:v>954</x:v>
      </x:c>
      <x:c r="E420" s="87" t="str">
        <x:v>TASK</x:v>
      </x:c>
      <x:c r="F420" s="30" t="str">
        <x:v>ЕГКР - ГЕО 954.pdf</x:v>
      </x:c>
      <x:c r="G420" s="87" t="str">
        <x:v>5</x:v>
      </x:c>
      <x:c r="H420" s="87" t="str">
        <x:v>v1.07</x:v>
      </x:c>
      <x:c r="I420" s="87" t="str">
        <x:v>3</x:v>
      </x:c>
      <x:c r="J420" s="30" t="str">
        <x:v>VIS_ID</x:v>
      </x:c>
      <x:c r="K420" s="30" t="str">
        <x:v>EGKR-S26-GEO-954-08, EGKR-S26-GEO-954-09, EGKR-S26-GEO-954-10</x:v>
      </x:c>
      <x:c r="L420" s="87" t="str">
        <x:v>CROP_VERIFIED</x:v>
      </x:c>
      <x:c r="M420" s="87" t="str">
        <x:v>ORIGINAL_PACKAGE</x:v>
      </x:c>
      <x:c r="N420" s="87" t="str">
        <x:v>pages/VIS-EGKR-GEO-S26-TASK-954-P005.png</x:v>
      </x:c>
      <x:c r="O420" s="87" t="str">
        <x:v>thumbnails/VIS-EGKR-GEO-S26-TASK-954-P005.jpg</x:v>
      </x:c>
      <x:c r="P420" s="87" t="str">
        <x:v>8d76934680eaf070ee347c5e35bce6e4c358397de92e6d3389a2c7c4573f6c62</x:v>
      </x:c>
      <x:c r="Q420" s="30" t="str">
        <x:v>incoming/raw/recovery-drop-01/geography_egkr_spring_visual_assets_v107(1).zip!/pages/VIS-EGKR-GEO-S26-TASK-954-P005.png</x:v>
      </x:c>
      <x:c r="R420" s="30" t="str">
        <x:v>MATCHED_ASSET</x:v>
      </x:c>
      <x:c r="S420" t="e">
        <x:f>HYPERLINK("visual_gallery/index.html#"&amp;A420,"Галерея")</x:f>
      </x:c>
    </x:row>
    <x:row r="421">
      <x:c r="A421" s="87" t="str">
        <x:v>VIS-EGKR-GEO-S26-TASK-954-P006</x:v>
      </x:c>
      <x:c r="B421" s="30" t="str">
        <x:v>География</x:v>
      </x:c>
      <x:c r="C421" s="30"/>
      <x:c r="D421" s="30" t="str">
        <x:v>954</x:v>
      </x:c>
      <x:c r="E421" s="87" t="str">
        <x:v>TASK</x:v>
      </x:c>
      <x:c r="F421" s="30" t="str">
        <x:v>ЕГКР - ГЕО 954.pdf</x:v>
      </x:c>
      <x:c r="G421" s="87" t="str">
        <x:v>6</x:v>
      </x:c>
      <x:c r="H421" s="87" t="str">
        <x:v>v1.07</x:v>
      </x:c>
      <x:c r="I421" s="87" t="str">
        <x:v>2</x:v>
      </x:c>
      <x:c r="J421" s="30" t="str">
        <x:v>VIS_ID</x:v>
      </x:c>
      <x:c r="K421" s="30" t="str">
        <x:v>EGKR-S26-GEO-954-11, EGKR-S26-GEO-954-12</x:v>
      </x:c>
      <x:c r="L421" s="87" t="str">
        <x:v>CROP_VERIFIED</x:v>
      </x:c>
      <x:c r="M421" s="87" t="str">
        <x:v>ORIGINAL_PACKAGE</x:v>
      </x:c>
      <x:c r="N421" s="87" t="str">
        <x:v>pages/VIS-EGKR-GEO-S26-TASK-954-P006.png</x:v>
      </x:c>
      <x:c r="O421" s="87" t="str">
        <x:v>thumbnails/VIS-EGKR-GEO-S26-TASK-954-P006.jpg</x:v>
      </x:c>
      <x:c r="P421" s="87" t="str">
        <x:v>b0eb123c054e933488537ff20eac20a417a8afc76131aa33574a6ae97f4e355e</x:v>
      </x:c>
      <x:c r="Q421" s="30" t="str">
        <x:v>incoming/raw/recovery-drop-01/geography_egkr_spring_visual_assets_v107(1).zip!/pages/VIS-EGKR-GEO-S26-TASK-954-P006.png</x:v>
      </x:c>
      <x:c r="R421" s="30" t="str">
        <x:v>MATCHED_ASSET</x:v>
      </x:c>
      <x:c r="S421" t="e">
        <x:f>HYPERLINK("visual_gallery/index.html#"&amp;A421,"Галерея")</x:f>
      </x:c>
    </x:row>
    <x:row r="422">
      <x:c r="A422" s="87" t="str">
        <x:v>VIS-EGKR-GEO-S26-TASK-954-P007</x:v>
      </x:c>
      <x:c r="B422" s="30" t="str">
        <x:v>География</x:v>
      </x:c>
      <x:c r="C422" s="30"/>
      <x:c r="D422" s="30" t="str">
        <x:v>954</x:v>
      </x:c>
      <x:c r="E422" s="87" t="str">
        <x:v>TASK</x:v>
      </x:c>
      <x:c r="F422" s="30" t="str">
        <x:v>ЕГКР - ГЕО 954.pdf</x:v>
      </x:c>
      <x:c r="G422" s="87" t="str">
        <x:v>7</x:v>
      </x:c>
      <x:c r="H422" s="87" t="str">
        <x:v>v1.07</x:v>
      </x:c>
      <x:c r="I422" s="87" t="str">
        <x:v>3</x:v>
      </x:c>
      <x:c r="J422" s="30" t="str">
        <x:v>VIS_ID</x:v>
      </x:c>
      <x:c r="K422" s="30" t="str">
        <x:v>EGKR-S26-GEO-954-13, EGKR-S26-GEO-954-14, EGKR-S26-GEO-954-15</x:v>
      </x:c>
      <x:c r="L422" s="87" t="str">
        <x:v>CROP_VERIFIED</x:v>
      </x:c>
      <x:c r="M422" s="87" t="str">
        <x:v>ORIGINAL_PACKAGE</x:v>
      </x:c>
      <x:c r="N422" s="87" t="str">
        <x:v>pages/VIS-EGKR-GEO-S26-TASK-954-P007.png</x:v>
      </x:c>
      <x:c r="O422" s="87" t="str">
        <x:v>thumbnails/VIS-EGKR-GEO-S26-TASK-954-P007.jpg</x:v>
      </x:c>
      <x:c r="P422" s="87" t="str">
        <x:v>d81e5f10e8504c5022296488263ecb856de24b347863729c43a79f258ff9fe6f</x:v>
      </x:c>
      <x:c r="Q422" s="30" t="str">
        <x:v>incoming/raw/recovery-drop-01/geography_egkr_spring_visual_assets_v107(1).zip!/pages/VIS-EGKR-GEO-S26-TASK-954-P007.png</x:v>
      </x:c>
      <x:c r="R422" s="30" t="str">
        <x:v>MATCHED_ASSET</x:v>
      </x:c>
      <x:c r="S422" t="e">
        <x:f>HYPERLINK("visual_gallery/index.html#"&amp;A422,"Галерея")</x:f>
      </x:c>
    </x:row>
    <x:row r="423">
      <x:c r="A423" s="87" t="str">
        <x:v>VIS-EGKR-GEO-S26-TASK-954-P008</x:v>
      </x:c>
      <x:c r="B423" s="30" t="str">
        <x:v>География</x:v>
      </x:c>
      <x:c r="C423" s="30"/>
      <x:c r="D423" s="30" t="str">
        <x:v>954</x:v>
      </x:c>
      <x:c r="E423" s="87" t="str">
        <x:v>TASK</x:v>
      </x:c>
      <x:c r="F423" s="30" t="str">
        <x:v>ЕГКР - ГЕО 954.pdf</x:v>
      </x:c>
      <x:c r="G423" s="87" t="str">
        <x:v>8</x:v>
      </x:c>
      <x:c r="H423" s="87" t="str">
        <x:v>v1.07</x:v>
      </x:c>
      <x:c r="I423" s="87" t="str">
        <x:v>3</x:v>
      </x:c>
      <x:c r="J423" s="30" t="str">
        <x:v>VIS_ID</x:v>
      </x:c>
      <x:c r="K423" s="30" t="str">
        <x:v>EGKR-S26-GEO-954-16, EGKR-S26-GEO-954-17, EGKR-S26-GEO-954-18</x:v>
      </x:c>
      <x:c r="L423" s="87" t="str">
        <x:v>CROP_VERIFIED</x:v>
      </x:c>
      <x:c r="M423" s="87" t="str">
        <x:v>ORIGINAL_PACKAGE</x:v>
      </x:c>
      <x:c r="N423" s="87" t="str">
        <x:v>pages/VIS-EGKR-GEO-S26-TASK-954-P008.png</x:v>
      </x:c>
      <x:c r="O423" s="87" t="str">
        <x:v>thumbnails/VIS-EGKR-GEO-S26-TASK-954-P008.jpg</x:v>
      </x:c>
      <x:c r="P423" s="87" t="str">
        <x:v>e06f29ecd7eb5d840394513924adc21b959c6515ecdc97c9f4ebfa2d09fe5bf0</x:v>
      </x:c>
      <x:c r="Q423" s="30" t="str">
        <x:v>incoming/raw/recovery-drop-01/geography_egkr_spring_visual_assets_v107(1).zip!/pages/VIS-EGKR-GEO-S26-TASK-954-P008.png</x:v>
      </x:c>
      <x:c r="R423" s="30" t="str">
        <x:v>MATCHED_ASSET</x:v>
      </x:c>
      <x:c r="S423" t="e">
        <x:f>HYPERLINK("visual_gallery/index.html#"&amp;A423,"Галерея")</x:f>
      </x:c>
    </x:row>
    <x:row r="424">
      <x:c r="A424" s="87" t="str">
        <x:v>VIS-EGKR-GEO-S26-TASK-954-P009</x:v>
      </x:c>
      <x:c r="B424" s="30" t="str">
        <x:v>География</x:v>
      </x:c>
      <x:c r="C424" s="30"/>
      <x:c r="D424" s="30" t="str">
        <x:v>954</x:v>
      </x:c>
      <x:c r="E424" s="87" t="str">
        <x:v>TASK</x:v>
      </x:c>
      <x:c r="F424" s="30" t="str">
        <x:v>ЕГКР - ГЕО 954.pdf</x:v>
      </x:c>
      <x:c r="G424" s="87" t="str">
        <x:v>9</x:v>
      </x:c>
      <x:c r="H424" s="87" t="str">
        <x:v>v1.07</x:v>
      </x:c>
      <x:c r="I424" s="87" t="str">
        <x:v>1</x:v>
      </x:c>
      <x:c r="J424" s="30" t="str">
        <x:v>VIS_ID</x:v>
      </x:c>
      <x:c r="K424" s="30" t="str">
        <x:v>EGKR-S26-GEO-954-19</x:v>
      </x:c>
      <x:c r="L424" s="87" t="str">
        <x:v>CROP_VERIFIED</x:v>
      </x:c>
      <x:c r="M424" s="87" t="str">
        <x:v>ORIGINAL_PACKAGE</x:v>
      </x:c>
      <x:c r="N424" s="87" t="str">
        <x:v>pages/VIS-EGKR-GEO-S26-TASK-954-P009.png</x:v>
      </x:c>
      <x:c r="O424" s="87" t="str">
        <x:v>thumbnails/VIS-EGKR-GEO-S26-TASK-954-P009.jpg</x:v>
      </x:c>
      <x:c r="P424" s="87" t="str">
        <x:v>025ae0f3b10770e993d951d1a07f296ae7c32176c7dd2d2340f557e84d9cf440</x:v>
      </x:c>
      <x:c r="Q424" s="30" t="str">
        <x:v>incoming/raw/recovery-drop-01/geography_egkr_spring_visual_assets_v107(1).zip!/pages/VIS-EGKR-GEO-S26-TASK-954-P009.png</x:v>
      </x:c>
      <x:c r="R424" s="30" t="str">
        <x:v>MATCHED_ASSET</x:v>
      </x:c>
      <x:c r="S424" t="e">
        <x:f>HYPERLINK("visual_gallery/index.html#"&amp;A424,"Галерея")</x:f>
      </x:c>
    </x:row>
    <x:row r="425">
      <x:c r="A425" s="87" t="str">
        <x:v>VIS-EGKR-GEO-S26-TASK-954-P010</x:v>
      </x:c>
      <x:c r="B425" s="30" t="str">
        <x:v>География</x:v>
      </x:c>
      <x:c r="C425" s="30"/>
      <x:c r="D425" s="30" t="str">
        <x:v>954</x:v>
      </x:c>
      <x:c r="E425" s="87" t="str">
        <x:v>TASK</x:v>
      </x:c>
      <x:c r="F425" s="30" t="str">
        <x:v>ЕГКР - ГЕО 954.pdf</x:v>
      </x:c>
      <x:c r="G425" s="87" t="str">
        <x:v>10</x:v>
      </x:c>
      <x:c r="H425" s="87" t="str">
        <x:v>v1.07</x:v>
      </x:c>
      <x:c r="I425" s="87" t="str">
        <x:v>4</x:v>
      </x:c>
      <x:c r="J425" s="30" t="str">
        <x:v>VIS_ID</x:v>
      </x:c>
      <x:c r="K425" s="30" t="str">
        <x:v>EGKR-S26-GEO-954-20, EGKR-S26-GEO-954-21, EGKR-S26-GEO-954-22, EGKR-S26-GEO-954-23</x:v>
      </x:c>
      <x:c r="L425" s="87" t="str">
        <x:v>CROP_VERIFIED</x:v>
      </x:c>
      <x:c r="M425" s="87" t="str">
        <x:v>ORIGINAL_PACKAGE</x:v>
      </x:c>
      <x:c r="N425" s="87" t="str">
        <x:v>pages/VIS-EGKR-GEO-S26-TASK-954-P010.png</x:v>
      </x:c>
      <x:c r="O425" s="87" t="str">
        <x:v>thumbnails/VIS-EGKR-GEO-S26-TASK-954-P010.jpg</x:v>
      </x:c>
      <x:c r="P425" s="87" t="str">
        <x:v>fb718fed6c8347088865fc0a278d66b9ee7c4e3fffc851d1cb2994f461d84bde</x:v>
      </x:c>
      <x:c r="Q425" s="30" t="str">
        <x:v>incoming/raw/recovery-drop-01/geography_egkr_spring_visual_assets_v107(1).zip!/pages/VIS-EGKR-GEO-S26-TASK-954-P010.png</x:v>
      </x:c>
      <x:c r="R425" s="30" t="str">
        <x:v>MATCHED_ASSET</x:v>
      </x:c>
      <x:c r="S425" t="e">
        <x:f>HYPERLINK("visual_gallery/index.html#"&amp;A425,"Галерея")</x:f>
      </x:c>
    </x:row>
    <x:row r="426">
      <x:c r="A426" s="87" t="str">
        <x:v>VIS-EGKR-GEO-S26-TASK-954-P011</x:v>
      </x:c>
      <x:c r="B426" s="30" t="str">
        <x:v>География</x:v>
      </x:c>
      <x:c r="C426" s="30"/>
      <x:c r="D426" s="30" t="str">
        <x:v>954</x:v>
      </x:c>
      <x:c r="E426" s="87" t="str">
        <x:v>TASK</x:v>
      </x:c>
      <x:c r="F426" s="30" t="str">
        <x:v>ЕГКР - ГЕО 954.pdf</x:v>
      </x:c>
      <x:c r="G426" s="87" t="str">
        <x:v>11</x:v>
      </x:c>
      <x:c r="H426" s="87" t="str">
        <x:v>v1.07</x:v>
      </x:c>
      <x:c r="I426" s="87" t="str">
        <x:v>6</x:v>
      </x:c>
      <x:c r="J426" s="30" t="str">
        <x:v>VIS_ID</x:v>
      </x:c>
      <x:c r="K426" s="30" t="str">
        <x:v>EGKR-S26-GEO-954-24, EGKR-S26-GEO-954-25, EGKR-S26-GEO-954-26, EGKR-S26-GEO-954-27, EGKR-S26-GEO-954-28, EGKR-S26-GEO-954-29</x:v>
      </x:c>
      <x:c r="L426" s="87" t="str">
        <x:v>CROP_VERIFIED</x:v>
      </x:c>
      <x:c r="M426" s="87" t="str">
        <x:v>ORIGINAL_PACKAGE</x:v>
      </x:c>
      <x:c r="N426" s="87" t="str">
        <x:v>pages/VIS-EGKR-GEO-S26-TASK-954-P011.png</x:v>
      </x:c>
      <x:c r="O426" s="87" t="str">
        <x:v>thumbnails/VIS-EGKR-GEO-S26-TASK-954-P011.jpg</x:v>
      </x:c>
      <x:c r="P426" s="87" t="str">
        <x:v>d2a84b1972b4e7f7a079a32926745e63e5fb05fcbe7717bdb54be8707af30a4c</x:v>
      </x:c>
      <x:c r="Q426" s="30" t="str">
        <x:v>incoming/raw/recovery-drop-01/geography_egkr_spring_visual_assets_v107(1).zip!/pages/VIS-EGKR-GEO-S26-TASK-954-P011.png</x:v>
      </x:c>
      <x:c r="R426" s="30" t="str">
        <x:v>MATCHED_ASSET</x:v>
      </x:c>
      <x:c r="S426" t="e">
        <x:f>HYPERLINK("visual_gallery/index.html#"&amp;A426,"Галерея")</x:f>
      </x:c>
    </x:row>
    <x:row r="427">
      <x:c r="A427" s="87" t="str">
        <x:v>VIS-EGKR-GEO-S26-TASK-955-P001</x:v>
      </x:c>
      <x:c r="B427" s="30" t="str"/>
      <x:c r="C427" s="30"/>
      <x:c r="D427" s="30" t="str">
        <x:v>955</x:v>
      </x:c>
      <x:c r="E427" s="87" t="str">
        <x:v>TASK</x:v>
      </x:c>
      <x:c r="F427" s="30" t="str">
        <x:v>ЕГКР - ГЕО 955.pdf</x:v>
      </x:c>
      <x:c r="G427" s="87" t="str">
        <x:v>1</x:v>
      </x:c>
      <x:c r="H427" s="87" t="str">
        <x:v>v1.07</x:v>
      </x:c>
      <x:c r="I427" s="87" t="str">
        <x:v>0</x:v>
      </x:c>
      <x:c r="J427" s="30" t="str"/>
      <x:c r="K427" s="30" t="str"/>
      <x:c r="L427" s="87" t="str">
        <x:v>CROP_VERIFIED</x:v>
      </x:c>
      <x:c r="M427" s="87" t="str">
        <x:v>ORIGINAL_PACKAGE</x:v>
      </x:c>
      <x:c r="N427" s="87" t="str">
        <x:v>pages/VIS-EGKR-GEO-S26-TASK-955-P001.png</x:v>
      </x:c>
      <x:c r="O427" s="87" t="str">
        <x:v>thumbnails/VIS-EGKR-GEO-S26-TASK-955-P001.jpg</x:v>
      </x:c>
      <x:c r="P427" s="87" t="str">
        <x:v>a2b626a9fa267359855394b5f87754fedec4eedacc425b0fa97fe41a1a533e67</x:v>
      </x:c>
      <x:c r="Q427" s="30" t="str">
        <x:v>incoming/raw/recovery-drop-01/geography_egkr_spring_visual_assets_v107(1).zip!/pages/VIS-EGKR-GEO-S26-TASK-955-P001.png</x:v>
      </x:c>
      <x:c r="R427" s="30" t="str">
        <x:v>RESOLVED_UNLINKED_REGISTRY_VISUAL</x:v>
      </x:c>
      <x:c r="S427" t="e">
        <x:f>HYPERLINK("visual_gallery/index.html#"&amp;A427,"Галерея")</x:f>
      </x:c>
    </x:row>
    <x:row r="428">
      <x:c r="A428" s="87" t="str">
        <x:v>VIS-EGKR-GEO-S26-TASK-955-P002</x:v>
      </x:c>
      <x:c r="B428" s="30" t="str">
        <x:v>География</x:v>
      </x:c>
      <x:c r="C428" s="30"/>
      <x:c r="D428" s="30" t="str">
        <x:v>955</x:v>
      </x:c>
      <x:c r="E428" s="87" t="str">
        <x:v>TASK</x:v>
      </x:c>
      <x:c r="F428" s="30" t="str">
        <x:v>ЕГКР - ГЕО 955.pdf</x:v>
      </x:c>
      <x:c r="G428" s="87" t="str">
        <x:v>2</x:v>
      </x:c>
      <x:c r="H428" s="87" t="str">
        <x:v>v1.07</x:v>
      </x:c>
      <x:c r="I428" s="87" t="str">
        <x:v>3</x:v>
      </x:c>
      <x:c r="J428" s="30" t="str">
        <x:v>VIS_ID</x:v>
      </x:c>
      <x:c r="K428" s="30" t="str">
        <x:v>EGKR-S26-GEO-955-01, EGKR-S26-GEO-955-02, EGKR-S26-GEO-955-03</x:v>
      </x:c>
      <x:c r="L428" s="87" t="str">
        <x:v>CROP_VERIFIED</x:v>
      </x:c>
      <x:c r="M428" s="87" t="str">
        <x:v>ORIGINAL_PACKAGE</x:v>
      </x:c>
      <x:c r="N428" s="87" t="str">
        <x:v>pages/VIS-EGKR-GEO-S26-TASK-955-P002.png</x:v>
      </x:c>
      <x:c r="O428" s="87" t="str">
        <x:v>thumbnails/VIS-EGKR-GEO-S26-TASK-955-P002.jpg</x:v>
      </x:c>
      <x:c r="P428" s="87" t="str">
        <x:v>17be2f2babb6c60ed738f57e2b59764fc191d662022be542fc0bbd251db5c4f0</x:v>
      </x:c>
      <x:c r="Q428" s="30" t="str">
        <x:v>incoming/raw/recovery-drop-01/geography_egkr_spring_visual_assets_v107(1).zip!/pages/VIS-EGKR-GEO-S26-TASK-955-P002.png</x:v>
      </x:c>
      <x:c r="R428" s="30" t="str">
        <x:v>MATCHED_ASSET</x:v>
      </x:c>
      <x:c r="S428" t="e">
        <x:f>HYPERLINK("visual_gallery/index.html#"&amp;A428,"Галерея")</x:f>
      </x:c>
    </x:row>
    <x:row r="429">
      <x:c r="A429" s="87" t="str">
        <x:v>VIS-EGKR-GEO-S26-TASK-955-P003</x:v>
      </x:c>
      <x:c r="B429" s="30" t="str">
        <x:v>География</x:v>
      </x:c>
      <x:c r="C429" s="30"/>
      <x:c r="D429" s="30" t="str">
        <x:v>955</x:v>
      </x:c>
      <x:c r="E429" s="87" t="str">
        <x:v>TASK</x:v>
      </x:c>
      <x:c r="F429" s="30" t="str">
        <x:v>ЕГКР - ГЕО 955.pdf</x:v>
      </x:c>
      <x:c r="G429" s="87" t="str">
        <x:v>3</x:v>
      </x:c>
      <x:c r="H429" s="87" t="str">
        <x:v>v1.07</x:v>
      </x:c>
      <x:c r="I429" s="87" t="str">
        <x:v>2</x:v>
      </x:c>
      <x:c r="J429" s="30" t="str">
        <x:v>VIS_ID</x:v>
      </x:c>
      <x:c r="K429" s="30" t="str">
        <x:v>EGKR-S26-GEO-955-04, EGKR-S26-GEO-955-05</x:v>
      </x:c>
      <x:c r="L429" s="87" t="str">
        <x:v>CROP_VERIFIED</x:v>
      </x:c>
      <x:c r="M429" s="87" t="str">
        <x:v>ORIGINAL_PACKAGE</x:v>
      </x:c>
      <x:c r="N429" s="87" t="str">
        <x:v>pages/VIS-EGKR-GEO-S26-TASK-955-P003.png</x:v>
      </x:c>
      <x:c r="O429" s="87" t="str">
        <x:v>thumbnails/VIS-EGKR-GEO-S26-TASK-955-P003.jpg</x:v>
      </x:c>
      <x:c r="P429" s="87" t="str">
        <x:v>e2d34a2b4e26fec39ccfe7daaa3c4f8d14e74c1c34377176e23311ff9500eaa9</x:v>
      </x:c>
      <x:c r="Q429" s="30" t="str">
        <x:v>incoming/raw/recovery-drop-01/geography_egkr_spring_visual_assets_v107(1).zip!/pages/VIS-EGKR-GEO-S26-TASK-955-P003.png</x:v>
      </x:c>
      <x:c r="R429" s="30" t="str">
        <x:v>MATCHED_ASSET</x:v>
      </x:c>
      <x:c r="S429" t="e">
        <x:f>HYPERLINK("visual_gallery/index.html#"&amp;A429,"Галерея")</x:f>
      </x:c>
    </x:row>
    <x:row r="430">
      <x:c r="A430" s="87" t="str">
        <x:v>VIS-EGKR-GEO-S26-TASK-955-P004</x:v>
      </x:c>
      <x:c r="B430" s="30" t="str">
        <x:v>География</x:v>
      </x:c>
      <x:c r="C430" s="30"/>
      <x:c r="D430" s="30" t="str">
        <x:v>955</x:v>
      </x:c>
      <x:c r="E430" s="87" t="str">
        <x:v>TASK</x:v>
      </x:c>
      <x:c r="F430" s="30" t="str">
        <x:v>ЕГКР - ГЕО 955.pdf</x:v>
      </x:c>
      <x:c r="G430" s="87" t="str">
        <x:v>4</x:v>
      </x:c>
      <x:c r="H430" s="87" t="str">
        <x:v>v1.07</x:v>
      </x:c>
      <x:c r="I430" s="87" t="str">
        <x:v>2</x:v>
      </x:c>
      <x:c r="J430" s="30" t="str">
        <x:v>VIS_ID</x:v>
      </x:c>
      <x:c r="K430" s="30" t="str">
        <x:v>EGKR-S26-GEO-955-06, EGKR-S26-GEO-955-07</x:v>
      </x:c>
      <x:c r="L430" s="87" t="str">
        <x:v>CROP_VERIFIED</x:v>
      </x:c>
      <x:c r="M430" s="87" t="str">
        <x:v>ORIGINAL_PACKAGE</x:v>
      </x:c>
      <x:c r="N430" s="87" t="str">
        <x:v>pages/VIS-EGKR-GEO-S26-TASK-955-P004.png</x:v>
      </x:c>
      <x:c r="O430" s="87" t="str">
        <x:v>thumbnails/VIS-EGKR-GEO-S26-TASK-955-P004.jpg</x:v>
      </x:c>
      <x:c r="P430" s="87" t="str">
        <x:v>40764567b00a9e98f853a76de5b77804eeeb1502b9ad5bfc0a98b602bef70d7a</x:v>
      </x:c>
      <x:c r="Q430" s="30" t="str">
        <x:v>incoming/raw/recovery-drop-01/geography_egkr_spring_visual_assets_v107(1).zip!/pages/VIS-EGKR-GEO-S26-TASK-955-P004.png</x:v>
      </x:c>
      <x:c r="R430" s="30" t="str">
        <x:v>MATCHED_ASSET</x:v>
      </x:c>
      <x:c r="S430" t="e">
        <x:f>HYPERLINK("visual_gallery/index.html#"&amp;A430,"Галерея")</x:f>
      </x:c>
    </x:row>
    <x:row r="431">
      <x:c r="A431" s="87" t="str">
        <x:v>VIS-EGKR-GEO-S26-TASK-955-P005</x:v>
      </x:c>
      <x:c r="B431" s="30" t="str">
        <x:v>География</x:v>
      </x:c>
      <x:c r="C431" s="30"/>
      <x:c r="D431" s="30" t="str">
        <x:v>955</x:v>
      </x:c>
      <x:c r="E431" s="87" t="str">
        <x:v>TASK</x:v>
      </x:c>
      <x:c r="F431" s="30" t="str">
        <x:v>ЕГКР - ГЕО 955.pdf</x:v>
      </x:c>
      <x:c r="G431" s="87" t="str">
        <x:v>5</x:v>
      </x:c>
      <x:c r="H431" s="87" t="str">
        <x:v>v1.07</x:v>
      </x:c>
      <x:c r="I431" s="87" t="str">
        <x:v>3</x:v>
      </x:c>
      <x:c r="J431" s="30" t="str">
        <x:v>VIS_ID</x:v>
      </x:c>
      <x:c r="K431" s="30" t="str">
        <x:v>EGKR-S26-GEO-955-08, EGKR-S26-GEO-955-09, EGKR-S26-GEO-955-10</x:v>
      </x:c>
      <x:c r="L431" s="87" t="str">
        <x:v>CROP_VERIFIED</x:v>
      </x:c>
      <x:c r="M431" s="87" t="str">
        <x:v>ORIGINAL_PACKAGE</x:v>
      </x:c>
      <x:c r="N431" s="87" t="str">
        <x:v>pages/VIS-EGKR-GEO-S26-TASK-955-P005.png</x:v>
      </x:c>
      <x:c r="O431" s="87" t="str">
        <x:v>thumbnails/VIS-EGKR-GEO-S26-TASK-955-P005.jpg</x:v>
      </x:c>
      <x:c r="P431" s="87" t="str">
        <x:v>23c59fa875248e248f438f5a14beb5d44a59e10af400dd4ced88e7cc801130ec</x:v>
      </x:c>
      <x:c r="Q431" s="30" t="str">
        <x:v>incoming/raw/recovery-drop-01/geography_egkr_spring_visual_assets_v107(1).zip!/pages/VIS-EGKR-GEO-S26-TASK-955-P005.png</x:v>
      </x:c>
      <x:c r="R431" s="30" t="str">
        <x:v>MATCHED_ASSET</x:v>
      </x:c>
      <x:c r="S431" t="e">
        <x:f>HYPERLINK("visual_gallery/index.html#"&amp;A431,"Галерея")</x:f>
      </x:c>
    </x:row>
    <x:row r="432">
      <x:c r="A432" s="87" t="str">
        <x:v>VIS-EGKR-GEO-S26-TASK-955-P006</x:v>
      </x:c>
      <x:c r="B432" s="30" t="str">
        <x:v>География</x:v>
      </x:c>
      <x:c r="C432" s="30"/>
      <x:c r="D432" s="30" t="str">
        <x:v>955</x:v>
      </x:c>
      <x:c r="E432" s="87" t="str">
        <x:v>TASK</x:v>
      </x:c>
      <x:c r="F432" s="30" t="str">
        <x:v>ЕГКР - ГЕО 955.pdf</x:v>
      </x:c>
      <x:c r="G432" s="87" t="str">
        <x:v>6</x:v>
      </x:c>
      <x:c r="H432" s="87" t="str">
        <x:v>v1.07</x:v>
      </x:c>
      <x:c r="I432" s="87" t="str">
        <x:v>2</x:v>
      </x:c>
      <x:c r="J432" s="30" t="str">
        <x:v>VIS_ID</x:v>
      </x:c>
      <x:c r="K432" s="30" t="str">
        <x:v>EGKR-S26-GEO-955-11, EGKR-S26-GEO-955-12</x:v>
      </x:c>
      <x:c r="L432" s="87" t="str">
        <x:v>CROP_VERIFIED</x:v>
      </x:c>
      <x:c r="M432" s="87" t="str">
        <x:v>ORIGINAL_PACKAGE</x:v>
      </x:c>
      <x:c r="N432" s="87" t="str">
        <x:v>pages/VIS-EGKR-GEO-S26-TASK-955-P006.png</x:v>
      </x:c>
      <x:c r="O432" s="87" t="str">
        <x:v>thumbnails/VIS-EGKR-GEO-S26-TASK-955-P006.jpg</x:v>
      </x:c>
      <x:c r="P432" s="87" t="str">
        <x:v>8a1eaaeefdb4968010a1f1b1ab020d70d0b8e19e3e0cca642a13790efd687ca3</x:v>
      </x:c>
      <x:c r="Q432" s="30" t="str">
        <x:v>incoming/raw/recovery-drop-01/geography_egkr_spring_visual_assets_v107(1).zip!/pages/VIS-EGKR-GEO-S26-TASK-955-P006.png</x:v>
      </x:c>
      <x:c r="R432" s="30" t="str">
        <x:v>MATCHED_ASSET</x:v>
      </x:c>
      <x:c r="S432" t="e">
        <x:f>HYPERLINK("visual_gallery/index.html#"&amp;A432,"Галерея")</x:f>
      </x:c>
    </x:row>
    <x:row r="433">
      <x:c r="A433" s="87" t="str">
        <x:v>VIS-EGKR-GEO-S26-TASK-955-P007</x:v>
      </x:c>
      <x:c r="B433" s="30" t="str">
        <x:v>География</x:v>
      </x:c>
      <x:c r="C433" s="30"/>
      <x:c r="D433" s="30" t="str">
        <x:v>955</x:v>
      </x:c>
      <x:c r="E433" s="87" t="str">
        <x:v>TASK</x:v>
      </x:c>
      <x:c r="F433" s="30" t="str">
        <x:v>ЕГКР - ГЕО 955.pdf</x:v>
      </x:c>
      <x:c r="G433" s="87" t="str">
        <x:v>7</x:v>
      </x:c>
      <x:c r="H433" s="87" t="str">
        <x:v>v1.07</x:v>
      </x:c>
      <x:c r="I433" s="87" t="str">
        <x:v>3</x:v>
      </x:c>
      <x:c r="J433" s="30" t="str">
        <x:v>VIS_ID</x:v>
      </x:c>
      <x:c r="K433" s="30" t="str">
        <x:v>EGKR-S26-GEO-955-13, EGKR-S26-GEO-955-14, EGKR-S26-GEO-955-15</x:v>
      </x:c>
      <x:c r="L433" s="87" t="str">
        <x:v>CROP_VERIFIED</x:v>
      </x:c>
      <x:c r="M433" s="87" t="str">
        <x:v>ORIGINAL_PACKAGE</x:v>
      </x:c>
      <x:c r="N433" s="87" t="str">
        <x:v>pages/VIS-EGKR-GEO-S26-TASK-955-P007.png</x:v>
      </x:c>
      <x:c r="O433" s="87" t="str">
        <x:v>thumbnails/VIS-EGKR-GEO-S26-TASK-955-P007.jpg</x:v>
      </x:c>
      <x:c r="P433" s="87" t="str">
        <x:v>96fe306ffd6349ece54dd4ffcd132875dfe80efbbfea62d48156dea781055ef3</x:v>
      </x:c>
      <x:c r="Q433" s="30" t="str">
        <x:v>incoming/raw/recovery-drop-01/geography_egkr_spring_visual_assets_v107(1).zip!/pages/VIS-EGKR-GEO-S26-TASK-955-P007.png</x:v>
      </x:c>
      <x:c r="R433" s="30" t="str">
        <x:v>MATCHED_ASSET</x:v>
      </x:c>
      <x:c r="S433" t="e">
        <x:f>HYPERLINK("visual_gallery/index.html#"&amp;A433,"Галерея")</x:f>
      </x:c>
    </x:row>
    <x:row r="434">
      <x:c r="A434" s="87" t="str">
        <x:v>VIS-EGKR-GEO-S26-TASK-955-P008</x:v>
      </x:c>
      <x:c r="B434" s="30" t="str">
        <x:v>География</x:v>
      </x:c>
      <x:c r="C434" s="30"/>
      <x:c r="D434" s="30" t="str">
        <x:v>955</x:v>
      </x:c>
      <x:c r="E434" s="87" t="str">
        <x:v>TASK</x:v>
      </x:c>
      <x:c r="F434" s="30" t="str">
        <x:v>ЕГКР - ГЕО 955.pdf</x:v>
      </x:c>
      <x:c r="G434" s="87" t="str">
        <x:v>8</x:v>
      </x:c>
      <x:c r="H434" s="87" t="str">
        <x:v>v1.07</x:v>
      </x:c>
      <x:c r="I434" s="87" t="str">
        <x:v>3</x:v>
      </x:c>
      <x:c r="J434" s="30" t="str">
        <x:v>VIS_ID</x:v>
      </x:c>
      <x:c r="K434" s="30" t="str">
        <x:v>EGKR-S26-GEO-955-16, EGKR-S26-GEO-955-17, EGKR-S26-GEO-955-18</x:v>
      </x:c>
      <x:c r="L434" s="87" t="str">
        <x:v>CROP_VERIFIED</x:v>
      </x:c>
      <x:c r="M434" s="87" t="str">
        <x:v>ORIGINAL_PACKAGE</x:v>
      </x:c>
      <x:c r="N434" s="87" t="str">
        <x:v>pages/VIS-EGKR-GEO-S26-TASK-955-P008.png</x:v>
      </x:c>
      <x:c r="O434" s="87" t="str">
        <x:v>thumbnails/VIS-EGKR-GEO-S26-TASK-955-P008.jpg</x:v>
      </x:c>
      <x:c r="P434" s="87" t="str">
        <x:v>72008aa91ab8fa619b688a9c9dd36050e1624caa665874d99bda2ee47075fb03</x:v>
      </x:c>
      <x:c r="Q434" s="30" t="str">
        <x:v>incoming/raw/recovery-drop-01/geography_egkr_spring_visual_assets_v107(1).zip!/pages/VIS-EGKR-GEO-S26-TASK-955-P008.png</x:v>
      </x:c>
      <x:c r="R434" s="30" t="str">
        <x:v>MATCHED_ASSET</x:v>
      </x:c>
      <x:c r="S434" t="e">
        <x:f>HYPERLINK("visual_gallery/index.html#"&amp;A434,"Галерея")</x:f>
      </x:c>
    </x:row>
    <x:row r="435">
      <x:c r="A435" s="87" t="str">
        <x:v>VIS-EGKR-GEO-S26-TASK-955-P009</x:v>
      </x:c>
      <x:c r="B435" s="30" t="str">
        <x:v>География</x:v>
      </x:c>
      <x:c r="C435" s="30"/>
      <x:c r="D435" s="30" t="str">
        <x:v>955</x:v>
      </x:c>
      <x:c r="E435" s="87" t="str">
        <x:v>TASK</x:v>
      </x:c>
      <x:c r="F435" s="30" t="str">
        <x:v>ЕГКР - ГЕО 955.pdf</x:v>
      </x:c>
      <x:c r="G435" s="87" t="str">
        <x:v>9</x:v>
      </x:c>
      <x:c r="H435" s="87" t="str">
        <x:v>v1.07</x:v>
      </x:c>
      <x:c r="I435" s="87" t="str">
        <x:v>1</x:v>
      </x:c>
      <x:c r="J435" s="30" t="str">
        <x:v>VIS_ID</x:v>
      </x:c>
      <x:c r="K435" s="30" t="str">
        <x:v>EGKR-S26-GEO-955-19</x:v>
      </x:c>
      <x:c r="L435" s="87" t="str">
        <x:v>CROP_VERIFIED</x:v>
      </x:c>
      <x:c r="M435" s="87" t="str">
        <x:v>ORIGINAL_PACKAGE</x:v>
      </x:c>
      <x:c r="N435" s="87" t="str">
        <x:v>pages/VIS-EGKR-GEO-S26-TASK-955-P009.png</x:v>
      </x:c>
      <x:c r="O435" s="87" t="str">
        <x:v>thumbnails/VIS-EGKR-GEO-S26-TASK-955-P009.jpg</x:v>
      </x:c>
      <x:c r="P435" s="87" t="str">
        <x:v>b8c4f854234e863fedee4124d452e14e0851a9ddb7cb58e88cd59c4e0673f41d</x:v>
      </x:c>
      <x:c r="Q435" s="30" t="str">
        <x:v>incoming/raw/recovery-drop-01/geography_egkr_spring_visual_assets_v107(1).zip!/pages/VIS-EGKR-GEO-S26-TASK-955-P009.png</x:v>
      </x:c>
      <x:c r="R435" s="30" t="str">
        <x:v>MATCHED_ASSET</x:v>
      </x:c>
      <x:c r="S435" t="e">
        <x:f>HYPERLINK("visual_gallery/index.html#"&amp;A435,"Галерея")</x:f>
      </x:c>
    </x:row>
    <x:row r="436">
      <x:c r="A436" s="87" t="str">
        <x:v>VIS-EGKR-GEO-S26-TASK-955-P010</x:v>
      </x:c>
      <x:c r="B436" s="30" t="str">
        <x:v>География</x:v>
      </x:c>
      <x:c r="C436" s="30"/>
      <x:c r="D436" s="30" t="str">
        <x:v>955</x:v>
      </x:c>
      <x:c r="E436" s="87" t="str">
        <x:v>TASK</x:v>
      </x:c>
      <x:c r="F436" s="30" t="str">
        <x:v>ЕГКР - ГЕО 955.pdf</x:v>
      </x:c>
      <x:c r="G436" s="87" t="str">
        <x:v>10</x:v>
      </x:c>
      <x:c r="H436" s="87" t="str">
        <x:v>v1.07</x:v>
      </x:c>
      <x:c r="I436" s="87" t="str">
        <x:v>4</x:v>
      </x:c>
      <x:c r="J436" s="30" t="str">
        <x:v>VIS_ID</x:v>
      </x:c>
      <x:c r="K436" s="30" t="str">
        <x:v>EGKR-S26-GEO-955-20, EGKR-S26-GEO-955-21, EGKR-S26-GEO-955-22, EGKR-S26-GEO-955-23</x:v>
      </x:c>
      <x:c r="L436" s="87" t="str">
        <x:v>CROP_VERIFIED</x:v>
      </x:c>
      <x:c r="M436" s="87" t="str">
        <x:v>ORIGINAL_PACKAGE</x:v>
      </x:c>
      <x:c r="N436" s="87" t="str">
        <x:v>pages/VIS-EGKR-GEO-S26-TASK-955-P010.png</x:v>
      </x:c>
      <x:c r="O436" s="87" t="str">
        <x:v>thumbnails/VIS-EGKR-GEO-S26-TASK-955-P010.jpg</x:v>
      </x:c>
      <x:c r="P436" s="87" t="str">
        <x:v>0712a7f84a0bf224da0026b884ec63bb304c530278c79cf14a51710c2b1fdf11</x:v>
      </x:c>
      <x:c r="Q436" s="30" t="str">
        <x:v>incoming/raw/recovery-drop-01/geography_egkr_spring_visual_assets_v107(1).zip!/pages/VIS-EGKR-GEO-S26-TASK-955-P010.png</x:v>
      </x:c>
      <x:c r="R436" s="30" t="str">
        <x:v>MATCHED_ASSET</x:v>
      </x:c>
      <x:c r="S436" t="e">
        <x:f>HYPERLINK("visual_gallery/index.html#"&amp;A436,"Галерея")</x:f>
      </x:c>
    </x:row>
    <x:row r="437">
      <x:c r="A437" s="87" t="str">
        <x:v>VIS-EGKR-GEO-S26-TASK-955-P011</x:v>
      </x:c>
      <x:c r="B437" s="30" t="str">
        <x:v>География</x:v>
      </x:c>
      <x:c r="C437" s="30"/>
      <x:c r="D437" s="30" t="str">
        <x:v>955</x:v>
      </x:c>
      <x:c r="E437" s="87" t="str">
        <x:v>TASK</x:v>
      </x:c>
      <x:c r="F437" s="30" t="str">
        <x:v>ЕГКР - ГЕО 955.pdf</x:v>
      </x:c>
      <x:c r="G437" s="87" t="str">
        <x:v>11</x:v>
      </x:c>
      <x:c r="H437" s="87" t="str">
        <x:v>v1.07</x:v>
      </x:c>
      <x:c r="I437" s="87" t="str">
        <x:v>5</x:v>
      </x:c>
      <x:c r="J437" s="30" t="str">
        <x:v>VIS_ID</x:v>
      </x:c>
      <x:c r="K437" s="30" t="str">
        <x:v>EGKR-S26-GEO-955-24, EGKR-S26-GEO-955-25, EGKR-S26-GEO-955-26, EGKR-S26-GEO-955-27, EGKR-S26-GEO-955-28</x:v>
      </x:c>
      <x:c r="L437" s="87" t="str">
        <x:v>CROP_VERIFIED</x:v>
      </x:c>
      <x:c r="M437" s="87" t="str">
        <x:v>ORIGINAL_PACKAGE</x:v>
      </x:c>
      <x:c r="N437" s="87" t="str">
        <x:v>pages/VIS-EGKR-GEO-S26-TASK-955-P011.png</x:v>
      </x:c>
      <x:c r="O437" s="87" t="str">
        <x:v>thumbnails/VIS-EGKR-GEO-S26-TASK-955-P011.jpg</x:v>
      </x:c>
      <x:c r="P437" s="87" t="str">
        <x:v>f510165aa2a7632d0b897b18d744b56fab5575d809bbb5d5f52effa269203e9f</x:v>
      </x:c>
      <x:c r="Q437" s="30" t="str">
        <x:v>incoming/raw/recovery-drop-01/geography_egkr_spring_visual_assets_v107(1).zip!/pages/VIS-EGKR-GEO-S26-TASK-955-P011.png</x:v>
      </x:c>
      <x:c r="R437" s="30" t="str">
        <x:v>MATCHED_ASSET</x:v>
      </x:c>
      <x:c r="S437" t="e">
        <x:f>HYPERLINK("visual_gallery/index.html#"&amp;A437,"Галерея")</x:f>
      </x:c>
    </x:row>
    <x:row r="438">
      <x:c r="A438" s="87" t="str">
        <x:v>VIS-EGKR-GEO-S26-TASK-955-P012</x:v>
      </x:c>
      <x:c r="B438" s="30" t="str">
        <x:v>География</x:v>
      </x:c>
      <x:c r="C438" s="30"/>
      <x:c r="D438" s="30" t="str">
        <x:v>955</x:v>
      </x:c>
      <x:c r="E438" s="87" t="str">
        <x:v>TASK</x:v>
      </x:c>
      <x:c r="F438" s="30" t="str">
        <x:v>ЕГКР - ГЕО 955.pdf</x:v>
      </x:c>
      <x:c r="G438" s="87" t="str">
        <x:v>12</x:v>
      </x:c>
      <x:c r="H438" s="87" t="str">
        <x:v>v1.07</x:v>
      </x:c>
      <x:c r="I438" s="87" t="str">
        <x:v>1</x:v>
      </x:c>
      <x:c r="J438" s="30" t="str">
        <x:v>VIS_ID</x:v>
      </x:c>
      <x:c r="K438" s="30" t="str">
        <x:v>EGKR-S26-GEO-955-29</x:v>
      </x:c>
      <x:c r="L438" s="87" t="str">
        <x:v>CROP_VERIFIED</x:v>
      </x:c>
      <x:c r="M438" s="87" t="str">
        <x:v>ORIGINAL_PACKAGE</x:v>
      </x:c>
      <x:c r="N438" s="87" t="str">
        <x:v>pages/VIS-EGKR-GEO-S26-TASK-955-P012.png</x:v>
      </x:c>
      <x:c r="O438" s="87" t="str">
        <x:v>thumbnails/VIS-EGKR-GEO-S26-TASK-955-P012.jpg</x:v>
      </x:c>
      <x:c r="P438" s="87" t="str">
        <x:v>7b61be8699f5c8f2d99d3f466e9725870e8f9ce66c710b463445fca3eb65549b</x:v>
      </x:c>
      <x:c r="Q438" s="30" t="str">
        <x:v>incoming/raw/recovery-drop-01/geography_egkr_spring_visual_assets_v107(1).zip!/pages/VIS-EGKR-GEO-S26-TASK-955-P012.png</x:v>
      </x:c>
      <x:c r="R438" s="30" t="str">
        <x:v>MATCHED_ASSET</x:v>
      </x:c>
      <x:c r="S438" t="e">
        <x:f>HYPERLINK("visual_gallery/index.html#"&amp;A438,"Галерея")</x:f>
      </x:c>
    </x:row>
    <x:row r="439">
      <x:c r="A439" s="87" t="str">
        <x:v>VIS-EGKR-GEO-S26-TASK-956-P001</x:v>
      </x:c>
      <x:c r="B439" s="30" t="str"/>
      <x:c r="C439" s="30"/>
      <x:c r="D439" s="30" t="str">
        <x:v>956</x:v>
      </x:c>
      <x:c r="E439" s="87" t="str">
        <x:v>TASK</x:v>
      </x:c>
      <x:c r="F439" s="30" t="str">
        <x:v>ЕГКР - ГЕО 956 (2).pdf</x:v>
      </x:c>
      <x:c r="G439" s="87" t="str">
        <x:v>1</x:v>
      </x:c>
      <x:c r="H439" s="87" t="str">
        <x:v>v1.07</x:v>
      </x:c>
      <x:c r="I439" s="87" t="str">
        <x:v>0</x:v>
      </x:c>
      <x:c r="J439" s="30" t="str"/>
      <x:c r="K439" s="30" t="str"/>
      <x:c r="L439" s="87" t="str">
        <x:v>CROP_VERIFIED</x:v>
      </x:c>
      <x:c r="M439" s="87" t="str">
        <x:v>ORIGINAL_PACKAGE</x:v>
      </x:c>
      <x:c r="N439" s="87" t="str">
        <x:v>pages/VIS-EGKR-GEO-S26-TASK-956-P001.png</x:v>
      </x:c>
      <x:c r="O439" s="87" t="str">
        <x:v>thumbnails/VIS-EGKR-GEO-S26-TASK-956-P001.jpg</x:v>
      </x:c>
      <x:c r="P439" s="87" t="str">
        <x:v>03e94929a64bdbd4211bcbebe406d01690f2ce388db44996a238b6d2b99527bc</x:v>
      </x:c>
      <x:c r="Q439" s="30" t="str">
        <x:v>incoming/raw/recovery-drop-01/geography_egkr_spring_visual_assets_v107(1).zip!/pages/VIS-EGKR-GEO-S26-TASK-956-P001.png</x:v>
      </x:c>
      <x:c r="R439" s="30" t="str">
        <x:v>RESOLVED_UNLINKED_REGISTRY_VISUAL</x:v>
      </x:c>
      <x:c r="S439" t="e">
        <x:f>HYPERLINK("visual_gallery/index.html#"&amp;A439,"Галерея")</x:f>
      </x:c>
    </x:row>
    <x:row r="440">
      <x:c r="A440" s="87" t="str">
        <x:v>VIS-EGKR-GEO-S26-TASK-956-P002</x:v>
      </x:c>
      <x:c r="B440" s="30" t="str">
        <x:v>География</x:v>
      </x:c>
      <x:c r="C440" s="30"/>
      <x:c r="D440" s="30" t="str">
        <x:v>956</x:v>
      </x:c>
      <x:c r="E440" s="87" t="str">
        <x:v>TASK</x:v>
      </x:c>
      <x:c r="F440" s="30" t="str">
        <x:v>ЕГКР - ГЕО 956 (2).pdf</x:v>
      </x:c>
      <x:c r="G440" s="87" t="str">
        <x:v>2</x:v>
      </x:c>
      <x:c r="H440" s="87" t="str">
        <x:v>v1.07</x:v>
      </x:c>
      <x:c r="I440" s="87" t="str">
        <x:v>3</x:v>
      </x:c>
      <x:c r="J440" s="30" t="str">
        <x:v>VIS_ID</x:v>
      </x:c>
      <x:c r="K440" s="30" t="str">
        <x:v>EGKR-S26-GEO-956-01, EGKR-S26-GEO-956-02, EGKR-S26-GEO-956-03</x:v>
      </x:c>
      <x:c r="L440" s="87" t="str">
        <x:v>CROP_VERIFIED</x:v>
      </x:c>
      <x:c r="M440" s="87" t="str">
        <x:v>ORIGINAL_PACKAGE</x:v>
      </x:c>
      <x:c r="N440" s="87" t="str">
        <x:v>pages/VIS-EGKR-GEO-S26-TASK-956-P002.png</x:v>
      </x:c>
      <x:c r="O440" s="87" t="str">
        <x:v>thumbnails/VIS-EGKR-GEO-S26-TASK-956-P002.jpg</x:v>
      </x:c>
      <x:c r="P440" s="87" t="str">
        <x:v>348edb788f55c0480d010249a75e6c537b15704742680f1fd193ad249e3bdf38</x:v>
      </x:c>
      <x:c r="Q440" s="30" t="str">
        <x:v>incoming/raw/recovery-drop-01/geography_egkr_spring_visual_assets_v107(1).zip!/pages/VIS-EGKR-GEO-S26-TASK-956-P002.png</x:v>
      </x:c>
      <x:c r="R440" s="30" t="str">
        <x:v>MATCHED_ASSET</x:v>
      </x:c>
      <x:c r="S440" t="e">
        <x:f>HYPERLINK("visual_gallery/index.html#"&amp;A440,"Галерея")</x:f>
      </x:c>
    </x:row>
    <x:row r="441">
      <x:c r="A441" s="87" t="str">
        <x:v>VIS-EGKR-GEO-S26-TASK-956-P003</x:v>
      </x:c>
      <x:c r="B441" s="30" t="str">
        <x:v>География</x:v>
      </x:c>
      <x:c r="C441" s="30"/>
      <x:c r="D441" s="30" t="str">
        <x:v>956</x:v>
      </x:c>
      <x:c r="E441" s="87" t="str">
        <x:v>TASK</x:v>
      </x:c>
      <x:c r="F441" s="30" t="str">
        <x:v>ЕГКР - ГЕО 956 (2).pdf</x:v>
      </x:c>
      <x:c r="G441" s="87" t="str">
        <x:v>3</x:v>
      </x:c>
      <x:c r="H441" s="87" t="str">
        <x:v>v1.07</x:v>
      </x:c>
      <x:c r="I441" s="87" t="str">
        <x:v>2</x:v>
      </x:c>
      <x:c r="J441" s="30" t="str">
        <x:v>VIS_ID</x:v>
      </x:c>
      <x:c r="K441" s="30" t="str">
        <x:v>EGKR-S26-GEO-956-04, EGKR-S26-GEO-956-05</x:v>
      </x:c>
      <x:c r="L441" s="87" t="str">
        <x:v>CROP_VERIFIED</x:v>
      </x:c>
      <x:c r="M441" s="87" t="str">
        <x:v>ORIGINAL_PACKAGE</x:v>
      </x:c>
      <x:c r="N441" s="87" t="str">
        <x:v>pages/VIS-EGKR-GEO-S26-TASK-956-P003.png</x:v>
      </x:c>
      <x:c r="O441" s="87" t="str">
        <x:v>thumbnails/VIS-EGKR-GEO-S26-TASK-956-P003.jpg</x:v>
      </x:c>
      <x:c r="P441" s="87" t="str">
        <x:v>9060959476d252a44bf2a75cef0119bee9e0c8e7641fec4867ecb30ad5f8ad30</x:v>
      </x:c>
      <x:c r="Q441" s="30" t="str">
        <x:v>incoming/raw/recovery-drop-01/geography_egkr_spring_visual_assets_v107(1).zip!/pages/VIS-EGKR-GEO-S26-TASK-956-P003.png</x:v>
      </x:c>
      <x:c r="R441" s="30" t="str">
        <x:v>MATCHED_ASSET</x:v>
      </x:c>
      <x:c r="S441" t="e">
        <x:f>HYPERLINK("visual_gallery/index.html#"&amp;A441,"Галерея")</x:f>
      </x:c>
    </x:row>
    <x:row r="442">
      <x:c r="A442" s="87" t="str">
        <x:v>VIS-EGKR-GEO-S26-TASK-956-P004</x:v>
      </x:c>
      <x:c r="B442" s="30" t="str">
        <x:v>География</x:v>
      </x:c>
      <x:c r="C442" s="30"/>
      <x:c r="D442" s="30" t="str">
        <x:v>956</x:v>
      </x:c>
      <x:c r="E442" s="87" t="str">
        <x:v>TASK</x:v>
      </x:c>
      <x:c r="F442" s="30" t="str">
        <x:v>ЕГКР - ГЕО 956 (2).pdf</x:v>
      </x:c>
      <x:c r="G442" s="87" t="str">
        <x:v>4</x:v>
      </x:c>
      <x:c r="H442" s="87" t="str">
        <x:v>v1.07</x:v>
      </x:c>
      <x:c r="I442" s="87" t="str">
        <x:v>2</x:v>
      </x:c>
      <x:c r="J442" s="30" t="str">
        <x:v>VIS_ID</x:v>
      </x:c>
      <x:c r="K442" s="30" t="str">
        <x:v>EGKR-S26-GEO-956-06, EGKR-S26-GEO-956-07</x:v>
      </x:c>
      <x:c r="L442" s="87" t="str">
        <x:v>CROP_VERIFIED</x:v>
      </x:c>
      <x:c r="M442" s="87" t="str">
        <x:v>ORIGINAL_PACKAGE</x:v>
      </x:c>
      <x:c r="N442" s="87" t="str">
        <x:v>pages/VIS-EGKR-GEO-S26-TASK-956-P004.png</x:v>
      </x:c>
      <x:c r="O442" s="87" t="str">
        <x:v>thumbnails/VIS-EGKR-GEO-S26-TASK-956-P004.jpg</x:v>
      </x:c>
      <x:c r="P442" s="87" t="str">
        <x:v>7df7fe37c967f4f743b8280f33c7803d337922d02112ff4ba73e2128a550c291</x:v>
      </x:c>
      <x:c r="Q442" s="30" t="str">
        <x:v>incoming/raw/recovery-drop-01/geography_egkr_spring_visual_assets_v107(1).zip!/pages/VIS-EGKR-GEO-S26-TASK-956-P004.png</x:v>
      </x:c>
      <x:c r="R442" s="30" t="str">
        <x:v>MATCHED_ASSET</x:v>
      </x:c>
      <x:c r="S442" t="e">
        <x:f>HYPERLINK("visual_gallery/index.html#"&amp;A442,"Галерея")</x:f>
      </x:c>
    </x:row>
    <x:row r="443">
      <x:c r="A443" s="87" t="str">
        <x:v>VIS-EGKR-GEO-S26-TASK-956-P005</x:v>
      </x:c>
      <x:c r="B443" s="30" t="str">
        <x:v>География</x:v>
      </x:c>
      <x:c r="C443" s="30"/>
      <x:c r="D443" s="30" t="str">
        <x:v>956</x:v>
      </x:c>
      <x:c r="E443" s="87" t="str">
        <x:v>TASK</x:v>
      </x:c>
      <x:c r="F443" s="30" t="str">
        <x:v>ЕГКР - ГЕО 956 (2).pdf</x:v>
      </x:c>
      <x:c r="G443" s="87" t="str">
        <x:v>5</x:v>
      </x:c>
      <x:c r="H443" s="87" t="str">
        <x:v>v1.07</x:v>
      </x:c>
      <x:c r="I443" s="87" t="str">
        <x:v>3</x:v>
      </x:c>
      <x:c r="J443" s="30" t="str">
        <x:v>VIS_ID</x:v>
      </x:c>
      <x:c r="K443" s="30" t="str">
        <x:v>EGKR-S26-GEO-956-08, EGKR-S26-GEO-956-09, EGKR-S26-GEO-956-10</x:v>
      </x:c>
      <x:c r="L443" s="87" t="str">
        <x:v>CROP_VERIFIED</x:v>
      </x:c>
      <x:c r="M443" s="87" t="str">
        <x:v>ORIGINAL_PACKAGE</x:v>
      </x:c>
      <x:c r="N443" s="87" t="str">
        <x:v>pages/VIS-EGKR-GEO-S26-TASK-956-P005.png</x:v>
      </x:c>
      <x:c r="O443" s="87" t="str">
        <x:v>thumbnails/VIS-EGKR-GEO-S26-TASK-956-P005.jpg</x:v>
      </x:c>
      <x:c r="P443" s="87" t="str">
        <x:v>b1a58e665cccf24db2a88dd9aa23f176a415615e2384d0629b3d97db84935fd7</x:v>
      </x:c>
      <x:c r="Q443" s="30" t="str">
        <x:v>incoming/raw/recovery-drop-01/geography_egkr_spring_visual_assets_v107(1).zip!/pages/VIS-EGKR-GEO-S26-TASK-956-P005.png</x:v>
      </x:c>
      <x:c r="R443" s="30" t="str">
        <x:v>MATCHED_ASSET</x:v>
      </x:c>
      <x:c r="S443" t="e">
        <x:f>HYPERLINK("visual_gallery/index.html#"&amp;A443,"Галерея")</x:f>
      </x:c>
    </x:row>
    <x:row r="444">
      <x:c r="A444" s="87" t="str">
        <x:v>VIS-EGKR-GEO-S26-TASK-956-P006</x:v>
      </x:c>
      <x:c r="B444" s="30" t="str">
        <x:v>География</x:v>
      </x:c>
      <x:c r="C444" s="30"/>
      <x:c r="D444" s="30" t="str">
        <x:v>956</x:v>
      </x:c>
      <x:c r="E444" s="87" t="str">
        <x:v>TASK</x:v>
      </x:c>
      <x:c r="F444" s="30" t="str">
        <x:v>ЕГКР - ГЕО 956 (2).pdf</x:v>
      </x:c>
      <x:c r="G444" s="87" t="str">
        <x:v>6</x:v>
      </x:c>
      <x:c r="H444" s="87" t="str">
        <x:v>v1.07</x:v>
      </x:c>
      <x:c r="I444" s="87" t="str">
        <x:v>2</x:v>
      </x:c>
      <x:c r="J444" s="30" t="str">
        <x:v>VIS_ID</x:v>
      </x:c>
      <x:c r="K444" s="30" t="str">
        <x:v>EGKR-S26-GEO-956-11, EGKR-S26-GEO-956-12</x:v>
      </x:c>
      <x:c r="L444" s="87" t="str">
        <x:v>CROP_VERIFIED</x:v>
      </x:c>
      <x:c r="M444" s="87" t="str">
        <x:v>ORIGINAL_PACKAGE</x:v>
      </x:c>
      <x:c r="N444" s="87" t="str">
        <x:v>pages/VIS-EGKR-GEO-S26-TASK-956-P006.png</x:v>
      </x:c>
      <x:c r="O444" s="87" t="str">
        <x:v>thumbnails/VIS-EGKR-GEO-S26-TASK-956-P006.jpg</x:v>
      </x:c>
      <x:c r="P444" s="87" t="str">
        <x:v>8e8e010251b4cedf057d9ec6b61098c21d3a2c286c2cadc9cf83e897f76da4a2</x:v>
      </x:c>
      <x:c r="Q444" s="30" t="str">
        <x:v>incoming/raw/recovery-drop-01/geography_egkr_spring_visual_assets_v107(1).zip!/pages/VIS-EGKR-GEO-S26-TASK-956-P006.png</x:v>
      </x:c>
      <x:c r="R444" s="30" t="str">
        <x:v>MATCHED_ASSET</x:v>
      </x:c>
      <x:c r="S444" t="e">
        <x:f>HYPERLINK("visual_gallery/index.html#"&amp;A444,"Галерея")</x:f>
      </x:c>
    </x:row>
    <x:row r="445">
      <x:c r="A445" s="87" t="str">
        <x:v>VIS-EGKR-GEO-S26-TASK-956-P007</x:v>
      </x:c>
      <x:c r="B445" s="30" t="str">
        <x:v>География</x:v>
      </x:c>
      <x:c r="C445" s="30"/>
      <x:c r="D445" s="30" t="str">
        <x:v>956</x:v>
      </x:c>
      <x:c r="E445" s="87" t="str">
        <x:v>TASK</x:v>
      </x:c>
      <x:c r="F445" s="30" t="str">
        <x:v>ЕГКР - ГЕО 956 (2).pdf</x:v>
      </x:c>
      <x:c r="G445" s="87" t="str">
        <x:v>7</x:v>
      </x:c>
      <x:c r="H445" s="87" t="str">
        <x:v>v1.07</x:v>
      </x:c>
      <x:c r="I445" s="87" t="str">
        <x:v>3</x:v>
      </x:c>
      <x:c r="J445" s="30" t="str">
        <x:v>VIS_ID</x:v>
      </x:c>
      <x:c r="K445" s="30" t="str">
        <x:v>EGKR-S26-GEO-956-13, EGKR-S26-GEO-956-14, EGKR-S26-GEO-956-15</x:v>
      </x:c>
      <x:c r="L445" s="87" t="str">
        <x:v>CROP_VERIFIED</x:v>
      </x:c>
      <x:c r="M445" s="87" t="str">
        <x:v>ORIGINAL_PACKAGE</x:v>
      </x:c>
      <x:c r="N445" s="87" t="str">
        <x:v>pages/VIS-EGKR-GEO-S26-TASK-956-P007.png</x:v>
      </x:c>
      <x:c r="O445" s="87" t="str">
        <x:v>thumbnails/VIS-EGKR-GEO-S26-TASK-956-P007.jpg</x:v>
      </x:c>
      <x:c r="P445" s="87" t="str">
        <x:v>73975be847afd48c172c13071861d213914606b73004d03a02e4ba42922ddc84</x:v>
      </x:c>
      <x:c r="Q445" s="30" t="str">
        <x:v>incoming/raw/recovery-drop-01/geography_egkr_spring_visual_assets_v107(1).zip!/pages/VIS-EGKR-GEO-S26-TASK-956-P007.png</x:v>
      </x:c>
      <x:c r="R445" s="30" t="str">
        <x:v>MATCHED_ASSET</x:v>
      </x:c>
      <x:c r="S445" t="e">
        <x:f>HYPERLINK("visual_gallery/index.html#"&amp;A445,"Галерея")</x:f>
      </x:c>
    </x:row>
    <x:row r="446">
      <x:c r="A446" s="87" t="str">
        <x:v>VIS-EGKR-GEO-S26-TASK-956-P008</x:v>
      </x:c>
      <x:c r="B446" s="30" t="str">
        <x:v>География</x:v>
      </x:c>
      <x:c r="C446" s="30"/>
      <x:c r="D446" s="30" t="str">
        <x:v>956</x:v>
      </x:c>
      <x:c r="E446" s="87" t="str">
        <x:v>TASK</x:v>
      </x:c>
      <x:c r="F446" s="30" t="str">
        <x:v>ЕГКР - ГЕО 956 (2).pdf</x:v>
      </x:c>
      <x:c r="G446" s="87" t="str">
        <x:v>8</x:v>
      </x:c>
      <x:c r="H446" s="87" t="str">
        <x:v>v1.07</x:v>
      </x:c>
      <x:c r="I446" s="87" t="str">
        <x:v>3</x:v>
      </x:c>
      <x:c r="J446" s="30" t="str">
        <x:v>VIS_ID</x:v>
      </x:c>
      <x:c r="K446" s="30" t="str">
        <x:v>EGKR-S26-GEO-956-16, EGKR-S26-GEO-956-17, EGKR-S26-GEO-956-18</x:v>
      </x:c>
      <x:c r="L446" s="87" t="str">
        <x:v>CROP_VERIFIED</x:v>
      </x:c>
      <x:c r="M446" s="87" t="str">
        <x:v>ORIGINAL_PACKAGE</x:v>
      </x:c>
      <x:c r="N446" s="87" t="str">
        <x:v>pages/VIS-EGKR-GEO-S26-TASK-956-P008.png</x:v>
      </x:c>
      <x:c r="O446" s="87" t="str">
        <x:v>thumbnails/VIS-EGKR-GEO-S26-TASK-956-P008.jpg</x:v>
      </x:c>
      <x:c r="P446" s="87" t="str">
        <x:v>8cb55e1372e723e1ad64cbfb9ce6c1bdcbcff37f6f79e37e0d4430edb11e30ed</x:v>
      </x:c>
      <x:c r="Q446" s="30" t="str">
        <x:v>incoming/raw/recovery-drop-01/geography_egkr_spring_visual_assets_v107(1).zip!/pages/VIS-EGKR-GEO-S26-TASK-956-P008.png</x:v>
      </x:c>
      <x:c r="R446" s="30" t="str">
        <x:v>MATCHED_ASSET</x:v>
      </x:c>
      <x:c r="S446" t="e">
        <x:f>HYPERLINK("visual_gallery/index.html#"&amp;A446,"Галерея")</x:f>
      </x:c>
    </x:row>
    <x:row r="447">
      <x:c r="A447" s="87" t="str">
        <x:v>VIS-EGKR-GEO-S26-TASK-956-P009</x:v>
      </x:c>
      <x:c r="B447" s="30" t="str">
        <x:v>География</x:v>
      </x:c>
      <x:c r="C447" s="30"/>
      <x:c r="D447" s="30" t="str">
        <x:v>956</x:v>
      </x:c>
      <x:c r="E447" s="87" t="str">
        <x:v>TASK</x:v>
      </x:c>
      <x:c r="F447" s="30" t="str">
        <x:v>ЕГКР - ГЕО 956 (2).pdf</x:v>
      </x:c>
      <x:c r="G447" s="87" t="str">
        <x:v>9</x:v>
      </x:c>
      <x:c r="H447" s="87" t="str">
        <x:v>v1.07</x:v>
      </x:c>
      <x:c r="I447" s="87" t="str">
        <x:v>6</x:v>
      </x:c>
      <x:c r="J447" s="30" t="str">
        <x:v>VIS_ID</x:v>
      </x:c>
      <x:c r="K447" s="30" t="str">
        <x:v>EGKR-S26-GEO-956-21, EGKR-S26-GEO-956-22, EGKR-S26-GEO-956-23, EGKR-S26-GEO-956-24, EGKR-S26-GEO-956-25, EGKR-S26-GEO-956-26</x:v>
      </x:c>
      <x:c r="L447" s="87" t="str">
        <x:v>CROP_VERIFIED</x:v>
      </x:c>
      <x:c r="M447" s="87" t="str">
        <x:v>ORIGINAL_PACKAGE</x:v>
      </x:c>
      <x:c r="N447" s="87" t="str">
        <x:v>pages/VIS-EGKR-GEO-S26-TASK-956-P009.png</x:v>
      </x:c>
      <x:c r="O447" s="87" t="str">
        <x:v>thumbnails/VIS-EGKR-GEO-S26-TASK-956-P009.jpg</x:v>
      </x:c>
      <x:c r="P447" s="87" t="str">
        <x:v>0d180bcf72562d8ad47e4464ad82a583e69c004238297b5b75ed61c4405a835f</x:v>
      </x:c>
      <x:c r="Q447" s="30" t="str">
        <x:v>incoming/raw/recovery-drop-01/geography_egkr_spring_visual_assets_v107(1).zip!/pages/VIS-EGKR-GEO-S26-TASK-956-P009.png</x:v>
      </x:c>
      <x:c r="R447" s="30" t="str">
        <x:v>MATCHED_ASSET</x:v>
      </x:c>
      <x:c r="S447" t="e">
        <x:f>HYPERLINK("visual_gallery/index.html#"&amp;A447,"Галерея")</x:f>
      </x:c>
    </x:row>
    <x:row r="448">
      <x:c r="A448" s="87" t="str">
        <x:v>VIS-EGKR-GEO-S26-TASK-956-P010</x:v>
      </x:c>
      <x:c r="B448" s="30" t="str">
        <x:v>География</x:v>
      </x:c>
      <x:c r="C448" s="30"/>
      <x:c r="D448" s="30" t="str">
        <x:v>956</x:v>
      </x:c>
      <x:c r="E448" s="87" t="str">
        <x:v>TASK</x:v>
      </x:c>
      <x:c r="F448" s="30" t="str">
        <x:v>ЕГКР - ГЕО 956 (2).pdf</x:v>
      </x:c>
      <x:c r="G448" s="87" t="str">
        <x:v>10</x:v>
      </x:c>
      <x:c r="H448" s="87" t="str">
        <x:v>v1.07</x:v>
      </x:c>
      <x:c r="I448" s="87" t="str">
        <x:v>3</x:v>
      </x:c>
      <x:c r="J448" s="30" t="str">
        <x:v>VIS_ID</x:v>
      </x:c>
      <x:c r="K448" s="30" t="str">
        <x:v>EGKR-S26-GEO-956-27, EGKR-S26-GEO-956-28, EGKR-S26-GEO-956-29</x:v>
      </x:c>
      <x:c r="L448" s="87" t="str">
        <x:v>CROP_VERIFIED</x:v>
      </x:c>
      <x:c r="M448" s="87" t="str">
        <x:v>ORIGINAL_PACKAGE</x:v>
      </x:c>
      <x:c r="N448" s="87" t="str">
        <x:v>pages/VIS-EGKR-GEO-S26-TASK-956-P010.png</x:v>
      </x:c>
      <x:c r="O448" s="87" t="str">
        <x:v>thumbnails/VIS-EGKR-GEO-S26-TASK-956-P010.jpg</x:v>
      </x:c>
      <x:c r="P448" s="87" t="str">
        <x:v>b91407e633b6a069a92fd2a5cd8ac883a347a71655bbdb40e3cb5890a7d2586c</x:v>
      </x:c>
      <x:c r="Q448" s="30" t="str">
        <x:v>incoming/raw/recovery-drop-01/geography_egkr_spring_visual_assets_v107(1).zip!/pages/VIS-EGKR-GEO-S26-TASK-956-P010.png</x:v>
      </x:c>
      <x:c r="R448" s="30" t="str">
        <x:v>MATCHED_ASSET</x:v>
      </x:c>
      <x:c r="S448" t="e">
        <x:f>HYPERLINK("visual_gallery/index.html#"&amp;A448,"Галерея")</x:f>
      </x:c>
    </x:row>
    <x:row r="449">
      <x:c r="A449" s="87" t="str">
        <x:v>VIS-EGKR-HIS-S26-ANSWERDOC-P001</x:v>
      </x:c>
      <x:c r="B449" s="30" t="str">
        <x:v>История</x:v>
      </x:c>
      <x:c r="C449" s="30"/>
      <x:c r="D449" s="30" t="str">
        <x:v>954–956</x:v>
      </x:c>
      <x:c r="E449" s="87" t="str">
        <x:v>SECONDARY_ANSWER_SOURCE</x:v>
      </x:c>
      <x:c r="F449" s="30" t="str">
        <x:v>Ответы история (1).docx</x:v>
      </x:c>
      <x:c r="G449" s="87" t="str">
        <x:v>1</x:v>
      </x:c>
      <x:c r="H449" s="87" t="str">
        <x:v>v1.06</x:v>
      </x:c>
      <x:c r="I449" s="87" t="str">
        <x:v>29</x:v>
      </x:c>
      <x:c r="J449" s="30" t="str">
        <x:v>VIS_KEY / MODEL</x:v>
      </x:c>
      <x:c r="K449" s="30" t="str">
        <x:v>EGKR-S26-HIS-954-01, EGKR-S26-HIS-954-02, EGKR-S26-HIS-954-03, EGKR-S26-HIS-954-04, EGKR-S26-HIS-954-05, EGKR-S26-HIS-954-06, EGKR-S26-HIS-954-07, EGKR-S26-HIS-954-08…</x:v>
      </x:c>
      <x:c r="L449" s="87" t="str">
        <x:v>CROP_VERIFIED</x:v>
      </x:c>
      <x:c r="M449" s="87" t="str">
        <x:v>ORIGINAL_PACKAGE</x:v>
      </x:c>
      <x:c r="N449" s="87" t="str">
        <x:v>pages/VIS-EGKR-HIS-S26-ANSWERDOC-P001.png</x:v>
      </x:c>
      <x:c r="O449" s="87" t="str">
        <x:v>thumbnails/VIS-EGKR-HIS-S26-ANSWERDOC-P001.jpg</x:v>
      </x:c>
      <x:c r="P449" s="87" t="str">
        <x:v>c8f71f461195e040abbcb3f23d5f02eb0b1473399c4962514bb1793e88abb879</x:v>
      </x:c>
      <x:c r="Q449" s="30" t="str">
        <x:v>incoming/raw/recovery-drop-01/history_egkr_spring_visual_assets_v106.zip!/pages/VIS-EGKR-HIS-S26-ANSWERDOC-P001.png</x:v>
      </x:c>
      <x:c r="R449" s="30" t="str">
        <x:v>MATCHED_ASSET</x:v>
      </x:c>
      <x:c r="S449" t="e">
        <x:f>HYPERLINK("visual_gallery/index.html#"&amp;A449,"Галерея")</x:f>
      </x:c>
    </x:row>
    <x:row r="450">
      <x:c r="A450" s="87" t="str">
        <x:v>VIS-EGKR-HIS-S26-ANSWERDOC-P002</x:v>
      </x:c>
      <x:c r="B450" s="30" t="str">
        <x:v>История</x:v>
      </x:c>
      <x:c r="C450" s="30"/>
      <x:c r="D450" s="30" t="str">
        <x:v>954–956</x:v>
      </x:c>
      <x:c r="E450" s="87" t="str">
        <x:v>SECONDARY_ANSWER_SOURCE</x:v>
      </x:c>
      <x:c r="F450" s="30" t="str">
        <x:v>Ответы история (1).docx</x:v>
      </x:c>
      <x:c r="G450" s="87" t="str">
        <x:v>2</x:v>
      </x:c>
      <x:c r="H450" s="87" t="str">
        <x:v>v1.06</x:v>
      </x:c>
      <x:c r="I450" s="87" t="str">
        <x:v>29</x:v>
      </x:c>
      <x:c r="J450" s="30" t="str">
        <x:v>VIS_KEY / MODEL</x:v>
      </x:c>
      <x:c r="K450" s="30" t="str">
        <x:v>EGKR-S26-HIS-955-01, EGKR-S26-HIS-955-02, EGKR-S26-HIS-955-03, EGKR-S26-HIS-955-04, EGKR-S26-HIS-955-05, EGKR-S26-HIS-955-06, EGKR-S26-HIS-955-07, EGKR-S26-HIS-955-08…</x:v>
      </x:c>
      <x:c r="L450" s="87" t="str">
        <x:v>CROP_VERIFIED</x:v>
      </x:c>
      <x:c r="M450" s="87" t="str">
        <x:v>ORIGINAL_PACKAGE</x:v>
      </x:c>
      <x:c r="N450" s="87" t="str">
        <x:v>pages/VIS-EGKR-HIS-S26-ANSWERDOC-P002.png</x:v>
      </x:c>
      <x:c r="O450" s="87" t="str">
        <x:v>thumbnails/VIS-EGKR-HIS-S26-ANSWERDOC-P002.jpg</x:v>
      </x:c>
      <x:c r="P450" s="87" t="str">
        <x:v>e84aa64b466785fde95d384b426fe473700dbc567a0a48e6c45d0e9d100d8384</x:v>
      </x:c>
      <x:c r="Q450" s="30" t="str">
        <x:v>incoming/raw/recovery-drop-01/history_egkr_spring_visual_assets_v106.zip!/pages/VIS-EGKR-HIS-S26-ANSWERDOC-P002.png</x:v>
      </x:c>
      <x:c r="R450" s="30" t="str">
        <x:v>MATCHED_ASSET</x:v>
      </x:c>
      <x:c r="S450" t="e">
        <x:f>HYPERLINK("visual_gallery/index.html#"&amp;A450,"Галерея")</x:f>
      </x:c>
    </x:row>
    <x:row r="451">
      <x:c r="A451" s="87" t="str">
        <x:v>VIS-EGKR-HIS-S26-TASK-954-P001</x:v>
      </x:c>
      <x:c r="B451" s="30" t="str">
        <x:v>История</x:v>
      </x:c>
      <x:c r="C451" s="30"/>
      <x:c r="D451" s="30" t="str">
        <x:v>954</x:v>
      </x:c>
      <x:c r="E451" s="87" t="str">
        <x:v>TASK</x:v>
      </x:c>
      <x:c r="F451" s="30" t="str">
        <x:v>954 (1).pdf</x:v>
      </x:c>
      <x:c r="G451" s="87" t="str">
        <x:v>1</x:v>
      </x:c>
      <x:c r="H451" s="87" t="str">
        <x:v>v1.06</x:v>
      </x:c>
      <x:c r="I451" s="87" t="str">
        <x:v>2</x:v>
      </x:c>
      <x:c r="J451" s="30" t="str">
        <x:v>VIS_ID</x:v>
      </x:c>
      <x:c r="K451" s="30" t="str">
        <x:v>EGKR-S26-HIS-954-01, EGKR-S26-HIS-954-02</x:v>
      </x:c>
      <x:c r="L451" s="87" t="str">
        <x:v>CROP_VERIFIED</x:v>
      </x:c>
      <x:c r="M451" s="87" t="str">
        <x:v>ORIGINAL_PACKAGE</x:v>
      </x:c>
      <x:c r="N451" s="87" t="str">
        <x:v>pages/VIS-EGKR-HIS-S26-TASK-954-P001.png</x:v>
      </x:c>
      <x:c r="O451" s="87" t="str">
        <x:v>thumbnails/VIS-EGKR-HIS-S26-TASK-954-P001.jpg</x:v>
      </x:c>
      <x:c r="P451" s="87" t="str">
        <x:v>358ed599d6b45b8a5831216785bace1460a5ee5e82412fe09921090a3b40692f</x:v>
      </x:c>
      <x:c r="Q451" s="30" t="str">
        <x:v>incoming/raw/recovery-drop-01/history_egkr_spring_visual_assets_v106.zip!/pages/VIS-EGKR-HIS-S26-TASK-954-P001.png</x:v>
      </x:c>
      <x:c r="R451" s="30" t="str">
        <x:v>MATCHED_ASSET</x:v>
      </x:c>
      <x:c r="S451" t="e">
        <x:f>HYPERLINK("visual_gallery/index.html#"&amp;A451,"Галерея")</x:f>
      </x:c>
    </x:row>
    <x:row r="452">
      <x:c r="A452" s="87" t="str">
        <x:v>VIS-EGKR-HIS-S26-TASK-954-P002</x:v>
      </x:c>
      <x:c r="B452" s="30" t="str">
        <x:v>История</x:v>
      </x:c>
      <x:c r="C452" s="30"/>
      <x:c r="D452" s="30" t="str">
        <x:v>954</x:v>
      </x:c>
      <x:c r="E452" s="87" t="str">
        <x:v>TASK</x:v>
      </x:c>
      <x:c r="F452" s="30" t="str">
        <x:v>954 (1).pdf</x:v>
      </x:c>
      <x:c r="G452" s="87" t="str">
        <x:v>2</x:v>
      </x:c>
      <x:c r="H452" s="87" t="str">
        <x:v>v1.06</x:v>
      </x:c>
      <x:c r="I452" s="87" t="str">
        <x:v>2</x:v>
      </x:c>
      <x:c r="J452" s="30" t="str">
        <x:v>VIS_ID</x:v>
      </x:c>
      <x:c r="K452" s="30" t="str">
        <x:v>EGKR-S26-HIS-954-03, EGKR-S26-HIS-954-04</x:v>
      </x:c>
      <x:c r="L452" s="87" t="str">
        <x:v>CROP_VERIFIED</x:v>
      </x:c>
      <x:c r="M452" s="87" t="str">
        <x:v>ORIGINAL_PACKAGE</x:v>
      </x:c>
      <x:c r="N452" s="87" t="str">
        <x:v>pages/VIS-EGKR-HIS-S26-TASK-954-P002.png</x:v>
      </x:c>
      <x:c r="O452" s="87" t="str">
        <x:v>thumbnails/VIS-EGKR-HIS-S26-TASK-954-P002.jpg</x:v>
      </x:c>
      <x:c r="P452" s="87" t="str">
        <x:v>cee914288764603a9ddc2e1e8aa5ff80a0f9a6e998f1e0de7b1f4948cf9c3af1</x:v>
      </x:c>
      <x:c r="Q452" s="30" t="str">
        <x:v>incoming/raw/recovery-drop-01/history_egkr_spring_visual_assets_v106.zip!/pages/VIS-EGKR-HIS-S26-TASK-954-P002.png</x:v>
      </x:c>
      <x:c r="R452" s="30" t="str">
        <x:v>MATCHED_ASSET</x:v>
      </x:c>
      <x:c r="S452" t="e">
        <x:f>HYPERLINK("visual_gallery/index.html#"&amp;A452,"Галерея")</x:f>
      </x:c>
    </x:row>
    <x:row r="453">
      <x:c r="A453" s="87" t="str">
        <x:v>VIS-EGKR-HIS-S26-TASK-954-P003</x:v>
      </x:c>
      <x:c r="B453" s="30" t="str">
        <x:v>История</x:v>
      </x:c>
      <x:c r="C453" s="30"/>
      <x:c r="D453" s="30" t="str">
        <x:v>954</x:v>
      </x:c>
      <x:c r="E453" s="87" t="str">
        <x:v>TASK</x:v>
      </x:c>
      <x:c r="F453" s="30" t="str">
        <x:v>954 (1).pdf</x:v>
      </x:c>
      <x:c r="G453" s="87" t="str">
        <x:v>3</x:v>
      </x:c>
      <x:c r="H453" s="87" t="str">
        <x:v>v1.06</x:v>
      </x:c>
      <x:c r="I453" s="87" t="str">
        <x:v>2</x:v>
      </x:c>
      <x:c r="J453" s="30" t="str">
        <x:v>VIS_ID</x:v>
      </x:c>
      <x:c r="K453" s="30" t="str">
        <x:v>EGKR-S26-HIS-954-05, EGKR-S26-HIS-954-06</x:v>
      </x:c>
      <x:c r="L453" s="87" t="str">
        <x:v>CROP_VERIFIED</x:v>
      </x:c>
      <x:c r="M453" s="87" t="str">
        <x:v>ORIGINAL_PACKAGE</x:v>
      </x:c>
      <x:c r="N453" s="87" t="str">
        <x:v>pages/VIS-EGKR-HIS-S26-TASK-954-P003.png</x:v>
      </x:c>
      <x:c r="O453" s="87" t="str">
        <x:v>thumbnails/VIS-EGKR-HIS-S26-TASK-954-P003.jpg</x:v>
      </x:c>
      <x:c r="P453" s="87" t="str">
        <x:v>7bf53df43dd9890e9824ab9a85e5a9f67e18aac1dd20d773b6e921ddbe040ef8</x:v>
      </x:c>
      <x:c r="Q453" s="30" t="str">
        <x:v>incoming/raw/recovery-drop-01/history_egkr_spring_visual_assets_v106.zip!/pages/VIS-EGKR-HIS-S26-TASK-954-P003.png</x:v>
      </x:c>
      <x:c r="R453" s="30" t="str">
        <x:v>MATCHED_ASSET</x:v>
      </x:c>
      <x:c r="S453" t="e">
        <x:f>HYPERLINK("visual_gallery/index.html#"&amp;A453,"Галерея")</x:f>
      </x:c>
    </x:row>
    <x:row r="454">
      <x:c r="A454" s="87" t="str">
        <x:v>VIS-EGKR-HIS-S26-TASK-954-P004</x:v>
      </x:c>
      <x:c r="B454" s="30" t="str">
        <x:v>История</x:v>
      </x:c>
      <x:c r="C454" s="30"/>
      <x:c r="D454" s="30" t="str">
        <x:v>954</x:v>
      </x:c>
      <x:c r="E454" s="87" t="str">
        <x:v>TASK</x:v>
      </x:c>
      <x:c r="F454" s="30" t="str">
        <x:v>954 (1).pdf</x:v>
      </x:c>
      <x:c r="G454" s="87" t="str">
        <x:v>4</x:v>
      </x:c>
      <x:c r="H454" s="87" t="str">
        <x:v>v1.06</x:v>
      </x:c>
      <x:c r="I454" s="87" t="str">
        <x:v>2</x:v>
      </x:c>
      <x:c r="J454" s="30" t="str">
        <x:v>VIS_ID</x:v>
      </x:c>
      <x:c r="K454" s="30" t="str">
        <x:v>EGKR-S26-HIS-954-07, EGKR-S26-HIS-954-08</x:v>
      </x:c>
      <x:c r="L454" s="87" t="str">
        <x:v>CROP_VERIFIED</x:v>
      </x:c>
      <x:c r="M454" s="87" t="str">
        <x:v>ORIGINAL_PACKAGE</x:v>
      </x:c>
      <x:c r="N454" s="87" t="str">
        <x:v>pages/VIS-EGKR-HIS-S26-TASK-954-P004.png</x:v>
      </x:c>
      <x:c r="O454" s="87" t="str">
        <x:v>thumbnails/VIS-EGKR-HIS-S26-TASK-954-P004.jpg</x:v>
      </x:c>
      <x:c r="P454" s="87" t="str">
        <x:v>a65ab03a8dce413367fa1e66dce3ed9a8c852f9a93fcea5a1421d19afe27c49e</x:v>
      </x:c>
      <x:c r="Q454" s="30" t="str">
        <x:v>incoming/raw/recovery-drop-01/history_egkr_spring_visual_assets_v106.zip!/pages/VIS-EGKR-HIS-S26-TASK-954-P004.png</x:v>
      </x:c>
      <x:c r="R454" s="30" t="str">
        <x:v>MATCHED_ASSET</x:v>
      </x:c>
      <x:c r="S454" t="e">
        <x:f>HYPERLINK("visual_gallery/index.html#"&amp;A454,"Галерея")</x:f>
      </x:c>
    </x:row>
    <x:row r="455">
      <x:c r="A455" s="87" t="str">
        <x:v>VIS-EGKR-HIS-S26-TASK-954-P005</x:v>
      </x:c>
      <x:c r="B455" s="30" t="str">
        <x:v>История</x:v>
      </x:c>
      <x:c r="C455" s="30"/>
      <x:c r="D455" s="30" t="str">
        <x:v>954</x:v>
      </x:c>
      <x:c r="E455" s="87" t="str">
        <x:v>TASK</x:v>
      </x:c>
      <x:c r="F455" s="30" t="str">
        <x:v>954 (1).pdf</x:v>
      </x:c>
      <x:c r="G455" s="87" t="str">
        <x:v>5</x:v>
      </x:c>
      <x:c r="H455" s="87" t="str">
        <x:v>v1.06</x:v>
      </x:c>
      <x:c r="I455" s="87" t="str">
        <x:v>4</x:v>
      </x:c>
      <x:c r="J455" s="30" t="str">
        <x:v>VIS_ID</x:v>
      </x:c>
      <x:c r="K455" s="30" t="str">
        <x:v>EGKR-S26-HIS-954-09, EGKR-S26-HIS-954-10, EGKR-S26-HIS-954-11, EGKR-S26-HIS-954-12</x:v>
      </x:c>
      <x:c r="L455" s="87" t="str">
        <x:v>CROP_VERIFIED</x:v>
      </x:c>
      <x:c r="M455" s="87" t="str">
        <x:v>ORIGINAL_PACKAGE</x:v>
      </x:c>
      <x:c r="N455" s="87" t="str">
        <x:v>pages/VIS-EGKR-HIS-S26-TASK-954-P005.png</x:v>
      </x:c>
      <x:c r="O455" s="87" t="str">
        <x:v>thumbnails/VIS-EGKR-HIS-S26-TASK-954-P005.jpg</x:v>
      </x:c>
      <x:c r="P455" s="87" t="str">
        <x:v>e7b928f8d1e31bb8da71b6acc1f1ba9526784fd8576215f7cabb552aa4fc4e6a</x:v>
      </x:c>
      <x:c r="Q455" s="30" t="str">
        <x:v>incoming/raw/recovery-drop-01/history_egkr_spring_visual_assets_v106.zip!/pages/VIS-EGKR-HIS-S26-TASK-954-P005.png</x:v>
      </x:c>
      <x:c r="R455" s="30" t="str">
        <x:v>MATCHED_ASSET</x:v>
      </x:c>
      <x:c r="S455" t="e">
        <x:f>HYPERLINK("visual_gallery/index.html#"&amp;A455,"Галерея")</x:f>
      </x:c>
    </x:row>
    <x:row r="456">
      <x:c r="A456" s="87" t="str">
        <x:v>VIS-EGKR-HIS-S26-TASK-954-P006</x:v>
      </x:c>
      <x:c r="B456" s="30" t="str">
        <x:v>История</x:v>
      </x:c>
      <x:c r="C456" s="30"/>
      <x:c r="D456" s="30" t="str">
        <x:v>954</x:v>
      </x:c>
      <x:c r="E456" s="87" t="str">
        <x:v>TASK</x:v>
      </x:c>
      <x:c r="F456" s="30" t="str">
        <x:v>954 (1).pdf</x:v>
      </x:c>
      <x:c r="G456" s="87" t="str">
        <x:v>6</x:v>
      </x:c>
      <x:c r="H456" s="87" t="str">
        <x:v>v1.06</x:v>
      </x:c>
      <x:c r="I456" s="87" t="str">
        <x:v>2</x:v>
      </x:c>
      <x:c r="J456" s="30" t="str">
        <x:v>VIS_ID</x:v>
      </x:c>
      <x:c r="K456" s="30" t="str">
        <x:v>EGKR-S26-HIS-954-13, EGKR-S26-HIS-954-14</x:v>
      </x:c>
      <x:c r="L456" s="87" t="str">
        <x:v>CROP_VERIFIED</x:v>
      </x:c>
      <x:c r="M456" s="87" t="str">
        <x:v>ORIGINAL_PACKAGE</x:v>
      </x:c>
      <x:c r="N456" s="87" t="str">
        <x:v>pages/VIS-EGKR-HIS-S26-TASK-954-P006.png</x:v>
      </x:c>
      <x:c r="O456" s="87" t="str">
        <x:v>thumbnails/VIS-EGKR-HIS-S26-TASK-954-P006.jpg</x:v>
      </x:c>
      <x:c r="P456" s="87" t="str">
        <x:v>6986a070753ada4fb0492f08d0cff53d9bdcfca0784502897ac2f4420b668651</x:v>
      </x:c>
      <x:c r="Q456" s="30" t="str">
        <x:v>incoming/raw/recovery-drop-01/history_egkr_spring_visual_assets_v106.zip!/pages/VIS-EGKR-HIS-S26-TASK-954-P006.png</x:v>
      </x:c>
      <x:c r="R456" s="30" t="str">
        <x:v>MATCHED_ASSET</x:v>
      </x:c>
      <x:c r="S456" t="e">
        <x:f>HYPERLINK("visual_gallery/index.html#"&amp;A456,"Галерея")</x:f>
      </x:c>
    </x:row>
    <x:row r="457">
      <x:c r="A457" s="87" t="str">
        <x:v>VIS-EGKR-HIS-S26-TASK-954-P007</x:v>
      </x:c>
      <x:c r="B457" s="30" t="str">
        <x:v>История</x:v>
      </x:c>
      <x:c r="C457" s="30"/>
      <x:c r="D457" s="30" t="str">
        <x:v>954</x:v>
      </x:c>
      <x:c r="E457" s="87" t="str">
        <x:v>TASK</x:v>
      </x:c>
      <x:c r="F457" s="30" t="str">
        <x:v>954 (1).pdf</x:v>
      </x:c>
      <x:c r="G457" s="87" t="str">
        <x:v>7</x:v>
      </x:c>
      <x:c r="H457" s="87" t="str">
        <x:v>v1.06</x:v>
      </x:c>
      <x:c r="I457" s="87" t="str">
        <x:v>2</x:v>
      </x:c>
      <x:c r="J457" s="30" t="str">
        <x:v>VIS_ID</x:v>
      </x:c>
      <x:c r="K457" s="30" t="str">
        <x:v>EGKR-S26-HIS-954-15, EGKR-S26-HIS-954-16</x:v>
      </x:c>
      <x:c r="L457" s="87" t="str">
        <x:v>CROP_VERIFIED</x:v>
      </x:c>
      <x:c r="M457" s="87" t="str">
        <x:v>ORIGINAL_PACKAGE</x:v>
      </x:c>
      <x:c r="N457" s="87" t="str">
        <x:v>pages/VIS-EGKR-HIS-S26-TASK-954-P007.png</x:v>
      </x:c>
      <x:c r="O457" s="87" t="str">
        <x:v>thumbnails/VIS-EGKR-HIS-S26-TASK-954-P007.jpg</x:v>
      </x:c>
      <x:c r="P457" s="87" t="str">
        <x:v>e7bc368bea65b63dcaefcf8a77ca5b6da067399e5cee363ad2d8ae4c78a046e2</x:v>
      </x:c>
      <x:c r="Q457" s="30" t="str">
        <x:v>incoming/raw/recovery-drop-01/history_egkr_spring_visual_assets_v106.zip!/pages/VIS-EGKR-HIS-S26-TASK-954-P007.png</x:v>
      </x:c>
      <x:c r="R457" s="30" t="str">
        <x:v>MATCHED_ASSET</x:v>
      </x:c>
      <x:c r="S457" t="e">
        <x:f>HYPERLINK("visual_gallery/index.html#"&amp;A457,"Галерея")</x:f>
      </x:c>
    </x:row>
    <x:row r="458">
      <x:c r="A458" s="87" t="str">
        <x:v>VIS-EGKR-HIS-S26-TASK-954-P008</x:v>
      </x:c>
      <x:c r="B458" s="30" t="str">
        <x:v>История</x:v>
      </x:c>
      <x:c r="C458" s="30"/>
      <x:c r="D458" s="30" t="str">
        <x:v>954</x:v>
      </x:c>
      <x:c r="E458" s="87" t="str">
        <x:v>TASK</x:v>
      </x:c>
      <x:c r="F458" s="30" t="str">
        <x:v>954 (1).pdf</x:v>
      </x:c>
      <x:c r="G458" s="87" t="str">
        <x:v>8</x:v>
      </x:c>
      <x:c r="H458" s="87" t="str">
        <x:v>v1.06</x:v>
      </x:c>
      <x:c r="I458" s="87" t="str">
        <x:v>3</x:v>
      </x:c>
      <x:c r="J458" s="30" t="str">
        <x:v>VIS_ID</x:v>
      </x:c>
      <x:c r="K458" s="30" t="str">
        <x:v>EGKR-S26-HIS-954-17, EGKR-S26-HIS-954-18, EGKR-S26-HIS-954-19</x:v>
      </x:c>
      <x:c r="L458" s="87" t="str">
        <x:v>CROP_VERIFIED</x:v>
      </x:c>
      <x:c r="M458" s="87" t="str">
        <x:v>ORIGINAL_PACKAGE</x:v>
      </x:c>
      <x:c r="N458" s="87" t="str">
        <x:v>pages/VIS-EGKR-HIS-S26-TASK-954-P008.png</x:v>
      </x:c>
      <x:c r="O458" s="87" t="str">
        <x:v>thumbnails/VIS-EGKR-HIS-S26-TASK-954-P008.jpg</x:v>
      </x:c>
      <x:c r="P458" s="87" t="str">
        <x:v>68c971ea3477eaebca66ff567a98b8f1642f67ef03df0197173a73dc63ac5105</x:v>
      </x:c>
      <x:c r="Q458" s="30" t="str">
        <x:v>incoming/raw/recovery-drop-01/history_egkr_spring_visual_assets_v106.zip!/pages/VIS-EGKR-HIS-S26-TASK-954-P008.png</x:v>
      </x:c>
      <x:c r="R458" s="30" t="str">
        <x:v>MATCHED_ASSET</x:v>
      </x:c>
      <x:c r="S458" t="e">
        <x:f>HYPERLINK("visual_gallery/index.html#"&amp;A458,"Галерея")</x:f>
      </x:c>
    </x:row>
    <x:row r="459">
      <x:c r="A459" s="87" t="str">
        <x:v>VIS-EGKR-HIS-S26-TASK-954-P009</x:v>
      </x:c>
      <x:c r="B459" s="30" t="str">
        <x:v>История</x:v>
      </x:c>
      <x:c r="C459" s="30"/>
      <x:c r="D459" s="30" t="str">
        <x:v>954</x:v>
      </x:c>
      <x:c r="E459" s="87" t="str">
        <x:v>TASK</x:v>
      </x:c>
      <x:c r="F459" s="30" t="str">
        <x:v>954 (1).pdf</x:v>
      </x:c>
      <x:c r="G459" s="87" t="str">
        <x:v>9</x:v>
      </x:c>
      <x:c r="H459" s="87" t="str">
        <x:v>v1.06</x:v>
      </x:c>
      <x:c r="I459" s="87" t="str">
        <x:v>2</x:v>
      </x:c>
      <x:c r="J459" s="30" t="str">
        <x:v>VIS_ID</x:v>
      </x:c>
      <x:c r="K459" s="30" t="str">
        <x:v>EGKR-S26-HIS-954-20, EGKR-S26-HIS-954-21</x:v>
      </x:c>
      <x:c r="L459" s="87" t="str">
        <x:v>CROP_VERIFIED</x:v>
      </x:c>
      <x:c r="M459" s="87" t="str">
        <x:v>ORIGINAL_PACKAGE</x:v>
      </x:c>
      <x:c r="N459" s="87" t="str">
        <x:v>pages/VIS-EGKR-HIS-S26-TASK-954-P009.png</x:v>
      </x:c>
      <x:c r="O459" s="87" t="str">
        <x:v>thumbnails/VIS-EGKR-HIS-S26-TASK-954-P009.jpg</x:v>
      </x:c>
      <x:c r="P459" s="87" t="str">
        <x:v>5cac677c51dda6f7430dd09ae591ff6fc911809e060df210949b82f5bc248594</x:v>
      </x:c>
      <x:c r="Q459" s="30" t="str">
        <x:v>incoming/raw/recovery-drop-01/history_egkr_spring_visual_assets_v106.zip!/pages/VIS-EGKR-HIS-S26-TASK-954-P009.png</x:v>
      </x:c>
      <x:c r="R459" s="30" t="str">
        <x:v>MATCHED_ASSET</x:v>
      </x:c>
      <x:c r="S459" t="e">
        <x:f>HYPERLINK("visual_gallery/index.html#"&amp;A459,"Галерея")</x:f>
      </x:c>
    </x:row>
    <x:row r="460">
      <x:c r="A460" s="87" t="str">
        <x:v>VIS-EGKR-HIS-S26-TASK-955-P001</x:v>
      </x:c>
      <x:c r="B460" s="30" t="str">
        <x:v>История</x:v>
      </x:c>
      <x:c r="C460" s="30"/>
      <x:c r="D460" s="30" t="str">
        <x:v>955</x:v>
      </x:c>
      <x:c r="E460" s="87" t="str">
        <x:v>TASK</x:v>
      </x:c>
      <x:c r="F460" s="30" t="str">
        <x:v>955.pdf</x:v>
      </x:c>
      <x:c r="G460" s="87" t="str">
        <x:v>1</x:v>
      </x:c>
      <x:c r="H460" s="87" t="str">
        <x:v>v1.06</x:v>
      </x:c>
      <x:c r="I460" s="87" t="str">
        <x:v>2</x:v>
      </x:c>
      <x:c r="J460" s="30" t="str">
        <x:v>VIS_ID</x:v>
      </x:c>
      <x:c r="K460" s="30" t="str">
        <x:v>EGKR-S26-HIS-955-01, EGKR-S26-HIS-955-02</x:v>
      </x:c>
      <x:c r="L460" s="87" t="str">
        <x:v>CROP_VERIFIED</x:v>
      </x:c>
      <x:c r="M460" s="87" t="str">
        <x:v>ORIGINAL_PACKAGE</x:v>
      </x:c>
      <x:c r="N460" s="87" t="str">
        <x:v>pages/VIS-EGKR-HIS-S26-TASK-955-P001.png</x:v>
      </x:c>
      <x:c r="O460" s="87" t="str">
        <x:v>thumbnails/VIS-EGKR-HIS-S26-TASK-955-P001.jpg</x:v>
      </x:c>
      <x:c r="P460" s="87" t="str">
        <x:v>2dceb6c73ef680ec42d73b39e00a9fae5fb9de7717a0030297035659b22d1ea4</x:v>
      </x:c>
      <x:c r="Q460" s="30" t="str">
        <x:v>incoming/raw/recovery-drop-01/history_egkr_spring_visual_assets_v106.zip!/pages/VIS-EGKR-HIS-S26-TASK-955-P001.png</x:v>
      </x:c>
      <x:c r="R460" s="30" t="str">
        <x:v>MATCHED_ASSET</x:v>
      </x:c>
      <x:c r="S460" t="e">
        <x:f>HYPERLINK("visual_gallery/index.html#"&amp;A460,"Галерея")</x:f>
      </x:c>
    </x:row>
    <x:row r="461">
      <x:c r="A461" s="87" t="str">
        <x:v>VIS-EGKR-HIS-S26-TASK-955-P002</x:v>
      </x:c>
      <x:c r="B461" s="30" t="str">
        <x:v>История</x:v>
      </x:c>
      <x:c r="C461" s="30"/>
      <x:c r="D461" s="30" t="str">
        <x:v>955</x:v>
      </x:c>
      <x:c r="E461" s="87" t="str">
        <x:v>TASK</x:v>
      </x:c>
      <x:c r="F461" s="30" t="str">
        <x:v>955.pdf</x:v>
      </x:c>
      <x:c r="G461" s="87" t="str">
        <x:v>2</x:v>
      </x:c>
      <x:c r="H461" s="87" t="str">
        <x:v>v1.06</x:v>
      </x:c>
      <x:c r="I461" s="87" t="str">
        <x:v>2</x:v>
      </x:c>
      <x:c r="J461" s="30" t="str">
        <x:v>VIS_ID</x:v>
      </x:c>
      <x:c r="K461" s="30" t="str">
        <x:v>EGKR-S26-HIS-955-03, EGKR-S26-HIS-955-04</x:v>
      </x:c>
      <x:c r="L461" s="87" t="str">
        <x:v>CROP_VERIFIED</x:v>
      </x:c>
      <x:c r="M461" s="87" t="str">
        <x:v>ORIGINAL_PACKAGE</x:v>
      </x:c>
      <x:c r="N461" s="87" t="str">
        <x:v>pages/VIS-EGKR-HIS-S26-TASK-955-P002.png</x:v>
      </x:c>
      <x:c r="O461" s="87" t="str">
        <x:v>thumbnails/VIS-EGKR-HIS-S26-TASK-955-P002.jpg</x:v>
      </x:c>
      <x:c r="P461" s="87" t="str">
        <x:v>1364877a08413cf6dae64f414c0d6528fab63d41c7d122e2a651cd24bf2a7155</x:v>
      </x:c>
      <x:c r="Q461" s="30" t="str">
        <x:v>incoming/raw/recovery-drop-01/history_egkr_spring_visual_assets_v106.zip!/pages/VIS-EGKR-HIS-S26-TASK-955-P002.png</x:v>
      </x:c>
      <x:c r="R461" s="30" t="str">
        <x:v>MATCHED_ASSET</x:v>
      </x:c>
      <x:c r="S461" t="e">
        <x:f>HYPERLINK("visual_gallery/index.html#"&amp;A461,"Галерея")</x:f>
      </x:c>
    </x:row>
    <x:row r="462">
      <x:c r="A462" s="87" t="str">
        <x:v>VIS-EGKR-HIS-S26-TASK-955-P003</x:v>
      </x:c>
      <x:c r="B462" s="30" t="str">
        <x:v>История</x:v>
      </x:c>
      <x:c r="C462" s="30"/>
      <x:c r="D462" s="30" t="str">
        <x:v>955</x:v>
      </x:c>
      <x:c r="E462" s="87" t="str">
        <x:v>TASK</x:v>
      </x:c>
      <x:c r="F462" s="30" t="str">
        <x:v>955.pdf</x:v>
      </x:c>
      <x:c r="G462" s="87" t="str">
        <x:v>3</x:v>
      </x:c>
      <x:c r="H462" s="87" t="str">
        <x:v>v1.06</x:v>
      </x:c>
      <x:c r="I462" s="87" t="str">
        <x:v>2</x:v>
      </x:c>
      <x:c r="J462" s="30" t="str">
        <x:v>VIS_ID</x:v>
      </x:c>
      <x:c r="K462" s="30" t="str">
        <x:v>EGKR-S26-HIS-955-05, EGKR-S26-HIS-955-06</x:v>
      </x:c>
      <x:c r="L462" s="87" t="str">
        <x:v>CROP_VERIFIED</x:v>
      </x:c>
      <x:c r="M462" s="87" t="str">
        <x:v>ORIGINAL_PACKAGE</x:v>
      </x:c>
      <x:c r="N462" s="87" t="str">
        <x:v>pages/VIS-EGKR-HIS-S26-TASK-955-P003.png</x:v>
      </x:c>
      <x:c r="O462" s="87" t="str">
        <x:v>thumbnails/VIS-EGKR-HIS-S26-TASK-955-P003.jpg</x:v>
      </x:c>
      <x:c r="P462" s="87" t="str">
        <x:v>925f348e7e53cf7d6667fe1a0c24a563389ee552d569c90281178083eab09740</x:v>
      </x:c>
      <x:c r="Q462" s="30" t="str">
        <x:v>incoming/raw/recovery-drop-01/history_egkr_spring_visual_assets_v106.zip!/pages/VIS-EGKR-HIS-S26-TASK-955-P003.png</x:v>
      </x:c>
      <x:c r="R462" s="30" t="str">
        <x:v>MATCHED_ASSET</x:v>
      </x:c>
      <x:c r="S462" t="e">
        <x:f>HYPERLINK("visual_gallery/index.html#"&amp;A462,"Галерея")</x:f>
      </x:c>
    </x:row>
    <x:row r="463">
      <x:c r="A463" s="87" t="str">
        <x:v>VIS-EGKR-HIS-S26-TASK-955-P004</x:v>
      </x:c>
      <x:c r="B463" s="30" t="str">
        <x:v>История</x:v>
      </x:c>
      <x:c r="C463" s="30"/>
      <x:c r="D463" s="30" t="str">
        <x:v>955</x:v>
      </x:c>
      <x:c r="E463" s="87" t="str">
        <x:v>TASK</x:v>
      </x:c>
      <x:c r="F463" s="30" t="str">
        <x:v>955.pdf</x:v>
      </x:c>
      <x:c r="G463" s="87" t="str">
        <x:v>4</x:v>
      </x:c>
      <x:c r="H463" s="87" t="str">
        <x:v>v1.06</x:v>
      </x:c>
      <x:c r="I463" s="87" t="str">
        <x:v>2</x:v>
      </x:c>
      <x:c r="J463" s="30" t="str">
        <x:v>VIS_ID</x:v>
      </x:c>
      <x:c r="K463" s="30" t="str">
        <x:v>EGKR-S26-HIS-955-07, EGKR-S26-HIS-955-08</x:v>
      </x:c>
      <x:c r="L463" s="87" t="str">
        <x:v>CROP_VERIFIED</x:v>
      </x:c>
      <x:c r="M463" s="87" t="str">
        <x:v>ORIGINAL_PACKAGE</x:v>
      </x:c>
      <x:c r="N463" s="87" t="str">
        <x:v>pages/VIS-EGKR-HIS-S26-TASK-955-P004.png</x:v>
      </x:c>
      <x:c r="O463" s="87" t="str">
        <x:v>thumbnails/VIS-EGKR-HIS-S26-TASK-955-P004.jpg</x:v>
      </x:c>
      <x:c r="P463" s="87" t="str">
        <x:v>410ffec9613f54fc1e3595e9d17db6fe7013567fb6d0271092c569017d9dc67d</x:v>
      </x:c>
      <x:c r="Q463" s="30" t="str">
        <x:v>incoming/raw/recovery-drop-01/history_egkr_spring_visual_assets_v106.zip!/pages/VIS-EGKR-HIS-S26-TASK-955-P004.png</x:v>
      </x:c>
      <x:c r="R463" s="30" t="str">
        <x:v>MATCHED_ASSET</x:v>
      </x:c>
      <x:c r="S463" t="e">
        <x:f>HYPERLINK("visual_gallery/index.html#"&amp;A463,"Галерея")</x:f>
      </x:c>
    </x:row>
    <x:row r="464">
      <x:c r="A464" s="87" t="str">
        <x:v>VIS-EGKR-HIS-S26-TASK-955-P005</x:v>
      </x:c>
      <x:c r="B464" s="30" t="str">
        <x:v>История</x:v>
      </x:c>
      <x:c r="C464" s="30"/>
      <x:c r="D464" s="30" t="str">
        <x:v>955</x:v>
      </x:c>
      <x:c r="E464" s="87" t="str">
        <x:v>TASK</x:v>
      </x:c>
      <x:c r="F464" s="30" t="str">
        <x:v>955.pdf</x:v>
      </x:c>
      <x:c r="G464" s="87" t="str">
        <x:v>5</x:v>
      </x:c>
      <x:c r="H464" s="87" t="str">
        <x:v>v1.06</x:v>
      </x:c>
      <x:c r="I464" s="87" t="str">
        <x:v>4</x:v>
      </x:c>
      <x:c r="J464" s="30" t="str">
        <x:v>VIS_ID</x:v>
      </x:c>
      <x:c r="K464" s="30" t="str">
        <x:v>EGKR-S26-HIS-955-09, EGKR-S26-HIS-955-10, EGKR-S26-HIS-955-11, EGKR-S26-HIS-955-12</x:v>
      </x:c>
      <x:c r="L464" s="87" t="str">
        <x:v>CROP_VERIFIED</x:v>
      </x:c>
      <x:c r="M464" s="87" t="str">
        <x:v>ORIGINAL_PACKAGE</x:v>
      </x:c>
      <x:c r="N464" s="87" t="str">
        <x:v>pages/VIS-EGKR-HIS-S26-TASK-955-P005.png</x:v>
      </x:c>
      <x:c r="O464" s="87" t="str">
        <x:v>thumbnails/VIS-EGKR-HIS-S26-TASK-955-P005.jpg</x:v>
      </x:c>
      <x:c r="P464" s="87" t="str">
        <x:v>e1314af3667984f7214db12c2481d7bd36e775cdbfed267bb9f914c12faddc0c</x:v>
      </x:c>
      <x:c r="Q464" s="30" t="str">
        <x:v>incoming/raw/recovery-drop-01/history_egkr_spring_visual_assets_v106.zip!/pages/VIS-EGKR-HIS-S26-TASK-955-P005.png</x:v>
      </x:c>
      <x:c r="R464" s="30" t="str">
        <x:v>MATCHED_ASSET</x:v>
      </x:c>
      <x:c r="S464" t="e">
        <x:f>HYPERLINK("visual_gallery/index.html#"&amp;A464,"Галерея")</x:f>
      </x:c>
    </x:row>
    <x:row r="465">
      <x:c r="A465" s="87" t="str">
        <x:v>VIS-EGKR-HIS-S26-TASK-955-P006</x:v>
      </x:c>
      <x:c r="B465" s="30" t="str">
        <x:v>История</x:v>
      </x:c>
      <x:c r="C465" s="30"/>
      <x:c r="D465" s="30" t="str">
        <x:v>955</x:v>
      </x:c>
      <x:c r="E465" s="87" t="str">
        <x:v>TASK</x:v>
      </x:c>
      <x:c r="F465" s="30" t="str">
        <x:v>955.pdf</x:v>
      </x:c>
      <x:c r="G465" s="87" t="str">
        <x:v>6</x:v>
      </x:c>
      <x:c r="H465" s="87" t="str">
        <x:v>v1.06</x:v>
      </x:c>
      <x:c r="I465" s="87" t="str">
        <x:v>2</x:v>
      </x:c>
      <x:c r="J465" s="30" t="str">
        <x:v>VIS_ID</x:v>
      </x:c>
      <x:c r="K465" s="30" t="str">
        <x:v>EGKR-S26-HIS-955-13, EGKR-S26-HIS-955-14</x:v>
      </x:c>
      <x:c r="L465" s="87" t="str">
        <x:v>CROP_VERIFIED</x:v>
      </x:c>
      <x:c r="M465" s="87" t="str">
        <x:v>ORIGINAL_PACKAGE</x:v>
      </x:c>
      <x:c r="N465" s="87" t="str">
        <x:v>pages/VIS-EGKR-HIS-S26-TASK-955-P006.png</x:v>
      </x:c>
      <x:c r="O465" s="87" t="str">
        <x:v>thumbnails/VIS-EGKR-HIS-S26-TASK-955-P006.jpg</x:v>
      </x:c>
      <x:c r="P465" s="87" t="str">
        <x:v>f671e3031a956ef35ca72aadf7008267ed962fd24b8f112836e9d44e4e7e6406</x:v>
      </x:c>
      <x:c r="Q465" s="30" t="str">
        <x:v>incoming/raw/recovery-drop-01/history_egkr_spring_visual_assets_v106.zip!/pages/VIS-EGKR-HIS-S26-TASK-955-P006.png</x:v>
      </x:c>
      <x:c r="R465" s="30" t="str">
        <x:v>MATCHED_ASSET</x:v>
      </x:c>
      <x:c r="S465" t="e">
        <x:f>HYPERLINK("visual_gallery/index.html#"&amp;A465,"Галерея")</x:f>
      </x:c>
    </x:row>
    <x:row r="466">
      <x:c r="A466" s="87" t="str">
        <x:v>VIS-EGKR-HIS-S26-TASK-955-P007</x:v>
      </x:c>
      <x:c r="B466" s="30" t="str">
        <x:v>История</x:v>
      </x:c>
      <x:c r="C466" s="30"/>
      <x:c r="D466" s="30" t="str">
        <x:v>955</x:v>
      </x:c>
      <x:c r="E466" s="87" t="str">
        <x:v>TASK</x:v>
      </x:c>
      <x:c r="F466" s="30" t="str">
        <x:v>955.pdf</x:v>
      </x:c>
      <x:c r="G466" s="87" t="str">
        <x:v>7</x:v>
      </x:c>
      <x:c r="H466" s="87" t="str">
        <x:v>v1.06</x:v>
      </x:c>
      <x:c r="I466" s="87" t="str">
        <x:v>2</x:v>
      </x:c>
      <x:c r="J466" s="30" t="str">
        <x:v>VIS_ID</x:v>
      </x:c>
      <x:c r="K466" s="30" t="str">
        <x:v>EGKR-S26-HIS-955-15, EGKR-S26-HIS-955-16</x:v>
      </x:c>
      <x:c r="L466" s="87" t="str">
        <x:v>CROP_VERIFIED</x:v>
      </x:c>
      <x:c r="M466" s="87" t="str">
        <x:v>ORIGINAL_PACKAGE</x:v>
      </x:c>
      <x:c r="N466" s="87" t="str">
        <x:v>pages/VIS-EGKR-HIS-S26-TASK-955-P007.png</x:v>
      </x:c>
      <x:c r="O466" s="87" t="str">
        <x:v>thumbnails/VIS-EGKR-HIS-S26-TASK-955-P007.jpg</x:v>
      </x:c>
      <x:c r="P466" s="87" t="str">
        <x:v>740b3eaa6432bbe94bd95aab1071a15fdd4f81b54fe6ad83a6060c1584f551dc</x:v>
      </x:c>
      <x:c r="Q466" s="30" t="str">
        <x:v>incoming/raw/recovery-drop-01/history_egkr_spring_visual_assets_v106.zip!/pages/VIS-EGKR-HIS-S26-TASK-955-P007.png</x:v>
      </x:c>
      <x:c r="R466" s="30" t="str">
        <x:v>MATCHED_ASSET</x:v>
      </x:c>
      <x:c r="S466" t="e">
        <x:f>HYPERLINK("visual_gallery/index.html#"&amp;A466,"Галерея")</x:f>
      </x:c>
    </x:row>
    <x:row r="467">
      <x:c r="A467" s="87" t="str">
        <x:v>VIS-EGKR-HIS-S26-TASK-955-P008</x:v>
      </x:c>
      <x:c r="B467" s="30" t="str">
        <x:v>История</x:v>
      </x:c>
      <x:c r="C467" s="30"/>
      <x:c r="D467" s="30" t="str">
        <x:v>955</x:v>
      </x:c>
      <x:c r="E467" s="87" t="str">
        <x:v>TASK</x:v>
      </x:c>
      <x:c r="F467" s="30" t="str">
        <x:v>955.pdf</x:v>
      </x:c>
      <x:c r="G467" s="87" t="str">
        <x:v>8</x:v>
      </x:c>
      <x:c r="H467" s="87" t="str">
        <x:v>v1.06</x:v>
      </x:c>
      <x:c r="I467" s="87" t="str">
        <x:v>3</x:v>
      </x:c>
      <x:c r="J467" s="30" t="str">
        <x:v>VIS_ID</x:v>
      </x:c>
      <x:c r="K467" s="30" t="str">
        <x:v>EGKR-S26-HIS-955-17, EGKR-S26-HIS-955-18, EGKR-S26-HIS-955-19</x:v>
      </x:c>
      <x:c r="L467" s="87" t="str">
        <x:v>CROP_VERIFIED</x:v>
      </x:c>
      <x:c r="M467" s="87" t="str">
        <x:v>ORIGINAL_PACKAGE</x:v>
      </x:c>
      <x:c r="N467" s="87" t="str">
        <x:v>pages/VIS-EGKR-HIS-S26-TASK-955-P008.png</x:v>
      </x:c>
      <x:c r="O467" s="87" t="str">
        <x:v>thumbnails/VIS-EGKR-HIS-S26-TASK-955-P008.jpg</x:v>
      </x:c>
      <x:c r="P467" s="87" t="str">
        <x:v>e984100408fe68ee5bf35367667fdfe39db2cb04dcd3f1528ef9e4667b07d9ef</x:v>
      </x:c>
      <x:c r="Q467" s="30" t="str">
        <x:v>incoming/raw/recovery-drop-01/history_egkr_spring_visual_assets_v106.zip!/pages/VIS-EGKR-HIS-S26-TASK-955-P008.png</x:v>
      </x:c>
      <x:c r="R467" s="30" t="str">
        <x:v>MATCHED_ASSET</x:v>
      </x:c>
      <x:c r="S467" t="e">
        <x:f>HYPERLINK("visual_gallery/index.html#"&amp;A467,"Галерея")</x:f>
      </x:c>
    </x:row>
    <x:row r="468">
      <x:c r="A468" s="87" t="str">
        <x:v>VIS-EGKR-HIS-S26-TASK-955-P009</x:v>
      </x:c>
      <x:c r="B468" s="30" t="str">
        <x:v>История</x:v>
      </x:c>
      <x:c r="C468" s="30"/>
      <x:c r="D468" s="30" t="str">
        <x:v>955</x:v>
      </x:c>
      <x:c r="E468" s="87" t="str">
        <x:v>TASK</x:v>
      </x:c>
      <x:c r="F468" s="30" t="str">
        <x:v>955.pdf</x:v>
      </x:c>
      <x:c r="G468" s="87" t="str">
        <x:v>9</x:v>
      </x:c>
      <x:c r="H468" s="87" t="str">
        <x:v>v1.06</x:v>
      </x:c>
      <x:c r="I468" s="87" t="str">
        <x:v>2</x:v>
      </x:c>
      <x:c r="J468" s="30" t="str">
        <x:v>VIS_ID</x:v>
      </x:c>
      <x:c r="K468" s="30" t="str">
        <x:v>EGKR-S26-HIS-955-20, EGKR-S26-HIS-955-21</x:v>
      </x:c>
      <x:c r="L468" s="87" t="str">
        <x:v>CROP_VERIFIED</x:v>
      </x:c>
      <x:c r="M468" s="87" t="str">
        <x:v>ORIGINAL_PACKAGE</x:v>
      </x:c>
      <x:c r="N468" s="87" t="str">
        <x:v>pages/VIS-EGKR-HIS-S26-TASK-955-P009.png</x:v>
      </x:c>
      <x:c r="O468" s="87" t="str">
        <x:v>thumbnails/VIS-EGKR-HIS-S26-TASK-955-P009.jpg</x:v>
      </x:c>
      <x:c r="P468" s="87" t="str">
        <x:v>98bbf8a47921296c9b67f68b715eeb7ce3a3a9d50b3ec838179dcf8ca0f61eeb</x:v>
      </x:c>
      <x:c r="Q468" s="30" t="str">
        <x:v>incoming/raw/recovery-drop-01/history_egkr_spring_visual_assets_v106.zip!/pages/VIS-EGKR-HIS-S26-TASK-955-P009.png</x:v>
      </x:c>
      <x:c r="R468" s="30" t="str">
        <x:v>MATCHED_ASSET</x:v>
      </x:c>
      <x:c r="S468" t="e">
        <x:f>HYPERLINK("visual_gallery/index.html#"&amp;A468,"Галерея")</x:f>
      </x:c>
    </x:row>
    <x:row r="469">
      <x:c r="A469" s="87" t="str">
        <x:v>VIS-EGKR-HIS-S26-TASK-956-P001</x:v>
      </x:c>
      <x:c r="B469" s="30" t="str">
        <x:v>История</x:v>
      </x:c>
      <x:c r="C469" s="30"/>
      <x:c r="D469" s="30" t="str">
        <x:v>956</x:v>
      </x:c>
      <x:c r="E469" s="87" t="str">
        <x:v>TASK</x:v>
      </x:c>
      <x:c r="F469" s="30" t="str">
        <x:v>956.pdf</x:v>
      </x:c>
      <x:c r="G469" s="87" t="str">
        <x:v>1</x:v>
      </x:c>
      <x:c r="H469" s="87" t="str">
        <x:v>v1.06</x:v>
      </x:c>
      <x:c r="I469" s="87" t="str">
        <x:v>2</x:v>
      </x:c>
      <x:c r="J469" s="30" t="str">
        <x:v>VIS_ID</x:v>
      </x:c>
      <x:c r="K469" s="30" t="str">
        <x:v>EGKR-S26-HIS-956-01, EGKR-S26-HIS-956-02</x:v>
      </x:c>
      <x:c r="L469" s="87" t="str">
        <x:v>CROP_VERIFIED</x:v>
      </x:c>
      <x:c r="M469" s="87" t="str">
        <x:v>ORIGINAL_PACKAGE</x:v>
      </x:c>
      <x:c r="N469" s="87" t="str">
        <x:v>pages/VIS-EGKR-HIS-S26-TASK-956-P001.png</x:v>
      </x:c>
      <x:c r="O469" s="87" t="str">
        <x:v>thumbnails/VIS-EGKR-HIS-S26-TASK-956-P001.jpg</x:v>
      </x:c>
      <x:c r="P469" s="87" t="str">
        <x:v>4b35282d37dd74702cd3627524911584efd55d678cca84b96dd0b5f19aa088cb</x:v>
      </x:c>
      <x:c r="Q469" s="30" t="str">
        <x:v>incoming/raw/recovery-drop-01/history_egkr_spring_visual_assets_v106.zip!/pages/VIS-EGKR-HIS-S26-TASK-956-P001.png</x:v>
      </x:c>
      <x:c r="R469" s="30" t="str">
        <x:v>MATCHED_ASSET</x:v>
      </x:c>
      <x:c r="S469" t="e">
        <x:f>HYPERLINK("visual_gallery/index.html#"&amp;A469,"Галерея")</x:f>
      </x:c>
    </x:row>
    <x:row r="470">
      <x:c r="A470" s="87" t="str">
        <x:v>VIS-EGKR-HIS-S26-TASK-956-P002</x:v>
      </x:c>
      <x:c r="B470" s="30" t="str">
        <x:v>История</x:v>
      </x:c>
      <x:c r="C470" s="30"/>
      <x:c r="D470" s="30" t="str">
        <x:v>956</x:v>
      </x:c>
      <x:c r="E470" s="87" t="str">
        <x:v>TASK</x:v>
      </x:c>
      <x:c r="F470" s="30" t="str">
        <x:v>956.pdf</x:v>
      </x:c>
      <x:c r="G470" s="87" t="str">
        <x:v>2</x:v>
      </x:c>
      <x:c r="H470" s="87" t="str">
        <x:v>v1.06</x:v>
      </x:c>
      <x:c r="I470" s="87" t="str">
        <x:v>2</x:v>
      </x:c>
      <x:c r="J470" s="30" t="str">
        <x:v>VIS_ID</x:v>
      </x:c>
      <x:c r="K470" s="30" t="str">
        <x:v>EGKR-S26-HIS-956-03, EGKR-S26-HIS-956-04</x:v>
      </x:c>
      <x:c r="L470" s="87" t="str">
        <x:v>CROP_VERIFIED</x:v>
      </x:c>
      <x:c r="M470" s="87" t="str">
        <x:v>ORIGINAL_PACKAGE</x:v>
      </x:c>
      <x:c r="N470" s="87" t="str">
        <x:v>pages/VIS-EGKR-HIS-S26-TASK-956-P002.png</x:v>
      </x:c>
      <x:c r="O470" s="87" t="str">
        <x:v>thumbnails/VIS-EGKR-HIS-S26-TASK-956-P002.jpg</x:v>
      </x:c>
      <x:c r="P470" s="87" t="str">
        <x:v>82685b77bd3986ea818b65bd398a2ba7bbe9b93d4ad1273c0a2effb35f396308</x:v>
      </x:c>
      <x:c r="Q470" s="30" t="str">
        <x:v>incoming/raw/recovery-drop-01/history_egkr_spring_visual_assets_v106.zip!/pages/VIS-EGKR-HIS-S26-TASK-956-P002.png</x:v>
      </x:c>
      <x:c r="R470" s="30" t="str">
        <x:v>MATCHED_ASSET</x:v>
      </x:c>
      <x:c r="S470" t="e">
        <x:f>HYPERLINK("visual_gallery/index.html#"&amp;A470,"Галерея")</x:f>
      </x:c>
    </x:row>
    <x:row r="471">
      <x:c r="A471" s="87" t="str">
        <x:v>VIS-EGKR-HIS-S26-TASK-956-P003</x:v>
      </x:c>
      <x:c r="B471" s="30" t="str">
        <x:v>История</x:v>
      </x:c>
      <x:c r="C471" s="30"/>
      <x:c r="D471" s="30" t="str">
        <x:v>956</x:v>
      </x:c>
      <x:c r="E471" s="87" t="str">
        <x:v>TASK</x:v>
      </x:c>
      <x:c r="F471" s="30" t="str">
        <x:v>956.pdf</x:v>
      </x:c>
      <x:c r="G471" s="87" t="str">
        <x:v>3</x:v>
      </x:c>
      <x:c r="H471" s="87" t="str">
        <x:v>v1.06</x:v>
      </x:c>
      <x:c r="I471" s="87" t="str">
        <x:v>2</x:v>
      </x:c>
      <x:c r="J471" s="30" t="str">
        <x:v>VIS_ID</x:v>
      </x:c>
      <x:c r="K471" s="30" t="str">
        <x:v>EGKR-S26-HIS-956-05, EGKR-S26-HIS-956-06</x:v>
      </x:c>
      <x:c r="L471" s="87" t="str">
        <x:v>CROP_VERIFIED</x:v>
      </x:c>
      <x:c r="M471" s="87" t="str">
        <x:v>ORIGINAL_PACKAGE</x:v>
      </x:c>
      <x:c r="N471" s="87" t="str">
        <x:v>pages/VIS-EGKR-HIS-S26-TASK-956-P003.png</x:v>
      </x:c>
      <x:c r="O471" s="87" t="str">
        <x:v>thumbnails/VIS-EGKR-HIS-S26-TASK-956-P003.jpg</x:v>
      </x:c>
      <x:c r="P471" s="87" t="str">
        <x:v>53c52200027a179e1fd7c4b919f63204b994b12f4e4e2f4ad3eab7220a1e3da0</x:v>
      </x:c>
      <x:c r="Q471" s="30" t="str">
        <x:v>incoming/raw/recovery-drop-01/history_egkr_spring_visual_assets_v106.zip!/pages/VIS-EGKR-HIS-S26-TASK-956-P003.png</x:v>
      </x:c>
      <x:c r="R471" s="30" t="str">
        <x:v>MATCHED_ASSET</x:v>
      </x:c>
      <x:c r="S471" t="e">
        <x:f>HYPERLINK("visual_gallery/index.html#"&amp;A471,"Галерея")</x:f>
      </x:c>
    </x:row>
    <x:row r="472">
      <x:c r="A472" s="87" t="str">
        <x:v>VIS-EGKR-HIS-S26-TASK-956-P004</x:v>
      </x:c>
      <x:c r="B472" s="30" t="str">
        <x:v>История</x:v>
      </x:c>
      <x:c r="C472" s="30"/>
      <x:c r="D472" s="30" t="str">
        <x:v>956</x:v>
      </x:c>
      <x:c r="E472" s="87" t="str">
        <x:v>TASK</x:v>
      </x:c>
      <x:c r="F472" s="30" t="str">
        <x:v>956.pdf</x:v>
      </x:c>
      <x:c r="G472" s="87" t="str">
        <x:v>4</x:v>
      </x:c>
      <x:c r="H472" s="87" t="str">
        <x:v>v1.06</x:v>
      </x:c>
      <x:c r="I472" s="87" t="str">
        <x:v>2</x:v>
      </x:c>
      <x:c r="J472" s="30" t="str">
        <x:v>VIS_ID</x:v>
      </x:c>
      <x:c r="K472" s="30" t="str">
        <x:v>EGKR-S26-HIS-956-07, EGKR-S26-HIS-956-08</x:v>
      </x:c>
      <x:c r="L472" s="87" t="str">
        <x:v>CROP_VERIFIED</x:v>
      </x:c>
      <x:c r="M472" s="87" t="str">
        <x:v>ORIGINAL_PACKAGE</x:v>
      </x:c>
      <x:c r="N472" s="87" t="str">
        <x:v>pages/VIS-EGKR-HIS-S26-TASK-956-P004.png</x:v>
      </x:c>
      <x:c r="O472" s="87" t="str">
        <x:v>thumbnails/VIS-EGKR-HIS-S26-TASK-956-P004.jpg</x:v>
      </x:c>
      <x:c r="P472" s="87" t="str">
        <x:v>156d776fac0625093bd8467f39185a411673b7d0f9adb13bd7ea3ad8c1f17c23</x:v>
      </x:c>
      <x:c r="Q472" s="30" t="str">
        <x:v>incoming/raw/recovery-drop-01/history_egkr_spring_visual_assets_v106.zip!/pages/VIS-EGKR-HIS-S26-TASK-956-P004.png</x:v>
      </x:c>
      <x:c r="R472" s="30" t="str">
        <x:v>MATCHED_ASSET</x:v>
      </x:c>
      <x:c r="S472" t="e">
        <x:f>HYPERLINK("visual_gallery/index.html#"&amp;A472,"Галерея")</x:f>
      </x:c>
    </x:row>
    <x:row r="473">
      <x:c r="A473" s="87" t="str">
        <x:v>VIS-EGKR-HIS-S26-TASK-956-P005</x:v>
      </x:c>
      <x:c r="B473" s="30" t="str">
        <x:v>История</x:v>
      </x:c>
      <x:c r="C473" s="30"/>
      <x:c r="D473" s="30" t="str">
        <x:v>956</x:v>
      </x:c>
      <x:c r="E473" s="87" t="str">
        <x:v>TASK</x:v>
      </x:c>
      <x:c r="F473" s="30" t="str">
        <x:v>956.pdf</x:v>
      </x:c>
      <x:c r="G473" s="87" t="str">
        <x:v>5</x:v>
      </x:c>
      <x:c r="H473" s="87" t="str">
        <x:v>v1.06</x:v>
      </x:c>
      <x:c r="I473" s="87" t="str">
        <x:v>4</x:v>
      </x:c>
      <x:c r="J473" s="30" t="str">
        <x:v>VIS_ID</x:v>
      </x:c>
      <x:c r="K473" s="30" t="str">
        <x:v>EGKR-S26-HIS-956-09, EGKR-S26-HIS-956-10, EGKR-S26-HIS-956-11, EGKR-S26-HIS-956-12</x:v>
      </x:c>
      <x:c r="L473" s="87" t="str">
        <x:v>CROP_VERIFIED</x:v>
      </x:c>
      <x:c r="M473" s="87" t="str">
        <x:v>ORIGINAL_PACKAGE</x:v>
      </x:c>
      <x:c r="N473" s="87" t="str">
        <x:v>pages/VIS-EGKR-HIS-S26-TASK-956-P005.png</x:v>
      </x:c>
      <x:c r="O473" s="87" t="str">
        <x:v>thumbnails/VIS-EGKR-HIS-S26-TASK-956-P005.jpg</x:v>
      </x:c>
      <x:c r="P473" s="87" t="str">
        <x:v>c40df4dd1947ddda4ae8b86c61d8571af4aa2d6ce90ea5e9b3b48736137948cc</x:v>
      </x:c>
      <x:c r="Q473" s="30" t="str">
        <x:v>incoming/raw/recovery-drop-01/history_egkr_spring_visual_assets_v106.zip!/pages/VIS-EGKR-HIS-S26-TASK-956-P005.png</x:v>
      </x:c>
      <x:c r="R473" s="30" t="str">
        <x:v>MATCHED_ASSET</x:v>
      </x:c>
      <x:c r="S473" t="e">
        <x:f>HYPERLINK("visual_gallery/index.html#"&amp;A473,"Галерея")</x:f>
      </x:c>
    </x:row>
    <x:row r="474">
      <x:c r="A474" s="87" t="str">
        <x:v>VIS-EGKR-HIS-S26-TASK-956-P006</x:v>
      </x:c>
      <x:c r="B474" s="30" t="str">
        <x:v>История</x:v>
      </x:c>
      <x:c r="C474" s="30"/>
      <x:c r="D474" s="30" t="str">
        <x:v>956</x:v>
      </x:c>
      <x:c r="E474" s="87" t="str">
        <x:v>TASK</x:v>
      </x:c>
      <x:c r="F474" s="30" t="str">
        <x:v>956.pdf</x:v>
      </x:c>
      <x:c r="G474" s="87" t="str">
        <x:v>6</x:v>
      </x:c>
      <x:c r="H474" s="87" t="str">
        <x:v>v1.06</x:v>
      </x:c>
      <x:c r="I474" s="87" t="str">
        <x:v>2</x:v>
      </x:c>
      <x:c r="J474" s="30" t="str">
        <x:v>VIS_ID</x:v>
      </x:c>
      <x:c r="K474" s="30" t="str">
        <x:v>EGKR-S26-HIS-956-13, EGKR-S26-HIS-956-14</x:v>
      </x:c>
      <x:c r="L474" s="87" t="str">
        <x:v>CROP_VERIFIED</x:v>
      </x:c>
      <x:c r="M474" s="87" t="str">
        <x:v>ORIGINAL_PACKAGE</x:v>
      </x:c>
      <x:c r="N474" s="87" t="str">
        <x:v>pages/VIS-EGKR-HIS-S26-TASK-956-P006.png</x:v>
      </x:c>
      <x:c r="O474" s="87" t="str">
        <x:v>thumbnails/VIS-EGKR-HIS-S26-TASK-956-P006.jpg</x:v>
      </x:c>
      <x:c r="P474" s="87" t="str">
        <x:v>79159b8d54d91beca44763881d0355c2d2185d1fab465f136a18d09c20c817aa</x:v>
      </x:c>
      <x:c r="Q474" s="30" t="str">
        <x:v>incoming/raw/recovery-drop-01/history_egkr_spring_visual_assets_v106.zip!/pages/VIS-EGKR-HIS-S26-TASK-956-P006.png</x:v>
      </x:c>
      <x:c r="R474" s="30" t="str">
        <x:v>MATCHED_ASSET</x:v>
      </x:c>
      <x:c r="S474" t="e">
        <x:f>HYPERLINK("visual_gallery/index.html#"&amp;A474,"Галерея")</x:f>
      </x:c>
    </x:row>
    <x:row r="475">
      <x:c r="A475" s="87" t="str">
        <x:v>VIS-EGKR-HIS-S26-TASK-956-P007</x:v>
      </x:c>
      <x:c r="B475" s="30" t="str">
        <x:v>История</x:v>
      </x:c>
      <x:c r="C475" s="30"/>
      <x:c r="D475" s="30" t="str">
        <x:v>956</x:v>
      </x:c>
      <x:c r="E475" s="87" t="str">
        <x:v>TASK</x:v>
      </x:c>
      <x:c r="F475" s="30" t="str">
        <x:v>956.pdf</x:v>
      </x:c>
      <x:c r="G475" s="87" t="str">
        <x:v>7</x:v>
      </x:c>
      <x:c r="H475" s="87" t="str">
        <x:v>v1.06</x:v>
      </x:c>
      <x:c r="I475" s="87" t="str">
        <x:v>2</x:v>
      </x:c>
      <x:c r="J475" s="30" t="str">
        <x:v>VIS_ID</x:v>
      </x:c>
      <x:c r="K475" s="30" t="str">
        <x:v>EGKR-S26-HIS-956-15, EGKR-S26-HIS-956-16</x:v>
      </x:c>
      <x:c r="L475" s="87" t="str">
        <x:v>CROP_VERIFIED</x:v>
      </x:c>
      <x:c r="M475" s="87" t="str">
        <x:v>ORIGINAL_PACKAGE</x:v>
      </x:c>
      <x:c r="N475" s="87" t="str">
        <x:v>pages/VIS-EGKR-HIS-S26-TASK-956-P007.png</x:v>
      </x:c>
      <x:c r="O475" s="87" t="str">
        <x:v>thumbnails/VIS-EGKR-HIS-S26-TASK-956-P007.jpg</x:v>
      </x:c>
      <x:c r="P475" s="87" t="str">
        <x:v>456265416815ccdc813c00cfc954d1356bcdf407a8b0d10925490eb5d74a9cfa</x:v>
      </x:c>
      <x:c r="Q475" s="30" t="str">
        <x:v>incoming/raw/recovery-drop-01/history_egkr_spring_visual_assets_v106.zip!/pages/VIS-EGKR-HIS-S26-TASK-956-P007.png</x:v>
      </x:c>
      <x:c r="R475" s="30" t="str">
        <x:v>MATCHED_ASSET</x:v>
      </x:c>
      <x:c r="S475" t="e">
        <x:f>HYPERLINK("visual_gallery/index.html#"&amp;A475,"Галерея")</x:f>
      </x:c>
    </x:row>
    <x:row r="476">
      <x:c r="A476" s="87" t="str">
        <x:v>VIS-EGKR-HIS-S26-TASK-956-P008</x:v>
      </x:c>
      <x:c r="B476" s="30" t="str">
        <x:v>История</x:v>
      </x:c>
      <x:c r="C476" s="30"/>
      <x:c r="D476" s="30" t="str">
        <x:v>956</x:v>
      </x:c>
      <x:c r="E476" s="87" t="str">
        <x:v>TASK</x:v>
      </x:c>
      <x:c r="F476" s="30" t="str">
        <x:v>956.pdf</x:v>
      </x:c>
      <x:c r="G476" s="87" t="str">
        <x:v>8</x:v>
      </x:c>
      <x:c r="H476" s="87" t="str">
        <x:v>v1.06</x:v>
      </x:c>
      <x:c r="I476" s="87" t="str">
        <x:v>3</x:v>
      </x:c>
      <x:c r="J476" s="30" t="str">
        <x:v>VIS_ID</x:v>
      </x:c>
      <x:c r="K476" s="30" t="str">
        <x:v>EGKR-S26-HIS-956-17, EGKR-S26-HIS-956-18, EGKR-S26-HIS-956-19</x:v>
      </x:c>
      <x:c r="L476" s="87" t="str">
        <x:v>CROP_VERIFIED</x:v>
      </x:c>
      <x:c r="M476" s="87" t="str">
        <x:v>ORIGINAL_PACKAGE</x:v>
      </x:c>
      <x:c r="N476" s="87" t="str">
        <x:v>pages/VIS-EGKR-HIS-S26-TASK-956-P008.png</x:v>
      </x:c>
      <x:c r="O476" s="87" t="str">
        <x:v>thumbnails/VIS-EGKR-HIS-S26-TASK-956-P008.jpg</x:v>
      </x:c>
      <x:c r="P476" s="87" t="str">
        <x:v>58ad3c3d2ba3dbb5ceda5f572f133cc5dbcd053db4806c499cbe178ca88b88b3</x:v>
      </x:c>
      <x:c r="Q476" s="30" t="str">
        <x:v>incoming/raw/recovery-drop-01/history_egkr_spring_visual_assets_v106.zip!/pages/VIS-EGKR-HIS-S26-TASK-956-P008.png</x:v>
      </x:c>
      <x:c r="R476" s="30" t="str">
        <x:v>MATCHED_ASSET</x:v>
      </x:c>
      <x:c r="S476" t="e">
        <x:f>HYPERLINK("visual_gallery/index.html#"&amp;A476,"Галерея")</x:f>
      </x:c>
    </x:row>
    <x:row r="477">
      <x:c r="A477" s="87" t="str">
        <x:v>VIS-EGKR-HIS-S26-TASK-956-P009</x:v>
      </x:c>
      <x:c r="B477" s="30" t="str">
        <x:v>История</x:v>
      </x:c>
      <x:c r="C477" s="30"/>
      <x:c r="D477" s="30" t="str">
        <x:v>956</x:v>
      </x:c>
      <x:c r="E477" s="87" t="str">
        <x:v>TASK</x:v>
      </x:c>
      <x:c r="F477" s="30" t="str">
        <x:v>956.pdf</x:v>
      </x:c>
      <x:c r="G477" s="87" t="str">
        <x:v>9</x:v>
      </x:c>
      <x:c r="H477" s="87" t="str">
        <x:v>v1.06</x:v>
      </x:c>
      <x:c r="I477" s="87" t="str">
        <x:v>2</x:v>
      </x:c>
      <x:c r="J477" s="30" t="str">
        <x:v>VIS_ID</x:v>
      </x:c>
      <x:c r="K477" s="30" t="str">
        <x:v>EGKR-S26-HIS-956-20, EGKR-S26-HIS-956-21</x:v>
      </x:c>
      <x:c r="L477" s="87" t="str">
        <x:v>CROP_VERIFIED</x:v>
      </x:c>
      <x:c r="M477" s="87" t="str">
        <x:v>ORIGINAL_PACKAGE</x:v>
      </x:c>
      <x:c r="N477" s="87" t="str">
        <x:v>pages/VIS-EGKR-HIS-S26-TASK-956-P009.png</x:v>
      </x:c>
      <x:c r="O477" s="87" t="str">
        <x:v>thumbnails/VIS-EGKR-HIS-S26-TASK-956-P009.jpg</x:v>
      </x:c>
      <x:c r="P477" s="87" t="str">
        <x:v>9137b53ba322ba3a2a028f0492fc9bd36fe8a716a4d20afbbac412ec9983d5ad</x:v>
      </x:c>
      <x:c r="Q477" s="30" t="str">
        <x:v>incoming/raw/recovery-drop-01/history_egkr_spring_visual_assets_v106.zip!/pages/VIS-EGKR-HIS-S26-TASK-956-P009.png</x:v>
      </x:c>
      <x:c r="R477" s="30" t="str">
        <x:v>MATCHED_ASSET</x:v>
      </x:c>
      <x:c r="S477" t="e">
        <x:f>HYPERLINK("visual_gallery/index.html#"&amp;A477,"Галерея")</x:f>
      </x:c>
    </x:row>
    <x:row r="478">
      <x:c r="A478" s="87" t="str">
        <x:v>VIS-EGKR-HIST-W25-ANSWER-953-P001</x:v>
      </x:c>
      <x:c r="B478" s="30" t="str"/>
      <x:c r="C478" s="30"/>
      <x:c r="D478" s="30" t="str">
        <x:v>953</x:v>
      </x:c>
      <x:c r="E478" s="87" t="str">
        <x:v>ANSWER_SOURCE</x:v>
      </x:c>
      <x:c r="F478" s="30" t="str">
        <x:v>Ответы история 953.pdf</x:v>
      </x:c>
      <x:c r="G478" s="87" t="str">
        <x:v>1</x:v>
      </x:c>
      <x:c r="H478" s="87" t="str">
        <x:v>v0.94</x:v>
      </x:c>
      <x:c r="I478" s="87" t="str">
        <x:v>0</x:v>
      </x:c>
      <x:c r="J478" s="30" t="str"/>
      <x:c r="K478" s="30" t="str"/>
      <x:c r="L478" s="87" t="str">
        <x:v>CROP_VERIFIED</x:v>
      </x:c>
      <x:c r="M478" s="87" t="str">
        <x:v>ORIGINAL_PACKAGE</x:v>
      </x:c>
      <x:c r="N478" s="87" t="str">
        <x:v>pages/VIS-EGKR-HIST-W25-ANSWER-953-P001.png</x:v>
      </x:c>
      <x:c r="O478" s="87" t="str">
        <x:v>thumbnails/VIS-EGKR-HIST-W25-ANSWER-953-P001.jpg</x:v>
      </x:c>
      <x:c r="P478" s="87" t="str">
        <x:v>6ab4bc47e5fb274f3963059d836e29d7effa1839f700f599b98ede8b9f5f62a4</x:v>
      </x:c>
      <x:c r="Q478" s="30" t="str">
        <x:v>incoming/raw/recovery-drop-01/history_egkr_winter_visual_assets_v094.zip!/pages/VIS-EGKR-HIST-W25-ANSWER-953-P001.png</x:v>
      </x:c>
      <x:c r="R478" s="30" t="str">
        <x:v>RESOLVED_UNLINKED_REGISTRY_VISUAL</x:v>
      </x:c>
      <x:c r="S478" t="e">
        <x:f>HYPERLINK("visual_gallery/index.html#"&amp;A478,"Галерея")</x:f>
      </x:c>
    </x:row>
    <x:row r="479">
      <x:c r="A479" s="87" t="str">
        <x:v>VIS-EGKR-HIST-W25-ANSWER-953-P002</x:v>
      </x:c>
      <x:c r="B479" s="30" t="str"/>
      <x:c r="C479" s="30"/>
      <x:c r="D479" s="30" t="str">
        <x:v>953</x:v>
      </x:c>
      <x:c r="E479" s="87" t="str">
        <x:v>ANSWER_SOURCE</x:v>
      </x:c>
      <x:c r="F479" s="30" t="str">
        <x:v>Ответы история 953.pdf</x:v>
      </x:c>
      <x:c r="G479" s="87" t="str">
        <x:v>2</x:v>
      </x:c>
      <x:c r="H479" s="87" t="str">
        <x:v>v0.94</x:v>
      </x:c>
      <x:c r="I479" s="87" t="str">
        <x:v>0</x:v>
      </x:c>
      <x:c r="J479" s="30" t="str"/>
      <x:c r="K479" s="30" t="str"/>
      <x:c r="L479" s="87" t="str">
        <x:v>CROP_VERIFIED</x:v>
      </x:c>
      <x:c r="M479" s="87" t="str">
        <x:v>ORIGINAL_PACKAGE</x:v>
      </x:c>
      <x:c r="N479" s="87" t="str">
        <x:v>pages/VIS-EGKR-HIST-W25-ANSWER-953-P002.png</x:v>
      </x:c>
      <x:c r="O479" s="87" t="str">
        <x:v>thumbnails/VIS-EGKR-HIST-W25-ANSWER-953-P002.jpg</x:v>
      </x:c>
      <x:c r="P479" s="87" t="str">
        <x:v>e8cd6e195a272999e5d13f863058db858cb24abe86b7cdfd8a1a027422b95da0</x:v>
      </x:c>
      <x:c r="Q479" s="30" t="str">
        <x:v>incoming/raw/recovery-drop-01/history_egkr_winter_visual_assets_v094.zip!/pages/VIS-EGKR-HIST-W25-ANSWER-953-P002.png</x:v>
      </x:c>
      <x:c r="R479" s="30" t="str">
        <x:v>RESOLVED_UNLINKED_REGISTRY_VISUAL</x:v>
      </x:c>
      <x:c r="S479" t="e">
        <x:f>HYPERLINK("visual_gallery/index.html#"&amp;A479,"Галерея")</x:f>
      </x:c>
    </x:row>
    <x:row r="480">
      <x:c r="A480" s="87" t="str">
        <x:v>VIS-EGKR-HIST-W25-ANSWER-953-P003</x:v>
      </x:c>
      <x:c r="B480" s="30" t="str"/>
      <x:c r="C480" s="30"/>
      <x:c r="D480" s="30" t="str">
        <x:v>953</x:v>
      </x:c>
      <x:c r="E480" s="87" t="str">
        <x:v>ANSWER_SOURCE</x:v>
      </x:c>
      <x:c r="F480" s="30" t="str">
        <x:v>Ответы история 953.pdf</x:v>
      </x:c>
      <x:c r="G480" s="87" t="str">
        <x:v>3</x:v>
      </x:c>
      <x:c r="H480" s="87" t="str">
        <x:v>v0.94</x:v>
      </x:c>
      <x:c r="I480" s="87" t="str">
        <x:v>0</x:v>
      </x:c>
      <x:c r="J480" s="30" t="str"/>
      <x:c r="K480" s="30" t="str"/>
      <x:c r="L480" s="87" t="str">
        <x:v>CROP_VERIFIED</x:v>
      </x:c>
      <x:c r="M480" s="87" t="str">
        <x:v>ORIGINAL_PACKAGE</x:v>
      </x:c>
      <x:c r="N480" s="87" t="str">
        <x:v>pages/VIS-EGKR-HIST-W25-ANSWER-953-P003.png</x:v>
      </x:c>
      <x:c r="O480" s="87" t="str">
        <x:v>thumbnails/VIS-EGKR-HIST-W25-ANSWER-953-P003.jpg</x:v>
      </x:c>
      <x:c r="P480" s="87" t="str">
        <x:v>e9f1cf2ba084cdbc11c0e3faa1af4be7c07021e7f8aeb4882c39029e237f25b0</x:v>
      </x:c>
      <x:c r="Q480" s="30" t="str">
        <x:v>incoming/raw/recovery-drop-01/history_egkr_winter_visual_assets_v094.zip!/pages/VIS-EGKR-HIST-W25-ANSWER-953-P003.png</x:v>
      </x:c>
      <x:c r="R480" s="30" t="str">
        <x:v>RESOLVED_UNLINKED_REGISTRY_VISUAL</x:v>
      </x:c>
      <x:c r="S480" t="e">
        <x:f>HYPERLINK("visual_gallery/index.html#"&amp;A480,"Галерея")</x:f>
      </x:c>
    </x:row>
    <x:row r="481">
      <x:c r="A481" s="87" t="str">
        <x:v>VIS-EGKR-HIST-W25-ANSWER-953-P004</x:v>
      </x:c>
      <x:c r="B481" s="30" t="str"/>
      <x:c r="C481" s="30"/>
      <x:c r="D481" s="30" t="str">
        <x:v>953</x:v>
      </x:c>
      <x:c r="E481" s="87" t="str">
        <x:v>ANSWER_SOURCE</x:v>
      </x:c>
      <x:c r="F481" s="30" t="str">
        <x:v>Ответы история 953.pdf</x:v>
      </x:c>
      <x:c r="G481" s="87" t="str">
        <x:v>4</x:v>
      </x:c>
      <x:c r="H481" s="87" t="str">
        <x:v>v0.94</x:v>
      </x:c>
      <x:c r="I481" s="87" t="str">
        <x:v>0</x:v>
      </x:c>
      <x:c r="J481" s="30" t="str"/>
      <x:c r="K481" s="30" t="str"/>
      <x:c r="L481" s="87" t="str">
        <x:v>CROP_VERIFIED</x:v>
      </x:c>
      <x:c r="M481" s="87" t="str">
        <x:v>ORIGINAL_PACKAGE</x:v>
      </x:c>
      <x:c r="N481" s="87" t="str">
        <x:v>pages/VIS-EGKR-HIST-W25-ANSWER-953-P004.png</x:v>
      </x:c>
      <x:c r="O481" s="87" t="str">
        <x:v>thumbnails/VIS-EGKR-HIST-W25-ANSWER-953-P004.jpg</x:v>
      </x:c>
      <x:c r="P481" s="87" t="str">
        <x:v>fb4b72574e67b421d713f305bc75cf8c11c449261ddb72a72b51063cf779df07</x:v>
      </x:c>
      <x:c r="Q481" s="30" t="str">
        <x:v>incoming/raw/recovery-drop-01/history_egkr_winter_visual_assets_v094.zip!/pages/VIS-EGKR-HIST-W25-ANSWER-953-P004.png</x:v>
      </x:c>
      <x:c r="R481" s="30" t="str">
        <x:v>RESOLVED_UNLINKED_REGISTRY_VISUAL</x:v>
      </x:c>
      <x:c r="S481" t="e">
        <x:f>HYPERLINK("visual_gallery/index.html#"&amp;A481,"Галерея")</x:f>
      </x:c>
    </x:row>
    <x:row r="482">
      <x:c r="A482" s="87" t="str">
        <x:v>VIS-EGKR-HIST-W25-ANSWER-953-P005</x:v>
      </x:c>
      <x:c r="B482" s="30" t="str"/>
      <x:c r="C482" s="30"/>
      <x:c r="D482" s="30" t="str">
        <x:v>953</x:v>
      </x:c>
      <x:c r="E482" s="87" t="str">
        <x:v>ANSWER_SOURCE</x:v>
      </x:c>
      <x:c r="F482" s="30" t="str">
        <x:v>Ответы история 953.pdf</x:v>
      </x:c>
      <x:c r="G482" s="87" t="str">
        <x:v>5</x:v>
      </x:c>
      <x:c r="H482" s="87" t="str">
        <x:v>v0.94</x:v>
      </x:c>
      <x:c r="I482" s="87" t="str">
        <x:v>0</x:v>
      </x:c>
      <x:c r="J482" s="30" t="str"/>
      <x:c r="K482" s="30" t="str"/>
      <x:c r="L482" s="87" t="str">
        <x:v>CROP_VERIFIED</x:v>
      </x:c>
      <x:c r="M482" s="87" t="str">
        <x:v>ORIGINAL_PACKAGE</x:v>
      </x:c>
      <x:c r="N482" s="87" t="str">
        <x:v>pages/VIS-EGKR-HIST-W25-ANSWER-953-P005.png</x:v>
      </x:c>
      <x:c r="O482" s="87" t="str">
        <x:v>thumbnails/VIS-EGKR-HIST-W25-ANSWER-953-P005.jpg</x:v>
      </x:c>
      <x:c r="P482" s="87" t="str">
        <x:v>2919f0449f0fff4da89e65fe427390b352ee18627ea437f6f77030ed089a4148</x:v>
      </x:c>
      <x:c r="Q482" s="30" t="str">
        <x:v>incoming/raw/recovery-drop-01/history_egkr_winter_visual_assets_v094.zip!/pages/VIS-EGKR-HIST-W25-ANSWER-953-P005.png</x:v>
      </x:c>
      <x:c r="R482" s="30" t="str">
        <x:v>RESOLVED_UNLINKED_REGISTRY_VISUAL</x:v>
      </x:c>
      <x:c r="S482" t="e">
        <x:f>HYPERLINK("visual_gallery/index.html#"&amp;A482,"Галерея")</x:f>
      </x:c>
    </x:row>
    <x:row r="483">
      <x:c r="A483" s="87" t="str">
        <x:v>VIS-EGKR-HIST-W25-ANSWER-953-P006</x:v>
      </x:c>
      <x:c r="B483" s="30" t="str"/>
      <x:c r="C483" s="30"/>
      <x:c r="D483" s="30" t="str">
        <x:v>953</x:v>
      </x:c>
      <x:c r="E483" s="87" t="str">
        <x:v>ANSWER_SOURCE</x:v>
      </x:c>
      <x:c r="F483" s="30" t="str">
        <x:v>Ответы история 953.pdf</x:v>
      </x:c>
      <x:c r="G483" s="87" t="str">
        <x:v>6</x:v>
      </x:c>
      <x:c r="H483" s="87" t="str">
        <x:v>v0.94</x:v>
      </x:c>
      <x:c r="I483" s="87" t="str">
        <x:v>0</x:v>
      </x:c>
      <x:c r="J483" s="30" t="str"/>
      <x:c r="K483" s="30" t="str"/>
      <x:c r="L483" s="87" t="str">
        <x:v>CROP_VERIFIED</x:v>
      </x:c>
      <x:c r="M483" s="87" t="str">
        <x:v>ORIGINAL_PACKAGE</x:v>
      </x:c>
      <x:c r="N483" s="87" t="str">
        <x:v>pages/VIS-EGKR-HIST-W25-ANSWER-953-P006.png</x:v>
      </x:c>
      <x:c r="O483" s="87" t="str">
        <x:v>thumbnails/VIS-EGKR-HIST-W25-ANSWER-953-P006.jpg</x:v>
      </x:c>
      <x:c r="P483" s="87" t="str">
        <x:v>b5da5cba61351e63d12698e7290b227c528f61b12a500e24120c427448b5e7c3</x:v>
      </x:c>
      <x:c r="Q483" s="30" t="str">
        <x:v>incoming/raw/recovery-drop-01/history_egkr_winter_visual_assets_v094.zip!/pages/VIS-EGKR-HIST-W25-ANSWER-953-P006.png</x:v>
      </x:c>
      <x:c r="R483" s="30" t="str">
        <x:v>RESOLVED_UNLINKED_REGISTRY_VISUAL</x:v>
      </x:c>
      <x:c r="S483" t="e">
        <x:f>HYPERLINK("visual_gallery/index.html#"&amp;A483,"Галерея")</x:f>
      </x:c>
    </x:row>
    <x:row r="484">
      <x:c r="A484" s="87" t="str">
        <x:v>VIS-EGKR-HIST-W25-ANSWER-953-P007</x:v>
      </x:c>
      <x:c r="B484" s="30" t="str"/>
      <x:c r="C484" s="30"/>
      <x:c r="D484" s="30" t="str">
        <x:v>953</x:v>
      </x:c>
      <x:c r="E484" s="87" t="str">
        <x:v>ANSWER_SOURCE</x:v>
      </x:c>
      <x:c r="F484" s="30" t="str">
        <x:v>Ответы история 953.pdf</x:v>
      </x:c>
      <x:c r="G484" s="87" t="str">
        <x:v>7</x:v>
      </x:c>
      <x:c r="H484" s="87" t="str">
        <x:v>v0.94</x:v>
      </x:c>
      <x:c r="I484" s="87" t="str">
        <x:v>0</x:v>
      </x:c>
      <x:c r="J484" s="30" t="str"/>
      <x:c r="K484" s="30" t="str"/>
      <x:c r="L484" s="87" t="str">
        <x:v>CROP_VERIFIED</x:v>
      </x:c>
      <x:c r="M484" s="87" t="str">
        <x:v>ORIGINAL_PACKAGE</x:v>
      </x:c>
      <x:c r="N484" s="87" t="str">
        <x:v>pages/VIS-EGKR-HIST-W25-ANSWER-953-P007.png</x:v>
      </x:c>
      <x:c r="O484" s="87" t="str">
        <x:v>thumbnails/VIS-EGKR-HIST-W25-ANSWER-953-P007.jpg</x:v>
      </x:c>
      <x:c r="P484" s="87" t="str">
        <x:v>48603f6a9187cff26c41de649c30f0997a073e12acbced4fed42043b5e94c8f0</x:v>
      </x:c>
      <x:c r="Q484" s="30" t="str">
        <x:v>incoming/raw/recovery-drop-01/history_egkr_winter_visual_assets_v094.zip!/pages/VIS-EGKR-HIST-W25-ANSWER-953-P007.png</x:v>
      </x:c>
      <x:c r="R484" s="30" t="str">
        <x:v>RESOLVED_UNLINKED_REGISTRY_VISUAL</x:v>
      </x:c>
      <x:c r="S484" t="e">
        <x:f>HYPERLINK("visual_gallery/index.html#"&amp;A484,"Галерея")</x:f>
      </x:c>
    </x:row>
    <x:row r="485">
      <x:c r="A485" s="87" t="str">
        <x:v>VIS-EGKR-HIST-W25-ANSWER-953-P008</x:v>
      </x:c>
      <x:c r="B485" s="30" t="str"/>
      <x:c r="C485" s="30"/>
      <x:c r="D485" s="30" t="str">
        <x:v>953</x:v>
      </x:c>
      <x:c r="E485" s="87" t="str">
        <x:v>ANSWER_SOURCE</x:v>
      </x:c>
      <x:c r="F485" s="30" t="str">
        <x:v>Ответы история 953.pdf</x:v>
      </x:c>
      <x:c r="G485" s="87" t="str">
        <x:v>8</x:v>
      </x:c>
      <x:c r="H485" s="87" t="str">
        <x:v>v0.94</x:v>
      </x:c>
      <x:c r="I485" s="87" t="str">
        <x:v>0</x:v>
      </x:c>
      <x:c r="J485" s="30" t="str"/>
      <x:c r="K485" s="30" t="str"/>
      <x:c r="L485" s="87" t="str">
        <x:v>CROP_VERIFIED</x:v>
      </x:c>
      <x:c r="M485" s="87" t="str">
        <x:v>ORIGINAL_PACKAGE</x:v>
      </x:c>
      <x:c r="N485" s="87" t="str">
        <x:v>pages/VIS-EGKR-HIST-W25-ANSWER-953-P008.png</x:v>
      </x:c>
      <x:c r="O485" s="87" t="str">
        <x:v>thumbnails/VIS-EGKR-HIST-W25-ANSWER-953-P008.jpg</x:v>
      </x:c>
      <x:c r="P485" s="87" t="str">
        <x:v>9458f9177e5874c77ec738415d7f80914fa85f1729105fbf8d2a30370c01f9cf</x:v>
      </x:c>
      <x:c r="Q485" s="30" t="str">
        <x:v>incoming/raw/recovery-drop-01/history_egkr_winter_visual_assets_v094.zip!/pages/VIS-EGKR-HIST-W25-ANSWER-953-P008.png</x:v>
      </x:c>
      <x:c r="R485" s="30" t="str">
        <x:v>RESOLVED_UNLINKED_REGISTRY_VISUAL</x:v>
      </x:c>
      <x:c r="S485" t="e">
        <x:f>HYPERLINK("visual_gallery/index.html#"&amp;A485,"Галерея")</x:f>
      </x:c>
    </x:row>
    <x:row r="486">
      <x:c r="A486" s="87" t="str">
        <x:v>VIS-EGKR-HIST-W25-ANSWER-953-P009</x:v>
      </x:c>
      <x:c r="B486" s="30" t="str"/>
      <x:c r="C486" s="30"/>
      <x:c r="D486" s="30" t="str">
        <x:v>953</x:v>
      </x:c>
      <x:c r="E486" s="87" t="str">
        <x:v>ANSWER_SOURCE</x:v>
      </x:c>
      <x:c r="F486" s="30" t="str">
        <x:v>Ответы история 953.pdf</x:v>
      </x:c>
      <x:c r="G486" s="87" t="str">
        <x:v>9</x:v>
      </x:c>
      <x:c r="H486" s="87" t="str">
        <x:v>v0.94</x:v>
      </x:c>
      <x:c r="I486" s="87" t="str">
        <x:v>0</x:v>
      </x:c>
      <x:c r="J486" s="30" t="str"/>
      <x:c r="K486" s="30" t="str"/>
      <x:c r="L486" s="87" t="str">
        <x:v>CROP_VERIFIED</x:v>
      </x:c>
      <x:c r="M486" s="87" t="str">
        <x:v>ORIGINAL_PACKAGE</x:v>
      </x:c>
      <x:c r="N486" s="87" t="str">
        <x:v>pages/VIS-EGKR-HIST-W25-ANSWER-953-P009.png</x:v>
      </x:c>
      <x:c r="O486" s="87" t="str">
        <x:v>thumbnails/VIS-EGKR-HIST-W25-ANSWER-953-P009.jpg</x:v>
      </x:c>
      <x:c r="P486" s="87" t="str">
        <x:v>d45a9598df7621ab6b03ab2dcd3dc6a7449fd7158941496f7dcdec0d1fc7eb96</x:v>
      </x:c>
      <x:c r="Q486" s="30" t="str">
        <x:v>incoming/raw/recovery-drop-01/history_egkr_winter_visual_assets_v094.zip!/pages/VIS-EGKR-HIST-W25-ANSWER-953-P009.png</x:v>
      </x:c>
      <x:c r="R486" s="30" t="str">
        <x:v>RESOLVED_UNLINKED_REGISTRY_VISUAL</x:v>
      </x:c>
      <x:c r="S486" t="e">
        <x:f>HYPERLINK("visual_gallery/index.html#"&amp;A486,"Галерея")</x:f>
      </x:c>
    </x:row>
    <x:row r="487">
      <x:c r="A487" s="87" t="str">
        <x:v>VIS-EGKR-HIST-W25-DECOY-P001</x:v>
      </x:c>
      <x:c r="B487" s="30" t="str"/>
      <x:c r="C487" s="30"/>
      <x:c r="D487" s="30" t="str">
        <x:v>—</x:v>
      </x:c>
      <x:c r="E487" s="87" t="str">
        <x:v>SOURCE_AUDIT</x:v>
      </x:c>
      <x:c r="F487" s="30" t="str">
        <x:v>Задания + ответы.pdf</x:v>
      </x:c>
      <x:c r="G487" s="87" t="str">
        <x:v>1</x:v>
      </x:c>
      <x:c r="H487" s="87" t="str">
        <x:v>v0.94</x:v>
      </x:c>
      <x:c r="I487" s="87" t="str">
        <x:v>0</x:v>
      </x:c>
      <x:c r="J487" s="30" t="str"/>
      <x:c r="K487" s="30" t="str"/>
      <x:c r="L487" s="87" t="str">
        <x:v>CROP_VERIFIED</x:v>
      </x:c>
      <x:c r="M487" s="87" t="str">
        <x:v>ORIGINAL_PACKAGE</x:v>
      </x:c>
      <x:c r="N487" s="87" t="str">
        <x:v>pages/VIS-EGKR-HIST-W25-DECOY-P001.png</x:v>
      </x:c>
      <x:c r="O487" s="87" t="str">
        <x:v>thumbnails/VIS-EGKR-HIST-W25-DECOY-P001.jpg</x:v>
      </x:c>
      <x:c r="P487" s="87" t="str">
        <x:v>001a8cb5e572b5f4c485fc88d566350fb71dee48dfc514686d2c61296e256c3c</x:v>
      </x:c>
      <x:c r="Q487" s="30" t="str">
        <x:v>incoming/raw/recovery-drop-01/history_egkr_winter_visual_assets_v094.zip!/pages/VIS-EGKR-HIST-W25-DECOY-P001.png</x:v>
      </x:c>
      <x:c r="R487" s="30" t="str">
        <x:v>RESOLVED_UNLINKED_REGISTRY_VISUAL</x:v>
      </x:c>
      <x:c r="S487" t="e">
        <x:f>HYPERLINK("visual_gallery/index.html#"&amp;A487,"Галерея")</x:f>
      </x:c>
    </x:row>
    <x:row r="488">
      <x:c r="A488" s="87" t="str">
        <x:v>VIS-EGKR-HIST-W25-DOC-951-P001</x:v>
      </x:c>
      <x:c r="B488" s="30" t="str"/>
      <x:c r="C488" s="30"/>
      <x:c r="D488" s="30" t="str">
        <x:v>951</x:v>
      </x:c>
      <x:c r="E488" s="87" t="str">
        <x:v>PARTIAL_SOURCE</x:v>
      </x:c>
      <x:c r="F488" s="30" t="str">
        <x:v>951.docx</x:v>
      </x:c>
      <x:c r="G488" s="87" t="str">
        <x:v>1</x:v>
      </x:c>
      <x:c r="H488" s="87" t="str">
        <x:v>v0.94</x:v>
      </x:c>
      <x:c r="I488" s="87" t="str">
        <x:v>0</x:v>
      </x:c>
      <x:c r="J488" s="30" t="str"/>
      <x:c r="K488" s="30" t="str"/>
      <x:c r="L488" s="87" t="str">
        <x:v>CROP_VERIFIED</x:v>
      </x:c>
      <x:c r="M488" s="87" t="str">
        <x:v>ORIGINAL_PACKAGE</x:v>
      </x:c>
      <x:c r="N488" s="87" t="str">
        <x:v>pages/VIS-EGKR-HIST-W25-DOC-951-P001.png</x:v>
      </x:c>
      <x:c r="O488" s="87" t="str">
        <x:v>thumbnails/VIS-EGKR-HIST-W25-DOC-951-P001.jpg</x:v>
      </x:c>
      <x:c r="P488" s="87" t="str">
        <x:v>b3ffab59061bf5f9a2153956f801eded93f6752fb7053880739a5bb7e1f2ca0e</x:v>
      </x:c>
      <x:c r="Q488" s="30" t="str">
        <x:v>incoming/raw/recovery-drop-01/history_egkr_winter_visual_assets_v094.zip!/pages/VIS-EGKR-HIST-W25-DOC-951-P001.png</x:v>
      </x:c>
      <x:c r="R488" s="30" t="str">
        <x:v>RESOLVED_UNLINKED_REGISTRY_VISUAL</x:v>
      </x:c>
      <x:c r="S488" t="e">
        <x:f>HYPERLINK("visual_gallery/index.html#"&amp;A488,"Галерея")</x:f>
      </x:c>
    </x:row>
    <x:row r="489">
      <x:c r="A489" s="87" t="str">
        <x:v>VIS-EGKR-HIST-W25-DOC-951-P002</x:v>
      </x:c>
      <x:c r="B489" s="30" t="str">
        <x:v>История</x:v>
      </x:c>
      <x:c r="C489" s="30"/>
      <x:c r="D489" s="30" t="str">
        <x:v>951</x:v>
      </x:c>
      <x:c r="E489" s="87" t="str">
        <x:v>PARTIAL_SOURCE</x:v>
      </x:c>
      <x:c r="F489" s="30" t="str">
        <x:v>951.docx</x:v>
      </x:c>
      <x:c r="G489" s="87" t="str">
        <x:v>2</x:v>
      </x:c>
      <x:c r="H489" s="87" t="str">
        <x:v>v0.94</x:v>
      </x:c>
      <x:c r="I489" s="87" t="str">
        <x:v>4</x:v>
      </x:c>
      <x:c r="J489" s="30" t="str">
        <x:v>VIS_ID</x:v>
      </x:c>
      <x:c r="K489" s="30" t="str">
        <x:v>EGKR-W25-HIST-951-01, EGKR-W25-HIST-951-02, EGKR-W25-HIST-951-03, EGKR-W25-HIST-951-04</x:v>
      </x:c>
      <x:c r="L489" s="87" t="str">
        <x:v>CROP_VERIFIED</x:v>
      </x:c>
      <x:c r="M489" s="87" t="str">
        <x:v>ORIGINAL_PACKAGE</x:v>
      </x:c>
      <x:c r="N489" s="87" t="str">
        <x:v>pages/VIS-EGKR-HIST-W25-DOC-951-P002.png</x:v>
      </x:c>
      <x:c r="O489" s="87" t="str">
        <x:v>thumbnails/VIS-EGKR-HIST-W25-DOC-951-P002.jpg</x:v>
      </x:c>
      <x:c r="P489" s="87" t="str">
        <x:v>85bf0a11b9abf70e55d0abdacc5f84448e3069d24bd4a88a40be1ca6dbfe0dea</x:v>
      </x:c>
      <x:c r="Q489" s="30" t="str">
        <x:v>incoming/raw/recovery-drop-01/history_egkr_winter_visual_assets_v094.zip!/pages/VIS-EGKR-HIST-W25-DOC-951-P002.png</x:v>
      </x:c>
      <x:c r="R489" s="30" t="str">
        <x:v>MATCHED_ASSET</x:v>
      </x:c>
      <x:c r="S489" t="e">
        <x:f>HYPERLINK("visual_gallery/index.html#"&amp;A489,"Галерея")</x:f>
      </x:c>
    </x:row>
    <x:row r="490">
      <x:c r="A490" s="87" t="str">
        <x:v>VIS-EGKR-HIST-W25-DOC-951-P003</x:v>
      </x:c>
      <x:c r="B490" s="30" t="str">
        <x:v>История</x:v>
      </x:c>
      <x:c r="C490" s="30"/>
      <x:c r="D490" s="30" t="str">
        <x:v>951</x:v>
      </x:c>
      <x:c r="E490" s="87" t="str">
        <x:v>PARTIAL_SOURCE</x:v>
      </x:c>
      <x:c r="F490" s="30" t="str">
        <x:v>951.docx</x:v>
      </x:c>
      <x:c r="G490" s="87" t="str">
        <x:v>3</x:v>
      </x:c>
      <x:c r="H490" s="87" t="str">
        <x:v>v0.94</x:v>
      </x:c>
      <x:c r="I490" s="87" t="str">
        <x:v>2</x:v>
      </x:c>
      <x:c r="J490" s="30" t="str">
        <x:v>VIS_ID</x:v>
      </x:c>
      <x:c r="K490" s="30" t="str">
        <x:v>EGKR-W25-HIST-951-11, EGKR-W25-HIST-951-12</x:v>
      </x:c>
      <x:c r="L490" s="87" t="str">
        <x:v>CROP_VERIFIED</x:v>
      </x:c>
      <x:c r="M490" s="87" t="str">
        <x:v>ORIGINAL_PACKAGE</x:v>
      </x:c>
      <x:c r="N490" s="87" t="str">
        <x:v>pages/VIS-EGKR-HIST-W25-DOC-951-P003.png</x:v>
      </x:c>
      <x:c r="O490" s="87" t="str">
        <x:v>thumbnails/VIS-EGKR-HIST-W25-DOC-951-P003.jpg</x:v>
      </x:c>
      <x:c r="P490" s="87" t="str">
        <x:v>538255a1cc49283db0a8fe9c121de5397252efd464032f6c01e0e9c905a601f4</x:v>
      </x:c>
      <x:c r="Q490" s="30" t="str">
        <x:v>incoming/raw/recovery-drop-01/history_egkr_winter_visual_assets_v094.zip!/pages/VIS-EGKR-HIST-W25-DOC-951-P003.png</x:v>
      </x:c>
      <x:c r="R490" s="30" t="str">
        <x:v>MATCHED_ASSET</x:v>
      </x:c>
      <x:c r="S490" t="e">
        <x:f>HYPERLINK("visual_gallery/index.html#"&amp;A490,"Галерея")</x:f>
      </x:c>
    </x:row>
    <x:row r="491">
      <x:c r="A491" s="87" t="str">
        <x:v>VIS-EGKR-HIST-W25-DOC-953-P2-P001</x:v>
      </x:c>
      <x:c r="B491" s="30" t="str"/>
      <x:c r="C491" s="30"/>
      <x:c r="D491" s="30" t="str">
        <x:v>953</x:v>
      </x:c>
      <x:c r="E491" s="87" t="str">
        <x:v>ANSWER_SOURCE</x:v>
      </x:c>
      <x:c r="F491" s="30" t="str">
        <x:v>953 вариант 2 часть.docx</x:v>
      </x:c>
      <x:c r="G491" s="87" t="str">
        <x:v>1</x:v>
      </x:c>
      <x:c r="H491" s="87" t="str">
        <x:v>v0.94</x:v>
      </x:c>
      <x:c r="I491" s="87" t="str">
        <x:v>0</x:v>
      </x:c>
      <x:c r="J491" s="30" t="str"/>
      <x:c r="K491" s="30" t="str"/>
      <x:c r="L491" s="87" t="str">
        <x:v>CROP_VERIFIED</x:v>
      </x:c>
      <x:c r="M491" s="87" t="str">
        <x:v>ORIGINAL_PACKAGE</x:v>
      </x:c>
      <x:c r="N491" s="87" t="str">
        <x:v>pages/VIS-EGKR-HIST-W25-DOC-953-P2-P001.png</x:v>
      </x:c>
      <x:c r="O491" s="87" t="str">
        <x:v>thumbnails/VIS-EGKR-HIST-W25-DOC-953-P2-P001.jpg</x:v>
      </x:c>
      <x:c r="P491" s="87" t="str">
        <x:v>1fcd6c63118806f3802fe2b7bfb4968c5a67bc4f17d59ef4cd3e8fc724a6c335</x:v>
      </x:c>
      <x:c r="Q491" s="30" t="str">
        <x:v>incoming/raw/recovery-drop-01/history_egkr_winter_visual_assets_v094.zip!/pages/VIS-EGKR-HIST-W25-DOC-953-P2-P001.png</x:v>
      </x:c>
      <x:c r="R491" s="30" t="str">
        <x:v>RESOLVED_UNLINKED_REGISTRY_VISUAL</x:v>
      </x:c>
      <x:c r="S491" t="e">
        <x:f>HYPERLINK("visual_gallery/index.html#"&amp;A491,"Галерея")</x:f>
      </x:c>
    </x:row>
    <x:row r="492">
      <x:c r="A492" s="87" t="str">
        <x:v>VIS-EGKR-HIST-W25-DOC-ANS-952-P001</x:v>
      </x:c>
      <x:c r="B492" s="30" t="str"/>
      <x:c r="C492" s="30"/>
      <x:c r="D492" s="30" t="str">
        <x:v>952</x:v>
      </x:c>
      <x:c r="E492" s="87" t="str">
        <x:v>ANSWER_SOURCE</x:v>
      </x:c>
      <x:c r="F492" s="30" t="str">
        <x:v>Ответы история.docx</x:v>
      </x:c>
      <x:c r="G492" s="87" t="str">
        <x:v>1</x:v>
      </x:c>
      <x:c r="H492" s="87" t="str">
        <x:v>v0.94</x:v>
      </x:c>
      <x:c r="I492" s="87" t="str">
        <x:v>0</x:v>
      </x:c>
      <x:c r="J492" s="30" t="str"/>
      <x:c r="K492" s="30" t="str"/>
      <x:c r="L492" s="87" t="str">
        <x:v>CROP_VERIFIED</x:v>
      </x:c>
      <x:c r="M492" s="87" t="str">
        <x:v>ORIGINAL_PACKAGE</x:v>
      </x:c>
      <x:c r="N492" s="87" t="str">
        <x:v>pages/VIS-EGKR-HIST-W25-DOC-ANS-952-P001.png</x:v>
      </x:c>
      <x:c r="O492" s="87" t="str">
        <x:v>thumbnails/VIS-EGKR-HIST-W25-DOC-ANS-952-P001.jpg</x:v>
      </x:c>
      <x:c r="P492" s="87" t="str">
        <x:v>3bf4b6b026c593d1b800934c7a81215f7987728cff2608d0362d2d69e9417095</x:v>
      </x:c>
      <x:c r="Q492" s="30" t="str">
        <x:v>incoming/raw/recovery-drop-01/history_egkr_winter_visual_assets_v094.zip!/pages/VIS-EGKR-HIST-W25-DOC-ANS-952-P001.png</x:v>
      </x:c>
      <x:c r="R492" s="30" t="str">
        <x:v>RESOLVED_UNLINKED_REGISTRY_VISUAL</x:v>
      </x:c>
      <x:c r="S492" t="e">
        <x:f>HYPERLINK("visual_gallery/index.html#"&amp;A492,"Галерея")</x:f>
      </x:c>
    </x:row>
    <x:row r="493">
      <x:c r="A493" s="87" t="str">
        <x:v>VIS-EGKR-HIST-W25-TASK-952-P001</x:v>
      </x:c>
      <x:c r="B493" s="30" t="str">
        <x:v>История</x:v>
      </x:c>
      <x:c r="C493" s="30"/>
      <x:c r="D493" s="30" t="str">
        <x:v>952</x:v>
      </x:c>
      <x:c r="E493" s="87" t="str">
        <x:v>TASK</x:v>
      </x:c>
      <x:c r="F493" s="30" t="str">
        <x:v>952 история.pdf</x:v>
      </x:c>
      <x:c r="G493" s="87" t="str">
        <x:v>1</x:v>
      </x:c>
      <x:c r="H493" s="87" t="str">
        <x:v>v0.94</x:v>
      </x:c>
      <x:c r="I493" s="87" t="str">
        <x:v>2</x:v>
      </x:c>
      <x:c r="J493" s="30" t="str">
        <x:v>VIS_ID</x:v>
      </x:c>
      <x:c r="K493" s="30" t="str">
        <x:v>EGKR-W25-HIST-952-01, EGKR-W25-HIST-952-02</x:v>
      </x:c>
      <x:c r="L493" s="87" t="str">
        <x:v>CROP_VERIFIED</x:v>
      </x:c>
      <x:c r="M493" s="87" t="str">
        <x:v>ORIGINAL_PACKAGE</x:v>
      </x:c>
      <x:c r="N493" s="87" t="str">
        <x:v>pages/VIS-EGKR-HIST-W25-TASK-952-P001.png</x:v>
      </x:c>
      <x:c r="O493" s="87" t="str">
        <x:v>thumbnails/VIS-EGKR-HIST-W25-TASK-952-P001.jpg</x:v>
      </x:c>
      <x:c r="P493" s="87" t="str">
        <x:v>6ec6b9e6f33c8974be67207221d7ae682e420f4e72ce1c0363aef8ed32c084ba</x:v>
      </x:c>
      <x:c r="Q493" s="30" t="str">
        <x:v>incoming/raw/recovery-drop-01/history_egkr_winter_visual_assets_v094.zip!/pages/VIS-EGKR-HIST-W25-TASK-952-P001.png</x:v>
      </x:c>
      <x:c r="R493" s="30" t="str">
        <x:v>MATCHED_ASSET</x:v>
      </x:c>
      <x:c r="S493" t="e">
        <x:f>HYPERLINK("visual_gallery/index.html#"&amp;A493,"Галерея")</x:f>
      </x:c>
    </x:row>
    <x:row r="494">
      <x:c r="A494" s="87" t="str">
        <x:v>VIS-EGKR-HIST-W25-TASK-952-P002</x:v>
      </x:c>
      <x:c r="B494" s="30" t="str">
        <x:v>История</x:v>
      </x:c>
      <x:c r="C494" s="30"/>
      <x:c r="D494" s="30" t="str">
        <x:v>952</x:v>
      </x:c>
      <x:c r="E494" s="87" t="str">
        <x:v>TASK</x:v>
      </x:c>
      <x:c r="F494" s="30" t="str">
        <x:v>952 история.pdf</x:v>
      </x:c>
      <x:c r="G494" s="87" t="str">
        <x:v>2</x:v>
      </x:c>
      <x:c r="H494" s="87" t="str">
        <x:v>v0.94</x:v>
      </x:c>
      <x:c r="I494" s="87" t="str">
        <x:v>2</x:v>
      </x:c>
      <x:c r="J494" s="30" t="str">
        <x:v>VIS_ID</x:v>
      </x:c>
      <x:c r="K494" s="30" t="str">
        <x:v>EGKR-W25-HIST-952-03, EGKR-W25-HIST-952-04</x:v>
      </x:c>
      <x:c r="L494" s="87" t="str">
        <x:v>CROP_VERIFIED</x:v>
      </x:c>
      <x:c r="M494" s="87" t="str">
        <x:v>ORIGINAL_PACKAGE</x:v>
      </x:c>
      <x:c r="N494" s="87" t="str">
        <x:v>pages/VIS-EGKR-HIST-W25-TASK-952-P002.png</x:v>
      </x:c>
      <x:c r="O494" s="87" t="str">
        <x:v>thumbnails/VIS-EGKR-HIST-W25-TASK-952-P002.jpg</x:v>
      </x:c>
      <x:c r="P494" s="87" t="str">
        <x:v>58f888fe9717f1ab5d3232e49adef73af6148270cf4fc2a41f456f1024c6e4d0</x:v>
      </x:c>
      <x:c r="Q494" s="30" t="str">
        <x:v>incoming/raw/recovery-drop-01/history_egkr_winter_visual_assets_v094.zip!/pages/VIS-EGKR-HIST-W25-TASK-952-P002.png</x:v>
      </x:c>
      <x:c r="R494" s="30" t="str">
        <x:v>MATCHED_ASSET</x:v>
      </x:c>
      <x:c r="S494" t="e">
        <x:f>HYPERLINK("visual_gallery/index.html#"&amp;A494,"Галерея")</x:f>
      </x:c>
    </x:row>
    <x:row r="495">
      <x:c r="A495" s="87" t="str">
        <x:v>VIS-EGKR-HIST-W25-TASK-952-P003</x:v>
      </x:c>
      <x:c r="B495" s="30" t="str">
        <x:v>История</x:v>
      </x:c>
      <x:c r="C495" s="30"/>
      <x:c r="D495" s="30" t="str">
        <x:v>952</x:v>
      </x:c>
      <x:c r="E495" s="87" t="str">
        <x:v>TASK</x:v>
      </x:c>
      <x:c r="F495" s="30" t="str">
        <x:v>952 история.pdf</x:v>
      </x:c>
      <x:c r="G495" s="87" t="str">
        <x:v>3</x:v>
      </x:c>
      <x:c r="H495" s="87" t="str">
        <x:v>v0.94</x:v>
      </x:c>
      <x:c r="I495" s="87" t="str">
        <x:v>2</x:v>
      </x:c>
      <x:c r="J495" s="30" t="str">
        <x:v>VIS_ID</x:v>
      </x:c>
      <x:c r="K495" s="30" t="str">
        <x:v>EGKR-W25-HIST-952-05, EGKR-W25-HIST-952-06</x:v>
      </x:c>
      <x:c r="L495" s="87" t="str">
        <x:v>CROP_VERIFIED</x:v>
      </x:c>
      <x:c r="M495" s="87" t="str">
        <x:v>ORIGINAL_PACKAGE</x:v>
      </x:c>
      <x:c r="N495" s="87" t="str">
        <x:v>pages/VIS-EGKR-HIST-W25-TASK-952-P003.png</x:v>
      </x:c>
      <x:c r="O495" s="87" t="str">
        <x:v>thumbnails/VIS-EGKR-HIST-W25-TASK-952-P003.jpg</x:v>
      </x:c>
      <x:c r="P495" s="87" t="str">
        <x:v>9ac5ad6145e655de57d230a4089702344312541f8d95b6161078c4028910f787</x:v>
      </x:c>
      <x:c r="Q495" s="30" t="str">
        <x:v>incoming/raw/recovery-drop-01/history_egkr_winter_visual_assets_v094.zip!/pages/VIS-EGKR-HIST-W25-TASK-952-P003.png</x:v>
      </x:c>
      <x:c r="R495" s="30" t="str">
        <x:v>MATCHED_ASSET</x:v>
      </x:c>
      <x:c r="S495" t="e">
        <x:f>HYPERLINK("visual_gallery/index.html#"&amp;A495,"Галерея")</x:f>
      </x:c>
    </x:row>
    <x:row r="496">
      <x:c r="A496" s="87" t="str">
        <x:v>VIS-EGKR-HIST-W25-TASK-952-P004</x:v>
      </x:c>
      <x:c r="B496" s="30" t="str">
        <x:v>История</x:v>
      </x:c>
      <x:c r="C496" s="30"/>
      <x:c r="D496" s="30" t="str">
        <x:v>952</x:v>
      </x:c>
      <x:c r="E496" s="87" t="str">
        <x:v>TASK</x:v>
      </x:c>
      <x:c r="F496" s="30" t="str">
        <x:v>952 история.pdf</x:v>
      </x:c>
      <x:c r="G496" s="87" t="str">
        <x:v>4</x:v>
      </x:c>
      <x:c r="H496" s="87" t="str">
        <x:v>v0.94</x:v>
      </x:c>
      <x:c r="I496" s="87" t="str">
        <x:v>2</x:v>
      </x:c>
      <x:c r="J496" s="30" t="str">
        <x:v>VIS_ID</x:v>
      </x:c>
      <x:c r="K496" s="30" t="str">
        <x:v>EGKR-W25-HIST-952-07, EGKR-W25-HIST-952-08</x:v>
      </x:c>
      <x:c r="L496" s="87" t="str">
        <x:v>CROP_VERIFIED</x:v>
      </x:c>
      <x:c r="M496" s="87" t="str">
        <x:v>ORIGINAL_PACKAGE</x:v>
      </x:c>
      <x:c r="N496" s="87" t="str">
        <x:v>pages/VIS-EGKR-HIST-W25-TASK-952-P004.png</x:v>
      </x:c>
      <x:c r="O496" s="87" t="str">
        <x:v>thumbnails/VIS-EGKR-HIST-W25-TASK-952-P004.jpg</x:v>
      </x:c>
      <x:c r="P496" s="87" t="str">
        <x:v>d283557c84f6cd536efbbce327592da4bfb790cdda539f29780f101d8fcebad7</x:v>
      </x:c>
      <x:c r="Q496" s="30" t="str">
        <x:v>incoming/raw/recovery-drop-01/history_egkr_winter_visual_assets_v094.zip!/pages/VIS-EGKR-HIST-W25-TASK-952-P004.png</x:v>
      </x:c>
      <x:c r="R496" s="30" t="str">
        <x:v>MATCHED_ASSET</x:v>
      </x:c>
      <x:c r="S496" t="e">
        <x:f>HYPERLINK("visual_gallery/index.html#"&amp;A496,"Галерея")</x:f>
      </x:c>
    </x:row>
    <x:row r="497">
      <x:c r="A497" s="87" t="str">
        <x:v>VIS-EGKR-HIST-W25-TASK-952-P005</x:v>
      </x:c>
      <x:c r="B497" s="30" t="str">
        <x:v>История</x:v>
      </x:c>
      <x:c r="C497" s="30"/>
      <x:c r="D497" s="30" t="str">
        <x:v>952</x:v>
      </x:c>
      <x:c r="E497" s="87" t="str">
        <x:v>TASK</x:v>
      </x:c>
      <x:c r="F497" s="30" t="str">
        <x:v>952 история.pdf</x:v>
      </x:c>
      <x:c r="G497" s="87" t="str">
        <x:v>5</x:v>
      </x:c>
      <x:c r="H497" s="87" t="str">
        <x:v>v0.94</x:v>
      </x:c>
      <x:c r="I497" s="87" t="str">
        <x:v>4</x:v>
      </x:c>
      <x:c r="J497" s="30" t="str">
        <x:v>VIS_ID</x:v>
      </x:c>
      <x:c r="K497" s="30" t="str">
        <x:v>EGKR-W25-HIST-952-09, EGKR-W25-HIST-952-10, EGKR-W25-HIST-952-11, EGKR-W25-HIST-952-12</x:v>
      </x:c>
      <x:c r="L497" s="87" t="str">
        <x:v>CROP_VERIFIED</x:v>
      </x:c>
      <x:c r="M497" s="87" t="str">
        <x:v>ORIGINAL_PACKAGE</x:v>
      </x:c>
      <x:c r="N497" s="87" t="str">
        <x:v>pages/VIS-EGKR-HIST-W25-TASK-952-P005.png</x:v>
      </x:c>
      <x:c r="O497" s="87" t="str">
        <x:v>thumbnails/VIS-EGKR-HIST-W25-TASK-952-P005.jpg</x:v>
      </x:c>
      <x:c r="P497" s="87" t="str">
        <x:v>5476fd80961f25583913daba7cefb69ab9f494f173d7bec7823509ec1c25c167</x:v>
      </x:c>
      <x:c r="Q497" s="30" t="str">
        <x:v>incoming/raw/recovery-drop-01/history_egkr_winter_visual_assets_v094.zip!/pages/VIS-EGKR-HIST-W25-TASK-952-P005.png</x:v>
      </x:c>
      <x:c r="R497" s="30" t="str">
        <x:v>MATCHED_ASSET</x:v>
      </x:c>
      <x:c r="S497" t="e">
        <x:f>HYPERLINK("visual_gallery/index.html#"&amp;A497,"Галерея")</x:f>
      </x:c>
    </x:row>
    <x:row r="498">
      <x:c r="A498" s="87" t="str">
        <x:v>VIS-EGKR-HIST-W25-TASK-952-P006</x:v>
      </x:c>
      <x:c r="B498" s="30" t="str">
        <x:v>История</x:v>
      </x:c>
      <x:c r="C498" s="30"/>
      <x:c r="D498" s="30" t="str">
        <x:v>952</x:v>
      </x:c>
      <x:c r="E498" s="87" t="str">
        <x:v>TASK</x:v>
      </x:c>
      <x:c r="F498" s="30" t="str">
        <x:v>952 история.pdf</x:v>
      </x:c>
      <x:c r="G498" s="87" t="str">
        <x:v>6</x:v>
      </x:c>
      <x:c r="H498" s="87" t="str">
        <x:v>v0.94</x:v>
      </x:c>
      <x:c r="I498" s="87" t="str">
        <x:v>2</x:v>
      </x:c>
      <x:c r="J498" s="30" t="str">
        <x:v>VIS_ID</x:v>
      </x:c>
      <x:c r="K498" s="30" t="str">
        <x:v>EGKR-W25-HIST-952-13, EGKR-W25-HIST-952-14</x:v>
      </x:c>
      <x:c r="L498" s="87" t="str">
        <x:v>CROP_VERIFIED</x:v>
      </x:c>
      <x:c r="M498" s="87" t="str">
        <x:v>ORIGINAL_PACKAGE</x:v>
      </x:c>
      <x:c r="N498" s="87" t="str">
        <x:v>pages/VIS-EGKR-HIST-W25-TASK-952-P006.png</x:v>
      </x:c>
      <x:c r="O498" s="87" t="str">
        <x:v>thumbnails/VIS-EGKR-HIST-W25-TASK-952-P006.jpg</x:v>
      </x:c>
      <x:c r="P498" s="87" t="str">
        <x:v>2606d44c2448420b7d12241d1045fb73a735c31c4c512c3b6f910de93f1f0023</x:v>
      </x:c>
      <x:c r="Q498" s="30" t="str">
        <x:v>incoming/raw/recovery-drop-01/history_egkr_winter_visual_assets_v094.zip!/pages/VIS-EGKR-HIST-W25-TASK-952-P006.png</x:v>
      </x:c>
      <x:c r="R498" s="30" t="str">
        <x:v>MATCHED_ASSET</x:v>
      </x:c>
      <x:c r="S498" t="e">
        <x:f>HYPERLINK("visual_gallery/index.html#"&amp;A498,"Галерея")</x:f>
      </x:c>
    </x:row>
    <x:row r="499">
      <x:c r="A499" s="87" t="str">
        <x:v>VIS-EGKR-HIST-W25-TASK-952-P007</x:v>
      </x:c>
      <x:c r="B499" s="30" t="str">
        <x:v>История</x:v>
      </x:c>
      <x:c r="C499" s="30"/>
      <x:c r="D499" s="30" t="str">
        <x:v>952</x:v>
      </x:c>
      <x:c r="E499" s="87" t="str">
        <x:v>TASK</x:v>
      </x:c>
      <x:c r="F499" s="30" t="str">
        <x:v>952 история.pdf</x:v>
      </x:c>
      <x:c r="G499" s="87" t="str">
        <x:v>7</x:v>
      </x:c>
      <x:c r="H499" s="87" t="str">
        <x:v>v0.94</x:v>
      </x:c>
      <x:c r="I499" s="87" t="str">
        <x:v>2</x:v>
      </x:c>
      <x:c r="J499" s="30" t="str">
        <x:v>VIS_ID</x:v>
      </x:c>
      <x:c r="K499" s="30" t="str">
        <x:v>EGKR-W25-HIST-952-15, EGKR-W25-HIST-952-16</x:v>
      </x:c>
      <x:c r="L499" s="87" t="str">
        <x:v>CROP_VERIFIED</x:v>
      </x:c>
      <x:c r="M499" s="87" t="str">
        <x:v>ORIGINAL_PACKAGE</x:v>
      </x:c>
      <x:c r="N499" s="87" t="str">
        <x:v>pages/VIS-EGKR-HIST-W25-TASK-952-P007.png</x:v>
      </x:c>
      <x:c r="O499" s="87" t="str">
        <x:v>thumbnails/VIS-EGKR-HIST-W25-TASK-952-P007.jpg</x:v>
      </x:c>
      <x:c r="P499" s="87" t="str">
        <x:v>17e9dfa8385086a739d3f1e722a9c86af1c18e7ee4ffcde0385f3752a5b52f92</x:v>
      </x:c>
      <x:c r="Q499" s="30" t="str">
        <x:v>incoming/raw/recovery-drop-01/history_egkr_winter_visual_assets_v094.zip!/pages/VIS-EGKR-HIST-W25-TASK-952-P007.png</x:v>
      </x:c>
      <x:c r="R499" s="30" t="str">
        <x:v>MATCHED_ASSET</x:v>
      </x:c>
      <x:c r="S499" t="e">
        <x:f>HYPERLINK("visual_gallery/index.html#"&amp;A499,"Галерея")</x:f>
      </x:c>
    </x:row>
    <x:row r="500">
      <x:c r="A500" s="87" t="str">
        <x:v>VIS-EGKR-HIST-W25-TASK-952-P008</x:v>
      </x:c>
      <x:c r="B500" s="30" t="str">
        <x:v>История</x:v>
      </x:c>
      <x:c r="C500" s="30"/>
      <x:c r="D500" s="30" t="str">
        <x:v>952</x:v>
      </x:c>
      <x:c r="E500" s="87" t="str">
        <x:v>TASK</x:v>
      </x:c>
      <x:c r="F500" s="30" t="str">
        <x:v>952 история.pdf</x:v>
      </x:c>
      <x:c r="G500" s="87" t="str">
        <x:v>8</x:v>
      </x:c>
      <x:c r="H500" s="87" t="str">
        <x:v>v0.94</x:v>
      </x:c>
      <x:c r="I500" s="87" t="str">
        <x:v>3</x:v>
      </x:c>
      <x:c r="J500" s="30" t="str">
        <x:v>VIS_ID</x:v>
      </x:c>
      <x:c r="K500" s="30" t="str">
        <x:v>EGKR-W25-HIST-952-17, EGKR-W25-HIST-952-18, EGKR-W25-HIST-952-19</x:v>
      </x:c>
      <x:c r="L500" s="87" t="str">
        <x:v>CROP_VERIFIED</x:v>
      </x:c>
      <x:c r="M500" s="87" t="str">
        <x:v>ORIGINAL_PACKAGE</x:v>
      </x:c>
      <x:c r="N500" s="87" t="str">
        <x:v>pages/VIS-EGKR-HIST-W25-TASK-952-P008.png</x:v>
      </x:c>
      <x:c r="O500" s="87" t="str">
        <x:v>thumbnails/VIS-EGKR-HIST-W25-TASK-952-P008.jpg</x:v>
      </x:c>
      <x:c r="P500" s="87" t="str">
        <x:v>99186abbbf473a2e469f3651d89a51fb4bc8ce61ffda41dd58b2ca381085da3d</x:v>
      </x:c>
      <x:c r="Q500" s="30" t="str">
        <x:v>incoming/raw/recovery-drop-01/history_egkr_winter_visual_assets_v094.zip!/pages/VIS-EGKR-HIST-W25-TASK-952-P008.png</x:v>
      </x:c>
      <x:c r="R500" s="30" t="str">
        <x:v>MATCHED_ASSET</x:v>
      </x:c>
      <x:c r="S500" t="e">
        <x:f>HYPERLINK("visual_gallery/index.html#"&amp;A500,"Галерея")</x:f>
      </x:c>
    </x:row>
    <x:row r="501">
      <x:c r="A501" s="87" t="str">
        <x:v>VIS-EGKR-HIST-W25-TASK-952-P009</x:v>
      </x:c>
      <x:c r="B501" s="30" t="str">
        <x:v>История</x:v>
      </x:c>
      <x:c r="C501" s="30"/>
      <x:c r="D501" s="30" t="str">
        <x:v>952</x:v>
      </x:c>
      <x:c r="E501" s="87" t="str">
        <x:v>TASK</x:v>
      </x:c>
      <x:c r="F501" s="30" t="str">
        <x:v>952 история.pdf</x:v>
      </x:c>
      <x:c r="G501" s="87" t="str">
        <x:v>9</x:v>
      </x:c>
      <x:c r="H501" s="87" t="str">
        <x:v>v0.94</x:v>
      </x:c>
      <x:c r="I501" s="87" t="str">
        <x:v>2</x:v>
      </x:c>
      <x:c r="J501" s="30" t="str">
        <x:v>VIS_ID</x:v>
      </x:c>
      <x:c r="K501" s="30" t="str">
        <x:v>EGKR-W25-HIST-952-20, EGKR-W25-HIST-952-21</x:v>
      </x:c>
      <x:c r="L501" s="87" t="str">
        <x:v>CROP_VERIFIED</x:v>
      </x:c>
      <x:c r="M501" s="87" t="str">
        <x:v>ORIGINAL_PACKAGE</x:v>
      </x:c>
      <x:c r="N501" s="87" t="str">
        <x:v>pages/VIS-EGKR-HIST-W25-TASK-952-P009.png</x:v>
      </x:c>
      <x:c r="O501" s="87" t="str">
        <x:v>thumbnails/VIS-EGKR-HIST-W25-TASK-952-P009.jpg</x:v>
      </x:c>
      <x:c r="P501" s="87" t="str">
        <x:v>7630dcdb9c9a7ed8b576a0245cf205ea229dfc7e59e6b6fe061597f9937c6cc6</x:v>
      </x:c>
      <x:c r="Q501" s="30" t="str">
        <x:v>incoming/raw/recovery-drop-01/history_egkr_winter_visual_assets_v094.zip!/pages/VIS-EGKR-HIST-W25-TASK-952-P009.png</x:v>
      </x:c>
      <x:c r="R501" s="30" t="str">
        <x:v>MATCHED_ASSET</x:v>
      </x:c>
      <x:c r="S501" t="e">
        <x:f>HYPERLINK("visual_gallery/index.html#"&amp;A501,"Галерея")</x:f>
      </x:c>
    </x:row>
    <x:row r="502">
      <x:c r="A502" s="87" t="str">
        <x:v>VIS-EGKR-HIST-W25-TASK-953-P001</x:v>
      </x:c>
      <x:c r="B502" s="30" t="str">
        <x:v>История</x:v>
      </x:c>
      <x:c r="C502" s="30"/>
      <x:c r="D502" s="30" t="str">
        <x:v>953</x:v>
      </x:c>
      <x:c r="E502" s="87" t="str">
        <x:v>TASK</x:v>
      </x:c>
      <x:c r="F502" s="30" t="str">
        <x:v>953 История.pdf</x:v>
      </x:c>
      <x:c r="G502" s="87" t="str">
        <x:v>1</x:v>
      </x:c>
      <x:c r="H502" s="87" t="str">
        <x:v>v0.94</x:v>
      </x:c>
      <x:c r="I502" s="87" t="str">
        <x:v>2</x:v>
      </x:c>
      <x:c r="J502" s="30" t="str">
        <x:v>VIS_ID</x:v>
      </x:c>
      <x:c r="K502" s="30" t="str">
        <x:v>EGKR-W25-HIST-953-01, EGKR-W25-HIST-953-02</x:v>
      </x:c>
      <x:c r="L502" s="87" t="str">
        <x:v>CROP_VERIFIED</x:v>
      </x:c>
      <x:c r="M502" s="87" t="str">
        <x:v>ORIGINAL_PACKAGE</x:v>
      </x:c>
      <x:c r="N502" s="87" t="str">
        <x:v>pages/VIS-EGKR-HIST-W25-TASK-953-P001.png</x:v>
      </x:c>
      <x:c r="O502" s="87" t="str">
        <x:v>thumbnails/VIS-EGKR-HIST-W25-TASK-953-P001.jpg</x:v>
      </x:c>
      <x:c r="P502" s="87" t="str">
        <x:v>1c1c5f56f75eb6b8e499d1f7e452a343e65597a7e7e3f2c5633a3c74ee4fb35b</x:v>
      </x:c>
      <x:c r="Q502" s="30" t="str">
        <x:v>incoming/raw/recovery-drop-01/history_egkr_winter_visual_assets_v094.zip!/pages/VIS-EGKR-HIST-W25-TASK-953-P001.png</x:v>
      </x:c>
      <x:c r="R502" s="30" t="str">
        <x:v>MATCHED_ASSET</x:v>
      </x:c>
      <x:c r="S502" t="e">
        <x:f>HYPERLINK("visual_gallery/index.html#"&amp;A502,"Галерея")</x:f>
      </x:c>
    </x:row>
    <x:row r="503">
      <x:c r="A503" s="87" t="str">
        <x:v>VIS-EGKR-HIST-W25-TASK-953-P002</x:v>
      </x:c>
      <x:c r="B503" s="30" t="str">
        <x:v>История</x:v>
      </x:c>
      <x:c r="C503" s="30"/>
      <x:c r="D503" s="30" t="str">
        <x:v>953</x:v>
      </x:c>
      <x:c r="E503" s="87" t="str">
        <x:v>TASK</x:v>
      </x:c>
      <x:c r="F503" s="30" t="str">
        <x:v>953 История.pdf</x:v>
      </x:c>
      <x:c r="G503" s="87" t="str">
        <x:v>2</x:v>
      </x:c>
      <x:c r="H503" s="87" t="str">
        <x:v>v0.94</x:v>
      </x:c>
      <x:c r="I503" s="87" t="str">
        <x:v>2</x:v>
      </x:c>
      <x:c r="J503" s="30" t="str">
        <x:v>VIS_ID</x:v>
      </x:c>
      <x:c r="K503" s="30" t="str">
        <x:v>EGKR-W25-HIST-953-03, EGKR-W25-HIST-953-04</x:v>
      </x:c>
      <x:c r="L503" s="87" t="str">
        <x:v>CROP_VERIFIED</x:v>
      </x:c>
      <x:c r="M503" s="87" t="str">
        <x:v>ORIGINAL_PACKAGE</x:v>
      </x:c>
      <x:c r="N503" s="87" t="str">
        <x:v>pages/VIS-EGKR-HIST-W25-TASK-953-P002.png</x:v>
      </x:c>
      <x:c r="O503" s="87" t="str">
        <x:v>thumbnails/VIS-EGKR-HIST-W25-TASK-953-P002.jpg</x:v>
      </x:c>
      <x:c r="P503" s="87" t="str">
        <x:v>e43ccb055225b108c3dfcdda4500d5cb02e007a2e9265b4b8fb79aeb93f9c2e7</x:v>
      </x:c>
      <x:c r="Q503" s="30" t="str">
        <x:v>incoming/raw/recovery-drop-01/history_egkr_winter_visual_assets_v094.zip!/pages/VIS-EGKR-HIST-W25-TASK-953-P002.png</x:v>
      </x:c>
      <x:c r="R503" s="30" t="str">
        <x:v>MATCHED_ASSET</x:v>
      </x:c>
      <x:c r="S503" t="e">
        <x:f>HYPERLINK("visual_gallery/index.html#"&amp;A503,"Галерея")</x:f>
      </x:c>
    </x:row>
    <x:row r="504">
      <x:c r="A504" s="87" t="str">
        <x:v>VIS-EGKR-HIST-W25-TASK-953-P003</x:v>
      </x:c>
      <x:c r="B504" s="30" t="str">
        <x:v>История</x:v>
      </x:c>
      <x:c r="C504" s="30"/>
      <x:c r="D504" s="30" t="str">
        <x:v>953</x:v>
      </x:c>
      <x:c r="E504" s="87" t="str">
        <x:v>TASK</x:v>
      </x:c>
      <x:c r="F504" s="30" t="str">
        <x:v>953 История.pdf</x:v>
      </x:c>
      <x:c r="G504" s="87" t="str">
        <x:v>3</x:v>
      </x:c>
      <x:c r="H504" s="87" t="str">
        <x:v>v0.94</x:v>
      </x:c>
      <x:c r="I504" s="87" t="str">
        <x:v>2</x:v>
      </x:c>
      <x:c r="J504" s="30" t="str">
        <x:v>VIS_ID</x:v>
      </x:c>
      <x:c r="K504" s="30" t="str">
        <x:v>EGKR-W25-HIST-953-05, EGKR-W25-HIST-953-06</x:v>
      </x:c>
      <x:c r="L504" s="87" t="str">
        <x:v>CROP_VERIFIED</x:v>
      </x:c>
      <x:c r="M504" s="87" t="str">
        <x:v>ORIGINAL_PACKAGE</x:v>
      </x:c>
      <x:c r="N504" s="87" t="str">
        <x:v>pages/VIS-EGKR-HIST-W25-TASK-953-P003.png</x:v>
      </x:c>
      <x:c r="O504" s="87" t="str">
        <x:v>thumbnails/VIS-EGKR-HIST-W25-TASK-953-P003.jpg</x:v>
      </x:c>
      <x:c r="P504" s="87" t="str">
        <x:v>6899b0a9217587698e61a1f3dc7ffa79b442732a52e46843eeeb621ccfbce51d</x:v>
      </x:c>
      <x:c r="Q504" s="30" t="str">
        <x:v>incoming/raw/recovery-drop-01/history_egkr_winter_visual_assets_v094.zip!/pages/VIS-EGKR-HIST-W25-TASK-953-P003.png</x:v>
      </x:c>
      <x:c r="R504" s="30" t="str">
        <x:v>MATCHED_ASSET</x:v>
      </x:c>
      <x:c r="S504" t="e">
        <x:f>HYPERLINK("visual_gallery/index.html#"&amp;A504,"Галерея")</x:f>
      </x:c>
    </x:row>
    <x:row r="505">
      <x:c r="A505" s="87" t="str">
        <x:v>VIS-EGKR-HIST-W25-TASK-953-P004</x:v>
      </x:c>
      <x:c r="B505" s="30" t="str">
        <x:v>История</x:v>
      </x:c>
      <x:c r="C505" s="30"/>
      <x:c r="D505" s="30" t="str">
        <x:v>953</x:v>
      </x:c>
      <x:c r="E505" s="87" t="str">
        <x:v>TASK</x:v>
      </x:c>
      <x:c r="F505" s="30" t="str">
        <x:v>953 История.pdf</x:v>
      </x:c>
      <x:c r="G505" s="87" t="str">
        <x:v>4</x:v>
      </x:c>
      <x:c r="H505" s="87" t="str">
        <x:v>v0.94</x:v>
      </x:c>
      <x:c r="I505" s="87" t="str">
        <x:v>2</x:v>
      </x:c>
      <x:c r="J505" s="30" t="str">
        <x:v>VIS_ID</x:v>
      </x:c>
      <x:c r="K505" s="30" t="str">
        <x:v>EGKR-W25-HIST-953-07, EGKR-W25-HIST-953-08</x:v>
      </x:c>
      <x:c r="L505" s="87" t="str">
        <x:v>CROP_VERIFIED</x:v>
      </x:c>
      <x:c r="M505" s="87" t="str">
        <x:v>ORIGINAL_PACKAGE</x:v>
      </x:c>
      <x:c r="N505" s="87" t="str">
        <x:v>pages/VIS-EGKR-HIST-W25-TASK-953-P004.png</x:v>
      </x:c>
      <x:c r="O505" s="87" t="str">
        <x:v>thumbnails/VIS-EGKR-HIST-W25-TASK-953-P004.jpg</x:v>
      </x:c>
      <x:c r="P505" s="87" t="str">
        <x:v>3e056b5684cfa61ee49969dc8b2c0e0a24bbb42ce0a6779e18945755d08be40e</x:v>
      </x:c>
      <x:c r="Q505" s="30" t="str">
        <x:v>incoming/raw/recovery-drop-01/history_egkr_winter_visual_assets_v094.zip!/pages/VIS-EGKR-HIST-W25-TASK-953-P004.png</x:v>
      </x:c>
      <x:c r="R505" s="30" t="str">
        <x:v>MATCHED_ASSET</x:v>
      </x:c>
      <x:c r="S505" t="e">
        <x:f>HYPERLINK("visual_gallery/index.html#"&amp;A505,"Галерея")</x:f>
      </x:c>
    </x:row>
    <x:row r="506">
      <x:c r="A506" s="87" t="str">
        <x:v>VIS-EGKR-HIST-W25-TASK-953-P005</x:v>
      </x:c>
      <x:c r="B506" s="30" t="str">
        <x:v>История</x:v>
      </x:c>
      <x:c r="C506" s="30"/>
      <x:c r="D506" s="30" t="str">
        <x:v>953</x:v>
      </x:c>
      <x:c r="E506" s="87" t="str">
        <x:v>TASK</x:v>
      </x:c>
      <x:c r="F506" s="30" t="str">
        <x:v>953 История.pdf</x:v>
      </x:c>
      <x:c r="G506" s="87" t="str">
        <x:v>5</x:v>
      </x:c>
      <x:c r="H506" s="87" t="str">
        <x:v>v0.94</x:v>
      </x:c>
      <x:c r="I506" s="87" t="str">
        <x:v>4</x:v>
      </x:c>
      <x:c r="J506" s="30" t="str">
        <x:v>VIS_ID</x:v>
      </x:c>
      <x:c r="K506" s="30" t="str">
        <x:v>EGKR-W25-HIST-953-09, EGKR-W25-HIST-953-10, EGKR-W25-HIST-953-11, EGKR-W25-HIST-953-12</x:v>
      </x:c>
      <x:c r="L506" s="87" t="str">
        <x:v>CROP_VERIFIED</x:v>
      </x:c>
      <x:c r="M506" s="87" t="str">
        <x:v>ORIGINAL_PACKAGE</x:v>
      </x:c>
      <x:c r="N506" s="87" t="str">
        <x:v>pages/VIS-EGKR-HIST-W25-TASK-953-P005.png</x:v>
      </x:c>
      <x:c r="O506" s="87" t="str">
        <x:v>thumbnails/VIS-EGKR-HIST-W25-TASK-953-P005.jpg</x:v>
      </x:c>
      <x:c r="P506" s="87" t="str">
        <x:v>4696bb7fed8f1e1fd9459cdfaa9a85220ae02a80266cbc7e5e6eaea827e58496</x:v>
      </x:c>
      <x:c r="Q506" s="30" t="str">
        <x:v>incoming/raw/recovery-drop-01/history_egkr_winter_visual_assets_v094.zip!/pages/VIS-EGKR-HIST-W25-TASK-953-P005.png</x:v>
      </x:c>
      <x:c r="R506" s="30" t="str">
        <x:v>MATCHED_ASSET</x:v>
      </x:c>
      <x:c r="S506" t="e">
        <x:f>HYPERLINK("visual_gallery/index.html#"&amp;A506,"Галерея")</x:f>
      </x:c>
    </x:row>
    <x:row r="507">
      <x:c r="A507" s="87" t="str">
        <x:v>VIS-EGKR-HIST-W25-TASK-953-P006</x:v>
      </x:c>
      <x:c r="B507" s="30" t="str">
        <x:v>История</x:v>
      </x:c>
      <x:c r="C507" s="30"/>
      <x:c r="D507" s="30" t="str">
        <x:v>953</x:v>
      </x:c>
      <x:c r="E507" s="87" t="str">
        <x:v>TASK</x:v>
      </x:c>
      <x:c r="F507" s="30" t="str">
        <x:v>953 История.pdf</x:v>
      </x:c>
      <x:c r="G507" s="87" t="str">
        <x:v>6</x:v>
      </x:c>
      <x:c r="H507" s="87" t="str">
        <x:v>v0.94</x:v>
      </x:c>
      <x:c r="I507" s="87" t="str">
        <x:v>2</x:v>
      </x:c>
      <x:c r="J507" s="30" t="str">
        <x:v>VIS_ID</x:v>
      </x:c>
      <x:c r="K507" s="30" t="str">
        <x:v>EGKR-W25-HIST-953-13, EGKR-W25-HIST-953-14</x:v>
      </x:c>
      <x:c r="L507" s="87" t="str">
        <x:v>CROP_VERIFIED</x:v>
      </x:c>
      <x:c r="M507" s="87" t="str">
        <x:v>ORIGINAL_PACKAGE</x:v>
      </x:c>
      <x:c r="N507" s="87" t="str">
        <x:v>pages/VIS-EGKR-HIST-W25-TASK-953-P006.png</x:v>
      </x:c>
      <x:c r="O507" s="87" t="str">
        <x:v>thumbnails/VIS-EGKR-HIST-W25-TASK-953-P006.jpg</x:v>
      </x:c>
      <x:c r="P507" s="87" t="str">
        <x:v>b5da5cba61351e63d12698e7290b227c528f61b12a500e24120c427448b5e7c3</x:v>
      </x:c>
      <x:c r="Q507" s="30" t="str">
        <x:v>incoming/raw/recovery-drop-01/history_egkr_winter_visual_assets_v094.zip!/pages/VIS-EGKR-HIST-W25-ANSWER-953-P006.png</x:v>
      </x:c>
      <x:c r="R507" s="30" t="str">
        <x:v>MATCHED_ASSET</x:v>
      </x:c>
      <x:c r="S507" t="e">
        <x:f>HYPERLINK("visual_gallery/index.html#"&amp;A507,"Галерея")</x:f>
      </x:c>
    </x:row>
    <x:row r="508">
      <x:c r="A508" s="87" t="str">
        <x:v>VIS-EGKR-HIST-W25-TASK-953-P007</x:v>
      </x:c>
      <x:c r="B508" s="30" t="str">
        <x:v>История</x:v>
      </x:c>
      <x:c r="C508" s="30"/>
      <x:c r="D508" s="30" t="str">
        <x:v>953</x:v>
      </x:c>
      <x:c r="E508" s="87" t="str">
        <x:v>TASK</x:v>
      </x:c>
      <x:c r="F508" s="30" t="str">
        <x:v>953 История.pdf</x:v>
      </x:c>
      <x:c r="G508" s="87" t="str">
        <x:v>7</x:v>
      </x:c>
      <x:c r="H508" s="87" t="str">
        <x:v>v0.94</x:v>
      </x:c>
      <x:c r="I508" s="87" t="str">
        <x:v>2</x:v>
      </x:c>
      <x:c r="J508" s="30" t="str">
        <x:v>VIS_ID</x:v>
      </x:c>
      <x:c r="K508" s="30" t="str">
        <x:v>EGKR-W25-HIST-953-15, EGKR-W25-HIST-953-16</x:v>
      </x:c>
      <x:c r="L508" s="87" t="str">
        <x:v>CROP_VERIFIED</x:v>
      </x:c>
      <x:c r="M508" s="87" t="str">
        <x:v>ORIGINAL_PACKAGE</x:v>
      </x:c>
      <x:c r="N508" s="87" t="str">
        <x:v>pages/VIS-EGKR-HIST-W25-TASK-953-P007.png</x:v>
      </x:c>
      <x:c r="O508" s="87" t="str">
        <x:v>thumbnails/VIS-EGKR-HIST-W25-TASK-953-P007.jpg</x:v>
      </x:c>
      <x:c r="P508" s="87" t="str">
        <x:v>48603f6a9187cff26c41de649c30f0997a073e12acbced4fed42043b5e94c8f0</x:v>
      </x:c>
      <x:c r="Q508" s="30" t="str">
        <x:v>incoming/raw/recovery-drop-01/history_egkr_winter_visual_assets_v094.zip!/pages/VIS-EGKR-HIST-W25-ANSWER-953-P007.png</x:v>
      </x:c>
      <x:c r="R508" s="30" t="str">
        <x:v>MATCHED_ASSET</x:v>
      </x:c>
      <x:c r="S508" t="e">
        <x:f>HYPERLINK("visual_gallery/index.html#"&amp;A508,"Галерея")</x:f>
      </x:c>
    </x:row>
    <x:row r="509">
      <x:c r="A509" s="87" t="str">
        <x:v>VIS-EGKR-HIST-W25-TASK-953-P008</x:v>
      </x:c>
      <x:c r="B509" s="30" t="str">
        <x:v>История</x:v>
      </x:c>
      <x:c r="C509" s="30"/>
      <x:c r="D509" s="30" t="str">
        <x:v>953</x:v>
      </x:c>
      <x:c r="E509" s="87" t="str">
        <x:v>TASK</x:v>
      </x:c>
      <x:c r="F509" s="30" t="str">
        <x:v>953 История.pdf</x:v>
      </x:c>
      <x:c r="G509" s="87" t="str">
        <x:v>8</x:v>
      </x:c>
      <x:c r="H509" s="87" t="str">
        <x:v>v0.94</x:v>
      </x:c>
      <x:c r="I509" s="87" t="str">
        <x:v>3</x:v>
      </x:c>
      <x:c r="J509" s="30" t="str">
        <x:v>VIS_ID</x:v>
      </x:c>
      <x:c r="K509" s="30" t="str">
        <x:v>EGKR-W25-HIST-953-17, EGKR-W25-HIST-953-18, EGKR-W25-HIST-953-19</x:v>
      </x:c>
      <x:c r="L509" s="87" t="str">
        <x:v>CROP_VERIFIED</x:v>
      </x:c>
      <x:c r="M509" s="87" t="str">
        <x:v>ORIGINAL_PACKAGE</x:v>
      </x:c>
      <x:c r="N509" s="87" t="str">
        <x:v>pages/VIS-EGKR-HIST-W25-TASK-953-P008.png</x:v>
      </x:c>
      <x:c r="O509" s="87" t="str">
        <x:v>thumbnails/VIS-EGKR-HIST-W25-TASK-953-P008.jpg</x:v>
      </x:c>
      <x:c r="P509" s="87" t="str">
        <x:v>9458f9177e5874c77ec738415d7f80914fa85f1729105fbf8d2a30370c01f9cf</x:v>
      </x:c>
      <x:c r="Q509" s="30" t="str">
        <x:v>incoming/raw/recovery-drop-01/history_egkr_winter_visual_assets_v094.zip!/pages/VIS-EGKR-HIST-W25-ANSWER-953-P008.png</x:v>
      </x:c>
      <x:c r="R509" s="30" t="str">
        <x:v>MATCHED_ASSET</x:v>
      </x:c>
      <x:c r="S509" t="e">
        <x:f>HYPERLINK("visual_gallery/index.html#"&amp;A509,"Галерея")</x:f>
      </x:c>
    </x:row>
    <x:row r="510">
      <x:c r="A510" s="87" t="str">
        <x:v>VIS-EGKR-HIST-W25-TASK-953-P009</x:v>
      </x:c>
      <x:c r="B510" s="30" t="str">
        <x:v>История</x:v>
      </x:c>
      <x:c r="C510" s="30"/>
      <x:c r="D510" s="30" t="str">
        <x:v>953</x:v>
      </x:c>
      <x:c r="E510" s="87" t="str">
        <x:v>TASK</x:v>
      </x:c>
      <x:c r="F510" s="30" t="str">
        <x:v>953 История.pdf</x:v>
      </x:c>
      <x:c r="G510" s="87" t="str">
        <x:v>9</x:v>
      </x:c>
      <x:c r="H510" s="87" t="str">
        <x:v>v0.94</x:v>
      </x:c>
      <x:c r="I510" s="87" t="str">
        <x:v>2</x:v>
      </x:c>
      <x:c r="J510" s="30" t="str">
        <x:v>VIS_ID</x:v>
      </x:c>
      <x:c r="K510" s="30" t="str">
        <x:v>EGKR-W25-HIST-953-20, EGKR-W25-HIST-953-21</x:v>
      </x:c>
      <x:c r="L510" s="87" t="str">
        <x:v>CROP_VERIFIED</x:v>
      </x:c>
      <x:c r="M510" s="87" t="str">
        <x:v>ORIGINAL_PACKAGE</x:v>
      </x:c>
      <x:c r="N510" s="87" t="str">
        <x:v>pages/VIS-EGKR-HIST-W25-TASK-953-P009.png</x:v>
      </x:c>
      <x:c r="O510" s="87" t="str">
        <x:v>thumbnails/VIS-EGKR-HIST-W25-TASK-953-P009.jpg</x:v>
      </x:c>
      <x:c r="P510" s="87" t="str">
        <x:v>d45a9598df7621ab6b03ab2dcd3dc6a7449fd7158941496f7dcdec0d1fc7eb96</x:v>
      </x:c>
      <x:c r="Q510" s="30" t="str">
        <x:v>incoming/raw/recovery-drop-01/history_egkr_winter_visual_assets_v094.zip!/pages/VIS-EGKR-HIST-W25-ANSWER-953-P009.png</x:v>
      </x:c>
      <x:c r="R510" s="30" t="str">
        <x:v>MATCHED_ASSET</x:v>
      </x:c>
      <x:c r="S510" t="e">
        <x:f>HYPERLINK("visual_gallery/index.html#"&amp;A510,"Галерея")</x:f>
      </x:c>
    </x:row>
    <x:row r="511">
      <x:c r="A511" s="87" t="str">
        <x:v>VIS-EGKR-INF-S26-ANSWER-956-P001</x:v>
      </x:c>
      <x:c r="B511" s="30" t="str">
        <x:v>Информатика</x:v>
      </x:c>
      <x:c r="C511" s="30"/>
      <x:c r="D511" s="30" t="str">
        <x:v>956</x:v>
      </x:c>
      <x:c r="E511" s="87"/>
      <x:c r="F511" s="30"/>
      <x:c r="G511" s="87" t="str">
        <x:v>1</x:v>
      </x:c>
      <x:c r="H511" s="87" t="str">
        <x:v>v1.09</x:v>
      </x:c>
      <x:c r="I511" s="87" t="str">
        <x:v>32</x:v>
      </x:c>
      <x:c r="J511" s="30" t="str">
        <x:v>ANSWER_VIS_ID, VIS_KEY / MODEL</x:v>
      </x:c>
      <x:c r="K511" s="30" t="str">
        <x:v>EGKR-S26-INF-956-01, EGKR-S26-INF-956-02, EGKR-S26-INF-956-04, EGKR-S26-INF-956-05, EGKR-S26-INF-956-06, EGKR-S26-INF-956-07, EGKR-S26-INF-956-08, EGKR-S26-INF-956-11…</x:v>
      </x:c>
      <x:c r="L511" s="87" t="str">
        <x:v>CROP_VERIFIED</x:v>
      </x:c>
      <x:c r="M511" s="87" t="str">
        <x:v>ORIGINAL_PACKAGE</x:v>
      </x:c>
      <x:c r="N511" s="87" t="str">
        <x:v>pages/VIS-EGKR-INF-S26-ANSWER-956-P001.png</x:v>
      </x:c>
      <x:c r="O511" s="87" t="str">
        <x:v>thumbnails/VIS-EGKR-INF-S26-ANSWER-956-P001.jpg</x:v>
      </x:c>
      <x:c r="P511" s="87" t="str">
        <x:v>da9e28da54a93b3bb41117ca444aabd6439192e15ffa0969b2c3c2132b2f153a</x:v>
      </x:c>
      <x:c r="Q511" s="30" t="str">
        <x:v>incoming/raw/recovery-drop-01/informatics_egkr_spring_visual_assets_v109.zip!/pages/VIS-EGKR-INF-S26-ANSWER-956-P001.png</x:v>
      </x:c>
      <x:c r="R511" s="30" t="str">
        <x:v>MATCHED_ASSET</x:v>
      </x:c>
      <x:c r="S511" t="e">
        <x:f>HYPERLINK("visual_gallery/index.html#"&amp;A511,"Галерея")</x:f>
      </x:c>
    </x:row>
    <x:row r="512">
      <x:c r="A512" s="87" t="str">
        <x:v>VIS-EGKR-INF-S26-ANSWER-956-P002</x:v>
      </x:c>
      <x:c r="B512" s="30" t="str">
        <x:v>Информатика</x:v>
      </x:c>
      <x:c r="C512" s="30"/>
      <x:c r="D512" s="30" t="str">
        <x:v>956</x:v>
      </x:c>
      <x:c r="E512" s="87"/>
      <x:c r="F512" s="30"/>
      <x:c r="G512" s="87" t="str">
        <x:v>2</x:v>
      </x:c>
      <x:c r="H512" s="87" t="str">
        <x:v>v1.09</x:v>
      </x:c>
      <x:c r="I512" s="87" t="str">
        <x:v>2</x:v>
      </x:c>
      <x:c r="J512" s="30" t="str">
        <x:v>ANSWER_VIS_ID, VIS_KEY / MODEL</x:v>
      </x:c>
      <x:c r="K512" s="30" t="str">
        <x:v>EGKR-S26-INF-956-23</x:v>
      </x:c>
      <x:c r="L512" s="87" t="str">
        <x:v>CROP_VERIFIED</x:v>
      </x:c>
      <x:c r="M512" s="87" t="str">
        <x:v>ORIGINAL_PACKAGE</x:v>
      </x:c>
      <x:c r="N512" s="87" t="str">
        <x:v>pages/VIS-EGKR-INF-S26-ANSWER-956-P002.png</x:v>
      </x:c>
      <x:c r="O512" s="87" t="str">
        <x:v>thumbnails/VIS-EGKR-INF-S26-ANSWER-956-P002.jpg</x:v>
      </x:c>
      <x:c r="P512" s="87" t="str">
        <x:v>6c1a84979fab53e17c2e357e4e106f3df38ec2ebd02b41afa30c7e798b183c7c</x:v>
      </x:c>
      <x:c r="Q512" s="30" t="str">
        <x:v>incoming/raw/recovery-drop-01/informatics_egkr_spring_visual_assets_v109.zip!/pages/VIS-EGKR-INF-S26-ANSWER-956-P002.png</x:v>
      </x:c>
      <x:c r="R512" s="30" t="str">
        <x:v>MATCHED_ASSET</x:v>
      </x:c>
      <x:c r="S512" t="e">
        <x:f>HYPERLINK("visual_gallery/index.html#"&amp;A512,"Галерея")</x:f>
      </x:c>
    </x:row>
    <x:row r="513">
      <x:c r="A513" s="87" t="str">
        <x:v>VIS-EGKR-INF-S26-ANSWER-956-P003</x:v>
      </x:c>
      <x:c r="B513" s="30" t="str"/>
      <x:c r="C513" s="30"/>
      <x:c r="D513" s="30" t="str"/>
      <x:c r="E513" s="87"/>
      <x:c r="F513" s="30"/>
      <x:c r="G513" s="87" t="str">
        <x:v>3</x:v>
      </x:c>
      <x:c r="H513" s="87" t="str">
        <x:v>v1.09</x:v>
      </x:c>
      <x:c r="I513" s="87" t="str">
        <x:v>0</x:v>
      </x:c>
      <x:c r="J513" s="30" t="str"/>
      <x:c r="K513" s="30" t="str"/>
      <x:c r="L513" s="87" t="str">
        <x:v>CROP_VERIFIED</x:v>
      </x:c>
      <x:c r="M513" s="87" t="str">
        <x:v>ORIGINAL_PACKAGE</x:v>
      </x:c>
      <x:c r="N513" s="87" t="str">
        <x:v>pages/VIS-EGKR-INF-S26-ANSWER-956-P003.png</x:v>
      </x:c>
      <x:c r="O513" s="87" t="str">
        <x:v>thumbnails/VIS-EGKR-INF-S26-ANSWER-956-P003.jpg</x:v>
      </x:c>
      <x:c r="P513" s="87" t="str">
        <x:v>681de48cfe09d6da9be363ebec0ef825c4c9994e2b284ce4835815fb0ec101d0</x:v>
      </x:c>
      <x:c r="Q513" s="30" t="str">
        <x:v>incoming/raw/recovery-drop-01/informatics_egkr_spring_visual_assets_v109.zip!/pages/VIS-EGKR-INF-S26-ANSWER-956-P003.png</x:v>
      </x:c>
      <x:c r="R513" s="30" t="str">
        <x:v>RESOLVED_UNLINKED_REGISTRY_VISUAL</x:v>
      </x:c>
      <x:c r="S513" t="e">
        <x:f>HYPERLINK("visual_gallery/index.html#"&amp;A513,"Галерея")</x:f>
      </x:c>
    </x:row>
    <x:row r="514">
      <x:c r="A514" s="87" t="str">
        <x:v>VIS-EGKR-INF-S26-ANSWER-956-P004</x:v>
      </x:c>
      <x:c r="B514" s="30" t="str"/>
      <x:c r="C514" s="30"/>
      <x:c r="D514" s="30" t="str"/>
      <x:c r="E514" s="87"/>
      <x:c r="F514" s="30"/>
      <x:c r="G514" s="87" t="str">
        <x:v>4</x:v>
      </x:c>
      <x:c r="H514" s="87" t="str">
        <x:v>v1.09</x:v>
      </x:c>
      <x:c r="I514" s="87" t="str">
        <x:v>0</x:v>
      </x:c>
      <x:c r="J514" s="30" t="str"/>
      <x:c r="K514" s="30" t="str"/>
      <x:c r="L514" s="87" t="str">
        <x:v>CROP_VERIFIED</x:v>
      </x:c>
      <x:c r="M514" s="87" t="str">
        <x:v>ORIGINAL_PACKAGE</x:v>
      </x:c>
      <x:c r="N514" s="87" t="str">
        <x:v>pages/VIS-EGKR-INF-S26-ANSWER-956-P004.png</x:v>
      </x:c>
      <x:c r="O514" s="87" t="str">
        <x:v>thumbnails/VIS-EGKR-INF-S26-ANSWER-956-P004.jpg</x:v>
      </x:c>
      <x:c r="P514" s="87" t="str">
        <x:v>33a28d3ceed57c77eefab6e5a320722cbd53893ba71a5ef8f9b8dcc07dfee25a</x:v>
      </x:c>
      <x:c r="Q514" s="30" t="str">
        <x:v>incoming/raw/recovery-drop-01/informatics_egkr_spring_visual_assets_v109.zip!/pages/VIS-EGKR-INF-S26-ANSWER-956-P004.png</x:v>
      </x:c>
      <x:c r="R514" s="30" t="str">
        <x:v>RESOLVED_UNLINKED_REGISTRY_VISUAL</x:v>
      </x:c>
      <x:c r="S514" t="e">
        <x:f>HYPERLINK("visual_gallery/index.html#"&amp;A514,"Галерея")</x:f>
      </x:c>
    </x:row>
    <x:row r="515">
      <x:c r="A515" s="87" t="str">
        <x:v>VIS-EGKR-INF-S26-ANSWER-956-P005</x:v>
      </x:c>
      <x:c r="B515" s="30" t="str"/>
      <x:c r="C515" s="30"/>
      <x:c r="D515" s="30" t="str"/>
      <x:c r="E515" s="87"/>
      <x:c r="F515" s="30"/>
      <x:c r="G515" s="87" t="str">
        <x:v>5</x:v>
      </x:c>
      <x:c r="H515" s="87" t="str">
        <x:v>v1.09</x:v>
      </x:c>
      <x:c r="I515" s="87" t="str">
        <x:v>0</x:v>
      </x:c>
      <x:c r="J515" s="30" t="str"/>
      <x:c r="K515" s="30" t="str"/>
      <x:c r="L515" s="87" t="str">
        <x:v>CROP_VERIFIED</x:v>
      </x:c>
      <x:c r="M515" s="87" t="str">
        <x:v>ORIGINAL_PACKAGE</x:v>
      </x:c>
      <x:c r="N515" s="87" t="str">
        <x:v>pages/VIS-EGKR-INF-S26-ANSWER-956-P005.png</x:v>
      </x:c>
      <x:c r="O515" s="87" t="str">
        <x:v>thumbnails/VIS-EGKR-INF-S26-ANSWER-956-P005.jpg</x:v>
      </x:c>
      <x:c r="P515" s="87" t="str">
        <x:v>1e509c948fd6fd217e0cff1bed596221504eb0800006cc4e5e5431704a08299b</x:v>
      </x:c>
      <x:c r="Q515" s="30" t="str">
        <x:v>incoming/raw/recovery-drop-01/informatics_egkr_spring_visual_assets_v109.zip!/pages/VIS-EGKR-INF-S26-ANSWER-956-P005.png</x:v>
      </x:c>
      <x:c r="R515" s="30" t="str">
        <x:v>RESOLVED_UNLINKED_REGISTRY_VISUAL</x:v>
      </x:c>
      <x:c r="S515" t="e">
        <x:f>HYPERLINK("visual_gallery/index.html#"&amp;A515,"Галерея")</x:f>
      </x:c>
    </x:row>
    <x:row r="516">
      <x:c r="A516" s="87" t="str">
        <x:v>VIS-EGKR-INF-S26-ANSWER-956-P006</x:v>
      </x:c>
      <x:c r="B516" s="30" t="str"/>
      <x:c r="C516" s="30"/>
      <x:c r="D516" s="30" t="str"/>
      <x:c r="E516" s="87"/>
      <x:c r="F516" s="30"/>
      <x:c r="G516" s="87" t="str">
        <x:v>6</x:v>
      </x:c>
      <x:c r="H516" s="87" t="str">
        <x:v>v1.09</x:v>
      </x:c>
      <x:c r="I516" s="87" t="str">
        <x:v>0</x:v>
      </x:c>
      <x:c r="J516" s="30" t="str"/>
      <x:c r="K516" s="30" t="str"/>
      <x:c r="L516" s="87" t="str">
        <x:v>CROP_VERIFIED</x:v>
      </x:c>
      <x:c r="M516" s="87" t="str">
        <x:v>ORIGINAL_PACKAGE</x:v>
      </x:c>
      <x:c r="N516" s="87" t="str">
        <x:v>pages/VIS-EGKR-INF-S26-ANSWER-956-P006.png</x:v>
      </x:c>
      <x:c r="O516" s="87" t="str">
        <x:v>thumbnails/VIS-EGKR-INF-S26-ANSWER-956-P006.jpg</x:v>
      </x:c>
      <x:c r="P516" s="87" t="str">
        <x:v>86259955c81444aa81e4f0b7873430cfaebe4acf6aa75c80c671ce651ab7545c</x:v>
      </x:c>
      <x:c r="Q516" s="30" t="str">
        <x:v>incoming/raw/recovery-drop-01/informatics_egkr_spring_visual_assets_v109.zip!/pages/VIS-EGKR-INF-S26-ANSWER-956-P006.png</x:v>
      </x:c>
      <x:c r="R516" s="30" t="str">
        <x:v>RESOLVED_UNLINKED_REGISTRY_VISUAL</x:v>
      </x:c>
      <x:c r="S516" t="e">
        <x:f>HYPERLINK("visual_gallery/index.html#"&amp;A516,"Галерея")</x:f>
      </x:c>
    </x:row>
    <x:row r="517">
      <x:c r="A517" s="87" t="str">
        <x:v>VIS-EGKR-INF-S26-TASK-956-P001</x:v>
      </x:c>
      <x:c r="B517" s="30" t="str">
        <x:v>Информатика</x:v>
      </x:c>
      <x:c r="C517" s="30"/>
      <x:c r="D517" s="30" t="str">
        <x:v>956</x:v>
      </x:c>
      <x:c r="E517" s="87"/>
      <x:c r="F517" s="30"/>
      <x:c r="G517" s="87" t="str">
        <x:v>1</x:v>
      </x:c>
      <x:c r="H517" s="87" t="str">
        <x:v>v1.09</x:v>
      </x:c>
      <x:c r="I517" s="87" t="str">
        <x:v>6</x:v>
      </x:c>
      <x:c r="J517" s="30" t="str">
        <x:v>PRIMARY_VIS_ID, VIS_ID</x:v>
      </x:c>
      <x:c r="K517" s="30" t="str">
        <x:v>EGKR-S26-INF-956-01, EGKR-S26-INF-956-02, EGKR-S26-INF-956-03</x:v>
      </x:c>
      <x:c r="L517" s="87" t="str">
        <x:v>CROP_VERIFIED</x:v>
      </x:c>
      <x:c r="M517" s="87" t="str">
        <x:v>ORIGINAL_PACKAGE</x:v>
      </x:c>
      <x:c r="N517" s="87" t="str">
        <x:v>pages/VIS-EGKR-INF-S26-TASK-956-P001.png</x:v>
      </x:c>
      <x:c r="O517" s="87" t="str">
        <x:v>thumbnails/VIS-EGKR-INF-S26-TASK-956-P001.jpg</x:v>
      </x:c>
      <x:c r="P517" s="87" t="str">
        <x:v>15bda27c4168f5031558f67428ca211a08aee6cebd9dd19f084a134bb6e5b690</x:v>
      </x:c>
      <x:c r="Q517" s="30" t="str">
        <x:v>incoming/raw/recovery-drop-01/informatics_egkr_spring_visual_assets_v109.zip!/pages/VIS-EGKR-INF-S26-TASK-956-P001.png</x:v>
      </x:c>
      <x:c r="R517" s="30" t="str">
        <x:v>MATCHED_ASSET</x:v>
      </x:c>
      <x:c r="S517" t="e">
        <x:f>HYPERLINK("visual_gallery/index.html#"&amp;A517,"Галерея")</x:f>
      </x:c>
    </x:row>
    <x:row r="518">
      <x:c r="A518" s="87" t="str">
        <x:v>VIS-EGKR-INF-S26-TASK-956-P002</x:v>
      </x:c>
      <x:c r="B518" s="30" t="str">
        <x:v>Информатика</x:v>
      </x:c>
      <x:c r="C518" s="30"/>
      <x:c r="D518" s="30" t="str">
        <x:v>956</x:v>
      </x:c>
      <x:c r="E518" s="87"/>
      <x:c r="F518" s="30"/>
      <x:c r="G518" s="87" t="str">
        <x:v>2</x:v>
      </x:c>
      <x:c r="H518" s="87" t="str">
        <x:v>v1.09</x:v>
      </x:c>
      <x:c r="I518" s="87" t="str">
        <x:v>8</x:v>
      </x:c>
      <x:c r="J518" s="30" t="str">
        <x:v>PRIMARY_VIS_ID, VIS_ID</x:v>
      </x:c>
      <x:c r="K518" s="30" t="str">
        <x:v>EGKR-S26-INF-956-04, EGKR-S26-INF-956-05, EGKR-S26-INF-956-06, EGKR-S26-INF-956-07</x:v>
      </x:c>
      <x:c r="L518" s="87" t="str">
        <x:v>CROP_VERIFIED</x:v>
      </x:c>
      <x:c r="M518" s="87" t="str">
        <x:v>ORIGINAL_PACKAGE</x:v>
      </x:c>
      <x:c r="N518" s="87" t="str">
        <x:v>pages/VIS-EGKR-INF-S26-TASK-956-P002.png</x:v>
      </x:c>
      <x:c r="O518" s="87" t="str">
        <x:v>thumbnails/VIS-EGKR-INF-S26-TASK-956-P002.jpg</x:v>
      </x:c>
      <x:c r="P518" s="87" t="str">
        <x:v>31b40b47ed9a074a25012d7ee67ae8eb49306caa1546c18b6dd3b541b3a60f71</x:v>
      </x:c>
      <x:c r="Q518" s="30" t="str">
        <x:v>incoming/raw/recovery-drop-01/informatics_egkr_spring_visual_assets_v109.zip!/pages/VIS-EGKR-INF-S26-TASK-956-P002.png</x:v>
      </x:c>
      <x:c r="R518" s="30" t="str">
        <x:v>MATCHED_ASSET</x:v>
      </x:c>
      <x:c r="S518" t="e">
        <x:f>HYPERLINK("visual_gallery/index.html#"&amp;A518,"Галерея")</x:f>
      </x:c>
    </x:row>
    <x:row r="519">
      <x:c r="A519" s="87" t="str">
        <x:v>VIS-EGKR-INF-S26-TASK-956-P003</x:v>
      </x:c>
      <x:c r="B519" s="30" t="str">
        <x:v>Информатика</x:v>
      </x:c>
      <x:c r="C519" s="30"/>
      <x:c r="D519" s="30" t="str">
        <x:v>956</x:v>
      </x:c>
      <x:c r="E519" s="87"/>
      <x:c r="F519" s="30"/>
      <x:c r="G519" s="87" t="str">
        <x:v>3</x:v>
      </x:c>
      <x:c r="H519" s="87" t="str">
        <x:v>v1.09</x:v>
      </x:c>
      <x:c r="I519" s="87" t="str">
        <x:v>8</x:v>
      </x:c>
      <x:c r="J519" s="30" t="str">
        <x:v>PRIMARY_VIS_ID, VIS_ID</x:v>
      </x:c>
      <x:c r="K519" s="30" t="str">
        <x:v>EGKR-S26-INF-956-08, EGKR-S26-INF-956-09, EGKR-S26-INF-956-10, EGKR-S26-INF-956-11</x:v>
      </x:c>
      <x:c r="L519" s="87" t="str">
        <x:v>CROP_VERIFIED</x:v>
      </x:c>
      <x:c r="M519" s="87" t="str">
        <x:v>ORIGINAL_PACKAGE</x:v>
      </x:c>
      <x:c r="N519" s="87" t="str">
        <x:v>pages/VIS-EGKR-INF-S26-TASK-956-P003.png</x:v>
      </x:c>
      <x:c r="O519" s="87" t="str">
        <x:v>thumbnails/VIS-EGKR-INF-S26-TASK-956-P003.jpg</x:v>
      </x:c>
      <x:c r="P519" s="87" t="str">
        <x:v>8c1ffbfe4bd7aadc7094831291e3132e88c6ea507dfaa021cda8d97d87f687da</x:v>
      </x:c>
      <x:c r="Q519" s="30" t="str">
        <x:v>incoming/raw/recovery-drop-01/informatics_egkr_spring_visual_assets_v109.zip!/pages/VIS-EGKR-INF-S26-TASK-956-P003.png</x:v>
      </x:c>
      <x:c r="R519" s="30" t="str">
        <x:v>MATCHED_ASSET</x:v>
      </x:c>
      <x:c r="S519" t="e">
        <x:f>HYPERLINK("visual_gallery/index.html#"&amp;A519,"Галерея")</x:f>
      </x:c>
    </x:row>
    <x:row r="520">
      <x:c r="A520" s="87" t="str">
        <x:v>VIS-EGKR-INF-S26-TASK-956-P004</x:v>
      </x:c>
      <x:c r="B520" s="30" t="str">
        <x:v>Информатика</x:v>
      </x:c>
      <x:c r="C520" s="30"/>
      <x:c r="D520" s="30" t="str">
        <x:v>956</x:v>
      </x:c>
      <x:c r="E520" s="87"/>
      <x:c r="F520" s="30"/>
      <x:c r="G520" s="87" t="str">
        <x:v>4</x:v>
      </x:c>
      <x:c r="H520" s="87" t="str">
        <x:v>v1.09</x:v>
      </x:c>
      <x:c r="I520" s="87" t="str">
        <x:v>8</x:v>
      </x:c>
      <x:c r="J520" s="30" t="str">
        <x:v>PRIMARY_VIS_ID, VIS_ID</x:v>
      </x:c>
      <x:c r="K520" s="30" t="str">
        <x:v>EGKR-S26-INF-956-12, EGKR-S26-INF-956-13, EGKR-S26-INF-956-14, EGKR-S26-INF-956-15</x:v>
      </x:c>
      <x:c r="L520" s="87" t="str">
        <x:v>CROP_VERIFIED</x:v>
      </x:c>
      <x:c r="M520" s="87" t="str">
        <x:v>ORIGINAL_PACKAGE</x:v>
      </x:c>
      <x:c r="N520" s="87" t="str">
        <x:v>pages/VIS-EGKR-INF-S26-TASK-956-P004.png</x:v>
      </x:c>
      <x:c r="O520" s="87" t="str">
        <x:v>thumbnails/VIS-EGKR-INF-S26-TASK-956-P004.jpg</x:v>
      </x:c>
      <x:c r="P520" s="87" t="str">
        <x:v>3a6fc969d7bae8fa6f975543f3e1e3ee8be495f9a046178858712c025cfc478d</x:v>
      </x:c>
      <x:c r="Q520" s="30" t="str">
        <x:v>incoming/raw/recovery-drop-01/informatics_egkr_spring_visual_assets_v109.zip!/pages/VIS-EGKR-INF-S26-TASK-956-P004.png</x:v>
      </x:c>
      <x:c r="R520" s="30" t="str">
        <x:v>MATCHED_ASSET</x:v>
      </x:c>
      <x:c r="S520" t="e">
        <x:f>HYPERLINK("visual_gallery/index.html#"&amp;A520,"Галерея")</x:f>
      </x:c>
    </x:row>
    <x:row r="521">
      <x:c r="A521" s="87" t="str">
        <x:v>VIS-EGKR-INF-S26-TASK-956-P005</x:v>
      </x:c>
      <x:c r="B521" s="30" t="str">
        <x:v>Информатика</x:v>
      </x:c>
      <x:c r="C521" s="30"/>
      <x:c r="D521" s="30" t="str">
        <x:v>956</x:v>
      </x:c>
      <x:c r="E521" s="87"/>
      <x:c r="F521" s="30"/>
      <x:c r="G521" s="87" t="str">
        <x:v>5</x:v>
      </x:c>
      <x:c r="H521" s="87" t="str">
        <x:v>v1.09</x:v>
      </x:c>
      <x:c r="I521" s="87" t="str">
        <x:v>4</x:v>
      </x:c>
      <x:c r="J521" s="30" t="str">
        <x:v>PRIMARY_VIS_ID, VIS_ID</x:v>
      </x:c>
      <x:c r="K521" s="30" t="str">
        <x:v>EGKR-S26-INF-956-16, EGKR-S26-INF-956-17</x:v>
      </x:c>
      <x:c r="L521" s="87" t="str">
        <x:v>CROP_VERIFIED</x:v>
      </x:c>
      <x:c r="M521" s="87" t="str">
        <x:v>ORIGINAL_PACKAGE</x:v>
      </x:c>
      <x:c r="N521" s="87" t="str">
        <x:v>pages/VIS-EGKR-INF-S26-TASK-956-P005.png</x:v>
      </x:c>
      <x:c r="O521" s="87" t="str">
        <x:v>thumbnails/VIS-EGKR-INF-S26-TASK-956-P005.jpg</x:v>
      </x:c>
      <x:c r="P521" s="87" t="str">
        <x:v>239148be84bd04d77fcee973b8929021b324d935d9a390c6cac1dd994ec5ac08</x:v>
      </x:c>
      <x:c r="Q521" s="30" t="str">
        <x:v>incoming/raw/recovery-drop-01/informatics_egkr_spring_visual_assets_v109.zip!/pages/VIS-EGKR-INF-S26-TASK-956-P005.png</x:v>
      </x:c>
      <x:c r="R521" s="30" t="str">
        <x:v>MATCHED_ASSET</x:v>
      </x:c>
      <x:c r="S521" t="e">
        <x:f>HYPERLINK("visual_gallery/index.html#"&amp;A521,"Галерея")</x:f>
      </x:c>
    </x:row>
    <x:row r="522">
      <x:c r="A522" s="87" t="str">
        <x:v>VIS-EGKR-INF-S26-TASK-956-P006</x:v>
      </x:c>
      <x:c r="B522" s="30" t="str">
        <x:v>Информатика</x:v>
      </x:c>
      <x:c r="C522" s="30"/>
      <x:c r="D522" s="30" t="str">
        <x:v>956</x:v>
      </x:c>
      <x:c r="E522" s="87"/>
      <x:c r="F522" s="30"/>
      <x:c r="G522" s="87" t="str">
        <x:v>6</x:v>
      </x:c>
      <x:c r="H522" s="87" t="str">
        <x:v>v1.09</x:v>
      </x:c>
      <x:c r="I522" s="87" t="str">
        <x:v>4</x:v>
      </x:c>
      <x:c r="J522" s="30" t="str">
        <x:v>PRIMARY_VIS_ID, VIS_ID</x:v>
      </x:c>
      <x:c r="K522" s="30" t="str">
        <x:v>EGKR-S26-INF-956-18, EGKR-S26-INF-956-19</x:v>
      </x:c>
      <x:c r="L522" s="87" t="str">
        <x:v>CROP_VERIFIED</x:v>
      </x:c>
      <x:c r="M522" s="87" t="str">
        <x:v>ORIGINAL_PACKAGE</x:v>
      </x:c>
      <x:c r="N522" s="87" t="str">
        <x:v>pages/VIS-EGKR-INF-S26-TASK-956-P006.png</x:v>
      </x:c>
      <x:c r="O522" s="87" t="str">
        <x:v>thumbnails/VIS-EGKR-INF-S26-TASK-956-P006.jpg</x:v>
      </x:c>
      <x:c r="P522" s="87" t="str">
        <x:v>a653b84dc2246314466e8d402022fa669e018e58607ed384318374edfa15e863</x:v>
      </x:c>
      <x:c r="Q522" s="30" t="str">
        <x:v>incoming/raw/recovery-drop-01/informatics_egkr_spring_visual_assets_v109.zip!/pages/VIS-EGKR-INF-S26-TASK-956-P006.png</x:v>
      </x:c>
      <x:c r="R522" s="30" t="str">
        <x:v>MATCHED_ASSET</x:v>
      </x:c>
      <x:c r="S522" t="e">
        <x:f>HYPERLINK("visual_gallery/index.html#"&amp;A522,"Галерея")</x:f>
      </x:c>
    </x:row>
    <x:row r="523">
      <x:c r="A523" s="87" t="str">
        <x:v>VIS-EGKR-INF-S26-TASK-956-P007</x:v>
      </x:c>
      <x:c r="B523" s="30" t="str">
        <x:v>Информатика</x:v>
      </x:c>
      <x:c r="C523" s="30"/>
      <x:c r="D523" s="30" t="str">
        <x:v>956</x:v>
      </x:c>
      <x:c r="E523" s="87"/>
      <x:c r="F523" s="30"/>
      <x:c r="G523" s="87" t="str">
        <x:v>7</x:v>
      </x:c>
      <x:c r="H523" s="87" t="str">
        <x:v>v1.09</x:v>
      </x:c>
      <x:c r="I523" s="87" t="str">
        <x:v>10</x:v>
      </x:c>
      <x:c r="J523" s="30" t="str">
        <x:v>PRIMARY_VIS_ID, VIS_ID</x:v>
      </x:c>
      <x:c r="K523" s="30" t="str">
        <x:v>EGKR-S26-INF-956-20, EGKR-S26-INF-956-21, EGKR-S26-INF-956-22, EGKR-S26-INF-956-23, EGKR-S26-INF-956-24</x:v>
      </x:c>
      <x:c r="L523" s="87" t="str">
        <x:v>CROP_VERIFIED</x:v>
      </x:c>
      <x:c r="M523" s="87" t="str">
        <x:v>ORIGINAL_PACKAGE</x:v>
      </x:c>
      <x:c r="N523" s="87" t="str">
        <x:v>pages/VIS-EGKR-INF-S26-TASK-956-P007.png</x:v>
      </x:c>
      <x:c r="O523" s="87" t="str">
        <x:v>thumbnails/VIS-EGKR-INF-S26-TASK-956-P007.jpg</x:v>
      </x:c>
      <x:c r="P523" s="87" t="str">
        <x:v>8f229aad7b4db5fa94f9c2ad42c138ad764450465a03e225b7570ceb871b4721</x:v>
      </x:c>
      <x:c r="Q523" s="30" t="str">
        <x:v>incoming/raw/recovery-drop-01/informatics_egkr_spring_visual_assets_v109.zip!/pages/VIS-EGKR-INF-S26-TASK-956-P007.png</x:v>
      </x:c>
      <x:c r="R523" s="30" t="str">
        <x:v>MATCHED_ASSET</x:v>
      </x:c>
      <x:c r="S523" t="e">
        <x:f>HYPERLINK("visual_gallery/index.html#"&amp;A523,"Галерея")</x:f>
      </x:c>
    </x:row>
    <x:row r="524">
      <x:c r="A524" s="87" t="str">
        <x:v>VIS-EGKR-INF-S26-TASK-956-P008</x:v>
      </x:c>
      <x:c r="B524" s="30" t="str">
        <x:v>Информатика</x:v>
      </x:c>
      <x:c r="C524" s="30"/>
      <x:c r="D524" s="30" t="str">
        <x:v>956</x:v>
      </x:c>
      <x:c r="E524" s="87"/>
      <x:c r="F524" s="30"/>
      <x:c r="G524" s="87" t="str">
        <x:v>8</x:v>
      </x:c>
      <x:c r="H524" s="87" t="str">
        <x:v>v1.09</x:v>
      </x:c>
      <x:c r="I524" s="87" t="str">
        <x:v>4</x:v>
      </x:c>
      <x:c r="J524" s="30" t="str">
        <x:v>PRIMARY_VIS_ID, VIS_ID</x:v>
      </x:c>
      <x:c r="K524" s="30" t="str">
        <x:v>EGKR-S26-INF-956-25, EGKR-S26-INF-956-26</x:v>
      </x:c>
      <x:c r="L524" s="87" t="str">
        <x:v>CROP_VERIFIED</x:v>
      </x:c>
      <x:c r="M524" s="87" t="str">
        <x:v>ORIGINAL_PACKAGE</x:v>
      </x:c>
      <x:c r="N524" s="87" t="str">
        <x:v>pages/VIS-EGKR-INF-S26-TASK-956-P008.png</x:v>
      </x:c>
      <x:c r="O524" s="87" t="str">
        <x:v>thumbnails/VIS-EGKR-INF-S26-TASK-956-P008.jpg</x:v>
      </x:c>
      <x:c r="P524" s="87" t="str">
        <x:v>44d42e3e5e90ff1ac05f8ec920468e51c937c34d2091b356e9185c1306a09fb1</x:v>
      </x:c>
      <x:c r="Q524" s="30" t="str">
        <x:v>incoming/raw/recovery-drop-01/informatics_egkr_spring_visual_assets_v109.zip!/pages/VIS-EGKR-INF-S26-TASK-956-P008.png</x:v>
      </x:c>
      <x:c r="R524" s="30" t="str">
        <x:v>MATCHED_ASSET</x:v>
      </x:c>
      <x:c r="S524" t="e">
        <x:f>HYPERLINK("visual_gallery/index.html#"&amp;A524,"Галерея")</x:f>
      </x:c>
    </x:row>
    <x:row r="525">
      <x:c r="A525" s="87" t="str">
        <x:v>VIS-EGKR-INF-S26-TASK-956-P009</x:v>
      </x:c>
      <x:c r="B525" s="30" t="str">
        <x:v>Информатика</x:v>
      </x:c>
      <x:c r="C525" s="30"/>
      <x:c r="D525" s="30" t="str">
        <x:v>956</x:v>
      </x:c>
      <x:c r="E525" s="87"/>
      <x:c r="F525" s="30"/>
      <x:c r="G525" s="87" t="str">
        <x:v>9</x:v>
      </x:c>
      <x:c r="H525" s="87" t="str">
        <x:v>v1.09</x:v>
      </x:c>
      <x:c r="I525" s="87" t="str">
        <x:v>1</x:v>
      </x:c>
      <x:c r="J525" s="30" t="str">
        <x:v>SECONDARY_VIS_ID</x:v>
      </x:c>
      <x:c r="K525" s="30" t="str">
        <x:v>EGKR-S26-INF-956-26</x:v>
      </x:c>
      <x:c r="L525" s="87" t="str">
        <x:v>CROP_VERIFIED</x:v>
      </x:c>
      <x:c r="M525" s="87" t="str">
        <x:v>ORIGINAL_PACKAGE</x:v>
      </x:c>
      <x:c r="N525" s="87" t="str">
        <x:v>pages/VIS-EGKR-INF-S26-TASK-956-P009.png</x:v>
      </x:c>
      <x:c r="O525" s="87" t="str">
        <x:v>thumbnails/VIS-EGKR-INF-S26-TASK-956-P009.jpg</x:v>
      </x:c>
      <x:c r="P525" s="87" t="str">
        <x:v>a8de56788d5b655fd7b1b9c5d5522be9106495f4cf6d3c9f21ea678bff9081b9</x:v>
      </x:c>
      <x:c r="Q525" s="30" t="str">
        <x:v>incoming/raw/recovery-drop-01/informatics_egkr_spring_visual_assets_v109.zip!/pages/VIS-EGKR-INF-S26-TASK-956-P009.png</x:v>
      </x:c>
      <x:c r="R525" s="30" t="str">
        <x:v>MATCHED_ASSET</x:v>
      </x:c>
      <x:c r="S525" t="e">
        <x:f>HYPERLINK("visual_gallery/index.html#"&amp;A525,"Галерея")</x:f>
      </x:c>
    </x:row>
    <x:row r="526">
      <x:c r="A526" s="87" t="str">
        <x:v>VIS-EGKR-INF-S26-TASK-956-P010</x:v>
      </x:c>
      <x:c r="B526" s="30" t="str">
        <x:v>Информатика</x:v>
      </x:c>
      <x:c r="C526" s="30"/>
      <x:c r="D526" s="30" t="str">
        <x:v>956</x:v>
      </x:c>
      <x:c r="E526" s="87"/>
      <x:c r="F526" s="30"/>
      <x:c r="G526" s="87" t="str">
        <x:v>10</x:v>
      </x:c>
      <x:c r="H526" s="87" t="str">
        <x:v>v1.09</x:v>
      </x:c>
      <x:c r="I526" s="87" t="str">
        <x:v>2</x:v>
      </x:c>
      <x:c r="J526" s="30" t="str">
        <x:v>PRIMARY_VIS_ID, VIS_ID</x:v>
      </x:c>
      <x:c r="K526" s="30" t="str">
        <x:v>EGKR-S26-INF-956-27</x:v>
      </x:c>
      <x:c r="L526" s="87" t="str">
        <x:v>CROP_VERIFIED</x:v>
      </x:c>
      <x:c r="M526" s="87" t="str">
        <x:v>ORIGINAL_PACKAGE</x:v>
      </x:c>
      <x:c r="N526" s="87" t="str">
        <x:v>pages/VIS-EGKR-INF-S26-TASK-956-P010.png</x:v>
      </x:c>
      <x:c r="O526" s="87" t="str">
        <x:v>thumbnails/VIS-EGKR-INF-S26-TASK-956-P010.jpg</x:v>
      </x:c>
      <x:c r="P526" s="87" t="str">
        <x:v>0eb4cf49376c520e1607691ecb46cf3180c9001f9a2e7eaba26e725faf6acedf</x:v>
      </x:c>
      <x:c r="Q526" s="30" t="str">
        <x:v>incoming/raw/recovery-drop-01/informatics_egkr_spring_visual_assets_v109.zip!/pages/VIS-EGKR-INF-S26-TASK-956-P010.png</x:v>
      </x:c>
      <x:c r="R526" s="30" t="str">
        <x:v>MATCHED_ASSET</x:v>
      </x:c>
      <x:c r="S526" t="e">
        <x:f>HYPERLINK("visual_gallery/index.html#"&amp;A526,"Галерея")</x:f>
      </x:c>
    </x:row>
    <x:row r="527">
      <x:c r="A527" s="87" t="str">
        <x:v>VIS-EGKR-INF-S26-TASK-956-P011</x:v>
      </x:c>
      <x:c r="B527" s="30" t="str">
        <x:v>Информатика</x:v>
      </x:c>
      <x:c r="C527" s="30"/>
      <x:c r="D527" s="30" t="str">
        <x:v>956</x:v>
      </x:c>
      <x:c r="E527" s="87"/>
      <x:c r="F527" s="30"/>
      <x:c r="G527" s="87" t="str">
        <x:v>11</x:v>
      </x:c>
      <x:c r="H527" s="87" t="str">
        <x:v>v1.09</x:v>
      </x:c>
      <x:c r="I527" s="87" t="str">
        <x:v>1</x:v>
      </x:c>
      <x:c r="J527" s="30" t="str">
        <x:v>SECONDARY_VIS_ID</x:v>
      </x:c>
      <x:c r="K527" s="30" t="str">
        <x:v>EGKR-S26-INF-956-27</x:v>
      </x:c>
      <x:c r="L527" s="87" t="str">
        <x:v>CROP_VERIFIED</x:v>
      </x:c>
      <x:c r="M527" s="87" t="str">
        <x:v>ORIGINAL_PACKAGE</x:v>
      </x:c>
      <x:c r="N527" s="87" t="str">
        <x:v>pages/VIS-EGKR-INF-S26-TASK-956-P011.png</x:v>
      </x:c>
      <x:c r="O527" s="87" t="str">
        <x:v>thumbnails/VIS-EGKR-INF-S26-TASK-956-P011.jpg</x:v>
      </x:c>
      <x:c r="P527" s="87" t="str">
        <x:v>e75b239483f125577eda4a0a68f4b08ccae0e87a3b0830d2464d5fcec84bf654</x:v>
      </x:c>
      <x:c r="Q527" s="30" t="str">
        <x:v>incoming/raw/recovery-drop-01/informatics_egkr_spring_visual_assets_v109.zip!/pages/VIS-EGKR-INF-S26-TASK-956-P011.png</x:v>
      </x:c>
      <x:c r="R527" s="30" t="str">
        <x:v>MATCHED_ASSET</x:v>
      </x:c>
      <x:c r="S527" t="e">
        <x:f>HYPERLINK("visual_gallery/index.html#"&amp;A527,"Галерея")</x:f>
      </x:c>
    </x:row>
    <x:row r="528">
      <x:c r="A528" s="87" t="str">
        <x:v>VIS-EGKR-INF-S26-TASKSOL-954-P001</x:v>
      </x:c>
      <x:c r="B528" s="30" t="str">
        <x:v>Информатика</x:v>
      </x:c>
      <x:c r="C528" s="30"/>
      <x:c r="D528" s="30" t="str">
        <x:v>954</x:v>
      </x:c>
      <x:c r="E528" s="87"/>
      <x:c r="F528" s="30"/>
      <x:c r="G528" s="87" t="str">
        <x:v>1</x:v>
      </x:c>
      <x:c r="H528" s="87" t="str">
        <x:v>v1.09</x:v>
      </x:c>
      <x:c r="I528" s="87" t="str">
        <x:v>20</x:v>
      </x:c>
      <x:c r="J528" s="30" t="str">
        <x:v>ANSWER_VIS_ID, PRIMARY_VIS_ID, VIS_ID, VIS_KEY / MODEL</x:v>
      </x:c>
      <x:c r="K528" s="30" t="str">
        <x:v>EGKR-S26-INF-954-05, EGKR-S26-INF-954-06, EGKR-S26-INF-954-07, EGKR-S26-INF-954-08, EGKR-S26-INF-954-11, EGKR-S26-INF-954-13, EGKR-S26-INF-954-14, EGKR-S26-INF-954-15…</x:v>
      </x:c>
      <x:c r="L528" s="87" t="str">
        <x:v>CROP_VERIFIED</x:v>
      </x:c>
      <x:c r="M528" s="87" t="str">
        <x:v>ORIGINAL_PACKAGE</x:v>
      </x:c>
      <x:c r="N528" s="87" t="str">
        <x:v>pages/VIS-EGKR-INF-S26-TASKSOL-954-P001.png</x:v>
      </x:c>
      <x:c r="O528" s="87" t="str">
        <x:v>thumbnails/VIS-EGKR-INF-S26-TASKSOL-954-P001.jpg</x:v>
      </x:c>
      <x:c r="P528" s="87" t="str">
        <x:v>60fc6f3f86bf231df9f67f2486bc3601fabd4dc879beb48f9fd8c3f934cb9f76</x:v>
      </x:c>
      <x:c r="Q528" s="30" t="str">
        <x:v>incoming/raw/recovery-drop-01/informatics_egkr_spring_visual_assets_v109.zip!/pages/VIS-EGKR-INF-S26-TASKSOL-954-P001.png</x:v>
      </x:c>
      <x:c r="R528" s="30" t="str">
        <x:v>MATCHED_ASSET</x:v>
      </x:c>
      <x:c r="S528" t="e">
        <x:f>HYPERLINK("visual_gallery/index.html#"&amp;A528,"Галерея")</x:f>
      </x:c>
    </x:row>
    <x:row r="529">
      <x:c r="A529" s="87" t="str">
        <x:v>VIS-EGKR-INF-S26-TASKSOL-954-P002</x:v>
      </x:c>
      <x:c r="B529" s="30" t="str">
        <x:v>Информатика</x:v>
      </x:c>
      <x:c r="C529" s="30"/>
      <x:c r="D529" s="30" t="str">
        <x:v>954</x:v>
      </x:c>
      <x:c r="E529" s="87"/>
      <x:c r="F529" s="30"/>
      <x:c r="G529" s="87" t="str">
        <x:v>2</x:v>
      </x:c>
      <x:c r="H529" s="87" t="str">
        <x:v>v1.09</x:v>
      </x:c>
      <x:c r="I529" s="87" t="str">
        <x:v>5</x:v>
      </x:c>
      <x:c r="J529" s="30" t="str">
        <x:v>PRIMARY_VIS_ID, SECONDARY_VIS_ID, VIS_ID</x:v>
      </x:c>
      <x:c r="K529" s="30" t="str">
        <x:v>EGKR-S26-INF-954-05, EGKR-S26-INF-954-06, EGKR-S26-INF-954-07</x:v>
      </x:c>
      <x:c r="L529" s="87" t="str">
        <x:v>CROP_VERIFIED</x:v>
      </x:c>
      <x:c r="M529" s="87" t="str">
        <x:v>ORIGINAL_PACKAGE</x:v>
      </x:c>
      <x:c r="N529" s="87" t="str">
        <x:v>pages/VIS-EGKR-INF-S26-TASKSOL-954-P002.png</x:v>
      </x:c>
      <x:c r="O529" s="87" t="str">
        <x:v>thumbnails/VIS-EGKR-INF-S26-TASKSOL-954-P002.jpg</x:v>
      </x:c>
      <x:c r="P529" s="87" t="str">
        <x:v>a0a75483cdf0045209b4abca2e496f4741eb6e75dab9edbc63097bd6206290b0</x:v>
      </x:c>
      <x:c r="Q529" s="30" t="str">
        <x:v>incoming/raw/recovery-drop-01/informatics_egkr_spring_visual_assets_v109.zip!/pages/VIS-EGKR-INF-S26-TASKSOL-954-P002.png</x:v>
      </x:c>
      <x:c r="R529" s="30" t="str">
        <x:v>MATCHED_ASSET</x:v>
      </x:c>
      <x:c r="S529" t="e">
        <x:f>HYPERLINK("visual_gallery/index.html#"&amp;A529,"Галерея")</x:f>
      </x:c>
    </x:row>
    <x:row r="530">
      <x:c r="A530" s="87" t="str">
        <x:v>VIS-EGKR-INF-S26-TASKSOL-954-P003</x:v>
      </x:c>
      <x:c r="B530" s="30" t="str">
        <x:v>Информатика</x:v>
      </x:c>
      <x:c r="C530" s="30"/>
      <x:c r="D530" s="30" t="str">
        <x:v>954</x:v>
      </x:c>
      <x:c r="E530" s="87"/>
      <x:c r="F530" s="30"/>
      <x:c r="G530" s="87" t="str">
        <x:v>3</x:v>
      </x:c>
      <x:c r="H530" s="87" t="str">
        <x:v>v1.09</x:v>
      </x:c>
      <x:c r="I530" s="87" t="str">
        <x:v>3</x:v>
      </x:c>
      <x:c r="J530" s="30" t="str">
        <x:v>PRIMARY_VIS_ID, SECONDARY_VIS_ID, VIS_ID</x:v>
      </x:c>
      <x:c r="K530" s="30" t="str">
        <x:v>EGKR-S26-INF-954-07, EGKR-S26-INF-954-08</x:v>
      </x:c>
      <x:c r="L530" s="87" t="str">
        <x:v>CROP_VERIFIED</x:v>
      </x:c>
      <x:c r="M530" s="87" t="str">
        <x:v>ORIGINAL_PACKAGE</x:v>
      </x:c>
      <x:c r="N530" s="87" t="str">
        <x:v>pages/VIS-EGKR-INF-S26-TASKSOL-954-P003.png</x:v>
      </x:c>
      <x:c r="O530" s="87" t="str">
        <x:v>thumbnails/VIS-EGKR-INF-S26-TASKSOL-954-P003.jpg</x:v>
      </x:c>
      <x:c r="P530" s="87" t="str">
        <x:v>fd5943a7c1fabe9e8018db4b2488ce9902573211cdb2959c2f8b87a26b4be53b</x:v>
      </x:c>
      <x:c r="Q530" s="30" t="str">
        <x:v>incoming/raw/recovery-drop-01/informatics_egkr_spring_visual_assets_v109.zip!/pages/VIS-EGKR-INF-S26-TASKSOL-954-P003.png</x:v>
      </x:c>
      <x:c r="R530" s="30" t="str">
        <x:v>MATCHED_ASSET</x:v>
      </x:c>
      <x:c r="S530" t="e">
        <x:f>HYPERLINK("visual_gallery/index.html#"&amp;A530,"Галерея")</x:f>
      </x:c>
    </x:row>
    <x:row r="531">
      <x:c r="A531" s="87" t="str">
        <x:v>VIS-EGKR-INF-S26-TASKSOL-954-P004</x:v>
      </x:c>
      <x:c r="B531" s="30" t="str">
        <x:v>Информатика</x:v>
      </x:c>
      <x:c r="C531" s="30"/>
      <x:c r="D531" s="30" t="str">
        <x:v>954</x:v>
      </x:c>
      <x:c r="E531" s="87"/>
      <x:c r="F531" s="30"/>
      <x:c r="G531" s="87" t="str">
        <x:v>4</x:v>
      </x:c>
      <x:c r="H531" s="87" t="str">
        <x:v>v1.09</x:v>
      </x:c>
      <x:c r="I531" s="87" t="str">
        <x:v>5</x:v>
      </x:c>
      <x:c r="J531" s="30" t="str">
        <x:v>PRIMARY_VIS_ID, SECONDARY_VIS_ID, VIS_ID</x:v>
      </x:c>
      <x:c r="K531" s="30" t="str">
        <x:v>EGKR-S26-INF-954-08, EGKR-S26-INF-954-11, EGKR-S26-INF-954-13</x:v>
      </x:c>
      <x:c r="L531" s="87" t="str">
        <x:v>CROP_VERIFIED</x:v>
      </x:c>
      <x:c r="M531" s="87" t="str">
        <x:v>ORIGINAL_PACKAGE</x:v>
      </x:c>
      <x:c r="N531" s="87" t="str">
        <x:v>pages/VIS-EGKR-INF-S26-TASKSOL-954-P004.png</x:v>
      </x:c>
      <x:c r="O531" s="87" t="str">
        <x:v>thumbnails/VIS-EGKR-INF-S26-TASKSOL-954-P004.jpg</x:v>
      </x:c>
      <x:c r="P531" s="87" t="str">
        <x:v>2d6e6bcc539e167f491c37135eebae57871371c2aafed7247cca77389287ff08</x:v>
      </x:c>
      <x:c r="Q531" s="30" t="str">
        <x:v>incoming/raw/recovery-drop-01/informatics_egkr_spring_visual_assets_v109.zip!/pages/VIS-EGKR-INF-S26-TASKSOL-954-P004.png</x:v>
      </x:c>
      <x:c r="R531" s="30" t="str">
        <x:v>MATCHED_ASSET</x:v>
      </x:c>
      <x:c r="S531" t="e">
        <x:f>HYPERLINK("visual_gallery/index.html#"&amp;A531,"Галерея")</x:f>
      </x:c>
    </x:row>
    <x:row r="532">
      <x:c r="A532" s="87" t="str">
        <x:v>VIS-EGKR-INF-S26-TASKSOL-954-P005</x:v>
      </x:c>
      <x:c r="B532" s="30" t="str">
        <x:v>Информатика</x:v>
      </x:c>
      <x:c r="C532" s="30"/>
      <x:c r="D532" s="30" t="str">
        <x:v>954</x:v>
      </x:c>
      <x:c r="E532" s="87"/>
      <x:c r="F532" s="30"/>
      <x:c r="G532" s="87" t="str">
        <x:v>5</x:v>
      </x:c>
      <x:c r="H532" s="87" t="str">
        <x:v>v1.09</x:v>
      </x:c>
      <x:c r="I532" s="87" t="str">
        <x:v>5</x:v>
      </x:c>
      <x:c r="J532" s="30" t="str">
        <x:v>PRIMARY_VIS_ID, SECONDARY_VIS_ID, VIS_ID</x:v>
      </x:c>
      <x:c r="K532" s="30" t="str">
        <x:v>EGKR-S26-INF-954-13, EGKR-S26-INF-954-14, EGKR-S26-INF-954-15</x:v>
      </x:c>
      <x:c r="L532" s="87" t="str">
        <x:v>CROP_VERIFIED</x:v>
      </x:c>
      <x:c r="M532" s="87" t="str">
        <x:v>ORIGINAL_PACKAGE</x:v>
      </x:c>
      <x:c r="N532" s="87" t="str">
        <x:v>pages/VIS-EGKR-INF-S26-TASKSOL-954-P005.png</x:v>
      </x:c>
      <x:c r="O532" s="87" t="str">
        <x:v>thumbnails/VIS-EGKR-INF-S26-TASKSOL-954-P005.jpg</x:v>
      </x:c>
      <x:c r="P532" s="87" t="str">
        <x:v>9321bd5ee324e9020fb61c56ba33e7bf8b409e42ca8ec1ab04101ecdd5554364</x:v>
      </x:c>
      <x:c r="Q532" s="30" t="str">
        <x:v>incoming/raw/recovery-drop-01/informatics_egkr_spring_visual_assets_v109.zip!/pages/VIS-EGKR-INF-S26-TASKSOL-954-P005.png</x:v>
      </x:c>
      <x:c r="R532" s="30" t="str">
        <x:v>MATCHED_ASSET</x:v>
      </x:c>
      <x:c r="S532" t="e">
        <x:f>HYPERLINK("visual_gallery/index.html#"&amp;A532,"Галерея")</x:f>
      </x:c>
    </x:row>
    <x:row r="533">
      <x:c r="A533" s="87" t="str">
        <x:v>VIS-EGKR-INF-S26-TASKSOL-954-P006</x:v>
      </x:c>
      <x:c r="B533" s="30" t="str">
        <x:v>Информатика</x:v>
      </x:c>
      <x:c r="C533" s="30"/>
      <x:c r="D533" s="30" t="str">
        <x:v>954</x:v>
      </x:c>
      <x:c r="E533" s="87"/>
      <x:c r="F533" s="30"/>
      <x:c r="G533" s="87" t="str">
        <x:v>6</x:v>
      </x:c>
      <x:c r="H533" s="87" t="str">
        <x:v>v1.09</x:v>
      </x:c>
      <x:c r="I533" s="87" t="str">
        <x:v>3</x:v>
      </x:c>
      <x:c r="J533" s="30" t="str">
        <x:v>PRIMARY_VIS_ID, SECONDARY_VIS_ID, VIS_ID</x:v>
      </x:c>
      <x:c r="K533" s="30" t="str">
        <x:v>EGKR-S26-INF-954-15, EGKR-S26-INF-954-16</x:v>
      </x:c>
      <x:c r="L533" s="87" t="str">
        <x:v>CROP_VERIFIED</x:v>
      </x:c>
      <x:c r="M533" s="87" t="str">
        <x:v>ORIGINAL_PACKAGE</x:v>
      </x:c>
      <x:c r="N533" s="87" t="str">
        <x:v>pages/VIS-EGKR-INF-S26-TASKSOL-954-P006.png</x:v>
      </x:c>
      <x:c r="O533" s="87" t="str">
        <x:v>thumbnails/VIS-EGKR-INF-S26-TASKSOL-954-P006.jpg</x:v>
      </x:c>
      <x:c r="P533" s="87" t="str">
        <x:v>df45f0cd24c7f0d9545d14f7a51b70165e1efeafc6ff783b3c1f1fe7b0425636</x:v>
      </x:c>
      <x:c r="Q533" s="30" t="str">
        <x:v>incoming/raw/recovery-drop-01/informatics_egkr_spring_visual_assets_v109.zip!/pages/VIS-EGKR-INF-S26-TASKSOL-954-P006.png</x:v>
      </x:c>
      <x:c r="R533" s="30" t="str">
        <x:v>MATCHED_ASSET</x:v>
      </x:c>
      <x:c r="S533" t="e">
        <x:f>HYPERLINK("visual_gallery/index.html#"&amp;A533,"Галерея")</x:f>
      </x:c>
    </x:row>
    <x:row r="534">
      <x:c r="A534" s="87" t="str">
        <x:v>VIS-EGKR-INF-S26-TASKSOL-955-P001</x:v>
      </x:c>
      <x:c r="B534" s="30" t="str">
        <x:v>Информатика</x:v>
      </x:c>
      <x:c r="C534" s="30"/>
      <x:c r="D534" s="30" t="str">
        <x:v>955</x:v>
      </x:c>
      <x:c r="E534" s="87"/>
      <x:c r="F534" s="30"/>
      <x:c r="G534" s="87" t="str">
        <x:v>1</x:v>
      </x:c>
      <x:c r="H534" s="87" t="str">
        <x:v>v1.09</x:v>
      </x:c>
      <x:c r="I534" s="87" t="str">
        <x:v>30</x:v>
      </x:c>
      <x:c r="J534" s="30" t="str">
        <x:v>ANSWER_VIS_ID, PRIMARY_VIS_ID, VIS_ID, VIS_KEY / MODEL</x:v>
      </x:c>
      <x:c r="K534" s="30" t="str">
        <x:v>EGKR-S26-INF-955-04, EGKR-S26-INF-955-05, EGKR-S26-INF-955-06, EGKR-S26-INF-955-07, EGKR-S26-INF-955-08, EGKR-S26-INF-955-11, EGKR-S26-INF-955-12, EGKR-S26-INF-955-13…</x:v>
      </x:c>
      <x:c r="L534" s="87" t="str">
        <x:v>CROP_VERIFIED</x:v>
      </x:c>
      <x:c r="M534" s="87" t="str">
        <x:v>ORIGINAL_PACKAGE</x:v>
      </x:c>
      <x:c r="N534" s="87" t="str">
        <x:v>pages/VIS-EGKR-INF-S26-TASKSOL-955-P001.png</x:v>
      </x:c>
      <x:c r="O534" s="87" t="str">
        <x:v>thumbnails/VIS-EGKR-INF-S26-TASKSOL-955-P001.jpg</x:v>
      </x:c>
      <x:c r="P534" s="87" t="str">
        <x:v>c319277d4c72e9173baa74b3a6f252209051e85fc150f0affc7424ff7938735a</x:v>
      </x:c>
      <x:c r="Q534" s="30" t="str">
        <x:v>incoming/raw/recovery-drop-01/informatics_egkr_spring_visual_assets_v109.zip!/pages/VIS-EGKR-INF-S26-TASKSOL-955-P001.png</x:v>
      </x:c>
      <x:c r="R534" s="30" t="str">
        <x:v>MATCHED_ASSET</x:v>
      </x:c>
      <x:c r="S534" t="e">
        <x:f>HYPERLINK("visual_gallery/index.html#"&amp;A534,"Галерея")</x:f>
      </x:c>
    </x:row>
    <x:row r="535">
      <x:c r="A535" s="87" t="str">
        <x:v>VIS-EGKR-INF-S26-TASKSOL-955-P002</x:v>
      </x:c>
      <x:c r="B535" s="30" t="str">
        <x:v>Информатика</x:v>
      </x:c>
      <x:c r="C535" s="30"/>
      <x:c r="D535" s="30" t="str">
        <x:v>955</x:v>
      </x:c>
      <x:c r="E535" s="87"/>
      <x:c r="F535" s="30"/>
      <x:c r="G535" s="87" t="str">
        <x:v>2</x:v>
      </x:c>
      <x:c r="H535" s="87" t="str">
        <x:v>v1.09</x:v>
      </x:c>
      <x:c r="I535" s="87" t="str">
        <x:v>3</x:v>
      </x:c>
      <x:c r="J535" s="30" t="str">
        <x:v>PRIMARY_VIS_ID, SECONDARY_VIS_ID, VIS_ID</x:v>
      </x:c>
      <x:c r="K535" s="30" t="str">
        <x:v>EGKR-S26-INF-955-04, EGKR-S26-INF-955-05</x:v>
      </x:c>
      <x:c r="L535" s="87" t="str">
        <x:v>CROP_VERIFIED</x:v>
      </x:c>
      <x:c r="M535" s="87" t="str">
        <x:v>ORIGINAL_PACKAGE</x:v>
      </x:c>
      <x:c r="N535" s="87" t="str">
        <x:v>pages/VIS-EGKR-INF-S26-TASKSOL-955-P002.png</x:v>
      </x:c>
      <x:c r="O535" s="87" t="str">
        <x:v>thumbnails/VIS-EGKR-INF-S26-TASKSOL-955-P002.jpg</x:v>
      </x:c>
      <x:c r="P535" s="87" t="str">
        <x:v>25f48c0f0d74e1456365f2b30ac4f41fc93f750631828f5c18a2463bdc266a33</x:v>
      </x:c>
      <x:c r="Q535" s="30" t="str">
        <x:v>incoming/raw/recovery-drop-01/informatics_egkr_spring_visual_assets_v109.zip!/pages/VIS-EGKR-INF-S26-TASKSOL-955-P002.png</x:v>
      </x:c>
      <x:c r="R535" s="30" t="str">
        <x:v>MATCHED_ASSET</x:v>
      </x:c>
      <x:c r="S535" t="e">
        <x:f>HYPERLINK("visual_gallery/index.html#"&amp;A535,"Галерея")</x:f>
      </x:c>
    </x:row>
    <x:row r="536">
      <x:c r="A536" s="87" t="str">
        <x:v>VIS-EGKR-INF-S26-TASKSOL-955-P003</x:v>
      </x:c>
      <x:c r="B536" s="30" t="str">
        <x:v>Информатика</x:v>
      </x:c>
      <x:c r="C536" s="30"/>
      <x:c r="D536" s="30" t="str">
        <x:v>955</x:v>
      </x:c>
      <x:c r="E536" s="87"/>
      <x:c r="F536" s="30"/>
      <x:c r="G536" s="87" t="str">
        <x:v>3</x:v>
      </x:c>
      <x:c r="H536" s="87" t="str">
        <x:v>v1.09</x:v>
      </x:c>
      <x:c r="I536" s="87" t="str">
        <x:v>5</x:v>
      </x:c>
      <x:c r="J536" s="30" t="str">
        <x:v>PRIMARY_VIS_ID, SECONDARY_VIS_ID, VIS_ID</x:v>
      </x:c>
      <x:c r="K536" s="30" t="str">
        <x:v>EGKR-S26-INF-955-05, EGKR-S26-INF-955-06, EGKR-S26-INF-955-08</x:v>
      </x:c>
      <x:c r="L536" s="87" t="str">
        <x:v>CROP_VERIFIED</x:v>
      </x:c>
      <x:c r="M536" s="87" t="str">
        <x:v>ORIGINAL_PACKAGE</x:v>
      </x:c>
      <x:c r="N536" s="87" t="str">
        <x:v>pages/VIS-EGKR-INF-S26-TASKSOL-955-P003.png</x:v>
      </x:c>
      <x:c r="O536" s="87" t="str">
        <x:v>thumbnails/VIS-EGKR-INF-S26-TASKSOL-955-P003.jpg</x:v>
      </x:c>
      <x:c r="P536" s="87" t="str">
        <x:v>b620a96fb3f0f3371ee75e689dd0c7fd97e2e0388d958563953c4912b7a4d85e</x:v>
      </x:c>
      <x:c r="Q536" s="30" t="str">
        <x:v>incoming/raw/recovery-drop-01/informatics_egkr_spring_visual_assets_v109.zip!/pages/VIS-EGKR-INF-S26-TASKSOL-955-P003.png</x:v>
      </x:c>
      <x:c r="R536" s="30" t="str">
        <x:v>MATCHED_ASSET</x:v>
      </x:c>
      <x:c r="S536" t="e">
        <x:f>HYPERLINK("visual_gallery/index.html#"&amp;A536,"Галерея")</x:f>
      </x:c>
    </x:row>
    <x:row r="537">
      <x:c r="A537" s="87" t="str">
        <x:v>VIS-EGKR-INF-S26-TASKSOL-955-P004</x:v>
      </x:c>
      <x:c r="B537" s="30" t="str">
        <x:v>Информатика</x:v>
      </x:c>
      <x:c r="C537" s="30"/>
      <x:c r="D537" s="30" t="str">
        <x:v>955</x:v>
      </x:c>
      <x:c r="E537" s="87"/>
      <x:c r="F537" s="30"/>
      <x:c r="G537" s="87" t="str">
        <x:v>4</x:v>
      </x:c>
      <x:c r="H537" s="87" t="str">
        <x:v>v1.09</x:v>
      </x:c>
      <x:c r="I537" s="87" t="str">
        <x:v>3</x:v>
      </x:c>
      <x:c r="J537" s="30" t="str">
        <x:v>PRIMARY_VIS_ID, SECONDARY_VIS_ID, VIS_ID</x:v>
      </x:c>
      <x:c r="K537" s="30" t="str">
        <x:v>EGKR-S26-INF-955-08, EGKR-S26-INF-955-13</x:v>
      </x:c>
      <x:c r="L537" s="87" t="str">
        <x:v>CROP_VERIFIED</x:v>
      </x:c>
      <x:c r="M537" s="87" t="str">
        <x:v>ORIGINAL_PACKAGE</x:v>
      </x:c>
      <x:c r="N537" s="87" t="str">
        <x:v>pages/VIS-EGKR-INF-S26-TASKSOL-955-P004.png</x:v>
      </x:c>
      <x:c r="O537" s="87" t="str">
        <x:v>thumbnails/VIS-EGKR-INF-S26-TASKSOL-955-P004.jpg</x:v>
      </x:c>
      <x:c r="P537" s="87" t="str">
        <x:v>7a448d2c4c049201803cd96685663dff151af1ef4fa9ea7deade707122937a0a</x:v>
      </x:c>
      <x:c r="Q537" s="30" t="str">
        <x:v>incoming/raw/recovery-drop-01/informatics_egkr_spring_visual_assets_v109.zip!/pages/VIS-EGKR-INF-S26-TASKSOL-955-P004.png</x:v>
      </x:c>
      <x:c r="R537" s="30" t="str">
        <x:v>MATCHED_ASSET</x:v>
      </x:c>
      <x:c r="S537" t="e">
        <x:f>HYPERLINK("visual_gallery/index.html#"&amp;A537,"Галерея")</x:f>
      </x:c>
    </x:row>
    <x:row r="538">
      <x:c r="A538" s="87" t="str">
        <x:v>VIS-EGKR-INF-S26-TASKSOL-955-P005</x:v>
      </x:c>
      <x:c r="B538" s="30" t="str">
        <x:v>Информатика</x:v>
      </x:c>
      <x:c r="C538" s="30"/>
      <x:c r="D538" s="30" t="str">
        <x:v>955</x:v>
      </x:c>
      <x:c r="E538" s="87"/>
      <x:c r="F538" s="30"/>
      <x:c r="G538" s="87" t="str">
        <x:v>5</x:v>
      </x:c>
      <x:c r="H538" s="87" t="str">
        <x:v>v1.09</x:v>
      </x:c>
      <x:c r="I538" s="87" t="str">
        <x:v>5</x:v>
      </x:c>
      <x:c r="J538" s="30" t="str">
        <x:v>PRIMARY_VIS_ID, SECONDARY_VIS_ID, VIS_ID</x:v>
      </x:c>
      <x:c r="K538" s="30" t="str">
        <x:v>EGKR-S26-INF-955-07, EGKR-S26-INF-955-11, EGKR-S26-INF-955-13</x:v>
      </x:c>
      <x:c r="L538" s="87" t="str">
        <x:v>CROP_VERIFIED</x:v>
      </x:c>
      <x:c r="M538" s="87" t="str">
        <x:v>ORIGINAL_PACKAGE</x:v>
      </x:c>
      <x:c r="N538" s="87" t="str">
        <x:v>pages/VIS-EGKR-INF-S26-TASKSOL-955-P005.png</x:v>
      </x:c>
      <x:c r="O538" s="87" t="str">
        <x:v>thumbnails/VIS-EGKR-INF-S26-TASKSOL-955-P005.jpg</x:v>
      </x:c>
      <x:c r="P538" s="87" t="str">
        <x:v>5ecf09e88548f29a1c052369801574db6b7dbc32f20e62175a6bf96a218e34cc</x:v>
      </x:c>
      <x:c r="Q538" s="30" t="str">
        <x:v>incoming/raw/recovery-drop-01/informatics_egkr_spring_visual_assets_v109.zip!/pages/VIS-EGKR-INF-S26-TASKSOL-955-P005.png</x:v>
      </x:c>
      <x:c r="R538" s="30" t="str">
        <x:v>MATCHED_ASSET</x:v>
      </x:c>
      <x:c r="S538" t="e">
        <x:f>HYPERLINK("visual_gallery/index.html#"&amp;A538,"Галерея")</x:f>
      </x:c>
    </x:row>
    <x:row r="539">
      <x:c r="A539" s="87" t="str">
        <x:v>VIS-EGKR-INF-S26-TASKSOL-955-P006</x:v>
      </x:c>
      <x:c r="B539" s="30" t="str">
        <x:v>Информатика</x:v>
      </x:c>
      <x:c r="C539" s="30"/>
      <x:c r="D539" s="30" t="str">
        <x:v>955</x:v>
      </x:c>
      <x:c r="E539" s="87"/>
      <x:c r="F539" s="30"/>
      <x:c r="G539" s="87" t="str">
        <x:v>6</x:v>
      </x:c>
      <x:c r="H539" s="87" t="str">
        <x:v>v1.09</x:v>
      </x:c>
      <x:c r="I539" s="87" t="str">
        <x:v>3</x:v>
      </x:c>
      <x:c r="J539" s="30" t="str">
        <x:v>PRIMARY_VIS_ID, SECONDARY_VIS_ID, VIS_ID</x:v>
      </x:c>
      <x:c r="K539" s="30" t="str">
        <x:v>EGKR-S26-INF-955-11, EGKR-S26-INF-955-14</x:v>
      </x:c>
      <x:c r="L539" s="87" t="str">
        <x:v>CROP_VERIFIED</x:v>
      </x:c>
      <x:c r="M539" s="87" t="str">
        <x:v>ORIGINAL_PACKAGE</x:v>
      </x:c>
      <x:c r="N539" s="87" t="str">
        <x:v>pages/VIS-EGKR-INF-S26-TASKSOL-955-P006.png</x:v>
      </x:c>
      <x:c r="O539" s="87" t="str">
        <x:v>thumbnails/VIS-EGKR-INF-S26-TASKSOL-955-P006.jpg</x:v>
      </x:c>
      <x:c r="P539" s="87" t="str">
        <x:v>57510fac0fcd111af094c0cf6b259131974dcf6c5d34ddeedeb3049baf14a8f5</x:v>
      </x:c>
      <x:c r="Q539" s="30" t="str">
        <x:v>incoming/raw/recovery-drop-01/informatics_egkr_spring_visual_assets_v109.zip!/pages/VIS-EGKR-INF-S26-TASKSOL-955-P006.png</x:v>
      </x:c>
      <x:c r="R539" s="30" t="str">
        <x:v>MATCHED_ASSET</x:v>
      </x:c>
      <x:c r="S539" t="e">
        <x:f>HYPERLINK("visual_gallery/index.html#"&amp;A539,"Галерея")</x:f>
      </x:c>
    </x:row>
    <x:row r="540">
      <x:c r="A540" s="87" t="str">
        <x:v>VIS-EGKR-INF-S26-TASKSOL-955-P007</x:v>
      </x:c>
      <x:c r="B540" s="30" t="str">
        <x:v>Информатика</x:v>
      </x:c>
      <x:c r="C540" s="30"/>
      <x:c r="D540" s="30" t="str">
        <x:v>955</x:v>
      </x:c>
      <x:c r="E540" s="87"/>
      <x:c r="F540" s="30"/>
      <x:c r="G540" s="87" t="str">
        <x:v>7</x:v>
      </x:c>
      <x:c r="H540" s="87" t="str">
        <x:v>v1.09</x:v>
      </x:c>
      <x:c r="I540" s="87" t="str">
        <x:v>3</x:v>
      </x:c>
      <x:c r="J540" s="30" t="str">
        <x:v>PRIMARY_VIS_ID, SECONDARY_VIS_ID, VIS_ID</x:v>
      </x:c>
      <x:c r="K540" s="30" t="str">
        <x:v>EGKR-S26-INF-955-14, EGKR-S26-INF-955-15</x:v>
      </x:c>
      <x:c r="L540" s="87" t="str">
        <x:v>CROP_VERIFIED</x:v>
      </x:c>
      <x:c r="M540" s="87" t="str">
        <x:v>ORIGINAL_PACKAGE</x:v>
      </x:c>
      <x:c r="N540" s="87" t="str">
        <x:v>pages/VIS-EGKR-INF-S26-TASKSOL-955-P007.png</x:v>
      </x:c>
      <x:c r="O540" s="87" t="str">
        <x:v>thumbnails/VIS-EGKR-INF-S26-TASKSOL-955-P007.jpg</x:v>
      </x:c>
      <x:c r="P540" s="87" t="str">
        <x:v>0957b171f12c9c2c6b857ea43d5aacdc506577e09a45c1d11c2ceb0f05384cb0</x:v>
      </x:c>
      <x:c r="Q540" s="30" t="str">
        <x:v>incoming/raw/recovery-drop-01/informatics_egkr_spring_visual_assets_v109.zip!/pages/VIS-EGKR-INF-S26-TASKSOL-955-P007.png</x:v>
      </x:c>
      <x:c r="R540" s="30" t="str">
        <x:v>MATCHED_ASSET</x:v>
      </x:c>
      <x:c r="S540" t="e">
        <x:f>HYPERLINK("visual_gallery/index.html#"&amp;A540,"Галерея")</x:f>
      </x:c>
    </x:row>
    <x:row r="541">
      <x:c r="A541" s="87" t="str">
        <x:v>VIS-EGKR-INF-S26-TASKSOL-955-P008</x:v>
      </x:c>
      <x:c r="B541" s="30" t="str">
        <x:v>Информатика</x:v>
      </x:c>
      <x:c r="C541" s="30"/>
      <x:c r="D541" s="30" t="str">
        <x:v>955</x:v>
      </x:c>
      <x:c r="E541" s="87"/>
      <x:c r="F541" s="30"/>
      <x:c r="G541" s="87" t="str">
        <x:v>8</x:v>
      </x:c>
      <x:c r="H541" s="87" t="str">
        <x:v>v1.09</x:v>
      </x:c>
      <x:c r="I541" s="87" t="str">
        <x:v>3</x:v>
      </x:c>
      <x:c r="J541" s="30" t="str">
        <x:v>PRIMARY_VIS_ID, SECONDARY_VIS_ID, VIS_ID</x:v>
      </x:c>
      <x:c r="K541" s="30" t="str">
        <x:v>EGKR-S26-INF-955-15, EGKR-S26-INF-955-16</x:v>
      </x:c>
      <x:c r="L541" s="87" t="str">
        <x:v>CROP_VERIFIED</x:v>
      </x:c>
      <x:c r="M541" s="87" t="str">
        <x:v>ORIGINAL_PACKAGE</x:v>
      </x:c>
      <x:c r="N541" s="87" t="str">
        <x:v>pages/VIS-EGKR-INF-S26-TASKSOL-955-P008.png</x:v>
      </x:c>
      <x:c r="O541" s="87" t="str">
        <x:v>thumbnails/VIS-EGKR-INF-S26-TASKSOL-955-P008.jpg</x:v>
      </x:c>
      <x:c r="P541" s="87" t="str">
        <x:v>dc1e9eaaaa232463a0a844de2e2754874bd46d9d5656b63c68b68fc924189d9e</x:v>
      </x:c>
      <x:c r="Q541" s="30" t="str">
        <x:v>incoming/raw/recovery-drop-01/informatics_egkr_spring_visual_assets_v109.zip!/pages/VIS-EGKR-INF-S26-TASKSOL-955-P008.png</x:v>
      </x:c>
      <x:c r="R541" s="30" t="str">
        <x:v>MATCHED_ASSET</x:v>
      </x:c>
      <x:c r="S541" t="e">
        <x:f>HYPERLINK("visual_gallery/index.html#"&amp;A541,"Галерея")</x:f>
      </x:c>
    </x:row>
    <x:row r="542">
      <x:c r="A542" s="87" t="str">
        <x:v>VIS-EGKR-INF-S26-TASKSOL-955-P009</x:v>
      </x:c>
      <x:c r="B542" s="30" t="str">
        <x:v>Информатика</x:v>
      </x:c>
      <x:c r="C542" s="30"/>
      <x:c r="D542" s="30" t="str">
        <x:v>955</x:v>
      </x:c>
      <x:c r="E542" s="87"/>
      <x:c r="F542" s="30"/>
      <x:c r="G542" s="87" t="str">
        <x:v>9</x:v>
      </x:c>
      <x:c r="H542" s="87" t="str">
        <x:v>v1.09</x:v>
      </x:c>
      <x:c r="I542" s="87" t="str">
        <x:v>6</x:v>
      </x:c>
      <x:c r="J542" s="30" t="str">
        <x:v>PRIMARY_VIS_ID, VIS_ID</x:v>
      </x:c>
      <x:c r="K542" s="30" t="str">
        <x:v>EGKR-S26-INF-955-19, EGKR-S26-INF-955-20, EGKR-S26-INF-955-21</x:v>
      </x:c>
      <x:c r="L542" s="87" t="str">
        <x:v>CROP_VERIFIED</x:v>
      </x:c>
      <x:c r="M542" s="87" t="str">
        <x:v>ORIGINAL_PACKAGE</x:v>
      </x:c>
      <x:c r="N542" s="87" t="str">
        <x:v>pages/VIS-EGKR-INF-S26-TASKSOL-955-P009.png</x:v>
      </x:c>
      <x:c r="O542" s="87" t="str">
        <x:v>thumbnails/VIS-EGKR-INF-S26-TASKSOL-955-P009.jpg</x:v>
      </x:c>
      <x:c r="P542" s="87" t="str">
        <x:v>ce90d04d407f92f12908986f8dd9a27e53ff0433bc16cfea918237b6921a664e</x:v>
      </x:c>
      <x:c r="Q542" s="30" t="str">
        <x:v>incoming/raw/recovery-drop-01/informatics_egkr_spring_visual_assets_v109.zip!/pages/VIS-EGKR-INF-S26-TASKSOL-955-P009.png</x:v>
      </x:c>
      <x:c r="R542" s="30" t="str">
        <x:v>MATCHED_ASSET</x:v>
      </x:c>
      <x:c r="S542" t="e">
        <x:f>HYPERLINK("visual_gallery/index.html#"&amp;A542,"Галерея")</x:f>
      </x:c>
    </x:row>
    <x:row r="543">
      <x:c r="A543" s="87" t="str">
        <x:v>VIS-EGKR-INF-S26-TASKSOL-955-P010</x:v>
      </x:c>
      <x:c r="B543" s="30" t="str">
        <x:v>Информатика</x:v>
      </x:c>
      <x:c r="C543" s="30"/>
      <x:c r="D543" s="30" t="str">
        <x:v>955</x:v>
      </x:c>
      <x:c r="E543" s="87"/>
      <x:c r="F543" s="30"/>
      <x:c r="G543" s="87" t="str">
        <x:v>10</x:v>
      </x:c>
      <x:c r="H543" s="87" t="str">
        <x:v>v1.09</x:v>
      </x:c>
      <x:c r="I543" s="87" t="str">
        <x:v>2</x:v>
      </x:c>
      <x:c r="J543" s="30" t="str">
        <x:v>PRIMARY_VIS_ID, VIS_ID</x:v>
      </x:c>
      <x:c r="K543" s="30" t="str">
        <x:v>EGKR-S26-INF-955-25</x:v>
      </x:c>
      <x:c r="L543" s="87" t="str">
        <x:v>CROP_VERIFIED</x:v>
      </x:c>
      <x:c r="M543" s="87" t="str">
        <x:v>ORIGINAL_PACKAGE</x:v>
      </x:c>
      <x:c r="N543" s="87" t="str">
        <x:v>pages/VIS-EGKR-INF-S26-TASKSOL-955-P010.png</x:v>
      </x:c>
      <x:c r="O543" s="87" t="str">
        <x:v>thumbnails/VIS-EGKR-INF-S26-TASKSOL-955-P010.jpg</x:v>
      </x:c>
      <x:c r="P543" s="87" t="str">
        <x:v>6b17507a7816a1e96b796da4bdf27bc3ba64726407c112c144436e37887a9fff</x:v>
      </x:c>
      <x:c r="Q543" s="30" t="str">
        <x:v>incoming/raw/recovery-drop-01/informatics_egkr_spring_visual_assets_v109.zip!/pages/VIS-EGKR-INF-S26-TASKSOL-955-P010.png</x:v>
      </x:c>
      <x:c r="R543" s="30" t="str">
        <x:v>MATCHED_ASSET</x:v>
      </x:c>
      <x:c r="S543" t="e">
        <x:f>HYPERLINK("visual_gallery/index.html#"&amp;A543,"Галерея")</x:f>
      </x:c>
    </x:row>
    <x:row r="544">
      <x:c r="A544" s="87" t="str">
        <x:v>VIS-EGKR-INF-S26-TASKSOL-955-P011</x:v>
      </x:c>
      <x:c r="B544" s="30" t="str">
        <x:v>Информатика</x:v>
      </x:c>
      <x:c r="C544" s="30"/>
      <x:c r="D544" s="30" t="str">
        <x:v>955</x:v>
      </x:c>
      <x:c r="E544" s="87"/>
      <x:c r="F544" s="30"/>
      <x:c r="G544" s="87" t="str">
        <x:v>11</x:v>
      </x:c>
      <x:c r="H544" s="87" t="str">
        <x:v>v1.09</x:v>
      </x:c>
      <x:c r="I544" s="87" t="str">
        <x:v>3</x:v>
      </x:c>
      <x:c r="J544" s="30" t="str">
        <x:v>PRIMARY_VIS_ID, SECONDARY_VIS_ID, VIS_ID</x:v>
      </x:c>
      <x:c r="K544" s="30" t="str">
        <x:v>EGKR-S26-INF-955-12, EGKR-S26-INF-955-25</x:v>
      </x:c>
      <x:c r="L544" s="87" t="str">
        <x:v>CROP_VERIFIED</x:v>
      </x:c>
      <x:c r="M544" s="87" t="str">
        <x:v>ORIGINAL_PACKAGE</x:v>
      </x:c>
      <x:c r="N544" s="87" t="str">
        <x:v>pages/VIS-EGKR-INF-S26-TASKSOL-955-P011.png</x:v>
      </x:c>
      <x:c r="O544" s="87" t="str">
        <x:v>thumbnails/VIS-EGKR-INF-S26-TASKSOL-955-P011.jpg</x:v>
      </x:c>
      <x:c r="P544" s="87" t="str">
        <x:v>f4d6b1d4bcaa043d6684dbf4ce2fc84d7a035b17b31d22f5b22b16f8f17c3f4f</x:v>
      </x:c>
      <x:c r="Q544" s="30" t="str">
        <x:v>incoming/raw/recovery-drop-01/informatics_egkr_spring_visual_assets_v109.zip!/pages/VIS-EGKR-INF-S26-TASKSOL-955-P011.png</x:v>
      </x:c>
      <x:c r="R544" s="30" t="str">
        <x:v>MATCHED_ASSET</x:v>
      </x:c>
      <x:c r="S544" t="e">
        <x:f>HYPERLINK("visual_gallery/index.html#"&amp;A544,"Галерея")</x:f>
      </x:c>
    </x:row>
    <x:row r="545">
      <x:c r="A545" s="87" t="str">
        <x:v>VIS-EGKR-INF-S26-TASKSOL-955-P012</x:v>
      </x:c>
      <x:c r="B545" s="30" t="str">
        <x:v>Информатика</x:v>
      </x:c>
      <x:c r="C545" s="30"/>
      <x:c r="D545" s="30" t="str">
        <x:v>955</x:v>
      </x:c>
      <x:c r="E545" s="87"/>
      <x:c r="F545" s="30"/>
      <x:c r="G545" s="87" t="str">
        <x:v>12</x:v>
      </x:c>
      <x:c r="H545" s="87" t="str">
        <x:v>v1.09</x:v>
      </x:c>
      <x:c r="I545" s="87" t="str">
        <x:v>1</x:v>
      </x:c>
      <x:c r="J545" s="30" t="str">
        <x:v>SECONDARY_VIS_ID</x:v>
      </x:c>
      <x:c r="K545" s="30" t="str">
        <x:v>EGKR-S26-INF-955-12</x:v>
      </x:c>
      <x:c r="L545" s="87" t="str">
        <x:v>CROP_VERIFIED</x:v>
      </x:c>
      <x:c r="M545" s="87" t="str">
        <x:v>ORIGINAL_PACKAGE</x:v>
      </x:c>
      <x:c r="N545" s="87" t="str">
        <x:v>pages/VIS-EGKR-INF-S26-TASKSOL-955-P012.png</x:v>
      </x:c>
      <x:c r="O545" s="87" t="str">
        <x:v>thumbnails/VIS-EGKR-INF-S26-TASKSOL-955-P012.jpg</x:v>
      </x:c>
      <x:c r="P545" s="87" t="str">
        <x:v>fd7d7c666b11f371c7fbf1955ebe72638b9ae5048107e5a301f03d5e6c5dba11</x:v>
      </x:c>
      <x:c r="Q545" s="30" t="str">
        <x:v>incoming/raw/recovery-drop-01/informatics_egkr_spring_visual_assets_v109.zip!/pages/VIS-EGKR-INF-S26-TASKSOL-955-P012.png</x:v>
      </x:c>
      <x:c r="R545" s="30" t="str">
        <x:v>MATCHED_ASSET</x:v>
      </x:c>
      <x:c r="S545" t="e">
        <x:f>HYPERLINK("visual_gallery/index.html#"&amp;A545,"Галерея")</x:f>
      </x:c>
    </x:row>
    <x:row r="546">
      <x:c r="A546" s="87" t="str">
        <x:v>VIS-EGKR-MATHB-S26-ANSWERDOC-P001</x:v>
      </x:c>
      <x:c r="B546" s="30" t="str">
        <x:v>Математика (база)</x:v>
      </x:c>
      <x:c r="C546" s="30"/>
      <x:c r="D546" s="30" t="str">
        <x:v>958–964</x:v>
      </x:c>
      <x:c r="E546" s="87" t="str">
        <x:v>SECONDARY_ANSWER_SOURCE</x:v>
      </x:c>
      <x:c r="F546" s="30" t="str">
        <x:v>Ответы база (1).docx</x:v>
      </x:c>
      <x:c r="G546" s="87" t="str">
        <x:v>1</x:v>
      </x:c>
      <x:c r="H546" s="87" t="str">
        <x:v>v1.02</x:v>
      </x:c>
      <x:c r="I546" s="87" t="str">
        <x:v>21</x:v>
      </x:c>
      <x:c r="J546" s="30" t="str">
        <x:v>VIS_KEY</x:v>
      </x:c>
      <x:c r="K546" s="30" t="str">
        <x:v>EGKR-S26-MATHB-959-01, EGKR-S26-MATHB-959-02, EGKR-S26-MATHB-959-03, EGKR-S26-MATHB-959-04, EGKR-S26-MATHB-959-05, EGKR-S26-MATHB-959-06, EGKR-S26-MATHB-959-07, EGKR-S26-MATHB-959-08…</x:v>
      </x:c>
      <x:c r="L546" s="87" t="str">
        <x:v>CROP_VERIFIED</x:v>
      </x:c>
      <x:c r="M546" s="87" t="str">
        <x:v>ORIGINAL_PACKAGE</x:v>
      </x:c>
      <x:c r="N546" s="87" t="str">
        <x:v>pages/VIS-EGKR-MATHB-S26-ANSWERDOC-P001.png</x:v>
      </x:c>
      <x:c r="O546" s="87" t="str">
        <x:v>thumbnails/VIS-EGKR-MATHB-S26-ANSWERDOC-P001.jpg</x:v>
      </x:c>
      <x:c r="P546" s="87" t="str">
        <x:v>d9787d8a85e30b7f8b1f7791a2cc60f2e1f10c41c809e5aa5e9110f1955a44c3</x:v>
      </x:c>
      <x:c r="Q546" s="30" t="str">
        <x:v>incoming/raw/recovery-drop-01/mathematics_base_egkr_spring_visual_assets_v102.zip!/pages/VIS-EGKR-MATHB-S26-ANSWERDOC-P001.png</x:v>
      </x:c>
      <x:c r="R546" s="30" t="str">
        <x:v>MATCHED_ASSET</x:v>
      </x:c>
      <x:c r="S546" t="e">
        <x:f>HYPERLINK("visual_gallery/index.html#"&amp;A546,"Галерея")</x:f>
      </x:c>
    </x:row>
    <x:row r="547">
      <x:c r="A547" s="87" t="str">
        <x:v>VIS-EGKR-MATHB-S26-ANSWERDOC-P002</x:v>
      </x:c>
      <x:c r="B547" s="30" t="str">
        <x:v>Математика (база)</x:v>
      </x:c>
      <x:c r="C547" s="30"/>
      <x:c r="D547" s="30" t="str">
        <x:v>958–964</x:v>
      </x:c>
      <x:c r="E547" s="87" t="str">
        <x:v>SECONDARY_ANSWER_SOURCE</x:v>
      </x:c>
      <x:c r="F547" s="30" t="str">
        <x:v>Ответы база (1).docx</x:v>
      </x:c>
      <x:c r="G547" s="87" t="str">
        <x:v>2</x:v>
      </x:c>
      <x:c r="H547" s="87" t="str">
        <x:v>v1.02</x:v>
      </x:c>
      <x:c r="I547" s="87" t="str">
        <x:v>21</x:v>
      </x:c>
      <x:c r="J547" s="30" t="str">
        <x:v>VIS_KEY</x:v>
      </x:c>
      <x:c r="K547" s="30" t="str">
        <x:v>EGKR-S26-MATHB-961-01, EGKR-S26-MATHB-961-02, EGKR-S26-MATHB-961-03, EGKR-S26-MATHB-961-04, EGKR-S26-MATHB-961-05, EGKR-S26-MATHB-961-06, EGKR-S26-MATHB-961-07, EGKR-S26-MATHB-961-08…</x:v>
      </x:c>
      <x:c r="L547" s="87" t="str">
        <x:v>CROP_VERIFIED</x:v>
      </x:c>
      <x:c r="M547" s="87" t="str">
        <x:v>ORIGINAL_PACKAGE</x:v>
      </x:c>
      <x:c r="N547" s="87" t="str">
        <x:v>pages/VIS-EGKR-MATHB-S26-ANSWERDOC-P002.png</x:v>
      </x:c>
      <x:c r="O547" s="87" t="str">
        <x:v>thumbnails/VIS-EGKR-MATHB-S26-ANSWERDOC-P002.jpg</x:v>
      </x:c>
      <x:c r="P547" s="87" t="str">
        <x:v>73b03ac10771cdc145d1be30c281e4279b0da995e82dd7b6315824058dacfaf5</x:v>
      </x:c>
      <x:c r="Q547" s="30" t="str">
        <x:v>incoming/raw/recovery-drop-01/mathematics_base_egkr_spring_visual_assets_v102.zip!/pages/VIS-EGKR-MATHB-S26-ANSWERDOC-P002.png</x:v>
      </x:c>
      <x:c r="R547" s="30" t="str">
        <x:v>MATCHED_ASSET</x:v>
      </x:c>
      <x:c r="S547" t="e">
        <x:f>HYPERLINK("visual_gallery/index.html#"&amp;A547,"Галерея")</x:f>
      </x:c>
    </x:row>
    <x:row r="548">
      <x:c r="A548" s="87" t="str">
        <x:v>VIS-EGKR-MATHB-S26-ANSWERDOC-P003</x:v>
      </x:c>
      <x:c r="B548" s="30" t="str">
        <x:v>Математика (база)</x:v>
      </x:c>
      <x:c r="C548" s="30"/>
      <x:c r="D548" s="30" t="str">
        <x:v>958–964</x:v>
      </x:c>
      <x:c r="E548" s="87" t="str">
        <x:v>SECONDARY_ANSWER_SOURCE</x:v>
      </x:c>
      <x:c r="F548" s="30" t="str">
        <x:v>Ответы база (1).docx</x:v>
      </x:c>
      <x:c r="G548" s="87" t="str">
        <x:v>3</x:v>
      </x:c>
      <x:c r="H548" s="87" t="str">
        <x:v>v1.02</x:v>
      </x:c>
      <x:c r="I548" s="87" t="str">
        <x:v>21</x:v>
      </x:c>
      <x:c r="J548" s="30" t="str">
        <x:v>VIS_KEY</x:v>
      </x:c>
      <x:c r="K548" s="30" t="str">
        <x:v>EGKR-S26-MATHB-964-01, EGKR-S26-MATHB-964-02, EGKR-S26-MATHB-964-03, EGKR-S26-MATHB-964-04, EGKR-S26-MATHB-964-05, EGKR-S26-MATHB-964-06, EGKR-S26-MATHB-964-07, EGKR-S26-MATHB-964-08…</x:v>
      </x:c>
      <x:c r="L548" s="87" t="str">
        <x:v>CROP_VERIFIED</x:v>
      </x:c>
      <x:c r="M548" s="87" t="str">
        <x:v>ORIGINAL_PACKAGE</x:v>
      </x:c>
      <x:c r="N548" s="87" t="str">
        <x:v>pages/VIS-EGKR-MATHB-S26-ANSWERDOC-P003.png</x:v>
      </x:c>
      <x:c r="O548" s="87" t="str">
        <x:v>thumbnails/VIS-EGKR-MATHB-S26-ANSWERDOC-P003.jpg</x:v>
      </x:c>
      <x:c r="P548" s="87" t="str">
        <x:v>38a29001a95e8af16482012676544336bdce1547d6702f2289308dfc90867a40</x:v>
      </x:c>
      <x:c r="Q548" s="30" t="str">
        <x:v>incoming/raw/recovery-drop-01/mathematics_base_egkr_spring_visual_assets_v102.zip!/pages/VIS-EGKR-MATHB-S26-ANSWERDOC-P003.png</x:v>
      </x:c>
      <x:c r="R548" s="30" t="str">
        <x:v>MATCHED_ASSET</x:v>
      </x:c>
      <x:c r="S548" t="e">
        <x:f>HYPERLINK("visual_gallery/index.html#"&amp;A548,"Галерея")</x:f>
      </x:c>
    </x:row>
    <x:row r="549">
      <x:c r="A549" s="87" t="str">
        <x:v>VIS-EGKR-MATHB-S26-TASK-959-P001</x:v>
      </x:c>
      <x:c r="B549" s="30" t="str"/>
      <x:c r="C549" s="30"/>
      <x:c r="D549" s="30" t="str">
        <x:v>959</x:v>
      </x:c>
      <x:c r="E549" s="87" t="str">
        <x:v>TASK</x:v>
      </x:c>
      <x:c r="F549" s="30" t="str">
        <x:v>Вариант 959_база.pdf</x:v>
      </x:c>
      <x:c r="G549" s="87" t="str">
        <x:v>1</x:v>
      </x:c>
      <x:c r="H549" s="87" t="str">
        <x:v>v1.02</x:v>
      </x:c>
      <x:c r="I549" s="87" t="str">
        <x:v>0</x:v>
      </x:c>
      <x:c r="J549" s="30" t="str"/>
      <x:c r="K549" s="30" t="str"/>
      <x:c r="L549" s="87" t="str">
        <x:v>CROP_VERIFIED</x:v>
      </x:c>
      <x:c r="M549" s="87" t="str">
        <x:v>ORIGINAL_PACKAGE</x:v>
      </x:c>
      <x:c r="N549" s="87" t="str">
        <x:v>pages/VIS-EGKR-MATHB-S26-TASK-959-P001.png</x:v>
      </x:c>
      <x:c r="O549" s="87" t="str">
        <x:v>thumbnails/VIS-EGKR-MATHB-S26-TASK-959-P001.jpg</x:v>
      </x:c>
      <x:c r="P549" s="87" t="str">
        <x:v>c4aa708852288c09fad6ec6c80d7b9c4989a4b2cb2de70985be47482e71bf601</x:v>
      </x:c>
      <x:c r="Q549" s="30" t="str">
        <x:v>incoming/raw/recovery-drop-01/mathematics_base_egkr_spring_visual_assets_v102.zip!/pages/VIS-EGKR-MATHB-S26-TASK-959-P001.png</x:v>
      </x:c>
      <x:c r="R549" s="30" t="str">
        <x:v>RESOLVED_UNLINKED_REGISTRY_VISUAL</x:v>
      </x:c>
      <x:c r="S549" t="e">
        <x:f>HYPERLINK("visual_gallery/index.html#"&amp;A549,"Галерея")</x:f>
      </x:c>
    </x:row>
    <x:row r="550">
      <x:c r="A550" s="87" t="str">
        <x:v>VIS-EGKR-MATHB-S26-TASK-959-P002</x:v>
      </x:c>
      <x:c r="B550" s="30" t="str">
        <x:v>Математика (база)</x:v>
      </x:c>
      <x:c r="C550" s="30"/>
      <x:c r="D550" s="30" t="str">
        <x:v>959</x:v>
      </x:c>
      <x:c r="E550" s="87" t="str">
        <x:v>TASK</x:v>
      </x:c>
      <x:c r="F550" s="30" t="str">
        <x:v>Вариант 959_база.pdf</x:v>
      </x:c>
      <x:c r="G550" s="87" t="str">
        <x:v>2</x:v>
      </x:c>
      <x:c r="H550" s="87" t="str">
        <x:v>v1.02</x:v>
      </x:c>
      <x:c r="I550" s="87" t="str">
        <x:v>2</x:v>
      </x:c>
      <x:c r="J550" s="30" t="str">
        <x:v>VIS_ID</x:v>
      </x:c>
      <x:c r="K550" s="30" t="str">
        <x:v>EGKR-S26-MATHB-959-01, EGKR-S26-MATHB-959-02</x:v>
      </x:c>
      <x:c r="L550" s="87" t="str">
        <x:v>CROP_VERIFIED</x:v>
      </x:c>
      <x:c r="M550" s="87" t="str">
        <x:v>ORIGINAL_PACKAGE</x:v>
      </x:c>
      <x:c r="N550" s="87" t="str">
        <x:v>pages/VIS-EGKR-MATHB-S26-TASK-959-P002.png</x:v>
      </x:c>
      <x:c r="O550" s="87" t="str">
        <x:v>thumbnails/VIS-EGKR-MATHB-S26-TASK-959-P002.jpg</x:v>
      </x:c>
      <x:c r="P550" s="87" t="str">
        <x:v>41a78cdef8269a6fb61d56b587abaf9fc1e96e6310938bae505b5b369dc0f0e3</x:v>
      </x:c>
      <x:c r="Q550" s="30" t="str">
        <x:v>incoming/raw/recovery-drop-01/mathematics_base_egkr_spring_visual_assets_v102.zip!/pages/VIS-EGKR-MATHB-S26-TASK-959-P002.png</x:v>
      </x:c>
      <x:c r="R550" s="30" t="str">
        <x:v>MATCHED_ASSET</x:v>
      </x:c>
      <x:c r="S550" t="e">
        <x:f>HYPERLINK("visual_gallery/index.html#"&amp;A550,"Галерея")</x:f>
      </x:c>
    </x:row>
    <x:row r="551">
      <x:c r="A551" s="87" t="str">
        <x:v>VIS-EGKR-MATHB-S26-TASK-959-P003</x:v>
      </x:c>
      <x:c r="B551" s="30" t="str">
        <x:v>Математика (база)</x:v>
      </x:c>
      <x:c r="C551" s="30"/>
      <x:c r="D551" s="30" t="str">
        <x:v>959</x:v>
      </x:c>
      <x:c r="E551" s="87" t="str">
        <x:v>TASK</x:v>
      </x:c>
      <x:c r="F551" s="30" t="str">
        <x:v>Вариант 959_база.pdf</x:v>
      </x:c>
      <x:c r="G551" s="87" t="str">
        <x:v>3</x:v>
      </x:c>
      <x:c r="H551" s="87" t="str">
        <x:v>v1.02</x:v>
      </x:c>
      <x:c r="I551" s="87" t="str">
        <x:v>3</x:v>
      </x:c>
      <x:c r="J551" s="30" t="str">
        <x:v>VIS_ID</x:v>
      </x:c>
      <x:c r="K551" s="30" t="str">
        <x:v>EGKR-S26-MATHB-959-03, EGKR-S26-MATHB-959-04, EGKR-S26-MATHB-959-05</x:v>
      </x:c>
      <x:c r="L551" s="87" t="str">
        <x:v>CROP_VERIFIED</x:v>
      </x:c>
      <x:c r="M551" s="87" t="str">
        <x:v>ORIGINAL_PACKAGE</x:v>
      </x:c>
      <x:c r="N551" s="87" t="str">
        <x:v>pages/VIS-EGKR-MATHB-S26-TASK-959-P003.png</x:v>
      </x:c>
      <x:c r="O551" s="87" t="str">
        <x:v>thumbnails/VIS-EGKR-MATHB-S26-TASK-959-P003.jpg</x:v>
      </x:c>
      <x:c r="P551" s="87" t="str">
        <x:v>9ffc453116acf460b9d75d4ce46d1f1a04d26845b5774411e7d8c8572ede4b6d</x:v>
      </x:c>
      <x:c r="Q551" s="30" t="str">
        <x:v>incoming/raw/recovery-drop-01/mathematics_base_egkr_spring_visual_assets_v102.zip!/pages/VIS-EGKR-MATHB-S26-TASK-959-P003.png</x:v>
      </x:c>
      <x:c r="R551" s="30" t="str">
        <x:v>MATCHED_ASSET</x:v>
      </x:c>
      <x:c r="S551" t="e">
        <x:f>HYPERLINK("visual_gallery/index.html#"&amp;A551,"Галерея")</x:f>
      </x:c>
    </x:row>
    <x:row r="552">
      <x:c r="A552" s="87" t="str">
        <x:v>VIS-EGKR-MATHB-S26-TASK-959-P004</x:v>
      </x:c>
      <x:c r="B552" s="30" t="str">
        <x:v>Математика (база)</x:v>
      </x:c>
      <x:c r="C552" s="30"/>
      <x:c r="D552" s="30" t="str">
        <x:v>959</x:v>
      </x:c>
      <x:c r="E552" s="87" t="str">
        <x:v>TASK</x:v>
      </x:c>
      <x:c r="F552" s="30" t="str">
        <x:v>Вариант 959_база.pdf</x:v>
      </x:c>
      <x:c r="G552" s="87" t="str">
        <x:v>4</x:v>
      </x:c>
      <x:c r="H552" s="87" t="str">
        <x:v>v1.02</x:v>
      </x:c>
      <x:c r="I552" s="87" t="str">
        <x:v>2</x:v>
      </x:c>
      <x:c r="J552" s="30" t="str">
        <x:v>VIS_ID</x:v>
      </x:c>
      <x:c r="K552" s="30" t="str">
        <x:v>EGKR-S26-MATHB-959-06, EGKR-S26-MATHB-959-07</x:v>
      </x:c>
      <x:c r="L552" s="87" t="str">
        <x:v>CROP_VERIFIED</x:v>
      </x:c>
      <x:c r="M552" s="87" t="str">
        <x:v>ORIGINAL_PACKAGE</x:v>
      </x:c>
      <x:c r="N552" s="87" t="str">
        <x:v>pages/VIS-EGKR-MATHB-S26-TASK-959-P004.png</x:v>
      </x:c>
      <x:c r="O552" s="87" t="str">
        <x:v>thumbnails/VIS-EGKR-MATHB-S26-TASK-959-P004.jpg</x:v>
      </x:c>
      <x:c r="P552" s="87" t="str">
        <x:v>c0894995bbda0fc006cc439aa803ec42b77f99cebe495eb800cee1967dd51278</x:v>
      </x:c>
      <x:c r="Q552" s="30" t="str">
        <x:v>incoming/raw/recovery-drop-01/mathematics_base_egkr_spring_visual_assets_v102.zip!/pages/VIS-EGKR-MATHB-S26-TASK-959-P004.png</x:v>
      </x:c>
      <x:c r="R552" s="30" t="str">
        <x:v>MATCHED_ASSET</x:v>
      </x:c>
      <x:c r="S552" t="e">
        <x:f>HYPERLINK("visual_gallery/index.html#"&amp;A552,"Галерея")</x:f>
      </x:c>
    </x:row>
    <x:row r="553">
      <x:c r="A553" s="87" t="str">
        <x:v>VIS-EGKR-MATHB-S26-TASK-959-P005</x:v>
      </x:c>
      <x:c r="B553" s="30" t="str">
        <x:v>Математика (база)</x:v>
      </x:c>
      <x:c r="C553" s="30"/>
      <x:c r="D553" s="30" t="str">
        <x:v>959</x:v>
      </x:c>
      <x:c r="E553" s="87" t="str">
        <x:v>TASK</x:v>
      </x:c>
      <x:c r="F553" s="30" t="str">
        <x:v>Вариант 959_база.pdf</x:v>
      </x:c>
      <x:c r="G553" s="87" t="str">
        <x:v>5</x:v>
      </x:c>
      <x:c r="H553" s="87" t="str">
        <x:v>v1.02</x:v>
      </x:c>
      <x:c r="I553" s="87" t="str">
        <x:v>3</x:v>
      </x:c>
      <x:c r="J553" s="30" t="str">
        <x:v>VIS_ID</x:v>
      </x:c>
      <x:c r="K553" s="30" t="str">
        <x:v>EGKR-S26-MATHB-959-08, EGKR-S26-MATHB-959-09, EGKR-S26-MATHB-959-10</x:v>
      </x:c>
      <x:c r="L553" s="87" t="str">
        <x:v>CROP_VERIFIED</x:v>
      </x:c>
      <x:c r="M553" s="87" t="str">
        <x:v>ORIGINAL_PACKAGE</x:v>
      </x:c>
      <x:c r="N553" s="87" t="str">
        <x:v>pages/VIS-EGKR-MATHB-S26-TASK-959-P005.png</x:v>
      </x:c>
      <x:c r="O553" s="87" t="str">
        <x:v>thumbnails/VIS-EGKR-MATHB-S26-TASK-959-P005.jpg</x:v>
      </x:c>
      <x:c r="P553" s="87" t="str">
        <x:v>a3d62de4a04dae9e5cfeb0ee6c0c7b56ac8be48684a3b1b9779eb85118c31134</x:v>
      </x:c>
      <x:c r="Q553" s="30" t="str">
        <x:v>incoming/raw/recovery-drop-01/mathematics_base_egkr_spring_visual_assets_v102.zip!/pages/VIS-EGKR-MATHB-S26-TASK-959-P005.png</x:v>
      </x:c>
      <x:c r="R553" s="30" t="str">
        <x:v>MATCHED_ASSET</x:v>
      </x:c>
      <x:c r="S553" t="e">
        <x:f>HYPERLINK("visual_gallery/index.html#"&amp;A553,"Галерея")</x:f>
      </x:c>
    </x:row>
    <x:row r="554">
      <x:c r="A554" s="87" t="str">
        <x:v>VIS-EGKR-MATHB-S26-TASK-959-P006</x:v>
      </x:c>
      <x:c r="B554" s="30" t="str">
        <x:v>Математика (база)</x:v>
      </x:c>
      <x:c r="C554" s="30"/>
      <x:c r="D554" s="30" t="str">
        <x:v>959</x:v>
      </x:c>
      <x:c r="E554" s="87" t="str">
        <x:v>TASK</x:v>
      </x:c>
      <x:c r="F554" s="30" t="str">
        <x:v>Вариант 959_база.pdf</x:v>
      </x:c>
      <x:c r="G554" s="87" t="str">
        <x:v>6</x:v>
      </x:c>
      <x:c r="H554" s="87" t="str">
        <x:v>v1.02</x:v>
      </x:c>
      <x:c r="I554" s="87" t="str">
        <x:v>6</x:v>
      </x:c>
      <x:c r="J554" s="30" t="str">
        <x:v>VIS_ID</x:v>
      </x:c>
      <x:c r="K554" s="30" t="str">
        <x:v>EGKR-S26-MATHB-959-11, EGKR-S26-MATHB-959-12, EGKR-S26-MATHB-959-13, EGKR-S26-MATHB-959-14, EGKR-S26-MATHB-959-15, EGKR-S26-MATHB-959-16</x:v>
      </x:c>
      <x:c r="L554" s="87" t="str">
        <x:v>CROP_VERIFIED</x:v>
      </x:c>
      <x:c r="M554" s="87" t="str">
        <x:v>ORIGINAL_PACKAGE</x:v>
      </x:c>
      <x:c r="N554" s="87" t="str">
        <x:v>pages/VIS-EGKR-MATHB-S26-TASK-959-P006.png</x:v>
      </x:c>
      <x:c r="O554" s="87" t="str">
        <x:v>thumbnails/VIS-EGKR-MATHB-S26-TASK-959-P006.jpg</x:v>
      </x:c>
      <x:c r="P554" s="87" t="str">
        <x:v>a77a908b641735fe452042d31fa5aaaf00e54d50d0180134691171c7041c7c57</x:v>
      </x:c>
      <x:c r="Q554" s="30" t="str">
        <x:v>incoming/raw/recovery-drop-01/mathematics_base_egkr_spring_visual_assets_v102.zip!/pages/VIS-EGKR-MATHB-S26-TASK-959-P006.png</x:v>
      </x:c>
      <x:c r="R554" s="30" t="str">
        <x:v>MATCHED_ASSET</x:v>
      </x:c>
      <x:c r="S554" t="e">
        <x:f>HYPERLINK("visual_gallery/index.html#"&amp;A554,"Галерея")</x:f>
      </x:c>
    </x:row>
    <x:row r="555">
      <x:c r="A555" s="87" t="str">
        <x:v>VIS-EGKR-MATHB-S26-TASK-959-P007</x:v>
      </x:c>
      <x:c r="B555" s="30" t="str">
        <x:v>Математика (база)</x:v>
      </x:c>
      <x:c r="C555" s="30"/>
      <x:c r="D555" s="30" t="str">
        <x:v>959</x:v>
      </x:c>
      <x:c r="E555" s="87" t="str">
        <x:v>TASK</x:v>
      </x:c>
      <x:c r="F555" s="30" t="str">
        <x:v>Вариант 959_база.pdf</x:v>
      </x:c>
      <x:c r="G555" s="87" t="str">
        <x:v>7</x:v>
      </x:c>
      <x:c r="H555" s="87" t="str">
        <x:v>v1.02</x:v>
      </x:c>
      <x:c r="I555" s="87" t="str">
        <x:v>5</x:v>
      </x:c>
      <x:c r="J555" s="30" t="str">
        <x:v>VIS_ID</x:v>
      </x:c>
      <x:c r="K555" s="30" t="str">
        <x:v>EGKR-S26-MATHB-959-17, EGKR-S26-MATHB-959-18, EGKR-S26-MATHB-959-19, EGKR-S26-MATHB-959-20, EGKR-S26-MATHB-959-21</x:v>
      </x:c>
      <x:c r="L555" s="87" t="str">
        <x:v>CROP_VERIFIED</x:v>
      </x:c>
      <x:c r="M555" s="87" t="str">
        <x:v>ORIGINAL_PACKAGE</x:v>
      </x:c>
      <x:c r="N555" s="87" t="str">
        <x:v>pages/VIS-EGKR-MATHB-S26-TASK-959-P007.png</x:v>
      </x:c>
      <x:c r="O555" s="87" t="str">
        <x:v>thumbnails/VIS-EGKR-MATHB-S26-TASK-959-P007.jpg</x:v>
      </x:c>
      <x:c r="P555" s="87" t="str">
        <x:v>2fef0147bb102fcedbbfe2d0560bd25f377fb304d45932a7b002b0dd50825170</x:v>
      </x:c>
      <x:c r="Q555" s="30" t="str">
        <x:v>incoming/raw/recovery-drop-01/mathematics_base_egkr_spring_visual_assets_v102.zip!/pages/VIS-EGKR-MATHB-S26-TASK-959-P007.png</x:v>
      </x:c>
      <x:c r="R555" s="30" t="str">
        <x:v>MATCHED_ASSET</x:v>
      </x:c>
      <x:c r="S555" t="e">
        <x:f>HYPERLINK("visual_gallery/index.html#"&amp;A555,"Галерея")</x:f>
      </x:c>
    </x:row>
    <x:row r="556">
      <x:c r="A556" s="87" t="str">
        <x:v>VIS-EGKR-MATHB-S26-TASK-961-P001</x:v>
      </x:c>
      <x:c r="B556" s="30" t="str"/>
      <x:c r="C556" s="30"/>
      <x:c r="D556" s="30" t="str">
        <x:v>961</x:v>
      </x:c>
      <x:c r="E556" s="87" t="str">
        <x:v>TASK</x:v>
      </x:c>
      <x:c r="F556" s="30" t="str">
        <x:v>961_вариант_база.pdf</x:v>
      </x:c>
      <x:c r="G556" s="87" t="str">
        <x:v>1</x:v>
      </x:c>
      <x:c r="H556" s="87" t="str">
        <x:v>v1.02</x:v>
      </x:c>
      <x:c r="I556" s="87" t="str">
        <x:v>0</x:v>
      </x:c>
      <x:c r="J556" s="30" t="str"/>
      <x:c r="K556" s="30" t="str"/>
      <x:c r="L556" s="87" t="str">
        <x:v>CROP_VERIFIED</x:v>
      </x:c>
      <x:c r="M556" s="87" t="str">
        <x:v>ORIGINAL_PACKAGE</x:v>
      </x:c>
      <x:c r="N556" s="87" t="str">
        <x:v>pages/VIS-EGKR-MATHB-S26-TASK-961-P001.png</x:v>
      </x:c>
      <x:c r="O556" s="87" t="str">
        <x:v>thumbnails/VIS-EGKR-MATHB-S26-TASK-961-P001.jpg</x:v>
      </x:c>
      <x:c r="P556" s="87" t="str">
        <x:v>9306884355f5818465d9503ef184207ce1476ca7f7fd76a2005b991a18a5cf22</x:v>
      </x:c>
      <x:c r="Q556" s="30" t="str">
        <x:v>incoming/raw/recovery-drop-01/mathematics_base_egkr_spring_visual_assets_v102.zip!/pages/VIS-EGKR-MATHB-S26-TASK-961-P001.png</x:v>
      </x:c>
      <x:c r="R556" s="30" t="str">
        <x:v>RESOLVED_UNLINKED_REGISTRY_VISUAL</x:v>
      </x:c>
      <x:c r="S556" t="e">
        <x:f>HYPERLINK("visual_gallery/index.html#"&amp;A556,"Галерея")</x:f>
      </x:c>
    </x:row>
    <x:row r="557">
      <x:c r="A557" s="87" t="str">
        <x:v>VIS-EGKR-MATHB-S26-TASK-961-P002</x:v>
      </x:c>
      <x:c r="B557" s="30" t="str">
        <x:v>Математика (база)</x:v>
      </x:c>
      <x:c r="C557" s="30"/>
      <x:c r="D557" s="30" t="str">
        <x:v>961</x:v>
      </x:c>
      <x:c r="E557" s="87" t="str">
        <x:v>TASK</x:v>
      </x:c>
      <x:c r="F557" s="30" t="str">
        <x:v>961_вариант_база.pdf</x:v>
      </x:c>
      <x:c r="G557" s="87" t="str">
        <x:v>2</x:v>
      </x:c>
      <x:c r="H557" s="87" t="str">
        <x:v>v1.02</x:v>
      </x:c>
      <x:c r="I557" s="87" t="str">
        <x:v>2</x:v>
      </x:c>
      <x:c r="J557" s="30" t="str">
        <x:v>VIS_ID</x:v>
      </x:c>
      <x:c r="K557" s="30" t="str">
        <x:v>EGKR-S26-MATHB-961-01, EGKR-S26-MATHB-961-02</x:v>
      </x:c>
      <x:c r="L557" s="87" t="str">
        <x:v>CROP_VERIFIED</x:v>
      </x:c>
      <x:c r="M557" s="87" t="str">
        <x:v>ORIGINAL_PACKAGE</x:v>
      </x:c>
      <x:c r="N557" s="87" t="str">
        <x:v>pages/VIS-EGKR-MATHB-S26-TASK-961-P002.png</x:v>
      </x:c>
      <x:c r="O557" s="87" t="str">
        <x:v>thumbnails/VIS-EGKR-MATHB-S26-TASK-961-P002.jpg</x:v>
      </x:c>
      <x:c r="P557" s="87" t="str">
        <x:v>f4d9b4a1c1ea8ca2a475eef66049e862d75bc4f68b4e653cc6079b15ea79afb0</x:v>
      </x:c>
      <x:c r="Q557" s="30" t="str">
        <x:v>incoming/raw/recovery-drop-01/mathematics_base_egkr_spring_visual_assets_v102.zip!/pages/VIS-EGKR-MATHB-S26-TASK-961-P002.png</x:v>
      </x:c>
      <x:c r="R557" s="30" t="str">
        <x:v>MATCHED_ASSET</x:v>
      </x:c>
      <x:c r="S557" t="e">
        <x:f>HYPERLINK("visual_gallery/index.html#"&amp;A557,"Галерея")</x:f>
      </x:c>
    </x:row>
    <x:row r="558">
      <x:c r="A558" s="87" t="str">
        <x:v>VIS-EGKR-MATHB-S26-TASK-961-P003</x:v>
      </x:c>
      <x:c r="B558" s="30" t="str">
        <x:v>Математика (база)</x:v>
      </x:c>
      <x:c r="C558" s="30"/>
      <x:c r="D558" s="30" t="str">
        <x:v>961</x:v>
      </x:c>
      <x:c r="E558" s="87" t="str">
        <x:v>TASK</x:v>
      </x:c>
      <x:c r="F558" s="30" t="str">
        <x:v>961_вариант_база.pdf</x:v>
      </x:c>
      <x:c r="G558" s="87" t="str">
        <x:v>3</x:v>
      </x:c>
      <x:c r="H558" s="87" t="str">
        <x:v>v1.02</x:v>
      </x:c>
      <x:c r="I558" s="87" t="str">
        <x:v>3</x:v>
      </x:c>
      <x:c r="J558" s="30" t="str">
        <x:v>VIS_ID</x:v>
      </x:c>
      <x:c r="K558" s="30" t="str">
        <x:v>EGKR-S26-MATHB-961-03, EGKR-S26-MATHB-961-04, EGKR-S26-MATHB-961-05</x:v>
      </x:c>
      <x:c r="L558" s="87" t="str">
        <x:v>CROP_VERIFIED</x:v>
      </x:c>
      <x:c r="M558" s="87" t="str">
        <x:v>ORIGINAL_PACKAGE</x:v>
      </x:c>
      <x:c r="N558" s="87" t="str">
        <x:v>pages/VIS-EGKR-MATHB-S26-TASK-961-P003.png</x:v>
      </x:c>
      <x:c r="O558" s="87" t="str">
        <x:v>thumbnails/VIS-EGKR-MATHB-S26-TASK-961-P003.jpg</x:v>
      </x:c>
      <x:c r="P558" s="87" t="str">
        <x:v>7de93063606be7cd0190062e9ea3aca39f8514fb1302d0f9afc2e461033fc47a</x:v>
      </x:c>
      <x:c r="Q558" s="30" t="str">
        <x:v>incoming/raw/recovery-drop-01/mathematics_base_egkr_spring_visual_assets_v102.zip!/pages/VIS-EGKR-MATHB-S26-TASK-961-P003.png</x:v>
      </x:c>
      <x:c r="R558" s="30" t="str">
        <x:v>MATCHED_ASSET</x:v>
      </x:c>
      <x:c r="S558" t="e">
        <x:f>HYPERLINK("visual_gallery/index.html#"&amp;A558,"Галерея")</x:f>
      </x:c>
    </x:row>
    <x:row r="559">
      <x:c r="A559" s="87" t="str">
        <x:v>VIS-EGKR-MATHB-S26-TASK-961-P004</x:v>
      </x:c>
      <x:c r="B559" s="30" t="str">
        <x:v>Математика (база)</x:v>
      </x:c>
      <x:c r="C559" s="30"/>
      <x:c r="D559" s="30" t="str">
        <x:v>961</x:v>
      </x:c>
      <x:c r="E559" s="87" t="str">
        <x:v>TASK</x:v>
      </x:c>
      <x:c r="F559" s="30" t="str">
        <x:v>961_вариант_база.pdf</x:v>
      </x:c>
      <x:c r="G559" s="87" t="str">
        <x:v>4</x:v>
      </x:c>
      <x:c r="H559" s="87" t="str">
        <x:v>v1.02</x:v>
      </x:c>
      <x:c r="I559" s="87" t="str">
        <x:v>1</x:v>
      </x:c>
      <x:c r="J559" s="30" t="str">
        <x:v>VIS_ID</x:v>
      </x:c>
      <x:c r="K559" s="30" t="str">
        <x:v>EGKR-S26-MATHB-961-06</x:v>
      </x:c>
      <x:c r="L559" s="87" t="str">
        <x:v>CROP_VERIFIED</x:v>
      </x:c>
      <x:c r="M559" s="87" t="str">
        <x:v>ORIGINAL_PACKAGE</x:v>
      </x:c>
      <x:c r="N559" s="87" t="str">
        <x:v>pages/VIS-EGKR-MATHB-S26-TASK-961-P004.png</x:v>
      </x:c>
      <x:c r="O559" s="87" t="str">
        <x:v>thumbnails/VIS-EGKR-MATHB-S26-TASK-961-P004.jpg</x:v>
      </x:c>
      <x:c r="P559" s="87" t="str">
        <x:v>3b9e4cfe54db829e7d310be0b2e625e957a0538741f3842cb45a224b5c0e6a73</x:v>
      </x:c>
      <x:c r="Q559" s="30" t="str">
        <x:v>incoming/raw/recovery-drop-01/mathematics_base_egkr_spring_visual_assets_v102.zip!/pages/VIS-EGKR-MATHB-S26-TASK-961-P004.png</x:v>
      </x:c>
      <x:c r="R559" s="30" t="str">
        <x:v>MATCHED_ASSET</x:v>
      </x:c>
      <x:c r="S559" t="e">
        <x:f>HYPERLINK("visual_gallery/index.html#"&amp;A559,"Галерея")</x:f>
      </x:c>
    </x:row>
    <x:row r="560">
      <x:c r="A560" s="87" t="str">
        <x:v>VIS-EGKR-MATHB-S26-TASK-961-P005</x:v>
      </x:c>
      <x:c r="B560" s="30" t="str">
        <x:v>Математика (база)</x:v>
      </x:c>
      <x:c r="C560" s="30"/>
      <x:c r="D560" s="30" t="str">
        <x:v>961</x:v>
      </x:c>
      <x:c r="E560" s="87" t="str">
        <x:v>TASK</x:v>
      </x:c>
      <x:c r="F560" s="30" t="str">
        <x:v>961_вариант_база.pdf</x:v>
      </x:c>
      <x:c r="G560" s="87" t="str">
        <x:v>5</x:v>
      </x:c>
      <x:c r="H560" s="87" t="str">
        <x:v>v1.02</x:v>
      </x:c>
      <x:c r="I560" s="87" t="str">
        <x:v>1</x:v>
      </x:c>
      <x:c r="J560" s="30" t="str">
        <x:v>VIS_ID</x:v>
      </x:c>
      <x:c r="K560" s="30" t="str">
        <x:v>EGKR-S26-MATHB-961-07</x:v>
      </x:c>
      <x:c r="L560" s="87" t="str">
        <x:v>CROP_VERIFIED</x:v>
      </x:c>
      <x:c r="M560" s="87" t="str">
        <x:v>ORIGINAL_PACKAGE</x:v>
      </x:c>
      <x:c r="N560" s="87" t="str">
        <x:v>pages/VIS-EGKR-MATHB-S26-TASK-961-P005.png</x:v>
      </x:c>
      <x:c r="O560" s="87" t="str">
        <x:v>thumbnails/VIS-EGKR-MATHB-S26-TASK-961-P005.jpg</x:v>
      </x:c>
      <x:c r="P560" s="87" t="str">
        <x:v>462b8aadf368b0fa57e20dcbee7cb81543ec85f6dc9e270c54ea4b1618ce7f8b</x:v>
      </x:c>
      <x:c r="Q560" s="30" t="str">
        <x:v>incoming/raw/recovery-drop-01/mathematics_base_egkr_spring_visual_assets_v102.zip!/pages/VIS-EGKR-MATHB-S26-TASK-961-P005.png</x:v>
      </x:c>
      <x:c r="R560" s="30" t="str">
        <x:v>MATCHED_ASSET</x:v>
      </x:c>
      <x:c r="S560" t="e">
        <x:f>HYPERLINK("visual_gallery/index.html#"&amp;A560,"Галерея")</x:f>
      </x:c>
    </x:row>
    <x:row r="561">
      <x:c r="A561" s="87" t="str">
        <x:v>VIS-EGKR-MATHB-S26-TASK-961-P006</x:v>
      </x:c>
      <x:c r="B561" s="30" t="str">
        <x:v>Математика (база)</x:v>
      </x:c>
      <x:c r="C561" s="30"/>
      <x:c r="D561" s="30" t="str">
        <x:v>961</x:v>
      </x:c>
      <x:c r="E561" s="87" t="str">
        <x:v>TASK</x:v>
      </x:c>
      <x:c r="F561" s="30" t="str">
        <x:v>961_вариант_база.pdf</x:v>
      </x:c>
      <x:c r="G561" s="87" t="str">
        <x:v>6</x:v>
      </x:c>
      <x:c r="H561" s="87" t="str">
        <x:v>v1.02</x:v>
      </x:c>
      <x:c r="I561" s="87" t="str">
        <x:v>3</x:v>
      </x:c>
      <x:c r="J561" s="30" t="str">
        <x:v>VIS_ID</x:v>
      </x:c>
      <x:c r="K561" s="30" t="str">
        <x:v>EGKR-S26-MATHB-961-08, EGKR-S26-MATHB-961-09, EGKR-S26-MATHB-961-10</x:v>
      </x:c>
      <x:c r="L561" s="87" t="str">
        <x:v>CROP_VERIFIED</x:v>
      </x:c>
      <x:c r="M561" s="87" t="str">
        <x:v>ORIGINAL_PACKAGE</x:v>
      </x:c>
      <x:c r="N561" s="87" t="str">
        <x:v>pages/VIS-EGKR-MATHB-S26-TASK-961-P006.png</x:v>
      </x:c>
      <x:c r="O561" s="87" t="str">
        <x:v>thumbnails/VIS-EGKR-MATHB-S26-TASK-961-P006.jpg</x:v>
      </x:c>
      <x:c r="P561" s="87" t="str">
        <x:v>57f37fa5efccc3feeed65e15ed847e3dd8b58842723c3d64c6f6c2a15643864d</x:v>
      </x:c>
      <x:c r="Q561" s="30" t="str">
        <x:v>incoming/raw/recovery-drop-01/mathematics_base_egkr_spring_visual_assets_v102.zip!/pages/VIS-EGKR-MATHB-S26-TASK-961-P006.png</x:v>
      </x:c>
      <x:c r="R561" s="30" t="str">
        <x:v>MATCHED_ASSET</x:v>
      </x:c>
      <x:c r="S561" t="e">
        <x:f>HYPERLINK("visual_gallery/index.html#"&amp;A561,"Галерея")</x:f>
      </x:c>
    </x:row>
    <x:row r="562">
      <x:c r="A562" s="87" t="str">
        <x:v>VIS-EGKR-MATHB-S26-TASK-961-P007</x:v>
      </x:c>
      <x:c r="B562" s="30" t="str">
        <x:v>Математика (база)</x:v>
      </x:c>
      <x:c r="C562" s="30"/>
      <x:c r="D562" s="30" t="str">
        <x:v>961</x:v>
      </x:c>
      <x:c r="E562" s="87" t="str">
        <x:v>TASK</x:v>
      </x:c>
      <x:c r="F562" s="30" t="str">
        <x:v>961_вариант_база.pdf</x:v>
      </x:c>
      <x:c r="G562" s="87" t="str">
        <x:v>7</x:v>
      </x:c>
      <x:c r="H562" s="87" t="str">
        <x:v>v1.02</x:v>
      </x:c>
      <x:c r="I562" s="87" t="str">
        <x:v>6</x:v>
      </x:c>
      <x:c r="J562" s="30" t="str">
        <x:v>VIS_ID</x:v>
      </x:c>
      <x:c r="K562" s="30" t="str">
        <x:v>EGKR-S26-MATHB-961-11, EGKR-S26-MATHB-961-12, EGKR-S26-MATHB-961-13, EGKR-S26-MATHB-961-14, EGKR-S26-MATHB-961-15, EGKR-S26-MATHB-961-16</x:v>
      </x:c>
      <x:c r="L562" s="87" t="str">
        <x:v>CROP_VERIFIED</x:v>
      </x:c>
      <x:c r="M562" s="87" t="str">
        <x:v>ORIGINAL_PACKAGE</x:v>
      </x:c>
      <x:c r="N562" s="87" t="str">
        <x:v>pages/VIS-EGKR-MATHB-S26-TASK-961-P007.png</x:v>
      </x:c>
      <x:c r="O562" s="87" t="str">
        <x:v>thumbnails/VIS-EGKR-MATHB-S26-TASK-961-P007.jpg</x:v>
      </x:c>
      <x:c r="P562" s="87" t="str">
        <x:v>087853717219ac643532a1f0954d35b681574337a7934d0a6525db47cb3be30b</x:v>
      </x:c>
      <x:c r="Q562" s="30" t="str">
        <x:v>incoming/raw/recovery-drop-01/mathematics_base_egkr_spring_visual_assets_v102.zip!/pages/VIS-EGKR-MATHB-S26-TASK-961-P007.png</x:v>
      </x:c>
      <x:c r="R562" s="30" t="str">
        <x:v>MATCHED_ASSET</x:v>
      </x:c>
      <x:c r="S562" t="e">
        <x:f>HYPERLINK("visual_gallery/index.html#"&amp;A562,"Галерея")</x:f>
      </x:c>
    </x:row>
    <x:row r="563">
      <x:c r="A563" s="87" t="str">
        <x:v>VIS-EGKR-MATHB-S26-TASK-961-P008</x:v>
      </x:c>
      <x:c r="B563" s="30" t="str">
        <x:v>Математика (база)</x:v>
      </x:c>
      <x:c r="C563" s="30"/>
      <x:c r="D563" s="30" t="str">
        <x:v>961</x:v>
      </x:c>
      <x:c r="E563" s="87" t="str">
        <x:v>TASK</x:v>
      </x:c>
      <x:c r="F563" s="30" t="str">
        <x:v>961_вариант_база.pdf</x:v>
      </x:c>
      <x:c r="G563" s="87" t="str">
        <x:v>8</x:v>
      </x:c>
      <x:c r="H563" s="87" t="str">
        <x:v>v1.02</x:v>
      </x:c>
      <x:c r="I563" s="87" t="str">
        <x:v>5</x:v>
      </x:c>
      <x:c r="J563" s="30" t="str">
        <x:v>VIS_ID</x:v>
      </x:c>
      <x:c r="K563" s="30" t="str">
        <x:v>EGKR-S26-MATHB-961-17, EGKR-S26-MATHB-961-18, EGKR-S26-MATHB-961-19, EGKR-S26-MATHB-961-20, EGKR-S26-MATHB-961-21</x:v>
      </x:c>
      <x:c r="L563" s="87" t="str">
        <x:v>CROP_VERIFIED</x:v>
      </x:c>
      <x:c r="M563" s="87" t="str">
        <x:v>ORIGINAL_PACKAGE</x:v>
      </x:c>
      <x:c r="N563" s="87" t="str">
        <x:v>pages/VIS-EGKR-MATHB-S26-TASK-961-P008.png</x:v>
      </x:c>
      <x:c r="O563" s="87" t="str">
        <x:v>thumbnails/VIS-EGKR-MATHB-S26-TASK-961-P008.jpg</x:v>
      </x:c>
      <x:c r="P563" s="87" t="str">
        <x:v>82a56924a62a5807103065d044567e96408bfd29fe92f4d6c35b9eb0732c72d5</x:v>
      </x:c>
      <x:c r="Q563" s="30" t="str">
        <x:v>incoming/raw/recovery-drop-01/mathematics_base_egkr_spring_visual_assets_v102.zip!/pages/VIS-EGKR-MATHB-S26-TASK-961-P008.png</x:v>
      </x:c>
      <x:c r="R563" s="30" t="str">
        <x:v>MATCHED_ASSET</x:v>
      </x:c>
      <x:c r="S563" t="e">
        <x:f>HYPERLINK("visual_gallery/index.html#"&amp;A563,"Галерея")</x:f>
      </x:c>
    </x:row>
    <x:row r="564">
      <x:c r="A564" s="87" t="str">
        <x:v>VIS-EGKR-MATHB-S26-TASK-964-P001</x:v>
      </x:c>
      <x:c r="B564" s="30" t="str"/>
      <x:c r="C564" s="30"/>
      <x:c r="D564" s="30" t="str">
        <x:v>964</x:v>
      </x:c>
      <x:c r="E564" s="87" t="str">
        <x:v>TASK</x:v>
      </x:c>
      <x:c r="F564" s="30" t="str">
        <x:v>Вариант 964_база.pdf</x:v>
      </x:c>
      <x:c r="G564" s="87" t="str">
        <x:v>1</x:v>
      </x:c>
      <x:c r="H564" s="87" t="str">
        <x:v>v1.02</x:v>
      </x:c>
      <x:c r="I564" s="87" t="str">
        <x:v>0</x:v>
      </x:c>
      <x:c r="J564" s="30" t="str"/>
      <x:c r="K564" s="30" t="str"/>
      <x:c r="L564" s="87" t="str">
        <x:v>CROP_VERIFIED</x:v>
      </x:c>
      <x:c r="M564" s="87" t="str">
        <x:v>ORIGINAL_PACKAGE</x:v>
      </x:c>
      <x:c r="N564" s="87" t="str">
        <x:v>pages/VIS-EGKR-MATHB-S26-TASK-964-P001.png</x:v>
      </x:c>
      <x:c r="O564" s="87" t="str">
        <x:v>thumbnails/VIS-EGKR-MATHB-S26-TASK-964-P001.jpg</x:v>
      </x:c>
      <x:c r="P564" s="87" t="str">
        <x:v>8a7abc1fb6a271d755d7df4191ad5ea84e60fe4b751a52f8ffcb032554ad304e</x:v>
      </x:c>
      <x:c r="Q564" s="30" t="str">
        <x:v>incoming/raw/recovery-drop-01/mathematics_base_egkr_spring_visual_assets_v102.zip!/pages/VIS-EGKR-MATHB-S26-TASK-964-P001.png</x:v>
      </x:c>
      <x:c r="R564" s="30" t="str">
        <x:v>RESOLVED_UNLINKED_REGISTRY_VISUAL</x:v>
      </x:c>
      <x:c r="S564" t="e">
        <x:f>HYPERLINK("visual_gallery/index.html#"&amp;A564,"Галерея")</x:f>
      </x:c>
    </x:row>
    <x:row r="565">
      <x:c r="A565" s="87" t="str">
        <x:v>VIS-EGKR-MATHB-S26-TASK-964-P002</x:v>
      </x:c>
      <x:c r="B565" s="30" t="str">
        <x:v>Математика (база)</x:v>
      </x:c>
      <x:c r="C565" s="30"/>
      <x:c r="D565" s="30" t="str">
        <x:v>964</x:v>
      </x:c>
      <x:c r="E565" s="87" t="str">
        <x:v>TASK</x:v>
      </x:c>
      <x:c r="F565" s="30" t="str">
        <x:v>Вариант 964_база.pdf</x:v>
      </x:c>
      <x:c r="G565" s="87" t="str">
        <x:v>2</x:v>
      </x:c>
      <x:c r="H565" s="87" t="str">
        <x:v>v1.02</x:v>
      </x:c>
      <x:c r="I565" s="87" t="str">
        <x:v>2</x:v>
      </x:c>
      <x:c r="J565" s="30" t="str">
        <x:v>VIS_ID</x:v>
      </x:c>
      <x:c r="K565" s="30" t="str">
        <x:v>EGKR-S26-MATHB-964-01, EGKR-S26-MATHB-964-02</x:v>
      </x:c>
      <x:c r="L565" s="87" t="str">
        <x:v>CROP_VERIFIED</x:v>
      </x:c>
      <x:c r="M565" s="87" t="str">
        <x:v>ORIGINAL_PACKAGE</x:v>
      </x:c>
      <x:c r="N565" s="87" t="str">
        <x:v>pages/VIS-EGKR-MATHB-S26-TASK-964-P002.png</x:v>
      </x:c>
      <x:c r="O565" s="87" t="str">
        <x:v>thumbnails/VIS-EGKR-MATHB-S26-TASK-964-P002.jpg</x:v>
      </x:c>
      <x:c r="P565" s="87" t="str">
        <x:v>bcea210b4b409ae9f68eac6c20dc637efe972e2ac4947504da306db4eaa1e3c5</x:v>
      </x:c>
      <x:c r="Q565" s="30" t="str">
        <x:v>incoming/raw/recovery-drop-01/mathematics_base_egkr_spring_visual_assets_v102.zip!/pages/VIS-EGKR-MATHB-S26-TASK-964-P002.png</x:v>
      </x:c>
      <x:c r="R565" s="30" t="str">
        <x:v>MATCHED_ASSET</x:v>
      </x:c>
      <x:c r="S565" t="e">
        <x:f>HYPERLINK("visual_gallery/index.html#"&amp;A565,"Галерея")</x:f>
      </x:c>
    </x:row>
    <x:row r="566">
      <x:c r="A566" s="87" t="str">
        <x:v>VIS-EGKR-MATHB-S26-TASK-964-P003</x:v>
      </x:c>
      <x:c r="B566" s="30" t="str">
        <x:v>Математика (база)</x:v>
      </x:c>
      <x:c r="C566" s="30"/>
      <x:c r="D566" s="30" t="str">
        <x:v>964</x:v>
      </x:c>
      <x:c r="E566" s="87" t="str">
        <x:v>TASK</x:v>
      </x:c>
      <x:c r="F566" s="30" t="str">
        <x:v>Вариант 964_база.pdf</x:v>
      </x:c>
      <x:c r="G566" s="87" t="str">
        <x:v>3</x:v>
      </x:c>
      <x:c r="H566" s="87" t="str">
        <x:v>v1.02</x:v>
      </x:c>
      <x:c r="I566" s="87" t="str">
        <x:v>3</x:v>
      </x:c>
      <x:c r="J566" s="30" t="str">
        <x:v>VIS_ID</x:v>
      </x:c>
      <x:c r="K566" s="30" t="str">
        <x:v>EGKR-S26-MATHB-964-03, EGKR-S26-MATHB-964-04, EGKR-S26-MATHB-964-05</x:v>
      </x:c>
      <x:c r="L566" s="87" t="str">
        <x:v>CROP_VERIFIED</x:v>
      </x:c>
      <x:c r="M566" s="87" t="str">
        <x:v>ORIGINAL_PACKAGE</x:v>
      </x:c>
      <x:c r="N566" s="87" t="str">
        <x:v>pages/VIS-EGKR-MATHB-S26-TASK-964-P003.png</x:v>
      </x:c>
      <x:c r="O566" s="87" t="str">
        <x:v>thumbnails/VIS-EGKR-MATHB-S26-TASK-964-P003.jpg</x:v>
      </x:c>
      <x:c r="P566" s="87" t="str">
        <x:v>b1ace26c5721557e3c9658913d2f6ce7aad95bbe90f078672076e91c5ad18f1e</x:v>
      </x:c>
      <x:c r="Q566" s="30" t="str">
        <x:v>incoming/raw/recovery-drop-01/mathematics_base_egkr_spring_visual_assets_v102.zip!/pages/VIS-EGKR-MATHB-S26-TASK-964-P003.png</x:v>
      </x:c>
      <x:c r="R566" s="30" t="str">
        <x:v>MATCHED_ASSET</x:v>
      </x:c>
      <x:c r="S566" t="e">
        <x:f>HYPERLINK("visual_gallery/index.html#"&amp;A566,"Галерея")</x:f>
      </x:c>
    </x:row>
    <x:row r="567">
      <x:c r="A567" s="87" t="str">
        <x:v>VIS-EGKR-MATHB-S26-TASK-964-P004</x:v>
      </x:c>
      <x:c r="B567" s="30" t="str">
        <x:v>Математика (база)</x:v>
      </x:c>
      <x:c r="C567" s="30"/>
      <x:c r="D567" s="30" t="str">
        <x:v>964</x:v>
      </x:c>
      <x:c r="E567" s="87" t="str">
        <x:v>TASK</x:v>
      </x:c>
      <x:c r="F567" s="30" t="str">
        <x:v>Вариант 964_база.pdf</x:v>
      </x:c>
      <x:c r="G567" s="87" t="str">
        <x:v>4</x:v>
      </x:c>
      <x:c r="H567" s="87" t="str">
        <x:v>v1.02</x:v>
      </x:c>
      <x:c r="I567" s="87" t="str">
        <x:v>2</x:v>
      </x:c>
      <x:c r="J567" s="30" t="str">
        <x:v>VIS_ID</x:v>
      </x:c>
      <x:c r="K567" s="30" t="str">
        <x:v>EGKR-S26-MATHB-964-06, EGKR-S26-MATHB-964-07</x:v>
      </x:c>
      <x:c r="L567" s="87" t="str">
        <x:v>CROP_VERIFIED</x:v>
      </x:c>
      <x:c r="M567" s="87" t="str">
        <x:v>ORIGINAL_PACKAGE</x:v>
      </x:c>
      <x:c r="N567" s="87" t="str">
        <x:v>pages/VIS-EGKR-MATHB-S26-TASK-964-P004.png</x:v>
      </x:c>
      <x:c r="O567" s="87" t="str">
        <x:v>thumbnails/VIS-EGKR-MATHB-S26-TASK-964-P004.jpg</x:v>
      </x:c>
      <x:c r="P567" s="87" t="str">
        <x:v>495e9aeb3ddc912fee37199d1f476a8f66e5adcdde0f8b074ba10f870f49e3ce</x:v>
      </x:c>
      <x:c r="Q567" s="30" t="str">
        <x:v>incoming/raw/recovery-drop-01/mathematics_base_egkr_spring_visual_assets_v102.zip!/pages/VIS-EGKR-MATHB-S26-TASK-964-P004.png</x:v>
      </x:c>
      <x:c r="R567" s="30" t="str">
        <x:v>MATCHED_ASSET</x:v>
      </x:c>
      <x:c r="S567" t="e">
        <x:f>HYPERLINK("visual_gallery/index.html#"&amp;A567,"Галерея")</x:f>
      </x:c>
    </x:row>
    <x:row r="568">
      <x:c r="A568" s="87" t="str">
        <x:v>VIS-EGKR-MATHB-S26-TASK-964-P005</x:v>
      </x:c>
      <x:c r="B568" s="30" t="str">
        <x:v>Математика (база)</x:v>
      </x:c>
      <x:c r="C568" s="30"/>
      <x:c r="D568" s="30" t="str">
        <x:v>964</x:v>
      </x:c>
      <x:c r="E568" s="87" t="str">
        <x:v>TASK</x:v>
      </x:c>
      <x:c r="F568" s="30" t="str">
        <x:v>Вариант 964_база.pdf</x:v>
      </x:c>
      <x:c r="G568" s="87" t="str">
        <x:v>5</x:v>
      </x:c>
      <x:c r="H568" s="87" t="str">
        <x:v>v1.02</x:v>
      </x:c>
      <x:c r="I568" s="87" t="str">
        <x:v>3</x:v>
      </x:c>
      <x:c r="J568" s="30" t="str">
        <x:v>VIS_ID</x:v>
      </x:c>
      <x:c r="K568" s="30" t="str">
        <x:v>EGKR-S26-MATHB-964-08, EGKR-S26-MATHB-964-09, EGKR-S26-MATHB-964-10</x:v>
      </x:c>
      <x:c r="L568" s="87" t="str">
        <x:v>CROP_VERIFIED</x:v>
      </x:c>
      <x:c r="M568" s="87" t="str">
        <x:v>ORIGINAL_PACKAGE</x:v>
      </x:c>
      <x:c r="N568" s="87" t="str">
        <x:v>pages/VIS-EGKR-MATHB-S26-TASK-964-P005.png</x:v>
      </x:c>
      <x:c r="O568" s="87" t="str">
        <x:v>thumbnails/VIS-EGKR-MATHB-S26-TASK-964-P005.jpg</x:v>
      </x:c>
      <x:c r="P568" s="87" t="str">
        <x:v>4ba0ac103fd9958570d05e53cbdeb8f0bfd0954eaeea3a02a532fa8927dcb5b2</x:v>
      </x:c>
      <x:c r="Q568" s="30" t="str">
        <x:v>incoming/raw/recovery-drop-01/mathematics_base_egkr_spring_visual_assets_v102.zip!/pages/VIS-EGKR-MATHB-S26-TASK-964-P005.png</x:v>
      </x:c>
      <x:c r="R568" s="30" t="str">
        <x:v>MATCHED_ASSET</x:v>
      </x:c>
      <x:c r="S568" t="e">
        <x:f>HYPERLINK("visual_gallery/index.html#"&amp;A568,"Галерея")</x:f>
      </x:c>
    </x:row>
    <x:row r="569">
      <x:c r="A569" s="87" t="str">
        <x:v>VIS-EGKR-MATHB-S26-TASK-964-P006</x:v>
      </x:c>
      <x:c r="B569" s="30" t="str">
        <x:v>Математика (база)</x:v>
      </x:c>
      <x:c r="C569" s="30"/>
      <x:c r="D569" s="30" t="str">
        <x:v>964</x:v>
      </x:c>
      <x:c r="E569" s="87" t="str">
        <x:v>TASK</x:v>
      </x:c>
      <x:c r="F569" s="30" t="str">
        <x:v>Вариант 964_база.pdf</x:v>
      </x:c>
      <x:c r="G569" s="87" t="str">
        <x:v>6</x:v>
      </x:c>
      <x:c r="H569" s="87" t="str">
        <x:v>v1.02</x:v>
      </x:c>
      <x:c r="I569" s="87" t="str">
        <x:v>6</x:v>
      </x:c>
      <x:c r="J569" s="30" t="str">
        <x:v>VIS_ID</x:v>
      </x:c>
      <x:c r="K569" s="30" t="str">
        <x:v>EGKR-S26-MATHB-964-11, EGKR-S26-MATHB-964-12, EGKR-S26-MATHB-964-13, EGKR-S26-MATHB-964-14, EGKR-S26-MATHB-964-15, EGKR-S26-MATHB-964-16</x:v>
      </x:c>
      <x:c r="L569" s="87" t="str">
        <x:v>CROP_VERIFIED</x:v>
      </x:c>
      <x:c r="M569" s="87" t="str">
        <x:v>ORIGINAL_PACKAGE</x:v>
      </x:c>
      <x:c r="N569" s="87" t="str">
        <x:v>pages/VIS-EGKR-MATHB-S26-TASK-964-P006.png</x:v>
      </x:c>
      <x:c r="O569" s="87" t="str">
        <x:v>thumbnails/VIS-EGKR-MATHB-S26-TASK-964-P006.jpg</x:v>
      </x:c>
      <x:c r="P569" s="87" t="str">
        <x:v>7b9999cc3cda50b63452330e145971449b4413674d98d74aedff2967586e35dc</x:v>
      </x:c>
      <x:c r="Q569" s="30" t="str">
        <x:v>incoming/raw/recovery-drop-01/mathematics_base_egkr_spring_visual_assets_v102.zip!/pages/VIS-EGKR-MATHB-S26-TASK-964-P006.png</x:v>
      </x:c>
      <x:c r="R569" s="30" t="str">
        <x:v>MATCHED_ASSET</x:v>
      </x:c>
      <x:c r="S569" t="e">
        <x:f>HYPERLINK("visual_gallery/index.html#"&amp;A569,"Галерея")</x:f>
      </x:c>
    </x:row>
    <x:row r="570">
      <x:c r="A570" s="87" t="str">
        <x:v>VIS-EGKR-MATHB-S26-TASK-964-P007</x:v>
      </x:c>
      <x:c r="B570" s="30" t="str">
        <x:v>Математика (база)</x:v>
      </x:c>
      <x:c r="C570" s="30"/>
      <x:c r="D570" s="30" t="str">
        <x:v>964</x:v>
      </x:c>
      <x:c r="E570" s="87" t="str">
        <x:v>TASK</x:v>
      </x:c>
      <x:c r="F570" s="30" t="str">
        <x:v>Вариант 964_база.pdf</x:v>
      </x:c>
      <x:c r="G570" s="87" t="str">
        <x:v>7</x:v>
      </x:c>
      <x:c r="H570" s="87" t="str">
        <x:v>v1.02</x:v>
      </x:c>
      <x:c r="I570" s="87" t="str">
        <x:v>5</x:v>
      </x:c>
      <x:c r="J570" s="30" t="str">
        <x:v>VIS_ID</x:v>
      </x:c>
      <x:c r="K570" s="30" t="str">
        <x:v>EGKR-S26-MATHB-964-17, EGKR-S26-MATHB-964-18, EGKR-S26-MATHB-964-19, EGKR-S26-MATHB-964-20, EGKR-S26-MATHB-964-21</x:v>
      </x:c>
      <x:c r="L570" s="87" t="str">
        <x:v>CROP_VERIFIED</x:v>
      </x:c>
      <x:c r="M570" s="87" t="str">
        <x:v>ORIGINAL_PACKAGE</x:v>
      </x:c>
      <x:c r="N570" s="87" t="str">
        <x:v>pages/VIS-EGKR-MATHB-S26-TASK-964-P007.png</x:v>
      </x:c>
      <x:c r="O570" s="87" t="str">
        <x:v>thumbnails/VIS-EGKR-MATHB-S26-TASK-964-P007.jpg</x:v>
      </x:c>
      <x:c r="P570" s="87" t="str">
        <x:v>b8daaa7988ac8f522912ca82890162276debfce3c5f3b0f578b62b46b022d9dd</x:v>
      </x:c>
      <x:c r="Q570" s="30" t="str">
        <x:v>incoming/raw/recovery-drop-01/mathematics_base_egkr_spring_visual_assets_v102.zip!/pages/VIS-EGKR-MATHB-S26-TASK-964-P007.png</x:v>
      </x:c>
      <x:c r="R570" s="30" t="str">
        <x:v>MATCHED_ASSET</x:v>
      </x:c>
      <x:c r="S570" t="e">
        <x:f>HYPERLINK("visual_gallery/index.html#"&amp;A570,"Галерея")</x:f>
      </x:c>
    </x:row>
    <x:row r="571">
      <x:c r="A571" s="87" t="str">
        <x:v>VIS-EGKR-MATHB-W25-ANSWERDOC-P001</x:v>
      </x:c>
      <x:c r="B571" s="30" t="str"/>
      <x:c r="C571" s="30"/>
      <x:c r="D571" s="30" t="str">
        <x:v>951–957</x:v>
      </x:c>
      <x:c r="E571" s="87" t="str">
        <x:v>ANSWER_SOURCE</x:v>
      </x:c>
      <x:c r="F571" s="30" t="str">
        <x:v>Ответы база.docx</x:v>
      </x:c>
      <x:c r="G571" s="87" t="str">
        <x:v>1</x:v>
      </x:c>
      <x:c r="H571" s="87" t="str">
        <x:v>v0.95</x:v>
      </x:c>
      <x:c r="I571" s="87" t="str">
        <x:v>0</x:v>
      </x:c>
      <x:c r="J571" s="30" t="str"/>
      <x:c r="K571" s="30" t="str"/>
      <x:c r="L571" s="87" t="str">
        <x:v>CROP_VERIFIED</x:v>
      </x:c>
      <x:c r="M571" s="87" t="str">
        <x:v>ORIGINAL_PACKAGE</x:v>
      </x:c>
      <x:c r="N571" s="87" t="str">
        <x:v>pages/VIS-EGKR-MATHB-W25-ANSWERDOC-P001.png</x:v>
      </x:c>
      <x:c r="O571" s="87" t="str">
        <x:v>thumbnails/VIS-EGKR-MATHB-W25-ANSWERDOC-P001.jpg</x:v>
      </x:c>
      <x:c r="P571" s="87" t="str">
        <x:v>a011f3d70d02e3ab7856e058b77ed9222d91a3bc363ffcc94d8ba5c8f39f576f</x:v>
      </x:c>
      <x:c r="Q571" s="30" t="str">
        <x:v>incoming/raw/recovery-drop-01/mathematics_base_egkr_winter_visual_assets_v095.zip!/pages/VIS-EGKR-MATHB-W25-ANSWERDOC-P001.png</x:v>
      </x:c>
      <x:c r="R571" s="30" t="str">
        <x:v>RESOLVED_UNLINKED_REGISTRY_VISUAL</x:v>
      </x:c>
      <x:c r="S571" t="e">
        <x:f>HYPERLINK("visual_gallery/index.html#"&amp;A571,"Галерея")</x:f>
      </x:c>
    </x:row>
    <x:row r="572">
      <x:c r="A572" s="87" t="str">
        <x:v>VIS-EGKR-MATHB-W25-ANSWERDOC-P002</x:v>
      </x:c>
      <x:c r="B572" s="30" t="str"/>
      <x:c r="C572" s="30"/>
      <x:c r="D572" s="30" t="str">
        <x:v>951–957</x:v>
      </x:c>
      <x:c r="E572" s="87" t="str">
        <x:v>ANSWER_SOURCE</x:v>
      </x:c>
      <x:c r="F572" s="30" t="str">
        <x:v>Ответы база.docx</x:v>
      </x:c>
      <x:c r="G572" s="87" t="str">
        <x:v>2</x:v>
      </x:c>
      <x:c r="H572" s="87" t="str">
        <x:v>v0.95</x:v>
      </x:c>
      <x:c r="I572" s="87" t="str">
        <x:v>0</x:v>
      </x:c>
      <x:c r="J572" s="30" t="str"/>
      <x:c r="K572" s="30" t="str"/>
      <x:c r="L572" s="87" t="str">
        <x:v>CROP_VERIFIED</x:v>
      </x:c>
      <x:c r="M572" s="87" t="str">
        <x:v>ORIGINAL_PACKAGE</x:v>
      </x:c>
      <x:c r="N572" s="87" t="str">
        <x:v>pages/VIS-EGKR-MATHB-W25-ANSWERDOC-P002.png</x:v>
      </x:c>
      <x:c r="O572" s="87" t="str">
        <x:v>thumbnails/VIS-EGKR-MATHB-W25-ANSWERDOC-P002.jpg</x:v>
      </x:c>
      <x:c r="P572" s="87" t="str">
        <x:v>fad8396b9d71de6a999f82579724a83eb835eef7b7df3bf88ffdf754235aa6e6</x:v>
      </x:c>
      <x:c r="Q572" s="30" t="str">
        <x:v>incoming/raw/recovery-drop-01/mathematics_base_egkr_winter_visual_assets_v095.zip!/pages/VIS-EGKR-MATHB-W25-ANSWERDOC-P002.png</x:v>
      </x:c>
      <x:c r="R572" s="30" t="str">
        <x:v>RESOLVED_UNLINKED_REGISTRY_VISUAL</x:v>
      </x:c>
      <x:c r="S572" t="e">
        <x:f>HYPERLINK("visual_gallery/index.html#"&amp;A572,"Галерея")</x:f>
      </x:c>
    </x:row>
    <x:row r="573">
      <x:c r="A573" s="87" t="str">
        <x:v>VIS-EGKR-MATHB-W25-ANSWERDOC-P003</x:v>
      </x:c>
      <x:c r="B573" s="30" t="str"/>
      <x:c r="C573" s="30"/>
      <x:c r="D573" s="30" t="str">
        <x:v>951–957</x:v>
      </x:c>
      <x:c r="E573" s="87" t="str">
        <x:v>ANSWER_SOURCE</x:v>
      </x:c>
      <x:c r="F573" s="30" t="str">
        <x:v>Ответы база.docx</x:v>
      </x:c>
      <x:c r="G573" s="87" t="str">
        <x:v>3</x:v>
      </x:c>
      <x:c r="H573" s="87" t="str">
        <x:v>v0.95</x:v>
      </x:c>
      <x:c r="I573" s="87" t="str">
        <x:v>0</x:v>
      </x:c>
      <x:c r="J573" s="30" t="str"/>
      <x:c r="K573" s="30" t="str"/>
      <x:c r="L573" s="87" t="str">
        <x:v>CROP_VERIFIED</x:v>
      </x:c>
      <x:c r="M573" s="87" t="str">
        <x:v>ORIGINAL_PACKAGE</x:v>
      </x:c>
      <x:c r="N573" s="87" t="str">
        <x:v>pages/VIS-EGKR-MATHB-W25-ANSWERDOC-P003.png</x:v>
      </x:c>
      <x:c r="O573" s="87" t="str">
        <x:v>thumbnails/VIS-EGKR-MATHB-W25-ANSWERDOC-P003.jpg</x:v>
      </x:c>
      <x:c r="P573" s="87" t="str">
        <x:v>aa75961586ef49da90e6057c539f73fa9825f305b147ea27467684881eb37d86</x:v>
      </x:c>
      <x:c r="Q573" s="30" t="str">
        <x:v>incoming/raw/recovery-drop-01/mathematics_base_egkr_winter_visual_assets_v095.zip!/pages/VIS-EGKR-MATHB-W25-ANSWERDOC-P003.png</x:v>
      </x:c>
      <x:c r="R573" s="30" t="str">
        <x:v>RESOLVED_UNLINKED_REGISTRY_VISUAL</x:v>
      </x:c>
      <x:c r="S573" t="e">
        <x:f>HYPERLINK("visual_gallery/index.html#"&amp;A573,"Галерея")</x:f>
      </x:c>
    </x:row>
    <x:row r="574">
      <x:c r="A574" s="87" t="str">
        <x:v>VIS-EGKR-MATHB-W25-TASK-951-P001</x:v>
      </x:c>
      <x:c r="B574" s="30" t="str"/>
      <x:c r="C574" s="30"/>
      <x:c r="D574" s="30" t="str">
        <x:v>951</x:v>
      </x:c>
      <x:c r="E574" s="87" t="str">
        <x:v>TASK</x:v>
      </x:c>
      <x:c r="F574" s="30" t="str">
        <x:v>ЕГКР по Математике 951 база.pdf</x:v>
      </x:c>
      <x:c r="G574" s="87" t="str">
        <x:v>1</x:v>
      </x:c>
      <x:c r="H574" s="87" t="str">
        <x:v>v0.95</x:v>
      </x:c>
      <x:c r="I574" s="87" t="str">
        <x:v>0</x:v>
      </x:c>
      <x:c r="J574" s="30" t="str"/>
      <x:c r="K574" s="30" t="str"/>
      <x:c r="L574" s="87" t="str">
        <x:v>CROP_VERIFIED</x:v>
      </x:c>
      <x:c r="M574" s="87" t="str">
        <x:v>ORIGINAL_PACKAGE</x:v>
      </x:c>
      <x:c r="N574" s="87" t="str">
        <x:v>pages/VIS-EGKR-MATHB-W25-TASK-951-P001.png</x:v>
      </x:c>
      <x:c r="O574" s="87" t="str">
        <x:v>thumbnails/VIS-EGKR-MATHB-W25-TASK-951-P001.jpg</x:v>
      </x:c>
      <x:c r="P574" s="87" t="str">
        <x:v>2a5be8d8f390c6e107c9f137070c074653de44d0ffa067b444b57712d6cc99ef</x:v>
      </x:c>
      <x:c r="Q574" s="30" t="str">
        <x:v>incoming/raw/recovery-drop-01/mathematics_base_egkr_winter_visual_assets_v095.zip!/pages/VIS-EGKR-MATHB-W25-TASK-951-P001.png</x:v>
      </x:c>
      <x:c r="R574" s="30" t="str">
        <x:v>RESOLVED_UNLINKED_REGISTRY_VISUAL</x:v>
      </x:c>
      <x:c r="S574" t="e">
        <x:f>HYPERLINK("visual_gallery/index.html#"&amp;A574,"Галерея")</x:f>
      </x:c>
    </x:row>
    <x:row r="575">
      <x:c r="A575" s="87" t="str">
        <x:v>VIS-EGKR-MATHB-W25-TASK-951-P002</x:v>
      </x:c>
      <x:c r="B575" s="30" t="str">
        <x:v>Математика (база)</x:v>
      </x:c>
      <x:c r="C575" s="30"/>
      <x:c r="D575" s="30" t="str">
        <x:v>951</x:v>
      </x:c>
      <x:c r="E575" s="87" t="str">
        <x:v>TASK</x:v>
      </x:c>
      <x:c r="F575" s="30" t="str">
        <x:v>ЕГКР по Математике 951 база.pdf</x:v>
      </x:c>
      <x:c r="G575" s="87" t="str">
        <x:v>2</x:v>
      </x:c>
      <x:c r="H575" s="87" t="str">
        <x:v>v0.95</x:v>
      </x:c>
      <x:c r="I575" s="87" t="str">
        <x:v>2</x:v>
      </x:c>
      <x:c r="J575" s="30" t="str">
        <x:v>VIS_ID</x:v>
      </x:c>
      <x:c r="K575" s="30" t="str">
        <x:v>EGKR-W25-MATHB-951-01, EGKR-W25-MATHB-951-02</x:v>
      </x:c>
      <x:c r="L575" s="87" t="str">
        <x:v>CROP_VERIFIED</x:v>
      </x:c>
      <x:c r="M575" s="87" t="str">
        <x:v>ORIGINAL_PACKAGE</x:v>
      </x:c>
      <x:c r="N575" s="87" t="str">
        <x:v>pages/VIS-EGKR-MATHB-W25-TASK-951-P002.png</x:v>
      </x:c>
      <x:c r="O575" s="87" t="str">
        <x:v>thumbnails/VIS-EGKR-MATHB-W25-TASK-951-P002.jpg</x:v>
      </x:c>
      <x:c r="P575" s="87" t="str">
        <x:v>d3046e7b2ef48e53dedace08d75acd4897060eb681959ff36972522cf1f76e7c</x:v>
      </x:c>
      <x:c r="Q575" s="30" t="str">
        <x:v>incoming/raw/recovery-drop-01/mathematics_base_egkr_winter_visual_assets_v095.zip!/pages/VIS-EGKR-MATHB-W25-TASK-951-P002.png</x:v>
      </x:c>
      <x:c r="R575" s="30" t="str">
        <x:v>MATCHED_ASSET</x:v>
      </x:c>
      <x:c r="S575" t="e">
        <x:f>HYPERLINK("visual_gallery/index.html#"&amp;A575,"Галерея")</x:f>
      </x:c>
    </x:row>
    <x:row r="576">
      <x:c r="A576" s="87" t="str">
        <x:v>VIS-EGKR-MATHB-W25-TASK-951-P003</x:v>
      </x:c>
      <x:c r="B576" s="30" t="str">
        <x:v>Математика (база)</x:v>
      </x:c>
      <x:c r="C576" s="30"/>
      <x:c r="D576" s="30" t="str">
        <x:v>951</x:v>
      </x:c>
      <x:c r="E576" s="87" t="str">
        <x:v>TASK</x:v>
      </x:c>
      <x:c r="F576" s="30" t="str">
        <x:v>ЕГКР по Математике 951 база.pdf</x:v>
      </x:c>
      <x:c r="G576" s="87" t="str">
        <x:v>3</x:v>
      </x:c>
      <x:c r="H576" s="87" t="str">
        <x:v>v0.95</x:v>
      </x:c>
      <x:c r="I576" s="87" t="str">
        <x:v>3</x:v>
      </x:c>
      <x:c r="J576" s="30" t="str">
        <x:v>VIS_ID</x:v>
      </x:c>
      <x:c r="K576" s="30" t="str">
        <x:v>EGKR-W25-MATHB-951-03, EGKR-W25-MATHB-951-04, EGKR-W25-MATHB-951-05</x:v>
      </x:c>
      <x:c r="L576" s="87" t="str">
        <x:v>CROP_VERIFIED</x:v>
      </x:c>
      <x:c r="M576" s="87" t="str">
        <x:v>ORIGINAL_PACKAGE</x:v>
      </x:c>
      <x:c r="N576" s="87" t="str">
        <x:v>pages/VIS-EGKR-MATHB-W25-TASK-951-P003.png</x:v>
      </x:c>
      <x:c r="O576" s="87" t="str">
        <x:v>thumbnails/VIS-EGKR-MATHB-W25-TASK-951-P003.jpg</x:v>
      </x:c>
      <x:c r="P576" s="87" t="str">
        <x:v>195677bbcbd60ef0bb18a33ad4c87385582d8414c4b0fe91b75134e3ccd66e07</x:v>
      </x:c>
      <x:c r="Q576" s="30" t="str">
        <x:v>incoming/raw/recovery-drop-01/mathematics_base_egkr_winter_visual_assets_v095.zip!/pages/VIS-EGKR-MATHB-W25-TASK-951-P003.png</x:v>
      </x:c>
      <x:c r="R576" s="30" t="str">
        <x:v>MATCHED_ASSET</x:v>
      </x:c>
      <x:c r="S576" t="e">
        <x:f>HYPERLINK("visual_gallery/index.html#"&amp;A576,"Галерея")</x:f>
      </x:c>
    </x:row>
    <x:row r="577">
      <x:c r="A577" s="87" t="str">
        <x:v>VIS-EGKR-MATHB-W25-TASK-951-P004</x:v>
      </x:c>
      <x:c r="B577" s="30" t="str">
        <x:v>Математика (база)</x:v>
      </x:c>
      <x:c r="C577" s="30"/>
      <x:c r="D577" s="30" t="str">
        <x:v>951</x:v>
      </x:c>
      <x:c r="E577" s="87" t="str">
        <x:v>TASK</x:v>
      </x:c>
      <x:c r="F577" s="30" t="str">
        <x:v>ЕГКР по Математике 951 база.pdf</x:v>
      </x:c>
      <x:c r="G577" s="87" t="str">
        <x:v>4</x:v>
      </x:c>
      <x:c r="H577" s="87" t="str">
        <x:v>v0.95</x:v>
      </x:c>
      <x:c r="I577" s="87" t="str">
        <x:v>1</x:v>
      </x:c>
      <x:c r="J577" s="30" t="str">
        <x:v>VIS_ID</x:v>
      </x:c>
      <x:c r="K577" s="30" t="str">
        <x:v>EGKR-W25-MATHB-951-06</x:v>
      </x:c>
      <x:c r="L577" s="87" t="str">
        <x:v>CROP_VERIFIED</x:v>
      </x:c>
      <x:c r="M577" s="87" t="str">
        <x:v>ORIGINAL_PACKAGE</x:v>
      </x:c>
      <x:c r="N577" s="87" t="str">
        <x:v>pages/VIS-EGKR-MATHB-W25-TASK-951-P004.png</x:v>
      </x:c>
      <x:c r="O577" s="87" t="str">
        <x:v>thumbnails/VIS-EGKR-MATHB-W25-TASK-951-P004.jpg</x:v>
      </x:c>
      <x:c r="P577" s="87" t="str">
        <x:v>ca31f6b7ab08d732f4dacefa9aa6e68434784c1318ad8eb4890078c39c85de5f</x:v>
      </x:c>
      <x:c r="Q577" s="30" t="str">
        <x:v>incoming/raw/recovery-drop-01/mathematics_base_egkr_winter_visual_assets_v095.zip!/pages/VIS-EGKR-MATHB-W25-TASK-951-P004.png</x:v>
      </x:c>
      <x:c r="R577" s="30" t="str">
        <x:v>MATCHED_ASSET</x:v>
      </x:c>
      <x:c r="S577" t="e">
        <x:f>HYPERLINK("visual_gallery/index.html#"&amp;A577,"Галерея")</x:f>
      </x:c>
    </x:row>
    <x:row r="578">
      <x:c r="A578" s="87" t="str">
        <x:v>VIS-EGKR-MATHB-W25-TASK-951-P005</x:v>
      </x:c>
      <x:c r="B578" s="30" t="str">
        <x:v>Математика (база)</x:v>
      </x:c>
      <x:c r="C578" s="30"/>
      <x:c r="D578" s="30" t="str">
        <x:v>951</x:v>
      </x:c>
      <x:c r="E578" s="87" t="str">
        <x:v>TASK</x:v>
      </x:c>
      <x:c r="F578" s="30" t="str">
        <x:v>ЕГКР по Математике 951 база.pdf</x:v>
      </x:c>
      <x:c r="G578" s="87" t="str">
        <x:v>5</x:v>
      </x:c>
      <x:c r="H578" s="87" t="str">
        <x:v>v0.95</x:v>
      </x:c>
      <x:c r="I578" s="87" t="str">
        <x:v>1</x:v>
      </x:c>
      <x:c r="J578" s="30" t="str">
        <x:v>VIS_ID</x:v>
      </x:c>
      <x:c r="K578" s="30" t="str">
        <x:v>EGKR-W25-MATHB-951-07</x:v>
      </x:c>
      <x:c r="L578" s="87" t="str">
        <x:v>CROP_VERIFIED</x:v>
      </x:c>
      <x:c r="M578" s="87" t="str">
        <x:v>ORIGINAL_PACKAGE</x:v>
      </x:c>
      <x:c r="N578" s="87" t="str">
        <x:v>pages/VIS-EGKR-MATHB-W25-TASK-951-P005.png</x:v>
      </x:c>
      <x:c r="O578" s="87" t="str">
        <x:v>thumbnails/VIS-EGKR-MATHB-W25-TASK-951-P005.jpg</x:v>
      </x:c>
      <x:c r="P578" s="87" t="str">
        <x:v>d889c8ae17ffd93b17c61a2ddc65f1578663305d75670dba9b62a428860e8a48</x:v>
      </x:c>
      <x:c r="Q578" s="30" t="str">
        <x:v>incoming/raw/recovery-drop-01/mathematics_base_egkr_winter_visual_assets_v095.zip!/pages/VIS-EGKR-MATHB-W25-TASK-951-P005.png</x:v>
      </x:c>
      <x:c r="R578" s="30" t="str">
        <x:v>MATCHED_ASSET</x:v>
      </x:c>
      <x:c r="S578" t="e">
        <x:f>HYPERLINK("visual_gallery/index.html#"&amp;A578,"Галерея")</x:f>
      </x:c>
    </x:row>
    <x:row r="579">
      <x:c r="A579" s="87" t="str">
        <x:v>VIS-EGKR-MATHB-W25-TASK-951-P006</x:v>
      </x:c>
      <x:c r="B579" s="30" t="str">
        <x:v>Математика (база)</x:v>
      </x:c>
      <x:c r="C579" s="30"/>
      <x:c r="D579" s="30" t="str">
        <x:v>951</x:v>
      </x:c>
      <x:c r="E579" s="87" t="str">
        <x:v>TASK</x:v>
      </x:c>
      <x:c r="F579" s="30" t="str">
        <x:v>ЕГКР по Математике 951 база.pdf</x:v>
      </x:c>
      <x:c r="G579" s="87" t="str">
        <x:v>6</x:v>
      </x:c>
      <x:c r="H579" s="87" t="str">
        <x:v>v0.95</x:v>
      </x:c>
      <x:c r="I579" s="87" t="str">
        <x:v>3</x:v>
      </x:c>
      <x:c r="J579" s="30" t="str">
        <x:v>VIS_ID</x:v>
      </x:c>
      <x:c r="K579" s="30" t="str">
        <x:v>EGKR-W25-MATHB-951-08, EGKR-W25-MATHB-951-09, EGKR-W25-MATHB-951-10</x:v>
      </x:c>
      <x:c r="L579" s="87" t="str">
        <x:v>CROP_VERIFIED</x:v>
      </x:c>
      <x:c r="M579" s="87" t="str">
        <x:v>ORIGINAL_PACKAGE</x:v>
      </x:c>
      <x:c r="N579" s="87" t="str">
        <x:v>pages/VIS-EGKR-MATHB-W25-TASK-951-P006.png</x:v>
      </x:c>
      <x:c r="O579" s="87" t="str">
        <x:v>thumbnails/VIS-EGKR-MATHB-W25-TASK-951-P006.jpg</x:v>
      </x:c>
      <x:c r="P579" s="87" t="str">
        <x:v>892ffc01ab7a39cc3c84d3f56082203692a4338bc3b053dd0321be7098797b35</x:v>
      </x:c>
      <x:c r="Q579" s="30" t="str">
        <x:v>incoming/raw/recovery-drop-01/mathematics_base_egkr_winter_visual_assets_v095.zip!/pages/VIS-EGKR-MATHB-W25-TASK-951-P006.png</x:v>
      </x:c>
      <x:c r="R579" s="30" t="str">
        <x:v>MATCHED_ASSET</x:v>
      </x:c>
      <x:c r="S579" t="e">
        <x:f>HYPERLINK("visual_gallery/index.html#"&amp;A579,"Галерея")</x:f>
      </x:c>
    </x:row>
    <x:row r="580">
      <x:c r="A580" s="87" t="str">
        <x:v>VIS-EGKR-MATHB-W25-TASK-951-P007</x:v>
      </x:c>
      <x:c r="B580" s="30" t="str">
        <x:v>Математика (база)</x:v>
      </x:c>
      <x:c r="C580" s="30"/>
      <x:c r="D580" s="30" t="str">
        <x:v>951</x:v>
      </x:c>
      <x:c r="E580" s="87" t="str">
        <x:v>TASK</x:v>
      </x:c>
      <x:c r="F580" s="30" t="str">
        <x:v>ЕГКР по Математике 951 база.pdf</x:v>
      </x:c>
      <x:c r="G580" s="87" t="str">
        <x:v>7</x:v>
      </x:c>
      <x:c r="H580" s="87" t="str">
        <x:v>v0.95</x:v>
      </x:c>
      <x:c r="I580" s="87" t="str">
        <x:v>6</x:v>
      </x:c>
      <x:c r="J580" s="30" t="str">
        <x:v>VIS_ID</x:v>
      </x:c>
      <x:c r="K580" s="30" t="str">
        <x:v>EGKR-W25-MATHB-951-11, EGKR-W25-MATHB-951-12, EGKR-W25-MATHB-951-13, EGKR-W25-MATHB-951-14, EGKR-W25-MATHB-951-15, EGKR-W25-MATHB-951-16</x:v>
      </x:c>
      <x:c r="L580" s="87" t="str">
        <x:v>CROP_VERIFIED</x:v>
      </x:c>
      <x:c r="M580" s="87" t="str">
        <x:v>ORIGINAL_PACKAGE</x:v>
      </x:c>
      <x:c r="N580" s="87" t="str">
        <x:v>pages/VIS-EGKR-MATHB-W25-TASK-951-P007.png</x:v>
      </x:c>
      <x:c r="O580" s="87" t="str">
        <x:v>thumbnails/VIS-EGKR-MATHB-W25-TASK-951-P007.jpg</x:v>
      </x:c>
      <x:c r="P580" s="87" t="str">
        <x:v>a214f71b10d7bd1fb504d321f3cc6ec60df6b53577d0903e1c746460fc36a501</x:v>
      </x:c>
      <x:c r="Q580" s="30" t="str">
        <x:v>incoming/raw/recovery-drop-01/mathematics_base_egkr_winter_visual_assets_v095.zip!/pages/VIS-EGKR-MATHB-W25-TASK-951-P007.png</x:v>
      </x:c>
      <x:c r="R580" s="30" t="str">
        <x:v>MATCHED_ASSET</x:v>
      </x:c>
      <x:c r="S580" t="e">
        <x:f>HYPERLINK("visual_gallery/index.html#"&amp;A580,"Галерея")</x:f>
      </x:c>
    </x:row>
    <x:row r="581">
      <x:c r="A581" s="87" t="str">
        <x:v>VIS-EGKR-MATHB-W25-TASK-951-P008</x:v>
      </x:c>
      <x:c r="B581" s="30" t="str">
        <x:v>Математика (база)</x:v>
      </x:c>
      <x:c r="C581" s="30"/>
      <x:c r="D581" s="30" t="str">
        <x:v>951</x:v>
      </x:c>
      <x:c r="E581" s="87" t="str">
        <x:v>TASK</x:v>
      </x:c>
      <x:c r="F581" s="30" t="str">
        <x:v>ЕГКР по Математике 951 база.pdf</x:v>
      </x:c>
      <x:c r="G581" s="87" t="str">
        <x:v>8</x:v>
      </x:c>
      <x:c r="H581" s="87" t="str">
        <x:v>v0.95</x:v>
      </x:c>
      <x:c r="I581" s="87" t="str">
        <x:v>5</x:v>
      </x:c>
      <x:c r="J581" s="30" t="str">
        <x:v>VIS_ID</x:v>
      </x:c>
      <x:c r="K581" s="30" t="str">
        <x:v>EGKR-W25-MATHB-951-17, EGKR-W25-MATHB-951-18, EGKR-W25-MATHB-951-19, EGKR-W25-MATHB-951-20, EGKR-W25-MATHB-951-21</x:v>
      </x:c>
      <x:c r="L581" s="87" t="str">
        <x:v>CROP_VERIFIED</x:v>
      </x:c>
      <x:c r="M581" s="87" t="str">
        <x:v>ORIGINAL_PACKAGE</x:v>
      </x:c>
      <x:c r="N581" s="87" t="str">
        <x:v>pages/VIS-EGKR-MATHB-W25-TASK-951-P008.png</x:v>
      </x:c>
      <x:c r="O581" s="87" t="str">
        <x:v>thumbnails/VIS-EGKR-MATHB-W25-TASK-951-P008.jpg</x:v>
      </x:c>
      <x:c r="P581" s="87" t="str">
        <x:v>635f0632d72aa35ec4c605f6130f7678deefedc2a245bafc78c5a4efe83797f7</x:v>
      </x:c>
      <x:c r="Q581" s="30" t="str">
        <x:v>incoming/raw/recovery-drop-01/mathematics_base_egkr_winter_visual_assets_v095.zip!/pages/VIS-EGKR-MATHB-W25-TASK-951-P008.png</x:v>
      </x:c>
      <x:c r="R581" s="30" t="str">
        <x:v>MATCHED_ASSET</x:v>
      </x:c>
      <x:c r="S581" t="e">
        <x:f>HYPERLINK("visual_gallery/index.html#"&amp;A581,"Галерея")</x:f>
      </x:c>
    </x:row>
    <x:row r="582">
      <x:c r="A582" s="87" t="str">
        <x:v>VIS-EGKR-MATHB-W25-TASK-952-P001</x:v>
      </x:c>
      <x:c r="B582" s="30" t="str"/>
      <x:c r="C582" s="30"/>
      <x:c r="D582" s="30" t="str">
        <x:v>952</x:v>
      </x:c>
      <x:c r="E582" s="87" t="str">
        <x:v>TASK</x:v>
      </x:c>
      <x:c r="F582" s="30" t="str">
        <x:v>ЕГКР по Математике 952 база.pdf</x:v>
      </x:c>
      <x:c r="G582" s="87" t="str">
        <x:v>1</x:v>
      </x:c>
      <x:c r="H582" s="87" t="str">
        <x:v>v0.95</x:v>
      </x:c>
      <x:c r="I582" s="87" t="str">
        <x:v>0</x:v>
      </x:c>
      <x:c r="J582" s="30" t="str"/>
      <x:c r="K582" s="30" t="str"/>
      <x:c r="L582" s="87" t="str">
        <x:v>CROP_VERIFIED</x:v>
      </x:c>
      <x:c r="M582" s="87" t="str">
        <x:v>ORIGINAL_PACKAGE</x:v>
      </x:c>
      <x:c r="N582" s="87" t="str">
        <x:v>pages/VIS-EGKR-MATHB-W25-TASK-952-P001.png</x:v>
      </x:c>
      <x:c r="O582" s="87" t="str">
        <x:v>thumbnails/VIS-EGKR-MATHB-W25-TASK-952-P001.jpg</x:v>
      </x:c>
      <x:c r="P582" s="87" t="str">
        <x:v>91faedef283da357153a43a21263f624ecc7cb3604dc66082721d2a1e8696307</x:v>
      </x:c>
      <x:c r="Q582" s="30" t="str">
        <x:v>incoming/raw/recovery-drop-01/mathematics_base_egkr_winter_visual_assets_v095.zip!/pages/VIS-EGKR-MATHB-W25-TASK-952-P001.png</x:v>
      </x:c>
      <x:c r="R582" s="30" t="str">
        <x:v>RESOLVED_UNLINKED_REGISTRY_VISUAL</x:v>
      </x:c>
      <x:c r="S582" t="e">
        <x:f>HYPERLINK("visual_gallery/index.html#"&amp;A582,"Галерея")</x:f>
      </x:c>
    </x:row>
    <x:row r="583">
      <x:c r="A583" s="87" t="str">
        <x:v>VIS-EGKR-MATHB-W25-TASK-952-P002</x:v>
      </x:c>
      <x:c r="B583" s="30" t="str">
        <x:v>Математика (база)</x:v>
      </x:c>
      <x:c r="C583" s="30"/>
      <x:c r="D583" s="30" t="str">
        <x:v>952</x:v>
      </x:c>
      <x:c r="E583" s="87" t="str">
        <x:v>TASK</x:v>
      </x:c>
      <x:c r="F583" s="30" t="str">
        <x:v>ЕГКР по Математике 952 база.pdf</x:v>
      </x:c>
      <x:c r="G583" s="87" t="str">
        <x:v>2</x:v>
      </x:c>
      <x:c r="H583" s="87" t="str">
        <x:v>v0.95</x:v>
      </x:c>
      <x:c r="I583" s="87" t="str">
        <x:v>2</x:v>
      </x:c>
      <x:c r="J583" s="30" t="str">
        <x:v>VIS_ID</x:v>
      </x:c>
      <x:c r="K583" s="30" t="str">
        <x:v>EGKR-W25-MATHB-952-01, EGKR-W25-MATHB-952-02</x:v>
      </x:c>
      <x:c r="L583" s="87" t="str">
        <x:v>CROP_VERIFIED</x:v>
      </x:c>
      <x:c r="M583" s="87" t="str">
        <x:v>ORIGINAL_PACKAGE</x:v>
      </x:c>
      <x:c r="N583" s="87" t="str">
        <x:v>pages/VIS-EGKR-MATHB-W25-TASK-952-P002.png</x:v>
      </x:c>
      <x:c r="O583" s="87" t="str">
        <x:v>thumbnails/VIS-EGKR-MATHB-W25-TASK-952-P002.jpg</x:v>
      </x:c>
      <x:c r="P583" s="87" t="str">
        <x:v>361b2cad8deaaedb758aff98cd41dcfcb952c9128ff416f4955682422be52863</x:v>
      </x:c>
      <x:c r="Q583" s="30" t="str">
        <x:v>incoming/raw/recovery-drop-01/mathematics_base_egkr_winter_visual_assets_v095.zip!/pages/VIS-EGKR-MATHB-W25-TASK-952-P002.png</x:v>
      </x:c>
      <x:c r="R583" s="30" t="str">
        <x:v>MATCHED_ASSET</x:v>
      </x:c>
      <x:c r="S583" t="e">
        <x:f>HYPERLINK("visual_gallery/index.html#"&amp;A583,"Галерея")</x:f>
      </x:c>
    </x:row>
    <x:row r="584">
      <x:c r="A584" s="87" t="str">
        <x:v>VIS-EGKR-MATHB-W25-TASK-952-P003</x:v>
      </x:c>
      <x:c r="B584" s="30" t="str">
        <x:v>Математика (база)</x:v>
      </x:c>
      <x:c r="C584" s="30"/>
      <x:c r="D584" s="30" t="str">
        <x:v>952</x:v>
      </x:c>
      <x:c r="E584" s="87" t="str">
        <x:v>TASK</x:v>
      </x:c>
      <x:c r="F584" s="30" t="str">
        <x:v>ЕГКР по Математике 952 база.pdf</x:v>
      </x:c>
      <x:c r="G584" s="87" t="str">
        <x:v>3</x:v>
      </x:c>
      <x:c r="H584" s="87" t="str">
        <x:v>v0.95</x:v>
      </x:c>
      <x:c r="I584" s="87" t="str">
        <x:v>3</x:v>
      </x:c>
      <x:c r="J584" s="30" t="str">
        <x:v>VIS_ID</x:v>
      </x:c>
      <x:c r="K584" s="30" t="str">
        <x:v>EGKR-W25-MATHB-952-03, EGKR-W25-MATHB-952-04, EGKR-W25-MATHB-952-05</x:v>
      </x:c>
      <x:c r="L584" s="87" t="str">
        <x:v>CROP_VERIFIED</x:v>
      </x:c>
      <x:c r="M584" s="87" t="str">
        <x:v>ORIGINAL_PACKAGE</x:v>
      </x:c>
      <x:c r="N584" s="87" t="str">
        <x:v>pages/VIS-EGKR-MATHB-W25-TASK-952-P003.png</x:v>
      </x:c>
      <x:c r="O584" s="87" t="str">
        <x:v>thumbnails/VIS-EGKR-MATHB-W25-TASK-952-P003.jpg</x:v>
      </x:c>
      <x:c r="P584" s="87" t="str">
        <x:v>b077d21595c1096e7060108506bd749747c3294a6852386c831c3485fd6fa506</x:v>
      </x:c>
      <x:c r="Q584" s="30" t="str">
        <x:v>incoming/raw/recovery-drop-01/mathematics_base_egkr_winter_visual_assets_v095.zip!/pages/VIS-EGKR-MATHB-W25-TASK-952-P003.png</x:v>
      </x:c>
      <x:c r="R584" s="30" t="str">
        <x:v>MATCHED_ASSET</x:v>
      </x:c>
      <x:c r="S584" t="e">
        <x:f>HYPERLINK("visual_gallery/index.html#"&amp;A584,"Галерея")</x:f>
      </x:c>
    </x:row>
    <x:row r="585">
      <x:c r="A585" s="87" t="str">
        <x:v>VIS-EGKR-MATHB-W25-TASK-952-P004</x:v>
      </x:c>
      <x:c r="B585" s="30" t="str">
        <x:v>Математика (база)</x:v>
      </x:c>
      <x:c r="C585" s="30"/>
      <x:c r="D585" s="30" t="str">
        <x:v>952</x:v>
      </x:c>
      <x:c r="E585" s="87" t="str">
        <x:v>TASK</x:v>
      </x:c>
      <x:c r="F585" s="30" t="str">
        <x:v>ЕГКР по Математике 952 база.pdf</x:v>
      </x:c>
      <x:c r="G585" s="87" t="str">
        <x:v>4</x:v>
      </x:c>
      <x:c r="H585" s="87" t="str">
        <x:v>v0.95</x:v>
      </x:c>
      <x:c r="I585" s="87" t="str">
        <x:v>1</x:v>
      </x:c>
      <x:c r="J585" s="30" t="str">
        <x:v>VIS_ID</x:v>
      </x:c>
      <x:c r="K585" s="30" t="str">
        <x:v>EGKR-W25-MATHB-952-06</x:v>
      </x:c>
      <x:c r="L585" s="87" t="str">
        <x:v>CROP_VERIFIED</x:v>
      </x:c>
      <x:c r="M585" s="87" t="str">
        <x:v>ORIGINAL_PACKAGE</x:v>
      </x:c>
      <x:c r="N585" s="87" t="str">
        <x:v>pages/VIS-EGKR-MATHB-W25-TASK-952-P004.png</x:v>
      </x:c>
      <x:c r="O585" s="87" t="str">
        <x:v>thumbnails/VIS-EGKR-MATHB-W25-TASK-952-P004.jpg</x:v>
      </x:c>
      <x:c r="P585" s="87" t="str">
        <x:v>e7ef10cbd354d05c061b85874e4c6b93b987c99d31943fa4821d53018d795fbb</x:v>
      </x:c>
      <x:c r="Q585" s="30" t="str">
        <x:v>incoming/raw/recovery-drop-01/mathematics_base_egkr_winter_visual_assets_v095.zip!/pages/VIS-EGKR-MATHB-W25-TASK-952-P004.png</x:v>
      </x:c>
      <x:c r="R585" s="30" t="str">
        <x:v>MATCHED_ASSET</x:v>
      </x:c>
      <x:c r="S585" t="e">
        <x:f>HYPERLINK("visual_gallery/index.html#"&amp;A585,"Галерея")</x:f>
      </x:c>
    </x:row>
    <x:row r="586">
      <x:c r="A586" s="87" t="str">
        <x:v>VIS-EGKR-MATHB-W25-TASK-952-P005</x:v>
      </x:c>
      <x:c r="B586" s="30" t="str">
        <x:v>Математика (база)</x:v>
      </x:c>
      <x:c r="C586" s="30"/>
      <x:c r="D586" s="30" t="str">
        <x:v>952</x:v>
      </x:c>
      <x:c r="E586" s="87" t="str">
        <x:v>TASK</x:v>
      </x:c>
      <x:c r="F586" s="30" t="str">
        <x:v>ЕГКР по Математике 952 база.pdf</x:v>
      </x:c>
      <x:c r="G586" s="87" t="str">
        <x:v>5</x:v>
      </x:c>
      <x:c r="H586" s="87" t="str">
        <x:v>v0.95</x:v>
      </x:c>
      <x:c r="I586" s="87" t="str">
        <x:v>1</x:v>
      </x:c>
      <x:c r="J586" s="30" t="str">
        <x:v>VIS_ID</x:v>
      </x:c>
      <x:c r="K586" s="30" t="str">
        <x:v>EGKR-W25-MATHB-952-07</x:v>
      </x:c>
      <x:c r="L586" s="87" t="str">
        <x:v>CROP_VERIFIED</x:v>
      </x:c>
      <x:c r="M586" s="87" t="str">
        <x:v>ORIGINAL_PACKAGE</x:v>
      </x:c>
      <x:c r="N586" s="87" t="str">
        <x:v>pages/VIS-EGKR-MATHB-W25-TASK-952-P005.png</x:v>
      </x:c>
      <x:c r="O586" s="87" t="str">
        <x:v>thumbnails/VIS-EGKR-MATHB-W25-TASK-952-P005.jpg</x:v>
      </x:c>
      <x:c r="P586" s="87" t="str">
        <x:v>bd73b1be458c6817fa8ec5e1cbe568873c71dd7eb047f5f16118d55587a072df</x:v>
      </x:c>
      <x:c r="Q586" s="30" t="str">
        <x:v>incoming/raw/recovery-drop-01/mathematics_base_egkr_winter_visual_assets_v095.zip!/pages/VIS-EGKR-MATHB-W25-TASK-952-P005.png</x:v>
      </x:c>
      <x:c r="R586" s="30" t="str">
        <x:v>MATCHED_ASSET</x:v>
      </x:c>
      <x:c r="S586" t="e">
        <x:f>HYPERLINK("visual_gallery/index.html#"&amp;A586,"Галерея")</x:f>
      </x:c>
    </x:row>
    <x:row r="587">
      <x:c r="A587" s="87" t="str">
        <x:v>VIS-EGKR-MATHB-W25-TASK-952-P006</x:v>
      </x:c>
      <x:c r="B587" s="30" t="str">
        <x:v>Математика (база)</x:v>
      </x:c>
      <x:c r="C587" s="30"/>
      <x:c r="D587" s="30" t="str">
        <x:v>952</x:v>
      </x:c>
      <x:c r="E587" s="87" t="str">
        <x:v>TASK</x:v>
      </x:c>
      <x:c r="F587" s="30" t="str">
        <x:v>ЕГКР по Математике 952 база.pdf</x:v>
      </x:c>
      <x:c r="G587" s="87" t="str">
        <x:v>6</x:v>
      </x:c>
      <x:c r="H587" s="87" t="str">
        <x:v>v0.95</x:v>
      </x:c>
      <x:c r="I587" s="87" t="str">
        <x:v>3</x:v>
      </x:c>
      <x:c r="J587" s="30" t="str">
        <x:v>VIS_ID</x:v>
      </x:c>
      <x:c r="K587" s="30" t="str">
        <x:v>EGKR-W25-MATHB-952-08, EGKR-W25-MATHB-952-09, EGKR-W25-MATHB-952-10</x:v>
      </x:c>
      <x:c r="L587" s="87" t="str">
        <x:v>CROP_VERIFIED</x:v>
      </x:c>
      <x:c r="M587" s="87" t="str">
        <x:v>ORIGINAL_PACKAGE</x:v>
      </x:c>
      <x:c r="N587" s="87" t="str">
        <x:v>pages/VIS-EGKR-MATHB-W25-TASK-952-P006.png</x:v>
      </x:c>
      <x:c r="O587" s="87" t="str">
        <x:v>thumbnails/VIS-EGKR-MATHB-W25-TASK-952-P006.jpg</x:v>
      </x:c>
      <x:c r="P587" s="87" t="str">
        <x:v>1fc43d623ede49f530721bca2e013230ee2cefef65161cc65afa2929d1389297</x:v>
      </x:c>
      <x:c r="Q587" s="30" t="str">
        <x:v>incoming/raw/recovery-drop-01/mathematics_base_egkr_winter_visual_assets_v095.zip!/pages/VIS-EGKR-MATHB-W25-TASK-952-P006.png</x:v>
      </x:c>
      <x:c r="R587" s="30" t="str">
        <x:v>MATCHED_ASSET</x:v>
      </x:c>
      <x:c r="S587" t="e">
        <x:f>HYPERLINK("visual_gallery/index.html#"&amp;A587,"Галерея")</x:f>
      </x:c>
    </x:row>
    <x:row r="588">
      <x:c r="A588" s="87" t="str">
        <x:v>VIS-EGKR-MATHB-W25-TASK-952-P007</x:v>
      </x:c>
      <x:c r="B588" s="30" t="str">
        <x:v>Математика (база)</x:v>
      </x:c>
      <x:c r="C588" s="30"/>
      <x:c r="D588" s="30" t="str">
        <x:v>952</x:v>
      </x:c>
      <x:c r="E588" s="87" t="str">
        <x:v>TASK</x:v>
      </x:c>
      <x:c r="F588" s="30" t="str">
        <x:v>ЕГКР по Математике 952 база.pdf</x:v>
      </x:c>
      <x:c r="G588" s="87" t="str">
        <x:v>7</x:v>
      </x:c>
      <x:c r="H588" s="87" t="str">
        <x:v>v0.95</x:v>
      </x:c>
      <x:c r="I588" s="87" t="str">
        <x:v>6</x:v>
      </x:c>
      <x:c r="J588" s="30" t="str">
        <x:v>VIS_ID</x:v>
      </x:c>
      <x:c r="K588" s="30" t="str">
        <x:v>EGKR-W25-MATHB-952-11, EGKR-W25-MATHB-952-12, EGKR-W25-MATHB-952-13, EGKR-W25-MATHB-952-14, EGKR-W25-MATHB-952-15, EGKR-W25-MATHB-952-16</x:v>
      </x:c>
      <x:c r="L588" s="87" t="str">
        <x:v>CROP_VERIFIED</x:v>
      </x:c>
      <x:c r="M588" s="87" t="str">
        <x:v>ORIGINAL_PACKAGE</x:v>
      </x:c>
      <x:c r="N588" s="87" t="str">
        <x:v>pages/VIS-EGKR-MATHB-W25-TASK-952-P007.png</x:v>
      </x:c>
      <x:c r="O588" s="87" t="str">
        <x:v>thumbnails/VIS-EGKR-MATHB-W25-TASK-952-P007.jpg</x:v>
      </x:c>
      <x:c r="P588" s="87" t="str">
        <x:v>3935e25647555a4ccee26ffaa42e8036e08b9c5db8c27d8ca460bdef27c8ab82</x:v>
      </x:c>
      <x:c r="Q588" s="30" t="str">
        <x:v>incoming/raw/recovery-drop-01/mathematics_base_egkr_winter_visual_assets_v095.zip!/pages/VIS-EGKR-MATHB-W25-TASK-952-P007.png</x:v>
      </x:c>
      <x:c r="R588" s="30" t="str">
        <x:v>MATCHED_ASSET</x:v>
      </x:c>
      <x:c r="S588" t="e">
        <x:f>HYPERLINK("visual_gallery/index.html#"&amp;A588,"Галерея")</x:f>
      </x:c>
    </x:row>
    <x:row r="589">
      <x:c r="A589" s="87" t="str">
        <x:v>VIS-EGKR-MATHB-W25-TASK-952-P008</x:v>
      </x:c>
      <x:c r="B589" s="30" t="str">
        <x:v>Математика (база)</x:v>
      </x:c>
      <x:c r="C589" s="30"/>
      <x:c r="D589" s="30" t="str">
        <x:v>952</x:v>
      </x:c>
      <x:c r="E589" s="87" t="str">
        <x:v>TASK</x:v>
      </x:c>
      <x:c r="F589" s="30" t="str">
        <x:v>ЕГКР по Математике 952 база.pdf</x:v>
      </x:c>
      <x:c r="G589" s="87" t="str">
        <x:v>8</x:v>
      </x:c>
      <x:c r="H589" s="87" t="str">
        <x:v>v0.95</x:v>
      </x:c>
      <x:c r="I589" s="87" t="str">
        <x:v>5</x:v>
      </x:c>
      <x:c r="J589" s="30" t="str">
        <x:v>VIS_ID</x:v>
      </x:c>
      <x:c r="K589" s="30" t="str">
        <x:v>EGKR-W25-MATHB-952-17, EGKR-W25-MATHB-952-18, EGKR-W25-MATHB-952-19, EGKR-W25-MATHB-952-20, EGKR-W25-MATHB-952-21</x:v>
      </x:c>
      <x:c r="L589" s="87" t="str">
        <x:v>CROP_VERIFIED</x:v>
      </x:c>
      <x:c r="M589" s="87" t="str">
        <x:v>ORIGINAL_PACKAGE</x:v>
      </x:c>
      <x:c r="N589" s="87" t="str">
        <x:v>pages/VIS-EGKR-MATHB-W25-TASK-952-P008.png</x:v>
      </x:c>
      <x:c r="O589" s="87" t="str">
        <x:v>thumbnails/VIS-EGKR-MATHB-W25-TASK-952-P008.jpg</x:v>
      </x:c>
      <x:c r="P589" s="87" t="str">
        <x:v>f4972d72536292fe445bcbc5aea4702f05f79d1f7d8a8c3053c885ad6b224a47</x:v>
      </x:c>
      <x:c r="Q589" s="30" t="str">
        <x:v>incoming/raw/recovery-drop-01/mathematics_base_egkr_winter_visual_assets_v095.zip!/pages/VIS-EGKR-MATHB-W25-TASK-952-P008.png</x:v>
      </x:c>
      <x:c r="R589" s="30" t="str">
        <x:v>MATCHED_ASSET</x:v>
      </x:c>
      <x:c r="S589" t="e">
        <x:f>HYPERLINK("visual_gallery/index.html#"&amp;A589,"Галерея")</x:f>
      </x:c>
    </x:row>
    <x:row r="590">
      <x:c r="A590" s="87" t="str">
        <x:v>VIS-EGKR-MATHB-W25-TASK-953-P001</x:v>
      </x:c>
      <x:c r="B590" s="30" t="str"/>
      <x:c r="C590" s="30"/>
      <x:c r="D590" s="30" t="str">
        <x:v>953</x:v>
      </x:c>
      <x:c r="E590" s="87" t="str">
        <x:v>TASK</x:v>
      </x:c>
      <x:c r="F590" s="30" t="str">
        <x:v>ЕГКР по Математике 953 база.pdf</x:v>
      </x:c>
      <x:c r="G590" s="87" t="str">
        <x:v>1</x:v>
      </x:c>
      <x:c r="H590" s="87" t="str">
        <x:v>v0.95</x:v>
      </x:c>
      <x:c r="I590" s="87" t="str">
        <x:v>0</x:v>
      </x:c>
      <x:c r="J590" s="30" t="str"/>
      <x:c r="K590" s="30" t="str"/>
      <x:c r="L590" s="87" t="str">
        <x:v>CROP_VERIFIED</x:v>
      </x:c>
      <x:c r="M590" s="87" t="str">
        <x:v>ORIGINAL_PACKAGE</x:v>
      </x:c>
      <x:c r="N590" s="87" t="str">
        <x:v>pages/VIS-EGKR-MATHB-W25-TASK-953-P001.png</x:v>
      </x:c>
      <x:c r="O590" s="87" t="str">
        <x:v>thumbnails/VIS-EGKR-MATHB-W25-TASK-953-P001.jpg</x:v>
      </x:c>
      <x:c r="P590" s="87" t="str">
        <x:v>0e153e5ea89c70a15c13e4570cac4d8af47bfa0d72fa95539f1fc67d44aeb80f</x:v>
      </x:c>
      <x:c r="Q590" s="30" t="str">
        <x:v>incoming/raw/recovery-drop-01/mathematics_base_egkr_winter_visual_assets_v095.zip!/pages/VIS-EGKR-MATHB-W25-TASK-953-P001.png</x:v>
      </x:c>
      <x:c r="R590" s="30" t="str">
        <x:v>RESOLVED_UNLINKED_REGISTRY_VISUAL</x:v>
      </x:c>
      <x:c r="S590" t="e">
        <x:f>HYPERLINK("visual_gallery/index.html#"&amp;A590,"Галерея")</x:f>
      </x:c>
    </x:row>
    <x:row r="591">
      <x:c r="A591" s="87" t="str">
        <x:v>VIS-EGKR-MATHB-W25-TASK-953-P002</x:v>
      </x:c>
      <x:c r="B591" s="30" t="str">
        <x:v>Математика (база)</x:v>
      </x:c>
      <x:c r="C591" s="30"/>
      <x:c r="D591" s="30" t="str">
        <x:v>953</x:v>
      </x:c>
      <x:c r="E591" s="87" t="str">
        <x:v>TASK</x:v>
      </x:c>
      <x:c r="F591" s="30" t="str">
        <x:v>ЕГКР по Математике 953 база.pdf</x:v>
      </x:c>
      <x:c r="G591" s="87" t="str">
        <x:v>2</x:v>
      </x:c>
      <x:c r="H591" s="87" t="str">
        <x:v>v0.95</x:v>
      </x:c>
      <x:c r="I591" s="87" t="str">
        <x:v>2</x:v>
      </x:c>
      <x:c r="J591" s="30" t="str">
        <x:v>VIS_ID</x:v>
      </x:c>
      <x:c r="K591" s="30" t="str">
        <x:v>EGKR-W25-MATHB-953-01, EGKR-W25-MATHB-953-02</x:v>
      </x:c>
      <x:c r="L591" s="87" t="str">
        <x:v>CROP_VERIFIED</x:v>
      </x:c>
      <x:c r="M591" s="87" t="str">
        <x:v>ORIGINAL_PACKAGE</x:v>
      </x:c>
      <x:c r="N591" s="87" t="str">
        <x:v>pages/VIS-EGKR-MATHB-W25-TASK-953-P002.png</x:v>
      </x:c>
      <x:c r="O591" s="87" t="str">
        <x:v>thumbnails/VIS-EGKR-MATHB-W25-TASK-953-P002.jpg</x:v>
      </x:c>
      <x:c r="P591" s="87" t="str">
        <x:v>4db29e72751c9e37faf126305c1abd987368d9e00b7ab2d0d75667233214014b</x:v>
      </x:c>
      <x:c r="Q591" s="30" t="str">
        <x:v>incoming/raw/recovery-drop-01/mathematics_base_egkr_winter_visual_assets_v095.zip!/pages/VIS-EGKR-MATHB-W25-TASK-953-P002.png</x:v>
      </x:c>
      <x:c r="R591" s="30" t="str">
        <x:v>MATCHED_ASSET</x:v>
      </x:c>
      <x:c r="S591" t="e">
        <x:f>HYPERLINK("visual_gallery/index.html#"&amp;A591,"Галерея")</x:f>
      </x:c>
    </x:row>
    <x:row r="592">
      <x:c r="A592" s="87" t="str">
        <x:v>VIS-EGKR-MATHB-W25-TASK-953-P003</x:v>
      </x:c>
      <x:c r="B592" s="30" t="str">
        <x:v>Математика (база)</x:v>
      </x:c>
      <x:c r="C592" s="30"/>
      <x:c r="D592" s="30" t="str">
        <x:v>953</x:v>
      </x:c>
      <x:c r="E592" s="87" t="str">
        <x:v>TASK</x:v>
      </x:c>
      <x:c r="F592" s="30" t="str">
        <x:v>ЕГКР по Математике 953 база.pdf</x:v>
      </x:c>
      <x:c r="G592" s="87" t="str">
        <x:v>3</x:v>
      </x:c>
      <x:c r="H592" s="87" t="str">
        <x:v>v0.95</x:v>
      </x:c>
      <x:c r="I592" s="87" t="str">
        <x:v>3</x:v>
      </x:c>
      <x:c r="J592" s="30" t="str">
        <x:v>VIS_ID</x:v>
      </x:c>
      <x:c r="K592" s="30" t="str">
        <x:v>EGKR-W25-MATHB-953-03, EGKR-W25-MATHB-953-04, EGKR-W25-MATHB-953-05</x:v>
      </x:c>
      <x:c r="L592" s="87" t="str">
        <x:v>CROP_VERIFIED</x:v>
      </x:c>
      <x:c r="M592" s="87" t="str">
        <x:v>ORIGINAL_PACKAGE</x:v>
      </x:c>
      <x:c r="N592" s="87" t="str">
        <x:v>pages/VIS-EGKR-MATHB-W25-TASK-953-P003.png</x:v>
      </x:c>
      <x:c r="O592" s="87" t="str">
        <x:v>thumbnails/VIS-EGKR-MATHB-W25-TASK-953-P003.jpg</x:v>
      </x:c>
      <x:c r="P592" s="87" t="str">
        <x:v>2079a30b54e7fb534caa5fa65463d364dfe762830d01bb24f952da2fe721f790</x:v>
      </x:c>
      <x:c r="Q592" s="30" t="str">
        <x:v>incoming/raw/recovery-drop-01/mathematics_base_egkr_winter_visual_assets_v095.zip!/pages/VIS-EGKR-MATHB-W25-TASK-953-P003.png</x:v>
      </x:c>
      <x:c r="R592" s="30" t="str">
        <x:v>MATCHED_ASSET</x:v>
      </x:c>
      <x:c r="S592" t="e">
        <x:f>HYPERLINK("visual_gallery/index.html#"&amp;A592,"Галерея")</x:f>
      </x:c>
    </x:row>
    <x:row r="593">
      <x:c r="A593" s="87" t="str">
        <x:v>VIS-EGKR-MATHB-W25-TASK-953-P004</x:v>
      </x:c>
      <x:c r="B593" s="30" t="str">
        <x:v>Математика (база)</x:v>
      </x:c>
      <x:c r="C593" s="30"/>
      <x:c r="D593" s="30" t="str">
        <x:v>953</x:v>
      </x:c>
      <x:c r="E593" s="87" t="str">
        <x:v>TASK</x:v>
      </x:c>
      <x:c r="F593" s="30" t="str">
        <x:v>ЕГКР по Математике 953 база.pdf</x:v>
      </x:c>
      <x:c r="G593" s="87" t="str">
        <x:v>4</x:v>
      </x:c>
      <x:c r="H593" s="87" t="str">
        <x:v>v0.95</x:v>
      </x:c>
      <x:c r="I593" s="87" t="str">
        <x:v>1</x:v>
      </x:c>
      <x:c r="J593" s="30" t="str">
        <x:v>VIS_ID</x:v>
      </x:c>
      <x:c r="K593" s="30" t="str">
        <x:v>EGKR-W25-MATHB-953-06</x:v>
      </x:c>
      <x:c r="L593" s="87" t="str">
        <x:v>CROP_VERIFIED</x:v>
      </x:c>
      <x:c r="M593" s="87" t="str">
        <x:v>ORIGINAL_PACKAGE</x:v>
      </x:c>
      <x:c r="N593" s="87" t="str">
        <x:v>pages/VIS-EGKR-MATHB-W25-TASK-953-P004.png</x:v>
      </x:c>
      <x:c r="O593" s="87" t="str">
        <x:v>thumbnails/VIS-EGKR-MATHB-W25-TASK-953-P004.jpg</x:v>
      </x:c>
      <x:c r="P593" s="87" t="str">
        <x:v>aca69f9bb02253c788d10befc59c735a154d033eb3bd17260cb9a7b55b56f08b</x:v>
      </x:c>
      <x:c r="Q593" s="30" t="str">
        <x:v>incoming/raw/recovery-drop-01/mathematics_base_egkr_winter_visual_assets_v095.zip!/pages/VIS-EGKR-MATHB-W25-TASK-953-P004.png</x:v>
      </x:c>
      <x:c r="R593" s="30" t="str">
        <x:v>MATCHED_ASSET</x:v>
      </x:c>
      <x:c r="S593" t="e">
        <x:f>HYPERLINK("visual_gallery/index.html#"&amp;A593,"Галерея")</x:f>
      </x:c>
    </x:row>
    <x:row r="594">
      <x:c r="A594" s="87" t="str">
        <x:v>VIS-EGKR-MATHB-W25-TASK-953-P005</x:v>
      </x:c>
      <x:c r="B594" s="30" t="str">
        <x:v>Математика (база)</x:v>
      </x:c>
      <x:c r="C594" s="30"/>
      <x:c r="D594" s="30" t="str">
        <x:v>953</x:v>
      </x:c>
      <x:c r="E594" s="87" t="str">
        <x:v>TASK</x:v>
      </x:c>
      <x:c r="F594" s="30" t="str">
        <x:v>ЕГКР по Математике 953 база.pdf</x:v>
      </x:c>
      <x:c r="G594" s="87" t="str">
        <x:v>5</x:v>
      </x:c>
      <x:c r="H594" s="87" t="str">
        <x:v>v0.95</x:v>
      </x:c>
      <x:c r="I594" s="87" t="str">
        <x:v>1</x:v>
      </x:c>
      <x:c r="J594" s="30" t="str">
        <x:v>VIS_ID</x:v>
      </x:c>
      <x:c r="K594" s="30" t="str">
        <x:v>EGKR-W25-MATHB-953-07</x:v>
      </x:c>
      <x:c r="L594" s="87" t="str">
        <x:v>CROP_VERIFIED</x:v>
      </x:c>
      <x:c r="M594" s="87" t="str">
        <x:v>ORIGINAL_PACKAGE</x:v>
      </x:c>
      <x:c r="N594" s="87" t="str">
        <x:v>pages/VIS-EGKR-MATHB-W25-TASK-953-P005.png</x:v>
      </x:c>
      <x:c r="O594" s="87" t="str">
        <x:v>thumbnails/VIS-EGKR-MATHB-W25-TASK-953-P005.jpg</x:v>
      </x:c>
      <x:c r="P594" s="87" t="str">
        <x:v>d96d199587d9d6af90b75f19330eb720205c042a818991e9d0e980a65d173f0a</x:v>
      </x:c>
      <x:c r="Q594" s="30" t="str">
        <x:v>incoming/raw/recovery-drop-01/mathematics_base_egkr_winter_visual_assets_v095.zip!/pages/VIS-EGKR-MATHB-W25-TASK-953-P005.png</x:v>
      </x:c>
      <x:c r="R594" s="30" t="str">
        <x:v>MATCHED_ASSET</x:v>
      </x:c>
      <x:c r="S594" t="e">
        <x:f>HYPERLINK("visual_gallery/index.html#"&amp;A594,"Галерея")</x:f>
      </x:c>
    </x:row>
    <x:row r="595">
      <x:c r="A595" s="87" t="str">
        <x:v>VIS-EGKR-MATHB-W25-TASK-953-P006</x:v>
      </x:c>
      <x:c r="B595" s="30" t="str">
        <x:v>Математика (база)</x:v>
      </x:c>
      <x:c r="C595" s="30"/>
      <x:c r="D595" s="30" t="str">
        <x:v>953</x:v>
      </x:c>
      <x:c r="E595" s="87" t="str">
        <x:v>TASK</x:v>
      </x:c>
      <x:c r="F595" s="30" t="str">
        <x:v>ЕГКР по Математике 953 база.pdf</x:v>
      </x:c>
      <x:c r="G595" s="87" t="str">
        <x:v>6</x:v>
      </x:c>
      <x:c r="H595" s="87" t="str">
        <x:v>v0.95</x:v>
      </x:c>
      <x:c r="I595" s="87" t="str">
        <x:v>3</x:v>
      </x:c>
      <x:c r="J595" s="30" t="str">
        <x:v>VIS_ID</x:v>
      </x:c>
      <x:c r="K595" s="30" t="str">
        <x:v>EGKR-W25-MATHB-953-08, EGKR-W25-MATHB-953-09, EGKR-W25-MATHB-953-10</x:v>
      </x:c>
      <x:c r="L595" s="87" t="str">
        <x:v>CROP_VERIFIED</x:v>
      </x:c>
      <x:c r="M595" s="87" t="str">
        <x:v>ORIGINAL_PACKAGE</x:v>
      </x:c>
      <x:c r="N595" s="87" t="str">
        <x:v>pages/VIS-EGKR-MATHB-W25-TASK-953-P006.png</x:v>
      </x:c>
      <x:c r="O595" s="87" t="str">
        <x:v>thumbnails/VIS-EGKR-MATHB-W25-TASK-953-P006.jpg</x:v>
      </x:c>
      <x:c r="P595" s="87" t="str">
        <x:v>00d91a52d42a4e129f20eb19bc58f87505bd3822a19bea5a4927f219109f53e1</x:v>
      </x:c>
      <x:c r="Q595" s="30" t="str">
        <x:v>incoming/raw/recovery-drop-01/mathematics_base_egkr_winter_visual_assets_v095.zip!/pages/VIS-EGKR-MATHB-W25-TASK-953-P006.png</x:v>
      </x:c>
      <x:c r="R595" s="30" t="str">
        <x:v>MATCHED_ASSET</x:v>
      </x:c>
      <x:c r="S595" t="e">
        <x:f>HYPERLINK("visual_gallery/index.html#"&amp;A595,"Галерея")</x:f>
      </x:c>
    </x:row>
    <x:row r="596">
      <x:c r="A596" s="87" t="str">
        <x:v>VIS-EGKR-MATHB-W25-TASK-953-P007</x:v>
      </x:c>
      <x:c r="B596" s="30" t="str">
        <x:v>Математика (база)</x:v>
      </x:c>
      <x:c r="C596" s="30"/>
      <x:c r="D596" s="30" t="str">
        <x:v>953</x:v>
      </x:c>
      <x:c r="E596" s="87" t="str">
        <x:v>TASK</x:v>
      </x:c>
      <x:c r="F596" s="30" t="str">
        <x:v>ЕГКР по Математике 953 база.pdf</x:v>
      </x:c>
      <x:c r="G596" s="87" t="str">
        <x:v>7</x:v>
      </x:c>
      <x:c r="H596" s="87" t="str">
        <x:v>v0.95</x:v>
      </x:c>
      <x:c r="I596" s="87" t="str">
        <x:v>6</x:v>
      </x:c>
      <x:c r="J596" s="30" t="str">
        <x:v>VIS_ID</x:v>
      </x:c>
      <x:c r="K596" s="30" t="str">
        <x:v>EGKR-W25-MATHB-953-11, EGKR-W25-MATHB-953-12, EGKR-W25-MATHB-953-13, EGKR-W25-MATHB-953-14, EGKR-W25-MATHB-953-15, EGKR-W25-MATHB-953-16</x:v>
      </x:c>
      <x:c r="L596" s="87" t="str">
        <x:v>CROP_VERIFIED</x:v>
      </x:c>
      <x:c r="M596" s="87" t="str">
        <x:v>ORIGINAL_PACKAGE</x:v>
      </x:c>
      <x:c r="N596" s="87" t="str">
        <x:v>pages/VIS-EGKR-MATHB-W25-TASK-953-P007.png</x:v>
      </x:c>
      <x:c r="O596" s="87" t="str">
        <x:v>thumbnails/VIS-EGKR-MATHB-W25-TASK-953-P007.jpg</x:v>
      </x:c>
      <x:c r="P596" s="87" t="str">
        <x:v>b6d907cf72dff8748804c94fef91550a79d95021a486474287274c87159e0bf9</x:v>
      </x:c>
      <x:c r="Q596" s="30" t="str">
        <x:v>incoming/raw/recovery-drop-01/mathematics_base_egkr_winter_visual_assets_v095.zip!/pages/VIS-EGKR-MATHB-W25-TASK-953-P007.png</x:v>
      </x:c>
      <x:c r="R596" s="30" t="str">
        <x:v>MATCHED_ASSET</x:v>
      </x:c>
      <x:c r="S596" t="e">
        <x:f>HYPERLINK("visual_gallery/index.html#"&amp;A596,"Галерея")</x:f>
      </x:c>
    </x:row>
    <x:row r="597">
      <x:c r="A597" s="87" t="str">
        <x:v>VIS-EGKR-MATHB-W25-TASK-953-P008</x:v>
      </x:c>
      <x:c r="B597" s="30" t="str">
        <x:v>Математика (база)</x:v>
      </x:c>
      <x:c r="C597" s="30"/>
      <x:c r="D597" s="30" t="str">
        <x:v>953</x:v>
      </x:c>
      <x:c r="E597" s="87" t="str">
        <x:v>TASK</x:v>
      </x:c>
      <x:c r="F597" s="30" t="str">
        <x:v>ЕГКР по Математике 953 база.pdf</x:v>
      </x:c>
      <x:c r="G597" s="87" t="str">
        <x:v>8</x:v>
      </x:c>
      <x:c r="H597" s="87" t="str">
        <x:v>v0.95</x:v>
      </x:c>
      <x:c r="I597" s="87" t="str">
        <x:v>5</x:v>
      </x:c>
      <x:c r="J597" s="30" t="str">
        <x:v>VIS_ID</x:v>
      </x:c>
      <x:c r="K597" s="30" t="str">
        <x:v>EGKR-W25-MATHB-953-17, EGKR-W25-MATHB-953-18, EGKR-W25-MATHB-953-19, EGKR-W25-MATHB-953-20, EGKR-W25-MATHB-953-21</x:v>
      </x:c>
      <x:c r="L597" s="87" t="str">
        <x:v>CROP_VERIFIED</x:v>
      </x:c>
      <x:c r="M597" s="87" t="str">
        <x:v>ORIGINAL_PACKAGE</x:v>
      </x:c>
      <x:c r="N597" s="87" t="str">
        <x:v>pages/VIS-EGKR-MATHB-W25-TASK-953-P008.png</x:v>
      </x:c>
      <x:c r="O597" s="87" t="str">
        <x:v>thumbnails/VIS-EGKR-MATHB-W25-TASK-953-P008.jpg</x:v>
      </x:c>
      <x:c r="P597" s="87" t="str">
        <x:v>9dd99dbf487c1d0115fc01f48653e9dee6ead0338bd2c84813b1b2b84c967dc5</x:v>
      </x:c>
      <x:c r="Q597" s="30" t="str">
        <x:v>incoming/raw/recovery-drop-01/mathematics_base_egkr_winter_visual_assets_v095.zip!/pages/VIS-EGKR-MATHB-W25-TASK-953-P008.png</x:v>
      </x:c>
      <x:c r="R597" s="30" t="str">
        <x:v>MATCHED_ASSET</x:v>
      </x:c>
      <x:c r="S597" t="e">
        <x:f>HYPERLINK("visual_gallery/index.html#"&amp;A597,"Галерея")</x:f>
      </x:c>
    </x:row>
    <x:row r="598">
      <x:c r="A598" s="87" t="str">
        <x:v>VIS-EGKR-MATHB-W25-TASK-954-P001</x:v>
      </x:c>
      <x:c r="B598" s="30" t="str"/>
      <x:c r="C598" s="30"/>
      <x:c r="D598" s="30" t="str">
        <x:v>954</x:v>
      </x:c>
      <x:c r="E598" s="87" t="str">
        <x:v>TASK</x:v>
      </x:c>
      <x:c r="F598" s="30" t="str">
        <x:v>ЕГКР по Математике 954 база.pdf</x:v>
      </x:c>
      <x:c r="G598" s="87" t="str">
        <x:v>1</x:v>
      </x:c>
      <x:c r="H598" s="87" t="str">
        <x:v>v0.95</x:v>
      </x:c>
      <x:c r="I598" s="87" t="str">
        <x:v>0</x:v>
      </x:c>
      <x:c r="J598" s="30" t="str"/>
      <x:c r="K598" s="30" t="str"/>
      <x:c r="L598" s="87" t="str">
        <x:v>CROP_VERIFIED</x:v>
      </x:c>
      <x:c r="M598" s="87" t="str">
        <x:v>ORIGINAL_PACKAGE</x:v>
      </x:c>
      <x:c r="N598" s="87" t="str">
        <x:v>pages/VIS-EGKR-MATHB-W25-TASK-954-P001.png</x:v>
      </x:c>
      <x:c r="O598" s="87" t="str">
        <x:v>thumbnails/VIS-EGKR-MATHB-W25-TASK-954-P001.jpg</x:v>
      </x:c>
      <x:c r="P598" s="87" t="str">
        <x:v>300e0ce22a2c6aded029a1ba4f077ae4d4a7be491b723c91f9e55b15c72b2412</x:v>
      </x:c>
      <x:c r="Q598" s="30" t="str">
        <x:v>incoming/raw/recovery-drop-01/mathematics_base_egkr_winter_visual_assets_v095.zip!/pages/VIS-EGKR-MATHB-W25-TASK-954-P001.png</x:v>
      </x:c>
      <x:c r="R598" s="30" t="str">
        <x:v>RESOLVED_UNLINKED_REGISTRY_VISUAL</x:v>
      </x:c>
      <x:c r="S598" t="e">
        <x:f>HYPERLINK("visual_gallery/index.html#"&amp;A598,"Галерея")</x:f>
      </x:c>
    </x:row>
    <x:row r="599">
      <x:c r="A599" s="87" t="str">
        <x:v>VIS-EGKR-MATHB-W25-TASK-954-P002</x:v>
      </x:c>
      <x:c r="B599" s="30" t="str">
        <x:v>Математика (база)</x:v>
      </x:c>
      <x:c r="C599" s="30"/>
      <x:c r="D599" s="30" t="str">
        <x:v>954</x:v>
      </x:c>
      <x:c r="E599" s="87" t="str">
        <x:v>TASK</x:v>
      </x:c>
      <x:c r="F599" s="30" t="str">
        <x:v>ЕГКР по Математике 954 база.pdf</x:v>
      </x:c>
      <x:c r="G599" s="87" t="str">
        <x:v>2</x:v>
      </x:c>
      <x:c r="H599" s="87" t="str">
        <x:v>v0.95</x:v>
      </x:c>
      <x:c r="I599" s="87" t="str">
        <x:v>2</x:v>
      </x:c>
      <x:c r="J599" s="30" t="str">
        <x:v>VIS_ID</x:v>
      </x:c>
      <x:c r="K599" s="30" t="str">
        <x:v>EGKR-W25-MATHB-954-01, EGKR-W25-MATHB-954-02</x:v>
      </x:c>
      <x:c r="L599" s="87" t="str">
        <x:v>CROP_VERIFIED</x:v>
      </x:c>
      <x:c r="M599" s="87" t="str">
        <x:v>ORIGINAL_PACKAGE</x:v>
      </x:c>
      <x:c r="N599" s="87" t="str">
        <x:v>pages/VIS-EGKR-MATHB-W25-TASK-954-P002.png</x:v>
      </x:c>
      <x:c r="O599" s="87" t="str">
        <x:v>thumbnails/VIS-EGKR-MATHB-W25-TASK-954-P002.jpg</x:v>
      </x:c>
      <x:c r="P599" s="87" t="str">
        <x:v>f9486ddec63a61b169a435627ef3fff2041abf54fcba3da37920ea683dc3ee44</x:v>
      </x:c>
      <x:c r="Q599" s="30" t="str">
        <x:v>incoming/raw/recovery-drop-01/mathematics_base_egkr_winter_visual_assets_v095.zip!/pages/VIS-EGKR-MATHB-W25-TASK-954-P002.png</x:v>
      </x:c>
      <x:c r="R599" s="30" t="str">
        <x:v>MATCHED_ASSET</x:v>
      </x:c>
      <x:c r="S599" t="e">
        <x:f>HYPERLINK("visual_gallery/index.html#"&amp;A599,"Галерея")</x:f>
      </x:c>
    </x:row>
    <x:row r="600">
      <x:c r="A600" s="87" t="str">
        <x:v>VIS-EGKR-MATHB-W25-TASK-954-P003</x:v>
      </x:c>
      <x:c r="B600" s="30" t="str">
        <x:v>Математика (база)</x:v>
      </x:c>
      <x:c r="C600" s="30"/>
      <x:c r="D600" s="30" t="str">
        <x:v>954</x:v>
      </x:c>
      <x:c r="E600" s="87" t="str">
        <x:v>TASK</x:v>
      </x:c>
      <x:c r="F600" s="30" t="str">
        <x:v>ЕГКР по Математике 954 база.pdf</x:v>
      </x:c>
      <x:c r="G600" s="87" t="str">
        <x:v>3</x:v>
      </x:c>
      <x:c r="H600" s="87" t="str">
        <x:v>v0.95</x:v>
      </x:c>
      <x:c r="I600" s="87" t="str">
        <x:v>3</x:v>
      </x:c>
      <x:c r="J600" s="30" t="str">
        <x:v>VIS_ID</x:v>
      </x:c>
      <x:c r="K600" s="30" t="str">
        <x:v>EGKR-W25-MATHB-954-03, EGKR-W25-MATHB-954-04, EGKR-W25-MATHB-954-05</x:v>
      </x:c>
      <x:c r="L600" s="87" t="str">
        <x:v>CROP_VERIFIED</x:v>
      </x:c>
      <x:c r="M600" s="87" t="str">
        <x:v>ORIGINAL_PACKAGE</x:v>
      </x:c>
      <x:c r="N600" s="87" t="str">
        <x:v>pages/VIS-EGKR-MATHB-W25-TASK-954-P003.png</x:v>
      </x:c>
      <x:c r="O600" s="87" t="str">
        <x:v>thumbnails/VIS-EGKR-MATHB-W25-TASK-954-P003.jpg</x:v>
      </x:c>
      <x:c r="P600" s="87" t="str">
        <x:v>2f5b9ff740edb276bddf742680218b912b36541adc5372d6c3a6a9cbe925ec67</x:v>
      </x:c>
      <x:c r="Q600" s="30" t="str">
        <x:v>incoming/raw/recovery-drop-01/mathematics_base_egkr_winter_visual_assets_v095.zip!/pages/VIS-EGKR-MATHB-W25-TASK-954-P003.png</x:v>
      </x:c>
      <x:c r="R600" s="30" t="str">
        <x:v>MATCHED_ASSET</x:v>
      </x:c>
      <x:c r="S600" t="e">
        <x:f>HYPERLINK("visual_gallery/index.html#"&amp;A600,"Галерея")</x:f>
      </x:c>
    </x:row>
    <x:row r="601">
      <x:c r="A601" s="87" t="str">
        <x:v>VIS-EGKR-MATHB-W25-TASK-954-P004</x:v>
      </x:c>
      <x:c r="B601" s="30" t="str">
        <x:v>Математика (база)</x:v>
      </x:c>
      <x:c r="C601" s="30"/>
      <x:c r="D601" s="30" t="str">
        <x:v>954</x:v>
      </x:c>
      <x:c r="E601" s="87" t="str">
        <x:v>TASK</x:v>
      </x:c>
      <x:c r="F601" s="30" t="str">
        <x:v>ЕГКР по Математике 954 база.pdf</x:v>
      </x:c>
      <x:c r="G601" s="87" t="str">
        <x:v>4</x:v>
      </x:c>
      <x:c r="H601" s="87" t="str">
        <x:v>v0.95</x:v>
      </x:c>
      <x:c r="I601" s="87" t="str">
        <x:v>1</x:v>
      </x:c>
      <x:c r="J601" s="30" t="str">
        <x:v>VIS_ID</x:v>
      </x:c>
      <x:c r="K601" s="30" t="str">
        <x:v>EGKR-W25-MATHB-954-06</x:v>
      </x:c>
      <x:c r="L601" s="87" t="str">
        <x:v>CROP_VERIFIED</x:v>
      </x:c>
      <x:c r="M601" s="87" t="str">
        <x:v>ORIGINAL_PACKAGE</x:v>
      </x:c>
      <x:c r="N601" s="87" t="str">
        <x:v>pages/VIS-EGKR-MATHB-W25-TASK-954-P004.png</x:v>
      </x:c>
      <x:c r="O601" s="87" t="str">
        <x:v>thumbnails/VIS-EGKR-MATHB-W25-TASK-954-P004.jpg</x:v>
      </x:c>
      <x:c r="P601" s="87" t="str">
        <x:v>ce44757cc98df6e06f5f863ad45e58270da7c44e3f4f30062ea3865cbb5d09b3</x:v>
      </x:c>
      <x:c r="Q601" s="30" t="str">
        <x:v>incoming/raw/recovery-drop-01/mathematics_base_egkr_winter_visual_assets_v095.zip!/pages/VIS-EGKR-MATHB-W25-TASK-954-P004.png</x:v>
      </x:c>
      <x:c r="R601" s="30" t="str">
        <x:v>MATCHED_ASSET</x:v>
      </x:c>
      <x:c r="S601" t="e">
        <x:f>HYPERLINK("visual_gallery/index.html#"&amp;A601,"Галерея")</x:f>
      </x:c>
    </x:row>
    <x:row r="602">
      <x:c r="A602" s="87" t="str">
        <x:v>VIS-EGKR-MATHB-W25-TASK-954-P005</x:v>
      </x:c>
      <x:c r="B602" s="30" t="str">
        <x:v>Математика (база)</x:v>
      </x:c>
      <x:c r="C602" s="30"/>
      <x:c r="D602" s="30" t="str">
        <x:v>954</x:v>
      </x:c>
      <x:c r="E602" s="87" t="str">
        <x:v>TASK</x:v>
      </x:c>
      <x:c r="F602" s="30" t="str">
        <x:v>ЕГКР по Математике 954 база.pdf</x:v>
      </x:c>
      <x:c r="G602" s="87" t="str">
        <x:v>5</x:v>
      </x:c>
      <x:c r="H602" s="87" t="str">
        <x:v>v0.95</x:v>
      </x:c>
      <x:c r="I602" s="87" t="str">
        <x:v>1</x:v>
      </x:c>
      <x:c r="J602" s="30" t="str">
        <x:v>VIS_ID</x:v>
      </x:c>
      <x:c r="K602" s="30" t="str">
        <x:v>EGKR-W25-MATHB-954-07</x:v>
      </x:c>
      <x:c r="L602" s="87" t="str">
        <x:v>CROP_VERIFIED</x:v>
      </x:c>
      <x:c r="M602" s="87" t="str">
        <x:v>ORIGINAL_PACKAGE</x:v>
      </x:c>
      <x:c r="N602" s="87" t="str">
        <x:v>pages/VIS-EGKR-MATHB-W25-TASK-954-P005.png</x:v>
      </x:c>
      <x:c r="O602" s="87" t="str">
        <x:v>thumbnails/VIS-EGKR-MATHB-W25-TASK-954-P005.jpg</x:v>
      </x:c>
      <x:c r="P602" s="87" t="str">
        <x:v>83b73b43a5e7fa8aad3240631a980e4b4bcd2de934668c9187750e7dbad89dda</x:v>
      </x:c>
      <x:c r="Q602" s="30" t="str">
        <x:v>incoming/raw/recovery-drop-01/mathematics_base_egkr_winter_visual_assets_v095.zip!/pages/VIS-EGKR-MATHB-W25-TASK-954-P005.png</x:v>
      </x:c>
      <x:c r="R602" s="30" t="str">
        <x:v>MATCHED_ASSET</x:v>
      </x:c>
      <x:c r="S602" t="e">
        <x:f>HYPERLINK("visual_gallery/index.html#"&amp;A602,"Галерея")</x:f>
      </x:c>
    </x:row>
    <x:row r="603">
      <x:c r="A603" s="87" t="str">
        <x:v>VIS-EGKR-MATHB-W25-TASK-954-P006</x:v>
      </x:c>
      <x:c r="B603" s="30" t="str">
        <x:v>Математика (база)</x:v>
      </x:c>
      <x:c r="C603" s="30"/>
      <x:c r="D603" s="30" t="str">
        <x:v>954</x:v>
      </x:c>
      <x:c r="E603" s="87" t="str">
        <x:v>TASK</x:v>
      </x:c>
      <x:c r="F603" s="30" t="str">
        <x:v>ЕГКР по Математике 954 база.pdf</x:v>
      </x:c>
      <x:c r="G603" s="87" t="str">
        <x:v>6</x:v>
      </x:c>
      <x:c r="H603" s="87" t="str">
        <x:v>v0.95</x:v>
      </x:c>
      <x:c r="I603" s="87" t="str">
        <x:v>3</x:v>
      </x:c>
      <x:c r="J603" s="30" t="str">
        <x:v>VIS_ID</x:v>
      </x:c>
      <x:c r="K603" s="30" t="str">
        <x:v>EGKR-W25-MATHB-954-08, EGKR-W25-MATHB-954-09, EGKR-W25-MATHB-954-10</x:v>
      </x:c>
      <x:c r="L603" s="87" t="str">
        <x:v>CROP_VERIFIED</x:v>
      </x:c>
      <x:c r="M603" s="87" t="str">
        <x:v>ORIGINAL_PACKAGE</x:v>
      </x:c>
      <x:c r="N603" s="87" t="str">
        <x:v>pages/VIS-EGKR-MATHB-W25-TASK-954-P006.png</x:v>
      </x:c>
      <x:c r="O603" s="87" t="str">
        <x:v>thumbnails/VIS-EGKR-MATHB-W25-TASK-954-P006.jpg</x:v>
      </x:c>
      <x:c r="P603" s="87" t="str">
        <x:v>7ba223e887215206b08342152dfa89cd568f40ea9a636d667fe33849ca4870c0</x:v>
      </x:c>
      <x:c r="Q603" s="30" t="str">
        <x:v>incoming/raw/recovery-drop-01/mathematics_base_egkr_winter_visual_assets_v095.zip!/pages/VIS-EGKR-MATHB-W25-TASK-954-P006.png</x:v>
      </x:c>
      <x:c r="R603" s="30" t="str">
        <x:v>MATCHED_ASSET</x:v>
      </x:c>
      <x:c r="S603" t="e">
        <x:f>HYPERLINK("visual_gallery/index.html#"&amp;A603,"Галерея")</x:f>
      </x:c>
    </x:row>
    <x:row r="604">
      <x:c r="A604" s="87" t="str">
        <x:v>VIS-EGKR-MATHB-W25-TASK-954-P007</x:v>
      </x:c>
      <x:c r="B604" s="30" t="str">
        <x:v>Математика (база)</x:v>
      </x:c>
      <x:c r="C604" s="30"/>
      <x:c r="D604" s="30" t="str">
        <x:v>954</x:v>
      </x:c>
      <x:c r="E604" s="87" t="str">
        <x:v>TASK</x:v>
      </x:c>
      <x:c r="F604" s="30" t="str">
        <x:v>ЕГКР по Математике 954 база.pdf</x:v>
      </x:c>
      <x:c r="G604" s="87" t="str">
        <x:v>7</x:v>
      </x:c>
      <x:c r="H604" s="87" t="str">
        <x:v>v0.95</x:v>
      </x:c>
      <x:c r="I604" s="87" t="str">
        <x:v>6</x:v>
      </x:c>
      <x:c r="J604" s="30" t="str">
        <x:v>VIS_ID</x:v>
      </x:c>
      <x:c r="K604" s="30" t="str">
        <x:v>EGKR-W25-MATHB-954-11, EGKR-W25-MATHB-954-12, EGKR-W25-MATHB-954-13, EGKR-W25-MATHB-954-14, EGKR-W25-MATHB-954-15, EGKR-W25-MATHB-954-16</x:v>
      </x:c>
      <x:c r="L604" s="87" t="str">
        <x:v>CROP_VERIFIED</x:v>
      </x:c>
      <x:c r="M604" s="87" t="str">
        <x:v>ORIGINAL_PACKAGE</x:v>
      </x:c>
      <x:c r="N604" s="87" t="str">
        <x:v>pages/VIS-EGKR-MATHB-W25-TASK-954-P007.png</x:v>
      </x:c>
      <x:c r="O604" s="87" t="str">
        <x:v>thumbnails/VIS-EGKR-MATHB-W25-TASK-954-P007.jpg</x:v>
      </x:c>
      <x:c r="P604" s="87" t="str">
        <x:v>844bb24e6a78f899f70f345a17f97c9fe590583a06ae6f95896c9b3e2477c0c7</x:v>
      </x:c>
      <x:c r="Q604" s="30" t="str">
        <x:v>incoming/raw/recovery-drop-01/mathematics_base_egkr_winter_visual_assets_v095.zip!/pages/VIS-EGKR-MATHB-W25-TASK-954-P007.png</x:v>
      </x:c>
      <x:c r="R604" s="30" t="str">
        <x:v>MATCHED_ASSET</x:v>
      </x:c>
      <x:c r="S604" t="e">
        <x:f>HYPERLINK("visual_gallery/index.html#"&amp;A604,"Галерея")</x:f>
      </x:c>
    </x:row>
    <x:row r="605">
      <x:c r="A605" s="87" t="str">
        <x:v>VIS-EGKR-MATHB-W25-TASK-954-P008</x:v>
      </x:c>
      <x:c r="B605" s="30" t="str">
        <x:v>Математика (база)</x:v>
      </x:c>
      <x:c r="C605" s="30"/>
      <x:c r="D605" s="30" t="str">
        <x:v>954</x:v>
      </x:c>
      <x:c r="E605" s="87" t="str">
        <x:v>TASK</x:v>
      </x:c>
      <x:c r="F605" s="30" t="str">
        <x:v>ЕГКР по Математике 954 база.pdf</x:v>
      </x:c>
      <x:c r="G605" s="87" t="str">
        <x:v>8</x:v>
      </x:c>
      <x:c r="H605" s="87" t="str">
        <x:v>v0.95</x:v>
      </x:c>
      <x:c r="I605" s="87" t="str">
        <x:v>5</x:v>
      </x:c>
      <x:c r="J605" s="30" t="str">
        <x:v>VIS_ID</x:v>
      </x:c>
      <x:c r="K605" s="30" t="str">
        <x:v>EGKR-W25-MATHB-954-17, EGKR-W25-MATHB-954-18, EGKR-W25-MATHB-954-19, EGKR-W25-MATHB-954-20, EGKR-W25-MATHB-954-21</x:v>
      </x:c>
      <x:c r="L605" s="87" t="str">
        <x:v>CROP_VERIFIED</x:v>
      </x:c>
      <x:c r="M605" s="87" t="str">
        <x:v>ORIGINAL_PACKAGE</x:v>
      </x:c>
      <x:c r="N605" s="87" t="str">
        <x:v>pages/VIS-EGKR-MATHB-W25-TASK-954-P008.png</x:v>
      </x:c>
      <x:c r="O605" s="87" t="str">
        <x:v>thumbnails/VIS-EGKR-MATHB-W25-TASK-954-P008.jpg</x:v>
      </x:c>
      <x:c r="P605" s="87" t="str">
        <x:v>bc7cc2e143f02a42213fb6ac7df822edc206314c98771ed03acd33b14d692892</x:v>
      </x:c>
      <x:c r="Q605" s="30" t="str">
        <x:v>incoming/raw/recovery-drop-01/mathematics_base_egkr_winter_visual_assets_v095.zip!/pages/VIS-EGKR-MATHB-W25-TASK-954-P008.png</x:v>
      </x:c>
      <x:c r="R605" s="30" t="str">
        <x:v>MATCHED_ASSET</x:v>
      </x:c>
      <x:c r="S605" t="e">
        <x:f>HYPERLINK("visual_gallery/index.html#"&amp;A605,"Галерея")</x:f>
      </x:c>
    </x:row>
    <x:row r="606">
      <x:c r="A606" s="87" t="str">
        <x:v>VIS-EGKR-MATHB-W25-TASK-955-P001</x:v>
      </x:c>
      <x:c r="B606" s="30" t="str"/>
      <x:c r="C606" s="30"/>
      <x:c r="D606" s="30" t="str">
        <x:v>955</x:v>
      </x:c>
      <x:c r="E606" s="87" t="str">
        <x:v>TASK</x:v>
      </x:c>
      <x:c r="F606" s="30" t="str">
        <x:v>ЕГКР по Математике 955 база.pdf</x:v>
      </x:c>
      <x:c r="G606" s="87" t="str">
        <x:v>1</x:v>
      </x:c>
      <x:c r="H606" s="87" t="str">
        <x:v>v0.95</x:v>
      </x:c>
      <x:c r="I606" s="87" t="str">
        <x:v>0</x:v>
      </x:c>
      <x:c r="J606" s="30" t="str"/>
      <x:c r="K606" s="30" t="str"/>
      <x:c r="L606" s="87" t="str">
        <x:v>CROP_VERIFIED</x:v>
      </x:c>
      <x:c r="M606" s="87" t="str">
        <x:v>ORIGINAL_PACKAGE</x:v>
      </x:c>
      <x:c r="N606" s="87" t="str">
        <x:v>pages/VIS-EGKR-MATHB-W25-TASK-955-P001.png</x:v>
      </x:c>
      <x:c r="O606" s="87" t="str">
        <x:v>thumbnails/VIS-EGKR-MATHB-W25-TASK-955-P001.jpg</x:v>
      </x:c>
      <x:c r="P606" s="87" t="str">
        <x:v>2be405c8072cce4737fb5cdf0fce5068f7f3f2b23fd0d3f4b9db562af5707bba</x:v>
      </x:c>
      <x:c r="Q606" s="30" t="str">
        <x:v>incoming/raw/recovery-drop-01/mathematics_base_egkr_winter_visual_assets_v095.zip!/pages/VIS-EGKR-MATHB-W25-TASK-955-P001.png</x:v>
      </x:c>
      <x:c r="R606" s="30" t="str">
        <x:v>RESOLVED_UNLINKED_REGISTRY_VISUAL</x:v>
      </x:c>
      <x:c r="S606" t="e">
        <x:f>HYPERLINK("visual_gallery/index.html#"&amp;A606,"Галерея")</x:f>
      </x:c>
    </x:row>
    <x:row r="607">
      <x:c r="A607" s="87" t="str">
        <x:v>VIS-EGKR-MATHB-W25-TASK-955-P002</x:v>
      </x:c>
      <x:c r="B607" s="30" t="str">
        <x:v>Математика (база)</x:v>
      </x:c>
      <x:c r="C607" s="30"/>
      <x:c r="D607" s="30" t="str">
        <x:v>955</x:v>
      </x:c>
      <x:c r="E607" s="87" t="str">
        <x:v>TASK</x:v>
      </x:c>
      <x:c r="F607" s="30" t="str">
        <x:v>ЕГКР по Математике 955 база.pdf</x:v>
      </x:c>
      <x:c r="G607" s="87" t="str">
        <x:v>2</x:v>
      </x:c>
      <x:c r="H607" s="87" t="str">
        <x:v>v0.95</x:v>
      </x:c>
      <x:c r="I607" s="87" t="str">
        <x:v>2</x:v>
      </x:c>
      <x:c r="J607" s="30" t="str">
        <x:v>VIS_ID</x:v>
      </x:c>
      <x:c r="K607" s="30" t="str">
        <x:v>EGKR-W25-MATHB-955-01, EGKR-W25-MATHB-955-02</x:v>
      </x:c>
      <x:c r="L607" s="87" t="str">
        <x:v>CROP_VERIFIED</x:v>
      </x:c>
      <x:c r="M607" s="87" t="str">
        <x:v>ORIGINAL_PACKAGE</x:v>
      </x:c>
      <x:c r="N607" s="87" t="str">
        <x:v>pages/VIS-EGKR-MATHB-W25-TASK-955-P002.png</x:v>
      </x:c>
      <x:c r="O607" s="87" t="str">
        <x:v>thumbnails/VIS-EGKR-MATHB-W25-TASK-955-P002.jpg</x:v>
      </x:c>
      <x:c r="P607" s="87" t="str">
        <x:v>0159083e6e1aa33c027dbf71c942209794f3a15687a1595d04bf54cbf454a428</x:v>
      </x:c>
      <x:c r="Q607" s="30" t="str">
        <x:v>incoming/raw/recovery-drop-01/mathematics_base_egkr_winter_visual_assets_v095.zip!/pages/VIS-EGKR-MATHB-W25-TASK-955-P002.png</x:v>
      </x:c>
      <x:c r="R607" s="30" t="str">
        <x:v>MATCHED_ASSET</x:v>
      </x:c>
      <x:c r="S607" t="e">
        <x:f>HYPERLINK("visual_gallery/index.html#"&amp;A607,"Галерея")</x:f>
      </x:c>
    </x:row>
    <x:row r="608">
      <x:c r="A608" s="87" t="str">
        <x:v>VIS-EGKR-MATHB-W25-TASK-955-P003</x:v>
      </x:c>
      <x:c r="B608" s="30" t="str">
        <x:v>Математика (база)</x:v>
      </x:c>
      <x:c r="C608" s="30"/>
      <x:c r="D608" s="30" t="str">
        <x:v>955</x:v>
      </x:c>
      <x:c r="E608" s="87" t="str">
        <x:v>TASK</x:v>
      </x:c>
      <x:c r="F608" s="30" t="str">
        <x:v>ЕГКР по Математике 955 база.pdf</x:v>
      </x:c>
      <x:c r="G608" s="87" t="str">
        <x:v>3</x:v>
      </x:c>
      <x:c r="H608" s="87" t="str">
        <x:v>v0.95</x:v>
      </x:c>
      <x:c r="I608" s="87" t="str">
        <x:v>3</x:v>
      </x:c>
      <x:c r="J608" s="30" t="str">
        <x:v>VIS_ID</x:v>
      </x:c>
      <x:c r="K608" s="30" t="str">
        <x:v>EGKR-W25-MATHB-955-03, EGKR-W25-MATHB-955-04, EGKR-W25-MATHB-955-05</x:v>
      </x:c>
      <x:c r="L608" s="87" t="str">
        <x:v>CROP_VERIFIED</x:v>
      </x:c>
      <x:c r="M608" s="87" t="str">
        <x:v>ORIGINAL_PACKAGE</x:v>
      </x:c>
      <x:c r="N608" s="87" t="str">
        <x:v>pages/VIS-EGKR-MATHB-W25-TASK-955-P003.png</x:v>
      </x:c>
      <x:c r="O608" s="87" t="str">
        <x:v>thumbnails/VIS-EGKR-MATHB-W25-TASK-955-P003.jpg</x:v>
      </x:c>
      <x:c r="P608" s="87" t="str">
        <x:v>6c36acc376d15b94168e85f237806f9a5ff4717ca280057b3c7fe67b1062d076</x:v>
      </x:c>
      <x:c r="Q608" s="30" t="str">
        <x:v>incoming/raw/recovery-drop-01/mathematics_base_egkr_winter_visual_assets_v095.zip!/pages/VIS-EGKR-MATHB-W25-TASK-955-P003.png</x:v>
      </x:c>
      <x:c r="R608" s="30" t="str">
        <x:v>MATCHED_ASSET</x:v>
      </x:c>
      <x:c r="S608" t="e">
        <x:f>HYPERLINK("visual_gallery/index.html#"&amp;A608,"Галерея")</x:f>
      </x:c>
    </x:row>
    <x:row r="609">
      <x:c r="A609" s="87" t="str">
        <x:v>VIS-EGKR-MATHB-W25-TASK-955-P004</x:v>
      </x:c>
      <x:c r="B609" s="30" t="str">
        <x:v>Математика (база)</x:v>
      </x:c>
      <x:c r="C609" s="30"/>
      <x:c r="D609" s="30" t="str">
        <x:v>955</x:v>
      </x:c>
      <x:c r="E609" s="87" t="str">
        <x:v>TASK</x:v>
      </x:c>
      <x:c r="F609" s="30" t="str">
        <x:v>ЕГКР по Математике 955 база.pdf</x:v>
      </x:c>
      <x:c r="G609" s="87" t="str">
        <x:v>4</x:v>
      </x:c>
      <x:c r="H609" s="87" t="str">
        <x:v>v0.95</x:v>
      </x:c>
      <x:c r="I609" s="87" t="str">
        <x:v>1</x:v>
      </x:c>
      <x:c r="J609" s="30" t="str">
        <x:v>VIS_ID</x:v>
      </x:c>
      <x:c r="K609" s="30" t="str">
        <x:v>EGKR-W25-MATHB-955-06</x:v>
      </x:c>
      <x:c r="L609" s="87" t="str">
        <x:v>CROP_VERIFIED</x:v>
      </x:c>
      <x:c r="M609" s="87" t="str">
        <x:v>ORIGINAL_PACKAGE</x:v>
      </x:c>
      <x:c r="N609" s="87" t="str">
        <x:v>pages/VIS-EGKR-MATHB-W25-TASK-955-P004.png</x:v>
      </x:c>
      <x:c r="O609" s="87" t="str">
        <x:v>thumbnails/VIS-EGKR-MATHB-W25-TASK-955-P004.jpg</x:v>
      </x:c>
      <x:c r="P609" s="87" t="str">
        <x:v>01e688fb57ee7f24e311778633edf7b6df1e2f72055cf95e198fa1ac8a2e0e37</x:v>
      </x:c>
      <x:c r="Q609" s="30" t="str">
        <x:v>incoming/raw/recovery-drop-01/mathematics_base_egkr_winter_visual_assets_v095.zip!/pages/VIS-EGKR-MATHB-W25-TASK-955-P004.png</x:v>
      </x:c>
      <x:c r="R609" s="30" t="str">
        <x:v>MATCHED_ASSET</x:v>
      </x:c>
      <x:c r="S609" t="e">
        <x:f>HYPERLINK("visual_gallery/index.html#"&amp;A609,"Галерея")</x:f>
      </x:c>
    </x:row>
    <x:row r="610">
      <x:c r="A610" s="87" t="str">
        <x:v>VIS-EGKR-MATHB-W25-TASK-955-P005</x:v>
      </x:c>
      <x:c r="B610" s="30" t="str">
        <x:v>Математика (база)</x:v>
      </x:c>
      <x:c r="C610" s="30"/>
      <x:c r="D610" s="30" t="str">
        <x:v>955</x:v>
      </x:c>
      <x:c r="E610" s="87" t="str">
        <x:v>TASK</x:v>
      </x:c>
      <x:c r="F610" s="30" t="str">
        <x:v>ЕГКР по Математике 955 база.pdf</x:v>
      </x:c>
      <x:c r="G610" s="87" t="str">
        <x:v>5</x:v>
      </x:c>
      <x:c r="H610" s="87" t="str">
        <x:v>v0.95</x:v>
      </x:c>
      <x:c r="I610" s="87" t="str">
        <x:v>1</x:v>
      </x:c>
      <x:c r="J610" s="30" t="str">
        <x:v>VIS_ID</x:v>
      </x:c>
      <x:c r="K610" s="30" t="str">
        <x:v>EGKR-W25-MATHB-955-07</x:v>
      </x:c>
      <x:c r="L610" s="87" t="str">
        <x:v>CROP_VERIFIED</x:v>
      </x:c>
      <x:c r="M610" s="87" t="str">
        <x:v>ORIGINAL_PACKAGE</x:v>
      </x:c>
      <x:c r="N610" s="87" t="str">
        <x:v>pages/VIS-EGKR-MATHB-W25-TASK-955-P005.png</x:v>
      </x:c>
      <x:c r="O610" s="87" t="str">
        <x:v>thumbnails/VIS-EGKR-MATHB-W25-TASK-955-P005.jpg</x:v>
      </x:c>
      <x:c r="P610" s="87" t="str">
        <x:v>dac3ef676c71893e192f2f08beed8d002f3985ea9ae1c3e12fec00e3689a1c6d</x:v>
      </x:c>
      <x:c r="Q610" s="30" t="str">
        <x:v>incoming/raw/recovery-drop-01/mathematics_base_egkr_winter_visual_assets_v095.zip!/pages/VIS-EGKR-MATHB-W25-TASK-955-P005.png</x:v>
      </x:c>
      <x:c r="R610" s="30" t="str">
        <x:v>MATCHED_ASSET</x:v>
      </x:c>
      <x:c r="S610" t="e">
        <x:f>HYPERLINK("visual_gallery/index.html#"&amp;A610,"Галерея")</x:f>
      </x:c>
    </x:row>
    <x:row r="611">
      <x:c r="A611" s="87" t="str">
        <x:v>VIS-EGKR-MATHB-W25-TASK-955-P006</x:v>
      </x:c>
      <x:c r="B611" s="30" t="str">
        <x:v>Математика (база)</x:v>
      </x:c>
      <x:c r="C611" s="30"/>
      <x:c r="D611" s="30" t="str">
        <x:v>955</x:v>
      </x:c>
      <x:c r="E611" s="87" t="str">
        <x:v>TASK</x:v>
      </x:c>
      <x:c r="F611" s="30" t="str">
        <x:v>ЕГКР по Математике 955 база.pdf</x:v>
      </x:c>
      <x:c r="G611" s="87" t="str">
        <x:v>6</x:v>
      </x:c>
      <x:c r="H611" s="87" t="str">
        <x:v>v0.95</x:v>
      </x:c>
      <x:c r="I611" s="87" t="str">
        <x:v>3</x:v>
      </x:c>
      <x:c r="J611" s="30" t="str">
        <x:v>VIS_ID</x:v>
      </x:c>
      <x:c r="K611" s="30" t="str">
        <x:v>EGKR-W25-MATHB-955-08, EGKR-W25-MATHB-955-09, EGKR-W25-MATHB-955-10</x:v>
      </x:c>
      <x:c r="L611" s="87" t="str">
        <x:v>CROP_VERIFIED</x:v>
      </x:c>
      <x:c r="M611" s="87" t="str">
        <x:v>ORIGINAL_PACKAGE</x:v>
      </x:c>
      <x:c r="N611" s="87" t="str">
        <x:v>pages/VIS-EGKR-MATHB-W25-TASK-955-P006.png</x:v>
      </x:c>
      <x:c r="O611" s="87" t="str">
        <x:v>thumbnails/VIS-EGKR-MATHB-W25-TASK-955-P006.jpg</x:v>
      </x:c>
      <x:c r="P611" s="87" t="str">
        <x:v>52a4aab4a2df86bdfd170b4dc78a2d09fc9fe1b734963b75b81e26fe27eef41f</x:v>
      </x:c>
      <x:c r="Q611" s="30" t="str">
        <x:v>incoming/raw/recovery-drop-01/mathematics_base_egkr_winter_visual_assets_v095.zip!/pages/VIS-EGKR-MATHB-W25-TASK-955-P006.png</x:v>
      </x:c>
      <x:c r="R611" s="30" t="str">
        <x:v>MATCHED_ASSET</x:v>
      </x:c>
      <x:c r="S611" t="e">
        <x:f>HYPERLINK("visual_gallery/index.html#"&amp;A611,"Галерея")</x:f>
      </x:c>
    </x:row>
    <x:row r="612">
      <x:c r="A612" s="87" t="str">
        <x:v>VIS-EGKR-MATHB-W25-TASK-955-P007</x:v>
      </x:c>
      <x:c r="B612" s="30" t="str">
        <x:v>Математика (база)</x:v>
      </x:c>
      <x:c r="C612" s="30"/>
      <x:c r="D612" s="30" t="str">
        <x:v>955</x:v>
      </x:c>
      <x:c r="E612" s="87" t="str">
        <x:v>TASK</x:v>
      </x:c>
      <x:c r="F612" s="30" t="str">
        <x:v>ЕГКР по Математике 955 база.pdf</x:v>
      </x:c>
      <x:c r="G612" s="87" t="str">
        <x:v>7</x:v>
      </x:c>
      <x:c r="H612" s="87" t="str">
        <x:v>v0.95</x:v>
      </x:c>
      <x:c r="I612" s="87" t="str">
        <x:v>6</x:v>
      </x:c>
      <x:c r="J612" s="30" t="str">
        <x:v>VIS_ID</x:v>
      </x:c>
      <x:c r="K612" s="30" t="str">
        <x:v>EGKR-W25-MATHB-955-11, EGKR-W25-MATHB-955-12, EGKR-W25-MATHB-955-13, EGKR-W25-MATHB-955-14, EGKR-W25-MATHB-955-15, EGKR-W25-MATHB-955-16</x:v>
      </x:c>
      <x:c r="L612" s="87" t="str">
        <x:v>CROP_VERIFIED</x:v>
      </x:c>
      <x:c r="M612" s="87" t="str">
        <x:v>ORIGINAL_PACKAGE</x:v>
      </x:c>
      <x:c r="N612" s="87" t="str">
        <x:v>pages/VIS-EGKR-MATHB-W25-TASK-955-P007.png</x:v>
      </x:c>
      <x:c r="O612" s="87" t="str">
        <x:v>thumbnails/VIS-EGKR-MATHB-W25-TASK-955-P007.jpg</x:v>
      </x:c>
      <x:c r="P612" s="87" t="str">
        <x:v>28fa3ee5f83bc3df7a09a144c05af705bfc90f56b88f5cb5558a95a63210dc45</x:v>
      </x:c>
      <x:c r="Q612" s="30" t="str">
        <x:v>incoming/raw/recovery-drop-01/mathematics_base_egkr_winter_visual_assets_v095.zip!/pages/VIS-EGKR-MATHB-W25-TASK-955-P007.png</x:v>
      </x:c>
      <x:c r="R612" s="30" t="str">
        <x:v>MATCHED_ASSET</x:v>
      </x:c>
      <x:c r="S612" t="e">
        <x:f>HYPERLINK("visual_gallery/index.html#"&amp;A612,"Галерея")</x:f>
      </x:c>
    </x:row>
    <x:row r="613">
      <x:c r="A613" s="87" t="str">
        <x:v>VIS-EGKR-MATHB-W25-TASK-955-P008</x:v>
      </x:c>
      <x:c r="B613" s="30" t="str">
        <x:v>Математика (база)</x:v>
      </x:c>
      <x:c r="C613" s="30"/>
      <x:c r="D613" s="30" t="str">
        <x:v>955</x:v>
      </x:c>
      <x:c r="E613" s="87" t="str">
        <x:v>TASK</x:v>
      </x:c>
      <x:c r="F613" s="30" t="str">
        <x:v>ЕГКР по Математике 955 база.pdf</x:v>
      </x:c>
      <x:c r="G613" s="87" t="str">
        <x:v>8</x:v>
      </x:c>
      <x:c r="H613" s="87" t="str">
        <x:v>v0.95</x:v>
      </x:c>
      <x:c r="I613" s="87" t="str">
        <x:v>5</x:v>
      </x:c>
      <x:c r="J613" s="30" t="str">
        <x:v>VIS_ID</x:v>
      </x:c>
      <x:c r="K613" s="30" t="str">
        <x:v>EGKR-W25-MATHB-955-17, EGKR-W25-MATHB-955-18, EGKR-W25-MATHB-955-19, EGKR-W25-MATHB-955-20, EGKR-W25-MATHB-955-21</x:v>
      </x:c>
      <x:c r="L613" s="87" t="str">
        <x:v>CROP_VERIFIED</x:v>
      </x:c>
      <x:c r="M613" s="87" t="str">
        <x:v>ORIGINAL_PACKAGE</x:v>
      </x:c>
      <x:c r="N613" s="87" t="str">
        <x:v>pages/VIS-EGKR-MATHB-W25-TASK-955-P008.png</x:v>
      </x:c>
      <x:c r="O613" s="87" t="str">
        <x:v>thumbnails/VIS-EGKR-MATHB-W25-TASK-955-P008.jpg</x:v>
      </x:c>
      <x:c r="P613" s="87" t="str">
        <x:v>e01636400da173ea8023f7e1759261538eaf3ab3b4d33dc0494d4f0e8289c19f</x:v>
      </x:c>
      <x:c r="Q613" s="30" t="str">
        <x:v>incoming/raw/recovery-drop-01/mathematics_base_egkr_winter_visual_assets_v095.zip!/pages/VIS-EGKR-MATHB-W25-TASK-955-P008.png</x:v>
      </x:c>
      <x:c r="R613" s="30" t="str">
        <x:v>MATCHED_ASSET</x:v>
      </x:c>
      <x:c r="S613" t="e">
        <x:f>HYPERLINK("visual_gallery/index.html#"&amp;A613,"Галерея")</x:f>
      </x:c>
    </x:row>
    <x:row r="614">
      <x:c r="A614" s="87" t="str">
        <x:v>VIS-EGKR-MATHB-W25-TASK-957-P001</x:v>
      </x:c>
      <x:c r="B614" s="30" t="str"/>
      <x:c r="C614" s="30"/>
      <x:c r="D614" s="30" t="str">
        <x:v>957</x:v>
      </x:c>
      <x:c r="E614" s="87" t="str">
        <x:v>TASK</x:v>
      </x:c>
      <x:c r="F614" s="30" t="str">
        <x:v>ЕГКР по Математике 957 база.pdf</x:v>
      </x:c>
      <x:c r="G614" s="87" t="str">
        <x:v>1</x:v>
      </x:c>
      <x:c r="H614" s="87" t="str">
        <x:v>v0.95</x:v>
      </x:c>
      <x:c r="I614" s="87" t="str">
        <x:v>0</x:v>
      </x:c>
      <x:c r="J614" s="30" t="str"/>
      <x:c r="K614" s="30" t="str"/>
      <x:c r="L614" s="87" t="str">
        <x:v>CROP_VERIFIED</x:v>
      </x:c>
      <x:c r="M614" s="87" t="str">
        <x:v>ORIGINAL_PACKAGE</x:v>
      </x:c>
      <x:c r="N614" s="87" t="str">
        <x:v>pages/VIS-EGKR-MATHB-W25-TASK-957-P001.png</x:v>
      </x:c>
      <x:c r="O614" s="87" t="str">
        <x:v>thumbnails/VIS-EGKR-MATHB-W25-TASK-957-P001.jpg</x:v>
      </x:c>
      <x:c r="P614" s="87" t="str">
        <x:v>4973edcab83879a1287eb717ea64b3302c71f82ecc3e80ed1c0c4c29bcabf16f</x:v>
      </x:c>
      <x:c r="Q614" s="30" t="str">
        <x:v>incoming/raw/recovery-drop-01/mathematics_base_egkr_winter_visual_assets_v095.zip!/pages/VIS-EGKR-MATHB-W25-TASK-957-P001.png</x:v>
      </x:c>
      <x:c r="R614" s="30" t="str">
        <x:v>RESOLVED_UNLINKED_REGISTRY_VISUAL</x:v>
      </x:c>
      <x:c r="S614" t="e">
        <x:f>HYPERLINK("visual_gallery/index.html#"&amp;A614,"Галерея")</x:f>
      </x:c>
    </x:row>
    <x:row r="615">
      <x:c r="A615" s="87" t="str">
        <x:v>VIS-EGKR-MATHB-W25-TASK-957-P002</x:v>
      </x:c>
      <x:c r="B615" s="30" t="str">
        <x:v>Математика (база)</x:v>
      </x:c>
      <x:c r="C615" s="30"/>
      <x:c r="D615" s="30" t="str">
        <x:v>957</x:v>
      </x:c>
      <x:c r="E615" s="87" t="str">
        <x:v>TASK</x:v>
      </x:c>
      <x:c r="F615" s="30" t="str">
        <x:v>ЕГКР по Математике 957 база.pdf</x:v>
      </x:c>
      <x:c r="G615" s="87" t="str">
        <x:v>2</x:v>
      </x:c>
      <x:c r="H615" s="87" t="str">
        <x:v>v0.95</x:v>
      </x:c>
      <x:c r="I615" s="87" t="str">
        <x:v>2</x:v>
      </x:c>
      <x:c r="J615" s="30" t="str">
        <x:v>VIS_ID</x:v>
      </x:c>
      <x:c r="K615" s="30" t="str">
        <x:v>EGKR-W25-MATHB-957-01, EGKR-W25-MATHB-957-02</x:v>
      </x:c>
      <x:c r="L615" s="87" t="str">
        <x:v>CROP_VERIFIED</x:v>
      </x:c>
      <x:c r="M615" s="87" t="str">
        <x:v>ORIGINAL_PACKAGE</x:v>
      </x:c>
      <x:c r="N615" s="87" t="str">
        <x:v>pages/VIS-EGKR-MATHB-W25-TASK-957-P002.png</x:v>
      </x:c>
      <x:c r="O615" s="87" t="str">
        <x:v>thumbnails/VIS-EGKR-MATHB-W25-TASK-957-P002.jpg</x:v>
      </x:c>
      <x:c r="P615" s="87" t="str">
        <x:v>cb48147d68d0f272333da83655d7afa965546022a2d793f800fc8ebd20844414</x:v>
      </x:c>
      <x:c r="Q615" s="30" t="str">
        <x:v>incoming/raw/recovery-drop-01/mathematics_base_egkr_winter_visual_assets_v095.zip!/pages/VIS-EGKR-MATHB-W25-TASK-957-P002.png</x:v>
      </x:c>
      <x:c r="R615" s="30" t="str">
        <x:v>MATCHED_ASSET</x:v>
      </x:c>
      <x:c r="S615" t="e">
        <x:f>HYPERLINK("visual_gallery/index.html#"&amp;A615,"Галерея")</x:f>
      </x:c>
    </x:row>
    <x:row r="616">
      <x:c r="A616" s="87" t="str">
        <x:v>VIS-EGKR-MATHB-W25-TASK-957-P003</x:v>
      </x:c>
      <x:c r="B616" s="30" t="str">
        <x:v>Математика (база)</x:v>
      </x:c>
      <x:c r="C616" s="30"/>
      <x:c r="D616" s="30" t="str">
        <x:v>957</x:v>
      </x:c>
      <x:c r="E616" s="87" t="str">
        <x:v>TASK</x:v>
      </x:c>
      <x:c r="F616" s="30" t="str">
        <x:v>ЕГКР по Математике 957 база.pdf</x:v>
      </x:c>
      <x:c r="G616" s="87" t="str">
        <x:v>3</x:v>
      </x:c>
      <x:c r="H616" s="87" t="str">
        <x:v>v0.95</x:v>
      </x:c>
      <x:c r="I616" s="87" t="str">
        <x:v>3</x:v>
      </x:c>
      <x:c r="J616" s="30" t="str">
        <x:v>VIS_ID</x:v>
      </x:c>
      <x:c r="K616" s="30" t="str">
        <x:v>EGKR-W25-MATHB-957-03, EGKR-W25-MATHB-957-04, EGKR-W25-MATHB-957-05</x:v>
      </x:c>
      <x:c r="L616" s="87" t="str">
        <x:v>CROP_VERIFIED</x:v>
      </x:c>
      <x:c r="M616" s="87" t="str">
        <x:v>ORIGINAL_PACKAGE</x:v>
      </x:c>
      <x:c r="N616" s="87" t="str">
        <x:v>pages/VIS-EGKR-MATHB-W25-TASK-957-P003.png</x:v>
      </x:c>
      <x:c r="O616" s="87" t="str">
        <x:v>thumbnails/VIS-EGKR-MATHB-W25-TASK-957-P003.jpg</x:v>
      </x:c>
      <x:c r="P616" s="87" t="str">
        <x:v>15a10b5eb34b6ff77eb1eb96b424eea372dcd4c54f28d00d32010336331c3f5d</x:v>
      </x:c>
      <x:c r="Q616" s="30" t="str">
        <x:v>incoming/raw/recovery-drop-01/mathematics_base_egkr_winter_visual_assets_v095.zip!/pages/VIS-EGKR-MATHB-W25-TASK-957-P003.png</x:v>
      </x:c>
      <x:c r="R616" s="30" t="str">
        <x:v>MATCHED_ASSET</x:v>
      </x:c>
      <x:c r="S616" t="e">
        <x:f>HYPERLINK("visual_gallery/index.html#"&amp;A616,"Галерея")</x:f>
      </x:c>
    </x:row>
    <x:row r="617">
      <x:c r="A617" s="87" t="str">
        <x:v>VIS-EGKR-MATHB-W25-TASK-957-P004</x:v>
      </x:c>
      <x:c r="B617" s="30" t="str">
        <x:v>Математика (база)</x:v>
      </x:c>
      <x:c r="C617" s="30"/>
      <x:c r="D617" s="30" t="str">
        <x:v>957</x:v>
      </x:c>
      <x:c r="E617" s="87" t="str">
        <x:v>TASK</x:v>
      </x:c>
      <x:c r="F617" s="30" t="str">
        <x:v>ЕГКР по Математике 957 база.pdf</x:v>
      </x:c>
      <x:c r="G617" s="87" t="str">
        <x:v>4</x:v>
      </x:c>
      <x:c r="H617" s="87" t="str">
        <x:v>v0.95</x:v>
      </x:c>
      <x:c r="I617" s="87" t="str">
        <x:v>1</x:v>
      </x:c>
      <x:c r="J617" s="30" t="str">
        <x:v>VIS_ID</x:v>
      </x:c>
      <x:c r="K617" s="30" t="str">
        <x:v>EGKR-W25-MATHB-957-06</x:v>
      </x:c>
      <x:c r="L617" s="87" t="str">
        <x:v>CROP_VERIFIED</x:v>
      </x:c>
      <x:c r="M617" s="87" t="str">
        <x:v>ORIGINAL_PACKAGE</x:v>
      </x:c>
      <x:c r="N617" s="87" t="str">
        <x:v>pages/VIS-EGKR-MATHB-W25-TASK-957-P004.png</x:v>
      </x:c>
      <x:c r="O617" s="87" t="str">
        <x:v>thumbnails/VIS-EGKR-MATHB-W25-TASK-957-P004.jpg</x:v>
      </x:c>
      <x:c r="P617" s="87" t="str">
        <x:v>0659ddd3f00aa88fa3b05b9f5361d82089786219a58f16f0952852e35691bc4a</x:v>
      </x:c>
      <x:c r="Q617" s="30" t="str">
        <x:v>incoming/raw/recovery-drop-01/mathematics_base_egkr_winter_visual_assets_v095.zip!/pages/VIS-EGKR-MATHB-W25-TASK-957-P004.png</x:v>
      </x:c>
      <x:c r="R617" s="30" t="str">
        <x:v>MATCHED_ASSET</x:v>
      </x:c>
      <x:c r="S617" t="e">
        <x:f>HYPERLINK("visual_gallery/index.html#"&amp;A617,"Галерея")</x:f>
      </x:c>
    </x:row>
    <x:row r="618">
      <x:c r="A618" s="87" t="str">
        <x:v>VIS-EGKR-MATHB-W25-TASK-957-P005</x:v>
      </x:c>
      <x:c r="B618" s="30" t="str">
        <x:v>Математика (база)</x:v>
      </x:c>
      <x:c r="C618" s="30"/>
      <x:c r="D618" s="30" t="str">
        <x:v>957</x:v>
      </x:c>
      <x:c r="E618" s="87" t="str">
        <x:v>TASK</x:v>
      </x:c>
      <x:c r="F618" s="30" t="str">
        <x:v>ЕГКР по Математике 957 база.pdf</x:v>
      </x:c>
      <x:c r="G618" s="87" t="str">
        <x:v>5</x:v>
      </x:c>
      <x:c r="H618" s="87" t="str">
        <x:v>v0.95</x:v>
      </x:c>
      <x:c r="I618" s="87" t="str">
        <x:v>1</x:v>
      </x:c>
      <x:c r="J618" s="30" t="str">
        <x:v>VIS_ID</x:v>
      </x:c>
      <x:c r="K618" s="30" t="str">
        <x:v>EGKR-W25-MATHB-957-07</x:v>
      </x:c>
      <x:c r="L618" s="87" t="str">
        <x:v>CROP_VERIFIED</x:v>
      </x:c>
      <x:c r="M618" s="87" t="str">
        <x:v>ORIGINAL_PACKAGE</x:v>
      </x:c>
      <x:c r="N618" s="87" t="str">
        <x:v>pages/VIS-EGKR-MATHB-W25-TASK-957-P005.png</x:v>
      </x:c>
      <x:c r="O618" s="87" t="str">
        <x:v>thumbnails/VIS-EGKR-MATHB-W25-TASK-957-P005.jpg</x:v>
      </x:c>
      <x:c r="P618" s="87" t="str">
        <x:v>0ae6bcb67c01fa69c3e12899894abe4ba82c1cd951dfe3e91774325843c1f401</x:v>
      </x:c>
      <x:c r="Q618" s="30" t="str">
        <x:v>incoming/raw/recovery-drop-01/mathematics_base_egkr_winter_visual_assets_v095.zip!/pages/VIS-EGKR-MATHB-W25-TASK-957-P005.png</x:v>
      </x:c>
      <x:c r="R618" s="30" t="str">
        <x:v>MATCHED_ASSET</x:v>
      </x:c>
      <x:c r="S618" t="e">
        <x:f>HYPERLINK("visual_gallery/index.html#"&amp;A618,"Галерея")</x:f>
      </x:c>
    </x:row>
    <x:row r="619">
      <x:c r="A619" s="87" t="str">
        <x:v>VIS-EGKR-MATHB-W25-TASK-957-P006</x:v>
      </x:c>
      <x:c r="B619" s="30" t="str">
        <x:v>Математика (база)</x:v>
      </x:c>
      <x:c r="C619" s="30"/>
      <x:c r="D619" s="30" t="str">
        <x:v>957</x:v>
      </x:c>
      <x:c r="E619" s="87" t="str">
        <x:v>TASK</x:v>
      </x:c>
      <x:c r="F619" s="30" t="str">
        <x:v>ЕГКР по Математике 957 база.pdf</x:v>
      </x:c>
      <x:c r="G619" s="87" t="str">
        <x:v>6</x:v>
      </x:c>
      <x:c r="H619" s="87" t="str">
        <x:v>v0.95</x:v>
      </x:c>
      <x:c r="I619" s="87" t="str">
        <x:v>3</x:v>
      </x:c>
      <x:c r="J619" s="30" t="str">
        <x:v>VIS_ID</x:v>
      </x:c>
      <x:c r="K619" s="30" t="str">
        <x:v>EGKR-W25-MATHB-957-08, EGKR-W25-MATHB-957-09, EGKR-W25-MATHB-957-10</x:v>
      </x:c>
      <x:c r="L619" s="87" t="str">
        <x:v>CROP_VERIFIED</x:v>
      </x:c>
      <x:c r="M619" s="87" t="str">
        <x:v>ORIGINAL_PACKAGE</x:v>
      </x:c>
      <x:c r="N619" s="87" t="str">
        <x:v>pages/VIS-EGKR-MATHB-W25-TASK-957-P006.png</x:v>
      </x:c>
      <x:c r="O619" s="87" t="str">
        <x:v>thumbnails/VIS-EGKR-MATHB-W25-TASK-957-P006.jpg</x:v>
      </x:c>
      <x:c r="P619" s="87" t="str">
        <x:v>7634c7b21937f24432a7143e140a4069630ef93681bfacdd8b37b13e4e98539e</x:v>
      </x:c>
      <x:c r="Q619" s="30" t="str">
        <x:v>incoming/raw/recovery-drop-01/mathematics_base_egkr_winter_visual_assets_v095.zip!/pages/VIS-EGKR-MATHB-W25-TASK-957-P006.png</x:v>
      </x:c>
      <x:c r="R619" s="30" t="str">
        <x:v>MATCHED_ASSET</x:v>
      </x:c>
      <x:c r="S619" t="e">
        <x:f>HYPERLINK("visual_gallery/index.html#"&amp;A619,"Галерея")</x:f>
      </x:c>
    </x:row>
    <x:row r="620">
      <x:c r="A620" s="87" t="str">
        <x:v>VIS-EGKR-MATHB-W25-TASK-957-P007</x:v>
      </x:c>
      <x:c r="B620" s="30" t="str">
        <x:v>Математика (база)</x:v>
      </x:c>
      <x:c r="C620" s="30"/>
      <x:c r="D620" s="30" t="str">
        <x:v>957</x:v>
      </x:c>
      <x:c r="E620" s="87" t="str">
        <x:v>TASK</x:v>
      </x:c>
      <x:c r="F620" s="30" t="str">
        <x:v>ЕГКР по Математике 957 база.pdf</x:v>
      </x:c>
      <x:c r="G620" s="87" t="str">
        <x:v>7</x:v>
      </x:c>
      <x:c r="H620" s="87" t="str">
        <x:v>v0.95</x:v>
      </x:c>
      <x:c r="I620" s="87" t="str">
        <x:v>6</x:v>
      </x:c>
      <x:c r="J620" s="30" t="str">
        <x:v>VIS_ID</x:v>
      </x:c>
      <x:c r="K620" s="30" t="str">
        <x:v>EGKR-W25-MATHB-957-11, EGKR-W25-MATHB-957-12, EGKR-W25-MATHB-957-13, EGKR-W25-MATHB-957-14, EGKR-W25-MATHB-957-15, EGKR-W25-MATHB-957-16</x:v>
      </x:c>
      <x:c r="L620" s="87" t="str">
        <x:v>CROP_VERIFIED</x:v>
      </x:c>
      <x:c r="M620" s="87" t="str">
        <x:v>ORIGINAL_PACKAGE</x:v>
      </x:c>
      <x:c r="N620" s="87" t="str">
        <x:v>pages/VIS-EGKR-MATHB-W25-TASK-957-P007.png</x:v>
      </x:c>
      <x:c r="O620" s="87" t="str">
        <x:v>thumbnails/VIS-EGKR-MATHB-W25-TASK-957-P007.jpg</x:v>
      </x:c>
      <x:c r="P620" s="87" t="str">
        <x:v>4db9be5a05b90a139188b129b8e8d1849cb210f09d5731d17c68b3acb6764229</x:v>
      </x:c>
      <x:c r="Q620" s="30" t="str">
        <x:v>incoming/raw/recovery-drop-01/mathematics_base_egkr_winter_visual_assets_v095.zip!/pages/VIS-EGKR-MATHB-W25-TASK-957-P007.png</x:v>
      </x:c>
      <x:c r="R620" s="30" t="str">
        <x:v>MATCHED_ASSET</x:v>
      </x:c>
      <x:c r="S620" t="e">
        <x:f>HYPERLINK("visual_gallery/index.html#"&amp;A620,"Галерея")</x:f>
      </x:c>
    </x:row>
    <x:row r="621">
      <x:c r="A621" s="87" t="str">
        <x:v>VIS-EGKR-MATHB-W25-TASK-957-P008</x:v>
      </x:c>
      <x:c r="B621" s="30" t="str">
        <x:v>Математика (база)</x:v>
      </x:c>
      <x:c r="C621" s="30"/>
      <x:c r="D621" s="30" t="str">
        <x:v>957</x:v>
      </x:c>
      <x:c r="E621" s="87" t="str">
        <x:v>TASK</x:v>
      </x:c>
      <x:c r="F621" s="30" t="str">
        <x:v>ЕГКР по Математике 957 база.pdf</x:v>
      </x:c>
      <x:c r="G621" s="87" t="str">
        <x:v>8</x:v>
      </x:c>
      <x:c r="H621" s="87" t="str">
        <x:v>v0.95</x:v>
      </x:c>
      <x:c r="I621" s="87" t="str">
        <x:v>5</x:v>
      </x:c>
      <x:c r="J621" s="30" t="str">
        <x:v>VIS_ID</x:v>
      </x:c>
      <x:c r="K621" s="30" t="str">
        <x:v>EGKR-W25-MATHB-957-17, EGKR-W25-MATHB-957-18, EGKR-W25-MATHB-957-19, EGKR-W25-MATHB-957-20, EGKR-W25-MATHB-957-21</x:v>
      </x:c>
      <x:c r="L621" s="87" t="str">
        <x:v>CROP_VERIFIED</x:v>
      </x:c>
      <x:c r="M621" s="87" t="str">
        <x:v>ORIGINAL_PACKAGE</x:v>
      </x:c>
      <x:c r="N621" s="87" t="str">
        <x:v>pages/VIS-EGKR-MATHB-W25-TASK-957-P008.png</x:v>
      </x:c>
      <x:c r="O621" s="87" t="str">
        <x:v>thumbnails/VIS-EGKR-MATHB-W25-TASK-957-P008.jpg</x:v>
      </x:c>
      <x:c r="P621" s="87" t="str">
        <x:v>3164811887d3ce2d02a1595433558bbc2a9a6bb4a9a966bdea0c6b1b2ff937ed</x:v>
      </x:c>
      <x:c r="Q621" s="30" t="str">
        <x:v>incoming/raw/recovery-drop-01/mathematics_base_egkr_winter_visual_assets_v095.zip!/pages/VIS-EGKR-MATHB-W25-TASK-957-P008.png</x:v>
      </x:c>
      <x:c r="R621" s="30" t="str">
        <x:v>MATCHED_ASSET</x:v>
      </x:c>
      <x:c r="S621" t="e">
        <x:f>HYPERLINK("visual_gallery/index.html#"&amp;A621,"Галерея")</x:f>
      </x:c>
    </x:row>
    <x:row r="622">
      <x:c r="A622" s="87" t="str">
        <x:v>VIS-EGKR-MATHP-S26-ANSWERDOC-P001</x:v>
      </x:c>
      <x:c r="B622" s="30" t="str">
        <x:v>Математика (профиль)</x:v>
      </x:c>
      <x:c r="C622" s="30"/>
      <x:c r="D622" s="30" t="str">
        <x:v>958–964</x:v>
      </x:c>
      <x:c r="E622" s="87" t="str">
        <x:v>SECONDARY_ANSWER_AND_SOLUTION_SOURCE</x:v>
      </x:c>
      <x:c r="F622" s="30" t="str">
        <x:v>Ответы профиль (1).docx</x:v>
      </x:c>
      <x:c r="G622" s="87" t="str">
        <x:v>1</x:v>
      </x:c>
      <x:c r="H622" s="87" t="str">
        <x:v>v1.03</x:v>
      </x:c>
      <x:c r="I622" s="87" t="str">
        <x:v>24</x:v>
      </x:c>
      <x:c r="J622" s="30" t="str">
        <x:v>VIS_KEY / MODEL</x:v>
      </x:c>
      <x:c r="K622" s="30" t="str">
        <x:v>EGKR-S26-MATHP-961-01, EGKR-S26-MATHP-961-02, EGKR-S26-MATHP-961-03, EGKR-S26-MATHP-961-04, EGKR-S26-MATHP-961-05, EGKR-S26-MATHP-961-06, EGKR-S26-MATHP-961-07, EGKR-S26-MATHP-961-08…</x:v>
      </x:c>
      <x:c r="L622" s="87" t="str">
        <x:v>CROP_VERIFIED</x:v>
      </x:c>
      <x:c r="M622" s="87" t="str">
        <x:v>ORIGINAL_PACKAGE</x:v>
      </x:c>
      <x:c r="N622" s="87" t="str">
        <x:v>pages/VIS-EGKR-MATHP-S26-ANSWERDOC-P001.png</x:v>
      </x:c>
      <x:c r="O622" s="87" t="str">
        <x:v>thumbnails/VIS-EGKR-MATHP-S26-ANSWERDOC-P001.jpg</x:v>
      </x:c>
      <x:c r="P622" s="87" t="str">
        <x:v>9504194634b695f53fdf85fa71d2f30deabe4ca3ef2b817ed2b05fdf65f9ac13</x:v>
      </x:c>
      <x:c r="Q622" s="30" t="str">
        <x:v>incoming/raw/recovery-drop-01/mathematics_profile_egkr_spring_visual_assets_v103.zip!/pages/VIS-EGKR-MATHP-S26-ANSWERDOC-P001.png</x:v>
      </x:c>
      <x:c r="R622" s="30" t="str">
        <x:v>MATCHED_ASSET</x:v>
      </x:c>
      <x:c r="S622" t="e">
        <x:f>HYPERLINK("visual_gallery/index.html#"&amp;A622,"Галерея")</x:f>
      </x:c>
    </x:row>
    <x:row r="623">
      <x:c r="A623" s="87" t="str">
        <x:v>VIS-EGKR-MATHP-S26-ANSWERDOC-P002</x:v>
      </x:c>
      <x:c r="B623" s="30" t="str">
        <x:v>Математика (профиль)</x:v>
      </x:c>
      <x:c r="C623" s="30"/>
      <x:c r="D623" s="30" t="str">
        <x:v>958–964</x:v>
      </x:c>
      <x:c r="E623" s="87" t="str">
        <x:v>SECONDARY_ANSWER_AND_SOLUTION_SOURCE</x:v>
      </x:c>
      <x:c r="F623" s="30" t="str">
        <x:v>Ответы профиль (1).docx</x:v>
      </x:c>
      <x:c r="G623" s="87" t="str">
        <x:v>2</x:v>
      </x:c>
      <x:c r="H623" s="87" t="str">
        <x:v>v1.03</x:v>
      </x:c>
      <x:c r="I623" s="87" t="str">
        <x:v>4</x:v>
      </x:c>
      <x:c r="J623" s="30" t="str">
        <x:v>VIS_KEY / MODEL</x:v>
      </x:c>
      <x:c r="K623" s="30" t="str">
        <x:v>EGKR-S26-MATHP-961-13, EGKR-S26-MATHP-961-14, EGKR-S26-MATHP-961-15, EGKR-S26-MATHP-961-16</x:v>
      </x:c>
      <x:c r="L623" s="87" t="str">
        <x:v>CROP_VERIFIED</x:v>
      </x:c>
      <x:c r="M623" s="87" t="str">
        <x:v>ORIGINAL_PACKAGE</x:v>
      </x:c>
      <x:c r="N623" s="87" t="str">
        <x:v>pages/VIS-EGKR-MATHP-S26-ANSWERDOC-P002.png</x:v>
      </x:c>
      <x:c r="O623" s="87" t="str">
        <x:v>thumbnails/VIS-EGKR-MATHP-S26-ANSWERDOC-P002.jpg</x:v>
      </x:c>
      <x:c r="P623" s="87" t="str">
        <x:v>f6b46a72263c0514bd64a5e27a83eca6520e4ef45b3d297e8275c10a0a18b296</x:v>
      </x:c>
      <x:c r="Q623" s="30" t="str">
        <x:v>incoming/raw/recovery-drop-01/mathematics_profile_egkr_spring_visual_assets_v103.zip!/pages/VIS-EGKR-MATHP-S26-ANSWERDOC-P002.png</x:v>
      </x:c>
      <x:c r="R623" s="30" t="str">
        <x:v>MATCHED_ASSET</x:v>
      </x:c>
      <x:c r="S623" t="e">
        <x:f>HYPERLINK("visual_gallery/index.html#"&amp;A623,"Галерея")</x:f>
      </x:c>
    </x:row>
    <x:row r="624">
      <x:c r="A624" s="87" t="str">
        <x:v>VIS-EGKR-MATHP-S26-ANSWERDOC-P003</x:v>
      </x:c>
      <x:c r="B624" s="30" t="str">
        <x:v>Математика (профиль)</x:v>
      </x:c>
      <x:c r="C624" s="30"/>
      <x:c r="D624" s="30" t="str">
        <x:v>958–964</x:v>
      </x:c>
      <x:c r="E624" s="87" t="str">
        <x:v>SECONDARY_ANSWER_AND_SOLUTION_SOURCE</x:v>
      </x:c>
      <x:c r="F624" s="30" t="str">
        <x:v>Ответы профиль (1).docx</x:v>
      </x:c>
      <x:c r="G624" s="87" t="str">
        <x:v>3</x:v>
      </x:c>
      <x:c r="H624" s="87" t="str">
        <x:v>v1.03</x:v>
      </x:c>
      <x:c r="I624" s="87" t="str">
        <x:v>4</x:v>
      </x:c>
      <x:c r="J624" s="30" t="str">
        <x:v>VIS_KEY / MODEL</x:v>
      </x:c>
      <x:c r="K624" s="30" t="str">
        <x:v>EGKR-S26-MATHP-961-13, EGKR-S26-MATHP-961-14, EGKR-S26-MATHP-961-15, EGKR-S26-MATHP-961-16</x:v>
      </x:c>
      <x:c r="L624" s="87" t="str">
        <x:v>CROP_VERIFIED</x:v>
      </x:c>
      <x:c r="M624" s="87" t="str">
        <x:v>ORIGINAL_PACKAGE</x:v>
      </x:c>
      <x:c r="N624" s="87" t="str">
        <x:v>pages/VIS-EGKR-MATHP-S26-ANSWERDOC-P003.png</x:v>
      </x:c>
      <x:c r="O624" s="87" t="str">
        <x:v>thumbnails/VIS-EGKR-MATHP-S26-ANSWERDOC-P003.jpg</x:v>
      </x:c>
      <x:c r="P624" s="87" t="str">
        <x:v>8c86e0d037e0e0f0fd8decb8ffc37c200fb24274d86793d795a4ed4dd55ec987</x:v>
      </x:c>
      <x:c r="Q624" s="30" t="str">
        <x:v>incoming/raw/recovery-drop-01/mathematics_profile_egkr_spring_visual_assets_v103.zip!/pages/VIS-EGKR-MATHP-S26-ANSWERDOC-P003.png</x:v>
      </x:c>
      <x:c r="R624" s="30" t="str">
        <x:v>MATCHED_ASSET</x:v>
      </x:c>
      <x:c r="S624" t="e">
        <x:f>HYPERLINK("visual_gallery/index.html#"&amp;A624,"Галерея")</x:f>
      </x:c>
    </x:row>
    <x:row r="625">
      <x:c r="A625" s="87" t="str">
        <x:v>VIS-EGKR-MATHP-S26-ANSWERDOC-P004</x:v>
      </x:c>
      <x:c r="B625" s="30" t="str">
        <x:v>Математика (профиль)</x:v>
      </x:c>
      <x:c r="C625" s="30"/>
      <x:c r="D625" s="30" t="str">
        <x:v>958–964</x:v>
      </x:c>
      <x:c r="E625" s="87" t="str">
        <x:v>SECONDARY_ANSWER_AND_SOLUTION_SOURCE</x:v>
      </x:c>
      <x:c r="F625" s="30" t="str">
        <x:v>Ответы профиль (1).docx</x:v>
      </x:c>
      <x:c r="G625" s="87" t="str">
        <x:v>4</x:v>
      </x:c>
      <x:c r="H625" s="87" t="str">
        <x:v>v1.03</x:v>
      </x:c>
      <x:c r="I625" s="87" t="str">
        <x:v>4</x:v>
      </x:c>
      <x:c r="J625" s="30" t="str">
        <x:v>VIS_KEY / MODEL</x:v>
      </x:c>
      <x:c r="K625" s="30" t="str">
        <x:v>EGKR-S26-MATHP-961-13, EGKR-S26-MATHP-961-14, EGKR-S26-MATHP-961-15, EGKR-S26-MATHP-961-16</x:v>
      </x:c>
      <x:c r="L625" s="87" t="str">
        <x:v>CROP_VERIFIED</x:v>
      </x:c>
      <x:c r="M625" s="87" t="str">
        <x:v>ORIGINAL_PACKAGE</x:v>
      </x:c>
      <x:c r="N625" s="87" t="str">
        <x:v>pages/VIS-EGKR-MATHP-S26-ANSWERDOC-P004.png</x:v>
      </x:c>
      <x:c r="O625" s="87" t="str">
        <x:v>thumbnails/VIS-EGKR-MATHP-S26-ANSWERDOC-P004.jpg</x:v>
      </x:c>
      <x:c r="P625" s="87" t="str">
        <x:v>e10b2a97643b16533751b323007a7ea0a888375f8df853e2df0da067de626175</x:v>
      </x:c>
      <x:c r="Q625" s="30" t="str">
        <x:v>incoming/raw/recovery-drop-01/mathematics_profile_egkr_spring_visual_assets_v103.zip!/pages/VIS-EGKR-MATHP-S26-ANSWERDOC-P004.png</x:v>
      </x:c>
      <x:c r="R625" s="30" t="str">
        <x:v>MATCHED_ASSET</x:v>
      </x:c>
      <x:c r="S625" t="e">
        <x:f>HYPERLINK("visual_gallery/index.html#"&amp;A625,"Галерея")</x:f>
      </x:c>
    </x:row>
    <x:row r="626">
      <x:c r="A626" s="87" t="str">
        <x:v>VIS-EGKR-MATHP-S26-ANSWERDOC-P005</x:v>
      </x:c>
      <x:c r="B626" s="30" t="str">
        <x:v>Математика (профиль)</x:v>
      </x:c>
      <x:c r="C626" s="30"/>
      <x:c r="D626" s="30" t="str">
        <x:v>958–964</x:v>
      </x:c>
      <x:c r="E626" s="87" t="str">
        <x:v>SECONDARY_ANSWER_AND_SOLUTION_SOURCE</x:v>
      </x:c>
      <x:c r="F626" s="30" t="str">
        <x:v>Ответы профиль (1).docx</x:v>
      </x:c>
      <x:c r="G626" s="87" t="str">
        <x:v>5</x:v>
      </x:c>
      <x:c r="H626" s="87" t="str">
        <x:v>v1.03</x:v>
      </x:c>
      <x:c r="I626" s="87" t="str">
        <x:v>19</x:v>
      </x:c>
      <x:c r="J626" s="30" t="str">
        <x:v>VIS_KEY / MODEL</x:v>
      </x:c>
      <x:c r="K626" s="30" t="str">
        <x:v>EGKR-S26-MATHP-963-01, EGKR-S26-MATHP-963-02, EGKR-S26-MATHP-963-03, EGKR-S26-MATHP-963-04, EGKR-S26-MATHP-963-05, EGKR-S26-MATHP-963-06, EGKR-S26-MATHP-963-07, EGKR-S26-MATHP-963-08…</x:v>
      </x:c>
      <x:c r="L626" s="87" t="str">
        <x:v>CROP_VERIFIED</x:v>
      </x:c>
      <x:c r="M626" s="87" t="str">
        <x:v>ORIGINAL_PACKAGE</x:v>
      </x:c>
      <x:c r="N626" s="87" t="str">
        <x:v>pages/VIS-EGKR-MATHP-S26-ANSWERDOC-P005.png</x:v>
      </x:c>
      <x:c r="O626" s="87" t="str">
        <x:v>thumbnails/VIS-EGKR-MATHP-S26-ANSWERDOC-P005.jpg</x:v>
      </x:c>
      <x:c r="P626" s="87" t="str">
        <x:v>c82a9fa8ec0eea5baf735a7245b9792840acf1883c354eab49a4bcdb72a0a29e</x:v>
      </x:c>
      <x:c r="Q626" s="30" t="str">
        <x:v>incoming/raw/recovery-drop-01/mathematics_profile_egkr_spring_visual_assets_v103.zip!/pages/VIS-EGKR-MATHP-S26-ANSWERDOC-P005.png</x:v>
      </x:c>
      <x:c r="R626" s="30" t="str">
        <x:v>MATCHED_ASSET</x:v>
      </x:c>
      <x:c r="S626" t="e">
        <x:f>HYPERLINK("visual_gallery/index.html#"&amp;A626,"Галерея")</x:f>
      </x:c>
    </x:row>
    <x:row r="627">
      <x:c r="A627" s="87" t="str">
        <x:v>VIS-EGKR-MATHP-S26-ANSWERDOC-P006</x:v>
      </x:c>
      <x:c r="B627" s="30" t="str">
        <x:v>Математика (профиль)</x:v>
      </x:c>
      <x:c r="C627" s="30"/>
      <x:c r="D627" s="30" t="str">
        <x:v>958–964</x:v>
      </x:c>
      <x:c r="E627" s="87" t="str">
        <x:v>SECONDARY_ANSWER_AND_SOLUTION_SOURCE</x:v>
      </x:c>
      <x:c r="F627" s="30" t="str">
        <x:v>Ответы профиль (1).docx</x:v>
      </x:c>
      <x:c r="G627" s="87" t="str">
        <x:v>6</x:v>
      </x:c>
      <x:c r="H627" s="87" t="str">
        <x:v>v1.03</x:v>
      </x:c>
      <x:c r="I627" s="87" t="str">
        <x:v>7</x:v>
      </x:c>
      <x:c r="J627" s="30" t="str">
        <x:v>VIS_KEY / MODEL</x:v>
      </x:c>
      <x:c r="K627" s="30" t="str">
        <x:v>EGKR-S26-MATHP-963-13, EGKR-S26-MATHP-963-14, EGKR-S26-MATHP-963-15, EGKR-S26-MATHP-963-16, EGKR-S26-MATHP-963-17, EGKR-S26-MATHP-963-18, EGKR-S26-MATHP-963-19</x:v>
      </x:c>
      <x:c r="L627" s="87" t="str">
        <x:v>CROP_VERIFIED</x:v>
      </x:c>
      <x:c r="M627" s="87" t="str">
        <x:v>ORIGINAL_PACKAGE</x:v>
      </x:c>
      <x:c r="N627" s="87" t="str">
        <x:v>pages/VIS-EGKR-MATHP-S26-ANSWERDOC-P006.png</x:v>
      </x:c>
      <x:c r="O627" s="87" t="str">
        <x:v>thumbnails/VIS-EGKR-MATHP-S26-ANSWERDOC-P006.jpg</x:v>
      </x:c>
      <x:c r="P627" s="87" t="str">
        <x:v>29cef67ab2c2802caaa2c99eb666c5ad3d906f0edb83c43b06c20d863eef8faf</x:v>
      </x:c>
      <x:c r="Q627" s="30" t="str">
        <x:v>incoming/raw/recovery-drop-01/mathematics_profile_egkr_spring_visual_assets_v103.zip!/pages/VIS-EGKR-MATHP-S26-ANSWERDOC-P006.png</x:v>
      </x:c>
      <x:c r="R627" s="30" t="str">
        <x:v>MATCHED_ASSET</x:v>
      </x:c>
      <x:c r="S627" t="e">
        <x:f>HYPERLINK("visual_gallery/index.html#"&amp;A627,"Галерея")</x:f>
      </x:c>
    </x:row>
    <x:row r="628">
      <x:c r="A628" s="87" t="str">
        <x:v>VIS-EGKR-MATHP-S26-ANSWERDOC-P007</x:v>
      </x:c>
      <x:c r="B628" s="30" t="str">
        <x:v>Математика (профиль)</x:v>
      </x:c>
      <x:c r="C628" s="30"/>
      <x:c r="D628" s="30" t="str">
        <x:v>958–964</x:v>
      </x:c>
      <x:c r="E628" s="87" t="str">
        <x:v>SECONDARY_ANSWER_AND_SOLUTION_SOURCE</x:v>
      </x:c>
      <x:c r="F628" s="30" t="str">
        <x:v>Ответы профиль (1).docx</x:v>
      </x:c>
      <x:c r="G628" s="87" t="str">
        <x:v>7</x:v>
      </x:c>
      <x:c r="H628" s="87" t="str">
        <x:v>v1.03</x:v>
      </x:c>
      <x:c r="I628" s="87" t="str">
        <x:v>19</x:v>
      </x:c>
      <x:c r="J628" s="30" t="str">
        <x:v>VIS_KEY / MODEL</x:v>
      </x:c>
      <x:c r="K628" s="30" t="str">
        <x:v>EGKR-S26-MATHP-959-01, EGKR-S26-MATHP-959-02, EGKR-S26-MATHP-959-03, EGKR-S26-MATHP-959-04, EGKR-S26-MATHP-959-05, EGKR-S26-MATHP-959-06, EGKR-S26-MATHP-959-07, EGKR-S26-MATHP-959-08…</x:v>
      </x:c>
      <x:c r="L628" s="87" t="str">
        <x:v>CROP_VERIFIED</x:v>
      </x:c>
      <x:c r="M628" s="87" t="str">
        <x:v>ORIGINAL_PACKAGE</x:v>
      </x:c>
      <x:c r="N628" s="87" t="str">
        <x:v>pages/VIS-EGKR-MATHP-S26-ANSWERDOC-P007.png</x:v>
      </x:c>
      <x:c r="O628" s="87" t="str">
        <x:v>thumbnails/VIS-EGKR-MATHP-S26-ANSWERDOC-P007.jpg</x:v>
      </x:c>
      <x:c r="P628" s="87" t="str">
        <x:v>3ae0e17e75ac97c92fd1d2d8613e12ad36d482b5def8c0fbed764837d0b05196</x:v>
      </x:c>
      <x:c r="Q628" s="30" t="str">
        <x:v>incoming/raw/recovery-drop-01/mathematics_profile_egkr_spring_visual_assets_v103.zip!/pages/VIS-EGKR-MATHP-S26-ANSWERDOC-P007.png</x:v>
      </x:c>
      <x:c r="R628" s="30" t="str">
        <x:v>MATCHED_ASSET</x:v>
      </x:c>
      <x:c r="S628" t="e">
        <x:f>HYPERLINK("visual_gallery/index.html#"&amp;A628,"Галерея")</x:f>
      </x:c>
    </x:row>
    <x:row r="629">
      <x:c r="A629" s="87" t="str">
        <x:v>VIS-EGKR-MATHP-S26-ANSWERDOC-P008</x:v>
      </x:c>
      <x:c r="B629" s="30" t="str">
        <x:v>Математика (профиль)</x:v>
      </x:c>
      <x:c r="C629" s="30"/>
      <x:c r="D629" s="30" t="str">
        <x:v>958–964</x:v>
      </x:c>
      <x:c r="E629" s="87" t="str">
        <x:v>SECONDARY_ANSWER_AND_SOLUTION_SOURCE</x:v>
      </x:c>
      <x:c r="F629" s="30" t="str">
        <x:v>Ответы профиль (1).docx</x:v>
      </x:c>
      <x:c r="G629" s="87" t="str">
        <x:v>8</x:v>
      </x:c>
      <x:c r="H629" s="87" t="str">
        <x:v>v1.03</x:v>
      </x:c>
      <x:c r="I629" s="87" t="str">
        <x:v>36</x:v>
      </x:c>
      <x:c r="J629" s="30" t="str">
        <x:v>VIS_KEY / MODEL</x:v>
      </x:c>
      <x:c r="K629" s="30" t="str">
        <x:v>EGKR-S26-MATHP-959-01, EGKR-S26-MATHP-959-02, EGKR-S26-MATHP-959-03, EGKR-S26-MATHP-959-04, EGKR-S26-MATHP-959-05, EGKR-S26-MATHP-959-06, EGKR-S26-MATHP-959-07, EGKR-S26-MATHP-959-08…</x:v>
      </x:c>
      <x:c r="L629" s="87" t="str">
        <x:v>CROP_VERIFIED</x:v>
      </x:c>
      <x:c r="M629" s="87" t="str">
        <x:v>ORIGINAL_PACKAGE</x:v>
      </x:c>
      <x:c r="N629" s="87" t="str">
        <x:v>pages/VIS-EGKR-MATHP-S26-ANSWERDOC-P008.png</x:v>
      </x:c>
      <x:c r="O629" s="87" t="str">
        <x:v>thumbnails/VIS-EGKR-MATHP-S26-ANSWERDOC-P008.jpg</x:v>
      </x:c>
      <x:c r="P629" s="87" t="str">
        <x:v>7c5164cf5a38ebc1f5b0b4f7702008eeb0c4886d0dd30114189b42537761aae0</x:v>
      </x:c>
      <x:c r="Q629" s="30" t="str">
        <x:v>incoming/raw/recovery-drop-01/mathematics_profile_egkr_spring_visual_assets_v103.zip!/pages/VIS-EGKR-MATHP-S26-ANSWERDOC-P008.png</x:v>
      </x:c>
      <x:c r="R629" s="30" t="str">
        <x:v>MATCHED_ASSET</x:v>
      </x:c>
      <x:c r="S629" t="e">
        <x:f>HYPERLINK("visual_gallery/index.html#"&amp;A629,"Галерея")</x:f>
      </x:c>
    </x:row>
    <x:row r="630">
      <x:c r="A630" s="87" t="str">
        <x:v>VIS-EGKR-MATHP-S26-ANSWERDOC-P009</x:v>
      </x:c>
      <x:c r="B630" s="30" t="str">
        <x:v>Математика (профиль)</x:v>
      </x:c>
      <x:c r="C630" s="30"/>
      <x:c r="D630" s="30" t="str">
        <x:v>958–964</x:v>
      </x:c>
      <x:c r="E630" s="87" t="str">
        <x:v>SECONDARY_ANSWER_AND_SOLUTION_SOURCE</x:v>
      </x:c>
      <x:c r="F630" s="30" t="str">
        <x:v>Ответы профиль (1).docx</x:v>
      </x:c>
      <x:c r="G630" s="87" t="str">
        <x:v>9</x:v>
      </x:c>
      <x:c r="H630" s="87" t="str">
        <x:v>v1.03</x:v>
      </x:c>
      <x:c r="I630" s="87" t="str">
        <x:v>19</x:v>
      </x:c>
      <x:c r="J630" s="30" t="str">
        <x:v>VIS_KEY / MODEL</x:v>
      </x:c>
      <x:c r="K630" s="30" t="str">
        <x:v>EGKR-S26-MATHP-962-01, EGKR-S26-MATHP-962-02, EGKR-S26-MATHP-962-03, EGKR-S26-MATHP-962-04, EGKR-S26-MATHP-962-05, EGKR-S26-MATHP-962-06, EGKR-S26-MATHP-962-07, EGKR-S26-MATHP-962-08…</x:v>
      </x:c>
      <x:c r="L630" s="87" t="str">
        <x:v>CROP_VERIFIED</x:v>
      </x:c>
      <x:c r="M630" s="87" t="str">
        <x:v>ORIGINAL_PACKAGE</x:v>
      </x:c>
      <x:c r="N630" s="87" t="str">
        <x:v>pages/VIS-EGKR-MATHP-S26-ANSWERDOC-P009.png</x:v>
      </x:c>
      <x:c r="O630" s="87" t="str">
        <x:v>thumbnails/VIS-EGKR-MATHP-S26-ANSWERDOC-P009.jpg</x:v>
      </x:c>
      <x:c r="P630" s="87" t="str">
        <x:v>4d21d715ac4c7fdb95bc87bf98e15dfa8329b95f55ca2426cd8fba33f9c42afc</x:v>
      </x:c>
      <x:c r="Q630" s="30" t="str">
        <x:v>incoming/raw/recovery-drop-01/mathematics_profile_egkr_spring_visual_assets_v103.zip!/pages/VIS-EGKR-MATHP-S26-ANSWERDOC-P009.png</x:v>
      </x:c>
      <x:c r="R630" s="30" t="str">
        <x:v>MATCHED_ASSET</x:v>
      </x:c>
      <x:c r="S630" t="e">
        <x:f>HYPERLINK("visual_gallery/index.html#"&amp;A630,"Галерея")</x:f>
      </x:c>
    </x:row>
    <x:row r="631">
      <x:c r="A631" s="87" t="str">
        <x:v>VIS-EGKR-MATHP-S26-ANSWERDOC-P010</x:v>
      </x:c>
      <x:c r="B631" s="30" t="str">
        <x:v>Математика (профиль)</x:v>
      </x:c>
      <x:c r="C631" s="30"/>
      <x:c r="D631" s="30" t="str">
        <x:v>958–964</x:v>
      </x:c>
      <x:c r="E631" s="87" t="str">
        <x:v>SECONDARY_ANSWER_AND_SOLUTION_SOURCE</x:v>
      </x:c>
      <x:c r="F631" s="30" t="str">
        <x:v>Ответы профиль (1).docx</x:v>
      </x:c>
      <x:c r="G631" s="87" t="str">
        <x:v>10</x:v>
      </x:c>
      <x:c r="H631" s="87" t="str">
        <x:v>v1.03</x:v>
      </x:c>
      <x:c r="I631" s="87" t="str">
        <x:v>19</x:v>
      </x:c>
      <x:c r="J631" s="30" t="str">
        <x:v>VIS_KEY / MODEL</x:v>
      </x:c>
      <x:c r="K631" s="30" t="str">
        <x:v>EGKR-S26-MATHP-958-01, EGKR-S26-MATHP-958-02, EGKR-S26-MATHP-958-03, EGKR-S26-MATHP-958-04, EGKR-S26-MATHP-958-05, EGKR-S26-MATHP-958-06, EGKR-S26-MATHP-958-07, EGKR-S26-MATHP-958-08…</x:v>
      </x:c>
      <x:c r="L631" s="87" t="str">
        <x:v>CROP_VERIFIED</x:v>
      </x:c>
      <x:c r="M631" s="87" t="str">
        <x:v>ORIGINAL_PACKAGE</x:v>
      </x:c>
      <x:c r="N631" s="87" t="str">
        <x:v>pages/VIS-EGKR-MATHP-S26-ANSWERDOC-P010.png</x:v>
      </x:c>
      <x:c r="O631" s="87" t="str">
        <x:v>thumbnails/VIS-EGKR-MATHP-S26-ANSWERDOC-P010.jpg</x:v>
      </x:c>
      <x:c r="P631" s="87" t="str">
        <x:v>474ed83ad72dea299da492993e9d62530053eaf562a9465b2630b008e170fa7c</x:v>
      </x:c>
      <x:c r="Q631" s="30" t="str">
        <x:v>incoming/raw/recovery-drop-01/mathematics_profile_egkr_spring_visual_assets_v103.zip!/pages/VIS-EGKR-MATHP-S26-ANSWERDOC-P010.png</x:v>
      </x:c>
      <x:c r="R631" s="30" t="str">
        <x:v>MATCHED_ASSET</x:v>
      </x:c>
      <x:c r="S631" t="e">
        <x:f>HYPERLINK("visual_gallery/index.html#"&amp;A631,"Галерея")</x:f>
      </x:c>
    </x:row>
    <x:row r="632">
      <x:c r="A632" s="87" t="str">
        <x:v>VIS-EGKR-MATHP-S26-ANSWERDOC-P011</x:v>
      </x:c>
      <x:c r="B632" s="30" t="str">
        <x:v>Математика (профиль)</x:v>
      </x:c>
      <x:c r="C632" s="30"/>
      <x:c r="D632" s="30" t="str">
        <x:v>958–964</x:v>
      </x:c>
      <x:c r="E632" s="87" t="str">
        <x:v>SECONDARY_ANSWER_AND_SOLUTION_SOURCE</x:v>
      </x:c>
      <x:c r="F632" s="30" t="str">
        <x:v>Ответы профиль (1).docx</x:v>
      </x:c>
      <x:c r="G632" s="87" t="str">
        <x:v>11</x:v>
      </x:c>
      <x:c r="H632" s="87" t="str">
        <x:v>v1.03</x:v>
      </x:c>
      <x:c r="I632" s="87" t="str">
        <x:v>12</x:v>
      </x:c>
      <x:c r="J632" s="30" t="str">
        <x:v>VIS_KEY / MODEL</x:v>
      </x:c>
      <x:c r="K632" s="30" t="str">
        <x:v>EGKR-S26-MATHP-958-01, EGKR-S26-MATHP-958-02, EGKR-S26-MATHP-958-03, EGKR-S26-MATHP-958-04, EGKR-S26-MATHP-958-05, EGKR-S26-MATHP-958-06, EGKR-S26-MATHP-958-07, EGKR-S26-MATHP-958-08…</x:v>
      </x:c>
      <x:c r="L632" s="87" t="str">
        <x:v>CROP_VERIFIED</x:v>
      </x:c>
      <x:c r="M632" s="87" t="str">
        <x:v>ORIGINAL_PACKAGE</x:v>
      </x:c>
      <x:c r="N632" s="87" t="str">
        <x:v>pages/VIS-EGKR-MATHP-S26-ANSWERDOC-P011.png</x:v>
      </x:c>
      <x:c r="O632" s="87" t="str">
        <x:v>thumbnails/VIS-EGKR-MATHP-S26-ANSWERDOC-P011.jpg</x:v>
      </x:c>
      <x:c r="P632" s="87" t="str">
        <x:v>8f23d4b0a039b64013c305f79e63d5f8730b96184519e77cb3a9ebe05ad4f9b2</x:v>
      </x:c>
      <x:c r="Q632" s="30" t="str">
        <x:v>incoming/raw/recovery-drop-01/mathematics_profile_egkr_spring_visual_assets_v103.zip!/pages/VIS-EGKR-MATHP-S26-ANSWERDOC-P011.png</x:v>
      </x:c>
      <x:c r="R632" s="30" t="str">
        <x:v>MATCHED_ASSET</x:v>
      </x:c>
      <x:c r="S632" t="e">
        <x:f>HYPERLINK("visual_gallery/index.html#"&amp;A632,"Галерея")</x:f>
      </x:c>
    </x:row>
    <x:row r="633">
      <x:c r="A633" s="87" t="str">
        <x:v>VIS-EGKR-MATHP-S26-ANSWERDOC-P012</x:v>
      </x:c>
      <x:c r="B633" s="30" t="str">
        <x:v>Математика (профиль)</x:v>
      </x:c>
      <x:c r="C633" s="30"/>
      <x:c r="D633" s="30" t="str">
        <x:v>958–964</x:v>
      </x:c>
      <x:c r="E633" s="87" t="str">
        <x:v>SECONDARY_ANSWER_AND_SOLUTION_SOURCE</x:v>
      </x:c>
      <x:c r="F633" s="30" t="str">
        <x:v>Ответы профиль (1).docx</x:v>
      </x:c>
      <x:c r="G633" s="87" t="str">
        <x:v>12</x:v>
      </x:c>
      <x:c r="H633" s="87" t="str">
        <x:v>v1.03</x:v>
      </x:c>
      <x:c r="I633" s="87" t="str">
        <x:v>7</x:v>
      </x:c>
      <x:c r="J633" s="30" t="str">
        <x:v>VIS_KEY / MODEL</x:v>
      </x:c>
      <x:c r="K633" s="30" t="str">
        <x:v>EGKR-S26-MATHP-958-13, EGKR-S26-MATHP-958-14, EGKR-S26-MATHP-958-15, EGKR-S26-MATHP-958-16, EGKR-S26-MATHP-958-17, EGKR-S26-MATHP-958-18, EGKR-S26-MATHP-958-19</x:v>
      </x:c>
      <x:c r="L633" s="87" t="str">
        <x:v>CROP_VERIFIED</x:v>
      </x:c>
      <x:c r="M633" s="87" t="str">
        <x:v>ORIGINAL_PACKAGE</x:v>
      </x:c>
      <x:c r="N633" s="87" t="str">
        <x:v>pages/VIS-EGKR-MATHP-S26-ANSWERDOC-P012.png</x:v>
      </x:c>
      <x:c r="O633" s="87" t="str">
        <x:v>thumbnails/VIS-EGKR-MATHP-S26-ANSWERDOC-P012.jpg</x:v>
      </x:c>
      <x:c r="P633" s="87" t="str">
        <x:v>6544b247e0530d88262b741a84e6764b328f5a71078b93759abdbcec69b4e7b7</x:v>
      </x:c>
      <x:c r="Q633" s="30" t="str">
        <x:v>incoming/raw/recovery-drop-01/mathematics_profile_egkr_spring_visual_assets_v103.zip!/pages/VIS-EGKR-MATHP-S26-ANSWERDOC-P012.png</x:v>
      </x:c>
      <x:c r="R633" s="30" t="str">
        <x:v>MATCHED_ASSET</x:v>
      </x:c>
      <x:c r="S633" t="e">
        <x:f>HYPERLINK("visual_gallery/index.html#"&amp;A633,"Галерея")</x:f>
      </x:c>
    </x:row>
    <x:row r="634">
      <x:c r="A634" s="87" t="str">
        <x:v>VIS-EGKR-MATHP-S26-ANSWERDOC-P013</x:v>
      </x:c>
      <x:c r="B634" s="30" t="str">
        <x:v>Математика (профиль)</x:v>
      </x:c>
      <x:c r="C634" s="30"/>
      <x:c r="D634" s="30" t="str">
        <x:v>958–964</x:v>
      </x:c>
      <x:c r="E634" s="87" t="str">
        <x:v>SECONDARY_ANSWER_AND_SOLUTION_SOURCE</x:v>
      </x:c>
      <x:c r="F634" s="30" t="str">
        <x:v>Ответы профиль (1).docx</x:v>
      </x:c>
      <x:c r="G634" s="87" t="str">
        <x:v>13</x:v>
      </x:c>
      <x:c r="H634" s="87" t="str">
        <x:v>v1.03</x:v>
      </x:c>
      <x:c r="I634" s="87" t="str">
        <x:v>7</x:v>
      </x:c>
      <x:c r="J634" s="30" t="str">
        <x:v>VIS_KEY / MODEL</x:v>
      </x:c>
      <x:c r="K634" s="30" t="str">
        <x:v>EGKR-S26-MATHP-958-13, EGKR-S26-MATHP-958-14, EGKR-S26-MATHP-958-15, EGKR-S26-MATHP-958-16, EGKR-S26-MATHP-958-17, EGKR-S26-MATHP-958-18, EGKR-S26-MATHP-958-19</x:v>
      </x:c>
      <x:c r="L634" s="87" t="str">
        <x:v>CROP_VERIFIED</x:v>
      </x:c>
      <x:c r="M634" s="87" t="str">
        <x:v>ORIGINAL_PACKAGE</x:v>
      </x:c>
      <x:c r="N634" s="87" t="str">
        <x:v>pages/VIS-EGKR-MATHP-S26-ANSWERDOC-P013.png</x:v>
      </x:c>
      <x:c r="O634" s="87" t="str">
        <x:v>thumbnails/VIS-EGKR-MATHP-S26-ANSWERDOC-P013.jpg</x:v>
      </x:c>
      <x:c r="P634" s="87" t="str">
        <x:v>4f46ba5a3d3fb86189069f74bbe5088ef2c0d53c635919e95056593923f90e10</x:v>
      </x:c>
      <x:c r="Q634" s="30" t="str">
        <x:v>incoming/raw/recovery-drop-01/mathematics_profile_egkr_spring_visual_assets_v103.zip!/pages/VIS-EGKR-MATHP-S26-ANSWERDOC-P013.png</x:v>
      </x:c>
      <x:c r="R634" s="30" t="str">
        <x:v>MATCHED_ASSET</x:v>
      </x:c>
      <x:c r="S634" t="e">
        <x:f>HYPERLINK("visual_gallery/index.html#"&amp;A634,"Галерея")</x:f>
      </x:c>
    </x:row>
    <x:row r="635">
      <x:c r="A635" s="87" t="str">
        <x:v>VIS-EGKR-MATHP-S26-TASK-958-P001</x:v>
      </x:c>
      <x:c r="B635" s="30" t="str"/>
      <x:c r="C635" s="30"/>
      <x:c r="D635" s="30" t="str">
        <x:v>958</x:v>
      </x:c>
      <x:c r="E635" s="87" t="str">
        <x:v>TASK</x:v>
      </x:c>
      <x:c r="F635" s="30" t="str">
        <x:v>Вариант 958_проф.pdf</x:v>
      </x:c>
      <x:c r="G635" s="87" t="str">
        <x:v>1</x:v>
      </x:c>
      <x:c r="H635" s="87" t="str">
        <x:v>v1.03</x:v>
      </x:c>
      <x:c r="I635" s="87" t="str">
        <x:v>0</x:v>
      </x:c>
      <x:c r="J635" s="30" t="str"/>
      <x:c r="K635" s="30" t="str"/>
      <x:c r="L635" s="87" t="str">
        <x:v>CROP_VERIFIED</x:v>
      </x:c>
      <x:c r="M635" s="87" t="str">
        <x:v>ORIGINAL_PACKAGE</x:v>
      </x:c>
      <x:c r="N635" s="87" t="str">
        <x:v>pages/VIS-EGKR-MATHP-S26-TASK-958-P001.png</x:v>
      </x:c>
      <x:c r="O635" s="87" t="str">
        <x:v>thumbnails/VIS-EGKR-MATHP-S26-TASK-958-P001.jpg</x:v>
      </x:c>
      <x:c r="P635" s="87" t="str">
        <x:v>245af42228050b4e5d1c25696cecbd23bfc352afc9deae4e2266e47d5b4297ee</x:v>
      </x:c>
      <x:c r="Q635" s="30" t="str">
        <x:v>incoming/raw/recovery-drop-01/mathematics_profile_egkr_spring_visual_assets_v103.zip!/pages/VIS-EGKR-MATHP-S26-TASK-958-P001.png</x:v>
      </x:c>
      <x:c r="R635" s="30" t="str">
        <x:v>RESOLVED_UNLINKED_REGISTRY_VISUAL</x:v>
      </x:c>
      <x:c r="S635" t="e">
        <x:f>HYPERLINK("visual_gallery/index.html#"&amp;A635,"Галерея")</x:f>
      </x:c>
    </x:row>
    <x:row r="636">
      <x:c r="A636" s="87" t="str">
        <x:v>VIS-EGKR-MATHP-S26-TASK-958-P002</x:v>
      </x:c>
      <x:c r="B636" s="30" t="str">
        <x:v>Математика (профиль)</x:v>
      </x:c>
      <x:c r="C636" s="30"/>
      <x:c r="D636" s="30" t="str">
        <x:v>958</x:v>
      </x:c>
      <x:c r="E636" s="87" t="str">
        <x:v>TASK</x:v>
      </x:c>
      <x:c r="F636" s="30" t="str">
        <x:v>Вариант 958_проф.pdf</x:v>
      </x:c>
      <x:c r="G636" s="87" t="str">
        <x:v>2</x:v>
      </x:c>
      <x:c r="H636" s="87" t="str">
        <x:v>v1.03</x:v>
      </x:c>
      <x:c r="I636" s="87" t="str">
        <x:v>3</x:v>
      </x:c>
      <x:c r="J636" s="30" t="str">
        <x:v>VIS_ID</x:v>
      </x:c>
      <x:c r="K636" s="30" t="str">
        <x:v>EGKR-S26-MATHP-958-01, EGKR-S26-MATHP-958-02, EGKR-S26-MATHP-958-03</x:v>
      </x:c>
      <x:c r="L636" s="87" t="str">
        <x:v>CROP_VERIFIED</x:v>
      </x:c>
      <x:c r="M636" s="87" t="str">
        <x:v>ORIGINAL_PACKAGE</x:v>
      </x:c>
      <x:c r="N636" s="87" t="str">
        <x:v>pages/VIS-EGKR-MATHP-S26-TASK-958-P002.png</x:v>
      </x:c>
      <x:c r="O636" s="87" t="str">
        <x:v>thumbnails/VIS-EGKR-MATHP-S26-TASK-958-P002.jpg</x:v>
      </x:c>
      <x:c r="P636" s="87" t="str">
        <x:v>b42229a0247dbf54e1a24bfa2ce63737ab0b062339cb12b232f31622d37804e3</x:v>
      </x:c>
      <x:c r="Q636" s="30" t="str">
        <x:v>incoming/raw/recovery-drop-01/mathematics_profile_egkr_spring_visual_assets_v103.zip!/pages/VIS-EGKR-MATHP-S26-TASK-958-P002.png</x:v>
      </x:c>
      <x:c r="R636" s="30" t="str">
        <x:v>MATCHED_ASSET</x:v>
      </x:c>
      <x:c r="S636" t="e">
        <x:f>HYPERLINK("visual_gallery/index.html#"&amp;A636,"Галерея")</x:f>
      </x:c>
    </x:row>
    <x:row r="637">
      <x:c r="A637" s="87" t="str">
        <x:v>VIS-EGKR-MATHP-S26-TASK-958-P003</x:v>
      </x:c>
      <x:c r="B637" s="30" t="str">
        <x:v>Математика (профиль)</x:v>
      </x:c>
      <x:c r="C637" s="30"/>
      <x:c r="D637" s="30" t="str">
        <x:v>958</x:v>
      </x:c>
      <x:c r="E637" s="87" t="str">
        <x:v>TASK</x:v>
      </x:c>
      <x:c r="F637" s="30" t="str">
        <x:v>Вариант 958_проф.pdf</x:v>
      </x:c>
      <x:c r="G637" s="87" t="str">
        <x:v>3</x:v>
      </x:c>
      <x:c r="H637" s="87" t="str">
        <x:v>v1.03</x:v>
      </x:c>
      <x:c r="I637" s="87" t="str">
        <x:v>4</x:v>
      </x:c>
      <x:c r="J637" s="30" t="str">
        <x:v>VIS_ID</x:v>
      </x:c>
      <x:c r="K637" s="30" t="str">
        <x:v>EGKR-S26-MATHP-958-04, EGKR-S26-MATHP-958-05, EGKR-S26-MATHP-958-06, EGKR-S26-MATHP-958-07</x:v>
      </x:c>
      <x:c r="L637" s="87" t="str">
        <x:v>CROP_VERIFIED</x:v>
      </x:c>
      <x:c r="M637" s="87" t="str">
        <x:v>ORIGINAL_PACKAGE</x:v>
      </x:c>
      <x:c r="N637" s="87" t="str">
        <x:v>pages/VIS-EGKR-MATHP-S26-TASK-958-P003.png</x:v>
      </x:c>
      <x:c r="O637" s="87" t="str">
        <x:v>thumbnails/VIS-EGKR-MATHP-S26-TASK-958-P003.jpg</x:v>
      </x:c>
      <x:c r="P637" s="87" t="str">
        <x:v>faf5691c6110a0be69bad71a3b6c3fbb719581cda84584a6533e68c7f1ed08a1</x:v>
      </x:c>
      <x:c r="Q637" s="30" t="str">
        <x:v>incoming/raw/recovery-drop-01/mathematics_profile_egkr_spring_visual_assets_v103.zip!/pages/VIS-EGKR-MATHP-S26-TASK-958-P003.png</x:v>
      </x:c>
      <x:c r="R637" s="30" t="str">
        <x:v>MATCHED_ASSET</x:v>
      </x:c>
      <x:c r="S637" t="e">
        <x:f>HYPERLINK("visual_gallery/index.html#"&amp;A637,"Галерея")</x:f>
      </x:c>
    </x:row>
    <x:row r="638">
      <x:c r="A638" s="87" t="str">
        <x:v>VIS-EGKR-MATHP-S26-TASK-958-P004</x:v>
      </x:c>
      <x:c r="B638" s="30" t="str">
        <x:v>Математика (профиль)</x:v>
      </x:c>
      <x:c r="C638" s="30"/>
      <x:c r="D638" s="30" t="str">
        <x:v>958</x:v>
      </x:c>
      <x:c r="E638" s="87" t="str">
        <x:v>TASK</x:v>
      </x:c>
      <x:c r="F638" s="30" t="str">
        <x:v>Вариант 958_проф.pdf</x:v>
      </x:c>
      <x:c r="G638" s="87" t="str">
        <x:v>4</x:v>
      </x:c>
      <x:c r="H638" s="87" t="str">
        <x:v>v1.03</x:v>
      </x:c>
      <x:c r="I638" s="87" t="str">
        <x:v>3</x:v>
      </x:c>
      <x:c r="J638" s="30" t="str">
        <x:v>VIS_ID</x:v>
      </x:c>
      <x:c r="K638" s="30" t="str">
        <x:v>EGKR-S26-MATHP-958-08, EGKR-S26-MATHP-958-09, EGKR-S26-MATHP-958-10</x:v>
      </x:c>
      <x:c r="L638" s="87" t="str">
        <x:v>CROP_VERIFIED</x:v>
      </x:c>
      <x:c r="M638" s="87" t="str">
        <x:v>ORIGINAL_PACKAGE</x:v>
      </x:c>
      <x:c r="N638" s="87" t="str">
        <x:v>pages/VIS-EGKR-MATHP-S26-TASK-958-P004.png</x:v>
      </x:c>
      <x:c r="O638" s="87" t="str">
        <x:v>thumbnails/VIS-EGKR-MATHP-S26-TASK-958-P004.jpg</x:v>
      </x:c>
      <x:c r="P638" s="87" t="str">
        <x:v>6a73b11c8ccc17fcbeed79f80aed719549fa5fa00ca7bf3398beecd6f1cb913e</x:v>
      </x:c>
      <x:c r="Q638" s="30" t="str">
        <x:v>incoming/raw/recovery-drop-01/mathematics_profile_egkr_spring_visual_assets_v103.zip!/pages/VIS-EGKR-MATHP-S26-TASK-958-P004.png</x:v>
      </x:c>
      <x:c r="R638" s="30" t="str">
        <x:v>MATCHED_ASSET</x:v>
      </x:c>
      <x:c r="S638" t="e">
        <x:f>HYPERLINK("visual_gallery/index.html#"&amp;A638,"Галерея")</x:f>
      </x:c>
    </x:row>
    <x:row r="639">
      <x:c r="A639" s="87" t="str">
        <x:v>VIS-EGKR-MATHP-S26-TASK-958-P005</x:v>
      </x:c>
      <x:c r="B639" s="30" t="str">
        <x:v>Математика (профиль)</x:v>
      </x:c>
      <x:c r="C639" s="30"/>
      <x:c r="D639" s="30" t="str">
        <x:v>958</x:v>
      </x:c>
      <x:c r="E639" s="87" t="str">
        <x:v>TASK</x:v>
      </x:c>
      <x:c r="F639" s="30" t="str">
        <x:v>Вариант 958_проф.pdf</x:v>
      </x:c>
      <x:c r="G639" s="87" t="str">
        <x:v>5</x:v>
      </x:c>
      <x:c r="H639" s="87" t="str">
        <x:v>v1.03</x:v>
      </x:c>
      <x:c r="I639" s="87" t="str">
        <x:v>2</x:v>
      </x:c>
      <x:c r="J639" s="30" t="str">
        <x:v>VIS_ID</x:v>
      </x:c>
      <x:c r="K639" s="30" t="str">
        <x:v>EGKR-S26-MATHP-958-11, EGKR-S26-MATHP-958-12</x:v>
      </x:c>
      <x:c r="L639" s="87" t="str">
        <x:v>CROP_VERIFIED</x:v>
      </x:c>
      <x:c r="M639" s="87" t="str">
        <x:v>ORIGINAL_PACKAGE</x:v>
      </x:c>
      <x:c r="N639" s="87" t="str">
        <x:v>pages/VIS-EGKR-MATHP-S26-TASK-958-P005.png</x:v>
      </x:c>
      <x:c r="O639" s="87" t="str">
        <x:v>thumbnails/VIS-EGKR-MATHP-S26-TASK-958-P005.jpg</x:v>
      </x:c>
      <x:c r="P639" s="87" t="str">
        <x:v>751fa7b36bca2ae17857161fc9059c6e3cca223652e658bc2ad08a398e23bf1d</x:v>
      </x:c>
      <x:c r="Q639" s="30" t="str">
        <x:v>incoming/raw/recovery-drop-01/mathematics_profile_egkr_spring_visual_assets_v103.zip!/pages/VIS-EGKR-MATHP-S26-TASK-958-P005.png</x:v>
      </x:c>
      <x:c r="R639" s="30" t="str">
        <x:v>MATCHED_ASSET</x:v>
      </x:c>
      <x:c r="S639" t="e">
        <x:f>HYPERLINK("visual_gallery/index.html#"&amp;A639,"Галерея")</x:f>
      </x:c>
    </x:row>
    <x:row r="640">
      <x:c r="A640" s="87" t="str">
        <x:v>VIS-EGKR-MATHP-S26-TASK-958-P006</x:v>
      </x:c>
      <x:c r="B640" s="30" t="str">
        <x:v>Математика (профиль)</x:v>
      </x:c>
      <x:c r="C640" s="30"/>
      <x:c r="D640" s="30" t="str">
        <x:v>958</x:v>
      </x:c>
      <x:c r="E640" s="87" t="str">
        <x:v>TASK</x:v>
      </x:c>
      <x:c r="F640" s="30" t="str">
        <x:v>Вариант 958_проф.pdf</x:v>
      </x:c>
      <x:c r="G640" s="87" t="str">
        <x:v>6</x:v>
      </x:c>
      <x:c r="H640" s="87" t="str">
        <x:v>v1.03</x:v>
      </x:c>
      <x:c r="I640" s="87" t="str">
        <x:v>4</x:v>
      </x:c>
      <x:c r="J640" s="30" t="str">
        <x:v>VIS_ID</x:v>
      </x:c>
      <x:c r="K640" s="30" t="str">
        <x:v>EGKR-S26-MATHP-958-13, EGKR-S26-MATHP-958-14, EGKR-S26-MATHP-958-15, EGKR-S26-MATHP-958-16</x:v>
      </x:c>
      <x:c r="L640" s="87" t="str">
        <x:v>CROP_VERIFIED</x:v>
      </x:c>
      <x:c r="M640" s="87" t="str">
        <x:v>ORIGINAL_PACKAGE</x:v>
      </x:c>
      <x:c r="N640" s="87" t="str">
        <x:v>pages/VIS-EGKR-MATHP-S26-TASK-958-P006.png</x:v>
      </x:c>
      <x:c r="O640" s="87" t="str">
        <x:v>thumbnails/VIS-EGKR-MATHP-S26-TASK-958-P006.jpg</x:v>
      </x:c>
      <x:c r="P640" s="87" t="str">
        <x:v>a4547e6e883c50b9cba3ac7cb6343c36fbb85de9a507e472d40c4383ca35676d</x:v>
      </x:c>
      <x:c r="Q640" s="30" t="str">
        <x:v>incoming/raw/recovery-drop-01/mathematics_profile_egkr_spring_visual_assets_v103.zip!/pages/VIS-EGKR-MATHP-S26-TASK-958-P006.png</x:v>
      </x:c>
      <x:c r="R640" s="30" t="str">
        <x:v>MATCHED_ASSET</x:v>
      </x:c>
      <x:c r="S640" t="e">
        <x:f>HYPERLINK("visual_gallery/index.html#"&amp;A640,"Галерея")</x:f>
      </x:c>
    </x:row>
    <x:row r="641">
      <x:c r="A641" s="87" t="str">
        <x:v>VIS-EGKR-MATHP-S26-TASK-958-P007</x:v>
      </x:c>
      <x:c r="B641" s="30" t="str">
        <x:v>Математика (профиль)</x:v>
      </x:c>
      <x:c r="C641" s="30"/>
      <x:c r="D641" s="30" t="str">
        <x:v>958</x:v>
      </x:c>
      <x:c r="E641" s="87" t="str">
        <x:v>TASK</x:v>
      </x:c>
      <x:c r="F641" s="30" t="str">
        <x:v>Вариант 958_проф.pdf</x:v>
      </x:c>
      <x:c r="G641" s="87" t="str">
        <x:v>7</x:v>
      </x:c>
      <x:c r="H641" s="87" t="str">
        <x:v>v1.03</x:v>
      </x:c>
      <x:c r="I641" s="87" t="str">
        <x:v>3</x:v>
      </x:c>
      <x:c r="J641" s="30" t="str">
        <x:v>VIS_ID</x:v>
      </x:c>
      <x:c r="K641" s="30" t="str">
        <x:v>EGKR-S26-MATHP-958-17, EGKR-S26-MATHP-958-18, EGKR-S26-MATHP-958-19</x:v>
      </x:c>
      <x:c r="L641" s="87" t="str">
        <x:v>CROP_VERIFIED</x:v>
      </x:c>
      <x:c r="M641" s="87" t="str">
        <x:v>ORIGINAL_PACKAGE</x:v>
      </x:c>
      <x:c r="N641" s="87" t="str">
        <x:v>pages/VIS-EGKR-MATHP-S26-TASK-958-P007.png</x:v>
      </x:c>
      <x:c r="O641" s="87" t="str">
        <x:v>thumbnails/VIS-EGKR-MATHP-S26-TASK-958-P007.jpg</x:v>
      </x:c>
      <x:c r="P641" s="87" t="str">
        <x:v>003851bd77e2ce6927d6f3d3cc4a68615830c91a8cdb98139a3e73454c4126ea</x:v>
      </x:c>
      <x:c r="Q641" s="30" t="str">
        <x:v>incoming/raw/recovery-drop-01/mathematics_profile_egkr_spring_visual_assets_v103.zip!/pages/VIS-EGKR-MATHP-S26-TASK-958-P007.png</x:v>
      </x:c>
      <x:c r="R641" s="30" t="str">
        <x:v>MATCHED_ASSET</x:v>
      </x:c>
      <x:c r="S641" t="e">
        <x:f>HYPERLINK("visual_gallery/index.html#"&amp;A641,"Галерея")</x:f>
      </x:c>
    </x:row>
    <x:row r="642">
      <x:c r="A642" s="87" t="str">
        <x:v>VIS-EGKR-MATHP-S26-TASK-959-P001</x:v>
      </x:c>
      <x:c r="B642" s="30" t="str"/>
      <x:c r="C642" s="30"/>
      <x:c r="D642" s="30" t="str">
        <x:v>959</x:v>
      </x:c>
      <x:c r="E642" s="87" t="str">
        <x:v>TASK</x:v>
      </x:c>
      <x:c r="F642" s="30" t="str">
        <x:v>Вариант 959_проф.pdf</x:v>
      </x:c>
      <x:c r="G642" s="87" t="str">
        <x:v>1</x:v>
      </x:c>
      <x:c r="H642" s="87" t="str">
        <x:v>v1.03</x:v>
      </x:c>
      <x:c r="I642" s="87" t="str">
        <x:v>0</x:v>
      </x:c>
      <x:c r="J642" s="30" t="str"/>
      <x:c r="K642" s="30" t="str"/>
      <x:c r="L642" s="87" t="str">
        <x:v>CROP_VERIFIED</x:v>
      </x:c>
      <x:c r="M642" s="87" t="str">
        <x:v>ORIGINAL_PACKAGE</x:v>
      </x:c>
      <x:c r="N642" s="87" t="str">
        <x:v>pages/VIS-EGKR-MATHP-S26-TASK-959-P001.png</x:v>
      </x:c>
      <x:c r="O642" s="87" t="str">
        <x:v>thumbnails/VIS-EGKR-MATHP-S26-TASK-959-P001.jpg</x:v>
      </x:c>
      <x:c r="P642" s="87" t="str">
        <x:v>c34398cc56e58547a7c0586bc33ddf765f1d4743bf53a73177f39cd530824308</x:v>
      </x:c>
      <x:c r="Q642" s="30" t="str">
        <x:v>incoming/raw/recovery-drop-01/mathematics_profile_egkr_spring_visual_assets_v103.zip!/pages/VIS-EGKR-MATHP-S26-TASK-959-P001.png</x:v>
      </x:c>
      <x:c r="R642" s="30" t="str">
        <x:v>RESOLVED_UNLINKED_REGISTRY_VISUAL</x:v>
      </x:c>
      <x:c r="S642" t="e">
        <x:f>HYPERLINK("visual_gallery/index.html#"&amp;A642,"Галерея")</x:f>
      </x:c>
    </x:row>
    <x:row r="643">
      <x:c r="A643" s="87" t="str">
        <x:v>VIS-EGKR-MATHP-S26-TASK-959-P002</x:v>
      </x:c>
      <x:c r="B643" s="30" t="str">
        <x:v>Математика (профиль)</x:v>
      </x:c>
      <x:c r="C643" s="30"/>
      <x:c r="D643" s="30" t="str">
        <x:v>959</x:v>
      </x:c>
      <x:c r="E643" s="87" t="str">
        <x:v>TASK</x:v>
      </x:c>
      <x:c r="F643" s="30" t="str">
        <x:v>Вариант 959_проф.pdf</x:v>
      </x:c>
      <x:c r="G643" s="87" t="str">
        <x:v>2</x:v>
      </x:c>
      <x:c r="H643" s="87" t="str">
        <x:v>v1.03</x:v>
      </x:c>
      <x:c r="I643" s="87" t="str">
        <x:v>2</x:v>
      </x:c>
      <x:c r="J643" s="30" t="str">
        <x:v>VIS_ID</x:v>
      </x:c>
      <x:c r="K643" s="30" t="str">
        <x:v>EGKR-S26-MATHP-959-01, EGKR-S26-MATHP-959-02</x:v>
      </x:c>
      <x:c r="L643" s="87" t="str">
        <x:v>CROP_VERIFIED</x:v>
      </x:c>
      <x:c r="M643" s="87" t="str">
        <x:v>ORIGINAL_PACKAGE</x:v>
      </x:c>
      <x:c r="N643" s="87" t="str">
        <x:v>pages/VIS-EGKR-MATHP-S26-TASK-959-P002.png</x:v>
      </x:c>
      <x:c r="O643" s="87" t="str">
        <x:v>thumbnails/VIS-EGKR-MATHP-S26-TASK-959-P002.jpg</x:v>
      </x:c>
      <x:c r="P643" s="87" t="str">
        <x:v>c7cd69705ec03e261b0577a0c7a3dcc42e55bbf1c95788918466743b1298824d</x:v>
      </x:c>
      <x:c r="Q643" s="30" t="str">
        <x:v>incoming/raw/recovery-drop-01/mathematics_profile_egkr_spring_visual_assets_v103.zip!/pages/VIS-EGKR-MATHP-S26-TASK-959-P002.png</x:v>
      </x:c>
      <x:c r="R643" s="30" t="str">
        <x:v>MATCHED_ASSET</x:v>
      </x:c>
      <x:c r="S643" t="e">
        <x:f>HYPERLINK("visual_gallery/index.html#"&amp;A643,"Галерея")</x:f>
      </x:c>
    </x:row>
    <x:row r="644">
      <x:c r="A644" s="87" t="str">
        <x:v>VIS-EGKR-MATHP-S26-TASK-959-P003</x:v>
      </x:c>
      <x:c r="B644" s="30" t="str">
        <x:v>Математика (профиль)</x:v>
      </x:c>
      <x:c r="C644" s="30"/>
      <x:c r="D644" s="30" t="str">
        <x:v>959</x:v>
      </x:c>
      <x:c r="E644" s="87" t="str">
        <x:v>TASK</x:v>
      </x:c>
      <x:c r="F644" s="30" t="str">
        <x:v>Вариант 959_проф.pdf</x:v>
      </x:c>
      <x:c r="G644" s="87" t="str">
        <x:v>3</x:v>
      </x:c>
      <x:c r="H644" s="87" t="str">
        <x:v>v1.03</x:v>
      </x:c>
      <x:c r="I644" s="87" t="str">
        <x:v>3</x:v>
      </x:c>
      <x:c r="J644" s="30" t="str">
        <x:v>VIS_ID</x:v>
      </x:c>
      <x:c r="K644" s="30" t="str">
        <x:v>EGKR-S26-MATHP-959-03, EGKR-S26-MATHP-959-04, EGKR-S26-MATHP-959-05</x:v>
      </x:c>
      <x:c r="L644" s="87" t="str">
        <x:v>CROP_VERIFIED</x:v>
      </x:c>
      <x:c r="M644" s="87" t="str">
        <x:v>ORIGINAL_PACKAGE</x:v>
      </x:c>
      <x:c r="N644" s="87" t="str">
        <x:v>pages/VIS-EGKR-MATHP-S26-TASK-959-P003.png</x:v>
      </x:c>
      <x:c r="O644" s="87" t="str">
        <x:v>thumbnails/VIS-EGKR-MATHP-S26-TASK-959-P003.jpg</x:v>
      </x:c>
      <x:c r="P644" s="87" t="str">
        <x:v>fd1ba9895ee0059714d7492a9a0f216e6a6428675c8c78fcacc5534675a6d5cc</x:v>
      </x:c>
      <x:c r="Q644" s="30" t="str">
        <x:v>incoming/raw/recovery-drop-01/mathematics_profile_egkr_spring_visual_assets_v103.zip!/pages/VIS-EGKR-MATHP-S26-TASK-959-P003.png</x:v>
      </x:c>
      <x:c r="R644" s="30" t="str">
        <x:v>MATCHED_ASSET</x:v>
      </x:c>
      <x:c r="S644" t="e">
        <x:f>HYPERLINK("visual_gallery/index.html#"&amp;A644,"Галерея")</x:f>
      </x:c>
    </x:row>
    <x:row r="645">
      <x:c r="A645" s="87" t="str">
        <x:v>VIS-EGKR-MATHP-S26-TASK-959-P004</x:v>
      </x:c>
      <x:c r="B645" s="30" t="str">
        <x:v>Математика (профиль)</x:v>
      </x:c>
      <x:c r="C645" s="30"/>
      <x:c r="D645" s="30" t="str">
        <x:v>959</x:v>
      </x:c>
      <x:c r="E645" s="87" t="str">
        <x:v>TASK</x:v>
      </x:c>
      <x:c r="F645" s="30" t="str">
        <x:v>Вариант 959_проф.pdf</x:v>
      </x:c>
      <x:c r="G645" s="87" t="str">
        <x:v>4</x:v>
      </x:c>
      <x:c r="H645" s="87" t="str">
        <x:v>v1.03</x:v>
      </x:c>
      <x:c r="I645" s="87" t="str">
        <x:v>3</x:v>
      </x:c>
      <x:c r="J645" s="30" t="str">
        <x:v>VIS_ID</x:v>
      </x:c>
      <x:c r="K645" s="30" t="str">
        <x:v>EGKR-S26-MATHP-959-06, EGKR-S26-MATHP-959-07, EGKR-S26-MATHP-959-08</x:v>
      </x:c>
      <x:c r="L645" s="87" t="str">
        <x:v>CROP_VERIFIED</x:v>
      </x:c>
      <x:c r="M645" s="87" t="str">
        <x:v>ORIGINAL_PACKAGE</x:v>
      </x:c>
      <x:c r="N645" s="87" t="str">
        <x:v>pages/VIS-EGKR-MATHP-S26-TASK-959-P004.png</x:v>
      </x:c>
      <x:c r="O645" s="87" t="str">
        <x:v>thumbnails/VIS-EGKR-MATHP-S26-TASK-959-P004.jpg</x:v>
      </x:c>
      <x:c r="P645" s="87" t="str">
        <x:v>04114a70895e26058aa777b94f8a417be373c4c3e14836d8f5b5bad4b85d9fed</x:v>
      </x:c>
      <x:c r="Q645" s="30" t="str">
        <x:v>incoming/raw/recovery-drop-01/mathematics_profile_egkr_spring_visual_assets_v103.zip!/pages/VIS-EGKR-MATHP-S26-TASK-959-P004.png</x:v>
      </x:c>
      <x:c r="R645" s="30" t="str">
        <x:v>MATCHED_ASSET</x:v>
      </x:c>
      <x:c r="S645" t="e">
        <x:f>HYPERLINK("visual_gallery/index.html#"&amp;A645,"Галерея")</x:f>
      </x:c>
    </x:row>
    <x:row r="646">
      <x:c r="A646" s="87" t="str">
        <x:v>VIS-EGKR-MATHP-S26-TASK-959-P005</x:v>
      </x:c>
      <x:c r="B646" s="30" t="str">
        <x:v>Математика (профиль)</x:v>
      </x:c>
      <x:c r="C646" s="30"/>
      <x:c r="D646" s="30" t="str">
        <x:v>959</x:v>
      </x:c>
      <x:c r="E646" s="87" t="str">
        <x:v>TASK</x:v>
      </x:c>
      <x:c r="F646" s="30" t="str">
        <x:v>Вариант 959_проф.pdf</x:v>
      </x:c>
      <x:c r="G646" s="87" t="str">
        <x:v>5</x:v>
      </x:c>
      <x:c r="H646" s="87" t="str">
        <x:v>v1.03</x:v>
      </x:c>
      <x:c r="I646" s="87" t="str">
        <x:v>4</x:v>
      </x:c>
      <x:c r="J646" s="30" t="str">
        <x:v>VIS_ID</x:v>
      </x:c>
      <x:c r="K646" s="30" t="str">
        <x:v>EGKR-S26-MATHP-959-09, EGKR-S26-MATHP-959-10, EGKR-S26-MATHP-959-11, EGKR-S26-MATHP-959-12</x:v>
      </x:c>
      <x:c r="L646" s="87" t="str">
        <x:v>CROP_VERIFIED</x:v>
      </x:c>
      <x:c r="M646" s="87" t="str">
        <x:v>ORIGINAL_PACKAGE</x:v>
      </x:c>
      <x:c r="N646" s="87" t="str">
        <x:v>pages/VIS-EGKR-MATHP-S26-TASK-959-P005.png</x:v>
      </x:c>
      <x:c r="O646" s="87" t="str">
        <x:v>thumbnails/VIS-EGKR-MATHP-S26-TASK-959-P005.jpg</x:v>
      </x:c>
      <x:c r="P646" s="87" t="str">
        <x:v>17db0e71c060f32d57a423e007ca353f168eb6ac25d514af3865f890775f71d5</x:v>
      </x:c>
      <x:c r="Q646" s="30" t="str">
        <x:v>incoming/raw/recovery-drop-01/mathematics_profile_egkr_spring_visual_assets_v103.zip!/pages/VIS-EGKR-MATHP-S26-TASK-959-P005.png</x:v>
      </x:c>
      <x:c r="R646" s="30" t="str">
        <x:v>MATCHED_ASSET</x:v>
      </x:c>
      <x:c r="S646" t="e">
        <x:f>HYPERLINK("visual_gallery/index.html#"&amp;A646,"Галерея")</x:f>
      </x:c>
    </x:row>
    <x:row r="647">
      <x:c r="A647" s="87" t="str">
        <x:v>VIS-EGKR-MATHP-S26-TASK-959-P006</x:v>
      </x:c>
      <x:c r="B647" s="30" t="str">
        <x:v>Математика (профиль)</x:v>
      </x:c>
      <x:c r="C647" s="30"/>
      <x:c r="D647" s="30" t="str">
        <x:v>959</x:v>
      </x:c>
      <x:c r="E647" s="87" t="str">
        <x:v>TASK</x:v>
      </x:c>
      <x:c r="F647" s="30" t="str">
        <x:v>Вариант 959_проф.pdf</x:v>
      </x:c>
      <x:c r="G647" s="87" t="str">
        <x:v>6</x:v>
      </x:c>
      <x:c r="H647" s="87" t="str">
        <x:v>v1.03</x:v>
      </x:c>
      <x:c r="I647" s="87" t="str">
        <x:v>4</x:v>
      </x:c>
      <x:c r="J647" s="30" t="str">
        <x:v>VIS_ID</x:v>
      </x:c>
      <x:c r="K647" s="30" t="str">
        <x:v>EGKR-S26-MATHP-959-13, EGKR-S26-MATHP-959-14, EGKR-S26-MATHP-959-15, EGKR-S26-MATHP-959-16</x:v>
      </x:c>
      <x:c r="L647" s="87" t="str">
        <x:v>CROP_VERIFIED</x:v>
      </x:c>
      <x:c r="M647" s="87" t="str">
        <x:v>ORIGINAL_PACKAGE</x:v>
      </x:c>
      <x:c r="N647" s="87" t="str">
        <x:v>pages/VIS-EGKR-MATHP-S26-TASK-959-P006.png</x:v>
      </x:c>
      <x:c r="O647" s="87" t="str">
        <x:v>thumbnails/VIS-EGKR-MATHP-S26-TASK-959-P006.jpg</x:v>
      </x:c>
      <x:c r="P647" s="87" t="str">
        <x:v>9c5d3819da06678ed3802d3a0c2e00722b657e0e6df529d2b3d29ced31b4cc0f</x:v>
      </x:c>
      <x:c r="Q647" s="30" t="str">
        <x:v>incoming/raw/recovery-drop-01/mathematics_profile_egkr_spring_visual_assets_v103.zip!/pages/VIS-EGKR-MATHP-S26-TASK-959-P006.png</x:v>
      </x:c>
      <x:c r="R647" s="30" t="str">
        <x:v>MATCHED_ASSET</x:v>
      </x:c>
      <x:c r="S647" t="e">
        <x:f>HYPERLINK("visual_gallery/index.html#"&amp;A647,"Галерея")</x:f>
      </x:c>
    </x:row>
    <x:row r="648">
      <x:c r="A648" s="87" t="str">
        <x:v>VIS-EGKR-MATHP-S26-TASK-959-P007</x:v>
      </x:c>
      <x:c r="B648" s="30" t="str">
        <x:v>Математика (профиль)</x:v>
      </x:c>
      <x:c r="C648" s="30"/>
      <x:c r="D648" s="30" t="str">
        <x:v>959</x:v>
      </x:c>
      <x:c r="E648" s="87" t="str">
        <x:v>TASK</x:v>
      </x:c>
      <x:c r="F648" s="30" t="str">
        <x:v>Вариант 959_проф.pdf</x:v>
      </x:c>
      <x:c r="G648" s="87" t="str">
        <x:v>7</x:v>
      </x:c>
      <x:c r="H648" s="87" t="str">
        <x:v>v1.03</x:v>
      </x:c>
      <x:c r="I648" s="87" t="str">
        <x:v>3</x:v>
      </x:c>
      <x:c r="J648" s="30" t="str">
        <x:v>VIS_ID</x:v>
      </x:c>
      <x:c r="K648" s="30" t="str">
        <x:v>EGKR-S26-MATHP-959-17, EGKR-S26-MATHP-959-18, EGKR-S26-MATHP-959-19</x:v>
      </x:c>
      <x:c r="L648" s="87" t="str">
        <x:v>CROP_VERIFIED</x:v>
      </x:c>
      <x:c r="M648" s="87" t="str">
        <x:v>ORIGINAL_PACKAGE</x:v>
      </x:c>
      <x:c r="N648" s="87" t="str">
        <x:v>pages/VIS-EGKR-MATHP-S26-TASK-959-P007.png</x:v>
      </x:c>
      <x:c r="O648" s="87" t="str">
        <x:v>thumbnails/VIS-EGKR-MATHP-S26-TASK-959-P007.jpg</x:v>
      </x:c>
      <x:c r="P648" s="87" t="str">
        <x:v>215b241ecc1af46770bf1e9f8f012ac65dbed8e5474ddda0a915ea5c0e085a3f</x:v>
      </x:c>
      <x:c r="Q648" s="30" t="str">
        <x:v>incoming/raw/recovery-drop-01/mathematics_profile_egkr_spring_visual_assets_v103.zip!/pages/VIS-EGKR-MATHP-S26-TASK-959-P007.png</x:v>
      </x:c>
      <x:c r="R648" s="30" t="str">
        <x:v>MATCHED_ASSET</x:v>
      </x:c>
      <x:c r="S648" t="e">
        <x:f>HYPERLINK("visual_gallery/index.html#"&amp;A648,"Галерея")</x:f>
      </x:c>
    </x:row>
    <x:row r="649">
      <x:c r="A649" s="87" t="str">
        <x:v>VIS-EGKR-MATHP-S26-TASK-960-P001</x:v>
      </x:c>
      <x:c r="B649" s="30" t="str"/>
      <x:c r="C649" s="30"/>
      <x:c r="D649" s="30" t="str">
        <x:v>960</x:v>
      </x:c>
      <x:c r="E649" s="87" t="str">
        <x:v>TASK</x:v>
      </x:c>
      <x:c r="F649" s="30" t="str">
        <x:v>Вариант 960_проф.pdf</x:v>
      </x:c>
      <x:c r="G649" s="87" t="str">
        <x:v>1</x:v>
      </x:c>
      <x:c r="H649" s="87" t="str">
        <x:v>v1.03</x:v>
      </x:c>
      <x:c r="I649" s="87" t="str">
        <x:v>0</x:v>
      </x:c>
      <x:c r="J649" s="30" t="str"/>
      <x:c r="K649" s="30" t="str"/>
      <x:c r="L649" s="87" t="str">
        <x:v>CROP_VERIFIED</x:v>
      </x:c>
      <x:c r="M649" s="87" t="str">
        <x:v>ORIGINAL_PACKAGE</x:v>
      </x:c>
      <x:c r="N649" s="87" t="str">
        <x:v>pages/VIS-EGKR-MATHP-S26-TASK-960-P001.png</x:v>
      </x:c>
      <x:c r="O649" s="87" t="str">
        <x:v>thumbnails/VIS-EGKR-MATHP-S26-TASK-960-P001.jpg</x:v>
      </x:c>
      <x:c r="P649" s="87" t="str">
        <x:v>11f6ee64bd9a38bd70e6eb87a794fa1bae8f7e0de983812d48ab0f412343643b</x:v>
      </x:c>
      <x:c r="Q649" s="30" t="str">
        <x:v>incoming/raw/recovery-drop-01/mathematics_profile_egkr_spring_visual_assets_v103.zip!/pages/VIS-EGKR-MATHP-S26-TASK-960-P001.png</x:v>
      </x:c>
      <x:c r="R649" s="30" t="str">
        <x:v>RESOLVED_UNLINKED_REGISTRY_VISUAL</x:v>
      </x:c>
      <x:c r="S649" t="e">
        <x:f>HYPERLINK("visual_gallery/index.html#"&amp;A649,"Галерея")</x:f>
      </x:c>
    </x:row>
    <x:row r="650">
      <x:c r="A650" s="87" t="str">
        <x:v>VIS-EGKR-MATHP-S26-TASK-960-P002</x:v>
      </x:c>
      <x:c r="B650" s="30" t="str">
        <x:v>Математика (профиль)</x:v>
      </x:c>
      <x:c r="C650" s="30"/>
      <x:c r="D650" s="30" t="str">
        <x:v>960</x:v>
      </x:c>
      <x:c r="E650" s="87" t="str">
        <x:v>TASK</x:v>
      </x:c>
      <x:c r="F650" s="30" t="str">
        <x:v>Вариант 960_проф.pdf</x:v>
      </x:c>
      <x:c r="G650" s="87" t="str">
        <x:v>2</x:v>
      </x:c>
      <x:c r="H650" s="87" t="str">
        <x:v>v1.03</x:v>
      </x:c>
      <x:c r="I650" s="87" t="str">
        <x:v>5</x:v>
      </x:c>
      <x:c r="J650" s="30" t="str">
        <x:v>VIS_ID</x:v>
      </x:c>
      <x:c r="K650" s="30" t="str">
        <x:v>EGKR-S26-MATHP-960-01, EGKR-S26-MATHP-960-02, EGKR-S26-MATHP-960-03, EGKR-S26-MATHP-960-04, EGKR-S26-MATHP-960-05</x:v>
      </x:c>
      <x:c r="L650" s="87" t="str">
        <x:v>CROP_VERIFIED</x:v>
      </x:c>
      <x:c r="M650" s="87" t="str">
        <x:v>ORIGINAL_PACKAGE</x:v>
      </x:c>
      <x:c r="N650" s="87" t="str">
        <x:v>pages/VIS-EGKR-MATHP-S26-TASK-960-P002.png</x:v>
      </x:c>
      <x:c r="O650" s="87" t="str">
        <x:v>thumbnails/VIS-EGKR-MATHP-S26-TASK-960-P002.jpg</x:v>
      </x:c>
      <x:c r="P650" s="87" t="str">
        <x:v>00528bd8e42ecdb2be4c86d6a90d4d42bd6960bea3baac1a38b241ff943c8b45</x:v>
      </x:c>
      <x:c r="Q650" s="30" t="str">
        <x:v>incoming/raw/recovery-drop-01/mathematics_profile_egkr_spring_visual_assets_v103.zip!/pages/VIS-EGKR-MATHP-S26-TASK-960-P002.png</x:v>
      </x:c>
      <x:c r="R650" s="30" t="str">
        <x:v>MATCHED_ASSET</x:v>
      </x:c>
      <x:c r="S650" t="e">
        <x:f>HYPERLINK("visual_gallery/index.html#"&amp;A650,"Галерея")</x:f>
      </x:c>
    </x:row>
    <x:row r="651">
      <x:c r="A651" s="87" t="str">
        <x:v>VIS-EGKR-MATHP-S26-TASK-960-P003</x:v>
      </x:c>
      <x:c r="B651" s="30" t="str">
        <x:v>Математика (профиль)</x:v>
      </x:c>
      <x:c r="C651" s="30"/>
      <x:c r="D651" s="30" t="str">
        <x:v>960</x:v>
      </x:c>
      <x:c r="E651" s="87" t="str">
        <x:v>TASK</x:v>
      </x:c>
      <x:c r="F651" s="30" t="str">
        <x:v>Вариант 960_проф.pdf</x:v>
      </x:c>
      <x:c r="G651" s="87" t="str">
        <x:v>3</x:v>
      </x:c>
      <x:c r="H651" s="87" t="str">
        <x:v>v1.03</x:v>
      </x:c>
      <x:c r="I651" s="87" t="str">
        <x:v>5</x:v>
      </x:c>
      <x:c r="J651" s="30" t="str">
        <x:v>VIS_ID</x:v>
      </x:c>
      <x:c r="K651" s="30" t="str">
        <x:v>EGKR-S26-MATHP-960-06, EGKR-S26-MATHP-960-07, EGKR-S26-MATHP-960-08, EGKR-S26-MATHP-960-09, EGKR-S26-MATHP-960-10</x:v>
      </x:c>
      <x:c r="L651" s="87" t="str">
        <x:v>CROP_VERIFIED</x:v>
      </x:c>
      <x:c r="M651" s="87" t="str">
        <x:v>ORIGINAL_PACKAGE</x:v>
      </x:c>
      <x:c r="N651" s="87" t="str">
        <x:v>pages/VIS-EGKR-MATHP-S26-TASK-960-P003.png</x:v>
      </x:c>
      <x:c r="O651" s="87" t="str">
        <x:v>thumbnails/VIS-EGKR-MATHP-S26-TASK-960-P003.jpg</x:v>
      </x:c>
      <x:c r="P651" s="87" t="str">
        <x:v>025b92523d7d88082b272ddf25f1ee8c077c04927aeec067012f7c64c119b78b</x:v>
      </x:c>
      <x:c r="Q651" s="30" t="str">
        <x:v>incoming/raw/recovery-drop-01/mathematics_profile_egkr_spring_visual_assets_v103.zip!/pages/VIS-EGKR-MATHP-S26-TASK-960-P003.png</x:v>
      </x:c>
      <x:c r="R651" s="30" t="str">
        <x:v>MATCHED_ASSET</x:v>
      </x:c>
      <x:c r="S651" t="e">
        <x:f>HYPERLINK("visual_gallery/index.html#"&amp;A651,"Галерея")</x:f>
      </x:c>
    </x:row>
    <x:row r="652">
      <x:c r="A652" s="87" t="str">
        <x:v>VIS-EGKR-MATHP-S26-TASK-960-P004</x:v>
      </x:c>
      <x:c r="B652" s="30" t="str">
        <x:v>Математика (профиль)</x:v>
      </x:c>
      <x:c r="C652" s="30"/>
      <x:c r="D652" s="30" t="str">
        <x:v>960</x:v>
      </x:c>
      <x:c r="E652" s="87" t="str">
        <x:v>TASK</x:v>
      </x:c>
      <x:c r="F652" s="30" t="str">
        <x:v>Вариант 960_проф.pdf</x:v>
      </x:c>
      <x:c r="G652" s="87" t="str">
        <x:v>4</x:v>
      </x:c>
      <x:c r="H652" s="87" t="str">
        <x:v>v1.03</x:v>
      </x:c>
      <x:c r="I652" s="87" t="str">
        <x:v>2</x:v>
      </x:c>
      <x:c r="J652" s="30" t="str">
        <x:v>VIS_ID</x:v>
      </x:c>
      <x:c r="K652" s="30" t="str">
        <x:v>EGKR-S26-MATHP-960-11, EGKR-S26-MATHP-960-12</x:v>
      </x:c>
      <x:c r="L652" s="87" t="str">
        <x:v>CROP_VERIFIED</x:v>
      </x:c>
      <x:c r="M652" s="87" t="str">
        <x:v>ORIGINAL_PACKAGE</x:v>
      </x:c>
      <x:c r="N652" s="87" t="str">
        <x:v>pages/VIS-EGKR-MATHP-S26-TASK-960-P004.png</x:v>
      </x:c>
      <x:c r="O652" s="87" t="str">
        <x:v>thumbnails/VIS-EGKR-MATHP-S26-TASK-960-P004.jpg</x:v>
      </x:c>
      <x:c r="P652" s="87" t="str">
        <x:v>a67f52a5a77e612d6e109754c4121d0ecc447bc0b69918f5c882a3ee571f813b</x:v>
      </x:c>
      <x:c r="Q652" s="30" t="str">
        <x:v>incoming/raw/recovery-drop-01/mathematics_profile_egkr_spring_visual_assets_v103.zip!/pages/VIS-EGKR-MATHP-S26-TASK-960-P004.png</x:v>
      </x:c>
      <x:c r="R652" s="30" t="str">
        <x:v>MATCHED_ASSET</x:v>
      </x:c>
      <x:c r="S652" t="e">
        <x:f>HYPERLINK("visual_gallery/index.html#"&amp;A652,"Галерея")</x:f>
      </x:c>
    </x:row>
    <x:row r="653">
      <x:c r="A653" s="87" t="str">
        <x:v>VIS-EGKR-MATHP-S26-TASK-960-P005</x:v>
      </x:c>
      <x:c r="B653" s="30" t="str">
        <x:v>Математика (профиль)</x:v>
      </x:c>
      <x:c r="C653" s="30"/>
      <x:c r="D653" s="30" t="str">
        <x:v>960</x:v>
      </x:c>
      <x:c r="E653" s="87" t="str">
        <x:v>TASK</x:v>
      </x:c>
      <x:c r="F653" s="30" t="str">
        <x:v>Вариант 960_проф.pdf</x:v>
      </x:c>
      <x:c r="G653" s="87" t="str">
        <x:v>5</x:v>
      </x:c>
      <x:c r="H653" s="87" t="str">
        <x:v>v1.03</x:v>
      </x:c>
      <x:c r="I653" s="87" t="str">
        <x:v>5</x:v>
      </x:c>
      <x:c r="J653" s="30" t="str">
        <x:v>VIS_ID</x:v>
      </x:c>
      <x:c r="K653" s="30" t="str">
        <x:v>EGKR-S26-MATHP-960-13, EGKR-S26-MATHP-960-14, EGKR-S26-MATHP-960-15, EGKR-S26-MATHP-960-16, EGKR-S26-MATHP-960-17</x:v>
      </x:c>
      <x:c r="L653" s="87" t="str">
        <x:v>CROP_VERIFIED</x:v>
      </x:c>
      <x:c r="M653" s="87" t="str">
        <x:v>ORIGINAL_PACKAGE</x:v>
      </x:c>
      <x:c r="N653" s="87" t="str">
        <x:v>pages/VIS-EGKR-MATHP-S26-TASK-960-P005.png</x:v>
      </x:c>
      <x:c r="O653" s="87" t="str">
        <x:v>thumbnails/VIS-EGKR-MATHP-S26-TASK-960-P005.jpg</x:v>
      </x:c>
      <x:c r="P653" s="87" t="str">
        <x:v>462d40fb6801d53ac04bfb6f9e55e9f747bb1ff3a807d80ee456f70444ba7707</x:v>
      </x:c>
      <x:c r="Q653" s="30" t="str">
        <x:v>incoming/raw/recovery-drop-01/mathematics_profile_egkr_spring_visual_assets_v103.zip!/pages/VIS-EGKR-MATHP-S26-TASK-960-P005.png</x:v>
      </x:c>
      <x:c r="R653" s="30" t="str">
        <x:v>MATCHED_ASSET</x:v>
      </x:c>
      <x:c r="S653" t="e">
        <x:f>HYPERLINK("visual_gallery/index.html#"&amp;A653,"Галерея")</x:f>
      </x:c>
    </x:row>
    <x:row r="654">
      <x:c r="A654" s="87" t="str">
        <x:v>VIS-EGKR-MATHP-S26-TASK-960-P006</x:v>
      </x:c>
      <x:c r="B654" s="30" t="str">
        <x:v>Математика (профиль)</x:v>
      </x:c>
      <x:c r="C654" s="30"/>
      <x:c r="D654" s="30" t="str">
        <x:v>960</x:v>
      </x:c>
      <x:c r="E654" s="87" t="str">
        <x:v>TASK</x:v>
      </x:c>
      <x:c r="F654" s="30" t="str">
        <x:v>Вариант 960_проф.pdf</x:v>
      </x:c>
      <x:c r="G654" s="87" t="str">
        <x:v>6</x:v>
      </x:c>
      <x:c r="H654" s="87" t="str">
        <x:v>v1.03</x:v>
      </x:c>
      <x:c r="I654" s="87" t="str">
        <x:v>2</x:v>
      </x:c>
      <x:c r="J654" s="30" t="str">
        <x:v>VIS_ID</x:v>
      </x:c>
      <x:c r="K654" s="30" t="str">
        <x:v>EGKR-S26-MATHP-960-18, EGKR-S26-MATHP-960-19</x:v>
      </x:c>
      <x:c r="L654" s="87" t="str">
        <x:v>CROP_VERIFIED</x:v>
      </x:c>
      <x:c r="M654" s="87" t="str">
        <x:v>ORIGINAL_PACKAGE</x:v>
      </x:c>
      <x:c r="N654" s="87" t="str">
        <x:v>pages/VIS-EGKR-MATHP-S26-TASK-960-P006.png</x:v>
      </x:c>
      <x:c r="O654" s="87" t="str">
        <x:v>thumbnails/VIS-EGKR-MATHP-S26-TASK-960-P006.jpg</x:v>
      </x:c>
      <x:c r="P654" s="87" t="str">
        <x:v>1209adcdda26a2a90cb3d9eda37c56e81c7c23329c2da8c79421c78aecd7effd</x:v>
      </x:c>
      <x:c r="Q654" s="30" t="str">
        <x:v>incoming/raw/recovery-drop-01/mathematics_profile_egkr_spring_visual_assets_v103.zip!/pages/VIS-EGKR-MATHP-S26-TASK-960-P006.png</x:v>
      </x:c>
      <x:c r="R654" s="30" t="str">
        <x:v>MATCHED_ASSET</x:v>
      </x:c>
      <x:c r="S654" t="e">
        <x:f>HYPERLINK("visual_gallery/index.html#"&amp;A654,"Галерея")</x:f>
      </x:c>
    </x:row>
    <x:row r="655">
      <x:c r="A655" s="87" t="str">
        <x:v>VIS-EGKR-MATHP-S26-TASK-961-P001</x:v>
      </x:c>
      <x:c r="B655" s="30" t="str"/>
      <x:c r="C655" s="30"/>
      <x:c r="D655" s="30" t="str">
        <x:v>961</x:v>
      </x:c>
      <x:c r="E655" s="87" t="str">
        <x:v>TASK</x:v>
      </x:c>
      <x:c r="F655" s="30" t="str">
        <x:v>Вариант 961_проф.pdf</x:v>
      </x:c>
      <x:c r="G655" s="87" t="str">
        <x:v>1</x:v>
      </x:c>
      <x:c r="H655" s="87" t="str">
        <x:v>v1.03</x:v>
      </x:c>
      <x:c r="I655" s="87" t="str">
        <x:v>0</x:v>
      </x:c>
      <x:c r="J655" s="30" t="str"/>
      <x:c r="K655" s="30" t="str"/>
      <x:c r="L655" s="87" t="str">
        <x:v>CROP_VERIFIED</x:v>
      </x:c>
      <x:c r="M655" s="87" t="str">
        <x:v>ORIGINAL_PACKAGE</x:v>
      </x:c>
      <x:c r="N655" s="87" t="str">
        <x:v>pages/VIS-EGKR-MATHP-S26-TASK-961-P001.png</x:v>
      </x:c>
      <x:c r="O655" s="87" t="str">
        <x:v>thumbnails/VIS-EGKR-MATHP-S26-TASK-961-P001.jpg</x:v>
      </x:c>
      <x:c r="P655" s="87" t="str">
        <x:v>59b18ab23a64fe7e21192332dfb8330fbc09f67565093d4f3712182a07978679</x:v>
      </x:c>
      <x:c r="Q655" s="30" t="str">
        <x:v>incoming/raw/recovery-drop-01/mathematics_profile_egkr_spring_visual_assets_v103.zip!/pages/VIS-EGKR-MATHP-S26-TASK-961-P001.png</x:v>
      </x:c>
      <x:c r="R655" s="30" t="str">
        <x:v>RESOLVED_UNLINKED_REGISTRY_VISUAL</x:v>
      </x:c>
      <x:c r="S655" t="e">
        <x:f>HYPERLINK("visual_gallery/index.html#"&amp;A655,"Галерея")</x:f>
      </x:c>
    </x:row>
    <x:row r="656">
      <x:c r="A656" s="87" t="str">
        <x:v>VIS-EGKR-MATHP-S26-TASK-961-P002</x:v>
      </x:c>
      <x:c r="B656" s="30" t="str">
        <x:v>Математика (профиль)</x:v>
      </x:c>
      <x:c r="C656" s="30"/>
      <x:c r="D656" s="30" t="str">
        <x:v>961</x:v>
      </x:c>
      <x:c r="E656" s="87" t="str">
        <x:v>TASK</x:v>
      </x:c>
      <x:c r="F656" s="30" t="str">
        <x:v>Вариант 961_проф.pdf</x:v>
      </x:c>
      <x:c r="G656" s="87" t="str">
        <x:v>2</x:v>
      </x:c>
      <x:c r="H656" s="87" t="str">
        <x:v>v1.03</x:v>
      </x:c>
      <x:c r="I656" s="87" t="str">
        <x:v>5</x:v>
      </x:c>
      <x:c r="J656" s="30" t="str">
        <x:v>VIS_ID</x:v>
      </x:c>
      <x:c r="K656" s="30" t="str">
        <x:v>EGKR-S26-MATHP-961-01, EGKR-S26-MATHP-961-02, EGKR-S26-MATHP-961-03, EGKR-S26-MATHP-961-04, EGKR-S26-MATHP-961-05</x:v>
      </x:c>
      <x:c r="L656" s="87" t="str">
        <x:v>CROP_VERIFIED</x:v>
      </x:c>
      <x:c r="M656" s="87" t="str">
        <x:v>ORIGINAL_PACKAGE</x:v>
      </x:c>
      <x:c r="N656" s="87" t="str">
        <x:v>pages/VIS-EGKR-MATHP-S26-TASK-961-P002.png</x:v>
      </x:c>
      <x:c r="O656" s="87" t="str">
        <x:v>thumbnails/VIS-EGKR-MATHP-S26-TASK-961-P002.jpg</x:v>
      </x:c>
      <x:c r="P656" s="87" t="str">
        <x:v>74beb889b1f7d4f4cce461220372c69ae10b5ec563c80adc003e1c7d09f14f3e</x:v>
      </x:c>
      <x:c r="Q656" s="30" t="str">
        <x:v>incoming/raw/recovery-drop-01/mathematics_profile_egkr_spring_visual_assets_v103.zip!/pages/VIS-EGKR-MATHP-S26-TASK-961-P002.png</x:v>
      </x:c>
      <x:c r="R656" s="30" t="str">
        <x:v>MATCHED_ASSET</x:v>
      </x:c>
      <x:c r="S656" t="e">
        <x:f>HYPERLINK("visual_gallery/index.html#"&amp;A656,"Галерея")</x:f>
      </x:c>
    </x:row>
    <x:row r="657">
      <x:c r="A657" s="87" t="str">
        <x:v>VIS-EGKR-MATHP-S26-TASK-961-P003</x:v>
      </x:c>
      <x:c r="B657" s="30" t="str">
        <x:v>Математика (профиль)</x:v>
      </x:c>
      <x:c r="C657" s="30"/>
      <x:c r="D657" s="30" t="str">
        <x:v>961</x:v>
      </x:c>
      <x:c r="E657" s="87" t="str">
        <x:v>TASK</x:v>
      </x:c>
      <x:c r="F657" s="30" t="str">
        <x:v>Вариант 961_проф.pdf</x:v>
      </x:c>
      <x:c r="G657" s="87" t="str">
        <x:v>3</x:v>
      </x:c>
      <x:c r="H657" s="87" t="str">
        <x:v>v1.03</x:v>
      </x:c>
      <x:c r="I657" s="87" t="str">
        <x:v>5</x:v>
      </x:c>
      <x:c r="J657" s="30" t="str">
        <x:v>VIS_ID</x:v>
      </x:c>
      <x:c r="K657" s="30" t="str">
        <x:v>EGKR-S26-MATHP-961-06, EGKR-S26-MATHP-961-07, EGKR-S26-MATHP-961-08, EGKR-S26-MATHP-961-09, EGKR-S26-MATHP-961-10</x:v>
      </x:c>
      <x:c r="L657" s="87" t="str">
        <x:v>CROP_VERIFIED</x:v>
      </x:c>
      <x:c r="M657" s="87" t="str">
        <x:v>ORIGINAL_PACKAGE</x:v>
      </x:c>
      <x:c r="N657" s="87" t="str">
        <x:v>pages/VIS-EGKR-MATHP-S26-TASK-961-P003.png</x:v>
      </x:c>
      <x:c r="O657" s="87" t="str">
        <x:v>thumbnails/VIS-EGKR-MATHP-S26-TASK-961-P003.jpg</x:v>
      </x:c>
      <x:c r="P657" s="87" t="str">
        <x:v>c3aeed891276e493600c6ec354a2d3865f971455f1c02e9d76b7387f149d88ba</x:v>
      </x:c>
      <x:c r="Q657" s="30" t="str">
        <x:v>incoming/raw/recovery-drop-01/mathematics_profile_egkr_spring_visual_assets_v103.zip!/pages/VIS-EGKR-MATHP-S26-TASK-961-P003.png</x:v>
      </x:c>
      <x:c r="R657" s="30" t="str">
        <x:v>MATCHED_ASSET</x:v>
      </x:c>
      <x:c r="S657" t="e">
        <x:f>HYPERLINK("visual_gallery/index.html#"&amp;A657,"Галерея")</x:f>
      </x:c>
    </x:row>
    <x:row r="658">
      <x:c r="A658" s="87" t="str">
        <x:v>VIS-EGKR-MATHP-S26-TASK-961-P004</x:v>
      </x:c>
      <x:c r="B658" s="30" t="str">
        <x:v>Математика (профиль)</x:v>
      </x:c>
      <x:c r="C658" s="30"/>
      <x:c r="D658" s="30" t="str">
        <x:v>961</x:v>
      </x:c>
      <x:c r="E658" s="87" t="str">
        <x:v>TASK</x:v>
      </x:c>
      <x:c r="F658" s="30" t="str">
        <x:v>Вариант 961_проф.pdf</x:v>
      </x:c>
      <x:c r="G658" s="87" t="str">
        <x:v>4</x:v>
      </x:c>
      <x:c r="H658" s="87" t="str">
        <x:v>v1.03</x:v>
      </x:c>
      <x:c r="I658" s="87" t="str">
        <x:v>2</x:v>
      </x:c>
      <x:c r="J658" s="30" t="str">
        <x:v>VIS_ID</x:v>
      </x:c>
      <x:c r="K658" s="30" t="str">
        <x:v>EGKR-S26-MATHP-961-11, EGKR-S26-MATHP-961-12</x:v>
      </x:c>
      <x:c r="L658" s="87" t="str">
        <x:v>CROP_VERIFIED</x:v>
      </x:c>
      <x:c r="M658" s="87" t="str">
        <x:v>ORIGINAL_PACKAGE</x:v>
      </x:c>
      <x:c r="N658" s="87" t="str">
        <x:v>pages/VIS-EGKR-MATHP-S26-TASK-961-P004.png</x:v>
      </x:c>
      <x:c r="O658" s="87" t="str">
        <x:v>thumbnails/VIS-EGKR-MATHP-S26-TASK-961-P004.jpg</x:v>
      </x:c>
      <x:c r="P658" s="87" t="str">
        <x:v>64d382c35125a1a4be66bb344cc9c91be4b87415c25173e7362eb221b2fd01a6</x:v>
      </x:c>
      <x:c r="Q658" s="30" t="str">
        <x:v>incoming/raw/recovery-drop-01/mathematics_profile_egkr_spring_visual_assets_v103.zip!/pages/VIS-EGKR-MATHP-S26-TASK-961-P004.png</x:v>
      </x:c>
      <x:c r="R658" s="30" t="str">
        <x:v>MATCHED_ASSET</x:v>
      </x:c>
      <x:c r="S658" t="e">
        <x:f>HYPERLINK("visual_gallery/index.html#"&amp;A658,"Галерея")</x:f>
      </x:c>
    </x:row>
    <x:row r="659">
      <x:c r="A659" s="87" t="str">
        <x:v>VIS-EGKR-MATHP-S26-TASK-961-P005</x:v>
      </x:c>
      <x:c r="B659" s="30" t="str">
        <x:v>Математика (профиль)</x:v>
      </x:c>
      <x:c r="C659" s="30"/>
      <x:c r="D659" s="30" t="str">
        <x:v>961</x:v>
      </x:c>
      <x:c r="E659" s="87" t="str">
        <x:v>TASK</x:v>
      </x:c>
      <x:c r="F659" s="30" t="str">
        <x:v>Вариант 961_проф.pdf</x:v>
      </x:c>
      <x:c r="G659" s="87" t="str">
        <x:v>5</x:v>
      </x:c>
      <x:c r="H659" s="87" t="str">
        <x:v>v1.03</x:v>
      </x:c>
      <x:c r="I659" s="87" t="str">
        <x:v>4</x:v>
      </x:c>
      <x:c r="J659" s="30" t="str">
        <x:v>VIS_ID</x:v>
      </x:c>
      <x:c r="K659" s="30" t="str">
        <x:v>EGKR-S26-MATHP-961-13, EGKR-S26-MATHP-961-14, EGKR-S26-MATHP-961-15, EGKR-S26-MATHP-961-16</x:v>
      </x:c>
      <x:c r="L659" s="87" t="str">
        <x:v>CROP_VERIFIED</x:v>
      </x:c>
      <x:c r="M659" s="87" t="str">
        <x:v>ORIGINAL_PACKAGE</x:v>
      </x:c>
      <x:c r="N659" s="87" t="str">
        <x:v>pages/VIS-EGKR-MATHP-S26-TASK-961-P005.png</x:v>
      </x:c>
      <x:c r="O659" s="87" t="str">
        <x:v>thumbnails/VIS-EGKR-MATHP-S26-TASK-961-P005.jpg</x:v>
      </x:c>
      <x:c r="P659" s="87" t="str">
        <x:v>be40f4d838f53bb28bad7a0e4109feea3e1a7be90755e1c38c3692c07214205e</x:v>
      </x:c>
      <x:c r="Q659" s="30" t="str">
        <x:v>incoming/raw/recovery-drop-01/mathematics_profile_egkr_spring_visual_assets_v103.zip!/pages/VIS-EGKR-MATHP-S26-TASK-961-P005.png</x:v>
      </x:c>
      <x:c r="R659" s="30" t="str">
        <x:v>MATCHED_ASSET</x:v>
      </x:c>
      <x:c r="S659" t="e">
        <x:f>HYPERLINK("visual_gallery/index.html#"&amp;A659,"Галерея")</x:f>
      </x:c>
    </x:row>
    <x:row r="660">
      <x:c r="A660" s="87" t="str">
        <x:v>VIS-EGKR-MATHP-S26-TASK-962-P001</x:v>
      </x:c>
      <x:c r="B660" s="30" t="str"/>
      <x:c r="C660" s="30"/>
      <x:c r="D660" s="30" t="str">
        <x:v>962</x:v>
      </x:c>
      <x:c r="E660" s="87" t="str">
        <x:v>TASK</x:v>
      </x:c>
      <x:c r="F660" s="30" t="str">
        <x:v>Вариант 962_проф.pdf</x:v>
      </x:c>
      <x:c r="G660" s="87" t="str">
        <x:v>1</x:v>
      </x:c>
      <x:c r="H660" s="87" t="str">
        <x:v>v1.03</x:v>
      </x:c>
      <x:c r="I660" s="87" t="str">
        <x:v>0</x:v>
      </x:c>
      <x:c r="J660" s="30" t="str"/>
      <x:c r="K660" s="30" t="str"/>
      <x:c r="L660" s="87" t="str">
        <x:v>CROP_VERIFIED</x:v>
      </x:c>
      <x:c r="M660" s="87" t="str">
        <x:v>ORIGINAL_PACKAGE</x:v>
      </x:c>
      <x:c r="N660" s="87" t="str">
        <x:v>pages/VIS-EGKR-MATHP-S26-TASK-962-P001.png</x:v>
      </x:c>
      <x:c r="O660" s="87" t="str">
        <x:v>thumbnails/VIS-EGKR-MATHP-S26-TASK-962-P001.jpg</x:v>
      </x:c>
      <x:c r="P660" s="87" t="str">
        <x:v>504b2a07186408d8fb3e346ebd698370590a2c3650de3da3c54be2bfb88b714a</x:v>
      </x:c>
      <x:c r="Q660" s="30" t="str">
        <x:v>incoming/raw/recovery-drop-01/mathematics_profile_egkr_spring_visual_assets_v103.zip!/pages/VIS-EGKR-MATHP-S26-TASK-962-P001.png</x:v>
      </x:c>
      <x:c r="R660" s="30" t="str">
        <x:v>RESOLVED_UNLINKED_REGISTRY_VISUAL</x:v>
      </x:c>
      <x:c r="S660" t="e">
        <x:f>HYPERLINK("visual_gallery/index.html#"&amp;A660,"Галерея")</x:f>
      </x:c>
    </x:row>
    <x:row r="661">
      <x:c r="A661" s="87" t="str">
        <x:v>VIS-EGKR-MATHP-S26-TASK-962-P002</x:v>
      </x:c>
      <x:c r="B661" s="30" t="str">
        <x:v>Математика (профиль)</x:v>
      </x:c>
      <x:c r="C661" s="30"/>
      <x:c r="D661" s="30" t="str">
        <x:v>962</x:v>
      </x:c>
      <x:c r="E661" s="87" t="str">
        <x:v>TASK</x:v>
      </x:c>
      <x:c r="F661" s="30" t="str">
        <x:v>Вариант 962_проф.pdf</x:v>
      </x:c>
      <x:c r="G661" s="87" t="str">
        <x:v>2</x:v>
      </x:c>
      <x:c r="H661" s="87" t="str">
        <x:v>v1.03</x:v>
      </x:c>
      <x:c r="I661" s="87" t="str">
        <x:v>5</x:v>
      </x:c>
      <x:c r="J661" s="30" t="str">
        <x:v>VIS_ID</x:v>
      </x:c>
      <x:c r="K661" s="30" t="str">
        <x:v>EGKR-S26-MATHP-962-01, EGKR-S26-MATHP-962-02, EGKR-S26-MATHP-962-03, EGKR-S26-MATHP-962-04, EGKR-S26-MATHP-962-05</x:v>
      </x:c>
      <x:c r="L661" s="87" t="str">
        <x:v>CROP_VERIFIED</x:v>
      </x:c>
      <x:c r="M661" s="87" t="str">
        <x:v>ORIGINAL_PACKAGE</x:v>
      </x:c>
      <x:c r="N661" s="87" t="str">
        <x:v>pages/VIS-EGKR-MATHP-S26-TASK-962-P002.png</x:v>
      </x:c>
      <x:c r="O661" s="87" t="str">
        <x:v>thumbnails/VIS-EGKR-MATHP-S26-TASK-962-P002.jpg</x:v>
      </x:c>
      <x:c r="P661" s="87" t="str">
        <x:v>c127fd3934f84074a88287a8380ed5b426d0aa6533d2997e7342f5ad6be2fe31</x:v>
      </x:c>
      <x:c r="Q661" s="30" t="str">
        <x:v>incoming/raw/recovery-drop-01/mathematics_profile_egkr_spring_visual_assets_v103.zip!/pages/VIS-EGKR-MATHP-S26-TASK-962-P002.png</x:v>
      </x:c>
      <x:c r="R661" s="30" t="str">
        <x:v>MATCHED_ASSET</x:v>
      </x:c>
      <x:c r="S661" t="e">
        <x:f>HYPERLINK("visual_gallery/index.html#"&amp;A661,"Галерея")</x:f>
      </x:c>
    </x:row>
    <x:row r="662">
      <x:c r="A662" s="87" t="str">
        <x:v>VIS-EGKR-MATHP-S26-TASK-962-P003</x:v>
      </x:c>
      <x:c r="B662" s="30" t="str">
        <x:v>Математика (профиль)</x:v>
      </x:c>
      <x:c r="C662" s="30"/>
      <x:c r="D662" s="30" t="str">
        <x:v>962</x:v>
      </x:c>
      <x:c r="E662" s="87" t="str">
        <x:v>TASK</x:v>
      </x:c>
      <x:c r="F662" s="30" t="str">
        <x:v>Вариант 962_проф.pdf</x:v>
      </x:c>
      <x:c r="G662" s="87" t="str">
        <x:v>3</x:v>
      </x:c>
      <x:c r="H662" s="87" t="str">
        <x:v>v1.03</x:v>
      </x:c>
      <x:c r="I662" s="87" t="str">
        <x:v>5</x:v>
      </x:c>
      <x:c r="J662" s="30" t="str">
        <x:v>VIS_ID</x:v>
      </x:c>
      <x:c r="K662" s="30" t="str">
        <x:v>EGKR-S26-MATHP-962-06, EGKR-S26-MATHP-962-07, EGKR-S26-MATHP-962-08, EGKR-S26-MATHP-962-09, EGKR-S26-MATHP-962-10</x:v>
      </x:c>
      <x:c r="L662" s="87" t="str">
        <x:v>CROP_VERIFIED</x:v>
      </x:c>
      <x:c r="M662" s="87" t="str">
        <x:v>ORIGINAL_PACKAGE</x:v>
      </x:c>
      <x:c r="N662" s="87" t="str">
        <x:v>pages/VIS-EGKR-MATHP-S26-TASK-962-P003.png</x:v>
      </x:c>
      <x:c r="O662" s="87" t="str">
        <x:v>thumbnails/VIS-EGKR-MATHP-S26-TASK-962-P003.jpg</x:v>
      </x:c>
      <x:c r="P662" s="87" t="str">
        <x:v>bd4ae15ebcdbcd7503122e3deffac616a1ba097a87978c9d0bb26a8caa50e392</x:v>
      </x:c>
      <x:c r="Q662" s="30" t="str">
        <x:v>incoming/raw/recovery-drop-01/mathematics_profile_egkr_spring_visual_assets_v103.zip!/pages/VIS-EGKR-MATHP-S26-TASK-962-P003.png</x:v>
      </x:c>
      <x:c r="R662" s="30" t="str">
        <x:v>MATCHED_ASSET</x:v>
      </x:c>
      <x:c r="S662" t="e">
        <x:f>HYPERLINK("visual_gallery/index.html#"&amp;A662,"Галерея")</x:f>
      </x:c>
    </x:row>
    <x:row r="663">
      <x:c r="A663" s="87" t="str">
        <x:v>VIS-EGKR-MATHP-S26-TASK-962-P004</x:v>
      </x:c>
      <x:c r="B663" s="30" t="str">
        <x:v>Математика (профиль)</x:v>
      </x:c>
      <x:c r="C663" s="30"/>
      <x:c r="D663" s="30" t="str">
        <x:v>962</x:v>
      </x:c>
      <x:c r="E663" s="87" t="str">
        <x:v>TASK</x:v>
      </x:c>
      <x:c r="F663" s="30" t="str">
        <x:v>Вариант 962_проф.pdf</x:v>
      </x:c>
      <x:c r="G663" s="87" t="str">
        <x:v>4</x:v>
      </x:c>
      <x:c r="H663" s="87" t="str">
        <x:v>v1.03</x:v>
      </x:c>
      <x:c r="I663" s="87" t="str">
        <x:v>2</x:v>
      </x:c>
      <x:c r="J663" s="30" t="str">
        <x:v>VIS_ID</x:v>
      </x:c>
      <x:c r="K663" s="30" t="str">
        <x:v>EGKR-S26-MATHP-962-11, EGKR-S26-MATHP-962-12</x:v>
      </x:c>
      <x:c r="L663" s="87" t="str">
        <x:v>CROP_VERIFIED</x:v>
      </x:c>
      <x:c r="M663" s="87" t="str">
        <x:v>ORIGINAL_PACKAGE</x:v>
      </x:c>
      <x:c r="N663" s="87" t="str">
        <x:v>pages/VIS-EGKR-MATHP-S26-TASK-962-P004.png</x:v>
      </x:c>
      <x:c r="O663" s="87" t="str">
        <x:v>thumbnails/VIS-EGKR-MATHP-S26-TASK-962-P004.jpg</x:v>
      </x:c>
      <x:c r="P663" s="87" t="str">
        <x:v>9735bdbd824b90b82cf124b330ffdfc1ac8eff0d20fa2c77e49963529f7b3612</x:v>
      </x:c>
      <x:c r="Q663" s="30" t="str">
        <x:v>incoming/raw/recovery-drop-01/mathematics_profile_egkr_spring_visual_assets_v103.zip!/pages/VIS-EGKR-MATHP-S26-TASK-962-P004.png</x:v>
      </x:c>
      <x:c r="R663" s="30" t="str">
        <x:v>MATCHED_ASSET</x:v>
      </x:c>
      <x:c r="S663" t="e">
        <x:f>HYPERLINK("visual_gallery/index.html#"&amp;A663,"Галерея")</x:f>
      </x:c>
    </x:row>
    <x:row r="664">
      <x:c r="A664" s="87" t="str">
        <x:v>VIS-EGKR-MATHP-S26-TASK-962-P005</x:v>
      </x:c>
      <x:c r="B664" s="30" t="str">
        <x:v>Математика (профиль)</x:v>
      </x:c>
      <x:c r="C664" s="30"/>
      <x:c r="D664" s="30" t="str">
        <x:v>962</x:v>
      </x:c>
      <x:c r="E664" s="87" t="str">
        <x:v>TASK</x:v>
      </x:c>
      <x:c r="F664" s="30" t="str">
        <x:v>Вариант 962_проф.pdf</x:v>
      </x:c>
      <x:c r="G664" s="87" t="str">
        <x:v>5</x:v>
      </x:c>
      <x:c r="H664" s="87" t="str">
        <x:v>v1.03</x:v>
      </x:c>
      <x:c r="I664" s="87" t="str">
        <x:v>5</x:v>
      </x:c>
      <x:c r="J664" s="30" t="str">
        <x:v>VIS_ID</x:v>
      </x:c>
      <x:c r="K664" s="30" t="str">
        <x:v>EGKR-S26-MATHP-962-13, EGKR-S26-MATHP-962-14, EGKR-S26-MATHP-962-15, EGKR-S26-MATHP-962-16, EGKR-S26-MATHP-962-17</x:v>
      </x:c>
      <x:c r="L664" s="87" t="str">
        <x:v>CROP_VERIFIED</x:v>
      </x:c>
      <x:c r="M664" s="87" t="str">
        <x:v>ORIGINAL_PACKAGE</x:v>
      </x:c>
      <x:c r="N664" s="87" t="str">
        <x:v>pages/VIS-EGKR-MATHP-S26-TASK-962-P005.png</x:v>
      </x:c>
      <x:c r="O664" s="87" t="str">
        <x:v>thumbnails/VIS-EGKR-MATHP-S26-TASK-962-P005.jpg</x:v>
      </x:c>
      <x:c r="P664" s="87" t="str">
        <x:v>4815c14b57560b8616de075a4611af6ea3bf0f49df2fc0fae4d2d8fbb97cb791</x:v>
      </x:c>
      <x:c r="Q664" s="30" t="str">
        <x:v>incoming/raw/recovery-drop-01/mathematics_profile_egkr_spring_visual_assets_v103.zip!/pages/VIS-EGKR-MATHP-S26-TASK-962-P005.png</x:v>
      </x:c>
      <x:c r="R664" s="30" t="str">
        <x:v>MATCHED_ASSET</x:v>
      </x:c>
      <x:c r="S664" t="e">
        <x:f>HYPERLINK("visual_gallery/index.html#"&amp;A664,"Галерея")</x:f>
      </x:c>
    </x:row>
    <x:row r="665">
      <x:c r="A665" s="87" t="str">
        <x:v>VIS-EGKR-MATHP-S26-TASK-962-P006</x:v>
      </x:c>
      <x:c r="B665" s="30" t="str">
        <x:v>Математика (профиль)</x:v>
      </x:c>
      <x:c r="C665" s="30"/>
      <x:c r="D665" s="30" t="str">
        <x:v>962</x:v>
      </x:c>
      <x:c r="E665" s="87" t="str">
        <x:v>TASK</x:v>
      </x:c>
      <x:c r="F665" s="30" t="str">
        <x:v>Вариант 962_проф.pdf</x:v>
      </x:c>
      <x:c r="G665" s="87" t="str">
        <x:v>6</x:v>
      </x:c>
      <x:c r="H665" s="87" t="str">
        <x:v>v1.03</x:v>
      </x:c>
      <x:c r="I665" s="87" t="str">
        <x:v>2</x:v>
      </x:c>
      <x:c r="J665" s="30" t="str">
        <x:v>VIS_ID</x:v>
      </x:c>
      <x:c r="K665" s="30" t="str">
        <x:v>EGKR-S26-MATHP-962-18, EGKR-S26-MATHP-962-19</x:v>
      </x:c>
      <x:c r="L665" s="87" t="str">
        <x:v>CROP_VERIFIED</x:v>
      </x:c>
      <x:c r="M665" s="87" t="str">
        <x:v>ORIGINAL_PACKAGE</x:v>
      </x:c>
      <x:c r="N665" s="87" t="str">
        <x:v>pages/VIS-EGKR-MATHP-S26-TASK-962-P006.png</x:v>
      </x:c>
      <x:c r="O665" s="87" t="str">
        <x:v>thumbnails/VIS-EGKR-MATHP-S26-TASK-962-P006.jpg</x:v>
      </x:c>
      <x:c r="P665" s="87" t="str">
        <x:v>c00e49f15e84b1c78485feb7a2774c1e1a42ac5225523e79aa18e32a7377b397</x:v>
      </x:c>
      <x:c r="Q665" s="30" t="str">
        <x:v>incoming/raw/recovery-drop-01/mathematics_profile_egkr_spring_visual_assets_v103.zip!/pages/VIS-EGKR-MATHP-S26-TASK-962-P006.png</x:v>
      </x:c>
      <x:c r="R665" s="30" t="str">
        <x:v>MATCHED_ASSET</x:v>
      </x:c>
      <x:c r="S665" t="e">
        <x:f>HYPERLINK("visual_gallery/index.html#"&amp;A665,"Галерея")</x:f>
      </x:c>
    </x:row>
    <x:row r="666">
      <x:c r="A666" s="87" t="str">
        <x:v>VIS-EGKR-MATHP-S26-TASK-963-P001</x:v>
      </x:c>
      <x:c r="B666" s="30" t="str"/>
      <x:c r="C666" s="30"/>
      <x:c r="D666" s="30" t="str">
        <x:v>963</x:v>
      </x:c>
      <x:c r="E666" s="87" t="str">
        <x:v>TASK</x:v>
      </x:c>
      <x:c r="F666" s="30" t="str">
        <x:v>Вариант 963_проф.pdf</x:v>
      </x:c>
      <x:c r="G666" s="87" t="str">
        <x:v>1</x:v>
      </x:c>
      <x:c r="H666" s="87" t="str">
        <x:v>v1.03</x:v>
      </x:c>
      <x:c r="I666" s="87" t="str">
        <x:v>0</x:v>
      </x:c>
      <x:c r="J666" s="30" t="str"/>
      <x:c r="K666" s="30" t="str"/>
      <x:c r="L666" s="87" t="str">
        <x:v>CROP_VERIFIED</x:v>
      </x:c>
      <x:c r="M666" s="87" t="str">
        <x:v>ORIGINAL_PACKAGE</x:v>
      </x:c>
      <x:c r="N666" s="87" t="str">
        <x:v>pages/VIS-EGKR-MATHP-S26-TASK-963-P001.png</x:v>
      </x:c>
      <x:c r="O666" s="87" t="str">
        <x:v>thumbnails/VIS-EGKR-MATHP-S26-TASK-963-P001.jpg</x:v>
      </x:c>
      <x:c r="P666" s="87" t="str">
        <x:v>8622bbbc2d3aed7dd5e02d33e97d6946e93a386fb57a9fb71db8d96dac81520b</x:v>
      </x:c>
      <x:c r="Q666" s="30" t="str">
        <x:v>incoming/raw/recovery-drop-01/mathematics_profile_egkr_spring_visual_assets_v103.zip!/pages/VIS-EGKR-MATHP-S26-TASK-963-P001.png</x:v>
      </x:c>
      <x:c r="R666" s="30" t="str">
        <x:v>RESOLVED_UNLINKED_REGISTRY_VISUAL</x:v>
      </x:c>
      <x:c r="S666" t="e">
        <x:f>HYPERLINK("visual_gallery/index.html#"&amp;A666,"Галерея")</x:f>
      </x:c>
    </x:row>
    <x:row r="667">
      <x:c r="A667" s="87" t="str">
        <x:v>VIS-EGKR-MATHP-S26-TASK-963-P002</x:v>
      </x:c>
      <x:c r="B667" s="30" t="str">
        <x:v>Математика (профиль)</x:v>
      </x:c>
      <x:c r="C667" s="30"/>
      <x:c r="D667" s="30" t="str">
        <x:v>963</x:v>
      </x:c>
      <x:c r="E667" s="87" t="str">
        <x:v>TASK</x:v>
      </x:c>
      <x:c r="F667" s="30" t="str">
        <x:v>Вариант 963_проф.pdf</x:v>
      </x:c>
      <x:c r="G667" s="87" t="str">
        <x:v>2</x:v>
      </x:c>
      <x:c r="H667" s="87" t="str">
        <x:v>v1.03</x:v>
      </x:c>
      <x:c r="I667" s="87" t="str">
        <x:v>5</x:v>
      </x:c>
      <x:c r="J667" s="30" t="str">
        <x:v>VIS_ID</x:v>
      </x:c>
      <x:c r="K667" s="30" t="str">
        <x:v>EGKR-S26-MATHP-963-01, EGKR-S26-MATHP-963-02, EGKR-S26-MATHP-963-03, EGKR-S26-MATHP-963-04, EGKR-S26-MATHP-963-05</x:v>
      </x:c>
      <x:c r="L667" s="87" t="str">
        <x:v>CROP_VERIFIED</x:v>
      </x:c>
      <x:c r="M667" s="87" t="str">
        <x:v>ORIGINAL_PACKAGE</x:v>
      </x:c>
      <x:c r="N667" s="87" t="str">
        <x:v>pages/VIS-EGKR-MATHP-S26-TASK-963-P002.png</x:v>
      </x:c>
      <x:c r="O667" s="87" t="str">
        <x:v>thumbnails/VIS-EGKR-MATHP-S26-TASK-963-P002.jpg</x:v>
      </x:c>
      <x:c r="P667" s="87" t="str">
        <x:v>26acc6bdae1312929694a465aa96d0d7598ec566606df442cf9dd77d376b86ad</x:v>
      </x:c>
      <x:c r="Q667" s="30" t="str">
        <x:v>incoming/raw/recovery-drop-01/mathematics_profile_egkr_spring_visual_assets_v103.zip!/pages/VIS-EGKR-MATHP-S26-TASK-963-P002.png</x:v>
      </x:c>
      <x:c r="R667" s="30" t="str">
        <x:v>MATCHED_ASSET</x:v>
      </x:c>
      <x:c r="S667" t="e">
        <x:f>HYPERLINK("visual_gallery/index.html#"&amp;A667,"Галерея")</x:f>
      </x:c>
    </x:row>
    <x:row r="668">
      <x:c r="A668" s="87" t="str">
        <x:v>VIS-EGKR-MATHP-S26-TASK-963-P003</x:v>
      </x:c>
      <x:c r="B668" s="30" t="str">
        <x:v>Математика (профиль)</x:v>
      </x:c>
      <x:c r="C668" s="30"/>
      <x:c r="D668" s="30" t="str">
        <x:v>963</x:v>
      </x:c>
      <x:c r="E668" s="87" t="str">
        <x:v>TASK</x:v>
      </x:c>
      <x:c r="F668" s="30" t="str">
        <x:v>Вариант 963_проф.pdf</x:v>
      </x:c>
      <x:c r="G668" s="87" t="str">
        <x:v>3</x:v>
      </x:c>
      <x:c r="H668" s="87" t="str">
        <x:v>v1.03</x:v>
      </x:c>
      <x:c r="I668" s="87" t="str">
        <x:v>5</x:v>
      </x:c>
      <x:c r="J668" s="30" t="str">
        <x:v>VIS_ID</x:v>
      </x:c>
      <x:c r="K668" s="30" t="str">
        <x:v>EGKR-S26-MATHP-963-06, EGKR-S26-MATHP-963-07, EGKR-S26-MATHP-963-08, EGKR-S26-MATHP-963-09, EGKR-S26-MATHP-963-10</x:v>
      </x:c>
      <x:c r="L668" s="87" t="str">
        <x:v>CROP_VERIFIED</x:v>
      </x:c>
      <x:c r="M668" s="87" t="str">
        <x:v>ORIGINAL_PACKAGE</x:v>
      </x:c>
      <x:c r="N668" s="87" t="str">
        <x:v>pages/VIS-EGKR-MATHP-S26-TASK-963-P003.png</x:v>
      </x:c>
      <x:c r="O668" s="87" t="str">
        <x:v>thumbnails/VIS-EGKR-MATHP-S26-TASK-963-P003.jpg</x:v>
      </x:c>
      <x:c r="P668" s="87" t="str">
        <x:v>44ff42ccf5a37eb497cade73829192030b5a4a64811a72e6c81fe570b8d75e96</x:v>
      </x:c>
      <x:c r="Q668" s="30" t="str">
        <x:v>incoming/raw/recovery-drop-01/mathematics_profile_egkr_spring_visual_assets_v103.zip!/pages/VIS-EGKR-MATHP-S26-TASK-963-P003.png</x:v>
      </x:c>
      <x:c r="R668" s="30" t="str">
        <x:v>MATCHED_ASSET</x:v>
      </x:c>
      <x:c r="S668" t="e">
        <x:f>HYPERLINK("visual_gallery/index.html#"&amp;A668,"Галерея")</x:f>
      </x:c>
    </x:row>
    <x:row r="669">
      <x:c r="A669" s="87" t="str">
        <x:v>VIS-EGKR-MATHP-S26-TASK-963-P004</x:v>
      </x:c>
      <x:c r="B669" s="30" t="str">
        <x:v>Математика (профиль)</x:v>
      </x:c>
      <x:c r="C669" s="30"/>
      <x:c r="D669" s="30" t="str">
        <x:v>963</x:v>
      </x:c>
      <x:c r="E669" s="87" t="str">
        <x:v>TASK</x:v>
      </x:c>
      <x:c r="F669" s="30" t="str">
        <x:v>Вариант 963_проф.pdf</x:v>
      </x:c>
      <x:c r="G669" s="87" t="str">
        <x:v>4</x:v>
      </x:c>
      <x:c r="H669" s="87" t="str">
        <x:v>v1.03</x:v>
      </x:c>
      <x:c r="I669" s="87" t="str">
        <x:v>2</x:v>
      </x:c>
      <x:c r="J669" s="30" t="str">
        <x:v>VIS_ID</x:v>
      </x:c>
      <x:c r="K669" s="30" t="str">
        <x:v>EGKR-S26-MATHP-963-11, EGKR-S26-MATHP-963-12</x:v>
      </x:c>
      <x:c r="L669" s="87" t="str">
        <x:v>CROP_VERIFIED</x:v>
      </x:c>
      <x:c r="M669" s="87" t="str">
        <x:v>ORIGINAL_PACKAGE</x:v>
      </x:c>
      <x:c r="N669" s="87" t="str">
        <x:v>pages/VIS-EGKR-MATHP-S26-TASK-963-P004.png</x:v>
      </x:c>
      <x:c r="O669" s="87" t="str">
        <x:v>thumbnails/VIS-EGKR-MATHP-S26-TASK-963-P004.jpg</x:v>
      </x:c>
      <x:c r="P669" s="87" t="str">
        <x:v>1c3a43af3840169a37a563de501108c872fddc93ffdcb7bcf7920fb19b52fb36</x:v>
      </x:c>
      <x:c r="Q669" s="30" t="str">
        <x:v>incoming/raw/recovery-drop-01/mathematics_profile_egkr_spring_visual_assets_v103.zip!/pages/VIS-EGKR-MATHP-S26-TASK-963-P004.png</x:v>
      </x:c>
      <x:c r="R669" s="30" t="str">
        <x:v>MATCHED_ASSET</x:v>
      </x:c>
      <x:c r="S669" t="e">
        <x:f>HYPERLINK("visual_gallery/index.html#"&amp;A669,"Галерея")</x:f>
      </x:c>
    </x:row>
    <x:row r="670">
      <x:c r="A670" s="87" t="str">
        <x:v>VIS-EGKR-MATHP-S26-TASK-963-P005</x:v>
      </x:c>
      <x:c r="B670" s="30" t="str">
        <x:v>Математика (профиль)</x:v>
      </x:c>
      <x:c r="C670" s="30"/>
      <x:c r="D670" s="30" t="str">
        <x:v>963</x:v>
      </x:c>
      <x:c r="E670" s="87" t="str">
        <x:v>TASK</x:v>
      </x:c>
      <x:c r="F670" s="30" t="str">
        <x:v>Вариант 963_проф.pdf</x:v>
      </x:c>
      <x:c r="G670" s="87" t="str">
        <x:v>5</x:v>
      </x:c>
      <x:c r="H670" s="87" t="str">
        <x:v>v1.03</x:v>
      </x:c>
      <x:c r="I670" s="87" t="str">
        <x:v>5</x:v>
      </x:c>
      <x:c r="J670" s="30" t="str">
        <x:v>VIS_ID</x:v>
      </x:c>
      <x:c r="K670" s="30" t="str">
        <x:v>EGKR-S26-MATHP-963-13, EGKR-S26-MATHP-963-14, EGKR-S26-MATHP-963-15, EGKR-S26-MATHP-963-16, EGKR-S26-MATHP-963-17</x:v>
      </x:c>
      <x:c r="L670" s="87" t="str">
        <x:v>CROP_VERIFIED</x:v>
      </x:c>
      <x:c r="M670" s="87" t="str">
        <x:v>ORIGINAL_PACKAGE</x:v>
      </x:c>
      <x:c r="N670" s="87" t="str">
        <x:v>pages/VIS-EGKR-MATHP-S26-TASK-963-P005.png</x:v>
      </x:c>
      <x:c r="O670" s="87" t="str">
        <x:v>thumbnails/VIS-EGKR-MATHP-S26-TASK-963-P005.jpg</x:v>
      </x:c>
      <x:c r="P670" s="87" t="str">
        <x:v>da0865c02e93c9bc8f9cd56fa04da5879bae409763aca762a5e22a6f0323a1d0</x:v>
      </x:c>
      <x:c r="Q670" s="30" t="str">
        <x:v>incoming/raw/recovery-drop-01/mathematics_profile_egkr_spring_visual_assets_v103.zip!/pages/VIS-EGKR-MATHP-S26-TASK-963-P005.png</x:v>
      </x:c>
      <x:c r="R670" s="30" t="str">
        <x:v>MATCHED_ASSET</x:v>
      </x:c>
      <x:c r="S670" t="e">
        <x:f>HYPERLINK("visual_gallery/index.html#"&amp;A670,"Галерея")</x:f>
      </x:c>
    </x:row>
    <x:row r="671">
      <x:c r="A671" s="87" t="str">
        <x:v>VIS-EGKR-MATHP-S26-TASK-963-P006</x:v>
      </x:c>
      <x:c r="B671" s="30" t="str">
        <x:v>Математика (профиль)</x:v>
      </x:c>
      <x:c r="C671" s="30"/>
      <x:c r="D671" s="30" t="str">
        <x:v>963</x:v>
      </x:c>
      <x:c r="E671" s="87" t="str">
        <x:v>TASK</x:v>
      </x:c>
      <x:c r="F671" s="30" t="str">
        <x:v>Вариант 963_проф.pdf</x:v>
      </x:c>
      <x:c r="G671" s="87" t="str">
        <x:v>6</x:v>
      </x:c>
      <x:c r="H671" s="87" t="str">
        <x:v>v1.03</x:v>
      </x:c>
      <x:c r="I671" s="87" t="str">
        <x:v>2</x:v>
      </x:c>
      <x:c r="J671" s="30" t="str">
        <x:v>VIS_ID</x:v>
      </x:c>
      <x:c r="K671" s="30" t="str">
        <x:v>EGKR-S26-MATHP-963-18, EGKR-S26-MATHP-963-19</x:v>
      </x:c>
      <x:c r="L671" s="87" t="str">
        <x:v>CROP_VERIFIED</x:v>
      </x:c>
      <x:c r="M671" s="87" t="str">
        <x:v>ORIGINAL_PACKAGE</x:v>
      </x:c>
      <x:c r="N671" s="87" t="str">
        <x:v>pages/VIS-EGKR-MATHP-S26-TASK-963-P006.png</x:v>
      </x:c>
      <x:c r="O671" s="87" t="str">
        <x:v>thumbnails/VIS-EGKR-MATHP-S26-TASK-963-P006.jpg</x:v>
      </x:c>
      <x:c r="P671" s="87" t="str">
        <x:v>a206bf73164d572eeb2e187e547b4a60dcbd8bb1cff4fb6af90a625f11b03272</x:v>
      </x:c>
      <x:c r="Q671" s="30" t="str">
        <x:v>incoming/raw/recovery-drop-01/mathematics_profile_egkr_spring_visual_assets_v103.zip!/pages/VIS-EGKR-MATHP-S26-TASK-963-P006.png</x:v>
      </x:c>
      <x:c r="R671" s="30" t="str">
        <x:v>MATCHED_ASSET</x:v>
      </x:c>
      <x:c r="S671" t="e">
        <x:f>HYPERLINK("visual_gallery/index.html#"&amp;A671,"Галерея")</x:f>
      </x:c>
    </x:row>
    <x:row r="672">
      <x:c r="A672" s="87" t="str">
        <x:v>VIS-EGKR-MATHP-S26-TASK-964-P001</x:v>
      </x:c>
      <x:c r="B672" s="30" t="str"/>
      <x:c r="C672" s="30"/>
      <x:c r="D672" s="30" t="str">
        <x:v>964</x:v>
      </x:c>
      <x:c r="E672" s="87" t="str">
        <x:v>TASK</x:v>
      </x:c>
      <x:c r="F672" s="30" t="str">
        <x:v>Вариант 964_проф.pdf</x:v>
      </x:c>
      <x:c r="G672" s="87" t="str">
        <x:v>1</x:v>
      </x:c>
      <x:c r="H672" s="87" t="str">
        <x:v>v1.03</x:v>
      </x:c>
      <x:c r="I672" s="87" t="str">
        <x:v>0</x:v>
      </x:c>
      <x:c r="J672" s="30" t="str"/>
      <x:c r="K672" s="30" t="str"/>
      <x:c r="L672" s="87" t="str">
        <x:v>CROP_VERIFIED</x:v>
      </x:c>
      <x:c r="M672" s="87" t="str">
        <x:v>ORIGINAL_PACKAGE</x:v>
      </x:c>
      <x:c r="N672" s="87" t="str">
        <x:v>pages/VIS-EGKR-MATHP-S26-TASK-964-P001.png</x:v>
      </x:c>
      <x:c r="O672" s="87" t="str">
        <x:v>thumbnails/VIS-EGKR-MATHP-S26-TASK-964-P001.jpg</x:v>
      </x:c>
      <x:c r="P672" s="87" t="str">
        <x:v>b0366e5b162773852983ad83e07c2d752967ea9d5370288039849ff21f7a4cfe</x:v>
      </x:c>
      <x:c r="Q672" s="30" t="str">
        <x:v>incoming/raw/recovery-drop-01/mathematics_profile_egkr_spring_visual_assets_v103.zip!/pages/VIS-EGKR-MATHP-S26-TASK-964-P001.png</x:v>
      </x:c>
      <x:c r="R672" s="30" t="str">
        <x:v>RESOLVED_UNLINKED_REGISTRY_VISUAL</x:v>
      </x:c>
      <x:c r="S672" t="e">
        <x:f>HYPERLINK("visual_gallery/index.html#"&amp;A672,"Галерея")</x:f>
      </x:c>
    </x:row>
    <x:row r="673">
      <x:c r="A673" s="87" t="str">
        <x:v>VIS-EGKR-MATHP-S26-TASK-964-P002</x:v>
      </x:c>
      <x:c r="B673" s="30" t="str">
        <x:v>Математика (профиль)</x:v>
      </x:c>
      <x:c r="C673" s="30"/>
      <x:c r="D673" s="30" t="str">
        <x:v>964</x:v>
      </x:c>
      <x:c r="E673" s="87" t="str">
        <x:v>TASK</x:v>
      </x:c>
      <x:c r="F673" s="30" t="str">
        <x:v>Вариант 964_проф.pdf</x:v>
      </x:c>
      <x:c r="G673" s="87" t="str">
        <x:v>2</x:v>
      </x:c>
      <x:c r="H673" s="87" t="str">
        <x:v>v1.03</x:v>
      </x:c>
      <x:c r="I673" s="87" t="str">
        <x:v>5</x:v>
      </x:c>
      <x:c r="J673" s="30" t="str">
        <x:v>VIS_ID</x:v>
      </x:c>
      <x:c r="K673" s="30" t="str">
        <x:v>EGKR-S26-MATHP-964-01, EGKR-S26-MATHP-964-02, EGKR-S26-MATHP-964-03, EGKR-S26-MATHP-964-04, EGKR-S26-MATHP-964-05</x:v>
      </x:c>
      <x:c r="L673" s="87" t="str">
        <x:v>CROP_VERIFIED</x:v>
      </x:c>
      <x:c r="M673" s="87" t="str">
        <x:v>ORIGINAL_PACKAGE</x:v>
      </x:c>
      <x:c r="N673" s="87" t="str">
        <x:v>pages/VIS-EGKR-MATHP-S26-TASK-964-P002.png</x:v>
      </x:c>
      <x:c r="O673" s="87" t="str">
        <x:v>thumbnails/VIS-EGKR-MATHP-S26-TASK-964-P002.jpg</x:v>
      </x:c>
      <x:c r="P673" s="87" t="str">
        <x:v>8189376e309d3c5627d419faa1f2bca13df0f2bb81b781cfc1bf678d8d9972cc</x:v>
      </x:c>
      <x:c r="Q673" s="30" t="str">
        <x:v>incoming/raw/recovery-drop-01/mathematics_profile_egkr_spring_visual_assets_v103.zip!/pages/VIS-EGKR-MATHP-S26-TASK-964-P002.png</x:v>
      </x:c>
      <x:c r="R673" s="30" t="str">
        <x:v>MATCHED_ASSET</x:v>
      </x:c>
      <x:c r="S673" t="e">
        <x:f>HYPERLINK("visual_gallery/index.html#"&amp;A673,"Галерея")</x:f>
      </x:c>
    </x:row>
    <x:row r="674">
      <x:c r="A674" s="87" t="str">
        <x:v>VIS-EGKR-MATHP-S26-TASK-964-P003</x:v>
      </x:c>
      <x:c r="B674" s="30" t="str">
        <x:v>Математика (профиль)</x:v>
      </x:c>
      <x:c r="C674" s="30"/>
      <x:c r="D674" s="30" t="str">
        <x:v>964</x:v>
      </x:c>
      <x:c r="E674" s="87" t="str">
        <x:v>TASK</x:v>
      </x:c>
      <x:c r="F674" s="30" t="str">
        <x:v>Вариант 964_проф.pdf</x:v>
      </x:c>
      <x:c r="G674" s="87" t="str">
        <x:v>3</x:v>
      </x:c>
      <x:c r="H674" s="87" t="str">
        <x:v>v1.03</x:v>
      </x:c>
      <x:c r="I674" s="87" t="str">
        <x:v>5</x:v>
      </x:c>
      <x:c r="J674" s="30" t="str">
        <x:v>VIS_ID</x:v>
      </x:c>
      <x:c r="K674" s="30" t="str">
        <x:v>EGKR-S26-MATHP-964-06, EGKR-S26-MATHP-964-07, EGKR-S26-MATHP-964-08, EGKR-S26-MATHP-964-09, EGKR-S26-MATHP-964-10</x:v>
      </x:c>
      <x:c r="L674" s="87" t="str">
        <x:v>CROP_VERIFIED</x:v>
      </x:c>
      <x:c r="M674" s="87" t="str">
        <x:v>ORIGINAL_PACKAGE</x:v>
      </x:c>
      <x:c r="N674" s="87" t="str">
        <x:v>pages/VIS-EGKR-MATHP-S26-TASK-964-P003.png</x:v>
      </x:c>
      <x:c r="O674" s="87" t="str">
        <x:v>thumbnails/VIS-EGKR-MATHP-S26-TASK-964-P003.jpg</x:v>
      </x:c>
      <x:c r="P674" s="87" t="str">
        <x:v>2a7034c4b05d71d5e5e9ac2a770437b9621b86ab672201fb805575290d9310c7</x:v>
      </x:c>
      <x:c r="Q674" s="30" t="str">
        <x:v>incoming/raw/recovery-drop-01/mathematics_profile_egkr_spring_visual_assets_v103.zip!/pages/VIS-EGKR-MATHP-S26-TASK-964-P003.png</x:v>
      </x:c>
      <x:c r="R674" s="30" t="str">
        <x:v>MATCHED_ASSET</x:v>
      </x:c>
      <x:c r="S674" t="e">
        <x:f>HYPERLINK("visual_gallery/index.html#"&amp;A674,"Галерея")</x:f>
      </x:c>
    </x:row>
    <x:row r="675">
      <x:c r="A675" s="87" t="str">
        <x:v>VIS-EGKR-MATHP-S26-TASK-964-P004</x:v>
      </x:c>
      <x:c r="B675" s="30" t="str">
        <x:v>Математика (профиль)</x:v>
      </x:c>
      <x:c r="C675" s="30"/>
      <x:c r="D675" s="30" t="str">
        <x:v>964</x:v>
      </x:c>
      <x:c r="E675" s="87" t="str">
        <x:v>TASK</x:v>
      </x:c>
      <x:c r="F675" s="30" t="str">
        <x:v>Вариант 964_проф.pdf</x:v>
      </x:c>
      <x:c r="G675" s="87" t="str">
        <x:v>4</x:v>
      </x:c>
      <x:c r="H675" s="87" t="str">
        <x:v>v1.03</x:v>
      </x:c>
      <x:c r="I675" s="87" t="str">
        <x:v>2</x:v>
      </x:c>
      <x:c r="J675" s="30" t="str">
        <x:v>VIS_ID</x:v>
      </x:c>
      <x:c r="K675" s="30" t="str">
        <x:v>EGKR-S26-MATHP-964-11, EGKR-S26-MATHP-964-12</x:v>
      </x:c>
      <x:c r="L675" s="87" t="str">
        <x:v>CROP_VERIFIED</x:v>
      </x:c>
      <x:c r="M675" s="87" t="str">
        <x:v>ORIGINAL_PACKAGE</x:v>
      </x:c>
      <x:c r="N675" s="87" t="str">
        <x:v>pages/VIS-EGKR-MATHP-S26-TASK-964-P004.png</x:v>
      </x:c>
      <x:c r="O675" s="87" t="str">
        <x:v>thumbnails/VIS-EGKR-MATHP-S26-TASK-964-P004.jpg</x:v>
      </x:c>
      <x:c r="P675" s="87" t="str">
        <x:v>ab12fc4c8d961ad036ba6b8bcdfa3c262ea4aa28292be7e5f501497aadb7122f</x:v>
      </x:c>
      <x:c r="Q675" s="30" t="str">
        <x:v>incoming/raw/recovery-drop-01/mathematics_profile_egkr_spring_visual_assets_v103.zip!/pages/VIS-EGKR-MATHP-S26-TASK-964-P004.png</x:v>
      </x:c>
      <x:c r="R675" s="30" t="str">
        <x:v>MATCHED_ASSET</x:v>
      </x:c>
      <x:c r="S675" t="e">
        <x:f>HYPERLINK("visual_gallery/index.html#"&amp;A675,"Галерея")</x:f>
      </x:c>
    </x:row>
    <x:row r="676">
      <x:c r="A676" s="87" t="str">
        <x:v>VIS-EGKR-MATHP-S26-TASK-964-P005</x:v>
      </x:c>
      <x:c r="B676" s="30" t="str">
        <x:v>Математика (профиль)</x:v>
      </x:c>
      <x:c r="C676" s="30"/>
      <x:c r="D676" s="30" t="str">
        <x:v>964</x:v>
      </x:c>
      <x:c r="E676" s="87" t="str">
        <x:v>TASK</x:v>
      </x:c>
      <x:c r="F676" s="30" t="str">
        <x:v>Вариант 964_проф.pdf</x:v>
      </x:c>
      <x:c r="G676" s="87" t="str">
        <x:v>5</x:v>
      </x:c>
      <x:c r="H676" s="87" t="str">
        <x:v>v1.03</x:v>
      </x:c>
      <x:c r="I676" s="87" t="str">
        <x:v>5</x:v>
      </x:c>
      <x:c r="J676" s="30" t="str">
        <x:v>VIS_ID</x:v>
      </x:c>
      <x:c r="K676" s="30" t="str">
        <x:v>EGKR-S26-MATHP-964-13, EGKR-S26-MATHP-964-14, EGKR-S26-MATHP-964-15, EGKR-S26-MATHP-964-16, EGKR-S26-MATHP-964-17</x:v>
      </x:c>
      <x:c r="L676" s="87" t="str">
        <x:v>CROP_VERIFIED</x:v>
      </x:c>
      <x:c r="M676" s="87" t="str">
        <x:v>ORIGINAL_PACKAGE</x:v>
      </x:c>
      <x:c r="N676" s="87" t="str">
        <x:v>pages/VIS-EGKR-MATHP-S26-TASK-964-P005.png</x:v>
      </x:c>
      <x:c r="O676" s="87" t="str">
        <x:v>thumbnails/VIS-EGKR-MATHP-S26-TASK-964-P005.jpg</x:v>
      </x:c>
      <x:c r="P676" s="87" t="str">
        <x:v>f303b239f3e467b250f86bd7f75d9a071b728254d5025aa147b2809a0ac5eb71</x:v>
      </x:c>
      <x:c r="Q676" s="30" t="str">
        <x:v>incoming/raw/recovery-drop-01/mathematics_profile_egkr_spring_visual_assets_v103.zip!/pages/VIS-EGKR-MATHP-S26-TASK-964-P005.png</x:v>
      </x:c>
      <x:c r="R676" s="30" t="str">
        <x:v>MATCHED_ASSET</x:v>
      </x:c>
      <x:c r="S676" t="e">
        <x:f>HYPERLINK("visual_gallery/index.html#"&amp;A676,"Галерея")</x:f>
      </x:c>
    </x:row>
    <x:row r="677">
      <x:c r="A677" s="87" t="str">
        <x:v>VIS-EGKR-MATHP-S26-TASK-964-P006</x:v>
      </x:c>
      <x:c r="B677" s="30" t="str">
        <x:v>Математика (профиль)</x:v>
      </x:c>
      <x:c r="C677" s="30"/>
      <x:c r="D677" s="30" t="str">
        <x:v>964</x:v>
      </x:c>
      <x:c r="E677" s="87" t="str">
        <x:v>TASK</x:v>
      </x:c>
      <x:c r="F677" s="30" t="str">
        <x:v>Вариант 964_проф.pdf</x:v>
      </x:c>
      <x:c r="G677" s="87" t="str">
        <x:v>6</x:v>
      </x:c>
      <x:c r="H677" s="87" t="str">
        <x:v>v1.03</x:v>
      </x:c>
      <x:c r="I677" s="87" t="str">
        <x:v>2</x:v>
      </x:c>
      <x:c r="J677" s="30" t="str">
        <x:v>VIS_ID</x:v>
      </x:c>
      <x:c r="K677" s="30" t="str">
        <x:v>EGKR-S26-MATHP-964-18, EGKR-S26-MATHP-964-19</x:v>
      </x:c>
      <x:c r="L677" s="87" t="str">
        <x:v>CROP_VERIFIED</x:v>
      </x:c>
      <x:c r="M677" s="87" t="str">
        <x:v>ORIGINAL_PACKAGE</x:v>
      </x:c>
      <x:c r="N677" s="87" t="str">
        <x:v>pages/VIS-EGKR-MATHP-S26-TASK-964-P006.png</x:v>
      </x:c>
      <x:c r="O677" s="87" t="str">
        <x:v>thumbnails/VIS-EGKR-MATHP-S26-TASK-964-P006.jpg</x:v>
      </x:c>
      <x:c r="P677" s="87" t="str">
        <x:v>ea17255582c8a91788e1185b702f6a49f0198e085b943bea639cb72c3946bbf6</x:v>
      </x:c>
      <x:c r="Q677" s="30" t="str">
        <x:v>incoming/raw/recovery-drop-01/mathematics_profile_egkr_spring_visual_assets_v103.zip!/pages/VIS-EGKR-MATHP-S26-TASK-964-P006.png</x:v>
      </x:c>
      <x:c r="R677" s="30" t="str">
        <x:v>MATCHED_ASSET</x:v>
      </x:c>
      <x:c r="S677" t="e">
        <x:f>HYPERLINK("visual_gallery/index.html#"&amp;A677,"Галерея")</x:f>
      </x:c>
    </x:row>
    <x:row r="678">
      <x:c r="A678" s="87" t="str">
        <x:v>VIS-EGKR-MATHP-W25-ANSWERDOC-P001</x:v>
      </x:c>
      <x:c r="B678" s="30" t="str"/>
      <x:c r="C678" s="30"/>
      <x:c r="D678" s="30" t="str">
        <x:v>951-957</x:v>
      </x:c>
      <x:c r="E678" s="87" t="str">
        <x:v>ANSWER_SOURCE</x:v>
      </x:c>
      <x:c r="F678" s="30" t="str">
        <x:v>Ответы профиль.docx</x:v>
      </x:c>
      <x:c r="G678" s="87" t="str">
        <x:v>1</x:v>
      </x:c>
      <x:c r="H678" s="87" t="str">
        <x:v>v0.96</x:v>
      </x:c>
      <x:c r="I678" s="87" t="str">
        <x:v>0</x:v>
      </x:c>
      <x:c r="J678" s="30" t="str"/>
      <x:c r="K678" s="30" t="str"/>
      <x:c r="L678" s="87" t="str">
        <x:v>CROP_VERIFIED</x:v>
      </x:c>
      <x:c r="M678" s="87" t="str">
        <x:v>ORIGINAL_PACKAGE</x:v>
      </x:c>
      <x:c r="N678" s="87" t="str">
        <x:v>pages/VIS-EGKR-MATHP-W25-ANSWERDOC-P001.png</x:v>
      </x:c>
      <x:c r="O678" s="87" t="str">
        <x:v>thumbnails/VIS-EGKR-MATHP-W25-ANSWERDOC-P001.jpg</x:v>
      </x:c>
      <x:c r="P678" s="87" t="str">
        <x:v>5beef4bd5d64d93886ef1874807249ccd7e4c3d2bec8dc2624fb7e8e5f58f623</x:v>
      </x:c>
      <x:c r="Q678" s="30" t="str">
        <x:v>incoming/raw/recovery-drop-01/mathematics_profile_egkr_winter_visual_assets_v096.zip!/pages/VIS-EGKR-MATHP-W25-ANSWERDOC-P001.png</x:v>
      </x:c>
      <x:c r="R678" s="30" t="str">
        <x:v>RESOLVED_UNLINKED_REGISTRY_VISUAL</x:v>
      </x:c>
      <x:c r="S678" t="e">
        <x:f>HYPERLINK("visual_gallery/index.html#"&amp;A678,"Галерея")</x:f>
      </x:c>
    </x:row>
    <x:row r="679">
      <x:c r="A679" s="87" t="str">
        <x:v>VIS-EGKR-MATHP-W25-ANSWERDOC-P002</x:v>
      </x:c>
      <x:c r="B679" s="30" t="str"/>
      <x:c r="C679" s="30"/>
      <x:c r="D679" s="30" t="str">
        <x:v>951-957</x:v>
      </x:c>
      <x:c r="E679" s="87" t="str">
        <x:v>ANSWER_SOURCE</x:v>
      </x:c>
      <x:c r="F679" s="30" t="str">
        <x:v>Ответы профиль.docx</x:v>
      </x:c>
      <x:c r="G679" s="87" t="str">
        <x:v>2</x:v>
      </x:c>
      <x:c r="H679" s="87" t="str">
        <x:v>v0.96</x:v>
      </x:c>
      <x:c r="I679" s="87" t="str">
        <x:v>0</x:v>
      </x:c>
      <x:c r="J679" s="30" t="str"/>
      <x:c r="K679" s="30" t="str"/>
      <x:c r="L679" s="87" t="str">
        <x:v>CROP_VERIFIED</x:v>
      </x:c>
      <x:c r="M679" s="87" t="str">
        <x:v>ORIGINAL_PACKAGE</x:v>
      </x:c>
      <x:c r="N679" s="87" t="str">
        <x:v>pages/VIS-EGKR-MATHP-W25-ANSWERDOC-P002.png</x:v>
      </x:c>
      <x:c r="O679" s="87" t="str">
        <x:v>thumbnails/VIS-EGKR-MATHP-W25-ANSWERDOC-P002.jpg</x:v>
      </x:c>
      <x:c r="P679" s="87" t="str">
        <x:v>9d78780b9de3d7a19c1f7336b699f88b6904d078da10298cb0e745668bceefa2</x:v>
      </x:c>
      <x:c r="Q679" s="30" t="str">
        <x:v>incoming/raw/recovery-drop-01/mathematics_profile_egkr_winter_visual_assets_v096.zip!/pages/VIS-EGKR-MATHP-W25-ANSWERDOC-P002.png</x:v>
      </x:c>
      <x:c r="R679" s="30" t="str">
        <x:v>RESOLVED_UNLINKED_REGISTRY_VISUAL</x:v>
      </x:c>
      <x:c r="S679" t="e">
        <x:f>HYPERLINK("visual_gallery/index.html#"&amp;A679,"Галерея")</x:f>
      </x:c>
    </x:row>
    <x:row r="680">
      <x:c r="A680" s="87" t="str">
        <x:v>VIS-EGKR-MATHP-W25-SOL-951-P001</x:v>
      </x:c>
      <x:c r="B680" s="30" t="str"/>
      <x:c r="C680" s="30"/>
      <x:c r="D680" s="30" t="str">
        <x:v>951</x:v>
      </x:c>
      <x:c r="E680" s="87" t="str">
        <x:v>SECONDARY_SOLUTION</x:v>
      </x:c>
      <x:c r="F680" s="30" t="str">
        <x:v>951 вариант вторая часть.pdf</x:v>
      </x:c>
      <x:c r="G680" s="87" t="str">
        <x:v>1</x:v>
      </x:c>
      <x:c r="H680" s="87" t="str">
        <x:v>v0.96</x:v>
      </x:c>
      <x:c r="I680" s="87" t="str">
        <x:v>0</x:v>
      </x:c>
      <x:c r="J680" s="30" t="str"/>
      <x:c r="K680" s="30" t="str"/>
      <x:c r="L680" s="87" t="str">
        <x:v>CROP_VERIFIED</x:v>
      </x:c>
      <x:c r="M680" s="87" t="str">
        <x:v>ORIGINAL_PACKAGE</x:v>
      </x:c>
      <x:c r="N680" s="87" t="str">
        <x:v>pages/VIS-EGKR-MATHP-W25-SOL-951-P001.png</x:v>
      </x:c>
      <x:c r="O680" s="87" t="str">
        <x:v>thumbnails/VIS-EGKR-MATHP-W25-SOL-951-P001.jpg</x:v>
      </x:c>
      <x:c r="P680" s="87" t="str">
        <x:v>74346627f4000dcdb4453f69069755038c8396cf5a18db17ca70294a926c2116</x:v>
      </x:c>
      <x:c r="Q680" s="30" t="str">
        <x:v>incoming/raw/recovery-drop-01/mathematics_profile_egkr_winter_visual_assets_v096.zip!/pages/VIS-EGKR-MATHP-W25-SOL-951-P001.png</x:v>
      </x:c>
      <x:c r="R680" s="30" t="str">
        <x:v>RESOLVED_UNLINKED_REGISTRY_VISUAL</x:v>
      </x:c>
      <x:c r="S680" t="e">
        <x:f>HYPERLINK("visual_gallery/index.html#"&amp;A680,"Галерея")</x:f>
      </x:c>
    </x:row>
    <x:row r="681">
      <x:c r="A681" s="87" t="str">
        <x:v>VIS-EGKR-MATHP-W25-SOL-951-P002</x:v>
      </x:c>
      <x:c r="B681" s="30" t="str"/>
      <x:c r="C681" s="30"/>
      <x:c r="D681" s="30" t="str">
        <x:v>951</x:v>
      </x:c>
      <x:c r="E681" s="87" t="str">
        <x:v>SECONDARY_SOLUTION</x:v>
      </x:c>
      <x:c r="F681" s="30" t="str">
        <x:v>951 вариант вторая часть.pdf</x:v>
      </x:c>
      <x:c r="G681" s="87" t="str">
        <x:v>2</x:v>
      </x:c>
      <x:c r="H681" s="87" t="str">
        <x:v>v0.96</x:v>
      </x:c>
      <x:c r="I681" s="87" t="str">
        <x:v>0</x:v>
      </x:c>
      <x:c r="J681" s="30" t="str"/>
      <x:c r="K681" s="30" t="str"/>
      <x:c r="L681" s="87" t="str">
        <x:v>CROP_VERIFIED</x:v>
      </x:c>
      <x:c r="M681" s="87" t="str">
        <x:v>ORIGINAL_PACKAGE</x:v>
      </x:c>
      <x:c r="N681" s="87" t="str">
        <x:v>pages/VIS-EGKR-MATHP-W25-SOL-951-P002.png</x:v>
      </x:c>
      <x:c r="O681" s="87" t="str">
        <x:v>thumbnails/VIS-EGKR-MATHP-W25-SOL-951-P002.jpg</x:v>
      </x:c>
      <x:c r="P681" s="87" t="str">
        <x:v>052df622c6e0386d975f3e45aef42d7319e188b9d0c705e3c0f0ffe12173ba4b</x:v>
      </x:c>
      <x:c r="Q681" s="30" t="str">
        <x:v>incoming/raw/recovery-drop-01/mathematics_profile_egkr_winter_visual_assets_v096.zip!/pages/VIS-EGKR-MATHP-W25-SOL-951-P002.png</x:v>
      </x:c>
      <x:c r="R681" s="30" t="str">
        <x:v>RESOLVED_UNLINKED_REGISTRY_VISUAL</x:v>
      </x:c>
      <x:c r="S681" t="e">
        <x:f>HYPERLINK("visual_gallery/index.html#"&amp;A681,"Галерея")</x:f>
      </x:c>
    </x:row>
    <x:row r="682">
      <x:c r="A682" s="87" t="str">
        <x:v>VIS-EGKR-MATHP-W25-SOL-952-953-P001</x:v>
      </x:c>
      <x:c r="B682" s="30" t="str"/>
      <x:c r="C682" s="30"/>
      <x:c r="D682" s="30" t="str">
        <x:v>952-953</x:v>
      </x:c>
      <x:c r="E682" s="87" t="str">
        <x:v>SECONDARY_SOLUTION</x:v>
      </x:c>
      <x:c r="F682" s="30" t="str">
        <x:v>952, 953 вариант вторая часть.pdf</x:v>
      </x:c>
      <x:c r="G682" s="87" t="str">
        <x:v>1</x:v>
      </x:c>
      <x:c r="H682" s="87" t="str">
        <x:v>v0.96</x:v>
      </x:c>
      <x:c r="I682" s="87" t="str">
        <x:v>0</x:v>
      </x:c>
      <x:c r="J682" s="30" t="str"/>
      <x:c r="K682" s="30" t="str"/>
      <x:c r="L682" s="87" t="str">
        <x:v>CROP_VERIFIED</x:v>
      </x:c>
      <x:c r="M682" s="87" t="str">
        <x:v>ORIGINAL_PACKAGE</x:v>
      </x:c>
      <x:c r="N682" s="87" t="str">
        <x:v>pages/VIS-EGKR-MATHP-W25-SOL-952-953-P001.png</x:v>
      </x:c>
      <x:c r="O682" s="87" t="str">
        <x:v>thumbnails/VIS-EGKR-MATHP-W25-SOL-952-953-P001.jpg</x:v>
      </x:c>
      <x:c r="P682" s="87" t="str">
        <x:v>daebda8a30a6668e2f218f7a169fb33787e1f2388f7515dd1ed6c159dd1a82dc</x:v>
      </x:c>
      <x:c r="Q682" s="30" t="str">
        <x:v>incoming/raw/recovery-drop-01/mathematics_profile_egkr_winter_visual_assets_v096.zip!/pages/VIS-EGKR-MATHP-W25-SOL-952-953-P001.png</x:v>
      </x:c>
      <x:c r="R682" s="30" t="str">
        <x:v>RESOLVED_UNLINKED_REGISTRY_VISUAL</x:v>
      </x:c>
      <x:c r="S682" t="e">
        <x:f>HYPERLINK("visual_gallery/index.html#"&amp;A682,"Галерея")</x:f>
      </x:c>
    </x:row>
    <x:row r="683">
      <x:c r="A683" s="87" t="str">
        <x:v>VIS-EGKR-MATHP-W25-SOL-952-953-P002</x:v>
      </x:c>
      <x:c r="B683" s="30" t="str"/>
      <x:c r="C683" s="30"/>
      <x:c r="D683" s="30" t="str">
        <x:v>952-953</x:v>
      </x:c>
      <x:c r="E683" s="87" t="str">
        <x:v>SECONDARY_SOLUTION</x:v>
      </x:c>
      <x:c r="F683" s="30" t="str">
        <x:v>952, 953 вариант вторая часть.pdf</x:v>
      </x:c>
      <x:c r="G683" s="87" t="str">
        <x:v>2</x:v>
      </x:c>
      <x:c r="H683" s="87" t="str">
        <x:v>v0.96</x:v>
      </x:c>
      <x:c r="I683" s="87" t="str">
        <x:v>0</x:v>
      </x:c>
      <x:c r="J683" s="30" t="str"/>
      <x:c r="K683" s="30" t="str"/>
      <x:c r="L683" s="87" t="str">
        <x:v>CROP_VERIFIED</x:v>
      </x:c>
      <x:c r="M683" s="87" t="str">
        <x:v>ORIGINAL_PACKAGE</x:v>
      </x:c>
      <x:c r="N683" s="87" t="str">
        <x:v>pages/VIS-EGKR-MATHP-W25-SOL-952-953-P002.png</x:v>
      </x:c>
      <x:c r="O683" s="87" t="str">
        <x:v>thumbnails/VIS-EGKR-MATHP-W25-SOL-952-953-P002.jpg</x:v>
      </x:c>
      <x:c r="P683" s="87" t="str">
        <x:v>fc8c79a8e664e0614c8b12254ee9a88cce9baf8cb9a7cb3b60f12b2d21caf81e</x:v>
      </x:c>
      <x:c r="Q683" s="30" t="str">
        <x:v>incoming/raw/recovery-drop-01/mathematics_profile_egkr_winter_visual_assets_v096.zip!/pages/VIS-EGKR-MATHP-W25-SOL-952-953-P002.png</x:v>
      </x:c>
      <x:c r="R683" s="30" t="str">
        <x:v>RESOLVED_UNLINKED_REGISTRY_VISUAL</x:v>
      </x:c>
      <x:c r="S683" t="e">
        <x:f>HYPERLINK("visual_gallery/index.html#"&amp;A683,"Галерея")</x:f>
      </x:c>
    </x:row>
    <x:row r="684">
      <x:c r="A684" s="87" t="str">
        <x:v>VIS-EGKR-MATHP-W25-SOL-954-P001</x:v>
      </x:c>
      <x:c r="B684" s="30" t="str"/>
      <x:c r="C684" s="30"/>
      <x:c r="D684" s="30" t="str">
        <x:v>954</x:v>
      </x:c>
      <x:c r="E684" s="87" t="str">
        <x:v>SECONDARY_SOLUTION</x:v>
      </x:c>
      <x:c r="F684" s="30" t="str">
        <x:v>954 вариант вторая часть.pdf</x:v>
      </x:c>
      <x:c r="G684" s="87" t="str">
        <x:v>1</x:v>
      </x:c>
      <x:c r="H684" s="87" t="str">
        <x:v>v0.96</x:v>
      </x:c>
      <x:c r="I684" s="87" t="str">
        <x:v>0</x:v>
      </x:c>
      <x:c r="J684" s="30" t="str"/>
      <x:c r="K684" s="30" t="str"/>
      <x:c r="L684" s="87" t="str">
        <x:v>CROP_VERIFIED</x:v>
      </x:c>
      <x:c r="M684" s="87" t="str">
        <x:v>ORIGINAL_PACKAGE</x:v>
      </x:c>
      <x:c r="N684" s="87" t="str">
        <x:v>pages/VIS-EGKR-MATHP-W25-SOL-954-P001.png</x:v>
      </x:c>
      <x:c r="O684" s="87" t="str">
        <x:v>thumbnails/VIS-EGKR-MATHP-W25-SOL-954-P001.jpg</x:v>
      </x:c>
      <x:c r="P684" s="87" t="str">
        <x:v>ea14ddc9b88fb90222d27e42138ad51dc769f984f4dfffecd4a921f7f870e7ce</x:v>
      </x:c>
      <x:c r="Q684" s="30" t="str">
        <x:v>incoming/raw/recovery-drop-01/mathematics_profile_egkr_winter_visual_assets_v096.zip!/pages/VIS-EGKR-MATHP-W25-SOL-954-P001.png</x:v>
      </x:c>
      <x:c r="R684" s="30" t="str">
        <x:v>RESOLVED_UNLINKED_REGISTRY_VISUAL</x:v>
      </x:c>
      <x:c r="S684" t="e">
        <x:f>HYPERLINK("visual_gallery/index.html#"&amp;A684,"Галерея")</x:f>
      </x:c>
    </x:row>
    <x:row r="685">
      <x:c r="A685" s="87" t="str">
        <x:v>VIS-EGKR-MATHP-W25-SOL-955-P001</x:v>
      </x:c>
      <x:c r="B685" s="30" t="str"/>
      <x:c r="C685" s="30"/>
      <x:c r="D685" s="30" t="str">
        <x:v>955</x:v>
      </x:c>
      <x:c r="E685" s="87" t="str">
        <x:v>SECONDARY_SOLUTION</x:v>
      </x:c>
      <x:c r="F685" s="30" t="str">
        <x:v>955 вариант вторая часть.pdf</x:v>
      </x:c>
      <x:c r="G685" s="87" t="str">
        <x:v>1</x:v>
      </x:c>
      <x:c r="H685" s="87" t="str">
        <x:v>v0.96</x:v>
      </x:c>
      <x:c r="I685" s="87" t="str">
        <x:v>0</x:v>
      </x:c>
      <x:c r="J685" s="30" t="str"/>
      <x:c r="K685" s="30" t="str"/>
      <x:c r="L685" s="87" t="str">
        <x:v>CROP_VERIFIED</x:v>
      </x:c>
      <x:c r="M685" s="87" t="str">
        <x:v>ORIGINAL_PACKAGE</x:v>
      </x:c>
      <x:c r="N685" s="87" t="str">
        <x:v>pages/VIS-EGKR-MATHP-W25-SOL-955-P001.png</x:v>
      </x:c>
      <x:c r="O685" s="87" t="str">
        <x:v>thumbnails/VIS-EGKR-MATHP-W25-SOL-955-P001.jpg</x:v>
      </x:c>
      <x:c r="P685" s="87" t="str">
        <x:v>415839e55f5695772b8a6cb03cf4e2730540a47ae144ba0ecbbe1899dd3252ce</x:v>
      </x:c>
      <x:c r="Q685" s="30" t="str">
        <x:v>incoming/raw/recovery-drop-01/mathematics_profile_egkr_winter_visual_assets_v096.zip!/pages/VIS-EGKR-MATHP-W25-SOL-955-P001.png</x:v>
      </x:c>
      <x:c r="R685" s="30" t="str">
        <x:v>RESOLVED_UNLINKED_REGISTRY_VISUAL</x:v>
      </x:c>
      <x:c r="S685" t="e">
        <x:f>HYPERLINK("visual_gallery/index.html#"&amp;A685,"Галерея")</x:f>
      </x:c>
    </x:row>
    <x:row r="686">
      <x:c r="A686" s="87" t="str">
        <x:v>VIS-EGKR-MATHP-W25-SOL-955-P002</x:v>
      </x:c>
      <x:c r="B686" s="30" t="str"/>
      <x:c r="C686" s="30"/>
      <x:c r="D686" s="30" t="str">
        <x:v>955</x:v>
      </x:c>
      <x:c r="E686" s="87" t="str">
        <x:v>SECONDARY_SOLUTION</x:v>
      </x:c>
      <x:c r="F686" s="30" t="str">
        <x:v>955 вариант вторая часть.pdf</x:v>
      </x:c>
      <x:c r="G686" s="87" t="str">
        <x:v>2</x:v>
      </x:c>
      <x:c r="H686" s="87" t="str">
        <x:v>v0.96</x:v>
      </x:c>
      <x:c r="I686" s="87" t="str">
        <x:v>0</x:v>
      </x:c>
      <x:c r="J686" s="30" t="str"/>
      <x:c r="K686" s="30" t="str"/>
      <x:c r="L686" s="87" t="str">
        <x:v>CROP_VERIFIED</x:v>
      </x:c>
      <x:c r="M686" s="87" t="str">
        <x:v>ORIGINAL_PACKAGE</x:v>
      </x:c>
      <x:c r="N686" s="87" t="str">
        <x:v>pages/VIS-EGKR-MATHP-W25-SOL-955-P002.png</x:v>
      </x:c>
      <x:c r="O686" s="87" t="str">
        <x:v>thumbnails/VIS-EGKR-MATHP-W25-SOL-955-P002.jpg</x:v>
      </x:c>
      <x:c r="P686" s="87" t="str">
        <x:v>57b2f2930b201ee826546b6093475595d313efc524fcb0297ac2f237a3da0072</x:v>
      </x:c>
      <x:c r="Q686" s="30" t="str">
        <x:v>incoming/raw/recovery-drop-01/mathematics_profile_egkr_winter_visual_assets_v096.zip!/pages/VIS-EGKR-MATHP-W25-SOL-955-P002.png</x:v>
      </x:c>
      <x:c r="R686" s="30" t="str">
        <x:v>RESOLVED_UNLINKED_REGISTRY_VISUAL</x:v>
      </x:c>
      <x:c r="S686" t="e">
        <x:f>HYPERLINK("visual_gallery/index.html#"&amp;A686,"Галерея")</x:f>
      </x:c>
    </x:row>
    <x:row r="687">
      <x:c r="A687" s="87" t="str">
        <x:v>VIS-EGKR-MATHP-W25-SOL-957-P001</x:v>
      </x:c>
      <x:c r="B687" s="30" t="str"/>
      <x:c r="C687" s="30"/>
      <x:c r="D687" s="30" t="str">
        <x:v>957</x:v>
      </x:c>
      <x:c r="E687" s="87" t="str">
        <x:v>SECONDARY_SOLUTION</x:v>
      </x:c>
      <x:c r="F687" s="30" t="str">
        <x:v>957 вариант вторая часть.pdf</x:v>
      </x:c>
      <x:c r="G687" s="87" t="str">
        <x:v>1</x:v>
      </x:c>
      <x:c r="H687" s="87" t="str">
        <x:v>v0.96</x:v>
      </x:c>
      <x:c r="I687" s="87" t="str">
        <x:v>0</x:v>
      </x:c>
      <x:c r="J687" s="30" t="str"/>
      <x:c r="K687" s="30" t="str"/>
      <x:c r="L687" s="87" t="str">
        <x:v>CROP_VERIFIED</x:v>
      </x:c>
      <x:c r="M687" s="87" t="str">
        <x:v>ORIGINAL_PACKAGE</x:v>
      </x:c>
      <x:c r="N687" s="87" t="str">
        <x:v>pages/VIS-EGKR-MATHP-W25-SOL-957-P001.png</x:v>
      </x:c>
      <x:c r="O687" s="87" t="str">
        <x:v>thumbnails/VIS-EGKR-MATHP-W25-SOL-957-P001.jpg</x:v>
      </x:c>
      <x:c r="P687" s="87" t="str">
        <x:v>e06e05a77a344c59e18f2f89f431c4590cad08cc67153a8caf232f7632dafdc7</x:v>
      </x:c>
      <x:c r="Q687" s="30" t="str">
        <x:v>incoming/raw/recovery-drop-01/mathematics_profile_egkr_winter_visual_assets_v096.zip!/pages/VIS-EGKR-MATHP-W25-SOL-957-P001.png</x:v>
      </x:c>
      <x:c r="R687" s="30" t="str">
        <x:v>RESOLVED_UNLINKED_REGISTRY_VISUAL</x:v>
      </x:c>
      <x:c r="S687" t="e">
        <x:f>HYPERLINK("visual_gallery/index.html#"&amp;A687,"Галерея")</x:f>
      </x:c>
    </x:row>
    <x:row r="688">
      <x:c r="A688" s="87" t="str">
        <x:v>VIS-EGKR-MATHP-W25-SOL-957-P002</x:v>
      </x:c>
      <x:c r="B688" s="30" t="str"/>
      <x:c r="C688" s="30"/>
      <x:c r="D688" s="30" t="str">
        <x:v>957</x:v>
      </x:c>
      <x:c r="E688" s="87" t="str">
        <x:v>SECONDARY_SOLUTION</x:v>
      </x:c>
      <x:c r="F688" s="30" t="str">
        <x:v>957 вариант вторая часть.pdf</x:v>
      </x:c>
      <x:c r="G688" s="87" t="str">
        <x:v>2</x:v>
      </x:c>
      <x:c r="H688" s="87" t="str">
        <x:v>v0.96</x:v>
      </x:c>
      <x:c r="I688" s="87" t="str">
        <x:v>0</x:v>
      </x:c>
      <x:c r="J688" s="30" t="str"/>
      <x:c r="K688" s="30" t="str"/>
      <x:c r="L688" s="87" t="str">
        <x:v>CROP_VERIFIED</x:v>
      </x:c>
      <x:c r="M688" s="87" t="str">
        <x:v>ORIGINAL_PACKAGE</x:v>
      </x:c>
      <x:c r="N688" s="87" t="str">
        <x:v>pages/VIS-EGKR-MATHP-W25-SOL-957-P002.png</x:v>
      </x:c>
      <x:c r="O688" s="87" t="str">
        <x:v>thumbnails/VIS-EGKR-MATHP-W25-SOL-957-P002.jpg</x:v>
      </x:c>
      <x:c r="P688" s="87" t="str">
        <x:v>a13b1395fab37ac52aef07d188aeed18ee785e2af778d9698a67ad66866bff5d</x:v>
      </x:c>
      <x:c r="Q688" s="30" t="str">
        <x:v>incoming/raw/recovery-drop-01/mathematics_profile_egkr_winter_visual_assets_v096.zip!/pages/VIS-EGKR-MATHP-W25-SOL-957-P002.png</x:v>
      </x:c>
      <x:c r="R688" s="30" t="str">
        <x:v>RESOLVED_UNLINKED_REGISTRY_VISUAL</x:v>
      </x:c>
      <x:c r="S688" t="e">
        <x:f>HYPERLINK("visual_gallery/index.html#"&amp;A688,"Галерея")</x:f>
      </x:c>
    </x:row>
    <x:row r="689">
      <x:c r="A689" s="87" t="str">
        <x:v>VIS-EGKR-MATHP-W25-TASK-951-P001</x:v>
      </x:c>
      <x:c r="B689" s="30" t="str">
        <x:v>Математика (профиль)</x:v>
      </x:c>
      <x:c r="C689" s="30"/>
      <x:c r="D689" s="30" t="str">
        <x:v>951</x:v>
      </x:c>
      <x:c r="E689" s="87" t="str">
        <x:v>TASK</x:v>
      </x:c>
      <x:c r="F689" s="30" t="str">
        <x:v>Вариант ЕГКР 951.pdf</x:v>
      </x:c>
      <x:c r="G689" s="87" t="str">
        <x:v>1</x:v>
      </x:c>
      <x:c r="H689" s="87" t="str">
        <x:v>v0.96</x:v>
      </x:c>
      <x:c r="I689" s="87" t="str">
        <x:v>3</x:v>
      </x:c>
      <x:c r="J689" s="30" t="str">
        <x:v>VIS_ID</x:v>
      </x:c>
      <x:c r="K689" s="30" t="str">
        <x:v>EGKR-W25-MATHP-951-01, EGKR-W25-MATHP-951-02, EGKR-W25-MATHP-951-03</x:v>
      </x:c>
      <x:c r="L689" s="87" t="str">
        <x:v>CROP_VERIFIED</x:v>
      </x:c>
      <x:c r="M689" s="87" t="str">
        <x:v>ORIGINAL_PACKAGE</x:v>
      </x:c>
      <x:c r="N689" s="87" t="str">
        <x:v>pages/VIS-EGKR-MATHP-W25-TASK-951-P001.png</x:v>
      </x:c>
      <x:c r="O689" s="87" t="str">
        <x:v>thumbnails/VIS-EGKR-MATHP-W25-TASK-951-P001.jpg</x:v>
      </x:c>
      <x:c r="P689" s="87" t="str">
        <x:v>01f29a3cfa19e805d9912c9d8681e954fff6828bcb051a2613eb4ffa63b12f67</x:v>
      </x:c>
      <x:c r="Q689" s="30" t="str">
        <x:v>incoming/raw/recovery-drop-01/mathematics_profile_egkr_winter_visual_assets_v096.zip!/pages/VIS-EGKR-MATHP-W25-TASK-951-P001.png</x:v>
      </x:c>
      <x:c r="R689" s="30" t="str">
        <x:v>MATCHED_ASSET</x:v>
      </x:c>
      <x:c r="S689" t="e">
        <x:f>HYPERLINK("visual_gallery/index.html#"&amp;A689,"Галерея")</x:f>
      </x:c>
    </x:row>
    <x:row r="690">
      <x:c r="A690" s="87" t="str">
        <x:v>VIS-EGKR-MATHP-W25-TASK-951-P002</x:v>
      </x:c>
      <x:c r="B690" s="30" t="str">
        <x:v>Математика (профиль)</x:v>
      </x:c>
      <x:c r="C690" s="30"/>
      <x:c r="D690" s="30" t="str">
        <x:v>951</x:v>
      </x:c>
      <x:c r="E690" s="87" t="str">
        <x:v>TASK</x:v>
      </x:c>
      <x:c r="F690" s="30" t="str">
        <x:v>Вариант ЕГКР 951.pdf</x:v>
      </x:c>
      <x:c r="G690" s="87" t="str">
        <x:v>2</x:v>
      </x:c>
      <x:c r="H690" s="87" t="str">
        <x:v>v0.96</x:v>
      </x:c>
      <x:c r="I690" s="87" t="str">
        <x:v>9</x:v>
      </x:c>
      <x:c r="J690" s="30" t="str">
        <x:v>VIS_ID</x:v>
      </x:c>
      <x:c r="K690" s="30" t="str">
        <x:v>EGKR-W25-MATHP-951-04, EGKR-W25-MATHP-951-05, EGKR-W25-MATHP-951-06, EGKR-W25-MATHP-951-07, EGKR-W25-MATHP-951-08, EGKR-W25-MATHP-951-09, EGKR-W25-MATHP-951-10, EGKR-W25-MATHP-951-11…</x:v>
      </x:c>
      <x:c r="L690" s="87" t="str">
        <x:v>CROP_VERIFIED</x:v>
      </x:c>
      <x:c r="M690" s="87" t="str">
        <x:v>ORIGINAL_PACKAGE</x:v>
      </x:c>
      <x:c r="N690" s="87" t="str">
        <x:v>pages/VIS-EGKR-MATHP-W25-TASK-951-P002.png</x:v>
      </x:c>
      <x:c r="O690" s="87" t="str">
        <x:v>thumbnails/VIS-EGKR-MATHP-W25-TASK-951-P002.jpg</x:v>
      </x:c>
      <x:c r="P690" s="87" t="str">
        <x:v>95020624f824915bd8049c834b6397458f83a87bad74f660d06ec30258686baa</x:v>
      </x:c>
      <x:c r="Q690" s="30" t="str">
        <x:v>incoming/raw/recovery-drop-01/mathematics_profile_egkr_winter_visual_assets_v096.zip!/pages/VIS-EGKR-MATHP-W25-TASK-951-P002.png</x:v>
      </x:c>
      <x:c r="R690" s="30" t="str">
        <x:v>MATCHED_ASSET</x:v>
      </x:c>
      <x:c r="S690" t="e">
        <x:f>HYPERLINK("visual_gallery/index.html#"&amp;A690,"Галерея")</x:f>
      </x:c>
    </x:row>
    <x:row r="691">
      <x:c r="A691" s="87" t="str">
        <x:v>VIS-EGKR-MATHP-W25-TASK-951-P003</x:v>
      </x:c>
      <x:c r="B691" s="30" t="str">
        <x:v>Математика (профиль)</x:v>
      </x:c>
      <x:c r="C691" s="30"/>
      <x:c r="D691" s="30" t="str">
        <x:v>951</x:v>
      </x:c>
      <x:c r="E691" s="87" t="str">
        <x:v>TASK</x:v>
      </x:c>
      <x:c r="F691" s="30" t="str">
        <x:v>Вариант ЕГКР 951.pdf</x:v>
      </x:c>
      <x:c r="G691" s="87" t="str">
        <x:v>3</x:v>
      </x:c>
      <x:c r="H691" s="87" t="str">
        <x:v>v0.96</x:v>
      </x:c>
      <x:c r="I691" s="87" t="str">
        <x:v>7</x:v>
      </x:c>
      <x:c r="J691" s="30" t="str">
        <x:v>VIS_ID</x:v>
      </x:c>
      <x:c r="K691" s="30" t="str">
        <x:v>EGKR-W25-MATHP-951-13, EGKR-W25-MATHP-951-14, EGKR-W25-MATHP-951-15, EGKR-W25-MATHP-951-16, EGKR-W25-MATHP-951-17, EGKR-W25-MATHP-951-18, EGKR-W25-MATHP-951-19</x:v>
      </x:c>
      <x:c r="L691" s="87" t="str">
        <x:v>CROP_VERIFIED</x:v>
      </x:c>
      <x:c r="M691" s="87" t="str">
        <x:v>ORIGINAL_PACKAGE</x:v>
      </x:c>
      <x:c r="N691" s="87" t="str">
        <x:v>pages/VIS-EGKR-MATHP-W25-TASK-951-P003.png</x:v>
      </x:c>
      <x:c r="O691" s="87" t="str">
        <x:v>thumbnails/VIS-EGKR-MATHP-W25-TASK-951-P003.jpg</x:v>
      </x:c>
      <x:c r="P691" s="87" t="str">
        <x:v>c76321f5b904c7037a3ba7e892454df2932193c32fa0f79dbb17e8f6e265153c</x:v>
      </x:c>
      <x:c r="Q691" s="30" t="str">
        <x:v>incoming/raw/recovery-drop-01/mathematics_profile_egkr_winter_visual_assets_v096.zip!/pages/VIS-EGKR-MATHP-W25-TASK-951-P003.png</x:v>
      </x:c>
      <x:c r="R691" s="30" t="str">
        <x:v>MATCHED_ASSET</x:v>
      </x:c>
      <x:c r="S691" t="e">
        <x:f>HYPERLINK("visual_gallery/index.html#"&amp;A691,"Галерея")</x:f>
      </x:c>
    </x:row>
    <x:row r="692">
      <x:c r="A692" s="87" t="str">
        <x:v>VIS-EGKR-MATHP-W25-TASK-952-P001</x:v>
      </x:c>
      <x:c r="B692" s="30" t="str">
        <x:v>Математика (профиль)</x:v>
      </x:c>
      <x:c r="C692" s="30"/>
      <x:c r="D692" s="30" t="str">
        <x:v>952</x:v>
      </x:c>
      <x:c r="E692" s="87" t="str">
        <x:v>TASK</x:v>
      </x:c>
      <x:c r="F692" s="30" t="str">
        <x:v>Вариант ЕГКР 952.pdf</x:v>
      </x:c>
      <x:c r="G692" s="87" t="str">
        <x:v>1</x:v>
      </x:c>
      <x:c r="H692" s="87" t="str">
        <x:v>v0.96</x:v>
      </x:c>
      <x:c r="I692" s="87" t="str">
        <x:v>3</x:v>
      </x:c>
      <x:c r="J692" s="30" t="str">
        <x:v>VIS_ID</x:v>
      </x:c>
      <x:c r="K692" s="30" t="str">
        <x:v>EGKR-W25-MATHP-952-01, EGKR-W25-MATHP-952-02, EGKR-W25-MATHP-952-03</x:v>
      </x:c>
      <x:c r="L692" s="87" t="str">
        <x:v>CROP_VERIFIED</x:v>
      </x:c>
      <x:c r="M692" s="87" t="str">
        <x:v>ORIGINAL_PACKAGE</x:v>
      </x:c>
      <x:c r="N692" s="87" t="str">
        <x:v>pages/VIS-EGKR-MATHP-W25-TASK-952-P001.png</x:v>
      </x:c>
      <x:c r="O692" s="87" t="str">
        <x:v>thumbnails/VIS-EGKR-MATHP-W25-TASK-952-P001.jpg</x:v>
      </x:c>
      <x:c r="P692" s="87" t="str">
        <x:v>953528e34a4561e955a32c075b0b1a103045d27267fdc441aa51674f78a1fcd7</x:v>
      </x:c>
      <x:c r="Q692" s="30" t="str">
        <x:v>incoming/raw/recovery-drop-01/mathematics_profile_egkr_winter_visual_assets_v096.zip!/pages/VIS-EGKR-MATHP-W25-TASK-952-P001.png</x:v>
      </x:c>
      <x:c r="R692" s="30" t="str">
        <x:v>MATCHED_ASSET</x:v>
      </x:c>
      <x:c r="S692" t="e">
        <x:f>HYPERLINK("visual_gallery/index.html#"&amp;A692,"Галерея")</x:f>
      </x:c>
    </x:row>
    <x:row r="693">
      <x:c r="A693" s="87" t="str">
        <x:v>VIS-EGKR-MATHP-W25-TASK-952-P002</x:v>
      </x:c>
      <x:c r="B693" s="30" t="str">
        <x:v>Математика (профиль)</x:v>
      </x:c>
      <x:c r="C693" s="30"/>
      <x:c r="D693" s="30" t="str">
        <x:v>952</x:v>
      </x:c>
      <x:c r="E693" s="87" t="str">
        <x:v>TASK</x:v>
      </x:c>
      <x:c r="F693" s="30" t="str">
        <x:v>Вариант ЕГКР 952.pdf</x:v>
      </x:c>
      <x:c r="G693" s="87" t="str">
        <x:v>2</x:v>
      </x:c>
      <x:c r="H693" s="87" t="str">
        <x:v>v0.96</x:v>
      </x:c>
      <x:c r="I693" s="87" t="str">
        <x:v>9</x:v>
      </x:c>
      <x:c r="J693" s="30" t="str">
        <x:v>VIS_ID</x:v>
      </x:c>
      <x:c r="K693" s="30" t="str">
        <x:v>EGKR-W25-MATHP-952-04, EGKR-W25-MATHP-952-05, EGKR-W25-MATHP-952-06, EGKR-W25-MATHP-952-07, EGKR-W25-MATHP-952-08, EGKR-W25-MATHP-952-09, EGKR-W25-MATHP-952-10, EGKR-W25-MATHP-952-11…</x:v>
      </x:c>
      <x:c r="L693" s="87" t="str">
        <x:v>CROP_VERIFIED</x:v>
      </x:c>
      <x:c r="M693" s="87" t="str">
        <x:v>ORIGINAL_PACKAGE</x:v>
      </x:c>
      <x:c r="N693" s="87" t="str">
        <x:v>pages/VIS-EGKR-MATHP-W25-TASK-952-P002.png</x:v>
      </x:c>
      <x:c r="O693" s="87" t="str">
        <x:v>thumbnails/VIS-EGKR-MATHP-W25-TASK-952-P002.jpg</x:v>
      </x:c>
      <x:c r="P693" s="87" t="str">
        <x:v>fd37c028226676505c6b6138fc019fe0b4ca8f05b32c153f06acecdd046d5cfe</x:v>
      </x:c>
      <x:c r="Q693" s="30" t="str">
        <x:v>incoming/raw/recovery-drop-01/mathematics_profile_egkr_winter_visual_assets_v096.zip!/pages/VIS-EGKR-MATHP-W25-TASK-952-P002.png</x:v>
      </x:c>
      <x:c r="R693" s="30" t="str">
        <x:v>MATCHED_ASSET</x:v>
      </x:c>
      <x:c r="S693" t="e">
        <x:f>HYPERLINK("visual_gallery/index.html#"&amp;A693,"Галерея")</x:f>
      </x:c>
    </x:row>
    <x:row r="694">
      <x:c r="A694" s="87" t="str">
        <x:v>VIS-EGKR-MATHP-W25-TASK-952-P003</x:v>
      </x:c>
      <x:c r="B694" s="30" t="str">
        <x:v>Математика (профиль)</x:v>
      </x:c>
      <x:c r="C694" s="30"/>
      <x:c r="D694" s="30" t="str">
        <x:v>952</x:v>
      </x:c>
      <x:c r="E694" s="87" t="str">
        <x:v>TASK</x:v>
      </x:c>
      <x:c r="F694" s="30" t="str">
        <x:v>Вариант ЕГКР 952.pdf</x:v>
      </x:c>
      <x:c r="G694" s="87" t="str">
        <x:v>3</x:v>
      </x:c>
      <x:c r="H694" s="87" t="str">
        <x:v>v0.96</x:v>
      </x:c>
      <x:c r="I694" s="87" t="str">
        <x:v>7</x:v>
      </x:c>
      <x:c r="J694" s="30" t="str">
        <x:v>VIS_ID</x:v>
      </x:c>
      <x:c r="K694" s="30" t="str">
        <x:v>EGKR-W25-MATHP-952-13, EGKR-W25-MATHP-952-14, EGKR-W25-MATHP-952-15, EGKR-W25-MATHP-952-16, EGKR-W25-MATHP-952-17, EGKR-W25-MATHP-952-18, EGKR-W25-MATHP-952-19</x:v>
      </x:c>
      <x:c r="L694" s="87" t="str">
        <x:v>CROP_VERIFIED</x:v>
      </x:c>
      <x:c r="M694" s="87" t="str">
        <x:v>ORIGINAL_PACKAGE</x:v>
      </x:c>
      <x:c r="N694" s="87" t="str">
        <x:v>pages/VIS-EGKR-MATHP-W25-TASK-952-P003.png</x:v>
      </x:c>
      <x:c r="O694" s="87" t="str">
        <x:v>thumbnails/VIS-EGKR-MATHP-W25-TASK-952-P003.jpg</x:v>
      </x:c>
      <x:c r="P694" s="87" t="str">
        <x:v>3b4a325c94da21ccc8d8f74c0c10b2d6afec408355fb492a5a0dc2eaedb0ad06</x:v>
      </x:c>
      <x:c r="Q694" s="30" t="str">
        <x:v>incoming/raw/recovery-drop-01/mathematics_profile_egkr_winter_visual_assets_v096.zip!/pages/VIS-EGKR-MATHP-W25-TASK-952-P003.png</x:v>
      </x:c>
      <x:c r="R694" s="30" t="str">
        <x:v>MATCHED_ASSET</x:v>
      </x:c>
      <x:c r="S694" t="e">
        <x:f>HYPERLINK("visual_gallery/index.html#"&amp;A694,"Галерея")</x:f>
      </x:c>
    </x:row>
    <x:row r="695">
      <x:c r="A695" s="87" t="str">
        <x:v>VIS-EGKR-MATHP-W25-TASK-953-P001</x:v>
      </x:c>
      <x:c r="B695" s="30" t="str">
        <x:v>Математика (профиль)</x:v>
      </x:c>
      <x:c r="C695" s="30"/>
      <x:c r="D695" s="30" t="str">
        <x:v>953</x:v>
      </x:c>
      <x:c r="E695" s="87" t="str">
        <x:v>TASK</x:v>
      </x:c>
      <x:c r="F695" s="30" t="str">
        <x:v>Вариант ЕГКР 953.pdf</x:v>
      </x:c>
      <x:c r="G695" s="87" t="str">
        <x:v>1</x:v>
      </x:c>
      <x:c r="H695" s="87" t="str">
        <x:v>v0.96</x:v>
      </x:c>
      <x:c r="I695" s="87" t="str">
        <x:v>3</x:v>
      </x:c>
      <x:c r="J695" s="30" t="str">
        <x:v>VIS_ID</x:v>
      </x:c>
      <x:c r="K695" s="30" t="str">
        <x:v>EGKR-W25-MATHP-953-01, EGKR-W25-MATHP-953-02, EGKR-W25-MATHP-953-03</x:v>
      </x:c>
      <x:c r="L695" s="87" t="str">
        <x:v>CROP_VERIFIED</x:v>
      </x:c>
      <x:c r="M695" s="87" t="str">
        <x:v>ORIGINAL_PACKAGE</x:v>
      </x:c>
      <x:c r="N695" s="87" t="str">
        <x:v>pages/VIS-EGKR-MATHP-W25-TASK-953-P001.png</x:v>
      </x:c>
      <x:c r="O695" s="87" t="str">
        <x:v>thumbnails/VIS-EGKR-MATHP-W25-TASK-953-P001.jpg</x:v>
      </x:c>
      <x:c r="P695" s="87" t="str">
        <x:v>fe21896e375b1335f68c40af76918bdc57bad979579c3308bbcf9e7a5ba1acf4</x:v>
      </x:c>
      <x:c r="Q695" s="30" t="str">
        <x:v>incoming/raw/recovery-drop-01/mathematics_profile_egkr_winter_visual_assets_v096.zip!/pages/VIS-EGKR-MATHP-W25-TASK-953-P001.png</x:v>
      </x:c>
      <x:c r="R695" s="30" t="str">
        <x:v>MATCHED_ASSET</x:v>
      </x:c>
      <x:c r="S695" t="e">
        <x:f>HYPERLINK("visual_gallery/index.html#"&amp;A695,"Галерея")</x:f>
      </x:c>
    </x:row>
    <x:row r="696">
      <x:c r="A696" s="87" t="str">
        <x:v>VIS-EGKR-MATHP-W25-TASK-953-P002</x:v>
      </x:c>
      <x:c r="B696" s="30" t="str">
        <x:v>Математика (профиль)</x:v>
      </x:c>
      <x:c r="C696" s="30"/>
      <x:c r="D696" s="30" t="str">
        <x:v>953</x:v>
      </x:c>
      <x:c r="E696" s="87" t="str">
        <x:v>TASK</x:v>
      </x:c>
      <x:c r="F696" s="30" t="str">
        <x:v>Вариант ЕГКР 953.pdf</x:v>
      </x:c>
      <x:c r="G696" s="87" t="str">
        <x:v>2</x:v>
      </x:c>
      <x:c r="H696" s="87" t="str">
        <x:v>v0.96</x:v>
      </x:c>
      <x:c r="I696" s="87" t="str">
        <x:v>9</x:v>
      </x:c>
      <x:c r="J696" s="30" t="str">
        <x:v>VIS_ID</x:v>
      </x:c>
      <x:c r="K696" s="30" t="str">
        <x:v>EGKR-W25-MATHP-953-04, EGKR-W25-MATHP-953-05, EGKR-W25-MATHP-953-06, EGKR-W25-MATHP-953-07, EGKR-W25-MATHP-953-08, EGKR-W25-MATHP-953-09, EGKR-W25-MATHP-953-10, EGKR-W25-MATHP-953-11…</x:v>
      </x:c>
      <x:c r="L696" s="87" t="str">
        <x:v>CROP_VERIFIED</x:v>
      </x:c>
      <x:c r="M696" s="87" t="str">
        <x:v>ORIGINAL_PACKAGE</x:v>
      </x:c>
      <x:c r="N696" s="87" t="str">
        <x:v>pages/VIS-EGKR-MATHP-W25-TASK-953-P002.png</x:v>
      </x:c>
      <x:c r="O696" s="87" t="str">
        <x:v>thumbnails/VIS-EGKR-MATHP-W25-TASK-953-P002.jpg</x:v>
      </x:c>
      <x:c r="P696" s="87" t="str">
        <x:v>fc94d2fd92267e41bf687d35d7bf3e44ae2124c6a56ad36d87d91d1e3519654d</x:v>
      </x:c>
      <x:c r="Q696" s="30" t="str">
        <x:v>incoming/raw/recovery-drop-01/mathematics_profile_egkr_winter_visual_assets_v096.zip!/pages/VIS-EGKR-MATHP-W25-TASK-953-P002.png</x:v>
      </x:c>
      <x:c r="R696" s="30" t="str">
        <x:v>MATCHED_ASSET</x:v>
      </x:c>
      <x:c r="S696" t="e">
        <x:f>HYPERLINK("visual_gallery/index.html#"&amp;A696,"Галерея")</x:f>
      </x:c>
    </x:row>
    <x:row r="697">
      <x:c r="A697" s="87" t="str">
        <x:v>VIS-EGKR-MATHP-W25-TASK-953-P003</x:v>
      </x:c>
      <x:c r="B697" s="30" t="str">
        <x:v>Математика (профиль)</x:v>
      </x:c>
      <x:c r="C697" s="30"/>
      <x:c r="D697" s="30" t="str">
        <x:v>953</x:v>
      </x:c>
      <x:c r="E697" s="87" t="str">
        <x:v>TASK</x:v>
      </x:c>
      <x:c r="F697" s="30" t="str">
        <x:v>Вариант ЕГКР 953.pdf</x:v>
      </x:c>
      <x:c r="G697" s="87" t="str">
        <x:v>3</x:v>
      </x:c>
      <x:c r="H697" s="87" t="str">
        <x:v>v0.96</x:v>
      </x:c>
      <x:c r="I697" s="87" t="str">
        <x:v>7</x:v>
      </x:c>
      <x:c r="J697" s="30" t="str">
        <x:v>VIS_ID</x:v>
      </x:c>
      <x:c r="K697" s="30" t="str">
        <x:v>EGKR-W25-MATHP-953-13, EGKR-W25-MATHP-953-14, EGKR-W25-MATHP-953-15, EGKR-W25-MATHP-953-16, EGKR-W25-MATHP-953-17, EGKR-W25-MATHP-953-18, EGKR-W25-MATHP-953-19</x:v>
      </x:c>
      <x:c r="L697" s="87" t="str">
        <x:v>CROP_VERIFIED</x:v>
      </x:c>
      <x:c r="M697" s="87" t="str">
        <x:v>ORIGINAL_PACKAGE</x:v>
      </x:c>
      <x:c r="N697" s="87" t="str">
        <x:v>pages/VIS-EGKR-MATHP-W25-TASK-953-P003.png</x:v>
      </x:c>
      <x:c r="O697" s="87" t="str">
        <x:v>thumbnails/VIS-EGKR-MATHP-W25-TASK-953-P003.jpg</x:v>
      </x:c>
      <x:c r="P697" s="87" t="str">
        <x:v>6edb7ca87f41df6fa044a9bdd90e0109f3269e8b22c4920320f4b200bc7739c6</x:v>
      </x:c>
      <x:c r="Q697" s="30" t="str">
        <x:v>incoming/raw/recovery-drop-01/mathematics_profile_egkr_winter_visual_assets_v096.zip!/pages/VIS-EGKR-MATHP-W25-TASK-953-P003.png</x:v>
      </x:c>
      <x:c r="R697" s="30" t="str">
        <x:v>MATCHED_ASSET</x:v>
      </x:c>
      <x:c r="S697" t="e">
        <x:f>HYPERLINK("visual_gallery/index.html#"&amp;A697,"Галерея")</x:f>
      </x:c>
    </x:row>
    <x:row r="698">
      <x:c r="A698" s="87" t="str">
        <x:v>VIS-EGKR-MATHP-W25-TASK-954-P001</x:v>
      </x:c>
      <x:c r="B698" s="30" t="str">
        <x:v>Математика (профиль)</x:v>
      </x:c>
      <x:c r="C698" s="30"/>
      <x:c r="D698" s="30" t="str">
        <x:v>954</x:v>
      </x:c>
      <x:c r="E698" s="87" t="str">
        <x:v>TASK</x:v>
      </x:c>
      <x:c r="F698" s="30" t="str">
        <x:v>Вариант ЕГКР 954.pdf</x:v>
      </x:c>
      <x:c r="G698" s="87" t="str">
        <x:v>1</x:v>
      </x:c>
      <x:c r="H698" s="87" t="str">
        <x:v>v0.96</x:v>
      </x:c>
      <x:c r="I698" s="87" t="str">
        <x:v>3</x:v>
      </x:c>
      <x:c r="J698" s="30" t="str">
        <x:v>VIS_ID</x:v>
      </x:c>
      <x:c r="K698" s="30" t="str">
        <x:v>EGKR-W25-MATHP-954-01, EGKR-W25-MATHP-954-02, EGKR-W25-MATHP-954-03</x:v>
      </x:c>
      <x:c r="L698" s="87" t="str">
        <x:v>CROP_VERIFIED</x:v>
      </x:c>
      <x:c r="M698" s="87" t="str">
        <x:v>ORIGINAL_PACKAGE</x:v>
      </x:c>
      <x:c r="N698" s="87" t="str">
        <x:v>pages/VIS-EGKR-MATHP-W25-TASK-954-P001.png</x:v>
      </x:c>
      <x:c r="O698" s="87" t="str">
        <x:v>thumbnails/VIS-EGKR-MATHP-W25-TASK-954-P001.jpg</x:v>
      </x:c>
      <x:c r="P698" s="87" t="str">
        <x:v>baca245ec4dda66472f7ad830df91db6b2fcf09cfb43eff97adcaff2d40df7be</x:v>
      </x:c>
      <x:c r="Q698" s="30" t="str">
        <x:v>incoming/raw/recovery-drop-01/mathematics_profile_egkr_winter_visual_assets_v096.zip!/pages/VIS-EGKR-MATHP-W25-TASK-954-P001.png</x:v>
      </x:c>
      <x:c r="R698" s="30" t="str">
        <x:v>MATCHED_ASSET</x:v>
      </x:c>
      <x:c r="S698" t="e">
        <x:f>HYPERLINK("visual_gallery/index.html#"&amp;A698,"Галерея")</x:f>
      </x:c>
    </x:row>
    <x:row r="699">
      <x:c r="A699" s="87" t="str">
        <x:v>VIS-EGKR-MATHP-W25-TASK-954-P002</x:v>
      </x:c>
      <x:c r="B699" s="30" t="str">
        <x:v>Математика (профиль)</x:v>
      </x:c>
      <x:c r="C699" s="30"/>
      <x:c r="D699" s="30" t="str">
        <x:v>954</x:v>
      </x:c>
      <x:c r="E699" s="87" t="str">
        <x:v>TASK</x:v>
      </x:c>
      <x:c r="F699" s="30" t="str">
        <x:v>Вариант ЕГКР 954.pdf</x:v>
      </x:c>
      <x:c r="G699" s="87" t="str">
        <x:v>2</x:v>
      </x:c>
      <x:c r="H699" s="87" t="str">
        <x:v>v0.96</x:v>
      </x:c>
      <x:c r="I699" s="87" t="str">
        <x:v>9</x:v>
      </x:c>
      <x:c r="J699" s="30" t="str">
        <x:v>VIS_ID</x:v>
      </x:c>
      <x:c r="K699" s="30" t="str">
        <x:v>EGKR-W25-MATHP-954-04, EGKR-W25-MATHP-954-05, EGKR-W25-MATHP-954-06, EGKR-W25-MATHP-954-07, EGKR-W25-MATHP-954-08, EGKR-W25-MATHP-954-09, EGKR-W25-MATHP-954-10, EGKR-W25-MATHP-954-11…</x:v>
      </x:c>
      <x:c r="L699" s="87" t="str">
        <x:v>CROP_VERIFIED</x:v>
      </x:c>
      <x:c r="M699" s="87" t="str">
        <x:v>ORIGINAL_PACKAGE</x:v>
      </x:c>
      <x:c r="N699" s="87" t="str">
        <x:v>pages/VIS-EGKR-MATHP-W25-TASK-954-P002.png</x:v>
      </x:c>
      <x:c r="O699" s="87" t="str">
        <x:v>thumbnails/VIS-EGKR-MATHP-W25-TASK-954-P002.jpg</x:v>
      </x:c>
      <x:c r="P699" s="87" t="str">
        <x:v>d11472100988bed82ecc2691e51078205ce3c2069883c2646d537b3cb1b1bddc</x:v>
      </x:c>
      <x:c r="Q699" s="30" t="str">
        <x:v>incoming/raw/recovery-drop-01/mathematics_profile_egkr_winter_visual_assets_v096.zip!/pages/VIS-EGKR-MATHP-W25-TASK-954-P002.png</x:v>
      </x:c>
      <x:c r="R699" s="30" t="str">
        <x:v>MATCHED_ASSET</x:v>
      </x:c>
      <x:c r="S699" t="e">
        <x:f>HYPERLINK("visual_gallery/index.html#"&amp;A699,"Галерея")</x:f>
      </x:c>
    </x:row>
    <x:row r="700">
      <x:c r="A700" s="87" t="str">
        <x:v>VIS-EGKR-MATHP-W25-TASK-954-P003</x:v>
      </x:c>
      <x:c r="B700" s="30" t="str">
        <x:v>Математика (профиль)</x:v>
      </x:c>
      <x:c r="C700" s="30"/>
      <x:c r="D700" s="30" t="str">
        <x:v>954</x:v>
      </x:c>
      <x:c r="E700" s="87" t="str">
        <x:v>TASK</x:v>
      </x:c>
      <x:c r="F700" s="30" t="str">
        <x:v>Вариант ЕГКР 954.pdf</x:v>
      </x:c>
      <x:c r="G700" s="87" t="str">
        <x:v>3</x:v>
      </x:c>
      <x:c r="H700" s="87" t="str">
        <x:v>v0.96</x:v>
      </x:c>
      <x:c r="I700" s="87" t="str">
        <x:v>7</x:v>
      </x:c>
      <x:c r="J700" s="30" t="str">
        <x:v>VIS_ID</x:v>
      </x:c>
      <x:c r="K700" s="30" t="str">
        <x:v>EGKR-W25-MATHP-954-13, EGKR-W25-MATHP-954-14, EGKR-W25-MATHP-954-15, EGKR-W25-MATHP-954-16, EGKR-W25-MATHP-954-17, EGKR-W25-MATHP-954-18, EGKR-W25-MATHP-954-19</x:v>
      </x:c>
      <x:c r="L700" s="87" t="str">
        <x:v>CROP_VERIFIED</x:v>
      </x:c>
      <x:c r="M700" s="87" t="str">
        <x:v>ORIGINAL_PACKAGE</x:v>
      </x:c>
      <x:c r="N700" s="87" t="str">
        <x:v>pages/VIS-EGKR-MATHP-W25-TASK-954-P003.png</x:v>
      </x:c>
      <x:c r="O700" s="87" t="str">
        <x:v>thumbnails/VIS-EGKR-MATHP-W25-TASK-954-P003.jpg</x:v>
      </x:c>
      <x:c r="P700" s="87" t="str">
        <x:v>f7858dfb84636d83e06d5d0c213df40a12ad5ac6475d15d24128da5b8d72087c</x:v>
      </x:c>
      <x:c r="Q700" s="30" t="str">
        <x:v>incoming/raw/recovery-drop-01/mathematics_profile_egkr_winter_visual_assets_v096.zip!/pages/VIS-EGKR-MATHP-W25-TASK-954-P003.png</x:v>
      </x:c>
      <x:c r="R700" s="30" t="str">
        <x:v>MATCHED_ASSET</x:v>
      </x:c>
      <x:c r="S700" t="e">
        <x:f>HYPERLINK("visual_gallery/index.html#"&amp;A700,"Галерея")</x:f>
      </x:c>
    </x:row>
    <x:row r="701">
      <x:c r="A701" s="87" t="str">
        <x:v>VIS-EGKR-MATHP-W25-TASK-955-P001</x:v>
      </x:c>
      <x:c r="B701" s="30" t="str">
        <x:v>Математика (профиль)</x:v>
      </x:c>
      <x:c r="C701" s="30"/>
      <x:c r="D701" s="30" t="str">
        <x:v>955</x:v>
      </x:c>
      <x:c r="E701" s="87" t="str">
        <x:v>TASK</x:v>
      </x:c>
      <x:c r="F701" s="30" t="str">
        <x:v>Вариант ЕГКР 955.pdf</x:v>
      </x:c>
      <x:c r="G701" s="87" t="str">
        <x:v>1</x:v>
      </x:c>
      <x:c r="H701" s="87" t="str">
        <x:v>v0.96</x:v>
      </x:c>
      <x:c r="I701" s="87" t="str">
        <x:v>3</x:v>
      </x:c>
      <x:c r="J701" s="30" t="str">
        <x:v>VIS_ID</x:v>
      </x:c>
      <x:c r="K701" s="30" t="str">
        <x:v>EGKR-W25-MATHP-955-01, EGKR-W25-MATHP-955-02, EGKR-W25-MATHP-955-03</x:v>
      </x:c>
      <x:c r="L701" s="87" t="str">
        <x:v>CROP_VERIFIED</x:v>
      </x:c>
      <x:c r="M701" s="87" t="str">
        <x:v>ORIGINAL_PACKAGE</x:v>
      </x:c>
      <x:c r="N701" s="87" t="str">
        <x:v>pages/VIS-EGKR-MATHP-W25-TASK-955-P001.png</x:v>
      </x:c>
      <x:c r="O701" s="87" t="str">
        <x:v>thumbnails/VIS-EGKR-MATHP-W25-TASK-955-P001.jpg</x:v>
      </x:c>
      <x:c r="P701" s="87" t="str">
        <x:v>326754257d372dee517571769bb3d851a611865cc1bc494f5c25365c657936d9</x:v>
      </x:c>
      <x:c r="Q701" s="30" t="str">
        <x:v>incoming/raw/recovery-drop-01/mathematics_profile_egkr_winter_visual_assets_v096.zip!/pages/VIS-EGKR-MATHP-W25-TASK-955-P001.png</x:v>
      </x:c>
      <x:c r="R701" s="30" t="str">
        <x:v>MATCHED_ASSET</x:v>
      </x:c>
      <x:c r="S701" t="e">
        <x:f>HYPERLINK("visual_gallery/index.html#"&amp;A701,"Галерея")</x:f>
      </x:c>
    </x:row>
    <x:row r="702">
      <x:c r="A702" s="87" t="str">
        <x:v>VIS-EGKR-MATHP-W25-TASK-955-P002</x:v>
      </x:c>
      <x:c r="B702" s="30" t="str">
        <x:v>Математика (профиль)</x:v>
      </x:c>
      <x:c r="C702" s="30"/>
      <x:c r="D702" s="30" t="str">
        <x:v>955</x:v>
      </x:c>
      <x:c r="E702" s="87" t="str">
        <x:v>TASK</x:v>
      </x:c>
      <x:c r="F702" s="30" t="str">
        <x:v>Вариант ЕГКР 955.pdf</x:v>
      </x:c>
      <x:c r="G702" s="87" t="str">
        <x:v>2</x:v>
      </x:c>
      <x:c r="H702" s="87" t="str">
        <x:v>v0.96</x:v>
      </x:c>
      <x:c r="I702" s="87" t="str">
        <x:v>9</x:v>
      </x:c>
      <x:c r="J702" s="30" t="str">
        <x:v>VIS_ID</x:v>
      </x:c>
      <x:c r="K702" s="30" t="str">
        <x:v>EGKR-W25-MATHP-955-04, EGKR-W25-MATHP-955-05, EGKR-W25-MATHP-955-06, EGKR-W25-MATHP-955-07, EGKR-W25-MATHP-955-08, EGKR-W25-MATHP-955-09, EGKR-W25-MATHP-955-10, EGKR-W25-MATHP-955-11…</x:v>
      </x:c>
      <x:c r="L702" s="87" t="str">
        <x:v>CROP_VERIFIED</x:v>
      </x:c>
      <x:c r="M702" s="87" t="str">
        <x:v>ORIGINAL_PACKAGE</x:v>
      </x:c>
      <x:c r="N702" s="87" t="str">
        <x:v>pages/VIS-EGKR-MATHP-W25-TASK-955-P002.png</x:v>
      </x:c>
      <x:c r="O702" s="87" t="str">
        <x:v>thumbnails/VIS-EGKR-MATHP-W25-TASK-955-P002.jpg</x:v>
      </x:c>
      <x:c r="P702" s="87" t="str">
        <x:v>b041d9aa6a10aff751632b703f81d143246b5c092d62a350da65bb9960443f0c</x:v>
      </x:c>
      <x:c r="Q702" s="30" t="str">
        <x:v>incoming/raw/recovery-drop-01/mathematics_profile_egkr_winter_visual_assets_v096.zip!/pages/VIS-EGKR-MATHP-W25-TASK-955-P002.png</x:v>
      </x:c>
      <x:c r="R702" s="30" t="str">
        <x:v>MATCHED_ASSET</x:v>
      </x:c>
      <x:c r="S702" t="e">
        <x:f>HYPERLINK("visual_gallery/index.html#"&amp;A702,"Галерея")</x:f>
      </x:c>
    </x:row>
    <x:row r="703">
      <x:c r="A703" s="87" t="str">
        <x:v>VIS-EGKR-MATHP-W25-TASK-955-P003</x:v>
      </x:c>
      <x:c r="B703" s="30" t="str">
        <x:v>Математика (профиль)</x:v>
      </x:c>
      <x:c r="C703" s="30"/>
      <x:c r="D703" s="30" t="str">
        <x:v>955</x:v>
      </x:c>
      <x:c r="E703" s="87" t="str">
        <x:v>TASK</x:v>
      </x:c>
      <x:c r="F703" s="30" t="str">
        <x:v>Вариант ЕГКР 955.pdf</x:v>
      </x:c>
      <x:c r="G703" s="87" t="str">
        <x:v>3</x:v>
      </x:c>
      <x:c r="H703" s="87" t="str">
        <x:v>v0.96</x:v>
      </x:c>
      <x:c r="I703" s="87" t="str">
        <x:v>7</x:v>
      </x:c>
      <x:c r="J703" s="30" t="str">
        <x:v>VIS_ID</x:v>
      </x:c>
      <x:c r="K703" s="30" t="str">
        <x:v>EGKR-W25-MATHP-955-13, EGKR-W25-MATHP-955-14, EGKR-W25-MATHP-955-15, EGKR-W25-MATHP-955-16, EGKR-W25-MATHP-955-17, EGKR-W25-MATHP-955-18, EGKR-W25-MATHP-955-19</x:v>
      </x:c>
      <x:c r="L703" s="87" t="str">
        <x:v>CROP_VERIFIED</x:v>
      </x:c>
      <x:c r="M703" s="87" t="str">
        <x:v>ORIGINAL_PACKAGE</x:v>
      </x:c>
      <x:c r="N703" s="87" t="str">
        <x:v>pages/VIS-EGKR-MATHP-W25-TASK-955-P003.png</x:v>
      </x:c>
      <x:c r="O703" s="87" t="str">
        <x:v>thumbnails/VIS-EGKR-MATHP-W25-TASK-955-P003.jpg</x:v>
      </x:c>
      <x:c r="P703" s="87" t="str">
        <x:v>00f157a2ea25b34a5381c46b4f4f1c5da4852efe197e037794c7a9313ef4b6e9</x:v>
      </x:c>
      <x:c r="Q703" s="30" t="str">
        <x:v>incoming/raw/recovery-drop-01/mathematics_profile_egkr_winter_visual_assets_v096.zip!/pages/VIS-EGKR-MATHP-W25-TASK-955-P003.png</x:v>
      </x:c>
      <x:c r="R703" s="30" t="str">
        <x:v>MATCHED_ASSET</x:v>
      </x:c>
      <x:c r="S703" t="e">
        <x:f>HYPERLINK("visual_gallery/index.html#"&amp;A703,"Галерея")</x:f>
      </x:c>
    </x:row>
    <x:row r="704">
      <x:c r="A704" s="87" t="str">
        <x:v>VIS-EGKR-MATHP-W25-TASK-956-P001</x:v>
      </x:c>
      <x:c r="B704" s="30" t="str">
        <x:v>Математика (профиль)</x:v>
      </x:c>
      <x:c r="C704" s="30"/>
      <x:c r="D704" s="30" t="str">
        <x:v>956</x:v>
      </x:c>
      <x:c r="E704" s="87" t="str">
        <x:v>TASK</x:v>
      </x:c>
      <x:c r="F704" s="30" t="str">
        <x:v>Вариант ЕГКР 956.pdf</x:v>
      </x:c>
      <x:c r="G704" s="87" t="str">
        <x:v>1</x:v>
      </x:c>
      <x:c r="H704" s="87" t="str">
        <x:v>v0.96</x:v>
      </x:c>
      <x:c r="I704" s="87" t="str">
        <x:v>3</x:v>
      </x:c>
      <x:c r="J704" s="30" t="str">
        <x:v>VIS_ID</x:v>
      </x:c>
      <x:c r="K704" s="30" t="str">
        <x:v>EGKR-W25-MATHP-956-01, EGKR-W25-MATHP-956-02, EGKR-W25-MATHP-956-03</x:v>
      </x:c>
      <x:c r="L704" s="87" t="str">
        <x:v>CROP_VERIFIED</x:v>
      </x:c>
      <x:c r="M704" s="87" t="str">
        <x:v>ORIGINAL_PACKAGE</x:v>
      </x:c>
      <x:c r="N704" s="87" t="str">
        <x:v>pages/VIS-EGKR-MATHP-W25-TASK-956-P001.png</x:v>
      </x:c>
      <x:c r="O704" s="87" t="str">
        <x:v>thumbnails/VIS-EGKR-MATHP-W25-TASK-956-P001.jpg</x:v>
      </x:c>
      <x:c r="P704" s="87" t="str">
        <x:v>141c98cf6120960cbb55cddefa41e7c9f5a29913bebd74e86fe5b97f780a8cdb</x:v>
      </x:c>
      <x:c r="Q704" s="30" t="str">
        <x:v>incoming/raw/recovery-drop-01/mathematics_profile_egkr_winter_visual_assets_v096.zip!/pages/VIS-EGKR-MATHP-W25-TASK-956-P001.png</x:v>
      </x:c>
      <x:c r="R704" s="30" t="str">
        <x:v>MATCHED_ASSET</x:v>
      </x:c>
      <x:c r="S704" t="e">
        <x:f>HYPERLINK("visual_gallery/index.html#"&amp;A704,"Галерея")</x:f>
      </x:c>
    </x:row>
    <x:row r="705">
      <x:c r="A705" s="87" t="str">
        <x:v>VIS-EGKR-MATHP-W25-TASK-956-P002</x:v>
      </x:c>
      <x:c r="B705" s="30" t="str">
        <x:v>Математика (профиль)</x:v>
      </x:c>
      <x:c r="C705" s="30"/>
      <x:c r="D705" s="30" t="str">
        <x:v>956</x:v>
      </x:c>
      <x:c r="E705" s="87" t="str">
        <x:v>TASK</x:v>
      </x:c>
      <x:c r="F705" s="30" t="str">
        <x:v>Вариант ЕГКР 956.pdf</x:v>
      </x:c>
      <x:c r="G705" s="87" t="str">
        <x:v>2</x:v>
      </x:c>
      <x:c r="H705" s="87" t="str">
        <x:v>v0.96</x:v>
      </x:c>
      <x:c r="I705" s="87" t="str">
        <x:v>9</x:v>
      </x:c>
      <x:c r="J705" s="30" t="str">
        <x:v>VIS_ID</x:v>
      </x:c>
      <x:c r="K705" s="30" t="str">
        <x:v>EGKR-W25-MATHP-956-04, EGKR-W25-MATHP-956-05, EGKR-W25-MATHP-956-06, EGKR-W25-MATHP-956-07, EGKR-W25-MATHP-956-08, EGKR-W25-MATHP-956-09, EGKR-W25-MATHP-956-10, EGKR-W25-MATHP-956-11…</x:v>
      </x:c>
      <x:c r="L705" s="87" t="str">
        <x:v>CROP_VERIFIED</x:v>
      </x:c>
      <x:c r="M705" s="87" t="str">
        <x:v>ORIGINAL_PACKAGE</x:v>
      </x:c>
      <x:c r="N705" s="87" t="str">
        <x:v>pages/VIS-EGKR-MATHP-W25-TASK-956-P002.png</x:v>
      </x:c>
      <x:c r="O705" s="87" t="str">
        <x:v>thumbnails/VIS-EGKR-MATHP-W25-TASK-956-P002.jpg</x:v>
      </x:c>
      <x:c r="P705" s="87" t="str">
        <x:v>0bb01a9ef92c360678b18987c9664fac724bf639d066c4596604b10a67f5ee9c</x:v>
      </x:c>
      <x:c r="Q705" s="30" t="str">
        <x:v>incoming/raw/recovery-drop-01/mathematics_profile_egkr_winter_visual_assets_v096.zip!/pages/VIS-EGKR-MATHP-W25-TASK-956-P002.png</x:v>
      </x:c>
      <x:c r="R705" s="30" t="str">
        <x:v>MATCHED_ASSET</x:v>
      </x:c>
      <x:c r="S705" t="e">
        <x:f>HYPERLINK("visual_gallery/index.html#"&amp;A705,"Галерея")</x:f>
      </x:c>
    </x:row>
    <x:row r="706">
      <x:c r="A706" s="87" t="str">
        <x:v>VIS-EGKR-MATHP-W25-TASK-956-P003</x:v>
      </x:c>
      <x:c r="B706" s="30" t="str">
        <x:v>Математика (профиль)</x:v>
      </x:c>
      <x:c r="C706" s="30"/>
      <x:c r="D706" s="30" t="str">
        <x:v>956</x:v>
      </x:c>
      <x:c r="E706" s="87" t="str">
        <x:v>TASK</x:v>
      </x:c>
      <x:c r="F706" s="30" t="str">
        <x:v>Вариант ЕГКР 956.pdf</x:v>
      </x:c>
      <x:c r="G706" s="87" t="str">
        <x:v>3</x:v>
      </x:c>
      <x:c r="H706" s="87" t="str">
        <x:v>v0.96</x:v>
      </x:c>
      <x:c r="I706" s="87" t="str">
        <x:v>7</x:v>
      </x:c>
      <x:c r="J706" s="30" t="str">
        <x:v>VIS_ID</x:v>
      </x:c>
      <x:c r="K706" s="30" t="str">
        <x:v>EGKR-W25-MATHP-956-13, EGKR-W25-MATHP-956-14, EGKR-W25-MATHP-956-15, EGKR-W25-MATHP-956-16, EGKR-W25-MATHP-956-17, EGKR-W25-MATHP-956-18, EGKR-W25-MATHP-956-19</x:v>
      </x:c>
      <x:c r="L706" s="87" t="str">
        <x:v>CROP_VERIFIED</x:v>
      </x:c>
      <x:c r="M706" s="87" t="str">
        <x:v>ORIGINAL_PACKAGE</x:v>
      </x:c>
      <x:c r="N706" s="87" t="str">
        <x:v>pages/VIS-EGKR-MATHP-W25-TASK-956-P003.png</x:v>
      </x:c>
      <x:c r="O706" s="87" t="str">
        <x:v>thumbnails/VIS-EGKR-MATHP-W25-TASK-956-P003.jpg</x:v>
      </x:c>
      <x:c r="P706" s="87" t="str">
        <x:v>2851bafffaee2e192fff5be951a894de19544570abe0e96b8701a277deb3c03b</x:v>
      </x:c>
      <x:c r="Q706" s="30" t="str">
        <x:v>incoming/raw/recovery-drop-01/mathematics_profile_egkr_winter_visual_assets_v096.zip!/pages/VIS-EGKR-MATHP-W25-TASK-956-P003.png</x:v>
      </x:c>
      <x:c r="R706" s="30" t="str">
        <x:v>MATCHED_ASSET</x:v>
      </x:c>
      <x:c r="S706" t="e">
        <x:f>HYPERLINK("visual_gallery/index.html#"&amp;A706,"Галерея")</x:f>
      </x:c>
    </x:row>
    <x:row r="707">
      <x:c r="A707" s="87" t="str">
        <x:v>VIS-EGKR-MATHP-W25-TASK-957-P001</x:v>
      </x:c>
      <x:c r="B707" s="30" t="str">
        <x:v>Математика (профиль)</x:v>
      </x:c>
      <x:c r="C707" s="30"/>
      <x:c r="D707" s="30" t="str">
        <x:v>957</x:v>
      </x:c>
      <x:c r="E707" s="87" t="str">
        <x:v>TASK</x:v>
      </x:c>
      <x:c r="F707" s="30" t="str">
        <x:v>Вариант ЕГКР 957.pdf</x:v>
      </x:c>
      <x:c r="G707" s="87" t="str">
        <x:v>1</x:v>
      </x:c>
      <x:c r="H707" s="87" t="str">
        <x:v>v0.96</x:v>
      </x:c>
      <x:c r="I707" s="87" t="str">
        <x:v>3</x:v>
      </x:c>
      <x:c r="J707" s="30" t="str">
        <x:v>VIS_ID</x:v>
      </x:c>
      <x:c r="K707" s="30" t="str">
        <x:v>EGKR-W25-MATHP-957-01, EGKR-W25-MATHP-957-02, EGKR-W25-MATHP-957-03</x:v>
      </x:c>
      <x:c r="L707" s="87" t="str">
        <x:v>CROP_VERIFIED</x:v>
      </x:c>
      <x:c r="M707" s="87" t="str">
        <x:v>ORIGINAL_PACKAGE</x:v>
      </x:c>
      <x:c r="N707" s="87" t="str">
        <x:v>pages/VIS-EGKR-MATHP-W25-TASK-957-P001.png</x:v>
      </x:c>
      <x:c r="O707" s="87" t="str">
        <x:v>thumbnails/VIS-EGKR-MATHP-W25-TASK-957-P001.jpg</x:v>
      </x:c>
      <x:c r="P707" s="87" t="str">
        <x:v>955060ece7eca414a807ed016e61c9fe0084d723d371017a6b9f8d0dbb5cc811</x:v>
      </x:c>
      <x:c r="Q707" s="30" t="str">
        <x:v>incoming/raw/recovery-drop-01/mathematics_profile_egkr_winter_visual_assets_v096.zip!/pages/VIS-EGKR-MATHP-W25-TASK-957-P001.png</x:v>
      </x:c>
      <x:c r="R707" s="30" t="str">
        <x:v>MATCHED_ASSET</x:v>
      </x:c>
      <x:c r="S707" t="e">
        <x:f>HYPERLINK("visual_gallery/index.html#"&amp;A707,"Галерея")</x:f>
      </x:c>
    </x:row>
    <x:row r="708">
      <x:c r="A708" s="87" t="str">
        <x:v>VIS-EGKR-MATHP-W25-TASK-957-P002</x:v>
      </x:c>
      <x:c r="B708" s="30" t="str">
        <x:v>Математика (профиль)</x:v>
      </x:c>
      <x:c r="C708" s="30"/>
      <x:c r="D708" s="30" t="str">
        <x:v>957</x:v>
      </x:c>
      <x:c r="E708" s="87" t="str">
        <x:v>TASK</x:v>
      </x:c>
      <x:c r="F708" s="30" t="str">
        <x:v>Вариант ЕГКР 957.pdf</x:v>
      </x:c>
      <x:c r="G708" s="87" t="str">
        <x:v>2</x:v>
      </x:c>
      <x:c r="H708" s="87" t="str">
        <x:v>v0.96</x:v>
      </x:c>
      <x:c r="I708" s="87" t="str">
        <x:v>9</x:v>
      </x:c>
      <x:c r="J708" s="30" t="str">
        <x:v>VIS_ID</x:v>
      </x:c>
      <x:c r="K708" s="30" t="str">
        <x:v>EGKR-W25-MATHP-957-04, EGKR-W25-MATHP-957-05, EGKR-W25-MATHP-957-06, EGKR-W25-MATHP-957-07, EGKR-W25-MATHP-957-08, EGKR-W25-MATHP-957-09, EGKR-W25-MATHP-957-10, EGKR-W25-MATHP-957-11…</x:v>
      </x:c>
      <x:c r="L708" s="87" t="str">
        <x:v>CROP_VERIFIED</x:v>
      </x:c>
      <x:c r="M708" s="87" t="str">
        <x:v>ORIGINAL_PACKAGE</x:v>
      </x:c>
      <x:c r="N708" s="87" t="str">
        <x:v>pages/VIS-EGKR-MATHP-W25-TASK-957-P002.png</x:v>
      </x:c>
      <x:c r="O708" s="87" t="str">
        <x:v>thumbnails/VIS-EGKR-MATHP-W25-TASK-957-P002.jpg</x:v>
      </x:c>
      <x:c r="P708" s="87" t="str">
        <x:v>34a962c68b796a54c859fa0071eab8cc64814b081bedfe1d6acf4fcc3b85c2bb</x:v>
      </x:c>
      <x:c r="Q708" s="30" t="str">
        <x:v>incoming/raw/recovery-drop-01/mathematics_profile_egkr_winter_visual_assets_v096.zip!/pages/VIS-EGKR-MATHP-W25-TASK-957-P002.png</x:v>
      </x:c>
      <x:c r="R708" s="30" t="str">
        <x:v>MATCHED_ASSET</x:v>
      </x:c>
      <x:c r="S708" t="e">
        <x:f>HYPERLINK("visual_gallery/index.html#"&amp;A708,"Галерея")</x:f>
      </x:c>
    </x:row>
    <x:row r="709">
      <x:c r="A709" s="87" t="str">
        <x:v>VIS-EGKR-MATHP-W25-TASK-957-P003</x:v>
      </x:c>
      <x:c r="B709" s="30" t="str">
        <x:v>Математика (профиль)</x:v>
      </x:c>
      <x:c r="C709" s="30"/>
      <x:c r="D709" s="30" t="str">
        <x:v>957</x:v>
      </x:c>
      <x:c r="E709" s="87" t="str">
        <x:v>TASK</x:v>
      </x:c>
      <x:c r="F709" s="30" t="str">
        <x:v>Вариант ЕГКР 957.pdf</x:v>
      </x:c>
      <x:c r="G709" s="87" t="str">
        <x:v>3</x:v>
      </x:c>
      <x:c r="H709" s="87" t="str">
        <x:v>v0.96</x:v>
      </x:c>
      <x:c r="I709" s="87" t="str">
        <x:v>7</x:v>
      </x:c>
      <x:c r="J709" s="30" t="str">
        <x:v>VIS_ID</x:v>
      </x:c>
      <x:c r="K709" s="30" t="str">
        <x:v>EGKR-W25-MATHP-957-13, EGKR-W25-MATHP-957-14, EGKR-W25-MATHP-957-15, EGKR-W25-MATHP-957-16, EGKR-W25-MATHP-957-17, EGKR-W25-MATHP-957-18, EGKR-W25-MATHP-957-19</x:v>
      </x:c>
      <x:c r="L709" s="87" t="str">
        <x:v>CROP_VERIFIED</x:v>
      </x:c>
      <x:c r="M709" s="87" t="str">
        <x:v>ORIGINAL_PACKAGE</x:v>
      </x:c>
      <x:c r="N709" s="87" t="str">
        <x:v>pages/VIS-EGKR-MATHP-W25-TASK-957-P003.png</x:v>
      </x:c>
      <x:c r="O709" s="87" t="str">
        <x:v>thumbnails/VIS-EGKR-MATHP-W25-TASK-957-P003.jpg</x:v>
      </x:c>
      <x:c r="P709" s="87" t="str">
        <x:v>0e396b350bce3cf20ee3d827cf362becc25810fdffc46cbd456628310ab5f8d2</x:v>
      </x:c>
      <x:c r="Q709" s="30" t="str">
        <x:v>incoming/raw/recovery-drop-01/mathematics_profile_egkr_winter_visual_assets_v096.zip!/pages/VIS-EGKR-MATHP-W25-TASK-957-P003.png</x:v>
      </x:c>
      <x:c r="R709" s="30" t="str">
        <x:v>MATCHED_ASSET</x:v>
      </x:c>
      <x:c r="S709" t="e">
        <x:f>HYPERLINK("visual_gallery/index.html#"&amp;A709,"Галерея")</x:f>
      </x:c>
    </x:row>
    <x:row r="710">
      <x:c r="A710" s="87" t="str">
        <x:v>VIS-EGKR-PHY-S26-ANSWERDOC-P001</x:v>
      </x:c>
      <x:c r="B710" s="30" t="str">
        <x:v>Физика</x:v>
      </x:c>
      <x:c r="C710" s="30"/>
      <x:c r="D710" s="30" t="str">
        <x:v>954–956</x:v>
      </x:c>
      <x:c r="E710" s="87" t="str">
        <x:v>SECONDARY_ANSWER_SOURCE</x:v>
      </x:c>
      <x:c r="F710" s="30" t="str">
        <x:v>Ответы (4).docx</x:v>
      </x:c>
      <x:c r="G710" s="87" t="str">
        <x:v>1</x:v>
      </x:c>
      <x:c r="H710" s="87" t="str">
        <x:v>v1.00</x:v>
      </x:c>
      <x:c r="I710" s="87" t="str">
        <x:v>40</x:v>
      </x:c>
      <x:c r="J710" s="30" t="str">
        <x:v>VIS_KEY / MODEL</x:v>
      </x:c>
      <x:c r="K710" s="30" t="str">
        <x:v>EGKR-S26-PHY-955-01, EGKR-S26-PHY-955-02, EGKR-S26-PHY-955-03, EGKR-S26-PHY-955-04, EGKR-S26-PHY-955-05, EGKR-S26-PHY-955-06, EGKR-S26-PHY-955-07, EGKR-S26-PHY-955-08…</x:v>
      </x:c>
      <x:c r="L710" s="87" t="str">
        <x:v>CROP_VERIFIED</x:v>
      </x:c>
      <x:c r="M710" s="87" t="str">
        <x:v>ORIGINAL_PACKAGE</x:v>
      </x:c>
      <x:c r="N710" s="87" t="str">
        <x:v>pages/VIS-EGKR-PHY-S26-ANSWERDOC-P001.png</x:v>
      </x:c>
      <x:c r="O710" s="87" t="str">
        <x:v>thumbnails/VIS-EGKR-PHY-S26-ANSWERDOC-P001.jpg</x:v>
      </x:c>
      <x:c r="P710" s="87" t="str">
        <x:v>4964d74938bf6be5d5863a65170af57a48f07e96f9a70f4efd8494aa6ee0f9ea</x:v>
      </x:c>
      <x:c r="Q710" s="30" t="str">
        <x:v>incoming/raw/recovery-drop-01/physics_egkr_spring_visual_assets_v100.zip!/pages/VIS-EGKR-PHY-S26-ANSWERDOC-P001.png</x:v>
      </x:c>
      <x:c r="R710" s="30" t="str">
        <x:v>MATCHED_ASSET</x:v>
      </x:c>
      <x:c r="S710" t="e">
        <x:f>HYPERLINK("visual_gallery/index.html#"&amp;A710,"Галерея")</x:f>
      </x:c>
    </x:row>
    <x:row r="711">
      <x:c r="A711" s="87" t="str">
        <x:v>VIS-EGKR-PHY-S26-ANSWERDOC-P002</x:v>
      </x:c>
      <x:c r="B711" s="30" t="str">
        <x:v>Физика</x:v>
      </x:c>
      <x:c r="C711" s="30"/>
      <x:c r="D711" s="30" t="str">
        <x:v>954–956</x:v>
      </x:c>
      <x:c r="E711" s="87" t="str">
        <x:v>SECONDARY_ANSWER_SOURCE</x:v>
      </x:c>
      <x:c r="F711" s="30" t="str">
        <x:v>Ответы (4).docx</x:v>
      </x:c>
      <x:c r="G711" s="87" t="str">
        <x:v>2</x:v>
      </x:c>
      <x:c r="H711" s="87" t="str">
        <x:v>v1.00</x:v>
      </x:c>
      <x:c r="I711" s="87" t="str">
        <x:v>20</x:v>
      </x:c>
      <x:c r="J711" s="30" t="str">
        <x:v>VIS_KEY / MODEL</x:v>
      </x:c>
      <x:c r="K711" s="30" t="str">
        <x:v>EGKR-S26-PHY-954-01, EGKR-S26-PHY-954-02, EGKR-S26-PHY-954-03, EGKR-S26-PHY-954-04, EGKR-S26-PHY-954-05, EGKR-S26-PHY-954-06, EGKR-S26-PHY-954-07, EGKR-S26-PHY-954-08…</x:v>
      </x:c>
      <x:c r="L711" s="87" t="str">
        <x:v>CROP_VERIFIED</x:v>
      </x:c>
      <x:c r="M711" s="87" t="str">
        <x:v>ORIGINAL_PACKAGE</x:v>
      </x:c>
      <x:c r="N711" s="87" t="str">
        <x:v>pages/VIS-EGKR-PHY-S26-ANSWERDOC-P002.png</x:v>
      </x:c>
      <x:c r="O711" s="87" t="str">
        <x:v>thumbnails/VIS-EGKR-PHY-S26-ANSWERDOC-P002.jpg</x:v>
      </x:c>
      <x:c r="P711" s="87" t="str">
        <x:v>9c496894da8beecb88fc888fe471a3ac1e858ac5d05790dfb0c81eb4d1f0465c</x:v>
      </x:c>
      <x:c r="Q711" s="30" t="str">
        <x:v>incoming/raw/recovery-drop-01/physics_egkr_spring_visual_assets_v100.zip!/pages/VIS-EGKR-PHY-S26-ANSWERDOC-P002.png</x:v>
      </x:c>
      <x:c r="R711" s="30" t="str">
        <x:v>MATCHED_ASSET</x:v>
      </x:c>
      <x:c r="S711" t="e">
        <x:f>HYPERLINK("visual_gallery/index.html#"&amp;A711,"Галерея")</x:f>
      </x:c>
    </x:row>
    <x:row r="712">
      <x:c r="A712" s="87" t="str">
        <x:v>VIS-EGKR-PHY-S26-SOL-954-P001</x:v>
      </x:c>
      <x:c r="B712" s="30" t="str"/>
      <x:c r="C712" s="30"/>
      <x:c r="D712" s="30" t="str">
        <x:v>954</x:v>
      </x:c>
      <x:c r="E712" s="87" t="str">
        <x:v>SOLUTION</x:v>
      </x:c>
      <x:c r="F712" s="30" t="str">
        <x:v>Вариант 954_2часть.pdf</x:v>
      </x:c>
      <x:c r="G712" s="87" t="str">
        <x:v>1</x:v>
      </x:c>
      <x:c r="H712" s="87" t="str">
        <x:v>v1.00</x:v>
      </x:c>
      <x:c r="I712" s="87" t="str">
        <x:v>0</x:v>
      </x:c>
      <x:c r="J712" s="30" t="str"/>
      <x:c r="K712" s="30" t="str"/>
      <x:c r="L712" s="87" t="str">
        <x:v>CROP_VERIFIED</x:v>
      </x:c>
      <x:c r="M712" s="87" t="str">
        <x:v>ORIGINAL_PACKAGE</x:v>
      </x:c>
      <x:c r="N712" s="87" t="str">
        <x:v>pages/VIS-EGKR-PHY-S26-SOL-954-P001.png</x:v>
      </x:c>
      <x:c r="O712" s="87" t="str">
        <x:v>thumbnails/VIS-EGKR-PHY-S26-SOL-954-P001.jpg</x:v>
      </x:c>
      <x:c r="P712" s="87" t="str">
        <x:v>638f520119cb30f286a999257cc8a4b4868fe4da1a52e5fd1bb4c7b746ee7d36</x:v>
      </x:c>
      <x:c r="Q712" s="30" t="str">
        <x:v>incoming/raw/recovery-drop-01/physics_egkr_spring_visual_assets_v100.zip!/pages/VIS-EGKR-PHY-S26-SOL-954-P001.png</x:v>
      </x:c>
      <x:c r="R712" s="30" t="str">
        <x:v>RESOLVED_UNLINKED_REGISTRY_VISUAL</x:v>
      </x:c>
      <x:c r="S712" t="e">
        <x:f>HYPERLINK("visual_gallery/index.html#"&amp;A712,"Галерея")</x:f>
      </x:c>
    </x:row>
    <x:row r="713">
      <x:c r="A713" s="87" t="str">
        <x:v>VIS-EGKR-PHY-S26-SOL-954-P002</x:v>
      </x:c>
      <x:c r="B713" s="30" t="str">
        <x:v>Физика</x:v>
      </x:c>
      <x:c r="C713" s="30"/>
      <x:c r="D713" s="30" t="str">
        <x:v>954</x:v>
      </x:c>
      <x:c r="E713" s="87" t="str">
        <x:v>SOLUTION</x:v>
      </x:c>
      <x:c r="F713" s="30" t="str">
        <x:v>Вариант 954_2часть.pdf</x:v>
      </x:c>
      <x:c r="G713" s="87" t="str">
        <x:v>2</x:v>
      </x:c>
      <x:c r="H713" s="87" t="str">
        <x:v>v1.00</x:v>
      </x:c>
      <x:c r="I713" s="87" t="str">
        <x:v>1</x:v>
      </x:c>
      <x:c r="J713" s="30" t="str">
        <x:v>VIS_KEY / MODEL</x:v>
      </x:c>
      <x:c r="K713" s="30" t="str">
        <x:v>EGKR-S26-PHY-954-21</x:v>
      </x:c>
      <x:c r="L713" s="87" t="str">
        <x:v>CROP_VERIFIED</x:v>
      </x:c>
      <x:c r="M713" s="87" t="str">
        <x:v>ORIGINAL_PACKAGE</x:v>
      </x:c>
      <x:c r="N713" s="87" t="str">
        <x:v>pages/VIS-EGKR-PHY-S26-SOL-954-P002.png</x:v>
      </x:c>
      <x:c r="O713" s="87" t="str">
        <x:v>thumbnails/VIS-EGKR-PHY-S26-SOL-954-P002.jpg</x:v>
      </x:c>
      <x:c r="P713" s="87" t="str">
        <x:v>300c9e1e825f507077debbd5445bd0c30868011bd21a6206d7abaa341af71c3b</x:v>
      </x:c>
      <x:c r="Q713" s="30" t="str">
        <x:v>incoming/raw/recovery-drop-01/physics_egkr_spring_visual_assets_v100.zip!/pages/VIS-EGKR-PHY-S26-SOL-954-P002.png</x:v>
      </x:c>
      <x:c r="R713" s="30" t="str">
        <x:v>MATCHED_ASSET</x:v>
      </x:c>
      <x:c r="S713" t="e">
        <x:f>HYPERLINK("visual_gallery/index.html#"&amp;A713,"Галерея")</x:f>
      </x:c>
    </x:row>
    <x:row r="714">
      <x:c r="A714" s="87" t="str">
        <x:v>VIS-EGKR-PHY-S26-SOL-954-P003</x:v>
      </x:c>
      <x:c r="B714" s="30" t="str">
        <x:v>Физика</x:v>
      </x:c>
      <x:c r="C714" s="30"/>
      <x:c r="D714" s="30" t="str">
        <x:v>954</x:v>
      </x:c>
      <x:c r="E714" s="87" t="str">
        <x:v>SOLUTION</x:v>
      </x:c>
      <x:c r="F714" s="30" t="str">
        <x:v>Вариант 954_2часть.pdf</x:v>
      </x:c>
      <x:c r="G714" s="87" t="str">
        <x:v>3</x:v>
      </x:c>
      <x:c r="H714" s="87" t="str">
        <x:v>v1.00</x:v>
      </x:c>
      <x:c r="I714" s="87" t="str">
        <x:v>1</x:v>
      </x:c>
      <x:c r="J714" s="30" t="str">
        <x:v>VIS_KEY / MODEL</x:v>
      </x:c>
      <x:c r="K714" s="30" t="str">
        <x:v>EGKR-S26-PHY-954-21</x:v>
      </x:c>
      <x:c r="L714" s="87" t="str">
        <x:v>CROP_VERIFIED</x:v>
      </x:c>
      <x:c r="M714" s="87" t="str">
        <x:v>ORIGINAL_PACKAGE</x:v>
      </x:c>
      <x:c r="N714" s="87" t="str">
        <x:v>pages/VIS-EGKR-PHY-S26-SOL-954-P003.png</x:v>
      </x:c>
      <x:c r="O714" s="87" t="str">
        <x:v>thumbnails/VIS-EGKR-PHY-S26-SOL-954-P003.jpg</x:v>
      </x:c>
      <x:c r="P714" s="87" t="str">
        <x:v>1c04ddef26e2e0b1a70b454dd09a7b1292960907f394801afc5a8009e1e48265</x:v>
      </x:c>
      <x:c r="Q714" s="30" t="str">
        <x:v>incoming/raw/recovery-drop-01/physics_egkr_spring_visual_assets_v100.zip!/pages/VIS-EGKR-PHY-S26-SOL-954-P003.png</x:v>
      </x:c>
      <x:c r="R714" s="30" t="str">
        <x:v>MATCHED_ASSET</x:v>
      </x:c>
      <x:c r="S714" t="e">
        <x:f>HYPERLINK("visual_gallery/index.html#"&amp;A714,"Галерея")</x:f>
      </x:c>
    </x:row>
    <x:row r="715">
      <x:c r="A715" s="87" t="str">
        <x:v>VIS-EGKR-PHY-S26-SOL-954-P004</x:v>
      </x:c>
      <x:c r="B715" s="30" t="str">
        <x:v>Физика</x:v>
      </x:c>
      <x:c r="C715" s="30"/>
      <x:c r="D715" s="30" t="str">
        <x:v>954</x:v>
      </x:c>
      <x:c r="E715" s="87" t="str">
        <x:v>SOLUTION</x:v>
      </x:c>
      <x:c r="F715" s="30" t="str">
        <x:v>Вариант 954_2часть.pdf</x:v>
      </x:c>
      <x:c r="G715" s="87" t="str">
        <x:v>4</x:v>
      </x:c>
      <x:c r="H715" s="87" t="str">
        <x:v>v1.00</x:v>
      </x:c>
      <x:c r="I715" s="87" t="str">
        <x:v>1</x:v>
      </x:c>
      <x:c r="J715" s="30" t="str">
        <x:v>VIS_KEY / MODEL</x:v>
      </x:c>
      <x:c r="K715" s="30" t="str">
        <x:v>EGKR-S26-PHY-954-22</x:v>
      </x:c>
      <x:c r="L715" s="87" t="str">
        <x:v>CROP_VERIFIED</x:v>
      </x:c>
      <x:c r="M715" s="87" t="str">
        <x:v>ORIGINAL_PACKAGE</x:v>
      </x:c>
      <x:c r="N715" s="87" t="str">
        <x:v>pages/VIS-EGKR-PHY-S26-SOL-954-P004.png</x:v>
      </x:c>
      <x:c r="O715" s="87" t="str">
        <x:v>thumbnails/VIS-EGKR-PHY-S26-SOL-954-P004.jpg</x:v>
      </x:c>
      <x:c r="P715" s="87" t="str">
        <x:v>7a840655b636a5d72dab16b0e75df8bd08359db3428d527591d47de9143e3301</x:v>
      </x:c>
      <x:c r="Q715" s="30" t="str">
        <x:v>incoming/raw/recovery-drop-01/physics_egkr_spring_visual_assets_v100.zip!/pages/VIS-EGKR-PHY-S26-SOL-954-P004.png</x:v>
      </x:c>
      <x:c r="R715" s="30" t="str">
        <x:v>MATCHED_ASSET</x:v>
      </x:c>
      <x:c r="S715" t="e">
        <x:f>HYPERLINK("visual_gallery/index.html#"&amp;A715,"Галерея")</x:f>
      </x:c>
    </x:row>
    <x:row r="716">
      <x:c r="A716" s="87" t="str">
        <x:v>VIS-EGKR-PHY-S26-SOL-954-P005</x:v>
      </x:c>
      <x:c r="B716" s="30" t="str">
        <x:v>Физика</x:v>
      </x:c>
      <x:c r="C716" s="30"/>
      <x:c r="D716" s="30" t="str">
        <x:v>954</x:v>
      </x:c>
      <x:c r="E716" s="87" t="str">
        <x:v>SOLUTION</x:v>
      </x:c>
      <x:c r="F716" s="30" t="str">
        <x:v>Вариант 954_2часть.pdf</x:v>
      </x:c>
      <x:c r="G716" s="87" t="str">
        <x:v>5</x:v>
      </x:c>
      <x:c r="H716" s="87" t="str">
        <x:v>v1.00</x:v>
      </x:c>
      <x:c r="I716" s="87" t="str">
        <x:v>1</x:v>
      </x:c>
      <x:c r="J716" s="30" t="str">
        <x:v>VIS_KEY / MODEL</x:v>
      </x:c>
      <x:c r="K716" s="30" t="str">
        <x:v>EGKR-S26-PHY-954-23</x:v>
      </x:c>
      <x:c r="L716" s="87" t="str">
        <x:v>CROP_VERIFIED</x:v>
      </x:c>
      <x:c r="M716" s="87" t="str">
        <x:v>ORIGINAL_PACKAGE</x:v>
      </x:c>
      <x:c r="N716" s="87" t="str">
        <x:v>pages/VIS-EGKR-PHY-S26-SOL-954-P005.png</x:v>
      </x:c>
      <x:c r="O716" s="87" t="str">
        <x:v>thumbnails/VIS-EGKR-PHY-S26-SOL-954-P005.jpg</x:v>
      </x:c>
      <x:c r="P716" s="87" t="str">
        <x:v>bb97c6928e84af6da06bb87035ff6bb894ef17fe2c247da661abc18f9294433d</x:v>
      </x:c>
      <x:c r="Q716" s="30" t="str">
        <x:v>incoming/raw/recovery-drop-01/physics_egkr_spring_visual_assets_v100.zip!/pages/VIS-EGKR-PHY-S26-SOL-954-P005.png</x:v>
      </x:c>
      <x:c r="R716" s="30" t="str">
        <x:v>MATCHED_ASSET</x:v>
      </x:c>
      <x:c r="S716" t="e">
        <x:f>HYPERLINK("visual_gallery/index.html#"&amp;A716,"Галерея")</x:f>
      </x:c>
    </x:row>
    <x:row r="717">
      <x:c r="A717" s="87" t="str">
        <x:v>VIS-EGKR-PHY-S26-SOL-954-P006</x:v>
      </x:c>
      <x:c r="B717" s="30" t="str">
        <x:v>Физика</x:v>
      </x:c>
      <x:c r="C717" s="30"/>
      <x:c r="D717" s="30" t="str">
        <x:v>954</x:v>
      </x:c>
      <x:c r="E717" s="87" t="str">
        <x:v>SOLUTION</x:v>
      </x:c>
      <x:c r="F717" s="30" t="str">
        <x:v>Вариант 954_2часть.pdf</x:v>
      </x:c>
      <x:c r="G717" s="87" t="str">
        <x:v>6</x:v>
      </x:c>
      <x:c r="H717" s="87" t="str">
        <x:v>v1.00</x:v>
      </x:c>
      <x:c r="I717" s="87" t="str">
        <x:v>1</x:v>
      </x:c>
      <x:c r="J717" s="30" t="str">
        <x:v>VIS_KEY / MODEL</x:v>
      </x:c>
      <x:c r="K717" s="30" t="str">
        <x:v>EGKR-S26-PHY-954-24</x:v>
      </x:c>
      <x:c r="L717" s="87" t="str">
        <x:v>CROP_VERIFIED</x:v>
      </x:c>
      <x:c r="M717" s="87" t="str">
        <x:v>ORIGINAL_PACKAGE</x:v>
      </x:c>
      <x:c r="N717" s="87" t="str">
        <x:v>pages/VIS-EGKR-PHY-S26-SOL-954-P006.png</x:v>
      </x:c>
      <x:c r="O717" s="87" t="str">
        <x:v>thumbnails/VIS-EGKR-PHY-S26-SOL-954-P006.jpg</x:v>
      </x:c>
      <x:c r="P717" s="87" t="str">
        <x:v>e5c11b28e39cf62390dbfd5750f5943edc6714bb1515c1344fcd6761c69446ff</x:v>
      </x:c>
      <x:c r="Q717" s="30" t="str">
        <x:v>incoming/raw/recovery-drop-01/physics_egkr_spring_visual_assets_v100.zip!/pages/VIS-EGKR-PHY-S26-SOL-954-P006.png</x:v>
      </x:c>
      <x:c r="R717" s="30" t="str">
        <x:v>MATCHED_ASSET</x:v>
      </x:c>
      <x:c r="S717" t="e">
        <x:f>HYPERLINK("visual_gallery/index.html#"&amp;A717,"Галерея")</x:f>
      </x:c>
    </x:row>
    <x:row r="718">
      <x:c r="A718" s="87" t="str">
        <x:v>VIS-EGKR-PHY-S26-SOL-954-P007</x:v>
      </x:c>
      <x:c r="B718" s="30" t="str">
        <x:v>Физика</x:v>
      </x:c>
      <x:c r="C718" s="30"/>
      <x:c r="D718" s="30" t="str">
        <x:v>954</x:v>
      </x:c>
      <x:c r="E718" s="87" t="str">
        <x:v>SOLUTION</x:v>
      </x:c>
      <x:c r="F718" s="30" t="str">
        <x:v>Вариант 954_2часть.pdf</x:v>
      </x:c>
      <x:c r="G718" s="87" t="str">
        <x:v>7</x:v>
      </x:c>
      <x:c r="H718" s="87" t="str">
        <x:v>v1.00</x:v>
      </x:c>
      <x:c r="I718" s="87" t="str">
        <x:v>1</x:v>
      </x:c>
      <x:c r="J718" s="30" t="str">
        <x:v>VIS_KEY / MODEL</x:v>
      </x:c>
      <x:c r="K718" s="30" t="str">
        <x:v>EGKR-S26-PHY-954-25</x:v>
      </x:c>
      <x:c r="L718" s="87" t="str">
        <x:v>CROP_VERIFIED</x:v>
      </x:c>
      <x:c r="M718" s="87" t="str">
        <x:v>ORIGINAL_PACKAGE</x:v>
      </x:c>
      <x:c r="N718" s="87" t="str">
        <x:v>pages/VIS-EGKR-PHY-S26-SOL-954-P007.png</x:v>
      </x:c>
      <x:c r="O718" s="87" t="str">
        <x:v>thumbnails/VIS-EGKR-PHY-S26-SOL-954-P007.jpg</x:v>
      </x:c>
      <x:c r="P718" s="87" t="str">
        <x:v>f503122b377f8c75c8ff4fb22b251eea0bbfa93d6dc395cebe2a73223fe75f80</x:v>
      </x:c>
      <x:c r="Q718" s="30" t="str">
        <x:v>incoming/raw/recovery-drop-01/physics_egkr_spring_visual_assets_v100.zip!/pages/VIS-EGKR-PHY-S26-SOL-954-P007.png</x:v>
      </x:c>
      <x:c r="R718" s="30" t="str">
        <x:v>MATCHED_ASSET</x:v>
      </x:c>
      <x:c r="S718" t="e">
        <x:f>HYPERLINK("visual_gallery/index.html#"&amp;A718,"Галерея")</x:f>
      </x:c>
    </x:row>
    <x:row r="719">
      <x:c r="A719" s="87" t="str">
        <x:v>VIS-EGKR-PHY-S26-SOL-954-P008</x:v>
      </x:c>
      <x:c r="B719" s="30" t="str">
        <x:v>Физика</x:v>
      </x:c>
      <x:c r="C719" s="30"/>
      <x:c r="D719" s="30" t="str">
        <x:v>954</x:v>
      </x:c>
      <x:c r="E719" s="87" t="str">
        <x:v>SOLUTION</x:v>
      </x:c>
      <x:c r="F719" s="30" t="str">
        <x:v>Вариант 954_2часть.pdf</x:v>
      </x:c>
      <x:c r="G719" s="87" t="str">
        <x:v>8</x:v>
      </x:c>
      <x:c r="H719" s="87" t="str">
        <x:v>v1.00</x:v>
      </x:c>
      <x:c r="I719" s="87" t="str">
        <x:v>1</x:v>
      </x:c>
      <x:c r="J719" s="30" t="str">
        <x:v>VIS_KEY / MODEL</x:v>
      </x:c>
      <x:c r="K719" s="30" t="str">
        <x:v>EGKR-S26-PHY-954-26</x:v>
      </x:c>
      <x:c r="L719" s="87" t="str">
        <x:v>CROP_VERIFIED</x:v>
      </x:c>
      <x:c r="M719" s="87" t="str">
        <x:v>ORIGINAL_PACKAGE</x:v>
      </x:c>
      <x:c r="N719" s="87" t="str">
        <x:v>pages/VIS-EGKR-PHY-S26-SOL-954-P008.png</x:v>
      </x:c>
      <x:c r="O719" s="87" t="str">
        <x:v>thumbnails/VIS-EGKR-PHY-S26-SOL-954-P008.jpg</x:v>
      </x:c>
      <x:c r="P719" s="87" t="str">
        <x:v>7c038d955bd8f57c6498c3a0f727ea762ac2250d961525e3735319237dcf6444</x:v>
      </x:c>
      <x:c r="Q719" s="30" t="str">
        <x:v>incoming/raw/recovery-drop-01/physics_egkr_spring_visual_assets_v100.zip!/pages/VIS-EGKR-PHY-S26-SOL-954-P008.png</x:v>
      </x:c>
      <x:c r="R719" s="30" t="str">
        <x:v>MATCHED_ASSET</x:v>
      </x:c>
      <x:c r="S719" t="e">
        <x:f>HYPERLINK("visual_gallery/index.html#"&amp;A719,"Галерея")</x:f>
      </x:c>
    </x:row>
    <x:row r="720">
      <x:c r="A720" s="87" t="str">
        <x:v>VIS-EGKR-PHY-S26-SOL-954-P009</x:v>
      </x:c>
      <x:c r="B720" s="30" t="str">
        <x:v>Физика</x:v>
      </x:c>
      <x:c r="C720" s="30"/>
      <x:c r="D720" s="30" t="str">
        <x:v>954</x:v>
      </x:c>
      <x:c r="E720" s="87" t="str">
        <x:v>SOLUTION</x:v>
      </x:c>
      <x:c r="F720" s="30" t="str">
        <x:v>Вариант 954_2часть.pdf</x:v>
      </x:c>
      <x:c r="G720" s="87" t="str">
        <x:v>9</x:v>
      </x:c>
      <x:c r="H720" s="87" t="str">
        <x:v>v1.00</x:v>
      </x:c>
      <x:c r="I720" s="87" t="str">
        <x:v>1</x:v>
      </x:c>
      <x:c r="J720" s="30" t="str">
        <x:v>VIS_KEY / MODEL</x:v>
      </x:c>
      <x:c r="K720" s="30" t="str">
        <x:v>EGKR-S26-PHY-954-26</x:v>
      </x:c>
      <x:c r="L720" s="87" t="str">
        <x:v>CROP_VERIFIED</x:v>
      </x:c>
      <x:c r="M720" s="87" t="str">
        <x:v>ORIGINAL_PACKAGE</x:v>
      </x:c>
      <x:c r="N720" s="87" t="str">
        <x:v>pages/VIS-EGKR-PHY-S26-SOL-954-P009.png</x:v>
      </x:c>
      <x:c r="O720" s="87" t="str">
        <x:v>thumbnails/VIS-EGKR-PHY-S26-SOL-954-P009.jpg</x:v>
      </x:c>
      <x:c r="P720" s="87" t="str">
        <x:v>a9e6de3c6d9eeb79cb7669d6bdb39af0ea80efbb512146deb6e08ed0debabdab</x:v>
      </x:c>
      <x:c r="Q720" s="30" t="str">
        <x:v>incoming/raw/recovery-drop-01/physics_egkr_spring_visual_assets_v100.zip!/pages/VIS-EGKR-PHY-S26-SOL-954-P009.png</x:v>
      </x:c>
      <x:c r="R720" s="30" t="str">
        <x:v>MATCHED_ASSET</x:v>
      </x:c>
      <x:c r="S720" t="e">
        <x:f>HYPERLINK("visual_gallery/index.html#"&amp;A720,"Галерея")</x:f>
      </x:c>
    </x:row>
    <x:row r="721">
      <x:c r="A721" s="87" t="str">
        <x:v>VIS-EGKR-PHY-S26-SOL-955-P001</x:v>
      </x:c>
      <x:c r="B721" s="30" t="str"/>
      <x:c r="C721" s="30"/>
      <x:c r="D721" s="30" t="str">
        <x:v>955</x:v>
      </x:c>
      <x:c r="E721" s="87" t="str">
        <x:v>SOLUTION</x:v>
      </x:c>
      <x:c r="F721" s="30" t="str">
        <x:v>Вариант 955_2часть.pdf</x:v>
      </x:c>
      <x:c r="G721" s="87" t="str">
        <x:v>1</x:v>
      </x:c>
      <x:c r="H721" s="87" t="str">
        <x:v>v1.00</x:v>
      </x:c>
      <x:c r="I721" s="87" t="str">
        <x:v>0</x:v>
      </x:c>
      <x:c r="J721" s="30" t="str"/>
      <x:c r="K721" s="30" t="str"/>
      <x:c r="L721" s="87" t="str">
        <x:v>CROP_VERIFIED</x:v>
      </x:c>
      <x:c r="M721" s="87" t="str">
        <x:v>ORIGINAL_PACKAGE</x:v>
      </x:c>
      <x:c r="N721" s="87" t="str">
        <x:v>pages/VIS-EGKR-PHY-S26-SOL-955-P001.png</x:v>
      </x:c>
      <x:c r="O721" s="87" t="str">
        <x:v>thumbnails/VIS-EGKR-PHY-S26-SOL-955-P001.jpg</x:v>
      </x:c>
      <x:c r="P721" s="87" t="str">
        <x:v>33fa33da54bf1564d6e6ed203ee7d1d98c4fab738e0f89395e45132f598cbeb0</x:v>
      </x:c>
      <x:c r="Q721" s="30" t="str">
        <x:v>incoming/raw/recovery-drop-01/physics_egkr_spring_visual_assets_v100.zip!/pages/VIS-EGKR-PHY-S26-SOL-955-P001.png</x:v>
      </x:c>
      <x:c r="R721" s="30" t="str">
        <x:v>RESOLVED_UNLINKED_REGISTRY_VISUAL</x:v>
      </x:c>
      <x:c r="S721" t="e">
        <x:f>HYPERLINK("visual_gallery/index.html#"&amp;A721,"Галерея")</x:f>
      </x:c>
    </x:row>
    <x:row r="722">
      <x:c r="A722" s="87" t="str">
        <x:v>VIS-EGKR-PHY-S26-SOL-955-P002</x:v>
      </x:c>
      <x:c r="B722" s="30" t="str">
        <x:v>Физика</x:v>
      </x:c>
      <x:c r="C722" s="30"/>
      <x:c r="D722" s="30" t="str">
        <x:v>955</x:v>
      </x:c>
      <x:c r="E722" s="87" t="str">
        <x:v>SOLUTION</x:v>
      </x:c>
      <x:c r="F722" s="30" t="str">
        <x:v>Вариант 955_2часть.pdf</x:v>
      </x:c>
      <x:c r="G722" s="87" t="str">
        <x:v>2</x:v>
      </x:c>
      <x:c r="H722" s="87" t="str">
        <x:v>v1.00</x:v>
      </x:c>
      <x:c r="I722" s="87" t="str">
        <x:v>1</x:v>
      </x:c>
      <x:c r="J722" s="30" t="str">
        <x:v>VIS_KEY / MODEL</x:v>
      </x:c>
      <x:c r="K722" s="30" t="str">
        <x:v>EGKR-S26-PHY-955-21</x:v>
      </x:c>
      <x:c r="L722" s="87" t="str">
        <x:v>CROP_VERIFIED</x:v>
      </x:c>
      <x:c r="M722" s="87" t="str">
        <x:v>ORIGINAL_PACKAGE</x:v>
      </x:c>
      <x:c r="N722" s="87" t="str">
        <x:v>pages/VIS-EGKR-PHY-S26-SOL-955-P002.png</x:v>
      </x:c>
      <x:c r="O722" s="87" t="str">
        <x:v>thumbnails/VIS-EGKR-PHY-S26-SOL-955-P002.jpg</x:v>
      </x:c>
      <x:c r="P722" s="87" t="str">
        <x:v>6cd7d496c255724979ae1ef283b45218bb8a6880990a9bf10ac90f75c30a7b2a</x:v>
      </x:c>
      <x:c r="Q722" s="30" t="str">
        <x:v>incoming/raw/recovery-drop-01/physics_egkr_spring_visual_assets_v100.zip!/pages/VIS-EGKR-PHY-S26-SOL-955-P002.png</x:v>
      </x:c>
      <x:c r="R722" s="30" t="str">
        <x:v>MATCHED_ASSET</x:v>
      </x:c>
      <x:c r="S722" t="e">
        <x:f>HYPERLINK("visual_gallery/index.html#"&amp;A722,"Галерея")</x:f>
      </x:c>
    </x:row>
    <x:row r="723">
      <x:c r="A723" s="87" t="str">
        <x:v>VIS-EGKR-PHY-S26-SOL-955-P003</x:v>
      </x:c>
      <x:c r="B723" s="30" t="str">
        <x:v>Физика</x:v>
      </x:c>
      <x:c r="C723" s="30"/>
      <x:c r="D723" s="30" t="str">
        <x:v>955</x:v>
      </x:c>
      <x:c r="E723" s="87" t="str">
        <x:v>SOLUTION</x:v>
      </x:c>
      <x:c r="F723" s="30" t="str">
        <x:v>Вариант 955_2часть.pdf</x:v>
      </x:c>
      <x:c r="G723" s="87" t="str">
        <x:v>3</x:v>
      </x:c>
      <x:c r="H723" s="87" t="str">
        <x:v>v1.00</x:v>
      </x:c>
      <x:c r="I723" s="87" t="str">
        <x:v>1</x:v>
      </x:c>
      <x:c r="J723" s="30" t="str">
        <x:v>VIS_KEY / MODEL</x:v>
      </x:c>
      <x:c r="K723" s="30" t="str">
        <x:v>EGKR-S26-PHY-955-21</x:v>
      </x:c>
      <x:c r="L723" s="87" t="str">
        <x:v>CROP_VERIFIED</x:v>
      </x:c>
      <x:c r="M723" s="87" t="str">
        <x:v>ORIGINAL_PACKAGE</x:v>
      </x:c>
      <x:c r="N723" s="87" t="str">
        <x:v>pages/VIS-EGKR-PHY-S26-SOL-955-P003.png</x:v>
      </x:c>
      <x:c r="O723" s="87" t="str">
        <x:v>thumbnails/VIS-EGKR-PHY-S26-SOL-955-P003.jpg</x:v>
      </x:c>
      <x:c r="P723" s="87" t="str">
        <x:v>cc070e6f69b95cab74542da3031fbf6dc4fef5d48c0d018a55812793c1fd9c35</x:v>
      </x:c>
      <x:c r="Q723" s="30" t="str">
        <x:v>incoming/raw/recovery-drop-01/physics_egkr_spring_visual_assets_v100.zip!/pages/VIS-EGKR-PHY-S26-SOL-955-P003.png</x:v>
      </x:c>
      <x:c r="R723" s="30" t="str">
        <x:v>MATCHED_ASSET</x:v>
      </x:c>
      <x:c r="S723" t="e">
        <x:f>HYPERLINK("visual_gallery/index.html#"&amp;A723,"Галерея")</x:f>
      </x:c>
    </x:row>
    <x:row r="724">
      <x:c r="A724" s="87" t="str">
        <x:v>VIS-EGKR-PHY-S26-SOL-955-P004</x:v>
      </x:c>
      <x:c r="B724" s="30" t="str">
        <x:v>Физика</x:v>
      </x:c>
      <x:c r="C724" s="30"/>
      <x:c r="D724" s="30" t="str">
        <x:v>955</x:v>
      </x:c>
      <x:c r="E724" s="87" t="str">
        <x:v>SOLUTION</x:v>
      </x:c>
      <x:c r="F724" s="30" t="str">
        <x:v>Вариант 955_2часть.pdf</x:v>
      </x:c>
      <x:c r="G724" s="87" t="str">
        <x:v>4</x:v>
      </x:c>
      <x:c r="H724" s="87" t="str">
        <x:v>v1.00</x:v>
      </x:c>
      <x:c r="I724" s="87" t="str">
        <x:v>1</x:v>
      </x:c>
      <x:c r="J724" s="30" t="str">
        <x:v>VIS_KEY / MODEL</x:v>
      </x:c>
      <x:c r="K724" s="30" t="str">
        <x:v>EGKR-S26-PHY-955-22</x:v>
      </x:c>
      <x:c r="L724" s="87" t="str">
        <x:v>CROP_VERIFIED</x:v>
      </x:c>
      <x:c r="M724" s="87" t="str">
        <x:v>ORIGINAL_PACKAGE</x:v>
      </x:c>
      <x:c r="N724" s="87" t="str">
        <x:v>pages/VIS-EGKR-PHY-S26-SOL-955-P004.png</x:v>
      </x:c>
      <x:c r="O724" s="87" t="str">
        <x:v>thumbnails/VIS-EGKR-PHY-S26-SOL-955-P004.jpg</x:v>
      </x:c>
      <x:c r="P724" s="87" t="str">
        <x:v>9c77fb5d15f860d19f8cf897e58159f509cb50e6c092ea177c41393ec0529815</x:v>
      </x:c>
      <x:c r="Q724" s="30" t="str">
        <x:v>incoming/raw/recovery-drop-01/physics_egkr_spring_visual_assets_v100.zip!/pages/VIS-EGKR-PHY-S26-SOL-955-P004.png</x:v>
      </x:c>
      <x:c r="R724" s="30" t="str">
        <x:v>MATCHED_ASSET</x:v>
      </x:c>
      <x:c r="S724" t="e">
        <x:f>HYPERLINK("visual_gallery/index.html#"&amp;A724,"Галерея")</x:f>
      </x:c>
    </x:row>
    <x:row r="725">
      <x:c r="A725" s="87" t="str">
        <x:v>VIS-EGKR-PHY-S26-SOL-955-P005</x:v>
      </x:c>
      <x:c r="B725" s="30" t="str">
        <x:v>Физика</x:v>
      </x:c>
      <x:c r="C725" s="30"/>
      <x:c r="D725" s="30" t="str">
        <x:v>955</x:v>
      </x:c>
      <x:c r="E725" s="87" t="str">
        <x:v>SOLUTION</x:v>
      </x:c>
      <x:c r="F725" s="30" t="str">
        <x:v>Вариант 955_2часть.pdf</x:v>
      </x:c>
      <x:c r="G725" s="87" t="str">
        <x:v>5</x:v>
      </x:c>
      <x:c r="H725" s="87" t="str">
        <x:v>v1.00</x:v>
      </x:c>
      <x:c r="I725" s="87" t="str">
        <x:v>1</x:v>
      </x:c>
      <x:c r="J725" s="30" t="str">
        <x:v>VIS_KEY / MODEL</x:v>
      </x:c>
      <x:c r="K725" s="30" t="str">
        <x:v>EGKR-S26-PHY-955-23</x:v>
      </x:c>
      <x:c r="L725" s="87" t="str">
        <x:v>CROP_VERIFIED</x:v>
      </x:c>
      <x:c r="M725" s="87" t="str">
        <x:v>ORIGINAL_PACKAGE</x:v>
      </x:c>
      <x:c r="N725" s="87" t="str">
        <x:v>pages/VIS-EGKR-PHY-S26-SOL-955-P005.png</x:v>
      </x:c>
      <x:c r="O725" s="87" t="str">
        <x:v>thumbnails/VIS-EGKR-PHY-S26-SOL-955-P005.jpg</x:v>
      </x:c>
      <x:c r="P725" s="87" t="str">
        <x:v>12d6c59192f345adcfeec323e038693900f3ccd0e74fdb943358c239ef1d2a89</x:v>
      </x:c>
      <x:c r="Q725" s="30" t="str">
        <x:v>incoming/raw/recovery-drop-01/physics_egkr_spring_visual_assets_v100.zip!/pages/VIS-EGKR-PHY-S26-SOL-955-P005.png</x:v>
      </x:c>
      <x:c r="R725" s="30" t="str">
        <x:v>MATCHED_ASSET</x:v>
      </x:c>
      <x:c r="S725" t="e">
        <x:f>HYPERLINK("visual_gallery/index.html#"&amp;A725,"Галерея")</x:f>
      </x:c>
    </x:row>
    <x:row r="726">
      <x:c r="A726" s="87" t="str">
        <x:v>VIS-EGKR-PHY-S26-SOL-955-P006</x:v>
      </x:c>
      <x:c r="B726" s="30" t="str">
        <x:v>Физика</x:v>
      </x:c>
      <x:c r="C726" s="30"/>
      <x:c r="D726" s="30" t="str">
        <x:v>955</x:v>
      </x:c>
      <x:c r="E726" s="87" t="str">
        <x:v>SOLUTION</x:v>
      </x:c>
      <x:c r="F726" s="30" t="str">
        <x:v>Вариант 955_2часть.pdf</x:v>
      </x:c>
      <x:c r="G726" s="87" t="str">
        <x:v>6</x:v>
      </x:c>
      <x:c r="H726" s="87" t="str">
        <x:v>v1.00</x:v>
      </x:c>
      <x:c r="I726" s="87" t="str">
        <x:v>1</x:v>
      </x:c>
      <x:c r="J726" s="30" t="str">
        <x:v>VIS_KEY / MODEL</x:v>
      </x:c>
      <x:c r="K726" s="30" t="str">
        <x:v>EGKR-S26-PHY-955-24</x:v>
      </x:c>
      <x:c r="L726" s="87" t="str">
        <x:v>CROP_VERIFIED</x:v>
      </x:c>
      <x:c r="M726" s="87" t="str">
        <x:v>ORIGINAL_PACKAGE</x:v>
      </x:c>
      <x:c r="N726" s="87" t="str">
        <x:v>pages/VIS-EGKR-PHY-S26-SOL-955-P006.png</x:v>
      </x:c>
      <x:c r="O726" s="87" t="str">
        <x:v>thumbnails/VIS-EGKR-PHY-S26-SOL-955-P006.jpg</x:v>
      </x:c>
      <x:c r="P726" s="87" t="str">
        <x:v>651d633b192db12d439e4b89cf3a208c16d0b24b52d02a1c051e4f0ede2a982d</x:v>
      </x:c>
      <x:c r="Q726" s="30" t="str">
        <x:v>incoming/raw/recovery-drop-01/physics_egkr_spring_visual_assets_v100.zip!/pages/VIS-EGKR-PHY-S26-SOL-955-P006.png</x:v>
      </x:c>
      <x:c r="R726" s="30" t="str">
        <x:v>MATCHED_ASSET</x:v>
      </x:c>
      <x:c r="S726" t="e">
        <x:f>HYPERLINK("visual_gallery/index.html#"&amp;A726,"Галерея")</x:f>
      </x:c>
    </x:row>
    <x:row r="727">
      <x:c r="A727" s="87" t="str">
        <x:v>VIS-EGKR-PHY-S26-SOL-955-P007</x:v>
      </x:c>
      <x:c r="B727" s="30" t="str">
        <x:v>Физика</x:v>
      </x:c>
      <x:c r="C727" s="30"/>
      <x:c r="D727" s="30" t="str">
        <x:v>955</x:v>
      </x:c>
      <x:c r="E727" s="87" t="str">
        <x:v>SOLUTION</x:v>
      </x:c>
      <x:c r="F727" s="30" t="str">
        <x:v>Вариант 955_2часть.pdf</x:v>
      </x:c>
      <x:c r="G727" s="87" t="str">
        <x:v>7</x:v>
      </x:c>
      <x:c r="H727" s="87" t="str">
        <x:v>v1.00</x:v>
      </x:c>
      <x:c r="I727" s="87" t="str">
        <x:v>1</x:v>
      </x:c>
      <x:c r="J727" s="30" t="str">
        <x:v>VIS_KEY / MODEL</x:v>
      </x:c>
      <x:c r="K727" s="30" t="str">
        <x:v>EGKR-S26-PHY-955-25</x:v>
      </x:c>
      <x:c r="L727" s="87" t="str">
        <x:v>CROP_VERIFIED</x:v>
      </x:c>
      <x:c r="M727" s="87" t="str">
        <x:v>ORIGINAL_PACKAGE</x:v>
      </x:c>
      <x:c r="N727" s="87" t="str">
        <x:v>pages/VIS-EGKR-PHY-S26-SOL-955-P007.png</x:v>
      </x:c>
      <x:c r="O727" s="87" t="str">
        <x:v>thumbnails/VIS-EGKR-PHY-S26-SOL-955-P007.jpg</x:v>
      </x:c>
      <x:c r="P727" s="87" t="str">
        <x:v>d8105c179d2f1a38a5c1c44f6fd6f2a9c570036ebc6caaad79bff940c2b8791c</x:v>
      </x:c>
      <x:c r="Q727" s="30" t="str">
        <x:v>incoming/raw/recovery-drop-01/physics_egkr_spring_visual_assets_v100.zip!/pages/VIS-EGKR-PHY-S26-SOL-955-P007.png</x:v>
      </x:c>
      <x:c r="R727" s="30" t="str">
        <x:v>MATCHED_ASSET</x:v>
      </x:c>
      <x:c r="S727" t="e">
        <x:f>HYPERLINK("visual_gallery/index.html#"&amp;A727,"Галерея")</x:f>
      </x:c>
    </x:row>
    <x:row r="728">
      <x:c r="A728" s="87" t="str">
        <x:v>VIS-EGKR-PHY-S26-SOL-955-P008</x:v>
      </x:c>
      <x:c r="B728" s="30" t="str">
        <x:v>Физика</x:v>
      </x:c>
      <x:c r="C728" s="30"/>
      <x:c r="D728" s="30" t="str">
        <x:v>955</x:v>
      </x:c>
      <x:c r="E728" s="87" t="str">
        <x:v>SOLUTION</x:v>
      </x:c>
      <x:c r="F728" s="30" t="str">
        <x:v>Вариант 955_2часть.pdf</x:v>
      </x:c>
      <x:c r="G728" s="87" t="str">
        <x:v>8</x:v>
      </x:c>
      <x:c r="H728" s="87" t="str">
        <x:v>v1.00</x:v>
      </x:c>
      <x:c r="I728" s="87" t="str">
        <x:v>1</x:v>
      </x:c>
      <x:c r="J728" s="30" t="str">
        <x:v>VIS_KEY / MODEL</x:v>
      </x:c>
      <x:c r="K728" s="30" t="str">
        <x:v>EGKR-S26-PHY-955-26</x:v>
      </x:c>
      <x:c r="L728" s="87" t="str">
        <x:v>CROP_VERIFIED</x:v>
      </x:c>
      <x:c r="M728" s="87" t="str">
        <x:v>ORIGINAL_PACKAGE</x:v>
      </x:c>
      <x:c r="N728" s="87" t="str">
        <x:v>pages/VIS-EGKR-PHY-S26-SOL-955-P008.png</x:v>
      </x:c>
      <x:c r="O728" s="87" t="str">
        <x:v>thumbnails/VIS-EGKR-PHY-S26-SOL-955-P008.jpg</x:v>
      </x:c>
      <x:c r="P728" s="87" t="str">
        <x:v>108aefa45a0a51c47d73e8aeb712b933f7e2d19cca48d5ca82af12a497265a8f</x:v>
      </x:c>
      <x:c r="Q728" s="30" t="str">
        <x:v>incoming/raw/recovery-drop-01/physics_egkr_spring_visual_assets_v100.zip!/pages/VIS-EGKR-PHY-S26-SOL-955-P008.png</x:v>
      </x:c>
      <x:c r="R728" s="30" t="str">
        <x:v>MATCHED_ASSET</x:v>
      </x:c>
      <x:c r="S728" t="e">
        <x:f>HYPERLINK("visual_gallery/index.html#"&amp;A728,"Галерея")</x:f>
      </x:c>
    </x:row>
    <x:row r="729">
      <x:c r="A729" s="87" t="str">
        <x:v>VIS-EGKR-PHY-S26-SOL-955-P009</x:v>
      </x:c>
      <x:c r="B729" s="30" t="str">
        <x:v>Физика</x:v>
      </x:c>
      <x:c r="C729" s="30"/>
      <x:c r="D729" s="30" t="str">
        <x:v>955</x:v>
      </x:c>
      <x:c r="E729" s="87" t="str">
        <x:v>SOLUTION</x:v>
      </x:c>
      <x:c r="F729" s="30" t="str">
        <x:v>Вариант 955_2часть.pdf</x:v>
      </x:c>
      <x:c r="G729" s="87" t="str">
        <x:v>9</x:v>
      </x:c>
      <x:c r="H729" s="87" t="str">
        <x:v>v1.00</x:v>
      </x:c>
      <x:c r="I729" s="87" t="str">
        <x:v>1</x:v>
      </x:c>
      <x:c r="J729" s="30" t="str">
        <x:v>VIS_KEY / MODEL</x:v>
      </x:c>
      <x:c r="K729" s="30" t="str">
        <x:v>EGKR-S26-PHY-955-26</x:v>
      </x:c>
      <x:c r="L729" s="87" t="str">
        <x:v>CROP_VERIFIED</x:v>
      </x:c>
      <x:c r="M729" s="87" t="str">
        <x:v>ORIGINAL_PACKAGE</x:v>
      </x:c>
      <x:c r="N729" s="87" t="str">
        <x:v>pages/VIS-EGKR-PHY-S26-SOL-955-P009.png</x:v>
      </x:c>
      <x:c r="O729" s="87" t="str">
        <x:v>thumbnails/VIS-EGKR-PHY-S26-SOL-955-P009.jpg</x:v>
      </x:c>
      <x:c r="P729" s="87" t="str">
        <x:v>c054dc1111f0bacbd33ed495bdb3224f023d99a476a720d1fd7d94d73e836a0a</x:v>
      </x:c>
      <x:c r="Q729" s="30" t="str">
        <x:v>incoming/raw/recovery-drop-01/physics_egkr_spring_visual_assets_v100.zip!/pages/VIS-EGKR-PHY-S26-SOL-955-P009.png</x:v>
      </x:c>
      <x:c r="R729" s="30" t="str">
        <x:v>MATCHED_ASSET</x:v>
      </x:c>
      <x:c r="S729" t="e">
        <x:f>HYPERLINK("visual_gallery/index.html#"&amp;A729,"Галерея")</x:f>
      </x:c>
    </x:row>
    <x:row r="730">
      <x:c r="A730" s="87" t="str">
        <x:v>VIS-EGKR-PHY-S26-SOL-956-P001</x:v>
      </x:c>
      <x:c r="B730" s="30" t="str"/>
      <x:c r="C730" s="30"/>
      <x:c r="D730" s="30" t="str">
        <x:v>956</x:v>
      </x:c>
      <x:c r="E730" s="87" t="str">
        <x:v>SOLUTION</x:v>
      </x:c>
      <x:c r="F730" s="30" t="str">
        <x:v>Вариант 956_2часть.pdf</x:v>
      </x:c>
      <x:c r="G730" s="87" t="str">
        <x:v>1</x:v>
      </x:c>
      <x:c r="H730" s="87" t="str">
        <x:v>v1.00</x:v>
      </x:c>
      <x:c r="I730" s="87" t="str">
        <x:v>0</x:v>
      </x:c>
      <x:c r="J730" s="30" t="str"/>
      <x:c r="K730" s="30" t="str"/>
      <x:c r="L730" s="87" t="str">
        <x:v>CROP_VERIFIED</x:v>
      </x:c>
      <x:c r="M730" s="87" t="str">
        <x:v>ORIGINAL_PACKAGE</x:v>
      </x:c>
      <x:c r="N730" s="87" t="str">
        <x:v>pages/VIS-EGKR-PHY-S26-SOL-956-P001.png</x:v>
      </x:c>
      <x:c r="O730" s="87" t="str">
        <x:v>thumbnails/VIS-EGKR-PHY-S26-SOL-956-P001.jpg</x:v>
      </x:c>
      <x:c r="P730" s="87" t="str">
        <x:v>3aaaf88fa9dc407b13dda418d23f911a7c0226fae1771ac7ab11d405928ede89</x:v>
      </x:c>
      <x:c r="Q730" s="30" t="str">
        <x:v>incoming/raw/recovery-drop-01/physics_egkr_spring_visual_assets_v100.zip!/pages/VIS-EGKR-PHY-S26-SOL-956-P001.png</x:v>
      </x:c>
      <x:c r="R730" s="30" t="str">
        <x:v>RESOLVED_UNLINKED_REGISTRY_VISUAL</x:v>
      </x:c>
      <x:c r="S730" t="e">
        <x:f>HYPERLINK("visual_gallery/index.html#"&amp;A730,"Галерея")</x:f>
      </x:c>
    </x:row>
    <x:row r="731">
      <x:c r="A731" s="87" t="str">
        <x:v>VIS-EGKR-PHY-S26-SOL-956-P002</x:v>
      </x:c>
      <x:c r="B731" s="30" t="str">
        <x:v>Физика</x:v>
      </x:c>
      <x:c r="C731" s="30"/>
      <x:c r="D731" s="30" t="str">
        <x:v>956</x:v>
      </x:c>
      <x:c r="E731" s="87" t="str">
        <x:v>SOLUTION</x:v>
      </x:c>
      <x:c r="F731" s="30" t="str">
        <x:v>Вариант 956_2часть.pdf</x:v>
      </x:c>
      <x:c r="G731" s="87" t="str">
        <x:v>2</x:v>
      </x:c>
      <x:c r="H731" s="87" t="str">
        <x:v>v1.00</x:v>
      </x:c>
      <x:c r="I731" s="87" t="str">
        <x:v>1</x:v>
      </x:c>
      <x:c r="J731" s="30" t="str">
        <x:v>VIS_KEY / MODEL</x:v>
      </x:c>
      <x:c r="K731" s="30" t="str">
        <x:v>EGKR-S26-PHY-956-21</x:v>
      </x:c>
      <x:c r="L731" s="87" t="str">
        <x:v>CROP_VERIFIED</x:v>
      </x:c>
      <x:c r="M731" s="87" t="str">
        <x:v>ORIGINAL_PACKAGE</x:v>
      </x:c>
      <x:c r="N731" s="87" t="str">
        <x:v>pages/VIS-EGKR-PHY-S26-SOL-956-P002.png</x:v>
      </x:c>
      <x:c r="O731" s="87" t="str">
        <x:v>thumbnails/VIS-EGKR-PHY-S26-SOL-956-P002.jpg</x:v>
      </x:c>
      <x:c r="P731" s="87" t="str">
        <x:v>098690f3d58a3f66029c18c100916fb055162d2a592ce148df500f64be769c0b</x:v>
      </x:c>
      <x:c r="Q731" s="30" t="str">
        <x:v>incoming/raw/recovery-drop-01/physics_egkr_spring_visual_assets_v100.zip!/pages/VIS-EGKR-PHY-S26-SOL-956-P002.png</x:v>
      </x:c>
      <x:c r="R731" s="30" t="str">
        <x:v>MATCHED_ASSET</x:v>
      </x:c>
      <x:c r="S731" t="e">
        <x:f>HYPERLINK("visual_gallery/index.html#"&amp;A731,"Галерея")</x:f>
      </x:c>
    </x:row>
    <x:row r="732">
      <x:c r="A732" s="87" t="str">
        <x:v>VIS-EGKR-PHY-S26-SOL-956-P003</x:v>
      </x:c>
      <x:c r="B732" s="30" t="str">
        <x:v>Физика</x:v>
      </x:c>
      <x:c r="C732" s="30"/>
      <x:c r="D732" s="30" t="str">
        <x:v>956</x:v>
      </x:c>
      <x:c r="E732" s="87" t="str">
        <x:v>SOLUTION</x:v>
      </x:c>
      <x:c r="F732" s="30" t="str">
        <x:v>Вариант 956_2часть.pdf</x:v>
      </x:c>
      <x:c r="G732" s="87" t="str">
        <x:v>3</x:v>
      </x:c>
      <x:c r="H732" s="87" t="str">
        <x:v>v1.00</x:v>
      </x:c>
      <x:c r="I732" s="87" t="str">
        <x:v>1</x:v>
      </x:c>
      <x:c r="J732" s="30" t="str">
        <x:v>VIS_KEY / MODEL</x:v>
      </x:c>
      <x:c r="K732" s="30" t="str">
        <x:v>EGKR-S26-PHY-956-21</x:v>
      </x:c>
      <x:c r="L732" s="87" t="str">
        <x:v>CROP_VERIFIED</x:v>
      </x:c>
      <x:c r="M732" s="87" t="str">
        <x:v>ORIGINAL_PACKAGE</x:v>
      </x:c>
      <x:c r="N732" s="87" t="str">
        <x:v>pages/VIS-EGKR-PHY-S26-SOL-956-P003.png</x:v>
      </x:c>
      <x:c r="O732" s="87" t="str">
        <x:v>thumbnails/VIS-EGKR-PHY-S26-SOL-956-P003.jpg</x:v>
      </x:c>
      <x:c r="P732" s="87" t="str">
        <x:v>6c5bbb00b3d0379a74befe62ab91b853349395254f43792fc1134d9187777778</x:v>
      </x:c>
      <x:c r="Q732" s="30" t="str">
        <x:v>incoming/raw/recovery-drop-01/physics_egkr_spring_visual_assets_v100.zip!/pages/VIS-EGKR-PHY-S26-SOL-956-P003.png</x:v>
      </x:c>
      <x:c r="R732" s="30" t="str">
        <x:v>MATCHED_ASSET</x:v>
      </x:c>
      <x:c r="S732" t="e">
        <x:f>HYPERLINK("visual_gallery/index.html#"&amp;A732,"Галерея")</x:f>
      </x:c>
    </x:row>
    <x:row r="733">
      <x:c r="A733" s="87" t="str">
        <x:v>VIS-EGKR-PHY-S26-SOL-956-P004</x:v>
      </x:c>
      <x:c r="B733" s="30" t="str">
        <x:v>Физика</x:v>
      </x:c>
      <x:c r="C733" s="30"/>
      <x:c r="D733" s="30" t="str">
        <x:v>956</x:v>
      </x:c>
      <x:c r="E733" s="87" t="str">
        <x:v>SOLUTION</x:v>
      </x:c>
      <x:c r="F733" s="30" t="str">
        <x:v>Вариант 956_2часть.pdf</x:v>
      </x:c>
      <x:c r="G733" s="87" t="str">
        <x:v>4</x:v>
      </x:c>
      <x:c r="H733" s="87" t="str">
        <x:v>v1.00</x:v>
      </x:c>
      <x:c r="I733" s="87" t="str">
        <x:v>1</x:v>
      </x:c>
      <x:c r="J733" s="30" t="str">
        <x:v>VIS_KEY / MODEL</x:v>
      </x:c>
      <x:c r="K733" s="30" t="str">
        <x:v>EGKR-S26-PHY-956-22</x:v>
      </x:c>
      <x:c r="L733" s="87" t="str">
        <x:v>CROP_VERIFIED</x:v>
      </x:c>
      <x:c r="M733" s="87" t="str">
        <x:v>ORIGINAL_PACKAGE</x:v>
      </x:c>
      <x:c r="N733" s="87" t="str">
        <x:v>pages/VIS-EGKR-PHY-S26-SOL-956-P004.png</x:v>
      </x:c>
      <x:c r="O733" s="87" t="str">
        <x:v>thumbnails/VIS-EGKR-PHY-S26-SOL-956-P004.jpg</x:v>
      </x:c>
      <x:c r="P733" s="87" t="str">
        <x:v>5dfb983ace3c7c43f14b4c398ab383481943363b4d98f996d810c51cf5c11513</x:v>
      </x:c>
      <x:c r="Q733" s="30" t="str">
        <x:v>incoming/raw/recovery-drop-01/physics_egkr_spring_visual_assets_v100.zip!/pages/VIS-EGKR-PHY-S26-SOL-956-P004.png</x:v>
      </x:c>
      <x:c r="R733" s="30" t="str">
        <x:v>MATCHED_ASSET</x:v>
      </x:c>
      <x:c r="S733" t="e">
        <x:f>HYPERLINK("visual_gallery/index.html#"&amp;A733,"Галерея")</x:f>
      </x:c>
    </x:row>
    <x:row r="734">
      <x:c r="A734" s="87" t="str">
        <x:v>VIS-EGKR-PHY-S26-SOL-956-P005</x:v>
      </x:c>
      <x:c r="B734" s="30" t="str">
        <x:v>Физика</x:v>
      </x:c>
      <x:c r="C734" s="30"/>
      <x:c r="D734" s="30" t="str">
        <x:v>956</x:v>
      </x:c>
      <x:c r="E734" s="87" t="str">
        <x:v>SOLUTION</x:v>
      </x:c>
      <x:c r="F734" s="30" t="str">
        <x:v>Вариант 956_2часть.pdf</x:v>
      </x:c>
      <x:c r="G734" s="87" t="str">
        <x:v>5</x:v>
      </x:c>
      <x:c r="H734" s="87" t="str">
        <x:v>v1.00</x:v>
      </x:c>
      <x:c r="I734" s="87" t="str">
        <x:v>1</x:v>
      </x:c>
      <x:c r="J734" s="30" t="str">
        <x:v>VIS_KEY / MODEL</x:v>
      </x:c>
      <x:c r="K734" s="30" t="str">
        <x:v>EGKR-S26-PHY-956-23</x:v>
      </x:c>
      <x:c r="L734" s="87" t="str">
        <x:v>CROP_VERIFIED</x:v>
      </x:c>
      <x:c r="M734" s="87" t="str">
        <x:v>ORIGINAL_PACKAGE</x:v>
      </x:c>
      <x:c r="N734" s="87" t="str">
        <x:v>pages/VIS-EGKR-PHY-S26-SOL-956-P005.png</x:v>
      </x:c>
      <x:c r="O734" s="87" t="str">
        <x:v>thumbnails/VIS-EGKR-PHY-S26-SOL-956-P005.jpg</x:v>
      </x:c>
      <x:c r="P734" s="87" t="str">
        <x:v>3db310f5c17e43c1c0792d6ef466d60742023d138d4eb926d3154022aeef4fbc</x:v>
      </x:c>
      <x:c r="Q734" s="30" t="str">
        <x:v>incoming/raw/recovery-drop-01/physics_egkr_spring_visual_assets_v100.zip!/pages/VIS-EGKR-PHY-S26-SOL-956-P005.png</x:v>
      </x:c>
      <x:c r="R734" s="30" t="str">
        <x:v>MATCHED_ASSET</x:v>
      </x:c>
      <x:c r="S734" t="e">
        <x:f>HYPERLINK("visual_gallery/index.html#"&amp;A734,"Галерея")</x:f>
      </x:c>
    </x:row>
    <x:row r="735">
      <x:c r="A735" s="87" t="str">
        <x:v>VIS-EGKR-PHY-S26-SOL-956-P006</x:v>
      </x:c>
      <x:c r="B735" s="30" t="str">
        <x:v>Физика</x:v>
      </x:c>
      <x:c r="C735" s="30"/>
      <x:c r="D735" s="30" t="str">
        <x:v>956</x:v>
      </x:c>
      <x:c r="E735" s="87" t="str">
        <x:v>SOLUTION</x:v>
      </x:c>
      <x:c r="F735" s="30" t="str">
        <x:v>Вариант 956_2часть.pdf</x:v>
      </x:c>
      <x:c r="G735" s="87" t="str">
        <x:v>6</x:v>
      </x:c>
      <x:c r="H735" s="87" t="str">
        <x:v>v1.00</x:v>
      </x:c>
      <x:c r="I735" s="87" t="str">
        <x:v>1</x:v>
      </x:c>
      <x:c r="J735" s="30" t="str">
        <x:v>VIS_KEY / MODEL</x:v>
      </x:c>
      <x:c r="K735" s="30" t="str">
        <x:v>EGKR-S26-PHY-956-24</x:v>
      </x:c>
      <x:c r="L735" s="87" t="str">
        <x:v>CROP_VERIFIED</x:v>
      </x:c>
      <x:c r="M735" s="87" t="str">
        <x:v>ORIGINAL_PACKAGE</x:v>
      </x:c>
      <x:c r="N735" s="87" t="str">
        <x:v>pages/VIS-EGKR-PHY-S26-SOL-956-P006.png</x:v>
      </x:c>
      <x:c r="O735" s="87" t="str">
        <x:v>thumbnails/VIS-EGKR-PHY-S26-SOL-956-P006.jpg</x:v>
      </x:c>
      <x:c r="P735" s="87" t="str">
        <x:v>b01040b759681628c8a734c3f4e529efe76ac5ae008c8ce110d5147f0e3597af</x:v>
      </x:c>
      <x:c r="Q735" s="30" t="str">
        <x:v>incoming/raw/recovery-drop-01/physics_egkr_spring_visual_assets_v100.zip!/pages/VIS-EGKR-PHY-S26-SOL-956-P006.png</x:v>
      </x:c>
      <x:c r="R735" s="30" t="str">
        <x:v>MATCHED_ASSET</x:v>
      </x:c>
      <x:c r="S735" t="e">
        <x:f>HYPERLINK("visual_gallery/index.html#"&amp;A735,"Галерея")</x:f>
      </x:c>
    </x:row>
    <x:row r="736">
      <x:c r="A736" s="87" t="str">
        <x:v>VIS-EGKR-PHY-S26-SOL-956-P007</x:v>
      </x:c>
      <x:c r="B736" s="30" t="str">
        <x:v>Физика</x:v>
      </x:c>
      <x:c r="C736" s="30"/>
      <x:c r="D736" s="30" t="str">
        <x:v>956</x:v>
      </x:c>
      <x:c r="E736" s="87" t="str">
        <x:v>SOLUTION</x:v>
      </x:c>
      <x:c r="F736" s="30" t="str">
        <x:v>Вариант 956_2часть.pdf</x:v>
      </x:c>
      <x:c r="G736" s="87" t="str">
        <x:v>7</x:v>
      </x:c>
      <x:c r="H736" s="87" t="str">
        <x:v>v1.00</x:v>
      </x:c>
      <x:c r="I736" s="87" t="str">
        <x:v>1</x:v>
      </x:c>
      <x:c r="J736" s="30" t="str">
        <x:v>VIS_KEY / MODEL</x:v>
      </x:c>
      <x:c r="K736" s="30" t="str">
        <x:v>EGKR-S26-PHY-956-25</x:v>
      </x:c>
      <x:c r="L736" s="87" t="str">
        <x:v>CROP_VERIFIED</x:v>
      </x:c>
      <x:c r="M736" s="87" t="str">
        <x:v>ORIGINAL_PACKAGE</x:v>
      </x:c>
      <x:c r="N736" s="87" t="str">
        <x:v>pages/VIS-EGKR-PHY-S26-SOL-956-P007.png</x:v>
      </x:c>
      <x:c r="O736" s="87" t="str">
        <x:v>thumbnails/VIS-EGKR-PHY-S26-SOL-956-P007.jpg</x:v>
      </x:c>
      <x:c r="P736" s="87" t="str">
        <x:v>032b9597bc93d6d9cb1e2f90e668c4c315969eb0a14440848d3e39d773cb9982</x:v>
      </x:c>
      <x:c r="Q736" s="30" t="str">
        <x:v>incoming/raw/recovery-drop-01/physics_egkr_spring_visual_assets_v100.zip!/pages/VIS-EGKR-PHY-S26-SOL-956-P007.png</x:v>
      </x:c>
      <x:c r="R736" s="30" t="str">
        <x:v>MATCHED_ASSET</x:v>
      </x:c>
      <x:c r="S736" t="e">
        <x:f>HYPERLINK("visual_gallery/index.html#"&amp;A736,"Галерея")</x:f>
      </x:c>
    </x:row>
    <x:row r="737">
      <x:c r="A737" s="87" t="str">
        <x:v>VIS-EGKR-PHY-S26-SOL-956-P008</x:v>
      </x:c>
      <x:c r="B737" s="30" t="str">
        <x:v>Физика</x:v>
      </x:c>
      <x:c r="C737" s="30"/>
      <x:c r="D737" s="30" t="str">
        <x:v>956</x:v>
      </x:c>
      <x:c r="E737" s="87" t="str">
        <x:v>SOLUTION</x:v>
      </x:c>
      <x:c r="F737" s="30" t="str">
        <x:v>Вариант 956_2часть.pdf</x:v>
      </x:c>
      <x:c r="G737" s="87" t="str">
        <x:v>8</x:v>
      </x:c>
      <x:c r="H737" s="87" t="str">
        <x:v>v1.00</x:v>
      </x:c>
      <x:c r="I737" s="87" t="str">
        <x:v>1</x:v>
      </x:c>
      <x:c r="J737" s="30" t="str">
        <x:v>VIS_KEY / MODEL</x:v>
      </x:c>
      <x:c r="K737" s="30" t="str">
        <x:v>EGKR-S26-PHY-956-26</x:v>
      </x:c>
      <x:c r="L737" s="87" t="str">
        <x:v>CROP_VERIFIED</x:v>
      </x:c>
      <x:c r="M737" s="87" t="str">
        <x:v>ORIGINAL_PACKAGE</x:v>
      </x:c>
      <x:c r="N737" s="87" t="str">
        <x:v>pages/VIS-EGKR-PHY-S26-SOL-956-P008.png</x:v>
      </x:c>
      <x:c r="O737" s="87" t="str">
        <x:v>thumbnails/VIS-EGKR-PHY-S26-SOL-956-P008.jpg</x:v>
      </x:c>
      <x:c r="P737" s="87" t="str">
        <x:v>139428611f12b3d00c9d7e887afffdd795605109a028c4cb42a4a5bbd03e4667</x:v>
      </x:c>
      <x:c r="Q737" s="30" t="str">
        <x:v>incoming/raw/recovery-drop-01/physics_egkr_spring_visual_assets_v100.zip!/pages/VIS-EGKR-PHY-S26-SOL-956-P008.png</x:v>
      </x:c>
      <x:c r="R737" s="30" t="str">
        <x:v>MATCHED_ASSET</x:v>
      </x:c>
      <x:c r="S737" t="e">
        <x:f>HYPERLINK("visual_gallery/index.html#"&amp;A737,"Галерея")</x:f>
      </x:c>
    </x:row>
    <x:row r="738">
      <x:c r="A738" s="87" t="str">
        <x:v>VIS-EGKR-PHY-S26-SOL-956-P009</x:v>
      </x:c>
      <x:c r="B738" s="30" t="str">
        <x:v>Физика</x:v>
      </x:c>
      <x:c r="C738" s="30"/>
      <x:c r="D738" s="30" t="str">
        <x:v>956</x:v>
      </x:c>
      <x:c r="E738" s="87" t="str">
        <x:v>SOLUTION</x:v>
      </x:c>
      <x:c r="F738" s="30" t="str">
        <x:v>Вариант 956_2часть.pdf</x:v>
      </x:c>
      <x:c r="G738" s="87" t="str">
        <x:v>9</x:v>
      </x:c>
      <x:c r="H738" s="87" t="str">
        <x:v>v1.00</x:v>
      </x:c>
      <x:c r="I738" s="87" t="str">
        <x:v>1</x:v>
      </x:c>
      <x:c r="J738" s="30" t="str">
        <x:v>VIS_KEY / MODEL</x:v>
      </x:c>
      <x:c r="K738" s="30" t="str">
        <x:v>EGKR-S26-PHY-956-26</x:v>
      </x:c>
      <x:c r="L738" s="87" t="str">
        <x:v>CROP_VERIFIED</x:v>
      </x:c>
      <x:c r="M738" s="87" t="str">
        <x:v>ORIGINAL_PACKAGE</x:v>
      </x:c>
      <x:c r="N738" s="87" t="str">
        <x:v>pages/VIS-EGKR-PHY-S26-SOL-956-P009.png</x:v>
      </x:c>
      <x:c r="O738" s="87" t="str">
        <x:v>thumbnails/VIS-EGKR-PHY-S26-SOL-956-P009.jpg</x:v>
      </x:c>
      <x:c r="P738" s="87" t="str">
        <x:v>f523831a7ca5ef398e32ac82e341790cc8773c866ea3737ebaaff7a60b533668</x:v>
      </x:c>
      <x:c r="Q738" s="30" t="str">
        <x:v>incoming/raw/recovery-drop-01/physics_egkr_spring_visual_assets_v100.zip!/pages/VIS-EGKR-PHY-S26-SOL-956-P009.png</x:v>
      </x:c>
      <x:c r="R738" s="30" t="str">
        <x:v>MATCHED_ASSET</x:v>
      </x:c>
      <x:c r="S738" t="e">
        <x:f>HYPERLINK("visual_gallery/index.html#"&amp;A738,"Галерея")</x:f>
      </x:c>
    </x:row>
    <x:row r="739">
      <x:c r="A739" s="87" t="str">
        <x:v>VIS-EGKR-PHY-S26-TASK-954-P001</x:v>
      </x:c>
      <x:c r="B739" s="30" t="str">
        <x:v>Физика</x:v>
      </x:c>
      <x:c r="C739" s="30"/>
      <x:c r="D739" s="30" t="str">
        <x:v>954</x:v>
      </x:c>
      <x:c r="E739" s="87" t="str">
        <x:v>TASK</x:v>
      </x:c>
      <x:c r="F739" s="30" t="str">
        <x:v>954_вариант_ФИЗ_26.03.pdf</x:v>
      </x:c>
      <x:c r="G739" s="87" t="str">
        <x:v>1</x:v>
      </x:c>
      <x:c r="H739" s="87" t="str">
        <x:v>v1.00</x:v>
      </x:c>
      <x:c r="I739" s="87" t="str">
        <x:v>3</x:v>
      </x:c>
      <x:c r="J739" s="30" t="str">
        <x:v>VIS_ID</x:v>
      </x:c>
      <x:c r="K739" s="30" t="str">
        <x:v>EGKR-S26-PHY-954-01, EGKR-S26-PHY-954-02, EGKR-S26-PHY-954-03</x:v>
      </x:c>
      <x:c r="L739" s="87" t="str">
        <x:v>CROP_VERIFIED</x:v>
      </x:c>
      <x:c r="M739" s="87" t="str">
        <x:v>ORIGINAL_PACKAGE</x:v>
      </x:c>
      <x:c r="N739" s="87" t="str">
        <x:v>pages/VIS-EGKR-PHY-S26-TASK-954-P001.png</x:v>
      </x:c>
      <x:c r="O739" s="87" t="str">
        <x:v>thumbnails/VIS-EGKR-PHY-S26-TASK-954-P001.jpg</x:v>
      </x:c>
      <x:c r="P739" s="87" t="str">
        <x:v>62c8e6f9d5023ec35ac46dc20fb3c9a8263f65946a3deb01cb98bfddce7912aa</x:v>
      </x:c>
      <x:c r="Q739" s="30" t="str">
        <x:v>incoming/raw/recovery-drop-01/physics_egkr_spring_visual_assets_v100.zip!/pages/VIS-EGKR-PHY-S26-TASK-954-P001.png</x:v>
      </x:c>
      <x:c r="R739" s="30" t="str">
        <x:v>MATCHED_ASSET</x:v>
      </x:c>
      <x:c r="S739" t="e">
        <x:f>HYPERLINK("visual_gallery/index.html#"&amp;A739,"Галерея")</x:f>
      </x:c>
    </x:row>
    <x:row r="740">
      <x:c r="A740" s="87" t="str">
        <x:v>VIS-EGKR-PHY-S26-TASK-954-P002</x:v>
      </x:c>
      <x:c r="B740" s="30" t="str">
        <x:v>Физика</x:v>
      </x:c>
      <x:c r="C740" s="30"/>
      <x:c r="D740" s="30" t="str">
        <x:v>954</x:v>
      </x:c>
      <x:c r="E740" s="87" t="str">
        <x:v>TASK</x:v>
      </x:c>
      <x:c r="F740" s="30" t="str">
        <x:v>954_вариант_ФИЗ_26.03.pdf</x:v>
      </x:c>
      <x:c r="G740" s="87" t="str">
        <x:v>2</x:v>
      </x:c>
      <x:c r="H740" s="87" t="str">
        <x:v>v1.00</x:v>
      </x:c>
      <x:c r="I740" s="87" t="str">
        <x:v>2</x:v>
      </x:c>
      <x:c r="J740" s="30" t="str">
        <x:v>VIS_ID</x:v>
      </x:c>
      <x:c r="K740" s="30" t="str">
        <x:v>EGKR-S26-PHY-954-04, EGKR-S26-PHY-954-05</x:v>
      </x:c>
      <x:c r="L740" s="87" t="str">
        <x:v>CROP_VERIFIED</x:v>
      </x:c>
      <x:c r="M740" s="87" t="str">
        <x:v>ORIGINAL_PACKAGE</x:v>
      </x:c>
      <x:c r="N740" s="87" t="str">
        <x:v>pages/VIS-EGKR-PHY-S26-TASK-954-P002.png</x:v>
      </x:c>
      <x:c r="O740" s="87" t="str">
        <x:v>thumbnails/VIS-EGKR-PHY-S26-TASK-954-P002.jpg</x:v>
      </x:c>
      <x:c r="P740" s="87" t="str">
        <x:v>e3685558480b33de848b5ab4dfd4c780595bfe40aaf70b80102db3fe827d3c13</x:v>
      </x:c>
      <x:c r="Q740" s="30" t="str">
        <x:v>incoming/raw/recovery-drop-01/physics_egkr_spring_visual_assets_v100.zip!/pages/VIS-EGKR-PHY-S26-TASK-954-P002.png</x:v>
      </x:c>
      <x:c r="R740" s="30" t="str">
        <x:v>MATCHED_ASSET</x:v>
      </x:c>
      <x:c r="S740" t="e">
        <x:f>HYPERLINK("visual_gallery/index.html#"&amp;A740,"Галерея")</x:f>
      </x:c>
    </x:row>
    <x:row r="741">
      <x:c r="A741" s="87" t="str">
        <x:v>VIS-EGKR-PHY-S26-TASK-954-P003</x:v>
      </x:c>
      <x:c r="B741" s="30" t="str">
        <x:v>Физика</x:v>
      </x:c>
      <x:c r="C741" s="30"/>
      <x:c r="D741" s="30" t="str">
        <x:v>954</x:v>
      </x:c>
      <x:c r="E741" s="87" t="str">
        <x:v>TASK</x:v>
      </x:c>
      <x:c r="F741" s="30" t="str">
        <x:v>954_вариант_ФИЗ_26.03.pdf</x:v>
      </x:c>
      <x:c r="G741" s="87" t="str">
        <x:v>3</x:v>
      </x:c>
      <x:c r="H741" s="87" t="str">
        <x:v>v1.00</x:v>
      </x:c>
      <x:c r="I741" s="87" t="str">
        <x:v>2</x:v>
      </x:c>
      <x:c r="J741" s="30" t="str">
        <x:v>VIS_ID</x:v>
      </x:c>
      <x:c r="K741" s="30" t="str">
        <x:v>EGKR-S26-PHY-954-06, EGKR-S26-PHY-954-07</x:v>
      </x:c>
      <x:c r="L741" s="87" t="str">
        <x:v>CROP_VERIFIED</x:v>
      </x:c>
      <x:c r="M741" s="87" t="str">
        <x:v>ORIGINAL_PACKAGE</x:v>
      </x:c>
      <x:c r="N741" s="87" t="str">
        <x:v>pages/VIS-EGKR-PHY-S26-TASK-954-P003.png</x:v>
      </x:c>
      <x:c r="O741" s="87" t="str">
        <x:v>thumbnails/VIS-EGKR-PHY-S26-TASK-954-P003.jpg</x:v>
      </x:c>
      <x:c r="P741" s="87" t="str">
        <x:v>be81af494d4de869e06bb2a1aee924c1ca64a2c5281eb04e731fb0dc803de9ce</x:v>
      </x:c>
      <x:c r="Q741" s="30" t="str">
        <x:v>incoming/raw/recovery-drop-01/physics_egkr_spring_visual_assets_v100.zip!/pages/VIS-EGKR-PHY-S26-TASK-954-P003.png</x:v>
      </x:c>
      <x:c r="R741" s="30" t="str">
        <x:v>MATCHED_ASSET</x:v>
      </x:c>
      <x:c r="S741" t="e">
        <x:f>HYPERLINK("visual_gallery/index.html#"&amp;A741,"Галерея")</x:f>
      </x:c>
    </x:row>
    <x:row r="742">
      <x:c r="A742" s="87" t="str">
        <x:v>VIS-EGKR-PHY-S26-TASK-954-P004</x:v>
      </x:c>
      <x:c r="B742" s="30" t="str">
        <x:v>Физика</x:v>
      </x:c>
      <x:c r="C742" s="30"/>
      <x:c r="D742" s="30" t="str">
        <x:v>954</x:v>
      </x:c>
      <x:c r="E742" s="87" t="str">
        <x:v>TASK</x:v>
      </x:c>
      <x:c r="F742" s="30" t="str">
        <x:v>954_вариант_ФИЗ_26.03.pdf</x:v>
      </x:c>
      <x:c r="G742" s="87" t="str">
        <x:v>4</x:v>
      </x:c>
      <x:c r="H742" s="87" t="str">
        <x:v>v1.00</x:v>
      </x:c>
      <x:c r="I742" s="87" t="str">
        <x:v>3</x:v>
      </x:c>
      <x:c r="J742" s="30" t="str">
        <x:v>VIS_ID</x:v>
      </x:c>
      <x:c r="K742" s="30" t="str">
        <x:v>EGKR-S26-PHY-954-08, EGKR-S26-PHY-954-09, EGKR-S26-PHY-954-10</x:v>
      </x:c>
      <x:c r="L742" s="87" t="str">
        <x:v>CROP_VERIFIED</x:v>
      </x:c>
      <x:c r="M742" s="87" t="str">
        <x:v>ORIGINAL_PACKAGE</x:v>
      </x:c>
      <x:c r="N742" s="87" t="str">
        <x:v>pages/VIS-EGKR-PHY-S26-TASK-954-P004.png</x:v>
      </x:c>
      <x:c r="O742" s="87" t="str">
        <x:v>thumbnails/VIS-EGKR-PHY-S26-TASK-954-P004.jpg</x:v>
      </x:c>
      <x:c r="P742" s="87" t="str">
        <x:v>2d74074e22b2d7d963d3f703e5aa013f5ca040ac6c6ebcc4796bd361713c8753</x:v>
      </x:c>
      <x:c r="Q742" s="30" t="str">
        <x:v>incoming/raw/recovery-drop-01/physics_egkr_spring_visual_assets_v100.zip!/pages/VIS-EGKR-PHY-S26-TASK-954-P004.png</x:v>
      </x:c>
      <x:c r="R742" s="30" t="str">
        <x:v>MATCHED_ASSET</x:v>
      </x:c>
      <x:c r="S742" t="e">
        <x:f>HYPERLINK("visual_gallery/index.html#"&amp;A742,"Галерея")</x:f>
      </x:c>
    </x:row>
    <x:row r="743">
      <x:c r="A743" s="87" t="str">
        <x:v>VIS-EGKR-PHY-S26-TASK-954-P005</x:v>
      </x:c>
      <x:c r="B743" s="30" t="str">
        <x:v>Физика</x:v>
      </x:c>
      <x:c r="C743" s="30"/>
      <x:c r="D743" s="30" t="str">
        <x:v>954</x:v>
      </x:c>
      <x:c r="E743" s="87" t="str">
        <x:v>TASK</x:v>
      </x:c>
      <x:c r="F743" s="30" t="str">
        <x:v>954_вариант_ФИЗ_26.03.pdf</x:v>
      </x:c>
      <x:c r="G743" s="87" t="str">
        <x:v>5</x:v>
      </x:c>
      <x:c r="H743" s="87" t="str">
        <x:v>v1.00</x:v>
      </x:c>
      <x:c r="I743" s="87" t="str">
        <x:v>3</x:v>
      </x:c>
      <x:c r="J743" s="30" t="str">
        <x:v>VIS_ID</x:v>
      </x:c>
      <x:c r="K743" s="30" t="str">
        <x:v>EGKR-S26-PHY-954-11, EGKR-S26-PHY-954-12, EGKR-S26-PHY-954-13</x:v>
      </x:c>
      <x:c r="L743" s="87" t="str">
        <x:v>CROP_VERIFIED</x:v>
      </x:c>
      <x:c r="M743" s="87" t="str">
        <x:v>ORIGINAL_PACKAGE</x:v>
      </x:c>
      <x:c r="N743" s="87" t="str">
        <x:v>pages/VIS-EGKR-PHY-S26-TASK-954-P005.png</x:v>
      </x:c>
      <x:c r="O743" s="87" t="str">
        <x:v>thumbnails/VIS-EGKR-PHY-S26-TASK-954-P005.jpg</x:v>
      </x:c>
      <x:c r="P743" s="87" t="str">
        <x:v>6d76a94a945e2253e8cf8de7bd2b3d1c29cd6b29d31ca88a6c334c40b8dd4c0f</x:v>
      </x:c>
      <x:c r="Q743" s="30" t="str">
        <x:v>incoming/raw/recovery-drop-01/physics_egkr_spring_visual_assets_v100.zip!/pages/VIS-EGKR-PHY-S26-TASK-954-P005.png</x:v>
      </x:c>
      <x:c r="R743" s="30" t="str">
        <x:v>MATCHED_ASSET</x:v>
      </x:c>
      <x:c r="S743" t="e">
        <x:f>HYPERLINK("visual_gallery/index.html#"&amp;A743,"Галерея")</x:f>
      </x:c>
    </x:row>
    <x:row r="744">
      <x:c r="A744" s="87" t="str">
        <x:v>VIS-EGKR-PHY-S26-TASK-954-P006</x:v>
      </x:c>
      <x:c r="B744" s="30" t="str">
        <x:v>Физика</x:v>
      </x:c>
      <x:c r="C744" s="30"/>
      <x:c r="D744" s="30" t="str">
        <x:v>954</x:v>
      </x:c>
      <x:c r="E744" s="87" t="str">
        <x:v>TASK</x:v>
      </x:c>
      <x:c r="F744" s="30" t="str">
        <x:v>954_вариант_ФИЗ_26.03.pdf</x:v>
      </x:c>
      <x:c r="G744" s="87" t="str">
        <x:v>6</x:v>
      </x:c>
      <x:c r="H744" s="87" t="str">
        <x:v>v1.00</x:v>
      </x:c>
      <x:c r="I744" s="87" t="str">
        <x:v>2</x:v>
      </x:c>
      <x:c r="J744" s="30" t="str">
        <x:v>VIS_ID</x:v>
      </x:c>
      <x:c r="K744" s="30" t="str">
        <x:v>EGKR-S26-PHY-954-14, EGKR-S26-PHY-954-15</x:v>
      </x:c>
      <x:c r="L744" s="87" t="str">
        <x:v>CROP_VERIFIED</x:v>
      </x:c>
      <x:c r="M744" s="87" t="str">
        <x:v>ORIGINAL_PACKAGE</x:v>
      </x:c>
      <x:c r="N744" s="87" t="str">
        <x:v>pages/VIS-EGKR-PHY-S26-TASK-954-P006.png</x:v>
      </x:c>
      <x:c r="O744" s="87" t="str">
        <x:v>thumbnails/VIS-EGKR-PHY-S26-TASK-954-P006.jpg</x:v>
      </x:c>
      <x:c r="P744" s="87" t="str">
        <x:v>cde7de2711ffa50a9e03cc1bd7b868994eda574723e9fc03219e0465d8e1da60</x:v>
      </x:c>
      <x:c r="Q744" s="30" t="str">
        <x:v>incoming/raw/recovery-drop-01/physics_egkr_spring_visual_assets_v100.zip!/pages/VIS-EGKR-PHY-S26-TASK-954-P006.png</x:v>
      </x:c>
      <x:c r="R744" s="30" t="str">
        <x:v>MATCHED_ASSET</x:v>
      </x:c>
      <x:c r="S744" t="e">
        <x:f>HYPERLINK("visual_gallery/index.html#"&amp;A744,"Галерея")</x:f>
      </x:c>
    </x:row>
    <x:row r="745">
      <x:c r="A745" s="87" t="str">
        <x:v>VIS-EGKR-PHY-S26-TASK-954-P007</x:v>
      </x:c>
      <x:c r="B745" s="30" t="str">
        <x:v>Физика</x:v>
      </x:c>
      <x:c r="C745" s="30"/>
      <x:c r="D745" s="30" t="str">
        <x:v>954</x:v>
      </x:c>
      <x:c r="E745" s="87" t="str">
        <x:v>TASK</x:v>
      </x:c>
      <x:c r="F745" s="30" t="str">
        <x:v>954_вариант_ФИЗ_26.03.pdf</x:v>
      </x:c>
      <x:c r="G745" s="87" t="str">
        <x:v>7</x:v>
      </x:c>
      <x:c r="H745" s="87" t="str">
        <x:v>v1.00</x:v>
      </x:c>
      <x:c r="I745" s="87" t="str">
        <x:v>2</x:v>
      </x:c>
      <x:c r="J745" s="30" t="str">
        <x:v>VIS_ID</x:v>
      </x:c>
      <x:c r="K745" s="30" t="str">
        <x:v>EGKR-S26-PHY-954-16, EGKR-S26-PHY-954-17</x:v>
      </x:c>
      <x:c r="L745" s="87" t="str">
        <x:v>CROP_VERIFIED</x:v>
      </x:c>
      <x:c r="M745" s="87" t="str">
        <x:v>ORIGINAL_PACKAGE</x:v>
      </x:c>
      <x:c r="N745" s="87" t="str">
        <x:v>pages/VIS-EGKR-PHY-S26-TASK-954-P007.png</x:v>
      </x:c>
      <x:c r="O745" s="87" t="str">
        <x:v>thumbnails/VIS-EGKR-PHY-S26-TASK-954-P007.jpg</x:v>
      </x:c>
      <x:c r="P745" s="87" t="str">
        <x:v>82fc1b3a1324b04780613377940a8969cae17f98d51a1cb13eca097ac6251120</x:v>
      </x:c>
      <x:c r="Q745" s="30" t="str">
        <x:v>incoming/raw/recovery-drop-01/physics_egkr_spring_visual_assets_v100.zip!/pages/VIS-EGKR-PHY-S26-TASK-954-P007.png</x:v>
      </x:c>
      <x:c r="R745" s="30" t="str">
        <x:v>MATCHED_ASSET</x:v>
      </x:c>
      <x:c r="S745" t="e">
        <x:f>HYPERLINK("visual_gallery/index.html#"&amp;A745,"Галерея")</x:f>
      </x:c>
    </x:row>
    <x:row r="746">
      <x:c r="A746" s="87" t="str">
        <x:v>VIS-EGKR-PHY-S26-TASK-954-P008</x:v>
      </x:c>
      <x:c r="B746" s="30" t="str">
        <x:v>Физика</x:v>
      </x:c>
      <x:c r="C746" s="30"/>
      <x:c r="D746" s="30" t="str">
        <x:v>954</x:v>
      </x:c>
      <x:c r="E746" s="87" t="str">
        <x:v>TASK</x:v>
      </x:c>
      <x:c r="F746" s="30" t="str">
        <x:v>954_вариант_ФИЗ_26.03.pdf</x:v>
      </x:c>
      <x:c r="G746" s="87" t="str">
        <x:v>8</x:v>
      </x:c>
      <x:c r="H746" s="87" t="str">
        <x:v>v1.00</x:v>
      </x:c>
      <x:c r="I746" s="87" t="str">
        <x:v>1</x:v>
      </x:c>
      <x:c r="J746" s="30" t="str">
        <x:v>VIS_ID</x:v>
      </x:c>
      <x:c r="K746" s="30" t="str">
        <x:v>EGKR-S26-PHY-954-18</x:v>
      </x:c>
      <x:c r="L746" s="87" t="str">
        <x:v>CROP_VERIFIED</x:v>
      </x:c>
      <x:c r="M746" s="87" t="str">
        <x:v>ORIGINAL_PACKAGE</x:v>
      </x:c>
      <x:c r="N746" s="87" t="str">
        <x:v>pages/VIS-EGKR-PHY-S26-TASK-954-P008.png</x:v>
      </x:c>
      <x:c r="O746" s="87" t="str">
        <x:v>thumbnails/VIS-EGKR-PHY-S26-TASK-954-P008.jpg</x:v>
      </x:c>
      <x:c r="P746" s="87" t="str">
        <x:v>6bb0725c35a5cc734668c28bcdec15f73ad8e998eb403c4d51d1c9813a17e374</x:v>
      </x:c>
      <x:c r="Q746" s="30" t="str">
        <x:v>incoming/raw/recovery-drop-01/physics_egkr_spring_visual_assets_v100.zip!/pages/VIS-EGKR-PHY-S26-TASK-954-P008.png</x:v>
      </x:c>
      <x:c r="R746" s="30" t="str">
        <x:v>MATCHED_ASSET</x:v>
      </x:c>
      <x:c r="S746" t="e">
        <x:f>HYPERLINK("visual_gallery/index.html#"&amp;A746,"Галерея")</x:f>
      </x:c>
    </x:row>
    <x:row r="747">
      <x:c r="A747" s="87" t="str">
        <x:v>VIS-EGKR-PHY-S26-TASK-954-P009</x:v>
      </x:c>
      <x:c r="B747" s="30" t="str">
        <x:v>Физика</x:v>
      </x:c>
      <x:c r="C747" s="30"/>
      <x:c r="D747" s="30" t="str">
        <x:v>954</x:v>
      </x:c>
      <x:c r="E747" s="87" t="str">
        <x:v>TASK</x:v>
      </x:c>
      <x:c r="F747" s="30" t="str">
        <x:v>954_вариант_ФИЗ_26.03.pdf</x:v>
      </x:c>
      <x:c r="G747" s="87" t="str">
        <x:v>9</x:v>
      </x:c>
      <x:c r="H747" s="87" t="str">
        <x:v>v1.00</x:v>
      </x:c>
      <x:c r="I747" s="87" t="str">
        <x:v>2</x:v>
      </x:c>
      <x:c r="J747" s="30" t="str">
        <x:v>VIS_ID</x:v>
      </x:c>
      <x:c r="K747" s="30" t="str">
        <x:v>EGKR-S26-PHY-954-19, EGKR-S26-PHY-954-20</x:v>
      </x:c>
      <x:c r="L747" s="87" t="str">
        <x:v>CROP_VERIFIED</x:v>
      </x:c>
      <x:c r="M747" s="87" t="str">
        <x:v>ORIGINAL_PACKAGE</x:v>
      </x:c>
      <x:c r="N747" s="87" t="str">
        <x:v>pages/VIS-EGKR-PHY-S26-TASK-954-P009.png</x:v>
      </x:c>
      <x:c r="O747" s="87" t="str">
        <x:v>thumbnails/VIS-EGKR-PHY-S26-TASK-954-P009.jpg</x:v>
      </x:c>
      <x:c r="P747" s="87" t="str">
        <x:v>fc0acabe99a08a8819abeccd467d7cf3f20ea496dcdde5465d9383f626c3a70c</x:v>
      </x:c>
      <x:c r="Q747" s="30" t="str">
        <x:v>incoming/raw/recovery-drop-01/physics_egkr_spring_visual_assets_v100.zip!/pages/VIS-EGKR-PHY-S26-TASK-954-P009.png</x:v>
      </x:c>
      <x:c r="R747" s="30" t="str">
        <x:v>MATCHED_ASSET</x:v>
      </x:c>
      <x:c r="S747" t="e">
        <x:f>HYPERLINK("visual_gallery/index.html#"&amp;A747,"Галерея")</x:f>
      </x:c>
    </x:row>
    <x:row r="748">
      <x:c r="A748" s="87" t="str">
        <x:v>VIS-EGKR-PHY-S26-TASK-954-P010</x:v>
      </x:c>
      <x:c r="B748" s="30" t="str">
        <x:v>Физика</x:v>
      </x:c>
      <x:c r="C748" s="30"/>
      <x:c r="D748" s="30" t="str">
        <x:v>954</x:v>
      </x:c>
      <x:c r="E748" s="87" t="str">
        <x:v>TASK</x:v>
      </x:c>
      <x:c r="F748" s="30" t="str">
        <x:v>954_вариант_ФИЗ_26.03.pdf</x:v>
      </x:c>
      <x:c r="G748" s="87" t="str">
        <x:v>10</x:v>
      </x:c>
      <x:c r="H748" s="87" t="str">
        <x:v>v1.00</x:v>
      </x:c>
      <x:c r="I748" s="87" t="str">
        <x:v>3</x:v>
      </x:c>
      <x:c r="J748" s="30" t="str">
        <x:v>VIS_ID</x:v>
      </x:c>
      <x:c r="K748" s="30" t="str">
        <x:v>EGKR-S26-PHY-954-21, EGKR-S26-PHY-954-22, EGKR-S26-PHY-954-23</x:v>
      </x:c>
      <x:c r="L748" s="87" t="str">
        <x:v>CROP_VERIFIED</x:v>
      </x:c>
      <x:c r="M748" s="87" t="str">
        <x:v>ORIGINAL_PACKAGE</x:v>
      </x:c>
      <x:c r="N748" s="87" t="str">
        <x:v>pages/VIS-EGKR-PHY-S26-TASK-954-P010.png</x:v>
      </x:c>
      <x:c r="O748" s="87" t="str">
        <x:v>thumbnails/VIS-EGKR-PHY-S26-TASK-954-P010.jpg</x:v>
      </x:c>
      <x:c r="P748" s="87" t="str">
        <x:v>fe3165166815385ea183beba1290795a0edcfb7c2fd9c01580ad474cbb39fa9e</x:v>
      </x:c>
      <x:c r="Q748" s="30" t="str">
        <x:v>incoming/raw/recovery-drop-01/physics_egkr_spring_visual_assets_v100.zip!/pages/VIS-EGKR-PHY-S26-TASK-954-P010.png</x:v>
      </x:c>
      <x:c r="R748" s="30" t="str">
        <x:v>MATCHED_ASSET</x:v>
      </x:c>
      <x:c r="S748" t="e">
        <x:f>HYPERLINK("visual_gallery/index.html#"&amp;A748,"Галерея")</x:f>
      </x:c>
    </x:row>
    <x:row r="749">
      <x:c r="A749" s="87" t="str">
        <x:v>VIS-EGKR-PHY-S26-TASK-954-P011</x:v>
      </x:c>
      <x:c r="B749" s="30" t="str">
        <x:v>Физика</x:v>
      </x:c>
      <x:c r="C749" s="30"/>
      <x:c r="D749" s="30" t="str">
        <x:v>954</x:v>
      </x:c>
      <x:c r="E749" s="87" t="str">
        <x:v>TASK</x:v>
      </x:c>
      <x:c r="F749" s="30" t="str">
        <x:v>954_вариант_ФИЗ_26.03.pdf</x:v>
      </x:c>
      <x:c r="G749" s="87" t="str">
        <x:v>11</x:v>
      </x:c>
      <x:c r="H749" s="87" t="str">
        <x:v>v1.00</x:v>
      </x:c>
      <x:c r="I749" s="87" t="str">
        <x:v>3</x:v>
      </x:c>
      <x:c r="J749" s="30" t="str">
        <x:v>VIS_ID</x:v>
      </x:c>
      <x:c r="K749" s="30" t="str">
        <x:v>EGKR-S26-PHY-954-24, EGKR-S26-PHY-954-25, EGKR-S26-PHY-954-26</x:v>
      </x:c>
      <x:c r="L749" s="87" t="str">
        <x:v>CROP_VERIFIED</x:v>
      </x:c>
      <x:c r="M749" s="87" t="str">
        <x:v>ORIGINAL_PACKAGE</x:v>
      </x:c>
      <x:c r="N749" s="87" t="str">
        <x:v>pages/VIS-EGKR-PHY-S26-TASK-954-P011.png</x:v>
      </x:c>
      <x:c r="O749" s="87" t="str">
        <x:v>thumbnails/VIS-EGKR-PHY-S26-TASK-954-P011.jpg</x:v>
      </x:c>
      <x:c r="P749" s="87" t="str">
        <x:v>f023f9e0105b442c4a0321d469b28ae25331458a6dafe784c25556f7ba790e0a</x:v>
      </x:c>
      <x:c r="Q749" s="30" t="str">
        <x:v>incoming/raw/recovery-drop-01/physics_egkr_spring_visual_assets_v100.zip!/pages/VIS-EGKR-PHY-S26-TASK-954-P011.png</x:v>
      </x:c>
      <x:c r="R749" s="30" t="str">
        <x:v>MATCHED_ASSET</x:v>
      </x:c>
      <x:c r="S749" t="e">
        <x:f>HYPERLINK("visual_gallery/index.html#"&amp;A749,"Галерея")</x:f>
      </x:c>
    </x:row>
    <x:row r="750">
      <x:c r="A750" s="87" t="str">
        <x:v>VIS-EGKR-PHY-S26-TASK-955-P001</x:v>
      </x:c>
      <x:c r="B750" s="30" t="str">
        <x:v>Физика</x:v>
      </x:c>
      <x:c r="C750" s="30"/>
      <x:c r="D750" s="30" t="str">
        <x:v>955</x:v>
      </x:c>
      <x:c r="E750" s="87" t="str">
        <x:v>TASK</x:v>
      </x:c>
      <x:c r="F750" s="30" t="str">
        <x:v>955_вариант_ФИЗ_26.03_полный.pdf</x:v>
      </x:c>
      <x:c r="G750" s="87" t="str">
        <x:v>1</x:v>
      </x:c>
      <x:c r="H750" s="87" t="str">
        <x:v>v1.00</x:v>
      </x:c>
      <x:c r="I750" s="87" t="str">
        <x:v>3</x:v>
      </x:c>
      <x:c r="J750" s="30" t="str">
        <x:v>VIS_ID</x:v>
      </x:c>
      <x:c r="K750" s="30" t="str">
        <x:v>EGKR-S26-PHY-955-01, EGKR-S26-PHY-955-02, EGKR-S26-PHY-955-03</x:v>
      </x:c>
      <x:c r="L750" s="87" t="str">
        <x:v>CROP_VERIFIED</x:v>
      </x:c>
      <x:c r="M750" s="87" t="str">
        <x:v>ORIGINAL_PACKAGE</x:v>
      </x:c>
      <x:c r="N750" s="87" t="str">
        <x:v>pages/VIS-EGKR-PHY-S26-TASK-955-P001.png</x:v>
      </x:c>
      <x:c r="O750" s="87" t="str">
        <x:v>thumbnails/VIS-EGKR-PHY-S26-TASK-955-P001.jpg</x:v>
      </x:c>
      <x:c r="P750" s="87" t="str">
        <x:v>104e529cfbe29c30f2dd3e99674929e2f91b134a67b218ab4deca21ecb97debe</x:v>
      </x:c>
      <x:c r="Q750" s="30" t="str">
        <x:v>incoming/raw/recovery-drop-01/physics_egkr_spring_visual_assets_v100.zip!/pages/VIS-EGKR-PHY-S26-TASK-955-P001.png</x:v>
      </x:c>
      <x:c r="R750" s="30" t="str">
        <x:v>MATCHED_ASSET</x:v>
      </x:c>
      <x:c r="S750" t="e">
        <x:f>HYPERLINK("visual_gallery/index.html#"&amp;A750,"Галерея")</x:f>
      </x:c>
    </x:row>
    <x:row r="751">
      <x:c r="A751" s="87" t="str">
        <x:v>VIS-EGKR-PHY-S26-TASK-955-P002</x:v>
      </x:c>
      <x:c r="B751" s="30" t="str">
        <x:v>Физика</x:v>
      </x:c>
      <x:c r="C751" s="30"/>
      <x:c r="D751" s="30" t="str">
        <x:v>955</x:v>
      </x:c>
      <x:c r="E751" s="87" t="str">
        <x:v>TASK</x:v>
      </x:c>
      <x:c r="F751" s="30" t="str">
        <x:v>955_вариант_ФИЗ_26.03_полный.pdf</x:v>
      </x:c>
      <x:c r="G751" s="87" t="str">
        <x:v>2</x:v>
      </x:c>
      <x:c r="H751" s="87" t="str">
        <x:v>v1.00</x:v>
      </x:c>
      <x:c r="I751" s="87" t="str">
        <x:v>2</x:v>
      </x:c>
      <x:c r="J751" s="30" t="str">
        <x:v>VIS_ID</x:v>
      </x:c>
      <x:c r="K751" s="30" t="str">
        <x:v>EGKR-S26-PHY-955-04, EGKR-S26-PHY-955-05</x:v>
      </x:c>
      <x:c r="L751" s="87" t="str">
        <x:v>CROP_VERIFIED</x:v>
      </x:c>
      <x:c r="M751" s="87" t="str">
        <x:v>ORIGINAL_PACKAGE</x:v>
      </x:c>
      <x:c r="N751" s="87" t="str">
        <x:v>pages/VIS-EGKR-PHY-S26-TASK-955-P002.png</x:v>
      </x:c>
      <x:c r="O751" s="87" t="str">
        <x:v>thumbnails/VIS-EGKR-PHY-S26-TASK-955-P002.jpg</x:v>
      </x:c>
      <x:c r="P751" s="87" t="str">
        <x:v>3d6aece2d097478e11418852a218bc85ec04fb2959ce46ccc618d76a63758493</x:v>
      </x:c>
      <x:c r="Q751" s="30" t="str">
        <x:v>incoming/raw/recovery-drop-01/physics_egkr_spring_visual_assets_v100.zip!/pages/VIS-EGKR-PHY-S26-TASK-955-P002.png</x:v>
      </x:c>
      <x:c r="R751" s="30" t="str">
        <x:v>MATCHED_ASSET</x:v>
      </x:c>
      <x:c r="S751" t="e">
        <x:f>HYPERLINK("visual_gallery/index.html#"&amp;A751,"Галерея")</x:f>
      </x:c>
    </x:row>
    <x:row r="752">
      <x:c r="A752" s="87" t="str">
        <x:v>VIS-EGKR-PHY-S26-TASK-955-P003</x:v>
      </x:c>
      <x:c r="B752" s="30" t="str">
        <x:v>Физика</x:v>
      </x:c>
      <x:c r="C752" s="30"/>
      <x:c r="D752" s="30" t="str">
        <x:v>955</x:v>
      </x:c>
      <x:c r="E752" s="87" t="str">
        <x:v>TASK</x:v>
      </x:c>
      <x:c r="F752" s="30" t="str">
        <x:v>955_вариант_ФИЗ_26.03_полный.pdf</x:v>
      </x:c>
      <x:c r="G752" s="87" t="str">
        <x:v>3</x:v>
      </x:c>
      <x:c r="H752" s="87" t="str">
        <x:v>v1.00</x:v>
      </x:c>
      <x:c r="I752" s="87" t="str">
        <x:v>2</x:v>
      </x:c>
      <x:c r="J752" s="30" t="str">
        <x:v>VIS_ID</x:v>
      </x:c>
      <x:c r="K752" s="30" t="str">
        <x:v>EGKR-S26-PHY-955-06, EGKR-S26-PHY-955-07</x:v>
      </x:c>
      <x:c r="L752" s="87" t="str">
        <x:v>CROP_VERIFIED</x:v>
      </x:c>
      <x:c r="M752" s="87" t="str">
        <x:v>ORIGINAL_PACKAGE</x:v>
      </x:c>
      <x:c r="N752" s="87" t="str">
        <x:v>pages/VIS-EGKR-PHY-S26-TASK-955-P003.png</x:v>
      </x:c>
      <x:c r="O752" s="87" t="str">
        <x:v>thumbnails/VIS-EGKR-PHY-S26-TASK-955-P003.jpg</x:v>
      </x:c>
      <x:c r="P752" s="87" t="str">
        <x:v>547b93b55807288b74a2905e7ce67fb7062f9538f204f7079c06a44defb73e51</x:v>
      </x:c>
      <x:c r="Q752" s="30" t="str">
        <x:v>incoming/raw/recovery-drop-01/physics_egkr_spring_visual_assets_v100.zip!/pages/VIS-EGKR-PHY-S26-TASK-955-P003.png</x:v>
      </x:c>
      <x:c r="R752" s="30" t="str">
        <x:v>MATCHED_ASSET</x:v>
      </x:c>
      <x:c r="S752" t="e">
        <x:f>HYPERLINK("visual_gallery/index.html#"&amp;A752,"Галерея")</x:f>
      </x:c>
    </x:row>
    <x:row r="753">
      <x:c r="A753" s="87" t="str">
        <x:v>VIS-EGKR-PHY-S26-TASK-955-P004</x:v>
      </x:c>
      <x:c r="B753" s="30" t="str">
        <x:v>Физика</x:v>
      </x:c>
      <x:c r="C753" s="30"/>
      <x:c r="D753" s="30" t="str">
        <x:v>955</x:v>
      </x:c>
      <x:c r="E753" s="87" t="str">
        <x:v>TASK</x:v>
      </x:c>
      <x:c r="F753" s="30" t="str">
        <x:v>955_вариант_ФИЗ_26.03_полный.pdf</x:v>
      </x:c>
      <x:c r="G753" s="87" t="str">
        <x:v>4</x:v>
      </x:c>
      <x:c r="H753" s="87" t="str">
        <x:v>v1.00</x:v>
      </x:c>
      <x:c r="I753" s="87" t="str">
        <x:v>3</x:v>
      </x:c>
      <x:c r="J753" s="30" t="str">
        <x:v>VIS_ID</x:v>
      </x:c>
      <x:c r="K753" s="30" t="str">
        <x:v>EGKR-S26-PHY-955-08, EGKR-S26-PHY-955-09, EGKR-S26-PHY-955-10</x:v>
      </x:c>
      <x:c r="L753" s="87" t="str">
        <x:v>CROP_VERIFIED</x:v>
      </x:c>
      <x:c r="M753" s="87" t="str">
        <x:v>ORIGINAL_PACKAGE</x:v>
      </x:c>
      <x:c r="N753" s="87" t="str">
        <x:v>pages/VIS-EGKR-PHY-S26-TASK-955-P004.png</x:v>
      </x:c>
      <x:c r="O753" s="87" t="str">
        <x:v>thumbnails/VIS-EGKR-PHY-S26-TASK-955-P004.jpg</x:v>
      </x:c>
      <x:c r="P753" s="87" t="str">
        <x:v>b7d8380ca1476375e8f71004e5a823d2dec6fa9173bac59b46e3898ca312b4bb</x:v>
      </x:c>
      <x:c r="Q753" s="30" t="str">
        <x:v>incoming/raw/recovery-drop-01/physics_egkr_spring_visual_assets_v100.zip!/pages/VIS-EGKR-PHY-S26-TASK-955-P004.png</x:v>
      </x:c>
      <x:c r="R753" s="30" t="str">
        <x:v>MATCHED_ASSET</x:v>
      </x:c>
      <x:c r="S753" t="e">
        <x:f>HYPERLINK("visual_gallery/index.html#"&amp;A753,"Галерея")</x:f>
      </x:c>
    </x:row>
    <x:row r="754">
      <x:c r="A754" s="87" t="str">
        <x:v>VIS-EGKR-PHY-S26-TASK-955-P005</x:v>
      </x:c>
      <x:c r="B754" s="30" t="str">
        <x:v>Физика</x:v>
      </x:c>
      <x:c r="C754" s="30"/>
      <x:c r="D754" s="30" t="str">
        <x:v>955</x:v>
      </x:c>
      <x:c r="E754" s="87" t="str">
        <x:v>TASK</x:v>
      </x:c>
      <x:c r="F754" s="30" t="str">
        <x:v>955_вариант_ФИЗ_26.03_полный.pdf</x:v>
      </x:c>
      <x:c r="G754" s="87" t="str">
        <x:v>5</x:v>
      </x:c>
      <x:c r="H754" s="87" t="str">
        <x:v>v1.00</x:v>
      </x:c>
      <x:c r="I754" s="87" t="str">
        <x:v>3</x:v>
      </x:c>
      <x:c r="J754" s="30" t="str">
        <x:v>VIS_ID</x:v>
      </x:c>
      <x:c r="K754" s="30" t="str">
        <x:v>EGKR-S26-PHY-955-11, EGKR-S26-PHY-955-12, EGKR-S26-PHY-955-13</x:v>
      </x:c>
      <x:c r="L754" s="87" t="str">
        <x:v>CROP_VERIFIED</x:v>
      </x:c>
      <x:c r="M754" s="87" t="str">
        <x:v>ORIGINAL_PACKAGE</x:v>
      </x:c>
      <x:c r="N754" s="87" t="str">
        <x:v>pages/VIS-EGKR-PHY-S26-TASK-955-P005.png</x:v>
      </x:c>
      <x:c r="O754" s="87" t="str">
        <x:v>thumbnails/VIS-EGKR-PHY-S26-TASK-955-P005.jpg</x:v>
      </x:c>
      <x:c r="P754" s="87" t="str">
        <x:v>f31f6222a40d526924644ebd969b81ffb8bdcfadaf9b4c57528ec50d07bf7a5c</x:v>
      </x:c>
      <x:c r="Q754" s="30" t="str">
        <x:v>incoming/raw/recovery-drop-01/physics_egkr_spring_visual_assets_v100.zip!/pages/VIS-EGKR-PHY-S26-TASK-955-P005.png</x:v>
      </x:c>
      <x:c r="R754" s="30" t="str">
        <x:v>MATCHED_ASSET</x:v>
      </x:c>
      <x:c r="S754" t="e">
        <x:f>HYPERLINK("visual_gallery/index.html#"&amp;A754,"Галерея")</x:f>
      </x:c>
    </x:row>
    <x:row r="755">
      <x:c r="A755" s="87" t="str">
        <x:v>VIS-EGKR-PHY-S26-TASK-955-P006</x:v>
      </x:c>
      <x:c r="B755" s="30" t="str">
        <x:v>Физика</x:v>
      </x:c>
      <x:c r="C755" s="30"/>
      <x:c r="D755" s="30" t="str">
        <x:v>955</x:v>
      </x:c>
      <x:c r="E755" s="87" t="str">
        <x:v>TASK</x:v>
      </x:c>
      <x:c r="F755" s="30" t="str">
        <x:v>955_вариант_ФИЗ_26.03_полный.pdf</x:v>
      </x:c>
      <x:c r="G755" s="87" t="str">
        <x:v>6</x:v>
      </x:c>
      <x:c r="H755" s="87" t="str">
        <x:v>v1.00</x:v>
      </x:c>
      <x:c r="I755" s="87" t="str">
        <x:v>2</x:v>
      </x:c>
      <x:c r="J755" s="30" t="str">
        <x:v>VIS_ID</x:v>
      </x:c>
      <x:c r="K755" s="30" t="str">
        <x:v>EGKR-S26-PHY-955-14, EGKR-S26-PHY-955-15</x:v>
      </x:c>
      <x:c r="L755" s="87" t="str">
        <x:v>CROP_VERIFIED</x:v>
      </x:c>
      <x:c r="M755" s="87" t="str">
        <x:v>ORIGINAL_PACKAGE</x:v>
      </x:c>
      <x:c r="N755" s="87" t="str">
        <x:v>pages/VIS-EGKR-PHY-S26-TASK-955-P006.png</x:v>
      </x:c>
      <x:c r="O755" s="87" t="str">
        <x:v>thumbnails/VIS-EGKR-PHY-S26-TASK-955-P006.jpg</x:v>
      </x:c>
      <x:c r="P755" s="87" t="str">
        <x:v>267dbf1c2ae077f15a3b24288cebd16cd3b49e245c7f420e0d8db120f81c6ffb</x:v>
      </x:c>
      <x:c r="Q755" s="30" t="str">
        <x:v>incoming/raw/recovery-drop-01/physics_egkr_spring_visual_assets_v100.zip!/pages/VIS-EGKR-PHY-S26-TASK-955-P006.png</x:v>
      </x:c>
      <x:c r="R755" s="30" t="str">
        <x:v>MATCHED_ASSET</x:v>
      </x:c>
      <x:c r="S755" t="e">
        <x:f>HYPERLINK("visual_gallery/index.html#"&amp;A755,"Галерея")</x:f>
      </x:c>
    </x:row>
    <x:row r="756">
      <x:c r="A756" s="87" t="str">
        <x:v>VIS-EGKR-PHY-S26-TASK-955-P007</x:v>
      </x:c>
      <x:c r="B756" s="30" t="str">
        <x:v>Физика</x:v>
      </x:c>
      <x:c r="C756" s="30"/>
      <x:c r="D756" s="30" t="str">
        <x:v>955</x:v>
      </x:c>
      <x:c r="E756" s="87" t="str">
        <x:v>TASK</x:v>
      </x:c>
      <x:c r="F756" s="30" t="str">
        <x:v>955_вариант_ФИЗ_26.03_полный.pdf</x:v>
      </x:c>
      <x:c r="G756" s="87" t="str">
        <x:v>7</x:v>
      </x:c>
      <x:c r="H756" s="87" t="str">
        <x:v>v1.00</x:v>
      </x:c>
      <x:c r="I756" s="87" t="str">
        <x:v>2</x:v>
      </x:c>
      <x:c r="J756" s="30" t="str">
        <x:v>VIS_ID</x:v>
      </x:c>
      <x:c r="K756" s="30" t="str">
        <x:v>EGKR-S26-PHY-955-16, EGKR-S26-PHY-955-17</x:v>
      </x:c>
      <x:c r="L756" s="87" t="str">
        <x:v>CROP_VERIFIED</x:v>
      </x:c>
      <x:c r="M756" s="87" t="str">
        <x:v>ORIGINAL_PACKAGE</x:v>
      </x:c>
      <x:c r="N756" s="87" t="str">
        <x:v>pages/VIS-EGKR-PHY-S26-TASK-955-P007.png</x:v>
      </x:c>
      <x:c r="O756" s="87" t="str">
        <x:v>thumbnails/VIS-EGKR-PHY-S26-TASK-955-P007.jpg</x:v>
      </x:c>
      <x:c r="P756" s="87" t="str">
        <x:v>c2606fcfc0700b2240edf41a5c9e012d31cb2fb41cee92485931231833310182</x:v>
      </x:c>
      <x:c r="Q756" s="30" t="str">
        <x:v>incoming/raw/recovery-drop-01/physics_egkr_spring_visual_assets_v100.zip!/pages/VIS-EGKR-PHY-S26-TASK-955-P007.png</x:v>
      </x:c>
      <x:c r="R756" s="30" t="str">
        <x:v>MATCHED_ASSET</x:v>
      </x:c>
      <x:c r="S756" t="e">
        <x:f>HYPERLINK("visual_gallery/index.html#"&amp;A756,"Галерея")</x:f>
      </x:c>
    </x:row>
    <x:row r="757">
      <x:c r="A757" s="87" t="str">
        <x:v>VIS-EGKR-PHY-S26-TASK-955-P008</x:v>
      </x:c>
      <x:c r="B757" s="30" t="str">
        <x:v>Физика</x:v>
      </x:c>
      <x:c r="C757" s="30"/>
      <x:c r="D757" s="30" t="str">
        <x:v>955</x:v>
      </x:c>
      <x:c r="E757" s="87" t="str">
        <x:v>TASK</x:v>
      </x:c>
      <x:c r="F757" s="30" t="str">
        <x:v>955_вариант_ФИЗ_26.03_полный.pdf</x:v>
      </x:c>
      <x:c r="G757" s="87" t="str">
        <x:v>8</x:v>
      </x:c>
      <x:c r="H757" s="87" t="str">
        <x:v>v1.00</x:v>
      </x:c>
      <x:c r="I757" s="87" t="str">
        <x:v>1</x:v>
      </x:c>
      <x:c r="J757" s="30" t="str">
        <x:v>VIS_ID</x:v>
      </x:c>
      <x:c r="K757" s="30" t="str">
        <x:v>EGKR-S26-PHY-955-18</x:v>
      </x:c>
      <x:c r="L757" s="87" t="str">
        <x:v>CROP_VERIFIED</x:v>
      </x:c>
      <x:c r="M757" s="87" t="str">
        <x:v>ORIGINAL_PACKAGE</x:v>
      </x:c>
      <x:c r="N757" s="87" t="str">
        <x:v>pages/VIS-EGKR-PHY-S26-TASK-955-P008.png</x:v>
      </x:c>
      <x:c r="O757" s="87" t="str">
        <x:v>thumbnails/VIS-EGKR-PHY-S26-TASK-955-P008.jpg</x:v>
      </x:c>
      <x:c r="P757" s="87" t="str">
        <x:v>33522780c84d9611f7d3800c52c425f81d12c4f3c871e5d2f9dc735f17791880</x:v>
      </x:c>
      <x:c r="Q757" s="30" t="str">
        <x:v>incoming/raw/recovery-drop-01/physics_egkr_spring_visual_assets_v100.zip!/pages/VIS-EGKR-PHY-S26-TASK-955-P008.png</x:v>
      </x:c>
      <x:c r="R757" s="30" t="str">
        <x:v>MATCHED_ASSET</x:v>
      </x:c>
      <x:c r="S757" t="e">
        <x:f>HYPERLINK("visual_gallery/index.html#"&amp;A757,"Галерея")</x:f>
      </x:c>
    </x:row>
    <x:row r="758">
      <x:c r="A758" s="87" t="str">
        <x:v>VIS-EGKR-PHY-S26-TASK-955-P009</x:v>
      </x:c>
      <x:c r="B758" s="30" t="str">
        <x:v>Физика</x:v>
      </x:c>
      <x:c r="C758" s="30"/>
      <x:c r="D758" s="30" t="str">
        <x:v>955</x:v>
      </x:c>
      <x:c r="E758" s="87" t="str">
        <x:v>TASK</x:v>
      </x:c>
      <x:c r="F758" s="30" t="str">
        <x:v>955_вариант_ФИЗ_26.03_полный.pdf</x:v>
      </x:c>
      <x:c r="G758" s="87" t="str">
        <x:v>9</x:v>
      </x:c>
      <x:c r="H758" s="87" t="str">
        <x:v>v1.00</x:v>
      </x:c>
      <x:c r="I758" s="87" t="str">
        <x:v>2</x:v>
      </x:c>
      <x:c r="J758" s="30" t="str">
        <x:v>VIS_ID</x:v>
      </x:c>
      <x:c r="K758" s="30" t="str">
        <x:v>EGKR-S26-PHY-955-19, EGKR-S26-PHY-955-20</x:v>
      </x:c>
      <x:c r="L758" s="87" t="str">
        <x:v>CROP_VERIFIED</x:v>
      </x:c>
      <x:c r="M758" s="87" t="str">
        <x:v>ORIGINAL_PACKAGE</x:v>
      </x:c>
      <x:c r="N758" s="87" t="str">
        <x:v>pages/VIS-EGKR-PHY-S26-TASK-955-P009.png</x:v>
      </x:c>
      <x:c r="O758" s="87" t="str">
        <x:v>thumbnails/VIS-EGKR-PHY-S26-TASK-955-P009.jpg</x:v>
      </x:c>
      <x:c r="P758" s="87" t="str">
        <x:v>695eadd9172d4441c352744326e7069391e3c8fc9c0203668cb06238cbee5d0e</x:v>
      </x:c>
      <x:c r="Q758" s="30" t="str">
        <x:v>incoming/raw/recovery-drop-01/physics_egkr_spring_visual_assets_v100.zip!/pages/VIS-EGKR-PHY-S26-TASK-955-P009.png</x:v>
      </x:c>
      <x:c r="R758" s="30" t="str">
        <x:v>MATCHED_ASSET</x:v>
      </x:c>
      <x:c r="S758" t="e">
        <x:f>HYPERLINK("visual_gallery/index.html#"&amp;A758,"Галерея")</x:f>
      </x:c>
    </x:row>
    <x:row r="759">
      <x:c r="A759" s="87" t="str">
        <x:v>VIS-EGKR-PHY-S26-TASK-955-P010</x:v>
      </x:c>
      <x:c r="B759" s="30" t="str">
        <x:v>Физика</x:v>
      </x:c>
      <x:c r="C759" s="30"/>
      <x:c r="D759" s="30" t="str">
        <x:v>955</x:v>
      </x:c>
      <x:c r="E759" s="87" t="str">
        <x:v>TASK</x:v>
      </x:c>
      <x:c r="F759" s="30" t="str">
        <x:v>955_вариант_ФИЗ_26.03_полный.pdf</x:v>
      </x:c>
      <x:c r="G759" s="87" t="str">
        <x:v>10</x:v>
      </x:c>
      <x:c r="H759" s="87" t="str">
        <x:v>v1.00</x:v>
      </x:c>
      <x:c r="I759" s="87" t="str">
        <x:v>3</x:v>
      </x:c>
      <x:c r="J759" s="30" t="str">
        <x:v>VIS_ID</x:v>
      </x:c>
      <x:c r="K759" s="30" t="str">
        <x:v>EGKR-S26-PHY-955-21, EGKR-S26-PHY-955-22, EGKR-S26-PHY-955-23</x:v>
      </x:c>
      <x:c r="L759" s="87" t="str">
        <x:v>CROP_VERIFIED</x:v>
      </x:c>
      <x:c r="M759" s="87" t="str">
        <x:v>ORIGINAL_PACKAGE</x:v>
      </x:c>
      <x:c r="N759" s="87" t="str">
        <x:v>pages/VIS-EGKR-PHY-S26-TASK-955-P010.png</x:v>
      </x:c>
      <x:c r="O759" s="87" t="str">
        <x:v>thumbnails/VIS-EGKR-PHY-S26-TASK-955-P010.jpg</x:v>
      </x:c>
      <x:c r="P759" s="87" t="str">
        <x:v>9c58a0fae2e033696ce4001718581a2f3da71502bef2324f7cbdd31c1617b25c</x:v>
      </x:c>
      <x:c r="Q759" s="30" t="str">
        <x:v>incoming/raw/recovery-drop-01/physics_egkr_spring_visual_assets_v100.zip!/pages/VIS-EGKR-PHY-S26-TASK-955-P010.png</x:v>
      </x:c>
      <x:c r="R759" s="30" t="str">
        <x:v>MATCHED_ASSET</x:v>
      </x:c>
      <x:c r="S759" t="e">
        <x:f>HYPERLINK("visual_gallery/index.html#"&amp;A759,"Галерея")</x:f>
      </x:c>
    </x:row>
    <x:row r="760">
      <x:c r="A760" s="87" t="str">
        <x:v>VIS-EGKR-PHY-S26-TASK-955-P011</x:v>
      </x:c>
      <x:c r="B760" s="30" t="str">
        <x:v>Физика</x:v>
      </x:c>
      <x:c r="C760" s="30"/>
      <x:c r="D760" s="30" t="str">
        <x:v>955</x:v>
      </x:c>
      <x:c r="E760" s="87" t="str">
        <x:v>TASK</x:v>
      </x:c>
      <x:c r="F760" s="30" t="str">
        <x:v>955_вариант_ФИЗ_26.03_полный.pdf</x:v>
      </x:c>
      <x:c r="G760" s="87" t="str">
        <x:v>11</x:v>
      </x:c>
      <x:c r="H760" s="87" t="str">
        <x:v>v1.00</x:v>
      </x:c>
      <x:c r="I760" s="87" t="str">
        <x:v>3</x:v>
      </x:c>
      <x:c r="J760" s="30" t="str">
        <x:v>VIS_ID</x:v>
      </x:c>
      <x:c r="K760" s="30" t="str">
        <x:v>EGKR-S26-PHY-955-24, EGKR-S26-PHY-955-25, EGKR-S26-PHY-955-26</x:v>
      </x:c>
      <x:c r="L760" s="87" t="str">
        <x:v>CROP_VERIFIED</x:v>
      </x:c>
      <x:c r="M760" s="87" t="str">
        <x:v>ORIGINAL_PACKAGE</x:v>
      </x:c>
      <x:c r="N760" s="87" t="str">
        <x:v>pages/VIS-EGKR-PHY-S26-TASK-955-P011.png</x:v>
      </x:c>
      <x:c r="O760" s="87" t="str">
        <x:v>thumbnails/VIS-EGKR-PHY-S26-TASK-955-P011.jpg</x:v>
      </x:c>
      <x:c r="P760" s="87" t="str">
        <x:v>6fc1a0e11446e3aa569ba828839a0eaa468450a5bfc3e53866c336a92980fb6c</x:v>
      </x:c>
      <x:c r="Q760" s="30" t="str">
        <x:v>incoming/raw/recovery-drop-01/physics_egkr_spring_visual_assets_v100.zip!/pages/VIS-EGKR-PHY-S26-TASK-955-P011.png</x:v>
      </x:c>
      <x:c r="R760" s="30" t="str">
        <x:v>MATCHED_ASSET</x:v>
      </x:c>
      <x:c r="S760" t="e">
        <x:f>HYPERLINK("visual_gallery/index.html#"&amp;A760,"Галерея")</x:f>
      </x:c>
    </x:row>
    <x:row r="761">
      <x:c r="A761" s="87" t="str">
        <x:v>VIS-EGKR-PHY-S26-TASK-956-P001</x:v>
      </x:c>
      <x:c r="B761" s="30" t="str">
        <x:v>Физика</x:v>
      </x:c>
      <x:c r="C761" s="30"/>
      <x:c r="D761" s="30" t="str">
        <x:v>956</x:v>
      </x:c>
      <x:c r="E761" s="87" t="str">
        <x:v>TASK</x:v>
      </x:c>
      <x:c r="F761" s="30" t="str">
        <x:v>956_вариант_ФИЗ_26.03.pdf</x:v>
      </x:c>
      <x:c r="G761" s="87" t="str">
        <x:v>1</x:v>
      </x:c>
      <x:c r="H761" s="87" t="str">
        <x:v>v1.00</x:v>
      </x:c>
      <x:c r="I761" s="87" t="str">
        <x:v>3</x:v>
      </x:c>
      <x:c r="J761" s="30" t="str">
        <x:v>VIS_ID</x:v>
      </x:c>
      <x:c r="K761" s="30" t="str">
        <x:v>EGKR-S26-PHY-956-01, EGKR-S26-PHY-956-02, EGKR-S26-PHY-956-03</x:v>
      </x:c>
      <x:c r="L761" s="87" t="str">
        <x:v>CROP_VERIFIED</x:v>
      </x:c>
      <x:c r="M761" s="87" t="str">
        <x:v>ORIGINAL_PACKAGE</x:v>
      </x:c>
      <x:c r="N761" s="87" t="str">
        <x:v>pages/VIS-EGKR-PHY-S26-TASK-956-P001.png</x:v>
      </x:c>
      <x:c r="O761" s="87" t="str">
        <x:v>thumbnails/VIS-EGKR-PHY-S26-TASK-956-P001.jpg</x:v>
      </x:c>
      <x:c r="P761" s="87" t="str">
        <x:v>3bcab81590654677d4dd2ac6ad9033ce900cce64c12348fc804303d4f7fec912</x:v>
      </x:c>
      <x:c r="Q761" s="30" t="str">
        <x:v>incoming/raw/recovery-drop-01/physics_egkr_spring_visual_assets_v100.zip!/pages/VIS-EGKR-PHY-S26-TASK-956-P001.png</x:v>
      </x:c>
      <x:c r="R761" s="30" t="str">
        <x:v>MATCHED_ASSET</x:v>
      </x:c>
      <x:c r="S761" t="e">
        <x:f>HYPERLINK("visual_gallery/index.html#"&amp;A761,"Галерея")</x:f>
      </x:c>
    </x:row>
    <x:row r="762">
      <x:c r="A762" s="87" t="str">
        <x:v>VIS-EGKR-PHY-S26-TASK-956-P002</x:v>
      </x:c>
      <x:c r="B762" s="30" t="str">
        <x:v>Физика</x:v>
      </x:c>
      <x:c r="C762" s="30"/>
      <x:c r="D762" s="30" t="str">
        <x:v>956</x:v>
      </x:c>
      <x:c r="E762" s="87" t="str">
        <x:v>TASK</x:v>
      </x:c>
      <x:c r="F762" s="30" t="str">
        <x:v>956_вариант_ФИЗ_26.03.pdf</x:v>
      </x:c>
      <x:c r="G762" s="87" t="str">
        <x:v>2</x:v>
      </x:c>
      <x:c r="H762" s="87" t="str">
        <x:v>v1.00</x:v>
      </x:c>
      <x:c r="I762" s="87" t="str">
        <x:v>2</x:v>
      </x:c>
      <x:c r="J762" s="30" t="str">
        <x:v>VIS_ID</x:v>
      </x:c>
      <x:c r="K762" s="30" t="str">
        <x:v>EGKR-S26-PHY-956-04, EGKR-S26-PHY-956-05</x:v>
      </x:c>
      <x:c r="L762" s="87" t="str">
        <x:v>CROP_VERIFIED</x:v>
      </x:c>
      <x:c r="M762" s="87" t="str">
        <x:v>ORIGINAL_PACKAGE</x:v>
      </x:c>
      <x:c r="N762" s="87" t="str">
        <x:v>pages/VIS-EGKR-PHY-S26-TASK-956-P002.png</x:v>
      </x:c>
      <x:c r="O762" s="87" t="str">
        <x:v>thumbnails/VIS-EGKR-PHY-S26-TASK-956-P002.jpg</x:v>
      </x:c>
      <x:c r="P762" s="87" t="str">
        <x:v>42c6994751b5667655298b7d47c5b305e7f832ae4d832c365bd945793d55215b</x:v>
      </x:c>
      <x:c r="Q762" s="30" t="str">
        <x:v>incoming/raw/recovery-drop-01/physics_egkr_spring_visual_assets_v100.zip!/pages/VIS-EGKR-PHY-S26-TASK-956-P002.png</x:v>
      </x:c>
      <x:c r="R762" s="30" t="str">
        <x:v>MATCHED_ASSET</x:v>
      </x:c>
      <x:c r="S762" t="e">
        <x:f>HYPERLINK("visual_gallery/index.html#"&amp;A762,"Галерея")</x:f>
      </x:c>
    </x:row>
    <x:row r="763">
      <x:c r="A763" s="87" t="str">
        <x:v>VIS-EGKR-PHY-S26-TASK-956-P003</x:v>
      </x:c>
      <x:c r="B763" s="30" t="str">
        <x:v>Физика</x:v>
      </x:c>
      <x:c r="C763" s="30"/>
      <x:c r="D763" s="30" t="str">
        <x:v>956</x:v>
      </x:c>
      <x:c r="E763" s="87" t="str">
        <x:v>TASK</x:v>
      </x:c>
      <x:c r="F763" s="30" t="str">
        <x:v>956_вариант_ФИЗ_26.03.pdf</x:v>
      </x:c>
      <x:c r="G763" s="87" t="str">
        <x:v>3</x:v>
      </x:c>
      <x:c r="H763" s="87" t="str">
        <x:v>v1.00</x:v>
      </x:c>
      <x:c r="I763" s="87" t="str">
        <x:v>2</x:v>
      </x:c>
      <x:c r="J763" s="30" t="str">
        <x:v>VIS_ID</x:v>
      </x:c>
      <x:c r="K763" s="30" t="str">
        <x:v>EGKR-S26-PHY-956-06, EGKR-S26-PHY-956-07</x:v>
      </x:c>
      <x:c r="L763" s="87" t="str">
        <x:v>CROP_VERIFIED</x:v>
      </x:c>
      <x:c r="M763" s="87" t="str">
        <x:v>ORIGINAL_PACKAGE</x:v>
      </x:c>
      <x:c r="N763" s="87" t="str">
        <x:v>pages/VIS-EGKR-PHY-S26-TASK-956-P003.png</x:v>
      </x:c>
      <x:c r="O763" s="87" t="str">
        <x:v>thumbnails/VIS-EGKR-PHY-S26-TASK-956-P003.jpg</x:v>
      </x:c>
      <x:c r="P763" s="87" t="str">
        <x:v>2162c440d02e36da9eb210e062cf7c2c720055672bb1e2c884527ef6509218d2</x:v>
      </x:c>
      <x:c r="Q763" s="30" t="str">
        <x:v>incoming/raw/recovery-drop-01/physics_egkr_spring_visual_assets_v100.zip!/pages/VIS-EGKR-PHY-S26-TASK-956-P003.png</x:v>
      </x:c>
      <x:c r="R763" s="30" t="str">
        <x:v>MATCHED_ASSET</x:v>
      </x:c>
      <x:c r="S763" t="e">
        <x:f>HYPERLINK("visual_gallery/index.html#"&amp;A763,"Галерея")</x:f>
      </x:c>
    </x:row>
    <x:row r="764">
      <x:c r="A764" s="87" t="str">
        <x:v>VIS-EGKR-PHY-S26-TASK-956-P004</x:v>
      </x:c>
      <x:c r="B764" s="30" t="str">
        <x:v>Физика</x:v>
      </x:c>
      <x:c r="C764" s="30"/>
      <x:c r="D764" s="30" t="str">
        <x:v>956</x:v>
      </x:c>
      <x:c r="E764" s="87" t="str">
        <x:v>TASK</x:v>
      </x:c>
      <x:c r="F764" s="30" t="str">
        <x:v>956_вариант_ФИЗ_26.03.pdf</x:v>
      </x:c>
      <x:c r="G764" s="87" t="str">
        <x:v>4</x:v>
      </x:c>
      <x:c r="H764" s="87" t="str">
        <x:v>v1.00</x:v>
      </x:c>
      <x:c r="I764" s="87" t="str">
        <x:v>3</x:v>
      </x:c>
      <x:c r="J764" s="30" t="str">
        <x:v>VIS_ID</x:v>
      </x:c>
      <x:c r="K764" s="30" t="str">
        <x:v>EGKR-S26-PHY-956-08, EGKR-S26-PHY-956-09, EGKR-S26-PHY-956-10</x:v>
      </x:c>
      <x:c r="L764" s="87" t="str">
        <x:v>CROP_VERIFIED</x:v>
      </x:c>
      <x:c r="M764" s="87" t="str">
        <x:v>ORIGINAL_PACKAGE</x:v>
      </x:c>
      <x:c r="N764" s="87" t="str">
        <x:v>pages/VIS-EGKR-PHY-S26-TASK-956-P004.png</x:v>
      </x:c>
      <x:c r="O764" s="87" t="str">
        <x:v>thumbnails/VIS-EGKR-PHY-S26-TASK-956-P004.jpg</x:v>
      </x:c>
      <x:c r="P764" s="87" t="str">
        <x:v>ef84945f26750317a99cb6f2ffd33961256ee780507440643b18bcacfb0ef0c4</x:v>
      </x:c>
      <x:c r="Q764" s="30" t="str">
        <x:v>incoming/raw/recovery-drop-01/physics_egkr_spring_visual_assets_v100.zip!/pages/VIS-EGKR-PHY-S26-TASK-956-P004.png</x:v>
      </x:c>
      <x:c r="R764" s="30" t="str">
        <x:v>MATCHED_ASSET</x:v>
      </x:c>
      <x:c r="S764" t="e">
        <x:f>HYPERLINK("visual_gallery/index.html#"&amp;A764,"Галерея")</x:f>
      </x:c>
    </x:row>
    <x:row r="765">
      <x:c r="A765" s="87" t="str">
        <x:v>VIS-EGKR-PHY-S26-TASK-956-P005</x:v>
      </x:c>
      <x:c r="B765" s="30" t="str">
        <x:v>Физика</x:v>
      </x:c>
      <x:c r="C765" s="30"/>
      <x:c r="D765" s="30" t="str">
        <x:v>956</x:v>
      </x:c>
      <x:c r="E765" s="87" t="str">
        <x:v>TASK</x:v>
      </x:c>
      <x:c r="F765" s="30" t="str">
        <x:v>956_вариант_ФИЗ_26.03.pdf</x:v>
      </x:c>
      <x:c r="G765" s="87" t="str">
        <x:v>5</x:v>
      </x:c>
      <x:c r="H765" s="87" t="str">
        <x:v>v1.00</x:v>
      </x:c>
      <x:c r="I765" s="87" t="str">
        <x:v>3</x:v>
      </x:c>
      <x:c r="J765" s="30" t="str">
        <x:v>VIS_ID</x:v>
      </x:c>
      <x:c r="K765" s="30" t="str">
        <x:v>EGKR-S26-PHY-956-11, EGKR-S26-PHY-956-12, EGKR-S26-PHY-956-13</x:v>
      </x:c>
      <x:c r="L765" s="87" t="str">
        <x:v>CROP_VERIFIED</x:v>
      </x:c>
      <x:c r="M765" s="87" t="str">
        <x:v>ORIGINAL_PACKAGE</x:v>
      </x:c>
      <x:c r="N765" s="87" t="str">
        <x:v>pages/VIS-EGKR-PHY-S26-TASK-956-P005.png</x:v>
      </x:c>
      <x:c r="O765" s="87" t="str">
        <x:v>thumbnails/VIS-EGKR-PHY-S26-TASK-956-P005.jpg</x:v>
      </x:c>
      <x:c r="P765" s="87" t="str">
        <x:v>01c6f515c14a8a3d8c86ade1b0f9e9670b0c170f1c6f5243ba7b29e82ac1d6c6</x:v>
      </x:c>
      <x:c r="Q765" s="30" t="str">
        <x:v>incoming/raw/recovery-drop-01/physics_egkr_spring_visual_assets_v100.zip!/pages/VIS-EGKR-PHY-S26-TASK-956-P005.png</x:v>
      </x:c>
      <x:c r="R765" s="30" t="str">
        <x:v>MATCHED_ASSET</x:v>
      </x:c>
      <x:c r="S765" t="e">
        <x:f>HYPERLINK("visual_gallery/index.html#"&amp;A765,"Галерея")</x:f>
      </x:c>
    </x:row>
    <x:row r="766">
      <x:c r="A766" s="87" t="str">
        <x:v>VIS-EGKR-PHY-S26-TASK-956-P006</x:v>
      </x:c>
      <x:c r="B766" s="30" t="str">
        <x:v>Физика</x:v>
      </x:c>
      <x:c r="C766" s="30"/>
      <x:c r="D766" s="30" t="str">
        <x:v>956</x:v>
      </x:c>
      <x:c r="E766" s="87" t="str">
        <x:v>TASK</x:v>
      </x:c>
      <x:c r="F766" s="30" t="str">
        <x:v>956_вариант_ФИЗ_26.03.pdf</x:v>
      </x:c>
      <x:c r="G766" s="87" t="str">
        <x:v>6</x:v>
      </x:c>
      <x:c r="H766" s="87" t="str">
        <x:v>v1.00</x:v>
      </x:c>
      <x:c r="I766" s="87" t="str">
        <x:v>2</x:v>
      </x:c>
      <x:c r="J766" s="30" t="str">
        <x:v>VIS_ID</x:v>
      </x:c>
      <x:c r="K766" s="30" t="str">
        <x:v>EGKR-S26-PHY-956-14, EGKR-S26-PHY-956-15</x:v>
      </x:c>
      <x:c r="L766" s="87" t="str">
        <x:v>CROP_VERIFIED</x:v>
      </x:c>
      <x:c r="M766" s="87" t="str">
        <x:v>ORIGINAL_PACKAGE</x:v>
      </x:c>
      <x:c r="N766" s="87" t="str">
        <x:v>pages/VIS-EGKR-PHY-S26-TASK-956-P006.png</x:v>
      </x:c>
      <x:c r="O766" s="87" t="str">
        <x:v>thumbnails/VIS-EGKR-PHY-S26-TASK-956-P006.jpg</x:v>
      </x:c>
      <x:c r="P766" s="87" t="str">
        <x:v>8ec4b0e25ad78639a81bda089582886aca3c78c6cb2b6a260eb984abd6d3c9a1</x:v>
      </x:c>
      <x:c r="Q766" s="30" t="str">
        <x:v>incoming/raw/recovery-drop-01/physics_egkr_spring_visual_assets_v100.zip!/pages/VIS-EGKR-PHY-S26-TASK-956-P006.png</x:v>
      </x:c>
      <x:c r="R766" s="30" t="str">
        <x:v>MATCHED_ASSET</x:v>
      </x:c>
      <x:c r="S766" t="e">
        <x:f>HYPERLINK("visual_gallery/index.html#"&amp;A766,"Галерея")</x:f>
      </x:c>
    </x:row>
    <x:row r="767">
      <x:c r="A767" s="87" t="str">
        <x:v>VIS-EGKR-PHY-S26-TASK-956-P007</x:v>
      </x:c>
      <x:c r="B767" s="30" t="str">
        <x:v>Физика</x:v>
      </x:c>
      <x:c r="C767" s="30"/>
      <x:c r="D767" s="30" t="str">
        <x:v>956</x:v>
      </x:c>
      <x:c r="E767" s="87" t="str">
        <x:v>TASK</x:v>
      </x:c>
      <x:c r="F767" s="30" t="str">
        <x:v>956_вариант_ФИЗ_26.03.pdf</x:v>
      </x:c>
      <x:c r="G767" s="87" t="str">
        <x:v>7</x:v>
      </x:c>
      <x:c r="H767" s="87" t="str">
        <x:v>v1.00</x:v>
      </x:c>
      <x:c r="I767" s="87" t="str">
        <x:v>2</x:v>
      </x:c>
      <x:c r="J767" s="30" t="str">
        <x:v>VIS_ID</x:v>
      </x:c>
      <x:c r="K767" s="30" t="str">
        <x:v>EGKR-S26-PHY-956-16, EGKR-S26-PHY-956-17</x:v>
      </x:c>
      <x:c r="L767" s="87" t="str">
        <x:v>CROP_VERIFIED</x:v>
      </x:c>
      <x:c r="M767" s="87" t="str">
        <x:v>ORIGINAL_PACKAGE</x:v>
      </x:c>
      <x:c r="N767" s="87" t="str">
        <x:v>pages/VIS-EGKR-PHY-S26-TASK-956-P007.png</x:v>
      </x:c>
      <x:c r="O767" s="87" t="str">
        <x:v>thumbnails/VIS-EGKR-PHY-S26-TASK-956-P007.jpg</x:v>
      </x:c>
      <x:c r="P767" s="87" t="str">
        <x:v>b25b2e5b3ec39d37b456eac76444a2fcd4bfee09ff18cd42d99e3aee8a92b665</x:v>
      </x:c>
      <x:c r="Q767" s="30" t="str">
        <x:v>incoming/raw/recovery-drop-01/physics_egkr_spring_visual_assets_v100.zip!/pages/VIS-EGKR-PHY-S26-TASK-956-P007.png</x:v>
      </x:c>
      <x:c r="R767" s="30" t="str">
        <x:v>MATCHED_ASSET</x:v>
      </x:c>
      <x:c r="S767" t="e">
        <x:f>HYPERLINK("visual_gallery/index.html#"&amp;A767,"Галерея")</x:f>
      </x:c>
    </x:row>
    <x:row r="768">
      <x:c r="A768" s="87" t="str">
        <x:v>VIS-EGKR-PHY-S26-TASK-956-P008</x:v>
      </x:c>
      <x:c r="B768" s="30" t="str">
        <x:v>Физика</x:v>
      </x:c>
      <x:c r="C768" s="30"/>
      <x:c r="D768" s="30" t="str">
        <x:v>956</x:v>
      </x:c>
      <x:c r="E768" s="87" t="str">
        <x:v>TASK</x:v>
      </x:c>
      <x:c r="F768" s="30" t="str">
        <x:v>956_вариант_ФИЗ_26.03.pdf</x:v>
      </x:c>
      <x:c r="G768" s="87" t="str">
        <x:v>8</x:v>
      </x:c>
      <x:c r="H768" s="87" t="str">
        <x:v>v1.00</x:v>
      </x:c>
      <x:c r="I768" s="87" t="str">
        <x:v>1</x:v>
      </x:c>
      <x:c r="J768" s="30" t="str">
        <x:v>VIS_ID</x:v>
      </x:c>
      <x:c r="K768" s="30" t="str">
        <x:v>EGKR-S26-PHY-956-18</x:v>
      </x:c>
      <x:c r="L768" s="87" t="str">
        <x:v>CROP_VERIFIED</x:v>
      </x:c>
      <x:c r="M768" s="87" t="str">
        <x:v>ORIGINAL_PACKAGE</x:v>
      </x:c>
      <x:c r="N768" s="87" t="str">
        <x:v>pages/VIS-EGKR-PHY-S26-TASK-956-P008.png</x:v>
      </x:c>
      <x:c r="O768" s="87" t="str">
        <x:v>thumbnails/VIS-EGKR-PHY-S26-TASK-956-P008.jpg</x:v>
      </x:c>
      <x:c r="P768" s="87" t="str">
        <x:v>bba9335aa9a7fd463d028397aaefff447a180fc02a95582b2629230e240175c4</x:v>
      </x:c>
      <x:c r="Q768" s="30" t="str">
        <x:v>incoming/raw/recovery-drop-01/physics_egkr_spring_visual_assets_v100.zip!/pages/VIS-EGKR-PHY-S26-TASK-956-P008.png</x:v>
      </x:c>
      <x:c r="R768" s="30" t="str">
        <x:v>MATCHED_ASSET</x:v>
      </x:c>
      <x:c r="S768" t="e">
        <x:f>HYPERLINK("visual_gallery/index.html#"&amp;A768,"Галерея")</x:f>
      </x:c>
    </x:row>
    <x:row r="769">
      <x:c r="A769" s="87" t="str">
        <x:v>VIS-EGKR-PHY-S26-TASK-956-P009</x:v>
      </x:c>
      <x:c r="B769" s="30" t="str">
        <x:v>Физика</x:v>
      </x:c>
      <x:c r="C769" s="30"/>
      <x:c r="D769" s="30" t="str">
        <x:v>956</x:v>
      </x:c>
      <x:c r="E769" s="87" t="str">
        <x:v>TASK</x:v>
      </x:c>
      <x:c r="F769" s="30" t="str">
        <x:v>956_вариант_ФИЗ_26.03.pdf</x:v>
      </x:c>
      <x:c r="G769" s="87" t="str">
        <x:v>9</x:v>
      </x:c>
      <x:c r="H769" s="87" t="str">
        <x:v>v1.00</x:v>
      </x:c>
      <x:c r="I769" s="87" t="str">
        <x:v>2</x:v>
      </x:c>
      <x:c r="J769" s="30" t="str">
        <x:v>VIS_ID</x:v>
      </x:c>
      <x:c r="K769" s="30" t="str">
        <x:v>EGKR-S26-PHY-956-19, EGKR-S26-PHY-956-20</x:v>
      </x:c>
      <x:c r="L769" s="87" t="str">
        <x:v>CROP_VERIFIED</x:v>
      </x:c>
      <x:c r="M769" s="87" t="str">
        <x:v>ORIGINAL_PACKAGE</x:v>
      </x:c>
      <x:c r="N769" s="87" t="str">
        <x:v>pages/VIS-EGKR-PHY-S26-TASK-956-P009.png</x:v>
      </x:c>
      <x:c r="O769" s="87" t="str">
        <x:v>thumbnails/VIS-EGKR-PHY-S26-TASK-956-P009.jpg</x:v>
      </x:c>
      <x:c r="P769" s="87" t="str">
        <x:v>2d6f761fb9a1e73619d83d639d2a15e9473558b52f288c186aaa50f5f00578dd</x:v>
      </x:c>
      <x:c r="Q769" s="30" t="str">
        <x:v>incoming/raw/recovery-drop-01/physics_egkr_spring_visual_assets_v100.zip!/pages/VIS-EGKR-PHY-S26-TASK-956-P009.png</x:v>
      </x:c>
      <x:c r="R769" s="30" t="str">
        <x:v>MATCHED_ASSET</x:v>
      </x:c>
      <x:c r="S769" t="e">
        <x:f>HYPERLINK("visual_gallery/index.html#"&amp;A769,"Галерея")</x:f>
      </x:c>
    </x:row>
    <x:row r="770">
      <x:c r="A770" s="87" t="str">
        <x:v>VIS-EGKR-PHY-S26-TASK-956-P010</x:v>
      </x:c>
      <x:c r="B770" s="30" t="str">
        <x:v>Физика</x:v>
      </x:c>
      <x:c r="C770" s="30"/>
      <x:c r="D770" s="30" t="str">
        <x:v>956</x:v>
      </x:c>
      <x:c r="E770" s="87" t="str">
        <x:v>TASK</x:v>
      </x:c>
      <x:c r="F770" s="30" t="str">
        <x:v>956_вариант_ФИЗ_26.03.pdf</x:v>
      </x:c>
      <x:c r="G770" s="87" t="str">
        <x:v>10</x:v>
      </x:c>
      <x:c r="H770" s="87" t="str">
        <x:v>v1.00</x:v>
      </x:c>
      <x:c r="I770" s="87" t="str">
        <x:v>3</x:v>
      </x:c>
      <x:c r="J770" s="30" t="str">
        <x:v>VIS_ID</x:v>
      </x:c>
      <x:c r="K770" s="30" t="str">
        <x:v>EGKR-S26-PHY-956-21, EGKR-S26-PHY-956-22, EGKR-S26-PHY-956-23</x:v>
      </x:c>
      <x:c r="L770" s="87" t="str">
        <x:v>CROP_VERIFIED</x:v>
      </x:c>
      <x:c r="M770" s="87" t="str">
        <x:v>ORIGINAL_PACKAGE</x:v>
      </x:c>
      <x:c r="N770" s="87" t="str">
        <x:v>pages/VIS-EGKR-PHY-S26-TASK-956-P010.png</x:v>
      </x:c>
      <x:c r="O770" s="87" t="str">
        <x:v>thumbnails/VIS-EGKR-PHY-S26-TASK-956-P010.jpg</x:v>
      </x:c>
      <x:c r="P770" s="87" t="str">
        <x:v>25a3ae9695e88835ccd2c16a4fc1b94eb82888287e6c1b2287365ea4366304f2</x:v>
      </x:c>
      <x:c r="Q770" s="30" t="str">
        <x:v>incoming/raw/recovery-drop-01/physics_egkr_spring_visual_assets_v100.zip!/pages/VIS-EGKR-PHY-S26-TASK-956-P010.png</x:v>
      </x:c>
      <x:c r="R770" s="30" t="str">
        <x:v>MATCHED_ASSET</x:v>
      </x:c>
      <x:c r="S770" t="e">
        <x:f>HYPERLINK("visual_gallery/index.html#"&amp;A770,"Галерея")</x:f>
      </x:c>
    </x:row>
    <x:row r="771">
      <x:c r="A771" s="87" t="str">
        <x:v>VIS-EGKR-PHY-S26-TASK-956-P011</x:v>
      </x:c>
      <x:c r="B771" s="30" t="str">
        <x:v>Физика</x:v>
      </x:c>
      <x:c r="C771" s="30"/>
      <x:c r="D771" s="30" t="str">
        <x:v>956</x:v>
      </x:c>
      <x:c r="E771" s="87" t="str">
        <x:v>TASK</x:v>
      </x:c>
      <x:c r="F771" s="30" t="str">
        <x:v>956_вариант_ФИЗ_26.03.pdf</x:v>
      </x:c>
      <x:c r="G771" s="87" t="str">
        <x:v>11</x:v>
      </x:c>
      <x:c r="H771" s="87" t="str">
        <x:v>v1.00</x:v>
      </x:c>
      <x:c r="I771" s="87" t="str">
        <x:v>3</x:v>
      </x:c>
      <x:c r="J771" s="30" t="str">
        <x:v>VIS_ID</x:v>
      </x:c>
      <x:c r="K771" s="30" t="str">
        <x:v>EGKR-S26-PHY-956-24, EGKR-S26-PHY-956-25, EGKR-S26-PHY-956-26</x:v>
      </x:c>
      <x:c r="L771" s="87" t="str">
        <x:v>CROP_VERIFIED</x:v>
      </x:c>
      <x:c r="M771" s="87" t="str">
        <x:v>ORIGINAL_PACKAGE</x:v>
      </x:c>
      <x:c r="N771" s="87" t="str">
        <x:v>pages/VIS-EGKR-PHY-S26-TASK-956-P011.png</x:v>
      </x:c>
      <x:c r="O771" s="87" t="str">
        <x:v>thumbnails/VIS-EGKR-PHY-S26-TASK-956-P011.jpg</x:v>
      </x:c>
      <x:c r="P771" s="87" t="str">
        <x:v>9526387494265160eb73080c085fe53489dfa1080d91aa4195dd3b58cd76eaac</x:v>
      </x:c>
      <x:c r="Q771" s="30" t="str">
        <x:v>incoming/raw/recovery-drop-01/physics_egkr_spring_visual_assets_v100.zip!/pages/VIS-EGKR-PHY-S26-TASK-956-P011.png</x:v>
      </x:c>
      <x:c r="R771" s="30" t="str">
        <x:v>MATCHED_ASSET</x:v>
      </x:c>
      <x:c r="S771" t="e">
        <x:f>HYPERLINK("visual_gallery/index.html#"&amp;A771,"Галерея")</x:f>
      </x:c>
    </x:row>
    <x:row r="772">
      <x:c r="A772" s="87" t="str">
        <x:v>VIS-EGKR-PHY-W25-ANSWERDOC-P001</x:v>
      </x:c>
      <x:c r="B772" s="30" t="str">
        <x:v>Физика</x:v>
      </x:c>
      <x:c r="C772" s="30"/>
      <x:c r="D772" s="30" t="str">
        <x:v>951–953</x:v>
      </x:c>
      <x:c r="E772" s="87" t="str">
        <x:v>SECONDARY_ANSWER_SOURCE</x:v>
      </x:c>
      <x:c r="F772" s="30" t="str">
        <x:v>Ответы (1).docx</x:v>
      </x:c>
      <x:c r="G772" s="87" t="str">
        <x:v>1</x:v>
      </x:c>
      <x:c r="H772" s="87" t="str">
        <x:v>v0.98</x:v>
      </x:c>
      <x:c r="I772" s="87" t="str">
        <x:v>20</x:v>
      </x:c>
      <x:c r="J772" s="30" t="str">
        <x:v>VIS_KEY / MODEL</x:v>
      </x:c>
      <x:c r="K772" s="30" t="str">
        <x:v>EGKR-W25-PHY-951-01, EGKR-W25-PHY-951-02, EGKR-W25-PHY-951-03, EGKR-W25-PHY-951-04, EGKR-W25-PHY-951-05, EGKR-W25-PHY-951-06, EGKR-W25-PHY-951-07, EGKR-W25-PHY-951-08…</x:v>
      </x:c>
      <x:c r="L772" s="87" t="str">
        <x:v>CROP_VERIFIED</x:v>
      </x:c>
      <x:c r="M772" s="87" t="str">
        <x:v>ORIGINAL_PACKAGE</x:v>
      </x:c>
      <x:c r="N772" s="87" t="str">
        <x:v>pages/VIS-EGKR-PHY-W25-ANSWERDOC-P001.png</x:v>
      </x:c>
      <x:c r="O772" s="87" t="str">
        <x:v>thumbnails/VIS-EGKR-PHY-W25-ANSWERDOC-P001.jpg</x:v>
      </x:c>
      <x:c r="P772" s="87" t="str">
        <x:v>12b89dd2d9ad02ef445988c5c16452992d18149d3210729e12472ddb7f766d61</x:v>
      </x:c>
      <x:c r="Q772" s="30" t="str">
        <x:v>incoming/raw/recovery-drop-01/physics_egkr_winter_visual_assets_v098.zip!/pages/VIS-EGKR-PHY-W25-ANSWERDOC-P001.png</x:v>
      </x:c>
      <x:c r="R772" s="30" t="str">
        <x:v>MATCHED_ASSET</x:v>
      </x:c>
      <x:c r="S772" t="e">
        <x:f>HYPERLINK("visual_gallery/index.html#"&amp;A772,"Галерея")</x:f>
      </x:c>
    </x:row>
    <x:row r="773">
      <x:c r="A773" s="87" t="str">
        <x:v>VIS-EGKR-PHY-W25-ANSWERDOC-P002</x:v>
      </x:c>
      <x:c r="B773" s="30" t="str">
        <x:v>Физика</x:v>
      </x:c>
      <x:c r="C773" s="30"/>
      <x:c r="D773" s="30" t="str">
        <x:v>951–953</x:v>
      </x:c>
      <x:c r="E773" s="87" t="str">
        <x:v>SECONDARY_ANSWER_SOURCE</x:v>
      </x:c>
      <x:c r="F773" s="30" t="str">
        <x:v>Ответы (1).docx</x:v>
      </x:c>
      <x:c r="G773" s="87" t="str">
        <x:v>2</x:v>
      </x:c>
      <x:c r="H773" s="87" t="str">
        <x:v>v0.98</x:v>
      </x:c>
      <x:c r="I773" s="87" t="str">
        <x:v>20</x:v>
      </x:c>
      <x:c r="J773" s="30" t="str">
        <x:v>VIS_KEY / MODEL</x:v>
      </x:c>
      <x:c r="K773" s="30" t="str">
        <x:v>EGKR-W25-PHY-952-01, EGKR-W25-PHY-952-02, EGKR-W25-PHY-952-03, EGKR-W25-PHY-952-04, EGKR-W25-PHY-952-05, EGKR-W25-PHY-952-06, EGKR-W25-PHY-952-07, EGKR-W25-PHY-952-08…</x:v>
      </x:c>
      <x:c r="L773" s="87" t="str">
        <x:v>CROP_VERIFIED</x:v>
      </x:c>
      <x:c r="M773" s="87" t="str">
        <x:v>ORIGINAL_PACKAGE</x:v>
      </x:c>
      <x:c r="N773" s="87" t="str">
        <x:v>pages/VIS-EGKR-PHY-W25-ANSWERDOC-P002.png</x:v>
      </x:c>
      <x:c r="O773" s="87" t="str">
        <x:v>thumbnails/VIS-EGKR-PHY-W25-ANSWERDOC-P002.jpg</x:v>
      </x:c>
      <x:c r="P773" s="87" t="str">
        <x:v>978a70a8e1b21a0f01c6c8bbe4de21f3f095c3d5af483e57ca60c24375a849b9</x:v>
      </x:c>
      <x:c r="Q773" s="30" t="str">
        <x:v>incoming/raw/recovery-drop-01/physics_egkr_winter_visual_assets_v098.zip!/pages/VIS-EGKR-PHY-W25-ANSWERDOC-P002.png</x:v>
      </x:c>
      <x:c r="R773" s="30" t="str">
        <x:v>MATCHED_ASSET</x:v>
      </x:c>
      <x:c r="S773" t="e">
        <x:f>HYPERLINK("visual_gallery/index.html#"&amp;A773,"Галерея")</x:f>
      </x:c>
    </x:row>
    <x:row r="774">
      <x:c r="A774" s="87" t="str">
        <x:v>VIS-EGKR-PHY-W25-ANSWERDOC-P003</x:v>
      </x:c>
      <x:c r="B774" s="30" t="str">
        <x:v>Физика</x:v>
      </x:c>
      <x:c r="C774" s="30"/>
      <x:c r="D774" s="30" t="str">
        <x:v>951–953</x:v>
      </x:c>
      <x:c r="E774" s="87" t="str">
        <x:v>SECONDARY_ANSWER_SOURCE</x:v>
      </x:c>
      <x:c r="F774" s="30" t="str">
        <x:v>Ответы (1).docx</x:v>
      </x:c>
      <x:c r="G774" s="87" t="str">
        <x:v>3</x:v>
      </x:c>
      <x:c r="H774" s="87" t="str">
        <x:v>v0.98</x:v>
      </x:c>
      <x:c r="I774" s="87" t="str">
        <x:v>20</x:v>
      </x:c>
      <x:c r="J774" s="30" t="str">
        <x:v>VIS_KEY / MODEL</x:v>
      </x:c>
      <x:c r="K774" s="30" t="str">
        <x:v>EGKR-W25-PHY-953-01, EGKR-W25-PHY-953-02, EGKR-W25-PHY-953-03, EGKR-W25-PHY-953-04, EGKR-W25-PHY-953-05, EGKR-W25-PHY-953-06, EGKR-W25-PHY-953-07, EGKR-W25-PHY-953-08…</x:v>
      </x:c>
      <x:c r="L774" s="87" t="str">
        <x:v>CROP_VERIFIED</x:v>
      </x:c>
      <x:c r="M774" s="87" t="str">
        <x:v>ORIGINAL_PACKAGE</x:v>
      </x:c>
      <x:c r="N774" s="87" t="str">
        <x:v>pages/VIS-EGKR-PHY-W25-ANSWERDOC-P003.png</x:v>
      </x:c>
      <x:c r="O774" s="87" t="str">
        <x:v>thumbnails/VIS-EGKR-PHY-W25-ANSWERDOC-P003.jpg</x:v>
      </x:c>
      <x:c r="P774" s="87" t="str">
        <x:v>ad5f970ef4ff4bf91188e0cd7d52e66391802f201e3031b676e84217a09de956</x:v>
      </x:c>
      <x:c r="Q774" s="30" t="str">
        <x:v>incoming/raw/recovery-drop-01/physics_egkr_winter_visual_assets_v098.zip!/pages/VIS-EGKR-PHY-W25-ANSWERDOC-P003.png</x:v>
      </x:c>
      <x:c r="R774" s="30" t="str">
        <x:v>MATCHED_ASSET</x:v>
      </x:c>
      <x:c r="S774" t="e">
        <x:f>HYPERLINK("visual_gallery/index.html#"&amp;A774,"Галерея")</x:f>
      </x:c>
    </x:row>
    <x:row r="775">
      <x:c r="A775" s="87" t="str">
        <x:v>VIS-EGKR-PHY-W25-TASK-951-P001</x:v>
      </x:c>
      <x:c r="B775" s="30" t="str"/>
      <x:c r="C775" s="30"/>
      <x:c r="D775" s="30" t="str">
        <x:v>951</x:v>
      </x:c>
      <x:c r="E775" s="87" t="str">
        <x:v>TASK</x:v>
      </x:c>
      <x:c r="F775" s="30" t="str">
        <x:v>951.pdf</x:v>
      </x:c>
      <x:c r="G775" s="87" t="str">
        <x:v>1</x:v>
      </x:c>
      <x:c r="H775" s="87" t="str">
        <x:v>v0.98</x:v>
      </x:c>
      <x:c r="I775" s="87" t="str">
        <x:v>0</x:v>
      </x:c>
      <x:c r="J775" s="30" t="str"/>
      <x:c r="K775" s="30" t="str"/>
      <x:c r="L775" s="87" t="str">
        <x:v>CROP_VERIFIED</x:v>
      </x:c>
      <x:c r="M775" s="87" t="str">
        <x:v>ORIGINAL_PACKAGE</x:v>
      </x:c>
      <x:c r="N775" s="87" t="str">
        <x:v>pages/VIS-EGKR-PHY-W25-TASK-951-P001.png</x:v>
      </x:c>
      <x:c r="O775" s="87" t="str">
        <x:v>thumbnails/VIS-EGKR-PHY-W25-TASK-951-P001.jpg</x:v>
      </x:c>
      <x:c r="P775" s="87" t="str">
        <x:v>66709fc9d0e4ca0034cff1c4070ce56926c7bdf95529ac27ab16257d56f53336</x:v>
      </x:c>
      <x:c r="Q775" s="30" t="str">
        <x:v>incoming/raw/recovery-drop-01/physics_egkr_winter_visual_assets_v098.zip!/pages/VIS-EGKR-PHY-W25-TASK-951-P001.png</x:v>
      </x:c>
      <x:c r="R775" s="30" t="str">
        <x:v>RESOLVED_UNLINKED_REGISTRY_VISUAL</x:v>
      </x:c>
      <x:c r="S775" t="e">
        <x:f>HYPERLINK("visual_gallery/index.html#"&amp;A775,"Галерея")</x:f>
      </x:c>
    </x:row>
    <x:row r="776">
      <x:c r="A776" s="87" t="str">
        <x:v>VIS-EGKR-PHY-W25-TASK-951-P002</x:v>
      </x:c>
      <x:c r="B776" s="30" t="str">
        <x:v>Физика</x:v>
      </x:c>
      <x:c r="C776" s="30"/>
      <x:c r="D776" s="30" t="str">
        <x:v>951</x:v>
      </x:c>
      <x:c r="E776" s="87" t="str">
        <x:v>TASK</x:v>
      </x:c>
      <x:c r="F776" s="30" t="str">
        <x:v>951.pdf</x:v>
      </x:c>
      <x:c r="G776" s="87" t="str">
        <x:v>2</x:v>
      </x:c>
      <x:c r="H776" s="87" t="str">
        <x:v>v0.98</x:v>
      </x:c>
      <x:c r="I776" s="87" t="str">
        <x:v>3</x:v>
      </x:c>
      <x:c r="J776" s="30" t="str">
        <x:v>VIS_ID</x:v>
      </x:c>
      <x:c r="K776" s="30" t="str">
        <x:v>EGKR-W25-PHY-951-01, EGKR-W25-PHY-951-02, EGKR-W25-PHY-951-03</x:v>
      </x:c>
      <x:c r="L776" s="87" t="str">
        <x:v>CROP_VERIFIED</x:v>
      </x:c>
      <x:c r="M776" s="87" t="str">
        <x:v>ORIGINAL_PACKAGE</x:v>
      </x:c>
      <x:c r="N776" s="87" t="str">
        <x:v>pages/VIS-EGKR-PHY-W25-TASK-951-P002.png</x:v>
      </x:c>
      <x:c r="O776" s="87" t="str">
        <x:v>thumbnails/VIS-EGKR-PHY-W25-TASK-951-P002.jpg</x:v>
      </x:c>
      <x:c r="P776" s="87" t="str">
        <x:v>92a93a4d5b51cbe8a4cf9312409d38e0ae273591c2aa3ac8b25ec208620e3be8</x:v>
      </x:c>
      <x:c r="Q776" s="30" t="str">
        <x:v>incoming/raw/recovery-drop-01/physics_egkr_winter_visual_assets_v098.zip!/pages/VIS-EGKR-PHY-W25-TASK-951-P002.png</x:v>
      </x:c>
      <x:c r="R776" s="30" t="str">
        <x:v>MATCHED_ASSET</x:v>
      </x:c>
      <x:c r="S776" t="e">
        <x:f>HYPERLINK("visual_gallery/index.html#"&amp;A776,"Галерея")</x:f>
      </x:c>
    </x:row>
    <x:row r="777">
      <x:c r="A777" s="87" t="str">
        <x:v>VIS-EGKR-PHY-W25-TASK-951-P003</x:v>
      </x:c>
      <x:c r="B777" s="30" t="str">
        <x:v>Физика</x:v>
      </x:c>
      <x:c r="C777" s="30"/>
      <x:c r="D777" s="30" t="str">
        <x:v>951</x:v>
      </x:c>
      <x:c r="E777" s="87" t="str">
        <x:v>TASK</x:v>
      </x:c>
      <x:c r="F777" s="30" t="str">
        <x:v>951.pdf</x:v>
      </x:c>
      <x:c r="G777" s="87" t="str">
        <x:v>3</x:v>
      </x:c>
      <x:c r="H777" s="87" t="str">
        <x:v>v0.98</x:v>
      </x:c>
      <x:c r="I777" s="87" t="str">
        <x:v>4</x:v>
      </x:c>
      <x:c r="J777" s="30" t="str">
        <x:v>VIS_ID</x:v>
      </x:c>
      <x:c r="K777" s="30" t="str">
        <x:v>EGKR-W25-PHY-951-04, EGKR-W25-PHY-951-05, EGKR-W25-PHY-951-06, EGKR-W25-PHY-951-07</x:v>
      </x:c>
      <x:c r="L777" s="87" t="str">
        <x:v>CROP_VERIFIED</x:v>
      </x:c>
      <x:c r="M777" s="87" t="str">
        <x:v>ORIGINAL_PACKAGE</x:v>
      </x:c>
      <x:c r="N777" s="87" t="str">
        <x:v>pages/VIS-EGKR-PHY-W25-TASK-951-P003.png</x:v>
      </x:c>
      <x:c r="O777" s="87" t="str">
        <x:v>thumbnails/VIS-EGKR-PHY-W25-TASK-951-P003.jpg</x:v>
      </x:c>
      <x:c r="P777" s="87" t="str">
        <x:v>2eddbcf8d6c2ce215a410cbcdf19e81749e05acfaf49695a260777e95c810369</x:v>
      </x:c>
      <x:c r="Q777" s="30" t="str">
        <x:v>incoming/raw/recovery-drop-01/physics_egkr_winter_visual_assets_v098.zip!/pages/VIS-EGKR-PHY-W25-TASK-951-P003.png</x:v>
      </x:c>
      <x:c r="R777" s="30" t="str">
        <x:v>MATCHED_ASSET</x:v>
      </x:c>
      <x:c r="S777" t="e">
        <x:f>HYPERLINK("visual_gallery/index.html#"&amp;A777,"Галерея")</x:f>
      </x:c>
    </x:row>
    <x:row r="778">
      <x:c r="A778" s="87" t="str">
        <x:v>VIS-EGKR-PHY-W25-TASK-951-P004</x:v>
      </x:c>
      <x:c r="B778" s="30" t="str">
        <x:v>Физика</x:v>
      </x:c>
      <x:c r="C778" s="30"/>
      <x:c r="D778" s="30" t="str">
        <x:v>951</x:v>
      </x:c>
      <x:c r="E778" s="87" t="str">
        <x:v>TASK</x:v>
      </x:c>
      <x:c r="F778" s="30" t="str">
        <x:v>951.pdf</x:v>
      </x:c>
      <x:c r="G778" s="87" t="str">
        <x:v>4</x:v>
      </x:c>
      <x:c r="H778" s="87" t="str">
        <x:v>v0.98</x:v>
      </x:c>
      <x:c r="I778" s="87" t="str">
        <x:v>5</x:v>
      </x:c>
      <x:c r="J778" s="30" t="str">
        <x:v>VIS_ID</x:v>
      </x:c>
      <x:c r="K778" s="30" t="str">
        <x:v>EGKR-W25-PHY-951-08, EGKR-W25-PHY-951-09, EGKR-W25-PHY-951-10, EGKR-W25-PHY-951-11, EGKR-W25-PHY-951-12</x:v>
      </x:c>
      <x:c r="L778" s="87" t="str">
        <x:v>CROP_VERIFIED</x:v>
      </x:c>
      <x:c r="M778" s="87" t="str">
        <x:v>ORIGINAL_PACKAGE</x:v>
      </x:c>
      <x:c r="N778" s="87" t="str">
        <x:v>pages/VIS-EGKR-PHY-W25-TASK-951-P004.png</x:v>
      </x:c>
      <x:c r="O778" s="87" t="str">
        <x:v>thumbnails/VIS-EGKR-PHY-W25-TASK-951-P004.jpg</x:v>
      </x:c>
      <x:c r="P778" s="87" t="str">
        <x:v>37463ddbe9bbcaa926ab4733e0512f90d677e55dd9f1c9340188d822741ae0ec</x:v>
      </x:c>
      <x:c r="Q778" s="30" t="str">
        <x:v>incoming/raw/recovery-drop-01/physics_egkr_winter_visual_assets_v098.zip!/pages/VIS-EGKR-PHY-W25-TASK-951-P004.png</x:v>
      </x:c>
      <x:c r="R778" s="30" t="str">
        <x:v>MATCHED_ASSET</x:v>
      </x:c>
      <x:c r="S778" t="e">
        <x:f>HYPERLINK("visual_gallery/index.html#"&amp;A778,"Галерея")</x:f>
      </x:c>
    </x:row>
    <x:row r="779">
      <x:c r="A779" s="87" t="str">
        <x:v>VIS-EGKR-PHY-W25-TASK-951-P005</x:v>
      </x:c>
      <x:c r="B779" s="30" t="str">
        <x:v>Физика</x:v>
      </x:c>
      <x:c r="C779" s="30"/>
      <x:c r="D779" s="30" t="str">
        <x:v>951</x:v>
      </x:c>
      <x:c r="E779" s="87" t="str">
        <x:v>TASK</x:v>
      </x:c>
      <x:c r="F779" s="30" t="str">
        <x:v>951.pdf</x:v>
      </x:c>
      <x:c r="G779" s="87" t="str">
        <x:v>5</x:v>
      </x:c>
      <x:c r="H779" s="87" t="str">
        <x:v>v0.98</x:v>
      </x:c>
      <x:c r="I779" s="87" t="str">
        <x:v>6</x:v>
      </x:c>
      <x:c r="J779" s="30" t="str">
        <x:v>VIS_ID</x:v>
      </x:c>
      <x:c r="K779" s="30" t="str">
        <x:v>EGKR-W25-PHY-951-13, EGKR-W25-PHY-951-14, EGKR-W25-PHY-951-15, EGKR-W25-PHY-951-16, EGKR-W25-PHY-951-17, EGKR-W25-PHY-951-18</x:v>
      </x:c>
      <x:c r="L779" s="87" t="str">
        <x:v>CROP_VERIFIED</x:v>
      </x:c>
      <x:c r="M779" s="87" t="str">
        <x:v>ORIGINAL_PACKAGE</x:v>
      </x:c>
      <x:c r="N779" s="87" t="str">
        <x:v>pages/VIS-EGKR-PHY-W25-TASK-951-P005.png</x:v>
      </x:c>
      <x:c r="O779" s="87" t="str">
        <x:v>thumbnails/VIS-EGKR-PHY-W25-TASK-951-P005.jpg</x:v>
      </x:c>
      <x:c r="P779" s="87" t="str">
        <x:v>4e0de0e134f88de4ed852a43cfd9acd548bbd95c10b15c2b3711f2ea397ed1ae</x:v>
      </x:c>
      <x:c r="Q779" s="30" t="str">
        <x:v>incoming/raw/recovery-drop-01/physics_egkr_winter_visual_assets_v098.zip!/pages/VIS-EGKR-PHY-W25-TASK-951-P005.png</x:v>
      </x:c>
      <x:c r="R779" s="30" t="str">
        <x:v>MATCHED_ASSET</x:v>
      </x:c>
      <x:c r="S779" t="e">
        <x:f>HYPERLINK("visual_gallery/index.html#"&amp;A779,"Галерея")</x:f>
      </x:c>
    </x:row>
    <x:row r="780">
      <x:c r="A780" s="87" t="str">
        <x:v>VIS-EGKR-PHY-W25-TASK-951-P006</x:v>
      </x:c>
      <x:c r="B780" s="30" t="str">
        <x:v>Физика</x:v>
      </x:c>
      <x:c r="C780" s="30"/>
      <x:c r="D780" s="30" t="str">
        <x:v>951</x:v>
      </x:c>
      <x:c r="E780" s="87" t="str">
        <x:v>TASK</x:v>
      </x:c>
      <x:c r="F780" s="30" t="str">
        <x:v>951.pdf</x:v>
      </x:c>
      <x:c r="G780" s="87" t="str">
        <x:v>6</x:v>
      </x:c>
      <x:c r="H780" s="87" t="str">
        <x:v>v0.98</x:v>
      </x:c>
      <x:c r="I780" s="87" t="str">
        <x:v>2</x:v>
      </x:c>
      <x:c r="J780" s="30" t="str">
        <x:v>VIS_ID</x:v>
      </x:c>
      <x:c r="K780" s="30" t="str">
        <x:v>EGKR-W25-PHY-951-19, EGKR-W25-PHY-951-20</x:v>
      </x:c>
      <x:c r="L780" s="87" t="str">
        <x:v>CROP_VERIFIED</x:v>
      </x:c>
      <x:c r="M780" s="87" t="str">
        <x:v>ORIGINAL_PACKAGE</x:v>
      </x:c>
      <x:c r="N780" s="87" t="str">
        <x:v>pages/VIS-EGKR-PHY-W25-TASK-951-P006.png</x:v>
      </x:c>
      <x:c r="O780" s="87" t="str">
        <x:v>thumbnails/VIS-EGKR-PHY-W25-TASK-951-P006.jpg</x:v>
      </x:c>
      <x:c r="P780" s="87" t="str">
        <x:v>3dc387b3ecb23f1c6041fbba53b51c5f77ccbca9dd5fc029a7898e2493d4b8ab</x:v>
      </x:c>
      <x:c r="Q780" s="30" t="str">
        <x:v>incoming/raw/recovery-drop-01/physics_egkr_winter_visual_assets_v098.zip!/pages/VIS-EGKR-PHY-W25-TASK-951-P006.png</x:v>
      </x:c>
      <x:c r="R780" s="30" t="str">
        <x:v>MATCHED_ASSET</x:v>
      </x:c>
      <x:c r="S780" t="e">
        <x:f>HYPERLINK("visual_gallery/index.html#"&amp;A780,"Галерея")</x:f>
      </x:c>
    </x:row>
    <x:row r="781">
      <x:c r="A781" s="87" t="str">
        <x:v>VIS-EGKR-PHY-W25-TASK-951-P007</x:v>
      </x:c>
      <x:c r="B781" s="30" t="str">
        <x:v>Физика</x:v>
      </x:c>
      <x:c r="C781" s="30"/>
      <x:c r="D781" s="30" t="str">
        <x:v>951</x:v>
      </x:c>
      <x:c r="E781" s="87" t="str">
        <x:v>TASK</x:v>
      </x:c>
      <x:c r="F781" s="30" t="str">
        <x:v>951.pdf</x:v>
      </x:c>
      <x:c r="G781" s="87" t="str">
        <x:v>7</x:v>
      </x:c>
      <x:c r="H781" s="87" t="str">
        <x:v>v0.98</x:v>
      </x:c>
      <x:c r="I781" s="87" t="str">
        <x:v>6</x:v>
      </x:c>
      <x:c r="J781" s="30" t="str">
        <x:v>VIS_ID</x:v>
      </x:c>
      <x:c r="K781" s="30" t="str">
        <x:v>EGKR-W25-PHY-951-21, EGKR-W25-PHY-951-22, EGKR-W25-PHY-951-23, EGKR-W25-PHY-951-24, EGKR-W25-PHY-951-25, EGKR-W25-PHY-951-26</x:v>
      </x:c>
      <x:c r="L781" s="87" t="str">
        <x:v>CROP_VERIFIED</x:v>
      </x:c>
      <x:c r="M781" s="87" t="str">
        <x:v>ORIGINAL_PACKAGE</x:v>
      </x:c>
      <x:c r="N781" s="87" t="str">
        <x:v>pages/VIS-EGKR-PHY-W25-TASK-951-P007.png</x:v>
      </x:c>
      <x:c r="O781" s="87" t="str">
        <x:v>thumbnails/VIS-EGKR-PHY-W25-TASK-951-P007.jpg</x:v>
      </x:c>
      <x:c r="P781" s="87" t="str">
        <x:v>1b2583fa52782acff611d79ae57e4828ed73c9546f64805ae793e0e0338dcd99</x:v>
      </x:c>
      <x:c r="Q781" s="30" t="str">
        <x:v>incoming/raw/recovery-drop-01/physics_egkr_winter_visual_assets_v098.zip!/pages/VIS-EGKR-PHY-W25-TASK-951-P007.png</x:v>
      </x:c>
      <x:c r="R781" s="30" t="str">
        <x:v>MATCHED_ASSET</x:v>
      </x:c>
      <x:c r="S781" t="e">
        <x:f>HYPERLINK("visual_gallery/index.html#"&amp;A781,"Галерея")</x:f>
      </x:c>
    </x:row>
    <x:row r="782">
      <x:c r="A782" s="87" t="str">
        <x:v>VIS-EGKR-PHY-W25-TASK-952-P001</x:v>
      </x:c>
      <x:c r="B782" s="30" t="str"/>
      <x:c r="C782" s="30"/>
      <x:c r="D782" s="30" t="str">
        <x:v>952</x:v>
      </x:c>
      <x:c r="E782" s="87" t="str">
        <x:v>TASK</x:v>
      </x:c>
      <x:c r="F782" s="30" t="str">
        <x:v>952.pdf</x:v>
      </x:c>
      <x:c r="G782" s="87" t="str">
        <x:v>1</x:v>
      </x:c>
      <x:c r="H782" s="87" t="str">
        <x:v>v0.98</x:v>
      </x:c>
      <x:c r="I782" s="87" t="str">
        <x:v>0</x:v>
      </x:c>
      <x:c r="J782" s="30" t="str"/>
      <x:c r="K782" s="30" t="str"/>
      <x:c r="L782" s="87" t="str">
        <x:v>CROP_VERIFIED</x:v>
      </x:c>
      <x:c r="M782" s="87" t="str">
        <x:v>ORIGINAL_PACKAGE</x:v>
      </x:c>
      <x:c r="N782" s="87" t="str">
        <x:v>pages/VIS-EGKR-PHY-W25-TASK-952-P001.png</x:v>
      </x:c>
      <x:c r="O782" s="87" t="str">
        <x:v>thumbnails/VIS-EGKR-PHY-W25-TASK-952-P001.jpg</x:v>
      </x:c>
      <x:c r="P782" s="87" t="str">
        <x:v>93cb99f3fc025cc867d6e002c647a72ef202be241244761b84bce9c2dcf6eb88</x:v>
      </x:c>
      <x:c r="Q782" s="30" t="str">
        <x:v>incoming/raw/recovery-drop-01/physics_egkr_winter_visual_assets_v098.zip!/pages/VIS-EGKR-PHY-W25-TASK-952-P001.png</x:v>
      </x:c>
      <x:c r="R782" s="30" t="str">
        <x:v>RESOLVED_UNLINKED_REGISTRY_VISUAL</x:v>
      </x:c>
      <x:c r="S782" t="e">
        <x:f>HYPERLINK("visual_gallery/index.html#"&amp;A782,"Галерея")</x:f>
      </x:c>
    </x:row>
    <x:row r="783">
      <x:c r="A783" s="87" t="str">
        <x:v>VIS-EGKR-PHY-W25-TASK-952-P002</x:v>
      </x:c>
      <x:c r="B783" s="30" t="str">
        <x:v>Физика</x:v>
      </x:c>
      <x:c r="C783" s="30"/>
      <x:c r="D783" s="30" t="str">
        <x:v>952</x:v>
      </x:c>
      <x:c r="E783" s="87" t="str">
        <x:v>TASK</x:v>
      </x:c>
      <x:c r="F783" s="30" t="str">
        <x:v>952.pdf</x:v>
      </x:c>
      <x:c r="G783" s="87" t="str">
        <x:v>2</x:v>
      </x:c>
      <x:c r="H783" s="87" t="str">
        <x:v>v0.98</x:v>
      </x:c>
      <x:c r="I783" s="87" t="str">
        <x:v>3</x:v>
      </x:c>
      <x:c r="J783" s="30" t="str">
        <x:v>VIS_ID</x:v>
      </x:c>
      <x:c r="K783" s="30" t="str">
        <x:v>EGKR-W25-PHY-952-01, EGKR-W25-PHY-952-02, EGKR-W25-PHY-952-03</x:v>
      </x:c>
      <x:c r="L783" s="87" t="str">
        <x:v>CROP_VERIFIED</x:v>
      </x:c>
      <x:c r="M783" s="87" t="str">
        <x:v>ORIGINAL_PACKAGE</x:v>
      </x:c>
      <x:c r="N783" s="87" t="str">
        <x:v>pages/VIS-EGKR-PHY-W25-TASK-952-P002.png</x:v>
      </x:c>
      <x:c r="O783" s="87" t="str">
        <x:v>thumbnails/VIS-EGKR-PHY-W25-TASK-952-P002.jpg</x:v>
      </x:c>
      <x:c r="P783" s="87" t="str">
        <x:v>99ddb2ea81c81532fcb6fcfb78d6613aae05aa8d6b3fbb9314f79401fe8d7379</x:v>
      </x:c>
      <x:c r="Q783" s="30" t="str">
        <x:v>incoming/raw/recovery-drop-01/physics_egkr_winter_visual_assets_v098.zip!/pages/VIS-EGKR-PHY-W25-TASK-952-P002.png</x:v>
      </x:c>
      <x:c r="R783" s="30" t="str">
        <x:v>MATCHED_ASSET</x:v>
      </x:c>
      <x:c r="S783" t="e">
        <x:f>HYPERLINK("visual_gallery/index.html#"&amp;A783,"Галерея")</x:f>
      </x:c>
    </x:row>
    <x:row r="784">
      <x:c r="A784" s="87" t="str">
        <x:v>VIS-EGKR-PHY-W25-TASK-952-P003</x:v>
      </x:c>
      <x:c r="B784" s="30" t="str">
        <x:v>Физика</x:v>
      </x:c>
      <x:c r="C784" s="30"/>
      <x:c r="D784" s="30" t="str">
        <x:v>952</x:v>
      </x:c>
      <x:c r="E784" s="87" t="str">
        <x:v>TASK</x:v>
      </x:c>
      <x:c r="F784" s="30" t="str">
        <x:v>952.pdf</x:v>
      </x:c>
      <x:c r="G784" s="87" t="str">
        <x:v>3</x:v>
      </x:c>
      <x:c r="H784" s="87" t="str">
        <x:v>v0.98</x:v>
      </x:c>
      <x:c r="I784" s="87" t="str">
        <x:v>4</x:v>
      </x:c>
      <x:c r="J784" s="30" t="str">
        <x:v>VIS_ID</x:v>
      </x:c>
      <x:c r="K784" s="30" t="str">
        <x:v>EGKR-W25-PHY-952-04, EGKR-W25-PHY-952-05, EGKR-W25-PHY-952-06, EGKR-W25-PHY-952-07</x:v>
      </x:c>
      <x:c r="L784" s="87" t="str">
        <x:v>CROP_VERIFIED</x:v>
      </x:c>
      <x:c r="M784" s="87" t="str">
        <x:v>ORIGINAL_PACKAGE</x:v>
      </x:c>
      <x:c r="N784" s="87" t="str">
        <x:v>pages/VIS-EGKR-PHY-W25-TASK-952-P003.png</x:v>
      </x:c>
      <x:c r="O784" s="87" t="str">
        <x:v>thumbnails/VIS-EGKR-PHY-W25-TASK-952-P003.jpg</x:v>
      </x:c>
      <x:c r="P784" s="87" t="str">
        <x:v>532f8e90d09fe0dc1568f1961d0768d584524248aceaec6ef4287d25e213e103</x:v>
      </x:c>
      <x:c r="Q784" s="30" t="str">
        <x:v>incoming/raw/recovery-drop-01/physics_egkr_winter_visual_assets_v098.zip!/pages/VIS-EGKR-PHY-W25-TASK-952-P003.png</x:v>
      </x:c>
      <x:c r="R784" s="30" t="str">
        <x:v>MATCHED_ASSET</x:v>
      </x:c>
      <x:c r="S784" t="e">
        <x:f>HYPERLINK("visual_gallery/index.html#"&amp;A784,"Галерея")</x:f>
      </x:c>
    </x:row>
    <x:row r="785">
      <x:c r="A785" s="87" t="str">
        <x:v>VIS-EGKR-PHY-W25-TASK-952-P004</x:v>
      </x:c>
      <x:c r="B785" s="30" t="str">
        <x:v>Физика</x:v>
      </x:c>
      <x:c r="C785" s="30"/>
      <x:c r="D785" s="30" t="str">
        <x:v>952</x:v>
      </x:c>
      <x:c r="E785" s="87" t="str">
        <x:v>TASK</x:v>
      </x:c>
      <x:c r="F785" s="30" t="str">
        <x:v>952.pdf</x:v>
      </x:c>
      <x:c r="G785" s="87" t="str">
        <x:v>4</x:v>
      </x:c>
      <x:c r="H785" s="87" t="str">
        <x:v>v0.98</x:v>
      </x:c>
      <x:c r="I785" s="87" t="str">
        <x:v>5</x:v>
      </x:c>
      <x:c r="J785" s="30" t="str">
        <x:v>VIS_ID</x:v>
      </x:c>
      <x:c r="K785" s="30" t="str">
        <x:v>EGKR-W25-PHY-952-08, EGKR-W25-PHY-952-09, EGKR-W25-PHY-952-10, EGKR-W25-PHY-952-11, EGKR-W25-PHY-952-12</x:v>
      </x:c>
      <x:c r="L785" s="87" t="str">
        <x:v>CROP_VERIFIED</x:v>
      </x:c>
      <x:c r="M785" s="87" t="str">
        <x:v>ORIGINAL_PACKAGE</x:v>
      </x:c>
      <x:c r="N785" s="87" t="str">
        <x:v>pages/VIS-EGKR-PHY-W25-TASK-952-P004.png</x:v>
      </x:c>
      <x:c r="O785" s="87" t="str">
        <x:v>thumbnails/VIS-EGKR-PHY-W25-TASK-952-P004.jpg</x:v>
      </x:c>
      <x:c r="P785" s="87" t="str">
        <x:v>5bc94fffa3953e3616da3531f62c98eb5b6779dd4ba2e703781bc996a97bfdcb</x:v>
      </x:c>
      <x:c r="Q785" s="30" t="str">
        <x:v>incoming/raw/recovery-drop-01/physics_egkr_winter_visual_assets_v098.zip!/pages/VIS-EGKR-PHY-W25-TASK-952-P004.png</x:v>
      </x:c>
      <x:c r="R785" s="30" t="str">
        <x:v>MATCHED_ASSET</x:v>
      </x:c>
      <x:c r="S785" t="e">
        <x:f>HYPERLINK("visual_gallery/index.html#"&amp;A785,"Галерея")</x:f>
      </x:c>
    </x:row>
    <x:row r="786">
      <x:c r="A786" s="87" t="str">
        <x:v>VIS-EGKR-PHY-W25-TASK-952-P005</x:v>
      </x:c>
      <x:c r="B786" s="30" t="str">
        <x:v>Физика</x:v>
      </x:c>
      <x:c r="C786" s="30"/>
      <x:c r="D786" s="30" t="str">
        <x:v>952</x:v>
      </x:c>
      <x:c r="E786" s="87" t="str">
        <x:v>TASK</x:v>
      </x:c>
      <x:c r="F786" s="30" t="str">
        <x:v>952.pdf</x:v>
      </x:c>
      <x:c r="G786" s="87" t="str">
        <x:v>5</x:v>
      </x:c>
      <x:c r="H786" s="87" t="str">
        <x:v>v0.98</x:v>
      </x:c>
      <x:c r="I786" s="87" t="str">
        <x:v>6</x:v>
      </x:c>
      <x:c r="J786" s="30" t="str">
        <x:v>VIS_ID</x:v>
      </x:c>
      <x:c r="K786" s="30" t="str">
        <x:v>EGKR-W25-PHY-952-13, EGKR-W25-PHY-952-14, EGKR-W25-PHY-952-15, EGKR-W25-PHY-952-16, EGKR-W25-PHY-952-17, EGKR-W25-PHY-952-18</x:v>
      </x:c>
      <x:c r="L786" s="87" t="str">
        <x:v>CROP_VERIFIED</x:v>
      </x:c>
      <x:c r="M786" s="87" t="str">
        <x:v>ORIGINAL_PACKAGE</x:v>
      </x:c>
      <x:c r="N786" s="87" t="str">
        <x:v>pages/VIS-EGKR-PHY-W25-TASK-952-P005.png</x:v>
      </x:c>
      <x:c r="O786" s="87" t="str">
        <x:v>thumbnails/VIS-EGKR-PHY-W25-TASK-952-P005.jpg</x:v>
      </x:c>
      <x:c r="P786" s="87" t="str">
        <x:v>5934d6186ca7abf4fb19bd4e0391117b11767460972e0173589ca01cf9306d59</x:v>
      </x:c>
      <x:c r="Q786" s="30" t="str">
        <x:v>incoming/raw/recovery-drop-01/physics_egkr_winter_visual_assets_v098.zip!/pages/VIS-EGKR-PHY-W25-TASK-952-P005.png</x:v>
      </x:c>
      <x:c r="R786" s="30" t="str">
        <x:v>MATCHED_ASSET</x:v>
      </x:c>
      <x:c r="S786" t="e">
        <x:f>HYPERLINK("visual_gallery/index.html#"&amp;A786,"Галерея")</x:f>
      </x:c>
    </x:row>
    <x:row r="787">
      <x:c r="A787" s="87" t="str">
        <x:v>VIS-EGKR-PHY-W25-TASK-952-P006</x:v>
      </x:c>
      <x:c r="B787" s="30" t="str">
        <x:v>Физика</x:v>
      </x:c>
      <x:c r="C787" s="30"/>
      <x:c r="D787" s="30" t="str">
        <x:v>952</x:v>
      </x:c>
      <x:c r="E787" s="87" t="str">
        <x:v>TASK</x:v>
      </x:c>
      <x:c r="F787" s="30" t="str">
        <x:v>952.pdf</x:v>
      </x:c>
      <x:c r="G787" s="87" t="str">
        <x:v>6</x:v>
      </x:c>
      <x:c r="H787" s="87" t="str">
        <x:v>v0.98</x:v>
      </x:c>
      <x:c r="I787" s="87" t="str">
        <x:v>2</x:v>
      </x:c>
      <x:c r="J787" s="30" t="str">
        <x:v>VIS_ID</x:v>
      </x:c>
      <x:c r="K787" s="30" t="str">
        <x:v>EGKR-W25-PHY-952-19, EGKR-W25-PHY-952-20</x:v>
      </x:c>
      <x:c r="L787" s="87" t="str">
        <x:v>CROP_VERIFIED</x:v>
      </x:c>
      <x:c r="M787" s="87" t="str">
        <x:v>ORIGINAL_PACKAGE</x:v>
      </x:c>
      <x:c r="N787" s="87" t="str">
        <x:v>pages/VIS-EGKR-PHY-W25-TASK-952-P006.png</x:v>
      </x:c>
      <x:c r="O787" s="87" t="str">
        <x:v>thumbnails/VIS-EGKR-PHY-W25-TASK-952-P006.jpg</x:v>
      </x:c>
      <x:c r="P787" s="87" t="str">
        <x:v>43b578ea1693619a758e474cb51250f3867d4fc91b15e37df374645a7bfdf8d3</x:v>
      </x:c>
      <x:c r="Q787" s="30" t="str">
        <x:v>incoming/raw/recovery-drop-01/physics_egkr_winter_visual_assets_v098.zip!/pages/VIS-EGKR-PHY-W25-TASK-952-P006.png</x:v>
      </x:c>
      <x:c r="R787" s="30" t="str">
        <x:v>MATCHED_ASSET</x:v>
      </x:c>
      <x:c r="S787" t="e">
        <x:f>HYPERLINK("visual_gallery/index.html#"&amp;A787,"Галерея")</x:f>
      </x:c>
    </x:row>
    <x:row r="788">
      <x:c r="A788" s="87" t="str">
        <x:v>VIS-EGKR-PHY-W25-TASK-952-P007</x:v>
      </x:c>
      <x:c r="B788" s="30" t="str">
        <x:v>Физика</x:v>
      </x:c>
      <x:c r="C788" s="30"/>
      <x:c r="D788" s="30" t="str">
        <x:v>952</x:v>
      </x:c>
      <x:c r="E788" s="87" t="str">
        <x:v>TASK</x:v>
      </x:c>
      <x:c r="F788" s="30" t="str">
        <x:v>952.pdf</x:v>
      </x:c>
      <x:c r="G788" s="87" t="str">
        <x:v>7</x:v>
      </x:c>
      <x:c r="H788" s="87" t="str">
        <x:v>v0.98</x:v>
      </x:c>
      <x:c r="I788" s="87" t="str">
        <x:v>6</x:v>
      </x:c>
      <x:c r="J788" s="30" t="str">
        <x:v>VIS_ID</x:v>
      </x:c>
      <x:c r="K788" s="30" t="str">
        <x:v>EGKR-W25-PHY-952-21, EGKR-W25-PHY-952-22, EGKR-W25-PHY-952-23, EGKR-W25-PHY-952-24, EGKR-W25-PHY-952-25, EGKR-W25-PHY-952-26</x:v>
      </x:c>
      <x:c r="L788" s="87" t="str">
        <x:v>CROP_VERIFIED</x:v>
      </x:c>
      <x:c r="M788" s="87" t="str">
        <x:v>ORIGINAL_PACKAGE</x:v>
      </x:c>
      <x:c r="N788" s="87" t="str">
        <x:v>pages/VIS-EGKR-PHY-W25-TASK-952-P007.png</x:v>
      </x:c>
      <x:c r="O788" s="87" t="str">
        <x:v>thumbnails/VIS-EGKR-PHY-W25-TASK-952-P007.jpg</x:v>
      </x:c>
      <x:c r="P788" s="87" t="str">
        <x:v>de1fb02e90b1a7c90153f5f1cb9883a7240d4b60ee2fda0c9321c8b940665eb0</x:v>
      </x:c>
      <x:c r="Q788" s="30" t="str">
        <x:v>incoming/raw/recovery-drop-01/physics_egkr_winter_visual_assets_v098.zip!/pages/VIS-EGKR-PHY-W25-TASK-952-P007.png</x:v>
      </x:c>
      <x:c r="R788" s="30" t="str">
        <x:v>MATCHED_ASSET</x:v>
      </x:c>
      <x:c r="S788" t="e">
        <x:f>HYPERLINK("visual_gallery/index.html#"&amp;A788,"Галерея")</x:f>
      </x:c>
    </x:row>
    <x:row r="789">
      <x:c r="A789" s="87" t="str">
        <x:v>VIS-EGKR-PHY-W25-TASK-953-P001</x:v>
      </x:c>
      <x:c r="B789" s="30" t="str"/>
      <x:c r="C789" s="30"/>
      <x:c r="D789" s="30" t="str">
        <x:v>953</x:v>
      </x:c>
      <x:c r="E789" s="87" t="str">
        <x:v>TASK</x:v>
      </x:c>
      <x:c r="F789" s="30" t="str">
        <x:v>953.pdf</x:v>
      </x:c>
      <x:c r="G789" s="87" t="str">
        <x:v>1</x:v>
      </x:c>
      <x:c r="H789" s="87" t="str">
        <x:v>v0.98</x:v>
      </x:c>
      <x:c r="I789" s="87" t="str">
        <x:v>0</x:v>
      </x:c>
      <x:c r="J789" s="30" t="str"/>
      <x:c r="K789" s="30" t="str"/>
      <x:c r="L789" s="87" t="str">
        <x:v>CROP_VERIFIED</x:v>
      </x:c>
      <x:c r="M789" s="87" t="str">
        <x:v>ORIGINAL_PACKAGE</x:v>
      </x:c>
      <x:c r="N789" s="87" t="str">
        <x:v>pages/VIS-EGKR-PHY-W25-TASK-953-P001.png</x:v>
      </x:c>
      <x:c r="O789" s="87" t="str">
        <x:v>thumbnails/VIS-EGKR-PHY-W25-TASK-953-P001.jpg</x:v>
      </x:c>
      <x:c r="P789" s="87" t="str">
        <x:v>7aca0705533b0f680a979322e7e7e522a0e997bde52cd62c00cf201ff6cf98de</x:v>
      </x:c>
      <x:c r="Q789" s="30" t="str">
        <x:v>incoming/raw/recovery-drop-01/physics_egkr_winter_visual_assets_v098.zip!/pages/VIS-EGKR-PHY-W25-TASK-953-P001.png</x:v>
      </x:c>
      <x:c r="R789" s="30" t="str">
        <x:v>RESOLVED_UNLINKED_REGISTRY_VISUAL</x:v>
      </x:c>
      <x:c r="S789" t="e">
        <x:f>HYPERLINK("visual_gallery/index.html#"&amp;A789,"Галерея")</x:f>
      </x:c>
    </x:row>
    <x:row r="790">
      <x:c r="A790" s="87" t="str">
        <x:v>VIS-EGKR-PHY-W25-TASK-953-P002</x:v>
      </x:c>
      <x:c r="B790" s="30" t="str">
        <x:v>Физика</x:v>
      </x:c>
      <x:c r="C790" s="30"/>
      <x:c r="D790" s="30" t="str">
        <x:v>953</x:v>
      </x:c>
      <x:c r="E790" s="87" t="str">
        <x:v>TASK</x:v>
      </x:c>
      <x:c r="F790" s="30" t="str">
        <x:v>953.pdf</x:v>
      </x:c>
      <x:c r="G790" s="87" t="str">
        <x:v>2</x:v>
      </x:c>
      <x:c r="H790" s="87" t="str">
        <x:v>v0.98</x:v>
      </x:c>
      <x:c r="I790" s="87" t="str">
        <x:v>3</x:v>
      </x:c>
      <x:c r="J790" s="30" t="str">
        <x:v>VIS_ID</x:v>
      </x:c>
      <x:c r="K790" s="30" t="str">
        <x:v>EGKR-W25-PHY-953-01, EGKR-W25-PHY-953-02, EGKR-W25-PHY-953-03</x:v>
      </x:c>
      <x:c r="L790" s="87" t="str">
        <x:v>CROP_VERIFIED</x:v>
      </x:c>
      <x:c r="M790" s="87" t="str">
        <x:v>ORIGINAL_PACKAGE</x:v>
      </x:c>
      <x:c r="N790" s="87" t="str">
        <x:v>pages/VIS-EGKR-PHY-W25-TASK-953-P002.png</x:v>
      </x:c>
      <x:c r="O790" s="87" t="str">
        <x:v>thumbnails/VIS-EGKR-PHY-W25-TASK-953-P002.jpg</x:v>
      </x:c>
      <x:c r="P790" s="87" t="str">
        <x:v>ea2159acaf373a50c9912e5825739731e152ee57931325dc54f13db6043cfe6e</x:v>
      </x:c>
      <x:c r="Q790" s="30" t="str">
        <x:v>incoming/raw/recovery-drop-01/physics_egkr_winter_visual_assets_v098.zip!/pages/VIS-EGKR-PHY-W25-TASK-953-P002.png</x:v>
      </x:c>
      <x:c r="R790" s="30" t="str">
        <x:v>MATCHED_ASSET</x:v>
      </x:c>
      <x:c r="S790" t="e">
        <x:f>HYPERLINK("visual_gallery/index.html#"&amp;A790,"Галерея")</x:f>
      </x:c>
    </x:row>
    <x:row r="791">
      <x:c r="A791" s="87" t="str">
        <x:v>VIS-EGKR-PHY-W25-TASK-953-P003</x:v>
      </x:c>
      <x:c r="B791" s="30" t="str">
        <x:v>Физика</x:v>
      </x:c>
      <x:c r="C791" s="30"/>
      <x:c r="D791" s="30" t="str">
        <x:v>953</x:v>
      </x:c>
      <x:c r="E791" s="87" t="str">
        <x:v>TASK</x:v>
      </x:c>
      <x:c r="F791" s="30" t="str">
        <x:v>953.pdf</x:v>
      </x:c>
      <x:c r="G791" s="87" t="str">
        <x:v>3</x:v>
      </x:c>
      <x:c r="H791" s="87" t="str">
        <x:v>v0.98</x:v>
      </x:c>
      <x:c r="I791" s="87" t="str">
        <x:v>4</x:v>
      </x:c>
      <x:c r="J791" s="30" t="str">
        <x:v>VIS_ID</x:v>
      </x:c>
      <x:c r="K791" s="30" t="str">
        <x:v>EGKR-W25-PHY-953-04, EGKR-W25-PHY-953-05, EGKR-W25-PHY-953-06, EGKR-W25-PHY-953-07</x:v>
      </x:c>
      <x:c r="L791" s="87" t="str">
        <x:v>CROP_VERIFIED</x:v>
      </x:c>
      <x:c r="M791" s="87" t="str">
        <x:v>ORIGINAL_PACKAGE</x:v>
      </x:c>
      <x:c r="N791" s="87" t="str">
        <x:v>pages/VIS-EGKR-PHY-W25-TASK-953-P003.png</x:v>
      </x:c>
      <x:c r="O791" s="87" t="str">
        <x:v>thumbnails/VIS-EGKR-PHY-W25-TASK-953-P003.jpg</x:v>
      </x:c>
      <x:c r="P791" s="87" t="str">
        <x:v>b31714672eb46ac0dbafaead1bd7435bbc4032b6a85badea5242c66e0f4a35f0</x:v>
      </x:c>
      <x:c r="Q791" s="30" t="str">
        <x:v>incoming/raw/recovery-drop-01/physics_egkr_winter_visual_assets_v098.zip!/pages/VIS-EGKR-PHY-W25-TASK-953-P003.png</x:v>
      </x:c>
      <x:c r="R791" s="30" t="str">
        <x:v>MATCHED_ASSET</x:v>
      </x:c>
      <x:c r="S791" t="e">
        <x:f>HYPERLINK("visual_gallery/index.html#"&amp;A791,"Галерея")</x:f>
      </x:c>
    </x:row>
    <x:row r="792">
      <x:c r="A792" s="87" t="str">
        <x:v>VIS-EGKR-PHY-W25-TASK-953-P004</x:v>
      </x:c>
      <x:c r="B792" s="30" t="str">
        <x:v>Физика</x:v>
      </x:c>
      <x:c r="C792" s="30"/>
      <x:c r="D792" s="30" t="str">
        <x:v>953</x:v>
      </x:c>
      <x:c r="E792" s="87" t="str">
        <x:v>TASK</x:v>
      </x:c>
      <x:c r="F792" s="30" t="str">
        <x:v>953.pdf</x:v>
      </x:c>
      <x:c r="G792" s="87" t="str">
        <x:v>4</x:v>
      </x:c>
      <x:c r="H792" s="87" t="str">
        <x:v>v0.98</x:v>
      </x:c>
      <x:c r="I792" s="87" t="str">
        <x:v>5</x:v>
      </x:c>
      <x:c r="J792" s="30" t="str">
        <x:v>VIS_ID</x:v>
      </x:c>
      <x:c r="K792" s="30" t="str">
        <x:v>EGKR-W25-PHY-953-08, EGKR-W25-PHY-953-09, EGKR-W25-PHY-953-10, EGKR-W25-PHY-953-11, EGKR-W25-PHY-953-12</x:v>
      </x:c>
      <x:c r="L792" s="87" t="str">
        <x:v>CROP_VERIFIED</x:v>
      </x:c>
      <x:c r="M792" s="87" t="str">
        <x:v>ORIGINAL_PACKAGE</x:v>
      </x:c>
      <x:c r="N792" s="87" t="str">
        <x:v>pages/VIS-EGKR-PHY-W25-TASK-953-P004.png</x:v>
      </x:c>
      <x:c r="O792" s="87" t="str">
        <x:v>thumbnails/VIS-EGKR-PHY-W25-TASK-953-P004.jpg</x:v>
      </x:c>
      <x:c r="P792" s="87" t="str">
        <x:v>1130b82139f0a4938004bc29f020bcb9b5cc3c464c90f37042ee8c209db7a325</x:v>
      </x:c>
      <x:c r="Q792" s="30" t="str">
        <x:v>incoming/raw/recovery-drop-01/physics_egkr_winter_visual_assets_v098.zip!/pages/VIS-EGKR-PHY-W25-TASK-953-P004.png</x:v>
      </x:c>
      <x:c r="R792" s="30" t="str">
        <x:v>MATCHED_ASSET</x:v>
      </x:c>
      <x:c r="S792" t="e">
        <x:f>HYPERLINK("visual_gallery/index.html#"&amp;A792,"Галерея")</x:f>
      </x:c>
    </x:row>
    <x:row r="793">
      <x:c r="A793" s="87" t="str">
        <x:v>VIS-EGKR-PHY-W25-TASK-953-P005</x:v>
      </x:c>
      <x:c r="B793" s="30" t="str">
        <x:v>Физика</x:v>
      </x:c>
      <x:c r="C793" s="30"/>
      <x:c r="D793" s="30" t="str">
        <x:v>953</x:v>
      </x:c>
      <x:c r="E793" s="87" t="str">
        <x:v>TASK</x:v>
      </x:c>
      <x:c r="F793" s="30" t="str">
        <x:v>953.pdf</x:v>
      </x:c>
      <x:c r="G793" s="87" t="str">
        <x:v>5</x:v>
      </x:c>
      <x:c r="H793" s="87" t="str">
        <x:v>v0.98</x:v>
      </x:c>
      <x:c r="I793" s="87" t="str">
        <x:v>6</x:v>
      </x:c>
      <x:c r="J793" s="30" t="str">
        <x:v>VIS_ID</x:v>
      </x:c>
      <x:c r="K793" s="30" t="str">
        <x:v>EGKR-W25-PHY-953-13, EGKR-W25-PHY-953-14, EGKR-W25-PHY-953-15, EGKR-W25-PHY-953-16, EGKR-W25-PHY-953-17, EGKR-W25-PHY-953-18</x:v>
      </x:c>
      <x:c r="L793" s="87" t="str">
        <x:v>CROP_VERIFIED</x:v>
      </x:c>
      <x:c r="M793" s="87" t="str">
        <x:v>ORIGINAL_PACKAGE</x:v>
      </x:c>
      <x:c r="N793" s="87" t="str">
        <x:v>pages/VIS-EGKR-PHY-W25-TASK-953-P005.png</x:v>
      </x:c>
      <x:c r="O793" s="87" t="str">
        <x:v>thumbnails/VIS-EGKR-PHY-W25-TASK-953-P005.jpg</x:v>
      </x:c>
      <x:c r="P793" s="87" t="str">
        <x:v>ccaa82556f976c71db1fd63f420b4ee627a9dd989fa95d9c543ca06af56d903e</x:v>
      </x:c>
      <x:c r="Q793" s="30" t="str">
        <x:v>incoming/raw/recovery-drop-01/physics_egkr_winter_visual_assets_v098.zip!/pages/VIS-EGKR-PHY-W25-TASK-953-P005.png</x:v>
      </x:c>
      <x:c r="R793" s="30" t="str">
        <x:v>MATCHED_ASSET</x:v>
      </x:c>
      <x:c r="S793" t="e">
        <x:f>HYPERLINK("visual_gallery/index.html#"&amp;A793,"Галерея")</x:f>
      </x:c>
    </x:row>
    <x:row r="794">
      <x:c r="A794" s="87" t="str">
        <x:v>VIS-EGKR-PHY-W25-TASK-953-P006</x:v>
      </x:c>
      <x:c r="B794" s="30" t="str">
        <x:v>Физика</x:v>
      </x:c>
      <x:c r="C794" s="30"/>
      <x:c r="D794" s="30" t="str">
        <x:v>953</x:v>
      </x:c>
      <x:c r="E794" s="87" t="str">
        <x:v>TASK</x:v>
      </x:c>
      <x:c r="F794" s="30" t="str">
        <x:v>953.pdf</x:v>
      </x:c>
      <x:c r="G794" s="87" t="str">
        <x:v>6</x:v>
      </x:c>
      <x:c r="H794" s="87" t="str">
        <x:v>v0.98</x:v>
      </x:c>
      <x:c r="I794" s="87" t="str">
        <x:v>2</x:v>
      </x:c>
      <x:c r="J794" s="30" t="str">
        <x:v>VIS_ID</x:v>
      </x:c>
      <x:c r="K794" s="30" t="str">
        <x:v>EGKR-W25-PHY-953-19, EGKR-W25-PHY-953-20</x:v>
      </x:c>
      <x:c r="L794" s="87" t="str">
        <x:v>CROP_VERIFIED</x:v>
      </x:c>
      <x:c r="M794" s="87" t="str">
        <x:v>ORIGINAL_PACKAGE</x:v>
      </x:c>
      <x:c r="N794" s="87" t="str">
        <x:v>pages/VIS-EGKR-PHY-W25-TASK-953-P006.png</x:v>
      </x:c>
      <x:c r="O794" s="87" t="str">
        <x:v>thumbnails/VIS-EGKR-PHY-W25-TASK-953-P006.jpg</x:v>
      </x:c>
      <x:c r="P794" s="87" t="str">
        <x:v>63304afd7ed38fddde4d0e49af15b80ecc19b23c0a5209931eb5459646be78bc</x:v>
      </x:c>
      <x:c r="Q794" s="30" t="str">
        <x:v>incoming/raw/recovery-drop-01/physics_egkr_winter_visual_assets_v098.zip!/pages/VIS-EGKR-PHY-W25-TASK-953-P006.png</x:v>
      </x:c>
      <x:c r="R794" s="30" t="str">
        <x:v>MATCHED_ASSET</x:v>
      </x:c>
      <x:c r="S794" t="e">
        <x:f>HYPERLINK("visual_gallery/index.html#"&amp;A794,"Галерея")</x:f>
      </x:c>
    </x:row>
    <x:row r="795">
      <x:c r="A795" s="87" t="str">
        <x:v>VIS-EGKR-PHY-W25-TASK-953-P007</x:v>
      </x:c>
      <x:c r="B795" s="30" t="str">
        <x:v>Физика</x:v>
      </x:c>
      <x:c r="C795" s="30"/>
      <x:c r="D795" s="30" t="str">
        <x:v>953</x:v>
      </x:c>
      <x:c r="E795" s="87" t="str">
        <x:v>TASK</x:v>
      </x:c>
      <x:c r="F795" s="30" t="str">
        <x:v>953.pdf</x:v>
      </x:c>
      <x:c r="G795" s="87" t="str">
        <x:v>7</x:v>
      </x:c>
      <x:c r="H795" s="87" t="str">
        <x:v>v0.98</x:v>
      </x:c>
      <x:c r="I795" s="87" t="str">
        <x:v>6</x:v>
      </x:c>
      <x:c r="J795" s="30" t="str">
        <x:v>VIS_ID</x:v>
      </x:c>
      <x:c r="K795" s="30" t="str">
        <x:v>EGKR-W25-PHY-953-21, EGKR-W25-PHY-953-22, EGKR-W25-PHY-953-23, EGKR-W25-PHY-953-24, EGKR-W25-PHY-953-25, EGKR-W25-PHY-953-26</x:v>
      </x:c>
      <x:c r="L795" s="87" t="str">
        <x:v>CROP_VERIFIED</x:v>
      </x:c>
      <x:c r="M795" s="87" t="str">
        <x:v>ORIGINAL_PACKAGE</x:v>
      </x:c>
      <x:c r="N795" s="87" t="str">
        <x:v>pages/VIS-EGKR-PHY-W25-TASK-953-P007.png</x:v>
      </x:c>
      <x:c r="O795" s="87" t="str">
        <x:v>thumbnails/VIS-EGKR-PHY-W25-TASK-953-P007.jpg</x:v>
      </x:c>
      <x:c r="P795" s="87" t="str">
        <x:v>3ccb3af6e942f871c8f5c7017675f2b9219bbe6f1dad60633e9230e8b395f9fb</x:v>
      </x:c>
      <x:c r="Q795" s="30" t="str">
        <x:v>incoming/raw/recovery-drop-01/physics_egkr_winter_visual_assets_v098.zip!/pages/VIS-EGKR-PHY-W25-TASK-953-P007.png</x:v>
      </x:c>
      <x:c r="R795" s="30" t="str">
        <x:v>MATCHED_ASSET</x:v>
      </x:c>
      <x:c r="S795" t="e">
        <x:f>HYPERLINK("visual_gallery/index.html#"&amp;A795,"Галерея")</x:f>
      </x:c>
    </x:row>
    <x:row r="796">
      <x:c r="A796" s="87" t="str">
        <x:v>VIS-EGKR-RUS-S26-ANSWERDOC-P001</x:v>
      </x:c>
      <x:c r="B796" s="30" t="str">
        <x:v>Русский язык</x:v>
      </x:c>
      <x:c r="C796" s="30"/>
      <x:c r="D796" s="30" t="str">
        <x:v>959–965</x:v>
      </x:c>
      <x:c r="E796" s="87" t="str">
        <x:v>SECONDARY_ANSWER_SOURCE</x:v>
      </x:c>
      <x:c r="F796" s="30" t="str">
        <x:v>Ответы (5).docx</x:v>
      </x:c>
      <x:c r="G796" s="87" t="str">
        <x:v>1</x:v>
      </x:c>
      <x:c r="H796" s="87" t="str">
        <x:v>v0.99</x:v>
      </x:c>
      <x:c r="I796" s="87" t="str">
        <x:v>52</x:v>
      </x:c>
      <x:c r="J796" s="30" t="str">
        <x:v>VIS_KEY / MODEL</x:v>
      </x:c>
      <x:c r="K796" s="30" t="str">
        <x:v>EGKR-S26-RUS-959-01, EGKR-S26-RUS-959-02, EGKR-S26-RUS-959-03, EGKR-S26-RUS-959-04, EGKR-S26-RUS-959-05, EGKR-S26-RUS-959-06, EGKR-S26-RUS-959-07, EGKR-S26-RUS-959-08…</x:v>
      </x:c>
      <x:c r="L796" s="87" t="str">
        <x:v>CROP_VERIFIED</x:v>
      </x:c>
      <x:c r="M796" s="87" t="str">
        <x:v>ORIGINAL_PACKAGE</x:v>
      </x:c>
      <x:c r="N796" s="87" t="str">
        <x:v>pages/VIS-EGKR-RUS-S26-ANSWERDOC-P001.png</x:v>
      </x:c>
      <x:c r="O796" s="87" t="str">
        <x:v>thumbnails/VIS-EGKR-RUS-S26-ANSWERDOC-P001.jpg</x:v>
      </x:c>
      <x:c r="P796" s="87" t="str">
        <x:v>0cde83435f8438cd1332d129d37f25070a10e477b032f12b7f13ad0202d6995b</x:v>
      </x:c>
      <x:c r="Q796" s="30" t="str">
        <x:v>incoming/raw/recovery-drop-01/russian_egkr_spring_visual_assets_v099.zip!/pages/VIS-EGKR-RUS-S26-ANSWERDOC-P001.png</x:v>
      </x:c>
      <x:c r="R796" s="30" t="str">
        <x:v>MATCHED_ASSET</x:v>
      </x:c>
      <x:c r="S796" t="e">
        <x:f>HYPERLINK("visual_gallery/index.html#"&amp;A796,"Галерея")</x:f>
      </x:c>
    </x:row>
    <x:row r="797">
      <x:c r="A797" s="87" t="str">
        <x:v>VIS-EGKR-RUS-S26-ANSWERDOC-P002</x:v>
      </x:c>
      <x:c r="B797" s="30" t="str">
        <x:v>Русский язык</x:v>
      </x:c>
      <x:c r="C797" s="30"/>
      <x:c r="D797" s="30" t="str">
        <x:v>959–965</x:v>
      </x:c>
      <x:c r="E797" s="87" t="str">
        <x:v>SECONDARY_ANSWER_SOURCE</x:v>
      </x:c>
      <x:c r="F797" s="30" t="str">
        <x:v>Ответы (5).docx</x:v>
      </x:c>
      <x:c r="G797" s="87" t="str">
        <x:v>2</x:v>
      </x:c>
      <x:c r="H797" s="87" t="str">
        <x:v>v0.99</x:v>
      </x:c>
      <x:c r="I797" s="87" t="str">
        <x:v>26</x:v>
      </x:c>
      <x:c r="J797" s="30" t="str">
        <x:v>VIS_KEY / MODEL</x:v>
      </x:c>
      <x:c r="K797" s="30" t="str">
        <x:v>EGKR-S26-RUS-961-01, EGKR-S26-RUS-961-02, EGKR-S26-RUS-961-03, EGKR-S26-RUS-961-04, EGKR-S26-RUS-961-05, EGKR-S26-RUS-961-06, EGKR-S26-RUS-961-07, EGKR-S26-RUS-961-08…</x:v>
      </x:c>
      <x:c r="L797" s="87" t="str">
        <x:v>CROP_VERIFIED</x:v>
      </x:c>
      <x:c r="M797" s="87" t="str">
        <x:v>ORIGINAL_PACKAGE</x:v>
      </x:c>
      <x:c r="N797" s="87" t="str">
        <x:v>pages/VIS-EGKR-RUS-S26-ANSWERDOC-P002.png</x:v>
      </x:c>
      <x:c r="O797" s="87" t="str">
        <x:v>thumbnails/VIS-EGKR-RUS-S26-ANSWERDOC-P002.jpg</x:v>
      </x:c>
      <x:c r="P797" s="87" t="str">
        <x:v>d7846bf0257d403de2eb755b4745fcb489027da3bc0a7ead49e13a45bd91a516</x:v>
      </x:c>
      <x:c r="Q797" s="30" t="str">
        <x:v>incoming/raw/recovery-drop-01/russian_egkr_spring_visual_assets_v099.zip!/pages/VIS-EGKR-RUS-S26-ANSWERDOC-P002.png</x:v>
      </x:c>
      <x:c r="R797" s="30" t="str">
        <x:v>MATCHED_ASSET</x:v>
      </x:c>
      <x:c r="S797" t="e">
        <x:f>HYPERLINK("visual_gallery/index.html#"&amp;A797,"Галерея")</x:f>
      </x:c>
    </x:row>
    <x:row r="798">
      <x:c r="A798" s="87" t="str">
        <x:v>VIS-EGKR-RUS-S26-ANSWERDOC-P003</x:v>
      </x:c>
      <x:c r="B798" s="30" t="str">
        <x:v>Русский язык</x:v>
      </x:c>
      <x:c r="C798" s="30"/>
      <x:c r="D798" s="30" t="str">
        <x:v>959–965</x:v>
      </x:c>
      <x:c r="E798" s="87" t="str">
        <x:v>SECONDARY_ANSWER_SOURCE</x:v>
      </x:c>
      <x:c r="F798" s="30" t="str">
        <x:v>Ответы (5).docx</x:v>
      </x:c>
      <x:c r="G798" s="87" t="str">
        <x:v>3</x:v>
      </x:c>
      <x:c r="H798" s="87" t="str">
        <x:v>v0.99</x:v>
      </x:c>
      <x:c r="I798" s="87" t="str">
        <x:v>26</x:v>
      </x:c>
      <x:c r="J798" s="30" t="str">
        <x:v>VIS_KEY / MODEL</x:v>
      </x:c>
      <x:c r="K798" s="30" t="str">
        <x:v>EGKR-S26-RUS-962-01, EGKR-S26-RUS-962-02, EGKR-S26-RUS-962-03, EGKR-S26-RUS-962-04, EGKR-S26-RUS-962-05, EGKR-S26-RUS-962-06, EGKR-S26-RUS-962-07, EGKR-S26-RUS-962-08…</x:v>
      </x:c>
      <x:c r="L798" s="87" t="str">
        <x:v>CROP_VERIFIED</x:v>
      </x:c>
      <x:c r="M798" s="87" t="str">
        <x:v>ORIGINAL_PACKAGE</x:v>
      </x:c>
      <x:c r="N798" s="87" t="str">
        <x:v>pages/VIS-EGKR-RUS-S26-ANSWERDOC-P003.png</x:v>
      </x:c>
      <x:c r="O798" s="87" t="str">
        <x:v>thumbnails/VIS-EGKR-RUS-S26-ANSWERDOC-P003.jpg</x:v>
      </x:c>
      <x:c r="P798" s="87" t="str">
        <x:v>62e8c4e15cf35a7450148320b43bba2ca2a7eaf433f4cc28501851c0d351d844</x:v>
      </x:c>
      <x:c r="Q798" s="30" t="str">
        <x:v>incoming/raw/recovery-drop-01/russian_egkr_spring_visual_assets_v099.zip!/pages/VIS-EGKR-RUS-S26-ANSWERDOC-P003.png</x:v>
      </x:c>
      <x:c r="R798" s="30" t="str">
        <x:v>MATCHED_ASSET</x:v>
      </x:c>
      <x:c r="S798" t="e">
        <x:f>HYPERLINK("visual_gallery/index.html#"&amp;A798,"Галерея")</x:f>
      </x:c>
    </x:row>
    <x:row r="799">
      <x:c r="A799" s="87" t="str">
        <x:v>VIS-EGKR-RUS-S26-ANSWERDOC-P004</x:v>
      </x:c>
      <x:c r="B799" s="30" t="str">
        <x:v>Русский язык</x:v>
      </x:c>
      <x:c r="C799" s="30"/>
      <x:c r="D799" s="30" t="str">
        <x:v>959–965</x:v>
      </x:c>
      <x:c r="E799" s="87" t="str">
        <x:v>SECONDARY_ANSWER_SOURCE</x:v>
      </x:c>
      <x:c r="F799" s="30" t="str">
        <x:v>Ответы (5).docx</x:v>
      </x:c>
      <x:c r="G799" s="87" t="str">
        <x:v>4</x:v>
      </x:c>
      <x:c r="H799" s="87" t="str">
        <x:v>v0.99</x:v>
      </x:c>
      <x:c r="I799" s="87" t="str">
        <x:v>26</x:v>
      </x:c>
      <x:c r="J799" s="30" t="str">
        <x:v>VIS_KEY / MODEL</x:v>
      </x:c>
      <x:c r="K799" s="30" t="str">
        <x:v>EGKR-S26-RUS-963-01, EGKR-S26-RUS-963-02, EGKR-S26-RUS-963-03, EGKR-S26-RUS-963-04, EGKR-S26-RUS-963-05, EGKR-S26-RUS-963-06, EGKR-S26-RUS-963-07, EGKR-S26-RUS-963-08…</x:v>
      </x:c>
      <x:c r="L799" s="87" t="str">
        <x:v>CROP_VERIFIED</x:v>
      </x:c>
      <x:c r="M799" s="87" t="str">
        <x:v>ORIGINAL_PACKAGE</x:v>
      </x:c>
      <x:c r="N799" s="87" t="str">
        <x:v>pages/VIS-EGKR-RUS-S26-ANSWERDOC-P004.png</x:v>
      </x:c>
      <x:c r="O799" s="87" t="str">
        <x:v>thumbnails/VIS-EGKR-RUS-S26-ANSWERDOC-P004.jpg</x:v>
      </x:c>
      <x:c r="P799" s="87" t="str">
        <x:v>e5f7ed0c0909cfe6abd7399f0a24fb52e8e85f233671fce9162c43560204686b</x:v>
      </x:c>
      <x:c r="Q799" s="30" t="str">
        <x:v>incoming/raw/recovery-drop-01/russian_egkr_spring_visual_assets_v099.zip!/pages/VIS-EGKR-RUS-S26-ANSWERDOC-P004.png</x:v>
      </x:c>
      <x:c r="R799" s="30" t="str">
        <x:v>MATCHED_ASSET</x:v>
      </x:c>
      <x:c r="S799" t="e">
        <x:f>HYPERLINK("visual_gallery/index.html#"&amp;A799,"Галерея")</x:f>
      </x:c>
    </x:row>
    <x:row r="800">
      <x:c r="A800" s="87" t="str">
        <x:v>VIS-EGKR-RUS-S26-ANSWERDOC-P005</x:v>
      </x:c>
      <x:c r="B800" s="30" t="str">
        <x:v>Русский язык</x:v>
      </x:c>
      <x:c r="C800" s="30"/>
      <x:c r="D800" s="30" t="str">
        <x:v>959–965</x:v>
      </x:c>
      <x:c r="E800" s="87" t="str">
        <x:v>SECONDARY_ANSWER_SOURCE</x:v>
      </x:c>
      <x:c r="F800" s="30" t="str">
        <x:v>Ответы (5).docx</x:v>
      </x:c>
      <x:c r="G800" s="87" t="str">
        <x:v>5</x:v>
      </x:c>
      <x:c r="H800" s="87" t="str">
        <x:v>v0.99</x:v>
      </x:c>
      <x:c r="I800" s="87" t="str">
        <x:v>26</x:v>
      </x:c>
      <x:c r="J800" s="30" t="str">
        <x:v>VIS_KEY / MODEL</x:v>
      </x:c>
      <x:c r="K800" s="30" t="str">
        <x:v>EGKR-S26-RUS-964-01, EGKR-S26-RUS-964-02, EGKR-S26-RUS-964-03, EGKR-S26-RUS-964-04, EGKR-S26-RUS-964-05, EGKR-S26-RUS-964-06, EGKR-S26-RUS-964-07, EGKR-S26-RUS-964-08…</x:v>
      </x:c>
      <x:c r="L800" s="87" t="str">
        <x:v>CROP_VERIFIED</x:v>
      </x:c>
      <x:c r="M800" s="87" t="str">
        <x:v>ORIGINAL_PACKAGE</x:v>
      </x:c>
      <x:c r="N800" s="87" t="str">
        <x:v>pages/VIS-EGKR-RUS-S26-ANSWERDOC-P005.png</x:v>
      </x:c>
      <x:c r="O800" s="87" t="str">
        <x:v>thumbnails/VIS-EGKR-RUS-S26-ANSWERDOC-P005.jpg</x:v>
      </x:c>
      <x:c r="P800" s="87" t="str">
        <x:v>b9f5b3abad974c5171ff12d8880e023f666d265bb1b18e71f760fe9244b24671</x:v>
      </x:c>
      <x:c r="Q800" s="30" t="str">
        <x:v>incoming/raw/recovery-drop-01/russian_egkr_spring_visual_assets_v099.zip!/pages/VIS-EGKR-RUS-S26-ANSWERDOC-P005.png</x:v>
      </x:c>
      <x:c r="R800" s="30" t="str">
        <x:v>MATCHED_ASSET</x:v>
      </x:c>
      <x:c r="S800" t="e">
        <x:f>HYPERLINK("visual_gallery/index.html#"&amp;A800,"Галерея")</x:f>
      </x:c>
    </x:row>
    <x:row r="801">
      <x:c r="A801" s="87" t="str">
        <x:v>VIS-EGKR-RUS-S26-ANSWERDOC-P006</x:v>
      </x:c>
      <x:c r="B801" s="30" t="str">
        <x:v>Русский язык</x:v>
      </x:c>
      <x:c r="C801" s="30"/>
      <x:c r="D801" s="30" t="str">
        <x:v>959–965</x:v>
      </x:c>
      <x:c r="E801" s="87" t="str">
        <x:v>SECONDARY_ANSWER_SOURCE</x:v>
      </x:c>
      <x:c r="F801" s="30" t="str">
        <x:v>Ответы (5).docx</x:v>
      </x:c>
      <x:c r="G801" s="87" t="str">
        <x:v>6</x:v>
      </x:c>
      <x:c r="H801" s="87" t="str">
        <x:v>v0.99</x:v>
      </x:c>
      <x:c r="I801" s="87" t="str">
        <x:v>26</x:v>
      </x:c>
      <x:c r="J801" s="30" t="str">
        <x:v>VIS_KEY / MODEL</x:v>
      </x:c>
      <x:c r="K801" s="30" t="str">
        <x:v>EGKR-S26-RUS-965-01, EGKR-S26-RUS-965-02, EGKR-S26-RUS-965-03, EGKR-S26-RUS-965-04, EGKR-S26-RUS-965-05, EGKR-S26-RUS-965-06, EGKR-S26-RUS-965-07, EGKR-S26-RUS-965-08…</x:v>
      </x:c>
      <x:c r="L801" s="87" t="str">
        <x:v>CROP_VERIFIED</x:v>
      </x:c>
      <x:c r="M801" s="87" t="str">
        <x:v>ORIGINAL_PACKAGE</x:v>
      </x:c>
      <x:c r="N801" s="87" t="str">
        <x:v>pages/VIS-EGKR-RUS-S26-ANSWERDOC-P006.png</x:v>
      </x:c>
      <x:c r="O801" s="87" t="str">
        <x:v>thumbnails/VIS-EGKR-RUS-S26-ANSWERDOC-P006.jpg</x:v>
      </x:c>
      <x:c r="P801" s="87" t="str">
        <x:v>226cb64398d3d3ed7827968d65a8c23fbf29b4b8d15affbdddc05680a440946e</x:v>
      </x:c>
      <x:c r="Q801" s="30" t="str">
        <x:v>incoming/raw/recovery-drop-01/russian_egkr_spring_visual_assets_v099.zip!/pages/VIS-EGKR-RUS-S26-ANSWERDOC-P006.png</x:v>
      </x:c>
      <x:c r="R801" s="30" t="str">
        <x:v>MATCHED_ASSET</x:v>
      </x:c>
      <x:c r="S801" t="e">
        <x:f>HYPERLINK("visual_gallery/index.html#"&amp;A801,"Галерея")</x:f>
      </x:c>
    </x:row>
    <x:row r="802">
      <x:c r="A802" s="87" t="str">
        <x:v>VIS-EGKR-RUS-S26-COMPLETE-964-P001</x:v>
      </x:c>
      <x:c r="B802" s="30" t="str">
        <x:v>Русский язык</x:v>
      </x:c>
      <x:c r="C802" s="30"/>
      <x:c r="D802" s="30" t="str">
        <x:v>964</x:v>
      </x:c>
      <x:c r="E802" s="87" t="str">
        <x:v>COMPLETION_SOURCE</x:v>
      </x:c>
      <x:c r="F802" s="30" t="str">
        <x:v>Конец 964 варианта.docx</x:v>
      </x:c>
      <x:c r="G802" s="87" t="str">
        <x:v>1</x:v>
      </x:c>
      <x:c r="H802" s="87" t="str">
        <x:v>v0.99</x:v>
      </x:c>
      <x:c r="I802" s="87" t="str">
        <x:v>1</x:v>
      </x:c>
      <x:c r="J802" s="30" t="str">
        <x:v>VIS_KEY / MODEL</x:v>
      </x:c>
      <x:c r="K802" s="30" t="str">
        <x:v>EGKR-S26-RUS-964-27</x:v>
      </x:c>
      <x:c r="L802" s="87" t="str">
        <x:v>CROP_VERIFIED</x:v>
      </x:c>
      <x:c r="M802" s="87" t="str">
        <x:v>ORIGINAL_PACKAGE</x:v>
      </x:c>
      <x:c r="N802" s="87" t="str">
        <x:v>pages/VIS-EGKR-RUS-S26-COMPLETE-964-P001.png</x:v>
      </x:c>
      <x:c r="O802" s="87" t="str">
        <x:v>thumbnails/VIS-EGKR-RUS-S26-COMPLETE-964-P001.jpg</x:v>
      </x:c>
      <x:c r="P802" s="87" t="str">
        <x:v>610b7caa8b2ecbff09f9241bd33a8b1154dcd8c034acdab853937df0fa584167</x:v>
      </x:c>
      <x:c r="Q802" s="30" t="str">
        <x:v>incoming/raw/recovery-drop-01/russian_egkr_spring_visual_assets_v099.zip!/pages/VIS-EGKR-RUS-S26-COMPLETE-964-P001.png</x:v>
      </x:c>
      <x:c r="R802" s="30" t="str">
        <x:v>MATCHED_ASSET</x:v>
      </x:c>
      <x:c r="S802" t="e">
        <x:f>HYPERLINK("visual_gallery/index.html#"&amp;A802,"Галерея")</x:f>
      </x:c>
    </x:row>
    <x:row r="803">
      <x:c r="A803" s="87" t="str">
        <x:v>VIS-EGKR-RUS-S26-COMPLETE-964-P002</x:v>
      </x:c>
      <x:c r="B803" s="30" t="str"/>
      <x:c r="C803" s="30"/>
      <x:c r="D803" s="30" t="str">
        <x:v>964</x:v>
      </x:c>
      <x:c r="E803" s="87" t="str">
        <x:v>COMPLETION_SOURCE</x:v>
      </x:c>
      <x:c r="F803" s="30" t="str">
        <x:v>Конец 964 варианта.docx</x:v>
      </x:c>
      <x:c r="G803" s="87" t="str">
        <x:v>2</x:v>
      </x:c>
      <x:c r="H803" s="87" t="str">
        <x:v>v0.99</x:v>
      </x:c>
      <x:c r="I803" s="87" t="str">
        <x:v>0</x:v>
      </x:c>
      <x:c r="J803" s="30" t="str"/>
      <x:c r="K803" s="30" t="str"/>
      <x:c r="L803" s="87" t="str">
        <x:v>CROP_VERIFIED</x:v>
      </x:c>
      <x:c r="M803" s="87" t="str">
        <x:v>ORIGINAL_PACKAGE</x:v>
      </x:c>
      <x:c r="N803" s="87" t="str">
        <x:v>pages/VIS-EGKR-RUS-S26-COMPLETE-964-P002.png</x:v>
      </x:c>
      <x:c r="O803" s="87" t="str">
        <x:v>thumbnails/VIS-EGKR-RUS-S26-COMPLETE-964-P002.jpg</x:v>
      </x:c>
      <x:c r="P803" s="87" t="str">
        <x:v>a25384b701729319754e6f23981b62ad601490e48ea13a20da14d85bd8e38c33</x:v>
      </x:c>
      <x:c r="Q803" s="30" t="str">
        <x:v>incoming/raw/recovery-drop-01/russian_egkr_spring_visual_assets_v099.zip!/pages/VIS-EGKR-RUS-S26-COMPLETE-964-P002.png</x:v>
      </x:c>
      <x:c r="R803" s="30" t="str">
        <x:v>RESOLVED_UNLINKED_REGISTRY_VISUAL</x:v>
      </x:c>
      <x:c r="S803" t="e">
        <x:f>HYPERLINK("visual_gallery/index.html#"&amp;A803,"Галерея")</x:f>
      </x:c>
    </x:row>
    <x:row r="804">
      <x:c r="A804" s="87" t="str">
        <x:v>VIS-EGKR-RUS-S26-TASK-959-P001</x:v>
      </x:c>
      <x:c r="B804" s="30" t="str"/>
      <x:c r="C804" s="30"/>
      <x:c r="D804" s="30" t="str">
        <x:v>959</x:v>
      </x:c>
      <x:c r="E804" s="87" t="str">
        <x:v>TASK</x:v>
      </x:c>
      <x:c r="F804" s="30" t="str">
        <x:v>ЕГКР 959 по русскому языку.pdf</x:v>
      </x:c>
      <x:c r="G804" s="87" t="str">
        <x:v>1</x:v>
      </x:c>
      <x:c r="H804" s="87" t="str">
        <x:v>v0.99</x:v>
      </x:c>
      <x:c r="I804" s="87" t="str">
        <x:v>0</x:v>
      </x:c>
      <x:c r="J804" s="30" t="str"/>
      <x:c r="K804" s="30" t="str"/>
      <x:c r="L804" s="87" t="str">
        <x:v>CROP_VERIFIED</x:v>
      </x:c>
      <x:c r="M804" s="87" t="str">
        <x:v>ORIGINAL_PACKAGE</x:v>
      </x:c>
      <x:c r="N804" s="87" t="str">
        <x:v>pages/VIS-EGKR-RUS-S26-TASK-959-P001.png</x:v>
      </x:c>
      <x:c r="O804" s="87" t="str">
        <x:v>thumbnails/VIS-EGKR-RUS-S26-TASK-959-P001.jpg</x:v>
      </x:c>
      <x:c r="P804" s="87" t="str">
        <x:v>f4af4041e6964aedd3bc56f8817eefeee511f123ba03f1eef82a9b6a7464ac13</x:v>
      </x:c>
      <x:c r="Q804" s="30" t="str">
        <x:v>incoming/raw/recovery-drop-01/russian_egkr_spring_visual_assets_v099.zip!/pages/VIS-EGKR-RUS-S26-TASK-959-P001.png</x:v>
      </x:c>
      <x:c r="R804" s="30" t="str">
        <x:v>RESOLVED_UNLINKED_REGISTRY_VISUAL</x:v>
      </x:c>
      <x:c r="S804" t="e">
        <x:f>HYPERLINK("visual_gallery/index.html#"&amp;A804,"Галерея")</x:f>
      </x:c>
    </x:row>
    <x:row r="805">
      <x:c r="A805" s="87" t="str">
        <x:v>VIS-EGKR-RUS-S26-TASK-959-P002</x:v>
      </x:c>
      <x:c r="B805" s="30" t="str"/>
      <x:c r="C805" s="30"/>
      <x:c r="D805" s="30" t="str">
        <x:v>959</x:v>
      </x:c>
      <x:c r="E805" s="87" t="str">
        <x:v>TASK</x:v>
      </x:c>
      <x:c r="F805" s="30" t="str">
        <x:v>ЕГКР 959 по русскому языку.pdf</x:v>
      </x:c>
      <x:c r="G805" s="87" t="str">
        <x:v>2</x:v>
      </x:c>
      <x:c r="H805" s="87" t="str">
        <x:v>v0.99</x:v>
      </x:c>
      <x:c r="I805" s="87" t="str">
        <x:v>0</x:v>
      </x:c>
      <x:c r="J805" s="30" t="str"/>
      <x:c r="K805" s="30" t="str"/>
      <x:c r="L805" s="87" t="str">
        <x:v>CROP_VERIFIED</x:v>
      </x:c>
      <x:c r="M805" s="87" t="str">
        <x:v>ORIGINAL_PACKAGE</x:v>
      </x:c>
      <x:c r="N805" s="87" t="str">
        <x:v>pages/VIS-EGKR-RUS-S26-TASK-959-P002.png</x:v>
      </x:c>
      <x:c r="O805" s="87" t="str">
        <x:v>thumbnails/VIS-EGKR-RUS-S26-TASK-959-P002.jpg</x:v>
      </x:c>
      <x:c r="P805" s="87" t="str">
        <x:v>31e77d60edfe9e1f062f38bf39a9359928f893b898ffa45ffb3aac1f9f9b16bc</x:v>
      </x:c>
      <x:c r="Q805" s="30" t="str">
        <x:v>incoming/raw/recovery-drop-01/russian_egkr_spring_visual_assets_v099.zip!/pages/VIS-EGKR-RUS-S26-TASK-959-P002.png</x:v>
      </x:c>
      <x:c r="R805" s="30" t="str">
        <x:v>RESOLVED_UNLINKED_REGISTRY_VISUAL</x:v>
      </x:c>
      <x:c r="S805" t="e">
        <x:f>HYPERLINK("visual_gallery/index.html#"&amp;A805,"Галерея")</x:f>
      </x:c>
    </x:row>
    <x:row r="806">
      <x:c r="A806" s="87" t="str">
        <x:v>VIS-EGKR-RUS-S26-TASK-959-P003</x:v>
      </x:c>
      <x:c r="B806" s="30" t="str">
        <x:v>Русский язык</x:v>
      </x:c>
      <x:c r="C806" s="30"/>
      <x:c r="D806" s="30" t="str">
        <x:v>959</x:v>
      </x:c>
      <x:c r="E806" s="87" t="str">
        <x:v>TASK</x:v>
      </x:c>
      <x:c r="F806" s="30" t="str">
        <x:v>ЕГКР 959 по русскому языку.pdf</x:v>
      </x:c>
      <x:c r="G806" s="87" t="str">
        <x:v>3</x:v>
      </x:c>
      <x:c r="H806" s="87" t="str">
        <x:v>v0.99</x:v>
      </x:c>
      <x:c r="I806" s="87" t="str">
        <x:v>3</x:v>
      </x:c>
      <x:c r="J806" s="30" t="str">
        <x:v>VIS_ID</x:v>
      </x:c>
      <x:c r="K806" s="30" t="str">
        <x:v>EGKR-S26-RUS-959-01, EGKR-S26-RUS-959-02, EGKR-S26-RUS-959-03</x:v>
      </x:c>
      <x:c r="L806" s="87" t="str">
        <x:v>CROP_VERIFIED</x:v>
      </x:c>
      <x:c r="M806" s="87" t="str">
        <x:v>ORIGINAL_PACKAGE</x:v>
      </x:c>
      <x:c r="N806" s="87" t="str">
        <x:v>pages/VIS-EGKR-RUS-S26-TASK-959-P003.png</x:v>
      </x:c>
      <x:c r="O806" s="87" t="str">
        <x:v>thumbnails/VIS-EGKR-RUS-S26-TASK-959-P003.jpg</x:v>
      </x:c>
      <x:c r="P806" s="87" t="str">
        <x:v>1e7f37c3421a4336cc93fdaa89273a4095a67d6898c14252fd28d758d67fcec9</x:v>
      </x:c>
      <x:c r="Q806" s="30" t="str">
        <x:v>incoming/raw/recovery-drop-01/russian_egkr_spring_visual_assets_v099.zip!/pages/VIS-EGKR-RUS-S26-TASK-959-P003.png</x:v>
      </x:c>
      <x:c r="R806" s="30" t="str">
        <x:v>MATCHED_ASSET</x:v>
      </x:c>
      <x:c r="S806" t="e">
        <x:f>HYPERLINK("visual_gallery/index.html#"&amp;A806,"Галерея")</x:f>
      </x:c>
    </x:row>
    <x:row r="807">
      <x:c r="A807" s="87" t="str">
        <x:v>VIS-EGKR-RUS-S26-TASK-959-P004</x:v>
      </x:c>
      <x:c r="B807" s="30" t="str">
        <x:v>Русский язык</x:v>
      </x:c>
      <x:c r="C807" s="30"/>
      <x:c r="D807" s="30" t="str">
        <x:v>959</x:v>
      </x:c>
      <x:c r="E807" s="87" t="str">
        <x:v>TASK</x:v>
      </x:c>
      <x:c r="F807" s="30" t="str">
        <x:v>ЕГКР 959 по русскому языку.pdf</x:v>
      </x:c>
      <x:c r="G807" s="87" t="str">
        <x:v>4</x:v>
      </x:c>
      <x:c r="H807" s="87" t="str">
        <x:v>v0.99</x:v>
      </x:c>
      <x:c r="I807" s="87" t="str">
        <x:v>4</x:v>
      </x:c>
      <x:c r="J807" s="30" t="str">
        <x:v>VIS_ID</x:v>
      </x:c>
      <x:c r="K807" s="30" t="str">
        <x:v>EGKR-S26-RUS-959-04, EGKR-S26-RUS-959-05, EGKR-S26-RUS-959-06, EGKR-S26-RUS-959-07</x:v>
      </x:c>
      <x:c r="L807" s="87" t="str">
        <x:v>CROP_VERIFIED</x:v>
      </x:c>
      <x:c r="M807" s="87" t="str">
        <x:v>ORIGINAL_PACKAGE</x:v>
      </x:c>
      <x:c r="N807" s="87" t="str">
        <x:v>pages/VIS-EGKR-RUS-S26-TASK-959-P004.png</x:v>
      </x:c>
      <x:c r="O807" s="87" t="str">
        <x:v>thumbnails/VIS-EGKR-RUS-S26-TASK-959-P004.jpg</x:v>
      </x:c>
      <x:c r="P807" s="87" t="str">
        <x:v>8c4945e15bc61753126a679af5aaee5259bd688ff726c1cd889e3f042042f424</x:v>
      </x:c>
      <x:c r="Q807" s="30" t="str">
        <x:v>incoming/raw/recovery-drop-01/russian_egkr_spring_visual_assets_v099.zip!/pages/VIS-EGKR-RUS-S26-TASK-959-P004.png</x:v>
      </x:c>
      <x:c r="R807" s="30" t="str">
        <x:v>MATCHED_ASSET</x:v>
      </x:c>
      <x:c r="S807" t="e">
        <x:f>HYPERLINK("visual_gallery/index.html#"&amp;A807,"Галерея")</x:f>
      </x:c>
    </x:row>
    <x:row r="808">
      <x:c r="A808" s="87" t="str">
        <x:v>VIS-EGKR-RUS-S26-TASK-959-P005</x:v>
      </x:c>
      <x:c r="B808" s="30" t="str">
        <x:v>Русский язык</x:v>
      </x:c>
      <x:c r="C808" s="30"/>
      <x:c r="D808" s="30" t="str">
        <x:v>959</x:v>
      </x:c>
      <x:c r="E808" s="87" t="str">
        <x:v>TASK</x:v>
      </x:c>
      <x:c r="F808" s="30" t="str">
        <x:v>ЕГКР 959 по русскому языку.pdf</x:v>
      </x:c>
      <x:c r="G808" s="87" t="str">
        <x:v>5</x:v>
      </x:c>
      <x:c r="H808" s="87" t="str">
        <x:v>v0.99</x:v>
      </x:c>
      <x:c r="I808" s="87" t="str">
        <x:v>1</x:v>
      </x:c>
      <x:c r="J808" s="30" t="str">
        <x:v>VIS_ID</x:v>
      </x:c>
      <x:c r="K808" s="30" t="str">
        <x:v>EGKR-S26-RUS-959-08</x:v>
      </x:c>
      <x:c r="L808" s="87" t="str">
        <x:v>CROP_VERIFIED</x:v>
      </x:c>
      <x:c r="M808" s="87" t="str">
        <x:v>ORIGINAL_PACKAGE</x:v>
      </x:c>
      <x:c r="N808" s="87" t="str">
        <x:v>pages/VIS-EGKR-RUS-S26-TASK-959-P005.png</x:v>
      </x:c>
      <x:c r="O808" s="87" t="str">
        <x:v>thumbnails/VIS-EGKR-RUS-S26-TASK-959-P005.jpg</x:v>
      </x:c>
      <x:c r="P808" s="87" t="str">
        <x:v>f5caffc9200a0843759acd4b6382795d4b9095b531ae585208f2e357217fb2ce</x:v>
      </x:c>
      <x:c r="Q808" s="30" t="str">
        <x:v>incoming/raw/recovery-drop-01/russian_egkr_spring_visual_assets_v099.zip!/pages/VIS-EGKR-RUS-S26-TASK-959-P005.png</x:v>
      </x:c>
      <x:c r="R808" s="30" t="str">
        <x:v>MATCHED_ASSET</x:v>
      </x:c>
      <x:c r="S808" t="e">
        <x:f>HYPERLINK("visual_gallery/index.html#"&amp;A808,"Галерея")</x:f>
      </x:c>
    </x:row>
    <x:row r="809">
      <x:c r="A809" s="87" t="str">
        <x:v>VIS-EGKR-RUS-S26-TASK-959-P006</x:v>
      </x:c>
      <x:c r="B809" s="30" t="str">
        <x:v>Русский язык</x:v>
      </x:c>
      <x:c r="C809" s="30"/>
      <x:c r="D809" s="30" t="str">
        <x:v>959</x:v>
      </x:c>
      <x:c r="E809" s="87" t="str">
        <x:v>TASK</x:v>
      </x:c>
      <x:c r="F809" s="30" t="str">
        <x:v>ЕГКР 959 по русскому языку.pdf</x:v>
      </x:c>
      <x:c r="G809" s="87" t="str">
        <x:v>6</x:v>
      </x:c>
      <x:c r="H809" s="87" t="str">
        <x:v>v0.99</x:v>
      </x:c>
      <x:c r="I809" s="87" t="str">
        <x:v>4</x:v>
      </x:c>
      <x:c r="J809" s="30" t="str">
        <x:v>VIS_ID</x:v>
      </x:c>
      <x:c r="K809" s="30" t="str">
        <x:v>EGKR-S26-RUS-959-09, EGKR-S26-RUS-959-10, EGKR-S26-RUS-959-11, EGKR-S26-RUS-959-12</x:v>
      </x:c>
      <x:c r="L809" s="87" t="str">
        <x:v>CROP_VERIFIED</x:v>
      </x:c>
      <x:c r="M809" s="87" t="str">
        <x:v>ORIGINAL_PACKAGE</x:v>
      </x:c>
      <x:c r="N809" s="87" t="str">
        <x:v>pages/VIS-EGKR-RUS-S26-TASK-959-P006.png</x:v>
      </x:c>
      <x:c r="O809" s="87" t="str">
        <x:v>thumbnails/VIS-EGKR-RUS-S26-TASK-959-P006.jpg</x:v>
      </x:c>
      <x:c r="P809" s="87" t="str">
        <x:v>b3f7e763be582ea37dd5376f3915b27639f05151a20a83f60e597a8d3de49a0c</x:v>
      </x:c>
      <x:c r="Q809" s="30" t="str">
        <x:v>incoming/raw/recovery-drop-01/russian_egkr_spring_visual_assets_v099.zip!/pages/VIS-EGKR-RUS-S26-TASK-959-P006.png</x:v>
      </x:c>
      <x:c r="R809" s="30" t="str">
        <x:v>MATCHED_ASSET</x:v>
      </x:c>
      <x:c r="S809" t="e">
        <x:f>HYPERLINK("visual_gallery/index.html#"&amp;A809,"Галерея")</x:f>
      </x:c>
    </x:row>
    <x:row r="810">
      <x:c r="A810" s="87" t="str">
        <x:v>VIS-EGKR-RUS-S26-TASK-959-P007</x:v>
      </x:c>
      <x:c r="B810" s="30" t="str">
        <x:v>Русский язык</x:v>
      </x:c>
      <x:c r="C810" s="30"/>
      <x:c r="D810" s="30" t="str">
        <x:v>959</x:v>
      </x:c>
      <x:c r="E810" s="87" t="str">
        <x:v>TASK</x:v>
      </x:c>
      <x:c r="F810" s="30" t="str">
        <x:v>ЕГКР 959 по русскому языку.pdf</x:v>
      </x:c>
      <x:c r="G810" s="87" t="str">
        <x:v>7</x:v>
      </x:c>
      <x:c r="H810" s="87" t="str">
        <x:v>v0.99</x:v>
      </x:c>
      <x:c r="I810" s="87" t="str">
        <x:v>3</x:v>
      </x:c>
      <x:c r="J810" s="30" t="str">
        <x:v>VIS_ID</x:v>
      </x:c>
      <x:c r="K810" s="30" t="str">
        <x:v>EGKR-S26-RUS-959-13, EGKR-S26-RUS-959-14, EGKR-S26-RUS-959-15</x:v>
      </x:c>
      <x:c r="L810" s="87" t="str">
        <x:v>CROP_VERIFIED</x:v>
      </x:c>
      <x:c r="M810" s="87" t="str">
        <x:v>ORIGINAL_PACKAGE</x:v>
      </x:c>
      <x:c r="N810" s="87" t="str">
        <x:v>pages/VIS-EGKR-RUS-S26-TASK-959-P007.png</x:v>
      </x:c>
      <x:c r="O810" s="87" t="str">
        <x:v>thumbnails/VIS-EGKR-RUS-S26-TASK-959-P007.jpg</x:v>
      </x:c>
      <x:c r="P810" s="87" t="str">
        <x:v>b04fd61304e37458adefe0b1d7dafbfec1d1fa552d698b6ca6066ab9adc88deb</x:v>
      </x:c>
      <x:c r="Q810" s="30" t="str">
        <x:v>incoming/raw/recovery-drop-01/russian_egkr_spring_visual_assets_v099.zip!/pages/VIS-EGKR-RUS-S26-TASK-959-P007.png</x:v>
      </x:c>
      <x:c r="R810" s="30" t="str">
        <x:v>MATCHED_ASSET</x:v>
      </x:c>
      <x:c r="S810" t="e">
        <x:f>HYPERLINK("visual_gallery/index.html#"&amp;A810,"Галерея")</x:f>
      </x:c>
    </x:row>
    <x:row r="811">
      <x:c r="A811" s="87" t="str">
        <x:v>VIS-EGKR-RUS-S26-TASK-959-P008</x:v>
      </x:c>
      <x:c r="B811" s="30" t="str">
        <x:v>Русский язык</x:v>
      </x:c>
      <x:c r="C811" s="30"/>
      <x:c r="D811" s="30" t="str">
        <x:v>959</x:v>
      </x:c>
      <x:c r="E811" s="87" t="str">
        <x:v>TASK</x:v>
      </x:c>
      <x:c r="F811" s="30" t="str">
        <x:v>ЕГКР 959 по русскому языку.pdf</x:v>
      </x:c>
      <x:c r="G811" s="87" t="str">
        <x:v>8</x:v>
      </x:c>
      <x:c r="H811" s="87" t="str">
        <x:v>v0.99</x:v>
      </x:c>
      <x:c r="I811" s="87" t="str">
        <x:v>3</x:v>
      </x:c>
      <x:c r="J811" s="30" t="str">
        <x:v>VIS_ID</x:v>
      </x:c>
      <x:c r="K811" s="30" t="str">
        <x:v>EGKR-S26-RUS-959-16, EGKR-S26-RUS-959-17, EGKR-S26-RUS-959-18</x:v>
      </x:c>
      <x:c r="L811" s="87" t="str">
        <x:v>CROP_VERIFIED</x:v>
      </x:c>
      <x:c r="M811" s="87" t="str">
        <x:v>ORIGINAL_PACKAGE</x:v>
      </x:c>
      <x:c r="N811" s="87" t="str">
        <x:v>pages/VIS-EGKR-RUS-S26-TASK-959-P008.png</x:v>
      </x:c>
      <x:c r="O811" s="87" t="str">
        <x:v>thumbnails/VIS-EGKR-RUS-S26-TASK-959-P008.jpg</x:v>
      </x:c>
      <x:c r="P811" s="87" t="str">
        <x:v>0a94132ab26e7399e125a388652544b8c2367144e8476870b346c076cc5c55ca</x:v>
      </x:c>
      <x:c r="Q811" s="30" t="str">
        <x:v>incoming/raw/recovery-drop-01/russian_egkr_spring_visual_assets_v099.zip!/pages/VIS-EGKR-RUS-S26-TASK-959-P008.png</x:v>
      </x:c>
      <x:c r="R811" s="30" t="str">
        <x:v>MATCHED_ASSET</x:v>
      </x:c>
      <x:c r="S811" t="e">
        <x:f>HYPERLINK("visual_gallery/index.html#"&amp;A811,"Галерея")</x:f>
      </x:c>
    </x:row>
    <x:row r="812">
      <x:c r="A812" s="87" t="str">
        <x:v>VIS-EGKR-RUS-S26-TASK-959-P009</x:v>
      </x:c>
      <x:c r="B812" s="30" t="str">
        <x:v>Русский язык</x:v>
      </x:c>
      <x:c r="C812" s="30"/>
      <x:c r="D812" s="30" t="str">
        <x:v>959</x:v>
      </x:c>
      <x:c r="E812" s="87" t="str">
        <x:v>TASK</x:v>
      </x:c>
      <x:c r="F812" s="30" t="str">
        <x:v>ЕГКР 959 по русскому языку.pdf</x:v>
      </x:c>
      <x:c r="G812" s="87" t="str">
        <x:v>9</x:v>
      </x:c>
      <x:c r="H812" s="87" t="str">
        <x:v>v0.99</x:v>
      </x:c>
      <x:c r="I812" s="87" t="str">
        <x:v>3</x:v>
      </x:c>
      <x:c r="J812" s="30" t="str">
        <x:v>VIS_ID</x:v>
      </x:c>
      <x:c r="K812" s="30" t="str">
        <x:v>EGKR-S26-RUS-959-19, EGKR-S26-RUS-959-20, EGKR-S26-RUS-959-21</x:v>
      </x:c>
      <x:c r="L812" s="87" t="str">
        <x:v>CROP_VERIFIED</x:v>
      </x:c>
      <x:c r="M812" s="87" t="str">
        <x:v>ORIGINAL_PACKAGE</x:v>
      </x:c>
      <x:c r="N812" s="87" t="str">
        <x:v>pages/VIS-EGKR-RUS-S26-TASK-959-P009.png</x:v>
      </x:c>
      <x:c r="O812" s="87" t="str">
        <x:v>thumbnails/VIS-EGKR-RUS-S26-TASK-959-P009.jpg</x:v>
      </x:c>
      <x:c r="P812" s="87" t="str">
        <x:v>301306a271680d3ec10541ef63b33de710fb5411a893fac0b1c325810d9a24f0</x:v>
      </x:c>
      <x:c r="Q812" s="30" t="str">
        <x:v>incoming/raw/recovery-drop-01/russian_egkr_spring_visual_assets_v099.zip!/pages/VIS-EGKR-RUS-S26-TASK-959-P009.png</x:v>
      </x:c>
      <x:c r="R812" s="30" t="str">
        <x:v>MATCHED_ASSET</x:v>
      </x:c>
      <x:c r="S812" t="e">
        <x:f>HYPERLINK("visual_gallery/index.html#"&amp;A812,"Галерея")</x:f>
      </x:c>
    </x:row>
    <x:row r="813">
      <x:c r="A813" s="87" t="str">
        <x:v>VIS-EGKR-RUS-S26-TASK-959-P010</x:v>
      </x:c>
      <x:c r="B813" s="30" t="str">
        <x:v>Русский язык</x:v>
      </x:c>
      <x:c r="C813" s="30"/>
      <x:c r="D813" s="30" t="str">
        <x:v>959</x:v>
      </x:c>
      <x:c r="E813" s="87" t="str">
        <x:v>TASK</x:v>
      </x:c>
      <x:c r="F813" s="30" t="str">
        <x:v>ЕГКР 959 по русскому языку.pdf</x:v>
      </x:c>
      <x:c r="G813" s="87" t="str">
        <x:v>10</x:v>
      </x:c>
      <x:c r="H813" s="87" t="str">
        <x:v>v0.99</x:v>
      </x:c>
      <x:c r="I813" s="87" t="str">
        <x:v>1</x:v>
      </x:c>
      <x:c r="J813" s="30" t="str">
        <x:v>VIS_ID</x:v>
      </x:c>
      <x:c r="K813" s="30" t="str">
        <x:v>EGKR-S26-RUS-959-22</x:v>
      </x:c>
      <x:c r="L813" s="87" t="str">
        <x:v>CROP_VERIFIED</x:v>
      </x:c>
      <x:c r="M813" s="87" t="str">
        <x:v>ORIGINAL_PACKAGE</x:v>
      </x:c>
      <x:c r="N813" s="87" t="str">
        <x:v>pages/VIS-EGKR-RUS-S26-TASK-959-P010.png</x:v>
      </x:c>
      <x:c r="O813" s="87" t="str">
        <x:v>thumbnails/VIS-EGKR-RUS-S26-TASK-959-P010.jpg</x:v>
      </x:c>
      <x:c r="P813" s="87" t="str">
        <x:v>a8d95f6bbba1c2b7504bf6f3091d1d1f8bcf92c1a017bd9f9421fccef31473d2</x:v>
      </x:c>
      <x:c r="Q813" s="30" t="str">
        <x:v>incoming/raw/recovery-drop-01/russian_egkr_spring_visual_assets_v099.zip!/pages/VIS-EGKR-RUS-S26-TASK-959-P010.png</x:v>
      </x:c>
      <x:c r="R813" s="30" t="str">
        <x:v>MATCHED_ASSET</x:v>
      </x:c>
      <x:c r="S813" t="e">
        <x:f>HYPERLINK("visual_gallery/index.html#"&amp;A813,"Галерея")</x:f>
      </x:c>
    </x:row>
    <x:row r="814">
      <x:c r="A814" s="87" t="str">
        <x:v>VIS-EGKR-RUS-S26-TASK-959-P011</x:v>
      </x:c>
      <x:c r="B814" s="30" t="str">
        <x:v>Русский язык</x:v>
      </x:c>
      <x:c r="C814" s="30"/>
      <x:c r="D814" s="30" t="str">
        <x:v>959</x:v>
      </x:c>
      <x:c r="E814" s="87" t="str">
        <x:v>TASK</x:v>
      </x:c>
      <x:c r="F814" s="30" t="str">
        <x:v>ЕГКР 959 по русскому языку.pdf</x:v>
      </x:c>
      <x:c r="G814" s="87" t="str">
        <x:v>11</x:v>
      </x:c>
      <x:c r="H814" s="87" t="str">
        <x:v>v0.99</x:v>
      </x:c>
      <x:c r="I814" s="87" t="str">
        <x:v>5</x:v>
      </x:c>
      <x:c r="J814" s="30" t="str">
        <x:v>VIS_ID</x:v>
      </x:c>
      <x:c r="K814" s="30" t="str">
        <x:v>EGKR-S26-RUS-959-23, EGKR-S26-RUS-959-24, EGKR-S26-RUS-959-25, EGKR-S26-RUS-959-26, EGKR-S26-RUS-959-27</x:v>
      </x:c>
      <x:c r="L814" s="87" t="str">
        <x:v>CROP_VERIFIED</x:v>
      </x:c>
      <x:c r="M814" s="87" t="str">
        <x:v>ORIGINAL_PACKAGE</x:v>
      </x:c>
      <x:c r="N814" s="87" t="str">
        <x:v>pages/VIS-EGKR-RUS-S26-TASK-959-P011.png</x:v>
      </x:c>
      <x:c r="O814" s="87" t="str">
        <x:v>thumbnails/VIS-EGKR-RUS-S26-TASK-959-P011.jpg</x:v>
      </x:c>
      <x:c r="P814" s="87" t="str">
        <x:v>c13bfe4f6c19b66c9d210d8436df250ca5e777f29f8ced4cfdf3876e5629481b</x:v>
      </x:c>
      <x:c r="Q814" s="30" t="str">
        <x:v>incoming/raw/recovery-drop-01/russian_egkr_spring_visual_assets_v099.zip!/pages/VIS-EGKR-RUS-S26-TASK-959-P011.png</x:v>
      </x:c>
      <x:c r="R814" s="30" t="str">
        <x:v>MATCHED_ASSET</x:v>
      </x:c>
      <x:c r="S814" t="e">
        <x:f>HYPERLINK("visual_gallery/index.html#"&amp;A814,"Галерея")</x:f>
      </x:c>
    </x:row>
    <x:row r="815">
      <x:c r="A815" s="87" t="str">
        <x:v>VIS-EGKR-RUS-S26-TASK-960-P001</x:v>
      </x:c>
      <x:c r="B815" s="30" t="str"/>
      <x:c r="C815" s="30"/>
      <x:c r="D815" s="30" t="str">
        <x:v>960</x:v>
      </x:c>
      <x:c r="E815" s="87" t="str">
        <x:v>TASK</x:v>
      </x:c>
      <x:c r="F815" s="30" t="str">
        <x:v>ЕГКР 960 по русскому языку.pdf</x:v>
      </x:c>
      <x:c r="G815" s="87" t="str">
        <x:v>1</x:v>
      </x:c>
      <x:c r="H815" s="87" t="str">
        <x:v>v0.99</x:v>
      </x:c>
      <x:c r="I815" s="87" t="str">
        <x:v>0</x:v>
      </x:c>
      <x:c r="J815" s="30" t="str"/>
      <x:c r="K815" s="30" t="str"/>
      <x:c r="L815" s="87" t="str">
        <x:v>CROP_VERIFIED</x:v>
      </x:c>
      <x:c r="M815" s="87" t="str">
        <x:v>ORIGINAL_PACKAGE</x:v>
      </x:c>
      <x:c r="N815" s="87" t="str">
        <x:v>pages/VIS-EGKR-RUS-S26-TASK-960-P001.png</x:v>
      </x:c>
      <x:c r="O815" s="87" t="str">
        <x:v>thumbnails/VIS-EGKR-RUS-S26-TASK-960-P001.jpg</x:v>
      </x:c>
      <x:c r="P815" s="87" t="str">
        <x:v>4ecc7532b29360be73d0915d5aebe32cb61816c0b5498a54d5ce4142eef7f081</x:v>
      </x:c>
      <x:c r="Q815" s="30" t="str">
        <x:v>incoming/raw/recovery-drop-01/russian_egkr_spring_visual_assets_v099.zip!/pages/VIS-EGKR-RUS-S26-TASK-960-P001.png</x:v>
      </x:c>
      <x:c r="R815" s="30" t="str">
        <x:v>RESOLVED_UNLINKED_REGISTRY_VISUAL</x:v>
      </x:c>
      <x:c r="S815" t="e">
        <x:f>HYPERLINK("visual_gallery/index.html#"&amp;A815,"Галерея")</x:f>
      </x:c>
    </x:row>
    <x:row r="816">
      <x:c r="A816" s="87" t="str">
        <x:v>VIS-EGKR-RUS-S26-TASK-960-P002</x:v>
      </x:c>
      <x:c r="B816" s="30" t="str"/>
      <x:c r="C816" s="30"/>
      <x:c r="D816" s="30" t="str">
        <x:v>960</x:v>
      </x:c>
      <x:c r="E816" s="87" t="str">
        <x:v>TASK</x:v>
      </x:c>
      <x:c r="F816" s="30" t="str">
        <x:v>ЕГКР 960 по русскому языку.pdf</x:v>
      </x:c>
      <x:c r="G816" s="87" t="str">
        <x:v>2</x:v>
      </x:c>
      <x:c r="H816" s="87" t="str">
        <x:v>v0.99</x:v>
      </x:c>
      <x:c r="I816" s="87" t="str">
        <x:v>0</x:v>
      </x:c>
      <x:c r="J816" s="30" t="str"/>
      <x:c r="K816" s="30" t="str"/>
      <x:c r="L816" s="87" t="str">
        <x:v>CROP_VERIFIED</x:v>
      </x:c>
      <x:c r="M816" s="87" t="str">
        <x:v>ORIGINAL_PACKAGE</x:v>
      </x:c>
      <x:c r="N816" s="87" t="str">
        <x:v>pages/VIS-EGKR-RUS-S26-TASK-960-P002.png</x:v>
      </x:c>
      <x:c r="O816" s="87" t="str">
        <x:v>thumbnails/VIS-EGKR-RUS-S26-TASK-960-P002.jpg</x:v>
      </x:c>
      <x:c r="P816" s="87" t="str">
        <x:v>7c9b2912cb85904cfdeed0e12bf69ee9ae658b55baaf4cfa8386d45515ed6aca</x:v>
      </x:c>
      <x:c r="Q816" s="30" t="str">
        <x:v>incoming/raw/recovery-drop-01/russian_egkr_spring_visual_assets_v099.zip!/pages/VIS-EGKR-RUS-S26-TASK-960-P002.png</x:v>
      </x:c>
      <x:c r="R816" s="30" t="str">
        <x:v>RESOLVED_UNLINKED_REGISTRY_VISUAL</x:v>
      </x:c>
      <x:c r="S816" t="e">
        <x:f>HYPERLINK("visual_gallery/index.html#"&amp;A816,"Галерея")</x:f>
      </x:c>
    </x:row>
    <x:row r="817">
      <x:c r="A817" s="87" t="str">
        <x:v>VIS-EGKR-RUS-S26-TASK-960-P003</x:v>
      </x:c>
      <x:c r="B817" s="30" t="str">
        <x:v>Русский язык</x:v>
      </x:c>
      <x:c r="C817" s="30"/>
      <x:c r="D817" s="30" t="str">
        <x:v>960</x:v>
      </x:c>
      <x:c r="E817" s="87" t="str">
        <x:v>TASK</x:v>
      </x:c>
      <x:c r="F817" s="30" t="str">
        <x:v>ЕГКР 960 по русскому языку.pdf</x:v>
      </x:c>
      <x:c r="G817" s="87" t="str">
        <x:v>3</x:v>
      </x:c>
      <x:c r="H817" s="87" t="str">
        <x:v>v0.99</x:v>
      </x:c>
      <x:c r="I817" s="87" t="str">
        <x:v>3</x:v>
      </x:c>
      <x:c r="J817" s="30" t="str">
        <x:v>VIS_ID</x:v>
      </x:c>
      <x:c r="K817" s="30" t="str">
        <x:v>EGKR-S26-RUS-960-01, EGKR-S26-RUS-960-02, EGKR-S26-RUS-960-03</x:v>
      </x:c>
      <x:c r="L817" s="87" t="str">
        <x:v>CROP_VERIFIED</x:v>
      </x:c>
      <x:c r="M817" s="87" t="str">
        <x:v>ORIGINAL_PACKAGE</x:v>
      </x:c>
      <x:c r="N817" s="87" t="str">
        <x:v>pages/VIS-EGKR-RUS-S26-TASK-960-P003.png</x:v>
      </x:c>
      <x:c r="O817" s="87" t="str">
        <x:v>thumbnails/VIS-EGKR-RUS-S26-TASK-960-P003.jpg</x:v>
      </x:c>
      <x:c r="P817" s="87" t="str">
        <x:v>a966d6f70c664b17b7f14bc74bd8b5e719e840abb6be43ccbb623e9b2bd16e91</x:v>
      </x:c>
      <x:c r="Q817" s="30" t="str">
        <x:v>incoming/raw/recovery-drop-01/russian_egkr_spring_visual_assets_v099.zip!/pages/VIS-EGKR-RUS-S26-TASK-960-P003.png</x:v>
      </x:c>
      <x:c r="R817" s="30" t="str">
        <x:v>MATCHED_ASSET</x:v>
      </x:c>
      <x:c r="S817" t="e">
        <x:f>HYPERLINK("visual_gallery/index.html#"&amp;A817,"Галерея")</x:f>
      </x:c>
    </x:row>
    <x:row r="818">
      <x:c r="A818" s="87" t="str">
        <x:v>VIS-EGKR-RUS-S26-TASK-960-P004</x:v>
      </x:c>
      <x:c r="B818" s="30" t="str">
        <x:v>Русский язык</x:v>
      </x:c>
      <x:c r="C818" s="30"/>
      <x:c r="D818" s="30" t="str">
        <x:v>960</x:v>
      </x:c>
      <x:c r="E818" s="87" t="str">
        <x:v>TASK</x:v>
      </x:c>
      <x:c r="F818" s="30" t="str">
        <x:v>ЕГКР 960 по русскому языку.pdf</x:v>
      </x:c>
      <x:c r="G818" s="87" t="str">
        <x:v>4</x:v>
      </x:c>
      <x:c r="H818" s="87" t="str">
        <x:v>v0.99</x:v>
      </x:c>
      <x:c r="I818" s="87" t="str">
        <x:v>4</x:v>
      </x:c>
      <x:c r="J818" s="30" t="str">
        <x:v>VIS_ID</x:v>
      </x:c>
      <x:c r="K818" s="30" t="str">
        <x:v>EGKR-S26-RUS-960-04, EGKR-S26-RUS-960-05, EGKR-S26-RUS-960-06, EGKR-S26-RUS-960-07</x:v>
      </x:c>
      <x:c r="L818" s="87" t="str">
        <x:v>CROP_VERIFIED</x:v>
      </x:c>
      <x:c r="M818" s="87" t="str">
        <x:v>ORIGINAL_PACKAGE</x:v>
      </x:c>
      <x:c r="N818" s="87" t="str">
        <x:v>pages/VIS-EGKR-RUS-S26-TASK-960-P004.png</x:v>
      </x:c>
      <x:c r="O818" s="87" t="str">
        <x:v>thumbnails/VIS-EGKR-RUS-S26-TASK-960-P004.jpg</x:v>
      </x:c>
      <x:c r="P818" s="87" t="str">
        <x:v>f76a1c9b733a5e08af3140d2625963e5bfbcb659da7b1e468f5a560a06f32b5b</x:v>
      </x:c>
      <x:c r="Q818" s="30" t="str">
        <x:v>incoming/raw/recovery-drop-01/russian_egkr_spring_visual_assets_v099.zip!/pages/VIS-EGKR-RUS-S26-TASK-960-P004.png</x:v>
      </x:c>
      <x:c r="R818" s="30" t="str">
        <x:v>MATCHED_ASSET</x:v>
      </x:c>
      <x:c r="S818" t="e">
        <x:f>HYPERLINK("visual_gallery/index.html#"&amp;A818,"Галерея")</x:f>
      </x:c>
    </x:row>
    <x:row r="819">
      <x:c r="A819" s="87" t="str">
        <x:v>VIS-EGKR-RUS-S26-TASK-960-P005</x:v>
      </x:c>
      <x:c r="B819" s="30" t="str">
        <x:v>Русский язык</x:v>
      </x:c>
      <x:c r="C819" s="30"/>
      <x:c r="D819" s="30" t="str">
        <x:v>960</x:v>
      </x:c>
      <x:c r="E819" s="87" t="str">
        <x:v>TASK</x:v>
      </x:c>
      <x:c r="F819" s="30" t="str">
        <x:v>ЕГКР 960 по русскому языку.pdf</x:v>
      </x:c>
      <x:c r="G819" s="87" t="str">
        <x:v>5</x:v>
      </x:c>
      <x:c r="H819" s="87" t="str">
        <x:v>v0.99</x:v>
      </x:c>
      <x:c r="I819" s="87" t="str">
        <x:v>1</x:v>
      </x:c>
      <x:c r="J819" s="30" t="str">
        <x:v>VIS_ID</x:v>
      </x:c>
      <x:c r="K819" s="30" t="str">
        <x:v>EGKR-S26-RUS-960-08</x:v>
      </x:c>
      <x:c r="L819" s="87" t="str">
        <x:v>CROP_VERIFIED</x:v>
      </x:c>
      <x:c r="M819" s="87" t="str">
        <x:v>ORIGINAL_PACKAGE</x:v>
      </x:c>
      <x:c r="N819" s="87" t="str">
        <x:v>pages/VIS-EGKR-RUS-S26-TASK-960-P005.png</x:v>
      </x:c>
      <x:c r="O819" s="87" t="str">
        <x:v>thumbnails/VIS-EGKR-RUS-S26-TASK-960-P005.jpg</x:v>
      </x:c>
      <x:c r="P819" s="87" t="str">
        <x:v>d51a29957f72fc35ea8876140694bb5ceec91b8a19383dbc92b6d8dbf48456e4</x:v>
      </x:c>
      <x:c r="Q819" s="30" t="str">
        <x:v>incoming/raw/recovery-drop-01/russian_egkr_spring_visual_assets_v099.zip!/pages/VIS-EGKR-RUS-S26-TASK-960-P005.png</x:v>
      </x:c>
      <x:c r="R819" s="30" t="str">
        <x:v>MATCHED_ASSET</x:v>
      </x:c>
      <x:c r="S819" t="e">
        <x:f>HYPERLINK("visual_gallery/index.html#"&amp;A819,"Галерея")</x:f>
      </x:c>
    </x:row>
    <x:row r="820">
      <x:c r="A820" s="87" t="str">
        <x:v>VIS-EGKR-RUS-S26-TASK-960-P006</x:v>
      </x:c>
      <x:c r="B820" s="30" t="str">
        <x:v>Русский язык</x:v>
      </x:c>
      <x:c r="C820" s="30"/>
      <x:c r="D820" s="30" t="str">
        <x:v>960</x:v>
      </x:c>
      <x:c r="E820" s="87" t="str">
        <x:v>TASK</x:v>
      </x:c>
      <x:c r="F820" s="30" t="str">
        <x:v>ЕГКР 960 по русскому языку.pdf</x:v>
      </x:c>
      <x:c r="G820" s="87" t="str">
        <x:v>6</x:v>
      </x:c>
      <x:c r="H820" s="87" t="str">
        <x:v>v0.99</x:v>
      </x:c>
      <x:c r="I820" s="87" t="str">
        <x:v>4</x:v>
      </x:c>
      <x:c r="J820" s="30" t="str">
        <x:v>VIS_ID</x:v>
      </x:c>
      <x:c r="K820" s="30" t="str">
        <x:v>EGKR-S26-RUS-960-09, EGKR-S26-RUS-960-10, EGKR-S26-RUS-960-11, EGKR-S26-RUS-960-12</x:v>
      </x:c>
      <x:c r="L820" s="87" t="str">
        <x:v>CROP_VERIFIED</x:v>
      </x:c>
      <x:c r="M820" s="87" t="str">
        <x:v>ORIGINAL_PACKAGE</x:v>
      </x:c>
      <x:c r="N820" s="87" t="str">
        <x:v>pages/VIS-EGKR-RUS-S26-TASK-960-P006.png</x:v>
      </x:c>
      <x:c r="O820" s="87" t="str">
        <x:v>thumbnails/VIS-EGKR-RUS-S26-TASK-960-P006.jpg</x:v>
      </x:c>
      <x:c r="P820" s="87" t="str">
        <x:v>a46ce501bd1ea357f70d3f794450452316403b488a29b06b3fe3da3c648743f9</x:v>
      </x:c>
      <x:c r="Q820" s="30" t="str">
        <x:v>incoming/raw/recovery-drop-01/russian_egkr_spring_visual_assets_v099.zip!/pages/VIS-EGKR-RUS-S26-TASK-960-P006.png</x:v>
      </x:c>
      <x:c r="R820" s="30" t="str">
        <x:v>MATCHED_ASSET</x:v>
      </x:c>
      <x:c r="S820" t="e">
        <x:f>HYPERLINK("visual_gallery/index.html#"&amp;A820,"Галерея")</x:f>
      </x:c>
    </x:row>
    <x:row r="821">
      <x:c r="A821" s="87" t="str">
        <x:v>VIS-EGKR-RUS-S26-TASK-960-P007</x:v>
      </x:c>
      <x:c r="B821" s="30" t="str">
        <x:v>Русский язык</x:v>
      </x:c>
      <x:c r="C821" s="30"/>
      <x:c r="D821" s="30" t="str">
        <x:v>960</x:v>
      </x:c>
      <x:c r="E821" s="87" t="str">
        <x:v>TASK</x:v>
      </x:c>
      <x:c r="F821" s="30" t="str">
        <x:v>ЕГКР 960 по русскому языку.pdf</x:v>
      </x:c>
      <x:c r="G821" s="87" t="str">
        <x:v>7</x:v>
      </x:c>
      <x:c r="H821" s="87" t="str">
        <x:v>v0.99</x:v>
      </x:c>
      <x:c r="I821" s="87" t="str">
        <x:v>3</x:v>
      </x:c>
      <x:c r="J821" s="30" t="str">
        <x:v>VIS_ID</x:v>
      </x:c>
      <x:c r="K821" s="30" t="str">
        <x:v>EGKR-S26-RUS-960-13, EGKR-S26-RUS-960-14, EGKR-S26-RUS-960-15</x:v>
      </x:c>
      <x:c r="L821" s="87" t="str">
        <x:v>CROP_VERIFIED</x:v>
      </x:c>
      <x:c r="M821" s="87" t="str">
        <x:v>ORIGINAL_PACKAGE</x:v>
      </x:c>
      <x:c r="N821" s="87" t="str">
        <x:v>pages/VIS-EGKR-RUS-S26-TASK-960-P007.png</x:v>
      </x:c>
      <x:c r="O821" s="87" t="str">
        <x:v>thumbnails/VIS-EGKR-RUS-S26-TASK-960-P007.jpg</x:v>
      </x:c>
      <x:c r="P821" s="87" t="str">
        <x:v>5791a6d39715c5537777e29cf24d6acd8953b8a45b832b04e5eb79a608d7dc78</x:v>
      </x:c>
      <x:c r="Q821" s="30" t="str">
        <x:v>incoming/raw/recovery-drop-01/russian_egkr_spring_visual_assets_v099.zip!/pages/VIS-EGKR-RUS-S26-TASK-960-P007.png</x:v>
      </x:c>
      <x:c r="R821" s="30" t="str">
        <x:v>MATCHED_ASSET</x:v>
      </x:c>
      <x:c r="S821" t="e">
        <x:f>HYPERLINK("visual_gallery/index.html#"&amp;A821,"Галерея")</x:f>
      </x:c>
    </x:row>
    <x:row r="822">
      <x:c r="A822" s="87" t="str">
        <x:v>VIS-EGKR-RUS-S26-TASK-960-P008</x:v>
      </x:c>
      <x:c r="B822" s="30" t="str">
        <x:v>Русский язык</x:v>
      </x:c>
      <x:c r="C822" s="30"/>
      <x:c r="D822" s="30" t="str">
        <x:v>960</x:v>
      </x:c>
      <x:c r="E822" s="87" t="str">
        <x:v>TASK</x:v>
      </x:c>
      <x:c r="F822" s="30" t="str">
        <x:v>ЕГКР 960 по русскому языку.pdf</x:v>
      </x:c>
      <x:c r="G822" s="87" t="str">
        <x:v>8</x:v>
      </x:c>
      <x:c r="H822" s="87" t="str">
        <x:v>v0.99</x:v>
      </x:c>
      <x:c r="I822" s="87" t="str">
        <x:v>3</x:v>
      </x:c>
      <x:c r="J822" s="30" t="str">
        <x:v>VIS_ID</x:v>
      </x:c>
      <x:c r="K822" s="30" t="str">
        <x:v>EGKR-S26-RUS-960-16, EGKR-S26-RUS-960-17, EGKR-S26-RUS-960-18</x:v>
      </x:c>
      <x:c r="L822" s="87" t="str">
        <x:v>CROP_VERIFIED</x:v>
      </x:c>
      <x:c r="M822" s="87" t="str">
        <x:v>ORIGINAL_PACKAGE</x:v>
      </x:c>
      <x:c r="N822" s="87" t="str">
        <x:v>pages/VIS-EGKR-RUS-S26-TASK-960-P008.png</x:v>
      </x:c>
      <x:c r="O822" s="87" t="str">
        <x:v>thumbnails/VIS-EGKR-RUS-S26-TASK-960-P008.jpg</x:v>
      </x:c>
      <x:c r="P822" s="87" t="str">
        <x:v>7a56c4ebe3fb392690c7483d56040e2b17096b4b2f8cee76f35a3c43918ce5df</x:v>
      </x:c>
      <x:c r="Q822" s="30" t="str">
        <x:v>incoming/raw/recovery-drop-01/russian_egkr_spring_visual_assets_v099.zip!/pages/VIS-EGKR-RUS-S26-TASK-960-P008.png</x:v>
      </x:c>
      <x:c r="R822" s="30" t="str">
        <x:v>MATCHED_ASSET</x:v>
      </x:c>
      <x:c r="S822" t="e">
        <x:f>HYPERLINK("visual_gallery/index.html#"&amp;A822,"Галерея")</x:f>
      </x:c>
    </x:row>
    <x:row r="823">
      <x:c r="A823" s="87" t="str">
        <x:v>VIS-EGKR-RUS-S26-TASK-960-P009</x:v>
      </x:c>
      <x:c r="B823" s="30" t="str">
        <x:v>Русский язык</x:v>
      </x:c>
      <x:c r="C823" s="30"/>
      <x:c r="D823" s="30" t="str">
        <x:v>960</x:v>
      </x:c>
      <x:c r="E823" s="87" t="str">
        <x:v>TASK</x:v>
      </x:c>
      <x:c r="F823" s="30" t="str">
        <x:v>ЕГКР 960 по русскому языку.pdf</x:v>
      </x:c>
      <x:c r="G823" s="87" t="str">
        <x:v>9</x:v>
      </x:c>
      <x:c r="H823" s="87" t="str">
        <x:v>v0.99</x:v>
      </x:c>
      <x:c r="I823" s="87" t="str">
        <x:v>3</x:v>
      </x:c>
      <x:c r="J823" s="30" t="str">
        <x:v>VIS_ID</x:v>
      </x:c>
      <x:c r="K823" s="30" t="str">
        <x:v>EGKR-S26-RUS-960-19, EGKR-S26-RUS-960-20, EGKR-S26-RUS-960-21</x:v>
      </x:c>
      <x:c r="L823" s="87" t="str">
        <x:v>CROP_VERIFIED</x:v>
      </x:c>
      <x:c r="M823" s="87" t="str">
        <x:v>ORIGINAL_PACKAGE</x:v>
      </x:c>
      <x:c r="N823" s="87" t="str">
        <x:v>pages/VIS-EGKR-RUS-S26-TASK-960-P009.png</x:v>
      </x:c>
      <x:c r="O823" s="87" t="str">
        <x:v>thumbnails/VIS-EGKR-RUS-S26-TASK-960-P009.jpg</x:v>
      </x:c>
      <x:c r="P823" s="87" t="str">
        <x:v>2768b8e777bdc6e7fb2dea5f99343f4a1062546ba23fae4d23715fb10ab516ed</x:v>
      </x:c>
      <x:c r="Q823" s="30" t="str">
        <x:v>incoming/raw/recovery-drop-01/russian_egkr_spring_visual_assets_v099.zip!/pages/VIS-EGKR-RUS-S26-TASK-960-P009.png</x:v>
      </x:c>
      <x:c r="R823" s="30" t="str">
        <x:v>MATCHED_ASSET</x:v>
      </x:c>
      <x:c r="S823" t="e">
        <x:f>HYPERLINK("visual_gallery/index.html#"&amp;A823,"Галерея")</x:f>
      </x:c>
    </x:row>
    <x:row r="824">
      <x:c r="A824" s="87" t="str">
        <x:v>VIS-EGKR-RUS-S26-TASK-960-P010</x:v>
      </x:c>
      <x:c r="B824" s="30" t="str">
        <x:v>Русский язык</x:v>
      </x:c>
      <x:c r="C824" s="30"/>
      <x:c r="D824" s="30" t="str">
        <x:v>960</x:v>
      </x:c>
      <x:c r="E824" s="87" t="str">
        <x:v>TASK</x:v>
      </x:c>
      <x:c r="F824" s="30" t="str">
        <x:v>ЕГКР 960 по русскому языку.pdf</x:v>
      </x:c>
      <x:c r="G824" s="87" t="str">
        <x:v>10</x:v>
      </x:c>
      <x:c r="H824" s="87" t="str">
        <x:v>v0.99</x:v>
      </x:c>
      <x:c r="I824" s="87" t="str">
        <x:v>1</x:v>
      </x:c>
      <x:c r="J824" s="30" t="str">
        <x:v>VIS_ID</x:v>
      </x:c>
      <x:c r="K824" s="30" t="str">
        <x:v>EGKR-S26-RUS-960-22</x:v>
      </x:c>
      <x:c r="L824" s="87" t="str">
        <x:v>CROP_VERIFIED</x:v>
      </x:c>
      <x:c r="M824" s="87" t="str">
        <x:v>ORIGINAL_PACKAGE</x:v>
      </x:c>
      <x:c r="N824" s="87" t="str">
        <x:v>pages/VIS-EGKR-RUS-S26-TASK-960-P010.png</x:v>
      </x:c>
      <x:c r="O824" s="87" t="str">
        <x:v>thumbnails/VIS-EGKR-RUS-S26-TASK-960-P010.jpg</x:v>
      </x:c>
      <x:c r="P824" s="87" t="str">
        <x:v>882bd210af8f75e6b8ef91e04604e03d0e864e225f5e38967c7affe67a9a6d03</x:v>
      </x:c>
      <x:c r="Q824" s="30" t="str">
        <x:v>incoming/raw/recovery-drop-01/russian_egkr_spring_visual_assets_v099.zip!/pages/VIS-EGKR-RUS-S26-TASK-960-P010.png</x:v>
      </x:c>
      <x:c r="R824" s="30" t="str">
        <x:v>MATCHED_ASSET</x:v>
      </x:c>
      <x:c r="S824" t="e">
        <x:f>HYPERLINK("visual_gallery/index.html#"&amp;A824,"Галерея")</x:f>
      </x:c>
    </x:row>
    <x:row r="825">
      <x:c r="A825" s="87" t="str">
        <x:v>VIS-EGKR-RUS-S26-TASK-960-P011</x:v>
      </x:c>
      <x:c r="B825" s="30" t="str"/>
      <x:c r="C825" s="30"/>
      <x:c r="D825" s="30" t="str">
        <x:v>960</x:v>
      </x:c>
      <x:c r="E825" s="87" t="str">
        <x:v>TASK</x:v>
      </x:c>
      <x:c r="F825" s="30" t="str">
        <x:v>ЕГКР 960 по русскому языку.pdf</x:v>
      </x:c>
      <x:c r="G825" s="87" t="str">
        <x:v>11</x:v>
      </x:c>
      <x:c r="H825" s="87" t="str">
        <x:v>v0.99</x:v>
      </x:c>
      <x:c r="I825" s="87" t="str">
        <x:v>0</x:v>
      </x:c>
      <x:c r="J825" s="30" t="str"/>
      <x:c r="K825" s="30" t="str"/>
      <x:c r="L825" s="87" t="str">
        <x:v>CROP_VERIFIED</x:v>
      </x:c>
      <x:c r="M825" s="87" t="str">
        <x:v>ORIGINAL_PACKAGE</x:v>
      </x:c>
      <x:c r="N825" s="87" t="str">
        <x:v>pages/VIS-EGKR-RUS-S26-TASK-960-P011.png</x:v>
      </x:c>
      <x:c r="O825" s="87" t="str">
        <x:v>thumbnails/VIS-EGKR-RUS-S26-TASK-960-P011.jpg</x:v>
      </x:c>
      <x:c r="P825" s="87" t="str">
        <x:v>0acefb82de3412f47114a61cd7213a0d78c5682f77fc9f8bd1ee45f79361b33e</x:v>
      </x:c>
      <x:c r="Q825" s="30" t="str">
        <x:v>incoming/raw/recovery-drop-01/russian_egkr_spring_visual_assets_v099.zip!/pages/VIS-EGKR-RUS-S26-TASK-960-P011.png</x:v>
      </x:c>
      <x:c r="R825" s="30" t="str">
        <x:v>RESOLVED_UNLINKED_REGISTRY_VISUAL</x:v>
      </x:c>
      <x:c r="S825" t="e">
        <x:f>HYPERLINK("visual_gallery/index.html#"&amp;A825,"Галерея")</x:f>
      </x:c>
    </x:row>
    <x:row r="826">
      <x:c r="A826" s="87" t="str">
        <x:v>VIS-EGKR-RUS-S26-TASK-960-P012</x:v>
      </x:c>
      <x:c r="B826" s="30" t="str"/>
      <x:c r="C826" s="30"/>
      <x:c r="D826" s="30" t="str">
        <x:v>960</x:v>
      </x:c>
      <x:c r="E826" s="87" t="str">
        <x:v>TASK</x:v>
      </x:c>
      <x:c r="F826" s="30" t="str">
        <x:v>ЕГКР 960 по русскому языку.pdf</x:v>
      </x:c>
      <x:c r="G826" s="87" t="str">
        <x:v>12</x:v>
      </x:c>
      <x:c r="H826" s="87" t="str">
        <x:v>v0.99</x:v>
      </x:c>
      <x:c r="I826" s="87" t="str">
        <x:v>0</x:v>
      </x:c>
      <x:c r="J826" s="30" t="str"/>
      <x:c r="K826" s="30" t="str"/>
      <x:c r="L826" s="87" t="str">
        <x:v>CROP_VERIFIED</x:v>
      </x:c>
      <x:c r="M826" s="87" t="str">
        <x:v>ORIGINAL_PACKAGE</x:v>
      </x:c>
      <x:c r="N826" s="87" t="str">
        <x:v>pages/VIS-EGKR-RUS-S26-TASK-960-P012.png</x:v>
      </x:c>
      <x:c r="O826" s="87" t="str">
        <x:v>thumbnails/VIS-EGKR-RUS-S26-TASK-960-P012.jpg</x:v>
      </x:c>
      <x:c r="P826" s="87" t="str">
        <x:v>aedd10205eca08a86a1a71e6529957a8e054ea2e0b79dca30b242b052b2aa002</x:v>
      </x:c>
      <x:c r="Q826" s="30" t="str">
        <x:v>incoming/raw/recovery-drop-01/russian_egkr_spring_visual_assets_v099.zip!/pages/VIS-EGKR-RUS-S26-TASK-960-P012.png</x:v>
      </x:c>
      <x:c r="R826" s="30" t="str">
        <x:v>RESOLVED_UNLINKED_REGISTRY_VISUAL</x:v>
      </x:c>
      <x:c r="S826" t="e">
        <x:f>HYPERLINK("visual_gallery/index.html#"&amp;A826,"Галерея")</x:f>
      </x:c>
    </x:row>
    <x:row r="827">
      <x:c r="A827" s="87" t="str">
        <x:v>VIS-EGKR-RUS-S26-TASK-960-P013</x:v>
      </x:c>
      <x:c r="B827" s="30" t="str">
        <x:v>Русский язык</x:v>
      </x:c>
      <x:c r="C827" s="30"/>
      <x:c r="D827" s="30" t="str">
        <x:v>960</x:v>
      </x:c>
      <x:c r="E827" s="87" t="str">
        <x:v>TASK</x:v>
      </x:c>
      <x:c r="F827" s="30" t="str">
        <x:v>ЕГКР 960 по русскому языку.pdf</x:v>
      </x:c>
      <x:c r="G827" s="87" t="str">
        <x:v>13</x:v>
      </x:c>
      <x:c r="H827" s="87" t="str">
        <x:v>v0.99</x:v>
      </x:c>
      <x:c r="I827" s="87" t="str">
        <x:v>4</x:v>
      </x:c>
      <x:c r="J827" s="30" t="str">
        <x:v>VIS_ID</x:v>
      </x:c>
      <x:c r="K827" s="30" t="str">
        <x:v>EGKR-S26-RUS-960-23, EGKR-S26-RUS-960-24, EGKR-S26-RUS-960-25, EGKR-S26-RUS-960-26</x:v>
      </x:c>
      <x:c r="L827" s="87" t="str">
        <x:v>CROP_VERIFIED</x:v>
      </x:c>
      <x:c r="M827" s="87" t="str">
        <x:v>ORIGINAL_PACKAGE</x:v>
      </x:c>
      <x:c r="N827" s="87" t="str">
        <x:v>pages/VIS-EGKR-RUS-S26-TASK-960-P013.png</x:v>
      </x:c>
      <x:c r="O827" s="87" t="str">
        <x:v>thumbnails/VIS-EGKR-RUS-S26-TASK-960-P013.jpg</x:v>
      </x:c>
      <x:c r="P827" s="87" t="str">
        <x:v>80a124245ef7f9fc2ae6af2f0f352bec88efb9821537327e32d2a145a05bf42d</x:v>
      </x:c>
      <x:c r="Q827" s="30" t="str">
        <x:v>incoming/raw/recovery-drop-01/russian_egkr_spring_visual_assets_v099.zip!/pages/VIS-EGKR-RUS-S26-TASK-960-P013.png</x:v>
      </x:c>
      <x:c r="R827" s="30" t="str">
        <x:v>MATCHED_ASSET</x:v>
      </x:c>
      <x:c r="S827" t="e">
        <x:f>HYPERLINK("visual_gallery/index.html#"&amp;A827,"Галерея")</x:f>
      </x:c>
    </x:row>
    <x:row r="828">
      <x:c r="A828" s="87" t="str">
        <x:v>VIS-EGKR-RUS-S26-TASK-960-P014</x:v>
      </x:c>
      <x:c r="B828" s="30" t="str">
        <x:v>Русский язык</x:v>
      </x:c>
      <x:c r="C828" s="30"/>
      <x:c r="D828" s="30" t="str">
        <x:v>960</x:v>
      </x:c>
      <x:c r="E828" s="87" t="str">
        <x:v>TASK</x:v>
      </x:c>
      <x:c r="F828" s="30" t="str">
        <x:v>ЕГКР 960 по русскому языку.pdf</x:v>
      </x:c>
      <x:c r="G828" s="87" t="str">
        <x:v>14</x:v>
      </x:c>
      <x:c r="H828" s="87" t="str">
        <x:v>v0.99</x:v>
      </x:c>
      <x:c r="I828" s="87" t="str">
        <x:v>1</x:v>
      </x:c>
      <x:c r="J828" s="30" t="str">
        <x:v>VIS_ID</x:v>
      </x:c>
      <x:c r="K828" s="30" t="str">
        <x:v>EGKR-S26-RUS-960-27</x:v>
      </x:c>
      <x:c r="L828" s="87" t="str">
        <x:v>CROP_VERIFIED</x:v>
      </x:c>
      <x:c r="M828" s="87" t="str">
        <x:v>ORIGINAL_PACKAGE</x:v>
      </x:c>
      <x:c r="N828" s="87" t="str">
        <x:v>pages/VIS-EGKR-RUS-S26-TASK-960-P014.png</x:v>
      </x:c>
      <x:c r="O828" s="87" t="str">
        <x:v>thumbnails/VIS-EGKR-RUS-S26-TASK-960-P014.jpg</x:v>
      </x:c>
      <x:c r="P828" s="87" t="str">
        <x:v>75b1bbe91d2806f41b6b50cd2d930f48a4cea641d9e0b621b65a6b533eb23464</x:v>
      </x:c>
      <x:c r="Q828" s="30" t="str">
        <x:v>incoming/raw/recovery-drop-01/russian_egkr_spring_visual_assets_v099.zip!/pages/VIS-EGKR-RUS-S26-TASK-960-P014.png</x:v>
      </x:c>
      <x:c r="R828" s="30" t="str">
        <x:v>MATCHED_ASSET</x:v>
      </x:c>
      <x:c r="S828" t="e">
        <x:f>HYPERLINK("visual_gallery/index.html#"&amp;A828,"Галерея")</x:f>
      </x:c>
    </x:row>
    <x:row r="829">
      <x:c r="A829" s="87" t="str">
        <x:v>VIS-EGKR-RUS-S26-TASK-961-P001</x:v>
      </x:c>
      <x:c r="B829" s="30" t="str"/>
      <x:c r="C829" s="30"/>
      <x:c r="D829" s="30" t="str">
        <x:v>961</x:v>
      </x:c>
      <x:c r="E829" s="87" t="str">
        <x:v>TASK</x:v>
      </x:c>
      <x:c r="F829" s="30" t="str">
        <x:v>ЕГКР 961 по русскому языку.pdf</x:v>
      </x:c>
      <x:c r="G829" s="87" t="str">
        <x:v>1</x:v>
      </x:c>
      <x:c r="H829" s="87" t="str">
        <x:v>v0.99</x:v>
      </x:c>
      <x:c r="I829" s="87" t="str">
        <x:v>0</x:v>
      </x:c>
      <x:c r="J829" s="30" t="str"/>
      <x:c r="K829" s="30" t="str"/>
      <x:c r="L829" s="87" t="str">
        <x:v>CROP_VERIFIED</x:v>
      </x:c>
      <x:c r="M829" s="87" t="str">
        <x:v>ORIGINAL_PACKAGE</x:v>
      </x:c>
      <x:c r="N829" s="87" t="str">
        <x:v>pages/VIS-EGKR-RUS-S26-TASK-961-P001.png</x:v>
      </x:c>
      <x:c r="O829" s="87" t="str">
        <x:v>thumbnails/VIS-EGKR-RUS-S26-TASK-961-P001.jpg</x:v>
      </x:c>
      <x:c r="P829" s="87" t="str">
        <x:v>37f6f54af485ccdae534f41d64d3350d615f2d121b6228d15ee91fd403f4154b</x:v>
      </x:c>
      <x:c r="Q829" s="30" t="str">
        <x:v>incoming/raw/recovery-drop-01/russian_egkr_spring_visual_assets_v099.zip!/pages/VIS-EGKR-RUS-S26-TASK-961-P001.png</x:v>
      </x:c>
      <x:c r="R829" s="30" t="str">
        <x:v>RESOLVED_UNLINKED_REGISTRY_VISUAL</x:v>
      </x:c>
      <x:c r="S829" t="e">
        <x:f>HYPERLINK("visual_gallery/index.html#"&amp;A829,"Галерея")</x:f>
      </x:c>
    </x:row>
    <x:row r="830">
      <x:c r="A830" s="87" t="str">
        <x:v>VIS-EGKR-RUS-S26-TASK-961-P002</x:v>
      </x:c>
      <x:c r="B830" s="30" t="str"/>
      <x:c r="C830" s="30"/>
      <x:c r="D830" s="30" t="str">
        <x:v>961</x:v>
      </x:c>
      <x:c r="E830" s="87" t="str">
        <x:v>TASK</x:v>
      </x:c>
      <x:c r="F830" s="30" t="str">
        <x:v>ЕГКР 961 по русскому языку.pdf</x:v>
      </x:c>
      <x:c r="G830" s="87" t="str">
        <x:v>2</x:v>
      </x:c>
      <x:c r="H830" s="87" t="str">
        <x:v>v0.99</x:v>
      </x:c>
      <x:c r="I830" s="87" t="str">
        <x:v>0</x:v>
      </x:c>
      <x:c r="J830" s="30" t="str"/>
      <x:c r="K830" s="30" t="str"/>
      <x:c r="L830" s="87" t="str">
        <x:v>CROP_VERIFIED</x:v>
      </x:c>
      <x:c r="M830" s="87" t="str">
        <x:v>ORIGINAL_PACKAGE</x:v>
      </x:c>
      <x:c r="N830" s="87" t="str">
        <x:v>pages/VIS-EGKR-RUS-S26-TASK-961-P002.png</x:v>
      </x:c>
      <x:c r="O830" s="87" t="str">
        <x:v>thumbnails/VIS-EGKR-RUS-S26-TASK-961-P002.jpg</x:v>
      </x:c>
      <x:c r="P830" s="87" t="str">
        <x:v>e7284d30b70b1338b03de53c26eebc596f710e76a46e71a564d8833b0ad70d07</x:v>
      </x:c>
      <x:c r="Q830" s="30" t="str">
        <x:v>incoming/raw/recovery-drop-01/russian_egkr_spring_visual_assets_v099.zip!/pages/VIS-EGKR-RUS-S26-TASK-961-P002.png</x:v>
      </x:c>
      <x:c r="R830" s="30" t="str">
        <x:v>RESOLVED_UNLINKED_REGISTRY_VISUAL</x:v>
      </x:c>
      <x:c r="S830" t="e">
        <x:f>HYPERLINK("visual_gallery/index.html#"&amp;A830,"Галерея")</x:f>
      </x:c>
    </x:row>
    <x:row r="831">
      <x:c r="A831" s="87" t="str">
        <x:v>VIS-EGKR-RUS-S26-TASK-961-P003</x:v>
      </x:c>
      <x:c r="B831" s="30" t="str">
        <x:v>Русский язык</x:v>
      </x:c>
      <x:c r="C831" s="30"/>
      <x:c r="D831" s="30" t="str">
        <x:v>961</x:v>
      </x:c>
      <x:c r="E831" s="87" t="str">
        <x:v>TASK</x:v>
      </x:c>
      <x:c r="F831" s="30" t="str">
        <x:v>ЕГКР 961 по русскому языку.pdf</x:v>
      </x:c>
      <x:c r="G831" s="87" t="str">
        <x:v>3</x:v>
      </x:c>
      <x:c r="H831" s="87" t="str">
        <x:v>v0.99</x:v>
      </x:c>
      <x:c r="I831" s="87" t="str">
        <x:v>3</x:v>
      </x:c>
      <x:c r="J831" s="30" t="str">
        <x:v>VIS_ID</x:v>
      </x:c>
      <x:c r="K831" s="30" t="str">
        <x:v>EGKR-S26-RUS-961-01, EGKR-S26-RUS-961-02, EGKR-S26-RUS-961-03</x:v>
      </x:c>
      <x:c r="L831" s="87" t="str">
        <x:v>CROP_VERIFIED</x:v>
      </x:c>
      <x:c r="M831" s="87" t="str">
        <x:v>ORIGINAL_PACKAGE</x:v>
      </x:c>
      <x:c r="N831" s="87" t="str">
        <x:v>pages/VIS-EGKR-RUS-S26-TASK-961-P003.png</x:v>
      </x:c>
      <x:c r="O831" s="87" t="str">
        <x:v>thumbnails/VIS-EGKR-RUS-S26-TASK-961-P003.jpg</x:v>
      </x:c>
      <x:c r="P831" s="87" t="str">
        <x:v>b746da2a2272ba541215d972fc5193618c4e9c987023bf3acdfe11fb0e354ec4</x:v>
      </x:c>
      <x:c r="Q831" s="30" t="str">
        <x:v>incoming/raw/recovery-drop-01/russian_egkr_spring_visual_assets_v099.zip!/pages/VIS-EGKR-RUS-S26-TASK-961-P003.png</x:v>
      </x:c>
      <x:c r="R831" s="30" t="str">
        <x:v>MATCHED_ASSET</x:v>
      </x:c>
      <x:c r="S831" t="e">
        <x:f>HYPERLINK("visual_gallery/index.html#"&amp;A831,"Галерея")</x:f>
      </x:c>
    </x:row>
    <x:row r="832">
      <x:c r="A832" s="87" t="str">
        <x:v>VIS-EGKR-RUS-S26-TASK-961-P004</x:v>
      </x:c>
      <x:c r="B832" s="30" t="str">
        <x:v>Русский язык</x:v>
      </x:c>
      <x:c r="C832" s="30"/>
      <x:c r="D832" s="30" t="str">
        <x:v>961</x:v>
      </x:c>
      <x:c r="E832" s="87" t="str">
        <x:v>TASK</x:v>
      </x:c>
      <x:c r="F832" s="30" t="str">
        <x:v>ЕГКР 961 по русскому языку.pdf</x:v>
      </x:c>
      <x:c r="G832" s="87" t="str">
        <x:v>4</x:v>
      </x:c>
      <x:c r="H832" s="87" t="str">
        <x:v>v0.99</x:v>
      </x:c>
      <x:c r="I832" s="87" t="str">
        <x:v>4</x:v>
      </x:c>
      <x:c r="J832" s="30" t="str">
        <x:v>VIS_ID</x:v>
      </x:c>
      <x:c r="K832" s="30" t="str">
        <x:v>EGKR-S26-RUS-961-04, EGKR-S26-RUS-961-05, EGKR-S26-RUS-961-06, EGKR-S26-RUS-961-07</x:v>
      </x:c>
      <x:c r="L832" s="87" t="str">
        <x:v>CROP_VERIFIED</x:v>
      </x:c>
      <x:c r="M832" s="87" t="str">
        <x:v>ORIGINAL_PACKAGE</x:v>
      </x:c>
      <x:c r="N832" s="87" t="str">
        <x:v>pages/VIS-EGKR-RUS-S26-TASK-961-P004.png</x:v>
      </x:c>
      <x:c r="O832" s="87" t="str">
        <x:v>thumbnails/VIS-EGKR-RUS-S26-TASK-961-P004.jpg</x:v>
      </x:c>
      <x:c r="P832" s="87" t="str">
        <x:v>839e3a1b1150a785ad946e35a71f9d559ac8d63cc42ed393639f15b7f2fa9f45</x:v>
      </x:c>
      <x:c r="Q832" s="30" t="str">
        <x:v>incoming/raw/recovery-drop-01/russian_egkr_spring_visual_assets_v099.zip!/pages/VIS-EGKR-RUS-S26-TASK-961-P004.png</x:v>
      </x:c>
      <x:c r="R832" s="30" t="str">
        <x:v>MATCHED_ASSET</x:v>
      </x:c>
      <x:c r="S832" t="e">
        <x:f>HYPERLINK("visual_gallery/index.html#"&amp;A832,"Галерея")</x:f>
      </x:c>
    </x:row>
    <x:row r="833">
      <x:c r="A833" s="87" t="str">
        <x:v>VIS-EGKR-RUS-S26-TASK-961-P005</x:v>
      </x:c>
      <x:c r="B833" s="30" t="str">
        <x:v>Русский язык</x:v>
      </x:c>
      <x:c r="C833" s="30"/>
      <x:c r="D833" s="30" t="str">
        <x:v>961</x:v>
      </x:c>
      <x:c r="E833" s="87" t="str">
        <x:v>TASK</x:v>
      </x:c>
      <x:c r="F833" s="30" t="str">
        <x:v>ЕГКР 961 по русскому языку.pdf</x:v>
      </x:c>
      <x:c r="G833" s="87" t="str">
        <x:v>5</x:v>
      </x:c>
      <x:c r="H833" s="87" t="str">
        <x:v>v0.99</x:v>
      </x:c>
      <x:c r="I833" s="87" t="str">
        <x:v>1</x:v>
      </x:c>
      <x:c r="J833" s="30" t="str">
        <x:v>VIS_ID</x:v>
      </x:c>
      <x:c r="K833" s="30" t="str">
        <x:v>EGKR-S26-RUS-961-08</x:v>
      </x:c>
      <x:c r="L833" s="87" t="str">
        <x:v>CROP_VERIFIED</x:v>
      </x:c>
      <x:c r="M833" s="87" t="str">
        <x:v>ORIGINAL_PACKAGE</x:v>
      </x:c>
      <x:c r="N833" s="87" t="str">
        <x:v>pages/VIS-EGKR-RUS-S26-TASK-961-P005.png</x:v>
      </x:c>
      <x:c r="O833" s="87" t="str">
        <x:v>thumbnails/VIS-EGKR-RUS-S26-TASK-961-P005.jpg</x:v>
      </x:c>
      <x:c r="P833" s="87" t="str">
        <x:v>6e944d98876f65fd88b970680927720746e18b9346b290eba5300f489fb0881f</x:v>
      </x:c>
      <x:c r="Q833" s="30" t="str">
        <x:v>incoming/raw/recovery-drop-01/russian_egkr_spring_visual_assets_v099.zip!/pages/VIS-EGKR-RUS-S26-TASK-961-P005.png</x:v>
      </x:c>
      <x:c r="R833" s="30" t="str">
        <x:v>MATCHED_ASSET</x:v>
      </x:c>
      <x:c r="S833" t="e">
        <x:f>HYPERLINK("visual_gallery/index.html#"&amp;A833,"Галерея")</x:f>
      </x:c>
    </x:row>
    <x:row r="834">
      <x:c r="A834" s="87" t="str">
        <x:v>VIS-EGKR-RUS-S26-TASK-961-P006</x:v>
      </x:c>
      <x:c r="B834" s="30" t="str">
        <x:v>Русский язык</x:v>
      </x:c>
      <x:c r="C834" s="30"/>
      <x:c r="D834" s="30" t="str">
        <x:v>961</x:v>
      </x:c>
      <x:c r="E834" s="87" t="str">
        <x:v>TASK</x:v>
      </x:c>
      <x:c r="F834" s="30" t="str">
        <x:v>ЕГКР 961 по русскому языку.pdf</x:v>
      </x:c>
      <x:c r="G834" s="87" t="str">
        <x:v>6</x:v>
      </x:c>
      <x:c r="H834" s="87" t="str">
        <x:v>v0.99</x:v>
      </x:c>
      <x:c r="I834" s="87" t="str">
        <x:v>4</x:v>
      </x:c>
      <x:c r="J834" s="30" t="str">
        <x:v>VIS_ID</x:v>
      </x:c>
      <x:c r="K834" s="30" t="str">
        <x:v>EGKR-S26-RUS-961-09, EGKR-S26-RUS-961-10, EGKR-S26-RUS-961-11, EGKR-S26-RUS-961-12</x:v>
      </x:c>
      <x:c r="L834" s="87" t="str">
        <x:v>CROP_VERIFIED</x:v>
      </x:c>
      <x:c r="M834" s="87" t="str">
        <x:v>ORIGINAL_PACKAGE</x:v>
      </x:c>
      <x:c r="N834" s="87" t="str">
        <x:v>pages/VIS-EGKR-RUS-S26-TASK-961-P006.png</x:v>
      </x:c>
      <x:c r="O834" s="87" t="str">
        <x:v>thumbnails/VIS-EGKR-RUS-S26-TASK-961-P006.jpg</x:v>
      </x:c>
      <x:c r="P834" s="87" t="str">
        <x:v>ba36b672bc8ad4d539a07033620e4198d19df519fb6b3221b9711a54ba42ede4</x:v>
      </x:c>
      <x:c r="Q834" s="30" t="str">
        <x:v>incoming/raw/recovery-drop-01/russian_egkr_spring_visual_assets_v099.zip!/pages/VIS-EGKR-RUS-S26-TASK-961-P006.png</x:v>
      </x:c>
      <x:c r="R834" s="30" t="str">
        <x:v>MATCHED_ASSET</x:v>
      </x:c>
      <x:c r="S834" t="e">
        <x:f>HYPERLINK("visual_gallery/index.html#"&amp;A834,"Галерея")</x:f>
      </x:c>
    </x:row>
    <x:row r="835">
      <x:c r="A835" s="87" t="str">
        <x:v>VIS-EGKR-RUS-S26-TASK-961-P007</x:v>
      </x:c>
      <x:c r="B835" s="30" t="str">
        <x:v>Русский язык</x:v>
      </x:c>
      <x:c r="C835" s="30"/>
      <x:c r="D835" s="30" t="str">
        <x:v>961</x:v>
      </x:c>
      <x:c r="E835" s="87" t="str">
        <x:v>TASK</x:v>
      </x:c>
      <x:c r="F835" s="30" t="str">
        <x:v>ЕГКР 961 по русскому языку.pdf</x:v>
      </x:c>
      <x:c r="G835" s="87" t="str">
        <x:v>7</x:v>
      </x:c>
      <x:c r="H835" s="87" t="str">
        <x:v>v0.99</x:v>
      </x:c>
      <x:c r="I835" s="87" t="str">
        <x:v>4</x:v>
      </x:c>
      <x:c r="J835" s="30" t="str">
        <x:v>VIS_ID</x:v>
      </x:c>
      <x:c r="K835" s="30" t="str">
        <x:v>EGKR-S26-RUS-961-13, EGKR-S26-RUS-961-14, EGKR-S26-RUS-961-15, EGKR-S26-RUS-961-16</x:v>
      </x:c>
      <x:c r="L835" s="87" t="str">
        <x:v>CROP_VERIFIED</x:v>
      </x:c>
      <x:c r="M835" s="87" t="str">
        <x:v>ORIGINAL_PACKAGE</x:v>
      </x:c>
      <x:c r="N835" s="87" t="str">
        <x:v>pages/VIS-EGKR-RUS-S26-TASK-961-P007.png</x:v>
      </x:c>
      <x:c r="O835" s="87" t="str">
        <x:v>thumbnails/VIS-EGKR-RUS-S26-TASK-961-P007.jpg</x:v>
      </x:c>
      <x:c r="P835" s="87" t="str">
        <x:v>077f052bd579c5980d724dd1989baae78035c05bbc36041098067f7a0482f154</x:v>
      </x:c>
      <x:c r="Q835" s="30" t="str">
        <x:v>incoming/raw/recovery-drop-01/russian_egkr_spring_visual_assets_v099.zip!/pages/VIS-EGKR-RUS-S26-TASK-961-P007.png</x:v>
      </x:c>
      <x:c r="R835" s="30" t="str">
        <x:v>MATCHED_ASSET</x:v>
      </x:c>
      <x:c r="S835" t="e">
        <x:f>HYPERLINK("visual_gallery/index.html#"&amp;A835,"Галерея")</x:f>
      </x:c>
    </x:row>
    <x:row r="836">
      <x:c r="A836" s="87" t="str">
        <x:v>VIS-EGKR-RUS-S26-TASK-961-P008</x:v>
      </x:c>
      <x:c r="B836" s="30" t="str">
        <x:v>Русский язык</x:v>
      </x:c>
      <x:c r="C836" s="30"/>
      <x:c r="D836" s="30" t="str">
        <x:v>961</x:v>
      </x:c>
      <x:c r="E836" s="87" t="str">
        <x:v>TASK</x:v>
      </x:c>
      <x:c r="F836" s="30" t="str">
        <x:v>ЕГКР 961 по русскому языку.pdf</x:v>
      </x:c>
      <x:c r="G836" s="87" t="str">
        <x:v>8</x:v>
      </x:c>
      <x:c r="H836" s="87" t="str">
        <x:v>v0.99</x:v>
      </x:c>
      <x:c r="I836" s="87" t="str">
        <x:v>2</x:v>
      </x:c>
      <x:c r="J836" s="30" t="str">
        <x:v>VIS_ID</x:v>
      </x:c>
      <x:c r="K836" s="30" t="str">
        <x:v>EGKR-S26-RUS-961-17, EGKR-S26-RUS-961-18</x:v>
      </x:c>
      <x:c r="L836" s="87" t="str">
        <x:v>CROP_VERIFIED</x:v>
      </x:c>
      <x:c r="M836" s="87" t="str">
        <x:v>ORIGINAL_PACKAGE</x:v>
      </x:c>
      <x:c r="N836" s="87" t="str">
        <x:v>pages/VIS-EGKR-RUS-S26-TASK-961-P008.png</x:v>
      </x:c>
      <x:c r="O836" s="87" t="str">
        <x:v>thumbnails/VIS-EGKR-RUS-S26-TASK-961-P008.jpg</x:v>
      </x:c>
      <x:c r="P836" s="87" t="str">
        <x:v>a117c16c55dde09f0e61b17e487c6c59d0ea74f69625bc6e3f660f81d00cdf35</x:v>
      </x:c>
      <x:c r="Q836" s="30" t="str">
        <x:v>incoming/raw/recovery-drop-01/russian_egkr_spring_visual_assets_v099.zip!/pages/VIS-EGKR-RUS-S26-TASK-961-P008.png</x:v>
      </x:c>
      <x:c r="R836" s="30" t="str">
        <x:v>MATCHED_ASSET</x:v>
      </x:c>
      <x:c r="S836" t="e">
        <x:f>HYPERLINK("visual_gallery/index.html#"&amp;A836,"Галерея")</x:f>
      </x:c>
    </x:row>
    <x:row r="837">
      <x:c r="A837" s="87" t="str">
        <x:v>VIS-EGKR-RUS-S26-TASK-961-P009</x:v>
      </x:c>
      <x:c r="B837" s="30" t="str">
        <x:v>Русский язык</x:v>
      </x:c>
      <x:c r="C837" s="30"/>
      <x:c r="D837" s="30" t="str">
        <x:v>961</x:v>
      </x:c>
      <x:c r="E837" s="87" t="str">
        <x:v>TASK</x:v>
      </x:c>
      <x:c r="F837" s="30" t="str">
        <x:v>ЕГКР 961 по русскому языку.pdf</x:v>
      </x:c>
      <x:c r="G837" s="87" t="str">
        <x:v>9</x:v>
      </x:c>
      <x:c r="H837" s="87" t="str">
        <x:v>v0.99</x:v>
      </x:c>
      <x:c r="I837" s="87" t="str">
        <x:v>3</x:v>
      </x:c>
      <x:c r="J837" s="30" t="str">
        <x:v>VIS_ID</x:v>
      </x:c>
      <x:c r="K837" s="30" t="str">
        <x:v>EGKR-S26-RUS-961-19, EGKR-S26-RUS-961-20, EGKR-S26-RUS-961-21</x:v>
      </x:c>
      <x:c r="L837" s="87" t="str">
        <x:v>CROP_VERIFIED</x:v>
      </x:c>
      <x:c r="M837" s="87" t="str">
        <x:v>ORIGINAL_PACKAGE</x:v>
      </x:c>
      <x:c r="N837" s="87" t="str">
        <x:v>pages/VIS-EGKR-RUS-S26-TASK-961-P009.png</x:v>
      </x:c>
      <x:c r="O837" s="87" t="str">
        <x:v>thumbnails/VIS-EGKR-RUS-S26-TASK-961-P009.jpg</x:v>
      </x:c>
      <x:c r="P837" s="87" t="str">
        <x:v>118934b77a528c387b121a0ed08dc05ed774ce6259b023d8443b00d22021dfd6</x:v>
      </x:c>
      <x:c r="Q837" s="30" t="str">
        <x:v>incoming/raw/recovery-drop-01/russian_egkr_spring_visual_assets_v099.zip!/pages/VIS-EGKR-RUS-S26-TASK-961-P009.png</x:v>
      </x:c>
      <x:c r="R837" s="30" t="str">
        <x:v>MATCHED_ASSET</x:v>
      </x:c>
      <x:c r="S837" t="e">
        <x:f>HYPERLINK("visual_gallery/index.html#"&amp;A837,"Галерея")</x:f>
      </x:c>
    </x:row>
    <x:row r="838">
      <x:c r="A838" s="87" t="str">
        <x:v>VIS-EGKR-RUS-S26-TASK-961-P010</x:v>
      </x:c>
      <x:c r="B838" s="30" t="str">
        <x:v>Русский язык</x:v>
      </x:c>
      <x:c r="C838" s="30"/>
      <x:c r="D838" s="30" t="str">
        <x:v>961</x:v>
      </x:c>
      <x:c r="E838" s="87" t="str">
        <x:v>TASK</x:v>
      </x:c>
      <x:c r="F838" s="30" t="str">
        <x:v>ЕГКР 961 по русскому языку.pdf</x:v>
      </x:c>
      <x:c r="G838" s="87" t="str">
        <x:v>10</x:v>
      </x:c>
      <x:c r="H838" s="87" t="str">
        <x:v>v0.99</x:v>
      </x:c>
      <x:c r="I838" s="87" t="str">
        <x:v>1</x:v>
      </x:c>
      <x:c r="J838" s="30" t="str">
        <x:v>VIS_ID</x:v>
      </x:c>
      <x:c r="K838" s="30" t="str">
        <x:v>EGKR-S26-RUS-961-22</x:v>
      </x:c>
      <x:c r="L838" s="87" t="str">
        <x:v>CROP_VERIFIED</x:v>
      </x:c>
      <x:c r="M838" s="87" t="str">
        <x:v>ORIGINAL_PACKAGE</x:v>
      </x:c>
      <x:c r="N838" s="87" t="str">
        <x:v>pages/VIS-EGKR-RUS-S26-TASK-961-P010.png</x:v>
      </x:c>
      <x:c r="O838" s="87" t="str">
        <x:v>thumbnails/VIS-EGKR-RUS-S26-TASK-961-P010.jpg</x:v>
      </x:c>
      <x:c r="P838" s="87" t="str">
        <x:v>88e49021b640d6bebd4b647d632a6a05037de30f326624bc6897120b7e4042d3</x:v>
      </x:c>
      <x:c r="Q838" s="30" t="str">
        <x:v>incoming/raw/recovery-drop-01/russian_egkr_spring_visual_assets_v099.zip!/pages/VIS-EGKR-RUS-S26-TASK-961-P010.png</x:v>
      </x:c>
      <x:c r="R838" s="30" t="str">
        <x:v>MATCHED_ASSET</x:v>
      </x:c>
      <x:c r="S838" t="e">
        <x:f>HYPERLINK("visual_gallery/index.html#"&amp;A838,"Галерея")</x:f>
      </x:c>
    </x:row>
    <x:row r="839">
      <x:c r="A839" s="87" t="str">
        <x:v>VIS-EGKR-RUS-S26-TASK-961-P011</x:v>
      </x:c>
      <x:c r="B839" s="30" t="str"/>
      <x:c r="C839" s="30"/>
      <x:c r="D839" s="30" t="str">
        <x:v>961</x:v>
      </x:c>
      <x:c r="E839" s="87" t="str">
        <x:v>TASK</x:v>
      </x:c>
      <x:c r="F839" s="30" t="str">
        <x:v>ЕГКР 961 по русскому языку.pdf</x:v>
      </x:c>
      <x:c r="G839" s="87" t="str">
        <x:v>11</x:v>
      </x:c>
      <x:c r="H839" s="87" t="str">
        <x:v>v0.99</x:v>
      </x:c>
      <x:c r="I839" s="87" t="str">
        <x:v>0</x:v>
      </x:c>
      <x:c r="J839" s="30" t="str"/>
      <x:c r="K839" s="30" t="str"/>
      <x:c r="L839" s="87" t="str">
        <x:v>CROP_VERIFIED</x:v>
      </x:c>
      <x:c r="M839" s="87" t="str">
        <x:v>ORIGINAL_PACKAGE</x:v>
      </x:c>
      <x:c r="N839" s="87" t="str">
        <x:v>pages/VIS-EGKR-RUS-S26-TASK-961-P011.png</x:v>
      </x:c>
      <x:c r="O839" s="87" t="str">
        <x:v>thumbnails/VIS-EGKR-RUS-S26-TASK-961-P011.jpg</x:v>
      </x:c>
      <x:c r="P839" s="87" t="str">
        <x:v>9f4decef442c374c3aa625ae0036529743a964ace99e029eb893f5027c8f014d</x:v>
      </x:c>
      <x:c r="Q839" s="30" t="str">
        <x:v>incoming/raw/recovery-drop-01/russian_egkr_spring_visual_assets_v099.zip!/pages/VIS-EGKR-RUS-S26-TASK-961-P011.png</x:v>
      </x:c>
      <x:c r="R839" s="30" t="str">
        <x:v>RESOLVED_UNLINKED_REGISTRY_VISUAL</x:v>
      </x:c>
      <x:c r="S839" t="e">
        <x:f>HYPERLINK("visual_gallery/index.html#"&amp;A839,"Галерея")</x:f>
      </x:c>
    </x:row>
    <x:row r="840">
      <x:c r="A840" s="87" t="str">
        <x:v>VIS-EGKR-RUS-S26-TASK-961-P012</x:v>
      </x:c>
      <x:c r="B840" s="30" t="str">
        <x:v>Русский язык</x:v>
      </x:c>
      <x:c r="C840" s="30"/>
      <x:c r="D840" s="30" t="str">
        <x:v>961</x:v>
      </x:c>
      <x:c r="E840" s="87" t="str">
        <x:v>TASK</x:v>
      </x:c>
      <x:c r="F840" s="30" t="str">
        <x:v>ЕГКР 961 по русскому языку.pdf</x:v>
      </x:c>
      <x:c r="G840" s="87" t="str">
        <x:v>12</x:v>
      </x:c>
      <x:c r="H840" s="87" t="str">
        <x:v>v0.99</x:v>
      </x:c>
      <x:c r="I840" s="87" t="str">
        <x:v>5</x:v>
      </x:c>
      <x:c r="J840" s="30" t="str">
        <x:v>VIS_ID</x:v>
      </x:c>
      <x:c r="K840" s="30" t="str">
        <x:v>EGKR-S26-RUS-961-23, EGKR-S26-RUS-961-24, EGKR-S26-RUS-961-25, EGKR-S26-RUS-961-26, EGKR-S26-RUS-961-27</x:v>
      </x:c>
      <x:c r="L840" s="87" t="str">
        <x:v>CROP_VERIFIED</x:v>
      </x:c>
      <x:c r="M840" s="87" t="str">
        <x:v>ORIGINAL_PACKAGE</x:v>
      </x:c>
      <x:c r="N840" s="87" t="str">
        <x:v>pages/VIS-EGKR-RUS-S26-TASK-961-P012.png</x:v>
      </x:c>
      <x:c r="O840" s="87" t="str">
        <x:v>thumbnails/VIS-EGKR-RUS-S26-TASK-961-P012.jpg</x:v>
      </x:c>
      <x:c r="P840" s="87" t="str">
        <x:v>86f9334018049080d0d2b9a63c9861a025840e983d0b16fd5483f55cfde100ca</x:v>
      </x:c>
      <x:c r="Q840" s="30" t="str">
        <x:v>incoming/raw/recovery-drop-01/russian_egkr_spring_visual_assets_v099.zip!/pages/VIS-EGKR-RUS-S26-TASK-961-P012.png</x:v>
      </x:c>
      <x:c r="R840" s="30" t="str">
        <x:v>MATCHED_ASSET</x:v>
      </x:c>
      <x:c r="S840" t="e">
        <x:f>HYPERLINK("visual_gallery/index.html#"&amp;A840,"Галерея")</x:f>
      </x:c>
    </x:row>
    <x:row r="841">
      <x:c r="A841" s="87" t="str">
        <x:v>VIS-EGKR-RUS-S26-TASK-961-P013</x:v>
      </x:c>
      <x:c r="B841" s="30" t="str"/>
      <x:c r="C841" s="30"/>
      <x:c r="D841" s="30" t="str">
        <x:v>961</x:v>
      </x:c>
      <x:c r="E841" s="87" t="str">
        <x:v>TASK</x:v>
      </x:c>
      <x:c r="F841" s="30" t="str">
        <x:v>ЕГКР 961 по русскому языку.pdf</x:v>
      </x:c>
      <x:c r="G841" s="87" t="str">
        <x:v>13</x:v>
      </x:c>
      <x:c r="H841" s="87" t="str">
        <x:v>v0.99</x:v>
      </x:c>
      <x:c r="I841" s="87" t="str">
        <x:v>0</x:v>
      </x:c>
      <x:c r="J841" s="30" t="str"/>
      <x:c r="K841" s="30" t="str"/>
      <x:c r="L841" s="87" t="str">
        <x:v>CROP_VERIFIED</x:v>
      </x:c>
      <x:c r="M841" s="87" t="str">
        <x:v>ORIGINAL_PACKAGE</x:v>
      </x:c>
      <x:c r="N841" s="87" t="str">
        <x:v>pages/VIS-EGKR-RUS-S26-TASK-961-P013.png</x:v>
      </x:c>
      <x:c r="O841" s="87" t="str">
        <x:v>thumbnails/VIS-EGKR-RUS-S26-TASK-961-P013.jpg</x:v>
      </x:c>
      <x:c r="P841" s="87" t="str">
        <x:v>4b3cfc331ed74590f52a4d76410ae9105d0078638a59c59ed4ae163c1d9a60bf</x:v>
      </x:c>
      <x:c r="Q841" s="30" t="str">
        <x:v>incoming/raw/recovery-drop-01/russian_egkr_spring_visual_assets_v099.zip!/pages/VIS-EGKR-RUS-S26-TASK-961-P013.png</x:v>
      </x:c>
      <x:c r="R841" s="30" t="str">
        <x:v>RESOLVED_UNLINKED_REGISTRY_VISUAL</x:v>
      </x:c>
      <x:c r="S841" t="e">
        <x:f>HYPERLINK("visual_gallery/index.html#"&amp;A841,"Галерея")</x:f>
      </x:c>
    </x:row>
    <x:row r="842">
      <x:c r="A842" s="87" t="str">
        <x:v>VIS-EGKR-RUS-S26-TASK-962-P001</x:v>
      </x:c>
      <x:c r="B842" s="30" t="str"/>
      <x:c r="C842" s="30"/>
      <x:c r="D842" s="30" t="str">
        <x:v>962</x:v>
      </x:c>
      <x:c r="E842" s="87" t="str">
        <x:v>TASK</x:v>
      </x:c>
      <x:c r="F842" s="30" t="str">
        <x:v>ЕГКР 962 по русскому языку.pdf</x:v>
      </x:c>
      <x:c r="G842" s="87" t="str">
        <x:v>1</x:v>
      </x:c>
      <x:c r="H842" s="87" t="str">
        <x:v>v0.99</x:v>
      </x:c>
      <x:c r="I842" s="87" t="str">
        <x:v>0</x:v>
      </x:c>
      <x:c r="J842" s="30" t="str"/>
      <x:c r="K842" s="30" t="str"/>
      <x:c r="L842" s="87" t="str">
        <x:v>CROP_VERIFIED</x:v>
      </x:c>
      <x:c r="M842" s="87" t="str">
        <x:v>ORIGINAL_PACKAGE</x:v>
      </x:c>
      <x:c r="N842" s="87" t="str">
        <x:v>pages/VIS-EGKR-RUS-S26-TASK-962-P001.png</x:v>
      </x:c>
      <x:c r="O842" s="87" t="str">
        <x:v>thumbnails/VIS-EGKR-RUS-S26-TASK-962-P001.jpg</x:v>
      </x:c>
      <x:c r="P842" s="87" t="str">
        <x:v>5de812fbf4b1fdb103d8caa588f678fa47ae823e965a047ce86c3ba8c541dc82</x:v>
      </x:c>
      <x:c r="Q842" s="30" t="str">
        <x:v>incoming/raw/recovery-drop-01/russian_egkr_spring_visual_assets_v099.zip!/pages/VIS-EGKR-RUS-S26-TASK-962-P001.png</x:v>
      </x:c>
      <x:c r="R842" s="30" t="str">
        <x:v>RESOLVED_UNLINKED_REGISTRY_VISUAL</x:v>
      </x:c>
      <x:c r="S842" t="e">
        <x:f>HYPERLINK("visual_gallery/index.html#"&amp;A842,"Галерея")</x:f>
      </x:c>
    </x:row>
    <x:row r="843">
      <x:c r="A843" s="87" t="str">
        <x:v>VIS-EGKR-RUS-S26-TASK-962-P002</x:v>
      </x:c>
      <x:c r="B843" s="30" t="str"/>
      <x:c r="C843" s="30"/>
      <x:c r="D843" s="30" t="str">
        <x:v>962</x:v>
      </x:c>
      <x:c r="E843" s="87" t="str">
        <x:v>TASK</x:v>
      </x:c>
      <x:c r="F843" s="30" t="str">
        <x:v>ЕГКР 962 по русскому языку.pdf</x:v>
      </x:c>
      <x:c r="G843" s="87" t="str">
        <x:v>2</x:v>
      </x:c>
      <x:c r="H843" s="87" t="str">
        <x:v>v0.99</x:v>
      </x:c>
      <x:c r="I843" s="87" t="str">
        <x:v>0</x:v>
      </x:c>
      <x:c r="J843" s="30" t="str"/>
      <x:c r="K843" s="30" t="str"/>
      <x:c r="L843" s="87" t="str">
        <x:v>CROP_VERIFIED</x:v>
      </x:c>
      <x:c r="M843" s="87" t="str">
        <x:v>ORIGINAL_PACKAGE</x:v>
      </x:c>
      <x:c r="N843" s="87" t="str">
        <x:v>pages/VIS-EGKR-RUS-S26-TASK-962-P002.png</x:v>
      </x:c>
      <x:c r="O843" s="87" t="str">
        <x:v>thumbnails/VIS-EGKR-RUS-S26-TASK-962-P002.jpg</x:v>
      </x:c>
      <x:c r="P843" s="87" t="str">
        <x:v>c7ee71b9b8d44dae43fb87666fa19bce22fff2577edeb0dfa7973e2618f32e27</x:v>
      </x:c>
      <x:c r="Q843" s="30" t="str">
        <x:v>incoming/raw/recovery-drop-01/russian_egkr_spring_visual_assets_v099.zip!/pages/VIS-EGKR-RUS-S26-TASK-962-P002.png</x:v>
      </x:c>
      <x:c r="R843" s="30" t="str">
        <x:v>RESOLVED_UNLINKED_REGISTRY_VISUAL</x:v>
      </x:c>
      <x:c r="S843" t="e">
        <x:f>HYPERLINK("visual_gallery/index.html#"&amp;A843,"Галерея")</x:f>
      </x:c>
    </x:row>
    <x:row r="844">
      <x:c r="A844" s="87" t="str">
        <x:v>VIS-EGKR-RUS-S26-TASK-962-P003</x:v>
      </x:c>
      <x:c r="B844" s="30" t="str">
        <x:v>Русский язык</x:v>
      </x:c>
      <x:c r="C844" s="30"/>
      <x:c r="D844" s="30" t="str">
        <x:v>962</x:v>
      </x:c>
      <x:c r="E844" s="87" t="str">
        <x:v>TASK</x:v>
      </x:c>
      <x:c r="F844" s="30" t="str">
        <x:v>ЕГКР 962 по русскому языку.pdf</x:v>
      </x:c>
      <x:c r="G844" s="87" t="str">
        <x:v>3</x:v>
      </x:c>
      <x:c r="H844" s="87" t="str">
        <x:v>v0.99</x:v>
      </x:c>
      <x:c r="I844" s="87" t="str">
        <x:v>3</x:v>
      </x:c>
      <x:c r="J844" s="30" t="str">
        <x:v>VIS_ID</x:v>
      </x:c>
      <x:c r="K844" s="30" t="str">
        <x:v>EGKR-S26-RUS-962-01, EGKR-S26-RUS-962-02, EGKR-S26-RUS-962-03</x:v>
      </x:c>
      <x:c r="L844" s="87" t="str">
        <x:v>CROP_VERIFIED</x:v>
      </x:c>
      <x:c r="M844" s="87" t="str">
        <x:v>ORIGINAL_PACKAGE</x:v>
      </x:c>
      <x:c r="N844" s="87" t="str">
        <x:v>pages/VIS-EGKR-RUS-S26-TASK-962-P003.png</x:v>
      </x:c>
      <x:c r="O844" s="87" t="str">
        <x:v>thumbnails/VIS-EGKR-RUS-S26-TASK-962-P003.jpg</x:v>
      </x:c>
      <x:c r="P844" s="87" t="str">
        <x:v>e5319b7f577845723eb9df173ac9ba3190a399df4529b4c786824b68436a921a</x:v>
      </x:c>
      <x:c r="Q844" s="30" t="str">
        <x:v>incoming/raw/recovery-drop-01/russian_egkr_spring_visual_assets_v099.zip!/pages/VIS-EGKR-RUS-S26-TASK-962-P003.png</x:v>
      </x:c>
      <x:c r="R844" s="30" t="str">
        <x:v>MATCHED_ASSET</x:v>
      </x:c>
      <x:c r="S844" t="e">
        <x:f>HYPERLINK("visual_gallery/index.html#"&amp;A844,"Галерея")</x:f>
      </x:c>
    </x:row>
    <x:row r="845">
      <x:c r="A845" s="87" t="str">
        <x:v>VIS-EGKR-RUS-S26-TASK-962-P004</x:v>
      </x:c>
      <x:c r="B845" s="30" t="str">
        <x:v>Русский язык</x:v>
      </x:c>
      <x:c r="C845" s="30"/>
      <x:c r="D845" s="30" t="str">
        <x:v>962</x:v>
      </x:c>
      <x:c r="E845" s="87" t="str">
        <x:v>TASK</x:v>
      </x:c>
      <x:c r="F845" s="30" t="str">
        <x:v>ЕГКР 962 по русскому языку.pdf</x:v>
      </x:c>
      <x:c r="G845" s="87" t="str">
        <x:v>4</x:v>
      </x:c>
      <x:c r="H845" s="87" t="str">
        <x:v>v0.99</x:v>
      </x:c>
      <x:c r="I845" s="87" t="str">
        <x:v>4</x:v>
      </x:c>
      <x:c r="J845" s="30" t="str">
        <x:v>VIS_ID</x:v>
      </x:c>
      <x:c r="K845" s="30" t="str">
        <x:v>EGKR-S26-RUS-962-04, EGKR-S26-RUS-962-05, EGKR-S26-RUS-962-06, EGKR-S26-RUS-962-07</x:v>
      </x:c>
      <x:c r="L845" s="87" t="str">
        <x:v>CROP_VERIFIED</x:v>
      </x:c>
      <x:c r="M845" s="87" t="str">
        <x:v>ORIGINAL_PACKAGE</x:v>
      </x:c>
      <x:c r="N845" s="87" t="str">
        <x:v>pages/VIS-EGKR-RUS-S26-TASK-962-P004.png</x:v>
      </x:c>
      <x:c r="O845" s="87" t="str">
        <x:v>thumbnails/VIS-EGKR-RUS-S26-TASK-962-P004.jpg</x:v>
      </x:c>
      <x:c r="P845" s="87" t="str">
        <x:v>fd5c71b161a4fbdb0843305fe111b26611b660586c9eea32371d9fcd4250c09f</x:v>
      </x:c>
      <x:c r="Q845" s="30" t="str">
        <x:v>incoming/raw/recovery-drop-01/russian_egkr_spring_visual_assets_v099.zip!/pages/VIS-EGKR-RUS-S26-TASK-962-P004.png</x:v>
      </x:c>
      <x:c r="R845" s="30" t="str">
        <x:v>MATCHED_ASSET</x:v>
      </x:c>
      <x:c r="S845" t="e">
        <x:f>HYPERLINK("visual_gallery/index.html#"&amp;A845,"Галерея")</x:f>
      </x:c>
    </x:row>
    <x:row r="846">
      <x:c r="A846" s="87" t="str">
        <x:v>VIS-EGKR-RUS-S26-TASK-962-P005</x:v>
      </x:c>
      <x:c r="B846" s="30" t="str">
        <x:v>Русский язык</x:v>
      </x:c>
      <x:c r="C846" s="30"/>
      <x:c r="D846" s="30" t="str">
        <x:v>962</x:v>
      </x:c>
      <x:c r="E846" s="87" t="str">
        <x:v>TASK</x:v>
      </x:c>
      <x:c r="F846" s="30" t="str">
        <x:v>ЕГКР 962 по русскому языку.pdf</x:v>
      </x:c>
      <x:c r="G846" s="87" t="str">
        <x:v>5</x:v>
      </x:c>
      <x:c r="H846" s="87" t="str">
        <x:v>v0.99</x:v>
      </x:c>
      <x:c r="I846" s="87" t="str">
        <x:v>1</x:v>
      </x:c>
      <x:c r="J846" s="30" t="str">
        <x:v>VIS_ID</x:v>
      </x:c>
      <x:c r="K846" s="30" t="str">
        <x:v>EGKR-S26-RUS-962-08</x:v>
      </x:c>
      <x:c r="L846" s="87" t="str">
        <x:v>CROP_VERIFIED</x:v>
      </x:c>
      <x:c r="M846" s="87" t="str">
        <x:v>ORIGINAL_PACKAGE</x:v>
      </x:c>
      <x:c r="N846" s="87" t="str">
        <x:v>pages/VIS-EGKR-RUS-S26-TASK-962-P005.png</x:v>
      </x:c>
      <x:c r="O846" s="87" t="str">
        <x:v>thumbnails/VIS-EGKR-RUS-S26-TASK-962-P005.jpg</x:v>
      </x:c>
      <x:c r="P846" s="87" t="str">
        <x:v>1a4f77a10b49eb9f50b91b2274051d1819e9b69db7fd46132b58c7282a680369</x:v>
      </x:c>
      <x:c r="Q846" s="30" t="str">
        <x:v>incoming/raw/recovery-drop-01/russian_egkr_spring_visual_assets_v099.zip!/pages/VIS-EGKR-RUS-S26-TASK-962-P005.png</x:v>
      </x:c>
      <x:c r="R846" s="30" t="str">
        <x:v>MATCHED_ASSET</x:v>
      </x:c>
      <x:c r="S846" t="e">
        <x:f>HYPERLINK("visual_gallery/index.html#"&amp;A846,"Галерея")</x:f>
      </x:c>
    </x:row>
    <x:row r="847">
      <x:c r="A847" s="87" t="str">
        <x:v>VIS-EGKR-RUS-S26-TASK-962-P006</x:v>
      </x:c>
      <x:c r="B847" s="30" t="str">
        <x:v>Русский язык</x:v>
      </x:c>
      <x:c r="C847" s="30"/>
      <x:c r="D847" s="30" t="str">
        <x:v>962</x:v>
      </x:c>
      <x:c r="E847" s="87" t="str">
        <x:v>TASK</x:v>
      </x:c>
      <x:c r="F847" s="30" t="str">
        <x:v>ЕГКР 962 по русскому языку.pdf</x:v>
      </x:c>
      <x:c r="G847" s="87" t="str">
        <x:v>6</x:v>
      </x:c>
      <x:c r="H847" s="87" t="str">
        <x:v>v0.99</x:v>
      </x:c>
      <x:c r="I847" s="87" t="str">
        <x:v>4</x:v>
      </x:c>
      <x:c r="J847" s="30" t="str">
        <x:v>VIS_ID</x:v>
      </x:c>
      <x:c r="K847" s="30" t="str">
        <x:v>EGKR-S26-RUS-962-09, EGKR-S26-RUS-962-10, EGKR-S26-RUS-962-11, EGKR-S26-RUS-962-12</x:v>
      </x:c>
      <x:c r="L847" s="87" t="str">
        <x:v>CROP_VERIFIED</x:v>
      </x:c>
      <x:c r="M847" s="87" t="str">
        <x:v>ORIGINAL_PACKAGE</x:v>
      </x:c>
      <x:c r="N847" s="87" t="str">
        <x:v>pages/VIS-EGKR-RUS-S26-TASK-962-P006.png</x:v>
      </x:c>
      <x:c r="O847" s="87" t="str">
        <x:v>thumbnails/VIS-EGKR-RUS-S26-TASK-962-P006.jpg</x:v>
      </x:c>
      <x:c r="P847" s="87" t="str">
        <x:v>558b4363c7c42e49179fcc73e0a0ed5fd75c9b405b665f295d5906044d1e4caa</x:v>
      </x:c>
      <x:c r="Q847" s="30" t="str">
        <x:v>incoming/raw/recovery-drop-01/russian_egkr_spring_visual_assets_v099.zip!/pages/VIS-EGKR-RUS-S26-TASK-962-P006.png</x:v>
      </x:c>
      <x:c r="R847" s="30" t="str">
        <x:v>MATCHED_ASSET</x:v>
      </x:c>
      <x:c r="S847" t="e">
        <x:f>HYPERLINK("visual_gallery/index.html#"&amp;A847,"Галерея")</x:f>
      </x:c>
    </x:row>
    <x:row r="848">
      <x:c r="A848" s="87" t="str">
        <x:v>VIS-EGKR-RUS-S26-TASK-962-P007</x:v>
      </x:c>
      <x:c r="B848" s="30" t="str">
        <x:v>Русский язык</x:v>
      </x:c>
      <x:c r="C848" s="30"/>
      <x:c r="D848" s="30" t="str">
        <x:v>962</x:v>
      </x:c>
      <x:c r="E848" s="87" t="str">
        <x:v>TASK</x:v>
      </x:c>
      <x:c r="F848" s="30" t="str">
        <x:v>ЕГКР 962 по русскому языку.pdf</x:v>
      </x:c>
      <x:c r="G848" s="87" t="str">
        <x:v>7</x:v>
      </x:c>
      <x:c r="H848" s="87" t="str">
        <x:v>v0.99</x:v>
      </x:c>
      <x:c r="I848" s="87" t="str">
        <x:v>3</x:v>
      </x:c>
      <x:c r="J848" s="30" t="str">
        <x:v>VIS_ID</x:v>
      </x:c>
      <x:c r="K848" s="30" t="str">
        <x:v>EGKR-S26-RUS-962-13, EGKR-S26-RUS-962-14, EGKR-S26-RUS-962-15</x:v>
      </x:c>
      <x:c r="L848" s="87" t="str">
        <x:v>CROP_VERIFIED</x:v>
      </x:c>
      <x:c r="M848" s="87" t="str">
        <x:v>ORIGINAL_PACKAGE</x:v>
      </x:c>
      <x:c r="N848" s="87" t="str">
        <x:v>pages/VIS-EGKR-RUS-S26-TASK-962-P007.png</x:v>
      </x:c>
      <x:c r="O848" s="87" t="str">
        <x:v>thumbnails/VIS-EGKR-RUS-S26-TASK-962-P007.jpg</x:v>
      </x:c>
      <x:c r="P848" s="87" t="str">
        <x:v>9f0686e05bc72b0cf042699c2e2850ff516231b73df8ea71d2c1a803317af570</x:v>
      </x:c>
      <x:c r="Q848" s="30" t="str">
        <x:v>incoming/raw/recovery-drop-01/russian_egkr_spring_visual_assets_v099.zip!/pages/VIS-EGKR-RUS-S26-TASK-962-P007.png</x:v>
      </x:c>
      <x:c r="R848" s="30" t="str">
        <x:v>MATCHED_ASSET</x:v>
      </x:c>
      <x:c r="S848" t="e">
        <x:f>HYPERLINK("visual_gallery/index.html#"&amp;A848,"Галерея")</x:f>
      </x:c>
    </x:row>
    <x:row r="849">
      <x:c r="A849" s="87" t="str">
        <x:v>VIS-EGKR-RUS-S26-TASK-962-P008</x:v>
      </x:c>
      <x:c r="B849" s="30" t="str">
        <x:v>Русский язык</x:v>
      </x:c>
      <x:c r="C849" s="30"/>
      <x:c r="D849" s="30" t="str">
        <x:v>962</x:v>
      </x:c>
      <x:c r="E849" s="87" t="str">
        <x:v>TASK</x:v>
      </x:c>
      <x:c r="F849" s="30" t="str">
        <x:v>ЕГКР 962 по русскому языку.pdf</x:v>
      </x:c>
      <x:c r="G849" s="87" t="str">
        <x:v>8</x:v>
      </x:c>
      <x:c r="H849" s="87" t="str">
        <x:v>v0.99</x:v>
      </x:c>
      <x:c r="I849" s="87" t="str">
        <x:v>3</x:v>
      </x:c>
      <x:c r="J849" s="30" t="str">
        <x:v>VIS_ID</x:v>
      </x:c>
      <x:c r="K849" s="30" t="str">
        <x:v>EGKR-S26-RUS-962-16, EGKR-S26-RUS-962-17, EGKR-S26-RUS-962-18</x:v>
      </x:c>
      <x:c r="L849" s="87" t="str">
        <x:v>CROP_VERIFIED</x:v>
      </x:c>
      <x:c r="M849" s="87" t="str">
        <x:v>ORIGINAL_PACKAGE</x:v>
      </x:c>
      <x:c r="N849" s="87" t="str">
        <x:v>pages/VIS-EGKR-RUS-S26-TASK-962-P008.png</x:v>
      </x:c>
      <x:c r="O849" s="87" t="str">
        <x:v>thumbnails/VIS-EGKR-RUS-S26-TASK-962-P008.jpg</x:v>
      </x:c>
      <x:c r="P849" s="87" t="str">
        <x:v>43088b871952b605e42adaa136fce97ad153e2c7e0072d92703ddaecea0d00f1</x:v>
      </x:c>
      <x:c r="Q849" s="30" t="str">
        <x:v>incoming/raw/recovery-drop-01/russian_egkr_spring_visual_assets_v099.zip!/pages/VIS-EGKR-RUS-S26-TASK-962-P008.png</x:v>
      </x:c>
      <x:c r="R849" s="30" t="str">
        <x:v>MATCHED_ASSET</x:v>
      </x:c>
      <x:c r="S849" t="e">
        <x:f>HYPERLINK("visual_gallery/index.html#"&amp;A849,"Галерея")</x:f>
      </x:c>
    </x:row>
    <x:row r="850">
      <x:c r="A850" s="87" t="str">
        <x:v>VIS-EGKR-RUS-S26-TASK-962-P009</x:v>
      </x:c>
      <x:c r="B850" s="30" t="str">
        <x:v>Русский язык</x:v>
      </x:c>
      <x:c r="C850" s="30"/>
      <x:c r="D850" s="30" t="str">
        <x:v>962</x:v>
      </x:c>
      <x:c r="E850" s="87" t="str">
        <x:v>TASK</x:v>
      </x:c>
      <x:c r="F850" s="30" t="str">
        <x:v>ЕГКР 962 по русскому языку.pdf</x:v>
      </x:c>
      <x:c r="G850" s="87" t="str">
        <x:v>9</x:v>
      </x:c>
      <x:c r="H850" s="87" t="str">
        <x:v>v0.99</x:v>
      </x:c>
      <x:c r="I850" s="87" t="str">
        <x:v>3</x:v>
      </x:c>
      <x:c r="J850" s="30" t="str">
        <x:v>VIS_ID</x:v>
      </x:c>
      <x:c r="K850" s="30" t="str">
        <x:v>EGKR-S26-RUS-962-19, EGKR-S26-RUS-962-20, EGKR-S26-RUS-962-21</x:v>
      </x:c>
      <x:c r="L850" s="87" t="str">
        <x:v>CROP_VERIFIED</x:v>
      </x:c>
      <x:c r="M850" s="87" t="str">
        <x:v>ORIGINAL_PACKAGE</x:v>
      </x:c>
      <x:c r="N850" s="87" t="str">
        <x:v>pages/VIS-EGKR-RUS-S26-TASK-962-P009.png</x:v>
      </x:c>
      <x:c r="O850" s="87" t="str">
        <x:v>thumbnails/VIS-EGKR-RUS-S26-TASK-962-P009.jpg</x:v>
      </x:c>
      <x:c r="P850" s="87" t="str">
        <x:v>838ace1af28137ae84e8cd5bfb1e493401f3e1e5291f31886bd902e30fc5c818</x:v>
      </x:c>
      <x:c r="Q850" s="30" t="str">
        <x:v>incoming/raw/recovery-drop-01/russian_egkr_spring_visual_assets_v099.zip!/pages/VIS-EGKR-RUS-S26-TASK-962-P009.png</x:v>
      </x:c>
      <x:c r="R850" s="30" t="str">
        <x:v>MATCHED_ASSET</x:v>
      </x:c>
      <x:c r="S850" t="e">
        <x:f>HYPERLINK("visual_gallery/index.html#"&amp;A850,"Галерея")</x:f>
      </x:c>
    </x:row>
    <x:row r="851">
      <x:c r="A851" s="87" t="str">
        <x:v>VIS-EGKR-RUS-S26-TASK-962-P010</x:v>
      </x:c>
      <x:c r="B851" s="30" t="str">
        <x:v>Русский язык</x:v>
      </x:c>
      <x:c r="C851" s="30"/>
      <x:c r="D851" s="30" t="str">
        <x:v>962</x:v>
      </x:c>
      <x:c r="E851" s="87" t="str">
        <x:v>TASK</x:v>
      </x:c>
      <x:c r="F851" s="30" t="str">
        <x:v>ЕГКР 962 по русскому языку.pdf</x:v>
      </x:c>
      <x:c r="G851" s="87" t="str">
        <x:v>10</x:v>
      </x:c>
      <x:c r="H851" s="87" t="str">
        <x:v>v0.99</x:v>
      </x:c>
      <x:c r="I851" s="87" t="str">
        <x:v>1</x:v>
      </x:c>
      <x:c r="J851" s="30" t="str">
        <x:v>VIS_ID</x:v>
      </x:c>
      <x:c r="K851" s="30" t="str">
        <x:v>EGKR-S26-RUS-962-22</x:v>
      </x:c>
      <x:c r="L851" s="87" t="str">
        <x:v>CROP_VERIFIED</x:v>
      </x:c>
      <x:c r="M851" s="87" t="str">
        <x:v>ORIGINAL_PACKAGE</x:v>
      </x:c>
      <x:c r="N851" s="87" t="str">
        <x:v>pages/VIS-EGKR-RUS-S26-TASK-962-P010.png</x:v>
      </x:c>
      <x:c r="O851" s="87" t="str">
        <x:v>thumbnails/VIS-EGKR-RUS-S26-TASK-962-P010.jpg</x:v>
      </x:c>
      <x:c r="P851" s="87" t="str">
        <x:v>2fd9450af5ad001b8800f3821cf0b7b1a69e0daf11d136bd499a5234dd8d562a</x:v>
      </x:c>
      <x:c r="Q851" s="30" t="str">
        <x:v>incoming/raw/recovery-drop-01/russian_egkr_spring_visual_assets_v099.zip!/pages/VIS-EGKR-RUS-S26-TASK-962-P010.png</x:v>
      </x:c>
      <x:c r="R851" s="30" t="str">
        <x:v>MATCHED_ASSET</x:v>
      </x:c>
      <x:c r="S851" t="e">
        <x:f>HYPERLINK("visual_gallery/index.html#"&amp;A851,"Галерея")</x:f>
      </x:c>
    </x:row>
    <x:row r="852">
      <x:c r="A852" s="87" t="str">
        <x:v>VIS-EGKR-RUS-S26-TASK-962-P011</x:v>
      </x:c>
      <x:c r="B852" s="30" t="str"/>
      <x:c r="C852" s="30"/>
      <x:c r="D852" s="30" t="str">
        <x:v>962</x:v>
      </x:c>
      <x:c r="E852" s="87" t="str">
        <x:v>TASK</x:v>
      </x:c>
      <x:c r="F852" s="30" t="str">
        <x:v>ЕГКР 962 по русскому языку.pdf</x:v>
      </x:c>
      <x:c r="G852" s="87" t="str">
        <x:v>11</x:v>
      </x:c>
      <x:c r="H852" s="87" t="str">
        <x:v>v0.99</x:v>
      </x:c>
      <x:c r="I852" s="87" t="str">
        <x:v>0</x:v>
      </x:c>
      <x:c r="J852" s="30" t="str"/>
      <x:c r="K852" s="30" t="str"/>
      <x:c r="L852" s="87" t="str">
        <x:v>CROP_VERIFIED</x:v>
      </x:c>
      <x:c r="M852" s="87" t="str">
        <x:v>ORIGINAL_PACKAGE</x:v>
      </x:c>
      <x:c r="N852" s="87" t="str">
        <x:v>pages/VIS-EGKR-RUS-S26-TASK-962-P011.png</x:v>
      </x:c>
      <x:c r="O852" s="87" t="str">
        <x:v>thumbnails/VIS-EGKR-RUS-S26-TASK-962-P011.jpg</x:v>
      </x:c>
      <x:c r="P852" s="87" t="str">
        <x:v>1acb297f750b803f2c67abf58d83f6ae4610fac4afe7bf64fb9fd3a1f5c73522</x:v>
      </x:c>
      <x:c r="Q852" s="30" t="str">
        <x:v>incoming/raw/recovery-drop-01/russian_egkr_spring_visual_assets_v099.zip!/pages/VIS-EGKR-RUS-S26-TASK-962-P011.png</x:v>
      </x:c>
      <x:c r="R852" s="30" t="str">
        <x:v>RESOLVED_UNLINKED_REGISTRY_VISUAL</x:v>
      </x:c>
      <x:c r="S852" t="e">
        <x:f>HYPERLINK("visual_gallery/index.html#"&amp;A852,"Галерея")</x:f>
      </x:c>
    </x:row>
    <x:row r="853">
      <x:c r="A853" s="87" t="str">
        <x:v>VIS-EGKR-RUS-S26-TASK-962-P012</x:v>
      </x:c>
      <x:c r="B853" s="30" t="str">
        <x:v>Русский язык</x:v>
      </x:c>
      <x:c r="C853" s="30"/>
      <x:c r="D853" s="30" t="str">
        <x:v>962</x:v>
      </x:c>
      <x:c r="E853" s="87" t="str">
        <x:v>TASK</x:v>
      </x:c>
      <x:c r="F853" s="30" t="str">
        <x:v>ЕГКР 962 по русскому языку.pdf</x:v>
      </x:c>
      <x:c r="G853" s="87" t="str">
        <x:v>12</x:v>
      </x:c>
      <x:c r="H853" s="87" t="str">
        <x:v>v0.99</x:v>
      </x:c>
      <x:c r="I853" s="87" t="str">
        <x:v>4</x:v>
      </x:c>
      <x:c r="J853" s="30" t="str">
        <x:v>VIS_ID</x:v>
      </x:c>
      <x:c r="K853" s="30" t="str">
        <x:v>EGKR-S26-RUS-962-23, EGKR-S26-RUS-962-24, EGKR-S26-RUS-962-25, EGKR-S26-RUS-962-26</x:v>
      </x:c>
      <x:c r="L853" s="87" t="str">
        <x:v>CROP_VERIFIED</x:v>
      </x:c>
      <x:c r="M853" s="87" t="str">
        <x:v>ORIGINAL_PACKAGE</x:v>
      </x:c>
      <x:c r="N853" s="87" t="str">
        <x:v>pages/VIS-EGKR-RUS-S26-TASK-962-P012.png</x:v>
      </x:c>
      <x:c r="O853" s="87" t="str">
        <x:v>thumbnails/VIS-EGKR-RUS-S26-TASK-962-P012.jpg</x:v>
      </x:c>
      <x:c r="P853" s="87" t="str">
        <x:v>dd9a3fa626cadec4b6eb2b8acb74ac24556c6025c1b4371275b3edc04a01c9d5</x:v>
      </x:c>
      <x:c r="Q853" s="30" t="str">
        <x:v>incoming/raw/recovery-drop-01/russian_egkr_spring_visual_assets_v099.zip!/pages/VIS-EGKR-RUS-S26-TASK-962-P012.png</x:v>
      </x:c>
      <x:c r="R853" s="30" t="str">
        <x:v>MATCHED_ASSET</x:v>
      </x:c>
      <x:c r="S853" t="e">
        <x:f>HYPERLINK("visual_gallery/index.html#"&amp;A853,"Галерея")</x:f>
      </x:c>
    </x:row>
    <x:row r="854">
      <x:c r="A854" s="87" t="str">
        <x:v>VIS-EGKR-RUS-S26-TASK-962-P013</x:v>
      </x:c>
      <x:c r="B854" s="30" t="str">
        <x:v>Русский язык</x:v>
      </x:c>
      <x:c r="C854" s="30"/>
      <x:c r="D854" s="30" t="str">
        <x:v>962</x:v>
      </x:c>
      <x:c r="E854" s="87" t="str">
        <x:v>TASK</x:v>
      </x:c>
      <x:c r="F854" s="30" t="str">
        <x:v>ЕГКР 962 по русскому языку.pdf</x:v>
      </x:c>
      <x:c r="G854" s="87" t="str">
        <x:v>13</x:v>
      </x:c>
      <x:c r="H854" s="87" t="str">
        <x:v>v0.99</x:v>
      </x:c>
      <x:c r="I854" s="87" t="str">
        <x:v>1</x:v>
      </x:c>
      <x:c r="J854" s="30" t="str">
        <x:v>VIS_ID</x:v>
      </x:c>
      <x:c r="K854" s="30" t="str">
        <x:v>EGKR-S26-RUS-962-27</x:v>
      </x:c>
      <x:c r="L854" s="87" t="str">
        <x:v>CROP_VERIFIED</x:v>
      </x:c>
      <x:c r="M854" s="87" t="str">
        <x:v>ORIGINAL_PACKAGE</x:v>
      </x:c>
      <x:c r="N854" s="87" t="str">
        <x:v>pages/VIS-EGKR-RUS-S26-TASK-962-P013.png</x:v>
      </x:c>
      <x:c r="O854" s="87" t="str">
        <x:v>thumbnails/VIS-EGKR-RUS-S26-TASK-962-P013.jpg</x:v>
      </x:c>
      <x:c r="P854" s="87" t="str">
        <x:v>1b377a019e367f2f45f8be255cfad03abc86940ba59f33ba897295a5f83890f4</x:v>
      </x:c>
      <x:c r="Q854" s="30" t="str">
        <x:v>incoming/raw/recovery-drop-01/russian_egkr_spring_visual_assets_v099.zip!/pages/VIS-EGKR-RUS-S26-TASK-962-P013.png</x:v>
      </x:c>
      <x:c r="R854" s="30" t="str">
        <x:v>MATCHED_ASSET</x:v>
      </x:c>
      <x:c r="S854" t="e">
        <x:f>HYPERLINK("visual_gallery/index.html#"&amp;A854,"Галерея")</x:f>
      </x:c>
    </x:row>
    <x:row r="855">
      <x:c r="A855" s="87" t="str">
        <x:v>VIS-EGKR-RUS-S26-TASK-963-P001</x:v>
      </x:c>
      <x:c r="B855" s="30" t="str"/>
      <x:c r="C855" s="30"/>
      <x:c r="D855" s="30" t="str">
        <x:v>963</x:v>
      </x:c>
      <x:c r="E855" s="87" t="str">
        <x:v>TASK</x:v>
      </x:c>
      <x:c r="F855" s="30" t="str">
        <x:v>ЕГКР 963 по русскому языку.pdf</x:v>
      </x:c>
      <x:c r="G855" s="87" t="str">
        <x:v>1</x:v>
      </x:c>
      <x:c r="H855" s="87" t="str">
        <x:v>v0.99</x:v>
      </x:c>
      <x:c r="I855" s="87" t="str">
        <x:v>0</x:v>
      </x:c>
      <x:c r="J855" s="30" t="str"/>
      <x:c r="K855" s="30" t="str"/>
      <x:c r="L855" s="87" t="str">
        <x:v>CROP_VERIFIED</x:v>
      </x:c>
      <x:c r="M855" s="87" t="str">
        <x:v>ORIGINAL_PACKAGE</x:v>
      </x:c>
      <x:c r="N855" s="87" t="str">
        <x:v>pages/VIS-EGKR-RUS-S26-TASK-963-P001.png</x:v>
      </x:c>
      <x:c r="O855" s="87" t="str">
        <x:v>thumbnails/VIS-EGKR-RUS-S26-TASK-963-P001.jpg</x:v>
      </x:c>
      <x:c r="P855" s="87" t="str">
        <x:v>37f6f54af485ccdae534f41d64d3350d615f2d121b6228d15ee91fd403f4154b</x:v>
      </x:c>
      <x:c r="Q855" s="30" t="str">
        <x:v>incoming/raw/recovery-drop-01/russian_egkr_spring_visual_assets_v099.zip!/pages/VIS-EGKR-RUS-S26-TASK-961-P001.png</x:v>
      </x:c>
      <x:c r="R855" s="30" t="str">
        <x:v>RESOLVED_UNLINKED_REGISTRY_VISUAL</x:v>
      </x:c>
      <x:c r="S855" t="e">
        <x:f>HYPERLINK("visual_gallery/index.html#"&amp;A855,"Галерея")</x:f>
      </x:c>
    </x:row>
    <x:row r="856">
      <x:c r="A856" s="87" t="str">
        <x:v>VIS-EGKR-RUS-S26-TASK-963-P002</x:v>
      </x:c>
      <x:c r="B856" s="30" t="str"/>
      <x:c r="C856" s="30"/>
      <x:c r="D856" s="30" t="str">
        <x:v>963</x:v>
      </x:c>
      <x:c r="E856" s="87" t="str">
        <x:v>TASK</x:v>
      </x:c>
      <x:c r="F856" s="30" t="str">
        <x:v>ЕГКР 963 по русскому языку.pdf</x:v>
      </x:c>
      <x:c r="G856" s="87" t="str">
        <x:v>2</x:v>
      </x:c>
      <x:c r="H856" s="87" t="str">
        <x:v>v0.99</x:v>
      </x:c>
      <x:c r="I856" s="87" t="str">
        <x:v>0</x:v>
      </x:c>
      <x:c r="J856" s="30" t="str"/>
      <x:c r="K856" s="30" t="str"/>
      <x:c r="L856" s="87" t="str">
        <x:v>CROP_VERIFIED</x:v>
      </x:c>
      <x:c r="M856" s="87" t="str">
        <x:v>ORIGINAL_PACKAGE</x:v>
      </x:c>
      <x:c r="N856" s="87" t="str">
        <x:v>pages/VIS-EGKR-RUS-S26-TASK-963-P002.png</x:v>
      </x:c>
      <x:c r="O856" s="87" t="str">
        <x:v>thumbnails/VIS-EGKR-RUS-S26-TASK-963-P002.jpg</x:v>
      </x:c>
      <x:c r="P856" s="87" t="str">
        <x:v>98890a07bf2e3887b5a8fc6079bd056a1fb053d4e60e4afa4611b6aece2f66fb</x:v>
      </x:c>
      <x:c r="Q856" s="30" t="str">
        <x:v>incoming/raw/recovery-drop-01/russian_egkr_spring_visual_assets_v099.zip!/pages/VIS-EGKR-RUS-S26-TASK-963-P002.png</x:v>
      </x:c>
      <x:c r="R856" s="30" t="str">
        <x:v>RESOLVED_UNLINKED_REGISTRY_VISUAL</x:v>
      </x:c>
      <x:c r="S856" t="e">
        <x:f>HYPERLINK("visual_gallery/index.html#"&amp;A856,"Галерея")</x:f>
      </x:c>
    </x:row>
    <x:row r="857">
      <x:c r="A857" s="87" t="str">
        <x:v>VIS-EGKR-RUS-S26-TASK-963-P003</x:v>
      </x:c>
      <x:c r="B857" s="30" t="str">
        <x:v>Русский язык</x:v>
      </x:c>
      <x:c r="C857" s="30"/>
      <x:c r="D857" s="30" t="str">
        <x:v>963</x:v>
      </x:c>
      <x:c r="E857" s="87" t="str">
        <x:v>TASK</x:v>
      </x:c>
      <x:c r="F857" s="30" t="str">
        <x:v>ЕГКР 963 по русскому языку.pdf</x:v>
      </x:c>
      <x:c r="G857" s="87" t="str">
        <x:v>3</x:v>
      </x:c>
      <x:c r="H857" s="87" t="str">
        <x:v>v0.99</x:v>
      </x:c>
      <x:c r="I857" s="87" t="str">
        <x:v>3</x:v>
      </x:c>
      <x:c r="J857" s="30" t="str">
        <x:v>VIS_ID</x:v>
      </x:c>
      <x:c r="K857" s="30" t="str">
        <x:v>EGKR-S26-RUS-963-01, EGKR-S26-RUS-963-02, EGKR-S26-RUS-963-03</x:v>
      </x:c>
      <x:c r="L857" s="87" t="str">
        <x:v>CROP_VERIFIED</x:v>
      </x:c>
      <x:c r="M857" s="87" t="str">
        <x:v>ORIGINAL_PACKAGE</x:v>
      </x:c>
      <x:c r="N857" s="87" t="str">
        <x:v>pages/VIS-EGKR-RUS-S26-TASK-963-P003.png</x:v>
      </x:c>
      <x:c r="O857" s="87" t="str">
        <x:v>thumbnails/VIS-EGKR-RUS-S26-TASK-963-P003.jpg</x:v>
      </x:c>
      <x:c r="P857" s="87" t="str">
        <x:v>ca366f7194e571b5fd7d7379f4cd7ae48233f0f0a91e117faeeb12cd7883c162</x:v>
      </x:c>
      <x:c r="Q857" s="30" t="str">
        <x:v>incoming/raw/recovery-drop-01/russian_egkr_spring_visual_assets_v099.zip!/pages/VIS-EGKR-RUS-S26-TASK-963-P003.png</x:v>
      </x:c>
      <x:c r="R857" s="30" t="str">
        <x:v>MATCHED_ASSET</x:v>
      </x:c>
      <x:c r="S857" t="e">
        <x:f>HYPERLINK("visual_gallery/index.html#"&amp;A857,"Галерея")</x:f>
      </x:c>
    </x:row>
    <x:row r="858">
      <x:c r="A858" s="87" t="str">
        <x:v>VIS-EGKR-RUS-S26-TASK-963-P004</x:v>
      </x:c>
      <x:c r="B858" s="30" t="str">
        <x:v>Русский язык</x:v>
      </x:c>
      <x:c r="C858" s="30"/>
      <x:c r="D858" s="30" t="str">
        <x:v>963</x:v>
      </x:c>
      <x:c r="E858" s="87" t="str">
        <x:v>TASK</x:v>
      </x:c>
      <x:c r="F858" s="30" t="str">
        <x:v>ЕГКР 963 по русскому языку.pdf</x:v>
      </x:c>
      <x:c r="G858" s="87" t="str">
        <x:v>4</x:v>
      </x:c>
      <x:c r="H858" s="87" t="str">
        <x:v>v0.99</x:v>
      </x:c>
      <x:c r="I858" s="87" t="str">
        <x:v>4</x:v>
      </x:c>
      <x:c r="J858" s="30" t="str">
        <x:v>VIS_ID</x:v>
      </x:c>
      <x:c r="K858" s="30" t="str">
        <x:v>EGKR-S26-RUS-963-04, EGKR-S26-RUS-963-05, EGKR-S26-RUS-963-06, EGKR-S26-RUS-963-07</x:v>
      </x:c>
      <x:c r="L858" s="87" t="str">
        <x:v>CROP_VERIFIED</x:v>
      </x:c>
      <x:c r="M858" s="87" t="str">
        <x:v>ORIGINAL_PACKAGE</x:v>
      </x:c>
      <x:c r="N858" s="87" t="str">
        <x:v>pages/VIS-EGKR-RUS-S26-TASK-963-P004.png</x:v>
      </x:c>
      <x:c r="O858" s="87" t="str">
        <x:v>thumbnails/VIS-EGKR-RUS-S26-TASK-963-P004.jpg</x:v>
      </x:c>
      <x:c r="P858" s="87" t="str">
        <x:v>574da99895cab84902aef960dc57f0461014436eeb53534a181cbe755b9b9c7b</x:v>
      </x:c>
      <x:c r="Q858" s="30" t="str">
        <x:v>incoming/raw/recovery-drop-01/russian_egkr_spring_visual_assets_v099.zip!/pages/VIS-EGKR-RUS-S26-TASK-963-P004.png</x:v>
      </x:c>
      <x:c r="R858" s="30" t="str">
        <x:v>MATCHED_ASSET</x:v>
      </x:c>
      <x:c r="S858" t="e">
        <x:f>HYPERLINK("visual_gallery/index.html#"&amp;A858,"Галерея")</x:f>
      </x:c>
    </x:row>
    <x:row r="859">
      <x:c r="A859" s="87" t="str">
        <x:v>VIS-EGKR-RUS-S26-TASK-963-P005</x:v>
      </x:c>
      <x:c r="B859" s="30" t="str">
        <x:v>Русский язык</x:v>
      </x:c>
      <x:c r="C859" s="30"/>
      <x:c r="D859" s="30" t="str">
        <x:v>963</x:v>
      </x:c>
      <x:c r="E859" s="87" t="str">
        <x:v>TASK</x:v>
      </x:c>
      <x:c r="F859" s="30" t="str">
        <x:v>ЕГКР 963 по русскому языку.pdf</x:v>
      </x:c>
      <x:c r="G859" s="87" t="str">
        <x:v>5</x:v>
      </x:c>
      <x:c r="H859" s="87" t="str">
        <x:v>v0.99</x:v>
      </x:c>
      <x:c r="I859" s="87" t="str">
        <x:v>1</x:v>
      </x:c>
      <x:c r="J859" s="30" t="str">
        <x:v>VIS_ID</x:v>
      </x:c>
      <x:c r="K859" s="30" t="str">
        <x:v>EGKR-S26-RUS-963-08</x:v>
      </x:c>
      <x:c r="L859" s="87" t="str">
        <x:v>CROP_VERIFIED</x:v>
      </x:c>
      <x:c r="M859" s="87" t="str">
        <x:v>ORIGINAL_PACKAGE</x:v>
      </x:c>
      <x:c r="N859" s="87" t="str">
        <x:v>pages/VIS-EGKR-RUS-S26-TASK-963-P005.png</x:v>
      </x:c>
      <x:c r="O859" s="87" t="str">
        <x:v>thumbnails/VIS-EGKR-RUS-S26-TASK-963-P005.jpg</x:v>
      </x:c>
      <x:c r="P859" s="87" t="str">
        <x:v>815bc6761c9216c4498f476cd269ed69bf6415a54a416bd7edf396cebfe4fb15</x:v>
      </x:c>
      <x:c r="Q859" s="30" t="str">
        <x:v>incoming/raw/recovery-drop-01/russian_egkr_spring_visual_assets_v099.zip!/pages/VIS-EGKR-RUS-S26-TASK-963-P005.png</x:v>
      </x:c>
      <x:c r="R859" s="30" t="str">
        <x:v>MATCHED_ASSET</x:v>
      </x:c>
      <x:c r="S859" t="e">
        <x:f>HYPERLINK("visual_gallery/index.html#"&amp;A859,"Галерея")</x:f>
      </x:c>
    </x:row>
    <x:row r="860">
      <x:c r="A860" s="87" t="str">
        <x:v>VIS-EGKR-RUS-S26-TASK-963-P006</x:v>
      </x:c>
      <x:c r="B860" s="30" t="str">
        <x:v>Русский язык</x:v>
      </x:c>
      <x:c r="C860" s="30"/>
      <x:c r="D860" s="30" t="str">
        <x:v>963</x:v>
      </x:c>
      <x:c r="E860" s="87" t="str">
        <x:v>TASK</x:v>
      </x:c>
      <x:c r="F860" s="30" t="str">
        <x:v>ЕГКР 963 по русскому языку.pdf</x:v>
      </x:c>
      <x:c r="G860" s="87" t="str">
        <x:v>6</x:v>
      </x:c>
      <x:c r="H860" s="87" t="str">
        <x:v>v0.99</x:v>
      </x:c>
      <x:c r="I860" s="87" t="str">
        <x:v>4</x:v>
      </x:c>
      <x:c r="J860" s="30" t="str">
        <x:v>VIS_ID</x:v>
      </x:c>
      <x:c r="K860" s="30" t="str">
        <x:v>EGKR-S26-RUS-963-09, EGKR-S26-RUS-963-10, EGKR-S26-RUS-963-11, EGKR-S26-RUS-963-12</x:v>
      </x:c>
      <x:c r="L860" s="87" t="str">
        <x:v>CROP_VERIFIED</x:v>
      </x:c>
      <x:c r="M860" s="87" t="str">
        <x:v>ORIGINAL_PACKAGE</x:v>
      </x:c>
      <x:c r="N860" s="87" t="str">
        <x:v>pages/VIS-EGKR-RUS-S26-TASK-963-P006.png</x:v>
      </x:c>
      <x:c r="O860" s="87" t="str">
        <x:v>thumbnails/VIS-EGKR-RUS-S26-TASK-963-P006.jpg</x:v>
      </x:c>
      <x:c r="P860" s="87" t="str">
        <x:v>4ee99cc8e7748a7aa73ea2b17ed5b14aacf07b36e3b2599c55a5207f1f125bb4</x:v>
      </x:c>
      <x:c r="Q860" s="30" t="str">
        <x:v>incoming/raw/recovery-drop-01/russian_egkr_spring_visual_assets_v099.zip!/pages/VIS-EGKR-RUS-S26-TASK-963-P006.png</x:v>
      </x:c>
      <x:c r="R860" s="30" t="str">
        <x:v>MATCHED_ASSET</x:v>
      </x:c>
      <x:c r="S860" t="e">
        <x:f>HYPERLINK("visual_gallery/index.html#"&amp;A860,"Галерея")</x:f>
      </x:c>
    </x:row>
    <x:row r="861">
      <x:c r="A861" s="87" t="str">
        <x:v>VIS-EGKR-RUS-S26-TASK-963-P007</x:v>
      </x:c>
      <x:c r="B861" s="30" t="str">
        <x:v>Русский язык</x:v>
      </x:c>
      <x:c r="C861" s="30"/>
      <x:c r="D861" s="30" t="str">
        <x:v>963</x:v>
      </x:c>
      <x:c r="E861" s="87" t="str">
        <x:v>TASK</x:v>
      </x:c>
      <x:c r="F861" s="30" t="str">
        <x:v>ЕГКР 963 по русскому языку.pdf</x:v>
      </x:c>
      <x:c r="G861" s="87" t="str">
        <x:v>7</x:v>
      </x:c>
      <x:c r="H861" s="87" t="str">
        <x:v>v0.99</x:v>
      </x:c>
      <x:c r="I861" s="87" t="str">
        <x:v>4</x:v>
      </x:c>
      <x:c r="J861" s="30" t="str">
        <x:v>VIS_ID</x:v>
      </x:c>
      <x:c r="K861" s="30" t="str">
        <x:v>EGKR-S26-RUS-963-13, EGKR-S26-RUS-963-14, EGKR-S26-RUS-963-15, EGKR-S26-RUS-963-16</x:v>
      </x:c>
      <x:c r="L861" s="87" t="str">
        <x:v>CROP_VERIFIED</x:v>
      </x:c>
      <x:c r="M861" s="87" t="str">
        <x:v>ORIGINAL_PACKAGE</x:v>
      </x:c>
      <x:c r="N861" s="87" t="str">
        <x:v>pages/VIS-EGKR-RUS-S26-TASK-963-P007.png</x:v>
      </x:c>
      <x:c r="O861" s="87" t="str">
        <x:v>thumbnails/VIS-EGKR-RUS-S26-TASK-963-P007.jpg</x:v>
      </x:c>
      <x:c r="P861" s="87" t="str">
        <x:v>43ff02c336d9384cc5a694c6eee98bc2e008ce9d56f7c87b57b8a2baf25e5b91</x:v>
      </x:c>
      <x:c r="Q861" s="30" t="str">
        <x:v>incoming/raw/recovery-drop-01/russian_egkr_spring_visual_assets_v099.zip!/pages/VIS-EGKR-RUS-S26-TASK-963-P007.png</x:v>
      </x:c>
      <x:c r="R861" s="30" t="str">
        <x:v>MATCHED_ASSET</x:v>
      </x:c>
      <x:c r="S861" t="e">
        <x:f>HYPERLINK("visual_gallery/index.html#"&amp;A861,"Галерея")</x:f>
      </x:c>
    </x:row>
    <x:row r="862">
      <x:c r="A862" s="87" t="str">
        <x:v>VIS-EGKR-RUS-S26-TASK-963-P008</x:v>
      </x:c>
      <x:c r="B862" s="30" t="str">
        <x:v>Русский язык</x:v>
      </x:c>
      <x:c r="C862" s="30"/>
      <x:c r="D862" s="30" t="str">
        <x:v>963</x:v>
      </x:c>
      <x:c r="E862" s="87" t="str">
        <x:v>TASK</x:v>
      </x:c>
      <x:c r="F862" s="30" t="str">
        <x:v>ЕГКР 963 по русскому языку.pdf</x:v>
      </x:c>
      <x:c r="G862" s="87" t="str">
        <x:v>8</x:v>
      </x:c>
      <x:c r="H862" s="87" t="str">
        <x:v>v0.99</x:v>
      </x:c>
      <x:c r="I862" s="87" t="str">
        <x:v>2</x:v>
      </x:c>
      <x:c r="J862" s="30" t="str">
        <x:v>VIS_ID</x:v>
      </x:c>
      <x:c r="K862" s="30" t="str">
        <x:v>EGKR-S26-RUS-963-17, EGKR-S26-RUS-963-18</x:v>
      </x:c>
      <x:c r="L862" s="87" t="str">
        <x:v>CROP_VERIFIED</x:v>
      </x:c>
      <x:c r="M862" s="87" t="str">
        <x:v>ORIGINAL_PACKAGE</x:v>
      </x:c>
      <x:c r="N862" s="87" t="str">
        <x:v>pages/VIS-EGKR-RUS-S26-TASK-963-P008.png</x:v>
      </x:c>
      <x:c r="O862" s="87" t="str">
        <x:v>thumbnails/VIS-EGKR-RUS-S26-TASK-963-P008.jpg</x:v>
      </x:c>
      <x:c r="P862" s="87" t="str">
        <x:v>4883cc514a10ef879bbb87253751a840523924e48ed70fc59f9778b2a4748560</x:v>
      </x:c>
      <x:c r="Q862" s="30" t="str">
        <x:v>incoming/raw/recovery-drop-01/russian_egkr_spring_visual_assets_v099.zip!/pages/VIS-EGKR-RUS-S26-TASK-963-P008.png</x:v>
      </x:c>
      <x:c r="R862" s="30" t="str">
        <x:v>MATCHED_ASSET</x:v>
      </x:c>
      <x:c r="S862" t="e">
        <x:f>HYPERLINK("visual_gallery/index.html#"&amp;A862,"Галерея")</x:f>
      </x:c>
    </x:row>
    <x:row r="863">
      <x:c r="A863" s="87" t="str">
        <x:v>VIS-EGKR-RUS-S26-TASK-963-P009</x:v>
      </x:c>
      <x:c r="B863" s="30" t="str">
        <x:v>Русский язык</x:v>
      </x:c>
      <x:c r="C863" s="30"/>
      <x:c r="D863" s="30" t="str">
        <x:v>963</x:v>
      </x:c>
      <x:c r="E863" s="87" t="str">
        <x:v>TASK</x:v>
      </x:c>
      <x:c r="F863" s="30" t="str">
        <x:v>ЕГКР 963 по русскому языку.pdf</x:v>
      </x:c>
      <x:c r="G863" s="87" t="str">
        <x:v>9</x:v>
      </x:c>
      <x:c r="H863" s="87" t="str">
        <x:v>v0.99</x:v>
      </x:c>
      <x:c r="I863" s="87" t="str">
        <x:v>3</x:v>
      </x:c>
      <x:c r="J863" s="30" t="str">
        <x:v>VIS_ID</x:v>
      </x:c>
      <x:c r="K863" s="30" t="str">
        <x:v>EGKR-S26-RUS-963-19, EGKR-S26-RUS-963-20, EGKR-S26-RUS-963-21</x:v>
      </x:c>
      <x:c r="L863" s="87" t="str">
        <x:v>CROP_VERIFIED</x:v>
      </x:c>
      <x:c r="M863" s="87" t="str">
        <x:v>ORIGINAL_PACKAGE</x:v>
      </x:c>
      <x:c r="N863" s="87" t="str">
        <x:v>pages/VIS-EGKR-RUS-S26-TASK-963-P009.png</x:v>
      </x:c>
      <x:c r="O863" s="87" t="str">
        <x:v>thumbnails/VIS-EGKR-RUS-S26-TASK-963-P009.jpg</x:v>
      </x:c>
      <x:c r="P863" s="87" t="str">
        <x:v>e71561d91e1983baed76d7e740ed168514833f55cd28f0bdb0b1eefd1ff9ae41</x:v>
      </x:c>
      <x:c r="Q863" s="30" t="str">
        <x:v>incoming/raw/recovery-drop-01/russian_egkr_spring_visual_assets_v099.zip!/pages/VIS-EGKR-RUS-S26-TASK-963-P009.png</x:v>
      </x:c>
      <x:c r="R863" s="30" t="str">
        <x:v>MATCHED_ASSET</x:v>
      </x:c>
      <x:c r="S863" t="e">
        <x:f>HYPERLINK("visual_gallery/index.html#"&amp;A863,"Галерея")</x:f>
      </x:c>
    </x:row>
    <x:row r="864">
      <x:c r="A864" s="87" t="str">
        <x:v>VIS-EGKR-RUS-S26-TASK-963-P010</x:v>
      </x:c>
      <x:c r="B864" s="30" t="str">
        <x:v>Русский язык</x:v>
      </x:c>
      <x:c r="C864" s="30"/>
      <x:c r="D864" s="30" t="str">
        <x:v>963</x:v>
      </x:c>
      <x:c r="E864" s="87" t="str">
        <x:v>TASK</x:v>
      </x:c>
      <x:c r="F864" s="30" t="str">
        <x:v>ЕГКР 963 по русскому языку.pdf</x:v>
      </x:c>
      <x:c r="G864" s="87" t="str">
        <x:v>10</x:v>
      </x:c>
      <x:c r="H864" s="87" t="str">
        <x:v>v0.99</x:v>
      </x:c>
      <x:c r="I864" s="87" t="str">
        <x:v>1</x:v>
      </x:c>
      <x:c r="J864" s="30" t="str">
        <x:v>VIS_ID</x:v>
      </x:c>
      <x:c r="K864" s="30" t="str">
        <x:v>EGKR-S26-RUS-963-22</x:v>
      </x:c>
      <x:c r="L864" s="87" t="str">
        <x:v>CROP_VERIFIED</x:v>
      </x:c>
      <x:c r="M864" s="87" t="str">
        <x:v>ORIGINAL_PACKAGE</x:v>
      </x:c>
      <x:c r="N864" s="87" t="str">
        <x:v>pages/VIS-EGKR-RUS-S26-TASK-963-P010.png</x:v>
      </x:c>
      <x:c r="O864" s="87" t="str">
        <x:v>thumbnails/VIS-EGKR-RUS-S26-TASK-963-P010.jpg</x:v>
      </x:c>
      <x:c r="P864" s="87" t="str">
        <x:v>a07358143da658fb8070e051087571954a34a137d42dbaf4588e41bfb34100c0</x:v>
      </x:c>
      <x:c r="Q864" s="30" t="str">
        <x:v>incoming/raw/recovery-drop-01/russian_egkr_spring_visual_assets_v099.zip!/pages/VIS-EGKR-RUS-S26-TASK-963-P010.png</x:v>
      </x:c>
      <x:c r="R864" s="30" t="str">
        <x:v>MATCHED_ASSET</x:v>
      </x:c>
      <x:c r="S864" t="e">
        <x:f>HYPERLINK("visual_gallery/index.html#"&amp;A864,"Галерея")</x:f>
      </x:c>
    </x:row>
    <x:row r="865">
      <x:c r="A865" s="87" t="str">
        <x:v>VIS-EGKR-RUS-S26-TASK-963-P011</x:v>
      </x:c>
      <x:c r="B865" s="30" t="str"/>
      <x:c r="C865" s="30"/>
      <x:c r="D865" s="30" t="str">
        <x:v>963</x:v>
      </x:c>
      <x:c r="E865" s="87" t="str">
        <x:v>TASK</x:v>
      </x:c>
      <x:c r="F865" s="30" t="str">
        <x:v>ЕГКР 963 по русскому языку.pdf</x:v>
      </x:c>
      <x:c r="G865" s="87" t="str">
        <x:v>11</x:v>
      </x:c>
      <x:c r="H865" s="87" t="str">
        <x:v>v0.99</x:v>
      </x:c>
      <x:c r="I865" s="87" t="str">
        <x:v>0</x:v>
      </x:c>
      <x:c r="J865" s="30" t="str"/>
      <x:c r="K865" s="30" t="str"/>
      <x:c r="L865" s="87" t="str">
        <x:v>CROP_VERIFIED</x:v>
      </x:c>
      <x:c r="M865" s="87" t="str">
        <x:v>ORIGINAL_PACKAGE</x:v>
      </x:c>
      <x:c r="N865" s="87" t="str">
        <x:v>pages/VIS-EGKR-RUS-S26-TASK-963-P011.png</x:v>
      </x:c>
      <x:c r="O865" s="87" t="str">
        <x:v>thumbnails/VIS-EGKR-RUS-S26-TASK-963-P011.jpg</x:v>
      </x:c>
      <x:c r="P865" s="87" t="str">
        <x:v>867ab3a88fd8c3fc62d6ebc92e9880f1079f8ef6d059ba2a0556002b36e100a4</x:v>
      </x:c>
      <x:c r="Q865" s="30" t="str">
        <x:v>incoming/raw/recovery-drop-01/russian_egkr_spring_visual_assets_v099.zip!/pages/VIS-EGKR-RUS-S26-TASK-963-P011.png</x:v>
      </x:c>
      <x:c r="R865" s="30" t="str">
        <x:v>RESOLVED_UNLINKED_REGISTRY_VISUAL</x:v>
      </x:c>
      <x:c r="S865" t="e">
        <x:f>HYPERLINK("visual_gallery/index.html#"&amp;A865,"Галерея")</x:f>
      </x:c>
    </x:row>
    <x:row r="866">
      <x:c r="A866" s="87" t="str">
        <x:v>VIS-EGKR-RUS-S26-TASK-963-P012</x:v>
      </x:c>
      <x:c r="B866" s="30" t="str">
        <x:v>Русский язык</x:v>
      </x:c>
      <x:c r="C866" s="30"/>
      <x:c r="D866" s="30" t="str">
        <x:v>963</x:v>
      </x:c>
      <x:c r="E866" s="87" t="str">
        <x:v>TASK</x:v>
      </x:c>
      <x:c r="F866" s="30" t="str">
        <x:v>ЕГКР 963 по русскому языку.pdf</x:v>
      </x:c>
      <x:c r="G866" s="87" t="str">
        <x:v>12</x:v>
      </x:c>
      <x:c r="H866" s="87" t="str">
        <x:v>v0.99</x:v>
      </x:c>
      <x:c r="I866" s="87" t="str">
        <x:v>5</x:v>
      </x:c>
      <x:c r="J866" s="30" t="str">
        <x:v>VIS_ID</x:v>
      </x:c>
      <x:c r="K866" s="30" t="str">
        <x:v>EGKR-S26-RUS-963-23, EGKR-S26-RUS-963-24, EGKR-S26-RUS-963-25, EGKR-S26-RUS-963-26, EGKR-S26-RUS-963-27</x:v>
      </x:c>
      <x:c r="L866" s="87" t="str">
        <x:v>CROP_VERIFIED</x:v>
      </x:c>
      <x:c r="M866" s="87" t="str">
        <x:v>ORIGINAL_PACKAGE</x:v>
      </x:c>
      <x:c r="N866" s="87" t="str">
        <x:v>pages/VIS-EGKR-RUS-S26-TASK-963-P012.png</x:v>
      </x:c>
      <x:c r="O866" s="87" t="str">
        <x:v>thumbnails/VIS-EGKR-RUS-S26-TASK-963-P012.jpg</x:v>
      </x:c>
      <x:c r="P866" s="87" t="str">
        <x:v>0063abdd59aaf868e7562f0e26bd092120e2966124e870783945216ac293ab41</x:v>
      </x:c>
      <x:c r="Q866" s="30" t="str">
        <x:v>incoming/raw/recovery-drop-01/russian_egkr_spring_visual_assets_v099.zip!/pages/VIS-EGKR-RUS-S26-TASK-963-P012.png</x:v>
      </x:c>
      <x:c r="R866" s="30" t="str">
        <x:v>MATCHED_ASSET</x:v>
      </x:c>
      <x:c r="S866" t="e">
        <x:f>HYPERLINK("visual_gallery/index.html#"&amp;A866,"Галерея")</x:f>
      </x:c>
    </x:row>
    <x:row r="867">
      <x:c r="A867" s="87" t="str">
        <x:v>VIS-EGKR-RUS-S26-TASK-963-P013</x:v>
      </x:c>
      <x:c r="B867" s="30" t="str"/>
      <x:c r="C867" s="30"/>
      <x:c r="D867" s="30" t="str">
        <x:v>963</x:v>
      </x:c>
      <x:c r="E867" s="87" t="str">
        <x:v>TASK</x:v>
      </x:c>
      <x:c r="F867" s="30" t="str">
        <x:v>ЕГКР 963 по русскому языку.pdf</x:v>
      </x:c>
      <x:c r="G867" s="87" t="str">
        <x:v>13</x:v>
      </x:c>
      <x:c r="H867" s="87" t="str">
        <x:v>v0.99</x:v>
      </x:c>
      <x:c r="I867" s="87" t="str">
        <x:v>0</x:v>
      </x:c>
      <x:c r="J867" s="30" t="str"/>
      <x:c r="K867" s="30" t="str"/>
      <x:c r="L867" s="87" t="str">
        <x:v>CROP_VERIFIED</x:v>
      </x:c>
      <x:c r="M867" s="87" t="str">
        <x:v>ORIGINAL_PACKAGE</x:v>
      </x:c>
      <x:c r="N867" s="87" t="str">
        <x:v>pages/VIS-EGKR-RUS-S26-TASK-963-P013.png</x:v>
      </x:c>
      <x:c r="O867" s="87" t="str">
        <x:v>thumbnails/VIS-EGKR-RUS-S26-TASK-963-P013.jpg</x:v>
      </x:c>
      <x:c r="P867" s="87" t="str">
        <x:v>a8e1c6a782fe01951b6068a20d9a98d51333f6d8daa5ecc5b34bf58a83b28a49</x:v>
      </x:c>
      <x:c r="Q867" s="30" t="str">
        <x:v>incoming/raw/recovery-drop-01/russian_egkr_spring_visual_assets_v099.zip!/pages/VIS-EGKR-RUS-S26-TASK-963-P013.png</x:v>
      </x:c>
      <x:c r="R867" s="30" t="str">
        <x:v>RESOLVED_UNLINKED_REGISTRY_VISUAL</x:v>
      </x:c>
      <x:c r="S867" t="e">
        <x:f>HYPERLINK("visual_gallery/index.html#"&amp;A867,"Галерея")</x:f>
      </x:c>
    </x:row>
    <x:row r="868">
      <x:c r="A868" s="87" t="str">
        <x:v>VIS-EGKR-RUS-S26-TASK-964-P001</x:v>
      </x:c>
      <x:c r="B868" s="30" t="str"/>
      <x:c r="C868" s="30"/>
      <x:c r="D868" s="30" t="str">
        <x:v>964</x:v>
      </x:c>
      <x:c r="E868" s="87" t="str">
        <x:v>TASK</x:v>
      </x:c>
      <x:c r="F868" s="30" t="str">
        <x:v>ЕГКР 964 полный.pdf</x:v>
      </x:c>
      <x:c r="G868" s="87" t="str">
        <x:v>1</x:v>
      </x:c>
      <x:c r="H868" s="87" t="str">
        <x:v>v0.99</x:v>
      </x:c>
      <x:c r="I868" s="87" t="str">
        <x:v>0</x:v>
      </x:c>
      <x:c r="J868" s="30" t="str"/>
      <x:c r="K868" s="30" t="str"/>
      <x:c r="L868" s="87" t="str">
        <x:v>CROP_VERIFIED</x:v>
      </x:c>
      <x:c r="M868" s="87" t="str">
        <x:v>ORIGINAL_PACKAGE</x:v>
      </x:c>
      <x:c r="N868" s="87" t="str">
        <x:v>pages/VIS-EGKR-RUS-S26-TASK-964-P001.png</x:v>
      </x:c>
      <x:c r="O868" s="87" t="str">
        <x:v>thumbnails/VIS-EGKR-RUS-S26-TASK-964-P001.jpg</x:v>
      </x:c>
      <x:c r="P868" s="87" t="str">
        <x:v>50a3636d0d58bbaa2cd25af908f545f42a1acedfdcc40310604cedab779e77c0</x:v>
      </x:c>
      <x:c r="Q868" s="30" t="str">
        <x:v>incoming/raw/recovery-drop-01/russian_egkr_spring_visual_assets_v099.zip!/pages/VIS-EGKR-RUS-S26-TASK-964-P001.png</x:v>
      </x:c>
      <x:c r="R868" s="30" t="str">
        <x:v>RESOLVED_UNLINKED_REGISTRY_VISUAL</x:v>
      </x:c>
      <x:c r="S868" t="e">
        <x:f>HYPERLINK("visual_gallery/index.html#"&amp;A868,"Галерея")</x:f>
      </x:c>
    </x:row>
    <x:row r="869">
      <x:c r="A869" s="87" t="str">
        <x:v>VIS-EGKR-RUS-S26-TASK-964-P002</x:v>
      </x:c>
      <x:c r="B869" s="30" t="str"/>
      <x:c r="C869" s="30"/>
      <x:c r="D869" s="30" t="str">
        <x:v>964</x:v>
      </x:c>
      <x:c r="E869" s="87" t="str">
        <x:v>TASK</x:v>
      </x:c>
      <x:c r="F869" s="30" t="str">
        <x:v>ЕГКР 964 полный.pdf</x:v>
      </x:c>
      <x:c r="G869" s="87" t="str">
        <x:v>2</x:v>
      </x:c>
      <x:c r="H869" s="87" t="str">
        <x:v>v0.99</x:v>
      </x:c>
      <x:c r="I869" s="87" t="str">
        <x:v>0</x:v>
      </x:c>
      <x:c r="J869" s="30" t="str"/>
      <x:c r="K869" s="30" t="str"/>
      <x:c r="L869" s="87" t="str">
        <x:v>CROP_VERIFIED</x:v>
      </x:c>
      <x:c r="M869" s="87" t="str">
        <x:v>ORIGINAL_PACKAGE</x:v>
      </x:c>
      <x:c r="N869" s="87" t="str">
        <x:v>pages/VIS-EGKR-RUS-S26-TASK-964-P002.png</x:v>
      </x:c>
      <x:c r="O869" s="87" t="str">
        <x:v>thumbnails/VIS-EGKR-RUS-S26-TASK-964-P002.jpg</x:v>
      </x:c>
      <x:c r="P869" s="87" t="str">
        <x:v>a61234dd5e8d63d8b7475f51717394e0d082908d2a4b5060f720ba6afb77dcf9</x:v>
      </x:c>
      <x:c r="Q869" s="30" t="str">
        <x:v>incoming/raw/recovery-drop-01/russian_egkr_spring_visual_assets_v099.zip!/pages/VIS-EGKR-RUS-S26-TASK-964-P002.png</x:v>
      </x:c>
      <x:c r="R869" s="30" t="str">
        <x:v>RESOLVED_UNLINKED_REGISTRY_VISUAL</x:v>
      </x:c>
      <x:c r="S869" t="e">
        <x:f>HYPERLINK("visual_gallery/index.html#"&amp;A869,"Галерея")</x:f>
      </x:c>
    </x:row>
    <x:row r="870">
      <x:c r="A870" s="87" t="str">
        <x:v>VIS-EGKR-RUS-S26-TASK-964-P003</x:v>
      </x:c>
      <x:c r="B870" s="30" t="str">
        <x:v>Русский язык</x:v>
      </x:c>
      <x:c r="C870" s="30"/>
      <x:c r="D870" s="30" t="str">
        <x:v>964</x:v>
      </x:c>
      <x:c r="E870" s="87" t="str">
        <x:v>TASK</x:v>
      </x:c>
      <x:c r="F870" s="30" t="str">
        <x:v>ЕГКР 964 полный.pdf</x:v>
      </x:c>
      <x:c r="G870" s="87" t="str">
        <x:v>3</x:v>
      </x:c>
      <x:c r="H870" s="87" t="str">
        <x:v>v0.99</x:v>
      </x:c>
      <x:c r="I870" s="87" t="str">
        <x:v>3</x:v>
      </x:c>
      <x:c r="J870" s="30" t="str">
        <x:v>VIS_ID</x:v>
      </x:c>
      <x:c r="K870" s="30" t="str">
        <x:v>EGKR-S26-RUS-964-01, EGKR-S26-RUS-964-02, EGKR-S26-RUS-964-03</x:v>
      </x:c>
      <x:c r="L870" s="87" t="str">
        <x:v>CROP_VERIFIED</x:v>
      </x:c>
      <x:c r="M870" s="87" t="str">
        <x:v>ORIGINAL_PACKAGE</x:v>
      </x:c>
      <x:c r="N870" s="87" t="str">
        <x:v>pages/VIS-EGKR-RUS-S26-TASK-964-P003.png</x:v>
      </x:c>
      <x:c r="O870" s="87" t="str">
        <x:v>thumbnails/VIS-EGKR-RUS-S26-TASK-964-P003.jpg</x:v>
      </x:c>
      <x:c r="P870" s="87" t="str">
        <x:v>9e7be59a475e0f0a9b6dd075bb9fd928ef241fabd95066128726ec30fd77b4df</x:v>
      </x:c>
      <x:c r="Q870" s="30" t="str">
        <x:v>incoming/raw/recovery-drop-01/russian_egkr_spring_visual_assets_v099.zip!/pages/VIS-EGKR-RUS-S26-TASK-964-P003.png</x:v>
      </x:c>
      <x:c r="R870" s="30" t="str">
        <x:v>MATCHED_ASSET</x:v>
      </x:c>
      <x:c r="S870" t="e">
        <x:f>HYPERLINK("visual_gallery/index.html#"&amp;A870,"Галерея")</x:f>
      </x:c>
    </x:row>
    <x:row r="871">
      <x:c r="A871" s="87" t="str">
        <x:v>VIS-EGKR-RUS-S26-TASK-964-P004</x:v>
      </x:c>
      <x:c r="B871" s="30" t="str">
        <x:v>Русский язык</x:v>
      </x:c>
      <x:c r="C871" s="30"/>
      <x:c r="D871" s="30" t="str">
        <x:v>964</x:v>
      </x:c>
      <x:c r="E871" s="87" t="str">
        <x:v>TASK</x:v>
      </x:c>
      <x:c r="F871" s="30" t="str">
        <x:v>ЕГКР 964 полный.pdf</x:v>
      </x:c>
      <x:c r="G871" s="87" t="str">
        <x:v>4</x:v>
      </x:c>
      <x:c r="H871" s="87" t="str">
        <x:v>v0.99</x:v>
      </x:c>
      <x:c r="I871" s="87" t="str">
        <x:v>4</x:v>
      </x:c>
      <x:c r="J871" s="30" t="str">
        <x:v>VIS_ID</x:v>
      </x:c>
      <x:c r="K871" s="30" t="str">
        <x:v>EGKR-S26-RUS-964-04, EGKR-S26-RUS-964-05, EGKR-S26-RUS-964-06, EGKR-S26-RUS-964-07</x:v>
      </x:c>
      <x:c r="L871" s="87" t="str">
        <x:v>CROP_VERIFIED</x:v>
      </x:c>
      <x:c r="M871" s="87" t="str">
        <x:v>ORIGINAL_PACKAGE</x:v>
      </x:c>
      <x:c r="N871" s="87" t="str">
        <x:v>pages/VIS-EGKR-RUS-S26-TASK-964-P004.png</x:v>
      </x:c>
      <x:c r="O871" s="87" t="str">
        <x:v>thumbnails/VIS-EGKR-RUS-S26-TASK-964-P004.jpg</x:v>
      </x:c>
      <x:c r="P871" s="87" t="str">
        <x:v>c8170fae76595536120ada85d77f8a613d5a3281e8ae556eb60597b810bafd38</x:v>
      </x:c>
      <x:c r="Q871" s="30" t="str">
        <x:v>incoming/raw/recovery-drop-01/russian_egkr_spring_visual_assets_v099.zip!/pages/VIS-EGKR-RUS-S26-TASK-964-P004.png</x:v>
      </x:c>
      <x:c r="R871" s="30" t="str">
        <x:v>MATCHED_ASSET</x:v>
      </x:c>
      <x:c r="S871" t="e">
        <x:f>HYPERLINK("visual_gallery/index.html#"&amp;A871,"Галерея")</x:f>
      </x:c>
    </x:row>
    <x:row r="872">
      <x:c r="A872" s="87" t="str">
        <x:v>VIS-EGKR-RUS-S26-TASK-964-P005</x:v>
      </x:c>
      <x:c r="B872" s="30" t="str">
        <x:v>Русский язык</x:v>
      </x:c>
      <x:c r="C872" s="30"/>
      <x:c r="D872" s="30" t="str">
        <x:v>964</x:v>
      </x:c>
      <x:c r="E872" s="87" t="str">
        <x:v>TASK</x:v>
      </x:c>
      <x:c r="F872" s="30" t="str">
        <x:v>ЕГКР 964 полный.pdf</x:v>
      </x:c>
      <x:c r="G872" s="87" t="str">
        <x:v>5</x:v>
      </x:c>
      <x:c r="H872" s="87" t="str">
        <x:v>v0.99</x:v>
      </x:c>
      <x:c r="I872" s="87" t="str">
        <x:v>1</x:v>
      </x:c>
      <x:c r="J872" s="30" t="str">
        <x:v>VIS_ID</x:v>
      </x:c>
      <x:c r="K872" s="30" t="str">
        <x:v>EGKR-S26-RUS-964-08</x:v>
      </x:c>
      <x:c r="L872" s="87" t="str">
        <x:v>CROP_VERIFIED</x:v>
      </x:c>
      <x:c r="M872" s="87" t="str">
        <x:v>ORIGINAL_PACKAGE</x:v>
      </x:c>
      <x:c r="N872" s="87" t="str">
        <x:v>pages/VIS-EGKR-RUS-S26-TASK-964-P005.png</x:v>
      </x:c>
      <x:c r="O872" s="87" t="str">
        <x:v>thumbnails/VIS-EGKR-RUS-S26-TASK-964-P005.jpg</x:v>
      </x:c>
      <x:c r="P872" s="87" t="str">
        <x:v>6f693ffefb95a8e7a31eb731eed788c8973683c0981d7c36c66ab4f9276dd2c1</x:v>
      </x:c>
      <x:c r="Q872" s="30" t="str">
        <x:v>incoming/raw/recovery-drop-01/russian_egkr_spring_visual_assets_v099.zip!/pages/VIS-EGKR-RUS-S26-TASK-964-P005.png</x:v>
      </x:c>
      <x:c r="R872" s="30" t="str">
        <x:v>MATCHED_ASSET</x:v>
      </x:c>
      <x:c r="S872" t="e">
        <x:f>HYPERLINK("visual_gallery/index.html#"&amp;A872,"Галерея")</x:f>
      </x:c>
    </x:row>
    <x:row r="873">
      <x:c r="A873" s="87" t="str">
        <x:v>VIS-EGKR-RUS-S26-TASK-964-P006</x:v>
      </x:c>
      <x:c r="B873" s="30" t="str">
        <x:v>Русский язык</x:v>
      </x:c>
      <x:c r="C873" s="30"/>
      <x:c r="D873" s="30" t="str">
        <x:v>964</x:v>
      </x:c>
      <x:c r="E873" s="87" t="str">
        <x:v>TASK</x:v>
      </x:c>
      <x:c r="F873" s="30" t="str">
        <x:v>ЕГКР 964 полный.pdf</x:v>
      </x:c>
      <x:c r="G873" s="87" t="str">
        <x:v>6</x:v>
      </x:c>
      <x:c r="H873" s="87" t="str">
        <x:v>v0.99</x:v>
      </x:c>
      <x:c r="I873" s="87" t="str">
        <x:v>4</x:v>
      </x:c>
      <x:c r="J873" s="30" t="str">
        <x:v>VIS_ID</x:v>
      </x:c>
      <x:c r="K873" s="30" t="str">
        <x:v>EGKR-S26-RUS-964-09, EGKR-S26-RUS-964-10, EGKR-S26-RUS-964-11, EGKR-S26-RUS-964-12</x:v>
      </x:c>
      <x:c r="L873" s="87" t="str">
        <x:v>CROP_VERIFIED</x:v>
      </x:c>
      <x:c r="M873" s="87" t="str">
        <x:v>ORIGINAL_PACKAGE</x:v>
      </x:c>
      <x:c r="N873" s="87" t="str">
        <x:v>pages/VIS-EGKR-RUS-S26-TASK-964-P006.png</x:v>
      </x:c>
      <x:c r="O873" s="87" t="str">
        <x:v>thumbnails/VIS-EGKR-RUS-S26-TASK-964-P006.jpg</x:v>
      </x:c>
      <x:c r="P873" s="87" t="str">
        <x:v>3b4263afc2ad83a98752bdf631083a3a92d857a0d09c24113c566c0d5f1388a2</x:v>
      </x:c>
      <x:c r="Q873" s="30" t="str">
        <x:v>incoming/raw/recovery-drop-01/russian_egkr_spring_visual_assets_v099.zip!/pages/VIS-EGKR-RUS-S26-TASK-964-P006.png</x:v>
      </x:c>
      <x:c r="R873" s="30" t="str">
        <x:v>MATCHED_ASSET</x:v>
      </x:c>
      <x:c r="S873" t="e">
        <x:f>HYPERLINK("visual_gallery/index.html#"&amp;A873,"Галерея")</x:f>
      </x:c>
    </x:row>
    <x:row r="874">
      <x:c r="A874" s="87" t="str">
        <x:v>VIS-EGKR-RUS-S26-TASK-964-P007</x:v>
      </x:c>
      <x:c r="B874" s="30" t="str">
        <x:v>Русский язык</x:v>
      </x:c>
      <x:c r="C874" s="30"/>
      <x:c r="D874" s="30" t="str">
        <x:v>964</x:v>
      </x:c>
      <x:c r="E874" s="87" t="str">
        <x:v>TASK</x:v>
      </x:c>
      <x:c r="F874" s="30" t="str">
        <x:v>ЕГКР 964 полный.pdf</x:v>
      </x:c>
      <x:c r="G874" s="87" t="str">
        <x:v>7</x:v>
      </x:c>
      <x:c r="H874" s="87" t="str">
        <x:v>v0.99</x:v>
      </x:c>
      <x:c r="I874" s="87" t="str">
        <x:v>4</x:v>
      </x:c>
      <x:c r="J874" s="30" t="str">
        <x:v>VIS_ID</x:v>
      </x:c>
      <x:c r="K874" s="30" t="str">
        <x:v>EGKR-S26-RUS-964-13, EGKR-S26-RUS-964-14, EGKR-S26-RUS-964-15, EGKR-S26-RUS-964-16</x:v>
      </x:c>
      <x:c r="L874" s="87" t="str">
        <x:v>CROP_VERIFIED</x:v>
      </x:c>
      <x:c r="M874" s="87" t="str">
        <x:v>ORIGINAL_PACKAGE</x:v>
      </x:c>
      <x:c r="N874" s="87" t="str">
        <x:v>pages/VIS-EGKR-RUS-S26-TASK-964-P007.png</x:v>
      </x:c>
      <x:c r="O874" s="87" t="str">
        <x:v>thumbnails/VIS-EGKR-RUS-S26-TASK-964-P007.jpg</x:v>
      </x:c>
      <x:c r="P874" s="87" t="str">
        <x:v>36740993b4c925efb401eed693cc1f68ca42e6b79bf54fb1891403cb90ecd64f</x:v>
      </x:c>
      <x:c r="Q874" s="30" t="str">
        <x:v>incoming/raw/recovery-drop-01/russian_egkr_spring_visual_assets_v099.zip!/pages/VIS-EGKR-RUS-S26-TASK-964-P007.png</x:v>
      </x:c>
      <x:c r="R874" s="30" t="str">
        <x:v>MATCHED_ASSET</x:v>
      </x:c>
      <x:c r="S874" t="e">
        <x:f>HYPERLINK("visual_gallery/index.html#"&amp;A874,"Галерея")</x:f>
      </x:c>
    </x:row>
    <x:row r="875">
      <x:c r="A875" s="87" t="str">
        <x:v>VIS-EGKR-RUS-S26-TASK-964-P008</x:v>
      </x:c>
      <x:c r="B875" s="30" t="str">
        <x:v>Русский язык</x:v>
      </x:c>
      <x:c r="C875" s="30"/>
      <x:c r="D875" s="30" t="str">
        <x:v>964</x:v>
      </x:c>
      <x:c r="E875" s="87" t="str">
        <x:v>TASK</x:v>
      </x:c>
      <x:c r="F875" s="30" t="str">
        <x:v>ЕГКР 964 полный.pdf</x:v>
      </x:c>
      <x:c r="G875" s="87" t="str">
        <x:v>8</x:v>
      </x:c>
      <x:c r="H875" s="87" t="str">
        <x:v>v0.99</x:v>
      </x:c>
      <x:c r="I875" s="87" t="str">
        <x:v>2</x:v>
      </x:c>
      <x:c r="J875" s="30" t="str">
        <x:v>VIS_ID</x:v>
      </x:c>
      <x:c r="K875" s="30" t="str">
        <x:v>EGKR-S26-RUS-964-17, EGKR-S26-RUS-964-18</x:v>
      </x:c>
      <x:c r="L875" s="87" t="str">
        <x:v>CROP_VERIFIED</x:v>
      </x:c>
      <x:c r="M875" s="87" t="str">
        <x:v>ORIGINAL_PACKAGE</x:v>
      </x:c>
      <x:c r="N875" s="87" t="str">
        <x:v>pages/VIS-EGKR-RUS-S26-TASK-964-P008.png</x:v>
      </x:c>
      <x:c r="O875" s="87" t="str">
        <x:v>thumbnails/VIS-EGKR-RUS-S26-TASK-964-P008.jpg</x:v>
      </x:c>
      <x:c r="P875" s="87" t="str">
        <x:v>59d4179752ad1dcc62d7e47b7d92eb1bc3ef1690eca733656b0d4b61e33024f6</x:v>
      </x:c>
      <x:c r="Q875" s="30" t="str">
        <x:v>incoming/raw/recovery-drop-01/russian_egkr_spring_visual_assets_v099.zip!/pages/VIS-EGKR-RUS-S26-TASK-964-P008.png</x:v>
      </x:c>
      <x:c r="R875" s="30" t="str">
        <x:v>MATCHED_ASSET</x:v>
      </x:c>
      <x:c r="S875" t="e">
        <x:f>HYPERLINK("visual_gallery/index.html#"&amp;A875,"Галерея")</x:f>
      </x:c>
    </x:row>
    <x:row r="876">
      <x:c r="A876" s="87" t="str">
        <x:v>VIS-EGKR-RUS-S26-TASK-964-P009</x:v>
      </x:c>
      <x:c r="B876" s="30" t="str">
        <x:v>Русский язык</x:v>
      </x:c>
      <x:c r="C876" s="30"/>
      <x:c r="D876" s="30" t="str">
        <x:v>964</x:v>
      </x:c>
      <x:c r="E876" s="87" t="str">
        <x:v>TASK</x:v>
      </x:c>
      <x:c r="F876" s="30" t="str">
        <x:v>ЕГКР 964 полный.pdf</x:v>
      </x:c>
      <x:c r="G876" s="87" t="str">
        <x:v>9</x:v>
      </x:c>
      <x:c r="H876" s="87" t="str">
        <x:v>v0.99</x:v>
      </x:c>
      <x:c r="I876" s="87" t="str">
        <x:v>3</x:v>
      </x:c>
      <x:c r="J876" s="30" t="str">
        <x:v>VIS_ID</x:v>
      </x:c>
      <x:c r="K876" s="30" t="str">
        <x:v>EGKR-S26-RUS-964-19, EGKR-S26-RUS-964-20, EGKR-S26-RUS-964-21</x:v>
      </x:c>
      <x:c r="L876" s="87" t="str">
        <x:v>CROP_VERIFIED</x:v>
      </x:c>
      <x:c r="M876" s="87" t="str">
        <x:v>ORIGINAL_PACKAGE</x:v>
      </x:c>
      <x:c r="N876" s="87" t="str">
        <x:v>pages/VIS-EGKR-RUS-S26-TASK-964-P009.png</x:v>
      </x:c>
      <x:c r="O876" s="87" t="str">
        <x:v>thumbnails/VIS-EGKR-RUS-S26-TASK-964-P009.jpg</x:v>
      </x:c>
      <x:c r="P876" s="87" t="str">
        <x:v>9d7d2c691be2a26c5ab3a0e4942d094614d96ce0e63ad18acb3644fe6ad99a0c</x:v>
      </x:c>
      <x:c r="Q876" s="30" t="str">
        <x:v>incoming/raw/recovery-drop-01/russian_egkr_spring_visual_assets_v099.zip!/pages/VIS-EGKR-RUS-S26-TASK-964-P009.png</x:v>
      </x:c>
      <x:c r="R876" s="30" t="str">
        <x:v>MATCHED_ASSET</x:v>
      </x:c>
      <x:c r="S876" t="e">
        <x:f>HYPERLINK("visual_gallery/index.html#"&amp;A876,"Галерея")</x:f>
      </x:c>
    </x:row>
    <x:row r="877">
      <x:c r="A877" s="87" t="str">
        <x:v>VIS-EGKR-RUS-S26-TASK-964-P010</x:v>
      </x:c>
      <x:c r="B877" s="30" t="str">
        <x:v>Русский язык</x:v>
      </x:c>
      <x:c r="C877" s="30"/>
      <x:c r="D877" s="30" t="str">
        <x:v>964</x:v>
      </x:c>
      <x:c r="E877" s="87" t="str">
        <x:v>TASK</x:v>
      </x:c>
      <x:c r="F877" s="30" t="str">
        <x:v>ЕГКР 964 полный.pdf</x:v>
      </x:c>
      <x:c r="G877" s="87" t="str">
        <x:v>10</x:v>
      </x:c>
      <x:c r="H877" s="87" t="str">
        <x:v>v0.99</x:v>
      </x:c>
      <x:c r="I877" s="87" t="str">
        <x:v>1</x:v>
      </x:c>
      <x:c r="J877" s="30" t="str">
        <x:v>VIS_ID</x:v>
      </x:c>
      <x:c r="K877" s="30" t="str">
        <x:v>EGKR-S26-RUS-964-22</x:v>
      </x:c>
      <x:c r="L877" s="87" t="str">
        <x:v>CROP_VERIFIED</x:v>
      </x:c>
      <x:c r="M877" s="87" t="str">
        <x:v>ORIGINAL_PACKAGE</x:v>
      </x:c>
      <x:c r="N877" s="87" t="str">
        <x:v>pages/VIS-EGKR-RUS-S26-TASK-964-P010.png</x:v>
      </x:c>
      <x:c r="O877" s="87" t="str">
        <x:v>thumbnails/VIS-EGKR-RUS-S26-TASK-964-P010.jpg</x:v>
      </x:c>
      <x:c r="P877" s="87" t="str">
        <x:v>f25611e5853f9cbe0fff8f38acd622c361daa64cb97498127c750f60a1121d17</x:v>
      </x:c>
      <x:c r="Q877" s="30" t="str">
        <x:v>incoming/raw/recovery-drop-01/russian_egkr_spring_visual_assets_v099.zip!/pages/VIS-EGKR-RUS-S26-TASK-964-P010.png</x:v>
      </x:c>
      <x:c r="R877" s="30" t="str">
        <x:v>MATCHED_ASSET</x:v>
      </x:c>
      <x:c r="S877" t="e">
        <x:f>HYPERLINK("visual_gallery/index.html#"&amp;A877,"Галерея")</x:f>
      </x:c>
    </x:row>
    <x:row r="878">
      <x:c r="A878" s="87" t="str">
        <x:v>VIS-EGKR-RUS-S26-TASK-964-P011</x:v>
      </x:c>
      <x:c r="B878" s="30" t="str"/>
      <x:c r="C878" s="30"/>
      <x:c r="D878" s="30" t="str">
        <x:v>964</x:v>
      </x:c>
      <x:c r="E878" s="87" t="str">
        <x:v>TASK</x:v>
      </x:c>
      <x:c r="F878" s="30" t="str">
        <x:v>ЕГКР 964 полный.pdf</x:v>
      </x:c>
      <x:c r="G878" s="87" t="str">
        <x:v>11</x:v>
      </x:c>
      <x:c r="H878" s="87" t="str">
        <x:v>v0.99</x:v>
      </x:c>
      <x:c r="I878" s="87" t="str">
        <x:v>0</x:v>
      </x:c>
      <x:c r="J878" s="30" t="str"/>
      <x:c r="K878" s="30" t="str"/>
      <x:c r="L878" s="87" t="str">
        <x:v>CROP_VERIFIED</x:v>
      </x:c>
      <x:c r="M878" s="87" t="str">
        <x:v>ORIGINAL_PACKAGE</x:v>
      </x:c>
      <x:c r="N878" s="87" t="str">
        <x:v>pages/VIS-EGKR-RUS-S26-TASK-964-P011.png</x:v>
      </x:c>
      <x:c r="O878" s="87" t="str">
        <x:v>thumbnails/VIS-EGKR-RUS-S26-TASK-964-P011.jpg</x:v>
      </x:c>
      <x:c r="P878" s="87" t="str">
        <x:v>73603fb94918c17ccf5d7957b2aa699153be0eefe8457e91b060250517a40ae3</x:v>
      </x:c>
      <x:c r="Q878" s="30" t="str">
        <x:v>incoming/raw/recovery-drop-01/russian_egkr_spring_visual_assets_v099.zip!/pages/VIS-EGKR-RUS-S26-TASK-964-P011.png</x:v>
      </x:c>
      <x:c r="R878" s="30" t="str">
        <x:v>RESOLVED_UNLINKED_REGISTRY_VISUAL</x:v>
      </x:c>
      <x:c r="S878" t="e">
        <x:f>HYPERLINK("visual_gallery/index.html#"&amp;A878,"Галерея")</x:f>
      </x:c>
    </x:row>
    <x:row r="879">
      <x:c r="A879" s="87" t="str">
        <x:v>VIS-EGKR-RUS-S26-TASK-964-P012</x:v>
      </x:c>
      <x:c r="B879" s="30" t="str">
        <x:v>Русский язык</x:v>
      </x:c>
      <x:c r="C879" s="30"/>
      <x:c r="D879" s="30" t="str">
        <x:v>964</x:v>
      </x:c>
      <x:c r="E879" s="87" t="str">
        <x:v>TASK</x:v>
      </x:c>
      <x:c r="F879" s="30" t="str">
        <x:v>ЕГКР 964 полный.pdf</x:v>
      </x:c>
      <x:c r="G879" s="87" t="str">
        <x:v>12</x:v>
      </x:c>
      <x:c r="H879" s="87" t="str">
        <x:v>v0.99</x:v>
      </x:c>
      <x:c r="I879" s="87" t="str">
        <x:v>4</x:v>
      </x:c>
      <x:c r="J879" s="30" t="str">
        <x:v>VIS_ID</x:v>
      </x:c>
      <x:c r="K879" s="30" t="str">
        <x:v>EGKR-S26-RUS-964-23, EGKR-S26-RUS-964-24, EGKR-S26-RUS-964-25, EGKR-S26-RUS-964-26</x:v>
      </x:c>
      <x:c r="L879" s="87" t="str">
        <x:v>CROP_VERIFIED</x:v>
      </x:c>
      <x:c r="M879" s="87" t="str">
        <x:v>ORIGINAL_PACKAGE</x:v>
      </x:c>
      <x:c r="N879" s="87" t="str">
        <x:v>pages/VIS-EGKR-RUS-S26-TASK-964-P012.png</x:v>
      </x:c>
      <x:c r="O879" s="87" t="str">
        <x:v>thumbnails/VIS-EGKR-RUS-S26-TASK-964-P012.jpg</x:v>
      </x:c>
      <x:c r="P879" s="87" t="str">
        <x:v>f94642c0a629772781a6106b69c3756e780442e94464a168120de4db8141210d</x:v>
      </x:c>
      <x:c r="Q879" s="30" t="str">
        <x:v>incoming/raw/recovery-drop-01/russian_egkr_spring_visual_assets_v099.zip!/pages/VIS-EGKR-RUS-S26-TASK-964-P012.png</x:v>
      </x:c>
      <x:c r="R879" s="30" t="str">
        <x:v>MATCHED_ASSET</x:v>
      </x:c>
      <x:c r="S879" t="e">
        <x:f>HYPERLINK("visual_gallery/index.html#"&amp;A879,"Галерея")</x:f>
      </x:c>
    </x:row>
    <x:row r="880">
      <x:c r="A880" s="87" t="str">
        <x:v>VIS-EGKR-RUS-S26-TASK-964-P013</x:v>
      </x:c>
      <x:c r="B880" s="30" t="str">
        <x:v>Русский язык</x:v>
      </x:c>
      <x:c r="C880" s="30"/>
      <x:c r="D880" s="30" t="str">
        <x:v>964</x:v>
      </x:c>
      <x:c r="E880" s="87" t="str">
        <x:v>TASK</x:v>
      </x:c>
      <x:c r="F880" s="30" t="str">
        <x:v>ЕГКР 964 полный.pdf</x:v>
      </x:c>
      <x:c r="G880" s="87" t="str">
        <x:v>13</x:v>
      </x:c>
      <x:c r="H880" s="87" t="str">
        <x:v>v0.99</x:v>
      </x:c>
      <x:c r="I880" s="87" t="str">
        <x:v>1</x:v>
      </x:c>
      <x:c r="J880" s="30" t="str">
        <x:v>VIS_ID</x:v>
      </x:c>
      <x:c r="K880" s="30" t="str">
        <x:v>EGKR-S26-RUS-964-27</x:v>
      </x:c>
      <x:c r="L880" s="87" t="str">
        <x:v>CROP_VERIFIED</x:v>
      </x:c>
      <x:c r="M880" s="87" t="str">
        <x:v>ORIGINAL_PACKAGE</x:v>
      </x:c>
      <x:c r="N880" s="87" t="str">
        <x:v>pages/VIS-EGKR-RUS-S26-TASK-964-P013.png</x:v>
      </x:c>
      <x:c r="O880" s="87" t="str">
        <x:v>thumbnails/VIS-EGKR-RUS-S26-TASK-964-P013.jpg</x:v>
      </x:c>
      <x:c r="P880" s="87" t="str">
        <x:v>ed02e3fe49f2927139e7668cde571f2d8dada5efc75170e254330bbb0f2a473e</x:v>
      </x:c>
      <x:c r="Q880" s="30" t="str">
        <x:v>incoming/raw/recovery-drop-01/russian_egkr_spring_visual_assets_v099.zip!/pages/VIS-EGKR-RUS-S26-TASK-964-P013.png</x:v>
      </x:c>
      <x:c r="R880" s="30" t="str">
        <x:v>MATCHED_ASSET</x:v>
      </x:c>
      <x:c r="S880" t="e">
        <x:f>HYPERLINK("visual_gallery/index.html#"&amp;A880,"Галерея")</x:f>
      </x:c>
    </x:row>
    <x:row r="881">
      <x:c r="A881" s="87" t="str">
        <x:v>VIS-EGKR-RUS-S26-TASK-964-P014</x:v>
      </x:c>
      <x:c r="B881" s="30" t="str"/>
      <x:c r="C881" s="30"/>
      <x:c r="D881" s="30" t="str">
        <x:v>964</x:v>
      </x:c>
      <x:c r="E881" s="87" t="str">
        <x:v>TASK</x:v>
      </x:c>
      <x:c r="F881" s="30" t="str">
        <x:v>ЕГКР 964 полный.pdf</x:v>
      </x:c>
      <x:c r="G881" s="87" t="str">
        <x:v>14</x:v>
      </x:c>
      <x:c r="H881" s="87" t="str">
        <x:v>v0.99</x:v>
      </x:c>
      <x:c r="I881" s="87" t="str">
        <x:v>0</x:v>
      </x:c>
      <x:c r="J881" s="30" t="str"/>
      <x:c r="K881" s="30" t="str"/>
      <x:c r="L881" s="87" t="str">
        <x:v>CROP_VERIFIED</x:v>
      </x:c>
      <x:c r="M881" s="87" t="str">
        <x:v>ORIGINAL_PACKAGE</x:v>
      </x:c>
      <x:c r="N881" s="87" t="str">
        <x:v>pages/VIS-EGKR-RUS-S26-TASK-964-P014.png</x:v>
      </x:c>
      <x:c r="O881" s="87" t="str">
        <x:v>thumbnails/VIS-EGKR-RUS-S26-TASK-964-P014.jpg</x:v>
      </x:c>
      <x:c r="P881" s="87" t="str">
        <x:v>b7965d4a6b26f8fceed797cb54897fbb7efadb12e7e3e99c72f4528a0e5eac3e</x:v>
      </x:c>
      <x:c r="Q881" s="30" t="str">
        <x:v>incoming/raw/recovery-drop-01/russian_egkr_spring_visual_assets_v099.zip!/pages/VIS-EGKR-RUS-S26-TASK-964-P014.png</x:v>
      </x:c>
      <x:c r="R881" s="30" t="str">
        <x:v>RESOLVED_UNLINKED_REGISTRY_VISUAL</x:v>
      </x:c>
      <x:c r="S881" t="e">
        <x:f>HYPERLINK("visual_gallery/index.html#"&amp;A881,"Галерея")</x:f>
      </x:c>
    </x:row>
    <x:row r="882">
      <x:c r="A882" s="87" t="str">
        <x:v>VIS-EGKR-RUS-S26-TASK-965-P001</x:v>
      </x:c>
      <x:c r="B882" s="30" t="str"/>
      <x:c r="C882" s="30"/>
      <x:c r="D882" s="30" t="str">
        <x:v>965</x:v>
      </x:c>
      <x:c r="E882" s="87" t="str">
        <x:v>TASK</x:v>
      </x:c>
      <x:c r="F882" s="30" t="str">
        <x:v>ЕГКР 965 по русскому языку.pdf</x:v>
      </x:c>
      <x:c r="G882" s="87" t="str">
        <x:v>1</x:v>
      </x:c>
      <x:c r="H882" s="87" t="str">
        <x:v>v0.99</x:v>
      </x:c>
      <x:c r="I882" s="87" t="str">
        <x:v>0</x:v>
      </x:c>
      <x:c r="J882" s="30" t="str"/>
      <x:c r="K882" s="30" t="str"/>
      <x:c r="L882" s="87" t="str">
        <x:v>CROP_VERIFIED</x:v>
      </x:c>
      <x:c r="M882" s="87" t="str">
        <x:v>ORIGINAL_PACKAGE</x:v>
      </x:c>
      <x:c r="N882" s="87" t="str">
        <x:v>pages/VIS-EGKR-RUS-S26-TASK-965-P001.png</x:v>
      </x:c>
      <x:c r="O882" s="87" t="str">
        <x:v>thumbnails/VIS-EGKR-RUS-S26-TASK-965-P001.jpg</x:v>
      </x:c>
      <x:c r="P882" s="87" t="str">
        <x:v>c6cb26f03f29d307b56e5d1baf6a66070a029c06b34286205ee5f1aa5904f0b7</x:v>
      </x:c>
      <x:c r="Q882" s="30" t="str">
        <x:v>incoming/raw/recovery-drop-01/russian_egkr_spring_visual_assets_v099.zip!/pages/VIS-EGKR-RUS-S26-TASK-965-P001.png</x:v>
      </x:c>
      <x:c r="R882" s="30" t="str">
        <x:v>RESOLVED_UNLINKED_REGISTRY_VISUAL</x:v>
      </x:c>
      <x:c r="S882" t="e">
        <x:f>HYPERLINK("visual_gallery/index.html#"&amp;A882,"Галерея")</x:f>
      </x:c>
    </x:row>
    <x:row r="883">
      <x:c r="A883" s="87" t="str">
        <x:v>VIS-EGKR-RUS-S26-TASK-965-P002</x:v>
      </x:c>
      <x:c r="B883" s="30" t="str"/>
      <x:c r="C883" s="30"/>
      <x:c r="D883" s="30" t="str">
        <x:v>965</x:v>
      </x:c>
      <x:c r="E883" s="87" t="str">
        <x:v>TASK</x:v>
      </x:c>
      <x:c r="F883" s="30" t="str">
        <x:v>ЕГКР 965 по русскому языку.pdf</x:v>
      </x:c>
      <x:c r="G883" s="87" t="str">
        <x:v>2</x:v>
      </x:c>
      <x:c r="H883" s="87" t="str">
        <x:v>v0.99</x:v>
      </x:c>
      <x:c r="I883" s="87" t="str">
        <x:v>0</x:v>
      </x:c>
      <x:c r="J883" s="30" t="str"/>
      <x:c r="K883" s="30" t="str"/>
      <x:c r="L883" s="87" t="str">
        <x:v>CROP_VERIFIED</x:v>
      </x:c>
      <x:c r="M883" s="87" t="str">
        <x:v>ORIGINAL_PACKAGE</x:v>
      </x:c>
      <x:c r="N883" s="87" t="str">
        <x:v>pages/VIS-EGKR-RUS-S26-TASK-965-P002.png</x:v>
      </x:c>
      <x:c r="O883" s="87" t="str">
        <x:v>thumbnails/VIS-EGKR-RUS-S26-TASK-965-P002.jpg</x:v>
      </x:c>
      <x:c r="P883" s="87" t="str">
        <x:v>9375de4f8b8d8b27eaec578e8ef4d4ba4ee2ab5ecc7cea5441c34f301c3f4256</x:v>
      </x:c>
      <x:c r="Q883" s="30" t="str">
        <x:v>incoming/raw/recovery-drop-01/russian_egkr_spring_visual_assets_v099.zip!/pages/VIS-EGKR-RUS-S26-TASK-965-P002.png</x:v>
      </x:c>
      <x:c r="R883" s="30" t="str">
        <x:v>RESOLVED_UNLINKED_REGISTRY_VISUAL</x:v>
      </x:c>
      <x:c r="S883" t="e">
        <x:f>HYPERLINK("visual_gallery/index.html#"&amp;A883,"Галерея")</x:f>
      </x:c>
    </x:row>
    <x:row r="884">
      <x:c r="A884" s="87" t="str">
        <x:v>VIS-EGKR-RUS-S26-TASK-965-P003</x:v>
      </x:c>
      <x:c r="B884" s="30" t="str">
        <x:v>Русский язык</x:v>
      </x:c>
      <x:c r="C884" s="30"/>
      <x:c r="D884" s="30" t="str">
        <x:v>965</x:v>
      </x:c>
      <x:c r="E884" s="87" t="str">
        <x:v>TASK</x:v>
      </x:c>
      <x:c r="F884" s="30" t="str">
        <x:v>ЕГКР 965 по русскому языку.pdf</x:v>
      </x:c>
      <x:c r="G884" s="87" t="str">
        <x:v>3</x:v>
      </x:c>
      <x:c r="H884" s="87" t="str">
        <x:v>v0.99</x:v>
      </x:c>
      <x:c r="I884" s="87" t="str">
        <x:v>3</x:v>
      </x:c>
      <x:c r="J884" s="30" t="str">
        <x:v>VIS_ID</x:v>
      </x:c>
      <x:c r="K884" s="30" t="str">
        <x:v>EGKR-S26-RUS-965-01, EGKR-S26-RUS-965-02, EGKR-S26-RUS-965-03</x:v>
      </x:c>
      <x:c r="L884" s="87" t="str">
        <x:v>CROP_VERIFIED</x:v>
      </x:c>
      <x:c r="M884" s="87" t="str">
        <x:v>ORIGINAL_PACKAGE</x:v>
      </x:c>
      <x:c r="N884" s="87" t="str">
        <x:v>pages/VIS-EGKR-RUS-S26-TASK-965-P003.png</x:v>
      </x:c>
      <x:c r="O884" s="87" t="str">
        <x:v>thumbnails/VIS-EGKR-RUS-S26-TASK-965-P003.jpg</x:v>
      </x:c>
      <x:c r="P884" s="87" t="str">
        <x:v>b6fdaea016c22fada73eea53130a8f16dcdb3ee287a4fe27a967a8579b521b6b</x:v>
      </x:c>
      <x:c r="Q884" s="30" t="str">
        <x:v>incoming/raw/recovery-drop-01/russian_egkr_spring_visual_assets_v099.zip!/pages/VIS-EGKR-RUS-S26-TASK-965-P003.png</x:v>
      </x:c>
      <x:c r="R884" s="30" t="str">
        <x:v>MATCHED_ASSET</x:v>
      </x:c>
      <x:c r="S884" t="e">
        <x:f>HYPERLINK("visual_gallery/index.html#"&amp;A884,"Галерея")</x:f>
      </x:c>
    </x:row>
    <x:row r="885">
      <x:c r="A885" s="87" t="str">
        <x:v>VIS-EGKR-RUS-S26-TASK-965-P004</x:v>
      </x:c>
      <x:c r="B885" s="30" t="str">
        <x:v>Русский язык</x:v>
      </x:c>
      <x:c r="C885" s="30"/>
      <x:c r="D885" s="30" t="str">
        <x:v>965</x:v>
      </x:c>
      <x:c r="E885" s="87" t="str">
        <x:v>TASK</x:v>
      </x:c>
      <x:c r="F885" s="30" t="str">
        <x:v>ЕГКР 965 по русскому языку.pdf</x:v>
      </x:c>
      <x:c r="G885" s="87" t="str">
        <x:v>4</x:v>
      </x:c>
      <x:c r="H885" s="87" t="str">
        <x:v>v0.99</x:v>
      </x:c>
      <x:c r="I885" s="87" t="str">
        <x:v>4</x:v>
      </x:c>
      <x:c r="J885" s="30" t="str">
        <x:v>VIS_ID</x:v>
      </x:c>
      <x:c r="K885" s="30" t="str">
        <x:v>EGKR-S26-RUS-965-04, EGKR-S26-RUS-965-05, EGKR-S26-RUS-965-06, EGKR-S26-RUS-965-07</x:v>
      </x:c>
      <x:c r="L885" s="87" t="str">
        <x:v>CROP_VERIFIED</x:v>
      </x:c>
      <x:c r="M885" s="87" t="str">
        <x:v>ORIGINAL_PACKAGE</x:v>
      </x:c>
      <x:c r="N885" s="87" t="str">
        <x:v>pages/VIS-EGKR-RUS-S26-TASK-965-P004.png</x:v>
      </x:c>
      <x:c r="O885" s="87" t="str">
        <x:v>thumbnails/VIS-EGKR-RUS-S26-TASK-965-P004.jpg</x:v>
      </x:c>
      <x:c r="P885" s="87" t="str">
        <x:v>44cadf90b48117b70f556d13a1fb48c435fb0324e3f1d72019b47107590f7c36</x:v>
      </x:c>
      <x:c r="Q885" s="30" t="str">
        <x:v>incoming/raw/recovery-drop-01/russian_egkr_spring_visual_assets_v099.zip!/pages/VIS-EGKR-RUS-S26-TASK-965-P004.png</x:v>
      </x:c>
      <x:c r="R885" s="30" t="str">
        <x:v>MATCHED_ASSET</x:v>
      </x:c>
      <x:c r="S885" t="e">
        <x:f>HYPERLINK("visual_gallery/index.html#"&amp;A885,"Галерея")</x:f>
      </x:c>
    </x:row>
    <x:row r="886">
      <x:c r="A886" s="87" t="str">
        <x:v>VIS-EGKR-RUS-S26-TASK-965-P005</x:v>
      </x:c>
      <x:c r="B886" s="30" t="str">
        <x:v>Русский язык</x:v>
      </x:c>
      <x:c r="C886" s="30"/>
      <x:c r="D886" s="30" t="str">
        <x:v>965</x:v>
      </x:c>
      <x:c r="E886" s="87" t="str">
        <x:v>TASK</x:v>
      </x:c>
      <x:c r="F886" s="30" t="str">
        <x:v>ЕГКР 965 по русскому языку.pdf</x:v>
      </x:c>
      <x:c r="G886" s="87" t="str">
        <x:v>5</x:v>
      </x:c>
      <x:c r="H886" s="87" t="str">
        <x:v>v0.99</x:v>
      </x:c>
      <x:c r="I886" s="87" t="str">
        <x:v>1</x:v>
      </x:c>
      <x:c r="J886" s="30" t="str">
        <x:v>VIS_ID</x:v>
      </x:c>
      <x:c r="K886" s="30" t="str">
        <x:v>EGKR-S26-RUS-965-08</x:v>
      </x:c>
      <x:c r="L886" s="87" t="str">
        <x:v>CROP_VERIFIED</x:v>
      </x:c>
      <x:c r="M886" s="87" t="str">
        <x:v>ORIGINAL_PACKAGE</x:v>
      </x:c>
      <x:c r="N886" s="87" t="str">
        <x:v>pages/VIS-EGKR-RUS-S26-TASK-965-P005.png</x:v>
      </x:c>
      <x:c r="O886" s="87" t="str">
        <x:v>thumbnails/VIS-EGKR-RUS-S26-TASK-965-P005.jpg</x:v>
      </x:c>
      <x:c r="P886" s="87" t="str">
        <x:v>431482596b9f3f20f76b0c70b5608cabed8494d7417454faef69def3cbcb9507</x:v>
      </x:c>
      <x:c r="Q886" s="30" t="str">
        <x:v>incoming/raw/recovery-drop-01/russian_egkr_spring_visual_assets_v099.zip!/pages/VIS-EGKR-RUS-S26-TASK-965-P005.png</x:v>
      </x:c>
      <x:c r="R886" s="30" t="str">
        <x:v>MATCHED_ASSET</x:v>
      </x:c>
      <x:c r="S886" t="e">
        <x:f>HYPERLINK("visual_gallery/index.html#"&amp;A886,"Галерея")</x:f>
      </x:c>
    </x:row>
    <x:row r="887">
      <x:c r="A887" s="87" t="str">
        <x:v>VIS-EGKR-RUS-S26-TASK-965-P006</x:v>
      </x:c>
      <x:c r="B887" s="30" t="str">
        <x:v>Русский язык</x:v>
      </x:c>
      <x:c r="C887" s="30"/>
      <x:c r="D887" s="30" t="str">
        <x:v>965</x:v>
      </x:c>
      <x:c r="E887" s="87" t="str">
        <x:v>TASK</x:v>
      </x:c>
      <x:c r="F887" s="30" t="str">
        <x:v>ЕГКР 965 по русскому языку.pdf</x:v>
      </x:c>
      <x:c r="G887" s="87" t="str">
        <x:v>6</x:v>
      </x:c>
      <x:c r="H887" s="87" t="str">
        <x:v>v0.99</x:v>
      </x:c>
      <x:c r="I887" s="87" t="str">
        <x:v>4</x:v>
      </x:c>
      <x:c r="J887" s="30" t="str">
        <x:v>VIS_ID</x:v>
      </x:c>
      <x:c r="K887" s="30" t="str">
        <x:v>EGKR-S26-RUS-965-09, EGKR-S26-RUS-965-10, EGKR-S26-RUS-965-11, EGKR-S26-RUS-965-12</x:v>
      </x:c>
      <x:c r="L887" s="87" t="str">
        <x:v>CROP_VERIFIED</x:v>
      </x:c>
      <x:c r="M887" s="87" t="str">
        <x:v>ORIGINAL_PACKAGE</x:v>
      </x:c>
      <x:c r="N887" s="87" t="str">
        <x:v>pages/VIS-EGKR-RUS-S26-TASK-965-P006.png</x:v>
      </x:c>
      <x:c r="O887" s="87" t="str">
        <x:v>thumbnails/VIS-EGKR-RUS-S26-TASK-965-P006.jpg</x:v>
      </x:c>
      <x:c r="P887" s="87" t="str">
        <x:v>a96d48dc6aab9306af654244c2d235e0b307ba65fd2f90a061661d7fc00250c6</x:v>
      </x:c>
      <x:c r="Q887" s="30" t="str">
        <x:v>incoming/raw/recovery-drop-01/russian_egkr_spring_visual_assets_v099.zip!/pages/VIS-EGKR-RUS-S26-TASK-965-P006.png</x:v>
      </x:c>
      <x:c r="R887" s="30" t="str">
        <x:v>MATCHED_ASSET</x:v>
      </x:c>
      <x:c r="S887" t="e">
        <x:f>HYPERLINK("visual_gallery/index.html#"&amp;A887,"Галерея")</x:f>
      </x:c>
    </x:row>
    <x:row r="888">
      <x:c r="A888" s="87" t="str">
        <x:v>VIS-EGKR-RUS-S26-TASK-965-P007</x:v>
      </x:c>
      <x:c r="B888" s="30" t="str">
        <x:v>Русский язык</x:v>
      </x:c>
      <x:c r="C888" s="30"/>
      <x:c r="D888" s="30" t="str">
        <x:v>965</x:v>
      </x:c>
      <x:c r="E888" s="87" t="str">
        <x:v>TASK</x:v>
      </x:c>
      <x:c r="F888" s="30" t="str">
        <x:v>ЕГКР 965 по русскому языку.pdf</x:v>
      </x:c>
      <x:c r="G888" s="87" t="str">
        <x:v>7</x:v>
      </x:c>
      <x:c r="H888" s="87" t="str">
        <x:v>v0.99</x:v>
      </x:c>
      <x:c r="I888" s="87" t="str">
        <x:v>3</x:v>
      </x:c>
      <x:c r="J888" s="30" t="str">
        <x:v>VIS_ID</x:v>
      </x:c>
      <x:c r="K888" s="30" t="str">
        <x:v>EGKR-S26-RUS-965-13, EGKR-S26-RUS-965-14, EGKR-S26-RUS-965-15</x:v>
      </x:c>
      <x:c r="L888" s="87" t="str">
        <x:v>CROP_VERIFIED</x:v>
      </x:c>
      <x:c r="M888" s="87" t="str">
        <x:v>ORIGINAL_PACKAGE</x:v>
      </x:c>
      <x:c r="N888" s="87" t="str">
        <x:v>pages/VIS-EGKR-RUS-S26-TASK-965-P007.png</x:v>
      </x:c>
      <x:c r="O888" s="87" t="str">
        <x:v>thumbnails/VIS-EGKR-RUS-S26-TASK-965-P007.jpg</x:v>
      </x:c>
      <x:c r="P888" s="87" t="str">
        <x:v>7145dfab6fd4d2cb7886896f421e03ed9e00485c08c4df1a7441e007b88869e1</x:v>
      </x:c>
      <x:c r="Q888" s="30" t="str">
        <x:v>incoming/raw/recovery-drop-01/russian_egkr_spring_visual_assets_v099.zip!/pages/VIS-EGKR-RUS-S26-TASK-965-P007.png</x:v>
      </x:c>
      <x:c r="R888" s="30" t="str">
        <x:v>MATCHED_ASSET</x:v>
      </x:c>
      <x:c r="S888" t="e">
        <x:f>HYPERLINK("visual_gallery/index.html#"&amp;A888,"Галерея")</x:f>
      </x:c>
    </x:row>
    <x:row r="889">
      <x:c r="A889" s="87" t="str">
        <x:v>VIS-EGKR-RUS-S26-TASK-965-P008</x:v>
      </x:c>
      <x:c r="B889" s="30" t="str">
        <x:v>Русский язык</x:v>
      </x:c>
      <x:c r="C889" s="30"/>
      <x:c r="D889" s="30" t="str">
        <x:v>965</x:v>
      </x:c>
      <x:c r="E889" s="87" t="str">
        <x:v>TASK</x:v>
      </x:c>
      <x:c r="F889" s="30" t="str">
        <x:v>ЕГКР 965 по русскому языку.pdf</x:v>
      </x:c>
      <x:c r="G889" s="87" t="str">
        <x:v>8</x:v>
      </x:c>
      <x:c r="H889" s="87" t="str">
        <x:v>v0.99</x:v>
      </x:c>
      <x:c r="I889" s="87" t="str">
        <x:v>3</x:v>
      </x:c>
      <x:c r="J889" s="30" t="str">
        <x:v>VIS_ID</x:v>
      </x:c>
      <x:c r="K889" s="30" t="str">
        <x:v>EGKR-S26-RUS-965-16, EGKR-S26-RUS-965-17, EGKR-S26-RUS-965-18</x:v>
      </x:c>
      <x:c r="L889" s="87" t="str">
        <x:v>CROP_VERIFIED</x:v>
      </x:c>
      <x:c r="M889" s="87" t="str">
        <x:v>ORIGINAL_PACKAGE</x:v>
      </x:c>
      <x:c r="N889" s="87" t="str">
        <x:v>pages/VIS-EGKR-RUS-S26-TASK-965-P008.png</x:v>
      </x:c>
      <x:c r="O889" s="87" t="str">
        <x:v>thumbnails/VIS-EGKR-RUS-S26-TASK-965-P008.jpg</x:v>
      </x:c>
      <x:c r="P889" s="87" t="str">
        <x:v>4ab21dba6392f5c4057bf161fba9874744859d98e857d7bc8054c9bb91aa9a28</x:v>
      </x:c>
      <x:c r="Q889" s="30" t="str">
        <x:v>incoming/raw/recovery-drop-01/russian_egkr_spring_visual_assets_v099.zip!/pages/VIS-EGKR-RUS-S26-TASK-965-P008.png</x:v>
      </x:c>
      <x:c r="R889" s="30" t="str">
        <x:v>MATCHED_ASSET</x:v>
      </x:c>
      <x:c r="S889" t="e">
        <x:f>HYPERLINK("visual_gallery/index.html#"&amp;A889,"Галерея")</x:f>
      </x:c>
    </x:row>
    <x:row r="890">
      <x:c r="A890" s="87" t="str">
        <x:v>VIS-EGKR-RUS-S26-TASK-965-P009</x:v>
      </x:c>
      <x:c r="B890" s="30" t="str">
        <x:v>Русский язык</x:v>
      </x:c>
      <x:c r="C890" s="30"/>
      <x:c r="D890" s="30" t="str">
        <x:v>965</x:v>
      </x:c>
      <x:c r="E890" s="87" t="str">
        <x:v>TASK</x:v>
      </x:c>
      <x:c r="F890" s="30" t="str">
        <x:v>ЕГКР 965 по русскому языку.pdf</x:v>
      </x:c>
      <x:c r="G890" s="87" t="str">
        <x:v>9</x:v>
      </x:c>
      <x:c r="H890" s="87" t="str">
        <x:v>v0.99</x:v>
      </x:c>
      <x:c r="I890" s="87" t="str">
        <x:v>3</x:v>
      </x:c>
      <x:c r="J890" s="30" t="str">
        <x:v>VIS_ID</x:v>
      </x:c>
      <x:c r="K890" s="30" t="str">
        <x:v>EGKR-S26-RUS-965-19, EGKR-S26-RUS-965-20, EGKR-S26-RUS-965-21</x:v>
      </x:c>
      <x:c r="L890" s="87" t="str">
        <x:v>CROP_VERIFIED</x:v>
      </x:c>
      <x:c r="M890" s="87" t="str">
        <x:v>ORIGINAL_PACKAGE</x:v>
      </x:c>
      <x:c r="N890" s="87" t="str">
        <x:v>pages/VIS-EGKR-RUS-S26-TASK-965-P009.png</x:v>
      </x:c>
      <x:c r="O890" s="87" t="str">
        <x:v>thumbnails/VIS-EGKR-RUS-S26-TASK-965-P009.jpg</x:v>
      </x:c>
      <x:c r="P890" s="87" t="str">
        <x:v>cc5b14db43b45f538b4d3e6bd611d0228d542a8f60ca9293599d9d92bb1beb72</x:v>
      </x:c>
      <x:c r="Q890" s="30" t="str">
        <x:v>incoming/raw/recovery-drop-01/russian_egkr_spring_visual_assets_v099.zip!/pages/VIS-EGKR-RUS-S26-TASK-965-P009.png</x:v>
      </x:c>
      <x:c r="R890" s="30" t="str">
        <x:v>MATCHED_ASSET</x:v>
      </x:c>
      <x:c r="S890" t="e">
        <x:f>HYPERLINK("visual_gallery/index.html#"&amp;A890,"Галерея")</x:f>
      </x:c>
    </x:row>
    <x:row r="891">
      <x:c r="A891" s="87" t="str">
        <x:v>VIS-EGKR-RUS-S26-TASK-965-P010</x:v>
      </x:c>
      <x:c r="B891" s="30" t="str">
        <x:v>Русский язык</x:v>
      </x:c>
      <x:c r="C891" s="30"/>
      <x:c r="D891" s="30" t="str">
        <x:v>965</x:v>
      </x:c>
      <x:c r="E891" s="87" t="str">
        <x:v>TASK</x:v>
      </x:c>
      <x:c r="F891" s="30" t="str">
        <x:v>ЕГКР 965 по русскому языку.pdf</x:v>
      </x:c>
      <x:c r="G891" s="87" t="str">
        <x:v>10</x:v>
      </x:c>
      <x:c r="H891" s="87" t="str">
        <x:v>v0.99</x:v>
      </x:c>
      <x:c r="I891" s="87" t="str">
        <x:v>1</x:v>
      </x:c>
      <x:c r="J891" s="30" t="str">
        <x:v>VIS_ID</x:v>
      </x:c>
      <x:c r="K891" s="30" t="str">
        <x:v>EGKR-S26-RUS-965-22</x:v>
      </x:c>
      <x:c r="L891" s="87" t="str">
        <x:v>CROP_VERIFIED</x:v>
      </x:c>
      <x:c r="M891" s="87" t="str">
        <x:v>ORIGINAL_PACKAGE</x:v>
      </x:c>
      <x:c r="N891" s="87" t="str">
        <x:v>pages/VIS-EGKR-RUS-S26-TASK-965-P010.png</x:v>
      </x:c>
      <x:c r="O891" s="87" t="str">
        <x:v>thumbnails/VIS-EGKR-RUS-S26-TASK-965-P010.jpg</x:v>
      </x:c>
      <x:c r="P891" s="87" t="str">
        <x:v>e93cbf08dad2a6ffc04f0dfdff24e0018193791a7940c1df8b93970a033bce89</x:v>
      </x:c>
      <x:c r="Q891" s="30" t="str">
        <x:v>incoming/raw/recovery-drop-01/russian_egkr_spring_visual_assets_v099.zip!/pages/VIS-EGKR-RUS-S26-TASK-965-P010.png</x:v>
      </x:c>
      <x:c r="R891" s="30" t="str">
        <x:v>MATCHED_ASSET</x:v>
      </x:c>
      <x:c r="S891" t="e">
        <x:f>HYPERLINK("visual_gallery/index.html#"&amp;A891,"Галерея")</x:f>
      </x:c>
    </x:row>
    <x:row r="892">
      <x:c r="A892" s="87" t="str">
        <x:v>VIS-EGKR-RUS-S26-TASK-965-P011</x:v>
      </x:c>
      <x:c r="B892" s="30" t="str"/>
      <x:c r="C892" s="30"/>
      <x:c r="D892" s="30" t="str">
        <x:v>965</x:v>
      </x:c>
      <x:c r="E892" s="87" t="str">
        <x:v>TASK</x:v>
      </x:c>
      <x:c r="F892" s="30" t="str">
        <x:v>ЕГКР 965 по русскому языку.pdf</x:v>
      </x:c>
      <x:c r="G892" s="87" t="str">
        <x:v>11</x:v>
      </x:c>
      <x:c r="H892" s="87" t="str">
        <x:v>v0.99</x:v>
      </x:c>
      <x:c r="I892" s="87" t="str">
        <x:v>0</x:v>
      </x:c>
      <x:c r="J892" s="30" t="str"/>
      <x:c r="K892" s="30" t="str"/>
      <x:c r="L892" s="87" t="str">
        <x:v>CROP_VERIFIED</x:v>
      </x:c>
      <x:c r="M892" s="87" t="str">
        <x:v>ORIGINAL_PACKAGE</x:v>
      </x:c>
      <x:c r="N892" s="87" t="str">
        <x:v>pages/VIS-EGKR-RUS-S26-TASK-965-P011.png</x:v>
      </x:c>
      <x:c r="O892" s="87" t="str">
        <x:v>thumbnails/VIS-EGKR-RUS-S26-TASK-965-P011.jpg</x:v>
      </x:c>
      <x:c r="P892" s="87" t="str">
        <x:v>4bec8cbffd378ff496260a8057e2d48af02d8a7803739d5f518569402e43e945</x:v>
      </x:c>
      <x:c r="Q892" s="30" t="str">
        <x:v>incoming/raw/recovery-drop-01/russian_egkr_spring_visual_assets_v099.zip!/pages/VIS-EGKR-RUS-S26-TASK-965-P011.png</x:v>
      </x:c>
      <x:c r="R892" s="30" t="str">
        <x:v>RESOLVED_UNLINKED_REGISTRY_VISUAL</x:v>
      </x:c>
      <x:c r="S892" t="e">
        <x:f>HYPERLINK("visual_gallery/index.html#"&amp;A892,"Галерея")</x:f>
      </x:c>
    </x:row>
    <x:row r="893">
      <x:c r="A893" s="87" t="str">
        <x:v>VIS-EGKR-RUS-S26-TASK-965-P012</x:v>
      </x:c>
      <x:c r="B893" s="30" t="str">
        <x:v>Русский язык</x:v>
      </x:c>
      <x:c r="C893" s="30"/>
      <x:c r="D893" s="30" t="str">
        <x:v>965</x:v>
      </x:c>
      <x:c r="E893" s="87" t="str">
        <x:v>TASK</x:v>
      </x:c>
      <x:c r="F893" s="30" t="str">
        <x:v>ЕГКР 965 по русскому языку.pdf</x:v>
      </x:c>
      <x:c r="G893" s="87" t="str">
        <x:v>12</x:v>
      </x:c>
      <x:c r="H893" s="87" t="str">
        <x:v>v0.99</x:v>
      </x:c>
      <x:c r="I893" s="87" t="str">
        <x:v>5</x:v>
      </x:c>
      <x:c r="J893" s="30" t="str">
        <x:v>VIS_ID</x:v>
      </x:c>
      <x:c r="K893" s="30" t="str">
        <x:v>EGKR-S26-RUS-965-23, EGKR-S26-RUS-965-24, EGKR-S26-RUS-965-25, EGKR-S26-RUS-965-26, EGKR-S26-RUS-965-27</x:v>
      </x:c>
      <x:c r="L893" s="87" t="str">
        <x:v>CROP_VERIFIED</x:v>
      </x:c>
      <x:c r="M893" s="87" t="str">
        <x:v>ORIGINAL_PACKAGE</x:v>
      </x:c>
      <x:c r="N893" s="87" t="str">
        <x:v>pages/VIS-EGKR-RUS-S26-TASK-965-P012.png</x:v>
      </x:c>
      <x:c r="O893" s="87" t="str">
        <x:v>thumbnails/VIS-EGKR-RUS-S26-TASK-965-P012.jpg</x:v>
      </x:c>
      <x:c r="P893" s="87" t="str">
        <x:v>b4ee2b983895fc82e5ae0d6aaed081704962fbe0ba7807ae70b57f377a55de78</x:v>
      </x:c>
      <x:c r="Q893" s="30" t="str">
        <x:v>incoming/raw/recovery-drop-01/russian_egkr_spring_visual_assets_v099.zip!/pages/VIS-EGKR-RUS-S26-TASK-965-P012.png</x:v>
      </x:c>
      <x:c r="R893" s="30" t="str">
        <x:v>MATCHED_ASSET</x:v>
      </x:c>
      <x:c r="S893" t="e">
        <x:f>HYPERLINK("visual_gallery/index.html#"&amp;A893,"Галерея")</x:f>
      </x:c>
    </x:row>
    <x:row r="894">
      <x:c r="A894" s="87" t="str">
        <x:v>VIS-EGKR-RUS-W25-KEY-ALL-P001</x:v>
      </x:c>
      <x:c r="B894" s="30" t="str">
        <x:v>Русский язык</x:v>
      </x:c>
      <x:c r="C894" s="30"/>
      <x:c r="D894" s="30" t="str">
        <x:v>ALL</x:v>
      </x:c>
      <x:c r="E894" s="87" t="str">
        <x:v>KEY</x:v>
      </x:c>
      <x:c r="F894" s="30" t="str">
        <x:v>ОТВЕТЫ (2).docx</x:v>
      </x:c>
      <x:c r="G894" s="87" t="str">
        <x:v>1</x:v>
      </x:c>
      <x:c r="H894" s="87" t="str">
        <x:v>v0.91</x:v>
      </x:c>
      <x:c r="I894" s="87" t="str">
        <x:v>78</x:v>
      </x:c>
      <x:c r="J894" s="30" t="str">
        <x:v>VIS_KEY / MODEL</x:v>
      </x:c>
      <x:c r="K894" s="30" t="str">
        <x:v>EGKR-W25-RUS-951-01, EGKR-W25-RUS-951-02, EGKR-W25-RUS-951-03, EGKR-W25-RUS-951-04, EGKR-W25-RUS-951-05, EGKR-W25-RUS-951-06, EGKR-W25-RUS-951-07, EGKR-W25-RUS-951-08…</x:v>
      </x:c>
      <x:c r="L894" s="87" t="str">
        <x:v>CROP_VERIFIED</x:v>
      </x:c>
      <x:c r="M894" s="87" t="str">
        <x:v>ORIGINAL_PACKAGE</x:v>
      </x:c>
      <x:c r="N894" s="87" t="str">
        <x:v>pages/VIS-EGKR-RUS-W25-KEY-ALL-P001.png</x:v>
      </x:c>
      <x:c r="O894" s="87" t="str">
        <x:v>thumbnails/VIS-EGKR-RUS-W25-KEY-ALL-P001.jpg</x:v>
      </x:c>
      <x:c r="P894" s="87" t="str">
        <x:v>6830b0283f3a6c8a70f9c995bcc68bdec378750e911f59b210a6bb896712d679</x:v>
      </x:c>
      <x:c r="Q894" s="30" t="str">
        <x:v>incoming/raw/recovery-drop-01/russian_egkr_winter_visual_assets_v091.zip!/pages/VIS-EGKR-RUS-W25-KEY-ALL-P001.png</x:v>
      </x:c>
      <x:c r="R894" s="30" t="str">
        <x:v>MATCHED_ASSET</x:v>
      </x:c>
      <x:c r="S894" t="e">
        <x:f>HYPERLINK("visual_gallery/index.html#"&amp;A894,"Галерея")</x:f>
      </x:c>
    </x:row>
    <x:row r="895">
      <x:c r="A895" s="87" t="str">
        <x:v>VIS-EGKR-RUS-W25-KEY-ALL-P002</x:v>
      </x:c>
      <x:c r="B895" s="30" t="str">
        <x:v>Русский язык</x:v>
      </x:c>
      <x:c r="C895" s="30"/>
      <x:c r="D895" s="30" t="str">
        <x:v>ALL</x:v>
      </x:c>
      <x:c r="E895" s="87" t="str">
        <x:v>KEY</x:v>
      </x:c>
      <x:c r="F895" s="30" t="str">
        <x:v>ОТВЕТЫ (2).docx</x:v>
      </x:c>
      <x:c r="G895" s="87" t="str">
        <x:v>2</x:v>
      </x:c>
      <x:c r="H895" s="87" t="str">
        <x:v>v0.91</x:v>
      </x:c>
      <x:c r="I895" s="87" t="str">
        <x:v>104</x:v>
      </x:c>
      <x:c r="J895" s="30" t="str">
        <x:v>VIS_KEY / MODEL</x:v>
      </x:c>
      <x:c r="K895" s="30" t="str">
        <x:v>EGKR-W25-RUS-954-01, EGKR-W25-RUS-954-02, EGKR-W25-RUS-954-03, EGKR-W25-RUS-954-04, EGKR-W25-RUS-954-05, EGKR-W25-RUS-954-06, EGKR-W25-RUS-954-07, EGKR-W25-RUS-954-08…</x:v>
      </x:c>
      <x:c r="L895" s="87" t="str">
        <x:v>CROP_VERIFIED</x:v>
      </x:c>
      <x:c r="M895" s="87" t="str">
        <x:v>ORIGINAL_PACKAGE</x:v>
      </x:c>
      <x:c r="N895" s="87" t="str">
        <x:v>pages/VIS-EGKR-RUS-W25-KEY-ALL-P002.png</x:v>
      </x:c>
      <x:c r="O895" s="87" t="str">
        <x:v>thumbnails/VIS-EGKR-RUS-W25-KEY-ALL-P002.jpg</x:v>
      </x:c>
      <x:c r="P895" s="87" t="str">
        <x:v>5d9ce2a945744b9c8364912e47d2122d0550649794327bbd8cbd00ae9842c9f7</x:v>
      </x:c>
      <x:c r="Q895" s="30" t="str">
        <x:v>incoming/raw/recovery-drop-01/russian_egkr_winter_visual_assets_v091.zip!/pages/VIS-EGKR-RUS-W25-KEY-ALL-P002.png</x:v>
      </x:c>
      <x:c r="R895" s="30" t="str">
        <x:v>MATCHED_ASSET</x:v>
      </x:c>
      <x:c r="S895" t="e">
        <x:f>HYPERLINK("visual_gallery/index.html#"&amp;A895,"Галерея")</x:f>
      </x:c>
    </x:row>
    <x:row r="896">
      <x:c r="A896" s="87" t="str">
        <x:v>VIS-EGKR-RUS-W25-KEY-ALL-P003</x:v>
      </x:c>
      <x:c r="B896" s="30" t="str">
        <x:v>Русский язык</x:v>
      </x:c>
      <x:c r="C896" s="30"/>
      <x:c r="D896" s="30" t="str">
        <x:v>ALL</x:v>
      </x:c>
      <x:c r="E896" s="87" t="str">
        <x:v>KEY</x:v>
      </x:c>
      <x:c r="F896" s="30" t="str">
        <x:v>ОТВЕТЫ (2).docx</x:v>
      </x:c>
      <x:c r="G896" s="87" t="str">
        <x:v>3</x:v>
      </x:c>
      <x:c r="H896" s="87" t="str">
        <x:v>v0.91</x:v>
      </x:c>
      <x:c r="I896" s="87" t="str">
        <x:v>26</x:v>
      </x:c>
      <x:c r="J896" s="30" t="str">
        <x:v>VIS_KEY / MODEL</x:v>
      </x:c>
      <x:c r="K896" s="30" t="str">
        <x:v>EGKR-W25-RUS-901-01, EGKR-W25-RUS-901-02, EGKR-W25-RUS-901-03, EGKR-W25-RUS-901-04, EGKR-W25-RUS-901-05, EGKR-W25-RUS-901-06, EGKR-W25-RUS-901-07, EGKR-W25-RUS-901-08…</x:v>
      </x:c>
      <x:c r="L896" s="87" t="str">
        <x:v>CROP_VERIFIED</x:v>
      </x:c>
      <x:c r="M896" s="87" t="str">
        <x:v>ORIGINAL_PACKAGE</x:v>
      </x:c>
      <x:c r="N896" s="87" t="str">
        <x:v>pages/VIS-EGKR-RUS-W25-KEY-ALL-P003.png</x:v>
      </x:c>
      <x:c r="O896" s="87" t="str">
        <x:v>thumbnails/VIS-EGKR-RUS-W25-KEY-ALL-P003.jpg</x:v>
      </x:c>
      <x:c r="P896" s="87" t="str">
        <x:v>6a4c155f53f50cd32312ba9d3a746ae1892f41828cae5fe03deaa90a0a10d711</x:v>
      </x:c>
      <x:c r="Q896" s="30" t="str">
        <x:v>incoming/raw/recovery-drop-01/russian_egkr_winter_visual_assets_v091.zip!/pages/VIS-EGKR-RUS-W25-KEY-ALL-P003.png</x:v>
      </x:c>
      <x:c r="R896" s="30" t="str">
        <x:v>MATCHED_ASSET</x:v>
      </x:c>
      <x:c r="S896" t="e">
        <x:f>HYPERLINK("visual_gallery/index.html#"&amp;A896,"Галерея")</x:f>
      </x:c>
    </x:row>
    <x:row r="897">
      <x:c r="A897" s="87" t="str">
        <x:v>VIS-EGKR-RUS-W25-MODEL-951-P001</x:v>
      </x:c>
      <x:c r="B897" s="30" t="str">
        <x:v>Русский язык</x:v>
      </x:c>
      <x:c r="C897" s="30"/>
      <x:c r="D897" s="30" t="str">
        <x:v>951</x:v>
      </x:c>
      <x:c r="E897" s="87" t="str">
        <x:v>MODEL</x:v>
      </x:c>
      <x:c r="F897" s="30" t="str">
        <x:v>Сочинение вариант 951.docx</x:v>
      </x:c>
      <x:c r="G897" s="87" t="str">
        <x:v>1</x:v>
      </x:c>
      <x:c r="H897" s="87" t="str">
        <x:v>v0.91</x:v>
      </x:c>
      <x:c r="I897" s="87" t="str">
        <x:v>1</x:v>
      </x:c>
      <x:c r="J897" s="30" t="str">
        <x:v>VIS_KEY / MODEL</x:v>
      </x:c>
      <x:c r="K897" s="30" t="str">
        <x:v>EGKR-W25-RUS-951-27</x:v>
      </x:c>
      <x:c r="L897" s="87" t="str">
        <x:v>CROP_VERIFIED</x:v>
      </x:c>
      <x:c r="M897" s="87" t="str">
        <x:v>ORIGINAL_PACKAGE</x:v>
      </x:c>
      <x:c r="N897" s="87" t="str">
        <x:v>pages/VIS-EGKR-RUS-W25-MODEL-951-P001.png</x:v>
      </x:c>
      <x:c r="O897" s="87" t="str">
        <x:v>thumbnails/VIS-EGKR-RUS-W25-MODEL-951-P001.jpg</x:v>
      </x:c>
      <x:c r="P897" s="87" t="str">
        <x:v>5630a101b845a6fa83ef8b57d574130997e7f4622d8f36ff6aa3fab2f825081f</x:v>
      </x:c>
      <x:c r="Q897" s="30" t="str">
        <x:v>incoming/raw/recovery-drop-01/russian_egkr_winter_visual_assets_v091.zip!/pages/VIS-EGKR-RUS-W25-MODEL-951-P001.png</x:v>
      </x:c>
      <x:c r="R897" s="30" t="str">
        <x:v>MATCHED_ASSET</x:v>
      </x:c>
      <x:c r="S897" t="e">
        <x:f>HYPERLINK("visual_gallery/index.html#"&amp;A897,"Галерея")</x:f>
      </x:c>
    </x:row>
    <x:row r="898">
      <x:c r="A898" s="87" t="str">
        <x:v>VIS-EGKR-RUS-W25-MODEL-951-P002</x:v>
      </x:c>
      <x:c r="B898" s="30" t="str"/>
      <x:c r="C898" s="30"/>
      <x:c r="D898" s="30" t="str">
        <x:v>951</x:v>
      </x:c>
      <x:c r="E898" s="87" t="str">
        <x:v>MODEL</x:v>
      </x:c>
      <x:c r="F898" s="30" t="str">
        <x:v>Сочинение вариант 951.docx</x:v>
      </x:c>
      <x:c r="G898" s="87" t="str">
        <x:v>2</x:v>
      </x:c>
      <x:c r="H898" s="87" t="str">
        <x:v>v0.91</x:v>
      </x:c>
      <x:c r="I898" s="87" t="str">
        <x:v>0</x:v>
      </x:c>
      <x:c r="J898" s="30" t="str"/>
      <x:c r="K898" s="30" t="str"/>
      <x:c r="L898" s="87" t="str">
        <x:v>CROP_VERIFIED</x:v>
      </x:c>
      <x:c r="M898" s="87" t="str">
        <x:v>ORIGINAL_PACKAGE</x:v>
      </x:c>
      <x:c r="N898" s="87" t="str">
        <x:v>pages/VIS-EGKR-RUS-W25-MODEL-951-P002.png</x:v>
      </x:c>
      <x:c r="O898" s="87" t="str">
        <x:v>thumbnails/VIS-EGKR-RUS-W25-MODEL-951-P002.jpg</x:v>
      </x:c>
      <x:c r="P898" s="87" t="str">
        <x:v>193f7c7953b87e8b17e98c1809c11bed1203362707956aef52d477dde3dac922</x:v>
      </x:c>
      <x:c r="Q898" s="30" t="str">
        <x:v>incoming/raw/recovery-drop-01/russian_egkr_winter_visual_assets_v091.zip!/pages/VIS-EGKR-RUS-W25-MODEL-951-P002.png</x:v>
      </x:c>
      <x:c r="R898" s="30" t="str">
        <x:v>RESOLVED_UNLINKED_REGISTRY_VISUAL</x:v>
      </x:c>
      <x:c r="S898" t="e">
        <x:f>HYPERLINK("visual_gallery/index.html#"&amp;A898,"Галерея")</x:f>
      </x:c>
    </x:row>
    <x:row r="899">
      <x:c r="A899" s="87" t="str">
        <x:v>VIS-EGKR-RUS-W25-MODEL-952-P001</x:v>
      </x:c>
      <x:c r="B899" s="30" t="str">
        <x:v>Русский язык</x:v>
      </x:c>
      <x:c r="C899" s="30"/>
      <x:c r="D899" s="30" t="str">
        <x:v>952</x:v>
      </x:c>
      <x:c r="E899" s="87" t="str">
        <x:v>MODEL</x:v>
      </x:c>
      <x:c r="F899" s="30" t="str">
        <x:v>Сочинение вариант 952.docx</x:v>
      </x:c>
      <x:c r="G899" s="87" t="str">
        <x:v>1</x:v>
      </x:c>
      <x:c r="H899" s="87" t="str">
        <x:v>v0.91</x:v>
      </x:c>
      <x:c r="I899" s="87" t="str">
        <x:v>1</x:v>
      </x:c>
      <x:c r="J899" s="30" t="str">
        <x:v>VIS_KEY / MODEL</x:v>
      </x:c>
      <x:c r="K899" s="30" t="str">
        <x:v>EGKR-W25-RUS-952-27</x:v>
      </x:c>
      <x:c r="L899" s="87" t="str">
        <x:v>CROP_VERIFIED</x:v>
      </x:c>
      <x:c r="M899" s="87" t="str">
        <x:v>ORIGINAL_PACKAGE</x:v>
      </x:c>
      <x:c r="N899" s="87" t="str">
        <x:v>pages/VIS-EGKR-RUS-W25-MODEL-952-P001.png</x:v>
      </x:c>
      <x:c r="O899" s="87" t="str">
        <x:v>thumbnails/VIS-EGKR-RUS-W25-MODEL-952-P001.jpg</x:v>
      </x:c>
      <x:c r="P899" s="87" t="str">
        <x:v>0d303a4bcb675629fcc17f396f3c3a19483499d5b23f8a6704978c1030a97ae8</x:v>
      </x:c>
      <x:c r="Q899" s="30" t="str">
        <x:v>incoming/raw/recovery-drop-01/russian_egkr_winter_visual_assets_v091.zip!/pages/VIS-EGKR-RUS-W25-MODEL-952-P001.png</x:v>
      </x:c>
      <x:c r="R899" s="30" t="str">
        <x:v>MATCHED_ASSET</x:v>
      </x:c>
      <x:c r="S899" t="e">
        <x:f>HYPERLINK("visual_gallery/index.html#"&amp;A899,"Галерея")</x:f>
      </x:c>
    </x:row>
    <x:row r="900">
      <x:c r="A900" s="87" t="str">
        <x:v>VIS-EGKR-RUS-W25-MODEL-952-P002</x:v>
      </x:c>
      <x:c r="B900" s="30" t="str"/>
      <x:c r="C900" s="30"/>
      <x:c r="D900" s="30" t="str">
        <x:v>952</x:v>
      </x:c>
      <x:c r="E900" s="87" t="str">
        <x:v>MODEL</x:v>
      </x:c>
      <x:c r="F900" s="30" t="str">
        <x:v>Сочинение вариант 952.docx</x:v>
      </x:c>
      <x:c r="G900" s="87" t="str">
        <x:v>2</x:v>
      </x:c>
      <x:c r="H900" s="87" t="str">
        <x:v>v0.91</x:v>
      </x:c>
      <x:c r="I900" s="87" t="str">
        <x:v>0</x:v>
      </x:c>
      <x:c r="J900" s="30" t="str"/>
      <x:c r="K900" s="30" t="str"/>
      <x:c r="L900" s="87" t="str">
        <x:v>CROP_VERIFIED</x:v>
      </x:c>
      <x:c r="M900" s="87" t="str">
        <x:v>ORIGINAL_PACKAGE</x:v>
      </x:c>
      <x:c r="N900" s="87" t="str">
        <x:v>pages/VIS-EGKR-RUS-W25-MODEL-952-P002.png</x:v>
      </x:c>
      <x:c r="O900" s="87" t="str">
        <x:v>thumbnails/VIS-EGKR-RUS-W25-MODEL-952-P002.jpg</x:v>
      </x:c>
      <x:c r="P900" s="87" t="str">
        <x:v>860418558bcded2dae0c03ca30f0733127d3fb4273da6c82c87318d1e38994ad</x:v>
      </x:c>
      <x:c r="Q900" s="30" t="str">
        <x:v>incoming/raw/recovery-drop-01/russian_egkr_winter_visual_assets_v091.zip!/pages/VIS-EGKR-RUS-W25-MODEL-952-P002.png</x:v>
      </x:c>
      <x:c r="R900" s="30" t="str">
        <x:v>RESOLVED_UNLINKED_REGISTRY_VISUAL</x:v>
      </x:c>
      <x:c r="S900" t="e">
        <x:f>HYPERLINK("visual_gallery/index.html#"&amp;A900,"Галерея")</x:f>
      </x:c>
    </x:row>
    <x:row r="901">
      <x:c r="A901" s="87" t="str">
        <x:v>VIS-EGKR-RUS-W25-MODEL-953-P001</x:v>
      </x:c>
      <x:c r="B901" s="30" t="str">
        <x:v>Русский язык</x:v>
      </x:c>
      <x:c r="C901" s="30"/>
      <x:c r="D901" s="30" t="str">
        <x:v>953</x:v>
      </x:c>
      <x:c r="E901" s="87" t="str">
        <x:v>MODEL</x:v>
      </x:c>
      <x:c r="F901" s="30" t="str">
        <x:v>Сочинение Вариант 953.docx</x:v>
      </x:c>
      <x:c r="G901" s="87" t="str">
        <x:v>1</x:v>
      </x:c>
      <x:c r="H901" s="87" t="str">
        <x:v>v0.91</x:v>
      </x:c>
      <x:c r="I901" s="87" t="str">
        <x:v>1</x:v>
      </x:c>
      <x:c r="J901" s="30" t="str">
        <x:v>VIS_KEY / MODEL</x:v>
      </x:c>
      <x:c r="K901" s="30" t="str">
        <x:v>EGKR-W25-RUS-953-27</x:v>
      </x:c>
      <x:c r="L901" s="87" t="str">
        <x:v>CROP_VERIFIED</x:v>
      </x:c>
      <x:c r="M901" s="87" t="str">
        <x:v>ORIGINAL_PACKAGE</x:v>
      </x:c>
      <x:c r="N901" s="87" t="str">
        <x:v>pages/VIS-EGKR-RUS-W25-MODEL-953-P001.png</x:v>
      </x:c>
      <x:c r="O901" s="87" t="str">
        <x:v>thumbnails/VIS-EGKR-RUS-W25-MODEL-953-P001.jpg</x:v>
      </x:c>
      <x:c r="P901" s="87" t="str">
        <x:v>d50b5f123099aa3ae62348277d0ef1ec0689b606a1cbddc0882d9651dff0799b</x:v>
      </x:c>
      <x:c r="Q901" s="30" t="str">
        <x:v>incoming/raw/recovery-drop-01/russian_egkr_winter_visual_assets_v091.zip!/pages/VIS-EGKR-RUS-W25-MODEL-953-P001.png</x:v>
      </x:c>
      <x:c r="R901" s="30" t="str">
        <x:v>MATCHED_ASSET</x:v>
      </x:c>
      <x:c r="S901" t="e">
        <x:f>HYPERLINK("visual_gallery/index.html#"&amp;A901,"Галерея")</x:f>
      </x:c>
    </x:row>
    <x:row r="902">
      <x:c r="A902" s="87" t="str">
        <x:v>VIS-EGKR-RUS-W25-MODEL-953-P002</x:v>
      </x:c>
      <x:c r="B902" s="30" t="str"/>
      <x:c r="C902" s="30"/>
      <x:c r="D902" s="30" t="str">
        <x:v>953</x:v>
      </x:c>
      <x:c r="E902" s="87" t="str">
        <x:v>MODEL</x:v>
      </x:c>
      <x:c r="F902" s="30" t="str">
        <x:v>Сочинение Вариант 953.docx</x:v>
      </x:c>
      <x:c r="G902" s="87" t="str">
        <x:v>2</x:v>
      </x:c>
      <x:c r="H902" s="87" t="str">
        <x:v>v0.91</x:v>
      </x:c>
      <x:c r="I902" s="87" t="str">
        <x:v>0</x:v>
      </x:c>
      <x:c r="J902" s="30" t="str"/>
      <x:c r="K902" s="30" t="str"/>
      <x:c r="L902" s="87" t="str">
        <x:v>CROP_VERIFIED</x:v>
      </x:c>
      <x:c r="M902" s="87" t="str">
        <x:v>ORIGINAL_PACKAGE</x:v>
      </x:c>
      <x:c r="N902" s="87" t="str">
        <x:v>pages/VIS-EGKR-RUS-W25-MODEL-953-P002.png</x:v>
      </x:c>
      <x:c r="O902" s="87" t="str">
        <x:v>thumbnails/VIS-EGKR-RUS-W25-MODEL-953-P002.jpg</x:v>
      </x:c>
      <x:c r="P902" s="87" t="str">
        <x:v>f0479a12b254f4784fd2b372749d1049f5188896d63d3693913c7807a93c8b4f</x:v>
      </x:c>
      <x:c r="Q902" s="30" t="str">
        <x:v>incoming/raw/recovery-drop-01/russian_egkr_winter_visual_assets_v091.zip!/pages/VIS-EGKR-RUS-W25-MODEL-953-P002.png</x:v>
      </x:c>
      <x:c r="R902" s="30" t="str">
        <x:v>RESOLVED_UNLINKED_REGISTRY_VISUAL</x:v>
      </x:c>
      <x:c r="S902" t="e">
        <x:f>HYPERLINK("visual_gallery/index.html#"&amp;A902,"Галерея")</x:f>
      </x:c>
    </x:row>
    <x:row r="903">
      <x:c r="A903" s="87" t="str">
        <x:v>VIS-EGKR-RUS-W25-MODEL-954-P001</x:v>
      </x:c>
      <x:c r="B903" s="30" t="str">
        <x:v>Русский язык</x:v>
      </x:c>
      <x:c r="C903" s="30"/>
      <x:c r="D903" s="30" t="str">
        <x:v>954</x:v>
      </x:c>
      <x:c r="E903" s="87" t="str">
        <x:v>MODEL</x:v>
      </x:c>
      <x:c r="F903" s="30" t="str">
        <x:v>Сочинение Вариант 954.docx</x:v>
      </x:c>
      <x:c r="G903" s="87" t="str">
        <x:v>1</x:v>
      </x:c>
      <x:c r="H903" s="87" t="str">
        <x:v>v0.91</x:v>
      </x:c>
      <x:c r="I903" s="87" t="str">
        <x:v>1</x:v>
      </x:c>
      <x:c r="J903" s="30" t="str">
        <x:v>VIS_KEY / MODEL</x:v>
      </x:c>
      <x:c r="K903" s="30" t="str">
        <x:v>EGKR-W25-RUS-954-27</x:v>
      </x:c>
      <x:c r="L903" s="87" t="str">
        <x:v>CROP_VERIFIED</x:v>
      </x:c>
      <x:c r="M903" s="87" t="str">
        <x:v>ORIGINAL_PACKAGE</x:v>
      </x:c>
      <x:c r="N903" s="87" t="str">
        <x:v>pages/VIS-EGKR-RUS-W25-MODEL-954-P001.png</x:v>
      </x:c>
      <x:c r="O903" s="87" t="str">
        <x:v>thumbnails/VIS-EGKR-RUS-W25-MODEL-954-P001.jpg</x:v>
      </x:c>
      <x:c r="P903" s="87" t="str">
        <x:v>93af5360f8f9e140c6b00bddc69ddc3a83bd4e91af06e5eaadf6a0ce037f3303</x:v>
      </x:c>
      <x:c r="Q903" s="30" t="str">
        <x:v>incoming/raw/recovery-drop-01/russian_egkr_winter_visual_assets_v091.zip!/pages/VIS-EGKR-RUS-W25-MODEL-954-P001.png</x:v>
      </x:c>
      <x:c r="R903" s="30" t="str">
        <x:v>MATCHED_ASSET</x:v>
      </x:c>
      <x:c r="S903" t="e">
        <x:f>HYPERLINK("visual_gallery/index.html#"&amp;A903,"Галерея")</x:f>
      </x:c>
    </x:row>
    <x:row r="904">
      <x:c r="A904" s="87" t="str">
        <x:v>VIS-EGKR-RUS-W25-MODEL-954-P002</x:v>
      </x:c>
      <x:c r="B904" s="30" t="str"/>
      <x:c r="C904" s="30"/>
      <x:c r="D904" s="30" t="str">
        <x:v>954</x:v>
      </x:c>
      <x:c r="E904" s="87" t="str">
        <x:v>MODEL</x:v>
      </x:c>
      <x:c r="F904" s="30" t="str">
        <x:v>Сочинение Вариант 954.docx</x:v>
      </x:c>
      <x:c r="G904" s="87" t="str">
        <x:v>2</x:v>
      </x:c>
      <x:c r="H904" s="87" t="str">
        <x:v>v0.91</x:v>
      </x:c>
      <x:c r="I904" s="87" t="str">
        <x:v>0</x:v>
      </x:c>
      <x:c r="J904" s="30" t="str"/>
      <x:c r="K904" s="30" t="str"/>
      <x:c r="L904" s="87" t="str">
        <x:v>CROP_VERIFIED</x:v>
      </x:c>
      <x:c r="M904" s="87" t="str">
        <x:v>ORIGINAL_PACKAGE</x:v>
      </x:c>
      <x:c r="N904" s="87" t="str">
        <x:v>pages/VIS-EGKR-RUS-W25-MODEL-954-P002.png</x:v>
      </x:c>
      <x:c r="O904" s="87" t="str">
        <x:v>thumbnails/VIS-EGKR-RUS-W25-MODEL-954-P002.jpg</x:v>
      </x:c>
      <x:c r="P904" s="87" t="str">
        <x:v>19699ca7a0bed3c9d73b3aed901cbcfb77fb8f2d653c0d72d2ce1ee837499dad</x:v>
      </x:c>
      <x:c r="Q904" s="30" t="str">
        <x:v>incoming/raw/recovery-drop-01/russian_egkr_winter_visual_assets_v091.zip!/pages/VIS-EGKR-RUS-W25-MODEL-954-P002.png</x:v>
      </x:c>
      <x:c r="R904" s="30" t="str">
        <x:v>RESOLVED_UNLINKED_REGISTRY_VISUAL</x:v>
      </x:c>
      <x:c r="S904" t="e">
        <x:f>HYPERLINK("visual_gallery/index.html#"&amp;A904,"Галерея")</x:f>
      </x:c>
    </x:row>
    <x:row r="905">
      <x:c r="A905" s="87" t="str">
        <x:v>VIS-EGKR-RUS-W25-MODEL-956-P001</x:v>
      </x:c>
      <x:c r="B905" s="30" t="str">
        <x:v>Русский язык</x:v>
      </x:c>
      <x:c r="C905" s="30"/>
      <x:c r="D905" s="30" t="str">
        <x:v>956</x:v>
      </x:c>
      <x:c r="E905" s="87" t="str">
        <x:v>MODEL</x:v>
      </x:c>
      <x:c r="F905" s="30" t="str">
        <x:v>Сочинение Вариант 956.docx</x:v>
      </x:c>
      <x:c r="G905" s="87" t="str">
        <x:v>1</x:v>
      </x:c>
      <x:c r="H905" s="87" t="str">
        <x:v>v0.91</x:v>
      </x:c>
      <x:c r="I905" s="87" t="str">
        <x:v>1</x:v>
      </x:c>
      <x:c r="J905" s="30" t="str">
        <x:v>VIS_KEY / MODEL</x:v>
      </x:c>
      <x:c r="K905" s="30" t="str">
        <x:v>EGKR-W25-RUS-956-27</x:v>
      </x:c>
      <x:c r="L905" s="87" t="str">
        <x:v>CROP_VERIFIED</x:v>
      </x:c>
      <x:c r="M905" s="87" t="str">
        <x:v>ORIGINAL_PACKAGE</x:v>
      </x:c>
      <x:c r="N905" s="87" t="str">
        <x:v>pages/VIS-EGKR-RUS-W25-MODEL-956-P001.png</x:v>
      </x:c>
      <x:c r="O905" s="87" t="str">
        <x:v>thumbnails/VIS-EGKR-RUS-W25-MODEL-956-P001.jpg</x:v>
      </x:c>
      <x:c r="P905" s="87" t="str">
        <x:v>3009930dd9d5bc63ecefe9fe456022403446401c9caf9d372715dc31b9ac8a18</x:v>
      </x:c>
      <x:c r="Q905" s="30" t="str">
        <x:v>incoming/raw/recovery-drop-01/russian_egkr_winter_visual_assets_v091.zip!/pages/VIS-EGKR-RUS-W25-MODEL-956-P001.png</x:v>
      </x:c>
      <x:c r="R905" s="30" t="str">
        <x:v>MATCHED_ASSET</x:v>
      </x:c>
      <x:c r="S905" t="e">
        <x:f>HYPERLINK("visual_gallery/index.html#"&amp;A905,"Галерея")</x:f>
      </x:c>
    </x:row>
    <x:row r="906">
      <x:c r="A906" s="87" t="str">
        <x:v>VIS-EGKR-RUS-W25-MODEL-956-P002</x:v>
      </x:c>
      <x:c r="B906" s="30" t="str"/>
      <x:c r="C906" s="30"/>
      <x:c r="D906" s="30" t="str">
        <x:v>956</x:v>
      </x:c>
      <x:c r="E906" s="87" t="str">
        <x:v>MODEL</x:v>
      </x:c>
      <x:c r="F906" s="30" t="str">
        <x:v>Сочинение Вариант 956.docx</x:v>
      </x:c>
      <x:c r="G906" s="87" t="str">
        <x:v>2</x:v>
      </x:c>
      <x:c r="H906" s="87" t="str">
        <x:v>v0.91</x:v>
      </x:c>
      <x:c r="I906" s="87" t="str">
        <x:v>0</x:v>
      </x:c>
      <x:c r="J906" s="30" t="str"/>
      <x:c r="K906" s="30" t="str"/>
      <x:c r="L906" s="87" t="str">
        <x:v>CROP_VERIFIED</x:v>
      </x:c>
      <x:c r="M906" s="87" t="str">
        <x:v>ORIGINAL_PACKAGE</x:v>
      </x:c>
      <x:c r="N906" s="87" t="str">
        <x:v>pages/VIS-EGKR-RUS-W25-MODEL-956-P002.png</x:v>
      </x:c>
      <x:c r="O906" s="87" t="str">
        <x:v>thumbnails/VIS-EGKR-RUS-W25-MODEL-956-P002.jpg</x:v>
      </x:c>
      <x:c r="P906" s="87" t="str">
        <x:v>cf0180b2ebf6fd6b0dbf873ebdc2d0dd8e197ed8847ba5088568b1340a73abe9</x:v>
      </x:c>
      <x:c r="Q906" s="30" t="str">
        <x:v>incoming/raw/recovery-drop-01/russian_egkr_winter_visual_assets_v091.zip!/pages/VIS-EGKR-RUS-W25-MODEL-956-P002.png</x:v>
      </x:c>
      <x:c r="R906" s="30" t="str">
        <x:v>RESOLVED_UNLINKED_REGISTRY_VISUAL</x:v>
      </x:c>
      <x:c r="S906" t="e">
        <x:f>HYPERLINK("visual_gallery/index.html#"&amp;A906,"Галерея")</x:f>
      </x:c>
    </x:row>
    <x:row r="907">
      <x:c r="A907" s="87" t="str">
        <x:v>VIS-EGKR-RUS-W25-MODEL-957-P001</x:v>
      </x:c>
      <x:c r="B907" s="30" t="str">
        <x:v>Русский язык</x:v>
      </x:c>
      <x:c r="C907" s="30"/>
      <x:c r="D907" s="30" t="str">
        <x:v>957</x:v>
      </x:c>
      <x:c r="E907" s="87" t="str">
        <x:v>MODEL</x:v>
      </x:c>
      <x:c r="F907" s="30" t="str">
        <x:v>Сочинение Вариант 957.docx</x:v>
      </x:c>
      <x:c r="G907" s="87" t="str">
        <x:v>1</x:v>
      </x:c>
      <x:c r="H907" s="87" t="str">
        <x:v>v0.91</x:v>
      </x:c>
      <x:c r="I907" s="87" t="str">
        <x:v>1</x:v>
      </x:c>
      <x:c r="J907" s="30" t="str">
        <x:v>VIS_KEY / MODEL</x:v>
      </x:c>
      <x:c r="K907" s="30" t="str">
        <x:v>EGKR-W25-RUS-957-27</x:v>
      </x:c>
      <x:c r="L907" s="87" t="str">
        <x:v>CROP_VERIFIED</x:v>
      </x:c>
      <x:c r="M907" s="87" t="str">
        <x:v>ORIGINAL_PACKAGE</x:v>
      </x:c>
      <x:c r="N907" s="87" t="str">
        <x:v>pages/VIS-EGKR-RUS-W25-MODEL-957-P001.png</x:v>
      </x:c>
      <x:c r="O907" s="87" t="str">
        <x:v>thumbnails/VIS-EGKR-RUS-W25-MODEL-957-P001.jpg</x:v>
      </x:c>
      <x:c r="P907" s="87" t="str">
        <x:v>fbda757dc1c94df3ee7e9da46bb045342345ef9d51ea1d5b87560fffce5dd582</x:v>
      </x:c>
      <x:c r="Q907" s="30" t="str">
        <x:v>incoming/raw/recovery-drop-01/russian_egkr_winter_visual_assets_v091.zip!/pages/VIS-EGKR-RUS-W25-MODEL-957-P001.png</x:v>
      </x:c>
      <x:c r="R907" s="30" t="str">
        <x:v>MATCHED_ASSET</x:v>
      </x:c>
      <x:c r="S907" t="e">
        <x:f>HYPERLINK("visual_gallery/index.html#"&amp;A907,"Галерея")</x:f>
      </x:c>
    </x:row>
    <x:row r="908">
      <x:c r="A908" s="87" t="str">
        <x:v>VIS-EGKR-RUS-W25-MODEL-957-P002</x:v>
      </x:c>
      <x:c r="B908" s="30" t="str"/>
      <x:c r="C908" s="30"/>
      <x:c r="D908" s="30" t="str">
        <x:v>957</x:v>
      </x:c>
      <x:c r="E908" s="87" t="str">
        <x:v>MODEL</x:v>
      </x:c>
      <x:c r="F908" s="30" t="str">
        <x:v>Сочинение Вариант 957.docx</x:v>
      </x:c>
      <x:c r="G908" s="87" t="str">
        <x:v>2</x:v>
      </x:c>
      <x:c r="H908" s="87" t="str">
        <x:v>v0.91</x:v>
      </x:c>
      <x:c r="I908" s="87" t="str">
        <x:v>0</x:v>
      </x:c>
      <x:c r="J908" s="30" t="str"/>
      <x:c r="K908" s="30" t="str"/>
      <x:c r="L908" s="87" t="str">
        <x:v>CROP_VERIFIED</x:v>
      </x:c>
      <x:c r="M908" s="87" t="str">
        <x:v>ORIGINAL_PACKAGE</x:v>
      </x:c>
      <x:c r="N908" s="87" t="str">
        <x:v>pages/VIS-EGKR-RUS-W25-MODEL-957-P002.png</x:v>
      </x:c>
      <x:c r="O908" s="87" t="str">
        <x:v>thumbnails/VIS-EGKR-RUS-W25-MODEL-957-P002.jpg</x:v>
      </x:c>
      <x:c r="P908" s="87" t="str">
        <x:v>86829f11738644bfe98ab94c48b60560f8aaa3c9e02d9f05ae501c06c9928612</x:v>
      </x:c>
      <x:c r="Q908" s="30" t="str">
        <x:v>incoming/raw/recovery-drop-01/russian_egkr_winter_visual_assets_v091.zip!/pages/VIS-EGKR-RUS-W25-MODEL-957-P002.png</x:v>
      </x:c>
      <x:c r="R908" s="30" t="str">
        <x:v>RESOLVED_UNLINKED_REGISTRY_VISUAL</x:v>
      </x:c>
      <x:c r="S908" t="e">
        <x:f>HYPERLINK("visual_gallery/index.html#"&amp;A908,"Галерея")</x:f>
      </x:c>
    </x:row>
    <x:row r="909">
      <x:c r="A909" s="87" t="str">
        <x:v>VIS-EGKR-RUS-W25-MODEL-958-P001</x:v>
      </x:c>
      <x:c r="B909" s="30" t="str">
        <x:v>Русский язык</x:v>
      </x:c>
      <x:c r="C909" s="30"/>
      <x:c r="D909" s="30" t="str">
        <x:v>958</x:v>
      </x:c>
      <x:c r="E909" s="87" t="str">
        <x:v>MODEL</x:v>
      </x:c>
      <x:c r="F909" s="30" t="str">
        <x:v>Сочинение вариант 958.docx</x:v>
      </x:c>
      <x:c r="G909" s="87" t="str">
        <x:v>1</x:v>
      </x:c>
      <x:c r="H909" s="87" t="str">
        <x:v>v0.91</x:v>
      </x:c>
      <x:c r="I909" s="87" t="str">
        <x:v>1</x:v>
      </x:c>
      <x:c r="J909" s="30" t="str">
        <x:v>VIS_KEY / MODEL</x:v>
      </x:c>
      <x:c r="K909" s="30" t="str">
        <x:v>EGKR-W25-RUS-958-27</x:v>
      </x:c>
      <x:c r="L909" s="87" t="str">
        <x:v>CROP_VERIFIED</x:v>
      </x:c>
      <x:c r="M909" s="87" t="str">
        <x:v>ORIGINAL_PACKAGE</x:v>
      </x:c>
      <x:c r="N909" s="87" t="str">
        <x:v>pages/VIS-EGKR-RUS-W25-MODEL-958-P001.png</x:v>
      </x:c>
      <x:c r="O909" s="87" t="str">
        <x:v>thumbnails/VIS-EGKR-RUS-W25-MODEL-958-P001.jpg</x:v>
      </x:c>
      <x:c r="P909" s="87" t="str">
        <x:v>fc63056c3a453fab068ec49192a30e012c4ba8ee81c5ba80026ddb18be5235eb</x:v>
      </x:c>
      <x:c r="Q909" s="30" t="str">
        <x:v>incoming/raw/recovery-drop-01/russian_egkr_winter_visual_assets_v091.zip!/pages/VIS-EGKR-RUS-W25-MODEL-958-P001.png</x:v>
      </x:c>
      <x:c r="R909" s="30" t="str">
        <x:v>MATCHED_ASSET</x:v>
      </x:c>
      <x:c r="S909" t="e">
        <x:f>HYPERLINK("visual_gallery/index.html#"&amp;A909,"Галерея")</x:f>
      </x:c>
    </x:row>
    <x:row r="910">
      <x:c r="A910" s="87" t="str">
        <x:v>VIS-EGKR-RUS-W25-MODEL-958-P002</x:v>
      </x:c>
      <x:c r="B910" s="30" t="str"/>
      <x:c r="C910" s="30"/>
      <x:c r="D910" s="30" t="str">
        <x:v>958</x:v>
      </x:c>
      <x:c r="E910" s="87" t="str">
        <x:v>MODEL</x:v>
      </x:c>
      <x:c r="F910" s="30" t="str">
        <x:v>Сочинение вариант 958.docx</x:v>
      </x:c>
      <x:c r="G910" s="87" t="str">
        <x:v>2</x:v>
      </x:c>
      <x:c r="H910" s="87" t="str">
        <x:v>v0.91</x:v>
      </x:c>
      <x:c r="I910" s="87" t="str">
        <x:v>0</x:v>
      </x:c>
      <x:c r="J910" s="30" t="str"/>
      <x:c r="K910" s="30" t="str"/>
      <x:c r="L910" s="87" t="str">
        <x:v>CROP_VERIFIED</x:v>
      </x:c>
      <x:c r="M910" s="87" t="str">
        <x:v>ORIGINAL_PACKAGE</x:v>
      </x:c>
      <x:c r="N910" s="87" t="str">
        <x:v>pages/VIS-EGKR-RUS-W25-MODEL-958-P002.png</x:v>
      </x:c>
      <x:c r="O910" s="87" t="str">
        <x:v>thumbnails/VIS-EGKR-RUS-W25-MODEL-958-P002.jpg</x:v>
      </x:c>
      <x:c r="P910" s="87" t="str">
        <x:v>247ec39668d7fb5474a2a4acc8392c1da20a311a779faab2814d2ea884d56b1a</x:v>
      </x:c>
      <x:c r="Q910" s="30" t="str">
        <x:v>incoming/raw/recovery-drop-01/russian_egkr_winter_visual_assets_v091.zip!/pages/VIS-EGKR-RUS-W25-MODEL-958-P002.png</x:v>
      </x:c>
      <x:c r="R910" s="30" t="str">
        <x:v>RESOLVED_UNLINKED_REGISTRY_VISUAL</x:v>
      </x:c>
      <x:c r="S910" t="e">
        <x:f>HYPERLINK("visual_gallery/index.html#"&amp;A910,"Галерея")</x:f>
      </x:c>
    </x:row>
    <x:row r="911">
      <x:c r="A911" s="87" t="str">
        <x:v>VIS-EGKR-RUS-W25-TASK-901-P001</x:v>
      </x:c>
      <x:c r="B911" s="30" t="str">
        <x:v>Русский язык</x:v>
      </x:c>
      <x:c r="C911" s="30"/>
      <x:c r="D911" s="30" t="str">
        <x:v>901</x:v>
      </x:c>
      <x:c r="E911" s="87" t="str">
        <x:v>TASK</x:v>
      </x:c>
      <x:c r="F911" s="30" t="str">
        <x:v>Вариант_901.pdf</x:v>
      </x:c>
      <x:c r="G911" s="87" t="str">
        <x:v>1</x:v>
      </x:c>
      <x:c r="H911" s="87" t="str">
        <x:v>v0.91</x:v>
      </x:c>
      <x:c r="I911" s="87" t="str">
        <x:v>1</x:v>
      </x:c>
      <x:c r="J911" s="30" t="str">
        <x:v>VIS_ID</x:v>
      </x:c>
      <x:c r="K911" s="30" t="str">
        <x:v>EGKR-W25-RUS-901-01</x:v>
      </x:c>
      <x:c r="L911" s="87" t="str">
        <x:v>CROP_VERIFIED</x:v>
      </x:c>
      <x:c r="M911" s="87" t="str">
        <x:v>ORIGINAL_PACKAGE</x:v>
      </x:c>
      <x:c r="N911" s="87" t="str">
        <x:v>pages/VIS-EGKR-RUS-W25-TASK-901-P001.png</x:v>
      </x:c>
      <x:c r="O911" s="87" t="str">
        <x:v>thumbnails/VIS-EGKR-RUS-W25-TASK-901-P001.jpg</x:v>
      </x:c>
      <x:c r="P911" s="87" t="str">
        <x:v>b9948a25c8bb10a6cf8d5d1ef30d05bc95338786eba53ec1e8205a0209b7d553</x:v>
      </x:c>
      <x:c r="Q911" s="30" t="str">
        <x:v>incoming/raw/recovery-drop-01/russian_egkr_winter_visual_assets_v091.zip!/pages/VIS-EGKR-RUS-W25-TASK-901-P001.png</x:v>
      </x:c>
      <x:c r="R911" s="30" t="str">
        <x:v>MATCHED_ASSET</x:v>
      </x:c>
      <x:c r="S911" t="e">
        <x:f>HYPERLINK("visual_gallery/index.html#"&amp;A911,"Галерея")</x:f>
      </x:c>
    </x:row>
    <x:row r="912">
      <x:c r="A912" s="87" t="str">
        <x:v>VIS-EGKR-RUS-W25-TASK-901-P002</x:v>
      </x:c>
      <x:c r="B912" s="30" t="str">
        <x:v>Русский язык</x:v>
      </x:c>
      <x:c r="C912" s="30"/>
      <x:c r="D912" s="30" t="str">
        <x:v>901</x:v>
      </x:c>
      <x:c r="E912" s="87" t="str">
        <x:v>TASK</x:v>
      </x:c>
      <x:c r="F912" s="30" t="str">
        <x:v>Вариант_901.pdf</x:v>
      </x:c>
      <x:c r="G912" s="87" t="str">
        <x:v>2</x:v>
      </x:c>
      <x:c r="H912" s="87" t="str">
        <x:v>v0.91</x:v>
      </x:c>
      <x:c r="I912" s="87" t="str">
        <x:v>4</x:v>
      </x:c>
      <x:c r="J912" s="30" t="str">
        <x:v>VIS_ID</x:v>
      </x:c>
      <x:c r="K912" s="30" t="str">
        <x:v>EGKR-W25-RUS-901-02, EGKR-W25-RUS-901-03, EGKR-W25-RUS-901-04, EGKR-W25-RUS-901-05</x:v>
      </x:c>
      <x:c r="L912" s="87" t="str">
        <x:v>CROP_VERIFIED</x:v>
      </x:c>
      <x:c r="M912" s="87" t="str">
        <x:v>ORIGINAL_PACKAGE</x:v>
      </x:c>
      <x:c r="N912" s="87" t="str">
        <x:v>pages/VIS-EGKR-RUS-W25-TASK-901-P002.png</x:v>
      </x:c>
      <x:c r="O912" s="87" t="str">
        <x:v>thumbnails/VIS-EGKR-RUS-W25-TASK-901-P002.jpg</x:v>
      </x:c>
      <x:c r="P912" s="87" t="str">
        <x:v>b8a7ddfd60a2bba507a7f55a0ba1c7db781ab34700b428fa2a883e45b2ef0408</x:v>
      </x:c>
      <x:c r="Q912" s="30" t="str">
        <x:v>incoming/raw/recovery-drop-01/russian_egkr_winter_visual_assets_v091.zip!/pages/VIS-EGKR-RUS-W25-TASK-901-P002.png</x:v>
      </x:c>
      <x:c r="R912" s="30" t="str">
        <x:v>MATCHED_ASSET</x:v>
      </x:c>
      <x:c r="S912" t="e">
        <x:f>HYPERLINK("visual_gallery/index.html#"&amp;A912,"Галерея")</x:f>
      </x:c>
    </x:row>
    <x:row r="913">
      <x:c r="A913" s="87" t="str">
        <x:v>VIS-EGKR-RUS-W25-TASK-901-P003</x:v>
      </x:c>
      <x:c r="B913" s="30" t="str">
        <x:v>Русский язык</x:v>
      </x:c>
      <x:c r="C913" s="30"/>
      <x:c r="D913" s="30" t="str">
        <x:v>901</x:v>
      </x:c>
      <x:c r="E913" s="87" t="str">
        <x:v>TASK</x:v>
      </x:c>
      <x:c r="F913" s="30" t="str">
        <x:v>Вариант_901.pdf</x:v>
      </x:c>
      <x:c r="G913" s="87" t="str">
        <x:v>3</x:v>
      </x:c>
      <x:c r="H913" s="87" t="str">
        <x:v>v0.91</x:v>
      </x:c>
      <x:c r="I913" s="87" t="str">
        <x:v>3</x:v>
      </x:c>
      <x:c r="J913" s="30" t="str">
        <x:v>VIS_ID</x:v>
      </x:c>
      <x:c r="K913" s="30" t="str">
        <x:v>EGKR-W25-RUS-901-06, EGKR-W25-RUS-901-07, EGKR-W25-RUS-901-08</x:v>
      </x:c>
      <x:c r="L913" s="87" t="str">
        <x:v>CROP_VERIFIED</x:v>
      </x:c>
      <x:c r="M913" s="87" t="str">
        <x:v>ORIGINAL_PACKAGE</x:v>
      </x:c>
      <x:c r="N913" s="87" t="str">
        <x:v>pages/VIS-EGKR-RUS-W25-TASK-901-P003.png</x:v>
      </x:c>
      <x:c r="O913" s="87" t="str">
        <x:v>thumbnails/VIS-EGKR-RUS-W25-TASK-901-P003.jpg</x:v>
      </x:c>
      <x:c r="P913" s="87" t="str">
        <x:v>d65129149386aec27467619153fb591aadfa2ff379d708688ad4a7b35db0fa25</x:v>
      </x:c>
      <x:c r="Q913" s="30" t="str">
        <x:v>incoming/raw/recovery-drop-01/russian_egkr_winter_visual_assets_v091.zip!/pages/VIS-EGKR-RUS-W25-TASK-901-P003.png</x:v>
      </x:c>
      <x:c r="R913" s="30" t="str">
        <x:v>MATCHED_ASSET</x:v>
      </x:c>
      <x:c r="S913" t="e">
        <x:f>HYPERLINK("visual_gallery/index.html#"&amp;A913,"Галерея")</x:f>
      </x:c>
    </x:row>
    <x:row r="914">
      <x:c r="A914" s="87" t="str">
        <x:v>VIS-EGKR-RUS-W25-TASK-901-P004</x:v>
      </x:c>
      <x:c r="B914" s="30" t="str">
        <x:v>Русский язык</x:v>
      </x:c>
      <x:c r="C914" s="30"/>
      <x:c r="D914" s="30" t="str">
        <x:v>901</x:v>
      </x:c>
      <x:c r="E914" s="87" t="str">
        <x:v>TASK</x:v>
      </x:c>
      <x:c r="F914" s="30" t="str">
        <x:v>Вариант_901.pdf</x:v>
      </x:c>
      <x:c r="G914" s="87" t="str">
        <x:v>4</x:v>
      </x:c>
      <x:c r="H914" s="87" t="str">
        <x:v>v0.91</x:v>
      </x:c>
      <x:c r="I914" s="87" t="str">
        <x:v>5</x:v>
      </x:c>
      <x:c r="J914" s="30" t="str">
        <x:v>VIS_ID</x:v>
      </x:c>
      <x:c r="K914" s="30" t="str">
        <x:v>EGKR-W25-RUS-901-09, EGKR-W25-RUS-901-10, EGKR-W25-RUS-901-11, EGKR-W25-RUS-901-12, EGKR-W25-RUS-901-13</x:v>
      </x:c>
      <x:c r="L914" s="87" t="str">
        <x:v>CROP_VERIFIED</x:v>
      </x:c>
      <x:c r="M914" s="87" t="str">
        <x:v>ORIGINAL_PACKAGE</x:v>
      </x:c>
      <x:c r="N914" s="87" t="str">
        <x:v>pages/VIS-EGKR-RUS-W25-TASK-901-P004.png</x:v>
      </x:c>
      <x:c r="O914" s="87" t="str">
        <x:v>thumbnails/VIS-EGKR-RUS-W25-TASK-901-P004.jpg</x:v>
      </x:c>
      <x:c r="P914" s="87" t="str">
        <x:v>f95bd2869ee5415bf44cba54b79509e35c4943f49e04eba72d84f3af1409cd22</x:v>
      </x:c>
      <x:c r="Q914" s="30" t="str">
        <x:v>incoming/raw/recovery-drop-01/russian_egkr_winter_visual_assets_v091.zip!/pages/VIS-EGKR-RUS-W25-TASK-901-P004.png</x:v>
      </x:c>
      <x:c r="R914" s="30" t="str">
        <x:v>MATCHED_ASSET</x:v>
      </x:c>
      <x:c r="S914" t="e">
        <x:f>HYPERLINK("visual_gallery/index.html#"&amp;A914,"Галерея")</x:f>
      </x:c>
    </x:row>
    <x:row r="915">
      <x:c r="A915" s="87" t="str">
        <x:v>VIS-EGKR-RUS-W25-TASK-901-P005</x:v>
      </x:c>
      <x:c r="B915" s="30" t="str">
        <x:v>Русский язык</x:v>
      </x:c>
      <x:c r="C915" s="30"/>
      <x:c r="D915" s="30" t="str">
        <x:v>901</x:v>
      </x:c>
      <x:c r="E915" s="87" t="str">
        <x:v>TASK</x:v>
      </x:c>
      <x:c r="F915" s="30" t="str">
        <x:v>Вариант_901.pdf</x:v>
      </x:c>
      <x:c r="G915" s="87" t="str">
        <x:v>5</x:v>
      </x:c>
      <x:c r="H915" s="87" t="str">
        <x:v>v0.91</x:v>
      </x:c>
      <x:c r="I915" s="87" t="str">
        <x:v>6</x:v>
      </x:c>
      <x:c r="J915" s="30" t="str">
        <x:v>VIS_ID</x:v>
      </x:c>
      <x:c r="K915" s="30" t="str">
        <x:v>EGKR-W25-RUS-901-14, EGKR-W25-RUS-901-15, EGKR-W25-RUS-901-16, EGKR-W25-RUS-901-17, EGKR-W25-RUS-901-18, EGKR-W25-RUS-901-19</x:v>
      </x:c>
      <x:c r="L915" s="87" t="str">
        <x:v>CROP_VERIFIED</x:v>
      </x:c>
      <x:c r="M915" s="87" t="str">
        <x:v>ORIGINAL_PACKAGE</x:v>
      </x:c>
      <x:c r="N915" s="87" t="str">
        <x:v>pages/VIS-EGKR-RUS-W25-TASK-901-P005.png</x:v>
      </x:c>
      <x:c r="O915" s="87" t="str">
        <x:v>thumbnails/VIS-EGKR-RUS-W25-TASK-901-P005.jpg</x:v>
      </x:c>
      <x:c r="P915" s="87" t="str">
        <x:v>bdf941f11115f99f7254c1c5ce221f7ceef0e9c119c2596cbd6f77254b42376e</x:v>
      </x:c>
      <x:c r="Q915" s="30" t="str">
        <x:v>incoming/raw/recovery-drop-01/russian_egkr_winter_visual_assets_v091.zip!/pages/VIS-EGKR-RUS-W25-TASK-901-P005.png</x:v>
      </x:c>
      <x:c r="R915" s="30" t="str">
        <x:v>MATCHED_ASSET</x:v>
      </x:c>
      <x:c r="S915" t="e">
        <x:f>HYPERLINK("visual_gallery/index.html#"&amp;A915,"Галерея")</x:f>
      </x:c>
    </x:row>
    <x:row r="916">
      <x:c r="A916" s="87" t="str">
        <x:v>VIS-EGKR-RUS-W25-TASK-901-P006</x:v>
      </x:c>
      <x:c r="B916" s="30" t="str">
        <x:v>Русский язык</x:v>
      </x:c>
      <x:c r="C916" s="30"/>
      <x:c r="D916" s="30" t="str">
        <x:v>901</x:v>
      </x:c>
      <x:c r="E916" s="87" t="str">
        <x:v>TASK</x:v>
      </x:c>
      <x:c r="F916" s="30" t="str">
        <x:v>Вариант_901.pdf</x:v>
      </x:c>
      <x:c r="G916" s="87" t="str">
        <x:v>6</x:v>
      </x:c>
      <x:c r="H916" s="87" t="str">
        <x:v>v0.91</x:v>
      </x:c>
      <x:c r="I916" s="87" t="str">
        <x:v>3</x:v>
      </x:c>
      <x:c r="J916" s="30" t="str">
        <x:v>VIS_ID</x:v>
      </x:c>
      <x:c r="K916" s="30" t="str">
        <x:v>EGKR-W25-RUS-901-20, EGKR-W25-RUS-901-21, EGKR-W25-RUS-901-22</x:v>
      </x:c>
      <x:c r="L916" s="87" t="str">
        <x:v>CROP_VERIFIED</x:v>
      </x:c>
      <x:c r="M916" s="87" t="str">
        <x:v>ORIGINAL_PACKAGE</x:v>
      </x:c>
      <x:c r="N916" s="87" t="str">
        <x:v>pages/VIS-EGKR-RUS-W25-TASK-901-P006.png</x:v>
      </x:c>
      <x:c r="O916" s="87" t="str">
        <x:v>thumbnails/VIS-EGKR-RUS-W25-TASK-901-P006.jpg</x:v>
      </x:c>
      <x:c r="P916" s="87" t="str">
        <x:v>820eefe38f37dfbd1d5302f9a291316582b241c903a9c11938d24256fe43726c</x:v>
      </x:c>
      <x:c r="Q916" s="30" t="str">
        <x:v>incoming/raw/recovery-drop-01/russian_egkr_winter_visual_assets_v091.zip!/pages/VIS-EGKR-RUS-W25-TASK-901-P006.png</x:v>
      </x:c>
      <x:c r="R916" s="30" t="str">
        <x:v>MATCHED_ASSET</x:v>
      </x:c>
      <x:c r="S916" t="e">
        <x:f>HYPERLINK("visual_gallery/index.html#"&amp;A916,"Галерея")</x:f>
      </x:c>
    </x:row>
    <x:row r="917">
      <x:c r="A917" s="87" t="str">
        <x:v>VIS-EGKR-RUS-W25-TASK-901-P007</x:v>
      </x:c>
      <x:c r="B917" s="30" t="str">
        <x:v>Русский язык</x:v>
      </x:c>
      <x:c r="C917" s="30"/>
      <x:c r="D917" s="30" t="str">
        <x:v>901</x:v>
      </x:c>
      <x:c r="E917" s="87" t="str">
        <x:v>TASK</x:v>
      </x:c>
      <x:c r="F917" s="30" t="str">
        <x:v>Вариант_901.pdf</x:v>
      </x:c>
      <x:c r="G917" s="87" t="str">
        <x:v>7</x:v>
      </x:c>
      <x:c r="H917" s="87" t="str">
        <x:v>v0.91</x:v>
      </x:c>
      <x:c r="I917" s="87" t="str">
        <x:v>1</x:v>
      </x:c>
      <x:c r="J917" s="30" t="str">
        <x:v>VIS_ID</x:v>
      </x:c>
      <x:c r="K917" s="30" t="str">
        <x:v>EGKR-W25-RUS-901-23</x:v>
      </x:c>
      <x:c r="L917" s="87" t="str">
        <x:v>CROP_VERIFIED</x:v>
      </x:c>
      <x:c r="M917" s="87" t="str">
        <x:v>ORIGINAL_PACKAGE</x:v>
      </x:c>
      <x:c r="N917" s="87" t="str">
        <x:v>pages/VIS-EGKR-RUS-W25-TASK-901-P007.png</x:v>
      </x:c>
      <x:c r="O917" s="87" t="str">
        <x:v>thumbnails/VIS-EGKR-RUS-W25-TASK-901-P007.jpg</x:v>
      </x:c>
      <x:c r="P917" s="87" t="str">
        <x:v>ad54e65bca0b26aeb1b598034f25575c24c075c824959fe1ab4e18fb9a308a46</x:v>
      </x:c>
      <x:c r="Q917" s="30" t="str">
        <x:v>incoming/raw/recovery-drop-01/russian_egkr_winter_visual_assets_v091.zip!/pages/VIS-EGKR-RUS-W25-TASK-901-P007.png</x:v>
      </x:c>
      <x:c r="R917" s="30" t="str">
        <x:v>MATCHED_ASSET</x:v>
      </x:c>
      <x:c r="S917" t="e">
        <x:f>HYPERLINK("visual_gallery/index.html#"&amp;A917,"Галерея")</x:f>
      </x:c>
    </x:row>
    <x:row r="918">
      <x:c r="A918" s="87" t="str">
        <x:v>VIS-EGKR-RUS-W25-TASK-901-P008</x:v>
      </x:c>
      <x:c r="B918" s="30" t="str">
        <x:v>Русский язык</x:v>
      </x:c>
      <x:c r="C918" s="30"/>
      <x:c r="D918" s="30" t="str">
        <x:v>901</x:v>
      </x:c>
      <x:c r="E918" s="87" t="str">
        <x:v>TASK</x:v>
      </x:c>
      <x:c r="F918" s="30" t="str">
        <x:v>Вариант_901.pdf</x:v>
      </x:c>
      <x:c r="G918" s="87" t="str">
        <x:v>8</x:v>
      </x:c>
      <x:c r="H918" s="87" t="str">
        <x:v>v0.91</x:v>
      </x:c>
      <x:c r="I918" s="87" t="str">
        <x:v>4</x:v>
      </x:c>
      <x:c r="J918" s="30" t="str">
        <x:v>VIS_ID</x:v>
      </x:c>
      <x:c r="K918" s="30" t="str">
        <x:v>EGKR-W25-RUS-901-24, EGKR-W25-RUS-901-25, EGKR-W25-RUS-901-26, EGKR-W25-RUS-901-27</x:v>
      </x:c>
      <x:c r="L918" s="87" t="str">
        <x:v>CROP_VERIFIED</x:v>
      </x:c>
      <x:c r="M918" s="87" t="str">
        <x:v>ORIGINAL_PACKAGE</x:v>
      </x:c>
      <x:c r="N918" s="87" t="str">
        <x:v>pages/VIS-EGKR-RUS-W25-TASK-901-P008.png</x:v>
      </x:c>
      <x:c r="O918" s="87" t="str">
        <x:v>thumbnails/VIS-EGKR-RUS-W25-TASK-901-P008.jpg</x:v>
      </x:c>
      <x:c r="P918" s="87" t="str">
        <x:v>e82175d821da879369a8a3c0c8cad92a7edd5c87686d889bce75f1f6b021d839</x:v>
      </x:c>
      <x:c r="Q918" s="30" t="str">
        <x:v>incoming/raw/recovery-drop-01/russian_egkr_winter_visual_assets_v091.zip!/pages/VIS-EGKR-RUS-W25-TASK-901-P008.png</x:v>
      </x:c>
      <x:c r="R918" s="30" t="str">
        <x:v>MATCHED_ASSET</x:v>
      </x:c>
      <x:c r="S918" t="e">
        <x:f>HYPERLINK("visual_gallery/index.html#"&amp;A918,"Галерея")</x:f>
      </x:c>
    </x:row>
    <x:row r="919">
      <x:c r="A919" s="87" t="str">
        <x:v>VIS-EGKR-RUS-W25-TASK-951-P001</x:v>
      </x:c>
      <x:c r="B919" s="30" t="str"/>
      <x:c r="C919" s="30"/>
      <x:c r="D919" s="30" t="str">
        <x:v>951</x:v>
      </x:c>
      <x:c r="E919" s="87" t="str">
        <x:v>TASK</x:v>
      </x:c>
      <x:c r="F919" s="30" t="str">
        <x:v>951 вариант.pdf</x:v>
      </x:c>
      <x:c r="G919" s="87" t="str">
        <x:v>1</x:v>
      </x:c>
      <x:c r="H919" s="87" t="str">
        <x:v>v0.91</x:v>
      </x:c>
      <x:c r="I919" s="87" t="str">
        <x:v>0</x:v>
      </x:c>
      <x:c r="J919" s="30" t="str"/>
      <x:c r="K919" s="30" t="str"/>
      <x:c r="L919" s="87" t="str">
        <x:v>CROP_VERIFIED</x:v>
      </x:c>
      <x:c r="M919" s="87" t="str">
        <x:v>ORIGINAL_PACKAGE</x:v>
      </x:c>
      <x:c r="N919" s="87" t="str">
        <x:v>pages/VIS-EGKR-RUS-W25-TASK-951-P001.png</x:v>
      </x:c>
      <x:c r="O919" s="87" t="str">
        <x:v>thumbnails/VIS-EGKR-RUS-W25-TASK-951-P001.jpg</x:v>
      </x:c>
      <x:c r="P919" s="87" t="str">
        <x:v>345d919d886a97d4560572e35e9200c1eda0429f286475103eee7985f268a5cd</x:v>
      </x:c>
      <x:c r="Q919" s="30" t="str">
        <x:v>incoming/raw/recovery-drop-01/russian_egkr_winter_visual_assets_v091.zip!/pages/VIS-EGKR-RUS-W25-TASK-951-P001.png</x:v>
      </x:c>
      <x:c r="R919" s="30" t="str">
        <x:v>RESOLVED_UNLINKED_REGISTRY_VISUAL</x:v>
      </x:c>
      <x:c r="S919" t="e">
        <x:f>HYPERLINK("visual_gallery/index.html#"&amp;A919,"Галерея")</x:f>
      </x:c>
    </x:row>
    <x:row r="920">
      <x:c r="A920" s="87" t="str">
        <x:v>VIS-EGKR-RUS-W25-TASK-951-P002</x:v>
      </x:c>
      <x:c r="B920" s="30" t="str">
        <x:v>Русский язык</x:v>
      </x:c>
      <x:c r="C920" s="30"/>
      <x:c r="D920" s="30" t="str">
        <x:v>951</x:v>
      </x:c>
      <x:c r="E920" s="87" t="str">
        <x:v>TASK</x:v>
      </x:c>
      <x:c r="F920" s="30" t="str">
        <x:v>951 вариант.pdf</x:v>
      </x:c>
      <x:c r="G920" s="87" t="str">
        <x:v>2</x:v>
      </x:c>
      <x:c r="H920" s="87" t="str">
        <x:v>v0.91</x:v>
      </x:c>
      <x:c r="I920" s="87" t="str">
        <x:v>1</x:v>
      </x:c>
      <x:c r="J920" s="30" t="str">
        <x:v>VIS_ID</x:v>
      </x:c>
      <x:c r="K920" s="30" t="str">
        <x:v>EGKR-W25-RUS-951-01</x:v>
      </x:c>
      <x:c r="L920" s="87" t="str">
        <x:v>CROP_VERIFIED</x:v>
      </x:c>
      <x:c r="M920" s="87" t="str">
        <x:v>ORIGINAL_PACKAGE</x:v>
      </x:c>
      <x:c r="N920" s="87" t="str">
        <x:v>pages/VIS-EGKR-RUS-W25-TASK-951-P002.png</x:v>
      </x:c>
      <x:c r="O920" s="87" t="str">
        <x:v>thumbnails/VIS-EGKR-RUS-W25-TASK-951-P002.jpg</x:v>
      </x:c>
      <x:c r="P920" s="87" t="str">
        <x:v>79772d04128a7e96e0004c57377b4dad3cf0ab28a02cc2d37e7df585e16c58b3</x:v>
      </x:c>
      <x:c r="Q920" s="30" t="str">
        <x:v>incoming/raw/recovery-drop-01/russian_egkr_winter_visual_assets_v091.zip!/pages/VIS-EGKR-RUS-W25-TASK-951-P002.png</x:v>
      </x:c>
      <x:c r="R920" s="30" t="str">
        <x:v>MATCHED_ASSET</x:v>
      </x:c>
      <x:c r="S920" t="e">
        <x:f>HYPERLINK("visual_gallery/index.html#"&amp;A920,"Галерея")</x:f>
      </x:c>
    </x:row>
    <x:row r="921">
      <x:c r="A921" s="87" t="str">
        <x:v>VIS-EGKR-RUS-W25-TASK-951-P003</x:v>
      </x:c>
      <x:c r="B921" s="30" t="str">
        <x:v>Русский язык</x:v>
      </x:c>
      <x:c r="C921" s="30"/>
      <x:c r="D921" s="30" t="str">
        <x:v>951</x:v>
      </x:c>
      <x:c r="E921" s="87" t="str">
        <x:v>TASK</x:v>
      </x:c>
      <x:c r="F921" s="30" t="str">
        <x:v>951 вариант.pdf</x:v>
      </x:c>
      <x:c r="G921" s="87" t="str">
        <x:v>3</x:v>
      </x:c>
      <x:c r="H921" s="87" t="str">
        <x:v>v0.91</x:v>
      </x:c>
      <x:c r="I921" s="87" t="str">
        <x:v>2</x:v>
      </x:c>
      <x:c r="J921" s="30" t="str">
        <x:v>VIS_ID</x:v>
      </x:c>
      <x:c r="K921" s="30" t="str">
        <x:v>EGKR-W25-RUS-951-02, EGKR-W25-RUS-951-03</x:v>
      </x:c>
      <x:c r="L921" s="87" t="str">
        <x:v>CROP_VERIFIED</x:v>
      </x:c>
      <x:c r="M921" s="87" t="str">
        <x:v>ORIGINAL_PACKAGE</x:v>
      </x:c>
      <x:c r="N921" s="87" t="str">
        <x:v>pages/VIS-EGKR-RUS-W25-TASK-951-P003.png</x:v>
      </x:c>
      <x:c r="O921" s="87" t="str">
        <x:v>thumbnails/VIS-EGKR-RUS-W25-TASK-951-P003.jpg</x:v>
      </x:c>
      <x:c r="P921" s="87" t="str">
        <x:v>7e0ef849fbcb73b2b85cf00a077636cd500b7d12b445773d5880c0f7e0b0c4df</x:v>
      </x:c>
      <x:c r="Q921" s="30" t="str">
        <x:v>incoming/raw/recovery-drop-01/russian_egkr_winter_visual_assets_v091.zip!/pages/VIS-EGKR-RUS-W25-TASK-951-P003.png</x:v>
      </x:c>
      <x:c r="R921" s="30" t="str">
        <x:v>MATCHED_ASSET</x:v>
      </x:c>
      <x:c r="S921" t="e">
        <x:f>HYPERLINK("visual_gallery/index.html#"&amp;A921,"Галерея")</x:f>
      </x:c>
    </x:row>
    <x:row r="922">
      <x:c r="A922" s="87" t="str">
        <x:v>VIS-EGKR-RUS-W25-TASK-951-P004</x:v>
      </x:c>
      <x:c r="B922" s="30" t="str">
        <x:v>Русский язык</x:v>
      </x:c>
      <x:c r="C922" s="30"/>
      <x:c r="D922" s="30" t="str">
        <x:v>951</x:v>
      </x:c>
      <x:c r="E922" s="87" t="str">
        <x:v>TASK</x:v>
      </x:c>
      <x:c r="F922" s="30" t="str">
        <x:v>951 вариант.pdf</x:v>
      </x:c>
      <x:c r="G922" s="87" t="str">
        <x:v>4</x:v>
      </x:c>
      <x:c r="H922" s="87" t="str">
        <x:v>v0.91</x:v>
      </x:c>
      <x:c r="I922" s="87" t="str">
        <x:v>2</x:v>
      </x:c>
      <x:c r="J922" s="30" t="str">
        <x:v>VIS_ID</x:v>
      </x:c>
      <x:c r="K922" s="30" t="str">
        <x:v>EGKR-W25-RUS-951-04, EGKR-W25-RUS-951-05</x:v>
      </x:c>
      <x:c r="L922" s="87" t="str">
        <x:v>CROP_VERIFIED</x:v>
      </x:c>
      <x:c r="M922" s="87" t="str">
        <x:v>ORIGINAL_PACKAGE</x:v>
      </x:c>
      <x:c r="N922" s="87" t="str">
        <x:v>pages/VIS-EGKR-RUS-W25-TASK-951-P004.png</x:v>
      </x:c>
      <x:c r="O922" s="87" t="str">
        <x:v>thumbnails/VIS-EGKR-RUS-W25-TASK-951-P004.jpg</x:v>
      </x:c>
      <x:c r="P922" s="87" t="str">
        <x:v>cc8010a02c4adcb6190e926b9cf70a8f3932549d6855a0e5c4b1e3484c8da8af</x:v>
      </x:c>
      <x:c r="Q922" s="30" t="str">
        <x:v>incoming/raw/recovery-drop-01/russian_egkr_winter_visual_assets_v091.zip!/pages/VIS-EGKR-RUS-W25-TASK-951-P004.png</x:v>
      </x:c>
      <x:c r="R922" s="30" t="str">
        <x:v>MATCHED_ASSET</x:v>
      </x:c>
      <x:c r="S922" t="e">
        <x:f>HYPERLINK("visual_gallery/index.html#"&amp;A922,"Галерея")</x:f>
      </x:c>
    </x:row>
    <x:row r="923">
      <x:c r="A923" s="87" t="str">
        <x:v>VIS-EGKR-RUS-W25-TASK-951-P005</x:v>
      </x:c>
      <x:c r="B923" s="30" t="str">
        <x:v>Русский язык</x:v>
      </x:c>
      <x:c r="C923" s="30"/>
      <x:c r="D923" s="30" t="str">
        <x:v>951</x:v>
      </x:c>
      <x:c r="E923" s="87" t="str">
        <x:v>TASK</x:v>
      </x:c>
      <x:c r="F923" s="30" t="str">
        <x:v>951 вариант.pdf</x:v>
      </x:c>
      <x:c r="G923" s="87" t="str">
        <x:v>5</x:v>
      </x:c>
      <x:c r="H923" s="87" t="str">
        <x:v>v0.91</x:v>
      </x:c>
      <x:c r="I923" s="87" t="str">
        <x:v>2</x:v>
      </x:c>
      <x:c r="J923" s="30" t="str">
        <x:v>VIS_ID</x:v>
      </x:c>
      <x:c r="K923" s="30" t="str">
        <x:v>EGKR-W25-RUS-951-06, EGKR-W25-RUS-951-07</x:v>
      </x:c>
      <x:c r="L923" s="87" t="str">
        <x:v>CROP_VERIFIED</x:v>
      </x:c>
      <x:c r="M923" s="87" t="str">
        <x:v>ORIGINAL_PACKAGE</x:v>
      </x:c>
      <x:c r="N923" s="87" t="str">
        <x:v>pages/VIS-EGKR-RUS-W25-TASK-951-P005.png</x:v>
      </x:c>
      <x:c r="O923" s="87" t="str">
        <x:v>thumbnails/VIS-EGKR-RUS-W25-TASK-951-P005.jpg</x:v>
      </x:c>
      <x:c r="P923" s="87" t="str">
        <x:v>c80138b8c5f9144ab205640d737e76708e1031adde41106f95b3101faa16d63f</x:v>
      </x:c>
      <x:c r="Q923" s="30" t="str">
        <x:v>incoming/raw/recovery-drop-01/russian_egkr_winter_visual_assets_v091.zip!/pages/VIS-EGKR-RUS-W25-TASK-951-P005.png</x:v>
      </x:c>
      <x:c r="R923" s="30" t="str">
        <x:v>MATCHED_ASSET</x:v>
      </x:c>
      <x:c r="S923" t="e">
        <x:f>HYPERLINK("visual_gallery/index.html#"&amp;A923,"Галерея")</x:f>
      </x:c>
    </x:row>
    <x:row r="924">
      <x:c r="A924" s="87" t="str">
        <x:v>VIS-EGKR-RUS-W25-TASK-951-P006</x:v>
      </x:c>
      <x:c r="B924" s="30" t="str">
        <x:v>Русский язык</x:v>
      </x:c>
      <x:c r="C924" s="30"/>
      <x:c r="D924" s="30" t="str">
        <x:v>951</x:v>
      </x:c>
      <x:c r="E924" s="87" t="str">
        <x:v>TASK</x:v>
      </x:c>
      <x:c r="F924" s="30" t="str">
        <x:v>951 вариант.pdf</x:v>
      </x:c>
      <x:c r="G924" s="87" t="str">
        <x:v>6</x:v>
      </x:c>
      <x:c r="H924" s="87" t="str">
        <x:v>v0.91</x:v>
      </x:c>
      <x:c r="I924" s="87" t="str">
        <x:v>1</x:v>
      </x:c>
      <x:c r="J924" s="30" t="str">
        <x:v>VIS_ID</x:v>
      </x:c>
      <x:c r="K924" s="30" t="str">
        <x:v>EGKR-W25-RUS-951-08</x:v>
      </x:c>
      <x:c r="L924" s="87" t="str">
        <x:v>CROP_VERIFIED</x:v>
      </x:c>
      <x:c r="M924" s="87" t="str">
        <x:v>ORIGINAL_PACKAGE</x:v>
      </x:c>
      <x:c r="N924" s="87" t="str">
        <x:v>pages/VIS-EGKR-RUS-W25-TASK-951-P006.png</x:v>
      </x:c>
      <x:c r="O924" s="87" t="str">
        <x:v>thumbnails/VIS-EGKR-RUS-W25-TASK-951-P006.jpg</x:v>
      </x:c>
      <x:c r="P924" s="87" t="str">
        <x:v>43ecb1233686945b67544dbdcc9dea8cc677da3832752fdac5a8cc6e69dbd175</x:v>
      </x:c>
      <x:c r="Q924" s="30" t="str">
        <x:v>incoming/raw/recovery-drop-01/russian_egkr_winter_visual_assets_v091.zip!/pages/VIS-EGKR-RUS-W25-TASK-951-P006.png</x:v>
      </x:c>
      <x:c r="R924" s="30" t="str">
        <x:v>MATCHED_ASSET</x:v>
      </x:c>
      <x:c r="S924" t="e">
        <x:f>HYPERLINK("visual_gallery/index.html#"&amp;A924,"Галерея")</x:f>
      </x:c>
    </x:row>
    <x:row r="925">
      <x:c r="A925" s="87" t="str">
        <x:v>VIS-EGKR-RUS-W25-TASK-951-P007</x:v>
      </x:c>
      <x:c r="B925" s="30" t="str">
        <x:v>Русский язык</x:v>
      </x:c>
      <x:c r="C925" s="30"/>
      <x:c r="D925" s="30" t="str">
        <x:v>951</x:v>
      </x:c>
      <x:c r="E925" s="87" t="str">
        <x:v>TASK</x:v>
      </x:c>
      <x:c r="F925" s="30" t="str">
        <x:v>951 вариант.pdf</x:v>
      </x:c>
      <x:c r="G925" s="87" t="str">
        <x:v>7</x:v>
      </x:c>
      <x:c r="H925" s="87" t="str">
        <x:v>v0.91</x:v>
      </x:c>
      <x:c r="I925" s="87" t="str">
        <x:v>3</x:v>
      </x:c>
      <x:c r="J925" s="30" t="str">
        <x:v>VIS_ID</x:v>
      </x:c>
      <x:c r="K925" s="30" t="str">
        <x:v>EGKR-W25-RUS-951-09, EGKR-W25-RUS-951-10, EGKR-W25-RUS-951-11</x:v>
      </x:c>
      <x:c r="L925" s="87" t="str">
        <x:v>CROP_VERIFIED</x:v>
      </x:c>
      <x:c r="M925" s="87" t="str">
        <x:v>ORIGINAL_PACKAGE</x:v>
      </x:c>
      <x:c r="N925" s="87" t="str">
        <x:v>pages/VIS-EGKR-RUS-W25-TASK-951-P007.png</x:v>
      </x:c>
      <x:c r="O925" s="87" t="str">
        <x:v>thumbnails/VIS-EGKR-RUS-W25-TASK-951-P007.jpg</x:v>
      </x:c>
      <x:c r="P925" s="87" t="str">
        <x:v>bec9c17a96ea4e04fa95e1c997c4526574f5ea9194ff0a5f57e58ccdc3083a1a</x:v>
      </x:c>
      <x:c r="Q925" s="30" t="str">
        <x:v>incoming/raw/recovery-drop-01/russian_egkr_winter_visual_assets_v091.zip!/pages/VIS-EGKR-RUS-W25-TASK-951-P007.png</x:v>
      </x:c>
      <x:c r="R925" s="30" t="str">
        <x:v>MATCHED_ASSET</x:v>
      </x:c>
      <x:c r="S925" t="e">
        <x:f>HYPERLINK("visual_gallery/index.html#"&amp;A925,"Галерея")</x:f>
      </x:c>
    </x:row>
    <x:row r="926">
      <x:c r="A926" s="87" t="str">
        <x:v>VIS-EGKR-RUS-W25-TASK-951-P008</x:v>
      </x:c>
      <x:c r="B926" s="30" t="str">
        <x:v>Русский язык</x:v>
      </x:c>
      <x:c r="C926" s="30"/>
      <x:c r="D926" s="30" t="str">
        <x:v>951</x:v>
      </x:c>
      <x:c r="E926" s="87" t="str">
        <x:v>TASK</x:v>
      </x:c>
      <x:c r="F926" s="30" t="str">
        <x:v>951 вариант.pdf</x:v>
      </x:c>
      <x:c r="G926" s="87" t="str">
        <x:v>8</x:v>
      </x:c>
      <x:c r="H926" s="87" t="str">
        <x:v>v0.91</x:v>
      </x:c>
      <x:c r="I926" s="87" t="str">
        <x:v>2</x:v>
      </x:c>
      <x:c r="J926" s="30" t="str">
        <x:v>VIS_ID</x:v>
      </x:c>
      <x:c r="K926" s="30" t="str">
        <x:v>EGKR-W25-RUS-951-12, EGKR-W25-RUS-951-13</x:v>
      </x:c>
      <x:c r="L926" s="87" t="str">
        <x:v>CROP_VERIFIED</x:v>
      </x:c>
      <x:c r="M926" s="87" t="str">
        <x:v>ORIGINAL_PACKAGE</x:v>
      </x:c>
      <x:c r="N926" s="87" t="str">
        <x:v>pages/VIS-EGKR-RUS-W25-TASK-951-P008.png</x:v>
      </x:c>
      <x:c r="O926" s="87" t="str">
        <x:v>thumbnails/VIS-EGKR-RUS-W25-TASK-951-P008.jpg</x:v>
      </x:c>
      <x:c r="P926" s="87" t="str">
        <x:v>ad757682d15f97e227d644436bdf18c241c8f9caef2b1da4151d37652ec87a97</x:v>
      </x:c>
      <x:c r="Q926" s="30" t="str">
        <x:v>incoming/raw/recovery-drop-01/russian_egkr_winter_visual_assets_v091.zip!/pages/VIS-EGKR-RUS-W25-TASK-951-P008.png</x:v>
      </x:c>
      <x:c r="R926" s="30" t="str">
        <x:v>MATCHED_ASSET</x:v>
      </x:c>
      <x:c r="S926" t="e">
        <x:f>HYPERLINK("visual_gallery/index.html#"&amp;A926,"Галерея")</x:f>
      </x:c>
    </x:row>
    <x:row r="927">
      <x:c r="A927" s="87" t="str">
        <x:v>VIS-EGKR-RUS-W25-TASK-951-P009</x:v>
      </x:c>
      <x:c r="B927" s="30" t="str">
        <x:v>Русский язык</x:v>
      </x:c>
      <x:c r="C927" s="30"/>
      <x:c r="D927" s="30" t="str">
        <x:v>951</x:v>
      </x:c>
      <x:c r="E927" s="87" t="str">
        <x:v>TASK</x:v>
      </x:c>
      <x:c r="F927" s="30" t="str">
        <x:v>951 вариант.pdf</x:v>
      </x:c>
      <x:c r="G927" s="87" t="str">
        <x:v>9</x:v>
      </x:c>
      <x:c r="H927" s="87" t="str">
        <x:v>v0.91</x:v>
      </x:c>
      <x:c r="I927" s="87" t="str">
        <x:v>3</x:v>
      </x:c>
      <x:c r="J927" s="30" t="str">
        <x:v>VIS_ID</x:v>
      </x:c>
      <x:c r="K927" s="30" t="str">
        <x:v>EGKR-W25-RUS-951-14, EGKR-W25-RUS-951-15, EGKR-W25-RUS-951-16</x:v>
      </x:c>
      <x:c r="L927" s="87" t="str">
        <x:v>CROP_VERIFIED</x:v>
      </x:c>
      <x:c r="M927" s="87" t="str">
        <x:v>ORIGINAL_PACKAGE</x:v>
      </x:c>
      <x:c r="N927" s="87" t="str">
        <x:v>pages/VIS-EGKR-RUS-W25-TASK-951-P009.png</x:v>
      </x:c>
      <x:c r="O927" s="87" t="str">
        <x:v>thumbnails/VIS-EGKR-RUS-W25-TASK-951-P009.jpg</x:v>
      </x:c>
      <x:c r="P927" s="87" t="str">
        <x:v>feea868f3dc274485b8908102a688f18331dd19ee5599a4c95c1e789e83405f5</x:v>
      </x:c>
      <x:c r="Q927" s="30" t="str">
        <x:v>incoming/raw/recovery-drop-01/russian_egkr_winter_visual_assets_v091.zip!/pages/VIS-EGKR-RUS-W25-TASK-951-P009.png</x:v>
      </x:c>
      <x:c r="R927" s="30" t="str">
        <x:v>MATCHED_ASSET</x:v>
      </x:c>
      <x:c r="S927" t="e">
        <x:f>HYPERLINK("visual_gallery/index.html#"&amp;A927,"Галерея")</x:f>
      </x:c>
    </x:row>
    <x:row r="928">
      <x:c r="A928" s="87" t="str">
        <x:v>VIS-EGKR-RUS-W25-TASK-951-P010</x:v>
      </x:c>
      <x:c r="B928" s="30" t="str">
        <x:v>Русский язык</x:v>
      </x:c>
      <x:c r="C928" s="30"/>
      <x:c r="D928" s="30" t="str">
        <x:v>951</x:v>
      </x:c>
      <x:c r="E928" s="87" t="str">
        <x:v>TASK</x:v>
      </x:c>
      <x:c r="F928" s="30" t="str">
        <x:v>951 вариант.pdf</x:v>
      </x:c>
      <x:c r="G928" s="87" t="str">
        <x:v>10</x:v>
      </x:c>
      <x:c r="H928" s="87" t="str">
        <x:v>v0.91</x:v>
      </x:c>
      <x:c r="I928" s="87" t="str">
        <x:v>3</x:v>
      </x:c>
      <x:c r="J928" s="30" t="str">
        <x:v>VIS_ID</x:v>
      </x:c>
      <x:c r="K928" s="30" t="str">
        <x:v>EGKR-W25-RUS-951-17, EGKR-W25-RUS-951-18, EGKR-W25-RUS-951-19</x:v>
      </x:c>
      <x:c r="L928" s="87" t="str">
        <x:v>CROP_VERIFIED</x:v>
      </x:c>
      <x:c r="M928" s="87" t="str">
        <x:v>ORIGINAL_PACKAGE</x:v>
      </x:c>
      <x:c r="N928" s="87" t="str">
        <x:v>pages/VIS-EGKR-RUS-W25-TASK-951-P010.png</x:v>
      </x:c>
      <x:c r="O928" s="87" t="str">
        <x:v>thumbnails/VIS-EGKR-RUS-W25-TASK-951-P010.jpg</x:v>
      </x:c>
      <x:c r="P928" s="87" t="str">
        <x:v>eb25c1b9561f0bc89fa1c7ca2c7c39bb0b1826780aef8b2790ec3340265e2346</x:v>
      </x:c>
      <x:c r="Q928" s="30" t="str">
        <x:v>incoming/raw/recovery-drop-01/russian_egkr_winter_visual_assets_v091.zip!/pages/VIS-EGKR-RUS-W25-TASK-951-P010.png</x:v>
      </x:c>
      <x:c r="R928" s="30" t="str">
        <x:v>MATCHED_ASSET</x:v>
      </x:c>
      <x:c r="S928" t="e">
        <x:f>HYPERLINK("visual_gallery/index.html#"&amp;A928,"Галерея")</x:f>
      </x:c>
    </x:row>
    <x:row r="929">
      <x:c r="A929" s="87" t="str">
        <x:v>VIS-EGKR-RUS-W25-TASK-951-P011</x:v>
      </x:c>
      <x:c r="B929" s="30" t="str">
        <x:v>Русский язык</x:v>
      </x:c>
      <x:c r="C929" s="30"/>
      <x:c r="D929" s="30" t="str">
        <x:v>951</x:v>
      </x:c>
      <x:c r="E929" s="87" t="str">
        <x:v>TASK</x:v>
      </x:c>
      <x:c r="F929" s="30" t="str">
        <x:v>951 вариант.pdf</x:v>
      </x:c>
      <x:c r="G929" s="87" t="str">
        <x:v>11</x:v>
      </x:c>
      <x:c r="H929" s="87" t="str">
        <x:v>v0.91</x:v>
      </x:c>
      <x:c r="I929" s="87" t="str">
        <x:v>2</x:v>
      </x:c>
      <x:c r="J929" s="30" t="str">
        <x:v>VIS_ID</x:v>
      </x:c>
      <x:c r="K929" s="30" t="str">
        <x:v>EGKR-W25-RUS-951-20, EGKR-W25-RUS-951-21</x:v>
      </x:c>
      <x:c r="L929" s="87" t="str">
        <x:v>CROP_VERIFIED</x:v>
      </x:c>
      <x:c r="M929" s="87" t="str">
        <x:v>ORIGINAL_PACKAGE</x:v>
      </x:c>
      <x:c r="N929" s="87" t="str">
        <x:v>pages/VIS-EGKR-RUS-W25-TASK-951-P011.png</x:v>
      </x:c>
      <x:c r="O929" s="87" t="str">
        <x:v>thumbnails/VIS-EGKR-RUS-W25-TASK-951-P011.jpg</x:v>
      </x:c>
      <x:c r="P929" s="87" t="str">
        <x:v>e4da52cb877010c2d5a3fd143cb643c46c86edbb30671ce7319ad3e0c6b88da3</x:v>
      </x:c>
      <x:c r="Q929" s="30" t="str">
        <x:v>incoming/raw/recovery-drop-01/russian_egkr_winter_visual_assets_v091.zip!/pages/VIS-EGKR-RUS-W25-TASK-951-P011.png</x:v>
      </x:c>
      <x:c r="R929" s="30" t="str">
        <x:v>MATCHED_ASSET</x:v>
      </x:c>
      <x:c r="S929" t="e">
        <x:f>HYPERLINK("visual_gallery/index.html#"&amp;A929,"Галерея")</x:f>
      </x:c>
    </x:row>
    <x:row r="930">
      <x:c r="A930" s="87" t="str">
        <x:v>VIS-EGKR-RUS-W25-TASK-951-P012</x:v>
      </x:c>
      <x:c r="B930" s="30" t="str">
        <x:v>Русский язык</x:v>
      </x:c>
      <x:c r="C930" s="30"/>
      <x:c r="D930" s="30" t="str">
        <x:v>951</x:v>
      </x:c>
      <x:c r="E930" s="87" t="str">
        <x:v>TASK</x:v>
      </x:c>
      <x:c r="F930" s="30" t="str">
        <x:v>951 вариант.pdf</x:v>
      </x:c>
      <x:c r="G930" s="87" t="str">
        <x:v>12</x:v>
      </x:c>
      <x:c r="H930" s="87" t="str">
        <x:v>v0.91</x:v>
      </x:c>
      <x:c r="I930" s="87" t="str">
        <x:v>1</x:v>
      </x:c>
      <x:c r="J930" s="30" t="str">
        <x:v>VIS_ID</x:v>
      </x:c>
      <x:c r="K930" s="30" t="str">
        <x:v>EGKR-W25-RUS-951-22</x:v>
      </x:c>
      <x:c r="L930" s="87" t="str">
        <x:v>CROP_VERIFIED</x:v>
      </x:c>
      <x:c r="M930" s="87" t="str">
        <x:v>ORIGINAL_PACKAGE</x:v>
      </x:c>
      <x:c r="N930" s="87" t="str">
        <x:v>pages/VIS-EGKR-RUS-W25-TASK-951-P012.png</x:v>
      </x:c>
      <x:c r="O930" s="87" t="str">
        <x:v>thumbnails/VIS-EGKR-RUS-W25-TASK-951-P012.jpg</x:v>
      </x:c>
      <x:c r="P930" s="87" t="str">
        <x:v>7b560018201e9bb898b33282ff6f7d9cb79f84475413a5e525ecd14dfb5512e3</x:v>
      </x:c>
      <x:c r="Q930" s="30" t="str">
        <x:v>incoming/raw/recovery-drop-01/russian_egkr_winter_visual_assets_v091.zip!/pages/VIS-EGKR-RUS-W25-TASK-951-P012.png</x:v>
      </x:c>
      <x:c r="R930" s="30" t="str">
        <x:v>MATCHED_ASSET</x:v>
      </x:c>
      <x:c r="S930" t="e">
        <x:f>HYPERLINK("visual_gallery/index.html#"&amp;A930,"Галерея")</x:f>
      </x:c>
    </x:row>
    <x:row r="931">
      <x:c r="A931" s="87" t="str">
        <x:v>VIS-EGKR-RUS-W25-TASK-951-P013</x:v>
      </x:c>
      <x:c r="B931" s="30" t="str"/>
      <x:c r="C931" s="30"/>
      <x:c r="D931" s="30" t="str">
        <x:v>951</x:v>
      </x:c>
      <x:c r="E931" s="87" t="str">
        <x:v>TASK</x:v>
      </x:c>
      <x:c r="F931" s="30" t="str">
        <x:v>951 вариант.pdf</x:v>
      </x:c>
      <x:c r="G931" s="87" t="str">
        <x:v>13</x:v>
      </x:c>
      <x:c r="H931" s="87" t="str">
        <x:v>v0.91</x:v>
      </x:c>
      <x:c r="I931" s="87" t="str">
        <x:v>0</x:v>
      </x:c>
      <x:c r="J931" s="30" t="str"/>
      <x:c r="K931" s="30" t="str"/>
      <x:c r="L931" s="87" t="str">
        <x:v>CROP_VERIFIED</x:v>
      </x:c>
      <x:c r="M931" s="87" t="str">
        <x:v>ORIGINAL_PACKAGE</x:v>
      </x:c>
      <x:c r="N931" s="87" t="str">
        <x:v>pages/VIS-EGKR-RUS-W25-TASK-951-P013.png</x:v>
      </x:c>
      <x:c r="O931" s="87" t="str">
        <x:v>thumbnails/VIS-EGKR-RUS-W25-TASK-951-P013.jpg</x:v>
      </x:c>
      <x:c r="P931" s="87" t="str">
        <x:v>f413ed6853658b145a65039c389fa1cd637cdc550f725fb4ed2868b4afd51cd8</x:v>
      </x:c>
      <x:c r="Q931" s="30" t="str">
        <x:v>incoming/raw/recovery-drop-01/russian_egkr_winter_visual_assets_v091.zip!/pages/VIS-EGKR-RUS-W25-TASK-951-P013.png</x:v>
      </x:c>
      <x:c r="R931" s="30" t="str">
        <x:v>RESOLVED_UNLINKED_REGISTRY_VISUAL</x:v>
      </x:c>
      <x:c r="S931" t="e">
        <x:f>HYPERLINK("visual_gallery/index.html#"&amp;A931,"Галерея")</x:f>
      </x:c>
    </x:row>
    <x:row r="932">
      <x:c r="A932" s="87" t="str">
        <x:v>VIS-EGKR-RUS-W25-TASK-951-P014</x:v>
      </x:c>
      <x:c r="B932" s="30" t="str">
        <x:v>Русский язык</x:v>
      </x:c>
      <x:c r="C932" s="30"/>
      <x:c r="D932" s="30" t="str">
        <x:v>951</x:v>
      </x:c>
      <x:c r="E932" s="87" t="str">
        <x:v>TASK</x:v>
      </x:c>
      <x:c r="F932" s="30" t="str">
        <x:v>951 вариант.pdf</x:v>
      </x:c>
      <x:c r="G932" s="87" t="str">
        <x:v>14</x:v>
      </x:c>
      <x:c r="H932" s="87" t="str">
        <x:v>v0.91</x:v>
      </x:c>
      <x:c r="I932" s="87" t="str">
        <x:v>1</x:v>
      </x:c>
      <x:c r="J932" s="30" t="str">
        <x:v>VIS_ID</x:v>
      </x:c>
      <x:c r="K932" s="30" t="str">
        <x:v>EGKR-W25-RUS-951-23</x:v>
      </x:c>
      <x:c r="L932" s="87" t="str">
        <x:v>CROP_VERIFIED</x:v>
      </x:c>
      <x:c r="M932" s="87" t="str">
        <x:v>ORIGINAL_PACKAGE</x:v>
      </x:c>
      <x:c r="N932" s="87" t="str">
        <x:v>pages/VIS-EGKR-RUS-W25-TASK-951-P014.png</x:v>
      </x:c>
      <x:c r="O932" s="87" t="str">
        <x:v>thumbnails/VIS-EGKR-RUS-W25-TASK-951-P014.jpg</x:v>
      </x:c>
      <x:c r="P932" s="87" t="str">
        <x:v>380b367bc87f0423d8b8d56a1c3f905bb72bf539670947334977b9bc0126ecd6</x:v>
      </x:c>
      <x:c r="Q932" s="30" t="str">
        <x:v>incoming/raw/recovery-drop-01/russian_egkr_winter_visual_assets_v091.zip!/pages/VIS-EGKR-RUS-W25-TASK-951-P014.png</x:v>
      </x:c>
      <x:c r="R932" s="30" t="str">
        <x:v>MATCHED_ASSET</x:v>
      </x:c>
      <x:c r="S932" t="e">
        <x:f>HYPERLINK("visual_gallery/index.html#"&amp;A932,"Галерея")</x:f>
      </x:c>
    </x:row>
    <x:row r="933">
      <x:c r="A933" s="87" t="str">
        <x:v>VIS-EGKR-RUS-W25-TASK-951-P015</x:v>
      </x:c>
      <x:c r="B933" s="30" t="str">
        <x:v>Русский язык</x:v>
      </x:c>
      <x:c r="C933" s="30"/>
      <x:c r="D933" s="30" t="str">
        <x:v>951</x:v>
      </x:c>
      <x:c r="E933" s="87" t="str">
        <x:v>TASK</x:v>
      </x:c>
      <x:c r="F933" s="30" t="str">
        <x:v>951 вариант.pdf</x:v>
      </x:c>
      <x:c r="G933" s="87" t="str">
        <x:v>15</x:v>
      </x:c>
      <x:c r="H933" s="87" t="str">
        <x:v>v0.91</x:v>
      </x:c>
      <x:c r="I933" s="87" t="str">
        <x:v>3</x:v>
      </x:c>
      <x:c r="J933" s="30" t="str">
        <x:v>VIS_ID</x:v>
      </x:c>
      <x:c r="K933" s="30" t="str">
        <x:v>EGKR-W25-RUS-951-24, EGKR-W25-RUS-951-25, EGKR-W25-RUS-951-26</x:v>
      </x:c>
      <x:c r="L933" s="87" t="str">
        <x:v>CROP_VERIFIED</x:v>
      </x:c>
      <x:c r="M933" s="87" t="str">
        <x:v>ORIGINAL_PACKAGE</x:v>
      </x:c>
      <x:c r="N933" s="87" t="str">
        <x:v>pages/VIS-EGKR-RUS-W25-TASK-951-P015.png</x:v>
      </x:c>
      <x:c r="O933" s="87" t="str">
        <x:v>thumbnails/VIS-EGKR-RUS-W25-TASK-951-P015.jpg</x:v>
      </x:c>
      <x:c r="P933" s="87" t="str">
        <x:v>b6aff6e77b55d681209a3487240f333f819b4323af4a6531606d4927b58f4630</x:v>
      </x:c>
      <x:c r="Q933" s="30" t="str">
        <x:v>incoming/raw/recovery-drop-01/russian_egkr_winter_visual_assets_v091.zip!/pages/VIS-EGKR-RUS-W25-TASK-951-P015.png</x:v>
      </x:c>
      <x:c r="R933" s="30" t="str">
        <x:v>MATCHED_ASSET</x:v>
      </x:c>
      <x:c r="S933" t="e">
        <x:f>HYPERLINK("visual_gallery/index.html#"&amp;A933,"Галерея")</x:f>
      </x:c>
    </x:row>
    <x:row r="934">
      <x:c r="A934" s="87" t="str">
        <x:v>VIS-EGKR-RUS-W25-TASK-951-P016</x:v>
      </x:c>
      <x:c r="B934" s="30" t="str">
        <x:v>Русский язык</x:v>
      </x:c>
      <x:c r="C934" s="30"/>
      <x:c r="D934" s="30" t="str">
        <x:v>951</x:v>
      </x:c>
      <x:c r="E934" s="87" t="str">
        <x:v>TASK</x:v>
      </x:c>
      <x:c r="F934" s="30" t="str">
        <x:v>951 вариант.pdf</x:v>
      </x:c>
      <x:c r="G934" s="87" t="str">
        <x:v>16</x:v>
      </x:c>
      <x:c r="H934" s="87" t="str">
        <x:v>v0.91</x:v>
      </x:c>
      <x:c r="I934" s="87" t="str">
        <x:v>1</x:v>
      </x:c>
      <x:c r="J934" s="30" t="str">
        <x:v>VIS_ID</x:v>
      </x:c>
      <x:c r="K934" s="30" t="str">
        <x:v>EGKR-W25-RUS-951-27</x:v>
      </x:c>
      <x:c r="L934" s="87" t="str">
        <x:v>CROP_VERIFIED</x:v>
      </x:c>
      <x:c r="M934" s="87" t="str">
        <x:v>ORIGINAL_PACKAGE</x:v>
      </x:c>
      <x:c r="N934" s="87" t="str">
        <x:v>pages/VIS-EGKR-RUS-W25-TASK-951-P016.png</x:v>
      </x:c>
      <x:c r="O934" s="87" t="str">
        <x:v>thumbnails/VIS-EGKR-RUS-W25-TASK-951-P016.jpg</x:v>
      </x:c>
      <x:c r="P934" s="87" t="str">
        <x:v>ceaaccabab1202aef85938be46466472a85bf91d2626d0f04247f3bbd55427f1</x:v>
      </x:c>
      <x:c r="Q934" s="30" t="str">
        <x:v>incoming/raw/recovery-drop-01/russian_egkr_winter_visual_assets_v091.zip!/pages/VIS-EGKR-RUS-W25-TASK-951-P016.png</x:v>
      </x:c>
      <x:c r="R934" s="30" t="str">
        <x:v>MATCHED_ASSET</x:v>
      </x:c>
      <x:c r="S934" t="e">
        <x:f>HYPERLINK("visual_gallery/index.html#"&amp;A934,"Галерея")</x:f>
      </x:c>
    </x:row>
    <x:row r="935">
      <x:c r="A935" s="87" t="str">
        <x:v>VIS-EGKR-RUS-W25-TASK-952-P001</x:v>
      </x:c>
      <x:c r="B935" s="30" t="str"/>
      <x:c r="C935" s="30"/>
      <x:c r="D935" s="30" t="str">
        <x:v>952</x:v>
      </x:c>
      <x:c r="E935" s="87" t="str">
        <x:v>TASK</x:v>
      </x:c>
      <x:c r="F935" s="30" t="str">
        <x:v>952 вариант.pdf</x:v>
      </x:c>
      <x:c r="G935" s="87" t="str">
        <x:v>1</x:v>
      </x:c>
      <x:c r="H935" s="87" t="str">
        <x:v>v0.91</x:v>
      </x:c>
      <x:c r="I935" s="87" t="str">
        <x:v>0</x:v>
      </x:c>
      <x:c r="J935" s="30" t="str"/>
      <x:c r="K935" s="30" t="str"/>
      <x:c r="L935" s="87" t="str">
        <x:v>CROP_VERIFIED</x:v>
      </x:c>
      <x:c r="M935" s="87" t="str">
        <x:v>ORIGINAL_PACKAGE</x:v>
      </x:c>
      <x:c r="N935" s="87" t="str">
        <x:v>pages/VIS-EGKR-RUS-W25-TASK-952-P001.png</x:v>
      </x:c>
      <x:c r="O935" s="87" t="str">
        <x:v>thumbnails/VIS-EGKR-RUS-W25-TASK-952-P001.jpg</x:v>
      </x:c>
      <x:c r="P935" s="87" t="str">
        <x:v>88b1e1f47c948d056e6b764727eb385a91c0f13dd169dceb0469c4e5fe31ad8e</x:v>
      </x:c>
      <x:c r="Q935" s="30" t="str">
        <x:v>incoming/raw/recovery-drop-01/russian_egkr_winter_visual_assets_v091.zip!/pages/VIS-EGKR-RUS-W25-TASK-952-P001.png</x:v>
      </x:c>
      <x:c r="R935" s="30" t="str">
        <x:v>RESOLVED_UNLINKED_REGISTRY_VISUAL</x:v>
      </x:c>
      <x:c r="S935" t="e">
        <x:f>HYPERLINK("visual_gallery/index.html#"&amp;A935,"Галерея")</x:f>
      </x:c>
    </x:row>
    <x:row r="936">
      <x:c r="A936" s="87" t="str">
        <x:v>VIS-EGKR-RUS-W25-TASK-952-P002</x:v>
      </x:c>
      <x:c r="B936" s="30" t="str">
        <x:v>Русский язык</x:v>
      </x:c>
      <x:c r="C936" s="30"/>
      <x:c r="D936" s="30" t="str">
        <x:v>952</x:v>
      </x:c>
      <x:c r="E936" s="87" t="str">
        <x:v>TASK</x:v>
      </x:c>
      <x:c r="F936" s="30" t="str">
        <x:v>952 вариант.pdf</x:v>
      </x:c>
      <x:c r="G936" s="87" t="str">
        <x:v>2</x:v>
      </x:c>
      <x:c r="H936" s="87" t="str">
        <x:v>v0.91</x:v>
      </x:c>
      <x:c r="I936" s="87" t="str">
        <x:v>1</x:v>
      </x:c>
      <x:c r="J936" s="30" t="str">
        <x:v>VIS_ID</x:v>
      </x:c>
      <x:c r="K936" s="30" t="str">
        <x:v>EGKR-W25-RUS-952-01</x:v>
      </x:c>
      <x:c r="L936" s="87" t="str">
        <x:v>CROP_VERIFIED</x:v>
      </x:c>
      <x:c r="M936" s="87" t="str">
        <x:v>ORIGINAL_PACKAGE</x:v>
      </x:c>
      <x:c r="N936" s="87" t="str">
        <x:v>pages/VIS-EGKR-RUS-W25-TASK-952-P002.png</x:v>
      </x:c>
      <x:c r="O936" s="87" t="str">
        <x:v>thumbnails/VIS-EGKR-RUS-W25-TASK-952-P002.jpg</x:v>
      </x:c>
      <x:c r="P936" s="87" t="str">
        <x:v>cf536602d8bf25f09ef0fb5fe164f99673f112c53bf0a4df86c4aa28391d15e0</x:v>
      </x:c>
      <x:c r="Q936" s="30" t="str">
        <x:v>incoming/raw/recovery-drop-01/russian_egkr_winter_visual_assets_v091.zip!/pages/VIS-EGKR-RUS-W25-TASK-952-P002.png</x:v>
      </x:c>
      <x:c r="R936" s="30" t="str">
        <x:v>MATCHED_ASSET</x:v>
      </x:c>
      <x:c r="S936" t="e">
        <x:f>HYPERLINK("visual_gallery/index.html#"&amp;A936,"Галерея")</x:f>
      </x:c>
    </x:row>
    <x:row r="937">
      <x:c r="A937" s="87" t="str">
        <x:v>VIS-EGKR-RUS-W25-TASK-952-P003</x:v>
      </x:c>
      <x:c r="B937" s="30" t="str">
        <x:v>Русский язык</x:v>
      </x:c>
      <x:c r="C937" s="30"/>
      <x:c r="D937" s="30" t="str">
        <x:v>952</x:v>
      </x:c>
      <x:c r="E937" s="87" t="str">
        <x:v>TASK</x:v>
      </x:c>
      <x:c r="F937" s="30" t="str">
        <x:v>952 вариант.pdf</x:v>
      </x:c>
      <x:c r="G937" s="87" t="str">
        <x:v>3</x:v>
      </x:c>
      <x:c r="H937" s="87" t="str">
        <x:v>v0.91</x:v>
      </x:c>
      <x:c r="I937" s="87" t="str">
        <x:v>2</x:v>
      </x:c>
      <x:c r="J937" s="30" t="str">
        <x:v>VIS_ID</x:v>
      </x:c>
      <x:c r="K937" s="30" t="str">
        <x:v>EGKR-W25-RUS-952-02, EGKR-W25-RUS-952-03</x:v>
      </x:c>
      <x:c r="L937" s="87" t="str">
        <x:v>CROP_VERIFIED</x:v>
      </x:c>
      <x:c r="M937" s="87" t="str">
        <x:v>ORIGINAL_PACKAGE</x:v>
      </x:c>
      <x:c r="N937" s="87" t="str">
        <x:v>pages/VIS-EGKR-RUS-W25-TASK-952-P003.png</x:v>
      </x:c>
      <x:c r="O937" s="87" t="str">
        <x:v>thumbnails/VIS-EGKR-RUS-W25-TASK-952-P003.jpg</x:v>
      </x:c>
      <x:c r="P937" s="87" t="str">
        <x:v>39b87a3042988b7a020bffd9362e095c88468a0d6da7daee08f8eedd6e921459</x:v>
      </x:c>
      <x:c r="Q937" s="30" t="str">
        <x:v>incoming/raw/recovery-drop-01/russian_egkr_winter_visual_assets_v091.zip!/pages/VIS-EGKR-RUS-W25-TASK-952-P003.png</x:v>
      </x:c>
      <x:c r="R937" s="30" t="str">
        <x:v>MATCHED_ASSET</x:v>
      </x:c>
      <x:c r="S937" t="e">
        <x:f>HYPERLINK("visual_gallery/index.html#"&amp;A937,"Галерея")</x:f>
      </x:c>
    </x:row>
    <x:row r="938">
      <x:c r="A938" s="87" t="str">
        <x:v>VIS-EGKR-RUS-W25-TASK-952-P004</x:v>
      </x:c>
      <x:c r="B938" s="30" t="str">
        <x:v>Русский язык</x:v>
      </x:c>
      <x:c r="C938" s="30"/>
      <x:c r="D938" s="30" t="str">
        <x:v>952</x:v>
      </x:c>
      <x:c r="E938" s="87" t="str">
        <x:v>TASK</x:v>
      </x:c>
      <x:c r="F938" s="30" t="str">
        <x:v>952 вариант.pdf</x:v>
      </x:c>
      <x:c r="G938" s="87" t="str">
        <x:v>4</x:v>
      </x:c>
      <x:c r="H938" s="87" t="str">
        <x:v>v0.91</x:v>
      </x:c>
      <x:c r="I938" s="87" t="str">
        <x:v>2</x:v>
      </x:c>
      <x:c r="J938" s="30" t="str">
        <x:v>VIS_ID</x:v>
      </x:c>
      <x:c r="K938" s="30" t="str">
        <x:v>EGKR-W25-RUS-952-04, EGKR-W25-RUS-952-05</x:v>
      </x:c>
      <x:c r="L938" s="87" t="str">
        <x:v>CROP_VERIFIED</x:v>
      </x:c>
      <x:c r="M938" s="87" t="str">
        <x:v>ORIGINAL_PACKAGE</x:v>
      </x:c>
      <x:c r="N938" s="87" t="str">
        <x:v>pages/VIS-EGKR-RUS-W25-TASK-952-P004.png</x:v>
      </x:c>
      <x:c r="O938" s="87" t="str">
        <x:v>thumbnails/VIS-EGKR-RUS-W25-TASK-952-P004.jpg</x:v>
      </x:c>
      <x:c r="P938" s="87" t="str">
        <x:v>f16a2b01bdd7aa04112f10cb7bf2ae8b54a1293a4a7e1158517dc6b3f562f20f</x:v>
      </x:c>
      <x:c r="Q938" s="30" t="str">
        <x:v>incoming/raw/recovery-drop-01/russian_egkr_winter_visual_assets_v091.zip!/pages/VIS-EGKR-RUS-W25-TASK-952-P004.png</x:v>
      </x:c>
      <x:c r="R938" s="30" t="str">
        <x:v>MATCHED_ASSET</x:v>
      </x:c>
      <x:c r="S938" t="e">
        <x:f>HYPERLINK("visual_gallery/index.html#"&amp;A938,"Галерея")</x:f>
      </x:c>
    </x:row>
    <x:row r="939">
      <x:c r="A939" s="87" t="str">
        <x:v>VIS-EGKR-RUS-W25-TASK-952-P005</x:v>
      </x:c>
      <x:c r="B939" s="30" t="str">
        <x:v>Русский язык</x:v>
      </x:c>
      <x:c r="C939" s="30"/>
      <x:c r="D939" s="30" t="str">
        <x:v>952</x:v>
      </x:c>
      <x:c r="E939" s="87" t="str">
        <x:v>TASK</x:v>
      </x:c>
      <x:c r="F939" s="30" t="str">
        <x:v>952 вариант.pdf</x:v>
      </x:c>
      <x:c r="G939" s="87" t="str">
        <x:v>5</x:v>
      </x:c>
      <x:c r="H939" s="87" t="str">
        <x:v>v0.91</x:v>
      </x:c>
      <x:c r="I939" s="87" t="str">
        <x:v>2</x:v>
      </x:c>
      <x:c r="J939" s="30" t="str">
        <x:v>VIS_ID</x:v>
      </x:c>
      <x:c r="K939" s="30" t="str">
        <x:v>EGKR-W25-RUS-952-06, EGKR-W25-RUS-952-07</x:v>
      </x:c>
      <x:c r="L939" s="87" t="str">
        <x:v>CROP_VERIFIED</x:v>
      </x:c>
      <x:c r="M939" s="87" t="str">
        <x:v>ORIGINAL_PACKAGE</x:v>
      </x:c>
      <x:c r="N939" s="87" t="str">
        <x:v>pages/VIS-EGKR-RUS-W25-TASK-952-P005.png</x:v>
      </x:c>
      <x:c r="O939" s="87" t="str">
        <x:v>thumbnails/VIS-EGKR-RUS-W25-TASK-952-P005.jpg</x:v>
      </x:c>
      <x:c r="P939" s="87" t="str">
        <x:v>0276137da1b340287f47984e56d5b0205280d9eed5c2e3043c185ba0fedb6c5c</x:v>
      </x:c>
      <x:c r="Q939" s="30" t="str">
        <x:v>incoming/raw/recovery-drop-01/russian_egkr_winter_visual_assets_v091.zip!/pages/VIS-EGKR-RUS-W25-TASK-952-P005.png</x:v>
      </x:c>
      <x:c r="R939" s="30" t="str">
        <x:v>MATCHED_ASSET</x:v>
      </x:c>
      <x:c r="S939" t="e">
        <x:f>HYPERLINK("visual_gallery/index.html#"&amp;A939,"Галерея")</x:f>
      </x:c>
    </x:row>
    <x:row r="940">
      <x:c r="A940" s="87" t="str">
        <x:v>VIS-EGKR-RUS-W25-TASK-952-P006</x:v>
      </x:c>
      <x:c r="B940" s="30" t="str">
        <x:v>Русский язык</x:v>
      </x:c>
      <x:c r="C940" s="30"/>
      <x:c r="D940" s="30" t="str">
        <x:v>952</x:v>
      </x:c>
      <x:c r="E940" s="87" t="str">
        <x:v>TASK</x:v>
      </x:c>
      <x:c r="F940" s="30" t="str">
        <x:v>952 вариант.pdf</x:v>
      </x:c>
      <x:c r="G940" s="87" t="str">
        <x:v>6</x:v>
      </x:c>
      <x:c r="H940" s="87" t="str">
        <x:v>v0.91</x:v>
      </x:c>
      <x:c r="I940" s="87" t="str">
        <x:v>1</x:v>
      </x:c>
      <x:c r="J940" s="30" t="str">
        <x:v>VIS_ID</x:v>
      </x:c>
      <x:c r="K940" s="30" t="str">
        <x:v>EGKR-W25-RUS-952-08</x:v>
      </x:c>
      <x:c r="L940" s="87" t="str">
        <x:v>CROP_VERIFIED</x:v>
      </x:c>
      <x:c r="M940" s="87" t="str">
        <x:v>ORIGINAL_PACKAGE</x:v>
      </x:c>
      <x:c r="N940" s="87" t="str">
        <x:v>pages/VIS-EGKR-RUS-W25-TASK-952-P006.png</x:v>
      </x:c>
      <x:c r="O940" s="87" t="str">
        <x:v>thumbnails/VIS-EGKR-RUS-W25-TASK-952-P006.jpg</x:v>
      </x:c>
      <x:c r="P940" s="87" t="str">
        <x:v>426272072bdb4457d66d213482099733a7fa39762a1da063e14b3974c0d242ad</x:v>
      </x:c>
      <x:c r="Q940" s="30" t="str">
        <x:v>incoming/raw/recovery-drop-01/russian_egkr_winter_visual_assets_v091.zip!/pages/VIS-EGKR-RUS-W25-TASK-952-P006.png</x:v>
      </x:c>
      <x:c r="R940" s="30" t="str">
        <x:v>MATCHED_ASSET</x:v>
      </x:c>
      <x:c r="S940" t="e">
        <x:f>HYPERLINK("visual_gallery/index.html#"&amp;A940,"Галерея")</x:f>
      </x:c>
    </x:row>
    <x:row r="941">
      <x:c r="A941" s="87" t="str">
        <x:v>VIS-EGKR-RUS-W25-TASK-952-P007</x:v>
      </x:c>
      <x:c r="B941" s="30" t="str">
        <x:v>Русский язык</x:v>
      </x:c>
      <x:c r="C941" s="30"/>
      <x:c r="D941" s="30" t="str">
        <x:v>952</x:v>
      </x:c>
      <x:c r="E941" s="87" t="str">
        <x:v>TASK</x:v>
      </x:c>
      <x:c r="F941" s="30" t="str">
        <x:v>952 вариант.pdf</x:v>
      </x:c>
      <x:c r="G941" s="87" t="str">
        <x:v>7</x:v>
      </x:c>
      <x:c r="H941" s="87" t="str">
        <x:v>v0.91</x:v>
      </x:c>
      <x:c r="I941" s="87" t="str">
        <x:v>3</x:v>
      </x:c>
      <x:c r="J941" s="30" t="str">
        <x:v>VIS_ID</x:v>
      </x:c>
      <x:c r="K941" s="30" t="str">
        <x:v>EGKR-W25-RUS-952-09, EGKR-W25-RUS-952-10, EGKR-W25-RUS-952-11</x:v>
      </x:c>
      <x:c r="L941" s="87" t="str">
        <x:v>CROP_VERIFIED</x:v>
      </x:c>
      <x:c r="M941" s="87" t="str">
        <x:v>ORIGINAL_PACKAGE</x:v>
      </x:c>
      <x:c r="N941" s="87" t="str">
        <x:v>pages/VIS-EGKR-RUS-W25-TASK-952-P007.png</x:v>
      </x:c>
      <x:c r="O941" s="87" t="str">
        <x:v>thumbnails/VIS-EGKR-RUS-W25-TASK-952-P007.jpg</x:v>
      </x:c>
      <x:c r="P941" s="87" t="str">
        <x:v>16d15de57c5cd0dfd04f8b43c6a57b491cd18b8b325100ec166444708e5b5caa</x:v>
      </x:c>
      <x:c r="Q941" s="30" t="str">
        <x:v>incoming/raw/recovery-drop-01/russian_egkr_winter_visual_assets_v091.zip!/pages/VIS-EGKR-RUS-W25-TASK-952-P007.png</x:v>
      </x:c>
      <x:c r="R941" s="30" t="str">
        <x:v>MATCHED_ASSET</x:v>
      </x:c>
      <x:c r="S941" t="e">
        <x:f>HYPERLINK("visual_gallery/index.html#"&amp;A941,"Галерея")</x:f>
      </x:c>
    </x:row>
    <x:row r="942">
      <x:c r="A942" s="87" t="str">
        <x:v>VIS-EGKR-RUS-W25-TASK-952-P008</x:v>
      </x:c>
      <x:c r="B942" s="30" t="str">
        <x:v>Русский язык</x:v>
      </x:c>
      <x:c r="C942" s="30"/>
      <x:c r="D942" s="30" t="str">
        <x:v>952</x:v>
      </x:c>
      <x:c r="E942" s="87" t="str">
        <x:v>TASK</x:v>
      </x:c>
      <x:c r="F942" s="30" t="str">
        <x:v>952 вариант.pdf</x:v>
      </x:c>
      <x:c r="G942" s="87" t="str">
        <x:v>8</x:v>
      </x:c>
      <x:c r="H942" s="87" t="str">
        <x:v>v0.91</x:v>
      </x:c>
      <x:c r="I942" s="87" t="str">
        <x:v>2</x:v>
      </x:c>
      <x:c r="J942" s="30" t="str">
        <x:v>VIS_ID</x:v>
      </x:c>
      <x:c r="K942" s="30" t="str">
        <x:v>EGKR-W25-RUS-952-12, EGKR-W25-RUS-952-13</x:v>
      </x:c>
      <x:c r="L942" s="87" t="str">
        <x:v>CROP_VERIFIED</x:v>
      </x:c>
      <x:c r="M942" s="87" t="str">
        <x:v>ORIGINAL_PACKAGE</x:v>
      </x:c>
      <x:c r="N942" s="87" t="str">
        <x:v>pages/VIS-EGKR-RUS-W25-TASK-952-P008.png</x:v>
      </x:c>
      <x:c r="O942" s="87" t="str">
        <x:v>thumbnails/VIS-EGKR-RUS-W25-TASK-952-P008.jpg</x:v>
      </x:c>
      <x:c r="P942" s="87" t="str">
        <x:v>4b8cf98dfcc20f1945faf12e3ec08dc5f5986531e5d4b3d83da0d1d535f0b2c9</x:v>
      </x:c>
      <x:c r="Q942" s="30" t="str">
        <x:v>incoming/raw/recovery-drop-01/russian_egkr_winter_visual_assets_v091.zip!/pages/VIS-EGKR-RUS-W25-TASK-952-P008.png</x:v>
      </x:c>
      <x:c r="R942" s="30" t="str">
        <x:v>MATCHED_ASSET</x:v>
      </x:c>
      <x:c r="S942" t="e">
        <x:f>HYPERLINK("visual_gallery/index.html#"&amp;A942,"Галерея")</x:f>
      </x:c>
    </x:row>
    <x:row r="943">
      <x:c r="A943" s="87" t="str">
        <x:v>VIS-EGKR-RUS-W25-TASK-952-P009</x:v>
      </x:c>
      <x:c r="B943" s="30" t="str">
        <x:v>Русский язык</x:v>
      </x:c>
      <x:c r="C943" s="30"/>
      <x:c r="D943" s="30" t="str">
        <x:v>952</x:v>
      </x:c>
      <x:c r="E943" s="87" t="str">
        <x:v>TASK</x:v>
      </x:c>
      <x:c r="F943" s="30" t="str">
        <x:v>952 вариант.pdf</x:v>
      </x:c>
      <x:c r="G943" s="87" t="str">
        <x:v>9</x:v>
      </x:c>
      <x:c r="H943" s="87" t="str">
        <x:v>v0.91</x:v>
      </x:c>
      <x:c r="I943" s="87" t="str">
        <x:v>3</x:v>
      </x:c>
      <x:c r="J943" s="30" t="str">
        <x:v>VIS_ID</x:v>
      </x:c>
      <x:c r="K943" s="30" t="str">
        <x:v>EGKR-W25-RUS-952-14, EGKR-W25-RUS-952-15, EGKR-W25-RUS-952-16</x:v>
      </x:c>
      <x:c r="L943" s="87" t="str">
        <x:v>CROP_VERIFIED</x:v>
      </x:c>
      <x:c r="M943" s="87" t="str">
        <x:v>ORIGINAL_PACKAGE</x:v>
      </x:c>
      <x:c r="N943" s="87" t="str">
        <x:v>pages/VIS-EGKR-RUS-W25-TASK-952-P009.png</x:v>
      </x:c>
      <x:c r="O943" s="87" t="str">
        <x:v>thumbnails/VIS-EGKR-RUS-W25-TASK-952-P009.jpg</x:v>
      </x:c>
      <x:c r="P943" s="87" t="str">
        <x:v>9a55fc7a921be283e5dd734778f17a15a50375470ed7caef3710622f5ef68863</x:v>
      </x:c>
      <x:c r="Q943" s="30" t="str">
        <x:v>incoming/raw/recovery-drop-01/russian_egkr_winter_visual_assets_v091.zip!/pages/VIS-EGKR-RUS-W25-TASK-952-P009.png</x:v>
      </x:c>
      <x:c r="R943" s="30" t="str">
        <x:v>MATCHED_ASSET</x:v>
      </x:c>
      <x:c r="S943" t="e">
        <x:f>HYPERLINK("visual_gallery/index.html#"&amp;A943,"Галерея")</x:f>
      </x:c>
    </x:row>
    <x:row r="944">
      <x:c r="A944" s="87" t="str">
        <x:v>VIS-EGKR-RUS-W25-TASK-952-P010</x:v>
      </x:c>
      <x:c r="B944" s="30" t="str">
        <x:v>Русский язык</x:v>
      </x:c>
      <x:c r="C944" s="30"/>
      <x:c r="D944" s="30" t="str">
        <x:v>952</x:v>
      </x:c>
      <x:c r="E944" s="87" t="str">
        <x:v>TASK</x:v>
      </x:c>
      <x:c r="F944" s="30" t="str">
        <x:v>952 вариант.pdf</x:v>
      </x:c>
      <x:c r="G944" s="87" t="str">
        <x:v>10</x:v>
      </x:c>
      <x:c r="H944" s="87" t="str">
        <x:v>v0.91</x:v>
      </x:c>
      <x:c r="I944" s="87" t="str">
        <x:v>3</x:v>
      </x:c>
      <x:c r="J944" s="30" t="str">
        <x:v>VIS_ID</x:v>
      </x:c>
      <x:c r="K944" s="30" t="str">
        <x:v>EGKR-W25-RUS-952-17, EGKR-W25-RUS-952-18, EGKR-W25-RUS-952-19</x:v>
      </x:c>
      <x:c r="L944" s="87" t="str">
        <x:v>CROP_VERIFIED</x:v>
      </x:c>
      <x:c r="M944" s="87" t="str">
        <x:v>ORIGINAL_PACKAGE</x:v>
      </x:c>
      <x:c r="N944" s="87" t="str">
        <x:v>pages/VIS-EGKR-RUS-W25-TASK-952-P010.png</x:v>
      </x:c>
      <x:c r="O944" s="87" t="str">
        <x:v>thumbnails/VIS-EGKR-RUS-W25-TASK-952-P010.jpg</x:v>
      </x:c>
      <x:c r="P944" s="87" t="str">
        <x:v>fcc3139cf909a3f934bfb9b18822641db6949231210d268dfb4cb57cb3cb0c1a</x:v>
      </x:c>
      <x:c r="Q944" s="30" t="str">
        <x:v>incoming/raw/recovery-drop-01/russian_egkr_winter_visual_assets_v091.zip!/pages/VIS-EGKR-RUS-W25-TASK-952-P010.png</x:v>
      </x:c>
      <x:c r="R944" s="30" t="str">
        <x:v>MATCHED_ASSET</x:v>
      </x:c>
      <x:c r="S944" t="e">
        <x:f>HYPERLINK("visual_gallery/index.html#"&amp;A944,"Галерея")</x:f>
      </x:c>
    </x:row>
    <x:row r="945">
      <x:c r="A945" s="87" t="str">
        <x:v>VIS-EGKR-RUS-W25-TASK-952-P011</x:v>
      </x:c>
      <x:c r="B945" s="30" t="str">
        <x:v>Русский язык</x:v>
      </x:c>
      <x:c r="C945" s="30"/>
      <x:c r="D945" s="30" t="str">
        <x:v>952</x:v>
      </x:c>
      <x:c r="E945" s="87" t="str">
        <x:v>TASK</x:v>
      </x:c>
      <x:c r="F945" s="30" t="str">
        <x:v>952 вариант.pdf</x:v>
      </x:c>
      <x:c r="G945" s="87" t="str">
        <x:v>11</x:v>
      </x:c>
      <x:c r="H945" s="87" t="str">
        <x:v>v0.91</x:v>
      </x:c>
      <x:c r="I945" s="87" t="str">
        <x:v>2</x:v>
      </x:c>
      <x:c r="J945" s="30" t="str">
        <x:v>VIS_ID</x:v>
      </x:c>
      <x:c r="K945" s="30" t="str">
        <x:v>EGKR-W25-RUS-952-20, EGKR-W25-RUS-952-21</x:v>
      </x:c>
      <x:c r="L945" s="87" t="str">
        <x:v>CROP_VERIFIED</x:v>
      </x:c>
      <x:c r="M945" s="87" t="str">
        <x:v>ORIGINAL_PACKAGE</x:v>
      </x:c>
      <x:c r="N945" s="87" t="str">
        <x:v>pages/VIS-EGKR-RUS-W25-TASK-952-P011.png</x:v>
      </x:c>
      <x:c r="O945" s="87" t="str">
        <x:v>thumbnails/VIS-EGKR-RUS-W25-TASK-952-P011.jpg</x:v>
      </x:c>
      <x:c r="P945" s="87" t="str">
        <x:v>a9f1d7af479263a8b6ff5fa86cb9bd5365acc4486f6f0ff6cafc52e096ee6563</x:v>
      </x:c>
      <x:c r="Q945" s="30" t="str">
        <x:v>incoming/raw/recovery-drop-01/russian_egkr_winter_visual_assets_v091.zip!/pages/VIS-EGKR-RUS-W25-TASK-952-P011.png</x:v>
      </x:c>
      <x:c r="R945" s="30" t="str">
        <x:v>MATCHED_ASSET</x:v>
      </x:c>
      <x:c r="S945" t="e">
        <x:f>HYPERLINK("visual_gallery/index.html#"&amp;A945,"Галерея")</x:f>
      </x:c>
    </x:row>
    <x:row r="946">
      <x:c r="A946" s="87" t="str">
        <x:v>VIS-EGKR-RUS-W25-TASK-952-P012</x:v>
      </x:c>
      <x:c r="B946" s="30" t="str">
        <x:v>Русский язык</x:v>
      </x:c>
      <x:c r="C946" s="30"/>
      <x:c r="D946" s="30" t="str">
        <x:v>952</x:v>
      </x:c>
      <x:c r="E946" s="87" t="str">
        <x:v>TASK</x:v>
      </x:c>
      <x:c r="F946" s="30" t="str">
        <x:v>952 вариант.pdf</x:v>
      </x:c>
      <x:c r="G946" s="87" t="str">
        <x:v>12</x:v>
      </x:c>
      <x:c r="H946" s="87" t="str">
        <x:v>v0.91</x:v>
      </x:c>
      <x:c r="I946" s="87" t="str">
        <x:v>1</x:v>
      </x:c>
      <x:c r="J946" s="30" t="str">
        <x:v>VIS_ID</x:v>
      </x:c>
      <x:c r="K946" s="30" t="str">
        <x:v>EGKR-W25-RUS-952-22</x:v>
      </x:c>
      <x:c r="L946" s="87" t="str">
        <x:v>CROP_VERIFIED</x:v>
      </x:c>
      <x:c r="M946" s="87" t="str">
        <x:v>ORIGINAL_PACKAGE</x:v>
      </x:c>
      <x:c r="N946" s="87" t="str">
        <x:v>pages/VIS-EGKR-RUS-W25-TASK-952-P012.png</x:v>
      </x:c>
      <x:c r="O946" s="87" t="str">
        <x:v>thumbnails/VIS-EGKR-RUS-W25-TASK-952-P012.jpg</x:v>
      </x:c>
      <x:c r="P946" s="87" t="str">
        <x:v>cabdd6f0cc6c6da6ea1a2d4432f0a0225291f0374bb3d352e433c232186a10f6</x:v>
      </x:c>
      <x:c r="Q946" s="30" t="str">
        <x:v>incoming/raw/recovery-drop-01/russian_egkr_winter_visual_assets_v091.zip!/pages/VIS-EGKR-RUS-W25-TASK-952-P012.png</x:v>
      </x:c>
      <x:c r="R946" s="30" t="str">
        <x:v>MATCHED_ASSET</x:v>
      </x:c>
      <x:c r="S946" t="e">
        <x:f>HYPERLINK("visual_gallery/index.html#"&amp;A946,"Галерея")</x:f>
      </x:c>
    </x:row>
    <x:row r="947">
      <x:c r="A947" s="87" t="str">
        <x:v>VIS-EGKR-RUS-W25-TASK-952-P013</x:v>
      </x:c>
      <x:c r="B947" s="30" t="str"/>
      <x:c r="C947" s="30"/>
      <x:c r="D947" s="30" t="str">
        <x:v>952</x:v>
      </x:c>
      <x:c r="E947" s="87" t="str">
        <x:v>TASK</x:v>
      </x:c>
      <x:c r="F947" s="30" t="str">
        <x:v>952 вариант.pdf</x:v>
      </x:c>
      <x:c r="G947" s="87" t="str">
        <x:v>13</x:v>
      </x:c>
      <x:c r="H947" s="87" t="str">
        <x:v>v0.91</x:v>
      </x:c>
      <x:c r="I947" s="87" t="str">
        <x:v>0</x:v>
      </x:c>
      <x:c r="J947" s="30" t="str"/>
      <x:c r="K947" s="30" t="str"/>
      <x:c r="L947" s="87" t="str">
        <x:v>CROP_VERIFIED</x:v>
      </x:c>
      <x:c r="M947" s="87" t="str">
        <x:v>ORIGINAL_PACKAGE</x:v>
      </x:c>
      <x:c r="N947" s="87" t="str">
        <x:v>pages/VIS-EGKR-RUS-W25-TASK-952-P013.png</x:v>
      </x:c>
      <x:c r="O947" s="87" t="str">
        <x:v>thumbnails/VIS-EGKR-RUS-W25-TASK-952-P013.jpg</x:v>
      </x:c>
      <x:c r="P947" s="87" t="str">
        <x:v>6aff635e1c2f564cbab5381d68b4bc3e2bed6e601002beb81774e8b493ddcb9c</x:v>
      </x:c>
      <x:c r="Q947" s="30" t="str">
        <x:v>incoming/raw/recovery-drop-01/russian_egkr_winter_visual_assets_v091.zip!/pages/VIS-EGKR-RUS-W25-TASK-952-P013.png</x:v>
      </x:c>
      <x:c r="R947" s="30" t="str">
        <x:v>RESOLVED_UNLINKED_REGISTRY_VISUAL</x:v>
      </x:c>
      <x:c r="S947" t="e">
        <x:f>HYPERLINK("visual_gallery/index.html#"&amp;A947,"Галерея")</x:f>
      </x:c>
    </x:row>
    <x:row r="948">
      <x:c r="A948" s="87" t="str">
        <x:v>VIS-EGKR-RUS-W25-TASK-952-P014</x:v>
      </x:c>
      <x:c r="B948" s="30" t="str">
        <x:v>Русский язык</x:v>
      </x:c>
      <x:c r="C948" s="30"/>
      <x:c r="D948" s="30" t="str">
        <x:v>952</x:v>
      </x:c>
      <x:c r="E948" s="87" t="str">
        <x:v>TASK</x:v>
      </x:c>
      <x:c r="F948" s="30" t="str">
        <x:v>952 вариант.pdf</x:v>
      </x:c>
      <x:c r="G948" s="87" t="str">
        <x:v>14</x:v>
      </x:c>
      <x:c r="H948" s="87" t="str">
        <x:v>v0.91</x:v>
      </x:c>
      <x:c r="I948" s="87" t="str">
        <x:v>1</x:v>
      </x:c>
      <x:c r="J948" s="30" t="str">
        <x:v>VIS_ID</x:v>
      </x:c>
      <x:c r="K948" s="30" t="str">
        <x:v>EGKR-W25-RUS-952-23</x:v>
      </x:c>
      <x:c r="L948" s="87" t="str">
        <x:v>CROP_VERIFIED</x:v>
      </x:c>
      <x:c r="M948" s="87" t="str">
        <x:v>ORIGINAL_PACKAGE</x:v>
      </x:c>
      <x:c r="N948" s="87" t="str">
        <x:v>pages/VIS-EGKR-RUS-W25-TASK-952-P014.png</x:v>
      </x:c>
      <x:c r="O948" s="87" t="str">
        <x:v>thumbnails/VIS-EGKR-RUS-W25-TASK-952-P014.jpg</x:v>
      </x:c>
      <x:c r="P948" s="87" t="str">
        <x:v>068cab395a589bba116951b5adf02a34488b0a2c568356abf287dadb031e21d0</x:v>
      </x:c>
      <x:c r="Q948" s="30" t="str">
        <x:v>incoming/raw/recovery-drop-01/russian_egkr_winter_visual_assets_v091.zip!/pages/VIS-EGKR-RUS-W25-TASK-952-P014.png</x:v>
      </x:c>
      <x:c r="R948" s="30" t="str">
        <x:v>MATCHED_ASSET</x:v>
      </x:c>
      <x:c r="S948" t="e">
        <x:f>HYPERLINK("visual_gallery/index.html#"&amp;A948,"Галерея")</x:f>
      </x:c>
    </x:row>
    <x:row r="949">
      <x:c r="A949" s="87" t="str">
        <x:v>VIS-EGKR-RUS-W25-TASK-952-P015</x:v>
      </x:c>
      <x:c r="B949" s="30" t="str">
        <x:v>Русский язык</x:v>
      </x:c>
      <x:c r="C949" s="30"/>
      <x:c r="D949" s="30" t="str">
        <x:v>952</x:v>
      </x:c>
      <x:c r="E949" s="87" t="str">
        <x:v>TASK</x:v>
      </x:c>
      <x:c r="F949" s="30" t="str">
        <x:v>952 вариант.pdf</x:v>
      </x:c>
      <x:c r="G949" s="87" t="str">
        <x:v>15</x:v>
      </x:c>
      <x:c r="H949" s="87" t="str">
        <x:v>v0.91</x:v>
      </x:c>
      <x:c r="I949" s="87" t="str">
        <x:v>3</x:v>
      </x:c>
      <x:c r="J949" s="30" t="str">
        <x:v>VIS_ID</x:v>
      </x:c>
      <x:c r="K949" s="30" t="str">
        <x:v>EGKR-W25-RUS-952-24, EGKR-W25-RUS-952-25, EGKR-W25-RUS-952-26</x:v>
      </x:c>
      <x:c r="L949" s="87" t="str">
        <x:v>CROP_VERIFIED</x:v>
      </x:c>
      <x:c r="M949" s="87" t="str">
        <x:v>ORIGINAL_PACKAGE</x:v>
      </x:c>
      <x:c r="N949" s="87" t="str">
        <x:v>pages/VIS-EGKR-RUS-W25-TASK-952-P015.png</x:v>
      </x:c>
      <x:c r="O949" s="87" t="str">
        <x:v>thumbnails/VIS-EGKR-RUS-W25-TASK-952-P015.jpg</x:v>
      </x:c>
      <x:c r="P949" s="87" t="str">
        <x:v>011b1a6884009a91c83c8eff5405898f9bd535cafd8f6a77ad757ffce4819a07</x:v>
      </x:c>
      <x:c r="Q949" s="30" t="str">
        <x:v>incoming/raw/recovery-drop-01/russian_egkr_winter_visual_assets_v091.zip!/pages/VIS-EGKR-RUS-W25-TASK-952-P015.png</x:v>
      </x:c>
      <x:c r="R949" s="30" t="str">
        <x:v>MATCHED_ASSET</x:v>
      </x:c>
      <x:c r="S949" t="e">
        <x:f>HYPERLINK("visual_gallery/index.html#"&amp;A949,"Галерея")</x:f>
      </x:c>
    </x:row>
    <x:row r="950">
      <x:c r="A950" s="87" t="str">
        <x:v>VIS-EGKR-RUS-W25-TASK-952-P016</x:v>
      </x:c>
      <x:c r="B950" s="30" t="str">
        <x:v>Русский язык</x:v>
      </x:c>
      <x:c r="C950" s="30"/>
      <x:c r="D950" s="30" t="str">
        <x:v>952</x:v>
      </x:c>
      <x:c r="E950" s="87" t="str">
        <x:v>TASK</x:v>
      </x:c>
      <x:c r="F950" s="30" t="str">
        <x:v>952 вариант.pdf</x:v>
      </x:c>
      <x:c r="G950" s="87" t="str">
        <x:v>16</x:v>
      </x:c>
      <x:c r="H950" s="87" t="str">
        <x:v>v0.91</x:v>
      </x:c>
      <x:c r="I950" s="87" t="str">
        <x:v>1</x:v>
      </x:c>
      <x:c r="J950" s="30" t="str">
        <x:v>VIS_ID</x:v>
      </x:c>
      <x:c r="K950" s="30" t="str">
        <x:v>EGKR-W25-RUS-952-27</x:v>
      </x:c>
      <x:c r="L950" s="87" t="str">
        <x:v>CROP_VERIFIED</x:v>
      </x:c>
      <x:c r="M950" s="87" t="str">
        <x:v>ORIGINAL_PACKAGE</x:v>
      </x:c>
      <x:c r="N950" s="87" t="str">
        <x:v>pages/VIS-EGKR-RUS-W25-TASK-952-P016.png</x:v>
      </x:c>
      <x:c r="O950" s="87" t="str">
        <x:v>thumbnails/VIS-EGKR-RUS-W25-TASK-952-P016.jpg</x:v>
      </x:c>
      <x:c r="P950" s="87" t="str">
        <x:v>3086b985da3af8a405f2a635d3ac3ed2e4d1cfdc2fc9d887365d95c427f69c3a</x:v>
      </x:c>
      <x:c r="Q950" s="30" t="str">
        <x:v>incoming/raw/recovery-drop-01/russian_egkr_winter_visual_assets_v091.zip!/pages/VIS-EGKR-RUS-W25-TASK-952-P016.png</x:v>
      </x:c>
      <x:c r="R950" s="30" t="str">
        <x:v>MATCHED_ASSET</x:v>
      </x:c>
      <x:c r="S950" t="e">
        <x:f>HYPERLINK("visual_gallery/index.html#"&amp;A950,"Галерея")</x:f>
      </x:c>
    </x:row>
    <x:row r="951">
      <x:c r="A951" s="87" t="str">
        <x:v>VIS-EGKR-RUS-W25-TASK-953-P001</x:v>
      </x:c>
      <x:c r="B951" s="30" t="str"/>
      <x:c r="C951" s="30"/>
      <x:c r="D951" s="30" t="str">
        <x:v>953</x:v>
      </x:c>
      <x:c r="E951" s="87" t="str">
        <x:v>TASK</x:v>
      </x:c>
      <x:c r="F951" s="30" t="str">
        <x:v>953 вариант.pdf</x:v>
      </x:c>
      <x:c r="G951" s="87" t="str">
        <x:v>1</x:v>
      </x:c>
      <x:c r="H951" s="87" t="str">
        <x:v>v0.91</x:v>
      </x:c>
      <x:c r="I951" s="87" t="str">
        <x:v>0</x:v>
      </x:c>
      <x:c r="J951" s="30" t="str"/>
      <x:c r="K951" s="30" t="str"/>
      <x:c r="L951" s="87" t="str">
        <x:v>CROP_VERIFIED</x:v>
      </x:c>
      <x:c r="M951" s="87" t="str">
        <x:v>ORIGINAL_PACKAGE</x:v>
      </x:c>
      <x:c r="N951" s="87" t="str">
        <x:v>pages/VIS-EGKR-RUS-W25-TASK-953-P001.png</x:v>
      </x:c>
      <x:c r="O951" s="87" t="str">
        <x:v>thumbnails/VIS-EGKR-RUS-W25-TASK-953-P001.jpg</x:v>
      </x:c>
      <x:c r="P951" s="87" t="str">
        <x:v>5f50af819ec9503acbaecaf9a36d3ccd5f395c0e53a2309045ad09a98471ef8c</x:v>
      </x:c>
      <x:c r="Q951" s="30" t="str">
        <x:v>incoming/raw/recovery-drop-01/russian_egkr_winter_visual_assets_v091.zip!/pages/VIS-EGKR-RUS-W25-TASK-953-P001.png</x:v>
      </x:c>
      <x:c r="R951" s="30" t="str">
        <x:v>RESOLVED_UNLINKED_REGISTRY_VISUAL</x:v>
      </x:c>
      <x:c r="S951" t="e">
        <x:f>HYPERLINK("visual_gallery/index.html#"&amp;A951,"Галерея")</x:f>
      </x:c>
    </x:row>
    <x:row r="952">
      <x:c r="A952" s="87" t="str">
        <x:v>VIS-EGKR-RUS-W25-TASK-953-P002</x:v>
      </x:c>
      <x:c r="B952" s="30" t="str"/>
      <x:c r="C952" s="30"/>
      <x:c r="D952" s="30" t="str">
        <x:v>953</x:v>
      </x:c>
      <x:c r="E952" s="87" t="str">
        <x:v>TASK</x:v>
      </x:c>
      <x:c r="F952" s="30" t="str">
        <x:v>953 вариант.pdf</x:v>
      </x:c>
      <x:c r="G952" s="87" t="str">
        <x:v>2</x:v>
      </x:c>
      <x:c r="H952" s="87" t="str">
        <x:v>v0.91</x:v>
      </x:c>
      <x:c r="I952" s="87" t="str">
        <x:v>0</x:v>
      </x:c>
      <x:c r="J952" s="30" t="str"/>
      <x:c r="K952" s="30" t="str"/>
      <x:c r="L952" s="87" t="str">
        <x:v>CROP_VERIFIED</x:v>
      </x:c>
      <x:c r="M952" s="87" t="str">
        <x:v>ORIGINAL_PACKAGE</x:v>
      </x:c>
      <x:c r="N952" s="87" t="str">
        <x:v>pages/VIS-EGKR-RUS-W25-TASK-953-P002.png</x:v>
      </x:c>
      <x:c r="O952" s="87" t="str">
        <x:v>thumbnails/VIS-EGKR-RUS-W25-TASK-953-P002.jpg</x:v>
      </x:c>
      <x:c r="P952" s="87" t="str">
        <x:v>53c2f986210c6b7c89b3c94df91714b6ca754562c49a27569a35caae9ede54f5</x:v>
      </x:c>
      <x:c r="Q952" s="30" t="str">
        <x:v>incoming/raw/recovery-drop-01/russian_egkr_winter_visual_assets_v091.zip!/pages/VIS-EGKR-RUS-W25-TASK-953-P002.png</x:v>
      </x:c>
      <x:c r="R952" s="30" t="str">
        <x:v>RESOLVED_UNLINKED_REGISTRY_VISUAL</x:v>
      </x:c>
      <x:c r="S952" t="e">
        <x:f>HYPERLINK("visual_gallery/index.html#"&amp;A952,"Галерея")</x:f>
      </x:c>
    </x:row>
    <x:row r="953">
      <x:c r="A953" s="87" t="str">
        <x:v>VIS-EGKR-RUS-W25-TASK-953-P003</x:v>
      </x:c>
      <x:c r="B953" s="30" t="str">
        <x:v>Русский язык</x:v>
      </x:c>
      <x:c r="C953" s="30"/>
      <x:c r="D953" s="30" t="str">
        <x:v>953</x:v>
      </x:c>
      <x:c r="E953" s="87" t="str">
        <x:v>TASK</x:v>
      </x:c>
      <x:c r="F953" s="30" t="str">
        <x:v>953 вариант.pdf</x:v>
      </x:c>
      <x:c r="G953" s="87" t="str">
        <x:v>3</x:v>
      </x:c>
      <x:c r="H953" s="87" t="str">
        <x:v>v0.91</x:v>
      </x:c>
      <x:c r="I953" s="87" t="str">
        <x:v>2</x:v>
      </x:c>
      <x:c r="J953" s="30" t="str">
        <x:v>VIS_ID</x:v>
      </x:c>
      <x:c r="K953" s="30" t="str">
        <x:v>EGKR-W25-RUS-953-01, EGKR-W25-RUS-953-02</x:v>
      </x:c>
      <x:c r="L953" s="87" t="str">
        <x:v>CROP_VERIFIED</x:v>
      </x:c>
      <x:c r="M953" s="87" t="str">
        <x:v>ORIGINAL_PACKAGE</x:v>
      </x:c>
      <x:c r="N953" s="87" t="str">
        <x:v>pages/VIS-EGKR-RUS-W25-TASK-953-P003.png</x:v>
      </x:c>
      <x:c r="O953" s="87" t="str">
        <x:v>thumbnails/VIS-EGKR-RUS-W25-TASK-953-P003.jpg</x:v>
      </x:c>
      <x:c r="P953" s="87" t="str">
        <x:v>fc035b196647ffa8a971bf995fc0b8a46e0352fca599c6137a27938d6033f3a7</x:v>
      </x:c>
      <x:c r="Q953" s="30" t="str">
        <x:v>incoming/raw/recovery-drop-01/russian_egkr_winter_visual_assets_v091.zip!/pages/VIS-EGKR-RUS-W25-TASK-953-P003.png</x:v>
      </x:c>
      <x:c r="R953" s="30" t="str">
        <x:v>MATCHED_ASSET</x:v>
      </x:c>
      <x:c r="S953" t="e">
        <x:f>HYPERLINK("visual_gallery/index.html#"&amp;A953,"Галерея")</x:f>
      </x:c>
    </x:row>
    <x:row r="954">
      <x:c r="A954" s="87" t="str">
        <x:v>VIS-EGKR-RUS-W25-TASK-953-P004</x:v>
      </x:c>
      <x:c r="B954" s="30" t="str">
        <x:v>Русский язык</x:v>
      </x:c>
      <x:c r="C954" s="30"/>
      <x:c r="D954" s="30" t="str">
        <x:v>953</x:v>
      </x:c>
      <x:c r="E954" s="87" t="str">
        <x:v>TASK</x:v>
      </x:c>
      <x:c r="F954" s="30" t="str">
        <x:v>953 вариант.pdf</x:v>
      </x:c>
      <x:c r="G954" s="87" t="str">
        <x:v>4</x:v>
      </x:c>
      <x:c r="H954" s="87" t="str">
        <x:v>v0.91</x:v>
      </x:c>
      <x:c r="I954" s="87" t="str">
        <x:v>2</x:v>
      </x:c>
      <x:c r="J954" s="30" t="str">
        <x:v>VIS_ID</x:v>
      </x:c>
      <x:c r="K954" s="30" t="str">
        <x:v>EGKR-W25-RUS-953-03, EGKR-W25-RUS-953-04</x:v>
      </x:c>
      <x:c r="L954" s="87" t="str">
        <x:v>CROP_VERIFIED</x:v>
      </x:c>
      <x:c r="M954" s="87" t="str">
        <x:v>ORIGINAL_PACKAGE</x:v>
      </x:c>
      <x:c r="N954" s="87" t="str">
        <x:v>pages/VIS-EGKR-RUS-W25-TASK-953-P004.png</x:v>
      </x:c>
      <x:c r="O954" s="87" t="str">
        <x:v>thumbnails/VIS-EGKR-RUS-W25-TASK-953-P004.jpg</x:v>
      </x:c>
      <x:c r="P954" s="87" t="str">
        <x:v>2bbf2ed15c1d95ac1b90bdb1b5b1635b26eed460b33d793c91fb9464f8b8b73e</x:v>
      </x:c>
      <x:c r="Q954" s="30" t="str">
        <x:v>incoming/raw/recovery-drop-01/russian_egkr_winter_visual_assets_v091.zip!/pages/VIS-EGKR-RUS-W25-TASK-953-P004.png</x:v>
      </x:c>
      <x:c r="R954" s="30" t="str">
        <x:v>MATCHED_ASSET</x:v>
      </x:c>
      <x:c r="S954" t="e">
        <x:f>HYPERLINK("visual_gallery/index.html#"&amp;A954,"Галерея")</x:f>
      </x:c>
    </x:row>
    <x:row r="955">
      <x:c r="A955" s="87" t="str">
        <x:v>VIS-EGKR-RUS-W25-TASK-953-P005</x:v>
      </x:c>
      <x:c r="B955" s="30" t="str">
        <x:v>Русский язык</x:v>
      </x:c>
      <x:c r="C955" s="30"/>
      <x:c r="D955" s="30" t="str">
        <x:v>953</x:v>
      </x:c>
      <x:c r="E955" s="87" t="str">
        <x:v>TASK</x:v>
      </x:c>
      <x:c r="F955" s="30" t="str">
        <x:v>953 вариант.pdf</x:v>
      </x:c>
      <x:c r="G955" s="87" t="str">
        <x:v>5</x:v>
      </x:c>
      <x:c r="H955" s="87" t="str">
        <x:v>v0.91</x:v>
      </x:c>
      <x:c r="I955" s="87" t="str">
        <x:v>2</x:v>
      </x:c>
      <x:c r="J955" s="30" t="str">
        <x:v>VIS_ID</x:v>
      </x:c>
      <x:c r="K955" s="30" t="str">
        <x:v>EGKR-W25-RUS-953-05, EGKR-W25-RUS-953-06</x:v>
      </x:c>
      <x:c r="L955" s="87" t="str">
        <x:v>CROP_VERIFIED</x:v>
      </x:c>
      <x:c r="M955" s="87" t="str">
        <x:v>ORIGINAL_PACKAGE</x:v>
      </x:c>
      <x:c r="N955" s="87" t="str">
        <x:v>pages/VIS-EGKR-RUS-W25-TASK-953-P005.png</x:v>
      </x:c>
      <x:c r="O955" s="87" t="str">
        <x:v>thumbnails/VIS-EGKR-RUS-W25-TASK-953-P005.jpg</x:v>
      </x:c>
      <x:c r="P955" s="87" t="str">
        <x:v>fed3e9707ce670158004608f57c70ebf0229d166d80572e02469c352802359d1</x:v>
      </x:c>
      <x:c r="Q955" s="30" t="str">
        <x:v>incoming/raw/recovery-drop-01/russian_egkr_winter_visual_assets_v091.zip!/pages/VIS-EGKR-RUS-W25-TASK-953-P005.png</x:v>
      </x:c>
      <x:c r="R955" s="30" t="str">
        <x:v>MATCHED_ASSET</x:v>
      </x:c>
      <x:c r="S955" t="e">
        <x:f>HYPERLINK("visual_gallery/index.html#"&amp;A955,"Галерея")</x:f>
      </x:c>
    </x:row>
    <x:row r="956">
      <x:c r="A956" s="87" t="str">
        <x:v>VIS-EGKR-RUS-W25-TASK-953-P006</x:v>
      </x:c>
      <x:c r="B956" s="30" t="str">
        <x:v>Русский язык</x:v>
      </x:c>
      <x:c r="C956" s="30"/>
      <x:c r="D956" s="30" t="str">
        <x:v>953</x:v>
      </x:c>
      <x:c r="E956" s="87" t="str">
        <x:v>TASK</x:v>
      </x:c>
      <x:c r="F956" s="30" t="str">
        <x:v>953 вариант.pdf</x:v>
      </x:c>
      <x:c r="G956" s="87" t="str">
        <x:v>6</x:v>
      </x:c>
      <x:c r="H956" s="87" t="str">
        <x:v>v0.91</x:v>
      </x:c>
      <x:c r="I956" s="87" t="str">
        <x:v>2</x:v>
      </x:c>
      <x:c r="J956" s="30" t="str">
        <x:v>VIS_ID</x:v>
      </x:c>
      <x:c r="K956" s="30" t="str">
        <x:v>EGKR-W25-RUS-953-07, EGKR-W25-RUS-953-08</x:v>
      </x:c>
      <x:c r="L956" s="87" t="str">
        <x:v>CROP_VERIFIED</x:v>
      </x:c>
      <x:c r="M956" s="87" t="str">
        <x:v>ORIGINAL_PACKAGE</x:v>
      </x:c>
      <x:c r="N956" s="87" t="str">
        <x:v>pages/VIS-EGKR-RUS-W25-TASK-953-P006.png</x:v>
      </x:c>
      <x:c r="O956" s="87" t="str">
        <x:v>thumbnails/VIS-EGKR-RUS-W25-TASK-953-P006.jpg</x:v>
      </x:c>
      <x:c r="P956" s="87" t="str">
        <x:v>b9dfeddf31f1cdc2e16aa44fefe4134278ed7e52c4d65ca22d618f5fd6846e30</x:v>
      </x:c>
      <x:c r="Q956" s="30" t="str">
        <x:v>incoming/raw/recovery-drop-01/russian_egkr_winter_visual_assets_v091.zip!/pages/VIS-EGKR-RUS-W25-TASK-953-P006.png</x:v>
      </x:c>
      <x:c r="R956" s="30" t="str">
        <x:v>MATCHED_ASSET</x:v>
      </x:c>
      <x:c r="S956" t="e">
        <x:f>HYPERLINK("visual_gallery/index.html#"&amp;A956,"Галерея")</x:f>
      </x:c>
    </x:row>
    <x:row r="957">
      <x:c r="A957" s="87" t="str">
        <x:v>VIS-EGKR-RUS-W25-TASK-953-P007</x:v>
      </x:c>
      <x:c r="B957" s="30" t="str">
        <x:v>Русский язык</x:v>
      </x:c>
      <x:c r="C957" s="30"/>
      <x:c r="D957" s="30" t="str">
        <x:v>953</x:v>
      </x:c>
      <x:c r="E957" s="87" t="str">
        <x:v>TASK</x:v>
      </x:c>
      <x:c r="F957" s="30" t="str">
        <x:v>953 вариант.pdf</x:v>
      </x:c>
      <x:c r="G957" s="87" t="str">
        <x:v>7</x:v>
      </x:c>
      <x:c r="H957" s="87" t="str">
        <x:v>v0.91</x:v>
      </x:c>
      <x:c r="I957" s="87" t="str">
        <x:v>2</x:v>
      </x:c>
      <x:c r="J957" s="30" t="str">
        <x:v>VIS_ID</x:v>
      </x:c>
      <x:c r="K957" s="30" t="str">
        <x:v>EGKR-W25-RUS-953-09, EGKR-W25-RUS-953-10</x:v>
      </x:c>
      <x:c r="L957" s="87" t="str">
        <x:v>CROP_VERIFIED</x:v>
      </x:c>
      <x:c r="M957" s="87" t="str">
        <x:v>ORIGINAL_PACKAGE</x:v>
      </x:c>
      <x:c r="N957" s="87" t="str">
        <x:v>pages/VIS-EGKR-RUS-W25-TASK-953-P007.png</x:v>
      </x:c>
      <x:c r="O957" s="87" t="str">
        <x:v>thumbnails/VIS-EGKR-RUS-W25-TASK-953-P007.jpg</x:v>
      </x:c>
      <x:c r="P957" s="87" t="str">
        <x:v>8630dcaa359b74ee3e76c2bc027a1a3a867a113ce1dbabba6ebcb5123170f788</x:v>
      </x:c>
      <x:c r="Q957" s="30" t="str">
        <x:v>incoming/raw/recovery-drop-01/russian_egkr_winter_visual_assets_v091.zip!/pages/VIS-EGKR-RUS-W25-TASK-953-P007.png</x:v>
      </x:c>
      <x:c r="R957" s="30" t="str">
        <x:v>MATCHED_ASSET</x:v>
      </x:c>
      <x:c r="S957" t="e">
        <x:f>HYPERLINK("visual_gallery/index.html#"&amp;A957,"Галерея")</x:f>
      </x:c>
    </x:row>
    <x:row r="958">
      <x:c r="A958" s="87" t="str">
        <x:v>VIS-EGKR-RUS-W25-TASK-953-P008</x:v>
      </x:c>
      <x:c r="B958" s="30" t="str">
        <x:v>Русский язык</x:v>
      </x:c>
      <x:c r="C958" s="30"/>
      <x:c r="D958" s="30" t="str">
        <x:v>953</x:v>
      </x:c>
      <x:c r="E958" s="87" t="str">
        <x:v>TASK</x:v>
      </x:c>
      <x:c r="F958" s="30" t="str">
        <x:v>953 вариант.pdf</x:v>
      </x:c>
      <x:c r="G958" s="87" t="str">
        <x:v>8</x:v>
      </x:c>
      <x:c r="H958" s="87" t="str">
        <x:v>v0.91</x:v>
      </x:c>
      <x:c r="I958" s="87" t="str">
        <x:v>3</x:v>
      </x:c>
      <x:c r="J958" s="30" t="str">
        <x:v>VIS_ID</x:v>
      </x:c>
      <x:c r="K958" s="30" t="str">
        <x:v>EGKR-W25-RUS-953-11, EGKR-W25-RUS-953-12, EGKR-W25-RUS-953-13</x:v>
      </x:c>
      <x:c r="L958" s="87" t="str">
        <x:v>CROP_VERIFIED</x:v>
      </x:c>
      <x:c r="M958" s="87" t="str">
        <x:v>ORIGINAL_PACKAGE</x:v>
      </x:c>
      <x:c r="N958" s="87" t="str">
        <x:v>pages/VIS-EGKR-RUS-W25-TASK-953-P008.png</x:v>
      </x:c>
      <x:c r="O958" s="87" t="str">
        <x:v>thumbnails/VIS-EGKR-RUS-W25-TASK-953-P008.jpg</x:v>
      </x:c>
      <x:c r="P958" s="87" t="str">
        <x:v>19ff48531e1760b72245cbb744d13a41a1b6413f535a4f7ab018b22b8cde1897</x:v>
      </x:c>
      <x:c r="Q958" s="30" t="str">
        <x:v>incoming/raw/recovery-drop-01/russian_egkr_winter_visual_assets_v091.zip!/pages/VIS-EGKR-RUS-W25-TASK-953-P008.png</x:v>
      </x:c>
      <x:c r="R958" s="30" t="str">
        <x:v>MATCHED_ASSET</x:v>
      </x:c>
      <x:c r="S958" t="e">
        <x:f>HYPERLINK("visual_gallery/index.html#"&amp;A958,"Галерея")</x:f>
      </x:c>
    </x:row>
    <x:row r="959">
      <x:c r="A959" s="87" t="str">
        <x:v>VIS-EGKR-RUS-W25-TASK-953-P009</x:v>
      </x:c>
      <x:c r="B959" s="30" t="str">
        <x:v>Русский язык</x:v>
      </x:c>
      <x:c r="C959" s="30"/>
      <x:c r="D959" s="30" t="str">
        <x:v>953</x:v>
      </x:c>
      <x:c r="E959" s="87" t="str">
        <x:v>TASK</x:v>
      </x:c>
      <x:c r="F959" s="30" t="str">
        <x:v>953 вариант.pdf</x:v>
      </x:c>
      <x:c r="G959" s="87" t="str">
        <x:v>9</x:v>
      </x:c>
      <x:c r="H959" s="87" t="str">
        <x:v>v0.91</x:v>
      </x:c>
      <x:c r="I959" s="87" t="str">
        <x:v>4</x:v>
      </x:c>
      <x:c r="J959" s="30" t="str">
        <x:v>VIS_ID</x:v>
      </x:c>
      <x:c r="K959" s="30" t="str">
        <x:v>EGKR-W25-RUS-953-14, EGKR-W25-RUS-953-15, EGKR-W25-RUS-953-16, EGKR-W25-RUS-953-17</x:v>
      </x:c>
      <x:c r="L959" s="87" t="str">
        <x:v>CROP_VERIFIED</x:v>
      </x:c>
      <x:c r="M959" s="87" t="str">
        <x:v>ORIGINAL_PACKAGE</x:v>
      </x:c>
      <x:c r="N959" s="87" t="str">
        <x:v>pages/VIS-EGKR-RUS-W25-TASK-953-P009.png</x:v>
      </x:c>
      <x:c r="O959" s="87" t="str">
        <x:v>thumbnails/VIS-EGKR-RUS-W25-TASK-953-P009.jpg</x:v>
      </x:c>
      <x:c r="P959" s="87" t="str">
        <x:v>88174e80d029e6fa24bfa9934321b8494e891b051612f7b1387b544c68ddc063</x:v>
      </x:c>
      <x:c r="Q959" s="30" t="str">
        <x:v>incoming/raw/recovery-drop-01/russian_egkr_winter_visual_assets_v091.zip!/pages/VIS-EGKR-RUS-W25-TASK-953-P009.png</x:v>
      </x:c>
      <x:c r="R959" s="30" t="str">
        <x:v>MATCHED_ASSET</x:v>
      </x:c>
      <x:c r="S959" t="e">
        <x:f>HYPERLINK("visual_gallery/index.html#"&amp;A959,"Галерея")</x:f>
      </x:c>
    </x:row>
    <x:row r="960">
      <x:c r="A960" s="87" t="str">
        <x:v>VIS-EGKR-RUS-W25-TASK-953-P010</x:v>
      </x:c>
      <x:c r="B960" s="30" t="str">
        <x:v>Русский язык</x:v>
      </x:c>
      <x:c r="C960" s="30"/>
      <x:c r="D960" s="30" t="str">
        <x:v>953</x:v>
      </x:c>
      <x:c r="E960" s="87" t="str">
        <x:v>TASK</x:v>
      </x:c>
      <x:c r="F960" s="30" t="str">
        <x:v>953 вариант.pdf</x:v>
      </x:c>
      <x:c r="G960" s="87" t="str">
        <x:v>10</x:v>
      </x:c>
      <x:c r="H960" s="87" t="str">
        <x:v>v0.91</x:v>
      </x:c>
      <x:c r="I960" s="87" t="str">
        <x:v>3</x:v>
      </x:c>
      <x:c r="J960" s="30" t="str">
        <x:v>VIS_ID</x:v>
      </x:c>
      <x:c r="K960" s="30" t="str">
        <x:v>EGKR-W25-RUS-953-18, EGKR-W25-RUS-953-19, EGKR-W25-RUS-953-20</x:v>
      </x:c>
      <x:c r="L960" s="87" t="str">
        <x:v>CROP_VERIFIED</x:v>
      </x:c>
      <x:c r="M960" s="87" t="str">
        <x:v>ORIGINAL_PACKAGE</x:v>
      </x:c>
      <x:c r="N960" s="87" t="str">
        <x:v>pages/VIS-EGKR-RUS-W25-TASK-953-P010.png</x:v>
      </x:c>
      <x:c r="O960" s="87" t="str">
        <x:v>thumbnails/VIS-EGKR-RUS-W25-TASK-953-P010.jpg</x:v>
      </x:c>
      <x:c r="P960" s="87" t="str">
        <x:v>5209e881e624b4216dcb2b3ae713cd98881f849d3bcaa7fec0266788df6a63c6</x:v>
      </x:c>
      <x:c r="Q960" s="30" t="str">
        <x:v>incoming/raw/recovery-drop-01/russian_egkr_winter_visual_assets_v091.zip!/pages/VIS-EGKR-RUS-W25-TASK-953-P010.png</x:v>
      </x:c>
      <x:c r="R960" s="30" t="str">
        <x:v>MATCHED_ASSET</x:v>
      </x:c>
      <x:c r="S960" t="e">
        <x:f>HYPERLINK("visual_gallery/index.html#"&amp;A960,"Галерея")</x:f>
      </x:c>
    </x:row>
    <x:row r="961">
      <x:c r="A961" s="87" t="str">
        <x:v>VIS-EGKR-RUS-W25-TASK-953-P011</x:v>
      </x:c>
      <x:c r="B961" s="30" t="str">
        <x:v>Русский язык</x:v>
      </x:c>
      <x:c r="C961" s="30"/>
      <x:c r="D961" s="30" t="str">
        <x:v>953</x:v>
      </x:c>
      <x:c r="E961" s="87" t="str">
        <x:v>TASK</x:v>
      </x:c>
      <x:c r="F961" s="30" t="str">
        <x:v>953 вариант.pdf</x:v>
      </x:c>
      <x:c r="G961" s="87" t="str">
        <x:v>11</x:v>
      </x:c>
      <x:c r="H961" s="87" t="str">
        <x:v>v0.91</x:v>
      </x:c>
      <x:c r="I961" s="87" t="str">
        <x:v>1</x:v>
      </x:c>
      <x:c r="J961" s="30" t="str">
        <x:v>VIS_ID</x:v>
      </x:c>
      <x:c r="K961" s="30" t="str">
        <x:v>EGKR-W25-RUS-953-21</x:v>
      </x:c>
      <x:c r="L961" s="87" t="str">
        <x:v>CROP_VERIFIED</x:v>
      </x:c>
      <x:c r="M961" s="87" t="str">
        <x:v>ORIGINAL_PACKAGE</x:v>
      </x:c>
      <x:c r="N961" s="87" t="str">
        <x:v>pages/VIS-EGKR-RUS-W25-TASK-953-P011.png</x:v>
      </x:c>
      <x:c r="O961" s="87" t="str">
        <x:v>thumbnails/VIS-EGKR-RUS-W25-TASK-953-P011.jpg</x:v>
      </x:c>
      <x:c r="P961" s="87" t="str">
        <x:v>4593fa60ee4b7c4027e90b5769154389649ee83db81865984aa7ebf81a3598a7</x:v>
      </x:c>
      <x:c r="Q961" s="30" t="str">
        <x:v>incoming/raw/recovery-drop-01/russian_egkr_winter_visual_assets_v091.zip!/pages/VIS-EGKR-RUS-W25-TASK-953-P011.png</x:v>
      </x:c>
      <x:c r="R961" s="30" t="str">
        <x:v>MATCHED_ASSET</x:v>
      </x:c>
      <x:c r="S961" t="e">
        <x:f>HYPERLINK("visual_gallery/index.html#"&amp;A961,"Галерея")</x:f>
      </x:c>
    </x:row>
    <x:row r="962">
      <x:c r="A962" s="87" t="str">
        <x:v>VIS-EGKR-RUS-W25-TASK-953-P012</x:v>
      </x:c>
      <x:c r="B962" s="30" t="str">
        <x:v>Русский язык</x:v>
      </x:c>
      <x:c r="C962" s="30"/>
      <x:c r="D962" s="30" t="str">
        <x:v>953</x:v>
      </x:c>
      <x:c r="E962" s="87" t="str">
        <x:v>TASK</x:v>
      </x:c>
      <x:c r="F962" s="30" t="str">
        <x:v>953 вариант.pdf</x:v>
      </x:c>
      <x:c r="G962" s="87" t="str">
        <x:v>12</x:v>
      </x:c>
      <x:c r="H962" s="87" t="str">
        <x:v>v0.91</x:v>
      </x:c>
      <x:c r="I962" s="87" t="str">
        <x:v>1</x:v>
      </x:c>
      <x:c r="J962" s="30" t="str">
        <x:v>VIS_ID</x:v>
      </x:c>
      <x:c r="K962" s="30" t="str">
        <x:v>EGKR-W25-RUS-953-22</x:v>
      </x:c>
      <x:c r="L962" s="87" t="str">
        <x:v>CROP_VERIFIED</x:v>
      </x:c>
      <x:c r="M962" s="87" t="str">
        <x:v>ORIGINAL_PACKAGE</x:v>
      </x:c>
      <x:c r="N962" s="87" t="str">
        <x:v>pages/VIS-EGKR-RUS-W25-TASK-953-P012.png</x:v>
      </x:c>
      <x:c r="O962" s="87" t="str">
        <x:v>thumbnails/VIS-EGKR-RUS-W25-TASK-953-P012.jpg</x:v>
      </x:c>
      <x:c r="P962" s="87" t="str">
        <x:v>242f34eef197c259a927a15d82464aeeba4fce57d221f9d6d8c44eab6962555e</x:v>
      </x:c>
      <x:c r="Q962" s="30" t="str">
        <x:v>incoming/raw/recovery-drop-01/russian_egkr_winter_visual_assets_v091.zip!/pages/VIS-EGKR-RUS-W25-TASK-953-P012.png</x:v>
      </x:c>
      <x:c r="R962" s="30" t="str">
        <x:v>MATCHED_ASSET</x:v>
      </x:c>
      <x:c r="S962" t="e">
        <x:f>HYPERLINK("visual_gallery/index.html#"&amp;A962,"Галерея")</x:f>
      </x:c>
    </x:row>
    <x:row r="963">
      <x:c r="A963" s="87" t="str">
        <x:v>VIS-EGKR-RUS-W25-TASK-953-P013</x:v>
      </x:c>
      <x:c r="B963" s="30" t="str"/>
      <x:c r="C963" s="30"/>
      <x:c r="D963" s="30" t="str">
        <x:v>953</x:v>
      </x:c>
      <x:c r="E963" s="87" t="str">
        <x:v>TASK</x:v>
      </x:c>
      <x:c r="F963" s="30" t="str">
        <x:v>953 вариант.pdf</x:v>
      </x:c>
      <x:c r="G963" s="87" t="str">
        <x:v>13</x:v>
      </x:c>
      <x:c r="H963" s="87" t="str">
        <x:v>v0.91</x:v>
      </x:c>
      <x:c r="I963" s="87" t="str">
        <x:v>0</x:v>
      </x:c>
      <x:c r="J963" s="30" t="str"/>
      <x:c r="K963" s="30" t="str"/>
      <x:c r="L963" s="87" t="str">
        <x:v>CROP_VERIFIED</x:v>
      </x:c>
      <x:c r="M963" s="87" t="str">
        <x:v>ORIGINAL_PACKAGE</x:v>
      </x:c>
      <x:c r="N963" s="87" t="str">
        <x:v>pages/VIS-EGKR-RUS-W25-TASK-953-P013.png</x:v>
      </x:c>
      <x:c r="O963" s="87" t="str">
        <x:v>thumbnails/VIS-EGKR-RUS-W25-TASK-953-P013.jpg</x:v>
      </x:c>
      <x:c r="P963" s="87" t="str">
        <x:v>0b51ee910c462ab9101ad3b7e4192190e245090099c257dce7032c93632ff4cb</x:v>
      </x:c>
      <x:c r="Q963" s="30" t="str">
        <x:v>incoming/raw/recovery-drop-01/russian_egkr_winter_visual_assets_v091.zip!/pages/VIS-EGKR-RUS-W25-TASK-953-P013.png</x:v>
      </x:c>
      <x:c r="R963" s="30" t="str">
        <x:v>RESOLVED_UNLINKED_REGISTRY_VISUAL</x:v>
      </x:c>
      <x:c r="S963" t="e">
        <x:f>HYPERLINK("visual_gallery/index.html#"&amp;A963,"Галерея")</x:f>
      </x:c>
    </x:row>
    <x:row r="964">
      <x:c r="A964" s="87" t="str">
        <x:v>VIS-EGKR-RUS-W25-TASK-953-P014</x:v>
      </x:c>
      <x:c r="B964" s="30" t="str"/>
      <x:c r="C964" s="30"/>
      <x:c r="D964" s="30" t="str">
        <x:v>953</x:v>
      </x:c>
      <x:c r="E964" s="87" t="str">
        <x:v>TASK</x:v>
      </x:c>
      <x:c r="F964" s="30" t="str">
        <x:v>953 вариант.pdf</x:v>
      </x:c>
      <x:c r="G964" s="87" t="str">
        <x:v>14</x:v>
      </x:c>
      <x:c r="H964" s="87" t="str">
        <x:v>v0.91</x:v>
      </x:c>
      <x:c r="I964" s="87" t="str">
        <x:v>0</x:v>
      </x:c>
      <x:c r="J964" s="30" t="str"/>
      <x:c r="K964" s="30" t="str"/>
      <x:c r="L964" s="87" t="str">
        <x:v>CROP_VERIFIED</x:v>
      </x:c>
      <x:c r="M964" s="87" t="str">
        <x:v>ORIGINAL_PACKAGE</x:v>
      </x:c>
      <x:c r="N964" s="87" t="str">
        <x:v>pages/VIS-EGKR-RUS-W25-TASK-953-P014.png</x:v>
      </x:c>
      <x:c r="O964" s="87" t="str">
        <x:v>thumbnails/VIS-EGKR-RUS-W25-TASK-953-P014.jpg</x:v>
      </x:c>
      <x:c r="P964" s="87" t="str">
        <x:v>6d8bc9d88b637b6b821b0a715340cef1aeeac8aa5ebd0530a05351f3a1b20a4a</x:v>
      </x:c>
      <x:c r="Q964" s="30" t="str">
        <x:v>incoming/raw/recovery-drop-01/russian_egkr_winter_visual_assets_v091.zip!/pages/VIS-EGKR-RUS-W25-TASK-953-P014.png</x:v>
      </x:c>
      <x:c r="R964" s="30" t="str">
        <x:v>RESOLVED_UNLINKED_REGISTRY_VISUAL</x:v>
      </x:c>
      <x:c r="S964" t="e">
        <x:f>HYPERLINK("visual_gallery/index.html#"&amp;A964,"Галерея")</x:f>
      </x:c>
    </x:row>
    <x:row r="965">
      <x:c r="A965" s="87" t="str">
        <x:v>VIS-EGKR-RUS-W25-TASK-953-P015</x:v>
      </x:c>
      <x:c r="B965" s="30" t="str">
        <x:v>Русский язык</x:v>
      </x:c>
      <x:c r="C965" s="30"/>
      <x:c r="D965" s="30" t="str">
        <x:v>953</x:v>
      </x:c>
      <x:c r="E965" s="87" t="str">
        <x:v>TASK</x:v>
      </x:c>
      <x:c r="F965" s="30" t="str">
        <x:v>953 вариант.pdf</x:v>
      </x:c>
      <x:c r="G965" s="87" t="str">
        <x:v>15</x:v>
      </x:c>
      <x:c r="H965" s="87" t="str">
        <x:v>v0.91</x:v>
      </x:c>
      <x:c r="I965" s="87" t="str">
        <x:v>1</x:v>
      </x:c>
      <x:c r="J965" s="30" t="str">
        <x:v>VIS_ID</x:v>
      </x:c>
      <x:c r="K965" s="30" t="str">
        <x:v>EGKR-W25-RUS-953-23</x:v>
      </x:c>
      <x:c r="L965" s="87" t="str">
        <x:v>CROP_VERIFIED</x:v>
      </x:c>
      <x:c r="M965" s="87" t="str">
        <x:v>ORIGINAL_PACKAGE</x:v>
      </x:c>
      <x:c r="N965" s="87" t="str">
        <x:v>pages/VIS-EGKR-RUS-W25-TASK-953-P015.png</x:v>
      </x:c>
      <x:c r="O965" s="87" t="str">
        <x:v>thumbnails/VIS-EGKR-RUS-W25-TASK-953-P015.jpg</x:v>
      </x:c>
      <x:c r="P965" s="87" t="str">
        <x:v>6d8bc9d88b637b6b821b0a715340cef1aeeac8aa5ebd0530a05351f3a1b20a4a</x:v>
      </x:c>
      <x:c r="Q965" s="30" t="str">
        <x:v>incoming/raw/recovery-drop-01/russian_egkr_winter_visual_assets_v091.zip!/pages/VIS-EGKR-RUS-W25-TASK-953-P014.png</x:v>
      </x:c>
      <x:c r="R965" s="30" t="str">
        <x:v>MATCHED_ASSET</x:v>
      </x:c>
      <x:c r="S965" t="e">
        <x:f>HYPERLINK("visual_gallery/index.html#"&amp;A965,"Галерея")</x:f>
      </x:c>
    </x:row>
    <x:row r="966">
      <x:c r="A966" s="87" t="str">
        <x:v>VIS-EGKR-RUS-W25-TASK-953-P016</x:v>
      </x:c>
      <x:c r="B966" s="30" t="str">
        <x:v>Русский язык</x:v>
      </x:c>
      <x:c r="C966" s="30"/>
      <x:c r="D966" s="30" t="str">
        <x:v>953</x:v>
      </x:c>
      <x:c r="E966" s="87" t="str">
        <x:v>TASK</x:v>
      </x:c>
      <x:c r="F966" s="30" t="str">
        <x:v>953 вариант.pdf</x:v>
      </x:c>
      <x:c r="G966" s="87" t="str">
        <x:v>16</x:v>
      </x:c>
      <x:c r="H966" s="87" t="str">
        <x:v>v0.91</x:v>
      </x:c>
      <x:c r="I966" s="87" t="str">
        <x:v>3</x:v>
      </x:c>
      <x:c r="J966" s="30" t="str">
        <x:v>VIS_ID</x:v>
      </x:c>
      <x:c r="K966" s="30" t="str">
        <x:v>EGKR-W25-RUS-953-24, EGKR-W25-RUS-953-25, EGKR-W25-RUS-953-26</x:v>
      </x:c>
      <x:c r="L966" s="87" t="str">
        <x:v>CROP_VERIFIED</x:v>
      </x:c>
      <x:c r="M966" s="87" t="str">
        <x:v>ORIGINAL_PACKAGE</x:v>
      </x:c>
      <x:c r="N966" s="87" t="str">
        <x:v>pages/VIS-EGKR-RUS-W25-TASK-953-P016.png</x:v>
      </x:c>
      <x:c r="O966" s="87" t="str">
        <x:v>thumbnails/VIS-EGKR-RUS-W25-TASK-953-P016.jpg</x:v>
      </x:c>
      <x:c r="P966" s="87" t="str">
        <x:v>dcd8210452efa5696d0ea2009dfa9a3d1b027c5977995aeb6a26072fd5c937eb</x:v>
      </x:c>
      <x:c r="Q966" s="30" t="str">
        <x:v>incoming/raw/recovery-drop-01/russian_egkr_winter_visual_assets_v091.zip!/pages/VIS-EGKR-RUS-W25-TASK-953-P016.png</x:v>
      </x:c>
      <x:c r="R966" s="30" t="str">
        <x:v>MATCHED_ASSET</x:v>
      </x:c>
      <x:c r="S966" t="e">
        <x:f>HYPERLINK("visual_gallery/index.html#"&amp;A966,"Галерея")</x:f>
      </x:c>
    </x:row>
    <x:row r="967">
      <x:c r="A967" s="87" t="str">
        <x:v>VIS-EGKR-RUS-W25-TASK-953-P017</x:v>
      </x:c>
      <x:c r="B967" s="30" t="str">
        <x:v>Русский язык</x:v>
      </x:c>
      <x:c r="C967" s="30"/>
      <x:c r="D967" s="30" t="str">
        <x:v>953</x:v>
      </x:c>
      <x:c r="E967" s="87" t="str">
        <x:v>TASK</x:v>
      </x:c>
      <x:c r="F967" s="30" t="str">
        <x:v>953 вариант.pdf</x:v>
      </x:c>
      <x:c r="G967" s="87" t="str">
        <x:v>17</x:v>
      </x:c>
      <x:c r="H967" s="87" t="str">
        <x:v>v0.91</x:v>
      </x:c>
      <x:c r="I967" s="87" t="str">
        <x:v>1</x:v>
      </x:c>
      <x:c r="J967" s="30" t="str">
        <x:v>VIS_ID</x:v>
      </x:c>
      <x:c r="K967" s="30" t="str">
        <x:v>EGKR-W25-RUS-953-27</x:v>
      </x:c>
      <x:c r="L967" s="87" t="str">
        <x:v>CROP_VERIFIED</x:v>
      </x:c>
      <x:c r="M967" s="87" t="str">
        <x:v>ORIGINAL_PACKAGE</x:v>
      </x:c>
      <x:c r="N967" s="87" t="str">
        <x:v>pages/VIS-EGKR-RUS-W25-TASK-953-P017.png</x:v>
      </x:c>
      <x:c r="O967" s="87" t="str">
        <x:v>thumbnails/VIS-EGKR-RUS-W25-TASK-953-P017.jpg</x:v>
      </x:c>
      <x:c r="P967" s="87" t="str">
        <x:v>ae983e70e0d2a3b97bfdd180ee5e9730aad28d1954080780fe2578c59322e8dc</x:v>
      </x:c>
      <x:c r="Q967" s="30" t="str">
        <x:v>incoming/raw/recovery-drop-01/russian_egkr_winter_visual_assets_v091.zip!/pages/VIS-EGKR-RUS-W25-TASK-953-P017.png</x:v>
      </x:c>
      <x:c r="R967" s="30" t="str">
        <x:v>MATCHED_ASSET</x:v>
      </x:c>
      <x:c r="S967" t="e">
        <x:f>HYPERLINK("visual_gallery/index.html#"&amp;A967,"Галерея")</x:f>
      </x:c>
    </x:row>
    <x:row r="968">
      <x:c r="A968" s="87" t="str">
        <x:v>VIS-EGKR-RUS-W25-TASK-954-P001</x:v>
      </x:c>
      <x:c r="B968" s="30" t="str"/>
      <x:c r="C968" s="30"/>
      <x:c r="D968" s="30" t="str">
        <x:v>954</x:v>
      </x:c>
      <x:c r="E968" s="87" t="str">
        <x:v>TASK</x:v>
      </x:c>
      <x:c r="F968" s="30" t="str">
        <x:v>Вариант 954.pdf</x:v>
      </x:c>
      <x:c r="G968" s="87" t="str">
        <x:v>1</x:v>
      </x:c>
      <x:c r="H968" s="87" t="str">
        <x:v>v0.91</x:v>
      </x:c>
      <x:c r="I968" s="87" t="str">
        <x:v>0</x:v>
      </x:c>
      <x:c r="J968" s="30" t="str"/>
      <x:c r="K968" s="30" t="str"/>
      <x:c r="L968" s="87" t="str">
        <x:v>CROP_VERIFIED</x:v>
      </x:c>
      <x:c r="M968" s="87" t="str">
        <x:v>ORIGINAL_PACKAGE</x:v>
      </x:c>
      <x:c r="N968" s="87" t="str">
        <x:v>pages/VIS-EGKR-RUS-W25-TASK-954-P001.png</x:v>
      </x:c>
      <x:c r="O968" s="87" t="str">
        <x:v>thumbnails/VIS-EGKR-RUS-W25-TASK-954-P001.jpg</x:v>
      </x:c>
      <x:c r="P968" s="87" t="str">
        <x:v>ffb4ede3ba1388a5e2b2b5eb7d826fafed169e97edfb2e9c8bad33cffff46def</x:v>
      </x:c>
      <x:c r="Q968" s="30" t="str">
        <x:v>incoming/raw/recovery-drop-01/russian_egkr_winter_visual_assets_v091.zip!/pages/VIS-EGKR-RUS-W25-TASK-954-P001.png</x:v>
      </x:c>
      <x:c r="R968" s="30" t="str">
        <x:v>RESOLVED_UNLINKED_REGISTRY_VISUAL</x:v>
      </x:c>
      <x:c r="S968" t="e">
        <x:f>HYPERLINK("visual_gallery/index.html#"&amp;A968,"Галерея")</x:f>
      </x:c>
    </x:row>
    <x:row r="969">
      <x:c r="A969" s="87" t="str">
        <x:v>VIS-EGKR-RUS-W25-TASK-954-P002</x:v>
      </x:c>
      <x:c r="B969" s="30" t="str">
        <x:v>Русский язык</x:v>
      </x:c>
      <x:c r="C969" s="30"/>
      <x:c r="D969" s="30" t="str">
        <x:v>954</x:v>
      </x:c>
      <x:c r="E969" s="87" t="str">
        <x:v>TASK</x:v>
      </x:c>
      <x:c r="F969" s="30" t="str">
        <x:v>Вариант 954.pdf</x:v>
      </x:c>
      <x:c r="G969" s="87" t="str">
        <x:v>2</x:v>
      </x:c>
      <x:c r="H969" s="87" t="str">
        <x:v>v0.91</x:v>
      </x:c>
      <x:c r="I969" s="87" t="str">
        <x:v>1</x:v>
      </x:c>
      <x:c r="J969" s="30" t="str">
        <x:v>VIS_ID</x:v>
      </x:c>
      <x:c r="K969" s="30" t="str">
        <x:v>EGKR-W25-RUS-954-01</x:v>
      </x:c>
      <x:c r="L969" s="87" t="str">
        <x:v>CROP_VERIFIED</x:v>
      </x:c>
      <x:c r="M969" s="87" t="str">
        <x:v>ORIGINAL_PACKAGE</x:v>
      </x:c>
      <x:c r="N969" s="87" t="str">
        <x:v>pages/VIS-EGKR-RUS-W25-TASK-954-P002.png</x:v>
      </x:c>
      <x:c r="O969" s="87" t="str">
        <x:v>thumbnails/VIS-EGKR-RUS-W25-TASK-954-P002.jpg</x:v>
      </x:c>
      <x:c r="P969" s="87" t="str">
        <x:v>381e7ff286737c354b69facc34baccce61653d60753b47a9992ddad4f027c778</x:v>
      </x:c>
      <x:c r="Q969" s="30" t="str">
        <x:v>incoming/raw/recovery-drop-01/russian_egkr_winter_visual_assets_v091.zip!/pages/VIS-EGKR-RUS-W25-TASK-954-P002.png</x:v>
      </x:c>
      <x:c r="R969" s="30" t="str">
        <x:v>MATCHED_ASSET</x:v>
      </x:c>
      <x:c r="S969" t="e">
        <x:f>HYPERLINK("visual_gallery/index.html#"&amp;A969,"Галерея")</x:f>
      </x:c>
    </x:row>
    <x:row r="970">
      <x:c r="A970" s="87" t="str">
        <x:v>VIS-EGKR-RUS-W25-TASK-954-P003</x:v>
      </x:c>
      <x:c r="B970" s="30" t="str">
        <x:v>Русский язык</x:v>
      </x:c>
      <x:c r="C970" s="30"/>
      <x:c r="D970" s="30" t="str">
        <x:v>954</x:v>
      </x:c>
      <x:c r="E970" s="87" t="str">
        <x:v>TASK</x:v>
      </x:c>
      <x:c r="F970" s="30" t="str">
        <x:v>Вариант 954.pdf</x:v>
      </x:c>
      <x:c r="G970" s="87" t="str">
        <x:v>3</x:v>
      </x:c>
      <x:c r="H970" s="87" t="str">
        <x:v>v0.91</x:v>
      </x:c>
      <x:c r="I970" s="87" t="str">
        <x:v>2</x:v>
      </x:c>
      <x:c r="J970" s="30" t="str">
        <x:v>VIS_ID</x:v>
      </x:c>
      <x:c r="K970" s="30" t="str">
        <x:v>EGKR-W25-RUS-954-02, EGKR-W25-RUS-954-03</x:v>
      </x:c>
      <x:c r="L970" s="87" t="str">
        <x:v>CROP_VERIFIED</x:v>
      </x:c>
      <x:c r="M970" s="87" t="str">
        <x:v>ORIGINAL_PACKAGE</x:v>
      </x:c>
      <x:c r="N970" s="87" t="str">
        <x:v>pages/VIS-EGKR-RUS-W25-TASK-954-P003.png</x:v>
      </x:c>
      <x:c r="O970" s="87" t="str">
        <x:v>thumbnails/VIS-EGKR-RUS-W25-TASK-954-P003.jpg</x:v>
      </x:c>
      <x:c r="P970" s="87" t="str">
        <x:v>081c9786caaafb59a0b137d1dabcbd4a39eb60ba1fca8370404b30bb8a8dbb9c</x:v>
      </x:c>
      <x:c r="Q970" s="30" t="str">
        <x:v>incoming/raw/recovery-drop-01/russian_egkr_winter_visual_assets_v091.zip!/pages/VIS-EGKR-RUS-W25-TASK-954-P003.png</x:v>
      </x:c>
      <x:c r="R970" s="30" t="str">
        <x:v>MATCHED_ASSET</x:v>
      </x:c>
      <x:c r="S970" t="e">
        <x:f>HYPERLINK("visual_gallery/index.html#"&amp;A970,"Галерея")</x:f>
      </x:c>
    </x:row>
    <x:row r="971">
      <x:c r="A971" s="87" t="str">
        <x:v>VIS-EGKR-RUS-W25-TASK-954-P004</x:v>
      </x:c>
      <x:c r="B971" s="30" t="str">
        <x:v>Русский язык</x:v>
      </x:c>
      <x:c r="C971" s="30"/>
      <x:c r="D971" s="30" t="str">
        <x:v>954</x:v>
      </x:c>
      <x:c r="E971" s="87" t="str">
        <x:v>TASK</x:v>
      </x:c>
      <x:c r="F971" s="30" t="str">
        <x:v>Вариант 954.pdf</x:v>
      </x:c>
      <x:c r="G971" s="87" t="str">
        <x:v>4</x:v>
      </x:c>
      <x:c r="H971" s="87" t="str">
        <x:v>v0.91</x:v>
      </x:c>
      <x:c r="I971" s="87" t="str">
        <x:v>2</x:v>
      </x:c>
      <x:c r="J971" s="30" t="str">
        <x:v>VIS_ID</x:v>
      </x:c>
      <x:c r="K971" s="30" t="str">
        <x:v>EGKR-W25-RUS-954-04, EGKR-W25-RUS-954-05</x:v>
      </x:c>
      <x:c r="L971" s="87" t="str">
        <x:v>CROP_VERIFIED</x:v>
      </x:c>
      <x:c r="M971" s="87" t="str">
        <x:v>ORIGINAL_PACKAGE</x:v>
      </x:c>
      <x:c r="N971" s="87" t="str">
        <x:v>pages/VIS-EGKR-RUS-W25-TASK-954-P004.png</x:v>
      </x:c>
      <x:c r="O971" s="87" t="str">
        <x:v>thumbnails/VIS-EGKR-RUS-W25-TASK-954-P004.jpg</x:v>
      </x:c>
      <x:c r="P971" s="87" t="str">
        <x:v>6fcbb9c75e26ebd0ed0907ae6ba1db57344d931e029f5b83e861c6e10fed4839</x:v>
      </x:c>
      <x:c r="Q971" s="30" t="str">
        <x:v>incoming/raw/recovery-drop-01/russian_egkr_winter_visual_assets_v091.zip!/pages/VIS-EGKR-RUS-W25-TASK-954-P004.png</x:v>
      </x:c>
      <x:c r="R971" s="30" t="str">
        <x:v>MATCHED_ASSET</x:v>
      </x:c>
      <x:c r="S971" t="e">
        <x:f>HYPERLINK("visual_gallery/index.html#"&amp;A971,"Галерея")</x:f>
      </x:c>
    </x:row>
    <x:row r="972">
      <x:c r="A972" s="87" t="str">
        <x:v>VIS-EGKR-RUS-W25-TASK-954-P005</x:v>
      </x:c>
      <x:c r="B972" s="30" t="str">
        <x:v>Русский язык</x:v>
      </x:c>
      <x:c r="C972" s="30"/>
      <x:c r="D972" s="30" t="str">
        <x:v>954</x:v>
      </x:c>
      <x:c r="E972" s="87" t="str">
        <x:v>TASK</x:v>
      </x:c>
      <x:c r="F972" s="30" t="str">
        <x:v>Вариант 954.pdf</x:v>
      </x:c>
      <x:c r="G972" s="87" t="str">
        <x:v>5</x:v>
      </x:c>
      <x:c r="H972" s="87" t="str">
        <x:v>v0.91</x:v>
      </x:c>
      <x:c r="I972" s="87" t="str">
        <x:v>2</x:v>
      </x:c>
      <x:c r="J972" s="30" t="str">
        <x:v>VIS_ID</x:v>
      </x:c>
      <x:c r="K972" s="30" t="str">
        <x:v>EGKR-W25-RUS-954-06, EGKR-W25-RUS-954-07</x:v>
      </x:c>
      <x:c r="L972" s="87" t="str">
        <x:v>CROP_VERIFIED</x:v>
      </x:c>
      <x:c r="M972" s="87" t="str">
        <x:v>ORIGINAL_PACKAGE</x:v>
      </x:c>
      <x:c r="N972" s="87" t="str">
        <x:v>pages/VIS-EGKR-RUS-W25-TASK-954-P005.png</x:v>
      </x:c>
      <x:c r="O972" s="87" t="str">
        <x:v>thumbnails/VIS-EGKR-RUS-W25-TASK-954-P005.jpg</x:v>
      </x:c>
      <x:c r="P972" s="87" t="str">
        <x:v>b3b8008e07f1614d5626b14ecb844be30b710588ca26c036393213bf380ca2fe</x:v>
      </x:c>
      <x:c r="Q972" s="30" t="str">
        <x:v>incoming/raw/recovery-drop-01/russian_egkr_winter_visual_assets_v091.zip!/pages/VIS-EGKR-RUS-W25-TASK-954-P005.png</x:v>
      </x:c>
      <x:c r="R972" s="30" t="str">
        <x:v>MATCHED_ASSET</x:v>
      </x:c>
      <x:c r="S972" t="e">
        <x:f>HYPERLINK("visual_gallery/index.html#"&amp;A972,"Галерея")</x:f>
      </x:c>
    </x:row>
    <x:row r="973">
      <x:c r="A973" s="87" t="str">
        <x:v>VIS-EGKR-RUS-W25-TASK-954-P006</x:v>
      </x:c>
      <x:c r="B973" s="30" t="str">
        <x:v>Русский язык</x:v>
      </x:c>
      <x:c r="C973" s="30"/>
      <x:c r="D973" s="30" t="str">
        <x:v>954</x:v>
      </x:c>
      <x:c r="E973" s="87" t="str">
        <x:v>TASK</x:v>
      </x:c>
      <x:c r="F973" s="30" t="str">
        <x:v>Вариант 954.pdf</x:v>
      </x:c>
      <x:c r="G973" s="87" t="str">
        <x:v>6</x:v>
      </x:c>
      <x:c r="H973" s="87" t="str">
        <x:v>v0.91</x:v>
      </x:c>
      <x:c r="I973" s="87" t="str">
        <x:v>1</x:v>
      </x:c>
      <x:c r="J973" s="30" t="str">
        <x:v>VIS_ID</x:v>
      </x:c>
      <x:c r="K973" s="30" t="str">
        <x:v>EGKR-W25-RUS-954-08</x:v>
      </x:c>
      <x:c r="L973" s="87" t="str">
        <x:v>CROP_VERIFIED</x:v>
      </x:c>
      <x:c r="M973" s="87" t="str">
        <x:v>ORIGINAL_PACKAGE</x:v>
      </x:c>
      <x:c r="N973" s="87" t="str">
        <x:v>pages/VIS-EGKR-RUS-W25-TASK-954-P006.png</x:v>
      </x:c>
      <x:c r="O973" s="87" t="str">
        <x:v>thumbnails/VIS-EGKR-RUS-W25-TASK-954-P006.jpg</x:v>
      </x:c>
      <x:c r="P973" s="87" t="str">
        <x:v>cfe7a875f71b2530ac59314b42f3c3722c5c9243a2abb69429c9c7ede1fa50d5</x:v>
      </x:c>
      <x:c r="Q973" s="30" t="str">
        <x:v>incoming/raw/recovery-drop-01/russian_egkr_winter_visual_assets_v091.zip!/pages/VIS-EGKR-RUS-W25-TASK-954-P006.png</x:v>
      </x:c>
      <x:c r="R973" s="30" t="str">
        <x:v>MATCHED_ASSET</x:v>
      </x:c>
      <x:c r="S973" t="e">
        <x:f>HYPERLINK("visual_gallery/index.html#"&amp;A973,"Галерея")</x:f>
      </x:c>
    </x:row>
    <x:row r="974">
      <x:c r="A974" s="87" t="str">
        <x:v>VIS-EGKR-RUS-W25-TASK-954-P007</x:v>
      </x:c>
      <x:c r="B974" s="30" t="str">
        <x:v>Русский язык</x:v>
      </x:c>
      <x:c r="C974" s="30"/>
      <x:c r="D974" s="30" t="str">
        <x:v>954</x:v>
      </x:c>
      <x:c r="E974" s="87" t="str">
        <x:v>TASK</x:v>
      </x:c>
      <x:c r="F974" s="30" t="str">
        <x:v>Вариант 954.pdf</x:v>
      </x:c>
      <x:c r="G974" s="87" t="str">
        <x:v>7</x:v>
      </x:c>
      <x:c r="H974" s="87" t="str">
        <x:v>v0.91</x:v>
      </x:c>
      <x:c r="I974" s="87" t="str">
        <x:v>3</x:v>
      </x:c>
      <x:c r="J974" s="30" t="str">
        <x:v>VIS_ID</x:v>
      </x:c>
      <x:c r="K974" s="30" t="str">
        <x:v>EGKR-W25-RUS-954-09, EGKR-W25-RUS-954-10, EGKR-W25-RUS-954-11</x:v>
      </x:c>
      <x:c r="L974" s="87" t="str">
        <x:v>CROP_VERIFIED</x:v>
      </x:c>
      <x:c r="M974" s="87" t="str">
        <x:v>ORIGINAL_PACKAGE</x:v>
      </x:c>
      <x:c r="N974" s="87" t="str">
        <x:v>pages/VIS-EGKR-RUS-W25-TASK-954-P007.png</x:v>
      </x:c>
      <x:c r="O974" s="87" t="str">
        <x:v>thumbnails/VIS-EGKR-RUS-W25-TASK-954-P007.jpg</x:v>
      </x:c>
      <x:c r="P974" s="87" t="str">
        <x:v>2bcf401cd8f5e05f68042000e6418c1a7b7ec8468af30e6b76811600264b2424</x:v>
      </x:c>
      <x:c r="Q974" s="30" t="str">
        <x:v>incoming/raw/recovery-drop-01/russian_egkr_winter_visual_assets_v091.zip!/pages/VIS-EGKR-RUS-W25-TASK-954-P007.png</x:v>
      </x:c>
      <x:c r="R974" s="30" t="str">
        <x:v>MATCHED_ASSET</x:v>
      </x:c>
      <x:c r="S974" t="e">
        <x:f>HYPERLINK("visual_gallery/index.html#"&amp;A974,"Галерея")</x:f>
      </x:c>
    </x:row>
    <x:row r="975">
      <x:c r="A975" s="87" t="str">
        <x:v>VIS-EGKR-RUS-W25-TASK-954-P008</x:v>
      </x:c>
      <x:c r="B975" s="30" t="str">
        <x:v>Русский язык</x:v>
      </x:c>
      <x:c r="C975" s="30"/>
      <x:c r="D975" s="30" t="str">
        <x:v>954</x:v>
      </x:c>
      <x:c r="E975" s="87" t="str">
        <x:v>TASK</x:v>
      </x:c>
      <x:c r="F975" s="30" t="str">
        <x:v>Вариант 954.pdf</x:v>
      </x:c>
      <x:c r="G975" s="87" t="str">
        <x:v>8</x:v>
      </x:c>
      <x:c r="H975" s="87" t="str">
        <x:v>v0.91</x:v>
      </x:c>
      <x:c r="I975" s="87" t="str">
        <x:v>2</x:v>
      </x:c>
      <x:c r="J975" s="30" t="str">
        <x:v>VIS_ID</x:v>
      </x:c>
      <x:c r="K975" s="30" t="str">
        <x:v>EGKR-W25-RUS-954-12, EGKR-W25-RUS-954-13</x:v>
      </x:c>
      <x:c r="L975" s="87" t="str">
        <x:v>CROP_VERIFIED</x:v>
      </x:c>
      <x:c r="M975" s="87" t="str">
        <x:v>ORIGINAL_PACKAGE</x:v>
      </x:c>
      <x:c r="N975" s="87" t="str">
        <x:v>pages/VIS-EGKR-RUS-W25-TASK-954-P008.png</x:v>
      </x:c>
      <x:c r="O975" s="87" t="str">
        <x:v>thumbnails/VIS-EGKR-RUS-W25-TASK-954-P008.jpg</x:v>
      </x:c>
      <x:c r="P975" s="87" t="str">
        <x:v>a18dfc930c0e191e9d45d1967366aac00daca0878cc00a30384daf5477acb9e2</x:v>
      </x:c>
      <x:c r="Q975" s="30" t="str">
        <x:v>incoming/raw/recovery-drop-01/russian_egkr_winter_visual_assets_v091.zip!/pages/VIS-EGKR-RUS-W25-TASK-954-P008.png</x:v>
      </x:c>
      <x:c r="R975" s="30" t="str">
        <x:v>MATCHED_ASSET</x:v>
      </x:c>
      <x:c r="S975" t="e">
        <x:f>HYPERLINK("visual_gallery/index.html#"&amp;A975,"Галерея")</x:f>
      </x:c>
    </x:row>
    <x:row r="976">
      <x:c r="A976" s="87" t="str">
        <x:v>VIS-EGKR-RUS-W25-TASK-954-P009</x:v>
      </x:c>
      <x:c r="B976" s="30" t="str">
        <x:v>Русский язык</x:v>
      </x:c>
      <x:c r="C976" s="30"/>
      <x:c r="D976" s="30" t="str">
        <x:v>954</x:v>
      </x:c>
      <x:c r="E976" s="87" t="str">
        <x:v>TASK</x:v>
      </x:c>
      <x:c r="F976" s="30" t="str">
        <x:v>Вариант 954.pdf</x:v>
      </x:c>
      <x:c r="G976" s="87" t="str">
        <x:v>9</x:v>
      </x:c>
      <x:c r="H976" s="87" t="str">
        <x:v>v0.91</x:v>
      </x:c>
      <x:c r="I976" s="87" t="str">
        <x:v>3</x:v>
      </x:c>
      <x:c r="J976" s="30" t="str">
        <x:v>VIS_ID</x:v>
      </x:c>
      <x:c r="K976" s="30" t="str">
        <x:v>EGKR-W25-RUS-954-14, EGKR-W25-RUS-954-15, EGKR-W25-RUS-954-16</x:v>
      </x:c>
      <x:c r="L976" s="87" t="str">
        <x:v>CROP_VERIFIED</x:v>
      </x:c>
      <x:c r="M976" s="87" t="str">
        <x:v>ORIGINAL_PACKAGE</x:v>
      </x:c>
      <x:c r="N976" s="87" t="str">
        <x:v>pages/VIS-EGKR-RUS-W25-TASK-954-P009.png</x:v>
      </x:c>
      <x:c r="O976" s="87" t="str">
        <x:v>thumbnails/VIS-EGKR-RUS-W25-TASK-954-P009.jpg</x:v>
      </x:c>
      <x:c r="P976" s="87" t="str">
        <x:v>c599931ad9001cf300bc68880b140c9d0e67c91e33cf120f1b02db65c546a3ba</x:v>
      </x:c>
      <x:c r="Q976" s="30" t="str">
        <x:v>incoming/raw/recovery-drop-01/russian_egkr_winter_visual_assets_v091.zip!/pages/VIS-EGKR-RUS-W25-TASK-954-P009.png</x:v>
      </x:c>
      <x:c r="R976" s="30" t="str">
        <x:v>MATCHED_ASSET</x:v>
      </x:c>
      <x:c r="S976" t="e">
        <x:f>HYPERLINK("visual_gallery/index.html#"&amp;A976,"Галерея")</x:f>
      </x:c>
    </x:row>
    <x:row r="977">
      <x:c r="A977" s="87" t="str">
        <x:v>VIS-EGKR-RUS-W25-TASK-954-P010</x:v>
      </x:c>
      <x:c r="B977" s="30" t="str">
        <x:v>Русский язык</x:v>
      </x:c>
      <x:c r="C977" s="30"/>
      <x:c r="D977" s="30" t="str">
        <x:v>954</x:v>
      </x:c>
      <x:c r="E977" s="87" t="str">
        <x:v>TASK</x:v>
      </x:c>
      <x:c r="F977" s="30" t="str">
        <x:v>Вариант 954.pdf</x:v>
      </x:c>
      <x:c r="G977" s="87" t="str">
        <x:v>10</x:v>
      </x:c>
      <x:c r="H977" s="87" t="str">
        <x:v>v0.91</x:v>
      </x:c>
      <x:c r="I977" s="87" t="str">
        <x:v>3</x:v>
      </x:c>
      <x:c r="J977" s="30" t="str">
        <x:v>VIS_ID</x:v>
      </x:c>
      <x:c r="K977" s="30" t="str">
        <x:v>EGKR-W25-RUS-954-17, EGKR-W25-RUS-954-18, EGKR-W25-RUS-954-19</x:v>
      </x:c>
      <x:c r="L977" s="87" t="str">
        <x:v>CROP_VERIFIED</x:v>
      </x:c>
      <x:c r="M977" s="87" t="str">
        <x:v>ORIGINAL_PACKAGE</x:v>
      </x:c>
      <x:c r="N977" s="87" t="str">
        <x:v>pages/VIS-EGKR-RUS-W25-TASK-954-P010.png</x:v>
      </x:c>
      <x:c r="O977" s="87" t="str">
        <x:v>thumbnails/VIS-EGKR-RUS-W25-TASK-954-P010.jpg</x:v>
      </x:c>
      <x:c r="P977" s="87" t="str">
        <x:v>2df43ea37cc596a0ae31b7c6d42a32833bfac39d3dbe0c5b23ff307793872e59</x:v>
      </x:c>
      <x:c r="Q977" s="30" t="str">
        <x:v>incoming/raw/recovery-drop-01/russian_egkr_winter_visual_assets_v091.zip!/pages/VIS-EGKR-RUS-W25-TASK-954-P010.png</x:v>
      </x:c>
      <x:c r="R977" s="30" t="str">
        <x:v>MATCHED_ASSET</x:v>
      </x:c>
      <x:c r="S977" t="e">
        <x:f>HYPERLINK("visual_gallery/index.html#"&amp;A977,"Галерея")</x:f>
      </x:c>
    </x:row>
    <x:row r="978">
      <x:c r="A978" s="87" t="str">
        <x:v>VIS-EGKR-RUS-W25-TASK-954-P011</x:v>
      </x:c>
      <x:c r="B978" s="30" t="str">
        <x:v>Русский язык</x:v>
      </x:c>
      <x:c r="C978" s="30"/>
      <x:c r="D978" s="30" t="str">
        <x:v>954</x:v>
      </x:c>
      <x:c r="E978" s="87" t="str">
        <x:v>TASK</x:v>
      </x:c>
      <x:c r="F978" s="30" t="str">
        <x:v>Вариант 954.pdf</x:v>
      </x:c>
      <x:c r="G978" s="87" t="str">
        <x:v>11</x:v>
      </x:c>
      <x:c r="H978" s="87" t="str">
        <x:v>v0.91</x:v>
      </x:c>
      <x:c r="I978" s="87" t="str">
        <x:v>2</x:v>
      </x:c>
      <x:c r="J978" s="30" t="str">
        <x:v>VIS_ID</x:v>
      </x:c>
      <x:c r="K978" s="30" t="str">
        <x:v>EGKR-W25-RUS-954-20, EGKR-W25-RUS-954-21</x:v>
      </x:c>
      <x:c r="L978" s="87" t="str">
        <x:v>CROP_VERIFIED</x:v>
      </x:c>
      <x:c r="M978" s="87" t="str">
        <x:v>ORIGINAL_PACKAGE</x:v>
      </x:c>
      <x:c r="N978" s="87" t="str">
        <x:v>pages/VIS-EGKR-RUS-W25-TASK-954-P011.png</x:v>
      </x:c>
      <x:c r="O978" s="87" t="str">
        <x:v>thumbnails/VIS-EGKR-RUS-W25-TASK-954-P011.jpg</x:v>
      </x:c>
      <x:c r="P978" s="87" t="str">
        <x:v>4bea24532c4f2d474573f26e11d9225b04da35b8e98278b9e684b51757d49501</x:v>
      </x:c>
      <x:c r="Q978" s="30" t="str">
        <x:v>incoming/raw/recovery-drop-01/russian_egkr_winter_visual_assets_v091.zip!/pages/VIS-EGKR-RUS-W25-TASK-954-P011.png</x:v>
      </x:c>
      <x:c r="R978" s="30" t="str">
        <x:v>MATCHED_ASSET</x:v>
      </x:c>
      <x:c r="S978" t="e">
        <x:f>HYPERLINK("visual_gallery/index.html#"&amp;A978,"Галерея")</x:f>
      </x:c>
    </x:row>
    <x:row r="979">
      <x:c r="A979" s="87" t="str">
        <x:v>VIS-EGKR-RUS-W25-TASK-954-P012</x:v>
      </x:c>
      <x:c r="B979" s="30" t="str">
        <x:v>Русский язык</x:v>
      </x:c>
      <x:c r="C979" s="30"/>
      <x:c r="D979" s="30" t="str">
        <x:v>954</x:v>
      </x:c>
      <x:c r="E979" s="87" t="str">
        <x:v>TASK</x:v>
      </x:c>
      <x:c r="F979" s="30" t="str">
        <x:v>Вариант 954.pdf</x:v>
      </x:c>
      <x:c r="G979" s="87" t="str">
        <x:v>12</x:v>
      </x:c>
      <x:c r="H979" s="87" t="str">
        <x:v>v0.91</x:v>
      </x:c>
      <x:c r="I979" s="87" t="str">
        <x:v>1</x:v>
      </x:c>
      <x:c r="J979" s="30" t="str">
        <x:v>VIS_ID</x:v>
      </x:c>
      <x:c r="K979" s="30" t="str">
        <x:v>EGKR-W25-RUS-954-22</x:v>
      </x:c>
      <x:c r="L979" s="87" t="str">
        <x:v>CROP_VERIFIED</x:v>
      </x:c>
      <x:c r="M979" s="87" t="str">
        <x:v>ORIGINAL_PACKAGE</x:v>
      </x:c>
      <x:c r="N979" s="87" t="str">
        <x:v>pages/VIS-EGKR-RUS-W25-TASK-954-P012.png</x:v>
      </x:c>
      <x:c r="O979" s="87" t="str">
        <x:v>thumbnails/VIS-EGKR-RUS-W25-TASK-954-P012.jpg</x:v>
      </x:c>
      <x:c r="P979" s="87" t="str">
        <x:v>5f38a672f973299ff1e007d329d5af380c5812bde38c59f9a60124698a7fbea9</x:v>
      </x:c>
      <x:c r="Q979" s="30" t="str">
        <x:v>incoming/raw/recovery-drop-01/russian_egkr_winter_visual_assets_v091.zip!/pages/VIS-EGKR-RUS-W25-TASK-954-P012.png</x:v>
      </x:c>
      <x:c r="R979" s="30" t="str">
        <x:v>MATCHED_ASSET</x:v>
      </x:c>
      <x:c r="S979" t="e">
        <x:f>HYPERLINK("visual_gallery/index.html#"&amp;A979,"Галерея")</x:f>
      </x:c>
    </x:row>
    <x:row r="980">
      <x:c r="A980" s="87" t="str">
        <x:v>VIS-EGKR-RUS-W25-TASK-954-P013</x:v>
      </x:c>
      <x:c r="B980" s="30" t="str"/>
      <x:c r="C980" s="30"/>
      <x:c r="D980" s="30" t="str">
        <x:v>954</x:v>
      </x:c>
      <x:c r="E980" s="87" t="str">
        <x:v>TASK</x:v>
      </x:c>
      <x:c r="F980" s="30" t="str">
        <x:v>Вариант 954.pdf</x:v>
      </x:c>
      <x:c r="G980" s="87" t="str">
        <x:v>13</x:v>
      </x:c>
      <x:c r="H980" s="87" t="str">
        <x:v>v0.91</x:v>
      </x:c>
      <x:c r="I980" s="87" t="str">
        <x:v>0</x:v>
      </x:c>
      <x:c r="J980" s="30" t="str"/>
      <x:c r="K980" s="30" t="str"/>
      <x:c r="L980" s="87" t="str">
        <x:v>CROP_VERIFIED</x:v>
      </x:c>
      <x:c r="M980" s="87" t="str">
        <x:v>ORIGINAL_PACKAGE</x:v>
      </x:c>
      <x:c r="N980" s="87" t="str">
        <x:v>pages/VIS-EGKR-RUS-W25-TASK-954-P013.png</x:v>
      </x:c>
      <x:c r="O980" s="87" t="str">
        <x:v>thumbnails/VIS-EGKR-RUS-W25-TASK-954-P013.jpg</x:v>
      </x:c>
      <x:c r="P980" s="87" t="str">
        <x:v>e19e154b20a5e98d7dded6eb7d051cecbe9aec7543a8bf0de18feb2345afbd18</x:v>
      </x:c>
      <x:c r="Q980" s="30" t="str">
        <x:v>incoming/raw/recovery-drop-01/russian_egkr_winter_visual_assets_v091.zip!/pages/VIS-EGKR-RUS-W25-TASK-954-P013.png</x:v>
      </x:c>
      <x:c r="R980" s="30" t="str">
        <x:v>RESOLVED_UNLINKED_REGISTRY_VISUAL</x:v>
      </x:c>
      <x:c r="S980" t="e">
        <x:f>HYPERLINK("visual_gallery/index.html#"&amp;A980,"Галерея")</x:f>
      </x:c>
    </x:row>
    <x:row r="981">
      <x:c r="A981" s="87" t="str">
        <x:v>VIS-EGKR-RUS-W25-TASK-954-P014</x:v>
      </x:c>
      <x:c r="B981" s="30" t="str">
        <x:v>Русский язык</x:v>
      </x:c>
      <x:c r="C981" s="30"/>
      <x:c r="D981" s="30" t="str">
        <x:v>954</x:v>
      </x:c>
      <x:c r="E981" s="87" t="str">
        <x:v>TASK</x:v>
      </x:c>
      <x:c r="F981" s="30" t="str">
        <x:v>Вариант 954.pdf</x:v>
      </x:c>
      <x:c r="G981" s="87" t="str">
        <x:v>14</x:v>
      </x:c>
      <x:c r="H981" s="87" t="str">
        <x:v>v0.91</x:v>
      </x:c>
      <x:c r="I981" s="87" t="str">
        <x:v>1</x:v>
      </x:c>
      <x:c r="J981" s="30" t="str">
        <x:v>VIS_ID</x:v>
      </x:c>
      <x:c r="K981" s="30" t="str">
        <x:v>EGKR-W25-RUS-954-23</x:v>
      </x:c>
      <x:c r="L981" s="87" t="str">
        <x:v>CROP_VERIFIED</x:v>
      </x:c>
      <x:c r="M981" s="87" t="str">
        <x:v>ORIGINAL_PACKAGE</x:v>
      </x:c>
      <x:c r="N981" s="87" t="str">
        <x:v>pages/VIS-EGKR-RUS-W25-TASK-954-P014.png</x:v>
      </x:c>
      <x:c r="O981" s="87" t="str">
        <x:v>thumbnails/VIS-EGKR-RUS-W25-TASK-954-P014.jpg</x:v>
      </x:c>
      <x:c r="P981" s="87" t="str">
        <x:v>5b70ba114d9c1b150a5e4a1fff18361bd18860991d3244dd826aaa77edc7606a</x:v>
      </x:c>
      <x:c r="Q981" s="30" t="str">
        <x:v>incoming/raw/recovery-drop-01/russian_egkr_winter_visual_assets_v091.zip!/pages/VIS-EGKR-RUS-W25-TASK-954-P014.png</x:v>
      </x:c>
      <x:c r="R981" s="30" t="str">
        <x:v>MATCHED_ASSET</x:v>
      </x:c>
      <x:c r="S981" t="e">
        <x:f>HYPERLINK("visual_gallery/index.html#"&amp;A981,"Галерея")</x:f>
      </x:c>
    </x:row>
    <x:row r="982">
      <x:c r="A982" s="87" t="str">
        <x:v>VIS-EGKR-RUS-W25-TASK-954-P015</x:v>
      </x:c>
      <x:c r="B982" s="30" t="str">
        <x:v>Русский язык</x:v>
      </x:c>
      <x:c r="C982" s="30"/>
      <x:c r="D982" s="30" t="str">
        <x:v>954</x:v>
      </x:c>
      <x:c r="E982" s="87" t="str">
        <x:v>TASK</x:v>
      </x:c>
      <x:c r="F982" s="30" t="str">
        <x:v>Вариант 954.pdf</x:v>
      </x:c>
      <x:c r="G982" s="87" t="str">
        <x:v>15</x:v>
      </x:c>
      <x:c r="H982" s="87" t="str">
        <x:v>v0.91</x:v>
      </x:c>
      <x:c r="I982" s="87" t="str">
        <x:v>3</x:v>
      </x:c>
      <x:c r="J982" s="30" t="str">
        <x:v>VIS_ID</x:v>
      </x:c>
      <x:c r="K982" s="30" t="str">
        <x:v>EGKR-W25-RUS-954-24, EGKR-W25-RUS-954-25, EGKR-W25-RUS-954-26</x:v>
      </x:c>
      <x:c r="L982" s="87" t="str">
        <x:v>CROP_VERIFIED</x:v>
      </x:c>
      <x:c r="M982" s="87" t="str">
        <x:v>ORIGINAL_PACKAGE</x:v>
      </x:c>
      <x:c r="N982" s="87" t="str">
        <x:v>pages/VIS-EGKR-RUS-W25-TASK-954-P015.png</x:v>
      </x:c>
      <x:c r="O982" s="87" t="str">
        <x:v>thumbnails/VIS-EGKR-RUS-W25-TASK-954-P015.jpg</x:v>
      </x:c>
      <x:c r="P982" s="87" t="str">
        <x:v>f08749a480876b81c5d8e3252b1e358269b519fde930864136eca191a304ce0f</x:v>
      </x:c>
      <x:c r="Q982" s="30" t="str">
        <x:v>incoming/raw/recovery-drop-01/russian_egkr_winter_visual_assets_v091.zip!/pages/VIS-EGKR-RUS-W25-TASK-954-P015.png</x:v>
      </x:c>
      <x:c r="R982" s="30" t="str">
        <x:v>MATCHED_ASSET</x:v>
      </x:c>
      <x:c r="S982" t="e">
        <x:f>HYPERLINK("visual_gallery/index.html#"&amp;A982,"Галерея")</x:f>
      </x:c>
    </x:row>
    <x:row r="983">
      <x:c r="A983" s="87" t="str">
        <x:v>VIS-EGKR-RUS-W25-TASK-954-P016</x:v>
      </x:c>
      <x:c r="B983" s="30" t="str">
        <x:v>Русский язык</x:v>
      </x:c>
      <x:c r="C983" s="30"/>
      <x:c r="D983" s="30" t="str">
        <x:v>954</x:v>
      </x:c>
      <x:c r="E983" s="87" t="str">
        <x:v>TASK</x:v>
      </x:c>
      <x:c r="F983" s="30" t="str">
        <x:v>Вариант 954.pdf</x:v>
      </x:c>
      <x:c r="G983" s="87" t="str">
        <x:v>16</x:v>
      </x:c>
      <x:c r="H983" s="87" t="str">
        <x:v>v0.91</x:v>
      </x:c>
      <x:c r="I983" s="87" t="str">
        <x:v>1</x:v>
      </x:c>
      <x:c r="J983" s="30" t="str">
        <x:v>VIS_ID</x:v>
      </x:c>
      <x:c r="K983" s="30" t="str">
        <x:v>EGKR-W25-RUS-954-27</x:v>
      </x:c>
      <x:c r="L983" s="87" t="str">
        <x:v>CROP_VERIFIED</x:v>
      </x:c>
      <x:c r="M983" s="87" t="str">
        <x:v>ORIGINAL_PACKAGE</x:v>
      </x:c>
      <x:c r="N983" s="87" t="str">
        <x:v>pages/VIS-EGKR-RUS-W25-TASK-954-P016.png</x:v>
      </x:c>
      <x:c r="O983" s="87" t="str">
        <x:v>thumbnails/VIS-EGKR-RUS-W25-TASK-954-P016.jpg</x:v>
      </x:c>
      <x:c r="P983" s="87" t="str">
        <x:v>3583ed15d4098bca2425164d33c935d4cb819d3b2557141d3e835fa36d7b31a6</x:v>
      </x:c>
      <x:c r="Q983" s="30" t="str">
        <x:v>incoming/raw/recovery-drop-01/russian_egkr_winter_visual_assets_v091.zip!/pages/VIS-EGKR-RUS-W25-TASK-954-P016.png</x:v>
      </x:c>
      <x:c r="R983" s="30" t="str">
        <x:v>MATCHED_ASSET</x:v>
      </x:c>
      <x:c r="S983" t="e">
        <x:f>HYPERLINK("visual_gallery/index.html#"&amp;A983,"Галерея")</x:f>
      </x:c>
    </x:row>
    <x:row r="984">
      <x:c r="A984" s="87" t="str">
        <x:v>VIS-EGKR-RUS-W25-TASK-956-P001</x:v>
      </x:c>
      <x:c r="B984" s="30" t="str"/>
      <x:c r="C984" s="30"/>
      <x:c r="D984" s="30" t="str">
        <x:v>956</x:v>
      </x:c>
      <x:c r="E984" s="87" t="str">
        <x:v>TASK</x:v>
      </x:c>
      <x:c r="F984" s="30" t="str">
        <x:v>Вариант 956.pdf</x:v>
      </x:c>
      <x:c r="G984" s="87" t="str">
        <x:v>1</x:v>
      </x:c>
      <x:c r="H984" s="87" t="str">
        <x:v>v0.91</x:v>
      </x:c>
      <x:c r="I984" s="87" t="str">
        <x:v>0</x:v>
      </x:c>
      <x:c r="J984" s="30" t="str"/>
      <x:c r="K984" s="30" t="str"/>
      <x:c r="L984" s="87" t="str">
        <x:v>CROP_VERIFIED</x:v>
      </x:c>
      <x:c r="M984" s="87" t="str">
        <x:v>ORIGINAL_PACKAGE</x:v>
      </x:c>
      <x:c r="N984" s="87" t="str">
        <x:v>pages/VIS-EGKR-RUS-W25-TASK-956-P001.png</x:v>
      </x:c>
      <x:c r="O984" s="87" t="str">
        <x:v>thumbnails/VIS-EGKR-RUS-W25-TASK-956-P001.jpg</x:v>
      </x:c>
      <x:c r="P984" s="87" t="str">
        <x:v>197ddbab46e62a281cbe2a0e2a55771295ec29c9db59a5f5521b52a6900cd9c1</x:v>
      </x:c>
      <x:c r="Q984" s="30" t="str">
        <x:v>incoming/raw/recovery-drop-01/russian_egkr_winter_visual_assets_v091.zip!/pages/VIS-EGKR-RUS-W25-TASK-956-P001.png</x:v>
      </x:c>
      <x:c r="R984" s="30" t="str">
        <x:v>RESOLVED_UNLINKED_REGISTRY_VISUAL</x:v>
      </x:c>
      <x:c r="S984" t="e">
        <x:f>HYPERLINK("visual_gallery/index.html#"&amp;A984,"Галерея")</x:f>
      </x:c>
    </x:row>
    <x:row r="985">
      <x:c r="A985" s="87" t="str">
        <x:v>VIS-EGKR-RUS-W25-TASK-956-P002</x:v>
      </x:c>
      <x:c r="B985" s="30" t="str">
        <x:v>Русский язык</x:v>
      </x:c>
      <x:c r="C985" s="30"/>
      <x:c r="D985" s="30" t="str">
        <x:v>956</x:v>
      </x:c>
      <x:c r="E985" s="87" t="str">
        <x:v>TASK</x:v>
      </x:c>
      <x:c r="F985" s="30" t="str">
        <x:v>Вариант 956.pdf</x:v>
      </x:c>
      <x:c r="G985" s="87" t="str">
        <x:v>2</x:v>
      </x:c>
      <x:c r="H985" s="87" t="str">
        <x:v>v0.91</x:v>
      </x:c>
      <x:c r="I985" s="87" t="str">
        <x:v>1</x:v>
      </x:c>
      <x:c r="J985" s="30" t="str">
        <x:v>VIS_ID</x:v>
      </x:c>
      <x:c r="K985" s="30" t="str">
        <x:v>EGKR-W25-RUS-956-01</x:v>
      </x:c>
      <x:c r="L985" s="87" t="str">
        <x:v>CROP_VERIFIED</x:v>
      </x:c>
      <x:c r="M985" s="87" t="str">
        <x:v>ORIGINAL_PACKAGE</x:v>
      </x:c>
      <x:c r="N985" s="87" t="str">
        <x:v>pages/VIS-EGKR-RUS-W25-TASK-956-P002.png</x:v>
      </x:c>
      <x:c r="O985" s="87" t="str">
        <x:v>thumbnails/VIS-EGKR-RUS-W25-TASK-956-P002.jpg</x:v>
      </x:c>
      <x:c r="P985" s="87" t="str">
        <x:v>64a29d8790f7267548304c1fbf112f2bf312e0448accf677da88e972fb7eef3e</x:v>
      </x:c>
      <x:c r="Q985" s="30" t="str">
        <x:v>incoming/raw/recovery-drop-01/russian_egkr_winter_visual_assets_v091.zip!/pages/VIS-EGKR-RUS-W25-TASK-956-P002.png</x:v>
      </x:c>
      <x:c r="R985" s="30" t="str">
        <x:v>MATCHED_ASSET</x:v>
      </x:c>
      <x:c r="S985" t="e">
        <x:f>HYPERLINK("visual_gallery/index.html#"&amp;A985,"Галерея")</x:f>
      </x:c>
    </x:row>
    <x:row r="986">
      <x:c r="A986" s="87" t="str">
        <x:v>VIS-EGKR-RUS-W25-TASK-956-P003</x:v>
      </x:c>
      <x:c r="B986" s="30" t="str">
        <x:v>Русский язык</x:v>
      </x:c>
      <x:c r="C986" s="30"/>
      <x:c r="D986" s="30" t="str">
        <x:v>956</x:v>
      </x:c>
      <x:c r="E986" s="87" t="str">
        <x:v>TASK</x:v>
      </x:c>
      <x:c r="F986" s="30" t="str">
        <x:v>Вариант 956.pdf</x:v>
      </x:c>
      <x:c r="G986" s="87" t="str">
        <x:v>3</x:v>
      </x:c>
      <x:c r="H986" s="87" t="str">
        <x:v>v0.91</x:v>
      </x:c>
      <x:c r="I986" s="87" t="str">
        <x:v>2</x:v>
      </x:c>
      <x:c r="J986" s="30" t="str">
        <x:v>VIS_ID</x:v>
      </x:c>
      <x:c r="K986" s="30" t="str">
        <x:v>EGKR-W25-RUS-956-02, EGKR-W25-RUS-956-03</x:v>
      </x:c>
      <x:c r="L986" s="87" t="str">
        <x:v>CROP_VERIFIED</x:v>
      </x:c>
      <x:c r="M986" s="87" t="str">
        <x:v>ORIGINAL_PACKAGE</x:v>
      </x:c>
      <x:c r="N986" s="87" t="str">
        <x:v>pages/VIS-EGKR-RUS-W25-TASK-956-P003.png</x:v>
      </x:c>
      <x:c r="O986" s="87" t="str">
        <x:v>thumbnails/VIS-EGKR-RUS-W25-TASK-956-P003.jpg</x:v>
      </x:c>
      <x:c r="P986" s="87" t="str">
        <x:v>96577fb9dbf3e25bfbff607e61427af8ad796c862197a258968bfb1269e4ef76</x:v>
      </x:c>
      <x:c r="Q986" s="30" t="str">
        <x:v>incoming/raw/recovery-drop-01/russian_egkr_winter_visual_assets_v091.zip!/pages/VIS-EGKR-RUS-W25-TASK-956-P003.png</x:v>
      </x:c>
      <x:c r="R986" s="30" t="str">
        <x:v>MATCHED_ASSET</x:v>
      </x:c>
      <x:c r="S986" t="e">
        <x:f>HYPERLINK("visual_gallery/index.html#"&amp;A986,"Галерея")</x:f>
      </x:c>
    </x:row>
    <x:row r="987">
      <x:c r="A987" s="87" t="str">
        <x:v>VIS-EGKR-RUS-W25-TASK-956-P004</x:v>
      </x:c>
      <x:c r="B987" s="30" t="str">
        <x:v>Русский язык</x:v>
      </x:c>
      <x:c r="C987" s="30"/>
      <x:c r="D987" s="30" t="str">
        <x:v>956</x:v>
      </x:c>
      <x:c r="E987" s="87" t="str">
        <x:v>TASK</x:v>
      </x:c>
      <x:c r="F987" s="30" t="str">
        <x:v>Вариант 956.pdf</x:v>
      </x:c>
      <x:c r="G987" s="87" t="str">
        <x:v>4</x:v>
      </x:c>
      <x:c r="H987" s="87" t="str">
        <x:v>v0.91</x:v>
      </x:c>
      <x:c r="I987" s="87" t="str">
        <x:v>2</x:v>
      </x:c>
      <x:c r="J987" s="30" t="str">
        <x:v>VIS_ID</x:v>
      </x:c>
      <x:c r="K987" s="30" t="str">
        <x:v>EGKR-W25-RUS-956-04, EGKR-W25-RUS-956-05</x:v>
      </x:c>
      <x:c r="L987" s="87" t="str">
        <x:v>CROP_VERIFIED</x:v>
      </x:c>
      <x:c r="M987" s="87" t="str">
        <x:v>ORIGINAL_PACKAGE</x:v>
      </x:c>
      <x:c r="N987" s="87" t="str">
        <x:v>pages/VIS-EGKR-RUS-W25-TASK-956-P004.png</x:v>
      </x:c>
      <x:c r="O987" s="87" t="str">
        <x:v>thumbnails/VIS-EGKR-RUS-W25-TASK-956-P004.jpg</x:v>
      </x:c>
      <x:c r="P987" s="87" t="str">
        <x:v>d316e2399cd1818c31290ade61f12ad1d4425469f19330b857d0d3e64401630a</x:v>
      </x:c>
      <x:c r="Q987" s="30" t="str">
        <x:v>incoming/raw/recovery-drop-01/russian_egkr_winter_visual_assets_v091.zip!/pages/VIS-EGKR-RUS-W25-TASK-956-P004.png</x:v>
      </x:c>
      <x:c r="R987" s="30" t="str">
        <x:v>MATCHED_ASSET</x:v>
      </x:c>
      <x:c r="S987" t="e">
        <x:f>HYPERLINK("visual_gallery/index.html#"&amp;A987,"Галерея")</x:f>
      </x:c>
    </x:row>
    <x:row r="988">
      <x:c r="A988" s="87" t="str">
        <x:v>VIS-EGKR-RUS-W25-TASK-956-P005</x:v>
      </x:c>
      <x:c r="B988" s="30" t="str">
        <x:v>Русский язык</x:v>
      </x:c>
      <x:c r="C988" s="30"/>
      <x:c r="D988" s="30" t="str">
        <x:v>956</x:v>
      </x:c>
      <x:c r="E988" s="87" t="str">
        <x:v>TASK</x:v>
      </x:c>
      <x:c r="F988" s="30" t="str">
        <x:v>Вариант 956.pdf</x:v>
      </x:c>
      <x:c r="G988" s="87" t="str">
        <x:v>5</x:v>
      </x:c>
      <x:c r="H988" s="87" t="str">
        <x:v>v0.91</x:v>
      </x:c>
      <x:c r="I988" s="87" t="str">
        <x:v>2</x:v>
      </x:c>
      <x:c r="J988" s="30" t="str">
        <x:v>VIS_ID</x:v>
      </x:c>
      <x:c r="K988" s="30" t="str">
        <x:v>EGKR-W25-RUS-956-06, EGKR-W25-RUS-956-07</x:v>
      </x:c>
      <x:c r="L988" s="87" t="str">
        <x:v>CROP_VERIFIED</x:v>
      </x:c>
      <x:c r="M988" s="87" t="str">
        <x:v>ORIGINAL_PACKAGE</x:v>
      </x:c>
      <x:c r="N988" s="87" t="str">
        <x:v>pages/VIS-EGKR-RUS-W25-TASK-956-P005.png</x:v>
      </x:c>
      <x:c r="O988" s="87" t="str">
        <x:v>thumbnails/VIS-EGKR-RUS-W25-TASK-956-P005.jpg</x:v>
      </x:c>
      <x:c r="P988" s="87" t="str">
        <x:v>8a008135c2423b1fba381ccbaea3faa0e2d746587d8f3b722f6d847f0ab94795</x:v>
      </x:c>
      <x:c r="Q988" s="30" t="str">
        <x:v>incoming/raw/recovery-drop-01/russian_egkr_winter_visual_assets_v091.zip!/pages/VIS-EGKR-RUS-W25-TASK-956-P005.png</x:v>
      </x:c>
      <x:c r="R988" s="30" t="str">
        <x:v>MATCHED_ASSET</x:v>
      </x:c>
      <x:c r="S988" t="e">
        <x:f>HYPERLINK("visual_gallery/index.html#"&amp;A988,"Галерея")</x:f>
      </x:c>
    </x:row>
    <x:row r="989">
      <x:c r="A989" s="87" t="str">
        <x:v>VIS-EGKR-RUS-W25-TASK-956-P006</x:v>
      </x:c>
      <x:c r="B989" s="30" t="str">
        <x:v>Русский язык</x:v>
      </x:c>
      <x:c r="C989" s="30"/>
      <x:c r="D989" s="30" t="str">
        <x:v>956</x:v>
      </x:c>
      <x:c r="E989" s="87" t="str">
        <x:v>TASK</x:v>
      </x:c>
      <x:c r="F989" s="30" t="str">
        <x:v>Вариант 956.pdf</x:v>
      </x:c>
      <x:c r="G989" s="87" t="str">
        <x:v>6</x:v>
      </x:c>
      <x:c r="H989" s="87" t="str">
        <x:v>v0.91</x:v>
      </x:c>
      <x:c r="I989" s="87" t="str">
        <x:v>1</x:v>
      </x:c>
      <x:c r="J989" s="30" t="str">
        <x:v>VIS_ID</x:v>
      </x:c>
      <x:c r="K989" s="30" t="str">
        <x:v>EGKR-W25-RUS-956-08</x:v>
      </x:c>
      <x:c r="L989" s="87" t="str">
        <x:v>CROP_VERIFIED</x:v>
      </x:c>
      <x:c r="M989" s="87" t="str">
        <x:v>ORIGINAL_PACKAGE</x:v>
      </x:c>
      <x:c r="N989" s="87" t="str">
        <x:v>pages/VIS-EGKR-RUS-W25-TASK-956-P006.png</x:v>
      </x:c>
      <x:c r="O989" s="87" t="str">
        <x:v>thumbnails/VIS-EGKR-RUS-W25-TASK-956-P006.jpg</x:v>
      </x:c>
      <x:c r="P989" s="87" t="str">
        <x:v>2e6b7d78337fd904879f29564f2d545d9ff96eae55ffe073c370a32bd4329529</x:v>
      </x:c>
      <x:c r="Q989" s="30" t="str">
        <x:v>incoming/raw/recovery-drop-01/russian_egkr_winter_visual_assets_v091.zip!/pages/VIS-EGKR-RUS-W25-TASK-956-P006.png</x:v>
      </x:c>
      <x:c r="R989" s="30" t="str">
        <x:v>MATCHED_ASSET</x:v>
      </x:c>
      <x:c r="S989" t="e">
        <x:f>HYPERLINK("visual_gallery/index.html#"&amp;A989,"Галерея")</x:f>
      </x:c>
    </x:row>
    <x:row r="990">
      <x:c r="A990" s="87" t="str">
        <x:v>VIS-EGKR-RUS-W25-TASK-956-P007</x:v>
      </x:c>
      <x:c r="B990" s="30" t="str">
        <x:v>Русский язык</x:v>
      </x:c>
      <x:c r="C990" s="30"/>
      <x:c r="D990" s="30" t="str">
        <x:v>956</x:v>
      </x:c>
      <x:c r="E990" s="87" t="str">
        <x:v>TASK</x:v>
      </x:c>
      <x:c r="F990" s="30" t="str">
        <x:v>Вариант 956.pdf</x:v>
      </x:c>
      <x:c r="G990" s="87" t="str">
        <x:v>7</x:v>
      </x:c>
      <x:c r="H990" s="87" t="str">
        <x:v>v0.91</x:v>
      </x:c>
      <x:c r="I990" s="87" t="str">
        <x:v>3</x:v>
      </x:c>
      <x:c r="J990" s="30" t="str">
        <x:v>VIS_ID</x:v>
      </x:c>
      <x:c r="K990" s="30" t="str">
        <x:v>EGKR-W25-RUS-956-09, EGKR-W25-RUS-956-10, EGKR-W25-RUS-956-11</x:v>
      </x:c>
      <x:c r="L990" s="87" t="str">
        <x:v>CROP_VERIFIED</x:v>
      </x:c>
      <x:c r="M990" s="87" t="str">
        <x:v>ORIGINAL_PACKAGE</x:v>
      </x:c>
      <x:c r="N990" s="87" t="str">
        <x:v>pages/VIS-EGKR-RUS-W25-TASK-956-P007.png</x:v>
      </x:c>
      <x:c r="O990" s="87" t="str">
        <x:v>thumbnails/VIS-EGKR-RUS-W25-TASK-956-P007.jpg</x:v>
      </x:c>
      <x:c r="P990" s="87" t="str">
        <x:v>80a90053cc1d249823079e6860af28794b4823805088e14ae708f6a405be7e2c</x:v>
      </x:c>
      <x:c r="Q990" s="30" t="str">
        <x:v>incoming/raw/recovery-drop-01/russian_egkr_winter_visual_assets_v091.zip!/pages/VIS-EGKR-RUS-W25-TASK-956-P007.png</x:v>
      </x:c>
      <x:c r="R990" s="30" t="str">
        <x:v>MATCHED_ASSET</x:v>
      </x:c>
      <x:c r="S990" t="e">
        <x:f>HYPERLINK("visual_gallery/index.html#"&amp;A990,"Галерея")</x:f>
      </x:c>
    </x:row>
    <x:row r="991">
      <x:c r="A991" s="87" t="str">
        <x:v>VIS-EGKR-RUS-W25-TASK-956-P008</x:v>
      </x:c>
      <x:c r="B991" s="30" t="str">
        <x:v>Русский язык</x:v>
      </x:c>
      <x:c r="C991" s="30"/>
      <x:c r="D991" s="30" t="str">
        <x:v>956</x:v>
      </x:c>
      <x:c r="E991" s="87" t="str">
        <x:v>TASK</x:v>
      </x:c>
      <x:c r="F991" s="30" t="str">
        <x:v>Вариант 956.pdf</x:v>
      </x:c>
      <x:c r="G991" s="87" t="str">
        <x:v>8</x:v>
      </x:c>
      <x:c r="H991" s="87" t="str">
        <x:v>v0.91</x:v>
      </x:c>
      <x:c r="I991" s="87" t="str">
        <x:v>2</x:v>
      </x:c>
      <x:c r="J991" s="30" t="str">
        <x:v>VIS_ID</x:v>
      </x:c>
      <x:c r="K991" s="30" t="str">
        <x:v>EGKR-W25-RUS-956-12, EGKR-W25-RUS-956-13</x:v>
      </x:c>
      <x:c r="L991" s="87" t="str">
        <x:v>CROP_VERIFIED</x:v>
      </x:c>
      <x:c r="M991" s="87" t="str">
        <x:v>ORIGINAL_PACKAGE</x:v>
      </x:c>
      <x:c r="N991" s="87" t="str">
        <x:v>pages/VIS-EGKR-RUS-W25-TASK-956-P008.png</x:v>
      </x:c>
      <x:c r="O991" s="87" t="str">
        <x:v>thumbnails/VIS-EGKR-RUS-W25-TASK-956-P008.jpg</x:v>
      </x:c>
      <x:c r="P991" s="87" t="str">
        <x:v>67f145fe9feace63ba5cea340002b88c698ab40cef789c087161ec0bc1648a78</x:v>
      </x:c>
      <x:c r="Q991" s="30" t="str">
        <x:v>incoming/raw/recovery-drop-01/russian_egkr_winter_visual_assets_v091.zip!/pages/VIS-EGKR-RUS-W25-TASK-956-P008.png</x:v>
      </x:c>
      <x:c r="R991" s="30" t="str">
        <x:v>MATCHED_ASSET</x:v>
      </x:c>
      <x:c r="S991" t="e">
        <x:f>HYPERLINK("visual_gallery/index.html#"&amp;A991,"Галерея")</x:f>
      </x:c>
    </x:row>
    <x:row r="992">
      <x:c r="A992" s="87" t="str">
        <x:v>VIS-EGKR-RUS-W25-TASK-956-P009</x:v>
      </x:c>
      <x:c r="B992" s="30" t="str">
        <x:v>Русский язык</x:v>
      </x:c>
      <x:c r="C992" s="30"/>
      <x:c r="D992" s="30" t="str">
        <x:v>956</x:v>
      </x:c>
      <x:c r="E992" s="87" t="str">
        <x:v>TASK</x:v>
      </x:c>
      <x:c r="F992" s="30" t="str">
        <x:v>Вариант 956.pdf</x:v>
      </x:c>
      <x:c r="G992" s="87" t="str">
        <x:v>9</x:v>
      </x:c>
      <x:c r="H992" s="87" t="str">
        <x:v>v0.91</x:v>
      </x:c>
      <x:c r="I992" s="87" t="str">
        <x:v>3</x:v>
      </x:c>
      <x:c r="J992" s="30" t="str">
        <x:v>VIS_ID</x:v>
      </x:c>
      <x:c r="K992" s="30" t="str">
        <x:v>EGKR-W25-RUS-956-14, EGKR-W25-RUS-956-15, EGKR-W25-RUS-956-16</x:v>
      </x:c>
      <x:c r="L992" s="87" t="str">
        <x:v>CROP_VERIFIED</x:v>
      </x:c>
      <x:c r="M992" s="87" t="str">
        <x:v>ORIGINAL_PACKAGE</x:v>
      </x:c>
      <x:c r="N992" s="87" t="str">
        <x:v>pages/VIS-EGKR-RUS-W25-TASK-956-P009.png</x:v>
      </x:c>
      <x:c r="O992" s="87" t="str">
        <x:v>thumbnails/VIS-EGKR-RUS-W25-TASK-956-P009.jpg</x:v>
      </x:c>
      <x:c r="P992" s="87" t="str">
        <x:v>e247915d0cb094e5081e2acf1d8ea3d6341e289f9070079562ac58f80640b2e9</x:v>
      </x:c>
      <x:c r="Q992" s="30" t="str">
        <x:v>incoming/raw/recovery-drop-01/russian_egkr_winter_visual_assets_v091.zip!/pages/VIS-EGKR-RUS-W25-TASK-956-P009.png</x:v>
      </x:c>
      <x:c r="R992" s="30" t="str">
        <x:v>MATCHED_ASSET</x:v>
      </x:c>
      <x:c r="S992" t="e">
        <x:f>HYPERLINK("visual_gallery/index.html#"&amp;A992,"Галерея")</x:f>
      </x:c>
    </x:row>
    <x:row r="993">
      <x:c r="A993" s="87" t="str">
        <x:v>VIS-EGKR-RUS-W25-TASK-956-P010</x:v>
      </x:c>
      <x:c r="B993" s="30" t="str">
        <x:v>Русский язык</x:v>
      </x:c>
      <x:c r="C993" s="30"/>
      <x:c r="D993" s="30" t="str">
        <x:v>956</x:v>
      </x:c>
      <x:c r="E993" s="87" t="str">
        <x:v>TASK</x:v>
      </x:c>
      <x:c r="F993" s="30" t="str">
        <x:v>Вариант 956.pdf</x:v>
      </x:c>
      <x:c r="G993" s="87" t="str">
        <x:v>10</x:v>
      </x:c>
      <x:c r="H993" s="87" t="str">
        <x:v>v0.91</x:v>
      </x:c>
      <x:c r="I993" s="87" t="str">
        <x:v>3</x:v>
      </x:c>
      <x:c r="J993" s="30" t="str">
        <x:v>VIS_ID</x:v>
      </x:c>
      <x:c r="K993" s="30" t="str">
        <x:v>EGKR-W25-RUS-956-17, EGKR-W25-RUS-956-18, EGKR-W25-RUS-956-19</x:v>
      </x:c>
      <x:c r="L993" s="87" t="str">
        <x:v>CROP_VERIFIED</x:v>
      </x:c>
      <x:c r="M993" s="87" t="str">
        <x:v>ORIGINAL_PACKAGE</x:v>
      </x:c>
      <x:c r="N993" s="87" t="str">
        <x:v>pages/VIS-EGKR-RUS-W25-TASK-956-P010.png</x:v>
      </x:c>
      <x:c r="O993" s="87" t="str">
        <x:v>thumbnails/VIS-EGKR-RUS-W25-TASK-956-P010.jpg</x:v>
      </x:c>
      <x:c r="P993" s="87" t="str">
        <x:v>c82b78f39f38c8c7cb8e14af36c093e50ee02256555d50d3a3f924c62e868b1c</x:v>
      </x:c>
      <x:c r="Q993" s="30" t="str">
        <x:v>incoming/raw/recovery-drop-01/russian_egkr_winter_visual_assets_v091.zip!/pages/VIS-EGKR-RUS-W25-TASK-956-P010.png</x:v>
      </x:c>
      <x:c r="R993" s="30" t="str">
        <x:v>MATCHED_ASSET</x:v>
      </x:c>
      <x:c r="S993" t="e">
        <x:f>HYPERLINK("visual_gallery/index.html#"&amp;A993,"Галерея")</x:f>
      </x:c>
    </x:row>
    <x:row r="994">
      <x:c r="A994" s="87" t="str">
        <x:v>VIS-EGKR-RUS-W25-TASK-956-P011</x:v>
      </x:c>
      <x:c r="B994" s="30" t="str">
        <x:v>Русский язык</x:v>
      </x:c>
      <x:c r="C994" s="30"/>
      <x:c r="D994" s="30" t="str">
        <x:v>956</x:v>
      </x:c>
      <x:c r="E994" s="87" t="str">
        <x:v>TASK</x:v>
      </x:c>
      <x:c r="F994" s="30" t="str">
        <x:v>Вариант 956.pdf</x:v>
      </x:c>
      <x:c r="G994" s="87" t="str">
        <x:v>11</x:v>
      </x:c>
      <x:c r="H994" s="87" t="str">
        <x:v>v0.91</x:v>
      </x:c>
      <x:c r="I994" s="87" t="str">
        <x:v>2</x:v>
      </x:c>
      <x:c r="J994" s="30" t="str">
        <x:v>VIS_ID</x:v>
      </x:c>
      <x:c r="K994" s="30" t="str">
        <x:v>EGKR-W25-RUS-956-20, EGKR-W25-RUS-956-21</x:v>
      </x:c>
      <x:c r="L994" s="87" t="str">
        <x:v>CROP_VERIFIED</x:v>
      </x:c>
      <x:c r="M994" s="87" t="str">
        <x:v>ORIGINAL_PACKAGE</x:v>
      </x:c>
      <x:c r="N994" s="87" t="str">
        <x:v>pages/VIS-EGKR-RUS-W25-TASK-956-P011.png</x:v>
      </x:c>
      <x:c r="O994" s="87" t="str">
        <x:v>thumbnails/VIS-EGKR-RUS-W25-TASK-956-P011.jpg</x:v>
      </x:c>
      <x:c r="P994" s="87" t="str">
        <x:v>941fe2bf6c3a90e33f0b2e57b47a52b7092d6e697fd3bef0ac87dc0d16830921</x:v>
      </x:c>
      <x:c r="Q994" s="30" t="str">
        <x:v>incoming/raw/recovery-drop-01/russian_egkr_winter_visual_assets_v091.zip!/pages/VIS-EGKR-RUS-W25-TASK-956-P011.png</x:v>
      </x:c>
      <x:c r="R994" s="30" t="str">
        <x:v>MATCHED_ASSET</x:v>
      </x:c>
      <x:c r="S994" t="e">
        <x:f>HYPERLINK("visual_gallery/index.html#"&amp;A994,"Галерея")</x:f>
      </x:c>
    </x:row>
    <x:row r="995">
      <x:c r="A995" s="87" t="str">
        <x:v>VIS-EGKR-RUS-W25-TASK-956-P012</x:v>
      </x:c>
      <x:c r="B995" s="30" t="str">
        <x:v>Русский язык</x:v>
      </x:c>
      <x:c r="C995" s="30"/>
      <x:c r="D995" s="30" t="str">
        <x:v>956</x:v>
      </x:c>
      <x:c r="E995" s="87" t="str">
        <x:v>TASK</x:v>
      </x:c>
      <x:c r="F995" s="30" t="str">
        <x:v>Вариант 956.pdf</x:v>
      </x:c>
      <x:c r="G995" s="87" t="str">
        <x:v>12</x:v>
      </x:c>
      <x:c r="H995" s="87" t="str">
        <x:v>v0.91</x:v>
      </x:c>
      <x:c r="I995" s="87" t="str">
        <x:v>1</x:v>
      </x:c>
      <x:c r="J995" s="30" t="str">
        <x:v>VIS_ID</x:v>
      </x:c>
      <x:c r="K995" s="30" t="str">
        <x:v>EGKR-W25-RUS-956-22</x:v>
      </x:c>
      <x:c r="L995" s="87" t="str">
        <x:v>CROP_VERIFIED</x:v>
      </x:c>
      <x:c r="M995" s="87" t="str">
        <x:v>ORIGINAL_PACKAGE</x:v>
      </x:c>
      <x:c r="N995" s="87" t="str">
        <x:v>pages/VIS-EGKR-RUS-W25-TASK-956-P012.png</x:v>
      </x:c>
      <x:c r="O995" s="87" t="str">
        <x:v>thumbnails/VIS-EGKR-RUS-W25-TASK-956-P012.jpg</x:v>
      </x:c>
      <x:c r="P995" s="87" t="str">
        <x:v>41a44a7fbcf29d69cb3fa6a5b0ca3e6601011a8898d0b455efd45e4f4c2b7a2f</x:v>
      </x:c>
      <x:c r="Q995" s="30" t="str">
        <x:v>incoming/raw/recovery-drop-01/russian_egkr_winter_visual_assets_v091.zip!/pages/VIS-EGKR-RUS-W25-TASK-956-P012.png</x:v>
      </x:c>
      <x:c r="R995" s="30" t="str">
        <x:v>MATCHED_ASSET</x:v>
      </x:c>
      <x:c r="S995" t="e">
        <x:f>HYPERLINK("visual_gallery/index.html#"&amp;A995,"Галерея")</x:f>
      </x:c>
    </x:row>
    <x:row r="996">
      <x:c r="A996" s="87" t="str">
        <x:v>VIS-EGKR-RUS-W25-TASK-956-P013</x:v>
      </x:c>
      <x:c r="B996" s="30" t="str"/>
      <x:c r="C996" s="30"/>
      <x:c r="D996" s="30" t="str">
        <x:v>956</x:v>
      </x:c>
      <x:c r="E996" s="87" t="str">
        <x:v>TASK</x:v>
      </x:c>
      <x:c r="F996" s="30" t="str">
        <x:v>Вариант 956.pdf</x:v>
      </x:c>
      <x:c r="G996" s="87" t="str">
        <x:v>13</x:v>
      </x:c>
      <x:c r="H996" s="87" t="str">
        <x:v>v0.91</x:v>
      </x:c>
      <x:c r="I996" s="87" t="str">
        <x:v>0</x:v>
      </x:c>
      <x:c r="J996" s="30" t="str"/>
      <x:c r="K996" s="30" t="str"/>
      <x:c r="L996" s="87" t="str">
        <x:v>CROP_VERIFIED</x:v>
      </x:c>
      <x:c r="M996" s="87" t="str">
        <x:v>ORIGINAL_PACKAGE</x:v>
      </x:c>
      <x:c r="N996" s="87" t="str">
        <x:v>pages/VIS-EGKR-RUS-W25-TASK-956-P013.png</x:v>
      </x:c>
      <x:c r="O996" s="87" t="str">
        <x:v>thumbnails/VIS-EGKR-RUS-W25-TASK-956-P013.jpg</x:v>
      </x:c>
      <x:c r="P996" s="87" t="str">
        <x:v>d7f1f0b730a1f0eb409a20737670698630c1eb02c3c00b7b55cf2f42fd215731</x:v>
      </x:c>
      <x:c r="Q996" s="30" t="str">
        <x:v>incoming/raw/recovery-drop-01/russian_egkr_winter_visual_assets_v091.zip!/pages/VIS-EGKR-RUS-W25-TASK-956-P013.png</x:v>
      </x:c>
      <x:c r="R996" s="30" t="str">
        <x:v>RESOLVED_UNLINKED_REGISTRY_VISUAL</x:v>
      </x:c>
      <x:c r="S996" t="e">
        <x:f>HYPERLINK("visual_gallery/index.html#"&amp;A996,"Галерея")</x:f>
      </x:c>
    </x:row>
    <x:row r="997">
      <x:c r="A997" s="87" t="str">
        <x:v>VIS-EGKR-RUS-W25-TASK-956-P014</x:v>
      </x:c>
      <x:c r="B997" s="30" t="str">
        <x:v>Русский язык</x:v>
      </x:c>
      <x:c r="C997" s="30"/>
      <x:c r="D997" s="30" t="str">
        <x:v>956</x:v>
      </x:c>
      <x:c r="E997" s="87" t="str">
        <x:v>TASK</x:v>
      </x:c>
      <x:c r="F997" s="30" t="str">
        <x:v>Вариант 956.pdf</x:v>
      </x:c>
      <x:c r="G997" s="87" t="str">
        <x:v>14</x:v>
      </x:c>
      <x:c r="H997" s="87" t="str">
        <x:v>v0.91</x:v>
      </x:c>
      <x:c r="I997" s="87" t="str">
        <x:v>4</x:v>
      </x:c>
      <x:c r="J997" s="30" t="str">
        <x:v>VIS_ID</x:v>
      </x:c>
      <x:c r="K997" s="30" t="str">
        <x:v>EGKR-W25-RUS-956-23, EGKR-W25-RUS-956-24, EGKR-W25-RUS-956-25, EGKR-W25-RUS-956-26</x:v>
      </x:c>
      <x:c r="L997" s="87" t="str">
        <x:v>CROP_VERIFIED</x:v>
      </x:c>
      <x:c r="M997" s="87" t="str">
        <x:v>ORIGINAL_PACKAGE</x:v>
      </x:c>
      <x:c r="N997" s="87" t="str">
        <x:v>pages/VIS-EGKR-RUS-W25-TASK-956-P014.png</x:v>
      </x:c>
      <x:c r="O997" s="87" t="str">
        <x:v>thumbnails/VIS-EGKR-RUS-W25-TASK-956-P014.jpg</x:v>
      </x:c>
      <x:c r="P997" s="87" t="str">
        <x:v>7a9fd5651d488c1c132ebd54f1c6051db0174aef216a53aeaa1d06589e2c34d0</x:v>
      </x:c>
      <x:c r="Q997" s="30" t="str">
        <x:v>incoming/raw/recovery-drop-01/russian_egkr_winter_visual_assets_v091.zip!/pages/VIS-EGKR-RUS-W25-TASK-956-P014.png</x:v>
      </x:c>
      <x:c r="R997" s="30" t="str">
        <x:v>MATCHED_ASSET</x:v>
      </x:c>
      <x:c r="S997" t="e">
        <x:f>HYPERLINK("visual_gallery/index.html#"&amp;A997,"Галерея")</x:f>
      </x:c>
    </x:row>
    <x:row r="998">
      <x:c r="A998" s="87" t="str">
        <x:v>VIS-EGKR-RUS-W25-TASK-956-P015</x:v>
      </x:c>
      <x:c r="B998" s="30" t="str">
        <x:v>Русский язык</x:v>
      </x:c>
      <x:c r="C998" s="30"/>
      <x:c r="D998" s="30" t="str">
        <x:v>956</x:v>
      </x:c>
      <x:c r="E998" s="87" t="str">
        <x:v>TASK</x:v>
      </x:c>
      <x:c r="F998" s="30" t="str">
        <x:v>Вариант 956.pdf</x:v>
      </x:c>
      <x:c r="G998" s="87" t="str">
        <x:v>15</x:v>
      </x:c>
      <x:c r="H998" s="87" t="str">
        <x:v>v0.91</x:v>
      </x:c>
      <x:c r="I998" s="87" t="str">
        <x:v>1</x:v>
      </x:c>
      <x:c r="J998" s="30" t="str">
        <x:v>VIS_ID</x:v>
      </x:c>
      <x:c r="K998" s="30" t="str">
        <x:v>EGKR-W25-RUS-956-27</x:v>
      </x:c>
      <x:c r="L998" s="87" t="str">
        <x:v>CROP_VERIFIED</x:v>
      </x:c>
      <x:c r="M998" s="87" t="str">
        <x:v>ORIGINAL_PACKAGE</x:v>
      </x:c>
      <x:c r="N998" s="87" t="str">
        <x:v>pages/VIS-EGKR-RUS-W25-TASK-956-P015.png</x:v>
      </x:c>
      <x:c r="O998" s="87" t="str">
        <x:v>thumbnails/VIS-EGKR-RUS-W25-TASK-956-P015.jpg</x:v>
      </x:c>
      <x:c r="P998" s="87" t="str">
        <x:v>b2f45a589ba9e9a4977f73b49003a385aaf47178c7facc36c9bbe7eadf769328</x:v>
      </x:c>
      <x:c r="Q998" s="30" t="str">
        <x:v>incoming/raw/recovery-drop-01/russian_egkr_winter_visual_assets_v091.zip!/pages/VIS-EGKR-RUS-W25-TASK-956-P015.png</x:v>
      </x:c>
      <x:c r="R998" s="30" t="str">
        <x:v>MATCHED_ASSET</x:v>
      </x:c>
      <x:c r="S998" t="e">
        <x:f>HYPERLINK("visual_gallery/index.html#"&amp;A998,"Галерея")</x:f>
      </x:c>
    </x:row>
    <x:row r="999">
      <x:c r="A999" s="87" t="str">
        <x:v>VIS-EGKR-RUS-W25-TASK-957-P001</x:v>
      </x:c>
      <x:c r="B999" s="30" t="str">
        <x:v>Русский язык</x:v>
      </x:c>
      <x:c r="C999" s="30"/>
      <x:c r="D999" s="30" t="str">
        <x:v>957</x:v>
      </x:c>
      <x:c r="E999" s="87" t="str">
        <x:v>TASK</x:v>
      </x:c>
      <x:c r="F999" s="30" t="str">
        <x:v>Вариант 957.pdf</x:v>
      </x:c>
      <x:c r="G999" s="87" t="str">
        <x:v>1</x:v>
      </x:c>
      <x:c r="H999" s="87" t="str">
        <x:v>v0.91</x:v>
      </x:c>
      <x:c r="I999" s="87" t="str">
        <x:v>1</x:v>
      </x:c>
      <x:c r="J999" s="30" t="str">
        <x:v>VIS_ID</x:v>
      </x:c>
      <x:c r="K999" s="30" t="str">
        <x:v>EGKR-W25-RUS-957-01</x:v>
      </x:c>
      <x:c r="L999" s="87" t="str">
        <x:v>CROP_VERIFIED</x:v>
      </x:c>
      <x:c r="M999" s="87" t="str">
        <x:v>ORIGINAL_PACKAGE</x:v>
      </x:c>
      <x:c r="N999" s="87" t="str">
        <x:v>pages/VIS-EGKR-RUS-W25-TASK-957-P001.png</x:v>
      </x:c>
      <x:c r="O999" s="87" t="str">
        <x:v>thumbnails/VIS-EGKR-RUS-W25-TASK-957-P001.jpg</x:v>
      </x:c>
      <x:c r="P999" s="87" t="str">
        <x:v>57196eac2db31bc380c97d2b65eb5e1ae8622d02cdc6d30d798747ce561c7eef</x:v>
      </x:c>
      <x:c r="Q999" s="30" t="str">
        <x:v>incoming/raw/recovery-drop-01/russian_egkr_winter_visual_assets_v091.zip!/pages/VIS-EGKR-RUS-W25-TASK-957-P001.png</x:v>
      </x:c>
      <x:c r="R999" s="30" t="str">
        <x:v>MATCHED_ASSET</x:v>
      </x:c>
      <x:c r="S999" t="e">
        <x:f>HYPERLINK("visual_gallery/index.html#"&amp;A999,"Галерея")</x:f>
      </x:c>
    </x:row>
    <x:row r="1000">
      <x:c r="A1000" s="87" t="str">
        <x:v>VIS-EGKR-RUS-W25-TASK-957-P002</x:v>
      </x:c>
      <x:c r="B1000" s="30" t="str">
        <x:v>Русский язык</x:v>
      </x:c>
      <x:c r="C1000" s="30"/>
      <x:c r="D1000" s="30" t="str">
        <x:v>957</x:v>
      </x:c>
      <x:c r="E1000" s="87" t="str">
        <x:v>TASK</x:v>
      </x:c>
      <x:c r="F1000" s="30" t="str">
        <x:v>Вариант 957.pdf</x:v>
      </x:c>
      <x:c r="G1000" s="87" t="str">
        <x:v>2</x:v>
      </x:c>
      <x:c r="H1000" s="87" t="str">
        <x:v>v0.91</x:v>
      </x:c>
      <x:c r="I1000" s="87" t="str">
        <x:v>4</x:v>
      </x:c>
      <x:c r="J1000" s="30" t="str">
        <x:v>VIS_ID</x:v>
      </x:c>
      <x:c r="K1000" s="30" t="str">
        <x:v>EGKR-W25-RUS-957-02, EGKR-W25-RUS-957-03, EGKR-W25-RUS-957-04, EGKR-W25-RUS-957-05</x:v>
      </x:c>
      <x:c r="L1000" s="87" t="str">
        <x:v>CROP_VERIFIED</x:v>
      </x:c>
      <x:c r="M1000" s="87" t="str">
        <x:v>ORIGINAL_PACKAGE</x:v>
      </x:c>
      <x:c r="N1000" s="87" t="str">
        <x:v>pages/VIS-EGKR-RUS-W25-TASK-957-P002.png</x:v>
      </x:c>
      <x:c r="O1000" s="87" t="str">
        <x:v>thumbnails/VIS-EGKR-RUS-W25-TASK-957-P002.jpg</x:v>
      </x:c>
      <x:c r="P1000" s="87" t="str">
        <x:v>50b66b9a822effa56a22049c38a06fd44779ba9adf9973db67a7cfacecc7b3da</x:v>
      </x:c>
      <x:c r="Q1000" s="30" t="str">
        <x:v>incoming/raw/recovery-drop-01/russian_egkr_winter_visual_assets_v091.zip!/pages/VIS-EGKR-RUS-W25-TASK-957-P002.png</x:v>
      </x:c>
      <x:c r="R1000" s="30" t="str">
        <x:v>MATCHED_ASSET</x:v>
      </x:c>
      <x:c r="S1000" t="e">
        <x:f>HYPERLINK("visual_gallery/index.html#"&amp;A1000,"Галерея")</x:f>
      </x:c>
    </x:row>
    <x:row r="1001">
      <x:c r="A1001" s="87" t="str">
        <x:v>VIS-EGKR-RUS-W25-TASK-957-P003</x:v>
      </x:c>
      <x:c r="B1001" s="30" t="str">
        <x:v>Русский язык</x:v>
      </x:c>
      <x:c r="C1001" s="30"/>
      <x:c r="D1001" s="30" t="str">
        <x:v>957</x:v>
      </x:c>
      <x:c r="E1001" s="87" t="str">
        <x:v>TASK</x:v>
      </x:c>
      <x:c r="F1001" s="30" t="str">
        <x:v>Вариант 957.pdf</x:v>
      </x:c>
      <x:c r="G1001" s="87" t="str">
        <x:v>3</x:v>
      </x:c>
      <x:c r="H1001" s="87" t="str">
        <x:v>v0.91</x:v>
      </x:c>
      <x:c r="I1001" s="87" t="str">
        <x:v>3</x:v>
      </x:c>
      <x:c r="J1001" s="30" t="str">
        <x:v>VIS_ID</x:v>
      </x:c>
      <x:c r="K1001" s="30" t="str">
        <x:v>EGKR-W25-RUS-957-06, EGKR-W25-RUS-957-07, EGKR-W25-RUS-957-08</x:v>
      </x:c>
      <x:c r="L1001" s="87" t="str">
        <x:v>CROP_VERIFIED</x:v>
      </x:c>
      <x:c r="M1001" s="87" t="str">
        <x:v>ORIGINAL_PACKAGE</x:v>
      </x:c>
      <x:c r="N1001" s="87" t="str">
        <x:v>pages/VIS-EGKR-RUS-W25-TASK-957-P003.png</x:v>
      </x:c>
      <x:c r="O1001" s="87" t="str">
        <x:v>thumbnails/VIS-EGKR-RUS-W25-TASK-957-P003.jpg</x:v>
      </x:c>
      <x:c r="P1001" s="87" t="str">
        <x:v>0a61394fdc49fc9d88cd7a6fd58283913fc2a0473d9ae871ad2e6d286ee66ae2</x:v>
      </x:c>
      <x:c r="Q1001" s="30" t="str">
        <x:v>incoming/raw/recovery-drop-01/russian_egkr_winter_visual_assets_v091.zip!/pages/VIS-EGKR-RUS-W25-TASK-957-P003.png</x:v>
      </x:c>
      <x:c r="R1001" s="30" t="str">
        <x:v>MATCHED_ASSET</x:v>
      </x:c>
      <x:c r="S1001" t="e">
        <x:f>HYPERLINK("visual_gallery/index.html#"&amp;A1001,"Галерея")</x:f>
      </x:c>
    </x:row>
    <x:row r="1002">
      <x:c r="A1002" s="87" t="str">
        <x:v>VIS-EGKR-RUS-W25-TASK-957-P004</x:v>
      </x:c>
      <x:c r="B1002" s="30" t="str">
        <x:v>Русский язык</x:v>
      </x:c>
      <x:c r="C1002" s="30"/>
      <x:c r="D1002" s="30" t="str">
        <x:v>957</x:v>
      </x:c>
      <x:c r="E1002" s="87" t="str">
        <x:v>TASK</x:v>
      </x:c>
      <x:c r="F1002" s="30" t="str">
        <x:v>Вариант 957.pdf</x:v>
      </x:c>
      <x:c r="G1002" s="87" t="str">
        <x:v>4</x:v>
      </x:c>
      <x:c r="H1002" s="87" t="str">
        <x:v>v0.91</x:v>
      </x:c>
      <x:c r="I1002" s="87" t="str">
        <x:v>5</x:v>
      </x:c>
      <x:c r="J1002" s="30" t="str">
        <x:v>VIS_ID</x:v>
      </x:c>
      <x:c r="K1002" s="30" t="str">
        <x:v>EGKR-W25-RUS-957-09, EGKR-W25-RUS-957-10, EGKR-W25-RUS-957-11, EGKR-W25-RUS-957-12, EGKR-W25-RUS-957-13</x:v>
      </x:c>
      <x:c r="L1002" s="87" t="str">
        <x:v>CROP_VERIFIED</x:v>
      </x:c>
      <x:c r="M1002" s="87" t="str">
        <x:v>ORIGINAL_PACKAGE</x:v>
      </x:c>
      <x:c r="N1002" s="87" t="str">
        <x:v>pages/VIS-EGKR-RUS-W25-TASK-957-P004.png</x:v>
      </x:c>
      <x:c r="O1002" s="87" t="str">
        <x:v>thumbnails/VIS-EGKR-RUS-W25-TASK-957-P004.jpg</x:v>
      </x:c>
      <x:c r="P1002" s="87" t="str">
        <x:v>2fd5be23abeb3e3e53f5e1386f82011ad6b900b980118068be2d92202b413bec</x:v>
      </x:c>
      <x:c r="Q1002" s="30" t="str">
        <x:v>incoming/raw/recovery-drop-01/russian_egkr_winter_visual_assets_v091.zip!/pages/VIS-EGKR-RUS-W25-TASK-957-P004.png</x:v>
      </x:c>
      <x:c r="R1002" s="30" t="str">
        <x:v>MATCHED_ASSET</x:v>
      </x:c>
      <x:c r="S1002" t="e">
        <x:f>HYPERLINK("visual_gallery/index.html#"&amp;A1002,"Галерея")</x:f>
      </x:c>
    </x:row>
    <x:row r="1003">
      <x:c r="A1003" s="87" t="str">
        <x:v>VIS-EGKR-RUS-W25-TASK-957-P005</x:v>
      </x:c>
      <x:c r="B1003" s="30" t="str">
        <x:v>Русский язык</x:v>
      </x:c>
      <x:c r="C1003" s="30"/>
      <x:c r="D1003" s="30" t="str">
        <x:v>957</x:v>
      </x:c>
      <x:c r="E1003" s="87" t="str">
        <x:v>TASK</x:v>
      </x:c>
      <x:c r="F1003" s="30" t="str">
        <x:v>Вариант 957.pdf</x:v>
      </x:c>
      <x:c r="G1003" s="87" t="str">
        <x:v>5</x:v>
      </x:c>
      <x:c r="H1003" s="87" t="str">
        <x:v>v0.91</x:v>
      </x:c>
      <x:c r="I1003" s="87" t="str">
        <x:v>6</x:v>
      </x:c>
      <x:c r="J1003" s="30" t="str">
        <x:v>VIS_ID</x:v>
      </x:c>
      <x:c r="K1003" s="30" t="str">
        <x:v>EGKR-W25-RUS-957-14, EGKR-W25-RUS-957-15, EGKR-W25-RUS-957-16, EGKR-W25-RUS-957-17, EGKR-W25-RUS-957-18, EGKR-W25-RUS-957-19</x:v>
      </x:c>
      <x:c r="L1003" s="87" t="str">
        <x:v>CROP_VERIFIED</x:v>
      </x:c>
      <x:c r="M1003" s="87" t="str">
        <x:v>ORIGINAL_PACKAGE</x:v>
      </x:c>
      <x:c r="N1003" s="87" t="str">
        <x:v>pages/VIS-EGKR-RUS-W25-TASK-957-P005.png</x:v>
      </x:c>
      <x:c r="O1003" s="87" t="str">
        <x:v>thumbnails/VIS-EGKR-RUS-W25-TASK-957-P005.jpg</x:v>
      </x:c>
      <x:c r="P1003" s="87" t="str">
        <x:v>d7cfdad6d769a82c6298be88bcd4b43bb3e22f740805d051e7a6e49a026531e2</x:v>
      </x:c>
      <x:c r="Q1003" s="30" t="str">
        <x:v>incoming/raw/recovery-drop-01/russian_egkr_winter_visual_assets_v091.zip!/pages/VIS-EGKR-RUS-W25-TASK-957-P005.png</x:v>
      </x:c>
      <x:c r="R1003" s="30" t="str">
        <x:v>MATCHED_ASSET</x:v>
      </x:c>
      <x:c r="S1003" t="e">
        <x:f>HYPERLINK("visual_gallery/index.html#"&amp;A1003,"Галерея")</x:f>
      </x:c>
    </x:row>
    <x:row r="1004">
      <x:c r="A1004" s="87" t="str">
        <x:v>VIS-EGKR-RUS-W25-TASK-957-P006</x:v>
      </x:c>
      <x:c r="B1004" s="30" t="str">
        <x:v>Русский язык</x:v>
      </x:c>
      <x:c r="C1004" s="30"/>
      <x:c r="D1004" s="30" t="str">
        <x:v>957</x:v>
      </x:c>
      <x:c r="E1004" s="87" t="str">
        <x:v>TASK</x:v>
      </x:c>
      <x:c r="F1004" s="30" t="str">
        <x:v>Вариант 957.pdf</x:v>
      </x:c>
      <x:c r="G1004" s="87" t="str">
        <x:v>6</x:v>
      </x:c>
      <x:c r="H1004" s="87" t="str">
        <x:v>v0.91</x:v>
      </x:c>
      <x:c r="I1004" s="87" t="str">
        <x:v>3</x:v>
      </x:c>
      <x:c r="J1004" s="30" t="str">
        <x:v>VIS_ID</x:v>
      </x:c>
      <x:c r="K1004" s="30" t="str">
        <x:v>EGKR-W25-RUS-957-20, EGKR-W25-RUS-957-21, EGKR-W25-RUS-957-22</x:v>
      </x:c>
      <x:c r="L1004" s="87" t="str">
        <x:v>CROP_VERIFIED</x:v>
      </x:c>
      <x:c r="M1004" s="87" t="str">
        <x:v>ORIGINAL_PACKAGE</x:v>
      </x:c>
      <x:c r="N1004" s="87" t="str">
        <x:v>pages/VIS-EGKR-RUS-W25-TASK-957-P006.png</x:v>
      </x:c>
      <x:c r="O1004" s="87" t="str">
        <x:v>thumbnails/VIS-EGKR-RUS-W25-TASK-957-P006.jpg</x:v>
      </x:c>
      <x:c r="P1004" s="87" t="str">
        <x:v>72bc5e5ba567fbd6813f027ae274a6162411d43221b7e57e01b0f1e37859e7d6</x:v>
      </x:c>
      <x:c r="Q1004" s="30" t="str">
        <x:v>incoming/raw/recovery-drop-01/russian_egkr_winter_visual_assets_v091.zip!/pages/VIS-EGKR-RUS-W25-TASK-957-P006.png</x:v>
      </x:c>
      <x:c r="R1004" s="30" t="str">
        <x:v>MATCHED_ASSET</x:v>
      </x:c>
      <x:c r="S1004" t="e">
        <x:f>HYPERLINK("visual_gallery/index.html#"&amp;A1004,"Галерея")</x:f>
      </x:c>
    </x:row>
    <x:row r="1005">
      <x:c r="A1005" s="87" t="str">
        <x:v>VIS-EGKR-RUS-W25-TASK-957-P007</x:v>
      </x:c>
      <x:c r="B1005" s="30" t="str">
        <x:v>Русский язык</x:v>
      </x:c>
      <x:c r="C1005" s="30"/>
      <x:c r="D1005" s="30" t="str">
        <x:v>957</x:v>
      </x:c>
      <x:c r="E1005" s="87" t="str">
        <x:v>TASK</x:v>
      </x:c>
      <x:c r="F1005" s="30" t="str">
        <x:v>Вариант 957.pdf</x:v>
      </x:c>
      <x:c r="G1005" s="87" t="str">
        <x:v>7</x:v>
      </x:c>
      <x:c r="H1005" s="87" t="str">
        <x:v>v0.91</x:v>
      </x:c>
      <x:c r="I1005" s="87" t="str">
        <x:v>1</x:v>
      </x:c>
      <x:c r="J1005" s="30" t="str">
        <x:v>VIS_ID</x:v>
      </x:c>
      <x:c r="K1005" s="30" t="str">
        <x:v>EGKR-W25-RUS-957-23</x:v>
      </x:c>
      <x:c r="L1005" s="87" t="str">
        <x:v>CROP_VERIFIED</x:v>
      </x:c>
      <x:c r="M1005" s="87" t="str">
        <x:v>ORIGINAL_PACKAGE</x:v>
      </x:c>
      <x:c r="N1005" s="87" t="str">
        <x:v>pages/VIS-EGKR-RUS-W25-TASK-957-P007.png</x:v>
      </x:c>
      <x:c r="O1005" s="87" t="str">
        <x:v>thumbnails/VIS-EGKR-RUS-W25-TASK-957-P007.jpg</x:v>
      </x:c>
      <x:c r="P1005" s="87" t="str">
        <x:v>d8d0b1d72b14724ab10cf18767015ed932a074d9c5a8df04f28aa4143a7fc082</x:v>
      </x:c>
      <x:c r="Q1005" s="30" t="str">
        <x:v>incoming/raw/recovery-drop-01/russian_egkr_winter_visual_assets_v091.zip!/pages/VIS-EGKR-RUS-W25-TASK-957-P007.png</x:v>
      </x:c>
      <x:c r="R1005" s="30" t="str">
        <x:v>MATCHED_ASSET</x:v>
      </x:c>
      <x:c r="S1005" t="e">
        <x:f>HYPERLINK("visual_gallery/index.html#"&amp;A1005,"Галерея")</x:f>
      </x:c>
    </x:row>
    <x:row r="1006">
      <x:c r="A1006" s="87" t="str">
        <x:v>VIS-EGKR-RUS-W25-TASK-957-P008</x:v>
      </x:c>
      <x:c r="B1006" s="30" t="str">
        <x:v>Русский язык</x:v>
      </x:c>
      <x:c r="C1006" s="30"/>
      <x:c r="D1006" s="30" t="str">
        <x:v>957</x:v>
      </x:c>
      <x:c r="E1006" s="87" t="str">
        <x:v>TASK</x:v>
      </x:c>
      <x:c r="F1006" s="30" t="str">
        <x:v>Вариант 957.pdf</x:v>
      </x:c>
      <x:c r="G1006" s="87" t="str">
        <x:v>8</x:v>
      </x:c>
      <x:c r="H1006" s="87" t="str">
        <x:v>v0.91</x:v>
      </x:c>
      <x:c r="I1006" s="87" t="str">
        <x:v>4</x:v>
      </x:c>
      <x:c r="J1006" s="30" t="str">
        <x:v>VIS_ID</x:v>
      </x:c>
      <x:c r="K1006" s="30" t="str">
        <x:v>EGKR-W25-RUS-957-24, EGKR-W25-RUS-957-25, EGKR-W25-RUS-957-26, EGKR-W25-RUS-957-27</x:v>
      </x:c>
      <x:c r="L1006" s="87" t="str">
        <x:v>CROP_VERIFIED</x:v>
      </x:c>
      <x:c r="M1006" s="87" t="str">
        <x:v>ORIGINAL_PACKAGE</x:v>
      </x:c>
      <x:c r="N1006" s="87" t="str">
        <x:v>pages/VIS-EGKR-RUS-W25-TASK-957-P008.png</x:v>
      </x:c>
      <x:c r="O1006" s="87" t="str">
        <x:v>thumbnails/VIS-EGKR-RUS-W25-TASK-957-P008.jpg</x:v>
      </x:c>
      <x:c r="P1006" s="87" t="str">
        <x:v>1b0e834749467e2d3ff898092f86aa99882924ec3694e570f250acff87d3df8e</x:v>
      </x:c>
      <x:c r="Q1006" s="30" t="str">
        <x:v>incoming/raw/recovery-drop-01/russian_egkr_winter_visual_assets_v091.zip!/pages/VIS-EGKR-RUS-W25-TASK-957-P008.png</x:v>
      </x:c>
      <x:c r="R1006" s="30" t="str">
        <x:v>MATCHED_ASSET</x:v>
      </x:c>
      <x:c r="S1006" t="e">
        <x:f>HYPERLINK("visual_gallery/index.html#"&amp;A1006,"Галерея")</x:f>
      </x:c>
    </x:row>
    <x:row r="1007">
      <x:c r="A1007" s="87" t="str">
        <x:v>VIS-EGKR-RUS-W25-TASK-958-P001</x:v>
      </x:c>
      <x:c r="B1007" s="30" t="str"/>
      <x:c r="C1007" s="30"/>
      <x:c r="D1007" s="30" t="str">
        <x:v>958</x:v>
      </x:c>
      <x:c r="E1007" s="87" t="str">
        <x:v>TASK</x:v>
      </x:c>
      <x:c r="F1007" s="30" t="str">
        <x:v>Вариант 958.pdf</x:v>
      </x:c>
      <x:c r="G1007" s="87" t="str">
        <x:v>1</x:v>
      </x:c>
      <x:c r="H1007" s="87" t="str">
        <x:v>v0.91</x:v>
      </x:c>
      <x:c r="I1007" s="87" t="str">
        <x:v>0</x:v>
      </x:c>
      <x:c r="J1007" s="30" t="str"/>
      <x:c r="K1007" s="30" t="str"/>
      <x:c r="L1007" s="87" t="str">
        <x:v>CROP_VERIFIED</x:v>
      </x:c>
      <x:c r="M1007" s="87" t="str">
        <x:v>ORIGINAL_PACKAGE</x:v>
      </x:c>
      <x:c r="N1007" s="87" t="str">
        <x:v>pages/VIS-EGKR-RUS-W25-TASK-958-P001.png</x:v>
      </x:c>
      <x:c r="O1007" s="87" t="str">
        <x:v>thumbnails/VIS-EGKR-RUS-W25-TASK-958-P001.jpg</x:v>
      </x:c>
      <x:c r="P1007" s="87" t="str">
        <x:v>c14ff1ce14e786307162ad8fc7a5408faea834abb2210698899d1910aefbd58f</x:v>
      </x:c>
      <x:c r="Q1007" s="30" t="str">
        <x:v>incoming/raw/recovery-drop-01/russian_egkr_winter_visual_assets_v091.zip!/pages/VIS-EGKR-RUS-W25-TASK-958-P001.png</x:v>
      </x:c>
      <x:c r="R1007" s="30" t="str">
        <x:v>RESOLVED_UNLINKED_REGISTRY_VISUAL</x:v>
      </x:c>
      <x:c r="S1007" t="e">
        <x:f>HYPERLINK("visual_gallery/index.html#"&amp;A1007,"Галерея")</x:f>
      </x:c>
    </x:row>
    <x:row r="1008">
      <x:c r="A1008" s="87" t="str">
        <x:v>VIS-EGKR-RUS-W25-TASK-958-P002</x:v>
      </x:c>
      <x:c r="B1008" s="30" t="str">
        <x:v>Русский язык</x:v>
      </x:c>
      <x:c r="C1008" s="30"/>
      <x:c r="D1008" s="30" t="str">
        <x:v>958</x:v>
      </x:c>
      <x:c r="E1008" s="87" t="str">
        <x:v>TASK</x:v>
      </x:c>
      <x:c r="F1008" s="30" t="str">
        <x:v>Вариант 958.pdf</x:v>
      </x:c>
      <x:c r="G1008" s="87" t="str">
        <x:v>2</x:v>
      </x:c>
      <x:c r="H1008" s="87" t="str">
        <x:v>v0.91</x:v>
      </x:c>
      <x:c r="I1008" s="87" t="str">
        <x:v>1</x:v>
      </x:c>
      <x:c r="J1008" s="30" t="str">
        <x:v>VIS_ID</x:v>
      </x:c>
      <x:c r="K1008" s="30" t="str">
        <x:v>EGKR-W25-RUS-958-01</x:v>
      </x:c>
      <x:c r="L1008" s="87" t="str">
        <x:v>CROP_VERIFIED</x:v>
      </x:c>
      <x:c r="M1008" s="87" t="str">
        <x:v>ORIGINAL_PACKAGE</x:v>
      </x:c>
      <x:c r="N1008" s="87" t="str">
        <x:v>pages/VIS-EGKR-RUS-W25-TASK-958-P002.png</x:v>
      </x:c>
      <x:c r="O1008" s="87" t="str">
        <x:v>thumbnails/VIS-EGKR-RUS-W25-TASK-958-P002.jpg</x:v>
      </x:c>
      <x:c r="P1008" s="87" t="str">
        <x:v>c61244a72d7268c8de38fdced82874d6b076d9a7ef55717cc920186fd8e9b8d6</x:v>
      </x:c>
      <x:c r="Q1008" s="30" t="str">
        <x:v>incoming/raw/recovery-drop-01/russian_egkr_winter_visual_assets_v091.zip!/pages/VIS-EGKR-RUS-W25-TASK-958-P002.png</x:v>
      </x:c>
      <x:c r="R1008" s="30" t="str">
        <x:v>MATCHED_ASSET</x:v>
      </x:c>
      <x:c r="S1008" t="e">
        <x:f>HYPERLINK("visual_gallery/index.html#"&amp;A1008,"Галерея")</x:f>
      </x:c>
    </x:row>
    <x:row r="1009">
      <x:c r="A1009" s="87" t="str">
        <x:v>VIS-EGKR-RUS-W25-TASK-958-P003</x:v>
      </x:c>
      <x:c r="B1009" s="30" t="str">
        <x:v>Русский язык</x:v>
      </x:c>
      <x:c r="C1009" s="30"/>
      <x:c r="D1009" s="30" t="str">
        <x:v>958</x:v>
      </x:c>
      <x:c r="E1009" s="87" t="str">
        <x:v>TASK</x:v>
      </x:c>
      <x:c r="F1009" s="30" t="str">
        <x:v>Вариант 958.pdf</x:v>
      </x:c>
      <x:c r="G1009" s="87" t="str">
        <x:v>3</x:v>
      </x:c>
      <x:c r="H1009" s="87" t="str">
        <x:v>v0.91</x:v>
      </x:c>
      <x:c r="I1009" s="87" t="str">
        <x:v>2</x:v>
      </x:c>
      <x:c r="J1009" s="30" t="str">
        <x:v>VIS_ID</x:v>
      </x:c>
      <x:c r="K1009" s="30" t="str">
        <x:v>EGKR-W25-RUS-958-02, EGKR-W25-RUS-958-03</x:v>
      </x:c>
      <x:c r="L1009" s="87" t="str">
        <x:v>CROP_VERIFIED</x:v>
      </x:c>
      <x:c r="M1009" s="87" t="str">
        <x:v>ORIGINAL_PACKAGE</x:v>
      </x:c>
      <x:c r="N1009" s="87" t="str">
        <x:v>pages/VIS-EGKR-RUS-W25-TASK-958-P003.png</x:v>
      </x:c>
      <x:c r="O1009" s="87" t="str">
        <x:v>thumbnails/VIS-EGKR-RUS-W25-TASK-958-P003.jpg</x:v>
      </x:c>
      <x:c r="P1009" s="87" t="str">
        <x:v>c8b70e9b47ba6f5247fcfaa43e09d22b765495afc2718c431915361d12e4c9ea</x:v>
      </x:c>
      <x:c r="Q1009" s="30" t="str">
        <x:v>incoming/raw/recovery-drop-01/russian_egkr_winter_visual_assets_v091.zip!/pages/VIS-EGKR-RUS-W25-TASK-958-P003.png</x:v>
      </x:c>
      <x:c r="R1009" s="30" t="str">
        <x:v>MATCHED_ASSET</x:v>
      </x:c>
      <x:c r="S1009" t="e">
        <x:f>HYPERLINK("visual_gallery/index.html#"&amp;A1009,"Галерея")</x:f>
      </x:c>
    </x:row>
    <x:row r="1010">
      <x:c r="A1010" s="87" t="str">
        <x:v>VIS-EGKR-RUS-W25-TASK-958-P004</x:v>
      </x:c>
      <x:c r="B1010" s="30" t="str">
        <x:v>Русский язык</x:v>
      </x:c>
      <x:c r="C1010" s="30"/>
      <x:c r="D1010" s="30" t="str">
        <x:v>958</x:v>
      </x:c>
      <x:c r="E1010" s="87" t="str">
        <x:v>TASK</x:v>
      </x:c>
      <x:c r="F1010" s="30" t="str">
        <x:v>Вариант 958.pdf</x:v>
      </x:c>
      <x:c r="G1010" s="87" t="str">
        <x:v>4</x:v>
      </x:c>
      <x:c r="H1010" s="87" t="str">
        <x:v>v0.91</x:v>
      </x:c>
      <x:c r="I1010" s="87" t="str">
        <x:v>2</x:v>
      </x:c>
      <x:c r="J1010" s="30" t="str">
        <x:v>VIS_ID</x:v>
      </x:c>
      <x:c r="K1010" s="30" t="str">
        <x:v>EGKR-W25-RUS-958-04, EGKR-W25-RUS-958-05</x:v>
      </x:c>
      <x:c r="L1010" s="87" t="str">
        <x:v>CROP_VERIFIED</x:v>
      </x:c>
      <x:c r="M1010" s="87" t="str">
        <x:v>ORIGINAL_PACKAGE</x:v>
      </x:c>
      <x:c r="N1010" s="87" t="str">
        <x:v>pages/VIS-EGKR-RUS-W25-TASK-958-P004.png</x:v>
      </x:c>
      <x:c r="O1010" s="87" t="str">
        <x:v>thumbnails/VIS-EGKR-RUS-W25-TASK-958-P004.jpg</x:v>
      </x:c>
      <x:c r="P1010" s="87" t="str">
        <x:v>8ca1f137da88d6029c2b890ccf8d05f65cbab44cd1076fc70336ecff9f9a8253</x:v>
      </x:c>
      <x:c r="Q1010" s="30" t="str">
        <x:v>incoming/raw/recovery-drop-01/russian_egkr_winter_visual_assets_v091.zip!/pages/VIS-EGKR-RUS-W25-TASK-958-P004.png</x:v>
      </x:c>
      <x:c r="R1010" s="30" t="str">
        <x:v>MATCHED_ASSET</x:v>
      </x:c>
      <x:c r="S1010" t="e">
        <x:f>HYPERLINK("visual_gallery/index.html#"&amp;A1010,"Галерея")</x:f>
      </x:c>
    </x:row>
    <x:row r="1011">
      <x:c r="A1011" s="87" t="str">
        <x:v>VIS-EGKR-RUS-W25-TASK-958-P005</x:v>
      </x:c>
      <x:c r="B1011" s="30" t="str">
        <x:v>Русский язык</x:v>
      </x:c>
      <x:c r="C1011" s="30"/>
      <x:c r="D1011" s="30" t="str">
        <x:v>958</x:v>
      </x:c>
      <x:c r="E1011" s="87" t="str">
        <x:v>TASK</x:v>
      </x:c>
      <x:c r="F1011" s="30" t="str">
        <x:v>Вариант 958.pdf</x:v>
      </x:c>
      <x:c r="G1011" s="87" t="str">
        <x:v>5</x:v>
      </x:c>
      <x:c r="H1011" s="87" t="str">
        <x:v>v0.91</x:v>
      </x:c>
      <x:c r="I1011" s="87" t="str">
        <x:v>2</x:v>
      </x:c>
      <x:c r="J1011" s="30" t="str">
        <x:v>VIS_ID</x:v>
      </x:c>
      <x:c r="K1011" s="30" t="str">
        <x:v>EGKR-W25-RUS-958-06, EGKR-W25-RUS-958-07</x:v>
      </x:c>
      <x:c r="L1011" s="87" t="str">
        <x:v>CROP_VERIFIED</x:v>
      </x:c>
      <x:c r="M1011" s="87" t="str">
        <x:v>ORIGINAL_PACKAGE</x:v>
      </x:c>
      <x:c r="N1011" s="87" t="str">
        <x:v>pages/VIS-EGKR-RUS-W25-TASK-958-P005.png</x:v>
      </x:c>
      <x:c r="O1011" s="87" t="str">
        <x:v>thumbnails/VIS-EGKR-RUS-W25-TASK-958-P005.jpg</x:v>
      </x:c>
      <x:c r="P1011" s="87" t="str">
        <x:v>8155fe3a4ffadd59bcaeeffc57e3b81782d45ca8c01b15b0f127d1edbb3cd8db</x:v>
      </x:c>
      <x:c r="Q1011" s="30" t="str">
        <x:v>incoming/raw/recovery-drop-01/russian_egkr_winter_visual_assets_v091.zip!/pages/VIS-EGKR-RUS-W25-TASK-958-P005.png</x:v>
      </x:c>
      <x:c r="R1011" s="30" t="str">
        <x:v>MATCHED_ASSET</x:v>
      </x:c>
      <x:c r="S1011" t="e">
        <x:f>HYPERLINK("visual_gallery/index.html#"&amp;A1011,"Галерея")</x:f>
      </x:c>
    </x:row>
    <x:row r="1012">
      <x:c r="A1012" s="87" t="str">
        <x:v>VIS-EGKR-RUS-W25-TASK-958-P006</x:v>
      </x:c>
      <x:c r="B1012" s="30" t="str">
        <x:v>Русский язык</x:v>
      </x:c>
      <x:c r="C1012" s="30"/>
      <x:c r="D1012" s="30" t="str">
        <x:v>958</x:v>
      </x:c>
      <x:c r="E1012" s="87" t="str">
        <x:v>TASK</x:v>
      </x:c>
      <x:c r="F1012" s="30" t="str">
        <x:v>Вариант 958.pdf</x:v>
      </x:c>
      <x:c r="G1012" s="87" t="str">
        <x:v>6</x:v>
      </x:c>
      <x:c r="H1012" s="87" t="str">
        <x:v>v0.91</x:v>
      </x:c>
      <x:c r="I1012" s="87" t="str">
        <x:v>1</x:v>
      </x:c>
      <x:c r="J1012" s="30" t="str">
        <x:v>VIS_ID</x:v>
      </x:c>
      <x:c r="K1012" s="30" t="str">
        <x:v>EGKR-W25-RUS-958-08</x:v>
      </x:c>
      <x:c r="L1012" s="87" t="str">
        <x:v>CROP_VERIFIED</x:v>
      </x:c>
      <x:c r="M1012" s="87" t="str">
        <x:v>ORIGINAL_PACKAGE</x:v>
      </x:c>
      <x:c r="N1012" s="87" t="str">
        <x:v>pages/VIS-EGKR-RUS-W25-TASK-958-P006.png</x:v>
      </x:c>
      <x:c r="O1012" s="87" t="str">
        <x:v>thumbnails/VIS-EGKR-RUS-W25-TASK-958-P006.jpg</x:v>
      </x:c>
      <x:c r="P1012" s="87" t="str">
        <x:v>768b22b6742c1dbdccd34c605927597a745860070f77ff48e090dda0b1a0aefa</x:v>
      </x:c>
      <x:c r="Q1012" s="30" t="str">
        <x:v>incoming/raw/recovery-drop-01/russian_egkr_winter_visual_assets_v091.zip!/pages/VIS-EGKR-RUS-W25-TASK-958-P006.png</x:v>
      </x:c>
      <x:c r="R1012" s="30" t="str">
        <x:v>MATCHED_ASSET</x:v>
      </x:c>
      <x:c r="S1012" t="e">
        <x:f>HYPERLINK("visual_gallery/index.html#"&amp;A1012,"Галерея")</x:f>
      </x:c>
    </x:row>
    <x:row r="1013">
      <x:c r="A1013" s="87" t="str">
        <x:v>VIS-EGKR-RUS-W25-TASK-958-P007</x:v>
      </x:c>
      <x:c r="B1013" s="30" t="str">
        <x:v>Русский язык</x:v>
      </x:c>
      <x:c r="C1013" s="30"/>
      <x:c r="D1013" s="30" t="str">
        <x:v>958</x:v>
      </x:c>
      <x:c r="E1013" s="87" t="str">
        <x:v>TASK</x:v>
      </x:c>
      <x:c r="F1013" s="30" t="str">
        <x:v>Вариант 958.pdf</x:v>
      </x:c>
      <x:c r="G1013" s="87" t="str">
        <x:v>7</x:v>
      </x:c>
      <x:c r="H1013" s="87" t="str">
        <x:v>v0.91</x:v>
      </x:c>
      <x:c r="I1013" s="87" t="str">
        <x:v>3</x:v>
      </x:c>
      <x:c r="J1013" s="30" t="str">
        <x:v>VIS_ID</x:v>
      </x:c>
      <x:c r="K1013" s="30" t="str">
        <x:v>EGKR-W25-RUS-958-09, EGKR-W25-RUS-958-10, EGKR-W25-RUS-958-11</x:v>
      </x:c>
      <x:c r="L1013" s="87" t="str">
        <x:v>CROP_VERIFIED</x:v>
      </x:c>
      <x:c r="M1013" s="87" t="str">
        <x:v>ORIGINAL_PACKAGE</x:v>
      </x:c>
      <x:c r="N1013" s="87" t="str">
        <x:v>pages/VIS-EGKR-RUS-W25-TASK-958-P007.png</x:v>
      </x:c>
      <x:c r="O1013" s="87" t="str">
        <x:v>thumbnails/VIS-EGKR-RUS-W25-TASK-958-P007.jpg</x:v>
      </x:c>
      <x:c r="P1013" s="87" t="str">
        <x:v>05d0f55fa573ec23f652ac58310af393c4a6d960f12fb8493b78187a0367cf12</x:v>
      </x:c>
      <x:c r="Q1013" s="30" t="str">
        <x:v>incoming/raw/recovery-drop-01/russian_egkr_winter_visual_assets_v091.zip!/pages/VIS-EGKR-RUS-W25-TASK-958-P007.png</x:v>
      </x:c>
      <x:c r="R1013" s="30" t="str">
        <x:v>MATCHED_ASSET</x:v>
      </x:c>
      <x:c r="S1013" t="e">
        <x:f>HYPERLINK("visual_gallery/index.html#"&amp;A1013,"Галерея")</x:f>
      </x:c>
    </x:row>
    <x:row r="1014">
      <x:c r="A1014" s="87" t="str">
        <x:v>VIS-EGKR-RUS-W25-TASK-958-P008</x:v>
      </x:c>
      <x:c r="B1014" s="30" t="str">
        <x:v>Русский язык</x:v>
      </x:c>
      <x:c r="C1014" s="30"/>
      <x:c r="D1014" s="30" t="str">
        <x:v>958</x:v>
      </x:c>
      <x:c r="E1014" s="87" t="str">
        <x:v>TASK</x:v>
      </x:c>
      <x:c r="F1014" s="30" t="str">
        <x:v>Вариант 958.pdf</x:v>
      </x:c>
      <x:c r="G1014" s="87" t="str">
        <x:v>8</x:v>
      </x:c>
      <x:c r="H1014" s="87" t="str">
        <x:v>v0.91</x:v>
      </x:c>
      <x:c r="I1014" s="87" t="str">
        <x:v>2</x:v>
      </x:c>
      <x:c r="J1014" s="30" t="str">
        <x:v>VIS_ID</x:v>
      </x:c>
      <x:c r="K1014" s="30" t="str">
        <x:v>EGKR-W25-RUS-958-12, EGKR-W25-RUS-958-13</x:v>
      </x:c>
      <x:c r="L1014" s="87" t="str">
        <x:v>CROP_VERIFIED</x:v>
      </x:c>
      <x:c r="M1014" s="87" t="str">
        <x:v>ORIGINAL_PACKAGE</x:v>
      </x:c>
      <x:c r="N1014" s="87" t="str">
        <x:v>pages/VIS-EGKR-RUS-W25-TASK-958-P008.png</x:v>
      </x:c>
      <x:c r="O1014" s="87" t="str">
        <x:v>thumbnails/VIS-EGKR-RUS-W25-TASK-958-P008.jpg</x:v>
      </x:c>
      <x:c r="P1014" s="87" t="str">
        <x:v>333bdffbc7231db1dc94ba3a39a9ab05f65329cd592afb5c53f5be200856671f</x:v>
      </x:c>
      <x:c r="Q1014" s="30" t="str">
        <x:v>incoming/raw/recovery-drop-01/russian_egkr_winter_visual_assets_v091.zip!/pages/VIS-EGKR-RUS-W25-TASK-958-P008.png</x:v>
      </x:c>
      <x:c r="R1014" s="30" t="str">
        <x:v>MATCHED_ASSET</x:v>
      </x:c>
      <x:c r="S1014" t="e">
        <x:f>HYPERLINK("visual_gallery/index.html#"&amp;A1014,"Галерея")</x:f>
      </x:c>
    </x:row>
    <x:row r="1015">
      <x:c r="A1015" s="87" t="str">
        <x:v>VIS-EGKR-RUS-W25-TASK-958-P009</x:v>
      </x:c>
      <x:c r="B1015" s="30" t="str">
        <x:v>Русский язык</x:v>
      </x:c>
      <x:c r="C1015" s="30"/>
      <x:c r="D1015" s="30" t="str">
        <x:v>958</x:v>
      </x:c>
      <x:c r="E1015" s="87" t="str">
        <x:v>TASK</x:v>
      </x:c>
      <x:c r="F1015" s="30" t="str">
        <x:v>Вариант 958.pdf</x:v>
      </x:c>
      <x:c r="G1015" s="87" t="str">
        <x:v>9</x:v>
      </x:c>
      <x:c r="H1015" s="87" t="str">
        <x:v>v0.91</x:v>
      </x:c>
      <x:c r="I1015" s="87" t="str">
        <x:v>3</x:v>
      </x:c>
      <x:c r="J1015" s="30" t="str">
        <x:v>VIS_ID</x:v>
      </x:c>
      <x:c r="K1015" s="30" t="str">
        <x:v>EGKR-W25-RUS-958-14, EGKR-W25-RUS-958-15, EGKR-W25-RUS-958-16</x:v>
      </x:c>
      <x:c r="L1015" s="87" t="str">
        <x:v>CROP_VERIFIED</x:v>
      </x:c>
      <x:c r="M1015" s="87" t="str">
        <x:v>ORIGINAL_PACKAGE</x:v>
      </x:c>
      <x:c r="N1015" s="87" t="str">
        <x:v>pages/VIS-EGKR-RUS-W25-TASK-958-P009.png</x:v>
      </x:c>
      <x:c r="O1015" s="87" t="str">
        <x:v>thumbnails/VIS-EGKR-RUS-W25-TASK-958-P009.jpg</x:v>
      </x:c>
      <x:c r="P1015" s="87" t="str">
        <x:v>8334e06e2b7b94f2e165747f845b9c52f1ca8870083e771b9740ba01a42fd727</x:v>
      </x:c>
      <x:c r="Q1015" s="30" t="str">
        <x:v>incoming/raw/recovery-drop-01/russian_egkr_winter_visual_assets_v091.zip!/pages/VIS-EGKR-RUS-W25-TASK-958-P009.png</x:v>
      </x:c>
      <x:c r="R1015" s="30" t="str">
        <x:v>MATCHED_ASSET</x:v>
      </x:c>
      <x:c r="S1015" t="e">
        <x:f>HYPERLINK("visual_gallery/index.html#"&amp;A1015,"Галерея")</x:f>
      </x:c>
    </x:row>
    <x:row r="1016">
      <x:c r="A1016" s="87" t="str">
        <x:v>VIS-EGKR-RUS-W25-TASK-958-P010</x:v>
      </x:c>
      <x:c r="B1016" s="30" t="str">
        <x:v>Русский язык</x:v>
      </x:c>
      <x:c r="C1016" s="30"/>
      <x:c r="D1016" s="30" t="str">
        <x:v>958</x:v>
      </x:c>
      <x:c r="E1016" s="87" t="str">
        <x:v>TASK</x:v>
      </x:c>
      <x:c r="F1016" s="30" t="str">
        <x:v>Вариант 958.pdf</x:v>
      </x:c>
      <x:c r="G1016" s="87" t="str">
        <x:v>10</x:v>
      </x:c>
      <x:c r="H1016" s="87" t="str">
        <x:v>v0.91</x:v>
      </x:c>
      <x:c r="I1016" s="87" t="str">
        <x:v>3</x:v>
      </x:c>
      <x:c r="J1016" s="30" t="str">
        <x:v>VIS_ID</x:v>
      </x:c>
      <x:c r="K1016" s="30" t="str">
        <x:v>EGKR-W25-RUS-958-17, EGKR-W25-RUS-958-18, EGKR-W25-RUS-958-19</x:v>
      </x:c>
      <x:c r="L1016" s="87" t="str">
        <x:v>CROP_VERIFIED</x:v>
      </x:c>
      <x:c r="M1016" s="87" t="str">
        <x:v>ORIGINAL_PACKAGE</x:v>
      </x:c>
      <x:c r="N1016" s="87" t="str">
        <x:v>pages/VIS-EGKR-RUS-W25-TASK-958-P010.png</x:v>
      </x:c>
      <x:c r="O1016" s="87" t="str">
        <x:v>thumbnails/VIS-EGKR-RUS-W25-TASK-958-P010.jpg</x:v>
      </x:c>
      <x:c r="P1016" s="87" t="str">
        <x:v>d1209de0e2adf6c471f27d5378b55045af6122f2d32708d7b8babbcbac0bc960</x:v>
      </x:c>
      <x:c r="Q1016" s="30" t="str">
        <x:v>incoming/raw/recovery-drop-01/russian_egkr_winter_visual_assets_v091.zip!/pages/VIS-EGKR-RUS-W25-TASK-958-P010.png</x:v>
      </x:c>
      <x:c r="R1016" s="30" t="str">
        <x:v>MATCHED_ASSET</x:v>
      </x:c>
      <x:c r="S1016" t="e">
        <x:f>HYPERLINK("visual_gallery/index.html#"&amp;A1016,"Галерея")</x:f>
      </x:c>
    </x:row>
    <x:row r="1017">
      <x:c r="A1017" s="87" t="str">
        <x:v>VIS-EGKR-RUS-W25-TASK-958-P011</x:v>
      </x:c>
      <x:c r="B1017" s="30" t="str">
        <x:v>Русский язык</x:v>
      </x:c>
      <x:c r="C1017" s="30"/>
      <x:c r="D1017" s="30" t="str">
        <x:v>958</x:v>
      </x:c>
      <x:c r="E1017" s="87" t="str">
        <x:v>TASK</x:v>
      </x:c>
      <x:c r="F1017" s="30" t="str">
        <x:v>Вариант 958.pdf</x:v>
      </x:c>
      <x:c r="G1017" s="87" t="str">
        <x:v>11</x:v>
      </x:c>
      <x:c r="H1017" s="87" t="str">
        <x:v>v0.91</x:v>
      </x:c>
      <x:c r="I1017" s="87" t="str">
        <x:v>2</x:v>
      </x:c>
      <x:c r="J1017" s="30" t="str">
        <x:v>VIS_ID</x:v>
      </x:c>
      <x:c r="K1017" s="30" t="str">
        <x:v>EGKR-W25-RUS-958-20, EGKR-W25-RUS-958-21</x:v>
      </x:c>
      <x:c r="L1017" s="87" t="str">
        <x:v>CROP_VERIFIED</x:v>
      </x:c>
      <x:c r="M1017" s="87" t="str">
        <x:v>ORIGINAL_PACKAGE</x:v>
      </x:c>
      <x:c r="N1017" s="87" t="str">
        <x:v>pages/VIS-EGKR-RUS-W25-TASK-958-P011.png</x:v>
      </x:c>
      <x:c r="O1017" s="87" t="str">
        <x:v>thumbnails/VIS-EGKR-RUS-W25-TASK-958-P011.jpg</x:v>
      </x:c>
      <x:c r="P1017" s="87" t="str">
        <x:v>cb49f2daa3e0830a2b29167fcf5a07c61275284cf70f96e41e680268ce5142a1</x:v>
      </x:c>
      <x:c r="Q1017" s="30" t="str">
        <x:v>incoming/raw/recovery-drop-01/russian_egkr_winter_visual_assets_v091.zip!/pages/VIS-EGKR-RUS-W25-TASK-958-P011.png</x:v>
      </x:c>
      <x:c r="R1017" s="30" t="str">
        <x:v>MATCHED_ASSET</x:v>
      </x:c>
      <x:c r="S1017" t="e">
        <x:f>HYPERLINK("visual_gallery/index.html#"&amp;A1017,"Галерея")</x:f>
      </x:c>
    </x:row>
    <x:row r="1018">
      <x:c r="A1018" s="87" t="str">
        <x:v>VIS-EGKR-RUS-W25-TASK-958-P012</x:v>
      </x:c>
      <x:c r="B1018" s="30" t="str">
        <x:v>Русский язык</x:v>
      </x:c>
      <x:c r="C1018" s="30"/>
      <x:c r="D1018" s="30" t="str">
        <x:v>958</x:v>
      </x:c>
      <x:c r="E1018" s="87" t="str">
        <x:v>TASK</x:v>
      </x:c>
      <x:c r="F1018" s="30" t="str">
        <x:v>Вариант 958.pdf</x:v>
      </x:c>
      <x:c r="G1018" s="87" t="str">
        <x:v>12</x:v>
      </x:c>
      <x:c r="H1018" s="87" t="str">
        <x:v>v0.91</x:v>
      </x:c>
      <x:c r="I1018" s="87" t="str">
        <x:v>1</x:v>
      </x:c>
      <x:c r="J1018" s="30" t="str">
        <x:v>VIS_ID</x:v>
      </x:c>
      <x:c r="K1018" s="30" t="str">
        <x:v>EGKR-W25-RUS-958-22</x:v>
      </x:c>
      <x:c r="L1018" s="87" t="str">
        <x:v>CROP_VERIFIED</x:v>
      </x:c>
      <x:c r="M1018" s="87" t="str">
        <x:v>ORIGINAL_PACKAGE</x:v>
      </x:c>
      <x:c r="N1018" s="87" t="str">
        <x:v>pages/VIS-EGKR-RUS-W25-TASK-958-P012.png</x:v>
      </x:c>
      <x:c r="O1018" s="87" t="str">
        <x:v>thumbnails/VIS-EGKR-RUS-W25-TASK-958-P012.jpg</x:v>
      </x:c>
      <x:c r="P1018" s="87" t="str">
        <x:v>e46c429a5990b5ddd997e91de955c4def20febb382d2c7a3617dac50d93396c4</x:v>
      </x:c>
      <x:c r="Q1018" s="30" t="str">
        <x:v>incoming/raw/recovery-drop-01/russian_egkr_winter_visual_assets_v091.zip!/pages/VIS-EGKR-RUS-W25-TASK-958-P012.png</x:v>
      </x:c>
      <x:c r="R1018" s="30" t="str">
        <x:v>MATCHED_ASSET</x:v>
      </x:c>
      <x:c r="S1018" t="e">
        <x:f>HYPERLINK("visual_gallery/index.html#"&amp;A1018,"Галерея")</x:f>
      </x:c>
    </x:row>
    <x:row r="1019">
      <x:c r="A1019" s="87" t="str">
        <x:v>VIS-EGKR-RUS-W25-TASK-958-P013</x:v>
      </x:c>
      <x:c r="B1019" s="30" t="str"/>
      <x:c r="C1019" s="30"/>
      <x:c r="D1019" s="30" t="str">
        <x:v>958</x:v>
      </x:c>
      <x:c r="E1019" s="87" t="str">
        <x:v>TASK</x:v>
      </x:c>
      <x:c r="F1019" s="30" t="str">
        <x:v>Вариант 958.pdf</x:v>
      </x:c>
      <x:c r="G1019" s="87" t="str">
        <x:v>13</x:v>
      </x:c>
      <x:c r="H1019" s="87" t="str">
        <x:v>v0.91</x:v>
      </x:c>
      <x:c r="I1019" s="87" t="str">
        <x:v>0</x:v>
      </x:c>
      <x:c r="J1019" s="30" t="str"/>
      <x:c r="K1019" s="30" t="str"/>
      <x:c r="L1019" s="87" t="str">
        <x:v>CROP_VERIFIED</x:v>
      </x:c>
      <x:c r="M1019" s="87" t="str">
        <x:v>ORIGINAL_PACKAGE</x:v>
      </x:c>
      <x:c r="N1019" s="87" t="str">
        <x:v>pages/VIS-EGKR-RUS-W25-TASK-958-P013.png</x:v>
      </x:c>
      <x:c r="O1019" s="87" t="str">
        <x:v>thumbnails/VIS-EGKR-RUS-W25-TASK-958-P013.jpg</x:v>
      </x:c>
      <x:c r="P1019" s="87" t="str">
        <x:v>d1d8fa10e0e99e522a2ec8af4781529c4f328cb1023a1be27407557f494b34b2</x:v>
      </x:c>
      <x:c r="Q1019" s="30" t="str">
        <x:v>incoming/raw/recovery-drop-01/russian_egkr_winter_visual_assets_v091.zip!/pages/VIS-EGKR-RUS-W25-TASK-958-P013.png</x:v>
      </x:c>
      <x:c r="R1019" s="30" t="str">
        <x:v>RESOLVED_UNLINKED_REGISTRY_VISUAL</x:v>
      </x:c>
      <x:c r="S1019" t="e">
        <x:f>HYPERLINK("visual_gallery/index.html#"&amp;A1019,"Галерея")</x:f>
      </x:c>
    </x:row>
    <x:row r="1020">
      <x:c r="A1020" s="87" t="str">
        <x:v>VIS-EGKR-RUS-W25-TASK-958-P014</x:v>
      </x:c>
      <x:c r="B1020" s="30" t="str">
        <x:v>Русский язык</x:v>
      </x:c>
      <x:c r="C1020" s="30"/>
      <x:c r="D1020" s="30" t="str">
        <x:v>958</x:v>
      </x:c>
      <x:c r="E1020" s="87" t="str">
        <x:v>TASK</x:v>
      </x:c>
      <x:c r="F1020" s="30" t="str">
        <x:v>Вариант 958.pdf</x:v>
      </x:c>
      <x:c r="G1020" s="87" t="str">
        <x:v>14</x:v>
      </x:c>
      <x:c r="H1020" s="87" t="str">
        <x:v>v0.91</x:v>
      </x:c>
      <x:c r="I1020" s="87" t="str">
        <x:v>4</x:v>
      </x:c>
      <x:c r="J1020" s="30" t="str">
        <x:v>VIS_ID</x:v>
      </x:c>
      <x:c r="K1020" s="30" t="str">
        <x:v>EGKR-W25-RUS-958-23, EGKR-W25-RUS-958-24, EGKR-W25-RUS-958-25, EGKR-W25-RUS-958-26</x:v>
      </x:c>
      <x:c r="L1020" s="87" t="str">
        <x:v>CROP_VERIFIED</x:v>
      </x:c>
      <x:c r="M1020" s="87" t="str">
        <x:v>ORIGINAL_PACKAGE</x:v>
      </x:c>
      <x:c r="N1020" s="87" t="str">
        <x:v>pages/VIS-EGKR-RUS-W25-TASK-958-P014.png</x:v>
      </x:c>
      <x:c r="O1020" s="87" t="str">
        <x:v>thumbnails/VIS-EGKR-RUS-W25-TASK-958-P014.jpg</x:v>
      </x:c>
      <x:c r="P1020" s="87" t="str">
        <x:v>4aa9c4aeed11108dd3172c7c67bc4a638fd5c73d64cd37546a455720049d1638</x:v>
      </x:c>
      <x:c r="Q1020" s="30" t="str">
        <x:v>incoming/raw/recovery-drop-01/russian_egkr_winter_visual_assets_v091.zip!/pages/VIS-EGKR-RUS-W25-TASK-958-P014.png</x:v>
      </x:c>
      <x:c r="R1020" s="30" t="str">
        <x:v>MATCHED_ASSET</x:v>
      </x:c>
      <x:c r="S1020" t="e">
        <x:f>HYPERLINK("visual_gallery/index.html#"&amp;A1020,"Галерея")</x:f>
      </x:c>
    </x:row>
    <x:row r="1021">
      <x:c r="A1021" s="87" t="str">
        <x:v>VIS-EGKR-RUS-W25-TASK-958-P015</x:v>
      </x:c>
      <x:c r="B1021" s="30" t="str">
        <x:v>Русский язык</x:v>
      </x:c>
      <x:c r="C1021" s="30"/>
      <x:c r="D1021" s="30" t="str">
        <x:v>958</x:v>
      </x:c>
      <x:c r="E1021" s="87" t="str">
        <x:v>TASK</x:v>
      </x:c>
      <x:c r="F1021" s="30" t="str">
        <x:v>Вариант 958.pdf</x:v>
      </x:c>
      <x:c r="G1021" s="87" t="str">
        <x:v>15</x:v>
      </x:c>
      <x:c r="H1021" s="87" t="str">
        <x:v>v0.91</x:v>
      </x:c>
      <x:c r="I1021" s="87" t="str">
        <x:v>1</x:v>
      </x:c>
      <x:c r="J1021" s="30" t="str">
        <x:v>VIS_ID</x:v>
      </x:c>
      <x:c r="K1021" s="30" t="str">
        <x:v>EGKR-W25-RUS-958-27</x:v>
      </x:c>
      <x:c r="L1021" s="87" t="str">
        <x:v>CROP_VERIFIED</x:v>
      </x:c>
      <x:c r="M1021" s="87" t="str">
        <x:v>ORIGINAL_PACKAGE</x:v>
      </x:c>
      <x:c r="N1021" s="87" t="str">
        <x:v>pages/VIS-EGKR-RUS-W25-TASK-958-P015.png</x:v>
      </x:c>
      <x:c r="O1021" s="87" t="str">
        <x:v>thumbnails/VIS-EGKR-RUS-W25-TASK-958-P015.jpg</x:v>
      </x:c>
      <x:c r="P1021" s="87" t="str">
        <x:v>f8b0b722e33c24499db5f617075b7babfe3f994f428d45ccf75551046788d30b</x:v>
      </x:c>
      <x:c r="Q1021" s="30" t="str">
        <x:v>incoming/raw/recovery-drop-01/russian_egkr_winter_visual_assets_v091.zip!/pages/VIS-EGKR-RUS-W25-TASK-958-P015.png</x:v>
      </x:c>
      <x:c r="R1021" s="30" t="str">
        <x:v>MATCHED_ASSET</x:v>
      </x:c>
      <x:c r="S1021" t="e">
        <x:f>HYPERLINK("visual_gallery/index.html#"&amp;A1021,"Галерея")</x:f>
      </x:c>
    </x:row>
    <x:row r="1022">
      <x:c r="A1022" s="87" t="str">
        <x:v>VIS-EGKR-SOC-S26-ANSWERDOC-P001</x:v>
      </x:c>
      <x:c r="B1022" s="30" t="str">
        <x:v>Обществознание</x:v>
      </x:c>
      <x:c r="C1022" s="30"/>
      <x:c r="D1022" s="30" t="str">
        <x:v>955–958</x:v>
      </x:c>
      <x:c r="E1022" s="87" t="str">
        <x:v>SECONDARY_ANSWER_SOURCE</x:v>
      </x:c>
      <x:c r="F1022" s="30" t="str">
        <x:v>Ответы обществознание ЕГКР.docx</x:v>
      </x:c>
      <x:c r="G1022" s="87" t="str">
        <x:v>1</x:v>
      </x:c>
      <x:c r="H1022" s="87" t="str">
        <x:v>v1.01</x:v>
      </x:c>
      <x:c r="I1022" s="87" t="str">
        <x:v>25</x:v>
      </x:c>
      <x:c r="J1022" s="30" t="str">
        <x:v>VIS_KEY / MODEL</x:v>
      </x:c>
      <x:c r="K1022" s="30" t="str">
        <x:v>EGKR-S26-SOC-955-01, EGKR-S26-SOC-955-02, EGKR-S26-SOC-955-03, EGKR-S26-SOC-955-04, EGKR-S26-SOC-955-05, EGKR-S26-SOC-955-06, EGKR-S26-SOC-955-07, EGKR-S26-SOC-955-08…</x:v>
      </x:c>
      <x:c r="L1022" s="87" t="str">
        <x:v>CROP_VERIFIED</x:v>
      </x:c>
      <x:c r="M1022" s="87" t="str">
        <x:v>ORIGINAL_PACKAGE</x:v>
      </x:c>
      <x:c r="N1022" s="87" t="str">
        <x:v>pages/VIS-EGKR-SOC-S26-ANSWERDOC-P001.png</x:v>
      </x:c>
      <x:c r="O1022" s="87" t="str">
        <x:v>thumbnails/VIS-EGKR-SOC-S26-ANSWERDOC-P001.jpg</x:v>
      </x:c>
      <x:c r="P1022" s="87" t="str">
        <x:v>61507078f72deff20879720a153b146e1fe6bbfdf19c7cdd1ca1195613e8f8ae</x:v>
      </x:c>
      <x:c r="Q1022" s="30" t="str">
        <x:v>incoming/raw/recovery-drop-01/society_egkr_spring_visual_assets_v101.zip!/pages/VIS-EGKR-SOC-S26-ANSWERDOC-P001.png</x:v>
      </x:c>
      <x:c r="R1022" s="30" t="str">
        <x:v>MATCHED_ASSET</x:v>
      </x:c>
      <x:c r="S1022" t="e">
        <x:f>HYPERLINK("visual_gallery/index.html#"&amp;A1022,"Галерея")</x:f>
      </x:c>
    </x:row>
    <x:row r="1023">
      <x:c r="A1023" s="87" t="str">
        <x:v>VIS-EGKR-SOC-S26-ANSWERDOC-P002</x:v>
      </x:c>
      <x:c r="B1023" s="30" t="str">
        <x:v>Обществознание</x:v>
      </x:c>
      <x:c r="C1023" s="30"/>
      <x:c r="D1023" s="30" t="str">
        <x:v>955–958</x:v>
      </x:c>
      <x:c r="E1023" s="87" t="str">
        <x:v>SECONDARY_ANSWER_SOURCE</x:v>
      </x:c>
      <x:c r="F1023" s="30" t="str">
        <x:v>Ответы обществознание ЕГКР.docx</x:v>
      </x:c>
      <x:c r="G1023" s="87" t="str">
        <x:v>2</x:v>
      </x:c>
      <x:c r="H1023" s="87" t="str">
        <x:v>v1.01</x:v>
      </x:c>
      <x:c r="I1023" s="87" t="str">
        <x:v>25</x:v>
      </x:c>
      <x:c r="J1023" s="30" t="str">
        <x:v>VIS_KEY / MODEL</x:v>
      </x:c>
      <x:c r="K1023" s="30" t="str">
        <x:v>EGKR-S26-SOC-955-01, EGKR-S26-SOC-955-02, EGKR-S26-SOC-955-03, EGKR-S26-SOC-955-04, EGKR-S26-SOC-955-05, EGKR-S26-SOC-955-06, EGKR-S26-SOC-955-07, EGKR-S26-SOC-955-08…</x:v>
      </x:c>
      <x:c r="L1023" s="87" t="str">
        <x:v>CROP_VERIFIED</x:v>
      </x:c>
      <x:c r="M1023" s="87" t="str">
        <x:v>ORIGINAL_PACKAGE</x:v>
      </x:c>
      <x:c r="N1023" s="87" t="str">
        <x:v>pages/VIS-EGKR-SOC-S26-ANSWERDOC-P002.png</x:v>
      </x:c>
      <x:c r="O1023" s="87" t="str">
        <x:v>thumbnails/VIS-EGKR-SOC-S26-ANSWERDOC-P002.jpg</x:v>
      </x:c>
      <x:c r="P1023" s="87" t="str">
        <x:v>2101d913fab4ef5d6d47a46613dca92c75a2d1eaf80bf8e6369f4841828bd274</x:v>
      </x:c>
      <x:c r="Q1023" s="30" t="str">
        <x:v>incoming/raw/recovery-drop-01/society_egkr_spring_visual_assets_v101.zip!/pages/VIS-EGKR-SOC-S26-ANSWERDOC-P002.png</x:v>
      </x:c>
      <x:c r="R1023" s="30" t="str">
        <x:v>MATCHED_ASSET</x:v>
      </x:c>
      <x:c r="S1023" t="e">
        <x:f>HYPERLINK("visual_gallery/index.html#"&amp;A1023,"Галерея")</x:f>
      </x:c>
    </x:row>
    <x:row r="1024">
      <x:c r="A1024" s="87" t="str">
        <x:v>VIS-EGKR-SOC-S26-ANSWERDOC-P003</x:v>
      </x:c>
      <x:c r="B1024" s="30" t="str">
        <x:v>Обществознание</x:v>
      </x:c>
      <x:c r="C1024" s="30"/>
      <x:c r="D1024" s="30" t="str">
        <x:v>955–958</x:v>
      </x:c>
      <x:c r="E1024" s="87" t="str">
        <x:v>SECONDARY_ANSWER_SOURCE</x:v>
      </x:c>
      <x:c r="F1024" s="30" t="str">
        <x:v>Ответы обществознание ЕГКР.docx</x:v>
      </x:c>
      <x:c r="G1024" s="87" t="str">
        <x:v>3</x:v>
      </x:c>
      <x:c r="H1024" s="87" t="str">
        <x:v>v1.01</x:v>
      </x:c>
      <x:c r="I1024" s="87" t="str">
        <x:v>25</x:v>
      </x:c>
      <x:c r="J1024" s="30" t="str">
        <x:v>VIS_KEY / MODEL</x:v>
      </x:c>
      <x:c r="K1024" s="30" t="str">
        <x:v>EGKR-S26-SOC-955-01, EGKR-S26-SOC-955-02, EGKR-S26-SOC-955-03, EGKR-S26-SOC-955-04, EGKR-S26-SOC-955-05, EGKR-S26-SOC-955-06, EGKR-S26-SOC-955-07, EGKR-S26-SOC-955-08…</x:v>
      </x:c>
      <x:c r="L1024" s="87" t="str">
        <x:v>CROP_VERIFIED</x:v>
      </x:c>
      <x:c r="M1024" s="87" t="str">
        <x:v>ORIGINAL_PACKAGE</x:v>
      </x:c>
      <x:c r="N1024" s="87" t="str">
        <x:v>pages/VIS-EGKR-SOC-S26-ANSWERDOC-P003.png</x:v>
      </x:c>
      <x:c r="O1024" s="87" t="str">
        <x:v>thumbnails/VIS-EGKR-SOC-S26-ANSWERDOC-P003.jpg</x:v>
      </x:c>
      <x:c r="P1024" s="87" t="str">
        <x:v>f7cd5793c579c737ae91a5521de87034e4e93578ec2173c0182411e66225da9c</x:v>
      </x:c>
      <x:c r="Q1024" s="30" t="str">
        <x:v>incoming/raw/recovery-drop-01/society_egkr_spring_visual_assets_v101.zip!/pages/VIS-EGKR-SOC-S26-ANSWERDOC-P003.png</x:v>
      </x:c>
      <x:c r="R1024" s="30" t="str">
        <x:v>MATCHED_ASSET</x:v>
      </x:c>
      <x:c r="S1024" t="e">
        <x:f>HYPERLINK("visual_gallery/index.html#"&amp;A1024,"Галерея")</x:f>
      </x:c>
    </x:row>
    <x:row r="1025">
      <x:c r="A1025" s="87" t="str">
        <x:v>VIS-EGKR-SOC-S26-ANSWERDOC-P004</x:v>
      </x:c>
      <x:c r="B1025" s="30" t="str">
        <x:v>Обществознание</x:v>
      </x:c>
      <x:c r="C1025" s="30"/>
      <x:c r="D1025" s="30" t="str">
        <x:v>955–958</x:v>
      </x:c>
      <x:c r="E1025" s="87" t="str">
        <x:v>SECONDARY_ANSWER_SOURCE</x:v>
      </x:c>
      <x:c r="F1025" s="30" t="str">
        <x:v>Ответы обществознание ЕГКР.docx</x:v>
      </x:c>
      <x:c r="G1025" s="87" t="str">
        <x:v>4</x:v>
      </x:c>
      <x:c r="H1025" s="87" t="str">
        <x:v>v1.01</x:v>
      </x:c>
      <x:c r="I1025" s="87" t="str">
        <x:v>50</x:v>
      </x:c>
      <x:c r="J1025" s="30" t="str">
        <x:v>VIS_KEY / MODEL</x:v>
      </x:c>
      <x:c r="K1025" s="30" t="str">
        <x:v>EGKR-S26-SOC-955-01, EGKR-S26-SOC-955-02, EGKR-S26-SOC-955-03, EGKR-S26-SOC-955-04, EGKR-S26-SOC-955-05, EGKR-S26-SOC-955-06, EGKR-S26-SOC-955-07, EGKR-S26-SOC-955-08…</x:v>
      </x:c>
      <x:c r="L1025" s="87" t="str">
        <x:v>CROP_VERIFIED</x:v>
      </x:c>
      <x:c r="M1025" s="87" t="str">
        <x:v>ORIGINAL_PACKAGE</x:v>
      </x:c>
      <x:c r="N1025" s="87" t="str">
        <x:v>pages/VIS-EGKR-SOC-S26-ANSWERDOC-P004.png</x:v>
      </x:c>
      <x:c r="O1025" s="87" t="str">
        <x:v>thumbnails/VIS-EGKR-SOC-S26-ANSWERDOC-P004.jpg</x:v>
      </x:c>
      <x:c r="P1025" s="87" t="str">
        <x:v>6d25d4a1c5cf0b94686a322205f1196f11abc42fbda143a29d2de2778d4803e4</x:v>
      </x:c>
      <x:c r="Q1025" s="30" t="str">
        <x:v>incoming/raw/recovery-drop-01/society_egkr_spring_visual_assets_v101.zip!/pages/VIS-EGKR-SOC-S26-ANSWERDOC-P004.png</x:v>
      </x:c>
      <x:c r="R1025" s="30" t="str">
        <x:v>MATCHED_ASSET</x:v>
      </x:c>
      <x:c r="S1025" t="e">
        <x:f>HYPERLINK("visual_gallery/index.html#"&amp;A1025,"Галерея")</x:f>
      </x:c>
    </x:row>
    <x:row r="1026">
      <x:c r="A1026" s="87" t="str">
        <x:v>VIS-EGKR-SOC-S26-ANSWERDOC-P005</x:v>
      </x:c>
      <x:c r="B1026" s="30" t="str">
        <x:v>Обществознание</x:v>
      </x:c>
      <x:c r="C1026" s="30"/>
      <x:c r="D1026" s="30" t="str">
        <x:v>955–958</x:v>
      </x:c>
      <x:c r="E1026" s="87" t="str">
        <x:v>SECONDARY_ANSWER_SOURCE</x:v>
      </x:c>
      <x:c r="F1026" s="30" t="str">
        <x:v>Ответы обществознание ЕГКР.docx</x:v>
      </x:c>
      <x:c r="G1026" s="87" t="str">
        <x:v>5</x:v>
      </x:c>
      <x:c r="H1026" s="87" t="str">
        <x:v>v1.01</x:v>
      </x:c>
      <x:c r="I1026" s="87" t="str">
        <x:v>25</x:v>
      </x:c>
      <x:c r="J1026" s="30" t="str">
        <x:v>VIS_KEY / MODEL</x:v>
      </x:c>
      <x:c r="K1026" s="30" t="str">
        <x:v>EGKR-S26-SOC-956-01, EGKR-S26-SOC-956-02, EGKR-S26-SOC-956-03, EGKR-S26-SOC-956-04, EGKR-S26-SOC-956-05, EGKR-S26-SOC-956-06, EGKR-S26-SOC-956-07, EGKR-S26-SOC-956-08…</x:v>
      </x:c>
      <x:c r="L1026" s="87" t="str">
        <x:v>CROP_VERIFIED</x:v>
      </x:c>
      <x:c r="M1026" s="87" t="str">
        <x:v>ORIGINAL_PACKAGE</x:v>
      </x:c>
      <x:c r="N1026" s="87" t="str">
        <x:v>pages/VIS-EGKR-SOC-S26-ANSWERDOC-P005.png</x:v>
      </x:c>
      <x:c r="O1026" s="87" t="str">
        <x:v>thumbnails/VIS-EGKR-SOC-S26-ANSWERDOC-P005.jpg</x:v>
      </x:c>
      <x:c r="P1026" s="87" t="str">
        <x:v>2b0101891f25455c17fc373da5d0a2981f5954e8249ab5d627503b4a51f1bcbe</x:v>
      </x:c>
      <x:c r="Q1026" s="30" t="str">
        <x:v>incoming/raw/recovery-drop-01/society_egkr_spring_visual_assets_v101.zip!/pages/VIS-EGKR-SOC-S26-ANSWERDOC-P005.png</x:v>
      </x:c>
      <x:c r="R1026" s="30" t="str">
        <x:v>MATCHED_ASSET</x:v>
      </x:c>
      <x:c r="S1026" t="e">
        <x:f>HYPERLINK("visual_gallery/index.html#"&amp;A1026,"Галерея")</x:f>
      </x:c>
    </x:row>
    <x:row r="1027">
      <x:c r="A1027" s="87" t="str">
        <x:v>VIS-EGKR-SOC-S26-ANSWERDOC-P006</x:v>
      </x:c>
      <x:c r="B1027" s="30" t="str">
        <x:v>Обществознание</x:v>
      </x:c>
      <x:c r="C1027" s="30"/>
      <x:c r="D1027" s="30" t="str">
        <x:v>955–958</x:v>
      </x:c>
      <x:c r="E1027" s="87" t="str">
        <x:v>SECONDARY_ANSWER_SOURCE</x:v>
      </x:c>
      <x:c r="F1027" s="30" t="str">
        <x:v>Ответы обществознание ЕГКР.docx</x:v>
      </x:c>
      <x:c r="G1027" s="87" t="str">
        <x:v>6</x:v>
      </x:c>
      <x:c r="H1027" s="87" t="str">
        <x:v>v1.01</x:v>
      </x:c>
      <x:c r="I1027" s="87" t="str">
        <x:v>25</x:v>
      </x:c>
      <x:c r="J1027" s="30" t="str">
        <x:v>VIS_KEY / MODEL</x:v>
      </x:c>
      <x:c r="K1027" s="30" t="str">
        <x:v>EGKR-S26-SOC-956-01, EGKR-S26-SOC-956-02, EGKR-S26-SOC-956-03, EGKR-S26-SOC-956-04, EGKR-S26-SOC-956-05, EGKR-S26-SOC-956-06, EGKR-S26-SOC-956-07, EGKR-S26-SOC-956-08…</x:v>
      </x:c>
      <x:c r="L1027" s="87" t="str">
        <x:v>CROP_VERIFIED</x:v>
      </x:c>
      <x:c r="M1027" s="87" t="str">
        <x:v>ORIGINAL_PACKAGE</x:v>
      </x:c>
      <x:c r="N1027" s="87" t="str">
        <x:v>pages/VIS-EGKR-SOC-S26-ANSWERDOC-P006.png</x:v>
      </x:c>
      <x:c r="O1027" s="87" t="str">
        <x:v>thumbnails/VIS-EGKR-SOC-S26-ANSWERDOC-P006.jpg</x:v>
      </x:c>
      <x:c r="P1027" s="87" t="str">
        <x:v>794d20e10daeb1ac319f02273af3caca70607f0665187f4df40de5882f24d012</x:v>
      </x:c>
      <x:c r="Q1027" s="30" t="str">
        <x:v>incoming/raw/recovery-drop-01/society_egkr_spring_visual_assets_v101.zip!/pages/VIS-EGKR-SOC-S26-ANSWERDOC-P006.png</x:v>
      </x:c>
      <x:c r="R1027" s="30" t="str">
        <x:v>MATCHED_ASSET</x:v>
      </x:c>
      <x:c r="S1027" t="e">
        <x:f>HYPERLINK("visual_gallery/index.html#"&amp;A1027,"Галерея")</x:f>
      </x:c>
    </x:row>
    <x:row r="1028">
      <x:c r="A1028" s="87" t="str">
        <x:v>VIS-EGKR-SOC-S26-ANSWERDOC-P007</x:v>
      </x:c>
      <x:c r="B1028" s="30" t="str">
        <x:v>Обществознание</x:v>
      </x:c>
      <x:c r="C1028" s="30"/>
      <x:c r="D1028" s="30" t="str">
        <x:v>955–958</x:v>
      </x:c>
      <x:c r="E1028" s="87" t="str">
        <x:v>SECONDARY_ANSWER_SOURCE</x:v>
      </x:c>
      <x:c r="F1028" s="30" t="str">
        <x:v>Ответы обществознание ЕГКР.docx</x:v>
      </x:c>
      <x:c r="G1028" s="87" t="str">
        <x:v>7</x:v>
      </x:c>
      <x:c r="H1028" s="87" t="str">
        <x:v>v1.01</x:v>
      </x:c>
      <x:c r="I1028" s="87" t="str">
        <x:v>25</x:v>
      </x:c>
      <x:c r="J1028" s="30" t="str">
        <x:v>VIS_KEY / MODEL</x:v>
      </x:c>
      <x:c r="K1028" s="30" t="str">
        <x:v>EGKR-S26-SOC-956-01, EGKR-S26-SOC-956-02, EGKR-S26-SOC-956-03, EGKR-S26-SOC-956-04, EGKR-S26-SOC-956-05, EGKR-S26-SOC-956-06, EGKR-S26-SOC-956-07, EGKR-S26-SOC-956-08…</x:v>
      </x:c>
      <x:c r="L1028" s="87" t="str">
        <x:v>CROP_VERIFIED</x:v>
      </x:c>
      <x:c r="M1028" s="87" t="str">
        <x:v>ORIGINAL_PACKAGE</x:v>
      </x:c>
      <x:c r="N1028" s="87" t="str">
        <x:v>pages/VIS-EGKR-SOC-S26-ANSWERDOC-P007.png</x:v>
      </x:c>
      <x:c r="O1028" s="87" t="str">
        <x:v>thumbnails/VIS-EGKR-SOC-S26-ANSWERDOC-P007.jpg</x:v>
      </x:c>
      <x:c r="P1028" s="87" t="str">
        <x:v>fef1991f4e2915a8c1961f5b35fc2f0edf3f1e51dd065a5bc2c0ecea0530e12e</x:v>
      </x:c>
      <x:c r="Q1028" s="30" t="str">
        <x:v>incoming/raw/recovery-drop-01/society_egkr_spring_visual_assets_v101.zip!/pages/VIS-EGKR-SOC-S26-ANSWERDOC-P007.png</x:v>
      </x:c>
      <x:c r="R1028" s="30" t="str">
        <x:v>MATCHED_ASSET</x:v>
      </x:c>
      <x:c r="S1028" t="e">
        <x:f>HYPERLINK("visual_gallery/index.html#"&amp;A1028,"Галерея")</x:f>
      </x:c>
    </x:row>
    <x:row r="1029">
      <x:c r="A1029" s="87" t="str">
        <x:v>VIS-EGKR-SOC-S26-ANSWERDOC-P008</x:v>
      </x:c>
      <x:c r="B1029" s="30" t="str">
        <x:v>Обществознание</x:v>
      </x:c>
      <x:c r="C1029" s="30"/>
      <x:c r="D1029" s="30" t="str">
        <x:v>955–958</x:v>
      </x:c>
      <x:c r="E1029" s="87" t="str">
        <x:v>SECONDARY_ANSWER_SOURCE</x:v>
      </x:c>
      <x:c r="F1029" s="30" t="str">
        <x:v>Ответы обществознание ЕГКР.docx</x:v>
      </x:c>
      <x:c r="G1029" s="87" t="str">
        <x:v>8</x:v>
      </x:c>
      <x:c r="H1029" s="87" t="str">
        <x:v>v1.01</x:v>
      </x:c>
      <x:c r="I1029" s="87" t="str">
        <x:v>25</x:v>
      </x:c>
      <x:c r="J1029" s="30" t="str">
        <x:v>VIS_KEY / MODEL</x:v>
      </x:c>
      <x:c r="K1029" s="30" t="str">
        <x:v>EGKR-S26-SOC-957-01, EGKR-S26-SOC-957-02, EGKR-S26-SOC-957-03, EGKR-S26-SOC-957-04, EGKR-S26-SOC-957-05, EGKR-S26-SOC-957-06, EGKR-S26-SOC-957-07, EGKR-S26-SOC-957-08…</x:v>
      </x:c>
      <x:c r="L1029" s="87" t="str">
        <x:v>CROP_VERIFIED</x:v>
      </x:c>
      <x:c r="M1029" s="87" t="str">
        <x:v>ORIGINAL_PACKAGE</x:v>
      </x:c>
      <x:c r="N1029" s="87" t="str">
        <x:v>pages/VIS-EGKR-SOC-S26-ANSWERDOC-P008.png</x:v>
      </x:c>
      <x:c r="O1029" s="87" t="str">
        <x:v>thumbnails/VIS-EGKR-SOC-S26-ANSWERDOC-P008.jpg</x:v>
      </x:c>
      <x:c r="P1029" s="87" t="str">
        <x:v>7e71240f9234216b351f1fbf42b7cd228a8e580fac96b8b639004e71091b8cc3</x:v>
      </x:c>
      <x:c r="Q1029" s="30" t="str">
        <x:v>incoming/raw/recovery-drop-01/society_egkr_spring_visual_assets_v101.zip!/pages/VIS-EGKR-SOC-S26-ANSWERDOC-P008.png</x:v>
      </x:c>
      <x:c r="R1029" s="30" t="str">
        <x:v>MATCHED_ASSET</x:v>
      </x:c>
      <x:c r="S1029" t="e">
        <x:f>HYPERLINK("visual_gallery/index.html#"&amp;A1029,"Галерея")</x:f>
      </x:c>
    </x:row>
    <x:row r="1030">
      <x:c r="A1030" s="87" t="str">
        <x:v>VIS-EGKR-SOC-S26-ANSWERDOC-P009</x:v>
      </x:c>
      <x:c r="B1030" s="30" t="str">
        <x:v>Обществознание</x:v>
      </x:c>
      <x:c r="C1030" s="30"/>
      <x:c r="D1030" s="30" t="str">
        <x:v>955–958</x:v>
      </x:c>
      <x:c r="E1030" s="87" t="str">
        <x:v>SECONDARY_ANSWER_SOURCE</x:v>
      </x:c>
      <x:c r="F1030" s="30" t="str">
        <x:v>Ответы обществознание ЕГКР.docx</x:v>
      </x:c>
      <x:c r="G1030" s="87" t="str">
        <x:v>9</x:v>
      </x:c>
      <x:c r="H1030" s="87" t="str">
        <x:v>v1.01</x:v>
      </x:c>
      <x:c r="I1030" s="87" t="str">
        <x:v>25</x:v>
      </x:c>
      <x:c r="J1030" s="30" t="str">
        <x:v>VIS_KEY / MODEL</x:v>
      </x:c>
      <x:c r="K1030" s="30" t="str">
        <x:v>EGKR-S26-SOC-957-01, EGKR-S26-SOC-957-02, EGKR-S26-SOC-957-03, EGKR-S26-SOC-957-04, EGKR-S26-SOC-957-05, EGKR-S26-SOC-957-06, EGKR-S26-SOC-957-07, EGKR-S26-SOC-957-08…</x:v>
      </x:c>
      <x:c r="L1030" s="87" t="str">
        <x:v>CROP_VERIFIED</x:v>
      </x:c>
      <x:c r="M1030" s="87" t="str">
        <x:v>ORIGINAL_PACKAGE</x:v>
      </x:c>
      <x:c r="N1030" s="87" t="str">
        <x:v>pages/VIS-EGKR-SOC-S26-ANSWERDOC-P009.png</x:v>
      </x:c>
      <x:c r="O1030" s="87" t="str">
        <x:v>thumbnails/VIS-EGKR-SOC-S26-ANSWERDOC-P009.jpg</x:v>
      </x:c>
      <x:c r="P1030" s="87" t="str">
        <x:v>e28767783951652fbc00e54afcd793e107014df84727e394380dab897d23b0df</x:v>
      </x:c>
      <x:c r="Q1030" s="30" t="str">
        <x:v>incoming/raw/recovery-drop-01/society_egkr_spring_visual_assets_v101.zip!/pages/VIS-EGKR-SOC-S26-ANSWERDOC-P009.png</x:v>
      </x:c>
      <x:c r="R1030" s="30" t="str">
        <x:v>MATCHED_ASSET</x:v>
      </x:c>
      <x:c r="S1030" t="e">
        <x:f>HYPERLINK("visual_gallery/index.html#"&amp;A1030,"Галерея")</x:f>
      </x:c>
    </x:row>
    <x:row r="1031">
      <x:c r="A1031" s="87" t="str">
        <x:v>VIS-EGKR-SOC-S26-ANSWERDOC-P010</x:v>
      </x:c>
      <x:c r="B1031" s="30" t="str">
        <x:v>Обществознание</x:v>
      </x:c>
      <x:c r="C1031" s="30"/>
      <x:c r="D1031" s="30" t="str">
        <x:v>955–958</x:v>
      </x:c>
      <x:c r="E1031" s="87" t="str">
        <x:v>SECONDARY_ANSWER_SOURCE</x:v>
      </x:c>
      <x:c r="F1031" s="30" t="str">
        <x:v>Ответы обществознание ЕГКР.docx</x:v>
      </x:c>
      <x:c r="G1031" s="87" t="str">
        <x:v>10</x:v>
      </x:c>
      <x:c r="H1031" s="87" t="str">
        <x:v>v1.01</x:v>
      </x:c>
      <x:c r="I1031" s="87" t="str">
        <x:v>25</x:v>
      </x:c>
      <x:c r="J1031" s="30" t="str">
        <x:v>VIS_KEY / MODEL</x:v>
      </x:c>
      <x:c r="K1031" s="30" t="str">
        <x:v>EGKR-S26-SOC-958-01, EGKR-S26-SOC-958-02, EGKR-S26-SOC-958-03, EGKR-S26-SOC-958-04, EGKR-S26-SOC-958-05, EGKR-S26-SOC-958-06, EGKR-S26-SOC-958-07, EGKR-S26-SOC-958-08…</x:v>
      </x:c>
      <x:c r="L1031" s="87" t="str">
        <x:v>CROP_VERIFIED</x:v>
      </x:c>
      <x:c r="M1031" s="87" t="str">
        <x:v>ORIGINAL_PACKAGE</x:v>
      </x:c>
      <x:c r="N1031" s="87" t="str">
        <x:v>pages/VIS-EGKR-SOC-S26-ANSWERDOC-P010.png</x:v>
      </x:c>
      <x:c r="O1031" s="87" t="str">
        <x:v>thumbnails/VIS-EGKR-SOC-S26-ANSWERDOC-P010.jpg</x:v>
      </x:c>
      <x:c r="P1031" s="87" t="str">
        <x:v>39459f3d0a81e2a9c9328714e3e329ee167f07f8cb3be82f381901ec34cc2e6b</x:v>
      </x:c>
      <x:c r="Q1031" s="30" t="str">
        <x:v>incoming/raw/recovery-drop-01/society_egkr_spring_visual_assets_v101.zip!/pages/VIS-EGKR-SOC-S26-ANSWERDOC-P010.png</x:v>
      </x:c>
      <x:c r="R1031" s="30" t="str">
        <x:v>MATCHED_ASSET</x:v>
      </x:c>
      <x:c r="S1031" t="e">
        <x:f>HYPERLINK("visual_gallery/index.html#"&amp;A1031,"Галерея")</x:f>
      </x:c>
    </x:row>
    <x:row r="1032">
      <x:c r="A1032" s="87" t="str">
        <x:v>VIS-EGKR-SOC-S26-ANSWERDOC-P011</x:v>
      </x:c>
      <x:c r="B1032" s="30" t="str">
        <x:v>Обществознание</x:v>
      </x:c>
      <x:c r="C1032" s="30"/>
      <x:c r="D1032" s="30" t="str">
        <x:v>955–958</x:v>
      </x:c>
      <x:c r="E1032" s="87" t="str">
        <x:v>SECONDARY_ANSWER_SOURCE</x:v>
      </x:c>
      <x:c r="F1032" s="30" t="str">
        <x:v>Ответы обществознание ЕГКР.docx</x:v>
      </x:c>
      <x:c r="G1032" s="87" t="str">
        <x:v>11</x:v>
      </x:c>
      <x:c r="H1032" s="87" t="str">
        <x:v>v1.01</x:v>
      </x:c>
      <x:c r="I1032" s="87" t="str">
        <x:v>25</x:v>
      </x:c>
      <x:c r="J1032" s="30" t="str">
        <x:v>VIS_KEY / MODEL</x:v>
      </x:c>
      <x:c r="K1032" s="30" t="str">
        <x:v>EGKR-S26-SOC-958-01, EGKR-S26-SOC-958-02, EGKR-S26-SOC-958-03, EGKR-S26-SOC-958-04, EGKR-S26-SOC-958-05, EGKR-S26-SOC-958-06, EGKR-S26-SOC-958-07, EGKR-S26-SOC-958-08…</x:v>
      </x:c>
      <x:c r="L1032" s="87" t="str">
        <x:v>CROP_VERIFIED</x:v>
      </x:c>
      <x:c r="M1032" s="87" t="str">
        <x:v>ORIGINAL_PACKAGE</x:v>
      </x:c>
      <x:c r="N1032" s="87" t="str">
        <x:v>pages/VIS-EGKR-SOC-S26-ANSWERDOC-P011.png</x:v>
      </x:c>
      <x:c r="O1032" s="87" t="str">
        <x:v>thumbnails/VIS-EGKR-SOC-S26-ANSWERDOC-P011.jpg</x:v>
      </x:c>
      <x:c r="P1032" s="87" t="str">
        <x:v>6e8acbe8d81eea58187a156d21a9e7ded4495fb67df7c07da2f9eee0d322bd98</x:v>
      </x:c>
      <x:c r="Q1032" s="30" t="str">
        <x:v>incoming/raw/recovery-drop-01/society_egkr_spring_visual_assets_v101.zip!/pages/VIS-EGKR-SOC-S26-ANSWERDOC-P011.png</x:v>
      </x:c>
      <x:c r="R1032" s="30" t="str">
        <x:v>MATCHED_ASSET</x:v>
      </x:c>
      <x:c r="S1032" t="e">
        <x:f>HYPERLINK("visual_gallery/index.html#"&amp;A1032,"Галерея")</x:f>
      </x:c>
    </x:row>
    <x:row r="1033">
      <x:c r="A1033" s="87" t="str">
        <x:v>VIS-EGKR-SOC-S26-ANSWERDOC-P012</x:v>
      </x:c>
      <x:c r="B1033" s="30" t="str">
        <x:v>Обществознание</x:v>
      </x:c>
      <x:c r="C1033" s="30"/>
      <x:c r="D1033" s="30" t="str">
        <x:v>955–958</x:v>
      </x:c>
      <x:c r="E1033" s="87" t="str">
        <x:v>SECONDARY_ANSWER_SOURCE</x:v>
      </x:c>
      <x:c r="F1033" s="30" t="str">
        <x:v>Ответы обществознание ЕГКР.docx</x:v>
      </x:c>
      <x:c r="G1033" s="87" t="str">
        <x:v>12</x:v>
      </x:c>
      <x:c r="H1033" s="87" t="str">
        <x:v>v1.01</x:v>
      </x:c>
      <x:c r="I1033" s="87" t="str">
        <x:v>25</x:v>
      </x:c>
      <x:c r="J1033" s="30" t="str">
        <x:v>VIS_KEY / MODEL</x:v>
      </x:c>
      <x:c r="K1033" s="30" t="str">
        <x:v>EGKR-S26-SOC-958-01, EGKR-S26-SOC-958-02, EGKR-S26-SOC-958-03, EGKR-S26-SOC-958-04, EGKR-S26-SOC-958-05, EGKR-S26-SOC-958-06, EGKR-S26-SOC-958-07, EGKR-S26-SOC-958-08…</x:v>
      </x:c>
      <x:c r="L1033" s="87" t="str">
        <x:v>CROP_VERIFIED</x:v>
      </x:c>
      <x:c r="M1033" s="87" t="str">
        <x:v>ORIGINAL_PACKAGE</x:v>
      </x:c>
      <x:c r="N1033" s="87" t="str">
        <x:v>pages/VIS-EGKR-SOC-S26-ANSWERDOC-P012.png</x:v>
      </x:c>
      <x:c r="O1033" s="87" t="str">
        <x:v>thumbnails/VIS-EGKR-SOC-S26-ANSWERDOC-P012.jpg</x:v>
      </x:c>
      <x:c r="P1033" s="87" t="str">
        <x:v>6774d78071f3978ac0a3887d326ad1f5f14f3d527ede133c6d8ae15be065d70d</x:v>
      </x:c>
      <x:c r="Q1033" s="30" t="str">
        <x:v>incoming/raw/recovery-drop-01/society_egkr_spring_visual_assets_v101.zip!/pages/VIS-EGKR-SOC-S26-ANSWERDOC-P012.png</x:v>
      </x:c>
      <x:c r="R1033" s="30" t="str">
        <x:v>MATCHED_ASSET</x:v>
      </x:c>
      <x:c r="S1033" t="e">
        <x:f>HYPERLINK("visual_gallery/index.html#"&amp;A1033,"Галерея")</x:f>
      </x:c>
    </x:row>
    <x:row r="1034">
      <x:c r="A1034" s="87" t="str">
        <x:v>VIS-EGKR-SOC-S26-DECOY-P001</x:v>
      </x:c>
      <x:c r="B1034" s="30" t="str"/>
      <x:c r="C1034" s="30"/>
      <x:c r="D1034" s="30" t="str">
        <x:v>—</x:v>
      </x:c>
      <x:c r="E1034" s="87" t="str">
        <x:v>SOURCE_AUDIT</x:v>
      </x:c>
      <x:c r="F1034" s="30" t="str">
        <x:v>Задания + ответы на диск.docx</x:v>
      </x:c>
      <x:c r="G1034" s="87" t="str">
        <x:v>1</x:v>
      </x:c>
      <x:c r="H1034" s="87" t="str">
        <x:v>v1.01</x:v>
      </x:c>
      <x:c r="I1034" s="87" t="str">
        <x:v>0</x:v>
      </x:c>
      <x:c r="J1034" s="30" t="str"/>
      <x:c r="K1034" s="30" t="str"/>
      <x:c r="L1034" s="87" t="str">
        <x:v>CROP_VERIFIED</x:v>
      </x:c>
      <x:c r="M1034" s="87" t="str">
        <x:v>ORIGINAL_PACKAGE</x:v>
      </x:c>
      <x:c r="N1034" s="87" t="str">
        <x:v>pages/VIS-EGKR-SOC-S26-DECOY-P001.png</x:v>
      </x:c>
      <x:c r="O1034" s="87" t="str">
        <x:v>thumbnails/VIS-EGKR-SOC-S26-DECOY-P001.jpg</x:v>
      </x:c>
      <x:c r="P1034" s="87" t="str">
        <x:v>cb03b89582b8ac109a48293a2d9c90076ab041b303f3ba4c1b4cf1001a2c2e5c</x:v>
      </x:c>
      <x:c r="Q1034" s="30" t="str">
        <x:v>incoming/raw/recovery-drop-01/society_egkr_spring_visual_assets_v101.zip!/pages/VIS-EGKR-SOC-S26-DECOY-P001.png</x:v>
      </x:c>
      <x:c r="R1034" s="30" t="str">
        <x:v>RESOLVED_UNLINKED_REGISTRY_VISUAL</x:v>
      </x:c>
      <x:c r="S1034" t="e">
        <x:f>HYPERLINK("visual_gallery/index.html#"&amp;A1034,"Галерея")</x:f>
      </x:c>
    </x:row>
    <x:row r="1035">
      <x:c r="A1035" s="87" t="str">
        <x:v>VIS-EGKR-SOC-S26-TASK-955-P001</x:v>
      </x:c>
      <x:c r="B1035" s="30" t="str">
        <x:v>Обществознание</x:v>
      </x:c>
      <x:c r="C1035" s="30"/>
      <x:c r="D1035" s="30" t="str">
        <x:v>955</x:v>
      </x:c>
      <x:c r="E1035" s="87" t="str">
        <x:v>TASK</x:v>
      </x:c>
      <x:c r="F1035" s="30" t="str">
        <x:v>955 вариант.pdf</x:v>
      </x:c>
      <x:c r="G1035" s="87" t="str">
        <x:v>1</x:v>
      </x:c>
      <x:c r="H1035" s="87" t="str">
        <x:v>v1.01</x:v>
      </x:c>
      <x:c r="I1035" s="87" t="str">
        <x:v>2</x:v>
      </x:c>
      <x:c r="J1035" s="30" t="str">
        <x:v>VIS_ID</x:v>
      </x:c>
      <x:c r="K1035" s="30" t="str">
        <x:v>EGKR-S26-SOC-955-01, EGKR-S26-SOC-955-02</x:v>
      </x:c>
      <x:c r="L1035" s="87" t="str">
        <x:v>CROP_VERIFIED</x:v>
      </x:c>
      <x:c r="M1035" s="87" t="str">
        <x:v>ORIGINAL_PACKAGE</x:v>
      </x:c>
      <x:c r="N1035" s="87" t="str">
        <x:v>pages/VIS-EGKR-SOC-S26-TASK-955-P001.png</x:v>
      </x:c>
      <x:c r="O1035" s="87" t="str">
        <x:v>thumbnails/VIS-EGKR-SOC-S26-TASK-955-P001.jpg</x:v>
      </x:c>
      <x:c r="P1035" s="87" t="str">
        <x:v>3b2f6acf9110486ad0be83bbb1af90da5f29c32d5e6ec406d6bb5770168c3cb3</x:v>
      </x:c>
      <x:c r="Q1035" s="30" t="str">
        <x:v>incoming/raw/recovery-drop-01/society_egkr_spring_visual_assets_v101.zip!/pages/VIS-EGKR-SOC-S26-TASK-955-P001.png</x:v>
      </x:c>
      <x:c r="R1035" s="30" t="str">
        <x:v>MATCHED_ASSET</x:v>
      </x:c>
      <x:c r="S1035" t="e">
        <x:f>HYPERLINK("visual_gallery/index.html#"&amp;A1035,"Галерея")</x:f>
      </x:c>
    </x:row>
    <x:row r="1036">
      <x:c r="A1036" s="87" t="str">
        <x:v>VIS-EGKR-SOC-S26-TASK-955-P002</x:v>
      </x:c>
      <x:c r="B1036" s="30" t="str">
        <x:v>Обществознание</x:v>
      </x:c>
      <x:c r="C1036" s="30"/>
      <x:c r="D1036" s="30" t="str">
        <x:v>955</x:v>
      </x:c>
      <x:c r="E1036" s="87" t="str">
        <x:v>TASK</x:v>
      </x:c>
      <x:c r="F1036" s="30" t="str">
        <x:v>955 вариант.pdf</x:v>
      </x:c>
      <x:c r="G1036" s="87" t="str">
        <x:v>2</x:v>
      </x:c>
      <x:c r="H1036" s="87" t="str">
        <x:v>v1.01</x:v>
      </x:c>
      <x:c r="I1036" s="87" t="str">
        <x:v>4</x:v>
      </x:c>
      <x:c r="J1036" s="30" t="str">
        <x:v>VIS_ID</x:v>
      </x:c>
      <x:c r="K1036" s="30" t="str">
        <x:v>EGKR-S26-SOC-955-03, EGKR-S26-SOC-955-04, EGKR-S26-SOC-955-05, EGKR-S26-SOC-955-06</x:v>
      </x:c>
      <x:c r="L1036" s="87" t="str">
        <x:v>CROP_VERIFIED</x:v>
      </x:c>
      <x:c r="M1036" s="87" t="str">
        <x:v>ORIGINAL_PACKAGE</x:v>
      </x:c>
      <x:c r="N1036" s="87" t="str">
        <x:v>pages/VIS-EGKR-SOC-S26-TASK-955-P002.png</x:v>
      </x:c>
      <x:c r="O1036" s="87" t="str">
        <x:v>thumbnails/VIS-EGKR-SOC-S26-TASK-955-P002.jpg</x:v>
      </x:c>
      <x:c r="P1036" s="87" t="str">
        <x:v>4b6c3557feda2711b74e53cf41abf4b8932ac63db2eb3dc9d1766ca78fffdfe0</x:v>
      </x:c>
      <x:c r="Q1036" s="30" t="str">
        <x:v>incoming/raw/recovery-drop-01/society_egkr_spring_visual_assets_v101.zip!/pages/VIS-EGKR-SOC-S26-TASK-955-P002.png</x:v>
      </x:c>
      <x:c r="R1036" s="30" t="str">
        <x:v>MATCHED_ASSET</x:v>
      </x:c>
      <x:c r="S1036" t="e">
        <x:f>HYPERLINK("visual_gallery/index.html#"&amp;A1036,"Галерея")</x:f>
      </x:c>
    </x:row>
    <x:row r="1037">
      <x:c r="A1037" s="87" t="str">
        <x:v>VIS-EGKR-SOC-S26-TASK-955-P003</x:v>
      </x:c>
      <x:c r="B1037" s="30" t="str">
        <x:v>Обществознание</x:v>
      </x:c>
      <x:c r="C1037" s="30"/>
      <x:c r="D1037" s="30" t="str">
        <x:v>955</x:v>
      </x:c>
      <x:c r="E1037" s="87" t="str">
        <x:v>TASK</x:v>
      </x:c>
      <x:c r="F1037" s="30" t="str">
        <x:v>955 вариант.pdf</x:v>
      </x:c>
      <x:c r="G1037" s="87" t="str">
        <x:v>3</x:v>
      </x:c>
      <x:c r="H1037" s="87" t="str">
        <x:v>v1.01</x:v>
      </x:c>
      <x:c r="I1037" s="87" t="str">
        <x:v>3</x:v>
      </x:c>
      <x:c r="J1037" s="30" t="str">
        <x:v>VIS_ID</x:v>
      </x:c>
      <x:c r="K1037" s="30" t="str">
        <x:v>EGKR-S26-SOC-955-07, EGKR-S26-SOC-955-08, EGKR-S26-SOC-955-09</x:v>
      </x:c>
      <x:c r="L1037" s="87" t="str">
        <x:v>CROP_VERIFIED</x:v>
      </x:c>
      <x:c r="M1037" s="87" t="str">
        <x:v>ORIGINAL_PACKAGE</x:v>
      </x:c>
      <x:c r="N1037" s="87" t="str">
        <x:v>pages/VIS-EGKR-SOC-S26-TASK-955-P003.png</x:v>
      </x:c>
      <x:c r="O1037" s="87" t="str">
        <x:v>thumbnails/VIS-EGKR-SOC-S26-TASK-955-P003.jpg</x:v>
      </x:c>
      <x:c r="P1037" s="87" t="str">
        <x:v>cc7d9c1b2431b8d51f0a0113f1b377b7ea29b31c62e3f3c34007b2d9c781c593</x:v>
      </x:c>
      <x:c r="Q1037" s="30" t="str">
        <x:v>incoming/raw/recovery-drop-01/society_egkr_spring_visual_assets_v101.zip!/pages/VIS-EGKR-SOC-S26-TASK-955-P003.png</x:v>
      </x:c>
      <x:c r="R1037" s="30" t="str">
        <x:v>MATCHED_ASSET</x:v>
      </x:c>
      <x:c r="S1037" t="e">
        <x:f>HYPERLINK("visual_gallery/index.html#"&amp;A1037,"Галерея")</x:f>
      </x:c>
    </x:row>
    <x:row r="1038">
      <x:c r="A1038" s="87" t="str">
        <x:v>VIS-EGKR-SOC-S26-TASK-955-P004</x:v>
      </x:c>
      <x:c r="B1038" s="30" t="str">
        <x:v>Обществознание</x:v>
      </x:c>
      <x:c r="C1038" s="30"/>
      <x:c r="D1038" s="30" t="str">
        <x:v>955</x:v>
      </x:c>
      <x:c r="E1038" s="87" t="str">
        <x:v>TASK</x:v>
      </x:c>
      <x:c r="F1038" s="30" t="str">
        <x:v>955 вариант.pdf</x:v>
      </x:c>
      <x:c r="G1038" s="87" t="str">
        <x:v>4</x:v>
      </x:c>
      <x:c r="H1038" s="87" t="str">
        <x:v>v1.01</x:v>
      </x:c>
      <x:c r="I1038" s="87" t="str">
        <x:v>4</x:v>
      </x:c>
      <x:c r="J1038" s="30" t="str">
        <x:v>VIS_ID</x:v>
      </x:c>
      <x:c r="K1038" s="30" t="str">
        <x:v>EGKR-S26-SOC-955-10, EGKR-S26-SOC-955-11, EGKR-S26-SOC-955-12, EGKR-S26-SOC-955-13</x:v>
      </x:c>
      <x:c r="L1038" s="87" t="str">
        <x:v>CROP_VERIFIED</x:v>
      </x:c>
      <x:c r="M1038" s="87" t="str">
        <x:v>ORIGINAL_PACKAGE</x:v>
      </x:c>
      <x:c r="N1038" s="87" t="str">
        <x:v>pages/VIS-EGKR-SOC-S26-TASK-955-P004.png</x:v>
      </x:c>
      <x:c r="O1038" s="87" t="str">
        <x:v>thumbnails/VIS-EGKR-SOC-S26-TASK-955-P004.jpg</x:v>
      </x:c>
      <x:c r="P1038" s="87" t="str">
        <x:v>0486178ff5d743d6395b8e63a15c6d87a5cba791e1309754c77112868c4ce2e2</x:v>
      </x:c>
      <x:c r="Q1038" s="30" t="str">
        <x:v>incoming/raw/recovery-drop-01/society_egkr_spring_visual_assets_v101.zip!/pages/VIS-EGKR-SOC-S26-TASK-955-P004.png</x:v>
      </x:c>
      <x:c r="R1038" s="30" t="str">
        <x:v>MATCHED_ASSET</x:v>
      </x:c>
      <x:c r="S1038" t="e">
        <x:f>HYPERLINK("visual_gallery/index.html#"&amp;A1038,"Галерея")</x:f>
      </x:c>
    </x:row>
    <x:row r="1039">
      <x:c r="A1039" s="87" t="str">
        <x:v>VIS-EGKR-SOC-S26-TASK-955-P005</x:v>
      </x:c>
      <x:c r="B1039" s="30" t="str">
        <x:v>Обществознание</x:v>
      </x:c>
      <x:c r="C1039" s="30"/>
      <x:c r="D1039" s="30" t="str">
        <x:v>955</x:v>
      </x:c>
      <x:c r="E1039" s="87" t="str">
        <x:v>TASK</x:v>
      </x:c>
      <x:c r="F1039" s="30" t="str">
        <x:v>955 вариант.pdf</x:v>
      </x:c>
      <x:c r="G1039" s="87" t="str">
        <x:v>5</x:v>
      </x:c>
      <x:c r="H1039" s="87" t="str">
        <x:v>v1.01</x:v>
      </x:c>
      <x:c r="I1039" s="87" t="str">
        <x:v>3</x:v>
      </x:c>
      <x:c r="J1039" s="30" t="str">
        <x:v>VIS_ID</x:v>
      </x:c>
      <x:c r="K1039" s="30" t="str">
        <x:v>EGKR-S26-SOC-955-14, EGKR-S26-SOC-955-15, EGKR-S26-SOC-955-16</x:v>
      </x:c>
      <x:c r="L1039" s="87" t="str">
        <x:v>CROP_VERIFIED</x:v>
      </x:c>
      <x:c r="M1039" s="87" t="str">
        <x:v>ORIGINAL_PACKAGE</x:v>
      </x:c>
      <x:c r="N1039" s="87" t="str">
        <x:v>pages/VIS-EGKR-SOC-S26-TASK-955-P005.png</x:v>
      </x:c>
      <x:c r="O1039" s="87" t="str">
        <x:v>thumbnails/VIS-EGKR-SOC-S26-TASK-955-P005.jpg</x:v>
      </x:c>
      <x:c r="P1039" s="87" t="str">
        <x:v>aee278ef2423fac82b554e1f8d9bb812e7603868c1ffe584f352dad7ccdcf0a4</x:v>
      </x:c>
      <x:c r="Q1039" s="30" t="str">
        <x:v>incoming/raw/recovery-drop-01/society_egkr_spring_visual_assets_v101.zip!/pages/VIS-EGKR-SOC-S26-TASK-955-P005.png</x:v>
      </x:c>
      <x:c r="R1039" s="30" t="str">
        <x:v>MATCHED_ASSET</x:v>
      </x:c>
      <x:c r="S1039" t="e">
        <x:f>HYPERLINK("visual_gallery/index.html#"&amp;A1039,"Галерея")</x:f>
      </x:c>
    </x:row>
    <x:row r="1040">
      <x:c r="A1040" s="87" t="str">
        <x:v>VIS-EGKR-SOC-S26-TASK-955-P006</x:v>
      </x:c>
      <x:c r="B1040" s="30" t="str">
        <x:v>Обществознание</x:v>
      </x:c>
      <x:c r="C1040" s="30"/>
      <x:c r="D1040" s="30" t="str">
        <x:v>955</x:v>
      </x:c>
      <x:c r="E1040" s="87" t="str">
        <x:v>TASK</x:v>
      </x:c>
      <x:c r="F1040" s="30" t="str">
        <x:v>955 вариант.pdf</x:v>
      </x:c>
      <x:c r="G1040" s="87" t="str">
        <x:v>6</x:v>
      </x:c>
      <x:c r="H1040" s="87" t="str">
        <x:v>v1.01</x:v>
      </x:c>
      <x:c r="I1040" s="87" t="str">
        <x:v>4</x:v>
      </x:c>
      <x:c r="J1040" s="30" t="str">
        <x:v>VIS_ID</x:v>
      </x:c>
      <x:c r="K1040" s="30" t="str">
        <x:v>EGKR-S26-SOC-955-17, EGKR-S26-SOC-955-18, EGKR-S26-SOC-955-19, EGKR-S26-SOC-955-20</x:v>
      </x:c>
      <x:c r="L1040" s="87" t="str">
        <x:v>CROP_VERIFIED</x:v>
      </x:c>
      <x:c r="M1040" s="87" t="str">
        <x:v>ORIGINAL_PACKAGE</x:v>
      </x:c>
      <x:c r="N1040" s="87" t="str">
        <x:v>pages/VIS-EGKR-SOC-S26-TASK-955-P006.png</x:v>
      </x:c>
      <x:c r="O1040" s="87" t="str">
        <x:v>thumbnails/VIS-EGKR-SOC-S26-TASK-955-P006.jpg</x:v>
      </x:c>
      <x:c r="P1040" s="87" t="str">
        <x:v>04caa87b701423c4755e9399799cede37bea03c65fe4f9ea22bf49b426c29c48</x:v>
      </x:c>
      <x:c r="Q1040" s="30" t="str">
        <x:v>incoming/raw/recovery-drop-01/society_egkr_spring_visual_assets_v101.zip!/pages/VIS-EGKR-SOC-S26-TASK-955-P006.png</x:v>
      </x:c>
      <x:c r="R1040" s="30" t="str">
        <x:v>MATCHED_ASSET</x:v>
      </x:c>
      <x:c r="S1040" t="e">
        <x:f>HYPERLINK("visual_gallery/index.html#"&amp;A1040,"Галерея")</x:f>
      </x:c>
    </x:row>
    <x:row r="1041">
      <x:c r="A1041" s="87" t="str">
        <x:v>VIS-EGKR-SOC-S26-TASK-955-P007</x:v>
      </x:c>
      <x:c r="B1041" s="30" t="str">
        <x:v>Обществознание</x:v>
      </x:c>
      <x:c r="C1041" s="30"/>
      <x:c r="D1041" s="30" t="str">
        <x:v>955</x:v>
      </x:c>
      <x:c r="E1041" s="87" t="str">
        <x:v>TASK</x:v>
      </x:c>
      <x:c r="F1041" s="30" t="str">
        <x:v>955 вариант.pdf</x:v>
      </x:c>
      <x:c r="G1041" s="87" t="str">
        <x:v>7</x:v>
      </x:c>
      <x:c r="H1041" s="87" t="str">
        <x:v>v1.01</x:v>
      </x:c>
      <x:c r="I1041" s="87" t="str">
        <x:v>5</x:v>
      </x:c>
      <x:c r="J1041" s="30" t="str">
        <x:v>VIS_ID</x:v>
      </x:c>
      <x:c r="K1041" s="30" t="str">
        <x:v>EGKR-S26-SOC-955-21, EGKR-S26-SOC-955-22, EGKR-S26-SOC-955-23, EGKR-S26-SOC-955-24, EGKR-S26-SOC-955-25</x:v>
      </x:c>
      <x:c r="L1041" s="87" t="str">
        <x:v>CROP_VERIFIED</x:v>
      </x:c>
      <x:c r="M1041" s="87" t="str">
        <x:v>ORIGINAL_PACKAGE</x:v>
      </x:c>
      <x:c r="N1041" s="87" t="str">
        <x:v>pages/VIS-EGKR-SOC-S26-TASK-955-P007.png</x:v>
      </x:c>
      <x:c r="O1041" s="87" t="str">
        <x:v>thumbnails/VIS-EGKR-SOC-S26-TASK-955-P007.jpg</x:v>
      </x:c>
      <x:c r="P1041" s="87" t="str">
        <x:v>89f8fd6f2ee95edf0d7d60926899dc04f1c859a8f0c97b2582ce5706329907c1</x:v>
      </x:c>
      <x:c r="Q1041" s="30" t="str">
        <x:v>incoming/raw/recovery-drop-01/society_egkr_spring_visual_assets_v101.zip!/pages/VIS-EGKR-SOC-S26-TASK-955-P007.png</x:v>
      </x:c>
      <x:c r="R1041" s="30" t="str">
        <x:v>MATCHED_ASSET</x:v>
      </x:c>
      <x:c r="S1041" t="e">
        <x:f>HYPERLINK("visual_gallery/index.html#"&amp;A1041,"Галерея")</x:f>
      </x:c>
    </x:row>
    <x:row r="1042">
      <x:c r="A1042" s="87" t="str">
        <x:v>VIS-EGKR-SOC-S26-TASK-956-P001</x:v>
      </x:c>
      <x:c r="B1042" s="30" t="str">
        <x:v>Обществознание</x:v>
      </x:c>
      <x:c r="C1042" s="30"/>
      <x:c r="D1042" s="30" t="str">
        <x:v>956</x:v>
      </x:c>
      <x:c r="E1042" s="87" t="str">
        <x:v>TASK</x:v>
      </x:c>
      <x:c r="F1042" s="30" t="str">
        <x:v>956 вариант.pdf</x:v>
      </x:c>
      <x:c r="G1042" s="87" t="str">
        <x:v>1</x:v>
      </x:c>
      <x:c r="H1042" s="87" t="str">
        <x:v>v1.01</x:v>
      </x:c>
      <x:c r="I1042" s="87" t="str">
        <x:v>2</x:v>
      </x:c>
      <x:c r="J1042" s="30" t="str">
        <x:v>VIS_ID</x:v>
      </x:c>
      <x:c r="K1042" s="30" t="str">
        <x:v>EGKR-S26-SOC-956-01, EGKR-S26-SOC-956-02</x:v>
      </x:c>
      <x:c r="L1042" s="87" t="str">
        <x:v>CROP_VERIFIED</x:v>
      </x:c>
      <x:c r="M1042" s="87" t="str">
        <x:v>ORIGINAL_PACKAGE</x:v>
      </x:c>
      <x:c r="N1042" s="87" t="str">
        <x:v>pages/VIS-EGKR-SOC-S26-TASK-956-P001.png</x:v>
      </x:c>
      <x:c r="O1042" s="87" t="str">
        <x:v>thumbnails/VIS-EGKR-SOC-S26-TASK-956-P001.jpg</x:v>
      </x:c>
      <x:c r="P1042" s="87" t="str">
        <x:v>4e2a285cc57e6ecf609131da996127575b9c19dd92a3edc0a5decdee9ecb40e3</x:v>
      </x:c>
      <x:c r="Q1042" s="30" t="str">
        <x:v>incoming/raw/recovery-drop-01/society_egkr_spring_visual_assets_v101.zip!/pages/VIS-EGKR-SOC-S26-TASK-956-P001.png</x:v>
      </x:c>
      <x:c r="R1042" s="30" t="str">
        <x:v>MATCHED_ASSET</x:v>
      </x:c>
      <x:c r="S1042" t="e">
        <x:f>HYPERLINK("visual_gallery/index.html#"&amp;A1042,"Галерея")</x:f>
      </x:c>
    </x:row>
    <x:row r="1043">
      <x:c r="A1043" s="87" t="str">
        <x:v>VIS-EGKR-SOC-S26-TASK-956-P002</x:v>
      </x:c>
      <x:c r="B1043" s="30" t="str">
        <x:v>Обществознание</x:v>
      </x:c>
      <x:c r="C1043" s="30"/>
      <x:c r="D1043" s="30" t="str">
        <x:v>956</x:v>
      </x:c>
      <x:c r="E1043" s="87" t="str">
        <x:v>TASK</x:v>
      </x:c>
      <x:c r="F1043" s="30" t="str">
        <x:v>956 вариант.pdf</x:v>
      </x:c>
      <x:c r="G1043" s="87" t="str">
        <x:v>2</x:v>
      </x:c>
      <x:c r="H1043" s="87" t="str">
        <x:v>v1.01</x:v>
      </x:c>
      <x:c r="I1043" s="87" t="str">
        <x:v>4</x:v>
      </x:c>
      <x:c r="J1043" s="30" t="str">
        <x:v>VIS_ID</x:v>
      </x:c>
      <x:c r="K1043" s="30" t="str">
        <x:v>EGKR-S26-SOC-956-03, EGKR-S26-SOC-956-04, EGKR-S26-SOC-956-05, EGKR-S26-SOC-956-06</x:v>
      </x:c>
      <x:c r="L1043" s="87" t="str">
        <x:v>CROP_VERIFIED</x:v>
      </x:c>
      <x:c r="M1043" s="87" t="str">
        <x:v>ORIGINAL_PACKAGE</x:v>
      </x:c>
      <x:c r="N1043" s="87" t="str">
        <x:v>pages/VIS-EGKR-SOC-S26-TASK-956-P002.png</x:v>
      </x:c>
      <x:c r="O1043" s="87" t="str">
        <x:v>thumbnails/VIS-EGKR-SOC-S26-TASK-956-P002.jpg</x:v>
      </x:c>
      <x:c r="P1043" s="87" t="str">
        <x:v>0e9c140f0dd02f476f4bd7cb813910c040d21f98b273ebd9b8ac179de44aeaac</x:v>
      </x:c>
      <x:c r="Q1043" s="30" t="str">
        <x:v>incoming/raw/recovery-drop-01/society_egkr_spring_visual_assets_v101.zip!/pages/VIS-EGKR-SOC-S26-TASK-956-P002.png</x:v>
      </x:c>
      <x:c r="R1043" s="30" t="str">
        <x:v>MATCHED_ASSET</x:v>
      </x:c>
      <x:c r="S1043" t="e">
        <x:f>HYPERLINK("visual_gallery/index.html#"&amp;A1043,"Галерея")</x:f>
      </x:c>
    </x:row>
    <x:row r="1044">
      <x:c r="A1044" s="87" t="str">
        <x:v>VIS-EGKR-SOC-S26-TASK-956-P003</x:v>
      </x:c>
      <x:c r="B1044" s="30" t="str">
        <x:v>Обществознание</x:v>
      </x:c>
      <x:c r="C1044" s="30"/>
      <x:c r="D1044" s="30" t="str">
        <x:v>956</x:v>
      </x:c>
      <x:c r="E1044" s="87" t="str">
        <x:v>TASK</x:v>
      </x:c>
      <x:c r="F1044" s="30" t="str">
        <x:v>956 вариант.pdf</x:v>
      </x:c>
      <x:c r="G1044" s="87" t="str">
        <x:v>3</x:v>
      </x:c>
      <x:c r="H1044" s="87" t="str">
        <x:v>v1.01</x:v>
      </x:c>
      <x:c r="I1044" s="87" t="str">
        <x:v>3</x:v>
      </x:c>
      <x:c r="J1044" s="30" t="str">
        <x:v>VIS_ID</x:v>
      </x:c>
      <x:c r="K1044" s="30" t="str">
        <x:v>EGKR-S26-SOC-956-07, EGKR-S26-SOC-956-08, EGKR-S26-SOC-956-09</x:v>
      </x:c>
      <x:c r="L1044" s="87" t="str">
        <x:v>CROP_VERIFIED</x:v>
      </x:c>
      <x:c r="M1044" s="87" t="str">
        <x:v>ORIGINAL_PACKAGE</x:v>
      </x:c>
      <x:c r="N1044" s="87" t="str">
        <x:v>pages/VIS-EGKR-SOC-S26-TASK-956-P003.png</x:v>
      </x:c>
      <x:c r="O1044" s="87" t="str">
        <x:v>thumbnails/VIS-EGKR-SOC-S26-TASK-956-P003.jpg</x:v>
      </x:c>
      <x:c r="P1044" s="87" t="str">
        <x:v>40bb106dcb154e863914f96bfe71fb59beac101d453551e44d360c8cd8b8c4b1</x:v>
      </x:c>
      <x:c r="Q1044" s="30" t="str">
        <x:v>incoming/raw/recovery-drop-01/society_egkr_spring_visual_assets_v101.zip!/pages/VIS-EGKR-SOC-S26-TASK-956-P003.png</x:v>
      </x:c>
      <x:c r="R1044" s="30" t="str">
        <x:v>MATCHED_ASSET</x:v>
      </x:c>
      <x:c r="S1044" t="e">
        <x:f>HYPERLINK("visual_gallery/index.html#"&amp;A1044,"Галерея")</x:f>
      </x:c>
    </x:row>
    <x:row r="1045">
      <x:c r="A1045" s="87" t="str">
        <x:v>VIS-EGKR-SOC-S26-TASK-956-P004</x:v>
      </x:c>
      <x:c r="B1045" s="30" t="str">
        <x:v>Обществознание</x:v>
      </x:c>
      <x:c r="C1045" s="30"/>
      <x:c r="D1045" s="30" t="str">
        <x:v>956</x:v>
      </x:c>
      <x:c r="E1045" s="87" t="str">
        <x:v>TASK</x:v>
      </x:c>
      <x:c r="F1045" s="30" t="str">
        <x:v>956 вариант.pdf</x:v>
      </x:c>
      <x:c r="G1045" s="87" t="str">
        <x:v>4</x:v>
      </x:c>
      <x:c r="H1045" s="87" t="str">
        <x:v>v1.01</x:v>
      </x:c>
      <x:c r="I1045" s="87" t="str">
        <x:v>4</x:v>
      </x:c>
      <x:c r="J1045" s="30" t="str">
        <x:v>VIS_ID</x:v>
      </x:c>
      <x:c r="K1045" s="30" t="str">
        <x:v>EGKR-S26-SOC-956-10, EGKR-S26-SOC-956-11, EGKR-S26-SOC-956-12, EGKR-S26-SOC-956-13</x:v>
      </x:c>
      <x:c r="L1045" s="87" t="str">
        <x:v>CROP_VERIFIED</x:v>
      </x:c>
      <x:c r="M1045" s="87" t="str">
        <x:v>ORIGINAL_PACKAGE</x:v>
      </x:c>
      <x:c r="N1045" s="87" t="str">
        <x:v>pages/VIS-EGKR-SOC-S26-TASK-956-P004.png</x:v>
      </x:c>
      <x:c r="O1045" s="87" t="str">
        <x:v>thumbnails/VIS-EGKR-SOC-S26-TASK-956-P004.jpg</x:v>
      </x:c>
      <x:c r="P1045" s="87" t="str">
        <x:v>430ddf0ae701f200b20bb5bdbe6c5a5b2654915f23e61b10f803e7ff6e8d511f</x:v>
      </x:c>
      <x:c r="Q1045" s="30" t="str">
        <x:v>incoming/raw/recovery-drop-01/society_egkr_spring_visual_assets_v101.zip!/pages/VIS-EGKR-SOC-S26-TASK-956-P004.png</x:v>
      </x:c>
      <x:c r="R1045" s="30" t="str">
        <x:v>MATCHED_ASSET</x:v>
      </x:c>
      <x:c r="S1045" t="e">
        <x:f>HYPERLINK("visual_gallery/index.html#"&amp;A1045,"Галерея")</x:f>
      </x:c>
    </x:row>
    <x:row r="1046">
      <x:c r="A1046" s="87" t="str">
        <x:v>VIS-EGKR-SOC-S26-TASK-956-P005</x:v>
      </x:c>
      <x:c r="B1046" s="30" t="str">
        <x:v>Обществознание</x:v>
      </x:c>
      <x:c r="C1046" s="30"/>
      <x:c r="D1046" s="30" t="str">
        <x:v>956</x:v>
      </x:c>
      <x:c r="E1046" s="87" t="str">
        <x:v>TASK</x:v>
      </x:c>
      <x:c r="F1046" s="30" t="str">
        <x:v>956 вариант.pdf</x:v>
      </x:c>
      <x:c r="G1046" s="87" t="str">
        <x:v>5</x:v>
      </x:c>
      <x:c r="H1046" s="87" t="str">
        <x:v>v1.01</x:v>
      </x:c>
      <x:c r="I1046" s="87" t="str">
        <x:v>3</x:v>
      </x:c>
      <x:c r="J1046" s="30" t="str">
        <x:v>VIS_ID</x:v>
      </x:c>
      <x:c r="K1046" s="30" t="str">
        <x:v>EGKR-S26-SOC-956-14, EGKR-S26-SOC-956-15, EGKR-S26-SOC-956-16</x:v>
      </x:c>
      <x:c r="L1046" s="87" t="str">
        <x:v>CROP_VERIFIED</x:v>
      </x:c>
      <x:c r="M1046" s="87" t="str">
        <x:v>ORIGINAL_PACKAGE</x:v>
      </x:c>
      <x:c r="N1046" s="87" t="str">
        <x:v>pages/VIS-EGKR-SOC-S26-TASK-956-P005.png</x:v>
      </x:c>
      <x:c r="O1046" s="87" t="str">
        <x:v>thumbnails/VIS-EGKR-SOC-S26-TASK-956-P005.jpg</x:v>
      </x:c>
      <x:c r="P1046" s="87" t="str">
        <x:v>c3228ccff2aeca29a2f04a6a2ed4f2d5abed744a4248c0020549eb3412d9a37a</x:v>
      </x:c>
      <x:c r="Q1046" s="30" t="str">
        <x:v>incoming/raw/recovery-drop-01/society_egkr_spring_visual_assets_v101.zip!/pages/VIS-EGKR-SOC-S26-TASK-956-P005.png</x:v>
      </x:c>
      <x:c r="R1046" s="30" t="str">
        <x:v>MATCHED_ASSET</x:v>
      </x:c>
      <x:c r="S1046" t="e">
        <x:f>HYPERLINK("visual_gallery/index.html#"&amp;A1046,"Галерея")</x:f>
      </x:c>
    </x:row>
    <x:row r="1047">
      <x:c r="A1047" s="87" t="str">
        <x:v>VIS-EGKR-SOC-S26-TASK-956-P006</x:v>
      </x:c>
      <x:c r="B1047" s="30" t="str">
        <x:v>Обществознание</x:v>
      </x:c>
      <x:c r="C1047" s="30"/>
      <x:c r="D1047" s="30" t="str">
        <x:v>956</x:v>
      </x:c>
      <x:c r="E1047" s="87" t="str">
        <x:v>TASK</x:v>
      </x:c>
      <x:c r="F1047" s="30" t="str">
        <x:v>956 вариант.pdf</x:v>
      </x:c>
      <x:c r="G1047" s="87" t="str">
        <x:v>6</x:v>
      </x:c>
      <x:c r="H1047" s="87" t="str">
        <x:v>v1.01</x:v>
      </x:c>
      <x:c r="I1047" s="87" t="str">
        <x:v>4</x:v>
      </x:c>
      <x:c r="J1047" s="30" t="str">
        <x:v>VIS_ID</x:v>
      </x:c>
      <x:c r="K1047" s="30" t="str">
        <x:v>EGKR-S26-SOC-956-17, EGKR-S26-SOC-956-18, EGKR-S26-SOC-956-19, EGKR-S26-SOC-956-20</x:v>
      </x:c>
      <x:c r="L1047" s="87" t="str">
        <x:v>CROP_VERIFIED</x:v>
      </x:c>
      <x:c r="M1047" s="87" t="str">
        <x:v>ORIGINAL_PACKAGE</x:v>
      </x:c>
      <x:c r="N1047" s="87" t="str">
        <x:v>pages/VIS-EGKR-SOC-S26-TASK-956-P006.png</x:v>
      </x:c>
      <x:c r="O1047" s="87" t="str">
        <x:v>thumbnails/VIS-EGKR-SOC-S26-TASK-956-P006.jpg</x:v>
      </x:c>
      <x:c r="P1047" s="87" t="str">
        <x:v>569f3c2b2fd9e6909c1522b41e0714782cc4dbeca7258853edf2986db5cf25b8</x:v>
      </x:c>
      <x:c r="Q1047" s="30" t="str">
        <x:v>incoming/raw/recovery-drop-01/society_egkr_spring_visual_assets_v101.zip!/pages/VIS-EGKR-SOC-S26-TASK-956-P006.png</x:v>
      </x:c>
      <x:c r="R1047" s="30" t="str">
        <x:v>MATCHED_ASSET</x:v>
      </x:c>
      <x:c r="S1047" t="e">
        <x:f>HYPERLINK("visual_gallery/index.html#"&amp;A1047,"Галерея")</x:f>
      </x:c>
    </x:row>
    <x:row r="1048">
      <x:c r="A1048" s="87" t="str">
        <x:v>VIS-EGKR-SOC-S26-TASK-956-P007</x:v>
      </x:c>
      <x:c r="B1048" s="30" t="str">
        <x:v>Обществознание</x:v>
      </x:c>
      <x:c r="C1048" s="30"/>
      <x:c r="D1048" s="30" t="str">
        <x:v>956</x:v>
      </x:c>
      <x:c r="E1048" s="87" t="str">
        <x:v>TASK</x:v>
      </x:c>
      <x:c r="F1048" s="30" t="str">
        <x:v>956 вариант.pdf</x:v>
      </x:c>
      <x:c r="G1048" s="87" t="str">
        <x:v>7</x:v>
      </x:c>
      <x:c r="H1048" s="87" t="str">
        <x:v>v1.01</x:v>
      </x:c>
      <x:c r="I1048" s="87" t="str">
        <x:v>5</x:v>
      </x:c>
      <x:c r="J1048" s="30" t="str">
        <x:v>VIS_ID</x:v>
      </x:c>
      <x:c r="K1048" s="30" t="str">
        <x:v>EGKR-S26-SOC-956-21, EGKR-S26-SOC-956-22, EGKR-S26-SOC-956-23, EGKR-S26-SOC-956-24, EGKR-S26-SOC-956-25</x:v>
      </x:c>
      <x:c r="L1048" s="87" t="str">
        <x:v>CROP_VERIFIED</x:v>
      </x:c>
      <x:c r="M1048" s="87" t="str">
        <x:v>ORIGINAL_PACKAGE</x:v>
      </x:c>
      <x:c r="N1048" s="87" t="str">
        <x:v>pages/VIS-EGKR-SOC-S26-TASK-956-P007.png</x:v>
      </x:c>
      <x:c r="O1048" s="87" t="str">
        <x:v>thumbnails/VIS-EGKR-SOC-S26-TASK-956-P007.jpg</x:v>
      </x:c>
      <x:c r="P1048" s="87" t="str">
        <x:v>7e1d015de9716028fbdd9eb3500439a73a4cd75ffdfe09c54cfdce7a940e07fe</x:v>
      </x:c>
      <x:c r="Q1048" s="30" t="str">
        <x:v>incoming/raw/recovery-drop-01/society_egkr_spring_visual_assets_v101.zip!/pages/VIS-EGKR-SOC-S26-TASK-956-P007.png</x:v>
      </x:c>
      <x:c r="R1048" s="30" t="str">
        <x:v>MATCHED_ASSET</x:v>
      </x:c>
      <x:c r="S1048" t="e">
        <x:f>HYPERLINK("visual_gallery/index.html#"&amp;A1048,"Галерея")</x:f>
      </x:c>
    </x:row>
    <x:row r="1049">
      <x:c r="A1049" s="87" t="str">
        <x:v>VIS-EGKR-SOC-S26-TASK-957-P001</x:v>
      </x:c>
      <x:c r="B1049" s="30" t="str"/>
      <x:c r="C1049" s="30"/>
      <x:c r="D1049" s="30" t="str">
        <x:v>957</x:v>
      </x:c>
      <x:c r="E1049" s="87" t="str">
        <x:v>TASK</x:v>
      </x:c>
      <x:c r="F1049" s="30" t="str">
        <x:v>ЕГКР 957.pdf</x:v>
      </x:c>
      <x:c r="G1049" s="87" t="str">
        <x:v>1</x:v>
      </x:c>
      <x:c r="H1049" s="87" t="str">
        <x:v>v1.01</x:v>
      </x:c>
      <x:c r="I1049" s="87" t="str">
        <x:v>0</x:v>
      </x:c>
      <x:c r="J1049" s="30" t="str"/>
      <x:c r="K1049" s="30" t="str"/>
      <x:c r="L1049" s="87" t="str">
        <x:v>CROP_VERIFIED</x:v>
      </x:c>
      <x:c r="M1049" s="87" t="str">
        <x:v>ORIGINAL_PACKAGE</x:v>
      </x:c>
      <x:c r="N1049" s="87" t="str">
        <x:v>pages/VIS-EGKR-SOC-S26-TASK-957-P001.png</x:v>
      </x:c>
      <x:c r="O1049" s="87" t="str">
        <x:v>thumbnails/VIS-EGKR-SOC-S26-TASK-957-P001.jpg</x:v>
      </x:c>
      <x:c r="P1049" s="87" t="str">
        <x:v>efa8d2e1df77e36a0cd86ee1a4dbb859f23cbe1f01b94083cc63642363dc126d</x:v>
      </x:c>
      <x:c r="Q1049" s="30" t="str">
        <x:v>incoming/raw/recovery-drop-01/society_egkr_spring_visual_assets_v101.zip!/pages/VIS-EGKR-SOC-S26-TASK-957-P001.png</x:v>
      </x:c>
      <x:c r="R1049" s="30" t="str">
        <x:v>RESOLVED_UNLINKED_REGISTRY_VISUAL</x:v>
      </x:c>
      <x:c r="S1049" t="e">
        <x:f>HYPERLINK("visual_gallery/index.html#"&amp;A1049,"Галерея")</x:f>
      </x:c>
    </x:row>
    <x:row r="1050">
      <x:c r="A1050" s="87" t="str">
        <x:v>VIS-EGKR-SOC-S26-TASK-957-P002</x:v>
      </x:c>
      <x:c r="B1050" s="30" t="str">
        <x:v>Обществознание</x:v>
      </x:c>
      <x:c r="C1050" s="30"/>
      <x:c r="D1050" s="30" t="str">
        <x:v>957</x:v>
      </x:c>
      <x:c r="E1050" s="87" t="str">
        <x:v>TASK</x:v>
      </x:c>
      <x:c r="F1050" s="30" t="str">
        <x:v>ЕГКР 957.pdf</x:v>
      </x:c>
      <x:c r="G1050" s="87" t="str">
        <x:v>2</x:v>
      </x:c>
      <x:c r="H1050" s="87" t="str">
        <x:v>v1.01</x:v>
      </x:c>
      <x:c r="I1050" s="87" t="str">
        <x:v>2</x:v>
      </x:c>
      <x:c r="J1050" s="30" t="str">
        <x:v>VIS_ID</x:v>
      </x:c>
      <x:c r="K1050" s="30" t="str">
        <x:v>EGKR-S26-SOC-957-01, EGKR-S26-SOC-957-02</x:v>
      </x:c>
      <x:c r="L1050" s="87" t="str">
        <x:v>CROP_VERIFIED</x:v>
      </x:c>
      <x:c r="M1050" s="87" t="str">
        <x:v>ORIGINAL_PACKAGE</x:v>
      </x:c>
      <x:c r="N1050" s="87" t="str">
        <x:v>pages/VIS-EGKR-SOC-S26-TASK-957-P002.png</x:v>
      </x:c>
      <x:c r="O1050" s="87" t="str">
        <x:v>thumbnails/VIS-EGKR-SOC-S26-TASK-957-P002.jpg</x:v>
      </x:c>
      <x:c r="P1050" s="87" t="str">
        <x:v>0610b32b05cae6a63dbca4d3cd015eddf6dc1a4b6231d71bd12df0bb42fbec78</x:v>
      </x:c>
      <x:c r="Q1050" s="30" t="str">
        <x:v>incoming/raw/recovery-drop-01/society_egkr_spring_visual_assets_v101.zip!/pages/VIS-EGKR-SOC-S26-TASK-957-P002.png</x:v>
      </x:c>
      <x:c r="R1050" s="30" t="str">
        <x:v>MATCHED_ASSET</x:v>
      </x:c>
      <x:c r="S1050" t="e">
        <x:f>HYPERLINK("visual_gallery/index.html#"&amp;A1050,"Галерея")</x:f>
      </x:c>
    </x:row>
    <x:row r="1051">
      <x:c r="A1051" s="87" t="str">
        <x:v>VIS-EGKR-SOC-S26-TASK-957-P003</x:v>
      </x:c>
      <x:c r="B1051" s="30" t="str">
        <x:v>Обществознание</x:v>
      </x:c>
      <x:c r="C1051" s="30"/>
      <x:c r="D1051" s="30" t="str">
        <x:v>957</x:v>
      </x:c>
      <x:c r="E1051" s="87" t="str">
        <x:v>TASK</x:v>
      </x:c>
      <x:c r="F1051" s="30" t="str">
        <x:v>ЕГКР 957.pdf</x:v>
      </x:c>
      <x:c r="G1051" s="87" t="str">
        <x:v>3</x:v>
      </x:c>
      <x:c r="H1051" s="87" t="str">
        <x:v>v1.01</x:v>
      </x:c>
      <x:c r="I1051" s="87" t="str">
        <x:v>2</x:v>
      </x:c>
      <x:c r="J1051" s="30" t="str">
        <x:v>VIS_ID</x:v>
      </x:c>
      <x:c r="K1051" s="30" t="str">
        <x:v>EGKR-S26-SOC-957-03, EGKR-S26-SOC-957-04</x:v>
      </x:c>
      <x:c r="L1051" s="87" t="str">
        <x:v>CROP_VERIFIED</x:v>
      </x:c>
      <x:c r="M1051" s="87" t="str">
        <x:v>ORIGINAL_PACKAGE</x:v>
      </x:c>
      <x:c r="N1051" s="87" t="str">
        <x:v>pages/VIS-EGKR-SOC-S26-TASK-957-P003.png</x:v>
      </x:c>
      <x:c r="O1051" s="87" t="str">
        <x:v>thumbnails/VIS-EGKR-SOC-S26-TASK-957-P003.jpg</x:v>
      </x:c>
      <x:c r="P1051" s="87" t="str">
        <x:v>e503957bfaf1be7695be829c967821dd8996fea4932218fbe3d93503f50afa21</x:v>
      </x:c>
      <x:c r="Q1051" s="30" t="str">
        <x:v>incoming/raw/recovery-drop-01/society_egkr_spring_visual_assets_v101.zip!/pages/VIS-EGKR-SOC-S26-TASK-957-P003.png</x:v>
      </x:c>
      <x:c r="R1051" s="30" t="str">
        <x:v>MATCHED_ASSET</x:v>
      </x:c>
      <x:c r="S1051" t="e">
        <x:f>HYPERLINK("visual_gallery/index.html#"&amp;A1051,"Галерея")</x:f>
      </x:c>
    </x:row>
    <x:row r="1052">
      <x:c r="A1052" s="87" t="str">
        <x:v>VIS-EGKR-SOC-S26-TASK-957-P004</x:v>
      </x:c>
      <x:c r="B1052" s="30" t="str">
        <x:v>Обществознание</x:v>
      </x:c>
      <x:c r="C1052" s="30"/>
      <x:c r="D1052" s="30" t="str">
        <x:v>957</x:v>
      </x:c>
      <x:c r="E1052" s="87" t="str">
        <x:v>TASK</x:v>
      </x:c>
      <x:c r="F1052" s="30" t="str">
        <x:v>ЕГКР 957.pdf</x:v>
      </x:c>
      <x:c r="G1052" s="87" t="str">
        <x:v>4</x:v>
      </x:c>
      <x:c r="H1052" s="87" t="str">
        <x:v>v1.01</x:v>
      </x:c>
      <x:c r="I1052" s="87" t="str">
        <x:v>2</x:v>
      </x:c>
      <x:c r="J1052" s="30" t="str">
        <x:v>VIS_ID</x:v>
      </x:c>
      <x:c r="K1052" s="30" t="str">
        <x:v>EGKR-S26-SOC-957-05, EGKR-S26-SOC-957-06</x:v>
      </x:c>
      <x:c r="L1052" s="87" t="str">
        <x:v>CROP_VERIFIED</x:v>
      </x:c>
      <x:c r="M1052" s="87" t="str">
        <x:v>ORIGINAL_PACKAGE</x:v>
      </x:c>
      <x:c r="N1052" s="87" t="str">
        <x:v>pages/VIS-EGKR-SOC-S26-TASK-957-P004.png</x:v>
      </x:c>
      <x:c r="O1052" s="87" t="str">
        <x:v>thumbnails/VIS-EGKR-SOC-S26-TASK-957-P004.jpg</x:v>
      </x:c>
      <x:c r="P1052" s="87" t="str">
        <x:v>af17b7d9deab2772c9a7c7fb55dfe7698c8cf63196eff5c31bbd84257084cd09</x:v>
      </x:c>
      <x:c r="Q1052" s="30" t="str">
        <x:v>incoming/raw/recovery-drop-01/society_egkr_spring_visual_assets_v101.zip!/pages/VIS-EGKR-SOC-S26-TASK-957-P004.png</x:v>
      </x:c>
      <x:c r="R1052" s="30" t="str">
        <x:v>MATCHED_ASSET</x:v>
      </x:c>
      <x:c r="S1052" t="e">
        <x:f>HYPERLINK("visual_gallery/index.html#"&amp;A1052,"Галерея")</x:f>
      </x:c>
    </x:row>
    <x:row r="1053">
      <x:c r="A1053" s="87" t="str">
        <x:v>VIS-EGKR-SOC-S26-TASK-957-P005</x:v>
      </x:c>
      <x:c r="B1053" s="30" t="str">
        <x:v>Обществознание</x:v>
      </x:c>
      <x:c r="C1053" s="30"/>
      <x:c r="D1053" s="30" t="str">
        <x:v>957</x:v>
      </x:c>
      <x:c r="E1053" s="87" t="str">
        <x:v>TASK</x:v>
      </x:c>
      <x:c r="F1053" s="30" t="str">
        <x:v>ЕГКР 957.pdf</x:v>
      </x:c>
      <x:c r="G1053" s="87" t="str">
        <x:v>5</x:v>
      </x:c>
      <x:c r="H1053" s="87" t="str">
        <x:v>v1.01</x:v>
      </x:c>
      <x:c r="I1053" s="87" t="str">
        <x:v>2</x:v>
      </x:c>
      <x:c r="J1053" s="30" t="str">
        <x:v>VIS_ID</x:v>
      </x:c>
      <x:c r="K1053" s="30" t="str">
        <x:v>EGKR-S26-SOC-957-07, EGKR-S26-SOC-957-08</x:v>
      </x:c>
      <x:c r="L1053" s="87" t="str">
        <x:v>CROP_VERIFIED</x:v>
      </x:c>
      <x:c r="M1053" s="87" t="str">
        <x:v>ORIGINAL_PACKAGE</x:v>
      </x:c>
      <x:c r="N1053" s="87" t="str">
        <x:v>pages/VIS-EGKR-SOC-S26-TASK-957-P005.png</x:v>
      </x:c>
      <x:c r="O1053" s="87" t="str">
        <x:v>thumbnails/VIS-EGKR-SOC-S26-TASK-957-P005.jpg</x:v>
      </x:c>
      <x:c r="P1053" s="87" t="str">
        <x:v>e636a5c5b0c7debb8717fbcf731eb9c595138b7bc34f95fead4989af2505243c</x:v>
      </x:c>
      <x:c r="Q1053" s="30" t="str">
        <x:v>incoming/raw/recovery-drop-01/society_egkr_spring_visual_assets_v101.zip!/pages/VIS-EGKR-SOC-S26-TASK-957-P005.png</x:v>
      </x:c>
      <x:c r="R1053" s="30" t="str">
        <x:v>MATCHED_ASSET</x:v>
      </x:c>
      <x:c r="S1053" t="e">
        <x:f>HYPERLINK("visual_gallery/index.html#"&amp;A1053,"Галерея")</x:f>
      </x:c>
    </x:row>
    <x:row r="1054">
      <x:c r="A1054" s="87" t="str">
        <x:v>VIS-EGKR-SOC-S26-TASK-957-P006</x:v>
      </x:c>
      <x:c r="B1054" s="30" t="str">
        <x:v>Обществознание</x:v>
      </x:c>
      <x:c r="C1054" s="30"/>
      <x:c r="D1054" s="30" t="str">
        <x:v>957</x:v>
      </x:c>
      <x:c r="E1054" s="87" t="str">
        <x:v>TASK</x:v>
      </x:c>
      <x:c r="F1054" s="30" t="str">
        <x:v>ЕГКР 957.pdf</x:v>
      </x:c>
      <x:c r="G1054" s="87" t="str">
        <x:v>6</x:v>
      </x:c>
      <x:c r="H1054" s="87" t="str">
        <x:v>v1.01</x:v>
      </x:c>
      <x:c r="I1054" s="87" t="str">
        <x:v>1</x:v>
      </x:c>
      <x:c r="J1054" s="30" t="str">
        <x:v>VIS_ID</x:v>
      </x:c>
      <x:c r="K1054" s="30" t="str">
        <x:v>EGKR-S26-SOC-957-09</x:v>
      </x:c>
      <x:c r="L1054" s="87" t="str">
        <x:v>CROP_VERIFIED</x:v>
      </x:c>
      <x:c r="M1054" s="87" t="str">
        <x:v>ORIGINAL_PACKAGE</x:v>
      </x:c>
      <x:c r="N1054" s="87" t="str">
        <x:v>pages/VIS-EGKR-SOC-S26-TASK-957-P006.png</x:v>
      </x:c>
      <x:c r="O1054" s="87" t="str">
        <x:v>thumbnails/VIS-EGKR-SOC-S26-TASK-957-P006.jpg</x:v>
      </x:c>
      <x:c r="P1054" s="87" t="str">
        <x:v>1c973f425120abd60e0ad67b3a34eaf712b9fe8f0a718883208458cdeff28bf8</x:v>
      </x:c>
      <x:c r="Q1054" s="30" t="str">
        <x:v>incoming/raw/recovery-drop-01/society_egkr_spring_visual_assets_v101.zip!/pages/VIS-EGKR-SOC-S26-TASK-957-P006.png</x:v>
      </x:c>
      <x:c r="R1054" s="30" t="str">
        <x:v>MATCHED_ASSET</x:v>
      </x:c>
      <x:c r="S1054" t="e">
        <x:f>HYPERLINK("visual_gallery/index.html#"&amp;A1054,"Галерея")</x:f>
      </x:c>
    </x:row>
    <x:row r="1055">
      <x:c r="A1055" s="87" t="str">
        <x:v>VIS-EGKR-SOC-S26-TASK-957-P007</x:v>
      </x:c>
      <x:c r="B1055" s="30" t="str">
        <x:v>Обществознание</x:v>
      </x:c>
      <x:c r="C1055" s="30"/>
      <x:c r="D1055" s="30" t="str">
        <x:v>957</x:v>
      </x:c>
      <x:c r="E1055" s="87" t="str">
        <x:v>TASK</x:v>
      </x:c>
      <x:c r="F1055" s="30" t="str">
        <x:v>ЕГКР 957.pdf</x:v>
      </x:c>
      <x:c r="G1055" s="87" t="str">
        <x:v>7</x:v>
      </x:c>
      <x:c r="H1055" s="87" t="str">
        <x:v>v1.01</x:v>
      </x:c>
      <x:c r="I1055" s="87" t="str">
        <x:v>2</x:v>
      </x:c>
      <x:c r="J1055" s="30" t="str">
        <x:v>VIS_ID</x:v>
      </x:c>
      <x:c r="K1055" s="30" t="str">
        <x:v>EGKR-S26-SOC-957-10, EGKR-S26-SOC-957-11</x:v>
      </x:c>
      <x:c r="L1055" s="87" t="str">
        <x:v>CROP_VERIFIED</x:v>
      </x:c>
      <x:c r="M1055" s="87" t="str">
        <x:v>ORIGINAL_PACKAGE</x:v>
      </x:c>
      <x:c r="N1055" s="87" t="str">
        <x:v>pages/VIS-EGKR-SOC-S26-TASK-957-P007.png</x:v>
      </x:c>
      <x:c r="O1055" s="87" t="str">
        <x:v>thumbnails/VIS-EGKR-SOC-S26-TASK-957-P007.jpg</x:v>
      </x:c>
      <x:c r="P1055" s="87" t="str">
        <x:v>68191238196c5f33b39909c6fb7fd91551640e67974f30b5506fb5ba03280b7a</x:v>
      </x:c>
      <x:c r="Q1055" s="30" t="str">
        <x:v>incoming/raw/recovery-drop-01/society_egkr_spring_visual_assets_v101.zip!/pages/VIS-EGKR-SOC-S26-TASK-957-P007.png</x:v>
      </x:c>
      <x:c r="R1055" s="30" t="str">
        <x:v>MATCHED_ASSET</x:v>
      </x:c>
      <x:c r="S1055" t="e">
        <x:f>HYPERLINK("visual_gallery/index.html#"&amp;A1055,"Галерея")</x:f>
      </x:c>
    </x:row>
    <x:row r="1056">
      <x:c r="A1056" s="87" t="str">
        <x:v>VIS-EGKR-SOC-S26-TASK-957-P008</x:v>
      </x:c>
      <x:c r="B1056" s="30" t="str">
        <x:v>Обществознание</x:v>
      </x:c>
      <x:c r="C1056" s="30"/>
      <x:c r="D1056" s="30" t="str">
        <x:v>957</x:v>
      </x:c>
      <x:c r="E1056" s="87" t="str">
        <x:v>TASK</x:v>
      </x:c>
      <x:c r="F1056" s="30" t="str">
        <x:v>ЕГКР 957.pdf</x:v>
      </x:c>
      <x:c r="G1056" s="87" t="str">
        <x:v>8</x:v>
      </x:c>
      <x:c r="H1056" s="87" t="str">
        <x:v>v1.01</x:v>
      </x:c>
      <x:c r="I1056" s="87" t="str">
        <x:v>2</x:v>
      </x:c>
      <x:c r="J1056" s="30" t="str">
        <x:v>VIS_ID</x:v>
      </x:c>
      <x:c r="K1056" s="30" t="str">
        <x:v>EGKR-S26-SOC-957-12, EGKR-S26-SOC-957-13</x:v>
      </x:c>
      <x:c r="L1056" s="87" t="str">
        <x:v>CROP_VERIFIED</x:v>
      </x:c>
      <x:c r="M1056" s="87" t="str">
        <x:v>ORIGINAL_PACKAGE</x:v>
      </x:c>
      <x:c r="N1056" s="87" t="str">
        <x:v>pages/VIS-EGKR-SOC-S26-TASK-957-P008.png</x:v>
      </x:c>
      <x:c r="O1056" s="87" t="str">
        <x:v>thumbnails/VIS-EGKR-SOC-S26-TASK-957-P008.jpg</x:v>
      </x:c>
      <x:c r="P1056" s="87" t="str">
        <x:v>590f174f134687b1f8d4be65292b39d3de8953333296fd1c921aaba58b20ed41</x:v>
      </x:c>
      <x:c r="Q1056" s="30" t="str">
        <x:v>incoming/raw/recovery-drop-01/society_egkr_spring_visual_assets_v101.zip!/pages/VIS-EGKR-SOC-S26-TASK-957-P008.png</x:v>
      </x:c>
      <x:c r="R1056" s="30" t="str">
        <x:v>MATCHED_ASSET</x:v>
      </x:c>
      <x:c r="S1056" t="e">
        <x:f>HYPERLINK("visual_gallery/index.html#"&amp;A1056,"Галерея")</x:f>
      </x:c>
    </x:row>
    <x:row r="1057">
      <x:c r="A1057" s="87" t="str">
        <x:v>VIS-EGKR-SOC-S26-TASK-957-P009</x:v>
      </x:c>
      <x:c r="B1057" s="30" t="str">
        <x:v>Обществознание</x:v>
      </x:c>
      <x:c r="C1057" s="30"/>
      <x:c r="D1057" s="30" t="str">
        <x:v>957</x:v>
      </x:c>
      <x:c r="E1057" s="87" t="str">
        <x:v>TASK</x:v>
      </x:c>
      <x:c r="F1057" s="30" t="str">
        <x:v>ЕГКР 957.pdf</x:v>
      </x:c>
      <x:c r="G1057" s="87" t="str">
        <x:v>9</x:v>
      </x:c>
      <x:c r="H1057" s="87" t="str">
        <x:v>v1.01</x:v>
      </x:c>
      <x:c r="I1057" s="87" t="str">
        <x:v>2</x:v>
      </x:c>
      <x:c r="J1057" s="30" t="str">
        <x:v>VIS_ID</x:v>
      </x:c>
      <x:c r="K1057" s="30" t="str">
        <x:v>EGKR-S26-SOC-957-14, EGKR-S26-SOC-957-15</x:v>
      </x:c>
      <x:c r="L1057" s="87" t="str">
        <x:v>CROP_VERIFIED</x:v>
      </x:c>
      <x:c r="M1057" s="87" t="str">
        <x:v>ORIGINAL_PACKAGE</x:v>
      </x:c>
      <x:c r="N1057" s="87" t="str">
        <x:v>pages/VIS-EGKR-SOC-S26-TASK-957-P009.png</x:v>
      </x:c>
      <x:c r="O1057" s="87" t="str">
        <x:v>thumbnails/VIS-EGKR-SOC-S26-TASK-957-P009.jpg</x:v>
      </x:c>
      <x:c r="P1057" s="87" t="str">
        <x:v>615e1c1f18cd641dab9f2bfd6af9eb73516c7096b57cb026605a4c865b2d3142</x:v>
      </x:c>
      <x:c r="Q1057" s="30" t="str">
        <x:v>incoming/raw/recovery-drop-01/society_egkr_spring_visual_assets_v101.zip!/pages/VIS-EGKR-SOC-S26-TASK-957-P009.png</x:v>
      </x:c>
      <x:c r="R1057" s="30" t="str">
        <x:v>MATCHED_ASSET</x:v>
      </x:c>
      <x:c r="S1057" t="e">
        <x:f>HYPERLINK("visual_gallery/index.html#"&amp;A1057,"Галерея")</x:f>
      </x:c>
    </x:row>
    <x:row r="1058">
      <x:c r="A1058" s="87" t="str">
        <x:v>VIS-EGKR-SOC-S26-TASK-957-P010</x:v>
      </x:c>
      <x:c r="B1058" s="30" t="str">
        <x:v>Обществознание</x:v>
      </x:c>
      <x:c r="C1058" s="30"/>
      <x:c r="D1058" s="30" t="str">
        <x:v>957</x:v>
      </x:c>
      <x:c r="E1058" s="87" t="str">
        <x:v>TASK</x:v>
      </x:c>
      <x:c r="F1058" s="30" t="str">
        <x:v>ЕГКР 957.pdf</x:v>
      </x:c>
      <x:c r="G1058" s="87" t="str">
        <x:v>10</x:v>
      </x:c>
      <x:c r="H1058" s="87" t="str">
        <x:v>v1.01</x:v>
      </x:c>
      <x:c r="I1058" s="87" t="str">
        <x:v>1</x:v>
      </x:c>
      <x:c r="J1058" s="30" t="str">
        <x:v>VIS_ID</x:v>
      </x:c>
      <x:c r="K1058" s="30" t="str">
        <x:v>EGKR-S26-SOC-957-16</x:v>
      </x:c>
      <x:c r="L1058" s="87" t="str">
        <x:v>CROP_VERIFIED</x:v>
      </x:c>
      <x:c r="M1058" s="87" t="str">
        <x:v>ORIGINAL_PACKAGE</x:v>
      </x:c>
      <x:c r="N1058" s="87" t="str">
        <x:v>pages/VIS-EGKR-SOC-S26-TASK-957-P010.png</x:v>
      </x:c>
      <x:c r="O1058" s="87" t="str">
        <x:v>thumbnails/VIS-EGKR-SOC-S26-TASK-957-P010.jpg</x:v>
      </x:c>
      <x:c r="P1058" s="87" t="str">
        <x:v>b463b1affbe1b2ad331eed863b31466ba7a22c58de1688ca06710cff3acbc233</x:v>
      </x:c>
      <x:c r="Q1058" s="30" t="str">
        <x:v>incoming/raw/recovery-drop-01/society_egkr_spring_visual_assets_v101.zip!/pages/VIS-EGKR-SOC-S26-TASK-957-P010.png</x:v>
      </x:c>
      <x:c r="R1058" s="30" t="str">
        <x:v>MATCHED_ASSET</x:v>
      </x:c>
      <x:c r="S1058" t="e">
        <x:f>HYPERLINK("visual_gallery/index.html#"&amp;A1058,"Галерея")</x:f>
      </x:c>
    </x:row>
    <x:row r="1059">
      <x:c r="A1059" s="87" t="str">
        <x:v>VIS-EGKR-SOC-S26-TASK-957-P011</x:v>
      </x:c>
      <x:c r="B1059" s="30" t="str">
        <x:v>Обществознание</x:v>
      </x:c>
      <x:c r="C1059" s="30"/>
      <x:c r="D1059" s="30" t="str">
        <x:v>957</x:v>
      </x:c>
      <x:c r="E1059" s="87" t="str">
        <x:v>TASK</x:v>
      </x:c>
      <x:c r="F1059" s="30" t="str">
        <x:v>ЕГКР 957.pdf</x:v>
      </x:c>
      <x:c r="G1059" s="87" t="str">
        <x:v>11</x:v>
      </x:c>
      <x:c r="H1059" s="87" t="str">
        <x:v>v1.01</x:v>
      </x:c>
      <x:c r="I1059" s="87" t="str">
        <x:v>4</x:v>
      </x:c>
      <x:c r="J1059" s="30" t="str">
        <x:v>VIS_ID</x:v>
      </x:c>
      <x:c r="K1059" s="30" t="str">
        <x:v>EGKR-S26-SOC-957-17, EGKR-S26-SOC-957-18, EGKR-S26-SOC-957-19, EGKR-S26-SOC-957-20</x:v>
      </x:c>
      <x:c r="L1059" s="87" t="str">
        <x:v>CROP_VERIFIED</x:v>
      </x:c>
      <x:c r="M1059" s="87" t="str">
        <x:v>ORIGINAL_PACKAGE</x:v>
      </x:c>
      <x:c r="N1059" s="87" t="str">
        <x:v>pages/VIS-EGKR-SOC-S26-TASK-957-P011.png</x:v>
      </x:c>
      <x:c r="O1059" s="87" t="str">
        <x:v>thumbnails/VIS-EGKR-SOC-S26-TASK-957-P011.jpg</x:v>
      </x:c>
      <x:c r="P1059" s="87" t="str">
        <x:v>d76a22e86024690e9b20787b4a11faf60ca1741069d39ca686482f6895bafbee</x:v>
      </x:c>
      <x:c r="Q1059" s="30" t="str">
        <x:v>incoming/raw/recovery-drop-01/society_egkr_spring_visual_assets_v101.zip!/pages/VIS-EGKR-SOC-S26-TASK-957-P011.png</x:v>
      </x:c>
      <x:c r="R1059" s="30" t="str">
        <x:v>MATCHED_ASSET</x:v>
      </x:c>
      <x:c r="S1059" t="e">
        <x:f>HYPERLINK("visual_gallery/index.html#"&amp;A1059,"Галерея")</x:f>
      </x:c>
    </x:row>
    <x:row r="1060">
      <x:c r="A1060" s="87" t="str">
        <x:v>VIS-EGKR-SOC-S26-TASK-957-P012</x:v>
      </x:c>
      <x:c r="B1060" s="30" t="str">
        <x:v>Обществознание</x:v>
      </x:c>
      <x:c r="C1060" s="30"/>
      <x:c r="D1060" s="30" t="str">
        <x:v>957</x:v>
      </x:c>
      <x:c r="E1060" s="87" t="str">
        <x:v>TASK</x:v>
      </x:c>
      <x:c r="F1060" s="30" t="str">
        <x:v>ЕГКР 957.pdf</x:v>
      </x:c>
      <x:c r="G1060" s="87" t="str">
        <x:v>12</x:v>
      </x:c>
      <x:c r="H1060" s="87" t="str">
        <x:v>v1.01</x:v>
      </x:c>
      <x:c r="I1060" s="87" t="str">
        <x:v>2</x:v>
      </x:c>
      <x:c r="J1060" s="30" t="str">
        <x:v>VIS_ID</x:v>
      </x:c>
      <x:c r="K1060" s="30" t="str">
        <x:v>EGKR-S26-SOC-957-21, EGKR-S26-SOC-957-22</x:v>
      </x:c>
      <x:c r="L1060" s="87" t="str">
        <x:v>CROP_VERIFIED</x:v>
      </x:c>
      <x:c r="M1060" s="87" t="str">
        <x:v>ORIGINAL_PACKAGE</x:v>
      </x:c>
      <x:c r="N1060" s="87" t="str">
        <x:v>pages/VIS-EGKR-SOC-S26-TASK-957-P012.png</x:v>
      </x:c>
      <x:c r="O1060" s="87" t="str">
        <x:v>thumbnails/VIS-EGKR-SOC-S26-TASK-957-P012.jpg</x:v>
      </x:c>
      <x:c r="P1060" s="87" t="str">
        <x:v>37bdd76ed197505e8585fbb7d6cea1bbc31614db1b25d09453357ac230ad09a3</x:v>
      </x:c>
      <x:c r="Q1060" s="30" t="str">
        <x:v>incoming/raw/recovery-drop-01/society_egkr_spring_visual_assets_v101.zip!/pages/VIS-EGKR-SOC-S26-TASK-957-P012.png</x:v>
      </x:c>
      <x:c r="R1060" s="30" t="str">
        <x:v>MATCHED_ASSET</x:v>
      </x:c>
      <x:c r="S1060" t="e">
        <x:f>HYPERLINK("visual_gallery/index.html#"&amp;A1060,"Галерея")</x:f>
      </x:c>
    </x:row>
    <x:row r="1061">
      <x:c r="A1061" s="87" t="str">
        <x:v>VIS-EGKR-SOC-S26-TASK-957-P013</x:v>
      </x:c>
      <x:c r="B1061" s="30" t="str">
        <x:v>Обществознание</x:v>
      </x:c>
      <x:c r="C1061" s="30"/>
      <x:c r="D1061" s="30" t="str">
        <x:v>957</x:v>
      </x:c>
      <x:c r="E1061" s="87" t="str">
        <x:v>TASK</x:v>
      </x:c>
      <x:c r="F1061" s="30" t="str">
        <x:v>ЕГКР 957.pdf</x:v>
      </x:c>
      <x:c r="G1061" s="87" t="str">
        <x:v>13</x:v>
      </x:c>
      <x:c r="H1061" s="87" t="str">
        <x:v>v1.01</x:v>
      </x:c>
      <x:c r="I1061" s="87" t="str">
        <x:v>3</x:v>
      </x:c>
      <x:c r="J1061" s="30" t="str">
        <x:v>VIS_ID</x:v>
      </x:c>
      <x:c r="K1061" s="30" t="str">
        <x:v>EGKR-S26-SOC-957-23, EGKR-S26-SOC-957-24, EGKR-S26-SOC-957-25</x:v>
      </x:c>
      <x:c r="L1061" s="87" t="str">
        <x:v>CROP_VERIFIED</x:v>
      </x:c>
      <x:c r="M1061" s="87" t="str">
        <x:v>ORIGINAL_PACKAGE</x:v>
      </x:c>
      <x:c r="N1061" s="87" t="str">
        <x:v>pages/VIS-EGKR-SOC-S26-TASK-957-P013.png</x:v>
      </x:c>
      <x:c r="O1061" s="87" t="str">
        <x:v>thumbnails/VIS-EGKR-SOC-S26-TASK-957-P013.jpg</x:v>
      </x:c>
      <x:c r="P1061" s="87" t="str">
        <x:v>37fff3fc26eb731fe2cfc4473d9f47f807d11a1f6961e380c52367070fdd6cf5</x:v>
      </x:c>
      <x:c r="Q1061" s="30" t="str">
        <x:v>incoming/raw/recovery-drop-01/society_egkr_spring_visual_assets_v101.zip!/pages/VIS-EGKR-SOC-S26-TASK-957-P013.png</x:v>
      </x:c>
      <x:c r="R1061" s="30" t="str">
        <x:v>MATCHED_ASSET</x:v>
      </x:c>
      <x:c r="S1061" t="e">
        <x:f>HYPERLINK("visual_gallery/index.html#"&amp;A1061,"Галерея")</x:f>
      </x:c>
    </x:row>
    <x:row r="1062">
      <x:c r="A1062" s="87" t="str">
        <x:v>VIS-EGKR-SOC-S26-TASK-958-P001</x:v>
      </x:c>
      <x:c r="B1062" s="30" t="str"/>
      <x:c r="C1062" s="30"/>
      <x:c r="D1062" s="30" t="str">
        <x:v>958</x:v>
      </x:c>
      <x:c r="E1062" s="87" t="str">
        <x:v>TASK</x:v>
      </x:c>
      <x:c r="F1062" s="30" t="str">
        <x:v>ЕГКР 958.pdf</x:v>
      </x:c>
      <x:c r="G1062" s="87" t="str">
        <x:v>1</x:v>
      </x:c>
      <x:c r="H1062" s="87" t="str">
        <x:v>v1.01</x:v>
      </x:c>
      <x:c r="I1062" s="87" t="str">
        <x:v>0</x:v>
      </x:c>
      <x:c r="J1062" s="30" t="str"/>
      <x:c r="K1062" s="30" t="str"/>
      <x:c r="L1062" s="87" t="str">
        <x:v>CROP_VERIFIED</x:v>
      </x:c>
      <x:c r="M1062" s="87" t="str">
        <x:v>ORIGINAL_PACKAGE</x:v>
      </x:c>
      <x:c r="N1062" s="87" t="str">
        <x:v>pages/VIS-EGKR-SOC-S26-TASK-958-P001.png</x:v>
      </x:c>
      <x:c r="O1062" s="87" t="str">
        <x:v>thumbnails/VIS-EGKR-SOC-S26-TASK-958-P001.jpg</x:v>
      </x:c>
      <x:c r="P1062" s="87" t="str">
        <x:v>efa8d2e1df77e36a0cd86ee1a4dbb859f23cbe1f01b94083cc63642363dc126d</x:v>
      </x:c>
      <x:c r="Q1062" s="30" t="str">
        <x:v>incoming/raw/recovery-drop-01/society_egkr_spring_visual_assets_v101.zip!/pages/VIS-EGKR-SOC-S26-TASK-957-P001.png</x:v>
      </x:c>
      <x:c r="R1062" s="30" t="str">
        <x:v>RESOLVED_UNLINKED_REGISTRY_VISUAL</x:v>
      </x:c>
      <x:c r="S1062" t="e">
        <x:f>HYPERLINK("visual_gallery/index.html#"&amp;A1062,"Галерея")</x:f>
      </x:c>
    </x:row>
    <x:row r="1063">
      <x:c r="A1063" s="87" t="str">
        <x:v>VIS-EGKR-SOC-S26-TASK-958-P002</x:v>
      </x:c>
      <x:c r="B1063" s="30" t="str">
        <x:v>Обществознание</x:v>
      </x:c>
      <x:c r="C1063" s="30"/>
      <x:c r="D1063" s="30" t="str">
        <x:v>958</x:v>
      </x:c>
      <x:c r="E1063" s="87" t="str">
        <x:v>TASK</x:v>
      </x:c>
      <x:c r="F1063" s="30" t="str">
        <x:v>ЕГКР 958.pdf</x:v>
      </x:c>
      <x:c r="G1063" s="87" t="str">
        <x:v>2</x:v>
      </x:c>
      <x:c r="H1063" s="87" t="str">
        <x:v>v1.01</x:v>
      </x:c>
      <x:c r="I1063" s="87" t="str">
        <x:v>2</x:v>
      </x:c>
      <x:c r="J1063" s="30" t="str">
        <x:v>VIS_ID</x:v>
      </x:c>
      <x:c r="K1063" s="30" t="str">
        <x:v>EGKR-S26-SOC-958-01, EGKR-S26-SOC-958-02</x:v>
      </x:c>
      <x:c r="L1063" s="87" t="str">
        <x:v>CROP_VERIFIED</x:v>
      </x:c>
      <x:c r="M1063" s="87" t="str">
        <x:v>ORIGINAL_PACKAGE</x:v>
      </x:c>
      <x:c r="N1063" s="87" t="str">
        <x:v>pages/VIS-EGKR-SOC-S26-TASK-958-P002.png</x:v>
      </x:c>
      <x:c r="O1063" s="87" t="str">
        <x:v>thumbnails/VIS-EGKR-SOC-S26-TASK-958-P002.jpg</x:v>
      </x:c>
      <x:c r="P1063" s="87" t="str">
        <x:v>5692f0b8a6e46c8b85119e495da488dd4d092b2c2dbadd25b49aa64e6882ea31</x:v>
      </x:c>
      <x:c r="Q1063" s="30" t="str">
        <x:v>incoming/raw/recovery-drop-01/society_egkr_spring_visual_assets_v101.zip!/pages/VIS-EGKR-SOC-S26-TASK-958-P002.png</x:v>
      </x:c>
      <x:c r="R1063" s="30" t="str">
        <x:v>MATCHED_ASSET</x:v>
      </x:c>
      <x:c r="S1063" t="e">
        <x:f>HYPERLINK("visual_gallery/index.html#"&amp;A1063,"Галерея")</x:f>
      </x:c>
    </x:row>
    <x:row r="1064">
      <x:c r="A1064" s="87" t="str">
        <x:v>VIS-EGKR-SOC-S26-TASK-958-P003</x:v>
      </x:c>
      <x:c r="B1064" s="30" t="str">
        <x:v>Обществознание</x:v>
      </x:c>
      <x:c r="C1064" s="30"/>
      <x:c r="D1064" s="30" t="str">
        <x:v>958</x:v>
      </x:c>
      <x:c r="E1064" s="87" t="str">
        <x:v>TASK</x:v>
      </x:c>
      <x:c r="F1064" s="30" t="str">
        <x:v>ЕГКР 958.pdf</x:v>
      </x:c>
      <x:c r="G1064" s="87" t="str">
        <x:v>3</x:v>
      </x:c>
      <x:c r="H1064" s="87" t="str">
        <x:v>v1.01</x:v>
      </x:c>
      <x:c r="I1064" s="87" t="str">
        <x:v>2</x:v>
      </x:c>
      <x:c r="J1064" s="30" t="str">
        <x:v>VIS_ID</x:v>
      </x:c>
      <x:c r="K1064" s="30" t="str">
        <x:v>EGKR-S26-SOC-958-03, EGKR-S26-SOC-958-04</x:v>
      </x:c>
      <x:c r="L1064" s="87" t="str">
        <x:v>CROP_VERIFIED</x:v>
      </x:c>
      <x:c r="M1064" s="87" t="str">
        <x:v>ORIGINAL_PACKAGE</x:v>
      </x:c>
      <x:c r="N1064" s="87" t="str">
        <x:v>pages/VIS-EGKR-SOC-S26-TASK-958-P003.png</x:v>
      </x:c>
      <x:c r="O1064" s="87" t="str">
        <x:v>thumbnails/VIS-EGKR-SOC-S26-TASK-958-P003.jpg</x:v>
      </x:c>
      <x:c r="P1064" s="87" t="str">
        <x:v>5317280485a405bcfd3785671f2c1894d2d1460ed2d1fee8c0926164d19ef1b8</x:v>
      </x:c>
      <x:c r="Q1064" s="30" t="str">
        <x:v>incoming/raw/recovery-drop-01/society_egkr_spring_visual_assets_v101.zip!/pages/VIS-EGKR-SOC-S26-TASK-958-P003.png</x:v>
      </x:c>
      <x:c r="R1064" s="30" t="str">
        <x:v>MATCHED_ASSET</x:v>
      </x:c>
      <x:c r="S1064" t="e">
        <x:f>HYPERLINK("visual_gallery/index.html#"&amp;A1064,"Галерея")</x:f>
      </x:c>
    </x:row>
    <x:row r="1065">
      <x:c r="A1065" s="87" t="str">
        <x:v>VIS-EGKR-SOC-S26-TASK-958-P004</x:v>
      </x:c>
      <x:c r="B1065" s="30" t="str">
        <x:v>Обществознание</x:v>
      </x:c>
      <x:c r="C1065" s="30"/>
      <x:c r="D1065" s="30" t="str">
        <x:v>958</x:v>
      </x:c>
      <x:c r="E1065" s="87" t="str">
        <x:v>TASK</x:v>
      </x:c>
      <x:c r="F1065" s="30" t="str">
        <x:v>ЕГКР 958.pdf</x:v>
      </x:c>
      <x:c r="G1065" s="87" t="str">
        <x:v>4</x:v>
      </x:c>
      <x:c r="H1065" s="87" t="str">
        <x:v>v1.01</x:v>
      </x:c>
      <x:c r="I1065" s="87" t="str">
        <x:v>2</x:v>
      </x:c>
      <x:c r="J1065" s="30" t="str">
        <x:v>VIS_ID</x:v>
      </x:c>
      <x:c r="K1065" s="30" t="str">
        <x:v>EGKR-S26-SOC-958-05, EGKR-S26-SOC-958-06</x:v>
      </x:c>
      <x:c r="L1065" s="87" t="str">
        <x:v>CROP_VERIFIED</x:v>
      </x:c>
      <x:c r="M1065" s="87" t="str">
        <x:v>ORIGINAL_PACKAGE</x:v>
      </x:c>
      <x:c r="N1065" s="87" t="str">
        <x:v>pages/VIS-EGKR-SOC-S26-TASK-958-P004.png</x:v>
      </x:c>
      <x:c r="O1065" s="87" t="str">
        <x:v>thumbnails/VIS-EGKR-SOC-S26-TASK-958-P004.jpg</x:v>
      </x:c>
      <x:c r="P1065" s="87" t="str">
        <x:v>c548df36d4fbed771387d5a9a858780ccc8946bd22be5b1deaa37c89c862959a</x:v>
      </x:c>
      <x:c r="Q1065" s="30" t="str">
        <x:v>incoming/raw/recovery-drop-01/society_egkr_spring_visual_assets_v101.zip!/pages/VIS-EGKR-SOC-S26-TASK-958-P004.png</x:v>
      </x:c>
      <x:c r="R1065" s="30" t="str">
        <x:v>MATCHED_ASSET</x:v>
      </x:c>
      <x:c r="S1065" t="e">
        <x:f>HYPERLINK("visual_gallery/index.html#"&amp;A1065,"Галерея")</x:f>
      </x:c>
    </x:row>
    <x:row r="1066">
      <x:c r="A1066" s="87" t="str">
        <x:v>VIS-EGKR-SOC-S26-TASK-958-P005</x:v>
      </x:c>
      <x:c r="B1066" s="30" t="str">
        <x:v>Обществознание</x:v>
      </x:c>
      <x:c r="C1066" s="30"/>
      <x:c r="D1066" s="30" t="str">
        <x:v>958</x:v>
      </x:c>
      <x:c r="E1066" s="87" t="str">
        <x:v>TASK</x:v>
      </x:c>
      <x:c r="F1066" s="30" t="str">
        <x:v>ЕГКР 958.pdf</x:v>
      </x:c>
      <x:c r="G1066" s="87" t="str">
        <x:v>5</x:v>
      </x:c>
      <x:c r="H1066" s="87" t="str">
        <x:v>v1.01</x:v>
      </x:c>
      <x:c r="I1066" s="87" t="str">
        <x:v>2</x:v>
      </x:c>
      <x:c r="J1066" s="30" t="str">
        <x:v>VIS_ID</x:v>
      </x:c>
      <x:c r="K1066" s="30" t="str">
        <x:v>EGKR-S26-SOC-958-07, EGKR-S26-SOC-958-08</x:v>
      </x:c>
      <x:c r="L1066" s="87" t="str">
        <x:v>CROP_VERIFIED</x:v>
      </x:c>
      <x:c r="M1066" s="87" t="str">
        <x:v>ORIGINAL_PACKAGE</x:v>
      </x:c>
      <x:c r="N1066" s="87" t="str">
        <x:v>pages/VIS-EGKR-SOC-S26-TASK-958-P005.png</x:v>
      </x:c>
      <x:c r="O1066" s="87" t="str">
        <x:v>thumbnails/VIS-EGKR-SOC-S26-TASK-958-P005.jpg</x:v>
      </x:c>
      <x:c r="P1066" s="87" t="str">
        <x:v>34bc821321166e8fbc3aa4ca43b449647ebc53daaa33be88011607a40ea45ef7</x:v>
      </x:c>
      <x:c r="Q1066" s="30" t="str">
        <x:v>incoming/raw/recovery-drop-01/society_egkr_spring_visual_assets_v101.zip!/pages/VIS-EGKR-SOC-S26-TASK-958-P005.png</x:v>
      </x:c>
      <x:c r="R1066" s="30" t="str">
        <x:v>MATCHED_ASSET</x:v>
      </x:c>
      <x:c r="S1066" t="e">
        <x:f>HYPERLINK("visual_gallery/index.html#"&amp;A1066,"Галерея")</x:f>
      </x:c>
    </x:row>
    <x:row r="1067">
      <x:c r="A1067" s="87" t="str">
        <x:v>VIS-EGKR-SOC-S26-TASK-958-P006</x:v>
      </x:c>
      <x:c r="B1067" s="30" t="str">
        <x:v>Обществознание</x:v>
      </x:c>
      <x:c r="C1067" s="30"/>
      <x:c r="D1067" s="30" t="str">
        <x:v>958</x:v>
      </x:c>
      <x:c r="E1067" s="87" t="str">
        <x:v>TASK</x:v>
      </x:c>
      <x:c r="F1067" s="30" t="str">
        <x:v>ЕГКР 958.pdf</x:v>
      </x:c>
      <x:c r="G1067" s="87" t="str">
        <x:v>6</x:v>
      </x:c>
      <x:c r="H1067" s="87" t="str">
        <x:v>v1.01</x:v>
      </x:c>
      <x:c r="I1067" s="87" t="str">
        <x:v>1</x:v>
      </x:c>
      <x:c r="J1067" s="30" t="str">
        <x:v>VIS_ID</x:v>
      </x:c>
      <x:c r="K1067" s="30" t="str">
        <x:v>EGKR-S26-SOC-958-09</x:v>
      </x:c>
      <x:c r="L1067" s="87" t="str">
        <x:v>CROP_VERIFIED</x:v>
      </x:c>
      <x:c r="M1067" s="87" t="str">
        <x:v>ORIGINAL_PACKAGE</x:v>
      </x:c>
      <x:c r="N1067" s="87" t="str">
        <x:v>pages/VIS-EGKR-SOC-S26-TASK-958-P006.png</x:v>
      </x:c>
      <x:c r="O1067" s="87" t="str">
        <x:v>thumbnails/VIS-EGKR-SOC-S26-TASK-958-P006.jpg</x:v>
      </x:c>
      <x:c r="P1067" s="87" t="str">
        <x:v>9c0ecaf94644130e3b3962851ac2c62f0243f4d3698e386e9570edf4541c89b3</x:v>
      </x:c>
      <x:c r="Q1067" s="30" t="str">
        <x:v>incoming/raw/recovery-drop-01/society_egkr_spring_visual_assets_v101.zip!/pages/VIS-EGKR-SOC-S26-TASK-958-P006.png</x:v>
      </x:c>
      <x:c r="R1067" s="30" t="str">
        <x:v>MATCHED_ASSET</x:v>
      </x:c>
      <x:c r="S1067" t="e">
        <x:f>HYPERLINK("visual_gallery/index.html#"&amp;A1067,"Галерея")</x:f>
      </x:c>
    </x:row>
    <x:row r="1068">
      <x:c r="A1068" s="87" t="str">
        <x:v>VIS-EGKR-SOC-S26-TASK-958-P007</x:v>
      </x:c>
      <x:c r="B1068" s="30" t="str">
        <x:v>Обществознание</x:v>
      </x:c>
      <x:c r="C1068" s="30"/>
      <x:c r="D1068" s="30" t="str">
        <x:v>958</x:v>
      </x:c>
      <x:c r="E1068" s="87" t="str">
        <x:v>TASK</x:v>
      </x:c>
      <x:c r="F1068" s="30" t="str">
        <x:v>ЕГКР 958.pdf</x:v>
      </x:c>
      <x:c r="G1068" s="87" t="str">
        <x:v>7</x:v>
      </x:c>
      <x:c r="H1068" s="87" t="str">
        <x:v>v1.01</x:v>
      </x:c>
      <x:c r="I1068" s="87" t="str">
        <x:v>2</x:v>
      </x:c>
      <x:c r="J1068" s="30" t="str">
        <x:v>VIS_ID</x:v>
      </x:c>
      <x:c r="K1068" s="30" t="str">
        <x:v>EGKR-S26-SOC-958-10, EGKR-S26-SOC-958-11</x:v>
      </x:c>
      <x:c r="L1068" s="87" t="str">
        <x:v>CROP_VERIFIED</x:v>
      </x:c>
      <x:c r="M1068" s="87" t="str">
        <x:v>ORIGINAL_PACKAGE</x:v>
      </x:c>
      <x:c r="N1068" s="87" t="str">
        <x:v>pages/VIS-EGKR-SOC-S26-TASK-958-P007.png</x:v>
      </x:c>
      <x:c r="O1068" s="87" t="str">
        <x:v>thumbnails/VIS-EGKR-SOC-S26-TASK-958-P007.jpg</x:v>
      </x:c>
      <x:c r="P1068" s="87" t="str">
        <x:v>2a05c7108144c8a5ec2d526a7411d26a88d21de645ef189c7081769e03d73e14</x:v>
      </x:c>
      <x:c r="Q1068" s="30" t="str">
        <x:v>incoming/raw/recovery-drop-01/society_egkr_spring_visual_assets_v101.zip!/pages/VIS-EGKR-SOC-S26-TASK-958-P007.png</x:v>
      </x:c>
      <x:c r="R1068" s="30" t="str">
        <x:v>MATCHED_ASSET</x:v>
      </x:c>
      <x:c r="S1068" t="e">
        <x:f>HYPERLINK("visual_gallery/index.html#"&amp;A1068,"Галерея")</x:f>
      </x:c>
    </x:row>
    <x:row r="1069">
      <x:c r="A1069" s="87" t="str">
        <x:v>VIS-EGKR-SOC-S26-TASK-958-P008</x:v>
      </x:c>
      <x:c r="B1069" s="30" t="str">
        <x:v>Обществознание</x:v>
      </x:c>
      <x:c r="C1069" s="30"/>
      <x:c r="D1069" s="30" t="str">
        <x:v>958</x:v>
      </x:c>
      <x:c r="E1069" s="87" t="str">
        <x:v>TASK</x:v>
      </x:c>
      <x:c r="F1069" s="30" t="str">
        <x:v>ЕГКР 958.pdf</x:v>
      </x:c>
      <x:c r="G1069" s="87" t="str">
        <x:v>8</x:v>
      </x:c>
      <x:c r="H1069" s="87" t="str">
        <x:v>v1.01</x:v>
      </x:c>
      <x:c r="I1069" s="87" t="str">
        <x:v>2</x:v>
      </x:c>
      <x:c r="J1069" s="30" t="str">
        <x:v>VIS_ID</x:v>
      </x:c>
      <x:c r="K1069" s="30" t="str">
        <x:v>EGKR-S26-SOC-958-12, EGKR-S26-SOC-958-13</x:v>
      </x:c>
      <x:c r="L1069" s="87" t="str">
        <x:v>CROP_VERIFIED</x:v>
      </x:c>
      <x:c r="M1069" s="87" t="str">
        <x:v>ORIGINAL_PACKAGE</x:v>
      </x:c>
      <x:c r="N1069" s="87" t="str">
        <x:v>pages/VIS-EGKR-SOC-S26-TASK-958-P008.png</x:v>
      </x:c>
      <x:c r="O1069" s="87" t="str">
        <x:v>thumbnails/VIS-EGKR-SOC-S26-TASK-958-P008.jpg</x:v>
      </x:c>
      <x:c r="P1069" s="87" t="str">
        <x:v>932faa766515ea94efe9af1e7f08b248c0bf0a4143ea556cf990c429093c1f46</x:v>
      </x:c>
      <x:c r="Q1069" s="30" t="str">
        <x:v>incoming/raw/recovery-drop-01/society_egkr_spring_visual_assets_v101.zip!/pages/VIS-EGKR-SOC-S26-TASK-958-P008.png</x:v>
      </x:c>
      <x:c r="R1069" s="30" t="str">
        <x:v>MATCHED_ASSET</x:v>
      </x:c>
      <x:c r="S1069" t="e">
        <x:f>HYPERLINK("visual_gallery/index.html#"&amp;A1069,"Галерея")</x:f>
      </x:c>
    </x:row>
    <x:row r="1070">
      <x:c r="A1070" s="87" t="str">
        <x:v>VIS-EGKR-SOC-S26-TASK-958-P009</x:v>
      </x:c>
      <x:c r="B1070" s="30" t="str">
        <x:v>Обществознание</x:v>
      </x:c>
      <x:c r="C1070" s="30"/>
      <x:c r="D1070" s="30" t="str">
        <x:v>958</x:v>
      </x:c>
      <x:c r="E1070" s="87" t="str">
        <x:v>TASK</x:v>
      </x:c>
      <x:c r="F1070" s="30" t="str">
        <x:v>ЕГКР 958.pdf</x:v>
      </x:c>
      <x:c r="G1070" s="87" t="str">
        <x:v>9</x:v>
      </x:c>
      <x:c r="H1070" s="87" t="str">
        <x:v>v1.01</x:v>
      </x:c>
      <x:c r="I1070" s="87" t="str">
        <x:v>2</x:v>
      </x:c>
      <x:c r="J1070" s="30" t="str">
        <x:v>VIS_ID</x:v>
      </x:c>
      <x:c r="K1070" s="30" t="str">
        <x:v>EGKR-S26-SOC-958-14, EGKR-S26-SOC-958-15</x:v>
      </x:c>
      <x:c r="L1070" s="87" t="str">
        <x:v>CROP_VERIFIED</x:v>
      </x:c>
      <x:c r="M1070" s="87" t="str">
        <x:v>ORIGINAL_PACKAGE</x:v>
      </x:c>
      <x:c r="N1070" s="87" t="str">
        <x:v>pages/VIS-EGKR-SOC-S26-TASK-958-P009.png</x:v>
      </x:c>
      <x:c r="O1070" s="87" t="str">
        <x:v>thumbnails/VIS-EGKR-SOC-S26-TASK-958-P009.jpg</x:v>
      </x:c>
      <x:c r="P1070" s="87" t="str">
        <x:v>1aa773600ccb4d68667d674f1b6de86db8efee0e2bb284f2f5534b380adad8e1</x:v>
      </x:c>
      <x:c r="Q1070" s="30" t="str">
        <x:v>incoming/raw/recovery-drop-01/society_egkr_spring_visual_assets_v101.zip!/pages/VIS-EGKR-SOC-S26-TASK-958-P009.png</x:v>
      </x:c>
      <x:c r="R1070" s="30" t="str">
        <x:v>MATCHED_ASSET</x:v>
      </x:c>
      <x:c r="S1070" t="e">
        <x:f>HYPERLINK("visual_gallery/index.html#"&amp;A1070,"Галерея")</x:f>
      </x:c>
    </x:row>
    <x:row r="1071">
      <x:c r="A1071" s="87" t="str">
        <x:v>VIS-EGKR-SOC-S26-TASK-958-P010</x:v>
      </x:c>
      <x:c r="B1071" s="30" t="str">
        <x:v>Обществознание</x:v>
      </x:c>
      <x:c r="C1071" s="30"/>
      <x:c r="D1071" s="30" t="str">
        <x:v>958</x:v>
      </x:c>
      <x:c r="E1071" s="87" t="str">
        <x:v>TASK</x:v>
      </x:c>
      <x:c r="F1071" s="30" t="str">
        <x:v>ЕГКР 958.pdf</x:v>
      </x:c>
      <x:c r="G1071" s="87" t="str">
        <x:v>10</x:v>
      </x:c>
      <x:c r="H1071" s="87" t="str">
        <x:v>v1.01</x:v>
      </x:c>
      <x:c r="I1071" s="87" t="str">
        <x:v>1</x:v>
      </x:c>
      <x:c r="J1071" s="30" t="str">
        <x:v>VIS_ID</x:v>
      </x:c>
      <x:c r="K1071" s="30" t="str">
        <x:v>EGKR-S26-SOC-958-16</x:v>
      </x:c>
      <x:c r="L1071" s="87" t="str">
        <x:v>CROP_VERIFIED</x:v>
      </x:c>
      <x:c r="M1071" s="87" t="str">
        <x:v>ORIGINAL_PACKAGE</x:v>
      </x:c>
      <x:c r="N1071" s="87" t="str">
        <x:v>pages/VIS-EGKR-SOC-S26-TASK-958-P010.png</x:v>
      </x:c>
      <x:c r="O1071" s="87" t="str">
        <x:v>thumbnails/VIS-EGKR-SOC-S26-TASK-958-P010.jpg</x:v>
      </x:c>
      <x:c r="P1071" s="87" t="str">
        <x:v>ecac68c16ff34fd4ecf54c650d2dd0908daee085cacf1fcb1ee693fcabf6d934</x:v>
      </x:c>
      <x:c r="Q1071" s="30" t="str">
        <x:v>incoming/raw/recovery-drop-01/society_egkr_spring_visual_assets_v101.zip!/pages/VIS-EGKR-SOC-S26-TASK-958-P010.png</x:v>
      </x:c>
      <x:c r="R1071" s="30" t="str">
        <x:v>MATCHED_ASSET</x:v>
      </x:c>
      <x:c r="S1071" t="e">
        <x:f>HYPERLINK("visual_gallery/index.html#"&amp;A1071,"Галерея")</x:f>
      </x:c>
    </x:row>
    <x:row r="1072">
      <x:c r="A1072" s="87" t="str">
        <x:v>VIS-EGKR-SOC-S26-TASK-958-P011</x:v>
      </x:c>
      <x:c r="B1072" s="30" t="str">
        <x:v>Обществознание</x:v>
      </x:c>
      <x:c r="C1072" s="30"/>
      <x:c r="D1072" s="30" t="str">
        <x:v>958</x:v>
      </x:c>
      <x:c r="E1072" s="87" t="str">
        <x:v>TASK</x:v>
      </x:c>
      <x:c r="F1072" s="30" t="str">
        <x:v>ЕГКР 958.pdf</x:v>
      </x:c>
      <x:c r="G1072" s="87" t="str">
        <x:v>11</x:v>
      </x:c>
      <x:c r="H1072" s="87" t="str">
        <x:v>v1.01</x:v>
      </x:c>
      <x:c r="I1072" s="87" t="str">
        <x:v>4</x:v>
      </x:c>
      <x:c r="J1072" s="30" t="str">
        <x:v>VIS_ID</x:v>
      </x:c>
      <x:c r="K1072" s="30" t="str">
        <x:v>EGKR-S26-SOC-958-17, EGKR-S26-SOC-958-18, EGKR-S26-SOC-958-19, EGKR-S26-SOC-958-20</x:v>
      </x:c>
      <x:c r="L1072" s="87" t="str">
        <x:v>CROP_VERIFIED</x:v>
      </x:c>
      <x:c r="M1072" s="87" t="str">
        <x:v>ORIGINAL_PACKAGE</x:v>
      </x:c>
      <x:c r="N1072" s="87" t="str">
        <x:v>pages/VIS-EGKR-SOC-S26-TASK-958-P011.png</x:v>
      </x:c>
      <x:c r="O1072" s="87" t="str">
        <x:v>thumbnails/VIS-EGKR-SOC-S26-TASK-958-P011.jpg</x:v>
      </x:c>
      <x:c r="P1072" s="87" t="str">
        <x:v>97cd92feacc57be842349aaa4bac613ef53c2fc50dc55fe18a79147fdf62595a</x:v>
      </x:c>
      <x:c r="Q1072" s="30" t="str">
        <x:v>incoming/raw/recovery-drop-01/society_egkr_spring_visual_assets_v101.zip!/pages/VIS-EGKR-SOC-S26-TASK-958-P011.png</x:v>
      </x:c>
      <x:c r="R1072" s="30" t="str">
        <x:v>MATCHED_ASSET</x:v>
      </x:c>
      <x:c r="S1072" t="e">
        <x:f>HYPERLINK("visual_gallery/index.html#"&amp;A1072,"Галерея")</x:f>
      </x:c>
    </x:row>
    <x:row r="1073">
      <x:c r="A1073" s="87" t="str">
        <x:v>VIS-EGKR-SOC-S26-TASK-958-P012</x:v>
      </x:c>
      <x:c r="B1073" s="30" t="str">
        <x:v>Обществознание</x:v>
      </x:c>
      <x:c r="C1073" s="30"/>
      <x:c r="D1073" s="30" t="str">
        <x:v>958</x:v>
      </x:c>
      <x:c r="E1073" s="87" t="str">
        <x:v>TASK</x:v>
      </x:c>
      <x:c r="F1073" s="30" t="str">
        <x:v>ЕГКР 958.pdf</x:v>
      </x:c>
      <x:c r="G1073" s="87" t="str">
        <x:v>12</x:v>
      </x:c>
      <x:c r="H1073" s="87" t="str">
        <x:v>v1.01</x:v>
      </x:c>
      <x:c r="I1073" s="87" t="str">
        <x:v>2</x:v>
      </x:c>
      <x:c r="J1073" s="30" t="str">
        <x:v>VIS_ID</x:v>
      </x:c>
      <x:c r="K1073" s="30" t="str">
        <x:v>EGKR-S26-SOC-958-21, EGKR-S26-SOC-958-22</x:v>
      </x:c>
      <x:c r="L1073" s="87" t="str">
        <x:v>CROP_VERIFIED</x:v>
      </x:c>
      <x:c r="M1073" s="87" t="str">
        <x:v>ORIGINAL_PACKAGE</x:v>
      </x:c>
      <x:c r="N1073" s="87" t="str">
        <x:v>pages/VIS-EGKR-SOC-S26-TASK-958-P012.png</x:v>
      </x:c>
      <x:c r="O1073" s="87" t="str">
        <x:v>thumbnails/VIS-EGKR-SOC-S26-TASK-958-P012.jpg</x:v>
      </x:c>
      <x:c r="P1073" s="87" t="str">
        <x:v>c9d2525c0972a34b594c46dd690e3275b9ac8fb6b312f777f25a06f99a8ce3cb</x:v>
      </x:c>
      <x:c r="Q1073" s="30" t="str">
        <x:v>incoming/raw/recovery-drop-01/society_egkr_spring_visual_assets_v101.zip!/pages/VIS-EGKR-SOC-S26-TASK-958-P012.png</x:v>
      </x:c>
      <x:c r="R1073" s="30" t="str">
        <x:v>MATCHED_ASSET</x:v>
      </x:c>
      <x:c r="S1073" t="e">
        <x:f>HYPERLINK("visual_gallery/index.html#"&amp;A1073,"Галерея")</x:f>
      </x:c>
    </x:row>
    <x:row r="1074">
      <x:c r="A1074" s="87" t="str">
        <x:v>VIS-EGKR-SOC-S26-TASK-958-P013</x:v>
      </x:c>
      <x:c r="B1074" s="30" t="str">
        <x:v>Обществознание</x:v>
      </x:c>
      <x:c r="C1074" s="30"/>
      <x:c r="D1074" s="30" t="str">
        <x:v>958</x:v>
      </x:c>
      <x:c r="E1074" s="87" t="str">
        <x:v>TASK</x:v>
      </x:c>
      <x:c r="F1074" s="30" t="str">
        <x:v>ЕГКР 958.pdf</x:v>
      </x:c>
      <x:c r="G1074" s="87" t="str">
        <x:v>13</x:v>
      </x:c>
      <x:c r="H1074" s="87" t="str">
        <x:v>v1.01</x:v>
      </x:c>
      <x:c r="I1074" s="87" t="str">
        <x:v>3</x:v>
      </x:c>
      <x:c r="J1074" s="30" t="str">
        <x:v>VIS_ID</x:v>
      </x:c>
      <x:c r="K1074" s="30" t="str">
        <x:v>EGKR-S26-SOC-958-23, EGKR-S26-SOC-958-24, EGKR-S26-SOC-958-25</x:v>
      </x:c>
      <x:c r="L1074" s="87" t="str">
        <x:v>CROP_VERIFIED</x:v>
      </x:c>
      <x:c r="M1074" s="87" t="str">
        <x:v>ORIGINAL_PACKAGE</x:v>
      </x:c>
      <x:c r="N1074" s="87" t="str">
        <x:v>pages/VIS-EGKR-SOC-S26-TASK-958-P013.png</x:v>
      </x:c>
      <x:c r="O1074" s="87" t="str">
        <x:v>thumbnails/VIS-EGKR-SOC-S26-TASK-958-P013.jpg</x:v>
      </x:c>
      <x:c r="P1074" s="87" t="str">
        <x:v>d870945a97268685615d7c8806cc0ecc341d4b4185918002973b53fabfdf1347</x:v>
      </x:c>
      <x:c r="Q1074" s="30" t="str">
        <x:v>incoming/raw/recovery-drop-01/society_egkr_spring_visual_assets_v101.zip!/pages/VIS-EGKR-SOC-S26-TASK-958-P013.png</x:v>
      </x:c>
      <x:c r="R1074" s="30" t="str">
        <x:v>MATCHED_ASSET</x:v>
      </x:c>
      <x:c r="S1074" t="e">
        <x:f>HYPERLINK("visual_gallery/index.html#"&amp;A1074,"Галерея")</x:f>
      </x:c>
    </x:row>
    <x:row r="1075">
      <x:c r="A1075" s="87" t="str">
        <x:v>VIS-EGKR-SOC-W25-ANSWERDOC-P001</x:v>
      </x:c>
      <x:c r="B1075" s="30" t="str">
        <x:v>Обществознание</x:v>
      </x:c>
      <x:c r="C1075" s="30"/>
      <x:c r="D1075" s="30" t="str">
        <x:v>951-954</x:v>
      </x:c>
      <x:c r="E1075" s="87" t="str">
        <x:v>SECONDARY_ANSWER_SOURCE</x:v>
      </x:c>
      <x:c r="F1075" s="30" t="str">
        <x:v>Ответы (3).docx</x:v>
      </x:c>
      <x:c r="G1075" s="87" t="str">
        <x:v>1</x:v>
      </x:c>
      <x:c r="H1075" s="87" t="str">
        <x:v>v0.97</x:v>
      </x:c>
      <x:c r="I1075" s="87" t="str">
        <x:v>20</x:v>
      </x:c>
      <x:c r="J1075" s="30" t="str">
        <x:v>VIS_KEY / MODEL</x:v>
      </x:c>
      <x:c r="K1075" s="30" t="str">
        <x:v>EGKR-W25-SOC-951-01, EGKR-W25-SOC-951-02, EGKR-W25-SOC-951-03, EGKR-W25-SOC-951-04, EGKR-W25-SOC-951-05, EGKR-W25-SOC-951-06, EGKR-W25-SOC-951-07, EGKR-W25-SOC-951-08…</x:v>
      </x:c>
      <x:c r="L1075" s="87" t="str">
        <x:v>CROP_VERIFIED</x:v>
      </x:c>
      <x:c r="M1075" s="87" t="str">
        <x:v>ORIGINAL_PACKAGE</x:v>
      </x:c>
      <x:c r="N1075" s="87" t="str">
        <x:v>pages/VIS-EGKR-SOC-W25-ANSWERDOC-P001.png</x:v>
      </x:c>
      <x:c r="O1075" s="87" t="str">
        <x:v>thumbnails/VIS-EGKR-SOC-W25-ANSWERDOC-P001.jpg</x:v>
      </x:c>
      <x:c r="P1075" s="87" t="str">
        <x:v>f1cdf7251e37fc2d57b6f1429ba84f95fe968551e2e41c051d4848e9b573cb4f</x:v>
      </x:c>
      <x:c r="Q1075" s="30" t="str">
        <x:v>incoming/raw/recovery-drop-01/society_egkr_winter_visual_assets_v097.zip!/pages/VIS-EGKR-SOC-W25-ANSWERDOC-P001.png</x:v>
      </x:c>
      <x:c r="R1075" s="30" t="str">
        <x:v>MATCHED_ASSET</x:v>
      </x:c>
      <x:c r="S1075" t="e">
        <x:f>HYPERLINK("visual_gallery/index.html#"&amp;A1075,"Галерея")</x:f>
      </x:c>
    </x:row>
    <x:row r="1076">
      <x:c r="A1076" s="87" t="str">
        <x:v>VIS-EGKR-SOC-W25-ANSWERDOC-P002</x:v>
      </x:c>
      <x:c r="B1076" s="30" t="str">
        <x:v>Обществознание</x:v>
      </x:c>
      <x:c r="C1076" s="30"/>
      <x:c r="D1076" s="30" t="str">
        <x:v>951-954</x:v>
      </x:c>
      <x:c r="E1076" s="87" t="str">
        <x:v>SECONDARY_ANSWER_SOURCE</x:v>
      </x:c>
      <x:c r="F1076" s="30" t="str">
        <x:v>Ответы (3).docx</x:v>
      </x:c>
      <x:c r="G1076" s="87" t="str">
        <x:v>2</x:v>
      </x:c>
      <x:c r="H1076" s="87" t="str">
        <x:v>v0.97</x:v>
      </x:c>
      <x:c r="I1076" s="87" t="str">
        <x:v>18</x:v>
      </x:c>
      <x:c r="J1076" s="30" t="str">
        <x:v>VIS_KEY / MODEL</x:v>
      </x:c>
      <x:c r="K1076" s="30" t="str">
        <x:v>EGKR-W25-SOC-952-01, EGKR-W25-SOC-952-02, EGKR-W25-SOC-952-03, EGKR-W25-SOC-952-04, EGKR-W25-SOC-952-05, EGKR-W25-SOC-952-06, EGKR-W25-SOC-952-07, EGKR-W25-SOC-952-08…</x:v>
      </x:c>
      <x:c r="L1076" s="87" t="str">
        <x:v>CROP_VERIFIED</x:v>
      </x:c>
      <x:c r="M1076" s="87" t="str">
        <x:v>ORIGINAL_PACKAGE</x:v>
      </x:c>
      <x:c r="N1076" s="87" t="str">
        <x:v>pages/VIS-EGKR-SOC-W25-ANSWERDOC-P002.png</x:v>
      </x:c>
      <x:c r="O1076" s="87" t="str">
        <x:v>thumbnails/VIS-EGKR-SOC-W25-ANSWERDOC-P002.jpg</x:v>
      </x:c>
      <x:c r="P1076" s="87" t="str">
        <x:v>f3bf86c2f6ea168d9dbc14ac4baf19f027306c4c0d6f41406f6af5126eaf161c</x:v>
      </x:c>
      <x:c r="Q1076" s="30" t="str">
        <x:v>incoming/raw/recovery-drop-01/society_egkr_winter_visual_assets_v097.zip!/pages/VIS-EGKR-SOC-W25-ANSWERDOC-P002.png</x:v>
      </x:c>
      <x:c r="R1076" s="30" t="str">
        <x:v>MATCHED_ASSET</x:v>
      </x:c>
      <x:c r="S1076" t="e">
        <x:f>HYPERLINK("visual_gallery/index.html#"&amp;A1076,"Галерея")</x:f>
      </x:c>
    </x:row>
    <x:row r="1077">
      <x:c r="A1077" s="87" t="str">
        <x:v>VIS-EGKR-SOC-W25-ANSWERDOC-P003</x:v>
      </x:c>
      <x:c r="B1077" s="30" t="str">
        <x:v>Обществознание</x:v>
      </x:c>
      <x:c r="C1077" s="30"/>
      <x:c r="D1077" s="30" t="str">
        <x:v>951-954</x:v>
      </x:c>
      <x:c r="E1077" s="87" t="str">
        <x:v>SECONDARY_ANSWER_SOURCE</x:v>
      </x:c>
      <x:c r="F1077" s="30" t="str">
        <x:v>Ответы (3).docx</x:v>
      </x:c>
      <x:c r="G1077" s="87" t="str">
        <x:v>3</x:v>
      </x:c>
      <x:c r="H1077" s="87" t="str">
        <x:v>v0.97</x:v>
      </x:c>
      <x:c r="I1077" s="87" t="str">
        <x:v>4</x:v>
      </x:c>
      <x:c r="J1077" s="30" t="str">
        <x:v>VIS_KEY / MODEL</x:v>
      </x:c>
      <x:c r="K1077" s="30" t="str">
        <x:v>EGKR-W25-SOC-952-17, EGKR-W25-SOC-952-18, EGKR-W25-SOC-952-19, EGKR-W25-SOC-952-20</x:v>
      </x:c>
      <x:c r="L1077" s="87" t="str">
        <x:v>CROP_VERIFIED</x:v>
      </x:c>
      <x:c r="M1077" s="87" t="str">
        <x:v>ORIGINAL_PACKAGE</x:v>
      </x:c>
      <x:c r="N1077" s="87" t="str">
        <x:v>pages/VIS-EGKR-SOC-W25-ANSWERDOC-P003.png</x:v>
      </x:c>
      <x:c r="O1077" s="87" t="str">
        <x:v>thumbnails/VIS-EGKR-SOC-W25-ANSWERDOC-P003.jpg</x:v>
      </x:c>
      <x:c r="P1077" s="87" t="str">
        <x:v>3fbfb327cb3eb2c5bc17683510cf7eb5632a3b5a202e3da709c448194ca1aa9b</x:v>
      </x:c>
      <x:c r="Q1077" s="30" t="str">
        <x:v>incoming/raw/recovery-drop-01/society_egkr_winter_visual_assets_v097.zip!/pages/VIS-EGKR-SOC-W25-ANSWERDOC-P003.png</x:v>
      </x:c>
      <x:c r="R1077" s="30" t="str">
        <x:v>MATCHED_ASSET</x:v>
      </x:c>
      <x:c r="S1077" t="e">
        <x:f>HYPERLINK("visual_gallery/index.html#"&amp;A1077,"Галерея")</x:f>
      </x:c>
    </x:row>
    <x:row r="1078">
      <x:c r="A1078" s="87" t="str">
        <x:v>VIS-EGKR-SOC-W25-ANSWERDOC-P004</x:v>
      </x:c>
      <x:c r="B1078" s="30" t="str">
        <x:v>Обществознание</x:v>
      </x:c>
      <x:c r="C1078" s="30"/>
      <x:c r="D1078" s="30" t="str">
        <x:v>951-954</x:v>
      </x:c>
      <x:c r="E1078" s="87" t="str">
        <x:v>SECONDARY_ANSWER_SOURCE</x:v>
      </x:c>
      <x:c r="F1078" s="30" t="str">
        <x:v>Ответы (3).docx</x:v>
      </x:c>
      <x:c r="G1078" s="87" t="str">
        <x:v>4</x:v>
      </x:c>
      <x:c r="H1078" s="87" t="str">
        <x:v>v0.97</x:v>
      </x:c>
      <x:c r="I1078" s="87" t="str">
        <x:v>20</x:v>
      </x:c>
      <x:c r="J1078" s="30" t="str">
        <x:v>VIS_KEY / MODEL</x:v>
      </x:c>
      <x:c r="K1078" s="30" t="str">
        <x:v>EGKR-W25-SOC-953-01, EGKR-W25-SOC-953-02, EGKR-W25-SOC-953-03, EGKR-W25-SOC-953-04, EGKR-W25-SOC-953-05, EGKR-W25-SOC-953-06, EGKR-W25-SOC-953-07, EGKR-W25-SOC-953-08…</x:v>
      </x:c>
      <x:c r="L1078" s="87" t="str">
        <x:v>CROP_VERIFIED</x:v>
      </x:c>
      <x:c r="M1078" s="87" t="str">
        <x:v>ORIGINAL_PACKAGE</x:v>
      </x:c>
      <x:c r="N1078" s="87" t="str">
        <x:v>pages/VIS-EGKR-SOC-W25-ANSWERDOC-P004.png</x:v>
      </x:c>
      <x:c r="O1078" s="87" t="str">
        <x:v>thumbnails/VIS-EGKR-SOC-W25-ANSWERDOC-P004.jpg</x:v>
      </x:c>
      <x:c r="P1078" s="87" t="str">
        <x:v>14427aac36cfe939b7684fe8e45d686182e8a204c3f231bab6f60f8b873f3cf5</x:v>
      </x:c>
      <x:c r="Q1078" s="30" t="str">
        <x:v>incoming/raw/recovery-drop-01/society_egkr_winter_visual_assets_v097.zip!/pages/VIS-EGKR-SOC-W25-ANSWERDOC-P004.png</x:v>
      </x:c>
      <x:c r="R1078" s="30" t="str">
        <x:v>MATCHED_ASSET</x:v>
      </x:c>
      <x:c r="S1078" t="e">
        <x:f>HYPERLINK("visual_gallery/index.html#"&amp;A1078,"Галерея")</x:f>
      </x:c>
    </x:row>
    <x:row r="1079">
      <x:c r="A1079" s="87" t="str">
        <x:v>VIS-EGKR-SOC-W25-ANSWERDOC-P005</x:v>
      </x:c>
      <x:c r="B1079" s="30" t="str">
        <x:v>Обществознание</x:v>
      </x:c>
      <x:c r="C1079" s="30"/>
      <x:c r="D1079" s="30" t="str">
        <x:v>951-954</x:v>
      </x:c>
      <x:c r="E1079" s="87" t="str">
        <x:v>SECONDARY_ANSWER_SOURCE</x:v>
      </x:c>
      <x:c r="F1079" s="30" t="str">
        <x:v>Ответы (3).docx</x:v>
      </x:c>
      <x:c r="G1079" s="87" t="str">
        <x:v>5</x:v>
      </x:c>
      <x:c r="H1079" s="87" t="str">
        <x:v>v0.97</x:v>
      </x:c>
      <x:c r="I1079" s="87" t="str">
        <x:v>6</x:v>
      </x:c>
      <x:c r="J1079" s="30" t="str">
        <x:v>VIS_KEY / MODEL</x:v>
      </x:c>
      <x:c r="K1079" s="30" t="str">
        <x:v>EGKR-W25-SOC-953-18, EGKR-W25-SOC-953-19, EGKR-W25-SOC-953-20, EGKR-W25-SOC-953-21, EGKR-W25-SOC-953-22, EGKR-W25-SOC-953-24</x:v>
      </x:c>
      <x:c r="L1079" s="87" t="str">
        <x:v>CROP_VERIFIED</x:v>
      </x:c>
      <x:c r="M1079" s="87" t="str">
        <x:v>ORIGINAL_PACKAGE</x:v>
      </x:c>
      <x:c r="N1079" s="87" t="str">
        <x:v>pages/VIS-EGKR-SOC-W25-ANSWERDOC-P005.png</x:v>
      </x:c>
      <x:c r="O1079" s="87" t="str">
        <x:v>thumbnails/VIS-EGKR-SOC-W25-ANSWERDOC-P005.jpg</x:v>
      </x:c>
      <x:c r="P1079" s="87" t="str">
        <x:v>21c22cd5e08ffde3a85532df84b87911058298a69eabb8ebc9fa794bc3ca18a6</x:v>
      </x:c>
      <x:c r="Q1079" s="30" t="str">
        <x:v>incoming/raw/recovery-drop-01/society_egkr_winter_visual_assets_v097.zip!/pages/VIS-EGKR-SOC-W25-ANSWERDOC-P005.png</x:v>
      </x:c>
      <x:c r="R1079" s="30" t="str">
        <x:v>MATCHED_ASSET</x:v>
      </x:c>
      <x:c r="S1079" t="e">
        <x:f>HYPERLINK("visual_gallery/index.html#"&amp;A1079,"Галерея")</x:f>
      </x:c>
    </x:row>
    <x:row r="1080">
      <x:c r="A1080" s="87" t="str">
        <x:v>VIS-EGKR-SOC-W25-ANSWERDOC-P006</x:v>
      </x:c>
      <x:c r="B1080" s="30" t="str">
        <x:v>Обществознание</x:v>
      </x:c>
      <x:c r="C1080" s="30"/>
      <x:c r="D1080" s="30" t="str">
        <x:v>951-954</x:v>
      </x:c>
      <x:c r="E1080" s="87" t="str">
        <x:v>SECONDARY_ANSWER_SOURCE</x:v>
      </x:c>
      <x:c r="F1080" s="30" t="str">
        <x:v>Ответы (3).docx</x:v>
      </x:c>
      <x:c r="G1080" s="87" t="str">
        <x:v>6</x:v>
      </x:c>
      <x:c r="H1080" s="87" t="str">
        <x:v>v0.97</x:v>
      </x:c>
      <x:c r="I1080" s="87" t="str">
        <x:v>17</x:v>
      </x:c>
      <x:c r="J1080" s="30" t="str">
        <x:v>VIS_KEY / MODEL</x:v>
      </x:c>
      <x:c r="K1080" s="30" t="str">
        <x:v>EGKR-W25-SOC-954-01, EGKR-W25-SOC-954-02, EGKR-W25-SOC-954-03, EGKR-W25-SOC-954-04, EGKR-W25-SOC-954-05, EGKR-W25-SOC-954-06, EGKR-W25-SOC-954-07, EGKR-W25-SOC-954-08…</x:v>
      </x:c>
      <x:c r="L1080" s="87" t="str">
        <x:v>CROP_VERIFIED</x:v>
      </x:c>
      <x:c r="M1080" s="87" t="str">
        <x:v>ORIGINAL_PACKAGE</x:v>
      </x:c>
      <x:c r="N1080" s="87" t="str">
        <x:v>pages/VIS-EGKR-SOC-W25-ANSWERDOC-P006.png</x:v>
      </x:c>
      <x:c r="O1080" s="87" t="str">
        <x:v>thumbnails/VIS-EGKR-SOC-W25-ANSWERDOC-P006.jpg</x:v>
      </x:c>
      <x:c r="P1080" s="87" t="str">
        <x:v>3bad0059d168a631b1fdb75cf18abea86b5bf225343e1dc6d31dcdab20437b25</x:v>
      </x:c>
      <x:c r="Q1080" s="30" t="str">
        <x:v>incoming/raw/recovery-drop-01/society_egkr_winter_visual_assets_v097.zip!/pages/VIS-EGKR-SOC-W25-ANSWERDOC-P006.png</x:v>
      </x:c>
      <x:c r="R1080" s="30" t="str">
        <x:v>MATCHED_ASSET</x:v>
      </x:c>
      <x:c r="S1080" t="e">
        <x:f>HYPERLINK("visual_gallery/index.html#"&amp;A1080,"Галерея")</x:f>
      </x:c>
    </x:row>
    <x:row r="1081">
      <x:c r="A1081" s="87" t="str">
        <x:v>VIS-EGKR-SOC-W25-ANSWERDOC-P007</x:v>
      </x:c>
      <x:c r="B1081" s="30" t="str">
        <x:v>Обществознание</x:v>
      </x:c>
      <x:c r="C1081" s="30"/>
      <x:c r="D1081" s="30" t="str">
        <x:v>951-954</x:v>
      </x:c>
      <x:c r="E1081" s="87" t="str">
        <x:v>SECONDARY_ANSWER_SOURCE</x:v>
      </x:c>
      <x:c r="F1081" s="30" t="str">
        <x:v>Ответы (3).docx</x:v>
      </x:c>
      <x:c r="G1081" s="87" t="str">
        <x:v>7</x:v>
      </x:c>
      <x:c r="H1081" s="87" t="str">
        <x:v>v0.97</x:v>
      </x:c>
      <x:c r="I1081" s="87" t="str">
        <x:v>3</x:v>
      </x:c>
      <x:c r="J1081" s="30" t="str">
        <x:v>VIS_KEY / MODEL</x:v>
      </x:c>
      <x:c r="K1081" s="30" t="str">
        <x:v>EGKR-W25-SOC-954-18, EGKR-W25-SOC-954-19, EGKR-W25-SOC-954-20</x:v>
      </x:c>
      <x:c r="L1081" s="87" t="str">
        <x:v>CROP_VERIFIED</x:v>
      </x:c>
      <x:c r="M1081" s="87" t="str">
        <x:v>ORIGINAL_PACKAGE</x:v>
      </x:c>
      <x:c r="N1081" s="87" t="str">
        <x:v>pages/VIS-EGKR-SOC-W25-ANSWERDOC-P007.png</x:v>
      </x:c>
      <x:c r="O1081" s="87" t="str">
        <x:v>thumbnails/VIS-EGKR-SOC-W25-ANSWERDOC-P007.jpg</x:v>
      </x:c>
      <x:c r="P1081" s="87" t="str">
        <x:v>7256f2718de2ea2288a963c7c8e6aef49f62b4d627e75cceaa9b6df22ea68f14</x:v>
      </x:c>
      <x:c r="Q1081" s="30" t="str">
        <x:v>incoming/raw/recovery-drop-01/society_egkr_winter_visual_assets_v097.zip!/pages/VIS-EGKR-SOC-W25-ANSWERDOC-P007.png</x:v>
      </x:c>
      <x:c r="R1081" s="30" t="str">
        <x:v>MATCHED_ASSET</x:v>
      </x:c>
      <x:c r="S1081" t="e">
        <x:f>HYPERLINK("visual_gallery/index.html#"&amp;A1081,"Галерея")</x:f>
      </x:c>
    </x:row>
    <x:row r="1082">
      <x:c r="A1082" s="87" t="str">
        <x:v>VIS-EGKR-SOC-W25-ANSWERDOC-P008</x:v>
      </x:c>
      <x:c r="B1082" s="30" t="str">
        <x:v>Обществознание</x:v>
      </x:c>
      <x:c r="C1082" s="30"/>
      <x:c r="D1082" s="30" t="str">
        <x:v>951-954</x:v>
      </x:c>
      <x:c r="E1082" s="87" t="str">
        <x:v>SECONDARY_ANSWER_SOURCE</x:v>
      </x:c>
      <x:c r="F1082" s="30" t="str">
        <x:v>Ответы (3).docx</x:v>
      </x:c>
      <x:c r="G1082" s="87" t="str">
        <x:v>8</x:v>
      </x:c>
      <x:c r="H1082" s="87" t="str">
        <x:v>v0.97</x:v>
      </x:c>
      <x:c r="I1082" s="87" t="str">
        <x:v>2</x:v>
      </x:c>
      <x:c r="J1082" s="30" t="str">
        <x:v>VIS_KEY / MODEL</x:v>
      </x:c>
      <x:c r="K1082" s="30" t="str">
        <x:v>EGKR-W25-SOC-954-21, EGKR-W25-SOC-954-24</x:v>
      </x:c>
      <x:c r="L1082" s="87" t="str">
        <x:v>CROP_VERIFIED</x:v>
      </x:c>
      <x:c r="M1082" s="87" t="str">
        <x:v>ORIGINAL_PACKAGE</x:v>
      </x:c>
      <x:c r="N1082" s="87" t="str">
        <x:v>pages/VIS-EGKR-SOC-W25-ANSWERDOC-P008.png</x:v>
      </x:c>
      <x:c r="O1082" s="87" t="str">
        <x:v>thumbnails/VIS-EGKR-SOC-W25-ANSWERDOC-P008.jpg</x:v>
      </x:c>
      <x:c r="P1082" s="87" t="str">
        <x:v>a02792c57487944e016810ac5cf18d8a421114424e671e96bc4e0bdcbde183dc</x:v>
      </x:c>
      <x:c r="Q1082" s="30" t="str">
        <x:v>incoming/raw/recovery-drop-01/society_egkr_winter_visual_assets_v097.zip!/pages/VIS-EGKR-SOC-W25-ANSWERDOC-P008.png</x:v>
      </x:c>
      <x:c r="R1082" s="30" t="str">
        <x:v>MATCHED_ASSET</x:v>
      </x:c>
      <x:c r="S1082" t="e">
        <x:f>HYPERLINK("visual_gallery/index.html#"&amp;A1082,"Галерея")</x:f>
      </x:c>
    </x:row>
    <x:row r="1083">
      <x:c r="A1083" s="87" t="str">
        <x:v>VIS-EGKR-SOC-W25-TASK-951-P001</x:v>
      </x:c>
      <x:c r="B1083" s="30" t="str">
        <x:v>Обществознание</x:v>
      </x:c>
      <x:c r="C1083" s="30"/>
      <x:c r="D1083" s="30" t="str">
        <x:v>951</x:v>
      </x:c>
      <x:c r="E1083" s="87" t="str">
        <x:v>TASK</x:v>
      </x:c>
      <x:c r="F1083" s="30" t="str">
        <x:v>951 (1).pdf</x:v>
      </x:c>
      <x:c r="G1083" s="87" t="str">
        <x:v>1</x:v>
      </x:c>
      <x:c r="H1083" s="87" t="str">
        <x:v>v0.97</x:v>
      </x:c>
      <x:c r="I1083" s="87" t="str">
        <x:v>2</x:v>
      </x:c>
      <x:c r="J1083" s="30" t="str">
        <x:v>VIS_ID</x:v>
      </x:c>
      <x:c r="K1083" s="30" t="str">
        <x:v>EGKR-W25-SOC-951-01, EGKR-W25-SOC-951-02</x:v>
      </x:c>
      <x:c r="L1083" s="87" t="str">
        <x:v>CROP_VERIFIED</x:v>
      </x:c>
      <x:c r="M1083" s="87" t="str">
        <x:v>ORIGINAL_PACKAGE</x:v>
      </x:c>
      <x:c r="N1083" s="87" t="str">
        <x:v>pages/VIS-EGKR-SOC-W25-TASK-951-P001.png</x:v>
      </x:c>
      <x:c r="O1083" s="87" t="str">
        <x:v>thumbnails/VIS-EGKR-SOC-W25-TASK-951-P001.jpg</x:v>
      </x:c>
      <x:c r="P1083" s="87" t="str">
        <x:v>88e23f30cd0ecb18cd1702062c439c05824c7067565b5bd8e11f5d218e7debd0</x:v>
      </x:c>
      <x:c r="Q1083" s="30" t="str">
        <x:v>incoming/raw/recovery-drop-01/society_egkr_winter_visual_assets_v097.zip!/pages/VIS-EGKR-SOC-W25-TASK-951-P001.png</x:v>
      </x:c>
      <x:c r="R1083" s="30" t="str">
        <x:v>MATCHED_ASSET</x:v>
      </x:c>
      <x:c r="S1083" t="e">
        <x:f>HYPERLINK("visual_gallery/index.html#"&amp;A1083,"Галерея")</x:f>
      </x:c>
    </x:row>
    <x:row r="1084">
      <x:c r="A1084" s="87" t="str">
        <x:v>VIS-EGKR-SOC-W25-TASK-951-P002</x:v>
      </x:c>
      <x:c r="B1084" s="30" t="str">
        <x:v>Обществознание</x:v>
      </x:c>
      <x:c r="C1084" s="30"/>
      <x:c r="D1084" s="30" t="str">
        <x:v>951</x:v>
      </x:c>
      <x:c r="E1084" s="87" t="str">
        <x:v>TASK</x:v>
      </x:c>
      <x:c r="F1084" s="30" t="str">
        <x:v>951 (1).pdf</x:v>
      </x:c>
      <x:c r="G1084" s="87" t="str">
        <x:v>2</x:v>
      </x:c>
      <x:c r="H1084" s="87" t="str">
        <x:v>v0.97</x:v>
      </x:c>
      <x:c r="I1084" s="87" t="str">
        <x:v>4</x:v>
      </x:c>
      <x:c r="J1084" s="30" t="str">
        <x:v>VIS_ID</x:v>
      </x:c>
      <x:c r="K1084" s="30" t="str">
        <x:v>EGKR-W25-SOC-951-03, EGKR-W25-SOC-951-04, EGKR-W25-SOC-951-05, EGKR-W25-SOC-951-06</x:v>
      </x:c>
      <x:c r="L1084" s="87" t="str">
        <x:v>CROP_VERIFIED</x:v>
      </x:c>
      <x:c r="M1084" s="87" t="str">
        <x:v>ORIGINAL_PACKAGE</x:v>
      </x:c>
      <x:c r="N1084" s="87" t="str">
        <x:v>pages/VIS-EGKR-SOC-W25-TASK-951-P002.png</x:v>
      </x:c>
      <x:c r="O1084" s="87" t="str">
        <x:v>thumbnails/VIS-EGKR-SOC-W25-TASK-951-P002.jpg</x:v>
      </x:c>
      <x:c r="P1084" s="87" t="str">
        <x:v>9fe254f76ecef346a082b66aaa37fa169ea9c1cce7060978bbffd976c06486a0</x:v>
      </x:c>
      <x:c r="Q1084" s="30" t="str">
        <x:v>incoming/raw/recovery-drop-01/society_egkr_winter_visual_assets_v097.zip!/pages/VIS-EGKR-SOC-W25-TASK-951-P002.png</x:v>
      </x:c>
      <x:c r="R1084" s="30" t="str">
        <x:v>MATCHED_ASSET</x:v>
      </x:c>
      <x:c r="S1084" t="e">
        <x:f>HYPERLINK("visual_gallery/index.html#"&amp;A1084,"Галерея")</x:f>
      </x:c>
    </x:row>
    <x:row r="1085">
      <x:c r="A1085" s="87" t="str">
        <x:v>VIS-EGKR-SOC-W25-TASK-951-P003</x:v>
      </x:c>
      <x:c r="B1085" s="30" t="str">
        <x:v>Обществознание</x:v>
      </x:c>
      <x:c r="C1085" s="30"/>
      <x:c r="D1085" s="30" t="str">
        <x:v>951</x:v>
      </x:c>
      <x:c r="E1085" s="87" t="str">
        <x:v>TASK</x:v>
      </x:c>
      <x:c r="F1085" s="30" t="str">
        <x:v>951 (1).pdf</x:v>
      </x:c>
      <x:c r="G1085" s="87" t="str">
        <x:v>3</x:v>
      </x:c>
      <x:c r="H1085" s="87" t="str">
        <x:v>v0.97</x:v>
      </x:c>
      <x:c r="I1085" s="87" t="str">
        <x:v>3</x:v>
      </x:c>
      <x:c r="J1085" s="30" t="str">
        <x:v>VIS_ID</x:v>
      </x:c>
      <x:c r="K1085" s="30" t="str">
        <x:v>EGKR-W25-SOC-951-07, EGKR-W25-SOC-951-08, EGKR-W25-SOC-951-09</x:v>
      </x:c>
      <x:c r="L1085" s="87" t="str">
        <x:v>CROP_VERIFIED</x:v>
      </x:c>
      <x:c r="M1085" s="87" t="str">
        <x:v>ORIGINAL_PACKAGE</x:v>
      </x:c>
      <x:c r="N1085" s="87" t="str">
        <x:v>pages/VIS-EGKR-SOC-W25-TASK-951-P003.png</x:v>
      </x:c>
      <x:c r="O1085" s="87" t="str">
        <x:v>thumbnails/VIS-EGKR-SOC-W25-TASK-951-P003.jpg</x:v>
      </x:c>
      <x:c r="P1085" s="87" t="str">
        <x:v>dbb3f55e30318ff7b4863ee78f387049d83cad392774a9d242936dba50570cec</x:v>
      </x:c>
      <x:c r="Q1085" s="30" t="str">
        <x:v>incoming/raw/recovery-drop-01/society_egkr_winter_visual_assets_v097.zip!/pages/VIS-EGKR-SOC-W25-TASK-951-P003.png</x:v>
      </x:c>
      <x:c r="R1085" s="30" t="str">
        <x:v>MATCHED_ASSET</x:v>
      </x:c>
      <x:c r="S1085" t="e">
        <x:f>HYPERLINK("visual_gallery/index.html#"&amp;A1085,"Галерея")</x:f>
      </x:c>
    </x:row>
    <x:row r="1086">
      <x:c r="A1086" s="87" t="str">
        <x:v>VIS-EGKR-SOC-W25-TASK-951-P004</x:v>
      </x:c>
      <x:c r="B1086" s="30" t="str">
        <x:v>Обществознание</x:v>
      </x:c>
      <x:c r="C1086" s="30"/>
      <x:c r="D1086" s="30" t="str">
        <x:v>951</x:v>
      </x:c>
      <x:c r="E1086" s="87" t="str">
        <x:v>TASK</x:v>
      </x:c>
      <x:c r="F1086" s="30" t="str">
        <x:v>951 (1).pdf</x:v>
      </x:c>
      <x:c r="G1086" s="87" t="str">
        <x:v>4</x:v>
      </x:c>
      <x:c r="H1086" s="87" t="str">
        <x:v>v0.97</x:v>
      </x:c>
      <x:c r="I1086" s="87" t="str">
        <x:v>4</x:v>
      </x:c>
      <x:c r="J1086" s="30" t="str">
        <x:v>VIS_ID</x:v>
      </x:c>
      <x:c r="K1086" s="30" t="str">
        <x:v>EGKR-W25-SOC-951-10, EGKR-W25-SOC-951-11, EGKR-W25-SOC-951-12, EGKR-W25-SOC-951-13</x:v>
      </x:c>
      <x:c r="L1086" s="87" t="str">
        <x:v>CROP_VERIFIED</x:v>
      </x:c>
      <x:c r="M1086" s="87" t="str">
        <x:v>ORIGINAL_PACKAGE</x:v>
      </x:c>
      <x:c r="N1086" s="87" t="str">
        <x:v>pages/VIS-EGKR-SOC-W25-TASK-951-P004.png</x:v>
      </x:c>
      <x:c r="O1086" s="87" t="str">
        <x:v>thumbnails/VIS-EGKR-SOC-W25-TASK-951-P004.jpg</x:v>
      </x:c>
      <x:c r="P1086" s="87" t="str">
        <x:v>5e694acff1923c55f967e9509ee5e7e92f8b381aa922454dee20dde2bcba9efb</x:v>
      </x:c>
      <x:c r="Q1086" s="30" t="str">
        <x:v>incoming/raw/recovery-drop-01/society_egkr_winter_visual_assets_v097.zip!/pages/VIS-EGKR-SOC-W25-TASK-951-P004.png</x:v>
      </x:c>
      <x:c r="R1086" s="30" t="str">
        <x:v>MATCHED_ASSET</x:v>
      </x:c>
      <x:c r="S1086" t="e">
        <x:f>HYPERLINK("visual_gallery/index.html#"&amp;A1086,"Галерея")</x:f>
      </x:c>
    </x:row>
    <x:row r="1087">
      <x:c r="A1087" s="87" t="str">
        <x:v>VIS-EGKR-SOC-W25-TASK-951-P005</x:v>
      </x:c>
      <x:c r="B1087" s="30" t="str">
        <x:v>Обществознание</x:v>
      </x:c>
      <x:c r="C1087" s="30"/>
      <x:c r="D1087" s="30" t="str">
        <x:v>951</x:v>
      </x:c>
      <x:c r="E1087" s="87" t="str">
        <x:v>TASK</x:v>
      </x:c>
      <x:c r="F1087" s="30" t="str">
        <x:v>951 (1).pdf</x:v>
      </x:c>
      <x:c r="G1087" s="87" t="str">
        <x:v>5</x:v>
      </x:c>
      <x:c r="H1087" s="87" t="str">
        <x:v>v0.97</x:v>
      </x:c>
      <x:c r="I1087" s="87" t="str">
        <x:v>3</x:v>
      </x:c>
      <x:c r="J1087" s="30" t="str">
        <x:v>VIS_ID</x:v>
      </x:c>
      <x:c r="K1087" s="30" t="str">
        <x:v>EGKR-W25-SOC-951-14, EGKR-W25-SOC-951-15, EGKR-W25-SOC-951-16</x:v>
      </x:c>
      <x:c r="L1087" s="87" t="str">
        <x:v>CROP_VERIFIED</x:v>
      </x:c>
      <x:c r="M1087" s="87" t="str">
        <x:v>ORIGINAL_PACKAGE</x:v>
      </x:c>
      <x:c r="N1087" s="87" t="str">
        <x:v>pages/VIS-EGKR-SOC-W25-TASK-951-P005.png</x:v>
      </x:c>
      <x:c r="O1087" s="87" t="str">
        <x:v>thumbnails/VIS-EGKR-SOC-W25-TASK-951-P005.jpg</x:v>
      </x:c>
      <x:c r="P1087" s="87" t="str">
        <x:v>6c075f8684d60e783b2a886722dd8f3e7ced3d85c29c0bb79560dd08a34bbbca</x:v>
      </x:c>
      <x:c r="Q1087" s="30" t="str">
        <x:v>incoming/raw/recovery-drop-01/society_egkr_winter_visual_assets_v097.zip!/pages/VIS-EGKR-SOC-W25-TASK-951-P005.png</x:v>
      </x:c>
      <x:c r="R1087" s="30" t="str">
        <x:v>MATCHED_ASSET</x:v>
      </x:c>
      <x:c r="S1087" t="e">
        <x:f>HYPERLINK("visual_gallery/index.html#"&amp;A1087,"Галерея")</x:f>
      </x:c>
    </x:row>
    <x:row r="1088">
      <x:c r="A1088" s="87" t="str">
        <x:v>VIS-EGKR-SOC-W25-TASK-951-P006</x:v>
      </x:c>
      <x:c r="B1088" s="30" t="str">
        <x:v>Обществознание</x:v>
      </x:c>
      <x:c r="C1088" s="30"/>
      <x:c r="D1088" s="30" t="str">
        <x:v>951</x:v>
      </x:c>
      <x:c r="E1088" s="87" t="str">
        <x:v>TASK</x:v>
      </x:c>
      <x:c r="F1088" s="30" t="str">
        <x:v>951 (1).pdf</x:v>
      </x:c>
      <x:c r="G1088" s="87" t="str">
        <x:v>6</x:v>
      </x:c>
      <x:c r="H1088" s="87" t="str">
        <x:v>v0.97</x:v>
      </x:c>
      <x:c r="I1088" s="87" t="str">
        <x:v>4</x:v>
      </x:c>
      <x:c r="J1088" s="30" t="str">
        <x:v>VIS_ID</x:v>
      </x:c>
      <x:c r="K1088" s="30" t="str">
        <x:v>EGKR-W25-SOC-951-17, EGKR-W25-SOC-951-18, EGKR-W25-SOC-951-19, EGKR-W25-SOC-951-20</x:v>
      </x:c>
      <x:c r="L1088" s="87" t="str">
        <x:v>CROP_VERIFIED</x:v>
      </x:c>
      <x:c r="M1088" s="87" t="str">
        <x:v>ORIGINAL_PACKAGE</x:v>
      </x:c>
      <x:c r="N1088" s="87" t="str">
        <x:v>pages/VIS-EGKR-SOC-W25-TASK-951-P006.png</x:v>
      </x:c>
      <x:c r="O1088" s="87" t="str">
        <x:v>thumbnails/VIS-EGKR-SOC-W25-TASK-951-P006.jpg</x:v>
      </x:c>
      <x:c r="P1088" s="87" t="str">
        <x:v>7303acdf65735dcb7b1b666b063efa08e1d60a964649e856c6e2e1b39d0ebd57</x:v>
      </x:c>
      <x:c r="Q1088" s="30" t="str">
        <x:v>incoming/raw/recovery-drop-01/society_egkr_winter_visual_assets_v097.zip!/pages/VIS-EGKR-SOC-W25-TASK-951-P006.png</x:v>
      </x:c>
      <x:c r="R1088" s="30" t="str">
        <x:v>MATCHED_ASSET</x:v>
      </x:c>
      <x:c r="S1088" t="e">
        <x:f>HYPERLINK("visual_gallery/index.html#"&amp;A1088,"Галерея")</x:f>
      </x:c>
    </x:row>
    <x:row r="1089">
      <x:c r="A1089" s="87" t="str">
        <x:v>VIS-EGKR-SOC-W25-TASK-951-P007</x:v>
      </x:c>
      <x:c r="B1089" s="30" t="str">
        <x:v>Обществознание</x:v>
      </x:c>
      <x:c r="C1089" s="30"/>
      <x:c r="D1089" s="30" t="str">
        <x:v>951</x:v>
      </x:c>
      <x:c r="E1089" s="87" t="str">
        <x:v>TASK</x:v>
      </x:c>
      <x:c r="F1089" s="30" t="str">
        <x:v>951 (1).pdf</x:v>
      </x:c>
      <x:c r="G1089" s="87" t="str">
        <x:v>7</x:v>
      </x:c>
      <x:c r="H1089" s="87" t="str">
        <x:v>v0.97</x:v>
      </x:c>
      <x:c r="I1089" s="87" t="str">
        <x:v>5</x:v>
      </x:c>
      <x:c r="J1089" s="30" t="str">
        <x:v>VIS_ID</x:v>
      </x:c>
      <x:c r="K1089" s="30" t="str">
        <x:v>EGKR-W25-SOC-951-21, EGKR-W25-SOC-951-22, EGKR-W25-SOC-951-23, EGKR-W25-SOC-951-24, EGKR-W25-SOC-951-25</x:v>
      </x:c>
      <x:c r="L1089" s="87" t="str">
        <x:v>CROP_VERIFIED</x:v>
      </x:c>
      <x:c r="M1089" s="87" t="str">
        <x:v>ORIGINAL_PACKAGE</x:v>
      </x:c>
      <x:c r="N1089" s="87" t="str">
        <x:v>pages/VIS-EGKR-SOC-W25-TASK-951-P007.png</x:v>
      </x:c>
      <x:c r="O1089" s="87" t="str">
        <x:v>thumbnails/VIS-EGKR-SOC-W25-TASK-951-P007.jpg</x:v>
      </x:c>
      <x:c r="P1089" s="87" t="str">
        <x:v>e3a9074e35d5248497294142ea8422ef84d39951858705368cae38f4efcd425a</x:v>
      </x:c>
      <x:c r="Q1089" s="30" t="str">
        <x:v>incoming/raw/recovery-drop-01/society_egkr_winter_visual_assets_v097.zip!/pages/VIS-EGKR-SOC-W25-TASK-951-P007.png</x:v>
      </x:c>
      <x:c r="R1089" s="30" t="str">
        <x:v>MATCHED_ASSET</x:v>
      </x:c>
      <x:c r="S1089" t="e">
        <x:f>HYPERLINK("visual_gallery/index.html#"&amp;A1089,"Галерея")</x:f>
      </x:c>
    </x:row>
    <x:row r="1090">
      <x:c r="A1090" s="87" t="str">
        <x:v>VIS-EGKR-SOC-W25-TASK-952-P001</x:v>
      </x:c>
      <x:c r="B1090" s="30" t="str">
        <x:v>Обществознание</x:v>
      </x:c>
      <x:c r="C1090" s="30"/>
      <x:c r="D1090" s="30" t="str">
        <x:v>952</x:v>
      </x:c>
      <x:c r="E1090" s="87" t="str">
        <x:v>TASK</x:v>
      </x:c>
      <x:c r="F1090" s="30" t="str">
        <x:v>952 (1).pdf</x:v>
      </x:c>
      <x:c r="G1090" s="87" t="str">
        <x:v>1</x:v>
      </x:c>
      <x:c r="H1090" s="87" t="str">
        <x:v>v0.97</x:v>
      </x:c>
      <x:c r="I1090" s="87" t="str">
        <x:v>2</x:v>
      </x:c>
      <x:c r="J1090" s="30" t="str">
        <x:v>VIS_ID</x:v>
      </x:c>
      <x:c r="K1090" s="30" t="str">
        <x:v>EGKR-W25-SOC-952-01, EGKR-W25-SOC-952-02</x:v>
      </x:c>
      <x:c r="L1090" s="87" t="str">
        <x:v>CROP_VERIFIED</x:v>
      </x:c>
      <x:c r="M1090" s="87" t="str">
        <x:v>ORIGINAL_PACKAGE</x:v>
      </x:c>
      <x:c r="N1090" s="87" t="str">
        <x:v>pages/VIS-EGKR-SOC-W25-TASK-952-P001.png</x:v>
      </x:c>
      <x:c r="O1090" s="87" t="str">
        <x:v>thumbnails/VIS-EGKR-SOC-W25-TASK-952-P001.jpg</x:v>
      </x:c>
      <x:c r="P1090" s="87" t="str">
        <x:v>7f8f2e1e71bac0f2d422777a5ecba4bbc4d5d520c0707ee208c59680c9701dbb</x:v>
      </x:c>
      <x:c r="Q1090" s="30" t="str">
        <x:v>incoming/raw/recovery-drop-01/society_egkr_winter_visual_assets_v097.zip!/pages/VIS-EGKR-SOC-W25-TASK-952-P001.png</x:v>
      </x:c>
      <x:c r="R1090" s="30" t="str">
        <x:v>MATCHED_ASSET</x:v>
      </x:c>
      <x:c r="S1090" t="e">
        <x:f>HYPERLINK("visual_gallery/index.html#"&amp;A1090,"Галерея")</x:f>
      </x:c>
    </x:row>
    <x:row r="1091">
      <x:c r="A1091" s="87" t="str">
        <x:v>VIS-EGKR-SOC-W25-TASK-952-P002</x:v>
      </x:c>
      <x:c r="B1091" s="30" t="str">
        <x:v>Обществознание</x:v>
      </x:c>
      <x:c r="C1091" s="30"/>
      <x:c r="D1091" s="30" t="str">
        <x:v>952</x:v>
      </x:c>
      <x:c r="E1091" s="87" t="str">
        <x:v>TASK</x:v>
      </x:c>
      <x:c r="F1091" s="30" t="str">
        <x:v>952 (1).pdf</x:v>
      </x:c>
      <x:c r="G1091" s="87" t="str">
        <x:v>2</x:v>
      </x:c>
      <x:c r="H1091" s="87" t="str">
        <x:v>v0.97</x:v>
      </x:c>
      <x:c r="I1091" s="87" t="str">
        <x:v>4</x:v>
      </x:c>
      <x:c r="J1091" s="30" t="str">
        <x:v>VIS_ID</x:v>
      </x:c>
      <x:c r="K1091" s="30" t="str">
        <x:v>EGKR-W25-SOC-952-03, EGKR-W25-SOC-952-04, EGKR-W25-SOC-952-05, EGKR-W25-SOC-952-06</x:v>
      </x:c>
      <x:c r="L1091" s="87" t="str">
        <x:v>CROP_VERIFIED</x:v>
      </x:c>
      <x:c r="M1091" s="87" t="str">
        <x:v>ORIGINAL_PACKAGE</x:v>
      </x:c>
      <x:c r="N1091" s="87" t="str">
        <x:v>pages/VIS-EGKR-SOC-W25-TASK-952-P002.png</x:v>
      </x:c>
      <x:c r="O1091" s="87" t="str">
        <x:v>thumbnails/VIS-EGKR-SOC-W25-TASK-952-P002.jpg</x:v>
      </x:c>
      <x:c r="P1091" s="87" t="str">
        <x:v>28454c18204deea83f00e490c6707c25f7f072f5867f9f18ba1148c47d39f1d2</x:v>
      </x:c>
      <x:c r="Q1091" s="30" t="str">
        <x:v>incoming/raw/recovery-drop-01/society_egkr_winter_visual_assets_v097.zip!/pages/VIS-EGKR-SOC-W25-TASK-952-P002.png</x:v>
      </x:c>
      <x:c r="R1091" s="30" t="str">
        <x:v>MATCHED_ASSET</x:v>
      </x:c>
      <x:c r="S1091" t="e">
        <x:f>HYPERLINK("visual_gallery/index.html#"&amp;A1091,"Галерея")</x:f>
      </x:c>
    </x:row>
    <x:row r="1092">
      <x:c r="A1092" s="87" t="str">
        <x:v>VIS-EGKR-SOC-W25-TASK-952-P003</x:v>
      </x:c>
      <x:c r="B1092" s="30" t="str">
        <x:v>Обществознание</x:v>
      </x:c>
      <x:c r="C1092" s="30"/>
      <x:c r="D1092" s="30" t="str">
        <x:v>952</x:v>
      </x:c>
      <x:c r="E1092" s="87" t="str">
        <x:v>TASK</x:v>
      </x:c>
      <x:c r="F1092" s="30" t="str">
        <x:v>952 (1).pdf</x:v>
      </x:c>
      <x:c r="G1092" s="87" t="str">
        <x:v>3</x:v>
      </x:c>
      <x:c r="H1092" s="87" t="str">
        <x:v>v0.97</x:v>
      </x:c>
      <x:c r="I1092" s="87" t="str">
        <x:v>3</x:v>
      </x:c>
      <x:c r="J1092" s="30" t="str">
        <x:v>VIS_ID</x:v>
      </x:c>
      <x:c r="K1092" s="30" t="str">
        <x:v>EGKR-W25-SOC-952-07, EGKR-W25-SOC-952-08, EGKR-W25-SOC-952-09</x:v>
      </x:c>
      <x:c r="L1092" s="87" t="str">
        <x:v>CROP_VERIFIED</x:v>
      </x:c>
      <x:c r="M1092" s="87" t="str">
        <x:v>ORIGINAL_PACKAGE</x:v>
      </x:c>
      <x:c r="N1092" s="87" t="str">
        <x:v>pages/VIS-EGKR-SOC-W25-TASK-952-P003.png</x:v>
      </x:c>
      <x:c r="O1092" s="87" t="str">
        <x:v>thumbnails/VIS-EGKR-SOC-W25-TASK-952-P003.jpg</x:v>
      </x:c>
      <x:c r="P1092" s="87" t="str">
        <x:v>bd7be7ddd8c0afbff759623049b2e3ebab90638a53b4cb7e72d59262843bbe67</x:v>
      </x:c>
      <x:c r="Q1092" s="30" t="str">
        <x:v>incoming/raw/recovery-drop-01/society_egkr_winter_visual_assets_v097.zip!/pages/VIS-EGKR-SOC-W25-TASK-952-P003.png</x:v>
      </x:c>
      <x:c r="R1092" s="30" t="str">
        <x:v>MATCHED_ASSET</x:v>
      </x:c>
      <x:c r="S1092" t="e">
        <x:f>HYPERLINK("visual_gallery/index.html#"&amp;A1092,"Галерея")</x:f>
      </x:c>
    </x:row>
    <x:row r="1093">
      <x:c r="A1093" s="87" t="str">
        <x:v>VIS-EGKR-SOC-W25-TASK-952-P004</x:v>
      </x:c>
      <x:c r="B1093" s="30" t="str">
        <x:v>Обществознание</x:v>
      </x:c>
      <x:c r="C1093" s="30"/>
      <x:c r="D1093" s="30" t="str">
        <x:v>952</x:v>
      </x:c>
      <x:c r="E1093" s="87" t="str">
        <x:v>TASK</x:v>
      </x:c>
      <x:c r="F1093" s="30" t="str">
        <x:v>952 (1).pdf</x:v>
      </x:c>
      <x:c r="G1093" s="87" t="str">
        <x:v>4</x:v>
      </x:c>
      <x:c r="H1093" s="87" t="str">
        <x:v>v0.97</x:v>
      </x:c>
      <x:c r="I1093" s="87" t="str">
        <x:v>4</x:v>
      </x:c>
      <x:c r="J1093" s="30" t="str">
        <x:v>VIS_ID</x:v>
      </x:c>
      <x:c r="K1093" s="30" t="str">
        <x:v>EGKR-W25-SOC-952-10, EGKR-W25-SOC-952-11, EGKR-W25-SOC-952-12, EGKR-W25-SOC-952-13</x:v>
      </x:c>
      <x:c r="L1093" s="87" t="str">
        <x:v>CROP_VERIFIED</x:v>
      </x:c>
      <x:c r="M1093" s="87" t="str">
        <x:v>ORIGINAL_PACKAGE</x:v>
      </x:c>
      <x:c r="N1093" s="87" t="str">
        <x:v>pages/VIS-EGKR-SOC-W25-TASK-952-P004.png</x:v>
      </x:c>
      <x:c r="O1093" s="87" t="str">
        <x:v>thumbnails/VIS-EGKR-SOC-W25-TASK-952-P004.jpg</x:v>
      </x:c>
      <x:c r="P1093" s="87" t="str">
        <x:v>3e34b9aaa8bf33a81d3c87325d7a14c9bb1e7ceeefdbe74351ab5ecd1608b2cd</x:v>
      </x:c>
      <x:c r="Q1093" s="30" t="str">
        <x:v>incoming/raw/recovery-drop-01/society_egkr_winter_visual_assets_v097.zip!/pages/VIS-EGKR-SOC-W25-TASK-952-P004.png</x:v>
      </x:c>
      <x:c r="R1093" s="30" t="str">
        <x:v>MATCHED_ASSET</x:v>
      </x:c>
      <x:c r="S1093" t="e">
        <x:f>HYPERLINK("visual_gallery/index.html#"&amp;A1093,"Галерея")</x:f>
      </x:c>
    </x:row>
    <x:row r="1094">
      <x:c r="A1094" s="87" t="str">
        <x:v>VIS-EGKR-SOC-W25-TASK-952-P005</x:v>
      </x:c>
      <x:c r="B1094" s="30" t="str">
        <x:v>Обществознание</x:v>
      </x:c>
      <x:c r="C1094" s="30"/>
      <x:c r="D1094" s="30" t="str">
        <x:v>952</x:v>
      </x:c>
      <x:c r="E1094" s="87" t="str">
        <x:v>TASK</x:v>
      </x:c>
      <x:c r="F1094" s="30" t="str">
        <x:v>952 (1).pdf</x:v>
      </x:c>
      <x:c r="G1094" s="87" t="str">
        <x:v>5</x:v>
      </x:c>
      <x:c r="H1094" s="87" t="str">
        <x:v>v0.97</x:v>
      </x:c>
      <x:c r="I1094" s="87" t="str">
        <x:v>3</x:v>
      </x:c>
      <x:c r="J1094" s="30" t="str">
        <x:v>VIS_ID</x:v>
      </x:c>
      <x:c r="K1094" s="30" t="str">
        <x:v>EGKR-W25-SOC-952-14, EGKR-W25-SOC-952-15, EGKR-W25-SOC-952-16</x:v>
      </x:c>
      <x:c r="L1094" s="87" t="str">
        <x:v>CROP_VERIFIED</x:v>
      </x:c>
      <x:c r="M1094" s="87" t="str">
        <x:v>ORIGINAL_PACKAGE</x:v>
      </x:c>
      <x:c r="N1094" s="87" t="str">
        <x:v>pages/VIS-EGKR-SOC-W25-TASK-952-P005.png</x:v>
      </x:c>
      <x:c r="O1094" s="87" t="str">
        <x:v>thumbnails/VIS-EGKR-SOC-W25-TASK-952-P005.jpg</x:v>
      </x:c>
      <x:c r="P1094" s="87" t="str">
        <x:v>0a912e7cd4ad6c7d460eac2e0138a02ae317ab769e624ae4ae72701bf78ac41c</x:v>
      </x:c>
      <x:c r="Q1094" s="30" t="str">
        <x:v>incoming/raw/recovery-drop-01/society_egkr_winter_visual_assets_v097.zip!/pages/VIS-EGKR-SOC-W25-TASK-952-P005.png</x:v>
      </x:c>
      <x:c r="R1094" s="30" t="str">
        <x:v>MATCHED_ASSET</x:v>
      </x:c>
      <x:c r="S1094" t="e">
        <x:f>HYPERLINK("visual_gallery/index.html#"&amp;A1094,"Галерея")</x:f>
      </x:c>
    </x:row>
    <x:row r="1095">
      <x:c r="A1095" s="87" t="str">
        <x:v>VIS-EGKR-SOC-W25-TASK-952-P006</x:v>
      </x:c>
      <x:c r="B1095" s="30" t="str">
        <x:v>Обществознание</x:v>
      </x:c>
      <x:c r="C1095" s="30"/>
      <x:c r="D1095" s="30" t="str">
        <x:v>952</x:v>
      </x:c>
      <x:c r="E1095" s="87" t="str">
        <x:v>TASK</x:v>
      </x:c>
      <x:c r="F1095" s="30" t="str">
        <x:v>952 (1).pdf</x:v>
      </x:c>
      <x:c r="G1095" s="87" t="str">
        <x:v>6</x:v>
      </x:c>
      <x:c r="H1095" s="87" t="str">
        <x:v>v0.97</x:v>
      </x:c>
      <x:c r="I1095" s="87" t="str">
        <x:v>4</x:v>
      </x:c>
      <x:c r="J1095" s="30" t="str">
        <x:v>VIS_ID</x:v>
      </x:c>
      <x:c r="K1095" s="30" t="str">
        <x:v>EGKR-W25-SOC-952-17, EGKR-W25-SOC-952-18, EGKR-W25-SOC-952-19, EGKR-W25-SOC-952-20</x:v>
      </x:c>
      <x:c r="L1095" s="87" t="str">
        <x:v>CROP_VERIFIED</x:v>
      </x:c>
      <x:c r="M1095" s="87" t="str">
        <x:v>ORIGINAL_PACKAGE</x:v>
      </x:c>
      <x:c r="N1095" s="87" t="str">
        <x:v>pages/VIS-EGKR-SOC-W25-TASK-952-P006.png</x:v>
      </x:c>
      <x:c r="O1095" s="87" t="str">
        <x:v>thumbnails/VIS-EGKR-SOC-W25-TASK-952-P006.jpg</x:v>
      </x:c>
      <x:c r="P1095" s="87" t="str">
        <x:v>cf9f478776b7a17f7b67ed306776cee33af7cc9dbbcb80a2edc58b3f34410857</x:v>
      </x:c>
      <x:c r="Q1095" s="30" t="str">
        <x:v>incoming/raw/recovery-drop-01/society_egkr_winter_visual_assets_v097.zip!/pages/VIS-EGKR-SOC-W25-TASK-952-P006.png</x:v>
      </x:c>
      <x:c r="R1095" s="30" t="str">
        <x:v>MATCHED_ASSET</x:v>
      </x:c>
      <x:c r="S1095" t="e">
        <x:f>HYPERLINK("visual_gallery/index.html#"&amp;A1095,"Галерея")</x:f>
      </x:c>
    </x:row>
    <x:row r="1096">
      <x:c r="A1096" s="87" t="str">
        <x:v>VIS-EGKR-SOC-W25-TASK-952-P007</x:v>
      </x:c>
      <x:c r="B1096" s="30" t="str">
        <x:v>Обществознание</x:v>
      </x:c>
      <x:c r="C1096" s="30"/>
      <x:c r="D1096" s="30" t="str">
        <x:v>952</x:v>
      </x:c>
      <x:c r="E1096" s="87" t="str">
        <x:v>TASK</x:v>
      </x:c>
      <x:c r="F1096" s="30" t="str">
        <x:v>952 (1).pdf</x:v>
      </x:c>
      <x:c r="G1096" s="87" t="str">
        <x:v>7</x:v>
      </x:c>
      <x:c r="H1096" s="87" t="str">
        <x:v>v0.97</x:v>
      </x:c>
      <x:c r="I1096" s="87" t="str">
        <x:v>5</x:v>
      </x:c>
      <x:c r="J1096" s="30" t="str">
        <x:v>VIS_ID</x:v>
      </x:c>
      <x:c r="K1096" s="30" t="str">
        <x:v>EGKR-W25-SOC-952-21, EGKR-W25-SOC-952-22, EGKR-W25-SOC-952-23, EGKR-W25-SOC-952-24, EGKR-W25-SOC-952-25</x:v>
      </x:c>
      <x:c r="L1096" s="87" t="str">
        <x:v>CROP_VERIFIED</x:v>
      </x:c>
      <x:c r="M1096" s="87" t="str">
        <x:v>ORIGINAL_PACKAGE</x:v>
      </x:c>
      <x:c r="N1096" s="87" t="str">
        <x:v>pages/VIS-EGKR-SOC-W25-TASK-952-P007.png</x:v>
      </x:c>
      <x:c r="O1096" s="87" t="str">
        <x:v>thumbnails/VIS-EGKR-SOC-W25-TASK-952-P007.jpg</x:v>
      </x:c>
      <x:c r="P1096" s="87" t="str">
        <x:v>5ce1ef7812d5e30180e33c04a2aca50a9913d1389cec37b6111a7d1910480c90</x:v>
      </x:c>
      <x:c r="Q1096" s="30" t="str">
        <x:v>incoming/raw/recovery-drop-01/society_egkr_winter_visual_assets_v097.zip!/pages/VIS-EGKR-SOC-W25-TASK-952-P007.png</x:v>
      </x:c>
      <x:c r="R1096" s="30" t="str">
        <x:v>MATCHED_ASSET</x:v>
      </x:c>
      <x:c r="S1096" t="e">
        <x:f>HYPERLINK("visual_gallery/index.html#"&amp;A1096,"Галерея")</x:f>
      </x:c>
    </x:row>
    <x:row r="1097">
      <x:c r="A1097" s="87" t="str">
        <x:v>VIS-EGKR-SOC-W25-TASK-953-P001</x:v>
      </x:c>
      <x:c r="B1097" s="30" t="str">
        <x:v>Обществознание</x:v>
      </x:c>
      <x:c r="C1097" s="30"/>
      <x:c r="D1097" s="30" t="str">
        <x:v>953</x:v>
      </x:c>
      <x:c r="E1097" s="87" t="str">
        <x:v>TASK</x:v>
      </x:c>
      <x:c r="F1097" s="30" t="str">
        <x:v>953 (1).pdf</x:v>
      </x:c>
      <x:c r="G1097" s="87" t="str">
        <x:v>1</x:v>
      </x:c>
      <x:c r="H1097" s="87" t="str">
        <x:v>v0.97</x:v>
      </x:c>
      <x:c r="I1097" s="87" t="str">
        <x:v>2</x:v>
      </x:c>
      <x:c r="J1097" s="30" t="str">
        <x:v>VIS_ID</x:v>
      </x:c>
      <x:c r="K1097" s="30" t="str">
        <x:v>EGKR-W25-SOC-953-01, EGKR-W25-SOC-953-02</x:v>
      </x:c>
      <x:c r="L1097" s="87" t="str">
        <x:v>CROP_VERIFIED</x:v>
      </x:c>
      <x:c r="M1097" s="87" t="str">
        <x:v>ORIGINAL_PACKAGE</x:v>
      </x:c>
      <x:c r="N1097" s="87" t="str">
        <x:v>pages/VIS-EGKR-SOC-W25-TASK-953-P001.png</x:v>
      </x:c>
      <x:c r="O1097" s="87" t="str">
        <x:v>thumbnails/VIS-EGKR-SOC-W25-TASK-953-P001.jpg</x:v>
      </x:c>
      <x:c r="P1097" s="87" t="str">
        <x:v>5fe2509627b1eca1fd672ad3ba5766c7c4acf6e95a0a2110464bbeb409245f70</x:v>
      </x:c>
      <x:c r="Q1097" s="30" t="str">
        <x:v>incoming/raw/recovery-drop-01/society_egkr_winter_visual_assets_v097.zip!/pages/VIS-EGKR-SOC-W25-TASK-953-P001.png</x:v>
      </x:c>
      <x:c r="R1097" s="30" t="str">
        <x:v>MATCHED_ASSET</x:v>
      </x:c>
      <x:c r="S1097" t="e">
        <x:f>HYPERLINK("visual_gallery/index.html#"&amp;A1097,"Галерея")</x:f>
      </x:c>
    </x:row>
    <x:row r="1098">
      <x:c r="A1098" s="87" t="str">
        <x:v>VIS-EGKR-SOC-W25-TASK-953-P002</x:v>
      </x:c>
      <x:c r="B1098" s="30" t="str">
        <x:v>Обществознание</x:v>
      </x:c>
      <x:c r="C1098" s="30"/>
      <x:c r="D1098" s="30" t="str">
        <x:v>953</x:v>
      </x:c>
      <x:c r="E1098" s="87" t="str">
        <x:v>TASK</x:v>
      </x:c>
      <x:c r="F1098" s="30" t="str">
        <x:v>953 (1).pdf</x:v>
      </x:c>
      <x:c r="G1098" s="87" t="str">
        <x:v>2</x:v>
      </x:c>
      <x:c r="H1098" s="87" t="str">
        <x:v>v0.97</x:v>
      </x:c>
      <x:c r="I1098" s="87" t="str">
        <x:v>3</x:v>
      </x:c>
      <x:c r="J1098" s="30" t="str">
        <x:v>VIS_ID</x:v>
      </x:c>
      <x:c r="K1098" s="30" t="str">
        <x:v>EGKR-W25-SOC-953-14, EGKR-W25-SOC-953-15, EGKR-W25-SOC-953-16</x:v>
      </x:c>
      <x:c r="L1098" s="87" t="str">
        <x:v>CROP_VERIFIED</x:v>
      </x:c>
      <x:c r="M1098" s="87" t="str">
        <x:v>ORIGINAL_PACKAGE</x:v>
      </x:c>
      <x:c r="N1098" s="87" t="str">
        <x:v>pages/VIS-EGKR-SOC-W25-TASK-953-P002.png</x:v>
      </x:c>
      <x:c r="O1098" s="87" t="str">
        <x:v>thumbnails/VIS-EGKR-SOC-W25-TASK-953-P002.jpg</x:v>
      </x:c>
      <x:c r="P1098" s="87" t="str">
        <x:v>934220dcffbc8c7b076e390b538c420dbf68705373f2ea00a6592a6516ae0449</x:v>
      </x:c>
      <x:c r="Q1098" s="30" t="str">
        <x:v>incoming/raw/recovery-drop-01/society_egkr_winter_visual_assets_v097.zip!/pages/VIS-EGKR-SOC-W25-TASK-953-P002.png</x:v>
      </x:c>
      <x:c r="R1098" s="30" t="str">
        <x:v>MATCHED_ASSET</x:v>
      </x:c>
      <x:c r="S1098" t="e">
        <x:f>HYPERLINK("visual_gallery/index.html#"&amp;A1098,"Галерея")</x:f>
      </x:c>
    </x:row>
    <x:row r="1099">
      <x:c r="A1099" s="87" t="str">
        <x:v>VIS-EGKR-SOC-W25-TASK-953-P003</x:v>
      </x:c>
      <x:c r="B1099" s="30" t="str">
        <x:v>Обществознание</x:v>
      </x:c>
      <x:c r="C1099" s="30"/>
      <x:c r="D1099" s="30" t="str">
        <x:v>953</x:v>
      </x:c>
      <x:c r="E1099" s="87" t="str">
        <x:v>TASK</x:v>
      </x:c>
      <x:c r="F1099" s="30" t="str">
        <x:v>953 (1).pdf</x:v>
      </x:c>
      <x:c r="G1099" s="87" t="str">
        <x:v>3</x:v>
      </x:c>
      <x:c r="H1099" s="87" t="str">
        <x:v>v0.97</x:v>
      </x:c>
      <x:c r="I1099" s="87" t="str">
        <x:v>4</x:v>
      </x:c>
      <x:c r="J1099" s="30" t="str">
        <x:v>VIS_ID</x:v>
      </x:c>
      <x:c r="K1099" s="30" t="str">
        <x:v>EGKR-W25-SOC-953-10, EGKR-W25-SOC-953-11, EGKR-W25-SOC-953-12, EGKR-W25-SOC-953-13</x:v>
      </x:c>
      <x:c r="L1099" s="87" t="str">
        <x:v>CROP_VERIFIED</x:v>
      </x:c>
      <x:c r="M1099" s="87" t="str">
        <x:v>ORIGINAL_PACKAGE</x:v>
      </x:c>
      <x:c r="N1099" s="87" t="str">
        <x:v>pages/VIS-EGKR-SOC-W25-TASK-953-P003.png</x:v>
      </x:c>
      <x:c r="O1099" s="87" t="str">
        <x:v>thumbnails/VIS-EGKR-SOC-W25-TASK-953-P003.jpg</x:v>
      </x:c>
      <x:c r="P1099" s="87" t="str">
        <x:v>68c9c352c3cf4100ed4f99212fe5e83cf832c0cdc982839b96bfa464897514b6</x:v>
      </x:c>
      <x:c r="Q1099" s="30" t="str">
        <x:v>incoming/raw/recovery-drop-01/society_egkr_winter_visual_assets_v097.zip!/pages/VIS-EGKR-SOC-W25-TASK-953-P003.png</x:v>
      </x:c>
      <x:c r="R1099" s="30" t="str">
        <x:v>MATCHED_ASSET</x:v>
      </x:c>
      <x:c r="S1099" t="e">
        <x:f>HYPERLINK("visual_gallery/index.html#"&amp;A1099,"Галерея")</x:f>
      </x:c>
    </x:row>
    <x:row r="1100">
      <x:c r="A1100" s="87" t="str">
        <x:v>VIS-EGKR-SOC-W25-TASK-953-P004</x:v>
      </x:c>
      <x:c r="B1100" s="30" t="str">
        <x:v>Обществознание</x:v>
      </x:c>
      <x:c r="C1100" s="30"/>
      <x:c r="D1100" s="30" t="str">
        <x:v>953</x:v>
      </x:c>
      <x:c r="E1100" s="87" t="str">
        <x:v>TASK</x:v>
      </x:c>
      <x:c r="F1100" s="30" t="str">
        <x:v>953 (1).pdf</x:v>
      </x:c>
      <x:c r="G1100" s="87" t="str">
        <x:v>4</x:v>
      </x:c>
      <x:c r="H1100" s="87" t="str">
        <x:v>v0.97</x:v>
      </x:c>
      <x:c r="I1100" s="87" t="str">
        <x:v>3</x:v>
      </x:c>
      <x:c r="J1100" s="30" t="str">
        <x:v>VIS_ID</x:v>
      </x:c>
      <x:c r="K1100" s="30" t="str">
        <x:v>EGKR-W25-SOC-953-07, EGKR-W25-SOC-953-08, EGKR-W25-SOC-953-09</x:v>
      </x:c>
      <x:c r="L1100" s="87" t="str">
        <x:v>CROP_VERIFIED</x:v>
      </x:c>
      <x:c r="M1100" s="87" t="str">
        <x:v>ORIGINAL_PACKAGE</x:v>
      </x:c>
      <x:c r="N1100" s="87" t="str">
        <x:v>pages/VIS-EGKR-SOC-W25-TASK-953-P004.png</x:v>
      </x:c>
      <x:c r="O1100" s="87" t="str">
        <x:v>thumbnails/VIS-EGKR-SOC-W25-TASK-953-P004.jpg</x:v>
      </x:c>
      <x:c r="P1100" s="87" t="str">
        <x:v>9a7da8cc81669daca107ad739f937e083d8f4b7f7cf52fb681210620c2e845d5</x:v>
      </x:c>
      <x:c r="Q1100" s="30" t="str">
        <x:v>incoming/raw/recovery-drop-01/society_egkr_winter_visual_assets_v097.zip!/pages/VIS-EGKR-SOC-W25-TASK-953-P004.png</x:v>
      </x:c>
      <x:c r="R1100" s="30" t="str">
        <x:v>MATCHED_ASSET</x:v>
      </x:c>
      <x:c r="S1100" t="e">
        <x:f>HYPERLINK("visual_gallery/index.html#"&amp;A1100,"Галерея")</x:f>
      </x:c>
    </x:row>
    <x:row r="1101">
      <x:c r="A1101" s="87" t="str">
        <x:v>VIS-EGKR-SOC-W25-TASK-953-P005</x:v>
      </x:c>
      <x:c r="B1101" s="30" t="str">
        <x:v>Обществознание</x:v>
      </x:c>
      <x:c r="C1101" s="30"/>
      <x:c r="D1101" s="30" t="str">
        <x:v>953</x:v>
      </x:c>
      <x:c r="E1101" s="87" t="str">
        <x:v>TASK</x:v>
      </x:c>
      <x:c r="F1101" s="30" t="str">
        <x:v>953 (1).pdf</x:v>
      </x:c>
      <x:c r="G1101" s="87" t="str">
        <x:v>5</x:v>
      </x:c>
      <x:c r="H1101" s="87" t="str">
        <x:v>v0.97</x:v>
      </x:c>
      <x:c r="I1101" s="87" t="str">
        <x:v>4</x:v>
      </x:c>
      <x:c r="J1101" s="30" t="str">
        <x:v>VIS_ID</x:v>
      </x:c>
      <x:c r="K1101" s="30" t="str">
        <x:v>EGKR-W25-SOC-953-03, EGKR-W25-SOC-953-04, EGKR-W25-SOC-953-05, EGKR-W25-SOC-953-06</x:v>
      </x:c>
      <x:c r="L1101" s="87" t="str">
        <x:v>CROP_VERIFIED</x:v>
      </x:c>
      <x:c r="M1101" s="87" t="str">
        <x:v>ORIGINAL_PACKAGE</x:v>
      </x:c>
      <x:c r="N1101" s="87" t="str">
        <x:v>pages/VIS-EGKR-SOC-W25-TASK-953-P005.png</x:v>
      </x:c>
      <x:c r="O1101" s="87" t="str">
        <x:v>thumbnails/VIS-EGKR-SOC-W25-TASK-953-P005.jpg</x:v>
      </x:c>
      <x:c r="P1101" s="87" t="str">
        <x:v>2adc80617fab0c97a4a8c219cc8231e85969da39913a58d0671f7dd1b5cd7328</x:v>
      </x:c>
      <x:c r="Q1101" s="30" t="str">
        <x:v>incoming/raw/recovery-drop-01/society_egkr_winter_visual_assets_v097.zip!/pages/VIS-EGKR-SOC-W25-TASK-953-P005.png</x:v>
      </x:c>
      <x:c r="R1101" s="30" t="str">
        <x:v>MATCHED_ASSET</x:v>
      </x:c>
      <x:c r="S1101" t="e">
        <x:f>HYPERLINK("visual_gallery/index.html#"&amp;A1101,"Галерея")</x:f>
      </x:c>
    </x:row>
    <x:row r="1102">
      <x:c r="A1102" s="87" t="str">
        <x:v>VIS-EGKR-SOC-W25-TASK-953-P006</x:v>
      </x:c>
      <x:c r="B1102" s="30" t="str">
        <x:v>Обществознание</x:v>
      </x:c>
      <x:c r="C1102" s="30"/>
      <x:c r="D1102" s="30" t="str">
        <x:v>953</x:v>
      </x:c>
      <x:c r="E1102" s="87" t="str">
        <x:v>TASK</x:v>
      </x:c>
      <x:c r="F1102" s="30" t="str">
        <x:v>953 (1).pdf</x:v>
      </x:c>
      <x:c r="G1102" s="87" t="str">
        <x:v>6</x:v>
      </x:c>
      <x:c r="H1102" s="87" t="str">
        <x:v>v0.97</x:v>
      </x:c>
      <x:c r="I1102" s="87" t="str">
        <x:v>4</x:v>
      </x:c>
      <x:c r="J1102" s="30" t="str">
        <x:v>VIS_ID</x:v>
      </x:c>
      <x:c r="K1102" s="30" t="str">
        <x:v>EGKR-W25-SOC-953-17, EGKR-W25-SOC-953-18, EGKR-W25-SOC-953-19, EGKR-W25-SOC-953-20</x:v>
      </x:c>
      <x:c r="L1102" s="87" t="str">
        <x:v>CROP_VERIFIED</x:v>
      </x:c>
      <x:c r="M1102" s="87" t="str">
        <x:v>ORIGINAL_PACKAGE</x:v>
      </x:c>
      <x:c r="N1102" s="87" t="str">
        <x:v>pages/VIS-EGKR-SOC-W25-TASK-953-P006.png</x:v>
      </x:c>
      <x:c r="O1102" s="87" t="str">
        <x:v>thumbnails/VIS-EGKR-SOC-W25-TASK-953-P006.jpg</x:v>
      </x:c>
      <x:c r="P1102" s="87" t="str">
        <x:v>4cc4d8caf6d7543152a2f4d4fa55dab646a089db7810bdb06683711e16fa4101</x:v>
      </x:c>
      <x:c r="Q1102" s="30" t="str">
        <x:v>incoming/raw/recovery-drop-01/society_egkr_winter_visual_assets_v097.zip!/pages/VIS-EGKR-SOC-W25-TASK-953-P006.png</x:v>
      </x:c>
      <x:c r="R1102" s="30" t="str">
        <x:v>MATCHED_ASSET</x:v>
      </x:c>
      <x:c r="S1102" t="e">
        <x:f>HYPERLINK("visual_gallery/index.html#"&amp;A1102,"Галерея")</x:f>
      </x:c>
    </x:row>
    <x:row r="1103">
      <x:c r="A1103" s="87" t="str">
        <x:v>VIS-EGKR-SOC-W25-TASK-953-P007</x:v>
      </x:c>
      <x:c r="B1103" s="30" t="str">
        <x:v>Обществознание</x:v>
      </x:c>
      <x:c r="C1103" s="30"/>
      <x:c r="D1103" s="30" t="str">
        <x:v>953</x:v>
      </x:c>
      <x:c r="E1103" s="87" t="str">
        <x:v>TASK</x:v>
      </x:c>
      <x:c r="F1103" s="30" t="str">
        <x:v>953 (1).pdf</x:v>
      </x:c>
      <x:c r="G1103" s="87" t="str">
        <x:v>7</x:v>
      </x:c>
      <x:c r="H1103" s="87" t="str">
        <x:v>v0.97</x:v>
      </x:c>
      <x:c r="I1103" s="87" t="str">
        <x:v>5</x:v>
      </x:c>
      <x:c r="J1103" s="30" t="str">
        <x:v>VIS_ID</x:v>
      </x:c>
      <x:c r="K1103" s="30" t="str">
        <x:v>EGKR-W25-SOC-953-21, EGKR-W25-SOC-953-22, EGKR-W25-SOC-953-23, EGKR-W25-SOC-953-24, EGKR-W25-SOC-953-25</x:v>
      </x:c>
      <x:c r="L1103" s="87" t="str">
        <x:v>CROP_VERIFIED</x:v>
      </x:c>
      <x:c r="M1103" s="87" t="str">
        <x:v>ORIGINAL_PACKAGE</x:v>
      </x:c>
      <x:c r="N1103" s="87" t="str">
        <x:v>pages/VIS-EGKR-SOC-W25-TASK-953-P007.png</x:v>
      </x:c>
      <x:c r="O1103" s="87" t="str">
        <x:v>thumbnails/VIS-EGKR-SOC-W25-TASK-953-P007.jpg</x:v>
      </x:c>
      <x:c r="P1103" s="87" t="str">
        <x:v>350faa7d8db741a55603187d74af89b8138124797221b3f510e4be7bbf9ac6f7</x:v>
      </x:c>
      <x:c r="Q1103" s="30" t="str">
        <x:v>incoming/raw/recovery-drop-01/society_egkr_winter_visual_assets_v097.zip!/pages/VIS-EGKR-SOC-W25-TASK-953-P007.png</x:v>
      </x:c>
      <x:c r="R1103" s="30" t="str">
        <x:v>MATCHED_ASSET</x:v>
      </x:c>
      <x:c r="S1103" t="e">
        <x:f>HYPERLINK("visual_gallery/index.html#"&amp;A1103,"Галерея")</x:f>
      </x:c>
    </x:row>
    <x:row r="1104">
      <x:c r="A1104" s="87" t="str">
        <x:v>VIS-EGKR-SOC-W25-TASK-954-P001</x:v>
      </x:c>
      <x:c r="B1104" s="30" t="str">
        <x:v>Обществознание</x:v>
      </x:c>
      <x:c r="C1104" s="30"/>
      <x:c r="D1104" s="30" t="str">
        <x:v>954</x:v>
      </x:c>
      <x:c r="E1104" s="87" t="str">
        <x:v>TASK</x:v>
      </x:c>
      <x:c r="F1104" s="30" t="str">
        <x:v>954.pdf</x:v>
      </x:c>
      <x:c r="G1104" s="87" t="str">
        <x:v>1</x:v>
      </x:c>
      <x:c r="H1104" s="87" t="str">
        <x:v>v0.97</x:v>
      </x:c>
      <x:c r="I1104" s="87" t="str">
        <x:v>2</x:v>
      </x:c>
      <x:c r="J1104" s="30" t="str">
        <x:v>VIS_ID</x:v>
      </x:c>
      <x:c r="K1104" s="30" t="str">
        <x:v>EGKR-W25-SOC-954-01, EGKR-W25-SOC-954-02</x:v>
      </x:c>
      <x:c r="L1104" s="87" t="str">
        <x:v>CROP_VERIFIED</x:v>
      </x:c>
      <x:c r="M1104" s="87" t="str">
        <x:v>ORIGINAL_PACKAGE</x:v>
      </x:c>
      <x:c r="N1104" s="87" t="str">
        <x:v>pages/VIS-EGKR-SOC-W25-TASK-954-P001.png</x:v>
      </x:c>
      <x:c r="O1104" s="87" t="str">
        <x:v>thumbnails/VIS-EGKR-SOC-W25-TASK-954-P001.jpg</x:v>
      </x:c>
      <x:c r="P1104" s="87" t="str">
        <x:v>ab4d13000775b51e8bc01cbcc4cb37420445a6f9a36ebb469bf4e65c0e50e8b2</x:v>
      </x:c>
      <x:c r="Q1104" s="30" t="str">
        <x:v>incoming/raw/recovery-drop-01/society_egkr_winter_visual_assets_v097.zip!/pages/VIS-EGKR-SOC-W25-TASK-954-P001.png</x:v>
      </x:c>
      <x:c r="R1104" s="30" t="str">
        <x:v>MATCHED_ASSET</x:v>
      </x:c>
      <x:c r="S1104" t="e">
        <x:f>HYPERLINK("visual_gallery/index.html#"&amp;A1104,"Галерея")</x:f>
      </x:c>
    </x:row>
    <x:row r="1105">
      <x:c r="A1105" s="87" t="str">
        <x:v>VIS-EGKR-SOC-W25-TASK-954-P002</x:v>
      </x:c>
      <x:c r="B1105" s="30" t="str">
        <x:v>Обществознание</x:v>
      </x:c>
      <x:c r="C1105" s="30"/>
      <x:c r="D1105" s="30" t="str">
        <x:v>954</x:v>
      </x:c>
      <x:c r="E1105" s="87" t="str">
        <x:v>TASK</x:v>
      </x:c>
      <x:c r="F1105" s="30" t="str">
        <x:v>954.pdf</x:v>
      </x:c>
      <x:c r="G1105" s="87" t="str">
        <x:v>2</x:v>
      </x:c>
      <x:c r="H1105" s="87" t="str">
        <x:v>v0.97</x:v>
      </x:c>
      <x:c r="I1105" s="87" t="str">
        <x:v>4</x:v>
      </x:c>
      <x:c r="J1105" s="30" t="str">
        <x:v>VIS_ID</x:v>
      </x:c>
      <x:c r="K1105" s="30" t="str">
        <x:v>EGKR-W25-SOC-954-03, EGKR-W25-SOC-954-04, EGKR-W25-SOC-954-05, EGKR-W25-SOC-954-06</x:v>
      </x:c>
      <x:c r="L1105" s="87" t="str">
        <x:v>CROP_VERIFIED</x:v>
      </x:c>
      <x:c r="M1105" s="87" t="str">
        <x:v>ORIGINAL_PACKAGE</x:v>
      </x:c>
      <x:c r="N1105" s="87" t="str">
        <x:v>pages/VIS-EGKR-SOC-W25-TASK-954-P002.png</x:v>
      </x:c>
      <x:c r="O1105" s="87" t="str">
        <x:v>thumbnails/VIS-EGKR-SOC-W25-TASK-954-P002.jpg</x:v>
      </x:c>
      <x:c r="P1105" s="87" t="str">
        <x:v>bea09e0a3b9cd309e0623e1a0a285ce8fec6946c57a0acbf56fcda9d826413cd</x:v>
      </x:c>
      <x:c r="Q1105" s="30" t="str">
        <x:v>incoming/raw/recovery-drop-01/society_egkr_winter_visual_assets_v097.zip!/pages/VIS-EGKR-SOC-W25-TASK-954-P002.png</x:v>
      </x:c>
      <x:c r="R1105" s="30" t="str">
        <x:v>MATCHED_ASSET</x:v>
      </x:c>
      <x:c r="S1105" t="e">
        <x:f>HYPERLINK("visual_gallery/index.html#"&amp;A1105,"Галерея")</x:f>
      </x:c>
    </x:row>
    <x:row r="1106">
      <x:c r="A1106" s="87" t="str">
        <x:v>VIS-EGKR-SOC-W25-TASK-954-P003</x:v>
      </x:c>
      <x:c r="B1106" s="30" t="str">
        <x:v>Обществознание</x:v>
      </x:c>
      <x:c r="C1106" s="30"/>
      <x:c r="D1106" s="30" t="str">
        <x:v>954</x:v>
      </x:c>
      <x:c r="E1106" s="87" t="str">
        <x:v>TASK</x:v>
      </x:c>
      <x:c r="F1106" s="30" t="str">
        <x:v>954.pdf</x:v>
      </x:c>
      <x:c r="G1106" s="87" t="str">
        <x:v>3</x:v>
      </x:c>
      <x:c r="H1106" s="87" t="str">
        <x:v>v0.97</x:v>
      </x:c>
      <x:c r="I1106" s="87" t="str">
        <x:v>3</x:v>
      </x:c>
      <x:c r="J1106" s="30" t="str">
        <x:v>VIS_ID</x:v>
      </x:c>
      <x:c r="K1106" s="30" t="str">
        <x:v>EGKR-W25-SOC-954-07, EGKR-W25-SOC-954-08, EGKR-W25-SOC-954-09</x:v>
      </x:c>
      <x:c r="L1106" s="87" t="str">
        <x:v>CROP_VERIFIED</x:v>
      </x:c>
      <x:c r="M1106" s="87" t="str">
        <x:v>ORIGINAL_PACKAGE</x:v>
      </x:c>
      <x:c r="N1106" s="87" t="str">
        <x:v>pages/VIS-EGKR-SOC-W25-TASK-954-P003.png</x:v>
      </x:c>
      <x:c r="O1106" s="87" t="str">
        <x:v>thumbnails/VIS-EGKR-SOC-W25-TASK-954-P003.jpg</x:v>
      </x:c>
      <x:c r="P1106" s="87" t="str">
        <x:v>9522af0e27af724af4c6602ebee3b8645b3b6ec4583167b2fa561a5fcff63c67</x:v>
      </x:c>
      <x:c r="Q1106" s="30" t="str">
        <x:v>incoming/raw/recovery-drop-01/society_egkr_winter_visual_assets_v097.zip!/pages/VIS-EGKR-SOC-W25-TASK-954-P003.png</x:v>
      </x:c>
      <x:c r="R1106" s="30" t="str">
        <x:v>MATCHED_ASSET</x:v>
      </x:c>
      <x:c r="S1106" t="e">
        <x:f>HYPERLINK("visual_gallery/index.html#"&amp;A1106,"Галерея")</x:f>
      </x:c>
    </x:row>
    <x:row r="1107">
      <x:c r="A1107" s="87" t="str">
        <x:v>VIS-EGKR-SOC-W25-TASK-954-P004</x:v>
      </x:c>
      <x:c r="B1107" s="30" t="str">
        <x:v>Обществознание</x:v>
      </x:c>
      <x:c r="C1107" s="30"/>
      <x:c r="D1107" s="30" t="str">
        <x:v>954</x:v>
      </x:c>
      <x:c r="E1107" s="87" t="str">
        <x:v>TASK</x:v>
      </x:c>
      <x:c r="F1107" s="30" t="str">
        <x:v>954.pdf</x:v>
      </x:c>
      <x:c r="G1107" s="87" t="str">
        <x:v>4</x:v>
      </x:c>
      <x:c r="H1107" s="87" t="str">
        <x:v>v0.97</x:v>
      </x:c>
      <x:c r="I1107" s="87" t="str">
        <x:v>4</x:v>
      </x:c>
      <x:c r="J1107" s="30" t="str">
        <x:v>VIS_ID</x:v>
      </x:c>
      <x:c r="K1107" s="30" t="str">
        <x:v>EGKR-W25-SOC-954-10, EGKR-W25-SOC-954-11, EGKR-W25-SOC-954-12, EGKR-W25-SOC-954-13</x:v>
      </x:c>
      <x:c r="L1107" s="87" t="str">
        <x:v>CROP_VERIFIED</x:v>
      </x:c>
      <x:c r="M1107" s="87" t="str">
        <x:v>ORIGINAL_PACKAGE</x:v>
      </x:c>
      <x:c r="N1107" s="87" t="str">
        <x:v>pages/VIS-EGKR-SOC-W25-TASK-954-P004.png</x:v>
      </x:c>
      <x:c r="O1107" s="87" t="str">
        <x:v>thumbnails/VIS-EGKR-SOC-W25-TASK-954-P004.jpg</x:v>
      </x:c>
      <x:c r="P1107" s="87" t="str">
        <x:v>e692ac3c6e623c00d694efc0d92d703be1582056774c3d877bba6dc320254ecf</x:v>
      </x:c>
      <x:c r="Q1107" s="30" t="str">
        <x:v>incoming/raw/recovery-drop-01/society_egkr_winter_visual_assets_v097.zip!/pages/VIS-EGKR-SOC-W25-TASK-954-P004.png</x:v>
      </x:c>
      <x:c r="R1107" s="30" t="str">
        <x:v>MATCHED_ASSET</x:v>
      </x:c>
      <x:c r="S1107" t="e">
        <x:f>HYPERLINK("visual_gallery/index.html#"&amp;A1107,"Галерея")</x:f>
      </x:c>
    </x:row>
    <x:row r="1108">
      <x:c r="A1108" s="87" t="str">
        <x:v>VIS-EGKR-SOC-W25-TASK-954-P005</x:v>
      </x:c>
      <x:c r="B1108" s="30" t="str">
        <x:v>Обществознание</x:v>
      </x:c>
      <x:c r="C1108" s="30"/>
      <x:c r="D1108" s="30" t="str">
        <x:v>954</x:v>
      </x:c>
      <x:c r="E1108" s="87" t="str">
        <x:v>TASK</x:v>
      </x:c>
      <x:c r="F1108" s="30" t="str">
        <x:v>954.pdf</x:v>
      </x:c>
      <x:c r="G1108" s="87" t="str">
        <x:v>5</x:v>
      </x:c>
      <x:c r="H1108" s="87" t="str">
        <x:v>v0.97</x:v>
      </x:c>
      <x:c r="I1108" s="87" t="str">
        <x:v>3</x:v>
      </x:c>
      <x:c r="J1108" s="30" t="str">
        <x:v>VIS_ID</x:v>
      </x:c>
      <x:c r="K1108" s="30" t="str">
        <x:v>EGKR-W25-SOC-954-14, EGKR-W25-SOC-954-15, EGKR-W25-SOC-954-16</x:v>
      </x:c>
      <x:c r="L1108" s="87" t="str">
        <x:v>CROP_VERIFIED</x:v>
      </x:c>
      <x:c r="M1108" s="87" t="str">
        <x:v>ORIGINAL_PACKAGE</x:v>
      </x:c>
      <x:c r="N1108" s="87" t="str">
        <x:v>pages/VIS-EGKR-SOC-W25-TASK-954-P005.png</x:v>
      </x:c>
      <x:c r="O1108" s="87" t="str">
        <x:v>thumbnails/VIS-EGKR-SOC-W25-TASK-954-P005.jpg</x:v>
      </x:c>
      <x:c r="P1108" s="87" t="str">
        <x:v>62b67e9ea634aee5ae0808966d480625fdfc66dcb3943ad42ca9e4b76cbfac8c</x:v>
      </x:c>
      <x:c r="Q1108" s="30" t="str">
        <x:v>incoming/raw/recovery-drop-01/society_egkr_winter_visual_assets_v097.zip!/pages/VIS-EGKR-SOC-W25-TASK-954-P005.png</x:v>
      </x:c>
      <x:c r="R1108" s="30" t="str">
        <x:v>MATCHED_ASSET</x:v>
      </x:c>
      <x:c r="S1108" t="e">
        <x:f>HYPERLINK("visual_gallery/index.html#"&amp;A1108,"Галерея")</x:f>
      </x:c>
    </x:row>
    <x:row r="1109">
      <x:c r="A1109" s="87" t="str">
        <x:v>VIS-EGKR-SOC-W25-TASK-954-P006</x:v>
      </x:c>
      <x:c r="B1109" s="30" t="str">
        <x:v>Обществознание</x:v>
      </x:c>
      <x:c r="C1109" s="30"/>
      <x:c r="D1109" s="30" t="str">
        <x:v>954</x:v>
      </x:c>
      <x:c r="E1109" s="87" t="str">
        <x:v>TASK</x:v>
      </x:c>
      <x:c r="F1109" s="30" t="str">
        <x:v>954.pdf</x:v>
      </x:c>
      <x:c r="G1109" s="87" t="str">
        <x:v>6</x:v>
      </x:c>
      <x:c r="H1109" s="87" t="str">
        <x:v>v0.97</x:v>
      </x:c>
      <x:c r="I1109" s="87" t="str">
        <x:v>4</x:v>
      </x:c>
      <x:c r="J1109" s="30" t="str">
        <x:v>VIS_ID</x:v>
      </x:c>
      <x:c r="K1109" s="30" t="str">
        <x:v>EGKR-W25-SOC-954-17, EGKR-W25-SOC-954-18, EGKR-W25-SOC-954-19, EGKR-W25-SOC-954-20</x:v>
      </x:c>
      <x:c r="L1109" s="87" t="str">
        <x:v>CROP_VERIFIED</x:v>
      </x:c>
      <x:c r="M1109" s="87" t="str">
        <x:v>ORIGINAL_PACKAGE</x:v>
      </x:c>
      <x:c r="N1109" s="87" t="str">
        <x:v>pages/VIS-EGKR-SOC-W25-TASK-954-P006.png</x:v>
      </x:c>
      <x:c r="O1109" s="87" t="str">
        <x:v>thumbnails/VIS-EGKR-SOC-W25-TASK-954-P006.jpg</x:v>
      </x:c>
      <x:c r="P1109" s="87" t="str">
        <x:v>3cbd8e1eca43fba271bf42403aa4bedd6675180ff0d0a4c7388cbf8258566f88</x:v>
      </x:c>
      <x:c r="Q1109" s="30" t="str">
        <x:v>incoming/raw/recovery-drop-01/society_egkr_winter_visual_assets_v097.zip!/pages/VIS-EGKR-SOC-W25-TASK-954-P006.png</x:v>
      </x:c>
      <x:c r="R1109" s="30" t="str">
        <x:v>MATCHED_ASSET</x:v>
      </x:c>
      <x:c r="S1109" t="e">
        <x:f>HYPERLINK("visual_gallery/index.html#"&amp;A1109,"Галерея")</x:f>
      </x:c>
    </x:row>
    <x:row r="1110">
      <x:c r="A1110" s="87" t="str">
        <x:v>VIS-EGKR-SOC-W25-TASK-954-P007</x:v>
      </x:c>
      <x:c r="B1110" s="30" t="str">
        <x:v>Обществознание</x:v>
      </x:c>
      <x:c r="C1110" s="30"/>
      <x:c r="D1110" s="30" t="str">
        <x:v>954</x:v>
      </x:c>
      <x:c r="E1110" s="87" t="str">
        <x:v>TASK</x:v>
      </x:c>
      <x:c r="F1110" s="30" t="str">
        <x:v>954.pdf</x:v>
      </x:c>
      <x:c r="G1110" s="87" t="str">
        <x:v>7</x:v>
      </x:c>
      <x:c r="H1110" s="87" t="str">
        <x:v>v0.97</x:v>
      </x:c>
      <x:c r="I1110" s="87" t="str">
        <x:v>5</x:v>
      </x:c>
      <x:c r="J1110" s="30" t="str">
        <x:v>VIS_ID</x:v>
      </x:c>
      <x:c r="K1110" s="30" t="str">
        <x:v>EGKR-W25-SOC-954-21, EGKR-W25-SOC-954-22, EGKR-W25-SOC-954-23, EGKR-W25-SOC-954-24, EGKR-W25-SOC-954-25</x:v>
      </x:c>
      <x:c r="L1110" s="87" t="str">
        <x:v>CROP_VERIFIED</x:v>
      </x:c>
      <x:c r="M1110" s="87" t="str">
        <x:v>ORIGINAL_PACKAGE</x:v>
      </x:c>
      <x:c r="N1110" s="87" t="str">
        <x:v>pages/VIS-EGKR-SOC-W25-TASK-954-P007.png</x:v>
      </x:c>
      <x:c r="O1110" s="87" t="str">
        <x:v>thumbnails/VIS-EGKR-SOC-W25-TASK-954-P007.jpg</x:v>
      </x:c>
      <x:c r="P1110" s="87" t="str">
        <x:v>713499724ec07db34d8f565d01915a85668c99b7740812e93a1aef087863e5e8</x:v>
      </x:c>
      <x:c r="Q1110" s="30" t="str">
        <x:v>incoming/raw/recovery-drop-01/society_egkr_winter_visual_assets_v097.zip!/pages/VIS-EGKR-SOC-W25-TASK-954-P007.png</x:v>
      </x:c>
      <x:c r="R1110" s="30" t="str">
        <x:v>MATCHED_ASSET</x:v>
      </x:c>
      <x:c r="S1110" t="e">
        <x:f>HYPERLINK("visual_gallery/index.html#"&amp;A1110,"Галерея")</x:f>
      </x:c>
    </x:row>
    <x:row r="1111">
      <x:c r="A1111" s="87" t="str">
        <x:v>VIS-ENG-NOV-001</x:v>
      </x:c>
      <x:c r="B1111" s="30" t="str"/>
      <x:c r="C1111" s="30" t="str">
        <x:v>Инструкция к письменной части</x:v>
      </x:c>
      <x:c r="D1111" s="30" t="str">
        <x:v>АЯ2510101</x:v>
      </x:c>
      <x:c r="E1111" s="87"/>
      <x:c r="F1111" s="30" t="str">
        <x:v>Zadanie_AIa11_26112025_pis_mennaia.pdf</x:v>
      </x:c>
      <x:c r="G1111" s="87" t="str">
        <x:v>1</x:v>
      </x:c>
      <x:c r="H1111" s="87" t="str">
        <x:v>v0.82</x:v>
      </x:c>
      <x:c r="I1111" s="87" t="str">
        <x:v>0</x:v>
      </x:c>
      <x:c r="J1111" s="30" t="str"/>
      <x:c r="K1111" s="30" t="str"/>
      <x:c r="L1111" s="87" t="str">
        <x:v>CROP_VERIFIED</x:v>
      </x:c>
      <x:c r="M1111" s="87" t="str">
        <x:v>ORIGINAL_PACKAGE</x:v>
      </x:c>
      <x:c r="N1111" s="87" t="str">
        <x:v>full/VIS-ENG-NOV-001_full.jpg</x:v>
      </x:c>
      <x:c r="O1111" s="87" t="str">
        <x:v>thumb/VIS-ENG-NOV-001_thumb.jpg</x:v>
      </x:c>
      <x:c r="P1111" s="87" t="str">
        <x:v>723c89494b522887e7514020a5af85e1bce28b147f649607c1fb8c14c72846a1</x:v>
      </x:c>
      <x:c r="Q1111" s="30" t="str">
        <x:v>incoming/raw/recovery-drop-01/statgrad_clean_branch_v0_01_bundle.zip!/eng_nov_visual_assets_v082.zip!/eng_nov_visual_assets_v082/full/VIS-ENG-NOV-001_full.jpg</x:v>
      </x:c>
      <x:c r="R1111" s="30" t="str">
        <x:v>RESOLVED_UNLINKED_REGISTRY_VISUAL</x:v>
      </x:c>
      <x:c r="S1111" t="e">
        <x:f>HYPERLINK("visual_gallery/index.html#"&amp;A1111,"Галерея")</x:f>
      </x:c>
    </x:row>
    <x:row r="1112">
      <x:c r="A1112" s="87" t="str">
        <x:v>VIS-ENG-NOV-002</x:v>
      </x:c>
      <x:c r="B1112" s="30" t="str"/>
      <x:c r="C1112" s="30" t="str">
        <x:v>Полная страница 2: задания 1, 2</x:v>
      </x:c>
      <x:c r="D1112" s="30" t="str">
        <x:v>АЯ2510101</x:v>
      </x:c>
      <x:c r="E1112" s="87"/>
      <x:c r="F1112" s="30" t="str">
        <x:v>Zadanie_AIa11_26112025_pis_mennaia.pdf</x:v>
      </x:c>
      <x:c r="G1112" s="87" t="str">
        <x:v>2</x:v>
      </x:c>
      <x:c r="H1112" s="87" t="str">
        <x:v>v0.82</x:v>
      </x:c>
      <x:c r="I1112" s="87" t="str">
        <x:v>0</x:v>
      </x:c>
      <x:c r="J1112" s="30" t="str"/>
      <x:c r="K1112" s="30" t="str"/>
      <x:c r="L1112" s="87" t="str">
        <x:v>CROP_VERIFIED</x:v>
      </x:c>
      <x:c r="M1112" s="87" t="str">
        <x:v>ORIGINAL_PACKAGE</x:v>
      </x:c>
      <x:c r="N1112" s="87" t="str">
        <x:v>full/VIS-ENG-NOV-002_full.jpg</x:v>
      </x:c>
      <x:c r="O1112" s="87" t="str">
        <x:v>thumb/VIS-ENG-NOV-002_thumb.jpg</x:v>
      </x:c>
      <x:c r="P1112" s="87" t="str">
        <x:v>812cbdb246b53fc89f221bcd6e91e886ea023f0fc9b0c4e97bb0751d5616ceb1</x:v>
      </x:c>
      <x:c r="Q1112" s="30" t="str">
        <x:v>incoming/raw/recovery-drop-01/statgrad_clean_branch_v0_01_bundle.zip!/eng_nov_visual_assets_v082.zip!/eng_nov_visual_assets_v082/full/VIS-ENG-NOV-002_full.jpg</x:v>
      </x:c>
      <x:c r="R1112" s="30" t="str">
        <x:v>RESOLVED_UNLINKED_REGISTRY_VISUAL</x:v>
      </x:c>
      <x:c r="S1112" t="e">
        <x:f>HYPERLINK("visual_gallery/index.html#"&amp;A1112,"Галерея")</x:f>
      </x:c>
    </x:row>
    <x:row r="1113">
      <x:c r="A1113" s="87" t="str">
        <x:v>VIS-ENG-NOV-003</x:v>
      </x:c>
      <x:c r="B1113" s="30" t="str"/>
      <x:c r="C1113" s="30" t="str">
        <x:v>Полная страница 3: задания 3–6</x:v>
      </x:c>
      <x:c r="D1113" s="30" t="str">
        <x:v>АЯ2510101</x:v>
      </x:c>
      <x:c r="E1113" s="87"/>
      <x:c r="F1113" s="30" t="str">
        <x:v>Zadanie_AIa11_26112025_pis_mennaia.pdf</x:v>
      </x:c>
      <x:c r="G1113" s="87" t="str">
        <x:v>3</x:v>
      </x:c>
      <x:c r="H1113" s="87" t="str">
        <x:v>v0.82</x:v>
      </x:c>
      <x:c r="I1113" s="87" t="str">
        <x:v>0</x:v>
      </x:c>
      <x:c r="J1113" s="30" t="str"/>
      <x:c r="K1113" s="30" t="str"/>
      <x:c r="L1113" s="87" t="str">
        <x:v>CROP_VERIFIED</x:v>
      </x:c>
      <x:c r="M1113" s="87" t="str">
        <x:v>ORIGINAL_PACKAGE</x:v>
      </x:c>
      <x:c r="N1113" s="87" t="str">
        <x:v>full/VIS-ENG-NOV-003_full.jpg</x:v>
      </x:c>
      <x:c r="O1113" s="87" t="str">
        <x:v>thumb/VIS-ENG-NOV-003_thumb.jpg</x:v>
      </x:c>
      <x:c r="P1113" s="87" t="str">
        <x:v>b488a3da5e27ef706f857c5656cac421d956b27e1ec3c662a29bfd2ea44efd7b</x:v>
      </x:c>
      <x:c r="Q1113" s="30" t="str">
        <x:v>incoming/raw/recovery-drop-01/statgrad_clean_branch_v0_01_bundle.zip!/eng_nov_visual_assets_v082.zip!/eng_nov_visual_assets_v082/full/VIS-ENG-NOV-003_full.jpg</x:v>
      </x:c>
      <x:c r="R1113" s="30" t="str">
        <x:v>RESOLVED_UNLINKED_REGISTRY_VISUAL</x:v>
      </x:c>
      <x:c r="S1113" t="e">
        <x:f>HYPERLINK("visual_gallery/index.html#"&amp;A1113,"Галерея")</x:f>
      </x:c>
    </x:row>
    <x:row r="1114">
      <x:c r="A1114" s="87" t="str">
        <x:v>VIS-ENG-NOV-004</x:v>
      </x:c>
      <x:c r="B1114" s="30" t="str"/>
      <x:c r="C1114" s="30" t="str">
        <x:v>Полная страница 4: задания 7–9</x:v>
      </x:c>
      <x:c r="D1114" s="30" t="str">
        <x:v>АЯ2510101</x:v>
      </x:c>
      <x:c r="E1114" s="87"/>
      <x:c r="F1114" s="30" t="str">
        <x:v>Zadanie_AIa11_26112025_pis_mennaia.pdf</x:v>
      </x:c>
      <x:c r="G1114" s="87" t="str">
        <x:v>4</x:v>
      </x:c>
      <x:c r="H1114" s="87" t="str">
        <x:v>v0.82</x:v>
      </x:c>
      <x:c r="I1114" s="87" t="str">
        <x:v>0</x:v>
      </x:c>
      <x:c r="J1114" s="30" t="str"/>
      <x:c r="K1114" s="30" t="str"/>
      <x:c r="L1114" s="87" t="str">
        <x:v>CROP_VERIFIED</x:v>
      </x:c>
      <x:c r="M1114" s="87" t="str">
        <x:v>ORIGINAL_PACKAGE</x:v>
      </x:c>
      <x:c r="N1114" s="87" t="str">
        <x:v>full/VIS-ENG-NOV-004_full.jpg</x:v>
      </x:c>
      <x:c r="O1114" s="87" t="str">
        <x:v>thumb/VIS-ENG-NOV-004_thumb.jpg</x:v>
      </x:c>
      <x:c r="P1114" s="87" t="str">
        <x:v>0075720d6d102efabe2af22e0137e2a7571eacd7e3bbea5b89caa6b3b5647262</x:v>
      </x:c>
      <x:c r="Q1114" s="30" t="str">
        <x:v>incoming/raw/recovery-drop-01/statgrad_clean_branch_v0_01_bundle.zip!/eng_nov_visual_assets_v082.zip!/eng_nov_visual_assets_v082/full/VIS-ENG-NOV-004_full.jpg</x:v>
      </x:c>
      <x:c r="R1114" s="30" t="str">
        <x:v>RESOLVED_UNLINKED_REGISTRY_VISUAL</x:v>
      </x:c>
      <x:c r="S1114" t="e">
        <x:f>HYPERLINK("visual_gallery/index.html#"&amp;A1114,"Галерея")</x:f>
      </x:c>
    </x:row>
    <x:row r="1115">
      <x:c r="A1115" s="87" t="str">
        <x:v>VIS-ENG-NOV-005</x:v>
      </x:c>
      <x:c r="B1115" s="30" t="str"/>
      <x:c r="C1115" s="30" t="str">
        <x:v>Полная страница 5: задание 10, тексты A–C</x:v>
      </x:c>
      <x:c r="D1115" s="30" t="str">
        <x:v>АЯ2510101</x:v>
      </x:c>
      <x:c r="E1115" s="87"/>
      <x:c r="F1115" s="30" t="str">
        <x:v>Zadanie_AIa11_26112025_pis_mennaia.pdf</x:v>
      </x:c>
      <x:c r="G1115" s="87" t="str">
        <x:v>5</x:v>
      </x:c>
      <x:c r="H1115" s="87" t="str">
        <x:v>v0.82</x:v>
      </x:c>
      <x:c r="I1115" s="87" t="str">
        <x:v>0</x:v>
      </x:c>
      <x:c r="J1115" s="30" t="str"/>
      <x:c r="K1115" s="30" t="str"/>
      <x:c r="L1115" s="87" t="str">
        <x:v>CROP_VERIFIED</x:v>
      </x:c>
      <x:c r="M1115" s="87" t="str">
        <x:v>ORIGINAL_PACKAGE</x:v>
      </x:c>
      <x:c r="N1115" s="87" t="str">
        <x:v>full/VIS-ENG-NOV-005_full.jpg</x:v>
      </x:c>
      <x:c r="O1115" s="87" t="str">
        <x:v>thumb/VIS-ENG-NOV-005_thumb.jpg</x:v>
      </x:c>
      <x:c r="P1115" s="87" t="str">
        <x:v>c9b8522a73f32600e7e837ce77acea42f531e0a9d3e9d60ea9598fc667ad99c4</x:v>
      </x:c>
      <x:c r="Q1115" s="30" t="str">
        <x:v>incoming/raw/recovery-drop-01/statgrad_clean_branch_v0_01_bundle.zip!/eng_nov_visual_assets_v082.zip!/eng_nov_visual_assets_v082/full/VIS-ENG-NOV-005_full.jpg</x:v>
      </x:c>
      <x:c r="R1115" s="30" t="str">
        <x:v>RESOLVED_UNLINKED_REGISTRY_VISUAL</x:v>
      </x:c>
      <x:c r="S1115" t="e">
        <x:f>HYPERLINK("visual_gallery/index.html#"&amp;A1115,"Галерея")</x:f>
      </x:c>
    </x:row>
    <x:row r="1116">
      <x:c r="A1116" s="87" t="str">
        <x:v>VIS-ENG-NOV-006</x:v>
      </x:c>
      <x:c r="B1116" s="30" t="str"/>
      <x:c r="C1116" s="30" t="str">
        <x:v>Полная страница 6: задание 10, тексты D–G</x:v>
      </x:c>
      <x:c r="D1116" s="30" t="str">
        <x:v>АЯ2510101</x:v>
      </x:c>
      <x:c r="E1116" s="87"/>
      <x:c r="F1116" s="30" t="str">
        <x:v>Zadanie_AIa11_26112025_pis_mennaia.pdf</x:v>
      </x:c>
      <x:c r="G1116" s="87" t="str">
        <x:v>6</x:v>
      </x:c>
      <x:c r="H1116" s="87" t="str">
        <x:v>v0.82</x:v>
      </x:c>
      <x:c r="I1116" s="87" t="str">
        <x:v>0</x:v>
      </x:c>
      <x:c r="J1116" s="30" t="str"/>
      <x:c r="K1116" s="30" t="str"/>
      <x:c r="L1116" s="87" t="str">
        <x:v>CROP_VERIFIED</x:v>
      </x:c>
      <x:c r="M1116" s="87" t="str">
        <x:v>ORIGINAL_PACKAGE</x:v>
      </x:c>
      <x:c r="N1116" s="87" t="str">
        <x:v>full/VIS-ENG-NOV-006_full.jpg</x:v>
      </x:c>
      <x:c r="O1116" s="87" t="str">
        <x:v>thumb/VIS-ENG-NOV-006_thumb.jpg</x:v>
      </x:c>
      <x:c r="P1116" s="87" t="str">
        <x:v>ec6fec80653a76a72248c511fc94e0906bb17ec02b975956a67c1c6643434bd5</x:v>
      </x:c>
      <x:c r="Q1116" s="30" t="str">
        <x:v>incoming/raw/recovery-drop-01/statgrad_clean_branch_v0_01_bundle.zip!/eng_nov_visual_assets_v082.zip!/eng_nov_visual_assets_v082/full/VIS-ENG-NOV-006_full.jpg</x:v>
      </x:c>
      <x:c r="R1116" s="30" t="str">
        <x:v>RESOLVED_UNLINKED_REGISTRY_VISUAL</x:v>
      </x:c>
      <x:c r="S1116" t="e">
        <x:f>HYPERLINK("visual_gallery/index.html#"&amp;A1116,"Галерея")</x:f>
      </x:c>
    </x:row>
    <x:row r="1117">
      <x:c r="A1117" s="87" t="str">
        <x:v>VIS-ENG-NOV-007</x:v>
      </x:c>
      <x:c r="B1117" s="30" t="str"/>
      <x:c r="C1117" s="30" t="str">
        <x:v>Полная страница 7: задание 11</x:v>
      </x:c>
      <x:c r="D1117" s="30" t="str">
        <x:v>АЯ2510101</x:v>
      </x:c>
      <x:c r="E1117" s="87"/>
      <x:c r="F1117" s="30" t="str">
        <x:v>Zadanie_AIa11_26112025_pis_mennaia.pdf</x:v>
      </x:c>
      <x:c r="G1117" s="87" t="str">
        <x:v>7</x:v>
      </x:c>
      <x:c r="H1117" s="87" t="str">
        <x:v>v0.82</x:v>
      </x:c>
      <x:c r="I1117" s="87" t="str">
        <x:v>0</x:v>
      </x:c>
      <x:c r="J1117" s="30" t="str"/>
      <x:c r="K1117" s="30" t="str"/>
      <x:c r="L1117" s="87" t="str">
        <x:v>CROP_VERIFIED</x:v>
      </x:c>
      <x:c r="M1117" s="87" t="str">
        <x:v>ORIGINAL_PACKAGE</x:v>
      </x:c>
      <x:c r="N1117" s="87" t="str">
        <x:v>full/VIS-ENG-NOV-007_full.jpg</x:v>
      </x:c>
      <x:c r="O1117" s="87" t="str">
        <x:v>thumb/VIS-ENG-NOV-007_thumb.jpg</x:v>
      </x:c>
      <x:c r="P1117" s="87" t="str">
        <x:v>50ad088981ffa4e57a34613dfd3dcb01dff3d7b94cd0807a29596064907883bf</x:v>
      </x:c>
      <x:c r="Q1117" s="30" t="str">
        <x:v>incoming/raw/recovery-drop-01/statgrad_clean_branch_v0_01_bundle.zip!/eng_nov_visual_assets_v082.zip!/eng_nov_visual_assets_v082/full/VIS-ENG-NOV-007_full.jpg</x:v>
      </x:c>
      <x:c r="R1117" s="30" t="str">
        <x:v>RESOLVED_UNLINKED_REGISTRY_VISUAL</x:v>
      </x:c>
      <x:c r="S1117" t="e">
        <x:f>HYPERLINK("visual_gallery/index.html#"&amp;A1117,"Галерея")</x:f>
      </x:c>
    </x:row>
    <x:row r="1118">
      <x:c r="A1118" s="87" t="str">
        <x:v>VIS-ENG-NOV-008</x:v>
      </x:c>
      <x:c r="B1118" s="30" t="str"/>
      <x:c r="C1118" s="30" t="str">
        <x:v>Полная страница 8: текст к заданиям 12–18</x:v>
      </x:c>
      <x:c r="D1118" s="30" t="str">
        <x:v>АЯ2510101</x:v>
      </x:c>
      <x:c r="E1118" s="87"/>
      <x:c r="F1118" s="30" t="str">
        <x:v>Zadanie_AIa11_26112025_pis_mennaia.pdf</x:v>
      </x:c>
      <x:c r="G1118" s="87" t="str">
        <x:v>8</x:v>
      </x:c>
      <x:c r="H1118" s="87" t="str">
        <x:v>v0.82</x:v>
      </x:c>
      <x:c r="I1118" s="87" t="str">
        <x:v>0</x:v>
      </x:c>
      <x:c r="J1118" s="30" t="str"/>
      <x:c r="K1118" s="30" t="str"/>
      <x:c r="L1118" s="87" t="str">
        <x:v>CROP_VERIFIED</x:v>
      </x:c>
      <x:c r="M1118" s="87" t="str">
        <x:v>ORIGINAL_PACKAGE</x:v>
      </x:c>
      <x:c r="N1118" s="87" t="str">
        <x:v>full/VIS-ENG-NOV-008_full.jpg</x:v>
      </x:c>
      <x:c r="O1118" s="87" t="str">
        <x:v>thumb/VIS-ENG-NOV-008_thumb.jpg</x:v>
      </x:c>
      <x:c r="P1118" s="87" t="str">
        <x:v>dc9028eb0767f7e7b695e6659b310fd703fa7935f512b5a9c172ffa37f342395</x:v>
      </x:c>
      <x:c r="Q1118" s="30" t="str">
        <x:v>incoming/raw/recovery-drop-01/statgrad_clean_branch_v0_01_bundle.zip!/eng_nov_visual_assets_v082.zip!/eng_nov_visual_assets_v082/full/VIS-ENG-NOV-008_full.jpg</x:v>
      </x:c>
      <x:c r="R1118" s="30" t="str">
        <x:v>RESOLVED_UNLINKED_REGISTRY_VISUAL</x:v>
      </x:c>
      <x:c r="S1118" t="e">
        <x:f>HYPERLINK("visual_gallery/index.html#"&amp;A1118,"Галерея")</x:f>
      </x:c>
    </x:row>
    <x:row r="1119">
      <x:c r="A1119" s="87" t="str">
        <x:v>VIS-ENG-NOV-009</x:v>
      </x:c>
      <x:c r="B1119" s="30" t="str"/>
      <x:c r="C1119" s="30" t="str">
        <x:v>Полная страница 9: задания 12–14</x:v>
      </x:c>
      <x:c r="D1119" s="30" t="str">
        <x:v>АЯ2510101</x:v>
      </x:c>
      <x:c r="E1119" s="87"/>
      <x:c r="F1119" s="30" t="str">
        <x:v>Zadanie_AIa11_26112025_pis_mennaia.pdf</x:v>
      </x:c>
      <x:c r="G1119" s="87" t="str">
        <x:v>9</x:v>
      </x:c>
      <x:c r="H1119" s="87" t="str">
        <x:v>v0.82</x:v>
      </x:c>
      <x:c r="I1119" s="87" t="str">
        <x:v>0</x:v>
      </x:c>
      <x:c r="J1119" s="30" t="str"/>
      <x:c r="K1119" s="30" t="str"/>
      <x:c r="L1119" s="87" t="str">
        <x:v>CROP_VERIFIED</x:v>
      </x:c>
      <x:c r="M1119" s="87" t="str">
        <x:v>ORIGINAL_PACKAGE</x:v>
      </x:c>
      <x:c r="N1119" s="87" t="str">
        <x:v>full/VIS-ENG-NOV-009_full.jpg</x:v>
      </x:c>
      <x:c r="O1119" s="87" t="str">
        <x:v>thumb/VIS-ENG-NOV-009_thumb.jpg</x:v>
      </x:c>
      <x:c r="P1119" s="87" t="str">
        <x:v>0718ceb9b5ef33483e86206085387bfcb9fdff3aa266fd39a471f76396a15e35</x:v>
      </x:c>
      <x:c r="Q1119" s="30" t="str">
        <x:v>incoming/raw/recovery-drop-01/statgrad_clean_branch_v0_01_bundle.zip!/eng_nov_visual_assets_v082.zip!/eng_nov_visual_assets_v082/full/VIS-ENG-NOV-009_full.jpg</x:v>
      </x:c>
      <x:c r="R1119" s="30" t="str">
        <x:v>RESOLVED_UNLINKED_REGISTRY_VISUAL</x:v>
      </x:c>
      <x:c r="S1119" t="e">
        <x:f>HYPERLINK("visual_gallery/index.html#"&amp;A1119,"Галерея")</x:f>
      </x:c>
    </x:row>
    <x:row r="1120">
      <x:c r="A1120" s="87" t="str">
        <x:v>VIS-ENG-NOV-010</x:v>
      </x:c>
      <x:c r="B1120" s="30" t="str"/>
      <x:c r="C1120" s="30" t="str">
        <x:v>Полная страница 10: задания 15–18</x:v>
      </x:c>
      <x:c r="D1120" s="30" t="str">
        <x:v>АЯ2510101</x:v>
      </x:c>
      <x:c r="E1120" s="87"/>
      <x:c r="F1120" s="30" t="str">
        <x:v>Zadanie_AIa11_26112025_pis_mennaia.pdf</x:v>
      </x:c>
      <x:c r="G1120" s="87" t="str">
        <x:v>10</x:v>
      </x:c>
      <x:c r="H1120" s="87" t="str">
        <x:v>v0.82</x:v>
      </x:c>
      <x:c r="I1120" s="87" t="str">
        <x:v>0</x:v>
      </x:c>
      <x:c r="J1120" s="30" t="str"/>
      <x:c r="K1120" s="30" t="str"/>
      <x:c r="L1120" s="87" t="str">
        <x:v>CROP_VERIFIED</x:v>
      </x:c>
      <x:c r="M1120" s="87" t="str">
        <x:v>ORIGINAL_PACKAGE</x:v>
      </x:c>
      <x:c r="N1120" s="87" t="str">
        <x:v>full/VIS-ENG-NOV-010_full.jpg</x:v>
      </x:c>
      <x:c r="O1120" s="87" t="str">
        <x:v>thumb/VIS-ENG-NOV-010_thumb.jpg</x:v>
      </x:c>
      <x:c r="P1120" s="87" t="str">
        <x:v>8bce731beac0aeb6bbb17d7bc8b4c695db769ced167e39d32a511a4f74cb3153</x:v>
      </x:c>
      <x:c r="Q1120" s="30" t="str">
        <x:v>incoming/raw/recovery-drop-01/statgrad_clean_branch_v0_01_bundle.zip!/eng_nov_visual_assets_v082.zip!/eng_nov_visual_assets_v082/full/VIS-ENG-NOV-010_full.jpg</x:v>
      </x:c>
      <x:c r="R1120" s="30" t="str">
        <x:v>RESOLVED_UNLINKED_REGISTRY_VISUAL</x:v>
      </x:c>
      <x:c r="S1120" t="e">
        <x:f>HYPERLINK("visual_gallery/index.html#"&amp;A1120,"Галерея")</x:f>
      </x:c>
    </x:row>
    <x:row r="1121">
      <x:c r="A1121" s="87" t="str">
        <x:v>VIS-ENG-NOV-011</x:v>
      </x:c>
      <x:c r="B1121" s="30" t="str"/>
      <x:c r="C1121" s="30" t="str">
        <x:v>Полная страница 11: задания 19–24</x:v>
      </x:c>
      <x:c r="D1121" s="30" t="str">
        <x:v>АЯ2510101</x:v>
      </x:c>
      <x:c r="E1121" s="87"/>
      <x:c r="F1121" s="30" t="str">
        <x:v>Zadanie_AIa11_26112025_pis_mennaia.pdf</x:v>
      </x:c>
      <x:c r="G1121" s="87" t="str">
        <x:v>11</x:v>
      </x:c>
      <x:c r="H1121" s="87" t="str">
        <x:v>v0.82</x:v>
      </x:c>
      <x:c r="I1121" s="87" t="str">
        <x:v>0</x:v>
      </x:c>
      <x:c r="J1121" s="30" t="str"/>
      <x:c r="K1121" s="30" t="str"/>
      <x:c r="L1121" s="87" t="str">
        <x:v>CROP_VERIFIED</x:v>
      </x:c>
      <x:c r="M1121" s="87" t="str">
        <x:v>ORIGINAL_PACKAGE</x:v>
      </x:c>
      <x:c r="N1121" s="87" t="str">
        <x:v>full/VIS-ENG-NOV-011_full.jpg</x:v>
      </x:c>
      <x:c r="O1121" s="87" t="str">
        <x:v>thumb/VIS-ENG-NOV-011_thumb.jpg</x:v>
      </x:c>
      <x:c r="P1121" s="87" t="str">
        <x:v>9997509be2271d71192aa7c413a7fc46c661493f229ac5e80b13a5a8c72d890d</x:v>
      </x:c>
      <x:c r="Q1121" s="30" t="str">
        <x:v>incoming/raw/recovery-drop-01/statgrad_clean_branch_v0_01_bundle.zip!/eng_nov_visual_assets_v082.zip!/eng_nov_visual_assets_v082/full/VIS-ENG-NOV-011_full.jpg</x:v>
      </x:c>
      <x:c r="R1121" s="30" t="str">
        <x:v>RESOLVED_UNLINKED_REGISTRY_VISUAL</x:v>
      </x:c>
      <x:c r="S1121" t="e">
        <x:f>HYPERLINK("visual_gallery/index.html#"&amp;A1121,"Галерея")</x:f>
      </x:c>
    </x:row>
    <x:row r="1122">
      <x:c r="A1122" s="87" t="str">
        <x:v>VIS-ENG-NOV-012</x:v>
      </x:c>
      <x:c r="B1122" s="30" t="str"/>
      <x:c r="C1122" s="30" t="str">
        <x:v>Полная страница 12: задания 25–29</x:v>
      </x:c>
      <x:c r="D1122" s="30" t="str">
        <x:v>АЯ2510101</x:v>
      </x:c>
      <x:c r="E1122" s="87"/>
      <x:c r="F1122" s="30" t="str">
        <x:v>Zadanie_AIa11_26112025_pis_mennaia.pdf</x:v>
      </x:c>
      <x:c r="G1122" s="87" t="str">
        <x:v>12</x:v>
      </x:c>
      <x:c r="H1122" s="87" t="str">
        <x:v>v0.82</x:v>
      </x:c>
      <x:c r="I1122" s="87" t="str">
        <x:v>0</x:v>
      </x:c>
      <x:c r="J1122" s="30" t="str"/>
      <x:c r="K1122" s="30" t="str"/>
      <x:c r="L1122" s="87" t="str">
        <x:v>CROP_VERIFIED</x:v>
      </x:c>
      <x:c r="M1122" s="87" t="str">
        <x:v>ORIGINAL_PACKAGE</x:v>
      </x:c>
      <x:c r="N1122" s="87" t="str">
        <x:v>full/VIS-ENG-NOV-012_full.jpg</x:v>
      </x:c>
      <x:c r="O1122" s="87" t="str">
        <x:v>thumb/VIS-ENG-NOV-012_thumb.jpg</x:v>
      </x:c>
      <x:c r="P1122" s="87" t="str">
        <x:v>ca10046a0dd0d76e711948a524fd1f8c48cf726938fd3fe00b770ac9d34fc5ff</x:v>
      </x:c>
      <x:c r="Q1122" s="30" t="str">
        <x:v>incoming/raw/recovery-drop-01/statgrad_clean_branch_v0_01_bundle.zip!/eng_nov_visual_assets_v082.zip!/eng_nov_visual_assets_v082/full/VIS-ENG-NOV-012_full.jpg</x:v>
      </x:c>
      <x:c r="R1122" s="30" t="str">
        <x:v>RESOLVED_UNLINKED_REGISTRY_VISUAL</x:v>
      </x:c>
      <x:c r="S1122" t="e">
        <x:f>HYPERLINK("visual_gallery/index.html#"&amp;A1122,"Галерея")</x:f>
      </x:c>
    </x:row>
    <x:row r="1123">
      <x:c r="A1123" s="87" t="str">
        <x:v>VIS-ENG-NOV-013</x:v>
      </x:c>
      <x:c r="B1123" s="30" t="str"/>
      <x:c r="C1123" s="30" t="str">
        <x:v>Полная страница 13: задания 30–32</x:v>
      </x:c>
      <x:c r="D1123" s="30" t="str">
        <x:v>АЯ2510101</x:v>
      </x:c>
      <x:c r="E1123" s="87"/>
      <x:c r="F1123" s="30" t="str">
        <x:v>Zadanie_AIa11_26112025_pis_mennaia.pdf</x:v>
      </x:c>
      <x:c r="G1123" s="87" t="str">
        <x:v>13</x:v>
      </x:c>
      <x:c r="H1123" s="87" t="str">
        <x:v>v0.82</x:v>
      </x:c>
      <x:c r="I1123" s="87" t="str">
        <x:v>0</x:v>
      </x:c>
      <x:c r="J1123" s="30" t="str"/>
      <x:c r="K1123" s="30" t="str"/>
      <x:c r="L1123" s="87" t="str">
        <x:v>CROP_VERIFIED</x:v>
      </x:c>
      <x:c r="M1123" s="87" t="str">
        <x:v>ORIGINAL_PACKAGE</x:v>
      </x:c>
      <x:c r="N1123" s="87" t="str">
        <x:v>full/VIS-ENG-NOV-013_full.jpg</x:v>
      </x:c>
      <x:c r="O1123" s="87" t="str">
        <x:v>thumb/VIS-ENG-NOV-013_thumb.jpg</x:v>
      </x:c>
      <x:c r="P1123" s="87" t="str">
        <x:v>31ddbca6c5789781cc7f6e774a497bca0c88b0fd7cba2c80e6c4365633fb9d47</x:v>
      </x:c>
      <x:c r="Q1123" s="30" t="str">
        <x:v>incoming/raw/recovery-drop-01/statgrad_clean_branch_v0_01_bundle.zip!/eng_nov_visual_assets_v082.zip!/eng_nov_visual_assets_v082/full/VIS-ENG-NOV-013_full.jpg</x:v>
      </x:c>
      <x:c r="R1123" s="30" t="str">
        <x:v>RESOLVED_UNLINKED_REGISTRY_VISUAL</x:v>
      </x:c>
      <x:c r="S1123" t="e">
        <x:f>HYPERLINK("visual_gallery/index.html#"&amp;A1123,"Галерея")</x:f>
      </x:c>
    </x:row>
    <x:row r="1124">
      <x:c r="A1124" s="87" t="str">
        <x:v>VIS-ENG-NOV-014</x:v>
      </x:c>
      <x:c r="B1124" s="30" t="str"/>
      <x:c r="C1124" s="30" t="str">
        <x:v>Полная страница 14: задания 33–36</x:v>
      </x:c>
      <x:c r="D1124" s="30" t="str">
        <x:v>АЯ2510101</x:v>
      </x:c>
      <x:c r="E1124" s="87"/>
      <x:c r="F1124" s="30" t="str">
        <x:v>Zadanie_AIa11_26112025_pis_mennaia.pdf</x:v>
      </x:c>
      <x:c r="G1124" s="87" t="str">
        <x:v>14</x:v>
      </x:c>
      <x:c r="H1124" s="87" t="str">
        <x:v>v0.82</x:v>
      </x:c>
      <x:c r="I1124" s="87" t="str">
        <x:v>0</x:v>
      </x:c>
      <x:c r="J1124" s="30" t="str"/>
      <x:c r="K1124" s="30" t="str"/>
      <x:c r="L1124" s="87" t="str">
        <x:v>CROP_VERIFIED</x:v>
      </x:c>
      <x:c r="M1124" s="87" t="str">
        <x:v>ORIGINAL_PACKAGE</x:v>
      </x:c>
      <x:c r="N1124" s="87" t="str">
        <x:v>full/VIS-ENG-NOV-014_full.jpg</x:v>
      </x:c>
      <x:c r="O1124" s="87" t="str">
        <x:v>thumb/VIS-ENG-NOV-014_thumb.jpg</x:v>
      </x:c>
      <x:c r="P1124" s="87" t="str">
        <x:v>f13789a86745aa7a7944e87767143c308d1e0d6be8fe406eeec71a850dc4bfcc</x:v>
      </x:c>
      <x:c r="Q1124" s="30" t="str">
        <x:v>incoming/raw/recovery-drop-01/statgrad_clean_branch_v0_01_bundle.zip!/eng_nov_visual_assets_v082.zip!/eng_nov_visual_assets_v082/full/VIS-ENG-NOV-014_full.jpg</x:v>
      </x:c>
      <x:c r="R1124" s="30" t="str">
        <x:v>RESOLVED_UNLINKED_REGISTRY_VISUAL</x:v>
      </x:c>
      <x:c r="S1124" t="e">
        <x:f>HYPERLINK("visual_gallery/index.html#"&amp;A1124,"Галерея")</x:f>
      </x:c>
    </x:row>
    <x:row r="1125">
      <x:c r="A1125" s="87" t="str">
        <x:v>VIS-ENG-NOV-015</x:v>
      </x:c>
      <x:c r="B1125" s="30" t="str"/>
      <x:c r="C1125" s="30" t="str">
        <x:v>Полная страница 15: задание 37</x:v>
      </x:c>
      <x:c r="D1125" s="30" t="str">
        <x:v>АЯ2510101</x:v>
      </x:c>
      <x:c r="E1125" s="87"/>
      <x:c r="F1125" s="30" t="str">
        <x:v>Zadanie_AIa11_26112025_pis_mennaia.pdf</x:v>
      </x:c>
      <x:c r="G1125" s="87" t="str">
        <x:v>15</x:v>
      </x:c>
      <x:c r="H1125" s="87" t="str">
        <x:v>v0.82</x:v>
      </x:c>
      <x:c r="I1125" s="87" t="str">
        <x:v>0</x:v>
      </x:c>
      <x:c r="J1125" s="30" t="str"/>
      <x:c r="K1125" s="30" t="str"/>
      <x:c r="L1125" s="87" t="str">
        <x:v>CROP_VERIFIED</x:v>
      </x:c>
      <x:c r="M1125" s="87" t="str">
        <x:v>ORIGINAL_PACKAGE</x:v>
      </x:c>
      <x:c r="N1125" s="87" t="str">
        <x:v>full/VIS-ENG-NOV-015_full.jpg</x:v>
      </x:c>
      <x:c r="O1125" s="87" t="str">
        <x:v>thumb/VIS-ENG-NOV-015_thumb.jpg</x:v>
      </x:c>
      <x:c r="P1125" s="87" t="str">
        <x:v>5754a0d83f61e7abdd6f6771fbad1fce1de8c1a5aaf6fa87bba89780b09371fb</x:v>
      </x:c>
      <x:c r="Q1125" s="30" t="str">
        <x:v>incoming/raw/recovery-drop-01/statgrad_clean_branch_v0_01_bundle.zip!/eng_nov_visual_assets_v082.zip!/eng_nov_visual_assets_v082/full/VIS-ENG-NOV-015_full.jpg</x:v>
      </x:c>
      <x:c r="R1125" s="30" t="str">
        <x:v>RESOLVED_UNLINKED_REGISTRY_VISUAL</x:v>
      </x:c>
      <x:c r="S1125" t="e">
        <x:f>HYPERLINK("visual_gallery/index.html#"&amp;A1125,"Галерея")</x:f>
      </x:c>
    </x:row>
    <x:row r="1126">
      <x:c r="A1126" s="87" t="str">
        <x:v>VIS-ENG-NOV-016</x:v>
      </x:c>
      <x:c r="B1126" s="30" t="str"/>
      <x:c r="C1126" s="30" t="str">
        <x:v>Полная страница 16: задание 38.1</x:v>
      </x:c>
      <x:c r="D1126" s="30" t="str">
        <x:v>АЯ2510101</x:v>
      </x:c>
      <x:c r="E1126" s="87"/>
      <x:c r="F1126" s="30" t="str">
        <x:v>Zadanie_AIa11_26112025_pis_mennaia.pdf</x:v>
      </x:c>
      <x:c r="G1126" s="87" t="str">
        <x:v>16</x:v>
      </x:c>
      <x:c r="H1126" s="87" t="str">
        <x:v>v0.82</x:v>
      </x:c>
      <x:c r="I1126" s="87" t="str">
        <x:v>0</x:v>
      </x:c>
      <x:c r="J1126" s="30" t="str"/>
      <x:c r="K1126" s="30" t="str"/>
      <x:c r="L1126" s="87" t="str">
        <x:v>CROP_VERIFIED</x:v>
      </x:c>
      <x:c r="M1126" s="87" t="str">
        <x:v>ORIGINAL_PACKAGE</x:v>
      </x:c>
      <x:c r="N1126" s="87" t="str">
        <x:v>full/VIS-ENG-NOV-016_full.jpg</x:v>
      </x:c>
      <x:c r="O1126" s="87" t="str">
        <x:v>thumb/VIS-ENG-NOV-016_thumb.jpg</x:v>
      </x:c>
      <x:c r="P1126" s="87" t="str">
        <x:v>fb598ef2dbcfe62895b91126bc6b392847a12dbd2f1feb1c367548e753a25175</x:v>
      </x:c>
      <x:c r="Q1126" s="30" t="str">
        <x:v>incoming/raw/recovery-drop-01/statgrad_clean_branch_v0_01_bundle.zip!/eng_nov_visual_assets_v082.zip!/eng_nov_visual_assets_v082/full/VIS-ENG-NOV-016_full.jpg</x:v>
      </x:c>
      <x:c r="R1126" s="30" t="str">
        <x:v>RESOLVED_UNLINKED_REGISTRY_VISUAL</x:v>
      </x:c>
      <x:c r="S1126" t="e">
        <x:f>HYPERLINK("visual_gallery/index.html#"&amp;A1126,"Галерея")</x:f>
      </x:c>
    </x:row>
    <x:row r="1127">
      <x:c r="A1127" s="87" t="str">
        <x:v>VIS-ENG-NOV-017</x:v>
      </x:c>
      <x:c r="B1127" s="30" t="str"/>
      <x:c r="C1127" s="30" t="str">
        <x:v>Полная страница 17: задание 38.2</x:v>
      </x:c>
      <x:c r="D1127" s="30" t="str">
        <x:v>АЯ2510101</x:v>
      </x:c>
      <x:c r="E1127" s="87"/>
      <x:c r="F1127" s="30" t="str">
        <x:v>Zadanie_AIa11_26112025_pis_mennaia.pdf</x:v>
      </x:c>
      <x:c r="G1127" s="87" t="str">
        <x:v>17</x:v>
      </x:c>
      <x:c r="H1127" s="87" t="str">
        <x:v>v0.82</x:v>
      </x:c>
      <x:c r="I1127" s="87" t="str">
        <x:v>0</x:v>
      </x:c>
      <x:c r="J1127" s="30" t="str"/>
      <x:c r="K1127" s="30" t="str"/>
      <x:c r="L1127" s="87" t="str">
        <x:v>CROP_VERIFIED</x:v>
      </x:c>
      <x:c r="M1127" s="87" t="str">
        <x:v>ORIGINAL_PACKAGE</x:v>
      </x:c>
      <x:c r="N1127" s="87" t="str">
        <x:v>full/VIS-ENG-NOV-017_full.jpg</x:v>
      </x:c>
      <x:c r="O1127" s="87" t="str">
        <x:v>thumb/VIS-ENG-NOV-017_thumb.jpg</x:v>
      </x:c>
      <x:c r="P1127" s="87" t="str">
        <x:v>23d4c4c6d2bbf33b4b02ed62592b8194a0eec522f5610587e02412b4c6980c55</x:v>
      </x:c>
      <x:c r="Q1127" s="30" t="str">
        <x:v>incoming/raw/recovery-drop-01/statgrad_clean_branch_v0_01_bundle.zip!/eng_nov_visual_assets_v082.zip!/eng_nov_visual_assets_v082/full/VIS-ENG-NOV-017_full.jpg</x:v>
      </x:c>
      <x:c r="R1127" s="30" t="str">
        <x:v>RESOLVED_UNLINKED_REGISTRY_VISUAL</x:v>
      </x:c>
      <x:c r="S1127" t="e">
        <x:f>HYPERLINK("visual_gallery/index.html#"&amp;A1127,"Галерея")</x:f>
      </x:c>
    </x:row>
    <x:row r="1128">
      <x:c r="A1128" s="87" t="str">
        <x:v>VIS-ENG-NOV-018</x:v>
      </x:c>
      <x:c r="B1128" s="30" t="str"/>
      <x:c r="C1128" s="30" t="str">
        <x:v>Инструкция к устной части</x:v>
      </x:c>
      <x:c r="D1128" s="30" t="str">
        <x:v>АЯ2510101</x:v>
      </x:c>
      <x:c r="E1128" s="87"/>
      <x:c r="F1128" s="30" t="str">
        <x:v>Zadanie_AIa11_26112025_ustnaia.pdf</x:v>
      </x:c>
      <x:c r="G1128" s="87" t="str">
        <x:v>1</x:v>
      </x:c>
      <x:c r="H1128" s="87" t="str">
        <x:v>v0.82</x:v>
      </x:c>
      <x:c r="I1128" s="87" t="str">
        <x:v>0</x:v>
      </x:c>
      <x:c r="J1128" s="30" t="str"/>
      <x:c r="K1128" s="30" t="str"/>
      <x:c r="L1128" s="87" t="str">
        <x:v>CROP_VERIFIED</x:v>
      </x:c>
      <x:c r="M1128" s="87" t="str">
        <x:v>ORIGINAL_PACKAGE</x:v>
      </x:c>
      <x:c r="N1128" s="87" t="str">
        <x:v>full/VIS-ENG-NOV-018_full.jpg</x:v>
      </x:c>
      <x:c r="O1128" s="87" t="str">
        <x:v>thumb/VIS-ENG-NOV-018_thumb.jpg</x:v>
      </x:c>
      <x:c r="P1128" s="87" t="str">
        <x:v>8f7db9ac6c4b53551d1152e288c744dc1009f79bef0469c1e6598280bb4baa7f</x:v>
      </x:c>
      <x:c r="Q1128" s="30" t="str">
        <x:v>incoming/raw/recovery-drop-01/statgrad_clean_branch_v0_01_bundle.zip!/eng_nov_visual_assets_v082.zip!/eng_nov_visual_assets_v082/full/VIS-ENG-NOV-018_full.jpg</x:v>
      </x:c>
      <x:c r="R1128" s="30" t="str">
        <x:v>RESOLVED_UNLINKED_REGISTRY_VISUAL</x:v>
      </x:c>
      <x:c r="S1128" t="e">
        <x:f>HYPERLINK("visual_gallery/index.html#"&amp;A1128,"Галерея")</x:f>
      </x:c>
    </x:row>
    <x:row r="1129">
      <x:c r="A1129" s="87" t="str">
        <x:v>VIS-ENG-NOV-019</x:v>
      </x:c>
      <x:c r="B1129" s="30" t="str"/>
      <x:c r="C1129" s="30" t="str">
        <x:v>Полная страница 2: задания 1, 2</x:v>
      </x:c>
      <x:c r="D1129" s="30" t="str">
        <x:v>АЯ2510101</x:v>
      </x:c>
      <x:c r="E1129" s="87"/>
      <x:c r="F1129" s="30" t="str">
        <x:v>Zadanie_AIa11_26112025_ustnaia.pdf</x:v>
      </x:c>
      <x:c r="G1129" s="87" t="str">
        <x:v>2</x:v>
      </x:c>
      <x:c r="H1129" s="87" t="str">
        <x:v>v0.82</x:v>
      </x:c>
      <x:c r="I1129" s="87" t="str">
        <x:v>0</x:v>
      </x:c>
      <x:c r="J1129" s="30" t="str"/>
      <x:c r="K1129" s="30" t="str"/>
      <x:c r="L1129" s="87" t="str">
        <x:v>CROP_VERIFIED</x:v>
      </x:c>
      <x:c r="M1129" s="87" t="str">
        <x:v>ORIGINAL_PACKAGE</x:v>
      </x:c>
      <x:c r="N1129" s="87" t="str">
        <x:v>full/VIS-ENG-NOV-019_full.jpg</x:v>
      </x:c>
      <x:c r="O1129" s="87" t="str">
        <x:v>thumb/VIS-ENG-NOV-019_thumb.jpg</x:v>
      </x:c>
      <x:c r="P1129" s="87" t="str">
        <x:v>b3d675e9dbb10266130d3493c6b264e5e436ecece3cb4abad91e91bef0e980cc</x:v>
      </x:c>
      <x:c r="Q1129" s="30" t="str">
        <x:v>incoming/raw/recovery-drop-01/statgrad_clean_branch_v0_01_bundle.zip!/eng_nov_visual_assets_v082.zip!/eng_nov_visual_assets_v082/full/VIS-ENG-NOV-019_full.jpg</x:v>
      </x:c>
      <x:c r="R1129" s="30" t="str">
        <x:v>RESOLVED_UNLINKED_REGISTRY_VISUAL</x:v>
      </x:c>
      <x:c r="S1129" t="e">
        <x:f>HYPERLINK("visual_gallery/index.html#"&amp;A1129,"Галерея")</x:f>
      </x:c>
    </x:row>
    <x:row r="1130">
      <x:c r="A1130" s="87" t="str">
        <x:v>VIS-ENG-NOV-020</x:v>
      </x:c>
      <x:c r="B1130" s="30" t="str"/>
      <x:c r="C1130" s="30" t="str">
        <x:v>Полная страница 3: задания 3, 4</x:v>
      </x:c>
      <x:c r="D1130" s="30" t="str">
        <x:v>АЯ2510101</x:v>
      </x:c>
      <x:c r="E1130" s="87"/>
      <x:c r="F1130" s="30" t="str">
        <x:v>Zadanie_AIa11_26112025_ustnaia.pdf</x:v>
      </x:c>
      <x:c r="G1130" s="87" t="str">
        <x:v>3</x:v>
      </x:c>
      <x:c r="H1130" s="87" t="str">
        <x:v>v0.82</x:v>
      </x:c>
      <x:c r="I1130" s="87" t="str">
        <x:v>0</x:v>
      </x:c>
      <x:c r="J1130" s="30" t="str"/>
      <x:c r="K1130" s="30" t="str"/>
      <x:c r="L1130" s="87" t="str">
        <x:v>CROP_VERIFIED</x:v>
      </x:c>
      <x:c r="M1130" s="87" t="str">
        <x:v>ORIGINAL_PACKAGE</x:v>
      </x:c>
      <x:c r="N1130" s="87" t="str">
        <x:v>full/VIS-ENG-NOV-020_full.jpg</x:v>
      </x:c>
      <x:c r="O1130" s="87" t="str">
        <x:v>thumb/VIS-ENG-NOV-020_thumb.jpg</x:v>
      </x:c>
      <x:c r="P1130" s="87" t="str">
        <x:v>0820c4a8142f76edd0af3971417195fe03955d1d92757577ab34d8a4b95b72c4</x:v>
      </x:c>
      <x:c r="Q1130" s="30" t="str">
        <x:v>incoming/raw/recovery-drop-01/statgrad_clean_branch_v0_01_bundle.zip!/eng_nov_visual_assets_v082.zip!/eng_nov_visual_assets_v082/full/VIS-ENG-NOV-020_full.jpg</x:v>
      </x:c>
      <x:c r="R1130" s="30" t="str">
        <x:v>RESOLVED_UNLINKED_REGISTRY_VISUAL</x:v>
      </x:c>
      <x:c r="S1130" t="e">
        <x:f>HYPERLINK("visual_gallery/index.html#"&amp;A1130,"Галерея")</x:f>
      </x:c>
    </x:row>
    <x:row r="1131">
      <x:c r="A1131" s="87" t="str">
        <x:v>VIS-ENG-NOV-021</x:v>
      </x:c>
      <x:c r="B1131" s="30" t="str"/>
      <x:c r="C1131" s="30" t="str">
        <x:v>Скрипт аудирования: задание 1, говорящие A–C</x:v>
      </x:c>
      <x:c r="D1131" s="30" t="str">
        <x:v>АЯ2510101</x:v>
      </x:c>
      <x:c r="E1131" s="87"/>
      <x:c r="F1131" s="30" t="str">
        <x:v>Skripty_kriterii_AIa11_26112025.pdf</x:v>
      </x:c>
      <x:c r="G1131" s="87" t="str">
        <x:v>1</x:v>
      </x:c>
      <x:c r="H1131" s="87" t="str">
        <x:v>v0.82</x:v>
      </x:c>
      <x:c r="I1131" s="87" t="str">
        <x:v>0</x:v>
      </x:c>
      <x:c r="J1131" s="30" t="str"/>
      <x:c r="K1131" s="30" t="str"/>
      <x:c r="L1131" s="87" t="str">
        <x:v>CROP_VERIFIED</x:v>
      </x:c>
      <x:c r="M1131" s="87" t="str">
        <x:v>ORIGINAL_PACKAGE</x:v>
      </x:c>
      <x:c r="N1131" s="87" t="str">
        <x:v>full/VIS-ENG-NOV-021_full.jpg</x:v>
      </x:c>
      <x:c r="O1131" s="87" t="str">
        <x:v>thumb/VIS-ENG-NOV-021_thumb.jpg</x:v>
      </x:c>
      <x:c r="P1131" s="87" t="str">
        <x:v>86fcec86c5606bed83a7a7f8cf88379111a37cf438bf208435f36469d5e82dc7</x:v>
      </x:c>
      <x:c r="Q1131" s="30" t="str">
        <x:v>incoming/raw/recovery-drop-01/statgrad_clean_branch_v0_01_bundle.zip!/eng_nov_visual_assets_v082.zip!/eng_nov_visual_assets_v082/full/VIS-ENG-NOV-021_full.jpg</x:v>
      </x:c>
      <x:c r="R1131" s="30" t="str">
        <x:v>RESOLVED_UNLINKED_REGISTRY_VISUAL</x:v>
      </x:c>
      <x:c r="S1131" t="e">
        <x:f>HYPERLINK("visual_gallery/index.html#"&amp;A1131,"Галерея")</x:f>
      </x:c>
    </x:row>
    <x:row r="1132">
      <x:c r="A1132" s="87" t="str">
        <x:v>VIS-ENG-NOV-022</x:v>
      </x:c>
      <x:c r="B1132" s="30" t="str"/>
      <x:c r="C1132" s="30" t="str">
        <x:v>Скрипт аудирования: задание 1, говорящие D–F</x:v>
      </x:c>
      <x:c r="D1132" s="30" t="str">
        <x:v>АЯ2510101</x:v>
      </x:c>
      <x:c r="E1132" s="87"/>
      <x:c r="F1132" s="30" t="str">
        <x:v>Skripty_kriterii_AIa11_26112025.pdf</x:v>
      </x:c>
      <x:c r="G1132" s="87" t="str">
        <x:v>2</x:v>
      </x:c>
      <x:c r="H1132" s="87" t="str">
        <x:v>v0.82</x:v>
      </x:c>
      <x:c r="I1132" s="87" t="str">
        <x:v>0</x:v>
      </x:c>
      <x:c r="J1132" s="30" t="str"/>
      <x:c r="K1132" s="30" t="str"/>
      <x:c r="L1132" s="87" t="str">
        <x:v>CROP_VERIFIED</x:v>
      </x:c>
      <x:c r="M1132" s="87" t="str">
        <x:v>ORIGINAL_PACKAGE</x:v>
      </x:c>
      <x:c r="N1132" s="87" t="str">
        <x:v>full/VIS-ENG-NOV-022_full.jpg</x:v>
      </x:c>
      <x:c r="O1132" s="87" t="str">
        <x:v>thumb/VIS-ENG-NOV-022_thumb.jpg</x:v>
      </x:c>
      <x:c r="P1132" s="87" t="str">
        <x:v>267a96048abe181b300fdbc7c3c91253676ce451d797fe0d4e6868e99b22809d</x:v>
      </x:c>
      <x:c r="Q1132" s="30" t="str">
        <x:v>incoming/raw/recovery-drop-01/statgrad_clean_branch_v0_01_bundle.zip!/eng_nov_visual_assets_v082.zip!/eng_nov_visual_assets_v082/full/VIS-ENG-NOV-022_full.jpg</x:v>
      </x:c>
      <x:c r="R1132" s="30" t="str">
        <x:v>RESOLVED_UNLINKED_REGISTRY_VISUAL</x:v>
      </x:c>
      <x:c r="S1132" t="e">
        <x:f>HYPERLINK("visual_gallery/index.html#"&amp;A1132,"Галерея")</x:f>
      </x:c>
    </x:row>
    <x:row r="1133">
      <x:c r="A1133" s="87" t="str">
        <x:v>VIS-ENG-NOV-023</x:v>
      </x:c>
      <x:c r="B1133" s="30" t="str"/>
      <x:c r="C1133" s="30" t="str">
        <x:v>Скрипт аудирования: задание 2, начало диалога</x:v>
      </x:c>
      <x:c r="D1133" s="30" t="str">
        <x:v>АЯ2510101</x:v>
      </x:c>
      <x:c r="E1133" s="87"/>
      <x:c r="F1133" s="30" t="str">
        <x:v>Skripty_kriterii_AIa11_26112025.pdf</x:v>
      </x:c>
      <x:c r="G1133" s="87" t="str">
        <x:v>3</x:v>
      </x:c>
      <x:c r="H1133" s="87" t="str">
        <x:v>v0.82</x:v>
      </x:c>
      <x:c r="I1133" s="87" t="str">
        <x:v>0</x:v>
      </x:c>
      <x:c r="J1133" s="30" t="str"/>
      <x:c r="K1133" s="30" t="str"/>
      <x:c r="L1133" s="87" t="str">
        <x:v>CROP_VERIFIED</x:v>
      </x:c>
      <x:c r="M1133" s="87" t="str">
        <x:v>ORIGINAL_PACKAGE</x:v>
      </x:c>
      <x:c r="N1133" s="87" t="str">
        <x:v>full/VIS-ENG-NOV-023_full.jpg</x:v>
      </x:c>
      <x:c r="O1133" s="87" t="str">
        <x:v>thumb/VIS-ENG-NOV-023_thumb.jpg</x:v>
      </x:c>
      <x:c r="P1133" s="87" t="str">
        <x:v>1bc8ee4b693120eaafb161c114e90ceda5e2ef55c54f507b7f16966fdba3e552</x:v>
      </x:c>
      <x:c r="Q1133" s="30" t="str">
        <x:v>incoming/raw/recovery-drop-01/statgrad_clean_branch_v0_01_bundle.zip!/eng_nov_visual_assets_v082.zip!/eng_nov_visual_assets_v082/full/VIS-ENG-NOV-023_full.jpg</x:v>
      </x:c>
      <x:c r="R1133" s="30" t="str">
        <x:v>RESOLVED_UNLINKED_REGISTRY_VISUAL</x:v>
      </x:c>
      <x:c r="S1133" t="e">
        <x:f>HYPERLINK("visual_gallery/index.html#"&amp;A1133,"Галерея")</x:f>
      </x:c>
    </x:row>
    <x:row r="1134">
      <x:c r="A1134" s="87" t="str">
        <x:v>VIS-ENG-NOV-024</x:v>
      </x:c>
      <x:c r="B1134" s="30" t="str"/>
      <x:c r="C1134" s="30" t="str">
        <x:v>Скрипт аудирования: задание 2, окончание; начало интервью</x:v>
      </x:c>
      <x:c r="D1134" s="30" t="str">
        <x:v>АЯ2510101</x:v>
      </x:c>
      <x:c r="E1134" s="87"/>
      <x:c r="F1134" s="30" t="str">
        <x:v>Skripty_kriterii_AIa11_26112025.pdf</x:v>
      </x:c>
      <x:c r="G1134" s="87" t="str">
        <x:v>4</x:v>
      </x:c>
      <x:c r="H1134" s="87" t="str">
        <x:v>v0.82</x:v>
      </x:c>
      <x:c r="I1134" s="87" t="str">
        <x:v>0</x:v>
      </x:c>
      <x:c r="J1134" s="30" t="str"/>
      <x:c r="K1134" s="30" t="str"/>
      <x:c r="L1134" s="87" t="str">
        <x:v>CROP_VERIFIED</x:v>
      </x:c>
      <x:c r="M1134" s="87" t="str">
        <x:v>ORIGINAL_PACKAGE</x:v>
      </x:c>
      <x:c r="N1134" s="87" t="str">
        <x:v>full/VIS-ENG-NOV-024_full.jpg</x:v>
      </x:c>
      <x:c r="O1134" s="87" t="str">
        <x:v>thumb/VIS-ENG-NOV-024_thumb.jpg</x:v>
      </x:c>
      <x:c r="P1134" s="87" t="str">
        <x:v>399220b86f2973d8a75679a6e43ae06c63ddb639801e13af1340c0e730c41d06</x:v>
      </x:c>
      <x:c r="Q1134" s="30" t="str">
        <x:v>incoming/raw/recovery-drop-01/statgrad_clean_branch_v0_01_bundle.zip!/eng_nov_visual_assets_v082.zip!/eng_nov_visual_assets_v082/full/VIS-ENG-NOV-024_full.jpg</x:v>
      </x:c>
      <x:c r="R1134" s="30" t="str">
        <x:v>RESOLVED_UNLINKED_REGISTRY_VISUAL</x:v>
      </x:c>
      <x:c r="S1134" t="e">
        <x:f>HYPERLINK("visual_gallery/index.html#"&amp;A1134,"Галерея")</x:f>
      </x:c>
    </x:row>
    <x:row r="1135">
      <x:c r="A1135" s="87" t="str">
        <x:v>VIS-ENG-NOV-025</x:v>
      </x:c>
      <x:c r="B1135" s="30" t="str"/>
      <x:c r="C1135" s="30" t="str">
        <x:v>Скрипт аудирования: задания 3–9</x:v>
      </x:c>
      <x:c r="D1135" s="30" t="str">
        <x:v>АЯ2510101</x:v>
      </x:c>
      <x:c r="E1135" s="87"/>
      <x:c r="F1135" s="30" t="str">
        <x:v>Skripty_kriterii_AIa11_26112025.pdf</x:v>
      </x:c>
      <x:c r="G1135" s="87" t="str">
        <x:v>5</x:v>
      </x:c>
      <x:c r="H1135" s="87" t="str">
        <x:v>v0.82</x:v>
      </x:c>
      <x:c r="I1135" s="87" t="str">
        <x:v>0</x:v>
      </x:c>
      <x:c r="J1135" s="30" t="str"/>
      <x:c r="K1135" s="30" t="str"/>
      <x:c r="L1135" s="87" t="str">
        <x:v>CROP_VERIFIED</x:v>
      </x:c>
      <x:c r="M1135" s="87" t="str">
        <x:v>ORIGINAL_PACKAGE</x:v>
      </x:c>
      <x:c r="N1135" s="87" t="str">
        <x:v>full/VIS-ENG-NOV-025_full.jpg</x:v>
      </x:c>
      <x:c r="O1135" s="87" t="str">
        <x:v>thumb/VIS-ENG-NOV-025_thumb.jpg</x:v>
      </x:c>
      <x:c r="P1135" s="87" t="str">
        <x:v>b3b1e00b5cb3a72cbf3ed5e4c8346389bbfcc72994802b27f00577cb95865c55</x:v>
      </x:c>
      <x:c r="Q1135" s="30" t="str">
        <x:v>incoming/raw/recovery-drop-01/statgrad_clean_branch_v0_01_bundle.zip!/eng_nov_visual_assets_v082.zip!/eng_nov_visual_assets_v082/full/VIS-ENG-NOV-025_full.jpg</x:v>
      </x:c>
      <x:c r="R1135" s="30" t="str">
        <x:v>RESOLVED_UNLINKED_REGISTRY_VISUAL</x:v>
      </x:c>
      <x:c r="S1135" t="e">
        <x:f>HYPERLINK("visual_gallery/index.html#"&amp;A1135,"Галерея")</x:f>
      </x:c>
    </x:row>
    <x:row r="1136">
      <x:c r="A1136" s="87" t="str">
        <x:v>VIS-ENG-NOV-026</x:v>
      </x:c>
      <x:c r="B1136" s="30" t="str"/>
      <x:c r="C1136" s="30" t="str">
        <x:v>Транскрипт устной части: задание 3</x:v>
      </x:c>
      <x:c r="D1136" s="30" t="str">
        <x:v>АЯ2510101</x:v>
      </x:c>
      <x:c r="E1136" s="87"/>
      <x:c r="F1136" s="30" t="str">
        <x:v>Skripty_kriterii_AIa11_26112025.pdf</x:v>
      </x:c>
      <x:c r="G1136" s="87" t="str">
        <x:v>6</x:v>
      </x:c>
      <x:c r="H1136" s="87" t="str">
        <x:v>v0.82</x:v>
      </x:c>
      <x:c r="I1136" s="87" t="str">
        <x:v>0</x:v>
      </x:c>
      <x:c r="J1136" s="30" t="str"/>
      <x:c r="K1136" s="30" t="str"/>
      <x:c r="L1136" s="87" t="str">
        <x:v>CROP_VERIFIED</x:v>
      </x:c>
      <x:c r="M1136" s="87" t="str">
        <x:v>ORIGINAL_PACKAGE</x:v>
      </x:c>
      <x:c r="N1136" s="87" t="str">
        <x:v>full/VIS-ENG-NOV-026_full.jpg</x:v>
      </x:c>
      <x:c r="O1136" s="87" t="str">
        <x:v>thumb/VIS-ENG-NOV-026_thumb.jpg</x:v>
      </x:c>
      <x:c r="P1136" s="87" t="str">
        <x:v>d8e9da8cad1c988a5af0b2661ee086ea613569a3bcf0b22022a058b45fb54965</x:v>
      </x:c>
      <x:c r="Q1136" s="30" t="str">
        <x:v>incoming/raw/recovery-drop-01/statgrad_clean_branch_v0_01_bundle.zip!/eng_nov_visual_assets_v082.zip!/eng_nov_visual_assets_v082/full/VIS-ENG-NOV-026_full.jpg</x:v>
      </x:c>
      <x:c r="R1136" s="30" t="str">
        <x:v>RESOLVED_UNLINKED_REGISTRY_VISUAL</x:v>
      </x:c>
      <x:c r="S1136" t="e">
        <x:f>HYPERLINK("visual_gallery/index.html#"&amp;A1136,"Галерея")</x:f>
      </x:c>
    </x:row>
    <x:row r="1137">
      <x:c r="A1137" s="87" t="str">
        <x:v>VIS-ENG-NOV-027</x:v>
      </x:c>
      <x:c r="B1137" s="30" t="str"/>
      <x:c r="C1137" s="30" t="str">
        <x:v>Система оценивания письменной части</x:v>
      </x:c>
      <x:c r="D1137" s="30" t="str">
        <x:v>АЯ2510101</x:v>
      </x:c>
      <x:c r="E1137" s="87"/>
      <x:c r="F1137" s="30" t="str">
        <x:v>Skripty_kriterii_AIa11_26112025.pdf</x:v>
      </x:c>
      <x:c r="G1137" s="87" t="str">
        <x:v>7</x:v>
      </x:c>
      <x:c r="H1137" s="87" t="str">
        <x:v>v0.82</x:v>
      </x:c>
      <x:c r="I1137" s="87" t="str">
        <x:v>0</x:v>
      </x:c>
      <x:c r="J1137" s="30" t="str"/>
      <x:c r="K1137" s="30" t="str"/>
      <x:c r="L1137" s="87" t="str">
        <x:v>CROP_VERIFIED</x:v>
      </x:c>
      <x:c r="M1137" s="87" t="str">
        <x:v>ORIGINAL_PACKAGE</x:v>
      </x:c>
      <x:c r="N1137" s="87" t="str">
        <x:v>full/VIS-ENG-NOV-027_full.jpg</x:v>
      </x:c>
      <x:c r="O1137" s="87" t="str">
        <x:v>thumb/VIS-ENG-NOV-027_thumb.jpg</x:v>
      </x:c>
      <x:c r="P1137" s="87" t="str">
        <x:v>3362485fd135bb4253dd50d480ebdbe6e31347f272b602ad9d3ad8be7a3d2a94</x:v>
      </x:c>
      <x:c r="Q1137" s="30" t="str">
        <x:v>incoming/raw/recovery-drop-01/statgrad_clean_branch_v0_01_bundle.zip!/eng_nov_visual_assets_v082.zip!/eng_nov_visual_assets_v082/full/VIS-ENG-NOV-027_full.jpg</x:v>
      </x:c>
      <x:c r="R1137" s="30" t="str">
        <x:v>RESOLVED_UNLINKED_REGISTRY_VISUAL</x:v>
      </x:c>
      <x:c r="S1137" t="e">
        <x:f>HYPERLINK("visual_gallery/index.html#"&amp;A1137,"Галерея")</x:f>
      </x:c>
    </x:row>
    <x:row r="1138">
      <x:c r="A1138" s="87" t="str">
        <x:v>VIS-ENG-NOV-028</x:v>
      </x:c>
      <x:c r="B1138" s="30" t="str"/>
      <x:c r="C1138" s="30" t="str">
        <x:v>Критерии задания 37</x:v>
      </x:c>
      <x:c r="D1138" s="30" t="str">
        <x:v>АЯ2510101</x:v>
      </x:c>
      <x:c r="E1138" s="87"/>
      <x:c r="F1138" s="30" t="str">
        <x:v>Skripty_kriterii_AIa11_26112025.pdf</x:v>
      </x:c>
      <x:c r="G1138" s="87" t="str">
        <x:v>8</x:v>
      </x:c>
      <x:c r="H1138" s="87" t="str">
        <x:v>v0.82</x:v>
      </x:c>
      <x:c r="I1138" s="87" t="str">
        <x:v>0</x:v>
      </x:c>
      <x:c r="J1138" s="30" t="str"/>
      <x:c r="K1138" s="30" t="str"/>
      <x:c r="L1138" s="87" t="str">
        <x:v>CROP_VERIFIED</x:v>
      </x:c>
      <x:c r="M1138" s="87" t="str">
        <x:v>ORIGINAL_PACKAGE</x:v>
      </x:c>
      <x:c r="N1138" s="87" t="str">
        <x:v>full/VIS-ENG-NOV-028_full.jpg</x:v>
      </x:c>
      <x:c r="O1138" s="87" t="str">
        <x:v>thumb/VIS-ENG-NOV-028_thumb.jpg</x:v>
      </x:c>
      <x:c r="P1138" s="87" t="str">
        <x:v>346086411ae306694e069606eecd83ffba572ad8a300cb90456b6ccfa58b27f5</x:v>
      </x:c>
      <x:c r="Q1138" s="30" t="str">
        <x:v>incoming/raw/recovery-drop-01/statgrad_clean_branch_v0_01_bundle.zip!/eng_nov_visual_assets_v082.zip!/eng_nov_visual_assets_v082/full/VIS-ENG-NOV-028_full.jpg</x:v>
      </x:c>
      <x:c r="R1138" s="30" t="str">
        <x:v>RESOLVED_UNLINKED_REGISTRY_VISUAL</x:v>
      </x:c>
      <x:c r="S1138" t="e">
        <x:f>HYPERLINK("visual_gallery/index.html#"&amp;A1138,"Галерея")</x:f>
      </x:c>
    </x:row>
    <x:row r="1139">
      <x:c r="A1139" s="87" t="str">
        <x:v>VIS-ENG-NOV-029</x:v>
      </x:c>
      <x:c r="B1139" s="30" t="str"/>
      <x:c r="C1139" s="30" t="str">
        <x:v>Критерии задания 37: продолжение</x:v>
      </x:c>
      <x:c r="D1139" s="30" t="str">
        <x:v>АЯ2510101</x:v>
      </x:c>
      <x:c r="E1139" s="87"/>
      <x:c r="F1139" s="30" t="str">
        <x:v>Skripty_kriterii_AIa11_26112025.pdf</x:v>
      </x:c>
      <x:c r="G1139" s="87" t="str">
        <x:v>9</x:v>
      </x:c>
      <x:c r="H1139" s="87" t="str">
        <x:v>v0.82</x:v>
      </x:c>
      <x:c r="I1139" s="87" t="str">
        <x:v>0</x:v>
      </x:c>
      <x:c r="J1139" s="30" t="str"/>
      <x:c r="K1139" s="30" t="str"/>
      <x:c r="L1139" s="87" t="str">
        <x:v>CROP_VERIFIED</x:v>
      </x:c>
      <x:c r="M1139" s="87" t="str">
        <x:v>ORIGINAL_PACKAGE</x:v>
      </x:c>
      <x:c r="N1139" s="87" t="str">
        <x:v>full/VIS-ENG-NOV-029_full.jpg</x:v>
      </x:c>
      <x:c r="O1139" s="87" t="str">
        <x:v>thumb/VIS-ENG-NOV-029_thumb.jpg</x:v>
      </x:c>
      <x:c r="P1139" s="87" t="str">
        <x:v>c43d0893656d942389d19c573f391ac7cea5ae4c1922e3afbe5c62140853ec46</x:v>
      </x:c>
      <x:c r="Q1139" s="30" t="str">
        <x:v>incoming/raw/recovery-drop-01/statgrad_clean_branch_v0_01_bundle.zip!/eng_nov_visual_assets_v082.zip!/eng_nov_visual_assets_v082/full/VIS-ENG-NOV-029_full.jpg</x:v>
      </x:c>
      <x:c r="R1139" s="30" t="str">
        <x:v>RESOLVED_UNLINKED_REGISTRY_VISUAL</x:v>
      </x:c>
      <x:c r="S1139" t="e">
        <x:f>HYPERLINK("visual_gallery/index.html#"&amp;A1139,"Галерея")</x:f>
      </x:c>
    </x:row>
    <x:row r="1140">
      <x:c r="A1140" s="87" t="str">
        <x:v>VIS-ENG-NOV-030</x:v>
      </x:c>
      <x:c r="B1140" s="30" t="str"/>
      <x:c r="C1140" s="30" t="str">
        <x:v>Дополнительная схема оценивания задания 37</x:v>
      </x:c>
      <x:c r="D1140" s="30" t="str">
        <x:v>АЯ2510101</x:v>
      </x:c>
      <x:c r="E1140" s="87"/>
      <x:c r="F1140" s="30" t="str">
        <x:v>Skripty_kriterii_AIa11_26112025.pdf</x:v>
      </x:c>
      <x:c r="G1140" s="87" t="str">
        <x:v>10</x:v>
      </x:c>
      <x:c r="H1140" s="87" t="str">
        <x:v>v0.82</x:v>
      </x:c>
      <x:c r="I1140" s="87" t="str">
        <x:v>0</x:v>
      </x:c>
      <x:c r="J1140" s="30" t="str"/>
      <x:c r="K1140" s="30" t="str"/>
      <x:c r="L1140" s="87" t="str">
        <x:v>CROP_VERIFIED</x:v>
      </x:c>
      <x:c r="M1140" s="87" t="str">
        <x:v>ORIGINAL_PACKAGE</x:v>
      </x:c>
      <x:c r="N1140" s="87" t="str">
        <x:v>full/VIS-ENG-NOV-030_full.jpg</x:v>
      </x:c>
      <x:c r="O1140" s="87" t="str">
        <x:v>thumb/VIS-ENG-NOV-030_thumb.jpg</x:v>
      </x:c>
      <x:c r="P1140" s="87" t="str">
        <x:v>8d6a938e6312e35c66fe4139980e4ba59db39b7d332dfe1441539655fe1be038</x:v>
      </x:c>
      <x:c r="Q1140" s="30" t="str">
        <x:v>incoming/raw/recovery-drop-01/statgrad_clean_branch_v0_01_bundle.zip!/eng_nov_visual_assets_v082.zip!/eng_nov_visual_assets_v082/full/VIS-ENG-NOV-030_full.jpg</x:v>
      </x:c>
      <x:c r="R1140" s="30" t="str">
        <x:v>RESOLVED_UNLINKED_REGISTRY_VISUAL</x:v>
      </x:c>
      <x:c r="S1140" t="e">
        <x:f>HYPERLINK("visual_gallery/index.html#"&amp;A1140,"Галерея")</x:f>
      </x:c>
    </x:row>
    <x:row r="1141">
      <x:c r="A1141" s="87" t="str">
        <x:v>VIS-ENG-NOV-031</x:v>
      </x:c>
      <x:c r="B1141" s="30" t="str"/>
      <x:c r="C1141" s="30" t="str">
        <x:v>Критерии задания 38</x:v>
      </x:c>
      <x:c r="D1141" s="30" t="str">
        <x:v>АЯ2510101</x:v>
      </x:c>
      <x:c r="E1141" s="87"/>
      <x:c r="F1141" s="30" t="str">
        <x:v>Skripty_kriterii_AIa11_26112025.pdf</x:v>
      </x:c>
      <x:c r="G1141" s="87" t="str">
        <x:v>11</x:v>
      </x:c>
      <x:c r="H1141" s="87" t="str">
        <x:v>v0.82</x:v>
      </x:c>
      <x:c r="I1141" s="87" t="str">
        <x:v>0</x:v>
      </x:c>
      <x:c r="J1141" s="30" t="str"/>
      <x:c r="K1141" s="30" t="str"/>
      <x:c r="L1141" s="87" t="str">
        <x:v>CROP_VERIFIED</x:v>
      </x:c>
      <x:c r="M1141" s="87" t="str">
        <x:v>ORIGINAL_PACKAGE</x:v>
      </x:c>
      <x:c r="N1141" s="87" t="str">
        <x:v>full/VIS-ENG-NOV-031_full.jpg</x:v>
      </x:c>
      <x:c r="O1141" s="87" t="str">
        <x:v>thumb/VIS-ENG-NOV-031_thumb.jpg</x:v>
      </x:c>
      <x:c r="P1141" s="87" t="str">
        <x:v>b2f7b476a9485fb960e3f4e9d53b8956ae7a152162241d2b50384e807fa8b75f</x:v>
      </x:c>
      <x:c r="Q1141" s="30" t="str">
        <x:v>incoming/raw/recovery-drop-01/statgrad_clean_branch_v0_01_bundle.zip!/eng_nov_visual_assets_v082.zip!/eng_nov_visual_assets_v082/full/VIS-ENG-NOV-031_full.jpg</x:v>
      </x:c>
      <x:c r="R1141" s="30" t="str">
        <x:v>RESOLVED_UNLINKED_REGISTRY_VISUAL</x:v>
      </x:c>
      <x:c r="S1141" t="e">
        <x:f>HYPERLINK("visual_gallery/index.html#"&amp;A1141,"Галерея")</x:f>
      </x:c>
    </x:row>
    <x:row r="1142">
      <x:c r="A1142" s="87" t="str">
        <x:v>VIS-ENG-NOV-032</x:v>
      </x:c>
      <x:c r="B1142" s="30" t="str"/>
      <x:c r="C1142" s="30" t="str">
        <x:v>Критерии задания 38: лексика, грамматика, орфография</x:v>
      </x:c>
      <x:c r="D1142" s="30" t="str">
        <x:v>АЯ2510101</x:v>
      </x:c>
      <x:c r="E1142" s="87"/>
      <x:c r="F1142" s="30" t="str">
        <x:v>Skripty_kriterii_AIa11_26112025.pdf</x:v>
      </x:c>
      <x:c r="G1142" s="87" t="str">
        <x:v>12</x:v>
      </x:c>
      <x:c r="H1142" s="87" t="str">
        <x:v>v0.82</x:v>
      </x:c>
      <x:c r="I1142" s="87" t="str">
        <x:v>0</x:v>
      </x:c>
      <x:c r="J1142" s="30" t="str"/>
      <x:c r="K1142" s="30" t="str"/>
      <x:c r="L1142" s="87" t="str">
        <x:v>CROP_VERIFIED</x:v>
      </x:c>
      <x:c r="M1142" s="87" t="str">
        <x:v>ORIGINAL_PACKAGE</x:v>
      </x:c>
      <x:c r="N1142" s="87" t="str">
        <x:v>full/VIS-ENG-NOV-032_full.jpg</x:v>
      </x:c>
      <x:c r="O1142" s="87" t="str">
        <x:v>thumb/VIS-ENG-NOV-032_thumb.jpg</x:v>
      </x:c>
      <x:c r="P1142" s="87" t="str">
        <x:v>37f667b1dd3475c822406e351a9f23df0015dc3b119b229836059b202649ff57</x:v>
      </x:c>
      <x:c r="Q1142" s="30" t="str">
        <x:v>incoming/raw/recovery-drop-01/statgrad_clean_branch_v0_01_bundle.zip!/eng_nov_visual_assets_v082.zip!/eng_nov_visual_assets_v082/full/VIS-ENG-NOV-032_full.jpg</x:v>
      </x:c>
      <x:c r="R1142" s="30" t="str">
        <x:v>RESOLVED_UNLINKED_REGISTRY_VISUAL</x:v>
      </x:c>
      <x:c r="S1142" t="e">
        <x:f>HYPERLINK("visual_gallery/index.html#"&amp;A1142,"Галерея")</x:f>
      </x:c>
    </x:row>
    <x:row r="1143">
      <x:c r="A1143" s="87" t="str">
        <x:v>VIS-ENG-NOV-033</x:v>
      </x:c>
      <x:c r="B1143" s="30" t="str"/>
      <x:c r="C1143" s="30" t="str">
        <x:v>Примечания к оцениванию задания 38</x:v>
      </x:c>
      <x:c r="D1143" s="30" t="str">
        <x:v>АЯ2510101</x:v>
      </x:c>
      <x:c r="E1143" s="87"/>
      <x:c r="F1143" s="30" t="str">
        <x:v>Skripty_kriterii_AIa11_26112025.pdf</x:v>
      </x:c>
      <x:c r="G1143" s="87" t="str">
        <x:v>13</x:v>
      </x:c>
      <x:c r="H1143" s="87" t="str">
        <x:v>v0.82</x:v>
      </x:c>
      <x:c r="I1143" s="87" t="str">
        <x:v>0</x:v>
      </x:c>
      <x:c r="J1143" s="30" t="str"/>
      <x:c r="K1143" s="30" t="str"/>
      <x:c r="L1143" s="87" t="str">
        <x:v>CROP_VERIFIED</x:v>
      </x:c>
      <x:c r="M1143" s="87" t="str">
        <x:v>ORIGINAL_PACKAGE</x:v>
      </x:c>
      <x:c r="N1143" s="87" t="str">
        <x:v>full/VIS-ENG-NOV-033_full.jpg</x:v>
      </x:c>
      <x:c r="O1143" s="87" t="str">
        <x:v>thumb/VIS-ENG-NOV-033_thumb.jpg</x:v>
      </x:c>
      <x:c r="P1143" s="87" t="str">
        <x:v>311743cfd3c162b6c1bdc096e685c6f46dc94bf3ec56f2f0cefa81388e435b2f</x:v>
      </x:c>
      <x:c r="Q1143" s="30" t="str">
        <x:v>incoming/raw/recovery-drop-01/statgrad_clean_branch_v0_01_bundle.zip!/eng_nov_visual_assets_v082.zip!/eng_nov_visual_assets_v082/full/VIS-ENG-NOV-033_full.jpg</x:v>
      </x:c>
      <x:c r="R1143" s="30" t="str">
        <x:v>RESOLVED_UNLINKED_REGISTRY_VISUAL</x:v>
      </x:c>
      <x:c r="S1143" t="e">
        <x:f>HYPERLINK("visual_gallery/index.html#"&amp;A1143,"Галерея")</x:f>
      </x:c>
    </x:row>
    <x:row r="1144">
      <x:c r="A1144" s="87" t="str">
        <x:v>VIS-ENG-NOV-034</x:v>
      </x:c>
      <x:c r="B1144" s="30" t="str"/>
      <x:c r="C1144" s="30" t="str">
        <x:v>Дополнительная схема оценивания задания 38.2</x:v>
      </x:c>
      <x:c r="D1144" s="30" t="str">
        <x:v>АЯ2510101</x:v>
      </x:c>
      <x:c r="E1144" s="87"/>
      <x:c r="F1144" s="30" t="str">
        <x:v>Skripty_kriterii_AIa11_26112025.pdf</x:v>
      </x:c>
      <x:c r="G1144" s="87" t="str">
        <x:v>14</x:v>
      </x:c>
      <x:c r="H1144" s="87" t="str">
        <x:v>v0.82</x:v>
      </x:c>
      <x:c r="I1144" s="87" t="str">
        <x:v>0</x:v>
      </x:c>
      <x:c r="J1144" s="30" t="str"/>
      <x:c r="K1144" s="30" t="str"/>
      <x:c r="L1144" s="87" t="str">
        <x:v>CROP_VERIFIED</x:v>
      </x:c>
      <x:c r="M1144" s="87" t="str">
        <x:v>ORIGINAL_PACKAGE</x:v>
      </x:c>
      <x:c r="N1144" s="87" t="str">
        <x:v>full/VIS-ENG-NOV-034_full.jpg</x:v>
      </x:c>
      <x:c r="O1144" s="87" t="str">
        <x:v>thumb/VIS-ENG-NOV-034_thumb.jpg</x:v>
      </x:c>
      <x:c r="P1144" s="87" t="str">
        <x:v>8c655eb5229a882e6402e7051d6ccdf33847dea45ffd85edb2ce1cdb52ecf64a</x:v>
      </x:c>
      <x:c r="Q1144" s="30" t="str">
        <x:v>incoming/raw/recovery-drop-01/statgrad_clean_branch_v0_01_bundle.zip!/eng_nov_visual_assets_v082.zip!/eng_nov_visual_assets_v082/full/VIS-ENG-NOV-034_full.jpg</x:v>
      </x:c>
      <x:c r="R1144" s="30" t="str">
        <x:v>RESOLVED_UNLINKED_REGISTRY_VISUAL</x:v>
      </x:c>
      <x:c r="S1144" t="e">
        <x:f>HYPERLINK("visual_gallery/index.html#"&amp;A1144,"Галерея")</x:f>
      </x:c>
    </x:row>
    <x:row r="1145">
      <x:c r="A1145" s="87" t="str">
        <x:v>VIS-ENG-NOV-035</x:v>
      </x:c>
      <x:c r="B1145" s="30" t="str"/>
      <x:c r="C1145" s="30" t="str">
        <x:v>Контроль текстуальных совпадений в задании 38</x:v>
      </x:c>
      <x:c r="D1145" s="30" t="str">
        <x:v>АЯ2510101</x:v>
      </x:c>
      <x:c r="E1145" s="87"/>
      <x:c r="F1145" s="30" t="str">
        <x:v>Skripty_kriterii_AIa11_26112025.pdf</x:v>
      </x:c>
      <x:c r="G1145" s="87" t="str">
        <x:v>15</x:v>
      </x:c>
      <x:c r="H1145" s="87" t="str">
        <x:v>v0.82</x:v>
      </x:c>
      <x:c r="I1145" s="87" t="str">
        <x:v>0</x:v>
      </x:c>
      <x:c r="J1145" s="30" t="str"/>
      <x:c r="K1145" s="30" t="str"/>
      <x:c r="L1145" s="87" t="str">
        <x:v>CROP_VERIFIED</x:v>
      </x:c>
      <x:c r="M1145" s="87" t="str">
        <x:v>ORIGINAL_PACKAGE</x:v>
      </x:c>
      <x:c r="N1145" s="87" t="str">
        <x:v>full/VIS-ENG-NOV-035_full.jpg</x:v>
      </x:c>
      <x:c r="O1145" s="87" t="str">
        <x:v>thumb/VIS-ENG-NOV-035_thumb.jpg</x:v>
      </x:c>
      <x:c r="P1145" s="87" t="str">
        <x:v>524a60bc19203a5f1b14f0036d64c263f8a7f0a3ce6dacd5903af657d3657a0b</x:v>
      </x:c>
      <x:c r="Q1145" s="30" t="str">
        <x:v>incoming/raw/recovery-drop-01/statgrad_clean_branch_v0_01_bundle.zip!/eng_nov_visual_assets_v082.zip!/eng_nov_visual_assets_v082/full/VIS-ENG-NOV-035_full.jpg</x:v>
      </x:c>
      <x:c r="R1145" s="30" t="str">
        <x:v>RESOLVED_UNLINKED_REGISTRY_VISUAL</x:v>
      </x:c>
      <x:c r="S1145" t="e">
        <x:f>HYPERLINK("visual_gallery/index.html#"&amp;A1145,"Галерея")</x:f>
      </x:c>
    </x:row>
    <x:row r="1146">
      <x:c r="A1146" s="87" t="str">
        <x:v>VIS-ENG-NOV-036</x:v>
      </x:c>
      <x:c r="B1146" s="30" t="str"/>
      <x:c r="C1146" s="30" t="str">
        <x:v>Порядок подсчёта слов в заданиях 37, 38</x:v>
      </x:c>
      <x:c r="D1146" s="30" t="str">
        <x:v>АЯ2510101</x:v>
      </x:c>
      <x:c r="E1146" s="87"/>
      <x:c r="F1146" s="30" t="str">
        <x:v>Skripty_kriterii_AIa11_26112025.pdf</x:v>
      </x:c>
      <x:c r="G1146" s="87" t="str">
        <x:v>16</x:v>
      </x:c>
      <x:c r="H1146" s="87" t="str">
        <x:v>v0.82</x:v>
      </x:c>
      <x:c r="I1146" s="87" t="str">
        <x:v>0</x:v>
      </x:c>
      <x:c r="J1146" s="30" t="str"/>
      <x:c r="K1146" s="30" t="str"/>
      <x:c r="L1146" s="87" t="str">
        <x:v>CROP_VERIFIED</x:v>
      </x:c>
      <x:c r="M1146" s="87" t="str">
        <x:v>ORIGINAL_PACKAGE</x:v>
      </x:c>
      <x:c r="N1146" s="87" t="str">
        <x:v>full/VIS-ENG-NOV-036_full.jpg</x:v>
      </x:c>
      <x:c r="O1146" s="87" t="str">
        <x:v>thumb/VIS-ENG-NOV-036_thumb.jpg</x:v>
      </x:c>
      <x:c r="P1146" s="87" t="str">
        <x:v>0e2cdd73f5554f757aaf5f26ea68364dc5111a4c721c9afd1ccc979ade942711</x:v>
      </x:c>
      <x:c r="Q1146" s="30" t="str">
        <x:v>incoming/raw/recovery-drop-01/statgrad_clean_branch_v0_01_bundle.zip!/eng_nov_visual_assets_v082.zip!/eng_nov_visual_assets_v082/full/VIS-ENG-NOV-036_full.jpg</x:v>
      </x:c>
      <x:c r="R1146" s="30" t="str">
        <x:v>RESOLVED_UNLINKED_REGISTRY_VISUAL</x:v>
      </x:c>
      <x:c r="S1146" t="e">
        <x:f>HYPERLINK("visual_gallery/index.html#"&amp;A1146,"Галерея")</x:f>
      </x:c>
    </x:row>
    <x:row r="1147">
      <x:c r="A1147" s="87" t="str">
        <x:v>VIS-ENG-NOV-037</x:v>
      </x:c>
      <x:c r="B1147" s="30" t="str"/>
      <x:c r="C1147" s="30" t="str">
        <x:v>Критерии устной части: задания 1–3</x:v>
      </x:c>
      <x:c r="D1147" s="30" t="str">
        <x:v>АЯ2510101</x:v>
      </x:c>
      <x:c r="E1147" s="87"/>
      <x:c r="F1147" s="30" t="str">
        <x:v>Skripty_kriterii_AIa11_26112025.pdf</x:v>
      </x:c>
      <x:c r="G1147" s="87" t="str">
        <x:v>17</x:v>
      </x:c>
      <x:c r="H1147" s="87" t="str">
        <x:v>v0.82</x:v>
      </x:c>
      <x:c r="I1147" s="87" t="str">
        <x:v>0</x:v>
      </x:c>
      <x:c r="J1147" s="30" t="str"/>
      <x:c r="K1147" s="30" t="str"/>
      <x:c r="L1147" s="87" t="str">
        <x:v>CROP_VERIFIED</x:v>
      </x:c>
      <x:c r="M1147" s="87" t="str">
        <x:v>ORIGINAL_PACKAGE</x:v>
      </x:c>
      <x:c r="N1147" s="87" t="str">
        <x:v>full/VIS-ENG-NOV-037_full.jpg</x:v>
      </x:c>
      <x:c r="O1147" s="87" t="str">
        <x:v>thumb/VIS-ENG-NOV-037_thumb.jpg</x:v>
      </x:c>
      <x:c r="P1147" s="87" t="str">
        <x:v>6791250f000e342b4c9abcbb77517713124d6867ea4dc75fe43ec3a707bbdc62</x:v>
      </x:c>
      <x:c r="Q1147" s="30" t="str">
        <x:v>incoming/raw/recovery-drop-01/statgrad_clean_branch_v0_01_bundle.zip!/eng_nov_visual_assets_v082.zip!/eng_nov_visual_assets_v082/full/VIS-ENG-NOV-037_full.jpg</x:v>
      </x:c>
      <x:c r="R1147" s="30" t="str">
        <x:v>RESOLVED_UNLINKED_REGISTRY_VISUAL</x:v>
      </x:c>
      <x:c r="S1147" t="e">
        <x:f>HYPERLINK("visual_gallery/index.html#"&amp;A1147,"Галерея")</x:f>
      </x:c>
    </x:row>
    <x:row r="1148">
      <x:c r="A1148" s="87" t="str">
        <x:v>VIS-ENG-NOV-038</x:v>
      </x:c>
      <x:c r="B1148" s="30" t="str"/>
      <x:c r="C1148" s="30" t="str">
        <x:v>Критерии устной части: задание 4</x:v>
      </x:c>
      <x:c r="D1148" s="30" t="str">
        <x:v>АЯ2510101</x:v>
      </x:c>
      <x:c r="E1148" s="87"/>
      <x:c r="F1148" s="30" t="str">
        <x:v>Skripty_kriterii_AIa11_26112025.pdf</x:v>
      </x:c>
      <x:c r="G1148" s="87" t="str">
        <x:v>18</x:v>
      </x:c>
      <x:c r="H1148" s="87" t="str">
        <x:v>v0.82</x:v>
      </x:c>
      <x:c r="I1148" s="87" t="str">
        <x:v>0</x:v>
      </x:c>
      <x:c r="J1148" s="30" t="str"/>
      <x:c r="K1148" s="30" t="str"/>
      <x:c r="L1148" s="87" t="str">
        <x:v>CROP_VERIFIED</x:v>
      </x:c>
      <x:c r="M1148" s="87" t="str">
        <x:v>ORIGINAL_PACKAGE</x:v>
      </x:c>
      <x:c r="N1148" s="87" t="str">
        <x:v>full/VIS-ENG-NOV-038_full.jpg</x:v>
      </x:c>
      <x:c r="O1148" s="87" t="str">
        <x:v>thumb/VIS-ENG-NOV-038_thumb.jpg</x:v>
      </x:c>
      <x:c r="P1148" s="87" t="str">
        <x:v>df9b582aa720d730b7ccf09b4fd376129d4e09da7e6e459e74e716aa1a62130c</x:v>
      </x:c>
      <x:c r="Q1148" s="30" t="str">
        <x:v>incoming/raw/recovery-drop-01/statgrad_clean_branch_v0_01_bundle.zip!/eng_nov_visual_assets_v082.zip!/eng_nov_visual_assets_v082/full/VIS-ENG-NOV-038_full.jpg</x:v>
      </x:c>
      <x:c r="R1148" s="30" t="str">
        <x:v>RESOLVED_UNLINKED_REGISTRY_VISUAL</x:v>
      </x:c>
      <x:c r="S1148" t="e">
        <x:f>HYPERLINK("visual_gallery/index.html#"&amp;A1148,"Галерея")</x:f>
      </x:c>
    </x:row>
    <x:row r="1149">
      <x:c r="A1149" s="87" t="str">
        <x:v>VIS-ENG-NOV-039</x:v>
      </x:c>
      <x:c r="B1149" s="30" t="str"/>
      <x:c r="C1149" s="30" t="str">
        <x:v>Критерии устной части: задание 4, продолжение</x:v>
      </x:c>
      <x:c r="D1149" s="30" t="str">
        <x:v>АЯ2510101</x:v>
      </x:c>
      <x:c r="E1149" s="87"/>
      <x:c r="F1149" s="30" t="str">
        <x:v>Skripty_kriterii_AIa11_26112025.pdf</x:v>
      </x:c>
      <x:c r="G1149" s="87" t="str">
        <x:v>19</x:v>
      </x:c>
      <x:c r="H1149" s="87" t="str">
        <x:v>v0.82</x:v>
      </x:c>
      <x:c r="I1149" s="87" t="str">
        <x:v>0</x:v>
      </x:c>
      <x:c r="J1149" s="30" t="str"/>
      <x:c r="K1149" s="30" t="str"/>
      <x:c r="L1149" s="87" t="str">
        <x:v>CROP_VERIFIED</x:v>
      </x:c>
      <x:c r="M1149" s="87" t="str">
        <x:v>ORIGINAL_PACKAGE</x:v>
      </x:c>
      <x:c r="N1149" s="87" t="str">
        <x:v>full/VIS-ENG-NOV-039_full.jpg</x:v>
      </x:c>
      <x:c r="O1149" s="87" t="str">
        <x:v>thumb/VIS-ENG-NOV-039_thumb.jpg</x:v>
      </x:c>
      <x:c r="P1149" s="87" t="str">
        <x:v>9a220e770946ca09ba23240f03f9e0ffdda6580703c2f459dce57081dc14b7e8</x:v>
      </x:c>
      <x:c r="Q1149" s="30" t="str">
        <x:v>incoming/raw/recovery-drop-01/statgrad_clean_branch_v0_01_bundle.zip!/eng_nov_visual_assets_v082.zip!/eng_nov_visual_assets_v082/full/VIS-ENG-NOV-039_full.jpg</x:v>
      </x:c>
      <x:c r="R1149" s="30" t="str">
        <x:v>RESOLVED_UNLINKED_REGISTRY_VISUAL</x:v>
      </x:c>
      <x:c r="S1149" t="e">
        <x:f>HYPERLINK("visual_gallery/index.html#"&amp;A1149,"Галерея")</x:f>
      </x:c>
    </x:row>
    <x:row r="1150">
      <x:c r="A1150" s="87" t="str">
        <x:v>VIS-ENG-NOV-040</x:v>
      </x:c>
      <x:c r="B1150" s="30" t="str"/>
      <x:c r="C1150" s="30" t="str">
        <x:v>Критерии устной части: задание 4, продолжение</x:v>
      </x:c>
      <x:c r="D1150" s="30" t="str">
        <x:v>АЯ2510101</x:v>
      </x:c>
      <x:c r="E1150" s="87"/>
      <x:c r="F1150" s="30" t="str">
        <x:v>Skripty_kriterii_AIa11_26112025.pdf</x:v>
      </x:c>
      <x:c r="G1150" s="87" t="str">
        <x:v>20</x:v>
      </x:c>
      <x:c r="H1150" s="87" t="str">
        <x:v>v0.82</x:v>
      </x:c>
      <x:c r="I1150" s="87" t="str">
        <x:v>0</x:v>
      </x:c>
      <x:c r="J1150" s="30" t="str"/>
      <x:c r="K1150" s="30" t="str"/>
      <x:c r="L1150" s="87" t="str">
        <x:v>CROP_VERIFIED</x:v>
      </x:c>
      <x:c r="M1150" s="87" t="str">
        <x:v>ORIGINAL_PACKAGE</x:v>
      </x:c>
      <x:c r="N1150" s="87" t="str">
        <x:v>full/VIS-ENG-NOV-040_full.jpg</x:v>
      </x:c>
      <x:c r="O1150" s="87" t="str">
        <x:v>thumb/VIS-ENG-NOV-040_thumb.jpg</x:v>
      </x:c>
      <x:c r="P1150" s="87" t="str">
        <x:v>e01a590fb7bd29d7d6f576d792746aff7bc9b4131bec3973e4ba4b9483a427a0</x:v>
      </x:c>
      <x:c r="Q1150" s="30" t="str">
        <x:v>incoming/raw/recovery-drop-01/statgrad_clean_branch_v0_01_bundle.zip!/eng_nov_visual_assets_v082.zip!/eng_nov_visual_assets_v082/full/VIS-ENG-NOV-040_full.jpg</x:v>
      </x:c>
      <x:c r="R1150" s="30" t="str">
        <x:v>RESOLVED_UNLINKED_REGISTRY_VISUAL</x:v>
      </x:c>
      <x:c r="S1150" t="e">
        <x:f>HYPERLINK("visual_gallery/index.html#"&amp;A1150,"Галерея")</x:f>
      </x:c>
    </x:row>
    <x:row r="1151">
      <x:c r="A1151" s="87" t="str">
        <x:v>VIS-ENG-NOV-041</x:v>
      </x:c>
      <x:c r="B1151" s="30" t="str"/>
      <x:c r="C1151" s="30" t="str">
        <x:v>Дополнительная схема оценивания задания 4</x:v>
      </x:c>
      <x:c r="D1151" s="30" t="str">
        <x:v>АЯ2510101</x:v>
      </x:c>
      <x:c r="E1151" s="87"/>
      <x:c r="F1151" s="30" t="str">
        <x:v>Skripty_kriterii_AIa11_26112025.pdf</x:v>
      </x:c>
      <x:c r="G1151" s="87" t="str">
        <x:v>21</x:v>
      </x:c>
      <x:c r="H1151" s="87" t="str">
        <x:v>v0.82</x:v>
      </x:c>
      <x:c r="I1151" s="87" t="str">
        <x:v>0</x:v>
      </x:c>
      <x:c r="J1151" s="30" t="str"/>
      <x:c r="K1151" s="30" t="str"/>
      <x:c r="L1151" s="87" t="str">
        <x:v>CROP_VERIFIED</x:v>
      </x:c>
      <x:c r="M1151" s="87" t="str">
        <x:v>ORIGINAL_PACKAGE</x:v>
      </x:c>
      <x:c r="N1151" s="87" t="str">
        <x:v>full/VIS-ENG-NOV-041_full.jpg</x:v>
      </x:c>
      <x:c r="O1151" s="87" t="str">
        <x:v>thumb/VIS-ENG-NOV-041_thumb.jpg</x:v>
      </x:c>
      <x:c r="P1151" s="87" t="str">
        <x:v>c4995f77ecb4e319f663f944097ec1e528340644ad0136e79c46565235528a1f</x:v>
      </x:c>
      <x:c r="Q1151" s="30" t="str">
        <x:v>incoming/raw/recovery-drop-01/statgrad_clean_branch_v0_01_bundle.zip!/eng_nov_visual_assets_v082.zip!/eng_nov_visual_assets_v082/full/VIS-ENG-NOV-041_full.jpg</x:v>
      </x:c>
      <x:c r="R1151" s="30" t="str">
        <x:v>RESOLVED_UNLINKED_REGISTRY_VISUAL</x:v>
      </x:c>
      <x:c r="S1151" t="e">
        <x:f>HYPERLINK("visual_gallery/index.html#"&amp;A1151,"Галерея")</x:f>
      </x:c>
    </x:row>
    <x:row r="1152">
      <x:c r="A1152" s="87" t="str">
        <x:v>VIS-ENG-NOV-042</x:v>
      </x:c>
      <x:c r="B1152" s="30" t="str"/>
      <x:c r="C1152" s="30" t="str">
        <x:v>Языковой материал для задания 3</x:v>
      </x:c>
      <x:c r="D1152" s="30" t="str">
        <x:v>АЯ2510101</x:v>
      </x:c>
      <x:c r="E1152" s="87"/>
      <x:c r="F1152" s="30" t="str">
        <x:v>Skripty_kriterii_AIa11_26112025.pdf</x:v>
      </x:c>
      <x:c r="G1152" s="87" t="str">
        <x:v>22</x:v>
      </x:c>
      <x:c r="H1152" s="87" t="str">
        <x:v>v0.82</x:v>
      </x:c>
      <x:c r="I1152" s="87" t="str">
        <x:v>0</x:v>
      </x:c>
      <x:c r="J1152" s="30" t="str"/>
      <x:c r="K1152" s="30" t="str"/>
      <x:c r="L1152" s="87" t="str">
        <x:v>CROP_VERIFIED</x:v>
      </x:c>
      <x:c r="M1152" s="87" t="str">
        <x:v>ORIGINAL_PACKAGE</x:v>
      </x:c>
      <x:c r="N1152" s="87" t="str">
        <x:v>full/VIS-ENG-NOV-042_full.jpg</x:v>
      </x:c>
      <x:c r="O1152" s="87" t="str">
        <x:v>thumb/VIS-ENG-NOV-042_thumb.jpg</x:v>
      </x:c>
      <x:c r="P1152" s="87" t="str">
        <x:v>5bd07a2792e56b1ce0830130c9c3ac73d49f33a8aeb716129cd82efece115b53</x:v>
      </x:c>
      <x:c r="Q1152" s="30" t="str">
        <x:v>incoming/raw/recovery-drop-01/statgrad_clean_branch_v0_01_bundle.zip!/eng_nov_visual_assets_v082.zip!/eng_nov_visual_assets_v082/full/VIS-ENG-NOV-042_full.jpg</x:v>
      </x:c>
      <x:c r="R1152" s="30" t="str">
        <x:v>RESOLVED_UNLINKED_REGISTRY_VISUAL</x:v>
      </x:c>
      <x:c r="S1152" t="e">
        <x:f>HYPERLINK("visual_gallery/index.html#"&amp;A1152,"Галерея")</x:f>
      </x:c>
    </x:row>
    <x:row r="1153">
      <x:c r="A1153" s="87" t="str">
        <x:v>VIS-ENG-NOV-043</x:v>
      </x:c>
      <x:c r="B1153" s="30" t="str"/>
      <x:c r="C1153" s="30" t="str">
        <x:v>Официальная таблица ответов к заданиям 1, 2, 10, 11, 19–29</x:v>
      </x:c>
      <x:c r="D1153" s="30" t="str">
        <x:v>АЯ2510101</x:v>
      </x:c>
      <x:c r="E1153" s="87"/>
      <x:c r="F1153" s="30" t="str">
        <x:v>Otvety_AIa11_26112025.pdf</x:v>
      </x:c>
      <x:c r="G1153" s="87" t="str">
        <x:v>1</x:v>
      </x:c>
      <x:c r="H1153" s="87" t="str">
        <x:v>v0.82</x:v>
      </x:c>
      <x:c r="I1153" s="87" t="str">
        <x:v>0</x:v>
      </x:c>
      <x:c r="J1153" s="30" t="str"/>
      <x:c r="K1153" s="30" t="str"/>
      <x:c r="L1153" s="87" t="str">
        <x:v>CROP_VERIFIED</x:v>
      </x:c>
      <x:c r="M1153" s="87" t="str">
        <x:v>ORIGINAL_PACKAGE</x:v>
      </x:c>
      <x:c r="N1153" s="87" t="str">
        <x:v>full/VIS-ENG-NOV-043_full.jpg</x:v>
      </x:c>
      <x:c r="O1153" s="87" t="str">
        <x:v>thumb/VIS-ENG-NOV-043_thumb.jpg</x:v>
      </x:c>
      <x:c r="P1153" s="87" t="str">
        <x:v>7699cc0cb9edbce3702932f12f3757d451e0ba20e1de1cecf40c3941e5d04e88</x:v>
      </x:c>
      <x:c r="Q1153" s="30" t="str">
        <x:v>incoming/raw/recovery-drop-01/statgrad_clean_branch_v0_01_bundle.zip!/eng_nov_visual_assets_v082.zip!/eng_nov_visual_assets_v082/full/VIS-ENG-NOV-043_full.jpg</x:v>
      </x:c>
      <x:c r="R1153" s="30" t="str">
        <x:v>RESOLVED_UNLINKED_REGISTRY_VISUAL</x:v>
      </x:c>
      <x:c r="S1153" t="e">
        <x:f>HYPERLINK("visual_gallery/index.html#"&amp;A1153,"Галерея")</x:f>
      </x:c>
    </x:row>
    <x:row r="1154">
      <x:c r="A1154" s="87" t="str">
        <x:v>VIS-GEO-NOV-001</x:v>
      </x:c>
      <x:c r="B1154" s="30" t="str">
        <x:v>География</x:v>
      </x:c>
      <x:c r="C1154" s="30" t="str">
        <x:v>Полная страница 2: задания 1–3</x:v>
      </x:c>
      <x:c r="D1154" s="30" t="str">
        <x:v>ГГ2510201</x:v>
      </x:c>
      <x:c r="E1154" s="87"/>
      <x:c r="F1154" s="30" t="str">
        <x:v>Zadanie_GG11_24112025.pdf</x:v>
      </x:c>
      <x:c r="G1154" s="87" t="str">
        <x:v>2</x:v>
      </x:c>
      <x:c r="H1154" s="87" t="str">
        <x:v>v0.80</x:v>
      </x:c>
      <x:c r="I1154" s="87" t="str">
        <x:v>3</x:v>
      </x:c>
      <x:c r="J1154" s="30" t="str">
        <x:v>VIS_ID</x:v>
      </x:c>
      <x:c r="K1154" s="30" t="str">
        <x:v>NOV-GEO-V1-001, NOV-GEO-V1-002, NOV-GEO-V1-003</x:v>
      </x:c>
      <x:c r="L1154" s="87" t="str">
        <x:v>CROP_VERIFIED</x:v>
      </x:c>
      <x:c r="M1154" s="87" t="str">
        <x:v>ORIGINAL_PACKAGE</x:v>
      </x:c>
      <x:c r="N1154" s="87"/>
      <x:c r="O1154" s="87"/>
      <x:c r="P1154" s="87" t="str">
        <x:v>83b391d8d2f213dd8c227eaa9f6669d73460f6b56f0b29c93b6d56721006530c</x:v>
      </x:c>
      <x:c r="Q1154" s="30" t="str">
        <x:v>incoming/raw/recovery-drop-01/statgrad_clean_branch_v0_01_bundle.zip!/november_visual_package_v082.zip!/november_visual_package_v082/geo_nov_visual_assets_v080.zip!/geo_nov_visual_assets_v080/full/VIS-GEO-NOV-001_full.jpg</x:v>
      </x:c>
      <x:c r="R1154" s="30" t="str">
        <x:v>MATCHED_ASSET | BENIGN_COMPLEMENTARY</x:v>
      </x:c>
      <x:c r="S1154" t="e">
        <x:f>HYPERLINK("visual_gallery/index.html#"&amp;A1154,"Галерея")</x:f>
      </x:c>
    </x:row>
    <x:row r="1155">
      <x:c r="A1155" s="87" t="str">
        <x:v>VIS-GEO-NOV-002</x:v>
      </x:c>
      <x:c r="B1155" s="30" t="str">
        <x:v>География</x:v>
      </x:c>
      <x:c r="C1155" s="30" t="str">
        <x:v>Полная страница 3: задания 4–5</x:v>
      </x:c>
      <x:c r="D1155" s="30" t="str">
        <x:v>ГГ2510201</x:v>
      </x:c>
      <x:c r="E1155" s="87"/>
      <x:c r="F1155" s="30" t="str">
        <x:v>Zadanie_GG11_24112025.pdf</x:v>
      </x:c>
      <x:c r="G1155" s="87" t="str">
        <x:v>3</x:v>
      </x:c>
      <x:c r="H1155" s="87" t="str">
        <x:v>v0.80</x:v>
      </x:c>
      <x:c r="I1155" s="87" t="str">
        <x:v>2</x:v>
      </x:c>
      <x:c r="J1155" s="30" t="str">
        <x:v>VIS_ID</x:v>
      </x:c>
      <x:c r="K1155" s="30" t="str">
        <x:v>NOV-GEO-V1-004, NOV-GEO-V1-005</x:v>
      </x:c>
      <x:c r="L1155" s="87" t="str">
        <x:v>CROP_VERIFIED</x:v>
      </x:c>
      <x:c r="M1155" s="87" t="str">
        <x:v>ORIGINAL_PACKAGE</x:v>
      </x:c>
      <x:c r="N1155" s="87"/>
      <x:c r="O1155" s="87"/>
      <x:c r="P1155" s="87" t="str">
        <x:v>ea285f42fcb0e40ba8b40a5f88f0044b8e918bdc2b9ea94b9978190e9f741471</x:v>
      </x:c>
      <x:c r="Q1155" s="30" t="str">
        <x:v>incoming/raw/recovery-drop-01/statgrad_clean_branch_v0_01_bundle.zip!/november_visual_package_v082.zip!/november_visual_package_v082/geo_nov_visual_assets_v080.zip!/geo_nov_visual_assets_v080/full/VIS-GEO-NOV-002_full.jpg</x:v>
      </x:c>
      <x:c r="R1155" s="30" t="str">
        <x:v>MATCHED_ASSET | BENIGN_COMPLEMENTARY</x:v>
      </x:c>
      <x:c r="S1155" t="e">
        <x:f>HYPERLINK("visual_gallery/index.html#"&amp;A1155,"Галерея")</x:f>
      </x:c>
    </x:row>
    <x:row r="1156">
      <x:c r="A1156" s="87" t="str">
        <x:v>VIS-GEO-NOV-003</x:v>
      </x:c>
      <x:c r="B1156" s="30" t="str">
        <x:v>География</x:v>
      </x:c>
      <x:c r="C1156" s="30" t="str">
        <x:v>Полная страница 4: продолжение задания 5 и задание 6</x:v>
      </x:c>
      <x:c r="D1156" s="30" t="str">
        <x:v>ГГ2510201</x:v>
      </x:c>
      <x:c r="E1156" s="87"/>
      <x:c r="F1156" s="30" t="str">
        <x:v>Zadanie_GG11_24112025.pdf</x:v>
      </x:c>
      <x:c r="G1156" s="87" t="str">
        <x:v>4</x:v>
      </x:c>
      <x:c r="H1156" s="87" t="str">
        <x:v>v0.80</x:v>
      </x:c>
      <x:c r="I1156" s="87" t="str">
        <x:v>2</x:v>
      </x:c>
      <x:c r="J1156" s="30" t="str">
        <x:v>VIS_ID</x:v>
      </x:c>
      <x:c r="K1156" s="30" t="str">
        <x:v>NOV-GEO-V1-005, NOV-GEO-V1-006</x:v>
      </x:c>
      <x:c r="L1156" s="87" t="str">
        <x:v>CROP_VERIFIED</x:v>
      </x:c>
      <x:c r="M1156" s="87" t="str">
        <x:v>ORIGINAL_PACKAGE</x:v>
      </x:c>
      <x:c r="N1156" s="87"/>
      <x:c r="O1156" s="87"/>
      <x:c r="P1156" s="87" t="str">
        <x:v>86be7152bfa28028a4c9422a4229b34233d23c4b3ebb18302f2b61aee16e5eb6</x:v>
      </x:c>
      <x:c r="Q1156" s="30" t="str">
        <x:v>incoming/raw/recovery-drop-01/statgrad_clean_branch_v0_01_bundle.zip!/november_visual_package_v082.zip!/november_visual_package_v082/geo_nov_visual_assets_v080.zip!/geo_nov_visual_assets_v080/full/VIS-GEO-NOV-003_full.jpg</x:v>
      </x:c>
      <x:c r="R1156" s="30" t="str">
        <x:v>MATCHED_ASSET | BENIGN_COMPLEMENTARY</x:v>
      </x:c>
      <x:c r="S1156" t="e">
        <x:f>HYPERLINK("visual_gallery/index.html#"&amp;A1156,"Галерея")</x:f>
      </x:c>
    </x:row>
    <x:row r="1157">
      <x:c r="A1157" s="87" t="str">
        <x:v>VIS-GEO-NOV-004</x:v>
      </x:c>
      <x:c r="B1157" s="30" t="str">
        <x:v>География</x:v>
      </x:c>
      <x:c r="C1157" s="30" t="str">
        <x:v>Полная страница 5: задания 7–8</x:v>
      </x:c>
      <x:c r="D1157" s="30" t="str">
        <x:v>ГГ2510201</x:v>
      </x:c>
      <x:c r="E1157" s="87"/>
      <x:c r="F1157" s="30" t="str">
        <x:v>Zadanie_GG11_24112025.pdf</x:v>
      </x:c>
      <x:c r="G1157" s="87" t="str">
        <x:v>5</x:v>
      </x:c>
      <x:c r="H1157" s="87" t="str">
        <x:v>v0.80</x:v>
      </x:c>
      <x:c r="I1157" s="87" t="str">
        <x:v>2</x:v>
      </x:c>
      <x:c r="J1157" s="30" t="str">
        <x:v>VIS_ID</x:v>
      </x:c>
      <x:c r="K1157" s="30" t="str">
        <x:v>NOV-GEO-V1-007, NOV-GEO-V1-008</x:v>
      </x:c>
      <x:c r="L1157" s="87" t="str">
        <x:v>CROP_VERIFIED</x:v>
      </x:c>
      <x:c r="M1157" s="87" t="str">
        <x:v>ORIGINAL_PACKAGE</x:v>
      </x:c>
      <x:c r="N1157" s="87"/>
      <x:c r="O1157" s="87"/>
      <x:c r="P1157" s="87" t="str">
        <x:v>ef80e98eed64a22eca67fa89c9512dd511f327b51cebc1681e6314d499d46584</x:v>
      </x:c>
      <x:c r="Q1157" s="30" t="str">
        <x:v>incoming/raw/recovery-drop-01/statgrad_clean_branch_v0_01_bundle.zip!/november_visual_package_v082.zip!/november_visual_package_v082/geo_nov_visual_assets_v080.zip!/geo_nov_visual_assets_v080/full/VIS-GEO-NOV-004_full.jpg</x:v>
      </x:c>
      <x:c r="R1157" s="30" t="str">
        <x:v>MATCHED_ASSET | BENIGN_COMPLEMENTARY</x:v>
      </x:c>
      <x:c r="S1157" t="e">
        <x:f>HYPERLINK("visual_gallery/index.html#"&amp;A1157,"Галерея")</x:f>
      </x:c>
    </x:row>
    <x:row r="1158">
      <x:c r="A1158" s="87" t="str">
        <x:v>VIS-GEO-NOV-005</x:v>
      </x:c>
      <x:c r="B1158" s="30" t="str">
        <x:v>География</x:v>
      </x:c>
      <x:c r="C1158" s="30" t="str">
        <x:v>Полная страница 6: задания 9–10</x:v>
      </x:c>
      <x:c r="D1158" s="30" t="str">
        <x:v>ГГ2510201</x:v>
      </x:c>
      <x:c r="E1158" s="87"/>
      <x:c r="F1158" s="30" t="str">
        <x:v>Zadanie_GG11_24112025.pdf</x:v>
      </x:c>
      <x:c r="G1158" s="87" t="str">
        <x:v>6</x:v>
      </x:c>
      <x:c r="H1158" s="87" t="str">
        <x:v>v0.80</x:v>
      </x:c>
      <x:c r="I1158" s="87" t="str">
        <x:v>2</x:v>
      </x:c>
      <x:c r="J1158" s="30" t="str">
        <x:v>VIS_ID</x:v>
      </x:c>
      <x:c r="K1158" s="30" t="str">
        <x:v>NOV-GEO-V1-009, NOV-GEO-V1-010</x:v>
      </x:c>
      <x:c r="L1158" s="87" t="str">
        <x:v>CROP_VERIFIED</x:v>
      </x:c>
      <x:c r="M1158" s="87" t="str">
        <x:v>ORIGINAL_PACKAGE</x:v>
      </x:c>
      <x:c r="N1158" s="87"/>
      <x:c r="O1158" s="87"/>
      <x:c r="P1158" s="87" t="str">
        <x:v>f74caa113ad2fb901eba49d5053c8608c21a440035851ccc3443ee7fbd760de0</x:v>
      </x:c>
      <x:c r="Q1158" s="30" t="str">
        <x:v>incoming/raw/recovery-drop-01/statgrad_clean_branch_v0_01_bundle.zip!/november_visual_package_v082.zip!/november_visual_package_v082/geo_nov_visual_assets_v080.zip!/geo_nov_visual_assets_v080/full/VIS-GEO-NOV-005_full.jpg</x:v>
      </x:c>
      <x:c r="R1158" s="30" t="str">
        <x:v>MATCHED_ASSET | BENIGN_COMPLEMENTARY</x:v>
      </x:c>
      <x:c r="S1158" t="e">
        <x:f>HYPERLINK("visual_gallery/index.html#"&amp;A1158,"Галерея")</x:f>
      </x:c>
    </x:row>
    <x:row r="1159">
      <x:c r="A1159" s="87" t="str">
        <x:v>VIS-GEO-NOV-006</x:v>
      </x:c>
      <x:c r="B1159" s="30" t="str">
        <x:v>География</x:v>
      </x:c>
      <x:c r="C1159" s="30" t="str">
        <x:v>Полная страница 7: карта осадков и задания 11–12</x:v>
      </x:c>
      <x:c r="D1159" s="30" t="str">
        <x:v>ГГ2510201</x:v>
      </x:c>
      <x:c r="E1159" s="87"/>
      <x:c r="F1159" s="30" t="str">
        <x:v>Zadanie_GG11_24112025.pdf</x:v>
      </x:c>
      <x:c r="G1159" s="87" t="str">
        <x:v>7</x:v>
      </x:c>
      <x:c r="H1159" s="87" t="str">
        <x:v>v0.80</x:v>
      </x:c>
      <x:c r="I1159" s="87" t="str">
        <x:v>2</x:v>
      </x:c>
      <x:c r="J1159" s="30" t="str">
        <x:v>VIS_ID</x:v>
      </x:c>
      <x:c r="K1159" s="30" t="str">
        <x:v>NOV-GEO-V1-011, NOV-GEO-V1-012</x:v>
      </x:c>
      <x:c r="L1159" s="87" t="str">
        <x:v>CROP_VERIFIED</x:v>
      </x:c>
      <x:c r="M1159" s="87" t="str">
        <x:v>ORIGINAL_PACKAGE</x:v>
      </x:c>
      <x:c r="N1159" s="87"/>
      <x:c r="O1159" s="87"/>
      <x:c r="P1159" s="87" t="str">
        <x:v>ced0e3567f16bc00c8c1934dce426abe147a83b5004628956599e542567a0921</x:v>
      </x:c>
      <x:c r="Q1159" s="30" t="str">
        <x:v>incoming/raw/recovery-drop-01/statgrad_clean_branch_v0_01_bundle.zip!/november_visual_package_v082.zip!/november_visual_package_v082/geo_nov_visual_assets_v080.zip!/geo_nov_visual_assets_v080/full/VIS-GEO-NOV-006_full.jpg</x:v>
      </x:c>
      <x:c r="R1159" s="30" t="str">
        <x:v>MATCHED_ASSET | BENIGN_COMPLEMENTARY</x:v>
      </x:c>
      <x:c r="S1159" t="e">
        <x:f>HYPERLINK("visual_gallery/index.html#"&amp;A1159,"Галерея")</x:f>
      </x:c>
    </x:row>
    <x:row r="1160">
      <x:c r="A1160" s="87" t="str">
        <x:v>VIS-GEO-NOV-007</x:v>
      </x:c>
      <x:c r="B1160" s="30" t="str">
        <x:v>География</x:v>
      </x:c>
      <x:c r="C1160" s="30" t="str">
        <x:v>Полная страница 8: геохронология, карта часовых зон, задания 13–14</x:v>
      </x:c>
      <x:c r="D1160" s="30" t="str">
        <x:v>ГГ2510201</x:v>
      </x:c>
      <x:c r="E1160" s="87"/>
      <x:c r="F1160" s="30" t="str">
        <x:v>Zadanie_GG11_24112025.pdf</x:v>
      </x:c>
      <x:c r="G1160" s="87" t="str">
        <x:v>8</x:v>
      </x:c>
      <x:c r="H1160" s="87" t="str">
        <x:v>v0.80</x:v>
      </x:c>
      <x:c r="I1160" s="87" t="str">
        <x:v>2</x:v>
      </x:c>
      <x:c r="J1160" s="30" t="str">
        <x:v>VIS_ID</x:v>
      </x:c>
      <x:c r="K1160" s="30" t="str">
        <x:v>NOV-GEO-V1-013, NOV-GEO-V1-014</x:v>
      </x:c>
      <x:c r="L1160" s="87" t="str">
        <x:v>CROP_VERIFIED</x:v>
      </x:c>
      <x:c r="M1160" s="87" t="str">
        <x:v>ORIGINAL_PACKAGE</x:v>
      </x:c>
      <x:c r="N1160" s="87"/>
      <x:c r="O1160" s="87"/>
      <x:c r="P1160" s="87" t="str">
        <x:v>977d62fa124d9703d6a28b959f0fbbc8daff68cb812b53b2aa261d23536dd91a</x:v>
      </x:c>
      <x:c r="Q1160" s="30" t="str">
        <x:v>incoming/raw/recovery-drop-01/statgrad_clean_branch_v0_01_bundle.zip!/november_visual_package_v082.zip!/november_visual_package_v082/geo_nov_visual_assets_v080.zip!/geo_nov_visual_assets_v080/full/VIS-GEO-NOV-007_full.jpg</x:v>
      </x:c>
      <x:c r="R1160" s="30" t="str">
        <x:v>MATCHED_ASSET | BENIGN_COMPLEMENTARY</x:v>
      </x:c>
      <x:c r="S1160" t="e">
        <x:f>HYPERLINK("visual_gallery/index.html#"&amp;A1160,"Галерея")</x:f>
      </x:c>
    </x:row>
    <x:row r="1161">
      <x:c r="A1161" s="87" t="str">
        <x:v>VIS-GEO-NOV-008</x:v>
      </x:c>
      <x:c r="B1161" s="30" t="str">
        <x:v>География</x:v>
      </x:c>
      <x:c r="C1161" s="30" t="str">
        <x:v>Полная страница 9: диаграмма миграции и задания 15–17</x:v>
      </x:c>
      <x:c r="D1161" s="30" t="str">
        <x:v>ГГ2510201</x:v>
      </x:c>
      <x:c r="E1161" s="87"/>
      <x:c r="F1161" s="30" t="str">
        <x:v>Zadanie_GG11_24112025.pdf</x:v>
      </x:c>
      <x:c r="G1161" s="87" t="str">
        <x:v>9</x:v>
      </x:c>
      <x:c r="H1161" s="87" t="str">
        <x:v>v0.80</x:v>
      </x:c>
      <x:c r="I1161" s="87" t="str">
        <x:v>3</x:v>
      </x:c>
      <x:c r="J1161" s="30" t="str">
        <x:v>VIS_ID</x:v>
      </x:c>
      <x:c r="K1161" s="30" t="str">
        <x:v>NOV-GEO-V1-015, NOV-GEO-V1-016, NOV-GEO-V1-017</x:v>
      </x:c>
      <x:c r="L1161" s="87" t="str">
        <x:v>CROP_VERIFIED</x:v>
      </x:c>
      <x:c r="M1161" s="87" t="str">
        <x:v>ORIGINAL_PACKAGE</x:v>
      </x:c>
      <x:c r="N1161" s="87"/>
      <x:c r="O1161" s="87"/>
      <x:c r="P1161" s="87" t="str">
        <x:v>a401439fc547420a6d72cedee39e4559e6268d699a9b6937fc9664383d35a99f</x:v>
      </x:c>
      <x:c r="Q1161" s="30" t="str">
        <x:v>incoming/raw/recovery-drop-01/statgrad_clean_branch_v0_01_bundle.zip!/november_visual_package_v082.zip!/november_visual_package_v082/geo_nov_visual_assets_v080.zip!/geo_nov_visual_assets_v080/full/VIS-GEO-NOV-008_full.jpg</x:v>
      </x:c>
      <x:c r="R1161" s="30" t="str">
        <x:v>MATCHED_ASSET | BENIGN_COMPLEMENTARY</x:v>
      </x:c>
      <x:c r="S1161" t="e">
        <x:f>HYPERLINK("visual_gallery/index.html#"&amp;A1161,"Галерея")</x:f>
      </x:c>
    </x:row>
    <x:row r="1162">
      <x:c r="A1162" s="87" t="str">
        <x:v>VIS-GEO-NOV-009</x:v>
      </x:c>
      <x:c r="B1162" s="30" t="str">
        <x:v>География</x:v>
      </x:c>
      <x:c r="C1162" s="30" t="str">
        <x:v>Полная страница 10: описание региона и карта Латинской Америки</x:v>
      </x:c>
      <x:c r="D1162" s="30" t="str">
        <x:v>ГГ2510201</x:v>
      </x:c>
      <x:c r="E1162" s="87"/>
      <x:c r="F1162" s="30" t="str">
        <x:v>Zadanie_GG11_24112025.pdf</x:v>
      </x:c>
      <x:c r="G1162" s="87" t="str">
        <x:v>10</x:v>
      </x:c>
      <x:c r="H1162" s="87" t="str">
        <x:v>v0.80</x:v>
      </x:c>
      <x:c r="I1162" s="87" t="str">
        <x:v>2</x:v>
      </x:c>
      <x:c r="J1162" s="30" t="str">
        <x:v>VIS_ID</x:v>
      </x:c>
      <x:c r="K1162" s="30" t="str">
        <x:v>NOV-GEO-V1-018, NOV-GEO-V1-019</x:v>
      </x:c>
      <x:c r="L1162" s="87" t="str">
        <x:v>CROP_VERIFIED</x:v>
      </x:c>
      <x:c r="M1162" s="87" t="str">
        <x:v>ORIGINAL_PACKAGE</x:v>
      </x:c>
      <x:c r="N1162" s="87"/>
      <x:c r="O1162" s="87"/>
      <x:c r="P1162" s="87" t="str">
        <x:v>7a9891d5eda34d20edbdebce7ef78e5cbfb2095209ec18542ea7a19d0956366a</x:v>
      </x:c>
      <x:c r="Q1162" s="30" t="str">
        <x:v>incoming/raw/recovery-drop-01/statgrad_clean_branch_v0_01_bundle.zip!/november_visual_package_v082.zip!/november_visual_package_v082/geo_nov_visual_assets_v080.zip!/geo_nov_visual_assets_v080/full/VIS-GEO-NOV-009_full.jpg</x:v>
      </x:c>
      <x:c r="R1162" s="30" t="str">
        <x:v>MATCHED_ASSET | BENIGN_COMPLEMENTARY</x:v>
      </x:c>
      <x:c r="S1162" t="e">
        <x:f>HYPERLINK("visual_gallery/index.html#"&amp;A1162,"Галерея")</x:f>
      </x:c>
    </x:row>
    <x:row r="1163">
      <x:c r="A1163" s="87" t="str">
        <x:v>VIS-GEO-NOV-010</x:v>
      </x:c>
      <x:c r="B1163" s="30" t="str">
        <x:v>География</x:v>
      </x:c>
      <x:c r="C1163" s="30" t="str">
        <x:v>Полная страница 11: задания 19–20</x:v>
      </x:c>
      <x:c r="D1163" s="30" t="str">
        <x:v>ГГ2510201</x:v>
      </x:c>
      <x:c r="E1163" s="87"/>
      <x:c r="F1163" s="30" t="str">
        <x:v>Zadanie_GG11_24112025.pdf</x:v>
      </x:c>
      <x:c r="G1163" s="87" t="str">
        <x:v>11</x:v>
      </x:c>
      <x:c r="H1163" s="87" t="str">
        <x:v>v0.80</x:v>
      </x:c>
      <x:c r="I1163" s="87" t="str">
        <x:v>2</x:v>
      </x:c>
      <x:c r="J1163" s="30" t="str">
        <x:v>VIS_ID</x:v>
      </x:c>
      <x:c r="K1163" s="30" t="str">
        <x:v>NOV-GEO-V1-019, NOV-GEO-V1-020</x:v>
      </x:c>
      <x:c r="L1163" s="87" t="str">
        <x:v>CROP_VERIFIED</x:v>
      </x:c>
      <x:c r="M1163" s="87" t="str">
        <x:v>ORIGINAL_PACKAGE</x:v>
      </x:c>
      <x:c r="N1163" s="87"/>
      <x:c r="O1163" s="87"/>
      <x:c r="P1163" s="87" t="str">
        <x:v>033e5bc08b95cda857a40baa73584251571c4caa3fc6943a8c492b3b080d98dc</x:v>
      </x:c>
      <x:c r="Q1163" s="30" t="str">
        <x:v>incoming/raw/recovery-drop-01/statgrad_clean_branch_v0_01_bundle.zip!/november_visual_package_v082.zip!/november_visual_package_v082/geo_nov_visual_assets_v080.zip!/geo_nov_visual_assets_v080/full/VIS-GEO-NOV-010_full.jpg</x:v>
      </x:c>
      <x:c r="R1163" s="30" t="str">
        <x:v>MATCHED_ASSET | BENIGN_COMPLEMENTARY</x:v>
      </x:c>
      <x:c r="S1163" t="e">
        <x:f>HYPERLINK("visual_gallery/index.html#"&amp;A1163,"Галерея")</x:f>
      </x:c>
    </x:row>
    <x:row r="1164">
      <x:c r="A1164" s="87" t="str">
        <x:v>VIS-GEO-NOV-011</x:v>
      </x:c>
      <x:c r="B1164" s="30" t="str">
        <x:v>География</x:v>
      </x:c>
      <x:c r="C1164" s="30" t="str">
        <x:v>Полная страница 12: текст и задания 21–23</x:v>
      </x:c>
      <x:c r="D1164" s="30" t="str">
        <x:v>ГГ2510201</x:v>
      </x:c>
      <x:c r="E1164" s="87"/>
      <x:c r="F1164" s="30" t="str">
        <x:v>Zadanie_GG11_24112025.pdf</x:v>
      </x:c>
      <x:c r="G1164" s="87" t="str">
        <x:v>12</x:v>
      </x:c>
      <x:c r="H1164" s="87" t="str">
        <x:v>v0.80</x:v>
      </x:c>
      <x:c r="I1164" s="87" t="str">
        <x:v>3</x:v>
      </x:c>
      <x:c r="J1164" s="30" t="str">
        <x:v>VIS_ID</x:v>
      </x:c>
      <x:c r="K1164" s="30" t="str">
        <x:v>NOV-GEO-V1-021, NOV-GEO-V1-022, NOV-GEO-V1-023</x:v>
      </x:c>
      <x:c r="L1164" s="87" t="str">
        <x:v>CROP_VERIFIED</x:v>
      </x:c>
      <x:c r="M1164" s="87" t="str">
        <x:v>ORIGINAL_PACKAGE</x:v>
      </x:c>
      <x:c r="N1164" s="87"/>
      <x:c r="O1164" s="87"/>
      <x:c r="P1164" s="87" t="str">
        <x:v>17205906b2e967136d37095bfa4d45aa1f624326e7dcb40c55face98914f78de</x:v>
      </x:c>
      <x:c r="Q1164" s="30" t="str">
        <x:v>incoming/raw/recovery-drop-01/statgrad_clean_branch_v0_01_bundle.zip!/november_visual_package_v082.zip!/november_visual_package_v082/geo_nov_visual_assets_v080.zip!/geo_nov_visual_assets_v080/full/VIS-GEO-NOV-011_full.jpg</x:v>
      </x:c>
      <x:c r="R1164" s="30" t="str">
        <x:v>MATCHED_ASSET | BENIGN_COMPLEMENTARY</x:v>
      </x:c>
      <x:c r="S1164" t="e">
        <x:f>HYPERLINK("visual_gallery/index.html#"&amp;A1164,"Галерея")</x:f>
      </x:c>
    </x:row>
    <x:row r="1165">
      <x:c r="A1165" s="87" t="str">
        <x:v>VIS-GEO-NOV-012</x:v>
      </x:c>
      <x:c r="B1165" s="30" t="str">
        <x:v>География</x:v>
      </x:c>
      <x:c r="C1165" s="30" t="str">
        <x:v>Полная страница 13: задания 24–26 и профиль рельефа</x:v>
      </x:c>
      <x:c r="D1165" s="30" t="str">
        <x:v>ГГ2510201</x:v>
      </x:c>
      <x:c r="E1165" s="87"/>
      <x:c r="F1165" s="30" t="str">
        <x:v>Zadanie_GG11_24112025.pdf</x:v>
      </x:c>
      <x:c r="G1165" s="87" t="str">
        <x:v>13</x:v>
      </x:c>
      <x:c r="H1165" s="87" t="str">
        <x:v>v0.80</x:v>
      </x:c>
      <x:c r="I1165" s="87" t="str">
        <x:v>3</x:v>
      </x:c>
      <x:c r="J1165" s="30" t="str">
        <x:v>VIS_ID</x:v>
      </x:c>
      <x:c r="K1165" s="30" t="str">
        <x:v>NOV-GEO-V1-024, NOV-GEO-V1-025, NOV-GEO-V1-026</x:v>
      </x:c>
      <x:c r="L1165" s="87" t="str">
        <x:v>CROP_VERIFIED</x:v>
      </x:c>
      <x:c r="M1165" s="87" t="str">
        <x:v>ORIGINAL_PACKAGE</x:v>
      </x:c>
      <x:c r="N1165" s="87"/>
      <x:c r="O1165" s="87"/>
      <x:c r="P1165" s="87" t="str">
        <x:v>f5ddb6433e74a097937d34045c8855d9359cc212edf0357d23bbbe8fb3c42ffe</x:v>
      </x:c>
      <x:c r="Q1165" s="30" t="str">
        <x:v>incoming/raw/recovery-drop-01/statgrad_clean_branch_v0_01_bundle.zip!/november_visual_package_v082.zip!/november_visual_package_v082/geo_nov_visual_assets_v080.zip!/geo_nov_visual_assets_v080/full/VIS-GEO-NOV-012_full.jpg</x:v>
      </x:c>
      <x:c r="R1165" s="30" t="str">
        <x:v>MATCHED_ASSET | BENIGN_COMPLEMENTARY</x:v>
      </x:c>
      <x:c r="S1165" t="e">
        <x:f>HYPERLINK("visual_gallery/index.html#"&amp;A1165,"Галерея")</x:f>
      </x:c>
    </x:row>
    <x:row r="1166">
      <x:c r="A1166" s="87" t="str">
        <x:v>VIS-GEO-NOV-013</x:v>
      </x:c>
      <x:c r="B1166" s="30" t="str">
        <x:v>География</x:v>
      </x:c>
      <x:c r="C1166" s="30" t="str">
        <x:v>Полная страница 14: топографическая карта, задача на время и климатограмма</x:v>
      </x:c>
      <x:c r="D1166" s="30" t="str">
        <x:v>ГГ2510201</x:v>
      </x:c>
      <x:c r="E1166" s="87"/>
      <x:c r="F1166" s="30" t="str">
        <x:v>Zadanie_GG11_24112025.pdf</x:v>
      </x:c>
      <x:c r="G1166" s="87" t="str">
        <x:v>14</x:v>
      </x:c>
      <x:c r="H1166" s="87" t="str">
        <x:v>v0.80</x:v>
      </x:c>
      <x:c r="I1166" s="87" t="str">
        <x:v>3</x:v>
      </x:c>
      <x:c r="J1166" s="30" t="str">
        <x:v>VIS_ID</x:v>
      </x:c>
      <x:c r="K1166" s="30" t="str">
        <x:v>NOV-GEO-V1-027, NOV-GEO-V1-028, NOV-GEO-V1-029</x:v>
      </x:c>
      <x:c r="L1166" s="87" t="str">
        <x:v>CROP_VERIFIED</x:v>
      </x:c>
      <x:c r="M1166" s="87" t="str">
        <x:v>ORIGINAL_PACKAGE</x:v>
      </x:c>
      <x:c r="N1166" s="87"/>
      <x:c r="O1166" s="87"/>
      <x:c r="P1166" s="87" t="str">
        <x:v>79e1d3794eb1ea99d892ee1dad69dcc2bc193c7bb6312a9ecdf121ca7107c179</x:v>
      </x:c>
      <x:c r="Q1166" s="30" t="str">
        <x:v>incoming/raw/recovery-drop-01/statgrad_clean_branch_v0_01_bundle.zip!/november_visual_package_v082.zip!/november_visual_package_v082/geo_nov_visual_assets_v080.zip!/geo_nov_visual_assets_v080/full/VIS-GEO-NOV-013_full.jpg</x:v>
      </x:c>
      <x:c r="R1166" s="30" t="str">
        <x:v>MATCHED_ASSET | BENIGN_COMPLEMENTARY</x:v>
      </x:c>
      <x:c r="S1166" t="e">
        <x:f>HYPERLINK("visual_gallery/index.html#"&amp;A1166,"Галерея")</x:f>
      </x:c>
    </x:row>
    <x:row r="1167">
      <x:c r="A1167" s="87" t="str">
        <x:v>VIS-GEO-NOV-014</x:v>
      </x:c>
      <x:c r="B1167" s="30" t="str">
        <x:v>География</x:v>
      </x:c>
      <x:c r="C1167" s="30" t="str">
        <x:v>Справочные материалы, стр. 1: политическая карта мира</x:v>
      </x:c>
      <x:c r="D1167" s="30" t="str">
        <x:v>ГГ2510201</x:v>
      </x:c>
      <x:c r="E1167" s="87"/>
      <x:c r="F1167" s="30" t="str">
        <x:v>Spravochnye_materialy_GG11_24112025.pdf</x:v>
      </x:c>
      <x:c r="G1167" s="87" t="str">
        <x:v>1</x:v>
      </x:c>
      <x:c r="H1167" s="87" t="str">
        <x:v>v0.80</x:v>
      </x:c>
      <x:c r="I1167" s="87" t="str">
        <x:v>2</x:v>
      </x:c>
      <x:c r="J1167" s="30" t="str">
        <x:v>VIS_ID</x:v>
      </x:c>
      <x:c r="K1167" s="30" t="str">
        <x:v>NOV-GEO-V1-001, NOV-GEO-V1-004</x:v>
      </x:c>
      <x:c r="L1167" s="87" t="str">
        <x:v>CROP_VERIFIED</x:v>
      </x:c>
      <x:c r="M1167" s="87" t="str">
        <x:v>ORIGINAL_PACKAGE</x:v>
      </x:c>
      <x:c r="N1167" s="87"/>
      <x:c r="O1167" s="87"/>
      <x:c r="P1167" s="87" t="str">
        <x:v>25db151ea67823586af3d32142f8c0fb9af7c89c539759cea0c7b3e31fd5e42f</x:v>
      </x:c>
      <x:c r="Q1167" s="30" t="str">
        <x:v>incoming/raw/recovery-drop-01/statgrad_clean_branch_v0_01_bundle.zip!/november_visual_package_v082.zip!/november_visual_package_v082/geo_nov_visual_assets_v080.zip!/geo_nov_visual_assets_v080/full/VIS-GEO-NOV-014_full.jpg</x:v>
      </x:c>
      <x:c r="R1167" s="30" t="str">
        <x:v>MATCHED_ASSET | BENIGN_COMPLEMENTARY</x:v>
      </x:c>
      <x:c r="S1167" t="e">
        <x:f>HYPERLINK("visual_gallery/index.html#"&amp;A1167,"Галерея")</x:f>
      </x:c>
    </x:row>
    <x:row r="1168">
      <x:c r="A1168" s="87" t="str">
        <x:v>VIS-GEO-NOV-015</x:v>
      </x:c>
      <x:c r="B1168" s="30" t="str">
        <x:v>География</x:v>
      </x:c>
      <x:c r="C1168" s="30" t="str">
        <x:v>Справочные материалы, стр. 2: карта России</x:v>
      </x:c>
      <x:c r="D1168" s="30" t="str">
        <x:v>ГГ2510201</x:v>
      </x:c>
      <x:c r="E1168" s="87"/>
      <x:c r="F1168" s="30" t="str">
        <x:v>Spravochnye_materialy_GG11_24112025.pdf</x:v>
      </x:c>
      <x:c r="G1168" s="87" t="str">
        <x:v>2</x:v>
      </x:c>
      <x:c r="H1168" s="87" t="str">
        <x:v>v0.80</x:v>
      </x:c>
      <x:c r="I1168" s="87" t="str">
        <x:v>5</x:v>
      </x:c>
      <x:c r="J1168" s="30" t="str">
        <x:v>VIS_ID</x:v>
      </x:c>
      <x:c r="K1168" s="30" t="str">
        <x:v>NOV-GEO-V1-003, NOV-GEO-V1-006, NOV-GEO-V1-014, NOV-GEO-V1-018, NOV-GEO-V1-021</x:v>
      </x:c>
      <x:c r="L1168" s="87" t="str">
        <x:v>CROP_VERIFIED</x:v>
      </x:c>
      <x:c r="M1168" s="87" t="str">
        <x:v>ORIGINAL_PACKAGE</x:v>
      </x:c>
      <x:c r="N1168" s="87"/>
      <x:c r="O1168" s="87"/>
      <x:c r="P1168" s="87" t="str">
        <x:v>a9f45e4b1c5f6ca14a7e70010750b5d84e827ea0db56857bc053c3e07e022091</x:v>
      </x:c>
      <x:c r="Q1168" s="30" t="str">
        <x:v>incoming/raw/recovery-drop-01/statgrad_clean_branch_v0_01_bundle.zip!/november_visual_package_v082.zip!/november_visual_package_v082/geo_nov_visual_assets_v080.zip!/geo_nov_visual_assets_v080/full/VIS-GEO-NOV-015_full.jpg</x:v>
      </x:c>
      <x:c r="R1168" s="30" t="str">
        <x:v>MATCHED_ASSET | BENIGN_COMPLEMENTARY</x:v>
      </x:c>
      <x:c r="S1168" t="e">
        <x:f>HYPERLINK("visual_gallery/index.html#"&amp;A1168,"Галерея")</x:f>
      </x:c>
    </x:row>
    <x:row r="1169">
      <x:c r="A1169" s="87" t="str">
        <x:v>VIS-GEO-NOV-016</x:v>
      </x:c>
      <x:c r="B1169" s="30" t="str">
        <x:v>География</x:v>
      </x:c>
      <x:c r="C1169" s="30" t="str">
        <x:v>Справочные материалы, стр. 3: демографическая таблица</x:v>
      </x:c>
      <x:c r="D1169" s="30" t="str">
        <x:v>ГГ2510201</x:v>
      </x:c>
      <x:c r="E1169" s="87"/>
      <x:c r="F1169" s="30" t="str">
        <x:v>Spravochnye_materialy_GG11_24112025.pdf</x:v>
      </x:c>
      <x:c r="G1169" s="87" t="str">
        <x:v>3</x:v>
      </x:c>
      <x:c r="H1169" s="87" t="str">
        <x:v>v0.80</x:v>
      </x:c>
      <x:c r="I1169" s="87" t="str">
        <x:v>3</x:v>
      </x:c>
      <x:c r="J1169" s="30" t="str">
        <x:v>VIS_ID</x:v>
      </x:c>
      <x:c r="K1169" s="30" t="str">
        <x:v>NOV-GEO-V1-019, NOV-GEO-V1-020, NOV-GEO-V1-024</x:v>
      </x:c>
      <x:c r="L1169" s="87" t="str">
        <x:v>CROP_VERIFIED</x:v>
      </x:c>
      <x:c r="M1169" s="87" t="str">
        <x:v>ORIGINAL_PACKAGE</x:v>
      </x:c>
      <x:c r="N1169" s="87"/>
      <x:c r="O1169" s="87"/>
      <x:c r="P1169" s="87" t="str">
        <x:v>05d50e58e6697eadccac5fae1678e3de7678997657bdc5dabaca03257c67b266</x:v>
      </x:c>
      <x:c r="Q1169" s="30" t="str">
        <x:v>incoming/raw/recovery-drop-01/statgrad_clean_branch_v0_01_bundle.zip!/november_visual_package_v082.zip!/november_visual_package_v082/geo_nov_visual_assets_v080.zip!/geo_nov_visual_assets_v080/full/VIS-GEO-NOV-016_full.jpg</x:v>
      </x:c>
      <x:c r="R1169" s="30" t="str">
        <x:v>MATCHED_ASSET | BENIGN_COMPLEMENTARY</x:v>
      </x:c>
      <x:c r="S1169" t="e">
        <x:f>HYPERLINK("visual_gallery/index.html#"&amp;A1169,"Галерея")</x:f>
      </x:c>
    </x:row>
    <x:row r="1170">
      <x:c r="A1170" s="87" t="str">
        <x:v>VIS-GEO-NOV-017</x:v>
      </x:c>
      <x:c r="B1170" s="30" t="str">
        <x:v>География</x:v>
      </x:c>
      <x:c r="C1170" s="30" t="str">
        <x:v>Справочные материалы, стр. 4: социально-экономическая таблица</x:v>
      </x:c>
      <x:c r="D1170" s="30" t="str">
        <x:v>ГГ2510201</x:v>
      </x:c>
      <x:c r="E1170" s="87"/>
      <x:c r="F1170" s="30" t="str">
        <x:v>Spravochnye_materialy_GG11_24112025.pdf</x:v>
      </x:c>
      <x:c r="G1170" s="87" t="str">
        <x:v>4</x:v>
      </x:c>
      <x:c r="H1170" s="87" t="str">
        <x:v>v0.80</x:v>
      </x:c>
      <x:c r="I1170" s="87" t="str">
        <x:v>2</x:v>
      </x:c>
      <x:c r="J1170" s="30" t="str">
        <x:v>VIS_ID</x:v>
      </x:c>
      <x:c r="K1170" s="30" t="str">
        <x:v>NOV-GEO-V1-024, NOV-GEO-V1-025</x:v>
      </x:c>
      <x:c r="L1170" s="87" t="str">
        <x:v>CROP_VERIFIED</x:v>
      </x:c>
      <x:c r="M1170" s="87" t="str">
        <x:v>ORIGINAL_PACKAGE</x:v>
      </x:c>
      <x:c r="N1170" s="87"/>
      <x:c r="O1170" s="87"/>
      <x:c r="P1170" s="87" t="str">
        <x:v>c2b0cb80c07c6fbb8e254916e90f4d70511ed09786b9ebd40696acc79dddcd71</x:v>
      </x:c>
      <x:c r="Q1170" s="30" t="str">
        <x:v>incoming/raw/recovery-drop-01/statgrad_clean_branch_v0_01_bundle.zip!/november_visual_package_v082.zip!/november_visual_package_v082/geo_nov_visual_assets_v080.zip!/geo_nov_visual_assets_v080/full/VIS-GEO-NOV-017_full.jpg</x:v>
      </x:c>
      <x:c r="R1170" s="30" t="str">
        <x:v>MATCHED_ASSET | BENIGN_COMPLEMENTARY</x:v>
      </x:c>
      <x:c r="S1170" t="e">
        <x:f>HYPERLINK("visual_gallery/index.html#"&amp;A1170,"Галерея")</x:f>
      </x:c>
    </x:row>
    <x:row r="1171">
      <x:c r="A1171" s="87" t="str">
        <x:v>VIS-HIST-NOV-001</x:v>
      </x:c>
      <x:c r="B1171" s="30" t="str">
        <x:v>История</x:v>
      </x:c>
      <x:c r="C1171" s="30" t="str">
        <x:v>Полная страница 2: задания 1, 2</x:v>
      </x:c>
      <x:c r="D1171" s="30" t="str">
        <x:v>ИС2510201</x:v>
      </x:c>
      <x:c r="E1171" s="87"/>
      <x:c r="F1171" s="30" t="str">
        <x:v>Zadanie_IS11_25112025.pdf</x:v>
      </x:c>
      <x:c r="G1171" s="87" t="str">
        <x:v>2</x:v>
      </x:c>
      <x:c r="H1171" s="87" t="str">
        <x:v>v0.81</x:v>
      </x:c>
      <x:c r="I1171" s="87" t="str">
        <x:v>2</x:v>
      </x:c>
      <x:c r="J1171" s="30" t="str">
        <x:v>VIS_ID</x:v>
      </x:c>
      <x:c r="K1171" s="30" t="str">
        <x:v>NOV-HIST-V1-001, NOV-HIST-V1-002</x:v>
      </x:c>
      <x:c r="L1171" s="87" t="str">
        <x:v>CROP_VERIFIED</x:v>
      </x:c>
      <x:c r="M1171" s="87" t="str">
        <x:v>ORIGINAL_PACKAGE</x:v>
      </x:c>
      <x:c r="N1171" s="87"/>
      <x:c r="O1171" s="87"/>
      <x:c r="P1171" s="87" t="str">
        <x:v>f8e0f60b7a61566a30a402a33fcd2cadef464367bef5ecb0500ec60fd8164659</x:v>
      </x:c>
      <x:c r="Q1171" s="30" t="str">
        <x:v>incoming/raw/recovery-drop-01/statgrad_clean_branch_v0_01_bundle.zip!/november_visual_package_v082.zip!/november_visual_package_v082/hist_nov_visual_assets_v081.zip!/hist_nov_visual_assets_v081/full/VIS-HIST-NOV-001_full.jpg</x:v>
      </x:c>
      <x:c r="R1171" s="30" t="str">
        <x:v>MATCHED_ASSET</x:v>
      </x:c>
      <x:c r="S1171" t="e">
        <x:f>HYPERLINK("visual_gallery/index.html#"&amp;A1171,"Галерея")</x:f>
      </x:c>
    </x:row>
    <x:row r="1172">
      <x:c r="A1172" s="87" t="str">
        <x:v>VIS-HIST-NOV-002</x:v>
      </x:c>
      <x:c r="B1172" s="30" t="str">
        <x:v>История</x:v>
      </x:c>
      <x:c r="C1172" s="30" t="str">
        <x:v>Полная страница 3: задания 3, 4</x:v>
      </x:c>
      <x:c r="D1172" s="30" t="str">
        <x:v>ИС2510201</x:v>
      </x:c>
      <x:c r="E1172" s="87"/>
      <x:c r="F1172" s="30" t="str">
        <x:v>Zadanie_IS11_25112025.pdf</x:v>
      </x:c>
      <x:c r="G1172" s="87" t="str">
        <x:v>3</x:v>
      </x:c>
      <x:c r="H1172" s="87" t="str">
        <x:v>v0.81</x:v>
      </x:c>
      <x:c r="I1172" s="87" t="str">
        <x:v>2</x:v>
      </x:c>
      <x:c r="J1172" s="30" t="str">
        <x:v>VIS_ID</x:v>
      </x:c>
      <x:c r="K1172" s="30" t="str">
        <x:v>NOV-HIST-V1-003, NOV-HIST-V1-004</x:v>
      </x:c>
      <x:c r="L1172" s="87" t="str">
        <x:v>CROP_VERIFIED</x:v>
      </x:c>
      <x:c r="M1172" s="87" t="str">
        <x:v>ORIGINAL_PACKAGE</x:v>
      </x:c>
      <x:c r="N1172" s="87"/>
      <x:c r="O1172" s="87"/>
      <x:c r="P1172" s="87" t="str">
        <x:v>da9d7238691b98e36ca526a9780fb7beb3c9a044e3a426fcbf26781b0a63508a</x:v>
      </x:c>
      <x:c r="Q1172" s="30" t="str">
        <x:v>incoming/raw/recovery-drop-01/statgrad_clean_branch_v0_01_bundle.zip!/november_visual_package_v082.zip!/november_visual_package_v082/hist_nov_visual_assets_v081.zip!/hist_nov_visual_assets_v081/full/VIS-HIST-NOV-002_full.jpg</x:v>
      </x:c>
      <x:c r="R1172" s="30" t="str">
        <x:v>MATCHED_ASSET</x:v>
      </x:c>
      <x:c r="S1172" t="e">
        <x:f>HYPERLINK("visual_gallery/index.html#"&amp;A1172,"Галерея")</x:f>
      </x:c>
    </x:row>
    <x:row r="1173">
      <x:c r="A1173" s="87" t="str">
        <x:v>VIS-HIST-NOV-003</x:v>
      </x:c>
      <x:c r="B1173" s="30" t="str">
        <x:v>История</x:v>
      </x:c>
      <x:c r="C1173" s="30" t="str">
        <x:v>Полная страница 4: задания 4, 5</x:v>
      </x:c>
      <x:c r="D1173" s="30" t="str">
        <x:v>ИС2510201</x:v>
      </x:c>
      <x:c r="E1173" s="87"/>
      <x:c r="F1173" s="30" t="str">
        <x:v>Zadanie_IS11_25112025.pdf</x:v>
      </x:c>
      <x:c r="G1173" s="87" t="str">
        <x:v>4</x:v>
      </x:c>
      <x:c r="H1173" s="87" t="str">
        <x:v>v0.81</x:v>
      </x:c>
      <x:c r="I1173" s="87" t="str">
        <x:v>2</x:v>
      </x:c>
      <x:c r="J1173" s="30" t="str">
        <x:v>VIS_ID</x:v>
      </x:c>
      <x:c r="K1173" s="30" t="str">
        <x:v>NOV-HIST-V1-004, NOV-HIST-V1-005</x:v>
      </x:c>
      <x:c r="L1173" s="87" t="str">
        <x:v>CROP_VERIFIED</x:v>
      </x:c>
      <x:c r="M1173" s="87" t="str">
        <x:v>ORIGINAL_PACKAGE</x:v>
      </x:c>
      <x:c r="N1173" s="87"/>
      <x:c r="O1173" s="87"/>
      <x:c r="P1173" s="87" t="str">
        <x:v>dcc7160d46c77771e186159cc7dc638f87f298ed26ef663f4a97c824415d1854</x:v>
      </x:c>
      <x:c r="Q1173" s="30" t="str">
        <x:v>incoming/raw/recovery-drop-01/statgrad_clean_branch_v0_01_bundle.zip!/november_visual_package_v082.zip!/november_visual_package_v082/hist_nov_visual_assets_v081.zip!/hist_nov_visual_assets_v081/full/VIS-HIST-NOV-003_full.jpg</x:v>
      </x:c>
      <x:c r="R1173" s="30" t="str">
        <x:v>MATCHED_ASSET</x:v>
      </x:c>
      <x:c r="S1173" t="e">
        <x:f>HYPERLINK("visual_gallery/index.html#"&amp;A1173,"Галерея")</x:f>
      </x:c>
    </x:row>
    <x:row r="1174">
      <x:c r="A1174" s="87" t="str">
        <x:v>VIS-HIST-NOV-004</x:v>
      </x:c>
      <x:c r="B1174" s="30" t="str">
        <x:v>История</x:v>
      </x:c>
      <x:c r="C1174" s="30" t="str">
        <x:v>Полная страница 5: задания 6</x:v>
      </x:c>
      <x:c r="D1174" s="30" t="str">
        <x:v>ИС2510201</x:v>
      </x:c>
      <x:c r="E1174" s="87"/>
      <x:c r="F1174" s="30" t="str">
        <x:v>Zadanie_IS11_25112025.pdf</x:v>
      </x:c>
      <x:c r="G1174" s="87" t="str">
        <x:v>5</x:v>
      </x:c>
      <x:c r="H1174" s="87" t="str">
        <x:v>v0.81</x:v>
      </x:c>
      <x:c r="I1174" s="87" t="str">
        <x:v>1</x:v>
      </x:c>
      <x:c r="J1174" s="30" t="str">
        <x:v>VIS_ID</x:v>
      </x:c>
      <x:c r="K1174" s="30" t="str">
        <x:v>NOV-HIST-V1-006</x:v>
      </x:c>
      <x:c r="L1174" s="87" t="str">
        <x:v>CROP_VERIFIED</x:v>
      </x:c>
      <x:c r="M1174" s="87" t="str">
        <x:v>ORIGINAL_PACKAGE</x:v>
      </x:c>
      <x:c r="N1174" s="87"/>
      <x:c r="O1174" s="87"/>
      <x:c r="P1174" s="87" t="str">
        <x:v>636d7ded63d3120b2b55f9e5bcb75d45102fd660d4253cf64222af5435f6b684</x:v>
      </x:c>
      <x:c r="Q1174" s="30" t="str">
        <x:v>incoming/raw/recovery-drop-01/statgrad_clean_branch_v0_01_bundle.zip!/november_visual_package_v082.zip!/november_visual_package_v082/hist_nov_visual_assets_v081.zip!/hist_nov_visual_assets_v081/full/VIS-HIST-NOV-004_full.jpg</x:v>
      </x:c>
      <x:c r="R1174" s="30" t="str">
        <x:v>MATCHED_ASSET</x:v>
      </x:c>
      <x:c r="S1174" t="e">
        <x:f>HYPERLINK("visual_gallery/index.html#"&amp;A1174,"Галерея")</x:f>
      </x:c>
    </x:row>
    <x:row r="1175">
      <x:c r="A1175" s="87" t="str">
        <x:v>VIS-HIST-NOV-005</x:v>
      </x:c>
      <x:c r="B1175" s="30" t="str">
        <x:v>История</x:v>
      </x:c>
      <x:c r="C1175" s="30" t="str">
        <x:v>Полная страница 6: задания 7, 8</x:v>
      </x:c>
      <x:c r="D1175" s="30" t="str">
        <x:v>ИС2510201</x:v>
      </x:c>
      <x:c r="E1175" s="87"/>
      <x:c r="F1175" s="30" t="str">
        <x:v>Zadanie_IS11_25112025.pdf</x:v>
      </x:c>
      <x:c r="G1175" s="87" t="str">
        <x:v>6</x:v>
      </x:c>
      <x:c r="H1175" s="87" t="str">
        <x:v>v0.81</x:v>
      </x:c>
      <x:c r="I1175" s="87" t="str">
        <x:v>2</x:v>
      </x:c>
      <x:c r="J1175" s="30" t="str">
        <x:v>VIS_ID</x:v>
      </x:c>
      <x:c r="K1175" s="30" t="str">
        <x:v>NOV-HIST-V1-007, NOV-HIST-V1-008</x:v>
      </x:c>
      <x:c r="L1175" s="87" t="str">
        <x:v>CROP_VERIFIED</x:v>
      </x:c>
      <x:c r="M1175" s="87" t="str">
        <x:v>ORIGINAL_PACKAGE</x:v>
      </x:c>
      <x:c r="N1175" s="87"/>
      <x:c r="O1175" s="87"/>
      <x:c r="P1175" s="87" t="str">
        <x:v>7539cbc966fa3774dd0e469da85b648c8fe86cb3f4449bb51b63d04c5177f872</x:v>
      </x:c>
      <x:c r="Q1175" s="30" t="str">
        <x:v>incoming/raw/recovery-drop-01/statgrad_clean_branch_v0_01_bundle.zip!/november_visual_package_v082.zip!/november_visual_package_v082/hist_nov_visual_assets_v081.zip!/hist_nov_visual_assets_v081/full/VIS-HIST-NOV-005_full.jpg</x:v>
      </x:c>
      <x:c r="R1175" s="30" t="str">
        <x:v>MATCHED_ASSET</x:v>
      </x:c>
      <x:c r="S1175" t="e">
        <x:f>HYPERLINK("visual_gallery/index.html#"&amp;A1175,"Галерея")</x:f>
      </x:c>
    </x:row>
    <x:row r="1176">
      <x:c r="A1176" s="87" t="str">
        <x:v>VIS-HIST-NOV-006</x:v>
      </x:c>
      <x:c r="B1176" s="30" t="str">
        <x:v>История</x:v>
      </x:c>
      <x:c r="C1176" s="30" t="str">
        <x:v>Полная страница 7: задания 9, 10</x:v>
      </x:c>
      <x:c r="D1176" s="30" t="str">
        <x:v>ИС2510201</x:v>
      </x:c>
      <x:c r="E1176" s="87"/>
      <x:c r="F1176" s="30" t="str">
        <x:v>Zadanie_IS11_25112025.pdf</x:v>
      </x:c>
      <x:c r="G1176" s="87" t="str">
        <x:v>7</x:v>
      </x:c>
      <x:c r="H1176" s="87" t="str">
        <x:v>v0.81</x:v>
      </x:c>
      <x:c r="I1176" s="87" t="str">
        <x:v>2</x:v>
      </x:c>
      <x:c r="J1176" s="30" t="str">
        <x:v>VIS_ID</x:v>
      </x:c>
      <x:c r="K1176" s="30" t="str">
        <x:v>NOV-HIST-V1-009, NOV-HIST-V1-010</x:v>
      </x:c>
      <x:c r="L1176" s="87" t="str">
        <x:v>CROP_VERIFIED</x:v>
      </x:c>
      <x:c r="M1176" s="87" t="str">
        <x:v>ORIGINAL_PACKAGE</x:v>
      </x:c>
      <x:c r="N1176" s="87"/>
      <x:c r="O1176" s="87"/>
      <x:c r="P1176" s="87" t="str">
        <x:v>2d98cf0bd1e2d82185ca99eee4de83935a9d6762ebee31d56cbd4148985bd6b6</x:v>
      </x:c>
      <x:c r="Q1176" s="30" t="str">
        <x:v>incoming/raw/recovery-drop-01/statgrad_clean_branch_v0_01_bundle.zip!/november_visual_package_v082.zip!/november_visual_package_v082/hist_nov_visual_assets_v081.zip!/hist_nov_visual_assets_v081/full/VIS-HIST-NOV-006_full.jpg</x:v>
      </x:c>
      <x:c r="R1176" s="30" t="str">
        <x:v>MATCHED_ASSET</x:v>
      </x:c>
      <x:c r="S1176" t="e">
        <x:f>HYPERLINK("visual_gallery/index.html#"&amp;A1176,"Галерея")</x:f>
      </x:c>
    </x:row>
    <x:row r="1177">
      <x:c r="A1177" s="87" t="str">
        <x:v>VIS-HIST-NOV-007</x:v>
      </x:c>
      <x:c r="B1177" s="30" t="str">
        <x:v>История</x:v>
      </x:c>
      <x:c r="C1177" s="30" t="str">
        <x:v>Полная страница 8: задания 11, 12</x:v>
      </x:c>
      <x:c r="D1177" s="30" t="str">
        <x:v>ИС2510201</x:v>
      </x:c>
      <x:c r="E1177" s="87"/>
      <x:c r="F1177" s="30" t="str">
        <x:v>Zadanie_IS11_25112025.pdf</x:v>
      </x:c>
      <x:c r="G1177" s="87" t="str">
        <x:v>8</x:v>
      </x:c>
      <x:c r="H1177" s="87" t="str">
        <x:v>v0.81</x:v>
      </x:c>
      <x:c r="I1177" s="87" t="str">
        <x:v>2</x:v>
      </x:c>
      <x:c r="J1177" s="30" t="str">
        <x:v>VIS_ID</x:v>
      </x:c>
      <x:c r="K1177" s="30" t="str">
        <x:v>NOV-HIST-V1-011, NOV-HIST-V1-012</x:v>
      </x:c>
      <x:c r="L1177" s="87" t="str">
        <x:v>CROP_VERIFIED</x:v>
      </x:c>
      <x:c r="M1177" s="87" t="str">
        <x:v>ORIGINAL_PACKAGE</x:v>
      </x:c>
      <x:c r="N1177" s="87"/>
      <x:c r="O1177" s="87"/>
      <x:c r="P1177" s="87" t="str">
        <x:v>9ff8135f7fc74477e09481226da2c86279a6aa992c6962dab161ab16bc75c597</x:v>
      </x:c>
      <x:c r="Q1177" s="30" t="str">
        <x:v>incoming/raw/recovery-drop-01/statgrad_clean_branch_v0_01_bundle.zip!/november_visual_package_v082.zip!/november_visual_package_v082/hist_nov_visual_assets_v081.zip!/hist_nov_visual_assets_v081/full/VIS-HIST-NOV-007_full.jpg</x:v>
      </x:c>
      <x:c r="R1177" s="30" t="str">
        <x:v>MATCHED_ASSET</x:v>
      </x:c>
      <x:c r="S1177" t="e">
        <x:f>HYPERLINK("visual_gallery/index.html#"&amp;A1177,"Галерея")</x:f>
      </x:c>
    </x:row>
    <x:row r="1178">
      <x:c r="A1178" s="87" t="str">
        <x:v>VIS-HIST-NOV-008</x:v>
      </x:c>
      <x:c r="B1178" s="30" t="str">
        <x:v>История</x:v>
      </x:c>
      <x:c r="C1178" s="30" t="str">
        <x:v>Полная страница 9: задания 13, 14 (источник)</x:v>
      </x:c>
      <x:c r="D1178" s="30" t="str">
        <x:v>ИС2510201</x:v>
      </x:c>
      <x:c r="E1178" s="87"/>
      <x:c r="F1178" s="30" t="str">
        <x:v>Zadanie_IS11_25112025.pdf</x:v>
      </x:c>
      <x:c r="G1178" s="87" t="str">
        <x:v>9</x:v>
      </x:c>
      <x:c r="H1178" s="87" t="str">
        <x:v>v0.81</x:v>
      </x:c>
      <x:c r="I1178" s="87" t="str">
        <x:v>2</x:v>
      </x:c>
      <x:c r="J1178" s="30" t="str">
        <x:v>VIS_ID</x:v>
      </x:c>
      <x:c r="K1178" s="30" t="str">
        <x:v>NOV-HIST-V1-013, NOV-HIST-V1-014</x:v>
      </x:c>
      <x:c r="L1178" s="87" t="str">
        <x:v>CROP_VERIFIED</x:v>
      </x:c>
      <x:c r="M1178" s="87" t="str">
        <x:v>ORIGINAL_PACKAGE</x:v>
      </x:c>
      <x:c r="N1178" s="87"/>
      <x:c r="O1178" s="87"/>
      <x:c r="P1178" s="87" t="str">
        <x:v>ada4dd23403561aa9f44724f9ec15f777ae11f9f12c44779273ac52cc86e74b3</x:v>
      </x:c>
      <x:c r="Q1178" s="30" t="str">
        <x:v>incoming/raw/recovery-drop-01/statgrad_clean_branch_v0_01_bundle.zip!/november_visual_package_v082.zip!/november_visual_package_v082/hist_nov_visual_assets_v081.zip!/hist_nov_visual_assets_v081/full/VIS-HIST-NOV-008_full.jpg</x:v>
      </x:c>
      <x:c r="R1178" s="30" t="str">
        <x:v>MATCHED_ASSET</x:v>
      </x:c>
      <x:c r="S1178" t="e">
        <x:f>HYPERLINK("visual_gallery/index.html#"&amp;A1178,"Галерея")</x:f>
      </x:c>
    </x:row>
    <x:row r="1179">
      <x:c r="A1179" s="87" t="str">
        <x:v>VIS-HIST-NOV-009</x:v>
      </x:c>
      <x:c r="B1179" s="30" t="str">
        <x:v>История</x:v>
      </x:c>
      <x:c r="C1179" s="30" t="str">
        <x:v>Полная страница 10: задания 13, 14, 15</x:v>
      </x:c>
      <x:c r="D1179" s="30" t="str">
        <x:v>ИС2510201</x:v>
      </x:c>
      <x:c r="E1179" s="87"/>
      <x:c r="F1179" s="30" t="str">
        <x:v>Zadanie_IS11_25112025.pdf</x:v>
      </x:c>
      <x:c r="G1179" s="87" t="str">
        <x:v>10</x:v>
      </x:c>
      <x:c r="H1179" s="87" t="str">
        <x:v>v0.81</x:v>
      </x:c>
      <x:c r="I1179" s="87" t="str">
        <x:v>3</x:v>
      </x:c>
      <x:c r="J1179" s="30" t="str">
        <x:v>VIS_ID</x:v>
      </x:c>
      <x:c r="K1179" s="30" t="str">
        <x:v>NOV-HIST-V1-013, NOV-HIST-V1-014, NOV-HIST-V1-015</x:v>
      </x:c>
      <x:c r="L1179" s="87" t="str">
        <x:v>CROP_VERIFIED</x:v>
      </x:c>
      <x:c r="M1179" s="87" t="str">
        <x:v>ORIGINAL_PACKAGE</x:v>
      </x:c>
      <x:c r="N1179" s="87"/>
      <x:c r="O1179" s="87"/>
      <x:c r="P1179" s="87" t="str">
        <x:v>429b69d3f6104f17573b69ec9070cd0bd887359a3ffc6c5d910e04531bc2c37d</x:v>
      </x:c>
      <x:c r="Q1179" s="30" t="str">
        <x:v>incoming/raw/recovery-drop-01/statgrad_clean_branch_v0_01_bundle.zip!/november_visual_package_v082.zip!/november_visual_package_v082/hist_nov_visual_assets_v081.zip!/hist_nov_visual_assets_v081/full/VIS-HIST-NOV-009_full.jpg</x:v>
      </x:c>
      <x:c r="R1179" s="30" t="str">
        <x:v>MATCHED_ASSET</x:v>
      </x:c>
      <x:c r="S1179" t="e">
        <x:f>HYPERLINK("visual_gallery/index.html#"&amp;A1179,"Галерея")</x:f>
      </x:c>
    </x:row>
    <x:row r="1180">
      <x:c r="A1180" s="87" t="str">
        <x:v>VIS-HIST-NOV-010</x:v>
      </x:c>
      <x:c r="B1180" s="30" t="str">
        <x:v>История</x:v>
      </x:c>
      <x:c r="C1180" s="30" t="str">
        <x:v>Полная страница 11: задания 16</x:v>
      </x:c>
      <x:c r="D1180" s="30" t="str">
        <x:v>ИС2510201</x:v>
      </x:c>
      <x:c r="E1180" s="87"/>
      <x:c r="F1180" s="30" t="str">
        <x:v>Zadanie_IS11_25112025.pdf</x:v>
      </x:c>
      <x:c r="G1180" s="87" t="str">
        <x:v>11</x:v>
      </x:c>
      <x:c r="H1180" s="87" t="str">
        <x:v>v0.81</x:v>
      </x:c>
      <x:c r="I1180" s="87" t="str">
        <x:v>1</x:v>
      </x:c>
      <x:c r="J1180" s="30" t="str">
        <x:v>VIS_ID</x:v>
      </x:c>
      <x:c r="K1180" s="30" t="str">
        <x:v>NOV-HIST-V1-016</x:v>
      </x:c>
      <x:c r="L1180" s="87" t="str">
        <x:v>CROP_VERIFIED</x:v>
      </x:c>
      <x:c r="M1180" s="87" t="str">
        <x:v>ORIGINAL_PACKAGE</x:v>
      </x:c>
      <x:c r="N1180" s="87"/>
      <x:c r="O1180" s="87"/>
      <x:c r="P1180" s="87" t="str">
        <x:v>fd31d3e87c79f9ad4697182439958a53e012e0c7ec9cf58f1bbaba189a2d9709</x:v>
      </x:c>
      <x:c r="Q1180" s="30" t="str">
        <x:v>incoming/raw/recovery-drop-01/statgrad_clean_branch_v0_01_bundle.zip!/november_visual_package_v082.zip!/november_visual_package_v082/hist_nov_visual_assets_v081.zip!/hist_nov_visual_assets_v081/full/VIS-HIST-NOV-010_full.jpg</x:v>
      </x:c>
      <x:c r="R1180" s="30" t="str">
        <x:v>MATCHED_ASSET</x:v>
      </x:c>
      <x:c r="S1180" t="e">
        <x:f>HYPERLINK("visual_gallery/index.html#"&amp;A1180,"Галерея")</x:f>
      </x:c>
    </x:row>
    <x:row r="1181">
      <x:c r="A1181" s="87" t="str">
        <x:v>VIS-HIST-NOV-011</x:v>
      </x:c>
      <x:c r="B1181" s="30" t="str">
        <x:v>История</x:v>
      </x:c>
      <x:c r="C1181" s="30" t="str">
        <x:v>Полная страница 12: задания 17</x:v>
      </x:c>
      <x:c r="D1181" s="30" t="str">
        <x:v>ИС2510201</x:v>
      </x:c>
      <x:c r="E1181" s="87"/>
      <x:c r="F1181" s="30" t="str">
        <x:v>Zadanie_IS11_25112025.pdf</x:v>
      </x:c>
      <x:c r="G1181" s="87" t="str">
        <x:v>12</x:v>
      </x:c>
      <x:c r="H1181" s="87" t="str">
        <x:v>v0.81</x:v>
      </x:c>
      <x:c r="I1181" s="87" t="str">
        <x:v>1</x:v>
      </x:c>
      <x:c r="J1181" s="30" t="str">
        <x:v>VIS_ID</x:v>
      </x:c>
      <x:c r="K1181" s="30" t="str">
        <x:v>NOV-HIST-V1-017</x:v>
      </x:c>
      <x:c r="L1181" s="87" t="str">
        <x:v>CROP_VERIFIED</x:v>
      </x:c>
      <x:c r="M1181" s="87" t="str">
        <x:v>ORIGINAL_PACKAGE</x:v>
      </x:c>
      <x:c r="N1181" s="87"/>
      <x:c r="O1181" s="87"/>
      <x:c r="P1181" s="87" t="str">
        <x:v>5f091afec08bdd94ede95d6362e66d29be2f32868b02d7ab630d0990dbb5292a</x:v>
      </x:c>
      <x:c r="Q1181" s="30" t="str">
        <x:v>incoming/raw/recovery-drop-01/statgrad_clean_branch_v0_01_bundle.zip!/november_visual_package_v082.zip!/november_visual_package_v082/hist_nov_visual_assets_v081.zip!/hist_nov_visual_assets_v081/full/VIS-HIST-NOV-011_full.jpg</x:v>
      </x:c>
      <x:c r="R1181" s="30" t="str">
        <x:v>MATCHED_ASSET</x:v>
      </x:c>
      <x:c r="S1181" t="e">
        <x:f>HYPERLINK("visual_gallery/index.html#"&amp;A1181,"Галерея")</x:f>
      </x:c>
    </x:row>
    <x:row r="1182">
      <x:c r="A1182" s="87" t="str">
        <x:v>VIS-HIST-NOV-012</x:v>
      </x:c>
      <x:c r="B1182" s="30" t="str">
        <x:v>История</x:v>
      </x:c>
      <x:c r="C1182" s="30" t="str">
        <x:v>Полная страница 13: задания 18, 19, 20, 21</x:v>
      </x:c>
      <x:c r="D1182" s="30" t="str">
        <x:v>ИС2510201</x:v>
      </x:c>
      <x:c r="E1182" s="87"/>
      <x:c r="F1182" s="30" t="str">
        <x:v>Zadanie_IS11_25112025.pdf</x:v>
      </x:c>
      <x:c r="G1182" s="87" t="str">
        <x:v>13</x:v>
      </x:c>
      <x:c r="H1182" s="87" t="str">
        <x:v>v0.81</x:v>
      </x:c>
      <x:c r="I1182" s="87" t="str">
        <x:v>4</x:v>
      </x:c>
      <x:c r="J1182" s="30" t="str">
        <x:v>VIS_ID</x:v>
      </x:c>
      <x:c r="K1182" s="30" t="str">
        <x:v>NOV-HIST-V1-018, NOV-HIST-V1-019, NOV-HIST-V1-020, NOV-HIST-V1-021</x:v>
      </x:c>
      <x:c r="L1182" s="87" t="str">
        <x:v>CROP_VERIFIED</x:v>
      </x:c>
      <x:c r="M1182" s="87" t="str">
        <x:v>ORIGINAL_PACKAGE</x:v>
      </x:c>
      <x:c r="N1182" s="87"/>
      <x:c r="O1182" s="87"/>
      <x:c r="P1182" s="87" t="str">
        <x:v>1db14bb8baf4a5405520f536d9637687fd683da51e0e96aed210e5f13099d497</x:v>
      </x:c>
      <x:c r="Q1182" s="30" t="str">
        <x:v>incoming/raw/recovery-drop-01/statgrad_clean_branch_v0_01_bundle.zip!/november_visual_package_v082.zip!/november_visual_package_v082/hist_nov_visual_assets_v081.zip!/hist_nov_visual_assets_v081/full/VIS-HIST-NOV-012_full.jpg</x:v>
      </x:c>
      <x:c r="R1182" s="30" t="str">
        <x:v>MATCHED_ASSET</x:v>
      </x:c>
      <x:c r="S1182" t="e">
        <x:f>HYPERLINK("visual_gallery/index.html#"&amp;A1182,"Галерея")</x:f>
      </x:c>
    </x:row>
    <x:row r="1183">
      <x:c r="A1183" s="87" t="str">
        <x:v>VIS-HIST-NOV-013</x:v>
      </x:c>
      <x:c r="B1183" s="30" t="str">
        <x:v>История</x:v>
      </x:c>
      <x:c r="C1183" s="30" t="str">
        <x:v>Полная страница 2: задания 1, 2</x:v>
      </x:c>
      <x:c r="D1183" s="30" t="str">
        <x:v>ИС2510202</x:v>
      </x:c>
      <x:c r="E1183" s="87"/>
      <x:c r="F1183" s="30" t="str">
        <x:v>Zadanie_IS11_25112025.pdf</x:v>
      </x:c>
      <x:c r="G1183" s="87" t="str">
        <x:v>15</x:v>
      </x:c>
      <x:c r="H1183" s="87" t="str">
        <x:v>v0.81</x:v>
      </x:c>
      <x:c r="I1183" s="87" t="str">
        <x:v>2</x:v>
      </x:c>
      <x:c r="J1183" s="30" t="str">
        <x:v>VIS_ID</x:v>
      </x:c>
      <x:c r="K1183" s="30" t="str">
        <x:v>NOV-HIST-V2-001, NOV-HIST-V2-002</x:v>
      </x:c>
      <x:c r="L1183" s="87" t="str">
        <x:v>CROP_VERIFIED</x:v>
      </x:c>
      <x:c r="M1183" s="87" t="str">
        <x:v>ORIGINAL_PACKAGE</x:v>
      </x:c>
      <x:c r="N1183" s="87"/>
      <x:c r="O1183" s="87"/>
      <x:c r="P1183" s="87" t="str">
        <x:v>b55d7f8ec83e9e4af005a930fcb445e4d13ebffe5030ae14811eca8298964368</x:v>
      </x:c>
      <x:c r="Q1183" s="30" t="str">
        <x:v>incoming/raw/recovery-drop-01/statgrad_clean_branch_v0_01_bundle.zip!/november_visual_package_v082.zip!/november_visual_package_v082/hist_nov_visual_assets_v081.zip!/hist_nov_visual_assets_v081/full/VIS-HIST-NOV-013_full.jpg</x:v>
      </x:c>
      <x:c r="R1183" s="30" t="str">
        <x:v>MATCHED_ASSET</x:v>
      </x:c>
      <x:c r="S1183" t="e">
        <x:f>HYPERLINK("visual_gallery/index.html#"&amp;A1183,"Галерея")</x:f>
      </x:c>
    </x:row>
    <x:row r="1184">
      <x:c r="A1184" s="87" t="str">
        <x:v>VIS-HIST-NOV-014</x:v>
      </x:c>
      <x:c r="B1184" s="30" t="str">
        <x:v>История</x:v>
      </x:c>
      <x:c r="C1184" s="30" t="str">
        <x:v>Полная страница 3: задания 3, 4</x:v>
      </x:c>
      <x:c r="D1184" s="30" t="str">
        <x:v>ИС2510202</x:v>
      </x:c>
      <x:c r="E1184" s="87"/>
      <x:c r="F1184" s="30" t="str">
        <x:v>Zadanie_IS11_25112025.pdf</x:v>
      </x:c>
      <x:c r="G1184" s="87" t="str">
        <x:v>16</x:v>
      </x:c>
      <x:c r="H1184" s="87" t="str">
        <x:v>v0.81</x:v>
      </x:c>
      <x:c r="I1184" s="87" t="str">
        <x:v>2</x:v>
      </x:c>
      <x:c r="J1184" s="30" t="str">
        <x:v>VIS_ID</x:v>
      </x:c>
      <x:c r="K1184" s="30" t="str">
        <x:v>NOV-HIST-V2-003, NOV-HIST-V2-004</x:v>
      </x:c>
      <x:c r="L1184" s="87" t="str">
        <x:v>CROP_VERIFIED</x:v>
      </x:c>
      <x:c r="M1184" s="87" t="str">
        <x:v>ORIGINAL_PACKAGE</x:v>
      </x:c>
      <x:c r="N1184" s="87"/>
      <x:c r="O1184" s="87"/>
      <x:c r="P1184" s="87" t="str">
        <x:v>1839d6bf17e91f908acb87131faece965e82f2d55508c11abb5abb533c68498e</x:v>
      </x:c>
      <x:c r="Q1184" s="30" t="str">
        <x:v>incoming/raw/recovery-drop-01/statgrad_clean_branch_v0_01_bundle.zip!/november_visual_package_v082.zip!/november_visual_package_v082/hist_nov_visual_assets_v081.zip!/hist_nov_visual_assets_v081/full/VIS-HIST-NOV-014_full.jpg</x:v>
      </x:c>
      <x:c r="R1184" s="30" t="str">
        <x:v>MATCHED_ASSET</x:v>
      </x:c>
      <x:c r="S1184" t="e">
        <x:f>HYPERLINK("visual_gallery/index.html#"&amp;A1184,"Галерея")</x:f>
      </x:c>
    </x:row>
    <x:row r="1185">
      <x:c r="A1185" s="87" t="str">
        <x:v>VIS-HIST-NOV-015</x:v>
      </x:c>
      <x:c r="B1185" s="30" t="str">
        <x:v>История</x:v>
      </x:c>
      <x:c r="C1185" s="30" t="str">
        <x:v>Полная страница 4: задания 4, 5</x:v>
      </x:c>
      <x:c r="D1185" s="30" t="str">
        <x:v>ИС2510202</x:v>
      </x:c>
      <x:c r="E1185" s="87"/>
      <x:c r="F1185" s="30" t="str">
        <x:v>Zadanie_IS11_25112025.pdf</x:v>
      </x:c>
      <x:c r="G1185" s="87" t="str">
        <x:v>17</x:v>
      </x:c>
      <x:c r="H1185" s="87" t="str">
        <x:v>v0.81</x:v>
      </x:c>
      <x:c r="I1185" s="87" t="str">
        <x:v>2</x:v>
      </x:c>
      <x:c r="J1185" s="30" t="str">
        <x:v>VIS_ID</x:v>
      </x:c>
      <x:c r="K1185" s="30" t="str">
        <x:v>NOV-HIST-V2-004, NOV-HIST-V2-005</x:v>
      </x:c>
      <x:c r="L1185" s="87" t="str">
        <x:v>CROP_VERIFIED</x:v>
      </x:c>
      <x:c r="M1185" s="87" t="str">
        <x:v>ORIGINAL_PACKAGE</x:v>
      </x:c>
      <x:c r="N1185" s="87"/>
      <x:c r="O1185" s="87"/>
      <x:c r="P1185" s="87" t="str">
        <x:v>0c0e8483f5a67c7e7112c82361325d9f99d7fb2d194c8a9e6a0cb31ed8b27b1c</x:v>
      </x:c>
      <x:c r="Q1185" s="30" t="str">
        <x:v>incoming/raw/recovery-drop-01/statgrad_clean_branch_v0_01_bundle.zip!/november_visual_package_v082.zip!/november_visual_package_v082/hist_nov_visual_assets_v081.zip!/hist_nov_visual_assets_v081/full/VIS-HIST-NOV-015_full.jpg</x:v>
      </x:c>
      <x:c r="R1185" s="30" t="str">
        <x:v>MATCHED_ASSET</x:v>
      </x:c>
      <x:c r="S1185" t="e">
        <x:f>HYPERLINK("visual_gallery/index.html#"&amp;A1185,"Галерея")</x:f>
      </x:c>
    </x:row>
    <x:row r="1186">
      <x:c r="A1186" s="87" t="str">
        <x:v>VIS-HIST-NOV-016</x:v>
      </x:c>
      <x:c r="B1186" s="30" t="str">
        <x:v>История</x:v>
      </x:c>
      <x:c r="C1186" s="30" t="str">
        <x:v>Полная страница 5: задания 6</x:v>
      </x:c>
      <x:c r="D1186" s="30" t="str">
        <x:v>ИС2510202</x:v>
      </x:c>
      <x:c r="E1186" s="87"/>
      <x:c r="F1186" s="30" t="str">
        <x:v>Zadanie_IS11_25112025.pdf</x:v>
      </x:c>
      <x:c r="G1186" s="87" t="str">
        <x:v>18</x:v>
      </x:c>
      <x:c r="H1186" s="87" t="str">
        <x:v>v0.81</x:v>
      </x:c>
      <x:c r="I1186" s="87" t="str">
        <x:v>1</x:v>
      </x:c>
      <x:c r="J1186" s="30" t="str">
        <x:v>VIS_ID</x:v>
      </x:c>
      <x:c r="K1186" s="30" t="str">
        <x:v>NOV-HIST-V2-006</x:v>
      </x:c>
      <x:c r="L1186" s="87" t="str">
        <x:v>CROP_VERIFIED</x:v>
      </x:c>
      <x:c r="M1186" s="87" t="str">
        <x:v>ORIGINAL_PACKAGE</x:v>
      </x:c>
      <x:c r="N1186" s="87"/>
      <x:c r="O1186" s="87"/>
      <x:c r="P1186" s="87" t="str">
        <x:v>7cd06225b37edbdf85819fcaf095733ca0df33c2eef14e5d837288b0241297c2</x:v>
      </x:c>
      <x:c r="Q1186" s="30" t="str">
        <x:v>incoming/raw/recovery-drop-01/statgrad_clean_branch_v0_01_bundle.zip!/november_visual_package_v082.zip!/november_visual_package_v082/hist_nov_visual_assets_v081.zip!/hist_nov_visual_assets_v081/full/VIS-HIST-NOV-016_full.jpg</x:v>
      </x:c>
      <x:c r="R1186" s="30" t="str">
        <x:v>MATCHED_ASSET</x:v>
      </x:c>
      <x:c r="S1186" t="e">
        <x:f>HYPERLINK("visual_gallery/index.html#"&amp;A1186,"Галерея")</x:f>
      </x:c>
    </x:row>
    <x:row r="1187">
      <x:c r="A1187" s="87" t="str">
        <x:v>VIS-HIST-NOV-017</x:v>
      </x:c>
      <x:c r="B1187" s="30" t="str">
        <x:v>История</x:v>
      </x:c>
      <x:c r="C1187" s="30" t="str">
        <x:v>Полная страница 6: задания 7, 8</x:v>
      </x:c>
      <x:c r="D1187" s="30" t="str">
        <x:v>ИС2510202</x:v>
      </x:c>
      <x:c r="E1187" s="87"/>
      <x:c r="F1187" s="30" t="str">
        <x:v>Zadanie_IS11_25112025.pdf</x:v>
      </x:c>
      <x:c r="G1187" s="87" t="str">
        <x:v>19</x:v>
      </x:c>
      <x:c r="H1187" s="87" t="str">
        <x:v>v0.81</x:v>
      </x:c>
      <x:c r="I1187" s="87" t="str">
        <x:v>2</x:v>
      </x:c>
      <x:c r="J1187" s="30" t="str">
        <x:v>VIS_ID</x:v>
      </x:c>
      <x:c r="K1187" s="30" t="str">
        <x:v>NOV-HIST-V2-007, NOV-HIST-V2-008</x:v>
      </x:c>
      <x:c r="L1187" s="87" t="str">
        <x:v>CROP_VERIFIED</x:v>
      </x:c>
      <x:c r="M1187" s="87" t="str">
        <x:v>ORIGINAL_PACKAGE</x:v>
      </x:c>
      <x:c r="N1187" s="87"/>
      <x:c r="O1187" s="87"/>
      <x:c r="P1187" s="87" t="str">
        <x:v>accfbb814c0d9aedb46979ca19be2be332d4db2bbfa08f2c065be6625a9b5ef6</x:v>
      </x:c>
      <x:c r="Q1187" s="30" t="str">
        <x:v>incoming/raw/recovery-drop-01/statgrad_clean_branch_v0_01_bundle.zip!/november_visual_package_v082.zip!/november_visual_package_v082/hist_nov_visual_assets_v081.zip!/hist_nov_visual_assets_v081/full/VIS-HIST-NOV-017_full.jpg</x:v>
      </x:c>
      <x:c r="R1187" s="30" t="str">
        <x:v>MATCHED_ASSET</x:v>
      </x:c>
      <x:c r="S1187" t="e">
        <x:f>HYPERLINK("visual_gallery/index.html#"&amp;A1187,"Галерея")</x:f>
      </x:c>
    </x:row>
    <x:row r="1188">
      <x:c r="A1188" s="87" t="str">
        <x:v>VIS-HIST-NOV-018</x:v>
      </x:c>
      <x:c r="B1188" s="30" t="str">
        <x:v>История</x:v>
      </x:c>
      <x:c r="C1188" s="30" t="str">
        <x:v>Полная страница 7: задания 9, 10</x:v>
      </x:c>
      <x:c r="D1188" s="30" t="str">
        <x:v>ИС2510202</x:v>
      </x:c>
      <x:c r="E1188" s="87"/>
      <x:c r="F1188" s="30" t="str">
        <x:v>Zadanie_IS11_25112025.pdf</x:v>
      </x:c>
      <x:c r="G1188" s="87" t="str">
        <x:v>20</x:v>
      </x:c>
      <x:c r="H1188" s="87" t="str">
        <x:v>v0.81</x:v>
      </x:c>
      <x:c r="I1188" s="87" t="str">
        <x:v>2</x:v>
      </x:c>
      <x:c r="J1188" s="30" t="str">
        <x:v>VIS_ID</x:v>
      </x:c>
      <x:c r="K1188" s="30" t="str">
        <x:v>NOV-HIST-V2-009, NOV-HIST-V2-010</x:v>
      </x:c>
      <x:c r="L1188" s="87" t="str">
        <x:v>CROP_VERIFIED</x:v>
      </x:c>
      <x:c r="M1188" s="87" t="str">
        <x:v>ORIGINAL_PACKAGE</x:v>
      </x:c>
      <x:c r="N1188" s="87"/>
      <x:c r="O1188" s="87"/>
      <x:c r="P1188" s="87" t="str">
        <x:v>f19fb51fe196cb2f36dc2c885087767f40341af0a513fc01074dbd80258efd45</x:v>
      </x:c>
      <x:c r="Q1188" s="30" t="str">
        <x:v>incoming/raw/recovery-drop-01/statgrad_clean_branch_v0_01_bundle.zip!/november_visual_package_v082.zip!/november_visual_package_v082/hist_nov_visual_assets_v081.zip!/hist_nov_visual_assets_v081/full/VIS-HIST-NOV-018_full.jpg</x:v>
      </x:c>
      <x:c r="R1188" s="30" t="str">
        <x:v>MATCHED_ASSET</x:v>
      </x:c>
      <x:c r="S1188" t="e">
        <x:f>HYPERLINK("visual_gallery/index.html#"&amp;A1188,"Галерея")</x:f>
      </x:c>
    </x:row>
    <x:row r="1189">
      <x:c r="A1189" s="87" t="str">
        <x:v>VIS-HIST-NOV-019</x:v>
      </x:c>
      <x:c r="B1189" s="30" t="str">
        <x:v>История</x:v>
      </x:c>
      <x:c r="C1189" s="30" t="str">
        <x:v>Полная страница 8: задания 11, 12</x:v>
      </x:c>
      <x:c r="D1189" s="30" t="str">
        <x:v>ИС2510202</x:v>
      </x:c>
      <x:c r="E1189" s="87"/>
      <x:c r="F1189" s="30" t="str">
        <x:v>Zadanie_IS11_25112025.pdf</x:v>
      </x:c>
      <x:c r="G1189" s="87" t="str">
        <x:v>21</x:v>
      </x:c>
      <x:c r="H1189" s="87" t="str">
        <x:v>v0.81</x:v>
      </x:c>
      <x:c r="I1189" s="87" t="str">
        <x:v>2</x:v>
      </x:c>
      <x:c r="J1189" s="30" t="str">
        <x:v>VIS_ID</x:v>
      </x:c>
      <x:c r="K1189" s="30" t="str">
        <x:v>NOV-HIST-V2-011, NOV-HIST-V2-012</x:v>
      </x:c>
      <x:c r="L1189" s="87" t="str">
        <x:v>CROP_VERIFIED</x:v>
      </x:c>
      <x:c r="M1189" s="87" t="str">
        <x:v>ORIGINAL_PACKAGE</x:v>
      </x:c>
      <x:c r="N1189" s="87"/>
      <x:c r="O1189" s="87"/>
      <x:c r="P1189" s="87" t="str">
        <x:v>edc4545a84c1104af2386f0170f791c48b6330a27d9da6197497b5611a9edc9e</x:v>
      </x:c>
      <x:c r="Q1189" s="30" t="str">
        <x:v>incoming/raw/recovery-drop-01/statgrad_clean_branch_v0_01_bundle.zip!/november_visual_package_v082.zip!/november_visual_package_v082/hist_nov_visual_assets_v081.zip!/hist_nov_visual_assets_v081/full/VIS-HIST-NOV-019_full.jpg</x:v>
      </x:c>
      <x:c r="R1189" s="30" t="str">
        <x:v>MATCHED_ASSET</x:v>
      </x:c>
      <x:c r="S1189" t="e">
        <x:f>HYPERLINK("visual_gallery/index.html#"&amp;A1189,"Галерея")</x:f>
      </x:c>
    </x:row>
    <x:row r="1190">
      <x:c r="A1190" s="87" t="str">
        <x:v>VIS-HIST-NOV-020</x:v>
      </x:c>
      <x:c r="B1190" s="30" t="str">
        <x:v>История</x:v>
      </x:c>
      <x:c r="C1190" s="30" t="str">
        <x:v>Полная страница 9: задания 13, 14 (источник)</x:v>
      </x:c>
      <x:c r="D1190" s="30" t="str">
        <x:v>ИС2510202</x:v>
      </x:c>
      <x:c r="E1190" s="87"/>
      <x:c r="F1190" s="30" t="str">
        <x:v>Zadanie_IS11_25112025.pdf</x:v>
      </x:c>
      <x:c r="G1190" s="87" t="str">
        <x:v>22</x:v>
      </x:c>
      <x:c r="H1190" s="87" t="str">
        <x:v>v0.81</x:v>
      </x:c>
      <x:c r="I1190" s="87" t="str">
        <x:v>2</x:v>
      </x:c>
      <x:c r="J1190" s="30" t="str">
        <x:v>VIS_ID</x:v>
      </x:c>
      <x:c r="K1190" s="30" t="str">
        <x:v>NOV-HIST-V2-013, NOV-HIST-V2-014</x:v>
      </x:c>
      <x:c r="L1190" s="87" t="str">
        <x:v>CROP_VERIFIED</x:v>
      </x:c>
      <x:c r="M1190" s="87" t="str">
        <x:v>ORIGINAL_PACKAGE</x:v>
      </x:c>
      <x:c r="N1190" s="87"/>
      <x:c r="O1190" s="87"/>
      <x:c r="P1190" s="87" t="str">
        <x:v>3012f52fe28055f8addfb033166d2751754130361d175f714fccf198830f2ac0</x:v>
      </x:c>
      <x:c r="Q1190" s="30" t="str">
        <x:v>incoming/raw/recovery-drop-01/statgrad_clean_branch_v0_01_bundle.zip!/november_visual_package_v082.zip!/november_visual_package_v082/hist_nov_visual_assets_v081.zip!/hist_nov_visual_assets_v081/full/VIS-HIST-NOV-020_full.jpg</x:v>
      </x:c>
      <x:c r="R1190" s="30" t="str">
        <x:v>MATCHED_ASSET</x:v>
      </x:c>
      <x:c r="S1190" t="e">
        <x:f>HYPERLINK("visual_gallery/index.html#"&amp;A1190,"Галерея")</x:f>
      </x:c>
    </x:row>
    <x:row r="1191">
      <x:c r="A1191" s="87" t="str">
        <x:v>VIS-HIST-NOV-021</x:v>
      </x:c>
      <x:c r="B1191" s="30" t="str">
        <x:v>История</x:v>
      </x:c>
      <x:c r="C1191" s="30" t="str">
        <x:v>Полная страница 10: задания 13, 14, 15</x:v>
      </x:c>
      <x:c r="D1191" s="30" t="str">
        <x:v>ИС2510202</x:v>
      </x:c>
      <x:c r="E1191" s="87"/>
      <x:c r="F1191" s="30" t="str">
        <x:v>Zadanie_IS11_25112025.pdf</x:v>
      </x:c>
      <x:c r="G1191" s="87" t="str">
        <x:v>23</x:v>
      </x:c>
      <x:c r="H1191" s="87" t="str">
        <x:v>v0.81</x:v>
      </x:c>
      <x:c r="I1191" s="87" t="str">
        <x:v>3</x:v>
      </x:c>
      <x:c r="J1191" s="30" t="str">
        <x:v>VIS_ID</x:v>
      </x:c>
      <x:c r="K1191" s="30" t="str">
        <x:v>NOV-HIST-V2-013, NOV-HIST-V2-014, NOV-HIST-V2-015</x:v>
      </x:c>
      <x:c r="L1191" s="87" t="str">
        <x:v>CROP_VERIFIED</x:v>
      </x:c>
      <x:c r="M1191" s="87" t="str">
        <x:v>ORIGINAL_PACKAGE</x:v>
      </x:c>
      <x:c r="N1191" s="87"/>
      <x:c r="O1191" s="87"/>
      <x:c r="P1191" s="87" t="str">
        <x:v>6acd775cbbb9729aad1a9aed27023530bed151302ce4c16411d2d7ebd63b9fe4</x:v>
      </x:c>
      <x:c r="Q1191" s="30" t="str">
        <x:v>incoming/raw/recovery-drop-01/statgrad_clean_branch_v0_01_bundle.zip!/november_visual_package_v082.zip!/november_visual_package_v082/hist_nov_visual_assets_v081.zip!/hist_nov_visual_assets_v081/full/VIS-HIST-NOV-021_full.jpg</x:v>
      </x:c>
      <x:c r="R1191" s="30" t="str">
        <x:v>MATCHED_ASSET</x:v>
      </x:c>
      <x:c r="S1191" t="e">
        <x:f>HYPERLINK("visual_gallery/index.html#"&amp;A1191,"Галерея")</x:f>
      </x:c>
    </x:row>
    <x:row r="1192">
      <x:c r="A1192" s="87" t="str">
        <x:v>VIS-HIST-NOV-022</x:v>
      </x:c>
      <x:c r="B1192" s="30" t="str">
        <x:v>История</x:v>
      </x:c>
      <x:c r="C1192" s="30" t="str">
        <x:v>Полная страница 11: задания 16</x:v>
      </x:c>
      <x:c r="D1192" s="30" t="str">
        <x:v>ИС2510202</x:v>
      </x:c>
      <x:c r="E1192" s="87"/>
      <x:c r="F1192" s="30" t="str">
        <x:v>Zadanie_IS11_25112025.pdf</x:v>
      </x:c>
      <x:c r="G1192" s="87" t="str">
        <x:v>24</x:v>
      </x:c>
      <x:c r="H1192" s="87" t="str">
        <x:v>v0.81</x:v>
      </x:c>
      <x:c r="I1192" s="87" t="str">
        <x:v>1</x:v>
      </x:c>
      <x:c r="J1192" s="30" t="str">
        <x:v>VIS_ID</x:v>
      </x:c>
      <x:c r="K1192" s="30" t="str">
        <x:v>NOV-HIST-V2-016</x:v>
      </x:c>
      <x:c r="L1192" s="87" t="str">
        <x:v>CROP_VERIFIED</x:v>
      </x:c>
      <x:c r="M1192" s="87" t="str">
        <x:v>ORIGINAL_PACKAGE</x:v>
      </x:c>
      <x:c r="N1192" s="87"/>
      <x:c r="O1192" s="87"/>
      <x:c r="P1192" s="87" t="str">
        <x:v>fc2293540bf2dcced49c845fa0a345824a2230476fe4297b8595cae63a4ee6a3</x:v>
      </x:c>
      <x:c r="Q1192" s="30" t="str">
        <x:v>incoming/raw/recovery-drop-01/statgrad_clean_branch_v0_01_bundle.zip!/november_visual_package_v082.zip!/november_visual_package_v082/hist_nov_visual_assets_v081.zip!/hist_nov_visual_assets_v081/full/VIS-HIST-NOV-022_full.jpg</x:v>
      </x:c>
      <x:c r="R1192" s="30" t="str">
        <x:v>MATCHED_ASSET</x:v>
      </x:c>
      <x:c r="S1192" t="e">
        <x:f>HYPERLINK("visual_gallery/index.html#"&amp;A1192,"Галерея")</x:f>
      </x:c>
    </x:row>
    <x:row r="1193">
      <x:c r="A1193" s="87" t="str">
        <x:v>VIS-HIST-NOV-023</x:v>
      </x:c>
      <x:c r="B1193" s="30" t="str">
        <x:v>История</x:v>
      </x:c>
      <x:c r="C1193" s="30" t="str">
        <x:v>Полная страница 12: задания 17</x:v>
      </x:c>
      <x:c r="D1193" s="30" t="str">
        <x:v>ИС2510202</x:v>
      </x:c>
      <x:c r="E1193" s="87"/>
      <x:c r="F1193" s="30" t="str">
        <x:v>Zadanie_IS11_25112025.pdf</x:v>
      </x:c>
      <x:c r="G1193" s="87" t="str">
        <x:v>25</x:v>
      </x:c>
      <x:c r="H1193" s="87" t="str">
        <x:v>v0.81</x:v>
      </x:c>
      <x:c r="I1193" s="87" t="str">
        <x:v>1</x:v>
      </x:c>
      <x:c r="J1193" s="30" t="str">
        <x:v>VIS_ID</x:v>
      </x:c>
      <x:c r="K1193" s="30" t="str">
        <x:v>NOV-HIST-V2-017</x:v>
      </x:c>
      <x:c r="L1193" s="87" t="str">
        <x:v>CROP_VERIFIED</x:v>
      </x:c>
      <x:c r="M1193" s="87" t="str">
        <x:v>ORIGINAL_PACKAGE</x:v>
      </x:c>
      <x:c r="N1193" s="87"/>
      <x:c r="O1193" s="87"/>
      <x:c r="P1193" s="87" t="str">
        <x:v>78afe4737ba0b787dbd9ab82ded92c5b50cf59902f3c1b6356c5c5c94ed1a2b6</x:v>
      </x:c>
      <x:c r="Q1193" s="30" t="str">
        <x:v>incoming/raw/recovery-drop-01/statgrad_clean_branch_v0_01_bundle.zip!/november_visual_package_v082.zip!/november_visual_package_v082/hist_nov_visual_assets_v081.zip!/hist_nov_visual_assets_v081/full/VIS-HIST-NOV-023_full.jpg</x:v>
      </x:c>
      <x:c r="R1193" s="30" t="str">
        <x:v>MATCHED_ASSET</x:v>
      </x:c>
      <x:c r="S1193" t="e">
        <x:f>HYPERLINK("visual_gallery/index.html#"&amp;A1193,"Галерея")</x:f>
      </x:c>
    </x:row>
    <x:row r="1194">
      <x:c r="A1194" s="87" t="str">
        <x:v>VIS-HIST-NOV-024</x:v>
      </x:c>
      <x:c r="B1194" s="30" t="str">
        <x:v>История</x:v>
      </x:c>
      <x:c r="C1194" s="30" t="str">
        <x:v>Полная страница 13: задания 18, 19, 20, 21</x:v>
      </x:c>
      <x:c r="D1194" s="30" t="str">
        <x:v>ИС2510202</x:v>
      </x:c>
      <x:c r="E1194" s="87"/>
      <x:c r="F1194" s="30" t="str">
        <x:v>Zadanie_IS11_25112025.pdf</x:v>
      </x:c>
      <x:c r="G1194" s="87" t="str">
        <x:v>26</x:v>
      </x:c>
      <x:c r="H1194" s="87" t="str">
        <x:v>v0.81</x:v>
      </x:c>
      <x:c r="I1194" s="87" t="str">
        <x:v>4</x:v>
      </x:c>
      <x:c r="J1194" s="30" t="str">
        <x:v>VIS_ID</x:v>
      </x:c>
      <x:c r="K1194" s="30" t="str">
        <x:v>NOV-HIST-V2-018, NOV-HIST-V2-019, NOV-HIST-V2-020, NOV-HIST-V2-021</x:v>
      </x:c>
      <x:c r="L1194" s="87" t="str">
        <x:v>CROP_VERIFIED</x:v>
      </x:c>
      <x:c r="M1194" s="87" t="str">
        <x:v>ORIGINAL_PACKAGE</x:v>
      </x:c>
      <x:c r="N1194" s="87"/>
      <x:c r="O1194" s="87"/>
      <x:c r="P1194" s="87" t="str">
        <x:v>264451f4234789d57aad41b53d7b36b9783fa23322523fdfdd4938c3033bbc2f</x:v>
      </x:c>
      <x:c r="Q1194" s="30" t="str">
        <x:v>incoming/raw/recovery-drop-01/statgrad_clean_branch_v0_01_bundle.zip!/november_visual_package_v082.zip!/november_visual_package_v082/hist_nov_visual_assets_v081.zip!/hist_nov_visual_assets_v081/full/VIS-HIST-NOV-024_full.jpg</x:v>
      </x:c>
      <x:c r="R1194" s="30" t="str">
        <x:v>MATCHED_ASSET</x:v>
      </x:c>
      <x:c r="S1194" t="e">
        <x:f>HYPERLINK("visual_gallery/index.html#"&amp;A1194,"Галерея")</x:f>
      </x:c>
    </x:row>
    <x:row r="1195">
      <x:c r="A1195" s="87" t="str">
        <x:v>VIS-HIST-NOV-025</x:v>
      </x:c>
      <x:c r="B1195" s="30" t="str">
        <x:v>История</x:v>
      </x:c>
      <x:c r="C1195" s="30" t="str">
        <x:v>Полная страница 2: задания 1, 2</x:v>
      </x:c>
      <x:c r="D1195" s="30" t="str">
        <x:v>ИС2510203</x:v>
      </x:c>
      <x:c r="E1195" s="87"/>
      <x:c r="F1195" s="30" t="str">
        <x:v>Zadanie_IS11_25112025_.pdf</x:v>
      </x:c>
      <x:c r="G1195" s="87" t="str">
        <x:v>2</x:v>
      </x:c>
      <x:c r="H1195" s="87" t="str">
        <x:v>v0.81</x:v>
      </x:c>
      <x:c r="I1195" s="87" t="str">
        <x:v>2</x:v>
      </x:c>
      <x:c r="J1195" s="30" t="str">
        <x:v>VIS_ID</x:v>
      </x:c>
      <x:c r="K1195" s="30" t="str">
        <x:v>NOV-HIST-V3-001, NOV-HIST-V3-002</x:v>
      </x:c>
      <x:c r="L1195" s="87" t="str">
        <x:v>CROP_VERIFIED</x:v>
      </x:c>
      <x:c r="M1195" s="87" t="str">
        <x:v>ORIGINAL_PACKAGE</x:v>
      </x:c>
      <x:c r="N1195" s="87"/>
      <x:c r="O1195" s="87"/>
      <x:c r="P1195" s="87" t="str">
        <x:v>2bedf575d38373c67fad2a753c181a9a0830c95c371c133a5e47d7e8cec50943</x:v>
      </x:c>
      <x:c r="Q1195" s="30" t="str">
        <x:v>incoming/raw/recovery-drop-01/statgrad_clean_branch_v0_01_bundle.zip!/november_visual_package_v082.zip!/november_visual_package_v082/hist_nov_visual_assets_v081.zip!/hist_nov_visual_assets_v081/full/VIS-HIST-NOV-025_full.jpg</x:v>
      </x:c>
      <x:c r="R1195" s="30" t="str">
        <x:v>MATCHED_ASSET</x:v>
      </x:c>
      <x:c r="S1195" t="e">
        <x:f>HYPERLINK("visual_gallery/index.html#"&amp;A1195,"Галерея")</x:f>
      </x:c>
    </x:row>
    <x:row r="1196">
      <x:c r="A1196" s="87" t="str">
        <x:v>VIS-HIST-NOV-026</x:v>
      </x:c>
      <x:c r="B1196" s="30" t="str">
        <x:v>История</x:v>
      </x:c>
      <x:c r="C1196" s="30" t="str">
        <x:v>Полная страница 3: задания 3, 4</x:v>
      </x:c>
      <x:c r="D1196" s="30" t="str">
        <x:v>ИС2510203</x:v>
      </x:c>
      <x:c r="E1196" s="87"/>
      <x:c r="F1196" s="30" t="str">
        <x:v>Zadanie_IS11_25112025_.pdf</x:v>
      </x:c>
      <x:c r="G1196" s="87" t="str">
        <x:v>3</x:v>
      </x:c>
      <x:c r="H1196" s="87" t="str">
        <x:v>v0.81</x:v>
      </x:c>
      <x:c r="I1196" s="87" t="str">
        <x:v>2</x:v>
      </x:c>
      <x:c r="J1196" s="30" t="str">
        <x:v>VIS_ID</x:v>
      </x:c>
      <x:c r="K1196" s="30" t="str">
        <x:v>NOV-HIST-V3-003, NOV-HIST-V3-004</x:v>
      </x:c>
      <x:c r="L1196" s="87" t="str">
        <x:v>CROP_VERIFIED</x:v>
      </x:c>
      <x:c r="M1196" s="87" t="str">
        <x:v>ORIGINAL_PACKAGE</x:v>
      </x:c>
      <x:c r="N1196" s="87"/>
      <x:c r="O1196" s="87"/>
      <x:c r="P1196" s="87" t="str">
        <x:v>d39f7f0a25c355aaf3d3fd582166049cd43f20eebb0083e67274d5d68b3a3efc</x:v>
      </x:c>
      <x:c r="Q1196" s="30" t="str">
        <x:v>incoming/raw/recovery-drop-01/statgrad_clean_branch_v0_01_bundle.zip!/november_visual_package_v082.zip!/november_visual_package_v082/hist_nov_visual_assets_v081.zip!/hist_nov_visual_assets_v081/full/VIS-HIST-NOV-026_full.jpg</x:v>
      </x:c>
      <x:c r="R1196" s="30" t="str">
        <x:v>MATCHED_ASSET</x:v>
      </x:c>
      <x:c r="S1196" t="e">
        <x:f>HYPERLINK("visual_gallery/index.html#"&amp;A1196,"Галерея")</x:f>
      </x:c>
    </x:row>
    <x:row r="1197">
      <x:c r="A1197" s="87" t="str">
        <x:v>VIS-HIST-NOV-027</x:v>
      </x:c>
      <x:c r="B1197" s="30" t="str">
        <x:v>История</x:v>
      </x:c>
      <x:c r="C1197" s="30" t="str">
        <x:v>Полная страница 4: задания 4, 5</x:v>
      </x:c>
      <x:c r="D1197" s="30" t="str">
        <x:v>ИС2510203</x:v>
      </x:c>
      <x:c r="E1197" s="87"/>
      <x:c r="F1197" s="30" t="str">
        <x:v>Zadanie_IS11_25112025_.pdf</x:v>
      </x:c>
      <x:c r="G1197" s="87" t="str">
        <x:v>4</x:v>
      </x:c>
      <x:c r="H1197" s="87" t="str">
        <x:v>v0.81</x:v>
      </x:c>
      <x:c r="I1197" s="87" t="str">
        <x:v>2</x:v>
      </x:c>
      <x:c r="J1197" s="30" t="str">
        <x:v>VIS_ID</x:v>
      </x:c>
      <x:c r="K1197" s="30" t="str">
        <x:v>NOV-HIST-V3-004, NOV-HIST-V3-005</x:v>
      </x:c>
      <x:c r="L1197" s="87" t="str">
        <x:v>CROP_VERIFIED</x:v>
      </x:c>
      <x:c r="M1197" s="87" t="str">
        <x:v>ORIGINAL_PACKAGE</x:v>
      </x:c>
      <x:c r="N1197" s="87"/>
      <x:c r="O1197" s="87"/>
      <x:c r="P1197" s="87" t="str">
        <x:v>13f71f6b575f5fefd7a2c7c021d4391cb162fce81d05396a93a13cec8727f4b7</x:v>
      </x:c>
      <x:c r="Q1197" s="30" t="str">
        <x:v>incoming/raw/recovery-drop-01/statgrad_clean_branch_v0_01_bundle.zip!/november_visual_package_v082.zip!/november_visual_package_v082/hist_nov_visual_assets_v081.zip!/hist_nov_visual_assets_v081/full/VIS-HIST-NOV-027_full.jpg</x:v>
      </x:c>
      <x:c r="R1197" s="30" t="str">
        <x:v>MATCHED_ASSET</x:v>
      </x:c>
      <x:c r="S1197" t="e">
        <x:f>HYPERLINK("visual_gallery/index.html#"&amp;A1197,"Галерея")</x:f>
      </x:c>
    </x:row>
    <x:row r="1198">
      <x:c r="A1198" s="87" t="str">
        <x:v>VIS-HIST-NOV-028</x:v>
      </x:c>
      <x:c r="B1198" s="30" t="str">
        <x:v>История</x:v>
      </x:c>
      <x:c r="C1198" s="30" t="str">
        <x:v>Полная страница 5: задания 6</x:v>
      </x:c>
      <x:c r="D1198" s="30" t="str">
        <x:v>ИС2510203</x:v>
      </x:c>
      <x:c r="E1198" s="87"/>
      <x:c r="F1198" s="30" t="str">
        <x:v>Zadanie_IS11_25112025_.pdf</x:v>
      </x:c>
      <x:c r="G1198" s="87" t="str">
        <x:v>5</x:v>
      </x:c>
      <x:c r="H1198" s="87" t="str">
        <x:v>v0.81</x:v>
      </x:c>
      <x:c r="I1198" s="87" t="str">
        <x:v>1</x:v>
      </x:c>
      <x:c r="J1198" s="30" t="str">
        <x:v>VIS_ID</x:v>
      </x:c>
      <x:c r="K1198" s="30" t="str">
        <x:v>NOV-HIST-V3-006</x:v>
      </x:c>
      <x:c r="L1198" s="87" t="str">
        <x:v>CROP_VERIFIED</x:v>
      </x:c>
      <x:c r="M1198" s="87" t="str">
        <x:v>ORIGINAL_PACKAGE</x:v>
      </x:c>
      <x:c r="N1198" s="87"/>
      <x:c r="O1198" s="87"/>
      <x:c r="P1198" s="87" t="str">
        <x:v>ae60537e7aa2f5f3103614191d142d2400a16fc78e41be309a4bbd5b6cc2f3a6</x:v>
      </x:c>
      <x:c r="Q1198" s="30" t="str">
        <x:v>incoming/raw/recovery-drop-01/statgrad_clean_branch_v0_01_bundle.zip!/november_visual_package_v082.zip!/november_visual_package_v082/hist_nov_visual_assets_v081.zip!/hist_nov_visual_assets_v081/full/VIS-HIST-NOV-028_full.jpg</x:v>
      </x:c>
      <x:c r="R1198" s="30" t="str">
        <x:v>MATCHED_ASSET</x:v>
      </x:c>
      <x:c r="S1198" t="e">
        <x:f>HYPERLINK("visual_gallery/index.html#"&amp;A1198,"Галерея")</x:f>
      </x:c>
    </x:row>
    <x:row r="1199">
      <x:c r="A1199" s="87" t="str">
        <x:v>VIS-HIST-NOV-029</x:v>
      </x:c>
      <x:c r="B1199" s="30" t="str">
        <x:v>История</x:v>
      </x:c>
      <x:c r="C1199" s="30" t="str">
        <x:v>Полная страница 6: задания 7, 8</x:v>
      </x:c>
      <x:c r="D1199" s="30" t="str">
        <x:v>ИС2510203</x:v>
      </x:c>
      <x:c r="E1199" s="87"/>
      <x:c r="F1199" s="30" t="str">
        <x:v>Zadanie_IS11_25112025_.pdf</x:v>
      </x:c>
      <x:c r="G1199" s="87" t="str">
        <x:v>6</x:v>
      </x:c>
      <x:c r="H1199" s="87" t="str">
        <x:v>v0.81</x:v>
      </x:c>
      <x:c r="I1199" s="87" t="str">
        <x:v>2</x:v>
      </x:c>
      <x:c r="J1199" s="30" t="str">
        <x:v>VIS_ID</x:v>
      </x:c>
      <x:c r="K1199" s="30" t="str">
        <x:v>NOV-HIST-V3-007, NOV-HIST-V3-008</x:v>
      </x:c>
      <x:c r="L1199" s="87" t="str">
        <x:v>CROP_VERIFIED</x:v>
      </x:c>
      <x:c r="M1199" s="87" t="str">
        <x:v>ORIGINAL_PACKAGE</x:v>
      </x:c>
      <x:c r="N1199" s="87"/>
      <x:c r="O1199" s="87"/>
      <x:c r="P1199" s="87" t="str">
        <x:v>77499b1158053fe955b8856e315262924e36c725ef75dae3fd80bbf8ffffce73</x:v>
      </x:c>
      <x:c r="Q1199" s="30" t="str">
        <x:v>incoming/raw/recovery-drop-01/statgrad_clean_branch_v0_01_bundle.zip!/november_visual_package_v082.zip!/november_visual_package_v082/hist_nov_visual_assets_v081.zip!/hist_nov_visual_assets_v081/full/VIS-HIST-NOV-029_full.jpg</x:v>
      </x:c>
      <x:c r="R1199" s="30" t="str">
        <x:v>MATCHED_ASSET</x:v>
      </x:c>
      <x:c r="S1199" t="e">
        <x:f>HYPERLINK("visual_gallery/index.html#"&amp;A1199,"Галерея")</x:f>
      </x:c>
    </x:row>
    <x:row r="1200">
      <x:c r="A1200" s="87" t="str">
        <x:v>VIS-HIST-NOV-030</x:v>
      </x:c>
      <x:c r="B1200" s="30" t="str">
        <x:v>История</x:v>
      </x:c>
      <x:c r="C1200" s="30" t="str">
        <x:v>Полная страница 7: задания 9, 10</x:v>
      </x:c>
      <x:c r="D1200" s="30" t="str">
        <x:v>ИС2510203</x:v>
      </x:c>
      <x:c r="E1200" s="87"/>
      <x:c r="F1200" s="30" t="str">
        <x:v>Zadanie_IS11_25112025_.pdf</x:v>
      </x:c>
      <x:c r="G1200" s="87" t="str">
        <x:v>7</x:v>
      </x:c>
      <x:c r="H1200" s="87" t="str">
        <x:v>v0.81</x:v>
      </x:c>
      <x:c r="I1200" s="87" t="str">
        <x:v>2</x:v>
      </x:c>
      <x:c r="J1200" s="30" t="str">
        <x:v>VIS_ID</x:v>
      </x:c>
      <x:c r="K1200" s="30" t="str">
        <x:v>NOV-HIST-V3-009, NOV-HIST-V3-010</x:v>
      </x:c>
      <x:c r="L1200" s="87" t="str">
        <x:v>CROP_VERIFIED</x:v>
      </x:c>
      <x:c r="M1200" s="87" t="str">
        <x:v>ORIGINAL_PACKAGE</x:v>
      </x:c>
      <x:c r="N1200" s="87"/>
      <x:c r="O1200" s="87"/>
      <x:c r="P1200" s="87" t="str">
        <x:v>e1860d30242d542c765eba1d7c445014ced9fa94d1f567ace83fb69cde3242a5</x:v>
      </x:c>
      <x:c r="Q1200" s="30" t="str">
        <x:v>incoming/raw/recovery-drop-01/statgrad_clean_branch_v0_01_bundle.zip!/november_visual_package_v082.zip!/november_visual_package_v082/hist_nov_visual_assets_v081.zip!/hist_nov_visual_assets_v081/full/VIS-HIST-NOV-030_full.jpg</x:v>
      </x:c>
      <x:c r="R1200" s="30" t="str">
        <x:v>MATCHED_ASSET</x:v>
      </x:c>
      <x:c r="S1200" t="e">
        <x:f>HYPERLINK("visual_gallery/index.html#"&amp;A1200,"Галерея")</x:f>
      </x:c>
    </x:row>
    <x:row r="1201">
      <x:c r="A1201" s="87" t="str">
        <x:v>VIS-HIST-NOV-031</x:v>
      </x:c>
      <x:c r="B1201" s="30" t="str">
        <x:v>История</x:v>
      </x:c>
      <x:c r="C1201" s="30" t="str">
        <x:v>Полная страница 8: задания 11, 12</x:v>
      </x:c>
      <x:c r="D1201" s="30" t="str">
        <x:v>ИС2510203</x:v>
      </x:c>
      <x:c r="E1201" s="87"/>
      <x:c r="F1201" s="30" t="str">
        <x:v>Zadanie_IS11_25112025_.pdf</x:v>
      </x:c>
      <x:c r="G1201" s="87" t="str">
        <x:v>8</x:v>
      </x:c>
      <x:c r="H1201" s="87" t="str">
        <x:v>v0.81</x:v>
      </x:c>
      <x:c r="I1201" s="87" t="str">
        <x:v>2</x:v>
      </x:c>
      <x:c r="J1201" s="30" t="str">
        <x:v>VIS_ID</x:v>
      </x:c>
      <x:c r="K1201" s="30" t="str">
        <x:v>NOV-HIST-V3-011, NOV-HIST-V3-012</x:v>
      </x:c>
      <x:c r="L1201" s="87" t="str">
        <x:v>CROP_VERIFIED</x:v>
      </x:c>
      <x:c r="M1201" s="87" t="str">
        <x:v>ORIGINAL_PACKAGE</x:v>
      </x:c>
      <x:c r="N1201" s="87"/>
      <x:c r="O1201" s="87"/>
      <x:c r="P1201" s="87" t="str">
        <x:v>e67b9c0f6d7fbcf6f1fa554971215fcd70cf858e24e28421ed09b4240ebdd1fa</x:v>
      </x:c>
      <x:c r="Q1201" s="30" t="str">
        <x:v>incoming/raw/recovery-drop-01/statgrad_clean_branch_v0_01_bundle.zip!/november_visual_package_v082.zip!/november_visual_package_v082/hist_nov_visual_assets_v081.zip!/hist_nov_visual_assets_v081/full/VIS-HIST-NOV-031_full.jpg</x:v>
      </x:c>
      <x:c r="R1201" s="30" t="str">
        <x:v>MATCHED_ASSET</x:v>
      </x:c>
      <x:c r="S1201" t="e">
        <x:f>HYPERLINK("visual_gallery/index.html#"&amp;A1201,"Галерея")</x:f>
      </x:c>
    </x:row>
    <x:row r="1202">
      <x:c r="A1202" s="87" t="str">
        <x:v>VIS-HIST-NOV-032</x:v>
      </x:c>
      <x:c r="B1202" s="30" t="str">
        <x:v>История</x:v>
      </x:c>
      <x:c r="C1202" s="30" t="str">
        <x:v>Полная страница 9: задания 13, 14 (источник)</x:v>
      </x:c>
      <x:c r="D1202" s="30" t="str">
        <x:v>ИС2510203</x:v>
      </x:c>
      <x:c r="E1202" s="87"/>
      <x:c r="F1202" s="30" t="str">
        <x:v>Zadanie_IS11_25112025_.pdf</x:v>
      </x:c>
      <x:c r="G1202" s="87" t="str">
        <x:v>9</x:v>
      </x:c>
      <x:c r="H1202" s="87" t="str">
        <x:v>v0.81</x:v>
      </x:c>
      <x:c r="I1202" s="87" t="str">
        <x:v>2</x:v>
      </x:c>
      <x:c r="J1202" s="30" t="str">
        <x:v>VIS_ID</x:v>
      </x:c>
      <x:c r="K1202" s="30" t="str">
        <x:v>NOV-HIST-V3-013, NOV-HIST-V3-014</x:v>
      </x:c>
      <x:c r="L1202" s="87" t="str">
        <x:v>CROP_VERIFIED</x:v>
      </x:c>
      <x:c r="M1202" s="87" t="str">
        <x:v>ORIGINAL_PACKAGE</x:v>
      </x:c>
      <x:c r="N1202" s="87"/>
      <x:c r="O1202" s="87"/>
      <x:c r="P1202" s="87" t="str">
        <x:v>854859f2c37fea71ca9787ef2953727e1870c18fcdcac85f58c9f3689f79ce17</x:v>
      </x:c>
      <x:c r="Q1202" s="30" t="str">
        <x:v>incoming/raw/recovery-drop-01/statgrad_clean_branch_v0_01_bundle.zip!/november_visual_package_v082.zip!/november_visual_package_v082/hist_nov_visual_assets_v081.zip!/hist_nov_visual_assets_v081/full/VIS-HIST-NOV-032_full.jpg</x:v>
      </x:c>
      <x:c r="R1202" s="30" t="str">
        <x:v>MATCHED_ASSET</x:v>
      </x:c>
      <x:c r="S1202" t="e">
        <x:f>HYPERLINK("visual_gallery/index.html#"&amp;A1202,"Галерея")</x:f>
      </x:c>
    </x:row>
    <x:row r="1203">
      <x:c r="A1203" s="87" t="str">
        <x:v>VIS-HIST-NOV-033</x:v>
      </x:c>
      <x:c r="B1203" s="30" t="str">
        <x:v>История</x:v>
      </x:c>
      <x:c r="C1203" s="30" t="str">
        <x:v>Полная страница 10: задания 13, 14, 15</x:v>
      </x:c>
      <x:c r="D1203" s="30" t="str">
        <x:v>ИС2510203</x:v>
      </x:c>
      <x:c r="E1203" s="87"/>
      <x:c r="F1203" s="30" t="str">
        <x:v>Zadanie_IS11_25112025_.pdf</x:v>
      </x:c>
      <x:c r="G1203" s="87" t="str">
        <x:v>10</x:v>
      </x:c>
      <x:c r="H1203" s="87" t="str">
        <x:v>v0.81</x:v>
      </x:c>
      <x:c r="I1203" s="87" t="str">
        <x:v>3</x:v>
      </x:c>
      <x:c r="J1203" s="30" t="str">
        <x:v>VIS_ID</x:v>
      </x:c>
      <x:c r="K1203" s="30" t="str">
        <x:v>NOV-HIST-V3-013, NOV-HIST-V3-014, NOV-HIST-V3-015</x:v>
      </x:c>
      <x:c r="L1203" s="87" t="str">
        <x:v>CROP_VERIFIED</x:v>
      </x:c>
      <x:c r="M1203" s="87" t="str">
        <x:v>ORIGINAL_PACKAGE</x:v>
      </x:c>
      <x:c r="N1203" s="87"/>
      <x:c r="O1203" s="87"/>
      <x:c r="P1203" s="87" t="str">
        <x:v>8419e1df9ab6f81ffd14da159b4e792d076936a1b76d6bf937a203ade5021140</x:v>
      </x:c>
      <x:c r="Q1203" s="30" t="str">
        <x:v>incoming/raw/recovery-drop-01/statgrad_clean_branch_v0_01_bundle.zip!/november_visual_package_v082.zip!/november_visual_package_v082/hist_nov_visual_assets_v081.zip!/hist_nov_visual_assets_v081/full/VIS-HIST-NOV-033_full.jpg</x:v>
      </x:c>
      <x:c r="R1203" s="30" t="str">
        <x:v>MATCHED_ASSET</x:v>
      </x:c>
      <x:c r="S1203" t="e">
        <x:f>HYPERLINK("visual_gallery/index.html#"&amp;A1203,"Галерея")</x:f>
      </x:c>
    </x:row>
    <x:row r="1204">
      <x:c r="A1204" s="87" t="str">
        <x:v>VIS-HIST-NOV-034</x:v>
      </x:c>
      <x:c r="B1204" s="30" t="str">
        <x:v>История</x:v>
      </x:c>
      <x:c r="C1204" s="30" t="str">
        <x:v>Полная страница 11: задания 16</x:v>
      </x:c>
      <x:c r="D1204" s="30" t="str">
        <x:v>ИС2510203</x:v>
      </x:c>
      <x:c r="E1204" s="87"/>
      <x:c r="F1204" s="30" t="str">
        <x:v>Zadanie_IS11_25112025_.pdf</x:v>
      </x:c>
      <x:c r="G1204" s="87" t="str">
        <x:v>11</x:v>
      </x:c>
      <x:c r="H1204" s="87" t="str">
        <x:v>v0.81</x:v>
      </x:c>
      <x:c r="I1204" s="87" t="str">
        <x:v>1</x:v>
      </x:c>
      <x:c r="J1204" s="30" t="str">
        <x:v>VIS_ID</x:v>
      </x:c>
      <x:c r="K1204" s="30" t="str">
        <x:v>NOV-HIST-V3-016</x:v>
      </x:c>
      <x:c r="L1204" s="87" t="str">
        <x:v>CROP_VERIFIED</x:v>
      </x:c>
      <x:c r="M1204" s="87" t="str">
        <x:v>ORIGINAL_PACKAGE</x:v>
      </x:c>
      <x:c r="N1204" s="87"/>
      <x:c r="O1204" s="87"/>
      <x:c r="P1204" s="87" t="str">
        <x:v>7568a47784a6e4659c19e95c5531ff3561308bc61d4ef23053eeaab20c160ab0</x:v>
      </x:c>
      <x:c r="Q1204" s="30" t="str">
        <x:v>incoming/raw/recovery-drop-01/statgrad_clean_branch_v0_01_bundle.zip!/november_visual_package_v082.zip!/november_visual_package_v082/hist_nov_visual_assets_v081.zip!/hist_nov_visual_assets_v081/full/VIS-HIST-NOV-034_full.jpg</x:v>
      </x:c>
      <x:c r="R1204" s="30" t="str">
        <x:v>MATCHED_ASSET</x:v>
      </x:c>
      <x:c r="S1204" t="e">
        <x:f>HYPERLINK("visual_gallery/index.html#"&amp;A1204,"Галерея")</x:f>
      </x:c>
    </x:row>
    <x:row r="1205">
      <x:c r="A1205" s="87" t="str">
        <x:v>VIS-HIST-NOV-035</x:v>
      </x:c>
      <x:c r="B1205" s="30" t="str">
        <x:v>История</x:v>
      </x:c>
      <x:c r="C1205" s="30" t="str">
        <x:v>Полная страница 12: задания 17</x:v>
      </x:c>
      <x:c r="D1205" s="30" t="str">
        <x:v>ИС2510203</x:v>
      </x:c>
      <x:c r="E1205" s="87"/>
      <x:c r="F1205" s="30" t="str">
        <x:v>Zadanie_IS11_25112025_.pdf</x:v>
      </x:c>
      <x:c r="G1205" s="87" t="str">
        <x:v>12</x:v>
      </x:c>
      <x:c r="H1205" s="87" t="str">
        <x:v>v0.81</x:v>
      </x:c>
      <x:c r="I1205" s="87" t="str">
        <x:v>1</x:v>
      </x:c>
      <x:c r="J1205" s="30" t="str">
        <x:v>VIS_ID</x:v>
      </x:c>
      <x:c r="K1205" s="30" t="str">
        <x:v>NOV-HIST-V3-017</x:v>
      </x:c>
      <x:c r="L1205" s="87" t="str">
        <x:v>CROP_VERIFIED</x:v>
      </x:c>
      <x:c r="M1205" s="87" t="str">
        <x:v>ORIGINAL_PACKAGE</x:v>
      </x:c>
      <x:c r="N1205" s="87"/>
      <x:c r="O1205" s="87"/>
      <x:c r="P1205" s="87" t="str">
        <x:v>03e3437741dbd345bb0401c55d7b4790c19298a9bb612400429dbd1fe957dd0f</x:v>
      </x:c>
      <x:c r="Q1205" s="30" t="str">
        <x:v>incoming/raw/recovery-drop-01/statgrad_clean_branch_v0_01_bundle.zip!/november_visual_package_v082.zip!/november_visual_package_v082/hist_nov_visual_assets_v081.zip!/hist_nov_visual_assets_v081/full/VIS-HIST-NOV-035_full.jpg</x:v>
      </x:c>
      <x:c r="R1205" s="30" t="str">
        <x:v>MATCHED_ASSET</x:v>
      </x:c>
      <x:c r="S1205" t="e">
        <x:f>HYPERLINK("visual_gallery/index.html#"&amp;A1205,"Галерея")</x:f>
      </x:c>
    </x:row>
    <x:row r="1206">
      <x:c r="A1206" s="87" t="str">
        <x:v>VIS-HIST-NOV-036</x:v>
      </x:c>
      <x:c r="B1206" s="30" t="str">
        <x:v>История</x:v>
      </x:c>
      <x:c r="C1206" s="30" t="str">
        <x:v>Полная страница 13: задания 18, 19, 20, 21</x:v>
      </x:c>
      <x:c r="D1206" s="30" t="str">
        <x:v>ИС2510203</x:v>
      </x:c>
      <x:c r="E1206" s="87"/>
      <x:c r="F1206" s="30" t="str">
        <x:v>Zadanie_IS11_25112025_.pdf</x:v>
      </x:c>
      <x:c r="G1206" s="87" t="str">
        <x:v>13</x:v>
      </x:c>
      <x:c r="H1206" s="87" t="str">
        <x:v>v0.81</x:v>
      </x:c>
      <x:c r="I1206" s="87" t="str">
        <x:v>4</x:v>
      </x:c>
      <x:c r="J1206" s="30" t="str">
        <x:v>VIS_ID</x:v>
      </x:c>
      <x:c r="K1206" s="30" t="str">
        <x:v>NOV-HIST-V3-018, NOV-HIST-V3-019, NOV-HIST-V3-020, NOV-HIST-V3-021</x:v>
      </x:c>
      <x:c r="L1206" s="87" t="str">
        <x:v>CROP_VERIFIED</x:v>
      </x:c>
      <x:c r="M1206" s="87" t="str">
        <x:v>ORIGINAL_PACKAGE</x:v>
      </x:c>
      <x:c r="N1206" s="87"/>
      <x:c r="O1206" s="87"/>
      <x:c r="P1206" s="87" t="str">
        <x:v>3f1e877ed5a18baf1404cfc1e97e7d9aef1cae0194a1bf66491f71248eb343f1</x:v>
      </x:c>
      <x:c r="Q1206" s="30" t="str">
        <x:v>incoming/raw/recovery-drop-01/statgrad_clean_branch_v0_01_bundle.zip!/november_visual_package_v082.zip!/november_visual_package_v082/hist_nov_visual_assets_v081.zip!/hist_nov_visual_assets_v081/full/VIS-HIST-NOV-036_full.jpg</x:v>
      </x:c>
      <x:c r="R1206" s="30" t="str">
        <x:v>MATCHED_ASSET</x:v>
      </x:c>
      <x:c r="S1206" t="e">
        <x:f>HYPERLINK("visual_gallery/index.html#"&amp;A1206,"Галерея")</x:f>
      </x:c>
    </x:row>
    <x:row r="1207">
      <x:c r="A1207" s="87" t="str">
        <x:v>VIS-HIST-NOV-037</x:v>
      </x:c>
      <x:c r="B1207" s="30" t="str">
        <x:v>История</x:v>
      </x:c>
      <x:c r="C1207" s="30" t="str">
        <x:v>Полная страница 2: задания 1, 2</x:v>
      </x:c>
      <x:c r="D1207" s="30" t="str">
        <x:v>ИС2510204</x:v>
      </x:c>
      <x:c r="E1207" s="87"/>
      <x:c r="F1207" s="30" t="str">
        <x:v>Zadanie_IS11_25112025_.pdf</x:v>
      </x:c>
      <x:c r="G1207" s="87" t="str">
        <x:v>15</x:v>
      </x:c>
      <x:c r="H1207" s="87" t="str">
        <x:v>v0.81</x:v>
      </x:c>
      <x:c r="I1207" s="87" t="str">
        <x:v>2</x:v>
      </x:c>
      <x:c r="J1207" s="30" t="str">
        <x:v>VIS_ID</x:v>
      </x:c>
      <x:c r="K1207" s="30" t="str">
        <x:v>NOV-HIST-V4-001, NOV-HIST-V4-002</x:v>
      </x:c>
      <x:c r="L1207" s="87" t="str">
        <x:v>CROP_VERIFIED</x:v>
      </x:c>
      <x:c r="M1207" s="87" t="str">
        <x:v>ORIGINAL_PACKAGE</x:v>
      </x:c>
      <x:c r="N1207" s="87"/>
      <x:c r="O1207" s="87"/>
      <x:c r="P1207" s="87" t="str">
        <x:v>a4f5b64ffd39f78257c6900330267d84479648693f18deb2d800d3a251137a97</x:v>
      </x:c>
      <x:c r="Q1207" s="30" t="str">
        <x:v>incoming/raw/recovery-drop-01/statgrad_clean_branch_v0_01_bundle.zip!/november_visual_package_v082.zip!/november_visual_package_v082/hist_nov_visual_assets_v081.zip!/hist_nov_visual_assets_v081/full/VIS-HIST-NOV-037_full.jpg</x:v>
      </x:c>
      <x:c r="R1207" s="30" t="str">
        <x:v>MATCHED_ASSET</x:v>
      </x:c>
      <x:c r="S1207" t="e">
        <x:f>HYPERLINK("visual_gallery/index.html#"&amp;A1207,"Галерея")</x:f>
      </x:c>
    </x:row>
    <x:row r="1208">
      <x:c r="A1208" s="87" t="str">
        <x:v>VIS-HIST-NOV-038</x:v>
      </x:c>
      <x:c r="B1208" s="30" t="str">
        <x:v>История</x:v>
      </x:c>
      <x:c r="C1208" s="30" t="str">
        <x:v>Полная страница 3: задания 3, 4</x:v>
      </x:c>
      <x:c r="D1208" s="30" t="str">
        <x:v>ИС2510204</x:v>
      </x:c>
      <x:c r="E1208" s="87"/>
      <x:c r="F1208" s="30" t="str">
        <x:v>Zadanie_IS11_25112025_.pdf</x:v>
      </x:c>
      <x:c r="G1208" s="87" t="str">
        <x:v>16</x:v>
      </x:c>
      <x:c r="H1208" s="87" t="str">
        <x:v>v0.81</x:v>
      </x:c>
      <x:c r="I1208" s="87" t="str">
        <x:v>2</x:v>
      </x:c>
      <x:c r="J1208" s="30" t="str">
        <x:v>VIS_ID</x:v>
      </x:c>
      <x:c r="K1208" s="30" t="str">
        <x:v>NOV-HIST-V4-003, NOV-HIST-V4-004</x:v>
      </x:c>
      <x:c r="L1208" s="87" t="str">
        <x:v>CROP_VERIFIED</x:v>
      </x:c>
      <x:c r="M1208" s="87" t="str">
        <x:v>ORIGINAL_PACKAGE</x:v>
      </x:c>
      <x:c r="N1208" s="87"/>
      <x:c r="O1208" s="87"/>
      <x:c r="P1208" s="87" t="str">
        <x:v>7ea80af69b346f62e266a59b7b2b415a7e39fba625e033fd8c017ce6d00beaf7</x:v>
      </x:c>
      <x:c r="Q1208" s="30" t="str">
        <x:v>incoming/raw/recovery-drop-01/statgrad_clean_branch_v0_01_bundle.zip!/november_visual_package_v082.zip!/november_visual_package_v082/hist_nov_visual_assets_v081.zip!/hist_nov_visual_assets_v081/full/VIS-HIST-NOV-038_full.jpg</x:v>
      </x:c>
      <x:c r="R1208" s="30" t="str">
        <x:v>MATCHED_ASSET</x:v>
      </x:c>
      <x:c r="S1208" t="e">
        <x:f>HYPERLINK("visual_gallery/index.html#"&amp;A1208,"Галерея")</x:f>
      </x:c>
    </x:row>
    <x:row r="1209">
      <x:c r="A1209" s="87" t="str">
        <x:v>VIS-HIST-NOV-039</x:v>
      </x:c>
      <x:c r="B1209" s="30" t="str">
        <x:v>История</x:v>
      </x:c>
      <x:c r="C1209" s="30" t="str">
        <x:v>Полная страница 4: задания 4, 5</x:v>
      </x:c>
      <x:c r="D1209" s="30" t="str">
        <x:v>ИС2510204</x:v>
      </x:c>
      <x:c r="E1209" s="87"/>
      <x:c r="F1209" s="30" t="str">
        <x:v>Zadanie_IS11_25112025_.pdf</x:v>
      </x:c>
      <x:c r="G1209" s="87" t="str">
        <x:v>17</x:v>
      </x:c>
      <x:c r="H1209" s="87" t="str">
        <x:v>v0.81</x:v>
      </x:c>
      <x:c r="I1209" s="87" t="str">
        <x:v>2</x:v>
      </x:c>
      <x:c r="J1209" s="30" t="str">
        <x:v>VIS_ID</x:v>
      </x:c>
      <x:c r="K1209" s="30" t="str">
        <x:v>NOV-HIST-V4-004, NOV-HIST-V4-005</x:v>
      </x:c>
      <x:c r="L1209" s="87" t="str">
        <x:v>CROP_VERIFIED</x:v>
      </x:c>
      <x:c r="M1209" s="87" t="str">
        <x:v>ORIGINAL_PACKAGE</x:v>
      </x:c>
      <x:c r="N1209" s="87"/>
      <x:c r="O1209" s="87"/>
      <x:c r="P1209" s="87" t="str">
        <x:v>2e7f5e619473d8a5191c945e1df5a25bb0bb27b7d5acaabe05d46587eec62b35</x:v>
      </x:c>
      <x:c r="Q1209" s="30" t="str">
        <x:v>incoming/raw/recovery-drop-01/statgrad_clean_branch_v0_01_bundle.zip!/november_visual_package_v082.zip!/november_visual_package_v082/hist_nov_visual_assets_v081.zip!/hist_nov_visual_assets_v081/full/VIS-HIST-NOV-039_full.jpg</x:v>
      </x:c>
      <x:c r="R1209" s="30" t="str">
        <x:v>MATCHED_ASSET</x:v>
      </x:c>
      <x:c r="S1209" t="e">
        <x:f>HYPERLINK("visual_gallery/index.html#"&amp;A1209,"Галерея")</x:f>
      </x:c>
    </x:row>
    <x:row r="1210">
      <x:c r="A1210" s="87" t="str">
        <x:v>VIS-HIST-NOV-040</x:v>
      </x:c>
      <x:c r="B1210" s="30" t="str">
        <x:v>История</x:v>
      </x:c>
      <x:c r="C1210" s="30" t="str">
        <x:v>Полная страница 5: задания 6</x:v>
      </x:c>
      <x:c r="D1210" s="30" t="str">
        <x:v>ИС2510204</x:v>
      </x:c>
      <x:c r="E1210" s="87"/>
      <x:c r="F1210" s="30" t="str">
        <x:v>Zadanie_IS11_25112025_.pdf</x:v>
      </x:c>
      <x:c r="G1210" s="87" t="str">
        <x:v>18</x:v>
      </x:c>
      <x:c r="H1210" s="87" t="str">
        <x:v>v0.81</x:v>
      </x:c>
      <x:c r="I1210" s="87" t="str">
        <x:v>1</x:v>
      </x:c>
      <x:c r="J1210" s="30" t="str">
        <x:v>VIS_ID</x:v>
      </x:c>
      <x:c r="K1210" s="30" t="str">
        <x:v>NOV-HIST-V4-006</x:v>
      </x:c>
      <x:c r="L1210" s="87" t="str">
        <x:v>CROP_VERIFIED</x:v>
      </x:c>
      <x:c r="M1210" s="87" t="str">
        <x:v>ORIGINAL_PACKAGE</x:v>
      </x:c>
      <x:c r="N1210" s="87"/>
      <x:c r="O1210" s="87"/>
      <x:c r="P1210" s="87" t="str">
        <x:v>453c32198d2895ae0a14557dd880e6f220392db38c0dd68b34f9669536fd29aa</x:v>
      </x:c>
      <x:c r="Q1210" s="30" t="str">
        <x:v>incoming/raw/recovery-drop-01/statgrad_clean_branch_v0_01_bundle.zip!/november_visual_package_v082.zip!/november_visual_package_v082/hist_nov_visual_assets_v081.zip!/hist_nov_visual_assets_v081/full/VIS-HIST-NOV-040_full.jpg</x:v>
      </x:c>
      <x:c r="R1210" s="30" t="str">
        <x:v>MATCHED_ASSET</x:v>
      </x:c>
      <x:c r="S1210" t="e">
        <x:f>HYPERLINK("visual_gallery/index.html#"&amp;A1210,"Галерея")</x:f>
      </x:c>
    </x:row>
    <x:row r="1211">
      <x:c r="A1211" s="87" t="str">
        <x:v>VIS-HIST-NOV-041</x:v>
      </x:c>
      <x:c r="B1211" s="30" t="str">
        <x:v>История</x:v>
      </x:c>
      <x:c r="C1211" s="30" t="str">
        <x:v>Полная страница 6: задания 7, 8</x:v>
      </x:c>
      <x:c r="D1211" s="30" t="str">
        <x:v>ИС2510204</x:v>
      </x:c>
      <x:c r="E1211" s="87"/>
      <x:c r="F1211" s="30" t="str">
        <x:v>Zadanie_IS11_25112025_.pdf</x:v>
      </x:c>
      <x:c r="G1211" s="87" t="str">
        <x:v>19</x:v>
      </x:c>
      <x:c r="H1211" s="87" t="str">
        <x:v>v0.81</x:v>
      </x:c>
      <x:c r="I1211" s="87" t="str">
        <x:v>2</x:v>
      </x:c>
      <x:c r="J1211" s="30" t="str">
        <x:v>VIS_ID</x:v>
      </x:c>
      <x:c r="K1211" s="30" t="str">
        <x:v>NOV-HIST-V4-007, NOV-HIST-V4-008</x:v>
      </x:c>
      <x:c r="L1211" s="87" t="str">
        <x:v>CROP_VERIFIED</x:v>
      </x:c>
      <x:c r="M1211" s="87" t="str">
        <x:v>ORIGINAL_PACKAGE</x:v>
      </x:c>
      <x:c r="N1211" s="87"/>
      <x:c r="O1211" s="87"/>
      <x:c r="P1211" s="87" t="str">
        <x:v>61f9615553dc79cb2ca47348797887731e713bf5ce2070745865e23bdf54e142</x:v>
      </x:c>
      <x:c r="Q1211" s="30" t="str">
        <x:v>incoming/raw/recovery-drop-01/statgrad_clean_branch_v0_01_bundle.zip!/november_visual_package_v082.zip!/november_visual_package_v082/hist_nov_visual_assets_v081.zip!/hist_nov_visual_assets_v081/full/VIS-HIST-NOV-041_full.jpg</x:v>
      </x:c>
      <x:c r="R1211" s="30" t="str">
        <x:v>MATCHED_ASSET</x:v>
      </x:c>
      <x:c r="S1211" t="e">
        <x:f>HYPERLINK("visual_gallery/index.html#"&amp;A1211,"Галерея")</x:f>
      </x:c>
    </x:row>
    <x:row r="1212">
      <x:c r="A1212" s="87" t="str">
        <x:v>VIS-HIST-NOV-042</x:v>
      </x:c>
      <x:c r="B1212" s="30" t="str">
        <x:v>История</x:v>
      </x:c>
      <x:c r="C1212" s="30" t="str">
        <x:v>Полная страница 7: задания 9, 10</x:v>
      </x:c>
      <x:c r="D1212" s="30" t="str">
        <x:v>ИС2510204</x:v>
      </x:c>
      <x:c r="E1212" s="87"/>
      <x:c r="F1212" s="30" t="str">
        <x:v>Zadanie_IS11_25112025_.pdf</x:v>
      </x:c>
      <x:c r="G1212" s="87" t="str">
        <x:v>20</x:v>
      </x:c>
      <x:c r="H1212" s="87" t="str">
        <x:v>v0.81</x:v>
      </x:c>
      <x:c r="I1212" s="87" t="str">
        <x:v>2</x:v>
      </x:c>
      <x:c r="J1212" s="30" t="str">
        <x:v>VIS_ID</x:v>
      </x:c>
      <x:c r="K1212" s="30" t="str">
        <x:v>NOV-HIST-V4-009, NOV-HIST-V4-010</x:v>
      </x:c>
      <x:c r="L1212" s="87" t="str">
        <x:v>CROP_VERIFIED</x:v>
      </x:c>
      <x:c r="M1212" s="87" t="str">
        <x:v>ORIGINAL_PACKAGE</x:v>
      </x:c>
      <x:c r="N1212" s="87"/>
      <x:c r="O1212" s="87"/>
      <x:c r="P1212" s="87" t="str">
        <x:v>1301d6f1eac597e54c8ffc54716227b5daa4cc8bf2aada803e5317df1c34d2eb</x:v>
      </x:c>
      <x:c r="Q1212" s="30" t="str">
        <x:v>incoming/raw/recovery-drop-01/statgrad_clean_branch_v0_01_bundle.zip!/november_visual_package_v082.zip!/november_visual_package_v082/hist_nov_visual_assets_v081.zip!/hist_nov_visual_assets_v081/full/VIS-HIST-NOV-042_full.jpg</x:v>
      </x:c>
      <x:c r="R1212" s="30" t="str">
        <x:v>MATCHED_ASSET</x:v>
      </x:c>
      <x:c r="S1212" t="e">
        <x:f>HYPERLINK("visual_gallery/index.html#"&amp;A1212,"Галерея")</x:f>
      </x:c>
    </x:row>
    <x:row r="1213">
      <x:c r="A1213" s="87" t="str">
        <x:v>VIS-HIST-NOV-043</x:v>
      </x:c>
      <x:c r="B1213" s="30" t="str">
        <x:v>История</x:v>
      </x:c>
      <x:c r="C1213" s="30" t="str">
        <x:v>Полная страница 8: задания 11, 12</x:v>
      </x:c>
      <x:c r="D1213" s="30" t="str">
        <x:v>ИС2510204</x:v>
      </x:c>
      <x:c r="E1213" s="87"/>
      <x:c r="F1213" s="30" t="str">
        <x:v>Zadanie_IS11_25112025_.pdf</x:v>
      </x:c>
      <x:c r="G1213" s="87" t="str">
        <x:v>21</x:v>
      </x:c>
      <x:c r="H1213" s="87" t="str">
        <x:v>v0.81</x:v>
      </x:c>
      <x:c r="I1213" s="87" t="str">
        <x:v>2</x:v>
      </x:c>
      <x:c r="J1213" s="30" t="str">
        <x:v>VIS_ID</x:v>
      </x:c>
      <x:c r="K1213" s="30" t="str">
        <x:v>NOV-HIST-V4-011, NOV-HIST-V4-012</x:v>
      </x:c>
      <x:c r="L1213" s="87" t="str">
        <x:v>CROP_VERIFIED</x:v>
      </x:c>
      <x:c r="M1213" s="87" t="str">
        <x:v>ORIGINAL_PACKAGE</x:v>
      </x:c>
      <x:c r="N1213" s="87"/>
      <x:c r="O1213" s="87"/>
      <x:c r="P1213" s="87" t="str">
        <x:v>3b42bff100bd6998171f71bcda6e05b8583ab986a7c5ea6f775adfd198acbc6f</x:v>
      </x:c>
      <x:c r="Q1213" s="30" t="str">
        <x:v>incoming/raw/recovery-drop-01/statgrad_clean_branch_v0_01_bundle.zip!/november_visual_package_v082.zip!/november_visual_package_v082/hist_nov_visual_assets_v081.zip!/hist_nov_visual_assets_v081/full/VIS-HIST-NOV-043_full.jpg</x:v>
      </x:c>
      <x:c r="R1213" s="30" t="str">
        <x:v>MATCHED_ASSET</x:v>
      </x:c>
      <x:c r="S1213" t="e">
        <x:f>HYPERLINK("visual_gallery/index.html#"&amp;A1213,"Галерея")</x:f>
      </x:c>
    </x:row>
    <x:row r="1214">
      <x:c r="A1214" s="87" t="str">
        <x:v>VIS-HIST-NOV-044</x:v>
      </x:c>
      <x:c r="B1214" s="30" t="str">
        <x:v>История</x:v>
      </x:c>
      <x:c r="C1214" s="30" t="str">
        <x:v>Полная страница 9: задания 13, 14 (источник)</x:v>
      </x:c>
      <x:c r="D1214" s="30" t="str">
        <x:v>ИС2510204</x:v>
      </x:c>
      <x:c r="E1214" s="87"/>
      <x:c r="F1214" s="30" t="str">
        <x:v>Zadanie_IS11_25112025_.pdf</x:v>
      </x:c>
      <x:c r="G1214" s="87" t="str">
        <x:v>22</x:v>
      </x:c>
      <x:c r="H1214" s="87" t="str">
        <x:v>v0.81</x:v>
      </x:c>
      <x:c r="I1214" s="87" t="str">
        <x:v>2</x:v>
      </x:c>
      <x:c r="J1214" s="30" t="str">
        <x:v>VIS_ID</x:v>
      </x:c>
      <x:c r="K1214" s="30" t="str">
        <x:v>NOV-HIST-V4-013, NOV-HIST-V4-014</x:v>
      </x:c>
      <x:c r="L1214" s="87" t="str">
        <x:v>CROP_VERIFIED</x:v>
      </x:c>
      <x:c r="M1214" s="87" t="str">
        <x:v>ORIGINAL_PACKAGE</x:v>
      </x:c>
      <x:c r="N1214" s="87"/>
      <x:c r="O1214" s="87"/>
      <x:c r="P1214" s="87" t="str">
        <x:v>3404530c46ba1724ebd9d6dbfa329454110c586c2a19e6e2a0ffb688398077cd</x:v>
      </x:c>
      <x:c r="Q1214" s="30" t="str">
        <x:v>incoming/raw/recovery-drop-01/statgrad_clean_branch_v0_01_bundle.zip!/november_visual_package_v082.zip!/november_visual_package_v082/hist_nov_visual_assets_v081.zip!/hist_nov_visual_assets_v081/full/VIS-HIST-NOV-044_full.jpg</x:v>
      </x:c>
      <x:c r="R1214" s="30" t="str">
        <x:v>MATCHED_ASSET</x:v>
      </x:c>
      <x:c r="S1214" t="e">
        <x:f>HYPERLINK("visual_gallery/index.html#"&amp;A1214,"Галерея")</x:f>
      </x:c>
    </x:row>
    <x:row r="1215">
      <x:c r="A1215" s="87" t="str">
        <x:v>VIS-HIST-NOV-045</x:v>
      </x:c>
      <x:c r="B1215" s="30" t="str">
        <x:v>История</x:v>
      </x:c>
      <x:c r="C1215" s="30" t="str">
        <x:v>Полная страница 10: задания 13, 14, 15</x:v>
      </x:c>
      <x:c r="D1215" s="30" t="str">
        <x:v>ИС2510204</x:v>
      </x:c>
      <x:c r="E1215" s="87"/>
      <x:c r="F1215" s="30" t="str">
        <x:v>Zadanie_IS11_25112025_.pdf</x:v>
      </x:c>
      <x:c r="G1215" s="87" t="str">
        <x:v>23</x:v>
      </x:c>
      <x:c r="H1215" s="87" t="str">
        <x:v>v0.81</x:v>
      </x:c>
      <x:c r="I1215" s="87" t="str">
        <x:v>3</x:v>
      </x:c>
      <x:c r="J1215" s="30" t="str">
        <x:v>VIS_ID</x:v>
      </x:c>
      <x:c r="K1215" s="30" t="str">
        <x:v>NOV-HIST-V4-013, NOV-HIST-V4-014, NOV-HIST-V4-015</x:v>
      </x:c>
      <x:c r="L1215" s="87" t="str">
        <x:v>CROP_VERIFIED</x:v>
      </x:c>
      <x:c r="M1215" s="87" t="str">
        <x:v>ORIGINAL_PACKAGE</x:v>
      </x:c>
      <x:c r="N1215" s="87"/>
      <x:c r="O1215" s="87"/>
      <x:c r="P1215" s="87" t="str">
        <x:v>021344ddc00f35edbc52ca378d45b5b465462ea28ca496639836153a1e4f648d</x:v>
      </x:c>
      <x:c r="Q1215" s="30" t="str">
        <x:v>incoming/raw/recovery-drop-01/statgrad_clean_branch_v0_01_bundle.zip!/november_visual_package_v082.zip!/november_visual_package_v082/hist_nov_visual_assets_v081.zip!/hist_nov_visual_assets_v081/full/VIS-HIST-NOV-045_full.jpg</x:v>
      </x:c>
      <x:c r="R1215" s="30" t="str">
        <x:v>MATCHED_ASSET</x:v>
      </x:c>
      <x:c r="S1215" t="e">
        <x:f>HYPERLINK("visual_gallery/index.html#"&amp;A1215,"Галерея")</x:f>
      </x:c>
    </x:row>
    <x:row r="1216">
      <x:c r="A1216" s="87" t="str">
        <x:v>VIS-HIST-NOV-046</x:v>
      </x:c>
      <x:c r="B1216" s="30" t="str">
        <x:v>История</x:v>
      </x:c>
      <x:c r="C1216" s="30" t="str">
        <x:v>Полная страница 11: задания 16</x:v>
      </x:c>
      <x:c r="D1216" s="30" t="str">
        <x:v>ИС2510204</x:v>
      </x:c>
      <x:c r="E1216" s="87"/>
      <x:c r="F1216" s="30" t="str">
        <x:v>Zadanie_IS11_25112025_.pdf</x:v>
      </x:c>
      <x:c r="G1216" s="87" t="str">
        <x:v>24</x:v>
      </x:c>
      <x:c r="H1216" s="87" t="str">
        <x:v>v0.81</x:v>
      </x:c>
      <x:c r="I1216" s="87" t="str">
        <x:v>1</x:v>
      </x:c>
      <x:c r="J1216" s="30" t="str">
        <x:v>VIS_ID</x:v>
      </x:c>
      <x:c r="K1216" s="30" t="str">
        <x:v>NOV-HIST-V4-016</x:v>
      </x:c>
      <x:c r="L1216" s="87" t="str">
        <x:v>CROP_VERIFIED</x:v>
      </x:c>
      <x:c r="M1216" s="87" t="str">
        <x:v>ORIGINAL_PACKAGE</x:v>
      </x:c>
      <x:c r="N1216" s="87"/>
      <x:c r="O1216" s="87"/>
      <x:c r="P1216" s="87" t="str">
        <x:v>0be4c0d7c98f6ad510d8b8bafc7cd2eabeae19959ee7092f95d761e668caa0e5</x:v>
      </x:c>
      <x:c r="Q1216" s="30" t="str">
        <x:v>incoming/raw/recovery-drop-01/statgrad_clean_branch_v0_01_bundle.zip!/november_visual_package_v082.zip!/november_visual_package_v082/hist_nov_visual_assets_v081.zip!/hist_nov_visual_assets_v081/full/VIS-HIST-NOV-046_full.jpg</x:v>
      </x:c>
      <x:c r="R1216" s="30" t="str">
        <x:v>MATCHED_ASSET</x:v>
      </x:c>
      <x:c r="S1216" t="e">
        <x:f>HYPERLINK("visual_gallery/index.html#"&amp;A1216,"Галерея")</x:f>
      </x:c>
    </x:row>
    <x:row r="1217">
      <x:c r="A1217" s="87" t="str">
        <x:v>VIS-HIST-NOV-047</x:v>
      </x:c>
      <x:c r="B1217" s="30" t="str">
        <x:v>История</x:v>
      </x:c>
      <x:c r="C1217" s="30" t="str">
        <x:v>Полная страница 12: задания 17</x:v>
      </x:c>
      <x:c r="D1217" s="30" t="str">
        <x:v>ИС2510204</x:v>
      </x:c>
      <x:c r="E1217" s="87"/>
      <x:c r="F1217" s="30" t="str">
        <x:v>Zadanie_IS11_25112025_.pdf</x:v>
      </x:c>
      <x:c r="G1217" s="87" t="str">
        <x:v>25</x:v>
      </x:c>
      <x:c r="H1217" s="87" t="str">
        <x:v>v0.81</x:v>
      </x:c>
      <x:c r="I1217" s="87" t="str">
        <x:v>1</x:v>
      </x:c>
      <x:c r="J1217" s="30" t="str">
        <x:v>VIS_ID</x:v>
      </x:c>
      <x:c r="K1217" s="30" t="str">
        <x:v>NOV-HIST-V4-017</x:v>
      </x:c>
      <x:c r="L1217" s="87" t="str">
        <x:v>CROP_VERIFIED</x:v>
      </x:c>
      <x:c r="M1217" s="87" t="str">
        <x:v>ORIGINAL_PACKAGE</x:v>
      </x:c>
      <x:c r="N1217" s="87"/>
      <x:c r="O1217" s="87"/>
      <x:c r="P1217" s="87" t="str">
        <x:v>169d909f5172063a0c18ced59f244401243372bb782411c7e56013cfa7cec090</x:v>
      </x:c>
      <x:c r="Q1217" s="30" t="str">
        <x:v>incoming/raw/recovery-drop-01/statgrad_clean_branch_v0_01_bundle.zip!/november_visual_package_v082.zip!/november_visual_package_v082/hist_nov_visual_assets_v081.zip!/hist_nov_visual_assets_v081/full/VIS-HIST-NOV-047_full.jpg</x:v>
      </x:c>
      <x:c r="R1217" s="30" t="str">
        <x:v>MATCHED_ASSET</x:v>
      </x:c>
      <x:c r="S1217" t="e">
        <x:f>HYPERLINK("visual_gallery/index.html#"&amp;A1217,"Галерея")</x:f>
      </x:c>
    </x:row>
    <x:row r="1218">
      <x:c r="A1218" s="87" t="str">
        <x:v>VIS-HIST-NOV-048</x:v>
      </x:c>
      <x:c r="B1218" s="30" t="str">
        <x:v>История</x:v>
      </x:c>
      <x:c r="C1218" s="30" t="str">
        <x:v>Полная страница 13: задания 18, 19, 20, 21</x:v>
      </x:c>
      <x:c r="D1218" s="30" t="str">
        <x:v>ИС2510204</x:v>
      </x:c>
      <x:c r="E1218" s="87"/>
      <x:c r="F1218" s="30" t="str">
        <x:v>Zadanie_IS11_25112025_.pdf</x:v>
      </x:c>
      <x:c r="G1218" s="87" t="str">
        <x:v>26</x:v>
      </x:c>
      <x:c r="H1218" s="87" t="str">
        <x:v>v0.81</x:v>
      </x:c>
      <x:c r="I1218" s="87" t="str">
        <x:v>4</x:v>
      </x:c>
      <x:c r="J1218" s="30" t="str">
        <x:v>VIS_ID</x:v>
      </x:c>
      <x:c r="K1218" s="30" t="str">
        <x:v>NOV-HIST-V4-018, NOV-HIST-V4-019, NOV-HIST-V4-020, NOV-HIST-V4-021</x:v>
      </x:c>
      <x:c r="L1218" s="87" t="str">
        <x:v>CROP_VERIFIED</x:v>
      </x:c>
      <x:c r="M1218" s="87" t="str">
        <x:v>ORIGINAL_PACKAGE</x:v>
      </x:c>
      <x:c r="N1218" s="87"/>
      <x:c r="O1218" s="87"/>
      <x:c r="P1218" s="87" t="str">
        <x:v>6ac5c826b0c6664c8b8060a4e1428cd935ab6c0179f5414a8aef2995aa8a368f</x:v>
      </x:c>
      <x:c r="Q1218" s="30" t="str">
        <x:v>incoming/raw/recovery-drop-01/statgrad_clean_branch_v0_01_bundle.zip!/november_visual_package_v082.zip!/november_visual_package_v082/hist_nov_visual_assets_v081.zip!/hist_nov_visual_assets_v081/full/VIS-HIST-NOV-048_full.jpg</x:v>
      </x:c>
      <x:c r="R1218" s="30" t="str">
        <x:v>MATCHED_ASSET</x:v>
      </x:c>
      <x:c r="S1218" t="e">
        <x:f>HYPERLINK("visual_gallery/index.html#"&amp;A1218,"Галерея")</x:f>
      </x:c>
    </x:row>
    <x:row r="1219">
      <x:c r="A1219" s="87" t="str">
        <x:v>VIS-INF-DEC-KEY-P001</x:v>
      </x:c>
      <x:c r="B1219" s="30" t="str"/>
      <x:c r="C1219" s="30"/>
      <x:c r="D1219" s="30" t="str">
        <x:v>ИН2510201–ИН2510202</x:v>
      </x:c>
      <x:c r="E1219" s="87" t="str">
        <x:v>KEY</x:v>
      </x:c>
      <x:c r="F1219" s="30" t="str">
        <x:v>image_2025-12-17_11-53-34.png</x:v>
      </x:c>
      <x:c r="G1219" s="87"/>
      <x:c r="H1219" s="87" t="str">
        <x:v>v0.87</x:v>
      </x:c>
      <x:c r="I1219" s="87" t="str">
        <x:v>0</x:v>
      </x:c>
      <x:c r="J1219" s="30" t="str"/>
      <x:c r="K1219" s="30" t="str"/>
      <x:c r="L1219" s="87" t="str">
        <x:v>ASSET_HASH_VERIFIED_QA_UNSPECIFIED</x:v>
      </x:c>
      <x:c r="M1219" s="87" t="str">
        <x:v>ORIGINAL_PACKAGE</x:v>
      </x:c>
      <x:c r="N1219" s="87" t="str">
        <x:v>pages/VIS-INF-DEC-KEY-P001.png</x:v>
      </x:c>
      <x:c r="O1219" s="87" t="str">
        <x:v>thumbnails/VIS-INF-DEC-KEY-P001.jpg</x:v>
      </x:c>
      <x:c r="P1219" s="87" t="str">
        <x:v>17c10e475b9fb68e47b99a602b6695c9942f5f6e07b8c2c1705ed25fd63fe312</x:v>
      </x:c>
      <x:c r="Q1219" s="30" t="str">
        <x:v>incoming/raw/recovery-drop-01/informatics_dec_visual_assets_v087.zip!/pages/VIS-INF-DEC-KEY-P001.png</x:v>
      </x:c>
      <x:c r="R1219" s="30" t="str">
        <x:v>ASSET_HASH_VERIFIED_QA_UNSPECIFIED | Asset and thumbnail SHA matched; historical crop QA is absent.</x:v>
      </x:c>
      <x:c r="S1219" t="e">
        <x:f>HYPERLINK("visual_gallery/index.html#"&amp;A1219,"Галерея")</x:f>
      </x:c>
    </x:row>
    <x:row r="1220">
      <x:c r="A1220" s="87" t="str">
        <x:v>VIS-INF-DEC-TASK-201-P001</x:v>
      </x:c>
      <x:c r="B1220" s="30" t="str"/>
      <x:c r="C1220" s="30"/>
      <x:c r="D1220" s="30" t="str">
        <x:v>ИН2510201</x:v>
      </x:c>
      <x:c r="E1220" s="87" t="str">
        <x:v>TASK</x:v>
      </x:c>
      <x:c r="F1220" s="30" t="str">
        <x:v>Zadanie_IN11_16122025_.pdf</x:v>
      </x:c>
      <x:c r="G1220" s="87"/>
      <x:c r="H1220" s="87" t="str">
        <x:v>v0.87</x:v>
      </x:c>
      <x:c r="I1220" s="87" t="str">
        <x:v>0</x:v>
      </x:c>
      <x:c r="J1220" s="30" t="str"/>
      <x:c r="K1220" s="30" t="str"/>
      <x:c r="L1220" s="87" t="str">
        <x:v>ASSET_HASH_VERIFIED_QA_UNSPECIFIED</x:v>
      </x:c>
      <x:c r="M1220" s="87" t="str">
        <x:v>ORIGINAL_PACKAGE</x:v>
      </x:c>
      <x:c r="N1220" s="87" t="str">
        <x:v>pages/VIS-INF-DEC-TASK-201-P001.png</x:v>
      </x:c>
      <x:c r="O1220" s="87" t="str">
        <x:v>thumbnails/VIS-INF-DEC-TASK-201-P001.jpg</x:v>
      </x:c>
      <x:c r="P1220" s="87" t="str">
        <x:v>6672f550ee7fbc392c9c41f1fa2350c25da9aa5199024ac612fe622c84f143ae</x:v>
      </x:c>
      <x:c r="Q1220" s="30" t="str">
        <x:v>incoming/raw/recovery-drop-01/informatics_dec_visual_assets_v087.zip!/pages/VIS-INF-DEC-TASK-201-P001.png</x:v>
      </x:c>
      <x:c r="R1220" s="30" t="str">
        <x:v>ASSET_HASH_VERIFIED_QA_UNSPECIFIED | Asset and thumbnail SHA matched; historical crop QA is absent.</x:v>
      </x:c>
      <x:c r="S1220" t="e">
        <x:f>HYPERLINK("visual_gallery/index.html#"&amp;A1220,"Галерея")</x:f>
      </x:c>
    </x:row>
    <x:row r="1221">
      <x:c r="A1221" s="87" t="str">
        <x:v>VIS-INF-DEC-TASK-201-P002</x:v>
      </x:c>
      <x:c r="B1221" s="30" t="str"/>
      <x:c r="C1221" s="30"/>
      <x:c r="D1221" s="30" t="str">
        <x:v>ИН2510201</x:v>
      </x:c>
      <x:c r="E1221" s="87" t="str">
        <x:v>TASK</x:v>
      </x:c>
      <x:c r="F1221" s="30" t="str">
        <x:v>Zadanie_IN11_16122025_.pdf</x:v>
      </x:c>
      <x:c r="G1221" s="87"/>
      <x:c r="H1221" s="87" t="str">
        <x:v>v0.87</x:v>
      </x:c>
      <x:c r="I1221" s="87" t="str">
        <x:v>0</x:v>
      </x:c>
      <x:c r="J1221" s="30" t="str"/>
      <x:c r="K1221" s="30" t="str"/>
      <x:c r="L1221" s="87" t="str">
        <x:v>ASSET_HASH_VERIFIED_QA_UNSPECIFIED</x:v>
      </x:c>
      <x:c r="M1221" s="87" t="str">
        <x:v>ORIGINAL_PACKAGE</x:v>
      </x:c>
      <x:c r="N1221" s="87" t="str">
        <x:v>pages/VIS-INF-DEC-TASK-201-P002.png</x:v>
      </x:c>
      <x:c r="O1221" s="87" t="str">
        <x:v>thumbnails/VIS-INF-DEC-TASK-201-P002.jpg</x:v>
      </x:c>
      <x:c r="P1221" s="87" t="str">
        <x:v>9befe20c26841963da8a0a33fcc7f05becf72c18c2eab54c110d830d209f5e18</x:v>
      </x:c>
      <x:c r="Q1221" s="30" t="str">
        <x:v>incoming/raw/recovery-drop-01/informatics_dec_visual_assets_v087.zip!/pages/VIS-INF-DEC-TASK-201-P002.png</x:v>
      </x:c>
      <x:c r="R1221" s="30" t="str">
        <x:v>ASSET_HASH_VERIFIED_QA_UNSPECIFIED | Asset and thumbnail SHA matched; historical crop QA is absent.</x:v>
      </x:c>
      <x:c r="S1221" t="e">
        <x:f>HYPERLINK("visual_gallery/index.html#"&amp;A1221,"Галерея")</x:f>
      </x:c>
    </x:row>
    <x:row r="1222">
      <x:c r="A1222" s="87" t="str">
        <x:v>VIS-INF-DEC-TASK-201-P003</x:v>
      </x:c>
      <x:c r="B1222" s="30" t="str">
        <x:v>Информатика</x:v>
      </x:c>
      <x:c r="C1222" s="30"/>
      <x:c r="D1222" s="30" t="str">
        <x:v>ИН2510201</x:v>
      </x:c>
      <x:c r="E1222" s="87" t="str">
        <x:v>TASK</x:v>
      </x:c>
      <x:c r="F1222" s="30" t="str">
        <x:v>Zadanie_IN11_16122025_.pdf</x:v>
      </x:c>
      <x:c r="G1222" s="87"/>
      <x:c r="H1222" s="87" t="str">
        <x:v>v0.87</x:v>
      </x:c>
      <x:c r="I1222" s="87" t="str">
        <x:v>2</x:v>
      </x:c>
      <x:c r="J1222" s="30" t="str">
        <x:v>VIS_ID</x:v>
      </x:c>
      <x:c r="K1222" s="30" t="str">
        <x:v>DEC-INF-01-001, DEC-INF-01-002</x:v>
      </x:c>
      <x:c r="L1222" s="87" t="str">
        <x:v>ASSET_HASH_VERIFIED_QA_UNSPECIFIED</x:v>
      </x:c>
      <x:c r="M1222" s="87" t="str">
        <x:v>ORIGINAL_PACKAGE</x:v>
      </x:c>
      <x:c r="N1222" s="87" t="str">
        <x:v>pages/VIS-INF-DEC-TASK-201-P003.png</x:v>
      </x:c>
      <x:c r="O1222" s="87" t="str">
        <x:v>thumbnails/VIS-INF-DEC-TASK-201-P003.jpg</x:v>
      </x:c>
      <x:c r="P1222" s="87" t="str">
        <x:v>5b59d3a36421c6392afcbf1718dc97c444f112e1bb1d9bbc40a64fbd95f430a8</x:v>
      </x:c>
      <x:c r="Q1222" s="30" t="str">
        <x:v>incoming/raw/recovery-drop-01/informatics_dec_visual_assets_v087.zip!/pages/VIS-INF-DEC-TASK-201-P003.png</x:v>
      </x:c>
      <x:c r="R1222" s="30" t="str">
        <x:v>ASSET_HASH_VERIFIED_QA_UNSPECIFIED | Asset and thumbnail SHA matched; historical crop QA is absent.</x:v>
      </x:c>
      <x:c r="S1222" t="e">
        <x:f>HYPERLINK("visual_gallery/index.html#"&amp;A1222,"Галерея")</x:f>
      </x:c>
    </x:row>
    <x:row r="1223">
      <x:c r="A1223" s="87" t="str">
        <x:v>VIS-INF-DEC-TASK-201-P004</x:v>
      </x:c>
      <x:c r="B1223" s="30" t="str">
        <x:v>Информатика</x:v>
      </x:c>
      <x:c r="C1223" s="30"/>
      <x:c r="D1223" s="30" t="str">
        <x:v>ИН2510201</x:v>
      </x:c>
      <x:c r="E1223" s="87" t="str">
        <x:v>TASK</x:v>
      </x:c>
      <x:c r="F1223" s="30" t="str">
        <x:v>Zadanie_IN11_16122025_.pdf</x:v>
      </x:c>
      <x:c r="G1223" s="87"/>
      <x:c r="H1223" s="87" t="str">
        <x:v>v0.87</x:v>
      </x:c>
      <x:c r="I1223" s="87" t="str">
        <x:v>1</x:v>
      </x:c>
      <x:c r="J1223" s="30" t="str">
        <x:v>VIS_ID</x:v>
      </x:c>
      <x:c r="K1223" s="30" t="str">
        <x:v>DEC-INF-01-003</x:v>
      </x:c>
      <x:c r="L1223" s="87" t="str">
        <x:v>ASSET_HASH_VERIFIED_QA_UNSPECIFIED</x:v>
      </x:c>
      <x:c r="M1223" s="87" t="str">
        <x:v>ORIGINAL_PACKAGE</x:v>
      </x:c>
      <x:c r="N1223" s="87" t="str">
        <x:v>pages/VIS-INF-DEC-TASK-201-P004.png</x:v>
      </x:c>
      <x:c r="O1223" s="87" t="str">
        <x:v>thumbnails/VIS-INF-DEC-TASK-201-P004.jpg</x:v>
      </x:c>
      <x:c r="P1223" s="87" t="str">
        <x:v>31de8be739e472d22e0041ae2185540375079b4a76549a1daf60ceed9118c82d</x:v>
      </x:c>
      <x:c r="Q1223" s="30" t="str">
        <x:v>incoming/raw/recovery-drop-01/informatics_dec_visual_assets_v087.zip!/pages/VIS-INF-DEC-TASK-201-P004.png</x:v>
      </x:c>
      <x:c r="R1223" s="30" t="str">
        <x:v>ASSET_HASH_VERIFIED_QA_UNSPECIFIED | Asset and thumbnail SHA matched; historical crop QA is absent.</x:v>
      </x:c>
      <x:c r="S1223" t="e">
        <x:f>HYPERLINK("visual_gallery/index.html#"&amp;A1223,"Галерея")</x:f>
      </x:c>
    </x:row>
    <x:row r="1224">
      <x:c r="A1224" s="87" t="str">
        <x:v>VIS-INF-DEC-TASK-201-P005</x:v>
      </x:c>
      <x:c r="B1224" s="30" t="str">
        <x:v>Информатика</x:v>
      </x:c>
      <x:c r="C1224" s="30"/>
      <x:c r="D1224" s="30" t="str">
        <x:v>ИН2510201</x:v>
      </x:c>
      <x:c r="E1224" s="87" t="str">
        <x:v>TASK</x:v>
      </x:c>
      <x:c r="F1224" s="30" t="str">
        <x:v>Zadanie_IN11_16122025_.pdf</x:v>
      </x:c>
      <x:c r="G1224" s="87"/>
      <x:c r="H1224" s="87" t="str">
        <x:v>v0.87</x:v>
      </x:c>
      <x:c r="I1224" s="87" t="str">
        <x:v>2</x:v>
      </x:c>
      <x:c r="J1224" s="30" t="str">
        <x:v>VIS_ID</x:v>
      </x:c>
      <x:c r="K1224" s="30" t="str">
        <x:v>DEC-INF-01-004, DEC-INF-01-005</x:v>
      </x:c>
      <x:c r="L1224" s="87" t="str">
        <x:v>ASSET_HASH_VERIFIED_QA_UNSPECIFIED</x:v>
      </x:c>
      <x:c r="M1224" s="87" t="str">
        <x:v>ORIGINAL_PACKAGE</x:v>
      </x:c>
      <x:c r="N1224" s="87" t="str">
        <x:v>pages/VIS-INF-DEC-TASK-201-P005.png</x:v>
      </x:c>
      <x:c r="O1224" s="87" t="str">
        <x:v>thumbnails/VIS-INF-DEC-TASK-201-P005.jpg</x:v>
      </x:c>
      <x:c r="P1224" s="87" t="str">
        <x:v>a6feb69c63f9fec98b91efa2f5e950b41e11b65d6fbb666a8d129f570760c3f2</x:v>
      </x:c>
      <x:c r="Q1224" s="30" t="str">
        <x:v>incoming/raw/recovery-drop-01/informatics_dec_visual_assets_v087.zip!/pages/VIS-INF-DEC-TASK-201-P005.png</x:v>
      </x:c>
      <x:c r="R1224" s="30" t="str">
        <x:v>ASSET_HASH_VERIFIED_QA_UNSPECIFIED | Asset and thumbnail SHA matched; historical crop QA is absent.</x:v>
      </x:c>
      <x:c r="S1224" t="e">
        <x:f>HYPERLINK("visual_gallery/index.html#"&amp;A1224,"Галерея")</x:f>
      </x:c>
    </x:row>
    <x:row r="1225">
      <x:c r="A1225" s="87" t="str">
        <x:v>VIS-INF-DEC-TASK-201-P006</x:v>
      </x:c>
      <x:c r="B1225" s="30" t="str">
        <x:v>Информатика</x:v>
      </x:c>
      <x:c r="C1225" s="30"/>
      <x:c r="D1225" s="30" t="str">
        <x:v>ИН2510201</x:v>
      </x:c>
      <x:c r="E1225" s="87" t="str">
        <x:v>TASK</x:v>
      </x:c>
      <x:c r="F1225" s="30" t="str">
        <x:v>Zadanie_IN11_16122025_.pdf</x:v>
      </x:c>
      <x:c r="G1225" s="87"/>
      <x:c r="H1225" s="87" t="str">
        <x:v>v0.87</x:v>
      </x:c>
      <x:c r="I1225" s="87" t="str">
        <x:v>2</x:v>
      </x:c>
      <x:c r="J1225" s="30" t="str">
        <x:v>VIS_ID</x:v>
      </x:c>
      <x:c r="K1225" s="30" t="str">
        <x:v>DEC-INF-01-006, DEC-INF-01-007</x:v>
      </x:c>
      <x:c r="L1225" s="87" t="str">
        <x:v>ASSET_HASH_VERIFIED_QA_UNSPECIFIED</x:v>
      </x:c>
      <x:c r="M1225" s="87" t="str">
        <x:v>ORIGINAL_PACKAGE</x:v>
      </x:c>
      <x:c r="N1225" s="87" t="str">
        <x:v>pages/VIS-INF-DEC-TASK-201-P006.png</x:v>
      </x:c>
      <x:c r="O1225" s="87" t="str">
        <x:v>thumbnails/VIS-INF-DEC-TASK-201-P006.jpg</x:v>
      </x:c>
      <x:c r="P1225" s="87" t="str">
        <x:v>3d4df70537b2af471c4a80f324450d2effff509607e78f14a5efd7cb55e0d283</x:v>
      </x:c>
      <x:c r="Q1225" s="30" t="str">
        <x:v>incoming/raw/recovery-drop-01/informatics_dec_visual_assets_v087.zip!/pages/VIS-INF-DEC-TASK-201-P006.png</x:v>
      </x:c>
      <x:c r="R1225" s="30" t="str">
        <x:v>ASSET_HASH_VERIFIED_QA_UNSPECIFIED | Asset and thumbnail SHA matched; historical crop QA is absent.</x:v>
      </x:c>
      <x:c r="S1225" t="e">
        <x:f>HYPERLINK("visual_gallery/index.html#"&amp;A1225,"Галерея")</x:f>
      </x:c>
    </x:row>
    <x:row r="1226">
      <x:c r="A1226" s="87" t="str">
        <x:v>VIS-INF-DEC-TASK-201-P007</x:v>
      </x:c>
      <x:c r="B1226" s="30" t="str">
        <x:v>Информатика</x:v>
      </x:c>
      <x:c r="C1226" s="30"/>
      <x:c r="D1226" s="30" t="str">
        <x:v>ИН2510201</x:v>
      </x:c>
      <x:c r="E1226" s="87" t="str">
        <x:v>TASK</x:v>
      </x:c>
      <x:c r="F1226" s="30" t="str">
        <x:v>Zadanie_IN11_16122025_.pdf</x:v>
      </x:c>
      <x:c r="G1226" s="87"/>
      <x:c r="H1226" s="87" t="str">
        <x:v>v0.87</x:v>
      </x:c>
      <x:c r="I1226" s="87" t="str">
        <x:v>4</x:v>
      </x:c>
      <x:c r="J1226" s="30" t="str">
        <x:v>VIS_ID</x:v>
      </x:c>
      <x:c r="K1226" s="30" t="str">
        <x:v>DEC-INF-01-008, DEC-INF-01-009, DEC-INF-01-010, DEC-INF-01-011</x:v>
      </x:c>
      <x:c r="L1226" s="87" t="str">
        <x:v>ASSET_HASH_VERIFIED_QA_UNSPECIFIED</x:v>
      </x:c>
      <x:c r="M1226" s="87" t="str">
        <x:v>ORIGINAL_PACKAGE</x:v>
      </x:c>
      <x:c r="N1226" s="87" t="str">
        <x:v>pages/VIS-INF-DEC-TASK-201-P007.png</x:v>
      </x:c>
      <x:c r="O1226" s="87" t="str">
        <x:v>thumbnails/VIS-INF-DEC-TASK-201-P007.jpg</x:v>
      </x:c>
      <x:c r="P1226" s="87" t="str">
        <x:v>8bedb7056a6f8aafe69dda46a9fb2c222d088b6861ea7925c834316d2eb0b4eb</x:v>
      </x:c>
      <x:c r="Q1226" s="30" t="str">
        <x:v>incoming/raw/recovery-drop-01/informatics_dec_visual_assets_v087.zip!/pages/VIS-INF-DEC-TASK-201-P007.png</x:v>
      </x:c>
      <x:c r="R1226" s="30" t="str">
        <x:v>ASSET_HASH_VERIFIED_QA_UNSPECIFIED | Asset and thumbnail SHA matched; historical crop QA is absent.</x:v>
      </x:c>
      <x:c r="S1226" t="e">
        <x:f>HYPERLINK("visual_gallery/index.html#"&amp;A1226,"Галерея")</x:f>
      </x:c>
    </x:row>
    <x:row r="1227">
      <x:c r="A1227" s="87" t="str">
        <x:v>VIS-INF-DEC-TASK-201-P008</x:v>
      </x:c>
      <x:c r="B1227" s="30" t="str">
        <x:v>Информатика</x:v>
      </x:c>
      <x:c r="C1227" s="30"/>
      <x:c r="D1227" s="30" t="str">
        <x:v>ИН2510201</x:v>
      </x:c>
      <x:c r="E1227" s="87" t="str">
        <x:v>TASK</x:v>
      </x:c>
      <x:c r="F1227" s="30" t="str">
        <x:v>Zadanie_IN11_16122025_.pdf</x:v>
      </x:c>
      <x:c r="G1227" s="87"/>
      <x:c r="H1227" s="87" t="str">
        <x:v>v0.87</x:v>
      </x:c>
      <x:c r="I1227" s="87" t="str">
        <x:v>1</x:v>
      </x:c>
      <x:c r="J1227" s="30" t="str">
        <x:v>VIS_ID</x:v>
      </x:c>
      <x:c r="K1227" s="30" t="str">
        <x:v>DEC-INF-01-012</x:v>
      </x:c>
      <x:c r="L1227" s="87" t="str">
        <x:v>ASSET_HASH_VERIFIED_QA_UNSPECIFIED</x:v>
      </x:c>
      <x:c r="M1227" s="87" t="str">
        <x:v>ORIGINAL_PACKAGE</x:v>
      </x:c>
      <x:c r="N1227" s="87" t="str">
        <x:v>pages/VIS-INF-DEC-TASK-201-P008.png</x:v>
      </x:c>
      <x:c r="O1227" s="87" t="str">
        <x:v>thumbnails/VIS-INF-DEC-TASK-201-P008.jpg</x:v>
      </x:c>
      <x:c r="P1227" s="87" t="str">
        <x:v>723721ea855a7981a18aa1bd0d8c8c9313407c15a4bec5eadfce24fd670edcb6</x:v>
      </x:c>
      <x:c r="Q1227" s="30" t="str">
        <x:v>incoming/raw/recovery-drop-01/informatics_dec_visual_assets_v087.zip!/pages/VIS-INF-DEC-TASK-201-P008.png</x:v>
      </x:c>
      <x:c r="R1227" s="30" t="str">
        <x:v>ASSET_HASH_VERIFIED_QA_UNSPECIFIED | Asset and thumbnail SHA matched; historical crop QA is absent.</x:v>
      </x:c>
      <x:c r="S1227" t="e">
        <x:f>HYPERLINK("visual_gallery/index.html#"&amp;A1227,"Галерея")</x:f>
      </x:c>
    </x:row>
    <x:row r="1228">
      <x:c r="A1228" s="87" t="str">
        <x:v>VIS-INF-DEC-TASK-201-P009</x:v>
      </x:c>
      <x:c r="B1228" s="30" t="str">
        <x:v>Информатика</x:v>
      </x:c>
      <x:c r="C1228" s="30"/>
      <x:c r="D1228" s="30" t="str">
        <x:v>ИН2510201</x:v>
      </x:c>
      <x:c r="E1228" s="87" t="str">
        <x:v>TASK</x:v>
      </x:c>
      <x:c r="F1228" s="30" t="str">
        <x:v>Zadanie_IN11_16122025_.pdf</x:v>
      </x:c>
      <x:c r="G1228" s="87"/>
      <x:c r="H1228" s="87" t="str">
        <x:v>v0.87</x:v>
      </x:c>
      <x:c r="I1228" s="87" t="str">
        <x:v>2</x:v>
      </x:c>
      <x:c r="J1228" s="30" t="str">
        <x:v>VIS_ID</x:v>
      </x:c>
      <x:c r="K1228" s="30" t="str">
        <x:v>DEC-INF-01-013, DEC-INF-01-014</x:v>
      </x:c>
      <x:c r="L1228" s="87" t="str">
        <x:v>ASSET_HASH_VERIFIED_QA_UNSPECIFIED</x:v>
      </x:c>
      <x:c r="M1228" s="87" t="str">
        <x:v>ORIGINAL_PACKAGE</x:v>
      </x:c>
      <x:c r="N1228" s="87" t="str">
        <x:v>pages/VIS-INF-DEC-TASK-201-P009.png</x:v>
      </x:c>
      <x:c r="O1228" s="87" t="str">
        <x:v>thumbnails/VIS-INF-DEC-TASK-201-P009.jpg</x:v>
      </x:c>
      <x:c r="P1228" s="87" t="str">
        <x:v>852e066c55ed3d94b5cba21a8aa86714c848dee56327035d4a0dcfd111bcfac0</x:v>
      </x:c>
      <x:c r="Q1228" s="30" t="str">
        <x:v>incoming/raw/recovery-drop-01/informatics_dec_visual_assets_v087.zip!/pages/VIS-INF-DEC-TASK-201-P009.png</x:v>
      </x:c>
      <x:c r="R1228" s="30" t="str">
        <x:v>ASSET_HASH_VERIFIED_QA_UNSPECIFIED | Asset and thumbnail SHA matched; historical crop QA is absent.</x:v>
      </x:c>
      <x:c r="S1228" t="e">
        <x:f>HYPERLINK("visual_gallery/index.html#"&amp;A1228,"Галерея")</x:f>
      </x:c>
    </x:row>
    <x:row r="1229">
      <x:c r="A1229" s="87" t="str">
        <x:v>VIS-INF-DEC-TASK-201-P010</x:v>
      </x:c>
      <x:c r="B1229" s="30" t="str">
        <x:v>Информатика</x:v>
      </x:c>
      <x:c r="C1229" s="30"/>
      <x:c r="D1229" s="30" t="str">
        <x:v>ИН2510201</x:v>
      </x:c>
      <x:c r="E1229" s="87" t="str">
        <x:v>TASK</x:v>
      </x:c>
      <x:c r="F1229" s="30" t="str">
        <x:v>Zadanie_IN11_16122025_.pdf</x:v>
      </x:c>
      <x:c r="G1229" s="87"/>
      <x:c r="H1229" s="87" t="str">
        <x:v>v0.87</x:v>
      </x:c>
      <x:c r="I1229" s="87" t="str">
        <x:v>3</x:v>
      </x:c>
      <x:c r="J1229" s="30" t="str">
        <x:v>VIS_ID</x:v>
      </x:c>
      <x:c r="K1229" s="30" t="str">
        <x:v>DEC-INF-01-015, DEC-INF-01-016, DEC-INF-01-017</x:v>
      </x:c>
      <x:c r="L1229" s="87" t="str">
        <x:v>ASSET_HASH_VERIFIED_QA_UNSPECIFIED</x:v>
      </x:c>
      <x:c r="M1229" s="87" t="str">
        <x:v>ORIGINAL_PACKAGE</x:v>
      </x:c>
      <x:c r="N1229" s="87" t="str">
        <x:v>pages/VIS-INF-DEC-TASK-201-P010.png</x:v>
      </x:c>
      <x:c r="O1229" s="87" t="str">
        <x:v>thumbnails/VIS-INF-DEC-TASK-201-P010.jpg</x:v>
      </x:c>
      <x:c r="P1229" s="87" t="str">
        <x:v>c46f0a2c6131c1c15f0f03dc94aeeb55d0b7b2de15d27fbe312182a426830fe7</x:v>
      </x:c>
      <x:c r="Q1229" s="30" t="str">
        <x:v>incoming/raw/recovery-drop-01/informatics_dec_visual_assets_v087.zip!/pages/VIS-INF-DEC-TASK-201-P010.png</x:v>
      </x:c>
      <x:c r="R1229" s="30" t="str">
        <x:v>ASSET_HASH_VERIFIED_QA_UNSPECIFIED | Asset and thumbnail SHA matched; historical crop QA is absent.</x:v>
      </x:c>
      <x:c r="S1229" t="e">
        <x:f>HYPERLINK("visual_gallery/index.html#"&amp;A1229,"Галерея")</x:f>
      </x:c>
    </x:row>
    <x:row r="1230">
      <x:c r="A1230" s="87" t="str">
        <x:v>VIS-INF-DEC-TASK-201-P011</x:v>
      </x:c>
      <x:c r="B1230" s="30" t="str">
        <x:v>Информатика</x:v>
      </x:c>
      <x:c r="C1230" s="30"/>
      <x:c r="D1230" s="30" t="str">
        <x:v>ИН2510201</x:v>
      </x:c>
      <x:c r="E1230" s="87" t="str">
        <x:v>TASK</x:v>
      </x:c>
      <x:c r="F1230" s="30" t="str">
        <x:v>Zadanie_IN11_16122025_.pdf</x:v>
      </x:c>
      <x:c r="G1230" s="87"/>
      <x:c r="H1230" s="87" t="str">
        <x:v>v0.87</x:v>
      </x:c>
      <x:c r="I1230" s="87" t="str">
        <x:v>1</x:v>
      </x:c>
      <x:c r="J1230" s="30" t="str">
        <x:v>VIS_ID</x:v>
      </x:c>
      <x:c r="K1230" s="30" t="str">
        <x:v>DEC-INF-01-018</x:v>
      </x:c>
      <x:c r="L1230" s="87" t="str">
        <x:v>ASSET_HASH_VERIFIED_QA_UNSPECIFIED</x:v>
      </x:c>
      <x:c r="M1230" s="87" t="str">
        <x:v>ORIGINAL_PACKAGE</x:v>
      </x:c>
      <x:c r="N1230" s="87" t="str">
        <x:v>pages/VIS-INF-DEC-TASK-201-P011.png</x:v>
      </x:c>
      <x:c r="O1230" s="87" t="str">
        <x:v>thumbnails/VIS-INF-DEC-TASK-201-P011.jpg</x:v>
      </x:c>
      <x:c r="P1230" s="87" t="str">
        <x:v>75ac7aaba107e4caf74243d92ce7aadec727c49d6ea03b31e0485dc0c823ab38</x:v>
      </x:c>
      <x:c r="Q1230" s="30" t="str">
        <x:v>incoming/raw/recovery-drop-01/informatics_dec_visual_assets_v087.zip!/pages/VIS-INF-DEC-TASK-201-P011.png</x:v>
      </x:c>
      <x:c r="R1230" s="30" t="str">
        <x:v>ASSET_HASH_VERIFIED_QA_UNSPECIFIED | Asset and thumbnail SHA matched; historical crop QA is absent.</x:v>
      </x:c>
      <x:c r="S1230" t="e">
        <x:f>HYPERLINK("visual_gallery/index.html#"&amp;A1230,"Галерея")</x:f>
      </x:c>
    </x:row>
    <x:row r="1231">
      <x:c r="A1231" s="87" t="str">
        <x:v>VIS-INF-DEC-TASK-201-P012</x:v>
      </x:c>
      <x:c r="B1231" s="30" t="str">
        <x:v>Информатика</x:v>
      </x:c>
      <x:c r="C1231" s="30"/>
      <x:c r="D1231" s="30" t="str">
        <x:v>ИН2510201</x:v>
      </x:c>
      <x:c r="E1231" s="87" t="str">
        <x:v>TASK</x:v>
      </x:c>
      <x:c r="F1231" s="30" t="str">
        <x:v>Zadanie_IN11_16122025_.pdf</x:v>
      </x:c>
      <x:c r="G1231" s="87"/>
      <x:c r="H1231" s="87" t="str">
        <x:v>v0.87</x:v>
      </x:c>
      <x:c r="I1231" s="87" t="str">
        <x:v>3</x:v>
      </x:c>
      <x:c r="J1231" s="30" t="str">
        <x:v>VIS_ID</x:v>
      </x:c>
      <x:c r="K1231" s="30" t="str">
        <x:v>DEC-INF-01-019, DEC-INF-01-020, DEC-INF-01-021</x:v>
      </x:c>
      <x:c r="L1231" s="87" t="str">
        <x:v>ASSET_HASH_VERIFIED_QA_UNSPECIFIED</x:v>
      </x:c>
      <x:c r="M1231" s="87" t="str">
        <x:v>ORIGINAL_PACKAGE</x:v>
      </x:c>
      <x:c r="N1231" s="87" t="str">
        <x:v>pages/VIS-INF-DEC-TASK-201-P012.png</x:v>
      </x:c>
      <x:c r="O1231" s="87" t="str">
        <x:v>thumbnails/VIS-INF-DEC-TASK-201-P012.jpg</x:v>
      </x:c>
      <x:c r="P1231" s="87" t="str">
        <x:v>b6f12b6cdc5d92d739762f311b335cab32ca721ec235fa029883531765ac0ef0</x:v>
      </x:c>
      <x:c r="Q1231" s="30" t="str">
        <x:v>incoming/raw/recovery-drop-01/informatics_dec_visual_assets_v087.zip!/pages/VIS-INF-DEC-TASK-201-P012.png</x:v>
      </x:c>
      <x:c r="R1231" s="30" t="str">
        <x:v>ASSET_HASH_VERIFIED_QA_UNSPECIFIED | Asset and thumbnail SHA matched; historical crop QA is absent.</x:v>
      </x:c>
      <x:c r="S1231" t="e">
        <x:f>HYPERLINK("visual_gallery/index.html#"&amp;A1231,"Галерея")</x:f>
      </x:c>
    </x:row>
    <x:row r="1232">
      <x:c r="A1232" s="87" t="str">
        <x:v>VIS-INF-DEC-TASK-201-P013</x:v>
      </x:c>
      <x:c r="B1232" s="30" t="str">
        <x:v>Информатика</x:v>
      </x:c>
      <x:c r="C1232" s="30"/>
      <x:c r="D1232" s="30" t="str">
        <x:v>ИН2510201</x:v>
      </x:c>
      <x:c r="E1232" s="87" t="str">
        <x:v>TASK</x:v>
      </x:c>
      <x:c r="F1232" s="30" t="str">
        <x:v>Zadanie_IN11_16122025_.pdf</x:v>
      </x:c>
      <x:c r="G1232" s="87"/>
      <x:c r="H1232" s="87" t="str">
        <x:v>v0.87</x:v>
      </x:c>
      <x:c r="I1232" s="87" t="str">
        <x:v>1</x:v>
      </x:c>
      <x:c r="J1232" s="30" t="str">
        <x:v>VIS_ID</x:v>
      </x:c>
      <x:c r="K1232" s="30" t="str">
        <x:v>DEC-INF-01-022</x:v>
      </x:c>
      <x:c r="L1232" s="87" t="str">
        <x:v>ASSET_HASH_VERIFIED_QA_UNSPECIFIED</x:v>
      </x:c>
      <x:c r="M1232" s="87" t="str">
        <x:v>ORIGINAL_PACKAGE</x:v>
      </x:c>
      <x:c r="N1232" s="87" t="str">
        <x:v>pages/VIS-INF-DEC-TASK-201-P013.png</x:v>
      </x:c>
      <x:c r="O1232" s="87" t="str">
        <x:v>thumbnails/VIS-INF-DEC-TASK-201-P013.jpg</x:v>
      </x:c>
      <x:c r="P1232" s="87" t="str">
        <x:v>4251856eebfd71e7de8daf35852a386b6c35f300d23d0443a6f16dd667f1d609</x:v>
      </x:c>
      <x:c r="Q1232" s="30" t="str">
        <x:v>incoming/raw/recovery-drop-01/informatics_dec_visual_assets_v087.zip!/pages/VIS-INF-DEC-TASK-201-P013.png</x:v>
      </x:c>
      <x:c r="R1232" s="30" t="str">
        <x:v>ASSET_HASH_VERIFIED_QA_UNSPECIFIED | Asset and thumbnail SHA matched; historical crop QA is absent.</x:v>
      </x:c>
      <x:c r="S1232" t="e">
        <x:f>HYPERLINK("visual_gallery/index.html#"&amp;A1232,"Галерея")</x:f>
      </x:c>
    </x:row>
    <x:row r="1233">
      <x:c r="A1233" s="87" t="str">
        <x:v>VIS-INF-DEC-TASK-201-P014</x:v>
      </x:c>
      <x:c r="B1233" s="30" t="str">
        <x:v>Информатика</x:v>
      </x:c>
      <x:c r="C1233" s="30"/>
      <x:c r="D1233" s="30" t="str">
        <x:v>ИН2510201</x:v>
      </x:c>
      <x:c r="E1233" s="87" t="str">
        <x:v>TASK</x:v>
      </x:c>
      <x:c r="F1233" s="30" t="str">
        <x:v>Zadanie_IN11_16122025_.pdf</x:v>
      </x:c>
      <x:c r="G1233" s="87"/>
      <x:c r="H1233" s="87" t="str">
        <x:v>v0.87</x:v>
      </x:c>
      <x:c r="I1233" s="87" t="str">
        <x:v>3</x:v>
      </x:c>
      <x:c r="J1233" s="30" t="str">
        <x:v>VIS_ID</x:v>
      </x:c>
      <x:c r="K1233" s="30" t="str">
        <x:v>DEC-INF-01-023, DEC-INF-01-024, DEC-INF-01-025</x:v>
      </x:c>
      <x:c r="L1233" s="87" t="str">
        <x:v>ASSET_HASH_VERIFIED_QA_UNSPECIFIED</x:v>
      </x:c>
      <x:c r="M1233" s="87" t="str">
        <x:v>ORIGINAL_PACKAGE</x:v>
      </x:c>
      <x:c r="N1233" s="87" t="str">
        <x:v>pages/VIS-INF-DEC-TASK-201-P014.png</x:v>
      </x:c>
      <x:c r="O1233" s="87" t="str">
        <x:v>thumbnails/VIS-INF-DEC-TASK-201-P014.jpg</x:v>
      </x:c>
      <x:c r="P1233" s="87" t="str">
        <x:v>5ced6853f75d03f57874ae8c549892b7f451d26149b93cc0f4f299709dd4ac81</x:v>
      </x:c>
      <x:c r="Q1233" s="30" t="str">
        <x:v>incoming/raw/recovery-drop-01/informatics_dec_visual_assets_v087.zip!/pages/VIS-INF-DEC-TASK-201-P014.png</x:v>
      </x:c>
      <x:c r="R1233" s="30" t="str">
        <x:v>ASSET_HASH_VERIFIED_QA_UNSPECIFIED | Asset and thumbnail SHA matched; historical crop QA is absent.</x:v>
      </x:c>
      <x:c r="S1233" t="e">
        <x:f>HYPERLINK("visual_gallery/index.html#"&amp;A1233,"Галерея")</x:f>
      </x:c>
    </x:row>
    <x:row r="1234">
      <x:c r="A1234" s="87" t="str">
        <x:v>VIS-INF-DEC-TASK-201-P015</x:v>
      </x:c>
      <x:c r="B1234" s="30" t="str">
        <x:v>Информатика</x:v>
      </x:c>
      <x:c r="C1234" s="30"/>
      <x:c r="D1234" s="30" t="str">
        <x:v>ИН2510201</x:v>
      </x:c>
      <x:c r="E1234" s="87" t="str">
        <x:v>TASK</x:v>
      </x:c>
      <x:c r="F1234" s="30" t="str">
        <x:v>Zadanie_IN11_16122025_.pdf</x:v>
      </x:c>
      <x:c r="G1234" s="87"/>
      <x:c r="H1234" s="87" t="str">
        <x:v>v0.87</x:v>
      </x:c>
      <x:c r="I1234" s="87" t="str">
        <x:v>1</x:v>
      </x:c>
      <x:c r="J1234" s="30" t="str">
        <x:v>VIS_ID</x:v>
      </x:c>
      <x:c r="K1234" s="30" t="str">
        <x:v>DEC-INF-01-026</x:v>
      </x:c>
      <x:c r="L1234" s="87" t="str">
        <x:v>ASSET_HASH_VERIFIED_QA_UNSPECIFIED</x:v>
      </x:c>
      <x:c r="M1234" s="87" t="str">
        <x:v>ORIGINAL_PACKAGE</x:v>
      </x:c>
      <x:c r="N1234" s="87" t="str">
        <x:v>pages/VIS-INF-DEC-TASK-201-P015.png</x:v>
      </x:c>
      <x:c r="O1234" s="87" t="str">
        <x:v>thumbnails/VIS-INF-DEC-TASK-201-P015.jpg</x:v>
      </x:c>
      <x:c r="P1234" s="87" t="str">
        <x:v>164420ee2e819a881888fdd69f3994abb10213eb7df3fa202e56d68007880ed3</x:v>
      </x:c>
      <x:c r="Q1234" s="30" t="str">
        <x:v>incoming/raw/recovery-drop-01/informatics_dec_visual_assets_v087.zip!/pages/VIS-INF-DEC-TASK-201-P015.png</x:v>
      </x:c>
      <x:c r="R1234" s="30" t="str">
        <x:v>ASSET_HASH_VERIFIED_QA_UNSPECIFIED | Asset and thumbnail SHA matched; historical crop QA is absent.</x:v>
      </x:c>
      <x:c r="S1234" t="e">
        <x:f>HYPERLINK("visual_gallery/index.html#"&amp;A1234,"Галерея")</x:f>
      </x:c>
    </x:row>
    <x:row r="1235">
      <x:c r="A1235" s="87" t="str">
        <x:v>VIS-INF-DEC-TASK-201-P016</x:v>
      </x:c>
      <x:c r="B1235" s="30" t="str">
        <x:v>Информатика</x:v>
      </x:c>
      <x:c r="C1235" s="30"/>
      <x:c r="D1235" s="30" t="str">
        <x:v>ИН2510201</x:v>
      </x:c>
      <x:c r="E1235" s="87" t="str">
        <x:v>TASK</x:v>
      </x:c>
      <x:c r="F1235" s="30" t="str">
        <x:v>Zadanie_IN11_16122025_.pdf</x:v>
      </x:c>
      <x:c r="G1235" s="87"/>
      <x:c r="H1235" s="87" t="str">
        <x:v>v0.87</x:v>
      </x:c>
      <x:c r="I1235" s="87" t="str">
        <x:v>1</x:v>
      </x:c>
      <x:c r="J1235" s="30" t="str">
        <x:v>VIS_ID</x:v>
      </x:c>
      <x:c r="K1235" s="30" t="str">
        <x:v>DEC-INF-01-027</x:v>
      </x:c>
      <x:c r="L1235" s="87" t="str">
        <x:v>ASSET_HASH_VERIFIED_QA_UNSPECIFIED</x:v>
      </x:c>
      <x:c r="M1235" s="87" t="str">
        <x:v>ORIGINAL_PACKAGE</x:v>
      </x:c>
      <x:c r="N1235" s="87" t="str">
        <x:v>pages/VIS-INF-DEC-TASK-201-P016.png</x:v>
      </x:c>
      <x:c r="O1235" s="87" t="str">
        <x:v>thumbnails/VIS-INF-DEC-TASK-201-P016.jpg</x:v>
      </x:c>
      <x:c r="P1235" s="87" t="str">
        <x:v>cbf18ac120877374cdfeb6928e5e38eabfb2d6e73f96d307be7cecd3f4194a89</x:v>
      </x:c>
      <x:c r="Q1235" s="30" t="str">
        <x:v>incoming/raw/recovery-drop-01/informatics_dec_visual_assets_v087.zip!/pages/VIS-INF-DEC-TASK-201-P016.png</x:v>
      </x:c>
      <x:c r="R1235" s="30" t="str">
        <x:v>ASSET_HASH_VERIFIED_QA_UNSPECIFIED | Asset and thumbnail SHA matched; historical crop QA is absent.</x:v>
      </x:c>
      <x:c r="S1235" t="e">
        <x:f>HYPERLINK("visual_gallery/index.html#"&amp;A1235,"Галерея")</x:f>
      </x:c>
    </x:row>
    <x:row r="1236">
      <x:c r="A1236" s="87" t="str">
        <x:v>VIS-INF-DEC-TASK-201-P017</x:v>
      </x:c>
      <x:c r="B1236" s="30" t="str"/>
      <x:c r="C1236" s="30"/>
      <x:c r="D1236" s="30" t="str">
        <x:v>ИН2510201</x:v>
      </x:c>
      <x:c r="E1236" s="87" t="str">
        <x:v>TASK</x:v>
      </x:c>
      <x:c r="F1236" s="30" t="str">
        <x:v>Zadanie_IN11_16122025_.pdf</x:v>
      </x:c>
      <x:c r="G1236" s="87"/>
      <x:c r="H1236" s="87" t="str">
        <x:v>v0.87</x:v>
      </x:c>
      <x:c r="I1236" s="87" t="str">
        <x:v>0</x:v>
      </x:c>
      <x:c r="J1236" s="30" t="str"/>
      <x:c r="K1236" s="30" t="str"/>
      <x:c r="L1236" s="87" t="str">
        <x:v>ASSET_HASH_VERIFIED_QA_UNSPECIFIED</x:v>
      </x:c>
      <x:c r="M1236" s="87" t="str">
        <x:v>ORIGINAL_PACKAGE</x:v>
      </x:c>
      <x:c r="N1236" s="87" t="str">
        <x:v>pages/VIS-INF-DEC-TASK-201-P017.png</x:v>
      </x:c>
      <x:c r="O1236" s="87" t="str">
        <x:v>thumbnails/VIS-INF-DEC-TASK-201-P017.jpg</x:v>
      </x:c>
      <x:c r="P1236" s="87" t="str">
        <x:v>8c080afd375c12b644524b2709211ee671efb59b5066a6e4b8916f0028c57363</x:v>
      </x:c>
      <x:c r="Q1236" s="30" t="str">
        <x:v>incoming/raw/recovery-drop-01/informatics_dec_visual_assets_v087.zip!/pages/VIS-INF-DEC-TASK-201-P017.png</x:v>
      </x:c>
      <x:c r="R1236" s="30" t="str">
        <x:v>ASSET_HASH_VERIFIED_QA_UNSPECIFIED | Asset and thumbnail SHA matched; historical crop QA is absent.</x:v>
      </x:c>
      <x:c r="S1236" t="e">
        <x:f>HYPERLINK("visual_gallery/index.html#"&amp;A1236,"Галерея")</x:f>
      </x:c>
    </x:row>
    <x:row r="1237">
      <x:c r="A1237" s="87" t="str">
        <x:v>VIS-INF-DEC-TASK-202-P001</x:v>
      </x:c>
      <x:c r="B1237" s="30" t="str"/>
      <x:c r="C1237" s="30"/>
      <x:c r="D1237" s="30" t="str">
        <x:v>ИН2510202</x:v>
      </x:c>
      <x:c r="E1237" s="87" t="str">
        <x:v>TASK</x:v>
      </x:c>
      <x:c r="F1237" s="30" t="str">
        <x:v>Zadanie_IN11_16122025_.pdf</x:v>
      </x:c>
      <x:c r="G1237" s="87"/>
      <x:c r="H1237" s="87" t="str">
        <x:v>v0.87</x:v>
      </x:c>
      <x:c r="I1237" s="87" t="str">
        <x:v>0</x:v>
      </x:c>
      <x:c r="J1237" s="30" t="str"/>
      <x:c r="K1237" s="30" t="str"/>
      <x:c r="L1237" s="87" t="str">
        <x:v>ASSET_HASH_VERIFIED_QA_UNSPECIFIED</x:v>
      </x:c>
      <x:c r="M1237" s="87" t="str">
        <x:v>ORIGINAL_PACKAGE</x:v>
      </x:c>
      <x:c r="N1237" s="87" t="str">
        <x:v>pages/VIS-INF-DEC-TASK-202-P001.png</x:v>
      </x:c>
      <x:c r="O1237" s="87" t="str">
        <x:v>thumbnails/VIS-INF-DEC-TASK-202-P001.jpg</x:v>
      </x:c>
      <x:c r="P1237" s="87" t="str">
        <x:v>2f4bac56029718087b918a68f7923c713aeb20a3fe62f2124d33b9ce98d00237</x:v>
      </x:c>
      <x:c r="Q1237" s="30" t="str">
        <x:v>incoming/raw/recovery-drop-01/informatics_dec_visual_assets_v087.zip!/pages/VIS-INF-DEC-TASK-202-P001.png</x:v>
      </x:c>
      <x:c r="R1237" s="30" t="str">
        <x:v>ASSET_HASH_VERIFIED_QA_UNSPECIFIED | Asset and thumbnail SHA matched; historical crop QA is absent.</x:v>
      </x:c>
      <x:c r="S1237" t="e">
        <x:f>HYPERLINK("visual_gallery/index.html#"&amp;A1237,"Галерея")</x:f>
      </x:c>
    </x:row>
    <x:row r="1238">
      <x:c r="A1238" s="87" t="str">
        <x:v>VIS-INF-DEC-TASK-202-P002</x:v>
      </x:c>
      <x:c r="B1238" s="30" t="str"/>
      <x:c r="C1238" s="30"/>
      <x:c r="D1238" s="30" t="str">
        <x:v>ИН2510202</x:v>
      </x:c>
      <x:c r="E1238" s="87" t="str">
        <x:v>TASK</x:v>
      </x:c>
      <x:c r="F1238" s="30" t="str">
        <x:v>Zadanie_IN11_16122025_.pdf</x:v>
      </x:c>
      <x:c r="G1238" s="87"/>
      <x:c r="H1238" s="87" t="str">
        <x:v>v0.87</x:v>
      </x:c>
      <x:c r="I1238" s="87" t="str">
        <x:v>0</x:v>
      </x:c>
      <x:c r="J1238" s="30" t="str"/>
      <x:c r="K1238" s="30" t="str"/>
      <x:c r="L1238" s="87" t="str">
        <x:v>ASSET_HASH_VERIFIED_QA_UNSPECIFIED</x:v>
      </x:c>
      <x:c r="M1238" s="87" t="str">
        <x:v>ORIGINAL_PACKAGE</x:v>
      </x:c>
      <x:c r="N1238" s="87" t="str">
        <x:v>pages/VIS-INF-DEC-TASK-202-P002.png</x:v>
      </x:c>
      <x:c r="O1238" s="87" t="str">
        <x:v>thumbnails/VIS-INF-DEC-TASK-202-P002.jpg</x:v>
      </x:c>
      <x:c r="P1238" s="87" t="str">
        <x:v>872fc39e1a19ef05baecf090c1ca80cd3b608d965cd0a0578d70bbd73db0f81c</x:v>
      </x:c>
      <x:c r="Q1238" s="30" t="str">
        <x:v>incoming/raw/recovery-drop-01/informatics_dec_visual_assets_v087.zip!/pages/VIS-INF-DEC-TASK-202-P002.png</x:v>
      </x:c>
      <x:c r="R1238" s="30" t="str">
        <x:v>ASSET_HASH_VERIFIED_QA_UNSPECIFIED | Asset and thumbnail SHA matched; historical crop QA is absent.</x:v>
      </x:c>
      <x:c r="S1238" t="e">
        <x:f>HYPERLINK("visual_gallery/index.html#"&amp;A1238,"Галерея")</x:f>
      </x:c>
    </x:row>
    <x:row r="1239">
      <x:c r="A1239" s="87" t="str">
        <x:v>VIS-INF-DEC-TASK-202-P003</x:v>
      </x:c>
      <x:c r="B1239" s="30" t="str">
        <x:v>Информатика</x:v>
      </x:c>
      <x:c r="C1239" s="30"/>
      <x:c r="D1239" s="30" t="str">
        <x:v>ИН2510202</x:v>
      </x:c>
      <x:c r="E1239" s="87" t="str">
        <x:v>TASK</x:v>
      </x:c>
      <x:c r="F1239" s="30" t="str">
        <x:v>Zadanie_IN11_16122025_.pdf</x:v>
      </x:c>
      <x:c r="G1239" s="87"/>
      <x:c r="H1239" s="87" t="str">
        <x:v>v0.87</x:v>
      </x:c>
      <x:c r="I1239" s="87" t="str">
        <x:v>2</x:v>
      </x:c>
      <x:c r="J1239" s="30" t="str">
        <x:v>VIS_ID</x:v>
      </x:c>
      <x:c r="K1239" s="30" t="str">
        <x:v>DEC-INF-02-001, DEC-INF-02-002</x:v>
      </x:c>
      <x:c r="L1239" s="87" t="str">
        <x:v>ASSET_HASH_VERIFIED_QA_UNSPECIFIED</x:v>
      </x:c>
      <x:c r="M1239" s="87" t="str">
        <x:v>ORIGINAL_PACKAGE</x:v>
      </x:c>
      <x:c r="N1239" s="87" t="str">
        <x:v>pages/VIS-INF-DEC-TASK-202-P003.png</x:v>
      </x:c>
      <x:c r="O1239" s="87" t="str">
        <x:v>thumbnails/VIS-INF-DEC-TASK-202-P003.jpg</x:v>
      </x:c>
      <x:c r="P1239" s="87" t="str">
        <x:v>1d1f6d96e294ee7657f58d25cf988f5d234466562ec6421642c7999c08f4154c</x:v>
      </x:c>
      <x:c r="Q1239" s="30" t="str">
        <x:v>incoming/raw/recovery-drop-01/informatics_dec_visual_assets_v087.zip!/pages/VIS-INF-DEC-TASK-202-P003.png</x:v>
      </x:c>
      <x:c r="R1239" s="30" t="str">
        <x:v>ASSET_HASH_VERIFIED_QA_UNSPECIFIED | Asset and thumbnail SHA matched; historical crop QA is absent.</x:v>
      </x:c>
      <x:c r="S1239" t="e">
        <x:f>HYPERLINK("visual_gallery/index.html#"&amp;A1239,"Галерея")</x:f>
      </x:c>
    </x:row>
    <x:row r="1240">
      <x:c r="A1240" s="87" t="str">
        <x:v>VIS-INF-DEC-TASK-202-P004</x:v>
      </x:c>
      <x:c r="B1240" s="30" t="str">
        <x:v>Информатика</x:v>
      </x:c>
      <x:c r="C1240" s="30"/>
      <x:c r="D1240" s="30" t="str">
        <x:v>ИН2510202</x:v>
      </x:c>
      <x:c r="E1240" s="87" t="str">
        <x:v>TASK</x:v>
      </x:c>
      <x:c r="F1240" s="30" t="str">
        <x:v>Zadanie_IN11_16122025_.pdf</x:v>
      </x:c>
      <x:c r="G1240" s="87"/>
      <x:c r="H1240" s="87" t="str">
        <x:v>v0.87</x:v>
      </x:c>
      <x:c r="I1240" s="87" t="str">
        <x:v>1</x:v>
      </x:c>
      <x:c r="J1240" s="30" t="str">
        <x:v>VIS_ID</x:v>
      </x:c>
      <x:c r="K1240" s="30" t="str">
        <x:v>DEC-INF-02-003</x:v>
      </x:c>
      <x:c r="L1240" s="87" t="str">
        <x:v>ASSET_HASH_VERIFIED_QA_UNSPECIFIED</x:v>
      </x:c>
      <x:c r="M1240" s="87" t="str">
        <x:v>ORIGINAL_PACKAGE</x:v>
      </x:c>
      <x:c r="N1240" s="87" t="str">
        <x:v>pages/VIS-INF-DEC-TASK-202-P004.png</x:v>
      </x:c>
      <x:c r="O1240" s="87" t="str">
        <x:v>thumbnails/VIS-INF-DEC-TASK-202-P004.jpg</x:v>
      </x:c>
      <x:c r="P1240" s="87" t="str">
        <x:v>1f29ad95bc89bfea9632f17c2ce146610d96b4b26710327efc5f53407ccf4917</x:v>
      </x:c>
      <x:c r="Q1240" s="30" t="str">
        <x:v>incoming/raw/recovery-drop-01/informatics_dec_visual_assets_v087.zip!/pages/VIS-INF-DEC-TASK-202-P004.png</x:v>
      </x:c>
      <x:c r="R1240" s="30" t="str">
        <x:v>ASSET_HASH_VERIFIED_QA_UNSPECIFIED | Asset and thumbnail SHA matched; historical crop QA is absent.</x:v>
      </x:c>
      <x:c r="S1240" t="e">
        <x:f>HYPERLINK("visual_gallery/index.html#"&amp;A1240,"Галерея")</x:f>
      </x:c>
    </x:row>
    <x:row r="1241">
      <x:c r="A1241" s="87" t="str">
        <x:v>VIS-INF-DEC-TASK-202-P005</x:v>
      </x:c>
      <x:c r="B1241" s="30" t="str">
        <x:v>Информатика</x:v>
      </x:c>
      <x:c r="C1241" s="30"/>
      <x:c r="D1241" s="30" t="str">
        <x:v>ИН2510202</x:v>
      </x:c>
      <x:c r="E1241" s="87" t="str">
        <x:v>TASK</x:v>
      </x:c>
      <x:c r="F1241" s="30" t="str">
        <x:v>Zadanie_IN11_16122025_.pdf</x:v>
      </x:c>
      <x:c r="G1241" s="87"/>
      <x:c r="H1241" s="87" t="str">
        <x:v>v0.87</x:v>
      </x:c>
      <x:c r="I1241" s="87" t="str">
        <x:v>2</x:v>
      </x:c>
      <x:c r="J1241" s="30" t="str">
        <x:v>VIS_ID</x:v>
      </x:c>
      <x:c r="K1241" s="30" t="str">
        <x:v>DEC-INF-02-004, DEC-INF-02-005</x:v>
      </x:c>
      <x:c r="L1241" s="87" t="str">
        <x:v>ASSET_HASH_VERIFIED_QA_UNSPECIFIED</x:v>
      </x:c>
      <x:c r="M1241" s="87" t="str">
        <x:v>ORIGINAL_PACKAGE</x:v>
      </x:c>
      <x:c r="N1241" s="87" t="str">
        <x:v>pages/VIS-INF-DEC-TASK-202-P005.png</x:v>
      </x:c>
      <x:c r="O1241" s="87" t="str">
        <x:v>thumbnails/VIS-INF-DEC-TASK-202-P005.jpg</x:v>
      </x:c>
      <x:c r="P1241" s="87" t="str">
        <x:v>6189e7a634d63ce7f8aa143fb3d0b4c5b4ed5bcc21318e04a9bd7f4c57344a9a</x:v>
      </x:c>
      <x:c r="Q1241" s="30" t="str">
        <x:v>incoming/raw/recovery-drop-01/informatics_dec_visual_assets_v087.zip!/pages/VIS-INF-DEC-TASK-202-P005.png</x:v>
      </x:c>
      <x:c r="R1241" s="30" t="str">
        <x:v>ASSET_HASH_VERIFIED_QA_UNSPECIFIED | Asset and thumbnail SHA matched; historical crop QA is absent.</x:v>
      </x:c>
      <x:c r="S1241" t="e">
        <x:f>HYPERLINK("visual_gallery/index.html#"&amp;A1241,"Галерея")</x:f>
      </x:c>
    </x:row>
    <x:row r="1242">
      <x:c r="A1242" s="87" t="str">
        <x:v>VIS-INF-DEC-TASK-202-P006</x:v>
      </x:c>
      <x:c r="B1242" s="30" t="str">
        <x:v>Информатика</x:v>
      </x:c>
      <x:c r="C1242" s="30"/>
      <x:c r="D1242" s="30" t="str">
        <x:v>ИН2510202</x:v>
      </x:c>
      <x:c r="E1242" s="87" t="str">
        <x:v>TASK</x:v>
      </x:c>
      <x:c r="F1242" s="30" t="str">
        <x:v>Zadanie_IN11_16122025_.pdf</x:v>
      </x:c>
      <x:c r="G1242" s="87"/>
      <x:c r="H1242" s="87" t="str">
        <x:v>v0.87</x:v>
      </x:c>
      <x:c r="I1242" s="87" t="str">
        <x:v>2</x:v>
      </x:c>
      <x:c r="J1242" s="30" t="str">
        <x:v>VIS_ID</x:v>
      </x:c>
      <x:c r="K1242" s="30" t="str">
        <x:v>DEC-INF-02-006, DEC-INF-02-007</x:v>
      </x:c>
      <x:c r="L1242" s="87" t="str">
        <x:v>ASSET_HASH_VERIFIED_QA_UNSPECIFIED</x:v>
      </x:c>
      <x:c r="M1242" s="87" t="str">
        <x:v>ORIGINAL_PACKAGE</x:v>
      </x:c>
      <x:c r="N1242" s="87" t="str">
        <x:v>pages/VIS-INF-DEC-TASK-202-P006.png</x:v>
      </x:c>
      <x:c r="O1242" s="87" t="str">
        <x:v>thumbnails/VIS-INF-DEC-TASK-202-P006.jpg</x:v>
      </x:c>
      <x:c r="P1242" s="87" t="str">
        <x:v>33e681386edd699317550157ff27a5459e6e7e16cf9d2014e7db5858928bf471</x:v>
      </x:c>
      <x:c r="Q1242" s="30" t="str">
        <x:v>incoming/raw/recovery-drop-01/informatics_dec_visual_assets_v087.zip!/pages/VIS-INF-DEC-TASK-202-P006.png</x:v>
      </x:c>
      <x:c r="R1242" s="30" t="str">
        <x:v>ASSET_HASH_VERIFIED_QA_UNSPECIFIED | Asset and thumbnail SHA matched; historical crop QA is absent.</x:v>
      </x:c>
      <x:c r="S1242" t="e">
        <x:f>HYPERLINK("visual_gallery/index.html#"&amp;A1242,"Галерея")</x:f>
      </x:c>
    </x:row>
    <x:row r="1243">
      <x:c r="A1243" s="87" t="str">
        <x:v>VIS-INF-DEC-TASK-202-P007</x:v>
      </x:c>
      <x:c r="B1243" s="30" t="str">
        <x:v>Информатика</x:v>
      </x:c>
      <x:c r="C1243" s="30"/>
      <x:c r="D1243" s="30" t="str">
        <x:v>ИН2510202</x:v>
      </x:c>
      <x:c r="E1243" s="87" t="str">
        <x:v>TASK</x:v>
      </x:c>
      <x:c r="F1243" s="30" t="str">
        <x:v>Zadanie_IN11_16122025_.pdf</x:v>
      </x:c>
      <x:c r="G1243" s="87"/>
      <x:c r="H1243" s="87" t="str">
        <x:v>v0.87</x:v>
      </x:c>
      <x:c r="I1243" s="87" t="str">
        <x:v>4</x:v>
      </x:c>
      <x:c r="J1243" s="30" t="str">
        <x:v>VIS_ID</x:v>
      </x:c>
      <x:c r="K1243" s="30" t="str">
        <x:v>DEC-INF-02-008, DEC-INF-02-009, DEC-INF-02-010, DEC-INF-02-011</x:v>
      </x:c>
      <x:c r="L1243" s="87" t="str">
        <x:v>ASSET_HASH_VERIFIED_QA_UNSPECIFIED</x:v>
      </x:c>
      <x:c r="M1243" s="87" t="str">
        <x:v>ORIGINAL_PACKAGE</x:v>
      </x:c>
      <x:c r="N1243" s="87" t="str">
        <x:v>pages/VIS-INF-DEC-TASK-202-P007.png</x:v>
      </x:c>
      <x:c r="O1243" s="87" t="str">
        <x:v>thumbnails/VIS-INF-DEC-TASK-202-P007.jpg</x:v>
      </x:c>
      <x:c r="P1243" s="87" t="str">
        <x:v>031cf7f41403c35e883e952f47f6e17999745e1d28141bd6f1c908bd9ab30a2a</x:v>
      </x:c>
      <x:c r="Q1243" s="30" t="str">
        <x:v>incoming/raw/recovery-drop-01/informatics_dec_visual_assets_v087.zip!/pages/VIS-INF-DEC-TASK-202-P007.png</x:v>
      </x:c>
      <x:c r="R1243" s="30" t="str">
        <x:v>ASSET_HASH_VERIFIED_QA_UNSPECIFIED | Asset and thumbnail SHA matched; historical crop QA is absent.</x:v>
      </x:c>
      <x:c r="S1243" t="e">
        <x:f>HYPERLINK("visual_gallery/index.html#"&amp;A1243,"Галерея")</x:f>
      </x:c>
    </x:row>
    <x:row r="1244">
      <x:c r="A1244" s="87" t="str">
        <x:v>VIS-INF-DEC-TASK-202-P008</x:v>
      </x:c>
      <x:c r="B1244" s="30" t="str">
        <x:v>Информатика</x:v>
      </x:c>
      <x:c r="C1244" s="30"/>
      <x:c r="D1244" s="30" t="str">
        <x:v>ИН2510202</x:v>
      </x:c>
      <x:c r="E1244" s="87" t="str">
        <x:v>TASK</x:v>
      </x:c>
      <x:c r="F1244" s="30" t="str">
        <x:v>Zadanie_IN11_16122025_.pdf</x:v>
      </x:c>
      <x:c r="G1244" s="87"/>
      <x:c r="H1244" s="87" t="str">
        <x:v>v0.87</x:v>
      </x:c>
      <x:c r="I1244" s="87" t="str">
        <x:v>1</x:v>
      </x:c>
      <x:c r="J1244" s="30" t="str">
        <x:v>VIS_ID</x:v>
      </x:c>
      <x:c r="K1244" s="30" t="str">
        <x:v>DEC-INF-02-012</x:v>
      </x:c>
      <x:c r="L1244" s="87" t="str">
        <x:v>ASSET_HASH_VERIFIED_QA_UNSPECIFIED</x:v>
      </x:c>
      <x:c r="M1244" s="87" t="str">
        <x:v>ORIGINAL_PACKAGE</x:v>
      </x:c>
      <x:c r="N1244" s="87" t="str">
        <x:v>pages/VIS-INF-DEC-TASK-202-P008.png</x:v>
      </x:c>
      <x:c r="O1244" s="87" t="str">
        <x:v>thumbnails/VIS-INF-DEC-TASK-202-P008.jpg</x:v>
      </x:c>
      <x:c r="P1244" s="87" t="str">
        <x:v>7083df628f51e881702d7de24e36948a48eecc19d8565dee195c94b3e46edfd3</x:v>
      </x:c>
      <x:c r="Q1244" s="30" t="str">
        <x:v>incoming/raw/recovery-drop-01/informatics_dec_visual_assets_v087.zip!/pages/VIS-INF-DEC-TASK-202-P008.png</x:v>
      </x:c>
      <x:c r="R1244" s="30" t="str">
        <x:v>ASSET_HASH_VERIFIED_QA_UNSPECIFIED | Asset and thumbnail SHA matched; historical crop QA is absent.</x:v>
      </x:c>
      <x:c r="S1244" t="e">
        <x:f>HYPERLINK("visual_gallery/index.html#"&amp;A1244,"Галерея")</x:f>
      </x:c>
    </x:row>
    <x:row r="1245">
      <x:c r="A1245" s="87" t="str">
        <x:v>VIS-INF-DEC-TASK-202-P009</x:v>
      </x:c>
      <x:c r="B1245" s="30" t="str">
        <x:v>Информатика</x:v>
      </x:c>
      <x:c r="C1245" s="30"/>
      <x:c r="D1245" s="30" t="str">
        <x:v>ИН2510202</x:v>
      </x:c>
      <x:c r="E1245" s="87" t="str">
        <x:v>TASK</x:v>
      </x:c>
      <x:c r="F1245" s="30" t="str">
        <x:v>Zadanie_IN11_16122025_.pdf</x:v>
      </x:c>
      <x:c r="G1245" s="87"/>
      <x:c r="H1245" s="87" t="str">
        <x:v>v0.87</x:v>
      </x:c>
      <x:c r="I1245" s="87" t="str">
        <x:v>2</x:v>
      </x:c>
      <x:c r="J1245" s="30" t="str">
        <x:v>VIS_ID</x:v>
      </x:c>
      <x:c r="K1245" s="30" t="str">
        <x:v>DEC-INF-02-013, DEC-INF-02-014</x:v>
      </x:c>
      <x:c r="L1245" s="87" t="str">
        <x:v>ASSET_HASH_VERIFIED_QA_UNSPECIFIED</x:v>
      </x:c>
      <x:c r="M1245" s="87" t="str">
        <x:v>ORIGINAL_PACKAGE</x:v>
      </x:c>
      <x:c r="N1245" s="87" t="str">
        <x:v>pages/VIS-INF-DEC-TASK-202-P009.png</x:v>
      </x:c>
      <x:c r="O1245" s="87" t="str">
        <x:v>thumbnails/VIS-INF-DEC-TASK-202-P009.jpg</x:v>
      </x:c>
      <x:c r="P1245" s="87" t="str">
        <x:v>f64e37737270094b475beff28970309b2d73d5660a9c1de4377d0a1707c98690</x:v>
      </x:c>
      <x:c r="Q1245" s="30" t="str">
        <x:v>incoming/raw/recovery-drop-01/informatics_dec_visual_assets_v087.zip!/pages/VIS-INF-DEC-TASK-202-P009.png</x:v>
      </x:c>
      <x:c r="R1245" s="30" t="str">
        <x:v>ASSET_HASH_VERIFIED_QA_UNSPECIFIED | Asset and thumbnail SHA matched; historical crop QA is absent.</x:v>
      </x:c>
      <x:c r="S1245" t="e">
        <x:f>HYPERLINK("visual_gallery/index.html#"&amp;A1245,"Галерея")</x:f>
      </x:c>
    </x:row>
    <x:row r="1246">
      <x:c r="A1246" s="87" t="str">
        <x:v>VIS-INF-DEC-TASK-202-P010</x:v>
      </x:c>
      <x:c r="B1246" s="30" t="str">
        <x:v>Информатика</x:v>
      </x:c>
      <x:c r="C1246" s="30"/>
      <x:c r="D1246" s="30" t="str">
        <x:v>ИН2510202</x:v>
      </x:c>
      <x:c r="E1246" s="87" t="str">
        <x:v>TASK</x:v>
      </x:c>
      <x:c r="F1246" s="30" t="str">
        <x:v>Zadanie_IN11_16122025_.pdf</x:v>
      </x:c>
      <x:c r="G1246" s="87"/>
      <x:c r="H1246" s="87" t="str">
        <x:v>v0.87</x:v>
      </x:c>
      <x:c r="I1246" s="87" t="str">
        <x:v>3</x:v>
      </x:c>
      <x:c r="J1246" s="30" t="str">
        <x:v>VIS_ID</x:v>
      </x:c>
      <x:c r="K1246" s="30" t="str">
        <x:v>DEC-INF-02-015, DEC-INF-02-016, DEC-INF-02-017</x:v>
      </x:c>
      <x:c r="L1246" s="87" t="str">
        <x:v>ASSET_HASH_VERIFIED_QA_UNSPECIFIED</x:v>
      </x:c>
      <x:c r="M1246" s="87" t="str">
        <x:v>ORIGINAL_PACKAGE</x:v>
      </x:c>
      <x:c r="N1246" s="87" t="str">
        <x:v>pages/VIS-INF-DEC-TASK-202-P010.png</x:v>
      </x:c>
      <x:c r="O1246" s="87" t="str">
        <x:v>thumbnails/VIS-INF-DEC-TASK-202-P010.jpg</x:v>
      </x:c>
      <x:c r="P1246" s="87" t="str">
        <x:v>20e8d9049e81a9ece676d316b0c4cedf3e08656b054ebe929db674a0d5a0d626</x:v>
      </x:c>
      <x:c r="Q1246" s="30" t="str">
        <x:v>incoming/raw/recovery-drop-01/informatics_dec_visual_assets_v087.zip!/pages/VIS-INF-DEC-TASK-202-P010.png</x:v>
      </x:c>
      <x:c r="R1246" s="30" t="str">
        <x:v>ASSET_HASH_VERIFIED_QA_UNSPECIFIED | Asset and thumbnail SHA matched; historical crop QA is absent.</x:v>
      </x:c>
      <x:c r="S1246" t="e">
        <x:f>HYPERLINK("visual_gallery/index.html#"&amp;A1246,"Галерея")</x:f>
      </x:c>
    </x:row>
    <x:row r="1247">
      <x:c r="A1247" s="87" t="str">
        <x:v>VIS-INF-DEC-TASK-202-P011</x:v>
      </x:c>
      <x:c r="B1247" s="30" t="str">
        <x:v>Информатика</x:v>
      </x:c>
      <x:c r="C1247" s="30"/>
      <x:c r="D1247" s="30" t="str">
        <x:v>ИН2510202</x:v>
      </x:c>
      <x:c r="E1247" s="87" t="str">
        <x:v>TASK</x:v>
      </x:c>
      <x:c r="F1247" s="30" t="str">
        <x:v>Zadanie_IN11_16122025_.pdf</x:v>
      </x:c>
      <x:c r="G1247" s="87"/>
      <x:c r="H1247" s="87" t="str">
        <x:v>v0.87</x:v>
      </x:c>
      <x:c r="I1247" s="87" t="str">
        <x:v>1</x:v>
      </x:c>
      <x:c r="J1247" s="30" t="str">
        <x:v>VIS_ID</x:v>
      </x:c>
      <x:c r="K1247" s="30" t="str">
        <x:v>DEC-INF-02-018</x:v>
      </x:c>
      <x:c r="L1247" s="87" t="str">
        <x:v>ASSET_HASH_VERIFIED_QA_UNSPECIFIED</x:v>
      </x:c>
      <x:c r="M1247" s="87" t="str">
        <x:v>ORIGINAL_PACKAGE</x:v>
      </x:c>
      <x:c r="N1247" s="87" t="str">
        <x:v>pages/VIS-INF-DEC-TASK-202-P011.png</x:v>
      </x:c>
      <x:c r="O1247" s="87" t="str">
        <x:v>thumbnails/VIS-INF-DEC-TASK-202-P011.jpg</x:v>
      </x:c>
      <x:c r="P1247" s="87" t="str">
        <x:v>d5911607c928a6edf87d04ddb41b0fc34188dfdccd9d5656bda99f821be98e82</x:v>
      </x:c>
      <x:c r="Q1247" s="30" t="str">
        <x:v>incoming/raw/recovery-drop-01/informatics_dec_visual_assets_v087.zip!/pages/VIS-INF-DEC-TASK-202-P011.png</x:v>
      </x:c>
      <x:c r="R1247" s="30" t="str">
        <x:v>ASSET_HASH_VERIFIED_QA_UNSPECIFIED | Asset and thumbnail SHA matched; historical crop QA is absent.</x:v>
      </x:c>
      <x:c r="S1247" t="e">
        <x:f>HYPERLINK("visual_gallery/index.html#"&amp;A1247,"Галерея")</x:f>
      </x:c>
    </x:row>
    <x:row r="1248">
      <x:c r="A1248" s="87" t="str">
        <x:v>VIS-INF-DEC-TASK-202-P012</x:v>
      </x:c>
      <x:c r="B1248" s="30" t="str">
        <x:v>Информатика</x:v>
      </x:c>
      <x:c r="C1248" s="30"/>
      <x:c r="D1248" s="30" t="str">
        <x:v>ИН2510202</x:v>
      </x:c>
      <x:c r="E1248" s="87" t="str">
        <x:v>TASK</x:v>
      </x:c>
      <x:c r="F1248" s="30" t="str">
        <x:v>Zadanie_IN11_16122025_.pdf</x:v>
      </x:c>
      <x:c r="G1248" s="87"/>
      <x:c r="H1248" s="87" t="str">
        <x:v>v0.87</x:v>
      </x:c>
      <x:c r="I1248" s="87" t="str">
        <x:v>3</x:v>
      </x:c>
      <x:c r="J1248" s="30" t="str">
        <x:v>VIS_ID</x:v>
      </x:c>
      <x:c r="K1248" s="30" t="str">
        <x:v>DEC-INF-02-019, DEC-INF-02-020, DEC-INF-02-021</x:v>
      </x:c>
      <x:c r="L1248" s="87" t="str">
        <x:v>ASSET_HASH_VERIFIED_QA_UNSPECIFIED</x:v>
      </x:c>
      <x:c r="M1248" s="87" t="str">
        <x:v>ORIGINAL_PACKAGE</x:v>
      </x:c>
      <x:c r="N1248" s="87" t="str">
        <x:v>pages/VIS-INF-DEC-TASK-202-P012.png</x:v>
      </x:c>
      <x:c r="O1248" s="87" t="str">
        <x:v>thumbnails/VIS-INF-DEC-TASK-202-P012.jpg</x:v>
      </x:c>
      <x:c r="P1248" s="87" t="str">
        <x:v>101287c41ed14437ac1ffa25aa26d098254cbe9aa65c4edf83d4546a3eb4acf8</x:v>
      </x:c>
      <x:c r="Q1248" s="30" t="str">
        <x:v>incoming/raw/recovery-drop-01/informatics_dec_visual_assets_v087.zip!/pages/VIS-INF-DEC-TASK-202-P012.png</x:v>
      </x:c>
      <x:c r="R1248" s="30" t="str">
        <x:v>ASSET_HASH_VERIFIED_QA_UNSPECIFIED | Asset and thumbnail SHA matched; historical crop QA is absent.</x:v>
      </x:c>
      <x:c r="S1248" t="e">
        <x:f>HYPERLINK("visual_gallery/index.html#"&amp;A1248,"Галерея")</x:f>
      </x:c>
    </x:row>
    <x:row r="1249">
      <x:c r="A1249" s="87" t="str">
        <x:v>VIS-INF-DEC-TASK-202-P013</x:v>
      </x:c>
      <x:c r="B1249" s="30" t="str">
        <x:v>Информатика</x:v>
      </x:c>
      <x:c r="C1249" s="30"/>
      <x:c r="D1249" s="30" t="str">
        <x:v>ИН2510202</x:v>
      </x:c>
      <x:c r="E1249" s="87" t="str">
        <x:v>TASK</x:v>
      </x:c>
      <x:c r="F1249" s="30" t="str">
        <x:v>Zadanie_IN11_16122025_.pdf</x:v>
      </x:c>
      <x:c r="G1249" s="87"/>
      <x:c r="H1249" s="87" t="str">
        <x:v>v0.87</x:v>
      </x:c>
      <x:c r="I1249" s="87" t="str">
        <x:v>1</x:v>
      </x:c>
      <x:c r="J1249" s="30" t="str">
        <x:v>VIS_ID</x:v>
      </x:c>
      <x:c r="K1249" s="30" t="str">
        <x:v>DEC-INF-02-022</x:v>
      </x:c>
      <x:c r="L1249" s="87" t="str">
        <x:v>ASSET_HASH_VERIFIED_QA_UNSPECIFIED</x:v>
      </x:c>
      <x:c r="M1249" s="87" t="str">
        <x:v>ORIGINAL_PACKAGE</x:v>
      </x:c>
      <x:c r="N1249" s="87" t="str">
        <x:v>pages/VIS-INF-DEC-TASK-202-P013.png</x:v>
      </x:c>
      <x:c r="O1249" s="87" t="str">
        <x:v>thumbnails/VIS-INF-DEC-TASK-202-P013.jpg</x:v>
      </x:c>
      <x:c r="P1249" s="87" t="str">
        <x:v>55527758e4d2dfbb3709b8ac2853394e47b0536a376e6a9bc12236c74d1957b1</x:v>
      </x:c>
      <x:c r="Q1249" s="30" t="str">
        <x:v>incoming/raw/recovery-drop-01/informatics_dec_visual_assets_v087.zip!/pages/VIS-INF-DEC-TASK-202-P013.png</x:v>
      </x:c>
      <x:c r="R1249" s="30" t="str">
        <x:v>ASSET_HASH_VERIFIED_QA_UNSPECIFIED | Asset and thumbnail SHA matched; historical crop QA is absent.</x:v>
      </x:c>
      <x:c r="S1249" t="e">
        <x:f>HYPERLINK("visual_gallery/index.html#"&amp;A1249,"Галерея")</x:f>
      </x:c>
    </x:row>
    <x:row r="1250">
      <x:c r="A1250" s="87" t="str">
        <x:v>VIS-INF-DEC-TASK-202-P014</x:v>
      </x:c>
      <x:c r="B1250" s="30" t="str">
        <x:v>Информатика</x:v>
      </x:c>
      <x:c r="C1250" s="30"/>
      <x:c r="D1250" s="30" t="str">
        <x:v>ИН2510202</x:v>
      </x:c>
      <x:c r="E1250" s="87" t="str">
        <x:v>TASK</x:v>
      </x:c>
      <x:c r="F1250" s="30" t="str">
        <x:v>Zadanie_IN11_16122025_.pdf</x:v>
      </x:c>
      <x:c r="G1250" s="87"/>
      <x:c r="H1250" s="87" t="str">
        <x:v>v0.87</x:v>
      </x:c>
      <x:c r="I1250" s="87" t="str">
        <x:v>3</x:v>
      </x:c>
      <x:c r="J1250" s="30" t="str">
        <x:v>VIS_ID</x:v>
      </x:c>
      <x:c r="K1250" s="30" t="str">
        <x:v>DEC-INF-02-023, DEC-INF-02-024, DEC-INF-02-025</x:v>
      </x:c>
      <x:c r="L1250" s="87" t="str">
        <x:v>ASSET_HASH_VERIFIED_QA_UNSPECIFIED</x:v>
      </x:c>
      <x:c r="M1250" s="87" t="str">
        <x:v>ORIGINAL_PACKAGE</x:v>
      </x:c>
      <x:c r="N1250" s="87" t="str">
        <x:v>pages/VIS-INF-DEC-TASK-202-P014.png</x:v>
      </x:c>
      <x:c r="O1250" s="87" t="str">
        <x:v>thumbnails/VIS-INF-DEC-TASK-202-P014.jpg</x:v>
      </x:c>
      <x:c r="P1250" s="87" t="str">
        <x:v>31bc1b91947ed52c5ce82b5096a9de356f82d640138e7950c543a88aec87e3e2</x:v>
      </x:c>
      <x:c r="Q1250" s="30" t="str">
        <x:v>incoming/raw/recovery-drop-01/informatics_dec_visual_assets_v087.zip!/pages/VIS-INF-DEC-TASK-202-P014.png</x:v>
      </x:c>
      <x:c r="R1250" s="30" t="str">
        <x:v>ASSET_HASH_VERIFIED_QA_UNSPECIFIED | Asset and thumbnail SHA matched; historical crop QA is absent.</x:v>
      </x:c>
      <x:c r="S1250" t="e">
        <x:f>HYPERLINK("visual_gallery/index.html#"&amp;A1250,"Галерея")</x:f>
      </x:c>
    </x:row>
    <x:row r="1251">
      <x:c r="A1251" s="87" t="str">
        <x:v>VIS-INF-DEC-TASK-202-P015</x:v>
      </x:c>
      <x:c r="B1251" s="30" t="str">
        <x:v>Информатика</x:v>
      </x:c>
      <x:c r="C1251" s="30"/>
      <x:c r="D1251" s="30" t="str">
        <x:v>ИН2510202</x:v>
      </x:c>
      <x:c r="E1251" s="87" t="str">
        <x:v>TASK</x:v>
      </x:c>
      <x:c r="F1251" s="30" t="str">
        <x:v>Zadanie_IN11_16122025_.pdf</x:v>
      </x:c>
      <x:c r="G1251" s="87"/>
      <x:c r="H1251" s="87" t="str">
        <x:v>v0.87</x:v>
      </x:c>
      <x:c r="I1251" s="87" t="str">
        <x:v>1</x:v>
      </x:c>
      <x:c r="J1251" s="30" t="str">
        <x:v>VIS_ID</x:v>
      </x:c>
      <x:c r="K1251" s="30" t="str">
        <x:v>DEC-INF-02-026</x:v>
      </x:c>
      <x:c r="L1251" s="87" t="str">
        <x:v>ASSET_HASH_VERIFIED_QA_UNSPECIFIED</x:v>
      </x:c>
      <x:c r="M1251" s="87" t="str">
        <x:v>ORIGINAL_PACKAGE</x:v>
      </x:c>
      <x:c r="N1251" s="87" t="str">
        <x:v>pages/VIS-INF-DEC-TASK-202-P015.png</x:v>
      </x:c>
      <x:c r="O1251" s="87" t="str">
        <x:v>thumbnails/VIS-INF-DEC-TASK-202-P015.jpg</x:v>
      </x:c>
      <x:c r="P1251" s="87" t="str">
        <x:v>5df85cca05699a97093743f029833e3f0710d0ce89ea920b7e1a2a03c094064b</x:v>
      </x:c>
      <x:c r="Q1251" s="30" t="str">
        <x:v>incoming/raw/recovery-drop-01/informatics_dec_visual_assets_v087.zip!/pages/VIS-INF-DEC-TASK-202-P015.png</x:v>
      </x:c>
      <x:c r="R1251" s="30" t="str">
        <x:v>ASSET_HASH_VERIFIED_QA_UNSPECIFIED | Asset and thumbnail SHA matched; historical crop QA is absent.</x:v>
      </x:c>
      <x:c r="S1251" t="e">
        <x:f>HYPERLINK("visual_gallery/index.html#"&amp;A1251,"Галерея")</x:f>
      </x:c>
    </x:row>
    <x:row r="1252">
      <x:c r="A1252" s="87" t="str">
        <x:v>VIS-INF-DEC-TASK-202-P016</x:v>
      </x:c>
      <x:c r="B1252" s="30" t="str">
        <x:v>Информатика</x:v>
      </x:c>
      <x:c r="C1252" s="30"/>
      <x:c r="D1252" s="30" t="str">
        <x:v>ИН2510202</x:v>
      </x:c>
      <x:c r="E1252" s="87" t="str">
        <x:v>TASK</x:v>
      </x:c>
      <x:c r="F1252" s="30" t="str">
        <x:v>Zadanie_IN11_16122025_.pdf</x:v>
      </x:c>
      <x:c r="G1252" s="87"/>
      <x:c r="H1252" s="87" t="str">
        <x:v>v0.87</x:v>
      </x:c>
      <x:c r="I1252" s="87" t="str">
        <x:v>1</x:v>
      </x:c>
      <x:c r="J1252" s="30" t="str">
        <x:v>VIS_ID</x:v>
      </x:c>
      <x:c r="K1252" s="30" t="str">
        <x:v>DEC-INF-02-027</x:v>
      </x:c>
      <x:c r="L1252" s="87" t="str">
        <x:v>ASSET_HASH_VERIFIED_QA_UNSPECIFIED</x:v>
      </x:c>
      <x:c r="M1252" s="87" t="str">
        <x:v>ORIGINAL_PACKAGE</x:v>
      </x:c>
      <x:c r="N1252" s="87" t="str">
        <x:v>pages/VIS-INF-DEC-TASK-202-P016.png</x:v>
      </x:c>
      <x:c r="O1252" s="87" t="str">
        <x:v>thumbnails/VIS-INF-DEC-TASK-202-P016.jpg</x:v>
      </x:c>
      <x:c r="P1252" s="87" t="str">
        <x:v>554a34fc9d664f730a149c517b5edc0e05fc004242d9e4f178130bd36d413d95</x:v>
      </x:c>
      <x:c r="Q1252" s="30" t="str">
        <x:v>incoming/raw/recovery-drop-01/informatics_dec_visual_assets_v087.zip!/pages/VIS-INF-DEC-TASK-202-P016.png</x:v>
      </x:c>
      <x:c r="R1252" s="30" t="str">
        <x:v>ASSET_HASH_VERIFIED_QA_UNSPECIFIED | Asset and thumbnail SHA matched; historical crop QA is absent.</x:v>
      </x:c>
      <x:c r="S1252" t="e">
        <x:f>HYPERLINK("visual_gallery/index.html#"&amp;A1252,"Галерея")</x:f>
      </x:c>
    </x:row>
    <x:row r="1253">
      <x:c r="A1253" s="87" t="str">
        <x:v>VIS-INF-DEC-TASK-202-P017</x:v>
      </x:c>
      <x:c r="B1253" s="30" t="str"/>
      <x:c r="C1253" s="30"/>
      <x:c r="D1253" s="30" t="str">
        <x:v>ИН2510202</x:v>
      </x:c>
      <x:c r="E1253" s="87" t="str">
        <x:v>TASK</x:v>
      </x:c>
      <x:c r="F1253" s="30" t="str">
        <x:v>Zadanie_IN11_16122025_.pdf</x:v>
      </x:c>
      <x:c r="G1253" s="87"/>
      <x:c r="H1253" s="87" t="str">
        <x:v>v0.87</x:v>
      </x:c>
      <x:c r="I1253" s="87" t="str">
        <x:v>0</x:v>
      </x:c>
      <x:c r="J1253" s="30" t="str"/>
      <x:c r="K1253" s="30" t="str"/>
      <x:c r="L1253" s="87" t="str">
        <x:v>ASSET_HASH_VERIFIED_QA_UNSPECIFIED</x:v>
      </x:c>
      <x:c r="M1253" s="87" t="str">
        <x:v>ORIGINAL_PACKAGE</x:v>
      </x:c>
      <x:c r="N1253" s="87" t="str">
        <x:v>pages/VIS-INF-DEC-TASK-202-P017.png</x:v>
      </x:c>
      <x:c r="O1253" s="87" t="str">
        <x:v>thumbnails/VIS-INF-DEC-TASK-202-P017.jpg</x:v>
      </x:c>
      <x:c r="P1253" s="87" t="str">
        <x:v>307a6faa06198af3a4a0b93e44f3032316112fa0b8982e0fc1d8c1c72fad66b0</x:v>
      </x:c>
      <x:c r="Q1253" s="30" t="str">
        <x:v>incoming/raw/recovery-drop-01/informatics_dec_visual_assets_v087.zip!/pages/VIS-INF-DEC-TASK-202-P017.png</x:v>
      </x:c>
      <x:c r="R1253" s="30" t="str">
        <x:v>ASSET_HASH_VERIFIED_QA_UNSPECIFIED | Asset and thumbnail SHA matched; historical crop QA is absent.</x:v>
      </x:c>
      <x:c r="S1253" t="e">
        <x:f>HYPERLINK("visual_gallery/index.html#"&amp;A1253,"Галерея")</x:f>
      </x:c>
    </x:row>
    <x:row r="1254">
      <x:c r="A1254" s="87" t="str">
        <x:v>VIS-INF-OCT-001</x:v>
      </x:c>
      <x:c r="B1254" s="30" t="str">
        <x:v>Информатика</x:v>
      </x:c>
      <x:c r="C1254" s="30" t="str">
        <x:v>ИН2510101: полная страница 3 с условиями заданий 1</x:v>
      </x:c>
      <x:c r="D1254" s="30" t="str">
        <x:v>ИН2510101</x:v>
      </x:c>
      <x:c r="E1254" s="87"/>
      <x:c r="F1254" s="30" t="str">
        <x:v>Zadanie_IN11_23102025_.pdf</x:v>
      </x:c>
      <x:c r="G1254" s="87" t="str">
        <x:v>3</x:v>
      </x:c>
      <x:c r="H1254" s="87" t="str">
        <x:v>v0.77</x:v>
      </x:c>
      <x:c r="I1254" s="87" t="str">
        <x:v>1</x:v>
      </x:c>
      <x:c r="J1254" s="30" t="str">
        <x:v>VIS_ID</x:v>
      </x:c>
      <x:c r="K1254" s="30" t="str">
        <x:v>OCT-INF-V1-001</x:v>
      </x:c>
      <x:c r="L1254" s="87" t="str">
        <x:v>CROP_VERIFIED</x:v>
      </x:c>
      <x:c r="M1254" s="87" t="str">
        <x:v>ORIGINAL_SUBJECT_PACKAGE</x:v>
      </x:c>
      <x:c r="N1254" s="87"/>
      <x:c r="O1254" s="87"/>
      <x:c r="P1254" s="87" t="str">
        <x:v>e637db111e83190c51701364edd913869c90933131377e2dd79dde90fbfce7dd</x:v>
      </x:c>
      <x:c r="Q1254" s="30" t="str">
        <x:v>incoming/raw/recovery-drop-03/inf_oct_visual_assets_v077(1).zip!/assets_v077/full/VIS-INF-OCT-001_full.jpg</x:v>
      </x:c>
      <x:c r="R1254" s="30" t="str">
        <x:v>PHYSICAL_SUBJECT_PACKAGE_PRECEDENCE | STALE_MASTER_HASH_SUPERSEDED | Canonical SHA/path from physical v0.77 companion and matching assets ZIP.</x:v>
      </x:c>
      <x:c r="S1254" t="e">
        <x:f>HYPERLINK("visual_gallery/index.html#"&amp;A1254,"Галерея")</x:f>
      </x:c>
    </x:row>
    <x:row r="1255">
      <x:c r="A1255" s="87" t="str">
        <x:v>VIS-INF-OCT-002</x:v>
      </x:c>
      <x:c r="B1255" s="30" t="str">
        <x:v>Информатика</x:v>
      </x:c>
      <x:c r="C1255" s="30" t="str">
        <x:v>ИН2510101: полная страница 4 с условиями заданий 2</x:v>
      </x:c>
      <x:c r="D1255" s="30" t="str">
        <x:v>ИН2510101</x:v>
      </x:c>
      <x:c r="E1255" s="87"/>
      <x:c r="F1255" s="30" t="str">
        <x:v>Zadanie_IN11_23102025_.pdf</x:v>
      </x:c>
      <x:c r="G1255" s="87" t="str">
        <x:v>4</x:v>
      </x:c>
      <x:c r="H1255" s="87" t="str">
        <x:v>v0.77</x:v>
      </x:c>
      <x:c r="I1255" s="87" t="str">
        <x:v>1</x:v>
      </x:c>
      <x:c r="J1255" s="30" t="str">
        <x:v>VIS_ID</x:v>
      </x:c>
      <x:c r="K1255" s="30" t="str">
        <x:v>OCT-INF-V1-002</x:v>
      </x:c>
      <x:c r="L1255" s="87" t="str">
        <x:v>CROP_VERIFIED</x:v>
      </x:c>
      <x:c r="M1255" s="87" t="str">
        <x:v>ORIGINAL_SUBJECT_PACKAGE</x:v>
      </x:c>
      <x:c r="N1255" s="87"/>
      <x:c r="O1255" s="87"/>
      <x:c r="P1255" s="87" t="str">
        <x:v>04a26408ea1ddc43195885c8453d882f954fac6f664fa51c31bc9a2f1bdf0fb4</x:v>
      </x:c>
      <x:c r="Q1255" s="30" t="str">
        <x:v>incoming/raw/recovery-drop-03/inf_oct_visual_assets_v077(1).zip!/assets_v077/full/VIS-INF-OCT-002_full.jpg</x:v>
      </x:c>
      <x:c r="R1255" s="30" t="str">
        <x:v>PHYSICAL_SUBJECT_PACKAGE_PRECEDENCE | STALE_MASTER_HASH_SUPERSEDED | Canonical SHA/path from physical v0.77 companion and matching assets ZIP.</x:v>
      </x:c>
      <x:c r="S1255" t="e">
        <x:f>HYPERLINK("visual_gallery/index.html#"&amp;A1255,"Галерея")</x:f>
      </x:c>
    </x:row>
    <x:row r="1256">
      <x:c r="A1256" s="87" t="str">
        <x:v>VIS-INF-OCT-003</x:v>
      </x:c>
      <x:c r="B1256" s="30" t="str">
        <x:v>Информатика</x:v>
      </x:c>
      <x:c r="C1256" s="30" t="str">
        <x:v>ИН2510101: полная страница 5 с условиями заданий 3</x:v>
      </x:c>
      <x:c r="D1256" s="30" t="str">
        <x:v>ИН2510101</x:v>
      </x:c>
      <x:c r="E1256" s="87"/>
      <x:c r="F1256" s="30" t="str">
        <x:v>Zadanie_IN11_23102025_.pdf</x:v>
      </x:c>
      <x:c r="G1256" s="87" t="str">
        <x:v>5</x:v>
      </x:c>
      <x:c r="H1256" s="87" t="str">
        <x:v>v0.77</x:v>
      </x:c>
      <x:c r="I1256" s="87" t="str">
        <x:v>1</x:v>
      </x:c>
      <x:c r="J1256" s="30" t="str">
        <x:v>VIS_ID</x:v>
      </x:c>
      <x:c r="K1256" s="30" t="str">
        <x:v>OCT-INF-V1-003</x:v>
      </x:c>
      <x:c r="L1256" s="87" t="str">
        <x:v>CROP_VERIFIED</x:v>
      </x:c>
      <x:c r="M1256" s="87" t="str">
        <x:v>ORIGINAL_SUBJECT_PACKAGE</x:v>
      </x:c>
      <x:c r="N1256" s="87"/>
      <x:c r="O1256" s="87"/>
      <x:c r="P1256" s="87" t="str">
        <x:v>0783182bd506c740e933f8b1543d0f8c99b3e56873da13dca5573b3acbbeb84a</x:v>
      </x:c>
      <x:c r="Q1256" s="30" t="str">
        <x:v>incoming/raw/recovery-drop-03/inf_oct_visual_assets_v077(1).zip!/assets_v077/full/VIS-INF-OCT-003_full.jpg</x:v>
      </x:c>
      <x:c r="R1256" s="30" t="str">
        <x:v>PHYSICAL_SUBJECT_PACKAGE_PRECEDENCE | STALE_MASTER_HASH_SUPERSEDED | Canonical SHA/path from physical v0.77 companion and matching assets ZIP.</x:v>
      </x:c>
      <x:c r="S1256" t="e">
        <x:f>HYPERLINK("visual_gallery/index.html#"&amp;A1256,"Галерея")</x:f>
      </x:c>
    </x:row>
    <x:row r="1257">
      <x:c r="A1257" s="87" t="str">
        <x:v>VIS-INF-OCT-004</x:v>
      </x:c>
      <x:c r="B1257" s="30" t="str">
        <x:v>Информатика</x:v>
      </x:c>
      <x:c r="C1257" s="30" t="str">
        <x:v>ИН2510101: полная страница 6 с условиями заданий 4, 5</x:v>
      </x:c>
      <x:c r="D1257" s="30" t="str">
        <x:v>ИН2510101</x:v>
      </x:c>
      <x:c r="E1257" s="87"/>
      <x:c r="F1257" s="30" t="str">
        <x:v>Zadanie_IN11_23102025_.pdf</x:v>
      </x:c>
      <x:c r="G1257" s="87" t="str">
        <x:v>6</x:v>
      </x:c>
      <x:c r="H1257" s="87" t="str">
        <x:v>v0.77</x:v>
      </x:c>
      <x:c r="I1257" s="87" t="str">
        <x:v>2</x:v>
      </x:c>
      <x:c r="J1257" s="30" t="str">
        <x:v>VIS_ID</x:v>
      </x:c>
      <x:c r="K1257" s="30" t="str">
        <x:v>OCT-INF-V1-004, OCT-INF-V1-005</x:v>
      </x:c>
      <x:c r="L1257" s="87" t="str">
        <x:v>CROP_VERIFIED</x:v>
      </x:c>
      <x:c r="M1257" s="87" t="str">
        <x:v>ORIGINAL_SUBJECT_PACKAGE</x:v>
      </x:c>
      <x:c r="N1257" s="87"/>
      <x:c r="O1257" s="87"/>
      <x:c r="P1257" s="87" t="str">
        <x:v>a724cb71d614efbab5e218e4a581fd9860ca51790f2ceaf87ec123df4401b789</x:v>
      </x:c>
      <x:c r="Q1257" s="30" t="str">
        <x:v>incoming/raw/recovery-drop-03/inf_oct_visual_assets_v077(1).zip!/assets_v077/full/VIS-INF-OCT-004_full.jpg</x:v>
      </x:c>
      <x:c r="R1257" s="30" t="str">
        <x:v>PHYSICAL_SUBJECT_PACKAGE_PRECEDENCE | STALE_MASTER_HASH_SUPERSEDED | Canonical SHA/path from physical v0.77 companion and matching assets ZIP.</x:v>
      </x:c>
      <x:c r="S1257" t="e">
        <x:f>HYPERLINK("visual_gallery/index.html#"&amp;A1257,"Галерея")</x:f>
      </x:c>
    </x:row>
    <x:row r="1258">
      <x:c r="A1258" s="87" t="str">
        <x:v>VIS-INF-OCT-005</x:v>
      </x:c>
      <x:c r="B1258" s="30" t="str">
        <x:v>Информатика</x:v>
      </x:c>
      <x:c r="C1258" s="30" t="str">
        <x:v>ИН2510101: полная страница 7 с условиями заданий 6, 7</x:v>
      </x:c>
      <x:c r="D1258" s="30" t="str">
        <x:v>ИН2510101</x:v>
      </x:c>
      <x:c r="E1258" s="87"/>
      <x:c r="F1258" s="30" t="str">
        <x:v>Zadanie_IN11_23102025_.pdf</x:v>
      </x:c>
      <x:c r="G1258" s="87" t="str">
        <x:v>7</x:v>
      </x:c>
      <x:c r="H1258" s="87" t="str">
        <x:v>v0.77</x:v>
      </x:c>
      <x:c r="I1258" s="87" t="str">
        <x:v>2</x:v>
      </x:c>
      <x:c r="J1258" s="30" t="str">
        <x:v>VIS_ID</x:v>
      </x:c>
      <x:c r="K1258" s="30" t="str">
        <x:v>OCT-INF-V1-006, OCT-INF-V1-007</x:v>
      </x:c>
      <x:c r="L1258" s="87" t="str">
        <x:v>CROP_VERIFIED</x:v>
      </x:c>
      <x:c r="M1258" s="87" t="str">
        <x:v>ORIGINAL_SUBJECT_PACKAGE</x:v>
      </x:c>
      <x:c r="N1258" s="87"/>
      <x:c r="O1258" s="87"/>
      <x:c r="P1258" s="87" t="str">
        <x:v>3931dccad7ee4d11a5cdea4eca37ab8edf975a2fed3e7bf65e11e7095fe13def</x:v>
      </x:c>
      <x:c r="Q1258" s="30" t="str">
        <x:v>incoming/raw/recovery-drop-03/inf_oct_visual_assets_v077(1).zip!/assets_v077/full/VIS-INF-OCT-005_full.jpg</x:v>
      </x:c>
      <x:c r="R1258" s="30" t="str">
        <x:v>PHYSICAL_SUBJECT_PACKAGE_PRECEDENCE | STALE_MASTER_HASH_SUPERSEDED | Canonical SHA/path from physical v0.77 companion and matching assets ZIP.</x:v>
      </x:c>
      <x:c r="S1258" t="e">
        <x:f>HYPERLINK("visual_gallery/index.html#"&amp;A1258,"Галерея")</x:f>
      </x:c>
    </x:row>
    <x:row r="1259">
      <x:c r="A1259" s="87" t="str">
        <x:v>VIS-INF-OCT-006</x:v>
      </x:c>
      <x:c r="B1259" s="30" t="str">
        <x:v>Информатика</x:v>
      </x:c>
      <x:c r="C1259" s="30" t="str">
        <x:v>ИН2510101: полная страница 8 с условиями заданий 8, 9, 10, 11</x:v>
      </x:c>
      <x:c r="D1259" s="30" t="str">
        <x:v>ИН2510101</x:v>
      </x:c>
      <x:c r="E1259" s="87"/>
      <x:c r="F1259" s="30" t="str">
        <x:v>Zadanie_IN11_23102025_.pdf</x:v>
      </x:c>
      <x:c r="G1259" s="87" t="str">
        <x:v>8</x:v>
      </x:c>
      <x:c r="H1259" s="87" t="str">
        <x:v>v0.77</x:v>
      </x:c>
      <x:c r="I1259" s="87" t="str">
        <x:v>4</x:v>
      </x:c>
      <x:c r="J1259" s="30" t="str">
        <x:v>VIS_ID</x:v>
      </x:c>
      <x:c r="K1259" s="30" t="str">
        <x:v>OCT-INF-V1-008, OCT-INF-V1-009, OCT-INF-V1-010, OCT-INF-V1-011</x:v>
      </x:c>
      <x:c r="L1259" s="87" t="str">
        <x:v>CROP_VERIFIED</x:v>
      </x:c>
      <x:c r="M1259" s="87" t="str">
        <x:v>ORIGINAL_SUBJECT_PACKAGE</x:v>
      </x:c>
      <x:c r="N1259" s="87"/>
      <x:c r="O1259" s="87"/>
      <x:c r="P1259" s="87" t="str">
        <x:v>b39478e8738fb11dd456630a317cc7edde44539ede72dcb19d634318a175b241</x:v>
      </x:c>
      <x:c r="Q1259" s="30" t="str">
        <x:v>incoming/raw/recovery-drop-03/inf_oct_visual_assets_v077(1).zip!/assets_v077/full/VIS-INF-OCT-006_full.jpg</x:v>
      </x:c>
      <x:c r="R1259" s="30" t="str">
        <x:v>PHYSICAL_SUBJECT_PACKAGE_PRECEDENCE | STALE_MASTER_HASH_SUPERSEDED | Canonical SHA/path from physical v0.77 companion and matching assets ZIP.</x:v>
      </x:c>
      <x:c r="S1259" t="e">
        <x:f>HYPERLINK("visual_gallery/index.html#"&amp;A1259,"Галерея")</x:f>
      </x:c>
    </x:row>
    <x:row r="1260">
      <x:c r="A1260" s="87" t="str">
        <x:v>VIS-INF-OCT-007</x:v>
      </x:c>
      <x:c r="B1260" s="30" t="str">
        <x:v>Информатика</x:v>
      </x:c>
      <x:c r="C1260" s="30" t="str">
        <x:v>ИН2510101: полная страница 9 с условиями заданий 12</x:v>
      </x:c>
      <x:c r="D1260" s="30" t="str">
        <x:v>ИН2510101</x:v>
      </x:c>
      <x:c r="E1260" s="87"/>
      <x:c r="F1260" s="30" t="str">
        <x:v>Zadanie_IN11_23102025_.pdf</x:v>
      </x:c>
      <x:c r="G1260" s="87" t="str">
        <x:v>9</x:v>
      </x:c>
      <x:c r="H1260" s="87" t="str">
        <x:v>v0.77</x:v>
      </x:c>
      <x:c r="I1260" s="87" t="str">
        <x:v>1</x:v>
      </x:c>
      <x:c r="J1260" s="30" t="str">
        <x:v>VIS_ID</x:v>
      </x:c>
      <x:c r="K1260" s="30" t="str">
        <x:v>OCT-INF-V1-012</x:v>
      </x:c>
      <x:c r="L1260" s="87" t="str">
        <x:v>CROP_VERIFIED</x:v>
      </x:c>
      <x:c r="M1260" s="87" t="str">
        <x:v>ORIGINAL_SUBJECT_PACKAGE</x:v>
      </x:c>
      <x:c r="N1260" s="87"/>
      <x:c r="O1260" s="87"/>
      <x:c r="P1260" s="87" t="str">
        <x:v>0a665a3c5b5046676df0960ff4af08d7af11347e6066c8513659a31c8dd99755</x:v>
      </x:c>
      <x:c r="Q1260" s="30" t="str">
        <x:v>incoming/raw/recovery-drop-03/inf_oct_visual_assets_v077(1).zip!/assets_v077/full/VIS-INF-OCT-007_full.jpg</x:v>
      </x:c>
      <x:c r="R1260" s="30" t="str">
        <x:v>PHYSICAL_SUBJECT_PACKAGE_PRECEDENCE | STALE_MASTER_HASH_SUPERSEDED | Canonical SHA/path from physical v0.77 companion and matching assets ZIP.</x:v>
      </x:c>
      <x:c r="S1260" t="e">
        <x:f>HYPERLINK("visual_gallery/index.html#"&amp;A1260,"Галерея")</x:f>
      </x:c>
    </x:row>
    <x:row r="1261">
      <x:c r="A1261" s="87" t="str">
        <x:v>VIS-INF-OCT-008</x:v>
      </x:c>
      <x:c r="B1261" s="30" t="str">
        <x:v>Информатика</x:v>
      </x:c>
      <x:c r="C1261" s="30" t="str">
        <x:v>ИН2510101: полная страница 10 с условиями заданий 12</x:v>
      </x:c>
      <x:c r="D1261" s="30" t="str">
        <x:v>ИН2510101</x:v>
      </x:c>
      <x:c r="E1261" s="87"/>
      <x:c r="F1261" s="30" t="str">
        <x:v>Zadanie_IN11_23102025_.pdf</x:v>
      </x:c>
      <x:c r="G1261" s="87" t="str">
        <x:v>10</x:v>
      </x:c>
      <x:c r="H1261" s="87" t="str">
        <x:v>v0.77</x:v>
      </x:c>
      <x:c r="I1261" s="87" t="str">
        <x:v>1</x:v>
      </x:c>
      <x:c r="J1261" s="30" t="str">
        <x:v>VIS_ID</x:v>
      </x:c>
      <x:c r="K1261" s="30" t="str">
        <x:v>OCT-INF-V1-012</x:v>
      </x:c>
      <x:c r="L1261" s="87" t="str">
        <x:v>CROP_VERIFIED</x:v>
      </x:c>
      <x:c r="M1261" s="87" t="str">
        <x:v>ORIGINAL_SUBJECT_PACKAGE</x:v>
      </x:c>
      <x:c r="N1261" s="87"/>
      <x:c r="O1261" s="87"/>
      <x:c r="P1261" s="87" t="str">
        <x:v>62dbbb12e43be2a963b36adcfdecd68abfdeb2f7fa12d3c9b6b99dcea2af7ae3</x:v>
      </x:c>
      <x:c r="Q1261" s="30" t="str">
        <x:v>incoming/raw/recovery-drop-03/inf_oct_visual_assets_v077(1).zip!/assets_v077/full/VIS-INF-OCT-008_full.jpg</x:v>
      </x:c>
      <x:c r="R1261" s="30" t="str">
        <x:v>PHYSICAL_SUBJECT_PACKAGE_PRECEDENCE | STALE_MASTER_HASH_SUPERSEDED | Canonical SHA/path from physical v0.77 companion and matching assets ZIP.</x:v>
      </x:c>
      <x:c r="S1261" t="e">
        <x:f>HYPERLINK("visual_gallery/index.html#"&amp;A1261,"Галерея")</x:f>
      </x:c>
    </x:row>
    <x:row r="1262">
      <x:c r="A1262" s="87" t="str">
        <x:v>VIS-INF-OCT-009</x:v>
      </x:c>
      <x:c r="B1262" s="30" t="str">
        <x:v>Информатика</x:v>
      </x:c>
      <x:c r="C1262" s="30" t="str">
        <x:v>ИН2510101: полная страница 11 с условиями заданий 13, 14, 15</x:v>
      </x:c>
      <x:c r="D1262" s="30" t="str">
        <x:v>ИН2510101</x:v>
      </x:c>
      <x:c r="E1262" s="87"/>
      <x:c r="F1262" s="30" t="str">
        <x:v>Zadanie_IN11_23102025_.pdf</x:v>
      </x:c>
      <x:c r="G1262" s="87" t="str">
        <x:v>11</x:v>
      </x:c>
      <x:c r="H1262" s="87" t="str">
        <x:v>v0.77</x:v>
      </x:c>
      <x:c r="I1262" s="87" t="str">
        <x:v>3</x:v>
      </x:c>
      <x:c r="J1262" s="30" t="str">
        <x:v>VIS_ID</x:v>
      </x:c>
      <x:c r="K1262" s="30" t="str">
        <x:v>OCT-INF-V1-013, OCT-INF-V1-014, OCT-INF-V1-015</x:v>
      </x:c>
      <x:c r="L1262" s="87" t="str">
        <x:v>CROP_VERIFIED</x:v>
      </x:c>
      <x:c r="M1262" s="87" t="str">
        <x:v>ORIGINAL_SUBJECT_PACKAGE</x:v>
      </x:c>
      <x:c r="N1262" s="87"/>
      <x:c r="O1262" s="87"/>
      <x:c r="P1262" s="87" t="str">
        <x:v>c72f54aef33e44d9aca6b5a493177b72656de7b3fea66733333f0a1a7879f93d</x:v>
      </x:c>
      <x:c r="Q1262" s="30" t="str">
        <x:v>incoming/raw/recovery-drop-03/inf_oct_visual_assets_v077(1).zip!/assets_v077/full/VIS-INF-OCT-009_full.jpg</x:v>
      </x:c>
      <x:c r="R1262" s="30" t="str">
        <x:v>PHYSICAL_SUBJECT_PACKAGE_PRECEDENCE | STALE_MASTER_HASH_SUPERSEDED | Canonical SHA/path from physical v0.77 companion and matching assets ZIP.</x:v>
      </x:c>
      <x:c r="S1262" t="e">
        <x:f>HYPERLINK("visual_gallery/index.html#"&amp;A1262,"Галерея")</x:f>
      </x:c>
    </x:row>
    <x:row r="1263">
      <x:c r="A1263" s="87" t="str">
        <x:v>VIS-INF-OCT-010</x:v>
      </x:c>
      <x:c r="B1263" s="30" t="str">
        <x:v>Информатика</x:v>
      </x:c>
      <x:c r="C1263" s="30" t="str">
        <x:v>ИН2510101: полная страница 12 с условиями заданий 16, 17</x:v>
      </x:c>
      <x:c r="D1263" s="30" t="str">
        <x:v>ИН2510101</x:v>
      </x:c>
      <x:c r="E1263" s="87"/>
      <x:c r="F1263" s="30" t="str">
        <x:v>Zadanie_IN11_23102025_.pdf</x:v>
      </x:c>
      <x:c r="G1263" s="87" t="str">
        <x:v>12</x:v>
      </x:c>
      <x:c r="H1263" s="87" t="str">
        <x:v>v0.77</x:v>
      </x:c>
      <x:c r="I1263" s="87" t="str">
        <x:v>2</x:v>
      </x:c>
      <x:c r="J1263" s="30" t="str">
        <x:v>VIS_ID</x:v>
      </x:c>
      <x:c r="K1263" s="30" t="str">
        <x:v>OCT-INF-V1-016, OCT-INF-V1-017</x:v>
      </x:c>
      <x:c r="L1263" s="87" t="str">
        <x:v>CROP_VERIFIED</x:v>
      </x:c>
      <x:c r="M1263" s="87" t="str">
        <x:v>ORIGINAL_SUBJECT_PACKAGE</x:v>
      </x:c>
      <x:c r="N1263" s="87"/>
      <x:c r="O1263" s="87"/>
      <x:c r="P1263" s="87" t="str">
        <x:v>c13247979ed01a909f1200b0ac81d063bdf03645f49a6a94882108a1bea052ea</x:v>
      </x:c>
      <x:c r="Q1263" s="30" t="str">
        <x:v>incoming/raw/recovery-drop-03/inf_oct_visual_assets_v077(1).zip!/assets_v077/full/VIS-INF-OCT-010_full.jpg</x:v>
      </x:c>
      <x:c r="R1263" s="30" t="str">
        <x:v>PHYSICAL_SUBJECT_PACKAGE_PRECEDENCE | STALE_MASTER_HASH_SUPERSEDED | Canonical SHA/path from physical v0.77 companion and matching assets ZIP.</x:v>
      </x:c>
      <x:c r="S1263" t="e">
        <x:f>HYPERLINK("visual_gallery/index.html#"&amp;A1263,"Галерея")</x:f>
      </x:c>
    </x:row>
    <x:row r="1264">
      <x:c r="A1264" s="87" t="str">
        <x:v>VIS-INF-OCT-011</x:v>
      </x:c>
      <x:c r="B1264" s="30" t="str">
        <x:v>Информатика</x:v>
      </x:c>
      <x:c r="C1264" s="30" t="str">
        <x:v>ИН2510101: полная страница 13 с условиями заданий 18</x:v>
      </x:c>
      <x:c r="D1264" s="30" t="str">
        <x:v>ИН2510101</x:v>
      </x:c>
      <x:c r="E1264" s="87"/>
      <x:c r="F1264" s="30" t="str">
        <x:v>Zadanie_IN11_23102025_.pdf</x:v>
      </x:c>
      <x:c r="G1264" s="87" t="str">
        <x:v>13</x:v>
      </x:c>
      <x:c r="H1264" s="87" t="str">
        <x:v>v0.77</x:v>
      </x:c>
      <x:c r="I1264" s="87" t="str">
        <x:v>1</x:v>
      </x:c>
      <x:c r="J1264" s="30" t="str">
        <x:v>VIS_ID</x:v>
      </x:c>
      <x:c r="K1264" s="30" t="str">
        <x:v>OCT-INF-V1-018</x:v>
      </x:c>
      <x:c r="L1264" s="87" t="str">
        <x:v>CROP_VERIFIED</x:v>
      </x:c>
      <x:c r="M1264" s="87" t="str">
        <x:v>ORIGINAL_SUBJECT_PACKAGE</x:v>
      </x:c>
      <x:c r="N1264" s="87"/>
      <x:c r="O1264" s="87"/>
      <x:c r="P1264" s="87" t="str">
        <x:v>3de98e8948a1dd4ff4b7685a8a1aa5d7bdf356dc036288a52ceaa8787731cea3</x:v>
      </x:c>
      <x:c r="Q1264" s="30" t="str">
        <x:v>incoming/raw/recovery-drop-03/inf_oct_visual_assets_v077(1).zip!/assets_v077/full/VIS-INF-OCT-011_full.jpg</x:v>
      </x:c>
      <x:c r="R1264" s="30" t="str">
        <x:v>PHYSICAL_SUBJECT_PACKAGE_PRECEDENCE | STALE_MASTER_HASH_SUPERSEDED | Canonical SHA/path from physical v0.77 companion and matching assets ZIP.</x:v>
      </x:c>
      <x:c r="S1264" t="e">
        <x:f>HYPERLINK("visual_gallery/index.html#"&amp;A1264,"Галерея")</x:f>
      </x:c>
    </x:row>
    <x:row r="1265">
      <x:c r="A1265" s="87" t="str">
        <x:v>VIS-INF-OCT-012</x:v>
      </x:c>
      <x:c r="B1265" s="30" t="str">
        <x:v>Информатика</x:v>
      </x:c>
      <x:c r="C1265" s="30" t="str">
        <x:v>ИН2510101: полная страница 14 с условиями заданий 19, 20, 21</x:v>
      </x:c>
      <x:c r="D1265" s="30" t="str">
        <x:v>ИН2510101</x:v>
      </x:c>
      <x:c r="E1265" s="87"/>
      <x:c r="F1265" s="30" t="str">
        <x:v>Zadanie_IN11_23102025_.pdf</x:v>
      </x:c>
      <x:c r="G1265" s="87" t="str">
        <x:v>14</x:v>
      </x:c>
      <x:c r="H1265" s="87" t="str">
        <x:v>v0.77</x:v>
      </x:c>
      <x:c r="I1265" s="87" t="str">
        <x:v>3</x:v>
      </x:c>
      <x:c r="J1265" s="30" t="str">
        <x:v>VIS_ID</x:v>
      </x:c>
      <x:c r="K1265" s="30" t="str">
        <x:v>OCT-INF-V1-019, OCT-INF-V1-020, OCT-INF-V1-021</x:v>
      </x:c>
      <x:c r="L1265" s="87" t="str">
        <x:v>CROP_VERIFIED</x:v>
      </x:c>
      <x:c r="M1265" s="87" t="str">
        <x:v>ORIGINAL_SUBJECT_PACKAGE</x:v>
      </x:c>
      <x:c r="N1265" s="87"/>
      <x:c r="O1265" s="87"/>
      <x:c r="P1265" s="87" t="str">
        <x:v>b41b4dca932c64eaf8836b62990c1499804ed3c305831325e67a8a105dc3f624</x:v>
      </x:c>
      <x:c r="Q1265" s="30" t="str">
        <x:v>incoming/raw/recovery-drop-03/inf_oct_visual_assets_v077(1).zip!/assets_v077/full/VIS-INF-OCT-012_full.jpg</x:v>
      </x:c>
      <x:c r="R1265" s="30" t="str">
        <x:v>PHYSICAL_SUBJECT_PACKAGE_PRECEDENCE | STALE_MASTER_HASH_SUPERSEDED | Canonical SHA/path from physical v0.77 companion and matching assets ZIP.</x:v>
      </x:c>
      <x:c r="S1265" t="e">
        <x:f>HYPERLINK("visual_gallery/index.html#"&amp;A1265,"Галерея")</x:f>
      </x:c>
    </x:row>
    <x:row r="1266">
      <x:c r="A1266" s="87" t="str">
        <x:v>VIS-INF-OCT-013</x:v>
      </x:c>
      <x:c r="B1266" s="30" t="str">
        <x:v>Информатика</x:v>
      </x:c>
      <x:c r="C1266" s="30" t="str">
        <x:v>ИН2510101: полная страница 15 с условиями заданий 22</x:v>
      </x:c>
      <x:c r="D1266" s="30" t="str">
        <x:v>ИН2510101</x:v>
      </x:c>
      <x:c r="E1266" s="87"/>
      <x:c r="F1266" s="30" t="str">
        <x:v>Zadanie_IN11_23102025_.pdf</x:v>
      </x:c>
      <x:c r="G1266" s="87" t="str">
        <x:v>15</x:v>
      </x:c>
      <x:c r="H1266" s="87" t="str">
        <x:v>v0.77</x:v>
      </x:c>
      <x:c r="I1266" s="87" t="str">
        <x:v>1</x:v>
      </x:c>
      <x:c r="J1266" s="30" t="str">
        <x:v>VIS_ID</x:v>
      </x:c>
      <x:c r="K1266" s="30" t="str">
        <x:v>OCT-INF-V1-022</x:v>
      </x:c>
      <x:c r="L1266" s="87" t="str">
        <x:v>CROP_VERIFIED</x:v>
      </x:c>
      <x:c r="M1266" s="87" t="str">
        <x:v>ORIGINAL_SUBJECT_PACKAGE</x:v>
      </x:c>
      <x:c r="N1266" s="87"/>
      <x:c r="O1266" s="87"/>
      <x:c r="P1266" s="87" t="str">
        <x:v>fbb26583df248e12a8c7586f89bebaa6c7828c42c6a61f2d2de0146cc72a911d</x:v>
      </x:c>
      <x:c r="Q1266" s="30" t="str">
        <x:v>incoming/raw/recovery-drop-03/inf_oct_visual_assets_v077(1).zip!/assets_v077/full/VIS-INF-OCT-013_full.jpg</x:v>
      </x:c>
      <x:c r="R1266" s="30" t="str">
        <x:v>PHYSICAL_SUBJECT_PACKAGE_PRECEDENCE | STALE_MASTER_HASH_SUPERSEDED | Canonical SHA/path from physical v0.77 companion and matching assets ZIP.</x:v>
      </x:c>
      <x:c r="S1266" t="e">
        <x:f>HYPERLINK("visual_gallery/index.html#"&amp;A1266,"Галерея")</x:f>
      </x:c>
    </x:row>
    <x:row r="1267">
      <x:c r="A1267" s="87" t="str">
        <x:v>VIS-INF-OCT-014</x:v>
      </x:c>
      <x:c r="B1267" s="30" t="str">
        <x:v>Информатика</x:v>
      </x:c>
      <x:c r="C1267" s="30" t="str">
        <x:v>ИН2510101: полная страница 16 с условиями заданий 23, 24, 25</x:v>
      </x:c>
      <x:c r="D1267" s="30" t="str">
        <x:v>ИН2510101</x:v>
      </x:c>
      <x:c r="E1267" s="87"/>
      <x:c r="F1267" s="30" t="str">
        <x:v>Zadanie_IN11_23102025_.pdf</x:v>
      </x:c>
      <x:c r="G1267" s="87" t="str">
        <x:v>16</x:v>
      </x:c>
      <x:c r="H1267" s="87" t="str">
        <x:v>v0.77</x:v>
      </x:c>
      <x:c r="I1267" s="87" t="str">
        <x:v>3</x:v>
      </x:c>
      <x:c r="J1267" s="30" t="str">
        <x:v>VIS_ID</x:v>
      </x:c>
      <x:c r="K1267" s="30" t="str">
        <x:v>OCT-INF-V1-023, OCT-INF-V1-024, OCT-INF-V1-025</x:v>
      </x:c>
      <x:c r="L1267" s="87" t="str">
        <x:v>CROP_VERIFIED</x:v>
      </x:c>
      <x:c r="M1267" s="87" t="str">
        <x:v>ORIGINAL_SUBJECT_PACKAGE</x:v>
      </x:c>
      <x:c r="N1267" s="87"/>
      <x:c r="O1267" s="87"/>
      <x:c r="P1267" s="87" t="str">
        <x:v>efbf43e25d7ac33d0e4f42e3467b489987bbe8d8afb5958ed18203486f259e43</x:v>
      </x:c>
      <x:c r="Q1267" s="30" t="str">
        <x:v>incoming/raw/recovery-drop-03/inf_oct_visual_assets_v077(1).zip!/assets_v077/full/VIS-INF-OCT-014_full.jpg</x:v>
      </x:c>
      <x:c r="R1267" s="30" t="str">
        <x:v>PHYSICAL_SUBJECT_PACKAGE_PRECEDENCE | STALE_MASTER_HASH_SUPERSEDED | Canonical SHA/path from physical v0.77 companion and matching assets ZIP.</x:v>
      </x:c>
      <x:c r="S1267" t="e">
        <x:f>HYPERLINK("visual_gallery/index.html#"&amp;A1267,"Галерея")</x:f>
      </x:c>
    </x:row>
    <x:row r="1268">
      <x:c r="A1268" s="87" t="str">
        <x:v>VIS-INF-OCT-015</x:v>
      </x:c>
      <x:c r="B1268" s="30" t="str">
        <x:v>Информатика</x:v>
      </x:c>
      <x:c r="C1268" s="30" t="str">
        <x:v>ИН2510101: полная страница 17 с условиями заданий 26</x:v>
      </x:c>
      <x:c r="D1268" s="30" t="str">
        <x:v>ИН2510101</x:v>
      </x:c>
      <x:c r="E1268" s="87"/>
      <x:c r="F1268" s="30" t="str">
        <x:v>Zadanie_IN11_23102025_.pdf</x:v>
      </x:c>
      <x:c r="G1268" s="87" t="str">
        <x:v>17</x:v>
      </x:c>
      <x:c r="H1268" s="87" t="str">
        <x:v>v0.77</x:v>
      </x:c>
      <x:c r="I1268" s="87" t="str">
        <x:v>1</x:v>
      </x:c>
      <x:c r="J1268" s="30" t="str">
        <x:v>VIS_ID</x:v>
      </x:c>
      <x:c r="K1268" s="30" t="str">
        <x:v>OCT-INF-V1-026</x:v>
      </x:c>
      <x:c r="L1268" s="87" t="str">
        <x:v>CROP_VERIFIED</x:v>
      </x:c>
      <x:c r="M1268" s="87" t="str">
        <x:v>ORIGINAL_SUBJECT_PACKAGE</x:v>
      </x:c>
      <x:c r="N1268" s="87"/>
      <x:c r="O1268" s="87"/>
      <x:c r="P1268" s="87" t="str">
        <x:v>dafc239a003fd678f1db448103c29a3aa070db513d9e17044e2f91c410c9945f</x:v>
      </x:c>
      <x:c r="Q1268" s="30" t="str">
        <x:v>incoming/raw/recovery-drop-03/inf_oct_visual_assets_v077(1).zip!/assets_v077/full/VIS-INF-OCT-015_full.jpg</x:v>
      </x:c>
      <x:c r="R1268" s="30" t="str">
        <x:v>PHYSICAL_SUBJECT_PACKAGE_PRECEDENCE | STALE_MASTER_HASH_SUPERSEDED | Canonical SHA/path from physical v0.77 companion and matching assets ZIP.</x:v>
      </x:c>
      <x:c r="S1268" t="e">
        <x:f>HYPERLINK("visual_gallery/index.html#"&amp;A1268,"Галерея")</x:f>
      </x:c>
    </x:row>
    <x:row r="1269">
      <x:c r="A1269" s="87" t="str">
        <x:v>VIS-INF-OCT-016</x:v>
      </x:c>
      <x:c r="B1269" s="30" t="str">
        <x:v>Информатика</x:v>
      </x:c>
      <x:c r="C1269" s="30" t="str">
        <x:v>ИН2510101: полная страница 18 с условиями заданий 27</x:v>
      </x:c>
      <x:c r="D1269" s="30" t="str">
        <x:v>ИН2510101</x:v>
      </x:c>
      <x:c r="E1269" s="87"/>
      <x:c r="F1269" s="30" t="str">
        <x:v>Zadanie_IN11_23102025_.pdf</x:v>
      </x:c>
      <x:c r="G1269" s="87" t="str">
        <x:v>18</x:v>
      </x:c>
      <x:c r="H1269" s="87" t="str">
        <x:v>v0.77</x:v>
      </x:c>
      <x:c r="I1269" s="87" t="str">
        <x:v>1</x:v>
      </x:c>
      <x:c r="J1269" s="30" t="str">
        <x:v>VIS_ID</x:v>
      </x:c>
      <x:c r="K1269" s="30" t="str">
        <x:v>OCT-INF-V1-027</x:v>
      </x:c>
      <x:c r="L1269" s="87" t="str">
        <x:v>CROP_VERIFIED</x:v>
      </x:c>
      <x:c r="M1269" s="87" t="str">
        <x:v>ORIGINAL_SUBJECT_PACKAGE</x:v>
      </x:c>
      <x:c r="N1269" s="87"/>
      <x:c r="O1269" s="87"/>
      <x:c r="P1269" s="87" t="str">
        <x:v>fc3b88631fdd82710f5acb4f48f2d2232adf277696e066fcbf23c18704440c03</x:v>
      </x:c>
      <x:c r="Q1269" s="30" t="str">
        <x:v>incoming/raw/recovery-drop-03/inf_oct_visual_assets_v077(1).zip!/assets_v077/full/VIS-INF-OCT-016_full.jpg</x:v>
      </x:c>
      <x:c r="R1269" s="30" t="str">
        <x:v>PHYSICAL_SUBJECT_PACKAGE_PRECEDENCE | STALE_MASTER_HASH_SUPERSEDED | Canonical SHA/path from physical v0.77 companion and matching assets ZIP.</x:v>
      </x:c>
      <x:c r="S1269" t="e">
        <x:f>HYPERLINK("visual_gallery/index.html#"&amp;A1269,"Галерея")</x:f>
      </x:c>
    </x:row>
    <x:row r="1270">
      <x:c r="A1270" s="87" t="str">
        <x:v>VIS-INF-OCT-017</x:v>
      </x:c>
      <x:c r="B1270" s="30" t="str">
        <x:v>Информатика</x:v>
      </x:c>
      <x:c r="C1270" s="30" t="str">
        <x:v>ИН2510101: полная страница 19 с условиями заданий 27</x:v>
      </x:c>
      <x:c r="D1270" s="30" t="str">
        <x:v>ИН2510101</x:v>
      </x:c>
      <x:c r="E1270" s="87"/>
      <x:c r="F1270" s="30" t="str">
        <x:v>Zadanie_IN11_23102025_.pdf</x:v>
      </x:c>
      <x:c r="G1270" s="87" t="str">
        <x:v>19</x:v>
      </x:c>
      <x:c r="H1270" s="87" t="str">
        <x:v>v0.77</x:v>
      </x:c>
      <x:c r="I1270" s="87" t="str">
        <x:v>1</x:v>
      </x:c>
      <x:c r="J1270" s="30" t="str">
        <x:v>VIS_ID</x:v>
      </x:c>
      <x:c r="K1270" s="30" t="str">
        <x:v>OCT-INF-V1-027</x:v>
      </x:c>
      <x:c r="L1270" s="87" t="str">
        <x:v>CROP_VERIFIED</x:v>
      </x:c>
      <x:c r="M1270" s="87" t="str">
        <x:v>ORIGINAL_SUBJECT_PACKAGE</x:v>
      </x:c>
      <x:c r="N1270" s="87"/>
      <x:c r="O1270" s="87"/>
      <x:c r="P1270" s="87" t="str">
        <x:v>9f83a36f42bf13b235d8029934644047799a7ba77ef9ef85d505f02572d81630</x:v>
      </x:c>
      <x:c r="Q1270" s="30" t="str">
        <x:v>incoming/raw/recovery-drop-03/inf_oct_visual_assets_v077(1).zip!/assets_v077/full/VIS-INF-OCT-017_full.jpg</x:v>
      </x:c>
      <x:c r="R1270" s="30" t="str">
        <x:v>PHYSICAL_SUBJECT_PACKAGE_PRECEDENCE | STALE_MASTER_HASH_SUPERSEDED | Canonical SHA/path from physical v0.77 companion and matching assets ZIP.</x:v>
      </x:c>
      <x:c r="S1270" t="e">
        <x:f>HYPERLINK("visual_gallery/index.html#"&amp;A1270,"Галерея")</x:f>
      </x:c>
    </x:row>
    <x:row r="1271">
      <x:c r="A1271" s="87" t="str">
        <x:v>VIS-INF-OCT-018</x:v>
      </x:c>
      <x:c r="B1271" s="30" t="str">
        <x:v>Информатика</x:v>
      </x:c>
      <x:c r="C1271" s="30" t="str">
        <x:v>ИН2510102: полная страница 22 с условиями заданий 1</x:v>
      </x:c>
      <x:c r="D1271" s="30" t="str">
        <x:v>ИН2510102</x:v>
      </x:c>
      <x:c r="E1271" s="87"/>
      <x:c r="F1271" s="30" t="str">
        <x:v>Zadanie_IN11_23102025_.pdf</x:v>
      </x:c>
      <x:c r="G1271" s="87" t="str">
        <x:v>22</x:v>
      </x:c>
      <x:c r="H1271" s="87" t="str">
        <x:v>v0.77</x:v>
      </x:c>
      <x:c r="I1271" s="87" t="str">
        <x:v>1</x:v>
      </x:c>
      <x:c r="J1271" s="30" t="str">
        <x:v>VIS_ID</x:v>
      </x:c>
      <x:c r="K1271" s="30" t="str">
        <x:v>OCT-INF-V2-001</x:v>
      </x:c>
      <x:c r="L1271" s="87" t="str">
        <x:v>CROP_VERIFIED</x:v>
      </x:c>
      <x:c r="M1271" s="87" t="str">
        <x:v>ORIGINAL_SUBJECT_PACKAGE</x:v>
      </x:c>
      <x:c r="N1271" s="87"/>
      <x:c r="O1271" s="87"/>
      <x:c r="P1271" s="87" t="str">
        <x:v>35aa7901c23477e8ea6c00caec27e43277e82dd138f9ada1ee846c1a968cd00b</x:v>
      </x:c>
      <x:c r="Q1271" s="30" t="str">
        <x:v>incoming/raw/recovery-drop-03/inf_oct_visual_assets_v077(1).zip!/assets_v077/full/VIS-INF-OCT-018_full.jpg</x:v>
      </x:c>
      <x:c r="R1271" s="30" t="str">
        <x:v>PHYSICAL_SUBJECT_PACKAGE_PRECEDENCE | STALE_MASTER_HASH_SUPERSEDED | Canonical SHA/path from physical v0.77 companion and matching assets ZIP.</x:v>
      </x:c>
      <x:c r="S1271" t="e">
        <x:f>HYPERLINK("visual_gallery/index.html#"&amp;A1271,"Галерея")</x:f>
      </x:c>
    </x:row>
    <x:row r="1272">
      <x:c r="A1272" s="87" t="str">
        <x:v>VIS-INF-OCT-019</x:v>
      </x:c>
      <x:c r="B1272" s="30" t="str">
        <x:v>Информатика</x:v>
      </x:c>
      <x:c r="C1272" s="30" t="str">
        <x:v>ИН2510102: полная страница 23 с условиями заданий 2</x:v>
      </x:c>
      <x:c r="D1272" s="30" t="str">
        <x:v>ИН2510102</x:v>
      </x:c>
      <x:c r="E1272" s="87"/>
      <x:c r="F1272" s="30" t="str">
        <x:v>Zadanie_IN11_23102025_.pdf</x:v>
      </x:c>
      <x:c r="G1272" s="87" t="str">
        <x:v>23</x:v>
      </x:c>
      <x:c r="H1272" s="87" t="str">
        <x:v>v0.77</x:v>
      </x:c>
      <x:c r="I1272" s="87" t="str">
        <x:v>1</x:v>
      </x:c>
      <x:c r="J1272" s="30" t="str">
        <x:v>VIS_ID</x:v>
      </x:c>
      <x:c r="K1272" s="30" t="str">
        <x:v>OCT-INF-V2-002</x:v>
      </x:c>
      <x:c r="L1272" s="87" t="str">
        <x:v>CROP_VERIFIED</x:v>
      </x:c>
      <x:c r="M1272" s="87" t="str">
        <x:v>ORIGINAL_SUBJECT_PACKAGE</x:v>
      </x:c>
      <x:c r="N1272" s="87"/>
      <x:c r="O1272" s="87"/>
      <x:c r="P1272" s="87" t="str">
        <x:v>dc874231077b4aaf006af3a2587629dd7230a79e489faf6bd626bcdf49e067ea</x:v>
      </x:c>
      <x:c r="Q1272" s="30" t="str">
        <x:v>incoming/raw/recovery-drop-03/inf_oct_visual_assets_v077(1).zip!/assets_v077/full/VIS-INF-OCT-019_full.jpg</x:v>
      </x:c>
      <x:c r="R1272" s="30" t="str">
        <x:v>PHYSICAL_SUBJECT_PACKAGE_PRECEDENCE | STALE_MASTER_HASH_SUPERSEDED | Canonical SHA/path from physical v0.77 companion and matching assets ZIP.</x:v>
      </x:c>
      <x:c r="S1272" t="e">
        <x:f>HYPERLINK("visual_gallery/index.html#"&amp;A1272,"Галерея")</x:f>
      </x:c>
    </x:row>
    <x:row r="1273">
      <x:c r="A1273" s="87" t="str">
        <x:v>VIS-INF-OCT-020</x:v>
      </x:c>
      <x:c r="B1273" s="30" t="str">
        <x:v>Информатика</x:v>
      </x:c>
      <x:c r="C1273" s="30" t="str">
        <x:v>ИН2510102: полная страница 24 с условиями заданий 3</x:v>
      </x:c>
      <x:c r="D1273" s="30" t="str">
        <x:v>ИН2510102</x:v>
      </x:c>
      <x:c r="E1273" s="87"/>
      <x:c r="F1273" s="30" t="str">
        <x:v>Zadanie_IN11_23102025_.pdf</x:v>
      </x:c>
      <x:c r="G1273" s="87" t="str">
        <x:v>24</x:v>
      </x:c>
      <x:c r="H1273" s="87" t="str">
        <x:v>v0.77</x:v>
      </x:c>
      <x:c r="I1273" s="87" t="str">
        <x:v>1</x:v>
      </x:c>
      <x:c r="J1273" s="30" t="str">
        <x:v>VIS_ID</x:v>
      </x:c>
      <x:c r="K1273" s="30" t="str">
        <x:v>OCT-INF-V2-003</x:v>
      </x:c>
      <x:c r="L1273" s="87" t="str">
        <x:v>CROP_VERIFIED</x:v>
      </x:c>
      <x:c r="M1273" s="87" t="str">
        <x:v>ORIGINAL_SUBJECT_PACKAGE</x:v>
      </x:c>
      <x:c r="N1273" s="87"/>
      <x:c r="O1273" s="87"/>
      <x:c r="P1273" s="87" t="str">
        <x:v>a73cc64ff605924edb3140916be23bfe2a5639403cecbf7e72f961fad304582d</x:v>
      </x:c>
      <x:c r="Q1273" s="30" t="str">
        <x:v>incoming/raw/recovery-drop-03/inf_oct_visual_assets_v077(1).zip!/assets_v077/full/VIS-INF-OCT-020_full.jpg</x:v>
      </x:c>
      <x:c r="R1273" s="30" t="str">
        <x:v>PHYSICAL_SUBJECT_PACKAGE_PRECEDENCE | STALE_MASTER_HASH_SUPERSEDED | Canonical SHA/path from physical v0.77 companion and matching assets ZIP.</x:v>
      </x:c>
      <x:c r="S1273" t="e">
        <x:f>HYPERLINK("visual_gallery/index.html#"&amp;A1273,"Галерея")</x:f>
      </x:c>
    </x:row>
    <x:row r="1274">
      <x:c r="A1274" s="87" t="str">
        <x:v>VIS-INF-OCT-021</x:v>
      </x:c>
      <x:c r="B1274" s="30" t="str">
        <x:v>Информатика</x:v>
      </x:c>
      <x:c r="C1274" s="30" t="str">
        <x:v>ИН2510102: полная страница 25 с условиями заданий 4, 5</x:v>
      </x:c>
      <x:c r="D1274" s="30" t="str">
        <x:v>ИН2510102</x:v>
      </x:c>
      <x:c r="E1274" s="87"/>
      <x:c r="F1274" s="30" t="str">
        <x:v>Zadanie_IN11_23102025_.pdf</x:v>
      </x:c>
      <x:c r="G1274" s="87" t="str">
        <x:v>25</x:v>
      </x:c>
      <x:c r="H1274" s="87" t="str">
        <x:v>v0.77</x:v>
      </x:c>
      <x:c r="I1274" s="87" t="str">
        <x:v>2</x:v>
      </x:c>
      <x:c r="J1274" s="30" t="str">
        <x:v>VIS_ID</x:v>
      </x:c>
      <x:c r="K1274" s="30" t="str">
        <x:v>OCT-INF-V2-004, OCT-INF-V2-005</x:v>
      </x:c>
      <x:c r="L1274" s="87" t="str">
        <x:v>CROP_VERIFIED</x:v>
      </x:c>
      <x:c r="M1274" s="87" t="str">
        <x:v>ORIGINAL_SUBJECT_PACKAGE</x:v>
      </x:c>
      <x:c r="N1274" s="87"/>
      <x:c r="O1274" s="87"/>
      <x:c r="P1274" s="87" t="str">
        <x:v>33882a24f3471af4348beb998d6343b9ffb4e1e1efe95b7bbd38064cbbae82f9</x:v>
      </x:c>
      <x:c r="Q1274" s="30" t="str">
        <x:v>incoming/raw/recovery-drop-03/inf_oct_visual_assets_v077(1).zip!/assets_v077/full/VIS-INF-OCT-021_full.jpg</x:v>
      </x:c>
      <x:c r="R1274" s="30" t="str">
        <x:v>PHYSICAL_SUBJECT_PACKAGE_PRECEDENCE | STALE_MASTER_HASH_SUPERSEDED | Canonical SHA/path from physical v0.77 companion and matching assets ZIP.</x:v>
      </x:c>
      <x:c r="S1274" t="e">
        <x:f>HYPERLINK("visual_gallery/index.html#"&amp;A1274,"Галерея")</x:f>
      </x:c>
    </x:row>
    <x:row r="1275">
      <x:c r="A1275" s="87" t="str">
        <x:v>VIS-INF-OCT-022</x:v>
      </x:c>
      <x:c r="B1275" s="30" t="str">
        <x:v>Информатика</x:v>
      </x:c>
      <x:c r="C1275" s="30" t="str">
        <x:v>ИН2510102: полная страница 26 с условиями заданий 6, 7</x:v>
      </x:c>
      <x:c r="D1275" s="30" t="str">
        <x:v>ИН2510102</x:v>
      </x:c>
      <x:c r="E1275" s="87"/>
      <x:c r="F1275" s="30" t="str">
        <x:v>Zadanie_IN11_23102025_.pdf</x:v>
      </x:c>
      <x:c r="G1275" s="87" t="str">
        <x:v>26</x:v>
      </x:c>
      <x:c r="H1275" s="87" t="str">
        <x:v>v0.77</x:v>
      </x:c>
      <x:c r="I1275" s="87" t="str">
        <x:v>2</x:v>
      </x:c>
      <x:c r="J1275" s="30" t="str">
        <x:v>VIS_ID</x:v>
      </x:c>
      <x:c r="K1275" s="30" t="str">
        <x:v>OCT-INF-V2-006, OCT-INF-V2-007</x:v>
      </x:c>
      <x:c r="L1275" s="87" t="str">
        <x:v>CROP_VERIFIED</x:v>
      </x:c>
      <x:c r="M1275" s="87" t="str">
        <x:v>ORIGINAL_SUBJECT_PACKAGE</x:v>
      </x:c>
      <x:c r="N1275" s="87"/>
      <x:c r="O1275" s="87"/>
      <x:c r="P1275" s="87" t="str">
        <x:v>44488181638e400411f93689cd63e4e6284bbcaace7fd2f1066f6a010aa50259</x:v>
      </x:c>
      <x:c r="Q1275" s="30" t="str">
        <x:v>incoming/raw/recovery-drop-03/inf_oct_visual_assets_v077(1).zip!/assets_v077/full/VIS-INF-OCT-022_full.jpg</x:v>
      </x:c>
      <x:c r="R1275" s="30" t="str">
        <x:v>PHYSICAL_SUBJECT_PACKAGE_PRECEDENCE | STALE_MASTER_HASH_SUPERSEDED | Canonical SHA/path from physical v0.77 companion and matching assets ZIP.</x:v>
      </x:c>
      <x:c r="S1275" t="e">
        <x:f>HYPERLINK("visual_gallery/index.html#"&amp;A1275,"Галерея")</x:f>
      </x:c>
    </x:row>
    <x:row r="1276">
      <x:c r="A1276" s="87" t="str">
        <x:v>VIS-INF-OCT-023</x:v>
      </x:c>
      <x:c r="B1276" s="30" t="str">
        <x:v>Информатика</x:v>
      </x:c>
      <x:c r="C1276" s="30" t="str">
        <x:v>ИН2510102: полная страница 27 с условиями заданий 8, 9, 10, 11</x:v>
      </x:c>
      <x:c r="D1276" s="30" t="str">
        <x:v>ИН2510102</x:v>
      </x:c>
      <x:c r="E1276" s="87"/>
      <x:c r="F1276" s="30" t="str">
        <x:v>Zadanie_IN11_23102025_.pdf</x:v>
      </x:c>
      <x:c r="G1276" s="87" t="str">
        <x:v>27</x:v>
      </x:c>
      <x:c r="H1276" s="87" t="str">
        <x:v>v0.77</x:v>
      </x:c>
      <x:c r="I1276" s="87" t="str">
        <x:v>4</x:v>
      </x:c>
      <x:c r="J1276" s="30" t="str">
        <x:v>VIS_ID</x:v>
      </x:c>
      <x:c r="K1276" s="30" t="str">
        <x:v>OCT-INF-V2-008, OCT-INF-V2-009, OCT-INF-V2-010, OCT-INF-V2-011</x:v>
      </x:c>
      <x:c r="L1276" s="87" t="str">
        <x:v>CROP_VERIFIED</x:v>
      </x:c>
      <x:c r="M1276" s="87" t="str">
        <x:v>ORIGINAL_SUBJECT_PACKAGE</x:v>
      </x:c>
      <x:c r="N1276" s="87"/>
      <x:c r="O1276" s="87"/>
      <x:c r="P1276" s="87" t="str">
        <x:v>83f042190e21ad2ac8bbe3250772ffd59f95b8e9aa26aa31ab5488e503cf844d</x:v>
      </x:c>
      <x:c r="Q1276" s="30" t="str">
        <x:v>incoming/raw/recovery-drop-03/inf_oct_visual_assets_v077(1).zip!/assets_v077/full/VIS-INF-OCT-023_full.jpg</x:v>
      </x:c>
      <x:c r="R1276" s="30" t="str">
        <x:v>PHYSICAL_SUBJECT_PACKAGE_PRECEDENCE | STALE_MASTER_HASH_SUPERSEDED | Canonical SHA/path from physical v0.77 companion and matching assets ZIP.</x:v>
      </x:c>
      <x:c r="S1276" t="e">
        <x:f>HYPERLINK("visual_gallery/index.html#"&amp;A1276,"Галерея")</x:f>
      </x:c>
    </x:row>
    <x:row r="1277">
      <x:c r="A1277" s="87" t="str">
        <x:v>VIS-INF-OCT-024</x:v>
      </x:c>
      <x:c r="B1277" s="30" t="str">
        <x:v>Информатика</x:v>
      </x:c>
      <x:c r="C1277" s="30" t="str">
        <x:v>ИН2510102: полная страница 28 с условиями заданий 12</x:v>
      </x:c>
      <x:c r="D1277" s="30" t="str">
        <x:v>ИН2510102</x:v>
      </x:c>
      <x:c r="E1277" s="87"/>
      <x:c r="F1277" s="30" t="str">
        <x:v>Zadanie_IN11_23102025_.pdf</x:v>
      </x:c>
      <x:c r="G1277" s="87" t="str">
        <x:v>28</x:v>
      </x:c>
      <x:c r="H1277" s="87" t="str">
        <x:v>v0.77</x:v>
      </x:c>
      <x:c r="I1277" s="87" t="str">
        <x:v>1</x:v>
      </x:c>
      <x:c r="J1277" s="30" t="str">
        <x:v>VIS_ID</x:v>
      </x:c>
      <x:c r="K1277" s="30" t="str">
        <x:v>OCT-INF-V2-012</x:v>
      </x:c>
      <x:c r="L1277" s="87" t="str">
        <x:v>CROP_VERIFIED</x:v>
      </x:c>
      <x:c r="M1277" s="87" t="str">
        <x:v>ORIGINAL_SUBJECT_PACKAGE</x:v>
      </x:c>
      <x:c r="N1277" s="87"/>
      <x:c r="O1277" s="87"/>
      <x:c r="P1277" s="87" t="str">
        <x:v>91ff4215d13a1050c039a20c4c1013eccfdbe4512c99c69ca96bdb402cdfe294</x:v>
      </x:c>
      <x:c r="Q1277" s="30" t="str">
        <x:v>incoming/raw/recovery-drop-03/inf_oct_visual_assets_v077(1).zip!/assets_v077/full/VIS-INF-OCT-024_full.jpg</x:v>
      </x:c>
      <x:c r="R1277" s="30" t="str">
        <x:v>PHYSICAL_SUBJECT_PACKAGE_PRECEDENCE | STALE_MASTER_HASH_SUPERSEDED | Canonical SHA/path from physical v0.77 companion and matching assets ZIP.</x:v>
      </x:c>
      <x:c r="S1277" t="e">
        <x:f>HYPERLINK("visual_gallery/index.html#"&amp;A1277,"Галерея")</x:f>
      </x:c>
    </x:row>
    <x:row r="1278">
      <x:c r="A1278" s="87" t="str">
        <x:v>VIS-INF-OCT-025</x:v>
      </x:c>
      <x:c r="B1278" s="30" t="str">
        <x:v>Информатика</x:v>
      </x:c>
      <x:c r="C1278" s="30" t="str">
        <x:v>ИН2510102: полная страница 29 с условиями заданий 12</x:v>
      </x:c>
      <x:c r="D1278" s="30" t="str">
        <x:v>ИН2510102</x:v>
      </x:c>
      <x:c r="E1278" s="87"/>
      <x:c r="F1278" s="30" t="str">
        <x:v>Zadanie_IN11_23102025_.pdf</x:v>
      </x:c>
      <x:c r="G1278" s="87" t="str">
        <x:v>29</x:v>
      </x:c>
      <x:c r="H1278" s="87" t="str">
        <x:v>v0.77</x:v>
      </x:c>
      <x:c r="I1278" s="87" t="str">
        <x:v>1</x:v>
      </x:c>
      <x:c r="J1278" s="30" t="str">
        <x:v>VIS_ID</x:v>
      </x:c>
      <x:c r="K1278" s="30" t="str">
        <x:v>OCT-INF-V2-012</x:v>
      </x:c>
      <x:c r="L1278" s="87" t="str">
        <x:v>CROP_VERIFIED</x:v>
      </x:c>
      <x:c r="M1278" s="87" t="str">
        <x:v>ORIGINAL_SUBJECT_PACKAGE</x:v>
      </x:c>
      <x:c r="N1278" s="87"/>
      <x:c r="O1278" s="87"/>
      <x:c r="P1278" s="87" t="str">
        <x:v>8e9138c9c412fc7b37f5f998932ce7cc7d5e7199fbd6c3b4c3a350770f3506d1</x:v>
      </x:c>
      <x:c r="Q1278" s="30" t="str">
        <x:v>incoming/raw/recovery-drop-03/inf_oct_visual_assets_v077(1).zip!/assets_v077/full/VIS-INF-OCT-025_full.jpg</x:v>
      </x:c>
      <x:c r="R1278" s="30" t="str">
        <x:v>PHYSICAL_SUBJECT_PACKAGE_PRECEDENCE | STALE_MASTER_HASH_SUPERSEDED | Canonical SHA/path from physical v0.77 companion and matching assets ZIP.</x:v>
      </x:c>
      <x:c r="S1278" t="e">
        <x:f>HYPERLINK("visual_gallery/index.html#"&amp;A1278,"Галерея")</x:f>
      </x:c>
    </x:row>
    <x:row r="1279">
      <x:c r="A1279" s="87" t="str">
        <x:v>VIS-INF-OCT-026</x:v>
      </x:c>
      <x:c r="B1279" s="30" t="str">
        <x:v>Информатика</x:v>
      </x:c>
      <x:c r="C1279" s="30" t="str">
        <x:v>ИН2510102: полная страница 30 с условиями заданий 13, 14, 15</x:v>
      </x:c>
      <x:c r="D1279" s="30" t="str">
        <x:v>ИН2510102</x:v>
      </x:c>
      <x:c r="E1279" s="87"/>
      <x:c r="F1279" s="30" t="str">
        <x:v>Zadanie_IN11_23102025_.pdf</x:v>
      </x:c>
      <x:c r="G1279" s="87" t="str">
        <x:v>30</x:v>
      </x:c>
      <x:c r="H1279" s="87" t="str">
        <x:v>v0.77</x:v>
      </x:c>
      <x:c r="I1279" s="87" t="str">
        <x:v>3</x:v>
      </x:c>
      <x:c r="J1279" s="30" t="str">
        <x:v>VIS_ID</x:v>
      </x:c>
      <x:c r="K1279" s="30" t="str">
        <x:v>OCT-INF-V2-013, OCT-INF-V2-014, OCT-INF-V2-015</x:v>
      </x:c>
      <x:c r="L1279" s="87" t="str">
        <x:v>CROP_VERIFIED</x:v>
      </x:c>
      <x:c r="M1279" s="87" t="str">
        <x:v>ORIGINAL_SUBJECT_PACKAGE</x:v>
      </x:c>
      <x:c r="N1279" s="87"/>
      <x:c r="O1279" s="87"/>
      <x:c r="P1279" s="87" t="str">
        <x:v>7ca4460048d105455860b1583281abc64db445f06ccc3d2efc7fbe4a9f774104</x:v>
      </x:c>
      <x:c r="Q1279" s="30" t="str">
        <x:v>incoming/raw/recovery-drop-03/inf_oct_visual_assets_v077(1).zip!/assets_v077/full/VIS-INF-OCT-026_full.jpg</x:v>
      </x:c>
      <x:c r="R1279" s="30" t="str">
        <x:v>PHYSICAL_SUBJECT_PACKAGE_PRECEDENCE | STALE_MASTER_HASH_SUPERSEDED | Canonical SHA/path from physical v0.77 companion and matching assets ZIP.</x:v>
      </x:c>
      <x:c r="S1279" t="e">
        <x:f>HYPERLINK("visual_gallery/index.html#"&amp;A1279,"Галерея")</x:f>
      </x:c>
    </x:row>
    <x:row r="1280">
      <x:c r="A1280" s="87" t="str">
        <x:v>VIS-INF-OCT-027</x:v>
      </x:c>
      <x:c r="B1280" s="30" t="str">
        <x:v>Информатика</x:v>
      </x:c>
      <x:c r="C1280" s="30" t="str">
        <x:v>ИН2510102: полная страница 31 с условиями заданий 16, 17</x:v>
      </x:c>
      <x:c r="D1280" s="30" t="str">
        <x:v>ИН2510102</x:v>
      </x:c>
      <x:c r="E1280" s="87"/>
      <x:c r="F1280" s="30" t="str">
        <x:v>Zadanie_IN11_23102025_.pdf</x:v>
      </x:c>
      <x:c r="G1280" s="87" t="str">
        <x:v>31</x:v>
      </x:c>
      <x:c r="H1280" s="87" t="str">
        <x:v>v0.77</x:v>
      </x:c>
      <x:c r="I1280" s="87" t="str">
        <x:v>2</x:v>
      </x:c>
      <x:c r="J1280" s="30" t="str">
        <x:v>VIS_ID</x:v>
      </x:c>
      <x:c r="K1280" s="30" t="str">
        <x:v>OCT-INF-V2-016, OCT-INF-V2-017</x:v>
      </x:c>
      <x:c r="L1280" s="87" t="str">
        <x:v>CROP_VERIFIED</x:v>
      </x:c>
      <x:c r="M1280" s="87" t="str">
        <x:v>ORIGINAL_SUBJECT_PACKAGE</x:v>
      </x:c>
      <x:c r="N1280" s="87"/>
      <x:c r="O1280" s="87"/>
      <x:c r="P1280" s="87" t="str">
        <x:v>06e6cbfd306aad815bfb0daebf6f9c972243037703f76702d83b4668439e3714</x:v>
      </x:c>
      <x:c r="Q1280" s="30" t="str">
        <x:v>incoming/raw/recovery-drop-03/inf_oct_visual_assets_v077(1).zip!/assets_v077/full/VIS-INF-OCT-027_full.jpg</x:v>
      </x:c>
      <x:c r="R1280" s="30" t="str">
        <x:v>PHYSICAL_SUBJECT_PACKAGE_PRECEDENCE | STALE_MASTER_HASH_SUPERSEDED | Canonical SHA/path from physical v0.77 companion and matching assets ZIP.</x:v>
      </x:c>
      <x:c r="S1280" t="e">
        <x:f>HYPERLINK("visual_gallery/index.html#"&amp;A1280,"Галерея")</x:f>
      </x:c>
    </x:row>
    <x:row r="1281">
      <x:c r="A1281" s="87" t="str">
        <x:v>VIS-INF-OCT-028</x:v>
      </x:c>
      <x:c r="B1281" s="30" t="str">
        <x:v>Информатика</x:v>
      </x:c>
      <x:c r="C1281" s="30" t="str">
        <x:v>ИН2510102: полная страница 32 с условиями заданий 18</x:v>
      </x:c>
      <x:c r="D1281" s="30" t="str">
        <x:v>ИН2510102</x:v>
      </x:c>
      <x:c r="E1281" s="87"/>
      <x:c r="F1281" s="30" t="str">
        <x:v>Zadanie_IN11_23102025_.pdf</x:v>
      </x:c>
      <x:c r="G1281" s="87" t="str">
        <x:v>32</x:v>
      </x:c>
      <x:c r="H1281" s="87" t="str">
        <x:v>v0.77</x:v>
      </x:c>
      <x:c r="I1281" s="87" t="str">
        <x:v>1</x:v>
      </x:c>
      <x:c r="J1281" s="30" t="str">
        <x:v>VIS_ID</x:v>
      </x:c>
      <x:c r="K1281" s="30" t="str">
        <x:v>OCT-INF-V2-018</x:v>
      </x:c>
      <x:c r="L1281" s="87" t="str">
        <x:v>CROP_VERIFIED</x:v>
      </x:c>
      <x:c r="M1281" s="87" t="str">
        <x:v>ORIGINAL_SUBJECT_PACKAGE</x:v>
      </x:c>
      <x:c r="N1281" s="87"/>
      <x:c r="O1281" s="87"/>
      <x:c r="P1281" s="87" t="str">
        <x:v>732d378960e030278e2b758dc4eb3f5ce80f0e120be990743c8b2bc17ca8ba12</x:v>
      </x:c>
      <x:c r="Q1281" s="30" t="str">
        <x:v>incoming/raw/recovery-drop-03/inf_oct_visual_assets_v077(1).zip!/assets_v077/full/VIS-INF-OCT-028_full.jpg</x:v>
      </x:c>
      <x:c r="R1281" s="30" t="str">
        <x:v>PHYSICAL_SUBJECT_PACKAGE_PRECEDENCE | STALE_MASTER_HASH_SUPERSEDED | Canonical SHA/path from physical v0.77 companion and matching assets ZIP.</x:v>
      </x:c>
      <x:c r="S1281" t="e">
        <x:f>HYPERLINK("visual_gallery/index.html#"&amp;A1281,"Галерея")</x:f>
      </x:c>
    </x:row>
    <x:row r="1282">
      <x:c r="A1282" s="87" t="str">
        <x:v>VIS-INF-OCT-029</x:v>
      </x:c>
      <x:c r="B1282" s="30" t="str">
        <x:v>Информатика</x:v>
      </x:c>
      <x:c r="C1282" s="30" t="str">
        <x:v>ИН2510102: полная страница 33 с условиями заданий 19, 20, 21</x:v>
      </x:c>
      <x:c r="D1282" s="30" t="str">
        <x:v>ИН2510102</x:v>
      </x:c>
      <x:c r="E1282" s="87"/>
      <x:c r="F1282" s="30" t="str">
        <x:v>Zadanie_IN11_23102025_.pdf</x:v>
      </x:c>
      <x:c r="G1282" s="87" t="str">
        <x:v>33</x:v>
      </x:c>
      <x:c r="H1282" s="87" t="str">
        <x:v>v0.77</x:v>
      </x:c>
      <x:c r="I1282" s="87" t="str">
        <x:v>3</x:v>
      </x:c>
      <x:c r="J1282" s="30" t="str">
        <x:v>VIS_ID</x:v>
      </x:c>
      <x:c r="K1282" s="30" t="str">
        <x:v>OCT-INF-V2-019, OCT-INF-V2-020, OCT-INF-V2-021</x:v>
      </x:c>
      <x:c r="L1282" s="87" t="str">
        <x:v>CROP_VERIFIED</x:v>
      </x:c>
      <x:c r="M1282" s="87" t="str">
        <x:v>ORIGINAL_SUBJECT_PACKAGE</x:v>
      </x:c>
      <x:c r="N1282" s="87"/>
      <x:c r="O1282" s="87"/>
      <x:c r="P1282" s="87" t="str">
        <x:v>c7ea0ddcc5d4b8dcfcd4a8dd9e52fde4ccf50e80b9284688948883a2bfa6ffae</x:v>
      </x:c>
      <x:c r="Q1282" s="30" t="str">
        <x:v>incoming/raw/recovery-drop-03/inf_oct_visual_assets_v077(1).zip!/assets_v077/full/VIS-INF-OCT-029_full.jpg</x:v>
      </x:c>
      <x:c r="R1282" s="30" t="str">
        <x:v>PHYSICAL_SUBJECT_PACKAGE_PRECEDENCE | STALE_MASTER_HASH_SUPERSEDED | Canonical SHA/path from physical v0.77 companion and matching assets ZIP.</x:v>
      </x:c>
      <x:c r="S1282" t="e">
        <x:f>HYPERLINK("visual_gallery/index.html#"&amp;A1282,"Галерея")</x:f>
      </x:c>
    </x:row>
    <x:row r="1283">
      <x:c r="A1283" s="87" t="str">
        <x:v>VIS-INF-OCT-030</x:v>
      </x:c>
      <x:c r="B1283" s="30" t="str">
        <x:v>Информатика</x:v>
      </x:c>
      <x:c r="C1283" s="30" t="str">
        <x:v>ИН2510102: полная страница 34 с условиями заданий 22</x:v>
      </x:c>
      <x:c r="D1283" s="30" t="str">
        <x:v>ИН2510102</x:v>
      </x:c>
      <x:c r="E1283" s="87"/>
      <x:c r="F1283" s="30" t="str">
        <x:v>Zadanie_IN11_23102025_.pdf</x:v>
      </x:c>
      <x:c r="G1283" s="87" t="str">
        <x:v>34</x:v>
      </x:c>
      <x:c r="H1283" s="87" t="str">
        <x:v>v0.77</x:v>
      </x:c>
      <x:c r="I1283" s="87" t="str">
        <x:v>1</x:v>
      </x:c>
      <x:c r="J1283" s="30" t="str">
        <x:v>VIS_ID</x:v>
      </x:c>
      <x:c r="K1283" s="30" t="str">
        <x:v>OCT-INF-V2-022</x:v>
      </x:c>
      <x:c r="L1283" s="87" t="str">
        <x:v>CROP_VERIFIED</x:v>
      </x:c>
      <x:c r="M1283" s="87" t="str">
        <x:v>ORIGINAL_SUBJECT_PACKAGE</x:v>
      </x:c>
      <x:c r="N1283" s="87"/>
      <x:c r="O1283" s="87"/>
      <x:c r="P1283" s="87" t="str">
        <x:v>f8a721888671df3df16a4f263c424bc124bda9af607f4501a766a749bbc842a0</x:v>
      </x:c>
      <x:c r="Q1283" s="30" t="str">
        <x:v>incoming/raw/recovery-drop-03/inf_oct_visual_assets_v077(1).zip!/assets_v077/full/VIS-INF-OCT-030_full.jpg</x:v>
      </x:c>
      <x:c r="R1283" s="30" t="str">
        <x:v>PHYSICAL_SUBJECT_PACKAGE_PRECEDENCE | STALE_MASTER_HASH_SUPERSEDED | Canonical SHA/path from physical v0.77 companion and matching assets ZIP.</x:v>
      </x:c>
      <x:c r="S1283" t="e">
        <x:f>HYPERLINK("visual_gallery/index.html#"&amp;A1283,"Галерея")</x:f>
      </x:c>
    </x:row>
    <x:row r="1284">
      <x:c r="A1284" s="87" t="str">
        <x:v>VIS-INF-OCT-031</x:v>
      </x:c>
      <x:c r="B1284" s="30" t="str">
        <x:v>Информатика</x:v>
      </x:c>
      <x:c r="C1284" s="30" t="str">
        <x:v>ИН2510102: полная страница 35 с условиями заданий 23, 24, 25</x:v>
      </x:c>
      <x:c r="D1284" s="30" t="str">
        <x:v>ИН2510102</x:v>
      </x:c>
      <x:c r="E1284" s="87"/>
      <x:c r="F1284" s="30" t="str">
        <x:v>Zadanie_IN11_23102025_.pdf</x:v>
      </x:c>
      <x:c r="G1284" s="87" t="str">
        <x:v>35</x:v>
      </x:c>
      <x:c r="H1284" s="87" t="str">
        <x:v>v0.77</x:v>
      </x:c>
      <x:c r="I1284" s="87" t="str">
        <x:v>3</x:v>
      </x:c>
      <x:c r="J1284" s="30" t="str">
        <x:v>VIS_ID</x:v>
      </x:c>
      <x:c r="K1284" s="30" t="str">
        <x:v>OCT-INF-V2-023, OCT-INF-V2-024, OCT-INF-V2-025</x:v>
      </x:c>
      <x:c r="L1284" s="87" t="str">
        <x:v>CROP_VERIFIED</x:v>
      </x:c>
      <x:c r="M1284" s="87" t="str">
        <x:v>ORIGINAL_SUBJECT_PACKAGE</x:v>
      </x:c>
      <x:c r="N1284" s="87"/>
      <x:c r="O1284" s="87"/>
      <x:c r="P1284" s="87" t="str">
        <x:v>5f58d7729683f8bc85d35528bcdf25f3edd2392a399417b8be17e8b919a059b6</x:v>
      </x:c>
      <x:c r="Q1284" s="30" t="str">
        <x:v>incoming/raw/recovery-drop-03/inf_oct_visual_assets_v077(1).zip!/assets_v077/full/VIS-INF-OCT-031_full.jpg</x:v>
      </x:c>
      <x:c r="R1284" s="30" t="str">
        <x:v>PHYSICAL_SUBJECT_PACKAGE_PRECEDENCE | STALE_MASTER_HASH_SUPERSEDED | Canonical SHA/path from physical v0.77 companion and matching assets ZIP.</x:v>
      </x:c>
      <x:c r="S1284" t="e">
        <x:f>HYPERLINK("visual_gallery/index.html#"&amp;A1284,"Галерея")</x:f>
      </x:c>
    </x:row>
    <x:row r="1285">
      <x:c r="A1285" s="87" t="str">
        <x:v>VIS-INF-OCT-032</x:v>
      </x:c>
      <x:c r="B1285" s="30" t="str">
        <x:v>Информатика</x:v>
      </x:c>
      <x:c r="C1285" s="30" t="str">
        <x:v>ИН2510102: полная страница 36 с условиями заданий 26</x:v>
      </x:c>
      <x:c r="D1285" s="30" t="str">
        <x:v>ИН2510102</x:v>
      </x:c>
      <x:c r="E1285" s="87"/>
      <x:c r="F1285" s="30" t="str">
        <x:v>Zadanie_IN11_23102025_.pdf</x:v>
      </x:c>
      <x:c r="G1285" s="87" t="str">
        <x:v>36</x:v>
      </x:c>
      <x:c r="H1285" s="87" t="str">
        <x:v>v0.77</x:v>
      </x:c>
      <x:c r="I1285" s="87" t="str">
        <x:v>1</x:v>
      </x:c>
      <x:c r="J1285" s="30" t="str">
        <x:v>VIS_ID</x:v>
      </x:c>
      <x:c r="K1285" s="30" t="str">
        <x:v>OCT-INF-V2-026</x:v>
      </x:c>
      <x:c r="L1285" s="87" t="str">
        <x:v>CROP_VERIFIED</x:v>
      </x:c>
      <x:c r="M1285" s="87" t="str">
        <x:v>ORIGINAL_SUBJECT_PACKAGE</x:v>
      </x:c>
      <x:c r="N1285" s="87"/>
      <x:c r="O1285" s="87"/>
      <x:c r="P1285" s="87" t="str">
        <x:v>8dacbd3fbdb9aad843c33c8743e4c7fc502d1d60fad37380af021fe9e2d67727</x:v>
      </x:c>
      <x:c r="Q1285" s="30" t="str">
        <x:v>incoming/raw/recovery-drop-03/inf_oct_visual_assets_v077(1).zip!/assets_v077/full/VIS-INF-OCT-032_full.jpg</x:v>
      </x:c>
      <x:c r="R1285" s="30" t="str">
        <x:v>PHYSICAL_SUBJECT_PACKAGE_PRECEDENCE | STALE_MASTER_HASH_SUPERSEDED | Canonical SHA/path from physical v0.77 companion and matching assets ZIP.</x:v>
      </x:c>
      <x:c r="S1285" t="e">
        <x:f>HYPERLINK("visual_gallery/index.html#"&amp;A1285,"Галерея")</x:f>
      </x:c>
    </x:row>
    <x:row r="1286">
      <x:c r="A1286" s="87" t="str">
        <x:v>VIS-INF-OCT-033</x:v>
      </x:c>
      <x:c r="B1286" s="30" t="str">
        <x:v>Информатика</x:v>
      </x:c>
      <x:c r="C1286" s="30" t="str">
        <x:v>ИН2510102: полная страница 37 с условиями заданий 27</x:v>
      </x:c>
      <x:c r="D1286" s="30" t="str">
        <x:v>ИН2510102</x:v>
      </x:c>
      <x:c r="E1286" s="87"/>
      <x:c r="F1286" s="30" t="str">
        <x:v>Zadanie_IN11_23102025_.pdf</x:v>
      </x:c>
      <x:c r="G1286" s="87" t="str">
        <x:v>37</x:v>
      </x:c>
      <x:c r="H1286" s="87" t="str">
        <x:v>v0.77</x:v>
      </x:c>
      <x:c r="I1286" s="87" t="str">
        <x:v>1</x:v>
      </x:c>
      <x:c r="J1286" s="30" t="str">
        <x:v>VIS_ID</x:v>
      </x:c>
      <x:c r="K1286" s="30" t="str">
        <x:v>OCT-INF-V2-027</x:v>
      </x:c>
      <x:c r="L1286" s="87" t="str">
        <x:v>CROP_VERIFIED</x:v>
      </x:c>
      <x:c r="M1286" s="87" t="str">
        <x:v>ORIGINAL_SUBJECT_PACKAGE</x:v>
      </x:c>
      <x:c r="N1286" s="87"/>
      <x:c r="O1286" s="87"/>
      <x:c r="P1286" s="87" t="str">
        <x:v>ed26157fc5ca6de9a8efe0ca8d4f56eb82368b0122cd030508f0ea65aa411ba7</x:v>
      </x:c>
      <x:c r="Q1286" s="30" t="str">
        <x:v>incoming/raw/recovery-drop-03/inf_oct_visual_assets_v077(1).zip!/assets_v077/full/VIS-INF-OCT-033_full.jpg</x:v>
      </x:c>
      <x:c r="R1286" s="30" t="str">
        <x:v>PHYSICAL_SUBJECT_PACKAGE_PRECEDENCE | STALE_MASTER_HASH_SUPERSEDED | Canonical SHA/path from physical v0.77 companion and matching assets ZIP.</x:v>
      </x:c>
      <x:c r="S1286" t="e">
        <x:f>HYPERLINK("visual_gallery/index.html#"&amp;A1286,"Галерея")</x:f>
      </x:c>
    </x:row>
    <x:row r="1287">
      <x:c r="A1287" s="87" t="str">
        <x:v>VIS-INF-OCT-034</x:v>
      </x:c>
      <x:c r="B1287" s="30" t="str">
        <x:v>Информатика</x:v>
      </x:c>
      <x:c r="C1287" s="30" t="str">
        <x:v>ИН2510102: полная страница 38 с условиями заданий 27</x:v>
      </x:c>
      <x:c r="D1287" s="30" t="str">
        <x:v>ИН2510102</x:v>
      </x:c>
      <x:c r="E1287" s="87"/>
      <x:c r="F1287" s="30" t="str">
        <x:v>Zadanie_IN11_23102025_.pdf</x:v>
      </x:c>
      <x:c r="G1287" s="87" t="str">
        <x:v>38</x:v>
      </x:c>
      <x:c r="H1287" s="87" t="str">
        <x:v>v0.77</x:v>
      </x:c>
      <x:c r="I1287" s="87" t="str">
        <x:v>1</x:v>
      </x:c>
      <x:c r="J1287" s="30" t="str">
        <x:v>VIS_ID</x:v>
      </x:c>
      <x:c r="K1287" s="30" t="str">
        <x:v>OCT-INF-V2-027</x:v>
      </x:c>
      <x:c r="L1287" s="87" t="str">
        <x:v>CROP_VERIFIED</x:v>
      </x:c>
      <x:c r="M1287" s="87" t="str">
        <x:v>ORIGINAL_SUBJECT_PACKAGE</x:v>
      </x:c>
      <x:c r="N1287" s="87"/>
      <x:c r="O1287" s="87"/>
      <x:c r="P1287" s="87" t="str">
        <x:v>34a7cdecc0576bb1b2344d2bbd7bfeac19c024ac5b09efd563b8bbb79bbc438d</x:v>
      </x:c>
      <x:c r="Q1287" s="30" t="str">
        <x:v>incoming/raw/recovery-drop-03/inf_oct_visual_assets_v077(1).zip!/assets_v077/full/VIS-INF-OCT-034_full.jpg</x:v>
      </x:c>
      <x:c r="R1287" s="30" t="str">
        <x:v>PHYSICAL_SUBJECT_PACKAGE_PRECEDENCE | STALE_MASTER_HASH_SUPERSEDED | Canonical SHA/path from physical v0.77 companion and matching assets ZIP.</x:v>
      </x:c>
      <x:c r="S1287" t="e">
        <x:f>HYPERLINK("visual_gallery/index.html#"&amp;A1287,"Галерея")</x:f>
      </x:c>
    </x:row>
    <x:row r="1288">
      <x:c r="A1288" s="87" t="str">
        <x:v>VIS-LIT-DEC-001</x:v>
      </x:c>
      <x:c r="B1288" s="30" t="str"/>
      <x:c r="C1288" s="30" t="str">
        <x:v>Титульная страница и инструкция</x:v>
      </x:c>
      <x:c r="D1288" s="30" t="str">
        <x:v>ЛИ2510201</x:v>
      </x:c>
      <x:c r="E1288" s="87"/>
      <x:c r="F1288" s="30" t="str">
        <x:v>Zadanie_LI11_04122025.pdf</x:v>
      </x:c>
      <x:c r="G1288" s="87" t="str">
        <x:v>1</x:v>
      </x:c>
      <x:c r="H1288" s="87" t="str">
        <x:v>v0.85</x:v>
      </x:c>
      <x:c r="I1288" s="87" t="str">
        <x:v>0</x:v>
      </x:c>
      <x:c r="J1288" s="30" t="str"/>
      <x:c r="K1288" s="30" t="str"/>
      <x:c r="L1288" s="87" t="str">
        <x:v>CROP_VERIFIED</x:v>
      </x:c>
      <x:c r="M1288" s="87" t="str">
        <x:v>ORIGINAL_PACKAGE</x:v>
      </x:c>
      <x:c r="N1288" s="87"/>
      <x:c r="O1288" s="87"/>
      <x:c r="P1288" s="87" t="str">
        <x:v>ef4ed27ece14ba919d05cc841f225184519dae2af1a4ccc384f047c14448d047</x:v>
      </x:c>
      <x:c r="Q1288" s="30" t="str">
        <x:v>incoming/raw/recovery-drop-01/literature_dec_visual_assets_v085.zip!/full/VIS-LIT-DEC-001.png</x:v>
      </x:c>
      <x:c r="R1288" s="30" t="str">
        <x:v>RESOLVED_UNLINKED_REGISTRY_VISUAL</x:v>
      </x:c>
      <x:c r="S1288" t="e">
        <x:f>HYPERLINK("visual_gallery/index.html#"&amp;A1288,"Галерея")</x:f>
      </x:c>
    </x:row>
    <x:row r="1289">
      <x:c r="A1289" s="87" t="str">
        <x:v>VIS-LIT-DEC-002</x:v>
      </x:c>
      <x:c r="B1289" s="30" t="str"/>
      <x:c r="C1289" s="30" t="str">
        <x:v>Фрагмент романа Л.Н. Толстого «Война и мир»</x:v>
      </x:c>
      <x:c r="D1289" s="30" t="str">
        <x:v>ЛИ2510201</x:v>
      </x:c>
      <x:c r="E1289" s="87"/>
      <x:c r="F1289" s="30" t="str">
        <x:v>Zadanie_LI11_04122025.pdf</x:v>
      </x:c>
      <x:c r="G1289" s="87" t="str">
        <x:v>2</x:v>
      </x:c>
      <x:c r="H1289" s="87" t="str">
        <x:v>v0.85</x:v>
      </x:c>
      <x:c r="I1289" s="87" t="str">
        <x:v>0</x:v>
      </x:c>
      <x:c r="J1289" s="30" t="str"/>
      <x:c r="K1289" s="30" t="str"/>
      <x:c r="L1289" s="87" t="str">
        <x:v>CROP_VERIFIED</x:v>
      </x:c>
      <x:c r="M1289" s="87" t="str">
        <x:v>ORIGINAL_PACKAGE</x:v>
      </x:c>
      <x:c r="N1289" s="87"/>
      <x:c r="O1289" s="87"/>
      <x:c r="P1289" s="87" t="str">
        <x:v>68c2edeceebc390f39cc0010f87b51cc4828cb5c6872ff06011aeb9045fa01e2</x:v>
      </x:c>
      <x:c r="Q1289" s="30" t="str">
        <x:v>incoming/raw/recovery-drop-01/literature_dec_visual_assets_v085.zip!/full/VIS-LIT-DEC-002.png</x:v>
      </x:c>
      <x:c r="R1289" s="30" t="str">
        <x:v>RESOLVED_UNLINKED_REGISTRY_VISUAL</x:v>
      </x:c>
      <x:c r="S1289" t="e">
        <x:f>HYPERLINK("visual_gallery/index.html#"&amp;A1289,"Галерея")</x:f>
      </x:c>
    </x:row>
    <x:row r="1290">
      <x:c r="A1290" s="87" t="str">
        <x:v>VIS-LIT-DEC-003</x:v>
      </x:c>
      <x:c r="B1290" s="30" t="str">
        <x:v>Литература</x:v>
      </x:c>
      <x:c r="C1290" s="30" t="str">
        <x:v>Краткие задания по фрагменту «Войны и мира»</x:v>
      </x:c>
      <x:c r="D1290" s="30" t="str">
        <x:v>ЛИ2510201</x:v>
      </x:c>
      <x:c r="E1290" s="87"/>
      <x:c r="F1290" s="30" t="str">
        <x:v>Zadanie_LI11_04122025.pdf</x:v>
      </x:c>
      <x:c r="G1290" s="87" t="str">
        <x:v>3</x:v>
      </x:c>
      <x:c r="H1290" s="87" t="str">
        <x:v>v0.85</x:v>
      </x:c>
      <x:c r="I1290" s="87" t="str">
        <x:v>3</x:v>
      </x:c>
      <x:c r="J1290" s="30" t="str">
        <x:v>VIS_ID</x:v>
      </x:c>
      <x:c r="K1290" s="30" t="str">
        <x:v>DEC-LIT-V1-001, DEC-LIT-V1-002, DEC-LIT-V1-003</x:v>
      </x:c>
      <x:c r="L1290" s="87" t="str">
        <x:v>CROP_VERIFIED</x:v>
      </x:c>
      <x:c r="M1290" s="87" t="str">
        <x:v>ORIGINAL_PACKAGE</x:v>
      </x:c>
      <x:c r="N1290" s="87"/>
      <x:c r="O1290" s="87"/>
      <x:c r="P1290" s="87" t="str">
        <x:v>fd2e4195725f6749b2ae895512d364a66fde371fa428026e0cfe1eb55d701564</x:v>
      </x:c>
      <x:c r="Q1290" s="30" t="str">
        <x:v>incoming/raw/recovery-drop-01/literature_dec_visual_assets_v085.zip!/full/VIS-LIT-DEC-003.png</x:v>
      </x:c>
      <x:c r="R1290" s="30" t="str">
        <x:v>MATCHED_ASSET</x:v>
      </x:c>
      <x:c r="S1290" t="e">
        <x:f>HYPERLINK("visual_gallery/index.html#"&amp;A1290,"Галерея")</x:f>
      </x:c>
    </x:row>
    <x:row r="1291">
      <x:c r="A1291" s="87" t="str">
        <x:v>VIS-LIT-DEC-004</x:v>
      </x:c>
      <x:c r="B1291" s="30" t="str">
        <x:v>Литература</x:v>
      </x:c>
      <x:c r="C1291" s="30" t="str">
        <x:v>Развёрнутые задания по прозе и сопоставление</x:v>
      </x:c>
      <x:c r="D1291" s="30" t="str">
        <x:v>ЛИ2510201</x:v>
      </x:c>
      <x:c r="E1291" s="87"/>
      <x:c r="F1291" s="30" t="str">
        <x:v>Zadanie_LI11_04122025.pdf</x:v>
      </x:c>
      <x:c r="G1291" s="87" t="str">
        <x:v>4</x:v>
      </x:c>
      <x:c r="H1291" s="87" t="str">
        <x:v>v0.85</x:v>
      </x:c>
      <x:c r="I1291" s="87" t="str">
        <x:v>2</x:v>
      </x:c>
      <x:c r="J1291" s="30" t="str">
        <x:v>VIS_ID</x:v>
      </x:c>
      <x:c r="K1291" s="30" t="str">
        <x:v>DEC-LIT-V1-004, DEC-LIT-V1-005</x:v>
      </x:c>
      <x:c r="L1291" s="87" t="str">
        <x:v>CROP_VERIFIED</x:v>
      </x:c>
      <x:c r="M1291" s="87" t="str">
        <x:v>ORIGINAL_PACKAGE</x:v>
      </x:c>
      <x:c r="N1291" s="87"/>
      <x:c r="O1291" s="87"/>
      <x:c r="P1291" s="87" t="str">
        <x:v>9124d3bc1f423688ced4d1c75e67acdbbaed5b6699ff9b4ad2189932cacc078a</x:v>
      </x:c>
      <x:c r="Q1291" s="30" t="str">
        <x:v>incoming/raw/recovery-drop-01/literature_dec_visual_assets_v085.zip!/full/VIS-LIT-DEC-004.png</x:v>
      </x:c>
      <x:c r="R1291" s="30" t="str">
        <x:v>MATCHED_ASSET</x:v>
      </x:c>
      <x:c r="S1291" t="e">
        <x:f>HYPERLINK("visual_gallery/index.html#"&amp;A1291,"Галерея")</x:f>
      </x:c>
    </x:row>
    <x:row r="1292">
      <x:c r="A1292" s="87" t="str">
        <x:v>VIS-LIT-DEC-005</x:v>
      </x:c>
      <x:c r="B1292" s="30" t="str">
        <x:v>Литература</x:v>
      </x:c>
      <x:c r="C1292" s="30" t="str">
        <x:v>Сонет К.Д. Бальмонта «Август» и задания 6–7</x:v>
      </x:c>
      <x:c r="D1292" s="30" t="str">
        <x:v>ЛИ2510201</x:v>
      </x:c>
      <x:c r="E1292" s="87"/>
      <x:c r="F1292" s="30" t="str">
        <x:v>Zadanie_LI11_04122025.pdf</x:v>
      </x:c>
      <x:c r="G1292" s="87" t="str">
        <x:v>5</x:v>
      </x:c>
      <x:c r="H1292" s="87" t="str">
        <x:v>v0.85</x:v>
      </x:c>
      <x:c r="I1292" s="87" t="str">
        <x:v>2</x:v>
      </x:c>
      <x:c r="J1292" s="30" t="str">
        <x:v>VIS_ID</x:v>
      </x:c>
      <x:c r="K1292" s="30" t="str">
        <x:v>DEC-LIT-V1-006, DEC-LIT-V1-007</x:v>
      </x:c>
      <x:c r="L1292" s="87" t="str">
        <x:v>CROP_VERIFIED</x:v>
      </x:c>
      <x:c r="M1292" s="87" t="str">
        <x:v>ORIGINAL_PACKAGE</x:v>
      </x:c>
      <x:c r="N1292" s="87"/>
      <x:c r="O1292" s="87"/>
      <x:c r="P1292" s="87" t="str">
        <x:v>9e88d67979147d5b770b9b0c2d857661f5a0e718e803b5337a24056248158e49</x:v>
      </x:c>
      <x:c r="Q1292" s="30" t="str">
        <x:v>incoming/raw/recovery-drop-01/literature_dec_visual_assets_v085.zip!/full/VIS-LIT-DEC-005.png</x:v>
      </x:c>
      <x:c r="R1292" s="30" t="str">
        <x:v>MATCHED_ASSET</x:v>
      </x:c>
      <x:c r="S1292" t="e">
        <x:f>HYPERLINK("visual_gallery/index.html#"&amp;A1292,"Галерея")</x:f>
      </x:c>
    </x:row>
    <x:row r="1293">
      <x:c r="A1293" s="87" t="str">
        <x:v>VIS-LIT-DEC-006</x:v>
      </x:c>
      <x:c r="B1293" s="30" t="str">
        <x:v>Литература</x:v>
      </x:c>
      <x:c r="C1293" s="30" t="str">
        <x:v>Средства выразительности и развёрнутый анализ</x:v>
      </x:c>
      <x:c r="D1293" s="30" t="str">
        <x:v>ЛИ2510201</x:v>
      </x:c>
      <x:c r="E1293" s="87"/>
      <x:c r="F1293" s="30" t="str">
        <x:v>Zadanie_LI11_04122025.pdf</x:v>
      </x:c>
      <x:c r="G1293" s="87" t="str">
        <x:v>6</x:v>
      </x:c>
      <x:c r="H1293" s="87" t="str">
        <x:v>v0.85</x:v>
      </x:c>
      <x:c r="I1293" s="87" t="str">
        <x:v>2</x:v>
      </x:c>
      <x:c r="J1293" s="30" t="str">
        <x:v>VIS_ID</x:v>
      </x:c>
      <x:c r="K1293" s="30" t="str">
        <x:v>DEC-LIT-V1-008, DEC-LIT-V1-009</x:v>
      </x:c>
      <x:c r="L1293" s="87" t="str">
        <x:v>CROP_VERIFIED</x:v>
      </x:c>
      <x:c r="M1293" s="87" t="str">
        <x:v>ORIGINAL_PACKAGE</x:v>
      </x:c>
      <x:c r="N1293" s="87"/>
      <x:c r="O1293" s="87"/>
      <x:c r="P1293" s="87" t="str">
        <x:v>d7af1fd0542636dc4fa624d9689911600f48b2f397a79991887cd75d1b2db26b</x:v>
      </x:c>
      <x:c r="Q1293" s="30" t="str">
        <x:v>incoming/raw/recovery-drop-01/literature_dec_visual_assets_v085.zip!/full/VIS-LIT-DEC-006.png</x:v>
      </x:c>
      <x:c r="R1293" s="30" t="str">
        <x:v>MATCHED_ASSET</x:v>
      </x:c>
      <x:c r="S1293" t="e">
        <x:f>HYPERLINK("visual_gallery/index.html#"&amp;A1293,"Галерея")</x:f>
      </x:c>
    </x:row>
    <x:row r="1294">
      <x:c r="A1294" s="87" t="str">
        <x:v>VIS-LIT-DEC-007</x:v>
      </x:c>
      <x:c r="B1294" s="30" t="str">
        <x:v>Литература</x:v>
      </x:c>
      <x:c r="C1294" s="30" t="str">
        <x:v>Сопоставление стихотворений о временах года</x:v>
      </x:c>
      <x:c r="D1294" s="30" t="str">
        <x:v>ЛИ2510201</x:v>
      </x:c>
      <x:c r="E1294" s="87"/>
      <x:c r="F1294" s="30" t="str">
        <x:v>Zadanie_LI11_04122025.pdf</x:v>
      </x:c>
      <x:c r="G1294" s="87" t="str">
        <x:v>7</x:v>
      </x:c>
      <x:c r="H1294" s="87" t="str">
        <x:v>v0.85</x:v>
      </x:c>
      <x:c r="I1294" s="87" t="str">
        <x:v>1</x:v>
      </x:c>
      <x:c r="J1294" s="30" t="str">
        <x:v>VIS_ID</x:v>
      </x:c>
      <x:c r="K1294" s="30" t="str">
        <x:v>DEC-LIT-V1-010</x:v>
      </x:c>
      <x:c r="L1294" s="87" t="str">
        <x:v>CROP_VERIFIED</x:v>
      </x:c>
      <x:c r="M1294" s="87" t="str">
        <x:v>ORIGINAL_PACKAGE</x:v>
      </x:c>
      <x:c r="N1294" s="87"/>
      <x:c r="O1294" s="87"/>
      <x:c r="P1294" s="87" t="str">
        <x:v>42380618ade6d5147afee943c61c3465cba5b94dfb8b79e0cb519ddf12feae61</x:v>
      </x:c>
      <x:c r="Q1294" s="30" t="str">
        <x:v>incoming/raw/recovery-drop-01/literature_dec_visual_assets_v085.zip!/full/VIS-LIT-DEC-007.png</x:v>
      </x:c>
      <x:c r="R1294" s="30" t="str">
        <x:v>MATCHED_ASSET</x:v>
      </x:c>
      <x:c r="S1294" t="e">
        <x:f>HYPERLINK("visual_gallery/index.html#"&amp;A1294,"Галерея")</x:f>
      </x:c>
    </x:row>
    <x:row r="1295">
      <x:c r="A1295" s="87" t="str">
        <x:v>VIS-LIT-DEC-008</x:v>
      </x:c>
      <x:c r="B1295" s="30" t="str">
        <x:v>Литература</x:v>
      </x:c>
      <x:c r="C1295" s="30" t="str">
        <x:v>Пять тем сочинения части 2</x:v>
      </x:c>
      <x:c r="D1295" s="30" t="str">
        <x:v>ЛИ2510201</x:v>
      </x:c>
      <x:c r="E1295" s="87"/>
      <x:c r="F1295" s="30" t="str">
        <x:v>Zadanie_LI11_04122025.pdf</x:v>
      </x:c>
      <x:c r="G1295" s="87" t="str">
        <x:v>8</x:v>
      </x:c>
      <x:c r="H1295" s="87" t="str">
        <x:v>v0.85</x:v>
      </x:c>
      <x:c r="I1295" s="87" t="str">
        <x:v>1</x:v>
      </x:c>
      <x:c r="J1295" s="30" t="str">
        <x:v>VIS_ID</x:v>
      </x:c>
      <x:c r="K1295" s="30" t="str">
        <x:v>DEC-LIT-V1-011</x:v>
      </x:c>
      <x:c r="L1295" s="87" t="str">
        <x:v>CROP_VERIFIED</x:v>
      </x:c>
      <x:c r="M1295" s="87" t="str">
        <x:v>ORIGINAL_PACKAGE</x:v>
      </x:c>
      <x:c r="N1295" s="87"/>
      <x:c r="O1295" s="87"/>
      <x:c r="P1295" s="87" t="str">
        <x:v>578deac81d10dc1adc3e39b40ed161c513ea34343c3060b4df958b5931e9cdce</x:v>
      </x:c>
      <x:c r="Q1295" s="30" t="str">
        <x:v>incoming/raw/recovery-drop-01/literature_dec_visual_assets_v085.zip!/full/VIS-LIT-DEC-008.png</x:v>
      </x:c>
      <x:c r="R1295" s="30" t="str">
        <x:v>MATCHED_ASSET</x:v>
      </x:c>
      <x:c r="S1295" t="e">
        <x:f>HYPERLINK("visual_gallery/index.html#"&amp;A1295,"Галерея")</x:f>
      </x:c>
    </x:row>
    <x:row r="1296">
      <x:c r="A1296" s="87" t="str">
        <x:v>VIS-LIT-DEC-009</x:v>
      </x:c>
      <x:c r="B1296" s="30" t="str"/>
      <x:c r="C1296" s="30" t="str">
        <x:v>Официальная таблица кратких ответов</x:v>
      </x:c>
      <x:c r="D1296" s="30" t="str">
        <x:v>ЛИ2510201</x:v>
      </x:c>
      <x:c r="E1296" s="87"/>
      <x:c r="F1296" s="30" t="str">
        <x:v>Kriterii_LI11_04122025.pdf</x:v>
      </x:c>
      <x:c r="G1296" s="87" t="str">
        <x:v>1</x:v>
      </x:c>
      <x:c r="H1296" s="87" t="str">
        <x:v>v0.85</x:v>
      </x:c>
      <x:c r="I1296" s="87" t="str">
        <x:v>0</x:v>
      </x:c>
      <x:c r="J1296" s="30" t="str"/>
      <x:c r="K1296" s="30" t="str"/>
      <x:c r="L1296" s="87" t="str">
        <x:v>CROP_VERIFIED</x:v>
      </x:c>
      <x:c r="M1296" s="87" t="str">
        <x:v>ORIGINAL_PACKAGE</x:v>
      </x:c>
      <x:c r="N1296" s="87"/>
      <x:c r="O1296" s="87"/>
      <x:c r="P1296" s="87" t="str">
        <x:v>486bf6e7866e3ca430b047afc2d1e42476921ad15860040e50e138f06fa7da31</x:v>
      </x:c>
      <x:c r="Q1296" s="30" t="str">
        <x:v>incoming/raw/recovery-drop-01/literature_dec_visual_assets_v085.zip!/full/VIS-LIT-DEC-009.png</x:v>
      </x:c>
      <x:c r="R1296" s="30" t="str">
        <x:v>RESOLVED_UNLINKED_REGISTRY_VISUAL</x:v>
      </x:c>
      <x:c r="S1296" t="e">
        <x:f>HYPERLINK("visual_gallery/index.html#"&amp;A1296,"Галерея")</x:f>
      </x:c>
    </x:row>
    <x:row r="1297">
      <x:c r="A1297" s="87" t="str">
        <x:v>VIS-MATH-DEC-BE-TASK-P001</x:v>
      </x:c>
      <x:c r="B1297" s="30" t="str"/>
      <x:c r="C1297" s="30"/>
      <x:c r="D1297" s="30" t="str"/>
      <x:c r="E1297" s="87" t="str">
        <x:v>TASK</x:v>
      </x:c>
      <x:c r="F1297" s="30" t="str">
        <x:v>Zadanie_MA11_18122025_baza_vostok.pdf</x:v>
      </x:c>
      <x:c r="G1297" s="87" t="str">
        <x:v>1</x:v>
      </x:c>
      <x:c r="H1297" s="87" t="str">
        <x:v>v0.88</x:v>
      </x:c>
      <x:c r="I1297" s="87" t="str">
        <x:v>0</x:v>
      </x:c>
      <x:c r="J1297" s="30" t="str"/>
      <x:c r="K1297" s="30" t="str"/>
      <x:c r="L1297" s="87" t="str">
        <x:v>CROP_VERIFIED</x:v>
      </x:c>
      <x:c r="M1297" s="87" t="str">
        <x:v>ORIGINAL_PACKAGE</x:v>
      </x:c>
      <x:c r="N1297" s="87" t="str">
        <x:v>pages/VIS-MATH-DEC-BE-TASK-P001.png</x:v>
      </x:c>
      <x:c r="O1297" s="87" t="str">
        <x:v>thumbnails/VIS-MATH-DEC-BE-TASK-P001.jpg</x:v>
      </x:c>
      <x:c r="P1297" s="87" t="str">
        <x:v>0fdb8b66371550c1b0ad349fbc4b91941a8a8df7e2080f58345d12797a54dc6e</x:v>
      </x:c>
      <x:c r="Q1297" s="30" t="str">
        <x:v>incoming/raw/recovery-drop-01/mathematics_dec_visual_assets_v088.zip!/pages/VIS-MATH-DEC-BE-TASK-P001.png</x:v>
      </x:c>
      <x:c r="R1297" s="30" t="str">
        <x:v>RESOLVED_UNLINKED_REGISTRY_VISUAL</x:v>
      </x:c>
      <x:c r="S1297" t="e">
        <x:f>HYPERLINK("visual_gallery/index.html#"&amp;A1297,"Галерея")</x:f>
      </x:c>
    </x:row>
    <x:row r="1298">
      <x:c r="A1298" s="87" t="str">
        <x:v>VIS-MATH-DEC-BE-TASK-P002</x:v>
      </x:c>
      <x:c r="B1298" s="30" t="str">
        <x:v>Математика</x:v>
      </x:c>
      <x:c r="C1298" s="30"/>
      <x:c r="D1298" s="30" t="str">
        <x:v>МА2510205</x:v>
      </x:c>
      <x:c r="E1298" s="87" t="str">
        <x:v>TASK</x:v>
      </x:c>
      <x:c r="F1298" s="30" t="str">
        <x:v>Zadanie_MA11_18122025_baza_vostok.pdf</x:v>
      </x:c>
      <x:c r="G1298" s="87" t="str">
        <x:v>2</x:v>
      </x:c>
      <x:c r="H1298" s="87" t="str">
        <x:v>v0.88</x:v>
      </x:c>
      <x:c r="I1298" s="87" t="str">
        <x:v>3</x:v>
      </x:c>
      <x:c r="J1298" s="30" t="str">
        <x:v>VIS_ID</x:v>
      </x:c>
      <x:c r="K1298" s="30" t="str">
        <x:v>DEC-MATH-05-001, DEC-MATH-05-002, DEC-MATH-05-003</x:v>
      </x:c>
      <x:c r="L1298" s="87" t="str">
        <x:v>CROP_VERIFIED</x:v>
      </x:c>
      <x:c r="M1298" s="87" t="str">
        <x:v>ORIGINAL_PACKAGE</x:v>
      </x:c>
      <x:c r="N1298" s="87" t="str">
        <x:v>pages/VIS-MATH-DEC-BE-TASK-P002.png</x:v>
      </x:c>
      <x:c r="O1298" s="87" t="str">
        <x:v>thumbnails/VIS-MATH-DEC-BE-TASK-P002.jpg</x:v>
      </x:c>
      <x:c r="P1298" s="87" t="str">
        <x:v>d354445854341d585916ff02f7ed373c0a5ee3df77cecec2b7ef4085964d57d8</x:v>
      </x:c>
      <x:c r="Q1298" s="30" t="str">
        <x:v>incoming/raw/recovery-drop-01/mathematics_dec_visual_assets_v088.zip!/pages/VIS-MATH-DEC-BE-TASK-P002.png</x:v>
      </x:c>
      <x:c r="R1298" s="30" t="str">
        <x:v>MATCHED_ASSET</x:v>
      </x:c>
      <x:c r="S1298" t="e">
        <x:f>HYPERLINK("visual_gallery/index.html#"&amp;A1298,"Галерея")</x:f>
      </x:c>
    </x:row>
    <x:row r="1299">
      <x:c r="A1299" s="87" t="str">
        <x:v>VIS-MATH-DEC-BE-TASK-P003</x:v>
      </x:c>
      <x:c r="B1299" s="30" t="str">
        <x:v>Математика</x:v>
      </x:c>
      <x:c r="C1299" s="30"/>
      <x:c r="D1299" s="30" t="str">
        <x:v>МА2510205</x:v>
      </x:c>
      <x:c r="E1299" s="87" t="str">
        <x:v>TASK</x:v>
      </x:c>
      <x:c r="F1299" s="30" t="str">
        <x:v>Zadanie_MA11_18122025_baza_vostok.pdf</x:v>
      </x:c>
      <x:c r="G1299" s="87" t="str">
        <x:v>3</x:v>
      </x:c>
      <x:c r="H1299" s="87" t="str">
        <x:v>v0.88</x:v>
      </x:c>
      <x:c r="I1299" s="87" t="str">
        <x:v>3</x:v>
      </x:c>
      <x:c r="J1299" s="30" t="str">
        <x:v>VIS_ID</x:v>
      </x:c>
      <x:c r="K1299" s="30" t="str">
        <x:v>DEC-MATH-05-004, DEC-MATH-05-005, DEC-MATH-05-006</x:v>
      </x:c>
      <x:c r="L1299" s="87" t="str">
        <x:v>CROP_VERIFIED</x:v>
      </x:c>
      <x:c r="M1299" s="87" t="str">
        <x:v>ORIGINAL_PACKAGE</x:v>
      </x:c>
      <x:c r="N1299" s="87" t="str">
        <x:v>pages/VIS-MATH-DEC-BE-TASK-P003.png</x:v>
      </x:c>
      <x:c r="O1299" s="87" t="str">
        <x:v>thumbnails/VIS-MATH-DEC-BE-TASK-P003.jpg</x:v>
      </x:c>
      <x:c r="P1299" s="87" t="str">
        <x:v>a042ba8fe0b516d4b18c237e70c3f5d25459757806a655e7e046802c993a90cb</x:v>
      </x:c>
      <x:c r="Q1299" s="30" t="str">
        <x:v>incoming/raw/recovery-drop-01/mathematics_dec_visual_assets_v088.zip!/pages/VIS-MATH-DEC-BE-TASK-P003.png</x:v>
      </x:c>
      <x:c r="R1299" s="30" t="str">
        <x:v>MATCHED_ASSET</x:v>
      </x:c>
      <x:c r="S1299" t="e">
        <x:f>HYPERLINK("visual_gallery/index.html#"&amp;A1299,"Галерея")</x:f>
      </x:c>
    </x:row>
    <x:row r="1300">
      <x:c r="A1300" s="87" t="str">
        <x:v>VIS-MATH-DEC-BE-TASK-P004</x:v>
      </x:c>
      <x:c r="B1300" s="30" t="str">
        <x:v>Математика</x:v>
      </x:c>
      <x:c r="C1300" s="30"/>
      <x:c r="D1300" s="30" t="str">
        <x:v>МА2510205</x:v>
      </x:c>
      <x:c r="E1300" s="87" t="str">
        <x:v>TASK</x:v>
      </x:c>
      <x:c r="F1300" s="30" t="str">
        <x:v>Zadanie_MA11_18122025_baza_vostok.pdf</x:v>
      </x:c>
      <x:c r="G1300" s="87" t="str">
        <x:v>4</x:v>
      </x:c>
      <x:c r="H1300" s="87" t="str">
        <x:v>v0.88</x:v>
      </x:c>
      <x:c r="I1300" s="87" t="str">
        <x:v>1</x:v>
      </x:c>
      <x:c r="J1300" s="30" t="str">
        <x:v>VIS_ID</x:v>
      </x:c>
      <x:c r="K1300" s="30" t="str">
        <x:v>DEC-MATH-05-007</x:v>
      </x:c>
      <x:c r="L1300" s="87" t="str">
        <x:v>CROP_VERIFIED</x:v>
      </x:c>
      <x:c r="M1300" s="87" t="str">
        <x:v>ORIGINAL_PACKAGE</x:v>
      </x:c>
      <x:c r="N1300" s="87" t="str">
        <x:v>pages/VIS-MATH-DEC-BE-TASK-P004.png</x:v>
      </x:c>
      <x:c r="O1300" s="87" t="str">
        <x:v>thumbnails/VIS-MATH-DEC-BE-TASK-P004.jpg</x:v>
      </x:c>
      <x:c r="P1300" s="87" t="str">
        <x:v>b17144e2b9095e1c2b819f8c8800c9bcc8d1d391baa837b1c3505fb6220e01b1</x:v>
      </x:c>
      <x:c r="Q1300" s="30" t="str">
        <x:v>incoming/raw/recovery-drop-01/mathematics_dec_visual_assets_v088.zip!/pages/VIS-MATH-DEC-BE-TASK-P004.png</x:v>
      </x:c>
      <x:c r="R1300" s="30" t="str">
        <x:v>MATCHED_ASSET</x:v>
      </x:c>
      <x:c r="S1300" t="e">
        <x:f>HYPERLINK("visual_gallery/index.html#"&amp;A1300,"Галерея")</x:f>
      </x:c>
    </x:row>
    <x:row r="1301">
      <x:c r="A1301" s="87" t="str">
        <x:v>VIS-MATH-DEC-BE-TASK-P005</x:v>
      </x:c>
      <x:c r="B1301" s="30" t="str">
        <x:v>Математика</x:v>
      </x:c>
      <x:c r="C1301" s="30"/>
      <x:c r="D1301" s="30" t="str">
        <x:v>МА2510205</x:v>
      </x:c>
      <x:c r="E1301" s="87" t="str">
        <x:v>TASK</x:v>
      </x:c>
      <x:c r="F1301" s="30" t="str">
        <x:v>Zadanie_MA11_18122025_baza_vostok.pdf</x:v>
      </x:c>
      <x:c r="G1301" s="87" t="str">
        <x:v>5</x:v>
      </x:c>
      <x:c r="H1301" s="87" t="str">
        <x:v>v0.88</x:v>
      </x:c>
      <x:c r="I1301" s="87" t="str">
        <x:v>4</x:v>
      </x:c>
      <x:c r="J1301" s="30" t="str">
        <x:v>VIS_ID</x:v>
      </x:c>
      <x:c r="K1301" s="30" t="str">
        <x:v>DEC-MATH-05-008, DEC-MATH-05-009, DEC-MATH-05-010, DEC-MATH-05-011</x:v>
      </x:c>
      <x:c r="L1301" s="87" t="str">
        <x:v>CROP_VERIFIED</x:v>
      </x:c>
      <x:c r="M1301" s="87" t="str">
        <x:v>ORIGINAL_PACKAGE</x:v>
      </x:c>
      <x:c r="N1301" s="87" t="str">
        <x:v>pages/VIS-MATH-DEC-BE-TASK-P005.png</x:v>
      </x:c>
      <x:c r="O1301" s="87" t="str">
        <x:v>thumbnails/VIS-MATH-DEC-BE-TASK-P005.jpg</x:v>
      </x:c>
      <x:c r="P1301" s="87" t="str">
        <x:v>990a4ad04a7badc0f6393def42de050f9ada6f16138c744df83cf63044b6894a</x:v>
      </x:c>
      <x:c r="Q1301" s="30" t="str">
        <x:v>incoming/raw/recovery-drop-01/mathematics_dec_visual_assets_v088.zip!/pages/VIS-MATH-DEC-BE-TASK-P005.png</x:v>
      </x:c>
      <x:c r="R1301" s="30" t="str">
        <x:v>MATCHED_ASSET</x:v>
      </x:c>
      <x:c r="S1301" t="e">
        <x:f>HYPERLINK("visual_gallery/index.html#"&amp;A1301,"Галерея")</x:f>
      </x:c>
    </x:row>
    <x:row r="1302">
      <x:c r="A1302" s="87" t="str">
        <x:v>VIS-MATH-DEC-BE-TASK-P006</x:v>
      </x:c>
      <x:c r="B1302" s="30" t="str">
        <x:v>Математика</x:v>
      </x:c>
      <x:c r="C1302" s="30"/>
      <x:c r="D1302" s="30" t="str">
        <x:v>МА2510205</x:v>
      </x:c>
      <x:c r="E1302" s="87" t="str">
        <x:v>TASK</x:v>
      </x:c>
      <x:c r="F1302" s="30" t="str">
        <x:v>Zadanie_MA11_18122025_baza_vostok.pdf</x:v>
      </x:c>
      <x:c r="G1302" s="87" t="str">
        <x:v>6</x:v>
      </x:c>
      <x:c r="H1302" s="87" t="str">
        <x:v>v0.88</x:v>
      </x:c>
      <x:c r="I1302" s="87" t="str">
        <x:v>5</x:v>
      </x:c>
      <x:c r="J1302" s="30" t="str">
        <x:v>VIS_ID</x:v>
      </x:c>
      <x:c r="K1302" s="30" t="str">
        <x:v>DEC-MATH-05-012, DEC-MATH-05-013, DEC-MATH-05-014, DEC-MATH-05-015, DEC-MATH-05-016</x:v>
      </x:c>
      <x:c r="L1302" s="87" t="str">
        <x:v>CROP_VERIFIED</x:v>
      </x:c>
      <x:c r="M1302" s="87" t="str">
        <x:v>ORIGINAL_PACKAGE</x:v>
      </x:c>
      <x:c r="N1302" s="87" t="str">
        <x:v>pages/VIS-MATH-DEC-BE-TASK-P006.png</x:v>
      </x:c>
      <x:c r="O1302" s="87" t="str">
        <x:v>thumbnails/VIS-MATH-DEC-BE-TASK-P006.jpg</x:v>
      </x:c>
      <x:c r="P1302" s="87" t="str">
        <x:v>269f09b0b88d728e352d86b9654622e1db7961b8951d21dc9b59237f923672e2</x:v>
      </x:c>
      <x:c r="Q1302" s="30" t="str">
        <x:v>incoming/raw/recovery-drop-01/mathematics_dec_visual_assets_v088.zip!/pages/VIS-MATH-DEC-BE-TASK-P006.png</x:v>
      </x:c>
      <x:c r="R1302" s="30" t="str">
        <x:v>MATCHED_ASSET</x:v>
      </x:c>
      <x:c r="S1302" t="e">
        <x:f>HYPERLINK("visual_gallery/index.html#"&amp;A1302,"Галерея")</x:f>
      </x:c>
    </x:row>
    <x:row r="1303">
      <x:c r="A1303" s="87" t="str">
        <x:v>VIS-MATH-DEC-BE-TASK-P007</x:v>
      </x:c>
      <x:c r="B1303" s="30" t="str">
        <x:v>Математика</x:v>
      </x:c>
      <x:c r="C1303" s="30"/>
      <x:c r="D1303" s="30" t="str">
        <x:v>МА2510205</x:v>
      </x:c>
      <x:c r="E1303" s="87" t="str">
        <x:v>TASK</x:v>
      </x:c>
      <x:c r="F1303" s="30" t="str">
        <x:v>Zadanie_MA11_18122025_baza_vostok.pdf</x:v>
      </x:c>
      <x:c r="G1303" s="87" t="str">
        <x:v>7</x:v>
      </x:c>
      <x:c r="H1303" s="87" t="str">
        <x:v>v0.88</x:v>
      </x:c>
      <x:c r="I1303" s="87" t="str">
        <x:v>3</x:v>
      </x:c>
      <x:c r="J1303" s="30" t="str">
        <x:v>VIS_ID</x:v>
      </x:c>
      <x:c r="K1303" s="30" t="str">
        <x:v>DEC-MATH-05-017, DEC-MATH-05-018, DEC-MATH-05-019</x:v>
      </x:c>
      <x:c r="L1303" s="87" t="str">
        <x:v>CROP_VERIFIED</x:v>
      </x:c>
      <x:c r="M1303" s="87" t="str">
        <x:v>ORIGINAL_PACKAGE</x:v>
      </x:c>
      <x:c r="N1303" s="87" t="str">
        <x:v>pages/VIS-MATH-DEC-BE-TASK-P007.png</x:v>
      </x:c>
      <x:c r="O1303" s="87" t="str">
        <x:v>thumbnails/VIS-MATH-DEC-BE-TASK-P007.jpg</x:v>
      </x:c>
      <x:c r="P1303" s="87" t="str">
        <x:v>3272ce4912c149bfe26575048c41c5a3b5504b2e4aab76eca7ff7b71bed92b08</x:v>
      </x:c>
      <x:c r="Q1303" s="30" t="str">
        <x:v>incoming/raw/recovery-drop-01/mathematics_dec_visual_assets_v088.zip!/pages/VIS-MATH-DEC-BE-TASK-P007.png</x:v>
      </x:c>
      <x:c r="R1303" s="30" t="str">
        <x:v>MATCHED_ASSET</x:v>
      </x:c>
      <x:c r="S1303" t="e">
        <x:f>HYPERLINK("visual_gallery/index.html#"&amp;A1303,"Галерея")</x:f>
      </x:c>
    </x:row>
    <x:row r="1304">
      <x:c r="A1304" s="87" t="str">
        <x:v>VIS-MATH-DEC-BE-TASK-P008</x:v>
      </x:c>
      <x:c r="B1304" s="30" t="str">
        <x:v>Математика</x:v>
      </x:c>
      <x:c r="C1304" s="30"/>
      <x:c r="D1304" s="30" t="str">
        <x:v>МА2510205</x:v>
      </x:c>
      <x:c r="E1304" s="87" t="str">
        <x:v>TASK</x:v>
      </x:c>
      <x:c r="F1304" s="30" t="str">
        <x:v>Zadanie_MA11_18122025_baza_vostok.pdf</x:v>
      </x:c>
      <x:c r="G1304" s="87" t="str">
        <x:v>8</x:v>
      </x:c>
      <x:c r="H1304" s="87" t="str">
        <x:v>v0.88</x:v>
      </x:c>
      <x:c r="I1304" s="87" t="str">
        <x:v>2</x:v>
      </x:c>
      <x:c r="J1304" s="30" t="str">
        <x:v>VIS_ID</x:v>
      </x:c>
      <x:c r="K1304" s="30" t="str">
        <x:v>DEC-MATH-05-020, DEC-MATH-05-021</x:v>
      </x:c>
      <x:c r="L1304" s="87" t="str">
        <x:v>CROP_VERIFIED</x:v>
      </x:c>
      <x:c r="M1304" s="87" t="str">
        <x:v>ORIGINAL_PACKAGE</x:v>
      </x:c>
      <x:c r="N1304" s="87" t="str">
        <x:v>pages/VIS-MATH-DEC-BE-TASK-P008.png</x:v>
      </x:c>
      <x:c r="O1304" s="87" t="str">
        <x:v>thumbnails/VIS-MATH-DEC-BE-TASK-P008.jpg</x:v>
      </x:c>
      <x:c r="P1304" s="87" t="str">
        <x:v>0134f7f0805ef0a9a7314aa7b7469f2e41b7233ae995a915a60332d42955bc73</x:v>
      </x:c>
      <x:c r="Q1304" s="30" t="str">
        <x:v>incoming/raw/recovery-drop-01/mathematics_dec_visual_assets_v088.zip!/pages/VIS-MATH-DEC-BE-TASK-P008.png</x:v>
      </x:c>
      <x:c r="R1304" s="30" t="str">
        <x:v>MATCHED_ASSET</x:v>
      </x:c>
      <x:c r="S1304" t="e">
        <x:f>HYPERLINK("visual_gallery/index.html#"&amp;A1304,"Галерея")</x:f>
      </x:c>
    </x:row>
    <x:row r="1305">
      <x:c r="A1305" s="87" t="str">
        <x:v>VIS-MATH-DEC-BE-TASK-P009</x:v>
      </x:c>
      <x:c r="B1305" s="30" t="str"/>
      <x:c r="C1305" s="30"/>
      <x:c r="D1305" s="30" t="str"/>
      <x:c r="E1305" s="87" t="str">
        <x:v>TASK</x:v>
      </x:c>
      <x:c r="F1305" s="30" t="str">
        <x:v>Zadanie_MA11_18122025_baza_vostok.pdf</x:v>
      </x:c>
      <x:c r="G1305" s="87" t="str">
        <x:v>9</x:v>
      </x:c>
      <x:c r="H1305" s="87" t="str">
        <x:v>v0.88</x:v>
      </x:c>
      <x:c r="I1305" s="87" t="str">
        <x:v>0</x:v>
      </x:c>
      <x:c r="J1305" s="30" t="str"/>
      <x:c r="K1305" s="30" t="str"/>
      <x:c r="L1305" s="87" t="str">
        <x:v>CROP_VERIFIED</x:v>
      </x:c>
      <x:c r="M1305" s="87" t="str">
        <x:v>ORIGINAL_PACKAGE</x:v>
      </x:c>
      <x:c r="N1305" s="87" t="str">
        <x:v>pages/VIS-MATH-DEC-BE-TASK-P009.png</x:v>
      </x:c>
      <x:c r="O1305" s="87" t="str">
        <x:v>thumbnails/VIS-MATH-DEC-BE-TASK-P009.jpg</x:v>
      </x:c>
      <x:c r="P1305" s="87" t="str">
        <x:v>a7a14285b4f7125073e1d5fad57fa3d60d3c0519ee37d65c87ae0985a1b27eb5</x:v>
      </x:c>
      <x:c r="Q1305" s="30" t="str">
        <x:v>incoming/raw/recovery-drop-01/mathematics_dec_visual_assets_v088.zip!/pages/VIS-MATH-DEC-BE-TASK-P009.png</x:v>
      </x:c>
      <x:c r="R1305" s="30" t="str">
        <x:v>RESOLVED_UNLINKED_REGISTRY_VISUAL</x:v>
      </x:c>
      <x:c r="S1305" t="e">
        <x:f>HYPERLINK("visual_gallery/index.html#"&amp;A1305,"Галерея")</x:f>
      </x:c>
    </x:row>
    <x:row r="1306">
      <x:c r="A1306" s="87" t="str">
        <x:v>VIS-MATH-DEC-BE-TASK-P010</x:v>
      </x:c>
      <x:c r="B1306" s="30" t="str">
        <x:v>Математика</x:v>
      </x:c>
      <x:c r="C1306" s="30"/>
      <x:c r="D1306" s="30" t="str">
        <x:v>МА2510206</x:v>
      </x:c>
      <x:c r="E1306" s="87" t="str">
        <x:v>TASK</x:v>
      </x:c>
      <x:c r="F1306" s="30" t="str">
        <x:v>Zadanie_MA11_18122025_baza_vostok.pdf</x:v>
      </x:c>
      <x:c r="G1306" s="87" t="str">
        <x:v>10</x:v>
      </x:c>
      <x:c r="H1306" s="87" t="str">
        <x:v>v0.88</x:v>
      </x:c>
      <x:c r="I1306" s="87" t="str">
        <x:v>3</x:v>
      </x:c>
      <x:c r="J1306" s="30" t="str">
        <x:v>VIS_ID</x:v>
      </x:c>
      <x:c r="K1306" s="30" t="str">
        <x:v>DEC-MATH-06-001, DEC-MATH-06-002, DEC-MATH-06-003</x:v>
      </x:c>
      <x:c r="L1306" s="87" t="str">
        <x:v>CROP_VERIFIED</x:v>
      </x:c>
      <x:c r="M1306" s="87" t="str">
        <x:v>ORIGINAL_PACKAGE</x:v>
      </x:c>
      <x:c r="N1306" s="87" t="str">
        <x:v>pages/VIS-MATH-DEC-BE-TASK-P010.png</x:v>
      </x:c>
      <x:c r="O1306" s="87" t="str">
        <x:v>thumbnails/VIS-MATH-DEC-BE-TASK-P010.jpg</x:v>
      </x:c>
      <x:c r="P1306" s="87" t="str">
        <x:v>46e44b4314513484ed757534e302f0fc04703635dbc32c0f312e39862016deff</x:v>
      </x:c>
      <x:c r="Q1306" s="30" t="str">
        <x:v>incoming/raw/recovery-drop-01/mathematics_dec_visual_assets_v088.zip!/pages/VIS-MATH-DEC-BE-TASK-P010.png</x:v>
      </x:c>
      <x:c r="R1306" s="30" t="str">
        <x:v>MATCHED_ASSET</x:v>
      </x:c>
      <x:c r="S1306" t="e">
        <x:f>HYPERLINK("visual_gallery/index.html#"&amp;A1306,"Галерея")</x:f>
      </x:c>
    </x:row>
    <x:row r="1307">
      <x:c r="A1307" s="87" t="str">
        <x:v>VIS-MATH-DEC-BE-TASK-P011</x:v>
      </x:c>
      <x:c r="B1307" s="30" t="str">
        <x:v>Математика</x:v>
      </x:c>
      <x:c r="C1307" s="30"/>
      <x:c r="D1307" s="30" t="str">
        <x:v>МА2510206</x:v>
      </x:c>
      <x:c r="E1307" s="87" t="str">
        <x:v>TASK</x:v>
      </x:c>
      <x:c r="F1307" s="30" t="str">
        <x:v>Zadanie_MA11_18122025_baza_vostok.pdf</x:v>
      </x:c>
      <x:c r="G1307" s="87" t="str">
        <x:v>11</x:v>
      </x:c>
      <x:c r="H1307" s="87" t="str">
        <x:v>v0.88</x:v>
      </x:c>
      <x:c r="I1307" s="87" t="str">
        <x:v>3</x:v>
      </x:c>
      <x:c r="J1307" s="30" t="str">
        <x:v>VIS_ID</x:v>
      </x:c>
      <x:c r="K1307" s="30" t="str">
        <x:v>DEC-MATH-06-004, DEC-MATH-06-005, DEC-MATH-06-006</x:v>
      </x:c>
      <x:c r="L1307" s="87" t="str">
        <x:v>CROP_VERIFIED</x:v>
      </x:c>
      <x:c r="M1307" s="87" t="str">
        <x:v>ORIGINAL_PACKAGE</x:v>
      </x:c>
      <x:c r="N1307" s="87" t="str">
        <x:v>pages/VIS-MATH-DEC-BE-TASK-P011.png</x:v>
      </x:c>
      <x:c r="O1307" s="87" t="str">
        <x:v>thumbnails/VIS-MATH-DEC-BE-TASK-P011.jpg</x:v>
      </x:c>
      <x:c r="P1307" s="87" t="str">
        <x:v>c89e83cef39ea889c4c482b6780e519a18b8d36a8a7df8e3fa629959fc97aa02</x:v>
      </x:c>
      <x:c r="Q1307" s="30" t="str">
        <x:v>incoming/raw/recovery-drop-01/mathematics_dec_visual_assets_v088.zip!/pages/VIS-MATH-DEC-BE-TASK-P011.png</x:v>
      </x:c>
      <x:c r="R1307" s="30" t="str">
        <x:v>MATCHED_ASSET</x:v>
      </x:c>
      <x:c r="S1307" t="e">
        <x:f>HYPERLINK("visual_gallery/index.html#"&amp;A1307,"Галерея")</x:f>
      </x:c>
    </x:row>
    <x:row r="1308">
      <x:c r="A1308" s="87" t="str">
        <x:v>VIS-MATH-DEC-BE-TASK-P012</x:v>
      </x:c>
      <x:c r="B1308" s="30" t="str">
        <x:v>Математика</x:v>
      </x:c>
      <x:c r="C1308" s="30"/>
      <x:c r="D1308" s="30" t="str">
        <x:v>МА2510206</x:v>
      </x:c>
      <x:c r="E1308" s="87" t="str">
        <x:v>TASK</x:v>
      </x:c>
      <x:c r="F1308" s="30" t="str">
        <x:v>Zadanie_MA11_18122025_baza_vostok.pdf</x:v>
      </x:c>
      <x:c r="G1308" s="87" t="str">
        <x:v>12</x:v>
      </x:c>
      <x:c r="H1308" s="87" t="str">
        <x:v>v0.88</x:v>
      </x:c>
      <x:c r="I1308" s="87" t="str">
        <x:v>1</x:v>
      </x:c>
      <x:c r="J1308" s="30" t="str">
        <x:v>VIS_ID</x:v>
      </x:c>
      <x:c r="K1308" s="30" t="str">
        <x:v>DEC-MATH-06-007</x:v>
      </x:c>
      <x:c r="L1308" s="87" t="str">
        <x:v>CROP_VERIFIED</x:v>
      </x:c>
      <x:c r="M1308" s="87" t="str">
        <x:v>ORIGINAL_PACKAGE</x:v>
      </x:c>
      <x:c r="N1308" s="87" t="str">
        <x:v>pages/VIS-MATH-DEC-BE-TASK-P012.png</x:v>
      </x:c>
      <x:c r="O1308" s="87" t="str">
        <x:v>thumbnails/VIS-MATH-DEC-BE-TASK-P012.jpg</x:v>
      </x:c>
      <x:c r="P1308" s="87" t="str">
        <x:v>878eda1aee73cf74a863fdfcd92f637ee382c38407be0cc202986f911305bb37</x:v>
      </x:c>
      <x:c r="Q1308" s="30" t="str">
        <x:v>incoming/raw/recovery-drop-01/mathematics_dec_visual_assets_v088.zip!/pages/VIS-MATH-DEC-BE-TASK-P012.png</x:v>
      </x:c>
      <x:c r="R1308" s="30" t="str">
        <x:v>MATCHED_ASSET</x:v>
      </x:c>
      <x:c r="S1308" t="e">
        <x:f>HYPERLINK("visual_gallery/index.html#"&amp;A1308,"Галерея")</x:f>
      </x:c>
    </x:row>
    <x:row r="1309">
      <x:c r="A1309" s="87" t="str">
        <x:v>VIS-MATH-DEC-BE-TASK-P013</x:v>
      </x:c>
      <x:c r="B1309" s="30" t="str">
        <x:v>Математика</x:v>
      </x:c>
      <x:c r="C1309" s="30"/>
      <x:c r="D1309" s="30" t="str">
        <x:v>МА2510206</x:v>
      </x:c>
      <x:c r="E1309" s="87" t="str">
        <x:v>TASK</x:v>
      </x:c>
      <x:c r="F1309" s="30" t="str">
        <x:v>Zadanie_MA11_18122025_baza_vostok.pdf</x:v>
      </x:c>
      <x:c r="G1309" s="87" t="str">
        <x:v>13</x:v>
      </x:c>
      <x:c r="H1309" s="87" t="str">
        <x:v>v0.88</x:v>
      </x:c>
      <x:c r="I1309" s="87" t="str">
        <x:v>4</x:v>
      </x:c>
      <x:c r="J1309" s="30" t="str">
        <x:v>VIS_ID</x:v>
      </x:c>
      <x:c r="K1309" s="30" t="str">
        <x:v>DEC-MATH-06-008, DEC-MATH-06-009, DEC-MATH-06-010, DEC-MATH-06-011</x:v>
      </x:c>
      <x:c r="L1309" s="87" t="str">
        <x:v>CROP_VERIFIED</x:v>
      </x:c>
      <x:c r="M1309" s="87" t="str">
        <x:v>ORIGINAL_PACKAGE</x:v>
      </x:c>
      <x:c r="N1309" s="87" t="str">
        <x:v>pages/VIS-MATH-DEC-BE-TASK-P013.png</x:v>
      </x:c>
      <x:c r="O1309" s="87" t="str">
        <x:v>thumbnails/VIS-MATH-DEC-BE-TASK-P013.jpg</x:v>
      </x:c>
      <x:c r="P1309" s="87" t="str">
        <x:v>01082a308bb958bc87334ab0a1fe35101a74a76b856bf55c6920fd9c383b66c1</x:v>
      </x:c>
      <x:c r="Q1309" s="30" t="str">
        <x:v>incoming/raw/recovery-drop-01/mathematics_dec_visual_assets_v088.zip!/pages/VIS-MATH-DEC-BE-TASK-P013.png</x:v>
      </x:c>
      <x:c r="R1309" s="30" t="str">
        <x:v>MATCHED_ASSET</x:v>
      </x:c>
      <x:c r="S1309" t="e">
        <x:f>HYPERLINK("visual_gallery/index.html#"&amp;A1309,"Галерея")</x:f>
      </x:c>
    </x:row>
    <x:row r="1310">
      <x:c r="A1310" s="87" t="str">
        <x:v>VIS-MATH-DEC-BE-TASK-P014</x:v>
      </x:c>
      <x:c r="B1310" s="30" t="str">
        <x:v>Математика</x:v>
      </x:c>
      <x:c r="C1310" s="30"/>
      <x:c r="D1310" s="30" t="str">
        <x:v>МА2510206</x:v>
      </x:c>
      <x:c r="E1310" s="87" t="str">
        <x:v>TASK</x:v>
      </x:c>
      <x:c r="F1310" s="30" t="str">
        <x:v>Zadanie_MA11_18122025_baza_vostok.pdf</x:v>
      </x:c>
      <x:c r="G1310" s="87" t="str">
        <x:v>14</x:v>
      </x:c>
      <x:c r="H1310" s="87" t="str">
        <x:v>v0.88</x:v>
      </x:c>
      <x:c r="I1310" s="87" t="str">
        <x:v>5</x:v>
      </x:c>
      <x:c r="J1310" s="30" t="str">
        <x:v>VIS_ID</x:v>
      </x:c>
      <x:c r="K1310" s="30" t="str">
        <x:v>DEC-MATH-06-012, DEC-MATH-06-013, DEC-MATH-06-014, DEC-MATH-06-015, DEC-MATH-06-016</x:v>
      </x:c>
      <x:c r="L1310" s="87" t="str">
        <x:v>CROP_VERIFIED</x:v>
      </x:c>
      <x:c r="M1310" s="87" t="str">
        <x:v>ORIGINAL_PACKAGE</x:v>
      </x:c>
      <x:c r="N1310" s="87" t="str">
        <x:v>pages/VIS-MATH-DEC-BE-TASK-P014.png</x:v>
      </x:c>
      <x:c r="O1310" s="87" t="str">
        <x:v>thumbnails/VIS-MATH-DEC-BE-TASK-P014.jpg</x:v>
      </x:c>
      <x:c r="P1310" s="87" t="str">
        <x:v>8b1040056847468830d6862298e91cd844ce266868702e8e5fc8dbe657b966cc</x:v>
      </x:c>
      <x:c r="Q1310" s="30" t="str">
        <x:v>incoming/raw/recovery-drop-01/mathematics_dec_visual_assets_v088.zip!/pages/VIS-MATH-DEC-BE-TASK-P014.png</x:v>
      </x:c>
      <x:c r="R1310" s="30" t="str">
        <x:v>MATCHED_ASSET</x:v>
      </x:c>
      <x:c r="S1310" t="e">
        <x:f>HYPERLINK("visual_gallery/index.html#"&amp;A1310,"Галерея")</x:f>
      </x:c>
    </x:row>
    <x:row r="1311">
      <x:c r="A1311" s="87" t="str">
        <x:v>VIS-MATH-DEC-BE-TASK-P015</x:v>
      </x:c>
      <x:c r="B1311" s="30" t="str">
        <x:v>Математика</x:v>
      </x:c>
      <x:c r="C1311" s="30"/>
      <x:c r="D1311" s="30" t="str">
        <x:v>МА2510206</x:v>
      </x:c>
      <x:c r="E1311" s="87" t="str">
        <x:v>TASK</x:v>
      </x:c>
      <x:c r="F1311" s="30" t="str">
        <x:v>Zadanie_MA11_18122025_baza_vostok.pdf</x:v>
      </x:c>
      <x:c r="G1311" s="87" t="str">
        <x:v>15</x:v>
      </x:c>
      <x:c r="H1311" s="87" t="str">
        <x:v>v0.88</x:v>
      </x:c>
      <x:c r="I1311" s="87" t="str">
        <x:v>3</x:v>
      </x:c>
      <x:c r="J1311" s="30" t="str">
        <x:v>VIS_ID</x:v>
      </x:c>
      <x:c r="K1311" s="30" t="str">
        <x:v>DEC-MATH-06-017, DEC-MATH-06-018, DEC-MATH-06-019</x:v>
      </x:c>
      <x:c r="L1311" s="87" t="str">
        <x:v>CROP_VERIFIED</x:v>
      </x:c>
      <x:c r="M1311" s="87" t="str">
        <x:v>ORIGINAL_PACKAGE</x:v>
      </x:c>
      <x:c r="N1311" s="87" t="str">
        <x:v>pages/VIS-MATH-DEC-BE-TASK-P015.png</x:v>
      </x:c>
      <x:c r="O1311" s="87" t="str">
        <x:v>thumbnails/VIS-MATH-DEC-BE-TASK-P015.jpg</x:v>
      </x:c>
      <x:c r="P1311" s="87" t="str">
        <x:v>5b8b09ff11bc19805e83365a068bec25931aa1e2ef53d5c2e8aeb3e40e19c59e</x:v>
      </x:c>
      <x:c r="Q1311" s="30" t="str">
        <x:v>incoming/raw/recovery-drop-01/mathematics_dec_visual_assets_v088.zip!/pages/VIS-MATH-DEC-BE-TASK-P015.png</x:v>
      </x:c>
      <x:c r="R1311" s="30" t="str">
        <x:v>MATCHED_ASSET</x:v>
      </x:c>
      <x:c r="S1311" t="e">
        <x:f>HYPERLINK("visual_gallery/index.html#"&amp;A1311,"Галерея")</x:f>
      </x:c>
    </x:row>
    <x:row r="1312">
      <x:c r="A1312" s="87" t="str">
        <x:v>VIS-MATH-DEC-BE-TASK-P016</x:v>
      </x:c>
      <x:c r="B1312" s="30" t="str">
        <x:v>Математика</x:v>
      </x:c>
      <x:c r="C1312" s="30"/>
      <x:c r="D1312" s="30" t="str">
        <x:v>МА2510206</x:v>
      </x:c>
      <x:c r="E1312" s="87" t="str">
        <x:v>TASK</x:v>
      </x:c>
      <x:c r="F1312" s="30" t="str">
        <x:v>Zadanie_MA11_18122025_baza_vostok.pdf</x:v>
      </x:c>
      <x:c r="G1312" s="87" t="str">
        <x:v>16</x:v>
      </x:c>
      <x:c r="H1312" s="87" t="str">
        <x:v>v0.88</x:v>
      </x:c>
      <x:c r="I1312" s="87" t="str">
        <x:v>2</x:v>
      </x:c>
      <x:c r="J1312" s="30" t="str">
        <x:v>VIS_ID</x:v>
      </x:c>
      <x:c r="K1312" s="30" t="str">
        <x:v>DEC-MATH-06-020, DEC-MATH-06-021</x:v>
      </x:c>
      <x:c r="L1312" s="87" t="str">
        <x:v>CROP_VERIFIED</x:v>
      </x:c>
      <x:c r="M1312" s="87" t="str">
        <x:v>ORIGINAL_PACKAGE</x:v>
      </x:c>
      <x:c r="N1312" s="87" t="str">
        <x:v>pages/VIS-MATH-DEC-BE-TASK-P016.png</x:v>
      </x:c>
      <x:c r="O1312" s="87" t="str">
        <x:v>thumbnails/VIS-MATH-DEC-BE-TASK-P016.jpg</x:v>
      </x:c>
      <x:c r="P1312" s="87" t="str">
        <x:v>de70ebf9a70b1db0a64f5074271b90f33eb2169b2d4071bc95496feecc69ac1c</x:v>
      </x:c>
      <x:c r="Q1312" s="30" t="str">
        <x:v>incoming/raw/recovery-drop-01/mathematics_dec_visual_assets_v088.zip!/pages/VIS-MATH-DEC-BE-TASK-P016.png</x:v>
      </x:c>
      <x:c r="R1312" s="30" t="str">
        <x:v>MATCHED_ASSET</x:v>
      </x:c>
      <x:c r="S1312" t="e">
        <x:f>HYPERLINK("visual_gallery/index.html#"&amp;A1312,"Галерея")</x:f>
      </x:c>
    </x:row>
    <x:row r="1313">
      <x:c r="A1313" s="87" t="str">
        <x:v>VIS-MATH-DEC-BE-TASK-P017</x:v>
      </x:c>
      <x:c r="B1313" s="30" t="str"/>
      <x:c r="C1313" s="30"/>
      <x:c r="D1313" s="30" t="str"/>
      <x:c r="E1313" s="87" t="str">
        <x:v>TASK</x:v>
      </x:c>
      <x:c r="F1313" s="30" t="str">
        <x:v>Zadanie_MA11_18122025_baza_vostok.pdf</x:v>
      </x:c>
      <x:c r="G1313" s="87" t="str">
        <x:v>17</x:v>
      </x:c>
      <x:c r="H1313" s="87" t="str">
        <x:v>v0.88</x:v>
      </x:c>
      <x:c r="I1313" s="87" t="str">
        <x:v>0</x:v>
      </x:c>
      <x:c r="J1313" s="30" t="str"/>
      <x:c r="K1313" s="30" t="str"/>
      <x:c r="L1313" s="87" t="str">
        <x:v>CROP_VERIFIED</x:v>
      </x:c>
      <x:c r="M1313" s="87" t="str">
        <x:v>ORIGINAL_PACKAGE</x:v>
      </x:c>
      <x:c r="N1313" s="87" t="str">
        <x:v>pages/VIS-MATH-DEC-BE-TASK-P017.png</x:v>
      </x:c>
      <x:c r="O1313" s="87" t="str">
        <x:v>thumbnails/VIS-MATH-DEC-BE-TASK-P017.jpg</x:v>
      </x:c>
      <x:c r="P1313" s="87" t="str">
        <x:v>ba7b17c67bba77919aaf72c00e4f792870f99c3fbe298d879f0e0f30f51bfa6e</x:v>
      </x:c>
      <x:c r="Q1313" s="30" t="str">
        <x:v>incoming/raw/recovery-drop-01/mathematics_dec_visual_assets_v088.zip!/pages/VIS-MATH-DEC-BE-TASK-P017.png</x:v>
      </x:c>
      <x:c r="R1313" s="30" t="str">
        <x:v>RESOLVED_UNLINKED_REGISTRY_VISUAL</x:v>
      </x:c>
      <x:c r="S1313" t="e">
        <x:f>HYPERLINK("visual_gallery/index.html#"&amp;A1313,"Галерея")</x:f>
      </x:c>
    </x:row>
    <x:row r="1314">
      <x:c r="A1314" s="87" t="str">
        <x:v>VIS-MATH-DEC-BE-TASK-P018</x:v>
      </x:c>
      <x:c r="B1314" s="30" t="str">
        <x:v>Математика</x:v>
      </x:c>
      <x:c r="C1314" s="30"/>
      <x:c r="D1314" s="30" t="str">
        <x:v>МА2510207</x:v>
      </x:c>
      <x:c r="E1314" s="87" t="str">
        <x:v>TASK</x:v>
      </x:c>
      <x:c r="F1314" s="30" t="str">
        <x:v>Zadanie_MA11_18122025_baza_vostok.pdf</x:v>
      </x:c>
      <x:c r="G1314" s="87" t="str">
        <x:v>18</x:v>
      </x:c>
      <x:c r="H1314" s="87" t="str">
        <x:v>v0.88</x:v>
      </x:c>
      <x:c r="I1314" s="87" t="str">
        <x:v>3</x:v>
      </x:c>
      <x:c r="J1314" s="30" t="str">
        <x:v>VIS_ID</x:v>
      </x:c>
      <x:c r="K1314" s="30" t="str">
        <x:v>DEC-MATH-07-001, DEC-MATH-07-002, DEC-MATH-07-003</x:v>
      </x:c>
      <x:c r="L1314" s="87" t="str">
        <x:v>CROP_VERIFIED</x:v>
      </x:c>
      <x:c r="M1314" s="87" t="str">
        <x:v>ORIGINAL_PACKAGE</x:v>
      </x:c>
      <x:c r="N1314" s="87" t="str">
        <x:v>pages/VIS-MATH-DEC-BE-TASK-P018.png</x:v>
      </x:c>
      <x:c r="O1314" s="87" t="str">
        <x:v>thumbnails/VIS-MATH-DEC-BE-TASK-P018.jpg</x:v>
      </x:c>
      <x:c r="P1314" s="87" t="str">
        <x:v>5599bfd2d860efa4d50e5db06deaadb5c0309687011278816825ac64819a8883</x:v>
      </x:c>
      <x:c r="Q1314" s="30" t="str">
        <x:v>incoming/raw/recovery-drop-01/mathematics_dec_visual_assets_v088.zip!/pages/VIS-MATH-DEC-BE-TASK-P018.png</x:v>
      </x:c>
      <x:c r="R1314" s="30" t="str">
        <x:v>MATCHED_ASSET</x:v>
      </x:c>
      <x:c r="S1314" t="e">
        <x:f>HYPERLINK("visual_gallery/index.html#"&amp;A1314,"Галерея")</x:f>
      </x:c>
    </x:row>
    <x:row r="1315">
      <x:c r="A1315" s="87" t="str">
        <x:v>VIS-MATH-DEC-BE-TASK-P019</x:v>
      </x:c>
      <x:c r="B1315" s="30" t="str">
        <x:v>Математика</x:v>
      </x:c>
      <x:c r="C1315" s="30"/>
      <x:c r="D1315" s="30" t="str">
        <x:v>МА2510207</x:v>
      </x:c>
      <x:c r="E1315" s="87" t="str">
        <x:v>TASK</x:v>
      </x:c>
      <x:c r="F1315" s="30" t="str">
        <x:v>Zadanie_MA11_18122025_baza_vostok.pdf</x:v>
      </x:c>
      <x:c r="G1315" s="87" t="str">
        <x:v>19</x:v>
      </x:c>
      <x:c r="H1315" s="87" t="str">
        <x:v>v0.88</x:v>
      </x:c>
      <x:c r="I1315" s="87" t="str">
        <x:v>3</x:v>
      </x:c>
      <x:c r="J1315" s="30" t="str">
        <x:v>VIS_ID</x:v>
      </x:c>
      <x:c r="K1315" s="30" t="str">
        <x:v>DEC-MATH-07-004, DEC-MATH-07-005, DEC-MATH-07-006</x:v>
      </x:c>
      <x:c r="L1315" s="87" t="str">
        <x:v>CROP_VERIFIED</x:v>
      </x:c>
      <x:c r="M1315" s="87" t="str">
        <x:v>ORIGINAL_PACKAGE</x:v>
      </x:c>
      <x:c r="N1315" s="87" t="str">
        <x:v>pages/VIS-MATH-DEC-BE-TASK-P019.png</x:v>
      </x:c>
      <x:c r="O1315" s="87" t="str">
        <x:v>thumbnails/VIS-MATH-DEC-BE-TASK-P019.jpg</x:v>
      </x:c>
      <x:c r="P1315" s="87" t="str">
        <x:v>1f33853105e5bd7b2969e63dc8884a68b989c0be6633f7b16e129e59bc5a606f</x:v>
      </x:c>
      <x:c r="Q1315" s="30" t="str">
        <x:v>incoming/raw/recovery-drop-01/mathematics_dec_visual_assets_v088.zip!/pages/VIS-MATH-DEC-BE-TASK-P019.png</x:v>
      </x:c>
      <x:c r="R1315" s="30" t="str">
        <x:v>MATCHED_ASSET</x:v>
      </x:c>
      <x:c r="S1315" t="e">
        <x:f>HYPERLINK("visual_gallery/index.html#"&amp;A1315,"Галерея")</x:f>
      </x:c>
    </x:row>
    <x:row r="1316">
      <x:c r="A1316" s="87" t="str">
        <x:v>VIS-MATH-DEC-BE-TASK-P020</x:v>
      </x:c>
      <x:c r="B1316" s="30" t="str">
        <x:v>Математика</x:v>
      </x:c>
      <x:c r="C1316" s="30"/>
      <x:c r="D1316" s="30" t="str">
        <x:v>МА2510207</x:v>
      </x:c>
      <x:c r="E1316" s="87" t="str">
        <x:v>TASK</x:v>
      </x:c>
      <x:c r="F1316" s="30" t="str">
        <x:v>Zadanie_MA11_18122025_baza_vostok.pdf</x:v>
      </x:c>
      <x:c r="G1316" s="87" t="str">
        <x:v>20</x:v>
      </x:c>
      <x:c r="H1316" s="87" t="str">
        <x:v>v0.88</x:v>
      </x:c>
      <x:c r="I1316" s="87" t="str">
        <x:v>1</x:v>
      </x:c>
      <x:c r="J1316" s="30" t="str">
        <x:v>VIS_ID</x:v>
      </x:c>
      <x:c r="K1316" s="30" t="str">
        <x:v>DEC-MATH-07-007</x:v>
      </x:c>
      <x:c r="L1316" s="87" t="str">
        <x:v>CROP_VERIFIED</x:v>
      </x:c>
      <x:c r="M1316" s="87" t="str">
        <x:v>ORIGINAL_PACKAGE</x:v>
      </x:c>
      <x:c r="N1316" s="87" t="str">
        <x:v>pages/VIS-MATH-DEC-BE-TASK-P020.png</x:v>
      </x:c>
      <x:c r="O1316" s="87" t="str">
        <x:v>thumbnails/VIS-MATH-DEC-BE-TASK-P020.jpg</x:v>
      </x:c>
      <x:c r="P1316" s="87" t="str">
        <x:v>485c8d1aa6dc003be6a0a03649cbb58228300af1576e6495c569e74ca88bb945</x:v>
      </x:c>
      <x:c r="Q1316" s="30" t="str">
        <x:v>incoming/raw/recovery-drop-01/mathematics_dec_visual_assets_v088.zip!/pages/VIS-MATH-DEC-BE-TASK-P020.png</x:v>
      </x:c>
      <x:c r="R1316" s="30" t="str">
        <x:v>MATCHED_ASSET</x:v>
      </x:c>
      <x:c r="S1316" t="e">
        <x:f>HYPERLINK("visual_gallery/index.html#"&amp;A1316,"Галерея")</x:f>
      </x:c>
    </x:row>
    <x:row r="1317">
      <x:c r="A1317" s="87" t="str">
        <x:v>VIS-MATH-DEC-BE-TASK-P021</x:v>
      </x:c>
      <x:c r="B1317" s="30" t="str">
        <x:v>Математика</x:v>
      </x:c>
      <x:c r="C1317" s="30"/>
      <x:c r="D1317" s="30" t="str">
        <x:v>МА2510207</x:v>
      </x:c>
      <x:c r="E1317" s="87" t="str">
        <x:v>TASK</x:v>
      </x:c>
      <x:c r="F1317" s="30" t="str">
        <x:v>Zadanie_MA11_18122025_baza_vostok.pdf</x:v>
      </x:c>
      <x:c r="G1317" s="87" t="str">
        <x:v>21</x:v>
      </x:c>
      <x:c r="H1317" s="87" t="str">
        <x:v>v0.88</x:v>
      </x:c>
      <x:c r="I1317" s="87" t="str">
        <x:v>4</x:v>
      </x:c>
      <x:c r="J1317" s="30" t="str">
        <x:v>VIS_ID</x:v>
      </x:c>
      <x:c r="K1317" s="30" t="str">
        <x:v>DEC-MATH-07-008, DEC-MATH-07-009, DEC-MATH-07-010, DEC-MATH-07-011</x:v>
      </x:c>
      <x:c r="L1317" s="87" t="str">
        <x:v>CROP_VERIFIED</x:v>
      </x:c>
      <x:c r="M1317" s="87" t="str">
        <x:v>ORIGINAL_PACKAGE</x:v>
      </x:c>
      <x:c r="N1317" s="87" t="str">
        <x:v>pages/VIS-MATH-DEC-BE-TASK-P021.png</x:v>
      </x:c>
      <x:c r="O1317" s="87" t="str">
        <x:v>thumbnails/VIS-MATH-DEC-BE-TASK-P021.jpg</x:v>
      </x:c>
      <x:c r="P1317" s="87" t="str">
        <x:v>a09e2b9edb73dace1c85d51c5a17b1ce3701b6a96276a75899c9472034b4a8e8</x:v>
      </x:c>
      <x:c r="Q1317" s="30" t="str">
        <x:v>incoming/raw/recovery-drop-01/mathematics_dec_visual_assets_v088.zip!/pages/VIS-MATH-DEC-BE-TASK-P021.png</x:v>
      </x:c>
      <x:c r="R1317" s="30" t="str">
        <x:v>MATCHED_ASSET</x:v>
      </x:c>
      <x:c r="S1317" t="e">
        <x:f>HYPERLINK("visual_gallery/index.html#"&amp;A1317,"Галерея")</x:f>
      </x:c>
    </x:row>
    <x:row r="1318">
      <x:c r="A1318" s="87" t="str">
        <x:v>VIS-MATH-DEC-BE-TASK-P022</x:v>
      </x:c>
      <x:c r="B1318" s="30" t="str">
        <x:v>Математика</x:v>
      </x:c>
      <x:c r="C1318" s="30"/>
      <x:c r="D1318" s="30" t="str">
        <x:v>МА2510207</x:v>
      </x:c>
      <x:c r="E1318" s="87" t="str">
        <x:v>TASK</x:v>
      </x:c>
      <x:c r="F1318" s="30" t="str">
        <x:v>Zadanie_MA11_18122025_baza_vostok.pdf</x:v>
      </x:c>
      <x:c r="G1318" s="87" t="str">
        <x:v>22</x:v>
      </x:c>
      <x:c r="H1318" s="87" t="str">
        <x:v>v0.88</x:v>
      </x:c>
      <x:c r="I1318" s="87" t="str">
        <x:v>5</x:v>
      </x:c>
      <x:c r="J1318" s="30" t="str">
        <x:v>VIS_ID</x:v>
      </x:c>
      <x:c r="K1318" s="30" t="str">
        <x:v>DEC-MATH-07-012, DEC-MATH-07-013, DEC-MATH-07-014, DEC-MATH-07-015, DEC-MATH-07-016</x:v>
      </x:c>
      <x:c r="L1318" s="87" t="str">
        <x:v>CROP_VERIFIED</x:v>
      </x:c>
      <x:c r="M1318" s="87" t="str">
        <x:v>ORIGINAL_PACKAGE</x:v>
      </x:c>
      <x:c r="N1318" s="87" t="str">
        <x:v>pages/VIS-MATH-DEC-BE-TASK-P022.png</x:v>
      </x:c>
      <x:c r="O1318" s="87" t="str">
        <x:v>thumbnails/VIS-MATH-DEC-BE-TASK-P022.jpg</x:v>
      </x:c>
      <x:c r="P1318" s="87" t="str">
        <x:v>e37fddb1e9bf48097e08f8d1256db6b2282ace579c70019982951d51fd179dee</x:v>
      </x:c>
      <x:c r="Q1318" s="30" t="str">
        <x:v>incoming/raw/recovery-drop-01/mathematics_dec_visual_assets_v088.zip!/pages/VIS-MATH-DEC-BE-TASK-P022.png</x:v>
      </x:c>
      <x:c r="R1318" s="30" t="str">
        <x:v>MATCHED_ASSET</x:v>
      </x:c>
      <x:c r="S1318" t="e">
        <x:f>HYPERLINK("visual_gallery/index.html#"&amp;A1318,"Галерея")</x:f>
      </x:c>
    </x:row>
    <x:row r="1319">
      <x:c r="A1319" s="87" t="str">
        <x:v>VIS-MATH-DEC-BE-TASK-P023</x:v>
      </x:c>
      <x:c r="B1319" s="30" t="str">
        <x:v>Математика</x:v>
      </x:c>
      <x:c r="C1319" s="30"/>
      <x:c r="D1319" s="30" t="str">
        <x:v>МА2510207</x:v>
      </x:c>
      <x:c r="E1319" s="87" t="str">
        <x:v>TASK</x:v>
      </x:c>
      <x:c r="F1319" s="30" t="str">
        <x:v>Zadanie_MA11_18122025_baza_vostok.pdf</x:v>
      </x:c>
      <x:c r="G1319" s="87" t="str">
        <x:v>23</x:v>
      </x:c>
      <x:c r="H1319" s="87" t="str">
        <x:v>v0.88</x:v>
      </x:c>
      <x:c r="I1319" s="87" t="str">
        <x:v>4</x:v>
      </x:c>
      <x:c r="J1319" s="30" t="str">
        <x:v>VIS_ID</x:v>
      </x:c>
      <x:c r="K1319" s="30" t="str">
        <x:v>DEC-MATH-07-017, DEC-MATH-07-018, DEC-MATH-07-019, DEC-MATH-07-020</x:v>
      </x:c>
      <x:c r="L1319" s="87" t="str">
        <x:v>CROP_VERIFIED</x:v>
      </x:c>
      <x:c r="M1319" s="87" t="str">
        <x:v>ORIGINAL_PACKAGE</x:v>
      </x:c>
      <x:c r="N1319" s="87" t="str">
        <x:v>pages/VIS-MATH-DEC-BE-TASK-P023.png</x:v>
      </x:c>
      <x:c r="O1319" s="87" t="str">
        <x:v>thumbnails/VIS-MATH-DEC-BE-TASK-P023.jpg</x:v>
      </x:c>
      <x:c r="P1319" s="87" t="str">
        <x:v>bdca80183f257a147fde9866a773e017beca2d7caf31e1b88235a5d6cd4bbc54</x:v>
      </x:c>
      <x:c r="Q1319" s="30" t="str">
        <x:v>incoming/raw/recovery-drop-01/mathematics_dec_visual_assets_v088.zip!/pages/VIS-MATH-DEC-BE-TASK-P023.png</x:v>
      </x:c>
      <x:c r="R1319" s="30" t="str">
        <x:v>MATCHED_ASSET</x:v>
      </x:c>
      <x:c r="S1319" t="e">
        <x:f>HYPERLINK("visual_gallery/index.html#"&amp;A1319,"Галерея")</x:f>
      </x:c>
    </x:row>
    <x:row r="1320">
      <x:c r="A1320" s="87" t="str">
        <x:v>VIS-MATH-DEC-BE-TASK-P024</x:v>
      </x:c>
      <x:c r="B1320" s="30" t="str">
        <x:v>Математика</x:v>
      </x:c>
      <x:c r="C1320" s="30"/>
      <x:c r="D1320" s="30" t="str">
        <x:v>МА2510207</x:v>
      </x:c>
      <x:c r="E1320" s="87" t="str">
        <x:v>TASK</x:v>
      </x:c>
      <x:c r="F1320" s="30" t="str">
        <x:v>Zadanie_MA11_18122025_baza_vostok.pdf</x:v>
      </x:c>
      <x:c r="G1320" s="87" t="str">
        <x:v>24</x:v>
      </x:c>
      <x:c r="H1320" s="87" t="str">
        <x:v>v0.88</x:v>
      </x:c>
      <x:c r="I1320" s="87" t="str">
        <x:v>1</x:v>
      </x:c>
      <x:c r="J1320" s="30" t="str">
        <x:v>VIS_ID</x:v>
      </x:c>
      <x:c r="K1320" s="30" t="str">
        <x:v>DEC-MATH-07-021</x:v>
      </x:c>
      <x:c r="L1320" s="87" t="str">
        <x:v>CROP_VERIFIED</x:v>
      </x:c>
      <x:c r="M1320" s="87" t="str">
        <x:v>ORIGINAL_PACKAGE</x:v>
      </x:c>
      <x:c r="N1320" s="87" t="str">
        <x:v>pages/VIS-MATH-DEC-BE-TASK-P024.png</x:v>
      </x:c>
      <x:c r="O1320" s="87" t="str">
        <x:v>thumbnails/VIS-MATH-DEC-BE-TASK-P024.jpg</x:v>
      </x:c>
      <x:c r="P1320" s="87" t="str">
        <x:v>143a8f412453b6f40974e86a968e30f6c8c144121df65bd651e1acd3ae623bbc</x:v>
      </x:c>
      <x:c r="Q1320" s="30" t="str">
        <x:v>incoming/raw/recovery-drop-01/mathematics_dec_visual_assets_v088.zip!/pages/VIS-MATH-DEC-BE-TASK-P024.png</x:v>
      </x:c>
      <x:c r="R1320" s="30" t="str">
        <x:v>MATCHED_ASSET</x:v>
      </x:c>
      <x:c r="S1320" t="e">
        <x:f>HYPERLINK("visual_gallery/index.html#"&amp;A1320,"Галерея")</x:f>
      </x:c>
    </x:row>
    <x:row r="1321">
      <x:c r="A1321" s="87" t="str">
        <x:v>VIS-MATH-DEC-BE-TASK-P025</x:v>
      </x:c>
      <x:c r="B1321" s="30" t="str"/>
      <x:c r="C1321" s="30"/>
      <x:c r="D1321" s="30" t="str"/>
      <x:c r="E1321" s="87" t="str">
        <x:v>TASK</x:v>
      </x:c>
      <x:c r="F1321" s="30" t="str">
        <x:v>Zadanie_MA11_18122025_baza_vostok.pdf</x:v>
      </x:c>
      <x:c r="G1321" s="87" t="str">
        <x:v>25</x:v>
      </x:c>
      <x:c r="H1321" s="87" t="str">
        <x:v>v0.88</x:v>
      </x:c>
      <x:c r="I1321" s="87" t="str">
        <x:v>0</x:v>
      </x:c>
      <x:c r="J1321" s="30" t="str"/>
      <x:c r="K1321" s="30" t="str"/>
      <x:c r="L1321" s="87" t="str">
        <x:v>CROP_VERIFIED</x:v>
      </x:c>
      <x:c r="M1321" s="87" t="str">
        <x:v>ORIGINAL_PACKAGE</x:v>
      </x:c>
      <x:c r="N1321" s="87" t="str">
        <x:v>pages/VIS-MATH-DEC-BE-TASK-P025.png</x:v>
      </x:c>
      <x:c r="O1321" s="87" t="str">
        <x:v>thumbnails/VIS-MATH-DEC-BE-TASK-P025.jpg</x:v>
      </x:c>
      <x:c r="P1321" s="87" t="str">
        <x:v>60cedb503646e7fa4949053b1fad22168a6fba7cca86780f984386d589b61f2a</x:v>
      </x:c>
      <x:c r="Q1321" s="30" t="str">
        <x:v>incoming/raw/recovery-drop-01/mathematics_dec_visual_assets_v088.zip!/pages/VIS-MATH-DEC-BE-TASK-P025.png</x:v>
      </x:c>
      <x:c r="R1321" s="30" t="str">
        <x:v>RESOLVED_UNLINKED_REGISTRY_VISUAL</x:v>
      </x:c>
      <x:c r="S1321" t="e">
        <x:f>HYPERLINK("visual_gallery/index.html#"&amp;A1321,"Галерея")</x:f>
      </x:c>
    </x:row>
    <x:row r="1322">
      <x:c r="A1322" s="87" t="str">
        <x:v>VIS-MATH-DEC-BE-TASK-P026</x:v>
      </x:c>
      <x:c r="B1322" s="30" t="str">
        <x:v>Математика</x:v>
      </x:c>
      <x:c r="C1322" s="30"/>
      <x:c r="D1322" s="30" t="str">
        <x:v>МА2510208</x:v>
      </x:c>
      <x:c r="E1322" s="87" t="str">
        <x:v>TASK</x:v>
      </x:c>
      <x:c r="F1322" s="30" t="str">
        <x:v>Zadanie_MA11_18122025_baza_vostok.pdf</x:v>
      </x:c>
      <x:c r="G1322" s="87" t="str">
        <x:v>26</x:v>
      </x:c>
      <x:c r="H1322" s="87" t="str">
        <x:v>v0.88</x:v>
      </x:c>
      <x:c r="I1322" s="87" t="str">
        <x:v>3</x:v>
      </x:c>
      <x:c r="J1322" s="30" t="str">
        <x:v>VIS_ID</x:v>
      </x:c>
      <x:c r="K1322" s="30" t="str">
        <x:v>DEC-MATH-08-001, DEC-MATH-08-002, DEC-MATH-08-003</x:v>
      </x:c>
      <x:c r="L1322" s="87" t="str">
        <x:v>CROP_VERIFIED</x:v>
      </x:c>
      <x:c r="M1322" s="87" t="str">
        <x:v>ORIGINAL_PACKAGE</x:v>
      </x:c>
      <x:c r="N1322" s="87" t="str">
        <x:v>pages/VIS-MATH-DEC-BE-TASK-P026.png</x:v>
      </x:c>
      <x:c r="O1322" s="87" t="str">
        <x:v>thumbnails/VIS-MATH-DEC-BE-TASK-P026.jpg</x:v>
      </x:c>
      <x:c r="P1322" s="87" t="str">
        <x:v>bab7543683fc15eb92426022362ce927b92903ce83f4b6eb95b5f322b7fbd128</x:v>
      </x:c>
      <x:c r="Q1322" s="30" t="str">
        <x:v>incoming/raw/recovery-drop-01/mathematics_dec_visual_assets_v088.zip!/pages/VIS-MATH-DEC-BE-TASK-P026.png</x:v>
      </x:c>
      <x:c r="R1322" s="30" t="str">
        <x:v>MATCHED_ASSET</x:v>
      </x:c>
      <x:c r="S1322" t="e">
        <x:f>HYPERLINK("visual_gallery/index.html#"&amp;A1322,"Галерея")</x:f>
      </x:c>
    </x:row>
    <x:row r="1323">
      <x:c r="A1323" s="87" t="str">
        <x:v>VIS-MATH-DEC-BE-TASK-P027</x:v>
      </x:c>
      <x:c r="B1323" s="30" t="str">
        <x:v>Математика</x:v>
      </x:c>
      <x:c r="C1323" s="30"/>
      <x:c r="D1323" s="30" t="str">
        <x:v>МА2510208</x:v>
      </x:c>
      <x:c r="E1323" s="87" t="str">
        <x:v>TASK</x:v>
      </x:c>
      <x:c r="F1323" s="30" t="str">
        <x:v>Zadanie_MA11_18122025_baza_vostok.pdf</x:v>
      </x:c>
      <x:c r="G1323" s="87" t="str">
        <x:v>27</x:v>
      </x:c>
      <x:c r="H1323" s="87" t="str">
        <x:v>v0.88</x:v>
      </x:c>
      <x:c r="I1323" s="87" t="str">
        <x:v>3</x:v>
      </x:c>
      <x:c r="J1323" s="30" t="str">
        <x:v>VIS_ID</x:v>
      </x:c>
      <x:c r="K1323" s="30" t="str">
        <x:v>DEC-MATH-08-004, DEC-MATH-08-005, DEC-MATH-08-006</x:v>
      </x:c>
      <x:c r="L1323" s="87" t="str">
        <x:v>CROP_VERIFIED</x:v>
      </x:c>
      <x:c r="M1323" s="87" t="str">
        <x:v>ORIGINAL_PACKAGE</x:v>
      </x:c>
      <x:c r="N1323" s="87" t="str">
        <x:v>pages/VIS-MATH-DEC-BE-TASK-P027.png</x:v>
      </x:c>
      <x:c r="O1323" s="87" t="str">
        <x:v>thumbnails/VIS-MATH-DEC-BE-TASK-P027.jpg</x:v>
      </x:c>
      <x:c r="P1323" s="87" t="str">
        <x:v>59d833b63772ed181eaf85b426fa14ddc4ac643ea500b620bd953370502267bb</x:v>
      </x:c>
      <x:c r="Q1323" s="30" t="str">
        <x:v>incoming/raw/recovery-drop-01/mathematics_dec_visual_assets_v088.zip!/pages/VIS-MATH-DEC-BE-TASK-P027.png</x:v>
      </x:c>
      <x:c r="R1323" s="30" t="str">
        <x:v>MATCHED_ASSET</x:v>
      </x:c>
      <x:c r="S1323" t="e">
        <x:f>HYPERLINK("visual_gallery/index.html#"&amp;A1323,"Галерея")</x:f>
      </x:c>
    </x:row>
    <x:row r="1324">
      <x:c r="A1324" s="87" t="str">
        <x:v>VIS-MATH-DEC-BE-TASK-P028</x:v>
      </x:c>
      <x:c r="B1324" s="30" t="str">
        <x:v>Математика</x:v>
      </x:c>
      <x:c r="C1324" s="30"/>
      <x:c r="D1324" s="30" t="str">
        <x:v>МА2510208</x:v>
      </x:c>
      <x:c r="E1324" s="87" t="str">
        <x:v>TASK</x:v>
      </x:c>
      <x:c r="F1324" s="30" t="str">
        <x:v>Zadanie_MA11_18122025_baza_vostok.pdf</x:v>
      </x:c>
      <x:c r="G1324" s="87" t="str">
        <x:v>28</x:v>
      </x:c>
      <x:c r="H1324" s="87" t="str">
        <x:v>v0.88</x:v>
      </x:c>
      <x:c r="I1324" s="87" t="str">
        <x:v>1</x:v>
      </x:c>
      <x:c r="J1324" s="30" t="str">
        <x:v>VIS_ID</x:v>
      </x:c>
      <x:c r="K1324" s="30" t="str">
        <x:v>DEC-MATH-08-007</x:v>
      </x:c>
      <x:c r="L1324" s="87" t="str">
        <x:v>CROP_VERIFIED</x:v>
      </x:c>
      <x:c r="M1324" s="87" t="str">
        <x:v>ORIGINAL_PACKAGE</x:v>
      </x:c>
      <x:c r="N1324" s="87" t="str">
        <x:v>pages/VIS-MATH-DEC-BE-TASK-P028.png</x:v>
      </x:c>
      <x:c r="O1324" s="87" t="str">
        <x:v>thumbnails/VIS-MATH-DEC-BE-TASK-P028.jpg</x:v>
      </x:c>
      <x:c r="P1324" s="87" t="str">
        <x:v>e92b448ff192b19d51423fe68be19156c41367e82a9f73a52ce3fca442bfe8eb</x:v>
      </x:c>
      <x:c r="Q1324" s="30" t="str">
        <x:v>incoming/raw/recovery-drop-01/mathematics_dec_visual_assets_v088.zip!/pages/VIS-MATH-DEC-BE-TASK-P028.png</x:v>
      </x:c>
      <x:c r="R1324" s="30" t="str">
        <x:v>MATCHED_ASSET</x:v>
      </x:c>
      <x:c r="S1324" t="e">
        <x:f>HYPERLINK("visual_gallery/index.html#"&amp;A1324,"Галерея")</x:f>
      </x:c>
    </x:row>
    <x:row r="1325">
      <x:c r="A1325" s="87" t="str">
        <x:v>VIS-MATH-DEC-BE-TASK-P029</x:v>
      </x:c>
      <x:c r="B1325" s="30" t="str">
        <x:v>Математика</x:v>
      </x:c>
      <x:c r="C1325" s="30"/>
      <x:c r="D1325" s="30" t="str">
        <x:v>МА2510208</x:v>
      </x:c>
      <x:c r="E1325" s="87" t="str">
        <x:v>TASK</x:v>
      </x:c>
      <x:c r="F1325" s="30" t="str">
        <x:v>Zadanie_MA11_18122025_baza_vostok.pdf</x:v>
      </x:c>
      <x:c r="G1325" s="87" t="str">
        <x:v>29</x:v>
      </x:c>
      <x:c r="H1325" s="87" t="str">
        <x:v>v0.88</x:v>
      </x:c>
      <x:c r="I1325" s="87" t="str">
        <x:v>3</x:v>
      </x:c>
      <x:c r="J1325" s="30" t="str">
        <x:v>VIS_ID</x:v>
      </x:c>
      <x:c r="K1325" s="30" t="str">
        <x:v>DEC-MATH-08-008, DEC-MATH-08-009, DEC-MATH-08-010</x:v>
      </x:c>
      <x:c r="L1325" s="87" t="str">
        <x:v>CROP_VERIFIED</x:v>
      </x:c>
      <x:c r="M1325" s="87" t="str">
        <x:v>ORIGINAL_PACKAGE</x:v>
      </x:c>
      <x:c r="N1325" s="87" t="str">
        <x:v>pages/VIS-MATH-DEC-BE-TASK-P029.png</x:v>
      </x:c>
      <x:c r="O1325" s="87" t="str">
        <x:v>thumbnails/VIS-MATH-DEC-BE-TASK-P029.jpg</x:v>
      </x:c>
      <x:c r="P1325" s="87" t="str">
        <x:v>b05c72925e9633caaba33145fd4ff3a4363421f81f24cd67a81ac7cb67c65bd0</x:v>
      </x:c>
      <x:c r="Q1325" s="30" t="str">
        <x:v>incoming/raw/recovery-drop-01/mathematics_dec_visual_assets_v088.zip!/pages/VIS-MATH-DEC-BE-TASK-P029.png</x:v>
      </x:c>
      <x:c r="R1325" s="30" t="str">
        <x:v>MATCHED_ASSET</x:v>
      </x:c>
      <x:c r="S1325" t="e">
        <x:f>HYPERLINK("visual_gallery/index.html#"&amp;A1325,"Галерея")</x:f>
      </x:c>
    </x:row>
    <x:row r="1326">
      <x:c r="A1326" s="87" t="str">
        <x:v>VIS-MATH-DEC-BE-TASK-P030</x:v>
      </x:c>
      <x:c r="B1326" s="30" t="str">
        <x:v>Математика</x:v>
      </x:c>
      <x:c r="C1326" s="30"/>
      <x:c r="D1326" s="30" t="str">
        <x:v>МА2510208</x:v>
      </x:c>
      <x:c r="E1326" s="87" t="str">
        <x:v>TASK</x:v>
      </x:c>
      <x:c r="F1326" s="30" t="str">
        <x:v>Zadanie_MA11_18122025_baza_vostok.pdf</x:v>
      </x:c>
      <x:c r="G1326" s="87" t="str">
        <x:v>30</x:v>
      </x:c>
      <x:c r="H1326" s="87" t="str">
        <x:v>v0.88</x:v>
      </x:c>
      <x:c r="I1326" s="87" t="str">
        <x:v>4</x:v>
      </x:c>
      <x:c r="J1326" s="30" t="str">
        <x:v>VIS_ID</x:v>
      </x:c>
      <x:c r="K1326" s="30" t="str">
        <x:v>DEC-MATH-08-011, DEC-MATH-08-012, DEC-MATH-08-013, DEC-MATH-08-014</x:v>
      </x:c>
      <x:c r="L1326" s="87" t="str">
        <x:v>CROP_VERIFIED</x:v>
      </x:c>
      <x:c r="M1326" s="87" t="str">
        <x:v>ORIGINAL_PACKAGE</x:v>
      </x:c>
      <x:c r="N1326" s="87" t="str">
        <x:v>pages/VIS-MATH-DEC-BE-TASK-P030.png</x:v>
      </x:c>
      <x:c r="O1326" s="87" t="str">
        <x:v>thumbnails/VIS-MATH-DEC-BE-TASK-P030.jpg</x:v>
      </x:c>
      <x:c r="P1326" s="87" t="str">
        <x:v>8126814691f0a6bea755af51b23ccc3499f64d490bec406f6b634f2b3d36ceb3</x:v>
      </x:c>
      <x:c r="Q1326" s="30" t="str">
        <x:v>incoming/raw/recovery-drop-01/mathematics_dec_visual_assets_v088.zip!/pages/VIS-MATH-DEC-BE-TASK-P030.png</x:v>
      </x:c>
      <x:c r="R1326" s="30" t="str">
        <x:v>MATCHED_ASSET</x:v>
      </x:c>
      <x:c r="S1326" t="e">
        <x:f>HYPERLINK("visual_gallery/index.html#"&amp;A1326,"Галерея")</x:f>
      </x:c>
    </x:row>
    <x:row r="1327">
      <x:c r="A1327" s="87" t="str">
        <x:v>VIS-MATH-DEC-BE-TASK-P031</x:v>
      </x:c>
      <x:c r="B1327" s="30" t="str">
        <x:v>Математика</x:v>
      </x:c>
      <x:c r="C1327" s="30"/>
      <x:c r="D1327" s="30" t="str">
        <x:v>МА2510208</x:v>
      </x:c>
      <x:c r="E1327" s="87" t="str">
        <x:v>TASK</x:v>
      </x:c>
      <x:c r="F1327" s="30" t="str">
        <x:v>Zadanie_MA11_18122025_baza_vostok.pdf</x:v>
      </x:c>
      <x:c r="G1327" s="87" t="str">
        <x:v>31</x:v>
      </x:c>
      <x:c r="H1327" s="87" t="str">
        <x:v>v0.88</x:v>
      </x:c>
      <x:c r="I1327" s="87" t="str">
        <x:v>4</x:v>
      </x:c>
      <x:c r="J1327" s="30" t="str">
        <x:v>VIS_ID</x:v>
      </x:c>
      <x:c r="K1327" s="30" t="str">
        <x:v>DEC-MATH-08-015, DEC-MATH-08-016, DEC-MATH-08-017, DEC-MATH-08-018</x:v>
      </x:c>
      <x:c r="L1327" s="87" t="str">
        <x:v>CROP_VERIFIED</x:v>
      </x:c>
      <x:c r="M1327" s="87" t="str">
        <x:v>ORIGINAL_PACKAGE</x:v>
      </x:c>
      <x:c r="N1327" s="87" t="str">
        <x:v>pages/VIS-MATH-DEC-BE-TASK-P031.png</x:v>
      </x:c>
      <x:c r="O1327" s="87" t="str">
        <x:v>thumbnails/VIS-MATH-DEC-BE-TASK-P031.jpg</x:v>
      </x:c>
      <x:c r="P1327" s="87" t="str">
        <x:v>d8792835aa6e7dccb88d2b59cd422f3f45b48f40a3a349ac73bf103aba18f3ea</x:v>
      </x:c>
      <x:c r="Q1327" s="30" t="str">
        <x:v>incoming/raw/recovery-drop-01/mathematics_dec_visual_assets_v088.zip!/pages/VIS-MATH-DEC-BE-TASK-P031.png</x:v>
      </x:c>
      <x:c r="R1327" s="30" t="str">
        <x:v>MATCHED_ASSET</x:v>
      </x:c>
      <x:c r="S1327" t="e">
        <x:f>HYPERLINK("visual_gallery/index.html#"&amp;A1327,"Галерея")</x:f>
      </x:c>
    </x:row>
    <x:row r="1328">
      <x:c r="A1328" s="87" t="str">
        <x:v>VIS-MATH-DEC-BE-TASK-P032</x:v>
      </x:c>
      <x:c r="B1328" s="30" t="str">
        <x:v>Математика</x:v>
      </x:c>
      <x:c r="C1328" s="30"/>
      <x:c r="D1328" s="30" t="str">
        <x:v>МА2510208</x:v>
      </x:c>
      <x:c r="E1328" s="87" t="str">
        <x:v>TASK</x:v>
      </x:c>
      <x:c r="F1328" s="30" t="str">
        <x:v>Zadanie_MA11_18122025_baza_vostok.pdf</x:v>
      </x:c>
      <x:c r="G1328" s="87" t="str">
        <x:v>32</x:v>
      </x:c>
      <x:c r="H1328" s="87" t="str">
        <x:v>v0.88</x:v>
      </x:c>
      <x:c r="I1328" s="87" t="str">
        <x:v>3</x:v>
      </x:c>
      <x:c r="J1328" s="30" t="str">
        <x:v>VIS_ID</x:v>
      </x:c>
      <x:c r="K1328" s="30" t="str">
        <x:v>DEC-MATH-08-019, DEC-MATH-08-020, DEC-MATH-08-021</x:v>
      </x:c>
      <x:c r="L1328" s="87" t="str">
        <x:v>CROP_VERIFIED</x:v>
      </x:c>
      <x:c r="M1328" s="87" t="str">
        <x:v>ORIGINAL_PACKAGE</x:v>
      </x:c>
      <x:c r="N1328" s="87" t="str">
        <x:v>pages/VIS-MATH-DEC-BE-TASK-P032.png</x:v>
      </x:c>
      <x:c r="O1328" s="87" t="str">
        <x:v>thumbnails/VIS-MATH-DEC-BE-TASK-P032.jpg</x:v>
      </x:c>
      <x:c r="P1328" s="87" t="str">
        <x:v>2c9c042262f4fb38c73b79cfd8aa15d592e4c56c063954fed500bd9e5638dee5</x:v>
      </x:c>
      <x:c r="Q1328" s="30" t="str">
        <x:v>incoming/raw/recovery-drop-01/mathematics_dec_visual_assets_v088.zip!/pages/VIS-MATH-DEC-BE-TASK-P032.png</x:v>
      </x:c>
      <x:c r="R1328" s="30" t="str">
        <x:v>MATCHED_ASSET</x:v>
      </x:c>
      <x:c r="S1328" t="e">
        <x:f>HYPERLINK("visual_gallery/index.html#"&amp;A1328,"Галерея")</x:f>
      </x:c>
    </x:row>
    <x:row r="1329">
      <x:c r="A1329" s="87" t="str">
        <x:v>VIS-MATH-DEC-BW-TASK-P001</x:v>
      </x:c>
      <x:c r="B1329" s="30" t="str"/>
      <x:c r="C1329" s="30"/>
      <x:c r="D1329" s="30" t="str"/>
      <x:c r="E1329" s="87" t="str">
        <x:v>TASK</x:v>
      </x:c>
      <x:c r="F1329" s="30" t="str">
        <x:v>Zadanie_MA11_18122025_baza_zapad.pdf</x:v>
      </x:c>
      <x:c r="G1329" s="87" t="str">
        <x:v>1</x:v>
      </x:c>
      <x:c r="H1329" s="87" t="str">
        <x:v>v0.88</x:v>
      </x:c>
      <x:c r="I1329" s="87" t="str">
        <x:v>0</x:v>
      </x:c>
      <x:c r="J1329" s="30" t="str"/>
      <x:c r="K1329" s="30" t="str"/>
      <x:c r="L1329" s="87" t="str">
        <x:v>CROP_VERIFIED</x:v>
      </x:c>
      <x:c r="M1329" s="87" t="str">
        <x:v>ORIGINAL_PACKAGE</x:v>
      </x:c>
      <x:c r="N1329" s="87" t="str">
        <x:v>pages/VIS-MATH-DEC-BW-TASK-P001.png</x:v>
      </x:c>
      <x:c r="O1329" s="87" t="str">
        <x:v>thumbnails/VIS-MATH-DEC-BW-TASK-P001.jpg</x:v>
      </x:c>
      <x:c r="P1329" s="87" t="str">
        <x:v>1640df867e25a3d1395730fe0a2c82a21a796d9416d90f579151650fe0fac1e3</x:v>
      </x:c>
      <x:c r="Q1329" s="30" t="str">
        <x:v>incoming/raw/recovery-drop-01/mathematics_dec_visual_assets_v088.zip!/pages/VIS-MATH-DEC-BW-TASK-P001.png</x:v>
      </x:c>
      <x:c r="R1329" s="30" t="str">
        <x:v>RESOLVED_UNLINKED_REGISTRY_VISUAL</x:v>
      </x:c>
      <x:c r="S1329" t="e">
        <x:f>HYPERLINK("visual_gallery/index.html#"&amp;A1329,"Галерея")</x:f>
      </x:c>
    </x:row>
    <x:row r="1330">
      <x:c r="A1330" s="87" t="str">
        <x:v>VIS-MATH-DEC-BW-TASK-P002</x:v>
      </x:c>
      <x:c r="B1330" s="30" t="str">
        <x:v>Математика</x:v>
      </x:c>
      <x:c r="C1330" s="30"/>
      <x:c r="D1330" s="30" t="str">
        <x:v>МА2510201</x:v>
      </x:c>
      <x:c r="E1330" s="87" t="str">
        <x:v>TASK</x:v>
      </x:c>
      <x:c r="F1330" s="30" t="str">
        <x:v>Zadanie_MA11_18122025_baza_zapad.pdf</x:v>
      </x:c>
      <x:c r="G1330" s="87" t="str">
        <x:v>2</x:v>
      </x:c>
      <x:c r="H1330" s="87" t="str">
        <x:v>v0.88</x:v>
      </x:c>
      <x:c r="I1330" s="87" t="str">
        <x:v>3</x:v>
      </x:c>
      <x:c r="J1330" s="30" t="str">
        <x:v>VIS_ID</x:v>
      </x:c>
      <x:c r="K1330" s="30" t="str">
        <x:v>DEC-MATH-01-001, DEC-MATH-01-002, DEC-MATH-01-003</x:v>
      </x:c>
      <x:c r="L1330" s="87" t="str">
        <x:v>CROP_VERIFIED</x:v>
      </x:c>
      <x:c r="M1330" s="87" t="str">
        <x:v>ORIGINAL_PACKAGE</x:v>
      </x:c>
      <x:c r="N1330" s="87" t="str">
        <x:v>pages/VIS-MATH-DEC-BW-TASK-P002.png</x:v>
      </x:c>
      <x:c r="O1330" s="87" t="str">
        <x:v>thumbnails/VIS-MATH-DEC-BW-TASK-P002.jpg</x:v>
      </x:c>
      <x:c r="P1330" s="87" t="str">
        <x:v>cbf9041ef23673cb7a021f3a9246fc3307fa5744047a7b6e68e5d90c297990c1</x:v>
      </x:c>
      <x:c r="Q1330" s="30" t="str">
        <x:v>incoming/raw/recovery-drop-01/mathematics_dec_visual_assets_v088.zip!/pages/VIS-MATH-DEC-BW-TASK-P002.png</x:v>
      </x:c>
      <x:c r="R1330" s="30" t="str">
        <x:v>MATCHED_ASSET</x:v>
      </x:c>
      <x:c r="S1330" t="e">
        <x:f>HYPERLINK("visual_gallery/index.html#"&amp;A1330,"Галерея")</x:f>
      </x:c>
    </x:row>
    <x:row r="1331">
      <x:c r="A1331" s="87" t="str">
        <x:v>VIS-MATH-DEC-BW-TASK-P003</x:v>
      </x:c>
      <x:c r="B1331" s="30" t="str">
        <x:v>Математика</x:v>
      </x:c>
      <x:c r="C1331" s="30"/>
      <x:c r="D1331" s="30" t="str">
        <x:v>МА2510201</x:v>
      </x:c>
      <x:c r="E1331" s="87" t="str">
        <x:v>TASK</x:v>
      </x:c>
      <x:c r="F1331" s="30" t="str">
        <x:v>Zadanie_MA11_18122025_baza_zapad.pdf</x:v>
      </x:c>
      <x:c r="G1331" s="87" t="str">
        <x:v>3</x:v>
      </x:c>
      <x:c r="H1331" s="87" t="str">
        <x:v>v0.88</x:v>
      </x:c>
      <x:c r="I1331" s="87" t="str">
        <x:v>3</x:v>
      </x:c>
      <x:c r="J1331" s="30" t="str">
        <x:v>VIS_ID</x:v>
      </x:c>
      <x:c r="K1331" s="30" t="str">
        <x:v>DEC-MATH-01-004, DEC-MATH-01-005, DEC-MATH-01-006</x:v>
      </x:c>
      <x:c r="L1331" s="87" t="str">
        <x:v>CROP_VERIFIED</x:v>
      </x:c>
      <x:c r="M1331" s="87" t="str">
        <x:v>ORIGINAL_PACKAGE</x:v>
      </x:c>
      <x:c r="N1331" s="87" t="str">
        <x:v>pages/VIS-MATH-DEC-BW-TASK-P003.png</x:v>
      </x:c>
      <x:c r="O1331" s="87" t="str">
        <x:v>thumbnails/VIS-MATH-DEC-BW-TASK-P003.jpg</x:v>
      </x:c>
      <x:c r="P1331" s="87" t="str">
        <x:v>0ff9f50723ec109840d4864018c880121ee226d6a1b8f15a3b343448d03f2938</x:v>
      </x:c>
      <x:c r="Q1331" s="30" t="str">
        <x:v>incoming/raw/recovery-drop-01/mathematics_dec_visual_assets_v088.zip!/pages/VIS-MATH-DEC-BW-TASK-P003.png</x:v>
      </x:c>
      <x:c r="R1331" s="30" t="str">
        <x:v>MATCHED_ASSET</x:v>
      </x:c>
      <x:c r="S1331" t="e">
        <x:f>HYPERLINK("visual_gallery/index.html#"&amp;A1331,"Галерея")</x:f>
      </x:c>
    </x:row>
    <x:row r="1332">
      <x:c r="A1332" s="87" t="str">
        <x:v>VIS-MATH-DEC-BW-TASK-P004</x:v>
      </x:c>
      <x:c r="B1332" s="30" t="str">
        <x:v>Математика</x:v>
      </x:c>
      <x:c r="C1332" s="30"/>
      <x:c r="D1332" s="30" t="str">
        <x:v>МА2510201</x:v>
      </x:c>
      <x:c r="E1332" s="87" t="str">
        <x:v>TASK</x:v>
      </x:c>
      <x:c r="F1332" s="30" t="str">
        <x:v>Zadanie_MA11_18122025_baza_zapad.pdf</x:v>
      </x:c>
      <x:c r="G1332" s="87" t="str">
        <x:v>4</x:v>
      </x:c>
      <x:c r="H1332" s="87" t="str">
        <x:v>v0.88</x:v>
      </x:c>
      <x:c r="I1332" s="87" t="str">
        <x:v>1</x:v>
      </x:c>
      <x:c r="J1332" s="30" t="str">
        <x:v>VIS_ID</x:v>
      </x:c>
      <x:c r="K1332" s="30" t="str">
        <x:v>DEC-MATH-01-007</x:v>
      </x:c>
      <x:c r="L1332" s="87" t="str">
        <x:v>CROP_VERIFIED</x:v>
      </x:c>
      <x:c r="M1332" s="87" t="str">
        <x:v>ORIGINAL_PACKAGE</x:v>
      </x:c>
      <x:c r="N1332" s="87" t="str">
        <x:v>pages/VIS-MATH-DEC-BW-TASK-P004.png</x:v>
      </x:c>
      <x:c r="O1332" s="87" t="str">
        <x:v>thumbnails/VIS-MATH-DEC-BW-TASK-P004.jpg</x:v>
      </x:c>
      <x:c r="P1332" s="87" t="str">
        <x:v>237ce0c8b17b1293d3622033c1ac11984f059882da4b2516cc8a40836ceb892d</x:v>
      </x:c>
      <x:c r="Q1332" s="30" t="str">
        <x:v>incoming/raw/recovery-drop-01/mathematics_dec_visual_assets_v088.zip!/pages/VIS-MATH-DEC-BW-TASK-P004.png</x:v>
      </x:c>
      <x:c r="R1332" s="30" t="str">
        <x:v>MATCHED_ASSET</x:v>
      </x:c>
      <x:c r="S1332" t="e">
        <x:f>HYPERLINK("visual_gallery/index.html#"&amp;A1332,"Галерея")</x:f>
      </x:c>
    </x:row>
    <x:row r="1333">
      <x:c r="A1333" s="87" t="str">
        <x:v>VIS-MATH-DEC-BW-TASK-P005</x:v>
      </x:c>
      <x:c r="B1333" s="30" t="str">
        <x:v>Математика</x:v>
      </x:c>
      <x:c r="C1333" s="30"/>
      <x:c r="D1333" s="30" t="str">
        <x:v>МА2510201</x:v>
      </x:c>
      <x:c r="E1333" s="87" t="str">
        <x:v>TASK</x:v>
      </x:c>
      <x:c r="F1333" s="30" t="str">
        <x:v>Zadanie_MA11_18122025_baza_zapad.pdf</x:v>
      </x:c>
      <x:c r="G1333" s="87" t="str">
        <x:v>5</x:v>
      </x:c>
      <x:c r="H1333" s="87" t="str">
        <x:v>v0.88</x:v>
      </x:c>
      <x:c r="I1333" s="87" t="str">
        <x:v>3</x:v>
      </x:c>
      <x:c r="J1333" s="30" t="str">
        <x:v>VIS_ID</x:v>
      </x:c>
      <x:c r="K1333" s="30" t="str">
        <x:v>DEC-MATH-01-008, DEC-MATH-01-009, DEC-MATH-01-010</x:v>
      </x:c>
      <x:c r="L1333" s="87" t="str">
        <x:v>CROP_VERIFIED</x:v>
      </x:c>
      <x:c r="M1333" s="87" t="str">
        <x:v>ORIGINAL_PACKAGE</x:v>
      </x:c>
      <x:c r="N1333" s="87" t="str">
        <x:v>pages/VIS-MATH-DEC-BW-TASK-P005.png</x:v>
      </x:c>
      <x:c r="O1333" s="87" t="str">
        <x:v>thumbnails/VIS-MATH-DEC-BW-TASK-P005.jpg</x:v>
      </x:c>
      <x:c r="P1333" s="87" t="str">
        <x:v>3ada0ef5164567ef561da701d9010f0f1caee8f048adea29ce19f1fbc9b3a979</x:v>
      </x:c>
      <x:c r="Q1333" s="30" t="str">
        <x:v>incoming/raw/recovery-drop-01/mathematics_dec_visual_assets_v088.zip!/pages/VIS-MATH-DEC-BW-TASK-P005.png</x:v>
      </x:c>
      <x:c r="R1333" s="30" t="str">
        <x:v>MATCHED_ASSET</x:v>
      </x:c>
      <x:c r="S1333" t="e">
        <x:f>HYPERLINK("visual_gallery/index.html#"&amp;A1333,"Галерея")</x:f>
      </x:c>
    </x:row>
    <x:row r="1334">
      <x:c r="A1334" s="87" t="str">
        <x:v>VIS-MATH-DEC-BW-TASK-P006</x:v>
      </x:c>
      <x:c r="B1334" s="30" t="str">
        <x:v>Математика</x:v>
      </x:c>
      <x:c r="C1334" s="30"/>
      <x:c r="D1334" s="30" t="str">
        <x:v>МА2510201</x:v>
      </x:c>
      <x:c r="E1334" s="87" t="str">
        <x:v>TASK</x:v>
      </x:c>
      <x:c r="F1334" s="30" t="str">
        <x:v>Zadanie_MA11_18122025_baza_zapad.pdf</x:v>
      </x:c>
      <x:c r="G1334" s="87" t="str">
        <x:v>6</x:v>
      </x:c>
      <x:c r="H1334" s="87" t="str">
        <x:v>v0.88</x:v>
      </x:c>
      <x:c r="I1334" s="87" t="str">
        <x:v>6</x:v>
      </x:c>
      <x:c r="J1334" s="30" t="str">
        <x:v>VIS_ID</x:v>
      </x:c>
      <x:c r="K1334" s="30" t="str">
        <x:v>DEC-MATH-01-011, DEC-MATH-01-012, DEC-MATH-01-013, DEC-MATH-01-014, DEC-MATH-01-015, DEC-MATH-01-016</x:v>
      </x:c>
      <x:c r="L1334" s="87" t="str">
        <x:v>CROP_VERIFIED</x:v>
      </x:c>
      <x:c r="M1334" s="87" t="str">
        <x:v>ORIGINAL_PACKAGE</x:v>
      </x:c>
      <x:c r="N1334" s="87" t="str">
        <x:v>pages/VIS-MATH-DEC-BW-TASK-P006.png</x:v>
      </x:c>
      <x:c r="O1334" s="87" t="str">
        <x:v>thumbnails/VIS-MATH-DEC-BW-TASK-P006.jpg</x:v>
      </x:c>
      <x:c r="P1334" s="87" t="str">
        <x:v>fa2a8d631e18f0e121bf41501e6e2e720f0f922f0cdab3088384a0d6396ddf52</x:v>
      </x:c>
      <x:c r="Q1334" s="30" t="str">
        <x:v>incoming/raw/recovery-drop-01/mathematics_dec_visual_assets_v088.zip!/pages/VIS-MATH-DEC-BW-TASK-P006.png</x:v>
      </x:c>
      <x:c r="R1334" s="30" t="str">
        <x:v>MATCHED_ASSET</x:v>
      </x:c>
      <x:c r="S1334" t="e">
        <x:f>HYPERLINK("visual_gallery/index.html#"&amp;A1334,"Галерея")</x:f>
      </x:c>
    </x:row>
    <x:row r="1335">
      <x:c r="A1335" s="87" t="str">
        <x:v>VIS-MATH-DEC-BW-TASK-P007</x:v>
      </x:c>
      <x:c r="B1335" s="30" t="str">
        <x:v>Математика</x:v>
      </x:c>
      <x:c r="C1335" s="30"/>
      <x:c r="D1335" s="30" t="str">
        <x:v>МА2510201</x:v>
      </x:c>
      <x:c r="E1335" s="87" t="str">
        <x:v>TASK</x:v>
      </x:c>
      <x:c r="F1335" s="30" t="str">
        <x:v>Zadanie_MA11_18122025_baza_zapad.pdf</x:v>
      </x:c>
      <x:c r="G1335" s="87" t="str">
        <x:v>7</x:v>
      </x:c>
      <x:c r="H1335" s="87" t="str">
        <x:v>v0.88</x:v>
      </x:c>
      <x:c r="I1335" s="87" t="str">
        <x:v>5</x:v>
      </x:c>
      <x:c r="J1335" s="30" t="str">
        <x:v>VIS_ID</x:v>
      </x:c>
      <x:c r="K1335" s="30" t="str">
        <x:v>DEC-MATH-01-017, DEC-MATH-01-018, DEC-MATH-01-019, DEC-MATH-01-020, DEC-MATH-01-021</x:v>
      </x:c>
      <x:c r="L1335" s="87" t="str">
        <x:v>CROP_VERIFIED</x:v>
      </x:c>
      <x:c r="M1335" s="87" t="str">
        <x:v>ORIGINAL_PACKAGE</x:v>
      </x:c>
      <x:c r="N1335" s="87" t="str">
        <x:v>pages/VIS-MATH-DEC-BW-TASK-P007.png</x:v>
      </x:c>
      <x:c r="O1335" s="87" t="str">
        <x:v>thumbnails/VIS-MATH-DEC-BW-TASK-P007.jpg</x:v>
      </x:c>
      <x:c r="P1335" s="87" t="str">
        <x:v>9e28a6667c13c61e281d8f88b6cbd25cf0916e3717bc4adc4e328ac6ed18c9a2</x:v>
      </x:c>
      <x:c r="Q1335" s="30" t="str">
        <x:v>incoming/raw/recovery-drop-01/mathematics_dec_visual_assets_v088.zip!/pages/VIS-MATH-DEC-BW-TASK-P007.png</x:v>
      </x:c>
      <x:c r="R1335" s="30" t="str">
        <x:v>MATCHED_ASSET</x:v>
      </x:c>
      <x:c r="S1335" t="e">
        <x:f>HYPERLINK("visual_gallery/index.html#"&amp;A1335,"Галерея")</x:f>
      </x:c>
    </x:row>
    <x:row r="1336">
      <x:c r="A1336" s="87" t="str">
        <x:v>VIS-MATH-DEC-BW-TASK-P008</x:v>
      </x:c>
      <x:c r="B1336" s="30" t="str"/>
      <x:c r="C1336" s="30"/>
      <x:c r="D1336" s="30" t="str"/>
      <x:c r="E1336" s="87" t="str">
        <x:v>TASK</x:v>
      </x:c>
      <x:c r="F1336" s="30" t="str">
        <x:v>Zadanie_MA11_18122025_baza_zapad.pdf</x:v>
      </x:c>
      <x:c r="G1336" s="87" t="str">
        <x:v>8</x:v>
      </x:c>
      <x:c r="H1336" s="87" t="str">
        <x:v>v0.88</x:v>
      </x:c>
      <x:c r="I1336" s="87" t="str">
        <x:v>0</x:v>
      </x:c>
      <x:c r="J1336" s="30" t="str"/>
      <x:c r="K1336" s="30" t="str"/>
      <x:c r="L1336" s="87" t="str">
        <x:v>CROP_VERIFIED</x:v>
      </x:c>
      <x:c r="M1336" s="87" t="str">
        <x:v>ORIGINAL_PACKAGE</x:v>
      </x:c>
      <x:c r="N1336" s="87" t="str">
        <x:v>pages/VIS-MATH-DEC-BW-TASK-P008.png</x:v>
      </x:c>
      <x:c r="O1336" s="87" t="str">
        <x:v>thumbnails/VIS-MATH-DEC-BW-TASK-P008.jpg</x:v>
      </x:c>
      <x:c r="P1336" s="87" t="str">
        <x:v>626673158cdd6c3ab69215d67aaae2206a9aab0a54d11e697d91f7a86b1df7a7</x:v>
      </x:c>
      <x:c r="Q1336" s="30" t="str">
        <x:v>incoming/raw/recovery-drop-01/mathematics_dec_visual_assets_v088.zip!/pages/VIS-MATH-DEC-BW-TASK-P008.png</x:v>
      </x:c>
      <x:c r="R1336" s="30" t="str">
        <x:v>RESOLVED_UNLINKED_REGISTRY_VISUAL</x:v>
      </x:c>
      <x:c r="S1336" t="e">
        <x:f>HYPERLINK("visual_gallery/index.html#"&amp;A1336,"Галерея")</x:f>
      </x:c>
    </x:row>
    <x:row r="1337">
      <x:c r="A1337" s="87" t="str">
        <x:v>VIS-MATH-DEC-BW-TASK-P009</x:v>
      </x:c>
      <x:c r="B1337" s="30" t="str">
        <x:v>Математика</x:v>
      </x:c>
      <x:c r="C1337" s="30"/>
      <x:c r="D1337" s="30" t="str">
        <x:v>МА2510202</x:v>
      </x:c>
      <x:c r="E1337" s="87" t="str">
        <x:v>TASK</x:v>
      </x:c>
      <x:c r="F1337" s="30" t="str">
        <x:v>Zadanie_MA11_18122025_baza_zapad.pdf</x:v>
      </x:c>
      <x:c r="G1337" s="87" t="str">
        <x:v>9</x:v>
      </x:c>
      <x:c r="H1337" s="87" t="str">
        <x:v>v0.88</x:v>
      </x:c>
      <x:c r="I1337" s="87" t="str">
        <x:v>3</x:v>
      </x:c>
      <x:c r="J1337" s="30" t="str">
        <x:v>VIS_ID</x:v>
      </x:c>
      <x:c r="K1337" s="30" t="str">
        <x:v>DEC-MATH-02-001, DEC-MATH-02-002, DEC-MATH-02-003</x:v>
      </x:c>
      <x:c r="L1337" s="87" t="str">
        <x:v>CROP_VERIFIED</x:v>
      </x:c>
      <x:c r="M1337" s="87" t="str">
        <x:v>ORIGINAL_PACKAGE</x:v>
      </x:c>
      <x:c r="N1337" s="87" t="str">
        <x:v>pages/VIS-MATH-DEC-BW-TASK-P009.png</x:v>
      </x:c>
      <x:c r="O1337" s="87" t="str">
        <x:v>thumbnails/VIS-MATH-DEC-BW-TASK-P009.jpg</x:v>
      </x:c>
      <x:c r="P1337" s="87" t="str">
        <x:v>4c300b5701adb700bc8bd0edf61ba1cc76cde7031d45d25e6cb0d6c716965543</x:v>
      </x:c>
      <x:c r="Q1337" s="30" t="str">
        <x:v>incoming/raw/recovery-drop-01/mathematics_dec_visual_assets_v088.zip!/pages/VIS-MATH-DEC-BW-TASK-P009.png</x:v>
      </x:c>
      <x:c r="R1337" s="30" t="str">
        <x:v>MATCHED_ASSET</x:v>
      </x:c>
      <x:c r="S1337" t="e">
        <x:f>HYPERLINK("visual_gallery/index.html#"&amp;A1337,"Галерея")</x:f>
      </x:c>
    </x:row>
    <x:row r="1338">
      <x:c r="A1338" s="87" t="str">
        <x:v>VIS-MATH-DEC-BW-TASK-P010</x:v>
      </x:c>
      <x:c r="B1338" s="30" t="str">
        <x:v>Математика</x:v>
      </x:c>
      <x:c r="C1338" s="30"/>
      <x:c r="D1338" s="30" t="str">
        <x:v>МА2510202</x:v>
      </x:c>
      <x:c r="E1338" s="87" t="str">
        <x:v>TASK</x:v>
      </x:c>
      <x:c r="F1338" s="30" t="str">
        <x:v>Zadanie_MA11_18122025_baza_zapad.pdf</x:v>
      </x:c>
      <x:c r="G1338" s="87" t="str">
        <x:v>10</x:v>
      </x:c>
      <x:c r="H1338" s="87" t="str">
        <x:v>v0.88</x:v>
      </x:c>
      <x:c r="I1338" s="87" t="str">
        <x:v>3</x:v>
      </x:c>
      <x:c r="J1338" s="30" t="str">
        <x:v>VIS_ID</x:v>
      </x:c>
      <x:c r="K1338" s="30" t="str">
        <x:v>DEC-MATH-02-004, DEC-MATH-02-005, DEC-MATH-02-006</x:v>
      </x:c>
      <x:c r="L1338" s="87" t="str">
        <x:v>CROP_VERIFIED</x:v>
      </x:c>
      <x:c r="M1338" s="87" t="str">
        <x:v>ORIGINAL_PACKAGE</x:v>
      </x:c>
      <x:c r="N1338" s="87" t="str">
        <x:v>pages/VIS-MATH-DEC-BW-TASK-P010.png</x:v>
      </x:c>
      <x:c r="O1338" s="87" t="str">
        <x:v>thumbnails/VIS-MATH-DEC-BW-TASK-P010.jpg</x:v>
      </x:c>
      <x:c r="P1338" s="87" t="str">
        <x:v>fdcc2df58be988ab5eb02a5abcd0a57afa406d0b8e75ae11a49b98083b0aa8ce</x:v>
      </x:c>
      <x:c r="Q1338" s="30" t="str">
        <x:v>incoming/raw/recovery-drop-01/mathematics_dec_visual_assets_v088.zip!/pages/VIS-MATH-DEC-BW-TASK-P010.png</x:v>
      </x:c>
      <x:c r="R1338" s="30" t="str">
        <x:v>MATCHED_ASSET</x:v>
      </x:c>
      <x:c r="S1338" t="e">
        <x:f>HYPERLINK("visual_gallery/index.html#"&amp;A1338,"Галерея")</x:f>
      </x:c>
    </x:row>
    <x:row r="1339">
      <x:c r="A1339" s="87" t="str">
        <x:v>VIS-MATH-DEC-BW-TASK-P011</x:v>
      </x:c>
      <x:c r="B1339" s="30" t="str">
        <x:v>Математика</x:v>
      </x:c>
      <x:c r="C1339" s="30"/>
      <x:c r="D1339" s="30" t="str">
        <x:v>МА2510202</x:v>
      </x:c>
      <x:c r="E1339" s="87" t="str">
        <x:v>TASK</x:v>
      </x:c>
      <x:c r="F1339" s="30" t="str">
        <x:v>Zadanie_MA11_18122025_baza_zapad.pdf</x:v>
      </x:c>
      <x:c r="G1339" s="87" t="str">
        <x:v>11</x:v>
      </x:c>
      <x:c r="H1339" s="87" t="str">
        <x:v>v0.88</x:v>
      </x:c>
      <x:c r="I1339" s="87" t="str">
        <x:v>1</x:v>
      </x:c>
      <x:c r="J1339" s="30" t="str">
        <x:v>VIS_ID</x:v>
      </x:c>
      <x:c r="K1339" s="30" t="str">
        <x:v>DEC-MATH-02-007</x:v>
      </x:c>
      <x:c r="L1339" s="87" t="str">
        <x:v>CROP_VERIFIED</x:v>
      </x:c>
      <x:c r="M1339" s="87" t="str">
        <x:v>ORIGINAL_PACKAGE</x:v>
      </x:c>
      <x:c r="N1339" s="87" t="str">
        <x:v>pages/VIS-MATH-DEC-BW-TASK-P011.png</x:v>
      </x:c>
      <x:c r="O1339" s="87" t="str">
        <x:v>thumbnails/VIS-MATH-DEC-BW-TASK-P011.jpg</x:v>
      </x:c>
      <x:c r="P1339" s="87" t="str">
        <x:v>4b20bb6cd712d5ef40a0cb16ad300f2fb52a6656a9a9fb5ec088e1fea3f3342b</x:v>
      </x:c>
      <x:c r="Q1339" s="30" t="str">
        <x:v>incoming/raw/recovery-drop-01/mathematics_dec_visual_assets_v088.zip!/pages/VIS-MATH-DEC-BW-TASK-P011.png</x:v>
      </x:c>
      <x:c r="R1339" s="30" t="str">
        <x:v>MATCHED_ASSET</x:v>
      </x:c>
      <x:c r="S1339" t="e">
        <x:f>HYPERLINK("visual_gallery/index.html#"&amp;A1339,"Галерея")</x:f>
      </x:c>
    </x:row>
    <x:row r="1340">
      <x:c r="A1340" s="87" t="str">
        <x:v>VIS-MATH-DEC-BW-TASK-P012</x:v>
      </x:c>
      <x:c r="B1340" s="30" t="str">
        <x:v>Математика</x:v>
      </x:c>
      <x:c r="C1340" s="30"/>
      <x:c r="D1340" s="30" t="str">
        <x:v>МА2510202</x:v>
      </x:c>
      <x:c r="E1340" s="87" t="str">
        <x:v>TASK</x:v>
      </x:c>
      <x:c r="F1340" s="30" t="str">
        <x:v>Zadanie_MA11_18122025_baza_zapad.pdf</x:v>
      </x:c>
      <x:c r="G1340" s="87" t="str">
        <x:v>12</x:v>
      </x:c>
      <x:c r="H1340" s="87" t="str">
        <x:v>v0.88</x:v>
      </x:c>
      <x:c r="I1340" s="87" t="str">
        <x:v>3</x:v>
      </x:c>
      <x:c r="J1340" s="30" t="str">
        <x:v>VIS_ID</x:v>
      </x:c>
      <x:c r="K1340" s="30" t="str">
        <x:v>DEC-MATH-02-008, DEC-MATH-02-009, DEC-MATH-02-010</x:v>
      </x:c>
      <x:c r="L1340" s="87" t="str">
        <x:v>CROP_VERIFIED</x:v>
      </x:c>
      <x:c r="M1340" s="87" t="str">
        <x:v>ORIGINAL_PACKAGE</x:v>
      </x:c>
      <x:c r="N1340" s="87" t="str">
        <x:v>pages/VIS-MATH-DEC-BW-TASK-P012.png</x:v>
      </x:c>
      <x:c r="O1340" s="87" t="str">
        <x:v>thumbnails/VIS-MATH-DEC-BW-TASK-P012.jpg</x:v>
      </x:c>
      <x:c r="P1340" s="87" t="str">
        <x:v>606ab4e799f745b70ce6571ba201d883adeec2ec3e8df74484c51afdf6874561</x:v>
      </x:c>
      <x:c r="Q1340" s="30" t="str">
        <x:v>incoming/raw/recovery-drop-01/mathematics_dec_visual_assets_v088.zip!/pages/VIS-MATH-DEC-BW-TASK-P012.png</x:v>
      </x:c>
      <x:c r="R1340" s="30" t="str">
        <x:v>MATCHED_ASSET</x:v>
      </x:c>
      <x:c r="S1340" t="e">
        <x:f>HYPERLINK("visual_gallery/index.html#"&amp;A1340,"Галерея")</x:f>
      </x:c>
    </x:row>
    <x:row r="1341">
      <x:c r="A1341" s="87" t="str">
        <x:v>VIS-MATH-DEC-BW-TASK-P013</x:v>
      </x:c>
      <x:c r="B1341" s="30" t="str">
        <x:v>Математика</x:v>
      </x:c>
      <x:c r="C1341" s="30"/>
      <x:c r="D1341" s="30" t="str">
        <x:v>МА2510202</x:v>
      </x:c>
      <x:c r="E1341" s="87" t="str">
        <x:v>TASK</x:v>
      </x:c>
      <x:c r="F1341" s="30" t="str">
        <x:v>Zadanie_MA11_18122025_baza_zapad.pdf</x:v>
      </x:c>
      <x:c r="G1341" s="87" t="str">
        <x:v>13</x:v>
      </x:c>
      <x:c r="H1341" s="87" t="str">
        <x:v>v0.88</x:v>
      </x:c>
      <x:c r="I1341" s="87" t="str">
        <x:v>6</x:v>
      </x:c>
      <x:c r="J1341" s="30" t="str">
        <x:v>VIS_ID</x:v>
      </x:c>
      <x:c r="K1341" s="30" t="str">
        <x:v>DEC-MATH-02-011, DEC-MATH-02-012, DEC-MATH-02-013, DEC-MATH-02-014, DEC-MATH-02-015, DEC-MATH-02-016</x:v>
      </x:c>
      <x:c r="L1341" s="87" t="str">
        <x:v>CROP_VERIFIED</x:v>
      </x:c>
      <x:c r="M1341" s="87" t="str">
        <x:v>ORIGINAL_PACKAGE</x:v>
      </x:c>
      <x:c r="N1341" s="87" t="str">
        <x:v>pages/VIS-MATH-DEC-BW-TASK-P013.png</x:v>
      </x:c>
      <x:c r="O1341" s="87" t="str">
        <x:v>thumbnails/VIS-MATH-DEC-BW-TASK-P013.jpg</x:v>
      </x:c>
      <x:c r="P1341" s="87" t="str">
        <x:v>30f73986b7065cea95bdf7d53ac272020ffb9373a5006fe55d7bc4664c890fdc</x:v>
      </x:c>
      <x:c r="Q1341" s="30" t="str">
        <x:v>incoming/raw/recovery-drop-01/mathematics_dec_visual_assets_v088.zip!/pages/VIS-MATH-DEC-BW-TASK-P013.png</x:v>
      </x:c>
      <x:c r="R1341" s="30" t="str">
        <x:v>MATCHED_ASSET</x:v>
      </x:c>
      <x:c r="S1341" t="e">
        <x:f>HYPERLINK("visual_gallery/index.html#"&amp;A1341,"Галерея")</x:f>
      </x:c>
    </x:row>
    <x:row r="1342">
      <x:c r="A1342" s="87" t="str">
        <x:v>VIS-MATH-DEC-BW-TASK-P014</x:v>
      </x:c>
      <x:c r="B1342" s="30" t="str">
        <x:v>Математика</x:v>
      </x:c>
      <x:c r="C1342" s="30"/>
      <x:c r="D1342" s="30" t="str">
        <x:v>МА2510202</x:v>
      </x:c>
      <x:c r="E1342" s="87" t="str">
        <x:v>TASK</x:v>
      </x:c>
      <x:c r="F1342" s="30" t="str">
        <x:v>Zadanie_MA11_18122025_baza_zapad.pdf</x:v>
      </x:c>
      <x:c r="G1342" s="87" t="str">
        <x:v>14</x:v>
      </x:c>
      <x:c r="H1342" s="87" t="str">
        <x:v>v0.88</x:v>
      </x:c>
      <x:c r="I1342" s="87" t="str">
        <x:v>5</x:v>
      </x:c>
      <x:c r="J1342" s="30" t="str">
        <x:v>VIS_ID</x:v>
      </x:c>
      <x:c r="K1342" s="30" t="str">
        <x:v>DEC-MATH-02-017, DEC-MATH-02-018, DEC-MATH-02-019, DEC-MATH-02-020, DEC-MATH-02-021</x:v>
      </x:c>
      <x:c r="L1342" s="87" t="str">
        <x:v>CROP_VERIFIED</x:v>
      </x:c>
      <x:c r="M1342" s="87" t="str">
        <x:v>ORIGINAL_PACKAGE</x:v>
      </x:c>
      <x:c r="N1342" s="87" t="str">
        <x:v>pages/VIS-MATH-DEC-BW-TASK-P014.png</x:v>
      </x:c>
      <x:c r="O1342" s="87" t="str">
        <x:v>thumbnails/VIS-MATH-DEC-BW-TASK-P014.jpg</x:v>
      </x:c>
      <x:c r="P1342" s="87" t="str">
        <x:v>36da3096c1993b92fdb19b9f933236f12ffe7c05623bea876d77593f18ee13e9</x:v>
      </x:c>
      <x:c r="Q1342" s="30" t="str">
        <x:v>incoming/raw/recovery-drop-01/mathematics_dec_visual_assets_v088.zip!/pages/VIS-MATH-DEC-BW-TASK-P014.png</x:v>
      </x:c>
      <x:c r="R1342" s="30" t="str">
        <x:v>MATCHED_ASSET</x:v>
      </x:c>
      <x:c r="S1342" t="e">
        <x:f>HYPERLINK("visual_gallery/index.html#"&amp;A1342,"Галерея")</x:f>
      </x:c>
    </x:row>
    <x:row r="1343">
      <x:c r="A1343" s="87" t="str">
        <x:v>VIS-MATH-DEC-BW-TASK-P015</x:v>
      </x:c>
      <x:c r="B1343" s="30" t="str"/>
      <x:c r="C1343" s="30"/>
      <x:c r="D1343" s="30" t="str"/>
      <x:c r="E1343" s="87" t="str">
        <x:v>TASK</x:v>
      </x:c>
      <x:c r="F1343" s="30" t="str">
        <x:v>Zadanie_MA11_18122025_baza_zapad.pdf</x:v>
      </x:c>
      <x:c r="G1343" s="87" t="str">
        <x:v>15</x:v>
      </x:c>
      <x:c r="H1343" s="87" t="str">
        <x:v>v0.88</x:v>
      </x:c>
      <x:c r="I1343" s="87" t="str">
        <x:v>0</x:v>
      </x:c>
      <x:c r="J1343" s="30" t="str"/>
      <x:c r="K1343" s="30" t="str"/>
      <x:c r="L1343" s="87" t="str">
        <x:v>CROP_VERIFIED</x:v>
      </x:c>
      <x:c r="M1343" s="87" t="str">
        <x:v>ORIGINAL_PACKAGE</x:v>
      </x:c>
      <x:c r="N1343" s="87" t="str">
        <x:v>pages/VIS-MATH-DEC-BW-TASK-P015.png</x:v>
      </x:c>
      <x:c r="O1343" s="87" t="str">
        <x:v>thumbnails/VIS-MATH-DEC-BW-TASK-P015.jpg</x:v>
      </x:c>
      <x:c r="P1343" s="87" t="str">
        <x:v>8c5cdadceafb1ccecaf0c1cbf966dc3fb78541d9459625f57e6e37058995b17a</x:v>
      </x:c>
      <x:c r="Q1343" s="30" t="str">
        <x:v>incoming/raw/recovery-drop-01/mathematics_dec_visual_assets_v088.zip!/pages/VIS-MATH-DEC-BW-TASK-P015.png</x:v>
      </x:c>
      <x:c r="R1343" s="30" t="str">
        <x:v>RESOLVED_UNLINKED_REGISTRY_VISUAL</x:v>
      </x:c>
      <x:c r="S1343" t="e">
        <x:f>HYPERLINK("visual_gallery/index.html#"&amp;A1343,"Галерея")</x:f>
      </x:c>
    </x:row>
    <x:row r="1344">
      <x:c r="A1344" s="87" t="str">
        <x:v>VIS-MATH-DEC-BW-TASK-P016</x:v>
      </x:c>
      <x:c r="B1344" s="30" t="str">
        <x:v>Математика</x:v>
      </x:c>
      <x:c r="C1344" s="30"/>
      <x:c r="D1344" s="30" t="str">
        <x:v>МА2510203</x:v>
      </x:c>
      <x:c r="E1344" s="87" t="str">
        <x:v>TASK</x:v>
      </x:c>
      <x:c r="F1344" s="30" t="str">
        <x:v>Zadanie_MA11_18122025_baza_zapad.pdf</x:v>
      </x:c>
      <x:c r="G1344" s="87" t="str">
        <x:v>16</x:v>
      </x:c>
      <x:c r="H1344" s="87" t="str">
        <x:v>v0.88</x:v>
      </x:c>
      <x:c r="I1344" s="87" t="str">
        <x:v>3</x:v>
      </x:c>
      <x:c r="J1344" s="30" t="str">
        <x:v>VIS_ID</x:v>
      </x:c>
      <x:c r="K1344" s="30" t="str">
        <x:v>DEC-MATH-03-001, DEC-MATH-03-002, DEC-MATH-03-003</x:v>
      </x:c>
      <x:c r="L1344" s="87" t="str">
        <x:v>CROP_VERIFIED</x:v>
      </x:c>
      <x:c r="M1344" s="87" t="str">
        <x:v>ORIGINAL_PACKAGE</x:v>
      </x:c>
      <x:c r="N1344" s="87" t="str">
        <x:v>pages/VIS-MATH-DEC-BW-TASK-P016.png</x:v>
      </x:c>
      <x:c r="O1344" s="87" t="str">
        <x:v>thumbnails/VIS-MATH-DEC-BW-TASK-P016.jpg</x:v>
      </x:c>
      <x:c r="P1344" s="87" t="str">
        <x:v>267296ecbe05b8cdd69d7a21320909366e4d15e168e25491d7305299c39b9395</x:v>
      </x:c>
      <x:c r="Q1344" s="30" t="str">
        <x:v>incoming/raw/recovery-drop-01/mathematics_dec_visual_assets_v088.zip!/pages/VIS-MATH-DEC-BW-TASK-P016.png</x:v>
      </x:c>
      <x:c r="R1344" s="30" t="str">
        <x:v>MATCHED_ASSET</x:v>
      </x:c>
      <x:c r="S1344" t="e">
        <x:f>HYPERLINK("visual_gallery/index.html#"&amp;A1344,"Галерея")</x:f>
      </x:c>
    </x:row>
    <x:row r="1345">
      <x:c r="A1345" s="87" t="str">
        <x:v>VIS-MATH-DEC-BW-TASK-P017</x:v>
      </x:c>
      <x:c r="B1345" s="30" t="str">
        <x:v>Математика</x:v>
      </x:c>
      <x:c r="C1345" s="30"/>
      <x:c r="D1345" s="30" t="str">
        <x:v>МА2510203</x:v>
      </x:c>
      <x:c r="E1345" s="87" t="str">
        <x:v>TASK</x:v>
      </x:c>
      <x:c r="F1345" s="30" t="str">
        <x:v>Zadanie_MA11_18122025_baza_zapad.pdf</x:v>
      </x:c>
      <x:c r="G1345" s="87" t="str">
        <x:v>17</x:v>
      </x:c>
      <x:c r="H1345" s="87" t="str">
        <x:v>v0.88</x:v>
      </x:c>
      <x:c r="I1345" s="87" t="str">
        <x:v>3</x:v>
      </x:c>
      <x:c r="J1345" s="30" t="str">
        <x:v>VIS_ID</x:v>
      </x:c>
      <x:c r="K1345" s="30" t="str">
        <x:v>DEC-MATH-03-004, DEC-MATH-03-005, DEC-MATH-03-006</x:v>
      </x:c>
      <x:c r="L1345" s="87" t="str">
        <x:v>CROP_VERIFIED</x:v>
      </x:c>
      <x:c r="M1345" s="87" t="str">
        <x:v>ORIGINAL_PACKAGE</x:v>
      </x:c>
      <x:c r="N1345" s="87" t="str">
        <x:v>pages/VIS-MATH-DEC-BW-TASK-P017.png</x:v>
      </x:c>
      <x:c r="O1345" s="87" t="str">
        <x:v>thumbnails/VIS-MATH-DEC-BW-TASK-P017.jpg</x:v>
      </x:c>
      <x:c r="P1345" s="87" t="str">
        <x:v>6c474839739f09c643964c275677ab083f824ee417d9135e1fddebbc0d1c15cc</x:v>
      </x:c>
      <x:c r="Q1345" s="30" t="str">
        <x:v>incoming/raw/recovery-drop-01/mathematics_dec_visual_assets_v088.zip!/pages/VIS-MATH-DEC-BW-TASK-P017.png</x:v>
      </x:c>
      <x:c r="R1345" s="30" t="str">
        <x:v>MATCHED_ASSET</x:v>
      </x:c>
      <x:c r="S1345" t="e">
        <x:f>HYPERLINK("visual_gallery/index.html#"&amp;A1345,"Галерея")</x:f>
      </x:c>
    </x:row>
    <x:row r="1346">
      <x:c r="A1346" s="87" t="str">
        <x:v>VIS-MATH-DEC-BW-TASK-P018</x:v>
      </x:c>
      <x:c r="B1346" s="30" t="str">
        <x:v>Математика</x:v>
      </x:c>
      <x:c r="C1346" s="30"/>
      <x:c r="D1346" s="30" t="str">
        <x:v>МА2510203</x:v>
      </x:c>
      <x:c r="E1346" s="87" t="str">
        <x:v>TASK</x:v>
      </x:c>
      <x:c r="F1346" s="30" t="str">
        <x:v>Zadanie_MA11_18122025_baza_zapad.pdf</x:v>
      </x:c>
      <x:c r="G1346" s="87" t="str">
        <x:v>18</x:v>
      </x:c>
      <x:c r="H1346" s="87" t="str">
        <x:v>v0.88</x:v>
      </x:c>
      <x:c r="I1346" s="87" t="str">
        <x:v>1</x:v>
      </x:c>
      <x:c r="J1346" s="30" t="str">
        <x:v>VIS_ID</x:v>
      </x:c>
      <x:c r="K1346" s="30" t="str">
        <x:v>DEC-MATH-03-007</x:v>
      </x:c>
      <x:c r="L1346" s="87" t="str">
        <x:v>CROP_VERIFIED</x:v>
      </x:c>
      <x:c r="M1346" s="87" t="str">
        <x:v>ORIGINAL_PACKAGE</x:v>
      </x:c>
      <x:c r="N1346" s="87" t="str">
        <x:v>pages/VIS-MATH-DEC-BW-TASK-P018.png</x:v>
      </x:c>
      <x:c r="O1346" s="87" t="str">
        <x:v>thumbnails/VIS-MATH-DEC-BW-TASK-P018.jpg</x:v>
      </x:c>
      <x:c r="P1346" s="87" t="str">
        <x:v>c2e62da5bc7bb1176d09873899dd41b7089dade8719871dca46cdd227802f5e7</x:v>
      </x:c>
      <x:c r="Q1346" s="30" t="str">
        <x:v>incoming/raw/recovery-drop-01/mathematics_dec_visual_assets_v088.zip!/pages/VIS-MATH-DEC-BW-TASK-P018.png</x:v>
      </x:c>
      <x:c r="R1346" s="30" t="str">
        <x:v>MATCHED_ASSET</x:v>
      </x:c>
      <x:c r="S1346" t="e">
        <x:f>HYPERLINK("visual_gallery/index.html#"&amp;A1346,"Галерея")</x:f>
      </x:c>
    </x:row>
    <x:row r="1347">
      <x:c r="A1347" s="87" t="str">
        <x:v>VIS-MATH-DEC-BW-TASK-P019</x:v>
      </x:c>
      <x:c r="B1347" s="30" t="str">
        <x:v>Математика</x:v>
      </x:c>
      <x:c r="C1347" s="30"/>
      <x:c r="D1347" s="30" t="str">
        <x:v>МА2510203</x:v>
      </x:c>
      <x:c r="E1347" s="87" t="str">
        <x:v>TASK</x:v>
      </x:c>
      <x:c r="F1347" s="30" t="str">
        <x:v>Zadanie_MA11_18122025_baza_zapad.pdf</x:v>
      </x:c>
      <x:c r="G1347" s="87" t="str">
        <x:v>19</x:v>
      </x:c>
      <x:c r="H1347" s="87" t="str">
        <x:v>v0.88</x:v>
      </x:c>
      <x:c r="I1347" s="87" t="str">
        <x:v>3</x:v>
      </x:c>
      <x:c r="J1347" s="30" t="str">
        <x:v>VIS_ID</x:v>
      </x:c>
      <x:c r="K1347" s="30" t="str">
        <x:v>DEC-MATH-03-008, DEC-MATH-03-009, DEC-MATH-03-010</x:v>
      </x:c>
      <x:c r="L1347" s="87" t="str">
        <x:v>CROP_VERIFIED</x:v>
      </x:c>
      <x:c r="M1347" s="87" t="str">
        <x:v>ORIGINAL_PACKAGE</x:v>
      </x:c>
      <x:c r="N1347" s="87" t="str">
        <x:v>pages/VIS-MATH-DEC-BW-TASK-P019.png</x:v>
      </x:c>
      <x:c r="O1347" s="87" t="str">
        <x:v>thumbnails/VIS-MATH-DEC-BW-TASK-P019.jpg</x:v>
      </x:c>
      <x:c r="P1347" s="87" t="str">
        <x:v>2d3c9ce3276656d46164104ebef63f9338aa424b8ad01a6b9f4ac488d4510543</x:v>
      </x:c>
      <x:c r="Q1347" s="30" t="str">
        <x:v>incoming/raw/recovery-drop-01/mathematics_dec_visual_assets_v088.zip!/pages/VIS-MATH-DEC-BW-TASK-P019.png</x:v>
      </x:c>
      <x:c r="R1347" s="30" t="str">
        <x:v>MATCHED_ASSET</x:v>
      </x:c>
      <x:c r="S1347" t="e">
        <x:f>HYPERLINK("visual_gallery/index.html#"&amp;A1347,"Галерея")</x:f>
      </x:c>
    </x:row>
    <x:row r="1348">
      <x:c r="A1348" s="87" t="str">
        <x:v>VIS-MATH-DEC-BW-TASK-P020</x:v>
      </x:c>
      <x:c r="B1348" s="30" t="str">
        <x:v>Математика</x:v>
      </x:c>
      <x:c r="C1348" s="30"/>
      <x:c r="D1348" s="30" t="str">
        <x:v>МА2510203</x:v>
      </x:c>
      <x:c r="E1348" s="87" t="str">
        <x:v>TASK</x:v>
      </x:c>
      <x:c r="F1348" s="30" t="str">
        <x:v>Zadanie_MA11_18122025_baza_zapad.pdf</x:v>
      </x:c>
      <x:c r="G1348" s="87" t="str">
        <x:v>20</x:v>
      </x:c>
      <x:c r="H1348" s="87" t="str">
        <x:v>v0.88</x:v>
      </x:c>
      <x:c r="I1348" s="87" t="str">
        <x:v>6</x:v>
      </x:c>
      <x:c r="J1348" s="30" t="str">
        <x:v>VIS_ID</x:v>
      </x:c>
      <x:c r="K1348" s="30" t="str">
        <x:v>DEC-MATH-03-011, DEC-MATH-03-012, DEC-MATH-03-013, DEC-MATH-03-014, DEC-MATH-03-015, DEC-MATH-03-016</x:v>
      </x:c>
      <x:c r="L1348" s="87" t="str">
        <x:v>CROP_VERIFIED</x:v>
      </x:c>
      <x:c r="M1348" s="87" t="str">
        <x:v>ORIGINAL_PACKAGE</x:v>
      </x:c>
      <x:c r="N1348" s="87" t="str">
        <x:v>pages/VIS-MATH-DEC-BW-TASK-P020.png</x:v>
      </x:c>
      <x:c r="O1348" s="87" t="str">
        <x:v>thumbnails/VIS-MATH-DEC-BW-TASK-P020.jpg</x:v>
      </x:c>
      <x:c r="P1348" s="87" t="str">
        <x:v>57d762f7dd32c7c8be97909df5b1505b0a24bd4a0f74400ac529d5b133ef95df</x:v>
      </x:c>
      <x:c r="Q1348" s="30" t="str">
        <x:v>incoming/raw/recovery-drop-01/mathematics_dec_visual_assets_v088.zip!/pages/VIS-MATH-DEC-BW-TASK-P020.png</x:v>
      </x:c>
      <x:c r="R1348" s="30" t="str">
        <x:v>MATCHED_ASSET</x:v>
      </x:c>
      <x:c r="S1348" t="e">
        <x:f>HYPERLINK("visual_gallery/index.html#"&amp;A1348,"Галерея")</x:f>
      </x:c>
    </x:row>
    <x:row r="1349">
      <x:c r="A1349" s="87" t="str">
        <x:v>VIS-MATH-DEC-BW-TASK-P021</x:v>
      </x:c>
      <x:c r="B1349" s="30" t="str">
        <x:v>Математика</x:v>
      </x:c>
      <x:c r="C1349" s="30"/>
      <x:c r="D1349" s="30" t="str">
        <x:v>МА2510203</x:v>
      </x:c>
      <x:c r="E1349" s="87" t="str">
        <x:v>TASK</x:v>
      </x:c>
      <x:c r="F1349" s="30" t="str">
        <x:v>Zadanie_MA11_18122025_baza_zapad.pdf</x:v>
      </x:c>
      <x:c r="G1349" s="87" t="str">
        <x:v>21</x:v>
      </x:c>
      <x:c r="H1349" s="87" t="str">
        <x:v>v0.88</x:v>
      </x:c>
      <x:c r="I1349" s="87" t="str">
        <x:v>5</x:v>
      </x:c>
      <x:c r="J1349" s="30" t="str">
        <x:v>VIS_ID</x:v>
      </x:c>
      <x:c r="K1349" s="30" t="str">
        <x:v>DEC-MATH-03-017, DEC-MATH-03-018, DEC-MATH-03-019, DEC-MATH-03-020, DEC-MATH-03-021</x:v>
      </x:c>
      <x:c r="L1349" s="87" t="str">
        <x:v>CROP_VERIFIED</x:v>
      </x:c>
      <x:c r="M1349" s="87" t="str">
        <x:v>ORIGINAL_PACKAGE</x:v>
      </x:c>
      <x:c r="N1349" s="87" t="str">
        <x:v>pages/VIS-MATH-DEC-BW-TASK-P021.png</x:v>
      </x:c>
      <x:c r="O1349" s="87" t="str">
        <x:v>thumbnails/VIS-MATH-DEC-BW-TASK-P021.jpg</x:v>
      </x:c>
      <x:c r="P1349" s="87" t="str">
        <x:v>a3c2144345b16599b4c01f545d8cb668eed8a6afb3120fb54c51686c3feb8657</x:v>
      </x:c>
      <x:c r="Q1349" s="30" t="str">
        <x:v>incoming/raw/recovery-drop-01/mathematics_dec_visual_assets_v088.zip!/pages/VIS-MATH-DEC-BW-TASK-P021.png</x:v>
      </x:c>
      <x:c r="R1349" s="30" t="str">
        <x:v>MATCHED_ASSET</x:v>
      </x:c>
      <x:c r="S1349" t="e">
        <x:f>HYPERLINK("visual_gallery/index.html#"&amp;A1349,"Галерея")</x:f>
      </x:c>
    </x:row>
    <x:row r="1350">
      <x:c r="A1350" s="87" t="str">
        <x:v>VIS-MATH-DEC-BW-TASK-P022</x:v>
      </x:c>
      <x:c r="B1350" s="30" t="str"/>
      <x:c r="C1350" s="30"/>
      <x:c r="D1350" s="30" t="str"/>
      <x:c r="E1350" s="87" t="str">
        <x:v>TASK</x:v>
      </x:c>
      <x:c r="F1350" s="30" t="str">
        <x:v>Zadanie_MA11_18122025_baza_zapad.pdf</x:v>
      </x:c>
      <x:c r="G1350" s="87" t="str">
        <x:v>22</x:v>
      </x:c>
      <x:c r="H1350" s="87" t="str">
        <x:v>v0.88</x:v>
      </x:c>
      <x:c r="I1350" s="87" t="str">
        <x:v>0</x:v>
      </x:c>
      <x:c r="J1350" s="30" t="str"/>
      <x:c r="K1350" s="30" t="str"/>
      <x:c r="L1350" s="87" t="str">
        <x:v>CROP_VERIFIED</x:v>
      </x:c>
      <x:c r="M1350" s="87" t="str">
        <x:v>ORIGINAL_PACKAGE</x:v>
      </x:c>
      <x:c r="N1350" s="87" t="str">
        <x:v>pages/VIS-MATH-DEC-BW-TASK-P022.png</x:v>
      </x:c>
      <x:c r="O1350" s="87" t="str">
        <x:v>thumbnails/VIS-MATH-DEC-BW-TASK-P022.jpg</x:v>
      </x:c>
      <x:c r="P1350" s="87" t="str">
        <x:v>43ea930259be260f11824371ae7ca5e162227c78b48a7c39f6551ad0578105bc</x:v>
      </x:c>
      <x:c r="Q1350" s="30" t="str">
        <x:v>incoming/raw/recovery-drop-01/mathematics_dec_visual_assets_v088.zip!/pages/VIS-MATH-DEC-BW-TASK-P022.png</x:v>
      </x:c>
      <x:c r="R1350" s="30" t="str">
        <x:v>RESOLVED_UNLINKED_REGISTRY_VISUAL</x:v>
      </x:c>
      <x:c r="S1350" t="e">
        <x:f>HYPERLINK("visual_gallery/index.html#"&amp;A1350,"Галерея")</x:f>
      </x:c>
    </x:row>
    <x:row r="1351">
      <x:c r="A1351" s="87" t="str">
        <x:v>VIS-MATH-DEC-BW-TASK-P023</x:v>
      </x:c>
      <x:c r="B1351" s="30" t="str">
        <x:v>Математика</x:v>
      </x:c>
      <x:c r="C1351" s="30"/>
      <x:c r="D1351" s="30" t="str">
        <x:v>МА2510204</x:v>
      </x:c>
      <x:c r="E1351" s="87" t="str">
        <x:v>TASK</x:v>
      </x:c>
      <x:c r="F1351" s="30" t="str">
        <x:v>Zadanie_MA11_18122025_baza_zapad.pdf</x:v>
      </x:c>
      <x:c r="G1351" s="87" t="str">
        <x:v>23</x:v>
      </x:c>
      <x:c r="H1351" s="87" t="str">
        <x:v>v0.88</x:v>
      </x:c>
      <x:c r="I1351" s="87" t="str">
        <x:v>3</x:v>
      </x:c>
      <x:c r="J1351" s="30" t="str">
        <x:v>VIS_ID</x:v>
      </x:c>
      <x:c r="K1351" s="30" t="str">
        <x:v>DEC-MATH-04-001, DEC-MATH-04-002, DEC-MATH-04-003</x:v>
      </x:c>
      <x:c r="L1351" s="87" t="str">
        <x:v>CROP_VERIFIED</x:v>
      </x:c>
      <x:c r="M1351" s="87" t="str">
        <x:v>ORIGINAL_PACKAGE</x:v>
      </x:c>
      <x:c r="N1351" s="87" t="str">
        <x:v>pages/VIS-MATH-DEC-BW-TASK-P023.png</x:v>
      </x:c>
      <x:c r="O1351" s="87" t="str">
        <x:v>thumbnails/VIS-MATH-DEC-BW-TASK-P023.jpg</x:v>
      </x:c>
      <x:c r="P1351" s="87" t="str">
        <x:v>e6ff7848bc35ec683eb2828095b94ba0e82770a846fde5833176db2d607b72ed</x:v>
      </x:c>
      <x:c r="Q1351" s="30" t="str">
        <x:v>incoming/raw/recovery-drop-01/mathematics_dec_visual_assets_v088.zip!/pages/VIS-MATH-DEC-BW-TASK-P023.png</x:v>
      </x:c>
      <x:c r="R1351" s="30" t="str">
        <x:v>MATCHED_ASSET</x:v>
      </x:c>
      <x:c r="S1351" t="e">
        <x:f>HYPERLINK("visual_gallery/index.html#"&amp;A1351,"Галерея")</x:f>
      </x:c>
    </x:row>
    <x:row r="1352">
      <x:c r="A1352" s="87" t="str">
        <x:v>VIS-MATH-DEC-BW-TASK-P024</x:v>
      </x:c>
      <x:c r="B1352" s="30" t="str">
        <x:v>Математика</x:v>
      </x:c>
      <x:c r="C1352" s="30"/>
      <x:c r="D1352" s="30" t="str">
        <x:v>МА2510204</x:v>
      </x:c>
      <x:c r="E1352" s="87" t="str">
        <x:v>TASK</x:v>
      </x:c>
      <x:c r="F1352" s="30" t="str">
        <x:v>Zadanie_MA11_18122025_baza_zapad.pdf</x:v>
      </x:c>
      <x:c r="G1352" s="87" t="str">
        <x:v>24</x:v>
      </x:c>
      <x:c r="H1352" s="87" t="str">
        <x:v>v0.88</x:v>
      </x:c>
      <x:c r="I1352" s="87" t="str">
        <x:v>3</x:v>
      </x:c>
      <x:c r="J1352" s="30" t="str">
        <x:v>VIS_ID</x:v>
      </x:c>
      <x:c r="K1352" s="30" t="str">
        <x:v>DEC-MATH-04-004, DEC-MATH-04-005, DEC-MATH-04-006</x:v>
      </x:c>
      <x:c r="L1352" s="87" t="str">
        <x:v>CROP_VERIFIED</x:v>
      </x:c>
      <x:c r="M1352" s="87" t="str">
        <x:v>ORIGINAL_PACKAGE</x:v>
      </x:c>
      <x:c r="N1352" s="87" t="str">
        <x:v>pages/VIS-MATH-DEC-BW-TASK-P024.png</x:v>
      </x:c>
      <x:c r="O1352" s="87" t="str">
        <x:v>thumbnails/VIS-MATH-DEC-BW-TASK-P024.jpg</x:v>
      </x:c>
      <x:c r="P1352" s="87" t="str">
        <x:v>96b7cbffaab12031d7ef4cb953ba4e2091ebe948fabe1604dd656d8d14368a0f</x:v>
      </x:c>
      <x:c r="Q1352" s="30" t="str">
        <x:v>incoming/raw/recovery-drop-01/mathematics_dec_visual_assets_v088.zip!/pages/VIS-MATH-DEC-BW-TASK-P024.png</x:v>
      </x:c>
      <x:c r="R1352" s="30" t="str">
        <x:v>MATCHED_ASSET</x:v>
      </x:c>
      <x:c r="S1352" t="e">
        <x:f>HYPERLINK("visual_gallery/index.html#"&amp;A1352,"Галерея")</x:f>
      </x:c>
    </x:row>
    <x:row r="1353">
      <x:c r="A1353" s="87" t="str">
        <x:v>VIS-MATH-DEC-BW-TASK-P025</x:v>
      </x:c>
      <x:c r="B1353" s="30" t="str">
        <x:v>Математика</x:v>
      </x:c>
      <x:c r="C1353" s="30"/>
      <x:c r="D1353" s="30" t="str">
        <x:v>МА2510204</x:v>
      </x:c>
      <x:c r="E1353" s="87" t="str">
        <x:v>TASK</x:v>
      </x:c>
      <x:c r="F1353" s="30" t="str">
        <x:v>Zadanie_MA11_18122025_baza_zapad.pdf</x:v>
      </x:c>
      <x:c r="G1353" s="87" t="str">
        <x:v>25</x:v>
      </x:c>
      <x:c r="H1353" s="87" t="str">
        <x:v>v0.88</x:v>
      </x:c>
      <x:c r="I1353" s="87" t="str">
        <x:v>1</x:v>
      </x:c>
      <x:c r="J1353" s="30" t="str">
        <x:v>VIS_ID</x:v>
      </x:c>
      <x:c r="K1353" s="30" t="str">
        <x:v>DEC-MATH-04-007</x:v>
      </x:c>
      <x:c r="L1353" s="87" t="str">
        <x:v>CROP_VERIFIED</x:v>
      </x:c>
      <x:c r="M1353" s="87" t="str">
        <x:v>ORIGINAL_PACKAGE</x:v>
      </x:c>
      <x:c r="N1353" s="87" t="str">
        <x:v>pages/VIS-MATH-DEC-BW-TASK-P025.png</x:v>
      </x:c>
      <x:c r="O1353" s="87" t="str">
        <x:v>thumbnails/VIS-MATH-DEC-BW-TASK-P025.jpg</x:v>
      </x:c>
      <x:c r="P1353" s="87" t="str">
        <x:v>0d57beebbef6fd23f36834adf1c6608a2d7d383b0657aa83cef39e3ca4c450a6</x:v>
      </x:c>
      <x:c r="Q1353" s="30" t="str">
        <x:v>incoming/raw/recovery-drop-01/mathematics_dec_visual_assets_v088.zip!/pages/VIS-MATH-DEC-BW-TASK-P025.png</x:v>
      </x:c>
      <x:c r="R1353" s="30" t="str">
        <x:v>MATCHED_ASSET</x:v>
      </x:c>
      <x:c r="S1353" t="e">
        <x:f>HYPERLINK("visual_gallery/index.html#"&amp;A1353,"Галерея")</x:f>
      </x:c>
    </x:row>
    <x:row r="1354">
      <x:c r="A1354" s="87" t="str">
        <x:v>VIS-MATH-DEC-BW-TASK-P026</x:v>
      </x:c>
      <x:c r="B1354" s="30" t="str">
        <x:v>Математика</x:v>
      </x:c>
      <x:c r="C1354" s="30"/>
      <x:c r="D1354" s="30" t="str">
        <x:v>МА2510204</x:v>
      </x:c>
      <x:c r="E1354" s="87" t="str">
        <x:v>TASK</x:v>
      </x:c>
      <x:c r="F1354" s="30" t="str">
        <x:v>Zadanie_MA11_18122025_baza_zapad.pdf</x:v>
      </x:c>
      <x:c r="G1354" s="87" t="str">
        <x:v>26</x:v>
      </x:c>
      <x:c r="H1354" s="87" t="str">
        <x:v>v0.88</x:v>
      </x:c>
      <x:c r="I1354" s="87" t="str">
        <x:v>3</x:v>
      </x:c>
      <x:c r="J1354" s="30" t="str">
        <x:v>VIS_ID</x:v>
      </x:c>
      <x:c r="K1354" s="30" t="str">
        <x:v>DEC-MATH-04-008, DEC-MATH-04-009, DEC-MATH-04-010</x:v>
      </x:c>
      <x:c r="L1354" s="87" t="str">
        <x:v>CROP_VERIFIED</x:v>
      </x:c>
      <x:c r="M1354" s="87" t="str">
        <x:v>ORIGINAL_PACKAGE</x:v>
      </x:c>
      <x:c r="N1354" s="87" t="str">
        <x:v>pages/VIS-MATH-DEC-BW-TASK-P026.png</x:v>
      </x:c>
      <x:c r="O1354" s="87" t="str">
        <x:v>thumbnails/VIS-MATH-DEC-BW-TASK-P026.jpg</x:v>
      </x:c>
      <x:c r="P1354" s="87" t="str">
        <x:v>b67885f653db3076a4d2fa29136b08a9fe5b306aa00b2e86ceb40ae8f609b989</x:v>
      </x:c>
      <x:c r="Q1354" s="30" t="str">
        <x:v>incoming/raw/recovery-drop-01/mathematics_dec_visual_assets_v088.zip!/pages/VIS-MATH-DEC-BW-TASK-P026.png</x:v>
      </x:c>
      <x:c r="R1354" s="30" t="str">
        <x:v>MATCHED_ASSET</x:v>
      </x:c>
      <x:c r="S1354" t="e">
        <x:f>HYPERLINK("visual_gallery/index.html#"&amp;A1354,"Галерея")</x:f>
      </x:c>
    </x:row>
    <x:row r="1355">
      <x:c r="A1355" s="87" t="str">
        <x:v>VIS-MATH-DEC-BW-TASK-P027</x:v>
      </x:c>
      <x:c r="B1355" s="30" t="str">
        <x:v>Математика</x:v>
      </x:c>
      <x:c r="C1355" s="30"/>
      <x:c r="D1355" s="30" t="str">
        <x:v>МА2510204</x:v>
      </x:c>
      <x:c r="E1355" s="87" t="str">
        <x:v>TASK</x:v>
      </x:c>
      <x:c r="F1355" s="30" t="str">
        <x:v>Zadanie_MA11_18122025_baza_zapad.pdf</x:v>
      </x:c>
      <x:c r="G1355" s="87" t="str">
        <x:v>27</x:v>
      </x:c>
      <x:c r="H1355" s="87" t="str">
        <x:v>v0.88</x:v>
      </x:c>
      <x:c r="I1355" s="87" t="str">
        <x:v>6</x:v>
      </x:c>
      <x:c r="J1355" s="30" t="str">
        <x:v>VIS_ID</x:v>
      </x:c>
      <x:c r="K1355" s="30" t="str">
        <x:v>DEC-MATH-04-011, DEC-MATH-04-012, DEC-MATH-04-013, DEC-MATH-04-014, DEC-MATH-04-015, DEC-MATH-04-016</x:v>
      </x:c>
      <x:c r="L1355" s="87" t="str">
        <x:v>CROP_VERIFIED</x:v>
      </x:c>
      <x:c r="M1355" s="87" t="str">
        <x:v>ORIGINAL_PACKAGE</x:v>
      </x:c>
      <x:c r="N1355" s="87" t="str">
        <x:v>pages/VIS-MATH-DEC-BW-TASK-P027.png</x:v>
      </x:c>
      <x:c r="O1355" s="87" t="str">
        <x:v>thumbnails/VIS-MATH-DEC-BW-TASK-P027.jpg</x:v>
      </x:c>
      <x:c r="P1355" s="87" t="str">
        <x:v>f34723ce12ffa0ff3c200779eae7ecf2bca8dddcdfccbe1ea76bf19ebcb5e12c</x:v>
      </x:c>
      <x:c r="Q1355" s="30" t="str">
        <x:v>incoming/raw/recovery-drop-01/mathematics_dec_visual_assets_v088.zip!/pages/VIS-MATH-DEC-BW-TASK-P027.png</x:v>
      </x:c>
      <x:c r="R1355" s="30" t="str">
        <x:v>MATCHED_ASSET</x:v>
      </x:c>
      <x:c r="S1355" t="e">
        <x:f>HYPERLINK("visual_gallery/index.html#"&amp;A1355,"Галерея")</x:f>
      </x:c>
    </x:row>
    <x:row r="1356">
      <x:c r="A1356" s="87" t="str">
        <x:v>VIS-MATH-DEC-BW-TASK-P028</x:v>
      </x:c>
      <x:c r="B1356" s="30" t="str">
        <x:v>Математика</x:v>
      </x:c>
      <x:c r="C1356" s="30"/>
      <x:c r="D1356" s="30" t="str">
        <x:v>МА2510204</x:v>
      </x:c>
      <x:c r="E1356" s="87" t="str">
        <x:v>TASK</x:v>
      </x:c>
      <x:c r="F1356" s="30" t="str">
        <x:v>Zadanie_MA11_18122025_baza_zapad.pdf</x:v>
      </x:c>
      <x:c r="G1356" s="87" t="str">
        <x:v>28</x:v>
      </x:c>
      <x:c r="H1356" s="87" t="str">
        <x:v>v0.88</x:v>
      </x:c>
      <x:c r="I1356" s="87" t="str">
        <x:v>5</x:v>
      </x:c>
      <x:c r="J1356" s="30" t="str">
        <x:v>VIS_ID</x:v>
      </x:c>
      <x:c r="K1356" s="30" t="str">
        <x:v>DEC-MATH-04-017, DEC-MATH-04-018, DEC-MATH-04-019, DEC-MATH-04-020, DEC-MATH-04-021</x:v>
      </x:c>
      <x:c r="L1356" s="87" t="str">
        <x:v>CROP_VERIFIED</x:v>
      </x:c>
      <x:c r="M1356" s="87" t="str">
        <x:v>ORIGINAL_PACKAGE</x:v>
      </x:c>
      <x:c r="N1356" s="87" t="str">
        <x:v>pages/VIS-MATH-DEC-BW-TASK-P028.png</x:v>
      </x:c>
      <x:c r="O1356" s="87" t="str">
        <x:v>thumbnails/VIS-MATH-DEC-BW-TASK-P028.jpg</x:v>
      </x:c>
      <x:c r="P1356" s="87" t="str">
        <x:v>f5e37a2146dd06515dbfaa127f89159d803033e8fabe25d2fbaeada256e001e4</x:v>
      </x:c>
      <x:c r="Q1356" s="30" t="str">
        <x:v>incoming/raw/recovery-drop-01/mathematics_dec_visual_assets_v088.zip!/pages/VIS-MATH-DEC-BW-TASK-P028.png</x:v>
      </x:c>
      <x:c r="R1356" s="30" t="str">
        <x:v>MATCHED_ASSET</x:v>
      </x:c>
      <x:c r="S1356" t="e">
        <x:f>HYPERLINK("visual_gallery/index.html#"&amp;A1356,"Галерея")</x:f>
      </x:c>
    </x:row>
    <x:row r="1357">
      <x:c r="A1357" s="87" t="str">
        <x:v>VIS-MATH-DEC-CE-CRIT-P001</x:v>
      </x:c>
      <x:c r="B1357" s="30" t="str">
        <x:v>Математика</x:v>
      </x:c>
      <x:c r="C1357" s="30"/>
      <x:c r="D1357" s="30" t="str">
        <x:v>МА2510211</x:v>
      </x:c>
      <x:c r="E1357" s="87" t="str">
        <x:v>CRIT</x:v>
      </x:c>
      <x:c r="F1357" s="30" t="str">
        <x:v>Kriterii_MA11_18122025_vostok.pdf</x:v>
      </x:c>
      <x:c r="G1357" s="87" t="str">
        <x:v>1</x:v>
      </x:c>
      <x:c r="H1357" s="87" t="str">
        <x:v>v0.88</x:v>
      </x:c>
      <x:c r="I1357" s="87" t="str">
        <x:v>1</x:v>
      </x:c>
      <x:c r="J1357" s="30" t="str">
        <x:v>VIS_KEY</x:v>
      </x:c>
      <x:c r="K1357" s="30" t="str">
        <x:v>DEC-MATH-11-013</x:v>
      </x:c>
      <x:c r="L1357" s="87" t="str">
        <x:v>CROP_VERIFIED</x:v>
      </x:c>
      <x:c r="M1357" s="87" t="str">
        <x:v>ORIGINAL_PACKAGE</x:v>
      </x:c>
      <x:c r="N1357" s="87" t="str">
        <x:v>pages/VIS-MATH-DEC-CE-CRIT-P001.png</x:v>
      </x:c>
      <x:c r="O1357" s="87" t="str">
        <x:v>thumbnails/VIS-MATH-DEC-CE-CRIT-P001.jpg</x:v>
      </x:c>
      <x:c r="P1357" s="87" t="str">
        <x:v>aee7297dec245d8a5360b11dd26a692b51dbfcb394b263857007a812a9a62c3f</x:v>
      </x:c>
      <x:c r="Q1357" s="30" t="str">
        <x:v>incoming/raw/recovery-drop-01/mathematics_dec_visual_assets_v088.zip!/pages/VIS-MATH-DEC-CE-CRIT-P001.png</x:v>
      </x:c>
      <x:c r="R1357" s="30" t="str">
        <x:v>MATCHED_ASSET</x:v>
      </x:c>
      <x:c r="S1357" t="e">
        <x:f>HYPERLINK("visual_gallery/index.html#"&amp;A1357,"Галерея")</x:f>
      </x:c>
    </x:row>
    <x:row r="1358">
      <x:c r="A1358" s="87" t="str">
        <x:v>VIS-MATH-DEC-CE-CRIT-P002</x:v>
      </x:c>
      <x:c r="B1358" s="30" t="str">
        <x:v>Математика</x:v>
      </x:c>
      <x:c r="C1358" s="30"/>
      <x:c r="D1358" s="30" t="str">
        <x:v>МА2510211</x:v>
      </x:c>
      <x:c r="E1358" s="87" t="str">
        <x:v>CRIT</x:v>
      </x:c>
      <x:c r="F1358" s="30" t="str">
        <x:v>Kriterii_MA11_18122025_vostok.pdf</x:v>
      </x:c>
      <x:c r="G1358" s="87" t="str">
        <x:v>2</x:v>
      </x:c>
      <x:c r="H1358" s="87" t="str">
        <x:v>v0.88</x:v>
      </x:c>
      <x:c r="I1358" s="87" t="str">
        <x:v>1</x:v>
      </x:c>
      <x:c r="J1358" s="30" t="str">
        <x:v>VIS_KEY</x:v>
      </x:c>
      <x:c r="K1358" s="30" t="str">
        <x:v>DEC-MATH-11-014</x:v>
      </x:c>
      <x:c r="L1358" s="87" t="str">
        <x:v>CROP_VERIFIED</x:v>
      </x:c>
      <x:c r="M1358" s="87" t="str">
        <x:v>ORIGINAL_PACKAGE</x:v>
      </x:c>
      <x:c r="N1358" s="87" t="str">
        <x:v>pages/VIS-MATH-DEC-CE-CRIT-P002.png</x:v>
      </x:c>
      <x:c r="O1358" s="87" t="str">
        <x:v>thumbnails/VIS-MATH-DEC-CE-CRIT-P002.jpg</x:v>
      </x:c>
      <x:c r="P1358" s="87" t="str">
        <x:v>1edef4170cfade1ac7589cc7aa9a4b04dceab14ed5394f364c3aaf5444aa9a69</x:v>
      </x:c>
      <x:c r="Q1358" s="30" t="str">
        <x:v>incoming/raw/recovery-drop-01/mathematics_dec_visual_assets_v088.zip!/pages/VIS-MATH-DEC-CE-CRIT-P002.png</x:v>
      </x:c>
      <x:c r="R1358" s="30" t="str">
        <x:v>MATCHED_ASSET</x:v>
      </x:c>
      <x:c r="S1358" t="e">
        <x:f>HYPERLINK("visual_gallery/index.html#"&amp;A1358,"Галерея")</x:f>
      </x:c>
    </x:row>
    <x:row r="1359">
      <x:c r="A1359" s="87" t="str">
        <x:v>VIS-MATH-DEC-CE-CRIT-P003</x:v>
      </x:c>
      <x:c r="B1359" s="30" t="str">
        <x:v>Математика</x:v>
      </x:c>
      <x:c r="C1359" s="30"/>
      <x:c r="D1359" s="30" t="str">
        <x:v>МА2510211</x:v>
      </x:c>
      <x:c r="E1359" s="87" t="str">
        <x:v>CRIT</x:v>
      </x:c>
      <x:c r="F1359" s="30" t="str">
        <x:v>Kriterii_MA11_18122025_vostok.pdf</x:v>
      </x:c>
      <x:c r="G1359" s="87" t="str">
        <x:v>3</x:v>
      </x:c>
      <x:c r="H1359" s="87" t="str">
        <x:v>v0.88</x:v>
      </x:c>
      <x:c r="I1359" s="87" t="str">
        <x:v>2</x:v>
      </x:c>
      <x:c r="J1359" s="30" t="str">
        <x:v>VIS_KEY</x:v>
      </x:c>
      <x:c r="K1359" s="30" t="str">
        <x:v>DEC-MATH-11-014, DEC-MATH-11-015</x:v>
      </x:c>
      <x:c r="L1359" s="87" t="str">
        <x:v>CROP_VERIFIED</x:v>
      </x:c>
      <x:c r="M1359" s="87" t="str">
        <x:v>ORIGINAL_PACKAGE</x:v>
      </x:c>
      <x:c r="N1359" s="87" t="str">
        <x:v>pages/VIS-MATH-DEC-CE-CRIT-P003.png</x:v>
      </x:c>
      <x:c r="O1359" s="87" t="str">
        <x:v>thumbnails/VIS-MATH-DEC-CE-CRIT-P003.jpg</x:v>
      </x:c>
      <x:c r="P1359" s="87" t="str">
        <x:v>ee0966af1b66281e721b6f4170633c28fe5c451853c9b17f34c6a17c1aa17d54</x:v>
      </x:c>
      <x:c r="Q1359" s="30" t="str">
        <x:v>incoming/raw/recovery-drop-01/mathematics_dec_visual_assets_v088.zip!/pages/VIS-MATH-DEC-CE-CRIT-P003.png</x:v>
      </x:c>
      <x:c r="R1359" s="30" t="str">
        <x:v>MATCHED_ASSET</x:v>
      </x:c>
      <x:c r="S1359" t="e">
        <x:f>HYPERLINK("visual_gallery/index.html#"&amp;A1359,"Галерея")</x:f>
      </x:c>
    </x:row>
    <x:row r="1360">
      <x:c r="A1360" s="87" t="str">
        <x:v>VIS-MATH-DEC-CE-CRIT-P004</x:v>
      </x:c>
      <x:c r="B1360" s="30" t="str">
        <x:v>Математика</x:v>
      </x:c>
      <x:c r="C1360" s="30"/>
      <x:c r="D1360" s="30" t="str">
        <x:v>МА2510211</x:v>
      </x:c>
      <x:c r="E1360" s="87" t="str">
        <x:v>CRIT</x:v>
      </x:c>
      <x:c r="F1360" s="30" t="str">
        <x:v>Kriterii_MA11_18122025_vostok.pdf</x:v>
      </x:c>
      <x:c r="G1360" s="87" t="str">
        <x:v>4</x:v>
      </x:c>
      <x:c r="H1360" s="87" t="str">
        <x:v>v0.88</x:v>
      </x:c>
      <x:c r="I1360" s="87" t="str">
        <x:v>2</x:v>
      </x:c>
      <x:c r="J1360" s="30" t="str">
        <x:v>VIS_KEY</x:v>
      </x:c>
      <x:c r="K1360" s="30" t="str">
        <x:v>DEC-MATH-11-015, DEC-MATH-11-016</x:v>
      </x:c>
      <x:c r="L1360" s="87" t="str">
        <x:v>CROP_VERIFIED</x:v>
      </x:c>
      <x:c r="M1360" s="87" t="str">
        <x:v>ORIGINAL_PACKAGE</x:v>
      </x:c>
      <x:c r="N1360" s="87" t="str">
        <x:v>pages/VIS-MATH-DEC-CE-CRIT-P004.png</x:v>
      </x:c>
      <x:c r="O1360" s="87" t="str">
        <x:v>thumbnails/VIS-MATH-DEC-CE-CRIT-P004.jpg</x:v>
      </x:c>
      <x:c r="P1360" s="87" t="str">
        <x:v>6e36c8a0eeea7cdab0eb4b0cefc533cf74c07318681c35bf098e2553f3e155a6</x:v>
      </x:c>
      <x:c r="Q1360" s="30" t="str">
        <x:v>incoming/raw/recovery-drop-01/mathematics_dec_visual_assets_v088.zip!/pages/VIS-MATH-DEC-CE-CRIT-P004.png</x:v>
      </x:c>
      <x:c r="R1360" s="30" t="str">
        <x:v>MATCHED_ASSET</x:v>
      </x:c>
      <x:c r="S1360" t="e">
        <x:f>HYPERLINK("visual_gallery/index.html#"&amp;A1360,"Галерея")</x:f>
      </x:c>
    </x:row>
    <x:row r="1361">
      <x:c r="A1361" s="87" t="str">
        <x:v>VIS-MATH-DEC-CE-CRIT-P005</x:v>
      </x:c>
      <x:c r="B1361" s="30" t="str">
        <x:v>Математика</x:v>
      </x:c>
      <x:c r="C1361" s="30"/>
      <x:c r="D1361" s="30" t="str">
        <x:v>МА2510211</x:v>
      </x:c>
      <x:c r="E1361" s="87" t="str">
        <x:v>CRIT</x:v>
      </x:c>
      <x:c r="F1361" s="30" t="str">
        <x:v>Kriterii_MA11_18122025_vostok.pdf</x:v>
      </x:c>
      <x:c r="G1361" s="87" t="str">
        <x:v>5</x:v>
      </x:c>
      <x:c r="H1361" s="87" t="str">
        <x:v>v0.88</x:v>
      </x:c>
      <x:c r="I1361" s="87" t="str">
        <x:v>1</x:v>
      </x:c>
      <x:c r="J1361" s="30" t="str">
        <x:v>VIS_KEY</x:v>
      </x:c>
      <x:c r="K1361" s="30" t="str">
        <x:v>DEC-MATH-11-017</x:v>
      </x:c>
      <x:c r="L1361" s="87" t="str">
        <x:v>CROP_VERIFIED</x:v>
      </x:c>
      <x:c r="M1361" s="87" t="str">
        <x:v>ORIGINAL_PACKAGE</x:v>
      </x:c>
      <x:c r="N1361" s="87" t="str">
        <x:v>pages/VIS-MATH-DEC-CE-CRIT-P005.png</x:v>
      </x:c>
      <x:c r="O1361" s="87" t="str">
        <x:v>thumbnails/VIS-MATH-DEC-CE-CRIT-P005.jpg</x:v>
      </x:c>
      <x:c r="P1361" s="87" t="str">
        <x:v>55ec69dc3f0e802c6a19bec498721c29cb66288f6600a328b91e47b2ffbdd19d</x:v>
      </x:c>
      <x:c r="Q1361" s="30" t="str">
        <x:v>incoming/raw/recovery-drop-01/mathematics_dec_visual_assets_v088.zip!/pages/VIS-MATH-DEC-CE-CRIT-P005.png</x:v>
      </x:c>
      <x:c r="R1361" s="30" t="str">
        <x:v>MATCHED_ASSET</x:v>
      </x:c>
      <x:c r="S1361" t="e">
        <x:f>HYPERLINK("visual_gallery/index.html#"&amp;A1361,"Галерея")</x:f>
      </x:c>
    </x:row>
    <x:row r="1362">
      <x:c r="A1362" s="87" t="str">
        <x:v>VIS-MATH-DEC-CE-CRIT-P006</x:v>
      </x:c>
      <x:c r="B1362" s="30" t="str">
        <x:v>Математика</x:v>
      </x:c>
      <x:c r="C1362" s="30"/>
      <x:c r="D1362" s="30" t="str">
        <x:v>МА2510211</x:v>
      </x:c>
      <x:c r="E1362" s="87" t="str">
        <x:v>CRIT</x:v>
      </x:c>
      <x:c r="F1362" s="30" t="str">
        <x:v>Kriterii_MA11_18122025_vostok.pdf</x:v>
      </x:c>
      <x:c r="G1362" s="87" t="str">
        <x:v>6</x:v>
      </x:c>
      <x:c r="H1362" s="87" t="str">
        <x:v>v0.88</x:v>
      </x:c>
      <x:c r="I1362" s="87" t="str">
        <x:v>1</x:v>
      </x:c>
      <x:c r="J1362" s="30" t="str">
        <x:v>VIS_KEY</x:v>
      </x:c>
      <x:c r="K1362" s="30" t="str">
        <x:v>DEC-MATH-11-018</x:v>
      </x:c>
      <x:c r="L1362" s="87" t="str">
        <x:v>CROP_VERIFIED</x:v>
      </x:c>
      <x:c r="M1362" s="87" t="str">
        <x:v>ORIGINAL_PACKAGE</x:v>
      </x:c>
      <x:c r="N1362" s="87" t="str">
        <x:v>pages/VIS-MATH-DEC-CE-CRIT-P006.png</x:v>
      </x:c>
      <x:c r="O1362" s="87" t="str">
        <x:v>thumbnails/VIS-MATH-DEC-CE-CRIT-P006.jpg</x:v>
      </x:c>
      <x:c r="P1362" s="87" t="str">
        <x:v>7c683cb3c05f09bb8b96d68c1bbf9817a6c66e4b2c5e0cfd57b45330297b88d5</x:v>
      </x:c>
      <x:c r="Q1362" s="30" t="str">
        <x:v>incoming/raw/recovery-drop-01/mathematics_dec_visual_assets_v088.zip!/pages/VIS-MATH-DEC-CE-CRIT-P006.png</x:v>
      </x:c>
      <x:c r="R1362" s="30" t="str">
        <x:v>MATCHED_ASSET</x:v>
      </x:c>
      <x:c r="S1362" t="e">
        <x:f>HYPERLINK("visual_gallery/index.html#"&amp;A1362,"Галерея")</x:f>
      </x:c>
    </x:row>
    <x:row r="1363">
      <x:c r="A1363" s="87" t="str">
        <x:v>VIS-MATH-DEC-CE-CRIT-P007</x:v>
      </x:c>
      <x:c r="B1363" s="30" t="str">
        <x:v>Математика</x:v>
      </x:c>
      <x:c r="C1363" s="30"/>
      <x:c r="D1363" s="30" t="str">
        <x:v>МА2510211</x:v>
      </x:c>
      <x:c r="E1363" s="87" t="str">
        <x:v>CRIT</x:v>
      </x:c>
      <x:c r="F1363" s="30" t="str">
        <x:v>Kriterii_MA11_18122025_vostok.pdf</x:v>
      </x:c>
      <x:c r="G1363" s="87" t="str">
        <x:v>7</x:v>
      </x:c>
      <x:c r="H1363" s="87" t="str">
        <x:v>v0.88</x:v>
      </x:c>
      <x:c r="I1363" s="87" t="str">
        <x:v>1</x:v>
      </x:c>
      <x:c r="J1363" s="30" t="str">
        <x:v>VIS_KEY</x:v>
      </x:c>
      <x:c r="K1363" s="30" t="str">
        <x:v>DEC-MATH-11-018</x:v>
      </x:c>
      <x:c r="L1363" s="87" t="str">
        <x:v>CROP_VERIFIED</x:v>
      </x:c>
      <x:c r="M1363" s="87" t="str">
        <x:v>ORIGINAL_PACKAGE</x:v>
      </x:c>
      <x:c r="N1363" s="87" t="str">
        <x:v>pages/VIS-MATH-DEC-CE-CRIT-P007.png</x:v>
      </x:c>
      <x:c r="O1363" s="87" t="str">
        <x:v>thumbnails/VIS-MATH-DEC-CE-CRIT-P007.jpg</x:v>
      </x:c>
      <x:c r="P1363" s="87" t="str">
        <x:v>748eb48741558705df9c3be6d3557bfc0e2b6c946210374a2d69dec8fc388ba6</x:v>
      </x:c>
      <x:c r="Q1363" s="30" t="str">
        <x:v>incoming/raw/recovery-drop-01/mathematics_dec_visual_assets_v088.zip!/pages/VIS-MATH-DEC-CE-CRIT-P007.png</x:v>
      </x:c>
      <x:c r="R1363" s="30" t="str">
        <x:v>MATCHED_ASSET</x:v>
      </x:c>
      <x:c r="S1363" t="e">
        <x:f>HYPERLINK("visual_gallery/index.html#"&amp;A1363,"Галерея")</x:f>
      </x:c>
    </x:row>
    <x:row r="1364">
      <x:c r="A1364" s="87" t="str">
        <x:v>VIS-MATH-DEC-CE-CRIT-P008</x:v>
      </x:c>
      <x:c r="B1364" s="30" t="str">
        <x:v>Математика</x:v>
      </x:c>
      <x:c r="C1364" s="30"/>
      <x:c r="D1364" s="30" t="str">
        <x:v>МА2510211</x:v>
      </x:c>
      <x:c r="E1364" s="87" t="str">
        <x:v>CRIT</x:v>
      </x:c>
      <x:c r="F1364" s="30" t="str">
        <x:v>Kriterii_MA11_18122025_vostok.pdf</x:v>
      </x:c>
      <x:c r="G1364" s="87" t="str">
        <x:v>8</x:v>
      </x:c>
      <x:c r="H1364" s="87" t="str">
        <x:v>v0.88</x:v>
      </x:c>
      <x:c r="I1364" s="87" t="str">
        <x:v>1</x:v>
      </x:c>
      <x:c r="J1364" s="30" t="str">
        <x:v>VIS_KEY</x:v>
      </x:c>
      <x:c r="K1364" s="30" t="str">
        <x:v>DEC-MATH-11-019</x:v>
      </x:c>
      <x:c r="L1364" s="87" t="str">
        <x:v>CROP_VERIFIED</x:v>
      </x:c>
      <x:c r="M1364" s="87" t="str">
        <x:v>ORIGINAL_PACKAGE</x:v>
      </x:c>
      <x:c r="N1364" s="87" t="str">
        <x:v>pages/VIS-MATH-DEC-CE-CRIT-P008.png</x:v>
      </x:c>
      <x:c r="O1364" s="87" t="str">
        <x:v>thumbnails/VIS-MATH-DEC-CE-CRIT-P008.jpg</x:v>
      </x:c>
      <x:c r="P1364" s="87" t="str">
        <x:v>647fd948acf96ee41e009d9acc6fb08488d551de722bbd65663f18027f291574</x:v>
      </x:c>
      <x:c r="Q1364" s="30" t="str">
        <x:v>incoming/raw/recovery-drop-01/mathematics_dec_visual_assets_v088.zip!/pages/VIS-MATH-DEC-CE-CRIT-P008.png</x:v>
      </x:c>
      <x:c r="R1364" s="30" t="str">
        <x:v>MATCHED_ASSET</x:v>
      </x:c>
      <x:c r="S1364" t="e">
        <x:f>HYPERLINK("visual_gallery/index.html#"&amp;A1364,"Галерея")</x:f>
      </x:c>
    </x:row>
    <x:row r="1365">
      <x:c r="A1365" s="87" t="str">
        <x:v>VIS-MATH-DEC-CE-CRIT-P009</x:v>
      </x:c>
      <x:c r="B1365" s="30" t="str">
        <x:v>Математика</x:v>
      </x:c>
      <x:c r="C1365" s="30"/>
      <x:c r="D1365" s="30" t="str">
        <x:v>МА2510212</x:v>
      </x:c>
      <x:c r="E1365" s="87" t="str">
        <x:v>CRIT</x:v>
      </x:c>
      <x:c r="F1365" s="30" t="str">
        <x:v>Kriterii_MA11_18122025_vostok.pdf</x:v>
      </x:c>
      <x:c r="G1365" s="87" t="str">
        <x:v>9</x:v>
      </x:c>
      <x:c r="H1365" s="87" t="str">
        <x:v>v0.88</x:v>
      </x:c>
      <x:c r="I1365" s="87" t="str">
        <x:v>1</x:v>
      </x:c>
      <x:c r="J1365" s="30" t="str">
        <x:v>VIS_KEY</x:v>
      </x:c>
      <x:c r="K1365" s="30" t="str">
        <x:v>DEC-MATH-12-013</x:v>
      </x:c>
      <x:c r="L1365" s="87" t="str">
        <x:v>CROP_VERIFIED</x:v>
      </x:c>
      <x:c r="M1365" s="87" t="str">
        <x:v>ORIGINAL_PACKAGE</x:v>
      </x:c>
      <x:c r="N1365" s="87" t="str">
        <x:v>pages/VIS-MATH-DEC-CE-CRIT-P009.png</x:v>
      </x:c>
      <x:c r="O1365" s="87" t="str">
        <x:v>thumbnails/VIS-MATH-DEC-CE-CRIT-P009.jpg</x:v>
      </x:c>
      <x:c r="P1365" s="87" t="str">
        <x:v>7c2e4dfd46977a9a441a8ff12e686261fd06943419cc9b44e474b2934df5fff0</x:v>
      </x:c>
      <x:c r="Q1365" s="30" t="str">
        <x:v>incoming/raw/recovery-drop-01/mathematics_dec_visual_assets_v088.zip!/pages/VIS-MATH-DEC-CE-CRIT-P009.png</x:v>
      </x:c>
      <x:c r="R1365" s="30" t="str">
        <x:v>MATCHED_ASSET</x:v>
      </x:c>
      <x:c r="S1365" t="e">
        <x:f>HYPERLINK("visual_gallery/index.html#"&amp;A1365,"Галерея")</x:f>
      </x:c>
    </x:row>
    <x:row r="1366">
      <x:c r="A1366" s="87" t="str">
        <x:v>VIS-MATH-DEC-CE-CRIT-P010</x:v>
      </x:c>
      <x:c r="B1366" s="30" t="str">
        <x:v>Математика</x:v>
      </x:c>
      <x:c r="C1366" s="30"/>
      <x:c r="D1366" s="30" t="str">
        <x:v>МА2510212</x:v>
      </x:c>
      <x:c r="E1366" s="87" t="str">
        <x:v>CRIT</x:v>
      </x:c>
      <x:c r="F1366" s="30" t="str">
        <x:v>Kriterii_MA11_18122025_vostok.pdf</x:v>
      </x:c>
      <x:c r="G1366" s="87" t="str">
        <x:v>10</x:v>
      </x:c>
      <x:c r="H1366" s="87" t="str">
        <x:v>v0.88</x:v>
      </x:c>
      <x:c r="I1366" s="87" t="str">
        <x:v>1</x:v>
      </x:c>
      <x:c r="J1366" s="30" t="str">
        <x:v>VIS_KEY</x:v>
      </x:c>
      <x:c r="K1366" s="30" t="str">
        <x:v>DEC-MATH-12-014</x:v>
      </x:c>
      <x:c r="L1366" s="87" t="str">
        <x:v>CROP_VERIFIED</x:v>
      </x:c>
      <x:c r="M1366" s="87" t="str">
        <x:v>ORIGINAL_PACKAGE</x:v>
      </x:c>
      <x:c r="N1366" s="87" t="str">
        <x:v>pages/VIS-MATH-DEC-CE-CRIT-P010.png</x:v>
      </x:c>
      <x:c r="O1366" s="87" t="str">
        <x:v>thumbnails/VIS-MATH-DEC-CE-CRIT-P010.jpg</x:v>
      </x:c>
      <x:c r="P1366" s="87" t="str">
        <x:v>e78f110f55023627ddbee4d2ae1f7813ec8d3552a693b34e2fdcab04c57dfefb</x:v>
      </x:c>
      <x:c r="Q1366" s="30" t="str">
        <x:v>incoming/raw/recovery-drop-01/mathematics_dec_visual_assets_v088.zip!/pages/VIS-MATH-DEC-CE-CRIT-P010.png</x:v>
      </x:c>
      <x:c r="R1366" s="30" t="str">
        <x:v>MATCHED_ASSET</x:v>
      </x:c>
      <x:c r="S1366" t="e">
        <x:f>HYPERLINK("visual_gallery/index.html#"&amp;A1366,"Галерея")</x:f>
      </x:c>
    </x:row>
    <x:row r="1367">
      <x:c r="A1367" s="87" t="str">
        <x:v>VIS-MATH-DEC-CE-CRIT-P011</x:v>
      </x:c>
      <x:c r="B1367" s="30" t="str">
        <x:v>Математика</x:v>
      </x:c>
      <x:c r="C1367" s="30"/>
      <x:c r="D1367" s="30" t="str">
        <x:v>МА2510212</x:v>
      </x:c>
      <x:c r="E1367" s="87" t="str">
        <x:v>CRIT</x:v>
      </x:c>
      <x:c r="F1367" s="30" t="str">
        <x:v>Kriterii_MA11_18122025_vostok.pdf</x:v>
      </x:c>
      <x:c r="G1367" s="87" t="str">
        <x:v>11</x:v>
      </x:c>
      <x:c r="H1367" s="87" t="str">
        <x:v>v0.88</x:v>
      </x:c>
      <x:c r="I1367" s="87" t="str">
        <x:v>2</x:v>
      </x:c>
      <x:c r="J1367" s="30" t="str">
        <x:v>VIS_KEY</x:v>
      </x:c>
      <x:c r="K1367" s="30" t="str">
        <x:v>DEC-MATH-12-014, DEC-MATH-12-015</x:v>
      </x:c>
      <x:c r="L1367" s="87" t="str">
        <x:v>CROP_VERIFIED</x:v>
      </x:c>
      <x:c r="M1367" s="87" t="str">
        <x:v>ORIGINAL_PACKAGE</x:v>
      </x:c>
      <x:c r="N1367" s="87" t="str">
        <x:v>pages/VIS-MATH-DEC-CE-CRIT-P011.png</x:v>
      </x:c>
      <x:c r="O1367" s="87" t="str">
        <x:v>thumbnails/VIS-MATH-DEC-CE-CRIT-P011.jpg</x:v>
      </x:c>
      <x:c r="P1367" s="87" t="str">
        <x:v>bf58ecd892917e64a8e9c71f0f618bf8ed83885dcb0335f336a6018864776ac2</x:v>
      </x:c>
      <x:c r="Q1367" s="30" t="str">
        <x:v>incoming/raw/recovery-drop-01/mathematics_dec_visual_assets_v088.zip!/pages/VIS-MATH-DEC-CE-CRIT-P011.png</x:v>
      </x:c>
      <x:c r="R1367" s="30" t="str">
        <x:v>MATCHED_ASSET</x:v>
      </x:c>
      <x:c r="S1367" t="e">
        <x:f>HYPERLINK("visual_gallery/index.html#"&amp;A1367,"Галерея")</x:f>
      </x:c>
    </x:row>
    <x:row r="1368">
      <x:c r="A1368" s="87" t="str">
        <x:v>VIS-MATH-DEC-CE-CRIT-P012</x:v>
      </x:c>
      <x:c r="B1368" s="30" t="str">
        <x:v>Математика</x:v>
      </x:c>
      <x:c r="C1368" s="30"/>
      <x:c r="D1368" s="30" t="str">
        <x:v>МА2510212</x:v>
      </x:c>
      <x:c r="E1368" s="87" t="str">
        <x:v>CRIT</x:v>
      </x:c>
      <x:c r="F1368" s="30" t="str">
        <x:v>Kriterii_MA11_18122025_vostok.pdf</x:v>
      </x:c>
      <x:c r="G1368" s="87" t="str">
        <x:v>12</x:v>
      </x:c>
      <x:c r="H1368" s="87" t="str">
        <x:v>v0.88</x:v>
      </x:c>
      <x:c r="I1368" s="87" t="str">
        <x:v>2</x:v>
      </x:c>
      <x:c r="J1368" s="30" t="str">
        <x:v>VIS_KEY</x:v>
      </x:c>
      <x:c r="K1368" s="30" t="str">
        <x:v>DEC-MATH-12-015, DEC-MATH-12-016</x:v>
      </x:c>
      <x:c r="L1368" s="87" t="str">
        <x:v>CROP_VERIFIED</x:v>
      </x:c>
      <x:c r="M1368" s="87" t="str">
        <x:v>ORIGINAL_PACKAGE</x:v>
      </x:c>
      <x:c r="N1368" s="87" t="str">
        <x:v>pages/VIS-MATH-DEC-CE-CRIT-P012.png</x:v>
      </x:c>
      <x:c r="O1368" s="87" t="str">
        <x:v>thumbnails/VIS-MATH-DEC-CE-CRIT-P012.jpg</x:v>
      </x:c>
      <x:c r="P1368" s="87" t="str">
        <x:v>edb32223c6afdfc946201b444d7d53c969110770a7ab26f2f33da4f44968cf77</x:v>
      </x:c>
      <x:c r="Q1368" s="30" t="str">
        <x:v>incoming/raw/recovery-drop-01/mathematics_dec_visual_assets_v088.zip!/pages/VIS-MATH-DEC-CE-CRIT-P012.png</x:v>
      </x:c>
      <x:c r="R1368" s="30" t="str">
        <x:v>MATCHED_ASSET</x:v>
      </x:c>
      <x:c r="S1368" t="e">
        <x:f>HYPERLINK("visual_gallery/index.html#"&amp;A1368,"Галерея")</x:f>
      </x:c>
    </x:row>
    <x:row r="1369">
      <x:c r="A1369" s="87" t="str">
        <x:v>VIS-MATH-DEC-CE-CRIT-P013</x:v>
      </x:c>
      <x:c r="B1369" s="30" t="str">
        <x:v>Математика</x:v>
      </x:c>
      <x:c r="C1369" s="30"/>
      <x:c r="D1369" s="30" t="str">
        <x:v>МА2510212</x:v>
      </x:c>
      <x:c r="E1369" s="87" t="str">
        <x:v>CRIT</x:v>
      </x:c>
      <x:c r="F1369" s="30" t="str">
        <x:v>Kriterii_MA11_18122025_vostok.pdf</x:v>
      </x:c>
      <x:c r="G1369" s="87" t="str">
        <x:v>13</x:v>
      </x:c>
      <x:c r="H1369" s="87" t="str">
        <x:v>v0.88</x:v>
      </x:c>
      <x:c r="I1369" s="87" t="str">
        <x:v>1</x:v>
      </x:c>
      <x:c r="J1369" s="30" t="str">
        <x:v>VIS_KEY</x:v>
      </x:c>
      <x:c r="K1369" s="30" t="str">
        <x:v>DEC-MATH-12-017</x:v>
      </x:c>
      <x:c r="L1369" s="87" t="str">
        <x:v>CROP_VERIFIED</x:v>
      </x:c>
      <x:c r="M1369" s="87" t="str">
        <x:v>ORIGINAL_PACKAGE</x:v>
      </x:c>
      <x:c r="N1369" s="87" t="str">
        <x:v>pages/VIS-MATH-DEC-CE-CRIT-P013.png</x:v>
      </x:c>
      <x:c r="O1369" s="87" t="str">
        <x:v>thumbnails/VIS-MATH-DEC-CE-CRIT-P013.jpg</x:v>
      </x:c>
      <x:c r="P1369" s="87" t="str">
        <x:v>688cdee57c01c6b902ff3c397ee237d6820f1cbdf2d7b822b877a22728ece470</x:v>
      </x:c>
      <x:c r="Q1369" s="30" t="str">
        <x:v>incoming/raw/recovery-drop-01/mathematics_dec_visual_assets_v088.zip!/pages/VIS-MATH-DEC-CE-CRIT-P013.png</x:v>
      </x:c>
      <x:c r="R1369" s="30" t="str">
        <x:v>MATCHED_ASSET</x:v>
      </x:c>
      <x:c r="S1369" t="e">
        <x:f>HYPERLINK("visual_gallery/index.html#"&amp;A1369,"Галерея")</x:f>
      </x:c>
    </x:row>
    <x:row r="1370">
      <x:c r="A1370" s="87" t="str">
        <x:v>VIS-MATH-DEC-CE-CRIT-P014</x:v>
      </x:c>
      <x:c r="B1370" s="30" t="str">
        <x:v>Математика</x:v>
      </x:c>
      <x:c r="C1370" s="30"/>
      <x:c r="D1370" s="30" t="str">
        <x:v>МА2510212</x:v>
      </x:c>
      <x:c r="E1370" s="87" t="str">
        <x:v>CRIT</x:v>
      </x:c>
      <x:c r="F1370" s="30" t="str">
        <x:v>Kriterii_MA11_18122025_vostok.pdf</x:v>
      </x:c>
      <x:c r="G1370" s="87" t="str">
        <x:v>14</x:v>
      </x:c>
      <x:c r="H1370" s="87" t="str">
        <x:v>v0.88</x:v>
      </x:c>
      <x:c r="I1370" s="87" t="str">
        <x:v>1</x:v>
      </x:c>
      <x:c r="J1370" s="30" t="str">
        <x:v>VIS_KEY</x:v>
      </x:c>
      <x:c r="K1370" s="30" t="str">
        <x:v>DEC-MATH-12-018</x:v>
      </x:c>
      <x:c r="L1370" s="87" t="str">
        <x:v>CROP_VERIFIED</x:v>
      </x:c>
      <x:c r="M1370" s="87" t="str">
        <x:v>ORIGINAL_PACKAGE</x:v>
      </x:c>
      <x:c r="N1370" s="87" t="str">
        <x:v>pages/VIS-MATH-DEC-CE-CRIT-P014.png</x:v>
      </x:c>
      <x:c r="O1370" s="87" t="str">
        <x:v>thumbnails/VIS-MATH-DEC-CE-CRIT-P014.jpg</x:v>
      </x:c>
      <x:c r="P1370" s="87" t="str">
        <x:v>4cc25898adcaad826d2c3dbb37009d346d1a77edf8cb5a69006af84801c404ef</x:v>
      </x:c>
      <x:c r="Q1370" s="30" t="str">
        <x:v>incoming/raw/recovery-drop-01/mathematics_dec_visual_assets_v088.zip!/pages/VIS-MATH-DEC-CE-CRIT-P014.png</x:v>
      </x:c>
      <x:c r="R1370" s="30" t="str">
        <x:v>MATCHED_ASSET</x:v>
      </x:c>
      <x:c r="S1370" t="e">
        <x:f>HYPERLINK("visual_gallery/index.html#"&amp;A1370,"Галерея")</x:f>
      </x:c>
    </x:row>
    <x:row r="1371">
      <x:c r="A1371" s="87" t="str">
        <x:v>VIS-MATH-DEC-CE-CRIT-P015</x:v>
      </x:c>
      <x:c r="B1371" s="30" t="str">
        <x:v>Математика</x:v>
      </x:c>
      <x:c r="C1371" s="30"/>
      <x:c r="D1371" s="30" t="str">
        <x:v>МА2510212</x:v>
      </x:c>
      <x:c r="E1371" s="87" t="str">
        <x:v>CRIT</x:v>
      </x:c>
      <x:c r="F1371" s="30" t="str">
        <x:v>Kriterii_MA11_18122025_vostok.pdf</x:v>
      </x:c>
      <x:c r="G1371" s="87" t="str">
        <x:v>15</x:v>
      </x:c>
      <x:c r="H1371" s="87" t="str">
        <x:v>v0.88</x:v>
      </x:c>
      <x:c r="I1371" s="87" t="str">
        <x:v>1</x:v>
      </x:c>
      <x:c r="J1371" s="30" t="str">
        <x:v>VIS_KEY</x:v>
      </x:c>
      <x:c r="K1371" s="30" t="str">
        <x:v>DEC-MATH-12-018</x:v>
      </x:c>
      <x:c r="L1371" s="87" t="str">
        <x:v>CROP_VERIFIED</x:v>
      </x:c>
      <x:c r="M1371" s="87" t="str">
        <x:v>ORIGINAL_PACKAGE</x:v>
      </x:c>
      <x:c r="N1371" s="87" t="str">
        <x:v>pages/VIS-MATH-DEC-CE-CRIT-P015.png</x:v>
      </x:c>
      <x:c r="O1371" s="87" t="str">
        <x:v>thumbnails/VIS-MATH-DEC-CE-CRIT-P015.jpg</x:v>
      </x:c>
      <x:c r="P1371" s="87" t="str">
        <x:v>8887c0850dba981816f2d6abcacb59970968a356ce4a6fc90588d51b84bcd7a9</x:v>
      </x:c>
      <x:c r="Q1371" s="30" t="str">
        <x:v>incoming/raw/recovery-drop-01/mathematics_dec_visual_assets_v088.zip!/pages/VIS-MATH-DEC-CE-CRIT-P015.png</x:v>
      </x:c>
      <x:c r="R1371" s="30" t="str">
        <x:v>MATCHED_ASSET</x:v>
      </x:c>
      <x:c r="S1371" t="e">
        <x:f>HYPERLINK("visual_gallery/index.html#"&amp;A1371,"Галерея")</x:f>
      </x:c>
    </x:row>
    <x:row r="1372">
      <x:c r="A1372" s="87" t="str">
        <x:v>VIS-MATH-DEC-CE-CRIT-P016</x:v>
      </x:c>
      <x:c r="B1372" s="30" t="str">
        <x:v>Математика</x:v>
      </x:c>
      <x:c r="C1372" s="30"/>
      <x:c r="D1372" s="30" t="str">
        <x:v>МА2510212</x:v>
      </x:c>
      <x:c r="E1372" s="87" t="str">
        <x:v>CRIT</x:v>
      </x:c>
      <x:c r="F1372" s="30" t="str">
        <x:v>Kriterii_MA11_18122025_vostok.pdf</x:v>
      </x:c>
      <x:c r="G1372" s="87" t="str">
        <x:v>16</x:v>
      </x:c>
      <x:c r="H1372" s="87" t="str">
        <x:v>v0.88</x:v>
      </x:c>
      <x:c r="I1372" s="87" t="str">
        <x:v>1</x:v>
      </x:c>
      <x:c r="J1372" s="30" t="str">
        <x:v>VIS_KEY</x:v>
      </x:c>
      <x:c r="K1372" s="30" t="str">
        <x:v>DEC-MATH-12-019</x:v>
      </x:c>
      <x:c r="L1372" s="87" t="str">
        <x:v>CROP_VERIFIED</x:v>
      </x:c>
      <x:c r="M1372" s="87" t="str">
        <x:v>ORIGINAL_PACKAGE</x:v>
      </x:c>
      <x:c r="N1372" s="87" t="str">
        <x:v>pages/VIS-MATH-DEC-CE-CRIT-P016.png</x:v>
      </x:c>
      <x:c r="O1372" s="87" t="str">
        <x:v>thumbnails/VIS-MATH-DEC-CE-CRIT-P016.jpg</x:v>
      </x:c>
      <x:c r="P1372" s="87" t="str">
        <x:v>9f09988b3bb2ce5c594e980331a4957c7b631b6b9f398faff346a2568b4985ff</x:v>
      </x:c>
      <x:c r="Q1372" s="30" t="str">
        <x:v>incoming/raw/recovery-drop-01/mathematics_dec_visual_assets_v088.zip!/pages/VIS-MATH-DEC-CE-CRIT-P016.png</x:v>
      </x:c>
      <x:c r="R1372" s="30" t="str">
        <x:v>MATCHED_ASSET</x:v>
      </x:c>
      <x:c r="S1372" t="e">
        <x:f>HYPERLINK("visual_gallery/index.html#"&amp;A1372,"Галерея")</x:f>
      </x:c>
    </x:row>
    <x:row r="1373">
      <x:c r="A1373" s="87" t="str">
        <x:v>VIS-MATH-DEC-CW-CRIT-P001</x:v>
      </x:c>
      <x:c r="B1373" s="30" t="str">
        <x:v>Математика</x:v>
      </x:c>
      <x:c r="C1373" s="30"/>
      <x:c r="D1373" s="30" t="str">
        <x:v>МА2510209</x:v>
      </x:c>
      <x:c r="E1373" s="87" t="str">
        <x:v>CRIT</x:v>
      </x:c>
      <x:c r="F1373" s="30" t="str">
        <x:v>Kriterii_MA11_18122025_zapad.pdf</x:v>
      </x:c>
      <x:c r="G1373" s="87" t="str">
        <x:v>1</x:v>
      </x:c>
      <x:c r="H1373" s="87" t="str">
        <x:v>v0.88</x:v>
      </x:c>
      <x:c r="I1373" s="87" t="str">
        <x:v>1</x:v>
      </x:c>
      <x:c r="J1373" s="30" t="str">
        <x:v>VIS_KEY</x:v>
      </x:c>
      <x:c r="K1373" s="30" t="str">
        <x:v>DEC-MATH-09-013</x:v>
      </x:c>
      <x:c r="L1373" s="87" t="str">
        <x:v>CROP_VERIFIED</x:v>
      </x:c>
      <x:c r="M1373" s="87" t="str">
        <x:v>ORIGINAL_PACKAGE</x:v>
      </x:c>
      <x:c r="N1373" s="87" t="str">
        <x:v>pages/VIS-MATH-DEC-CW-CRIT-P001.png</x:v>
      </x:c>
      <x:c r="O1373" s="87" t="str">
        <x:v>thumbnails/VIS-MATH-DEC-CW-CRIT-P001.jpg</x:v>
      </x:c>
      <x:c r="P1373" s="87" t="str">
        <x:v>bb6487186a152ebb8a5a1eff54d9eb0fa2711067c914c79553e0dfa7c82f0249</x:v>
      </x:c>
      <x:c r="Q1373" s="30" t="str">
        <x:v>incoming/raw/recovery-drop-01/mathematics_dec_visual_assets_v088.zip!/pages/VIS-MATH-DEC-CW-CRIT-P001.png</x:v>
      </x:c>
      <x:c r="R1373" s="30" t="str">
        <x:v>MATCHED_ASSET</x:v>
      </x:c>
      <x:c r="S1373" t="e">
        <x:f>HYPERLINK("visual_gallery/index.html#"&amp;A1373,"Галерея")</x:f>
      </x:c>
    </x:row>
    <x:row r="1374">
      <x:c r="A1374" s="87" t="str">
        <x:v>VIS-MATH-DEC-CW-CRIT-P002</x:v>
      </x:c>
      <x:c r="B1374" s="30" t="str">
        <x:v>Математика</x:v>
      </x:c>
      <x:c r="C1374" s="30"/>
      <x:c r="D1374" s="30" t="str">
        <x:v>МА2510209</x:v>
      </x:c>
      <x:c r="E1374" s="87" t="str">
        <x:v>CRIT</x:v>
      </x:c>
      <x:c r="F1374" s="30" t="str">
        <x:v>Kriterii_MA11_18122025_zapad.pdf</x:v>
      </x:c>
      <x:c r="G1374" s="87" t="str">
        <x:v>2</x:v>
      </x:c>
      <x:c r="H1374" s="87" t="str">
        <x:v>v0.88</x:v>
      </x:c>
      <x:c r="I1374" s="87" t="str">
        <x:v>1</x:v>
      </x:c>
      <x:c r="J1374" s="30" t="str">
        <x:v>VIS_KEY</x:v>
      </x:c>
      <x:c r="K1374" s="30" t="str">
        <x:v>DEC-MATH-09-014</x:v>
      </x:c>
      <x:c r="L1374" s="87" t="str">
        <x:v>CROP_VERIFIED</x:v>
      </x:c>
      <x:c r="M1374" s="87" t="str">
        <x:v>ORIGINAL_PACKAGE</x:v>
      </x:c>
      <x:c r="N1374" s="87" t="str">
        <x:v>pages/VIS-MATH-DEC-CW-CRIT-P002.png</x:v>
      </x:c>
      <x:c r="O1374" s="87" t="str">
        <x:v>thumbnails/VIS-MATH-DEC-CW-CRIT-P002.jpg</x:v>
      </x:c>
      <x:c r="P1374" s="87" t="str">
        <x:v>72a7dd7122b4190a2625b0fede4c9dc390f649081c1c2db845fc03cb712b1906</x:v>
      </x:c>
      <x:c r="Q1374" s="30" t="str">
        <x:v>incoming/raw/recovery-drop-01/mathematics_dec_visual_assets_v088.zip!/pages/VIS-MATH-DEC-CW-CRIT-P002.png</x:v>
      </x:c>
      <x:c r="R1374" s="30" t="str">
        <x:v>MATCHED_ASSET</x:v>
      </x:c>
      <x:c r="S1374" t="e">
        <x:f>HYPERLINK("visual_gallery/index.html#"&amp;A1374,"Галерея")</x:f>
      </x:c>
    </x:row>
    <x:row r="1375">
      <x:c r="A1375" s="87" t="str">
        <x:v>VIS-MATH-DEC-CW-CRIT-P003</x:v>
      </x:c>
      <x:c r="B1375" s="30" t="str">
        <x:v>Математика</x:v>
      </x:c>
      <x:c r="C1375" s="30"/>
      <x:c r="D1375" s="30" t="str">
        <x:v>МА2510209</x:v>
      </x:c>
      <x:c r="E1375" s="87" t="str">
        <x:v>CRIT</x:v>
      </x:c>
      <x:c r="F1375" s="30" t="str">
        <x:v>Kriterii_MA11_18122025_zapad.pdf</x:v>
      </x:c>
      <x:c r="G1375" s="87" t="str">
        <x:v>3</x:v>
      </x:c>
      <x:c r="H1375" s="87" t="str">
        <x:v>v0.88</x:v>
      </x:c>
      <x:c r="I1375" s="87" t="str">
        <x:v>2</x:v>
      </x:c>
      <x:c r="J1375" s="30" t="str">
        <x:v>VIS_KEY</x:v>
      </x:c>
      <x:c r="K1375" s="30" t="str">
        <x:v>DEC-MATH-09-014, DEC-MATH-09-015</x:v>
      </x:c>
      <x:c r="L1375" s="87" t="str">
        <x:v>CROP_VERIFIED</x:v>
      </x:c>
      <x:c r="M1375" s="87" t="str">
        <x:v>ORIGINAL_PACKAGE</x:v>
      </x:c>
      <x:c r="N1375" s="87" t="str">
        <x:v>pages/VIS-MATH-DEC-CW-CRIT-P003.png</x:v>
      </x:c>
      <x:c r="O1375" s="87" t="str">
        <x:v>thumbnails/VIS-MATH-DEC-CW-CRIT-P003.jpg</x:v>
      </x:c>
      <x:c r="P1375" s="87" t="str">
        <x:v>ef487bbaf582d7ebf27d82ec2479e211d0d4369d799b1f010e2e1dfaf17bdce7</x:v>
      </x:c>
      <x:c r="Q1375" s="30" t="str">
        <x:v>incoming/raw/recovery-drop-01/mathematics_dec_visual_assets_v088.zip!/pages/VIS-MATH-DEC-CW-CRIT-P003.png</x:v>
      </x:c>
      <x:c r="R1375" s="30" t="str">
        <x:v>MATCHED_ASSET</x:v>
      </x:c>
      <x:c r="S1375" t="e">
        <x:f>HYPERLINK("visual_gallery/index.html#"&amp;A1375,"Галерея")</x:f>
      </x:c>
    </x:row>
    <x:row r="1376">
      <x:c r="A1376" s="87" t="str">
        <x:v>VIS-MATH-DEC-CW-CRIT-P004</x:v>
      </x:c>
      <x:c r="B1376" s="30" t="str">
        <x:v>Математика</x:v>
      </x:c>
      <x:c r="C1376" s="30"/>
      <x:c r="D1376" s="30" t="str">
        <x:v>МА2510209</x:v>
      </x:c>
      <x:c r="E1376" s="87" t="str">
        <x:v>CRIT</x:v>
      </x:c>
      <x:c r="F1376" s="30" t="str">
        <x:v>Kriterii_MA11_18122025_zapad.pdf</x:v>
      </x:c>
      <x:c r="G1376" s="87" t="str">
        <x:v>4</x:v>
      </x:c>
      <x:c r="H1376" s="87" t="str">
        <x:v>v0.88</x:v>
      </x:c>
      <x:c r="I1376" s="87" t="str">
        <x:v>2</x:v>
      </x:c>
      <x:c r="J1376" s="30" t="str">
        <x:v>VIS_KEY</x:v>
      </x:c>
      <x:c r="K1376" s="30" t="str">
        <x:v>DEC-MATH-09-015, DEC-MATH-09-016</x:v>
      </x:c>
      <x:c r="L1376" s="87" t="str">
        <x:v>CROP_VERIFIED</x:v>
      </x:c>
      <x:c r="M1376" s="87" t="str">
        <x:v>ORIGINAL_PACKAGE</x:v>
      </x:c>
      <x:c r="N1376" s="87" t="str">
        <x:v>pages/VIS-MATH-DEC-CW-CRIT-P004.png</x:v>
      </x:c>
      <x:c r="O1376" s="87" t="str">
        <x:v>thumbnails/VIS-MATH-DEC-CW-CRIT-P004.jpg</x:v>
      </x:c>
      <x:c r="P1376" s="87" t="str">
        <x:v>fe63865f1f4e65d9d676c06b63fa85d15a7e1d53801342f1675e29b0bd761fa2</x:v>
      </x:c>
      <x:c r="Q1376" s="30" t="str">
        <x:v>incoming/raw/recovery-drop-01/mathematics_dec_visual_assets_v088.zip!/pages/VIS-MATH-DEC-CW-CRIT-P004.png</x:v>
      </x:c>
      <x:c r="R1376" s="30" t="str">
        <x:v>MATCHED_ASSET</x:v>
      </x:c>
      <x:c r="S1376" t="e">
        <x:f>HYPERLINK("visual_gallery/index.html#"&amp;A1376,"Галерея")</x:f>
      </x:c>
    </x:row>
    <x:row r="1377">
      <x:c r="A1377" s="87" t="str">
        <x:v>VIS-MATH-DEC-CW-CRIT-P005</x:v>
      </x:c>
      <x:c r="B1377" s="30" t="str">
        <x:v>Математика</x:v>
      </x:c>
      <x:c r="C1377" s="30"/>
      <x:c r="D1377" s="30" t="str">
        <x:v>МА2510209</x:v>
      </x:c>
      <x:c r="E1377" s="87" t="str">
        <x:v>CRIT</x:v>
      </x:c>
      <x:c r="F1377" s="30" t="str">
        <x:v>Kriterii_MA11_18122025_zapad.pdf</x:v>
      </x:c>
      <x:c r="G1377" s="87" t="str">
        <x:v>5</x:v>
      </x:c>
      <x:c r="H1377" s="87" t="str">
        <x:v>v0.88</x:v>
      </x:c>
      <x:c r="I1377" s="87" t="str">
        <x:v>1</x:v>
      </x:c>
      <x:c r="J1377" s="30" t="str">
        <x:v>VIS_KEY</x:v>
      </x:c>
      <x:c r="K1377" s="30" t="str">
        <x:v>DEC-MATH-09-017</x:v>
      </x:c>
      <x:c r="L1377" s="87" t="str">
        <x:v>CROP_VERIFIED</x:v>
      </x:c>
      <x:c r="M1377" s="87" t="str">
        <x:v>ORIGINAL_PACKAGE</x:v>
      </x:c>
      <x:c r="N1377" s="87" t="str">
        <x:v>pages/VIS-MATH-DEC-CW-CRIT-P005.png</x:v>
      </x:c>
      <x:c r="O1377" s="87" t="str">
        <x:v>thumbnails/VIS-MATH-DEC-CW-CRIT-P005.jpg</x:v>
      </x:c>
      <x:c r="P1377" s="87" t="str">
        <x:v>33246a19a2c6750dbc80d94391a6aff6dc3beefcfad209581c12842be02d8229</x:v>
      </x:c>
      <x:c r="Q1377" s="30" t="str">
        <x:v>incoming/raw/recovery-drop-01/mathematics_dec_visual_assets_v088.zip!/pages/VIS-MATH-DEC-CW-CRIT-P005.png</x:v>
      </x:c>
      <x:c r="R1377" s="30" t="str">
        <x:v>MATCHED_ASSET</x:v>
      </x:c>
      <x:c r="S1377" t="e">
        <x:f>HYPERLINK("visual_gallery/index.html#"&amp;A1377,"Галерея")</x:f>
      </x:c>
    </x:row>
    <x:row r="1378">
      <x:c r="A1378" s="87" t="str">
        <x:v>VIS-MATH-DEC-CW-CRIT-P006</x:v>
      </x:c>
      <x:c r="B1378" s="30" t="str">
        <x:v>Математика</x:v>
      </x:c>
      <x:c r="C1378" s="30"/>
      <x:c r="D1378" s="30" t="str">
        <x:v>МА2510209</x:v>
      </x:c>
      <x:c r="E1378" s="87" t="str">
        <x:v>CRIT</x:v>
      </x:c>
      <x:c r="F1378" s="30" t="str">
        <x:v>Kriterii_MA11_18122025_zapad.pdf</x:v>
      </x:c>
      <x:c r="G1378" s="87" t="str">
        <x:v>6</x:v>
      </x:c>
      <x:c r="H1378" s="87" t="str">
        <x:v>v0.88</x:v>
      </x:c>
      <x:c r="I1378" s="87" t="str">
        <x:v>1</x:v>
      </x:c>
      <x:c r="J1378" s="30" t="str">
        <x:v>VIS_KEY</x:v>
      </x:c>
      <x:c r="K1378" s="30" t="str">
        <x:v>DEC-MATH-09-018</x:v>
      </x:c>
      <x:c r="L1378" s="87" t="str">
        <x:v>CROP_VERIFIED</x:v>
      </x:c>
      <x:c r="M1378" s="87" t="str">
        <x:v>ORIGINAL_PACKAGE</x:v>
      </x:c>
      <x:c r="N1378" s="87" t="str">
        <x:v>pages/VIS-MATH-DEC-CW-CRIT-P006.png</x:v>
      </x:c>
      <x:c r="O1378" s="87" t="str">
        <x:v>thumbnails/VIS-MATH-DEC-CW-CRIT-P006.jpg</x:v>
      </x:c>
      <x:c r="P1378" s="87" t="str">
        <x:v>78c0b5c51460f9f49f58b0653f784f69bd24f315cb7e219785b6e916c59dd834</x:v>
      </x:c>
      <x:c r="Q1378" s="30" t="str">
        <x:v>incoming/raw/recovery-drop-01/mathematics_dec_visual_assets_v088.zip!/pages/VIS-MATH-DEC-CW-CRIT-P006.png</x:v>
      </x:c>
      <x:c r="R1378" s="30" t="str">
        <x:v>MATCHED_ASSET</x:v>
      </x:c>
      <x:c r="S1378" t="e">
        <x:f>HYPERLINK("visual_gallery/index.html#"&amp;A1378,"Галерея")</x:f>
      </x:c>
    </x:row>
    <x:row r="1379">
      <x:c r="A1379" s="87" t="str">
        <x:v>VIS-MATH-DEC-CW-CRIT-P007</x:v>
      </x:c>
      <x:c r="B1379" s="30" t="str">
        <x:v>Математика</x:v>
      </x:c>
      <x:c r="C1379" s="30"/>
      <x:c r="D1379" s="30" t="str">
        <x:v>МА2510209</x:v>
      </x:c>
      <x:c r="E1379" s="87" t="str">
        <x:v>CRIT</x:v>
      </x:c>
      <x:c r="F1379" s="30" t="str">
        <x:v>Kriterii_MA11_18122025_zapad.pdf</x:v>
      </x:c>
      <x:c r="G1379" s="87" t="str">
        <x:v>7</x:v>
      </x:c>
      <x:c r="H1379" s="87" t="str">
        <x:v>v0.88</x:v>
      </x:c>
      <x:c r="I1379" s="87" t="str">
        <x:v>1</x:v>
      </x:c>
      <x:c r="J1379" s="30" t="str">
        <x:v>VIS_KEY</x:v>
      </x:c>
      <x:c r="K1379" s="30" t="str">
        <x:v>DEC-MATH-09-018</x:v>
      </x:c>
      <x:c r="L1379" s="87" t="str">
        <x:v>CROP_VERIFIED</x:v>
      </x:c>
      <x:c r="M1379" s="87" t="str">
        <x:v>ORIGINAL_PACKAGE</x:v>
      </x:c>
      <x:c r="N1379" s="87" t="str">
        <x:v>pages/VIS-MATH-DEC-CW-CRIT-P007.png</x:v>
      </x:c>
      <x:c r="O1379" s="87" t="str">
        <x:v>thumbnails/VIS-MATH-DEC-CW-CRIT-P007.jpg</x:v>
      </x:c>
      <x:c r="P1379" s="87" t="str">
        <x:v>4c4c513b0c4f74fdfa03a99d2656634dd88a608d5f4d7f8605cc2ce6877694de</x:v>
      </x:c>
      <x:c r="Q1379" s="30" t="str">
        <x:v>incoming/raw/recovery-drop-01/mathematics_dec_visual_assets_v088.zip!/pages/VIS-MATH-DEC-CW-CRIT-P007.png</x:v>
      </x:c>
      <x:c r="R1379" s="30" t="str">
        <x:v>MATCHED_ASSET</x:v>
      </x:c>
      <x:c r="S1379" t="e">
        <x:f>HYPERLINK("visual_gallery/index.html#"&amp;A1379,"Галерея")</x:f>
      </x:c>
    </x:row>
    <x:row r="1380">
      <x:c r="A1380" s="87" t="str">
        <x:v>VIS-MATH-DEC-CW-CRIT-P008</x:v>
      </x:c>
      <x:c r="B1380" s="30" t="str">
        <x:v>Математика</x:v>
      </x:c>
      <x:c r="C1380" s="30"/>
      <x:c r="D1380" s="30" t="str">
        <x:v>МА2510209</x:v>
      </x:c>
      <x:c r="E1380" s="87" t="str">
        <x:v>CRIT</x:v>
      </x:c>
      <x:c r="F1380" s="30" t="str">
        <x:v>Kriterii_MA11_18122025_zapad.pdf</x:v>
      </x:c>
      <x:c r="G1380" s="87" t="str">
        <x:v>8</x:v>
      </x:c>
      <x:c r="H1380" s="87" t="str">
        <x:v>v0.88</x:v>
      </x:c>
      <x:c r="I1380" s="87" t="str">
        <x:v>1</x:v>
      </x:c>
      <x:c r="J1380" s="30" t="str">
        <x:v>VIS_KEY</x:v>
      </x:c>
      <x:c r="K1380" s="30" t="str">
        <x:v>DEC-MATH-09-019</x:v>
      </x:c>
      <x:c r="L1380" s="87" t="str">
        <x:v>CROP_VERIFIED</x:v>
      </x:c>
      <x:c r="M1380" s="87" t="str">
        <x:v>ORIGINAL_PACKAGE</x:v>
      </x:c>
      <x:c r="N1380" s="87" t="str">
        <x:v>pages/VIS-MATH-DEC-CW-CRIT-P008.png</x:v>
      </x:c>
      <x:c r="O1380" s="87" t="str">
        <x:v>thumbnails/VIS-MATH-DEC-CW-CRIT-P008.jpg</x:v>
      </x:c>
      <x:c r="P1380" s="87" t="str">
        <x:v>0f315f6b49e1a8a5f19a8bd027091c1959423ab44556bcef9c67a36c12ecfdb5</x:v>
      </x:c>
      <x:c r="Q1380" s="30" t="str">
        <x:v>incoming/raw/recovery-drop-01/mathematics_dec_visual_assets_v088.zip!/pages/VIS-MATH-DEC-CW-CRIT-P008.png</x:v>
      </x:c>
      <x:c r="R1380" s="30" t="str">
        <x:v>MATCHED_ASSET</x:v>
      </x:c>
      <x:c r="S1380" t="e">
        <x:f>HYPERLINK("visual_gallery/index.html#"&amp;A1380,"Галерея")</x:f>
      </x:c>
    </x:row>
    <x:row r="1381">
      <x:c r="A1381" s="87" t="str">
        <x:v>VIS-MATH-DEC-CW-CRIT-P009</x:v>
      </x:c>
      <x:c r="B1381" s="30" t="str">
        <x:v>Математика</x:v>
      </x:c>
      <x:c r="C1381" s="30"/>
      <x:c r="D1381" s="30" t="str">
        <x:v>МА2510210</x:v>
      </x:c>
      <x:c r="E1381" s="87" t="str">
        <x:v>CRIT</x:v>
      </x:c>
      <x:c r="F1381" s="30" t="str">
        <x:v>Kriterii_MA11_18122025_zapad.pdf</x:v>
      </x:c>
      <x:c r="G1381" s="87" t="str">
        <x:v>9</x:v>
      </x:c>
      <x:c r="H1381" s="87" t="str">
        <x:v>v0.88</x:v>
      </x:c>
      <x:c r="I1381" s="87" t="str">
        <x:v>1</x:v>
      </x:c>
      <x:c r="J1381" s="30" t="str">
        <x:v>VIS_KEY</x:v>
      </x:c>
      <x:c r="K1381" s="30" t="str">
        <x:v>DEC-MATH-10-013</x:v>
      </x:c>
      <x:c r="L1381" s="87" t="str">
        <x:v>CROP_VERIFIED</x:v>
      </x:c>
      <x:c r="M1381" s="87" t="str">
        <x:v>ORIGINAL_PACKAGE</x:v>
      </x:c>
      <x:c r="N1381" s="87" t="str">
        <x:v>pages/VIS-MATH-DEC-CW-CRIT-P009.png</x:v>
      </x:c>
      <x:c r="O1381" s="87" t="str">
        <x:v>thumbnails/VIS-MATH-DEC-CW-CRIT-P009.jpg</x:v>
      </x:c>
      <x:c r="P1381" s="87" t="str">
        <x:v>f713653fc298a094019d5d1255569266950894d7dcd94535d6148e6b55019230</x:v>
      </x:c>
      <x:c r="Q1381" s="30" t="str">
        <x:v>incoming/raw/recovery-drop-01/mathematics_dec_visual_assets_v088.zip!/pages/VIS-MATH-DEC-CW-CRIT-P009.png</x:v>
      </x:c>
      <x:c r="R1381" s="30" t="str">
        <x:v>MATCHED_ASSET</x:v>
      </x:c>
      <x:c r="S1381" t="e">
        <x:f>HYPERLINK("visual_gallery/index.html#"&amp;A1381,"Галерея")</x:f>
      </x:c>
    </x:row>
    <x:row r="1382">
      <x:c r="A1382" s="87" t="str">
        <x:v>VIS-MATH-DEC-CW-CRIT-P010</x:v>
      </x:c>
      <x:c r="B1382" s="30" t="str">
        <x:v>Математика</x:v>
      </x:c>
      <x:c r="C1382" s="30"/>
      <x:c r="D1382" s="30" t="str">
        <x:v>МА2510210</x:v>
      </x:c>
      <x:c r="E1382" s="87" t="str">
        <x:v>CRIT</x:v>
      </x:c>
      <x:c r="F1382" s="30" t="str">
        <x:v>Kriterii_MA11_18122025_zapad.pdf</x:v>
      </x:c>
      <x:c r="G1382" s="87" t="str">
        <x:v>10</x:v>
      </x:c>
      <x:c r="H1382" s="87" t="str">
        <x:v>v0.88</x:v>
      </x:c>
      <x:c r="I1382" s="87" t="str">
        <x:v>1</x:v>
      </x:c>
      <x:c r="J1382" s="30" t="str">
        <x:v>VIS_KEY</x:v>
      </x:c>
      <x:c r="K1382" s="30" t="str">
        <x:v>DEC-MATH-10-014</x:v>
      </x:c>
      <x:c r="L1382" s="87" t="str">
        <x:v>CROP_VERIFIED</x:v>
      </x:c>
      <x:c r="M1382" s="87" t="str">
        <x:v>ORIGINAL_PACKAGE</x:v>
      </x:c>
      <x:c r="N1382" s="87" t="str">
        <x:v>pages/VIS-MATH-DEC-CW-CRIT-P010.png</x:v>
      </x:c>
      <x:c r="O1382" s="87" t="str">
        <x:v>thumbnails/VIS-MATH-DEC-CW-CRIT-P010.jpg</x:v>
      </x:c>
      <x:c r="P1382" s="87" t="str">
        <x:v>e5465d1c8340ca93449430590a88d02236c489a92510bf528cf1ced6a1954a7f</x:v>
      </x:c>
      <x:c r="Q1382" s="30" t="str">
        <x:v>incoming/raw/recovery-drop-01/mathematics_dec_visual_assets_v088.zip!/pages/VIS-MATH-DEC-CW-CRIT-P010.png</x:v>
      </x:c>
      <x:c r="R1382" s="30" t="str">
        <x:v>MATCHED_ASSET</x:v>
      </x:c>
      <x:c r="S1382" t="e">
        <x:f>HYPERLINK("visual_gallery/index.html#"&amp;A1382,"Галерея")</x:f>
      </x:c>
    </x:row>
    <x:row r="1383">
      <x:c r="A1383" s="87" t="str">
        <x:v>VIS-MATH-DEC-CW-CRIT-P011</x:v>
      </x:c>
      <x:c r="B1383" s="30" t="str">
        <x:v>Математика</x:v>
      </x:c>
      <x:c r="C1383" s="30"/>
      <x:c r="D1383" s="30" t="str">
        <x:v>МА2510210</x:v>
      </x:c>
      <x:c r="E1383" s="87" t="str">
        <x:v>CRIT</x:v>
      </x:c>
      <x:c r="F1383" s="30" t="str">
        <x:v>Kriterii_MA11_18122025_zapad.pdf</x:v>
      </x:c>
      <x:c r="G1383" s="87" t="str">
        <x:v>11</x:v>
      </x:c>
      <x:c r="H1383" s="87" t="str">
        <x:v>v0.88</x:v>
      </x:c>
      <x:c r="I1383" s="87" t="str">
        <x:v>2</x:v>
      </x:c>
      <x:c r="J1383" s="30" t="str">
        <x:v>VIS_KEY</x:v>
      </x:c>
      <x:c r="K1383" s="30" t="str">
        <x:v>DEC-MATH-10-014, DEC-MATH-10-015</x:v>
      </x:c>
      <x:c r="L1383" s="87" t="str">
        <x:v>CROP_VERIFIED</x:v>
      </x:c>
      <x:c r="M1383" s="87" t="str">
        <x:v>ORIGINAL_PACKAGE</x:v>
      </x:c>
      <x:c r="N1383" s="87" t="str">
        <x:v>pages/VIS-MATH-DEC-CW-CRIT-P011.png</x:v>
      </x:c>
      <x:c r="O1383" s="87" t="str">
        <x:v>thumbnails/VIS-MATH-DEC-CW-CRIT-P011.jpg</x:v>
      </x:c>
      <x:c r="P1383" s="87" t="str">
        <x:v>ba72976b9f18e1efaa7edc46ed614bb240de9d384e2950b9f87e2057b47ef544</x:v>
      </x:c>
      <x:c r="Q1383" s="30" t="str">
        <x:v>incoming/raw/recovery-drop-01/mathematics_dec_visual_assets_v088.zip!/pages/VIS-MATH-DEC-CW-CRIT-P011.png</x:v>
      </x:c>
      <x:c r="R1383" s="30" t="str">
        <x:v>MATCHED_ASSET</x:v>
      </x:c>
      <x:c r="S1383" t="e">
        <x:f>HYPERLINK("visual_gallery/index.html#"&amp;A1383,"Галерея")</x:f>
      </x:c>
    </x:row>
    <x:row r="1384">
      <x:c r="A1384" s="87" t="str">
        <x:v>VIS-MATH-DEC-CW-CRIT-P012</x:v>
      </x:c>
      <x:c r="B1384" s="30" t="str">
        <x:v>Математика</x:v>
      </x:c>
      <x:c r="C1384" s="30"/>
      <x:c r="D1384" s="30" t="str">
        <x:v>МА2510210</x:v>
      </x:c>
      <x:c r="E1384" s="87" t="str">
        <x:v>CRIT</x:v>
      </x:c>
      <x:c r="F1384" s="30" t="str">
        <x:v>Kriterii_MA11_18122025_zapad.pdf</x:v>
      </x:c>
      <x:c r="G1384" s="87" t="str">
        <x:v>12</x:v>
      </x:c>
      <x:c r="H1384" s="87" t="str">
        <x:v>v0.88</x:v>
      </x:c>
      <x:c r="I1384" s="87" t="str">
        <x:v>2</x:v>
      </x:c>
      <x:c r="J1384" s="30" t="str">
        <x:v>VIS_KEY</x:v>
      </x:c>
      <x:c r="K1384" s="30" t="str">
        <x:v>DEC-MATH-10-015, DEC-MATH-10-016</x:v>
      </x:c>
      <x:c r="L1384" s="87" t="str">
        <x:v>CROP_VERIFIED</x:v>
      </x:c>
      <x:c r="M1384" s="87" t="str">
        <x:v>ORIGINAL_PACKAGE</x:v>
      </x:c>
      <x:c r="N1384" s="87" t="str">
        <x:v>pages/VIS-MATH-DEC-CW-CRIT-P012.png</x:v>
      </x:c>
      <x:c r="O1384" s="87" t="str">
        <x:v>thumbnails/VIS-MATH-DEC-CW-CRIT-P012.jpg</x:v>
      </x:c>
      <x:c r="P1384" s="87" t="str">
        <x:v>3d578fb1b6c455d21dda8e046ca5ba7176adead21bdedd1bd4d69b28f265fd68</x:v>
      </x:c>
      <x:c r="Q1384" s="30" t="str">
        <x:v>incoming/raw/recovery-drop-01/mathematics_dec_visual_assets_v088.zip!/pages/VIS-MATH-DEC-CW-CRIT-P012.png</x:v>
      </x:c>
      <x:c r="R1384" s="30" t="str">
        <x:v>MATCHED_ASSET</x:v>
      </x:c>
      <x:c r="S1384" t="e">
        <x:f>HYPERLINK("visual_gallery/index.html#"&amp;A1384,"Галерея")</x:f>
      </x:c>
    </x:row>
    <x:row r="1385">
      <x:c r="A1385" s="87" t="str">
        <x:v>VIS-MATH-DEC-CW-CRIT-P013</x:v>
      </x:c>
      <x:c r="B1385" s="30" t="str">
        <x:v>Математика</x:v>
      </x:c>
      <x:c r="C1385" s="30"/>
      <x:c r="D1385" s="30" t="str">
        <x:v>МА2510210</x:v>
      </x:c>
      <x:c r="E1385" s="87" t="str">
        <x:v>CRIT</x:v>
      </x:c>
      <x:c r="F1385" s="30" t="str">
        <x:v>Kriterii_MA11_18122025_zapad.pdf</x:v>
      </x:c>
      <x:c r="G1385" s="87" t="str">
        <x:v>13</x:v>
      </x:c>
      <x:c r="H1385" s="87" t="str">
        <x:v>v0.88</x:v>
      </x:c>
      <x:c r="I1385" s="87" t="str">
        <x:v>1</x:v>
      </x:c>
      <x:c r="J1385" s="30" t="str">
        <x:v>VIS_KEY</x:v>
      </x:c>
      <x:c r="K1385" s="30" t="str">
        <x:v>DEC-MATH-10-017</x:v>
      </x:c>
      <x:c r="L1385" s="87" t="str">
        <x:v>CROP_VERIFIED</x:v>
      </x:c>
      <x:c r="M1385" s="87" t="str">
        <x:v>ORIGINAL_PACKAGE</x:v>
      </x:c>
      <x:c r="N1385" s="87" t="str">
        <x:v>pages/VIS-MATH-DEC-CW-CRIT-P013.png</x:v>
      </x:c>
      <x:c r="O1385" s="87" t="str">
        <x:v>thumbnails/VIS-MATH-DEC-CW-CRIT-P013.jpg</x:v>
      </x:c>
      <x:c r="P1385" s="87" t="str">
        <x:v>0c3d4325c3555534537f8d55108f13cc7cf00a4be2c7c83c9523ad5107683247</x:v>
      </x:c>
      <x:c r="Q1385" s="30" t="str">
        <x:v>incoming/raw/recovery-drop-01/mathematics_dec_visual_assets_v088.zip!/pages/VIS-MATH-DEC-CW-CRIT-P013.png</x:v>
      </x:c>
      <x:c r="R1385" s="30" t="str">
        <x:v>MATCHED_ASSET</x:v>
      </x:c>
      <x:c r="S1385" t="e">
        <x:f>HYPERLINK("visual_gallery/index.html#"&amp;A1385,"Галерея")</x:f>
      </x:c>
    </x:row>
    <x:row r="1386">
      <x:c r="A1386" s="87" t="str">
        <x:v>VIS-MATH-DEC-CW-CRIT-P014</x:v>
      </x:c>
      <x:c r="B1386" s="30" t="str">
        <x:v>Математика</x:v>
      </x:c>
      <x:c r="C1386" s="30"/>
      <x:c r="D1386" s="30" t="str">
        <x:v>МА2510210</x:v>
      </x:c>
      <x:c r="E1386" s="87" t="str">
        <x:v>CRIT</x:v>
      </x:c>
      <x:c r="F1386" s="30" t="str">
        <x:v>Kriterii_MA11_18122025_zapad.pdf</x:v>
      </x:c>
      <x:c r="G1386" s="87" t="str">
        <x:v>14</x:v>
      </x:c>
      <x:c r="H1386" s="87" t="str">
        <x:v>v0.88</x:v>
      </x:c>
      <x:c r="I1386" s="87" t="str">
        <x:v>1</x:v>
      </x:c>
      <x:c r="J1386" s="30" t="str">
        <x:v>VIS_KEY</x:v>
      </x:c>
      <x:c r="K1386" s="30" t="str">
        <x:v>DEC-MATH-10-018</x:v>
      </x:c>
      <x:c r="L1386" s="87" t="str">
        <x:v>CROP_VERIFIED</x:v>
      </x:c>
      <x:c r="M1386" s="87" t="str">
        <x:v>ORIGINAL_PACKAGE</x:v>
      </x:c>
      <x:c r="N1386" s="87" t="str">
        <x:v>pages/VIS-MATH-DEC-CW-CRIT-P014.png</x:v>
      </x:c>
      <x:c r="O1386" s="87" t="str">
        <x:v>thumbnails/VIS-MATH-DEC-CW-CRIT-P014.jpg</x:v>
      </x:c>
      <x:c r="P1386" s="87" t="str">
        <x:v>e98728b55b2d32fb310c423ca01035f4500e75276480262b682010547b583d71</x:v>
      </x:c>
      <x:c r="Q1386" s="30" t="str">
        <x:v>incoming/raw/recovery-drop-01/mathematics_dec_visual_assets_v088.zip!/pages/VIS-MATH-DEC-CW-CRIT-P014.png</x:v>
      </x:c>
      <x:c r="R1386" s="30" t="str">
        <x:v>MATCHED_ASSET</x:v>
      </x:c>
      <x:c r="S1386" t="e">
        <x:f>HYPERLINK("visual_gallery/index.html#"&amp;A1386,"Галерея")</x:f>
      </x:c>
    </x:row>
    <x:row r="1387">
      <x:c r="A1387" s="87" t="str">
        <x:v>VIS-MATH-DEC-CW-CRIT-P015</x:v>
      </x:c>
      <x:c r="B1387" s="30" t="str">
        <x:v>Математика</x:v>
      </x:c>
      <x:c r="C1387" s="30"/>
      <x:c r="D1387" s="30" t="str">
        <x:v>МА2510210</x:v>
      </x:c>
      <x:c r="E1387" s="87" t="str">
        <x:v>CRIT</x:v>
      </x:c>
      <x:c r="F1387" s="30" t="str">
        <x:v>Kriterii_MA11_18122025_zapad.pdf</x:v>
      </x:c>
      <x:c r="G1387" s="87" t="str">
        <x:v>15</x:v>
      </x:c>
      <x:c r="H1387" s="87" t="str">
        <x:v>v0.88</x:v>
      </x:c>
      <x:c r="I1387" s="87" t="str">
        <x:v>1</x:v>
      </x:c>
      <x:c r="J1387" s="30" t="str">
        <x:v>VIS_KEY</x:v>
      </x:c>
      <x:c r="K1387" s="30" t="str">
        <x:v>DEC-MATH-10-018</x:v>
      </x:c>
      <x:c r="L1387" s="87" t="str">
        <x:v>CROP_VERIFIED</x:v>
      </x:c>
      <x:c r="M1387" s="87" t="str">
        <x:v>ORIGINAL_PACKAGE</x:v>
      </x:c>
      <x:c r="N1387" s="87" t="str">
        <x:v>pages/VIS-MATH-DEC-CW-CRIT-P015.png</x:v>
      </x:c>
      <x:c r="O1387" s="87" t="str">
        <x:v>thumbnails/VIS-MATH-DEC-CW-CRIT-P015.jpg</x:v>
      </x:c>
      <x:c r="P1387" s="87" t="str">
        <x:v>f895ddd147077d3d50fa7568bf0b68b048bdffd2ba40ff126dd5679b7010205d</x:v>
      </x:c>
      <x:c r="Q1387" s="30" t="str">
        <x:v>incoming/raw/recovery-drop-01/mathematics_dec_visual_assets_v088.zip!/pages/VIS-MATH-DEC-CW-CRIT-P015.png</x:v>
      </x:c>
      <x:c r="R1387" s="30" t="str">
        <x:v>MATCHED_ASSET</x:v>
      </x:c>
      <x:c r="S1387" t="e">
        <x:f>HYPERLINK("visual_gallery/index.html#"&amp;A1387,"Галерея")</x:f>
      </x:c>
    </x:row>
    <x:row r="1388">
      <x:c r="A1388" s="87" t="str">
        <x:v>VIS-MATH-DEC-CW-CRIT-P016</x:v>
      </x:c>
      <x:c r="B1388" s="30" t="str">
        <x:v>Математика</x:v>
      </x:c>
      <x:c r="C1388" s="30"/>
      <x:c r="D1388" s="30" t="str">
        <x:v>МА2510210</x:v>
      </x:c>
      <x:c r="E1388" s="87" t="str">
        <x:v>CRIT</x:v>
      </x:c>
      <x:c r="F1388" s="30" t="str">
        <x:v>Kriterii_MA11_18122025_zapad.pdf</x:v>
      </x:c>
      <x:c r="G1388" s="87" t="str">
        <x:v>16</x:v>
      </x:c>
      <x:c r="H1388" s="87" t="str">
        <x:v>v0.88</x:v>
      </x:c>
      <x:c r="I1388" s="87" t="str">
        <x:v>1</x:v>
      </x:c>
      <x:c r="J1388" s="30" t="str">
        <x:v>VIS_KEY</x:v>
      </x:c>
      <x:c r="K1388" s="30" t="str">
        <x:v>DEC-MATH-10-019</x:v>
      </x:c>
      <x:c r="L1388" s="87" t="str">
        <x:v>CROP_VERIFIED</x:v>
      </x:c>
      <x:c r="M1388" s="87" t="str">
        <x:v>ORIGINAL_PACKAGE</x:v>
      </x:c>
      <x:c r="N1388" s="87" t="str">
        <x:v>pages/VIS-MATH-DEC-CW-CRIT-P016.png</x:v>
      </x:c>
      <x:c r="O1388" s="87" t="str">
        <x:v>thumbnails/VIS-MATH-DEC-CW-CRIT-P016.jpg</x:v>
      </x:c>
      <x:c r="P1388" s="87" t="str">
        <x:v>c2f1ad6f71303f3d47cde27960701abe88d9ffd6c691a9f0e160473d3c100c58</x:v>
      </x:c>
      <x:c r="Q1388" s="30" t="str">
        <x:v>incoming/raw/recovery-drop-01/mathematics_dec_visual_assets_v088.zip!/pages/VIS-MATH-DEC-CW-CRIT-P016.png</x:v>
      </x:c>
      <x:c r="R1388" s="30" t="str">
        <x:v>MATCHED_ASSET</x:v>
      </x:c>
      <x:c r="S1388" t="e">
        <x:f>HYPERLINK("visual_gallery/index.html#"&amp;A1388,"Галерея")</x:f>
      </x:c>
    </x:row>
    <x:row r="1389">
      <x:c r="A1389" s="87" t="str">
        <x:v>VIS-MATH-DEC-KEY-BE</x:v>
      </x:c>
      <x:c r="B1389" s="30" t="str">
        <x:v>Математика</x:v>
      </x:c>
      <x:c r="C1389" s="30"/>
      <x:c r="D1389" s="30" t="str">
        <x:v>МА2510205, МА2510206, МА2510207, МА2510208</x:v>
      </x:c>
      <x:c r="E1389" s="87" t="str">
        <x:v>KEY</x:v>
      </x:c>
      <x:c r="F1389" s="30" t="str">
        <x:v>База.jpg</x:v>
      </x:c>
      <x:c r="G1389" s="87" t="str">
        <x:v>1</x:v>
      </x:c>
      <x:c r="H1389" s="87" t="str">
        <x:v>v0.88</x:v>
      </x:c>
      <x:c r="I1389" s="87" t="str">
        <x:v>84</x:v>
      </x:c>
      <x:c r="J1389" s="30" t="str">
        <x:v>VIS_KEY</x:v>
      </x:c>
      <x:c r="K1389" s="30" t="str">
        <x:v>DEC-MATH-05-001, DEC-MATH-05-002, DEC-MATH-05-003, DEC-MATH-05-004, DEC-MATH-05-005, DEC-MATH-05-006, DEC-MATH-05-007, DEC-MATH-05-008…</x:v>
      </x:c>
      <x:c r="L1389" s="87" t="str">
        <x:v>CROP_VERIFIED</x:v>
      </x:c>
      <x:c r="M1389" s="87" t="str">
        <x:v>ORIGINAL_PACKAGE</x:v>
      </x:c>
      <x:c r="N1389" s="87" t="str">
        <x:v>pages/VIS-MATH-DEC-KEY-BE.png</x:v>
      </x:c>
      <x:c r="O1389" s="87" t="str">
        <x:v>thumbnails/VIS-MATH-DEC-KEY-BE.jpg</x:v>
      </x:c>
      <x:c r="P1389" s="87" t="str">
        <x:v>4ef94ffc363b013a30d9c02bf5a3f6414414e52d6b65c11ca1c99fd1e6e4631e</x:v>
      </x:c>
      <x:c r="Q1389" s="30" t="str">
        <x:v>incoming/raw/recovery-drop-01/mathematics_dec_visual_assets_v088.zip!/pages/VIS-MATH-DEC-KEY-BE.png</x:v>
      </x:c>
      <x:c r="R1389" s="30" t="str">
        <x:v>MATCHED_ASSET</x:v>
      </x:c>
      <x:c r="S1389" t="e">
        <x:f>HYPERLINK("visual_gallery/index.html#"&amp;A1389,"Галерея")</x:f>
      </x:c>
    </x:row>
    <x:row r="1390">
      <x:c r="A1390" s="87" t="str">
        <x:v>VIS-MATH-DEC-KEY-BW</x:v>
      </x:c>
      <x:c r="B1390" s="30" t="str">
        <x:v>Математика</x:v>
      </x:c>
      <x:c r="C1390" s="30"/>
      <x:c r="D1390" s="30" t="str">
        <x:v>МА2510201, МА2510202, МА2510203, МА2510204</x:v>
      </x:c>
      <x:c r="E1390" s="87" t="str">
        <x:v>KEY</x:v>
      </x:c>
      <x:c r="F1390" s="30" t="str">
        <x:v>База.jpg</x:v>
      </x:c>
      <x:c r="G1390" s="87" t="str">
        <x:v>1</x:v>
      </x:c>
      <x:c r="H1390" s="87" t="str">
        <x:v>v0.88</x:v>
      </x:c>
      <x:c r="I1390" s="87" t="str">
        <x:v>84</x:v>
      </x:c>
      <x:c r="J1390" s="30" t="str">
        <x:v>VIS_KEY</x:v>
      </x:c>
      <x:c r="K1390" s="30" t="str">
        <x:v>DEC-MATH-01-001, DEC-MATH-01-002, DEC-MATH-01-003, DEC-MATH-01-004, DEC-MATH-01-005, DEC-MATH-01-006, DEC-MATH-01-007, DEC-MATH-01-008…</x:v>
      </x:c>
      <x:c r="L1390" s="87" t="str">
        <x:v>CROP_VERIFIED</x:v>
      </x:c>
      <x:c r="M1390" s="87" t="str">
        <x:v>ORIGINAL_PACKAGE</x:v>
      </x:c>
      <x:c r="N1390" s="87" t="str">
        <x:v>pages/VIS-MATH-DEC-KEY-BW.png</x:v>
      </x:c>
      <x:c r="O1390" s="87" t="str">
        <x:v>thumbnails/VIS-MATH-DEC-KEY-BW.jpg</x:v>
      </x:c>
      <x:c r="P1390" s="87" t="str">
        <x:v>4ef94ffc363b013a30d9c02bf5a3f6414414e52d6b65c11ca1c99fd1e6e4631e</x:v>
      </x:c>
      <x:c r="Q1390" s="30" t="str">
        <x:v>incoming/raw/recovery-drop-01/mathematics_dec_visual_assets_v088.zip!/pages/VIS-MATH-DEC-KEY-BE.png</x:v>
      </x:c>
      <x:c r="R1390" s="30" t="str">
        <x:v>MATCHED_ASSET</x:v>
      </x:c>
      <x:c r="S1390" t="e">
        <x:f>HYPERLINK("visual_gallery/index.html#"&amp;A1390,"Галерея")</x:f>
      </x:c>
    </x:row>
    <x:row r="1391">
      <x:c r="A1391" s="87" t="str">
        <x:v>VIS-MATH-DEC-KEY-PE</x:v>
      </x:c>
      <x:c r="B1391" s="30" t="str">
        <x:v>Математика</x:v>
      </x:c>
      <x:c r="C1391" s="30"/>
      <x:c r="D1391" s="30" t="str">
        <x:v>МА2510211, МА2510212</x:v>
      </x:c>
      <x:c r="E1391" s="87" t="str">
        <x:v>KEY</x:v>
      </x:c>
      <x:c r="F1391" s="30" t="str">
        <x:v>Профиль.jpg</x:v>
      </x:c>
      <x:c r="G1391" s="87" t="str">
        <x:v>1</x:v>
      </x:c>
      <x:c r="H1391" s="87" t="str">
        <x:v>v0.88</x:v>
      </x:c>
      <x:c r="I1391" s="87" t="str">
        <x:v>24</x:v>
      </x:c>
      <x:c r="J1391" s="30" t="str">
        <x:v>VIS_KEY</x:v>
      </x:c>
      <x:c r="K1391" s="30" t="str">
        <x:v>DEC-MATH-11-001, DEC-MATH-11-002, DEC-MATH-11-003, DEC-MATH-11-004, DEC-MATH-11-005, DEC-MATH-11-006, DEC-MATH-11-007, DEC-MATH-11-008…</x:v>
      </x:c>
      <x:c r="L1391" s="87" t="str">
        <x:v>CROP_VERIFIED</x:v>
      </x:c>
      <x:c r="M1391" s="87" t="str">
        <x:v>ORIGINAL_PACKAGE</x:v>
      </x:c>
      <x:c r="N1391" s="87" t="str">
        <x:v>pages/VIS-MATH-DEC-KEY-PE.png</x:v>
      </x:c>
      <x:c r="O1391" s="87" t="str">
        <x:v>thumbnails/VIS-MATH-DEC-KEY-PE.jpg</x:v>
      </x:c>
      <x:c r="P1391" s="87" t="str">
        <x:v>511d9400334286428b64d41b5d029ac406466e3301abcaf2d767d87463e3b1e6</x:v>
      </x:c>
      <x:c r="Q1391" s="30" t="str">
        <x:v>incoming/raw/recovery-drop-01/mathematics_dec_visual_assets_v088.zip!/pages/VIS-MATH-DEC-KEY-PE.png</x:v>
      </x:c>
      <x:c r="R1391" s="30" t="str">
        <x:v>MATCHED_ASSET</x:v>
      </x:c>
      <x:c r="S1391" t="e">
        <x:f>HYPERLINK("visual_gallery/index.html#"&amp;A1391,"Галерея")</x:f>
      </x:c>
    </x:row>
    <x:row r="1392">
      <x:c r="A1392" s="87" t="str">
        <x:v>VIS-MATH-DEC-KEY-PW</x:v>
      </x:c>
      <x:c r="B1392" s="30" t="str">
        <x:v>Математика</x:v>
      </x:c>
      <x:c r="C1392" s="30"/>
      <x:c r="D1392" s="30" t="str">
        <x:v>МА2510209, МА2510210</x:v>
      </x:c>
      <x:c r="E1392" s="87" t="str">
        <x:v>KEY</x:v>
      </x:c>
      <x:c r="F1392" s="30" t="str">
        <x:v>Профиль.jpg</x:v>
      </x:c>
      <x:c r="G1392" s="87" t="str">
        <x:v>1</x:v>
      </x:c>
      <x:c r="H1392" s="87" t="str">
        <x:v>v0.88</x:v>
      </x:c>
      <x:c r="I1392" s="87" t="str">
        <x:v>24</x:v>
      </x:c>
      <x:c r="J1392" s="30" t="str">
        <x:v>VIS_KEY</x:v>
      </x:c>
      <x:c r="K1392" s="30" t="str">
        <x:v>DEC-MATH-09-001, DEC-MATH-09-002, DEC-MATH-09-003, DEC-MATH-09-004, DEC-MATH-09-005, DEC-MATH-09-006, DEC-MATH-09-007, DEC-MATH-09-008…</x:v>
      </x:c>
      <x:c r="L1392" s="87" t="str">
        <x:v>CROP_VERIFIED</x:v>
      </x:c>
      <x:c r="M1392" s="87" t="str">
        <x:v>ORIGINAL_PACKAGE</x:v>
      </x:c>
      <x:c r="N1392" s="87" t="str">
        <x:v>pages/VIS-MATH-DEC-KEY-PW.png</x:v>
      </x:c>
      <x:c r="O1392" s="87" t="str">
        <x:v>thumbnails/VIS-MATH-DEC-KEY-PW.jpg</x:v>
      </x:c>
      <x:c r="P1392" s="87" t="str">
        <x:v>511d9400334286428b64d41b5d029ac406466e3301abcaf2d767d87463e3b1e6</x:v>
      </x:c>
      <x:c r="Q1392" s="30" t="str">
        <x:v>incoming/raw/recovery-drop-01/mathematics_dec_visual_assets_v088.zip!/pages/VIS-MATH-DEC-KEY-PE.png</x:v>
      </x:c>
      <x:c r="R1392" s="30" t="str">
        <x:v>MATCHED_ASSET</x:v>
      </x:c>
      <x:c r="S1392" t="e">
        <x:f>HYPERLINK("visual_gallery/index.html#"&amp;A1392,"Галерея")</x:f>
      </x:c>
    </x:row>
    <x:row r="1393">
      <x:c r="A1393" s="87" t="str">
        <x:v>VIS-MATH-DEC-PE-TASK-P001</x:v>
      </x:c>
      <x:c r="B1393" s="30" t="str"/>
      <x:c r="C1393" s="30"/>
      <x:c r="D1393" s="30" t="str"/>
      <x:c r="E1393" s="87" t="str">
        <x:v>TASK</x:v>
      </x:c>
      <x:c r="F1393" s="30" t="str">
        <x:v>Zadanie_MA11_18122025_profil__vostok.pdf</x:v>
      </x:c>
      <x:c r="G1393" s="87" t="str">
        <x:v>1</x:v>
      </x:c>
      <x:c r="H1393" s="87" t="str">
        <x:v>v0.88</x:v>
      </x:c>
      <x:c r="I1393" s="87" t="str">
        <x:v>0</x:v>
      </x:c>
      <x:c r="J1393" s="30" t="str"/>
      <x:c r="K1393" s="30" t="str"/>
      <x:c r="L1393" s="87" t="str">
        <x:v>CROP_VERIFIED</x:v>
      </x:c>
      <x:c r="M1393" s="87" t="str">
        <x:v>ORIGINAL_PACKAGE</x:v>
      </x:c>
      <x:c r="N1393" s="87" t="str">
        <x:v>pages/VIS-MATH-DEC-PE-TASK-P001.png</x:v>
      </x:c>
      <x:c r="O1393" s="87" t="str">
        <x:v>thumbnails/VIS-MATH-DEC-PE-TASK-P001.jpg</x:v>
      </x:c>
      <x:c r="P1393" s="87" t="str">
        <x:v>4f62b5ecf6e07ebf466d5dbf085d196b28673f1dd109413c728ba104956949e3</x:v>
      </x:c>
      <x:c r="Q1393" s="30" t="str">
        <x:v>incoming/raw/recovery-drop-01/mathematics_dec_visual_assets_v088.zip!/pages/VIS-MATH-DEC-PE-TASK-P001.png</x:v>
      </x:c>
      <x:c r="R1393" s="30" t="str">
        <x:v>RESOLVED_UNLINKED_REGISTRY_VISUAL</x:v>
      </x:c>
      <x:c r="S1393" t="e">
        <x:f>HYPERLINK("visual_gallery/index.html#"&amp;A1393,"Галерея")</x:f>
      </x:c>
    </x:row>
    <x:row r="1394">
      <x:c r="A1394" s="87" t="str">
        <x:v>VIS-MATH-DEC-PE-TASK-P002</x:v>
      </x:c>
      <x:c r="B1394" s="30" t="str">
        <x:v>Математика</x:v>
      </x:c>
      <x:c r="C1394" s="30"/>
      <x:c r="D1394" s="30" t="str">
        <x:v>МА2510211</x:v>
      </x:c>
      <x:c r="E1394" s="87" t="str">
        <x:v>TASK</x:v>
      </x:c>
      <x:c r="F1394" s="30" t="str">
        <x:v>Zadanie_MA11_18122025_profil__vostok.pdf</x:v>
      </x:c>
      <x:c r="G1394" s="87" t="str">
        <x:v>2</x:v>
      </x:c>
      <x:c r="H1394" s="87" t="str">
        <x:v>v0.88</x:v>
      </x:c>
      <x:c r="I1394" s="87" t="str">
        <x:v>3</x:v>
      </x:c>
      <x:c r="J1394" s="30" t="str">
        <x:v>VIS_ID</x:v>
      </x:c>
      <x:c r="K1394" s="30" t="str">
        <x:v>DEC-MATH-11-001, DEC-MATH-11-002, DEC-MATH-11-003</x:v>
      </x:c>
      <x:c r="L1394" s="87" t="str">
        <x:v>CROP_VERIFIED</x:v>
      </x:c>
      <x:c r="M1394" s="87" t="str">
        <x:v>ORIGINAL_PACKAGE</x:v>
      </x:c>
      <x:c r="N1394" s="87" t="str">
        <x:v>pages/VIS-MATH-DEC-PE-TASK-P002.png</x:v>
      </x:c>
      <x:c r="O1394" s="87" t="str">
        <x:v>thumbnails/VIS-MATH-DEC-PE-TASK-P002.jpg</x:v>
      </x:c>
      <x:c r="P1394" s="87" t="str">
        <x:v>a2f31da9e1db8e67d5c5fdde50a3b62e6504474aa2450ec7d5609216bb60f30a</x:v>
      </x:c>
      <x:c r="Q1394" s="30" t="str">
        <x:v>incoming/raw/recovery-drop-01/mathematics_dec_visual_assets_v088.zip!/pages/VIS-MATH-DEC-PE-TASK-P002.png</x:v>
      </x:c>
      <x:c r="R1394" s="30" t="str">
        <x:v>MATCHED_ASSET</x:v>
      </x:c>
      <x:c r="S1394" t="e">
        <x:f>HYPERLINK("visual_gallery/index.html#"&amp;A1394,"Галерея")</x:f>
      </x:c>
    </x:row>
    <x:row r="1395">
      <x:c r="A1395" s="87" t="str">
        <x:v>VIS-MATH-DEC-PE-TASK-P003</x:v>
      </x:c>
      <x:c r="B1395" s="30" t="str">
        <x:v>Математика</x:v>
      </x:c>
      <x:c r="C1395" s="30"/>
      <x:c r="D1395" s="30" t="str">
        <x:v>МА2510211</x:v>
      </x:c>
      <x:c r="E1395" s="87" t="str">
        <x:v>TASK</x:v>
      </x:c>
      <x:c r="F1395" s="30" t="str">
        <x:v>Zadanie_MA11_18122025_profil__vostok.pdf</x:v>
      </x:c>
      <x:c r="G1395" s="87" t="str">
        <x:v>3</x:v>
      </x:c>
      <x:c r="H1395" s="87" t="str">
        <x:v>v0.88</x:v>
      </x:c>
      <x:c r="I1395" s="87" t="str">
        <x:v>5</x:v>
      </x:c>
      <x:c r="J1395" s="30" t="str">
        <x:v>VIS_ID</x:v>
      </x:c>
      <x:c r="K1395" s="30" t="str">
        <x:v>DEC-MATH-11-004, DEC-MATH-11-005, DEC-MATH-11-006, DEC-MATH-11-007, DEC-MATH-11-008</x:v>
      </x:c>
      <x:c r="L1395" s="87" t="str">
        <x:v>CROP_VERIFIED</x:v>
      </x:c>
      <x:c r="M1395" s="87" t="str">
        <x:v>ORIGINAL_PACKAGE</x:v>
      </x:c>
      <x:c r="N1395" s="87" t="str">
        <x:v>pages/VIS-MATH-DEC-PE-TASK-P003.png</x:v>
      </x:c>
      <x:c r="O1395" s="87" t="str">
        <x:v>thumbnails/VIS-MATH-DEC-PE-TASK-P003.jpg</x:v>
      </x:c>
      <x:c r="P1395" s="87" t="str">
        <x:v>e758cfb887b15908c046bcf9d2c0fbdc544fa9e2739d02101a2a0c3eccb7859c</x:v>
      </x:c>
      <x:c r="Q1395" s="30" t="str">
        <x:v>incoming/raw/recovery-drop-01/mathematics_dec_visual_assets_v088.zip!/pages/VIS-MATH-DEC-PE-TASK-P003.png</x:v>
      </x:c>
      <x:c r="R1395" s="30" t="str">
        <x:v>MATCHED_ASSET</x:v>
      </x:c>
      <x:c r="S1395" t="e">
        <x:f>HYPERLINK("visual_gallery/index.html#"&amp;A1395,"Галерея")</x:f>
      </x:c>
    </x:row>
    <x:row r="1396">
      <x:c r="A1396" s="87" t="str">
        <x:v>VIS-MATH-DEC-PE-TASK-P004</x:v>
      </x:c>
      <x:c r="B1396" s="30" t="str">
        <x:v>Математика</x:v>
      </x:c>
      <x:c r="C1396" s="30"/>
      <x:c r="D1396" s="30" t="str">
        <x:v>МА2510211</x:v>
      </x:c>
      <x:c r="E1396" s="87" t="str">
        <x:v>TASK</x:v>
      </x:c>
      <x:c r="F1396" s="30" t="str">
        <x:v>Zadanie_MA11_18122025_profil__vostok.pdf</x:v>
      </x:c>
      <x:c r="G1396" s="87" t="str">
        <x:v>4</x:v>
      </x:c>
      <x:c r="H1396" s="87" t="str">
        <x:v>v0.88</x:v>
      </x:c>
      <x:c r="I1396" s="87" t="str">
        <x:v>3</x:v>
      </x:c>
      <x:c r="J1396" s="30" t="str">
        <x:v>VIS_ID</x:v>
      </x:c>
      <x:c r="K1396" s="30" t="str">
        <x:v>DEC-MATH-11-009, DEC-MATH-11-010, DEC-MATH-11-011</x:v>
      </x:c>
      <x:c r="L1396" s="87" t="str">
        <x:v>CROP_VERIFIED</x:v>
      </x:c>
      <x:c r="M1396" s="87" t="str">
        <x:v>ORIGINAL_PACKAGE</x:v>
      </x:c>
      <x:c r="N1396" s="87" t="str">
        <x:v>pages/VIS-MATH-DEC-PE-TASK-P004.png</x:v>
      </x:c>
      <x:c r="O1396" s="87" t="str">
        <x:v>thumbnails/VIS-MATH-DEC-PE-TASK-P004.jpg</x:v>
      </x:c>
      <x:c r="P1396" s="87" t="str">
        <x:v>8cf369be35e131c0b5d407e1eef950c553e92b97087523887672947576932118</x:v>
      </x:c>
      <x:c r="Q1396" s="30" t="str">
        <x:v>incoming/raw/recovery-drop-01/mathematics_dec_visual_assets_v088.zip!/pages/VIS-MATH-DEC-PE-TASK-P004.png</x:v>
      </x:c>
      <x:c r="R1396" s="30" t="str">
        <x:v>MATCHED_ASSET</x:v>
      </x:c>
      <x:c r="S1396" t="e">
        <x:f>HYPERLINK("visual_gallery/index.html#"&amp;A1396,"Галерея")</x:f>
      </x:c>
    </x:row>
    <x:row r="1397">
      <x:c r="A1397" s="87" t="str">
        <x:v>VIS-MATH-DEC-PE-TASK-P005</x:v>
      </x:c>
      <x:c r="B1397" s="30" t="str">
        <x:v>Математика</x:v>
      </x:c>
      <x:c r="C1397" s="30"/>
      <x:c r="D1397" s="30" t="str">
        <x:v>МА2510211</x:v>
      </x:c>
      <x:c r="E1397" s="87" t="str">
        <x:v>TASK</x:v>
      </x:c>
      <x:c r="F1397" s="30" t="str">
        <x:v>Zadanie_MA11_18122025_profil__vostok.pdf</x:v>
      </x:c>
      <x:c r="G1397" s="87" t="str">
        <x:v>5</x:v>
      </x:c>
      <x:c r="H1397" s="87" t="str">
        <x:v>v0.88</x:v>
      </x:c>
      <x:c r="I1397" s="87" t="str">
        <x:v>4</x:v>
      </x:c>
      <x:c r="J1397" s="30" t="str">
        <x:v>VIS_ID</x:v>
      </x:c>
      <x:c r="K1397" s="30" t="str">
        <x:v>DEC-MATH-11-012, DEC-MATH-11-013, DEC-MATH-11-014, DEC-MATH-11-015</x:v>
      </x:c>
      <x:c r="L1397" s="87" t="str">
        <x:v>CROP_VERIFIED</x:v>
      </x:c>
      <x:c r="M1397" s="87" t="str">
        <x:v>ORIGINAL_PACKAGE</x:v>
      </x:c>
      <x:c r="N1397" s="87" t="str">
        <x:v>pages/VIS-MATH-DEC-PE-TASK-P005.png</x:v>
      </x:c>
      <x:c r="O1397" s="87" t="str">
        <x:v>thumbnails/VIS-MATH-DEC-PE-TASK-P005.jpg</x:v>
      </x:c>
      <x:c r="P1397" s="87" t="str">
        <x:v>84747a8591f2a81d01c49656ecd884f4964f6d10b28ed69da260331564f709f6</x:v>
      </x:c>
      <x:c r="Q1397" s="30" t="str">
        <x:v>incoming/raw/recovery-drop-01/mathematics_dec_visual_assets_v088.zip!/pages/VIS-MATH-DEC-PE-TASK-P005.png</x:v>
      </x:c>
      <x:c r="R1397" s="30" t="str">
        <x:v>MATCHED_ASSET</x:v>
      </x:c>
      <x:c r="S1397" t="e">
        <x:f>HYPERLINK("visual_gallery/index.html#"&amp;A1397,"Галерея")</x:f>
      </x:c>
    </x:row>
    <x:row r="1398">
      <x:c r="A1398" s="87" t="str">
        <x:v>VIS-MATH-DEC-PE-TASK-P006</x:v>
      </x:c>
      <x:c r="B1398" s="30" t="str">
        <x:v>Математика</x:v>
      </x:c>
      <x:c r="C1398" s="30"/>
      <x:c r="D1398" s="30" t="str">
        <x:v>МА2510211</x:v>
      </x:c>
      <x:c r="E1398" s="87" t="str">
        <x:v>TASK</x:v>
      </x:c>
      <x:c r="F1398" s="30" t="str">
        <x:v>Zadanie_MA11_18122025_profil__vostok.pdf</x:v>
      </x:c>
      <x:c r="G1398" s="87" t="str">
        <x:v>6</x:v>
      </x:c>
      <x:c r="H1398" s="87" t="str">
        <x:v>v0.88</x:v>
      </x:c>
      <x:c r="I1398" s="87" t="str">
        <x:v>4</x:v>
      </x:c>
      <x:c r="J1398" s="30" t="str">
        <x:v>VIS_ID</x:v>
      </x:c>
      <x:c r="K1398" s="30" t="str">
        <x:v>DEC-MATH-11-016, DEC-MATH-11-017, DEC-MATH-11-018, DEC-MATH-11-019</x:v>
      </x:c>
      <x:c r="L1398" s="87" t="str">
        <x:v>CROP_VERIFIED</x:v>
      </x:c>
      <x:c r="M1398" s="87" t="str">
        <x:v>ORIGINAL_PACKAGE</x:v>
      </x:c>
      <x:c r="N1398" s="87" t="str">
        <x:v>pages/VIS-MATH-DEC-PE-TASK-P006.png</x:v>
      </x:c>
      <x:c r="O1398" s="87" t="str">
        <x:v>thumbnails/VIS-MATH-DEC-PE-TASK-P006.jpg</x:v>
      </x:c>
      <x:c r="P1398" s="87" t="str">
        <x:v>a9aebbdb885c193df502760568cfed036fa76ecefc0144113f87804a5f627ecc</x:v>
      </x:c>
      <x:c r="Q1398" s="30" t="str">
        <x:v>incoming/raw/recovery-drop-01/mathematics_dec_visual_assets_v088.zip!/pages/VIS-MATH-DEC-PE-TASK-P006.png</x:v>
      </x:c>
      <x:c r="R1398" s="30" t="str">
        <x:v>MATCHED_ASSET</x:v>
      </x:c>
      <x:c r="S1398" t="e">
        <x:f>HYPERLINK("visual_gallery/index.html#"&amp;A1398,"Галерея")</x:f>
      </x:c>
    </x:row>
    <x:row r="1399">
      <x:c r="A1399" s="87" t="str">
        <x:v>VIS-MATH-DEC-PE-TASK-P007</x:v>
      </x:c>
      <x:c r="B1399" s="30" t="str"/>
      <x:c r="C1399" s="30"/>
      <x:c r="D1399" s="30" t="str"/>
      <x:c r="E1399" s="87" t="str">
        <x:v>TASK</x:v>
      </x:c>
      <x:c r="F1399" s="30" t="str">
        <x:v>Zadanie_MA11_18122025_profil__vostok.pdf</x:v>
      </x:c>
      <x:c r="G1399" s="87" t="str">
        <x:v>7</x:v>
      </x:c>
      <x:c r="H1399" s="87" t="str">
        <x:v>v0.88</x:v>
      </x:c>
      <x:c r="I1399" s="87" t="str">
        <x:v>0</x:v>
      </x:c>
      <x:c r="J1399" s="30" t="str"/>
      <x:c r="K1399" s="30" t="str"/>
      <x:c r="L1399" s="87" t="str">
        <x:v>CROP_VERIFIED</x:v>
      </x:c>
      <x:c r="M1399" s="87" t="str">
        <x:v>ORIGINAL_PACKAGE</x:v>
      </x:c>
      <x:c r="N1399" s="87" t="str">
        <x:v>pages/VIS-MATH-DEC-PE-TASK-P007.png</x:v>
      </x:c>
      <x:c r="O1399" s="87" t="str">
        <x:v>thumbnails/VIS-MATH-DEC-PE-TASK-P007.jpg</x:v>
      </x:c>
      <x:c r="P1399" s="87" t="str">
        <x:v>cf0f5f3987b972afa52db839f26455e676e2691297d4783b6bf542aba070e3e9</x:v>
      </x:c>
      <x:c r="Q1399" s="30" t="str">
        <x:v>incoming/raw/recovery-drop-01/mathematics_dec_visual_assets_v088.zip!/pages/VIS-MATH-DEC-PE-TASK-P007.png</x:v>
      </x:c>
      <x:c r="R1399" s="30" t="str">
        <x:v>RESOLVED_UNLINKED_REGISTRY_VISUAL</x:v>
      </x:c>
      <x:c r="S1399" t="e">
        <x:f>HYPERLINK("visual_gallery/index.html#"&amp;A1399,"Галерея")</x:f>
      </x:c>
    </x:row>
    <x:row r="1400">
      <x:c r="A1400" s="87" t="str">
        <x:v>VIS-MATH-DEC-PE-TASK-P008</x:v>
      </x:c>
      <x:c r="B1400" s="30" t="str">
        <x:v>Математика</x:v>
      </x:c>
      <x:c r="C1400" s="30"/>
      <x:c r="D1400" s="30" t="str">
        <x:v>МА2510212</x:v>
      </x:c>
      <x:c r="E1400" s="87" t="str">
        <x:v>TASK</x:v>
      </x:c>
      <x:c r="F1400" s="30" t="str">
        <x:v>Zadanie_MA11_18122025_profil__vostok.pdf</x:v>
      </x:c>
      <x:c r="G1400" s="87" t="str">
        <x:v>8</x:v>
      </x:c>
      <x:c r="H1400" s="87" t="str">
        <x:v>v0.88</x:v>
      </x:c>
      <x:c r="I1400" s="87" t="str">
        <x:v>3</x:v>
      </x:c>
      <x:c r="J1400" s="30" t="str">
        <x:v>VIS_ID</x:v>
      </x:c>
      <x:c r="K1400" s="30" t="str">
        <x:v>DEC-MATH-12-001, DEC-MATH-12-002, DEC-MATH-12-003</x:v>
      </x:c>
      <x:c r="L1400" s="87" t="str">
        <x:v>CROP_VERIFIED</x:v>
      </x:c>
      <x:c r="M1400" s="87" t="str">
        <x:v>ORIGINAL_PACKAGE</x:v>
      </x:c>
      <x:c r="N1400" s="87" t="str">
        <x:v>pages/VIS-MATH-DEC-PE-TASK-P008.png</x:v>
      </x:c>
      <x:c r="O1400" s="87" t="str">
        <x:v>thumbnails/VIS-MATH-DEC-PE-TASK-P008.jpg</x:v>
      </x:c>
      <x:c r="P1400" s="87" t="str">
        <x:v>fc8d816a60c7137d1e4f795df0b07bbcd758ee2357b50a028f40827cf3692eb5</x:v>
      </x:c>
      <x:c r="Q1400" s="30" t="str">
        <x:v>incoming/raw/recovery-drop-01/mathematics_dec_visual_assets_v088.zip!/pages/VIS-MATH-DEC-PE-TASK-P008.png</x:v>
      </x:c>
      <x:c r="R1400" s="30" t="str">
        <x:v>MATCHED_ASSET</x:v>
      </x:c>
      <x:c r="S1400" t="e">
        <x:f>HYPERLINK("visual_gallery/index.html#"&amp;A1400,"Галерея")</x:f>
      </x:c>
    </x:row>
    <x:row r="1401">
      <x:c r="A1401" s="87" t="str">
        <x:v>VIS-MATH-DEC-PE-TASK-P009</x:v>
      </x:c>
      <x:c r="B1401" s="30" t="str">
        <x:v>Математика</x:v>
      </x:c>
      <x:c r="C1401" s="30"/>
      <x:c r="D1401" s="30" t="str">
        <x:v>МА2510212</x:v>
      </x:c>
      <x:c r="E1401" s="87" t="str">
        <x:v>TASK</x:v>
      </x:c>
      <x:c r="F1401" s="30" t="str">
        <x:v>Zadanie_MA11_18122025_profil__vostok.pdf</x:v>
      </x:c>
      <x:c r="G1401" s="87" t="str">
        <x:v>9</x:v>
      </x:c>
      <x:c r="H1401" s="87" t="str">
        <x:v>v0.88</x:v>
      </x:c>
      <x:c r="I1401" s="87" t="str">
        <x:v>5</x:v>
      </x:c>
      <x:c r="J1401" s="30" t="str">
        <x:v>VIS_ID</x:v>
      </x:c>
      <x:c r="K1401" s="30" t="str">
        <x:v>DEC-MATH-12-004, DEC-MATH-12-005, DEC-MATH-12-006, DEC-MATH-12-007, DEC-MATH-12-008</x:v>
      </x:c>
      <x:c r="L1401" s="87" t="str">
        <x:v>CROP_VERIFIED</x:v>
      </x:c>
      <x:c r="M1401" s="87" t="str">
        <x:v>ORIGINAL_PACKAGE</x:v>
      </x:c>
      <x:c r="N1401" s="87" t="str">
        <x:v>pages/VIS-MATH-DEC-PE-TASK-P009.png</x:v>
      </x:c>
      <x:c r="O1401" s="87" t="str">
        <x:v>thumbnails/VIS-MATH-DEC-PE-TASK-P009.jpg</x:v>
      </x:c>
      <x:c r="P1401" s="87" t="str">
        <x:v>4f74ef1b24999bbdaec2691f4cb3aea90c872f02c8d083b51c7493df41f40922</x:v>
      </x:c>
      <x:c r="Q1401" s="30" t="str">
        <x:v>incoming/raw/recovery-drop-01/mathematics_dec_visual_assets_v088.zip!/pages/VIS-MATH-DEC-PE-TASK-P009.png</x:v>
      </x:c>
      <x:c r="R1401" s="30" t="str">
        <x:v>MATCHED_ASSET</x:v>
      </x:c>
      <x:c r="S1401" t="e">
        <x:f>HYPERLINK("visual_gallery/index.html#"&amp;A1401,"Галерея")</x:f>
      </x:c>
    </x:row>
    <x:row r="1402">
      <x:c r="A1402" s="87" t="str">
        <x:v>VIS-MATH-DEC-PE-TASK-P010</x:v>
      </x:c>
      <x:c r="B1402" s="30" t="str">
        <x:v>Математика</x:v>
      </x:c>
      <x:c r="C1402" s="30"/>
      <x:c r="D1402" s="30" t="str">
        <x:v>МА2510212</x:v>
      </x:c>
      <x:c r="E1402" s="87" t="str">
        <x:v>TASK</x:v>
      </x:c>
      <x:c r="F1402" s="30" t="str">
        <x:v>Zadanie_MA11_18122025_profil__vostok.pdf</x:v>
      </x:c>
      <x:c r="G1402" s="87" t="str">
        <x:v>10</x:v>
      </x:c>
      <x:c r="H1402" s="87" t="str">
        <x:v>v0.88</x:v>
      </x:c>
      <x:c r="I1402" s="87" t="str">
        <x:v>3</x:v>
      </x:c>
      <x:c r="J1402" s="30" t="str">
        <x:v>VIS_ID</x:v>
      </x:c>
      <x:c r="K1402" s="30" t="str">
        <x:v>DEC-MATH-12-009, DEC-MATH-12-010, DEC-MATH-12-011</x:v>
      </x:c>
      <x:c r="L1402" s="87" t="str">
        <x:v>CROP_VERIFIED</x:v>
      </x:c>
      <x:c r="M1402" s="87" t="str">
        <x:v>ORIGINAL_PACKAGE</x:v>
      </x:c>
      <x:c r="N1402" s="87" t="str">
        <x:v>pages/VIS-MATH-DEC-PE-TASK-P010.png</x:v>
      </x:c>
      <x:c r="O1402" s="87" t="str">
        <x:v>thumbnails/VIS-MATH-DEC-PE-TASK-P010.jpg</x:v>
      </x:c>
      <x:c r="P1402" s="87" t="str">
        <x:v>76062d4ed41f4610dcd44c6691abf56b25caeaceee1bc9151591fb553a26d92f</x:v>
      </x:c>
      <x:c r="Q1402" s="30" t="str">
        <x:v>incoming/raw/recovery-drop-01/mathematics_dec_visual_assets_v088.zip!/pages/VIS-MATH-DEC-PE-TASK-P010.png</x:v>
      </x:c>
      <x:c r="R1402" s="30" t="str">
        <x:v>MATCHED_ASSET</x:v>
      </x:c>
      <x:c r="S1402" t="e">
        <x:f>HYPERLINK("visual_gallery/index.html#"&amp;A1402,"Галерея")</x:f>
      </x:c>
    </x:row>
    <x:row r="1403">
      <x:c r="A1403" s="87" t="str">
        <x:v>VIS-MATH-DEC-PE-TASK-P011</x:v>
      </x:c>
      <x:c r="B1403" s="30" t="str">
        <x:v>Математика</x:v>
      </x:c>
      <x:c r="C1403" s="30"/>
      <x:c r="D1403" s="30" t="str">
        <x:v>МА2510212</x:v>
      </x:c>
      <x:c r="E1403" s="87" t="str">
        <x:v>TASK</x:v>
      </x:c>
      <x:c r="F1403" s="30" t="str">
        <x:v>Zadanie_MA11_18122025_profil__vostok.pdf</x:v>
      </x:c>
      <x:c r="G1403" s="87" t="str">
        <x:v>11</x:v>
      </x:c>
      <x:c r="H1403" s="87" t="str">
        <x:v>v0.88</x:v>
      </x:c>
      <x:c r="I1403" s="87" t="str">
        <x:v>4</x:v>
      </x:c>
      <x:c r="J1403" s="30" t="str">
        <x:v>VIS_ID</x:v>
      </x:c>
      <x:c r="K1403" s="30" t="str">
        <x:v>DEC-MATH-12-012, DEC-MATH-12-013, DEC-MATH-12-014, DEC-MATH-12-015</x:v>
      </x:c>
      <x:c r="L1403" s="87" t="str">
        <x:v>CROP_VERIFIED</x:v>
      </x:c>
      <x:c r="M1403" s="87" t="str">
        <x:v>ORIGINAL_PACKAGE</x:v>
      </x:c>
      <x:c r="N1403" s="87" t="str">
        <x:v>pages/VIS-MATH-DEC-PE-TASK-P011.png</x:v>
      </x:c>
      <x:c r="O1403" s="87" t="str">
        <x:v>thumbnails/VIS-MATH-DEC-PE-TASK-P011.jpg</x:v>
      </x:c>
      <x:c r="P1403" s="87" t="str">
        <x:v>2f64d97c71a22b26e07379eef1560f873c2a3e1b4cb694a9202013c475b06316</x:v>
      </x:c>
      <x:c r="Q1403" s="30" t="str">
        <x:v>incoming/raw/recovery-drop-01/mathematics_dec_visual_assets_v088.zip!/pages/VIS-MATH-DEC-PE-TASK-P011.png</x:v>
      </x:c>
      <x:c r="R1403" s="30" t="str">
        <x:v>MATCHED_ASSET</x:v>
      </x:c>
      <x:c r="S1403" t="e">
        <x:f>HYPERLINK("visual_gallery/index.html#"&amp;A1403,"Галерея")</x:f>
      </x:c>
    </x:row>
    <x:row r="1404">
      <x:c r="A1404" s="87" t="str">
        <x:v>VIS-MATH-DEC-PE-TASK-P012</x:v>
      </x:c>
      <x:c r="B1404" s="30" t="str">
        <x:v>Математика</x:v>
      </x:c>
      <x:c r="C1404" s="30"/>
      <x:c r="D1404" s="30" t="str">
        <x:v>МА2510212</x:v>
      </x:c>
      <x:c r="E1404" s="87" t="str">
        <x:v>TASK</x:v>
      </x:c>
      <x:c r="F1404" s="30" t="str">
        <x:v>Zadanie_MA11_18122025_profil__vostok.pdf</x:v>
      </x:c>
      <x:c r="G1404" s="87" t="str">
        <x:v>12</x:v>
      </x:c>
      <x:c r="H1404" s="87" t="str">
        <x:v>v0.88</x:v>
      </x:c>
      <x:c r="I1404" s="87" t="str">
        <x:v>4</x:v>
      </x:c>
      <x:c r="J1404" s="30" t="str">
        <x:v>VIS_ID</x:v>
      </x:c>
      <x:c r="K1404" s="30" t="str">
        <x:v>DEC-MATH-12-016, DEC-MATH-12-017, DEC-MATH-12-018, DEC-MATH-12-019</x:v>
      </x:c>
      <x:c r="L1404" s="87" t="str">
        <x:v>CROP_VERIFIED</x:v>
      </x:c>
      <x:c r="M1404" s="87" t="str">
        <x:v>ORIGINAL_PACKAGE</x:v>
      </x:c>
      <x:c r="N1404" s="87" t="str">
        <x:v>pages/VIS-MATH-DEC-PE-TASK-P012.png</x:v>
      </x:c>
      <x:c r="O1404" s="87" t="str">
        <x:v>thumbnails/VIS-MATH-DEC-PE-TASK-P012.jpg</x:v>
      </x:c>
      <x:c r="P1404" s="87" t="str">
        <x:v>3c81fc04bda90140426e69c760dae8f0b176648124268995d24e6b25d8687e23</x:v>
      </x:c>
      <x:c r="Q1404" s="30" t="str">
        <x:v>incoming/raw/recovery-drop-01/mathematics_dec_visual_assets_v088.zip!/pages/VIS-MATH-DEC-PE-TASK-P012.png</x:v>
      </x:c>
      <x:c r="R1404" s="30" t="str">
        <x:v>MATCHED_ASSET</x:v>
      </x:c>
      <x:c r="S1404" t="e">
        <x:f>HYPERLINK("visual_gallery/index.html#"&amp;A1404,"Галерея")</x:f>
      </x:c>
    </x:row>
    <x:row r="1405">
      <x:c r="A1405" s="87" t="str">
        <x:v>VIS-MATH-DEC-PW-TASK-P001</x:v>
      </x:c>
      <x:c r="B1405" s="30" t="str"/>
      <x:c r="C1405" s="30"/>
      <x:c r="D1405" s="30" t="str"/>
      <x:c r="E1405" s="87" t="str">
        <x:v>TASK</x:v>
      </x:c>
      <x:c r="F1405" s="30" t="str">
        <x:v>Zadanie_MA11_18122025_profil__zapad.pdf</x:v>
      </x:c>
      <x:c r="G1405" s="87" t="str">
        <x:v>1</x:v>
      </x:c>
      <x:c r="H1405" s="87" t="str">
        <x:v>v0.88</x:v>
      </x:c>
      <x:c r="I1405" s="87" t="str">
        <x:v>0</x:v>
      </x:c>
      <x:c r="J1405" s="30" t="str"/>
      <x:c r="K1405" s="30" t="str"/>
      <x:c r="L1405" s="87" t="str">
        <x:v>CROP_VERIFIED</x:v>
      </x:c>
      <x:c r="M1405" s="87" t="str">
        <x:v>ORIGINAL_PACKAGE</x:v>
      </x:c>
      <x:c r="N1405" s="87" t="str">
        <x:v>pages/VIS-MATH-DEC-PW-TASK-P001.png</x:v>
      </x:c>
      <x:c r="O1405" s="87" t="str">
        <x:v>thumbnails/VIS-MATH-DEC-PW-TASK-P001.jpg</x:v>
      </x:c>
      <x:c r="P1405" s="87" t="str">
        <x:v>ac58ff9b5316a1d834cada87773bc35434cab46891df2570df86290b832d2235</x:v>
      </x:c>
      <x:c r="Q1405" s="30" t="str">
        <x:v>incoming/raw/recovery-drop-01/mathematics_dec_visual_assets_v088.zip!/pages/VIS-MATH-DEC-PW-TASK-P001.png</x:v>
      </x:c>
      <x:c r="R1405" s="30" t="str">
        <x:v>RESOLVED_UNLINKED_REGISTRY_VISUAL</x:v>
      </x:c>
      <x:c r="S1405" t="e">
        <x:f>HYPERLINK("visual_gallery/index.html#"&amp;A1405,"Галерея")</x:f>
      </x:c>
    </x:row>
    <x:row r="1406">
      <x:c r="A1406" s="87" t="str">
        <x:v>VIS-MATH-DEC-PW-TASK-P002</x:v>
      </x:c>
      <x:c r="B1406" s="30" t="str">
        <x:v>Математика</x:v>
      </x:c>
      <x:c r="C1406" s="30"/>
      <x:c r="D1406" s="30" t="str">
        <x:v>МА2510209</x:v>
      </x:c>
      <x:c r="E1406" s="87" t="str">
        <x:v>TASK</x:v>
      </x:c>
      <x:c r="F1406" s="30" t="str">
        <x:v>Zadanie_MA11_18122025_profil__zapad.pdf</x:v>
      </x:c>
      <x:c r="G1406" s="87" t="str">
        <x:v>2</x:v>
      </x:c>
      <x:c r="H1406" s="87" t="str">
        <x:v>v0.88</x:v>
      </x:c>
      <x:c r="I1406" s="87" t="str">
        <x:v>2</x:v>
      </x:c>
      <x:c r="J1406" s="30" t="str">
        <x:v>VIS_ID</x:v>
      </x:c>
      <x:c r="K1406" s="30" t="str">
        <x:v>DEC-MATH-09-001, DEC-MATH-09-002</x:v>
      </x:c>
      <x:c r="L1406" s="87" t="str">
        <x:v>CROP_VERIFIED</x:v>
      </x:c>
      <x:c r="M1406" s="87" t="str">
        <x:v>ORIGINAL_PACKAGE</x:v>
      </x:c>
      <x:c r="N1406" s="87" t="str">
        <x:v>pages/VIS-MATH-DEC-PW-TASK-P002.png</x:v>
      </x:c>
      <x:c r="O1406" s="87" t="str">
        <x:v>thumbnails/VIS-MATH-DEC-PW-TASK-P002.jpg</x:v>
      </x:c>
      <x:c r="P1406" s="87" t="str">
        <x:v>161a5b59db1763b73e8527cbdef63cbde1313d812ef2db62e74b55825eeaa278</x:v>
      </x:c>
      <x:c r="Q1406" s="30" t="str">
        <x:v>incoming/raw/recovery-drop-01/mathematics_dec_visual_assets_v088.zip!/pages/VIS-MATH-DEC-PW-TASK-P002.png</x:v>
      </x:c>
      <x:c r="R1406" s="30" t="str">
        <x:v>MATCHED_ASSET</x:v>
      </x:c>
      <x:c r="S1406" t="e">
        <x:f>HYPERLINK("visual_gallery/index.html#"&amp;A1406,"Галерея")</x:f>
      </x:c>
    </x:row>
    <x:row r="1407">
      <x:c r="A1407" s="87" t="str">
        <x:v>VIS-MATH-DEC-PW-TASK-P003</x:v>
      </x:c>
      <x:c r="B1407" s="30" t="str">
        <x:v>Математика</x:v>
      </x:c>
      <x:c r="C1407" s="30"/>
      <x:c r="D1407" s="30" t="str">
        <x:v>МА2510209</x:v>
      </x:c>
      <x:c r="E1407" s="87" t="str">
        <x:v>TASK</x:v>
      </x:c>
      <x:c r="F1407" s="30" t="str">
        <x:v>Zadanie_MA11_18122025_profil__zapad.pdf</x:v>
      </x:c>
      <x:c r="G1407" s="87" t="str">
        <x:v>3</x:v>
      </x:c>
      <x:c r="H1407" s="87" t="str">
        <x:v>v0.88</x:v>
      </x:c>
      <x:c r="I1407" s="87" t="str">
        <x:v>5</x:v>
      </x:c>
      <x:c r="J1407" s="30" t="str">
        <x:v>VIS_ID</x:v>
      </x:c>
      <x:c r="K1407" s="30" t="str">
        <x:v>DEC-MATH-09-003, DEC-MATH-09-004, DEC-MATH-09-005, DEC-MATH-09-006, DEC-MATH-09-007</x:v>
      </x:c>
      <x:c r="L1407" s="87" t="str">
        <x:v>CROP_VERIFIED</x:v>
      </x:c>
      <x:c r="M1407" s="87" t="str">
        <x:v>ORIGINAL_PACKAGE</x:v>
      </x:c>
      <x:c r="N1407" s="87" t="str">
        <x:v>pages/VIS-MATH-DEC-PW-TASK-P003.png</x:v>
      </x:c>
      <x:c r="O1407" s="87" t="str">
        <x:v>thumbnails/VIS-MATH-DEC-PW-TASK-P003.jpg</x:v>
      </x:c>
      <x:c r="P1407" s="87" t="str">
        <x:v>4314aacd8694c83ee05382e4164309c961391166dc12229f8bd8ccb5f62208e3</x:v>
      </x:c>
      <x:c r="Q1407" s="30" t="str">
        <x:v>incoming/raw/recovery-drop-01/mathematics_dec_visual_assets_v088.zip!/pages/VIS-MATH-DEC-PW-TASK-P003.png</x:v>
      </x:c>
      <x:c r="R1407" s="30" t="str">
        <x:v>MATCHED_ASSET</x:v>
      </x:c>
      <x:c r="S1407" t="e">
        <x:f>HYPERLINK("visual_gallery/index.html#"&amp;A1407,"Галерея")</x:f>
      </x:c>
    </x:row>
    <x:row r="1408">
      <x:c r="A1408" s="87" t="str">
        <x:v>VIS-MATH-DEC-PW-TASK-P004</x:v>
      </x:c>
      <x:c r="B1408" s="30" t="str">
        <x:v>Математика</x:v>
      </x:c>
      <x:c r="C1408" s="30"/>
      <x:c r="D1408" s="30" t="str">
        <x:v>МА2510209</x:v>
      </x:c>
      <x:c r="E1408" s="87" t="str">
        <x:v>TASK</x:v>
      </x:c>
      <x:c r="F1408" s="30" t="str">
        <x:v>Zadanie_MA11_18122025_profil__zapad.pdf</x:v>
      </x:c>
      <x:c r="G1408" s="87" t="str">
        <x:v>4</x:v>
      </x:c>
      <x:c r="H1408" s="87" t="str">
        <x:v>v0.88</x:v>
      </x:c>
      <x:c r="I1408" s="87" t="str">
        <x:v>3</x:v>
      </x:c>
      <x:c r="J1408" s="30" t="str">
        <x:v>VIS_ID</x:v>
      </x:c>
      <x:c r="K1408" s="30" t="str">
        <x:v>DEC-MATH-09-008, DEC-MATH-09-009, DEC-MATH-09-010</x:v>
      </x:c>
      <x:c r="L1408" s="87" t="str">
        <x:v>CROP_VERIFIED</x:v>
      </x:c>
      <x:c r="M1408" s="87" t="str">
        <x:v>ORIGINAL_PACKAGE</x:v>
      </x:c>
      <x:c r="N1408" s="87" t="str">
        <x:v>pages/VIS-MATH-DEC-PW-TASK-P004.png</x:v>
      </x:c>
      <x:c r="O1408" s="87" t="str">
        <x:v>thumbnails/VIS-MATH-DEC-PW-TASK-P004.jpg</x:v>
      </x:c>
      <x:c r="P1408" s="87" t="str">
        <x:v>591f1f096b999b101039fe956b6b6ebd39bbd6816fce652589cdd2288efdf767</x:v>
      </x:c>
      <x:c r="Q1408" s="30" t="str">
        <x:v>incoming/raw/recovery-drop-01/mathematics_dec_visual_assets_v088.zip!/pages/VIS-MATH-DEC-PW-TASK-P004.png</x:v>
      </x:c>
      <x:c r="R1408" s="30" t="str">
        <x:v>MATCHED_ASSET</x:v>
      </x:c>
      <x:c r="S1408" t="e">
        <x:f>HYPERLINK("visual_gallery/index.html#"&amp;A1408,"Галерея")</x:f>
      </x:c>
    </x:row>
    <x:row r="1409">
      <x:c r="A1409" s="87" t="str">
        <x:v>VIS-MATH-DEC-PW-TASK-P005</x:v>
      </x:c>
      <x:c r="B1409" s="30" t="str">
        <x:v>Математика</x:v>
      </x:c>
      <x:c r="C1409" s="30"/>
      <x:c r="D1409" s="30" t="str">
        <x:v>МА2510209</x:v>
      </x:c>
      <x:c r="E1409" s="87" t="str">
        <x:v>TASK</x:v>
      </x:c>
      <x:c r="F1409" s="30" t="str">
        <x:v>Zadanie_MA11_18122025_profil__zapad.pdf</x:v>
      </x:c>
      <x:c r="G1409" s="87" t="str">
        <x:v>5</x:v>
      </x:c>
      <x:c r="H1409" s="87" t="str">
        <x:v>v0.88</x:v>
      </x:c>
      <x:c r="I1409" s="87" t="str">
        <x:v>2</x:v>
      </x:c>
      <x:c r="J1409" s="30" t="str">
        <x:v>VIS_ID</x:v>
      </x:c>
      <x:c r="K1409" s="30" t="str">
        <x:v>DEC-MATH-09-011, DEC-MATH-09-012</x:v>
      </x:c>
      <x:c r="L1409" s="87" t="str">
        <x:v>CROP_VERIFIED</x:v>
      </x:c>
      <x:c r="M1409" s="87" t="str">
        <x:v>ORIGINAL_PACKAGE</x:v>
      </x:c>
      <x:c r="N1409" s="87" t="str">
        <x:v>pages/VIS-MATH-DEC-PW-TASK-P005.png</x:v>
      </x:c>
      <x:c r="O1409" s="87" t="str">
        <x:v>thumbnails/VIS-MATH-DEC-PW-TASK-P005.jpg</x:v>
      </x:c>
      <x:c r="P1409" s="87" t="str">
        <x:v>5d108af94a8c1294ef7a1eaa6d1a2e772f882287d857cd57b996beb4c08208bb</x:v>
      </x:c>
      <x:c r="Q1409" s="30" t="str">
        <x:v>incoming/raw/recovery-drop-01/mathematics_dec_visual_assets_v088.zip!/pages/VIS-MATH-DEC-PW-TASK-P005.png</x:v>
      </x:c>
      <x:c r="R1409" s="30" t="str">
        <x:v>MATCHED_ASSET</x:v>
      </x:c>
      <x:c r="S1409" t="e">
        <x:f>HYPERLINK("visual_gallery/index.html#"&amp;A1409,"Галерея")</x:f>
      </x:c>
    </x:row>
    <x:row r="1410">
      <x:c r="A1410" s="87" t="str">
        <x:v>VIS-MATH-DEC-PW-TASK-P006</x:v>
      </x:c>
      <x:c r="B1410" s="30" t="str">
        <x:v>Математика</x:v>
      </x:c>
      <x:c r="C1410" s="30"/>
      <x:c r="D1410" s="30" t="str">
        <x:v>МА2510209</x:v>
      </x:c>
      <x:c r="E1410" s="87" t="str">
        <x:v>TASK</x:v>
      </x:c>
      <x:c r="F1410" s="30" t="str">
        <x:v>Zadanie_MA11_18122025_profil__zapad.pdf</x:v>
      </x:c>
      <x:c r="G1410" s="87" t="str">
        <x:v>6</x:v>
      </x:c>
      <x:c r="H1410" s="87" t="str">
        <x:v>v0.88</x:v>
      </x:c>
      <x:c r="I1410" s="87" t="str">
        <x:v>4</x:v>
      </x:c>
      <x:c r="J1410" s="30" t="str">
        <x:v>VIS_ID</x:v>
      </x:c>
      <x:c r="K1410" s="30" t="str">
        <x:v>DEC-MATH-09-013, DEC-MATH-09-014, DEC-MATH-09-015, DEC-MATH-09-016</x:v>
      </x:c>
      <x:c r="L1410" s="87" t="str">
        <x:v>CROP_VERIFIED</x:v>
      </x:c>
      <x:c r="M1410" s="87" t="str">
        <x:v>ORIGINAL_PACKAGE</x:v>
      </x:c>
      <x:c r="N1410" s="87" t="str">
        <x:v>pages/VIS-MATH-DEC-PW-TASK-P006.png</x:v>
      </x:c>
      <x:c r="O1410" s="87" t="str">
        <x:v>thumbnails/VIS-MATH-DEC-PW-TASK-P006.jpg</x:v>
      </x:c>
      <x:c r="P1410" s="87" t="str">
        <x:v>730ed0e783fc9bf0c1619bd2ce237140b49c13eb92bcad22ad46fa78a5d9109f</x:v>
      </x:c>
      <x:c r="Q1410" s="30" t="str">
        <x:v>incoming/raw/recovery-drop-01/mathematics_dec_visual_assets_v088.zip!/pages/VIS-MATH-DEC-PW-TASK-P006.png</x:v>
      </x:c>
      <x:c r="R1410" s="30" t="str">
        <x:v>MATCHED_ASSET</x:v>
      </x:c>
      <x:c r="S1410" t="e">
        <x:f>HYPERLINK("visual_gallery/index.html#"&amp;A1410,"Галерея")</x:f>
      </x:c>
    </x:row>
    <x:row r="1411">
      <x:c r="A1411" s="87" t="str">
        <x:v>VIS-MATH-DEC-PW-TASK-P007</x:v>
      </x:c>
      <x:c r="B1411" s="30" t="str">
        <x:v>Математика</x:v>
      </x:c>
      <x:c r="C1411" s="30"/>
      <x:c r="D1411" s="30" t="str">
        <x:v>МА2510209</x:v>
      </x:c>
      <x:c r="E1411" s="87" t="str">
        <x:v>TASK</x:v>
      </x:c>
      <x:c r="F1411" s="30" t="str">
        <x:v>Zadanie_MA11_18122025_profil__zapad.pdf</x:v>
      </x:c>
      <x:c r="G1411" s="87" t="str">
        <x:v>7</x:v>
      </x:c>
      <x:c r="H1411" s="87" t="str">
        <x:v>v0.88</x:v>
      </x:c>
      <x:c r="I1411" s="87" t="str">
        <x:v>3</x:v>
      </x:c>
      <x:c r="J1411" s="30" t="str">
        <x:v>VIS_ID</x:v>
      </x:c>
      <x:c r="K1411" s="30" t="str">
        <x:v>DEC-MATH-09-017, DEC-MATH-09-018, DEC-MATH-09-019</x:v>
      </x:c>
      <x:c r="L1411" s="87" t="str">
        <x:v>CROP_VERIFIED</x:v>
      </x:c>
      <x:c r="M1411" s="87" t="str">
        <x:v>ORIGINAL_PACKAGE</x:v>
      </x:c>
      <x:c r="N1411" s="87" t="str">
        <x:v>pages/VIS-MATH-DEC-PW-TASK-P007.png</x:v>
      </x:c>
      <x:c r="O1411" s="87" t="str">
        <x:v>thumbnails/VIS-MATH-DEC-PW-TASK-P007.jpg</x:v>
      </x:c>
      <x:c r="P1411" s="87" t="str">
        <x:v>fdd8ee4494e4b1e61c9855feceb1877f7c3f07dbdc8f18be1345dd2e6a033cd3</x:v>
      </x:c>
      <x:c r="Q1411" s="30" t="str">
        <x:v>incoming/raw/recovery-drop-01/mathematics_dec_visual_assets_v088.zip!/pages/VIS-MATH-DEC-PW-TASK-P007.png</x:v>
      </x:c>
      <x:c r="R1411" s="30" t="str">
        <x:v>MATCHED_ASSET</x:v>
      </x:c>
      <x:c r="S1411" t="e">
        <x:f>HYPERLINK("visual_gallery/index.html#"&amp;A1411,"Галерея")</x:f>
      </x:c>
    </x:row>
    <x:row r="1412">
      <x:c r="A1412" s="87" t="str">
        <x:v>VIS-MATH-DEC-PW-TASK-P008</x:v>
      </x:c>
      <x:c r="B1412" s="30" t="str"/>
      <x:c r="C1412" s="30"/>
      <x:c r="D1412" s="30" t="str"/>
      <x:c r="E1412" s="87" t="str">
        <x:v>TASK</x:v>
      </x:c>
      <x:c r="F1412" s="30" t="str">
        <x:v>Zadanie_MA11_18122025_profil__zapad.pdf</x:v>
      </x:c>
      <x:c r="G1412" s="87" t="str">
        <x:v>8</x:v>
      </x:c>
      <x:c r="H1412" s="87" t="str">
        <x:v>v0.88</x:v>
      </x:c>
      <x:c r="I1412" s="87" t="str">
        <x:v>0</x:v>
      </x:c>
      <x:c r="J1412" s="30" t="str"/>
      <x:c r="K1412" s="30" t="str"/>
      <x:c r="L1412" s="87" t="str">
        <x:v>CROP_VERIFIED</x:v>
      </x:c>
      <x:c r="M1412" s="87" t="str">
        <x:v>ORIGINAL_PACKAGE</x:v>
      </x:c>
      <x:c r="N1412" s="87" t="str">
        <x:v>pages/VIS-MATH-DEC-PW-TASK-P008.png</x:v>
      </x:c>
      <x:c r="O1412" s="87" t="str">
        <x:v>thumbnails/VIS-MATH-DEC-PW-TASK-P008.jpg</x:v>
      </x:c>
      <x:c r="P1412" s="87" t="str">
        <x:v>30d214583acfac87644ac257829c1bc88bbbf1202d79a30bc5a9614adc75e1af</x:v>
      </x:c>
      <x:c r="Q1412" s="30" t="str">
        <x:v>incoming/raw/recovery-drop-01/mathematics_dec_visual_assets_v088.zip!/pages/VIS-MATH-DEC-PW-TASK-P008.png</x:v>
      </x:c>
      <x:c r="R1412" s="30" t="str">
        <x:v>RESOLVED_UNLINKED_REGISTRY_VISUAL</x:v>
      </x:c>
      <x:c r="S1412" t="e">
        <x:f>HYPERLINK("visual_gallery/index.html#"&amp;A1412,"Галерея")</x:f>
      </x:c>
    </x:row>
    <x:row r="1413">
      <x:c r="A1413" s="87" t="str">
        <x:v>VIS-MATH-DEC-PW-TASK-P009</x:v>
      </x:c>
      <x:c r="B1413" s="30" t="str">
        <x:v>Математика</x:v>
      </x:c>
      <x:c r="C1413" s="30"/>
      <x:c r="D1413" s="30" t="str">
        <x:v>МА2510210</x:v>
      </x:c>
      <x:c r="E1413" s="87" t="str">
        <x:v>TASK</x:v>
      </x:c>
      <x:c r="F1413" s="30" t="str">
        <x:v>Zadanie_MA11_18122025_profil__zapad.pdf</x:v>
      </x:c>
      <x:c r="G1413" s="87" t="str">
        <x:v>9</x:v>
      </x:c>
      <x:c r="H1413" s="87" t="str">
        <x:v>v0.88</x:v>
      </x:c>
      <x:c r="I1413" s="87" t="str">
        <x:v>2</x:v>
      </x:c>
      <x:c r="J1413" s="30" t="str">
        <x:v>VIS_ID</x:v>
      </x:c>
      <x:c r="K1413" s="30" t="str">
        <x:v>DEC-MATH-10-001, DEC-MATH-10-002</x:v>
      </x:c>
      <x:c r="L1413" s="87" t="str">
        <x:v>CROP_VERIFIED</x:v>
      </x:c>
      <x:c r="M1413" s="87" t="str">
        <x:v>ORIGINAL_PACKAGE</x:v>
      </x:c>
      <x:c r="N1413" s="87" t="str">
        <x:v>pages/VIS-MATH-DEC-PW-TASK-P009.png</x:v>
      </x:c>
      <x:c r="O1413" s="87" t="str">
        <x:v>thumbnails/VIS-MATH-DEC-PW-TASK-P009.jpg</x:v>
      </x:c>
      <x:c r="P1413" s="87" t="str">
        <x:v>c6e604697440623e87e8ccbfda8ecd2cb46aa839279d86a37fb6ccc52fc249ba</x:v>
      </x:c>
      <x:c r="Q1413" s="30" t="str">
        <x:v>incoming/raw/recovery-drop-01/mathematics_dec_visual_assets_v088.zip!/pages/VIS-MATH-DEC-PW-TASK-P009.png</x:v>
      </x:c>
      <x:c r="R1413" s="30" t="str">
        <x:v>MATCHED_ASSET</x:v>
      </x:c>
      <x:c r="S1413" t="e">
        <x:f>HYPERLINK("visual_gallery/index.html#"&amp;A1413,"Галерея")</x:f>
      </x:c>
    </x:row>
    <x:row r="1414">
      <x:c r="A1414" s="87" t="str">
        <x:v>VIS-MATH-DEC-PW-TASK-P010</x:v>
      </x:c>
      <x:c r="B1414" s="30" t="str">
        <x:v>Математика</x:v>
      </x:c>
      <x:c r="C1414" s="30"/>
      <x:c r="D1414" s="30" t="str">
        <x:v>МА2510210</x:v>
      </x:c>
      <x:c r="E1414" s="87" t="str">
        <x:v>TASK</x:v>
      </x:c>
      <x:c r="F1414" s="30" t="str">
        <x:v>Zadanie_MA11_18122025_profil__zapad.pdf</x:v>
      </x:c>
      <x:c r="G1414" s="87" t="str">
        <x:v>10</x:v>
      </x:c>
      <x:c r="H1414" s="87" t="str">
        <x:v>v0.88</x:v>
      </x:c>
      <x:c r="I1414" s="87" t="str">
        <x:v>5</x:v>
      </x:c>
      <x:c r="J1414" s="30" t="str">
        <x:v>VIS_ID</x:v>
      </x:c>
      <x:c r="K1414" s="30" t="str">
        <x:v>DEC-MATH-10-003, DEC-MATH-10-004, DEC-MATH-10-005, DEC-MATH-10-006, DEC-MATH-10-007</x:v>
      </x:c>
      <x:c r="L1414" s="87" t="str">
        <x:v>CROP_VERIFIED</x:v>
      </x:c>
      <x:c r="M1414" s="87" t="str">
        <x:v>ORIGINAL_PACKAGE</x:v>
      </x:c>
      <x:c r="N1414" s="87" t="str">
        <x:v>pages/VIS-MATH-DEC-PW-TASK-P010.png</x:v>
      </x:c>
      <x:c r="O1414" s="87" t="str">
        <x:v>thumbnails/VIS-MATH-DEC-PW-TASK-P010.jpg</x:v>
      </x:c>
      <x:c r="P1414" s="87" t="str">
        <x:v>aa962229ae42bc3a986d15ceab61d2e2a58fbd9ceb6f3e251041ae71c26e9e0b</x:v>
      </x:c>
      <x:c r="Q1414" s="30" t="str">
        <x:v>incoming/raw/recovery-drop-01/mathematics_dec_visual_assets_v088.zip!/pages/VIS-MATH-DEC-PW-TASK-P010.png</x:v>
      </x:c>
      <x:c r="R1414" s="30" t="str">
        <x:v>MATCHED_ASSET</x:v>
      </x:c>
      <x:c r="S1414" t="e">
        <x:f>HYPERLINK("visual_gallery/index.html#"&amp;A1414,"Галерея")</x:f>
      </x:c>
    </x:row>
    <x:row r="1415">
      <x:c r="A1415" s="87" t="str">
        <x:v>VIS-MATH-DEC-PW-TASK-P011</x:v>
      </x:c>
      <x:c r="B1415" s="30" t="str">
        <x:v>Математика</x:v>
      </x:c>
      <x:c r="C1415" s="30"/>
      <x:c r="D1415" s="30" t="str">
        <x:v>МА2510210</x:v>
      </x:c>
      <x:c r="E1415" s="87" t="str">
        <x:v>TASK</x:v>
      </x:c>
      <x:c r="F1415" s="30" t="str">
        <x:v>Zadanie_MA11_18122025_profil__zapad.pdf</x:v>
      </x:c>
      <x:c r="G1415" s="87" t="str">
        <x:v>11</x:v>
      </x:c>
      <x:c r="H1415" s="87" t="str">
        <x:v>v0.88</x:v>
      </x:c>
      <x:c r="I1415" s="87" t="str">
        <x:v>3</x:v>
      </x:c>
      <x:c r="J1415" s="30" t="str">
        <x:v>VIS_ID</x:v>
      </x:c>
      <x:c r="K1415" s="30" t="str">
        <x:v>DEC-MATH-10-008, DEC-MATH-10-009, DEC-MATH-10-010</x:v>
      </x:c>
      <x:c r="L1415" s="87" t="str">
        <x:v>CROP_VERIFIED</x:v>
      </x:c>
      <x:c r="M1415" s="87" t="str">
        <x:v>ORIGINAL_PACKAGE</x:v>
      </x:c>
      <x:c r="N1415" s="87" t="str">
        <x:v>pages/VIS-MATH-DEC-PW-TASK-P011.png</x:v>
      </x:c>
      <x:c r="O1415" s="87" t="str">
        <x:v>thumbnails/VIS-MATH-DEC-PW-TASK-P011.jpg</x:v>
      </x:c>
      <x:c r="P1415" s="87" t="str">
        <x:v>f32ac61411e217bfddeb8cd3c4ba9a45e12158d98730b1393822aace0f5bdf60</x:v>
      </x:c>
      <x:c r="Q1415" s="30" t="str">
        <x:v>incoming/raw/recovery-drop-01/mathematics_dec_visual_assets_v088.zip!/pages/VIS-MATH-DEC-PW-TASK-P011.png</x:v>
      </x:c>
      <x:c r="R1415" s="30" t="str">
        <x:v>MATCHED_ASSET</x:v>
      </x:c>
      <x:c r="S1415" t="e">
        <x:f>HYPERLINK("visual_gallery/index.html#"&amp;A1415,"Галерея")</x:f>
      </x:c>
    </x:row>
    <x:row r="1416">
      <x:c r="A1416" s="87" t="str">
        <x:v>VIS-MATH-DEC-PW-TASK-P012</x:v>
      </x:c>
      <x:c r="B1416" s="30" t="str">
        <x:v>Математика</x:v>
      </x:c>
      <x:c r="C1416" s="30"/>
      <x:c r="D1416" s="30" t="str">
        <x:v>МА2510210</x:v>
      </x:c>
      <x:c r="E1416" s="87" t="str">
        <x:v>TASK</x:v>
      </x:c>
      <x:c r="F1416" s="30" t="str">
        <x:v>Zadanie_MA11_18122025_profil__zapad.pdf</x:v>
      </x:c>
      <x:c r="G1416" s="87" t="str">
        <x:v>12</x:v>
      </x:c>
      <x:c r="H1416" s="87" t="str">
        <x:v>v0.88</x:v>
      </x:c>
      <x:c r="I1416" s="87" t="str">
        <x:v>2</x:v>
      </x:c>
      <x:c r="J1416" s="30" t="str">
        <x:v>VIS_ID</x:v>
      </x:c>
      <x:c r="K1416" s="30" t="str">
        <x:v>DEC-MATH-10-011, DEC-MATH-10-012</x:v>
      </x:c>
      <x:c r="L1416" s="87" t="str">
        <x:v>CROP_VERIFIED</x:v>
      </x:c>
      <x:c r="M1416" s="87" t="str">
        <x:v>ORIGINAL_PACKAGE</x:v>
      </x:c>
      <x:c r="N1416" s="87" t="str">
        <x:v>pages/VIS-MATH-DEC-PW-TASK-P012.png</x:v>
      </x:c>
      <x:c r="O1416" s="87" t="str">
        <x:v>thumbnails/VIS-MATH-DEC-PW-TASK-P012.jpg</x:v>
      </x:c>
      <x:c r="P1416" s="87" t="str">
        <x:v>767ef22d56bd41cd9b746c95f7fcf32bc5cd421adc236571497e822f7bb1b24d</x:v>
      </x:c>
      <x:c r="Q1416" s="30" t="str">
        <x:v>incoming/raw/recovery-drop-01/mathematics_dec_visual_assets_v088.zip!/pages/VIS-MATH-DEC-PW-TASK-P012.png</x:v>
      </x:c>
      <x:c r="R1416" s="30" t="str">
        <x:v>MATCHED_ASSET</x:v>
      </x:c>
      <x:c r="S1416" t="e">
        <x:f>HYPERLINK("visual_gallery/index.html#"&amp;A1416,"Галерея")</x:f>
      </x:c>
    </x:row>
    <x:row r="1417">
      <x:c r="A1417" s="87" t="str">
        <x:v>VIS-MATH-DEC-PW-TASK-P013</x:v>
      </x:c>
      <x:c r="B1417" s="30" t="str">
        <x:v>Математика</x:v>
      </x:c>
      <x:c r="C1417" s="30"/>
      <x:c r="D1417" s="30" t="str">
        <x:v>МА2510210</x:v>
      </x:c>
      <x:c r="E1417" s="87" t="str">
        <x:v>TASK</x:v>
      </x:c>
      <x:c r="F1417" s="30" t="str">
        <x:v>Zadanie_MA11_18122025_profil__zapad.pdf</x:v>
      </x:c>
      <x:c r="G1417" s="87" t="str">
        <x:v>13</x:v>
      </x:c>
      <x:c r="H1417" s="87" t="str">
        <x:v>v0.88</x:v>
      </x:c>
      <x:c r="I1417" s="87" t="str">
        <x:v>4</x:v>
      </x:c>
      <x:c r="J1417" s="30" t="str">
        <x:v>VIS_ID</x:v>
      </x:c>
      <x:c r="K1417" s="30" t="str">
        <x:v>DEC-MATH-10-013, DEC-MATH-10-014, DEC-MATH-10-015, DEC-MATH-10-016</x:v>
      </x:c>
      <x:c r="L1417" s="87" t="str">
        <x:v>CROP_VERIFIED</x:v>
      </x:c>
      <x:c r="M1417" s="87" t="str">
        <x:v>ORIGINAL_PACKAGE</x:v>
      </x:c>
      <x:c r="N1417" s="87" t="str">
        <x:v>pages/VIS-MATH-DEC-PW-TASK-P013.png</x:v>
      </x:c>
      <x:c r="O1417" s="87" t="str">
        <x:v>thumbnails/VIS-MATH-DEC-PW-TASK-P013.jpg</x:v>
      </x:c>
      <x:c r="P1417" s="87" t="str">
        <x:v>72fb2f04128ed87f5d5d40a4c6641116ec6dbce856ea5a72633df375b4be3071</x:v>
      </x:c>
      <x:c r="Q1417" s="30" t="str">
        <x:v>incoming/raw/recovery-drop-01/mathematics_dec_visual_assets_v088.zip!/pages/VIS-MATH-DEC-PW-TASK-P013.png</x:v>
      </x:c>
      <x:c r="R1417" s="30" t="str">
        <x:v>MATCHED_ASSET</x:v>
      </x:c>
      <x:c r="S1417" t="e">
        <x:f>HYPERLINK("visual_gallery/index.html#"&amp;A1417,"Галерея")</x:f>
      </x:c>
    </x:row>
    <x:row r="1418">
      <x:c r="A1418" s="87" t="str">
        <x:v>VIS-MATH-DEC-PW-TASK-P014</x:v>
      </x:c>
      <x:c r="B1418" s="30" t="str">
        <x:v>Математика</x:v>
      </x:c>
      <x:c r="C1418" s="30"/>
      <x:c r="D1418" s="30" t="str">
        <x:v>МА2510210</x:v>
      </x:c>
      <x:c r="E1418" s="87" t="str">
        <x:v>TASK</x:v>
      </x:c>
      <x:c r="F1418" s="30" t="str">
        <x:v>Zadanie_MA11_18122025_profil__zapad.pdf</x:v>
      </x:c>
      <x:c r="G1418" s="87" t="str">
        <x:v>14</x:v>
      </x:c>
      <x:c r="H1418" s="87" t="str">
        <x:v>v0.88</x:v>
      </x:c>
      <x:c r="I1418" s="87" t="str">
        <x:v>3</x:v>
      </x:c>
      <x:c r="J1418" s="30" t="str">
        <x:v>VIS_ID</x:v>
      </x:c>
      <x:c r="K1418" s="30" t="str">
        <x:v>DEC-MATH-10-017, DEC-MATH-10-018, DEC-MATH-10-019</x:v>
      </x:c>
      <x:c r="L1418" s="87" t="str">
        <x:v>CROP_VERIFIED</x:v>
      </x:c>
      <x:c r="M1418" s="87" t="str">
        <x:v>ORIGINAL_PACKAGE</x:v>
      </x:c>
      <x:c r="N1418" s="87" t="str">
        <x:v>pages/VIS-MATH-DEC-PW-TASK-P014.png</x:v>
      </x:c>
      <x:c r="O1418" s="87" t="str">
        <x:v>thumbnails/VIS-MATH-DEC-PW-TASK-P014.jpg</x:v>
      </x:c>
      <x:c r="P1418" s="87" t="str">
        <x:v>59b1a5b7e6befbb59fb01c37e7c0bb4feabbd8ab4a8c14ba8eb2552dc161e25e</x:v>
      </x:c>
      <x:c r="Q1418" s="30" t="str">
        <x:v>incoming/raw/recovery-drop-01/mathematics_dec_visual_assets_v088.zip!/pages/VIS-MATH-DEC-PW-TASK-P014.png</x:v>
      </x:c>
      <x:c r="R1418" s="30" t="str">
        <x:v>MATCHED_ASSET</x:v>
      </x:c>
      <x:c r="S1418" t="e">
        <x:f>HYPERLINK("visual_gallery/index.html#"&amp;A1418,"Галерея")</x:f>
      </x:c>
    </x:row>
    <x:row r="1419">
      <x:c r="A1419" s="87" t="str">
        <x:v>VIS-MATH-MAY-BASE-TASK-P001</x:v>
      </x:c>
      <x:c r="B1419" s="30" t="str"/>
      <x:c r="C1419" s="30"/>
      <x:c r="D1419" s="30" t="str"/>
      <x:c r="E1419" s="87" t="str">
        <x:v>TASK</x:v>
      </x:c>
      <x:c r="F1419" s="30" t="str">
        <x:v>Zadanie_MA10-11_12052026_baza_zapad.pdf</x:v>
      </x:c>
      <x:c r="G1419" s="87" t="str">
        <x:v>1</x:v>
      </x:c>
      <x:c r="H1419" s="87" t="str">
        <x:v>v0.90</x:v>
      </x:c>
      <x:c r="I1419" s="87" t="str">
        <x:v>0</x:v>
      </x:c>
      <x:c r="J1419" s="30" t="str"/>
      <x:c r="K1419" s="30" t="str"/>
      <x:c r="L1419" s="87" t="str">
        <x:v>CROP_VERIFIED</x:v>
      </x:c>
      <x:c r="M1419" s="87" t="str">
        <x:v>ORIGINAL_PACKAGE</x:v>
      </x:c>
      <x:c r="N1419" s="87" t="str">
        <x:v>pages/VIS-MATH-MAY-BASE-TASK-P001.png</x:v>
      </x:c>
      <x:c r="O1419" s="87" t="str">
        <x:v>thumbnails/VIS-MATH-MAY-BASE-TASK-P001.jpg</x:v>
      </x:c>
      <x:c r="P1419" s="87" t="str">
        <x:v>386a29ddaa42aa87f88d7ab5b2428b1edd998063a691e38824c8aef5f00db761</x:v>
      </x:c>
      <x:c r="Q1419" s="30" t="str">
        <x:v>incoming/raw/recovery-drop-01/mathematics_may_visual_assets_v090.zip!/pages/VIS-MATH-MAY-BASE-TASK-P001.png</x:v>
      </x:c>
      <x:c r="R1419" s="30" t="str">
        <x:v>RESOLVED_UNLINKED_REGISTRY_VISUAL</x:v>
      </x:c>
      <x:c r="S1419" t="e">
        <x:f>HYPERLINK("visual_gallery/index.html#"&amp;A1419,"Галерея")</x:f>
      </x:c>
    </x:row>
    <x:row r="1420">
      <x:c r="A1420" s="87" t="str">
        <x:v>VIS-MATH-MAY-BASE-TASK-P002</x:v>
      </x:c>
      <x:c r="B1420" s="30" t="str">
        <x:v>Математика</x:v>
      </x:c>
      <x:c r="C1420" s="30"/>
      <x:c r="D1420" s="30" t="str">
        <x:v>МА2500301</x:v>
      </x:c>
      <x:c r="E1420" s="87" t="str">
        <x:v>TASK</x:v>
      </x:c>
      <x:c r="F1420" s="30" t="str">
        <x:v>Zadanie_MA10-11_12052026_baza_zapad.pdf</x:v>
      </x:c>
      <x:c r="G1420" s="87" t="str">
        <x:v>2</x:v>
      </x:c>
      <x:c r="H1420" s="87" t="str">
        <x:v>v0.90</x:v>
      </x:c>
      <x:c r="I1420" s="87" t="str">
        <x:v>4</x:v>
      </x:c>
      <x:c r="J1420" s="30" t="str">
        <x:v>VIS_ID, VIS_ID задания</x:v>
      </x:c>
      <x:c r="K1420" s="30" t="str">
        <x:v>MAY-MATH-01-001, MAY-MATH-01-002</x:v>
      </x:c>
      <x:c r="L1420" s="87" t="str">
        <x:v>CROP_VERIFIED</x:v>
      </x:c>
      <x:c r="M1420" s="87" t="str">
        <x:v>ORIGINAL_PACKAGE</x:v>
      </x:c>
      <x:c r="N1420" s="87" t="str">
        <x:v>pages/VIS-MATH-MAY-BASE-TASK-P002.png</x:v>
      </x:c>
      <x:c r="O1420" s="87" t="str">
        <x:v>thumbnails/VIS-MATH-MAY-BASE-TASK-P002.jpg</x:v>
      </x:c>
      <x:c r="P1420" s="87" t="str">
        <x:v>1fafcce5607553b09813b809635dd9a50174477d2f674fd6a6136087db52cf71</x:v>
      </x:c>
      <x:c r="Q1420" s="30" t="str">
        <x:v>incoming/raw/recovery-drop-01/mathematics_may_visual_assets_v090.zip!/pages/VIS-MATH-MAY-BASE-TASK-P002.png</x:v>
      </x:c>
      <x:c r="R1420" s="30" t="str">
        <x:v>MATCHED_ASSET</x:v>
      </x:c>
      <x:c r="S1420" t="e">
        <x:f>HYPERLINK("visual_gallery/index.html#"&amp;A1420,"Галерея")</x:f>
      </x:c>
    </x:row>
    <x:row r="1421">
      <x:c r="A1421" s="87" t="str">
        <x:v>VIS-MATH-MAY-BASE-TASK-P003</x:v>
      </x:c>
      <x:c r="B1421" s="30" t="str">
        <x:v>Математика</x:v>
      </x:c>
      <x:c r="C1421" s="30"/>
      <x:c r="D1421" s="30" t="str">
        <x:v>МА2500301</x:v>
      </x:c>
      <x:c r="E1421" s="87" t="str">
        <x:v>TASK</x:v>
      </x:c>
      <x:c r="F1421" s="30" t="str">
        <x:v>Zadanie_MA10-11_12052026_baza_zapad.pdf</x:v>
      </x:c>
      <x:c r="G1421" s="87" t="str">
        <x:v>3</x:v>
      </x:c>
      <x:c r="H1421" s="87" t="str">
        <x:v>v0.90</x:v>
      </x:c>
      <x:c r="I1421" s="87" t="str">
        <x:v>6</x:v>
      </x:c>
      <x:c r="J1421" s="30" t="str">
        <x:v>VIS_ID, VIS_ID задания</x:v>
      </x:c>
      <x:c r="K1421" s="30" t="str">
        <x:v>MAY-MATH-01-003, MAY-MATH-01-004, MAY-MATH-01-005</x:v>
      </x:c>
      <x:c r="L1421" s="87" t="str">
        <x:v>CROP_VERIFIED</x:v>
      </x:c>
      <x:c r="M1421" s="87" t="str">
        <x:v>ORIGINAL_PACKAGE</x:v>
      </x:c>
      <x:c r="N1421" s="87" t="str">
        <x:v>pages/VIS-MATH-MAY-BASE-TASK-P003.png</x:v>
      </x:c>
      <x:c r="O1421" s="87" t="str">
        <x:v>thumbnails/VIS-MATH-MAY-BASE-TASK-P003.jpg</x:v>
      </x:c>
      <x:c r="P1421" s="87" t="str">
        <x:v>fb1faa2c533c58f9049e2a21c007d2f71c1b3f3476992d7f67e538fa44697dc8</x:v>
      </x:c>
      <x:c r="Q1421" s="30" t="str">
        <x:v>incoming/raw/recovery-drop-01/mathematics_may_visual_assets_v090.zip!/pages/VIS-MATH-MAY-BASE-TASK-P003.png</x:v>
      </x:c>
      <x:c r="R1421" s="30" t="str">
        <x:v>MATCHED_ASSET</x:v>
      </x:c>
      <x:c r="S1421" t="e">
        <x:f>HYPERLINK("visual_gallery/index.html#"&amp;A1421,"Галерея")</x:f>
      </x:c>
    </x:row>
    <x:row r="1422">
      <x:c r="A1422" s="87" t="str">
        <x:v>VIS-MATH-MAY-BASE-TASK-P004</x:v>
      </x:c>
      <x:c r="B1422" s="30" t="str">
        <x:v>Математика</x:v>
      </x:c>
      <x:c r="C1422" s="30"/>
      <x:c r="D1422" s="30" t="str">
        <x:v>МА2500301</x:v>
      </x:c>
      <x:c r="E1422" s="87" t="str">
        <x:v>TASK</x:v>
      </x:c>
      <x:c r="F1422" s="30" t="str">
        <x:v>Zadanie_MA10-11_12052026_baza_zapad.pdf</x:v>
      </x:c>
      <x:c r="G1422" s="87" t="str">
        <x:v>4</x:v>
      </x:c>
      <x:c r="H1422" s="87" t="str">
        <x:v>v0.90</x:v>
      </x:c>
      <x:c r="I1422" s="87" t="str">
        <x:v>4</x:v>
      </x:c>
      <x:c r="J1422" s="30" t="str">
        <x:v>VIS_ID, VIS_ID задания</x:v>
      </x:c>
      <x:c r="K1422" s="30" t="str">
        <x:v>MAY-MATH-01-006, MAY-MATH-01-007</x:v>
      </x:c>
      <x:c r="L1422" s="87" t="str">
        <x:v>CROP_VERIFIED</x:v>
      </x:c>
      <x:c r="M1422" s="87" t="str">
        <x:v>ORIGINAL_PACKAGE</x:v>
      </x:c>
      <x:c r="N1422" s="87" t="str">
        <x:v>pages/VIS-MATH-MAY-BASE-TASK-P004.png</x:v>
      </x:c>
      <x:c r="O1422" s="87" t="str">
        <x:v>thumbnails/VIS-MATH-MAY-BASE-TASK-P004.jpg</x:v>
      </x:c>
      <x:c r="P1422" s="87" t="str">
        <x:v>9a6b0940eed3cb7b8a86938b49c7bb3ff058703a928edb833977daa5127c3f17</x:v>
      </x:c>
      <x:c r="Q1422" s="30" t="str">
        <x:v>incoming/raw/recovery-drop-01/mathematics_may_visual_assets_v090.zip!/pages/VIS-MATH-MAY-BASE-TASK-P004.png</x:v>
      </x:c>
      <x:c r="R1422" s="30" t="str">
        <x:v>MATCHED_ASSET</x:v>
      </x:c>
      <x:c r="S1422" t="e">
        <x:f>HYPERLINK("visual_gallery/index.html#"&amp;A1422,"Галерея")</x:f>
      </x:c>
    </x:row>
    <x:row r="1423">
      <x:c r="A1423" s="87" t="str">
        <x:v>VIS-MATH-MAY-BASE-TASK-P005</x:v>
      </x:c>
      <x:c r="B1423" s="30" t="str">
        <x:v>Математика</x:v>
      </x:c>
      <x:c r="C1423" s="30"/>
      <x:c r="D1423" s="30" t="str">
        <x:v>МА2500301</x:v>
      </x:c>
      <x:c r="E1423" s="87" t="str">
        <x:v>TASK</x:v>
      </x:c>
      <x:c r="F1423" s="30" t="str">
        <x:v>Zadanie_MA10-11_12052026_baza_zapad.pdf</x:v>
      </x:c>
      <x:c r="G1423" s="87" t="str">
        <x:v>5</x:v>
      </x:c>
      <x:c r="H1423" s="87" t="str">
        <x:v>v0.90</x:v>
      </x:c>
      <x:c r="I1423" s="87" t="str">
        <x:v>6</x:v>
      </x:c>
      <x:c r="J1423" s="30" t="str">
        <x:v>VIS_ID, VIS_ID задания</x:v>
      </x:c>
      <x:c r="K1423" s="30" t="str">
        <x:v>MAY-MATH-01-008, MAY-MATH-01-009, MAY-MATH-01-010</x:v>
      </x:c>
      <x:c r="L1423" s="87" t="str">
        <x:v>CROP_VERIFIED</x:v>
      </x:c>
      <x:c r="M1423" s="87" t="str">
        <x:v>ORIGINAL_PACKAGE</x:v>
      </x:c>
      <x:c r="N1423" s="87" t="str">
        <x:v>pages/VIS-MATH-MAY-BASE-TASK-P005.png</x:v>
      </x:c>
      <x:c r="O1423" s="87" t="str">
        <x:v>thumbnails/VIS-MATH-MAY-BASE-TASK-P005.jpg</x:v>
      </x:c>
      <x:c r="P1423" s="87" t="str">
        <x:v>9374f1e86e57073cc0d6629605773f77539dd9d9429b4ac56af29d1cf09bb0ae</x:v>
      </x:c>
      <x:c r="Q1423" s="30" t="str">
        <x:v>incoming/raw/recovery-drop-01/mathematics_may_visual_assets_v090.zip!/pages/VIS-MATH-MAY-BASE-TASK-P005.png</x:v>
      </x:c>
      <x:c r="R1423" s="30" t="str">
        <x:v>MATCHED_ASSET</x:v>
      </x:c>
      <x:c r="S1423" t="e">
        <x:f>HYPERLINK("visual_gallery/index.html#"&amp;A1423,"Галерея")</x:f>
      </x:c>
    </x:row>
    <x:row r="1424">
      <x:c r="A1424" s="87" t="str">
        <x:v>VIS-MATH-MAY-BASE-TASK-P006</x:v>
      </x:c>
      <x:c r="B1424" s="30" t="str">
        <x:v>Математика</x:v>
      </x:c>
      <x:c r="C1424" s="30"/>
      <x:c r="D1424" s="30" t="str">
        <x:v>МА2500301</x:v>
      </x:c>
      <x:c r="E1424" s="87" t="str">
        <x:v>TASK</x:v>
      </x:c>
      <x:c r="F1424" s="30" t="str">
        <x:v>Zadanie_MA10-11_12052026_baza_zapad.pdf</x:v>
      </x:c>
      <x:c r="G1424" s="87" t="str">
        <x:v>6</x:v>
      </x:c>
      <x:c r="H1424" s="87" t="str">
        <x:v>v0.90</x:v>
      </x:c>
      <x:c r="I1424" s="87" t="str">
        <x:v>10</x:v>
      </x:c>
      <x:c r="J1424" s="30" t="str">
        <x:v>VIS_ID, VIS_ID задания</x:v>
      </x:c>
      <x:c r="K1424" s="30" t="str">
        <x:v>MAY-MATH-01-011, MAY-MATH-01-012, MAY-MATH-01-013, MAY-MATH-01-014, MAY-MATH-01-015</x:v>
      </x:c>
      <x:c r="L1424" s="87" t="str">
        <x:v>CROP_VERIFIED</x:v>
      </x:c>
      <x:c r="M1424" s="87" t="str">
        <x:v>ORIGINAL_PACKAGE</x:v>
      </x:c>
      <x:c r="N1424" s="87" t="str">
        <x:v>pages/VIS-MATH-MAY-BASE-TASK-P006.png</x:v>
      </x:c>
      <x:c r="O1424" s="87" t="str">
        <x:v>thumbnails/VIS-MATH-MAY-BASE-TASK-P006.jpg</x:v>
      </x:c>
      <x:c r="P1424" s="87" t="str">
        <x:v>b42db299d4b941fa7b00c76488c02556376676448196e4e757805fa21b703a64</x:v>
      </x:c>
      <x:c r="Q1424" s="30" t="str">
        <x:v>incoming/raw/recovery-drop-01/mathematics_may_visual_assets_v090.zip!/pages/VIS-MATH-MAY-BASE-TASK-P006.png</x:v>
      </x:c>
      <x:c r="R1424" s="30" t="str">
        <x:v>MATCHED_ASSET</x:v>
      </x:c>
      <x:c r="S1424" t="e">
        <x:f>HYPERLINK("visual_gallery/index.html#"&amp;A1424,"Галерея")</x:f>
      </x:c>
    </x:row>
    <x:row r="1425">
      <x:c r="A1425" s="87" t="str">
        <x:v>VIS-MATH-MAY-BASE-TASK-P007</x:v>
      </x:c>
      <x:c r="B1425" s="30" t="str">
        <x:v>Математика</x:v>
      </x:c>
      <x:c r="C1425" s="30"/>
      <x:c r="D1425" s="30" t="str">
        <x:v>МА2500301</x:v>
      </x:c>
      <x:c r="E1425" s="87" t="str">
        <x:v>TASK</x:v>
      </x:c>
      <x:c r="F1425" s="30" t="str">
        <x:v>Zadanie_MA10-11_12052026_baza_zapad.pdf</x:v>
      </x:c>
      <x:c r="G1425" s="87" t="str">
        <x:v>7</x:v>
      </x:c>
      <x:c r="H1425" s="87" t="str">
        <x:v>v0.90</x:v>
      </x:c>
      <x:c r="I1425" s="87" t="str">
        <x:v>8</x:v>
      </x:c>
      <x:c r="J1425" s="30" t="str">
        <x:v>VIS_ID, VIS_ID задания</x:v>
      </x:c>
      <x:c r="K1425" s="30" t="str">
        <x:v>MAY-MATH-01-016, MAY-MATH-01-017, MAY-MATH-01-018, MAY-MATH-01-019</x:v>
      </x:c>
      <x:c r="L1425" s="87" t="str">
        <x:v>CROP_VERIFIED</x:v>
      </x:c>
      <x:c r="M1425" s="87" t="str">
        <x:v>ORIGINAL_PACKAGE</x:v>
      </x:c>
      <x:c r="N1425" s="87" t="str">
        <x:v>pages/VIS-MATH-MAY-BASE-TASK-P007.png</x:v>
      </x:c>
      <x:c r="O1425" s="87" t="str">
        <x:v>thumbnails/VIS-MATH-MAY-BASE-TASK-P007.jpg</x:v>
      </x:c>
      <x:c r="P1425" s="87" t="str">
        <x:v>c1bca6fd4780c10b60111e2e86d3c87796ca87c356e2042aeff6dfa21048bdae</x:v>
      </x:c>
      <x:c r="Q1425" s="30" t="str">
        <x:v>incoming/raw/recovery-drop-01/mathematics_may_visual_assets_v090.zip!/pages/VIS-MATH-MAY-BASE-TASK-P007.png</x:v>
      </x:c>
      <x:c r="R1425" s="30" t="str">
        <x:v>MATCHED_ASSET</x:v>
      </x:c>
      <x:c r="S1425" t="e">
        <x:f>HYPERLINK("visual_gallery/index.html#"&amp;A1425,"Галерея")</x:f>
      </x:c>
    </x:row>
    <x:row r="1426">
      <x:c r="A1426" s="87" t="str">
        <x:v>VIS-MATH-MAY-BASE-TASK-P008</x:v>
      </x:c>
      <x:c r="B1426" s="30" t="str">
        <x:v>Математика</x:v>
      </x:c>
      <x:c r="C1426" s="30"/>
      <x:c r="D1426" s="30" t="str">
        <x:v>МА2500301</x:v>
      </x:c>
      <x:c r="E1426" s="87" t="str">
        <x:v>TASK</x:v>
      </x:c>
      <x:c r="F1426" s="30" t="str">
        <x:v>Zadanie_MA10-11_12052026_baza_zapad.pdf</x:v>
      </x:c>
      <x:c r="G1426" s="87" t="str">
        <x:v>8</x:v>
      </x:c>
      <x:c r="H1426" s="87" t="str">
        <x:v>v0.90</x:v>
      </x:c>
      <x:c r="I1426" s="87" t="str">
        <x:v>4</x:v>
      </x:c>
      <x:c r="J1426" s="30" t="str">
        <x:v>VIS_ID, VIS_ID задания</x:v>
      </x:c>
      <x:c r="K1426" s="30" t="str">
        <x:v>MAY-MATH-01-020, MAY-MATH-01-021</x:v>
      </x:c>
      <x:c r="L1426" s="87" t="str">
        <x:v>CROP_VERIFIED</x:v>
      </x:c>
      <x:c r="M1426" s="87" t="str">
        <x:v>ORIGINAL_PACKAGE</x:v>
      </x:c>
      <x:c r="N1426" s="87" t="str">
        <x:v>pages/VIS-MATH-MAY-BASE-TASK-P008.png</x:v>
      </x:c>
      <x:c r="O1426" s="87" t="str">
        <x:v>thumbnails/VIS-MATH-MAY-BASE-TASK-P008.jpg</x:v>
      </x:c>
      <x:c r="P1426" s="87" t="str">
        <x:v>6e8657bc2397dac1e649ebfee7d2e62ec52e699ea0c9ca3911de0120aed42a94</x:v>
      </x:c>
      <x:c r="Q1426" s="30" t="str">
        <x:v>incoming/raw/recovery-drop-01/mathematics_may_visual_assets_v090.zip!/pages/VIS-MATH-MAY-BASE-TASK-P008.png</x:v>
      </x:c>
      <x:c r="R1426" s="30" t="str">
        <x:v>MATCHED_ASSET</x:v>
      </x:c>
      <x:c r="S1426" t="e">
        <x:f>HYPERLINK("visual_gallery/index.html#"&amp;A1426,"Галерея")</x:f>
      </x:c>
    </x:row>
    <x:row r="1427">
      <x:c r="A1427" s="87" t="str">
        <x:v>VIS-MATH-MAY-BASE-TASK-P009</x:v>
      </x:c>
      <x:c r="B1427" s="30" t="str"/>
      <x:c r="C1427" s="30"/>
      <x:c r="D1427" s="30" t="str"/>
      <x:c r="E1427" s="87" t="str">
        <x:v>TASK</x:v>
      </x:c>
      <x:c r="F1427" s="30" t="str">
        <x:v>Zadanie_MA10-11_12052026_baza_zapad.pdf</x:v>
      </x:c>
      <x:c r="G1427" s="87" t="str">
        <x:v>9</x:v>
      </x:c>
      <x:c r="H1427" s="87" t="str">
        <x:v>v0.90</x:v>
      </x:c>
      <x:c r="I1427" s="87" t="str">
        <x:v>0</x:v>
      </x:c>
      <x:c r="J1427" s="30" t="str"/>
      <x:c r="K1427" s="30" t="str"/>
      <x:c r="L1427" s="87" t="str">
        <x:v>CROP_VERIFIED</x:v>
      </x:c>
      <x:c r="M1427" s="87" t="str">
        <x:v>ORIGINAL_PACKAGE</x:v>
      </x:c>
      <x:c r="N1427" s="87" t="str">
        <x:v>pages/VIS-MATH-MAY-BASE-TASK-P009.png</x:v>
      </x:c>
      <x:c r="O1427" s="87" t="str">
        <x:v>thumbnails/VIS-MATH-MAY-BASE-TASK-P009.jpg</x:v>
      </x:c>
      <x:c r="P1427" s="87" t="str">
        <x:v>90fe7a233f50616b4312d150b06837533eec2c7328339823570ee200e2f6d522</x:v>
      </x:c>
      <x:c r="Q1427" s="30" t="str">
        <x:v>incoming/raw/recovery-drop-01/mathematics_may_visual_assets_v090.zip!/pages/VIS-MATH-MAY-BASE-TASK-P009.png</x:v>
      </x:c>
      <x:c r="R1427" s="30" t="str">
        <x:v>RESOLVED_UNLINKED_REGISTRY_VISUAL</x:v>
      </x:c>
      <x:c r="S1427" t="e">
        <x:f>HYPERLINK("visual_gallery/index.html#"&amp;A1427,"Галерея")</x:f>
      </x:c>
    </x:row>
    <x:row r="1428">
      <x:c r="A1428" s="87" t="str">
        <x:v>VIS-MATH-MAY-BASE-TASK-P010</x:v>
      </x:c>
      <x:c r="B1428" s="30" t="str">
        <x:v>Математика</x:v>
      </x:c>
      <x:c r="C1428" s="30"/>
      <x:c r="D1428" s="30" t="str">
        <x:v>МА2500302</x:v>
      </x:c>
      <x:c r="E1428" s="87" t="str">
        <x:v>TASK</x:v>
      </x:c>
      <x:c r="F1428" s="30" t="str">
        <x:v>Zadanie_MA10-11_12052026_baza_zapad.pdf</x:v>
      </x:c>
      <x:c r="G1428" s="87" t="str">
        <x:v>10</x:v>
      </x:c>
      <x:c r="H1428" s="87" t="str">
        <x:v>v0.90</x:v>
      </x:c>
      <x:c r="I1428" s="87" t="str">
        <x:v>4</x:v>
      </x:c>
      <x:c r="J1428" s="30" t="str">
        <x:v>VIS_ID, VIS_ID задания</x:v>
      </x:c>
      <x:c r="K1428" s="30" t="str">
        <x:v>MAY-MATH-02-001, MAY-MATH-02-002</x:v>
      </x:c>
      <x:c r="L1428" s="87" t="str">
        <x:v>CROP_VERIFIED</x:v>
      </x:c>
      <x:c r="M1428" s="87" t="str">
        <x:v>ORIGINAL_PACKAGE</x:v>
      </x:c>
      <x:c r="N1428" s="87" t="str">
        <x:v>pages/VIS-MATH-MAY-BASE-TASK-P010.png</x:v>
      </x:c>
      <x:c r="O1428" s="87" t="str">
        <x:v>thumbnails/VIS-MATH-MAY-BASE-TASK-P010.jpg</x:v>
      </x:c>
      <x:c r="P1428" s="87" t="str">
        <x:v>7f0857c4ca940b18051fe254ca70fab3d48edc509b921d4defdca8dd9b63c19b</x:v>
      </x:c>
      <x:c r="Q1428" s="30" t="str">
        <x:v>incoming/raw/recovery-drop-01/mathematics_may_visual_assets_v090.zip!/pages/VIS-MATH-MAY-BASE-TASK-P010.png</x:v>
      </x:c>
      <x:c r="R1428" s="30" t="str">
        <x:v>MATCHED_ASSET</x:v>
      </x:c>
      <x:c r="S1428" t="e">
        <x:f>HYPERLINK("visual_gallery/index.html#"&amp;A1428,"Галерея")</x:f>
      </x:c>
    </x:row>
    <x:row r="1429">
      <x:c r="A1429" s="87" t="str">
        <x:v>VIS-MATH-MAY-BASE-TASK-P011</x:v>
      </x:c>
      <x:c r="B1429" s="30" t="str">
        <x:v>Математика</x:v>
      </x:c>
      <x:c r="C1429" s="30"/>
      <x:c r="D1429" s="30" t="str">
        <x:v>МА2500302</x:v>
      </x:c>
      <x:c r="E1429" s="87" t="str">
        <x:v>TASK</x:v>
      </x:c>
      <x:c r="F1429" s="30" t="str">
        <x:v>Zadanie_MA10-11_12052026_baza_zapad.pdf</x:v>
      </x:c>
      <x:c r="G1429" s="87" t="str">
        <x:v>11</x:v>
      </x:c>
      <x:c r="H1429" s="87" t="str">
        <x:v>v0.90</x:v>
      </x:c>
      <x:c r="I1429" s="87" t="str">
        <x:v>6</x:v>
      </x:c>
      <x:c r="J1429" s="30" t="str">
        <x:v>VIS_ID, VIS_ID задания</x:v>
      </x:c>
      <x:c r="K1429" s="30" t="str">
        <x:v>MAY-MATH-02-003, MAY-MATH-02-004, MAY-MATH-02-005</x:v>
      </x:c>
      <x:c r="L1429" s="87" t="str">
        <x:v>CROP_VERIFIED</x:v>
      </x:c>
      <x:c r="M1429" s="87" t="str">
        <x:v>ORIGINAL_PACKAGE</x:v>
      </x:c>
      <x:c r="N1429" s="87" t="str">
        <x:v>pages/VIS-MATH-MAY-BASE-TASK-P011.png</x:v>
      </x:c>
      <x:c r="O1429" s="87" t="str">
        <x:v>thumbnails/VIS-MATH-MAY-BASE-TASK-P011.jpg</x:v>
      </x:c>
      <x:c r="P1429" s="87" t="str">
        <x:v>7d64b049bbc332d69b7e44cb578124477557777eff3529615ee811eb3711fce8</x:v>
      </x:c>
      <x:c r="Q1429" s="30" t="str">
        <x:v>incoming/raw/recovery-drop-01/mathematics_may_visual_assets_v090.zip!/pages/VIS-MATH-MAY-BASE-TASK-P011.png</x:v>
      </x:c>
      <x:c r="R1429" s="30" t="str">
        <x:v>MATCHED_ASSET</x:v>
      </x:c>
      <x:c r="S1429" t="e">
        <x:f>HYPERLINK("visual_gallery/index.html#"&amp;A1429,"Галерея")</x:f>
      </x:c>
    </x:row>
    <x:row r="1430">
      <x:c r="A1430" s="87" t="str">
        <x:v>VIS-MATH-MAY-BASE-TASK-P012</x:v>
      </x:c>
      <x:c r="B1430" s="30" t="str">
        <x:v>Математика</x:v>
      </x:c>
      <x:c r="C1430" s="30"/>
      <x:c r="D1430" s="30" t="str">
        <x:v>МА2500302</x:v>
      </x:c>
      <x:c r="E1430" s="87" t="str">
        <x:v>TASK</x:v>
      </x:c>
      <x:c r="F1430" s="30" t="str">
        <x:v>Zadanie_MA10-11_12052026_baza_zapad.pdf</x:v>
      </x:c>
      <x:c r="G1430" s="87" t="str">
        <x:v>12</x:v>
      </x:c>
      <x:c r="H1430" s="87" t="str">
        <x:v>v0.90</x:v>
      </x:c>
      <x:c r="I1430" s="87" t="str">
        <x:v>4</x:v>
      </x:c>
      <x:c r="J1430" s="30" t="str">
        <x:v>VIS_ID, VIS_ID задания</x:v>
      </x:c>
      <x:c r="K1430" s="30" t="str">
        <x:v>MAY-MATH-02-006, MAY-MATH-02-007</x:v>
      </x:c>
      <x:c r="L1430" s="87" t="str">
        <x:v>CROP_VERIFIED</x:v>
      </x:c>
      <x:c r="M1430" s="87" t="str">
        <x:v>ORIGINAL_PACKAGE</x:v>
      </x:c>
      <x:c r="N1430" s="87" t="str">
        <x:v>pages/VIS-MATH-MAY-BASE-TASK-P012.png</x:v>
      </x:c>
      <x:c r="O1430" s="87" t="str">
        <x:v>thumbnails/VIS-MATH-MAY-BASE-TASK-P012.jpg</x:v>
      </x:c>
      <x:c r="P1430" s="87" t="str">
        <x:v>7ed35174b163aca0c3452b2e785e4df1f7f79eef5d4646d21578152cd9e29eb5</x:v>
      </x:c>
      <x:c r="Q1430" s="30" t="str">
        <x:v>incoming/raw/recovery-drop-01/mathematics_may_visual_assets_v090.zip!/pages/VIS-MATH-MAY-BASE-TASK-P012.png</x:v>
      </x:c>
      <x:c r="R1430" s="30" t="str">
        <x:v>MATCHED_ASSET</x:v>
      </x:c>
      <x:c r="S1430" t="e">
        <x:f>HYPERLINK("visual_gallery/index.html#"&amp;A1430,"Галерея")</x:f>
      </x:c>
    </x:row>
    <x:row r="1431">
      <x:c r="A1431" s="87" t="str">
        <x:v>VIS-MATH-MAY-BASE-TASK-P013</x:v>
      </x:c>
      <x:c r="B1431" s="30" t="str">
        <x:v>Математика</x:v>
      </x:c>
      <x:c r="C1431" s="30"/>
      <x:c r="D1431" s="30" t="str">
        <x:v>МА2500302</x:v>
      </x:c>
      <x:c r="E1431" s="87" t="str">
        <x:v>TASK</x:v>
      </x:c>
      <x:c r="F1431" s="30" t="str">
        <x:v>Zadanie_MA10-11_12052026_baza_zapad.pdf</x:v>
      </x:c>
      <x:c r="G1431" s="87" t="str">
        <x:v>13</x:v>
      </x:c>
      <x:c r="H1431" s="87" t="str">
        <x:v>v0.90</x:v>
      </x:c>
      <x:c r="I1431" s="87" t="str">
        <x:v>6</x:v>
      </x:c>
      <x:c r="J1431" s="30" t="str">
        <x:v>VIS_ID, VIS_ID задания</x:v>
      </x:c>
      <x:c r="K1431" s="30" t="str">
        <x:v>MAY-MATH-02-008, MAY-MATH-02-009, MAY-MATH-02-010</x:v>
      </x:c>
      <x:c r="L1431" s="87" t="str">
        <x:v>CROP_VERIFIED</x:v>
      </x:c>
      <x:c r="M1431" s="87" t="str">
        <x:v>ORIGINAL_PACKAGE</x:v>
      </x:c>
      <x:c r="N1431" s="87" t="str">
        <x:v>pages/VIS-MATH-MAY-BASE-TASK-P013.png</x:v>
      </x:c>
      <x:c r="O1431" s="87" t="str">
        <x:v>thumbnails/VIS-MATH-MAY-BASE-TASK-P013.jpg</x:v>
      </x:c>
      <x:c r="P1431" s="87" t="str">
        <x:v>21714c3748fa3408758165e7dfc685272a95867964fe443634cbec8779060301</x:v>
      </x:c>
      <x:c r="Q1431" s="30" t="str">
        <x:v>incoming/raw/recovery-drop-01/mathematics_may_visual_assets_v090.zip!/pages/VIS-MATH-MAY-BASE-TASK-P013.png</x:v>
      </x:c>
      <x:c r="R1431" s="30" t="str">
        <x:v>MATCHED_ASSET</x:v>
      </x:c>
      <x:c r="S1431" t="e">
        <x:f>HYPERLINK("visual_gallery/index.html#"&amp;A1431,"Галерея")</x:f>
      </x:c>
    </x:row>
    <x:row r="1432">
      <x:c r="A1432" s="87" t="str">
        <x:v>VIS-MATH-MAY-BASE-TASK-P014</x:v>
      </x:c>
      <x:c r="B1432" s="30" t="str">
        <x:v>Математика</x:v>
      </x:c>
      <x:c r="C1432" s="30"/>
      <x:c r="D1432" s="30" t="str">
        <x:v>МА2500302</x:v>
      </x:c>
      <x:c r="E1432" s="87" t="str">
        <x:v>TASK</x:v>
      </x:c>
      <x:c r="F1432" s="30" t="str">
        <x:v>Zadanie_MA10-11_12052026_baza_zapad.pdf</x:v>
      </x:c>
      <x:c r="G1432" s="87" t="str">
        <x:v>14</x:v>
      </x:c>
      <x:c r="H1432" s="87" t="str">
        <x:v>v0.90</x:v>
      </x:c>
      <x:c r="I1432" s="87" t="str">
        <x:v>10</x:v>
      </x:c>
      <x:c r="J1432" s="30" t="str">
        <x:v>VIS_ID, VIS_ID задания</x:v>
      </x:c>
      <x:c r="K1432" s="30" t="str">
        <x:v>MAY-MATH-02-011, MAY-MATH-02-012, MAY-MATH-02-013, MAY-MATH-02-014, MAY-MATH-02-015</x:v>
      </x:c>
      <x:c r="L1432" s="87" t="str">
        <x:v>CROP_VERIFIED</x:v>
      </x:c>
      <x:c r="M1432" s="87" t="str">
        <x:v>ORIGINAL_PACKAGE</x:v>
      </x:c>
      <x:c r="N1432" s="87" t="str">
        <x:v>pages/VIS-MATH-MAY-BASE-TASK-P014.png</x:v>
      </x:c>
      <x:c r="O1432" s="87" t="str">
        <x:v>thumbnails/VIS-MATH-MAY-BASE-TASK-P014.jpg</x:v>
      </x:c>
      <x:c r="P1432" s="87" t="str">
        <x:v>85aa4e585a8646a74cf9c139f0dde1d9870f311622986b7705100b80f4544be2</x:v>
      </x:c>
      <x:c r="Q1432" s="30" t="str">
        <x:v>incoming/raw/recovery-drop-01/mathematics_may_visual_assets_v090.zip!/pages/VIS-MATH-MAY-BASE-TASK-P014.png</x:v>
      </x:c>
      <x:c r="R1432" s="30" t="str">
        <x:v>MATCHED_ASSET</x:v>
      </x:c>
      <x:c r="S1432" t="e">
        <x:f>HYPERLINK("visual_gallery/index.html#"&amp;A1432,"Галерея")</x:f>
      </x:c>
    </x:row>
    <x:row r="1433">
      <x:c r="A1433" s="87" t="str">
        <x:v>VIS-MATH-MAY-BASE-TASK-P015</x:v>
      </x:c>
      <x:c r="B1433" s="30" t="str">
        <x:v>Математика</x:v>
      </x:c>
      <x:c r="C1433" s="30"/>
      <x:c r="D1433" s="30" t="str">
        <x:v>МА2500302</x:v>
      </x:c>
      <x:c r="E1433" s="87" t="str">
        <x:v>TASK</x:v>
      </x:c>
      <x:c r="F1433" s="30" t="str">
        <x:v>Zadanie_MA10-11_12052026_baza_zapad.pdf</x:v>
      </x:c>
      <x:c r="G1433" s="87" t="str">
        <x:v>15</x:v>
      </x:c>
      <x:c r="H1433" s="87" t="str">
        <x:v>v0.90</x:v>
      </x:c>
      <x:c r="I1433" s="87" t="str">
        <x:v>8</x:v>
      </x:c>
      <x:c r="J1433" s="30" t="str">
        <x:v>VIS_ID, VIS_ID задания</x:v>
      </x:c>
      <x:c r="K1433" s="30" t="str">
        <x:v>MAY-MATH-02-016, MAY-MATH-02-017, MAY-MATH-02-018, MAY-MATH-02-019</x:v>
      </x:c>
      <x:c r="L1433" s="87" t="str">
        <x:v>CROP_VERIFIED</x:v>
      </x:c>
      <x:c r="M1433" s="87" t="str">
        <x:v>ORIGINAL_PACKAGE</x:v>
      </x:c>
      <x:c r="N1433" s="87" t="str">
        <x:v>pages/VIS-MATH-MAY-BASE-TASK-P015.png</x:v>
      </x:c>
      <x:c r="O1433" s="87" t="str">
        <x:v>thumbnails/VIS-MATH-MAY-BASE-TASK-P015.jpg</x:v>
      </x:c>
      <x:c r="P1433" s="87" t="str">
        <x:v>5c9d73d867fa09a34e2957ae1b979a19505af919cb4a7eb44404fd199f4b02e0</x:v>
      </x:c>
      <x:c r="Q1433" s="30" t="str">
        <x:v>incoming/raw/recovery-drop-01/mathematics_may_visual_assets_v090.zip!/pages/VIS-MATH-MAY-BASE-TASK-P015.png</x:v>
      </x:c>
      <x:c r="R1433" s="30" t="str">
        <x:v>MATCHED_ASSET</x:v>
      </x:c>
      <x:c r="S1433" t="e">
        <x:f>HYPERLINK("visual_gallery/index.html#"&amp;A1433,"Галерея")</x:f>
      </x:c>
    </x:row>
    <x:row r="1434">
      <x:c r="A1434" s="87" t="str">
        <x:v>VIS-MATH-MAY-BASE-TASK-P016</x:v>
      </x:c>
      <x:c r="B1434" s="30" t="str">
        <x:v>Математика</x:v>
      </x:c>
      <x:c r="C1434" s="30"/>
      <x:c r="D1434" s="30" t="str">
        <x:v>МА2500302</x:v>
      </x:c>
      <x:c r="E1434" s="87" t="str">
        <x:v>TASK</x:v>
      </x:c>
      <x:c r="F1434" s="30" t="str">
        <x:v>Zadanie_MA10-11_12052026_baza_zapad.pdf</x:v>
      </x:c>
      <x:c r="G1434" s="87" t="str">
        <x:v>16</x:v>
      </x:c>
      <x:c r="H1434" s="87" t="str">
        <x:v>v0.90</x:v>
      </x:c>
      <x:c r="I1434" s="87" t="str">
        <x:v>4</x:v>
      </x:c>
      <x:c r="J1434" s="30" t="str">
        <x:v>VIS_ID, VIS_ID задания</x:v>
      </x:c>
      <x:c r="K1434" s="30" t="str">
        <x:v>MAY-MATH-02-020, MAY-MATH-02-021</x:v>
      </x:c>
      <x:c r="L1434" s="87" t="str">
        <x:v>CROP_VERIFIED</x:v>
      </x:c>
      <x:c r="M1434" s="87" t="str">
        <x:v>ORIGINAL_PACKAGE</x:v>
      </x:c>
      <x:c r="N1434" s="87" t="str">
        <x:v>pages/VIS-MATH-MAY-BASE-TASK-P016.png</x:v>
      </x:c>
      <x:c r="O1434" s="87" t="str">
        <x:v>thumbnails/VIS-MATH-MAY-BASE-TASK-P016.jpg</x:v>
      </x:c>
      <x:c r="P1434" s="87" t="str">
        <x:v>5bf717e437489e214e50075e2deab2fa68f866623001a070dc3d5fcd2a6298c1</x:v>
      </x:c>
      <x:c r="Q1434" s="30" t="str">
        <x:v>incoming/raw/recovery-drop-01/mathematics_may_visual_assets_v090.zip!/pages/VIS-MATH-MAY-BASE-TASK-P016.png</x:v>
      </x:c>
      <x:c r="R1434" s="30" t="str">
        <x:v>MATCHED_ASSET</x:v>
      </x:c>
      <x:c r="S1434" t="e">
        <x:f>HYPERLINK("visual_gallery/index.html#"&amp;A1434,"Галерея")</x:f>
      </x:c>
    </x:row>
    <x:row r="1435">
      <x:c r="A1435" s="87" t="str">
        <x:v>VIS-MATH-MAY-BASE-TASK-P017</x:v>
      </x:c>
      <x:c r="B1435" s="30" t="str"/>
      <x:c r="C1435" s="30"/>
      <x:c r="D1435" s="30" t="str"/>
      <x:c r="E1435" s="87" t="str">
        <x:v>TASK</x:v>
      </x:c>
      <x:c r="F1435" s="30" t="str">
        <x:v>Zadanie_MA10-11_12052026_baza_zapad.pdf</x:v>
      </x:c>
      <x:c r="G1435" s="87" t="str">
        <x:v>17</x:v>
      </x:c>
      <x:c r="H1435" s="87" t="str">
        <x:v>v0.90</x:v>
      </x:c>
      <x:c r="I1435" s="87" t="str">
        <x:v>0</x:v>
      </x:c>
      <x:c r="J1435" s="30" t="str"/>
      <x:c r="K1435" s="30" t="str"/>
      <x:c r="L1435" s="87" t="str">
        <x:v>CROP_VERIFIED</x:v>
      </x:c>
      <x:c r="M1435" s="87" t="str">
        <x:v>ORIGINAL_PACKAGE</x:v>
      </x:c>
      <x:c r="N1435" s="87" t="str">
        <x:v>pages/VIS-MATH-MAY-BASE-TASK-P017.png</x:v>
      </x:c>
      <x:c r="O1435" s="87" t="str">
        <x:v>thumbnails/VIS-MATH-MAY-BASE-TASK-P017.jpg</x:v>
      </x:c>
      <x:c r="P1435" s="87" t="str">
        <x:v>efcb3794d3354c9f9da6f9aecbd97a27cc8af3bdeb51a6310b51f1f095b7ed46</x:v>
      </x:c>
      <x:c r="Q1435" s="30" t="str">
        <x:v>incoming/raw/recovery-drop-01/mathematics_may_visual_assets_v090.zip!/pages/VIS-MATH-MAY-BASE-TASK-P017.png</x:v>
      </x:c>
      <x:c r="R1435" s="30" t="str">
        <x:v>RESOLVED_UNLINKED_REGISTRY_VISUAL</x:v>
      </x:c>
      <x:c r="S1435" t="e">
        <x:f>HYPERLINK("visual_gallery/index.html#"&amp;A1435,"Галерея")</x:f>
      </x:c>
    </x:row>
    <x:row r="1436">
      <x:c r="A1436" s="87" t="str">
        <x:v>VIS-MATH-MAY-BASE-TASK-P018</x:v>
      </x:c>
      <x:c r="B1436" s="30" t="str">
        <x:v>Математика</x:v>
      </x:c>
      <x:c r="C1436" s="30"/>
      <x:c r="D1436" s="30" t="str">
        <x:v>МА2500303</x:v>
      </x:c>
      <x:c r="E1436" s="87" t="str">
        <x:v>TASK</x:v>
      </x:c>
      <x:c r="F1436" s="30" t="str">
        <x:v>Zadanie_MA10-11_12052026_baza_zapad.pdf</x:v>
      </x:c>
      <x:c r="G1436" s="87" t="str">
        <x:v>18</x:v>
      </x:c>
      <x:c r="H1436" s="87" t="str">
        <x:v>v0.90</x:v>
      </x:c>
      <x:c r="I1436" s="87" t="str">
        <x:v>4</x:v>
      </x:c>
      <x:c r="J1436" s="30" t="str">
        <x:v>VIS_ID, VIS_ID задания</x:v>
      </x:c>
      <x:c r="K1436" s="30" t="str">
        <x:v>MAY-MATH-03-001, MAY-MATH-03-002</x:v>
      </x:c>
      <x:c r="L1436" s="87" t="str">
        <x:v>CROP_VERIFIED</x:v>
      </x:c>
      <x:c r="M1436" s="87" t="str">
        <x:v>ORIGINAL_PACKAGE</x:v>
      </x:c>
      <x:c r="N1436" s="87" t="str">
        <x:v>pages/VIS-MATH-MAY-BASE-TASK-P018.png</x:v>
      </x:c>
      <x:c r="O1436" s="87" t="str">
        <x:v>thumbnails/VIS-MATH-MAY-BASE-TASK-P018.jpg</x:v>
      </x:c>
      <x:c r="P1436" s="87" t="str">
        <x:v>80ee6879d90fc50af1612f0111ae984635d98f16cd2a6df0d5cc4dd5e8369df2</x:v>
      </x:c>
      <x:c r="Q1436" s="30" t="str">
        <x:v>incoming/raw/recovery-drop-01/mathematics_may_visual_assets_v090.zip!/pages/VIS-MATH-MAY-BASE-TASK-P018.png</x:v>
      </x:c>
      <x:c r="R1436" s="30" t="str">
        <x:v>MATCHED_ASSET</x:v>
      </x:c>
      <x:c r="S1436" t="e">
        <x:f>HYPERLINK("visual_gallery/index.html#"&amp;A1436,"Галерея")</x:f>
      </x:c>
    </x:row>
    <x:row r="1437">
      <x:c r="A1437" s="87" t="str">
        <x:v>VIS-MATH-MAY-BASE-TASK-P019</x:v>
      </x:c>
      <x:c r="B1437" s="30" t="str">
        <x:v>Математика</x:v>
      </x:c>
      <x:c r="C1437" s="30"/>
      <x:c r="D1437" s="30" t="str">
        <x:v>МА2500303</x:v>
      </x:c>
      <x:c r="E1437" s="87" t="str">
        <x:v>TASK</x:v>
      </x:c>
      <x:c r="F1437" s="30" t="str">
        <x:v>Zadanie_MA10-11_12052026_baza_zapad.pdf</x:v>
      </x:c>
      <x:c r="G1437" s="87" t="str">
        <x:v>19</x:v>
      </x:c>
      <x:c r="H1437" s="87" t="str">
        <x:v>v0.90</x:v>
      </x:c>
      <x:c r="I1437" s="87" t="str">
        <x:v>6</x:v>
      </x:c>
      <x:c r="J1437" s="30" t="str">
        <x:v>VIS_ID, VIS_ID задания</x:v>
      </x:c>
      <x:c r="K1437" s="30" t="str">
        <x:v>MAY-MATH-03-003, MAY-MATH-03-004, MAY-MATH-03-005</x:v>
      </x:c>
      <x:c r="L1437" s="87" t="str">
        <x:v>CROP_VERIFIED</x:v>
      </x:c>
      <x:c r="M1437" s="87" t="str">
        <x:v>ORIGINAL_PACKAGE</x:v>
      </x:c>
      <x:c r="N1437" s="87" t="str">
        <x:v>pages/VIS-MATH-MAY-BASE-TASK-P019.png</x:v>
      </x:c>
      <x:c r="O1437" s="87" t="str">
        <x:v>thumbnails/VIS-MATH-MAY-BASE-TASK-P019.jpg</x:v>
      </x:c>
      <x:c r="P1437" s="87" t="str">
        <x:v>8b1481c7a962f22f38456f8ad2c06698aacc4288372627eb081e033463374b0b</x:v>
      </x:c>
      <x:c r="Q1437" s="30" t="str">
        <x:v>incoming/raw/recovery-drop-01/mathematics_may_visual_assets_v090.zip!/pages/VIS-MATH-MAY-BASE-TASK-P019.png</x:v>
      </x:c>
      <x:c r="R1437" s="30" t="str">
        <x:v>MATCHED_ASSET</x:v>
      </x:c>
      <x:c r="S1437" t="e">
        <x:f>HYPERLINK("visual_gallery/index.html#"&amp;A1437,"Галерея")</x:f>
      </x:c>
    </x:row>
    <x:row r="1438">
      <x:c r="A1438" s="87" t="str">
        <x:v>VIS-MATH-MAY-BASE-TASK-P020</x:v>
      </x:c>
      <x:c r="B1438" s="30" t="str">
        <x:v>Математика</x:v>
      </x:c>
      <x:c r="C1438" s="30"/>
      <x:c r="D1438" s="30" t="str">
        <x:v>МА2500303</x:v>
      </x:c>
      <x:c r="E1438" s="87" t="str">
        <x:v>TASK</x:v>
      </x:c>
      <x:c r="F1438" s="30" t="str">
        <x:v>Zadanie_MA10-11_12052026_baza_zapad.pdf</x:v>
      </x:c>
      <x:c r="G1438" s="87" t="str">
        <x:v>20</x:v>
      </x:c>
      <x:c r="H1438" s="87" t="str">
        <x:v>v0.90</x:v>
      </x:c>
      <x:c r="I1438" s="87" t="str">
        <x:v>4</x:v>
      </x:c>
      <x:c r="J1438" s="30" t="str">
        <x:v>VIS_ID, VIS_ID задания</x:v>
      </x:c>
      <x:c r="K1438" s="30" t="str">
        <x:v>MAY-MATH-03-006, MAY-MATH-03-007</x:v>
      </x:c>
      <x:c r="L1438" s="87" t="str">
        <x:v>CROP_VERIFIED</x:v>
      </x:c>
      <x:c r="M1438" s="87" t="str">
        <x:v>ORIGINAL_PACKAGE</x:v>
      </x:c>
      <x:c r="N1438" s="87" t="str">
        <x:v>pages/VIS-MATH-MAY-BASE-TASK-P020.png</x:v>
      </x:c>
      <x:c r="O1438" s="87" t="str">
        <x:v>thumbnails/VIS-MATH-MAY-BASE-TASK-P020.jpg</x:v>
      </x:c>
      <x:c r="P1438" s="87" t="str">
        <x:v>d0aba4502d85b2f0d9f851ccae530511b9900854e3a181cfd7f2c4decf3bbc63</x:v>
      </x:c>
      <x:c r="Q1438" s="30" t="str">
        <x:v>incoming/raw/recovery-drop-01/mathematics_may_visual_assets_v090.zip!/pages/VIS-MATH-MAY-BASE-TASK-P020.png</x:v>
      </x:c>
      <x:c r="R1438" s="30" t="str">
        <x:v>MATCHED_ASSET</x:v>
      </x:c>
      <x:c r="S1438" t="e">
        <x:f>HYPERLINK("visual_gallery/index.html#"&amp;A1438,"Галерея")</x:f>
      </x:c>
    </x:row>
    <x:row r="1439">
      <x:c r="A1439" s="87" t="str">
        <x:v>VIS-MATH-MAY-BASE-TASK-P021</x:v>
      </x:c>
      <x:c r="B1439" s="30" t="str">
        <x:v>Математика</x:v>
      </x:c>
      <x:c r="C1439" s="30"/>
      <x:c r="D1439" s="30" t="str">
        <x:v>МА2500303</x:v>
      </x:c>
      <x:c r="E1439" s="87" t="str">
        <x:v>TASK</x:v>
      </x:c>
      <x:c r="F1439" s="30" t="str">
        <x:v>Zadanie_MA10-11_12052026_baza_zapad.pdf</x:v>
      </x:c>
      <x:c r="G1439" s="87" t="str">
        <x:v>21</x:v>
      </x:c>
      <x:c r="H1439" s="87" t="str">
        <x:v>v0.90</x:v>
      </x:c>
      <x:c r="I1439" s="87" t="str">
        <x:v>6</x:v>
      </x:c>
      <x:c r="J1439" s="30" t="str">
        <x:v>VIS_ID, VIS_ID задания</x:v>
      </x:c>
      <x:c r="K1439" s="30" t="str">
        <x:v>MAY-MATH-03-008, MAY-MATH-03-009, MAY-MATH-03-010</x:v>
      </x:c>
      <x:c r="L1439" s="87" t="str">
        <x:v>CROP_VERIFIED</x:v>
      </x:c>
      <x:c r="M1439" s="87" t="str">
        <x:v>ORIGINAL_PACKAGE</x:v>
      </x:c>
      <x:c r="N1439" s="87" t="str">
        <x:v>pages/VIS-MATH-MAY-BASE-TASK-P021.png</x:v>
      </x:c>
      <x:c r="O1439" s="87" t="str">
        <x:v>thumbnails/VIS-MATH-MAY-BASE-TASK-P021.jpg</x:v>
      </x:c>
      <x:c r="P1439" s="87" t="str">
        <x:v>3f24fa0027cb6e104e60536614b6de480612fffff2bdfcc60e61aab281654c6e</x:v>
      </x:c>
      <x:c r="Q1439" s="30" t="str">
        <x:v>incoming/raw/recovery-drop-01/mathematics_may_visual_assets_v090.zip!/pages/VIS-MATH-MAY-BASE-TASK-P021.png</x:v>
      </x:c>
      <x:c r="R1439" s="30" t="str">
        <x:v>MATCHED_ASSET</x:v>
      </x:c>
      <x:c r="S1439" t="e">
        <x:f>HYPERLINK("visual_gallery/index.html#"&amp;A1439,"Галерея")</x:f>
      </x:c>
    </x:row>
    <x:row r="1440">
      <x:c r="A1440" s="87" t="str">
        <x:v>VIS-MATH-MAY-BASE-TASK-P022</x:v>
      </x:c>
      <x:c r="B1440" s="30" t="str">
        <x:v>Математика</x:v>
      </x:c>
      <x:c r="C1440" s="30"/>
      <x:c r="D1440" s="30" t="str">
        <x:v>МА2500303</x:v>
      </x:c>
      <x:c r="E1440" s="87" t="str">
        <x:v>TASK</x:v>
      </x:c>
      <x:c r="F1440" s="30" t="str">
        <x:v>Zadanie_MA10-11_12052026_baza_zapad.pdf</x:v>
      </x:c>
      <x:c r="G1440" s="87" t="str">
        <x:v>22</x:v>
      </x:c>
      <x:c r="H1440" s="87" t="str">
        <x:v>v0.90</x:v>
      </x:c>
      <x:c r="I1440" s="87" t="str">
        <x:v>10</x:v>
      </x:c>
      <x:c r="J1440" s="30" t="str">
        <x:v>VIS_ID, VIS_ID задания</x:v>
      </x:c>
      <x:c r="K1440" s="30" t="str">
        <x:v>MAY-MATH-03-011, MAY-MATH-03-012, MAY-MATH-03-013, MAY-MATH-03-014, MAY-MATH-03-015</x:v>
      </x:c>
      <x:c r="L1440" s="87" t="str">
        <x:v>CROP_VERIFIED</x:v>
      </x:c>
      <x:c r="M1440" s="87" t="str">
        <x:v>ORIGINAL_PACKAGE</x:v>
      </x:c>
      <x:c r="N1440" s="87" t="str">
        <x:v>pages/VIS-MATH-MAY-BASE-TASK-P022.png</x:v>
      </x:c>
      <x:c r="O1440" s="87" t="str">
        <x:v>thumbnails/VIS-MATH-MAY-BASE-TASK-P022.jpg</x:v>
      </x:c>
      <x:c r="P1440" s="87" t="str">
        <x:v>19736f39f3de8f239ef3ee2c9fcb113c07f53b6f663d90834cf7f48a3900d275</x:v>
      </x:c>
      <x:c r="Q1440" s="30" t="str">
        <x:v>incoming/raw/recovery-drop-01/mathematics_may_visual_assets_v090.zip!/pages/VIS-MATH-MAY-BASE-TASK-P022.png</x:v>
      </x:c>
      <x:c r="R1440" s="30" t="str">
        <x:v>MATCHED_ASSET</x:v>
      </x:c>
      <x:c r="S1440" t="e">
        <x:f>HYPERLINK("visual_gallery/index.html#"&amp;A1440,"Галерея")</x:f>
      </x:c>
    </x:row>
    <x:row r="1441">
      <x:c r="A1441" s="87" t="str">
        <x:v>VIS-MATH-MAY-BASE-TASK-P023</x:v>
      </x:c>
      <x:c r="B1441" s="30" t="str">
        <x:v>Математика</x:v>
      </x:c>
      <x:c r="C1441" s="30"/>
      <x:c r="D1441" s="30" t="str">
        <x:v>МА2500303</x:v>
      </x:c>
      <x:c r="E1441" s="87" t="str">
        <x:v>TASK</x:v>
      </x:c>
      <x:c r="F1441" s="30" t="str">
        <x:v>Zadanie_MA10-11_12052026_baza_zapad.pdf</x:v>
      </x:c>
      <x:c r="G1441" s="87" t="str">
        <x:v>23</x:v>
      </x:c>
      <x:c r="H1441" s="87" t="str">
        <x:v>v0.90</x:v>
      </x:c>
      <x:c r="I1441" s="87" t="str">
        <x:v>8</x:v>
      </x:c>
      <x:c r="J1441" s="30" t="str">
        <x:v>VIS_ID, VIS_ID задания</x:v>
      </x:c>
      <x:c r="K1441" s="30" t="str">
        <x:v>MAY-MATH-03-016, MAY-MATH-03-017, MAY-MATH-03-018, MAY-MATH-03-019</x:v>
      </x:c>
      <x:c r="L1441" s="87" t="str">
        <x:v>CROP_VERIFIED</x:v>
      </x:c>
      <x:c r="M1441" s="87" t="str">
        <x:v>ORIGINAL_PACKAGE</x:v>
      </x:c>
      <x:c r="N1441" s="87" t="str">
        <x:v>pages/VIS-MATH-MAY-BASE-TASK-P023.png</x:v>
      </x:c>
      <x:c r="O1441" s="87" t="str">
        <x:v>thumbnails/VIS-MATH-MAY-BASE-TASK-P023.jpg</x:v>
      </x:c>
      <x:c r="P1441" s="87" t="str">
        <x:v>0981624919b9218a1b7af7c0b5fac27fa4e92a4eb696248c494a720e87f69c8b</x:v>
      </x:c>
      <x:c r="Q1441" s="30" t="str">
        <x:v>incoming/raw/recovery-drop-01/mathematics_may_visual_assets_v090.zip!/pages/VIS-MATH-MAY-BASE-TASK-P023.png</x:v>
      </x:c>
      <x:c r="R1441" s="30" t="str">
        <x:v>MATCHED_ASSET</x:v>
      </x:c>
      <x:c r="S1441" t="e">
        <x:f>HYPERLINK("visual_gallery/index.html#"&amp;A1441,"Галерея")</x:f>
      </x:c>
    </x:row>
    <x:row r="1442">
      <x:c r="A1442" s="87" t="str">
        <x:v>VIS-MATH-MAY-BASE-TASK-P024</x:v>
      </x:c>
      <x:c r="B1442" s="30" t="str">
        <x:v>Математика</x:v>
      </x:c>
      <x:c r="C1442" s="30"/>
      <x:c r="D1442" s="30" t="str">
        <x:v>МА2500303</x:v>
      </x:c>
      <x:c r="E1442" s="87" t="str">
        <x:v>TASK</x:v>
      </x:c>
      <x:c r="F1442" s="30" t="str">
        <x:v>Zadanie_MA10-11_12052026_baza_zapad.pdf</x:v>
      </x:c>
      <x:c r="G1442" s="87" t="str">
        <x:v>24</x:v>
      </x:c>
      <x:c r="H1442" s="87" t="str">
        <x:v>v0.90</x:v>
      </x:c>
      <x:c r="I1442" s="87" t="str">
        <x:v>4</x:v>
      </x:c>
      <x:c r="J1442" s="30" t="str">
        <x:v>VIS_ID, VIS_ID задания</x:v>
      </x:c>
      <x:c r="K1442" s="30" t="str">
        <x:v>MAY-MATH-03-020, MAY-MATH-03-021</x:v>
      </x:c>
      <x:c r="L1442" s="87" t="str">
        <x:v>CROP_VERIFIED</x:v>
      </x:c>
      <x:c r="M1442" s="87" t="str">
        <x:v>ORIGINAL_PACKAGE</x:v>
      </x:c>
      <x:c r="N1442" s="87" t="str">
        <x:v>pages/VIS-MATH-MAY-BASE-TASK-P024.png</x:v>
      </x:c>
      <x:c r="O1442" s="87" t="str">
        <x:v>thumbnails/VIS-MATH-MAY-BASE-TASK-P024.jpg</x:v>
      </x:c>
      <x:c r="P1442" s="87" t="str">
        <x:v>e03a9109dfecc04ccdf564475a3836c78ed0b0dfcb537d131d8181ff2a2b8e20</x:v>
      </x:c>
      <x:c r="Q1442" s="30" t="str">
        <x:v>incoming/raw/recovery-drop-01/mathematics_may_visual_assets_v090.zip!/pages/VIS-MATH-MAY-BASE-TASK-P024.png</x:v>
      </x:c>
      <x:c r="R1442" s="30" t="str">
        <x:v>MATCHED_ASSET</x:v>
      </x:c>
      <x:c r="S1442" t="e">
        <x:f>HYPERLINK("visual_gallery/index.html#"&amp;A1442,"Галерея")</x:f>
      </x:c>
    </x:row>
    <x:row r="1443">
      <x:c r="A1443" s="87" t="str">
        <x:v>VIS-MATH-MAY-BASE-TASK-P025</x:v>
      </x:c>
      <x:c r="B1443" s="30" t="str"/>
      <x:c r="C1443" s="30"/>
      <x:c r="D1443" s="30" t="str"/>
      <x:c r="E1443" s="87" t="str">
        <x:v>TASK</x:v>
      </x:c>
      <x:c r="F1443" s="30" t="str">
        <x:v>Zadanie_MA10-11_12052026_baza_zapad.pdf</x:v>
      </x:c>
      <x:c r="G1443" s="87" t="str">
        <x:v>25</x:v>
      </x:c>
      <x:c r="H1443" s="87" t="str">
        <x:v>v0.90</x:v>
      </x:c>
      <x:c r="I1443" s="87" t="str">
        <x:v>0</x:v>
      </x:c>
      <x:c r="J1443" s="30" t="str"/>
      <x:c r="K1443" s="30" t="str"/>
      <x:c r="L1443" s="87" t="str">
        <x:v>CROP_VERIFIED</x:v>
      </x:c>
      <x:c r="M1443" s="87" t="str">
        <x:v>ORIGINAL_PACKAGE</x:v>
      </x:c>
      <x:c r="N1443" s="87" t="str">
        <x:v>pages/VIS-MATH-MAY-BASE-TASK-P025.png</x:v>
      </x:c>
      <x:c r="O1443" s="87" t="str">
        <x:v>thumbnails/VIS-MATH-MAY-BASE-TASK-P025.jpg</x:v>
      </x:c>
      <x:c r="P1443" s="87" t="str">
        <x:v>97aacaddfb586bd95bcd784c94aed21354c4a3b89dd7269682675c4a8c14a760</x:v>
      </x:c>
      <x:c r="Q1443" s="30" t="str">
        <x:v>incoming/raw/recovery-drop-01/mathematics_may_visual_assets_v090.zip!/pages/VIS-MATH-MAY-BASE-TASK-P025.png</x:v>
      </x:c>
      <x:c r="R1443" s="30" t="str">
        <x:v>RESOLVED_UNLINKED_REGISTRY_VISUAL</x:v>
      </x:c>
      <x:c r="S1443" t="e">
        <x:f>HYPERLINK("visual_gallery/index.html#"&amp;A1443,"Галерея")</x:f>
      </x:c>
    </x:row>
    <x:row r="1444">
      <x:c r="A1444" s="87" t="str">
        <x:v>VIS-MATH-MAY-BASE-TASK-P026</x:v>
      </x:c>
      <x:c r="B1444" s="30" t="str">
        <x:v>Математика</x:v>
      </x:c>
      <x:c r="C1444" s="30"/>
      <x:c r="D1444" s="30" t="str">
        <x:v>МА2500304</x:v>
      </x:c>
      <x:c r="E1444" s="87" t="str">
        <x:v>TASK</x:v>
      </x:c>
      <x:c r="F1444" s="30" t="str">
        <x:v>Zadanie_MA10-11_12052026_baza_zapad.pdf</x:v>
      </x:c>
      <x:c r="G1444" s="87" t="str">
        <x:v>26</x:v>
      </x:c>
      <x:c r="H1444" s="87" t="str">
        <x:v>v0.90</x:v>
      </x:c>
      <x:c r="I1444" s="87" t="str">
        <x:v>4</x:v>
      </x:c>
      <x:c r="J1444" s="30" t="str">
        <x:v>VIS_ID, VIS_ID задания</x:v>
      </x:c>
      <x:c r="K1444" s="30" t="str">
        <x:v>MAY-MATH-04-001, MAY-MATH-04-002</x:v>
      </x:c>
      <x:c r="L1444" s="87" t="str">
        <x:v>CROP_VERIFIED</x:v>
      </x:c>
      <x:c r="M1444" s="87" t="str">
        <x:v>ORIGINAL_PACKAGE</x:v>
      </x:c>
      <x:c r="N1444" s="87" t="str">
        <x:v>pages/VIS-MATH-MAY-BASE-TASK-P026.png</x:v>
      </x:c>
      <x:c r="O1444" s="87" t="str">
        <x:v>thumbnails/VIS-MATH-MAY-BASE-TASK-P026.jpg</x:v>
      </x:c>
      <x:c r="P1444" s="87" t="str">
        <x:v>3038c2fc1b04546d451a1992dac01ef5dc78d7c6f219d674d05a2dc030d64ced</x:v>
      </x:c>
      <x:c r="Q1444" s="30" t="str">
        <x:v>incoming/raw/recovery-drop-01/mathematics_may_visual_assets_v090.zip!/pages/VIS-MATH-MAY-BASE-TASK-P026.png</x:v>
      </x:c>
      <x:c r="R1444" s="30" t="str">
        <x:v>MATCHED_ASSET</x:v>
      </x:c>
      <x:c r="S1444" t="e">
        <x:f>HYPERLINK("visual_gallery/index.html#"&amp;A1444,"Галерея")</x:f>
      </x:c>
    </x:row>
    <x:row r="1445">
      <x:c r="A1445" s="87" t="str">
        <x:v>VIS-MATH-MAY-BASE-TASK-P027</x:v>
      </x:c>
      <x:c r="B1445" s="30" t="str">
        <x:v>Математика</x:v>
      </x:c>
      <x:c r="C1445" s="30"/>
      <x:c r="D1445" s="30" t="str">
        <x:v>МА2500304</x:v>
      </x:c>
      <x:c r="E1445" s="87" t="str">
        <x:v>TASK</x:v>
      </x:c>
      <x:c r="F1445" s="30" t="str">
        <x:v>Zadanie_MA10-11_12052026_baza_zapad.pdf</x:v>
      </x:c>
      <x:c r="G1445" s="87" t="str">
        <x:v>27</x:v>
      </x:c>
      <x:c r="H1445" s="87" t="str">
        <x:v>v0.90</x:v>
      </x:c>
      <x:c r="I1445" s="87" t="str">
        <x:v>6</x:v>
      </x:c>
      <x:c r="J1445" s="30" t="str">
        <x:v>VIS_ID, VIS_ID задания</x:v>
      </x:c>
      <x:c r="K1445" s="30" t="str">
        <x:v>MAY-MATH-04-003, MAY-MATH-04-004, MAY-MATH-04-005</x:v>
      </x:c>
      <x:c r="L1445" s="87" t="str">
        <x:v>CROP_VERIFIED</x:v>
      </x:c>
      <x:c r="M1445" s="87" t="str">
        <x:v>ORIGINAL_PACKAGE</x:v>
      </x:c>
      <x:c r="N1445" s="87" t="str">
        <x:v>pages/VIS-MATH-MAY-BASE-TASK-P027.png</x:v>
      </x:c>
      <x:c r="O1445" s="87" t="str">
        <x:v>thumbnails/VIS-MATH-MAY-BASE-TASK-P027.jpg</x:v>
      </x:c>
      <x:c r="P1445" s="87" t="str">
        <x:v>be13a57bbf2ea91f956e989b33e02e69755c18c4200c7600a39f4513146fcac8</x:v>
      </x:c>
      <x:c r="Q1445" s="30" t="str">
        <x:v>incoming/raw/recovery-drop-01/mathematics_may_visual_assets_v090.zip!/pages/VIS-MATH-MAY-BASE-TASK-P027.png</x:v>
      </x:c>
      <x:c r="R1445" s="30" t="str">
        <x:v>MATCHED_ASSET</x:v>
      </x:c>
      <x:c r="S1445" t="e">
        <x:f>HYPERLINK("visual_gallery/index.html#"&amp;A1445,"Галерея")</x:f>
      </x:c>
    </x:row>
    <x:row r="1446">
      <x:c r="A1446" s="87" t="str">
        <x:v>VIS-MATH-MAY-BASE-TASK-P028</x:v>
      </x:c>
      <x:c r="B1446" s="30" t="str">
        <x:v>Математика</x:v>
      </x:c>
      <x:c r="C1446" s="30"/>
      <x:c r="D1446" s="30" t="str">
        <x:v>МА2500304</x:v>
      </x:c>
      <x:c r="E1446" s="87" t="str">
        <x:v>TASK</x:v>
      </x:c>
      <x:c r="F1446" s="30" t="str">
        <x:v>Zadanie_MA10-11_12052026_baza_zapad.pdf</x:v>
      </x:c>
      <x:c r="G1446" s="87" t="str">
        <x:v>28</x:v>
      </x:c>
      <x:c r="H1446" s="87" t="str">
        <x:v>v0.90</x:v>
      </x:c>
      <x:c r="I1446" s="87" t="str">
        <x:v>4</x:v>
      </x:c>
      <x:c r="J1446" s="30" t="str">
        <x:v>VIS_ID, VIS_ID задания</x:v>
      </x:c>
      <x:c r="K1446" s="30" t="str">
        <x:v>MAY-MATH-04-006, MAY-MATH-04-007</x:v>
      </x:c>
      <x:c r="L1446" s="87" t="str">
        <x:v>CROP_VERIFIED</x:v>
      </x:c>
      <x:c r="M1446" s="87" t="str">
        <x:v>ORIGINAL_PACKAGE</x:v>
      </x:c>
      <x:c r="N1446" s="87" t="str">
        <x:v>pages/VIS-MATH-MAY-BASE-TASK-P028.png</x:v>
      </x:c>
      <x:c r="O1446" s="87" t="str">
        <x:v>thumbnails/VIS-MATH-MAY-BASE-TASK-P028.jpg</x:v>
      </x:c>
      <x:c r="P1446" s="87" t="str">
        <x:v>736db5df0c865a3606608c94d21173ec2fb0408ea645490cb30fde22aab6a5ea</x:v>
      </x:c>
      <x:c r="Q1446" s="30" t="str">
        <x:v>incoming/raw/recovery-drop-01/mathematics_may_visual_assets_v090.zip!/pages/VIS-MATH-MAY-BASE-TASK-P028.png</x:v>
      </x:c>
      <x:c r="R1446" s="30" t="str">
        <x:v>MATCHED_ASSET</x:v>
      </x:c>
      <x:c r="S1446" t="e">
        <x:f>HYPERLINK("visual_gallery/index.html#"&amp;A1446,"Галерея")</x:f>
      </x:c>
    </x:row>
    <x:row r="1447">
      <x:c r="A1447" s="87" t="str">
        <x:v>VIS-MATH-MAY-BASE-TASK-P029</x:v>
      </x:c>
      <x:c r="B1447" s="30" t="str">
        <x:v>Математика</x:v>
      </x:c>
      <x:c r="C1447" s="30"/>
      <x:c r="D1447" s="30" t="str">
        <x:v>МА2500304</x:v>
      </x:c>
      <x:c r="E1447" s="87" t="str">
        <x:v>TASK</x:v>
      </x:c>
      <x:c r="F1447" s="30" t="str">
        <x:v>Zadanie_MA10-11_12052026_baza_zapad.pdf</x:v>
      </x:c>
      <x:c r="G1447" s="87" t="str">
        <x:v>29</x:v>
      </x:c>
      <x:c r="H1447" s="87" t="str">
        <x:v>v0.90</x:v>
      </x:c>
      <x:c r="I1447" s="87" t="str">
        <x:v>6</x:v>
      </x:c>
      <x:c r="J1447" s="30" t="str">
        <x:v>VIS_ID, VIS_ID задания</x:v>
      </x:c>
      <x:c r="K1447" s="30" t="str">
        <x:v>MAY-MATH-04-008, MAY-MATH-04-009, MAY-MATH-04-010</x:v>
      </x:c>
      <x:c r="L1447" s="87" t="str">
        <x:v>CROP_VERIFIED</x:v>
      </x:c>
      <x:c r="M1447" s="87" t="str">
        <x:v>ORIGINAL_PACKAGE</x:v>
      </x:c>
      <x:c r="N1447" s="87" t="str">
        <x:v>pages/VIS-MATH-MAY-BASE-TASK-P029.png</x:v>
      </x:c>
      <x:c r="O1447" s="87" t="str">
        <x:v>thumbnails/VIS-MATH-MAY-BASE-TASK-P029.jpg</x:v>
      </x:c>
      <x:c r="P1447" s="87" t="str">
        <x:v>a9ecc6e0e71a9918ed34982b954bfe4cc45c8e509493c8f30030d260abef4d84</x:v>
      </x:c>
      <x:c r="Q1447" s="30" t="str">
        <x:v>incoming/raw/recovery-drop-01/mathematics_may_visual_assets_v090.zip!/pages/VIS-MATH-MAY-BASE-TASK-P029.png</x:v>
      </x:c>
      <x:c r="R1447" s="30" t="str">
        <x:v>MATCHED_ASSET</x:v>
      </x:c>
      <x:c r="S1447" t="e">
        <x:f>HYPERLINK("visual_gallery/index.html#"&amp;A1447,"Галерея")</x:f>
      </x:c>
    </x:row>
    <x:row r="1448">
      <x:c r="A1448" s="87" t="str">
        <x:v>VIS-MATH-MAY-BASE-TASK-P030</x:v>
      </x:c>
      <x:c r="B1448" s="30" t="str">
        <x:v>Математика</x:v>
      </x:c>
      <x:c r="C1448" s="30"/>
      <x:c r="D1448" s="30" t="str">
        <x:v>МА2500304</x:v>
      </x:c>
      <x:c r="E1448" s="87" t="str">
        <x:v>TASK</x:v>
      </x:c>
      <x:c r="F1448" s="30" t="str">
        <x:v>Zadanie_MA10-11_12052026_baza_zapad.pdf</x:v>
      </x:c>
      <x:c r="G1448" s="87" t="str">
        <x:v>30</x:v>
      </x:c>
      <x:c r="H1448" s="87" t="str">
        <x:v>v0.90</x:v>
      </x:c>
      <x:c r="I1448" s="87" t="str">
        <x:v>10</x:v>
      </x:c>
      <x:c r="J1448" s="30" t="str">
        <x:v>VIS_ID, VIS_ID задания</x:v>
      </x:c>
      <x:c r="K1448" s="30" t="str">
        <x:v>MAY-MATH-04-011, MAY-MATH-04-012, MAY-MATH-04-013, MAY-MATH-04-014, MAY-MATH-04-015</x:v>
      </x:c>
      <x:c r="L1448" s="87" t="str">
        <x:v>CROP_VERIFIED</x:v>
      </x:c>
      <x:c r="M1448" s="87" t="str">
        <x:v>ORIGINAL_PACKAGE</x:v>
      </x:c>
      <x:c r="N1448" s="87" t="str">
        <x:v>pages/VIS-MATH-MAY-BASE-TASK-P030.png</x:v>
      </x:c>
      <x:c r="O1448" s="87" t="str">
        <x:v>thumbnails/VIS-MATH-MAY-BASE-TASK-P030.jpg</x:v>
      </x:c>
      <x:c r="P1448" s="87" t="str">
        <x:v>93b1a01337e481920d5abd6d4992a5826db64428161667835d98a07e0ca7c688</x:v>
      </x:c>
      <x:c r="Q1448" s="30" t="str">
        <x:v>incoming/raw/recovery-drop-01/mathematics_may_visual_assets_v090.zip!/pages/VIS-MATH-MAY-BASE-TASK-P030.png</x:v>
      </x:c>
      <x:c r="R1448" s="30" t="str">
        <x:v>MATCHED_ASSET</x:v>
      </x:c>
      <x:c r="S1448" t="e">
        <x:f>HYPERLINK("visual_gallery/index.html#"&amp;A1448,"Галерея")</x:f>
      </x:c>
    </x:row>
    <x:row r="1449">
      <x:c r="A1449" s="87" t="str">
        <x:v>VIS-MATH-MAY-BASE-TASK-P031</x:v>
      </x:c>
      <x:c r="B1449" s="30" t="str">
        <x:v>Математика</x:v>
      </x:c>
      <x:c r="C1449" s="30"/>
      <x:c r="D1449" s="30" t="str">
        <x:v>МА2500304</x:v>
      </x:c>
      <x:c r="E1449" s="87" t="str">
        <x:v>TASK</x:v>
      </x:c>
      <x:c r="F1449" s="30" t="str">
        <x:v>Zadanie_MA10-11_12052026_baza_zapad.pdf</x:v>
      </x:c>
      <x:c r="G1449" s="87" t="str">
        <x:v>31</x:v>
      </x:c>
      <x:c r="H1449" s="87" t="str">
        <x:v>v0.90</x:v>
      </x:c>
      <x:c r="I1449" s="87" t="str">
        <x:v>8</x:v>
      </x:c>
      <x:c r="J1449" s="30" t="str">
        <x:v>VIS_ID, VIS_ID задания</x:v>
      </x:c>
      <x:c r="K1449" s="30" t="str">
        <x:v>MAY-MATH-04-016, MAY-MATH-04-017, MAY-MATH-04-018, MAY-MATH-04-019</x:v>
      </x:c>
      <x:c r="L1449" s="87" t="str">
        <x:v>CROP_VERIFIED</x:v>
      </x:c>
      <x:c r="M1449" s="87" t="str">
        <x:v>ORIGINAL_PACKAGE</x:v>
      </x:c>
      <x:c r="N1449" s="87" t="str">
        <x:v>pages/VIS-MATH-MAY-BASE-TASK-P031.png</x:v>
      </x:c>
      <x:c r="O1449" s="87" t="str">
        <x:v>thumbnails/VIS-MATH-MAY-BASE-TASK-P031.jpg</x:v>
      </x:c>
      <x:c r="P1449" s="87" t="str">
        <x:v>22c68f77fcecfdea990a223341fd6756b4d3ee3dc014d2049adbd53645888535</x:v>
      </x:c>
      <x:c r="Q1449" s="30" t="str">
        <x:v>incoming/raw/recovery-drop-01/mathematics_may_visual_assets_v090.zip!/pages/VIS-MATH-MAY-BASE-TASK-P031.png</x:v>
      </x:c>
      <x:c r="R1449" s="30" t="str">
        <x:v>MATCHED_ASSET</x:v>
      </x:c>
      <x:c r="S1449" t="e">
        <x:f>HYPERLINK("visual_gallery/index.html#"&amp;A1449,"Галерея")</x:f>
      </x:c>
    </x:row>
    <x:row r="1450">
      <x:c r="A1450" s="87" t="str">
        <x:v>VIS-MATH-MAY-BASE-TASK-P032</x:v>
      </x:c>
      <x:c r="B1450" s="30" t="str">
        <x:v>Математика</x:v>
      </x:c>
      <x:c r="C1450" s="30"/>
      <x:c r="D1450" s="30" t="str">
        <x:v>МА2500304</x:v>
      </x:c>
      <x:c r="E1450" s="87" t="str">
        <x:v>TASK</x:v>
      </x:c>
      <x:c r="F1450" s="30" t="str">
        <x:v>Zadanie_MA10-11_12052026_baza_zapad.pdf</x:v>
      </x:c>
      <x:c r="G1450" s="87" t="str">
        <x:v>32</x:v>
      </x:c>
      <x:c r="H1450" s="87" t="str">
        <x:v>v0.90</x:v>
      </x:c>
      <x:c r="I1450" s="87" t="str">
        <x:v>4</x:v>
      </x:c>
      <x:c r="J1450" s="30" t="str">
        <x:v>VIS_ID, VIS_ID задания</x:v>
      </x:c>
      <x:c r="K1450" s="30" t="str">
        <x:v>MAY-MATH-04-020, MAY-MATH-04-021</x:v>
      </x:c>
      <x:c r="L1450" s="87" t="str">
        <x:v>CROP_VERIFIED</x:v>
      </x:c>
      <x:c r="M1450" s="87" t="str">
        <x:v>ORIGINAL_PACKAGE</x:v>
      </x:c>
      <x:c r="N1450" s="87" t="str">
        <x:v>pages/VIS-MATH-MAY-BASE-TASK-P032.png</x:v>
      </x:c>
      <x:c r="O1450" s="87" t="str">
        <x:v>thumbnails/VIS-MATH-MAY-BASE-TASK-P032.jpg</x:v>
      </x:c>
      <x:c r="P1450" s="87" t="str">
        <x:v>c977d5cea82b55a423b84719b49a8dc1de0e26ece19340f2a445535f2f3536b1</x:v>
      </x:c>
      <x:c r="Q1450" s="30" t="str">
        <x:v>incoming/raw/recovery-drop-01/mathematics_may_visual_assets_v090.zip!/pages/VIS-MATH-MAY-BASE-TASK-P032.png</x:v>
      </x:c>
      <x:c r="R1450" s="30" t="str">
        <x:v>MATCHED_ASSET</x:v>
      </x:c>
      <x:c r="S1450" t="e">
        <x:f>HYPERLINK("visual_gallery/index.html#"&amp;A1450,"Галерея")</x:f>
      </x:c>
    </x:row>
    <x:row r="1451">
      <x:c r="A1451" s="87" t="str">
        <x:v>VIS-MATH-MAY-KEY-BASE</x:v>
      </x:c>
      <x:c r="B1451" s="30" t="str">
        <x:v>Математика</x:v>
      </x:c>
      <x:c r="C1451" s="30"/>
      <x:c r="D1451" s="30" t="str">
        <x:v>МА2500301, МА2500302, МА2500303, МА2500304</x:v>
      </x:c>
      <x:c r="E1451" s="87" t="str">
        <x:v>KEY</x:v>
      </x:c>
      <x:c r="F1451" s="30" t="str">
        <x:v>База.jpg</x:v>
      </x:c>
      <x:c r="G1451" s="87" t="str">
        <x:v>original</x:v>
      </x:c>
      <x:c r="H1451" s="87" t="str">
        <x:v>v0.90</x:v>
      </x:c>
      <x:c r="I1451" s="87" t="str">
        <x:v>168</x:v>
      </x:c>
      <x:c r="J1451" s="30" t="str">
        <x:v>VIS_ID ключа/критерия, VIS_KEY</x:v>
      </x:c>
      <x:c r="K1451" s="30" t="str">
        <x:v>MAY-MATH-01-001, MAY-MATH-01-002, MAY-MATH-01-003, MAY-MATH-01-004, MAY-MATH-01-005, MAY-MATH-01-006, MAY-MATH-01-007, MAY-MATH-01-008…</x:v>
      </x:c>
      <x:c r="L1451" s="87" t="str">
        <x:v>ORIGINAL_IMAGE_NO_CROP</x:v>
      </x:c>
      <x:c r="M1451" s="87" t="str">
        <x:v>ORIGINAL_PACKAGE</x:v>
      </x:c>
      <x:c r="N1451" s="87" t="str">
        <x:v>pages/VIS-MATH-MAY-KEY-BASE.png</x:v>
      </x:c>
      <x:c r="O1451" s="87" t="str">
        <x:v>thumbnails/VIS-MATH-MAY-KEY-BASE.jpg</x:v>
      </x:c>
      <x:c r="P1451" s="87" t="str">
        <x:v>921f910cdb907c3d27ed873b14d8f9973c1322c4ea2964f9e61464107805f9d6</x:v>
      </x:c>
      <x:c r="Q1451" s="30" t="str">
        <x:v>incoming/raw/recovery-drop-01/mathematics_may_visual_assets_v090.zip!/pages/VIS-MATH-MAY-KEY-BASE.png</x:v>
      </x:c>
      <x:c r="R1451" s="30" t="str">
        <x:v>ORIGINAL_IMAGE_NO_CROP_ACCEPTED | Original key image; no crop required.</x:v>
      </x:c>
      <x:c r="S1451" t="e">
        <x:f>HYPERLINK("visual_gallery/index.html#"&amp;A1451,"Галерея")</x:f>
      </x:c>
    </x:row>
    <x:row r="1452">
      <x:c r="A1452" s="87" t="str">
        <x:v>VIS-MATH-MAY-KEY-PROFILE</x:v>
      </x:c>
      <x:c r="B1452" s="30" t="str">
        <x:v>Математика</x:v>
      </x:c>
      <x:c r="C1452" s="30"/>
      <x:c r="D1452" s="30" t="str">
        <x:v>МА2500309, МА2500310</x:v>
      </x:c>
      <x:c r="E1452" s="87" t="str">
        <x:v>KEY</x:v>
      </x:c>
      <x:c r="F1452" s="30" t="str">
        <x:v>Профиль.jpg</x:v>
      </x:c>
      <x:c r="G1452" s="87" t="str">
        <x:v>original</x:v>
      </x:c>
      <x:c r="H1452" s="87" t="str">
        <x:v>v0.90</x:v>
      </x:c>
      <x:c r="I1452" s="87" t="str">
        <x:v>48</x:v>
      </x:c>
      <x:c r="J1452" s="30" t="str">
        <x:v>VIS_ID ключа/критерия, VIS_KEY</x:v>
      </x:c>
      <x:c r="K1452" s="30" t="str">
        <x:v>MAY-MATH-09-001, MAY-MATH-09-002, MAY-MATH-09-003, MAY-MATH-09-004, MAY-MATH-09-005, MAY-MATH-09-006, MAY-MATH-09-007, MAY-MATH-09-008…</x:v>
      </x:c>
      <x:c r="L1452" s="87" t="str">
        <x:v>ORIGINAL_IMAGE_NO_CROP</x:v>
      </x:c>
      <x:c r="M1452" s="87" t="str">
        <x:v>ORIGINAL_PACKAGE</x:v>
      </x:c>
      <x:c r="N1452" s="87" t="str">
        <x:v>pages/VIS-MATH-MAY-KEY-PROFILE.png</x:v>
      </x:c>
      <x:c r="O1452" s="87" t="str">
        <x:v>thumbnails/VIS-MATH-MAY-KEY-PROFILE.jpg</x:v>
      </x:c>
      <x:c r="P1452" s="87" t="str">
        <x:v>106f7a019f98c25f5b78823410809086c63b671b4ee7dea03e495cb306f55dcb</x:v>
      </x:c>
      <x:c r="Q1452" s="30" t="str">
        <x:v>incoming/raw/recovery-drop-01/mathematics_may_visual_assets_v090.zip!/pages/VIS-MATH-MAY-KEY-PROFILE.png</x:v>
      </x:c>
      <x:c r="R1452" s="30" t="str">
        <x:v>ORIGINAL_IMAGE_NO_CROP_ACCEPTED | Original key image; no crop required.</x:v>
      </x:c>
      <x:c r="S1452" t="e">
        <x:f>HYPERLINK("visual_gallery/index.html#"&amp;A1452,"Галерея")</x:f>
      </x:c>
    </x:row>
    <x:row r="1453">
      <x:c r="A1453" s="87" t="str">
        <x:v>VIS-MATH-MAY-PROF-CRIT-P001</x:v>
      </x:c>
      <x:c r="B1453" s="30" t="str">
        <x:v>Математика</x:v>
      </x:c>
      <x:c r="C1453" s="30"/>
      <x:c r="D1453" s="30" t="str">
        <x:v>МА2500309</x:v>
      </x:c>
      <x:c r="E1453" s="87" t="str">
        <x:v>CRIT</x:v>
      </x:c>
      <x:c r="F1453" s="30" t="str">
        <x:v>Kriterii_MA10-11_12052026.pdf</x:v>
      </x:c>
      <x:c r="G1453" s="87" t="str">
        <x:v>1</x:v>
      </x:c>
      <x:c r="H1453" s="87" t="str">
        <x:v>v0.90</x:v>
      </x:c>
      <x:c r="I1453" s="87" t="str">
        <x:v>2</x:v>
      </x:c>
      <x:c r="J1453" s="30" t="str">
        <x:v>VIS_ID ключа/критерия, VIS_KEY</x:v>
      </x:c>
      <x:c r="K1453" s="30" t="str">
        <x:v>MAY-MATH-09-013</x:v>
      </x:c>
      <x:c r="L1453" s="87" t="str">
        <x:v>CROP_VERIFIED</x:v>
      </x:c>
      <x:c r="M1453" s="87" t="str">
        <x:v>ORIGINAL_PACKAGE</x:v>
      </x:c>
      <x:c r="N1453" s="87" t="str">
        <x:v>pages/VIS-MATH-MAY-PROF-CRIT-P001.png</x:v>
      </x:c>
      <x:c r="O1453" s="87" t="str">
        <x:v>thumbnails/VIS-MATH-MAY-PROF-CRIT-P001.jpg</x:v>
      </x:c>
      <x:c r="P1453" s="87" t="str">
        <x:v>43046d1d9314ae5e4bb2d2c016b6ad86e3ae2a6e9cf380b7143b867879e1e06f</x:v>
      </x:c>
      <x:c r="Q1453" s="30" t="str">
        <x:v>incoming/raw/recovery-drop-01/mathematics_may_visual_assets_v090.zip!/pages/VIS-MATH-MAY-PROF-CRIT-P001.png</x:v>
      </x:c>
      <x:c r="R1453" s="30" t="str">
        <x:v>MATCHED_ASSET</x:v>
      </x:c>
      <x:c r="S1453" t="e">
        <x:f>HYPERLINK("visual_gallery/index.html#"&amp;A1453,"Галерея")</x:f>
      </x:c>
    </x:row>
    <x:row r="1454">
      <x:c r="A1454" s="87" t="str">
        <x:v>VIS-MATH-MAY-PROF-CRIT-P002</x:v>
      </x:c>
      <x:c r="B1454" s="30" t="str">
        <x:v>Математика</x:v>
      </x:c>
      <x:c r="C1454" s="30"/>
      <x:c r="D1454" s="30" t="str">
        <x:v>МА2500309</x:v>
      </x:c>
      <x:c r="E1454" s="87" t="str">
        <x:v>CRIT</x:v>
      </x:c>
      <x:c r="F1454" s="30" t="str">
        <x:v>Kriterii_MA10-11_12052026.pdf</x:v>
      </x:c>
      <x:c r="G1454" s="87" t="str">
        <x:v>2</x:v>
      </x:c>
      <x:c r="H1454" s="87" t="str">
        <x:v>v0.90</x:v>
      </x:c>
      <x:c r="I1454" s="87" t="str">
        <x:v>4</x:v>
      </x:c>
      <x:c r="J1454" s="30" t="str">
        <x:v>VIS_ID ключа/критерия, VIS_KEY</x:v>
      </x:c>
      <x:c r="K1454" s="30" t="str">
        <x:v>MAY-MATH-09-013, MAY-MATH-09-014</x:v>
      </x:c>
      <x:c r="L1454" s="87" t="str">
        <x:v>CROP_VERIFIED</x:v>
      </x:c>
      <x:c r="M1454" s="87" t="str">
        <x:v>ORIGINAL_PACKAGE</x:v>
      </x:c>
      <x:c r="N1454" s="87" t="str">
        <x:v>pages/VIS-MATH-MAY-PROF-CRIT-P002.png</x:v>
      </x:c>
      <x:c r="O1454" s="87" t="str">
        <x:v>thumbnails/VIS-MATH-MAY-PROF-CRIT-P002.jpg</x:v>
      </x:c>
      <x:c r="P1454" s="87" t="str">
        <x:v>02f5fbd07e1cbac4766d29428427b79158402cb4931601774ee68a8ad48ba526</x:v>
      </x:c>
      <x:c r="Q1454" s="30" t="str">
        <x:v>incoming/raw/recovery-drop-01/mathematics_may_visual_assets_v090.zip!/pages/VIS-MATH-MAY-PROF-CRIT-P002.png</x:v>
      </x:c>
      <x:c r="R1454" s="30" t="str">
        <x:v>MATCHED_ASSET</x:v>
      </x:c>
      <x:c r="S1454" t="e">
        <x:f>HYPERLINK("visual_gallery/index.html#"&amp;A1454,"Галерея")</x:f>
      </x:c>
    </x:row>
    <x:row r="1455">
      <x:c r="A1455" s="87" t="str">
        <x:v>VIS-MATH-MAY-PROF-CRIT-P003</x:v>
      </x:c>
      <x:c r="B1455" s="30" t="str">
        <x:v>Математика</x:v>
      </x:c>
      <x:c r="C1455" s="30"/>
      <x:c r="D1455" s="30" t="str">
        <x:v>МА2500309</x:v>
      </x:c>
      <x:c r="E1455" s="87" t="str">
        <x:v>CRIT</x:v>
      </x:c>
      <x:c r="F1455" s="30" t="str">
        <x:v>Kriterii_MA10-11_12052026.pdf</x:v>
      </x:c>
      <x:c r="G1455" s="87" t="str">
        <x:v>3</x:v>
      </x:c>
      <x:c r="H1455" s="87" t="str">
        <x:v>v0.90</x:v>
      </x:c>
      <x:c r="I1455" s="87" t="str">
        <x:v>4</x:v>
      </x:c>
      <x:c r="J1455" s="30" t="str">
        <x:v>VIS_ID ключа/критерия, VIS_KEY</x:v>
      </x:c>
      <x:c r="K1455" s="30" t="str">
        <x:v>MAY-MATH-09-014, MAY-MATH-09-015</x:v>
      </x:c>
      <x:c r="L1455" s="87" t="str">
        <x:v>CROP_VERIFIED</x:v>
      </x:c>
      <x:c r="M1455" s="87" t="str">
        <x:v>ORIGINAL_PACKAGE</x:v>
      </x:c>
      <x:c r="N1455" s="87" t="str">
        <x:v>pages/VIS-MATH-MAY-PROF-CRIT-P003.png</x:v>
      </x:c>
      <x:c r="O1455" s="87" t="str">
        <x:v>thumbnails/VIS-MATH-MAY-PROF-CRIT-P003.jpg</x:v>
      </x:c>
      <x:c r="P1455" s="87" t="str">
        <x:v>1a336b020a08e9d38a005095ffe1d86c8616b132422a4a13e7ef737086665072</x:v>
      </x:c>
      <x:c r="Q1455" s="30" t="str">
        <x:v>incoming/raw/recovery-drop-01/mathematics_may_visual_assets_v090.zip!/pages/VIS-MATH-MAY-PROF-CRIT-P003.png</x:v>
      </x:c>
      <x:c r="R1455" s="30" t="str">
        <x:v>MATCHED_ASSET</x:v>
      </x:c>
      <x:c r="S1455" t="e">
        <x:f>HYPERLINK("visual_gallery/index.html#"&amp;A1455,"Галерея")</x:f>
      </x:c>
    </x:row>
    <x:row r="1456">
      <x:c r="A1456" s="87" t="str">
        <x:v>VIS-MATH-MAY-PROF-CRIT-P004</x:v>
      </x:c>
      <x:c r="B1456" s="30" t="str">
        <x:v>Математика</x:v>
      </x:c>
      <x:c r="C1456" s="30"/>
      <x:c r="D1456" s="30" t="str">
        <x:v>МА2500309</x:v>
      </x:c>
      <x:c r="E1456" s="87" t="str">
        <x:v>CRIT</x:v>
      </x:c>
      <x:c r="F1456" s="30" t="str">
        <x:v>Kriterii_MA10-11_12052026.pdf</x:v>
      </x:c>
      <x:c r="G1456" s="87" t="str">
        <x:v>4</x:v>
      </x:c>
      <x:c r="H1456" s="87" t="str">
        <x:v>v0.90</x:v>
      </x:c>
      <x:c r="I1456" s="87" t="str">
        <x:v>4</x:v>
      </x:c>
      <x:c r="J1456" s="30" t="str">
        <x:v>VIS_ID ключа/критерия, VIS_KEY</x:v>
      </x:c>
      <x:c r="K1456" s="30" t="str">
        <x:v>MAY-MATH-09-015, MAY-MATH-09-016</x:v>
      </x:c>
      <x:c r="L1456" s="87" t="str">
        <x:v>CROP_VERIFIED</x:v>
      </x:c>
      <x:c r="M1456" s="87" t="str">
        <x:v>ORIGINAL_PACKAGE</x:v>
      </x:c>
      <x:c r="N1456" s="87" t="str">
        <x:v>pages/VIS-MATH-MAY-PROF-CRIT-P004.png</x:v>
      </x:c>
      <x:c r="O1456" s="87" t="str">
        <x:v>thumbnails/VIS-MATH-MAY-PROF-CRIT-P004.jpg</x:v>
      </x:c>
      <x:c r="P1456" s="87" t="str">
        <x:v>89154d21d129a37c0f4f91d279f9ecc7d9aef905973515a52692a7056d0908a1</x:v>
      </x:c>
      <x:c r="Q1456" s="30" t="str">
        <x:v>incoming/raw/recovery-drop-01/mathematics_may_visual_assets_v090.zip!/pages/VIS-MATH-MAY-PROF-CRIT-P004.png</x:v>
      </x:c>
      <x:c r="R1456" s="30" t="str">
        <x:v>MATCHED_ASSET</x:v>
      </x:c>
      <x:c r="S1456" t="e">
        <x:f>HYPERLINK("visual_gallery/index.html#"&amp;A1456,"Галерея")</x:f>
      </x:c>
    </x:row>
    <x:row r="1457">
      <x:c r="A1457" s="87" t="str">
        <x:v>VIS-MATH-MAY-PROF-CRIT-P005</x:v>
      </x:c>
      <x:c r="B1457" s="30" t="str">
        <x:v>Математика</x:v>
      </x:c>
      <x:c r="C1457" s="30"/>
      <x:c r="D1457" s="30" t="str">
        <x:v>МА2500309</x:v>
      </x:c>
      <x:c r="E1457" s="87" t="str">
        <x:v>CRIT</x:v>
      </x:c>
      <x:c r="F1457" s="30" t="str">
        <x:v>Kriterii_MA10-11_12052026.pdf</x:v>
      </x:c>
      <x:c r="G1457" s="87" t="str">
        <x:v>5</x:v>
      </x:c>
      <x:c r="H1457" s="87" t="str">
        <x:v>v0.90</x:v>
      </x:c>
      <x:c r="I1457" s="87" t="str">
        <x:v>4</x:v>
      </x:c>
      <x:c r="J1457" s="30" t="str">
        <x:v>VIS_ID ключа/критерия, VIS_KEY</x:v>
      </x:c>
      <x:c r="K1457" s="30" t="str">
        <x:v>MAY-MATH-09-016, MAY-MATH-09-017</x:v>
      </x:c>
      <x:c r="L1457" s="87" t="str">
        <x:v>CROP_VERIFIED</x:v>
      </x:c>
      <x:c r="M1457" s="87" t="str">
        <x:v>ORIGINAL_PACKAGE</x:v>
      </x:c>
      <x:c r="N1457" s="87" t="str">
        <x:v>pages/VIS-MATH-MAY-PROF-CRIT-P005.png</x:v>
      </x:c>
      <x:c r="O1457" s="87" t="str">
        <x:v>thumbnails/VIS-MATH-MAY-PROF-CRIT-P005.jpg</x:v>
      </x:c>
      <x:c r="P1457" s="87" t="str">
        <x:v>38b3b180aa841879d161d3c33965b39f598ef878de2297023699961d2360a239</x:v>
      </x:c>
      <x:c r="Q1457" s="30" t="str">
        <x:v>incoming/raw/recovery-drop-01/mathematics_may_visual_assets_v090.zip!/pages/VIS-MATH-MAY-PROF-CRIT-P005.png</x:v>
      </x:c>
      <x:c r="R1457" s="30" t="str">
        <x:v>MATCHED_ASSET</x:v>
      </x:c>
      <x:c r="S1457" t="e">
        <x:f>HYPERLINK("visual_gallery/index.html#"&amp;A1457,"Галерея")</x:f>
      </x:c>
    </x:row>
    <x:row r="1458">
      <x:c r="A1458" s="87" t="str">
        <x:v>VIS-MATH-MAY-PROF-CRIT-P006</x:v>
      </x:c>
      <x:c r="B1458" s="30" t="str">
        <x:v>Математика</x:v>
      </x:c>
      <x:c r="C1458" s="30"/>
      <x:c r="D1458" s="30" t="str">
        <x:v>МА2500309</x:v>
      </x:c>
      <x:c r="E1458" s="87" t="str">
        <x:v>CRIT</x:v>
      </x:c>
      <x:c r="F1458" s="30" t="str">
        <x:v>Kriterii_MA10-11_12052026.pdf</x:v>
      </x:c>
      <x:c r="G1458" s="87" t="str">
        <x:v>6</x:v>
      </x:c>
      <x:c r="H1458" s="87" t="str">
        <x:v>v0.90</x:v>
      </x:c>
      <x:c r="I1458" s="87" t="str">
        <x:v>4</x:v>
      </x:c>
      <x:c r="J1458" s="30" t="str">
        <x:v>VIS_ID ключа/критерия, VIS_KEY</x:v>
      </x:c>
      <x:c r="K1458" s="30" t="str">
        <x:v>MAY-MATH-09-017, MAY-MATH-09-018</x:v>
      </x:c>
      <x:c r="L1458" s="87" t="str">
        <x:v>CROP_VERIFIED</x:v>
      </x:c>
      <x:c r="M1458" s="87" t="str">
        <x:v>ORIGINAL_PACKAGE</x:v>
      </x:c>
      <x:c r="N1458" s="87" t="str">
        <x:v>pages/VIS-MATH-MAY-PROF-CRIT-P006.png</x:v>
      </x:c>
      <x:c r="O1458" s="87" t="str">
        <x:v>thumbnails/VIS-MATH-MAY-PROF-CRIT-P006.jpg</x:v>
      </x:c>
      <x:c r="P1458" s="87" t="str">
        <x:v>24ea0a5969c5f362c0f1869a9e4143306f8903d4b03b2a68826102dc39f54f96</x:v>
      </x:c>
      <x:c r="Q1458" s="30" t="str">
        <x:v>incoming/raw/recovery-drop-01/mathematics_may_visual_assets_v090.zip!/pages/VIS-MATH-MAY-PROF-CRIT-P006.png</x:v>
      </x:c>
      <x:c r="R1458" s="30" t="str">
        <x:v>MATCHED_ASSET</x:v>
      </x:c>
      <x:c r="S1458" t="e">
        <x:f>HYPERLINK("visual_gallery/index.html#"&amp;A1458,"Галерея")</x:f>
      </x:c>
    </x:row>
    <x:row r="1459">
      <x:c r="A1459" s="87" t="str">
        <x:v>VIS-MATH-MAY-PROF-CRIT-P007</x:v>
      </x:c>
      <x:c r="B1459" s="30" t="str">
        <x:v>Математика</x:v>
      </x:c>
      <x:c r="C1459" s="30"/>
      <x:c r="D1459" s="30" t="str">
        <x:v>МА2500309</x:v>
      </x:c>
      <x:c r="E1459" s="87" t="str">
        <x:v>CRIT</x:v>
      </x:c>
      <x:c r="F1459" s="30" t="str">
        <x:v>Kriterii_MA10-11_12052026.pdf</x:v>
      </x:c>
      <x:c r="G1459" s="87" t="str">
        <x:v>7</x:v>
      </x:c>
      <x:c r="H1459" s="87" t="str">
        <x:v>v0.90</x:v>
      </x:c>
      <x:c r="I1459" s="87" t="str">
        <x:v>4</x:v>
      </x:c>
      <x:c r="J1459" s="30" t="str">
        <x:v>VIS_ID ключа/критерия, VIS_KEY</x:v>
      </x:c>
      <x:c r="K1459" s="30" t="str">
        <x:v>MAY-MATH-09-018, MAY-MATH-09-019</x:v>
      </x:c>
      <x:c r="L1459" s="87" t="str">
        <x:v>CROP_VERIFIED</x:v>
      </x:c>
      <x:c r="M1459" s="87" t="str">
        <x:v>ORIGINAL_PACKAGE</x:v>
      </x:c>
      <x:c r="N1459" s="87" t="str">
        <x:v>pages/VIS-MATH-MAY-PROF-CRIT-P007.png</x:v>
      </x:c>
      <x:c r="O1459" s="87" t="str">
        <x:v>thumbnails/VIS-MATH-MAY-PROF-CRIT-P007.jpg</x:v>
      </x:c>
      <x:c r="P1459" s="87" t="str">
        <x:v>4b06c59e95239eeaa3d49bcb5a38ff554a1d99c60a7441d477a84cfdee2a78a4</x:v>
      </x:c>
      <x:c r="Q1459" s="30" t="str">
        <x:v>incoming/raw/recovery-drop-01/mathematics_may_visual_assets_v090.zip!/pages/VIS-MATH-MAY-PROF-CRIT-P007.png</x:v>
      </x:c>
      <x:c r="R1459" s="30" t="str">
        <x:v>MATCHED_ASSET</x:v>
      </x:c>
      <x:c r="S1459" t="e">
        <x:f>HYPERLINK("visual_gallery/index.html#"&amp;A1459,"Галерея")</x:f>
      </x:c>
    </x:row>
    <x:row r="1460">
      <x:c r="A1460" s="87" t="str">
        <x:v>VIS-MATH-MAY-PROF-CRIT-P008</x:v>
      </x:c>
      <x:c r="B1460" s="30" t="str">
        <x:v>Математика</x:v>
      </x:c>
      <x:c r="C1460" s="30"/>
      <x:c r="D1460" s="30" t="str">
        <x:v>МА2500309</x:v>
      </x:c>
      <x:c r="E1460" s="87" t="str">
        <x:v>CRIT</x:v>
      </x:c>
      <x:c r="F1460" s="30" t="str">
        <x:v>Kriterii_MA10-11_12052026.pdf</x:v>
      </x:c>
      <x:c r="G1460" s="87" t="str">
        <x:v>8</x:v>
      </x:c>
      <x:c r="H1460" s="87" t="str">
        <x:v>v0.90</x:v>
      </x:c>
      <x:c r="I1460" s="87" t="str">
        <x:v>2</x:v>
      </x:c>
      <x:c r="J1460" s="30" t="str">
        <x:v>VIS_ID ключа/критерия, VIS_KEY</x:v>
      </x:c>
      <x:c r="K1460" s="30" t="str">
        <x:v>MAY-MATH-09-019</x:v>
      </x:c>
      <x:c r="L1460" s="87" t="str">
        <x:v>CROP_VERIFIED</x:v>
      </x:c>
      <x:c r="M1460" s="87" t="str">
        <x:v>ORIGINAL_PACKAGE</x:v>
      </x:c>
      <x:c r="N1460" s="87" t="str">
        <x:v>pages/VIS-MATH-MAY-PROF-CRIT-P008.png</x:v>
      </x:c>
      <x:c r="O1460" s="87" t="str">
        <x:v>thumbnails/VIS-MATH-MAY-PROF-CRIT-P008.jpg</x:v>
      </x:c>
      <x:c r="P1460" s="87" t="str">
        <x:v>cec56be6eeb36b0b4d4b2d354574ca15e894d25f934e53819efeac4eb5f75c52</x:v>
      </x:c>
      <x:c r="Q1460" s="30" t="str">
        <x:v>incoming/raw/recovery-drop-01/mathematics_may_visual_assets_v090.zip!/pages/VIS-MATH-MAY-PROF-CRIT-P008.png</x:v>
      </x:c>
      <x:c r="R1460" s="30" t="str">
        <x:v>MATCHED_ASSET</x:v>
      </x:c>
      <x:c r="S1460" t="e">
        <x:f>HYPERLINK("visual_gallery/index.html#"&amp;A1460,"Галерея")</x:f>
      </x:c>
    </x:row>
    <x:row r="1461">
      <x:c r="A1461" s="87" t="str">
        <x:v>VIS-MATH-MAY-PROF-CRIT-P009</x:v>
      </x:c>
      <x:c r="B1461" s="30" t="str">
        <x:v>Математика</x:v>
      </x:c>
      <x:c r="C1461" s="30"/>
      <x:c r="D1461" s="30" t="str">
        <x:v>МА2500310</x:v>
      </x:c>
      <x:c r="E1461" s="87" t="str">
        <x:v>CRIT</x:v>
      </x:c>
      <x:c r="F1461" s="30" t="str">
        <x:v>Kriterii_MA10-11_12052026.pdf</x:v>
      </x:c>
      <x:c r="G1461" s="87" t="str">
        <x:v>9</x:v>
      </x:c>
      <x:c r="H1461" s="87" t="str">
        <x:v>v0.90</x:v>
      </x:c>
      <x:c r="I1461" s="87" t="str">
        <x:v>2</x:v>
      </x:c>
      <x:c r="J1461" s="30" t="str">
        <x:v>VIS_ID ключа/критерия, VIS_KEY</x:v>
      </x:c>
      <x:c r="K1461" s="30" t="str">
        <x:v>MAY-MATH-10-013</x:v>
      </x:c>
      <x:c r="L1461" s="87" t="str">
        <x:v>CROP_VERIFIED</x:v>
      </x:c>
      <x:c r="M1461" s="87" t="str">
        <x:v>ORIGINAL_PACKAGE</x:v>
      </x:c>
      <x:c r="N1461" s="87" t="str">
        <x:v>pages/VIS-MATH-MAY-PROF-CRIT-P009.png</x:v>
      </x:c>
      <x:c r="O1461" s="87" t="str">
        <x:v>thumbnails/VIS-MATH-MAY-PROF-CRIT-P009.jpg</x:v>
      </x:c>
      <x:c r="P1461" s="87" t="str">
        <x:v>4d1b726c06e7c5d034756d9ed40f5cc2022b14077d2ca738952283b8dda719a0</x:v>
      </x:c>
      <x:c r="Q1461" s="30" t="str">
        <x:v>incoming/raw/recovery-drop-01/mathematics_may_visual_assets_v090.zip!/pages/VIS-MATH-MAY-PROF-CRIT-P009.png</x:v>
      </x:c>
      <x:c r="R1461" s="30" t="str">
        <x:v>MATCHED_ASSET</x:v>
      </x:c>
      <x:c r="S1461" t="e">
        <x:f>HYPERLINK("visual_gallery/index.html#"&amp;A1461,"Галерея")</x:f>
      </x:c>
    </x:row>
    <x:row r="1462">
      <x:c r="A1462" s="87" t="str">
        <x:v>VIS-MATH-MAY-PROF-CRIT-P010</x:v>
      </x:c>
      <x:c r="B1462" s="30" t="str">
        <x:v>Математика</x:v>
      </x:c>
      <x:c r="C1462" s="30"/>
      <x:c r="D1462" s="30" t="str">
        <x:v>МА2500310</x:v>
      </x:c>
      <x:c r="E1462" s="87" t="str">
        <x:v>CRIT</x:v>
      </x:c>
      <x:c r="F1462" s="30" t="str">
        <x:v>Kriterii_MA10-11_12052026.pdf</x:v>
      </x:c>
      <x:c r="G1462" s="87" t="str">
        <x:v>10</x:v>
      </x:c>
      <x:c r="H1462" s="87" t="str">
        <x:v>v0.90</x:v>
      </x:c>
      <x:c r="I1462" s="87" t="str">
        <x:v>4</x:v>
      </x:c>
      <x:c r="J1462" s="30" t="str">
        <x:v>VIS_ID ключа/критерия, VIS_KEY</x:v>
      </x:c>
      <x:c r="K1462" s="30" t="str">
        <x:v>MAY-MATH-10-013, MAY-MATH-10-014</x:v>
      </x:c>
      <x:c r="L1462" s="87" t="str">
        <x:v>CROP_VERIFIED</x:v>
      </x:c>
      <x:c r="M1462" s="87" t="str">
        <x:v>ORIGINAL_PACKAGE</x:v>
      </x:c>
      <x:c r="N1462" s="87" t="str">
        <x:v>pages/VIS-MATH-MAY-PROF-CRIT-P010.png</x:v>
      </x:c>
      <x:c r="O1462" s="87" t="str">
        <x:v>thumbnails/VIS-MATH-MAY-PROF-CRIT-P010.jpg</x:v>
      </x:c>
      <x:c r="P1462" s="87" t="str">
        <x:v>390b4cc285e837dd099908f023c80e8e83c86471ad204126309f389fb9a9b0b9</x:v>
      </x:c>
      <x:c r="Q1462" s="30" t="str">
        <x:v>incoming/raw/recovery-drop-01/mathematics_may_visual_assets_v090.zip!/pages/VIS-MATH-MAY-PROF-CRIT-P010.png</x:v>
      </x:c>
      <x:c r="R1462" s="30" t="str">
        <x:v>MATCHED_ASSET</x:v>
      </x:c>
      <x:c r="S1462" t="e">
        <x:f>HYPERLINK("visual_gallery/index.html#"&amp;A1462,"Галерея")</x:f>
      </x:c>
    </x:row>
    <x:row r="1463">
      <x:c r="A1463" s="87" t="str">
        <x:v>VIS-MATH-MAY-PROF-CRIT-P011</x:v>
      </x:c>
      <x:c r="B1463" s="30" t="str">
        <x:v>Математика</x:v>
      </x:c>
      <x:c r="C1463" s="30"/>
      <x:c r="D1463" s="30" t="str">
        <x:v>МА2500310</x:v>
      </x:c>
      <x:c r="E1463" s="87" t="str">
        <x:v>CRIT</x:v>
      </x:c>
      <x:c r="F1463" s="30" t="str">
        <x:v>Kriterii_MA10-11_12052026.pdf</x:v>
      </x:c>
      <x:c r="G1463" s="87" t="str">
        <x:v>11</x:v>
      </x:c>
      <x:c r="H1463" s="87" t="str">
        <x:v>v0.90</x:v>
      </x:c>
      <x:c r="I1463" s="87" t="str">
        <x:v>4</x:v>
      </x:c>
      <x:c r="J1463" s="30" t="str">
        <x:v>VIS_ID ключа/критерия, VIS_KEY</x:v>
      </x:c>
      <x:c r="K1463" s="30" t="str">
        <x:v>MAY-MATH-10-014, MAY-MATH-10-015</x:v>
      </x:c>
      <x:c r="L1463" s="87" t="str">
        <x:v>CROP_VERIFIED</x:v>
      </x:c>
      <x:c r="M1463" s="87" t="str">
        <x:v>ORIGINAL_PACKAGE</x:v>
      </x:c>
      <x:c r="N1463" s="87" t="str">
        <x:v>pages/VIS-MATH-MAY-PROF-CRIT-P011.png</x:v>
      </x:c>
      <x:c r="O1463" s="87" t="str">
        <x:v>thumbnails/VIS-MATH-MAY-PROF-CRIT-P011.jpg</x:v>
      </x:c>
      <x:c r="P1463" s="87" t="str">
        <x:v>818250a364f7bb42fd55f312da3275c2f3bc05c6dac36c2421651ff62360d6d3</x:v>
      </x:c>
      <x:c r="Q1463" s="30" t="str">
        <x:v>incoming/raw/recovery-drop-01/mathematics_may_visual_assets_v090.zip!/pages/VIS-MATH-MAY-PROF-CRIT-P011.png</x:v>
      </x:c>
      <x:c r="R1463" s="30" t="str">
        <x:v>MATCHED_ASSET</x:v>
      </x:c>
      <x:c r="S1463" t="e">
        <x:f>HYPERLINK("visual_gallery/index.html#"&amp;A1463,"Галерея")</x:f>
      </x:c>
    </x:row>
    <x:row r="1464">
      <x:c r="A1464" s="87" t="str">
        <x:v>VIS-MATH-MAY-PROF-CRIT-P012</x:v>
      </x:c>
      <x:c r="B1464" s="30" t="str">
        <x:v>Математика</x:v>
      </x:c>
      <x:c r="C1464" s="30"/>
      <x:c r="D1464" s="30" t="str">
        <x:v>МА2500310</x:v>
      </x:c>
      <x:c r="E1464" s="87" t="str">
        <x:v>CRIT</x:v>
      </x:c>
      <x:c r="F1464" s="30" t="str">
        <x:v>Kriterii_MA10-11_12052026.pdf</x:v>
      </x:c>
      <x:c r="G1464" s="87" t="str">
        <x:v>12</x:v>
      </x:c>
      <x:c r="H1464" s="87" t="str">
        <x:v>v0.90</x:v>
      </x:c>
      <x:c r="I1464" s="87" t="str">
        <x:v>4</x:v>
      </x:c>
      <x:c r="J1464" s="30" t="str">
        <x:v>VIS_ID ключа/критерия, VIS_KEY</x:v>
      </x:c>
      <x:c r="K1464" s="30" t="str">
        <x:v>MAY-MATH-10-015, MAY-MATH-10-016</x:v>
      </x:c>
      <x:c r="L1464" s="87" t="str">
        <x:v>CROP_VERIFIED</x:v>
      </x:c>
      <x:c r="M1464" s="87" t="str">
        <x:v>ORIGINAL_PACKAGE</x:v>
      </x:c>
      <x:c r="N1464" s="87" t="str">
        <x:v>pages/VIS-MATH-MAY-PROF-CRIT-P012.png</x:v>
      </x:c>
      <x:c r="O1464" s="87" t="str">
        <x:v>thumbnails/VIS-MATH-MAY-PROF-CRIT-P012.jpg</x:v>
      </x:c>
      <x:c r="P1464" s="87" t="str">
        <x:v>e0535e664c9a14237840b1c91c22319efa28538d7fa3a346465635d4c0c884b1</x:v>
      </x:c>
      <x:c r="Q1464" s="30" t="str">
        <x:v>incoming/raw/recovery-drop-01/mathematics_may_visual_assets_v090.zip!/pages/VIS-MATH-MAY-PROF-CRIT-P012.png</x:v>
      </x:c>
      <x:c r="R1464" s="30" t="str">
        <x:v>MATCHED_ASSET</x:v>
      </x:c>
      <x:c r="S1464" t="e">
        <x:f>HYPERLINK("visual_gallery/index.html#"&amp;A1464,"Галерея")</x:f>
      </x:c>
    </x:row>
    <x:row r="1465">
      <x:c r="A1465" s="87" t="str">
        <x:v>VIS-MATH-MAY-PROF-CRIT-P013</x:v>
      </x:c>
      <x:c r="B1465" s="30" t="str">
        <x:v>Математика</x:v>
      </x:c>
      <x:c r="C1465" s="30"/>
      <x:c r="D1465" s="30" t="str">
        <x:v>МА2500310</x:v>
      </x:c>
      <x:c r="E1465" s="87" t="str">
        <x:v>CRIT</x:v>
      </x:c>
      <x:c r="F1465" s="30" t="str">
        <x:v>Kriterii_MA10-11_12052026.pdf</x:v>
      </x:c>
      <x:c r="G1465" s="87" t="str">
        <x:v>13</x:v>
      </x:c>
      <x:c r="H1465" s="87" t="str">
        <x:v>v0.90</x:v>
      </x:c>
      <x:c r="I1465" s="87" t="str">
        <x:v>4</x:v>
      </x:c>
      <x:c r="J1465" s="30" t="str">
        <x:v>VIS_ID ключа/критерия, VIS_KEY</x:v>
      </x:c>
      <x:c r="K1465" s="30" t="str">
        <x:v>MAY-MATH-10-016, MAY-MATH-10-017</x:v>
      </x:c>
      <x:c r="L1465" s="87" t="str">
        <x:v>CROP_VERIFIED</x:v>
      </x:c>
      <x:c r="M1465" s="87" t="str">
        <x:v>ORIGINAL_PACKAGE</x:v>
      </x:c>
      <x:c r="N1465" s="87" t="str">
        <x:v>pages/VIS-MATH-MAY-PROF-CRIT-P013.png</x:v>
      </x:c>
      <x:c r="O1465" s="87" t="str">
        <x:v>thumbnails/VIS-MATH-MAY-PROF-CRIT-P013.jpg</x:v>
      </x:c>
      <x:c r="P1465" s="87" t="str">
        <x:v>2de5155941c522ffc284fe9520f04aba8e2f2f9e4c40ad63e040f299fc65faec</x:v>
      </x:c>
      <x:c r="Q1465" s="30" t="str">
        <x:v>incoming/raw/recovery-drop-01/mathematics_may_visual_assets_v090.zip!/pages/VIS-MATH-MAY-PROF-CRIT-P013.png</x:v>
      </x:c>
      <x:c r="R1465" s="30" t="str">
        <x:v>MATCHED_ASSET</x:v>
      </x:c>
      <x:c r="S1465" t="e">
        <x:f>HYPERLINK("visual_gallery/index.html#"&amp;A1465,"Галерея")</x:f>
      </x:c>
    </x:row>
    <x:row r="1466">
      <x:c r="A1466" s="87" t="str">
        <x:v>VIS-MATH-MAY-PROF-CRIT-P014</x:v>
      </x:c>
      <x:c r="B1466" s="30" t="str">
        <x:v>Математика</x:v>
      </x:c>
      <x:c r="C1466" s="30"/>
      <x:c r="D1466" s="30" t="str">
        <x:v>МА2500310</x:v>
      </x:c>
      <x:c r="E1466" s="87" t="str">
        <x:v>CRIT</x:v>
      </x:c>
      <x:c r="F1466" s="30" t="str">
        <x:v>Kriterii_MA10-11_12052026.pdf</x:v>
      </x:c>
      <x:c r="G1466" s="87" t="str">
        <x:v>14</x:v>
      </x:c>
      <x:c r="H1466" s="87" t="str">
        <x:v>v0.90</x:v>
      </x:c>
      <x:c r="I1466" s="87" t="str">
        <x:v>4</x:v>
      </x:c>
      <x:c r="J1466" s="30" t="str">
        <x:v>VIS_ID ключа/критерия, VIS_KEY</x:v>
      </x:c>
      <x:c r="K1466" s="30" t="str">
        <x:v>MAY-MATH-10-017, MAY-MATH-10-018</x:v>
      </x:c>
      <x:c r="L1466" s="87" t="str">
        <x:v>CROP_VERIFIED</x:v>
      </x:c>
      <x:c r="M1466" s="87" t="str">
        <x:v>ORIGINAL_PACKAGE</x:v>
      </x:c>
      <x:c r="N1466" s="87" t="str">
        <x:v>pages/VIS-MATH-MAY-PROF-CRIT-P014.png</x:v>
      </x:c>
      <x:c r="O1466" s="87" t="str">
        <x:v>thumbnails/VIS-MATH-MAY-PROF-CRIT-P014.jpg</x:v>
      </x:c>
      <x:c r="P1466" s="87" t="str">
        <x:v>17954a496d37e7adb4aa45b9118adb1590dea39b9f1c9963540fc9b215a11163</x:v>
      </x:c>
      <x:c r="Q1466" s="30" t="str">
        <x:v>incoming/raw/recovery-drop-01/mathematics_may_visual_assets_v090.zip!/pages/VIS-MATH-MAY-PROF-CRIT-P014.png</x:v>
      </x:c>
      <x:c r="R1466" s="30" t="str">
        <x:v>MATCHED_ASSET</x:v>
      </x:c>
      <x:c r="S1466" t="e">
        <x:f>HYPERLINK("visual_gallery/index.html#"&amp;A1466,"Галерея")</x:f>
      </x:c>
    </x:row>
    <x:row r="1467">
      <x:c r="A1467" s="87" t="str">
        <x:v>VIS-MATH-MAY-PROF-CRIT-P015</x:v>
      </x:c>
      <x:c r="B1467" s="30" t="str">
        <x:v>Математика</x:v>
      </x:c>
      <x:c r="C1467" s="30"/>
      <x:c r="D1467" s="30" t="str">
        <x:v>МА2500310</x:v>
      </x:c>
      <x:c r="E1467" s="87" t="str">
        <x:v>CRIT</x:v>
      </x:c>
      <x:c r="F1467" s="30" t="str">
        <x:v>Kriterii_MA10-11_12052026.pdf</x:v>
      </x:c>
      <x:c r="G1467" s="87" t="str">
        <x:v>15</x:v>
      </x:c>
      <x:c r="H1467" s="87" t="str">
        <x:v>v0.90</x:v>
      </x:c>
      <x:c r="I1467" s="87" t="str">
        <x:v>2</x:v>
      </x:c>
      <x:c r="J1467" s="30" t="str">
        <x:v>VIS_ID ключа/критерия, VIS_KEY</x:v>
      </x:c>
      <x:c r="K1467" s="30" t="str">
        <x:v>MAY-MATH-10-018</x:v>
      </x:c>
      <x:c r="L1467" s="87" t="str">
        <x:v>CROP_VERIFIED</x:v>
      </x:c>
      <x:c r="M1467" s="87" t="str">
        <x:v>ORIGINAL_PACKAGE</x:v>
      </x:c>
      <x:c r="N1467" s="87" t="str">
        <x:v>pages/VIS-MATH-MAY-PROF-CRIT-P015.png</x:v>
      </x:c>
      <x:c r="O1467" s="87" t="str">
        <x:v>thumbnails/VIS-MATH-MAY-PROF-CRIT-P015.jpg</x:v>
      </x:c>
      <x:c r="P1467" s="87" t="str">
        <x:v>ab201a64169557a201f65e4aea1a4a6a1b60c6c2c738e2edbfc55cd07b22b644</x:v>
      </x:c>
      <x:c r="Q1467" s="30" t="str">
        <x:v>incoming/raw/recovery-drop-01/mathematics_may_visual_assets_v090.zip!/pages/VIS-MATH-MAY-PROF-CRIT-P015.png</x:v>
      </x:c>
      <x:c r="R1467" s="30" t="str">
        <x:v>MATCHED_ASSET</x:v>
      </x:c>
      <x:c r="S1467" t="e">
        <x:f>HYPERLINK("visual_gallery/index.html#"&amp;A1467,"Галерея")</x:f>
      </x:c>
    </x:row>
    <x:row r="1468">
      <x:c r="A1468" s="87" t="str">
        <x:v>VIS-MATH-MAY-PROF-CRIT-P016</x:v>
      </x:c>
      <x:c r="B1468" s="30" t="str">
        <x:v>Математика</x:v>
      </x:c>
      <x:c r="C1468" s="30"/>
      <x:c r="D1468" s="30" t="str">
        <x:v>МА2500310</x:v>
      </x:c>
      <x:c r="E1468" s="87" t="str">
        <x:v>CRIT</x:v>
      </x:c>
      <x:c r="F1468" s="30" t="str">
        <x:v>Kriterii_MA10-11_12052026.pdf</x:v>
      </x:c>
      <x:c r="G1468" s="87" t="str">
        <x:v>16</x:v>
      </x:c>
      <x:c r="H1468" s="87" t="str">
        <x:v>v0.90</x:v>
      </x:c>
      <x:c r="I1468" s="87" t="str">
        <x:v>4</x:v>
      </x:c>
      <x:c r="J1468" s="30" t="str">
        <x:v>VIS_ID ключа/критерия, VIS_KEY</x:v>
      </x:c>
      <x:c r="K1468" s="30" t="str">
        <x:v>MAY-MATH-10-018, MAY-MATH-10-019</x:v>
      </x:c>
      <x:c r="L1468" s="87" t="str">
        <x:v>CROP_VERIFIED</x:v>
      </x:c>
      <x:c r="M1468" s="87" t="str">
        <x:v>ORIGINAL_PACKAGE</x:v>
      </x:c>
      <x:c r="N1468" s="87" t="str">
        <x:v>pages/VIS-MATH-MAY-PROF-CRIT-P016.png</x:v>
      </x:c>
      <x:c r="O1468" s="87" t="str">
        <x:v>thumbnails/VIS-MATH-MAY-PROF-CRIT-P016.jpg</x:v>
      </x:c>
      <x:c r="P1468" s="87" t="str">
        <x:v>d6ffde5b6cf5bdba7700fe631698cc790725339a466ba0d32af52e501cfbd342</x:v>
      </x:c>
      <x:c r="Q1468" s="30" t="str">
        <x:v>incoming/raw/recovery-drop-01/mathematics_may_visual_assets_v090.zip!/pages/VIS-MATH-MAY-PROF-CRIT-P016.png</x:v>
      </x:c>
      <x:c r="R1468" s="30" t="str">
        <x:v>MATCHED_ASSET</x:v>
      </x:c>
      <x:c r="S1468" t="e">
        <x:f>HYPERLINK("visual_gallery/index.html#"&amp;A1468,"Галерея")</x:f>
      </x:c>
    </x:row>
    <x:row r="1469">
      <x:c r="A1469" s="87" t="str">
        <x:v>VIS-MATH-MAY-PROF-TASK-P001</x:v>
      </x:c>
      <x:c r="B1469" s="30" t="str"/>
      <x:c r="C1469" s="30"/>
      <x:c r="D1469" s="30" t="str"/>
      <x:c r="E1469" s="87" t="str">
        <x:v>TASK</x:v>
      </x:c>
      <x:c r="F1469" s="30" t="str">
        <x:v>Zadanie_MA10-11_12052026_profil_.pdf</x:v>
      </x:c>
      <x:c r="G1469" s="87" t="str">
        <x:v>1</x:v>
      </x:c>
      <x:c r="H1469" s="87" t="str">
        <x:v>v0.90</x:v>
      </x:c>
      <x:c r="I1469" s="87" t="str">
        <x:v>0</x:v>
      </x:c>
      <x:c r="J1469" s="30" t="str"/>
      <x:c r="K1469" s="30" t="str"/>
      <x:c r="L1469" s="87" t="str">
        <x:v>CROP_VERIFIED</x:v>
      </x:c>
      <x:c r="M1469" s="87" t="str">
        <x:v>ORIGINAL_PACKAGE</x:v>
      </x:c>
      <x:c r="N1469" s="87" t="str">
        <x:v>pages/VIS-MATH-MAY-PROF-TASK-P001.png</x:v>
      </x:c>
      <x:c r="O1469" s="87" t="str">
        <x:v>thumbnails/VIS-MATH-MAY-PROF-TASK-P001.jpg</x:v>
      </x:c>
      <x:c r="P1469" s="87" t="str">
        <x:v>9a63309e63fa000a7b613fe47602d934a23f9ab4724f16c797d85261f49791e6</x:v>
      </x:c>
      <x:c r="Q1469" s="30" t="str">
        <x:v>incoming/raw/recovery-drop-01/mathematics_may_visual_assets_v090.zip!/pages/VIS-MATH-MAY-PROF-TASK-P001.png</x:v>
      </x:c>
      <x:c r="R1469" s="30" t="str">
        <x:v>RESOLVED_UNLINKED_REGISTRY_VISUAL</x:v>
      </x:c>
      <x:c r="S1469" t="e">
        <x:f>HYPERLINK("visual_gallery/index.html#"&amp;A1469,"Галерея")</x:f>
      </x:c>
    </x:row>
    <x:row r="1470">
      <x:c r="A1470" s="87" t="str">
        <x:v>VIS-MATH-MAY-PROF-TASK-P002</x:v>
      </x:c>
      <x:c r="B1470" s="30" t="str">
        <x:v>Математика</x:v>
      </x:c>
      <x:c r="C1470" s="30"/>
      <x:c r="D1470" s="30" t="str">
        <x:v>МА2500309</x:v>
      </x:c>
      <x:c r="E1470" s="87" t="str">
        <x:v>TASK</x:v>
      </x:c>
      <x:c r="F1470" s="30" t="str">
        <x:v>Zadanie_MA10-11_12052026_profil_.pdf</x:v>
      </x:c>
      <x:c r="G1470" s="87" t="str">
        <x:v>2</x:v>
      </x:c>
      <x:c r="H1470" s="87" t="str">
        <x:v>v0.90</x:v>
      </x:c>
      <x:c r="I1470" s="87" t="str">
        <x:v>8</x:v>
      </x:c>
      <x:c r="J1470" s="30" t="str">
        <x:v>VIS_ID, VIS_ID задания</x:v>
      </x:c>
      <x:c r="K1470" s="30" t="str">
        <x:v>MAY-MATH-09-001, MAY-MATH-09-002, MAY-MATH-09-003, MAY-MATH-09-004</x:v>
      </x:c>
      <x:c r="L1470" s="87" t="str">
        <x:v>CROP_VERIFIED</x:v>
      </x:c>
      <x:c r="M1470" s="87" t="str">
        <x:v>ORIGINAL_PACKAGE</x:v>
      </x:c>
      <x:c r="N1470" s="87" t="str">
        <x:v>pages/VIS-MATH-MAY-PROF-TASK-P002.png</x:v>
      </x:c>
      <x:c r="O1470" s="87" t="str">
        <x:v>thumbnails/VIS-MATH-MAY-PROF-TASK-P002.jpg</x:v>
      </x:c>
      <x:c r="P1470" s="87" t="str">
        <x:v>59d8bea6536ac839e49eaf4817efdb05bb0ee17cbf62b19969685a00e8a6ed43</x:v>
      </x:c>
      <x:c r="Q1470" s="30" t="str">
        <x:v>incoming/raw/recovery-drop-01/mathematics_may_visual_assets_v090.zip!/pages/VIS-MATH-MAY-PROF-TASK-P002.png</x:v>
      </x:c>
      <x:c r="R1470" s="30" t="str">
        <x:v>MATCHED_ASSET</x:v>
      </x:c>
      <x:c r="S1470" t="e">
        <x:f>HYPERLINK("visual_gallery/index.html#"&amp;A1470,"Галерея")</x:f>
      </x:c>
    </x:row>
    <x:row r="1471">
      <x:c r="A1471" s="87" t="str">
        <x:v>VIS-MATH-MAY-PROF-TASK-P003</x:v>
      </x:c>
      <x:c r="B1471" s="30" t="str">
        <x:v>Математика</x:v>
      </x:c>
      <x:c r="C1471" s="30"/>
      <x:c r="D1471" s="30" t="str">
        <x:v>МА2500309</x:v>
      </x:c>
      <x:c r="E1471" s="87" t="str">
        <x:v>TASK</x:v>
      </x:c>
      <x:c r="F1471" s="30" t="str">
        <x:v>Zadanie_MA10-11_12052026_profil_.pdf</x:v>
      </x:c>
      <x:c r="G1471" s="87" t="str">
        <x:v>3</x:v>
      </x:c>
      <x:c r="H1471" s="87" t="str">
        <x:v>v0.90</x:v>
      </x:c>
      <x:c r="I1471" s="87" t="str">
        <x:v>8</x:v>
      </x:c>
      <x:c r="J1471" s="30" t="str">
        <x:v>VIS_ID, VIS_ID задания</x:v>
      </x:c>
      <x:c r="K1471" s="30" t="str">
        <x:v>MAY-MATH-09-005, MAY-MATH-09-006, MAY-MATH-09-007, MAY-MATH-09-008</x:v>
      </x:c>
      <x:c r="L1471" s="87" t="str">
        <x:v>CROP_VERIFIED</x:v>
      </x:c>
      <x:c r="M1471" s="87" t="str">
        <x:v>ORIGINAL_PACKAGE</x:v>
      </x:c>
      <x:c r="N1471" s="87" t="str">
        <x:v>pages/VIS-MATH-MAY-PROF-TASK-P003.png</x:v>
      </x:c>
      <x:c r="O1471" s="87" t="str">
        <x:v>thumbnails/VIS-MATH-MAY-PROF-TASK-P003.jpg</x:v>
      </x:c>
      <x:c r="P1471" s="87" t="str">
        <x:v>c80e9b79babe2d1657c665b31c484a5a9df59215fb4a2c4f2d48f02f0eb12bbe</x:v>
      </x:c>
      <x:c r="Q1471" s="30" t="str">
        <x:v>incoming/raw/recovery-drop-01/mathematics_may_visual_assets_v090.zip!/pages/VIS-MATH-MAY-PROF-TASK-P003.png</x:v>
      </x:c>
      <x:c r="R1471" s="30" t="str">
        <x:v>MATCHED_ASSET</x:v>
      </x:c>
      <x:c r="S1471" t="e">
        <x:f>HYPERLINK("visual_gallery/index.html#"&amp;A1471,"Галерея")</x:f>
      </x:c>
    </x:row>
    <x:row r="1472">
      <x:c r="A1472" s="87" t="str">
        <x:v>VIS-MATH-MAY-PROF-TASK-P004</x:v>
      </x:c>
      <x:c r="B1472" s="30" t="str">
        <x:v>Математика</x:v>
      </x:c>
      <x:c r="C1472" s="30"/>
      <x:c r="D1472" s="30" t="str">
        <x:v>МА2500309</x:v>
      </x:c>
      <x:c r="E1472" s="87" t="str">
        <x:v>TASK</x:v>
      </x:c>
      <x:c r="F1472" s="30" t="str">
        <x:v>Zadanie_MA10-11_12052026_profil_.pdf</x:v>
      </x:c>
      <x:c r="G1472" s="87" t="str">
        <x:v>4</x:v>
      </x:c>
      <x:c r="H1472" s="87" t="str">
        <x:v>v0.90</x:v>
      </x:c>
      <x:c r="I1472" s="87" t="str">
        <x:v>8</x:v>
      </x:c>
      <x:c r="J1472" s="30" t="str">
        <x:v>VIS_ID, VIS_ID задания</x:v>
      </x:c>
      <x:c r="K1472" s="30" t="str">
        <x:v>MAY-MATH-09-009, MAY-MATH-09-010, MAY-MATH-09-011, MAY-MATH-09-012</x:v>
      </x:c>
      <x:c r="L1472" s="87" t="str">
        <x:v>CROP_VERIFIED</x:v>
      </x:c>
      <x:c r="M1472" s="87" t="str">
        <x:v>ORIGINAL_PACKAGE</x:v>
      </x:c>
      <x:c r="N1472" s="87" t="str">
        <x:v>pages/VIS-MATH-MAY-PROF-TASK-P004.png</x:v>
      </x:c>
      <x:c r="O1472" s="87" t="str">
        <x:v>thumbnails/VIS-MATH-MAY-PROF-TASK-P004.jpg</x:v>
      </x:c>
      <x:c r="P1472" s="87" t="str">
        <x:v>50c254540bd4230d20090abc50ed567f0e4dc6dece28e83a83f8678eee3f2bdc</x:v>
      </x:c>
      <x:c r="Q1472" s="30" t="str">
        <x:v>incoming/raw/recovery-drop-01/mathematics_may_visual_assets_v090.zip!/pages/VIS-MATH-MAY-PROF-TASK-P004.png</x:v>
      </x:c>
      <x:c r="R1472" s="30" t="str">
        <x:v>MATCHED_ASSET</x:v>
      </x:c>
      <x:c r="S1472" t="e">
        <x:f>HYPERLINK("visual_gallery/index.html#"&amp;A1472,"Галерея")</x:f>
      </x:c>
    </x:row>
    <x:row r="1473">
      <x:c r="A1473" s="87" t="str">
        <x:v>VIS-MATH-MAY-PROF-TASK-P005</x:v>
      </x:c>
      <x:c r="B1473" s="30" t="str">
        <x:v>Математика</x:v>
      </x:c>
      <x:c r="C1473" s="30"/>
      <x:c r="D1473" s="30" t="str">
        <x:v>МА2500309</x:v>
      </x:c>
      <x:c r="E1473" s="87" t="str">
        <x:v>TASK</x:v>
      </x:c>
      <x:c r="F1473" s="30" t="str">
        <x:v>Zadanie_MA10-11_12052026_profil_.pdf</x:v>
      </x:c>
      <x:c r="G1473" s="87" t="str">
        <x:v>5</x:v>
      </x:c>
      <x:c r="H1473" s="87" t="str">
        <x:v>v0.90</x:v>
      </x:c>
      <x:c r="I1473" s="87" t="str">
        <x:v>8</x:v>
      </x:c>
      <x:c r="J1473" s="30" t="str">
        <x:v>VIS_ID, VIS_ID задания</x:v>
      </x:c>
      <x:c r="K1473" s="30" t="str">
        <x:v>MAY-MATH-09-013, MAY-MATH-09-014, MAY-MATH-09-015, MAY-MATH-09-016</x:v>
      </x:c>
      <x:c r="L1473" s="87" t="str">
        <x:v>CROP_VERIFIED</x:v>
      </x:c>
      <x:c r="M1473" s="87" t="str">
        <x:v>ORIGINAL_PACKAGE</x:v>
      </x:c>
      <x:c r="N1473" s="87" t="str">
        <x:v>pages/VIS-MATH-MAY-PROF-TASK-P005.png</x:v>
      </x:c>
      <x:c r="O1473" s="87" t="str">
        <x:v>thumbnails/VIS-MATH-MAY-PROF-TASK-P005.jpg</x:v>
      </x:c>
      <x:c r="P1473" s="87" t="str">
        <x:v>5348b9c4f4b0a39384fe638f815e5885c4e847648804c852ea20d06ec66e7c34</x:v>
      </x:c>
      <x:c r="Q1473" s="30" t="str">
        <x:v>incoming/raw/recovery-drop-01/mathematics_may_visual_assets_v090.zip!/pages/VIS-MATH-MAY-PROF-TASK-P005.png</x:v>
      </x:c>
      <x:c r="R1473" s="30" t="str">
        <x:v>MATCHED_ASSET</x:v>
      </x:c>
      <x:c r="S1473" t="e">
        <x:f>HYPERLINK("visual_gallery/index.html#"&amp;A1473,"Галерея")</x:f>
      </x:c>
    </x:row>
    <x:row r="1474">
      <x:c r="A1474" s="87" t="str">
        <x:v>VIS-MATH-MAY-PROF-TASK-P006</x:v>
      </x:c>
      <x:c r="B1474" s="30" t="str">
        <x:v>Математика</x:v>
      </x:c>
      <x:c r="C1474" s="30"/>
      <x:c r="D1474" s="30" t="str">
        <x:v>МА2500309</x:v>
      </x:c>
      <x:c r="E1474" s="87" t="str">
        <x:v>TASK</x:v>
      </x:c>
      <x:c r="F1474" s="30" t="str">
        <x:v>Zadanie_MA10-11_12052026_profil_.pdf</x:v>
      </x:c>
      <x:c r="G1474" s="87" t="str">
        <x:v>6</x:v>
      </x:c>
      <x:c r="H1474" s="87" t="str">
        <x:v>v0.90</x:v>
      </x:c>
      <x:c r="I1474" s="87" t="str">
        <x:v>6</x:v>
      </x:c>
      <x:c r="J1474" s="30" t="str">
        <x:v>VIS_ID, VIS_ID задания</x:v>
      </x:c>
      <x:c r="K1474" s="30" t="str">
        <x:v>MAY-MATH-09-017, MAY-MATH-09-018, MAY-MATH-09-019</x:v>
      </x:c>
      <x:c r="L1474" s="87" t="str">
        <x:v>CROP_VERIFIED</x:v>
      </x:c>
      <x:c r="M1474" s="87" t="str">
        <x:v>ORIGINAL_PACKAGE</x:v>
      </x:c>
      <x:c r="N1474" s="87" t="str">
        <x:v>pages/VIS-MATH-MAY-PROF-TASK-P006.png</x:v>
      </x:c>
      <x:c r="O1474" s="87" t="str">
        <x:v>thumbnails/VIS-MATH-MAY-PROF-TASK-P006.jpg</x:v>
      </x:c>
      <x:c r="P1474" s="87" t="str">
        <x:v>6fc13f68c1b16e73d3d513bf72117a4652cf828e9d655efce3a36fecb99d5ef9</x:v>
      </x:c>
      <x:c r="Q1474" s="30" t="str">
        <x:v>incoming/raw/recovery-drop-01/mathematics_may_visual_assets_v090.zip!/pages/VIS-MATH-MAY-PROF-TASK-P006.png</x:v>
      </x:c>
      <x:c r="R1474" s="30" t="str">
        <x:v>MATCHED_ASSET</x:v>
      </x:c>
      <x:c r="S1474" t="e">
        <x:f>HYPERLINK("visual_gallery/index.html#"&amp;A1474,"Галерея")</x:f>
      </x:c>
    </x:row>
    <x:row r="1475">
      <x:c r="A1475" s="87" t="str">
        <x:v>VIS-MATH-MAY-PROF-TASK-P007</x:v>
      </x:c>
      <x:c r="B1475" s="30" t="str"/>
      <x:c r="C1475" s="30"/>
      <x:c r="D1475" s="30" t="str"/>
      <x:c r="E1475" s="87" t="str">
        <x:v>TASK</x:v>
      </x:c>
      <x:c r="F1475" s="30" t="str">
        <x:v>Zadanie_MA10-11_12052026_profil_.pdf</x:v>
      </x:c>
      <x:c r="G1475" s="87" t="str">
        <x:v>7</x:v>
      </x:c>
      <x:c r="H1475" s="87" t="str">
        <x:v>v0.90</x:v>
      </x:c>
      <x:c r="I1475" s="87" t="str">
        <x:v>0</x:v>
      </x:c>
      <x:c r="J1475" s="30" t="str"/>
      <x:c r="K1475" s="30" t="str"/>
      <x:c r="L1475" s="87" t="str">
        <x:v>CROP_VERIFIED</x:v>
      </x:c>
      <x:c r="M1475" s="87" t="str">
        <x:v>ORIGINAL_PACKAGE</x:v>
      </x:c>
      <x:c r="N1475" s="87" t="str">
        <x:v>pages/VIS-MATH-MAY-PROF-TASK-P007.png</x:v>
      </x:c>
      <x:c r="O1475" s="87" t="str">
        <x:v>thumbnails/VIS-MATH-MAY-PROF-TASK-P007.jpg</x:v>
      </x:c>
      <x:c r="P1475" s="87" t="str">
        <x:v>528ea1003981bf590ebdb72520ff0c58a8dc060cb827b5551923088817ddc8ac</x:v>
      </x:c>
      <x:c r="Q1475" s="30" t="str">
        <x:v>incoming/raw/recovery-drop-01/mathematics_may_visual_assets_v090.zip!/pages/VIS-MATH-MAY-PROF-TASK-P007.png</x:v>
      </x:c>
      <x:c r="R1475" s="30" t="str">
        <x:v>RESOLVED_UNLINKED_REGISTRY_VISUAL</x:v>
      </x:c>
      <x:c r="S1475" t="e">
        <x:f>HYPERLINK("visual_gallery/index.html#"&amp;A1475,"Галерея")</x:f>
      </x:c>
    </x:row>
    <x:row r="1476">
      <x:c r="A1476" s="87" t="str">
        <x:v>VIS-MATH-MAY-PROF-TASK-P008</x:v>
      </x:c>
      <x:c r="B1476" s="30" t="str">
        <x:v>Математика</x:v>
      </x:c>
      <x:c r="C1476" s="30"/>
      <x:c r="D1476" s="30" t="str">
        <x:v>МА2500310</x:v>
      </x:c>
      <x:c r="E1476" s="87" t="str">
        <x:v>TASK</x:v>
      </x:c>
      <x:c r="F1476" s="30" t="str">
        <x:v>Zadanie_MA10-11_12052026_profil_.pdf</x:v>
      </x:c>
      <x:c r="G1476" s="87" t="str">
        <x:v>8</x:v>
      </x:c>
      <x:c r="H1476" s="87" t="str">
        <x:v>v0.90</x:v>
      </x:c>
      <x:c r="I1476" s="87" t="str">
        <x:v>8</x:v>
      </x:c>
      <x:c r="J1476" s="30" t="str">
        <x:v>VIS_ID, VIS_ID задания</x:v>
      </x:c>
      <x:c r="K1476" s="30" t="str">
        <x:v>MAY-MATH-10-001, MAY-MATH-10-002, MAY-MATH-10-003, MAY-MATH-10-004</x:v>
      </x:c>
      <x:c r="L1476" s="87" t="str">
        <x:v>CROP_VERIFIED</x:v>
      </x:c>
      <x:c r="M1476" s="87" t="str">
        <x:v>ORIGINAL_PACKAGE</x:v>
      </x:c>
      <x:c r="N1476" s="87" t="str">
        <x:v>pages/VIS-MATH-MAY-PROF-TASK-P008.png</x:v>
      </x:c>
      <x:c r="O1476" s="87" t="str">
        <x:v>thumbnails/VIS-MATH-MAY-PROF-TASK-P008.jpg</x:v>
      </x:c>
      <x:c r="P1476" s="87" t="str">
        <x:v>0b53f9be2aee84c5400a008fb891d1f7c83ca19ebd256c0a8ba405bb2899a717</x:v>
      </x:c>
      <x:c r="Q1476" s="30" t="str">
        <x:v>incoming/raw/recovery-drop-01/mathematics_may_visual_assets_v090.zip!/pages/VIS-MATH-MAY-PROF-TASK-P008.png</x:v>
      </x:c>
      <x:c r="R1476" s="30" t="str">
        <x:v>MATCHED_ASSET</x:v>
      </x:c>
      <x:c r="S1476" t="e">
        <x:f>HYPERLINK("visual_gallery/index.html#"&amp;A1476,"Галерея")</x:f>
      </x:c>
    </x:row>
    <x:row r="1477">
      <x:c r="A1477" s="87" t="str">
        <x:v>VIS-MATH-MAY-PROF-TASK-P009</x:v>
      </x:c>
      <x:c r="B1477" s="30" t="str">
        <x:v>Математика</x:v>
      </x:c>
      <x:c r="C1477" s="30"/>
      <x:c r="D1477" s="30" t="str">
        <x:v>МА2500310</x:v>
      </x:c>
      <x:c r="E1477" s="87" t="str">
        <x:v>TASK</x:v>
      </x:c>
      <x:c r="F1477" s="30" t="str">
        <x:v>Zadanie_MA10-11_12052026_profil_.pdf</x:v>
      </x:c>
      <x:c r="G1477" s="87" t="str">
        <x:v>9</x:v>
      </x:c>
      <x:c r="H1477" s="87" t="str">
        <x:v>v0.90</x:v>
      </x:c>
      <x:c r="I1477" s="87" t="str">
        <x:v>8</x:v>
      </x:c>
      <x:c r="J1477" s="30" t="str">
        <x:v>VIS_ID, VIS_ID задания</x:v>
      </x:c>
      <x:c r="K1477" s="30" t="str">
        <x:v>MAY-MATH-10-005, MAY-MATH-10-006, MAY-MATH-10-007, MAY-MATH-10-008</x:v>
      </x:c>
      <x:c r="L1477" s="87" t="str">
        <x:v>CROP_VERIFIED</x:v>
      </x:c>
      <x:c r="M1477" s="87" t="str">
        <x:v>ORIGINAL_PACKAGE</x:v>
      </x:c>
      <x:c r="N1477" s="87" t="str">
        <x:v>pages/VIS-MATH-MAY-PROF-TASK-P009.png</x:v>
      </x:c>
      <x:c r="O1477" s="87" t="str">
        <x:v>thumbnails/VIS-MATH-MAY-PROF-TASK-P009.jpg</x:v>
      </x:c>
      <x:c r="P1477" s="87" t="str">
        <x:v>0a47075ec0acec1dd417a2434b35cbc484a61bce1e05f43ba8a7f85138c48c42</x:v>
      </x:c>
      <x:c r="Q1477" s="30" t="str">
        <x:v>incoming/raw/recovery-drop-01/mathematics_may_visual_assets_v090.zip!/pages/VIS-MATH-MAY-PROF-TASK-P009.png</x:v>
      </x:c>
      <x:c r="R1477" s="30" t="str">
        <x:v>MATCHED_ASSET</x:v>
      </x:c>
      <x:c r="S1477" t="e">
        <x:f>HYPERLINK("visual_gallery/index.html#"&amp;A1477,"Галерея")</x:f>
      </x:c>
    </x:row>
    <x:row r="1478">
      <x:c r="A1478" s="87" t="str">
        <x:v>VIS-MATH-MAY-PROF-TASK-P010</x:v>
      </x:c>
      <x:c r="B1478" s="30" t="str">
        <x:v>Математика</x:v>
      </x:c>
      <x:c r="C1478" s="30"/>
      <x:c r="D1478" s="30" t="str">
        <x:v>МА2500310</x:v>
      </x:c>
      <x:c r="E1478" s="87" t="str">
        <x:v>TASK</x:v>
      </x:c>
      <x:c r="F1478" s="30" t="str">
        <x:v>Zadanie_MA10-11_12052026_profil_.pdf</x:v>
      </x:c>
      <x:c r="G1478" s="87" t="str">
        <x:v>10</x:v>
      </x:c>
      <x:c r="H1478" s="87" t="str">
        <x:v>v0.90</x:v>
      </x:c>
      <x:c r="I1478" s="87" t="str">
        <x:v>8</x:v>
      </x:c>
      <x:c r="J1478" s="30" t="str">
        <x:v>VIS_ID, VIS_ID задания</x:v>
      </x:c>
      <x:c r="K1478" s="30" t="str">
        <x:v>MAY-MATH-10-009, MAY-MATH-10-010, MAY-MATH-10-011, MAY-MATH-10-012</x:v>
      </x:c>
      <x:c r="L1478" s="87" t="str">
        <x:v>CROP_VERIFIED</x:v>
      </x:c>
      <x:c r="M1478" s="87" t="str">
        <x:v>ORIGINAL_PACKAGE</x:v>
      </x:c>
      <x:c r="N1478" s="87" t="str">
        <x:v>pages/VIS-MATH-MAY-PROF-TASK-P010.png</x:v>
      </x:c>
      <x:c r="O1478" s="87" t="str">
        <x:v>thumbnails/VIS-MATH-MAY-PROF-TASK-P010.jpg</x:v>
      </x:c>
      <x:c r="P1478" s="87" t="str">
        <x:v>f5133ea10267bf97544b45cf3fcf2584ffc0efc5acca078c6c6ad66af4a0482c</x:v>
      </x:c>
      <x:c r="Q1478" s="30" t="str">
        <x:v>incoming/raw/recovery-drop-01/mathematics_may_visual_assets_v090.zip!/pages/VIS-MATH-MAY-PROF-TASK-P010.png</x:v>
      </x:c>
      <x:c r="R1478" s="30" t="str">
        <x:v>MATCHED_ASSET</x:v>
      </x:c>
      <x:c r="S1478" t="e">
        <x:f>HYPERLINK("visual_gallery/index.html#"&amp;A1478,"Галерея")</x:f>
      </x:c>
    </x:row>
    <x:row r="1479">
      <x:c r="A1479" s="87" t="str">
        <x:v>VIS-MATH-MAY-PROF-TASK-P011</x:v>
      </x:c>
      <x:c r="B1479" s="30" t="str">
        <x:v>Математика</x:v>
      </x:c>
      <x:c r="C1479" s="30"/>
      <x:c r="D1479" s="30" t="str">
        <x:v>МА2500310</x:v>
      </x:c>
      <x:c r="E1479" s="87" t="str">
        <x:v>TASK</x:v>
      </x:c>
      <x:c r="F1479" s="30" t="str">
        <x:v>Zadanie_MA10-11_12052026_profil_.pdf</x:v>
      </x:c>
      <x:c r="G1479" s="87" t="str">
        <x:v>11</x:v>
      </x:c>
      <x:c r="H1479" s="87" t="str">
        <x:v>v0.90</x:v>
      </x:c>
      <x:c r="I1479" s="87" t="str">
        <x:v>8</x:v>
      </x:c>
      <x:c r="J1479" s="30" t="str">
        <x:v>VIS_ID, VIS_ID задания</x:v>
      </x:c>
      <x:c r="K1479" s="30" t="str">
        <x:v>MAY-MATH-10-013, MAY-MATH-10-014, MAY-MATH-10-015, MAY-MATH-10-016</x:v>
      </x:c>
      <x:c r="L1479" s="87" t="str">
        <x:v>CROP_VERIFIED</x:v>
      </x:c>
      <x:c r="M1479" s="87" t="str">
        <x:v>ORIGINAL_PACKAGE</x:v>
      </x:c>
      <x:c r="N1479" s="87" t="str">
        <x:v>pages/VIS-MATH-MAY-PROF-TASK-P011.png</x:v>
      </x:c>
      <x:c r="O1479" s="87" t="str">
        <x:v>thumbnails/VIS-MATH-MAY-PROF-TASK-P011.jpg</x:v>
      </x:c>
      <x:c r="P1479" s="87" t="str">
        <x:v>96bd5de26f3bc0ffeea75a151bf03bde50beb9e718035f9d1d0625ed91e91660</x:v>
      </x:c>
      <x:c r="Q1479" s="30" t="str">
        <x:v>incoming/raw/recovery-drop-01/mathematics_may_visual_assets_v090.zip!/pages/VIS-MATH-MAY-PROF-TASK-P011.png</x:v>
      </x:c>
      <x:c r="R1479" s="30" t="str">
        <x:v>MATCHED_ASSET</x:v>
      </x:c>
      <x:c r="S1479" t="e">
        <x:f>HYPERLINK("visual_gallery/index.html#"&amp;A1479,"Галерея")</x:f>
      </x:c>
    </x:row>
    <x:row r="1480">
      <x:c r="A1480" s="87" t="str">
        <x:v>VIS-MATH-MAY-PROF-TASK-P012</x:v>
      </x:c>
      <x:c r="B1480" s="30" t="str">
        <x:v>Математика</x:v>
      </x:c>
      <x:c r="C1480" s="30"/>
      <x:c r="D1480" s="30" t="str">
        <x:v>МА2500310</x:v>
      </x:c>
      <x:c r="E1480" s="87" t="str">
        <x:v>TASK</x:v>
      </x:c>
      <x:c r="F1480" s="30" t="str">
        <x:v>Zadanie_MA10-11_12052026_profil_.pdf</x:v>
      </x:c>
      <x:c r="G1480" s="87" t="str">
        <x:v>12</x:v>
      </x:c>
      <x:c r="H1480" s="87" t="str">
        <x:v>v0.90</x:v>
      </x:c>
      <x:c r="I1480" s="87" t="str">
        <x:v>6</x:v>
      </x:c>
      <x:c r="J1480" s="30" t="str">
        <x:v>VIS_ID, VIS_ID задания</x:v>
      </x:c>
      <x:c r="K1480" s="30" t="str">
        <x:v>MAY-MATH-10-017, MAY-MATH-10-018, MAY-MATH-10-019</x:v>
      </x:c>
      <x:c r="L1480" s="87" t="str">
        <x:v>CROP_VERIFIED</x:v>
      </x:c>
      <x:c r="M1480" s="87" t="str">
        <x:v>ORIGINAL_PACKAGE</x:v>
      </x:c>
      <x:c r="N1480" s="87" t="str">
        <x:v>pages/VIS-MATH-MAY-PROF-TASK-P012.png</x:v>
      </x:c>
      <x:c r="O1480" s="87" t="str">
        <x:v>thumbnails/VIS-MATH-MAY-PROF-TASK-P012.jpg</x:v>
      </x:c>
      <x:c r="P1480" s="87" t="str">
        <x:v>4db366a5891a6b63c87945764d04f9609c3240f825d918a3881c3b263d783e02</x:v>
      </x:c>
      <x:c r="Q1480" s="30" t="str">
        <x:v>incoming/raw/recovery-drop-01/mathematics_may_visual_assets_v090.zip!/pages/VIS-MATH-MAY-PROF-TASK-P012.png</x:v>
      </x:c>
      <x:c r="R1480" s="30" t="str">
        <x:v>MATCHED_ASSET</x:v>
      </x:c>
      <x:c r="S1480" t="e">
        <x:f>HYPERLINK("visual_gallery/index.html#"&amp;A1480,"Галерея")</x:f>
      </x:c>
    </x:row>
    <x:row r="1481">
      <x:c r="A1481" s="87" t="str">
        <x:v>VIS-MATH-OCT-001</x:v>
      </x:c>
      <x:c r="B1481" s="30" t="str">
        <x:v>Математика</x:v>
      </x:c>
      <x:c r="C1481" s="30" t="str">
        <x:v>МА2510101: задания 3, 4, полная страница источника</x:v>
      </x:c>
      <x:c r="D1481" s="30" t="str">
        <x:v>МА2510101</x:v>
      </x:c>
      <x:c r="E1481" s="87" t="str">
        <x:v>Полная страница с визуальным контекстом</x:v>
      </x:c>
      <x:c r="F1481" s="30" t="str">
        <x:v>Zadanie_MA11_01102025_baza_zapad.pdf</x:v>
      </x:c>
      <x:c r="G1481" s="87" t="str">
        <x:v>3</x:v>
      </x:c>
      <x:c r="H1481" s="87" t="str">
        <x:v>v0.81</x:v>
      </x:c>
      <x:c r="I1481" s="87" t="str">
        <x:v>2</x:v>
      </x:c>
      <x:c r="J1481" s="30" t="str">
        <x:v>VIS_ID</x:v>
      </x:c>
      <x:c r="K1481" s="30" t="str">
        <x:v>OCT-MATH-0101-03, OCT-MATH-0101-04</x:v>
      </x:c>
      <x:c r="L1481" s="87" t="str">
        <x:v>SOURCE_PAGE_REGENERATED_FULL_PAGE_NO_CROP</x:v>
      </x:c>
      <x:c r="M1481" s="87" t="str">
        <x:v>SOURCE_REGENERATED</x:v>
      </x:c>
      <x:c r="N1481" s="87" t="str">
        <x:v>assets/recovered/full/VIS-MATH-OCT-001_full.jpg</x:v>
      </x:c>
      <x:c r="O1481" s="87" t="str">
        <x:v>assets/recovered/thumbnails/VIS-MATH-OCT-001_thumb.jpg</x:v>
      </x:c>
      <x:c r="P1481" s="87" t="str">
        <x:v>ee6d9f184b46404b07d8e3541d2a9b338563a2e92d6443574d93ae7817a3a06b</x:v>
      </x:c>
      <x:c r="Q1481" s="30" t="str">
        <x:v>final/v1.10/assets/recovered/full/VIS-MATH-OCT-001_full.jpg</x:v>
      </x:c>
      <x:c r="R1481" s="30" t="str">
        <x:v>SOURCE_REGENERATED_FROM_PDF | Deterministic render from preserved source PDF; legacy expected SHA retained.</x:v>
      </x:c>
      <x:c r="S1481" t="e">
        <x:f>HYPERLINK("visual_gallery/index.html#"&amp;A1481,"Галерея")</x:f>
      </x:c>
    </x:row>
    <x:row r="1482">
      <x:c r="A1482" s="87" t="str">
        <x:v>VIS-MATH-OCT-002</x:v>
      </x:c>
      <x:c r="B1482" s="30" t="str">
        <x:v>Математика</x:v>
      </x:c>
      <x:c r="C1482" s="30" t="str">
        <x:v>МА2510101: задания 6, полная страница источника</x:v>
      </x:c>
      <x:c r="D1482" s="30" t="str">
        <x:v>МА2510101</x:v>
      </x:c>
      <x:c r="E1482" s="87" t="str">
        <x:v>Полная страница с визуальным контекстом</x:v>
      </x:c>
      <x:c r="F1482" s="30" t="str">
        <x:v>Zadanie_MA11_01102025_baza_zapad.pdf</x:v>
      </x:c>
      <x:c r="G1482" s="87" t="str">
        <x:v>4</x:v>
      </x:c>
      <x:c r="H1482" s="87" t="str">
        <x:v>v0.81</x:v>
      </x:c>
      <x:c r="I1482" s="87" t="str">
        <x:v>1</x:v>
      </x:c>
      <x:c r="J1482" s="30" t="str">
        <x:v>VIS_ID</x:v>
      </x:c>
      <x:c r="K1482" s="30" t="str">
        <x:v>OCT-MATH-0101-06</x:v>
      </x:c>
      <x:c r="L1482" s="87" t="str">
        <x:v>SOURCE_PAGE_REGENERATED_FULL_PAGE_NO_CROP</x:v>
      </x:c>
      <x:c r="M1482" s="87" t="str">
        <x:v>SOURCE_REGENERATED</x:v>
      </x:c>
      <x:c r="N1482" s="87" t="str">
        <x:v>assets/recovered/full/VIS-MATH-OCT-002_full.jpg</x:v>
      </x:c>
      <x:c r="O1482" s="87" t="str">
        <x:v>assets/recovered/thumbnails/VIS-MATH-OCT-002_thumb.jpg</x:v>
      </x:c>
      <x:c r="P1482" s="87" t="str">
        <x:v>1a67dd6ec26a8a6f91b7640420873e1b9e7bdd7a9d6a175468f2085ec92386a8</x:v>
      </x:c>
      <x:c r="Q1482" s="30" t="str">
        <x:v>final/v1.10/assets/recovered/full/VIS-MATH-OCT-002_full.jpg</x:v>
      </x:c>
      <x:c r="R1482" s="30" t="str">
        <x:v>SOURCE_REGENERATED_FROM_PDF | Deterministic render from preserved source PDF; legacy expected SHA retained.</x:v>
      </x:c>
      <x:c r="S1482" t="e">
        <x:f>HYPERLINK("visual_gallery/index.html#"&amp;A1482,"Галерея")</x:f>
      </x:c>
    </x:row>
    <x:row r="1483">
      <x:c r="A1483" s="87" t="str">
        <x:v>VIS-MATH-OCT-003</x:v>
      </x:c>
      <x:c r="B1483" s="30" t="str">
        <x:v>Математика</x:v>
      </x:c>
      <x:c r="C1483" s="30" t="str">
        <x:v>МА2510101: задания 7, полная страница источника</x:v>
      </x:c>
      <x:c r="D1483" s="30" t="str">
        <x:v>МА2510101</x:v>
      </x:c>
      <x:c r="E1483" s="87" t="str">
        <x:v>Полная страница с визуальным контекстом</x:v>
      </x:c>
      <x:c r="F1483" s="30" t="str">
        <x:v>Zadanie_MA11_01102025_baza_zapad.pdf</x:v>
      </x:c>
      <x:c r="G1483" s="87" t="str">
        <x:v>5</x:v>
      </x:c>
      <x:c r="H1483" s="87" t="str">
        <x:v>v0.81</x:v>
      </x:c>
      <x:c r="I1483" s="87" t="str">
        <x:v>1</x:v>
      </x:c>
      <x:c r="J1483" s="30" t="str">
        <x:v>VIS_ID</x:v>
      </x:c>
      <x:c r="K1483" s="30" t="str">
        <x:v>OCT-MATH-0101-07</x:v>
      </x:c>
      <x:c r="L1483" s="87" t="str">
        <x:v>SOURCE_PAGE_REGENERATED_FULL_PAGE_NO_CROP</x:v>
      </x:c>
      <x:c r="M1483" s="87" t="str">
        <x:v>SOURCE_REGENERATED</x:v>
      </x:c>
      <x:c r="N1483" s="87" t="str">
        <x:v>assets/recovered/full/VIS-MATH-OCT-003_full.jpg</x:v>
      </x:c>
      <x:c r="O1483" s="87" t="str">
        <x:v>assets/recovered/thumbnails/VIS-MATH-OCT-003_thumb.jpg</x:v>
      </x:c>
      <x:c r="P1483" s="87" t="str">
        <x:v>24ce13eb3bbd2562af84bbfa551c5afaf0bc749487441d6316f01008cc83ce15</x:v>
      </x:c>
      <x:c r="Q1483" s="30" t="str">
        <x:v>final/v1.10/assets/recovered/full/VIS-MATH-OCT-003_full.jpg</x:v>
      </x:c>
      <x:c r="R1483" s="30" t="str">
        <x:v>SOURCE_REGENERATED_FROM_PDF | Deterministic render from preserved source PDF; legacy expected SHA retained.</x:v>
      </x:c>
      <x:c r="S1483" t="e">
        <x:f>HYPERLINK("visual_gallery/index.html#"&amp;A1483,"Галерея")</x:f>
      </x:c>
    </x:row>
    <x:row r="1484">
      <x:c r="A1484" s="87" t="str">
        <x:v>VIS-MATH-OCT-004</x:v>
      </x:c>
      <x:c r="B1484" s="30" t="str">
        <x:v>Математика</x:v>
      </x:c>
      <x:c r="C1484" s="30" t="str">
        <x:v>МА2510101: задания 9, 10, 11, полная страница источника</x:v>
      </x:c>
      <x:c r="D1484" s="30" t="str">
        <x:v>МА2510101</x:v>
      </x:c>
      <x:c r="E1484" s="87" t="str">
        <x:v>Полная страница с визуальным контекстом</x:v>
      </x:c>
      <x:c r="F1484" s="30" t="str">
        <x:v>Zadanie_MA11_01102025_baza_zapad.pdf</x:v>
      </x:c>
      <x:c r="G1484" s="87" t="str">
        <x:v>6</x:v>
      </x:c>
      <x:c r="H1484" s="87" t="str">
        <x:v>v0.81</x:v>
      </x:c>
      <x:c r="I1484" s="87" t="str">
        <x:v>3</x:v>
      </x:c>
      <x:c r="J1484" s="30" t="str">
        <x:v>VIS_ID</x:v>
      </x:c>
      <x:c r="K1484" s="30" t="str">
        <x:v>OCT-MATH-0101-09, OCT-MATH-0101-10, OCT-MATH-0101-11</x:v>
      </x:c>
      <x:c r="L1484" s="87" t="str">
        <x:v>SOURCE_PAGE_REGENERATED_FULL_PAGE_NO_CROP</x:v>
      </x:c>
      <x:c r="M1484" s="87" t="str">
        <x:v>SOURCE_REGENERATED</x:v>
      </x:c>
      <x:c r="N1484" s="87" t="str">
        <x:v>assets/recovered/full/VIS-MATH-OCT-004_full.jpg</x:v>
      </x:c>
      <x:c r="O1484" s="87" t="str">
        <x:v>assets/recovered/thumbnails/VIS-MATH-OCT-004_thumb.jpg</x:v>
      </x:c>
      <x:c r="P1484" s="87" t="str">
        <x:v>a5f4a06a7c6bb59110f0200f153d75656fd86c55a74aa4dcd7809a2681930ed8</x:v>
      </x:c>
      <x:c r="Q1484" s="30" t="str">
        <x:v>final/v1.10/assets/recovered/full/VIS-MATH-OCT-004_full.jpg</x:v>
      </x:c>
      <x:c r="R1484" s="30" t="str">
        <x:v>SOURCE_REGENERATED_FROM_PDF | Deterministic render from preserved source PDF; legacy expected SHA retained.</x:v>
      </x:c>
      <x:c r="S1484" t="e">
        <x:f>HYPERLINK("visual_gallery/index.html#"&amp;A1484,"Галерея")</x:f>
      </x:c>
    </x:row>
    <x:row r="1485">
      <x:c r="A1485" s="87" t="str">
        <x:v>VIS-MATH-OCT-005</x:v>
      </x:c>
      <x:c r="B1485" s="30" t="str">
        <x:v>Математика</x:v>
      </x:c>
      <x:c r="C1485" s="30" t="str">
        <x:v>МА2510102: задания 3, 4, полная страница источника</x:v>
      </x:c>
      <x:c r="D1485" s="30" t="str">
        <x:v>МА2510102</x:v>
      </x:c>
      <x:c r="E1485" s="87" t="str">
        <x:v>Полная страница с визуальным контекстом</x:v>
      </x:c>
      <x:c r="F1485" s="30" t="str">
        <x:v>Zadanie_MA11_01102025_baza_zapad.pdf</x:v>
      </x:c>
      <x:c r="G1485" s="87" t="str">
        <x:v>11</x:v>
      </x:c>
      <x:c r="H1485" s="87" t="str">
        <x:v>v0.81</x:v>
      </x:c>
      <x:c r="I1485" s="87" t="str">
        <x:v>2</x:v>
      </x:c>
      <x:c r="J1485" s="30" t="str">
        <x:v>VIS_ID</x:v>
      </x:c>
      <x:c r="K1485" s="30" t="str">
        <x:v>OCT-MATH-0102-03, OCT-MATH-0102-04</x:v>
      </x:c>
      <x:c r="L1485" s="87" t="str">
        <x:v>SOURCE_PAGE_REGENERATED_FULL_PAGE_NO_CROP</x:v>
      </x:c>
      <x:c r="M1485" s="87" t="str">
        <x:v>SOURCE_REGENERATED</x:v>
      </x:c>
      <x:c r="N1485" s="87" t="str">
        <x:v>assets/recovered/full/VIS-MATH-OCT-005_full.jpg</x:v>
      </x:c>
      <x:c r="O1485" s="87" t="str">
        <x:v>assets/recovered/thumbnails/VIS-MATH-OCT-005_thumb.jpg</x:v>
      </x:c>
      <x:c r="P1485" s="87" t="str">
        <x:v>aaa2c84cb422b5ec9462369e77a6df7f202cbddfbb53030e1346f7a500422626</x:v>
      </x:c>
      <x:c r="Q1485" s="30" t="str">
        <x:v>final/v1.10/assets/recovered/full/VIS-MATH-OCT-005_full.jpg</x:v>
      </x:c>
      <x:c r="R1485" s="30" t="str">
        <x:v>SOURCE_REGENERATED_FROM_PDF | Deterministic render from preserved source PDF; legacy expected SHA retained.</x:v>
      </x:c>
      <x:c r="S1485" t="e">
        <x:f>HYPERLINK("visual_gallery/index.html#"&amp;A1485,"Галерея")</x:f>
      </x:c>
    </x:row>
    <x:row r="1486">
      <x:c r="A1486" s="87" t="str">
        <x:v>VIS-MATH-OCT-006</x:v>
      </x:c>
      <x:c r="B1486" s="30" t="str">
        <x:v>Математика</x:v>
      </x:c>
      <x:c r="C1486" s="30" t="str">
        <x:v>МА2510102: задания 6, полная страница источника</x:v>
      </x:c>
      <x:c r="D1486" s="30" t="str">
        <x:v>МА2510102</x:v>
      </x:c>
      <x:c r="E1486" s="87" t="str">
        <x:v>Полная страница с визуальным контекстом</x:v>
      </x:c>
      <x:c r="F1486" s="30" t="str">
        <x:v>Zadanie_MA11_01102025_baza_zapad.pdf</x:v>
      </x:c>
      <x:c r="G1486" s="87" t="str">
        <x:v>12</x:v>
      </x:c>
      <x:c r="H1486" s="87" t="str">
        <x:v>v0.81</x:v>
      </x:c>
      <x:c r="I1486" s="87" t="str">
        <x:v>1</x:v>
      </x:c>
      <x:c r="J1486" s="30" t="str">
        <x:v>VIS_ID</x:v>
      </x:c>
      <x:c r="K1486" s="30" t="str">
        <x:v>OCT-MATH-0102-06</x:v>
      </x:c>
      <x:c r="L1486" s="87" t="str">
        <x:v>SOURCE_PAGE_REGENERATED_FULL_PAGE_NO_CROP</x:v>
      </x:c>
      <x:c r="M1486" s="87" t="str">
        <x:v>SOURCE_REGENERATED</x:v>
      </x:c>
      <x:c r="N1486" s="87" t="str">
        <x:v>assets/recovered/full/VIS-MATH-OCT-006_full.jpg</x:v>
      </x:c>
      <x:c r="O1486" s="87" t="str">
        <x:v>assets/recovered/thumbnails/VIS-MATH-OCT-006_thumb.jpg</x:v>
      </x:c>
      <x:c r="P1486" s="87" t="str">
        <x:v>ee90a80cbe44cd708f1ee839ef540628e367953ff0e979757651b6254f03b76d</x:v>
      </x:c>
      <x:c r="Q1486" s="30" t="str">
        <x:v>final/v1.10/assets/recovered/full/VIS-MATH-OCT-006_full.jpg</x:v>
      </x:c>
      <x:c r="R1486" s="30" t="str">
        <x:v>SOURCE_REGENERATED_FROM_PDF | Deterministic render from preserved source PDF; legacy expected SHA retained.</x:v>
      </x:c>
      <x:c r="S1486" t="e">
        <x:f>HYPERLINK("visual_gallery/index.html#"&amp;A1486,"Галерея")</x:f>
      </x:c>
    </x:row>
    <x:row r="1487">
      <x:c r="A1487" s="87" t="str">
        <x:v>VIS-MATH-OCT-007</x:v>
      </x:c>
      <x:c r="B1487" s="30" t="str">
        <x:v>Математика</x:v>
      </x:c>
      <x:c r="C1487" s="30" t="str">
        <x:v>МА2510102: задания 7, полная страница источника</x:v>
      </x:c>
      <x:c r="D1487" s="30" t="str">
        <x:v>МА2510102</x:v>
      </x:c>
      <x:c r="E1487" s="87" t="str">
        <x:v>Полная страница с визуальным контекстом</x:v>
      </x:c>
      <x:c r="F1487" s="30" t="str">
        <x:v>Zadanie_MA11_01102025_baza_zapad.pdf</x:v>
      </x:c>
      <x:c r="G1487" s="87" t="str">
        <x:v>13</x:v>
      </x:c>
      <x:c r="H1487" s="87" t="str">
        <x:v>v0.81</x:v>
      </x:c>
      <x:c r="I1487" s="87" t="str">
        <x:v>1</x:v>
      </x:c>
      <x:c r="J1487" s="30" t="str">
        <x:v>VIS_ID</x:v>
      </x:c>
      <x:c r="K1487" s="30" t="str">
        <x:v>OCT-MATH-0102-07</x:v>
      </x:c>
      <x:c r="L1487" s="87" t="str">
        <x:v>SOURCE_PAGE_REGENERATED_FULL_PAGE_NO_CROP</x:v>
      </x:c>
      <x:c r="M1487" s="87" t="str">
        <x:v>SOURCE_REGENERATED</x:v>
      </x:c>
      <x:c r="N1487" s="87" t="str">
        <x:v>assets/recovered/full/VIS-MATH-OCT-007_full.jpg</x:v>
      </x:c>
      <x:c r="O1487" s="87" t="str">
        <x:v>assets/recovered/thumbnails/VIS-MATH-OCT-007_thumb.jpg</x:v>
      </x:c>
      <x:c r="P1487" s="87" t="str">
        <x:v>fc64a9e81f8d1a42b8141534b9ff62dd583b9300d6532f80af724478a73dc557</x:v>
      </x:c>
      <x:c r="Q1487" s="30" t="str">
        <x:v>final/v1.10/assets/recovered/full/VIS-MATH-OCT-007_full.jpg</x:v>
      </x:c>
      <x:c r="R1487" s="30" t="str">
        <x:v>SOURCE_REGENERATED_FROM_PDF | Deterministic render from preserved source PDF; legacy expected SHA retained.</x:v>
      </x:c>
      <x:c r="S1487" t="e">
        <x:f>HYPERLINK("visual_gallery/index.html#"&amp;A1487,"Галерея")</x:f>
      </x:c>
    </x:row>
    <x:row r="1488">
      <x:c r="A1488" s="87" t="str">
        <x:v>VIS-MATH-OCT-008</x:v>
      </x:c>
      <x:c r="B1488" s="30" t="str">
        <x:v>Математика</x:v>
      </x:c>
      <x:c r="C1488" s="30" t="str">
        <x:v>МА2510102: задания 9, 10, 11, полная страница источника</x:v>
      </x:c>
      <x:c r="D1488" s="30" t="str">
        <x:v>МА2510102</x:v>
      </x:c>
      <x:c r="E1488" s="87" t="str">
        <x:v>Полная страница с визуальным контекстом</x:v>
      </x:c>
      <x:c r="F1488" s="30" t="str">
        <x:v>Zadanie_MA11_01102025_baza_zapad.pdf</x:v>
      </x:c>
      <x:c r="G1488" s="87" t="str">
        <x:v>14</x:v>
      </x:c>
      <x:c r="H1488" s="87" t="str">
        <x:v>v0.81</x:v>
      </x:c>
      <x:c r="I1488" s="87" t="str">
        <x:v>3</x:v>
      </x:c>
      <x:c r="J1488" s="30" t="str">
        <x:v>VIS_ID</x:v>
      </x:c>
      <x:c r="K1488" s="30" t="str">
        <x:v>OCT-MATH-0102-09, OCT-MATH-0102-10, OCT-MATH-0102-11</x:v>
      </x:c>
      <x:c r="L1488" s="87" t="str">
        <x:v>SOURCE_PAGE_REGENERATED_FULL_PAGE_NO_CROP</x:v>
      </x:c>
      <x:c r="M1488" s="87" t="str">
        <x:v>SOURCE_REGENERATED</x:v>
      </x:c>
      <x:c r="N1488" s="87" t="str">
        <x:v>assets/recovered/full/VIS-MATH-OCT-008_full.jpg</x:v>
      </x:c>
      <x:c r="O1488" s="87" t="str">
        <x:v>assets/recovered/thumbnails/VIS-MATH-OCT-008_thumb.jpg</x:v>
      </x:c>
      <x:c r="P1488" s="87" t="str">
        <x:v>757add315204ecc39610c899b09e70cc645df46b36efa6dd0c9b12a762dc9eec</x:v>
      </x:c>
      <x:c r="Q1488" s="30" t="str">
        <x:v>final/v1.10/assets/recovered/full/VIS-MATH-OCT-008_full.jpg</x:v>
      </x:c>
      <x:c r="R1488" s="30" t="str">
        <x:v>SOURCE_REGENERATED_FROM_PDF | Deterministic render from preserved source PDF; legacy expected SHA retained.</x:v>
      </x:c>
      <x:c r="S1488" t="e">
        <x:f>HYPERLINK("visual_gallery/index.html#"&amp;A1488,"Галерея")</x:f>
      </x:c>
    </x:row>
    <x:row r="1489">
      <x:c r="A1489" s="87" t="str">
        <x:v>VIS-MATH-OCT-009</x:v>
      </x:c>
      <x:c r="B1489" s="30" t="str">
        <x:v>Математика</x:v>
      </x:c>
      <x:c r="C1489" s="30" t="str">
        <x:v>МА2510103: задания 3, 4, полная страница источника</x:v>
      </x:c>
      <x:c r="D1489" s="30" t="str">
        <x:v>МА2510103</x:v>
      </x:c>
      <x:c r="E1489" s="87" t="str">
        <x:v>Полная страница с визуальным контекстом</x:v>
      </x:c>
      <x:c r="F1489" s="30" t="str">
        <x:v>Zadanie_MA11_01102025_baza_zapad.pdf</x:v>
      </x:c>
      <x:c r="G1489" s="87" t="str">
        <x:v>19</x:v>
      </x:c>
      <x:c r="H1489" s="87" t="str">
        <x:v>v0.81</x:v>
      </x:c>
      <x:c r="I1489" s="87" t="str">
        <x:v>2</x:v>
      </x:c>
      <x:c r="J1489" s="30" t="str">
        <x:v>VIS_ID</x:v>
      </x:c>
      <x:c r="K1489" s="30" t="str">
        <x:v>OCT-MATH-0103-03, OCT-MATH-0103-04</x:v>
      </x:c>
      <x:c r="L1489" s="87" t="str">
        <x:v>SOURCE_PAGE_REGENERATED_FULL_PAGE_NO_CROP</x:v>
      </x:c>
      <x:c r="M1489" s="87" t="str">
        <x:v>SOURCE_REGENERATED</x:v>
      </x:c>
      <x:c r="N1489" s="87" t="str">
        <x:v>assets/recovered/full/VIS-MATH-OCT-009_full.jpg</x:v>
      </x:c>
      <x:c r="O1489" s="87" t="str">
        <x:v>assets/recovered/thumbnails/VIS-MATH-OCT-009_thumb.jpg</x:v>
      </x:c>
      <x:c r="P1489" s="87" t="str">
        <x:v>0194f769e4f809c7b1f3b0deda90b935012d16254aef29d4d3c905d9f4d90bc9</x:v>
      </x:c>
      <x:c r="Q1489" s="30" t="str">
        <x:v>final/v1.10/assets/recovered/full/VIS-MATH-OCT-009_full.jpg</x:v>
      </x:c>
      <x:c r="R1489" s="30" t="str">
        <x:v>SOURCE_REGENERATED_FROM_PDF | Deterministic render from preserved source PDF; legacy expected SHA retained.</x:v>
      </x:c>
      <x:c r="S1489" t="e">
        <x:f>HYPERLINK("visual_gallery/index.html#"&amp;A1489,"Галерея")</x:f>
      </x:c>
    </x:row>
    <x:row r="1490">
      <x:c r="A1490" s="87" t="str">
        <x:v>VIS-MATH-OCT-010</x:v>
      </x:c>
      <x:c r="B1490" s="30" t="str">
        <x:v>Математика</x:v>
      </x:c>
      <x:c r="C1490" s="30" t="str">
        <x:v>МА2510103: задания 6, полная страница источника</x:v>
      </x:c>
      <x:c r="D1490" s="30" t="str">
        <x:v>МА2510103</x:v>
      </x:c>
      <x:c r="E1490" s="87" t="str">
        <x:v>Полная страница с визуальным контекстом</x:v>
      </x:c>
      <x:c r="F1490" s="30" t="str">
        <x:v>Zadanie_MA11_01102025_baza_zapad.pdf</x:v>
      </x:c>
      <x:c r="G1490" s="87" t="str">
        <x:v>20</x:v>
      </x:c>
      <x:c r="H1490" s="87" t="str">
        <x:v>v0.81</x:v>
      </x:c>
      <x:c r="I1490" s="87" t="str">
        <x:v>1</x:v>
      </x:c>
      <x:c r="J1490" s="30" t="str">
        <x:v>VIS_ID</x:v>
      </x:c>
      <x:c r="K1490" s="30" t="str">
        <x:v>OCT-MATH-0103-06</x:v>
      </x:c>
      <x:c r="L1490" s="87" t="str">
        <x:v>SOURCE_PAGE_REGENERATED_FULL_PAGE_NO_CROP</x:v>
      </x:c>
      <x:c r="M1490" s="87" t="str">
        <x:v>SOURCE_REGENERATED</x:v>
      </x:c>
      <x:c r="N1490" s="87" t="str">
        <x:v>assets/recovered/full/VIS-MATH-OCT-010_full.jpg</x:v>
      </x:c>
      <x:c r="O1490" s="87" t="str">
        <x:v>assets/recovered/thumbnails/VIS-MATH-OCT-010_thumb.jpg</x:v>
      </x:c>
      <x:c r="P1490" s="87" t="str">
        <x:v>f3be34b5aedb96615b1845cc690cf114510be032327543fb104986cb4621638e</x:v>
      </x:c>
      <x:c r="Q1490" s="30" t="str">
        <x:v>final/v1.10/assets/recovered/full/VIS-MATH-OCT-010_full.jpg</x:v>
      </x:c>
      <x:c r="R1490" s="30" t="str">
        <x:v>SOURCE_REGENERATED_FROM_PDF | Deterministic render from preserved source PDF; legacy expected SHA retained.</x:v>
      </x:c>
      <x:c r="S1490" t="e">
        <x:f>HYPERLINK("visual_gallery/index.html#"&amp;A1490,"Галерея")</x:f>
      </x:c>
    </x:row>
    <x:row r="1491">
      <x:c r="A1491" s="87" t="str">
        <x:v>VIS-MATH-OCT-011</x:v>
      </x:c>
      <x:c r="B1491" s="30" t="str">
        <x:v>Математика</x:v>
      </x:c>
      <x:c r="C1491" s="30" t="str">
        <x:v>МА2510103: задания 7, полная страница источника</x:v>
      </x:c>
      <x:c r="D1491" s="30" t="str">
        <x:v>МА2510103</x:v>
      </x:c>
      <x:c r="E1491" s="87" t="str">
        <x:v>Полная страница с визуальным контекстом</x:v>
      </x:c>
      <x:c r="F1491" s="30" t="str">
        <x:v>Zadanie_MA11_01102025_baza_zapad.pdf</x:v>
      </x:c>
      <x:c r="G1491" s="87" t="str">
        <x:v>21</x:v>
      </x:c>
      <x:c r="H1491" s="87" t="str">
        <x:v>v0.81</x:v>
      </x:c>
      <x:c r="I1491" s="87" t="str">
        <x:v>1</x:v>
      </x:c>
      <x:c r="J1491" s="30" t="str">
        <x:v>VIS_ID</x:v>
      </x:c>
      <x:c r="K1491" s="30" t="str">
        <x:v>OCT-MATH-0103-07</x:v>
      </x:c>
      <x:c r="L1491" s="87" t="str">
        <x:v>SOURCE_PAGE_REGENERATED_FULL_PAGE_NO_CROP</x:v>
      </x:c>
      <x:c r="M1491" s="87" t="str">
        <x:v>SOURCE_REGENERATED</x:v>
      </x:c>
      <x:c r="N1491" s="87" t="str">
        <x:v>assets/recovered/full/VIS-MATH-OCT-011_full.jpg</x:v>
      </x:c>
      <x:c r="O1491" s="87" t="str">
        <x:v>assets/recovered/thumbnails/VIS-MATH-OCT-011_thumb.jpg</x:v>
      </x:c>
      <x:c r="P1491" s="87" t="str">
        <x:v>44a0fa8b0a5cd49b6baacda89920403fcdad69fd4d1ac5c7239add68f9627e59</x:v>
      </x:c>
      <x:c r="Q1491" s="30" t="str">
        <x:v>final/v1.10/assets/recovered/full/VIS-MATH-OCT-011_full.jpg</x:v>
      </x:c>
      <x:c r="R1491" s="30" t="str">
        <x:v>SOURCE_REGENERATED_FROM_PDF | Deterministic render from preserved source PDF; legacy expected SHA retained.</x:v>
      </x:c>
      <x:c r="S1491" t="e">
        <x:f>HYPERLINK("visual_gallery/index.html#"&amp;A1491,"Галерея")</x:f>
      </x:c>
    </x:row>
    <x:row r="1492">
      <x:c r="A1492" s="87" t="str">
        <x:v>VIS-MATH-OCT-012</x:v>
      </x:c>
      <x:c r="B1492" s="30" t="str">
        <x:v>Математика</x:v>
      </x:c>
      <x:c r="C1492" s="30" t="str">
        <x:v>МА2510103: задания 9, 10, 11, полная страница источника</x:v>
      </x:c>
      <x:c r="D1492" s="30" t="str">
        <x:v>МА2510103</x:v>
      </x:c>
      <x:c r="E1492" s="87" t="str">
        <x:v>Полная страница с визуальным контекстом</x:v>
      </x:c>
      <x:c r="F1492" s="30" t="str">
        <x:v>Zadanie_MA11_01102025_baza_zapad.pdf</x:v>
      </x:c>
      <x:c r="G1492" s="87" t="str">
        <x:v>22</x:v>
      </x:c>
      <x:c r="H1492" s="87" t="str">
        <x:v>v0.81</x:v>
      </x:c>
      <x:c r="I1492" s="87" t="str">
        <x:v>3</x:v>
      </x:c>
      <x:c r="J1492" s="30" t="str">
        <x:v>VIS_ID</x:v>
      </x:c>
      <x:c r="K1492" s="30" t="str">
        <x:v>OCT-MATH-0103-09, OCT-MATH-0103-10, OCT-MATH-0103-11</x:v>
      </x:c>
      <x:c r="L1492" s="87" t="str">
        <x:v>SOURCE_PAGE_REGENERATED_FULL_PAGE_NO_CROP</x:v>
      </x:c>
      <x:c r="M1492" s="87" t="str">
        <x:v>SOURCE_REGENERATED</x:v>
      </x:c>
      <x:c r="N1492" s="87" t="str">
        <x:v>assets/recovered/full/VIS-MATH-OCT-012_full.jpg</x:v>
      </x:c>
      <x:c r="O1492" s="87" t="str">
        <x:v>assets/recovered/thumbnails/VIS-MATH-OCT-012_thumb.jpg</x:v>
      </x:c>
      <x:c r="P1492" s="87" t="str">
        <x:v>10b0cef2ea2eebd1c0b2426f4ca2028b5b13517d0092f6daa4d3adb1adad95b0</x:v>
      </x:c>
      <x:c r="Q1492" s="30" t="str">
        <x:v>final/v1.10/assets/recovered/full/VIS-MATH-OCT-012_full.jpg</x:v>
      </x:c>
      <x:c r="R1492" s="30" t="str">
        <x:v>SOURCE_REGENERATED_FROM_PDF | Deterministic render from preserved source PDF; legacy expected SHA retained.</x:v>
      </x:c>
      <x:c r="S1492" t="e">
        <x:f>HYPERLINK("visual_gallery/index.html#"&amp;A1492,"Галерея")</x:f>
      </x:c>
    </x:row>
    <x:row r="1493">
      <x:c r="A1493" s="87" t="str">
        <x:v>VIS-MATH-OCT-013</x:v>
      </x:c>
      <x:c r="B1493" s="30" t="str">
        <x:v>Математика</x:v>
      </x:c>
      <x:c r="C1493" s="30" t="str">
        <x:v>МА2510104: задания 3, 4, полная страница источника</x:v>
      </x:c>
      <x:c r="D1493" s="30" t="str">
        <x:v>МА2510104</x:v>
      </x:c>
      <x:c r="E1493" s="87" t="str">
        <x:v>Полная страница с визуальным контекстом</x:v>
      </x:c>
      <x:c r="F1493" s="30" t="str">
        <x:v>Zadanie_MA11_01102025_baza_zapad.pdf</x:v>
      </x:c>
      <x:c r="G1493" s="87" t="str">
        <x:v>27</x:v>
      </x:c>
      <x:c r="H1493" s="87" t="str">
        <x:v>v0.81</x:v>
      </x:c>
      <x:c r="I1493" s="87" t="str">
        <x:v>2</x:v>
      </x:c>
      <x:c r="J1493" s="30" t="str">
        <x:v>VIS_ID</x:v>
      </x:c>
      <x:c r="K1493" s="30" t="str">
        <x:v>OCT-MATH-0104-03, OCT-MATH-0104-04</x:v>
      </x:c>
      <x:c r="L1493" s="87" t="str">
        <x:v>SOURCE_PAGE_REGENERATED_FULL_PAGE_NO_CROP</x:v>
      </x:c>
      <x:c r="M1493" s="87" t="str">
        <x:v>SOURCE_REGENERATED</x:v>
      </x:c>
      <x:c r="N1493" s="87" t="str">
        <x:v>assets/recovered/full/VIS-MATH-OCT-013_full.jpg</x:v>
      </x:c>
      <x:c r="O1493" s="87" t="str">
        <x:v>assets/recovered/thumbnails/VIS-MATH-OCT-013_thumb.jpg</x:v>
      </x:c>
      <x:c r="P1493" s="87" t="str">
        <x:v>903ed3d4cadc668b88724d305e9c66764d2182799844374f79b85fb78d0e4316</x:v>
      </x:c>
      <x:c r="Q1493" s="30" t="str">
        <x:v>final/v1.10/assets/recovered/full/VIS-MATH-OCT-013_full.jpg</x:v>
      </x:c>
      <x:c r="R1493" s="30" t="str">
        <x:v>SOURCE_REGENERATED_FROM_PDF | Deterministic render from preserved source PDF; legacy expected SHA retained.</x:v>
      </x:c>
      <x:c r="S1493" t="e">
        <x:f>HYPERLINK("visual_gallery/index.html#"&amp;A1493,"Галерея")</x:f>
      </x:c>
    </x:row>
    <x:row r="1494">
      <x:c r="A1494" s="87" t="str">
        <x:v>VIS-MATH-OCT-014</x:v>
      </x:c>
      <x:c r="B1494" s="30" t="str">
        <x:v>Математика</x:v>
      </x:c>
      <x:c r="C1494" s="30" t="str">
        <x:v>МА2510104: задания 6, полная страница источника</x:v>
      </x:c>
      <x:c r="D1494" s="30" t="str">
        <x:v>МА2510104</x:v>
      </x:c>
      <x:c r="E1494" s="87" t="str">
        <x:v>Полная страница с визуальным контекстом</x:v>
      </x:c>
      <x:c r="F1494" s="30" t="str">
        <x:v>Zadanie_MA11_01102025_baza_zapad.pdf</x:v>
      </x:c>
      <x:c r="G1494" s="87" t="str">
        <x:v>28</x:v>
      </x:c>
      <x:c r="H1494" s="87" t="str">
        <x:v>v0.81</x:v>
      </x:c>
      <x:c r="I1494" s="87" t="str">
        <x:v>1</x:v>
      </x:c>
      <x:c r="J1494" s="30" t="str">
        <x:v>VIS_ID</x:v>
      </x:c>
      <x:c r="K1494" s="30" t="str">
        <x:v>OCT-MATH-0104-06</x:v>
      </x:c>
      <x:c r="L1494" s="87" t="str">
        <x:v>SOURCE_PAGE_REGENERATED_FULL_PAGE_NO_CROP</x:v>
      </x:c>
      <x:c r="M1494" s="87" t="str">
        <x:v>SOURCE_REGENERATED</x:v>
      </x:c>
      <x:c r="N1494" s="87" t="str">
        <x:v>assets/recovered/full/VIS-MATH-OCT-014_full.jpg</x:v>
      </x:c>
      <x:c r="O1494" s="87" t="str">
        <x:v>assets/recovered/thumbnails/VIS-MATH-OCT-014_thumb.jpg</x:v>
      </x:c>
      <x:c r="P1494" s="87" t="str">
        <x:v>f12ccfd0cc748bc9ffc1d92224a24964409f0d1f56345cac51e505443fbed55b</x:v>
      </x:c>
      <x:c r="Q1494" s="30" t="str">
        <x:v>final/v1.10/assets/recovered/full/VIS-MATH-OCT-014_full.jpg</x:v>
      </x:c>
      <x:c r="R1494" s="30" t="str">
        <x:v>SOURCE_REGENERATED_FROM_PDF | Deterministic render from preserved source PDF; legacy expected SHA retained.</x:v>
      </x:c>
      <x:c r="S1494" t="e">
        <x:f>HYPERLINK("visual_gallery/index.html#"&amp;A1494,"Галерея")</x:f>
      </x:c>
    </x:row>
    <x:row r="1495">
      <x:c r="A1495" s="87" t="str">
        <x:v>VIS-MATH-OCT-015</x:v>
      </x:c>
      <x:c r="B1495" s="30" t="str">
        <x:v>Математика</x:v>
      </x:c>
      <x:c r="C1495" s="30" t="str">
        <x:v>МА2510104: задания 7, полная страница источника</x:v>
      </x:c>
      <x:c r="D1495" s="30" t="str">
        <x:v>МА2510104</x:v>
      </x:c>
      <x:c r="E1495" s="87" t="str">
        <x:v>Полная страница с визуальным контекстом</x:v>
      </x:c>
      <x:c r="F1495" s="30" t="str">
        <x:v>Zadanie_MA11_01102025_baza_zapad.pdf</x:v>
      </x:c>
      <x:c r="G1495" s="87" t="str">
        <x:v>29</x:v>
      </x:c>
      <x:c r="H1495" s="87" t="str">
        <x:v>v0.81</x:v>
      </x:c>
      <x:c r="I1495" s="87" t="str">
        <x:v>1</x:v>
      </x:c>
      <x:c r="J1495" s="30" t="str">
        <x:v>VIS_ID</x:v>
      </x:c>
      <x:c r="K1495" s="30" t="str">
        <x:v>OCT-MATH-0104-07</x:v>
      </x:c>
      <x:c r="L1495" s="87" t="str">
        <x:v>SOURCE_PAGE_REGENERATED_FULL_PAGE_NO_CROP</x:v>
      </x:c>
      <x:c r="M1495" s="87" t="str">
        <x:v>SOURCE_REGENERATED</x:v>
      </x:c>
      <x:c r="N1495" s="87" t="str">
        <x:v>assets/recovered/full/VIS-MATH-OCT-015_full.jpg</x:v>
      </x:c>
      <x:c r="O1495" s="87" t="str">
        <x:v>assets/recovered/thumbnails/VIS-MATH-OCT-015_thumb.jpg</x:v>
      </x:c>
      <x:c r="P1495" s="87" t="str">
        <x:v>db3bb23e80145a27abdd4f421c242a8110dc560d0514c9454a4e8c6743d409c3</x:v>
      </x:c>
      <x:c r="Q1495" s="30" t="str">
        <x:v>final/v1.10/assets/recovered/full/VIS-MATH-OCT-015_full.jpg</x:v>
      </x:c>
      <x:c r="R1495" s="30" t="str">
        <x:v>SOURCE_REGENERATED_FROM_PDF | Deterministic render from preserved source PDF; legacy expected SHA retained.</x:v>
      </x:c>
      <x:c r="S1495" t="e">
        <x:f>HYPERLINK("visual_gallery/index.html#"&amp;A1495,"Галерея")</x:f>
      </x:c>
    </x:row>
    <x:row r="1496">
      <x:c r="A1496" s="87" t="str">
        <x:v>VIS-MATH-OCT-016</x:v>
      </x:c>
      <x:c r="B1496" s="30" t="str">
        <x:v>Математика</x:v>
      </x:c>
      <x:c r="C1496" s="30" t="str">
        <x:v>МА2510104: задания 9, 10, 11, полная страница источника</x:v>
      </x:c>
      <x:c r="D1496" s="30" t="str">
        <x:v>МА2510104</x:v>
      </x:c>
      <x:c r="E1496" s="87" t="str">
        <x:v>Полная страница с визуальным контекстом</x:v>
      </x:c>
      <x:c r="F1496" s="30" t="str">
        <x:v>Zadanie_MA11_01102025_baza_zapad.pdf</x:v>
      </x:c>
      <x:c r="G1496" s="87" t="str">
        <x:v>30</x:v>
      </x:c>
      <x:c r="H1496" s="87" t="str">
        <x:v>v0.81</x:v>
      </x:c>
      <x:c r="I1496" s="87" t="str">
        <x:v>3</x:v>
      </x:c>
      <x:c r="J1496" s="30" t="str">
        <x:v>VIS_ID</x:v>
      </x:c>
      <x:c r="K1496" s="30" t="str">
        <x:v>OCT-MATH-0104-09, OCT-MATH-0104-10, OCT-MATH-0104-11</x:v>
      </x:c>
      <x:c r="L1496" s="87" t="str">
        <x:v>SOURCE_PAGE_REGENERATED_FULL_PAGE_NO_CROP</x:v>
      </x:c>
      <x:c r="M1496" s="87" t="str">
        <x:v>SOURCE_REGENERATED</x:v>
      </x:c>
      <x:c r="N1496" s="87" t="str">
        <x:v>assets/recovered/full/VIS-MATH-OCT-016_full.jpg</x:v>
      </x:c>
      <x:c r="O1496" s="87" t="str">
        <x:v>assets/recovered/thumbnails/VIS-MATH-OCT-016_thumb.jpg</x:v>
      </x:c>
      <x:c r="P1496" s="87" t="str">
        <x:v>28eefab5142ccf919ab7d28a161d23e1ef1e31b6b71091d71e2eb696b8ab67b7</x:v>
      </x:c>
      <x:c r="Q1496" s="30" t="str">
        <x:v>final/v1.10/assets/recovered/full/VIS-MATH-OCT-016_full.jpg</x:v>
      </x:c>
      <x:c r="R1496" s="30" t="str">
        <x:v>SOURCE_REGENERATED_FROM_PDF | Deterministic render from preserved source PDF; legacy expected SHA retained.</x:v>
      </x:c>
      <x:c r="S1496" t="e">
        <x:f>HYPERLINK("visual_gallery/index.html#"&amp;A1496,"Галерея")</x:f>
      </x:c>
    </x:row>
    <x:row r="1497">
      <x:c r="A1497" s="87" t="str">
        <x:v>VIS-MATH-OCT-017</x:v>
      </x:c>
      <x:c r="B1497" s="30" t="str">
        <x:v>Математика</x:v>
      </x:c>
      <x:c r="C1497" s="30" t="str">
        <x:v>МА2510105: задания 3, 4, полная страница источника</x:v>
      </x:c>
      <x:c r="D1497" s="30" t="str">
        <x:v>МА2510105</x:v>
      </x:c>
      <x:c r="E1497" s="87" t="str">
        <x:v>Полная страница с визуальным контекстом</x:v>
      </x:c>
      <x:c r="F1497" s="30" t="str">
        <x:v>Zadanie_MA11_01102025_baza_vostok.pdf</x:v>
      </x:c>
      <x:c r="G1497" s="87" t="str">
        <x:v>3</x:v>
      </x:c>
      <x:c r="H1497" s="87" t="str">
        <x:v>v0.81</x:v>
      </x:c>
      <x:c r="I1497" s="87" t="str">
        <x:v>2</x:v>
      </x:c>
      <x:c r="J1497" s="30" t="str">
        <x:v>VIS_ID</x:v>
      </x:c>
      <x:c r="K1497" s="30" t="str">
        <x:v>OCT-MATH-0105-03, OCT-MATH-0105-04</x:v>
      </x:c>
      <x:c r="L1497" s="87" t="str">
        <x:v>SOURCE_PAGE_REGENERATED_FULL_PAGE_NO_CROP</x:v>
      </x:c>
      <x:c r="M1497" s="87" t="str">
        <x:v>SOURCE_REGENERATED</x:v>
      </x:c>
      <x:c r="N1497" s="87" t="str">
        <x:v>assets/recovered/full/VIS-MATH-OCT-017_full.jpg</x:v>
      </x:c>
      <x:c r="O1497" s="87" t="str">
        <x:v>assets/recovered/thumbnails/VIS-MATH-OCT-017_thumb.jpg</x:v>
      </x:c>
      <x:c r="P1497" s="87" t="str">
        <x:v>06533f1cfbc61728f262791428d74253ec739c0807a7de47bb14949a8a0e0051</x:v>
      </x:c>
      <x:c r="Q1497" s="30" t="str">
        <x:v>final/v1.10/assets/recovered/full/VIS-MATH-OCT-017_full.jpg</x:v>
      </x:c>
      <x:c r="R1497" s="30" t="str">
        <x:v>SOURCE_REGENERATED_FROM_PDF | Deterministic render from preserved source PDF; legacy expected SHA retained.</x:v>
      </x:c>
      <x:c r="S1497" t="e">
        <x:f>HYPERLINK("visual_gallery/index.html#"&amp;A1497,"Галерея")</x:f>
      </x:c>
    </x:row>
    <x:row r="1498">
      <x:c r="A1498" s="87" t="str">
        <x:v>VIS-MATH-OCT-018</x:v>
      </x:c>
      <x:c r="B1498" s="30" t="str">
        <x:v>Математика</x:v>
      </x:c>
      <x:c r="C1498" s="30" t="str">
        <x:v>МА2510105: задания 6, полная страница источника</x:v>
      </x:c>
      <x:c r="D1498" s="30" t="str">
        <x:v>МА2510105</x:v>
      </x:c>
      <x:c r="E1498" s="87" t="str">
        <x:v>Полная страница с визуальным контекстом</x:v>
      </x:c>
      <x:c r="F1498" s="30" t="str">
        <x:v>Zadanie_MA11_01102025_baza_vostok.pdf</x:v>
      </x:c>
      <x:c r="G1498" s="87" t="str">
        <x:v>4</x:v>
      </x:c>
      <x:c r="H1498" s="87" t="str">
        <x:v>v0.81</x:v>
      </x:c>
      <x:c r="I1498" s="87" t="str">
        <x:v>1</x:v>
      </x:c>
      <x:c r="J1498" s="30" t="str">
        <x:v>VIS_ID</x:v>
      </x:c>
      <x:c r="K1498" s="30" t="str">
        <x:v>OCT-MATH-0105-06</x:v>
      </x:c>
      <x:c r="L1498" s="87" t="str">
        <x:v>SOURCE_PAGE_REGENERATED_FULL_PAGE_NO_CROP</x:v>
      </x:c>
      <x:c r="M1498" s="87" t="str">
        <x:v>SOURCE_REGENERATED</x:v>
      </x:c>
      <x:c r="N1498" s="87" t="str">
        <x:v>assets/recovered/full/VIS-MATH-OCT-018_full.jpg</x:v>
      </x:c>
      <x:c r="O1498" s="87" t="str">
        <x:v>assets/recovered/thumbnails/VIS-MATH-OCT-018_thumb.jpg</x:v>
      </x:c>
      <x:c r="P1498" s="87" t="str">
        <x:v>17d73623f0d10ebe62684fc0627b6d88babe4f38740463339121d537954863a6</x:v>
      </x:c>
      <x:c r="Q1498" s="30" t="str">
        <x:v>final/v1.10/assets/recovered/full/VIS-MATH-OCT-018_full.jpg</x:v>
      </x:c>
      <x:c r="R1498" s="30" t="str">
        <x:v>SOURCE_REGENERATED_FROM_PDF | Deterministic render from preserved source PDF; legacy expected SHA retained.</x:v>
      </x:c>
      <x:c r="S1498" t="e">
        <x:f>HYPERLINK("visual_gallery/index.html#"&amp;A1498,"Галерея")</x:f>
      </x:c>
    </x:row>
    <x:row r="1499">
      <x:c r="A1499" s="87" t="str">
        <x:v>VIS-MATH-OCT-019</x:v>
      </x:c>
      <x:c r="B1499" s="30" t="str">
        <x:v>Математика</x:v>
      </x:c>
      <x:c r="C1499" s="30" t="str">
        <x:v>МА2510105: задания 7, полная страница источника</x:v>
      </x:c>
      <x:c r="D1499" s="30" t="str">
        <x:v>МА2510105</x:v>
      </x:c>
      <x:c r="E1499" s="87" t="str">
        <x:v>Полная страница с визуальным контекстом</x:v>
      </x:c>
      <x:c r="F1499" s="30" t="str">
        <x:v>Zadanie_MA11_01102025_baza_vostok.pdf</x:v>
      </x:c>
      <x:c r="G1499" s="87" t="str">
        <x:v>5</x:v>
      </x:c>
      <x:c r="H1499" s="87" t="str">
        <x:v>v0.81</x:v>
      </x:c>
      <x:c r="I1499" s="87" t="str">
        <x:v>1</x:v>
      </x:c>
      <x:c r="J1499" s="30" t="str">
        <x:v>VIS_ID</x:v>
      </x:c>
      <x:c r="K1499" s="30" t="str">
        <x:v>OCT-MATH-0105-07</x:v>
      </x:c>
      <x:c r="L1499" s="87" t="str">
        <x:v>SOURCE_PAGE_REGENERATED_FULL_PAGE_NO_CROP</x:v>
      </x:c>
      <x:c r="M1499" s="87" t="str">
        <x:v>SOURCE_REGENERATED</x:v>
      </x:c>
      <x:c r="N1499" s="87" t="str">
        <x:v>assets/recovered/full/VIS-MATH-OCT-019_full.jpg</x:v>
      </x:c>
      <x:c r="O1499" s="87" t="str">
        <x:v>assets/recovered/thumbnails/VIS-MATH-OCT-019_thumb.jpg</x:v>
      </x:c>
      <x:c r="P1499" s="87" t="str">
        <x:v>cc47444bd13717ae8e437da9c92ff0b38830536d1448421a9d8fc6ef59ee880f</x:v>
      </x:c>
      <x:c r="Q1499" s="30" t="str">
        <x:v>final/v1.10/assets/recovered/full/VIS-MATH-OCT-019_full.jpg</x:v>
      </x:c>
      <x:c r="R1499" s="30" t="str">
        <x:v>SOURCE_REGENERATED_FROM_PDF | Deterministic render from preserved source PDF; legacy expected SHA retained.</x:v>
      </x:c>
      <x:c r="S1499" t="e">
        <x:f>HYPERLINK("visual_gallery/index.html#"&amp;A1499,"Галерея")</x:f>
      </x:c>
    </x:row>
    <x:row r="1500">
      <x:c r="A1500" s="87" t="str">
        <x:v>VIS-MATH-OCT-020</x:v>
      </x:c>
      <x:c r="B1500" s="30" t="str">
        <x:v>Математика</x:v>
      </x:c>
      <x:c r="C1500" s="30" t="str">
        <x:v>МА2510105: задания 9, полная страница источника</x:v>
      </x:c>
      <x:c r="D1500" s="30" t="str">
        <x:v>МА2510105</x:v>
      </x:c>
      <x:c r="E1500" s="87" t="str">
        <x:v>Полная страница с визуальным контекстом</x:v>
      </x:c>
      <x:c r="F1500" s="30" t="str">
        <x:v>Zadanie_MA11_01102025_baza_vostok.pdf</x:v>
      </x:c>
      <x:c r="G1500" s="87" t="str">
        <x:v>6</x:v>
      </x:c>
      <x:c r="H1500" s="87" t="str">
        <x:v>v0.81</x:v>
      </x:c>
      <x:c r="I1500" s="87" t="str">
        <x:v>1</x:v>
      </x:c>
      <x:c r="J1500" s="30" t="str">
        <x:v>VIS_ID</x:v>
      </x:c>
      <x:c r="K1500" s="30" t="str">
        <x:v>OCT-MATH-0105-09</x:v>
      </x:c>
      <x:c r="L1500" s="87" t="str">
        <x:v>SOURCE_PAGE_REGENERATED_FULL_PAGE_NO_CROP</x:v>
      </x:c>
      <x:c r="M1500" s="87" t="str">
        <x:v>SOURCE_REGENERATED</x:v>
      </x:c>
      <x:c r="N1500" s="87" t="str">
        <x:v>assets/recovered/full/VIS-MATH-OCT-020_full.jpg</x:v>
      </x:c>
      <x:c r="O1500" s="87" t="str">
        <x:v>assets/recovered/thumbnails/VIS-MATH-OCT-020_thumb.jpg</x:v>
      </x:c>
      <x:c r="P1500" s="87" t="str">
        <x:v>9b4c7be433be8e694a9d35bf174cd46d6f06d5cddc00e52efa1ef29966f353dd</x:v>
      </x:c>
      <x:c r="Q1500" s="30" t="str">
        <x:v>final/v1.10/assets/recovered/full/VIS-MATH-OCT-020_full.jpg</x:v>
      </x:c>
      <x:c r="R1500" s="30" t="str">
        <x:v>SOURCE_REGENERATED_FROM_PDF | Deterministic render from preserved source PDF; legacy expected SHA retained.</x:v>
      </x:c>
      <x:c r="S1500" t="e">
        <x:f>HYPERLINK("visual_gallery/index.html#"&amp;A1500,"Галерея")</x:f>
      </x:c>
    </x:row>
    <x:row r="1501">
      <x:c r="A1501" s="87" t="str">
        <x:v>VIS-MATH-OCT-021</x:v>
      </x:c>
      <x:c r="B1501" s="30" t="str">
        <x:v>Математика</x:v>
      </x:c>
      <x:c r="C1501" s="30" t="str">
        <x:v>МА2510106: задания 3, 4, полная страница источника</x:v>
      </x:c>
      <x:c r="D1501" s="30" t="str">
        <x:v>МА2510106</x:v>
      </x:c>
      <x:c r="E1501" s="87" t="str">
        <x:v>Полная страница с визуальным контекстом</x:v>
      </x:c>
      <x:c r="F1501" s="30" t="str">
        <x:v>Zadanie_MA11_01102025_baza_vostok.pdf</x:v>
      </x:c>
      <x:c r="G1501" s="87" t="str">
        <x:v>11</x:v>
      </x:c>
      <x:c r="H1501" s="87" t="str">
        <x:v>v0.81</x:v>
      </x:c>
      <x:c r="I1501" s="87" t="str">
        <x:v>2</x:v>
      </x:c>
      <x:c r="J1501" s="30" t="str">
        <x:v>VIS_ID</x:v>
      </x:c>
      <x:c r="K1501" s="30" t="str">
        <x:v>OCT-MATH-0106-03, OCT-MATH-0106-04</x:v>
      </x:c>
      <x:c r="L1501" s="87" t="str">
        <x:v>SOURCE_PAGE_REGENERATED_FULL_PAGE_NO_CROP</x:v>
      </x:c>
      <x:c r="M1501" s="87" t="str">
        <x:v>SOURCE_REGENERATED</x:v>
      </x:c>
      <x:c r="N1501" s="87" t="str">
        <x:v>assets/recovered/full/VIS-MATH-OCT-021_full.jpg</x:v>
      </x:c>
      <x:c r="O1501" s="87" t="str">
        <x:v>assets/recovered/thumbnails/VIS-MATH-OCT-021_thumb.jpg</x:v>
      </x:c>
      <x:c r="P1501" s="87" t="str">
        <x:v>46b944b8e92e65e698b50be54ffa3ddce600dc76eacb8f341dd52405548a7afa</x:v>
      </x:c>
      <x:c r="Q1501" s="30" t="str">
        <x:v>final/v1.10/assets/recovered/full/VIS-MATH-OCT-021_full.jpg</x:v>
      </x:c>
      <x:c r="R1501" s="30" t="str">
        <x:v>SOURCE_REGENERATED_FROM_PDF | Deterministic render from preserved source PDF; legacy expected SHA retained.</x:v>
      </x:c>
      <x:c r="S1501" t="e">
        <x:f>HYPERLINK("visual_gallery/index.html#"&amp;A1501,"Галерея")</x:f>
      </x:c>
    </x:row>
    <x:row r="1502">
      <x:c r="A1502" s="87" t="str">
        <x:v>VIS-MATH-OCT-022</x:v>
      </x:c>
      <x:c r="B1502" s="30" t="str">
        <x:v>Математика</x:v>
      </x:c>
      <x:c r="C1502" s="30" t="str">
        <x:v>МА2510106: задания 6, полная страница источника</x:v>
      </x:c>
      <x:c r="D1502" s="30" t="str">
        <x:v>МА2510106</x:v>
      </x:c>
      <x:c r="E1502" s="87" t="str">
        <x:v>Полная страница с визуальным контекстом</x:v>
      </x:c>
      <x:c r="F1502" s="30" t="str">
        <x:v>Zadanie_MA11_01102025_baza_vostok.pdf</x:v>
      </x:c>
      <x:c r="G1502" s="87" t="str">
        <x:v>12</x:v>
      </x:c>
      <x:c r="H1502" s="87" t="str">
        <x:v>v0.81</x:v>
      </x:c>
      <x:c r="I1502" s="87" t="str">
        <x:v>1</x:v>
      </x:c>
      <x:c r="J1502" s="30" t="str">
        <x:v>VIS_ID</x:v>
      </x:c>
      <x:c r="K1502" s="30" t="str">
        <x:v>OCT-MATH-0106-06</x:v>
      </x:c>
      <x:c r="L1502" s="87" t="str">
        <x:v>SOURCE_PAGE_REGENERATED_FULL_PAGE_NO_CROP</x:v>
      </x:c>
      <x:c r="M1502" s="87" t="str">
        <x:v>SOURCE_REGENERATED</x:v>
      </x:c>
      <x:c r="N1502" s="87" t="str">
        <x:v>assets/recovered/full/VIS-MATH-OCT-022_full.jpg</x:v>
      </x:c>
      <x:c r="O1502" s="87" t="str">
        <x:v>assets/recovered/thumbnails/VIS-MATH-OCT-022_thumb.jpg</x:v>
      </x:c>
      <x:c r="P1502" s="87" t="str">
        <x:v>776f9090e6843ccaeb011fd1a73edb64c1b924681be1ab7b425d81502399c0e5</x:v>
      </x:c>
      <x:c r="Q1502" s="30" t="str">
        <x:v>final/v1.10/assets/recovered/full/VIS-MATH-OCT-022_full.jpg</x:v>
      </x:c>
      <x:c r="R1502" s="30" t="str">
        <x:v>SOURCE_REGENERATED_FROM_PDF | Deterministic render from preserved source PDF; legacy expected SHA retained.</x:v>
      </x:c>
      <x:c r="S1502" t="e">
        <x:f>HYPERLINK("visual_gallery/index.html#"&amp;A1502,"Галерея")</x:f>
      </x:c>
    </x:row>
    <x:row r="1503">
      <x:c r="A1503" s="87" t="str">
        <x:v>VIS-MATH-OCT-023</x:v>
      </x:c>
      <x:c r="B1503" s="30" t="str">
        <x:v>Математика</x:v>
      </x:c>
      <x:c r="C1503" s="30" t="str">
        <x:v>МА2510106: задания 7, полная страница источника</x:v>
      </x:c>
      <x:c r="D1503" s="30" t="str">
        <x:v>МА2510106</x:v>
      </x:c>
      <x:c r="E1503" s="87" t="str">
        <x:v>Полная страница с визуальным контекстом</x:v>
      </x:c>
      <x:c r="F1503" s="30" t="str">
        <x:v>Zadanie_MA11_01102025_baza_vostok.pdf</x:v>
      </x:c>
      <x:c r="G1503" s="87" t="str">
        <x:v>13</x:v>
      </x:c>
      <x:c r="H1503" s="87" t="str">
        <x:v>v0.81</x:v>
      </x:c>
      <x:c r="I1503" s="87" t="str">
        <x:v>1</x:v>
      </x:c>
      <x:c r="J1503" s="30" t="str">
        <x:v>VIS_ID</x:v>
      </x:c>
      <x:c r="K1503" s="30" t="str">
        <x:v>OCT-MATH-0106-07</x:v>
      </x:c>
      <x:c r="L1503" s="87" t="str">
        <x:v>SOURCE_PAGE_REGENERATED_FULL_PAGE_NO_CROP</x:v>
      </x:c>
      <x:c r="M1503" s="87" t="str">
        <x:v>SOURCE_REGENERATED</x:v>
      </x:c>
      <x:c r="N1503" s="87" t="str">
        <x:v>assets/recovered/full/VIS-MATH-OCT-023_full.jpg</x:v>
      </x:c>
      <x:c r="O1503" s="87" t="str">
        <x:v>assets/recovered/thumbnails/VIS-MATH-OCT-023_thumb.jpg</x:v>
      </x:c>
      <x:c r="P1503" s="87" t="str">
        <x:v>d82ceec37b53160dfdf76f37ab4f40bbdcd30710175d4c03cd31c9991d01d2e6</x:v>
      </x:c>
      <x:c r="Q1503" s="30" t="str">
        <x:v>final/v1.10/assets/recovered/full/VIS-MATH-OCT-023_full.jpg</x:v>
      </x:c>
      <x:c r="R1503" s="30" t="str">
        <x:v>SOURCE_REGENERATED_FROM_PDF | Deterministic render from preserved source PDF; legacy expected SHA retained.</x:v>
      </x:c>
      <x:c r="S1503" t="e">
        <x:f>HYPERLINK("visual_gallery/index.html#"&amp;A1503,"Галерея")</x:f>
      </x:c>
    </x:row>
    <x:row r="1504">
      <x:c r="A1504" s="87" t="str">
        <x:v>VIS-MATH-OCT-024</x:v>
      </x:c>
      <x:c r="B1504" s="30" t="str">
        <x:v>Математика</x:v>
      </x:c>
      <x:c r="C1504" s="30" t="str">
        <x:v>МА2510106: задания 9, полная страница источника</x:v>
      </x:c>
      <x:c r="D1504" s="30" t="str">
        <x:v>МА2510106</x:v>
      </x:c>
      <x:c r="E1504" s="87" t="str">
        <x:v>Полная страница с визуальным контекстом</x:v>
      </x:c>
      <x:c r="F1504" s="30" t="str">
        <x:v>Zadanie_MA11_01102025_baza_vostok.pdf</x:v>
      </x:c>
      <x:c r="G1504" s="87" t="str">
        <x:v>14</x:v>
      </x:c>
      <x:c r="H1504" s="87" t="str">
        <x:v>v0.81</x:v>
      </x:c>
      <x:c r="I1504" s="87" t="str">
        <x:v>1</x:v>
      </x:c>
      <x:c r="J1504" s="30" t="str">
        <x:v>VIS_ID</x:v>
      </x:c>
      <x:c r="K1504" s="30" t="str">
        <x:v>OCT-MATH-0106-09</x:v>
      </x:c>
      <x:c r="L1504" s="87" t="str">
        <x:v>SOURCE_PAGE_REGENERATED_FULL_PAGE_NO_CROP</x:v>
      </x:c>
      <x:c r="M1504" s="87" t="str">
        <x:v>SOURCE_REGENERATED</x:v>
      </x:c>
      <x:c r="N1504" s="87" t="str">
        <x:v>assets/recovered/full/VIS-MATH-OCT-024_full.jpg</x:v>
      </x:c>
      <x:c r="O1504" s="87" t="str">
        <x:v>assets/recovered/thumbnails/VIS-MATH-OCT-024_thumb.jpg</x:v>
      </x:c>
      <x:c r="P1504" s="87" t="str">
        <x:v>1b4475909195e4590b2fb1b1cb0d699ada5099432d46fe5b38ecfc16de3eeae9</x:v>
      </x:c>
      <x:c r="Q1504" s="30" t="str">
        <x:v>final/v1.10/assets/recovered/full/VIS-MATH-OCT-024_full.jpg</x:v>
      </x:c>
      <x:c r="R1504" s="30" t="str">
        <x:v>SOURCE_REGENERATED_FROM_PDF | Deterministic render from preserved source PDF; legacy expected SHA retained.</x:v>
      </x:c>
      <x:c r="S1504" t="e">
        <x:f>HYPERLINK("visual_gallery/index.html#"&amp;A1504,"Галерея")</x:f>
      </x:c>
    </x:row>
    <x:row r="1505">
      <x:c r="A1505" s="87" t="str">
        <x:v>VIS-MATH-OCT-025</x:v>
      </x:c>
      <x:c r="B1505" s="30" t="str">
        <x:v>Математика</x:v>
      </x:c>
      <x:c r="C1505" s="30" t="str">
        <x:v>МА2510107: задания 3, 4, полная страница источника</x:v>
      </x:c>
      <x:c r="D1505" s="30" t="str">
        <x:v>МА2510107</x:v>
      </x:c>
      <x:c r="E1505" s="87" t="str">
        <x:v>Полная страница с визуальным контекстом</x:v>
      </x:c>
      <x:c r="F1505" s="30" t="str">
        <x:v>Zadanie_MA11_01102025_baza_vostok.pdf</x:v>
      </x:c>
      <x:c r="G1505" s="87" t="str">
        <x:v>19</x:v>
      </x:c>
      <x:c r="H1505" s="87" t="str">
        <x:v>v0.81</x:v>
      </x:c>
      <x:c r="I1505" s="87" t="str">
        <x:v>2</x:v>
      </x:c>
      <x:c r="J1505" s="30" t="str">
        <x:v>VIS_ID</x:v>
      </x:c>
      <x:c r="K1505" s="30" t="str">
        <x:v>OCT-MATH-0107-03, OCT-MATH-0107-04</x:v>
      </x:c>
      <x:c r="L1505" s="87" t="str">
        <x:v>SOURCE_PAGE_REGENERATED_FULL_PAGE_NO_CROP</x:v>
      </x:c>
      <x:c r="M1505" s="87" t="str">
        <x:v>SOURCE_REGENERATED</x:v>
      </x:c>
      <x:c r="N1505" s="87" t="str">
        <x:v>assets/recovered/full/VIS-MATH-OCT-025_full.jpg</x:v>
      </x:c>
      <x:c r="O1505" s="87" t="str">
        <x:v>assets/recovered/thumbnails/VIS-MATH-OCT-025_thumb.jpg</x:v>
      </x:c>
      <x:c r="P1505" s="87" t="str">
        <x:v>5cf8c6c0e00bfc010966be094b910202d8d03071e5d057b0d8cd009b14b933c2</x:v>
      </x:c>
      <x:c r="Q1505" s="30" t="str">
        <x:v>final/v1.10/assets/recovered/full/VIS-MATH-OCT-025_full.jpg</x:v>
      </x:c>
      <x:c r="R1505" s="30" t="str">
        <x:v>SOURCE_REGENERATED_FROM_PDF | Deterministic render from preserved source PDF; legacy expected SHA retained.</x:v>
      </x:c>
      <x:c r="S1505" t="e">
        <x:f>HYPERLINK("visual_gallery/index.html#"&amp;A1505,"Галерея")</x:f>
      </x:c>
    </x:row>
    <x:row r="1506">
      <x:c r="A1506" s="87" t="str">
        <x:v>VIS-MATH-OCT-026</x:v>
      </x:c>
      <x:c r="B1506" s="30" t="str">
        <x:v>Математика</x:v>
      </x:c>
      <x:c r="C1506" s="30" t="str">
        <x:v>МА2510107: задания 6, полная страница источника</x:v>
      </x:c>
      <x:c r="D1506" s="30" t="str">
        <x:v>МА2510107</x:v>
      </x:c>
      <x:c r="E1506" s="87" t="str">
        <x:v>Полная страница с визуальным контекстом</x:v>
      </x:c>
      <x:c r="F1506" s="30" t="str">
        <x:v>Zadanie_MA11_01102025_baza_vostok.pdf</x:v>
      </x:c>
      <x:c r="G1506" s="87" t="str">
        <x:v>20</x:v>
      </x:c>
      <x:c r="H1506" s="87" t="str">
        <x:v>v0.81</x:v>
      </x:c>
      <x:c r="I1506" s="87" t="str">
        <x:v>1</x:v>
      </x:c>
      <x:c r="J1506" s="30" t="str">
        <x:v>VIS_ID</x:v>
      </x:c>
      <x:c r="K1506" s="30" t="str">
        <x:v>OCT-MATH-0107-06</x:v>
      </x:c>
      <x:c r="L1506" s="87" t="str">
        <x:v>SOURCE_PAGE_REGENERATED_FULL_PAGE_NO_CROP</x:v>
      </x:c>
      <x:c r="M1506" s="87" t="str">
        <x:v>SOURCE_REGENERATED</x:v>
      </x:c>
      <x:c r="N1506" s="87" t="str">
        <x:v>assets/recovered/full/VIS-MATH-OCT-026_full.jpg</x:v>
      </x:c>
      <x:c r="O1506" s="87" t="str">
        <x:v>assets/recovered/thumbnails/VIS-MATH-OCT-026_thumb.jpg</x:v>
      </x:c>
      <x:c r="P1506" s="87" t="str">
        <x:v>3302d9205fb0268a3186c89972b5fc6d9fb5ca2a3bd6d81fc77e25a6de5536d0</x:v>
      </x:c>
      <x:c r="Q1506" s="30" t="str">
        <x:v>final/v1.10/assets/recovered/full/VIS-MATH-OCT-026_full.jpg</x:v>
      </x:c>
      <x:c r="R1506" s="30" t="str">
        <x:v>SOURCE_REGENERATED_FROM_PDF | Deterministic render from preserved source PDF; legacy expected SHA retained.</x:v>
      </x:c>
      <x:c r="S1506" t="e">
        <x:f>HYPERLINK("visual_gallery/index.html#"&amp;A1506,"Галерея")</x:f>
      </x:c>
    </x:row>
    <x:row r="1507">
      <x:c r="A1507" s="87" t="str">
        <x:v>VIS-MATH-OCT-027</x:v>
      </x:c>
      <x:c r="B1507" s="30" t="str">
        <x:v>Математика</x:v>
      </x:c>
      <x:c r="C1507" s="30" t="str">
        <x:v>МА2510107: задания 7, полная страница источника</x:v>
      </x:c>
      <x:c r="D1507" s="30" t="str">
        <x:v>МА2510107</x:v>
      </x:c>
      <x:c r="E1507" s="87" t="str">
        <x:v>Полная страница с визуальным контекстом</x:v>
      </x:c>
      <x:c r="F1507" s="30" t="str">
        <x:v>Zadanie_MA11_01102025_baza_vostok.pdf</x:v>
      </x:c>
      <x:c r="G1507" s="87" t="str">
        <x:v>21</x:v>
      </x:c>
      <x:c r="H1507" s="87" t="str">
        <x:v>v0.81</x:v>
      </x:c>
      <x:c r="I1507" s="87" t="str">
        <x:v>1</x:v>
      </x:c>
      <x:c r="J1507" s="30" t="str">
        <x:v>VIS_ID</x:v>
      </x:c>
      <x:c r="K1507" s="30" t="str">
        <x:v>OCT-MATH-0107-07</x:v>
      </x:c>
      <x:c r="L1507" s="87" t="str">
        <x:v>SOURCE_PAGE_REGENERATED_FULL_PAGE_NO_CROP</x:v>
      </x:c>
      <x:c r="M1507" s="87" t="str">
        <x:v>SOURCE_REGENERATED</x:v>
      </x:c>
      <x:c r="N1507" s="87" t="str">
        <x:v>assets/recovered/full/VIS-MATH-OCT-027_full.jpg</x:v>
      </x:c>
      <x:c r="O1507" s="87" t="str">
        <x:v>assets/recovered/thumbnails/VIS-MATH-OCT-027_thumb.jpg</x:v>
      </x:c>
      <x:c r="P1507" s="87" t="str">
        <x:v>4dc62c10f5df058a979863bd64683c4bd3ded2850f00c62eefc00db9bd0d5846</x:v>
      </x:c>
      <x:c r="Q1507" s="30" t="str">
        <x:v>final/v1.10/assets/recovered/full/VIS-MATH-OCT-027_full.jpg</x:v>
      </x:c>
      <x:c r="R1507" s="30" t="str">
        <x:v>SOURCE_REGENERATED_FROM_PDF | Deterministic render from preserved source PDF; legacy expected SHA retained.</x:v>
      </x:c>
      <x:c r="S1507" t="e">
        <x:f>HYPERLINK("visual_gallery/index.html#"&amp;A1507,"Галерея")</x:f>
      </x:c>
    </x:row>
    <x:row r="1508">
      <x:c r="A1508" s="87" t="str">
        <x:v>VIS-MATH-OCT-028</x:v>
      </x:c>
      <x:c r="B1508" s="30" t="str">
        <x:v>Математика</x:v>
      </x:c>
      <x:c r="C1508" s="30" t="str">
        <x:v>МА2510107: задания 9, полная страница источника</x:v>
      </x:c>
      <x:c r="D1508" s="30" t="str">
        <x:v>МА2510107</x:v>
      </x:c>
      <x:c r="E1508" s="87" t="str">
        <x:v>Полная страница с визуальным контекстом</x:v>
      </x:c>
      <x:c r="F1508" s="30" t="str">
        <x:v>Zadanie_MA11_01102025_baza_vostok.pdf</x:v>
      </x:c>
      <x:c r="G1508" s="87" t="str">
        <x:v>22</x:v>
      </x:c>
      <x:c r="H1508" s="87" t="str">
        <x:v>v0.81</x:v>
      </x:c>
      <x:c r="I1508" s="87" t="str">
        <x:v>1</x:v>
      </x:c>
      <x:c r="J1508" s="30" t="str">
        <x:v>VIS_ID</x:v>
      </x:c>
      <x:c r="K1508" s="30" t="str">
        <x:v>OCT-MATH-0107-09</x:v>
      </x:c>
      <x:c r="L1508" s="87" t="str">
        <x:v>SOURCE_PAGE_REGENERATED_FULL_PAGE_NO_CROP</x:v>
      </x:c>
      <x:c r="M1508" s="87" t="str">
        <x:v>SOURCE_REGENERATED</x:v>
      </x:c>
      <x:c r="N1508" s="87" t="str">
        <x:v>assets/recovered/full/VIS-MATH-OCT-028_full.jpg</x:v>
      </x:c>
      <x:c r="O1508" s="87" t="str">
        <x:v>assets/recovered/thumbnails/VIS-MATH-OCT-028_thumb.jpg</x:v>
      </x:c>
      <x:c r="P1508" s="87" t="str">
        <x:v>ae150ac3eea74bda2b28b0ad96e3cf0a2b9f88219eff04da8510fdbd2c237d53</x:v>
      </x:c>
      <x:c r="Q1508" s="30" t="str">
        <x:v>final/v1.10/assets/recovered/full/VIS-MATH-OCT-028_full.jpg</x:v>
      </x:c>
      <x:c r="R1508" s="30" t="str">
        <x:v>SOURCE_REGENERATED_FROM_PDF | Deterministic render from preserved source PDF; legacy expected SHA retained.</x:v>
      </x:c>
      <x:c r="S1508" t="e">
        <x:f>HYPERLINK("visual_gallery/index.html#"&amp;A1508,"Галерея")</x:f>
      </x:c>
    </x:row>
    <x:row r="1509">
      <x:c r="A1509" s="87" t="str">
        <x:v>VIS-MATH-OCT-029</x:v>
      </x:c>
      <x:c r="B1509" s="30" t="str">
        <x:v>Математика</x:v>
      </x:c>
      <x:c r="C1509" s="30" t="str">
        <x:v>МА2510108: задания 3, 4, полная страница источника</x:v>
      </x:c>
      <x:c r="D1509" s="30" t="str">
        <x:v>МА2510108</x:v>
      </x:c>
      <x:c r="E1509" s="87" t="str">
        <x:v>Полная страница с визуальным контекстом</x:v>
      </x:c>
      <x:c r="F1509" s="30" t="str">
        <x:v>Zadanie_MA11_01102025_baza_vostok.pdf</x:v>
      </x:c>
      <x:c r="G1509" s="87" t="str">
        <x:v>27</x:v>
      </x:c>
      <x:c r="H1509" s="87" t="str">
        <x:v>v0.81</x:v>
      </x:c>
      <x:c r="I1509" s="87" t="str">
        <x:v>2</x:v>
      </x:c>
      <x:c r="J1509" s="30" t="str">
        <x:v>VIS_ID</x:v>
      </x:c>
      <x:c r="K1509" s="30" t="str">
        <x:v>OCT-MATH-0108-03, OCT-MATH-0108-04</x:v>
      </x:c>
      <x:c r="L1509" s="87" t="str">
        <x:v>SOURCE_PAGE_REGENERATED_FULL_PAGE_NO_CROP</x:v>
      </x:c>
      <x:c r="M1509" s="87" t="str">
        <x:v>SOURCE_REGENERATED</x:v>
      </x:c>
      <x:c r="N1509" s="87" t="str">
        <x:v>assets/recovered/full/VIS-MATH-OCT-029_full.jpg</x:v>
      </x:c>
      <x:c r="O1509" s="87" t="str">
        <x:v>assets/recovered/thumbnails/VIS-MATH-OCT-029_thumb.jpg</x:v>
      </x:c>
      <x:c r="P1509" s="87" t="str">
        <x:v>6865ab0cdd55c160ab1ef52379586f2ad17c08a9ab9ce5a5be11c4eb6d248284</x:v>
      </x:c>
      <x:c r="Q1509" s="30" t="str">
        <x:v>final/v1.10/assets/recovered/full/VIS-MATH-OCT-029_full.jpg</x:v>
      </x:c>
      <x:c r="R1509" s="30" t="str">
        <x:v>SOURCE_REGENERATED_FROM_PDF | Deterministic render from preserved source PDF; legacy expected SHA retained.</x:v>
      </x:c>
      <x:c r="S1509" t="e">
        <x:f>HYPERLINK("visual_gallery/index.html#"&amp;A1509,"Галерея")</x:f>
      </x:c>
    </x:row>
    <x:row r="1510">
      <x:c r="A1510" s="87" t="str">
        <x:v>VIS-MATH-OCT-030</x:v>
      </x:c>
      <x:c r="B1510" s="30" t="str">
        <x:v>Математика</x:v>
      </x:c>
      <x:c r="C1510" s="30" t="str">
        <x:v>МА2510108: задания 6, полная страница источника</x:v>
      </x:c>
      <x:c r="D1510" s="30" t="str">
        <x:v>МА2510108</x:v>
      </x:c>
      <x:c r="E1510" s="87" t="str">
        <x:v>Полная страница с визуальным контекстом</x:v>
      </x:c>
      <x:c r="F1510" s="30" t="str">
        <x:v>Zadanie_MA11_01102025_baza_vostok.pdf</x:v>
      </x:c>
      <x:c r="G1510" s="87" t="str">
        <x:v>28</x:v>
      </x:c>
      <x:c r="H1510" s="87" t="str">
        <x:v>v0.81</x:v>
      </x:c>
      <x:c r="I1510" s="87" t="str">
        <x:v>1</x:v>
      </x:c>
      <x:c r="J1510" s="30" t="str">
        <x:v>VIS_ID</x:v>
      </x:c>
      <x:c r="K1510" s="30" t="str">
        <x:v>OCT-MATH-0108-06</x:v>
      </x:c>
      <x:c r="L1510" s="87" t="str">
        <x:v>SOURCE_PAGE_REGENERATED_FULL_PAGE_NO_CROP</x:v>
      </x:c>
      <x:c r="M1510" s="87" t="str">
        <x:v>SOURCE_REGENERATED</x:v>
      </x:c>
      <x:c r="N1510" s="87" t="str">
        <x:v>assets/recovered/full/VIS-MATH-OCT-030_full.jpg</x:v>
      </x:c>
      <x:c r="O1510" s="87" t="str">
        <x:v>assets/recovered/thumbnails/VIS-MATH-OCT-030_thumb.jpg</x:v>
      </x:c>
      <x:c r="P1510" s="87" t="str">
        <x:v>0ee0bb5bbe5e09c405e4a988208459746de277b9e9df11b0646a9191d97bc30f</x:v>
      </x:c>
      <x:c r="Q1510" s="30" t="str">
        <x:v>final/v1.10/assets/recovered/full/VIS-MATH-OCT-030_full.jpg</x:v>
      </x:c>
      <x:c r="R1510" s="30" t="str">
        <x:v>SOURCE_REGENERATED_FROM_PDF | Deterministic render from preserved source PDF; legacy expected SHA retained.</x:v>
      </x:c>
      <x:c r="S1510" t="e">
        <x:f>HYPERLINK("visual_gallery/index.html#"&amp;A1510,"Галерея")</x:f>
      </x:c>
    </x:row>
    <x:row r="1511">
      <x:c r="A1511" s="87" t="str">
        <x:v>VIS-MATH-OCT-031</x:v>
      </x:c>
      <x:c r="B1511" s="30" t="str">
        <x:v>Математика</x:v>
      </x:c>
      <x:c r="C1511" s="30" t="str">
        <x:v>МА2510108: задания 7, полная страница источника</x:v>
      </x:c>
      <x:c r="D1511" s="30" t="str">
        <x:v>МА2510108</x:v>
      </x:c>
      <x:c r="E1511" s="87" t="str">
        <x:v>Полная страница с визуальным контекстом</x:v>
      </x:c>
      <x:c r="F1511" s="30" t="str">
        <x:v>Zadanie_MA11_01102025_baza_vostok.pdf</x:v>
      </x:c>
      <x:c r="G1511" s="87" t="str">
        <x:v>29</x:v>
      </x:c>
      <x:c r="H1511" s="87" t="str">
        <x:v>v0.81</x:v>
      </x:c>
      <x:c r="I1511" s="87" t="str">
        <x:v>1</x:v>
      </x:c>
      <x:c r="J1511" s="30" t="str">
        <x:v>VIS_ID</x:v>
      </x:c>
      <x:c r="K1511" s="30" t="str">
        <x:v>OCT-MATH-0108-07</x:v>
      </x:c>
      <x:c r="L1511" s="87" t="str">
        <x:v>SOURCE_PAGE_REGENERATED_FULL_PAGE_NO_CROP</x:v>
      </x:c>
      <x:c r="M1511" s="87" t="str">
        <x:v>SOURCE_REGENERATED</x:v>
      </x:c>
      <x:c r="N1511" s="87" t="str">
        <x:v>assets/recovered/full/VIS-MATH-OCT-031_full.jpg</x:v>
      </x:c>
      <x:c r="O1511" s="87" t="str">
        <x:v>assets/recovered/thumbnails/VIS-MATH-OCT-031_thumb.jpg</x:v>
      </x:c>
      <x:c r="P1511" s="87" t="str">
        <x:v>35cb2dad6f74f01f2b39d601e163a35680f190cf27900e57815ca1800a3be2f4</x:v>
      </x:c>
      <x:c r="Q1511" s="30" t="str">
        <x:v>final/v1.10/assets/recovered/full/VIS-MATH-OCT-031_full.jpg</x:v>
      </x:c>
      <x:c r="R1511" s="30" t="str">
        <x:v>SOURCE_REGENERATED_FROM_PDF | Deterministic render from preserved source PDF; legacy expected SHA retained.</x:v>
      </x:c>
      <x:c r="S1511" t="e">
        <x:f>HYPERLINK("visual_gallery/index.html#"&amp;A1511,"Галерея")</x:f>
      </x:c>
    </x:row>
    <x:row r="1512">
      <x:c r="A1512" s="87" t="str">
        <x:v>VIS-MATH-OCT-032</x:v>
      </x:c>
      <x:c r="B1512" s="30" t="str">
        <x:v>Математика</x:v>
      </x:c>
      <x:c r="C1512" s="30" t="str">
        <x:v>МА2510108: задания 9, полная страница источника</x:v>
      </x:c>
      <x:c r="D1512" s="30" t="str">
        <x:v>МА2510108</x:v>
      </x:c>
      <x:c r="E1512" s="87" t="str">
        <x:v>Полная страница с визуальным контекстом</x:v>
      </x:c>
      <x:c r="F1512" s="30" t="str">
        <x:v>Zadanie_MA11_01102025_baza_vostok.pdf</x:v>
      </x:c>
      <x:c r="G1512" s="87" t="str">
        <x:v>30</x:v>
      </x:c>
      <x:c r="H1512" s="87" t="str">
        <x:v>v0.81</x:v>
      </x:c>
      <x:c r="I1512" s="87" t="str">
        <x:v>1</x:v>
      </x:c>
      <x:c r="J1512" s="30" t="str">
        <x:v>VIS_ID</x:v>
      </x:c>
      <x:c r="K1512" s="30" t="str">
        <x:v>OCT-MATH-0108-09</x:v>
      </x:c>
      <x:c r="L1512" s="87" t="str">
        <x:v>SOURCE_PAGE_REGENERATED_FULL_PAGE_NO_CROP</x:v>
      </x:c>
      <x:c r="M1512" s="87" t="str">
        <x:v>SOURCE_REGENERATED</x:v>
      </x:c>
      <x:c r="N1512" s="87" t="str">
        <x:v>assets/recovered/full/VIS-MATH-OCT-032_full.jpg</x:v>
      </x:c>
      <x:c r="O1512" s="87" t="str">
        <x:v>assets/recovered/thumbnails/VIS-MATH-OCT-032_thumb.jpg</x:v>
      </x:c>
      <x:c r="P1512" s="87" t="str">
        <x:v>54f847bf780d7b3d21c7dc6d9e083d617cfbf95d3a4f8df2ec0be96db7749459</x:v>
      </x:c>
      <x:c r="Q1512" s="30" t="str">
        <x:v>final/v1.10/assets/recovered/full/VIS-MATH-OCT-032_full.jpg</x:v>
      </x:c>
      <x:c r="R1512" s="30" t="str">
        <x:v>SOURCE_REGENERATED_FROM_PDF | Deterministic render from preserved source PDF; legacy expected SHA retained.</x:v>
      </x:c>
      <x:c r="S1512" t="e">
        <x:f>HYPERLINK("visual_gallery/index.html#"&amp;A1512,"Галерея")</x:f>
      </x:c>
    </x:row>
    <x:row r="1513">
      <x:c r="A1513" s="87" t="str">
        <x:v>VIS-MATH-OCT-033</x:v>
      </x:c>
      <x:c r="B1513" s="30" t="str">
        <x:v>Математика</x:v>
      </x:c>
      <x:c r="C1513" s="30" t="str">
        <x:v>МА2510109: задания 1, полная страница источника</x:v>
      </x:c>
      <x:c r="D1513" s="30" t="str">
        <x:v>МА2510109</x:v>
      </x:c>
      <x:c r="E1513" s="87" t="str">
        <x:v>Полная страница с визуальным контекстом</x:v>
      </x:c>
      <x:c r="F1513" s="30" t="str">
        <x:v>Zadanie_MA11_01102025_profil__zapad.pdf</x:v>
      </x:c>
      <x:c r="G1513" s="87" t="str">
        <x:v>2</x:v>
      </x:c>
      <x:c r="H1513" s="87" t="str">
        <x:v>v0.81</x:v>
      </x:c>
      <x:c r="I1513" s="87" t="str">
        <x:v>1</x:v>
      </x:c>
      <x:c r="J1513" s="30" t="str">
        <x:v>VIS_ID</x:v>
      </x:c>
      <x:c r="K1513" s="30" t="str">
        <x:v>OCT-MATH-0109-01</x:v>
      </x:c>
      <x:c r="L1513" s="87" t="str">
        <x:v>SOURCE_PAGE_REGENERATED_FULL_PAGE_NO_CROP</x:v>
      </x:c>
      <x:c r="M1513" s="87" t="str">
        <x:v>SOURCE_REGENERATED</x:v>
      </x:c>
      <x:c r="N1513" s="87" t="str">
        <x:v>assets/recovered/full/VIS-MATH-OCT-033_full.jpg</x:v>
      </x:c>
      <x:c r="O1513" s="87" t="str">
        <x:v>assets/recovered/thumbnails/VIS-MATH-OCT-033_thumb.jpg</x:v>
      </x:c>
      <x:c r="P1513" s="87" t="str">
        <x:v>4b2b6d4ae7c291e9fd68f9f9ac153fc18fd4a97cabd22d9ca3401a3da558d320</x:v>
      </x:c>
      <x:c r="Q1513" s="30" t="str">
        <x:v>final/v1.10/assets/recovered/full/VIS-MATH-OCT-033_full.jpg</x:v>
      </x:c>
      <x:c r="R1513" s="30" t="str">
        <x:v>SOURCE_REGENERATED_FROM_PDF | Deterministic render from preserved source PDF; legacy expected SHA retained.</x:v>
      </x:c>
      <x:c r="S1513" t="e">
        <x:f>HYPERLINK("visual_gallery/index.html#"&amp;A1513,"Галерея")</x:f>
      </x:c>
    </x:row>
    <x:row r="1514">
      <x:c r="A1514" s="87" t="str">
        <x:v>VIS-MATH-OCT-034</x:v>
      </x:c>
      <x:c r="B1514" s="30" t="str">
        <x:v>Математика</x:v>
      </x:c>
      <x:c r="C1514" s="30" t="str">
        <x:v>МА2510109: задания 8, полная страница источника</x:v>
      </x:c>
      <x:c r="D1514" s="30" t="str">
        <x:v>МА2510109</x:v>
      </x:c>
      <x:c r="E1514" s="87" t="str">
        <x:v>Полная страница с визуальным контекстом</x:v>
      </x:c>
      <x:c r="F1514" s="30" t="str">
        <x:v>Zadanie_MA11_01102025_profil__zapad.pdf</x:v>
      </x:c>
      <x:c r="G1514" s="87" t="str">
        <x:v>3</x:v>
      </x:c>
      <x:c r="H1514" s="87" t="str">
        <x:v>v0.81</x:v>
      </x:c>
      <x:c r="I1514" s="87" t="str">
        <x:v>1</x:v>
      </x:c>
      <x:c r="J1514" s="30" t="str">
        <x:v>VIS_ID</x:v>
      </x:c>
      <x:c r="K1514" s="30" t="str">
        <x:v>OCT-MATH-0109-08</x:v>
      </x:c>
      <x:c r="L1514" s="87" t="str">
        <x:v>SOURCE_PAGE_REGENERATED_FULL_PAGE_NO_CROP</x:v>
      </x:c>
      <x:c r="M1514" s="87" t="str">
        <x:v>SOURCE_REGENERATED</x:v>
      </x:c>
      <x:c r="N1514" s="87" t="str">
        <x:v>assets/recovered/full/VIS-MATH-OCT-034_full.jpg</x:v>
      </x:c>
      <x:c r="O1514" s="87" t="str">
        <x:v>assets/recovered/thumbnails/VIS-MATH-OCT-034_thumb.jpg</x:v>
      </x:c>
      <x:c r="P1514" s="87" t="str">
        <x:v>97dce73b9d8de147dd3f0288bc799080966389886cf9b442b1926506221986b7</x:v>
      </x:c>
      <x:c r="Q1514" s="30" t="str">
        <x:v>final/v1.10/assets/recovered/full/VIS-MATH-OCT-034_full.jpg</x:v>
      </x:c>
      <x:c r="R1514" s="30" t="str">
        <x:v>SOURCE_REGENERATED_FROM_PDF | Deterministic render from preserved source PDF; legacy expected SHA retained.</x:v>
      </x:c>
      <x:c r="S1514" t="e">
        <x:f>HYPERLINK("visual_gallery/index.html#"&amp;A1514,"Галерея")</x:f>
      </x:c>
    </x:row>
    <x:row r="1515">
      <x:c r="A1515" s="87" t="str">
        <x:v>VIS-MATH-OCT-035</x:v>
      </x:c>
      <x:c r="B1515" s="30" t="str">
        <x:v>Математика</x:v>
      </x:c>
      <x:c r="C1515" s="30" t="str">
        <x:v>МА2510109: задания 11, полная страница источника</x:v>
      </x:c>
      <x:c r="D1515" s="30" t="str">
        <x:v>МА2510109</x:v>
      </x:c>
      <x:c r="E1515" s="87" t="str">
        <x:v>Полная страница с визуальным контекстом</x:v>
      </x:c>
      <x:c r="F1515" s="30" t="str">
        <x:v>Zadanie_MA11_01102025_profil__zapad.pdf</x:v>
      </x:c>
      <x:c r="G1515" s="87" t="str">
        <x:v>4</x:v>
      </x:c>
      <x:c r="H1515" s="87" t="str">
        <x:v>v0.81</x:v>
      </x:c>
      <x:c r="I1515" s="87" t="str">
        <x:v>1</x:v>
      </x:c>
      <x:c r="J1515" s="30" t="str">
        <x:v>VIS_ID</x:v>
      </x:c>
      <x:c r="K1515" s="30" t="str">
        <x:v>OCT-MATH-0109-11</x:v>
      </x:c>
      <x:c r="L1515" s="87" t="str">
        <x:v>SOURCE_PAGE_REGENERATED_FULL_PAGE_NO_CROP</x:v>
      </x:c>
      <x:c r="M1515" s="87" t="str">
        <x:v>SOURCE_REGENERATED</x:v>
      </x:c>
      <x:c r="N1515" s="87" t="str">
        <x:v>assets/recovered/full/VIS-MATH-OCT-035_full.jpg</x:v>
      </x:c>
      <x:c r="O1515" s="87" t="str">
        <x:v>assets/recovered/thumbnails/VIS-MATH-OCT-035_thumb.jpg</x:v>
      </x:c>
      <x:c r="P1515" s="87" t="str">
        <x:v>c3a31ce6c2b3a7d4d7620b8632f872c14d4e46ecbb9187ef1a42c1abb4e64036</x:v>
      </x:c>
      <x:c r="Q1515" s="30" t="str">
        <x:v>final/v1.10/assets/recovered/full/VIS-MATH-OCT-035_full.jpg</x:v>
      </x:c>
      <x:c r="R1515" s="30" t="str">
        <x:v>SOURCE_REGENERATED_FROM_PDF | Deterministic render from preserved source PDF; legacy expected SHA retained.</x:v>
      </x:c>
      <x:c r="S1515" t="e">
        <x:f>HYPERLINK("visual_gallery/index.html#"&amp;A1515,"Галерея")</x:f>
      </x:c>
    </x:row>
    <x:row r="1516">
      <x:c r="A1516" s="87" t="str">
        <x:v>VIS-MATH-OCT-036</x:v>
      </x:c>
      <x:c r="B1516" s="30" t="str">
        <x:v>Математика</x:v>
      </x:c>
      <x:c r="C1516" s="30" t="str">
        <x:v>МА2510110: задания 1, полная страница источника</x:v>
      </x:c>
      <x:c r="D1516" s="30" t="str">
        <x:v>МА2510110</x:v>
      </x:c>
      <x:c r="E1516" s="87" t="str">
        <x:v>Полная страница с визуальным контекстом</x:v>
      </x:c>
      <x:c r="F1516" s="30" t="str">
        <x:v>Zadanie_MA11_01102025_profil__zapad.pdf</x:v>
      </x:c>
      <x:c r="G1516" s="87" t="str">
        <x:v>8</x:v>
      </x:c>
      <x:c r="H1516" s="87" t="str">
        <x:v>v0.81</x:v>
      </x:c>
      <x:c r="I1516" s="87" t="str">
        <x:v>1</x:v>
      </x:c>
      <x:c r="J1516" s="30" t="str">
        <x:v>VIS_ID</x:v>
      </x:c>
      <x:c r="K1516" s="30" t="str">
        <x:v>OCT-MATH-0110-01</x:v>
      </x:c>
      <x:c r="L1516" s="87" t="str">
        <x:v>SOURCE_PAGE_REGENERATED_FULL_PAGE_NO_CROP</x:v>
      </x:c>
      <x:c r="M1516" s="87" t="str">
        <x:v>SOURCE_REGENERATED</x:v>
      </x:c>
      <x:c r="N1516" s="87" t="str">
        <x:v>assets/recovered/full/VIS-MATH-OCT-036_full.jpg</x:v>
      </x:c>
      <x:c r="O1516" s="87" t="str">
        <x:v>assets/recovered/thumbnails/VIS-MATH-OCT-036_thumb.jpg</x:v>
      </x:c>
      <x:c r="P1516" s="87" t="str">
        <x:v>bb83ffcb809d806e45fbd71c5628ac39744e3ee92532722536957b15ce9edb92</x:v>
      </x:c>
      <x:c r="Q1516" s="30" t="str">
        <x:v>final/v1.10/assets/recovered/full/VIS-MATH-OCT-036_full.jpg</x:v>
      </x:c>
      <x:c r="R1516" s="30" t="str">
        <x:v>SOURCE_REGENERATED_FROM_PDF | Deterministic render from preserved source PDF; legacy expected SHA retained.</x:v>
      </x:c>
      <x:c r="S1516" t="e">
        <x:f>HYPERLINK("visual_gallery/index.html#"&amp;A1516,"Галерея")</x:f>
      </x:c>
    </x:row>
    <x:row r="1517">
      <x:c r="A1517" s="87" t="str">
        <x:v>VIS-MATH-OCT-037</x:v>
      </x:c>
      <x:c r="B1517" s="30" t="str">
        <x:v>Математика</x:v>
      </x:c>
      <x:c r="C1517" s="30" t="str">
        <x:v>МА2510110: задания 8, полная страница источника</x:v>
      </x:c>
      <x:c r="D1517" s="30" t="str">
        <x:v>МА2510110</x:v>
      </x:c>
      <x:c r="E1517" s="87" t="str">
        <x:v>Полная страница с визуальным контекстом</x:v>
      </x:c>
      <x:c r="F1517" s="30" t="str">
        <x:v>Zadanie_MA11_01102025_profil__zapad.pdf</x:v>
      </x:c>
      <x:c r="G1517" s="87" t="str">
        <x:v>9</x:v>
      </x:c>
      <x:c r="H1517" s="87" t="str">
        <x:v>v0.81</x:v>
      </x:c>
      <x:c r="I1517" s="87" t="str">
        <x:v>1</x:v>
      </x:c>
      <x:c r="J1517" s="30" t="str">
        <x:v>VIS_ID</x:v>
      </x:c>
      <x:c r="K1517" s="30" t="str">
        <x:v>OCT-MATH-0110-08</x:v>
      </x:c>
      <x:c r="L1517" s="87" t="str">
        <x:v>SOURCE_PAGE_REGENERATED_FULL_PAGE_NO_CROP</x:v>
      </x:c>
      <x:c r="M1517" s="87" t="str">
        <x:v>SOURCE_REGENERATED</x:v>
      </x:c>
      <x:c r="N1517" s="87" t="str">
        <x:v>assets/recovered/full/VIS-MATH-OCT-037_full.jpg</x:v>
      </x:c>
      <x:c r="O1517" s="87" t="str">
        <x:v>assets/recovered/thumbnails/VIS-MATH-OCT-037_thumb.jpg</x:v>
      </x:c>
      <x:c r="P1517" s="87" t="str">
        <x:v>4db9b3f9b2ec4d4625fab11fd5d791e44a735599cdea6834ec32e55f5f22350e</x:v>
      </x:c>
      <x:c r="Q1517" s="30" t="str">
        <x:v>final/v1.10/assets/recovered/full/VIS-MATH-OCT-037_full.jpg</x:v>
      </x:c>
      <x:c r="R1517" s="30" t="str">
        <x:v>SOURCE_REGENERATED_FROM_PDF | Deterministic render from preserved source PDF; legacy expected SHA retained.</x:v>
      </x:c>
      <x:c r="S1517" t="e">
        <x:f>HYPERLINK("visual_gallery/index.html#"&amp;A1517,"Галерея")</x:f>
      </x:c>
    </x:row>
    <x:row r="1518">
      <x:c r="A1518" s="87" t="str">
        <x:v>VIS-MATH-OCT-038</x:v>
      </x:c>
      <x:c r="B1518" s="30" t="str">
        <x:v>Математика</x:v>
      </x:c>
      <x:c r="C1518" s="30" t="str">
        <x:v>МА2510110: задания 11, полная страница источника</x:v>
      </x:c>
      <x:c r="D1518" s="30" t="str">
        <x:v>МА2510110</x:v>
      </x:c>
      <x:c r="E1518" s="87" t="str">
        <x:v>Полная страница с визуальным контекстом</x:v>
      </x:c>
      <x:c r="F1518" s="30" t="str">
        <x:v>Zadanie_MA11_01102025_profil__zapad.pdf</x:v>
      </x:c>
      <x:c r="G1518" s="87" t="str">
        <x:v>10</x:v>
      </x:c>
      <x:c r="H1518" s="87" t="str">
        <x:v>v0.81</x:v>
      </x:c>
      <x:c r="I1518" s="87" t="str">
        <x:v>1</x:v>
      </x:c>
      <x:c r="J1518" s="30" t="str">
        <x:v>VIS_ID</x:v>
      </x:c>
      <x:c r="K1518" s="30" t="str">
        <x:v>OCT-MATH-0110-11</x:v>
      </x:c>
      <x:c r="L1518" s="87" t="str">
        <x:v>SOURCE_PAGE_REGENERATED_FULL_PAGE_NO_CROP</x:v>
      </x:c>
      <x:c r="M1518" s="87" t="str">
        <x:v>SOURCE_REGENERATED</x:v>
      </x:c>
      <x:c r="N1518" s="87" t="str">
        <x:v>assets/recovered/full/VIS-MATH-OCT-038_full.jpg</x:v>
      </x:c>
      <x:c r="O1518" s="87" t="str">
        <x:v>assets/recovered/thumbnails/VIS-MATH-OCT-038_thumb.jpg</x:v>
      </x:c>
      <x:c r="P1518" s="87" t="str">
        <x:v>117714b536ccec2fe12edab25acb99c414508f88bcdba87da222801662fb4bd9</x:v>
      </x:c>
      <x:c r="Q1518" s="30" t="str">
        <x:v>final/v1.10/assets/recovered/full/VIS-MATH-OCT-038_full.jpg</x:v>
      </x:c>
      <x:c r="R1518" s="30" t="str">
        <x:v>SOURCE_REGENERATED_FROM_PDF | Deterministic render from preserved source PDF; legacy expected SHA retained.</x:v>
      </x:c>
      <x:c r="S1518" t="e">
        <x:f>HYPERLINK("visual_gallery/index.html#"&amp;A1518,"Галерея")</x:f>
      </x:c>
    </x:row>
    <x:row r="1519">
      <x:c r="A1519" s="87" t="str">
        <x:v>VIS-MATH-OCT-039</x:v>
      </x:c>
      <x:c r="B1519" s="30" t="str">
        <x:v>Математика</x:v>
      </x:c>
      <x:c r="C1519" s="30" t="str">
        <x:v>МА2510111: задания 1, полная страница источника</x:v>
      </x:c>
      <x:c r="D1519" s="30" t="str">
        <x:v>МА2510111</x:v>
      </x:c>
      <x:c r="E1519" s="87" t="str">
        <x:v>Полная страница с визуальным контекстом</x:v>
      </x:c>
      <x:c r="F1519" s="30" t="str">
        <x:v>Zadanie_MA11_01102025_profil__vostok.pdf</x:v>
      </x:c>
      <x:c r="G1519" s="87" t="str">
        <x:v>2</x:v>
      </x:c>
      <x:c r="H1519" s="87" t="str">
        <x:v>v0.81</x:v>
      </x:c>
      <x:c r="I1519" s="87" t="str">
        <x:v>1</x:v>
      </x:c>
      <x:c r="J1519" s="30" t="str">
        <x:v>VIS_ID</x:v>
      </x:c>
      <x:c r="K1519" s="30" t="str">
        <x:v>OCT-MATH-0111-01</x:v>
      </x:c>
      <x:c r="L1519" s="87" t="str">
        <x:v>SOURCE_PAGE_REGENERATED_FULL_PAGE_NO_CROP</x:v>
      </x:c>
      <x:c r="M1519" s="87" t="str">
        <x:v>SOURCE_REGENERATED</x:v>
      </x:c>
      <x:c r="N1519" s="87" t="str">
        <x:v>assets/recovered/full/VIS-MATH-OCT-039_full.jpg</x:v>
      </x:c>
      <x:c r="O1519" s="87" t="str">
        <x:v>assets/recovered/thumbnails/VIS-MATH-OCT-039_thumb.jpg</x:v>
      </x:c>
      <x:c r="P1519" s="87" t="str">
        <x:v>4b1bdc2e7f4abfc142537c3476d87629d58232186f59086531a0a20b10fe1fa5</x:v>
      </x:c>
      <x:c r="Q1519" s="30" t="str">
        <x:v>final/v1.10/assets/recovered/full/VIS-MATH-OCT-039_full.jpg</x:v>
      </x:c>
      <x:c r="R1519" s="30" t="str">
        <x:v>SOURCE_REGENERATED_FROM_PDF | Deterministic render from preserved source PDF; legacy expected SHA retained.</x:v>
      </x:c>
      <x:c r="S1519" t="e">
        <x:f>HYPERLINK("visual_gallery/index.html#"&amp;A1519,"Галерея")</x:f>
      </x:c>
    </x:row>
    <x:row r="1520">
      <x:c r="A1520" s="87" t="str">
        <x:v>VIS-MATH-OCT-040</x:v>
      </x:c>
      <x:c r="B1520" s="30" t="str">
        <x:v>Математика</x:v>
      </x:c>
      <x:c r="C1520" s="30" t="str">
        <x:v>МА2510111: задания 8, полная страница источника</x:v>
      </x:c>
      <x:c r="D1520" s="30" t="str">
        <x:v>МА2510111</x:v>
      </x:c>
      <x:c r="E1520" s="87" t="str">
        <x:v>Полная страница с визуальным контекстом</x:v>
      </x:c>
      <x:c r="F1520" s="30" t="str">
        <x:v>Zadanie_MA11_01102025_profil__vostok.pdf</x:v>
      </x:c>
      <x:c r="G1520" s="87" t="str">
        <x:v>3</x:v>
      </x:c>
      <x:c r="H1520" s="87" t="str">
        <x:v>v0.81</x:v>
      </x:c>
      <x:c r="I1520" s="87" t="str">
        <x:v>1</x:v>
      </x:c>
      <x:c r="J1520" s="30" t="str">
        <x:v>VIS_ID</x:v>
      </x:c>
      <x:c r="K1520" s="30" t="str">
        <x:v>OCT-MATH-0111-08</x:v>
      </x:c>
      <x:c r="L1520" s="87" t="str">
        <x:v>SOURCE_PAGE_REGENERATED_FULL_PAGE_NO_CROP</x:v>
      </x:c>
      <x:c r="M1520" s="87" t="str">
        <x:v>SOURCE_REGENERATED</x:v>
      </x:c>
      <x:c r="N1520" s="87" t="str">
        <x:v>assets/recovered/full/VIS-MATH-OCT-040_full.jpg</x:v>
      </x:c>
      <x:c r="O1520" s="87" t="str">
        <x:v>assets/recovered/thumbnails/VIS-MATH-OCT-040_thumb.jpg</x:v>
      </x:c>
      <x:c r="P1520" s="87" t="str">
        <x:v>ad7668da28f95551f8090b176e76d19332eeb1bc236ff1dd19abdf937305e2f9</x:v>
      </x:c>
      <x:c r="Q1520" s="30" t="str">
        <x:v>final/v1.10/assets/recovered/full/VIS-MATH-OCT-040_full.jpg</x:v>
      </x:c>
      <x:c r="R1520" s="30" t="str">
        <x:v>SOURCE_REGENERATED_FROM_PDF | Deterministic render from preserved source PDF; legacy expected SHA retained.</x:v>
      </x:c>
      <x:c r="S1520" t="e">
        <x:f>HYPERLINK("visual_gallery/index.html#"&amp;A1520,"Галерея")</x:f>
      </x:c>
    </x:row>
    <x:row r="1521">
      <x:c r="A1521" s="87" t="str">
        <x:v>VIS-MATH-OCT-041</x:v>
      </x:c>
      <x:c r="B1521" s="30" t="str">
        <x:v>Математика</x:v>
      </x:c>
      <x:c r="C1521" s="30" t="str">
        <x:v>МА2510111: задания 11, полная страница источника</x:v>
      </x:c>
      <x:c r="D1521" s="30" t="str">
        <x:v>МА2510111</x:v>
      </x:c>
      <x:c r="E1521" s="87" t="str">
        <x:v>Полная страница с визуальным контекстом</x:v>
      </x:c>
      <x:c r="F1521" s="30" t="str">
        <x:v>Zadanie_MA11_01102025_profil__vostok.pdf</x:v>
      </x:c>
      <x:c r="G1521" s="87" t="str">
        <x:v>4</x:v>
      </x:c>
      <x:c r="H1521" s="87" t="str">
        <x:v>v0.81</x:v>
      </x:c>
      <x:c r="I1521" s="87" t="str">
        <x:v>1</x:v>
      </x:c>
      <x:c r="J1521" s="30" t="str">
        <x:v>VIS_ID</x:v>
      </x:c>
      <x:c r="K1521" s="30" t="str">
        <x:v>OCT-MATH-0111-11</x:v>
      </x:c>
      <x:c r="L1521" s="87" t="str">
        <x:v>SOURCE_PAGE_REGENERATED_FULL_PAGE_NO_CROP</x:v>
      </x:c>
      <x:c r="M1521" s="87" t="str">
        <x:v>SOURCE_REGENERATED</x:v>
      </x:c>
      <x:c r="N1521" s="87" t="str">
        <x:v>assets/recovered/full/VIS-MATH-OCT-041_full.jpg</x:v>
      </x:c>
      <x:c r="O1521" s="87" t="str">
        <x:v>assets/recovered/thumbnails/VIS-MATH-OCT-041_thumb.jpg</x:v>
      </x:c>
      <x:c r="P1521" s="87" t="str">
        <x:v>2b2a7ee76444dbd0fca54dbafd3b4aac11abb74c925a0cbf47147951f57202c2</x:v>
      </x:c>
      <x:c r="Q1521" s="30" t="str">
        <x:v>final/v1.10/assets/recovered/full/VIS-MATH-OCT-041_full.jpg</x:v>
      </x:c>
      <x:c r="R1521" s="30" t="str">
        <x:v>SOURCE_REGENERATED_FROM_PDF | Deterministic render from preserved source PDF; legacy expected SHA retained.</x:v>
      </x:c>
      <x:c r="S1521" t="e">
        <x:f>HYPERLINK("visual_gallery/index.html#"&amp;A1521,"Галерея")</x:f>
      </x:c>
    </x:row>
    <x:row r="1522">
      <x:c r="A1522" s="87" t="str">
        <x:v>VIS-MATH-OCT-042</x:v>
      </x:c>
      <x:c r="B1522" s="30" t="str">
        <x:v>Математика</x:v>
      </x:c>
      <x:c r="C1522" s="30" t="str">
        <x:v>МА2510112: задания 1, полная страница источника</x:v>
      </x:c>
      <x:c r="D1522" s="30" t="str">
        <x:v>МА2510112</x:v>
      </x:c>
      <x:c r="E1522" s="87" t="str">
        <x:v>Полная страница с визуальным контекстом</x:v>
      </x:c>
      <x:c r="F1522" s="30" t="str">
        <x:v>Zadanie_MA11_01102025_profil__vostok.pdf</x:v>
      </x:c>
      <x:c r="G1522" s="87" t="str">
        <x:v>8</x:v>
      </x:c>
      <x:c r="H1522" s="87" t="str">
        <x:v>v0.81</x:v>
      </x:c>
      <x:c r="I1522" s="87" t="str">
        <x:v>1</x:v>
      </x:c>
      <x:c r="J1522" s="30" t="str">
        <x:v>VIS_ID</x:v>
      </x:c>
      <x:c r="K1522" s="30" t="str">
        <x:v>OCT-MATH-0112-01</x:v>
      </x:c>
      <x:c r="L1522" s="87" t="str">
        <x:v>SOURCE_PAGE_REGENERATED_FULL_PAGE_NO_CROP</x:v>
      </x:c>
      <x:c r="M1522" s="87" t="str">
        <x:v>SOURCE_REGENERATED</x:v>
      </x:c>
      <x:c r="N1522" s="87" t="str">
        <x:v>assets/recovered/full/VIS-MATH-OCT-042_full.jpg</x:v>
      </x:c>
      <x:c r="O1522" s="87" t="str">
        <x:v>assets/recovered/thumbnails/VIS-MATH-OCT-042_thumb.jpg</x:v>
      </x:c>
      <x:c r="P1522" s="87" t="str">
        <x:v>df33a4ea376f5634ae8c14dce46df560160a604477623f7fc38b15e4505fbd26</x:v>
      </x:c>
      <x:c r="Q1522" s="30" t="str">
        <x:v>final/v1.10/assets/recovered/full/VIS-MATH-OCT-042_full.jpg</x:v>
      </x:c>
      <x:c r="R1522" s="30" t="str">
        <x:v>SOURCE_REGENERATED_FROM_PDF | Deterministic render from preserved source PDF; legacy expected SHA retained.</x:v>
      </x:c>
      <x:c r="S1522" t="e">
        <x:f>HYPERLINK("visual_gallery/index.html#"&amp;A1522,"Галерея")</x:f>
      </x:c>
    </x:row>
    <x:row r="1523">
      <x:c r="A1523" s="87" t="str">
        <x:v>VIS-MATH-OCT-043</x:v>
      </x:c>
      <x:c r="B1523" s="30" t="str">
        <x:v>Математика</x:v>
      </x:c>
      <x:c r="C1523" s="30" t="str">
        <x:v>МА2510112: задания 8, полная страница источника</x:v>
      </x:c>
      <x:c r="D1523" s="30" t="str">
        <x:v>МА2510112</x:v>
      </x:c>
      <x:c r="E1523" s="87" t="str">
        <x:v>Полная страница с визуальным контекстом</x:v>
      </x:c>
      <x:c r="F1523" s="30" t="str">
        <x:v>Zadanie_MA11_01102025_profil__vostok.pdf</x:v>
      </x:c>
      <x:c r="G1523" s="87" t="str">
        <x:v>9</x:v>
      </x:c>
      <x:c r="H1523" s="87" t="str">
        <x:v>v0.81</x:v>
      </x:c>
      <x:c r="I1523" s="87" t="str">
        <x:v>1</x:v>
      </x:c>
      <x:c r="J1523" s="30" t="str">
        <x:v>VIS_ID</x:v>
      </x:c>
      <x:c r="K1523" s="30" t="str">
        <x:v>OCT-MATH-0112-08</x:v>
      </x:c>
      <x:c r="L1523" s="87" t="str">
        <x:v>SOURCE_PAGE_REGENERATED_FULL_PAGE_NO_CROP</x:v>
      </x:c>
      <x:c r="M1523" s="87" t="str">
        <x:v>SOURCE_REGENERATED</x:v>
      </x:c>
      <x:c r="N1523" s="87" t="str">
        <x:v>assets/recovered/full/VIS-MATH-OCT-043_full.jpg</x:v>
      </x:c>
      <x:c r="O1523" s="87" t="str">
        <x:v>assets/recovered/thumbnails/VIS-MATH-OCT-043_thumb.jpg</x:v>
      </x:c>
      <x:c r="P1523" s="87" t="str">
        <x:v>b961a0fd95a3be942c668cc2e5ca8d647493fabed3b635377746d4abe14180a8</x:v>
      </x:c>
      <x:c r="Q1523" s="30" t="str">
        <x:v>final/v1.10/assets/recovered/full/VIS-MATH-OCT-043_full.jpg</x:v>
      </x:c>
      <x:c r="R1523" s="30" t="str">
        <x:v>SOURCE_REGENERATED_FROM_PDF | Deterministic render from preserved source PDF; legacy expected SHA retained.</x:v>
      </x:c>
      <x:c r="S1523" t="e">
        <x:f>HYPERLINK("visual_gallery/index.html#"&amp;A1523,"Галерея")</x:f>
      </x:c>
    </x:row>
    <x:row r="1524">
      <x:c r="A1524" s="87" t="str">
        <x:v>VIS-MATH-OCT-044</x:v>
      </x:c>
      <x:c r="B1524" s="30" t="str">
        <x:v>Математика</x:v>
      </x:c>
      <x:c r="C1524" s="30" t="str">
        <x:v>МА2510112: задания 11, полная страница источника</x:v>
      </x:c>
      <x:c r="D1524" s="30" t="str">
        <x:v>МА2510112</x:v>
      </x:c>
      <x:c r="E1524" s="87" t="str">
        <x:v>Полная страница с визуальным контекстом</x:v>
      </x:c>
      <x:c r="F1524" s="30" t="str">
        <x:v>Zadanie_MA11_01102025_profil__vostok.pdf</x:v>
      </x:c>
      <x:c r="G1524" s="87" t="str">
        <x:v>10</x:v>
      </x:c>
      <x:c r="H1524" s="87" t="str">
        <x:v>v0.81</x:v>
      </x:c>
      <x:c r="I1524" s="87" t="str">
        <x:v>1</x:v>
      </x:c>
      <x:c r="J1524" s="30" t="str">
        <x:v>VIS_ID</x:v>
      </x:c>
      <x:c r="K1524" s="30" t="str">
        <x:v>OCT-MATH-0112-11</x:v>
      </x:c>
      <x:c r="L1524" s="87" t="str">
        <x:v>SOURCE_PAGE_REGENERATED_FULL_PAGE_NO_CROP</x:v>
      </x:c>
      <x:c r="M1524" s="87" t="str">
        <x:v>SOURCE_REGENERATED</x:v>
      </x:c>
      <x:c r="N1524" s="87" t="str">
        <x:v>assets/recovered/full/VIS-MATH-OCT-044_full.jpg</x:v>
      </x:c>
      <x:c r="O1524" s="87" t="str">
        <x:v>assets/recovered/thumbnails/VIS-MATH-OCT-044_thumb.jpg</x:v>
      </x:c>
      <x:c r="P1524" s="87" t="str">
        <x:v>fb8b6f77aed92a9ccf1ddf647cdb0eb78ff95379937e7b0e21a0963253b39061</x:v>
      </x:c>
      <x:c r="Q1524" s="30" t="str">
        <x:v>final/v1.10/assets/recovered/full/VIS-MATH-OCT-044_full.jpg</x:v>
      </x:c>
      <x:c r="R1524" s="30" t="str">
        <x:v>SOURCE_REGENERATED_FROM_PDF | Deterministic render from preserved source PDF; legacy expected SHA retained.</x:v>
      </x:c>
      <x:c r="S1524" t="e">
        <x:f>HYPERLINK("visual_gallery/index.html#"&amp;A1524,"Галерея")</x:f>
      </x:c>
    </x:row>
    <x:row r="1525">
      <x:c r="A1525" s="87" t="str">
        <x:v>VIS-PHY-DEC-001</x:v>
      </x:c>
      <x:c r="B1525" s="30" t="str">
        <x:v>Физика</x:v>
      </x:c>
      <x:c r="C1525" s="30" t="str">
        <x:v>ФИ2510201: полная страница 4 с заданиями 1, 2, 3, 4</x:v>
      </x:c>
      <x:c r="D1525" s="30" t="str">
        <x:v>ФИ2510201</x:v>
      </x:c>
      <x:c r="E1525" s="87"/>
      <x:c r="F1525" s="30" t="str">
        <x:v>Zadanie_FI11_02122025.pdf</x:v>
      </x:c>
      <x:c r="G1525" s="87" t="str">
        <x:v>4</x:v>
      </x:c>
      <x:c r="H1525" s="87" t="str">
        <x:v>v0.84</x:v>
      </x:c>
      <x:c r="I1525" s="87" t="str">
        <x:v>4</x:v>
      </x:c>
      <x:c r="J1525" s="30" t="str">
        <x:v>VIS_ID</x:v>
      </x:c>
      <x:c r="K1525" s="30" t="str">
        <x:v>DEC-PHY-V1-001, DEC-PHY-V1-002, DEC-PHY-V1-003, DEC-PHY-V1-004</x:v>
      </x:c>
      <x:c r="L1525" s="87" t="str">
        <x:v>CROP_VERIFIED</x:v>
      </x:c>
      <x:c r="M1525" s="87" t="str">
        <x:v>ORIGINAL_PACKAGE</x:v>
      </x:c>
      <x:c r="N1525" s="87"/>
      <x:c r="O1525" s="87"/>
      <x:c r="P1525" s="87" t="str">
        <x:v>f4031b159480d7b9d8d477f0d45b43fd29cfca3a4f1596818599e0365e192738</x:v>
      </x:c>
      <x:c r="Q1525" s="30" t="str">
        <x:v>incoming/raw/recovery-drop-01/physics_dec_visual_assets_v084.zip!/full/VIS-PHY-DEC-001.png</x:v>
      </x:c>
      <x:c r="R1525" s="30" t="str">
        <x:v>MATCHED_ASSET</x:v>
      </x:c>
      <x:c r="S1525" t="e">
        <x:f>HYPERLINK("visual_gallery/index.html#"&amp;A1525,"Галерея")</x:f>
      </x:c>
    </x:row>
    <x:row r="1526">
      <x:c r="A1526" s="87" t="str">
        <x:v>VIS-PHY-DEC-002</x:v>
      </x:c>
      <x:c r="B1526" s="30" t="str">
        <x:v>Физика</x:v>
      </x:c>
      <x:c r="C1526" s="30" t="str">
        <x:v>ФИ2510201: полная страница 5 с заданиями 5</x:v>
      </x:c>
      <x:c r="D1526" s="30" t="str">
        <x:v>ФИ2510201</x:v>
      </x:c>
      <x:c r="E1526" s="87"/>
      <x:c r="F1526" s="30" t="str">
        <x:v>Zadanie_FI11_02122025.pdf</x:v>
      </x:c>
      <x:c r="G1526" s="87" t="str">
        <x:v>5</x:v>
      </x:c>
      <x:c r="H1526" s="87" t="str">
        <x:v>v0.84</x:v>
      </x:c>
      <x:c r="I1526" s="87" t="str">
        <x:v>1</x:v>
      </x:c>
      <x:c r="J1526" s="30" t="str">
        <x:v>VIS_ID</x:v>
      </x:c>
      <x:c r="K1526" s="30" t="str">
        <x:v>DEC-PHY-V1-005</x:v>
      </x:c>
      <x:c r="L1526" s="87" t="str">
        <x:v>CROP_VERIFIED</x:v>
      </x:c>
      <x:c r="M1526" s="87" t="str">
        <x:v>ORIGINAL_PACKAGE</x:v>
      </x:c>
      <x:c r="N1526" s="87"/>
      <x:c r="O1526" s="87"/>
      <x:c r="P1526" s="87" t="str">
        <x:v>bcfad6cd56bfd2208f4dd7cc760cc34a81d18acf24ed7f689a0bac669a154d6e</x:v>
      </x:c>
      <x:c r="Q1526" s="30" t="str">
        <x:v>incoming/raw/recovery-drop-01/physics_dec_visual_assets_v084.zip!/full/VIS-PHY-DEC-002.png</x:v>
      </x:c>
      <x:c r="R1526" s="30" t="str">
        <x:v>MATCHED_ASSET</x:v>
      </x:c>
      <x:c r="S1526" t="e">
        <x:f>HYPERLINK("visual_gallery/index.html#"&amp;A1526,"Галерея")</x:f>
      </x:c>
    </x:row>
    <x:row r="1527">
      <x:c r="A1527" s="87" t="str">
        <x:v>VIS-PHY-DEC-003</x:v>
      </x:c>
      <x:c r="B1527" s="30" t="str">
        <x:v>Физика</x:v>
      </x:c>
      <x:c r="C1527" s="30" t="str">
        <x:v>ФИ2510201: полная страница 6 с заданиями 6, 7, 8</x:v>
      </x:c>
      <x:c r="D1527" s="30" t="str">
        <x:v>ФИ2510201</x:v>
      </x:c>
      <x:c r="E1527" s="87"/>
      <x:c r="F1527" s="30" t="str">
        <x:v>Zadanie_FI11_02122025.pdf</x:v>
      </x:c>
      <x:c r="G1527" s="87" t="str">
        <x:v>6</x:v>
      </x:c>
      <x:c r="H1527" s="87" t="str">
        <x:v>v0.84</x:v>
      </x:c>
      <x:c r="I1527" s="87" t="str">
        <x:v>3</x:v>
      </x:c>
      <x:c r="J1527" s="30" t="str">
        <x:v>VIS_ID</x:v>
      </x:c>
      <x:c r="K1527" s="30" t="str">
        <x:v>DEC-PHY-V1-006, DEC-PHY-V1-007, DEC-PHY-V1-008</x:v>
      </x:c>
      <x:c r="L1527" s="87" t="str">
        <x:v>CROP_VERIFIED</x:v>
      </x:c>
      <x:c r="M1527" s="87" t="str">
        <x:v>ORIGINAL_PACKAGE</x:v>
      </x:c>
      <x:c r="N1527" s="87"/>
      <x:c r="O1527" s="87"/>
      <x:c r="P1527" s="87" t="str">
        <x:v>846aae7278d2b768edca76336fc492387a8839cbffcbfc29ec10b9cc0c10e74f</x:v>
      </x:c>
      <x:c r="Q1527" s="30" t="str">
        <x:v>incoming/raw/recovery-drop-01/physics_dec_visual_assets_v084.zip!/full/VIS-PHY-DEC-003.png</x:v>
      </x:c>
      <x:c r="R1527" s="30" t="str">
        <x:v>MATCHED_ASSET</x:v>
      </x:c>
      <x:c r="S1527" t="e">
        <x:f>HYPERLINK("visual_gallery/index.html#"&amp;A1527,"Галерея")</x:f>
      </x:c>
    </x:row>
    <x:row r="1528">
      <x:c r="A1528" s="87" t="str">
        <x:v>VIS-PHY-DEC-004</x:v>
      </x:c>
      <x:c r="B1528" s="30" t="str">
        <x:v>Физика</x:v>
      </x:c>
      <x:c r="C1528" s="30" t="str">
        <x:v>ФИ2510201: полная страница 7 с заданиями 9, 10, 11</x:v>
      </x:c>
      <x:c r="D1528" s="30" t="str">
        <x:v>ФИ2510201</x:v>
      </x:c>
      <x:c r="E1528" s="87"/>
      <x:c r="F1528" s="30" t="str">
        <x:v>Zadanie_FI11_02122025.pdf</x:v>
      </x:c>
      <x:c r="G1528" s="87" t="str">
        <x:v>7</x:v>
      </x:c>
      <x:c r="H1528" s="87" t="str">
        <x:v>v0.84</x:v>
      </x:c>
      <x:c r="I1528" s="87" t="str">
        <x:v>3</x:v>
      </x:c>
      <x:c r="J1528" s="30" t="str">
        <x:v>VIS_ID</x:v>
      </x:c>
      <x:c r="K1528" s="30" t="str">
        <x:v>DEC-PHY-V1-009, DEC-PHY-V1-010, DEC-PHY-V1-011</x:v>
      </x:c>
      <x:c r="L1528" s="87" t="str">
        <x:v>CROP_VERIFIED</x:v>
      </x:c>
      <x:c r="M1528" s="87" t="str">
        <x:v>ORIGINAL_PACKAGE</x:v>
      </x:c>
      <x:c r="N1528" s="87"/>
      <x:c r="O1528" s="87"/>
      <x:c r="P1528" s="87" t="str">
        <x:v>2f20f39fac0fc83af2f275ef5351da33a1dc1c165ee5b0eb9537fe522f402423</x:v>
      </x:c>
      <x:c r="Q1528" s="30" t="str">
        <x:v>incoming/raw/recovery-drop-01/physics_dec_visual_assets_v084.zip!/full/VIS-PHY-DEC-004.png</x:v>
      </x:c>
      <x:c r="R1528" s="30" t="str">
        <x:v>MATCHED_ASSET</x:v>
      </x:c>
      <x:c r="S1528" t="e">
        <x:f>HYPERLINK("visual_gallery/index.html#"&amp;A1528,"Галерея")</x:f>
      </x:c>
    </x:row>
    <x:row r="1529">
      <x:c r="A1529" s="87" t="str">
        <x:v>VIS-PHY-DEC-005</x:v>
      </x:c>
      <x:c r="B1529" s="30" t="str">
        <x:v>Физика</x:v>
      </x:c>
      <x:c r="C1529" s="30" t="str">
        <x:v>ФИ2510201: полная страница 8 с заданиями 12, 13, 14</x:v>
      </x:c>
      <x:c r="D1529" s="30" t="str">
        <x:v>ФИ2510201</x:v>
      </x:c>
      <x:c r="E1529" s="87"/>
      <x:c r="F1529" s="30" t="str">
        <x:v>Zadanie_FI11_02122025.pdf</x:v>
      </x:c>
      <x:c r="G1529" s="87" t="str">
        <x:v>8</x:v>
      </x:c>
      <x:c r="H1529" s="87" t="str">
        <x:v>v0.84</x:v>
      </x:c>
      <x:c r="I1529" s="87" t="str">
        <x:v>3</x:v>
      </x:c>
      <x:c r="J1529" s="30" t="str">
        <x:v>VIS_ID</x:v>
      </x:c>
      <x:c r="K1529" s="30" t="str">
        <x:v>DEC-PHY-V1-012, DEC-PHY-V1-013, DEC-PHY-V1-014</x:v>
      </x:c>
      <x:c r="L1529" s="87" t="str">
        <x:v>CROP_VERIFIED</x:v>
      </x:c>
      <x:c r="M1529" s="87" t="str">
        <x:v>ORIGINAL_PACKAGE</x:v>
      </x:c>
      <x:c r="N1529" s="87"/>
      <x:c r="O1529" s="87"/>
      <x:c r="P1529" s="87" t="str">
        <x:v>d879b50c3bc9e629f784bab4246a8674bdaff5dcfc60afb19f171dfbf1692549</x:v>
      </x:c>
      <x:c r="Q1529" s="30" t="str">
        <x:v>incoming/raw/recovery-drop-01/physics_dec_visual_assets_v084.zip!/full/VIS-PHY-DEC-005.png</x:v>
      </x:c>
      <x:c r="R1529" s="30" t="str">
        <x:v>MATCHED_ASSET</x:v>
      </x:c>
      <x:c r="S1529" t="e">
        <x:f>HYPERLINK("visual_gallery/index.html#"&amp;A1529,"Галерея")</x:f>
      </x:c>
    </x:row>
    <x:row r="1530">
      <x:c r="A1530" s="87" t="str">
        <x:v>VIS-PHY-DEC-006</x:v>
      </x:c>
      <x:c r="B1530" s="30" t="str">
        <x:v>Физика</x:v>
      </x:c>
      <x:c r="C1530" s="30" t="str">
        <x:v>ФИ2510201: полная страница 9 с заданиями 15, 16</x:v>
      </x:c>
      <x:c r="D1530" s="30" t="str">
        <x:v>ФИ2510201</x:v>
      </x:c>
      <x:c r="E1530" s="87"/>
      <x:c r="F1530" s="30" t="str">
        <x:v>Zadanie_FI11_02122025.pdf</x:v>
      </x:c>
      <x:c r="G1530" s="87" t="str">
        <x:v>9</x:v>
      </x:c>
      <x:c r="H1530" s="87" t="str">
        <x:v>v0.84</x:v>
      </x:c>
      <x:c r="I1530" s="87" t="str">
        <x:v>2</x:v>
      </x:c>
      <x:c r="J1530" s="30" t="str">
        <x:v>VIS_ID</x:v>
      </x:c>
      <x:c r="K1530" s="30" t="str">
        <x:v>DEC-PHY-V1-015, DEC-PHY-V1-016</x:v>
      </x:c>
      <x:c r="L1530" s="87" t="str">
        <x:v>CROP_VERIFIED</x:v>
      </x:c>
      <x:c r="M1530" s="87" t="str">
        <x:v>ORIGINAL_PACKAGE</x:v>
      </x:c>
      <x:c r="N1530" s="87"/>
      <x:c r="O1530" s="87"/>
      <x:c r="P1530" s="87" t="str">
        <x:v>0ce97f93759d82bbcb84159f95d5807cba21b0566771c0aae71280e654a2abd1</x:v>
      </x:c>
      <x:c r="Q1530" s="30" t="str">
        <x:v>incoming/raw/recovery-drop-01/physics_dec_visual_assets_v084.zip!/full/VIS-PHY-DEC-006.png</x:v>
      </x:c>
      <x:c r="R1530" s="30" t="str">
        <x:v>MATCHED_ASSET</x:v>
      </x:c>
      <x:c r="S1530" t="e">
        <x:f>HYPERLINK("visual_gallery/index.html#"&amp;A1530,"Галерея")</x:f>
      </x:c>
    </x:row>
    <x:row r="1531">
      <x:c r="A1531" s="87" t="str">
        <x:v>VIS-PHY-DEC-007</x:v>
      </x:c>
      <x:c r="B1531" s="30" t="str">
        <x:v>Физика</x:v>
      </x:c>
      <x:c r="C1531" s="30" t="str">
        <x:v>ФИ2510201: полная страница 10 с заданиями 17, 18, 19</x:v>
      </x:c>
      <x:c r="D1531" s="30" t="str">
        <x:v>ФИ2510201</x:v>
      </x:c>
      <x:c r="E1531" s="87"/>
      <x:c r="F1531" s="30" t="str">
        <x:v>Zadanie_FI11_02122025.pdf</x:v>
      </x:c>
      <x:c r="G1531" s="87" t="str">
        <x:v>10</x:v>
      </x:c>
      <x:c r="H1531" s="87" t="str">
        <x:v>v0.84</x:v>
      </x:c>
      <x:c r="I1531" s="87" t="str">
        <x:v>3</x:v>
      </x:c>
      <x:c r="J1531" s="30" t="str">
        <x:v>VIS_ID</x:v>
      </x:c>
      <x:c r="K1531" s="30" t="str">
        <x:v>DEC-PHY-V1-017, DEC-PHY-V1-018, DEC-PHY-V1-019</x:v>
      </x:c>
      <x:c r="L1531" s="87" t="str">
        <x:v>CROP_VERIFIED</x:v>
      </x:c>
      <x:c r="M1531" s="87" t="str">
        <x:v>ORIGINAL_PACKAGE</x:v>
      </x:c>
      <x:c r="N1531" s="87"/>
      <x:c r="O1531" s="87"/>
      <x:c r="P1531" s="87" t="str">
        <x:v>8eedfee1330e84b2b535cf8cf2c0cec1976752cd63bc5dc6780472060780435a</x:v>
      </x:c>
      <x:c r="Q1531" s="30" t="str">
        <x:v>incoming/raw/recovery-drop-01/physics_dec_visual_assets_v084.zip!/full/VIS-PHY-DEC-007.png</x:v>
      </x:c>
      <x:c r="R1531" s="30" t="str">
        <x:v>MATCHED_ASSET</x:v>
      </x:c>
      <x:c r="S1531" t="e">
        <x:f>HYPERLINK("visual_gallery/index.html#"&amp;A1531,"Галерея")</x:f>
      </x:c>
    </x:row>
    <x:row r="1532">
      <x:c r="A1532" s="87" t="str">
        <x:v>VIS-PHY-DEC-008</x:v>
      </x:c>
      <x:c r="B1532" s="30" t="str">
        <x:v>Физика</x:v>
      </x:c>
      <x:c r="C1532" s="30" t="str">
        <x:v>ФИ2510201: полная страница 11 с заданиями 20</x:v>
      </x:c>
      <x:c r="D1532" s="30" t="str">
        <x:v>ФИ2510201</x:v>
      </x:c>
      <x:c r="E1532" s="87"/>
      <x:c r="F1532" s="30" t="str">
        <x:v>Zadanie_FI11_02122025.pdf</x:v>
      </x:c>
      <x:c r="G1532" s="87" t="str">
        <x:v>11</x:v>
      </x:c>
      <x:c r="H1532" s="87" t="str">
        <x:v>v0.84</x:v>
      </x:c>
      <x:c r="I1532" s="87" t="str">
        <x:v>1</x:v>
      </x:c>
      <x:c r="J1532" s="30" t="str">
        <x:v>VIS_ID</x:v>
      </x:c>
      <x:c r="K1532" s="30" t="str">
        <x:v>DEC-PHY-V1-020</x:v>
      </x:c>
      <x:c r="L1532" s="87" t="str">
        <x:v>CROP_VERIFIED</x:v>
      </x:c>
      <x:c r="M1532" s="87" t="str">
        <x:v>ORIGINAL_PACKAGE</x:v>
      </x:c>
      <x:c r="N1532" s="87"/>
      <x:c r="O1532" s="87"/>
      <x:c r="P1532" s="87" t="str">
        <x:v>3320620f205337cedf277beb20da0c492bf8afb71933c1653169924b2e9c85ca</x:v>
      </x:c>
      <x:c r="Q1532" s="30" t="str">
        <x:v>incoming/raw/recovery-drop-01/physics_dec_visual_assets_v084.zip!/full/VIS-PHY-DEC-008.png</x:v>
      </x:c>
      <x:c r="R1532" s="30" t="str">
        <x:v>MATCHED_ASSET</x:v>
      </x:c>
      <x:c r="S1532" t="e">
        <x:f>HYPERLINK("visual_gallery/index.html#"&amp;A1532,"Галерея")</x:f>
      </x:c>
    </x:row>
    <x:row r="1533">
      <x:c r="A1533" s="87" t="str">
        <x:v>VIS-PHY-DEC-009</x:v>
      </x:c>
      <x:c r="B1533" s="30" t="str">
        <x:v>Физика</x:v>
      </x:c>
      <x:c r="C1533" s="30" t="str">
        <x:v>ФИ2510201: полная страница 12 с заданиями 21, 22, 23, 24</x:v>
      </x:c>
      <x:c r="D1533" s="30" t="str">
        <x:v>ФИ2510201</x:v>
      </x:c>
      <x:c r="E1533" s="87"/>
      <x:c r="F1533" s="30" t="str">
        <x:v>Zadanie_FI11_02122025.pdf</x:v>
      </x:c>
      <x:c r="G1533" s="87" t="str">
        <x:v>12</x:v>
      </x:c>
      <x:c r="H1533" s="87" t="str">
        <x:v>v0.84</x:v>
      </x:c>
      <x:c r="I1533" s="87" t="str">
        <x:v>4</x:v>
      </x:c>
      <x:c r="J1533" s="30" t="str">
        <x:v>VIS_ID</x:v>
      </x:c>
      <x:c r="K1533" s="30" t="str">
        <x:v>DEC-PHY-V1-021, DEC-PHY-V1-022, DEC-PHY-V1-023, DEC-PHY-V1-024</x:v>
      </x:c>
      <x:c r="L1533" s="87" t="str">
        <x:v>CROP_VERIFIED</x:v>
      </x:c>
      <x:c r="M1533" s="87" t="str">
        <x:v>ORIGINAL_PACKAGE</x:v>
      </x:c>
      <x:c r="N1533" s="87"/>
      <x:c r="O1533" s="87"/>
      <x:c r="P1533" s="87" t="str">
        <x:v>48325feb9d4aa031eaf33f4ed7e111db56e54d9f0d2d04030b9e4f5e9bf3793b</x:v>
      </x:c>
      <x:c r="Q1533" s="30" t="str">
        <x:v>incoming/raw/recovery-drop-01/physics_dec_visual_assets_v084.zip!/full/VIS-PHY-DEC-009.png</x:v>
      </x:c>
      <x:c r="R1533" s="30" t="str">
        <x:v>MATCHED_ASSET</x:v>
      </x:c>
      <x:c r="S1533" t="e">
        <x:f>HYPERLINK("visual_gallery/index.html#"&amp;A1533,"Галерея")</x:f>
      </x:c>
    </x:row>
    <x:row r="1534">
      <x:c r="A1534" s="87" t="str">
        <x:v>VIS-PHY-DEC-010</x:v>
      </x:c>
      <x:c r="B1534" s="30" t="str">
        <x:v>Физика</x:v>
      </x:c>
      <x:c r="C1534" s="30" t="str">
        <x:v>ФИ2510201: полная страница 13 с заданиями 25, 26</x:v>
      </x:c>
      <x:c r="D1534" s="30" t="str">
        <x:v>ФИ2510201</x:v>
      </x:c>
      <x:c r="E1534" s="87"/>
      <x:c r="F1534" s="30" t="str">
        <x:v>Zadanie_FI11_02122025.pdf</x:v>
      </x:c>
      <x:c r="G1534" s="87" t="str">
        <x:v>13</x:v>
      </x:c>
      <x:c r="H1534" s="87" t="str">
        <x:v>v0.84</x:v>
      </x:c>
      <x:c r="I1534" s="87" t="str">
        <x:v>2</x:v>
      </x:c>
      <x:c r="J1534" s="30" t="str">
        <x:v>VIS_ID</x:v>
      </x:c>
      <x:c r="K1534" s="30" t="str">
        <x:v>DEC-PHY-V1-025, DEC-PHY-V1-026</x:v>
      </x:c>
      <x:c r="L1534" s="87" t="str">
        <x:v>CROP_VERIFIED</x:v>
      </x:c>
      <x:c r="M1534" s="87" t="str">
        <x:v>ORIGINAL_PACKAGE</x:v>
      </x:c>
      <x:c r="N1534" s="87"/>
      <x:c r="O1534" s="87"/>
      <x:c r="P1534" s="87" t="str">
        <x:v>d6e57de16c18f4f18905a8dc14d2af809bd449b047f3ab3082d512e64fa0f188</x:v>
      </x:c>
      <x:c r="Q1534" s="30" t="str">
        <x:v>incoming/raw/recovery-drop-01/physics_dec_visual_assets_v084.zip!/full/VIS-PHY-DEC-010.png</x:v>
      </x:c>
      <x:c r="R1534" s="30" t="str">
        <x:v>MATCHED_ASSET</x:v>
      </x:c>
      <x:c r="S1534" t="e">
        <x:f>HYPERLINK("visual_gallery/index.html#"&amp;A1534,"Галерея")</x:f>
      </x:c>
    </x:row>
    <x:row r="1535">
      <x:c r="A1535" s="87" t="str">
        <x:v>VIS-PHY-DEC-011</x:v>
      </x:c>
      <x:c r="B1535" s="30" t="str">
        <x:v>Физика</x:v>
      </x:c>
      <x:c r="C1535" s="30" t="str">
        <x:v>ФИ2510202: полная страница 17 с заданиями 1, 2, 3, 4</x:v>
      </x:c>
      <x:c r="D1535" s="30" t="str">
        <x:v>ФИ2510202</x:v>
      </x:c>
      <x:c r="E1535" s="87"/>
      <x:c r="F1535" s="30" t="str">
        <x:v>Zadanie_FI11_02122025.pdf</x:v>
      </x:c>
      <x:c r="G1535" s="87" t="str">
        <x:v>17</x:v>
      </x:c>
      <x:c r="H1535" s="87" t="str">
        <x:v>v0.84</x:v>
      </x:c>
      <x:c r="I1535" s="87" t="str">
        <x:v>4</x:v>
      </x:c>
      <x:c r="J1535" s="30" t="str">
        <x:v>VIS_ID</x:v>
      </x:c>
      <x:c r="K1535" s="30" t="str">
        <x:v>DEC-PHY-V2-001, DEC-PHY-V2-002, DEC-PHY-V2-003, DEC-PHY-V2-004</x:v>
      </x:c>
      <x:c r="L1535" s="87" t="str">
        <x:v>CROP_VERIFIED</x:v>
      </x:c>
      <x:c r="M1535" s="87" t="str">
        <x:v>ORIGINAL_PACKAGE</x:v>
      </x:c>
      <x:c r="N1535" s="87"/>
      <x:c r="O1535" s="87"/>
      <x:c r="P1535" s="87" t="str">
        <x:v>b4deeed00393ccbd2e365525b80b95b2a2d26284cf5b10e52e82d6de578b5c06</x:v>
      </x:c>
      <x:c r="Q1535" s="30" t="str">
        <x:v>incoming/raw/recovery-drop-01/physics_dec_visual_assets_v084.zip!/full/VIS-PHY-DEC-011.png</x:v>
      </x:c>
      <x:c r="R1535" s="30" t="str">
        <x:v>MATCHED_ASSET</x:v>
      </x:c>
      <x:c r="S1535" t="e">
        <x:f>HYPERLINK("visual_gallery/index.html#"&amp;A1535,"Галерея")</x:f>
      </x:c>
    </x:row>
    <x:row r="1536">
      <x:c r="A1536" s="87" t="str">
        <x:v>VIS-PHY-DEC-012</x:v>
      </x:c>
      <x:c r="B1536" s="30" t="str">
        <x:v>Физика</x:v>
      </x:c>
      <x:c r="C1536" s="30" t="str">
        <x:v>ФИ2510202: полная страница 18 с заданиями 5</x:v>
      </x:c>
      <x:c r="D1536" s="30" t="str">
        <x:v>ФИ2510202</x:v>
      </x:c>
      <x:c r="E1536" s="87"/>
      <x:c r="F1536" s="30" t="str">
        <x:v>Zadanie_FI11_02122025.pdf</x:v>
      </x:c>
      <x:c r="G1536" s="87" t="str">
        <x:v>18</x:v>
      </x:c>
      <x:c r="H1536" s="87" t="str">
        <x:v>v0.84</x:v>
      </x:c>
      <x:c r="I1536" s="87" t="str">
        <x:v>1</x:v>
      </x:c>
      <x:c r="J1536" s="30" t="str">
        <x:v>VIS_ID</x:v>
      </x:c>
      <x:c r="K1536" s="30" t="str">
        <x:v>DEC-PHY-V2-005</x:v>
      </x:c>
      <x:c r="L1536" s="87" t="str">
        <x:v>CROP_VERIFIED</x:v>
      </x:c>
      <x:c r="M1536" s="87" t="str">
        <x:v>ORIGINAL_PACKAGE</x:v>
      </x:c>
      <x:c r="N1536" s="87"/>
      <x:c r="O1536" s="87"/>
      <x:c r="P1536" s="87" t="str">
        <x:v>c1c8862768207da3ca533185e86f8afb342284bb77aba64abf225cff405f149f</x:v>
      </x:c>
      <x:c r="Q1536" s="30" t="str">
        <x:v>incoming/raw/recovery-drop-01/physics_dec_visual_assets_v084.zip!/full/VIS-PHY-DEC-012.png</x:v>
      </x:c>
      <x:c r="R1536" s="30" t="str">
        <x:v>MATCHED_ASSET</x:v>
      </x:c>
      <x:c r="S1536" t="e">
        <x:f>HYPERLINK("visual_gallery/index.html#"&amp;A1536,"Галерея")</x:f>
      </x:c>
    </x:row>
    <x:row r="1537">
      <x:c r="A1537" s="87" t="str">
        <x:v>VIS-PHY-DEC-013</x:v>
      </x:c>
      <x:c r="B1537" s="30" t="str">
        <x:v>Физика</x:v>
      </x:c>
      <x:c r="C1537" s="30" t="str">
        <x:v>ФИ2510202: полная страница 19 с заданиями 6, 7, 8</x:v>
      </x:c>
      <x:c r="D1537" s="30" t="str">
        <x:v>ФИ2510202</x:v>
      </x:c>
      <x:c r="E1537" s="87"/>
      <x:c r="F1537" s="30" t="str">
        <x:v>Zadanie_FI11_02122025.pdf</x:v>
      </x:c>
      <x:c r="G1537" s="87" t="str">
        <x:v>19</x:v>
      </x:c>
      <x:c r="H1537" s="87" t="str">
        <x:v>v0.84</x:v>
      </x:c>
      <x:c r="I1537" s="87" t="str">
        <x:v>3</x:v>
      </x:c>
      <x:c r="J1537" s="30" t="str">
        <x:v>VIS_ID</x:v>
      </x:c>
      <x:c r="K1537" s="30" t="str">
        <x:v>DEC-PHY-V2-006, DEC-PHY-V2-007, DEC-PHY-V2-008</x:v>
      </x:c>
      <x:c r="L1537" s="87" t="str">
        <x:v>CROP_VERIFIED</x:v>
      </x:c>
      <x:c r="M1537" s="87" t="str">
        <x:v>ORIGINAL_PACKAGE</x:v>
      </x:c>
      <x:c r="N1537" s="87"/>
      <x:c r="O1537" s="87"/>
      <x:c r="P1537" s="87" t="str">
        <x:v>2bc5e4d8b27b903a6fd3216fcf590b5ceca420473b8e3d8e9d2f5db2567dfe05</x:v>
      </x:c>
      <x:c r="Q1537" s="30" t="str">
        <x:v>incoming/raw/recovery-drop-01/physics_dec_visual_assets_v084.zip!/full/VIS-PHY-DEC-013.png</x:v>
      </x:c>
      <x:c r="R1537" s="30" t="str">
        <x:v>MATCHED_ASSET</x:v>
      </x:c>
      <x:c r="S1537" t="e">
        <x:f>HYPERLINK("visual_gallery/index.html#"&amp;A1537,"Галерея")</x:f>
      </x:c>
    </x:row>
    <x:row r="1538">
      <x:c r="A1538" s="87" t="str">
        <x:v>VIS-PHY-DEC-014</x:v>
      </x:c>
      <x:c r="B1538" s="30" t="str">
        <x:v>Физика</x:v>
      </x:c>
      <x:c r="C1538" s="30" t="str">
        <x:v>ФИ2510202: полная страница 20 с заданиями 9, 10, 11</x:v>
      </x:c>
      <x:c r="D1538" s="30" t="str">
        <x:v>ФИ2510202</x:v>
      </x:c>
      <x:c r="E1538" s="87"/>
      <x:c r="F1538" s="30" t="str">
        <x:v>Zadanie_FI11_02122025.pdf</x:v>
      </x:c>
      <x:c r="G1538" s="87" t="str">
        <x:v>20</x:v>
      </x:c>
      <x:c r="H1538" s="87" t="str">
        <x:v>v0.84</x:v>
      </x:c>
      <x:c r="I1538" s="87" t="str">
        <x:v>3</x:v>
      </x:c>
      <x:c r="J1538" s="30" t="str">
        <x:v>VIS_ID</x:v>
      </x:c>
      <x:c r="K1538" s="30" t="str">
        <x:v>DEC-PHY-V2-009, DEC-PHY-V2-010, DEC-PHY-V2-011</x:v>
      </x:c>
      <x:c r="L1538" s="87" t="str">
        <x:v>CROP_VERIFIED</x:v>
      </x:c>
      <x:c r="M1538" s="87" t="str">
        <x:v>ORIGINAL_PACKAGE</x:v>
      </x:c>
      <x:c r="N1538" s="87"/>
      <x:c r="O1538" s="87"/>
      <x:c r="P1538" s="87" t="str">
        <x:v>c33e989185559ab9369264ba2db13018951c1b778a791c600dc2e0dcb89abae3</x:v>
      </x:c>
      <x:c r="Q1538" s="30" t="str">
        <x:v>incoming/raw/recovery-drop-01/physics_dec_visual_assets_v084.zip!/full/VIS-PHY-DEC-014.png</x:v>
      </x:c>
      <x:c r="R1538" s="30" t="str">
        <x:v>MATCHED_ASSET</x:v>
      </x:c>
      <x:c r="S1538" t="e">
        <x:f>HYPERLINK("visual_gallery/index.html#"&amp;A1538,"Галерея")</x:f>
      </x:c>
    </x:row>
    <x:row r="1539">
      <x:c r="A1539" s="87" t="str">
        <x:v>VIS-PHY-DEC-015</x:v>
      </x:c>
      <x:c r="B1539" s="30" t="str">
        <x:v>Физика</x:v>
      </x:c>
      <x:c r="C1539" s="30" t="str">
        <x:v>ФИ2510202: полная страница 21 с заданиями 12, 13, 14</x:v>
      </x:c>
      <x:c r="D1539" s="30" t="str">
        <x:v>ФИ2510202</x:v>
      </x:c>
      <x:c r="E1539" s="87"/>
      <x:c r="F1539" s="30" t="str">
        <x:v>Zadanie_FI11_02122025.pdf</x:v>
      </x:c>
      <x:c r="G1539" s="87" t="str">
        <x:v>21</x:v>
      </x:c>
      <x:c r="H1539" s="87" t="str">
        <x:v>v0.84</x:v>
      </x:c>
      <x:c r="I1539" s="87" t="str">
        <x:v>3</x:v>
      </x:c>
      <x:c r="J1539" s="30" t="str">
        <x:v>VIS_ID</x:v>
      </x:c>
      <x:c r="K1539" s="30" t="str">
        <x:v>DEC-PHY-V2-012, DEC-PHY-V2-013, DEC-PHY-V2-014</x:v>
      </x:c>
      <x:c r="L1539" s="87" t="str">
        <x:v>CROP_VERIFIED</x:v>
      </x:c>
      <x:c r="M1539" s="87" t="str">
        <x:v>ORIGINAL_PACKAGE</x:v>
      </x:c>
      <x:c r="N1539" s="87"/>
      <x:c r="O1539" s="87"/>
      <x:c r="P1539" s="87" t="str">
        <x:v>b464c66a6f3ce0d2be5b642d1d53dd97328971246f646a81f28a20f1f8ad05df</x:v>
      </x:c>
      <x:c r="Q1539" s="30" t="str">
        <x:v>incoming/raw/recovery-drop-01/physics_dec_visual_assets_v084.zip!/full/VIS-PHY-DEC-015.png</x:v>
      </x:c>
      <x:c r="R1539" s="30" t="str">
        <x:v>MATCHED_ASSET</x:v>
      </x:c>
      <x:c r="S1539" t="e">
        <x:f>HYPERLINK("visual_gallery/index.html#"&amp;A1539,"Галерея")</x:f>
      </x:c>
    </x:row>
    <x:row r="1540">
      <x:c r="A1540" s="87" t="str">
        <x:v>VIS-PHY-DEC-016</x:v>
      </x:c>
      <x:c r="B1540" s="30" t="str">
        <x:v>Физика</x:v>
      </x:c>
      <x:c r="C1540" s="30" t="str">
        <x:v>ФИ2510202: полная страница 22 с заданиями 15, 16</x:v>
      </x:c>
      <x:c r="D1540" s="30" t="str">
        <x:v>ФИ2510202</x:v>
      </x:c>
      <x:c r="E1540" s="87"/>
      <x:c r="F1540" s="30" t="str">
        <x:v>Zadanie_FI11_02122025.pdf</x:v>
      </x:c>
      <x:c r="G1540" s="87" t="str">
        <x:v>22</x:v>
      </x:c>
      <x:c r="H1540" s="87" t="str">
        <x:v>v0.84</x:v>
      </x:c>
      <x:c r="I1540" s="87" t="str">
        <x:v>2</x:v>
      </x:c>
      <x:c r="J1540" s="30" t="str">
        <x:v>VIS_ID</x:v>
      </x:c>
      <x:c r="K1540" s="30" t="str">
        <x:v>DEC-PHY-V2-015, DEC-PHY-V2-016</x:v>
      </x:c>
      <x:c r="L1540" s="87" t="str">
        <x:v>CROP_VERIFIED</x:v>
      </x:c>
      <x:c r="M1540" s="87" t="str">
        <x:v>ORIGINAL_PACKAGE</x:v>
      </x:c>
      <x:c r="N1540" s="87"/>
      <x:c r="O1540" s="87"/>
      <x:c r="P1540" s="87" t="str">
        <x:v>5ed7bcbf85f72209768acde83cd6f138f4740679a4451f9d5df5d1af6129a7d8</x:v>
      </x:c>
      <x:c r="Q1540" s="30" t="str">
        <x:v>incoming/raw/recovery-drop-01/physics_dec_visual_assets_v084.zip!/full/VIS-PHY-DEC-016.png</x:v>
      </x:c>
      <x:c r="R1540" s="30" t="str">
        <x:v>MATCHED_ASSET</x:v>
      </x:c>
      <x:c r="S1540" t="e">
        <x:f>HYPERLINK("visual_gallery/index.html#"&amp;A1540,"Галерея")</x:f>
      </x:c>
    </x:row>
    <x:row r="1541">
      <x:c r="A1541" s="87" t="str">
        <x:v>VIS-PHY-DEC-017</x:v>
      </x:c>
      <x:c r="B1541" s="30" t="str">
        <x:v>Физика</x:v>
      </x:c>
      <x:c r="C1541" s="30" t="str">
        <x:v>ФИ2510202: полная страница 23 с заданиями 17, 18, 19</x:v>
      </x:c>
      <x:c r="D1541" s="30" t="str">
        <x:v>ФИ2510202</x:v>
      </x:c>
      <x:c r="E1541" s="87"/>
      <x:c r="F1541" s="30" t="str">
        <x:v>Zadanie_FI11_02122025.pdf</x:v>
      </x:c>
      <x:c r="G1541" s="87" t="str">
        <x:v>23</x:v>
      </x:c>
      <x:c r="H1541" s="87" t="str">
        <x:v>v0.84</x:v>
      </x:c>
      <x:c r="I1541" s="87" t="str">
        <x:v>3</x:v>
      </x:c>
      <x:c r="J1541" s="30" t="str">
        <x:v>VIS_ID</x:v>
      </x:c>
      <x:c r="K1541" s="30" t="str">
        <x:v>DEC-PHY-V2-017, DEC-PHY-V2-018, DEC-PHY-V2-019</x:v>
      </x:c>
      <x:c r="L1541" s="87" t="str">
        <x:v>CROP_VERIFIED</x:v>
      </x:c>
      <x:c r="M1541" s="87" t="str">
        <x:v>ORIGINAL_PACKAGE</x:v>
      </x:c>
      <x:c r="N1541" s="87"/>
      <x:c r="O1541" s="87"/>
      <x:c r="P1541" s="87" t="str">
        <x:v>6b32fc25cc8fce61e27f3b3c340ccfbf4fd27b71d4cf65abf977efe3ce5ed442</x:v>
      </x:c>
      <x:c r="Q1541" s="30" t="str">
        <x:v>incoming/raw/recovery-drop-01/physics_dec_visual_assets_v084.zip!/full/VIS-PHY-DEC-017.png</x:v>
      </x:c>
      <x:c r="R1541" s="30" t="str">
        <x:v>MATCHED_ASSET</x:v>
      </x:c>
      <x:c r="S1541" t="e">
        <x:f>HYPERLINK("visual_gallery/index.html#"&amp;A1541,"Галерея")</x:f>
      </x:c>
    </x:row>
    <x:row r="1542">
      <x:c r="A1542" s="87" t="str">
        <x:v>VIS-PHY-DEC-018</x:v>
      </x:c>
      <x:c r="B1542" s="30" t="str">
        <x:v>Физика</x:v>
      </x:c>
      <x:c r="C1542" s="30" t="str">
        <x:v>ФИ2510202: полная страница 24 с заданиями 20</x:v>
      </x:c>
      <x:c r="D1542" s="30" t="str">
        <x:v>ФИ2510202</x:v>
      </x:c>
      <x:c r="E1542" s="87"/>
      <x:c r="F1542" s="30" t="str">
        <x:v>Zadanie_FI11_02122025.pdf</x:v>
      </x:c>
      <x:c r="G1542" s="87" t="str">
        <x:v>24</x:v>
      </x:c>
      <x:c r="H1542" s="87" t="str">
        <x:v>v0.84</x:v>
      </x:c>
      <x:c r="I1542" s="87" t="str">
        <x:v>1</x:v>
      </x:c>
      <x:c r="J1542" s="30" t="str">
        <x:v>VIS_ID</x:v>
      </x:c>
      <x:c r="K1542" s="30" t="str">
        <x:v>DEC-PHY-V2-020</x:v>
      </x:c>
      <x:c r="L1542" s="87" t="str">
        <x:v>CROP_VERIFIED</x:v>
      </x:c>
      <x:c r="M1542" s="87" t="str">
        <x:v>ORIGINAL_PACKAGE</x:v>
      </x:c>
      <x:c r="N1542" s="87"/>
      <x:c r="O1542" s="87"/>
      <x:c r="P1542" s="87" t="str">
        <x:v>48a42d58eb9fd5b8e72d1da747c9d8c9ee5c874fdb463407847d89cbc8df3fa8</x:v>
      </x:c>
      <x:c r="Q1542" s="30" t="str">
        <x:v>incoming/raw/recovery-drop-01/physics_dec_visual_assets_v084.zip!/full/VIS-PHY-DEC-018.png</x:v>
      </x:c>
      <x:c r="R1542" s="30" t="str">
        <x:v>MATCHED_ASSET</x:v>
      </x:c>
      <x:c r="S1542" t="e">
        <x:f>HYPERLINK("visual_gallery/index.html#"&amp;A1542,"Галерея")</x:f>
      </x:c>
    </x:row>
    <x:row r="1543">
      <x:c r="A1543" s="87" t="str">
        <x:v>VIS-PHY-DEC-019</x:v>
      </x:c>
      <x:c r="B1543" s="30" t="str">
        <x:v>Физика</x:v>
      </x:c>
      <x:c r="C1543" s="30" t="str">
        <x:v>ФИ2510202: полная страница 25 с заданиями 21, 22, 23, 24</x:v>
      </x:c>
      <x:c r="D1543" s="30" t="str">
        <x:v>ФИ2510202</x:v>
      </x:c>
      <x:c r="E1543" s="87"/>
      <x:c r="F1543" s="30" t="str">
        <x:v>Zadanie_FI11_02122025.pdf</x:v>
      </x:c>
      <x:c r="G1543" s="87" t="str">
        <x:v>25</x:v>
      </x:c>
      <x:c r="H1543" s="87" t="str">
        <x:v>v0.84</x:v>
      </x:c>
      <x:c r="I1543" s="87" t="str">
        <x:v>4</x:v>
      </x:c>
      <x:c r="J1543" s="30" t="str">
        <x:v>VIS_ID</x:v>
      </x:c>
      <x:c r="K1543" s="30" t="str">
        <x:v>DEC-PHY-V2-021, DEC-PHY-V2-022, DEC-PHY-V2-023, DEC-PHY-V2-024</x:v>
      </x:c>
      <x:c r="L1543" s="87" t="str">
        <x:v>CROP_VERIFIED</x:v>
      </x:c>
      <x:c r="M1543" s="87" t="str">
        <x:v>ORIGINAL_PACKAGE</x:v>
      </x:c>
      <x:c r="N1543" s="87"/>
      <x:c r="O1543" s="87"/>
      <x:c r="P1543" s="87" t="str">
        <x:v>708b510ef6273c493ffc7830dbba537dfb8ba33a99219b861399b4bc44edc096</x:v>
      </x:c>
      <x:c r="Q1543" s="30" t="str">
        <x:v>incoming/raw/recovery-drop-01/physics_dec_visual_assets_v084.zip!/full/VIS-PHY-DEC-019.png</x:v>
      </x:c>
      <x:c r="R1543" s="30" t="str">
        <x:v>MATCHED_ASSET</x:v>
      </x:c>
      <x:c r="S1543" t="e">
        <x:f>HYPERLINK("visual_gallery/index.html#"&amp;A1543,"Галерея")</x:f>
      </x:c>
    </x:row>
    <x:row r="1544">
      <x:c r="A1544" s="87" t="str">
        <x:v>VIS-PHY-DEC-020</x:v>
      </x:c>
      <x:c r="B1544" s="30" t="str">
        <x:v>Физика</x:v>
      </x:c>
      <x:c r="C1544" s="30" t="str">
        <x:v>ФИ2510202: полная страница 26 с заданиями 25, 26</x:v>
      </x:c>
      <x:c r="D1544" s="30" t="str">
        <x:v>ФИ2510202</x:v>
      </x:c>
      <x:c r="E1544" s="87"/>
      <x:c r="F1544" s="30" t="str">
        <x:v>Zadanie_FI11_02122025.pdf</x:v>
      </x:c>
      <x:c r="G1544" s="87" t="str">
        <x:v>26</x:v>
      </x:c>
      <x:c r="H1544" s="87" t="str">
        <x:v>v0.84</x:v>
      </x:c>
      <x:c r="I1544" s="87" t="str">
        <x:v>2</x:v>
      </x:c>
      <x:c r="J1544" s="30" t="str">
        <x:v>VIS_ID</x:v>
      </x:c>
      <x:c r="K1544" s="30" t="str">
        <x:v>DEC-PHY-V2-025, DEC-PHY-V2-026</x:v>
      </x:c>
      <x:c r="L1544" s="87" t="str">
        <x:v>CROP_VERIFIED</x:v>
      </x:c>
      <x:c r="M1544" s="87" t="str">
        <x:v>ORIGINAL_PACKAGE</x:v>
      </x:c>
      <x:c r="N1544" s="87"/>
      <x:c r="O1544" s="87"/>
      <x:c r="P1544" s="87" t="str">
        <x:v>368e40b14542ec60f3a9da8fb26985f9e1e90122e248631d05569fe11c392d14</x:v>
      </x:c>
      <x:c r="Q1544" s="30" t="str">
        <x:v>incoming/raw/recovery-drop-01/physics_dec_visual_assets_v084.zip!/full/VIS-PHY-DEC-020.png</x:v>
      </x:c>
      <x:c r="R1544" s="30" t="str">
        <x:v>MATCHED_ASSET</x:v>
      </x:c>
      <x:c r="S1544" t="e">
        <x:f>HYPERLINK("visual_gallery/index.html#"&amp;A1544,"Галерея")</x:f>
      </x:c>
    </x:row>
    <x:row r="1545">
      <x:c r="A1545" s="87" t="str">
        <x:v>VIS-PHY-DEC-021</x:v>
      </x:c>
      <x:c r="B1545" s="30" t="str">
        <x:v>Физика</x:v>
      </x:c>
      <x:c r="C1545" s="30" t="str">
        <x:v>ФИ2510203: полная страница 4 с заданиями 1, 2, 3, 4</x:v>
      </x:c>
      <x:c r="D1545" s="30" t="str">
        <x:v>ФИ2510203</x:v>
      </x:c>
      <x:c r="E1545" s="87"/>
      <x:c r="F1545" s="30" t="str">
        <x:v>Zadanie_FI11_02122025_.pdf</x:v>
      </x:c>
      <x:c r="G1545" s="87" t="str">
        <x:v>4</x:v>
      </x:c>
      <x:c r="H1545" s="87" t="str">
        <x:v>v0.84</x:v>
      </x:c>
      <x:c r="I1545" s="87" t="str">
        <x:v>4</x:v>
      </x:c>
      <x:c r="J1545" s="30" t="str">
        <x:v>VIS_ID</x:v>
      </x:c>
      <x:c r="K1545" s="30" t="str">
        <x:v>DEC-PHY-V3-001, DEC-PHY-V3-002, DEC-PHY-V3-003, DEC-PHY-V3-004</x:v>
      </x:c>
      <x:c r="L1545" s="87" t="str">
        <x:v>CROP_VERIFIED</x:v>
      </x:c>
      <x:c r="M1545" s="87" t="str">
        <x:v>ORIGINAL_PACKAGE</x:v>
      </x:c>
      <x:c r="N1545" s="87"/>
      <x:c r="O1545" s="87"/>
      <x:c r="P1545" s="87" t="str">
        <x:v>084044e164a84c7246531dee70d97e44d356e300f0b287fe37045519e9974555</x:v>
      </x:c>
      <x:c r="Q1545" s="30" t="str">
        <x:v>incoming/raw/recovery-drop-01/physics_dec_visual_assets_v084.zip!/full/VIS-PHY-DEC-021.png</x:v>
      </x:c>
      <x:c r="R1545" s="30" t="str">
        <x:v>MATCHED_ASSET</x:v>
      </x:c>
      <x:c r="S1545" t="e">
        <x:f>HYPERLINK("visual_gallery/index.html#"&amp;A1545,"Галерея")</x:f>
      </x:c>
    </x:row>
    <x:row r="1546">
      <x:c r="A1546" s="87" t="str">
        <x:v>VIS-PHY-DEC-022</x:v>
      </x:c>
      <x:c r="B1546" s="30" t="str">
        <x:v>Физика</x:v>
      </x:c>
      <x:c r="C1546" s="30" t="str">
        <x:v>ФИ2510203: полная страница 5 с заданиями 5</x:v>
      </x:c>
      <x:c r="D1546" s="30" t="str">
        <x:v>ФИ2510203</x:v>
      </x:c>
      <x:c r="E1546" s="87"/>
      <x:c r="F1546" s="30" t="str">
        <x:v>Zadanie_FI11_02122025_.pdf</x:v>
      </x:c>
      <x:c r="G1546" s="87" t="str">
        <x:v>5</x:v>
      </x:c>
      <x:c r="H1546" s="87" t="str">
        <x:v>v0.84</x:v>
      </x:c>
      <x:c r="I1546" s="87" t="str">
        <x:v>1</x:v>
      </x:c>
      <x:c r="J1546" s="30" t="str">
        <x:v>VIS_ID</x:v>
      </x:c>
      <x:c r="K1546" s="30" t="str">
        <x:v>DEC-PHY-V3-005</x:v>
      </x:c>
      <x:c r="L1546" s="87" t="str">
        <x:v>CROP_VERIFIED</x:v>
      </x:c>
      <x:c r="M1546" s="87" t="str">
        <x:v>ORIGINAL_PACKAGE</x:v>
      </x:c>
      <x:c r="N1546" s="87"/>
      <x:c r="O1546" s="87"/>
      <x:c r="P1546" s="87" t="str">
        <x:v>640fafce05e7165503bbc0da5a69935472cacc5691d53a404a9afdf2a988f918</x:v>
      </x:c>
      <x:c r="Q1546" s="30" t="str">
        <x:v>incoming/raw/recovery-drop-01/physics_dec_visual_assets_v084.zip!/full/VIS-PHY-DEC-022.png</x:v>
      </x:c>
      <x:c r="R1546" s="30" t="str">
        <x:v>MATCHED_ASSET</x:v>
      </x:c>
      <x:c r="S1546" t="e">
        <x:f>HYPERLINK("visual_gallery/index.html#"&amp;A1546,"Галерея")</x:f>
      </x:c>
    </x:row>
    <x:row r="1547">
      <x:c r="A1547" s="87" t="str">
        <x:v>VIS-PHY-DEC-023</x:v>
      </x:c>
      <x:c r="B1547" s="30" t="str">
        <x:v>Физика</x:v>
      </x:c>
      <x:c r="C1547" s="30" t="str">
        <x:v>ФИ2510203: полная страница 6 с заданиями 6, 7, 8</x:v>
      </x:c>
      <x:c r="D1547" s="30" t="str">
        <x:v>ФИ2510203</x:v>
      </x:c>
      <x:c r="E1547" s="87"/>
      <x:c r="F1547" s="30" t="str">
        <x:v>Zadanie_FI11_02122025_.pdf</x:v>
      </x:c>
      <x:c r="G1547" s="87" t="str">
        <x:v>6</x:v>
      </x:c>
      <x:c r="H1547" s="87" t="str">
        <x:v>v0.84</x:v>
      </x:c>
      <x:c r="I1547" s="87" t="str">
        <x:v>3</x:v>
      </x:c>
      <x:c r="J1547" s="30" t="str">
        <x:v>VIS_ID</x:v>
      </x:c>
      <x:c r="K1547" s="30" t="str">
        <x:v>DEC-PHY-V3-006, DEC-PHY-V3-007, DEC-PHY-V3-008</x:v>
      </x:c>
      <x:c r="L1547" s="87" t="str">
        <x:v>CROP_VERIFIED</x:v>
      </x:c>
      <x:c r="M1547" s="87" t="str">
        <x:v>ORIGINAL_PACKAGE</x:v>
      </x:c>
      <x:c r="N1547" s="87"/>
      <x:c r="O1547" s="87"/>
      <x:c r="P1547" s="87" t="str">
        <x:v>c05ad9f91be33535c8f7bc59b49e2aff5d5a6508f2939517d1e41673de9ef22f</x:v>
      </x:c>
      <x:c r="Q1547" s="30" t="str">
        <x:v>incoming/raw/recovery-drop-01/physics_dec_visual_assets_v084.zip!/full/VIS-PHY-DEC-023.png</x:v>
      </x:c>
      <x:c r="R1547" s="30" t="str">
        <x:v>MATCHED_ASSET</x:v>
      </x:c>
      <x:c r="S1547" t="e">
        <x:f>HYPERLINK("visual_gallery/index.html#"&amp;A1547,"Галерея")</x:f>
      </x:c>
    </x:row>
    <x:row r="1548">
      <x:c r="A1548" s="87" t="str">
        <x:v>VIS-PHY-DEC-024</x:v>
      </x:c>
      <x:c r="B1548" s="30" t="str">
        <x:v>Физика</x:v>
      </x:c>
      <x:c r="C1548" s="30" t="str">
        <x:v>ФИ2510203: полная страница 7 с заданиями 9, 10, 11</x:v>
      </x:c>
      <x:c r="D1548" s="30" t="str">
        <x:v>ФИ2510203</x:v>
      </x:c>
      <x:c r="E1548" s="87"/>
      <x:c r="F1548" s="30" t="str">
        <x:v>Zadanie_FI11_02122025_.pdf</x:v>
      </x:c>
      <x:c r="G1548" s="87" t="str">
        <x:v>7</x:v>
      </x:c>
      <x:c r="H1548" s="87" t="str">
        <x:v>v0.84</x:v>
      </x:c>
      <x:c r="I1548" s="87" t="str">
        <x:v>3</x:v>
      </x:c>
      <x:c r="J1548" s="30" t="str">
        <x:v>VIS_ID</x:v>
      </x:c>
      <x:c r="K1548" s="30" t="str">
        <x:v>DEC-PHY-V3-009, DEC-PHY-V3-010, DEC-PHY-V3-011</x:v>
      </x:c>
      <x:c r="L1548" s="87" t="str">
        <x:v>CROP_VERIFIED</x:v>
      </x:c>
      <x:c r="M1548" s="87" t="str">
        <x:v>ORIGINAL_PACKAGE</x:v>
      </x:c>
      <x:c r="N1548" s="87"/>
      <x:c r="O1548" s="87"/>
      <x:c r="P1548" s="87" t="str">
        <x:v>92d22df899ad8d544a019871880004ac550854860b973391a3a4a7e96cbee56b</x:v>
      </x:c>
      <x:c r="Q1548" s="30" t="str">
        <x:v>incoming/raw/recovery-drop-01/physics_dec_visual_assets_v084.zip!/full/VIS-PHY-DEC-024.png</x:v>
      </x:c>
      <x:c r="R1548" s="30" t="str">
        <x:v>MATCHED_ASSET</x:v>
      </x:c>
      <x:c r="S1548" t="e">
        <x:f>HYPERLINK("visual_gallery/index.html#"&amp;A1548,"Галерея")</x:f>
      </x:c>
    </x:row>
    <x:row r="1549">
      <x:c r="A1549" s="87" t="str">
        <x:v>VIS-PHY-DEC-025</x:v>
      </x:c>
      <x:c r="B1549" s="30" t="str">
        <x:v>Физика</x:v>
      </x:c>
      <x:c r="C1549" s="30" t="str">
        <x:v>ФИ2510203: полная страница 8 с заданиями 12, 13, 14</x:v>
      </x:c>
      <x:c r="D1549" s="30" t="str">
        <x:v>ФИ2510203</x:v>
      </x:c>
      <x:c r="E1549" s="87"/>
      <x:c r="F1549" s="30" t="str">
        <x:v>Zadanie_FI11_02122025_.pdf</x:v>
      </x:c>
      <x:c r="G1549" s="87" t="str">
        <x:v>8</x:v>
      </x:c>
      <x:c r="H1549" s="87" t="str">
        <x:v>v0.84</x:v>
      </x:c>
      <x:c r="I1549" s="87" t="str">
        <x:v>3</x:v>
      </x:c>
      <x:c r="J1549" s="30" t="str">
        <x:v>VIS_ID</x:v>
      </x:c>
      <x:c r="K1549" s="30" t="str">
        <x:v>DEC-PHY-V3-012, DEC-PHY-V3-013, DEC-PHY-V3-014</x:v>
      </x:c>
      <x:c r="L1549" s="87" t="str">
        <x:v>CROP_VERIFIED</x:v>
      </x:c>
      <x:c r="M1549" s="87" t="str">
        <x:v>ORIGINAL_PACKAGE</x:v>
      </x:c>
      <x:c r="N1549" s="87"/>
      <x:c r="O1549" s="87"/>
      <x:c r="P1549" s="87" t="str">
        <x:v>8204b51f3b10addad916c8adbb748a0ab3414b5f4e85fc9d9c989e1e4fe6ef21</x:v>
      </x:c>
      <x:c r="Q1549" s="30" t="str">
        <x:v>incoming/raw/recovery-drop-01/physics_dec_visual_assets_v084.zip!/full/VIS-PHY-DEC-025.png</x:v>
      </x:c>
      <x:c r="R1549" s="30" t="str">
        <x:v>MATCHED_ASSET</x:v>
      </x:c>
      <x:c r="S1549" t="e">
        <x:f>HYPERLINK("visual_gallery/index.html#"&amp;A1549,"Галерея")</x:f>
      </x:c>
    </x:row>
    <x:row r="1550">
      <x:c r="A1550" s="87" t="str">
        <x:v>VIS-PHY-DEC-026</x:v>
      </x:c>
      <x:c r="B1550" s="30" t="str">
        <x:v>Физика</x:v>
      </x:c>
      <x:c r="C1550" s="30" t="str">
        <x:v>ФИ2510203: полная страница 9 с заданиями 15, 16</x:v>
      </x:c>
      <x:c r="D1550" s="30" t="str">
        <x:v>ФИ2510203</x:v>
      </x:c>
      <x:c r="E1550" s="87"/>
      <x:c r="F1550" s="30" t="str">
        <x:v>Zadanie_FI11_02122025_.pdf</x:v>
      </x:c>
      <x:c r="G1550" s="87" t="str">
        <x:v>9</x:v>
      </x:c>
      <x:c r="H1550" s="87" t="str">
        <x:v>v0.84</x:v>
      </x:c>
      <x:c r="I1550" s="87" t="str">
        <x:v>2</x:v>
      </x:c>
      <x:c r="J1550" s="30" t="str">
        <x:v>VIS_ID</x:v>
      </x:c>
      <x:c r="K1550" s="30" t="str">
        <x:v>DEC-PHY-V3-015, DEC-PHY-V3-016</x:v>
      </x:c>
      <x:c r="L1550" s="87" t="str">
        <x:v>CROP_VERIFIED</x:v>
      </x:c>
      <x:c r="M1550" s="87" t="str">
        <x:v>ORIGINAL_PACKAGE</x:v>
      </x:c>
      <x:c r="N1550" s="87"/>
      <x:c r="O1550" s="87"/>
      <x:c r="P1550" s="87" t="str">
        <x:v>79574c9660604fda1fe62193db03cf93529fe14c59a920276a29810d6787d850</x:v>
      </x:c>
      <x:c r="Q1550" s="30" t="str">
        <x:v>incoming/raw/recovery-drop-01/physics_dec_visual_assets_v084.zip!/full/VIS-PHY-DEC-026.png</x:v>
      </x:c>
      <x:c r="R1550" s="30" t="str">
        <x:v>MATCHED_ASSET</x:v>
      </x:c>
      <x:c r="S1550" t="e">
        <x:f>HYPERLINK("visual_gallery/index.html#"&amp;A1550,"Галерея")</x:f>
      </x:c>
    </x:row>
    <x:row r="1551">
      <x:c r="A1551" s="87" t="str">
        <x:v>VIS-PHY-DEC-027</x:v>
      </x:c>
      <x:c r="B1551" s="30" t="str">
        <x:v>Физика</x:v>
      </x:c>
      <x:c r="C1551" s="30" t="str">
        <x:v>ФИ2510203: полная страница 10 с заданиями 17, 18, 19</x:v>
      </x:c>
      <x:c r="D1551" s="30" t="str">
        <x:v>ФИ2510203</x:v>
      </x:c>
      <x:c r="E1551" s="87"/>
      <x:c r="F1551" s="30" t="str">
        <x:v>Zadanie_FI11_02122025_.pdf</x:v>
      </x:c>
      <x:c r="G1551" s="87" t="str">
        <x:v>10</x:v>
      </x:c>
      <x:c r="H1551" s="87" t="str">
        <x:v>v0.84</x:v>
      </x:c>
      <x:c r="I1551" s="87" t="str">
        <x:v>3</x:v>
      </x:c>
      <x:c r="J1551" s="30" t="str">
        <x:v>VIS_ID</x:v>
      </x:c>
      <x:c r="K1551" s="30" t="str">
        <x:v>DEC-PHY-V3-017, DEC-PHY-V3-018, DEC-PHY-V3-019</x:v>
      </x:c>
      <x:c r="L1551" s="87" t="str">
        <x:v>CROP_VERIFIED</x:v>
      </x:c>
      <x:c r="M1551" s="87" t="str">
        <x:v>ORIGINAL_PACKAGE</x:v>
      </x:c>
      <x:c r="N1551" s="87"/>
      <x:c r="O1551" s="87"/>
      <x:c r="P1551" s="87" t="str">
        <x:v>2586af85f1321d5b7fd6cd41b5eee9a5a8e9077665706ce67d6f12f91dcb8212</x:v>
      </x:c>
      <x:c r="Q1551" s="30" t="str">
        <x:v>incoming/raw/recovery-drop-01/physics_dec_visual_assets_v084.zip!/full/VIS-PHY-DEC-027.png</x:v>
      </x:c>
      <x:c r="R1551" s="30" t="str">
        <x:v>MATCHED_ASSET</x:v>
      </x:c>
      <x:c r="S1551" t="e">
        <x:f>HYPERLINK("visual_gallery/index.html#"&amp;A1551,"Галерея")</x:f>
      </x:c>
    </x:row>
    <x:row r="1552">
      <x:c r="A1552" s="87" t="str">
        <x:v>VIS-PHY-DEC-028</x:v>
      </x:c>
      <x:c r="B1552" s="30" t="str">
        <x:v>Физика</x:v>
      </x:c>
      <x:c r="C1552" s="30" t="str">
        <x:v>ФИ2510203: полная страница 11 с заданиями 20</x:v>
      </x:c>
      <x:c r="D1552" s="30" t="str">
        <x:v>ФИ2510203</x:v>
      </x:c>
      <x:c r="E1552" s="87"/>
      <x:c r="F1552" s="30" t="str">
        <x:v>Zadanie_FI11_02122025_.pdf</x:v>
      </x:c>
      <x:c r="G1552" s="87" t="str">
        <x:v>11</x:v>
      </x:c>
      <x:c r="H1552" s="87" t="str">
        <x:v>v0.84</x:v>
      </x:c>
      <x:c r="I1552" s="87" t="str">
        <x:v>1</x:v>
      </x:c>
      <x:c r="J1552" s="30" t="str">
        <x:v>VIS_ID</x:v>
      </x:c>
      <x:c r="K1552" s="30" t="str">
        <x:v>DEC-PHY-V3-020</x:v>
      </x:c>
      <x:c r="L1552" s="87" t="str">
        <x:v>CROP_VERIFIED</x:v>
      </x:c>
      <x:c r="M1552" s="87" t="str">
        <x:v>ORIGINAL_PACKAGE</x:v>
      </x:c>
      <x:c r="N1552" s="87"/>
      <x:c r="O1552" s="87"/>
      <x:c r="P1552" s="87" t="str">
        <x:v>4b807fd0931722eb1b4f5a64335f4cb7438b7923051f16abffa7738dabc8d79d</x:v>
      </x:c>
      <x:c r="Q1552" s="30" t="str">
        <x:v>incoming/raw/recovery-drop-01/physics_dec_visual_assets_v084.zip!/full/VIS-PHY-DEC-028.png</x:v>
      </x:c>
      <x:c r="R1552" s="30" t="str">
        <x:v>MATCHED_ASSET</x:v>
      </x:c>
      <x:c r="S1552" t="e">
        <x:f>HYPERLINK("visual_gallery/index.html#"&amp;A1552,"Галерея")</x:f>
      </x:c>
    </x:row>
    <x:row r="1553">
      <x:c r="A1553" s="87" t="str">
        <x:v>VIS-PHY-DEC-029</x:v>
      </x:c>
      <x:c r="B1553" s="30" t="str">
        <x:v>Физика</x:v>
      </x:c>
      <x:c r="C1553" s="30" t="str">
        <x:v>ФИ2510203: полная страница 12 с заданиями 21, 22, 23, 24</x:v>
      </x:c>
      <x:c r="D1553" s="30" t="str">
        <x:v>ФИ2510203</x:v>
      </x:c>
      <x:c r="E1553" s="87"/>
      <x:c r="F1553" s="30" t="str">
        <x:v>Zadanie_FI11_02122025_.pdf</x:v>
      </x:c>
      <x:c r="G1553" s="87" t="str">
        <x:v>12</x:v>
      </x:c>
      <x:c r="H1553" s="87" t="str">
        <x:v>v0.84</x:v>
      </x:c>
      <x:c r="I1553" s="87" t="str">
        <x:v>4</x:v>
      </x:c>
      <x:c r="J1553" s="30" t="str">
        <x:v>VIS_ID</x:v>
      </x:c>
      <x:c r="K1553" s="30" t="str">
        <x:v>DEC-PHY-V3-021, DEC-PHY-V3-022, DEC-PHY-V3-023, DEC-PHY-V3-024</x:v>
      </x:c>
      <x:c r="L1553" s="87" t="str">
        <x:v>CROP_VERIFIED</x:v>
      </x:c>
      <x:c r="M1553" s="87" t="str">
        <x:v>ORIGINAL_PACKAGE</x:v>
      </x:c>
      <x:c r="N1553" s="87"/>
      <x:c r="O1553" s="87"/>
      <x:c r="P1553" s="87" t="str">
        <x:v>d35061d12758aeceaaae3f8c83a5f9c4cd5c65b503ddfec46298f2ebc0c1e8dd</x:v>
      </x:c>
      <x:c r="Q1553" s="30" t="str">
        <x:v>incoming/raw/recovery-drop-01/physics_dec_visual_assets_v084.zip!/full/VIS-PHY-DEC-029.png</x:v>
      </x:c>
      <x:c r="R1553" s="30" t="str">
        <x:v>MATCHED_ASSET</x:v>
      </x:c>
      <x:c r="S1553" t="e">
        <x:f>HYPERLINK("visual_gallery/index.html#"&amp;A1553,"Галерея")</x:f>
      </x:c>
    </x:row>
    <x:row r="1554">
      <x:c r="A1554" s="87" t="str">
        <x:v>VIS-PHY-DEC-030</x:v>
      </x:c>
      <x:c r="B1554" s="30" t="str">
        <x:v>Физика</x:v>
      </x:c>
      <x:c r="C1554" s="30" t="str">
        <x:v>ФИ2510203: полная страница 13 с заданиями 25, 26</x:v>
      </x:c>
      <x:c r="D1554" s="30" t="str">
        <x:v>ФИ2510203</x:v>
      </x:c>
      <x:c r="E1554" s="87"/>
      <x:c r="F1554" s="30" t="str">
        <x:v>Zadanie_FI11_02122025_.pdf</x:v>
      </x:c>
      <x:c r="G1554" s="87" t="str">
        <x:v>13</x:v>
      </x:c>
      <x:c r="H1554" s="87" t="str">
        <x:v>v0.84</x:v>
      </x:c>
      <x:c r="I1554" s="87" t="str">
        <x:v>2</x:v>
      </x:c>
      <x:c r="J1554" s="30" t="str">
        <x:v>VIS_ID</x:v>
      </x:c>
      <x:c r="K1554" s="30" t="str">
        <x:v>DEC-PHY-V3-025, DEC-PHY-V3-026</x:v>
      </x:c>
      <x:c r="L1554" s="87" t="str">
        <x:v>CROP_VERIFIED</x:v>
      </x:c>
      <x:c r="M1554" s="87" t="str">
        <x:v>ORIGINAL_PACKAGE</x:v>
      </x:c>
      <x:c r="N1554" s="87"/>
      <x:c r="O1554" s="87"/>
      <x:c r="P1554" s="87" t="str">
        <x:v>0f84c141f6e04b166a49583dc8689336552f13ba0cdf6a8aede17ea45097872d</x:v>
      </x:c>
      <x:c r="Q1554" s="30" t="str">
        <x:v>incoming/raw/recovery-drop-01/physics_dec_visual_assets_v084.zip!/full/VIS-PHY-DEC-030.png</x:v>
      </x:c>
      <x:c r="R1554" s="30" t="str">
        <x:v>MATCHED_ASSET</x:v>
      </x:c>
      <x:c r="S1554" t="e">
        <x:f>HYPERLINK("visual_gallery/index.html#"&amp;A1554,"Галерея")</x:f>
      </x:c>
    </x:row>
    <x:row r="1555">
      <x:c r="A1555" s="87" t="str">
        <x:v>VIS-PHY-DEC-031</x:v>
      </x:c>
      <x:c r="B1555" s="30" t="str">
        <x:v>Физика</x:v>
      </x:c>
      <x:c r="C1555" s="30" t="str">
        <x:v>ФИ2510204: полная страница 17 с заданиями 1, 2, 3, 4</x:v>
      </x:c>
      <x:c r="D1555" s="30" t="str">
        <x:v>ФИ2510204</x:v>
      </x:c>
      <x:c r="E1555" s="87"/>
      <x:c r="F1555" s="30" t="str">
        <x:v>Zadanie_FI11_02122025_.pdf</x:v>
      </x:c>
      <x:c r="G1555" s="87" t="str">
        <x:v>17</x:v>
      </x:c>
      <x:c r="H1555" s="87" t="str">
        <x:v>v0.84</x:v>
      </x:c>
      <x:c r="I1555" s="87" t="str">
        <x:v>4</x:v>
      </x:c>
      <x:c r="J1555" s="30" t="str">
        <x:v>VIS_ID</x:v>
      </x:c>
      <x:c r="K1555" s="30" t="str">
        <x:v>DEC-PHY-V4-001, DEC-PHY-V4-002, DEC-PHY-V4-003, DEC-PHY-V4-004</x:v>
      </x:c>
      <x:c r="L1555" s="87" t="str">
        <x:v>CROP_VERIFIED</x:v>
      </x:c>
      <x:c r="M1555" s="87" t="str">
        <x:v>ORIGINAL_PACKAGE</x:v>
      </x:c>
      <x:c r="N1555" s="87"/>
      <x:c r="O1555" s="87"/>
      <x:c r="P1555" s="87" t="str">
        <x:v>9487b5ea5e534c2e612bafed7295fe2904902324ab6ad9ae163cb127b528a2f3</x:v>
      </x:c>
      <x:c r="Q1555" s="30" t="str">
        <x:v>incoming/raw/recovery-drop-01/physics_dec_visual_assets_v084.zip!/full/VIS-PHY-DEC-031.png</x:v>
      </x:c>
      <x:c r="R1555" s="30" t="str">
        <x:v>MATCHED_ASSET</x:v>
      </x:c>
      <x:c r="S1555" t="e">
        <x:f>HYPERLINK("visual_gallery/index.html#"&amp;A1555,"Галерея")</x:f>
      </x:c>
    </x:row>
    <x:row r="1556">
      <x:c r="A1556" s="87" t="str">
        <x:v>VIS-PHY-DEC-032</x:v>
      </x:c>
      <x:c r="B1556" s="30" t="str">
        <x:v>Физика</x:v>
      </x:c>
      <x:c r="C1556" s="30" t="str">
        <x:v>ФИ2510204: полная страница 18 с заданиями 5</x:v>
      </x:c>
      <x:c r="D1556" s="30" t="str">
        <x:v>ФИ2510204</x:v>
      </x:c>
      <x:c r="E1556" s="87"/>
      <x:c r="F1556" s="30" t="str">
        <x:v>Zadanie_FI11_02122025_.pdf</x:v>
      </x:c>
      <x:c r="G1556" s="87" t="str">
        <x:v>18</x:v>
      </x:c>
      <x:c r="H1556" s="87" t="str">
        <x:v>v0.84</x:v>
      </x:c>
      <x:c r="I1556" s="87" t="str">
        <x:v>1</x:v>
      </x:c>
      <x:c r="J1556" s="30" t="str">
        <x:v>VIS_ID</x:v>
      </x:c>
      <x:c r="K1556" s="30" t="str">
        <x:v>DEC-PHY-V4-005</x:v>
      </x:c>
      <x:c r="L1556" s="87" t="str">
        <x:v>CROP_VERIFIED</x:v>
      </x:c>
      <x:c r="M1556" s="87" t="str">
        <x:v>ORIGINAL_PACKAGE</x:v>
      </x:c>
      <x:c r="N1556" s="87"/>
      <x:c r="O1556" s="87"/>
      <x:c r="P1556" s="87" t="str">
        <x:v>fe67e07e2f64e883e2684d143e26fc6cb40cfcf63fe3fac29a5ad0dfb5cb88db</x:v>
      </x:c>
      <x:c r="Q1556" s="30" t="str">
        <x:v>incoming/raw/recovery-drop-01/physics_dec_visual_assets_v084.zip!/full/VIS-PHY-DEC-032.png</x:v>
      </x:c>
      <x:c r="R1556" s="30" t="str">
        <x:v>MATCHED_ASSET</x:v>
      </x:c>
      <x:c r="S1556" t="e">
        <x:f>HYPERLINK("visual_gallery/index.html#"&amp;A1556,"Галерея")</x:f>
      </x:c>
    </x:row>
    <x:row r="1557">
      <x:c r="A1557" s="87" t="str">
        <x:v>VIS-PHY-DEC-033</x:v>
      </x:c>
      <x:c r="B1557" s="30" t="str">
        <x:v>Физика</x:v>
      </x:c>
      <x:c r="C1557" s="30" t="str">
        <x:v>ФИ2510204: полная страница 19 с заданиями 6, 7, 8</x:v>
      </x:c>
      <x:c r="D1557" s="30" t="str">
        <x:v>ФИ2510204</x:v>
      </x:c>
      <x:c r="E1557" s="87"/>
      <x:c r="F1557" s="30" t="str">
        <x:v>Zadanie_FI11_02122025_.pdf</x:v>
      </x:c>
      <x:c r="G1557" s="87" t="str">
        <x:v>19</x:v>
      </x:c>
      <x:c r="H1557" s="87" t="str">
        <x:v>v0.84</x:v>
      </x:c>
      <x:c r="I1557" s="87" t="str">
        <x:v>3</x:v>
      </x:c>
      <x:c r="J1557" s="30" t="str">
        <x:v>VIS_ID</x:v>
      </x:c>
      <x:c r="K1557" s="30" t="str">
        <x:v>DEC-PHY-V4-006, DEC-PHY-V4-007, DEC-PHY-V4-008</x:v>
      </x:c>
      <x:c r="L1557" s="87" t="str">
        <x:v>CROP_VERIFIED</x:v>
      </x:c>
      <x:c r="M1557" s="87" t="str">
        <x:v>ORIGINAL_PACKAGE</x:v>
      </x:c>
      <x:c r="N1557" s="87"/>
      <x:c r="O1557" s="87"/>
      <x:c r="P1557" s="87" t="str">
        <x:v>e99388231ff1fbba8a2676d3c7c9133021ed91134ea30b759b879f9444ff3c52</x:v>
      </x:c>
      <x:c r="Q1557" s="30" t="str">
        <x:v>incoming/raw/recovery-drop-01/physics_dec_visual_assets_v084.zip!/full/VIS-PHY-DEC-033.png</x:v>
      </x:c>
      <x:c r="R1557" s="30" t="str">
        <x:v>MATCHED_ASSET</x:v>
      </x:c>
      <x:c r="S1557" t="e">
        <x:f>HYPERLINK("visual_gallery/index.html#"&amp;A1557,"Галерея")</x:f>
      </x:c>
    </x:row>
    <x:row r="1558">
      <x:c r="A1558" s="87" t="str">
        <x:v>VIS-PHY-DEC-034</x:v>
      </x:c>
      <x:c r="B1558" s="30" t="str">
        <x:v>Физика</x:v>
      </x:c>
      <x:c r="C1558" s="30" t="str">
        <x:v>ФИ2510204: полная страница 20 с заданиями 9, 10, 11</x:v>
      </x:c>
      <x:c r="D1558" s="30" t="str">
        <x:v>ФИ2510204</x:v>
      </x:c>
      <x:c r="E1558" s="87"/>
      <x:c r="F1558" s="30" t="str">
        <x:v>Zadanie_FI11_02122025_.pdf</x:v>
      </x:c>
      <x:c r="G1558" s="87" t="str">
        <x:v>20</x:v>
      </x:c>
      <x:c r="H1558" s="87" t="str">
        <x:v>v0.84</x:v>
      </x:c>
      <x:c r="I1558" s="87" t="str">
        <x:v>3</x:v>
      </x:c>
      <x:c r="J1558" s="30" t="str">
        <x:v>VIS_ID</x:v>
      </x:c>
      <x:c r="K1558" s="30" t="str">
        <x:v>DEC-PHY-V4-009, DEC-PHY-V4-010, DEC-PHY-V4-011</x:v>
      </x:c>
      <x:c r="L1558" s="87" t="str">
        <x:v>CROP_VERIFIED</x:v>
      </x:c>
      <x:c r="M1558" s="87" t="str">
        <x:v>ORIGINAL_PACKAGE</x:v>
      </x:c>
      <x:c r="N1558" s="87"/>
      <x:c r="O1558" s="87"/>
      <x:c r="P1558" s="87" t="str">
        <x:v>2e319bed738b8b59edef6fe80a2f2a7d5beb27c9d8c31a4fd290919696c46209</x:v>
      </x:c>
      <x:c r="Q1558" s="30" t="str">
        <x:v>incoming/raw/recovery-drop-01/physics_dec_visual_assets_v084.zip!/full/VIS-PHY-DEC-034.png</x:v>
      </x:c>
      <x:c r="R1558" s="30" t="str">
        <x:v>MATCHED_ASSET</x:v>
      </x:c>
      <x:c r="S1558" t="e">
        <x:f>HYPERLINK("visual_gallery/index.html#"&amp;A1558,"Галерея")</x:f>
      </x:c>
    </x:row>
    <x:row r="1559">
      <x:c r="A1559" s="87" t="str">
        <x:v>VIS-PHY-DEC-035</x:v>
      </x:c>
      <x:c r="B1559" s="30" t="str">
        <x:v>Физика</x:v>
      </x:c>
      <x:c r="C1559" s="30" t="str">
        <x:v>ФИ2510204: полная страница 21 с заданиями 12, 13, 14</x:v>
      </x:c>
      <x:c r="D1559" s="30" t="str">
        <x:v>ФИ2510204</x:v>
      </x:c>
      <x:c r="E1559" s="87"/>
      <x:c r="F1559" s="30" t="str">
        <x:v>Zadanie_FI11_02122025_.pdf</x:v>
      </x:c>
      <x:c r="G1559" s="87" t="str">
        <x:v>21</x:v>
      </x:c>
      <x:c r="H1559" s="87" t="str">
        <x:v>v0.84</x:v>
      </x:c>
      <x:c r="I1559" s="87" t="str">
        <x:v>3</x:v>
      </x:c>
      <x:c r="J1559" s="30" t="str">
        <x:v>VIS_ID</x:v>
      </x:c>
      <x:c r="K1559" s="30" t="str">
        <x:v>DEC-PHY-V4-012, DEC-PHY-V4-013, DEC-PHY-V4-014</x:v>
      </x:c>
      <x:c r="L1559" s="87" t="str">
        <x:v>CROP_VERIFIED</x:v>
      </x:c>
      <x:c r="M1559" s="87" t="str">
        <x:v>ORIGINAL_PACKAGE</x:v>
      </x:c>
      <x:c r="N1559" s="87"/>
      <x:c r="O1559" s="87"/>
      <x:c r="P1559" s="87" t="str">
        <x:v>98fd61e69f0fe951019b841c7f7bd891520ad8c351b14846b513754ada40b3c5</x:v>
      </x:c>
      <x:c r="Q1559" s="30" t="str">
        <x:v>incoming/raw/recovery-drop-01/physics_dec_visual_assets_v084.zip!/full/VIS-PHY-DEC-035.png</x:v>
      </x:c>
      <x:c r="R1559" s="30" t="str">
        <x:v>MATCHED_ASSET</x:v>
      </x:c>
      <x:c r="S1559" t="e">
        <x:f>HYPERLINK("visual_gallery/index.html#"&amp;A1559,"Галерея")</x:f>
      </x:c>
    </x:row>
    <x:row r="1560">
      <x:c r="A1560" s="87" t="str">
        <x:v>VIS-PHY-DEC-036</x:v>
      </x:c>
      <x:c r="B1560" s="30" t="str">
        <x:v>Физика</x:v>
      </x:c>
      <x:c r="C1560" s="30" t="str">
        <x:v>ФИ2510204: полная страница 22 с заданиями 15, 16, 17</x:v>
      </x:c>
      <x:c r="D1560" s="30" t="str">
        <x:v>ФИ2510204</x:v>
      </x:c>
      <x:c r="E1560" s="87"/>
      <x:c r="F1560" s="30" t="str">
        <x:v>Zadanie_FI11_02122025_.pdf</x:v>
      </x:c>
      <x:c r="G1560" s="87" t="str">
        <x:v>22</x:v>
      </x:c>
      <x:c r="H1560" s="87" t="str">
        <x:v>v0.84</x:v>
      </x:c>
      <x:c r="I1560" s="87" t="str">
        <x:v>3</x:v>
      </x:c>
      <x:c r="J1560" s="30" t="str">
        <x:v>VIS_ID</x:v>
      </x:c>
      <x:c r="K1560" s="30" t="str">
        <x:v>DEC-PHY-V4-015, DEC-PHY-V4-016, DEC-PHY-V4-017</x:v>
      </x:c>
      <x:c r="L1560" s="87" t="str">
        <x:v>CROP_VERIFIED</x:v>
      </x:c>
      <x:c r="M1560" s="87" t="str">
        <x:v>ORIGINAL_PACKAGE</x:v>
      </x:c>
      <x:c r="N1560" s="87"/>
      <x:c r="O1560" s="87"/>
      <x:c r="P1560" s="87" t="str">
        <x:v>107bee337dfbd102fe8bf3a6ddb9c43d5bc048dc4b3258f14e7dce698874da25</x:v>
      </x:c>
      <x:c r="Q1560" s="30" t="str">
        <x:v>incoming/raw/recovery-drop-01/physics_dec_visual_assets_v084.zip!/full/VIS-PHY-DEC-036.png</x:v>
      </x:c>
      <x:c r="R1560" s="30" t="str">
        <x:v>MATCHED_ASSET</x:v>
      </x:c>
      <x:c r="S1560" t="e">
        <x:f>HYPERLINK("visual_gallery/index.html#"&amp;A1560,"Галерея")</x:f>
      </x:c>
    </x:row>
    <x:row r="1561">
      <x:c r="A1561" s="87" t="str">
        <x:v>VIS-PHY-DEC-037</x:v>
      </x:c>
      <x:c r="B1561" s="30" t="str">
        <x:v>Физика</x:v>
      </x:c>
      <x:c r="C1561" s="30" t="str">
        <x:v>ФИ2510204: полная страница 23 с заданиями 18, 19, 20</x:v>
      </x:c>
      <x:c r="D1561" s="30" t="str">
        <x:v>ФИ2510204</x:v>
      </x:c>
      <x:c r="E1561" s="87"/>
      <x:c r="F1561" s="30" t="str">
        <x:v>Zadanie_FI11_02122025_.pdf</x:v>
      </x:c>
      <x:c r="G1561" s="87" t="str">
        <x:v>23</x:v>
      </x:c>
      <x:c r="H1561" s="87" t="str">
        <x:v>v0.84</x:v>
      </x:c>
      <x:c r="I1561" s="87" t="str">
        <x:v>3</x:v>
      </x:c>
      <x:c r="J1561" s="30" t="str">
        <x:v>VIS_ID</x:v>
      </x:c>
      <x:c r="K1561" s="30" t="str">
        <x:v>DEC-PHY-V4-018, DEC-PHY-V4-019, DEC-PHY-V4-020</x:v>
      </x:c>
      <x:c r="L1561" s="87" t="str">
        <x:v>CROP_VERIFIED</x:v>
      </x:c>
      <x:c r="M1561" s="87" t="str">
        <x:v>ORIGINAL_PACKAGE</x:v>
      </x:c>
      <x:c r="N1561" s="87"/>
      <x:c r="O1561" s="87"/>
      <x:c r="P1561" s="87" t="str">
        <x:v>e9bebc163cf7baf79778ea8bb57aa5ffb50e8f6b5d4294a67fd6378a1500cc58</x:v>
      </x:c>
      <x:c r="Q1561" s="30" t="str">
        <x:v>incoming/raw/recovery-drop-01/physics_dec_visual_assets_v084.zip!/full/VIS-PHY-DEC-037.png</x:v>
      </x:c>
      <x:c r="R1561" s="30" t="str">
        <x:v>MATCHED_ASSET</x:v>
      </x:c>
      <x:c r="S1561" t="e">
        <x:f>HYPERLINK("visual_gallery/index.html#"&amp;A1561,"Галерея")</x:f>
      </x:c>
    </x:row>
    <x:row r="1562">
      <x:c r="A1562" s="87" t="str">
        <x:v>VIS-PHY-DEC-038</x:v>
      </x:c>
      <x:c r="B1562" s="30" t="str">
        <x:v>Физика</x:v>
      </x:c>
      <x:c r="C1562" s="30" t="str">
        <x:v>ФИ2510204: полная страница 24 с заданиями 21, 22, 23, 24</x:v>
      </x:c>
      <x:c r="D1562" s="30" t="str">
        <x:v>ФИ2510204</x:v>
      </x:c>
      <x:c r="E1562" s="87"/>
      <x:c r="F1562" s="30" t="str">
        <x:v>Zadanie_FI11_02122025_.pdf</x:v>
      </x:c>
      <x:c r="G1562" s="87" t="str">
        <x:v>24</x:v>
      </x:c>
      <x:c r="H1562" s="87" t="str">
        <x:v>v0.84</x:v>
      </x:c>
      <x:c r="I1562" s="87" t="str">
        <x:v>4</x:v>
      </x:c>
      <x:c r="J1562" s="30" t="str">
        <x:v>VIS_ID</x:v>
      </x:c>
      <x:c r="K1562" s="30" t="str">
        <x:v>DEC-PHY-V4-021, DEC-PHY-V4-022, DEC-PHY-V4-023, DEC-PHY-V4-024</x:v>
      </x:c>
      <x:c r="L1562" s="87" t="str">
        <x:v>CROP_VERIFIED</x:v>
      </x:c>
      <x:c r="M1562" s="87" t="str">
        <x:v>ORIGINAL_PACKAGE</x:v>
      </x:c>
      <x:c r="N1562" s="87"/>
      <x:c r="O1562" s="87"/>
      <x:c r="P1562" s="87" t="str">
        <x:v>0f60e9a6bf1dc5cea30446e8a3930b0c4d28c4a61d03ca199a826a777ccbb191</x:v>
      </x:c>
      <x:c r="Q1562" s="30" t="str">
        <x:v>incoming/raw/recovery-drop-01/physics_dec_visual_assets_v084.zip!/full/VIS-PHY-DEC-038.png</x:v>
      </x:c>
      <x:c r="R1562" s="30" t="str">
        <x:v>MATCHED_ASSET</x:v>
      </x:c>
      <x:c r="S1562" t="e">
        <x:f>HYPERLINK("visual_gallery/index.html#"&amp;A1562,"Галерея")</x:f>
      </x:c>
    </x:row>
    <x:row r="1563">
      <x:c r="A1563" s="87" t="str">
        <x:v>VIS-PHY-DEC-039</x:v>
      </x:c>
      <x:c r="B1563" s="30" t="str">
        <x:v>Физика</x:v>
      </x:c>
      <x:c r="C1563" s="30" t="str">
        <x:v>ФИ2510204: полная страница 25 с заданиями 25, 26</x:v>
      </x:c>
      <x:c r="D1563" s="30" t="str">
        <x:v>ФИ2510204</x:v>
      </x:c>
      <x:c r="E1563" s="87"/>
      <x:c r="F1563" s="30" t="str">
        <x:v>Zadanie_FI11_02122025_.pdf</x:v>
      </x:c>
      <x:c r="G1563" s="87" t="str">
        <x:v>25</x:v>
      </x:c>
      <x:c r="H1563" s="87" t="str">
        <x:v>v0.84</x:v>
      </x:c>
      <x:c r="I1563" s="87" t="str">
        <x:v>2</x:v>
      </x:c>
      <x:c r="J1563" s="30" t="str">
        <x:v>VIS_ID</x:v>
      </x:c>
      <x:c r="K1563" s="30" t="str">
        <x:v>DEC-PHY-V4-025, DEC-PHY-V4-026</x:v>
      </x:c>
      <x:c r="L1563" s="87" t="str">
        <x:v>CROP_VERIFIED</x:v>
      </x:c>
      <x:c r="M1563" s="87" t="str">
        <x:v>ORIGINAL_PACKAGE</x:v>
      </x:c>
      <x:c r="N1563" s="87"/>
      <x:c r="O1563" s="87"/>
      <x:c r="P1563" s="87" t="str">
        <x:v>b2f7cf146a07ddade8b6bcdb2718a59d9d5ea7df18a36bdcc048e51ed06e80f2</x:v>
      </x:c>
      <x:c r="Q1563" s="30" t="str">
        <x:v>incoming/raw/recovery-drop-01/physics_dec_visual_assets_v084.zip!/full/VIS-PHY-DEC-039.png</x:v>
      </x:c>
      <x:c r="R1563" s="30" t="str">
        <x:v>MATCHED_ASSET</x:v>
      </x:c>
      <x:c r="S1563" t="e">
        <x:f>HYPERLINK("visual_gallery/index.html#"&amp;A1563,"Галерея")</x:f>
      </x:c>
    </x:row>
    <x:row r="1564">
      <x:c r="A1564" s="87" t="str">
        <x:v>VIS-PHYS-OCT-001</x:v>
      </x:c>
      <x:c r="B1564" s="30" t="str">
        <x:v>Физика</x:v>
      </x:c>
      <x:c r="C1564" s="30" t="str">
        <x:v>ФИ2510101: задания 1, 2, 3, 4, полная страница источника</x:v>
      </x:c>
      <x:c r="D1564" s="30" t="str">
        <x:v>ФИ2510101</x:v>
      </x:c>
      <x:c r="E1564" s="87"/>
      <x:c r="F1564" s="30" t="str">
        <x:v>Zadanie_FI11_15102025.pdf</x:v>
      </x:c>
      <x:c r="G1564" s="87" t="str">
        <x:v>4</x:v>
      </x:c>
      <x:c r="H1564" s="87" t="str">
        <x:v>v0.81</x:v>
      </x:c>
      <x:c r="I1564" s="87" t="str">
        <x:v>4</x:v>
      </x:c>
      <x:c r="J1564" s="30" t="str">
        <x:v>VIS_ID</x:v>
      </x:c>
      <x:c r="K1564" s="30" t="str">
        <x:v>OCT-PHYS-101-001, OCT-PHYS-101-002, OCT-PHYS-101-003, OCT-PHYS-101-004</x:v>
      </x:c>
      <x:c r="L1564" s="87" t="str">
        <x:v>CROP_VERIFIED</x:v>
      </x:c>
      <x:c r="M1564" s="87" t="str">
        <x:v>ORIGINAL_PACKAGE</x:v>
      </x:c>
      <x:c r="N1564" s="87"/>
      <x:c r="O1564" s="87"/>
      <x:c r="P1564" s="87" t="str">
        <x:v>54c0d21fb93ec8c6551ce2cb613543f6720c0bbf265468646f4fade6399f6c07</x:v>
      </x:c>
      <x:c r="Q1564" s="30" t="str">
        <x:v>incoming/raw/recovery-drop-03/phys_oct_visual_assets_v074.zip!/assets_v074/full/VIS-PHYS-OCT-001_full.jpg</x:v>
      </x:c>
      <x:c r="R1564" s="30" t="str">
        <x:v>MATCHED_ASSET | BENIGN_COMPLEMENTARY</x:v>
      </x:c>
      <x:c r="S1564" t="e">
        <x:f>HYPERLINK("visual_gallery/index.html#"&amp;A1564,"Галерея")</x:f>
      </x:c>
    </x:row>
    <x:row r="1565">
      <x:c r="A1565" s="87" t="str">
        <x:v>VIS-PHYS-OCT-002</x:v>
      </x:c>
      <x:c r="B1565" s="30" t="str">
        <x:v>Физика</x:v>
      </x:c>
      <x:c r="C1565" s="30" t="str">
        <x:v>ФИ2510101: задания 5, полная страница источника</x:v>
      </x:c>
      <x:c r="D1565" s="30" t="str">
        <x:v>ФИ2510101</x:v>
      </x:c>
      <x:c r="E1565" s="87"/>
      <x:c r="F1565" s="30" t="str">
        <x:v>Zadanie_FI11_15102025.pdf</x:v>
      </x:c>
      <x:c r="G1565" s="87" t="str">
        <x:v>5</x:v>
      </x:c>
      <x:c r="H1565" s="87" t="str">
        <x:v>v0.81</x:v>
      </x:c>
      <x:c r="I1565" s="87" t="str">
        <x:v>1</x:v>
      </x:c>
      <x:c r="J1565" s="30" t="str">
        <x:v>VIS_ID</x:v>
      </x:c>
      <x:c r="K1565" s="30" t="str">
        <x:v>OCT-PHYS-101-005</x:v>
      </x:c>
      <x:c r="L1565" s="87" t="str">
        <x:v>CROP_VERIFIED</x:v>
      </x:c>
      <x:c r="M1565" s="87" t="str">
        <x:v>ORIGINAL_PACKAGE</x:v>
      </x:c>
      <x:c r="N1565" s="87"/>
      <x:c r="O1565" s="87"/>
      <x:c r="P1565" s="87" t="str">
        <x:v>6764cd24c0654afe63674d3b19b4b3e4ddd62b72843bb43c9f1d0d90fbf3fac9</x:v>
      </x:c>
      <x:c r="Q1565" s="30" t="str">
        <x:v>incoming/raw/recovery-drop-03/phys_oct_visual_assets_v074.zip!/assets_v074/full/VIS-PHYS-OCT-002_full.jpg</x:v>
      </x:c>
      <x:c r="R1565" s="30" t="str">
        <x:v>MATCHED_ASSET | BENIGN_COMPLEMENTARY</x:v>
      </x:c>
      <x:c r="S1565" t="e">
        <x:f>HYPERLINK("visual_gallery/index.html#"&amp;A1565,"Галерея")</x:f>
      </x:c>
    </x:row>
    <x:row r="1566">
      <x:c r="A1566" s="87" t="str">
        <x:v>VIS-PHYS-OCT-003</x:v>
      </x:c>
      <x:c r="B1566" s="30" t="str">
        <x:v>Физика</x:v>
      </x:c>
      <x:c r="C1566" s="30" t="str">
        <x:v>ФИ2510101: задания 6, полная страница источника</x:v>
      </x:c>
      <x:c r="D1566" s="30" t="str">
        <x:v>ФИ2510101</x:v>
      </x:c>
      <x:c r="E1566" s="87"/>
      <x:c r="F1566" s="30" t="str">
        <x:v>Zadanie_FI11_15102025.pdf</x:v>
      </x:c>
      <x:c r="G1566" s="87" t="str">
        <x:v>6</x:v>
      </x:c>
      <x:c r="H1566" s="87" t="str">
        <x:v>v0.81</x:v>
      </x:c>
      <x:c r="I1566" s="87" t="str">
        <x:v>1</x:v>
      </x:c>
      <x:c r="J1566" s="30" t="str">
        <x:v>VIS_ID</x:v>
      </x:c>
      <x:c r="K1566" s="30" t="str">
        <x:v>OCT-PHYS-101-006</x:v>
      </x:c>
      <x:c r="L1566" s="87" t="str">
        <x:v>CROP_VERIFIED</x:v>
      </x:c>
      <x:c r="M1566" s="87" t="str">
        <x:v>ORIGINAL_PACKAGE</x:v>
      </x:c>
      <x:c r="N1566" s="87"/>
      <x:c r="O1566" s="87"/>
      <x:c r="P1566" s="87" t="str">
        <x:v>2fdb67e4281ccc9340f411ce07f519798c18ed67d218f6a4afe191bd8cd97aca</x:v>
      </x:c>
      <x:c r="Q1566" s="30" t="str">
        <x:v>incoming/raw/recovery-drop-03/phys_oct_visual_assets_v074.zip!/assets_v074/full/VIS-PHYS-OCT-003_full.jpg</x:v>
      </x:c>
      <x:c r="R1566" s="30" t="str">
        <x:v>MATCHED_ASSET | BENIGN_COMPLEMENTARY</x:v>
      </x:c>
      <x:c r="S1566" t="e">
        <x:f>HYPERLINK("visual_gallery/index.html#"&amp;A1566,"Галерея")</x:f>
      </x:c>
    </x:row>
    <x:row r="1567">
      <x:c r="A1567" s="87" t="str">
        <x:v>VIS-PHYS-OCT-004</x:v>
      </x:c>
      <x:c r="B1567" s="30" t="str">
        <x:v>Физика</x:v>
      </x:c>
      <x:c r="C1567" s="30" t="str">
        <x:v>ФИ2510101: задания 7, 8, 9, полная страница источника</x:v>
      </x:c>
      <x:c r="D1567" s="30" t="str">
        <x:v>ФИ2510101</x:v>
      </x:c>
      <x:c r="E1567" s="87"/>
      <x:c r="F1567" s="30" t="str">
        <x:v>Zadanie_FI11_15102025.pdf</x:v>
      </x:c>
      <x:c r="G1567" s="87" t="str">
        <x:v>7</x:v>
      </x:c>
      <x:c r="H1567" s="87" t="str">
        <x:v>v0.81</x:v>
      </x:c>
      <x:c r="I1567" s="87" t="str">
        <x:v>3</x:v>
      </x:c>
      <x:c r="J1567" s="30" t="str">
        <x:v>VIS_ID</x:v>
      </x:c>
      <x:c r="K1567" s="30" t="str">
        <x:v>OCT-PHYS-101-007, OCT-PHYS-101-008, OCT-PHYS-101-009</x:v>
      </x:c>
      <x:c r="L1567" s="87" t="str">
        <x:v>CROP_VERIFIED</x:v>
      </x:c>
      <x:c r="M1567" s="87" t="str">
        <x:v>ORIGINAL_PACKAGE</x:v>
      </x:c>
      <x:c r="N1567" s="87"/>
      <x:c r="O1567" s="87"/>
      <x:c r="P1567" s="87" t="str">
        <x:v>6f5dace647869b69ec084cdcb1fbafdf7e64dc48370fd5788edc24a5feb10ed8</x:v>
      </x:c>
      <x:c r="Q1567" s="30" t="str">
        <x:v>incoming/raw/recovery-drop-03/phys_oct_visual_assets_v074.zip!/assets_v074/full/VIS-PHYS-OCT-004_full.jpg</x:v>
      </x:c>
      <x:c r="R1567" s="30" t="str">
        <x:v>MATCHED_ASSET | BENIGN_COMPLEMENTARY</x:v>
      </x:c>
      <x:c r="S1567" t="e">
        <x:f>HYPERLINK("visual_gallery/index.html#"&amp;A1567,"Галерея")</x:f>
      </x:c>
    </x:row>
    <x:row r="1568">
      <x:c r="A1568" s="87" t="str">
        <x:v>VIS-PHYS-OCT-005</x:v>
      </x:c>
      <x:c r="B1568" s="30" t="str">
        <x:v>Физика</x:v>
      </x:c>
      <x:c r="C1568" s="30" t="str">
        <x:v>ФИ2510101: задания 10, 11, полная страница источника</x:v>
      </x:c>
      <x:c r="D1568" s="30" t="str">
        <x:v>ФИ2510101</x:v>
      </x:c>
      <x:c r="E1568" s="87"/>
      <x:c r="F1568" s="30" t="str">
        <x:v>Zadanie_FI11_15102025.pdf</x:v>
      </x:c>
      <x:c r="G1568" s="87" t="str">
        <x:v>8</x:v>
      </x:c>
      <x:c r="H1568" s="87" t="str">
        <x:v>v0.81</x:v>
      </x:c>
      <x:c r="I1568" s="87" t="str">
        <x:v>2</x:v>
      </x:c>
      <x:c r="J1568" s="30" t="str">
        <x:v>VIS_ID</x:v>
      </x:c>
      <x:c r="K1568" s="30" t="str">
        <x:v>OCT-PHYS-101-010, OCT-PHYS-101-011</x:v>
      </x:c>
      <x:c r="L1568" s="87" t="str">
        <x:v>CROP_VERIFIED</x:v>
      </x:c>
      <x:c r="M1568" s="87" t="str">
        <x:v>ORIGINAL_PACKAGE</x:v>
      </x:c>
      <x:c r="N1568" s="87"/>
      <x:c r="O1568" s="87"/>
      <x:c r="P1568" s="87" t="str">
        <x:v>ae7f2d6cbcba93147f9ceeb34690114914367ab73e16acad81213c06ba33f501</x:v>
      </x:c>
      <x:c r="Q1568" s="30" t="str">
        <x:v>incoming/raw/recovery-drop-03/phys_oct_visual_assets_v074.zip!/assets_v074/full/VIS-PHYS-OCT-005_full.jpg</x:v>
      </x:c>
      <x:c r="R1568" s="30" t="str">
        <x:v>MATCHED_ASSET | BENIGN_COMPLEMENTARY</x:v>
      </x:c>
      <x:c r="S1568" t="e">
        <x:f>HYPERLINK("visual_gallery/index.html#"&amp;A1568,"Галерея")</x:f>
      </x:c>
    </x:row>
    <x:row r="1569">
      <x:c r="A1569" s="87" t="str">
        <x:v>VIS-PHYS-OCT-006</x:v>
      </x:c>
      <x:c r="B1569" s="30" t="str">
        <x:v>Физика</x:v>
      </x:c>
      <x:c r="C1569" s="30" t="str">
        <x:v>ФИ2510101: задания 12, 13, 14, полная страница источника</x:v>
      </x:c>
      <x:c r="D1569" s="30" t="str">
        <x:v>ФИ2510101</x:v>
      </x:c>
      <x:c r="E1569" s="87"/>
      <x:c r="F1569" s="30" t="str">
        <x:v>Zadanie_FI11_15102025.pdf</x:v>
      </x:c>
      <x:c r="G1569" s="87" t="str">
        <x:v>9</x:v>
      </x:c>
      <x:c r="H1569" s="87" t="str">
        <x:v>v0.81</x:v>
      </x:c>
      <x:c r="I1569" s="87" t="str">
        <x:v>3</x:v>
      </x:c>
      <x:c r="J1569" s="30" t="str">
        <x:v>VIS_ID</x:v>
      </x:c>
      <x:c r="K1569" s="30" t="str">
        <x:v>OCT-PHYS-101-012, OCT-PHYS-101-013, OCT-PHYS-101-014</x:v>
      </x:c>
      <x:c r="L1569" s="87" t="str">
        <x:v>CROP_VERIFIED</x:v>
      </x:c>
      <x:c r="M1569" s="87" t="str">
        <x:v>ORIGINAL_PACKAGE</x:v>
      </x:c>
      <x:c r="N1569" s="87"/>
      <x:c r="O1569" s="87"/>
      <x:c r="P1569" s="87" t="str">
        <x:v>29c3fde438edbec71f3f4920dc619d809000a01762a0dec9000dd08e237890c1</x:v>
      </x:c>
      <x:c r="Q1569" s="30" t="str">
        <x:v>incoming/raw/recovery-drop-03/phys_oct_visual_assets_v074.zip!/assets_v074/full/VIS-PHYS-OCT-006_full.jpg</x:v>
      </x:c>
      <x:c r="R1569" s="30" t="str">
        <x:v>MATCHED_ASSET | BENIGN_COMPLEMENTARY</x:v>
      </x:c>
      <x:c r="S1569" t="e">
        <x:f>HYPERLINK("visual_gallery/index.html#"&amp;A1569,"Галерея")</x:f>
      </x:c>
    </x:row>
    <x:row r="1570">
      <x:c r="A1570" s="87" t="str">
        <x:v>VIS-PHYS-OCT-007</x:v>
      </x:c>
      <x:c r="B1570" s="30" t="str">
        <x:v>Физика</x:v>
      </x:c>
      <x:c r="C1570" s="30" t="str">
        <x:v>ФИ2510101: задания 15, 16, 17, полная страница источника</x:v>
      </x:c>
      <x:c r="D1570" s="30" t="str">
        <x:v>ФИ2510101</x:v>
      </x:c>
      <x:c r="E1570" s="87"/>
      <x:c r="F1570" s="30" t="str">
        <x:v>Zadanie_FI11_15102025.pdf</x:v>
      </x:c>
      <x:c r="G1570" s="87" t="str">
        <x:v>10</x:v>
      </x:c>
      <x:c r="H1570" s="87" t="str">
        <x:v>v0.81</x:v>
      </x:c>
      <x:c r="I1570" s="87" t="str">
        <x:v>3</x:v>
      </x:c>
      <x:c r="J1570" s="30" t="str">
        <x:v>VIS_ID</x:v>
      </x:c>
      <x:c r="K1570" s="30" t="str">
        <x:v>OCT-PHYS-101-015, OCT-PHYS-101-016, OCT-PHYS-101-017</x:v>
      </x:c>
      <x:c r="L1570" s="87" t="str">
        <x:v>CROP_VERIFIED</x:v>
      </x:c>
      <x:c r="M1570" s="87" t="str">
        <x:v>ORIGINAL_PACKAGE</x:v>
      </x:c>
      <x:c r="N1570" s="87"/>
      <x:c r="O1570" s="87"/>
      <x:c r="P1570" s="87" t="str">
        <x:v>27428cc903333719b36f1b5b3957c72803371e520b999bf4b32528393c7b0a00</x:v>
      </x:c>
      <x:c r="Q1570" s="30" t="str">
        <x:v>incoming/raw/recovery-drop-03/phys_oct_visual_assets_v074.zip!/assets_v074/full/VIS-PHYS-OCT-007_full.jpg</x:v>
      </x:c>
      <x:c r="R1570" s="30" t="str">
        <x:v>MATCHED_ASSET | BENIGN_COMPLEMENTARY</x:v>
      </x:c>
      <x:c r="S1570" t="e">
        <x:f>HYPERLINK("visual_gallery/index.html#"&amp;A1570,"Галерея")</x:f>
      </x:c>
    </x:row>
    <x:row r="1571">
      <x:c r="A1571" s="87" t="str">
        <x:v>VIS-PHYS-OCT-008</x:v>
      </x:c>
      <x:c r="B1571" s="30" t="str">
        <x:v>Физика</x:v>
      </x:c>
      <x:c r="C1571" s="30" t="str">
        <x:v>ФИ2510101: задания 18, 19, полная страница источника</x:v>
      </x:c>
      <x:c r="D1571" s="30" t="str">
        <x:v>ФИ2510101</x:v>
      </x:c>
      <x:c r="E1571" s="87"/>
      <x:c r="F1571" s="30" t="str">
        <x:v>Zadanie_FI11_15102025.pdf</x:v>
      </x:c>
      <x:c r="G1571" s="87" t="str">
        <x:v>11</x:v>
      </x:c>
      <x:c r="H1571" s="87" t="str">
        <x:v>v0.81</x:v>
      </x:c>
      <x:c r="I1571" s="87" t="str">
        <x:v>2</x:v>
      </x:c>
      <x:c r="J1571" s="30" t="str">
        <x:v>VIS_ID</x:v>
      </x:c>
      <x:c r="K1571" s="30" t="str">
        <x:v>OCT-PHYS-101-018, OCT-PHYS-101-019</x:v>
      </x:c>
      <x:c r="L1571" s="87" t="str">
        <x:v>CROP_VERIFIED</x:v>
      </x:c>
      <x:c r="M1571" s="87" t="str">
        <x:v>ORIGINAL_PACKAGE</x:v>
      </x:c>
      <x:c r="N1571" s="87"/>
      <x:c r="O1571" s="87"/>
      <x:c r="P1571" s="87" t="str">
        <x:v>5c9c0b81103349cda5869bc4b0a5abc00537c0c8cc63a3bd7f698e30659c3862</x:v>
      </x:c>
      <x:c r="Q1571" s="30" t="str">
        <x:v>incoming/raw/recovery-drop-03/phys_oct_visual_assets_v074.zip!/assets_v074/full/VIS-PHYS-OCT-008_full.jpg</x:v>
      </x:c>
      <x:c r="R1571" s="30" t="str">
        <x:v>MATCHED_ASSET | BENIGN_COMPLEMENTARY</x:v>
      </x:c>
      <x:c r="S1571" t="e">
        <x:f>HYPERLINK("visual_gallery/index.html#"&amp;A1571,"Галерея")</x:f>
      </x:c>
    </x:row>
    <x:row r="1572">
      <x:c r="A1572" s="87" t="str">
        <x:v>VIS-PHYS-OCT-009</x:v>
      </x:c>
      <x:c r="B1572" s="30" t="str">
        <x:v>Физика</x:v>
      </x:c>
      <x:c r="C1572" s="30" t="str">
        <x:v>ФИ2510101: задания 20, полная страница источника</x:v>
      </x:c>
      <x:c r="D1572" s="30" t="str">
        <x:v>ФИ2510101</x:v>
      </x:c>
      <x:c r="E1572" s="87"/>
      <x:c r="F1572" s="30" t="str">
        <x:v>Zadanie_FI11_15102025.pdf</x:v>
      </x:c>
      <x:c r="G1572" s="87" t="str">
        <x:v>12</x:v>
      </x:c>
      <x:c r="H1572" s="87" t="str">
        <x:v>v0.81</x:v>
      </x:c>
      <x:c r="I1572" s="87" t="str">
        <x:v>1</x:v>
      </x:c>
      <x:c r="J1572" s="30" t="str">
        <x:v>VIS_ID</x:v>
      </x:c>
      <x:c r="K1572" s="30" t="str">
        <x:v>OCT-PHYS-101-020</x:v>
      </x:c>
      <x:c r="L1572" s="87" t="str">
        <x:v>CROP_VERIFIED</x:v>
      </x:c>
      <x:c r="M1572" s="87" t="str">
        <x:v>ORIGINAL_PACKAGE</x:v>
      </x:c>
      <x:c r="N1572" s="87"/>
      <x:c r="O1572" s="87"/>
      <x:c r="P1572" s="87" t="str">
        <x:v>426c4862bf489f7e2633dcfa5c8f72ac0501f59b3245c87a345ac127bed458c3</x:v>
      </x:c>
      <x:c r="Q1572" s="30" t="str">
        <x:v>incoming/raw/recovery-drop-03/phys_oct_visual_assets_v074.zip!/assets_v074/full/VIS-PHYS-OCT-009_full.jpg</x:v>
      </x:c>
      <x:c r="R1572" s="30" t="str">
        <x:v>MATCHED_ASSET | BENIGN_COMPLEMENTARY</x:v>
      </x:c>
      <x:c r="S1572" t="e">
        <x:f>HYPERLINK("visual_gallery/index.html#"&amp;A1572,"Галерея")</x:f>
      </x:c>
    </x:row>
    <x:row r="1573">
      <x:c r="A1573" s="87" t="str">
        <x:v>VIS-PHYS-OCT-010</x:v>
      </x:c>
      <x:c r="B1573" s="30" t="str">
        <x:v>Физика</x:v>
      </x:c>
      <x:c r="C1573" s="30" t="str">
        <x:v>ФИ2510101: задания 21, полная страница источника</x:v>
      </x:c>
      <x:c r="D1573" s="30" t="str">
        <x:v>ФИ2510101</x:v>
      </x:c>
      <x:c r="E1573" s="87"/>
      <x:c r="F1573" s="30" t="str">
        <x:v>Zadanie_FI11_15102025.pdf</x:v>
      </x:c>
      <x:c r="G1573" s="87" t="str">
        <x:v>13</x:v>
      </x:c>
      <x:c r="H1573" s="87" t="str">
        <x:v>v0.81</x:v>
      </x:c>
      <x:c r="I1573" s="87" t="str">
        <x:v>1</x:v>
      </x:c>
      <x:c r="J1573" s="30" t="str">
        <x:v>VIS_ID</x:v>
      </x:c>
      <x:c r="K1573" s="30" t="str">
        <x:v>OCT-PHYS-101-021</x:v>
      </x:c>
      <x:c r="L1573" s="87" t="str">
        <x:v>CROP_VERIFIED</x:v>
      </x:c>
      <x:c r="M1573" s="87" t="str">
        <x:v>ORIGINAL_PACKAGE</x:v>
      </x:c>
      <x:c r="N1573" s="87"/>
      <x:c r="O1573" s="87"/>
      <x:c r="P1573" s="87" t="str">
        <x:v>6550484ef681f68e32affd133e0cc0cf053ab95e5c903c1b37eb2f1a184b7c24</x:v>
      </x:c>
      <x:c r="Q1573" s="30" t="str">
        <x:v>incoming/raw/recovery-drop-03/phys_oct_visual_assets_v074.zip!/assets_v074/full/VIS-PHYS-OCT-010_full.jpg</x:v>
      </x:c>
      <x:c r="R1573" s="30" t="str">
        <x:v>MATCHED_ASSET | BENIGN_COMPLEMENTARY</x:v>
      </x:c>
      <x:c r="S1573" t="e">
        <x:f>HYPERLINK("visual_gallery/index.html#"&amp;A1573,"Галерея")</x:f>
      </x:c>
    </x:row>
    <x:row r="1574">
      <x:c r="A1574" s="87" t="str">
        <x:v>VIS-PHYS-OCT-011</x:v>
      </x:c>
      <x:c r="B1574" s="30" t="str">
        <x:v>Физика</x:v>
      </x:c>
      <x:c r="C1574" s="30" t="str">
        <x:v>ФИ2510101: задания 22, 23, 24, полная страница источника</x:v>
      </x:c>
      <x:c r="D1574" s="30" t="str">
        <x:v>ФИ2510101</x:v>
      </x:c>
      <x:c r="E1574" s="87"/>
      <x:c r="F1574" s="30" t="str">
        <x:v>Zadanie_FI11_15102025.pdf</x:v>
      </x:c>
      <x:c r="G1574" s="87" t="str">
        <x:v>14</x:v>
      </x:c>
      <x:c r="H1574" s="87" t="str">
        <x:v>v0.81</x:v>
      </x:c>
      <x:c r="I1574" s="87" t="str">
        <x:v>3</x:v>
      </x:c>
      <x:c r="J1574" s="30" t="str">
        <x:v>VIS_ID</x:v>
      </x:c>
      <x:c r="K1574" s="30" t="str">
        <x:v>OCT-PHYS-101-022, OCT-PHYS-101-023, OCT-PHYS-101-024</x:v>
      </x:c>
      <x:c r="L1574" s="87" t="str">
        <x:v>CROP_VERIFIED</x:v>
      </x:c>
      <x:c r="M1574" s="87" t="str">
        <x:v>ORIGINAL_PACKAGE</x:v>
      </x:c>
      <x:c r="N1574" s="87"/>
      <x:c r="O1574" s="87"/>
      <x:c r="P1574" s="87" t="str">
        <x:v>fcd1d306a8c3a559f54c8ba53af7acef9b7559c5c02c27945e1d6560a0f83743</x:v>
      </x:c>
      <x:c r="Q1574" s="30" t="str">
        <x:v>incoming/raw/recovery-drop-03/phys_oct_visual_assets_v074.zip!/assets_v074/full/VIS-PHYS-OCT-011_full.jpg</x:v>
      </x:c>
      <x:c r="R1574" s="30" t="str">
        <x:v>MATCHED_ASSET | BENIGN_COMPLEMENTARY</x:v>
      </x:c>
      <x:c r="S1574" t="e">
        <x:f>HYPERLINK("visual_gallery/index.html#"&amp;A1574,"Галерея")</x:f>
      </x:c>
    </x:row>
    <x:row r="1575">
      <x:c r="A1575" s="87" t="str">
        <x:v>VIS-PHYS-OCT-012</x:v>
      </x:c>
      <x:c r="B1575" s="30" t="str">
        <x:v>Физика</x:v>
      </x:c>
      <x:c r="C1575" s="30" t="str">
        <x:v>ФИ2510101: задания 25, 26, полная страница источника</x:v>
      </x:c>
      <x:c r="D1575" s="30" t="str">
        <x:v>ФИ2510101</x:v>
      </x:c>
      <x:c r="E1575" s="87"/>
      <x:c r="F1575" s="30" t="str">
        <x:v>Zadanie_FI11_15102025.pdf</x:v>
      </x:c>
      <x:c r="G1575" s="87" t="str">
        <x:v>15</x:v>
      </x:c>
      <x:c r="H1575" s="87" t="str">
        <x:v>v0.81</x:v>
      </x:c>
      <x:c r="I1575" s="87" t="str">
        <x:v>2</x:v>
      </x:c>
      <x:c r="J1575" s="30" t="str">
        <x:v>VIS_ID</x:v>
      </x:c>
      <x:c r="K1575" s="30" t="str">
        <x:v>OCT-PHYS-101-025, OCT-PHYS-101-026</x:v>
      </x:c>
      <x:c r="L1575" s="87" t="str">
        <x:v>CROP_VERIFIED</x:v>
      </x:c>
      <x:c r="M1575" s="87" t="str">
        <x:v>ORIGINAL_PACKAGE</x:v>
      </x:c>
      <x:c r="N1575" s="87"/>
      <x:c r="O1575" s="87"/>
      <x:c r="P1575" s="87" t="str">
        <x:v>95083372d0f932f57d49e3a24986594e943dd4517006bd7efd0f9a8a87d7d2f3</x:v>
      </x:c>
      <x:c r="Q1575" s="30" t="str">
        <x:v>incoming/raw/recovery-drop-03/phys_oct_visual_assets_v074.zip!/assets_v074/full/VIS-PHYS-OCT-012_full.jpg</x:v>
      </x:c>
      <x:c r="R1575" s="30" t="str">
        <x:v>MATCHED_ASSET | BENIGN_COMPLEMENTARY</x:v>
      </x:c>
      <x:c r="S1575" t="e">
        <x:f>HYPERLINK("visual_gallery/index.html#"&amp;A1575,"Галерея")</x:f>
      </x:c>
    </x:row>
    <x:row r="1576">
      <x:c r="A1576" s="87" t="str">
        <x:v>VIS-PHYS-OCT-013</x:v>
      </x:c>
      <x:c r="B1576" s="30" t="str">
        <x:v>Физика</x:v>
      </x:c>
      <x:c r="C1576" s="30" t="str">
        <x:v>ФИ2510102: задания 1, 2, 3, 4, полная страница источника</x:v>
      </x:c>
      <x:c r="D1576" s="30" t="str">
        <x:v>ФИ2510102</x:v>
      </x:c>
      <x:c r="E1576" s="87"/>
      <x:c r="F1576" s="30" t="str">
        <x:v>Zadanie_FI11_15102025.pdf</x:v>
      </x:c>
      <x:c r="G1576" s="87" t="str">
        <x:v>19</x:v>
      </x:c>
      <x:c r="H1576" s="87" t="str">
        <x:v>v0.81</x:v>
      </x:c>
      <x:c r="I1576" s="87" t="str">
        <x:v>4</x:v>
      </x:c>
      <x:c r="J1576" s="30" t="str">
        <x:v>VIS_ID</x:v>
      </x:c>
      <x:c r="K1576" s="30" t="str">
        <x:v>OCT-PHYS-102-001, OCT-PHYS-102-002, OCT-PHYS-102-003, OCT-PHYS-102-004</x:v>
      </x:c>
      <x:c r="L1576" s="87" t="str">
        <x:v>CROP_VERIFIED</x:v>
      </x:c>
      <x:c r="M1576" s="87" t="str">
        <x:v>ORIGINAL_PACKAGE</x:v>
      </x:c>
      <x:c r="N1576" s="87"/>
      <x:c r="O1576" s="87"/>
      <x:c r="P1576" s="87" t="str">
        <x:v>84a884e43d630cc61e50d48ee3175c3f7083e3ebd4b920ca82bdcf7bcb369ca4</x:v>
      </x:c>
      <x:c r="Q1576" s="30" t="str">
        <x:v>incoming/raw/recovery-drop-03/phys_oct_visual_assets_v074.zip!/assets_v074/full/VIS-PHYS-OCT-013_full.jpg</x:v>
      </x:c>
      <x:c r="R1576" s="30" t="str">
        <x:v>MATCHED_ASSET | BENIGN_COMPLEMENTARY</x:v>
      </x:c>
      <x:c r="S1576" t="e">
        <x:f>HYPERLINK("visual_gallery/index.html#"&amp;A1576,"Галерея")</x:f>
      </x:c>
    </x:row>
    <x:row r="1577">
      <x:c r="A1577" s="87" t="str">
        <x:v>VIS-PHYS-OCT-014</x:v>
      </x:c>
      <x:c r="B1577" s="30" t="str">
        <x:v>Физика</x:v>
      </x:c>
      <x:c r="C1577" s="30" t="str">
        <x:v>ФИ2510102: задания 5, полная страница источника</x:v>
      </x:c>
      <x:c r="D1577" s="30" t="str">
        <x:v>ФИ2510102</x:v>
      </x:c>
      <x:c r="E1577" s="87"/>
      <x:c r="F1577" s="30" t="str">
        <x:v>Zadanie_FI11_15102025.pdf</x:v>
      </x:c>
      <x:c r="G1577" s="87" t="str">
        <x:v>20</x:v>
      </x:c>
      <x:c r="H1577" s="87" t="str">
        <x:v>v0.81</x:v>
      </x:c>
      <x:c r="I1577" s="87" t="str">
        <x:v>1</x:v>
      </x:c>
      <x:c r="J1577" s="30" t="str">
        <x:v>VIS_ID</x:v>
      </x:c>
      <x:c r="K1577" s="30" t="str">
        <x:v>OCT-PHYS-102-005</x:v>
      </x:c>
      <x:c r="L1577" s="87" t="str">
        <x:v>CROP_VERIFIED</x:v>
      </x:c>
      <x:c r="M1577" s="87" t="str">
        <x:v>ORIGINAL_PACKAGE</x:v>
      </x:c>
      <x:c r="N1577" s="87"/>
      <x:c r="O1577" s="87"/>
      <x:c r="P1577" s="87" t="str">
        <x:v>9e04dd30935ac59f8737036072eae340b83cf7f5b12f6573258ebf02ad36547a</x:v>
      </x:c>
      <x:c r="Q1577" s="30" t="str">
        <x:v>incoming/raw/recovery-drop-03/phys_oct_visual_assets_v074.zip!/assets_v074/full/VIS-PHYS-OCT-014_full.jpg</x:v>
      </x:c>
      <x:c r="R1577" s="30" t="str">
        <x:v>MATCHED_ASSET | BENIGN_COMPLEMENTARY</x:v>
      </x:c>
      <x:c r="S1577" t="e">
        <x:f>HYPERLINK("visual_gallery/index.html#"&amp;A1577,"Галерея")</x:f>
      </x:c>
    </x:row>
    <x:row r="1578">
      <x:c r="A1578" s="87" t="str">
        <x:v>VIS-PHYS-OCT-015</x:v>
      </x:c>
      <x:c r="B1578" s="30" t="str">
        <x:v>Физика</x:v>
      </x:c>
      <x:c r="C1578" s="30" t="str">
        <x:v>ФИ2510102: задания 6, 7, полная страница источника</x:v>
      </x:c>
      <x:c r="D1578" s="30" t="str">
        <x:v>ФИ2510102</x:v>
      </x:c>
      <x:c r="E1578" s="87"/>
      <x:c r="F1578" s="30" t="str">
        <x:v>Zadanie_FI11_15102025.pdf</x:v>
      </x:c>
      <x:c r="G1578" s="87" t="str">
        <x:v>21</x:v>
      </x:c>
      <x:c r="H1578" s="87" t="str">
        <x:v>v0.81</x:v>
      </x:c>
      <x:c r="I1578" s="87" t="str">
        <x:v>2</x:v>
      </x:c>
      <x:c r="J1578" s="30" t="str">
        <x:v>VIS_ID</x:v>
      </x:c>
      <x:c r="K1578" s="30" t="str">
        <x:v>OCT-PHYS-102-006, OCT-PHYS-102-007</x:v>
      </x:c>
      <x:c r="L1578" s="87" t="str">
        <x:v>CROP_VERIFIED</x:v>
      </x:c>
      <x:c r="M1578" s="87" t="str">
        <x:v>ORIGINAL_PACKAGE</x:v>
      </x:c>
      <x:c r="N1578" s="87"/>
      <x:c r="O1578" s="87"/>
      <x:c r="P1578" s="87" t="str">
        <x:v>7a136a0bb46b858cf9fe19e41b525cb6ded28a7e52623f6c95b91ec157bda851</x:v>
      </x:c>
      <x:c r="Q1578" s="30" t="str">
        <x:v>incoming/raw/recovery-drop-03/phys_oct_visual_assets_v074.zip!/assets_v074/full/VIS-PHYS-OCT-015_full.jpg</x:v>
      </x:c>
      <x:c r="R1578" s="30" t="str">
        <x:v>MATCHED_ASSET | BENIGN_COMPLEMENTARY</x:v>
      </x:c>
      <x:c r="S1578" t="e">
        <x:f>HYPERLINK("visual_gallery/index.html#"&amp;A1578,"Галерея")</x:f>
      </x:c>
    </x:row>
    <x:row r="1579">
      <x:c r="A1579" s="87" t="str">
        <x:v>VIS-PHYS-OCT-016</x:v>
      </x:c>
      <x:c r="B1579" s="30" t="str">
        <x:v>Физика</x:v>
      </x:c>
      <x:c r="C1579" s="30" t="str">
        <x:v>ФИ2510102: задания 8, 9, полная страница источника</x:v>
      </x:c>
      <x:c r="D1579" s="30" t="str">
        <x:v>ФИ2510102</x:v>
      </x:c>
      <x:c r="E1579" s="87"/>
      <x:c r="F1579" s="30" t="str">
        <x:v>Zadanie_FI11_15102025.pdf</x:v>
      </x:c>
      <x:c r="G1579" s="87" t="str">
        <x:v>22</x:v>
      </x:c>
      <x:c r="H1579" s="87" t="str">
        <x:v>v0.81</x:v>
      </x:c>
      <x:c r="I1579" s="87" t="str">
        <x:v>2</x:v>
      </x:c>
      <x:c r="J1579" s="30" t="str">
        <x:v>VIS_ID</x:v>
      </x:c>
      <x:c r="K1579" s="30" t="str">
        <x:v>OCT-PHYS-102-008, OCT-PHYS-102-009</x:v>
      </x:c>
      <x:c r="L1579" s="87" t="str">
        <x:v>CROP_VERIFIED</x:v>
      </x:c>
      <x:c r="M1579" s="87" t="str">
        <x:v>ORIGINAL_PACKAGE</x:v>
      </x:c>
      <x:c r="N1579" s="87"/>
      <x:c r="O1579" s="87"/>
      <x:c r="P1579" s="87" t="str">
        <x:v>50db8f303f0391fc3aa771251855b100e0f233909e91a762cc0e2c7c2823dac9</x:v>
      </x:c>
      <x:c r="Q1579" s="30" t="str">
        <x:v>incoming/raw/recovery-drop-03/phys_oct_visual_assets_v074.zip!/assets_v074/full/VIS-PHYS-OCT-016_full.jpg</x:v>
      </x:c>
      <x:c r="R1579" s="30" t="str">
        <x:v>MATCHED_ASSET | BENIGN_COMPLEMENTARY</x:v>
      </x:c>
      <x:c r="S1579" t="e">
        <x:f>HYPERLINK("visual_gallery/index.html#"&amp;A1579,"Галерея")</x:f>
      </x:c>
    </x:row>
    <x:row r="1580">
      <x:c r="A1580" s="87" t="str">
        <x:v>VIS-PHYS-OCT-017</x:v>
      </x:c>
      <x:c r="B1580" s="30" t="str">
        <x:v>Физика</x:v>
      </x:c>
      <x:c r="C1580" s="30" t="str">
        <x:v>ФИ2510102: задания 10, 11, полная страница источника</x:v>
      </x:c>
      <x:c r="D1580" s="30" t="str">
        <x:v>ФИ2510102</x:v>
      </x:c>
      <x:c r="E1580" s="87"/>
      <x:c r="F1580" s="30" t="str">
        <x:v>Zadanie_FI11_15102025.pdf</x:v>
      </x:c>
      <x:c r="G1580" s="87" t="str">
        <x:v>23</x:v>
      </x:c>
      <x:c r="H1580" s="87" t="str">
        <x:v>v0.81</x:v>
      </x:c>
      <x:c r="I1580" s="87" t="str">
        <x:v>2</x:v>
      </x:c>
      <x:c r="J1580" s="30" t="str">
        <x:v>VIS_ID</x:v>
      </x:c>
      <x:c r="K1580" s="30" t="str">
        <x:v>OCT-PHYS-102-010, OCT-PHYS-102-011</x:v>
      </x:c>
      <x:c r="L1580" s="87" t="str">
        <x:v>CROP_VERIFIED</x:v>
      </x:c>
      <x:c r="M1580" s="87" t="str">
        <x:v>ORIGINAL_PACKAGE</x:v>
      </x:c>
      <x:c r="N1580" s="87"/>
      <x:c r="O1580" s="87"/>
      <x:c r="P1580" s="87" t="str">
        <x:v>a486212137ba5e8d39f9bed9a17b3569f35a62e7ff69421da5e4fd9f1b18b039</x:v>
      </x:c>
      <x:c r="Q1580" s="30" t="str">
        <x:v>incoming/raw/recovery-drop-03/phys_oct_visual_assets_v074.zip!/assets_v074/full/VIS-PHYS-OCT-017_full.jpg</x:v>
      </x:c>
      <x:c r="R1580" s="30" t="str">
        <x:v>MATCHED_ASSET | BENIGN_COMPLEMENTARY</x:v>
      </x:c>
      <x:c r="S1580" t="e">
        <x:f>HYPERLINK("visual_gallery/index.html#"&amp;A1580,"Галерея")</x:f>
      </x:c>
    </x:row>
    <x:row r="1581">
      <x:c r="A1581" s="87" t="str">
        <x:v>VIS-PHYS-OCT-018</x:v>
      </x:c>
      <x:c r="B1581" s="30" t="str">
        <x:v>Физика</x:v>
      </x:c>
      <x:c r="C1581" s="30" t="str">
        <x:v>ФИ2510102: задания 12, 13, 14, полная страница источника</x:v>
      </x:c>
      <x:c r="D1581" s="30" t="str">
        <x:v>ФИ2510102</x:v>
      </x:c>
      <x:c r="E1581" s="87"/>
      <x:c r="F1581" s="30" t="str">
        <x:v>Zadanie_FI11_15102025.pdf</x:v>
      </x:c>
      <x:c r="G1581" s="87" t="str">
        <x:v>24</x:v>
      </x:c>
      <x:c r="H1581" s="87" t="str">
        <x:v>v0.81</x:v>
      </x:c>
      <x:c r="I1581" s="87" t="str">
        <x:v>3</x:v>
      </x:c>
      <x:c r="J1581" s="30" t="str">
        <x:v>VIS_ID</x:v>
      </x:c>
      <x:c r="K1581" s="30" t="str">
        <x:v>OCT-PHYS-102-012, OCT-PHYS-102-013, OCT-PHYS-102-014</x:v>
      </x:c>
      <x:c r="L1581" s="87" t="str">
        <x:v>CROP_VERIFIED</x:v>
      </x:c>
      <x:c r="M1581" s="87" t="str">
        <x:v>ORIGINAL_PACKAGE</x:v>
      </x:c>
      <x:c r="N1581" s="87"/>
      <x:c r="O1581" s="87"/>
      <x:c r="P1581" s="87" t="str">
        <x:v>d35b71567a4ec4ba91e85ca24955dc4e254b39fa7805f4e389489a8da36d7542</x:v>
      </x:c>
      <x:c r="Q1581" s="30" t="str">
        <x:v>incoming/raw/recovery-drop-03/phys_oct_visual_assets_v074.zip!/assets_v074/full/VIS-PHYS-OCT-018_full.jpg</x:v>
      </x:c>
      <x:c r="R1581" s="30" t="str">
        <x:v>MATCHED_ASSET | BENIGN_COMPLEMENTARY</x:v>
      </x:c>
      <x:c r="S1581" t="e">
        <x:f>HYPERLINK("visual_gallery/index.html#"&amp;A1581,"Галерея")</x:f>
      </x:c>
    </x:row>
    <x:row r="1582">
      <x:c r="A1582" s="87" t="str">
        <x:v>VIS-PHYS-OCT-019</x:v>
      </x:c>
      <x:c r="B1582" s="30" t="str">
        <x:v>Физика</x:v>
      </x:c>
      <x:c r="C1582" s="30" t="str">
        <x:v>ФИ2510102: задания 15, 16, 17, полная страница источника</x:v>
      </x:c>
      <x:c r="D1582" s="30" t="str">
        <x:v>ФИ2510102</x:v>
      </x:c>
      <x:c r="E1582" s="87"/>
      <x:c r="F1582" s="30" t="str">
        <x:v>Zadanie_FI11_15102025.pdf</x:v>
      </x:c>
      <x:c r="G1582" s="87" t="str">
        <x:v>25</x:v>
      </x:c>
      <x:c r="H1582" s="87" t="str">
        <x:v>v0.81</x:v>
      </x:c>
      <x:c r="I1582" s="87" t="str">
        <x:v>3</x:v>
      </x:c>
      <x:c r="J1582" s="30" t="str">
        <x:v>VIS_ID</x:v>
      </x:c>
      <x:c r="K1582" s="30" t="str">
        <x:v>OCT-PHYS-102-015, OCT-PHYS-102-016, OCT-PHYS-102-017</x:v>
      </x:c>
      <x:c r="L1582" s="87" t="str">
        <x:v>CROP_VERIFIED</x:v>
      </x:c>
      <x:c r="M1582" s="87" t="str">
        <x:v>ORIGINAL_PACKAGE</x:v>
      </x:c>
      <x:c r="N1582" s="87"/>
      <x:c r="O1582" s="87"/>
      <x:c r="P1582" s="87" t="str">
        <x:v>034405cb63871875481a6eef58f9f62474c03d578cc9f6d151e9e426d5bc4a45</x:v>
      </x:c>
      <x:c r="Q1582" s="30" t="str">
        <x:v>incoming/raw/recovery-drop-03/phys_oct_visual_assets_v074.zip!/assets_v074/full/VIS-PHYS-OCT-019_full.jpg</x:v>
      </x:c>
      <x:c r="R1582" s="30" t="str">
        <x:v>MATCHED_ASSET | BENIGN_COMPLEMENTARY</x:v>
      </x:c>
      <x:c r="S1582" t="e">
        <x:f>HYPERLINK("visual_gallery/index.html#"&amp;A1582,"Галерея")</x:f>
      </x:c>
    </x:row>
    <x:row r="1583">
      <x:c r="A1583" s="87" t="str">
        <x:v>VIS-PHYS-OCT-020</x:v>
      </x:c>
      <x:c r="B1583" s="30" t="str">
        <x:v>Физика</x:v>
      </x:c>
      <x:c r="C1583" s="30" t="str">
        <x:v>ФИ2510102: задания 18, 19, полная страница источника</x:v>
      </x:c>
      <x:c r="D1583" s="30" t="str">
        <x:v>ФИ2510102</x:v>
      </x:c>
      <x:c r="E1583" s="87"/>
      <x:c r="F1583" s="30" t="str">
        <x:v>Zadanie_FI11_15102025.pdf</x:v>
      </x:c>
      <x:c r="G1583" s="87" t="str">
        <x:v>26</x:v>
      </x:c>
      <x:c r="H1583" s="87" t="str">
        <x:v>v0.81</x:v>
      </x:c>
      <x:c r="I1583" s="87" t="str">
        <x:v>2</x:v>
      </x:c>
      <x:c r="J1583" s="30" t="str">
        <x:v>VIS_ID</x:v>
      </x:c>
      <x:c r="K1583" s="30" t="str">
        <x:v>OCT-PHYS-102-018, OCT-PHYS-102-019</x:v>
      </x:c>
      <x:c r="L1583" s="87" t="str">
        <x:v>CROP_VERIFIED</x:v>
      </x:c>
      <x:c r="M1583" s="87" t="str">
        <x:v>ORIGINAL_PACKAGE</x:v>
      </x:c>
      <x:c r="N1583" s="87"/>
      <x:c r="O1583" s="87"/>
      <x:c r="P1583" s="87" t="str">
        <x:v>b55e7179442d494290a044f79df8c7fa88b7d2180e4e5813b410ab36b39699e0</x:v>
      </x:c>
      <x:c r="Q1583" s="30" t="str">
        <x:v>incoming/raw/recovery-drop-03/phys_oct_visual_assets_v074.zip!/assets_v074/full/VIS-PHYS-OCT-020_full.jpg</x:v>
      </x:c>
      <x:c r="R1583" s="30" t="str">
        <x:v>MATCHED_ASSET | BENIGN_COMPLEMENTARY</x:v>
      </x:c>
      <x:c r="S1583" t="e">
        <x:f>HYPERLINK("visual_gallery/index.html#"&amp;A1583,"Галерея")</x:f>
      </x:c>
    </x:row>
    <x:row r="1584">
      <x:c r="A1584" s="87" t="str">
        <x:v>VIS-PHYS-OCT-021</x:v>
      </x:c>
      <x:c r="B1584" s="30" t="str">
        <x:v>Физика</x:v>
      </x:c>
      <x:c r="C1584" s="30" t="str">
        <x:v>ФИ2510102: задания 20, полная страница источника</x:v>
      </x:c>
      <x:c r="D1584" s="30" t="str">
        <x:v>ФИ2510102</x:v>
      </x:c>
      <x:c r="E1584" s="87"/>
      <x:c r="F1584" s="30" t="str">
        <x:v>Zadanie_FI11_15102025.pdf</x:v>
      </x:c>
      <x:c r="G1584" s="87" t="str">
        <x:v>27</x:v>
      </x:c>
      <x:c r="H1584" s="87" t="str">
        <x:v>v0.81</x:v>
      </x:c>
      <x:c r="I1584" s="87" t="str">
        <x:v>1</x:v>
      </x:c>
      <x:c r="J1584" s="30" t="str">
        <x:v>VIS_ID</x:v>
      </x:c>
      <x:c r="K1584" s="30" t="str">
        <x:v>OCT-PHYS-102-020</x:v>
      </x:c>
      <x:c r="L1584" s="87" t="str">
        <x:v>CROP_VERIFIED</x:v>
      </x:c>
      <x:c r="M1584" s="87" t="str">
        <x:v>ORIGINAL_PACKAGE</x:v>
      </x:c>
      <x:c r="N1584" s="87"/>
      <x:c r="O1584" s="87"/>
      <x:c r="P1584" s="87" t="str">
        <x:v>60640bba26fe2c4c0059370b72b4026e7eaa9612c2606ae724064d65833b1f66</x:v>
      </x:c>
      <x:c r="Q1584" s="30" t="str">
        <x:v>incoming/raw/recovery-drop-03/phys_oct_visual_assets_v074.zip!/assets_v074/full/VIS-PHYS-OCT-021_full.jpg</x:v>
      </x:c>
      <x:c r="R1584" s="30" t="str">
        <x:v>MATCHED_ASSET | BENIGN_COMPLEMENTARY</x:v>
      </x:c>
      <x:c r="S1584" t="e">
        <x:f>HYPERLINK("visual_gallery/index.html#"&amp;A1584,"Галерея")</x:f>
      </x:c>
    </x:row>
    <x:row r="1585">
      <x:c r="A1585" s="87" t="str">
        <x:v>VIS-PHYS-OCT-022</x:v>
      </x:c>
      <x:c r="B1585" s="30" t="str">
        <x:v>Физика</x:v>
      </x:c>
      <x:c r="C1585" s="30" t="str">
        <x:v>ФИ2510102: задания 21, полная страница источника</x:v>
      </x:c>
      <x:c r="D1585" s="30" t="str">
        <x:v>ФИ2510102</x:v>
      </x:c>
      <x:c r="E1585" s="87"/>
      <x:c r="F1585" s="30" t="str">
        <x:v>Zadanie_FI11_15102025.pdf</x:v>
      </x:c>
      <x:c r="G1585" s="87" t="str">
        <x:v>28</x:v>
      </x:c>
      <x:c r="H1585" s="87" t="str">
        <x:v>v0.81</x:v>
      </x:c>
      <x:c r="I1585" s="87" t="str">
        <x:v>1</x:v>
      </x:c>
      <x:c r="J1585" s="30" t="str">
        <x:v>VIS_ID</x:v>
      </x:c>
      <x:c r="K1585" s="30" t="str">
        <x:v>OCT-PHYS-102-021</x:v>
      </x:c>
      <x:c r="L1585" s="87" t="str">
        <x:v>CROP_VERIFIED</x:v>
      </x:c>
      <x:c r="M1585" s="87" t="str">
        <x:v>ORIGINAL_PACKAGE</x:v>
      </x:c>
      <x:c r="N1585" s="87"/>
      <x:c r="O1585" s="87"/>
      <x:c r="P1585" s="87" t="str">
        <x:v>f451097e16f63bf3c772928faa04a367a85667f85be28bbce609dae1506d34d7</x:v>
      </x:c>
      <x:c r="Q1585" s="30" t="str">
        <x:v>incoming/raw/recovery-drop-03/phys_oct_visual_assets_v074.zip!/assets_v074/full/VIS-PHYS-OCT-022_full.jpg</x:v>
      </x:c>
      <x:c r="R1585" s="30" t="str">
        <x:v>MATCHED_ASSET | BENIGN_COMPLEMENTARY</x:v>
      </x:c>
      <x:c r="S1585" t="e">
        <x:f>HYPERLINK("visual_gallery/index.html#"&amp;A1585,"Галерея")</x:f>
      </x:c>
    </x:row>
    <x:row r="1586">
      <x:c r="A1586" s="87" t="str">
        <x:v>VIS-PHYS-OCT-023</x:v>
      </x:c>
      <x:c r="B1586" s="30" t="str">
        <x:v>Физика</x:v>
      </x:c>
      <x:c r="C1586" s="30" t="str">
        <x:v>ФИ2510102: задания 22, 23, 24, полная страница источника</x:v>
      </x:c>
      <x:c r="D1586" s="30" t="str">
        <x:v>ФИ2510102</x:v>
      </x:c>
      <x:c r="E1586" s="87"/>
      <x:c r="F1586" s="30" t="str">
        <x:v>Zadanie_FI11_15102025.pdf</x:v>
      </x:c>
      <x:c r="G1586" s="87" t="str">
        <x:v>29</x:v>
      </x:c>
      <x:c r="H1586" s="87" t="str">
        <x:v>v0.81</x:v>
      </x:c>
      <x:c r="I1586" s="87" t="str">
        <x:v>3</x:v>
      </x:c>
      <x:c r="J1586" s="30" t="str">
        <x:v>VIS_ID</x:v>
      </x:c>
      <x:c r="K1586" s="30" t="str">
        <x:v>OCT-PHYS-102-022, OCT-PHYS-102-023, OCT-PHYS-102-024</x:v>
      </x:c>
      <x:c r="L1586" s="87" t="str">
        <x:v>CROP_VERIFIED</x:v>
      </x:c>
      <x:c r="M1586" s="87" t="str">
        <x:v>ORIGINAL_PACKAGE</x:v>
      </x:c>
      <x:c r="N1586" s="87"/>
      <x:c r="O1586" s="87"/>
      <x:c r="P1586" s="87" t="str">
        <x:v>594fe4a0978ab24d76812d4e97f86e581a3a55ebac84714bafd2ea0623554f9e</x:v>
      </x:c>
      <x:c r="Q1586" s="30" t="str">
        <x:v>incoming/raw/recovery-drop-03/phys_oct_visual_assets_v074.zip!/assets_v074/full/VIS-PHYS-OCT-023_full.jpg</x:v>
      </x:c>
      <x:c r="R1586" s="30" t="str">
        <x:v>MATCHED_ASSET | BENIGN_COMPLEMENTARY</x:v>
      </x:c>
      <x:c r="S1586" t="e">
        <x:f>HYPERLINK("visual_gallery/index.html#"&amp;A1586,"Галерея")</x:f>
      </x:c>
    </x:row>
    <x:row r="1587">
      <x:c r="A1587" s="87" t="str">
        <x:v>VIS-PHYS-OCT-024</x:v>
      </x:c>
      <x:c r="B1587" s="30" t="str">
        <x:v>Физика</x:v>
      </x:c>
      <x:c r="C1587" s="30" t="str">
        <x:v>ФИ2510102: задания 25, 26, полная страница источника</x:v>
      </x:c>
      <x:c r="D1587" s="30" t="str">
        <x:v>ФИ2510102</x:v>
      </x:c>
      <x:c r="E1587" s="87"/>
      <x:c r="F1587" s="30" t="str">
        <x:v>Zadanie_FI11_15102025.pdf</x:v>
      </x:c>
      <x:c r="G1587" s="87" t="str">
        <x:v>30</x:v>
      </x:c>
      <x:c r="H1587" s="87" t="str">
        <x:v>v0.81</x:v>
      </x:c>
      <x:c r="I1587" s="87" t="str">
        <x:v>2</x:v>
      </x:c>
      <x:c r="J1587" s="30" t="str">
        <x:v>VIS_ID</x:v>
      </x:c>
      <x:c r="K1587" s="30" t="str">
        <x:v>OCT-PHYS-102-025, OCT-PHYS-102-026</x:v>
      </x:c>
      <x:c r="L1587" s="87" t="str">
        <x:v>CROP_VERIFIED</x:v>
      </x:c>
      <x:c r="M1587" s="87" t="str">
        <x:v>ORIGINAL_PACKAGE</x:v>
      </x:c>
      <x:c r="N1587" s="87"/>
      <x:c r="O1587" s="87"/>
      <x:c r="P1587" s="87" t="str">
        <x:v>09529a40f1e242dbd36a75b59fb93bb30585a720aa7583da1bb4b43505a61436</x:v>
      </x:c>
      <x:c r="Q1587" s="30" t="str">
        <x:v>incoming/raw/recovery-drop-03/phys_oct_visual_assets_v074.zip!/assets_v074/full/VIS-PHYS-OCT-024_full.jpg</x:v>
      </x:c>
      <x:c r="R1587" s="30" t="str">
        <x:v>MATCHED_ASSET | BENIGN_COMPLEMENTARY</x:v>
      </x:c>
      <x:c r="S1587" t="e">
        <x:f>HYPERLINK("visual_gallery/index.html#"&amp;A1587,"Галерея")</x:f>
      </x:c>
    </x:row>
    <x:row r="1588">
      <x:c r="A1588" s="87" t="str">
        <x:v>VIS-PHYS-OCT-025</x:v>
      </x:c>
      <x:c r="B1588" s="30" t="str">
        <x:v>Физика</x:v>
      </x:c>
      <x:c r="C1588" s="30" t="str">
        <x:v>ФИ2510103: задания 1, 2, 3, 4, полная страница источника</x:v>
      </x:c>
      <x:c r="D1588" s="30" t="str">
        <x:v>ФИ2510103</x:v>
      </x:c>
      <x:c r="E1588" s="87"/>
      <x:c r="F1588" s="30" t="str">
        <x:v>Zadanie_FI11_15102025_.pdf</x:v>
      </x:c>
      <x:c r="G1588" s="87" t="str">
        <x:v>4</x:v>
      </x:c>
      <x:c r="H1588" s="87" t="str">
        <x:v>v0.81</x:v>
      </x:c>
      <x:c r="I1588" s="87" t="str">
        <x:v>4</x:v>
      </x:c>
      <x:c r="J1588" s="30" t="str">
        <x:v>VIS_ID</x:v>
      </x:c>
      <x:c r="K1588" s="30" t="str">
        <x:v>OCT-PHYS-103-001, OCT-PHYS-103-002, OCT-PHYS-103-003, OCT-PHYS-103-004</x:v>
      </x:c>
      <x:c r="L1588" s="87" t="str">
        <x:v>CROP_VERIFIED</x:v>
      </x:c>
      <x:c r="M1588" s="87" t="str">
        <x:v>ORIGINAL_PACKAGE</x:v>
      </x:c>
      <x:c r="N1588" s="87"/>
      <x:c r="O1588" s="87"/>
      <x:c r="P1588" s="87" t="str">
        <x:v>c010ad014ba1524daa6ea5f000dd8b48b0b1991ea7218108acd9a3def4d1061f</x:v>
      </x:c>
      <x:c r="Q1588" s="30" t="str">
        <x:v>incoming/raw/recovery-drop-03/phys_oct_visual_assets_v074.zip!/assets_v074/full/VIS-PHYS-OCT-025_full.jpg</x:v>
      </x:c>
      <x:c r="R1588" s="30" t="str">
        <x:v>MATCHED_ASSET | BENIGN_COMPLEMENTARY</x:v>
      </x:c>
      <x:c r="S1588" t="e">
        <x:f>HYPERLINK("visual_gallery/index.html#"&amp;A1588,"Галерея")</x:f>
      </x:c>
    </x:row>
    <x:row r="1589">
      <x:c r="A1589" s="87" t="str">
        <x:v>VIS-PHYS-OCT-026</x:v>
      </x:c>
      <x:c r="B1589" s="30" t="str">
        <x:v>Физика</x:v>
      </x:c>
      <x:c r="C1589" s="30" t="str">
        <x:v>ФИ2510103: задания 5, полная страница источника</x:v>
      </x:c>
      <x:c r="D1589" s="30" t="str">
        <x:v>ФИ2510103</x:v>
      </x:c>
      <x:c r="E1589" s="87"/>
      <x:c r="F1589" s="30" t="str">
        <x:v>Zadanie_FI11_15102025_.pdf</x:v>
      </x:c>
      <x:c r="G1589" s="87" t="str">
        <x:v>5</x:v>
      </x:c>
      <x:c r="H1589" s="87" t="str">
        <x:v>v0.81</x:v>
      </x:c>
      <x:c r="I1589" s="87" t="str">
        <x:v>1</x:v>
      </x:c>
      <x:c r="J1589" s="30" t="str">
        <x:v>VIS_ID</x:v>
      </x:c>
      <x:c r="K1589" s="30" t="str">
        <x:v>OCT-PHYS-103-005</x:v>
      </x:c>
      <x:c r="L1589" s="87" t="str">
        <x:v>CROP_VERIFIED</x:v>
      </x:c>
      <x:c r="M1589" s="87" t="str">
        <x:v>ORIGINAL_PACKAGE</x:v>
      </x:c>
      <x:c r="N1589" s="87"/>
      <x:c r="O1589" s="87"/>
      <x:c r="P1589" s="87" t="str">
        <x:v>fb07384f2298f3a2d225f4ee9bc04f224d8f8d1519d939d4755f48afb3dff270</x:v>
      </x:c>
      <x:c r="Q1589" s="30" t="str">
        <x:v>incoming/raw/recovery-drop-03/phys_oct_visual_assets_v074.zip!/assets_v074/full/VIS-PHYS-OCT-026_full.jpg</x:v>
      </x:c>
      <x:c r="R1589" s="30" t="str">
        <x:v>MATCHED_ASSET | BENIGN_COMPLEMENTARY</x:v>
      </x:c>
      <x:c r="S1589" t="e">
        <x:f>HYPERLINK("visual_gallery/index.html#"&amp;A1589,"Галерея")</x:f>
      </x:c>
    </x:row>
    <x:row r="1590">
      <x:c r="A1590" s="87" t="str">
        <x:v>VIS-PHYS-OCT-027</x:v>
      </x:c>
      <x:c r="B1590" s="30" t="str">
        <x:v>Физика</x:v>
      </x:c>
      <x:c r="C1590" s="30" t="str">
        <x:v>ФИ2510103: задания 6, полная страница источника</x:v>
      </x:c>
      <x:c r="D1590" s="30" t="str">
        <x:v>ФИ2510103</x:v>
      </x:c>
      <x:c r="E1590" s="87"/>
      <x:c r="F1590" s="30" t="str">
        <x:v>Zadanie_FI11_15102025_.pdf</x:v>
      </x:c>
      <x:c r="G1590" s="87" t="str">
        <x:v>6</x:v>
      </x:c>
      <x:c r="H1590" s="87" t="str">
        <x:v>v0.81</x:v>
      </x:c>
      <x:c r="I1590" s="87" t="str">
        <x:v>1</x:v>
      </x:c>
      <x:c r="J1590" s="30" t="str">
        <x:v>VIS_ID</x:v>
      </x:c>
      <x:c r="K1590" s="30" t="str">
        <x:v>OCT-PHYS-103-006</x:v>
      </x:c>
      <x:c r="L1590" s="87" t="str">
        <x:v>CROP_VERIFIED</x:v>
      </x:c>
      <x:c r="M1590" s="87" t="str">
        <x:v>ORIGINAL_PACKAGE</x:v>
      </x:c>
      <x:c r="N1590" s="87"/>
      <x:c r="O1590" s="87"/>
      <x:c r="P1590" s="87" t="str">
        <x:v>f046004a6b39287c6057eb9d38f63cb1affcca83626716a10acda4a088d088e7</x:v>
      </x:c>
      <x:c r="Q1590" s="30" t="str">
        <x:v>incoming/raw/recovery-drop-03/phys_oct_visual_assets_v074.zip!/assets_v074/full/VIS-PHYS-OCT-027_full.jpg</x:v>
      </x:c>
      <x:c r="R1590" s="30" t="str">
        <x:v>MATCHED_ASSET | BENIGN_COMPLEMENTARY</x:v>
      </x:c>
      <x:c r="S1590" t="e">
        <x:f>HYPERLINK("visual_gallery/index.html#"&amp;A1590,"Галерея")</x:f>
      </x:c>
    </x:row>
    <x:row r="1591">
      <x:c r="A1591" s="87" t="str">
        <x:v>VIS-PHYS-OCT-028</x:v>
      </x:c>
      <x:c r="B1591" s="30" t="str">
        <x:v>Физика</x:v>
      </x:c>
      <x:c r="C1591" s="30" t="str">
        <x:v>ФИ2510103: задания 7, 8, 9, полная страница источника</x:v>
      </x:c>
      <x:c r="D1591" s="30" t="str">
        <x:v>ФИ2510103</x:v>
      </x:c>
      <x:c r="E1591" s="87"/>
      <x:c r="F1591" s="30" t="str">
        <x:v>Zadanie_FI11_15102025_.pdf</x:v>
      </x:c>
      <x:c r="G1591" s="87" t="str">
        <x:v>7</x:v>
      </x:c>
      <x:c r="H1591" s="87" t="str">
        <x:v>v0.81</x:v>
      </x:c>
      <x:c r="I1591" s="87" t="str">
        <x:v>3</x:v>
      </x:c>
      <x:c r="J1591" s="30" t="str">
        <x:v>VIS_ID</x:v>
      </x:c>
      <x:c r="K1591" s="30" t="str">
        <x:v>OCT-PHYS-103-007, OCT-PHYS-103-008, OCT-PHYS-103-009</x:v>
      </x:c>
      <x:c r="L1591" s="87" t="str">
        <x:v>CROP_VERIFIED</x:v>
      </x:c>
      <x:c r="M1591" s="87" t="str">
        <x:v>ORIGINAL_PACKAGE</x:v>
      </x:c>
      <x:c r="N1591" s="87"/>
      <x:c r="O1591" s="87"/>
      <x:c r="P1591" s="87" t="str">
        <x:v>903346e46a0e1aa451798bd3717c9cca301617055f79f3309ff1f84f6cd199e6</x:v>
      </x:c>
      <x:c r="Q1591" s="30" t="str">
        <x:v>incoming/raw/recovery-drop-03/phys_oct_visual_assets_v074.zip!/assets_v074/full/VIS-PHYS-OCT-028_full.jpg</x:v>
      </x:c>
      <x:c r="R1591" s="30" t="str">
        <x:v>MATCHED_ASSET | BENIGN_COMPLEMENTARY</x:v>
      </x:c>
      <x:c r="S1591" t="e">
        <x:f>HYPERLINK("visual_gallery/index.html#"&amp;A1591,"Галерея")</x:f>
      </x:c>
    </x:row>
    <x:row r="1592">
      <x:c r="A1592" s="87" t="str">
        <x:v>VIS-PHYS-OCT-029</x:v>
      </x:c>
      <x:c r="B1592" s="30" t="str">
        <x:v>Физика</x:v>
      </x:c>
      <x:c r="C1592" s="30" t="str">
        <x:v>ФИ2510103: задания 10, 11, полная страница источника</x:v>
      </x:c>
      <x:c r="D1592" s="30" t="str">
        <x:v>ФИ2510103</x:v>
      </x:c>
      <x:c r="E1592" s="87"/>
      <x:c r="F1592" s="30" t="str">
        <x:v>Zadanie_FI11_15102025_.pdf</x:v>
      </x:c>
      <x:c r="G1592" s="87" t="str">
        <x:v>8</x:v>
      </x:c>
      <x:c r="H1592" s="87" t="str">
        <x:v>v0.81</x:v>
      </x:c>
      <x:c r="I1592" s="87" t="str">
        <x:v>2</x:v>
      </x:c>
      <x:c r="J1592" s="30" t="str">
        <x:v>VIS_ID</x:v>
      </x:c>
      <x:c r="K1592" s="30" t="str">
        <x:v>OCT-PHYS-103-010, OCT-PHYS-103-011</x:v>
      </x:c>
      <x:c r="L1592" s="87" t="str">
        <x:v>CROP_VERIFIED</x:v>
      </x:c>
      <x:c r="M1592" s="87" t="str">
        <x:v>ORIGINAL_PACKAGE</x:v>
      </x:c>
      <x:c r="N1592" s="87"/>
      <x:c r="O1592" s="87"/>
      <x:c r="P1592" s="87" t="str">
        <x:v>83eeccce51514fe61edb2d2abac287ca0037698ae52dc609c385fe7d60c92bcd</x:v>
      </x:c>
      <x:c r="Q1592" s="30" t="str">
        <x:v>incoming/raw/recovery-drop-03/phys_oct_visual_assets_v074.zip!/assets_v074/full/VIS-PHYS-OCT-029_full.jpg</x:v>
      </x:c>
      <x:c r="R1592" s="30" t="str">
        <x:v>MATCHED_ASSET | BENIGN_COMPLEMENTARY</x:v>
      </x:c>
      <x:c r="S1592" t="e">
        <x:f>HYPERLINK("visual_gallery/index.html#"&amp;A1592,"Галерея")</x:f>
      </x:c>
    </x:row>
    <x:row r="1593">
      <x:c r="A1593" s="87" t="str">
        <x:v>VIS-PHYS-OCT-030</x:v>
      </x:c>
      <x:c r="B1593" s="30" t="str">
        <x:v>Физика</x:v>
      </x:c>
      <x:c r="C1593" s="30" t="str">
        <x:v>ФИ2510103: задания 12, 13, 14, полная страница источника</x:v>
      </x:c>
      <x:c r="D1593" s="30" t="str">
        <x:v>ФИ2510103</x:v>
      </x:c>
      <x:c r="E1593" s="87"/>
      <x:c r="F1593" s="30" t="str">
        <x:v>Zadanie_FI11_15102025_.pdf</x:v>
      </x:c>
      <x:c r="G1593" s="87" t="str">
        <x:v>9</x:v>
      </x:c>
      <x:c r="H1593" s="87" t="str">
        <x:v>v0.81</x:v>
      </x:c>
      <x:c r="I1593" s="87" t="str">
        <x:v>3</x:v>
      </x:c>
      <x:c r="J1593" s="30" t="str">
        <x:v>VIS_ID</x:v>
      </x:c>
      <x:c r="K1593" s="30" t="str">
        <x:v>OCT-PHYS-103-012, OCT-PHYS-103-013, OCT-PHYS-103-014</x:v>
      </x:c>
      <x:c r="L1593" s="87" t="str">
        <x:v>CROP_VERIFIED</x:v>
      </x:c>
      <x:c r="M1593" s="87" t="str">
        <x:v>ORIGINAL_PACKAGE</x:v>
      </x:c>
      <x:c r="N1593" s="87"/>
      <x:c r="O1593" s="87"/>
      <x:c r="P1593" s="87" t="str">
        <x:v>cade664eb9c49e4a91551577acbe53e4aaccbb22d0ec2019f4968767325d4912</x:v>
      </x:c>
      <x:c r="Q1593" s="30" t="str">
        <x:v>incoming/raw/recovery-drop-03/phys_oct_visual_assets_v074.zip!/assets_v074/full/VIS-PHYS-OCT-030_full.jpg</x:v>
      </x:c>
      <x:c r="R1593" s="30" t="str">
        <x:v>MATCHED_ASSET | BENIGN_COMPLEMENTARY</x:v>
      </x:c>
      <x:c r="S1593" t="e">
        <x:f>HYPERLINK("visual_gallery/index.html#"&amp;A1593,"Галерея")</x:f>
      </x:c>
    </x:row>
    <x:row r="1594">
      <x:c r="A1594" s="87" t="str">
        <x:v>VIS-PHYS-OCT-031</x:v>
      </x:c>
      <x:c r="B1594" s="30" t="str">
        <x:v>Физика</x:v>
      </x:c>
      <x:c r="C1594" s="30" t="str">
        <x:v>ФИ2510103: задания 15, 16, 17, полная страница источника</x:v>
      </x:c>
      <x:c r="D1594" s="30" t="str">
        <x:v>ФИ2510103</x:v>
      </x:c>
      <x:c r="E1594" s="87"/>
      <x:c r="F1594" s="30" t="str">
        <x:v>Zadanie_FI11_15102025_.pdf</x:v>
      </x:c>
      <x:c r="G1594" s="87" t="str">
        <x:v>10</x:v>
      </x:c>
      <x:c r="H1594" s="87" t="str">
        <x:v>v0.81</x:v>
      </x:c>
      <x:c r="I1594" s="87" t="str">
        <x:v>3</x:v>
      </x:c>
      <x:c r="J1594" s="30" t="str">
        <x:v>VIS_ID</x:v>
      </x:c>
      <x:c r="K1594" s="30" t="str">
        <x:v>OCT-PHYS-103-015, OCT-PHYS-103-016, OCT-PHYS-103-017</x:v>
      </x:c>
      <x:c r="L1594" s="87" t="str">
        <x:v>CROP_VERIFIED</x:v>
      </x:c>
      <x:c r="M1594" s="87" t="str">
        <x:v>ORIGINAL_PACKAGE</x:v>
      </x:c>
      <x:c r="N1594" s="87"/>
      <x:c r="O1594" s="87"/>
      <x:c r="P1594" s="87" t="str">
        <x:v>3a37312453076583f599e1aed15208e5f6c7f5b1bf4ea25d2fa3fc6427cd87dd</x:v>
      </x:c>
      <x:c r="Q1594" s="30" t="str">
        <x:v>incoming/raw/recovery-drop-03/phys_oct_visual_assets_v074.zip!/assets_v074/full/VIS-PHYS-OCT-031_full.jpg</x:v>
      </x:c>
      <x:c r="R1594" s="30" t="str">
        <x:v>MATCHED_ASSET | BENIGN_COMPLEMENTARY</x:v>
      </x:c>
      <x:c r="S1594" t="e">
        <x:f>HYPERLINK("visual_gallery/index.html#"&amp;A1594,"Галерея")</x:f>
      </x:c>
    </x:row>
    <x:row r="1595">
      <x:c r="A1595" s="87" t="str">
        <x:v>VIS-PHYS-OCT-032</x:v>
      </x:c>
      <x:c r="B1595" s="30" t="str">
        <x:v>Физика</x:v>
      </x:c>
      <x:c r="C1595" s="30" t="str">
        <x:v>ФИ2510103: задания 18, 19, полная страница источника</x:v>
      </x:c>
      <x:c r="D1595" s="30" t="str">
        <x:v>ФИ2510103</x:v>
      </x:c>
      <x:c r="E1595" s="87"/>
      <x:c r="F1595" s="30" t="str">
        <x:v>Zadanie_FI11_15102025_.pdf</x:v>
      </x:c>
      <x:c r="G1595" s="87" t="str">
        <x:v>11</x:v>
      </x:c>
      <x:c r="H1595" s="87" t="str">
        <x:v>v0.81</x:v>
      </x:c>
      <x:c r="I1595" s="87" t="str">
        <x:v>2</x:v>
      </x:c>
      <x:c r="J1595" s="30" t="str">
        <x:v>VIS_ID</x:v>
      </x:c>
      <x:c r="K1595" s="30" t="str">
        <x:v>OCT-PHYS-103-018, OCT-PHYS-103-019</x:v>
      </x:c>
      <x:c r="L1595" s="87" t="str">
        <x:v>CROP_VERIFIED</x:v>
      </x:c>
      <x:c r="M1595" s="87" t="str">
        <x:v>ORIGINAL_PACKAGE</x:v>
      </x:c>
      <x:c r="N1595" s="87"/>
      <x:c r="O1595" s="87"/>
      <x:c r="P1595" s="87" t="str">
        <x:v>3d43edcdd4e733da2a7fb293bd9873eb001e79742308b7b068f886ddf309ba9b</x:v>
      </x:c>
      <x:c r="Q1595" s="30" t="str">
        <x:v>incoming/raw/recovery-drop-03/phys_oct_visual_assets_v074.zip!/assets_v074/full/VIS-PHYS-OCT-032_full.jpg</x:v>
      </x:c>
      <x:c r="R1595" s="30" t="str">
        <x:v>MATCHED_ASSET | BENIGN_COMPLEMENTARY</x:v>
      </x:c>
      <x:c r="S1595" t="e">
        <x:f>HYPERLINK("visual_gallery/index.html#"&amp;A1595,"Галерея")</x:f>
      </x:c>
    </x:row>
    <x:row r="1596">
      <x:c r="A1596" s="87" t="str">
        <x:v>VIS-PHYS-OCT-033</x:v>
      </x:c>
      <x:c r="B1596" s="30" t="str">
        <x:v>Физика</x:v>
      </x:c>
      <x:c r="C1596" s="30" t="str">
        <x:v>ФИ2510103: задания 20, полная страница источника</x:v>
      </x:c>
      <x:c r="D1596" s="30" t="str">
        <x:v>ФИ2510103</x:v>
      </x:c>
      <x:c r="E1596" s="87"/>
      <x:c r="F1596" s="30" t="str">
        <x:v>Zadanie_FI11_15102025_.pdf</x:v>
      </x:c>
      <x:c r="G1596" s="87" t="str">
        <x:v>12</x:v>
      </x:c>
      <x:c r="H1596" s="87" t="str">
        <x:v>v0.81</x:v>
      </x:c>
      <x:c r="I1596" s="87" t="str">
        <x:v>1</x:v>
      </x:c>
      <x:c r="J1596" s="30" t="str">
        <x:v>VIS_ID</x:v>
      </x:c>
      <x:c r="K1596" s="30" t="str">
        <x:v>OCT-PHYS-103-020</x:v>
      </x:c>
      <x:c r="L1596" s="87" t="str">
        <x:v>CROP_VERIFIED</x:v>
      </x:c>
      <x:c r="M1596" s="87" t="str">
        <x:v>ORIGINAL_PACKAGE</x:v>
      </x:c>
      <x:c r="N1596" s="87"/>
      <x:c r="O1596" s="87"/>
      <x:c r="P1596" s="87" t="str">
        <x:v>38e529b67e97177b77f0fe1073f1aa2a336a8f0a1c22c1986c76623331a9ab36</x:v>
      </x:c>
      <x:c r="Q1596" s="30" t="str">
        <x:v>incoming/raw/recovery-drop-03/phys_oct_visual_assets_v074.zip!/assets_v074/full/VIS-PHYS-OCT-033_full.jpg</x:v>
      </x:c>
      <x:c r="R1596" s="30" t="str">
        <x:v>MATCHED_ASSET | BENIGN_COMPLEMENTARY</x:v>
      </x:c>
      <x:c r="S1596" t="e">
        <x:f>HYPERLINK("visual_gallery/index.html#"&amp;A1596,"Галерея")</x:f>
      </x:c>
    </x:row>
    <x:row r="1597">
      <x:c r="A1597" s="87" t="str">
        <x:v>VIS-PHYS-OCT-034</x:v>
      </x:c>
      <x:c r="B1597" s="30" t="str">
        <x:v>Физика</x:v>
      </x:c>
      <x:c r="C1597" s="30" t="str">
        <x:v>ФИ2510103: задания 21, полная страница источника</x:v>
      </x:c>
      <x:c r="D1597" s="30" t="str">
        <x:v>ФИ2510103</x:v>
      </x:c>
      <x:c r="E1597" s="87"/>
      <x:c r="F1597" s="30" t="str">
        <x:v>Zadanie_FI11_15102025_.pdf</x:v>
      </x:c>
      <x:c r="G1597" s="87" t="str">
        <x:v>13</x:v>
      </x:c>
      <x:c r="H1597" s="87" t="str">
        <x:v>v0.81</x:v>
      </x:c>
      <x:c r="I1597" s="87" t="str">
        <x:v>1</x:v>
      </x:c>
      <x:c r="J1597" s="30" t="str">
        <x:v>VIS_ID</x:v>
      </x:c>
      <x:c r="K1597" s="30" t="str">
        <x:v>OCT-PHYS-103-021</x:v>
      </x:c>
      <x:c r="L1597" s="87" t="str">
        <x:v>CROP_VERIFIED</x:v>
      </x:c>
      <x:c r="M1597" s="87" t="str">
        <x:v>ORIGINAL_PACKAGE</x:v>
      </x:c>
      <x:c r="N1597" s="87"/>
      <x:c r="O1597" s="87"/>
      <x:c r="P1597" s="87" t="str">
        <x:v>6e635cdabaa47d4edbfa16a22685795d762a461a6688e1154f497f1b8e43af68</x:v>
      </x:c>
      <x:c r="Q1597" s="30" t="str">
        <x:v>incoming/raw/recovery-drop-03/phys_oct_visual_assets_v074.zip!/assets_v074/full/VIS-PHYS-OCT-034_full.jpg</x:v>
      </x:c>
      <x:c r="R1597" s="30" t="str">
        <x:v>MATCHED_ASSET | BENIGN_COMPLEMENTARY</x:v>
      </x:c>
      <x:c r="S1597" t="e">
        <x:f>HYPERLINK("visual_gallery/index.html#"&amp;A1597,"Галерея")</x:f>
      </x:c>
    </x:row>
    <x:row r="1598">
      <x:c r="A1598" s="87" t="str">
        <x:v>VIS-PHYS-OCT-035</x:v>
      </x:c>
      <x:c r="B1598" s="30" t="str">
        <x:v>Физика</x:v>
      </x:c>
      <x:c r="C1598" s="30" t="str">
        <x:v>ФИ2510103: задания 22, 23, 24, полная страница источника</x:v>
      </x:c>
      <x:c r="D1598" s="30" t="str">
        <x:v>ФИ2510103</x:v>
      </x:c>
      <x:c r="E1598" s="87"/>
      <x:c r="F1598" s="30" t="str">
        <x:v>Zadanie_FI11_15102025_.pdf</x:v>
      </x:c>
      <x:c r="G1598" s="87" t="str">
        <x:v>14</x:v>
      </x:c>
      <x:c r="H1598" s="87" t="str">
        <x:v>v0.81</x:v>
      </x:c>
      <x:c r="I1598" s="87" t="str">
        <x:v>3</x:v>
      </x:c>
      <x:c r="J1598" s="30" t="str">
        <x:v>VIS_ID</x:v>
      </x:c>
      <x:c r="K1598" s="30" t="str">
        <x:v>OCT-PHYS-103-022, OCT-PHYS-103-023, OCT-PHYS-103-024</x:v>
      </x:c>
      <x:c r="L1598" s="87" t="str">
        <x:v>CROP_VERIFIED</x:v>
      </x:c>
      <x:c r="M1598" s="87" t="str">
        <x:v>ORIGINAL_PACKAGE</x:v>
      </x:c>
      <x:c r="N1598" s="87"/>
      <x:c r="O1598" s="87"/>
      <x:c r="P1598" s="87" t="str">
        <x:v>1ef78f47414f07d22ef717f63d28e14afca1356c6a9485bdd1a9f6a066448a56</x:v>
      </x:c>
      <x:c r="Q1598" s="30" t="str">
        <x:v>incoming/raw/recovery-drop-03/phys_oct_visual_assets_v074.zip!/assets_v074/full/VIS-PHYS-OCT-035_full.jpg</x:v>
      </x:c>
      <x:c r="R1598" s="30" t="str">
        <x:v>MATCHED_ASSET | BENIGN_COMPLEMENTARY</x:v>
      </x:c>
      <x:c r="S1598" t="e">
        <x:f>HYPERLINK("visual_gallery/index.html#"&amp;A1598,"Галерея")</x:f>
      </x:c>
    </x:row>
    <x:row r="1599">
      <x:c r="A1599" s="87" t="str">
        <x:v>VIS-PHYS-OCT-036</x:v>
      </x:c>
      <x:c r="B1599" s="30" t="str">
        <x:v>Физика</x:v>
      </x:c>
      <x:c r="C1599" s="30" t="str">
        <x:v>ФИ2510103: задания 25, 26, полная страница источника</x:v>
      </x:c>
      <x:c r="D1599" s="30" t="str">
        <x:v>ФИ2510103</x:v>
      </x:c>
      <x:c r="E1599" s="87"/>
      <x:c r="F1599" s="30" t="str">
        <x:v>Zadanie_FI11_15102025_.pdf</x:v>
      </x:c>
      <x:c r="G1599" s="87" t="str">
        <x:v>15</x:v>
      </x:c>
      <x:c r="H1599" s="87" t="str">
        <x:v>v0.81</x:v>
      </x:c>
      <x:c r="I1599" s="87" t="str">
        <x:v>2</x:v>
      </x:c>
      <x:c r="J1599" s="30" t="str">
        <x:v>VIS_ID</x:v>
      </x:c>
      <x:c r="K1599" s="30" t="str">
        <x:v>OCT-PHYS-103-025, OCT-PHYS-103-026</x:v>
      </x:c>
      <x:c r="L1599" s="87" t="str">
        <x:v>CROP_VERIFIED</x:v>
      </x:c>
      <x:c r="M1599" s="87" t="str">
        <x:v>ORIGINAL_PACKAGE</x:v>
      </x:c>
      <x:c r="N1599" s="87"/>
      <x:c r="O1599" s="87"/>
      <x:c r="P1599" s="87" t="str">
        <x:v>79df73cc83a396ffb06f97661051dc9fbdb5319332fcb2d7a1ca2206eefd8978</x:v>
      </x:c>
      <x:c r="Q1599" s="30" t="str">
        <x:v>incoming/raw/recovery-drop-03/phys_oct_visual_assets_v074.zip!/assets_v074/full/VIS-PHYS-OCT-036_full.jpg</x:v>
      </x:c>
      <x:c r="R1599" s="30" t="str">
        <x:v>MATCHED_ASSET | BENIGN_COMPLEMENTARY</x:v>
      </x:c>
      <x:c r="S1599" t="e">
        <x:f>HYPERLINK("visual_gallery/index.html#"&amp;A1599,"Галерея")</x:f>
      </x:c>
    </x:row>
    <x:row r="1600">
      <x:c r="A1600" s="87" t="str">
        <x:v>VIS-PHYS-OCT-037</x:v>
      </x:c>
      <x:c r="B1600" s="30" t="str">
        <x:v>Физика</x:v>
      </x:c>
      <x:c r="C1600" s="30" t="str">
        <x:v>ФИ2510104: задания 1, 2, 3, 4, полная страница источника</x:v>
      </x:c>
      <x:c r="D1600" s="30" t="str">
        <x:v>ФИ2510104</x:v>
      </x:c>
      <x:c r="E1600" s="87"/>
      <x:c r="F1600" s="30" t="str">
        <x:v>Zadanie_FI11_15102025_.pdf</x:v>
      </x:c>
      <x:c r="G1600" s="87" t="str">
        <x:v>19</x:v>
      </x:c>
      <x:c r="H1600" s="87" t="str">
        <x:v>v0.81</x:v>
      </x:c>
      <x:c r="I1600" s="87" t="str">
        <x:v>4</x:v>
      </x:c>
      <x:c r="J1600" s="30" t="str">
        <x:v>VIS_ID</x:v>
      </x:c>
      <x:c r="K1600" s="30" t="str">
        <x:v>OCT-PHYS-104-001, OCT-PHYS-104-002, OCT-PHYS-104-003, OCT-PHYS-104-004</x:v>
      </x:c>
      <x:c r="L1600" s="87" t="str">
        <x:v>CROP_VERIFIED</x:v>
      </x:c>
      <x:c r="M1600" s="87" t="str">
        <x:v>ORIGINAL_PACKAGE</x:v>
      </x:c>
      <x:c r="N1600" s="87"/>
      <x:c r="O1600" s="87"/>
      <x:c r="P1600" s="87" t="str">
        <x:v>fb9f1305ca20f36da3586de93587954263aaa1f0d20223c75b0c7e9a1c059c41</x:v>
      </x:c>
      <x:c r="Q1600" s="30" t="str">
        <x:v>incoming/raw/recovery-drop-03/phys_oct_visual_assets_v074.zip!/assets_v074/full/VIS-PHYS-OCT-037_full.jpg</x:v>
      </x:c>
      <x:c r="R1600" s="30" t="str">
        <x:v>MATCHED_ASSET | BENIGN_COMPLEMENTARY</x:v>
      </x:c>
      <x:c r="S1600" t="e">
        <x:f>HYPERLINK("visual_gallery/index.html#"&amp;A1600,"Галерея")</x:f>
      </x:c>
    </x:row>
    <x:row r="1601">
      <x:c r="A1601" s="87" t="str">
        <x:v>VIS-PHYS-OCT-038</x:v>
      </x:c>
      <x:c r="B1601" s="30" t="str">
        <x:v>Физика</x:v>
      </x:c>
      <x:c r="C1601" s="30" t="str">
        <x:v>ФИ2510104: задания 5, полная страница источника</x:v>
      </x:c>
      <x:c r="D1601" s="30" t="str">
        <x:v>ФИ2510104</x:v>
      </x:c>
      <x:c r="E1601" s="87"/>
      <x:c r="F1601" s="30" t="str">
        <x:v>Zadanie_FI11_15102025_.pdf</x:v>
      </x:c>
      <x:c r="G1601" s="87" t="str">
        <x:v>20</x:v>
      </x:c>
      <x:c r="H1601" s="87" t="str">
        <x:v>v0.81</x:v>
      </x:c>
      <x:c r="I1601" s="87" t="str">
        <x:v>1</x:v>
      </x:c>
      <x:c r="J1601" s="30" t="str">
        <x:v>VIS_ID</x:v>
      </x:c>
      <x:c r="K1601" s="30" t="str">
        <x:v>OCT-PHYS-104-005</x:v>
      </x:c>
      <x:c r="L1601" s="87" t="str">
        <x:v>CROP_VERIFIED</x:v>
      </x:c>
      <x:c r="M1601" s="87" t="str">
        <x:v>ORIGINAL_PACKAGE</x:v>
      </x:c>
      <x:c r="N1601" s="87"/>
      <x:c r="O1601" s="87"/>
      <x:c r="P1601" s="87" t="str">
        <x:v>628c9ecda1632873940f5274bc771e09070102c101ad9475e8cfe3e05f185b48</x:v>
      </x:c>
      <x:c r="Q1601" s="30" t="str">
        <x:v>incoming/raw/recovery-drop-03/phys_oct_visual_assets_v074.zip!/assets_v074/full/VIS-PHYS-OCT-038_full.jpg</x:v>
      </x:c>
      <x:c r="R1601" s="30" t="str">
        <x:v>MATCHED_ASSET | BENIGN_COMPLEMENTARY</x:v>
      </x:c>
      <x:c r="S1601" t="e">
        <x:f>HYPERLINK("visual_gallery/index.html#"&amp;A1601,"Галерея")</x:f>
      </x:c>
    </x:row>
    <x:row r="1602">
      <x:c r="A1602" s="87" t="str">
        <x:v>VIS-PHYS-OCT-039</x:v>
      </x:c>
      <x:c r="B1602" s="30" t="str">
        <x:v>Физика</x:v>
      </x:c>
      <x:c r="C1602" s="30" t="str">
        <x:v>ФИ2510104: задания 6, 7, полная страница источника</x:v>
      </x:c>
      <x:c r="D1602" s="30" t="str">
        <x:v>ФИ2510104</x:v>
      </x:c>
      <x:c r="E1602" s="87"/>
      <x:c r="F1602" s="30" t="str">
        <x:v>Zadanie_FI11_15102025_.pdf</x:v>
      </x:c>
      <x:c r="G1602" s="87" t="str">
        <x:v>21</x:v>
      </x:c>
      <x:c r="H1602" s="87" t="str">
        <x:v>v0.81</x:v>
      </x:c>
      <x:c r="I1602" s="87" t="str">
        <x:v>2</x:v>
      </x:c>
      <x:c r="J1602" s="30" t="str">
        <x:v>VIS_ID</x:v>
      </x:c>
      <x:c r="K1602" s="30" t="str">
        <x:v>OCT-PHYS-104-006, OCT-PHYS-104-007</x:v>
      </x:c>
      <x:c r="L1602" s="87" t="str">
        <x:v>CROP_VERIFIED</x:v>
      </x:c>
      <x:c r="M1602" s="87" t="str">
        <x:v>ORIGINAL_PACKAGE</x:v>
      </x:c>
      <x:c r="N1602" s="87"/>
      <x:c r="O1602" s="87"/>
      <x:c r="P1602" s="87" t="str">
        <x:v>a7deea7db371dada366af47cbd76355e7747b387c46ed270f0a1d60b495ad24a</x:v>
      </x:c>
      <x:c r="Q1602" s="30" t="str">
        <x:v>incoming/raw/recovery-drop-03/phys_oct_visual_assets_v074.zip!/assets_v074/full/VIS-PHYS-OCT-039_full.jpg</x:v>
      </x:c>
      <x:c r="R1602" s="30" t="str">
        <x:v>MATCHED_ASSET | BENIGN_COMPLEMENTARY</x:v>
      </x:c>
      <x:c r="S1602" t="e">
        <x:f>HYPERLINK("visual_gallery/index.html#"&amp;A1602,"Галерея")</x:f>
      </x:c>
    </x:row>
    <x:row r="1603">
      <x:c r="A1603" s="87" t="str">
        <x:v>VIS-PHYS-OCT-040</x:v>
      </x:c>
      <x:c r="B1603" s="30" t="str">
        <x:v>Физика</x:v>
      </x:c>
      <x:c r="C1603" s="30" t="str">
        <x:v>ФИ2510104: задания 8, 9, полная страница источника</x:v>
      </x:c>
      <x:c r="D1603" s="30" t="str">
        <x:v>ФИ2510104</x:v>
      </x:c>
      <x:c r="E1603" s="87"/>
      <x:c r="F1603" s="30" t="str">
        <x:v>Zadanie_FI11_15102025_.pdf</x:v>
      </x:c>
      <x:c r="G1603" s="87" t="str">
        <x:v>22</x:v>
      </x:c>
      <x:c r="H1603" s="87" t="str">
        <x:v>v0.81</x:v>
      </x:c>
      <x:c r="I1603" s="87" t="str">
        <x:v>2</x:v>
      </x:c>
      <x:c r="J1603" s="30" t="str">
        <x:v>VIS_ID</x:v>
      </x:c>
      <x:c r="K1603" s="30" t="str">
        <x:v>OCT-PHYS-104-008, OCT-PHYS-104-009</x:v>
      </x:c>
      <x:c r="L1603" s="87" t="str">
        <x:v>CROP_VERIFIED</x:v>
      </x:c>
      <x:c r="M1603" s="87" t="str">
        <x:v>ORIGINAL_PACKAGE</x:v>
      </x:c>
      <x:c r="N1603" s="87"/>
      <x:c r="O1603" s="87"/>
      <x:c r="P1603" s="87" t="str">
        <x:v>0db04121aa96720e891e6c2060116e749e8b7c6f4dedf37a141ac531c3b3a904</x:v>
      </x:c>
      <x:c r="Q1603" s="30" t="str">
        <x:v>incoming/raw/recovery-drop-03/phys_oct_visual_assets_v074.zip!/assets_v074/full/VIS-PHYS-OCT-040_full.jpg</x:v>
      </x:c>
      <x:c r="R1603" s="30" t="str">
        <x:v>MATCHED_ASSET | BENIGN_COMPLEMENTARY</x:v>
      </x:c>
      <x:c r="S1603" t="e">
        <x:f>HYPERLINK("visual_gallery/index.html#"&amp;A1603,"Галерея")</x:f>
      </x:c>
    </x:row>
    <x:row r="1604">
      <x:c r="A1604" s="87" t="str">
        <x:v>VIS-PHYS-OCT-041</x:v>
      </x:c>
      <x:c r="B1604" s="30" t="str">
        <x:v>Физика</x:v>
      </x:c>
      <x:c r="C1604" s="30" t="str">
        <x:v>ФИ2510104: задания 10, 11, полная страница источника</x:v>
      </x:c>
      <x:c r="D1604" s="30" t="str">
        <x:v>ФИ2510104</x:v>
      </x:c>
      <x:c r="E1604" s="87"/>
      <x:c r="F1604" s="30" t="str">
        <x:v>Zadanie_FI11_15102025_.pdf</x:v>
      </x:c>
      <x:c r="G1604" s="87" t="str">
        <x:v>23</x:v>
      </x:c>
      <x:c r="H1604" s="87" t="str">
        <x:v>v0.81</x:v>
      </x:c>
      <x:c r="I1604" s="87" t="str">
        <x:v>2</x:v>
      </x:c>
      <x:c r="J1604" s="30" t="str">
        <x:v>VIS_ID</x:v>
      </x:c>
      <x:c r="K1604" s="30" t="str">
        <x:v>OCT-PHYS-104-010, OCT-PHYS-104-011</x:v>
      </x:c>
      <x:c r="L1604" s="87" t="str">
        <x:v>CROP_VERIFIED</x:v>
      </x:c>
      <x:c r="M1604" s="87" t="str">
        <x:v>ORIGINAL_PACKAGE</x:v>
      </x:c>
      <x:c r="N1604" s="87"/>
      <x:c r="O1604" s="87"/>
      <x:c r="P1604" s="87" t="str">
        <x:v>bd4f57efdefcaa4ca83d4efe9d994ca3b84dd2e13a75a939a7a04a6c0213c257</x:v>
      </x:c>
      <x:c r="Q1604" s="30" t="str">
        <x:v>incoming/raw/recovery-drop-03/phys_oct_visual_assets_v074.zip!/assets_v074/full/VIS-PHYS-OCT-041_full.jpg</x:v>
      </x:c>
      <x:c r="R1604" s="30" t="str">
        <x:v>MATCHED_ASSET | BENIGN_COMPLEMENTARY</x:v>
      </x:c>
      <x:c r="S1604" t="e">
        <x:f>HYPERLINK("visual_gallery/index.html#"&amp;A1604,"Галерея")</x:f>
      </x:c>
    </x:row>
    <x:row r="1605">
      <x:c r="A1605" s="87" t="str">
        <x:v>VIS-PHYS-OCT-042</x:v>
      </x:c>
      <x:c r="B1605" s="30" t="str">
        <x:v>Физика</x:v>
      </x:c>
      <x:c r="C1605" s="30" t="str">
        <x:v>ФИ2510104: задания 12, 13, 14, полная страница источника</x:v>
      </x:c>
      <x:c r="D1605" s="30" t="str">
        <x:v>ФИ2510104</x:v>
      </x:c>
      <x:c r="E1605" s="87"/>
      <x:c r="F1605" s="30" t="str">
        <x:v>Zadanie_FI11_15102025_.pdf</x:v>
      </x:c>
      <x:c r="G1605" s="87" t="str">
        <x:v>24</x:v>
      </x:c>
      <x:c r="H1605" s="87" t="str">
        <x:v>v0.81</x:v>
      </x:c>
      <x:c r="I1605" s="87" t="str">
        <x:v>3</x:v>
      </x:c>
      <x:c r="J1605" s="30" t="str">
        <x:v>VIS_ID</x:v>
      </x:c>
      <x:c r="K1605" s="30" t="str">
        <x:v>OCT-PHYS-104-012, OCT-PHYS-104-013, OCT-PHYS-104-014</x:v>
      </x:c>
      <x:c r="L1605" s="87" t="str">
        <x:v>CROP_VERIFIED</x:v>
      </x:c>
      <x:c r="M1605" s="87" t="str">
        <x:v>ORIGINAL_PACKAGE</x:v>
      </x:c>
      <x:c r="N1605" s="87"/>
      <x:c r="O1605" s="87"/>
      <x:c r="P1605" s="87" t="str">
        <x:v>21b4b25ac60e2d1a409a1cfbc204d527cb1baf3b697a7400bc42100d73725570</x:v>
      </x:c>
      <x:c r="Q1605" s="30" t="str">
        <x:v>incoming/raw/recovery-drop-03/phys_oct_visual_assets_v074.zip!/assets_v074/full/VIS-PHYS-OCT-042_full.jpg</x:v>
      </x:c>
      <x:c r="R1605" s="30" t="str">
        <x:v>MATCHED_ASSET | BENIGN_COMPLEMENTARY</x:v>
      </x:c>
      <x:c r="S1605" t="e">
        <x:f>HYPERLINK("visual_gallery/index.html#"&amp;A1605,"Галерея")</x:f>
      </x:c>
    </x:row>
    <x:row r="1606">
      <x:c r="A1606" s="87" t="str">
        <x:v>VIS-PHYS-OCT-043</x:v>
      </x:c>
      <x:c r="B1606" s="30" t="str">
        <x:v>Физика</x:v>
      </x:c>
      <x:c r="C1606" s="30" t="str">
        <x:v>ФИ2510104: задания 15, 16, 17, полная страница источника</x:v>
      </x:c>
      <x:c r="D1606" s="30" t="str">
        <x:v>ФИ2510104</x:v>
      </x:c>
      <x:c r="E1606" s="87"/>
      <x:c r="F1606" s="30" t="str">
        <x:v>Zadanie_FI11_15102025_.pdf</x:v>
      </x:c>
      <x:c r="G1606" s="87" t="str">
        <x:v>25</x:v>
      </x:c>
      <x:c r="H1606" s="87" t="str">
        <x:v>v0.81</x:v>
      </x:c>
      <x:c r="I1606" s="87" t="str">
        <x:v>3</x:v>
      </x:c>
      <x:c r="J1606" s="30" t="str">
        <x:v>VIS_ID</x:v>
      </x:c>
      <x:c r="K1606" s="30" t="str">
        <x:v>OCT-PHYS-104-015, OCT-PHYS-104-016, OCT-PHYS-104-017</x:v>
      </x:c>
      <x:c r="L1606" s="87" t="str">
        <x:v>CROP_VERIFIED</x:v>
      </x:c>
      <x:c r="M1606" s="87" t="str">
        <x:v>ORIGINAL_PACKAGE</x:v>
      </x:c>
      <x:c r="N1606" s="87"/>
      <x:c r="O1606" s="87"/>
      <x:c r="P1606" s="87" t="str">
        <x:v>747de2fab187c96a1b82b9466899c63da6a2caa941bcca3f8d11b6b81accece3</x:v>
      </x:c>
      <x:c r="Q1606" s="30" t="str">
        <x:v>incoming/raw/recovery-drop-03/phys_oct_visual_assets_v074.zip!/assets_v074/full/VIS-PHYS-OCT-043_full.jpg</x:v>
      </x:c>
      <x:c r="R1606" s="30" t="str">
        <x:v>MATCHED_ASSET | BENIGN_COMPLEMENTARY</x:v>
      </x:c>
      <x:c r="S1606" t="e">
        <x:f>HYPERLINK("visual_gallery/index.html#"&amp;A1606,"Галерея")</x:f>
      </x:c>
    </x:row>
    <x:row r="1607">
      <x:c r="A1607" s="87" t="str">
        <x:v>VIS-PHYS-OCT-044</x:v>
      </x:c>
      <x:c r="B1607" s="30" t="str">
        <x:v>Физика</x:v>
      </x:c>
      <x:c r="C1607" s="30" t="str">
        <x:v>ФИ2510104: задания 18, 19, полная страница источника</x:v>
      </x:c>
      <x:c r="D1607" s="30" t="str">
        <x:v>ФИ2510104</x:v>
      </x:c>
      <x:c r="E1607" s="87"/>
      <x:c r="F1607" s="30" t="str">
        <x:v>Zadanie_FI11_15102025_.pdf</x:v>
      </x:c>
      <x:c r="G1607" s="87" t="str">
        <x:v>26</x:v>
      </x:c>
      <x:c r="H1607" s="87" t="str">
        <x:v>v0.81</x:v>
      </x:c>
      <x:c r="I1607" s="87" t="str">
        <x:v>2</x:v>
      </x:c>
      <x:c r="J1607" s="30" t="str">
        <x:v>VIS_ID</x:v>
      </x:c>
      <x:c r="K1607" s="30" t="str">
        <x:v>OCT-PHYS-104-018, OCT-PHYS-104-019</x:v>
      </x:c>
      <x:c r="L1607" s="87" t="str">
        <x:v>CROP_VERIFIED</x:v>
      </x:c>
      <x:c r="M1607" s="87" t="str">
        <x:v>ORIGINAL_PACKAGE</x:v>
      </x:c>
      <x:c r="N1607" s="87"/>
      <x:c r="O1607" s="87"/>
      <x:c r="P1607" s="87" t="str">
        <x:v>658cd936961e0c4c8156a09b813118f4245723290f85fe25700770e085a37900</x:v>
      </x:c>
      <x:c r="Q1607" s="30" t="str">
        <x:v>incoming/raw/recovery-drop-03/phys_oct_visual_assets_v074.zip!/assets_v074/full/VIS-PHYS-OCT-044_full.jpg</x:v>
      </x:c>
      <x:c r="R1607" s="30" t="str">
        <x:v>MATCHED_ASSET | BENIGN_COMPLEMENTARY</x:v>
      </x:c>
      <x:c r="S1607" t="e">
        <x:f>HYPERLINK("visual_gallery/index.html#"&amp;A1607,"Галерея")</x:f>
      </x:c>
    </x:row>
    <x:row r="1608">
      <x:c r="A1608" s="87" t="str">
        <x:v>VIS-PHYS-OCT-045</x:v>
      </x:c>
      <x:c r="B1608" s="30" t="str">
        <x:v>Физика</x:v>
      </x:c>
      <x:c r="C1608" s="30" t="str">
        <x:v>ФИ2510104: задания 20, полная страница источника</x:v>
      </x:c>
      <x:c r="D1608" s="30" t="str">
        <x:v>ФИ2510104</x:v>
      </x:c>
      <x:c r="E1608" s="87"/>
      <x:c r="F1608" s="30" t="str">
        <x:v>Zadanie_FI11_15102025_.pdf</x:v>
      </x:c>
      <x:c r="G1608" s="87" t="str">
        <x:v>27</x:v>
      </x:c>
      <x:c r="H1608" s="87" t="str">
        <x:v>v0.81</x:v>
      </x:c>
      <x:c r="I1608" s="87" t="str">
        <x:v>1</x:v>
      </x:c>
      <x:c r="J1608" s="30" t="str">
        <x:v>VIS_ID</x:v>
      </x:c>
      <x:c r="K1608" s="30" t="str">
        <x:v>OCT-PHYS-104-020</x:v>
      </x:c>
      <x:c r="L1608" s="87" t="str">
        <x:v>CROP_VERIFIED</x:v>
      </x:c>
      <x:c r="M1608" s="87" t="str">
        <x:v>ORIGINAL_PACKAGE</x:v>
      </x:c>
      <x:c r="N1608" s="87"/>
      <x:c r="O1608" s="87"/>
      <x:c r="P1608" s="87" t="str">
        <x:v>64cfdd3ad1cfd7ebd0cf189f44c38038f4e875f2ffb13ff33eda281b74b38261</x:v>
      </x:c>
      <x:c r="Q1608" s="30" t="str">
        <x:v>incoming/raw/recovery-drop-03/phys_oct_visual_assets_v074.zip!/assets_v074/full/VIS-PHYS-OCT-045_full.jpg</x:v>
      </x:c>
      <x:c r="R1608" s="30" t="str">
        <x:v>MATCHED_ASSET | BENIGN_COMPLEMENTARY</x:v>
      </x:c>
      <x:c r="S1608" t="e">
        <x:f>HYPERLINK("visual_gallery/index.html#"&amp;A1608,"Галерея")</x:f>
      </x:c>
    </x:row>
    <x:row r="1609">
      <x:c r="A1609" s="87" t="str">
        <x:v>VIS-PHYS-OCT-046</x:v>
      </x:c>
      <x:c r="B1609" s="30" t="str">
        <x:v>Физика</x:v>
      </x:c>
      <x:c r="C1609" s="30" t="str">
        <x:v>ФИ2510104: задания 21, полная страница источника</x:v>
      </x:c>
      <x:c r="D1609" s="30" t="str">
        <x:v>ФИ2510104</x:v>
      </x:c>
      <x:c r="E1609" s="87"/>
      <x:c r="F1609" s="30" t="str">
        <x:v>Zadanie_FI11_15102025_.pdf</x:v>
      </x:c>
      <x:c r="G1609" s="87" t="str">
        <x:v>28</x:v>
      </x:c>
      <x:c r="H1609" s="87" t="str">
        <x:v>v0.81</x:v>
      </x:c>
      <x:c r="I1609" s="87" t="str">
        <x:v>1</x:v>
      </x:c>
      <x:c r="J1609" s="30" t="str">
        <x:v>VIS_ID</x:v>
      </x:c>
      <x:c r="K1609" s="30" t="str">
        <x:v>OCT-PHYS-104-021</x:v>
      </x:c>
      <x:c r="L1609" s="87" t="str">
        <x:v>CROP_VERIFIED</x:v>
      </x:c>
      <x:c r="M1609" s="87" t="str">
        <x:v>ORIGINAL_PACKAGE</x:v>
      </x:c>
      <x:c r="N1609" s="87"/>
      <x:c r="O1609" s="87"/>
      <x:c r="P1609" s="87" t="str">
        <x:v>b372ac9bb8523af35ae5e0ed12767c422280e0654a2ff6c77ed301d2d95e7808</x:v>
      </x:c>
      <x:c r="Q1609" s="30" t="str">
        <x:v>incoming/raw/recovery-drop-03/phys_oct_visual_assets_v074.zip!/assets_v074/full/VIS-PHYS-OCT-046_full.jpg</x:v>
      </x:c>
      <x:c r="R1609" s="30" t="str">
        <x:v>MATCHED_ASSET | BENIGN_COMPLEMENTARY</x:v>
      </x:c>
      <x:c r="S1609" t="e">
        <x:f>HYPERLINK("visual_gallery/index.html#"&amp;A1609,"Галерея")</x:f>
      </x:c>
    </x:row>
    <x:row r="1610">
      <x:c r="A1610" s="87" t="str">
        <x:v>VIS-PHYS-OCT-047</x:v>
      </x:c>
      <x:c r="B1610" s="30" t="str">
        <x:v>Физика</x:v>
      </x:c>
      <x:c r="C1610" s="30" t="str">
        <x:v>ФИ2510104: задания 22, 23, 24, полная страница источника</x:v>
      </x:c>
      <x:c r="D1610" s="30" t="str">
        <x:v>ФИ2510104</x:v>
      </x:c>
      <x:c r="E1610" s="87"/>
      <x:c r="F1610" s="30" t="str">
        <x:v>Zadanie_FI11_15102025_.pdf</x:v>
      </x:c>
      <x:c r="G1610" s="87" t="str">
        <x:v>29</x:v>
      </x:c>
      <x:c r="H1610" s="87" t="str">
        <x:v>v0.81</x:v>
      </x:c>
      <x:c r="I1610" s="87" t="str">
        <x:v>3</x:v>
      </x:c>
      <x:c r="J1610" s="30" t="str">
        <x:v>VIS_ID</x:v>
      </x:c>
      <x:c r="K1610" s="30" t="str">
        <x:v>OCT-PHYS-104-022, OCT-PHYS-104-023, OCT-PHYS-104-024</x:v>
      </x:c>
      <x:c r="L1610" s="87" t="str">
        <x:v>CROP_VERIFIED</x:v>
      </x:c>
      <x:c r="M1610" s="87" t="str">
        <x:v>ORIGINAL_PACKAGE</x:v>
      </x:c>
      <x:c r="N1610" s="87"/>
      <x:c r="O1610" s="87"/>
      <x:c r="P1610" s="87" t="str">
        <x:v>9d13603dc5ab6a2a8be3cceedc75ede58f14bb438d3c708dcb9280eca165e039</x:v>
      </x:c>
      <x:c r="Q1610" s="30" t="str">
        <x:v>incoming/raw/recovery-drop-03/phys_oct_visual_assets_v074.zip!/assets_v074/full/VIS-PHYS-OCT-047_full.jpg</x:v>
      </x:c>
      <x:c r="R1610" s="30" t="str">
        <x:v>MATCHED_ASSET | BENIGN_COMPLEMENTARY</x:v>
      </x:c>
      <x:c r="S1610" t="e">
        <x:f>HYPERLINK("visual_gallery/index.html#"&amp;A1610,"Галерея")</x:f>
      </x:c>
    </x:row>
    <x:row r="1611">
      <x:c r="A1611" s="87" t="str">
        <x:v>VIS-PHYS-OCT-048</x:v>
      </x:c>
      <x:c r="B1611" s="30" t="str">
        <x:v>Физика</x:v>
      </x:c>
      <x:c r="C1611" s="30" t="str">
        <x:v>ФИ2510104: задания 25, 26, полная страница источника</x:v>
      </x:c>
      <x:c r="D1611" s="30" t="str">
        <x:v>ФИ2510104</x:v>
      </x:c>
      <x:c r="E1611" s="87"/>
      <x:c r="F1611" s="30" t="str">
        <x:v>Zadanie_FI11_15102025_.pdf</x:v>
      </x:c>
      <x:c r="G1611" s="87" t="str">
        <x:v>30</x:v>
      </x:c>
      <x:c r="H1611" s="87" t="str">
        <x:v>v0.81</x:v>
      </x:c>
      <x:c r="I1611" s="87" t="str">
        <x:v>2</x:v>
      </x:c>
      <x:c r="J1611" s="30" t="str">
        <x:v>VIS_ID</x:v>
      </x:c>
      <x:c r="K1611" s="30" t="str">
        <x:v>OCT-PHYS-104-025, OCT-PHYS-104-026</x:v>
      </x:c>
      <x:c r="L1611" s="87" t="str">
        <x:v>CROP_VERIFIED</x:v>
      </x:c>
      <x:c r="M1611" s="87" t="str">
        <x:v>ORIGINAL_PACKAGE</x:v>
      </x:c>
      <x:c r="N1611" s="87"/>
      <x:c r="O1611" s="87"/>
      <x:c r="P1611" s="87" t="str">
        <x:v>9fafa752159ca01584289cb16b50f410863255e810cf329920d3869fbb697424</x:v>
      </x:c>
      <x:c r="Q1611" s="30" t="str">
        <x:v>incoming/raw/recovery-drop-03/phys_oct_visual_assets_v074.zip!/assets_v074/full/VIS-PHYS-OCT-048_full.jpg</x:v>
      </x:c>
      <x:c r="R1611" s="30" t="str">
        <x:v>MATCHED_ASSET | BENIGN_COMPLEMENTARY</x:v>
      </x:c>
      <x:c r="S1611" t="e">
        <x:f>HYPERLINK("visual_gallery/index.html#"&amp;A1611,"Галерея")</x:f>
      </x:c>
    </x:row>
    <x:row r="1612">
      <x:c r="A1612" s="87" t="str">
        <x:v>VIS-RUS-NOV-001</x:v>
      </x:c>
      <x:c r="B1612" s="30" t="str"/>
      <x:c r="C1612" s="30" t="str">
        <x:v>Обложка варианта РЯ2510301</x:v>
      </x:c>
      <x:c r="D1612" s="30" t="str">
        <x:v>РЯ2510301</x:v>
      </x:c>
      <x:c r="E1612" s="87"/>
      <x:c r="F1612" s="30" t="str">
        <x:v>Zadanie_RU11_27112025.pdf</x:v>
      </x:c>
      <x:c r="G1612" s="87" t="str">
        <x:v>1</x:v>
      </x:c>
      <x:c r="H1612" s="87" t="str">
        <x:v>v0.83</x:v>
      </x:c>
      <x:c r="I1612" s="87" t="str">
        <x:v>0</x:v>
      </x:c>
      <x:c r="J1612" s="30" t="str"/>
      <x:c r="K1612" s="30" t="str"/>
      <x:c r="L1612" s="87" t="str">
        <x:v>CROP_VERIFIED</x:v>
      </x:c>
      <x:c r="M1612" s="87" t="str">
        <x:v>ORIGINAL_PACKAGE</x:v>
      </x:c>
      <x:c r="N1612" s="87"/>
      <x:c r="O1612" s="87"/>
      <x:c r="P1612" s="87" t="str">
        <x:v>c2ba64a9a08515561e5f0456483daaf68a2b11be3af11770c9b682ce7f874025</x:v>
      </x:c>
      <x:c r="Q1612" s="30" t="str">
        <x:v>incoming/raw/recovery-drop-02/russian_nov_visual_assets_v083.zip!/russian_nov_visual_assets_v083/full/VIS-RUS-NOV-001_full.jpg</x:v>
      </x:c>
      <x:c r="R1612" s="30" t="str">
        <x:v>RESOLVED_UNLINKED_REGISTRY_VISUAL</x:v>
      </x:c>
      <x:c r="S1612" t="e">
        <x:f>HYPERLINK("visual_gallery/index.html#"&amp;A1612,"Галерея")</x:f>
      </x:c>
    </x:row>
    <x:row r="1613">
      <x:c r="A1613" s="87" t="str">
        <x:v>VIS-RUS-NOV-002</x:v>
      </x:c>
      <x:c r="B1613" s="30" t="str"/>
      <x:c r="C1613" s="30" t="str">
        <x:v>Текст 1–3 и задание 1</x:v>
      </x:c>
      <x:c r="D1613" s="30" t="str">
        <x:v>РЯ2510301</x:v>
      </x:c>
      <x:c r="E1613" s="87"/>
      <x:c r="F1613" s="30" t="str">
        <x:v>Zadanie_RU11_27112025.pdf</x:v>
      </x:c>
      <x:c r="G1613" s="87" t="str">
        <x:v>2</x:v>
      </x:c>
      <x:c r="H1613" s="87" t="str">
        <x:v>v0.83</x:v>
      </x:c>
      <x:c r="I1613" s="87" t="str">
        <x:v>0</x:v>
      </x:c>
      <x:c r="J1613" s="30" t="str"/>
      <x:c r="K1613" s="30" t="str"/>
      <x:c r="L1613" s="87" t="str">
        <x:v>CROP_VERIFIED</x:v>
      </x:c>
      <x:c r="M1613" s="87" t="str">
        <x:v>ORIGINAL_PACKAGE</x:v>
      </x:c>
      <x:c r="N1613" s="87"/>
      <x:c r="O1613" s="87"/>
      <x:c r="P1613" s="87" t="str">
        <x:v>f5afeb959a0d6ec5db72e2408a40c03522eb40cf862359aafb942727665b5ed3</x:v>
      </x:c>
      <x:c r="Q1613" s="30" t="str">
        <x:v>incoming/raw/recovery-drop-02/russian_nov_visual_assets_v083.zip!/russian_nov_visual_assets_v083/full/VIS-RUS-NOV-002_full.jpg</x:v>
      </x:c>
      <x:c r="R1613" s="30" t="str">
        <x:v>RESOLVED_UNLINKED_REGISTRY_VISUAL</x:v>
      </x:c>
      <x:c r="S1613" t="e">
        <x:f>HYPERLINK("visual_gallery/index.html#"&amp;A1613,"Галерея")</x:f>
      </x:c>
    </x:row>
    <x:row r="1614">
      <x:c r="A1614" s="87" t="str">
        <x:v>VIS-RUS-NOV-003</x:v>
      </x:c>
      <x:c r="B1614" s="30" t="str"/>
      <x:c r="C1614" s="30" t="str">
        <x:v>Задания 2–3</x:v>
      </x:c>
      <x:c r="D1614" s="30" t="str">
        <x:v>РЯ2510301</x:v>
      </x:c>
      <x:c r="E1614" s="87"/>
      <x:c r="F1614" s="30" t="str">
        <x:v>Zadanie_RU11_27112025.pdf</x:v>
      </x:c>
      <x:c r="G1614" s="87" t="str">
        <x:v>3</x:v>
      </x:c>
      <x:c r="H1614" s="87" t="str">
        <x:v>v0.83</x:v>
      </x:c>
      <x:c r="I1614" s="87" t="str">
        <x:v>0</x:v>
      </x:c>
      <x:c r="J1614" s="30" t="str"/>
      <x:c r="K1614" s="30" t="str"/>
      <x:c r="L1614" s="87" t="str">
        <x:v>CROP_VERIFIED</x:v>
      </x:c>
      <x:c r="M1614" s="87" t="str">
        <x:v>ORIGINAL_PACKAGE</x:v>
      </x:c>
      <x:c r="N1614" s="87"/>
      <x:c r="O1614" s="87"/>
      <x:c r="P1614" s="87" t="str">
        <x:v>4b3ba2a54a20f04f5ad91661146fca2dbc1ea273e14c5268fb6dfb77cc77d7e8</x:v>
      </x:c>
      <x:c r="Q1614" s="30" t="str">
        <x:v>incoming/raw/recovery-drop-02/russian_nov_visual_assets_v083.zip!/russian_nov_visual_assets_v083/full/VIS-RUS-NOV-003_full.jpg</x:v>
      </x:c>
      <x:c r="R1614" s="30" t="str">
        <x:v>RESOLVED_UNLINKED_REGISTRY_VISUAL</x:v>
      </x:c>
      <x:c r="S1614" t="e">
        <x:f>HYPERLINK("visual_gallery/index.html#"&amp;A1614,"Галерея")</x:f>
      </x:c>
    </x:row>
    <x:row r="1615">
      <x:c r="A1615" s="87" t="str">
        <x:v>VIS-RUS-NOV-004</x:v>
      </x:c>
      <x:c r="B1615" s="30" t="str"/>
      <x:c r="C1615" s="30" t="str">
        <x:v>Задания 4–7</x:v>
      </x:c>
      <x:c r="D1615" s="30" t="str">
        <x:v>РЯ2510301</x:v>
      </x:c>
      <x:c r="E1615" s="87"/>
      <x:c r="F1615" s="30" t="str">
        <x:v>Zadanie_RU11_27112025.pdf</x:v>
      </x:c>
      <x:c r="G1615" s="87" t="str">
        <x:v>4</x:v>
      </x:c>
      <x:c r="H1615" s="87" t="str">
        <x:v>v0.83</x:v>
      </x:c>
      <x:c r="I1615" s="87" t="str">
        <x:v>0</x:v>
      </x:c>
      <x:c r="J1615" s="30" t="str"/>
      <x:c r="K1615" s="30" t="str"/>
      <x:c r="L1615" s="87" t="str">
        <x:v>CROP_VERIFIED</x:v>
      </x:c>
      <x:c r="M1615" s="87" t="str">
        <x:v>ORIGINAL_PACKAGE</x:v>
      </x:c>
      <x:c r="N1615" s="87"/>
      <x:c r="O1615" s="87"/>
      <x:c r="P1615" s="87" t="str">
        <x:v>542aabf5597d6ee006d832fe706c565169bdf011357331137d8e6770da670c84</x:v>
      </x:c>
      <x:c r="Q1615" s="30" t="str">
        <x:v>incoming/raw/recovery-drop-02/russian_nov_visual_assets_v083.zip!/russian_nov_visual_assets_v083/full/VIS-RUS-NOV-004_full.jpg</x:v>
      </x:c>
      <x:c r="R1615" s="30" t="str">
        <x:v>RESOLVED_UNLINKED_REGISTRY_VISUAL</x:v>
      </x:c>
      <x:c r="S1615" t="e">
        <x:f>HYPERLINK("visual_gallery/index.html#"&amp;A1615,"Галерея")</x:f>
      </x:c>
    </x:row>
    <x:row r="1616">
      <x:c r="A1616" s="87" t="str">
        <x:v>VIS-RUS-NOV-005</x:v>
      </x:c>
      <x:c r="B1616" s="30" t="str"/>
      <x:c r="C1616" s="30" t="str">
        <x:v>Задание 8</x:v>
      </x:c>
      <x:c r="D1616" s="30" t="str">
        <x:v>РЯ2510301</x:v>
      </x:c>
      <x:c r="E1616" s="87"/>
      <x:c r="F1616" s="30" t="str">
        <x:v>Zadanie_RU11_27112025.pdf</x:v>
      </x:c>
      <x:c r="G1616" s="87" t="str">
        <x:v>5</x:v>
      </x:c>
      <x:c r="H1616" s="87" t="str">
        <x:v>v0.83</x:v>
      </x:c>
      <x:c r="I1616" s="87" t="str">
        <x:v>0</x:v>
      </x:c>
      <x:c r="J1616" s="30" t="str"/>
      <x:c r="K1616" s="30" t="str"/>
      <x:c r="L1616" s="87" t="str">
        <x:v>CROP_VERIFIED</x:v>
      </x:c>
      <x:c r="M1616" s="87" t="str">
        <x:v>ORIGINAL_PACKAGE</x:v>
      </x:c>
      <x:c r="N1616" s="87"/>
      <x:c r="O1616" s="87"/>
      <x:c r="P1616" s="87" t="str">
        <x:v>6d830090d20bd3a7e22c64aad2ee62516a822d4e406a56f4fe46eafe14ab14fe</x:v>
      </x:c>
      <x:c r="Q1616" s="30" t="str">
        <x:v>incoming/raw/recovery-drop-02/russian_nov_visual_assets_v083.zip!/russian_nov_visual_assets_v083/full/VIS-RUS-NOV-005_full.jpg</x:v>
      </x:c>
      <x:c r="R1616" s="30" t="str">
        <x:v>RESOLVED_UNLINKED_REGISTRY_VISUAL</x:v>
      </x:c>
      <x:c r="S1616" t="e">
        <x:f>HYPERLINK("visual_gallery/index.html#"&amp;A1616,"Галерея")</x:f>
      </x:c>
    </x:row>
    <x:row r="1617">
      <x:c r="A1617" s="87" t="str">
        <x:v>VIS-RUS-NOV-006</x:v>
      </x:c>
      <x:c r="B1617" s="30" t="str"/>
      <x:c r="C1617" s="30" t="str">
        <x:v>Задания 9–12</x:v>
      </x:c>
      <x:c r="D1617" s="30" t="str">
        <x:v>РЯ2510301</x:v>
      </x:c>
      <x:c r="E1617" s="87"/>
      <x:c r="F1617" s="30" t="str">
        <x:v>Zadanie_RU11_27112025.pdf</x:v>
      </x:c>
      <x:c r="G1617" s="87" t="str">
        <x:v>6</x:v>
      </x:c>
      <x:c r="H1617" s="87" t="str">
        <x:v>v0.83</x:v>
      </x:c>
      <x:c r="I1617" s="87" t="str">
        <x:v>0</x:v>
      </x:c>
      <x:c r="J1617" s="30" t="str"/>
      <x:c r="K1617" s="30" t="str"/>
      <x:c r="L1617" s="87" t="str">
        <x:v>CROP_VERIFIED</x:v>
      </x:c>
      <x:c r="M1617" s="87" t="str">
        <x:v>ORIGINAL_PACKAGE</x:v>
      </x:c>
      <x:c r="N1617" s="87"/>
      <x:c r="O1617" s="87"/>
      <x:c r="P1617" s="87" t="str">
        <x:v>81dfe16ffd18ed255007b626526168c13f0a782aa6340785b8c20c655e6e71cd</x:v>
      </x:c>
      <x:c r="Q1617" s="30" t="str">
        <x:v>incoming/raw/recovery-drop-02/russian_nov_visual_assets_v083.zip!/russian_nov_visual_assets_v083/full/VIS-RUS-NOV-006_full.jpg</x:v>
      </x:c>
      <x:c r="R1617" s="30" t="str">
        <x:v>RESOLVED_UNLINKED_REGISTRY_VISUAL</x:v>
      </x:c>
      <x:c r="S1617" t="e">
        <x:f>HYPERLINK("visual_gallery/index.html#"&amp;A1617,"Галерея")</x:f>
      </x:c>
    </x:row>
    <x:row r="1618">
      <x:c r="A1618" s="87" t="str">
        <x:v>VIS-RUS-NOV-007</x:v>
      </x:c>
      <x:c r="B1618" s="30" t="str"/>
      <x:c r="C1618" s="30" t="str">
        <x:v>Задания 13–15</x:v>
      </x:c>
      <x:c r="D1618" s="30" t="str">
        <x:v>РЯ2510301</x:v>
      </x:c>
      <x:c r="E1618" s="87"/>
      <x:c r="F1618" s="30" t="str">
        <x:v>Zadanie_RU11_27112025.pdf</x:v>
      </x:c>
      <x:c r="G1618" s="87" t="str">
        <x:v>7</x:v>
      </x:c>
      <x:c r="H1618" s="87" t="str">
        <x:v>v0.83</x:v>
      </x:c>
      <x:c r="I1618" s="87" t="str">
        <x:v>0</x:v>
      </x:c>
      <x:c r="J1618" s="30" t="str"/>
      <x:c r="K1618" s="30" t="str"/>
      <x:c r="L1618" s="87" t="str">
        <x:v>CROP_VERIFIED</x:v>
      </x:c>
      <x:c r="M1618" s="87" t="str">
        <x:v>ORIGINAL_PACKAGE</x:v>
      </x:c>
      <x:c r="N1618" s="87"/>
      <x:c r="O1618" s="87"/>
      <x:c r="P1618" s="87" t="str">
        <x:v>e8744ab55975934f2c9d6b547ef6241a099866aaf57f6f4f342dce8f49424e6a</x:v>
      </x:c>
      <x:c r="Q1618" s="30" t="str">
        <x:v>incoming/raw/recovery-drop-02/russian_nov_visual_assets_v083.zip!/russian_nov_visual_assets_v083/full/VIS-RUS-NOV-007_full.jpg</x:v>
      </x:c>
      <x:c r="R1618" s="30" t="str">
        <x:v>RESOLVED_UNLINKED_REGISTRY_VISUAL</x:v>
      </x:c>
      <x:c r="S1618" t="e">
        <x:f>HYPERLINK("visual_gallery/index.html#"&amp;A1618,"Галерея")</x:f>
      </x:c>
    </x:row>
    <x:row r="1619">
      <x:c r="A1619" s="87" t="str">
        <x:v>VIS-RUS-NOV-008</x:v>
      </x:c>
      <x:c r="B1619" s="30" t="str"/>
      <x:c r="C1619" s="30" t="str">
        <x:v>Задания 16–19</x:v>
      </x:c>
      <x:c r="D1619" s="30" t="str">
        <x:v>РЯ2510301</x:v>
      </x:c>
      <x:c r="E1619" s="87"/>
      <x:c r="F1619" s="30" t="str">
        <x:v>Zadanie_RU11_27112025.pdf</x:v>
      </x:c>
      <x:c r="G1619" s="87" t="str">
        <x:v>8</x:v>
      </x:c>
      <x:c r="H1619" s="87" t="str">
        <x:v>v0.83</x:v>
      </x:c>
      <x:c r="I1619" s="87" t="str">
        <x:v>0</x:v>
      </x:c>
      <x:c r="J1619" s="30" t="str"/>
      <x:c r="K1619" s="30" t="str"/>
      <x:c r="L1619" s="87" t="str">
        <x:v>CROP_VERIFIED</x:v>
      </x:c>
      <x:c r="M1619" s="87" t="str">
        <x:v>ORIGINAL_PACKAGE</x:v>
      </x:c>
      <x:c r="N1619" s="87"/>
      <x:c r="O1619" s="87"/>
      <x:c r="P1619" s="87" t="str">
        <x:v>46fd4cb61adb430301946ca6a8de81ea14b646cf1f03d985dcfd15383e005c49</x:v>
      </x:c>
      <x:c r="Q1619" s="30" t="str">
        <x:v>incoming/raw/recovery-drop-02/russian_nov_visual_assets_v083.zip!/russian_nov_visual_assets_v083/full/VIS-RUS-NOV-008_full.jpg</x:v>
      </x:c>
      <x:c r="R1619" s="30" t="str">
        <x:v>RESOLVED_UNLINKED_REGISTRY_VISUAL</x:v>
      </x:c>
      <x:c r="S1619" t="e">
        <x:f>HYPERLINK("visual_gallery/index.html#"&amp;A1619,"Галерея")</x:f>
      </x:c>
    </x:row>
    <x:row r="1620">
      <x:c r="A1620" s="87" t="str">
        <x:v>VIS-RUS-NOV-009</x:v>
      </x:c>
      <x:c r="B1620" s="30" t="str"/>
      <x:c r="C1620" s="30" t="str">
        <x:v>Задания 20–21</x:v>
      </x:c>
      <x:c r="D1620" s="30" t="str">
        <x:v>РЯ2510301</x:v>
      </x:c>
      <x:c r="E1620" s="87"/>
      <x:c r="F1620" s="30" t="str">
        <x:v>Zadanie_RU11_27112025.pdf</x:v>
      </x:c>
      <x:c r="G1620" s="87" t="str">
        <x:v>9</x:v>
      </x:c>
      <x:c r="H1620" s="87" t="str">
        <x:v>v0.83</x:v>
      </x:c>
      <x:c r="I1620" s="87" t="str">
        <x:v>0</x:v>
      </x:c>
      <x:c r="J1620" s="30" t="str"/>
      <x:c r="K1620" s="30" t="str"/>
      <x:c r="L1620" s="87" t="str">
        <x:v>CROP_VERIFIED</x:v>
      </x:c>
      <x:c r="M1620" s="87" t="str">
        <x:v>ORIGINAL_PACKAGE</x:v>
      </x:c>
      <x:c r="N1620" s="87"/>
      <x:c r="O1620" s="87"/>
      <x:c r="P1620" s="87" t="str">
        <x:v>78a47dcfe410051560dbdc725addde3d2017f16184af6feaf1e56226440a0e76</x:v>
      </x:c>
      <x:c r="Q1620" s="30" t="str">
        <x:v>incoming/raw/recovery-drop-02/russian_nov_visual_assets_v083.zip!/russian_nov_visual_assets_v083/full/VIS-RUS-NOV-009_full.jpg</x:v>
      </x:c>
      <x:c r="R1620" s="30" t="str">
        <x:v>RESOLVED_UNLINKED_REGISTRY_VISUAL</x:v>
      </x:c>
      <x:c r="S1620" t="e">
        <x:f>HYPERLINK("visual_gallery/index.html#"&amp;A1620,"Галерея")</x:f>
      </x:c>
    </x:row>
    <x:row r="1621">
      <x:c r="A1621" s="87" t="str">
        <x:v>VIS-RUS-NOV-010</x:v>
      </x:c>
      <x:c r="B1621" s="30" t="str"/>
      <x:c r="C1621" s="30" t="str">
        <x:v>Задание 22 и начало исходного текста</x:v>
      </x:c>
      <x:c r="D1621" s="30" t="str">
        <x:v>РЯ2510301</x:v>
      </x:c>
      <x:c r="E1621" s="87"/>
      <x:c r="F1621" s="30" t="str">
        <x:v>Zadanie_RU11_27112025.pdf</x:v>
      </x:c>
      <x:c r="G1621" s="87" t="str">
        <x:v>10</x:v>
      </x:c>
      <x:c r="H1621" s="87" t="str">
        <x:v>v0.83</x:v>
      </x:c>
      <x:c r="I1621" s="87" t="str">
        <x:v>0</x:v>
      </x:c>
      <x:c r="J1621" s="30" t="str"/>
      <x:c r="K1621" s="30" t="str"/>
      <x:c r="L1621" s="87" t="str">
        <x:v>CROP_VERIFIED</x:v>
      </x:c>
      <x:c r="M1621" s="87" t="str">
        <x:v>ORIGINAL_PACKAGE</x:v>
      </x:c>
      <x:c r="N1621" s="87"/>
      <x:c r="O1621" s="87"/>
      <x:c r="P1621" s="87" t="str">
        <x:v>d3e88990531edbba129be69387f472c9bb63c11fab1ec4fe799a62485fd26ad8</x:v>
      </x:c>
      <x:c r="Q1621" s="30" t="str">
        <x:v>incoming/raw/recovery-drop-02/russian_nov_visual_assets_v083.zip!/russian_nov_visual_assets_v083/full/VIS-RUS-NOV-010_full.jpg</x:v>
      </x:c>
      <x:c r="R1621" s="30" t="str">
        <x:v>RESOLVED_UNLINKED_REGISTRY_VISUAL</x:v>
      </x:c>
      <x:c r="S1621" t="e">
        <x:f>HYPERLINK("visual_gallery/index.html#"&amp;A1621,"Галерея")</x:f>
      </x:c>
    </x:row>
    <x:row r="1622">
      <x:c r="A1622" s="87" t="str">
        <x:v>VIS-RUS-NOV-011</x:v>
      </x:c>
      <x:c r="B1622" s="30" t="str"/>
      <x:c r="C1622" s="30" t="str">
        <x:v>Продолжение исходного текста</x:v>
      </x:c>
      <x:c r="D1622" s="30" t="str">
        <x:v>РЯ2510301</x:v>
      </x:c>
      <x:c r="E1622" s="87"/>
      <x:c r="F1622" s="30" t="str">
        <x:v>Zadanie_RU11_27112025.pdf</x:v>
      </x:c>
      <x:c r="G1622" s="87" t="str">
        <x:v>11</x:v>
      </x:c>
      <x:c r="H1622" s="87" t="str">
        <x:v>v0.83</x:v>
      </x:c>
      <x:c r="I1622" s="87" t="str">
        <x:v>0</x:v>
      </x:c>
      <x:c r="J1622" s="30" t="str"/>
      <x:c r="K1622" s="30" t="str"/>
      <x:c r="L1622" s="87" t="str">
        <x:v>CROP_VERIFIED</x:v>
      </x:c>
      <x:c r="M1622" s="87" t="str">
        <x:v>ORIGINAL_PACKAGE</x:v>
      </x:c>
      <x:c r="N1622" s="87"/>
      <x:c r="O1622" s="87"/>
      <x:c r="P1622" s="87" t="str">
        <x:v>17fe27fbe5e779c5fa40aa921f174850869ecac15d48c2017e58351d2031133b</x:v>
      </x:c>
      <x:c r="Q1622" s="30" t="str">
        <x:v>incoming/raw/recovery-drop-02/russian_nov_visual_assets_v083.zip!/russian_nov_visual_assets_v083/full/VIS-RUS-NOV-011_full.jpg</x:v>
      </x:c>
      <x:c r="R1622" s="30" t="str">
        <x:v>RESOLVED_UNLINKED_REGISTRY_VISUAL</x:v>
      </x:c>
      <x:c r="S1622" t="e">
        <x:f>HYPERLINK("visual_gallery/index.html#"&amp;A1622,"Галерея")</x:f>
      </x:c>
    </x:row>
    <x:row r="1623">
      <x:c r="A1623" s="87" t="str">
        <x:v>VIS-RUS-NOV-012</x:v>
      </x:c>
      <x:c r="B1623" s="30" t="str"/>
      <x:c r="C1623" s="30" t="str">
        <x:v>Конец текста и задания 23–26</x:v>
      </x:c>
      <x:c r="D1623" s="30" t="str">
        <x:v>РЯ2510301</x:v>
      </x:c>
      <x:c r="E1623" s="87"/>
      <x:c r="F1623" s="30" t="str">
        <x:v>Zadanie_RU11_27112025.pdf</x:v>
      </x:c>
      <x:c r="G1623" s="87" t="str">
        <x:v>12</x:v>
      </x:c>
      <x:c r="H1623" s="87" t="str">
        <x:v>v0.83</x:v>
      </x:c>
      <x:c r="I1623" s="87" t="str">
        <x:v>0</x:v>
      </x:c>
      <x:c r="J1623" s="30" t="str"/>
      <x:c r="K1623" s="30" t="str"/>
      <x:c r="L1623" s="87" t="str">
        <x:v>CROP_VERIFIED</x:v>
      </x:c>
      <x:c r="M1623" s="87" t="str">
        <x:v>ORIGINAL_PACKAGE</x:v>
      </x:c>
      <x:c r="N1623" s="87"/>
      <x:c r="O1623" s="87"/>
      <x:c r="P1623" s="87" t="str">
        <x:v>a520060dd2bf91c15984f66add3b5f0bbe1157bbc301cbf1422951840f82a606</x:v>
      </x:c>
      <x:c r="Q1623" s="30" t="str">
        <x:v>incoming/raw/recovery-drop-02/russian_nov_visual_assets_v083.zip!/russian_nov_visual_assets_v083/full/VIS-RUS-NOV-012_full.jpg</x:v>
      </x:c>
      <x:c r="R1623" s="30" t="str">
        <x:v>RESOLVED_UNLINKED_REGISTRY_VISUAL</x:v>
      </x:c>
      <x:c r="S1623" t="e">
        <x:f>HYPERLINK("visual_gallery/index.html#"&amp;A1623,"Галерея")</x:f>
      </x:c>
    </x:row>
    <x:row r="1624">
      <x:c r="A1624" s="87" t="str">
        <x:v>VIS-RUS-NOV-013</x:v>
      </x:c>
      <x:c r="B1624" s="30" t="str"/>
      <x:c r="C1624" s="30" t="str">
        <x:v>Задание 27</x:v>
      </x:c>
      <x:c r="D1624" s="30" t="str">
        <x:v>РЯ2510301</x:v>
      </x:c>
      <x:c r="E1624" s="87"/>
      <x:c r="F1624" s="30" t="str">
        <x:v>Zadanie_RU11_27112025.pdf</x:v>
      </x:c>
      <x:c r="G1624" s="87" t="str">
        <x:v>13</x:v>
      </x:c>
      <x:c r="H1624" s="87" t="str">
        <x:v>v0.83</x:v>
      </x:c>
      <x:c r="I1624" s="87" t="str">
        <x:v>0</x:v>
      </x:c>
      <x:c r="J1624" s="30" t="str"/>
      <x:c r="K1624" s="30" t="str"/>
      <x:c r="L1624" s="87" t="str">
        <x:v>CROP_VERIFIED</x:v>
      </x:c>
      <x:c r="M1624" s="87" t="str">
        <x:v>ORIGINAL_PACKAGE</x:v>
      </x:c>
      <x:c r="N1624" s="87"/>
      <x:c r="O1624" s="87"/>
      <x:c r="P1624" s="87" t="str">
        <x:v>ac3e27c0cb83793357582c702b5feb3b058d13eb51643a6d9f0f70948b286806</x:v>
      </x:c>
      <x:c r="Q1624" s="30" t="str">
        <x:v>incoming/raw/recovery-drop-02/russian_nov_visual_assets_v083.zip!/russian_nov_visual_assets_v083/full/VIS-RUS-NOV-013_full.jpg</x:v>
      </x:c>
      <x:c r="R1624" s="30" t="str">
        <x:v>RESOLVED_UNLINKED_REGISTRY_VISUAL</x:v>
      </x:c>
      <x:c r="S1624" t="e">
        <x:f>HYPERLINK("visual_gallery/index.html#"&amp;A1624,"Галерея")</x:f>
      </x:c>
    </x:row>
    <x:row r="1625">
      <x:c r="A1625" s="87" t="str">
        <x:v>VIS-RUS-NOV-014</x:v>
      </x:c>
      <x:c r="B1625" s="30" t="str"/>
      <x:c r="C1625" s="30" t="str">
        <x:v>Обложка варианта РЯ2510302</x:v>
      </x:c>
      <x:c r="D1625" s="30" t="str">
        <x:v>РЯ2510302</x:v>
      </x:c>
      <x:c r="E1625" s="87"/>
      <x:c r="F1625" s="30" t="str">
        <x:v>Zadanie_RU11_27112025.pdf</x:v>
      </x:c>
      <x:c r="G1625" s="87" t="str">
        <x:v>14</x:v>
      </x:c>
      <x:c r="H1625" s="87" t="str">
        <x:v>v0.83</x:v>
      </x:c>
      <x:c r="I1625" s="87" t="str">
        <x:v>0</x:v>
      </x:c>
      <x:c r="J1625" s="30" t="str"/>
      <x:c r="K1625" s="30" t="str"/>
      <x:c r="L1625" s="87" t="str">
        <x:v>CROP_VERIFIED</x:v>
      </x:c>
      <x:c r="M1625" s="87" t="str">
        <x:v>ORIGINAL_PACKAGE</x:v>
      </x:c>
      <x:c r="N1625" s="87"/>
      <x:c r="O1625" s="87"/>
      <x:c r="P1625" s="87" t="str">
        <x:v>317bca7409d2ac37b88ed95ae131c1c7a3bd0fd935bb6aeded2f76eb5c765c02</x:v>
      </x:c>
      <x:c r="Q1625" s="30" t="str">
        <x:v>incoming/raw/recovery-drop-02/russian_nov_visual_assets_v083.zip!/russian_nov_visual_assets_v083/full/VIS-RUS-NOV-014_full.jpg</x:v>
      </x:c>
      <x:c r="R1625" s="30" t="str">
        <x:v>RESOLVED_UNLINKED_REGISTRY_VISUAL</x:v>
      </x:c>
      <x:c r="S1625" t="e">
        <x:f>HYPERLINK("visual_gallery/index.html#"&amp;A1625,"Галерея")</x:f>
      </x:c>
    </x:row>
    <x:row r="1626">
      <x:c r="A1626" s="87" t="str">
        <x:v>VIS-RUS-NOV-015</x:v>
      </x:c>
      <x:c r="B1626" s="30" t="str"/>
      <x:c r="C1626" s="30" t="str">
        <x:v>Текст 1–3 и задание 1</x:v>
      </x:c>
      <x:c r="D1626" s="30" t="str">
        <x:v>РЯ2510302</x:v>
      </x:c>
      <x:c r="E1626" s="87"/>
      <x:c r="F1626" s="30" t="str">
        <x:v>Zadanie_RU11_27112025.pdf</x:v>
      </x:c>
      <x:c r="G1626" s="87" t="str">
        <x:v>15</x:v>
      </x:c>
      <x:c r="H1626" s="87" t="str">
        <x:v>v0.83</x:v>
      </x:c>
      <x:c r="I1626" s="87" t="str">
        <x:v>0</x:v>
      </x:c>
      <x:c r="J1626" s="30" t="str"/>
      <x:c r="K1626" s="30" t="str"/>
      <x:c r="L1626" s="87" t="str">
        <x:v>CROP_VERIFIED</x:v>
      </x:c>
      <x:c r="M1626" s="87" t="str">
        <x:v>ORIGINAL_PACKAGE</x:v>
      </x:c>
      <x:c r="N1626" s="87"/>
      <x:c r="O1626" s="87"/>
      <x:c r="P1626" s="87" t="str">
        <x:v>09d2258d8cbe6a01065a65125b2cbc7f26e45788f7b30e784c5334597bbc0c65</x:v>
      </x:c>
      <x:c r="Q1626" s="30" t="str">
        <x:v>incoming/raw/recovery-drop-02/russian_nov_visual_assets_v083.zip!/russian_nov_visual_assets_v083/full/VIS-RUS-NOV-015_full.jpg</x:v>
      </x:c>
      <x:c r="R1626" s="30" t="str">
        <x:v>RESOLVED_UNLINKED_REGISTRY_VISUAL</x:v>
      </x:c>
      <x:c r="S1626" t="e">
        <x:f>HYPERLINK("visual_gallery/index.html#"&amp;A1626,"Галерея")</x:f>
      </x:c>
    </x:row>
    <x:row r="1627">
      <x:c r="A1627" s="87" t="str">
        <x:v>VIS-RUS-NOV-016</x:v>
      </x:c>
      <x:c r="B1627" s="30" t="str"/>
      <x:c r="C1627" s="30" t="str">
        <x:v>Задания 2–3</x:v>
      </x:c>
      <x:c r="D1627" s="30" t="str">
        <x:v>РЯ2510302</x:v>
      </x:c>
      <x:c r="E1627" s="87"/>
      <x:c r="F1627" s="30" t="str">
        <x:v>Zadanie_RU11_27112025.pdf</x:v>
      </x:c>
      <x:c r="G1627" s="87" t="str">
        <x:v>16</x:v>
      </x:c>
      <x:c r="H1627" s="87" t="str">
        <x:v>v0.83</x:v>
      </x:c>
      <x:c r="I1627" s="87" t="str">
        <x:v>0</x:v>
      </x:c>
      <x:c r="J1627" s="30" t="str"/>
      <x:c r="K1627" s="30" t="str"/>
      <x:c r="L1627" s="87" t="str">
        <x:v>CROP_VERIFIED</x:v>
      </x:c>
      <x:c r="M1627" s="87" t="str">
        <x:v>ORIGINAL_PACKAGE</x:v>
      </x:c>
      <x:c r="N1627" s="87"/>
      <x:c r="O1627" s="87"/>
      <x:c r="P1627" s="87" t="str">
        <x:v>36e2c4a1aff1124c6e58a65b2423aa80e14961fa2f5426f6eb1ef068407a4243</x:v>
      </x:c>
      <x:c r="Q1627" s="30" t="str">
        <x:v>incoming/raw/recovery-drop-02/russian_nov_visual_assets_v083.zip!/russian_nov_visual_assets_v083/full/VIS-RUS-NOV-016_full.jpg</x:v>
      </x:c>
      <x:c r="R1627" s="30" t="str">
        <x:v>RESOLVED_UNLINKED_REGISTRY_VISUAL</x:v>
      </x:c>
      <x:c r="S1627" t="e">
        <x:f>HYPERLINK("visual_gallery/index.html#"&amp;A1627,"Галерея")</x:f>
      </x:c>
    </x:row>
    <x:row r="1628">
      <x:c r="A1628" s="87" t="str">
        <x:v>VIS-RUS-NOV-017</x:v>
      </x:c>
      <x:c r="B1628" s="30" t="str"/>
      <x:c r="C1628" s="30" t="str">
        <x:v>Задания 4–7</x:v>
      </x:c>
      <x:c r="D1628" s="30" t="str">
        <x:v>РЯ2510302</x:v>
      </x:c>
      <x:c r="E1628" s="87"/>
      <x:c r="F1628" s="30" t="str">
        <x:v>Zadanie_RU11_27112025.pdf</x:v>
      </x:c>
      <x:c r="G1628" s="87" t="str">
        <x:v>17</x:v>
      </x:c>
      <x:c r="H1628" s="87" t="str">
        <x:v>v0.83</x:v>
      </x:c>
      <x:c r="I1628" s="87" t="str">
        <x:v>0</x:v>
      </x:c>
      <x:c r="J1628" s="30" t="str"/>
      <x:c r="K1628" s="30" t="str"/>
      <x:c r="L1628" s="87" t="str">
        <x:v>CROP_VERIFIED</x:v>
      </x:c>
      <x:c r="M1628" s="87" t="str">
        <x:v>ORIGINAL_PACKAGE</x:v>
      </x:c>
      <x:c r="N1628" s="87"/>
      <x:c r="O1628" s="87"/>
      <x:c r="P1628" s="87" t="str">
        <x:v>d4c3d95d5f722e3ae70007fc18c653941f0f4ce3e8d1fe14187a40d9c7ef8e77</x:v>
      </x:c>
      <x:c r="Q1628" s="30" t="str">
        <x:v>incoming/raw/recovery-drop-02/russian_nov_visual_assets_v083.zip!/russian_nov_visual_assets_v083/full/VIS-RUS-NOV-017_full.jpg</x:v>
      </x:c>
      <x:c r="R1628" s="30" t="str">
        <x:v>RESOLVED_UNLINKED_REGISTRY_VISUAL</x:v>
      </x:c>
      <x:c r="S1628" t="e">
        <x:f>HYPERLINK("visual_gallery/index.html#"&amp;A1628,"Галерея")</x:f>
      </x:c>
    </x:row>
    <x:row r="1629">
      <x:c r="A1629" s="87" t="str">
        <x:v>VIS-RUS-NOV-018</x:v>
      </x:c>
      <x:c r="B1629" s="30" t="str"/>
      <x:c r="C1629" s="30" t="str">
        <x:v>Задание 8</x:v>
      </x:c>
      <x:c r="D1629" s="30" t="str">
        <x:v>РЯ2510302</x:v>
      </x:c>
      <x:c r="E1629" s="87"/>
      <x:c r="F1629" s="30" t="str">
        <x:v>Zadanie_RU11_27112025.pdf</x:v>
      </x:c>
      <x:c r="G1629" s="87" t="str">
        <x:v>18</x:v>
      </x:c>
      <x:c r="H1629" s="87" t="str">
        <x:v>v0.83</x:v>
      </x:c>
      <x:c r="I1629" s="87" t="str">
        <x:v>0</x:v>
      </x:c>
      <x:c r="J1629" s="30" t="str"/>
      <x:c r="K1629" s="30" t="str"/>
      <x:c r="L1629" s="87" t="str">
        <x:v>CROP_VERIFIED</x:v>
      </x:c>
      <x:c r="M1629" s="87" t="str">
        <x:v>ORIGINAL_PACKAGE</x:v>
      </x:c>
      <x:c r="N1629" s="87"/>
      <x:c r="O1629" s="87"/>
      <x:c r="P1629" s="87" t="str">
        <x:v>e49acb11700e381fd51a311e1feba706fd1006c5d68d6fe82e1e81674be49c67</x:v>
      </x:c>
      <x:c r="Q1629" s="30" t="str">
        <x:v>incoming/raw/recovery-drop-02/russian_nov_visual_assets_v083.zip!/russian_nov_visual_assets_v083/full/VIS-RUS-NOV-018_full.jpg</x:v>
      </x:c>
      <x:c r="R1629" s="30" t="str">
        <x:v>RESOLVED_UNLINKED_REGISTRY_VISUAL</x:v>
      </x:c>
      <x:c r="S1629" t="e">
        <x:f>HYPERLINK("visual_gallery/index.html#"&amp;A1629,"Галерея")</x:f>
      </x:c>
    </x:row>
    <x:row r="1630">
      <x:c r="A1630" s="87" t="str">
        <x:v>VIS-RUS-NOV-019</x:v>
      </x:c>
      <x:c r="B1630" s="30" t="str"/>
      <x:c r="C1630" s="30" t="str">
        <x:v>Задания 9–12</x:v>
      </x:c>
      <x:c r="D1630" s="30" t="str">
        <x:v>РЯ2510302</x:v>
      </x:c>
      <x:c r="E1630" s="87"/>
      <x:c r="F1630" s="30" t="str">
        <x:v>Zadanie_RU11_27112025.pdf</x:v>
      </x:c>
      <x:c r="G1630" s="87" t="str">
        <x:v>19</x:v>
      </x:c>
      <x:c r="H1630" s="87" t="str">
        <x:v>v0.83</x:v>
      </x:c>
      <x:c r="I1630" s="87" t="str">
        <x:v>0</x:v>
      </x:c>
      <x:c r="J1630" s="30" t="str"/>
      <x:c r="K1630" s="30" t="str"/>
      <x:c r="L1630" s="87" t="str">
        <x:v>CROP_VERIFIED</x:v>
      </x:c>
      <x:c r="M1630" s="87" t="str">
        <x:v>ORIGINAL_PACKAGE</x:v>
      </x:c>
      <x:c r="N1630" s="87"/>
      <x:c r="O1630" s="87"/>
      <x:c r="P1630" s="87" t="str">
        <x:v>6cbf43e0a3ebd6a1ea3c4275f1d8281d66fffab15b8acda35b7b88baaef02511</x:v>
      </x:c>
      <x:c r="Q1630" s="30" t="str">
        <x:v>incoming/raw/recovery-drop-02/russian_nov_visual_assets_v083.zip!/russian_nov_visual_assets_v083/full/VIS-RUS-NOV-019_full.jpg</x:v>
      </x:c>
      <x:c r="R1630" s="30" t="str">
        <x:v>RESOLVED_UNLINKED_REGISTRY_VISUAL</x:v>
      </x:c>
      <x:c r="S1630" t="e">
        <x:f>HYPERLINK("visual_gallery/index.html#"&amp;A1630,"Галерея")</x:f>
      </x:c>
    </x:row>
    <x:row r="1631">
      <x:c r="A1631" s="87" t="str">
        <x:v>VIS-RUS-NOV-020</x:v>
      </x:c>
      <x:c r="B1631" s="30" t="str"/>
      <x:c r="C1631" s="30" t="str">
        <x:v>Задания 13–15</x:v>
      </x:c>
      <x:c r="D1631" s="30" t="str">
        <x:v>РЯ2510302</x:v>
      </x:c>
      <x:c r="E1631" s="87"/>
      <x:c r="F1631" s="30" t="str">
        <x:v>Zadanie_RU11_27112025.pdf</x:v>
      </x:c>
      <x:c r="G1631" s="87" t="str">
        <x:v>20</x:v>
      </x:c>
      <x:c r="H1631" s="87" t="str">
        <x:v>v0.83</x:v>
      </x:c>
      <x:c r="I1631" s="87" t="str">
        <x:v>0</x:v>
      </x:c>
      <x:c r="J1631" s="30" t="str"/>
      <x:c r="K1631" s="30" t="str"/>
      <x:c r="L1631" s="87" t="str">
        <x:v>CROP_VERIFIED</x:v>
      </x:c>
      <x:c r="M1631" s="87" t="str">
        <x:v>ORIGINAL_PACKAGE</x:v>
      </x:c>
      <x:c r="N1631" s="87"/>
      <x:c r="O1631" s="87"/>
      <x:c r="P1631" s="87" t="str">
        <x:v>0ee4ffb20774ee179372fc8589759d2121f238e6820bdb15ec3da7fa5ed791d9</x:v>
      </x:c>
      <x:c r="Q1631" s="30" t="str">
        <x:v>incoming/raw/recovery-drop-02/russian_nov_visual_assets_v083.zip!/russian_nov_visual_assets_v083/full/VIS-RUS-NOV-020_full.jpg</x:v>
      </x:c>
      <x:c r="R1631" s="30" t="str">
        <x:v>RESOLVED_UNLINKED_REGISTRY_VISUAL</x:v>
      </x:c>
      <x:c r="S1631" t="e">
        <x:f>HYPERLINK("visual_gallery/index.html#"&amp;A1631,"Галерея")</x:f>
      </x:c>
    </x:row>
    <x:row r="1632">
      <x:c r="A1632" s="87" t="str">
        <x:v>VIS-RUS-NOV-021</x:v>
      </x:c>
      <x:c r="B1632" s="30" t="str"/>
      <x:c r="C1632" s="30" t="str">
        <x:v>Задания 16–19</x:v>
      </x:c>
      <x:c r="D1632" s="30" t="str">
        <x:v>РЯ2510302</x:v>
      </x:c>
      <x:c r="E1632" s="87"/>
      <x:c r="F1632" s="30" t="str">
        <x:v>Zadanie_RU11_27112025.pdf</x:v>
      </x:c>
      <x:c r="G1632" s="87" t="str">
        <x:v>21</x:v>
      </x:c>
      <x:c r="H1632" s="87" t="str">
        <x:v>v0.83</x:v>
      </x:c>
      <x:c r="I1632" s="87" t="str">
        <x:v>0</x:v>
      </x:c>
      <x:c r="J1632" s="30" t="str"/>
      <x:c r="K1632" s="30" t="str"/>
      <x:c r="L1632" s="87" t="str">
        <x:v>CROP_VERIFIED</x:v>
      </x:c>
      <x:c r="M1632" s="87" t="str">
        <x:v>ORIGINAL_PACKAGE</x:v>
      </x:c>
      <x:c r="N1632" s="87"/>
      <x:c r="O1632" s="87"/>
      <x:c r="P1632" s="87" t="str">
        <x:v>abbc3b4926afc21ae7d242386cc2dd3d6d25785d1b7d702c1773720cc8aed2dd</x:v>
      </x:c>
      <x:c r="Q1632" s="30" t="str">
        <x:v>incoming/raw/recovery-drop-02/russian_nov_visual_assets_v083.zip!/russian_nov_visual_assets_v083/full/VIS-RUS-NOV-021_full.jpg</x:v>
      </x:c>
      <x:c r="R1632" s="30" t="str">
        <x:v>RESOLVED_UNLINKED_REGISTRY_VISUAL</x:v>
      </x:c>
      <x:c r="S1632" t="e">
        <x:f>HYPERLINK("visual_gallery/index.html#"&amp;A1632,"Галерея")</x:f>
      </x:c>
    </x:row>
    <x:row r="1633">
      <x:c r="A1633" s="87" t="str">
        <x:v>VIS-RUS-NOV-022</x:v>
      </x:c>
      <x:c r="B1633" s="30" t="str"/>
      <x:c r="C1633" s="30" t="str">
        <x:v>Задания 20–21</x:v>
      </x:c>
      <x:c r="D1633" s="30" t="str">
        <x:v>РЯ2510302</x:v>
      </x:c>
      <x:c r="E1633" s="87"/>
      <x:c r="F1633" s="30" t="str">
        <x:v>Zadanie_RU11_27112025.pdf</x:v>
      </x:c>
      <x:c r="G1633" s="87" t="str">
        <x:v>22</x:v>
      </x:c>
      <x:c r="H1633" s="87" t="str">
        <x:v>v0.83</x:v>
      </x:c>
      <x:c r="I1633" s="87" t="str">
        <x:v>0</x:v>
      </x:c>
      <x:c r="J1633" s="30" t="str"/>
      <x:c r="K1633" s="30" t="str"/>
      <x:c r="L1633" s="87" t="str">
        <x:v>CROP_VERIFIED</x:v>
      </x:c>
      <x:c r="M1633" s="87" t="str">
        <x:v>ORIGINAL_PACKAGE</x:v>
      </x:c>
      <x:c r="N1633" s="87"/>
      <x:c r="O1633" s="87"/>
      <x:c r="P1633" s="87" t="str">
        <x:v>e1971bb9592121bbb2a66c16e0aa8400a58dd27cb7efac25c49908e144049f33</x:v>
      </x:c>
      <x:c r="Q1633" s="30" t="str">
        <x:v>incoming/raw/recovery-drop-02/russian_nov_visual_assets_v083.zip!/russian_nov_visual_assets_v083/full/VIS-RUS-NOV-022_full.jpg</x:v>
      </x:c>
      <x:c r="R1633" s="30" t="str">
        <x:v>RESOLVED_UNLINKED_REGISTRY_VISUAL</x:v>
      </x:c>
      <x:c r="S1633" t="e">
        <x:f>HYPERLINK("visual_gallery/index.html#"&amp;A1633,"Галерея")</x:f>
      </x:c>
    </x:row>
    <x:row r="1634">
      <x:c r="A1634" s="87" t="str">
        <x:v>VIS-RUS-NOV-023</x:v>
      </x:c>
      <x:c r="B1634" s="30" t="str"/>
      <x:c r="C1634" s="30" t="str">
        <x:v>Задание 22 и начало исходного текста</x:v>
      </x:c>
      <x:c r="D1634" s="30" t="str">
        <x:v>РЯ2510302</x:v>
      </x:c>
      <x:c r="E1634" s="87"/>
      <x:c r="F1634" s="30" t="str">
        <x:v>Zadanie_RU11_27112025.pdf</x:v>
      </x:c>
      <x:c r="G1634" s="87" t="str">
        <x:v>23</x:v>
      </x:c>
      <x:c r="H1634" s="87" t="str">
        <x:v>v0.83</x:v>
      </x:c>
      <x:c r="I1634" s="87" t="str">
        <x:v>0</x:v>
      </x:c>
      <x:c r="J1634" s="30" t="str"/>
      <x:c r="K1634" s="30" t="str"/>
      <x:c r="L1634" s="87" t="str">
        <x:v>CROP_VERIFIED</x:v>
      </x:c>
      <x:c r="M1634" s="87" t="str">
        <x:v>ORIGINAL_PACKAGE</x:v>
      </x:c>
      <x:c r="N1634" s="87"/>
      <x:c r="O1634" s="87"/>
      <x:c r="P1634" s="87" t="str">
        <x:v>10ba2edb702c30dcc54a139bedb928b7680a6993aa0a7eb7d9c1bae1c018fb49</x:v>
      </x:c>
      <x:c r="Q1634" s="30" t="str">
        <x:v>incoming/raw/recovery-drop-02/russian_nov_visual_assets_v083.zip!/russian_nov_visual_assets_v083/full/VIS-RUS-NOV-023_full.jpg</x:v>
      </x:c>
      <x:c r="R1634" s="30" t="str">
        <x:v>RESOLVED_UNLINKED_REGISTRY_VISUAL</x:v>
      </x:c>
      <x:c r="S1634" t="e">
        <x:f>HYPERLINK("visual_gallery/index.html#"&amp;A1634,"Галерея")</x:f>
      </x:c>
    </x:row>
    <x:row r="1635">
      <x:c r="A1635" s="87" t="str">
        <x:v>VIS-RUS-NOV-024</x:v>
      </x:c>
      <x:c r="B1635" s="30" t="str"/>
      <x:c r="C1635" s="30" t="str">
        <x:v>Продолжение исходного текста</x:v>
      </x:c>
      <x:c r="D1635" s="30" t="str">
        <x:v>РЯ2510302</x:v>
      </x:c>
      <x:c r="E1635" s="87"/>
      <x:c r="F1635" s="30" t="str">
        <x:v>Zadanie_RU11_27112025.pdf</x:v>
      </x:c>
      <x:c r="G1635" s="87" t="str">
        <x:v>24</x:v>
      </x:c>
      <x:c r="H1635" s="87" t="str">
        <x:v>v0.83</x:v>
      </x:c>
      <x:c r="I1635" s="87" t="str">
        <x:v>0</x:v>
      </x:c>
      <x:c r="J1635" s="30" t="str"/>
      <x:c r="K1635" s="30" t="str"/>
      <x:c r="L1635" s="87" t="str">
        <x:v>CROP_VERIFIED</x:v>
      </x:c>
      <x:c r="M1635" s="87" t="str">
        <x:v>ORIGINAL_PACKAGE</x:v>
      </x:c>
      <x:c r="N1635" s="87"/>
      <x:c r="O1635" s="87"/>
      <x:c r="P1635" s="87" t="str">
        <x:v>54ca64d6ecbf5735b378c7efb3e821c360a60437660ca9e21455e52a58721987</x:v>
      </x:c>
      <x:c r="Q1635" s="30" t="str">
        <x:v>incoming/raw/recovery-drop-02/russian_nov_visual_assets_v083.zip!/russian_nov_visual_assets_v083/full/VIS-RUS-NOV-024_full.jpg</x:v>
      </x:c>
      <x:c r="R1635" s="30" t="str">
        <x:v>RESOLVED_UNLINKED_REGISTRY_VISUAL</x:v>
      </x:c>
      <x:c r="S1635" t="e">
        <x:f>HYPERLINK("visual_gallery/index.html#"&amp;A1635,"Галерея")</x:f>
      </x:c>
    </x:row>
    <x:row r="1636">
      <x:c r="A1636" s="87" t="str">
        <x:v>VIS-RUS-NOV-025</x:v>
      </x:c>
      <x:c r="B1636" s="30" t="str"/>
      <x:c r="C1636" s="30" t="str">
        <x:v>Конец текста и задания 23–24</x:v>
      </x:c>
      <x:c r="D1636" s="30" t="str">
        <x:v>РЯ2510302</x:v>
      </x:c>
      <x:c r="E1636" s="87"/>
      <x:c r="F1636" s="30" t="str">
        <x:v>Zadanie_RU11_27112025.pdf</x:v>
      </x:c>
      <x:c r="G1636" s="87" t="str">
        <x:v>25</x:v>
      </x:c>
      <x:c r="H1636" s="87" t="str">
        <x:v>v0.83</x:v>
      </x:c>
      <x:c r="I1636" s="87" t="str">
        <x:v>0</x:v>
      </x:c>
      <x:c r="J1636" s="30" t="str"/>
      <x:c r="K1636" s="30" t="str"/>
      <x:c r="L1636" s="87" t="str">
        <x:v>CROP_VERIFIED</x:v>
      </x:c>
      <x:c r="M1636" s="87" t="str">
        <x:v>ORIGINAL_PACKAGE</x:v>
      </x:c>
      <x:c r="N1636" s="87"/>
      <x:c r="O1636" s="87"/>
      <x:c r="P1636" s="87" t="str">
        <x:v>488f753615a622b77acc8ef507c8e508ada98b2c93af99f4126a27d0e81218fc</x:v>
      </x:c>
      <x:c r="Q1636" s="30" t="str">
        <x:v>incoming/raw/recovery-drop-02/russian_nov_visual_assets_v083.zip!/russian_nov_visual_assets_v083/full/VIS-RUS-NOV-025_full.jpg</x:v>
      </x:c>
      <x:c r="R1636" s="30" t="str">
        <x:v>RESOLVED_UNLINKED_REGISTRY_VISUAL</x:v>
      </x:c>
      <x:c r="S1636" t="e">
        <x:f>HYPERLINK("visual_gallery/index.html#"&amp;A1636,"Галерея")</x:f>
      </x:c>
    </x:row>
    <x:row r="1637">
      <x:c r="A1637" s="87" t="str">
        <x:v>VIS-RUS-NOV-026</x:v>
      </x:c>
      <x:c r="B1637" s="30" t="str"/>
      <x:c r="C1637" s="30" t="str">
        <x:v>Задания 25–27</x:v>
      </x:c>
      <x:c r="D1637" s="30" t="str">
        <x:v>РЯ2510302</x:v>
      </x:c>
      <x:c r="E1637" s="87"/>
      <x:c r="F1637" s="30" t="str">
        <x:v>Zadanie_RU11_27112025.pdf</x:v>
      </x:c>
      <x:c r="G1637" s="87" t="str">
        <x:v>26</x:v>
      </x:c>
      <x:c r="H1637" s="87" t="str">
        <x:v>v0.83</x:v>
      </x:c>
      <x:c r="I1637" s="87" t="str">
        <x:v>0</x:v>
      </x:c>
      <x:c r="J1637" s="30" t="str"/>
      <x:c r="K1637" s="30" t="str"/>
      <x:c r="L1637" s="87" t="str">
        <x:v>CROP_VERIFIED</x:v>
      </x:c>
      <x:c r="M1637" s="87" t="str">
        <x:v>ORIGINAL_PACKAGE</x:v>
      </x:c>
      <x:c r="N1637" s="87"/>
      <x:c r="O1637" s="87"/>
      <x:c r="P1637" s="87" t="str">
        <x:v>3494f769d5fd0029cb105fa3bef76c443025a977991f0ff8b66d72158e0601f1</x:v>
      </x:c>
      <x:c r="Q1637" s="30" t="str">
        <x:v>incoming/raw/recovery-drop-02/russian_nov_visual_assets_v083.zip!/russian_nov_visual_assets_v083/full/VIS-RUS-NOV-026_full.jpg</x:v>
      </x:c>
      <x:c r="R1637" s="30" t="str">
        <x:v>RESOLVED_UNLINKED_REGISTRY_VISUAL</x:v>
      </x:c>
      <x:c r="S1637" t="e">
        <x:f>HYPERLINK("visual_gallery/index.html#"&amp;A1637,"Галерея")</x:f>
      </x:c>
    </x:row>
    <x:row r="1638">
      <x:c r="A1638" s="87" t="str">
        <x:v>VIS-RUS-NOV-027</x:v>
      </x:c>
      <x:c r="B1638" s="30" t="str"/>
      <x:c r="C1638" s="30" t="str">
        <x:v>Официальные ответы к заданиям 1–26</x:v>
      </x:c>
      <x:c r="D1638" s="30" t="str">
        <x:v>РЯ2510301</x:v>
      </x:c>
      <x:c r="E1638" s="87"/>
      <x:c r="F1638" s="30" t="str">
        <x:v>Kriterii_RU11_27112025.pdf</x:v>
      </x:c>
      <x:c r="G1638" s="87" t="str">
        <x:v>1</x:v>
      </x:c>
      <x:c r="H1638" s="87" t="str">
        <x:v>v0.83</x:v>
      </x:c>
      <x:c r="I1638" s="87" t="str">
        <x:v>0</x:v>
      </x:c>
      <x:c r="J1638" s="30" t="str"/>
      <x:c r="K1638" s="30" t="str"/>
      <x:c r="L1638" s="87" t="str">
        <x:v>CROP_VERIFIED</x:v>
      </x:c>
      <x:c r="M1638" s="87" t="str">
        <x:v>ORIGINAL_PACKAGE</x:v>
      </x:c>
      <x:c r="N1638" s="87"/>
      <x:c r="O1638" s="87"/>
      <x:c r="P1638" s="87" t="str">
        <x:v>51f50f930b37de346ff6c56c28e0d73c0ca9f83f9d823318dea1313b366ae645</x:v>
      </x:c>
      <x:c r="Q1638" s="30" t="str">
        <x:v>incoming/raw/recovery-drop-02/russian_nov_visual_assets_v083.zip!/russian_nov_visual_assets_v083/full/VIS-RUS-NOV-027_full.jpg</x:v>
      </x:c>
      <x:c r="R1638" s="30" t="str">
        <x:v>RESOLVED_UNLINKED_REGISTRY_VISUAL</x:v>
      </x:c>
      <x:c r="S1638" t="e">
        <x:f>HYPERLINK("visual_gallery/index.html#"&amp;A1638,"Галерея")</x:f>
      </x:c>
    </x:row>
    <x:row r="1639">
      <x:c r="A1639" s="87" t="str">
        <x:v>VIS-RUS-NOV-028</x:v>
      </x:c>
      <x:c r="B1639" s="30" t="str"/>
      <x:c r="C1639" s="30" t="str">
        <x:v>Официальные ответы к заданиям 1–26</x:v>
      </x:c>
      <x:c r="D1639" s="30" t="str">
        <x:v>РЯ2510302</x:v>
      </x:c>
      <x:c r="E1639" s="87"/>
      <x:c r="F1639" s="30" t="str">
        <x:v>Kriterii_RU11_27112025.pdf</x:v>
      </x:c>
      <x:c r="G1639" s="87" t="str">
        <x:v>2</x:v>
      </x:c>
      <x:c r="H1639" s="87" t="str">
        <x:v>v0.83</x:v>
      </x:c>
      <x:c r="I1639" s="87" t="str">
        <x:v>0</x:v>
      </x:c>
      <x:c r="J1639" s="30" t="str"/>
      <x:c r="K1639" s="30" t="str"/>
      <x:c r="L1639" s="87" t="str">
        <x:v>CROP_VERIFIED</x:v>
      </x:c>
      <x:c r="M1639" s="87" t="str">
        <x:v>ORIGINAL_PACKAGE</x:v>
      </x:c>
      <x:c r="N1639" s="87"/>
      <x:c r="O1639" s="87"/>
      <x:c r="P1639" s="87" t="str">
        <x:v>315440c18fe527281da6747146d06c5d2ce0543c44248cf1b83dd4f2804c72a4</x:v>
      </x:c>
      <x:c r="Q1639" s="30" t="str">
        <x:v>incoming/raw/recovery-drop-02/russian_nov_visual_assets_v083.zip!/russian_nov_visual_assets_v083/full/VIS-RUS-NOV-028_full.jpg</x:v>
      </x:c>
      <x:c r="R1639" s="30" t="str">
        <x:v>RESOLVED_UNLINKED_REGISTRY_VISUAL</x:v>
      </x:c>
      <x:c r="S1639" t="e">
        <x:f>HYPERLINK("visual_gallery/index.html#"&amp;A1639,"Галерея")</x:f>
      </x:c>
    </x:row>
    <x:row r="1640">
      <x:c r="A1640" s="87" t="str">
        <x:v>VIS-RUS-NOV-029</x:v>
      </x:c>
      <x:c r="B1640" s="30" t="str"/>
      <x:c r="C1640" s="30" t="str">
        <x:v>Критерии и авторская позиция задания 27</x:v>
      </x:c>
      <x:c r="D1640" s="30" t="str">
        <x:v>РЯ2510301</x:v>
      </x:c>
      <x:c r="E1640" s="87"/>
      <x:c r="F1640" s="30" t="str">
        <x:v>Kriterii_RU11_27112025.pdf</x:v>
      </x:c>
      <x:c r="G1640" s="87" t="str">
        <x:v>3</x:v>
      </x:c>
      <x:c r="H1640" s="87" t="str">
        <x:v>v0.83</x:v>
      </x:c>
      <x:c r="I1640" s="87" t="str">
        <x:v>0</x:v>
      </x:c>
      <x:c r="J1640" s="30" t="str"/>
      <x:c r="K1640" s="30" t="str"/>
      <x:c r="L1640" s="87" t="str">
        <x:v>CROP_VERIFIED</x:v>
      </x:c>
      <x:c r="M1640" s="87" t="str">
        <x:v>ORIGINAL_PACKAGE</x:v>
      </x:c>
      <x:c r="N1640" s="87"/>
      <x:c r="O1640" s="87"/>
      <x:c r="P1640" s="87" t="str">
        <x:v>cacb83b4e13b33abf1fc8a779cb1d7da3a956e831d70a1eefc6432235cc95823</x:v>
      </x:c>
      <x:c r="Q1640" s="30" t="str">
        <x:v>incoming/raw/recovery-drop-02/russian_nov_visual_assets_v083.zip!/russian_nov_visual_assets_v083/full/VIS-RUS-NOV-029_full.jpg</x:v>
      </x:c>
      <x:c r="R1640" s="30" t="str">
        <x:v>RESOLVED_UNLINKED_REGISTRY_VISUAL</x:v>
      </x:c>
      <x:c r="S1640" t="e">
        <x:f>HYPERLINK("visual_gallery/index.html#"&amp;A1640,"Галерея")</x:f>
      </x:c>
    </x:row>
    <x:row r="1641">
      <x:c r="A1641" s="87" t="str">
        <x:v>VIS-RUS-NOV-030</x:v>
      </x:c>
      <x:c r="B1641" s="30" t="str"/>
      <x:c r="C1641" s="30" t="str">
        <x:v>Критерии и авторская позиция задания 27</x:v>
      </x:c>
      <x:c r="D1641" s="30" t="str">
        <x:v>РЯ2510302</x:v>
      </x:c>
      <x:c r="E1641" s="87"/>
      <x:c r="F1641" s="30" t="str">
        <x:v>Kriterii_RU11_27112025.pdf</x:v>
      </x:c>
      <x:c r="G1641" s="87" t="str">
        <x:v>4</x:v>
      </x:c>
      <x:c r="H1641" s="87" t="str">
        <x:v>v0.83</x:v>
      </x:c>
      <x:c r="I1641" s="87" t="str">
        <x:v>0</x:v>
      </x:c>
      <x:c r="J1641" s="30" t="str"/>
      <x:c r="K1641" s="30" t="str"/>
      <x:c r="L1641" s="87" t="str">
        <x:v>CROP_VERIFIED</x:v>
      </x:c>
      <x:c r="M1641" s="87" t="str">
        <x:v>ORIGINAL_PACKAGE</x:v>
      </x:c>
      <x:c r="N1641" s="87"/>
      <x:c r="O1641" s="87"/>
      <x:c r="P1641" s="87" t="str">
        <x:v>86e8e98ed816964aba71e5f93d178fd12687adaa122a34a78f77f6198ef011ec</x:v>
      </x:c>
      <x:c r="Q1641" s="30" t="str">
        <x:v>incoming/raw/recovery-drop-02/russian_nov_visual_assets_v083.zip!/russian_nov_visual_assets_v083/full/VIS-RUS-NOV-030_full.jpg</x:v>
      </x:c>
      <x:c r="R1641" s="30" t="str">
        <x:v>RESOLVED_UNLINKED_REGISTRY_VISUAL</x:v>
      </x:c>
      <x:c r="S1641" t="e">
        <x:f>HYPERLINK("visual_gallery/index.html#"&amp;A1641,"Галерея")</x:f>
      </x:c>
    </x:row>
    <x:row r="1642">
      <x:c r="A1642" s="87" t="str">
        <x:v>VIS-SOC-DEC-CRIT-12-P001</x:v>
      </x:c>
      <x:c r="B1642" s="30" t="str"/>
      <x:c r="C1642" s="30"/>
      <x:c r="D1642" s="30" t="str">
        <x:v>ОБ2510301</x:v>
      </x:c>
      <x:c r="E1642" s="87" t="str">
        <x:v>CRIT</x:v>
      </x:c>
      <x:c r="F1642" s="30" t="str">
        <x:v>Kriterii_OB11_10122025_1_2.pdf</x:v>
      </x:c>
      <x:c r="G1642" s="87"/>
      <x:c r="H1642" s="87" t="str">
        <x:v>v0.86</x:v>
      </x:c>
      <x:c r="I1642" s="87" t="str">
        <x:v>0</x:v>
      </x:c>
      <x:c r="J1642" s="30" t="str"/>
      <x:c r="K1642" s="30" t="str"/>
      <x:c r="L1642" s="87" t="str">
        <x:v>CROP_VERIFIED</x:v>
      </x:c>
      <x:c r="M1642" s="87" t="str">
        <x:v>ORIGINAL_PACKAGE</x:v>
      </x:c>
      <x:c r="N1642" s="87" t="str">
        <x:v>pages/VIS-SOC-DEC-CRIT-12-P001.png</x:v>
      </x:c>
      <x:c r="O1642" s="87" t="str">
        <x:v>thumbnails/VIS-SOC-DEC-CRIT-12-P001.jpg</x:v>
      </x:c>
      <x:c r="P1642" s="87"/>
      <x:c r="Q1642" s="30" t="str">
        <x:v>incoming/raw/recovery-drop-01/society_dec_visual_assets_v086(1).zip!/pages/VIS-SOC-DEC-CRIT-12-P001.png</x:v>
      </x:c>
      <x:c r="R1642" s="30" t="str">
        <x:v>RESOLVED_UNLINKED_REGISTRY_VISUAL</x:v>
      </x:c>
      <x:c r="S1642" t="e">
        <x:f>HYPERLINK("visual_gallery/index.html#"&amp;A1642,"Галерея")</x:f>
      </x:c>
    </x:row>
    <x:row r="1643">
      <x:c r="A1643" s="87" t="str">
        <x:v>VIS-SOC-DEC-CRIT-12-P002</x:v>
      </x:c>
      <x:c r="B1643" s="30" t="str"/>
      <x:c r="C1643" s="30"/>
      <x:c r="D1643" s="30" t="str">
        <x:v>ОБ2510302</x:v>
      </x:c>
      <x:c r="E1643" s="87" t="str">
        <x:v>CRIT</x:v>
      </x:c>
      <x:c r="F1643" s="30" t="str">
        <x:v>Kriterii_OB11_10122025_1_2.pdf</x:v>
      </x:c>
      <x:c r="G1643" s="87"/>
      <x:c r="H1643" s="87" t="str">
        <x:v>v0.86</x:v>
      </x:c>
      <x:c r="I1643" s="87" t="str">
        <x:v>0</x:v>
      </x:c>
      <x:c r="J1643" s="30" t="str"/>
      <x:c r="K1643" s="30" t="str"/>
      <x:c r="L1643" s="87" t="str">
        <x:v>CROP_VERIFIED</x:v>
      </x:c>
      <x:c r="M1643" s="87" t="str">
        <x:v>ORIGINAL_PACKAGE</x:v>
      </x:c>
      <x:c r="N1643" s="87" t="str">
        <x:v>pages/VIS-SOC-DEC-CRIT-12-P002.png</x:v>
      </x:c>
      <x:c r="O1643" s="87" t="str">
        <x:v>thumbnails/VIS-SOC-DEC-CRIT-12-P002.jpg</x:v>
      </x:c>
      <x:c r="P1643" s="87"/>
      <x:c r="Q1643" s="30" t="str">
        <x:v>incoming/raw/recovery-drop-01/society_dec_visual_assets_v086(1).zip!/pages/VIS-SOC-DEC-CRIT-12-P002.png</x:v>
      </x:c>
      <x:c r="R1643" s="30" t="str">
        <x:v>RESOLVED_UNLINKED_REGISTRY_VISUAL</x:v>
      </x:c>
      <x:c r="S1643" t="e">
        <x:f>HYPERLINK("visual_gallery/index.html#"&amp;A1643,"Галерея")</x:f>
      </x:c>
    </x:row>
    <x:row r="1644">
      <x:c r="A1644" s="87" t="str">
        <x:v>VIS-SOC-DEC-CRIT-12-P003</x:v>
      </x:c>
      <x:c r="B1644" s="30" t="str"/>
      <x:c r="C1644" s="30"/>
      <x:c r="D1644" s="30" t="str">
        <x:v>ОБ2510301</x:v>
      </x:c>
      <x:c r="E1644" s="87" t="str">
        <x:v>CRIT</x:v>
      </x:c>
      <x:c r="F1644" s="30" t="str">
        <x:v>Kriterii_OB11_10122025_1_2.pdf</x:v>
      </x:c>
      <x:c r="G1644" s="87"/>
      <x:c r="H1644" s="87" t="str">
        <x:v>v0.86</x:v>
      </x:c>
      <x:c r="I1644" s="87" t="str">
        <x:v>0</x:v>
      </x:c>
      <x:c r="J1644" s="30" t="str"/>
      <x:c r="K1644" s="30" t="str"/>
      <x:c r="L1644" s="87" t="str">
        <x:v>CROP_VERIFIED</x:v>
      </x:c>
      <x:c r="M1644" s="87" t="str">
        <x:v>ORIGINAL_PACKAGE</x:v>
      </x:c>
      <x:c r="N1644" s="87" t="str">
        <x:v>pages/VIS-SOC-DEC-CRIT-12-P003.png</x:v>
      </x:c>
      <x:c r="O1644" s="87" t="str">
        <x:v>thumbnails/VIS-SOC-DEC-CRIT-12-P003.jpg</x:v>
      </x:c>
      <x:c r="P1644" s="87"/>
      <x:c r="Q1644" s="30" t="str">
        <x:v>incoming/raw/recovery-drop-01/society_dec_visual_assets_v086(1).zip!/pages/VIS-SOC-DEC-CRIT-12-P003.png</x:v>
      </x:c>
      <x:c r="R1644" s="30" t="str">
        <x:v>RESOLVED_UNLINKED_REGISTRY_VISUAL</x:v>
      </x:c>
      <x:c r="S1644" t="e">
        <x:f>HYPERLINK("visual_gallery/index.html#"&amp;A1644,"Галерея")</x:f>
      </x:c>
    </x:row>
    <x:row r="1645">
      <x:c r="A1645" s="87" t="str">
        <x:v>VIS-SOC-DEC-CRIT-12-P004</x:v>
      </x:c>
      <x:c r="B1645" s="30" t="str"/>
      <x:c r="C1645" s="30"/>
      <x:c r="D1645" s="30" t="str">
        <x:v>ОБ2510301</x:v>
      </x:c>
      <x:c r="E1645" s="87" t="str">
        <x:v>CRIT</x:v>
      </x:c>
      <x:c r="F1645" s="30" t="str">
        <x:v>Kriterii_OB11_10122025_1_2.pdf</x:v>
      </x:c>
      <x:c r="G1645" s="87"/>
      <x:c r="H1645" s="87" t="str">
        <x:v>v0.86</x:v>
      </x:c>
      <x:c r="I1645" s="87" t="str">
        <x:v>0</x:v>
      </x:c>
      <x:c r="J1645" s="30" t="str"/>
      <x:c r="K1645" s="30" t="str"/>
      <x:c r="L1645" s="87" t="str">
        <x:v>CROP_VERIFIED</x:v>
      </x:c>
      <x:c r="M1645" s="87" t="str">
        <x:v>ORIGINAL_PACKAGE</x:v>
      </x:c>
      <x:c r="N1645" s="87" t="str">
        <x:v>pages/VIS-SOC-DEC-CRIT-12-P004.png</x:v>
      </x:c>
      <x:c r="O1645" s="87" t="str">
        <x:v>thumbnails/VIS-SOC-DEC-CRIT-12-P004.jpg</x:v>
      </x:c>
      <x:c r="P1645" s="87"/>
      <x:c r="Q1645" s="30" t="str">
        <x:v>incoming/raw/recovery-drop-01/society_dec_visual_assets_v086(1).zip!/pages/VIS-SOC-DEC-CRIT-12-P004.png</x:v>
      </x:c>
      <x:c r="R1645" s="30" t="str">
        <x:v>RESOLVED_UNLINKED_REGISTRY_VISUAL</x:v>
      </x:c>
      <x:c r="S1645" t="e">
        <x:f>HYPERLINK("visual_gallery/index.html#"&amp;A1645,"Галерея")</x:f>
      </x:c>
    </x:row>
    <x:row r="1646">
      <x:c r="A1646" s="87" t="str">
        <x:v>VIS-SOC-DEC-CRIT-12-P005</x:v>
      </x:c>
      <x:c r="B1646" s="30" t="str"/>
      <x:c r="C1646" s="30"/>
      <x:c r="D1646" s="30" t="str">
        <x:v>ОБ2510301</x:v>
      </x:c>
      <x:c r="E1646" s="87" t="str">
        <x:v>CRIT</x:v>
      </x:c>
      <x:c r="F1646" s="30" t="str">
        <x:v>Kriterii_OB11_10122025_1_2.pdf</x:v>
      </x:c>
      <x:c r="G1646" s="87"/>
      <x:c r="H1646" s="87" t="str">
        <x:v>v0.86</x:v>
      </x:c>
      <x:c r="I1646" s="87" t="str">
        <x:v>0</x:v>
      </x:c>
      <x:c r="J1646" s="30" t="str"/>
      <x:c r="K1646" s="30" t="str"/>
      <x:c r="L1646" s="87" t="str">
        <x:v>CROP_VERIFIED</x:v>
      </x:c>
      <x:c r="M1646" s="87" t="str">
        <x:v>ORIGINAL_PACKAGE</x:v>
      </x:c>
      <x:c r="N1646" s="87" t="str">
        <x:v>pages/VIS-SOC-DEC-CRIT-12-P005.png</x:v>
      </x:c>
      <x:c r="O1646" s="87" t="str">
        <x:v>thumbnails/VIS-SOC-DEC-CRIT-12-P005.jpg</x:v>
      </x:c>
      <x:c r="P1646" s="87"/>
      <x:c r="Q1646" s="30" t="str">
        <x:v>incoming/raw/recovery-drop-01/society_dec_visual_assets_v086(1).zip!/pages/VIS-SOC-DEC-CRIT-12-P005.png</x:v>
      </x:c>
      <x:c r="R1646" s="30" t="str">
        <x:v>RESOLVED_UNLINKED_REGISTRY_VISUAL</x:v>
      </x:c>
      <x:c r="S1646" t="e">
        <x:f>HYPERLINK("visual_gallery/index.html#"&amp;A1646,"Галерея")</x:f>
      </x:c>
    </x:row>
    <x:row r="1647">
      <x:c r="A1647" s="87" t="str">
        <x:v>VIS-SOC-DEC-CRIT-12-P006</x:v>
      </x:c>
      <x:c r="B1647" s="30" t="str"/>
      <x:c r="C1647" s="30"/>
      <x:c r="D1647" s="30" t="str">
        <x:v>ОБ2510301</x:v>
      </x:c>
      <x:c r="E1647" s="87" t="str">
        <x:v>CRIT</x:v>
      </x:c>
      <x:c r="F1647" s="30" t="str">
        <x:v>Kriterii_OB11_10122025_1_2.pdf</x:v>
      </x:c>
      <x:c r="G1647" s="87"/>
      <x:c r="H1647" s="87" t="str">
        <x:v>v0.86</x:v>
      </x:c>
      <x:c r="I1647" s="87" t="str">
        <x:v>0</x:v>
      </x:c>
      <x:c r="J1647" s="30" t="str"/>
      <x:c r="K1647" s="30" t="str"/>
      <x:c r="L1647" s="87" t="str">
        <x:v>CROP_VERIFIED</x:v>
      </x:c>
      <x:c r="M1647" s="87" t="str">
        <x:v>ORIGINAL_PACKAGE</x:v>
      </x:c>
      <x:c r="N1647" s="87" t="str">
        <x:v>pages/VIS-SOC-DEC-CRIT-12-P006.png</x:v>
      </x:c>
      <x:c r="O1647" s="87" t="str">
        <x:v>thumbnails/VIS-SOC-DEC-CRIT-12-P006.jpg</x:v>
      </x:c>
      <x:c r="P1647" s="87"/>
      <x:c r="Q1647" s="30" t="str">
        <x:v>incoming/raw/recovery-drop-01/society_dec_visual_assets_v086(1).zip!/pages/VIS-SOC-DEC-CRIT-12-P006.png</x:v>
      </x:c>
      <x:c r="R1647" s="30" t="str">
        <x:v>RESOLVED_UNLINKED_REGISTRY_VISUAL</x:v>
      </x:c>
      <x:c r="S1647" t="e">
        <x:f>HYPERLINK("visual_gallery/index.html#"&amp;A1647,"Галерея")</x:f>
      </x:c>
    </x:row>
    <x:row r="1648">
      <x:c r="A1648" s="87" t="str">
        <x:v>VIS-SOC-DEC-CRIT-12-P007</x:v>
      </x:c>
      <x:c r="B1648" s="30" t="str"/>
      <x:c r="C1648" s="30"/>
      <x:c r="D1648" s="30" t="str">
        <x:v>ОБ2510301</x:v>
      </x:c>
      <x:c r="E1648" s="87" t="str">
        <x:v>CRIT</x:v>
      </x:c>
      <x:c r="F1648" s="30" t="str">
        <x:v>Kriterii_OB11_10122025_1_2.pdf</x:v>
      </x:c>
      <x:c r="G1648" s="87"/>
      <x:c r="H1648" s="87" t="str">
        <x:v>v0.86</x:v>
      </x:c>
      <x:c r="I1648" s="87" t="str">
        <x:v>0</x:v>
      </x:c>
      <x:c r="J1648" s="30" t="str"/>
      <x:c r="K1648" s="30" t="str"/>
      <x:c r="L1648" s="87" t="str">
        <x:v>CROP_VERIFIED</x:v>
      </x:c>
      <x:c r="M1648" s="87" t="str">
        <x:v>ORIGINAL_PACKAGE</x:v>
      </x:c>
      <x:c r="N1648" s="87" t="str">
        <x:v>pages/VIS-SOC-DEC-CRIT-12-P007.png</x:v>
      </x:c>
      <x:c r="O1648" s="87" t="str">
        <x:v>thumbnails/VIS-SOC-DEC-CRIT-12-P007.jpg</x:v>
      </x:c>
      <x:c r="P1648" s="87"/>
      <x:c r="Q1648" s="30" t="str">
        <x:v>incoming/raw/recovery-drop-01/society_dec_visual_assets_v086(1).zip!/pages/VIS-SOC-DEC-CRIT-12-P007.png</x:v>
      </x:c>
      <x:c r="R1648" s="30" t="str">
        <x:v>RESOLVED_UNLINKED_REGISTRY_VISUAL</x:v>
      </x:c>
      <x:c r="S1648" t="e">
        <x:f>HYPERLINK("visual_gallery/index.html#"&amp;A1648,"Галерея")</x:f>
      </x:c>
    </x:row>
    <x:row r="1649">
      <x:c r="A1649" s="87" t="str">
        <x:v>VIS-SOC-DEC-CRIT-12-P008</x:v>
      </x:c>
      <x:c r="B1649" s="30" t="str"/>
      <x:c r="C1649" s="30"/>
      <x:c r="D1649" s="30" t="str">
        <x:v>ОБ2510301</x:v>
      </x:c>
      <x:c r="E1649" s="87" t="str">
        <x:v>CRIT</x:v>
      </x:c>
      <x:c r="F1649" s="30" t="str">
        <x:v>Kriterii_OB11_10122025_1_2.pdf</x:v>
      </x:c>
      <x:c r="G1649" s="87"/>
      <x:c r="H1649" s="87" t="str">
        <x:v>v0.86</x:v>
      </x:c>
      <x:c r="I1649" s="87" t="str">
        <x:v>0</x:v>
      </x:c>
      <x:c r="J1649" s="30" t="str"/>
      <x:c r="K1649" s="30" t="str"/>
      <x:c r="L1649" s="87" t="str">
        <x:v>CROP_VERIFIED</x:v>
      </x:c>
      <x:c r="M1649" s="87" t="str">
        <x:v>ORIGINAL_PACKAGE</x:v>
      </x:c>
      <x:c r="N1649" s="87" t="str">
        <x:v>pages/VIS-SOC-DEC-CRIT-12-P008.png</x:v>
      </x:c>
      <x:c r="O1649" s="87" t="str">
        <x:v>thumbnails/VIS-SOC-DEC-CRIT-12-P008.jpg</x:v>
      </x:c>
      <x:c r="P1649" s="87"/>
      <x:c r="Q1649" s="30" t="str">
        <x:v>incoming/raw/recovery-drop-01/society_dec_visual_assets_v086(1).zip!/pages/VIS-SOC-DEC-CRIT-12-P008.png</x:v>
      </x:c>
      <x:c r="R1649" s="30" t="str">
        <x:v>RESOLVED_UNLINKED_REGISTRY_VISUAL</x:v>
      </x:c>
      <x:c r="S1649" t="e">
        <x:f>HYPERLINK("visual_gallery/index.html#"&amp;A1649,"Галерея")</x:f>
      </x:c>
    </x:row>
    <x:row r="1650">
      <x:c r="A1650" s="87" t="str">
        <x:v>VIS-SOC-DEC-CRIT-12-P009</x:v>
      </x:c>
      <x:c r="B1650" s="30" t="str"/>
      <x:c r="C1650" s="30"/>
      <x:c r="D1650" s="30" t="str">
        <x:v>ОБ2510301</x:v>
      </x:c>
      <x:c r="E1650" s="87" t="str">
        <x:v>CRIT</x:v>
      </x:c>
      <x:c r="F1650" s="30" t="str">
        <x:v>Kriterii_OB11_10122025_1_2.pdf</x:v>
      </x:c>
      <x:c r="G1650" s="87"/>
      <x:c r="H1650" s="87" t="str">
        <x:v>v0.86</x:v>
      </x:c>
      <x:c r="I1650" s="87" t="str">
        <x:v>0</x:v>
      </x:c>
      <x:c r="J1650" s="30" t="str"/>
      <x:c r="K1650" s="30" t="str"/>
      <x:c r="L1650" s="87" t="str">
        <x:v>CROP_VERIFIED</x:v>
      </x:c>
      <x:c r="M1650" s="87" t="str">
        <x:v>ORIGINAL_PACKAGE</x:v>
      </x:c>
      <x:c r="N1650" s="87" t="str">
        <x:v>pages/VIS-SOC-DEC-CRIT-12-P009.png</x:v>
      </x:c>
      <x:c r="O1650" s="87" t="str">
        <x:v>thumbnails/VIS-SOC-DEC-CRIT-12-P009.jpg</x:v>
      </x:c>
      <x:c r="P1650" s="87"/>
      <x:c r="Q1650" s="30" t="str">
        <x:v>incoming/raw/recovery-drop-01/society_dec_visual_assets_v086(1).zip!/pages/VIS-SOC-DEC-CRIT-12-P009.png</x:v>
      </x:c>
      <x:c r="R1650" s="30" t="str">
        <x:v>RESOLVED_UNLINKED_REGISTRY_VISUAL</x:v>
      </x:c>
      <x:c r="S1650" t="e">
        <x:f>HYPERLINK("visual_gallery/index.html#"&amp;A1650,"Галерея")</x:f>
      </x:c>
    </x:row>
    <x:row r="1651">
      <x:c r="A1651" s="87" t="str">
        <x:v>VIS-SOC-DEC-CRIT-12-P010</x:v>
      </x:c>
      <x:c r="B1651" s="30" t="str"/>
      <x:c r="C1651" s="30"/>
      <x:c r="D1651" s="30" t="str">
        <x:v>ОБ2510301</x:v>
      </x:c>
      <x:c r="E1651" s="87" t="str">
        <x:v>CRIT</x:v>
      </x:c>
      <x:c r="F1651" s="30" t="str">
        <x:v>Kriterii_OB11_10122025_1_2.pdf</x:v>
      </x:c>
      <x:c r="G1651" s="87"/>
      <x:c r="H1651" s="87" t="str">
        <x:v>v0.86</x:v>
      </x:c>
      <x:c r="I1651" s="87" t="str">
        <x:v>0</x:v>
      </x:c>
      <x:c r="J1651" s="30" t="str"/>
      <x:c r="K1651" s="30" t="str"/>
      <x:c r="L1651" s="87" t="str">
        <x:v>CROP_VERIFIED</x:v>
      </x:c>
      <x:c r="M1651" s="87" t="str">
        <x:v>ORIGINAL_PACKAGE</x:v>
      </x:c>
      <x:c r="N1651" s="87" t="str">
        <x:v>pages/VIS-SOC-DEC-CRIT-12-P010.png</x:v>
      </x:c>
      <x:c r="O1651" s="87" t="str">
        <x:v>thumbnails/VIS-SOC-DEC-CRIT-12-P010.jpg</x:v>
      </x:c>
      <x:c r="P1651" s="87"/>
      <x:c r="Q1651" s="30" t="str">
        <x:v>incoming/raw/recovery-drop-01/society_dec_visual_assets_v086(1).zip!/pages/VIS-SOC-DEC-CRIT-12-P010.png</x:v>
      </x:c>
      <x:c r="R1651" s="30" t="str">
        <x:v>RESOLVED_UNLINKED_REGISTRY_VISUAL</x:v>
      </x:c>
      <x:c r="S1651" t="e">
        <x:f>HYPERLINK("visual_gallery/index.html#"&amp;A1651,"Галерея")</x:f>
      </x:c>
    </x:row>
    <x:row r="1652">
      <x:c r="A1652" s="87" t="str">
        <x:v>VIS-SOC-DEC-CRIT-12-P011</x:v>
      </x:c>
      <x:c r="B1652" s="30" t="str"/>
      <x:c r="C1652" s="30"/>
      <x:c r="D1652" s="30" t="str">
        <x:v>ОБ2510301</x:v>
      </x:c>
      <x:c r="E1652" s="87" t="str">
        <x:v>CRIT</x:v>
      </x:c>
      <x:c r="F1652" s="30" t="str">
        <x:v>Kriterii_OB11_10122025_1_2.pdf</x:v>
      </x:c>
      <x:c r="G1652" s="87"/>
      <x:c r="H1652" s="87" t="str">
        <x:v>v0.86</x:v>
      </x:c>
      <x:c r="I1652" s="87" t="str">
        <x:v>0</x:v>
      </x:c>
      <x:c r="J1652" s="30" t="str"/>
      <x:c r="K1652" s="30" t="str"/>
      <x:c r="L1652" s="87" t="str">
        <x:v>CROP_VERIFIED</x:v>
      </x:c>
      <x:c r="M1652" s="87" t="str">
        <x:v>ORIGINAL_PACKAGE</x:v>
      </x:c>
      <x:c r="N1652" s="87" t="str">
        <x:v>pages/VIS-SOC-DEC-CRIT-12-P011.png</x:v>
      </x:c>
      <x:c r="O1652" s="87" t="str">
        <x:v>thumbnails/VIS-SOC-DEC-CRIT-12-P011.jpg</x:v>
      </x:c>
      <x:c r="P1652" s="87"/>
      <x:c r="Q1652" s="30" t="str">
        <x:v>incoming/raw/recovery-drop-01/society_dec_visual_assets_v086(1).zip!/pages/VIS-SOC-DEC-CRIT-12-P011.png</x:v>
      </x:c>
      <x:c r="R1652" s="30" t="str">
        <x:v>RESOLVED_UNLINKED_REGISTRY_VISUAL</x:v>
      </x:c>
      <x:c r="S1652" t="e">
        <x:f>HYPERLINK("visual_gallery/index.html#"&amp;A1652,"Галерея")</x:f>
      </x:c>
    </x:row>
    <x:row r="1653">
      <x:c r="A1653" s="87" t="str">
        <x:v>VIS-SOC-DEC-CRIT-12-P012</x:v>
      </x:c>
      <x:c r="B1653" s="30" t="str"/>
      <x:c r="C1653" s="30"/>
      <x:c r="D1653" s="30" t="str">
        <x:v>ОБ2510301</x:v>
      </x:c>
      <x:c r="E1653" s="87" t="str">
        <x:v>CRIT</x:v>
      </x:c>
      <x:c r="F1653" s="30" t="str">
        <x:v>Kriterii_OB11_10122025_1_2.pdf</x:v>
      </x:c>
      <x:c r="G1653" s="87"/>
      <x:c r="H1653" s="87" t="str">
        <x:v>v0.86</x:v>
      </x:c>
      <x:c r="I1653" s="87" t="str">
        <x:v>0</x:v>
      </x:c>
      <x:c r="J1653" s="30" t="str"/>
      <x:c r="K1653" s="30" t="str"/>
      <x:c r="L1653" s="87" t="str">
        <x:v>CROP_VERIFIED</x:v>
      </x:c>
      <x:c r="M1653" s="87" t="str">
        <x:v>ORIGINAL_PACKAGE</x:v>
      </x:c>
      <x:c r="N1653" s="87" t="str">
        <x:v>pages/VIS-SOC-DEC-CRIT-12-P012.png</x:v>
      </x:c>
      <x:c r="O1653" s="87" t="str">
        <x:v>thumbnails/VIS-SOC-DEC-CRIT-12-P012.jpg</x:v>
      </x:c>
      <x:c r="P1653" s="87"/>
      <x:c r="Q1653" s="30" t="str">
        <x:v>incoming/raw/recovery-drop-01/society_dec_visual_assets_v086(1).zip!/pages/VIS-SOC-DEC-CRIT-12-P012.png</x:v>
      </x:c>
      <x:c r="R1653" s="30" t="str">
        <x:v>RESOLVED_UNLINKED_REGISTRY_VISUAL</x:v>
      </x:c>
      <x:c r="S1653" t="e">
        <x:f>HYPERLINK("visual_gallery/index.html#"&amp;A1653,"Галерея")</x:f>
      </x:c>
    </x:row>
    <x:row r="1654">
      <x:c r="A1654" s="87" t="str">
        <x:v>VIS-SOC-DEC-CRIT-12-P013</x:v>
      </x:c>
      <x:c r="B1654" s="30" t="str"/>
      <x:c r="C1654" s="30"/>
      <x:c r="D1654" s="30" t="str">
        <x:v>ОБ2510301</x:v>
      </x:c>
      <x:c r="E1654" s="87" t="str">
        <x:v>CRIT</x:v>
      </x:c>
      <x:c r="F1654" s="30" t="str">
        <x:v>Kriterii_OB11_10122025_1_2.pdf</x:v>
      </x:c>
      <x:c r="G1654" s="87"/>
      <x:c r="H1654" s="87" t="str">
        <x:v>v0.86</x:v>
      </x:c>
      <x:c r="I1654" s="87" t="str">
        <x:v>0</x:v>
      </x:c>
      <x:c r="J1654" s="30" t="str"/>
      <x:c r="K1654" s="30" t="str"/>
      <x:c r="L1654" s="87" t="str">
        <x:v>CROP_VERIFIED</x:v>
      </x:c>
      <x:c r="M1654" s="87" t="str">
        <x:v>ORIGINAL_PACKAGE</x:v>
      </x:c>
      <x:c r="N1654" s="87" t="str">
        <x:v>pages/VIS-SOC-DEC-CRIT-12-P013.png</x:v>
      </x:c>
      <x:c r="O1654" s="87" t="str">
        <x:v>thumbnails/VIS-SOC-DEC-CRIT-12-P013.jpg</x:v>
      </x:c>
      <x:c r="P1654" s="87"/>
      <x:c r="Q1654" s="30" t="str">
        <x:v>incoming/raw/recovery-drop-01/society_dec_visual_assets_v086(1).zip!/pages/VIS-SOC-DEC-CRIT-12-P013.png</x:v>
      </x:c>
      <x:c r="R1654" s="30" t="str">
        <x:v>RESOLVED_UNLINKED_REGISTRY_VISUAL</x:v>
      </x:c>
      <x:c r="S1654" t="e">
        <x:f>HYPERLINK("visual_gallery/index.html#"&amp;A1654,"Галерея")</x:f>
      </x:c>
    </x:row>
    <x:row r="1655">
      <x:c r="A1655" s="87" t="str">
        <x:v>VIS-SOC-DEC-CRIT-12-P014</x:v>
      </x:c>
      <x:c r="B1655" s="30" t="str"/>
      <x:c r="C1655" s="30"/>
      <x:c r="D1655" s="30" t="str">
        <x:v>ОБ2510301</x:v>
      </x:c>
      <x:c r="E1655" s="87" t="str">
        <x:v>CRIT</x:v>
      </x:c>
      <x:c r="F1655" s="30" t="str">
        <x:v>Kriterii_OB11_10122025_1_2.pdf</x:v>
      </x:c>
      <x:c r="G1655" s="87"/>
      <x:c r="H1655" s="87" t="str">
        <x:v>v0.86</x:v>
      </x:c>
      <x:c r="I1655" s="87" t="str">
        <x:v>0</x:v>
      </x:c>
      <x:c r="J1655" s="30" t="str"/>
      <x:c r="K1655" s="30" t="str"/>
      <x:c r="L1655" s="87" t="str">
        <x:v>CROP_VERIFIED</x:v>
      </x:c>
      <x:c r="M1655" s="87" t="str">
        <x:v>ORIGINAL_PACKAGE</x:v>
      </x:c>
      <x:c r="N1655" s="87" t="str">
        <x:v>pages/VIS-SOC-DEC-CRIT-12-P014.png</x:v>
      </x:c>
      <x:c r="O1655" s="87" t="str">
        <x:v>thumbnails/VIS-SOC-DEC-CRIT-12-P014.jpg</x:v>
      </x:c>
      <x:c r="P1655" s="87"/>
      <x:c r="Q1655" s="30" t="str">
        <x:v>incoming/raw/recovery-drop-01/society_dec_visual_assets_v086(1).zip!/pages/VIS-SOC-DEC-CRIT-12-P014.png</x:v>
      </x:c>
      <x:c r="R1655" s="30" t="str">
        <x:v>RESOLVED_UNLINKED_REGISTRY_VISUAL</x:v>
      </x:c>
      <x:c r="S1655" t="e">
        <x:f>HYPERLINK("visual_gallery/index.html#"&amp;A1655,"Галерея")</x:f>
      </x:c>
    </x:row>
    <x:row r="1656">
      <x:c r="A1656" s="87" t="str">
        <x:v>VIS-SOC-DEC-CRIT-12-P015</x:v>
      </x:c>
      <x:c r="B1656" s="30" t="str"/>
      <x:c r="C1656" s="30"/>
      <x:c r="D1656" s="30" t="str">
        <x:v>ОБ2510301</x:v>
      </x:c>
      <x:c r="E1656" s="87" t="str">
        <x:v>CRIT</x:v>
      </x:c>
      <x:c r="F1656" s="30" t="str">
        <x:v>Kriterii_OB11_10122025_1_2.pdf</x:v>
      </x:c>
      <x:c r="G1656" s="87"/>
      <x:c r="H1656" s="87" t="str">
        <x:v>v0.86</x:v>
      </x:c>
      <x:c r="I1656" s="87" t="str">
        <x:v>0</x:v>
      </x:c>
      <x:c r="J1656" s="30" t="str"/>
      <x:c r="K1656" s="30" t="str"/>
      <x:c r="L1656" s="87" t="str">
        <x:v>CROP_VERIFIED</x:v>
      </x:c>
      <x:c r="M1656" s="87" t="str">
        <x:v>ORIGINAL_PACKAGE</x:v>
      </x:c>
      <x:c r="N1656" s="87" t="str">
        <x:v>pages/VIS-SOC-DEC-CRIT-12-P015.png</x:v>
      </x:c>
      <x:c r="O1656" s="87" t="str">
        <x:v>thumbnails/VIS-SOC-DEC-CRIT-12-P015.jpg</x:v>
      </x:c>
      <x:c r="P1656" s="87"/>
      <x:c r="Q1656" s="30" t="str">
        <x:v>incoming/raw/recovery-drop-01/society_dec_visual_assets_v086(1).zip!/pages/VIS-SOC-DEC-CRIT-12-P015.png</x:v>
      </x:c>
      <x:c r="R1656" s="30" t="str">
        <x:v>RESOLVED_UNLINKED_REGISTRY_VISUAL</x:v>
      </x:c>
      <x:c r="S1656" t="e">
        <x:f>HYPERLINK("visual_gallery/index.html#"&amp;A1656,"Галерея")</x:f>
      </x:c>
    </x:row>
    <x:row r="1657">
      <x:c r="A1657" s="87" t="str">
        <x:v>VIS-SOC-DEC-CRIT-12-P016</x:v>
      </x:c>
      <x:c r="B1657" s="30" t="str"/>
      <x:c r="C1657" s="30"/>
      <x:c r="D1657" s="30" t="str">
        <x:v>ОБ2510302</x:v>
      </x:c>
      <x:c r="E1657" s="87" t="str">
        <x:v>CRIT</x:v>
      </x:c>
      <x:c r="F1657" s="30" t="str">
        <x:v>Kriterii_OB11_10122025_1_2.pdf</x:v>
      </x:c>
      <x:c r="G1657" s="87"/>
      <x:c r="H1657" s="87" t="str">
        <x:v>v0.86</x:v>
      </x:c>
      <x:c r="I1657" s="87" t="str">
        <x:v>0</x:v>
      </x:c>
      <x:c r="J1657" s="30" t="str"/>
      <x:c r="K1657" s="30" t="str"/>
      <x:c r="L1657" s="87" t="str">
        <x:v>CROP_VERIFIED</x:v>
      </x:c>
      <x:c r="M1657" s="87" t="str">
        <x:v>ORIGINAL_PACKAGE</x:v>
      </x:c>
      <x:c r="N1657" s="87" t="str">
        <x:v>pages/VIS-SOC-DEC-CRIT-12-P016.png</x:v>
      </x:c>
      <x:c r="O1657" s="87" t="str">
        <x:v>thumbnails/VIS-SOC-DEC-CRIT-12-P016.jpg</x:v>
      </x:c>
      <x:c r="P1657" s="87"/>
      <x:c r="Q1657" s="30" t="str">
        <x:v>incoming/raw/recovery-drop-01/society_dec_visual_assets_v086(1).zip!/pages/VIS-SOC-DEC-CRIT-12-P016.png</x:v>
      </x:c>
      <x:c r="R1657" s="30" t="str">
        <x:v>RESOLVED_UNLINKED_REGISTRY_VISUAL</x:v>
      </x:c>
      <x:c r="S1657" t="e">
        <x:f>HYPERLINK("visual_gallery/index.html#"&amp;A1657,"Галерея")</x:f>
      </x:c>
    </x:row>
    <x:row r="1658">
      <x:c r="A1658" s="87" t="str">
        <x:v>VIS-SOC-DEC-CRIT-12-P017</x:v>
      </x:c>
      <x:c r="B1658" s="30" t="str"/>
      <x:c r="C1658" s="30"/>
      <x:c r="D1658" s="30" t="str">
        <x:v>ОБ2510302</x:v>
      </x:c>
      <x:c r="E1658" s="87" t="str">
        <x:v>CRIT</x:v>
      </x:c>
      <x:c r="F1658" s="30" t="str">
        <x:v>Kriterii_OB11_10122025_1_2.pdf</x:v>
      </x:c>
      <x:c r="G1658" s="87"/>
      <x:c r="H1658" s="87" t="str">
        <x:v>v0.86</x:v>
      </x:c>
      <x:c r="I1658" s="87" t="str">
        <x:v>0</x:v>
      </x:c>
      <x:c r="J1658" s="30" t="str"/>
      <x:c r="K1658" s="30" t="str"/>
      <x:c r="L1658" s="87" t="str">
        <x:v>CROP_VERIFIED</x:v>
      </x:c>
      <x:c r="M1658" s="87" t="str">
        <x:v>ORIGINAL_PACKAGE</x:v>
      </x:c>
      <x:c r="N1658" s="87" t="str">
        <x:v>pages/VIS-SOC-DEC-CRIT-12-P017.png</x:v>
      </x:c>
      <x:c r="O1658" s="87" t="str">
        <x:v>thumbnails/VIS-SOC-DEC-CRIT-12-P017.jpg</x:v>
      </x:c>
      <x:c r="P1658" s="87"/>
      <x:c r="Q1658" s="30" t="str">
        <x:v>incoming/raw/recovery-drop-01/society_dec_visual_assets_v086(1).zip!/pages/VIS-SOC-DEC-CRIT-12-P017.png</x:v>
      </x:c>
      <x:c r="R1658" s="30" t="str">
        <x:v>RESOLVED_UNLINKED_REGISTRY_VISUAL</x:v>
      </x:c>
      <x:c r="S1658" t="e">
        <x:f>HYPERLINK("visual_gallery/index.html#"&amp;A1658,"Галерея")</x:f>
      </x:c>
    </x:row>
    <x:row r="1659">
      <x:c r="A1659" s="87" t="str">
        <x:v>VIS-SOC-DEC-CRIT-12-P018</x:v>
      </x:c>
      <x:c r="B1659" s="30" t="str"/>
      <x:c r="C1659" s="30"/>
      <x:c r="D1659" s="30" t="str">
        <x:v>ОБ2510302</x:v>
      </x:c>
      <x:c r="E1659" s="87" t="str">
        <x:v>CRIT</x:v>
      </x:c>
      <x:c r="F1659" s="30" t="str">
        <x:v>Kriterii_OB11_10122025_1_2.pdf</x:v>
      </x:c>
      <x:c r="G1659" s="87"/>
      <x:c r="H1659" s="87" t="str">
        <x:v>v0.86</x:v>
      </x:c>
      <x:c r="I1659" s="87" t="str">
        <x:v>0</x:v>
      </x:c>
      <x:c r="J1659" s="30" t="str"/>
      <x:c r="K1659" s="30" t="str"/>
      <x:c r="L1659" s="87" t="str">
        <x:v>CROP_VERIFIED</x:v>
      </x:c>
      <x:c r="M1659" s="87" t="str">
        <x:v>ORIGINAL_PACKAGE</x:v>
      </x:c>
      <x:c r="N1659" s="87" t="str">
        <x:v>pages/VIS-SOC-DEC-CRIT-12-P018.png</x:v>
      </x:c>
      <x:c r="O1659" s="87" t="str">
        <x:v>thumbnails/VIS-SOC-DEC-CRIT-12-P018.jpg</x:v>
      </x:c>
      <x:c r="P1659" s="87"/>
      <x:c r="Q1659" s="30" t="str">
        <x:v>incoming/raw/recovery-drop-01/society_dec_visual_assets_v086(1).zip!/pages/VIS-SOC-DEC-CRIT-12-P018.png</x:v>
      </x:c>
      <x:c r="R1659" s="30" t="str">
        <x:v>RESOLVED_UNLINKED_REGISTRY_VISUAL</x:v>
      </x:c>
      <x:c r="S1659" t="e">
        <x:f>HYPERLINK("visual_gallery/index.html#"&amp;A1659,"Галерея")</x:f>
      </x:c>
    </x:row>
    <x:row r="1660">
      <x:c r="A1660" s="87" t="str">
        <x:v>VIS-SOC-DEC-CRIT-12-P019</x:v>
      </x:c>
      <x:c r="B1660" s="30" t="str"/>
      <x:c r="C1660" s="30"/>
      <x:c r="D1660" s="30" t="str">
        <x:v>ОБ2510302</x:v>
      </x:c>
      <x:c r="E1660" s="87" t="str">
        <x:v>CRIT</x:v>
      </x:c>
      <x:c r="F1660" s="30" t="str">
        <x:v>Kriterii_OB11_10122025_1_2.pdf</x:v>
      </x:c>
      <x:c r="G1660" s="87"/>
      <x:c r="H1660" s="87" t="str">
        <x:v>v0.86</x:v>
      </x:c>
      <x:c r="I1660" s="87" t="str">
        <x:v>0</x:v>
      </x:c>
      <x:c r="J1660" s="30" t="str"/>
      <x:c r="K1660" s="30" t="str"/>
      <x:c r="L1660" s="87" t="str">
        <x:v>CROP_VERIFIED</x:v>
      </x:c>
      <x:c r="M1660" s="87" t="str">
        <x:v>ORIGINAL_PACKAGE</x:v>
      </x:c>
      <x:c r="N1660" s="87" t="str">
        <x:v>pages/VIS-SOC-DEC-CRIT-12-P019.png</x:v>
      </x:c>
      <x:c r="O1660" s="87" t="str">
        <x:v>thumbnails/VIS-SOC-DEC-CRIT-12-P019.jpg</x:v>
      </x:c>
      <x:c r="P1660" s="87"/>
      <x:c r="Q1660" s="30" t="str">
        <x:v>incoming/raw/recovery-drop-01/society_dec_visual_assets_v086(1).zip!/pages/VIS-SOC-DEC-CRIT-12-P019.png</x:v>
      </x:c>
      <x:c r="R1660" s="30" t="str">
        <x:v>RESOLVED_UNLINKED_REGISTRY_VISUAL</x:v>
      </x:c>
      <x:c r="S1660" t="e">
        <x:f>HYPERLINK("visual_gallery/index.html#"&amp;A1660,"Галерея")</x:f>
      </x:c>
    </x:row>
    <x:row r="1661">
      <x:c r="A1661" s="87" t="str">
        <x:v>VIS-SOC-DEC-CRIT-12-P020</x:v>
      </x:c>
      <x:c r="B1661" s="30" t="str"/>
      <x:c r="C1661" s="30"/>
      <x:c r="D1661" s="30" t="str">
        <x:v>ОБ2510302</x:v>
      </x:c>
      <x:c r="E1661" s="87" t="str">
        <x:v>CRIT</x:v>
      </x:c>
      <x:c r="F1661" s="30" t="str">
        <x:v>Kriterii_OB11_10122025_1_2.pdf</x:v>
      </x:c>
      <x:c r="G1661" s="87"/>
      <x:c r="H1661" s="87" t="str">
        <x:v>v0.86</x:v>
      </x:c>
      <x:c r="I1661" s="87" t="str">
        <x:v>0</x:v>
      </x:c>
      <x:c r="J1661" s="30" t="str"/>
      <x:c r="K1661" s="30" t="str"/>
      <x:c r="L1661" s="87" t="str">
        <x:v>CROP_VERIFIED</x:v>
      </x:c>
      <x:c r="M1661" s="87" t="str">
        <x:v>ORIGINAL_PACKAGE</x:v>
      </x:c>
      <x:c r="N1661" s="87" t="str">
        <x:v>pages/VIS-SOC-DEC-CRIT-12-P020.png</x:v>
      </x:c>
      <x:c r="O1661" s="87" t="str">
        <x:v>thumbnails/VIS-SOC-DEC-CRIT-12-P020.jpg</x:v>
      </x:c>
      <x:c r="P1661" s="87"/>
      <x:c r="Q1661" s="30" t="str">
        <x:v>incoming/raw/recovery-drop-01/society_dec_visual_assets_v086(1).zip!/pages/VIS-SOC-DEC-CRIT-12-P020.png</x:v>
      </x:c>
      <x:c r="R1661" s="30" t="str">
        <x:v>RESOLVED_UNLINKED_REGISTRY_VISUAL</x:v>
      </x:c>
      <x:c r="S1661" t="e">
        <x:f>HYPERLINK("visual_gallery/index.html#"&amp;A1661,"Галерея")</x:f>
      </x:c>
    </x:row>
    <x:row r="1662">
      <x:c r="A1662" s="87" t="str">
        <x:v>VIS-SOC-DEC-CRIT-12-P021</x:v>
      </x:c>
      <x:c r="B1662" s="30" t="str"/>
      <x:c r="C1662" s="30"/>
      <x:c r="D1662" s="30" t="str">
        <x:v>ОБ2510302</x:v>
      </x:c>
      <x:c r="E1662" s="87" t="str">
        <x:v>CRIT</x:v>
      </x:c>
      <x:c r="F1662" s="30" t="str">
        <x:v>Kriterii_OB11_10122025_1_2.pdf</x:v>
      </x:c>
      <x:c r="G1662" s="87"/>
      <x:c r="H1662" s="87" t="str">
        <x:v>v0.86</x:v>
      </x:c>
      <x:c r="I1662" s="87" t="str">
        <x:v>0</x:v>
      </x:c>
      <x:c r="J1662" s="30" t="str"/>
      <x:c r="K1662" s="30" t="str"/>
      <x:c r="L1662" s="87" t="str">
        <x:v>CROP_VERIFIED</x:v>
      </x:c>
      <x:c r="M1662" s="87" t="str">
        <x:v>ORIGINAL_PACKAGE</x:v>
      </x:c>
      <x:c r="N1662" s="87" t="str">
        <x:v>pages/VIS-SOC-DEC-CRIT-12-P021.png</x:v>
      </x:c>
      <x:c r="O1662" s="87" t="str">
        <x:v>thumbnails/VIS-SOC-DEC-CRIT-12-P021.jpg</x:v>
      </x:c>
      <x:c r="P1662" s="87"/>
      <x:c r="Q1662" s="30" t="str">
        <x:v>incoming/raw/recovery-drop-01/society_dec_visual_assets_v086(1).zip!/pages/VIS-SOC-DEC-CRIT-12-P021.png</x:v>
      </x:c>
      <x:c r="R1662" s="30" t="str">
        <x:v>RESOLVED_UNLINKED_REGISTRY_VISUAL</x:v>
      </x:c>
      <x:c r="S1662" t="e">
        <x:f>HYPERLINK("visual_gallery/index.html#"&amp;A1662,"Галерея")</x:f>
      </x:c>
    </x:row>
    <x:row r="1663">
      <x:c r="A1663" s="87" t="str">
        <x:v>VIS-SOC-DEC-CRIT-12-P022</x:v>
      </x:c>
      <x:c r="B1663" s="30" t="str"/>
      <x:c r="C1663" s="30"/>
      <x:c r="D1663" s="30" t="str">
        <x:v>ОБ2510302</x:v>
      </x:c>
      <x:c r="E1663" s="87" t="str">
        <x:v>CRIT</x:v>
      </x:c>
      <x:c r="F1663" s="30" t="str">
        <x:v>Kriterii_OB11_10122025_1_2.pdf</x:v>
      </x:c>
      <x:c r="G1663" s="87"/>
      <x:c r="H1663" s="87" t="str">
        <x:v>v0.86</x:v>
      </x:c>
      <x:c r="I1663" s="87" t="str">
        <x:v>0</x:v>
      </x:c>
      <x:c r="J1663" s="30" t="str"/>
      <x:c r="K1663" s="30" t="str"/>
      <x:c r="L1663" s="87" t="str">
        <x:v>CROP_VERIFIED</x:v>
      </x:c>
      <x:c r="M1663" s="87" t="str">
        <x:v>ORIGINAL_PACKAGE</x:v>
      </x:c>
      <x:c r="N1663" s="87" t="str">
        <x:v>pages/VIS-SOC-DEC-CRIT-12-P022.png</x:v>
      </x:c>
      <x:c r="O1663" s="87" t="str">
        <x:v>thumbnails/VIS-SOC-DEC-CRIT-12-P022.jpg</x:v>
      </x:c>
      <x:c r="P1663" s="87"/>
      <x:c r="Q1663" s="30" t="str">
        <x:v>incoming/raw/recovery-drop-01/society_dec_visual_assets_v086(1).zip!/pages/VIS-SOC-DEC-CRIT-12-P022.png</x:v>
      </x:c>
      <x:c r="R1663" s="30" t="str">
        <x:v>RESOLVED_UNLINKED_REGISTRY_VISUAL</x:v>
      </x:c>
      <x:c r="S1663" t="e">
        <x:f>HYPERLINK("visual_gallery/index.html#"&amp;A1663,"Галерея")</x:f>
      </x:c>
    </x:row>
    <x:row r="1664">
      <x:c r="A1664" s="87" t="str">
        <x:v>VIS-SOC-DEC-CRIT-12-P023</x:v>
      </x:c>
      <x:c r="B1664" s="30" t="str"/>
      <x:c r="C1664" s="30"/>
      <x:c r="D1664" s="30" t="str">
        <x:v>ОБ2510302</x:v>
      </x:c>
      <x:c r="E1664" s="87" t="str">
        <x:v>CRIT</x:v>
      </x:c>
      <x:c r="F1664" s="30" t="str">
        <x:v>Kriterii_OB11_10122025_1_2.pdf</x:v>
      </x:c>
      <x:c r="G1664" s="87"/>
      <x:c r="H1664" s="87" t="str">
        <x:v>v0.86</x:v>
      </x:c>
      <x:c r="I1664" s="87" t="str">
        <x:v>0</x:v>
      </x:c>
      <x:c r="J1664" s="30" t="str"/>
      <x:c r="K1664" s="30" t="str"/>
      <x:c r="L1664" s="87" t="str">
        <x:v>CROP_VERIFIED</x:v>
      </x:c>
      <x:c r="M1664" s="87" t="str">
        <x:v>ORIGINAL_PACKAGE</x:v>
      </x:c>
      <x:c r="N1664" s="87" t="str">
        <x:v>pages/VIS-SOC-DEC-CRIT-12-P023.png</x:v>
      </x:c>
      <x:c r="O1664" s="87" t="str">
        <x:v>thumbnails/VIS-SOC-DEC-CRIT-12-P023.jpg</x:v>
      </x:c>
      <x:c r="P1664" s="87"/>
      <x:c r="Q1664" s="30" t="str">
        <x:v>incoming/raw/recovery-drop-01/society_dec_visual_assets_v086(1).zip!/pages/VIS-SOC-DEC-CRIT-12-P023.png</x:v>
      </x:c>
      <x:c r="R1664" s="30" t="str">
        <x:v>RESOLVED_UNLINKED_REGISTRY_VISUAL</x:v>
      </x:c>
      <x:c r="S1664" t="e">
        <x:f>HYPERLINK("visual_gallery/index.html#"&amp;A1664,"Галерея")</x:f>
      </x:c>
    </x:row>
    <x:row r="1665">
      <x:c r="A1665" s="87" t="str">
        <x:v>VIS-SOC-DEC-CRIT-12-P024</x:v>
      </x:c>
      <x:c r="B1665" s="30" t="str"/>
      <x:c r="C1665" s="30"/>
      <x:c r="D1665" s="30" t="str">
        <x:v>ОБ2510302</x:v>
      </x:c>
      <x:c r="E1665" s="87" t="str">
        <x:v>CRIT</x:v>
      </x:c>
      <x:c r="F1665" s="30" t="str">
        <x:v>Kriterii_OB11_10122025_1_2.pdf</x:v>
      </x:c>
      <x:c r="G1665" s="87"/>
      <x:c r="H1665" s="87" t="str">
        <x:v>v0.86</x:v>
      </x:c>
      <x:c r="I1665" s="87" t="str">
        <x:v>0</x:v>
      </x:c>
      <x:c r="J1665" s="30" t="str"/>
      <x:c r="K1665" s="30" t="str"/>
      <x:c r="L1665" s="87" t="str">
        <x:v>CROP_VERIFIED</x:v>
      </x:c>
      <x:c r="M1665" s="87" t="str">
        <x:v>ORIGINAL_PACKAGE</x:v>
      </x:c>
      <x:c r="N1665" s="87" t="str">
        <x:v>pages/VIS-SOC-DEC-CRIT-12-P024.png</x:v>
      </x:c>
      <x:c r="O1665" s="87" t="str">
        <x:v>thumbnails/VIS-SOC-DEC-CRIT-12-P024.jpg</x:v>
      </x:c>
      <x:c r="P1665" s="87"/>
      <x:c r="Q1665" s="30" t="str">
        <x:v>incoming/raw/recovery-drop-01/society_dec_visual_assets_v086(1).zip!/pages/VIS-SOC-DEC-CRIT-12-P024.png</x:v>
      </x:c>
      <x:c r="R1665" s="30" t="str">
        <x:v>RESOLVED_UNLINKED_REGISTRY_VISUAL</x:v>
      </x:c>
      <x:c r="S1665" t="e">
        <x:f>HYPERLINK("visual_gallery/index.html#"&amp;A1665,"Галерея")</x:f>
      </x:c>
    </x:row>
    <x:row r="1666">
      <x:c r="A1666" s="87" t="str">
        <x:v>VIS-SOC-DEC-CRIT-12-P025</x:v>
      </x:c>
      <x:c r="B1666" s="30" t="str"/>
      <x:c r="C1666" s="30"/>
      <x:c r="D1666" s="30" t="str">
        <x:v>ОБ2510302</x:v>
      </x:c>
      <x:c r="E1666" s="87" t="str">
        <x:v>CRIT</x:v>
      </x:c>
      <x:c r="F1666" s="30" t="str">
        <x:v>Kriterii_OB11_10122025_1_2.pdf</x:v>
      </x:c>
      <x:c r="G1666" s="87"/>
      <x:c r="H1666" s="87" t="str">
        <x:v>v0.86</x:v>
      </x:c>
      <x:c r="I1666" s="87" t="str">
        <x:v>0</x:v>
      </x:c>
      <x:c r="J1666" s="30" t="str"/>
      <x:c r="K1666" s="30" t="str"/>
      <x:c r="L1666" s="87" t="str">
        <x:v>CROP_VERIFIED</x:v>
      </x:c>
      <x:c r="M1666" s="87" t="str">
        <x:v>ORIGINAL_PACKAGE</x:v>
      </x:c>
      <x:c r="N1666" s="87" t="str">
        <x:v>pages/VIS-SOC-DEC-CRIT-12-P025.png</x:v>
      </x:c>
      <x:c r="O1666" s="87" t="str">
        <x:v>thumbnails/VIS-SOC-DEC-CRIT-12-P025.jpg</x:v>
      </x:c>
      <x:c r="P1666" s="87"/>
      <x:c r="Q1666" s="30" t="str">
        <x:v>incoming/raw/recovery-drop-01/society_dec_visual_assets_v086(1).zip!/pages/VIS-SOC-DEC-CRIT-12-P025.png</x:v>
      </x:c>
      <x:c r="R1666" s="30" t="str">
        <x:v>RESOLVED_UNLINKED_REGISTRY_VISUAL</x:v>
      </x:c>
      <x:c r="S1666" t="e">
        <x:f>HYPERLINK("visual_gallery/index.html#"&amp;A1666,"Галерея")</x:f>
      </x:c>
    </x:row>
    <x:row r="1667">
      <x:c r="A1667" s="87" t="str">
        <x:v>VIS-SOC-DEC-CRIT-12-P026</x:v>
      </x:c>
      <x:c r="B1667" s="30" t="str"/>
      <x:c r="C1667" s="30"/>
      <x:c r="D1667" s="30" t="str">
        <x:v>ОБ2510302</x:v>
      </x:c>
      <x:c r="E1667" s="87" t="str">
        <x:v>CRIT</x:v>
      </x:c>
      <x:c r="F1667" s="30" t="str">
        <x:v>Kriterii_OB11_10122025_1_2.pdf</x:v>
      </x:c>
      <x:c r="G1667" s="87"/>
      <x:c r="H1667" s="87" t="str">
        <x:v>v0.86</x:v>
      </x:c>
      <x:c r="I1667" s="87" t="str">
        <x:v>0</x:v>
      </x:c>
      <x:c r="J1667" s="30" t="str"/>
      <x:c r="K1667" s="30" t="str"/>
      <x:c r="L1667" s="87" t="str">
        <x:v>CROP_VERIFIED</x:v>
      </x:c>
      <x:c r="M1667" s="87" t="str">
        <x:v>ORIGINAL_PACKAGE</x:v>
      </x:c>
      <x:c r="N1667" s="87" t="str">
        <x:v>pages/VIS-SOC-DEC-CRIT-12-P026.png</x:v>
      </x:c>
      <x:c r="O1667" s="87" t="str">
        <x:v>thumbnails/VIS-SOC-DEC-CRIT-12-P026.jpg</x:v>
      </x:c>
      <x:c r="P1667" s="87"/>
      <x:c r="Q1667" s="30" t="str">
        <x:v>incoming/raw/recovery-drop-01/society_dec_visual_assets_v086(1).zip!/pages/VIS-SOC-DEC-CRIT-12-P026.png</x:v>
      </x:c>
      <x:c r="R1667" s="30" t="str">
        <x:v>RESOLVED_UNLINKED_REGISTRY_VISUAL</x:v>
      </x:c>
      <x:c r="S1667" t="e">
        <x:f>HYPERLINK("visual_gallery/index.html#"&amp;A1667,"Галерея")</x:f>
      </x:c>
    </x:row>
    <x:row r="1668">
      <x:c r="A1668" s="87" t="str">
        <x:v>VIS-SOC-DEC-CRIT-12-P027</x:v>
      </x:c>
      <x:c r="B1668" s="30" t="str"/>
      <x:c r="C1668" s="30"/>
      <x:c r="D1668" s="30" t="str">
        <x:v>ОБ2510302</x:v>
      </x:c>
      <x:c r="E1668" s="87" t="str">
        <x:v>CRIT</x:v>
      </x:c>
      <x:c r="F1668" s="30" t="str">
        <x:v>Kriterii_OB11_10122025_1_2.pdf</x:v>
      </x:c>
      <x:c r="G1668" s="87"/>
      <x:c r="H1668" s="87" t="str">
        <x:v>v0.86</x:v>
      </x:c>
      <x:c r="I1668" s="87" t="str">
        <x:v>0</x:v>
      </x:c>
      <x:c r="J1668" s="30" t="str"/>
      <x:c r="K1668" s="30" t="str"/>
      <x:c r="L1668" s="87" t="str">
        <x:v>CROP_VERIFIED</x:v>
      </x:c>
      <x:c r="M1668" s="87" t="str">
        <x:v>ORIGINAL_PACKAGE</x:v>
      </x:c>
      <x:c r="N1668" s="87" t="str">
        <x:v>pages/VIS-SOC-DEC-CRIT-12-P027.png</x:v>
      </x:c>
      <x:c r="O1668" s="87" t="str">
        <x:v>thumbnails/VIS-SOC-DEC-CRIT-12-P027.jpg</x:v>
      </x:c>
      <x:c r="P1668" s="87"/>
      <x:c r="Q1668" s="30" t="str">
        <x:v>incoming/raw/recovery-drop-01/society_dec_visual_assets_v086(1).zip!/pages/VIS-SOC-DEC-CRIT-12-P027.png</x:v>
      </x:c>
      <x:c r="R1668" s="30" t="str">
        <x:v>RESOLVED_UNLINKED_REGISTRY_VISUAL</x:v>
      </x:c>
      <x:c r="S1668" t="e">
        <x:f>HYPERLINK("visual_gallery/index.html#"&amp;A1668,"Галерея")</x:f>
      </x:c>
    </x:row>
    <x:row r="1669">
      <x:c r="A1669" s="87" t="str">
        <x:v>VIS-SOC-DEC-CRIT-12-P028</x:v>
      </x:c>
      <x:c r="B1669" s="30" t="str"/>
      <x:c r="C1669" s="30"/>
      <x:c r="D1669" s="30" t="str">
        <x:v>ОБ2510302</x:v>
      </x:c>
      <x:c r="E1669" s="87" t="str">
        <x:v>CRIT</x:v>
      </x:c>
      <x:c r="F1669" s="30" t="str">
        <x:v>Kriterii_OB11_10122025_1_2.pdf</x:v>
      </x:c>
      <x:c r="G1669" s="87"/>
      <x:c r="H1669" s="87" t="str">
        <x:v>v0.86</x:v>
      </x:c>
      <x:c r="I1669" s="87" t="str">
        <x:v>0</x:v>
      </x:c>
      <x:c r="J1669" s="30" t="str"/>
      <x:c r="K1669" s="30" t="str"/>
      <x:c r="L1669" s="87" t="str">
        <x:v>CROP_VERIFIED</x:v>
      </x:c>
      <x:c r="M1669" s="87" t="str">
        <x:v>ORIGINAL_PACKAGE</x:v>
      </x:c>
      <x:c r="N1669" s="87" t="str">
        <x:v>pages/VIS-SOC-DEC-CRIT-12-P028.png</x:v>
      </x:c>
      <x:c r="O1669" s="87" t="str">
        <x:v>thumbnails/VIS-SOC-DEC-CRIT-12-P028.jpg</x:v>
      </x:c>
      <x:c r="P1669" s="87"/>
      <x:c r="Q1669" s="30" t="str">
        <x:v>incoming/raw/recovery-drop-01/society_dec_visual_assets_v086(1).zip!/pages/VIS-SOC-DEC-CRIT-12-P028.png</x:v>
      </x:c>
      <x:c r="R1669" s="30" t="str">
        <x:v>RESOLVED_UNLINKED_REGISTRY_VISUAL</x:v>
      </x:c>
      <x:c r="S1669" t="e">
        <x:f>HYPERLINK("visual_gallery/index.html#"&amp;A1669,"Галерея")</x:f>
      </x:c>
    </x:row>
    <x:row r="1670">
      <x:c r="A1670" s="87" t="str">
        <x:v>VIS-SOC-DEC-CRIT-34-P001</x:v>
      </x:c>
      <x:c r="B1670" s="30" t="str"/>
      <x:c r="C1670" s="30"/>
      <x:c r="D1670" s="30" t="str">
        <x:v>ОБ2510303</x:v>
      </x:c>
      <x:c r="E1670" s="87" t="str">
        <x:v>CRIT</x:v>
      </x:c>
      <x:c r="F1670" s="30" t="str">
        <x:v>Kriterii_OB11_10122025_.pdf</x:v>
      </x:c>
      <x:c r="G1670" s="87"/>
      <x:c r="H1670" s="87" t="str">
        <x:v>v0.86</x:v>
      </x:c>
      <x:c r="I1670" s="87" t="str">
        <x:v>0</x:v>
      </x:c>
      <x:c r="J1670" s="30" t="str"/>
      <x:c r="K1670" s="30" t="str"/>
      <x:c r="L1670" s="87" t="str">
        <x:v>CROP_VERIFIED</x:v>
      </x:c>
      <x:c r="M1670" s="87" t="str">
        <x:v>ORIGINAL_PACKAGE</x:v>
      </x:c>
      <x:c r="N1670" s="87" t="str">
        <x:v>pages/VIS-SOC-DEC-CRIT-34-P001.png</x:v>
      </x:c>
      <x:c r="O1670" s="87" t="str">
        <x:v>thumbnails/VIS-SOC-DEC-CRIT-34-P001.jpg</x:v>
      </x:c>
      <x:c r="P1670" s="87"/>
      <x:c r="Q1670" s="30" t="str">
        <x:v>incoming/raw/recovery-drop-01/society_dec_visual_assets_v086(1).zip!/pages/VIS-SOC-DEC-CRIT-34-P001.png</x:v>
      </x:c>
      <x:c r="R1670" s="30" t="str">
        <x:v>RESOLVED_UNLINKED_REGISTRY_VISUAL</x:v>
      </x:c>
      <x:c r="S1670" t="e">
        <x:f>HYPERLINK("visual_gallery/index.html#"&amp;A1670,"Галерея")</x:f>
      </x:c>
    </x:row>
    <x:row r="1671">
      <x:c r="A1671" s="87" t="str">
        <x:v>VIS-SOC-DEC-CRIT-34-P002</x:v>
      </x:c>
      <x:c r="B1671" s="30" t="str"/>
      <x:c r="C1671" s="30"/>
      <x:c r="D1671" s="30" t="str">
        <x:v>ОБ2510304</x:v>
      </x:c>
      <x:c r="E1671" s="87" t="str">
        <x:v>CRIT</x:v>
      </x:c>
      <x:c r="F1671" s="30" t="str">
        <x:v>Kriterii_OB11_10122025_.pdf</x:v>
      </x:c>
      <x:c r="G1671" s="87"/>
      <x:c r="H1671" s="87" t="str">
        <x:v>v0.86</x:v>
      </x:c>
      <x:c r="I1671" s="87" t="str">
        <x:v>0</x:v>
      </x:c>
      <x:c r="J1671" s="30" t="str"/>
      <x:c r="K1671" s="30" t="str"/>
      <x:c r="L1671" s="87" t="str">
        <x:v>CROP_VERIFIED</x:v>
      </x:c>
      <x:c r="M1671" s="87" t="str">
        <x:v>ORIGINAL_PACKAGE</x:v>
      </x:c>
      <x:c r="N1671" s="87" t="str">
        <x:v>pages/VIS-SOC-DEC-CRIT-34-P002.png</x:v>
      </x:c>
      <x:c r="O1671" s="87" t="str">
        <x:v>thumbnails/VIS-SOC-DEC-CRIT-34-P002.jpg</x:v>
      </x:c>
      <x:c r="P1671" s="87"/>
      <x:c r="Q1671" s="30" t="str">
        <x:v>incoming/raw/recovery-drop-01/society_dec_visual_assets_v086(1).zip!/pages/VIS-SOC-DEC-CRIT-34-P002.png</x:v>
      </x:c>
      <x:c r="R1671" s="30" t="str">
        <x:v>RESOLVED_UNLINKED_REGISTRY_VISUAL</x:v>
      </x:c>
      <x:c r="S1671" t="e">
        <x:f>HYPERLINK("visual_gallery/index.html#"&amp;A1671,"Галерея")</x:f>
      </x:c>
    </x:row>
    <x:row r="1672">
      <x:c r="A1672" s="87" t="str">
        <x:v>VIS-SOC-DEC-CRIT-34-P003</x:v>
      </x:c>
      <x:c r="B1672" s="30" t="str"/>
      <x:c r="C1672" s="30"/>
      <x:c r="D1672" s="30" t="str">
        <x:v>ОБ2510303</x:v>
      </x:c>
      <x:c r="E1672" s="87" t="str">
        <x:v>CRIT</x:v>
      </x:c>
      <x:c r="F1672" s="30" t="str">
        <x:v>Kriterii_OB11_10122025_.pdf</x:v>
      </x:c>
      <x:c r="G1672" s="87"/>
      <x:c r="H1672" s="87" t="str">
        <x:v>v0.86</x:v>
      </x:c>
      <x:c r="I1672" s="87" t="str">
        <x:v>0</x:v>
      </x:c>
      <x:c r="J1672" s="30" t="str"/>
      <x:c r="K1672" s="30" t="str"/>
      <x:c r="L1672" s="87" t="str">
        <x:v>CROP_VERIFIED</x:v>
      </x:c>
      <x:c r="M1672" s="87" t="str">
        <x:v>ORIGINAL_PACKAGE</x:v>
      </x:c>
      <x:c r="N1672" s="87" t="str">
        <x:v>pages/VIS-SOC-DEC-CRIT-34-P003.png</x:v>
      </x:c>
      <x:c r="O1672" s="87" t="str">
        <x:v>thumbnails/VIS-SOC-DEC-CRIT-34-P003.jpg</x:v>
      </x:c>
      <x:c r="P1672" s="87"/>
      <x:c r="Q1672" s="30" t="str">
        <x:v>incoming/raw/recovery-drop-01/society_dec_visual_assets_v086(1).zip!/pages/VIS-SOC-DEC-CRIT-34-P003.png</x:v>
      </x:c>
      <x:c r="R1672" s="30" t="str">
        <x:v>RESOLVED_UNLINKED_REGISTRY_VISUAL</x:v>
      </x:c>
      <x:c r="S1672" t="e">
        <x:f>HYPERLINK("visual_gallery/index.html#"&amp;A1672,"Галерея")</x:f>
      </x:c>
    </x:row>
    <x:row r="1673">
      <x:c r="A1673" s="87" t="str">
        <x:v>VIS-SOC-DEC-CRIT-34-P004</x:v>
      </x:c>
      <x:c r="B1673" s="30" t="str"/>
      <x:c r="C1673" s="30"/>
      <x:c r="D1673" s="30" t="str">
        <x:v>ОБ2510303</x:v>
      </x:c>
      <x:c r="E1673" s="87" t="str">
        <x:v>CRIT</x:v>
      </x:c>
      <x:c r="F1673" s="30" t="str">
        <x:v>Kriterii_OB11_10122025_.pdf</x:v>
      </x:c>
      <x:c r="G1673" s="87"/>
      <x:c r="H1673" s="87" t="str">
        <x:v>v0.86</x:v>
      </x:c>
      <x:c r="I1673" s="87" t="str">
        <x:v>0</x:v>
      </x:c>
      <x:c r="J1673" s="30" t="str"/>
      <x:c r="K1673" s="30" t="str"/>
      <x:c r="L1673" s="87" t="str">
        <x:v>CROP_VERIFIED</x:v>
      </x:c>
      <x:c r="M1673" s="87" t="str">
        <x:v>ORIGINAL_PACKAGE</x:v>
      </x:c>
      <x:c r="N1673" s="87" t="str">
        <x:v>pages/VIS-SOC-DEC-CRIT-34-P004.png</x:v>
      </x:c>
      <x:c r="O1673" s="87" t="str">
        <x:v>thumbnails/VIS-SOC-DEC-CRIT-34-P004.jpg</x:v>
      </x:c>
      <x:c r="P1673" s="87"/>
      <x:c r="Q1673" s="30" t="str">
        <x:v>incoming/raw/recovery-drop-01/society_dec_visual_assets_v086(1).zip!/pages/VIS-SOC-DEC-CRIT-34-P004.png</x:v>
      </x:c>
      <x:c r="R1673" s="30" t="str">
        <x:v>RESOLVED_UNLINKED_REGISTRY_VISUAL</x:v>
      </x:c>
      <x:c r="S1673" t="e">
        <x:f>HYPERLINK("visual_gallery/index.html#"&amp;A1673,"Галерея")</x:f>
      </x:c>
    </x:row>
    <x:row r="1674">
      <x:c r="A1674" s="87" t="str">
        <x:v>VIS-SOC-DEC-CRIT-34-P005</x:v>
      </x:c>
      <x:c r="B1674" s="30" t="str"/>
      <x:c r="C1674" s="30"/>
      <x:c r="D1674" s="30" t="str">
        <x:v>ОБ2510303</x:v>
      </x:c>
      <x:c r="E1674" s="87" t="str">
        <x:v>CRIT</x:v>
      </x:c>
      <x:c r="F1674" s="30" t="str">
        <x:v>Kriterii_OB11_10122025_.pdf</x:v>
      </x:c>
      <x:c r="G1674" s="87"/>
      <x:c r="H1674" s="87" t="str">
        <x:v>v0.86</x:v>
      </x:c>
      <x:c r="I1674" s="87" t="str">
        <x:v>0</x:v>
      </x:c>
      <x:c r="J1674" s="30" t="str"/>
      <x:c r="K1674" s="30" t="str"/>
      <x:c r="L1674" s="87" t="str">
        <x:v>CROP_VERIFIED</x:v>
      </x:c>
      <x:c r="M1674" s="87" t="str">
        <x:v>ORIGINAL_PACKAGE</x:v>
      </x:c>
      <x:c r="N1674" s="87" t="str">
        <x:v>pages/VIS-SOC-DEC-CRIT-34-P005.png</x:v>
      </x:c>
      <x:c r="O1674" s="87" t="str">
        <x:v>thumbnails/VIS-SOC-DEC-CRIT-34-P005.jpg</x:v>
      </x:c>
      <x:c r="P1674" s="87"/>
      <x:c r="Q1674" s="30" t="str">
        <x:v>incoming/raw/recovery-drop-01/society_dec_visual_assets_v086(1).zip!/pages/VIS-SOC-DEC-CRIT-34-P005.png</x:v>
      </x:c>
      <x:c r="R1674" s="30" t="str">
        <x:v>RESOLVED_UNLINKED_REGISTRY_VISUAL</x:v>
      </x:c>
      <x:c r="S1674" t="e">
        <x:f>HYPERLINK("visual_gallery/index.html#"&amp;A1674,"Галерея")</x:f>
      </x:c>
    </x:row>
    <x:row r="1675">
      <x:c r="A1675" s="87" t="str">
        <x:v>VIS-SOC-DEC-CRIT-34-P006</x:v>
      </x:c>
      <x:c r="B1675" s="30" t="str"/>
      <x:c r="C1675" s="30"/>
      <x:c r="D1675" s="30" t="str">
        <x:v>ОБ2510303</x:v>
      </x:c>
      <x:c r="E1675" s="87" t="str">
        <x:v>CRIT</x:v>
      </x:c>
      <x:c r="F1675" s="30" t="str">
        <x:v>Kriterii_OB11_10122025_.pdf</x:v>
      </x:c>
      <x:c r="G1675" s="87"/>
      <x:c r="H1675" s="87" t="str">
        <x:v>v0.86</x:v>
      </x:c>
      <x:c r="I1675" s="87" t="str">
        <x:v>0</x:v>
      </x:c>
      <x:c r="J1675" s="30" t="str"/>
      <x:c r="K1675" s="30" t="str"/>
      <x:c r="L1675" s="87" t="str">
        <x:v>CROP_VERIFIED</x:v>
      </x:c>
      <x:c r="M1675" s="87" t="str">
        <x:v>ORIGINAL_PACKAGE</x:v>
      </x:c>
      <x:c r="N1675" s="87" t="str">
        <x:v>pages/VIS-SOC-DEC-CRIT-34-P006.png</x:v>
      </x:c>
      <x:c r="O1675" s="87" t="str">
        <x:v>thumbnails/VIS-SOC-DEC-CRIT-34-P006.jpg</x:v>
      </x:c>
      <x:c r="P1675" s="87"/>
      <x:c r="Q1675" s="30" t="str">
        <x:v>incoming/raw/recovery-drop-01/society_dec_visual_assets_v086(1).zip!/pages/VIS-SOC-DEC-CRIT-34-P006.png</x:v>
      </x:c>
      <x:c r="R1675" s="30" t="str">
        <x:v>RESOLVED_UNLINKED_REGISTRY_VISUAL</x:v>
      </x:c>
      <x:c r="S1675" t="e">
        <x:f>HYPERLINK("visual_gallery/index.html#"&amp;A1675,"Галерея")</x:f>
      </x:c>
    </x:row>
    <x:row r="1676">
      <x:c r="A1676" s="87" t="str">
        <x:v>VIS-SOC-DEC-CRIT-34-P007</x:v>
      </x:c>
      <x:c r="B1676" s="30" t="str"/>
      <x:c r="C1676" s="30"/>
      <x:c r="D1676" s="30" t="str">
        <x:v>ОБ2510303</x:v>
      </x:c>
      <x:c r="E1676" s="87" t="str">
        <x:v>CRIT</x:v>
      </x:c>
      <x:c r="F1676" s="30" t="str">
        <x:v>Kriterii_OB11_10122025_.pdf</x:v>
      </x:c>
      <x:c r="G1676" s="87"/>
      <x:c r="H1676" s="87" t="str">
        <x:v>v0.86</x:v>
      </x:c>
      <x:c r="I1676" s="87" t="str">
        <x:v>0</x:v>
      </x:c>
      <x:c r="J1676" s="30" t="str"/>
      <x:c r="K1676" s="30" t="str"/>
      <x:c r="L1676" s="87" t="str">
        <x:v>CROP_VERIFIED</x:v>
      </x:c>
      <x:c r="M1676" s="87" t="str">
        <x:v>ORIGINAL_PACKAGE</x:v>
      </x:c>
      <x:c r="N1676" s="87" t="str">
        <x:v>pages/VIS-SOC-DEC-CRIT-34-P007.png</x:v>
      </x:c>
      <x:c r="O1676" s="87" t="str">
        <x:v>thumbnails/VIS-SOC-DEC-CRIT-34-P007.jpg</x:v>
      </x:c>
      <x:c r="P1676" s="87"/>
      <x:c r="Q1676" s="30" t="str">
        <x:v>incoming/raw/recovery-drop-01/society_dec_visual_assets_v086(1).zip!/pages/VIS-SOC-DEC-CRIT-34-P007.png</x:v>
      </x:c>
      <x:c r="R1676" s="30" t="str">
        <x:v>RESOLVED_UNLINKED_REGISTRY_VISUAL</x:v>
      </x:c>
      <x:c r="S1676" t="e">
        <x:f>HYPERLINK("visual_gallery/index.html#"&amp;A1676,"Галерея")</x:f>
      </x:c>
    </x:row>
    <x:row r="1677">
      <x:c r="A1677" s="87" t="str">
        <x:v>VIS-SOC-DEC-CRIT-34-P008</x:v>
      </x:c>
      <x:c r="B1677" s="30" t="str"/>
      <x:c r="C1677" s="30"/>
      <x:c r="D1677" s="30" t="str">
        <x:v>ОБ2510303</x:v>
      </x:c>
      <x:c r="E1677" s="87" t="str">
        <x:v>CRIT</x:v>
      </x:c>
      <x:c r="F1677" s="30" t="str">
        <x:v>Kriterii_OB11_10122025_.pdf</x:v>
      </x:c>
      <x:c r="G1677" s="87"/>
      <x:c r="H1677" s="87" t="str">
        <x:v>v0.86</x:v>
      </x:c>
      <x:c r="I1677" s="87" t="str">
        <x:v>0</x:v>
      </x:c>
      <x:c r="J1677" s="30" t="str"/>
      <x:c r="K1677" s="30" t="str"/>
      <x:c r="L1677" s="87" t="str">
        <x:v>CROP_VERIFIED</x:v>
      </x:c>
      <x:c r="M1677" s="87" t="str">
        <x:v>ORIGINAL_PACKAGE</x:v>
      </x:c>
      <x:c r="N1677" s="87" t="str">
        <x:v>pages/VIS-SOC-DEC-CRIT-34-P008.png</x:v>
      </x:c>
      <x:c r="O1677" s="87" t="str">
        <x:v>thumbnails/VIS-SOC-DEC-CRIT-34-P008.jpg</x:v>
      </x:c>
      <x:c r="P1677" s="87"/>
      <x:c r="Q1677" s="30" t="str">
        <x:v>incoming/raw/recovery-drop-01/society_dec_visual_assets_v086(1).zip!/pages/VIS-SOC-DEC-CRIT-34-P008.png</x:v>
      </x:c>
      <x:c r="R1677" s="30" t="str">
        <x:v>RESOLVED_UNLINKED_REGISTRY_VISUAL</x:v>
      </x:c>
      <x:c r="S1677" t="e">
        <x:f>HYPERLINK("visual_gallery/index.html#"&amp;A1677,"Галерея")</x:f>
      </x:c>
    </x:row>
    <x:row r="1678">
      <x:c r="A1678" s="87" t="str">
        <x:v>VIS-SOC-DEC-CRIT-34-P009</x:v>
      </x:c>
      <x:c r="B1678" s="30" t="str"/>
      <x:c r="C1678" s="30"/>
      <x:c r="D1678" s="30" t="str">
        <x:v>ОБ2510303</x:v>
      </x:c>
      <x:c r="E1678" s="87" t="str">
        <x:v>CRIT</x:v>
      </x:c>
      <x:c r="F1678" s="30" t="str">
        <x:v>Kriterii_OB11_10122025_.pdf</x:v>
      </x:c>
      <x:c r="G1678" s="87"/>
      <x:c r="H1678" s="87" t="str">
        <x:v>v0.86</x:v>
      </x:c>
      <x:c r="I1678" s="87" t="str">
        <x:v>0</x:v>
      </x:c>
      <x:c r="J1678" s="30" t="str"/>
      <x:c r="K1678" s="30" t="str"/>
      <x:c r="L1678" s="87" t="str">
        <x:v>CROP_VERIFIED</x:v>
      </x:c>
      <x:c r="M1678" s="87" t="str">
        <x:v>ORIGINAL_PACKAGE</x:v>
      </x:c>
      <x:c r="N1678" s="87" t="str">
        <x:v>pages/VIS-SOC-DEC-CRIT-34-P009.png</x:v>
      </x:c>
      <x:c r="O1678" s="87" t="str">
        <x:v>thumbnails/VIS-SOC-DEC-CRIT-34-P009.jpg</x:v>
      </x:c>
      <x:c r="P1678" s="87"/>
      <x:c r="Q1678" s="30" t="str">
        <x:v>incoming/raw/recovery-drop-01/society_dec_visual_assets_v086(1).zip!/pages/VIS-SOC-DEC-CRIT-34-P009.png</x:v>
      </x:c>
      <x:c r="R1678" s="30" t="str">
        <x:v>RESOLVED_UNLINKED_REGISTRY_VISUAL</x:v>
      </x:c>
      <x:c r="S1678" t="e">
        <x:f>HYPERLINK("visual_gallery/index.html#"&amp;A1678,"Галерея")</x:f>
      </x:c>
    </x:row>
    <x:row r="1679">
      <x:c r="A1679" s="87" t="str">
        <x:v>VIS-SOC-DEC-CRIT-34-P010</x:v>
      </x:c>
      <x:c r="B1679" s="30" t="str"/>
      <x:c r="C1679" s="30"/>
      <x:c r="D1679" s="30" t="str">
        <x:v>ОБ2510303</x:v>
      </x:c>
      <x:c r="E1679" s="87" t="str">
        <x:v>CRIT</x:v>
      </x:c>
      <x:c r="F1679" s="30" t="str">
        <x:v>Kriterii_OB11_10122025_.pdf</x:v>
      </x:c>
      <x:c r="G1679" s="87"/>
      <x:c r="H1679" s="87" t="str">
        <x:v>v0.86</x:v>
      </x:c>
      <x:c r="I1679" s="87" t="str">
        <x:v>0</x:v>
      </x:c>
      <x:c r="J1679" s="30" t="str"/>
      <x:c r="K1679" s="30" t="str"/>
      <x:c r="L1679" s="87" t="str">
        <x:v>CROP_VERIFIED</x:v>
      </x:c>
      <x:c r="M1679" s="87" t="str">
        <x:v>ORIGINAL_PACKAGE</x:v>
      </x:c>
      <x:c r="N1679" s="87" t="str">
        <x:v>pages/VIS-SOC-DEC-CRIT-34-P010.png</x:v>
      </x:c>
      <x:c r="O1679" s="87" t="str">
        <x:v>thumbnails/VIS-SOC-DEC-CRIT-34-P010.jpg</x:v>
      </x:c>
      <x:c r="P1679" s="87"/>
      <x:c r="Q1679" s="30" t="str">
        <x:v>incoming/raw/recovery-drop-01/society_dec_visual_assets_v086(1).zip!/pages/VIS-SOC-DEC-CRIT-34-P010.png</x:v>
      </x:c>
      <x:c r="R1679" s="30" t="str">
        <x:v>RESOLVED_UNLINKED_REGISTRY_VISUAL</x:v>
      </x:c>
      <x:c r="S1679" t="e">
        <x:f>HYPERLINK("visual_gallery/index.html#"&amp;A1679,"Галерея")</x:f>
      </x:c>
    </x:row>
    <x:row r="1680">
      <x:c r="A1680" s="87" t="str">
        <x:v>VIS-SOC-DEC-CRIT-34-P011</x:v>
      </x:c>
      <x:c r="B1680" s="30" t="str"/>
      <x:c r="C1680" s="30"/>
      <x:c r="D1680" s="30" t="str">
        <x:v>ОБ2510303</x:v>
      </x:c>
      <x:c r="E1680" s="87" t="str">
        <x:v>CRIT</x:v>
      </x:c>
      <x:c r="F1680" s="30" t="str">
        <x:v>Kriterii_OB11_10122025_.pdf</x:v>
      </x:c>
      <x:c r="G1680" s="87"/>
      <x:c r="H1680" s="87" t="str">
        <x:v>v0.86</x:v>
      </x:c>
      <x:c r="I1680" s="87" t="str">
        <x:v>0</x:v>
      </x:c>
      <x:c r="J1680" s="30" t="str"/>
      <x:c r="K1680" s="30" t="str"/>
      <x:c r="L1680" s="87" t="str">
        <x:v>CROP_VERIFIED</x:v>
      </x:c>
      <x:c r="M1680" s="87" t="str">
        <x:v>ORIGINAL_PACKAGE</x:v>
      </x:c>
      <x:c r="N1680" s="87" t="str">
        <x:v>pages/VIS-SOC-DEC-CRIT-34-P011.png</x:v>
      </x:c>
      <x:c r="O1680" s="87" t="str">
        <x:v>thumbnails/VIS-SOC-DEC-CRIT-34-P011.jpg</x:v>
      </x:c>
      <x:c r="P1680" s="87"/>
      <x:c r="Q1680" s="30" t="str">
        <x:v>incoming/raw/recovery-drop-01/society_dec_visual_assets_v086(1).zip!/pages/VIS-SOC-DEC-CRIT-34-P011.png</x:v>
      </x:c>
      <x:c r="R1680" s="30" t="str">
        <x:v>RESOLVED_UNLINKED_REGISTRY_VISUAL</x:v>
      </x:c>
      <x:c r="S1680" t="e">
        <x:f>HYPERLINK("visual_gallery/index.html#"&amp;A1680,"Галерея")</x:f>
      </x:c>
    </x:row>
    <x:row r="1681">
      <x:c r="A1681" s="87" t="str">
        <x:v>VIS-SOC-DEC-CRIT-34-P012</x:v>
      </x:c>
      <x:c r="B1681" s="30" t="str"/>
      <x:c r="C1681" s="30"/>
      <x:c r="D1681" s="30" t="str">
        <x:v>ОБ2510303</x:v>
      </x:c>
      <x:c r="E1681" s="87" t="str">
        <x:v>CRIT</x:v>
      </x:c>
      <x:c r="F1681" s="30" t="str">
        <x:v>Kriterii_OB11_10122025_.pdf</x:v>
      </x:c>
      <x:c r="G1681" s="87"/>
      <x:c r="H1681" s="87" t="str">
        <x:v>v0.86</x:v>
      </x:c>
      <x:c r="I1681" s="87" t="str">
        <x:v>0</x:v>
      </x:c>
      <x:c r="J1681" s="30" t="str"/>
      <x:c r="K1681" s="30" t="str"/>
      <x:c r="L1681" s="87" t="str">
        <x:v>CROP_VERIFIED</x:v>
      </x:c>
      <x:c r="M1681" s="87" t="str">
        <x:v>ORIGINAL_PACKAGE</x:v>
      </x:c>
      <x:c r="N1681" s="87" t="str">
        <x:v>pages/VIS-SOC-DEC-CRIT-34-P012.png</x:v>
      </x:c>
      <x:c r="O1681" s="87" t="str">
        <x:v>thumbnails/VIS-SOC-DEC-CRIT-34-P012.jpg</x:v>
      </x:c>
      <x:c r="P1681" s="87"/>
      <x:c r="Q1681" s="30" t="str">
        <x:v>incoming/raw/recovery-drop-01/society_dec_visual_assets_v086(1).zip!/pages/VIS-SOC-DEC-CRIT-34-P012.png</x:v>
      </x:c>
      <x:c r="R1681" s="30" t="str">
        <x:v>RESOLVED_UNLINKED_REGISTRY_VISUAL</x:v>
      </x:c>
      <x:c r="S1681" t="e">
        <x:f>HYPERLINK("visual_gallery/index.html#"&amp;A1681,"Галерея")</x:f>
      </x:c>
    </x:row>
    <x:row r="1682">
      <x:c r="A1682" s="87" t="str">
        <x:v>VIS-SOC-DEC-CRIT-34-P013</x:v>
      </x:c>
      <x:c r="B1682" s="30" t="str"/>
      <x:c r="C1682" s="30"/>
      <x:c r="D1682" s="30" t="str">
        <x:v>ОБ2510303</x:v>
      </x:c>
      <x:c r="E1682" s="87" t="str">
        <x:v>CRIT</x:v>
      </x:c>
      <x:c r="F1682" s="30" t="str">
        <x:v>Kriterii_OB11_10122025_.pdf</x:v>
      </x:c>
      <x:c r="G1682" s="87"/>
      <x:c r="H1682" s="87" t="str">
        <x:v>v0.86</x:v>
      </x:c>
      <x:c r="I1682" s="87" t="str">
        <x:v>0</x:v>
      </x:c>
      <x:c r="J1682" s="30" t="str"/>
      <x:c r="K1682" s="30" t="str"/>
      <x:c r="L1682" s="87" t="str">
        <x:v>CROP_VERIFIED</x:v>
      </x:c>
      <x:c r="M1682" s="87" t="str">
        <x:v>ORIGINAL_PACKAGE</x:v>
      </x:c>
      <x:c r="N1682" s="87" t="str">
        <x:v>pages/VIS-SOC-DEC-CRIT-34-P013.png</x:v>
      </x:c>
      <x:c r="O1682" s="87" t="str">
        <x:v>thumbnails/VIS-SOC-DEC-CRIT-34-P013.jpg</x:v>
      </x:c>
      <x:c r="P1682" s="87"/>
      <x:c r="Q1682" s="30" t="str">
        <x:v>incoming/raw/recovery-drop-01/society_dec_visual_assets_v086(1).zip!/pages/VIS-SOC-DEC-CRIT-34-P013.png</x:v>
      </x:c>
      <x:c r="R1682" s="30" t="str">
        <x:v>RESOLVED_UNLINKED_REGISTRY_VISUAL</x:v>
      </x:c>
      <x:c r="S1682" t="e">
        <x:f>HYPERLINK("visual_gallery/index.html#"&amp;A1682,"Галерея")</x:f>
      </x:c>
    </x:row>
    <x:row r="1683">
      <x:c r="A1683" s="87" t="str">
        <x:v>VIS-SOC-DEC-CRIT-34-P014</x:v>
      </x:c>
      <x:c r="B1683" s="30" t="str"/>
      <x:c r="C1683" s="30"/>
      <x:c r="D1683" s="30" t="str">
        <x:v>ОБ2510303</x:v>
      </x:c>
      <x:c r="E1683" s="87" t="str">
        <x:v>CRIT</x:v>
      </x:c>
      <x:c r="F1683" s="30" t="str">
        <x:v>Kriterii_OB11_10122025_.pdf</x:v>
      </x:c>
      <x:c r="G1683" s="87"/>
      <x:c r="H1683" s="87" t="str">
        <x:v>v0.86</x:v>
      </x:c>
      <x:c r="I1683" s="87" t="str">
        <x:v>0</x:v>
      </x:c>
      <x:c r="J1683" s="30" t="str"/>
      <x:c r="K1683" s="30" t="str"/>
      <x:c r="L1683" s="87" t="str">
        <x:v>CROP_VERIFIED</x:v>
      </x:c>
      <x:c r="M1683" s="87" t="str">
        <x:v>ORIGINAL_PACKAGE</x:v>
      </x:c>
      <x:c r="N1683" s="87" t="str">
        <x:v>pages/VIS-SOC-DEC-CRIT-34-P014.png</x:v>
      </x:c>
      <x:c r="O1683" s="87" t="str">
        <x:v>thumbnails/VIS-SOC-DEC-CRIT-34-P014.jpg</x:v>
      </x:c>
      <x:c r="P1683" s="87"/>
      <x:c r="Q1683" s="30" t="str">
        <x:v>incoming/raw/recovery-drop-01/society_dec_visual_assets_v086(1).zip!/pages/VIS-SOC-DEC-CRIT-34-P014.png</x:v>
      </x:c>
      <x:c r="R1683" s="30" t="str">
        <x:v>RESOLVED_UNLINKED_REGISTRY_VISUAL</x:v>
      </x:c>
      <x:c r="S1683" t="e">
        <x:f>HYPERLINK("visual_gallery/index.html#"&amp;A1683,"Галерея")</x:f>
      </x:c>
    </x:row>
    <x:row r="1684">
      <x:c r="A1684" s="87" t="str">
        <x:v>VIS-SOC-DEC-CRIT-34-P015</x:v>
      </x:c>
      <x:c r="B1684" s="30" t="str"/>
      <x:c r="C1684" s="30"/>
      <x:c r="D1684" s="30" t="str">
        <x:v>ОБ2510303</x:v>
      </x:c>
      <x:c r="E1684" s="87" t="str">
        <x:v>CRIT</x:v>
      </x:c>
      <x:c r="F1684" s="30" t="str">
        <x:v>Kriterii_OB11_10122025_.pdf</x:v>
      </x:c>
      <x:c r="G1684" s="87"/>
      <x:c r="H1684" s="87" t="str">
        <x:v>v0.86</x:v>
      </x:c>
      <x:c r="I1684" s="87" t="str">
        <x:v>0</x:v>
      </x:c>
      <x:c r="J1684" s="30" t="str"/>
      <x:c r="K1684" s="30" t="str"/>
      <x:c r="L1684" s="87" t="str">
        <x:v>CROP_VERIFIED</x:v>
      </x:c>
      <x:c r="M1684" s="87" t="str">
        <x:v>ORIGINAL_PACKAGE</x:v>
      </x:c>
      <x:c r="N1684" s="87" t="str">
        <x:v>pages/VIS-SOC-DEC-CRIT-34-P015.png</x:v>
      </x:c>
      <x:c r="O1684" s="87" t="str">
        <x:v>thumbnails/VIS-SOC-DEC-CRIT-34-P015.jpg</x:v>
      </x:c>
      <x:c r="P1684" s="87"/>
      <x:c r="Q1684" s="30" t="str">
        <x:v>incoming/raw/recovery-drop-01/society_dec_visual_assets_v086(1).zip!/pages/VIS-SOC-DEC-CRIT-34-P015.png</x:v>
      </x:c>
      <x:c r="R1684" s="30" t="str">
        <x:v>RESOLVED_UNLINKED_REGISTRY_VISUAL</x:v>
      </x:c>
      <x:c r="S1684" t="e">
        <x:f>HYPERLINK("visual_gallery/index.html#"&amp;A1684,"Галерея")</x:f>
      </x:c>
    </x:row>
    <x:row r="1685">
      <x:c r="A1685" s="87" t="str">
        <x:v>VIS-SOC-DEC-CRIT-34-P016</x:v>
      </x:c>
      <x:c r="B1685" s="30" t="str"/>
      <x:c r="C1685" s="30"/>
      <x:c r="D1685" s="30" t="str">
        <x:v>ОБ2510304</x:v>
      </x:c>
      <x:c r="E1685" s="87" t="str">
        <x:v>CRIT</x:v>
      </x:c>
      <x:c r="F1685" s="30" t="str">
        <x:v>Kriterii_OB11_10122025_.pdf</x:v>
      </x:c>
      <x:c r="G1685" s="87"/>
      <x:c r="H1685" s="87" t="str">
        <x:v>v0.86</x:v>
      </x:c>
      <x:c r="I1685" s="87" t="str">
        <x:v>0</x:v>
      </x:c>
      <x:c r="J1685" s="30" t="str"/>
      <x:c r="K1685" s="30" t="str"/>
      <x:c r="L1685" s="87" t="str">
        <x:v>CROP_VERIFIED</x:v>
      </x:c>
      <x:c r="M1685" s="87" t="str">
        <x:v>ORIGINAL_PACKAGE</x:v>
      </x:c>
      <x:c r="N1685" s="87" t="str">
        <x:v>pages/VIS-SOC-DEC-CRIT-34-P016.png</x:v>
      </x:c>
      <x:c r="O1685" s="87" t="str">
        <x:v>thumbnails/VIS-SOC-DEC-CRIT-34-P016.jpg</x:v>
      </x:c>
      <x:c r="P1685" s="87"/>
      <x:c r="Q1685" s="30" t="str">
        <x:v>incoming/raw/recovery-drop-01/society_dec_visual_assets_v086(1).zip!/pages/VIS-SOC-DEC-CRIT-34-P016.png</x:v>
      </x:c>
      <x:c r="R1685" s="30" t="str">
        <x:v>RESOLVED_UNLINKED_REGISTRY_VISUAL</x:v>
      </x:c>
      <x:c r="S1685" t="e">
        <x:f>HYPERLINK("visual_gallery/index.html#"&amp;A1685,"Галерея")</x:f>
      </x:c>
    </x:row>
    <x:row r="1686">
      <x:c r="A1686" s="87" t="str">
        <x:v>VIS-SOC-DEC-CRIT-34-P017</x:v>
      </x:c>
      <x:c r="B1686" s="30" t="str"/>
      <x:c r="C1686" s="30"/>
      <x:c r="D1686" s="30" t="str">
        <x:v>ОБ2510304</x:v>
      </x:c>
      <x:c r="E1686" s="87" t="str">
        <x:v>CRIT</x:v>
      </x:c>
      <x:c r="F1686" s="30" t="str">
        <x:v>Kriterii_OB11_10122025_.pdf</x:v>
      </x:c>
      <x:c r="G1686" s="87"/>
      <x:c r="H1686" s="87" t="str">
        <x:v>v0.86</x:v>
      </x:c>
      <x:c r="I1686" s="87" t="str">
        <x:v>0</x:v>
      </x:c>
      <x:c r="J1686" s="30" t="str"/>
      <x:c r="K1686" s="30" t="str"/>
      <x:c r="L1686" s="87" t="str">
        <x:v>CROP_VERIFIED</x:v>
      </x:c>
      <x:c r="M1686" s="87" t="str">
        <x:v>ORIGINAL_PACKAGE</x:v>
      </x:c>
      <x:c r="N1686" s="87" t="str">
        <x:v>pages/VIS-SOC-DEC-CRIT-34-P017.png</x:v>
      </x:c>
      <x:c r="O1686" s="87" t="str">
        <x:v>thumbnails/VIS-SOC-DEC-CRIT-34-P017.jpg</x:v>
      </x:c>
      <x:c r="P1686" s="87"/>
      <x:c r="Q1686" s="30" t="str">
        <x:v>incoming/raw/recovery-drop-01/society_dec_visual_assets_v086(1).zip!/pages/VIS-SOC-DEC-CRIT-34-P017.png</x:v>
      </x:c>
      <x:c r="R1686" s="30" t="str">
        <x:v>RESOLVED_UNLINKED_REGISTRY_VISUAL</x:v>
      </x:c>
      <x:c r="S1686" t="e">
        <x:f>HYPERLINK("visual_gallery/index.html#"&amp;A1686,"Галерея")</x:f>
      </x:c>
    </x:row>
    <x:row r="1687">
      <x:c r="A1687" s="87" t="str">
        <x:v>VIS-SOC-DEC-CRIT-34-P018</x:v>
      </x:c>
      <x:c r="B1687" s="30" t="str"/>
      <x:c r="C1687" s="30"/>
      <x:c r="D1687" s="30" t="str">
        <x:v>ОБ2510304</x:v>
      </x:c>
      <x:c r="E1687" s="87" t="str">
        <x:v>CRIT</x:v>
      </x:c>
      <x:c r="F1687" s="30" t="str">
        <x:v>Kriterii_OB11_10122025_.pdf</x:v>
      </x:c>
      <x:c r="G1687" s="87"/>
      <x:c r="H1687" s="87" t="str">
        <x:v>v0.86</x:v>
      </x:c>
      <x:c r="I1687" s="87" t="str">
        <x:v>0</x:v>
      </x:c>
      <x:c r="J1687" s="30" t="str"/>
      <x:c r="K1687" s="30" t="str"/>
      <x:c r="L1687" s="87" t="str">
        <x:v>CROP_VERIFIED</x:v>
      </x:c>
      <x:c r="M1687" s="87" t="str">
        <x:v>ORIGINAL_PACKAGE</x:v>
      </x:c>
      <x:c r="N1687" s="87" t="str">
        <x:v>pages/VIS-SOC-DEC-CRIT-34-P018.png</x:v>
      </x:c>
      <x:c r="O1687" s="87" t="str">
        <x:v>thumbnails/VIS-SOC-DEC-CRIT-34-P018.jpg</x:v>
      </x:c>
      <x:c r="P1687" s="87"/>
      <x:c r="Q1687" s="30" t="str">
        <x:v>incoming/raw/recovery-drop-01/society_dec_visual_assets_v086(1).zip!/pages/VIS-SOC-DEC-CRIT-34-P018.png</x:v>
      </x:c>
      <x:c r="R1687" s="30" t="str">
        <x:v>RESOLVED_UNLINKED_REGISTRY_VISUAL</x:v>
      </x:c>
      <x:c r="S1687" t="e">
        <x:f>HYPERLINK("visual_gallery/index.html#"&amp;A1687,"Галерея")</x:f>
      </x:c>
    </x:row>
    <x:row r="1688">
      <x:c r="A1688" s="87" t="str">
        <x:v>VIS-SOC-DEC-CRIT-34-P019</x:v>
      </x:c>
      <x:c r="B1688" s="30" t="str"/>
      <x:c r="C1688" s="30"/>
      <x:c r="D1688" s="30" t="str">
        <x:v>ОБ2510304</x:v>
      </x:c>
      <x:c r="E1688" s="87" t="str">
        <x:v>CRIT</x:v>
      </x:c>
      <x:c r="F1688" s="30" t="str">
        <x:v>Kriterii_OB11_10122025_.pdf</x:v>
      </x:c>
      <x:c r="G1688" s="87"/>
      <x:c r="H1688" s="87" t="str">
        <x:v>v0.86</x:v>
      </x:c>
      <x:c r="I1688" s="87" t="str">
        <x:v>0</x:v>
      </x:c>
      <x:c r="J1688" s="30" t="str"/>
      <x:c r="K1688" s="30" t="str"/>
      <x:c r="L1688" s="87" t="str">
        <x:v>CROP_VERIFIED</x:v>
      </x:c>
      <x:c r="M1688" s="87" t="str">
        <x:v>ORIGINAL_PACKAGE</x:v>
      </x:c>
      <x:c r="N1688" s="87" t="str">
        <x:v>pages/VIS-SOC-DEC-CRIT-34-P019.png</x:v>
      </x:c>
      <x:c r="O1688" s="87" t="str">
        <x:v>thumbnails/VIS-SOC-DEC-CRIT-34-P019.jpg</x:v>
      </x:c>
      <x:c r="P1688" s="87"/>
      <x:c r="Q1688" s="30" t="str">
        <x:v>incoming/raw/recovery-drop-01/society_dec_visual_assets_v086(1).zip!/pages/VIS-SOC-DEC-CRIT-34-P019.png</x:v>
      </x:c>
      <x:c r="R1688" s="30" t="str">
        <x:v>RESOLVED_UNLINKED_REGISTRY_VISUAL</x:v>
      </x:c>
      <x:c r="S1688" t="e">
        <x:f>HYPERLINK("visual_gallery/index.html#"&amp;A1688,"Галерея")</x:f>
      </x:c>
    </x:row>
    <x:row r="1689">
      <x:c r="A1689" s="87" t="str">
        <x:v>VIS-SOC-DEC-CRIT-34-P020</x:v>
      </x:c>
      <x:c r="B1689" s="30" t="str"/>
      <x:c r="C1689" s="30"/>
      <x:c r="D1689" s="30" t="str">
        <x:v>ОБ2510304</x:v>
      </x:c>
      <x:c r="E1689" s="87" t="str">
        <x:v>CRIT</x:v>
      </x:c>
      <x:c r="F1689" s="30" t="str">
        <x:v>Kriterii_OB11_10122025_.pdf</x:v>
      </x:c>
      <x:c r="G1689" s="87"/>
      <x:c r="H1689" s="87" t="str">
        <x:v>v0.86</x:v>
      </x:c>
      <x:c r="I1689" s="87" t="str">
        <x:v>0</x:v>
      </x:c>
      <x:c r="J1689" s="30" t="str"/>
      <x:c r="K1689" s="30" t="str"/>
      <x:c r="L1689" s="87" t="str">
        <x:v>CROP_VERIFIED</x:v>
      </x:c>
      <x:c r="M1689" s="87" t="str">
        <x:v>ORIGINAL_PACKAGE</x:v>
      </x:c>
      <x:c r="N1689" s="87" t="str">
        <x:v>pages/VIS-SOC-DEC-CRIT-34-P020.png</x:v>
      </x:c>
      <x:c r="O1689" s="87" t="str">
        <x:v>thumbnails/VIS-SOC-DEC-CRIT-34-P020.jpg</x:v>
      </x:c>
      <x:c r="P1689" s="87"/>
      <x:c r="Q1689" s="30" t="str">
        <x:v>incoming/raw/recovery-drop-01/society_dec_visual_assets_v086(1).zip!/pages/VIS-SOC-DEC-CRIT-34-P020.png</x:v>
      </x:c>
      <x:c r="R1689" s="30" t="str">
        <x:v>RESOLVED_UNLINKED_REGISTRY_VISUAL</x:v>
      </x:c>
      <x:c r="S1689" t="e">
        <x:f>HYPERLINK("visual_gallery/index.html#"&amp;A1689,"Галерея")</x:f>
      </x:c>
    </x:row>
    <x:row r="1690">
      <x:c r="A1690" s="87" t="str">
        <x:v>VIS-SOC-DEC-CRIT-34-P021</x:v>
      </x:c>
      <x:c r="B1690" s="30" t="str"/>
      <x:c r="C1690" s="30"/>
      <x:c r="D1690" s="30" t="str">
        <x:v>ОБ2510304</x:v>
      </x:c>
      <x:c r="E1690" s="87" t="str">
        <x:v>CRIT</x:v>
      </x:c>
      <x:c r="F1690" s="30" t="str">
        <x:v>Kriterii_OB11_10122025_.pdf</x:v>
      </x:c>
      <x:c r="G1690" s="87"/>
      <x:c r="H1690" s="87" t="str">
        <x:v>v0.86</x:v>
      </x:c>
      <x:c r="I1690" s="87" t="str">
        <x:v>0</x:v>
      </x:c>
      <x:c r="J1690" s="30" t="str"/>
      <x:c r="K1690" s="30" t="str"/>
      <x:c r="L1690" s="87" t="str">
        <x:v>CROP_VERIFIED</x:v>
      </x:c>
      <x:c r="M1690" s="87" t="str">
        <x:v>ORIGINAL_PACKAGE</x:v>
      </x:c>
      <x:c r="N1690" s="87" t="str">
        <x:v>pages/VIS-SOC-DEC-CRIT-34-P021.png</x:v>
      </x:c>
      <x:c r="O1690" s="87" t="str">
        <x:v>thumbnails/VIS-SOC-DEC-CRIT-34-P021.jpg</x:v>
      </x:c>
      <x:c r="P1690" s="87"/>
      <x:c r="Q1690" s="30" t="str">
        <x:v>incoming/raw/recovery-drop-01/society_dec_visual_assets_v086(1).zip!/pages/VIS-SOC-DEC-CRIT-34-P021.png</x:v>
      </x:c>
      <x:c r="R1690" s="30" t="str">
        <x:v>RESOLVED_UNLINKED_REGISTRY_VISUAL</x:v>
      </x:c>
      <x:c r="S1690" t="e">
        <x:f>HYPERLINK("visual_gallery/index.html#"&amp;A1690,"Галерея")</x:f>
      </x:c>
    </x:row>
    <x:row r="1691">
      <x:c r="A1691" s="87" t="str">
        <x:v>VIS-SOC-DEC-CRIT-34-P022</x:v>
      </x:c>
      <x:c r="B1691" s="30" t="str"/>
      <x:c r="C1691" s="30"/>
      <x:c r="D1691" s="30" t="str">
        <x:v>ОБ2510304</x:v>
      </x:c>
      <x:c r="E1691" s="87" t="str">
        <x:v>CRIT</x:v>
      </x:c>
      <x:c r="F1691" s="30" t="str">
        <x:v>Kriterii_OB11_10122025_.pdf</x:v>
      </x:c>
      <x:c r="G1691" s="87"/>
      <x:c r="H1691" s="87" t="str">
        <x:v>v0.86</x:v>
      </x:c>
      <x:c r="I1691" s="87" t="str">
        <x:v>0</x:v>
      </x:c>
      <x:c r="J1691" s="30" t="str"/>
      <x:c r="K1691" s="30" t="str"/>
      <x:c r="L1691" s="87" t="str">
        <x:v>CROP_VERIFIED</x:v>
      </x:c>
      <x:c r="M1691" s="87" t="str">
        <x:v>ORIGINAL_PACKAGE</x:v>
      </x:c>
      <x:c r="N1691" s="87" t="str">
        <x:v>pages/VIS-SOC-DEC-CRIT-34-P022.png</x:v>
      </x:c>
      <x:c r="O1691" s="87" t="str">
        <x:v>thumbnails/VIS-SOC-DEC-CRIT-34-P022.jpg</x:v>
      </x:c>
      <x:c r="P1691" s="87"/>
      <x:c r="Q1691" s="30" t="str">
        <x:v>incoming/raw/recovery-drop-01/society_dec_visual_assets_v086(1).zip!/pages/VIS-SOC-DEC-CRIT-34-P022.png</x:v>
      </x:c>
      <x:c r="R1691" s="30" t="str">
        <x:v>RESOLVED_UNLINKED_REGISTRY_VISUAL</x:v>
      </x:c>
      <x:c r="S1691" t="e">
        <x:f>HYPERLINK("visual_gallery/index.html#"&amp;A1691,"Галерея")</x:f>
      </x:c>
    </x:row>
    <x:row r="1692">
      <x:c r="A1692" s="87" t="str">
        <x:v>VIS-SOC-DEC-CRIT-34-P023</x:v>
      </x:c>
      <x:c r="B1692" s="30" t="str"/>
      <x:c r="C1692" s="30"/>
      <x:c r="D1692" s="30" t="str">
        <x:v>ОБ2510304</x:v>
      </x:c>
      <x:c r="E1692" s="87" t="str">
        <x:v>CRIT</x:v>
      </x:c>
      <x:c r="F1692" s="30" t="str">
        <x:v>Kriterii_OB11_10122025_.pdf</x:v>
      </x:c>
      <x:c r="G1692" s="87"/>
      <x:c r="H1692" s="87" t="str">
        <x:v>v0.86</x:v>
      </x:c>
      <x:c r="I1692" s="87" t="str">
        <x:v>0</x:v>
      </x:c>
      <x:c r="J1692" s="30" t="str"/>
      <x:c r="K1692" s="30" t="str"/>
      <x:c r="L1692" s="87" t="str">
        <x:v>CROP_VERIFIED</x:v>
      </x:c>
      <x:c r="M1692" s="87" t="str">
        <x:v>ORIGINAL_PACKAGE</x:v>
      </x:c>
      <x:c r="N1692" s="87" t="str">
        <x:v>pages/VIS-SOC-DEC-CRIT-34-P023.png</x:v>
      </x:c>
      <x:c r="O1692" s="87" t="str">
        <x:v>thumbnails/VIS-SOC-DEC-CRIT-34-P023.jpg</x:v>
      </x:c>
      <x:c r="P1692" s="87"/>
      <x:c r="Q1692" s="30" t="str">
        <x:v>incoming/raw/recovery-drop-01/society_dec_visual_assets_v086(1).zip!/pages/VIS-SOC-DEC-CRIT-34-P023.png</x:v>
      </x:c>
      <x:c r="R1692" s="30" t="str">
        <x:v>RESOLVED_UNLINKED_REGISTRY_VISUAL</x:v>
      </x:c>
      <x:c r="S1692" t="e">
        <x:f>HYPERLINK("visual_gallery/index.html#"&amp;A1692,"Галерея")</x:f>
      </x:c>
    </x:row>
    <x:row r="1693">
      <x:c r="A1693" s="87" t="str">
        <x:v>VIS-SOC-DEC-CRIT-34-P024</x:v>
      </x:c>
      <x:c r="B1693" s="30" t="str"/>
      <x:c r="C1693" s="30"/>
      <x:c r="D1693" s="30" t="str">
        <x:v>ОБ2510304</x:v>
      </x:c>
      <x:c r="E1693" s="87" t="str">
        <x:v>CRIT</x:v>
      </x:c>
      <x:c r="F1693" s="30" t="str">
        <x:v>Kriterii_OB11_10122025_.pdf</x:v>
      </x:c>
      <x:c r="G1693" s="87"/>
      <x:c r="H1693" s="87" t="str">
        <x:v>v0.86</x:v>
      </x:c>
      <x:c r="I1693" s="87" t="str">
        <x:v>0</x:v>
      </x:c>
      <x:c r="J1693" s="30" t="str"/>
      <x:c r="K1693" s="30" t="str"/>
      <x:c r="L1693" s="87" t="str">
        <x:v>CROP_VERIFIED</x:v>
      </x:c>
      <x:c r="M1693" s="87" t="str">
        <x:v>ORIGINAL_PACKAGE</x:v>
      </x:c>
      <x:c r="N1693" s="87" t="str">
        <x:v>pages/VIS-SOC-DEC-CRIT-34-P024.png</x:v>
      </x:c>
      <x:c r="O1693" s="87" t="str">
        <x:v>thumbnails/VIS-SOC-DEC-CRIT-34-P024.jpg</x:v>
      </x:c>
      <x:c r="P1693" s="87"/>
      <x:c r="Q1693" s="30" t="str">
        <x:v>incoming/raw/recovery-drop-01/society_dec_visual_assets_v086(1).zip!/pages/VIS-SOC-DEC-CRIT-34-P024.png</x:v>
      </x:c>
      <x:c r="R1693" s="30" t="str">
        <x:v>RESOLVED_UNLINKED_REGISTRY_VISUAL</x:v>
      </x:c>
      <x:c r="S1693" t="e">
        <x:f>HYPERLINK("visual_gallery/index.html#"&amp;A1693,"Галерея")</x:f>
      </x:c>
    </x:row>
    <x:row r="1694">
      <x:c r="A1694" s="87" t="str">
        <x:v>VIS-SOC-DEC-CRIT-34-P025</x:v>
      </x:c>
      <x:c r="B1694" s="30" t="str"/>
      <x:c r="C1694" s="30"/>
      <x:c r="D1694" s="30" t="str">
        <x:v>ОБ2510304</x:v>
      </x:c>
      <x:c r="E1694" s="87" t="str">
        <x:v>CRIT</x:v>
      </x:c>
      <x:c r="F1694" s="30" t="str">
        <x:v>Kriterii_OB11_10122025_.pdf</x:v>
      </x:c>
      <x:c r="G1694" s="87"/>
      <x:c r="H1694" s="87" t="str">
        <x:v>v0.86</x:v>
      </x:c>
      <x:c r="I1694" s="87" t="str">
        <x:v>0</x:v>
      </x:c>
      <x:c r="J1694" s="30" t="str"/>
      <x:c r="K1694" s="30" t="str"/>
      <x:c r="L1694" s="87" t="str">
        <x:v>CROP_VERIFIED</x:v>
      </x:c>
      <x:c r="M1694" s="87" t="str">
        <x:v>ORIGINAL_PACKAGE</x:v>
      </x:c>
      <x:c r="N1694" s="87" t="str">
        <x:v>pages/VIS-SOC-DEC-CRIT-34-P025.png</x:v>
      </x:c>
      <x:c r="O1694" s="87" t="str">
        <x:v>thumbnails/VIS-SOC-DEC-CRIT-34-P025.jpg</x:v>
      </x:c>
      <x:c r="P1694" s="87"/>
      <x:c r="Q1694" s="30" t="str">
        <x:v>incoming/raw/recovery-drop-01/society_dec_visual_assets_v086(1).zip!/pages/VIS-SOC-DEC-CRIT-34-P025.png</x:v>
      </x:c>
      <x:c r="R1694" s="30" t="str">
        <x:v>RESOLVED_UNLINKED_REGISTRY_VISUAL</x:v>
      </x:c>
      <x:c r="S1694" t="e">
        <x:f>HYPERLINK("visual_gallery/index.html#"&amp;A1694,"Галерея")</x:f>
      </x:c>
    </x:row>
    <x:row r="1695">
      <x:c r="A1695" s="87" t="str">
        <x:v>VIS-SOC-DEC-CRIT-34-P026</x:v>
      </x:c>
      <x:c r="B1695" s="30" t="str"/>
      <x:c r="C1695" s="30"/>
      <x:c r="D1695" s="30" t="str">
        <x:v>ОБ2510304</x:v>
      </x:c>
      <x:c r="E1695" s="87" t="str">
        <x:v>CRIT</x:v>
      </x:c>
      <x:c r="F1695" s="30" t="str">
        <x:v>Kriterii_OB11_10122025_.pdf</x:v>
      </x:c>
      <x:c r="G1695" s="87"/>
      <x:c r="H1695" s="87" t="str">
        <x:v>v0.86</x:v>
      </x:c>
      <x:c r="I1695" s="87" t="str">
        <x:v>0</x:v>
      </x:c>
      <x:c r="J1695" s="30" t="str"/>
      <x:c r="K1695" s="30" t="str"/>
      <x:c r="L1695" s="87" t="str">
        <x:v>CROP_VERIFIED</x:v>
      </x:c>
      <x:c r="M1695" s="87" t="str">
        <x:v>ORIGINAL_PACKAGE</x:v>
      </x:c>
      <x:c r="N1695" s="87" t="str">
        <x:v>pages/VIS-SOC-DEC-CRIT-34-P026.png</x:v>
      </x:c>
      <x:c r="O1695" s="87" t="str">
        <x:v>thumbnails/VIS-SOC-DEC-CRIT-34-P026.jpg</x:v>
      </x:c>
      <x:c r="P1695" s="87"/>
      <x:c r="Q1695" s="30" t="str">
        <x:v>incoming/raw/recovery-drop-01/society_dec_visual_assets_v086(1).zip!/pages/VIS-SOC-DEC-CRIT-34-P026.png</x:v>
      </x:c>
      <x:c r="R1695" s="30" t="str">
        <x:v>RESOLVED_UNLINKED_REGISTRY_VISUAL</x:v>
      </x:c>
      <x:c r="S1695" t="e">
        <x:f>HYPERLINK("visual_gallery/index.html#"&amp;A1695,"Галерея")</x:f>
      </x:c>
    </x:row>
    <x:row r="1696">
      <x:c r="A1696" s="87" t="str">
        <x:v>VIS-SOC-DEC-CRIT-34-P027</x:v>
      </x:c>
      <x:c r="B1696" s="30" t="str"/>
      <x:c r="C1696" s="30"/>
      <x:c r="D1696" s="30" t="str">
        <x:v>ОБ2510304</x:v>
      </x:c>
      <x:c r="E1696" s="87" t="str">
        <x:v>CRIT</x:v>
      </x:c>
      <x:c r="F1696" s="30" t="str">
        <x:v>Kriterii_OB11_10122025_.pdf</x:v>
      </x:c>
      <x:c r="G1696" s="87"/>
      <x:c r="H1696" s="87" t="str">
        <x:v>v0.86</x:v>
      </x:c>
      <x:c r="I1696" s="87" t="str">
        <x:v>0</x:v>
      </x:c>
      <x:c r="J1696" s="30" t="str"/>
      <x:c r="K1696" s="30" t="str"/>
      <x:c r="L1696" s="87" t="str">
        <x:v>CROP_VERIFIED</x:v>
      </x:c>
      <x:c r="M1696" s="87" t="str">
        <x:v>ORIGINAL_PACKAGE</x:v>
      </x:c>
      <x:c r="N1696" s="87" t="str">
        <x:v>pages/VIS-SOC-DEC-CRIT-34-P027.png</x:v>
      </x:c>
      <x:c r="O1696" s="87" t="str">
        <x:v>thumbnails/VIS-SOC-DEC-CRIT-34-P027.jpg</x:v>
      </x:c>
      <x:c r="P1696" s="87"/>
      <x:c r="Q1696" s="30" t="str">
        <x:v>incoming/raw/recovery-drop-01/society_dec_visual_assets_v086(1).zip!/pages/VIS-SOC-DEC-CRIT-34-P027.png</x:v>
      </x:c>
      <x:c r="R1696" s="30" t="str">
        <x:v>RESOLVED_UNLINKED_REGISTRY_VISUAL</x:v>
      </x:c>
      <x:c r="S1696" t="e">
        <x:f>HYPERLINK("visual_gallery/index.html#"&amp;A1696,"Галерея")</x:f>
      </x:c>
    </x:row>
    <x:row r="1697">
      <x:c r="A1697" s="87" t="str">
        <x:v>VIS-SOC-DEC-CRIT-34-P028</x:v>
      </x:c>
      <x:c r="B1697" s="30" t="str"/>
      <x:c r="C1697" s="30"/>
      <x:c r="D1697" s="30" t="str">
        <x:v>ОБ2510304</x:v>
      </x:c>
      <x:c r="E1697" s="87" t="str">
        <x:v>CRIT</x:v>
      </x:c>
      <x:c r="F1697" s="30" t="str">
        <x:v>Kriterii_OB11_10122025_.pdf</x:v>
      </x:c>
      <x:c r="G1697" s="87"/>
      <x:c r="H1697" s="87" t="str">
        <x:v>v0.86</x:v>
      </x:c>
      <x:c r="I1697" s="87" t="str">
        <x:v>0</x:v>
      </x:c>
      <x:c r="J1697" s="30" t="str"/>
      <x:c r="K1697" s="30" t="str"/>
      <x:c r="L1697" s="87" t="str">
        <x:v>CROP_VERIFIED</x:v>
      </x:c>
      <x:c r="M1697" s="87" t="str">
        <x:v>ORIGINAL_PACKAGE</x:v>
      </x:c>
      <x:c r="N1697" s="87" t="str">
        <x:v>pages/VIS-SOC-DEC-CRIT-34-P028.png</x:v>
      </x:c>
      <x:c r="O1697" s="87" t="str">
        <x:v>thumbnails/VIS-SOC-DEC-CRIT-34-P028.jpg</x:v>
      </x:c>
      <x:c r="P1697" s="87"/>
      <x:c r="Q1697" s="30" t="str">
        <x:v>incoming/raw/recovery-drop-01/society_dec_visual_assets_v086(1).zip!/pages/VIS-SOC-DEC-CRIT-34-P028.png</x:v>
      </x:c>
      <x:c r="R1697" s="30" t="str">
        <x:v>RESOLVED_UNLINKED_REGISTRY_VISUAL</x:v>
      </x:c>
      <x:c r="S1697" t="e">
        <x:f>HYPERLINK("visual_gallery/index.html#"&amp;A1697,"Галерея")</x:f>
      </x:c>
    </x:row>
    <x:row r="1698">
      <x:c r="A1698" s="87" t="str">
        <x:v>VIS-SOC-DEC-CRIT-34-P029</x:v>
      </x:c>
      <x:c r="B1698" s="30" t="str"/>
      <x:c r="C1698" s="30"/>
      <x:c r="D1698" s="30" t="str">
        <x:v>ОБ2510304</x:v>
      </x:c>
      <x:c r="E1698" s="87" t="str">
        <x:v>CRIT</x:v>
      </x:c>
      <x:c r="F1698" s="30" t="str">
        <x:v>Kriterii_OB11_10122025_.pdf</x:v>
      </x:c>
      <x:c r="G1698" s="87"/>
      <x:c r="H1698" s="87" t="str">
        <x:v>v0.86</x:v>
      </x:c>
      <x:c r="I1698" s="87" t="str">
        <x:v>0</x:v>
      </x:c>
      <x:c r="J1698" s="30" t="str"/>
      <x:c r="K1698" s="30" t="str"/>
      <x:c r="L1698" s="87" t="str">
        <x:v>CROP_VERIFIED</x:v>
      </x:c>
      <x:c r="M1698" s="87" t="str">
        <x:v>ORIGINAL_PACKAGE</x:v>
      </x:c>
      <x:c r="N1698" s="87" t="str">
        <x:v>pages/VIS-SOC-DEC-CRIT-34-P029.png</x:v>
      </x:c>
      <x:c r="O1698" s="87" t="str">
        <x:v>thumbnails/VIS-SOC-DEC-CRIT-34-P029.jpg</x:v>
      </x:c>
      <x:c r="P1698" s="87"/>
      <x:c r="Q1698" s="30" t="str">
        <x:v>incoming/raw/recovery-drop-01/society_dec_visual_assets_v086(1).zip!/pages/VIS-SOC-DEC-CRIT-34-P029.png</x:v>
      </x:c>
      <x:c r="R1698" s="30" t="str">
        <x:v>RESOLVED_UNLINKED_REGISTRY_VISUAL</x:v>
      </x:c>
      <x:c r="S1698" t="e">
        <x:f>HYPERLINK("visual_gallery/index.html#"&amp;A1698,"Галерея")</x:f>
      </x:c>
    </x:row>
    <x:row r="1699">
      <x:c r="A1699" s="87" t="str">
        <x:v>VIS-SOC-DEC-TASK-12-P001</x:v>
      </x:c>
      <x:c r="B1699" s="30" t="str"/>
      <x:c r="C1699" s="30"/>
      <x:c r="D1699" s="30" t="str">
        <x:v>ОБ2510301</x:v>
      </x:c>
      <x:c r="E1699" s="87" t="str">
        <x:v>TASK</x:v>
      </x:c>
      <x:c r="F1699" s="30" t="str">
        <x:v>Zadanie_OB11_10122025_1_2.pdf</x:v>
      </x:c>
      <x:c r="G1699" s="87"/>
      <x:c r="H1699" s="87" t="str">
        <x:v>v0.86</x:v>
      </x:c>
      <x:c r="I1699" s="87" t="str">
        <x:v>0</x:v>
      </x:c>
      <x:c r="J1699" s="30" t="str"/>
      <x:c r="K1699" s="30" t="str"/>
      <x:c r="L1699" s="87" t="str">
        <x:v>CROP_VERIFIED</x:v>
      </x:c>
      <x:c r="M1699" s="87" t="str">
        <x:v>ORIGINAL_PACKAGE</x:v>
      </x:c>
      <x:c r="N1699" s="87" t="str">
        <x:v>pages/VIS-SOC-DEC-TASK-12-P001.png</x:v>
      </x:c>
      <x:c r="O1699" s="87" t="str">
        <x:v>thumbnails/VIS-SOC-DEC-TASK-12-P001.jpg</x:v>
      </x:c>
      <x:c r="P1699" s="87"/>
      <x:c r="Q1699" s="30" t="str">
        <x:v>incoming/raw/recovery-drop-01/society_dec_visual_assets_v086(1).zip!/pages/VIS-SOC-DEC-TASK-12-P001.png</x:v>
      </x:c>
      <x:c r="R1699" s="30" t="str">
        <x:v>RESOLVED_UNLINKED_REGISTRY_VISUAL</x:v>
      </x:c>
      <x:c r="S1699" t="e">
        <x:f>HYPERLINK("visual_gallery/index.html#"&amp;A1699,"Галерея")</x:f>
      </x:c>
    </x:row>
    <x:row r="1700">
      <x:c r="A1700" s="87" t="str">
        <x:v>VIS-SOC-DEC-TASK-12-P002</x:v>
      </x:c>
      <x:c r="B1700" s="30" t="str">
        <x:v>Обществознание</x:v>
      </x:c>
      <x:c r="C1700" s="30"/>
      <x:c r="D1700" s="30" t="str">
        <x:v>ОБ2510301</x:v>
      </x:c>
      <x:c r="E1700" s="87" t="str">
        <x:v>TASK</x:v>
      </x:c>
      <x:c r="F1700" s="30" t="str">
        <x:v>Zadanie_OB11_10122025_1_2.pdf</x:v>
      </x:c>
      <x:c r="G1700" s="87"/>
      <x:c r="H1700" s="87" t="str">
        <x:v>v0.86</x:v>
      </x:c>
      <x:c r="I1700" s="87" t="str">
        <x:v>2</x:v>
      </x:c>
      <x:c r="J1700" s="30" t="str">
        <x:v>VIS_ID</x:v>
      </x:c>
      <x:c r="K1700" s="30" t="str">
        <x:v>DEC-SOC-01-001, DEC-SOC-01-002</x:v>
      </x:c>
      <x:c r="L1700" s="87" t="str">
        <x:v>CROP_VERIFIED</x:v>
      </x:c>
      <x:c r="M1700" s="87" t="str">
        <x:v>ORIGINAL_PACKAGE</x:v>
      </x:c>
      <x:c r="N1700" s="87" t="str">
        <x:v>pages/VIS-SOC-DEC-TASK-12-P002.png</x:v>
      </x:c>
      <x:c r="O1700" s="87" t="str">
        <x:v>thumbnails/VIS-SOC-DEC-TASK-12-P002.jpg</x:v>
      </x:c>
      <x:c r="P1700" s="87"/>
      <x:c r="Q1700" s="30" t="str">
        <x:v>incoming/raw/recovery-drop-01/society_dec_visual_assets_v086(1).zip!/pages/VIS-SOC-DEC-TASK-12-P002.png</x:v>
      </x:c>
      <x:c r="R1700" s="30" t="str">
        <x:v>MATCHED_ASSET</x:v>
      </x:c>
      <x:c r="S1700" t="e">
        <x:f>HYPERLINK("visual_gallery/index.html#"&amp;A1700,"Галерея")</x:f>
      </x:c>
    </x:row>
    <x:row r="1701">
      <x:c r="A1701" s="87" t="str">
        <x:v>VIS-SOC-DEC-TASK-12-P003</x:v>
      </x:c>
      <x:c r="B1701" s="30" t="str">
        <x:v>Обществознание</x:v>
      </x:c>
      <x:c r="C1701" s="30"/>
      <x:c r="D1701" s="30" t="str">
        <x:v>ОБ2510301</x:v>
      </x:c>
      <x:c r="E1701" s="87" t="str">
        <x:v>TASK</x:v>
      </x:c>
      <x:c r="F1701" s="30" t="str">
        <x:v>Zadanie_OB11_10122025_1_2.pdf</x:v>
      </x:c>
      <x:c r="G1701" s="87"/>
      <x:c r="H1701" s="87" t="str">
        <x:v>v0.86</x:v>
      </x:c>
      <x:c r="I1701" s="87" t="str">
        <x:v>2</x:v>
      </x:c>
      <x:c r="J1701" s="30" t="str">
        <x:v>VIS_ID</x:v>
      </x:c>
      <x:c r="K1701" s="30" t="str">
        <x:v>DEC-SOC-01-003, DEC-SOC-01-004</x:v>
      </x:c>
      <x:c r="L1701" s="87" t="str">
        <x:v>CROP_VERIFIED</x:v>
      </x:c>
      <x:c r="M1701" s="87" t="str">
        <x:v>ORIGINAL_PACKAGE</x:v>
      </x:c>
      <x:c r="N1701" s="87" t="str">
        <x:v>pages/VIS-SOC-DEC-TASK-12-P003.png</x:v>
      </x:c>
      <x:c r="O1701" s="87" t="str">
        <x:v>thumbnails/VIS-SOC-DEC-TASK-12-P003.jpg</x:v>
      </x:c>
      <x:c r="P1701" s="87"/>
      <x:c r="Q1701" s="30" t="str">
        <x:v>incoming/raw/recovery-drop-01/society_dec_visual_assets_v086(1).zip!/pages/VIS-SOC-DEC-TASK-12-P003.png</x:v>
      </x:c>
      <x:c r="R1701" s="30" t="str">
        <x:v>MATCHED_ASSET</x:v>
      </x:c>
      <x:c r="S1701" t="e">
        <x:f>HYPERLINK("visual_gallery/index.html#"&amp;A1701,"Галерея")</x:f>
      </x:c>
    </x:row>
    <x:row r="1702">
      <x:c r="A1702" s="87" t="str">
        <x:v>VIS-SOC-DEC-TASK-12-P004</x:v>
      </x:c>
      <x:c r="B1702" s="30" t="str">
        <x:v>Обществознание</x:v>
      </x:c>
      <x:c r="C1702" s="30"/>
      <x:c r="D1702" s="30" t="str">
        <x:v>ОБ2510301</x:v>
      </x:c>
      <x:c r="E1702" s="87" t="str">
        <x:v>TASK</x:v>
      </x:c>
      <x:c r="F1702" s="30" t="str">
        <x:v>Zadanie_OB11_10122025_1_2.pdf</x:v>
      </x:c>
      <x:c r="G1702" s="87"/>
      <x:c r="H1702" s="87" t="str">
        <x:v>v0.86</x:v>
      </x:c>
      <x:c r="I1702" s="87" t="str">
        <x:v>2</x:v>
      </x:c>
      <x:c r="J1702" s="30" t="str">
        <x:v>VIS_ID</x:v>
      </x:c>
      <x:c r="K1702" s="30" t="str">
        <x:v>DEC-SOC-01-005, DEC-SOC-01-006</x:v>
      </x:c>
      <x:c r="L1702" s="87" t="str">
        <x:v>CROP_VERIFIED</x:v>
      </x:c>
      <x:c r="M1702" s="87" t="str">
        <x:v>ORIGINAL_PACKAGE</x:v>
      </x:c>
      <x:c r="N1702" s="87" t="str">
        <x:v>pages/VIS-SOC-DEC-TASK-12-P004.png</x:v>
      </x:c>
      <x:c r="O1702" s="87" t="str">
        <x:v>thumbnails/VIS-SOC-DEC-TASK-12-P004.jpg</x:v>
      </x:c>
      <x:c r="P1702" s="87"/>
      <x:c r="Q1702" s="30" t="str">
        <x:v>incoming/raw/recovery-drop-01/society_dec_visual_assets_v086(1).zip!/pages/VIS-SOC-DEC-TASK-12-P004.png</x:v>
      </x:c>
      <x:c r="R1702" s="30" t="str">
        <x:v>MATCHED_ASSET</x:v>
      </x:c>
      <x:c r="S1702" t="e">
        <x:f>HYPERLINK("visual_gallery/index.html#"&amp;A1702,"Галерея")</x:f>
      </x:c>
    </x:row>
    <x:row r="1703">
      <x:c r="A1703" s="87" t="str">
        <x:v>VIS-SOC-DEC-TASK-12-P005</x:v>
      </x:c>
      <x:c r="B1703" s="30" t="str">
        <x:v>Обществознание</x:v>
      </x:c>
      <x:c r="C1703" s="30"/>
      <x:c r="D1703" s="30" t="str">
        <x:v>ОБ2510301</x:v>
      </x:c>
      <x:c r="E1703" s="87" t="str">
        <x:v>TASK</x:v>
      </x:c>
      <x:c r="F1703" s="30" t="str">
        <x:v>Zadanie_OB11_10122025_1_2.pdf</x:v>
      </x:c>
      <x:c r="G1703" s="87"/>
      <x:c r="H1703" s="87" t="str">
        <x:v>v0.86</x:v>
      </x:c>
      <x:c r="I1703" s="87" t="str">
        <x:v>2</x:v>
      </x:c>
      <x:c r="J1703" s="30" t="str">
        <x:v>VIS_ID</x:v>
      </x:c>
      <x:c r="K1703" s="30" t="str">
        <x:v>DEC-SOC-01-007, DEC-SOC-01-008</x:v>
      </x:c>
      <x:c r="L1703" s="87" t="str">
        <x:v>CROP_VERIFIED</x:v>
      </x:c>
      <x:c r="M1703" s="87" t="str">
        <x:v>ORIGINAL_PACKAGE</x:v>
      </x:c>
      <x:c r="N1703" s="87" t="str">
        <x:v>pages/VIS-SOC-DEC-TASK-12-P005.png</x:v>
      </x:c>
      <x:c r="O1703" s="87" t="str">
        <x:v>thumbnails/VIS-SOC-DEC-TASK-12-P005.jpg</x:v>
      </x:c>
      <x:c r="P1703" s="87"/>
      <x:c r="Q1703" s="30" t="str">
        <x:v>incoming/raw/recovery-drop-01/society_dec_visual_assets_v086(1).zip!/pages/VIS-SOC-DEC-TASK-12-P005.png</x:v>
      </x:c>
      <x:c r="R1703" s="30" t="str">
        <x:v>MATCHED_ASSET</x:v>
      </x:c>
      <x:c r="S1703" t="e">
        <x:f>HYPERLINK("visual_gallery/index.html#"&amp;A1703,"Галерея")</x:f>
      </x:c>
    </x:row>
    <x:row r="1704">
      <x:c r="A1704" s="87" t="str">
        <x:v>VIS-SOC-DEC-TASK-12-P006</x:v>
      </x:c>
      <x:c r="B1704" s="30" t="str">
        <x:v>Обществознание</x:v>
      </x:c>
      <x:c r="C1704" s="30"/>
      <x:c r="D1704" s="30" t="str">
        <x:v>ОБ2510301</x:v>
      </x:c>
      <x:c r="E1704" s="87" t="str">
        <x:v>TASK</x:v>
      </x:c>
      <x:c r="F1704" s="30" t="str">
        <x:v>Zadanie_OB11_10122025_1_2.pdf</x:v>
      </x:c>
      <x:c r="G1704" s="87"/>
      <x:c r="H1704" s="87" t="str">
        <x:v>v0.86</x:v>
      </x:c>
      <x:c r="I1704" s="87" t="str">
        <x:v>1</x:v>
      </x:c>
      <x:c r="J1704" s="30" t="str">
        <x:v>VIS_ID</x:v>
      </x:c>
      <x:c r="K1704" s="30" t="str">
        <x:v>DEC-SOC-01-009</x:v>
      </x:c>
      <x:c r="L1704" s="87" t="str">
        <x:v>CROP_VERIFIED</x:v>
      </x:c>
      <x:c r="M1704" s="87" t="str">
        <x:v>ORIGINAL_PACKAGE</x:v>
      </x:c>
      <x:c r="N1704" s="87" t="str">
        <x:v>pages/VIS-SOC-DEC-TASK-12-P006.png</x:v>
      </x:c>
      <x:c r="O1704" s="87" t="str">
        <x:v>thumbnails/VIS-SOC-DEC-TASK-12-P006.jpg</x:v>
      </x:c>
      <x:c r="P1704" s="87"/>
      <x:c r="Q1704" s="30" t="str">
        <x:v>incoming/raw/recovery-drop-01/society_dec_visual_assets_v086(1).zip!/pages/VIS-SOC-DEC-TASK-12-P006.png</x:v>
      </x:c>
      <x:c r="R1704" s="30" t="str">
        <x:v>MATCHED_ASSET</x:v>
      </x:c>
      <x:c r="S1704" t="e">
        <x:f>HYPERLINK("visual_gallery/index.html#"&amp;A1704,"Галерея")</x:f>
      </x:c>
    </x:row>
    <x:row r="1705">
      <x:c r="A1705" s="87" t="str">
        <x:v>VIS-SOC-DEC-TASK-12-P007</x:v>
      </x:c>
      <x:c r="B1705" s="30" t="str">
        <x:v>Обществознание</x:v>
      </x:c>
      <x:c r="C1705" s="30"/>
      <x:c r="D1705" s="30" t="str">
        <x:v>ОБ2510301</x:v>
      </x:c>
      <x:c r="E1705" s="87" t="str">
        <x:v>TASK</x:v>
      </x:c>
      <x:c r="F1705" s="30" t="str">
        <x:v>Zadanie_OB11_10122025_1_2.pdf</x:v>
      </x:c>
      <x:c r="G1705" s="87"/>
      <x:c r="H1705" s="87" t="str">
        <x:v>v0.86</x:v>
      </x:c>
      <x:c r="I1705" s="87" t="str">
        <x:v>2</x:v>
      </x:c>
      <x:c r="J1705" s="30" t="str">
        <x:v>VIS_ID</x:v>
      </x:c>
      <x:c r="K1705" s="30" t="str">
        <x:v>DEC-SOC-01-010, DEC-SOC-01-011</x:v>
      </x:c>
      <x:c r="L1705" s="87" t="str">
        <x:v>CROP_VERIFIED</x:v>
      </x:c>
      <x:c r="M1705" s="87" t="str">
        <x:v>ORIGINAL_PACKAGE</x:v>
      </x:c>
      <x:c r="N1705" s="87" t="str">
        <x:v>pages/VIS-SOC-DEC-TASK-12-P007.png</x:v>
      </x:c>
      <x:c r="O1705" s="87" t="str">
        <x:v>thumbnails/VIS-SOC-DEC-TASK-12-P007.jpg</x:v>
      </x:c>
      <x:c r="P1705" s="87"/>
      <x:c r="Q1705" s="30" t="str">
        <x:v>incoming/raw/recovery-drop-01/society_dec_visual_assets_v086(1).zip!/pages/VIS-SOC-DEC-TASK-12-P007.png</x:v>
      </x:c>
      <x:c r="R1705" s="30" t="str">
        <x:v>MATCHED_ASSET</x:v>
      </x:c>
      <x:c r="S1705" t="e">
        <x:f>HYPERLINK("visual_gallery/index.html#"&amp;A1705,"Галерея")</x:f>
      </x:c>
    </x:row>
    <x:row r="1706">
      <x:c r="A1706" s="87" t="str">
        <x:v>VIS-SOC-DEC-TASK-12-P008</x:v>
      </x:c>
      <x:c r="B1706" s="30" t="str">
        <x:v>Обществознание</x:v>
      </x:c>
      <x:c r="C1706" s="30"/>
      <x:c r="D1706" s="30" t="str">
        <x:v>ОБ2510301</x:v>
      </x:c>
      <x:c r="E1706" s="87" t="str">
        <x:v>TASK</x:v>
      </x:c>
      <x:c r="F1706" s="30" t="str">
        <x:v>Zadanie_OB11_10122025_1_2.pdf</x:v>
      </x:c>
      <x:c r="G1706" s="87"/>
      <x:c r="H1706" s="87" t="str">
        <x:v>v0.86</x:v>
      </x:c>
      <x:c r="I1706" s="87" t="str">
        <x:v>2</x:v>
      </x:c>
      <x:c r="J1706" s="30" t="str">
        <x:v>VIS_ID</x:v>
      </x:c>
      <x:c r="K1706" s="30" t="str">
        <x:v>DEC-SOC-01-012, DEC-SOC-01-013</x:v>
      </x:c>
      <x:c r="L1706" s="87" t="str">
        <x:v>CROP_VERIFIED</x:v>
      </x:c>
      <x:c r="M1706" s="87" t="str">
        <x:v>ORIGINAL_PACKAGE</x:v>
      </x:c>
      <x:c r="N1706" s="87" t="str">
        <x:v>pages/VIS-SOC-DEC-TASK-12-P008.png</x:v>
      </x:c>
      <x:c r="O1706" s="87" t="str">
        <x:v>thumbnails/VIS-SOC-DEC-TASK-12-P008.jpg</x:v>
      </x:c>
      <x:c r="P1706" s="87"/>
      <x:c r="Q1706" s="30" t="str">
        <x:v>incoming/raw/recovery-drop-01/society_dec_visual_assets_v086(1).zip!/pages/VIS-SOC-DEC-TASK-12-P008.png</x:v>
      </x:c>
      <x:c r="R1706" s="30" t="str">
        <x:v>MATCHED_ASSET</x:v>
      </x:c>
      <x:c r="S1706" t="e">
        <x:f>HYPERLINK("visual_gallery/index.html#"&amp;A1706,"Галерея")</x:f>
      </x:c>
    </x:row>
    <x:row r="1707">
      <x:c r="A1707" s="87" t="str">
        <x:v>VIS-SOC-DEC-TASK-12-P009</x:v>
      </x:c>
      <x:c r="B1707" s="30" t="str">
        <x:v>Обществознание</x:v>
      </x:c>
      <x:c r="C1707" s="30"/>
      <x:c r="D1707" s="30" t="str">
        <x:v>ОБ2510301</x:v>
      </x:c>
      <x:c r="E1707" s="87" t="str">
        <x:v>TASK</x:v>
      </x:c>
      <x:c r="F1707" s="30" t="str">
        <x:v>Zadanie_OB11_10122025_1_2.pdf</x:v>
      </x:c>
      <x:c r="G1707" s="87"/>
      <x:c r="H1707" s="87" t="str">
        <x:v>v0.86</x:v>
      </x:c>
      <x:c r="I1707" s="87" t="str">
        <x:v>2</x:v>
      </x:c>
      <x:c r="J1707" s="30" t="str">
        <x:v>VIS_ID</x:v>
      </x:c>
      <x:c r="K1707" s="30" t="str">
        <x:v>DEC-SOC-01-014, DEC-SOC-01-015</x:v>
      </x:c>
      <x:c r="L1707" s="87" t="str">
        <x:v>CROP_VERIFIED</x:v>
      </x:c>
      <x:c r="M1707" s="87" t="str">
        <x:v>ORIGINAL_PACKAGE</x:v>
      </x:c>
      <x:c r="N1707" s="87" t="str">
        <x:v>pages/VIS-SOC-DEC-TASK-12-P009.png</x:v>
      </x:c>
      <x:c r="O1707" s="87" t="str">
        <x:v>thumbnails/VIS-SOC-DEC-TASK-12-P009.jpg</x:v>
      </x:c>
      <x:c r="P1707" s="87"/>
      <x:c r="Q1707" s="30" t="str">
        <x:v>incoming/raw/recovery-drop-01/society_dec_visual_assets_v086(1).zip!/pages/VIS-SOC-DEC-TASK-12-P009.png</x:v>
      </x:c>
      <x:c r="R1707" s="30" t="str">
        <x:v>MATCHED_ASSET</x:v>
      </x:c>
      <x:c r="S1707" t="e">
        <x:f>HYPERLINK("visual_gallery/index.html#"&amp;A1707,"Галерея")</x:f>
      </x:c>
    </x:row>
    <x:row r="1708">
      <x:c r="A1708" s="87" t="str">
        <x:v>VIS-SOC-DEC-TASK-12-P010</x:v>
      </x:c>
      <x:c r="B1708" s="30" t="str">
        <x:v>Обществознание</x:v>
      </x:c>
      <x:c r="C1708" s="30"/>
      <x:c r="D1708" s="30" t="str">
        <x:v>ОБ2510301</x:v>
      </x:c>
      <x:c r="E1708" s="87" t="str">
        <x:v>TASK</x:v>
      </x:c>
      <x:c r="F1708" s="30" t="str">
        <x:v>Zadanie_OB11_10122025_1_2.pdf</x:v>
      </x:c>
      <x:c r="G1708" s="87"/>
      <x:c r="H1708" s="87" t="str">
        <x:v>v0.86</x:v>
      </x:c>
      <x:c r="I1708" s="87" t="str">
        <x:v>1</x:v>
      </x:c>
      <x:c r="J1708" s="30" t="str">
        <x:v>VIS_ID</x:v>
      </x:c>
      <x:c r="K1708" s="30" t="str">
        <x:v>DEC-SOC-01-016</x:v>
      </x:c>
      <x:c r="L1708" s="87" t="str">
        <x:v>CROP_VERIFIED</x:v>
      </x:c>
      <x:c r="M1708" s="87" t="str">
        <x:v>ORIGINAL_PACKAGE</x:v>
      </x:c>
      <x:c r="N1708" s="87" t="str">
        <x:v>pages/VIS-SOC-DEC-TASK-12-P010.png</x:v>
      </x:c>
      <x:c r="O1708" s="87" t="str">
        <x:v>thumbnails/VIS-SOC-DEC-TASK-12-P010.jpg</x:v>
      </x:c>
      <x:c r="P1708" s="87"/>
      <x:c r="Q1708" s="30" t="str">
        <x:v>incoming/raw/recovery-drop-01/society_dec_visual_assets_v086(1).zip!/pages/VIS-SOC-DEC-TASK-12-P010.png</x:v>
      </x:c>
      <x:c r="R1708" s="30" t="str">
        <x:v>MATCHED_ASSET</x:v>
      </x:c>
      <x:c r="S1708" t="e">
        <x:f>HYPERLINK("visual_gallery/index.html#"&amp;A1708,"Галерея")</x:f>
      </x:c>
    </x:row>
    <x:row r="1709">
      <x:c r="A1709" s="87" t="str">
        <x:v>VIS-SOC-DEC-TASK-12-P011</x:v>
      </x:c>
      <x:c r="B1709" s="30" t="str"/>
      <x:c r="C1709" s="30"/>
      <x:c r="D1709" s="30" t="str">
        <x:v>ОБ2510301</x:v>
      </x:c>
      <x:c r="E1709" s="87" t="str">
        <x:v>TASK</x:v>
      </x:c>
      <x:c r="F1709" s="30" t="str">
        <x:v>Zadanie_OB11_10122025_1_2.pdf</x:v>
      </x:c>
      <x:c r="G1709" s="87"/>
      <x:c r="H1709" s="87" t="str">
        <x:v>v0.86</x:v>
      </x:c>
      <x:c r="I1709" s="87" t="str">
        <x:v>0</x:v>
      </x:c>
      <x:c r="J1709" s="30" t="str"/>
      <x:c r="K1709" s="30" t="str"/>
      <x:c r="L1709" s="87" t="str">
        <x:v>CROP_VERIFIED</x:v>
      </x:c>
      <x:c r="M1709" s="87" t="str">
        <x:v>ORIGINAL_PACKAGE</x:v>
      </x:c>
      <x:c r="N1709" s="87" t="str">
        <x:v>pages/VIS-SOC-DEC-TASK-12-P011.png</x:v>
      </x:c>
      <x:c r="O1709" s="87" t="str">
        <x:v>thumbnails/VIS-SOC-DEC-TASK-12-P011.jpg</x:v>
      </x:c>
      <x:c r="P1709" s="87"/>
      <x:c r="Q1709" s="30" t="str">
        <x:v>incoming/raw/recovery-drop-01/society_dec_visual_assets_v086(1).zip!/pages/VIS-SOC-DEC-TASK-12-P011.png</x:v>
      </x:c>
      <x:c r="R1709" s="30" t="str">
        <x:v>RESOLVED_UNLINKED_REGISTRY_VISUAL</x:v>
      </x:c>
      <x:c r="S1709" t="e">
        <x:f>HYPERLINK("visual_gallery/index.html#"&amp;A1709,"Галерея")</x:f>
      </x:c>
    </x:row>
    <x:row r="1710">
      <x:c r="A1710" s="87" t="str">
        <x:v>VIS-SOC-DEC-TASK-12-P012</x:v>
      </x:c>
      <x:c r="B1710" s="30" t="str">
        <x:v>Обществознание</x:v>
      </x:c>
      <x:c r="C1710" s="30"/>
      <x:c r="D1710" s="30" t="str">
        <x:v>ОБ2510301</x:v>
      </x:c>
      <x:c r="E1710" s="87" t="str">
        <x:v>TASK</x:v>
      </x:c>
      <x:c r="F1710" s="30" t="str">
        <x:v>Zadanie_OB11_10122025_1_2.pdf</x:v>
      </x:c>
      <x:c r="G1710" s="87"/>
      <x:c r="H1710" s="87" t="str">
        <x:v>v0.86</x:v>
      </x:c>
      <x:c r="I1710" s="87" t="str">
        <x:v>4</x:v>
      </x:c>
      <x:c r="J1710" s="30" t="str">
        <x:v>VIS_ID</x:v>
      </x:c>
      <x:c r="K1710" s="30" t="str">
        <x:v>DEC-SOC-01-017, DEC-SOC-01-018, DEC-SOC-01-019, DEC-SOC-01-020</x:v>
      </x:c>
      <x:c r="L1710" s="87" t="str">
        <x:v>CROP_VERIFIED</x:v>
      </x:c>
      <x:c r="M1710" s="87" t="str">
        <x:v>ORIGINAL_PACKAGE</x:v>
      </x:c>
      <x:c r="N1710" s="87" t="str">
        <x:v>pages/VIS-SOC-DEC-TASK-12-P012.png</x:v>
      </x:c>
      <x:c r="O1710" s="87" t="str">
        <x:v>thumbnails/VIS-SOC-DEC-TASK-12-P012.jpg</x:v>
      </x:c>
      <x:c r="P1710" s="87"/>
      <x:c r="Q1710" s="30" t="str">
        <x:v>incoming/raw/recovery-drop-01/society_dec_visual_assets_v086(1).zip!/pages/VIS-SOC-DEC-TASK-12-P012.png</x:v>
      </x:c>
      <x:c r="R1710" s="30" t="str">
        <x:v>MATCHED_ASSET</x:v>
      </x:c>
      <x:c r="S1710" t="e">
        <x:f>HYPERLINK("visual_gallery/index.html#"&amp;A1710,"Галерея")</x:f>
      </x:c>
    </x:row>
    <x:row r="1711">
      <x:c r="A1711" s="87" t="str">
        <x:v>VIS-SOC-DEC-TASK-12-P013</x:v>
      </x:c>
      <x:c r="B1711" s="30" t="str">
        <x:v>Обществознание</x:v>
      </x:c>
      <x:c r="C1711" s="30"/>
      <x:c r="D1711" s="30" t="str">
        <x:v>ОБ2510301</x:v>
      </x:c>
      <x:c r="E1711" s="87" t="str">
        <x:v>TASK</x:v>
      </x:c>
      <x:c r="F1711" s="30" t="str">
        <x:v>Zadanie_OB11_10122025_1_2.pdf</x:v>
      </x:c>
      <x:c r="G1711" s="87"/>
      <x:c r="H1711" s="87" t="str">
        <x:v>v0.86</x:v>
      </x:c>
      <x:c r="I1711" s="87" t="str">
        <x:v>1</x:v>
      </x:c>
      <x:c r="J1711" s="30" t="str">
        <x:v>VIS_ID</x:v>
      </x:c>
      <x:c r="K1711" s="30" t="str">
        <x:v>DEC-SOC-01-021</x:v>
      </x:c>
      <x:c r="L1711" s="87" t="str">
        <x:v>CROP_VERIFIED</x:v>
      </x:c>
      <x:c r="M1711" s="87" t="str">
        <x:v>ORIGINAL_PACKAGE</x:v>
      </x:c>
      <x:c r="N1711" s="87" t="str">
        <x:v>pages/VIS-SOC-DEC-TASK-12-P013.png</x:v>
      </x:c>
      <x:c r="O1711" s="87" t="str">
        <x:v>thumbnails/VIS-SOC-DEC-TASK-12-P013.jpg</x:v>
      </x:c>
      <x:c r="P1711" s="87"/>
      <x:c r="Q1711" s="30" t="str">
        <x:v>incoming/raw/recovery-drop-01/society_dec_visual_assets_v086(1).zip!/pages/VIS-SOC-DEC-TASK-12-P013.png</x:v>
      </x:c>
      <x:c r="R1711" s="30" t="str">
        <x:v>MATCHED_ASSET</x:v>
      </x:c>
      <x:c r="S1711" t="e">
        <x:f>HYPERLINK("visual_gallery/index.html#"&amp;A1711,"Галерея")</x:f>
      </x:c>
    </x:row>
    <x:row r="1712">
      <x:c r="A1712" s="87" t="str">
        <x:v>VIS-SOC-DEC-TASK-12-P014</x:v>
      </x:c>
      <x:c r="B1712" s="30" t="str">
        <x:v>Обществознание</x:v>
      </x:c>
      <x:c r="C1712" s="30"/>
      <x:c r="D1712" s="30" t="str">
        <x:v>ОБ2510301</x:v>
      </x:c>
      <x:c r="E1712" s="87" t="str">
        <x:v>TASK</x:v>
      </x:c>
      <x:c r="F1712" s="30" t="str">
        <x:v>Zadanie_OB11_10122025_1_2.pdf</x:v>
      </x:c>
      <x:c r="G1712" s="87"/>
      <x:c r="H1712" s="87" t="str">
        <x:v>v0.86</x:v>
      </x:c>
      <x:c r="I1712" s="87" t="str">
        <x:v>4</x:v>
      </x:c>
      <x:c r="J1712" s="30" t="str">
        <x:v>VIS_ID</x:v>
      </x:c>
      <x:c r="K1712" s="30" t="str">
        <x:v>DEC-SOC-01-022, DEC-SOC-01-023, DEC-SOC-01-024, DEC-SOC-01-025</x:v>
      </x:c>
      <x:c r="L1712" s="87" t="str">
        <x:v>CROP_VERIFIED</x:v>
      </x:c>
      <x:c r="M1712" s="87" t="str">
        <x:v>ORIGINAL_PACKAGE</x:v>
      </x:c>
      <x:c r="N1712" s="87" t="str">
        <x:v>pages/VIS-SOC-DEC-TASK-12-P014.png</x:v>
      </x:c>
      <x:c r="O1712" s="87" t="str">
        <x:v>thumbnails/VIS-SOC-DEC-TASK-12-P014.jpg</x:v>
      </x:c>
      <x:c r="P1712" s="87"/>
      <x:c r="Q1712" s="30" t="str">
        <x:v>incoming/raw/recovery-drop-01/society_dec_visual_assets_v086(1).zip!/pages/VIS-SOC-DEC-TASK-12-P014.png</x:v>
      </x:c>
      <x:c r="R1712" s="30" t="str">
        <x:v>MATCHED_ASSET</x:v>
      </x:c>
      <x:c r="S1712" t="e">
        <x:f>HYPERLINK("visual_gallery/index.html#"&amp;A1712,"Галерея")</x:f>
      </x:c>
    </x:row>
    <x:row r="1713">
      <x:c r="A1713" s="87" t="str">
        <x:v>VIS-SOC-DEC-TASK-12-P015</x:v>
      </x:c>
      <x:c r="B1713" s="30" t="str"/>
      <x:c r="C1713" s="30"/>
      <x:c r="D1713" s="30" t="str">
        <x:v>ОБ2510302</x:v>
      </x:c>
      <x:c r="E1713" s="87" t="str">
        <x:v>TASK</x:v>
      </x:c>
      <x:c r="F1713" s="30" t="str">
        <x:v>Zadanie_OB11_10122025_1_2.pdf</x:v>
      </x:c>
      <x:c r="G1713" s="87"/>
      <x:c r="H1713" s="87" t="str">
        <x:v>v0.86</x:v>
      </x:c>
      <x:c r="I1713" s="87" t="str">
        <x:v>0</x:v>
      </x:c>
      <x:c r="J1713" s="30" t="str"/>
      <x:c r="K1713" s="30" t="str"/>
      <x:c r="L1713" s="87" t="str">
        <x:v>CROP_VERIFIED</x:v>
      </x:c>
      <x:c r="M1713" s="87" t="str">
        <x:v>ORIGINAL_PACKAGE</x:v>
      </x:c>
      <x:c r="N1713" s="87" t="str">
        <x:v>pages/VIS-SOC-DEC-TASK-12-P015.png</x:v>
      </x:c>
      <x:c r="O1713" s="87" t="str">
        <x:v>thumbnails/VIS-SOC-DEC-TASK-12-P015.jpg</x:v>
      </x:c>
      <x:c r="P1713" s="87"/>
      <x:c r="Q1713" s="30" t="str">
        <x:v>incoming/raw/recovery-drop-01/society_dec_visual_assets_v086(1).zip!/pages/VIS-SOC-DEC-TASK-12-P015.png</x:v>
      </x:c>
      <x:c r="R1713" s="30" t="str">
        <x:v>RESOLVED_UNLINKED_REGISTRY_VISUAL</x:v>
      </x:c>
      <x:c r="S1713" t="e">
        <x:f>HYPERLINK("visual_gallery/index.html#"&amp;A1713,"Галерея")</x:f>
      </x:c>
    </x:row>
    <x:row r="1714">
      <x:c r="A1714" s="87" t="str">
        <x:v>VIS-SOC-DEC-TASK-12-P016</x:v>
      </x:c>
      <x:c r="B1714" s="30" t="str">
        <x:v>Обществознание</x:v>
      </x:c>
      <x:c r="C1714" s="30"/>
      <x:c r="D1714" s="30" t="str">
        <x:v>ОБ2510302</x:v>
      </x:c>
      <x:c r="E1714" s="87" t="str">
        <x:v>TASK</x:v>
      </x:c>
      <x:c r="F1714" s="30" t="str">
        <x:v>Zadanie_OB11_10122025_1_2.pdf</x:v>
      </x:c>
      <x:c r="G1714" s="87"/>
      <x:c r="H1714" s="87" t="str">
        <x:v>v0.86</x:v>
      </x:c>
      <x:c r="I1714" s="87" t="str">
        <x:v>2</x:v>
      </x:c>
      <x:c r="J1714" s="30" t="str">
        <x:v>VIS_ID</x:v>
      </x:c>
      <x:c r="K1714" s="30" t="str">
        <x:v>DEC-SOC-02-001, DEC-SOC-02-002</x:v>
      </x:c>
      <x:c r="L1714" s="87" t="str">
        <x:v>CROP_VERIFIED</x:v>
      </x:c>
      <x:c r="M1714" s="87" t="str">
        <x:v>ORIGINAL_PACKAGE</x:v>
      </x:c>
      <x:c r="N1714" s="87" t="str">
        <x:v>pages/VIS-SOC-DEC-TASK-12-P016.png</x:v>
      </x:c>
      <x:c r="O1714" s="87" t="str">
        <x:v>thumbnails/VIS-SOC-DEC-TASK-12-P016.jpg</x:v>
      </x:c>
      <x:c r="P1714" s="87"/>
      <x:c r="Q1714" s="30" t="str">
        <x:v>incoming/raw/recovery-drop-01/society_dec_visual_assets_v086(1).zip!/pages/VIS-SOC-DEC-TASK-12-P016.png</x:v>
      </x:c>
      <x:c r="R1714" s="30" t="str">
        <x:v>MATCHED_ASSET</x:v>
      </x:c>
      <x:c r="S1714" t="e">
        <x:f>HYPERLINK("visual_gallery/index.html#"&amp;A1714,"Галерея")</x:f>
      </x:c>
    </x:row>
    <x:row r="1715">
      <x:c r="A1715" s="87" t="str">
        <x:v>VIS-SOC-DEC-TASK-12-P017</x:v>
      </x:c>
      <x:c r="B1715" s="30" t="str">
        <x:v>Обществознание</x:v>
      </x:c>
      <x:c r="C1715" s="30"/>
      <x:c r="D1715" s="30" t="str">
        <x:v>ОБ2510302</x:v>
      </x:c>
      <x:c r="E1715" s="87" t="str">
        <x:v>TASK</x:v>
      </x:c>
      <x:c r="F1715" s="30" t="str">
        <x:v>Zadanie_OB11_10122025_1_2.pdf</x:v>
      </x:c>
      <x:c r="G1715" s="87"/>
      <x:c r="H1715" s="87" t="str">
        <x:v>v0.86</x:v>
      </x:c>
      <x:c r="I1715" s="87" t="str">
        <x:v>2</x:v>
      </x:c>
      <x:c r="J1715" s="30" t="str">
        <x:v>VIS_ID</x:v>
      </x:c>
      <x:c r="K1715" s="30" t="str">
        <x:v>DEC-SOC-02-003, DEC-SOC-02-004</x:v>
      </x:c>
      <x:c r="L1715" s="87" t="str">
        <x:v>CROP_VERIFIED</x:v>
      </x:c>
      <x:c r="M1715" s="87" t="str">
        <x:v>ORIGINAL_PACKAGE</x:v>
      </x:c>
      <x:c r="N1715" s="87" t="str">
        <x:v>pages/VIS-SOC-DEC-TASK-12-P017.png</x:v>
      </x:c>
      <x:c r="O1715" s="87" t="str">
        <x:v>thumbnails/VIS-SOC-DEC-TASK-12-P017.jpg</x:v>
      </x:c>
      <x:c r="P1715" s="87"/>
      <x:c r="Q1715" s="30" t="str">
        <x:v>incoming/raw/recovery-drop-01/society_dec_visual_assets_v086(1).zip!/pages/VIS-SOC-DEC-TASK-12-P017.png</x:v>
      </x:c>
      <x:c r="R1715" s="30" t="str">
        <x:v>MATCHED_ASSET</x:v>
      </x:c>
      <x:c r="S1715" t="e">
        <x:f>HYPERLINK("visual_gallery/index.html#"&amp;A1715,"Галерея")</x:f>
      </x:c>
    </x:row>
    <x:row r="1716">
      <x:c r="A1716" s="87" t="str">
        <x:v>VIS-SOC-DEC-TASK-12-P018</x:v>
      </x:c>
      <x:c r="B1716" s="30" t="str">
        <x:v>Обществознание</x:v>
      </x:c>
      <x:c r="C1716" s="30"/>
      <x:c r="D1716" s="30" t="str">
        <x:v>ОБ2510302</x:v>
      </x:c>
      <x:c r="E1716" s="87" t="str">
        <x:v>TASK</x:v>
      </x:c>
      <x:c r="F1716" s="30" t="str">
        <x:v>Zadanie_OB11_10122025_1_2.pdf</x:v>
      </x:c>
      <x:c r="G1716" s="87"/>
      <x:c r="H1716" s="87" t="str">
        <x:v>v0.86</x:v>
      </x:c>
      <x:c r="I1716" s="87" t="str">
        <x:v>2</x:v>
      </x:c>
      <x:c r="J1716" s="30" t="str">
        <x:v>VIS_ID</x:v>
      </x:c>
      <x:c r="K1716" s="30" t="str">
        <x:v>DEC-SOC-02-005, DEC-SOC-02-006</x:v>
      </x:c>
      <x:c r="L1716" s="87" t="str">
        <x:v>CROP_VERIFIED</x:v>
      </x:c>
      <x:c r="M1716" s="87" t="str">
        <x:v>ORIGINAL_PACKAGE</x:v>
      </x:c>
      <x:c r="N1716" s="87" t="str">
        <x:v>pages/VIS-SOC-DEC-TASK-12-P018.png</x:v>
      </x:c>
      <x:c r="O1716" s="87" t="str">
        <x:v>thumbnails/VIS-SOC-DEC-TASK-12-P018.jpg</x:v>
      </x:c>
      <x:c r="P1716" s="87"/>
      <x:c r="Q1716" s="30" t="str">
        <x:v>incoming/raw/recovery-drop-01/society_dec_visual_assets_v086(1).zip!/pages/VIS-SOC-DEC-TASK-12-P018.png</x:v>
      </x:c>
      <x:c r="R1716" s="30" t="str">
        <x:v>MATCHED_ASSET</x:v>
      </x:c>
      <x:c r="S1716" t="e">
        <x:f>HYPERLINK("visual_gallery/index.html#"&amp;A1716,"Галерея")</x:f>
      </x:c>
    </x:row>
    <x:row r="1717">
      <x:c r="A1717" s="87" t="str">
        <x:v>VIS-SOC-DEC-TASK-12-P019</x:v>
      </x:c>
      <x:c r="B1717" s="30" t="str">
        <x:v>Обществознание</x:v>
      </x:c>
      <x:c r="C1717" s="30"/>
      <x:c r="D1717" s="30" t="str">
        <x:v>ОБ2510302</x:v>
      </x:c>
      <x:c r="E1717" s="87" t="str">
        <x:v>TASK</x:v>
      </x:c>
      <x:c r="F1717" s="30" t="str">
        <x:v>Zadanie_OB11_10122025_1_2.pdf</x:v>
      </x:c>
      <x:c r="G1717" s="87"/>
      <x:c r="H1717" s="87" t="str">
        <x:v>v0.86</x:v>
      </x:c>
      <x:c r="I1717" s="87" t="str">
        <x:v>2</x:v>
      </x:c>
      <x:c r="J1717" s="30" t="str">
        <x:v>VIS_ID</x:v>
      </x:c>
      <x:c r="K1717" s="30" t="str">
        <x:v>DEC-SOC-02-007, DEC-SOC-02-008</x:v>
      </x:c>
      <x:c r="L1717" s="87" t="str">
        <x:v>CROP_VERIFIED</x:v>
      </x:c>
      <x:c r="M1717" s="87" t="str">
        <x:v>ORIGINAL_PACKAGE</x:v>
      </x:c>
      <x:c r="N1717" s="87" t="str">
        <x:v>pages/VIS-SOC-DEC-TASK-12-P019.png</x:v>
      </x:c>
      <x:c r="O1717" s="87" t="str">
        <x:v>thumbnails/VIS-SOC-DEC-TASK-12-P019.jpg</x:v>
      </x:c>
      <x:c r="P1717" s="87"/>
      <x:c r="Q1717" s="30" t="str">
        <x:v>incoming/raw/recovery-drop-01/society_dec_visual_assets_v086(1).zip!/pages/VIS-SOC-DEC-TASK-12-P019.png</x:v>
      </x:c>
      <x:c r="R1717" s="30" t="str">
        <x:v>MATCHED_ASSET</x:v>
      </x:c>
      <x:c r="S1717" t="e">
        <x:f>HYPERLINK("visual_gallery/index.html#"&amp;A1717,"Галерея")</x:f>
      </x:c>
    </x:row>
    <x:row r="1718">
      <x:c r="A1718" s="87" t="str">
        <x:v>VIS-SOC-DEC-TASK-12-P020</x:v>
      </x:c>
      <x:c r="B1718" s="30" t="str">
        <x:v>Обществознание</x:v>
      </x:c>
      <x:c r="C1718" s="30"/>
      <x:c r="D1718" s="30" t="str">
        <x:v>ОБ2510302</x:v>
      </x:c>
      <x:c r="E1718" s="87" t="str">
        <x:v>TASK</x:v>
      </x:c>
      <x:c r="F1718" s="30" t="str">
        <x:v>Zadanie_OB11_10122025_1_2.pdf</x:v>
      </x:c>
      <x:c r="G1718" s="87"/>
      <x:c r="H1718" s="87" t="str">
        <x:v>v0.86</x:v>
      </x:c>
      <x:c r="I1718" s="87" t="str">
        <x:v>1</x:v>
      </x:c>
      <x:c r="J1718" s="30" t="str">
        <x:v>VIS_ID</x:v>
      </x:c>
      <x:c r="K1718" s="30" t="str">
        <x:v>DEC-SOC-02-009</x:v>
      </x:c>
      <x:c r="L1718" s="87" t="str">
        <x:v>CROP_VERIFIED</x:v>
      </x:c>
      <x:c r="M1718" s="87" t="str">
        <x:v>ORIGINAL_PACKAGE</x:v>
      </x:c>
      <x:c r="N1718" s="87" t="str">
        <x:v>pages/VIS-SOC-DEC-TASK-12-P020.png</x:v>
      </x:c>
      <x:c r="O1718" s="87" t="str">
        <x:v>thumbnails/VIS-SOC-DEC-TASK-12-P020.jpg</x:v>
      </x:c>
      <x:c r="P1718" s="87"/>
      <x:c r="Q1718" s="30" t="str">
        <x:v>incoming/raw/recovery-drop-01/society_dec_visual_assets_v086(1).zip!/pages/VIS-SOC-DEC-TASK-12-P020.png</x:v>
      </x:c>
      <x:c r="R1718" s="30" t="str">
        <x:v>MATCHED_ASSET</x:v>
      </x:c>
      <x:c r="S1718" t="e">
        <x:f>HYPERLINK("visual_gallery/index.html#"&amp;A1718,"Галерея")</x:f>
      </x:c>
    </x:row>
    <x:row r="1719">
      <x:c r="A1719" s="87" t="str">
        <x:v>VIS-SOC-DEC-TASK-12-P021</x:v>
      </x:c>
      <x:c r="B1719" s="30" t="str">
        <x:v>Обществознание</x:v>
      </x:c>
      <x:c r="C1719" s="30"/>
      <x:c r="D1719" s="30" t="str">
        <x:v>ОБ2510302</x:v>
      </x:c>
      <x:c r="E1719" s="87" t="str">
        <x:v>TASK</x:v>
      </x:c>
      <x:c r="F1719" s="30" t="str">
        <x:v>Zadanie_OB11_10122025_1_2.pdf</x:v>
      </x:c>
      <x:c r="G1719" s="87"/>
      <x:c r="H1719" s="87" t="str">
        <x:v>v0.86</x:v>
      </x:c>
      <x:c r="I1719" s="87" t="str">
        <x:v>3</x:v>
      </x:c>
      <x:c r="J1719" s="30" t="str">
        <x:v>VIS_ID</x:v>
      </x:c>
      <x:c r="K1719" s="30" t="str">
        <x:v>DEC-SOC-02-010, DEC-SOC-02-011, DEC-SOC-02-012</x:v>
      </x:c>
      <x:c r="L1719" s="87" t="str">
        <x:v>CROP_VERIFIED</x:v>
      </x:c>
      <x:c r="M1719" s="87" t="str">
        <x:v>ORIGINAL_PACKAGE</x:v>
      </x:c>
      <x:c r="N1719" s="87" t="str">
        <x:v>pages/VIS-SOC-DEC-TASK-12-P021.png</x:v>
      </x:c>
      <x:c r="O1719" s="87" t="str">
        <x:v>thumbnails/VIS-SOC-DEC-TASK-12-P021.jpg</x:v>
      </x:c>
      <x:c r="P1719" s="87"/>
      <x:c r="Q1719" s="30" t="str">
        <x:v>incoming/raw/recovery-drop-01/society_dec_visual_assets_v086(1).zip!/pages/VIS-SOC-DEC-TASK-12-P021.png</x:v>
      </x:c>
      <x:c r="R1719" s="30" t="str">
        <x:v>MATCHED_ASSET</x:v>
      </x:c>
      <x:c r="S1719" t="e">
        <x:f>HYPERLINK("visual_gallery/index.html#"&amp;A1719,"Галерея")</x:f>
      </x:c>
    </x:row>
    <x:row r="1720">
      <x:c r="A1720" s="87" t="str">
        <x:v>VIS-SOC-DEC-TASK-12-P022</x:v>
      </x:c>
      <x:c r="B1720" s="30" t="str">
        <x:v>Обществознание</x:v>
      </x:c>
      <x:c r="C1720" s="30"/>
      <x:c r="D1720" s="30" t="str">
        <x:v>ОБ2510302</x:v>
      </x:c>
      <x:c r="E1720" s="87" t="str">
        <x:v>TASK</x:v>
      </x:c>
      <x:c r="F1720" s="30" t="str">
        <x:v>Zadanie_OB11_10122025_1_2.pdf</x:v>
      </x:c>
      <x:c r="G1720" s="87"/>
      <x:c r="H1720" s="87" t="str">
        <x:v>v0.86</x:v>
      </x:c>
      <x:c r="I1720" s="87" t="str">
        <x:v>2</x:v>
      </x:c>
      <x:c r="J1720" s="30" t="str">
        <x:v>VIS_ID</x:v>
      </x:c>
      <x:c r="K1720" s="30" t="str">
        <x:v>DEC-SOC-02-013, DEC-SOC-02-014</x:v>
      </x:c>
      <x:c r="L1720" s="87" t="str">
        <x:v>CROP_VERIFIED</x:v>
      </x:c>
      <x:c r="M1720" s="87" t="str">
        <x:v>ORIGINAL_PACKAGE</x:v>
      </x:c>
      <x:c r="N1720" s="87" t="str">
        <x:v>pages/VIS-SOC-DEC-TASK-12-P022.png</x:v>
      </x:c>
      <x:c r="O1720" s="87" t="str">
        <x:v>thumbnails/VIS-SOC-DEC-TASK-12-P022.jpg</x:v>
      </x:c>
      <x:c r="P1720" s="87"/>
      <x:c r="Q1720" s="30" t="str">
        <x:v>incoming/raw/recovery-drop-01/society_dec_visual_assets_v086(1).zip!/pages/VIS-SOC-DEC-TASK-12-P022.png</x:v>
      </x:c>
      <x:c r="R1720" s="30" t="str">
        <x:v>MATCHED_ASSET</x:v>
      </x:c>
      <x:c r="S1720" t="e">
        <x:f>HYPERLINK("visual_gallery/index.html#"&amp;A1720,"Галерея")</x:f>
      </x:c>
    </x:row>
    <x:row r="1721">
      <x:c r="A1721" s="87" t="str">
        <x:v>VIS-SOC-DEC-TASK-12-P023</x:v>
      </x:c>
      <x:c r="B1721" s="30" t="str">
        <x:v>Обществознание</x:v>
      </x:c>
      <x:c r="C1721" s="30"/>
      <x:c r="D1721" s="30" t="str">
        <x:v>ОБ2510302</x:v>
      </x:c>
      <x:c r="E1721" s="87" t="str">
        <x:v>TASK</x:v>
      </x:c>
      <x:c r="F1721" s="30" t="str">
        <x:v>Zadanie_OB11_10122025_1_2.pdf</x:v>
      </x:c>
      <x:c r="G1721" s="87"/>
      <x:c r="H1721" s="87" t="str">
        <x:v>v0.86</x:v>
      </x:c>
      <x:c r="I1721" s="87" t="str">
        <x:v>2</x:v>
      </x:c>
      <x:c r="J1721" s="30" t="str">
        <x:v>VIS_ID</x:v>
      </x:c>
      <x:c r="K1721" s="30" t="str">
        <x:v>DEC-SOC-02-015, DEC-SOC-02-016</x:v>
      </x:c>
      <x:c r="L1721" s="87" t="str">
        <x:v>CROP_VERIFIED</x:v>
      </x:c>
      <x:c r="M1721" s="87" t="str">
        <x:v>ORIGINAL_PACKAGE</x:v>
      </x:c>
      <x:c r="N1721" s="87" t="str">
        <x:v>pages/VIS-SOC-DEC-TASK-12-P023.png</x:v>
      </x:c>
      <x:c r="O1721" s="87" t="str">
        <x:v>thumbnails/VIS-SOC-DEC-TASK-12-P023.jpg</x:v>
      </x:c>
      <x:c r="P1721" s="87"/>
      <x:c r="Q1721" s="30" t="str">
        <x:v>incoming/raw/recovery-drop-01/society_dec_visual_assets_v086(1).zip!/pages/VIS-SOC-DEC-TASK-12-P023.png</x:v>
      </x:c>
      <x:c r="R1721" s="30" t="str">
        <x:v>MATCHED_ASSET</x:v>
      </x:c>
      <x:c r="S1721" t="e">
        <x:f>HYPERLINK("visual_gallery/index.html#"&amp;A1721,"Галерея")</x:f>
      </x:c>
    </x:row>
    <x:row r="1722">
      <x:c r="A1722" s="87" t="str">
        <x:v>VIS-SOC-DEC-TASK-12-P024</x:v>
      </x:c>
      <x:c r="B1722" s="30" t="str"/>
      <x:c r="C1722" s="30"/>
      <x:c r="D1722" s="30" t="str">
        <x:v>ОБ2510302</x:v>
      </x:c>
      <x:c r="E1722" s="87" t="str">
        <x:v>TASK</x:v>
      </x:c>
      <x:c r="F1722" s="30" t="str">
        <x:v>Zadanie_OB11_10122025_1_2.pdf</x:v>
      </x:c>
      <x:c r="G1722" s="87"/>
      <x:c r="H1722" s="87" t="str">
        <x:v>v0.86</x:v>
      </x:c>
      <x:c r="I1722" s="87" t="str">
        <x:v>0</x:v>
      </x:c>
      <x:c r="J1722" s="30" t="str"/>
      <x:c r="K1722" s="30" t="str"/>
      <x:c r="L1722" s="87" t="str">
        <x:v>CROP_VERIFIED</x:v>
      </x:c>
      <x:c r="M1722" s="87" t="str">
        <x:v>ORIGINAL_PACKAGE</x:v>
      </x:c>
      <x:c r="N1722" s="87" t="str">
        <x:v>pages/VIS-SOC-DEC-TASK-12-P024.png</x:v>
      </x:c>
      <x:c r="O1722" s="87" t="str">
        <x:v>thumbnails/VIS-SOC-DEC-TASK-12-P024.jpg</x:v>
      </x:c>
      <x:c r="P1722" s="87"/>
      <x:c r="Q1722" s="30" t="str">
        <x:v>incoming/raw/recovery-drop-01/society_dec_visual_assets_v086(1).zip!/pages/VIS-SOC-DEC-TASK-12-P024.png</x:v>
      </x:c>
      <x:c r="R1722" s="30" t="str">
        <x:v>RESOLVED_UNLINKED_REGISTRY_VISUAL</x:v>
      </x:c>
      <x:c r="S1722" t="e">
        <x:f>HYPERLINK("visual_gallery/index.html#"&amp;A1722,"Галерея")</x:f>
      </x:c>
    </x:row>
    <x:row r="1723">
      <x:c r="A1723" s="87" t="str">
        <x:v>VIS-SOC-DEC-TASK-12-P025</x:v>
      </x:c>
      <x:c r="B1723" s="30" t="str">
        <x:v>Обществознание</x:v>
      </x:c>
      <x:c r="C1723" s="30"/>
      <x:c r="D1723" s="30" t="str">
        <x:v>ОБ2510302</x:v>
      </x:c>
      <x:c r="E1723" s="87" t="str">
        <x:v>TASK</x:v>
      </x:c>
      <x:c r="F1723" s="30" t="str">
        <x:v>Zadanie_OB11_10122025_1_2.pdf</x:v>
      </x:c>
      <x:c r="G1723" s="87"/>
      <x:c r="H1723" s="87" t="str">
        <x:v>v0.86</x:v>
      </x:c>
      <x:c r="I1723" s="87" t="str">
        <x:v>4</x:v>
      </x:c>
      <x:c r="J1723" s="30" t="str">
        <x:v>VIS_ID</x:v>
      </x:c>
      <x:c r="K1723" s="30" t="str">
        <x:v>DEC-SOC-02-017, DEC-SOC-02-018, DEC-SOC-02-019, DEC-SOC-02-020</x:v>
      </x:c>
      <x:c r="L1723" s="87" t="str">
        <x:v>CROP_VERIFIED</x:v>
      </x:c>
      <x:c r="M1723" s="87" t="str">
        <x:v>ORIGINAL_PACKAGE</x:v>
      </x:c>
      <x:c r="N1723" s="87" t="str">
        <x:v>pages/VIS-SOC-DEC-TASK-12-P025.png</x:v>
      </x:c>
      <x:c r="O1723" s="87" t="str">
        <x:v>thumbnails/VIS-SOC-DEC-TASK-12-P025.jpg</x:v>
      </x:c>
      <x:c r="P1723" s="87"/>
      <x:c r="Q1723" s="30" t="str">
        <x:v>incoming/raw/recovery-drop-01/society_dec_visual_assets_v086(1).zip!/pages/VIS-SOC-DEC-TASK-12-P025.png</x:v>
      </x:c>
      <x:c r="R1723" s="30" t="str">
        <x:v>MATCHED_ASSET</x:v>
      </x:c>
      <x:c r="S1723" t="e">
        <x:f>HYPERLINK("visual_gallery/index.html#"&amp;A1723,"Галерея")</x:f>
      </x:c>
    </x:row>
    <x:row r="1724">
      <x:c r="A1724" s="87" t="str">
        <x:v>VIS-SOC-DEC-TASK-12-P026</x:v>
      </x:c>
      <x:c r="B1724" s="30" t="str">
        <x:v>Обществознание</x:v>
      </x:c>
      <x:c r="C1724" s="30"/>
      <x:c r="D1724" s="30" t="str">
        <x:v>ОБ2510302</x:v>
      </x:c>
      <x:c r="E1724" s="87" t="str">
        <x:v>TASK</x:v>
      </x:c>
      <x:c r="F1724" s="30" t="str">
        <x:v>Zadanie_OB11_10122025_1_2.pdf</x:v>
      </x:c>
      <x:c r="G1724" s="87"/>
      <x:c r="H1724" s="87" t="str">
        <x:v>v0.86</x:v>
      </x:c>
      <x:c r="I1724" s="87" t="str">
        <x:v>2</x:v>
      </x:c>
      <x:c r="J1724" s="30" t="str">
        <x:v>VIS_ID</x:v>
      </x:c>
      <x:c r="K1724" s="30" t="str">
        <x:v>DEC-SOC-02-021, DEC-SOC-02-022</x:v>
      </x:c>
      <x:c r="L1724" s="87" t="str">
        <x:v>CROP_VERIFIED</x:v>
      </x:c>
      <x:c r="M1724" s="87" t="str">
        <x:v>ORIGINAL_PACKAGE</x:v>
      </x:c>
      <x:c r="N1724" s="87" t="str">
        <x:v>pages/VIS-SOC-DEC-TASK-12-P026.png</x:v>
      </x:c>
      <x:c r="O1724" s="87" t="str">
        <x:v>thumbnails/VIS-SOC-DEC-TASK-12-P026.jpg</x:v>
      </x:c>
      <x:c r="P1724" s="87"/>
      <x:c r="Q1724" s="30" t="str">
        <x:v>incoming/raw/recovery-drop-01/society_dec_visual_assets_v086(1).zip!/pages/VIS-SOC-DEC-TASK-12-P026.png</x:v>
      </x:c>
      <x:c r="R1724" s="30" t="str">
        <x:v>MATCHED_ASSET</x:v>
      </x:c>
      <x:c r="S1724" t="e">
        <x:f>HYPERLINK("visual_gallery/index.html#"&amp;A1724,"Галерея")</x:f>
      </x:c>
    </x:row>
    <x:row r="1725">
      <x:c r="A1725" s="87" t="str">
        <x:v>VIS-SOC-DEC-TASK-12-P027</x:v>
      </x:c>
      <x:c r="B1725" s="30" t="str">
        <x:v>Обществознание</x:v>
      </x:c>
      <x:c r="C1725" s="30"/>
      <x:c r="D1725" s="30" t="str">
        <x:v>ОБ2510302</x:v>
      </x:c>
      <x:c r="E1725" s="87" t="str">
        <x:v>TASK</x:v>
      </x:c>
      <x:c r="F1725" s="30" t="str">
        <x:v>Zadanie_OB11_10122025_1_2.pdf</x:v>
      </x:c>
      <x:c r="G1725" s="87"/>
      <x:c r="H1725" s="87" t="str">
        <x:v>v0.86</x:v>
      </x:c>
      <x:c r="I1725" s="87" t="str">
        <x:v>3</x:v>
      </x:c>
      <x:c r="J1725" s="30" t="str">
        <x:v>VIS_ID</x:v>
      </x:c>
      <x:c r="K1725" s="30" t="str">
        <x:v>DEC-SOC-02-023, DEC-SOC-02-024, DEC-SOC-02-025</x:v>
      </x:c>
      <x:c r="L1725" s="87" t="str">
        <x:v>CROP_VERIFIED</x:v>
      </x:c>
      <x:c r="M1725" s="87" t="str">
        <x:v>ORIGINAL_PACKAGE</x:v>
      </x:c>
      <x:c r="N1725" s="87" t="str">
        <x:v>pages/VIS-SOC-DEC-TASK-12-P027.png</x:v>
      </x:c>
      <x:c r="O1725" s="87" t="str">
        <x:v>thumbnails/VIS-SOC-DEC-TASK-12-P027.jpg</x:v>
      </x:c>
      <x:c r="P1725" s="87"/>
      <x:c r="Q1725" s="30" t="str">
        <x:v>incoming/raw/recovery-drop-01/society_dec_visual_assets_v086(1).zip!/pages/VIS-SOC-DEC-TASK-12-P027.png</x:v>
      </x:c>
      <x:c r="R1725" s="30" t="str">
        <x:v>MATCHED_ASSET</x:v>
      </x:c>
      <x:c r="S1725" t="e">
        <x:f>HYPERLINK("visual_gallery/index.html#"&amp;A1725,"Галерея")</x:f>
      </x:c>
    </x:row>
    <x:row r="1726">
      <x:c r="A1726" s="87" t="str">
        <x:v>VIS-SOC-DEC-TASK-34-P001</x:v>
      </x:c>
      <x:c r="B1726" s="30" t="str"/>
      <x:c r="C1726" s="30"/>
      <x:c r="D1726" s="30" t="str">
        <x:v>ОБ2510303</x:v>
      </x:c>
      <x:c r="E1726" s="87" t="str">
        <x:v>TASK</x:v>
      </x:c>
      <x:c r="F1726" s="30" t="str">
        <x:v>Zadanie_OB11_10122025_.pdf</x:v>
      </x:c>
      <x:c r="G1726" s="87"/>
      <x:c r="H1726" s="87" t="str">
        <x:v>v0.86</x:v>
      </x:c>
      <x:c r="I1726" s="87" t="str">
        <x:v>0</x:v>
      </x:c>
      <x:c r="J1726" s="30" t="str"/>
      <x:c r="K1726" s="30" t="str"/>
      <x:c r="L1726" s="87" t="str">
        <x:v>CROP_VERIFIED</x:v>
      </x:c>
      <x:c r="M1726" s="87" t="str">
        <x:v>ORIGINAL_PACKAGE</x:v>
      </x:c>
      <x:c r="N1726" s="87" t="str">
        <x:v>pages/VIS-SOC-DEC-TASK-34-P001.png</x:v>
      </x:c>
      <x:c r="O1726" s="87" t="str">
        <x:v>thumbnails/VIS-SOC-DEC-TASK-34-P001.jpg</x:v>
      </x:c>
      <x:c r="P1726" s="87"/>
      <x:c r="Q1726" s="30" t="str">
        <x:v>incoming/raw/recovery-drop-01/society_dec_visual_assets_v086(1).zip!/pages/VIS-SOC-DEC-TASK-34-P001.png</x:v>
      </x:c>
      <x:c r="R1726" s="30" t="str">
        <x:v>RESOLVED_UNLINKED_REGISTRY_VISUAL</x:v>
      </x:c>
      <x:c r="S1726" t="e">
        <x:f>HYPERLINK("visual_gallery/index.html#"&amp;A1726,"Галерея")</x:f>
      </x:c>
    </x:row>
    <x:row r="1727">
      <x:c r="A1727" s="87" t="str">
        <x:v>VIS-SOC-DEC-TASK-34-P002</x:v>
      </x:c>
      <x:c r="B1727" s="30" t="str">
        <x:v>Обществознание</x:v>
      </x:c>
      <x:c r="C1727" s="30"/>
      <x:c r="D1727" s="30" t="str">
        <x:v>ОБ2510303</x:v>
      </x:c>
      <x:c r="E1727" s="87" t="str">
        <x:v>TASK</x:v>
      </x:c>
      <x:c r="F1727" s="30" t="str">
        <x:v>Zadanie_OB11_10122025_.pdf</x:v>
      </x:c>
      <x:c r="G1727" s="87"/>
      <x:c r="H1727" s="87" t="str">
        <x:v>v0.86</x:v>
      </x:c>
      <x:c r="I1727" s="87" t="str">
        <x:v>2</x:v>
      </x:c>
      <x:c r="J1727" s="30" t="str">
        <x:v>VIS_ID</x:v>
      </x:c>
      <x:c r="K1727" s="30" t="str">
        <x:v>DEC-SOC-03-001, DEC-SOC-03-002</x:v>
      </x:c>
      <x:c r="L1727" s="87" t="str">
        <x:v>CROP_VERIFIED</x:v>
      </x:c>
      <x:c r="M1727" s="87" t="str">
        <x:v>ORIGINAL_PACKAGE</x:v>
      </x:c>
      <x:c r="N1727" s="87" t="str">
        <x:v>pages/VIS-SOC-DEC-TASK-34-P002.png</x:v>
      </x:c>
      <x:c r="O1727" s="87" t="str">
        <x:v>thumbnails/VIS-SOC-DEC-TASK-34-P002.jpg</x:v>
      </x:c>
      <x:c r="P1727" s="87"/>
      <x:c r="Q1727" s="30" t="str">
        <x:v>incoming/raw/recovery-drop-01/society_dec_visual_assets_v086(1).zip!/pages/VIS-SOC-DEC-TASK-34-P002.png</x:v>
      </x:c>
      <x:c r="R1727" s="30" t="str">
        <x:v>MATCHED_ASSET</x:v>
      </x:c>
      <x:c r="S1727" t="e">
        <x:f>HYPERLINK("visual_gallery/index.html#"&amp;A1727,"Галерея")</x:f>
      </x:c>
    </x:row>
    <x:row r="1728">
      <x:c r="A1728" s="87" t="str">
        <x:v>VIS-SOC-DEC-TASK-34-P003</x:v>
      </x:c>
      <x:c r="B1728" s="30" t="str">
        <x:v>Обществознание</x:v>
      </x:c>
      <x:c r="C1728" s="30"/>
      <x:c r="D1728" s="30" t="str">
        <x:v>ОБ2510303</x:v>
      </x:c>
      <x:c r="E1728" s="87" t="str">
        <x:v>TASK</x:v>
      </x:c>
      <x:c r="F1728" s="30" t="str">
        <x:v>Zadanie_OB11_10122025_.pdf</x:v>
      </x:c>
      <x:c r="G1728" s="87"/>
      <x:c r="H1728" s="87" t="str">
        <x:v>v0.86</x:v>
      </x:c>
      <x:c r="I1728" s="87" t="str">
        <x:v>2</x:v>
      </x:c>
      <x:c r="J1728" s="30" t="str">
        <x:v>VIS_ID</x:v>
      </x:c>
      <x:c r="K1728" s="30" t="str">
        <x:v>DEC-SOC-03-003, DEC-SOC-03-004</x:v>
      </x:c>
      <x:c r="L1728" s="87" t="str">
        <x:v>CROP_VERIFIED</x:v>
      </x:c>
      <x:c r="M1728" s="87" t="str">
        <x:v>ORIGINAL_PACKAGE</x:v>
      </x:c>
      <x:c r="N1728" s="87" t="str">
        <x:v>pages/VIS-SOC-DEC-TASK-34-P003.png</x:v>
      </x:c>
      <x:c r="O1728" s="87" t="str">
        <x:v>thumbnails/VIS-SOC-DEC-TASK-34-P003.jpg</x:v>
      </x:c>
      <x:c r="P1728" s="87"/>
      <x:c r="Q1728" s="30" t="str">
        <x:v>incoming/raw/recovery-drop-01/society_dec_visual_assets_v086(1).zip!/pages/VIS-SOC-DEC-TASK-34-P003.png</x:v>
      </x:c>
      <x:c r="R1728" s="30" t="str">
        <x:v>MATCHED_ASSET</x:v>
      </x:c>
      <x:c r="S1728" t="e">
        <x:f>HYPERLINK("visual_gallery/index.html#"&amp;A1728,"Галерея")</x:f>
      </x:c>
    </x:row>
    <x:row r="1729">
      <x:c r="A1729" s="87" t="str">
        <x:v>VIS-SOC-DEC-TASK-34-P004</x:v>
      </x:c>
      <x:c r="B1729" s="30" t="str">
        <x:v>Обществознание</x:v>
      </x:c>
      <x:c r="C1729" s="30"/>
      <x:c r="D1729" s="30" t="str">
        <x:v>ОБ2510303</x:v>
      </x:c>
      <x:c r="E1729" s="87" t="str">
        <x:v>TASK</x:v>
      </x:c>
      <x:c r="F1729" s="30" t="str">
        <x:v>Zadanie_OB11_10122025_.pdf</x:v>
      </x:c>
      <x:c r="G1729" s="87"/>
      <x:c r="H1729" s="87" t="str">
        <x:v>v0.86</x:v>
      </x:c>
      <x:c r="I1729" s="87" t="str">
        <x:v>2</x:v>
      </x:c>
      <x:c r="J1729" s="30" t="str">
        <x:v>VIS_ID</x:v>
      </x:c>
      <x:c r="K1729" s="30" t="str">
        <x:v>DEC-SOC-03-005, DEC-SOC-03-006</x:v>
      </x:c>
      <x:c r="L1729" s="87" t="str">
        <x:v>CROP_VERIFIED</x:v>
      </x:c>
      <x:c r="M1729" s="87" t="str">
        <x:v>ORIGINAL_PACKAGE</x:v>
      </x:c>
      <x:c r="N1729" s="87" t="str">
        <x:v>pages/VIS-SOC-DEC-TASK-34-P004.png</x:v>
      </x:c>
      <x:c r="O1729" s="87" t="str">
        <x:v>thumbnails/VIS-SOC-DEC-TASK-34-P004.jpg</x:v>
      </x:c>
      <x:c r="P1729" s="87"/>
      <x:c r="Q1729" s="30" t="str">
        <x:v>incoming/raw/recovery-drop-01/society_dec_visual_assets_v086(1).zip!/pages/VIS-SOC-DEC-TASK-34-P004.png</x:v>
      </x:c>
      <x:c r="R1729" s="30" t="str">
        <x:v>MATCHED_ASSET</x:v>
      </x:c>
      <x:c r="S1729" t="e">
        <x:f>HYPERLINK("visual_gallery/index.html#"&amp;A1729,"Галерея")</x:f>
      </x:c>
    </x:row>
    <x:row r="1730">
      <x:c r="A1730" s="87" t="str">
        <x:v>VIS-SOC-DEC-TASK-34-P005</x:v>
      </x:c>
      <x:c r="B1730" s="30" t="str">
        <x:v>Обществознание</x:v>
      </x:c>
      <x:c r="C1730" s="30"/>
      <x:c r="D1730" s="30" t="str">
        <x:v>ОБ2510303</x:v>
      </x:c>
      <x:c r="E1730" s="87" t="str">
        <x:v>TASK</x:v>
      </x:c>
      <x:c r="F1730" s="30" t="str">
        <x:v>Zadanie_OB11_10122025_.pdf</x:v>
      </x:c>
      <x:c r="G1730" s="87"/>
      <x:c r="H1730" s="87" t="str">
        <x:v>v0.86</x:v>
      </x:c>
      <x:c r="I1730" s="87" t="str">
        <x:v>2</x:v>
      </x:c>
      <x:c r="J1730" s="30" t="str">
        <x:v>VIS_ID</x:v>
      </x:c>
      <x:c r="K1730" s="30" t="str">
        <x:v>DEC-SOC-03-007, DEC-SOC-03-008</x:v>
      </x:c>
      <x:c r="L1730" s="87" t="str">
        <x:v>CROP_VERIFIED</x:v>
      </x:c>
      <x:c r="M1730" s="87" t="str">
        <x:v>ORIGINAL_PACKAGE</x:v>
      </x:c>
      <x:c r="N1730" s="87" t="str">
        <x:v>pages/VIS-SOC-DEC-TASK-34-P005.png</x:v>
      </x:c>
      <x:c r="O1730" s="87" t="str">
        <x:v>thumbnails/VIS-SOC-DEC-TASK-34-P005.jpg</x:v>
      </x:c>
      <x:c r="P1730" s="87"/>
      <x:c r="Q1730" s="30" t="str">
        <x:v>incoming/raw/recovery-drop-01/society_dec_visual_assets_v086(1).zip!/pages/VIS-SOC-DEC-TASK-34-P005.png</x:v>
      </x:c>
      <x:c r="R1730" s="30" t="str">
        <x:v>MATCHED_ASSET</x:v>
      </x:c>
      <x:c r="S1730" t="e">
        <x:f>HYPERLINK("visual_gallery/index.html#"&amp;A1730,"Галерея")</x:f>
      </x:c>
    </x:row>
    <x:row r="1731">
      <x:c r="A1731" s="87" t="str">
        <x:v>VIS-SOC-DEC-TASK-34-P006</x:v>
      </x:c>
      <x:c r="B1731" s="30" t="str">
        <x:v>Обществознание</x:v>
      </x:c>
      <x:c r="C1731" s="30"/>
      <x:c r="D1731" s="30" t="str">
        <x:v>ОБ2510303</x:v>
      </x:c>
      <x:c r="E1731" s="87" t="str">
        <x:v>TASK</x:v>
      </x:c>
      <x:c r="F1731" s="30" t="str">
        <x:v>Zadanie_OB11_10122025_.pdf</x:v>
      </x:c>
      <x:c r="G1731" s="87"/>
      <x:c r="H1731" s="87" t="str">
        <x:v>v0.86</x:v>
      </x:c>
      <x:c r="I1731" s="87" t="str">
        <x:v>1</x:v>
      </x:c>
      <x:c r="J1731" s="30" t="str">
        <x:v>VIS_ID</x:v>
      </x:c>
      <x:c r="K1731" s="30" t="str">
        <x:v>DEC-SOC-03-009</x:v>
      </x:c>
      <x:c r="L1731" s="87" t="str">
        <x:v>CROP_VERIFIED</x:v>
      </x:c>
      <x:c r="M1731" s="87" t="str">
        <x:v>ORIGINAL_PACKAGE</x:v>
      </x:c>
      <x:c r="N1731" s="87" t="str">
        <x:v>pages/VIS-SOC-DEC-TASK-34-P006.png</x:v>
      </x:c>
      <x:c r="O1731" s="87" t="str">
        <x:v>thumbnails/VIS-SOC-DEC-TASK-34-P006.jpg</x:v>
      </x:c>
      <x:c r="P1731" s="87"/>
      <x:c r="Q1731" s="30" t="str">
        <x:v>incoming/raw/recovery-drop-01/society_dec_visual_assets_v086(1).zip!/pages/VIS-SOC-DEC-TASK-34-P006.png</x:v>
      </x:c>
      <x:c r="R1731" s="30" t="str">
        <x:v>MATCHED_ASSET</x:v>
      </x:c>
      <x:c r="S1731" t="e">
        <x:f>HYPERLINK("visual_gallery/index.html#"&amp;A1731,"Галерея")</x:f>
      </x:c>
    </x:row>
    <x:row r="1732">
      <x:c r="A1732" s="87" t="str">
        <x:v>VIS-SOC-DEC-TASK-34-P007</x:v>
      </x:c>
      <x:c r="B1732" s="30" t="str">
        <x:v>Обществознание</x:v>
      </x:c>
      <x:c r="C1732" s="30"/>
      <x:c r="D1732" s="30" t="str">
        <x:v>ОБ2510303</x:v>
      </x:c>
      <x:c r="E1732" s="87" t="str">
        <x:v>TASK</x:v>
      </x:c>
      <x:c r="F1732" s="30" t="str">
        <x:v>Zadanie_OB11_10122025_.pdf</x:v>
      </x:c>
      <x:c r="G1732" s="87"/>
      <x:c r="H1732" s="87" t="str">
        <x:v>v0.86</x:v>
      </x:c>
      <x:c r="I1732" s="87" t="str">
        <x:v>2</x:v>
      </x:c>
      <x:c r="J1732" s="30" t="str">
        <x:v>VIS_ID</x:v>
      </x:c>
      <x:c r="K1732" s="30" t="str">
        <x:v>DEC-SOC-03-010, DEC-SOC-03-011</x:v>
      </x:c>
      <x:c r="L1732" s="87" t="str">
        <x:v>CROP_VERIFIED</x:v>
      </x:c>
      <x:c r="M1732" s="87" t="str">
        <x:v>ORIGINAL_PACKAGE</x:v>
      </x:c>
      <x:c r="N1732" s="87" t="str">
        <x:v>pages/VIS-SOC-DEC-TASK-34-P007.png</x:v>
      </x:c>
      <x:c r="O1732" s="87" t="str">
        <x:v>thumbnails/VIS-SOC-DEC-TASK-34-P007.jpg</x:v>
      </x:c>
      <x:c r="P1732" s="87"/>
      <x:c r="Q1732" s="30" t="str">
        <x:v>incoming/raw/recovery-drop-01/society_dec_visual_assets_v086(1).zip!/pages/VIS-SOC-DEC-TASK-34-P007.png</x:v>
      </x:c>
      <x:c r="R1732" s="30" t="str">
        <x:v>MATCHED_ASSET</x:v>
      </x:c>
      <x:c r="S1732" t="e">
        <x:f>HYPERLINK("visual_gallery/index.html#"&amp;A1732,"Галерея")</x:f>
      </x:c>
    </x:row>
    <x:row r="1733">
      <x:c r="A1733" s="87" t="str">
        <x:v>VIS-SOC-DEC-TASK-34-P008</x:v>
      </x:c>
      <x:c r="B1733" s="30" t="str">
        <x:v>Обществознание</x:v>
      </x:c>
      <x:c r="C1733" s="30"/>
      <x:c r="D1733" s="30" t="str">
        <x:v>ОБ2510303</x:v>
      </x:c>
      <x:c r="E1733" s="87" t="str">
        <x:v>TASK</x:v>
      </x:c>
      <x:c r="F1733" s="30" t="str">
        <x:v>Zadanie_OB11_10122025_.pdf</x:v>
      </x:c>
      <x:c r="G1733" s="87"/>
      <x:c r="H1733" s="87" t="str">
        <x:v>v0.86</x:v>
      </x:c>
      <x:c r="I1733" s="87" t="str">
        <x:v>2</x:v>
      </x:c>
      <x:c r="J1733" s="30" t="str">
        <x:v>VIS_ID</x:v>
      </x:c>
      <x:c r="K1733" s="30" t="str">
        <x:v>DEC-SOC-03-012, DEC-SOC-03-013</x:v>
      </x:c>
      <x:c r="L1733" s="87" t="str">
        <x:v>CROP_VERIFIED</x:v>
      </x:c>
      <x:c r="M1733" s="87" t="str">
        <x:v>ORIGINAL_PACKAGE</x:v>
      </x:c>
      <x:c r="N1733" s="87" t="str">
        <x:v>pages/VIS-SOC-DEC-TASK-34-P008.png</x:v>
      </x:c>
      <x:c r="O1733" s="87" t="str">
        <x:v>thumbnails/VIS-SOC-DEC-TASK-34-P008.jpg</x:v>
      </x:c>
      <x:c r="P1733" s="87"/>
      <x:c r="Q1733" s="30" t="str">
        <x:v>incoming/raw/recovery-drop-01/society_dec_visual_assets_v086(1).zip!/pages/VIS-SOC-DEC-TASK-34-P008.png</x:v>
      </x:c>
      <x:c r="R1733" s="30" t="str">
        <x:v>MATCHED_ASSET</x:v>
      </x:c>
      <x:c r="S1733" t="e">
        <x:f>HYPERLINK("visual_gallery/index.html#"&amp;A1733,"Галерея")</x:f>
      </x:c>
    </x:row>
    <x:row r="1734">
      <x:c r="A1734" s="87" t="str">
        <x:v>VIS-SOC-DEC-TASK-34-P009</x:v>
      </x:c>
      <x:c r="B1734" s="30" t="str">
        <x:v>Обществознание</x:v>
      </x:c>
      <x:c r="C1734" s="30"/>
      <x:c r="D1734" s="30" t="str">
        <x:v>ОБ2510303</x:v>
      </x:c>
      <x:c r="E1734" s="87" t="str">
        <x:v>TASK</x:v>
      </x:c>
      <x:c r="F1734" s="30" t="str">
        <x:v>Zadanie_OB11_10122025_.pdf</x:v>
      </x:c>
      <x:c r="G1734" s="87"/>
      <x:c r="H1734" s="87" t="str">
        <x:v>v0.86</x:v>
      </x:c>
      <x:c r="I1734" s="87" t="str">
        <x:v>2</x:v>
      </x:c>
      <x:c r="J1734" s="30" t="str">
        <x:v>VIS_ID</x:v>
      </x:c>
      <x:c r="K1734" s="30" t="str">
        <x:v>DEC-SOC-03-014, DEC-SOC-03-015</x:v>
      </x:c>
      <x:c r="L1734" s="87" t="str">
        <x:v>CROP_VERIFIED</x:v>
      </x:c>
      <x:c r="M1734" s="87" t="str">
        <x:v>ORIGINAL_PACKAGE</x:v>
      </x:c>
      <x:c r="N1734" s="87" t="str">
        <x:v>pages/VIS-SOC-DEC-TASK-34-P009.png</x:v>
      </x:c>
      <x:c r="O1734" s="87" t="str">
        <x:v>thumbnails/VIS-SOC-DEC-TASK-34-P009.jpg</x:v>
      </x:c>
      <x:c r="P1734" s="87"/>
      <x:c r="Q1734" s="30" t="str">
        <x:v>incoming/raw/recovery-drop-01/society_dec_visual_assets_v086(1).zip!/pages/VIS-SOC-DEC-TASK-34-P009.png</x:v>
      </x:c>
      <x:c r="R1734" s="30" t="str">
        <x:v>MATCHED_ASSET</x:v>
      </x:c>
      <x:c r="S1734" t="e">
        <x:f>HYPERLINK("visual_gallery/index.html#"&amp;A1734,"Галерея")</x:f>
      </x:c>
    </x:row>
    <x:row r="1735">
      <x:c r="A1735" s="87" t="str">
        <x:v>VIS-SOC-DEC-TASK-34-P010</x:v>
      </x:c>
      <x:c r="B1735" s="30" t="str">
        <x:v>Обществознание</x:v>
      </x:c>
      <x:c r="C1735" s="30"/>
      <x:c r="D1735" s="30" t="str">
        <x:v>ОБ2510303</x:v>
      </x:c>
      <x:c r="E1735" s="87" t="str">
        <x:v>TASK</x:v>
      </x:c>
      <x:c r="F1735" s="30" t="str">
        <x:v>Zadanie_OB11_10122025_.pdf</x:v>
      </x:c>
      <x:c r="G1735" s="87"/>
      <x:c r="H1735" s="87" t="str">
        <x:v>v0.86</x:v>
      </x:c>
      <x:c r="I1735" s="87" t="str">
        <x:v>1</x:v>
      </x:c>
      <x:c r="J1735" s="30" t="str">
        <x:v>VIS_ID</x:v>
      </x:c>
      <x:c r="K1735" s="30" t="str">
        <x:v>DEC-SOC-03-016</x:v>
      </x:c>
      <x:c r="L1735" s="87" t="str">
        <x:v>CROP_VERIFIED</x:v>
      </x:c>
      <x:c r="M1735" s="87" t="str">
        <x:v>ORIGINAL_PACKAGE</x:v>
      </x:c>
      <x:c r="N1735" s="87" t="str">
        <x:v>pages/VIS-SOC-DEC-TASK-34-P010.png</x:v>
      </x:c>
      <x:c r="O1735" s="87" t="str">
        <x:v>thumbnails/VIS-SOC-DEC-TASK-34-P010.jpg</x:v>
      </x:c>
      <x:c r="P1735" s="87"/>
      <x:c r="Q1735" s="30" t="str">
        <x:v>incoming/raw/recovery-drop-01/society_dec_visual_assets_v086(1).zip!/pages/VIS-SOC-DEC-TASK-34-P010.png</x:v>
      </x:c>
      <x:c r="R1735" s="30" t="str">
        <x:v>MATCHED_ASSET</x:v>
      </x:c>
      <x:c r="S1735" t="e">
        <x:f>HYPERLINK("visual_gallery/index.html#"&amp;A1735,"Галерея")</x:f>
      </x:c>
    </x:row>
    <x:row r="1736">
      <x:c r="A1736" s="87" t="str">
        <x:v>VIS-SOC-DEC-TASK-34-P011</x:v>
      </x:c>
      <x:c r="B1736" s="30" t="str"/>
      <x:c r="C1736" s="30"/>
      <x:c r="D1736" s="30" t="str">
        <x:v>ОБ2510303</x:v>
      </x:c>
      <x:c r="E1736" s="87" t="str">
        <x:v>TASK</x:v>
      </x:c>
      <x:c r="F1736" s="30" t="str">
        <x:v>Zadanie_OB11_10122025_.pdf</x:v>
      </x:c>
      <x:c r="G1736" s="87"/>
      <x:c r="H1736" s="87" t="str">
        <x:v>v0.86</x:v>
      </x:c>
      <x:c r="I1736" s="87" t="str">
        <x:v>0</x:v>
      </x:c>
      <x:c r="J1736" s="30" t="str"/>
      <x:c r="K1736" s="30" t="str"/>
      <x:c r="L1736" s="87" t="str">
        <x:v>CROP_VERIFIED</x:v>
      </x:c>
      <x:c r="M1736" s="87" t="str">
        <x:v>ORIGINAL_PACKAGE</x:v>
      </x:c>
      <x:c r="N1736" s="87" t="str">
        <x:v>pages/VIS-SOC-DEC-TASK-34-P011.png</x:v>
      </x:c>
      <x:c r="O1736" s="87" t="str">
        <x:v>thumbnails/VIS-SOC-DEC-TASK-34-P011.jpg</x:v>
      </x:c>
      <x:c r="P1736" s="87"/>
      <x:c r="Q1736" s="30" t="str">
        <x:v>incoming/raw/recovery-drop-01/society_dec_visual_assets_v086(1).zip!/pages/VIS-SOC-DEC-TASK-34-P011.png</x:v>
      </x:c>
      <x:c r="R1736" s="30" t="str">
        <x:v>RESOLVED_UNLINKED_REGISTRY_VISUAL</x:v>
      </x:c>
      <x:c r="S1736" t="e">
        <x:f>HYPERLINK("visual_gallery/index.html#"&amp;A1736,"Галерея")</x:f>
      </x:c>
    </x:row>
    <x:row r="1737">
      <x:c r="A1737" s="87" t="str">
        <x:v>VIS-SOC-DEC-TASK-34-P012</x:v>
      </x:c>
      <x:c r="B1737" s="30" t="str">
        <x:v>Обществознание</x:v>
      </x:c>
      <x:c r="C1737" s="30"/>
      <x:c r="D1737" s="30" t="str">
        <x:v>ОБ2510303</x:v>
      </x:c>
      <x:c r="E1737" s="87" t="str">
        <x:v>TASK</x:v>
      </x:c>
      <x:c r="F1737" s="30" t="str">
        <x:v>Zadanie_OB11_10122025_.pdf</x:v>
      </x:c>
      <x:c r="G1737" s="87"/>
      <x:c r="H1737" s="87" t="str">
        <x:v>v0.86</x:v>
      </x:c>
      <x:c r="I1737" s="87" t="str">
        <x:v>4</x:v>
      </x:c>
      <x:c r="J1737" s="30" t="str">
        <x:v>VIS_ID</x:v>
      </x:c>
      <x:c r="K1737" s="30" t="str">
        <x:v>DEC-SOC-03-017, DEC-SOC-03-018, DEC-SOC-03-019, DEC-SOC-03-020</x:v>
      </x:c>
      <x:c r="L1737" s="87" t="str">
        <x:v>CROP_VERIFIED</x:v>
      </x:c>
      <x:c r="M1737" s="87" t="str">
        <x:v>ORIGINAL_PACKAGE</x:v>
      </x:c>
      <x:c r="N1737" s="87" t="str">
        <x:v>pages/VIS-SOC-DEC-TASK-34-P012.png</x:v>
      </x:c>
      <x:c r="O1737" s="87" t="str">
        <x:v>thumbnails/VIS-SOC-DEC-TASK-34-P012.jpg</x:v>
      </x:c>
      <x:c r="P1737" s="87"/>
      <x:c r="Q1737" s="30" t="str">
        <x:v>incoming/raw/recovery-drop-01/society_dec_visual_assets_v086(1).zip!/pages/VIS-SOC-DEC-TASK-34-P012.png</x:v>
      </x:c>
      <x:c r="R1737" s="30" t="str">
        <x:v>MATCHED_ASSET</x:v>
      </x:c>
      <x:c r="S1737" t="e">
        <x:f>HYPERLINK("visual_gallery/index.html#"&amp;A1737,"Галерея")</x:f>
      </x:c>
    </x:row>
    <x:row r="1738">
      <x:c r="A1738" s="87" t="str">
        <x:v>VIS-SOC-DEC-TASK-34-P013</x:v>
      </x:c>
      <x:c r="B1738" s="30" t="str">
        <x:v>Обществознание</x:v>
      </x:c>
      <x:c r="C1738" s="30"/>
      <x:c r="D1738" s="30" t="str">
        <x:v>ОБ2510303</x:v>
      </x:c>
      <x:c r="E1738" s="87" t="str">
        <x:v>TASK</x:v>
      </x:c>
      <x:c r="F1738" s="30" t="str">
        <x:v>Zadanie_OB11_10122025_.pdf</x:v>
      </x:c>
      <x:c r="G1738" s="87"/>
      <x:c r="H1738" s="87" t="str">
        <x:v>v0.86</x:v>
      </x:c>
      <x:c r="I1738" s="87" t="str">
        <x:v>1</x:v>
      </x:c>
      <x:c r="J1738" s="30" t="str">
        <x:v>VIS_ID</x:v>
      </x:c>
      <x:c r="K1738" s="30" t="str">
        <x:v>DEC-SOC-03-021</x:v>
      </x:c>
      <x:c r="L1738" s="87" t="str">
        <x:v>CROP_VERIFIED</x:v>
      </x:c>
      <x:c r="M1738" s="87" t="str">
        <x:v>ORIGINAL_PACKAGE</x:v>
      </x:c>
      <x:c r="N1738" s="87" t="str">
        <x:v>pages/VIS-SOC-DEC-TASK-34-P013.png</x:v>
      </x:c>
      <x:c r="O1738" s="87" t="str">
        <x:v>thumbnails/VIS-SOC-DEC-TASK-34-P013.jpg</x:v>
      </x:c>
      <x:c r="P1738" s="87"/>
      <x:c r="Q1738" s="30" t="str">
        <x:v>incoming/raw/recovery-drop-01/society_dec_visual_assets_v086(1).zip!/pages/VIS-SOC-DEC-TASK-34-P013.png</x:v>
      </x:c>
      <x:c r="R1738" s="30" t="str">
        <x:v>MATCHED_ASSET</x:v>
      </x:c>
      <x:c r="S1738" t="e">
        <x:f>HYPERLINK("visual_gallery/index.html#"&amp;A1738,"Галерея")</x:f>
      </x:c>
    </x:row>
    <x:row r="1739">
      <x:c r="A1739" s="87" t="str">
        <x:v>VIS-SOC-DEC-TASK-34-P014</x:v>
      </x:c>
      <x:c r="B1739" s="30" t="str">
        <x:v>Обществознание</x:v>
      </x:c>
      <x:c r="C1739" s="30"/>
      <x:c r="D1739" s="30" t="str">
        <x:v>ОБ2510303</x:v>
      </x:c>
      <x:c r="E1739" s="87" t="str">
        <x:v>TASK</x:v>
      </x:c>
      <x:c r="F1739" s="30" t="str">
        <x:v>Zadanie_OB11_10122025_.pdf</x:v>
      </x:c>
      <x:c r="G1739" s="87"/>
      <x:c r="H1739" s="87" t="str">
        <x:v>v0.86</x:v>
      </x:c>
      <x:c r="I1739" s="87" t="str">
        <x:v>4</x:v>
      </x:c>
      <x:c r="J1739" s="30" t="str">
        <x:v>VIS_ID</x:v>
      </x:c>
      <x:c r="K1739" s="30" t="str">
        <x:v>DEC-SOC-03-022, DEC-SOC-03-023, DEC-SOC-03-024, DEC-SOC-03-025</x:v>
      </x:c>
      <x:c r="L1739" s="87" t="str">
        <x:v>CROP_VERIFIED</x:v>
      </x:c>
      <x:c r="M1739" s="87" t="str">
        <x:v>ORIGINAL_PACKAGE</x:v>
      </x:c>
      <x:c r="N1739" s="87" t="str">
        <x:v>pages/VIS-SOC-DEC-TASK-34-P014.png</x:v>
      </x:c>
      <x:c r="O1739" s="87" t="str">
        <x:v>thumbnails/VIS-SOC-DEC-TASK-34-P014.jpg</x:v>
      </x:c>
      <x:c r="P1739" s="87"/>
      <x:c r="Q1739" s="30" t="str">
        <x:v>incoming/raw/recovery-drop-01/society_dec_visual_assets_v086(1).zip!/pages/VIS-SOC-DEC-TASK-34-P014.png</x:v>
      </x:c>
      <x:c r="R1739" s="30" t="str">
        <x:v>MATCHED_ASSET</x:v>
      </x:c>
      <x:c r="S1739" t="e">
        <x:f>HYPERLINK("visual_gallery/index.html#"&amp;A1739,"Галерея")</x:f>
      </x:c>
    </x:row>
    <x:row r="1740">
      <x:c r="A1740" s="87" t="str">
        <x:v>VIS-SOC-DEC-TASK-34-P015</x:v>
      </x:c>
      <x:c r="B1740" s="30" t="str"/>
      <x:c r="C1740" s="30"/>
      <x:c r="D1740" s="30" t="str">
        <x:v>ОБ2510304</x:v>
      </x:c>
      <x:c r="E1740" s="87" t="str">
        <x:v>TASK</x:v>
      </x:c>
      <x:c r="F1740" s="30" t="str">
        <x:v>Zadanie_OB11_10122025_.pdf</x:v>
      </x:c>
      <x:c r="G1740" s="87"/>
      <x:c r="H1740" s="87" t="str">
        <x:v>v0.86</x:v>
      </x:c>
      <x:c r="I1740" s="87" t="str">
        <x:v>0</x:v>
      </x:c>
      <x:c r="J1740" s="30" t="str"/>
      <x:c r="K1740" s="30" t="str"/>
      <x:c r="L1740" s="87" t="str">
        <x:v>CROP_VERIFIED</x:v>
      </x:c>
      <x:c r="M1740" s="87" t="str">
        <x:v>ORIGINAL_PACKAGE</x:v>
      </x:c>
      <x:c r="N1740" s="87" t="str">
        <x:v>pages/VIS-SOC-DEC-TASK-34-P015.png</x:v>
      </x:c>
      <x:c r="O1740" s="87" t="str">
        <x:v>thumbnails/VIS-SOC-DEC-TASK-34-P015.jpg</x:v>
      </x:c>
      <x:c r="P1740" s="87"/>
      <x:c r="Q1740" s="30" t="str">
        <x:v>incoming/raw/recovery-drop-01/society_dec_visual_assets_v086(1).zip!/pages/VIS-SOC-DEC-TASK-34-P015.png</x:v>
      </x:c>
      <x:c r="R1740" s="30" t="str">
        <x:v>RESOLVED_UNLINKED_REGISTRY_VISUAL</x:v>
      </x:c>
      <x:c r="S1740" t="e">
        <x:f>HYPERLINK("visual_gallery/index.html#"&amp;A1740,"Галерея")</x:f>
      </x:c>
    </x:row>
    <x:row r="1741">
      <x:c r="A1741" s="87" t="str">
        <x:v>VIS-SOC-DEC-TASK-34-P016</x:v>
      </x:c>
      <x:c r="B1741" s="30" t="str">
        <x:v>Обществознание</x:v>
      </x:c>
      <x:c r="C1741" s="30"/>
      <x:c r="D1741" s="30" t="str">
        <x:v>ОБ2510304</x:v>
      </x:c>
      <x:c r="E1741" s="87" t="str">
        <x:v>TASK</x:v>
      </x:c>
      <x:c r="F1741" s="30" t="str">
        <x:v>Zadanie_OB11_10122025_.pdf</x:v>
      </x:c>
      <x:c r="G1741" s="87"/>
      <x:c r="H1741" s="87" t="str">
        <x:v>v0.86</x:v>
      </x:c>
      <x:c r="I1741" s="87" t="str">
        <x:v>2</x:v>
      </x:c>
      <x:c r="J1741" s="30" t="str">
        <x:v>VIS_ID</x:v>
      </x:c>
      <x:c r="K1741" s="30" t="str">
        <x:v>DEC-SOC-04-001, DEC-SOC-04-002</x:v>
      </x:c>
      <x:c r="L1741" s="87" t="str">
        <x:v>CROP_VERIFIED</x:v>
      </x:c>
      <x:c r="M1741" s="87" t="str">
        <x:v>ORIGINAL_PACKAGE</x:v>
      </x:c>
      <x:c r="N1741" s="87" t="str">
        <x:v>pages/VIS-SOC-DEC-TASK-34-P016.png</x:v>
      </x:c>
      <x:c r="O1741" s="87" t="str">
        <x:v>thumbnails/VIS-SOC-DEC-TASK-34-P016.jpg</x:v>
      </x:c>
      <x:c r="P1741" s="87"/>
      <x:c r="Q1741" s="30" t="str">
        <x:v>incoming/raw/recovery-drop-01/society_dec_visual_assets_v086(1).zip!/pages/VIS-SOC-DEC-TASK-34-P016.png</x:v>
      </x:c>
      <x:c r="R1741" s="30" t="str">
        <x:v>MATCHED_ASSET</x:v>
      </x:c>
      <x:c r="S1741" t="e">
        <x:f>HYPERLINK("visual_gallery/index.html#"&amp;A1741,"Галерея")</x:f>
      </x:c>
    </x:row>
    <x:row r="1742">
      <x:c r="A1742" s="87" t="str">
        <x:v>VIS-SOC-DEC-TASK-34-P017</x:v>
      </x:c>
      <x:c r="B1742" s="30" t="str">
        <x:v>Обществознание</x:v>
      </x:c>
      <x:c r="C1742" s="30"/>
      <x:c r="D1742" s="30" t="str">
        <x:v>ОБ2510304</x:v>
      </x:c>
      <x:c r="E1742" s="87" t="str">
        <x:v>TASK</x:v>
      </x:c>
      <x:c r="F1742" s="30" t="str">
        <x:v>Zadanie_OB11_10122025_.pdf</x:v>
      </x:c>
      <x:c r="G1742" s="87"/>
      <x:c r="H1742" s="87" t="str">
        <x:v>v0.86</x:v>
      </x:c>
      <x:c r="I1742" s="87" t="str">
        <x:v>2</x:v>
      </x:c>
      <x:c r="J1742" s="30" t="str">
        <x:v>VIS_ID</x:v>
      </x:c>
      <x:c r="K1742" s="30" t="str">
        <x:v>DEC-SOC-04-003, DEC-SOC-04-004</x:v>
      </x:c>
      <x:c r="L1742" s="87" t="str">
        <x:v>CROP_VERIFIED</x:v>
      </x:c>
      <x:c r="M1742" s="87" t="str">
        <x:v>ORIGINAL_PACKAGE</x:v>
      </x:c>
      <x:c r="N1742" s="87" t="str">
        <x:v>pages/VIS-SOC-DEC-TASK-34-P017.png</x:v>
      </x:c>
      <x:c r="O1742" s="87" t="str">
        <x:v>thumbnails/VIS-SOC-DEC-TASK-34-P017.jpg</x:v>
      </x:c>
      <x:c r="P1742" s="87"/>
      <x:c r="Q1742" s="30" t="str">
        <x:v>incoming/raw/recovery-drop-01/society_dec_visual_assets_v086(1).zip!/pages/VIS-SOC-DEC-TASK-34-P017.png</x:v>
      </x:c>
      <x:c r="R1742" s="30" t="str">
        <x:v>MATCHED_ASSET</x:v>
      </x:c>
      <x:c r="S1742" t="e">
        <x:f>HYPERLINK("visual_gallery/index.html#"&amp;A1742,"Галерея")</x:f>
      </x:c>
    </x:row>
    <x:row r="1743">
      <x:c r="A1743" s="87" t="str">
        <x:v>VIS-SOC-DEC-TASK-34-P018</x:v>
      </x:c>
      <x:c r="B1743" s="30" t="str">
        <x:v>Обществознание</x:v>
      </x:c>
      <x:c r="C1743" s="30"/>
      <x:c r="D1743" s="30" t="str">
        <x:v>ОБ2510304</x:v>
      </x:c>
      <x:c r="E1743" s="87" t="str">
        <x:v>TASK</x:v>
      </x:c>
      <x:c r="F1743" s="30" t="str">
        <x:v>Zadanie_OB11_10122025_.pdf</x:v>
      </x:c>
      <x:c r="G1743" s="87"/>
      <x:c r="H1743" s="87" t="str">
        <x:v>v0.86</x:v>
      </x:c>
      <x:c r="I1743" s="87" t="str">
        <x:v>2</x:v>
      </x:c>
      <x:c r="J1743" s="30" t="str">
        <x:v>VIS_ID</x:v>
      </x:c>
      <x:c r="K1743" s="30" t="str">
        <x:v>DEC-SOC-04-005, DEC-SOC-04-006</x:v>
      </x:c>
      <x:c r="L1743" s="87" t="str">
        <x:v>CROP_VERIFIED</x:v>
      </x:c>
      <x:c r="M1743" s="87" t="str">
        <x:v>ORIGINAL_PACKAGE</x:v>
      </x:c>
      <x:c r="N1743" s="87" t="str">
        <x:v>pages/VIS-SOC-DEC-TASK-34-P018.png</x:v>
      </x:c>
      <x:c r="O1743" s="87" t="str">
        <x:v>thumbnails/VIS-SOC-DEC-TASK-34-P018.jpg</x:v>
      </x:c>
      <x:c r="P1743" s="87"/>
      <x:c r="Q1743" s="30" t="str">
        <x:v>incoming/raw/recovery-drop-01/society_dec_visual_assets_v086(1).zip!/pages/VIS-SOC-DEC-TASK-34-P018.png</x:v>
      </x:c>
      <x:c r="R1743" s="30" t="str">
        <x:v>MATCHED_ASSET</x:v>
      </x:c>
      <x:c r="S1743" t="e">
        <x:f>HYPERLINK("visual_gallery/index.html#"&amp;A1743,"Галерея")</x:f>
      </x:c>
    </x:row>
    <x:row r="1744">
      <x:c r="A1744" s="87" t="str">
        <x:v>VIS-SOC-DEC-TASK-34-P019</x:v>
      </x:c>
      <x:c r="B1744" s="30" t="str">
        <x:v>Обществознание</x:v>
      </x:c>
      <x:c r="C1744" s="30"/>
      <x:c r="D1744" s="30" t="str">
        <x:v>ОБ2510304</x:v>
      </x:c>
      <x:c r="E1744" s="87" t="str">
        <x:v>TASK</x:v>
      </x:c>
      <x:c r="F1744" s="30" t="str">
        <x:v>Zadanie_OB11_10122025_.pdf</x:v>
      </x:c>
      <x:c r="G1744" s="87"/>
      <x:c r="H1744" s="87" t="str">
        <x:v>v0.86</x:v>
      </x:c>
      <x:c r="I1744" s="87" t="str">
        <x:v>2</x:v>
      </x:c>
      <x:c r="J1744" s="30" t="str">
        <x:v>VIS_ID</x:v>
      </x:c>
      <x:c r="K1744" s="30" t="str">
        <x:v>DEC-SOC-04-007, DEC-SOC-04-008</x:v>
      </x:c>
      <x:c r="L1744" s="87" t="str">
        <x:v>CROP_VERIFIED</x:v>
      </x:c>
      <x:c r="M1744" s="87" t="str">
        <x:v>ORIGINAL_PACKAGE</x:v>
      </x:c>
      <x:c r="N1744" s="87" t="str">
        <x:v>pages/VIS-SOC-DEC-TASK-34-P019.png</x:v>
      </x:c>
      <x:c r="O1744" s="87" t="str">
        <x:v>thumbnails/VIS-SOC-DEC-TASK-34-P019.jpg</x:v>
      </x:c>
      <x:c r="P1744" s="87"/>
      <x:c r="Q1744" s="30" t="str">
        <x:v>incoming/raw/recovery-drop-01/society_dec_visual_assets_v086(1).zip!/pages/VIS-SOC-DEC-TASK-34-P019.png</x:v>
      </x:c>
      <x:c r="R1744" s="30" t="str">
        <x:v>MATCHED_ASSET</x:v>
      </x:c>
      <x:c r="S1744" t="e">
        <x:f>HYPERLINK("visual_gallery/index.html#"&amp;A1744,"Галерея")</x:f>
      </x:c>
    </x:row>
    <x:row r="1745">
      <x:c r="A1745" s="87" t="str">
        <x:v>VIS-SOC-DEC-TASK-34-P020</x:v>
      </x:c>
      <x:c r="B1745" s="30" t="str">
        <x:v>Обществознание</x:v>
      </x:c>
      <x:c r="C1745" s="30"/>
      <x:c r="D1745" s="30" t="str">
        <x:v>ОБ2510304</x:v>
      </x:c>
      <x:c r="E1745" s="87" t="str">
        <x:v>TASK</x:v>
      </x:c>
      <x:c r="F1745" s="30" t="str">
        <x:v>Zadanie_OB11_10122025_.pdf</x:v>
      </x:c>
      <x:c r="G1745" s="87"/>
      <x:c r="H1745" s="87" t="str">
        <x:v>v0.86</x:v>
      </x:c>
      <x:c r="I1745" s="87" t="str">
        <x:v>1</x:v>
      </x:c>
      <x:c r="J1745" s="30" t="str">
        <x:v>VIS_ID</x:v>
      </x:c>
      <x:c r="K1745" s="30" t="str">
        <x:v>DEC-SOC-04-009</x:v>
      </x:c>
      <x:c r="L1745" s="87" t="str">
        <x:v>CROP_VERIFIED</x:v>
      </x:c>
      <x:c r="M1745" s="87" t="str">
        <x:v>ORIGINAL_PACKAGE</x:v>
      </x:c>
      <x:c r="N1745" s="87" t="str">
        <x:v>pages/VIS-SOC-DEC-TASK-34-P020.png</x:v>
      </x:c>
      <x:c r="O1745" s="87" t="str">
        <x:v>thumbnails/VIS-SOC-DEC-TASK-34-P020.jpg</x:v>
      </x:c>
      <x:c r="P1745" s="87"/>
      <x:c r="Q1745" s="30" t="str">
        <x:v>incoming/raw/recovery-drop-01/society_dec_visual_assets_v086(1).zip!/pages/VIS-SOC-DEC-TASK-34-P020.png</x:v>
      </x:c>
      <x:c r="R1745" s="30" t="str">
        <x:v>MATCHED_ASSET</x:v>
      </x:c>
      <x:c r="S1745" t="e">
        <x:f>HYPERLINK("visual_gallery/index.html#"&amp;A1745,"Галерея")</x:f>
      </x:c>
    </x:row>
    <x:row r="1746">
      <x:c r="A1746" s="87" t="str">
        <x:v>VIS-SOC-DEC-TASK-34-P021</x:v>
      </x:c>
      <x:c r="B1746" s="30" t="str">
        <x:v>Обществознание</x:v>
      </x:c>
      <x:c r="C1746" s="30"/>
      <x:c r="D1746" s="30" t="str">
        <x:v>ОБ2510304</x:v>
      </x:c>
      <x:c r="E1746" s="87" t="str">
        <x:v>TASK</x:v>
      </x:c>
      <x:c r="F1746" s="30" t="str">
        <x:v>Zadanie_OB11_10122025_.pdf</x:v>
      </x:c>
      <x:c r="G1746" s="87"/>
      <x:c r="H1746" s="87" t="str">
        <x:v>v0.86</x:v>
      </x:c>
      <x:c r="I1746" s="87" t="str">
        <x:v>2</x:v>
      </x:c>
      <x:c r="J1746" s="30" t="str">
        <x:v>VIS_ID</x:v>
      </x:c>
      <x:c r="K1746" s="30" t="str">
        <x:v>DEC-SOC-04-010, DEC-SOC-04-011</x:v>
      </x:c>
      <x:c r="L1746" s="87" t="str">
        <x:v>CROP_VERIFIED</x:v>
      </x:c>
      <x:c r="M1746" s="87" t="str">
        <x:v>ORIGINAL_PACKAGE</x:v>
      </x:c>
      <x:c r="N1746" s="87" t="str">
        <x:v>pages/VIS-SOC-DEC-TASK-34-P021.png</x:v>
      </x:c>
      <x:c r="O1746" s="87" t="str">
        <x:v>thumbnails/VIS-SOC-DEC-TASK-34-P021.jpg</x:v>
      </x:c>
      <x:c r="P1746" s="87"/>
      <x:c r="Q1746" s="30" t="str">
        <x:v>incoming/raw/recovery-drop-01/society_dec_visual_assets_v086(1).zip!/pages/VIS-SOC-DEC-TASK-34-P021.png</x:v>
      </x:c>
      <x:c r="R1746" s="30" t="str">
        <x:v>MATCHED_ASSET</x:v>
      </x:c>
      <x:c r="S1746" t="e">
        <x:f>HYPERLINK("visual_gallery/index.html#"&amp;A1746,"Галерея")</x:f>
      </x:c>
    </x:row>
    <x:row r="1747">
      <x:c r="A1747" s="87" t="str">
        <x:v>VIS-SOC-DEC-TASK-34-P022</x:v>
      </x:c>
      <x:c r="B1747" s="30" t="str">
        <x:v>Обществознание</x:v>
      </x:c>
      <x:c r="C1747" s="30"/>
      <x:c r="D1747" s="30" t="str">
        <x:v>ОБ2510304</x:v>
      </x:c>
      <x:c r="E1747" s="87" t="str">
        <x:v>TASK</x:v>
      </x:c>
      <x:c r="F1747" s="30" t="str">
        <x:v>Zadanie_OB11_10122025_.pdf</x:v>
      </x:c>
      <x:c r="G1747" s="87"/>
      <x:c r="H1747" s="87" t="str">
        <x:v>v0.86</x:v>
      </x:c>
      <x:c r="I1747" s="87" t="str">
        <x:v>2</x:v>
      </x:c>
      <x:c r="J1747" s="30" t="str">
        <x:v>VIS_ID</x:v>
      </x:c>
      <x:c r="K1747" s="30" t="str">
        <x:v>DEC-SOC-04-012, DEC-SOC-04-013</x:v>
      </x:c>
      <x:c r="L1747" s="87" t="str">
        <x:v>CROP_VERIFIED</x:v>
      </x:c>
      <x:c r="M1747" s="87" t="str">
        <x:v>ORIGINAL_PACKAGE</x:v>
      </x:c>
      <x:c r="N1747" s="87" t="str">
        <x:v>pages/VIS-SOC-DEC-TASK-34-P022.png</x:v>
      </x:c>
      <x:c r="O1747" s="87" t="str">
        <x:v>thumbnails/VIS-SOC-DEC-TASK-34-P022.jpg</x:v>
      </x:c>
      <x:c r="P1747" s="87"/>
      <x:c r="Q1747" s="30" t="str">
        <x:v>incoming/raw/recovery-drop-01/society_dec_visual_assets_v086(1).zip!/pages/VIS-SOC-DEC-TASK-34-P022.png</x:v>
      </x:c>
      <x:c r="R1747" s="30" t="str">
        <x:v>MATCHED_ASSET</x:v>
      </x:c>
      <x:c r="S1747" t="e">
        <x:f>HYPERLINK("visual_gallery/index.html#"&amp;A1747,"Галерея")</x:f>
      </x:c>
    </x:row>
    <x:row r="1748">
      <x:c r="A1748" s="87" t="str">
        <x:v>VIS-SOC-DEC-TASK-34-P023</x:v>
      </x:c>
      <x:c r="B1748" s="30" t="str">
        <x:v>Обществознание</x:v>
      </x:c>
      <x:c r="C1748" s="30"/>
      <x:c r="D1748" s="30" t="str">
        <x:v>ОБ2510304</x:v>
      </x:c>
      <x:c r="E1748" s="87" t="str">
        <x:v>TASK</x:v>
      </x:c>
      <x:c r="F1748" s="30" t="str">
        <x:v>Zadanie_OB11_10122025_.pdf</x:v>
      </x:c>
      <x:c r="G1748" s="87"/>
      <x:c r="H1748" s="87" t="str">
        <x:v>v0.86</x:v>
      </x:c>
      <x:c r="I1748" s="87" t="str">
        <x:v>2</x:v>
      </x:c>
      <x:c r="J1748" s="30" t="str">
        <x:v>VIS_ID</x:v>
      </x:c>
      <x:c r="K1748" s="30" t="str">
        <x:v>DEC-SOC-04-014, DEC-SOC-04-015</x:v>
      </x:c>
      <x:c r="L1748" s="87" t="str">
        <x:v>CROP_VERIFIED</x:v>
      </x:c>
      <x:c r="M1748" s="87" t="str">
        <x:v>ORIGINAL_PACKAGE</x:v>
      </x:c>
      <x:c r="N1748" s="87" t="str">
        <x:v>pages/VIS-SOC-DEC-TASK-34-P023.png</x:v>
      </x:c>
      <x:c r="O1748" s="87" t="str">
        <x:v>thumbnails/VIS-SOC-DEC-TASK-34-P023.jpg</x:v>
      </x:c>
      <x:c r="P1748" s="87"/>
      <x:c r="Q1748" s="30" t="str">
        <x:v>incoming/raw/recovery-drop-01/society_dec_visual_assets_v086(1).zip!/pages/VIS-SOC-DEC-TASK-34-P023.png</x:v>
      </x:c>
      <x:c r="R1748" s="30" t="str">
        <x:v>MATCHED_ASSET</x:v>
      </x:c>
      <x:c r="S1748" t="e">
        <x:f>HYPERLINK("visual_gallery/index.html#"&amp;A1748,"Галерея")</x:f>
      </x:c>
    </x:row>
    <x:row r="1749">
      <x:c r="A1749" s="87" t="str">
        <x:v>VIS-SOC-DEC-TASK-34-P024</x:v>
      </x:c>
      <x:c r="B1749" s="30" t="str">
        <x:v>Обществознание</x:v>
      </x:c>
      <x:c r="C1749" s="30"/>
      <x:c r="D1749" s="30" t="str">
        <x:v>ОБ2510304</x:v>
      </x:c>
      <x:c r="E1749" s="87" t="str">
        <x:v>TASK</x:v>
      </x:c>
      <x:c r="F1749" s="30" t="str">
        <x:v>Zadanie_OB11_10122025_.pdf</x:v>
      </x:c>
      <x:c r="G1749" s="87"/>
      <x:c r="H1749" s="87" t="str">
        <x:v>v0.86</x:v>
      </x:c>
      <x:c r="I1749" s="87" t="str">
        <x:v>1</x:v>
      </x:c>
      <x:c r="J1749" s="30" t="str">
        <x:v>VIS_ID</x:v>
      </x:c>
      <x:c r="K1749" s="30" t="str">
        <x:v>DEC-SOC-04-016</x:v>
      </x:c>
      <x:c r="L1749" s="87" t="str">
        <x:v>CROP_VERIFIED</x:v>
      </x:c>
      <x:c r="M1749" s="87" t="str">
        <x:v>ORIGINAL_PACKAGE</x:v>
      </x:c>
      <x:c r="N1749" s="87" t="str">
        <x:v>pages/VIS-SOC-DEC-TASK-34-P024.png</x:v>
      </x:c>
      <x:c r="O1749" s="87" t="str">
        <x:v>thumbnails/VIS-SOC-DEC-TASK-34-P024.jpg</x:v>
      </x:c>
      <x:c r="P1749" s="87"/>
      <x:c r="Q1749" s="30" t="str">
        <x:v>incoming/raw/recovery-drop-01/society_dec_visual_assets_v086(1).zip!/pages/VIS-SOC-DEC-TASK-34-P024.png</x:v>
      </x:c>
      <x:c r="R1749" s="30" t="str">
        <x:v>MATCHED_ASSET</x:v>
      </x:c>
      <x:c r="S1749" t="e">
        <x:f>HYPERLINK("visual_gallery/index.html#"&amp;A1749,"Галерея")</x:f>
      </x:c>
    </x:row>
    <x:row r="1750">
      <x:c r="A1750" s="87" t="str">
        <x:v>VIS-SOC-DEC-TASK-34-P025</x:v>
      </x:c>
      <x:c r="B1750" s="30" t="str"/>
      <x:c r="C1750" s="30"/>
      <x:c r="D1750" s="30" t="str">
        <x:v>ОБ2510304</x:v>
      </x:c>
      <x:c r="E1750" s="87" t="str">
        <x:v>TASK</x:v>
      </x:c>
      <x:c r="F1750" s="30" t="str">
        <x:v>Zadanie_OB11_10122025_.pdf</x:v>
      </x:c>
      <x:c r="G1750" s="87"/>
      <x:c r="H1750" s="87" t="str">
        <x:v>v0.86</x:v>
      </x:c>
      <x:c r="I1750" s="87" t="str">
        <x:v>0</x:v>
      </x:c>
      <x:c r="J1750" s="30" t="str"/>
      <x:c r="K1750" s="30" t="str"/>
      <x:c r="L1750" s="87" t="str">
        <x:v>CROP_VERIFIED</x:v>
      </x:c>
      <x:c r="M1750" s="87" t="str">
        <x:v>ORIGINAL_PACKAGE</x:v>
      </x:c>
      <x:c r="N1750" s="87" t="str">
        <x:v>pages/VIS-SOC-DEC-TASK-34-P025.png</x:v>
      </x:c>
      <x:c r="O1750" s="87" t="str">
        <x:v>thumbnails/VIS-SOC-DEC-TASK-34-P025.jpg</x:v>
      </x:c>
      <x:c r="P1750" s="87"/>
      <x:c r="Q1750" s="30" t="str">
        <x:v>incoming/raw/recovery-drop-01/society_dec_visual_assets_v086(1).zip!/pages/VIS-SOC-DEC-TASK-34-P025.png</x:v>
      </x:c>
      <x:c r="R1750" s="30" t="str">
        <x:v>RESOLVED_UNLINKED_REGISTRY_VISUAL</x:v>
      </x:c>
      <x:c r="S1750" t="e">
        <x:f>HYPERLINK("visual_gallery/index.html#"&amp;A1750,"Галерея")</x:f>
      </x:c>
    </x:row>
    <x:row r="1751">
      <x:c r="A1751" s="87" t="str">
        <x:v>VIS-SOC-DEC-TASK-34-P026</x:v>
      </x:c>
      <x:c r="B1751" s="30" t="str">
        <x:v>Обществознание</x:v>
      </x:c>
      <x:c r="C1751" s="30"/>
      <x:c r="D1751" s="30" t="str">
        <x:v>ОБ2510304</x:v>
      </x:c>
      <x:c r="E1751" s="87" t="str">
        <x:v>TASK</x:v>
      </x:c>
      <x:c r="F1751" s="30" t="str">
        <x:v>Zadanie_OB11_10122025_.pdf</x:v>
      </x:c>
      <x:c r="G1751" s="87"/>
      <x:c r="H1751" s="87" t="str">
        <x:v>v0.86</x:v>
      </x:c>
      <x:c r="I1751" s="87" t="str">
        <x:v>4</x:v>
      </x:c>
      <x:c r="J1751" s="30" t="str">
        <x:v>VIS_ID</x:v>
      </x:c>
      <x:c r="K1751" s="30" t="str">
        <x:v>DEC-SOC-04-017, DEC-SOC-04-018, DEC-SOC-04-019, DEC-SOC-04-020</x:v>
      </x:c>
      <x:c r="L1751" s="87" t="str">
        <x:v>CROP_VERIFIED</x:v>
      </x:c>
      <x:c r="M1751" s="87" t="str">
        <x:v>ORIGINAL_PACKAGE</x:v>
      </x:c>
      <x:c r="N1751" s="87" t="str">
        <x:v>pages/VIS-SOC-DEC-TASK-34-P026.png</x:v>
      </x:c>
      <x:c r="O1751" s="87" t="str">
        <x:v>thumbnails/VIS-SOC-DEC-TASK-34-P026.jpg</x:v>
      </x:c>
      <x:c r="P1751" s="87"/>
      <x:c r="Q1751" s="30" t="str">
        <x:v>incoming/raw/recovery-drop-01/society_dec_visual_assets_v086(1).zip!/pages/VIS-SOC-DEC-TASK-34-P026.png</x:v>
      </x:c>
      <x:c r="R1751" s="30" t="str">
        <x:v>MATCHED_ASSET</x:v>
      </x:c>
      <x:c r="S1751" t="e">
        <x:f>HYPERLINK("visual_gallery/index.html#"&amp;A1751,"Галерея")</x:f>
      </x:c>
    </x:row>
    <x:row r="1752">
      <x:c r="A1752" s="87" t="str">
        <x:v>VIS-SOC-DEC-TASK-34-P027</x:v>
      </x:c>
      <x:c r="B1752" s="30" t="str">
        <x:v>Обществознание</x:v>
      </x:c>
      <x:c r="C1752" s="30"/>
      <x:c r="D1752" s="30" t="str">
        <x:v>ОБ2510304</x:v>
      </x:c>
      <x:c r="E1752" s="87" t="str">
        <x:v>TASK</x:v>
      </x:c>
      <x:c r="F1752" s="30" t="str">
        <x:v>Zadanie_OB11_10122025_.pdf</x:v>
      </x:c>
      <x:c r="G1752" s="87"/>
      <x:c r="H1752" s="87" t="str">
        <x:v>v0.86</x:v>
      </x:c>
      <x:c r="I1752" s="87" t="str">
        <x:v>2</x:v>
      </x:c>
      <x:c r="J1752" s="30" t="str">
        <x:v>VIS_ID</x:v>
      </x:c>
      <x:c r="K1752" s="30" t="str">
        <x:v>DEC-SOC-04-021, DEC-SOC-04-022</x:v>
      </x:c>
      <x:c r="L1752" s="87" t="str">
        <x:v>CROP_VERIFIED</x:v>
      </x:c>
      <x:c r="M1752" s="87" t="str">
        <x:v>ORIGINAL_PACKAGE</x:v>
      </x:c>
      <x:c r="N1752" s="87" t="str">
        <x:v>pages/VIS-SOC-DEC-TASK-34-P027.png</x:v>
      </x:c>
      <x:c r="O1752" s="87" t="str">
        <x:v>thumbnails/VIS-SOC-DEC-TASK-34-P027.jpg</x:v>
      </x:c>
      <x:c r="P1752" s="87"/>
      <x:c r="Q1752" s="30" t="str">
        <x:v>incoming/raw/recovery-drop-01/society_dec_visual_assets_v086(1).zip!/pages/VIS-SOC-DEC-TASK-34-P027.png</x:v>
      </x:c>
      <x:c r="R1752" s="30" t="str">
        <x:v>MATCHED_ASSET</x:v>
      </x:c>
      <x:c r="S1752" t="e">
        <x:f>HYPERLINK("visual_gallery/index.html#"&amp;A1752,"Галерея")</x:f>
      </x:c>
    </x:row>
    <x:row r="1753">
      <x:c r="A1753" s="87" t="str">
        <x:v>VIS-SOC-DEC-TASK-34-P028</x:v>
      </x:c>
      <x:c r="B1753" s="30" t="str">
        <x:v>Обществознание</x:v>
      </x:c>
      <x:c r="C1753" s="30"/>
      <x:c r="D1753" s="30" t="str">
        <x:v>ОБ2510304</x:v>
      </x:c>
      <x:c r="E1753" s="87" t="str">
        <x:v>TASK</x:v>
      </x:c>
      <x:c r="F1753" s="30" t="str">
        <x:v>Zadanie_OB11_10122025_.pdf</x:v>
      </x:c>
      <x:c r="G1753" s="87"/>
      <x:c r="H1753" s="87" t="str">
        <x:v>v0.86</x:v>
      </x:c>
      <x:c r="I1753" s="87" t="str">
        <x:v>3</x:v>
      </x:c>
      <x:c r="J1753" s="30" t="str">
        <x:v>VIS_ID</x:v>
      </x:c>
      <x:c r="K1753" s="30" t="str">
        <x:v>DEC-SOC-04-023, DEC-SOC-04-024, DEC-SOC-04-025</x:v>
      </x:c>
      <x:c r="L1753" s="87" t="str">
        <x:v>CROP_VERIFIED</x:v>
      </x:c>
      <x:c r="M1753" s="87" t="str">
        <x:v>ORIGINAL_PACKAGE</x:v>
      </x:c>
      <x:c r="N1753" s="87" t="str">
        <x:v>pages/VIS-SOC-DEC-TASK-34-P028.png</x:v>
      </x:c>
      <x:c r="O1753" s="87" t="str">
        <x:v>thumbnails/VIS-SOC-DEC-TASK-34-P028.jpg</x:v>
      </x:c>
      <x:c r="P1753" s="87"/>
      <x:c r="Q1753" s="30" t="str">
        <x:v>incoming/raw/recovery-drop-01/society_dec_visual_assets_v086(1).zip!/pages/VIS-SOC-DEC-TASK-34-P028.png</x:v>
      </x:c>
      <x:c r="R1753" s="30" t="str">
        <x:v>MATCHED_ASSET</x:v>
      </x:c>
      <x:c r="S1753" t="e">
        <x:f>HYPERLINK("visual_gallery/index.html#"&amp;A1753,"Галерея")</x:f>
      </x:c>
    </x:row>
    <x:row r="1754">
      <x:c r="A1754" s="87" t="str">
        <x:v>VIS-SOC-NOV-001</x:v>
      </x:c>
      <x:c r="B1754" s="30" t="str">
        <x:v>Обществознание</x:v>
      </x:c>
      <x:c r="C1754" s="30" t="str">
        <x:v>Социологическая диаграмма зависимости доходов от квалификации</x:v>
      </x:c>
      <x:c r="D1754" s="30" t="str">
        <x:v>ОБ2510201, ОБ2510203</x:v>
      </x:c>
      <x:c r="E1754" s="87"/>
      <x:c r="F1754" s="30" t="str">
        <x:v>Zadanie_OB11_07112025.pdf</x:v>
      </x:c>
      <x:c r="G1754" s="87" t="str">
        <x:v>6</x:v>
      </x:c>
      <x:c r="H1754" s="87" t="str">
        <x:v>v0.81</x:v>
      </x:c>
      <x:c r="I1754" s="87" t="str">
        <x:v>2</x:v>
      </x:c>
      <x:c r="J1754" s="30" t="str">
        <x:v>VIS_ID</x:v>
      </x:c>
      <x:c r="K1754" s="30" t="str">
        <x:v>NOV-SOC-V1-009, NOV-SOC-V3-009</x:v>
      </x:c>
      <x:c r="L1754" s="87" t="str">
        <x:v>CROP_VERIFIED</x:v>
      </x:c>
      <x:c r="M1754" s="87" t="str">
        <x:v>ORIGINAL_PACKAGE</x:v>
      </x:c>
      <x:c r="N1754" s="87"/>
      <x:c r="O1754" s="87"/>
      <x:c r="P1754" s="87" t="str">
        <x:v>c75dab5a49f4bf21099eddce9844570e83a0d5641e74599ab2df8791f7038b6c</x:v>
      </x:c>
      <x:c r="Q1754" s="30" t="str">
        <x:v>incoming/raw/recovery-drop-01/statgrad_clean_branch_v0_01_bundle.zip!/november_visual_package_v082.zip!/november_visual_package_v082/soc_nov_visual_assets_v079.zip!/soc_nov_visual_assets_v079/full/VIS-SOC-NOV-001_full.jpg</x:v>
      </x:c>
      <x:c r="R1754" s="30" t="str">
        <x:v>MATCHED_ASSET | BENIGN_COMPLEMENTARY</x:v>
      </x:c>
      <x:c r="S1754" t="e">
        <x:f>HYPERLINK("visual_gallery/index.html#"&amp;A1754,"Галерея")</x:f>
      </x:c>
    </x:row>
    <x:row r="1755">
      <x:c r="A1755" s="87" t="str">
        <x:v>VIS-SOC-NOV-002</x:v>
      </x:c>
      <x:c r="B1755" s="30" t="str">
        <x:v>Обществознание</x:v>
      </x:c>
      <x:c r="C1755" s="30" t="str">
        <x:v>Социологическая диаграмма</x:v>
      </x:c>
      <x:c r="D1755" s="30" t="str">
        <x:v>ОБ2510202, ОБ2510204</x:v>
      </x:c>
      <x:c r="E1755" s="87"/>
      <x:c r="F1755" s="30" t="str">
        <x:v>Zadanie_OB11_07112025.pdf</x:v>
      </x:c>
      <x:c r="G1755" s="87" t="str">
        <x:v>21</x:v>
      </x:c>
      <x:c r="H1755" s="87" t="str">
        <x:v>v0.81</x:v>
      </x:c>
      <x:c r="I1755" s="87" t="str">
        <x:v>2</x:v>
      </x:c>
      <x:c r="J1755" s="30" t="str">
        <x:v>VIS_ID</x:v>
      </x:c>
      <x:c r="K1755" s="30" t="str">
        <x:v>NOV-SOC-V2-009, NOV-SOC-V4-009</x:v>
      </x:c>
      <x:c r="L1755" s="87" t="str">
        <x:v>CROP_VERIFIED</x:v>
      </x:c>
      <x:c r="M1755" s="87" t="str">
        <x:v>ORIGINAL_PACKAGE</x:v>
      </x:c>
      <x:c r="N1755" s="87"/>
      <x:c r="O1755" s="87"/>
      <x:c r="P1755" s="87" t="str">
        <x:v>7911fba0c0b7bde07b41278633c30d0b2eb18debc599ae2c1089242eee539aac</x:v>
      </x:c>
      <x:c r="Q1755" s="30" t="str">
        <x:v>incoming/raw/recovery-drop-01/statgrad_clean_branch_v0_01_bundle.zip!/november_visual_package_v082.zip!/november_visual_package_v082/soc_nov_visual_assets_v079.zip!/soc_nov_visual_assets_v079/full/VIS-SOC-NOV-002_full.jpg</x:v>
      </x:c>
      <x:c r="R1755" s="30" t="str">
        <x:v>MATCHED_ASSET | BENIGN_COMPLEMENTARY</x:v>
      </x:c>
      <x:c r="S1755" t="e">
        <x:f>HYPERLINK("visual_gallery/index.html#"&amp;A1755,"Галерея")</x:f>
      </x:c>
    </x:row>
    <x:row r="1756">
      <x:c r="A1756" s="87" t="str">
        <x:v>VIS-SOC-NOV-003</x:v>
      </x:c>
      <x:c r="B1756" s="30" t="str">
        <x:v>Обществознание</x:v>
      </x:c>
      <x:c r="C1756" s="30" t="str">
        <x:v>График предложения мягких игрушек</x:v>
      </x:c>
      <x:c r="D1756" s="30" t="str">
        <x:v>ОБ2510201, ОБ2510204</x:v>
      </x:c>
      <x:c r="E1756" s="87"/>
      <x:c r="F1756" s="30" t="str">
        <x:v>Zadanie_OB11_07112025.pdf</x:v>
      </x:c>
      <x:c r="G1756" s="87" t="str">
        <x:v>14</x:v>
      </x:c>
      <x:c r="H1756" s="87" t="str">
        <x:v>v0.81</x:v>
      </x:c>
      <x:c r="I1756" s="87" t="str">
        <x:v>2</x:v>
      </x:c>
      <x:c r="J1756" s="30" t="str">
        <x:v>VIS_ID</x:v>
      </x:c>
      <x:c r="K1756" s="30" t="str">
        <x:v>NOV-SOC-V1-021, NOV-SOC-V4-021</x:v>
      </x:c>
      <x:c r="L1756" s="87" t="str">
        <x:v>CROP_VERIFIED</x:v>
      </x:c>
      <x:c r="M1756" s="87" t="str">
        <x:v>ORIGINAL_PACKAGE</x:v>
      </x:c>
      <x:c r="N1756" s="87"/>
      <x:c r="O1756" s="87"/>
      <x:c r="P1756" s="87" t="str">
        <x:v>85412383b5d2b7cd6aaa841c83589bad4ce3e7612ce95e5f846cc4ef70808668</x:v>
      </x:c>
      <x:c r="Q1756" s="30" t="str">
        <x:v>incoming/raw/recovery-drop-01/statgrad_clean_branch_v0_01_bundle.zip!/november_visual_package_v082.zip!/november_visual_package_v082/soc_nov_visual_assets_v079.zip!/soc_nov_visual_assets_v079/full/VIS-SOC-NOV-003_full.jpg</x:v>
      </x:c>
      <x:c r="R1756" s="30" t="str">
        <x:v>MATCHED_ASSET | BENIGN_COMPLEMENTARY</x:v>
      </x:c>
      <x:c r="S1756" t="e">
        <x:f>HYPERLINK("visual_gallery/index.html#"&amp;A1756,"Галерея")</x:f>
      </x:c>
    </x:row>
    <x:row r="1757">
      <x:c r="A1757" s="87" t="str">
        <x:v>VIS-SOC-NOV-004</x:v>
      </x:c>
      <x:c r="B1757" s="30" t="str">
        <x:v>Обществознание</x:v>
      </x:c>
      <x:c r="C1757" s="30" t="str">
        <x:v>График спроса на подсолнечное масло</x:v>
      </x:c>
      <x:c r="D1757" s="30" t="str">
        <x:v>ОБ2510202, ОБ2510203</x:v>
      </x:c>
      <x:c r="E1757" s="87"/>
      <x:c r="F1757" s="30" t="str">
        <x:v>Zadanie_OB11_07112025.pdf</x:v>
      </x:c>
      <x:c r="G1757" s="87" t="str">
        <x:v>28</x:v>
      </x:c>
      <x:c r="H1757" s="87" t="str">
        <x:v>v0.81</x:v>
      </x:c>
      <x:c r="I1757" s="87" t="str">
        <x:v>2</x:v>
      </x:c>
      <x:c r="J1757" s="30" t="str">
        <x:v>VIS_ID</x:v>
      </x:c>
      <x:c r="K1757" s="30" t="str">
        <x:v>NOV-SOC-V2-021, NOV-SOC-V3-021</x:v>
      </x:c>
      <x:c r="L1757" s="87" t="str">
        <x:v>CROP_VERIFIED</x:v>
      </x:c>
      <x:c r="M1757" s="87" t="str">
        <x:v>ORIGINAL_PACKAGE</x:v>
      </x:c>
      <x:c r="N1757" s="87"/>
      <x:c r="O1757" s="87"/>
      <x:c r="P1757" s="87" t="str">
        <x:v>ee3e1b5972f90089d2426c788ca71d3befbdbad2d7c791cc800ec174e7a4e4b7</x:v>
      </x:c>
      <x:c r="Q1757" s="30" t="str">
        <x:v>incoming/raw/recovery-drop-01/statgrad_clean_branch_v0_01_bundle.zip!/november_visual_package_v082.zip!/november_visual_package_v082/soc_nov_visual_assets_v079.zip!/soc_nov_visual_assets_v079/full/VIS-SOC-NOV-004_full.jpg</x:v>
      </x:c>
      <x:c r="R1757" s="30" t="str">
        <x:v>MATCHED_ASSET | BENIGN_COMPLEMENTARY</x:v>
      </x:c>
      <x:c r="S1757" t="e">
        <x:f>HYPERLINK("visual_gallery/index.html#"&amp;A1757,"Галерея")</x:f>
      </x:c>
    </x:row>
    <x:row r="1758">
      <x:c r="A1758" s="87" t="str">
        <x:v>VIS-SOC-SEP-001</x:v>
      </x:c>
      <x:c r="B1758" s="30" t="str">
        <x:v>Обществознание</x:v>
      </x:c>
      <x:c r="C1758" s="30" t="str">
        <x:v>ОБ2510101/103 — №9, диаграмма ожиданий до 30 лет</x:v>
      </x:c>
      <x:c r="D1758" s="30" t="str">
        <x:v>ОБ2510101, ОБ2510103</x:v>
      </x:c>
      <x:c r="E1758" s="87" t="str">
        <x:v>Социологическая диаграмма</x:v>
      </x:c>
      <x:c r="F1758" s="30" t="str">
        <x:v>Zadanie_OB11_30092025.pdf</x:v>
      </x:c>
      <x:c r="G1758" s="87" t="str">
        <x:v>6</x:v>
      </x:c>
      <x:c r="H1758" s="87" t="str">
        <x:v>v0.81</x:v>
      </x:c>
      <x:c r="I1758" s="87" t="str">
        <x:v>2</x:v>
      </x:c>
      <x:c r="J1758" s="30" t="str">
        <x:v>VIS_ID</x:v>
      </x:c>
      <x:c r="K1758" s="30" t="str">
        <x:v>SEP-SOC-V1-009, SEP-SOC-V3-009</x:v>
      </x:c>
      <x:c r="L1758" s="87" t="str">
        <x:v>ORIGINAL_ASSET_HASH_VERIFIED</x:v>
      </x:c>
      <x:c r="M1758" s="87" t="str">
        <x:v>MASTER_EMBEDDED_EXACT</x:v>
      </x:c>
      <x:c r="N1758" s="87" t="str">
        <x:v>assets/recovered/full/VIS-SOC-SEP-001_full.jpg</x:v>
      </x:c>
      <x:c r="O1758" s="87" t="str">
        <x:v>assets/recovered/thumbnails/VIS-SOC-SEP-001_thumb.jpg</x:v>
      </x:c>
      <x:c r="P1758" s="87" t="str">
        <x:v>9497683d7a2144bd7a36230ae8bd376ec621faedc88c9125b1daea02ebf0ad8c</x:v>
      </x:c>
      <x:c r="Q1758" s="30" t="str">
        <x:v>final/v1.10/assets/recovered/full/VIS-SOC-SEP-001_full.jpg</x:v>
      </x:c>
      <x:c r="R1758" s="30" t="str">
        <x:v>MASTER_EMBEDDED_EXACT_RECOVERY | Byte-for-byte recovery from master embedded media.</x:v>
      </x:c>
      <x:c r="S1758" t="e">
        <x:f>HYPERLINK("visual_gallery/index.html#"&amp;A1758,"Галерея")</x:f>
      </x:c>
    </x:row>
    <x:row r="1759">
      <x:c r="A1759" s="87" t="str">
        <x:v>VIS-SOC-SEP-002</x:v>
      </x:c>
      <x:c r="B1759" s="30" t="str">
        <x:v>Обществознание</x:v>
      </x:c>
      <x:c r="C1759" s="30" t="str">
        <x:v>ОБ2510102/104 — №9, диаграмма выбора места работы</x:v>
      </x:c>
      <x:c r="D1759" s="30" t="str">
        <x:v>ОБ2510102, ОБ2510104</x:v>
      </x:c>
      <x:c r="E1759" s="87" t="str">
        <x:v>Социологическая диаграмма</x:v>
      </x:c>
      <x:c r="F1759" s="30" t="str">
        <x:v>Zadanie_OB11_30092025.pdf</x:v>
      </x:c>
      <x:c r="G1759" s="87" t="str">
        <x:v>19</x:v>
      </x:c>
      <x:c r="H1759" s="87" t="str">
        <x:v>v0.81</x:v>
      </x:c>
      <x:c r="I1759" s="87" t="str">
        <x:v>2</x:v>
      </x:c>
      <x:c r="J1759" s="30" t="str">
        <x:v>VIS_ID</x:v>
      </x:c>
      <x:c r="K1759" s="30" t="str">
        <x:v>SEP-SOC-V2-009, SEP-SOC-V4-009</x:v>
      </x:c>
      <x:c r="L1759" s="87" t="str">
        <x:v>ORIGINAL_ASSET_HASH_VERIFIED</x:v>
      </x:c>
      <x:c r="M1759" s="87" t="str">
        <x:v>MASTER_EMBEDDED_EXACT</x:v>
      </x:c>
      <x:c r="N1759" s="87" t="str">
        <x:v>assets/recovered/full/VIS-SOC-SEP-002_full.jpg</x:v>
      </x:c>
      <x:c r="O1759" s="87" t="str">
        <x:v>assets/recovered/thumbnails/VIS-SOC-SEP-002_thumb.jpg</x:v>
      </x:c>
      <x:c r="P1759" s="87" t="str">
        <x:v>3f418176e569f98bb6c0ee5222d00cdb71026dddf0621894e4a8a807e441e3bb</x:v>
      </x:c>
      <x:c r="Q1759" s="30" t="str">
        <x:v>final/v1.10/assets/recovered/full/VIS-SOC-SEP-002_full.jpg</x:v>
      </x:c>
      <x:c r="R1759" s="30" t="str">
        <x:v>MASTER_EMBEDDED_EXACT_RECOVERY | Byte-for-byte recovery from master embedded media.</x:v>
      </x:c>
      <x:c r="S1759" t="e">
        <x:f>HYPERLINK("visual_gallery/index.html#"&amp;A1759,"Галерея")</x:f>
      </x:c>
    </x:row>
    <x:row r="1760">
      <x:c r="A1760" s="87" t="str">
        <x:v>VIS-SOC-SEP-003</x:v>
      </x:c>
      <x:c r="B1760" s="30" t="str">
        <x:v>Обществознание</x:v>
      </x:c>
      <x:c r="C1760" s="30" t="str">
        <x:v>ОБ2510101/104 — №21, рынок электрообогревателей</x:v>
      </x:c>
      <x:c r="D1760" s="30" t="str">
        <x:v>ОБ2510101, ОБ2510104</x:v>
      </x:c>
      <x:c r="E1760" s="87" t="str">
        <x:v>График спроса и предложения</x:v>
      </x:c>
      <x:c r="F1760" s="30" t="str">
        <x:v>Zadanie_OB11_30092025.pdf</x:v>
      </x:c>
      <x:c r="G1760" s="87" t="str">
        <x:v>12</x:v>
      </x:c>
      <x:c r="H1760" s="87" t="str">
        <x:v>v0.81</x:v>
      </x:c>
      <x:c r="I1760" s="87" t="str">
        <x:v>2</x:v>
      </x:c>
      <x:c r="J1760" s="30" t="str">
        <x:v>VIS_ID</x:v>
      </x:c>
      <x:c r="K1760" s="30" t="str">
        <x:v>SEP-SOC-V1-021, SEP-SOC-V4-021</x:v>
      </x:c>
      <x:c r="L1760" s="87" t="str">
        <x:v>ORIGINAL_ASSET_HASH_VERIFIED</x:v>
      </x:c>
      <x:c r="M1760" s="87" t="str">
        <x:v>MASTER_EMBEDDED_EXACT</x:v>
      </x:c>
      <x:c r="N1760" s="87" t="str">
        <x:v>assets/recovered/full/VIS-SOC-SEP-003_full.jpg</x:v>
      </x:c>
      <x:c r="O1760" s="87" t="str">
        <x:v>assets/recovered/thumbnails/VIS-SOC-SEP-003_thumb.jpg</x:v>
      </x:c>
      <x:c r="P1760" s="87" t="str">
        <x:v>96d1dfc10d1a9da0573b927fd7dbf31126a7bfe5491524dee0475d983947c206</x:v>
      </x:c>
      <x:c r="Q1760" s="30" t="str">
        <x:v>final/v1.10/assets/recovered/full/VIS-SOC-SEP-003_full.jpg</x:v>
      </x:c>
      <x:c r="R1760" s="30" t="str">
        <x:v>MASTER_EMBEDDED_EXACT_RECOVERY | Byte-for-byte recovery from master embedded media.</x:v>
      </x:c>
      <x:c r="S1760" t="e">
        <x:f>HYPERLINK("visual_gallery/index.html#"&amp;A1760,"Галерея")</x:f>
      </x:c>
    </x:row>
    <x:row r="1761">
      <x:c r="A1761" s="87" t="str">
        <x:v>VIS-SOC-SEP-004</x:v>
      </x:c>
      <x:c r="B1761" s="30" t="str">
        <x:v>Обществознание</x:v>
      </x:c>
      <x:c r="C1761" s="30" t="str">
        <x:v>ОБ2510102/103 — №21, рынок картофеля</x:v>
      </x:c>
      <x:c r="D1761" s="30" t="str">
        <x:v>ОБ2510102, ОБ2510103</x:v>
      </x:c>
      <x:c r="E1761" s="87" t="str">
        <x:v>График спроса и предложения</x:v>
      </x:c>
      <x:c r="F1761" s="30" t="str">
        <x:v>Zadanie_OB11_30092025.pdf</x:v>
      </x:c>
      <x:c r="G1761" s="87" t="str">
        <x:v>25</x:v>
      </x:c>
      <x:c r="H1761" s="87" t="str">
        <x:v>v0.81</x:v>
      </x:c>
      <x:c r="I1761" s="87" t="str">
        <x:v>2</x:v>
      </x:c>
      <x:c r="J1761" s="30" t="str">
        <x:v>VIS_ID</x:v>
      </x:c>
      <x:c r="K1761" s="30" t="str">
        <x:v>SEP-SOC-V2-021, SEP-SOC-V3-021</x:v>
      </x:c>
      <x:c r="L1761" s="87" t="str">
        <x:v>ORIGINAL_ASSET_HASH_VERIFIED</x:v>
      </x:c>
      <x:c r="M1761" s="87" t="str">
        <x:v>MASTER_EMBEDDED_EXACT</x:v>
      </x:c>
      <x:c r="N1761" s="87" t="str">
        <x:v>assets/recovered/full/VIS-SOC-SEP-004_full.jpg</x:v>
      </x:c>
      <x:c r="O1761" s="87" t="str">
        <x:v>assets/recovered/thumbnails/VIS-SOC-SEP-004_thumb.jpg</x:v>
      </x:c>
      <x:c r="P1761" s="87" t="str">
        <x:v>f7d54f916a11dbfa3d7967d352c07e0f053d0e5b30f556fc57b9ff0bcc21e2fc</x:v>
      </x:c>
      <x:c r="Q1761" s="30" t="str">
        <x:v>final/v1.10/assets/recovered/full/VIS-SOC-SEP-004_full.jpg</x:v>
      </x:c>
      <x:c r="R1761" s="30" t="str">
        <x:v>MASTER_EMBEDDED_EXACT_RECOVERY | Byte-for-byte recovery from master embedded media.</x:v>
      </x:c>
      <x:c r="S1761" t="e">
        <x:f>HYPERLINK("visual_gallery/index.html#"&amp;A1761,"Галерея")</x:f>
      </x:c>
    </x:row>
  </x:sheetData>
  <x:conditionalFormatting sqref="L2:L1761">
    <x:cfRule type="expression" dxfId="20" priority="1">
      <x:formula>ISNUMBER(SEARCH("CROP_VERIFIED",$L2))</x:formula>
    </x:cfRule>
    <x:cfRule type="expression" dxfId="21" priority="2">
      <x:formula>ISNUMBER(SEARCH("REGENERATED",$L2))</x:formula>
    </x:cfRule>
    <x:cfRule type="expression" dxfId="22" priority="3">
      <x:formula>ISNUMBER(SEARCH("QA_UNSPECIFIED",$L2))</x:formula>
    </x:cfRule>
  </x:conditionalFormatting>
  <x:conditionalFormatting sqref="M2:M1761">
    <x:cfRule type="expression" dxfId="23" priority="4">
      <x:formula>$M2="SOURCE_REGENERATED"</x:formula>
    </x:cfRule>
    <x:cfRule type="expression" dxfId="24" priority="5">
      <x:formula>$M2="MASTER_EMBEDDED_EXACT"</x:formula>
    </x:cfRule>
    <x:cfRule type="expression" dxfId="25" priority="6">
      <x:formula>$M2="ORIGINAL_SUBJECT_PACKAGE"</x:formula>
    </x:cfRule>
  </x:conditionalFormatting>
  <x:pageMargins left="0.7" right="0.7" top="0.75" bottom="0.75" header="0.3" footer="0.3"/>
  <x:tableParts count="1">
    <x:tablePart xmlns:r="http://schemas.openxmlformats.org/officeDocument/2006/relationships" r:id="R01696c2217454e80"/>
  </x:tableParts>
</x:worksheet>
</file>

<file path=xl/worksheets/sheet4.xml><?xml version="1.0" encoding="utf-8"?>
<x:worksheet xmlns:x="http://schemas.openxmlformats.org/spreadsheetml/2006/main">
  <x:sheetFormatPr defaultRowHeight="15"/>
  <x:cols>
    <x:col min="1" max="1" width="24" hidden="0" customWidth="1"/>
    <x:col min="2" max="2" width="34" hidden="0" customWidth="1"/>
    <x:col min="3" max="3" width="18" hidden="0" customWidth="1"/>
    <x:col min="4" max="4" width="11" hidden="0" customWidth="1"/>
    <x:col min="5" max="5" width="21" hidden="0" customWidth="1"/>
    <x:col min="6" max="6" width="23" hidden="0" customWidth="1"/>
    <x:col min="7" max="7" width="42" hidden="0" customWidth="1"/>
    <x:col min="8" max="8" width="34" hidden="0" customWidth="1"/>
    <x:col min="9" max="9" width="34" hidden="0" customWidth="1"/>
    <x:col min="10" max="10" width="28" hidden="0" customWidth="1"/>
    <x:col min="11" max="11" width="28" hidden="0" customWidth="1"/>
    <x:col min="12" max="12" width="36" hidden="0" customWidth="1"/>
    <x:col min="13" max="13" width="12" hidden="0" customWidth="1"/>
  </x:cols>
  <x:sheetData>
    <x:row r="1" ht="32" customHeight="1">
      <x:c r="A1" s="106" t="str">
        <x:v>Task ID</x:v>
      </x:c>
      <x:c r="B1" s="106" t="str">
        <x:v>VIS_ID</x:v>
      </x:c>
      <x:c r="C1" s="106" t="str">
        <x:v>Предмет</x:v>
      </x:c>
      <x:c r="D1" s="106" t="str">
        <x:v>№ задания</x:v>
      </x:c>
      <x:c r="E1" s="106" t="str">
        <x:v>Решение</x:v>
      </x:c>
      <x:c r="F1" s="106" t="str">
        <x:v>QA / публикация</x:v>
      </x:c>
      <x:c r="G1" s="106" t="str">
        <x:v>Crop asset</x:v>
      </x:c>
      <x:c r="H1" s="106" t="str">
        <x:v>Crop SHA-256</x:v>
      </x:c>
      <x:c r="I1" s="106" t="str">
        <x:v>Original SHA-256</x:v>
      </x:c>
      <x:c r="J1" s="106" t="str">
        <x:v>Manual bbox</x:v>
      </x:c>
      <x:c r="K1" s="106" t="str">
        <x:v>Composite parts</x:v>
      </x:c>
      <x:c r="L1" s="106" t="str">
        <x:v>Примечание</x:v>
      </x:c>
      <x:c r="M1" s="106" t="str">
        <x:v>Открыть</x:v>
      </x:c>
    </x:row>
    <x:row r="2" ht="24" customHeight="1">
      <x:c r="A2" s="110" t="str">
        <x:v>DEC-BIO-01-005</x:v>
      </x:c>
      <x:c r="B2" s="110" t="str">
        <x:v>VIS-BIO-DEC-TASK-12-P003</x:v>
      </x:c>
      <x:c r="C2" s="110" t="str">
        <x:v>Биология</x:v>
      </x:c>
      <x:c r="D2" s="110" t="n">
        <x:v>5</x:v>
      </x:c>
      <x:c r="E2" s="110" t="str">
        <x:v>USE_CONTEXT</x:v>
      </x:c>
      <x:c r="F2" s="110" t="str">
        <x:v>QA_APPROVED</x:v>
      </x:c>
      <x:c r="G2" s="110" t="str">
        <x:v>visual_gallery/assets/cropped/0ef31b6b58d0f25c3617f8015cc1eb862a07ea26bc5e97b05ae482c8dec37991.png</x:v>
      </x:c>
      <x:c r="H2" s="110" t="str">
        <x:v>0ef31b6b58d0f25c3617f8015cc1eb862a07ea26bc5e97b05ae482c8dec37991</x:v>
      </x:c>
      <x:c r="I2" s="110" t="str">
        <x:v>5a9503abedb76701aecec253bd74127a6ee736b81628e030bc1c1628cfb18940</x:v>
      </x:c>
      <x:c r="J2" s="110" t="str"/>
      <x:c r="K2" s="110" t="str"/>
      <x:c r="L2" s="30" t="str"/>
      <x:c r="M2" s="110" t="e">
        <x:f>HYPERLINK("visual_gallery/index.html#DEC-BIO-01-005--VIS-BIO-DEC-TASK-12-P003","Галерея")</x:f>
      </x:c>
    </x:row>
    <x:row r="3" ht="24" customHeight="1">
      <x:c r="A3" s="110" t="str">
        <x:v>DEC-BIO-01-006</x:v>
      </x:c>
      <x:c r="B3" s="110" t="str">
        <x:v>VIS-BIO-DEC-TASK-12-P004</x:v>
      </x:c>
      <x:c r="C3" s="110" t="str">
        <x:v>Биология</x:v>
      </x:c>
      <x:c r="D3" s="110" t="n">
        <x:v>6</x:v>
      </x:c>
      <x:c r="E3" s="110" t="str">
        <x:v>USE_TIGHT</x:v>
      </x:c>
      <x:c r="F3" s="110" t="str">
        <x:v>QA_APPROVED</x:v>
      </x:c>
      <x:c r="G3" s="110" t="str">
        <x:v>visual_gallery/assets/cropped/ab83194180b06fcfba1b3ba07f1864c17319fbf713f505cab5114ff3ac3b2d26.png</x:v>
      </x:c>
      <x:c r="H3" s="110" t="str">
        <x:v>ab83194180b06fcfba1b3ba07f1864c17319fbf713f505cab5114ff3ac3b2d26</x:v>
      </x:c>
      <x:c r="I3" s="110" t="str">
        <x:v>9de5220a3a0b5423794a2762a2cdb0487cd92de8f1e7162d999b29d5b8bccdab</x:v>
      </x:c>
      <x:c r="J3" s="110" t="str"/>
      <x:c r="K3" s="110" t="str"/>
      <x:c r="L3" s="30" t="str"/>
      <x:c r="M3" s="110" t="e">
        <x:f>HYPERLINK("visual_gallery/index.html#DEC-BIO-01-006--VIS-BIO-DEC-TASK-12-P004","Галерея")</x:f>
      </x:c>
    </x:row>
    <x:row r="4" ht="24" customHeight="1">
      <x:c r="A4" s="110" t="str">
        <x:v>DEC-BIO-01-009</x:v>
      </x:c>
      <x:c r="B4" s="110" t="str">
        <x:v>VIS-BIO-DEC-TASK-12-P005</x:v>
      </x:c>
      <x:c r="C4" s="110" t="str">
        <x:v>Биология</x:v>
      </x:c>
      <x:c r="D4" s="110" t="n">
        <x:v>9</x:v>
      </x:c>
      <x:c r="E4" s="110" t="str">
        <x:v>MANUAL_BBOX</x:v>
      </x:c>
      <x:c r="F4" s="110" t="str">
        <x:v>QA_APPROVED</x:v>
      </x:c>
      <x:c r="G4" s="110" t="str">
        <x:v>visual_gallery/assets/cropped/3a13cb53717d34eb27155051c8c8a7cfd7298f1a202c9339d55f61b80481ea55.png</x:v>
      </x:c>
      <x:c r="H4" s="110" t="str">
        <x:v>3a13cb53717d34eb27155051c8c8a7cfd7298f1a202c9339d55f61b80481ea55</x:v>
      </x:c>
      <x:c r="I4" s="110" t="str">
        <x:v>a859db8a97a53a6db0485ff95ed63ad34f9d5366bcbae308df80fbc2d8e9fb76</x:v>
      </x:c>
      <x:c r="J4" s="110" t="str">
        <x:v>[427, 216, 981, 747]</x:v>
      </x:c>
      <x:c r="K4" s="110" t="str"/>
      <x:c r="L4" s="30" t="str"/>
      <x:c r="M4" s="110" t="e">
        <x:f>HYPERLINK("visual_gallery/index.html#DEC-BIO-01-009--VIS-BIO-DEC-TASK-12-P005","Галерея")</x:f>
      </x:c>
    </x:row>
    <x:row r="5" ht="24" customHeight="1">
      <x:c r="A5" s="110" t="str">
        <x:v>DEC-BIO-01-010</x:v>
      </x:c>
      <x:c r="B5" s="110" t="str">
        <x:v>VIS-BIO-DEC-TASK-12-P005</x:v>
      </x:c>
      <x:c r="C5" s="110" t="str">
        <x:v>Биология</x:v>
      </x:c>
      <x:c r="D5" s="110" t="n">
        <x:v>10</x:v>
      </x:c>
      <x:c r="E5" s="110" t="str">
        <x:v>USE_CONTEXT</x:v>
      </x:c>
      <x:c r="F5" s="110" t="str">
        <x:v>QA_APPROVED</x:v>
      </x:c>
      <x:c r="G5" s="110" t="str">
        <x:v>visual_gallery/assets/cropped/a949b6fb413cc4f54e5515e67acc29eb5357a5ce6565fd20bb26566c3f72a9c2.png</x:v>
      </x:c>
      <x:c r="H5" s="110" t="str">
        <x:v>a949b6fb413cc4f54e5515e67acc29eb5357a5ce6565fd20bb26566c3f72a9c2</x:v>
      </x:c>
      <x:c r="I5" s="110" t="str">
        <x:v>a859db8a97a53a6db0485ff95ed63ad34f9d5366bcbae308df80fbc2d8e9fb76</x:v>
      </x:c>
      <x:c r="J5" s="110" t="str"/>
      <x:c r="K5" s="110" t="str"/>
      <x:c r="L5" s="30" t="str"/>
      <x:c r="M5" s="110" t="e">
        <x:f>HYPERLINK("visual_gallery/index.html#DEC-BIO-01-010--VIS-BIO-DEC-TASK-12-P005","Галерея")</x:f>
      </x:c>
    </x:row>
    <x:row r="6" ht="24" customHeight="1">
      <x:c r="A6" s="110" t="str">
        <x:v>DEC-BIO-01-013</x:v>
      </x:c>
      <x:c r="B6" s="110" t="str">
        <x:v>VIS-BIO-DEC-TASK-12-P007</x:v>
      </x:c>
      <x:c r="C6" s="110" t="str">
        <x:v>Биология</x:v>
      </x:c>
      <x:c r="D6" s="110" t="n">
        <x:v>13</x:v>
      </x:c>
      <x:c r="E6" s="110" t="str">
        <x:v>MANUAL_BBOX</x:v>
      </x:c>
      <x:c r="F6" s="110" t="str">
        <x:v>QA_APPROVED</x:v>
      </x:c>
      <x:c r="G6" s="110" t="str">
        <x:v>visual_gallery/assets/cropped/22202215bbeb8c7b36aed2b309838e409f89ea5c55793e6cd6b690290db594ce.png</x:v>
      </x:c>
      <x:c r="H6" s="110" t="str">
        <x:v>22202215bbeb8c7b36aed2b309838e409f89ea5c55793e6cd6b690290db594ce</x:v>
      </x:c>
      <x:c r="I6" s="110" t="str">
        <x:v>f3330171da23fd818e499ba08b81831692741942203d46aa158a321fb32610d0</x:v>
      </x:c>
      <x:c r="J6" s="110" t="str">
        <x:v>[370, 196, 1004, 816]</x:v>
      </x:c>
      <x:c r="K6" s="110" t="str"/>
      <x:c r="L6" s="30" t="str"/>
      <x:c r="M6" s="110" t="e">
        <x:f>HYPERLINK("visual_gallery/index.html#DEC-BIO-01-013--VIS-BIO-DEC-TASK-12-P007","Галерея")</x:f>
      </x:c>
    </x:row>
    <x:row r="7" ht="24" customHeight="1">
      <x:c r="A7" s="110" t="str">
        <x:v>DEC-BIO-01-014</x:v>
      </x:c>
      <x:c r="B7" s="110" t="str">
        <x:v>VIS-BIO-DEC-TASK-12-P007</x:v>
      </x:c>
      <x:c r="C7" s="110" t="str">
        <x:v>Биология</x:v>
      </x:c>
      <x:c r="D7" s="110" t="n">
        <x:v>14</x:v>
      </x:c>
      <x:c r="E7" s="110" t="str">
        <x:v>USE_TIGHT</x:v>
      </x:c>
      <x:c r="F7" s="110" t="str">
        <x:v>QA_APPROVED</x:v>
      </x:c>
      <x:c r="G7" s="110" t="str">
        <x:v>visual_gallery/assets/cropped/b67856d7565002b09ccfbdcdf3445b80af45006c35b556e63c3e2230869d0caa.png</x:v>
      </x:c>
      <x:c r="H7" s="110" t="str">
        <x:v>b67856d7565002b09ccfbdcdf3445b80af45006c35b556e63c3e2230869d0caa</x:v>
      </x:c>
      <x:c r="I7" s="110" t="str">
        <x:v>f3330171da23fd818e499ba08b81831692741942203d46aa158a321fb32610d0</x:v>
      </x:c>
      <x:c r="J7" s="110" t="str"/>
      <x:c r="K7" s="110" t="str"/>
      <x:c r="L7" s="30" t="str"/>
      <x:c r="M7" s="110" t="e">
        <x:f>HYPERLINK("visual_gallery/index.html#DEC-BIO-01-014--VIS-BIO-DEC-TASK-12-P007","Галерея")</x:f>
      </x:c>
    </x:row>
    <x:row r="8" ht="24" customHeight="1">
      <x:c r="A8" s="110" t="str">
        <x:v>DEC-BIO-01-020</x:v>
      </x:c>
      <x:c r="B8" s="110" t="str">
        <x:v>VIS-BIO-DEC-TASK-12-P010</x:v>
      </x:c>
      <x:c r="C8" s="110" t="str">
        <x:v>Биология</x:v>
      </x:c>
      <x:c r="D8" s="110" t="n">
        <x:v>20</x:v>
      </x:c>
      <x:c r="E8" s="110" t="str">
        <x:v>USE_TIGHT</x:v>
      </x:c>
      <x:c r="F8" s="110" t="str">
        <x:v>QA_APPROVED</x:v>
      </x:c>
      <x:c r="G8" s="110" t="str">
        <x:v>visual_gallery/assets/cropped/48d57e61c3b15c7fe950214aecfaaf2aa7a0ec355a587ff21a83003dcc344daf.png</x:v>
      </x:c>
      <x:c r="H8" s="110" t="str">
        <x:v>48d57e61c3b15c7fe950214aecfaaf2aa7a0ec355a587ff21a83003dcc344daf</x:v>
      </x:c>
      <x:c r="I8" s="110" t="str">
        <x:v>4d08274b1806ccbbbad742ddca83c94337fb00c713197f80761b36b754810008</x:v>
      </x:c>
      <x:c r="J8" s="110" t="str"/>
      <x:c r="K8" s="110" t="str"/>
      <x:c r="L8" s="30" t="str"/>
      <x:c r="M8" s="110" t="e">
        <x:f>HYPERLINK("visual_gallery/index.html#DEC-BIO-01-020--VIS-BIO-DEC-TASK-12-P010","Галерея")</x:f>
      </x:c>
    </x:row>
    <x:row r="9" ht="24" customHeight="1">
      <x:c r="A9" s="110" t="str">
        <x:v>DEC-BIO-01-021</x:v>
      </x:c>
      <x:c r="B9" s="110" t="str">
        <x:v>VIS-BIO-DEC-TASK-12-P011</x:v>
      </x:c>
      <x:c r="C9" s="110" t="str">
        <x:v>Биология</x:v>
      </x:c>
      <x:c r="D9" s="110" t="n">
        <x:v>21</x:v>
      </x:c>
      <x:c r="E9" s="110" t="str">
        <x:v>USE_CONTEXT</x:v>
      </x:c>
      <x:c r="F9" s="110" t="str">
        <x:v>QA_APPROVED</x:v>
      </x:c>
      <x:c r="G9" s="110" t="str">
        <x:v>visual_gallery/assets/cropped/487e217b31025c8d9cb471075dfde82bca6a254ca8d226ef55f69b3f6137c3f3.png</x:v>
      </x:c>
      <x:c r="H9" s="110" t="str">
        <x:v>487e217b31025c8d9cb471075dfde82bca6a254ca8d226ef55f69b3f6137c3f3</x:v>
      </x:c>
      <x:c r="I9" s="110" t="str">
        <x:v>278ce34c1cc161c4c69a3122e483fd1fe094f0d1c9aa24e9811f84eea67c3bed</x:v>
      </x:c>
      <x:c r="J9" s="110" t="str"/>
      <x:c r="K9" s="110" t="str"/>
      <x:c r="L9" s="30" t="str"/>
      <x:c r="M9" s="110" t="e">
        <x:f>HYPERLINK("visual_gallery/index.html#DEC-BIO-01-021--VIS-BIO-DEC-TASK-12-P011","Галерея")</x:f>
      </x:c>
    </x:row>
    <x:row r="10" ht="24" customHeight="1">
      <x:c r="A10" s="110" t="str">
        <x:v>DEC-BIO-02-005</x:v>
      </x:c>
      <x:c r="B10" s="110" t="str">
        <x:v>VIS-BIO-DEC-TASK-12-P018</x:v>
      </x:c>
      <x:c r="C10" s="110" t="str">
        <x:v>Биология</x:v>
      </x:c>
      <x:c r="D10" s="110" t="n">
        <x:v>5</x:v>
      </x:c>
      <x:c r="E10" s="110" t="str">
        <x:v>MANUAL_BBOX</x:v>
      </x:c>
      <x:c r="F10" s="110" t="str">
        <x:v>QA_APPROVED</x:v>
      </x:c>
      <x:c r="G10" s="110" t="str">
        <x:v>visual_gallery/assets/cropped/efbe3f32baff903043da237a8b7c4c5f7a628bafe3d24f6db932e58fd0cc17a4.png</x:v>
      </x:c>
      <x:c r="H10" s="110" t="str">
        <x:v>efbe3f32baff903043da237a8b7c4c5f7a628bafe3d24f6db932e58fd0cc17a4</x:v>
      </x:c>
      <x:c r="I10" s="110" t="str">
        <x:v>699d9394664d210e9f499cf7a1f9becd4103689a7a2b33c6c05a460d6c57ca24</x:v>
      </x:c>
      <x:c r="J10" s="110" t="str">
        <x:v>[264, 229, 1120, 823]</x:v>
      </x:c>
      <x:c r="K10" s="110" t="str"/>
      <x:c r="L10" s="30" t="str"/>
      <x:c r="M10" s="110" t="e">
        <x:f>HYPERLINK("visual_gallery/index.html#DEC-BIO-02-005--VIS-BIO-DEC-TASK-12-P018","Галерея")</x:f>
      </x:c>
    </x:row>
    <x:row r="11" ht="24" customHeight="1">
      <x:c r="A11" s="110" t="str">
        <x:v>DEC-BIO-02-006</x:v>
      </x:c>
      <x:c r="B11" s="110" t="str">
        <x:v>VIS-BIO-DEC-TASK-12-P018</x:v>
      </x:c>
      <x:c r="C11" s="110" t="str">
        <x:v>Биология</x:v>
      </x:c>
      <x:c r="D11" s="110" t="n">
        <x:v>6</x:v>
      </x:c>
      <x:c r="E11" s="110" t="str">
        <x:v>USE_TIGHT</x:v>
      </x:c>
      <x:c r="F11" s="110" t="str">
        <x:v>QA_APPROVED</x:v>
      </x:c>
      <x:c r="G11" s="110" t="str">
        <x:v>visual_gallery/assets/cropped/dd20e7fac70e712f9a0cb84625fa6d98bffbbe5cb4af80fe93c1e85ea788ad6b.png</x:v>
      </x:c>
      <x:c r="H11" s="110" t="str">
        <x:v>dd20e7fac70e712f9a0cb84625fa6d98bffbbe5cb4af80fe93c1e85ea788ad6b</x:v>
      </x:c>
      <x:c r="I11" s="110" t="str">
        <x:v>699d9394664d210e9f499cf7a1f9becd4103689a7a2b33c6c05a460d6c57ca24</x:v>
      </x:c>
      <x:c r="J11" s="110" t="str"/>
      <x:c r="K11" s="110" t="str"/>
      <x:c r="L11" s="30" t="str"/>
      <x:c r="M11" s="110" t="e">
        <x:f>HYPERLINK("visual_gallery/index.html#DEC-BIO-02-006--VIS-BIO-DEC-TASK-12-P018","Галерея")</x:f>
      </x:c>
    </x:row>
    <x:row r="12" ht="24" customHeight="1">
      <x:c r="A12" s="110" t="str">
        <x:v>DEC-BIO-02-009</x:v>
      </x:c>
      <x:c r="B12" s="110" t="str">
        <x:v>VIS-BIO-DEC-TASK-12-P020</x:v>
      </x:c>
      <x:c r="C12" s="110" t="str">
        <x:v>Биология</x:v>
      </x:c>
      <x:c r="D12" s="110" t="n">
        <x:v>9</x:v>
      </x:c>
      <x:c r="E12" s="110" t="str">
        <x:v>MANUAL_BBOX</x:v>
      </x:c>
      <x:c r="F12" s="110" t="str">
        <x:v>QA_APPROVED</x:v>
      </x:c>
      <x:c r="G12" s="110" t="str">
        <x:v>visual_gallery/assets/cropped/a475fd727b04bf1c0c0106507ea00bbf2c0cda1f065bbb315cfae7e954062257.png</x:v>
      </x:c>
      <x:c r="H12" s="110" t="str">
        <x:v>a475fd727b04bf1c0c0106507ea00bbf2c0cda1f065bbb315cfae7e954062257</x:v>
      </x:c>
      <x:c r="I12" s="110" t="str">
        <x:v>26f3813f8a483c49cb3df0e436cffc0de3e9db1391e7cda7202156f3685656c5</x:v>
      </x:c>
      <x:c r="J12" s="110" t="str">
        <x:v>[334, 209, 1037, 813]</x:v>
      </x:c>
      <x:c r="K12" s="110" t="str"/>
      <x:c r="L12" s="30" t="str"/>
      <x:c r="M12" s="110" t="e">
        <x:f>HYPERLINK("visual_gallery/index.html#DEC-BIO-02-009--VIS-BIO-DEC-TASK-12-P020","Галерея")</x:f>
      </x:c>
    </x:row>
    <x:row r="13" ht="24" customHeight="1">
      <x:c r="A13" s="110" t="str">
        <x:v>DEC-BIO-02-010</x:v>
      </x:c>
      <x:c r="B13" s="110" t="str">
        <x:v>VIS-BIO-DEC-TASK-12-P020</x:v>
      </x:c>
      <x:c r="C13" s="110" t="str">
        <x:v>Биология</x:v>
      </x:c>
      <x:c r="D13" s="110" t="n">
        <x:v>10</x:v>
      </x:c>
      <x:c r="E13" s="110" t="str">
        <x:v>USE_TIGHT</x:v>
      </x:c>
      <x:c r="F13" s="110" t="str">
        <x:v>QA_APPROVED</x:v>
      </x:c>
      <x:c r="G13" s="110" t="str">
        <x:v>visual_gallery/assets/cropped/9b078890604fd20489d66a89212dadcdaf0f5114552476d78180fba43def1423.png</x:v>
      </x:c>
      <x:c r="H13" s="110" t="str">
        <x:v>9b078890604fd20489d66a89212dadcdaf0f5114552476d78180fba43def1423</x:v>
      </x:c>
      <x:c r="I13" s="110" t="str">
        <x:v>26f3813f8a483c49cb3df0e436cffc0de3e9db1391e7cda7202156f3685656c5</x:v>
      </x:c>
      <x:c r="J13" s="110" t="str"/>
      <x:c r="K13" s="110" t="str"/>
      <x:c r="L13" s="30" t="str"/>
      <x:c r="M13" s="110" t="e">
        <x:f>HYPERLINK("visual_gallery/index.html#DEC-BIO-02-010--VIS-BIO-DEC-TASK-12-P020","Галерея")</x:f>
      </x:c>
    </x:row>
    <x:row r="14" ht="24" customHeight="1">
      <x:c r="A14" s="110" t="str">
        <x:v>DEC-BIO-02-013</x:v>
      </x:c>
      <x:c r="B14" s="110" t="str">
        <x:v>VIS-BIO-DEC-TASK-12-P022</x:v>
      </x:c>
      <x:c r="C14" s="110" t="str">
        <x:v>Биология</x:v>
      </x:c>
      <x:c r="D14" s="110" t="n">
        <x:v>13</x:v>
      </x:c>
      <x:c r="E14" s="110" t="str">
        <x:v>MANUAL_BBOX</x:v>
      </x:c>
      <x:c r="F14" s="110" t="str">
        <x:v>QA_APPROVED</x:v>
      </x:c>
      <x:c r="G14" s="110" t="str">
        <x:v>visual_gallery/assets/cropped/113357bdc86a8c02658eba5f1c23185aac0b89989de1c2a0ce874a9b432255f2.png</x:v>
      </x:c>
      <x:c r="H14" s="110" t="str">
        <x:v>113357bdc86a8c02658eba5f1c23185aac0b89989de1c2a0ce874a9b432255f2</x:v>
      </x:c>
      <x:c r="I14" s="110" t="str">
        <x:v>d65de40a3812ebe82c719ece94e9de3f35f4f9beee23f4df749be879a0173b55</x:v>
      </x:c>
      <x:c r="J14" s="110" t="str">
        <x:v>[370, 219, 991, 899]</x:v>
      </x:c>
      <x:c r="K14" s="110" t="str"/>
      <x:c r="L14" s="30" t="str"/>
      <x:c r="M14" s="110" t="e">
        <x:f>HYPERLINK("visual_gallery/index.html#DEC-BIO-02-013--VIS-BIO-DEC-TASK-12-P022","Галерея")</x:f>
      </x:c>
    </x:row>
    <x:row r="15" ht="24" customHeight="1">
      <x:c r="A15" s="110" t="str">
        <x:v>DEC-BIO-02-014</x:v>
      </x:c>
      <x:c r="B15" s="110" t="str">
        <x:v>VIS-BIO-DEC-TASK-12-P022</x:v>
      </x:c>
      <x:c r="C15" s="110" t="str">
        <x:v>Биология</x:v>
      </x:c>
      <x:c r="D15" s="110" t="n">
        <x:v>14</x:v>
      </x:c>
      <x:c r="E15" s="110" t="str">
        <x:v>USE_TIGHT</x:v>
      </x:c>
      <x:c r="F15" s="110" t="str">
        <x:v>QA_APPROVED</x:v>
      </x:c>
      <x:c r="G15" s="110" t="str">
        <x:v>visual_gallery/assets/cropped/cb997e8dea2dc1b5cdf79ba646a48e558607c70217b625cb01801732e2cb0a30.png</x:v>
      </x:c>
      <x:c r="H15" s="110" t="str">
        <x:v>cb997e8dea2dc1b5cdf79ba646a48e558607c70217b625cb01801732e2cb0a30</x:v>
      </x:c>
      <x:c r="I15" s="110" t="str">
        <x:v>d65de40a3812ebe82c719ece94e9de3f35f4f9beee23f4df749be879a0173b55</x:v>
      </x:c>
      <x:c r="J15" s="110" t="str"/>
      <x:c r="K15" s="110" t="str"/>
      <x:c r="L15" s="30" t="str"/>
      <x:c r="M15" s="110" t="e">
        <x:f>HYPERLINK("visual_gallery/index.html#DEC-BIO-02-014--VIS-BIO-DEC-TASK-12-P022","Галерея")</x:f>
      </x:c>
    </x:row>
    <x:row r="16" ht="24" customHeight="1">
      <x:c r="A16" s="110" t="str">
        <x:v>DEC-BIO-02-020</x:v>
      </x:c>
      <x:c r="B16" s="110" t="str">
        <x:v>VIS-BIO-DEC-TASK-12-P025</x:v>
      </x:c>
      <x:c r="C16" s="110" t="str">
        <x:v>Биология</x:v>
      </x:c>
      <x:c r="D16" s="110" t="n">
        <x:v>20</x:v>
      </x:c>
      <x:c r="E16" s="110" t="str">
        <x:v>USE_TIGHT</x:v>
      </x:c>
      <x:c r="F16" s="110" t="str">
        <x:v>QA_APPROVED</x:v>
      </x:c>
      <x:c r="G16" s="110" t="str">
        <x:v>visual_gallery/assets/cropped/13981b289b4c438418fa6bf6c4ae23a9db53b31aa8139c1e9538bc4396a79ec1.png</x:v>
      </x:c>
      <x:c r="H16" s="110" t="str">
        <x:v>13981b289b4c438418fa6bf6c4ae23a9db53b31aa8139c1e9538bc4396a79ec1</x:v>
      </x:c>
      <x:c r="I16" s="110" t="str">
        <x:v>415060542d3127a0e2888db3c66ef5df1f06cb02ff26cd4129024da4e21306e3</x:v>
      </x:c>
      <x:c r="J16" s="110" t="str"/>
      <x:c r="K16" s="110" t="str"/>
      <x:c r="L16" s="30" t="str"/>
      <x:c r="M16" s="110" t="e">
        <x:f>HYPERLINK("visual_gallery/index.html#DEC-BIO-02-020--VIS-BIO-DEC-TASK-12-P025","Галерея")</x:f>
      </x:c>
    </x:row>
    <x:row r="17" ht="24" customHeight="1">
      <x:c r="A17" s="110" t="str">
        <x:v>DEC-BIO-03-005</x:v>
      </x:c>
      <x:c r="B17" s="110" t="str">
        <x:v>VIS-BIO-DEC-TASK-34-P003</x:v>
      </x:c>
      <x:c r="C17" s="110" t="str">
        <x:v>Биология</x:v>
      </x:c>
      <x:c r="D17" s="110" t="n">
        <x:v>5</x:v>
      </x:c>
      <x:c r="E17" s="110" t="str">
        <x:v>USE_CONTEXT</x:v>
      </x:c>
      <x:c r="F17" s="110" t="str">
        <x:v>QA_APPROVED</x:v>
      </x:c>
      <x:c r="G17" s="110" t="str">
        <x:v>visual_gallery/assets/cropped/0ef31b6b58d0f25c3617f8015cc1eb862a07ea26bc5e97b05ae482c8dec37991.png</x:v>
      </x:c>
      <x:c r="H17" s="110" t="str">
        <x:v>0ef31b6b58d0f25c3617f8015cc1eb862a07ea26bc5e97b05ae482c8dec37991</x:v>
      </x:c>
      <x:c r="I17" s="110" t="str">
        <x:v>0ce43c4ab1addc6ddf18f245da2fbe1208e83d44d09a4b3bd904abfa23ee2347</x:v>
      </x:c>
      <x:c r="J17" s="110" t="str"/>
      <x:c r="K17" s="110" t="str"/>
      <x:c r="L17" s="30" t="str"/>
      <x:c r="M17" s="110" t="e">
        <x:f>HYPERLINK("visual_gallery/index.html#DEC-BIO-03-005--VIS-BIO-DEC-TASK-34-P003","Галерея")</x:f>
      </x:c>
    </x:row>
    <x:row r="18" ht="24" customHeight="1">
      <x:c r="A18" s="110" t="str">
        <x:v>DEC-BIO-03-006</x:v>
      </x:c>
      <x:c r="B18" s="110" t="str">
        <x:v>VIS-BIO-DEC-TASK-34-P004</x:v>
      </x:c>
      <x:c r="C18" s="110" t="str">
        <x:v>Биология</x:v>
      </x:c>
      <x:c r="D18" s="110" t="n">
        <x:v>6</x:v>
      </x:c>
      <x:c r="E18" s="110" t="str">
        <x:v>USE_TIGHT</x:v>
      </x:c>
      <x:c r="F18" s="110" t="str">
        <x:v>QA_APPROVED</x:v>
      </x:c>
      <x:c r="G18" s="110" t="str">
        <x:v>visual_gallery/assets/cropped/15f814ac33d16a27ae458096e1e8679c8ea513686e6c0d086d9b3cdda6eda0d0.png</x:v>
      </x:c>
      <x:c r="H18" s="110" t="str">
        <x:v>15f814ac33d16a27ae458096e1e8679c8ea513686e6c0d086d9b3cdda6eda0d0</x:v>
      </x:c>
      <x:c r="I18" s="110" t="str">
        <x:v>6f0927446b08bdb46138954d4afa924ac287f7239c52800b5071423771a1c245</x:v>
      </x:c>
      <x:c r="J18" s="110" t="str"/>
      <x:c r="K18" s="110" t="str"/>
      <x:c r="L18" s="30" t="str"/>
      <x:c r="M18" s="110" t="e">
        <x:f>HYPERLINK("visual_gallery/index.html#DEC-BIO-03-006--VIS-BIO-DEC-TASK-34-P004","Галерея")</x:f>
      </x:c>
    </x:row>
    <x:row r="19" ht="24" customHeight="1">
      <x:c r="A19" s="110" t="str">
        <x:v>DEC-BIO-03-009</x:v>
      </x:c>
      <x:c r="B19" s="110" t="str">
        <x:v>VIS-BIO-DEC-TASK-34-P005</x:v>
      </x:c>
      <x:c r="C19" s="110" t="str">
        <x:v>Биология</x:v>
      </x:c>
      <x:c r="D19" s="110" t="n">
        <x:v>9</x:v>
      </x:c>
      <x:c r="E19" s="110" t="str">
        <x:v>USE_CONTEXT</x:v>
      </x:c>
      <x:c r="F19" s="110" t="str">
        <x:v>QA_APPROVED</x:v>
      </x:c>
      <x:c r="G19" s="110" t="str">
        <x:v>visual_gallery/assets/cropped/2ea7031e5293b3d508cc5d80249e5cfa799add53796909da9daa09acf9cf3341.png</x:v>
      </x:c>
      <x:c r="H19" s="110" t="str">
        <x:v>2ea7031e5293b3d508cc5d80249e5cfa799add53796909da9daa09acf9cf3341</x:v>
      </x:c>
      <x:c r="I19" s="110" t="str">
        <x:v>9614119c749496610c8e1f186d5678d6e38532e9f3408574ea5f5180f75d06e1</x:v>
      </x:c>
      <x:c r="J19" s="110" t="str"/>
      <x:c r="K19" s="110" t="str"/>
      <x:c r="L19" s="30" t="str"/>
      <x:c r="M19" s="110" t="e">
        <x:f>HYPERLINK("visual_gallery/index.html#DEC-BIO-03-009--VIS-BIO-DEC-TASK-34-P005","Галерея")</x:f>
      </x:c>
    </x:row>
    <x:row r="20" ht="24" customHeight="1">
      <x:c r="A20" s="110" t="str">
        <x:v>DEC-BIO-03-010</x:v>
      </x:c>
      <x:c r="B20" s="110" t="str">
        <x:v>VIS-BIO-DEC-TASK-34-P006</x:v>
      </x:c>
      <x:c r="C20" s="110" t="str">
        <x:v>Биология</x:v>
      </x:c>
      <x:c r="D20" s="110" t="n">
        <x:v>10</x:v>
      </x:c>
      <x:c r="E20" s="110" t="str">
        <x:v>USE_TIGHT</x:v>
      </x:c>
      <x:c r="F20" s="110" t="str">
        <x:v>QA_APPROVED</x:v>
      </x:c>
      <x:c r="G20" s="110" t="str">
        <x:v>visual_gallery/assets/cropped/ab83194180b06fcfba1b3ba07f1864c17319fbf713f505cab5114ff3ac3b2d26.png</x:v>
      </x:c>
      <x:c r="H20" s="110" t="str">
        <x:v>ab83194180b06fcfba1b3ba07f1864c17319fbf713f505cab5114ff3ac3b2d26</x:v>
      </x:c>
      <x:c r="I20" s="110" t="str">
        <x:v>2a147fe750da431589f389bffc5c5954b78e0e59e18f6cf5315f7981d2bad345</x:v>
      </x:c>
      <x:c r="J20" s="110" t="str"/>
      <x:c r="K20" s="110" t="str"/>
      <x:c r="L20" s="30" t="str"/>
      <x:c r="M20" s="110" t="e">
        <x:f>HYPERLINK("visual_gallery/index.html#DEC-BIO-03-010--VIS-BIO-DEC-TASK-34-P006","Галерея")</x:f>
      </x:c>
    </x:row>
    <x:row r="21" ht="24" customHeight="1">
      <x:c r="A21" s="110" t="str">
        <x:v>DEC-BIO-03-013</x:v>
      </x:c>
      <x:c r="B21" s="110" t="str">
        <x:v>VIS-BIO-DEC-TASK-34-P007</x:v>
      </x:c>
      <x:c r="C21" s="110" t="str">
        <x:v>Биология</x:v>
      </x:c>
      <x:c r="D21" s="110" t="n">
        <x:v>13</x:v>
      </x:c>
      <x:c r="E21" s="110" t="str">
        <x:v>MANUAL_BBOX</x:v>
      </x:c>
      <x:c r="F21" s="110" t="str">
        <x:v>QA_APPROVED</x:v>
      </x:c>
      <x:c r="G21" s="110" t="str">
        <x:v>visual_gallery/assets/cropped/8539efc72b2474cfe9fd44c63961c4345328bc1281ae3483871589f3e53a073f.png</x:v>
      </x:c>
      <x:c r="H21" s="110" t="str">
        <x:v>8539efc72b2474cfe9fd44c63961c4345328bc1281ae3483871589f3e53a073f</x:v>
      </x:c>
      <x:c r="I21" s="110" t="str">
        <x:v>e42df820d870b958c9cc21078d4fa6c3e620e3153c259ced4a76ff3e6644b6c0</x:v>
      </x:c>
      <x:c r="J21" s="110" t="str">
        <x:v>[357, 223, 1014, 816]</x:v>
      </x:c>
      <x:c r="K21" s="110" t="str"/>
      <x:c r="L21" s="30" t="str"/>
      <x:c r="M21" s="110" t="e">
        <x:f>HYPERLINK("visual_gallery/index.html#DEC-BIO-03-013--VIS-BIO-DEC-TASK-34-P007","Галерея")</x:f>
      </x:c>
    </x:row>
    <x:row r="22" ht="24" customHeight="1">
      <x:c r="A22" s="110" t="str">
        <x:v>DEC-BIO-03-014</x:v>
      </x:c>
      <x:c r="B22" s="110" t="str">
        <x:v>VIS-BIO-DEC-TASK-34-P007</x:v>
      </x:c>
      <x:c r="C22" s="110" t="str">
        <x:v>Биология</x:v>
      </x:c>
      <x:c r="D22" s="110" t="n">
        <x:v>14</x:v>
      </x:c>
      <x:c r="E22" s="110" t="str">
        <x:v>USE_TIGHT</x:v>
      </x:c>
      <x:c r="F22" s="110" t="str">
        <x:v>QA_APPROVED</x:v>
      </x:c>
      <x:c r="G22" s="110" t="str">
        <x:v>visual_gallery/assets/cropped/a3d91d02398829d1a6ab09526c774f73022e2b4b8e5d38dc9ea0cab6beeea0a8.png</x:v>
      </x:c>
      <x:c r="H22" s="110" t="str">
        <x:v>a3d91d02398829d1a6ab09526c774f73022e2b4b8e5d38dc9ea0cab6beeea0a8</x:v>
      </x:c>
      <x:c r="I22" s="110" t="str">
        <x:v>e42df820d870b958c9cc21078d4fa6c3e620e3153c259ced4a76ff3e6644b6c0</x:v>
      </x:c>
      <x:c r="J22" s="110" t="str"/>
      <x:c r="K22" s="110" t="str"/>
      <x:c r="L22" s="30" t="str"/>
      <x:c r="M22" s="110" t="e">
        <x:f>HYPERLINK("visual_gallery/index.html#DEC-BIO-03-014--VIS-BIO-DEC-TASK-34-P007","Галерея")</x:f>
      </x:c>
    </x:row>
    <x:row r="23" ht="24" customHeight="1">
      <x:c r="A23" s="110" t="str">
        <x:v>DEC-BIO-03-020</x:v>
      </x:c>
      <x:c r="B23" s="110" t="str">
        <x:v>VIS-BIO-DEC-TASK-34-P010</x:v>
      </x:c>
      <x:c r="C23" s="110" t="str">
        <x:v>Биология</x:v>
      </x:c>
      <x:c r="D23" s="110" t="n">
        <x:v>20</x:v>
      </x:c>
      <x:c r="E23" s="110" t="str">
        <x:v>USE_TIGHT</x:v>
      </x:c>
      <x:c r="F23" s="110" t="str">
        <x:v>QA_APPROVED</x:v>
      </x:c>
      <x:c r="G23" s="110" t="str">
        <x:v>visual_gallery/assets/cropped/48d57e61c3b15c7fe950214aecfaaf2aa7a0ec355a587ff21a83003dcc344daf.png</x:v>
      </x:c>
      <x:c r="H23" s="110" t="str">
        <x:v>48d57e61c3b15c7fe950214aecfaaf2aa7a0ec355a587ff21a83003dcc344daf</x:v>
      </x:c>
      <x:c r="I23" s="110" t="str">
        <x:v>609b2d7c3b89cb77c230b98bd1047559cddd46c9489b4308528944771fcaaade</x:v>
      </x:c>
      <x:c r="J23" s="110" t="str"/>
      <x:c r="K23" s="110" t="str"/>
      <x:c r="L23" s="30" t="str"/>
      <x:c r="M23" s="110" t="e">
        <x:f>HYPERLINK("visual_gallery/index.html#DEC-BIO-03-020--VIS-BIO-DEC-TASK-34-P010","Галерея")</x:f>
      </x:c>
    </x:row>
    <x:row r="24" ht="24" customHeight="1">
      <x:c r="A24" s="110" t="str">
        <x:v>DEC-BIO-04-005</x:v>
      </x:c>
      <x:c r="B24" s="110" t="str">
        <x:v>VIS-BIO-DEC-TASK-34-P018</x:v>
      </x:c>
      <x:c r="C24" s="110" t="str">
        <x:v>Биология</x:v>
      </x:c>
      <x:c r="D24" s="110" t="n">
        <x:v>5</x:v>
      </x:c>
      <x:c r="E24" s="110" t="str">
        <x:v>MANUAL_BBOX</x:v>
      </x:c>
      <x:c r="F24" s="110" t="str">
        <x:v>QA_APPROVED</x:v>
      </x:c>
      <x:c r="G24" s="110" t="str">
        <x:v>visual_gallery/assets/cropped/b135fe2489a13c6c7fd040bfbdc573820872f990d13dea496bb63e05b9f8d354.png</x:v>
      </x:c>
      <x:c r="H24" s="110" t="str">
        <x:v>b135fe2489a13c6c7fd040bfbdc573820872f990d13dea496bb63e05b9f8d354</x:v>
      </x:c>
      <x:c r="I24" s="110" t="str">
        <x:v>e30f01fac347b264168c6d8f161dc9242d790a2b06617b74e3f1e19074d77de3</x:v>
      </x:c>
      <x:c r="J24" s="110" t="str">
        <x:v>[281, 226, 1083, 823]</x:v>
      </x:c>
      <x:c r="K24" s="110" t="str"/>
      <x:c r="L24" s="30" t="str"/>
      <x:c r="M24" s="110" t="e">
        <x:f>HYPERLINK("visual_gallery/index.html#DEC-BIO-04-005--VIS-BIO-DEC-TASK-34-P018","Галерея")</x:f>
      </x:c>
    </x:row>
    <x:row r="25" ht="24" customHeight="1">
      <x:c r="A25" s="110" t="str">
        <x:v>DEC-BIO-04-006</x:v>
      </x:c>
      <x:c r="B25" s="110" t="str">
        <x:v>VIS-BIO-DEC-TASK-34-P018</x:v>
      </x:c>
      <x:c r="C25" s="110" t="str">
        <x:v>Биология</x:v>
      </x:c>
      <x:c r="D25" s="110" t="n">
        <x:v>6</x:v>
      </x:c>
      <x:c r="E25" s="110" t="str">
        <x:v>USE_TIGHT</x:v>
      </x:c>
      <x:c r="F25" s="110" t="str">
        <x:v>QA_APPROVED</x:v>
      </x:c>
      <x:c r="G25" s="110" t="str">
        <x:v>visual_gallery/assets/cropped/9b078890604fd20489d66a89212dadcdaf0f5114552476d78180fba43def1423.png</x:v>
      </x:c>
      <x:c r="H25" s="110" t="str">
        <x:v>9b078890604fd20489d66a89212dadcdaf0f5114552476d78180fba43def1423</x:v>
      </x:c>
      <x:c r="I25" s="110" t="str">
        <x:v>e30f01fac347b264168c6d8f161dc9242d790a2b06617b74e3f1e19074d77de3</x:v>
      </x:c>
      <x:c r="J25" s="110" t="str"/>
      <x:c r="K25" s="110" t="str"/>
      <x:c r="L25" s="30" t="str"/>
      <x:c r="M25" s="110" t="e">
        <x:f>HYPERLINK("visual_gallery/index.html#DEC-BIO-04-006--VIS-BIO-DEC-TASK-34-P018","Галерея")</x:f>
      </x:c>
    </x:row>
    <x:row r="26" ht="24" customHeight="1">
      <x:c r="A26" s="110" t="str">
        <x:v>DEC-BIO-04-009</x:v>
      </x:c>
      <x:c r="B26" s="110" t="str">
        <x:v>VIS-BIO-DEC-TASK-34-P019</x:v>
      </x:c>
      <x:c r="C26" s="110" t="str">
        <x:v>Биология</x:v>
      </x:c>
      <x:c r="D26" s="110" t="n">
        <x:v>9</x:v>
      </x:c>
      <x:c r="E26" s="110" t="str">
        <x:v>USE_CONTEXT</x:v>
      </x:c>
      <x:c r="F26" s="110" t="str">
        <x:v>QA_APPROVED</x:v>
      </x:c>
      <x:c r="G26" s="110" t="str">
        <x:v>visual_gallery/assets/cropped/31b602d716546fdedb8b30d8f0d1a63b6d9090d824f427b3d9d82e22220f9130.png</x:v>
      </x:c>
      <x:c r="H26" s="110" t="str">
        <x:v>31b602d716546fdedb8b30d8f0d1a63b6d9090d824f427b3d9d82e22220f9130</x:v>
      </x:c>
      <x:c r="I26" s="110" t="str">
        <x:v>e3400f5c38488f2025dceff59fc59f421a409ebf7a6ada1fce82faa5c7625c93</x:v>
      </x:c>
      <x:c r="J26" s="110" t="str"/>
      <x:c r="K26" s="110" t="str"/>
      <x:c r="L26" s="30" t="str"/>
      <x:c r="M26" s="110" t="e">
        <x:f>HYPERLINK("visual_gallery/index.html#DEC-BIO-04-009--VIS-BIO-DEC-TASK-34-P019","Галерея")</x:f>
      </x:c>
    </x:row>
    <x:row r="27" ht="24" customHeight="1">
      <x:c r="A27" s="110" t="str">
        <x:v>DEC-BIO-04-010</x:v>
      </x:c>
      <x:c r="B27" s="110" t="str">
        <x:v>VIS-BIO-DEC-TASK-34-P020</x:v>
      </x:c>
      <x:c r="C27" s="110" t="str">
        <x:v>Биология</x:v>
      </x:c>
      <x:c r="D27" s="110" t="n">
        <x:v>10</x:v>
      </x:c>
      <x:c r="E27" s="110" t="str">
        <x:v>USE_TIGHT</x:v>
      </x:c>
      <x:c r="F27" s="110" t="str">
        <x:v>QA_APPROVED</x:v>
      </x:c>
      <x:c r="G27" s="110" t="str">
        <x:v>visual_gallery/assets/cropped/3c0d104e5ec6085c292aa1003fdff1834be2aa73bbbef82c35061cca32cfe992.png</x:v>
      </x:c>
      <x:c r="H27" s="110" t="str">
        <x:v>3c0d104e5ec6085c292aa1003fdff1834be2aa73bbbef82c35061cca32cfe992</x:v>
      </x:c>
      <x:c r="I27" s="110" t="str">
        <x:v>8f3b20ea166f17ff1f84b4dec383688b7818936cf9c9e301ee0f62cb104c74a5</x:v>
      </x:c>
      <x:c r="J27" s="110" t="str"/>
      <x:c r="K27" s="110" t="str"/>
      <x:c r="L27" s="30" t="str"/>
      <x:c r="M27" s="110" t="e">
        <x:f>HYPERLINK("visual_gallery/index.html#DEC-BIO-04-010--VIS-BIO-DEC-TASK-34-P020","Галерея")</x:f>
      </x:c>
    </x:row>
    <x:row r="28" ht="24" customHeight="1">
      <x:c r="A28" s="110" t="str">
        <x:v>DEC-BIO-04-013</x:v>
      </x:c>
      <x:c r="B28" s="110" t="str">
        <x:v>VIS-BIO-DEC-TASK-34-P021</x:v>
      </x:c>
      <x:c r="C28" s="110" t="str">
        <x:v>Биология</x:v>
      </x:c>
      <x:c r="D28" s="110" t="n">
        <x:v>13</x:v>
      </x:c>
      <x:c r="E28" s="110" t="str">
        <x:v>MANUAL_BBOX</x:v>
      </x:c>
      <x:c r="F28" s="110" t="str">
        <x:v>QA_APPROVED</x:v>
      </x:c>
      <x:c r="G28" s="110" t="str">
        <x:v>visual_gallery/assets/cropped/575efd322c51aa7d302b0e53219ce43ac919e7e9f11c5c0dbe9a27ab7c3932a9.png</x:v>
      </x:c>
      <x:c r="H28" s="110" t="str">
        <x:v>575efd322c51aa7d302b0e53219ce43ac919e7e9f11c5c0dbe9a27ab7c3932a9</x:v>
      </x:c>
      <x:c r="I28" s="110" t="str">
        <x:v>106442703a7b9cc6f24a0f4ea816974e4aaf90f7c0e52f20c27ccd18098b824c</x:v>
      </x:c>
      <x:c r="J28" s="110" t="str">
        <x:v>[380, 246, 1034, 903]</x:v>
      </x:c>
      <x:c r="K28" s="110" t="str"/>
      <x:c r="L28" s="30" t="str"/>
      <x:c r="M28" s="110" t="e">
        <x:f>HYPERLINK("visual_gallery/index.html#DEC-BIO-04-013--VIS-BIO-DEC-TASK-34-P021","Галерея")</x:f>
      </x:c>
    </x:row>
    <x:row r="29" ht="24" customHeight="1">
      <x:c r="A29" s="110" t="str">
        <x:v>DEC-BIO-04-014</x:v>
      </x:c>
      <x:c r="B29" s="110" t="str">
        <x:v>VIS-BIO-DEC-TASK-34-P021</x:v>
      </x:c>
      <x:c r="C29" s="110" t="str">
        <x:v>Биология</x:v>
      </x:c>
      <x:c r="D29" s="110" t="n">
        <x:v>14</x:v>
      </x:c>
      <x:c r="E29" s="110" t="str">
        <x:v>USE_TIGHT</x:v>
      </x:c>
      <x:c r="F29" s="110" t="str">
        <x:v>QA_APPROVED</x:v>
      </x:c>
      <x:c r="G29" s="110" t="str">
        <x:v>visual_gallery/assets/cropped/63c96937d612d64e6f00d912e17c3b685af62aa32b7ceb2bcdfb5193d338de37.png</x:v>
      </x:c>
      <x:c r="H29" s="110" t="str">
        <x:v>63c96937d612d64e6f00d912e17c3b685af62aa32b7ceb2bcdfb5193d338de37</x:v>
      </x:c>
      <x:c r="I29" s="110" t="str">
        <x:v>106442703a7b9cc6f24a0f4ea816974e4aaf90f7c0e52f20c27ccd18098b824c</x:v>
      </x:c>
      <x:c r="J29" s="110" t="str"/>
      <x:c r="K29" s="110" t="str"/>
      <x:c r="L29" s="30" t="str"/>
      <x:c r="M29" s="110" t="e">
        <x:f>HYPERLINK("visual_gallery/index.html#DEC-BIO-04-014--VIS-BIO-DEC-TASK-34-P021","Галерея")</x:f>
      </x:c>
    </x:row>
    <x:row r="30" ht="24" customHeight="1">
      <x:c r="A30" s="110" t="str">
        <x:v>DEC-BIO-04-020</x:v>
      </x:c>
      <x:c r="B30" s="110" t="str">
        <x:v>VIS-BIO-DEC-TASK-34-P024</x:v>
      </x:c>
      <x:c r="C30" s="110" t="str">
        <x:v>Биология</x:v>
      </x:c>
      <x:c r="D30" s="110" t="n">
        <x:v>20</x:v>
      </x:c>
      <x:c r="E30" s="110" t="str">
        <x:v>USE_TIGHT</x:v>
      </x:c>
      <x:c r="F30" s="110" t="str">
        <x:v>QA_APPROVED</x:v>
      </x:c>
      <x:c r="G30" s="110" t="str">
        <x:v>visual_gallery/assets/cropped/a5469335cb76392bbb0dae0108d3ae0c112c6d732bc4886eba039927455e93b7.png</x:v>
      </x:c>
      <x:c r="H30" s="110" t="str">
        <x:v>a5469335cb76392bbb0dae0108d3ae0c112c6d732bc4886eba039927455e93b7</x:v>
      </x:c>
      <x:c r="I30" s="110" t="str">
        <x:v>61cd52bb07668fc752862f48e872ae69dcc9a5747e30657f20c46f3c4f3951e6</x:v>
      </x:c>
      <x:c r="J30" s="110" t="str"/>
      <x:c r="K30" s="110" t="str"/>
      <x:c r="L30" s="30" t="str"/>
      <x:c r="M30" s="110" t="e">
        <x:f>HYPERLINK("visual_gallery/index.html#DEC-BIO-04-020--VIS-BIO-DEC-TASK-34-P024","Галерея")</x:f>
      </x:c>
    </x:row>
    <x:row r="31" ht="24" customHeight="1">
      <x:c r="A31" s="110" t="str">
        <x:v>DEC-BIO-04-021</x:v>
      </x:c>
      <x:c r="B31" s="110" t="str">
        <x:v>VIS-BIO-DEC-TASK-34-P025</x:v>
      </x:c>
      <x:c r="C31" s="110" t="str">
        <x:v>Биология</x:v>
      </x:c>
      <x:c r="D31" s="110" t="n">
        <x:v>21</x:v>
      </x:c>
      <x:c r="E31" s="110" t="str">
        <x:v>USE_CONTEXT</x:v>
      </x:c>
      <x:c r="F31" s="110" t="str">
        <x:v>QA_APPROVED</x:v>
      </x:c>
      <x:c r="G31" s="110" t="str">
        <x:v>visual_gallery/assets/cropped/487e217b31025c8d9cb471075dfde82bca6a254ca8d226ef55f69b3f6137c3f3.png</x:v>
      </x:c>
      <x:c r="H31" s="110" t="str">
        <x:v>487e217b31025c8d9cb471075dfde82bca6a254ca8d226ef55f69b3f6137c3f3</x:v>
      </x:c>
      <x:c r="I31" s="110" t="str">
        <x:v>56228ad81de9c22d6007eb401e8c1f556b20d59927400b07f39ebf9fa226e6ab</x:v>
      </x:c>
      <x:c r="J31" s="110" t="str"/>
      <x:c r="K31" s="110" t="str"/>
      <x:c r="L31" s="30" t="str"/>
      <x:c r="M31" s="110" t="e">
        <x:f>HYPERLINK("visual_gallery/index.html#DEC-BIO-04-021--VIS-BIO-DEC-TASK-34-P025","Галерея")</x:f>
      </x:c>
    </x:row>
    <x:row r="32" ht="24" customHeight="1">
      <x:c r="A32" s="110" t="str">
        <x:v>OCT-BIO-101-005</x:v>
      </x:c>
      <x:c r="B32" s="110" t="str">
        <x:v>VIS-BIO-OCT-002</x:v>
      </x:c>
      <x:c r="C32" s="110" t="str">
        <x:v>Биология</x:v>
      </x:c>
      <x:c r="D32" s="110" t="n">
        <x:v>5</x:v>
      </x:c>
      <x:c r="E32" s="110" t="str">
        <x:v>MANUAL_BBOX</x:v>
      </x:c>
      <x:c r="F32" s="110" t="str">
        <x:v>QA_APPROVED</x:v>
      </x:c>
      <x:c r="G32" s="110" t="str">
        <x:v>visual_gallery/assets/cropped/847d34640ec4ab8d2aeffbefcef0dcbd30e611d0359e8d2d02543eb068c48a37.png</x:v>
      </x:c>
      <x:c r="H32" s="110" t="str">
        <x:v>847d34640ec4ab8d2aeffbefcef0dcbd30e611d0359e8d2d02543eb068c48a37</x:v>
      </x:c>
      <x:c r="I32" s="110" t="str">
        <x:v>ecfeea8a6ff95dbee746e7dd26b6d4bd3bb6fc2d701c7a24de46ae4d240c41b2</x:v>
      </x:c>
      <x:c r="J32" s="110" t="str">
        <x:v>[228, 178, 970, 566]</x:v>
      </x:c>
      <x:c r="K32" s="110" t="str"/>
      <x:c r="L32" s="30" t="str"/>
      <x:c r="M32" s="110" t="e">
        <x:f>HYPERLINK("visual_gallery/index.html#OCT-BIO-101-005--VIS-BIO-OCT-002","Галерея")</x:f>
      </x:c>
    </x:row>
    <x:row r="33" ht="24" customHeight="1">
      <x:c r="A33" s="110" t="str">
        <x:v>OCT-BIO-101-006</x:v>
      </x:c>
      <x:c r="B33" s="110" t="str">
        <x:v>VIS-BIO-OCT-002</x:v>
      </x:c>
      <x:c r="C33" s="110" t="str">
        <x:v>Биология</x:v>
      </x:c>
      <x:c r="D33" s="110" t="n">
        <x:v>6</x:v>
      </x:c>
      <x:c r="E33" s="110" t="str">
        <x:v>USE_CONTEXT</x:v>
      </x:c>
      <x:c r="F33" s="110" t="str">
        <x:v>QA_APPROVED</x:v>
      </x:c>
      <x:c r="G33" s="110" t="str">
        <x:v>visual_gallery/assets/cropped/a81450d38f8734cae22701bbabad6c744a0fd3b7e7aedb22fde85a6b3c09beaa.png</x:v>
      </x:c>
      <x:c r="H33" s="110" t="str">
        <x:v>a81450d38f8734cae22701bbabad6c744a0fd3b7e7aedb22fde85a6b3c09beaa</x:v>
      </x:c>
      <x:c r="I33" s="110" t="str">
        <x:v>ecfeea8a6ff95dbee746e7dd26b6d4bd3bb6fc2d701c7a24de46ae4d240c41b2</x:v>
      </x:c>
      <x:c r="J33" s="110" t="str"/>
      <x:c r="K33" s="110" t="str"/>
      <x:c r="L33" s="30" t="str"/>
      <x:c r="M33" s="110" t="e">
        <x:f>HYPERLINK("visual_gallery/index.html#OCT-BIO-101-006--VIS-BIO-OCT-002","Галерея")</x:f>
      </x:c>
    </x:row>
    <x:row r="34" ht="24" customHeight="1">
      <x:c r="A34" s="110" t="str">
        <x:v>OCT-BIO-101-009</x:v>
      </x:c>
      <x:c r="B34" s="110" t="str">
        <x:v>VIS-BIO-OCT-004</x:v>
      </x:c>
      <x:c r="C34" s="110" t="str">
        <x:v>Биология</x:v>
      </x:c>
      <x:c r="D34" s="110" t="n">
        <x:v>9</x:v>
      </x:c>
      <x:c r="E34" s="110" t="str">
        <x:v>MANUAL_BBOX</x:v>
      </x:c>
      <x:c r="F34" s="110" t="str">
        <x:v>QA_APPROVED</x:v>
      </x:c>
      <x:c r="G34" s="110" t="str">
        <x:v>visual_gallery/assets/cropped/7fed5beaea8651b53586145a9885e113dc8f27cb61c77db8c8601dda8a7b879b.png</x:v>
      </x:c>
      <x:c r="H34" s="110" t="str">
        <x:v>7fed5beaea8651b53586145a9885e113dc8f27cb61c77db8c8601dda8a7b879b</x:v>
      </x:c>
      <x:c r="I34" s="110" t="str">
        <x:v>1568522ba54b3cc8ecaeb34d600d76cc1d499c3361d2569e5de10e8f84d25664</x:v>
      </x:c>
      <x:c r="J34" s="110" t="str">
        <x:v>[148, 185, 944, 680]</x:v>
      </x:c>
      <x:c r="K34" s="110" t="str"/>
      <x:c r="L34" s="30" t="str"/>
      <x:c r="M34" s="110" t="e">
        <x:f>HYPERLINK("visual_gallery/index.html#OCT-BIO-101-009--VIS-BIO-OCT-004","Галерея")</x:f>
      </x:c>
    </x:row>
    <x:row r="35" ht="24" customHeight="1">
      <x:c r="A35" s="110" t="str">
        <x:v>OCT-BIO-101-010</x:v>
      </x:c>
      <x:c r="B35" s="110" t="str">
        <x:v>VIS-BIO-OCT-004</x:v>
      </x:c>
      <x:c r="C35" s="110" t="str">
        <x:v>Биология</x:v>
      </x:c>
      <x:c r="D35" s="110" t="n">
        <x:v>10</x:v>
      </x:c>
      <x:c r="E35" s="110" t="str">
        <x:v>USE_TIGHT</x:v>
      </x:c>
      <x:c r="F35" s="110" t="str">
        <x:v>QA_APPROVED</x:v>
      </x:c>
      <x:c r="G35" s="110" t="str">
        <x:v>visual_gallery/assets/cropped/4c54fb5094453d7daf13b888fe46419b4c2e6f201af0b7fbcf1b582ac0471f6f.png</x:v>
      </x:c>
      <x:c r="H35" s="110" t="str">
        <x:v>4c54fb5094453d7daf13b888fe46419b4c2e6f201af0b7fbcf1b582ac0471f6f</x:v>
      </x:c>
      <x:c r="I35" s="110" t="str">
        <x:v>1568522ba54b3cc8ecaeb34d600d76cc1d499c3361d2569e5de10e8f84d25664</x:v>
      </x:c>
      <x:c r="J35" s="110" t="str"/>
      <x:c r="K35" s="110" t="str"/>
      <x:c r="L35" s="30" t="str"/>
      <x:c r="M35" s="110" t="e">
        <x:f>HYPERLINK("visual_gallery/index.html#OCT-BIO-101-010--VIS-BIO-OCT-004","Галерея")</x:f>
      </x:c>
    </x:row>
    <x:row r="36" ht="24" customHeight="1">
      <x:c r="A36" s="110" t="str">
        <x:v>OCT-BIO-101-013</x:v>
      </x:c>
      <x:c r="B36" s="110" t="str">
        <x:v>VIS-BIO-OCT-006</x:v>
      </x:c>
      <x:c r="C36" s="110" t="str">
        <x:v>Биология</x:v>
      </x:c>
      <x:c r="D36" s="110" t="n">
        <x:v>13</x:v>
      </x:c>
      <x:c r="E36" s="110" t="str">
        <x:v>MANUAL_BBOX</x:v>
      </x:c>
      <x:c r="F36" s="110" t="str">
        <x:v>QA_APPROVED</x:v>
      </x:c>
      <x:c r="G36" s="110" t="str">
        <x:v>visual_gallery/assets/cropped/65acdb5ef2809c2ddd3f2a49db8eef38c9de0c561b84a1e240a101d2825dacf2.png</x:v>
      </x:c>
      <x:c r="H36" s="110" t="str">
        <x:v>65acdb5ef2809c2ddd3f2a49db8eef38c9de0c561b84a1e240a101d2825dacf2</x:v>
      </x:c>
      <x:c r="I36" s="110" t="str">
        <x:v>371b8c338d46eef7862a3abd54353933ca6e6b00731ae03557ee9d4c2c528be7</x:v>
      </x:c>
      <x:c r="J36" s="110" t="str">
        <x:v>[274, 181, 811, 543]</x:v>
      </x:c>
      <x:c r="K36" s="110" t="str"/>
      <x:c r="L36" s="30" t="str"/>
      <x:c r="M36" s="110" t="e">
        <x:f>HYPERLINK("visual_gallery/index.html#OCT-BIO-101-013--VIS-BIO-OCT-006","Галерея")</x:f>
      </x:c>
    </x:row>
    <x:row r="37" ht="24" customHeight="1">
      <x:c r="A37" s="110" t="str">
        <x:v>OCT-BIO-101-014</x:v>
      </x:c>
      <x:c r="B37" s="110" t="str">
        <x:v>VIS-BIO-OCT-006</x:v>
      </x:c>
      <x:c r="C37" s="110" t="str">
        <x:v>Биология</x:v>
      </x:c>
      <x:c r="D37" s="110" t="n">
        <x:v>14</x:v>
      </x:c>
      <x:c r="E37" s="110" t="str">
        <x:v>USE_TIGHT</x:v>
      </x:c>
      <x:c r="F37" s="110" t="str">
        <x:v>QA_APPROVED</x:v>
      </x:c>
      <x:c r="G37" s="110" t="str">
        <x:v>visual_gallery/assets/cropped/4544e11d5cf66a6c84ca5b3710a263951cba9f65a551268036067c6c22c7dd08.png</x:v>
      </x:c>
      <x:c r="H37" s="110" t="str">
        <x:v>4544e11d5cf66a6c84ca5b3710a263951cba9f65a551268036067c6c22c7dd08</x:v>
      </x:c>
      <x:c r="I37" s="110" t="str">
        <x:v>371b8c338d46eef7862a3abd54353933ca6e6b00731ae03557ee9d4c2c528be7</x:v>
      </x:c>
      <x:c r="J37" s="110" t="str"/>
      <x:c r="K37" s="110" t="str"/>
      <x:c r="L37" s="30" t="str"/>
      <x:c r="M37" s="110" t="e">
        <x:f>HYPERLINK("visual_gallery/index.html#OCT-BIO-101-014--VIS-BIO-OCT-006","Галерея")</x:f>
      </x:c>
    </x:row>
    <x:row r="38" ht="24" customHeight="1">
      <x:c r="A38" s="110" t="str">
        <x:v>OCT-BIO-101-024</x:v>
      </x:c>
      <x:c r="B38" s="110" t="str">
        <x:v>VIS-BIO-OCT-011</x:v>
      </x:c>
      <x:c r="C38" s="110" t="str">
        <x:v>Биология</x:v>
      </x:c>
      <x:c r="D38" s="110" t="n">
        <x:v>24</x:v>
      </x:c>
      <x:c r="E38" s="110" t="str">
        <x:v>USE_TIGHT</x:v>
      </x:c>
      <x:c r="F38" s="110" t="str">
        <x:v>QA_APPROVED</x:v>
      </x:c>
      <x:c r="G38" s="110" t="str">
        <x:v>visual_gallery/assets/cropped/231bce522dd807a09d9a295a0138c015e2c5eb6db23b173ffb8863e640a46d13.png</x:v>
      </x:c>
      <x:c r="H38" s="110" t="str">
        <x:v>231bce522dd807a09d9a295a0138c015e2c5eb6db23b173ffb8863e640a46d13</x:v>
      </x:c>
      <x:c r="I38" s="110" t="str">
        <x:v>a23612a447e5494ad90031ca144ea35d0a6b0f1adedfde8ff53bcc4cd8407aeb</x:v>
      </x:c>
      <x:c r="J38" s="110" t="str"/>
      <x:c r="K38" s="110" t="str"/>
      <x:c r="L38" s="30" t="str"/>
      <x:c r="M38" s="110" t="e">
        <x:f>HYPERLINK("visual_gallery/index.html#OCT-BIO-101-024--VIS-BIO-OCT-011","Галерея")</x:f>
      </x:c>
    </x:row>
    <x:row r="39" ht="24" customHeight="1">
      <x:c r="A39" s="110" t="str">
        <x:v>OCT-BIO-102-005</x:v>
      </x:c>
      <x:c r="B39" s="110" t="str">
        <x:v>VIS-BIO-OCT-015</x:v>
      </x:c>
      <x:c r="C39" s="110" t="str">
        <x:v>Биология</x:v>
      </x:c>
      <x:c r="D39" s="110" t="n">
        <x:v>5</x:v>
      </x:c>
      <x:c r="E39" s="110" t="str">
        <x:v>MANUAL_BBOX</x:v>
      </x:c>
      <x:c r="F39" s="110" t="str">
        <x:v>QA_APPROVED</x:v>
      </x:c>
      <x:c r="G39" s="110" t="str">
        <x:v>visual_gallery/assets/cropped/20b4b0d80a09e37c2c7a1447b60b8a9fb51a1413e34c0e896228785830792063.png</x:v>
      </x:c>
      <x:c r="H39" s="110" t="str">
        <x:v>20b4b0d80a09e37c2c7a1447b60b8a9fb51a1413e34c0e896228785830792063</x:v>
      </x:c>
      <x:c r="I39" s="110" t="str">
        <x:v>fe71beddfb450f028785b1ac512416878e9301138e446684316fa45914d6ff3a</x:v>
      </x:c>
      <x:c r="J39" s="110" t="str">
        <x:v>[209, 181, 902, 589]</x:v>
      </x:c>
      <x:c r="K39" s="110" t="str"/>
      <x:c r="L39" s="30" t="str"/>
      <x:c r="M39" s="110" t="e">
        <x:f>HYPERLINK("visual_gallery/index.html#OCT-BIO-102-005--VIS-BIO-OCT-015","Галерея")</x:f>
      </x:c>
    </x:row>
    <x:row r="40" ht="24" customHeight="1">
      <x:c r="A40" s="110" t="str">
        <x:v>OCT-BIO-102-006</x:v>
      </x:c>
      <x:c r="B40" s="110" t="str">
        <x:v>VIS-BIO-OCT-015</x:v>
      </x:c>
      <x:c r="C40" s="110" t="str">
        <x:v>Биология</x:v>
      </x:c>
      <x:c r="D40" s="110" t="n">
        <x:v>6</x:v>
      </x:c>
      <x:c r="E40" s="110" t="str">
        <x:v>USE_TIGHT</x:v>
      </x:c>
      <x:c r="F40" s="110" t="str">
        <x:v>QA_APPROVED</x:v>
      </x:c>
      <x:c r="G40" s="110" t="str">
        <x:v>visual_gallery/assets/cropped/7cdb34c53e0b459c07e25111a15c9da589cef5f1dcf287cc891a561f80a5c79f.png</x:v>
      </x:c>
      <x:c r="H40" s="110" t="str">
        <x:v>7cdb34c53e0b459c07e25111a15c9da589cef5f1dcf287cc891a561f80a5c79f</x:v>
      </x:c>
      <x:c r="I40" s="110" t="str">
        <x:v>fe71beddfb450f028785b1ac512416878e9301138e446684316fa45914d6ff3a</x:v>
      </x:c>
      <x:c r="J40" s="110" t="str"/>
      <x:c r="K40" s="110" t="str"/>
      <x:c r="L40" s="30" t="str"/>
      <x:c r="M40" s="110" t="e">
        <x:f>HYPERLINK("visual_gallery/index.html#OCT-BIO-102-006--VIS-BIO-OCT-015","Галерея")</x:f>
      </x:c>
    </x:row>
    <x:row r="41" ht="24" customHeight="1">
      <x:c r="A41" s="110" t="str">
        <x:v>OCT-BIO-102-009</x:v>
      </x:c>
      <x:c r="B41" s="110" t="str">
        <x:v>VIS-BIO-OCT-017</x:v>
      </x:c>
      <x:c r="C41" s="110" t="str">
        <x:v>Биология</x:v>
      </x:c>
      <x:c r="D41" s="110" t="n">
        <x:v>9</x:v>
      </x:c>
      <x:c r="E41" s="110" t="str">
        <x:v>MANUAL_BBOX</x:v>
      </x:c>
      <x:c r="F41" s="110" t="str">
        <x:v>QA_APPROVED</x:v>
      </x:c>
      <x:c r="G41" s="110" t="str">
        <x:v>visual_gallery/assets/cropped/2fd27125bb757d9b2048fee9aab241d76cb633e1780e0a7c1bde9d581378bcb1.png</x:v>
      </x:c>
      <x:c r="H41" s="110" t="str">
        <x:v>2fd27125bb757d9b2048fee9aab241d76cb633e1780e0a7c1bde9d581378bcb1</x:v>
      </x:c>
      <x:c r="I41" s="110" t="str">
        <x:v>1b48c7746d0983edde345b60085573a8e94997f68e6418022c0988c2fe4e1ac4</x:v>
      </x:c>
      <x:c r="J41" s="110" t="str">
        <x:v>[335, 174, 859, 744]</x:v>
      </x:c>
      <x:c r="K41" s="110" t="str"/>
      <x:c r="L41" s="30" t="str"/>
      <x:c r="M41" s="110" t="e">
        <x:f>HYPERLINK("visual_gallery/index.html#OCT-BIO-102-009--VIS-BIO-OCT-017","Галерея")</x:f>
      </x:c>
    </x:row>
    <x:row r="42" ht="24" customHeight="1">
      <x:c r="A42" s="110" t="str">
        <x:v>OCT-BIO-102-010</x:v>
      </x:c>
      <x:c r="B42" s="110" t="str">
        <x:v>VIS-BIO-OCT-017</x:v>
      </x:c>
      <x:c r="C42" s="110" t="str">
        <x:v>Биология</x:v>
      </x:c>
      <x:c r="D42" s="110" t="n">
        <x:v>10</x:v>
      </x:c>
      <x:c r="E42" s="110" t="str">
        <x:v>USE_TIGHT</x:v>
      </x:c>
      <x:c r="F42" s="110" t="str">
        <x:v>QA_APPROVED</x:v>
      </x:c>
      <x:c r="G42" s="110" t="str">
        <x:v>visual_gallery/assets/cropped/11fdb0337780e3f97ab488106111a60cac38ba3649b3bbebfa4c8da5983d1b95.png</x:v>
      </x:c>
      <x:c r="H42" s="110" t="str">
        <x:v>11fdb0337780e3f97ab488106111a60cac38ba3649b3bbebfa4c8da5983d1b95</x:v>
      </x:c>
      <x:c r="I42" s="110" t="str">
        <x:v>1b48c7746d0983edde345b60085573a8e94997f68e6418022c0988c2fe4e1ac4</x:v>
      </x:c>
      <x:c r="J42" s="110" t="str"/>
      <x:c r="K42" s="110" t="str"/>
      <x:c r="L42" s="30" t="str"/>
      <x:c r="M42" s="110" t="e">
        <x:f>HYPERLINK("visual_gallery/index.html#OCT-BIO-102-010--VIS-BIO-OCT-017","Галерея")</x:f>
      </x:c>
    </x:row>
    <x:row r="43" ht="24" customHeight="1">
      <x:c r="A43" s="110" t="str">
        <x:v>OCT-BIO-102-013</x:v>
      </x:c>
      <x:c r="B43" s="110" t="str">
        <x:v>VIS-BIO-OCT-019</x:v>
      </x:c>
      <x:c r="C43" s="110" t="str">
        <x:v>Биология</x:v>
      </x:c>
      <x:c r="D43" s="110" t="n">
        <x:v>13</x:v>
      </x:c>
      <x:c r="E43" s="110" t="str">
        <x:v>MANUAL_BBOX</x:v>
      </x:c>
      <x:c r="F43" s="110" t="str">
        <x:v>QA_APPROVED</x:v>
      </x:c>
      <x:c r="G43" s="110" t="str">
        <x:v>visual_gallery/assets/cropped/7f1c47c62bd33cfe9f873b29cd86650ed69fc994fbff1bd2716c05fd8b8eef4c.png</x:v>
      </x:c>
      <x:c r="H43" s="110" t="str">
        <x:v>7f1c47c62bd33cfe9f873b29cd86650ed69fc994fbff1bd2716c05fd8b8eef4c</x:v>
      </x:c>
      <x:c r="I43" s="110" t="str">
        <x:v>3bcd7bfa431e6c09ccfd72dbee0eaa27ebc591290c5ef8d7032290513d3ec975</x:v>
      </x:c>
      <x:c r="J43" s="110" t="str">
        <x:v>[319, 168, 785, 631]</x:v>
      </x:c>
      <x:c r="K43" s="110" t="str"/>
      <x:c r="L43" s="30" t="str"/>
      <x:c r="M43" s="110" t="e">
        <x:f>HYPERLINK("visual_gallery/index.html#OCT-BIO-102-013--VIS-BIO-OCT-019","Галерея")</x:f>
      </x:c>
    </x:row>
    <x:row r="44" ht="24" customHeight="1">
      <x:c r="A44" s="110" t="str">
        <x:v>OCT-BIO-102-014</x:v>
      </x:c>
      <x:c r="B44" s="110" t="str">
        <x:v>VIS-BIO-OCT-019</x:v>
      </x:c>
      <x:c r="C44" s="110" t="str">
        <x:v>Биология</x:v>
      </x:c>
      <x:c r="D44" s="110" t="n">
        <x:v>14</x:v>
      </x:c>
      <x:c r="E44" s="110" t="str">
        <x:v>USE_TIGHT</x:v>
      </x:c>
      <x:c r="F44" s="110" t="str">
        <x:v>QA_APPROVED</x:v>
      </x:c>
      <x:c r="G44" s="110" t="str">
        <x:v>visual_gallery/assets/cropped/6b2d9935bf524c052c3fe52c4e1ba1412f6f7be33f4ff3e6663563843f24a062.png</x:v>
      </x:c>
      <x:c r="H44" s="110" t="str">
        <x:v>6b2d9935bf524c052c3fe52c4e1ba1412f6f7be33f4ff3e6663563843f24a062</x:v>
      </x:c>
      <x:c r="I44" s="110" t="str">
        <x:v>3bcd7bfa431e6c09ccfd72dbee0eaa27ebc591290c5ef8d7032290513d3ec975</x:v>
      </x:c>
      <x:c r="J44" s="110" t="str"/>
      <x:c r="K44" s="110" t="str"/>
      <x:c r="L44" s="30" t="str"/>
      <x:c r="M44" s="110" t="e">
        <x:f>HYPERLINK("visual_gallery/index.html#OCT-BIO-102-014--VIS-BIO-OCT-019","Галерея")</x:f>
      </x:c>
    </x:row>
    <x:row r="45" ht="24" customHeight="1">
      <x:c r="A45" s="110" t="str">
        <x:v>OCT-BIO-102-024</x:v>
      </x:c>
      <x:c r="B45" s="110" t="str">
        <x:v>VIS-BIO-OCT-024</x:v>
      </x:c>
      <x:c r="C45" s="110" t="str">
        <x:v>Биология</x:v>
      </x:c>
      <x:c r="D45" s="110" t="n">
        <x:v>24</x:v>
      </x:c>
      <x:c r="E45" s="110" t="str">
        <x:v>USE_CONTEXT</x:v>
      </x:c>
      <x:c r="F45" s="110" t="str">
        <x:v>QA_APPROVED</x:v>
      </x:c>
      <x:c r="G45" s="110" t="str">
        <x:v>visual_gallery/assets/cropped/3fe89556cbdfc570a4327d777ee1176fe4f8cdba8e413b4cd04aa520633f0e38.png</x:v>
      </x:c>
      <x:c r="H45" s="110" t="str">
        <x:v>3fe89556cbdfc570a4327d777ee1176fe4f8cdba8e413b4cd04aa520633f0e38</x:v>
      </x:c>
      <x:c r="I45" s="110" t="str">
        <x:v>03fa6f95ed4fa22d0be1f09476929ae9bbac5622e00bcbd74f8088cf81b3db08</x:v>
      </x:c>
      <x:c r="J45" s="110" t="str"/>
      <x:c r="K45" s="110" t="str"/>
      <x:c r="L45" s="30" t="str"/>
      <x:c r="M45" s="110" t="e">
        <x:f>HYPERLINK("visual_gallery/index.html#OCT-BIO-102-024--VIS-BIO-OCT-024","Галерея")</x:f>
      </x:c>
    </x:row>
    <x:row r="46" ht="24" customHeight="1">
      <x:c r="A46" s="110" t="str">
        <x:v>OCT-BIO-103-005</x:v>
      </x:c>
      <x:c r="B46" s="110" t="str">
        <x:v>VIS-BIO-OCT-027</x:v>
      </x:c>
      <x:c r="C46" s="110" t="str">
        <x:v>Биология</x:v>
      </x:c>
      <x:c r="D46" s="110" t="n">
        <x:v>5</x:v>
      </x:c>
      <x:c r="E46" s="110" t="str">
        <x:v>MANUAL_BBOX</x:v>
      </x:c>
      <x:c r="F46" s="110" t="str">
        <x:v>QA_APPROVED</x:v>
      </x:c>
      <x:c r="G46" s="110" t="str">
        <x:v>visual_gallery/assets/cropped/547ad31938292fec17435ed1c0ccab280489741126275e3026afa5e03272e065.png</x:v>
      </x:c>
      <x:c r="H46" s="110" t="str">
        <x:v>547ad31938292fec17435ed1c0ccab280489741126275e3026afa5e03272e065</x:v>
      </x:c>
      <x:c r="I46" s="110" t="str">
        <x:v>a08b03ddfa546ba8dce0fd042757fd16d0df5b4c8579a329f62fabca6ab3e8bc</x:v>
      </x:c>
      <x:c r="J46" s="110" t="str">
        <x:v>[261, 184, 979, 615]</x:v>
      </x:c>
      <x:c r="K46" s="110" t="str"/>
      <x:c r="L46" s="30" t="str"/>
      <x:c r="M46" s="110" t="e">
        <x:f>HYPERLINK("visual_gallery/index.html#OCT-BIO-103-005--VIS-BIO-OCT-027","Галерея")</x:f>
      </x:c>
    </x:row>
    <x:row r="47" ht="24" customHeight="1">
      <x:c r="A47" s="110" t="str">
        <x:v>OCT-BIO-103-006</x:v>
      </x:c>
      <x:c r="B47" s="110" t="str">
        <x:v>VIS-BIO-OCT-027</x:v>
      </x:c>
      <x:c r="C47" s="110" t="str">
        <x:v>Биология</x:v>
      </x:c>
      <x:c r="D47" s="110" t="n">
        <x:v>6</x:v>
      </x:c>
      <x:c r="E47" s="110" t="str">
        <x:v>USE_TIGHT</x:v>
      </x:c>
      <x:c r="F47" s="110" t="str">
        <x:v>QA_APPROVED</x:v>
      </x:c>
      <x:c r="G47" s="110" t="str">
        <x:v>visual_gallery/assets/cropped/9da0f67d5901fc0ef4185afccc67525ffad3567093c1e9cd20fedeb9f15016d7.png</x:v>
      </x:c>
      <x:c r="H47" s="110" t="str">
        <x:v>9da0f67d5901fc0ef4185afccc67525ffad3567093c1e9cd20fedeb9f15016d7</x:v>
      </x:c>
      <x:c r="I47" s="110" t="str">
        <x:v>a08b03ddfa546ba8dce0fd042757fd16d0df5b4c8579a329f62fabca6ab3e8bc</x:v>
      </x:c>
      <x:c r="J47" s="110" t="str"/>
      <x:c r="K47" s="110" t="str"/>
      <x:c r="L47" s="30" t="str"/>
      <x:c r="M47" s="110" t="e">
        <x:f>HYPERLINK("visual_gallery/index.html#OCT-BIO-103-006--VIS-BIO-OCT-027","Галерея")</x:f>
      </x:c>
    </x:row>
    <x:row r="48" ht="24" customHeight="1">
      <x:c r="A48" s="110" t="str">
        <x:v>OCT-BIO-103-009</x:v>
      </x:c>
      <x:c r="B48" s="110" t="str">
        <x:v>VIS-BIO-OCT-029</x:v>
      </x:c>
      <x:c r="C48" s="110" t="str">
        <x:v>Биология</x:v>
      </x:c>
      <x:c r="D48" s="110" t="n">
        <x:v>9</x:v>
      </x:c>
      <x:c r="E48" s="110" t="str">
        <x:v>MANUAL_BBOX</x:v>
      </x:c>
      <x:c r="F48" s="110" t="str">
        <x:v>QA_APPROVED</x:v>
      </x:c>
      <x:c r="G48" s="110" t="str">
        <x:v>visual_gallery/assets/cropped/754695d2b88a9ed31b90b0be4a0ae1b1b4f1a4cd0543437c3ac539a066708848.png</x:v>
      </x:c>
      <x:c r="H48" s="110" t="str">
        <x:v>754695d2b88a9ed31b90b0be4a0ae1b1b4f1a4cd0543437c3ac539a066708848</x:v>
      </x:c>
      <x:c r="I48" s="110" t="str">
        <x:v>717b902d1eca4111a3a2534d7512e0e720c30e86e18454ba3829de8df3c6b700</x:v>
      </x:c>
      <x:c r="J48" s="110" t="str">
        <x:v>[329, 174, 840, 760]</x:v>
      </x:c>
      <x:c r="K48" s="110" t="str"/>
      <x:c r="L48" s="30" t="str"/>
      <x:c r="M48" s="110" t="e">
        <x:f>HYPERLINK("visual_gallery/index.html#OCT-BIO-103-009--VIS-BIO-OCT-029","Галерея")</x:f>
      </x:c>
    </x:row>
    <x:row r="49" ht="24" customHeight="1">
      <x:c r="A49" s="110" t="str">
        <x:v>OCT-BIO-103-010</x:v>
      </x:c>
      <x:c r="B49" s="110" t="str">
        <x:v>VIS-BIO-OCT-029</x:v>
      </x:c>
      <x:c r="C49" s="110" t="str">
        <x:v>Биология</x:v>
      </x:c>
      <x:c r="D49" s="110" t="n">
        <x:v>10</x:v>
      </x:c>
      <x:c r="E49" s="110" t="str">
        <x:v>USE_TIGHT</x:v>
      </x:c>
      <x:c r="F49" s="110" t="str">
        <x:v>QA_APPROVED</x:v>
      </x:c>
      <x:c r="G49" s="110" t="str">
        <x:v>visual_gallery/assets/cropped/991f64363940606f2314a3e3d141e9e6246bc12d2e97289de03e88c2352e556b.png</x:v>
      </x:c>
      <x:c r="H49" s="110" t="str">
        <x:v>991f64363940606f2314a3e3d141e9e6246bc12d2e97289de03e88c2352e556b</x:v>
      </x:c>
      <x:c r="I49" s="110" t="str">
        <x:v>717b902d1eca4111a3a2534d7512e0e720c30e86e18454ba3829de8df3c6b700</x:v>
      </x:c>
      <x:c r="J49" s="110" t="str"/>
      <x:c r="K49" s="110" t="str"/>
      <x:c r="L49" s="30" t="str"/>
      <x:c r="M49" s="110" t="e">
        <x:f>HYPERLINK("visual_gallery/index.html#OCT-BIO-103-010--VIS-BIO-OCT-029","Галерея")</x:f>
      </x:c>
    </x:row>
    <x:row r="50" ht="24" customHeight="1">
      <x:c r="A50" s="110" t="str">
        <x:v>OCT-BIO-103-013</x:v>
      </x:c>
      <x:c r="B50" s="110" t="str">
        <x:v>VIS-BIO-OCT-031</x:v>
      </x:c>
      <x:c r="C50" s="110" t="str">
        <x:v>Биология</x:v>
      </x:c>
      <x:c r="D50" s="110" t="n">
        <x:v>13</x:v>
      </x:c>
      <x:c r="E50" s="110" t="str">
        <x:v>MANUAL_BBOX</x:v>
      </x:c>
      <x:c r="F50" s="110" t="str">
        <x:v>QA_APPROVED</x:v>
      </x:c>
      <x:c r="G50" s="110" t="str">
        <x:v>visual_gallery/assets/cropped/a0d64aaf9b031fc976d6553096bdaf617332540075630fe5469baf5f01a545f2.png</x:v>
      </x:c>
      <x:c r="H50" s="110" t="str">
        <x:v>a0d64aaf9b031fc976d6553096bdaf617332540075630fe5469baf5f01a545f2</x:v>
      </x:c>
      <x:c r="I50" s="110" t="str">
        <x:v>cf7fc03dd18e99dde0646f1b4cb637b2a31e1435aecc74b12b96c66817998ee5</x:v>
      </x:c>
      <x:c r="J50" s="110" t="str">
        <x:v>[306, 200, 801, 530]</x:v>
      </x:c>
      <x:c r="K50" s="110" t="str"/>
      <x:c r="L50" s="30" t="str"/>
      <x:c r="M50" s="110" t="e">
        <x:f>HYPERLINK("visual_gallery/index.html#OCT-BIO-103-013--VIS-BIO-OCT-031","Галерея")</x:f>
      </x:c>
    </x:row>
    <x:row r="51" ht="24" customHeight="1">
      <x:c r="A51" s="110" t="str">
        <x:v>OCT-BIO-103-014</x:v>
      </x:c>
      <x:c r="B51" s="110" t="str">
        <x:v>VIS-BIO-OCT-031</x:v>
      </x:c>
      <x:c r="C51" s="110" t="str">
        <x:v>Биология</x:v>
      </x:c>
      <x:c r="D51" s="110" t="n">
        <x:v>14</x:v>
      </x:c>
      <x:c r="E51" s="110" t="str">
        <x:v>USE_TIGHT</x:v>
      </x:c>
      <x:c r="F51" s="110" t="str">
        <x:v>QA_APPROVED</x:v>
      </x:c>
      <x:c r="G51" s="110" t="str">
        <x:v>visual_gallery/assets/cropped/c810f07660ac6ab3bd3b1986b963e9c038bcfdc133b5d6d19bf50ea7702156c6.png</x:v>
      </x:c>
      <x:c r="H51" s="110" t="str">
        <x:v>c810f07660ac6ab3bd3b1986b963e9c038bcfdc133b5d6d19bf50ea7702156c6</x:v>
      </x:c>
      <x:c r="I51" s="110" t="str">
        <x:v>cf7fc03dd18e99dde0646f1b4cb637b2a31e1435aecc74b12b96c66817998ee5</x:v>
      </x:c>
      <x:c r="J51" s="110" t="str"/>
      <x:c r="K51" s="110" t="str"/>
      <x:c r="L51" s="30" t="str"/>
      <x:c r="M51" s="110" t="e">
        <x:f>HYPERLINK("visual_gallery/index.html#OCT-BIO-103-014--VIS-BIO-OCT-031","Галерея")</x:f>
      </x:c>
    </x:row>
    <x:row r="52" ht="24" customHeight="1">
      <x:c r="A52" s="110" t="str">
        <x:v>OCT-BIO-103-024</x:v>
      </x:c>
      <x:c r="B52" s="110" t="str">
        <x:v>VIS-BIO-OCT-036</x:v>
      </x:c>
      <x:c r="C52" s="110" t="str">
        <x:v>Биология</x:v>
      </x:c>
      <x:c r="D52" s="110" t="n">
        <x:v>24</x:v>
      </x:c>
      <x:c r="E52" s="110" t="str">
        <x:v>USE_CONTEXT</x:v>
      </x:c>
      <x:c r="F52" s="110" t="str">
        <x:v>QA_APPROVED</x:v>
      </x:c>
      <x:c r="G52" s="110" t="str">
        <x:v>visual_gallery/assets/cropped/3fe89556cbdfc570a4327d777ee1176fe4f8cdba8e413b4cd04aa520633f0e38.png</x:v>
      </x:c>
      <x:c r="H52" s="110" t="str">
        <x:v>3fe89556cbdfc570a4327d777ee1176fe4f8cdba8e413b4cd04aa520633f0e38</x:v>
      </x:c>
      <x:c r="I52" s="110" t="str">
        <x:v>63356e249a324244214480ced367e3c6013dac622c6b0fc526a27a46f55d47af</x:v>
      </x:c>
      <x:c r="J52" s="110" t="str"/>
      <x:c r="K52" s="110" t="str"/>
      <x:c r="L52" s="30" t="str"/>
      <x:c r="M52" s="110" t="e">
        <x:f>HYPERLINK("visual_gallery/index.html#OCT-BIO-103-024--VIS-BIO-OCT-036","Галерея")</x:f>
      </x:c>
    </x:row>
    <x:row r="53" ht="24" customHeight="1">
      <x:c r="A53" s="110" t="str">
        <x:v>OCT-BIO-104-005</x:v>
      </x:c>
      <x:c r="B53" s="110" t="str">
        <x:v>VIS-BIO-OCT-039</x:v>
      </x:c>
      <x:c r="C53" s="110" t="str">
        <x:v>Биология</x:v>
      </x:c>
      <x:c r="D53" s="110" t="n">
        <x:v>5</x:v>
      </x:c>
      <x:c r="E53" s="110" t="str">
        <x:v>MANUAL_BBOX</x:v>
      </x:c>
      <x:c r="F53" s="110" t="str">
        <x:v>QA_APPROVED</x:v>
      </x:c>
      <x:c r="G53" s="110" t="str">
        <x:v>visual_gallery/assets/cropped/c501dfadb77504764dc7059b28708bc7a77e4b7d5a81562417ad46d28e8ee356.png</x:v>
      </x:c>
      <x:c r="H53" s="110" t="str">
        <x:v>c501dfadb77504764dc7059b28708bc7a77e4b7d5a81562417ad46d28e8ee356</x:v>
      </x:c>
      <x:c r="I53" s="110" t="str">
        <x:v>5c03e77590cd54b9997c29e7948fdc208bcb73a49586c30921ae2c43081a9c86</x:v>
      </x:c>
      <x:c r="J53" s="110" t="str">
        <x:v>[232, 281, 879, 656]</x:v>
      </x:c>
      <x:c r="K53" s="110" t="str"/>
      <x:c r="L53" s="30" t="str"/>
      <x:c r="M53" s="110" t="e">
        <x:f>HYPERLINK("visual_gallery/index.html#OCT-BIO-104-005--VIS-BIO-OCT-039","Галерея")</x:f>
      </x:c>
    </x:row>
    <x:row r="54" ht="24" customHeight="1">
      <x:c r="A54" s="110" t="str">
        <x:v>OCT-BIO-104-006</x:v>
      </x:c>
      <x:c r="B54" s="110" t="str">
        <x:v>VIS-BIO-OCT-039</x:v>
      </x:c>
      <x:c r="C54" s="110" t="str">
        <x:v>Биология</x:v>
      </x:c>
      <x:c r="D54" s="110" t="n">
        <x:v>6</x:v>
      </x:c>
      <x:c r="E54" s="110" t="str">
        <x:v>USE_TIGHT</x:v>
      </x:c>
      <x:c r="F54" s="110" t="str">
        <x:v>QA_APPROVED</x:v>
      </x:c>
      <x:c r="G54" s="110" t="str">
        <x:v>visual_gallery/assets/cropped/5fd384cd787deb710c0ff6602df5a72c33958579d0b8d19a5f2abaaee63bd465.png</x:v>
      </x:c>
      <x:c r="H54" s="110" t="str">
        <x:v>5fd384cd787deb710c0ff6602df5a72c33958579d0b8d19a5f2abaaee63bd465</x:v>
      </x:c>
      <x:c r="I54" s="110" t="str">
        <x:v>5c03e77590cd54b9997c29e7948fdc208bcb73a49586c30921ae2c43081a9c86</x:v>
      </x:c>
      <x:c r="J54" s="110" t="str"/>
      <x:c r="K54" s="110" t="str"/>
      <x:c r="L54" s="30" t="str"/>
      <x:c r="M54" s="110" t="e">
        <x:f>HYPERLINK("visual_gallery/index.html#OCT-BIO-104-006--VIS-BIO-OCT-039","Галерея")</x:f>
      </x:c>
    </x:row>
    <x:row r="55" ht="24" customHeight="1">
      <x:c r="A55" s="110" t="str">
        <x:v>OCT-BIO-104-009</x:v>
      </x:c>
      <x:c r="B55" s="110" t="str">
        <x:v>VIS-BIO-OCT-041</x:v>
      </x:c>
      <x:c r="C55" s="110" t="str">
        <x:v>Биология</x:v>
      </x:c>
      <x:c r="D55" s="110" t="n">
        <x:v>9</x:v>
      </x:c>
      <x:c r="E55" s="110" t="str">
        <x:v>MANUAL_BBOX</x:v>
      </x:c>
      <x:c r="F55" s="110" t="str">
        <x:v>QA_APPROVED</x:v>
      </x:c>
      <x:c r="G55" s="110" t="str">
        <x:v>visual_gallery/assets/cropped/55ed60c4d90d3ab21fed17514e38de95a0c6428c4eb33d5d31846ceadc54d8d3.png</x:v>
      </x:c>
      <x:c r="H55" s="110" t="str">
        <x:v>55ed60c4d90d3ab21fed17514e38de95a0c6428c4eb33d5d31846ceadc54d8d3</x:v>
      </x:c>
      <x:c r="I55" s="110" t="str">
        <x:v>4fa5a12391b231811557175a614bbb5cf1376144d43d9d4bc7cfee592027143a</x:v>
      </x:c>
      <x:c r="J55" s="110" t="str">
        <x:v>[151, 200, 931, 670]</x:v>
      </x:c>
      <x:c r="K55" s="110" t="str"/>
      <x:c r="L55" s="30" t="str"/>
      <x:c r="M55" s="110" t="e">
        <x:f>HYPERLINK("visual_gallery/index.html#OCT-BIO-104-009--VIS-BIO-OCT-041","Галерея")</x:f>
      </x:c>
    </x:row>
    <x:row r="56" ht="24" customHeight="1">
      <x:c r="A56" s="110" t="str">
        <x:v>OCT-BIO-104-010</x:v>
      </x:c>
      <x:c r="B56" s="110" t="str">
        <x:v>VIS-BIO-OCT-041</x:v>
      </x:c>
      <x:c r="C56" s="110" t="str">
        <x:v>Биология</x:v>
      </x:c>
      <x:c r="D56" s="110" t="n">
        <x:v>10</x:v>
      </x:c>
      <x:c r="E56" s="110" t="str">
        <x:v>USE_TIGHT</x:v>
      </x:c>
      <x:c r="F56" s="110" t="str">
        <x:v>QA_APPROVED</x:v>
      </x:c>
      <x:c r="G56" s="110" t="str">
        <x:v>visual_gallery/assets/cropped/b57a5546043b405ba44b974d5fbb4988d114e348c51c17a74e0a98b57dd9f983.png</x:v>
      </x:c>
      <x:c r="H56" s="110" t="str">
        <x:v>b57a5546043b405ba44b974d5fbb4988d114e348c51c17a74e0a98b57dd9f983</x:v>
      </x:c>
      <x:c r="I56" s="110" t="str">
        <x:v>4fa5a12391b231811557175a614bbb5cf1376144d43d9d4bc7cfee592027143a</x:v>
      </x:c>
      <x:c r="J56" s="110" t="str"/>
      <x:c r="K56" s="110" t="str"/>
      <x:c r="L56" s="30" t="str"/>
      <x:c r="M56" s="110" t="e">
        <x:f>HYPERLINK("visual_gallery/index.html#OCT-BIO-104-010--VIS-BIO-OCT-041","Галерея")</x:f>
      </x:c>
    </x:row>
    <x:row r="57" ht="24" customHeight="1">
      <x:c r="A57" s="110" t="str">
        <x:v>OCT-BIO-104-013</x:v>
      </x:c>
      <x:c r="B57" s="110" t="str">
        <x:v>VIS-BIO-OCT-043</x:v>
      </x:c>
      <x:c r="C57" s="110" t="str">
        <x:v>Биология</x:v>
      </x:c>
      <x:c r="D57" s="110" t="n">
        <x:v>13</x:v>
      </x:c>
      <x:c r="E57" s="110" t="str">
        <x:v>MANUAL_BBOX</x:v>
      </x:c>
      <x:c r="F57" s="110" t="str">
        <x:v>QA_APPROVED</x:v>
      </x:c>
      <x:c r="G57" s="110" t="str">
        <x:v>visual_gallery/assets/cropped/62ae50bad67660cd565f54c41e4878c8f795975cf58ee5ee3700455201163c5e.png</x:v>
      </x:c>
      <x:c r="H57" s="110" t="str">
        <x:v>62ae50bad67660cd565f54c41e4878c8f795975cf58ee5ee3700455201163c5e</x:v>
      </x:c>
      <x:c r="I57" s="110" t="str">
        <x:v>f4327add4cb72c7b6f448ce1279394b2a7f4c4443ccf52232b648ba1f68ad90e</x:v>
      </x:c>
      <x:c r="J57" s="110" t="str">
        <x:v>[319, 213, 824, 647]</x:v>
      </x:c>
      <x:c r="K57" s="110" t="str"/>
      <x:c r="L57" s="30" t="str"/>
      <x:c r="M57" s="110" t="e">
        <x:f>HYPERLINK("visual_gallery/index.html#OCT-BIO-104-013--VIS-BIO-OCT-043","Галерея")</x:f>
      </x:c>
    </x:row>
    <x:row r="58" ht="24" customHeight="1">
      <x:c r="A58" s="110" t="str">
        <x:v>OCT-BIO-104-014</x:v>
      </x:c>
      <x:c r="B58" s="110" t="str">
        <x:v>VIS-BIO-OCT-043</x:v>
      </x:c>
      <x:c r="C58" s="110" t="str">
        <x:v>Биология</x:v>
      </x:c>
      <x:c r="D58" s="110" t="n">
        <x:v>14</x:v>
      </x:c>
      <x:c r="E58" s="110" t="str">
        <x:v>USE_TIGHT</x:v>
      </x:c>
      <x:c r="F58" s="110" t="str">
        <x:v>QA_APPROVED</x:v>
      </x:c>
      <x:c r="G58" s="110" t="str">
        <x:v>visual_gallery/assets/cropped/c6f2cfa79dda1b44fcd3aaf4b8479263ff94f7dfe0a2023e05902633eeae5d1f.png</x:v>
      </x:c>
      <x:c r="H58" s="110" t="str">
        <x:v>c6f2cfa79dda1b44fcd3aaf4b8479263ff94f7dfe0a2023e05902633eeae5d1f</x:v>
      </x:c>
      <x:c r="I58" s="110" t="str">
        <x:v>f4327add4cb72c7b6f448ce1279394b2a7f4c4443ccf52232b648ba1f68ad90e</x:v>
      </x:c>
      <x:c r="J58" s="110" t="str"/>
      <x:c r="K58" s="110" t="str"/>
      <x:c r="L58" s="30" t="str"/>
      <x:c r="M58" s="110" t="e">
        <x:f>HYPERLINK("visual_gallery/index.html#OCT-BIO-104-014--VIS-BIO-OCT-043","Галерея")</x:f>
      </x:c>
    </x:row>
    <x:row r="59" ht="24" customHeight="1">
      <x:c r="A59" s="110" t="str">
        <x:v>OCT-BIO-104-024</x:v>
      </x:c>
      <x:c r="B59" s="110" t="str">
        <x:v>VIS-BIO-OCT-048</x:v>
      </x:c>
      <x:c r="C59" s="110" t="str">
        <x:v>Биология</x:v>
      </x:c>
      <x:c r="D59" s="110" t="n">
        <x:v>24</x:v>
      </x:c>
      <x:c r="E59" s="110" t="str">
        <x:v>USE_TIGHT</x:v>
      </x:c>
      <x:c r="F59" s="110" t="str">
        <x:v>QA_APPROVED</x:v>
      </x:c>
      <x:c r="G59" s="110" t="str">
        <x:v>visual_gallery/assets/cropped/231bce522dd807a09d9a295a0138c015e2c5eb6db23b173ffb8863e640a46d13.png</x:v>
      </x:c>
      <x:c r="H59" s="110" t="str">
        <x:v>231bce522dd807a09d9a295a0138c015e2c5eb6db23b173ffb8863e640a46d13</x:v>
      </x:c>
      <x:c r="I59" s="110" t="str">
        <x:v>63bbe628548a8309529edb0bcb4ec13e52708597d78560e0304a001e8725403f</x:v>
      </x:c>
      <x:c r="J59" s="110" t="str"/>
      <x:c r="K59" s="110" t="str"/>
      <x:c r="L59" s="30" t="str"/>
      <x:c r="M59" s="110" t="e">
        <x:f>HYPERLINK("visual_gallery/index.html#OCT-BIO-104-024--VIS-BIO-OCT-048","Галерея")</x:f>
      </x:c>
    </x:row>
    <x:row r="60" ht="24" customHeight="1">
      <x:c r="A60" s="110" t="str">
        <x:v>EGKR-S26-BIO-954-05</x:v>
      </x:c>
      <x:c r="B60" s="110" t="str">
        <x:v>VIS-EGKR-BIO-S26-TASK-954-P002</x:v>
      </x:c>
      <x:c r="C60" s="110" t="str">
        <x:v>Биология</x:v>
      </x:c>
      <x:c r="D60" s="110" t="n">
        <x:v>5</x:v>
      </x:c>
      <x:c r="E60" s="110" t="str">
        <x:v>USE_TIGHT</x:v>
      </x:c>
      <x:c r="F60" s="110" t="str">
        <x:v>QA_APPROVED</x:v>
      </x:c>
      <x:c r="G60" s="110" t="str">
        <x:v>visual_gallery/assets/cropped/187736eca43d1c5bd61e70896a30d996216b190cfa86f12ef8219dfbb0dd0784.png</x:v>
      </x:c>
      <x:c r="H60" s="110" t="str">
        <x:v>187736eca43d1c5bd61e70896a30d996216b190cfa86f12ef8219dfbb0dd0784</x:v>
      </x:c>
      <x:c r="I60" s="110" t="str">
        <x:v>ae00fc092302b9b736eb82493ba176d4dc5a26f628c94bf0f93ed432d3b91a8f</x:v>
      </x:c>
      <x:c r="J60" s="110" t="str"/>
      <x:c r="K60" s="110" t="str"/>
      <x:c r="L60" s="30" t="str"/>
      <x:c r="M60" s="110" t="e">
        <x:f>HYPERLINK("visual_gallery/index.html#EGKR-S26-BIO-954-05--VIS-EGKR-BIO-S26-TASK-954-P002","Галерея")</x:f>
      </x:c>
    </x:row>
    <x:row r="61" ht="24" customHeight="1">
      <x:c r="A61" s="110" t="str">
        <x:v>EGKR-S26-BIO-954-13</x:v>
      </x:c>
      <x:c r="B61" s="110" t="str">
        <x:v>VIS-EGKR-BIO-S26-TASK-954-P004</x:v>
      </x:c>
      <x:c r="C61" s="110" t="str">
        <x:v>Биология</x:v>
      </x:c>
      <x:c r="D61" s="110" t="n">
        <x:v>13</x:v>
      </x:c>
      <x:c r="E61" s="110" t="str">
        <x:v>MANUAL_BBOX</x:v>
      </x:c>
      <x:c r="F61" s="110" t="str">
        <x:v>QA_APPROVED</x:v>
      </x:c>
      <x:c r="G61" s="110" t="str">
        <x:v>visual_gallery/assets/cropped/13953aa0f068fac3cd14c01300795766c4f879df9a5100ca2c3c86b1561dfb81.png</x:v>
      </x:c>
      <x:c r="H61" s="110" t="str">
        <x:v>13953aa0f068fac3cd14c01300795766c4f879df9a5100ca2c3c86b1561dfb81</x:v>
      </x:c>
      <x:c r="I61" s="110" t="str">
        <x:v>c7bb585f35e8ad09067f6dc3d4edad18c2e8033f96f725f2f27c1a612f88c95f</x:v>
      </x:c>
      <x:c r="J61" s="110" t="str">
        <x:v>[1148, 205, 1667, 555]</x:v>
      </x:c>
      <x:c r="K61" s="110" t="str"/>
      <x:c r="L61" s="30" t="str"/>
      <x:c r="M61" s="110" t="e">
        <x:f>HYPERLINK("visual_gallery/index.html#EGKR-S26-BIO-954-13--VIS-EGKR-BIO-S26-TASK-954-P004","Галерея")</x:f>
      </x:c>
    </x:row>
    <x:row r="62" ht="24" customHeight="1">
      <x:c r="A62" s="110" t="str">
        <x:v>EGKR-S26-BIO-954-24</x:v>
      </x:c>
      <x:c r="B62" s="110" t="str">
        <x:v>VIS-EGKR-BIO-S26-TASK-954-P008</x:v>
      </x:c>
      <x:c r="C62" s="110" t="str">
        <x:v>Биология</x:v>
      </x:c>
      <x:c r="D62" s="110" t="n">
        <x:v>24</x:v>
      </x:c>
      <x:c r="E62" s="110" t="str">
        <x:v>MANUAL_BBOX</x:v>
      </x:c>
      <x:c r="F62" s="110" t="str">
        <x:v>QA_APPROVED</x:v>
      </x:c>
      <x:c r="G62" s="110" t="str">
        <x:v>visual_gallery/assets/cropped/39645b7fd6d15b11b552554880c9a99bfa1dcaa97624a72f319d3250a26c3a7f.png</x:v>
      </x:c>
      <x:c r="H62" s="110" t="str">
        <x:v>39645b7fd6d15b11b552554880c9a99bfa1dcaa97624a72f319d3250a26c3a7f</x:v>
      </x:c>
      <x:c r="I62" s="110" t="str">
        <x:v>b99808581b726f13a4873875721121921dfa26259a6b4b9b75a4805becd8da34</x:v>
      </x:c>
      <x:c r="J62" s="110" t="str">
        <x:v>[695, 175, 980, 450]</x:v>
      </x:c>
      <x:c r="K62" s="110" t="str"/>
      <x:c r="L62" s="30" t="str">
        <x:v>Final QA fix: select the cell-division figure for task 24 instead of the genetic-code table from task 27.</x:v>
      </x:c>
      <x:c r="M62" s="110" t="e">
        <x:f>HYPERLINK("visual_gallery/index.html#EGKR-S26-BIO-954-24--VIS-EGKR-BIO-S26-TASK-954-P008","Галерея")</x:f>
      </x:c>
    </x:row>
    <x:row r="63" ht="24" customHeight="1">
      <x:c r="A63" s="110" t="str">
        <x:v>EGKR-S26-BIO-955-05</x:v>
      </x:c>
      <x:c r="B63" s="110" t="str">
        <x:v>VIS-EGKR-BIO-S26-TASK-955-P002</x:v>
      </x:c>
      <x:c r="C63" s="110" t="str">
        <x:v>Биология</x:v>
      </x:c>
      <x:c r="D63" s="110" t="n">
        <x:v>5</x:v>
      </x:c>
      <x:c r="E63" s="110" t="str">
        <x:v>USE_TIGHT</x:v>
      </x:c>
      <x:c r="F63" s="110" t="str">
        <x:v>QA_APPROVED</x:v>
      </x:c>
      <x:c r="G63" s="110" t="str">
        <x:v>visual_gallery/assets/cropped/57744da8355fff5422f783e83da20714b4e59de75522fab367b08c82ba13c6fb.png</x:v>
      </x:c>
      <x:c r="H63" s="110" t="str">
        <x:v>57744da8355fff5422f783e83da20714b4e59de75522fab367b08c82ba13c6fb</x:v>
      </x:c>
      <x:c r="I63" s="110" t="str">
        <x:v>f52e7fc814190d5f42a5ce0d42283b83532e2fed19e42d362e83fa4c388ce464</x:v>
      </x:c>
      <x:c r="J63" s="110" t="str"/>
      <x:c r="K63" s="110" t="str"/>
      <x:c r="L63" s="30" t="str"/>
      <x:c r="M63" s="110" t="e">
        <x:f>HYPERLINK("visual_gallery/index.html#EGKR-S26-BIO-955-05--VIS-EGKR-BIO-S26-TASK-955-P002","Галерея")</x:f>
      </x:c>
    </x:row>
    <x:row r="64" ht="24" customHeight="1">
      <x:c r="A64" s="110" t="str">
        <x:v>EGKR-S26-BIO-956-09</x:v>
      </x:c>
      <x:c r="B64" s="110" t="str">
        <x:v>VIS-EGKR-BIO-S26-TASK-956-P003</x:v>
      </x:c>
      <x:c r="C64" s="110" t="str">
        <x:v>Биология</x:v>
      </x:c>
      <x:c r="D64" s="110" t="n">
        <x:v>9</x:v>
      </x:c>
      <x:c r="E64" s="110" t="str">
        <x:v>USE_TIGHT</x:v>
      </x:c>
      <x:c r="F64" s="110" t="str">
        <x:v>QA_APPROVED</x:v>
      </x:c>
      <x:c r="G64" s="110" t="str">
        <x:v>visual_gallery/assets/cropped/762d88874dc556fa4d214559bc2d6b4b1a815b9f55b20af6adfe3208f39afbce.png</x:v>
      </x:c>
      <x:c r="H64" s="110" t="str">
        <x:v>762d88874dc556fa4d214559bc2d6b4b1a815b9f55b20af6adfe3208f39afbce</x:v>
      </x:c>
      <x:c r="I64" s="110" t="str">
        <x:v>c8b8253b20d6d1c346dc4769e3e5cc87edf0c11f24c04fe8c0b72d0882df0160</x:v>
      </x:c>
      <x:c r="J64" s="110" t="str"/>
      <x:c r="K64" s="110" t="str"/>
      <x:c r="L64" s="30" t="str"/>
      <x:c r="M64" s="110" t="e">
        <x:f>HYPERLINK("visual_gallery/index.html#EGKR-S26-BIO-956-09--VIS-EGKR-BIO-S26-TASK-956-P003","Галерея")</x:f>
      </x:c>
    </x:row>
    <x:row r="65" ht="24" customHeight="1">
      <x:c r="A65" s="110" t="str">
        <x:v>EGKR-S26-BIO-956-13</x:v>
      </x:c>
      <x:c r="B65" s="110" t="str">
        <x:v>VIS-EGKR-BIO-S26-TASK-956-P004</x:v>
      </x:c>
      <x:c r="C65" s="110" t="str">
        <x:v>Биология</x:v>
      </x:c>
      <x:c r="D65" s="110" t="n">
        <x:v>13</x:v>
      </x:c>
      <x:c r="E65" s="110" t="str">
        <x:v>USE_TIGHT</x:v>
      </x:c>
      <x:c r="F65" s="110" t="str">
        <x:v>QA_APPROVED</x:v>
      </x:c>
      <x:c r="G65" s="110" t="str">
        <x:v>visual_gallery/assets/cropped/5b57917bd87b5989a0da2319e8b2f8884cf92aba07f4155bf21af893a9937ce4.png</x:v>
      </x:c>
      <x:c r="H65" s="110" t="str">
        <x:v>5b57917bd87b5989a0da2319e8b2f8884cf92aba07f4155bf21af893a9937ce4</x:v>
      </x:c>
      <x:c r="I65" s="110" t="str">
        <x:v>2c6961bf86120058912ee47da157b4661c3814a0669a435530e907e426ce6df0</x:v>
      </x:c>
      <x:c r="J65" s="110" t="str"/>
      <x:c r="K65" s="110" t="str"/>
      <x:c r="L65" s="30" t="str"/>
      <x:c r="M65" s="110" t="e">
        <x:f>HYPERLINK("visual_gallery/index.html#EGKR-S26-BIO-956-13--VIS-EGKR-BIO-S26-TASK-956-P004","Галерея")</x:f>
      </x:c>
    </x:row>
    <x:row r="66" ht="24" customHeight="1">
      <x:c r="A66" s="110" t="str">
        <x:v>EGKR-W25-BIO-952-01</x:v>
      </x:c>
      <x:c r="B66" s="110" t="str">
        <x:v>VIS-EGKR-BIO-W25-TASK-952-P002</x:v>
      </x:c>
      <x:c r="C66" s="110" t="str">
        <x:v>Биология</x:v>
      </x:c>
      <x:c r="D66" s="110" t="n">
        <x:v>1</x:v>
      </x:c>
      <x:c r="E66" s="110" t="str">
        <x:v>USE_TIGHT</x:v>
      </x:c>
      <x:c r="F66" s="110" t="str">
        <x:v>QA_APPROVED</x:v>
      </x:c>
      <x:c r="G66" s="110" t="str">
        <x:v>visual_gallery/assets/cropped/dea147e53e903a055b05379075479d1bfcdc1815bea0ac22996a22d6c15d37f8.png</x:v>
      </x:c>
      <x:c r="H66" s="110" t="str">
        <x:v>dea147e53e903a055b05379075479d1bfcdc1815bea0ac22996a22d6c15d37f8</x:v>
      </x:c>
      <x:c r="I66" s="110" t="str">
        <x:v>7a88559e0cd2d2e7141a0f9f88caebbb42e8d9116109f086eb600695751f7481</x:v>
      </x:c>
      <x:c r="J66" s="110" t="str"/>
      <x:c r="K66" s="110" t="str"/>
      <x:c r="L66" s="30" t="str"/>
      <x:c r="M66" s="110" t="e">
        <x:f>HYPERLINK("visual_gallery/index.html#EGKR-W25-BIO-952-01--VIS-EGKR-BIO-W25-TASK-952-P002","Галерея")</x:f>
      </x:c>
    </x:row>
    <x:row r="67" ht="24" customHeight="1">
      <x:c r="A67" s="110" t="str">
        <x:v>EGKR-W25-BIO-952-07</x:v>
      </x:c>
      <x:c r="B67" s="110" t="str">
        <x:v>VIS-EGKR-BIO-W25-TASK-952-P004</x:v>
      </x:c>
      <x:c r="C67" s="110" t="str">
        <x:v>Биология</x:v>
      </x:c>
      <x:c r="D67" s="110" t="n">
        <x:v>7</x:v>
      </x:c>
      <x:c r="E67" s="110" t="str">
        <x:v>USE_TIGHT</x:v>
      </x:c>
      <x:c r="F67" s="110" t="str">
        <x:v>QA_APPROVED</x:v>
      </x:c>
      <x:c r="G67" s="110" t="str">
        <x:v>visual_gallery/assets/cropped/964965d93f310f28eab20281fa84a5b05b4a1e3cb7651546d94526051520ba0e.png</x:v>
      </x:c>
      <x:c r="H67" s="110" t="str">
        <x:v>964965d93f310f28eab20281fa84a5b05b4a1e3cb7651546d94526051520ba0e</x:v>
      </x:c>
      <x:c r="I67" s="110" t="str">
        <x:v>f939aa36063f12907a26a5ad10be2aa269c7b3054551dc484b195a7943ce6fc5</x:v>
      </x:c>
      <x:c r="J67" s="110" t="str"/>
      <x:c r="K67" s="110" t="str"/>
      <x:c r="L67" s="30" t="str"/>
      <x:c r="M67" s="110" t="e">
        <x:f>HYPERLINK("visual_gallery/index.html#EGKR-W25-BIO-952-07--VIS-EGKR-BIO-W25-TASK-952-P004","Галерея")</x:f>
      </x:c>
    </x:row>
    <x:row r="68" ht="24" customHeight="1">
      <x:c r="A68" s="110" t="str">
        <x:v>EGKR-W25-BIO-952-21</x:v>
      </x:c>
      <x:c r="B68" s="110" t="str">
        <x:v>VIS-EGKR-BIO-W25-TASK-952-P011</x:v>
      </x:c>
      <x:c r="C68" s="110" t="str">
        <x:v>Биология</x:v>
      </x:c>
      <x:c r="D68" s="110" t="n">
        <x:v>21</x:v>
      </x:c>
      <x:c r="E68" s="110" t="str">
        <x:v>USE_CONTEXT</x:v>
      </x:c>
      <x:c r="F68" s="110" t="str">
        <x:v>QA_APPROVED</x:v>
      </x:c>
      <x:c r="G68" s="110" t="str">
        <x:v>visual_gallery/assets/cropped/36d130fb34e1d05e3e77a56e782c0e7ebba9a6c41e9d489bc235d3349edbd58f.png</x:v>
      </x:c>
      <x:c r="H68" s="110" t="str">
        <x:v>36d130fb34e1d05e3e77a56e782c0e7ebba9a6c41e9d489bc235d3349edbd58f</x:v>
      </x:c>
      <x:c r="I68" s="110" t="str">
        <x:v>2259b97615f1474bc0d158645886e69b169766b0fe837a8cbfd97f1efc34c7c6</x:v>
      </x:c>
      <x:c r="J68" s="110" t="str"/>
      <x:c r="K68" s="110" t="str"/>
      <x:c r="L68" s="30" t="str"/>
      <x:c r="M68" s="110" t="e">
        <x:f>HYPERLINK("visual_gallery/index.html#EGKR-W25-BIO-952-21--VIS-EGKR-BIO-W25-TASK-952-P011","Галерея")</x:f>
      </x:c>
    </x:row>
    <x:row r="69" ht="24" customHeight="1">
      <x:c r="A69" s="110" t="str">
        <x:v>EGKR-W25-BIO-953-01</x:v>
      </x:c>
      <x:c r="B69" s="110" t="str">
        <x:v>VIS-EGKR-BIO-W25-TASK-953-P002</x:v>
      </x:c>
      <x:c r="C69" s="110" t="str">
        <x:v>Биология</x:v>
      </x:c>
      <x:c r="D69" s="110" t="n">
        <x:v>1</x:v>
      </x:c>
      <x:c r="E69" s="110" t="str">
        <x:v>USE_TIGHT</x:v>
      </x:c>
      <x:c r="F69" s="110" t="str">
        <x:v>QA_APPROVED</x:v>
      </x:c>
      <x:c r="G69" s="110" t="str">
        <x:v>visual_gallery/assets/cropped/79d157e4e25ec689f9d8d5c7c66521d00e487d10ba2498f154b43a8431b46210.png</x:v>
      </x:c>
      <x:c r="H69" s="110" t="str">
        <x:v>79d157e4e25ec689f9d8d5c7c66521d00e487d10ba2498f154b43a8431b46210</x:v>
      </x:c>
      <x:c r="I69" s="110" t="str">
        <x:v>f1be9d043e5cf72e7ac3d617c8a0cc57002e3977f9b9650be7efb28c8854f74a</x:v>
      </x:c>
      <x:c r="J69" s="110" t="str"/>
      <x:c r="K69" s="110" t="str"/>
      <x:c r="L69" s="30" t="str"/>
      <x:c r="M69" s="110" t="e">
        <x:f>HYPERLINK("visual_gallery/index.html#EGKR-W25-BIO-953-01--VIS-EGKR-BIO-W25-TASK-953-P002","Галерея")</x:f>
      </x:c>
    </x:row>
    <x:row r="70" ht="24" customHeight="1">
      <x:c r="A70" s="110" t="str">
        <x:v>EGKR-W25-BIO-953-06</x:v>
      </x:c>
      <x:c r="B70" s="110" t="str">
        <x:v>VIS-EGKR-BIO-W25-TASK-953-P003</x:v>
      </x:c>
      <x:c r="C70" s="110" t="str">
        <x:v>Биология</x:v>
      </x:c>
      <x:c r="D70" s="110" t="n">
        <x:v>6</x:v>
      </x:c>
      <x:c r="E70" s="110" t="str">
        <x:v>USE_TIGHT</x:v>
      </x:c>
      <x:c r="F70" s="110" t="str">
        <x:v>QA_APPROVED</x:v>
      </x:c>
      <x:c r="G70" s="110" t="str">
        <x:v>visual_gallery/assets/cropped/86bed779efb5791f0487be2006ba56841aa0f504382ef816f53746f93c092edf.png</x:v>
      </x:c>
      <x:c r="H70" s="110" t="str">
        <x:v>86bed779efb5791f0487be2006ba56841aa0f504382ef816f53746f93c092edf</x:v>
      </x:c>
      <x:c r="I70" s="110" t="str">
        <x:v>ada3e944efac5e71f7b479090f54ece31d96d58635f498754969f504c7894d64</x:v>
      </x:c>
      <x:c r="J70" s="110" t="str"/>
      <x:c r="K70" s="110" t="str"/>
      <x:c r="L70" s="30" t="str"/>
      <x:c r="M70" s="110" t="e">
        <x:f>HYPERLINK("visual_gallery/index.html#EGKR-W25-BIO-953-06--VIS-EGKR-BIO-W25-TASK-953-P003","Галерея")</x:f>
      </x:c>
    </x:row>
    <x:row r="71" ht="24" customHeight="1">
      <x:c r="A71" s="110" t="str">
        <x:v>EGKR-W25-BIO-953-07</x:v>
      </x:c>
      <x:c r="B71" s="110" t="str">
        <x:v>VIS-EGKR-BIO-W25-TASK-953-P004</x:v>
      </x:c>
      <x:c r="C71" s="110" t="str">
        <x:v>Биология</x:v>
      </x:c>
      <x:c r="D71" s="110" t="n">
        <x:v>7</x:v>
      </x:c>
      <x:c r="E71" s="110" t="str">
        <x:v>USE_CONTEXT</x:v>
      </x:c>
      <x:c r="F71" s="110" t="str">
        <x:v>QA_APPROVED</x:v>
      </x:c>
      <x:c r="G71" s="110" t="str">
        <x:v>visual_gallery/assets/cropped/104a45b7f11767a28a3fde8daf0e6f4cce8b9c2d7359c02ac646f67f36b1a30e.png</x:v>
      </x:c>
      <x:c r="H71" s="110" t="str">
        <x:v>104a45b7f11767a28a3fde8daf0e6f4cce8b9c2d7359c02ac646f67f36b1a30e</x:v>
      </x:c>
      <x:c r="I71" s="110" t="str">
        <x:v>380fdad667fcdb4adbc9bc4553e96bfee12a75a3e86fdcd00910c8640f5f761c</x:v>
      </x:c>
      <x:c r="J71" s="110" t="str"/>
      <x:c r="K71" s="110" t="str"/>
      <x:c r="L71" s="30" t="str"/>
      <x:c r="M71" s="110" t="e">
        <x:f>HYPERLINK("visual_gallery/index.html#EGKR-W25-BIO-953-07--VIS-EGKR-BIO-W25-TASK-953-P004","Галерея")</x:f>
      </x:c>
    </x:row>
    <x:row r="72" ht="24" customHeight="1">
      <x:c r="A72" s="110" t="str">
        <x:v>EGKR-S26-GEO-954-04</x:v>
      </x:c>
      <x:c r="B72" s="110" t="str">
        <x:v>VIS-EGKR-GEO-S26-TASK-954-P003</x:v>
      </x:c>
      <x:c r="C72" s="110" t="str">
        <x:v>География</x:v>
      </x:c>
      <x:c r="D72" s="110" t="n">
        <x:v>4</x:v>
      </x:c>
      <x:c r="E72" s="110" t="str">
        <x:v>USE_TIGHT</x:v>
      </x:c>
      <x:c r="F72" s="110" t="str">
        <x:v>QA_APPROVED</x:v>
      </x:c>
      <x:c r="G72" s="110" t="str">
        <x:v>visual_gallery/assets/cropped/f79879ef3ed4c7236768e39412af0439630a38143d8ed514226249c893c311c2.png</x:v>
      </x:c>
      <x:c r="H72" s="110" t="str">
        <x:v>f79879ef3ed4c7236768e39412af0439630a38143d8ed514226249c893c311c2</x:v>
      </x:c>
      <x:c r="I72" s="110" t="str">
        <x:v>466e88d8dd56db73afda298ebe2dab2e00ea0a387f9a9c8b4363af2cf9c45f89</x:v>
      </x:c>
      <x:c r="J72" s="110" t="str"/>
      <x:c r="K72" s="110" t="str"/>
      <x:c r="L72" s="30" t="str"/>
      <x:c r="M72" s="110" t="e">
        <x:f>HYPERLINK("visual_gallery/index.html#EGKR-S26-GEO-954-04--VIS-EGKR-GEO-S26-TASK-954-P003","Галерея")</x:f>
      </x:c>
    </x:row>
    <x:row r="73" ht="24" customHeight="1">
      <x:c r="A73" s="110" t="str">
        <x:v>EGKR-S26-GEO-954-16</x:v>
      </x:c>
      <x:c r="B73" s="110" t="str">
        <x:v>VIS-EGKR-GEO-S26-TASK-954-P008</x:v>
      </x:c>
      <x:c r="C73" s="110" t="str">
        <x:v>География</x:v>
      </x:c>
      <x:c r="D73" s="110" t="n">
        <x:v>16</x:v>
      </x:c>
      <x:c r="E73" s="110" t="str">
        <x:v>MANUAL_BBOX</x:v>
      </x:c>
      <x:c r="F73" s="110" t="str">
        <x:v>QA_APPROVED</x:v>
      </x:c>
      <x:c r="G73" s="110" t="str">
        <x:v>visual_gallery/assets/cropped/a6774998813d47f78e2a4258c21acefc8f084eb2288de7ae4804987066af361a.png</x:v>
      </x:c>
      <x:c r="H73" s="110" t="str">
        <x:v>a6774998813d47f78e2a4258c21acefc8f084eb2288de7ae4804987066af361a</x:v>
      </x:c>
      <x:c r="I73" s="110" t="str">
        <x:v>e06f29ecd7eb5d840394513924adc21b959c6515ecdc97c9f4ebfa2d09fe5bf0</x:v>
      </x:c>
      <x:c r="J73" s="110" t="str">
        <x:v>[145, 285, 1060, 915]</x:v>
      </x:c>
      <x:c r="K73" s="110" t="str"/>
      <x:c r="L73" s="30" t="str">
        <x:v>Final QA fix: preserve the complete migration diagram, arrived/departed labels, title and legend.</x:v>
      </x:c>
      <x:c r="M73" s="110" t="e">
        <x:f>HYPERLINK("visual_gallery/index.html#EGKR-S26-GEO-954-16--VIS-EGKR-GEO-S26-TASK-954-P008","Галерея")</x:f>
      </x:c>
    </x:row>
    <x:row r="74" ht="24" customHeight="1">
      <x:c r="A74" s="110" t="str">
        <x:v>EGKR-S26-GEO-955-04</x:v>
      </x:c>
      <x:c r="B74" s="110" t="str">
        <x:v>VIS-EGKR-GEO-S26-TASK-955-P003</x:v>
      </x:c>
      <x:c r="C74" s="110" t="str">
        <x:v>География</x:v>
      </x:c>
      <x:c r="D74" s="110" t="n">
        <x:v>4</x:v>
      </x:c>
      <x:c r="E74" s="110" t="str">
        <x:v>MANUAL_BBOX</x:v>
      </x:c>
      <x:c r="F74" s="110" t="str">
        <x:v>QA_APPROVED</x:v>
      </x:c>
      <x:c r="G74" s="110" t="str">
        <x:v>visual_gallery/assets/cropped/dd15d9d888e0d7002a93ef9ab2f784bb26709fbe90ed9a624c64064275366101.png</x:v>
      </x:c>
      <x:c r="H74" s="110" t="str">
        <x:v>dd15d9d888e0d7002a93ef9ab2f784bb26709fbe90ed9a624c64064275366101</x:v>
      </x:c>
      <x:c r="I74" s="110" t="str">
        <x:v>e2d34a2b4e26fec39ccfe7daaa3c4f8d14e74c1c34377176e23311ff9500eaa9</x:v>
      </x:c>
      <x:c r="J74" s="110" t="str">
        <x:v>[171, 220, 1041, 571]</x:v>
      </x:c>
      <x:c r="K74" s="110" t="str"/>
      <x:c r="L74" s="30" t="str"/>
      <x:c r="M74" s="110" t="e">
        <x:f>HYPERLINK("visual_gallery/index.html#EGKR-S26-GEO-955-04--VIS-EGKR-GEO-S26-TASK-955-P003","Галерея")</x:f>
      </x:c>
    </x:row>
    <x:row r="75" ht="24" customHeight="1">
      <x:c r="A75" s="110" t="str">
        <x:v>EGKR-S26-GEO-955-16</x:v>
      </x:c>
      <x:c r="B75" s="110" t="str">
        <x:v>VIS-EGKR-GEO-S26-TASK-955-P008</x:v>
      </x:c>
      <x:c r="C75" s="110" t="str">
        <x:v>География</x:v>
      </x:c>
      <x:c r="D75" s="110" t="n">
        <x:v>16</x:v>
      </x:c>
      <x:c r="E75" s="110" t="str">
        <x:v>MANUAL_BBOX</x:v>
      </x:c>
      <x:c r="F75" s="110" t="str">
        <x:v>QA_APPROVED</x:v>
      </x:c>
      <x:c r="G75" s="110" t="str">
        <x:v>visual_gallery/assets/cropped/07e49b733694af35e5c40a5d8c93ffb8e23c8c16475847ec6ed556cb5b8b9b66.png</x:v>
      </x:c>
      <x:c r="H75" s="110" t="str">
        <x:v>07e49b733694af35e5c40a5d8c93ffb8e23c8c16475847ec6ed556cb5b8b9b66</x:v>
      </x:c>
      <x:c r="I75" s="110" t="str">
        <x:v>72008aa91ab8fa619b688a9c9dd36050e1624caa665874d99bda2ee47075fb03</x:v>
      </x:c>
      <x:c r="J75" s="110" t="str">
        <x:v>[238, 345, 1082, 808]</x:v>
      </x:c>
      <x:c r="K75" s="110" t="str"/>
      <x:c r="L75" s="30" t="str"/>
      <x:c r="M75" s="110" t="e">
        <x:f>HYPERLINK("visual_gallery/index.html#EGKR-S26-GEO-955-16--VIS-EGKR-GEO-S26-TASK-955-P008","Галерея")</x:f>
      </x:c>
    </x:row>
    <x:row r="76" ht="24" customHeight="1">
      <x:c r="A76" s="110" t="str">
        <x:v>EGKR-S26-GEO-956-04</x:v>
      </x:c>
      <x:c r="B76" s="110" t="str">
        <x:v>VIS-EGKR-GEO-S26-TASK-956-P003</x:v>
      </x:c>
      <x:c r="C76" s="110" t="str">
        <x:v>География</x:v>
      </x:c>
      <x:c r="D76" s="110" t="n">
        <x:v>4</x:v>
      </x:c>
      <x:c r="E76" s="110" t="str">
        <x:v>MANUAL_BBOX</x:v>
      </x:c>
      <x:c r="F76" s="110" t="str">
        <x:v>QA_APPROVED</x:v>
      </x:c>
      <x:c r="G76" s="110" t="str">
        <x:v>visual_gallery/assets/cropped/3055d069718432afc19ae33be3a30490e1974ed86d61dc32663d8e1d81464df1.png</x:v>
      </x:c>
      <x:c r="H76" s="110" t="str">
        <x:v>3055d069718432afc19ae33be3a30490e1974ed86d61dc32663d8e1d81464df1</x:v>
      </x:c>
      <x:c r="I76" s="110" t="str">
        <x:v>9060959476d252a44bf2a75cef0119bee9e0c8e7641fec4867ecb30ad5f8ad30</x:v>
      </x:c>
      <x:c r="J76" s="110" t="str">
        <x:v>[182, 227, 1119, 694]</x:v>
      </x:c>
      <x:c r="K76" s="110" t="str"/>
      <x:c r="L76" s="30" t="str"/>
      <x:c r="M76" s="110" t="e">
        <x:f>HYPERLINK("visual_gallery/index.html#EGKR-S26-GEO-956-04--VIS-EGKR-GEO-S26-TASK-956-P003","Галерея")</x:f>
      </x:c>
    </x:row>
    <x:row r="77" ht="24" customHeight="1">
      <x:c r="A77" s="110" t="str">
        <x:v>EGKR-S26-GEO-956-11</x:v>
      </x:c>
      <x:c r="B77" s="110" t="str">
        <x:v>VIS-EGKR-GEO-S26-TASK-956-P006</x:v>
      </x:c>
      <x:c r="C77" s="110" t="str">
        <x:v>География</x:v>
      </x:c>
      <x:c r="D77" s="110" t="n">
        <x:v>11</x:v>
      </x:c>
      <x:c r="E77" s="110" t="str">
        <x:v>MANUAL_BBOX</x:v>
      </x:c>
      <x:c r="F77" s="110" t="str">
        <x:v>QA_APPROVED</x:v>
      </x:c>
      <x:c r="G77" s="110" t="str">
        <x:v>visual_gallery/assets/cropped/acdb64a6df402033169b0cca2a50e01b8c073a0a066fe335193397cfdb462244.png</x:v>
      </x:c>
      <x:c r="H77" s="110" t="str">
        <x:v>acdb64a6df402033169b0cca2a50e01b8c073a0a066fe335193397cfdb462244</x:v>
      </x:c>
      <x:c r="I77" s="110" t="str">
        <x:v>8e8e010251b4cedf057d9ec6b61098c21d3a2c286c2cadc9cf83e897f76da4a2</x:v>
      </x:c>
      <x:c r="J77" s="110" t="str">
        <x:v>[150, 225, 900, 715]</x:v>
      </x:c>
      <x:c r="K77" s="110" t="str"/>
      <x:c r="L77" s="30" t="str">
        <x:v>Final QA fix: preserve the map together with scale and contour-interval legend.</x:v>
      </x:c>
      <x:c r="M77" s="110" t="e">
        <x:f>HYPERLINK("visual_gallery/index.html#EGKR-S26-GEO-956-11--VIS-EGKR-GEO-S26-TASK-956-P006","Галерея")</x:f>
      </x:c>
    </x:row>
    <x:row r="78" ht="24" customHeight="1">
      <x:c r="A78" s="110" t="str">
        <x:v>EGKR-S26-GEO-956-16</x:v>
      </x:c>
      <x:c r="B78" s="110" t="str">
        <x:v>VIS-EGKR-GEO-S26-TASK-956-P008</x:v>
      </x:c>
      <x:c r="C78" s="110" t="str">
        <x:v>География</x:v>
      </x:c>
      <x:c r="D78" s="110" t="n">
        <x:v>16</x:v>
      </x:c>
      <x:c r="E78" s="110" t="str">
        <x:v>MANUAL_BBOX</x:v>
      </x:c>
      <x:c r="F78" s="110" t="str">
        <x:v>QA_APPROVED</x:v>
      </x:c>
      <x:c r="G78" s="110" t="str">
        <x:v>visual_gallery/assets/cropped/4336f197baa54b332b3f816c3395c3b80fb0b17edbc8ee1627641a589a4b1130.png</x:v>
      </x:c>
      <x:c r="H78" s="110" t="str">
        <x:v>4336f197baa54b332b3f816c3395c3b80fb0b17edbc8ee1627641a589a4b1130</x:v>
      </x:c>
      <x:c r="I78" s="110" t="str">
        <x:v>8cb55e1372e723e1ad64cbfb9ce6c1bdcbcff37f6f79e37e0d4430edb11e30ed</x:v>
      </x:c>
      <x:c r="J78" s="110" t="str">
        <x:v>[195, 311, 1100, 815]</x:v>
      </x:c>
      <x:c r="K78" s="110" t="str"/>
      <x:c r="L78" s="30" t="str"/>
      <x:c r="M78" s="110" t="e">
        <x:f>HYPERLINK("visual_gallery/index.html#EGKR-S26-GEO-956-16--VIS-EGKR-GEO-S26-TASK-956-P008","Галерея")</x:f>
      </x:c>
    </x:row>
    <x:row r="79" ht="24" customHeight="1">
      <x:c r="A79" s="110" t="str">
        <x:v>NOV-GEO-V1-016</x:v>
      </x:c>
      <x:c r="B79" s="110" t="str">
        <x:v>VIS-GEO-NOV-008</x:v>
      </x:c>
      <x:c r="C79" s="110" t="str">
        <x:v>География</x:v>
      </x:c>
      <x:c r="D79" s="110" t="n">
        <x:v>16</x:v>
      </x:c>
      <x:c r="E79" s="110" t="str">
        <x:v>MANUAL_BBOX</x:v>
      </x:c>
      <x:c r="F79" s="110" t="str">
        <x:v>QA_APPROVED</x:v>
      </x:c>
      <x:c r="G79" s="110" t="str">
        <x:v>visual_gallery/assets/cropped/aea474bba7776392e18fc6865458f1c1b6eb717f1c0d88f1c697914f0f8d6cf3.png</x:v>
      </x:c>
      <x:c r="H79" s="110" t="str">
        <x:v>aea474bba7776392e18fc6865458f1c1b6eb717f1c0d88f1c697914f0f8d6cf3</x:v>
      </x:c>
      <x:c r="I79" s="110" t="str">
        <x:v>a401439fc547420a6d72cedee39e4559e6268d699a9b6937fc9664383d35a99f</x:v>
      </x:c>
      <x:c r="J79" s="110" t="str">
        <x:v>[164, 661, 1067, 959]</x:v>
      </x:c>
      <x:c r="K79" s="110" t="str"/>
      <x:c r="L79" s="30" t="str"/>
      <x:c r="M79" s="110" t="e">
        <x:f>HYPERLINK("visual_gallery/index.html#NOV-GEO-V1-016--VIS-GEO-NOV-008","Галерея")</x:f>
      </x:c>
    </x:row>
    <x:row r="80" ht="24" customHeight="1">
      <x:c r="A80" s="110" t="str">
        <x:v>NOV-GEO-V1-029</x:v>
      </x:c>
      <x:c r="B80" s="110" t="str">
        <x:v>VIS-GEO-NOV-013</x:v>
      </x:c>
      <x:c r="C80" s="110" t="str">
        <x:v>География</x:v>
      </x:c>
      <x:c r="D80" s="110" t="n">
        <x:v>29</x:v>
      </x:c>
      <x:c r="E80" s="110" t="str">
        <x:v>MANUAL_BBOX</x:v>
      </x:c>
      <x:c r="F80" s="110" t="str">
        <x:v>QA_APPROVED</x:v>
      </x:c>
      <x:c r="G80" s="110" t="str">
        <x:v>visual_gallery/assets/cropped/405a7f77681ff273eeb2f041fcefe85cfeaf058ebdee1029a9fa5e23cb142114.png</x:v>
      </x:c>
      <x:c r="H80" s="110" t="str">
        <x:v>405a7f77681ff273eeb2f041fcefe85cfeaf058ebdee1029a9fa5e23cb142114</x:v>
      </x:c>
      <x:c r="I80" s="110" t="str">
        <x:v>79e1d3794eb1ea99d892ee1dad69dcc2bc193c7bb6312a9ecdf121ca7107c179</x:v>
      </x:c>
      <x:c r="J80" s="110" t="str">
        <x:v>[130, 1225, 1080, 1425]</x:v>
      </x:c>
      <x:c r="K80" s="110" t="str"/>
      <x:c r="L80" s="30" t="str">
        <x:v>Final QA fix: select the monthly temperature and precipitation table for task 29 instead of the map from task 27.</x:v>
      </x:c>
      <x:c r="M80" s="110" t="e">
        <x:f>HYPERLINK("visual_gallery/index.html#NOV-GEO-V1-029--VIS-GEO-NOV-013","Галерея")</x:f>
      </x:c>
    </x:row>
    <x:row r="81" ht="24" customHeight="1">
      <x:c r="A81" s="110" t="str">
        <x:v>DEC-INF-01-001</x:v>
      </x:c>
      <x:c r="B81" s="110" t="str">
        <x:v>VIS-INF-DEC-TASK-201-P003</x:v>
      </x:c>
      <x:c r="C81" s="110" t="str">
        <x:v>Информатика</x:v>
      </x:c>
      <x:c r="D81" s="110" t="n">
        <x:v>1</x:v>
      </x:c>
      <x:c r="E81" s="110" t="str">
        <x:v>USE_CONTEXT</x:v>
      </x:c>
      <x:c r="F81" s="110" t="str">
        <x:v>QA_APPROVED</x:v>
      </x:c>
      <x:c r="G81" s="110" t="str">
        <x:v>visual_gallery/assets/cropped/d50e46929b0eb55f84784c73de7d1541f2180f89162e7a3051ad245e76e7f68c.png</x:v>
      </x:c>
      <x:c r="H81" s="110" t="str">
        <x:v>d50e46929b0eb55f84784c73de7d1541f2180f89162e7a3051ad245e76e7f68c</x:v>
      </x:c>
      <x:c r="I81" s="110" t="str">
        <x:v>5b59d3a36421c6392afcbf1718dc97c444f112e1bb1d9bbc40a64fbd95f430a8</x:v>
      </x:c>
      <x:c r="J81" s="110" t="str"/>
      <x:c r="K81" s="110" t="str"/>
      <x:c r="L81" s="30" t="str"/>
      <x:c r="M81" s="110" t="e">
        <x:f>HYPERLINK("visual_gallery/index.html#DEC-INF-01-001--VIS-INF-DEC-TASK-201-P003","Галерея")</x:f>
      </x:c>
    </x:row>
    <x:row r="82" ht="24" customHeight="1">
      <x:c r="A82" s="110" t="str">
        <x:v>DEC-INF-01-003</x:v>
      </x:c>
      <x:c r="B82" s="110" t="str">
        <x:v>VIS-INF-DEC-TASK-201-P004</x:v>
      </x:c>
      <x:c r="C82" s="110" t="str">
        <x:v>Информатика</x:v>
      </x:c>
      <x:c r="D82" s="110" t="n">
        <x:v>3</x:v>
      </x:c>
      <x:c r="E82" s="110" t="str">
        <x:v>USE_CONTEXT</x:v>
      </x:c>
      <x:c r="F82" s="110" t="str">
        <x:v>QA_APPROVED</x:v>
      </x:c>
      <x:c r="G82" s="110" t="str">
        <x:v>visual_gallery/assets/cropped/e7be04e57ac8211463e8a6069844e8a671ae6b7de6b83b4b3ae16fc95c29e199.png</x:v>
      </x:c>
      <x:c r="H82" s="110" t="str">
        <x:v>e7be04e57ac8211463e8a6069844e8a671ae6b7de6b83b4b3ae16fc95c29e199</x:v>
      </x:c>
      <x:c r="I82" s="110" t="str">
        <x:v>31de8be739e472d22e0041ae2185540375079b4a76549a1daf60ceed9118c82d</x:v>
      </x:c>
      <x:c r="J82" s="110" t="str"/>
      <x:c r="K82" s="110" t="str"/>
      <x:c r="L82" s="30" t="str"/>
      <x:c r="M82" s="110" t="e">
        <x:f>HYPERLINK("visual_gallery/index.html#DEC-INF-01-003--VIS-INF-DEC-TASK-201-P004","Галерея")</x:f>
      </x:c>
    </x:row>
    <x:row r="83" ht="24" customHeight="1">
      <x:c r="A83" s="110" t="str">
        <x:v>DEC-INF-01-007</x:v>
      </x:c>
      <x:c r="B83" s="110" t="str">
        <x:v>VIS-INF-DEC-TASK-201-P006</x:v>
      </x:c>
      <x:c r="C83" s="110" t="str">
        <x:v>Информатика</x:v>
      </x:c>
      <x:c r="D83" s="110" t="n">
        <x:v>7</x:v>
      </x:c>
      <x:c r="E83" s="110" t="str">
        <x:v>NO_CROP_NEEDED</x:v>
      </x:c>
      <x:c r="F83" s="110" t="str">
        <x:v>KEEP_ORIGINAL_NO_CROP</x:v>
      </x:c>
      <x:c r="G83" s="110" t="str"/>
      <x:c r="H83" s="110" t="str"/>
      <x:c r="I83" s="110" t="str">
        <x:v>3d4df70537b2af471c4a80f324450d2effff509607e78f14a5efd7cb55e0d283</x:v>
      </x:c>
      <x:c r="J83" s="110" t="str"/>
      <x:c r="K83" s="110" t="str"/>
      <x:c r="L83" s="30" t="str">
        <x:v>Reviewer confirmed that task 7 requires no visual; the prior manual box captured content from task 6.</x:v>
      </x:c>
      <x:c r="M83" s="110" t="e">
        <x:f>HYPERLINK("visual_gallery/index.html#DEC-INF-01-007--VIS-INF-DEC-TASK-201-P006","Статус")</x:f>
      </x:c>
    </x:row>
    <x:row r="84" ht="24" customHeight="1">
      <x:c r="A84" s="110" t="str">
        <x:v>DEC-INF-01-022</x:v>
      </x:c>
      <x:c r="B84" s="110" t="str">
        <x:v>VIS-INF-DEC-TASK-201-P013</x:v>
      </x:c>
      <x:c r="C84" s="110" t="str">
        <x:v>Информатика</x:v>
      </x:c>
      <x:c r="D84" s="110" t="n">
        <x:v>22</x:v>
      </x:c>
      <x:c r="E84" s="110" t="str">
        <x:v>USE_TIGHT</x:v>
      </x:c>
      <x:c r="F84" s="110" t="str">
        <x:v>QA_APPROVED</x:v>
      </x:c>
      <x:c r="G84" s="110" t="str">
        <x:v>visual_gallery/assets/cropped/09a940f002eb0c82748f90f284f7eb05070e9d4af895ffdc634a2c386c5f3707.png</x:v>
      </x:c>
      <x:c r="H84" s="110" t="str">
        <x:v>09a940f002eb0c82748f90f284f7eb05070e9d4af895ffdc634a2c386c5f3707</x:v>
      </x:c>
      <x:c r="I84" s="110" t="str">
        <x:v>4251856eebfd71e7de8daf35852a386b6c35f300d23d0443a6f16dd667f1d609</x:v>
      </x:c>
      <x:c r="J84" s="110" t="str"/>
      <x:c r="K84" s="110" t="str"/>
      <x:c r="L84" s="30" t="str"/>
      <x:c r="M84" s="110" t="e">
        <x:f>HYPERLINK("visual_gallery/index.html#DEC-INF-01-022--VIS-INF-DEC-TASK-201-P013","Галерея")</x:f>
      </x:c>
    </x:row>
    <x:row r="85" ht="24" customHeight="1">
      <x:c r="A85" s="110" t="str">
        <x:v>DEC-INF-01-027</x:v>
      </x:c>
      <x:c r="B85" s="110" t="str">
        <x:v>VIS-INF-DEC-TASK-201-P016</x:v>
      </x:c>
      <x:c r="C85" s="110" t="str">
        <x:v>Информатика</x:v>
      </x:c>
      <x:c r="D85" s="110" t="n">
        <x:v>27</x:v>
      </x:c>
      <x:c r="E85" s="110" t="str">
        <x:v>MANUAL_BBOX</x:v>
      </x:c>
      <x:c r="F85" s="110" t="str">
        <x:v>QA_APPROVED</x:v>
      </x:c>
      <x:c r="G85" s="110" t="str">
        <x:v>visual_gallery/assets/cropped/11f47fd1ada8ea2def3985cf830b390f24a20a6ba7f135e8dd47b0a5245ead5c.png</x:v>
      </x:c>
      <x:c r="H85" s="110" t="str">
        <x:v>11f47fd1ada8ea2def3985cf830b390f24a20a6ba7f135e8dd47b0a5245ead5c</x:v>
      </x:c>
      <x:c r="I85" s="110" t="str">
        <x:v>cbf18ac120877374cdfeb6928e5e38eabfb2d6e73f96d307be7cecd3f4194a89</x:v>
      </x:c>
      <x:c r="J85" s="110" t="str">
        <x:v>[431, 654, 765, 737]</x:v>
      </x:c>
      <x:c r="K85" s="110" t="str"/>
      <x:c r="L85" s="30" t="str">
        <x:v>формулы он находить не умеет</x:v>
      </x:c>
      <x:c r="M85" s="110" t="e">
        <x:f>HYPERLINK("visual_gallery/index.html#DEC-INF-01-027--VIS-INF-DEC-TASK-201-P016","Галерея")</x:f>
      </x:c>
    </x:row>
    <x:row r="86" ht="24" customHeight="1">
      <x:c r="A86" s="110" t="str">
        <x:v>DEC-INF-02-001</x:v>
      </x:c>
      <x:c r="B86" s="110" t="str">
        <x:v>VIS-INF-DEC-TASK-202-P003</x:v>
      </x:c>
      <x:c r="C86" s="110" t="str">
        <x:v>Информатика</x:v>
      </x:c>
      <x:c r="D86" s="110" t="n">
        <x:v>1</x:v>
      </x:c>
      <x:c r="E86" s="110" t="str">
        <x:v>USE_TIGHT</x:v>
      </x:c>
      <x:c r="F86" s="110" t="str">
        <x:v>QA_APPROVED</x:v>
      </x:c>
      <x:c r="G86" s="110" t="str">
        <x:v>visual_gallery/assets/cropped/d50e46929b0eb55f84784c73de7d1541f2180f89162e7a3051ad245e76e7f68c.png</x:v>
      </x:c>
      <x:c r="H86" s="110" t="str">
        <x:v>d50e46929b0eb55f84784c73de7d1541f2180f89162e7a3051ad245e76e7f68c</x:v>
      </x:c>
      <x:c r="I86" s="110" t="str">
        <x:v>1d1f6d96e294ee7657f58d25cf988f5d234466562ec6421642c7999c08f4154c</x:v>
      </x:c>
      <x:c r="J86" s="110" t="str"/>
      <x:c r="K86" s="110" t="str"/>
      <x:c r="L86" s="30" t="str"/>
      <x:c r="M86" s="110" t="e">
        <x:f>HYPERLINK("visual_gallery/index.html#DEC-INF-02-001--VIS-INF-DEC-TASK-202-P003","Галерея")</x:f>
      </x:c>
    </x:row>
    <x:row r="87" ht="24" customHeight="1">
      <x:c r="A87" s="110" t="str">
        <x:v>DEC-INF-02-003</x:v>
      </x:c>
      <x:c r="B87" s="110" t="str">
        <x:v>VIS-INF-DEC-TASK-202-P004</x:v>
      </x:c>
      <x:c r="C87" s="110" t="str">
        <x:v>Информатика</x:v>
      </x:c>
      <x:c r="D87" s="110" t="n">
        <x:v>3</x:v>
      </x:c>
      <x:c r="E87" s="110" t="str">
        <x:v>USE_TIGHT</x:v>
      </x:c>
      <x:c r="F87" s="110" t="str">
        <x:v>QA_APPROVED</x:v>
      </x:c>
      <x:c r="G87" s="110" t="str">
        <x:v>visual_gallery/assets/cropped/a0d99d585a327cee3362be73133585d635c507ae06ddcd5fdb1c470a5a62aeac.png</x:v>
      </x:c>
      <x:c r="H87" s="110" t="str">
        <x:v>a0d99d585a327cee3362be73133585d635c507ae06ddcd5fdb1c470a5a62aeac</x:v>
      </x:c>
      <x:c r="I87" s="110" t="str">
        <x:v>1f29ad95bc89bfea9632f17c2ce146610d96b4b26710327efc5f53407ccf4917</x:v>
      </x:c>
      <x:c r="J87" s="110" t="str"/>
      <x:c r="K87" s="110" t="str"/>
      <x:c r="L87" s="30" t="str"/>
      <x:c r="M87" s="110" t="e">
        <x:f>HYPERLINK("visual_gallery/index.html#DEC-INF-02-003--VIS-INF-DEC-TASK-202-P004","Галерея")</x:f>
      </x:c>
    </x:row>
    <x:row r="88" ht="24" customHeight="1">
      <x:c r="A88" s="110" t="str">
        <x:v>DEC-INF-02-007</x:v>
      </x:c>
      <x:c r="B88" s="110" t="str">
        <x:v>VIS-INF-DEC-TASK-202-P006</x:v>
      </x:c>
      <x:c r="C88" s="110" t="str">
        <x:v>Информатика</x:v>
      </x:c>
      <x:c r="D88" s="110" t="n">
        <x:v>7</x:v>
      </x:c>
      <x:c r="E88" s="110" t="str">
        <x:v>NO_CROP_NEEDED</x:v>
      </x:c>
      <x:c r="F88" s="110" t="str">
        <x:v>KEEP_ORIGINAL_NO_CROP</x:v>
      </x:c>
      <x:c r="G88" s="110" t="str"/>
      <x:c r="H88" s="110" t="str"/>
      <x:c r="I88" s="110" t="str">
        <x:v>33e681386edd699317550157ff27a5459e6e7e16cf9d2014e7db5858928bf471</x:v>
      </x:c>
      <x:c r="J88" s="110" t="str"/>
      <x:c r="K88" s="110" t="str"/>
      <x:c r="L88" s="30" t="str">
        <x:v>Reviewer confirmed that task 7 requires no visual; the prior manual box captured content from task 6.</x:v>
      </x:c>
      <x:c r="M88" s="110" t="e">
        <x:f>HYPERLINK("visual_gallery/index.html#DEC-INF-02-007--VIS-INF-DEC-TASK-202-P006","Статус")</x:f>
      </x:c>
    </x:row>
    <x:row r="89" ht="24" customHeight="1">
      <x:c r="A89" s="110" t="str">
        <x:v>DEC-INF-02-022</x:v>
      </x:c>
      <x:c r="B89" s="110" t="str">
        <x:v>VIS-INF-DEC-TASK-202-P013</x:v>
      </x:c>
      <x:c r="C89" s="110" t="str">
        <x:v>Информатика</x:v>
      </x:c>
      <x:c r="D89" s="110" t="n">
        <x:v>22</x:v>
      </x:c>
      <x:c r="E89" s="110" t="str">
        <x:v>USE_TIGHT</x:v>
      </x:c>
      <x:c r="F89" s="110" t="str">
        <x:v>QA_APPROVED</x:v>
      </x:c>
      <x:c r="G89" s="110" t="str">
        <x:v>visual_gallery/assets/cropped/0304530c48f48c3d7234a062f740b83ff62ce44a5635a34faad720a9d868c747.png</x:v>
      </x:c>
      <x:c r="H89" s="110" t="str">
        <x:v>0304530c48f48c3d7234a062f740b83ff62ce44a5635a34faad720a9d868c747</x:v>
      </x:c>
      <x:c r="I89" s="110" t="str">
        <x:v>55527758e4d2dfbb3709b8ac2853394e47b0536a376e6a9bc12236c74d1957b1</x:v>
      </x:c>
      <x:c r="J89" s="110" t="str"/>
      <x:c r="K89" s="110" t="str"/>
      <x:c r="L89" s="30" t="str"/>
      <x:c r="M89" s="110" t="e">
        <x:f>HYPERLINK("visual_gallery/index.html#DEC-INF-02-022--VIS-INF-DEC-TASK-202-P013","Галерея")</x:f>
      </x:c>
    </x:row>
    <x:row r="90" ht="24" customHeight="1">
      <x:c r="A90" s="110" t="str">
        <x:v>DEC-INF-02-027</x:v>
      </x:c>
      <x:c r="B90" s="110" t="str">
        <x:v>VIS-INF-DEC-TASK-202-P016</x:v>
      </x:c>
      <x:c r="C90" s="110" t="str">
        <x:v>Информатика</x:v>
      </x:c>
      <x:c r="D90" s="110" t="n">
        <x:v>27</x:v>
      </x:c>
      <x:c r="E90" s="110" t="str">
        <x:v>MANUAL_BBOX</x:v>
      </x:c>
      <x:c r="F90" s="110" t="str">
        <x:v>QA_APPROVED</x:v>
      </x:c>
      <x:c r="G90" s="110" t="str">
        <x:v>visual_gallery/assets/cropped/3632f1056ac3de876505d4eaecfd38d81733c4c2cd3cdef4d86ffbc6a4677ae9.png</x:v>
      </x:c>
      <x:c r="H90" s="110" t="str">
        <x:v>3632f1056ac3de876505d4eaecfd38d81733c4c2cd3cdef4d86ffbc6a4677ae9</x:v>
      </x:c>
      <x:c r="I90" s="110" t="str">
        <x:v>554a34fc9d664f730a149c517b5edc0e05fc004242d9e4f178130bd36d413d95</x:v>
      </x:c>
      <x:c r="J90" s="110" t="str">
        <x:v>[434, 657, 772, 723]</x:v>
      </x:c>
      <x:c r="K90" s="110" t="str"/>
      <x:c r="L90" s="30" t="str"/>
      <x:c r="M90" s="110" t="e">
        <x:f>HYPERLINK("visual_gallery/index.html#DEC-INF-02-027--VIS-INF-DEC-TASK-202-P016","Галерея")</x:f>
      </x:c>
    </x:row>
    <x:row r="91" ht="24" customHeight="1">
      <x:c r="A91" s="110" t="str">
        <x:v>OCT-INF-V1-001</x:v>
      </x:c>
      <x:c r="B91" s="110" t="str">
        <x:v>VIS-INF-OCT-001</x:v>
      </x:c>
      <x:c r="C91" s="110" t="str">
        <x:v>Информатика</x:v>
      </x:c>
      <x:c r="D91" s="110" t="n">
        <x:v>1</x:v>
      </x:c>
      <x:c r="E91" s="110" t="str">
        <x:v>USE_TIGHT</x:v>
      </x:c>
      <x:c r="F91" s="110" t="str">
        <x:v>QA_APPROVED</x:v>
      </x:c>
      <x:c r="G91" s="110" t="str">
        <x:v>visual_gallery/assets/cropped/82a82be727b7c714a4e29a6daeb9cf9f36be43ac5d2bae2afbe54e6a86bc2c11.png</x:v>
      </x:c>
      <x:c r="H91" s="110" t="str">
        <x:v>82a82be727b7c714a4e29a6daeb9cf9f36be43ac5d2bae2afbe54e6a86bc2c11</x:v>
      </x:c>
      <x:c r="I91" s="110" t="str">
        <x:v>e637db111e83190c51701364edd913869c90933131377e2dd79dde90fbfce7dd</x:v>
      </x:c>
      <x:c r="J91" s="110" t="str"/>
      <x:c r="K91" s="110" t="str"/>
      <x:c r="L91" s="30" t="str"/>
      <x:c r="M91" s="110" t="e">
        <x:f>HYPERLINK("visual_gallery/index.html#OCT-INF-V1-001--VIS-INF-OCT-001","Галерея")</x:f>
      </x:c>
    </x:row>
    <x:row r="92" ht="24" customHeight="1">
      <x:c r="A92" s="110" t="str">
        <x:v>OCT-INF-V1-002</x:v>
      </x:c>
      <x:c r="B92" s="110" t="str">
        <x:v>VIS-INF-OCT-002</x:v>
      </x:c>
      <x:c r="C92" s="110" t="str">
        <x:v>Информатика</x:v>
      </x:c>
      <x:c r="D92" s="110" t="n">
        <x:v>2</x:v>
      </x:c>
      <x:c r="E92" s="110" t="str">
        <x:v>USE_TIGHT</x:v>
      </x:c>
      <x:c r="F92" s="110" t="str">
        <x:v>QA_APPROVED</x:v>
      </x:c>
      <x:c r="G92" s="110" t="str">
        <x:v>visual_gallery/assets/cropped/7f3b2a93bfc91557135aaa22c6a0e0df6c90b6e8c46abae22f60e3fccddde9bb.png</x:v>
      </x:c>
      <x:c r="H92" s="110" t="str">
        <x:v>7f3b2a93bfc91557135aaa22c6a0e0df6c90b6e8c46abae22f60e3fccddde9bb</x:v>
      </x:c>
      <x:c r="I92" s="110" t="str">
        <x:v>04a26408ea1ddc43195885c8453d882f954fac6f664fa51c31bc9a2f1bdf0fb4</x:v>
      </x:c>
      <x:c r="J92" s="110" t="str"/>
      <x:c r="K92" s="110" t="str"/>
      <x:c r="L92" s="30" t="str"/>
      <x:c r="M92" s="110" t="e">
        <x:f>HYPERLINK("visual_gallery/index.html#OCT-INF-V1-002--VIS-INF-OCT-002","Галерея")</x:f>
      </x:c>
    </x:row>
    <x:row r="93" ht="24" customHeight="1">
      <x:c r="A93" s="110" t="str">
        <x:v>OCT-INF-V1-003</x:v>
      </x:c>
      <x:c r="B93" s="110" t="str">
        <x:v>VIS-INF-OCT-003</x:v>
      </x:c>
      <x:c r="C93" s="110" t="str">
        <x:v>Информатика</x:v>
      </x:c>
      <x:c r="D93" s="110" t="n">
        <x:v>3</x:v>
      </x:c>
      <x:c r="E93" s="110" t="str">
        <x:v>USE_CONTEXT</x:v>
      </x:c>
      <x:c r="F93" s="110" t="str">
        <x:v>QA_APPROVED</x:v>
      </x:c>
      <x:c r="G93" s="110" t="str">
        <x:v>visual_gallery/assets/cropped/1160c73ee12f72f5f055ebd72f66cd63e2f1b9050ddace32917205389ecd3f17.png</x:v>
      </x:c>
      <x:c r="H93" s="110" t="str">
        <x:v>1160c73ee12f72f5f055ebd72f66cd63e2f1b9050ddace32917205389ecd3f17</x:v>
      </x:c>
      <x:c r="I93" s="110" t="str">
        <x:v>0783182bd506c740e933f8b1543d0f8c99b3e56873da13dca5573b3acbbeb84a</x:v>
      </x:c>
      <x:c r="J93" s="110" t="str"/>
      <x:c r="K93" s="110" t="str"/>
      <x:c r="L93" s="30" t="str"/>
      <x:c r="M93" s="110" t="e">
        <x:f>HYPERLINK("visual_gallery/index.html#OCT-INF-V1-003--VIS-INF-OCT-003","Галерея")</x:f>
      </x:c>
    </x:row>
    <x:row r="94" ht="24" customHeight="1">
      <x:c r="A94" s="110" t="str">
        <x:v>OCT-INF-V1-022</x:v>
      </x:c>
      <x:c r="B94" s="110" t="str">
        <x:v>VIS-INF-OCT-013</x:v>
      </x:c>
      <x:c r="C94" s="110" t="str">
        <x:v>Информатика</x:v>
      </x:c>
      <x:c r="D94" s="110" t="n">
        <x:v>22</x:v>
      </x:c>
      <x:c r="E94" s="110" t="str">
        <x:v>NO_CROP_NEEDED</x:v>
      </x:c>
      <x:c r="F94" s="110" t="str">
        <x:v>KEEP_ORIGINAL_NO_CROP</x:v>
      </x:c>
      <x:c r="G94" s="110" t="str"/>
      <x:c r="H94" s="110" t="str"/>
      <x:c r="I94" s="110" t="str">
        <x:v>fbb26583df248e12a8c7586f89bebaa6c7828c42c6a61f2d2de0146cc72a911d</x:v>
      </x:c>
      <x:c r="J94" s="110" t="str"/>
      <x:c r="K94" s="110" t="str"/>
      <x:c r="L94" s="30" t="str"/>
      <x:c r="M94" s="110" t="e">
        <x:f>HYPERLINK("visual_gallery/index.html#OCT-INF-V1-022--VIS-INF-OCT-013","Статус")</x:f>
      </x:c>
    </x:row>
    <x:row r="95" ht="24" customHeight="1">
      <x:c r="A95" s="110" t="str">
        <x:v>OCT-INF-V2-001</x:v>
      </x:c>
      <x:c r="B95" s="110" t="str">
        <x:v>VIS-INF-OCT-018</x:v>
      </x:c>
      <x:c r="C95" s="110" t="str">
        <x:v>Информатика</x:v>
      </x:c>
      <x:c r="D95" s="110" t="n">
        <x:v>1</x:v>
      </x:c>
      <x:c r="E95" s="110" t="str">
        <x:v>USE_TIGHT</x:v>
      </x:c>
      <x:c r="F95" s="110" t="str">
        <x:v>QA_APPROVED</x:v>
      </x:c>
      <x:c r="G95" s="110" t="str">
        <x:v>visual_gallery/assets/cropped/89ecd43ea7290654e131224d8a83e6237cdc6dde4e172eaada4b3ee89389ffd6.png</x:v>
      </x:c>
      <x:c r="H95" s="110" t="str">
        <x:v>89ecd43ea7290654e131224d8a83e6237cdc6dde4e172eaada4b3ee89389ffd6</x:v>
      </x:c>
      <x:c r="I95" s="110" t="str">
        <x:v>35aa7901c23477e8ea6c00caec27e43277e82dd138f9ada1ee846c1a968cd00b</x:v>
      </x:c>
      <x:c r="J95" s="110" t="str"/>
      <x:c r="K95" s="110" t="str"/>
      <x:c r="L95" s="30" t="str"/>
      <x:c r="M95" s="110" t="e">
        <x:f>HYPERLINK("visual_gallery/index.html#OCT-INF-V2-001--VIS-INF-OCT-018","Галерея")</x:f>
      </x:c>
    </x:row>
    <x:row r="96" ht="24" customHeight="1">
      <x:c r="A96" s="110" t="str">
        <x:v>OCT-INF-V2-002</x:v>
      </x:c>
      <x:c r="B96" s="110" t="str">
        <x:v>VIS-INF-OCT-019</x:v>
      </x:c>
      <x:c r="C96" s="110" t="str">
        <x:v>Информатика</x:v>
      </x:c>
      <x:c r="D96" s="110" t="n">
        <x:v>2</x:v>
      </x:c>
      <x:c r="E96" s="110" t="str">
        <x:v>USE_TIGHT</x:v>
      </x:c>
      <x:c r="F96" s="110" t="str">
        <x:v>QA_APPROVED</x:v>
      </x:c>
      <x:c r="G96" s="110" t="str">
        <x:v>visual_gallery/assets/cropped/d21d3811619616ec7a3d980b40c81922a8889818643ad68894402abedf77b649.png</x:v>
      </x:c>
      <x:c r="H96" s="110" t="str">
        <x:v>d21d3811619616ec7a3d980b40c81922a8889818643ad68894402abedf77b649</x:v>
      </x:c>
      <x:c r="I96" s="110" t="str">
        <x:v>dc874231077b4aaf006af3a2587629dd7230a79e489faf6bd626bcdf49e067ea</x:v>
      </x:c>
      <x:c r="J96" s="110" t="str"/>
      <x:c r="K96" s="110" t="str"/>
      <x:c r="L96" s="30" t="str"/>
      <x:c r="M96" s="110" t="e">
        <x:f>HYPERLINK("visual_gallery/index.html#OCT-INF-V2-002--VIS-INF-OCT-019","Галерея")</x:f>
      </x:c>
    </x:row>
    <x:row r="97" ht="24" customHeight="1">
      <x:c r="A97" s="110" t="str">
        <x:v>OCT-INF-V2-003</x:v>
      </x:c>
      <x:c r="B97" s="110" t="str">
        <x:v>VIS-INF-OCT-020</x:v>
      </x:c>
      <x:c r="C97" s="110" t="str">
        <x:v>Информатика</x:v>
      </x:c>
      <x:c r="D97" s="110" t="n">
        <x:v>3</x:v>
      </x:c>
      <x:c r="E97" s="110" t="str">
        <x:v>USE_TIGHT</x:v>
      </x:c>
      <x:c r="F97" s="110" t="str">
        <x:v>QA_APPROVED</x:v>
      </x:c>
      <x:c r="G97" s="110" t="str">
        <x:v>visual_gallery/assets/cropped/786d6b3d7bea90a99ac256a44eb0d8412e2d83c9d8090c20e5ee4096f7efae97.png</x:v>
      </x:c>
      <x:c r="H97" s="110" t="str">
        <x:v>786d6b3d7bea90a99ac256a44eb0d8412e2d83c9d8090c20e5ee4096f7efae97</x:v>
      </x:c>
      <x:c r="I97" s="110" t="str">
        <x:v>a73cc64ff605924edb3140916be23bfe2a5639403cecbf7e72f961fad304582d</x:v>
      </x:c>
      <x:c r="J97" s="110" t="str"/>
      <x:c r="K97" s="110" t="str"/>
      <x:c r="L97" s="30" t="str"/>
      <x:c r="M97" s="110" t="e">
        <x:f>HYPERLINK("visual_gallery/index.html#OCT-INF-V2-003--VIS-INF-OCT-020","Галерея")</x:f>
      </x:c>
    </x:row>
    <x:row r="98" ht="24" customHeight="1">
      <x:c r="A98" s="110" t="str">
        <x:v>OCT-INF-V2-022</x:v>
      </x:c>
      <x:c r="B98" s="110" t="str">
        <x:v>VIS-INF-OCT-030</x:v>
      </x:c>
      <x:c r="C98" s="110" t="str">
        <x:v>Информатика</x:v>
      </x:c>
      <x:c r="D98" s="110" t="n">
        <x:v>22</x:v>
      </x:c>
      <x:c r="E98" s="110" t="str">
        <x:v>NO_CROP_NEEDED</x:v>
      </x:c>
      <x:c r="F98" s="110" t="str">
        <x:v>KEEP_ORIGINAL_NO_CROP</x:v>
      </x:c>
      <x:c r="G98" s="110" t="str"/>
      <x:c r="H98" s="110" t="str"/>
      <x:c r="I98" s="110" t="str">
        <x:v>f8a721888671df3df16a4f263c424bc124bda9af607f4501a766a749bbc842a0</x:v>
      </x:c>
      <x:c r="J98" s="110" t="str"/>
      <x:c r="K98" s="110" t="str"/>
      <x:c r="L98" s="30" t="str"/>
      <x:c r="M98" s="110" t="e">
        <x:f>HYPERLINK("visual_gallery/index.html#OCT-INF-V2-022--VIS-INF-OCT-030","Статус")</x:f>
      </x:c>
    </x:row>
    <x:row r="99" ht="24" customHeight="1">
      <x:c r="A99" s="110" t="str">
        <x:v>EGKR-S26-HIS-954-09</x:v>
      </x:c>
      <x:c r="B99" s="110" t="str">
        <x:v>VIS-EGKR-HIS-S26-TASK-954-P005</x:v>
      </x:c>
      <x:c r="C99" s="110" t="str">
        <x:v>История</x:v>
      </x:c>
      <x:c r="D99" s="110" t="n">
        <x:v>9</x:v>
      </x:c>
      <x:c r="E99" s="110" t="str">
        <x:v>USE_CONTEXT</x:v>
      </x:c>
      <x:c r="F99" s="110" t="str">
        <x:v>QA_APPROVED</x:v>
      </x:c>
      <x:c r="G99" s="110" t="str">
        <x:v>visual_gallery/assets/cropped/928d2001644d2f85bd3c3c14106bb3cd23cbc85a854df9154783bd70d50a0d5d.png</x:v>
      </x:c>
      <x:c r="H99" s="110" t="str">
        <x:v>928d2001644d2f85bd3c3c14106bb3cd23cbc85a854df9154783bd70d50a0d5d</x:v>
      </x:c>
      <x:c r="I99" s="110" t="str">
        <x:v>e7b928f8d1e31bb8da71b6acc1f1ba9526784fd8576215f7cabb552aa4fc4e6a</x:v>
      </x:c>
      <x:c r="J99" s="110" t="str"/>
      <x:c r="K99" s="110" t="str"/>
      <x:c r="L99" s="30" t="str"/>
      <x:c r="M99" s="110" t="e">
        <x:f>HYPERLINK("visual_gallery/index.html#EGKR-S26-HIS-954-09--VIS-EGKR-HIS-S26-TASK-954-P005","Галерея")</x:f>
      </x:c>
    </x:row>
    <x:row r="100" ht="24" customHeight="1">
      <x:c r="A100" s="110" t="str">
        <x:v>EGKR-S26-HIS-954-10</x:v>
      </x:c>
      <x:c r="B100" s="110" t="str">
        <x:v>VIS-EGKR-HIS-S26-TASK-954-P005</x:v>
      </x:c>
      <x:c r="C100" s="110" t="str">
        <x:v>История</x:v>
      </x:c>
      <x:c r="D100" s="110" t="n">
        <x:v>10</x:v>
      </x:c>
      <x:c r="E100" s="110" t="str">
        <x:v>MANUAL_BBOX</x:v>
      </x:c>
      <x:c r="F100" s="110" t="str">
        <x:v>QA_APPROVED</x:v>
      </x:c>
      <x:c r="G100" s="110" t="str">
        <x:v>visual_gallery/assets/cropped/c1ce199de0ded96806635d77889cbcf1029f0f9ae6349d7a60ab2e0a849531d8.png</x:v>
      </x:c>
      <x:c r="H100" s="110" t="str">
        <x:v>c1ce199de0ded96806635d77889cbcf1029f0f9ae6349d7a60ab2e0a849531d8</x:v>
      </x:c>
      <x:c r="I100" s="110" t="str">
        <x:v>e7b928f8d1e31bb8da71b6acc1f1ba9526784fd8576215f7cabb552aa4fc4e6a</x:v>
      </x:c>
      <x:c r="J100" s="110" t="str">
        <x:v>[128, 180, 824, 781]</x:v>
      </x:c>
      <x:c r="K100" s="110" t="str"/>
      <x:c r="L100" s="30" t="str"/>
      <x:c r="M100" s="110" t="e">
        <x:f>HYPERLINK("visual_gallery/index.html#EGKR-S26-HIS-954-10--VIS-EGKR-HIS-S26-TASK-954-P005","Галерея")</x:f>
      </x:c>
    </x:row>
    <x:row r="101" ht="24" customHeight="1">
      <x:c r="A101" s="110" t="str">
        <x:v>EGKR-S26-HIS-956-09</x:v>
      </x:c>
      <x:c r="B101" s="110" t="str">
        <x:v>VIS-EGKR-HIS-S26-TASK-956-P005</x:v>
      </x:c>
      <x:c r="C101" s="110" t="str">
        <x:v>История</x:v>
      </x:c>
      <x:c r="D101" s="110" t="n">
        <x:v>9</x:v>
      </x:c>
      <x:c r="E101" s="110" t="str">
        <x:v>USE_TIGHT</x:v>
      </x:c>
      <x:c r="F101" s="110" t="str">
        <x:v>QA_APPROVED</x:v>
      </x:c>
      <x:c r="G101" s="110" t="str">
        <x:v>visual_gallery/assets/cropped/6f29703ab7b335b37dca94d3060afd1790d2addca591f270d4eb1d67b5e3248c.png</x:v>
      </x:c>
      <x:c r="H101" s="110" t="str">
        <x:v>6f29703ab7b335b37dca94d3060afd1790d2addca591f270d4eb1d67b5e3248c</x:v>
      </x:c>
      <x:c r="I101" s="110" t="str">
        <x:v>c40df4dd1947ddda4ae8b86c61d8571af4aa2d6ce90ea5e9b3b48736137948cc</x:v>
      </x:c>
      <x:c r="J101" s="110" t="str"/>
      <x:c r="K101" s="110" t="str"/>
      <x:c r="L101" s="30" t="str"/>
      <x:c r="M101" s="110" t="e">
        <x:f>HYPERLINK("visual_gallery/index.html#EGKR-S26-HIS-956-09--VIS-EGKR-HIS-S26-TASK-956-P005","Галерея")</x:f>
      </x:c>
    </x:row>
    <x:row r="102" ht="24" customHeight="1">
      <x:c r="A102" s="110" t="str">
        <x:v>EGKR-W25-HIST-952-10</x:v>
      </x:c>
      <x:c r="B102" s="110" t="str">
        <x:v>VIS-EGKR-HIST-W25-TASK-952-P005</x:v>
      </x:c>
      <x:c r="C102" s="110" t="str">
        <x:v>История</x:v>
      </x:c>
      <x:c r="D102" s="110" t="n">
        <x:v>10</x:v>
      </x:c>
      <x:c r="E102" s="110" t="str">
        <x:v>USE_TIGHT</x:v>
      </x:c>
      <x:c r="F102" s="110" t="str">
        <x:v>QA_APPROVED</x:v>
      </x:c>
      <x:c r="G102" s="110" t="str">
        <x:v>visual_gallery/assets/cropped/3c4ee42aaa8bc86eb94c129a77f82b60d53e754eac9b976e8fbe24782fe59fba.png</x:v>
      </x:c>
      <x:c r="H102" s="110" t="str">
        <x:v>3c4ee42aaa8bc86eb94c129a77f82b60d53e754eac9b976e8fbe24782fe59fba</x:v>
      </x:c>
      <x:c r="I102" s="110" t="str">
        <x:v>5476fd80961f25583913daba7cefb69ab9f494f173d7bec7823509ec1c25c167</x:v>
      </x:c>
      <x:c r="J102" s="110" t="str"/>
      <x:c r="K102" s="110" t="str"/>
      <x:c r="L102" s="30" t="str"/>
      <x:c r="M102" s="110" t="e">
        <x:f>HYPERLINK("visual_gallery/index.html#EGKR-W25-HIST-952-10--VIS-EGKR-HIST-W25-TASK-952-P005","Галерея")</x:f>
      </x:c>
    </x:row>
    <x:row r="103" ht="24" customHeight="1">
      <x:c r="A103" s="110" t="str">
        <x:v>NOV-HIST-V1-009</x:v>
      </x:c>
      <x:c r="B103" s="110" t="str">
        <x:v>VIS-HIST-NOV-006</x:v>
      </x:c>
      <x:c r="C103" s="110" t="str">
        <x:v>История</x:v>
      </x:c>
      <x:c r="D103" s="110" t="n">
        <x:v>9</x:v>
      </x:c>
      <x:c r="E103" s="110" t="str">
        <x:v>MANUAL_BBOX</x:v>
      </x:c>
      <x:c r="F103" s="110" t="str">
        <x:v>QA_APPROVED</x:v>
      </x:c>
      <x:c r="G103" s="110" t="str">
        <x:v>visual_gallery/assets/cropped/b6be6aefc3d00b40df8b8a64e3f22986414d2ae06e591ef73ed9b7903cf32ca4.png</x:v>
      </x:c>
      <x:c r="H103" s="110" t="str">
        <x:v>b6be6aefc3d00b40df8b8a64e3f22986414d2ae06e591ef73ed9b7903cf32ca4</x:v>
      </x:c>
      <x:c r="I103" s="110" t="str">
        <x:v>2d98cf0bd1e2d82185ca99eee4de83935a9d6762ebee31d56cbd4148985bd6b6</x:v>
      </x:c>
      <x:c r="J103" s="110" t="str">
        <x:v>[244, 230, 981, 1129]</x:v>
      </x:c>
      <x:c r="K103" s="110" t="str"/>
      <x:c r="L103" s="30" t="str"/>
      <x:c r="M103" s="110" t="e">
        <x:f>HYPERLINK("visual_gallery/index.html#NOV-HIST-V1-009--VIS-HIST-NOV-006","Галерея")</x:f>
      </x:c>
    </x:row>
    <x:row r="104" ht="24" customHeight="1">
      <x:c r="A104" s="110" t="str">
        <x:v>NOV-HIST-V1-010</x:v>
      </x:c>
      <x:c r="B104" s="110" t="str">
        <x:v>VIS-HIST-NOV-006</x:v>
      </x:c>
      <x:c r="C104" s="110" t="str">
        <x:v>История</x:v>
      </x:c>
      <x:c r="D104" s="110" t="n">
        <x:v>10</x:v>
      </x:c>
      <x:c r="E104" s="110" t="str">
        <x:v>MANUAL_BBOX</x:v>
      </x:c>
      <x:c r="F104" s="110" t="str">
        <x:v>QA_APPROVED</x:v>
      </x:c>
      <x:c r="G104" s="110" t="str">
        <x:v>visual_gallery/assets/cropped/d959e9338f6421bda5a4466c6649925314e56f784e48f54e26dadfd383e1a12c.png</x:v>
      </x:c>
      <x:c r="H104" s="110" t="str">
        <x:v>d959e9338f6421bda5a4466c6649925314e56f784e48f54e26dadfd383e1a12c</x:v>
      </x:c>
      <x:c r="I104" s="110" t="str">
        <x:v>2d98cf0bd1e2d82185ca99eee4de83935a9d6762ebee31d56cbd4148985bd6b6</x:v>
      </x:c>
      <x:c r="J104" s="110" t="str">
        <x:v>[237, 230, 992, 1129]</x:v>
      </x:c>
      <x:c r="K104" s="110" t="str"/>
      <x:c r="L104" s="30" t="str"/>
      <x:c r="M104" s="110" t="e">
        <x:f>HYPERLINK("visual_gallery/index.html#NOV-HIST-V1-010--VIS-HIST-NOV-006","Галерея")</x:f>
      </x:c>
    </x:row>
    <x:row r="105" ht="24" customHeight="1">
      <x:c r="A105" s="110" t="str">
        <x:v>NOV-HIST-V2-009</x:v>
      </x:c>
      <x:c r="B105" s="110" t="str">
        <x:v>VIS-HIST-NOV-018</x:v>
      </x:c>
      <x:c r="C105" s="110" t="str">
        <x:v>История</x:v>
      </x:c>
      <x:c r="D105" s="110" t="n">
        <x:v>9</x:v>
      </x:c>
      <x:c r="E105" s="110" t="str">
        <x:v>MANUAL_BBOX</x:v>
      </x:c>
      <x:c r="F105" s="110" t="str">
        <x:v>QA_APPROVED</x:v>
      </x:c>
      <x:c r="G105" s="110" t="str">
        <x:v>visual_gallery/assets/cropped/becb5e6868ffc16814027f78f6f3aec931eee4d900052e794b9f8721a76c82d9.png</x:v>
      </x:c>
      <x:c r="H105" s="110" t="str">
        <x:v>becb5e6868ffc16814027f78f6f3aec931eee4d900052e794b9f8721a76c82d9</x:v>
      </x:c>
      <x:c r="I105" s="110" t="str">
        <x:v>f19fb51fe196cb2f36dc2c885087767f40341af0a513fc01074dbd80258efd45</x:v>
      </x:c>
      <x:c r="J105" s="110" t="str">
        <x:v>[143, 234, 1096, 1078]</x:v>
      </x:c>
      <x:c r="K105" s="110" t="str"/>
      <x:c r="L105" s="30" t="str"/>
      <x:c r="M105" s="110" t="e">
        <x:f>HYPERLINK("visual_gallery/index.html#NOV-HIST-V2-009--VIS-HIST-NOV-018","Галерея")</x:f>
      </x:c>
    </x:row>
    <x:row r="106" ht="24" customHeight="1">
      <x:c r="A106" s="110" t="str">
        <x:v>NOV-HIST-V2-010</x:v>
      </x:c>
      <x:c r="B106" s="110" t="str">
        <x:v>VIS-HIST-NOV-018</x:v>
      </x:c>
      <x:c r="C106" s="110" t="str">
        <x:v>История</x:v>
      </x:c>
      <x:c r="D106" s="110" t="n">
        <x:v>10</x:v>
      </x:c>
      <x:c r="E106" s="110" t="str">
        <x:v>MANUAL_BBOX</x:v>
      </x:c>
      <x:c r="F106" s="110" t="str">
        <x:v>QA_APPROVED</x:v>
      </x:c>
      <x:c r="G106" s="110" t="str">
        <x:v>visual_gallery/assets/cropped/1ff6a83355d57e54e590ea943cecca7071590705b83e6f22f1dd3bbf3df12be4.png</x:v>
      </x:c>
      <x:c r="H106" s="110" t="str">
        <x:v>1ff6a83355d57e54e590ea943cecca7071590705b83e6f22f1dd3bbf3df12be4</x:v>
      </x:c>
      <x:c r="I106" s="110" t="str">
        <x:v>f19fb51fe196cb2f36dc2c885087767f40341af0a513fc01074dbd80258efd45</x:v>
      </x:c>
      <x:c r="J106" s="110" t="str">
        <x:v>[154, 248, 1100, 1071]</x:v>
      </x:c>
      <x:c r="K106" s="110" t="str"/>
      <x:c r="L106" s="30" t="str"/>
      <x:c r="M106" s="110" t="e">
        <x:f>HYPERLINK("visual_gallery/index.html#NOV-HIST-V2-010--VIS-HIST-NOV-018","Галерея")</x:f>
      </x:c>
    </x:row>
    <x:row r="107" ht="24" customHeight="1">
      <x:c r="A107" s="110" t="str">
        <x:v>NOV-HIST-V3-009</x:v>
      </x:c>
      <x:c r="B107" s="110" t="str">
        <x:v>VIS-HIST-NOV-030</x:v>
      </x:c>
      <x:c r="C107" s="110" t="str">
        <x:v>История</x:v>
      </x:c>
      <x:c r="D107" s="110" t="n">
        <x:v>9</x:v>
      </x:c>
      <x:c r="E107" s="110" t="str">
        <x:v>MANUAL_BBOX</x:v>
      </x:c>
      <x:c r="F107" s="110" t="str">
        <x:v>QA_APPROVED</x:v>
      </x:c>
      <x:c r="G107" s="110" t="str">
        <x:v>visual_gallery/assets/cropped/cb77ead52395ad2d3a6a660cabd8cbd1682e45be786b666461b1f64519b89f6f.png</x:v>
      </x:c>
      <x:c r="H107" s="110" t="str">
        <x:v>cb77ead52395ad2d3a6a660cabd8cbd1682e45be786b666461b1f64519b89f6f</x:v>
      </x:c>
      <x:c r="I107" s="110" t="str">
        <x:v>e1860d30242d542c765eba1d7c445014ced9fa94d1f567ace83fb69cde3242a5</x:v>
      </x:c>
      <x:c r="J107" s="110" t="str">
        <x:v>[132, 226, 1086, 1082]</x:v>
      </x:c>
      <x:c r="K107" s="110" t="str"/>
      <x:c r="L107" s="30" t="str"/>
      <x:c r="M107" s="110" t="e">
        <x:f>HYPERLINK("visual_gallery/index.html#NOV-HIST-V3-009--VIS-HIST-NOV-030","Галерея")</x:f>
      </x:c>
    </x:row>
    <x:row r="108" ht="24" customHeight="1">
      <x:c r="A108" s="110" t="str">
        <x:v>NOV-HIST-V3-010</x:v>
      </x:c>
      <x:c r="B108" s="110" t="str">
        <x:v>VIS-HIST-NOV-030</x:v>
      </x:c>
      <x:c r="C108" s="110" t="str">
        <x:v>История</x:v>
      </x:c>
      <x:c r="D108" s="110" t="n">
        <x:v>10</x:v>
      </x:c>
      <x:c r="E108" s="110" t="str">
        <x:v>MANUAL_BBOX</x:v>
      </x:c>
      <x:c r="F108" s="110" t="str">
        <x:v>QA_APPROVED</x:v>
      </x:c>
      <x:c r="G108" s="110" t="str">
        <x:v>visual_gallery/assets/cropped/010738b9950e049c8f283505eb755708c360e61e6d9fed8524f8c901be37b3e9.png</x:v>
      </x:c>
      <x:c r="H108" s="110" t="str">
        <x:v>010738b9950e049c8f283505eb755708c360e61e6d9fed8524f8c901be37b3e9</x:v>
      </x:c>
      <x:c r="I108" s="110" t="str">
        <x:v>e1860d30242d542c765eba1d7c445014ced9fa94d1f567ace83fb69cde3242a5</x:v>
      </x:c>
      <x:c r="J108" s="110" t="str">
        <x:v>[140, 219, 1075, 1068]</x:v>
      </x:c>
      <x:c r="K108" s="110" t="str"/>
      <x:c r="L108" s="30" t="str"/>
      <x:c r="M108" s="110" t="e">
        <x:f>HYPERLINK("visual_gallery/index.html#NOV-HIST-V3-010--VIS-HIST-NOV-030","Галерея")</x:f>
      </x:c>
    </x:row>
    <x:row r="109" ht="24" customHeight="1">
      <x:c r="A109" s="110" t="str">
        <x:v>NOV-HIST-V4-009</x:v>
      </x:c>
      <x:c r="B109" s="110" t="str">
        <x:v>VIS-HIST-NOV-042</x:v>
      </x:c>
      <x:c r="C109" s="110" t="str">
        <x:v>История</x:v>
      </x:c>
      <x:c r="D109" s="110" t="n">
        <x:v>9</x:v>
      </x:c>
      <x:c r="E109" s="110" t="str">
        <x:v>MANUAL_BBOX</x:v>
      </x:c>
      <x:c r="F109" s="110" t="str">
        <x:v>QA_APPROVED</x:v>
      </x:c>
      <x:c r="G109" s="110" t="str">
        <x:v>visual_gallery/assets/cropped/b4aa6f750c5cc23a33dbd4aaa0c565679f58ef43248e33abb039a8395e418580.png</x:v>
      </x:c>
      <x:c r="H109" s="110" t="str">
        <x:v>b4aa6f750c5cc23a33dbd4aaa0c565679f58ef43248e33abb039a8395e418580</x:v>
      </x:c>
      <x:c r="I109" s="110" t="str">
        <x:v>1301d6f1eac597e54c8ffc54716227b5daa4cc8bf2aada803e5317df1c34d2eb</x:v>
      </x:c>
      <x:c r="J109" s="110" t="str">
        <x:v>[244, 230, 992, 1133]</x:v>
      </x:c>
      <x:c r="K109" s="110" t="str"/>
      <x:c r="L109" s="30" t="str"/>
      <x:c r="M109" s="110" t="e">
        <x:f>HYPERLINK("visual_gallery/index.html#NOV-HIST-V4-009--VIS-HIST-NOV-042","Галерея")</x:f>
      </x:c>
    </x:row>
    <x:row r="110" ht="24" customHeight="1">
      <x:c r="A110" s="110" t="str">
        <x:v>NOV-HIST-V4-010</x:v>
      </x:c>
      <x:c r="B110" s="110" t="str">
        <x:v>VIS-HIST-NOV-042</x:v>
      </x:c>
      <x:c r="C110" s="110" t="str">
        <x:v>История</x:v>
      </x:c>
      <x:c r="D110" s="110" t="n">
        <x:v>10</x:v>
      </x:c>
      <x:c r="E110" s="110" t="str">
        <x:v>MANUAL_BBOX</x:v>
      </x:c>
      <x:c r="F110" s="110" t="str">
        <x:v>QA_APPROVED</x:v>
      </x:c>
      <x:c r="G110" s="110" t="str">
        <x:v>visual_gallery/assets/cropped/4c787c85c4fa78a4b9054276fb7ebd4bb71b0c0265002e8fe7b3d28f0925183d.png</x:v>
      </x:c>
      <x:c r="H110" s="110" t="str">
        <x:v>4c787c85c4fa78a4b9054276fb7ebd4bb71b0c0265002e8fe7b3d28f0925183d</x:v>
      </x:c>
      <x:c r="I110" s="110" t="str">
        <x:v>1301d6f1eac597e54c8ffc54716227b5daa4cc8bf2aada803e5317df1c34d2eb</x:v>
      </x:c>
      <x:c r="J110" s="110" t="str">
        <x:v>[237, 219, 988, 1125]</x:v>
      </x:c>
      <x:c r="K110" s="110" t="str"/>
      <x:c r="L110" s="30" t="str"/>
      <x:c r="M110" s="110" t="e">
        <x:f>HYPERLINK("visual_gallery/index.html#NOV-HIST-V4-010--VIS-HIST-NOV-042","Галерея")</x:f>
      </x:c>
    </x:row>
    <x:row r="111" ht="24" customHeight="1">
      <x:c r="A111" s="110" t="str">
        <x:v>DEC-MATH-05-009</x:v>
      </x:c>
      <x:c r="B111" s="110" t="str">
        <x:v>VIS-MATH-DEC-BE-TASK-P005</x:v>
      </x:c>
      <x:c r="C111" s="110" t="str">
        <x:v>Математика</x:v>
      </x:c>
      <x:c r="D111" s="110" t="n">
        <x:v>9</x:v>
      </x:c>
      <x:c r="E111" s="110" t="str">
        <x:v>USE_TIGHT</x:v>
      </x:c>
      <x:c r="F111" s="110" t="str">
        <x:v>QA_APPROVED</x:v>
      </x:c>
      <x:c r="G111" s="110" t="str">
        <x:v>visual_gallery/assets/cropped/52553d9af4210b46331ce05b76276f6ec1dbfa399cf9e0f74eff24634137c80b.png</x:v>
      </x:c>
      <x:c r="H111" s="110" t="str">
        <x:v>52553d9af4210b46331ce05b76276f6ec1dbfa399cf9e0f74eff24634137c80b</x:v>
      </x:c>
      <x:c r="I111" s="110" t="str">
        <x:v>990a4ad04a7badc0f6393def42de050f9ada6f16138c744df83cf63044b6894a</x:v>
      </x:c>
      <x:c r="J111" s="110" t="str"/>
      <x:c r="K111" s="110" t="str"/>
      <x:c r="L111" s="30" t="str"/>
      <x:c r="M111" s="110" t="e">
        <x:f>HYPERLINK("visual_gallery/index.html#DEC-MATH-05-009--VIS-MATH-DEC-BE-TASK-P005","Галерея")</x:f>
      </x:c>
    </x:row>
    <x:row r="112" ht="24" customHeight="1">
      <x:c r="A112" s="110" t="str">
        <x:v>DEC-MATH-05-011</x:v>
      </x:c>
      <x:c r="B112" s="110" t="str">
        <x:v>VIS-MATH-DEC-BE-TASK-P005</x:v>
      </x:c>
      <x:c r="C112" s="110" t="str">
        <x:v>Математика</x:v>
      </x:c>
      <x:c r="D112" s="110" t="n">
        <x:v>11</x:v>
      </x:c>
      <x:c r="E112" s="110" t="str">
        <x:v>USE_TIGHT</x:v>
      </x:c>
      <x:c r="F112" s="110" t="str">
        <x:v>QA_APPROVED</x:v>
      </x:c>
      <x:c r="G112" s="110" t="str">
        <x:v>visual_gallery/assets/cropped/0ee4ec35ba96ff108e001e75d84f9efffd5e22f687b6d844b1ad2db96a261741.png</x:v>
      </x:c>
      <x:c r="H112" s="110" t="str">
        <x:v>0ee4ec35ba96ff108e001e75d84f9efffd5e22f687b6d844b1ad2db96a261741</x:v>
      </x:c>
      <x:c r="I112" s="110" t="str">
        <x:v>990a4ad04a7badc0f6393def42de050f9ada6f16138c744df83cf63044b6894a</x:v>
      </x:c>
      <x:c r="J112" s="110" t="str"/>
      <x:c r="K112" s="110" t="str"/>
      <x:c r="L112" s="30" t="str"/>
      <x:c r="M112" s="110" t="e">
        <x:f>HYPERLINK("visual_gallery/index.html#DEC-MATH-05-011--VIS-MATH-DEC-BE-TASK-P005","Галерея")</x:f>
      </x:c>
    </x:row>
    <x:row r="113" ht="24" customHeight="1">
      <x:c r="A113" s="110" t="str">
        <x:v>DEC-MATH-06-009</x:v>
      </x:c>
      <x:c r="B113" s="110" t="str">
        <x:v>VIS-MATH-DEC-BE-TASK-P013</x:v>
      </x:c>
      <x:c r="C113" s="110" t="str">
        <x:v>Математика</x:v>
      </x:c>
      <x:c r="D113" s="110" t="n">
        <x:v>9</x:v>
      </x:c>
      <x:c r="E113" s="110" t="str">
        <x:v>USE_TIGHT</x:v>
      </x:c>
      <x:c r="F113" s="110" t="str">
        <x:v>QA_APPROVED</x:v>
      </x:c>
      <x:c r="G113" s="110" t="str">
        <x:v>visual_gallery/assets/cropped/7e0d4e8e0e31dace3f958bcda901f7ab9368d8c6f36e862214488bddadc12646.png</x:v>
      </x:c>
      <x:c r="H113" s="110" t="str">
        <x:v>7e0d4e8e0e31dace3f958bcda901f7ab9368d8c6f36e862214488bddadc12646</x:v>
      </x:c>
      <x:c r="I113" s="110" t="str">
        <x:v>01082a308bb958bc87334ab0a1fe35101a74a76b856bf55c6920fd9c383b66c1</x:v>
      </x:c>
      <x:c r="J113" s="110" t="str"/>
      <x:c r="K113" s="110" t="str"/>
      <x:c r="L113" s="30" t="str"/>
      <x:c r="M113" s="110" t="e">
        <x:f>HYPERLINK("visual_gallery/index.html#DEC-MATH-06-009--VIS-MATH-DEC-BE-TASK-P013","Галерея")</x:f>
      </x:c>
    </x:row>
    <x:row r="114" ht="24" customHeight="1">
      <x:c r="A114" s="110" t="str">
        <x:v>DEC-MATH-06-011</x:v>
      </x:c>
      <x:c r="B114" s="110" t="str">
        <x:v>VIS-MATH-DEC-BE-TASK-P013</x:v>
      </x:c>
      <x:c r="C114" s="110" t="str">
        <x:v>Математика</x:v>
      </x:c>
      <x:c r="D114" s="110" t="n">
        <x:v>11</x:v>
      </x:c>
      <x:c r="E114" s="110" t="str">
        <x:v>USE_TIGHT</x:v>
      </x:c>
      <x:c r="F114" s="110" t="str">
        <x:v>QA_APPROVED</x:v>
      </x:c>
      <x:c r="G114" s="110" t="str">
        <x:v>visual_gallery/assets/cropped/c5b2cb30549d282d7517411bd53ccb119a2dd19330555e9d361a5d5a69363680.png</x:v>
      </x:c>
      <x:c r="H114" s="110" t="str">
        <x:v>c5b2cb30549d282d7517411bd53ccb119a2dd19330555e9d361a5d5a69363680</x:v>
      </x:c>
      <x:c r="I114" s="110" t="str">
        <x:v>01082a308bb958bc87334ab0a1fe35101a74a76b856bf55c6920fd9c383b66c1</x:v>
      </x:c>
      <x:c r="J114" s="110" t="str"/>
      <x:c r="K114" s="110" t="str"/>
      <x:c r="L114" s="30" t="str"/>
      <x:c r="M114" s="110" t="e">
        <x:f>HYPERLINK("visual_gallery/index.html#DEC-MATH-06-011--VIS-MATH-DEC-BE-TASK-P013","Галерея")</x:f>
      </x:c>
    </x:row>
    <x:row r="115" ht="24" customHeight="1">
      <x:c r="A115" s="110" t="str">
        <x:v>DEC-MATH-07-009</x:v>
      </x:c>
      <x:c r="B115" s="110" t="str">
        <x:v>VIS-MATH-DEC-BE-TASK-P021</x:v>
      </x:c>
      <x:c r="C115" s="110" t="str">
        <x:v>Математика</x:v>
      </x:c>
      <x:c r="D115" s="110" t="n">
        <x:v>9</x:v>
      </x:c>
      <x:c r="E115" s="110" t="str">
        <x:v>USE_TIGHT</x:v>
      </x:c>
      <x:c r="F115" s="110" t="str">
        <x:v>QA_APPROVED</x:v>
      </x:c>
      <x:c r="G115" s="110" t="str">
        <x:v>visual_gallery/assets/cropped/b849ba4081a651fc573ce209778bfe01bef298531ae93a653aaf3efcbcbef2a4.png</x:v>
      </x:c>
      <x:c r="H115" s="110" t="str">
        <x:v>b849ba4081a651fc573ce209778bfe01bef298531ae93a653aaf3efcbcbef2a4</x:v>
      </x:c>
      <x:c r="I115" s="110" t="str">
        <x:v>a09e2b9edb73dace1c85d51c5a17b1ce3701b6a96276a75899c9472034b4a8e8</x:v>
      </x:c>
      <x:c r="J115" s="110" t="str"/>
      <x:c r="K115" s="110" t="str"/>
      <x:c r="L115" s="30" t="str"/>
      <x:c r="M115" s="110" t="e">
        <x:f>HYPERLINK("visual_gallery/index.html#DEC-MATH-07-009--VIS-MATH-DEC-BE-TASK-P021","Галерея")</x:f>
      </x:c>
    </x:row>
    <x:row r="116" ht="24" customHeight="1">
      <x:c r="A116" s="110" t="str">
        <x:v>DEC-MATH-07-011</x:v>
      </x:c>
      <x:c r="B116" s="110" t="str">
        <x:v>VIS-MATH-DEC-BE-TASK-P021</x:v>
      </x:c>
      <x:c r="C116" s="110" t="str">
        <x:v>Математика</x:v>
      </x:c>
      <x:c r="D116" s="110" t="n">
        <x:v>11</x:v>
      </x:c>
      <x:c r="E116" s="110" t="str">
        <x:v>USE_TIGHT</x:v>
      </x:c>
      <x:c r="F116" s="110" t="str">
        <x:v>QA_APPROVED</x:v>
      </x:c>
      <x:c r="G116" s="110" t="str">
        <x:v>visual_gallery/assets/cropped/5900bd8b491b4bee253d68b89433c2b3db23216fbc9e9bb98c5ab6d6cc41d706.png</x:v>
      </x:c>
      <x:c r="H116" s="110" t="str">
        <x:v>5900bd8b491b4bee253d68b89433c2b3db23216fbc9e9bb98c5ab6d6cc41d706</x:v>
      </x:c>
      <x:c r="I116" s="110" t="str">
        <x:v>a09e2b9edb73dace1c85d51c5a17b1ce3701b6a96276a75899c9472034b4a8e8</x:v>
      </x:c>
      <x:c r="J116" s="110" t="str"/>
      <x:c r="K116" s="110" t="str"/>
      <x:c r="L116" s="30" t="str"/>
      <x:c r="M116" s="110" t="e">
        <x:f>HYPERLINK("visual_gallery/index.html#DEC-MATH-07-011--VIS-MATH-DEC-BE-TASK-P021","Галерея")</x:f>
      </x:c>
    </x:row>
    <x:row r="117" ht="24" customHeight="1">
      <x:c r="A117" s="110" t="str">
        <x:v>DEC-MATH-08-009</x:v>
      </x:c>
      <x:c r="B117" s="110" t="str">
        <x:v>VIS-MATH-DEC-BE-TASK-P029</x:v>
      </x:c>
      <x:c r="C117" s="110" t="str">
        <x:v>Математика</x:v>
      </x:c>
      <x:c r="D117" s="110" t="n">
        <x:v>9</x:v>
      </x:c>
      <x:c r="E117" s="110" t="str">
        <x:v>USE_TIGHT</x:v>
      </x:c>
      <x:c r="F117" s="110" t="str">
        <x:v>QA_APPROVED</x:v>
      </x:c>
      <x:c r="G117" s="110" t="str">
        <x:v>visual_gallery/assets/cropped/fe417647fe35490c437d36aa88a0881314d922b6d5f65181f2b347428367bc4a.png</x:v>
      </x:c>
      <x:c r="H117" s="110" t="str">
        <x:v>fe417647fe35490c437d36aa88a0881314d922b6d5f65181f2b347428367bc4a</x:v>
      </x:c>
      <x:c r="I117" s="110" t="str">
        <x:v>b05c72925e9633caaba33145fd4ff3a4363421f81f24cd67a81ac7cb67c65bd0</x:v>
      </x:c>
      <x:c r="J117" s="110" t="str"/>
      <x:c r="K117" s="110" t="str"/>
      <x:c r="L117" s="30" t="str"/>
      <x:c r="M117" s="110" t="e">
        <x:f>HYPERLINK("visual_gallery/index.html#DEC-MATH-08-009--VIS-MATH-DEC-BE-TASK-P029","Галерея")</x:f>
      </x:c>
    </x:row>
    <x:row r="118" ht="24" customHeight="1">
      <x:c r="A118" s="110" t="str">
        <x:v>DEC-MATH-08-011</x:v>
      </x:c>
      <x:c r="B118" s="110" t="str">
        <x:v>VIS-MATH-DEC-BE-TASK-P030</x:v>
      </x:c>
      <x:c r="C118" s="110" t="str">
        <x:v>Математика</x:v>
      </x:c>
      <x:c r="D118" s="110" t="n">
        <x:v>11</x:v>
      </x:c>
      <x:c r="E118" s="110" t="str">
        <x:v>USE_TIGHT</x:v>
      </x:c>
      <x:c r="F118" s="110" t="str">
        <x:v>QA_APPROVED</x:v>
      </x:c>
      <x:c r="G118" s="110" t="str">
        <x:v>visual_gallery/assets/cropped/cd6523f850e5cc7c2e3be07b61ecb312a5cc6bbc21f1a5098f021ba4f38e8b27.png</x:v>
      </x:c>
      <x:c r="H118" s="110" t="str">
        <x:v>cd6523f850e5cc7c2e3be07b61ecb312a5cc6bbc21f1a5098f021ba4f38e8b27</x:v>
      </x:c>
      <x:c r="I118" s="110" t="str">
        <x:v>8126814691f0a6bea755af51b23ccc3499f64d490bec406f6b634f2b3d36ceb3</x:v>
      </x:c>
      <x:c r="J118" s="110" t="str"/>
      <x:c r="K118" s="110" t="str"/>
      <x:c r="L118" s="30" t="str"/>
      <x:c r="M118" s="110" t="e">
        <x:f>HYPERLINK("visual_gallery/index.html#DEC-MATH-08-011--VIS-MATH-DEC-BE-TASK-P030","Галерея")</x:f>
      </x:c>
    </x:row>
    <x:row r="119" ht="24" customHeight="1">
      <x:c r="A119" s="110" t="str">
        <x:v>DEC-MATH-01-006</x:v>
      </x:c>
      <x:c r="B119" s="110" t="str">
        <x:v>VIS-MATH-DEC-BW-TASK-P003</x:v>
      </x:c>
      <x:c r="C119" s="110" t="str">
        <x:v>Математика</x:v>
      </x:c>
      <x:c r="D119" s="110" t="n">
        <x:v>6</x:v>
      </x:c>
      <x:c r="E119" s="110" t="str">
        <x:v>USE_TIGHT</x:v>
      </x:c>
      <x:c r="F119" s="110" t="str">
        <x:v>QA_APPROVED</x:v>
      </x:c>
      <x:c r="G119" s="110" t="str">
        <x:v>visual_gallery/assets/cropped/a6c6355da4bb9f4c141c1e9845d10439ca7081ad1fa78aeaf81e8875bc886871.png</x:v>
      </x:c>
      <x:c r="H119" s="110" t="str">
        <x:v>a6c6355da4bb9f4c141c1e9845d10439ca7081ad1fa78aeaf81e8875bc886871</x:v>
      </x:c>
      <x:c r="I119" s="110" t="str">
        <x:v>0ff9f50723ec109840d4864018c880121ee226d6a1b8f15a3b343448d03f2938</x:v>
      </x:c>
      <x:c r="J119" s="110" t="str"/>
      <x:c r="K119" s="110" t="str"/>
      <x:c r="L119" s="30" t="str"/>
      <x:c r="M119" s="110" t="e">
        <x:f>HYPERLINK("visual_gallery/index.html#DEC-MATH-01-006--VIS-MATH-DEC-BW-TASK-P003","Галерея")</x:f>
      </x:c>
    </x:row>
    <x:row r="120" ht="24" customHeight="1">
      <x:c r="A120" s="110" t="str">
        <x:v>DEC-MATH-01-007</x:v>
      </x:c>
      <x:c r="B120" s="110" t="str">
        <x:v>VIS-MATH-DEC-BW-TASK-P004</x:v>
      </x:c>
      <x:c r="C120" s="110" t="str">
        <x:v>Математика</x:v>
      </x:c>
      <x:c r="D120" s="110" t="n">
        <x:v>7</x:v>
      </x:c>
      <x:c r="E120" s="110" t="str">
        <x:v>USE_CONTEXT</x:v>
      </x:c>
      <x:c r="F120" s="110" t="str">
        <x:v>QA_APPROVED</x:v>
      </x:c>
      <x:c r="G120" s="110" t="str">
        <x:v>visual_gallery/assets/cropped/c8023ef103b85a4974543eaeaace199d3ff519d1813b716837b85c8474fdfc62.png</x:v>
      </x:c>
      <x:c r="H120" s="110" t="str">
        <x:v>c8023ef103b85a4974543eaeaace199d3ff519d1813b716837b85c8474fdfc62</x:v>
      </x:c>
      <x:c r="I120" s="110" t="str">
        <x:v>237ce0c8b17b1293d3622033c1ac11984f059882da4b2516cc8a40836ceb892d</x:v>
      </x:c>
      <x:c r="J120" s="110" t="str"/>
      <x:c r="K120" s="110" t="str"/>
      <x:c r="L120" s="30" t="str"/>
      <x:c r="M120" s="110" t="e">
        <x:f>HYPERLINK("visual_gallery/index.html#DEC-MATH-01-007--VIS-MATH-DEC-BW-TASK-P004","Галерея")</x:f>
      </x:c>
    </x:row>
    <x:row r="121" ht="24" customHeight="1">
      <x:c r="A121" s="110" t="str">
        <x:v>DEC-MATH-01-009</x:v>
      </x:c>
      <x:c r="B121" s="110" t="str">
        <x:v>VIS-MATH-DEC-BW-TASK-P005</x:v>
      </x:c>
      <x:c r="C121" s="110" t="str">
        <x:v>Математика</x:v>
      </x:c>
      <x:c r="D121" s="110" t="n">
        <x:v>9</x:v>
      </x:c>
      <x:c r="E121" s="110" t="str">
        <x:v>USE_TIGHT</x:v>
      </x:c>
      <x:c r="F121" s="110" t="str">
        <x:v>QA_APPROVED</x:v>
      </x:c>
      <x:c r="G121" s="110" t="str">
        <x:v>visual_gallery/assets/cropped/83677423bd5601be6ecef08e7915206f744363ce6814ee4eac69813f5f193c51.png</x:v>
      </x:c>
      <x:c r="H121" s="110" t="str">
        <x:v>83677423bd5601be6ecef08e7915206f744363ce6814ee4eac69813f5f193c51</x:v>
      </x:c>
      <x:c r="I121" s="110" t="str">
        <x:v>3ada0ef5164567ef561da701d9010f0f1caee8f048adea29ce19f1fbc9b3a979</x:v>
      </x:c>
      <x:c r="J121" s="110" t="str"/>
      <x:c r="K121" s="110" t="str"/>
      <x:c r="L121" s="30" t="str"/>
      <x:c r="M121" s="110" t="e">
        <x:f>HYPERLINK("visual_gallery/index.html#DEC-MATH-01-009--VIS-MATH-DEC-BW-TASK-P005","Галерея")</x:f>
      </x:c>
    </x:row>
    <x:row r="122" ht="24" customHeight="1">
      <x:c r="A122" s="110" t="str">
        <x:v>DEC-MATH-01-011</x:v>
      </x:c>
      <x:c r="B122" s="110" t="str">
        <x:v>VIS-MATH-DEC-BW-TASK-P006</x:v>
      </x:c>
      <x:c r="C122" s="110" t="str">
        <x:v>Математика</x:v>
      </x:c>
      <x:c r="D122" s="110" t="n">
        <x:v>11</x:v>
      </x:c>
      <x:c r="E122" s="110" t="str">
        <x:v>USE_CONTEXT</x:v>
      </x:c>
      <x:c r="F122" s="110" t="str">
        <x:v>QA_APPROVED</x:v>
      </x:c>
      <x:c r="G122" s="110" t="str">
        <x:v>visual_gallery/assets/cropped/c671f470c1a1637e64adb3f631cd941ca30ee4da6f594e47b594592106cf770b.png</x:v>
      </x:c>
      <x:c r="H122" s="110" t="str">
        <x:v>c671f470c1a1637e64adb3f631cd941ca30ee4da6f594e47b594592106cf770b</x:v>
      </x:c>
      <x:c r="I122" s="110" t="str">
        <x:v>fa2a8d631e18f0e121bf41501e6e2e720f0f922f0cdab3088384a0d6396ddf52</x:v>
      </x:c>
      <x:c r="J122" s="110" t="str"/>
      <x:c r="K122" s="110" t="str"/>
      <x:c r="L122" s="30" t="str"/>
      <x:c r="M122" s="110" t="e">
        <x:f>HYPERLINK("visual_gallery/index.html#DEC-MATH-01-011--VIS-MATH-DEC-BW-TASK-P006","Галерея")</x:f>
      </x:c>
    </x:row>
    <x:row r="123" ht="24" customHeight="1">
      <x:c r="A123" s="110" t="str">
        <x:v>DEC-MATH-02-006</x:v>
      </x:c>
      <x:c r="B123" s="110" t="str">
        <x:v>VIS-MATH-DEC-BW-TASK-P010</x:v>
      </x:c>
      <x:c r="C123" s="110" t="str">
        <x:v>Математика</x:v>
      </x:c>
      <x:c r="D123" s="110" t="n">
        <x:v>6</x:v>
      </x:c>
      <x:c r="E123" s="110" t="str">
        <x:v>USE_TIGHT</x:v>
      </x:c>
      <x:c r="F123" s="110" t="str">
        <x:v>QA_APPROVED</x:v>
      </x:c>
      <x:c r="G123" s="110" t="str">
        <x:v>visual_gallery/assets/cropped/2f7f286cebfb9e0c3bfe2d626d74fb6a252cc4f87616c1b3f437bfdfd7719391.png</x:v>
      </x:c>
      <x:c r="H123" s="110" t="str">
        <x:v>2f7f286cebfb9e0c3bfe2d626d74fb6a252cc4f87616c1b3f437bfdfd7719391</x:v>
      </x:c>
      <x:c r="I123" s="110" t="str">
        <x:v>fdcc2df58be988ab5eb02a5abcd0a57afa406d0b8e75ae11a49b98083b0aa8ce</x:v>
      </x:c>
      <x:c r="J123" s="110" t="str"/>
      <x:c r="K123" s="110" t="str"/>
      <x:c r="L123" s="30" t="str"/>
      <x:c r="M123" s="110" t="e">
        <x:f>HYPERLINK("visual_gallery/index.html#DEC-MATH-02-006--VIS-MATH-DEC-BW-TASK-P010","Галерея")</x:f>
      </x:c>
    </x:row>
    <x:row r="124" ht="24" customHeight="1">
      <x:c r="A124" s="110" t="str">
        <x:v>DEC-MATH-02-007</x:v>
      </x:c>
      <x:c r="B124" s="110" t="str">
        <x:v>VIS-MATH-DEC-BW-TASK-P011</x:v>
      </x:c>
      <x:c r="C124" s="110" t="str">
        <x:v>Математика</x:v>
      </x:c>
      <x:c r="D124" s="110" t="n">
        <x:v>7</x:v>
      </x:c>
      <x:c r="E124" s="110" t="str">
        <x:v>USE_TIGHT</x:v>
      </x:c>
      <x:c r="F124" s="110" t="str">
        <x:v>QA_APPROVED</x:v>
      </x:c>
      <x:c r="G124" s="110" t="str">
        <x:v>visual_gallery/assets/cropped/5422aad9f8fa3d5f4dd89451130ed16c1944d74809d2365d23e99562aa7df64a.png</x:v>
      </x:c>
      <x:c r="H124" s="110" t="str">
        <x:v>5422aad9f8fa3d5f4dd89451130ed16c1944d74809d2365d23e99562aa7df64a</x:v>
      </x:c>
      <x:c r="I124" s="110" t="str">
        <x:v>4b20bb6cd712d5ef40a0cb16ad300f2fb52a6656a9a9fb5ec088e1fea3f3342b</x:v>
      </x:c>
      <x:c r="J124" s="110" t="str"/>
      <x:c r="K124" s="110" t="str"/>
      <x:c r="L124" s="30" t="str"/>
      <x:c r="M124" s="110" t="e">
        <x:f>HYPERLINK("visual_gallery/index.html#DEC-MATH-02-007--VIS-MATH-DEC-BW-TASK-P011","Галерея")</x:f>
      </x:c>
    </x:row>
    <x:row r="125" ht="24" customHeight="1">
      <x:c r="A125" s="110" t="str">
        <x:v>DEC-MATH-02-009</x:v>
      </x:c>
      <x:c r="B125" s="110" t="str">
        <x:v>VIS-MATH-DEC-BW-TASK-P012</x:v>
      </x:c>
      <x:c r="C125" s="110" t="str">
        <x:v>Математика</x:v>
      </x:c>
      <x:c r="D125" s="110" t="n">
        <x:v>9</x:v>
      </x:c>
      <x:c r="E125" s="110" t="str">
        <x:v>USE_TIGHT</x:v>
      </x:c>
      <x:c r="F125" s="110" t="str">
        <x:v>QA_APPROVED</x:v>
      </x:c>
      <x:c r="G125" s="110" t="str">
        <x:v>visual_gallery/assets/cropped/806928e76efe69c24db79b079c965010d316176170f91a1814958ddedf292417.png</x:v>
      </x:c>
      <x:c r="H125" s="110" t="str">
        <x:v>806928e76efe69c24db79b079c965010d316176170f91a1814958ddedf292417</x:v>
      </x:c>
      <x:c r="I125" s="110" t="str">
        <x:v>606ab4e799f745b70ce6571ba201d883adeec2ec3e8df74484c51afdf6874561</x:v>
      </x:c>
      <x:c r="J125" s="110" t="str"/>
      <x:c r="K125" s="110" t="str"/>
      <x:c r="L125" s="30" t="str"/>
      <x:c r="M125" s="110" t="e">
        <x:f>HYPERLINK("visual_gallery/index.html#DEC-MATH-02-009--VIS-MATH-DEC-BW-TASK-P012","Галерея")</x:f>
      </x:c>
    </x:row>
    <x:row r="126" ht="24" customHeight="1">
      <x:c r="A126" s="110" t="str">
        <x:v>DEC-MATH-02-011</x:v>
      </x:c>
      <x:c r="B126" s="110" t="str">
        <x:v>VIS-MATH-DEC-BW-TASK-P013</x:v>
      </x:c>
      <x:c r="C126" s="110" t="str">
        <x:v>Математика</x:v>
      </x:c>
      <x:c r="D126" s="110" t="n">
        <x:v>11</x:v>
      </x:c>
      <x:c r="E126" s="110" t="str">
        <x:v>USE_TIGHT</x:v>
      </x:c>
      <x:c r="F126" s="110" t="str">
        <x:v>QA_APPROVED</x:v>
      </x:c>
      <x:c r="G126" s="110" t="str">
        <x:v>visual_gallery/assets/cropped/8d38e3a69e068827485e2c092d9c943cc822305052972a8ee3375e8f2ae80d46.png</x:v>
      </x:c>
      <x:c r="H126" s="110" t="str">
        <x:v>8d38e3a69e068827485e2c092d9c943cc822305052972a8ee3375e8f2ae80d46</x:v>
      </x:c>
      <x:c r="I126" s="110" t="str">
        <x:v>30f73986b7065cea95bdf7d53ac272020ffb9373a5006fe55d7bc4664c890fdc</x:v>
      </x:c>
      <x:c r="J126" s="110" t="str"/>
      <x:c r="K126" s="110" t="str"/>
      <x:c r="L126" s="30" t="str"/>
      <x:c r="M126" s="110" t="e">
        <x:f>HYPERLINK("visual_gallery/index.html#DEC-MATH-02-011--VIS-MATH-DEC-BW-TASK-P013","Галерея")</x:f>
      </x:c>
    </x:row>
    <x:row r="127" ht="24" customHeight="1">
      <x:c r="A127" s="110" t="str">
        <x:v>DEC-MATH-03-006</x:v>
      </x:c>
      <x:c r="B127" s="110" t="str">
        <x:v>VIS-MATH-DEC-BW-TASK-P017</x:v>
      </x:c>
      <x:c r="C127" s="110" t="str">
        <x:v>Математика</x:v>
      </x:c>
      <x:c r="D127" s="110" t="n">
        <x:v>6</x:v>
      </x:c>
      <x:c r="E127" s="110" t="str">
        <x:v>USE_TIGHT</x:v>
      </x:c>
      <x:c r="F127" s="110" t="str">
        <x:v>QA_APPROVED</x:v>
      </x:c>
      <x:c r="G127" s="110" t="str">
        <x:v>visual_gallery/assets/cropped/f5f5b10bf03662b66c8789422d34b9903db112acfbaa2e7c37ff84cce11e5ea8.png</x:v>
      </x:c>
      <x:c r="H127" s="110" t="str">
        <x:v>f5f5b10bf03662b66c8789422d34b9903db112acfbaa2e7c37ff84cce11e5ea8</x:v>
      </x:c>
      <x:c r="I127" s="110" t="str">
        <x:v>6c474839739f09c643964c275677ab083f824ee417d9135e1fddebbc0d1c15cc</x:v>
      </x:c>
      <x:c r="J127" s="110" t="str"/>
      <x:c r="K127" s="110" t="str"/>
      <x:c r="L127" s="30" t="str"/>
      <x:c r="M127" s="110" t="e">
        <x:f>HYPERLINK("visual_gallery/index.html#DEC-MATH-03-006--VIS-MATH-DEC-BW-TASK-P017","Галерея")</x:f>
      </x:c>
    </x:row>
    <x:row r="128" ht="24" customHeight="1">
      <x:c r="A128" s="110" t="str">
        <x:v>DEC-MATH-03-007</x:v>
      </x:c>
      <x:c r="B128" s="110" t="str">
        <x:v>VIS-MATH-DEC-BW-TASK-P018</x:v>
      </x:c>
      <x:c r="C128" s="110" t="str">
        <x:v>Математика</x:v>
      </x:c>
      <x:c r="D128" s="110" t="n">
        <x:v>7</x:v>
      </x:c>
      <x:c r="E128" s="110" t="str">
        <x:v>USE_TIGHT</x:v>
      </x:c>
      <x:c r="F128" s="110" t="str">
        <x:v>QA_APPROVED</x:v>
      </x:c>
      <x:c r="G128" s="110" t="str">
        <x:v>visual_gallery/assets/cropped/9fe8c093dd036d00799a66d3ccee310f37133aaafed2482042db87e18fcaaa95.png</x:v>
      </x:c>
      <x:c r="H128" s="110" t="str">
        <x:v>9fe8c093dd036d00799a66d3ccee310f37133aaafed2482042db87e18fcaaa95</x:v>
      </x:c>
      <x:c r="I128" s="110" t="str">
        <x:v>c2e62da5bc7bb1176d09873899dd41b7089dade8719871dca46cdd227802f5e7</x:v>
      </x:c>
      <x:c r="J128" s="110" t="str"/>
      <x:c r="K128" s="110" t="str"/>
      <x:c r="L128" s="30" t="str"/>
      <x:c r="M128" s="110" t="e">
        <x:f>HYPERLINK("visual_gallery/index.html#DEC-MATH-03-007--VIS-MATH-DEC-BW-TASK-P018","Галерея")</x:f>
      </x:c>
    </x:row>
    <x:row r="129" ht="24" customHeight="1">
      <x:c r="A129" s="110" t="str">
        <x:v>DEC-MATH-03-009</x:v>
      </x:c>
      <x:c r="B129" s="110" t="str">
        <x:v>VIS-MATH-DEC-BW-TASK-P019</x:v>
      </x:c>
      <x:c r="C129" s="110" t="str">
        <x:v>Математика</x:v>
      </x:c>
      <x:c r="D129" s="110" t="n">
        <x:v>9</x:v>
      </x:c>
      <x:c r="E129" s="110" t="str">
        <x:v>USE_TIGHT</x:v>
      </x:c>
      <x:c r="F129" s="110" t="str">
        <x:v>QA_APPROVED</x:v>
      </x:c>
      <x:c r="G129" s="110" t="str">
        <x:v>visual_gallery/assets/cropped/b4d16d1d93d3768812229ebe8eb7df875af4d0e3ce4a5b596280afb08e8f9ccf.png</x:v>
      </x:c>
      <x:c r="H129" s="110" t="str">
        <x:v>b4d16d1d93d3768812229ebe8eb7df875af4d0e3ce4a5b596280afb08e8f9ccf</x:v>
      </x:c>
      <x:c r="I129" s="110" t="str">
        <x:v>2d3c9ce3276656d46164104ebef63f9338aa424b8ad01a6b9f4ac488d4510543</x:v>
      </x:c>
      <x:c r="J129" s="110" t="str"/>
      <x:c r="K129" s="110" t="str"/>
      <x:c r="L129" s="30" t="str"/>
      <x:c r="M129" s="110" t="e">
        <x:f>HYPERLINK("visual_gallery/index.html#DEC-MATH-03-009--VIS-MATH-DEC-BW-TASK-P019","Галерея")</x:f>
      </x:c>
    </x:row>
    <x:row r="130" ht="24" customHeight="1">
      <x:c r="A130" s="110" t="str">
        <x:v>DEC-MATH-03-011</x:v>
      </x:c>
      <x:c r="B130" s="110" t="str">
        <x:v>VIS-MATH-DEC-BW-TASK-P020</x:v>
      </x:c>
      <x:c r="C130" s="110" t="str">
        <x:v>Математика</x:v>
      </x:c>
      <x:c r="D130" s="110" t="n">
        <x:v>11</x:v>
      </x:c>
      <x:c r="E130" s="110" t="str">
        <x:v>USE_TIGHT</x:v>
      </x:c>
      <x:c r="F130" s="110" t="str">
        <x:v>QA_APPROVED</x:v>
      </x:c>
      <x:c r="G130" s="110" t="str">
        <x:v>visual_gallery/assets/cropped/8d38e3a69e068827485e2c092d9c943cc822305052972a8ee3375e8f2ae80d46.png</x:v>
      </x:c>
      <x:c r="H130" s="110" t="str">
        <x:v>8d38e3a69e068827485e2c092d9c943cc822305052972a8ee3375e8f2ae80d46</x:v>
      </x:c>
      <x:c r="I130" s="110" t="str">
        <x:v>57d762f7dd32c7c8be97909df5b1505b0a24bd4a0f74400ac529d5b133ef95df</x:v>
      </x:c>
      <x:c r="J130" s="110" t="str"/>
      <x:c r="K130" s="110" t="str"/>
      <x:c r="L130" s="30" t="str"/>
      <x:c r="M130" s="110" t="e">
        <x:f>HYPERLINK("visual_gallery/index.html#DEC-MATH-03-011--VIS-MATH-DEC-BW-TASK-P020","Галерея")</x:f>
      </x:c>
    </x:row>
    <x:row r="131" ht="24" customHeight="1">
      <x:c r="A131" s="110" t="str">
        <x:v>DEC-MATH-04-006</x:v>
      </x:c>
      <x:c r="B131" s="110" t="str">
        <x:v>VIS-MATH-DEC-BW-TASK-P024</x:v>
      </x:c>
      <x:c r="C131" s="110" t="str">
        <x:v>Математика</x:v>
      </x:c>
      <x:c r="D131" s="110" t="n">
        <x:v>6</x:v>
      </x:c>
      <x:c r="E131" s="110" t="str">
        <x:v>USE_TIGHT</x:v>
      </x:c>
      <x:c r="F131" s="110" t="str">
        <x:v>QA_APPROVED</x:v>
      </x:c>
      <x:c r="G131" s="110" t="str">
        <x:v>visual_gallery/assets/cropped/183a191b521f0f3747c5fb8278bbb95a0385c0f94de7be2f2eebf746d2f1f7a1.png</x:v>
      </x:c>
      <x:c r="H131" s="110" t="str">
        <x:v>183a191b521f0f3747c5fb8278bbb95a0385c0f94de7be2f2eebf746d2f1f7a1</x:v>
      </x:c>
      <x:c r="I131" s="110" t="str">
        <x:v>96b7cbffaab12031d7ef4cb953ba4e2091ebe948fabe1604dd656d8d14368a0f</x:v>
      </x:c>
      <x:c r="J131" s="110" t="str"/>
      <x:c r="K131" s="110" t="str"/>
      <x:c r="L131" s="30" t="str"/>
      <x:c r="M131" s="110" t="e">
        <x:f>HYPERLINK("visual_gallery/index.html#DEC-MATH-04-006--VIS-MATH-DEC-BW-TASK-P024","Галерея")</x:f>
      </x:c>
    </x:row>
    <x:row r="132" ht="24" customHeight="1">
      <x:c r="A132" s="110" t="str">
        <x:v>DEC-MATH-04-007</x:v>
      </x:c>
      <x:c r="B132" s="110" t="str">
        <x:v>VIS-MATH-DEC-BW-TASK-P025</x:v>
      </x:c>
      <x:c r="C132" s="110" t="str">
        <x:v>Математика</x:v>
      </x:c>
      <x:c r="D132" s="110" t="n">
        <x:v>7</x:v>
      </x:c>
      <x:c r="E132" s="110" t="str">
        <x:v>USE_TIGHT</x:v>
      </x:c>
      <x:c r="F132" s="110" t="str">
        <x:v>QA_APPROVED</x:v>
      </x:c>
      <x:c r="G132" s="110" t="str">
        <x:v>visual_gallery/assets/cropped/26db2033e3dd7da32063679732dccdbb7bffd096f458b11a2304a37969a1780d.png</x:v>
      </x:c>
      <x:c r="H132" s="110" t="str">
        <x:v>26db2033e3dd7da32063679732dccdbb7bffd096f458b11a2304a37969a1780d</x:v>
      </x:c>
      <x:c r="I132" s="110" t="str">
        <x:v>0d57beebbef6fd23f36834adf1c6608a2d7d383b0657aa83cef39e3ca4c450a6</x:v>
      </x:c>
      <x:c r="J132" s="110" t="str"/>
      <x:c r="K132" s="110" t="str"/>
      <x:c r="L132" s="30" t="str"/>
      <x:c r="M132" s="110" t="e">
        <x:f>HYPERLINK("visual_gallery/index.html#DEC-MATH-04-007--VIS-MATH-DEC-BW-TASK-P025","Галерея")</x:f>
      </x:c>
    </x:row>
    <x:row r="133" ht="24" customHeight="1">
      <x:c r="A133" s="110" t="str">
        <x:v>DEC-MATH-04-009</x:v>
      </x:c>
      <x:c r="B133" s="110" t="str">
        <x:v>VIS-MATH-DEC-BW-TASK-P026</x:v>
      </x:c>
      <x:c r="C133" s="110" t="str">
        <x:v>Математика</x:v>
      </x:c>
      <x:c r="D133" s="110" t="n">
        <x:v>9</x:v>
      </x:c>
      <x:c r="E133" s="110" t="str">
        <x:v>USE_TIGHT</x:v>
      </x:c>
      <x:c r="F133" s="110" t="str">
        <x:v>QA_APPROVED</x:v>
      </x:c>
      <x:c r="G133" s="110" t="str">
        <x:v>visual_gallery/assets/cropped/0d5448e9e46fc27227a7ec8dc6e13fe8fb1783d2009c14141ea5db386a1e7630.png</x:v>
      </x:c>
      <x:c r="H133" s="110" t="str">
        <x:v>0d5448e9e46fc27227a7ec8dc6e13fe8fb1783d2009c14141ea5db386a1e7630</x:v>
      </x:c>
      <x:c r="I133" s="110" t="str">
        <x:v>b67885f653db3076a4d2fa29136b08a9fe5b306aa00b2e86ceb40ae8f609b989</x:v>
      </x:c>
      <x:c r="J133" s="110" t="str"/>
      <x:c r="K133" s="110" t="str"/>
      <x:c r="L133" s="30" t="str"/>
      <x:c r="M133" s="110" t="e">
        <x:f>HYPERLINK("visual_gallery/index.html#DEC-MATH-04-009--VIS-MATH-DEC-BW-TASK-P026","Галерея")</x:f>
      </x:c>
    </x:row>
    <x:row r="134" ht="24" customHeight="1">
      <x:c r="A134" s="110" t="str">
        <x:v>DEC-MATH-04-011</x:v>
      </x:c>
      <x:c r="B134" s="110" t="str">
        <x:v>VIS-MATH-DEC-BW-TASK-P027</x:v>
      </x:c>
      <x:c r="C134" s="110" t="str">
        <x:v>Математика</x:v>
      </x:c>
      <x:c r="D134" s="110" t="n">
        <x:v>11</x:v>
      </x:c>
      <x:c r="E134" s="110" t="str">
        <x:v>USE_TIGHT</x:v>
      </x:c>
      <x:c r="F134" s="110" t="str">
        <x:v>QA_APPROVED</x:v>
      </x:c>
      <x:c r="G134" s="110" t="str">
        <x:v>visual_gallery/assets/cropped/8d38e3a69e068827485e2c092d9c943cc822305052972a8ee3375e8f2ae80d46.png</x:v>
      </x:c>
      <x:c r="H134" s="110" t="str">
        <x:v>8d38e3a69e068827485e2c092d9c943cc822305052972a8ee3375e8f2ae80d46</x:v>
      </x:c>
      <x:c r="I134" s="110" t="str">
        <x:v>f34723ce12ffa0ff3c200779eae7ecf2bca8dddcdfccbe1ea76bf19ebcb5e12c</x:v>
      </x:c>
      <x:c r="J134" s="110" t="str"/>
      <x:c r="K134" s="110" t="str"/>
      <x:c r="L134" s="30" t="str"/>
      <x:c r="M134" s="110" t="e">
        <x:f>HYPERLINK("visual_gallery/index.html#DEC-MATH-04-011--VIS-MATH-DEC-BW-TASK-P027","Галерея")</x:f>
      </x:c>
    </x:row>
    <x:row r="135" ht="24" customHeight="1">
      <x:c r="A135" s="110" t="str">
        <x:v>DEC-MATH-11-008</x:v>
      </x:c>
      <x:c r="B135" s="110" t="str">
        <x:v>VIS-MATH-DEC-PE-TASK-P003</x:v>
      </x:c>
      <x:c r="C135" s="110" t="str">
        <x:v>Математика</x:v>
      </x:c>
      <x:c r="D135" s="110" t="n">
        <x:v>8</x:v>
      </x:c>
      <x:c r="E135" s="110" t="str">
        <x:v>USE_TIGHT</x:v>
      </x:c>
      <x:c r="F135" s="110" t="str">
        <x:v>QA_APPROVED</x:v>
      </x:c>
      <x:c r="G135" s="110" t="str">
        <x:v>visual_gallery/assets/cropped/a4bc1c8cc2ee643ef697cf944aa9c7f6ecb1912294ed89c64d7d819592f103d4.png</x:v>
      </x:c>
      <x:c r="H135" s="110" t="str">
        <x:v>a4bc1c8cc2ee643ef697cf944aa9c7f6ecb1912294ed89c64d7d819592f103d4</x:v>
      </x:c>
      <x:c r="I135" s="110" t="str">
        <x:v>e758cfb887b15908c046bcf9d2c0fbdc544fa9e2739d02101a2a0c3eccb7859c</x:v>
      </x:c>
      <x:c r="J135" s="110" t="str"/>
      <x:c r="K135" s="110" t="str"/>
      <x:c r="L135" s="30" t="str"/>
      <x:c r="M135" s="110" t="e">
        <x:f>HYPERLINK("visual_gallery/index.html#DEC-MATH-11-008--VIS-MATH-DEC-PE-TASK-P003","Галерея")</x:f>
      </x:c>
    </x:row>
    <x:row r="136" ht="24" customHeight="1">
      <x:c r="A136" s="110" t="str">
        <x:v>DEC-MATH-11-011</x:v>
      </x:c>
      <x:c r="B136" s="110" t="str">
        <x:v>VIS-MATH-DEC-PE-TASK-P004</x:v>
      </x:c>
      <x:c r="C136" s="110" t="str">
        <x:v>Математика</x:v>
      </x:c>
      <x:c r="D136" s="110" t="n">
        <x:v>11</x:v>
      </x:c>
      <x:c r="E136" s="110" t="str">
        <x:v>USE_TIGHT</x:v>
      </x:c>
      <x:c r="F136" s="110" t="str">
        <x:v>QA_APPROVED</x:v>
      </x:c>
      <x:c r="G136" s="110" t="str">
        <x:v>visual_gallery/assets/cropped/49fc9dac6969fe6b0840c1746a6004f8786c79a1e454c5dab3be911a4748fc73.png</x:v>
      </x:c>
      <x:c r="H136" s="110" t="str">
        <x:v>49fc9dac6969fe6b0840c1746a6004f8786c79a1e454c5dab3be911a4748fc73</x:v>
      </x:c>
      <x:c r="I136" s="110" t="str">
        <x:v>8cf369be35e131c0b5d407e1eef950c553e92b97087523887672947576932118</x:v>
      </x:c>
      <x:c r="J136" s="110" t="str"/>
      <x:c r="K136" s="110" t="str"/>
      <x:c r="L136" s="30" t="str"/>
      <x:c r="M136" s="110" t="e">
        <x:f>HYPERLINK("visual_gallery/index.html#DEC-MATH-11-011--VIS-MATH-DEC-PE-TASK-P004","Галерея")</x:f>
      </x:c>
    </x:row>
    <x:row r="137" ht="24" customHeight="1">
      <x:c r="A137" s="110" t="str">
        <x:v>DEC-MATH-12-008</x:v>
      </x:c>
      <x:c r="B137" s="110" t="str">
        <x:v>VIS-MATH-DEC-PE-TASK-P009</x:v>
      </x:c>
      <x:c r="C137" s="110" t="str">
        <x:v>Математика</x:v>
      </x:c>
      <x:c r="D137" s="110" t="n">
        <x:v>8</x:v>
      </x:c>
      <x:c r="E137" s="110" t="str">
        <x:v>USE_TIGHT</x:v>
      </x:c>
      <x:c r="F137" s="110" t="str">
        <x:v>QA_APPROVED</x:v>
      </x:c>
      <x:c r="G137" s="110" t="str">
        <x:v>visual_gallery/assets/cropped/836c4748d5d24b158ef072f692e524692bc4ba2f78959903772dd79ab85f8ff1.png</x:v>
      </x:c>
      <x:c r="H137" s="110" t="str">
        <x:v>836c4748d5d24b158ef072f692e524692bc4ba2f78959903772dd79ab85f8ff1</x:v>
      </x:c>
      <x:c r="I137" s="110" t="str">
        <x:v>4f74ef1b24999bbdaec2691f4cb3aea90c872f02c8d083b51c7493df41f40922</x:v>
      </x:c>
      <x:c r="J137" s="110" t="str"/>
      <x:c r="K137" s="110" t="str"/>
      <x:c r="L137" s="30" t="str"/>
      <x:c r="M137" s="110" t="e">
        <x:f>HYPERLINK("visual_gallery/index.html#DEC-MATH-12-008--VIS-MATH-DEC-PE-TASK-P009","Галерея")</x:f>
      </x:c>
    </x:row>
    <x:row r="138" ht="24" customHeight="1">
      <x:c r="A138" s="110" t="str">
        <x:v>DEC-MATH-12-011</x:v>
      </x:c>
      <x:c r="B138" s="110" t="str">
        <x:v>VIS-MATH-DEC-PE-TASK-P010</x:v>
      </x:c>
      <x:c r="C138" s="110" t="str">
        <x:v>Математика</x:v>
      </x:c>
      <x:c r="D138" s="110" t="n">
        <x:v>11</x:v>
      </x:c>
      <x:c r="E138" s="110" t="str">
        <x:v>USE_CONTEXT</x:v>
      </x:c>
      <x:c r="F138" s="110" t="str">
        <x:v>QA_APPROVED</x:v>
      </x:c>
      <x:c r="G138" s="110" t="str">
        <x:v>visual_gallery/assets/cropped/0603bb466799778c663894472b809be08df09604d2e51f8369f0dc22811446d9.png</x:v>
      </x:c>
      <x:c r="H138" s="110" t="str">
        <x:v>0603bb466799778c663894472b809be08df09604d2e51f8369f0dc22811446d9</x:v>
      </x:c>
      <x:c r="I138" s="110" t="str">
        <x:v>76062d4ed41f4610dcd44c6691abf56b25caeaceee1bc9151591fb553a26d92f</x:v>
      </x:c>
      <x:c r="J138" s="110" t="str"/>
      <x:c r="K138" s="110" t="str"/>
      <x:c r="L138" s="30" t="str"/>
      <x:c r="M138" s="110" t="e">
        <x:f>HYPERLINK("visual_gallery/index.html#DEC-MATH-12-011--VIS-MATH-DEC-PE-TASK-P010","Галерея")</x:f>
      </x:c>
    </x:row>
    <x:row r="139" ht="24" customHeight="1">
      <x:c r="A139" s="110" t="str">
        <x:v>DEC-MATH-09-008</x:v>
      </x:c>
      <x:c r="B139" s="110" t="str">
        <x:v>VIS-MATH-DEC-PW-TASK-P004</x:v>
      </x:c>
      <x:c r="C139" s="110" t="str">
        <x:v>Математика</x:v>
      </x:c>
      <x:c r="D139" s="110" t="n">
        <x:v>8</x:v>
      </x:c>
      <x:c r="E139" s="110" t="str">
        <x:v>USE_TIGHT</x:v>
      </x:c>
      <x:c r="F139" s="110" t="str">
        <x:v>QA_APPROVED</x:v>
      </x:c>
      <x:c r="G139" s="110" t="str">
        <x:v>visual_gallery/assets/cropped/9463fefff4c1db624cf93a0e0caf061004fa1fffe957a6677762af87cba4446a.png</x:v>
      </x:c>
      <x:c r="H139" s="110" t="str">
        <x:v>9463fefff4c1db624cf93a0e0caf061004fa1fffe957a6677762af87cba4446a</x:v>
      </x:c>
      <x:c r="I139" s="110" t="str">
        <x:v>591f1f096b999b101039fe956b6b6ebd39bbd6816fce652589cdd2288efdf767</x:v>
      </x:c>
      <x:c r="J139" s="110" t="str"/>
      <x:c r="K139" s="110" t="str"/>
      <x:c r="L139" s="30" t="str"/>
      <x:c r="M139" s="110" t="e">
        <x:f>HYPERLINK("visual_gallery/index.html#DEC-MATH-09-008--VIS-MATH-DEC-PW-TASK-P004","Галерея")</x:f>
      </x:c>
    </x:row>
    <x:row r="140" ht="24" customHeight="1">
      <x:c r="A140" s="110" t="str">
        <x:v>DEC-MATH-09-011</x:v>
      </x:c>
      <x:c r="B140" s="110" t="str">
        <x:v>VIS-MATH-DEC-PW-TASK-P005</x:v>
      </x:c>
      <x:c r="C140" s="110" t="str">
        <x:v>Математика</x:v>
      </x:c>
      <x:c r="D140" s="110" t="n">
        <x:v>11</x:v>
      </x:c>
      <x:c r="E140" s="110" t="str">
        <x:v>USE_TIGHT</x:v>
      </x:c>
      <x:c r="F140" s="110" t="str">
        <x:v>QA_APPROVED</x:v>
      </x:c>
      <x:c r="G140" s="110" t="str">
        <x:v>visual_gallery/assets/cropped/2e5b25542edd04ef1761ab450ddb579286f95ee09ecece5cd20b8ba765eea407.png</x:v>
      </x:c>
      <x:c r="H140" s="110" t="str">
        <x:v>2e5b25542edd04ef1761ab450ddb579286f95ee09ecece5cd20b8ba765eea407</x:v>
      </x:c>
      <x:c r="I140" s="110" t="str">
        <x:v>5d108af94a8c1294ef7a1eaa6d1a2e772f882287d857cd57b996beb4c08208bb</x:v>
      </x:c>
      <x:c r="J140" s="110" t="str"/>
      <x:c r="K140" s="110" t="str"/>
      <x:c r="L140" s="30" t="str"/>
      <x:c r="M140" s="110" t="e">
        <x:f>HYPERLINK("visual_gallery/index.html#DEC-MATH-09-011--VIS-MATH-DEC-PW-TASK-P005","Галерея")</x:f>
      </x:c>
    </x:row>
    <x:row r="141" ht="24" customHeight="1">
      <x:c r="A141" s="110" t="str">
        <x:v>DEC-MATH-10-008</x:v>
      </x:c>
      <x:c r="B141" s="110" t="str">
        <x:v>VIS-MATH-DEC-PW-TASK-P011</x:v>
      </x:c>
      <x:c r="C141" s="110" t="str">
        <x:v>Математика</x:v>
      </x:c>
      <x:c r="D141" s="110" t="n">
        <x:v>8</x:v>
      </x:c>
      <x:c r="E141" s="110" t="str">
        <x:v>USE_TIGHT</x:v>
      </x:c>
      <x:c r="F141" s="110" t="str">
        <x:v>QA_APPROVED</x:v>
      </x:c>
      <x:c r="G141" s="110" t="str">
        <x:v>visual_gallery/assets/cropped/111e37204d8f69ccdfe1237b7a2dc16e7b2ec2738697419f51ad6b7a7a8856aa.png</x:v>
      </x:c>
      <x:c r="H141" s="110" t="str">
        <x:v>111e37204d8f69ccdfe1237b7a2dc16e7b2ec2738697419f51ad6b7a7a8856aa</x:v>
      </x:c>
      <x:c r="I141" s="110" t="str">
        <x:v>f32ac61411e217bfddeb8cd3c4ba9a45e12158d98730b1393822aace0f5bdf60</x:v>
      </x:c>
      <x:c r="J141" s="110" t="str"/>
      <x:c r="K141" s="110" t="str"/>
      <x:c r="L141" s="30" t="str"/>
      <x:c r="M141" s="110" t="e">
        <x:f>HYPERLINK("visual_gallery/index.html#DEC-MATH-10-008--VIS-MATH-DEC-PW-TASK-P011","Галерея")</x:f>
      </x:c>
    </x:row>
    <x:row r="142" ht="24" customHeight="1">
      <x:c r="A142" s="110" t="str">
        <x:v>DEC-MATH-10-011</x:v>
      </x:c>
      <x:c r="B142" s="110" t="str">
        <x:v>VIS-MATH-DEC-PW-TASK-P012</x:v>
      </x:c>
      <x:c r="C142" s="110" t="str">
        <x:v>Математика</x:v>
      </x:c>
      <x:c r="D142" s="110" t="n">
        <x:v>11</x:v>
      </x:c>
      <x:c r="E142" s="110" t="str">
        <x:v>USE_TIGHT</x:v>
      </x:c>
      <x:c r="F142" s="110" t="str">
        <x:v>QA_APPROVED</x:v>
      </x:c>
      <x:c r="G142" s="110" t="str">
        <x:v>visual_gallery/assets/cropped/3038ee25624fefe76d4c759902658d96989fcbc25e46c4d73809cf562e3a8b0a.png</x:v>
      </x:c>
      <x:c r="H142" s="110" t="str">
        <x:v>3038ee25624fefe76d4c759902658d96989fcbc25e46c4d73809cf562e3a8b0a</x:v>
      </x:c>
      <x:c r="I142" s="110" t="str">
        <x:v>767ef22d56bd41cd9b746c95f7fcf32bc5cd421adc236571497e822f7bb1b24d</x:v>
      </x:c>
      <x:c r="J142" s="110" t="str"/>
      <x:c r="K142" s="110" t="str"/>
      <x:c r="L142" s="30" t="str"/>
      <x:c r="M142" s="110" t="e">
        <x:f>HYPERLINK("visual_gallery/index.html#DEC-MATH-10-011--VIS-MATH-DEC-PW-TASK-P012","Галерея")</x:f>
      </x:c>
    </x:row>
    <x:row r="143" ht="24" customHeight="1">
      <x:c r="A143" s="110" t="str">
        <x:v>MAY-MATH-01-003</x:v>
      </x:c>
      <x:c r="B143" s="110" t="str">
        <x:v>VIS-MATH-MAY-BASE-TASK-P003</x:v>
      </x:c>
      <x:c r="C143" s="110" t="str">
        <x:v>Математика</x:v>
      </x:c>
      <x:c r="D143" s="110" t="n">
        <x:v>3</x:v>
      </x:c>
      <x:c r="E143" s="110" t="str">
        <x:v>USE_CONTEXT</x:v>
      </x:c>
      <x:c r="F143" s="110" t="str">
        <x:v>QA_APPROVED</x:v>
      </x:c>
      <x:c r="G143" s="110" t="str">
        <x:v>visual_gallery/assets/cropped/c107069fefdaf2045ad3958d04a63678961f961a8ffc2bba60ca64627ca2ad5f.png</x:v>
      </x:c>
      <x:c r="H143" s="110" t="str">
        <x:v>c107069fefdaf2045ad3958d04a63678961f961a8ffc2bba60ca64627ca2ad5f</x:v>
      </x:c>
      <x:c r="I143" s="110" t="str">
        <x:v>fb1faa2c533c58f9049e2a21c007d2f71c1b3f3476992d7f67e538fa44697dc8</x:v>
      </x:c>
      <x:c r="J143" s="110" t="str"/>
      <x:c r="K143" s="110" t="str"/>
      <x:c r="L143" s="30" t="str"/>
      <x:c r="M143" s="110" t="e">
        <x:f>HYPERLINK("visual_gallery/index.html#MAY-MATH-01-003--VIS-MATH-MAY-BASE-TASK-P003","Галерея")</x:f>
      </x:c>
    </x:row>
    <x:row r="144" ht="24" customHeight="1">
      <x:c r="A144" s="110" t="str">
        <x:v>MAY-MATH-01-007</x:v>
      </x:c>
      <x:c r="B144" s="110" t="str">
        <x:v>VIS-MATH-MAY-BASE-TASK-P004</x:v>
      </x:c>
      <x:c r="C144" s="110" t="str">
        <x:v>Математика</x:v>
      </x:c>
      <x:c r="D144" s="110" t="n">
        <x:v>7</x:v>
      </x:c>
      <x:c r="E144" s="110" t="str">
        <x:v>MANUAL_BBOX</x:v>
      </x:c>
      <x:c r="F144" s="110" t="str">
        <x:v>QA_APPROVED</x:v>
      </x:c>
      <x:c r="G144" s="110" t="str">
        <x:v>visual_gallery/assets/cropped/9760ca19e25b2db3774b46a72129ad6ee41a5361a88ff5fca3f565f5fa2b5845.png</x:v>
      </x:c>
      <x:c r="H144" s="110" t="str">
        <x:v>9760ca19e25b2db3774b46a72129ad6ee41a5361a88ff5fca3f565f5fa2b5845</x:v>
      </x:c>
      <x:c r="I144" s="110" t="str">
        <x:v>9a6b0940eed3cb7b8a86938b49c7bb3ff058703a928edb833977daa5127c3f17</x:v>
      </x:c>
      <x:c r="J144" s="110" t="str">
        <x:v>[136, 731, 932, 1200]</x:v>
      </x:c>
      <x:c r="K144" s="110" t="str"/>
      <x:c r="L144" s="30" t="str"/>
      <x:c r="M144" s="110" t="e">
        <x:f>HYPERLINK("visual_gallery/index.html#MAY-MATH-01-007--VIS-MATH-MAY-BASE-TASK-P004","Галерея")</x:f>
      </x:c>
    </x:row>
    <x:row r="145" ht="24" customHeight="1">
      <x:c r="A145" s="110" t="str">
        <x:v>MAY-MATH-01-009</x:v>
      </x:c>
      <x:c r="B145" s="110" t="str">
        <x:v>VIS-MATH-MAY-BASE-TASK-P005</x:v>
      </x:c>
      <x:c r="C145" s="110" t="str">
        <x:v>Математика</x:v>
      </x:c>
      <x:c r="D145" s="110" t="n">
        <x:v>9</x:v>
      </x:c>
      <x:c r="E145" s="110" t="str">
        <x:v>USE_TIGHT</x:v>
      </x:c>
      <x:c r="F145" s="110" t="str">
        <x:v>QA_APPROVED</x:v>
      </x:c>
      <x:c r="G145" s="110" t="str">
        <x:v>visual_gallery/assets/cropped/84c527054fdb32866eed41e34a5f277a1179013849774ef7be7ae8a7579dd5c4.png</x:v>
      </x:c>
      <x:c r="H145" s="110" t="str">
        <x:v>84c527054fdb32866eed41e34a5f277a1179013849774ef7be7ae8a7579dd5c4</x:v>
      </x:c>
      <x:c r="I145" s="110" t="str">
        <x:v>9374f1e86e57073cc0d6629605773f77539dd9d9429b4ac56af29d1cf09bb0ae</x:v>
      </x:c>
      <x:c r="J145" s="110" t="str"/>
      <x:c r="K145" s="110" t="str"/>
      <x:c r="L145" s="30" t="str"/>
      <x:c r="M145" s="110" t="e">
        <x:f>HYPERLINK("visual_gallery/index.html#MAY-MATH-01-009--VIS-MATH-MAY-BASE-TASK-P005","Галерея")</x:f>
      </x:c>
    </x:row>
    <x:row r="146" ht="24" customHeight="1">
      <x:c r="A146" s="110" t="str">
        <x:v>MAY-MATH-02-003</x:v>
      </x:c>
      <x:c r="B146" s="110" t="str">
        <x:v>VIS-MATH-MAY-BASE-TASK-P011</x:v>
      </x:c>
      <x:c r="C146" s="110" t="str">
        <x:v>Математика</x:v>
      </x:c>
      <x:c r="D146" s="110" t="n">
        <x:v>3</x:v>
      </x:c>
      <x:c r="E146" s="110" t="str">
        <x:v>USE_CONTEXT</x:v>
      </x:c>
      <x:c r="F146" s="110" t="str">
        <x:v>QA_APPROVED</x:v>
      </x:c>
      <x:c r="G146" s="110" t="str">
        <x:v>visual_gallery/assets/cropped/c107069fefdaf2045ad3958d04a63678961f961a8ffc2bba60ca64627ca2ad5f.png</x:v>
      </x:c>
      <x:c r="H146" s="110" t="str">
        <x:v>c107069fefdaf2045ad3958d04a63678961f961a8ffc2bba60ca64627ca2ad5f</x:v>
      </x:c>
      <x:c r="I146" s="110" t="str">
        <x:v>7d64b049bbc332d69b7e44cb578124477557777eff3529615ee811eb3711fce8</x:v>
      </x:c>
      <x:c r="J146" s="110" t="str"/>
      <x:c r="K146" s="110" t="str"/>
      <x:c r="L146" s="30" t="str"/>
      <x:c r="M146" s="110" t="e">
        <x:f>HYPERLINK("visual_gallery/index.html#MAY-MATH-02-003--VIS-MATH-MAY-BASE-TASK-P011","Галерея")</x:f>
      </x:c>
    </x:row>
    <x:row r="147" ht="24" customHeight="1">
      <x:c r="A147" s="110" t="str">
        <x:v>MAY-MATH-02-007</x:v>
      </x:c>
      <x:c r="B147" s="110" t="str">
        <x:v>VIS-MATH-MAY-BASE-TASK-P012</x:v>
      </x:c>
      <x:c r="C147" s="110" t="str">
        <x:v>Математика</x:v>
      </x:c>
      <x:c r="D147" s="110" t="n">
        <x:v>7</x:v>
      </x:c>
      <x:c r="E147" s="110" t="str">
        <x:v>USE_CONTEXT</x:v>
      </x:c>
      <x:c r="F147" s="110" t="str">
        <x:v>QA_APPROVED</x:v>
      </x:c>
      <x:c r="G147" s="110" t="str">
        <x:v>visual_gallery/assets/cropped/e1c2090930c9e480aa4cfab55bbe487e85f879715457e34a7c6a0b3f634e121c.png</x:v>
      </x:c>
      <x:c r="H147" s="110" t="str">
        <x:v>e1c2090930c9e480aa4cfab55bbe487e85f879715457e34a7c6a0b3f634e121c</x:v>
      </x:c>
      <x:c r="I147" s="110" t="str">
        <x:v>7ed35174b163aca0c3452b2e785e4df1f7f79eef5d4646d21578152cd9e29eb5</x:v>
      </x:c>
      <x:c r="J147" s="110" t="str"/>
      <x:c r="K147" s="110" t="str"/>
      <x:c r="L147" s="30" t="str"/>
      <x:c r="M147" s="110" t="e">
        <x:f>HYPERLINK("visual_gallery/index.html#MAY-MATH-02-007--VIS-MATH-MAY-BASE-TASK-P012","Галерея")</x:f>
      </x:c>
    </x:row>
    <x:row r="148" ht="24" customHeight="1">
      <x:c r="A148" s="110" t="str">
        <x:v>MAY-MATH-02-009</x:v>
      </x:c>
      <x:c r="B148" s="110" t="str">
        <x:v>VIS-MATH-MAY-BASE-TASK-P013</x:v>
      </x:c>
      <x:c r="C148" s="110" t="str">
        <x:v>Математика</x:v>
      </x:c>
      <x:c r="D148" s="110" t="n">
        <x:v>9</x:v>
      </x:c>
      <x:c r="E148" s="110" t="str">
        <x:v>USE_TIGHT</x:v>
      </x:c>
      <x:c r="F148" s="110" t="str">
        <x:v>QA_APPROVED</x:v>
      </x:c>
      <x:c r="G148" s="110" t="str">
        <x:v>visual_gallery/assets/cropped/2f85d883b17ce8b8cd238d61efb2a14dc151a34aa1fe9e1af61ed8b853bf5e47.png</x:v>
      </x:c>
      <x:c r="H148" s="110" t="str">
        <x:v>2f85d883b17ce8b8cd238d61efb2a14dc151a34aa1fe9e1af61ed8b853bf5e47</x:v>
      </x:c>
      <x:c r="I148" s="110" t="str">
        <x:v>21714c3748fa3408758165e7dfc685272a95867964fe443634cbec8779060301</x:v>
      </x:c>
      <x:c r="J148" s="110" t="str"/>
      <x:c r="K148" s="110" t="str"/>
      <x:c r="L148" s="30" t="str"/>
      <x:c r="M148" s="110" t="e">
        <x:f>HYPERLINK("visual_gallery/index.html#MAY-MATH-02-009--VIS-MATH-MAY-BASE-TASK-P013","Галерея")</x:f>
      </x:c>
    </x:row>
    <x:row r="149" ht="24" customHeight="1">
      <x:c r="A149" s="110" t="str">
        <x:v>MAY-MATH-03-003</x:v>
      </x:c>
      <x:c r="B149" s="110" t="str">
        <x:v>VIS-MATH-MAY-BASE-TASK-P019</x:v>
      </x:c>
      <x:c r="C149" s="110" t="str">
        <x:v>Математика</x:v>
      </x:c>
      <x:c r="D149" s="110" t="n">
        <x:v>3</x:v>
      </x:c>
      <x:c r="E149" s="110" t="str">
        <x:v>USE_CONTEXT</x:v>
      </x:c>
      <x:c r="F149" s="110" t="str">
        <x:v>QA_APPROVED</x:v>
      </x:c>
      <x:c r="G149" s="110" t="str">
        <x:v>visual_gallery/assets/cropped/c107069fefdaf2045ad3958d04a63678961f961a8ffc2bba60ca64627ca2ad5f.png</x:v>
      </x:c>
      <x:c r="H149" s="110" t="str">
        <x:v>c107069fefdaf2045ad3958d04a63678961f961a8ffc2bba60ca64627ca2ad5f</x:v>
      </x:c>
      <x:c r="I149" s="110" t="str">
        <x:v>8b1481c7a962f22f38456f8ad2c06698aacc4288372627eb081e033463374b0b</x:v>
      </x:c>
      <x:c r="J149" s="110" t="str"/>
      <x:c r="K149" s="110" t="str"/>
      <x:c r="L149" s="30" t="str"/>
      <x:c r="M149" s="110" t="e">
        <x:f>HYPERLINK("visual_gallery/index.html#MAY-MATH-03-003--VIS-MATH-MAY-BASE-TASK-P019","Галерея")</x:f>
      </x:c>
    </x:row>
    <x:row r="150" ht="24" customHeight="1">
      <x:c r="A150" s="110" t="str">
        <x:v>MAY-MATH-03-007</x:v>
      </x:c>
      <x:c r="B150" s="110" t="str">
        <x:v>VIS-MATH-MAY-BASE-TASK-P020</x:v>
      </x:c>
      <x:c r="C150" s="110" t="str">
        <x:v>Математика</x:v>
      </x:c>
      <x:c r="D150" s="110" t="n">
        <x:v>7</x:v>
      </x:c>
      <x:c r="E150" s="110" t="str">
        <x:v>USE_CONTEXT</x:v>
      </x:c>
      <x:c r="F150" s="110" t="str">
        <x:v>QA_APPROVED</x:v>
      </x:c>
      <x:c r="G150" s="110" t="str">
        <x:v>visual_gallery/assets/cropped/0c1491cb171a41519ca9cc82a2d0b3aa2ef4ad336145ba15b563b7e56a0487fa.png</x:v>
      </x:c>
      <x:c r="H150" s="110" t="str">
        <x:v>0c1491cb171a41519ca9cc82a2d0b3aa2ef4ad336145ba15b563b7e56a0487fa</x:v>
      </x:c>
      <x:c r="I150" s="110" t="str">
        <x:v>d0aba4502d85b2f0d9f851ccae530511b9900854e3a181cfd7f2c4decf3bbc63</x:v>
      </x:c>
      <x:c r="J150" s="110" t="str"/>
      <x:c r="K150" s="110" t="str"/>
      <x:c r="L150" s="30" t="str"/>
      <x:c r="M150" s="110" t="e">
        <x:f>HYPERLINK("visual_gallery/index.html#MAY-MATH-03-007--VIS-MATH-MAY-BASE-TASK-P020","Галерея")</x:f>
      </x:c>
    </x:row>
    <x:row r="151" ht="24" customHeight="1">
      <x:c r="A151" s="110" t="str">
        <x:v>MAY-MATH-03-009</x:v>
      </x:c>
      <x:c r="B151" s="110" t="str">
        <x:v>VIS-MATH-MAY-BASE-TASK-P021</x:v>
      </x:c>
      <x:c r="C151" s="110" t="str">
        <x:v>Математика</x:v>
      </x:c>
      <x:c r="D151" s="110" t="n">
        <x:v>9</x:v>
      </x:c>
      <x:c r="E151" s="110" t="str">
        <x:v>USE_TIGHT</x:v>
      </x:c>
      <x:c r="F151" s="110" t="str">
        <x:v>QA_APPROVED</x:v>
      </x:c>
      <x:c r="G151" s="110" t="str">
        <x:v>visual_gallery/assets/cropped/d5f6c95cfe0078f651facad87229361b206e6991ebedaef053a84050ca86d9ac.png</x:v>
      </x:c>
      <x:c r="H151" s="110" t="str">
        <x:v>d5f6c95cfe0078f651facad87229361b206e6991ebedaef053a84050ca86d9ac</x:v>
      </x:c>
      <x:c r="I151" s="110" t="str">
        <x:v>3f24fa0027cb6e104e60536614b6de480612fffff2bdfcc60e61aab281654c6e</x:v>
      </x:c>
      <x:c r="J151" s="110" t="str"/>
      <x:c r="K151" s="110" t="str"/>
      <x:c r="L151" s="30" t="str"/>
      <x:c r="M151" s="110" t="e">
        <x:f>HYPERLINK("visual_gallery/index.html#MAY-MATH-03-009--VIS-MATH-MAY-BASE-TASK-P021","Галерея")</x:f>
      </x:c>
    </x:row>
    <x:row r="152" ht="24" customHeight="1">
      <x:c r="A152" s="110" t="str">
        <x:v>MAY-MATH-04-003</x:v>
      </x:c>
      <x:c r="B152" s="110" t="str">
        <x:v>VIS-MATH-MAY-BASE-TASK-P027</x:v>
      </x:c>
      <x:c r="C152" s="110" t="str">
        <x:v>Математика</x:v>
      </x:c>
      <x:c r="D152" s="110" t="n">
        <x:v>3</x:v>
      </x:c>
      <x:c r="E152" s="110" t="str">
        <x:v>USE_CONTEXT</x:v>
      </x:c>
      <x:c r="F152" s="110" t="str">
        <x:v>QA_APPROVED</x:v>
      </x:c>
      <x:c r="G152" s="110" t="str">
        <x:v>visual_gallery/assets/cropped/c107069fefdaf2045ad3958d04a63678961f961a8ffc2bba60ca64627ca2ad5f.png</x:v>
      </x:c>
      <x:c r="H152" s="110" t="str">
        <x:v>c107069fefdaf2045ad3958d04a63678961f961a8ffc2bba60ca64627ca2ad5f</x:v>
      </x:c>
      <x:c r="I152" s="110" t="str">
        <x:v>be13a57bbf2ea91f956e989b33e02e69755c18c4200c7600a39f4513146fcac8</x:v>
      </x:c>
      <x:c r="J152" s="110" t="str"/>
      <x:c r="K152" s="110" t="str"/>
      <x:c r="L152" s="30" t="str"/>
      <x:c r="M152" s="110" t="e">
        <x:f>HYPERLINK("visual_gallery/index.html#MAY-MATH-04-003--VIS-MATH-MAY-BASE-TASK-P027","Галерея")</x:f>
      </x:c>
    </x:row>
    <x:row r="153" ht="24" customHeight="1">
      <x:c r="A153" s="110" t="str">
        <x:v>MAY-MATH-04-007</x:v>
      </x:c>
      <x:c r="B153" s="110" t="str">
        <x:v>VIS-MATH-MAY-BASE-TASK-P028</x:v>
      </x:c>
      <x:c r="C153" s="110" t="str">
        <x:v>Математика</x:v>
      </x:c>
      <x:c r="D153" s="110" t="n">
        <x:v>7</x:v>
      </x:c>
      <x:c r="E153" s="110" t="str">
        <x:v>USE_CONTEXT</x:v>
      </x:c>
      <x:c r="F153" s="110" t="str">
        <x:v>QA_APPROVED</x:v>
      </x:c>
      <x:c r="G153" s="110" t="str">
        <x:v>visual_gallery/assets/cropped/30ca60e58de188dc1f2e592e5996006f371671a23b74e217c94da698dedeaadb.png</x:v>
      </x:c>
      <x:c r="H153" s="110" t="str">
        <x:v>30ca60e58de188dc1f2e592e5996006f371671a23b74e217c94da698dedeaadb</x:v>
      </x:c>
      <x:c r="I153" s="110" t="str">
        <x:v>736db5df0c865a3606608c94d21173ec2fb0408ea645490cb30fde22aab6a5ea</x:v>
      </x:c>
      <x:c r="J153" s="110" t="str"/>
      <x:c r="K153" s="110" t="str"/>
      <x:c r="L153" s="30" t="str"/>
      <x:c r="M153" s="110" t="e">
        <x:f>HYPERLINK("visual_gallery/index.html#MAY-MATH-04-007--VIS-MATH-MAY-BASE-TASK-P028","Галерея")</x:f>
      </x:c>
    </x:row>
    <x:row r="154" ht="24" customHeight="1">
      <x:c r="A154" s="110" t="str">
        <x:v>MAY-MATH-04-009</x:v>
      </x:c>
      <x:c r="B154" s="110" t="str">
        <x:v>VIS-MATH-MAY-BASE-TASK-P029</x:v>
      </x:c>
      <x:c r="C154" s="110" t="str">
        <x:v>Математика</x:v>
      </x:c>
      <x:c r="D154" s="110" t="n">
        <x:v>9</x:v>
      </x:c>
      <x:c r="E154" s="110" t="str">
        <x:v>USE_TIGHT</x:v>
      </x:c>
      <x:c r="F154" s="110" t="str">
        <x:v>QA_APPROVED</x:v>
      </x:c>
      <x:c r="G154" s="110" t="str">
        <x:v>visual_gallery/assets/cropped/dddbe53135e05210896cd43b8527a92affb2c33a15b22c3b9afd3d79b515bde8.png</x:v>
      </x:c>
      <x:c r="H154" s="110" t="str">
        <x:v>dddbe53135e05210896cd43b8527a92affb2c33a15b22c3b9afd3d79b515bde8</x:v>
      </x:c>
      <x:c r="I154" s="110" t="str">
        <x:v>a9ecc6e0e71a9918ed34982b954bfe4cc45c8e509493c8f30030d260abef4d84</x:v>
      </x:c>
      <x:c r="J154" s="110" t="str"/>
      <x:c r="K154" s="110" t="str"/>
      <x:c r="L154" s="30" t="str"/>
      <x:c r="M154" s="110" t="e">
        <x:f>HYPERLINK("visual_gallery/index.html#MAY-MATH-04-009--VIS-MATH-MAY-BASE-TASK-P029","Галерея")</x:f>
      </x:c>
    </x:row>
    <x:row r="155" ht="24" customHeight="1">
      <x:c r="A155" s="110" t="str">
        <x:v>MAY-MATH-09-008</x:v>
      </x:c>
      <x:c r="B155" s="110" t="str">
        <x:v>VIS-MATH-MAY-PROF-TASK-P003</x:v>
      </x:c>
      <x:c r="C155" s="110" t="str">
        <x:v>Математика</x:v>
      </x:c>
      <x:c r="D155" s="110" t="n">
        <x:v>8</x:v>
      </x:c>
      <x:c r="E155" s="110" t="str">
        <x:v>USE_TIGHT</x:v>
      </x:c>
      <x:c r="F155" s="110" t="str">
        <x:v>QA_APPROVED</x:v>
      </x:c>
      <x:c r="G155" s="110" t="str">
        <x:v>visual_gallery/assets/cropped/50df31882207a0673caaa5dad9426144a8345332227fd7ac5068ebd3a5d06a17.png</x:v>
      </x:c>
      <x:c r="H155" s="110" t="str">
        <x:v>50df31882207a0673caaa5dad9426144a8345332227fd7ac5068ebd3a5d06a17</x:v>
      </x:c>
      <x:c r="I155" s="110" t="str">
        <x:v>c80e9b79babe2d1657c665b31c484a5a9df59215fb4a2c4f2d48f02f0eb12bbe</x:v>
      </x:c>
      <x:c r="J155" s="110" t="str"/>
      <x:c r="K155" s="110" t="str"/>
      <x:c r="L155" s="30" t="str"/>
      <x:c r="M155" s="110" t="e">
        <x:f>HYPERLINK("visual_gallery/index.html#MAY-MATH-09-008--VIS-MATH-MAY-PROF-TASK-P003","Галерея")</x:f>
      </x:c>
    </x:row>
    <x:row r="156" ht="24" customHeight="1">
      <x:c r="A156" s="110" t="str">
        <x:v>MAY-MATH-09-011</x:v>
      </x:c>
      <x:c r="B156" s="110" t="str">
        <x:v>VIS-MATH-MAY-PROF-TASK-P004</x:v>
      </x:c>
      <x:c r="C156" s="110" t="str">
        <x:v>Математика</x:v>
      </x:c>
      <x:c r="D156" s="110" t="n">
        <x:v>11</x:v>
      </x:c>
      <x:c r="E156" s="110" t="str">
        <x:v>USE_TIGHT</x:v>
      </x:c>
      <x:c r="F156" s="110" t="str">
        <x:v>QA_APPROVED</x:v>
      </x:c>
      <x:c r="G156" s="110" t="str">
        <x:v>visual_gallery/assets/cropped/abc3d12da9e51974e7bcf2dd183453ebbbb749613425a3ece55e535497cf096f.png</x:v>
      </x:c>
      <x:c r="H156" s="110" t="str">
        <x:v>abc3d12da9e51974e7bcf2dd183453ebbbb749613425a3ece55e535497cf096f</x:v>
      </x:c>
      <x:c r="I156" s="110" t="str">
        <x:v>50c254540bd4230d20090abc50ed567f0e4dc6dece28e83a83f8678eee3f2bdc</x:v>
      </x:c>
      <x:c r="J156" s="110" t="str"/>
      <x:c r="K156" s="110" t="str"/>
      <x:c r="L156" s="30" t="str"/>
      <x:c r="M156" s="110" t="e">
        <x:f>HYPERLINK("visual_gallery/index.html#MAY-MATH-09-011--VIS-MATH-MAY-PROF-TASK-P004","Галерея")</x:f>
      </x:c>
    </x:row>
    <x:row r="157" ht="24" customHeight="1">
      <x:c r="A157" s="110" t="str">
        <x:v>MAY-MATH-10-008</x:v>
      </x:c>
      <x:c r="B157" s="110" t="str">
        <x:v>VIS-MATH-MAY-PROF-TASK-P009</x:v>
      </x:c>
      <x:c r="C157" s="110" t="str">
        <x:v>Математика</x:v>
      </x:c>
      <x:c r="D157" s="110" t="n">
        <x:v>8</x:v>
      </x:c>
      <x:c r="E157" s="110" t="str">
        <x:v>USE_TIGHT</x:v>
      </x:c>
      <x:c r="F157" s="110" t="str">
        <x:v>QA_APPROVED</x:v>
      </x:c>
      <x:c r="G157" s="110" t="str">
        <x:v>visual_gallery/assets/cropped/34046591e8dd50dcc26e27c39eccbcfe221438820241083ebcd519aa7b5e06c8.png</x:v>
      </x:c>
      <x:c r="H157" s="110" t="str">
        <x:v>34046591e8dd50dcc26e27c39eccbcfe221438820241083ebcd519aa7b5e06c8</x:v>
      </x:c>
      <x:c r="I157" s="110" t="str">
        <x:v>0a47075ec0acec1dd417a2434b35cbc484a61bce1e05f43ba8a7f85138c48c42</x:v>
      </x:c>
      <x:c r="J157" s="110" t="str"/>
      <x:c r="K157" s="110" t="str"/>
      <x:c r="L157" s="30" t="str"/>
      <x:c r="M157" s="110" t="e">
        <x:f>HYPERLINK("visual_gallery/index.html#MAY-MATH-10-008--VIS-MATH-MAY-PROF-TASK-P009","Галерея")</x:f>
      </x:c>
    </x:row>
    <x:row r="158" ht="24" customHeight="1">
      <x:c r="A158" s="110" t="str">
        <x:v>MAY-MATH-10-011</x:v>
      </x:c>
      <x:c r="B158" s="110" t="str">
        <x:v>VIS-MATH-MAY-PROF-TASK-P010</x:v>
      </x:c>
      <x:c r="C158" s="110" t="str">
        <x:v>Математика</x:v>
      </x:c>
      <x:c r="D158" s="110" t="n">
        <x:v>11</x:v>
      </x:c>
      <x:c r="E158" s="110" t="str">
        <x:v>USE_TIGHT</x:v>
      </x:c>
      <x:c r="F158" s="110" t="str">
        <x:v>QA_APPROVED</x:v>
      </x:c>
      <x:c r="G158" s="110" t="str">
        <x:v>visual_gallery/assets/cropped/a151837b53e730251e879461a74976b2799be0721fd9abf76d5023144c9fd3dc.png</x:v>
      </x:c>
      <x:c r="H158" s="110" t="str">
        <x:v>a151837b53e730251e879461a74976b2799be0721fd9abf76d5023144c9fd3dc</x:v>
      </x:c>
      <x:c r="I158" s="110" t="str">
        <x:v>f5133ea10267bf97544b45cf3fcf2584ffc0efc5acca078c6c6ad66af4a0482c</x:v>
      </x:c>
      <x:c r="J158" s="110" t="str"/>
      <x:c r="K158" s="110" t="str"/>
      <x:c r="L158" s="30" t="str"/>
      <x:c r="M158" s="110" t="e">
        <x:f>HYPERLINK("visual_gallery/index.html#MAY-MATH-10-011--VIS-MATH-MAY-PROF-TASK-P010","Галерея")</x:f>
      </x:c>
    </x:row>
    <x:row r="159" ht="24" customHeight="1">
      <x:c r="A159" s="110" t="str">
        <x:v>OCT-MATH-0101-03</x:v>
      </x:c>
      <x:c r="B159" s="110" t="str">
        <x:v>VIS-MATH-OCT-001</x:v>
      </x:c>
      <x:c r="C159" s="110" t="str">
        <x:v>Математика</x:v>
      </x:c>
      <x:c r="D159" s="110" t="n">
        <x:v>3</x:v>
      </x:c>
      <x:c r="E159" s="110" t="str">
        <x:v>USE_CONTEXT</x:v>
      </x:c>
      <x:c r="F159" s="110" t="str">
        <x:v>QA_APPROVED</x:v>
      </x:c>
      <x:c r="G159" s="110" t="str">
        <x:v>visual_gallery/assets/cropped/67bd477dd4027b0dd91c44f25d515483712149317cf652ff8b04f8e09836fff3.png</x:v>
      </x:c>
      <x:c r="H159" s="110" t="str">
        <x:v>67bd477dd4027b0dd91c44f25d515483712149317cf652ff8b04f8e09836fff3</x:v>
      </x:c>
      <x:c r="I159" s="110" t="str">
        <x:v>ee6d9f184b46404b07d8e3541d2a9b338563a2e92d6443574d93ae7817a3a06b</x:v>
      </x:c>
      <x:c r="J159" s="110" t="str"/>
      <x:c r="K159" s="110" t="str"/>
      <x:c r="L159" s="30" t="str"/>
      <x:c r="M159" s="110" t="e">
        <x:f>HYPERLINK("visual_gallery/index.html#OCT-MATH-0101-03--VIS-MATH-OCT-001","Галерея")</x:f>
      </x:c>
    </x:row>
    <x:row r="160" ht="24" customHeight="1">
      <x:c r="A160" s="110" t="str">
        <x:v>OCT-MATH-0101-07</x:v>
      </x:c>
      <x:c r="B160" s="110" t="str">
        <x:v>VIS-MATH-OCT-003</x:v>
      </x:c>
      <x:c r="C160" s="110" t="str">
        <x:v>Математика</x:v>
      </x:c>
      <x:c r="D160" s="110" t="n">
        <x:v>7</x:v>
      </x:c>
      <x:c r="E160" s="110" t="str">
        <x:v>USE_CONTEXT</x:v>
      </x:c>
      <x:c r="F160" s="110" t="str">
        <x:v>QA_APPROVED</x:v>
      </x:c>
      <x:c r="G160" s="110" t="str">
        <x:v>visual_gallery/assets/cropped/1b601ecbb04678e15373d6b91ed348944808e80b7bb2c6459cdb54a8b34ef41e.png</x:v>
      </x:c>
      <x:c r="H160" s="110" t="str">
        <x:v>1b601ecbb04678e15373d6b91ed348944808e80b7bb2c6459cdb54a8b34ef41e</x:v>
      </x:c>
      <x:c r="I160" s="110" t="str">
        <x:v>24ce13eb3bbd2562af84bbfa551c5afaf0bc749487441d6316f01008cc83ce15</x:v>
      </x:c>
      <x:c r="J160" s="110" t="str"/>
      <x:c r="K160" s="110" t="str"/>
      <x:c r="L160" s="30" t="str"/>
      <x:c r="M160" s="110" t="e">
        <x:f>HYPERLINK("visual_gallery/index.html#OCT-MATH-0101-07--VIS-MATH-OCT-003","Галерея")</x:f>
      </x:c>
    </x:row>
    <x:row r="161" ht="24" customHeight="1">
      <x:c r="A161" s="110" t="str">
        <x:v>OCT-MATH-0101-09</x:v>
      </x:c>
      <x:c r="B161" s="110" t="str">
        <x:v>VIS-MATH-OCT-004</x:v>
      </x:c>
      <x:c r="C161" s="110" t="str">
        <x:v>Математика</x:v>
      </x:c>
      <x:c r="D161" s="110" t="n">
        <x:v>9</x:v>
      </x:c>
      <x:c r="E161" s="110" t="str">
        <x:v>USE_TIGHT</x:v>
      </x:c>
      <x:c r="F161" s="110" t="str">
        <x:v>QA_APPROVED</x:v>
      </x:c>
      <x:c r="G161" s="110" t="str">
        <x:v>visual_gallery/assets/cropped/9782667fd759c5d1c4838b796844c12834e95726196fd031f224bc9e8296d331.png</x:v>
      </x:c>
      <x:c r="H161" s="110" t="str">
        <x:v>9782667fd759c5d1c4838b796844c12834e95726196fd031f224bc9e8296d331</x:v>
      </x:c>
      <x:c r="I161" s="110" t="str">
        <x:v>a5f4a06a7c6bb59110f0200f153d75656fd86c55a74aa4dcd7809a2681930ed8</x:v>
      </x:c>
      <x:c r="J161" s="110" t="str"/>
      <x:c r="K161" s="110" t="str"/>
      <x:c r="L161" s="30" t="str"/>
      <x:c r="M161" s="110" t="e">
        <x:f>HYPERLINK("visual_gallery/index.html#OCT-MATH-0101-09--VIS-MATH-OCT-004","Галерея")</x:f>
      </x:c>
    </x:row>
    <x:row r="162" ht="24" customHeight="1">
      <x:c r="A162" s="110" t="str">
        <x:v>OCT-MATH-0101-10</x:v>
      </x:c>
      <x:c r="B162" s="110" t="str">
        <x:v>VIS-MATH-OCT-004</x:v>
      </x:c>
      <x:c r="C162" s="110" t="str">
        <x:v>Математика</x:v>
      </x:c>
      <x:c r="D162" s="110" t="n">
        <x:v>10</x:v>
      </x:c>
      <x:c r="E162" s="110" t="str">
        <x:v>MANUAL_BBOX</x:v>
      </x:c>
      <x:c r="F162" s="110" t="str">
        <x:v>QA_APPROVED</x:v>
      </x:c>
      <x:c r="G162" s="110" t="str">
        <x:v>visual_gallery/assets/cropped/cbe82f402044e11fb2ba8000c0090fbfa13d532136dc02f8514c04909ba7b921.png</x:v>
      </x:c>
      <x:c r="H162" s="110" t="str">
        <x:v>cbe82f402044e11fb2ba8000c0090fbfa13d532136dc02f8514c04909ba7b921</x:v>
      </x:c>
      <x:c r="I162" s="110" t="str">
        <x:v>a5f4a06a7c6bb59110f0200f153d75656fd86c55a74aa4dcd7809a2681930ed8</x:v>
      </x:c>
      <x:c r="J162" s="110" t="str">
        <x:v>[781, 914, 1106, 1124]</x:v>
      </x:c>
      <x:c r="K162" s="110" t="str"/>
      <x:c r="L162" s="30" t="str"/>
      <x:c r="M162" s="110" t="e">
        <x:f>HYPERLINK("visual_gallery/index.html#OCT-MATH-0101-10--VIS-MATH-OCT-004","Галерея")</x:f>
      </x:c>
    </x:row>
    <x:row r="163" ht="24" customHeight="1">
      <x:c r="A163" s="110" t="str">
        <x:v>OCT-MATH-0101-11</x:v>
      </x:c>
      <x:c r="B163" s="110" t="str">
        <x:v>VIS-MATH-OCT-004</x:v>
      </x:c>
      <x:c r="C163" s="110" t="str">
        <x:v>Математика</x:v>
      </x:c>
      <x:c r="D163" s="110" t="n">
        <x:v>11</x:v>
      </x:c>
      <x:c r="E163" s="110" t="str">
        <x:v>USE_TIGHT</x:v>
      </x:c>
      <x:c r="F163" s="110" t="str">
        <x:v>QA_APPROVED</x:v>
      </x:c>
      <x:c r="G163" s="110" t="str">
        <x:v>visual_gallery/assets/cropped/45fab3cf25815c6de9938ddc09cc163e0677def14229b1da6212428c6648914d.png</x:v>
      </x:c>
      <x:c r="H163" s="110" t="str">
        <x:v>45fab3cf25815c6de9938ddc09cc163e0677def14229b1da6212428c6648914d</x:v>
      </x:c>
      <x:c r="I163" s="110" t="str">
        <x:v>a5f4a06a7c6bb59110f0200f153d75656fd86c55a74aa4dcd7809a2681930ed8</x:v>
      </x:c>
      <x:c r="J163" s="110" t="str"/>
      <x:c r="K163" s="110" t="str"/>
      <x:c r="L163" s="30" t="str"/>
      <x:c r="M163" s="110" t="e">
        <x:f>HYPERLINK("visual_gallery/index.html#OCT-MATH-0101-11--VIS-MATH-OCT-004","Галерея")</x:f>
      </x:c>
    </x:row>
    <x:row r="164" ht="24" customHeight="1">
      <x:c r="A164" s="110" t="str">
        <x:v>OCT-MATH-0102-03</x:v>
      </x:c>
      <x:c r="B164" s="110" t="str">
        <x:v>VIS-MATH-OCT-005</x:v>
      </x:c>
      <x:c r="C164" s="110" t="str">
        <x:v>Математика</x:v>
      </x:c>
      <x:c r="D164" s="110" t="n">
        <x:v>3</x:v>
      </x:c>
      <x:c r="E164" s="110" t="str">
        <x:v>USE_CONTEXT</x:v>
      </x:c>
      <x:c r="F164" s="110" t="str">
        <x:v>QA_APPROVED</x:v>
      </x:c>
      <x:c r="G164" s="110" t="str">
        <x:v>visual_gallery/assets/cropped/0f2b7abef6e61c69db5309e6a26d97a5871791599bb1421da4270c68e78cda0d.png</x:v>
      </x:c>
      <x:c r="H164" s="110" t="str">
        <x:v>0f2b7abef6e61c69db5309e6a26d97a5871791599bb1421da4270c68e78cda0d</x:v>
      </x:c>
      <x:c r="I164" s="110" t="str">
        <x:v>aaa2c84cb422b5ec9462369e77a6df7f202cbddfbb53030e1346f7a500422626</x:v>
      </x:c>
      <x:c r="J164" s="110" t="str"/>
      <x:c r="K164" s="110" t="str"/>
      <x:c r="L164" s="30" t="str"/>
      <x:c r="M164" s="110" t="e">
        <x:f>HYPERLINK("visual_gallery/index.html#OCT-MATH-0102-03--VIS-MATH-OCT-005","Галерея")</x:f>
      </x:c>
    </x:row>
    <x:row r="165" ht="24" customHeight="1">
      <x:c r="A165" s="110" t="str">
        <x:v>OCT-MATH-0102-07</x:v>
      </x:c>
      <x:c r="B165" s="110" t="str">
        <x:v>VIS-MATH-OCT-007</x:v>
      </x:c>
      <x:c r="C165" s="110" t="str">
        <x:v>Математика</x:v>
      </x:c>
      <x:c r="D165" s="110" t="n">
        <x:v>7</x:v>
      </x:c>
      <x:c r="E165" s="110" t="str">
        <x:v>USE_CONTEXT</x:v>
      </x:c>
      <x:c r="F165" s="110" t="str">
        <x:v>QA_APPROVED</x:v>
      </x:c>
      <x:c r="G165" s="110" t="str">
        <x:v>visual_gallery/assets/cropped/b489e0ccc3f3c2818698749857f8cf46314f012b1858c84da9185ac47f8e4dc2.png</x:v>
      </x:c>
      <x:c r="H165" s="110" t="str">
        <x:v>b489e0ccc3f3c2818698749857f8cf46314f012b1858c84da9185ac47f8e4dc2</x:v>
      </x:c>
      <x:c r="I165" s="110" t="str">
        <x:v>fc64a9e81f8d1a42b8141534b9ff62dd583b9300d6532f80af724478a73dc557</x:v>
      </x:c>
      <x:c r="J165" s="110" t="str"/>
      <x:c r="K165" s="110" t="str"/>
      <x:c r="L165" s="30" t="str"/>
      <x:c r="M165" s="110" t="e">
        <x:f>HYPERLINK("visual_gallery/index.html#OCT-MATH-0102-07--VIS-MATH-OCT-007","Галерея")</x:f>
      </x:c>
    </x:row>
    <x:row r="166" ht="24" customHeight="1">
      <x:c r="A166" s="110" t="str">
        <x:v>OCT-MATH-0102-09</x:v>
      </x:c>
      <x:c r="B166" s="110" t="str">
        <x:v>VIS-MATH-OCT-008</x:v>
      </x:c>
      <x:c r="C166" s="110" t="str">
        <x:v>Математика</x:v>
      </x:c>
      <x:c r="D166" s="110" t="n">
        <x:v>9</x:v>
      </x:c>
      <x:c r="E166" s="110" t="str">
        <x:v>USE_CONTEXT</x:v>
      </x:c>
      <x:c r="F166" s="110" t="str">
        <x:v>QA_APPROVED</x:v>
      </x:c>
      <x:c r="G166" s="110" t="str">
        <x:v>visual_gallery/assets/cropped/a163c81f7955ed7d3361efb472c74a242623e30b7f456985402fd507e9f136b6.png</x:v>
      </x:c>
      <x:c r="H166" s="110" t="str">
        <x:v>a163c81f7955ed7d3361efb472c74a242623e30b7f456985402fd507e9f136b6</x:v>
      </x:c>
      <x:c r="I166" s="110" t="str">
        <x:v>757add315204ecc39610c899b09e70cc645df46b36efa6dd0c9b12a762dc9eec</x:v>
      </x:c>
      <x:c r="J166" s="110" t="str"/>
      <x:c r="K166" s="110" t="str"/>
      <x:c r="L166" s="30" t="str"/>
      <x:c r="M166" s="110" t="e">
        <x:f>HYPERLINK("visual_gallery/index.html#OCT-MATH-0102-09--VIS-MATH-OCT-008","Галерея")</x:f>
      </x:c>
    </x:row>
    <x:row r="167" ht="24" customHeight="1">
      <x:c r="A167" s="110" t="str">
        <x:v>OCT-MATH-0102-10</x:v>
      </x:c>
      <x:c r="B167" s="110" t="str">
        <x:v>VIS-MATH-OCT-008</x:v>
      </x:c>
      <x:c r="C167" s="110" t="str">
        <x:v>Математика</x:v>
      </x:c>
      <x:c r="D167" s="110" t="n">
        <x:v>10</x:v>
      </x:c>
      <x:c r="E167" s="110" t="str">
        <x:v>USE_CONTEXT</x:v>
      </x:c>
      <x:c r="F167" s="110" t="str">
        <x:v>QA_APPROVED</x:v>
      </x:c>
      <x:c r="G167" s="110" t="str">
        <x:v>visual_gallery/assets/cropped/7bac89fe6877f99ef7e040921dc2b8cfe1c19cef385447fbbba82505d466e5f0.png</x:v>
      </x:c>
      <x:c r="H167" s="110" t="str">
        <x:v>7bac89fe6877f99ef7e040921dc2b8cfe1c19cef385447fbbba82505d466e5f0</x:v>
      </x:c>
      <x:c r="I167" s="110" t="str">
        <x:v>757add315204ecc39610c899b09e70cc645df46b36efa6dd0c9b12a762dc9eec</x:v>
      </x:c>
      <x:c r="J167" s="110" t="str"/>
      <x:c r="K167" s="110" t="str"/>
      <x:c r="L167" s="30" t="str"/>
      <x:c r="M167" s="110" t="e">
        <x:f>HYPERLINK("visual_gallery/index.html#OCT-MATH-0102-10--VIS-MATH-OCT-008","Галерея")</x:f>
      </x:c>
    </x:row>
    <x:row r="168" ht="24" customHeight="1">
      <x:c r="A168" s="110" t="str">
        <x:v>OCT-MATH-0102-11</x:v>
      </x:c>
      <x:c r="B168" s="110" t="str">
        <x:v>VIS-MATH-OCT-008</x:v>
      </x:c>
      <x:c r="C168" s="110" t="str">
        <x:v>Математика</x:v>
      </x:c>
      <x:c r="D168" s="110" t="n">
        <x:v>11</x:v>
      </x:c>
      <x:c r="E168" s="110" t="str">
        <x:v>USE_CONTEXT</x:v>
      </x:c>
      <x:c r="F168" s="110" t="str">
        <x:v>QA_APPROVED</x:v>
      </x:c>
      <x:c r="G168" s="110" t="str">
        <x:v>visual_gallery/assets/cropped/3a3090c626079171ee574cb104e73c27266e33bd11acf047fc582e3dfd6e65d8.png</x:v>
      </x:c>
      <x:c r="H168" s="110" t="str">
        <x:v>3a3090c626079171ee574cb104e73c27266e33bd11acf047fc582e3dfd6e65d8</x:v>
      </x:c>
      <x:c r="I168" s="110" t="str">
        <x:v>757add315204ecc39610c899b09e70cc645df46b36efa6dd0c9b12a762dc9eec</x:v>
      </x:c>
      <x:c r="J168" s="110" t="str"/>
      <x:c r="K168" s="110" t="str"/>
      <x:c r="L168" s="30" t="str"/>
      <x:c r="M168" s="110" t="e">
        <x:f>HYPERLINK("visual_gallery/index.html#OCT-MATH-0102-11--VIS-MATH-OCT-008","Галерея")</x:f>
      </x:c>
    </x:row>
    <x:row r="169" ht="24" customHeight="1">
      <x:c r="A169" s="110" t="str">
        <x:v>OCT-MATH-0103-03</x:v>
      </x:c>
      <x:c r="B169" s="110" t="str">
        <x:v>VIS-MATH-OCT-009</x:v>
      </x:c>
      <x:c r="C169" s="110" t="str">
        <x:v>Математика</x:v>
      </x:c>
      <x:c r="D169" s="110" t="n">
        <x:v>3</x:v>
      </x:c>
      <x:c r="E169" s="110" t="str">
        <x:v>USE_CONTEXT</x:v>
      </x:c>
      <x:c r="F169" s="110" t="str">
        <x:v>QA_APPROVED</x:v>
      </x:c>
      <x:c r="G169" s="110" t="str">
        <x:v>visual_gallery/assets/cropped/fa72206953312371a4be5cbaa8e37995a24960792974418ba96eba8fb8fc966b.png</x:v>
      </x:c>
      <x:c r="H169" s="110" t="str">
        <x:v>fa72206953312371a4be5cbaa8e37995a24960792974418ba96eba8fb8fc966b</x:v>
      </x:c>
      <x:c r="I169" s="110" t="str">
        <x:v>0194f769e4f809c7b1f3b0deda90b935012d16254aef29d4d3c905d9f4d90bc9</x:v>
      </x:c>
      <x:c r="J169" s="110" t="str"/>
      <x:c r="K169" s="110" t="str"/>
      <x:c r="L169" s="30" t="str"/>
      <x:c r="M169" s="110" t="e">
        <x:f>HYPERLINK("visual_gallery/index.html#OCT-MATH-0103-03--VIS-MATH-OCT-009","Галерея")</x:f>
      </x:c>
    </x:row>
    <x:row r="170" ht="24" customHeight="1">
      <x:c r="A170" s="110" t="str">
        <x:v>OCT-MATH-0103-07</x:v>
      </x:c>
      <x:c r="B170" s="110" t="str">
        <x:v>VIS-MATH-OCT-011</x:v>
      </x:c>
      <x:c r="C170" s="110" t="str">
        <x:v>Математика</x:v>
      </x:c>
      <x:c r="D170" s="110" t="n">
        <x:v>7</x:v>
      </x:c>
      <x:c r="E170" s="110" t="str">
        <x:v>USE_CONTEXT</x:v>
      </x:c>
      <x:c r="F170" s="110" t="str">
        <x:v>QA_APPROVED</x:v>
      </x:c>
      <x:c r="G170" s="110" t="str">
        <x:v>visual_gallery/assets/cropped/3e370963c6bfac6b43f97e0541188d1aa76ed68b223b0131fd3348f722ae4e16.png</x:v>
      </x:c>
      <x:c r="H170" s="110" t="str">
        <x:v>3e370963c6bfac6b43f97e0541188d1aa76ed68b223b0131fd3348f722ae4e16</x:v>
      </x:c>
      <x:c r="I170" s="110" t="str">
        <x:v>44a0fa8b0a5cd49b6baacda89920403fcdad69fd4d1ac5c7239add68f9627e59</x:v>
      </x:c>
      <x:c r="J170" s="110" t="str"/>
      <x:c r="K170" s="110" t="str"/>
      <x:c r="L170" s="30" t="str"/>
      <x:c r="M170" s="110" t="e">
        <x:f>HYPERLINK("visual_gallery/index.html#OCT-MATH-0103-07--VIS-MATH-OCT-011","Галерея")</x:f>
      </x:c>
    </x:row>
    <x:row r="171" ht="24" customHeight="1">
      <x:c r="A171" s="110" t="str">
        <x:v>OCT-MATH-0103-09</x:v>
      </x:c>
      <x:c r="B171" s="110" t="str">
        <x:v>VIS-MATH-OCT-012</x:v>
      </x:c>
      <x:c r="C171" s="110" t="str">
        <x:v>Математика</x:v>
      </x:c>
      <x:c r="D171" s="110" t="n">
        <x:v>9</x:v>
      </x:c>
      <x:c r="E171" s="110" t="str">
        <x:v>USE_CONTEXT</x:v>
      </x:c>
      <x:c r="F171" s="110" t="str">
        <x:v>QA_APPROVED</x:v>
      </x:c>
      <x:c r="G171" s="110" t="str">
        <x:v>visual_gallery/assets/cropped/25d321cde7acf94a88783b6860121faa0abf9894f9acf4c7485e3f69f118d2af.png</x:v>
      </x:c>
      <x:c r="H171" s="110" t="str">
        <x:v>25d321cde7acf94a88783b6860121faa0abf9894f9acf4c7485e3f69f118d2af</x:v>
      </x:c>
      <x:c r="I171" s="110" t="str">
        <x:v>10b0cef2ea2eebd1c0b2426f4ca2028b5b13517d0092f6daa4d3adb1adad95b0</x:v>
      </x:c>
      <x:c r="J171" s="110" t="str"/>
      <x:c r="K171" s="110" t="str"/>
      <x:c r="L171" s="30" t="str"/>
      <x:c r="M171" s="110" t="e">
        <x:f>HYPERLINK("visual_gallery/index.html#OCT-MATH-0103-09--VIS-MATH-OCT-012","Галерея")</x:f>
      </x:c>
    </x:row>
    <x:row r="172" ht="24" customHeight="1">
      <x:c r="A172" s="110" t="str">
        <x:v>OCT-MATH-0103-10</x:v>
      </x:c>
      <x:c r="B172" s="110" t="str">
        <x:v>VIS-MATH-OCT-012</x:v>
      </x:c>
      <x:c r="C172" s="110" t="str">
        <x:v>Математика</x:v>
      </x:c>
      <x:c r="D172" s="110" t="n">
        <x:v>10</x:v>
      </x:c>
      <x:c r="E172" s="110" t="str">
        <x:v>USE_CONTEXT</x:v>
      </x:c>
      <x:c r="F172" s="110" t="str">
        <x:v>QA_APPROVED</x:v>
      </x:c>
      <x:c r="G172" s="110" t="str">
        <x:v>visual_gallery/assets/cropped/c74adb872bae34efa67694290017ab29026ad781ee9df31d68144cdbac0269d0.png</x:v>
      </x:c>
      <x:c r="H172" s="110" t="str">
        <x:v>c74adb872bae34efa67694290017ab29026ad781ee9df31d68144cdbac0269d0</x:v>
      </x:c>
      <x:c r="I172" s="110" t="str">
        <x:v>10b0cef2ea2eebd1c0b2426f4ca2028b5b13517d0092f6daa4d3adb1adad95b0</x:v>
      </x:c>
      <x:c r="J172" s="110" t="str"/>
      <x:c r="K172" s="110" t="str"/>
      <x:c r="L172" s="30" t="str"/>
      <x:c r="M172" s="110" t="e">
        <x:f>HYPERLINK("visual_gallery/index.html#OCT-MATH-0103-10--VIS-MATH-OCT-012","Галерея")</x:f>
      </x:c>
    </x:row>
    <x:row r="173" ht="24" customHeight="1">
      <x:c r="A173" s="110" t="str">
        <x:v>OCT-MATH-0103-11</x:v>
      </x:c>
      <x:c r="B173" s="110" t="str">
        <x:v>VIS-MATH-OCT-012</x:v>
      </x:c>
      <x:c r="C173" s="110" t="str">
        <x:v>Математика</x:v>
      </x:c>
      <x:c r="D173" s="110" t="n">
        <x:v>11</x:v>
      </x:c>
      <x:c r="E173" s="110" t="str">
        <x:v>USE_CONTEXT</x:v>
      </x:c>
      <x:c r="F173" s="110" t="str">
        <x:v>QA_APPROVED</x:v>
      </x:c>
      <x:c r="G173" s="110" t="str">
        <x:v>visual_gallery/assets/cropped/fda92d9dfeaacf0214471a449f1cea60674733040b4bba79a9b03392af764ad9.png</x:v>
      </x:c>
      <x:c r="H173" s="110" t="str">
        <x:v>fda92d9dfeaacf0214471a449f1cea60674733040b4bba79a9b03392af764ad9</x:v>
      </x:c>
      <x:c r="I173" s="110" t="str">
        <x:v>10b0cef2ea2eebd1c0b2426f4ca2028b5b13517d0092f6daa4d3adb1adad95b0</x:v>
      </x:c>
      <x:c r="J173" s="110" t="str"/>
      <x:c r="K173" s="110" t="str"/>
      <x:c r="L173" s="30" t="str"/>
      <x:c r="M173" s="110" t="e">
        <x:f>HYPERLINK("visual_gallery/index.html#OCT-MATH-0103-11--VIS-MATH-OCT-012","Галерея")</x:f>
      </x:c>
    </x:row>
    <x:row r="174" ht="24" customHeight="1">
      <x:c r="A174" s="110" t="str">
        <x:v>OCT-MATH-0104-03</x:v>
      </x:c>
      <x:c r="B174" s="110" t="str">
        <x:v>VIS-MATH-OCT-013</x:v>
      </x:c>
      <x:c r="C174" s="110" t="str">
        <x:v>Математика</x:v>
      </x:c>
      <x:c r="D174" s="110" t="n">
        <x:v>3</x:v>
      </x:c>
      <x:c r="E174" s="110" t="str">
        <x:v>USE_CONTEXT</x:v>
      </x:c>
      <x:c r="F174" s="110" t="str">
        <x:v>QA_APPROVED</x:v>
      </x:c>
      <x:c r="G174" s="110" t="str">
        <x:v>visual_gallery/assets/cropped/28f33a2623ddff157cdeb829365177f31f9e179818af7ff7c7636daebbc6fd3b.png</x:v>
      </x:c>
      <x:c r="H174" s="110" t="str">
        <x:v>28f33a2623ddff157cdeb829365177f31f9e179818af7ff7c7636daebbc6fd3b</x:v>
      </x:c>
      <x:c r="I174" s="110" t="str">
        <x:v>903ed3d4cadc668b88724d305e9c66764d2182799844374f79b85fb78d0e4316</x:v>
      </x:c>
      <x:c r="J174" s="110" t="str"/>
      <x:c r="K174" s="110" t="str"/>
      <x:c r="L174" s="30" t="str"/>
      <x:c r="M174" s="110" t="e">
        <x:f>HYPERLINK("visual_gallery/index.html#OCT-MATH-0104-03--VIS-MATH-OCT-013","Галерея")</x:f>
      </x:c>
    </x:row>
    <x:row r="175" ht="24" customHeight="1">
      <x:c r="A175" s="110" t="str">
        <x:v>OCT-MATH-0104-07</x:v>
      </x:c>
      <x:c r="B175" s="110" t="str">
        <x:v>VIS-MATH-OCT-015</x:v>
      </x:c>
      <x:c r="C175" s="110" t="str">
        <x:v>Математика</x:v>
      </x:c>
      <x:c r="D175" s="110" t="n">
        <x:v>7</x:v>
      </x:c>
      <x:c r="E175" s="110" t="str">
        <x:v>USE_CONTEXT</x:v>
      </x:c>
      <x:c r="F175" s="110" t="str">
        <x:v>QA_APPROVED</x:v>
      </x:c>
      <x:c r="G175" s="110" t="str">
        <x:v>visual_gallery/assets/cropped/912cafd0f8149e57581db67c4674374230dad6d383abf1c7ce653d2a2d456f48.png</x:v>
      </x:c>
      <x:c r="H175" s="110" t="str">
        <x:v>912cafd0f8149e57581db67c4674374230dad6d383abf1c7ce653d2a2d456f48</x:v>
      </x:c>
      <x:c r="I175" s="110" t="str">
        <x:v>db3bb23e80145a27abdd4f421c242a8110dc560d0514c9454a4e8c6743d409c3</x:v>
      </x:c>
      <x:c r="J175" s="110" t="str"/>
      <x:c r="K175" s="110" t="str"/>
      <x:c r="L175" s="30" t="str"/>
      <x:c r="M175" s="110" t="e">
        <x:f>HYPERLINK("visual_gallery/index.html#OCT-MATH-0104-07--VIS-MATH-OCT-015","Галерея")</x:f>
      </x:c>
    </x:row>
    <x:row r="176" ht="24" customHeight="1">
      <x:c r="A176" s="110" t="str">
        <x:v>OCT-MATH-0104-09</x:v>
      </x:c>
      <x:c r="B176" s="110" t="str">
        <x:v>VIS-MATH-OCT-016</x:v>
      </x:c>
      <x:c r="C176" s="110" t="str">
        <x:v>Математика</x:v>
      </x:c>
      <x:c r="D176" s="110" t="n">
        <x:v>9</x:v>
      </x:c>
      <x:c r="E176" s="110" t="str">
        <x:v>USE_CONTEXT</x:v>
      </x:c>
      <x:c r="F176" s="110" t="str">
        <x:v>QA_APPROVED</x:v>
      </x:c>
      <x:c r="G176" s="110" t="str">
        <x:v>visual_gallery/assets/cropped/78e4966e098723965079fb5e64aa781945e360ea33421a09d938b79b58c309f2.png</x:v>
      </x:c>
      <x:c r="H176" s="110" t="str">
        <x:v>78e4966e098723965079fb5e64aa781945e360ea33421a09d938b79b58c309f2</x:v>
      </x:c>
      <x:c r="I176" s="110" t="str">
        <x:v>28eefab5142ccf919ab7d28a161d23e1ef1e31b6b71091d71e2eb696b8ab67b7</x:v>
      </x:c>
      <x:c r="J176" s="110" t="str"/>
      <x:c r="K176" s="110" t="str"/>
      <x:c r="L176" s="30" t="str"/>
      <x:c r="M176" s="110" t="e">
        <x:f>HYPERLINK("visual_gallery/index.html#OCT-MATH-0104-09--VIS-MATH-OCT-016","Галерея")</x:f>
      </x:c>
    </x:row>
    <x:row r="177" ht="24" customHeight="1">
      <x:c r="A177" s="110" t="str">
        <x:v>OCT-MATH-0104-10</x:v>
      </x:c>
      <x:c r="B177" s="110" t="str">
        <x:v>VIS-MATH-OCT-016</x:v>
      </x:c>
      <x:c r="C177" s="110" t="str">
        <x:v>Математика</x:v>
      </x:c>
      <x:c r="D177" s="110" t="n">
        <x:v>10</x:v>
      </x:c>
      <x:c r="E177" s="110" t="str">
        <x:v>USE_CONTEXT</x:v>
      </x:c>
      <x:c r="F177" s="110" t="str">
        <x:v>QA_APPROVED</x:v>
      </x:c>
      <x:c r="G177" s="110" t="str">
        <x:v>visual_gallery/assets/cropped/febd3d929b3a71381aaa71b1e3c44b9b2f0dabfb1ae13d3988e949bb7cf00032.png</x:v>
      </x:c>
      <x:c r="H177" s="110" t="str">
        <x:v>febd3d929b3a71381aaa71b1e3c44b9b2f0dabfb1ae13d3988e949bb7cf00032</x:v>
      </x:c>
      <x:c r="I177" s="110" t="str">
        <x:v>28eefab5142ccf919ab7d28a161d23e1ef1e31b6b71091d71e2eb696b8ab67b7</x:v>
      </x:c>
      <x:c r="J177" s="110" t="str"/>
      <x:c r="K177" s="110" t="str"/>
      <x:c r="L177" s="30" t="str"/>
      <x:c r="M177" s="110" t="e">
        <x:f>HYPERLINK("visual_gallery/index.html#OCT-MATH-0104-10--VIS-MATH-OCT-016","Галерея")</x:f>
      </x:c>
    </x:row>
    <x:row r="178" ht="24" customHeight="1">
      <x:c r="A178" s="110" t="str">
        <x:v>OCT-MATH-0104-11</x:v>
      </x:c>
      <x:c r="B178" s="110" t="str">
        <x:v>VIS-MATH-OCT-016</x:v>
      </x:c>
      <x:c r="C178" s="110" t="str">
        <x:v>Математика</x:v>
      </x:c>
      <x:c r="D178" s="110" t="n">
        <x:v>11</x:v>
      </x:c>
      <x:c r="E178" s="110" t="str">
        <x:v>USE_CONTEXT</x:v>
      </x:c>
      <x:c r="F178" s="110" t="str">
        <x:v>QA_APPROVED</x:v>
      </x:c>
      <x:c r="G178" s="110" t="str">
        <x:v>visual_gallery/assets/cropped/b9813b0e2a16789103317e0ecc91243ae71dd1ae7502048694813d4037e7a26c.png</x:v>
      </x:c>
      <x:c r="H178" s="110" t="str">
        <x:v>b9813b0e2a16789103317e0ecc91243ae71dd1ae7502048694813d4037e7a26c</x:v>
      </x:c>
      <x:c r="I178" s="110" t="str">
        <x:v>28eefab5142ccf919ab7d28a161d23e1ef1e31b6b71091d71e2eb696b8ab67b7</x:v>
      </x:c>
      <x:c r="J178" s="110" t="str"/>
      <x:c r="K178" s="110" t="str"/>
      <x:c r="L178" s="30" t="str"/>
      <x:c r="M178" s="110" t="e">
        <x:f>HYPERLINK("visual_gallery/index.html#OCT-MATH-0104-11--VIS-MATH-OCT-016","Галерея")</x:f>
      </x:c>
    </x:row>
    <x:row r="179" ht="24" customHeight="1">
      <x:c r="A179" s="110" t="str">
        <x:v>OCT-MATH-0105-03</x:v>
      </x:c>
      <x:c r="B179" s="110" t="str">
        <x:v>VIS-MATH-OCT-017</x:v>
      </x:c>
      <x:c r="C179" s="110" t="str">
        <x:v>Математика</x:v>
      </x:c>
      <x:c r="D179" s="110" t="n">
        <x:v>3</x:v>
      </x:c>
      <x:c r="E179" s="110" t="str">
        <x:v>USE_CONTEXT</x:v>
      </x:c>
      <x:c r="F179" s="110" t="str">
        <x:v>QA_APPROVED</x:v>
      </x:c>
      <x:c r="G179" s="110" t="str">
        <x:v>visual_gallery/assets/cropped/67bd477dd4027b0dd91c44f25d515483712149317cf652ff8b04f8e09836fff3.png</x:v>
      </x:c>
      <x:c r="H179" s="110" t="str">
        <x:v>67bd477dd4027b0dd91c44f25d515483712149317cf652ff8b04f8e09836fff3</x:v>
      </x:c>
      <x:c r="I179" s="110" t="str">
        <x:v>06533f1cfbc61728f262791428d74253ec739c0807a7de47bb14949a8a0e0051</x:v>
      </x:c>
      <x:c r="J179" s="110" t="str"/>
      <x:c r="K179" s="110" t="str"/>
      <x:c r="L179" s="30" t="str"/>
      <x:c r="M179" s="110" t="e">
        <x:f>HYPERLINK("visual_gallery/index.html#OCT-MATH-0105-03--VIS-MATH-OCT-017","Галерея")</x:f>
      </x:c>
    </x:row>
    <x:row r="180" ht="24" customHeight="1">
      <x:c r="A180" s="110" t="str">
        <x:v>OCT-MATH-0105-07</x:v>
      </x:c>
      <x:c r="B180" s="110" t="str">
        <x:v>VIS-MATH-OCT-019</x:v>
      </x:c>
      <x:c r="C180" s="110" t="str">
        <x:v>Математика</x:v>
      </x:c>
      <x:c r="D180" s="110" t="n">
        <x:v>7</x:v>
      </x:c>
      <x:c r="E180" s="110" t="str">
        <x:v>USE_CONTEXT</x:v>
      </x:c>
      <x:c r="F180" s="110" t="str">
        <x:v>QA_APPROVED</x:v>
      </x:c>
      <x:c r="G180" s="110" t="str">
        <x:v>visual_gallery/assets/cropped/ef017faec3d52e241f6606445d27301f17eb49efeb7aa011deb630465621f13a.png</x:v>
      </x:c>
      <x:c r="H180" s="110" t="str">
        <x:v>ef017faec3d52e241f6606445d27301f17eb49efeb7aa011deb630465621f13a</x:v>
      </x:c>
      <x:c r="I180" s="110" t="str">
        <x:v>cc47444bd13717ae8e437da9c92ff0b38830536d1448421a9d8fc6ef59ee880f</x:v>
      </x:c>
      <x:c r="J180" s="110" t="str"/>
      <x:c r="K180" s="110" t="str"/>
      <x:c r="L180" s="30" t="str"/>
      <x:c r="M180" s="110" t="e">
        <x:f>HYPERLINK("visual_gallery/index.html#OCT-MATH-0105-07--VIS-MATH-OCT-019","Галерея")</x:f>
      </x:c>
    </x:row>
    <x:row r="181" ht="24" customHeight="1">
      <x:c r="A181" s="110" t="str">
        <x:v>OCT-MATH-0105-09</x:v>
      </x:c>
      <x:c r="B181" s="110" t="str">
        <x:v>VIS-MATH-OCT-020</x:v>
      </x:c>
      <x:c r="C181" s="110" t="str">
        <x:v>Математика</x:v>
      </x:c>
      <x:c r="D181" s="110" t="n">
        <x:v>9</x:v>
      </x:c>
      <x:c r="E181" s="110" t="str">
        <x:v>USE_TIGHT</x:v>
      </x:c>
      <x:c r="F181" s="110" t="str">
        <x:v>QA_APPROVED</x:v>
      </x:c>
      <x:c r="G181" s="110" t="str">
        <x:v>visual_gallery/assets/cropped/7246e4a12f1937029682cc8f205b8f722b2364e4111c63a7b8d783a342f1a5e3.png</x:v>
      </x:c>
      <x:c r="H181" s="110" t="str">
        <x:v>7246e4a12f1937029682cc8f205b8f722b2364e4111c63a7b8d783a342f1a5e3</x:v>
      </x:c>
      <x:c r="I181" s="110" t="str">
        <x:v>9b4c7be433be8e694a9d35bf174cd46d6f06d5cddc00e52efa1ef29966f353dd</x:v>
      </x:c>
      <x:c r="J181" s="110" t="str"/>
      <x:c r="K181" s="110" t="str"/>
      <x:c r="L181" s="30" t="str"/>
      <x:c r="M181" s="110" t="e">
        <x:f>HYPERLINK("visual_gallery/index.html#OCT-MATH-0105-09--VIS-MATH-OCT-020","Галерея")</x:f>
      </x:c>
    </x:row>
    <x:row r="182" ht="24" customHeight="1">
      <x:c r="A182" s="110" t="str">
        <x:v>OCT-MATH-0106-03</x:v>
      </x:c>
      <x:c r="B182" s="110" t="str">
        <x:v>VIS-MATH-OCT-021</x:v>
      </x:c>
      <x:c r="C182" s="110" t="str">
        <x:v>Математика</x:v>
      </x:c>
      <x:c r="D182" s="110" t="n">
        <x:v>3</x:v>
      </x:c>
      <x:c r="E182" s="110" t="str">
        <x:v>USE_CONTEXT</x:v>
      </x:c>
      <x:c r="F182" s="110" t="str">
        <x:v>QA_APPROVED</x:v>
      </x:c>
      <x:c r="G182" s="110" t="str">
        <x:v>visual_gallery/assets/cropped/0f2b7abef6e61c69db5309e6a26d97a5871791599bb1421da4270c68e78cda0d.png</x:v>
      </x:c>
      <x:c r="H182" s="110" t="str">
        <x:v>0f2b7abef6e61c69db5309e6a26d97a5871791599bb1421da4270c68e78cda0d</x:v>
      </x:c>
      <x:c r="I182" s="110" t="str">
        <x:v>46b944b8e92e65e698b50be54ffa3ddce600dc76eacb8f341dd52405548a7afa</x:v>
      </x:c>
      <x:c r="J182" s="110" t="str"/>
      <x:c r="K182" s="110" t="str"/>
      <x:c r="L182" s="30" t="str"/>
      <x:c r="M182" s="110" t="e">
        <x:f>HYPERLINK("visual_gallery/index.html#OCT-MATH-0106-03--VIS-MATH-OCT-021","Галерея")</x:f>
      </x:c>
    </x:row>
    <x:row r="183" ht="24" customHeight="1">
      <x:c r="A183" s="110" t="str">
        <x:v>OCT-MATH-0106-07</x:v>
      </x:c>
      <x:c r="B183" s="110" t="str">
        <x:v>VIS-MATH-OCT-023</x:v>
      </x:c>
      <x:c r="C183" s="110" t="str">
        <x:v>Математика</x:v>
      </x:c>
      <x:c r="D183" s="110" t="n">
        <x:v>7</x:v>
      </x:c>
      <x:c r="E183" s="110" t="str">
        <x:v>USE_CONTEXT</x:v>
      </x:c>
      <x:c r="F183" s="110" t="str">
        <x:v>QA_APPROVED</x:v>
      </x:c>
      <x:c r="G183" s="110" t="str">
        <x:v>visual_gallery/assets/cropped/ffa5c049743b4a7177b181cb7d66cb5220e92650a3f8368a6ce7bb8e01076565.png</x:v>
      </x:c>
      <x:c r="H183" s="110" t="str">
        <x:v>ffa5c049743b4a7177b181cb7d66cb5220e92650a3f8368a6ce7bb8e01076565</x:v>
      </x:c>
      <x:c r="I183" s="110" t="str">
        <x:v>d82ceec37b53160dfdf76f37ab4f40bbdcd30710175d4c03cd31c9991d01d2e6</x:v>
      </x:c>
      <x:c r="J183" s="110" t="str"/>
      <x:c r="K183" s="110" t="str"/>
      <x:c r="L183" s="30" t="str"/>
      <x:c r="M183" s="110" t="e">
        <x:f>HYPERLINK("visual_gallery/index.html#OCT-MATH-0106-07--VIS-MATH-OCT-023","Галерея")</x:f>
      </x:c>
    </x:row>
    <x:row r="184" ht="24" customHeight="1">
      <x:c r="A184" s="110" t="str">
        <x:v>OCT-MATH-0106-09</x:v>
      </x:c>
      <x:c r="B184" s="110" t="str">
        <x:v>VIS-MATH-OCT-024</x:v>
      </x:c>
      <x:c r="C184" s="110" t="str">
        <x:v>Математика</x:v>
      </x:c>
      <x:c r="D184" s="110" t="n">
        <x:v>9</x:v>
      </x:c>
      <x:c r="E184" s="110" t="str">
        <x:v>USE_TIGHT</x:v>
      </x:c>
      <x:c r="F184" s="110" t="str">
        <x:v>QA_APPROVED</x:v>
      </x:c>
      <x:c r="G184" s="110" t="str">
        <x:v>visual_gallery/assets/cropped/d91776ad12f698a3be04bb9c8276047ecea8d252f3d6ba465a41852812e4dfb2.png</x:v>
      </x:c>
      <x:c r="H184" s="110" t="str">
        <x:v>d91776ad12f698a3be04bb9c8276047ecea8d252f3d6ba465a41852812e4dfb2</x:v>
      </x:c>
      <x:c r="I184" s="110" t="str">
        <x:v>1b4475909195e4590b2fb1b1cb0d699ada5099432d46fe5b38ecfc16de3eeae9</x:v>
      </x:c>
      <x:c r="J184" s="110" t="str"/>
      <x:c r="K184" s="110" t="str"/>
      <x:c r="L184" s="30" t="str"/>
      <x:c r="M184" s="110" t="e">
        <x:f>HYPERLINK("visual_gallery/index.html#OCT-MATH-0106-09--VIS-MATH-OCT-024","Галерея")</x:f>
      </x:c>
    </x:row>
    <x:row r="185" ht="24" customHeight="1">
      <x:c r="A185" s="110" t="str">
        <x:v>OCT-MATH-0107-03</x:v>
      </x:c>
      <x:c r="B185" s="110" t="str">
        <x:v>VIS-MATH-OCT-025</x:v>
      </x:c>
      <x:c r="C185" s="110" t="str">
        <x:v>Математика</x:v>
      </x:c>
      <x:c r="D185" s="110" t="n">
        <x:v>3</x:v>
      </x:c>
      <x:c r="E185" s="110" t="str">
        <x:v>USE_CONTEXT</x:v>
      </x:c>
      <x:c r="F185" s="110" t="str">
        <x:v>QA_APPROVED</x:v>
      </x:c>
      <x:c r="G185" s="110" t="str">
        <x:v>visual_gallery/assets/cropped/fa72206953312371a4be5cbaa8e37995a24960792974418ba96eba8fb8fc966b.png</x:v>
      </x:c>
      <x:c r="H185" s="110" t="str">
        <x:v>fa72206953312371a4be5cbaa8e37995a24960792974418ba96eba8fb8fc966b</x:v>
      </x:c>
      <x:c r="I185" s="110" t="str">
        <x:v>5cf8c6c0e00bfc010966be094b910202d8d03071e5d057b0d8cd009b14b933c2</x:v>
      </x:c>
      <x:c r="J185" s="110" t="str"/>
      <x:c r="K185" s="110" t="str"/>
      <x:c r="L185" s="30" t="str"/>
      <x:c r="M185" s="110" t="e">
        <x:f>HYPERLINK("visual_gallery/index.html#OCT-MATH-0107-03--VIS-MATH-OCT-025","Галерея")</x:f>
      </x:c>
    </x:row>
    <x:row r="186" ht="24" customHeight="1">
      <x:c r="A186" s="110" t="str">
        <x:v>OCT-MATH-0107-07</x:v>
      </x:c>
      <x:c r="B186" s="110" t="str">
        <x:v>VIS-MATH-OCT-027</x:v>
      </x:c>
      <x:c r="C186" s="110" t="str">
        <x:v>Математика</x:v>
      </x:c>
      <x:c r="D186" s="110" t="n">
        <x:v>7</x:v>
      </x:c>
      <x:c r="E186" s="110" t="str">
        <x:v>USE_CONTEXT</x:v>
      </x:c>
      <x:c r="F186" s="110" t="str">
        <x:v>QA_APPROVED</x:v>
      </x:c>
      <x:c r="G186" s="110" t="str">
        <x:v>visual_gallery/assets/cropped/ad368f53005bcc48d58deb7cd43726ee754724d0e69418d4ae17708adfbeb783.png</x:v>
      </x:c>
      <x:c r="H186" s="110" t="str">
        <x:v>ad368f53005bcc48d58deb7cd43726ee754724d0e69418d4ae17708adfbeb783</x:v>
      </x:c>
      <x:c r="I186" s="110" t="str">
        <x:v>4dc62c10f5df058a979863bd64683c4bd3ded2850f00c62eefc00db9bd0d5846</x:v>
      </x:c>
      <x:c r="J186" s="110" t="str"/>
      <x:c r="K186" s="110" t="str"/>
      <x:c r="L186" s="30" t="str"/>
      <x:c r="M186" s="110" t="e">
        <x:f>HYPERLINK("visual_gallery/index.html#OCT-MATH-0107-07--VIS-MATH-OCT-027","Галерея")</x:f>
      </x:c>
    </x:row>
    <x:row r="187" ht="24" customHeight="1">
      <x:c r="A187" s="110" t="str">
        <x:v>OCT-MATH-0107-09</x:v>
      </x:c>
      <x:c r="B187" s="110" t="str">
        <x:v>VIS-MATH-OCT-028</x:v>
      </x:c>
      <x:c r="C187" s="110" t="str">
        <x:v>Математика</x:v>
      </x:c>
      <x:c r="D187" s="110" t="n">
        <x:v>9</x:v>
      </x:c>
      <x:c r="E187" s="110" t="str">
        <x:v>USE_TIGHT</x:v>
      </x:c>
      <x:c r="F187" s="110" t="str">
        <x:v>QA_APPROVED</x:v>
      </x:c>
      <x:c r="G187" s="110" t="str">
        <x:v>visual_gallery/assets/cropped/f83b6311de225a2cf6669149fd9c69c139958187272de324ea6f2034220d6505.png</x:v>
      </x:c>
      <x:c r="H187" s="110" t="str">
        <x:v>f83b6311de225a2cf6669149fd9c69c139958187272de324ea6f2034220d6505</x:v>
      </x:c>
      <x:c r="I187" s="110" t="str">
        <x:v>ae150ac3eea74bda2b28b0ad96e3cf0a2b9f88219eff04da8510fdbd2c237d53</x:v>
      </x:c>
      <x:c r="J187" s="110" t="str"/>
      <x:c r="K187" s="110" t="str"/>
      <x:c r="L187" s="30" t="str"/>
      <x:c r="M187" s="110" t="e">
        <x:f>HYPERLINK("visual_gallery/index.html#OCT-MATH-0107-09--VIS-MATH-OCT-028","Галерея")</x:f>
      </x:c>
    </x:row>
    <x:row r="188" ht="24" customHeight="1">
      <x:c r="A188" s="110" t="str">
        <x:v>OCT-MATH-0108-03</x:v>
      </x:c>
      <x:c r="B188" s="110" t="str">
        <x:v>VIS-MATH-OCT-029</x:v>
      </x:c>
      <x:c r="C188" s="110" t="str">
        <x:v>Математика</x:v>
      </x:c>
      <x:c r="D188" s="110" t="n">
        <x:v>3</x:v>
      </x:c>
      <x:c r="E188" s="110" t="str">
        <x:v>USE_CONTEXT</x:v>
      </x:c>
      <x:c r="F188" s="110" t="str">
        <x:v>QA_APPROVED</x:v>
      </x:c>
      <x:c r="G188" s="110" t="str">
        <x:v>visual_gallery/assets/cropped/28f33a2623ddff157cdeb829365177f31f9e179818af7ff7c7636daebbc6fd3b.png</x:v>
      </x:c>
      <x:c r="H188" s="110" t="str">
        <x:v>28f33a2623ddff157cdeb829365177f31f9e179818af7ff7c7636daebbc6fd3b</x:v>
      </x:c>
      <x:c r="I188" s="110" t="str">
        <x:v>6865ab0cdd55c160ab1ef52379586f2ad17c08a9ab9ce5a5be11c4eb6d248284</x:v>
      </x:c>
      <x:c r="J188" s="110" t="str"/>
      <x:c r="K188" s="110" t="str"/>
      <x:c r="L188" s="30" t="str"/>
      <x:c r="M188" s="110" t="e">
        <x:f>HYPERLINK("visual_gallery/index.html#OCT-MATH-0108-03--VIS-MATH-OCT-029","Галерея")</x:f>
      </x:c>
    </x:row>
    <x:row r="189" ht="24" customHeight="1">
      <x:c r="A189" s="110" t="str">
        <x:v>OCT-MATH-0108-07</x:v>
      </x:c>
      <x:c r="B189" s="110" t="str">
        <x:v>VIS-MATH-OCT-031</x:v>
      </x:c>
      <x:c r="C189" s="110" t="str">
        <x:v>Математика</x:v>
      </x:c>
      <x:c r="D189" s="110" t="n">
        <x:v>7</x:v>
      </x:c>
      <x:c r="E189" s="110" t="str">
        <x:v>USE_CONTEXT</x:v>
      </x:c>
      <x:c r="F189" s="110" t="str">
        <x:v>QA_APPROVED</x:v>
      </x:c>
      <x:c r="G189" s="110" t="str">
        <x:v>visual_gallery/assets/cropped/ffa5c049743b4a7177b181cb7d66cb5220e92650a3f8368a6ce7bb8e01076565.png</x:v>
      </x:c>
      <x:c r="H189" s="110" t="str">
        <x:v>ffa5c049743b4a7177b181cb7d66cb5220e92650a3f8368a6ce7bb8e01076565</x:v>
      </x:c>
      <x:c r="I189" s="110" t="str">
        <x:v>35cb2dad6f74f01f2b39d601e163a35680f190cf27900e57815ca1800a3be2f4</x:v>
      </x:c>
      <x:c r="J189" s="110" t="str"/>
      <x:c r="K189" s="110" t="str"/>
      <x:c r="L189" s="30" t="str"/>
      <x:c r="M189" s="110" t="e">
        <x:f>HYPERLINK("visual_gallery/index.html#OCT-MATH-0108-07--VIS-MATH-OCT-031","Галерея")</x:f>
      </x:c>
    </x:row>
    <x:row r="190" ht="24" customHeight="1">
      <x:c r="A190" s="110" t="str">
        <x:v>OCT-MATH-0108-09</x:v>
      </x:c>
      <x:c r="B190" s="110" t="str">
        <x:v>VIS-MATH-OCT-032</x:v>
      </x:c>
      <x:c r="C190" s="110" t="str">
        <x:v>Математика</x:v>
      </x:c>
      <x:c r="D190" s="110" t="n">
        <x:v>9</x:v>
      </x:c>
      <x:c r="E190" s="110" t="str">
        <x:v>USE_TIGHT</x:v>
      </x:c>
      <x:c r="F190" s="110" t="str">
        <x:v>QA_APPROVED</x:v>
      </x:c>
      <x:c r="G190" s="110" t="str">
        <x:v>visual_gallery/assets/cropped/8c4b4a526f1654ad9c1dbfb17902211079cf17b92275d8519cd54374570dda28.png</x:v>
      </x:c>
      <x:c r="H190" s="110" t="str">
        <x:v>8c4b4a526f1654ad9c1dbfb17902211079cf17b92275d8519cd54374570dda28</x:v>
      </x:c>
      <x:c r="I190" s="110" t="str">
        <x:v>54f847bf780d7b3d21c7dc6d9e083d617cfbf95d3a4f8df2ec0be96db7749459</x:v>
      </x:c>
      <x:c r="J190" s="110" t="str"/>
      <x:c r="K190" s="110" t="str"/>
      <x:c r="L190" s="30" t="str"/>
      <x:c r="M190" s="110" t="e">
        <x:f>HYPERLINK("visual_gallery/index.html#OCT-MATH-0108-09--VIS-MATH-OCT-032","Галерея")</x:f>
      </x:c>
    </x:row>
    <x:row r="191" ht="24" customHeight="1">
      <x:c r="A191" s="110" t="str">
        <x:v>OCT-MATH-0109-08</x:v>
      </x:c>
      <x:c r="B191" s="110" t="str">
        <x:v>VIS-MATH-OCT-034</x:v>
      </x:c>
      <x:c r="C191" s="110" t="str">
        <x:v>Математика</x:v>
      </x:c>
      <x:c r="D191" s="110" t="n">
        <x:v>8</x:v>
      </x:c>
      <x:c r="E191" s="110" t="str">
        <x:v>USE_CONTEXT</x:v>
      </x:c>
      <x:c r="F191" s="110" t="str">
        <x:v>QA_APPROVED</x:v>
      </x:c>
      <x:c r="G191" s="110" t="str">
        <x:v>visual_gallery/assets/cropped/4922f3219bb070f5d1ae38bee71d62cb9a797d8066e78a67741cadf426fbb751.png</x:v>
      </x:c>
      <x:c r="H191" s="110" t="str">
        <x:v>4922f3219bb070f5d1ae38bee71d62cb9a797d8066e78a67741cadf426fbb751</x:v>
      </x:c>
      <x:c r="I191" s="110" t="str">
        <x:v>97dce73b9d8de147dd3f0288bc799080966389886cf9b442b1926506221986b7</x:v>
      </x:c>
      <x:c r="J191" s="110" t="str"/>
      <x:c r="K191" s="110" t="str"/>
      <x:c r="L191" s="30" t="str"/>
      <x:c r="M191" s="110" t="e">
        <x:f>HYPERLINK("visual_gallery/index.html#OCT-MATH-0109-08--VIS-MATH-OCT-034","Галерея")</x:f>
      </x:c>
    </x:row>
    <x:row r="192" ht="24" customHeight="1">
      <x:c r="A192" s="110" t="str">
        <x:v>OCT-MATH-0109-11</x:v>
      </x:c>
      <x:c r="B192" s="110" t="str">
        <x:v>VIS-MATH-OCT-035</x:v>
      </x:c>
      <x:c r="C192" s="110" t="str">
        <x:v>Математика</x:v>
      </x:c>
      <x:c r="D192" s="110" t="n">
        <x:v>11</x:v>
      </x:c>
      <x:c r="E192" s="110" t="str">
        <x:v>USE_TIGHT</x:v>
      </x:c>
      <x:c r="F192" s="110" t="str">
        <x:v>QA_APPROVED</x:v>
      </x:c>
      <x:c r="G192" s="110" t="str">
        <x:v>visual_gallery/assets/cropped/5e79d304f80ce681704215df63ee55864c3279699640ce00a788df7271043d7c.png</x:v>
      </x:c>
      <x:c r="H192" s="110" t="str">
        <x:v>5e79d304f80ce681704215df63ee55864c3279699640ce00a788df7271043d7c</x:v>
      </x:c>
      <x:c r="I192" s="110" t="str">
        <x:v>c3a31ce6c2b3a7d4d7620b8632f872c14d4e46ecbb9187ef1a42c1abb4e64036</x:v>
      </x:c>
      <x:c r="J192" s="110" t="str"/>
      <x:c r="K192" s="110" t="str"/>
      <x:c r="L192" s="30" t="str"/>
      <x:c r="M192" s="110" t="e">
        <x:f>HYPERLINK("visual_gallery/index.html#OCT-MATH-0109-11--VIS-MATH-OCT-035","Галерея")</x:f>
      </x:c>
    </x:row>
    <x:row r="193" ht="24" customHeight="1">
      <x:c r="A193" s="110" t="str">
        <x:v>OCT-MATH-0110-08</x:v>
      </x:c>
      <x:c r="B193" s="110" t="str">
        <x:v>VIS-MATH-OCT-037</x:v>
      </x:c>
      <x:c r="C193" s="110" t="str">
        <x:v>Математика</x:v>
      </x:c>
      <x:c r="D193" s="110" t="n">
        <x:v>8</x:v>
      </x:c>
      <x:c r="E193" s="110" t="str">
        <x:v>USE_CONTEXT</x:v>
      </x:c>
      <x:c r="F193" s="110" t="str">
        <x:v>QA_APPROVED</x:v>
      </x:c>
      <x:c r="G193" s="110" t="str">
        <x:v>visual_gallery/assets/cropped/e23f56f743af52a45eeb865eb3983ef485e5a8ce53220767622139c0e9355be9.png</x:v>
      </x:c>
      <x:c r="H193" s="110" t="str">
        <x:v>e23f56f743af52a45eeb865eb3983ef485e5a8ce53220767622139c0e9355be9</x:v>
      </x:c>
      <x:c r="I193" s="110" t="str">
        <x:v>4db9b3f9b2ec4d4625fab11fd5d791e44a735599cdea6834ec32e55f5f22350e</x:v>
      </x:c>
      <x:c r="J193" s="110" t="str"/>
      <x:c r="K193" s="110" t="str"/>
      <x:c r="L193" s="30" t="str"/>
      <x:c r="M193" s="110" t="e">
        <x:f>HYPERLINK("visual_gallery/index.html#OCT-MATH-0110-08--VIS-MATH-OCT-037","Галерея")</x:f>
      </x:c>
    </x:row>
    <x:row r="194" ht="24" customHeight="1">
      <x:c r="A194" s="110" t="str">
        <x:v>OCT-MATH-0110-11</x:v>
      </x:c>
      <x:c r="B194" s="110" t="str">
        <x:v>VIS-MATH-OCT-038</x:v>
      </x:c>
      <x:c r="C194" s="110" t="str">
        <x:v>Математика</x:v>
      </x:c>
      <x:c r="D194" s="110" t="n">
        <x:v>11</x:v>
      </x:c>
      <x:c r="E194" s="110" t="str">
        <x:v>USE_TIGHT</x:v>
      </x:c>
      <x:c r="F194" s="110" t="str">
        <x:v>QA_APPROVED</x:v>
      </x:c>
      <x:c r="G194" s="110" t="str">
        <x:v>visual_gallery/assets/cropped/b8a16cdc3b612a2f58aae96c68ddc6649011f2414113033d89e19f0945810e36.png</x:v>
      </x:c>
      <x:c r="H194" s="110" t="str">
        <x:v>b8a16cdc3b612a2f58aae96c68ddc6649011f2414113033d89e19f0945810e36</x:v>
      </x:c>
      <x:c r="I194" s="110" t="str">
        <x:v>117714b536ccec2fe12edab25acb99c414508f88bcdba87da222801662fb4bd9</x:v>
      </x:c>
      <x:c r="J194" s="110" t="str"/>
      <x:c r="K194" s="110" t="str"/>
      <x:c r="L194" s="30" t="str"/>
      <x:c r="M194" s="110" t="e">
        <x:f>HYPERLINK("visual_gallery/index.html#OCT-MATH-0110-11--VIS-MATH-OCT-038","Галерея")</x:f>
      </x:c>
    </x:row>
    <x:row r="195" ht="24" customHeight="1">
      <x:c r="A195" s="110" t="str">
        <x:v>OCT-MATH-0111-08</x:v>
      </x:c>
      <x:c r="B195" s="110" t="str">
        <x:v>VIS-MATH-OCT-040</x:v>
      </x:c>
      <x:c r="C195" s="110" t="str">
        <x:v>Математика</x:v>
      </x:c>
      <x:c r="D195" s="110" t="n">
        <x:v>8</x:v>
      </x:c>
      <x:c r="E195" s="110" t="str">
        <x:v>USE_TIGHT</x:v>
      </x:c>
      <x:c r="F195" s="110" t="str">
        <x:v>QA_APPROVED</x:v>
      </x:c>
      <x:c r="G195" s="110" t="str">
        <x:v>visual_gallery/assets/cropped/cd432bbe6009ed8804abb547255d5c7fa2485fd9528dd44b42d149d1e642c715.png</x:v>
      </x:c>
      <x:c r="H195" s="110" t="str">
        <x:v>cd432bbe6009ed8804abb547255d5c7fa2485fd9528dd44b42d149d1e642c715</x:v>
      </x:c>
      <x:c r="I195" s="110" t="str">
        <x:v>ad7668da28f95551f8090b176e76d19332eeb1bc236ff1dd19abdf937305e2f9</x:v>
      </x:c>
      <x:c r="J195" s="110" t="str"/>
      <x:c r="K195" s="110" t="str"/>
      <x:c r="L195" s="30" t="str"/>
      <x:c r="M195" s="110" t="e">
        <x:f>HYPERLINK("visual_gallery/index.html#OCT-MATH-0111-08--VIS-MATH-OCT-040","Галерея")</x:f>
      </x:c>
    </x:row>
    <x:row r="196" ht="24" customHeight="1">
      <x:c r="A196" s="110" t="str">
        <x:v>OCT-MATH-0111-11</x:v>
      </x:c>
      <x:c r="B196" s="110" t="str">
        <x:v>VIS-MATH-OCT-041</x:v>
      </x:c>
      <x:c r="C196" s="110" t="str">
        <x:v>Математика</x:v>
      </x:c>
      <x:c r="D196" s="110" t="n">
        <x:v>11</x:v>
      </x:c>
      <x:c r="E196" s="110" t="str">
        <x:v>USE_TIGHT</x:v>
      </x:c>
      <x:c r="F196" s="110" t="str">
        <x:v>QA_APPROVED</x:v>
      </x:c>
      <x:c r="G196" s="110" t="str">
        <x:v>visual_gallery/assets/cropped/958424fdf5656bf7c2b89a2323643551639f5ad5e9ae2974957cc18e96a6ebd9.png</x:v>
      </x:c>
      <x:c r="H196" s="110" t="str">
        <x:v>958424fdf5656bf7c2b89a2323643551639f5ad5e9ae2974957cc18e96a6ebd9</x:v>
      </x:c>
      <x:c r="I196" s="110" t="str">
        <x:v>2b2a7ee76444dbd0fca54dbafd3b4aac11abb74c925a0cbf47147951f57202c2</x:v>
      </x:c>
      <x:c r="J196" s="110" t="str"/>
      <x:c r="K196" s="110" t="str"/>
      <x:c r="L196" s="30" t="str"/>
      <x:c r="M196" s="110" t="e">
        <x:f>HYPERLINK("visual_gallery/index.html#OCT-MATH-0111-11--VIS-MATH-OCT-041","Галерея")</x:f>
      </x:c>
    </x:row>
    <x:row r="197" ht="24" customHeight="1">
      <x:c r="A197" s="110" t="str">
        <x:v>OCT-MATH-0112-08</x:v>
      </x:c>
      <x:c r="B197" s="110" t="str">
        <x:v>VIS-MATH-OCT-043</x:v>
      </x:c>
      <x:c r="C197" s="110" t="str">
        <x:v>Математика</x:v>
      </x:c>
      <x:c r="D197" s="110" t="n">
        <x:v>8</x:v>
      </x:c>
      <x:c r="E197" s="110" t="str">
        <x:v>USE_TIGHT</x:v>
      </x:c>
      <x:c r="F197" s="110" t="str">
        <x:v>QA_APPROVED</x:v>
      </x:c>
      <x:c r="G197" s="110" t="str">
        <x:v>visual_gallery/assets/cropped/ced0ed8ce31bbce3dbef813b22b47bfa3c7bfae43d3ce8480bcce1d63d7a007a.png</x:v>
      </x:c>
      <x:c r="H197" s="110" t="str">
        <x:v>ced0ed8ce31bbce3dbef813b22b47bfa3c7bfae43d3ce8480bcce1d63d7a007a</x:v>
      </x:c>
      <x:c r="I197" s="110" t="str">
        <x:v>b961a0fd95a3be942c668cc2e5ca8d647493fabed3b635377746d4abe14180a8</x:v>
      </x:c>
      <x:c r="J197" s="110" t="str"/>
      <x:c r="K197" s="110" t="str"/>
      <x:c r="L197" s="30" t="str"/>
      <x:c r="M197" s="110" t="e">
        <x:f>HYPERLINK("visual_gallery/index.html#OCT-MATH-0112-08--VIS-MATH-OCT-043","Галерея")</x:f>
      </x:c>
    </x:row>
    <x:row r="198" ht="24" customHeight="1">
      <x:c r="A198" s="110" t="str">
        <x:v>OCT-MATH-0112-11</x:v>
      </x:c>
      <x:c r="B198" s="110" t="str">
        <x:v>VIS-MATH-OCT-044</x:v>
      </x:c>
      <x:c r="C198" s="110" t="str">
        <x:v>Математика</x:v>
      </x:c>
      <x:c r="D198" s="110" t="n">
        <x:v>11</x:v>
      </x:c>
      <x:c r="E198" s="110" t="str">
        <x:v>USE_TIGHT</x:v>
      </x:c>
      <x:c r="F198" s="110" t="str">
        <x:v>QA_APPROVED</x:v>
      </x:c>
      <x:c r="G198" s="110" t="str">
        <x:v>visual_gallery/assets/cropped/faa49ae0dfdbb543ab8bfba1cbdba2063c9075b0529805c2b17a022a04d72db4.png</x:v>
      </x:c>
      <x:c r="H198" s="110" t="str">
        <x:v>faa49ae0dfdbb543ab8bfba1cbdba2063c9075b0529805c2b17a022a04d72db4</x:v>
      </x:c>
      <x:c r="I198" s="110" t="str">
        <x:v>fb8b6f77aed92a9ccf1ddf647cdb0eb78ff95379937e7b0e21a0963253b39061</x:v>
      </x:c>
      <x:c r="J198" s="110" t="str"/>
      <x:c r="K198" s="110" t="str"/>
      <x:c r="L198" s="30" t="str"/>
      <x:c r="M198" s="110" t="e">
        <x:f>HYPERLINK("visual_gallery/index.html#OCT-MATH-0112-11--VIS-MATH-OCT-044","Галерея")</x:f>
      </x:c>
    </x:row>
    <x:row r="199" ht="24" customHeight="1">
      <x:c r="A199" s="110" t="str">
        <x:v>EGKR-S26-MATHB-959-06</x:v>
      </x:c>
      <x:c r="B199" s="110" t="str">
        <x:v>VIS-EGKR-MATHB-S26-TASK-959-P004</x:v>
      </x:c>
      <x:c r="C199" s="110" t="str">
        <x:v>Математика (база)</x:v>
      </x:c>
      <x:c r="D199" s="110" t="n">
        <x:v>6</x:v>
      </x:c>
      <x:c r="E199" s="110" t="str">
        <x:v>USE_TIGHT</x:v>
      </x:c>
      <x:c r="F199" s="110" t="str">
        <x:v>QA_APPROVED</x:v>
      </x:c>
      <x:c r="G199" s="110" t="str">
        <x:v>visual_gallery/assets/cropped/c3ede9566505b12c14905eb1ad4969cf9264207c84c41b3e05c6e133aeac1cdc.png</x:v>
      </x:c>
      <x:c r="H199" s="110" t="str">
        <x:v>c3ede9566505b12c14905eb1ad4969cf9264207c84c41b3e05c6e133aeac1cdc</x:v>
      </x:c>
      <x:c r="I199" s="110" t="str">
        <x:v>c0894995bbda0fc006cc439aa803ec42b77f99cebe495eb800cee1967dd51278</x:v>
      </x:c>
      <x:c r="J199" s="110" t="str"/>
      <x:c r="K199" s="110" t="str"/>
      <x:c r="L199" s="30" t="str"/>
      <x:c r="M199" s="110" t="e">
        <x:f>HYPERLINK("visual_gallery/index.html#EGKR-S26-MATHB-959-06--VIS-EGKR-MATHB-S26-TASK-959-P004","Галерея")</x:f>
      </x:c>
    </x:row>
    <x:row r="200" ht="24" customHeight="1">
      <x:c r="A200" s="110" t="str">
        <x:v>EGKR-S26-MATHB-961-06</x:v>
      </x:c>
      <x:c r="B200" s="110" t="str">
        <x:v>VIS-EGKR-MATHB-S26-TASK-961-P004</x:v>
      </x:c>
      <x:c r="C200" s="110" t="str">
        <x:v>Математика (база)</x:v>
      </x:c>
      <x:c r="D200" s="110" t="n">
        <x:v>6</x:v>
      </x:c>
      <x:c r="E200" s="110" t="str">
        <x:v>USE_TIGHT</x:v>
      </x:c>
      <x:c r="F200" s="110" t="str">
        <x:v>QA_APPROVED</x:v>
      </x:c>
      <x:c r="G200" s="110" t="str">
        <x:v>visual_gallery/assets/cropped/4880c17190c9304a43263bac562b7e0781e68e7e05a519e4eab3b56a1a6f91d2.png</x:v>
      </x:c>
      <x:c r="H200" s="110" t="str">
        <x:v>4880c17190c9304a43263bac562b7e0781e68e7e05a519e4eab3b56a1a6f91d2</x:v>
      </x:c>
      <x:c r="I200" s="110" t="str">
        <x:v>3b9e4cfe54db829e7d310be0b2e625e957a0538741f3842cb45a224b5c0e6a73</x:v>
      </x:c>
      <x:c r="J200" s="110" t="str"/>
      <x:c r="K200" s="110" t="str"/>
      <x:c r="L200" s="30" t="str"/>
      <x:c r="M200" s="110" t="e">
        <x:f>HYPERLINK("visual_gallery/index.html#EGKR-S26-MATHB-961-06--VIS-EGKR-MATHB-S26-TASK-961-P004","Галерея")</x:f>
      </x:c>
    </x:row>
    <x:row r="201" ht="24" customHeight="1">
      <x:c r="A201" s="110" t="str">
        <x:v>EGKR-S26-MATHB-964-06</x:v>
      </x:c>
      <x:c r="B201" s="110" t="str">
        <x:v>VIS-EGKR-MATHB-S26-TASK-964-P004</x:v>
      </x:c>
      <x:c r="C201" s="110" t="str">
        <x:v>Математика (база)</x:v>
      </x:c>
      <x:c r="D201" s="110" t="n">
        <x:v>6</x:v>
      </x:c>
      <x:c r="E201" s="110" t="str">
        <x:v>USE_TIGHT</x:v>
      </x:c>
      <x:c r="F201" s="110" t="str">
        <x:v>QA_APPROVED</x:v>
      </x:c>
      <x:c r="G201" s="110" t="str">
        <x:v>visual_gallery/assets/cropped/e2a5747a3bba057e3cbc1fd29e8d3123cdfbaec0c2f7069e50480f64d55a9471.png</x:v>
      </x:c>
      <x:c r="H201" s="110" t="str">
        <x:v>e2a5747a3bba057e3cbc1fd29e8d3123cdfbaec0c2f7069e50480f64d55a9471</x:v>
      </x:c>
      <x:c r="I201" s="110" t="str">
        <x:v>495e9aeb3ddc912fee37199d1f476a8f66e5adcdde0f8b074ba10f870f49e3ce</x:v>
      </x:c>
      <x:c r="J201" s="110" t="str"/>
      <x:c r="K201" s="110" t="str"/>
      <x:c r="L201" s="30" t="str"/>
      <x:c r="M201" s="110" t="e">
        <x:f>HYPERLINK("visual_gallery/index.html#EGKR-S26-MATHB-964-06--VIS-EGKR-MATHB-S26-TASK-964-P004","Галерея")</x:f>
      </x:c>
    </x:row>
    <x:row r="202" ht="24" customHeight="1">
      <x:c r="A202" s="110" t="str">
        <x:v>EGKR-W25-MATHB-951-07</x:v>
      </x:c>
      <x:c r="B202" s="110" t="str">
        <x:v>VIS-EGKR-MATHB-W25-TASK-951-P005</x:v>
      </x:c>
      <x:c r="C202" s="110" t="str">
        <x:v>Математика (база)</x:v>
      </x:c>
      <x:c r="D202" s="110" t="n">
        <x:v>7</x:v>
      </x:c>
      <x:c r="E202" s="110" t="str">
        <x:v>USE_TIGHT</x:v>
      </x:c>
      <x:c r="F202" s="110" t="str">
        <x:v>QA_APPROVED</x:v>
      </x:c>
      <x:c r="G202" s="110" t="str">
        <x:v>visual_gallery/assets/cropped/1a6cb62fdc276c2b740d6c88ba0d8fdd63cadb70cd494f384f20a9f0cb287d16.png</x:v>
      </x:c>
      <x:c r="H202" s="110" t="str">
        <x:v>1a6cb62fdc276c2b740d6c88ba0d8fdd63cadb70cd494f384f20a9f0cb287d16</x:v>
      </x:c>
      <x:c r="I202" s="110" t="str">
        <x:v>d889c8ae17ffd93b17c61a2ddc65f1578663305d75670dba9b62a428860e8a48</x:v>
      </x:c>
      <x:c r="J202" s="110" t="str"/>
      <x:c r="K202" s="110" t="str"/>
      <x:c r="L202" s="30" t="str"/>
      <x:c r="M202" s="110" t="e">
        <x:f>HYPERLINK("visual_gallery/index.html#EGKR-W25-MATHB-951-07--VIS-EGKR-MATHB-W25-TASK-951-P005","Галерея")</x:f>
      </x:c>
    </x:row>
    <x:row r="203" ht="24" customHeight="1">
      <x:c r="A203" s="110" t="str">
        <x:v>EGKR-W25-MATHB-951-09</x:v>
      </x:c>
      <x:c r="B203" s="110" t="str">
        <x:v>VIS-EGKR-MATHB-W25-TASK-951-P006</x:v>
      </x:c>
      <x:c r="C203" s="110" t="str">
        <x:v>Математика (база)</x:v>
      </x:c>
      <x:c r="D203" s="110" t="n">
        <x:v>9</x:v>
      </x:c>
      <x:c r="E203" s="110" t="str">
        <x:v>USE_TIGHT</x:v>
      </x:c>
      <x:c r="F203" s="110" t="str">
        <x:v>QA_APPROVED</x:v>
      </x:c>
      <x:c r="G203" s="110" t="str">
        <x:v>visual_gallery/assets/cropped/4f7c482be6649fb0a979db7b611ac1b1ce39d9a9b635d55fd7e582316c636356.png</x:v>
      </x:c>
      <x:c r="H203" s="110" t="str">
        <x:v>4f7c482be6649fb0a979db7b611ac1b1ce39d9a9b635d55fd7e582316c636356</x:v>
      </x:c>
      <x:c r="I203" s="110" t="str">
        <x:v>892ffc01ab7a39cc3c84d3f56082203692a4338bc3b053dd0321be7098797b35</x:v>
      </x:c>
      <x:c r="J203" s="110" t="str"/>
      <x:c r="K203" s="110" t="str"/>
      <x:c r="L203" s="30" t="str"/>
      <x:c r="M203" s="110" t="e">
        <x:f>HYPERLINK("visual_gallery/index.html#EGKR-W25-MATHB-951-09--VIS-EGKR-MATHB-W25-TASK-951-P006","Галерея")</x:f>
      </x:c>
    </x:row>
    <x:row r="204" ht="24" customHeight="1">
      <x:c r="A204" s="110" t="str">
        <x:v>EGKR-W25-MATHB-951-10</x:v>
      </x:c>
      <x:c r="B204" s="110" t="str">
        <x:v>VIS-EGKR-MATHB-W25-TASK-951-P006</x:v>
      </x:c>
      <x:c r="C204" s="110" t="str">
        <x:v>Математика (база)</x:v>
      </x:c>
      <x:c r="D204" s="110" t="n">
        <x:v>10</x:v>
      </x:c>
      <x:c r="E204" s="110" t="str">
        <x:v>USE_CONTEXT</x:v>
      </x:c>
      <x:c r="F204" s="110" t="str">
        <x:v>QA_APPROVED</x:v>
      </x:c>
      <x:c r="G204" s="110" t="str">
        <x:v>visual_gallery/assets/cropped/703f26865c5bd1b7a943c55f231a46ccc597d1979b6a88b2751541aee0d29822.png</x:v>
      </x:c>
      <x:c r="H204" s="110" t="str">
        <x:v>703f26865c5bd1b7a943c55f231a46ccc597d1979b6a88b2751541aee0d29822</x:v>
      </x:c>
      <x:c r="I204" s="110" t="str">
        <x:v>892ffc01ab7a39cc3c84d3f56082203692a4338bc3b053dd0321be7098797b35</x:v>
      </x:c>
      <x:c r="J204" s="110" t="str"/>
      <x:c r="K204" s="110" t="str"/>
      <x:c r="L204" s="30" t="str"/>
      <x:c r="M204" s="110" t="e">
        <x:f>HYPERLINK("visual_gallery/index.html#EGKR-W25-MATHB-951-10--VIS-EGKR-MATHB-W25-TASK-951-P006","Галерея")</x:f>
      </x:c>
    </x:row>
    <x:row r="205" ht="24" customHeight="1">
      <x:c r="A205" s="110" t="str">
        <x:v>EGKR-W25-MATHB-952-07</x:v>
      </x:c>
      <x:c r="B205" s="110" t="str">
        <x:v>VIS-EGKR-MATHB-W25-TASK-952-P005</x:v>
      </x:c>
      <x:c r="C205" s="110" t="str">
        <x:v>Математика (база)</x:v>
      </x:c>
      <x:c r="D205" s="110" t="n">
        <x:v>7</x:v>
      </x:c>
      <x:c r="E205" s="110" t="str">
        <x:v>USE_TIGHT</x:v>
      </x:c>
      <x:c r="F205" s="110" t="str">
        <x:v>QA_APPROVED</x:v>
      </x:c>
      <x:c r="G205" s="110" t="str">
        <x:v>visual_gallery/assets/cropped/851bf000b94c7c69a0499eae79e19dead6fe43ff0210ac3a22651adeadc114c0.png</x:v>
      </x:c>
      <x:c r="H205" s="110" t="str">
        <x:v>851bf000b94c7c69a0499eae79e19dead6fe43ff0210ac3a22651adeadc114c0</x:v>
      </x:c>
      <x:c r="I205" s="110" t="str">
        <x:v>bd73b1be458c6817fa8ec5e1cbe568873c71dd7eb047f5f16118d55587a072df</x:v>
      </x:c>
      <x:c r="J205" s="110" t="str"/>
      <x:c r="K205" s="110" t="str"/>
      <x:c r="L205" s="30" t="str"/>
      <x:c r="M205" s="110" t="e">
        <x:f>HYPERLINK("visual_gallery/index.html#EGKR-W25-MATHB-952-07--VIS-EGKR-MATHB-W25-TASK-952-P005","Галерея")</x:f>
      </x:c>
    </x:row>
    <x:row r="206" ht="24" customHeight="1">
      <x:c r="A206" s="110" t="str">
        <x:v>EGKR-W25-MATHB-952-09</x:v>
      </x:c>
      <x:c r="B206" s="110" t="str">
        <x:v>VIS-EGKR-MATHB-W25-TASK-952-P006</x:v>
      </x:c>
      <x:c r="C206" s="110" t="str">
        <x:v>Математика (база)</x:v>
      </x:c>
      <x:c r="D206" s="110" t="n">
        <x:v>9</x:v>
      </x:c>
      <x:c r="E206" s="110" t="str">
        <x:v>USE_TIGHT</x:v>
      </x:c>
      <x:c r="F206" s="110" t="str">
        <x:v>QA_APPROVED</x:v>
      </x:c>
      <x:c r="G206" s="110" t="str">
        <x:v>visual_gallery/assets/cropped/309a1dbf02e6a8c05a19bbdfc32208cbf485759adafdaa0dc9091b3896500c66.png</x:v>
      </x:c>
      <x:c r="H206" s="110" t="str">
        <x:v>309a1dbf02e6a8c05a19bbdfc32208cbf485759adafdaa0dc9091b3896500c66</x:v>
      </x:c>
      <x:c r="I206" s="110" t="str">
        <x:v>1fc43d623ede49f530721bca2e013230ee2cefef65161cc65afa2929d1389297</x:v>
      </x:c>
      <x:c r="J206" s="110" t="str"/>
      <x:c r="K206" s="110" t="str"/>
      <x:c r="L206" s="30" t="str"/>
      <x:c r="M206" s="110" t="e">
        <x:f>HYPERLINK("visual_gallery/index.html#EGKR-W25-MATHB-952-09--VIS-EGKR-MATHB-W25-TASK-952-P006","Галерея")</x:f>
      </x:c>
    </x:row>
    <x:row r="207" ht="24" customHeight="1">
      <x:c r="A207" s="110" t="str">
        <x:v>EGKR-W25-MATHB-952-10</x:v>
      </x:c>
      <x:c r="B207" s="110" t="str">
        <x:v>VIS-EGKR-MATHB-W25-TASK-952-P006</x:v>
      </x:c>
      <x:c r="C207" s="110" t="str">
        <x:v>Математика (база)</x:v>
      </x:c>
      <x:c r="D207" s="110" t="n">
        <x:v>10</x:v>
      </x:c>
      <x:c r="E207" s="110" t="str">
        <x:v>USE_TIGHT</x:v>
      </x:c>
      <x:c r="F207" s="110" t="str">
        <x:v>QA_APPROVED</x:v>
      </x:c>
      <x:c r="G207" s="110" t="str">
        <x:v>visual_gallery/assets/cropped/c6ad8aad35a52e98ef4120b2341e77beb049001335205a4b8e29ed3b00d2b365.png</x:v>
      </x:c>
      <x:c r="H207" s="110" t="str">
        <x:v>c6ad8aad35a52e98ef4120b2341e77beb049001335205a4b8e29ed3b00d2b365</x:v>
      </x:c>
      <x:c r="I207" s="110" t="str">
        <x:v>1fc43d623ede49f530721bca2e013230ee2cefef65161cc65afa2929d1389297</x:v>
      </x:c>
      <x:c r="J207" s="110" t="str"/>
      <x:c r="K207" s="110" t="str"/>
      <x:c r="L207" s="30" t="str"/>
      <x:c r="M207" s="110" t="e">
        <x:f>HYPERLINK("visual_gallery/index.html#EGKR-W25-MATHB-952-10--VIS-EGKR-MATHB-W25-TASK-952-P006","Галерея")</x:f>
      </x:c>
    </x:row>
    <x:row r="208" ht="24" customHeight="1">
      <x:c r="A208" s="110" t="str">
        <x:v>EGKR-W25-MATHB-953-07</x:v>
      </x:c>
      <x:c r="B208" s="110" t="str">
        <x:v>VIS-EGKR-MATHB-W25-TASK-953-P005</x:v>
      </x:c>
      <x:c r="C208" s="110" t="str">
        <x:v>Математика (база)</x:v>
      </x:c>
      <x:c r="D208" s="110" t="n">
        <x:v>7</x:v>
      </x:c>
      <x:c r="E208" s="110" t="str">
        <x:v>USE_TIGHT</x:v>
      </x:c>
      <x:c r="F208" s="110" t="str">
        <x:v>QA_APPROVED</x:v>
      </x:c>
      <x:c r="G208" s="110" t="str">
        <x:v>visual_gallery/assets/cropped/0fd5aa1b2aaf7661c7c1adfa97d2685ae9d36fcef9e0acc1fc10f3341f5d2ed0.png</x:v>
      </x:c>
      <x:c r="H208" s="110" t="str">
        <x:v>0fd5aa1b2aaf7661c7c1adfa97d2685ae9d36fcef9e0acc1fc10f3341f5d2ed0</x:v>
      </x:c>
      <x:c r="I208" s="110" t="str">
        <x:v>d96d199587d9d6af90b75f19330eb720205c042a818991e9d0e980a65d173f0a</x:v>
      </x:c>
      <x:c r="J208" s="110" t="str"/>
      <x:c r="K208" s="110" t="str"/>
      <x:c r="L208" s="30" t="str"/>
      <x:c r="M208" s="110" t="e">
        <x:f>HYPERLINK("visual_gallery/index.html#EGKR-W25-MATHB-953-07--VIS-EGKR-MATHB-W25-TASK-953-P005","Галерея")</x:f>
      </x:c>
    </x:row>
    <x:row r="209" ht="24" customHeight="1">
      <x:c r="A209" s="110" t="str">
        <x:v>EGKR-W25-MATHB-953-09</x:v>
      </x:c>
      <x:c r="B209" s="110" t="str">
        <x:v>VIS-EGKR-MATHB-W25-TASK-953-P006</x:v>
      </x:c>
      <x:c r="C209" s="110" t="str">
        <x:v>Математика (база)</x:v>
      </x:c>
      <x:c r="D209" s="110" t="n">
        <x:v>9</x:v>
      </x:c>
      <x:c r="E209" s="110" t="str">
        <x:v>USE_TIGHT</x:v>
      </x:c>
      <x:c r="F209" s="110" t="str">
        <x:v>QA_APPROVED</x:v>
      </x:c>
      <x:c r="G209" s="110" t="str">
        <x:v>visual_gallery/assets/cropped/37c53d9d7c89414d0175abc57c60599d8ff0360926d09ae598a1a36b34e5b06c.png</x:v>
      </x:c>
      <x:c r="H209" s="110" t="str">
        <x:v>37c53d9d7c89414d0175abc57c60599d8ff0360926d09ae598a1a36b34e5b06c</x:v>
      </x:c>
      <x:c r="I209" s="110" t="str">
        <x:v>00d91a52d42a4e129f20eb19bc58f87505bd3822a19bea5a4927f219109f53e1</x:v>
      </x:c>
      <x:c r="J209" s="110" t="str"/>
      <x:c r="K209" s="110" t="str"/>
      <x:c r="L209" s="30" t="str"/>
      <x:c r="M209" s="110" t="e">
        <x:f>HYPERLINK("visual_gallery/index.html#EGKR-W25-MATHB-953-09--VIS-EGKR-MATHB-W25-TASK-953-P006","Галерея")</x:f>
      </x:c>
    </x:row>
    <x:row r="210" ht="24" customHeight="1">
      <x:c r="A210" s="110" t="str">
        <x:v>EGKR-W25-MATHB-953-10</x:v>
      </x:c>
      <x:c r="B210" s="110" t="str">
        <x:v>VIS-EGKR-MATHB-W25-TASK-953-P006</x:v>
      </x:c>
      <x:c r="C210" s="110" t="str">
        <x:v>Математика (база)</x:v>
      </x:c>
      <x:c r="D210" s="110" t="n">
        <x:v>10</x:v>
      </x:c>
      <x:c r="E210" s="110" t="str">
        <x:v>USE_CONTEXT</x:v>
      </x:c>
      <x:c r="F210" s="110" t="str">
        <x:v>QA_APPROVED</x:v>
      </x:c>
      <x:c r="G210" s="110" t="str">
        <x:v>visual_gallery/assets/cropped/d948f744096361614a932c37906821a61198ccc5ead9dc6635c99d5279ac87d5.png</x:v>
      </x:c>
      <x:c r="H210" s="110" t="str">
        <x:v>d948f744096361614a932c37906821a61198ccc5ead9dc6635c99d5279ac87d5</x:v>
      </x:c>
      <x:c r="I210" s="110" t="str">
        <x:v>00d91a52d42a4e129f20eb19bc58f87505bd3822a19bea5a4927f219109f53e1</x:v>
      </x:c>
      <x:c r="J210" s="110" t="str"/>
      <x:c r="K210" s="110" t="str"/>
      <x:c r="L210" s="30" t="str"/>
      <x:c r="M210" s="110" t="e">
        <x:f>HYPERLINK("visual_gallery/index.html#EGKR-W25-MATHB-953-10--VIS-EGKR-MATHB-W25-TASK-953-P006","Галерея")</x:f>
      </x:c>
    </x:row>
    <x:row r="211" ht="24" customHeight="1">
      <x:c r="A211" s="110" t="str">
        <x:v>EGKR-W25-MATHB-954-07</x:v>
      </x:c>
      <x:c r="B211" s="110" t="str">
        <x:v>VIS-EGKR-MATHB-W25-TASK-954-P005</x:v>
      </x:c>
      <x:c r="C211" s="110" t="str">
        <x:v>Математика (база)</x:v>
      </x:c>
      <x:c r="D211" s="110" t="n">
        <x:v>7</x:v>
      </x:c>
      <x:c r="E211" s="110" t="str">
        <x:v>USE_TIGHT</x:v>
      </x:c>
      <x:c r="F211" s="110" t="str">
        <x:v>QA_APPROVED</x:v>
      </x:c>
      <x:c r="G211" s="110" t="str">
        <x:v>visual_gallery/assets/cropped/e09ccbe355f00185231fd1def42b7ae3fde7764556f600c0f969f22da217826a.png</x:v>
      </x:c>
      <x:c r="H211" s="110" t="str">
        <x:v>e09ccbe355f00185231fd1def42b7ae3fde7764556f600c0f969f22da217826a</x:v>
      </x:c>
      <x:c r="I211" s="110" t="str">
        <x:v>83b73b43a5e7fa8aad3240631a980e4b4bcd2de934668c9187750e7dbad89dda</x:v>
      </x:c>
      <x:c r="J211" s="110" t="str"/>
      <x:c r="K211" s="110" t="str"/>
      <x:c r="L211" s="30" t="str"/>
      <x:c r="M211" s="110" t="e">
        <x:f>HYPERLINK("visual_gallery/index.html#EGKR-W25-MATHB-954-07--VIS-EGKR-MATHB-W25-TASK-954-P005","Галерея")</x:f>
      </x:c>
    </x:row>
    <x:row r="212" ht="24" customHeight="1">
      <x:c r="A212" s="110" t="str">
        <x:v>EGKR-W25-MATHB-954-09</x:v>
      </x:c>
      <x:c r="B212" s="110" t="str">
        <x:v>VIS-EGKR-MATHB-W25-TASK-954-P006</x:v>
      </x:c>
      <x:c r="C212" s="110" t="str">
        <x:v>Математика (база)</x:v>
      </x:c>
      <x:c r="D212" s="110" t="n">
        <x:v>9</x:v>
      </x:c>
      <x:c r="E212" s="110" t="str">
        <x:v>USE_TIGHT</x:v>
      </x:c>
      <x:c r="F212" s="110" t="str">
        <x:v>QA_APPROVED</x:v>
      </x:c>
      <x:c r="G212" s="110" t="str">
        <x:v>visual_gallery/assets/cropped/773b76a46817c49a24ee58c617db34550ac6ca4c8363dcaf199fd43ea2b02795.png</x:v>
      </x:c>
      <x:c r="H212" s="110" t="str">
        <x:v>773b76a46817c49a24ee58c617db34550ac6ca4c8363dcaf199fd43ea2b02795</x:v>
      </x:c>
      <x:c r="I212" s="110" t="str">
        <x:v>7ba223e887215206b08342152dfa89cd568f40ea9a636d667fe33849ca4870c0</x:v>
      </x:c>
      <x:c r="J212" s="110" t="str"/>
      <x:c r="K212" s="110" t="str"/>
      <x:c r="L212" s="30" t="str"/>
      <x:c r="M212" s="110" t="e">
        <x:f>HYPERLINK("visual_gallery/index.html#EGKR-W25-MATHB-954-09--VIS-EGKR-MATHB-W25-TASK-954-P006","Галерея")</x:f>
      </x:c>
    </x:row>
    <x:row r="213" ht="24" customHeight="1">
      <x:c r="A213" s="110" t="str">
        <x:v>EGKR-W25-MATHB-954-10</x:v>
      </x:c>
      <x:c r="B213" s="110" t="str">
        <x:v>VIS-EGKR-MATHB-W25-TASK-954-P006</x:v>
      </x:c>
      <x:c r="C213" s="110" t="str">
        <x:v>Математика (база)</x:v>
      </x:c>
      <x:c r="D213" s="110" t="n">
        <x:v>10</x:v>
      </x:c>
      <x:c r="E213" s="110" t="str">
        <x:v>USE_TIGHT</x:v>
      </x:c>
      <x:c r="F213" s="110" t="str">
        <x:v>QA_APPROVED</x:v>
      </x:c>
      <x:c r="G213" s="110" t="str">
        <x:v>visual_gallery/assets/cropped/5085b1fc72ed62bbcc48ce967eb29b87c9a4f4d68a3fadea8cfb73eb71a6668b.png</x:v>
      </x:c>
      <x:c r="H213" s="110" t="str">
        <x:v>5085b1fc72ed62bbcc48ce967eb29b87c9a4f4d68a3fadea8cfb73eb71a6668b</x:v>
      </x:c>
      <x:c r="I213" s="110" t="str">
        <x:v>7ba223e887215206b08342152dfa89cd568f40ea9a636d667fe33849ca4870c0</x:v>
      </x:c>
      <x:c r="J213" s="110" t="str"/>
      <x:c r="K213" s="110" t="str"/>
      <x:c r="L213" s="30" t="str"/>
      <x:c r="M213" s="110" t="e">
        <x:f>HYPERLINK("visual_gallery/index.html#EGKR-W25-MATHB-954-10--VIS-EGKR-MATHB-W25-TASK-954-P006","Галерея")</x:f>
      </x:c>
    </x:row>
    <x:row r="214" ht="24" customHeight="1">
      <x:c r="A214" s="110" t="str">
        <x:v>EGKR-W25-MATHB-955-07</x:v>
      </x:c>
      <x:c r="B214" s="110" t="str">
        <x:v>VIS-EGKR-MATHB-W25-TASK-955-P005</x:v>
      </x:c>
      <x:c r="C214" s="110" t="str">
        <x:v>Математика (база)</x:v>
      </x:c>
      <x:c r="D214" s="110" t="n">
        <x:v>7</x:v>
      </x:c>
      <x:c r="E214" s="110" t="str">
        <x:v>USE_TIGHT</x:v>
      </x:c>
      <x:c r="F214" s="110" t="str">
        <x:v>QA_APPROVED</x:v>
      </x:c>
      <x:c r="G214" s="110" t="str">
        <x:v>visual_gallery/assets/cropped/e44a683be72beeed1faa7f7239213633fff8501cea5525ae59d465dd29565efa.png</x:v>
      </x:c>
      <x:c r="H214" s="110" t="str">
        <x:v>e44a683be72beeed1faa7f7239213633fff8501cea5525ae59d465dd29565efa</x:v>
      </x:c>
      <x:c r="I214" s="110" t="str">
        <x:v>dac3ef676c71893e192f2f08beed8d002f3985ea9ae1c3e12fec00e3689a1c6d</x:v>
      </x:c>
      <x:c r="J214" s="110" t="str"/>
      <x:c r="K214" s="110" t="str"/>
      <x:c r="L214" s="30" t="str"/>
      <x:c r="M214" s="110" t="e">
        <x:f>HYPERLINK("visual_gallery/index.html#EGKR-W25-MATHB-955-07--VIS-EGKR-MATHB-W25-TASK-955-P005","Галерея")</x:f>
      </x:c>
    </x:row>
    <x:row r="215" ht="24" customHeight="1">
      <x:c r="A215" s="110" t="str">
        <x:v>EGKR-W25-MATHB-955-09</x:v>
      </x:c>
      <x:c r="B215" s="110" t="str">
        <x:v>VIS-EGKR-MATHB-W25-TASK-955-P006</x:v>
      </x:c>
      <x:c r="C215" s="110" t="str">
        <x:v>Математика (база)</x:v>
      </x:c>
      <x:c r="D215" s="110" t="n">
        <x:v>9</x:v>
      </x:c>
      <x:c r="E215" s="110" t="str">
        <x:v>USE_TIGHT</x:v>
      </x:c>
      <x:c r="F215" s="110" t="str">
        <x:v>QA_APPROVED</x:v>
      </x:c>
      <x:c r="G215" s="110" t="str">
        <x:v>visual_gallery/assets/cropped/9a31cc6d717f6c58eb506638470d3c8f0961d282d40fd50fae7ffa58fb522227.png</x:v>
      </x:c>
      <x:c r="H215" s="110" t="str">
        <x:v>9a31cc6d717f6c58eb506638470d3c8f0961d282d40fd50fae7ffa58fb522227</x:v>
      </x:c>
      <x:c r="I215" s="110" t="str">
        <x:v>52a4aab4a2df86bdfd170b4dc78a2d09fc9fe1b734963b75b81e26fe27eef41f</x:v>
      </x:c>
      <x:c r="J215" s="110" t="str"/>
      <x:c r="K215" s="110" t="str"/>
      <x:c r="L215" s="30" t="str"/>
      <x:c r="M215" s="110" t="e">
        <x:f>HYPERLINK("visual_gallery/index.html#EGKR-W25-MATHB-955-09--VIS-EGKR-MATHB-W25-TASK-955-P006","Галерея")</x:f>
      </x:c>
    </x:row>
    <x:row r="216" ht="24" customHeight="1">
      <x:c r="A216" s="110" t="str">
        <x:v>EGKR-W25-MATHB-955-10</x:v>
      </x:c>
      <x:c r="B216" s="110" t="str">
        <x:v>VIS-EGKR-MATHB-W25-TASK-955-P006</x:v>
      </x:c>
      <x:c r="C216" s="110" t="str">
        <x:v>Математика (база)</x:v>
      </x:c>
      <x:c r="D216" s="110" t="n">
        <x:v>10</x:v>
      </x:c>
      <x:c r="E216" s="110" t="str">
        <x:v>USE_CONTEXT</x:v>
      </x:c>
      <x:c r="F216" s="110" t="str">
        <x:v>QA_APPROVED</x:v>
      </x:c>
      <x:c r="G216" s="110" t="str">
        <x:v>visual_gallery/assets/cropped/7d02c048ff0a6d3e4e6c8767fb8bfae7f62606d6cf5961439319d61880835c35.png</x:v>
      </x:c>
      <x:c r="H216" s="110" t="str">
        <x:v>7d02c048ff0a6d3e4e6c8767fb8bfae7f62606d6cf5961439319d61880835c35</x:v>
      </x:c>
      <x:c r="I216" s="110" t="str">
        <x:v>52a4aab4a2df86bdfd170b4dc78a2d09fc9fe1b734963b75b81e26fe27eef41f</x:v>
      </x:c>
      <x:c r="J216" s="110" t="str"/>
      <x:c r="K216" s="110" t="str"/>
      <x:c r="L216" s="30" t="str"/>
      <x:c r="M216" s="110" t="e">
        <x:f>HYPERLINK("visual_gallery/index.html#EGKR-W25-MATHB-955-10--VIS-EGKR-MATHB-W25-TASK-955-P006","Галерея")</x:f>
      </x:c>
    </x:row>
    <x:row r="217" ht="24" customHeight="1">
      <x:c r="A217" s="110" t="str">
        <x:v>EGKR-W25-MATHB-957-07</x:v>
      </x:c>
      <x:c r="B217" s="110" t="str">
        <x:v>VIS-EGKR-MATHB-W25-TASK-957-P005</x:v>
      </x:c>
      <x:c r="C217" s="110" t="str">
        <x:v>Математика (база)</x:v>
      </x:c>
      <x:c r="D217" s="110" t="n">
        <x:v>7</x:v>
      </x:c>
      <x:c r="E217" s="110" t="str">
        <x:v>USE_TIGHT</x:v>
      </x:c>
      <x:c r="F217" s="110" t="str">
        <x:v>QA_APPROVED</x:v>
      </x:c>
      <x:c r="G217" s="110" t="str">
        <x:v>visual_gallery/assets/cropped/4be47d6695231aaa63187b6072ffde12989d023c8974661a1623599567c947c7.png</x:v>
      </x:c>
      <x:c r="H217" s="110" t="str">
        <x:v>4be47d6695231aaa63187b6072ffde12989d023c8974661a1623599567c947c7</x:v>
      </x:c>
      <x:c r="I217" s="110" t="str">
        <x:v>0ae6bcb67c01fa69c3e12899894abe4ba82c1cd951dfe3e91774325843c1f401</x:v>
      </x:c>
      <x:c r="J217" s="110" t="str"/>
      <x:c r="K217" s="110" t="str"/>
      <x:c r="L217" s="30" t="str"/>
      <x:c r="M217" s="110" t="e">
        <x:f>HYPERLINK("visual_gallery/index.html#EGKR-W25-MATHB-957-07--VIS-EGKR-MATHB-W25-TASK-957-P005","Галерея")</x:f>
      </x:c>
    </x:row>
    <x:row r="218" ht="24" customHeight="1">
      <x:c r="A218" s="110" t="str">
        <x:v>EGKR-W25-MATHB-957-08</x:v>
      </x:c>
      <x:c r="B218" s="110" t="str">
        <x:v>VIS-EGKR-MATHB-W25-TASK-957-P006</x:v>
      </x:c>
      <x:c r="C218" s="110" t="str">
        <x:v>Математика (база)</x:v>
      </x:c>
      <x:c r="D218" s="110" t="n">
        <x:v>8</x:v>
      </x:c>
      <x:c r="E218" s="110" t="str">
        <x:v>NO_CROP_NEEDED</x:v>
      </x:c>
      <x:c r="F218" s="110" t="str">
        <x:v>KEEP_ORIGINAL_NO_CROP</x:v>
      </x:c>
      <x:c r="G218" s="110" t="str"/>
      <x:c r="H218" s="110" t="str"/>
      <x:c r="I218" s="110" t="str">
        <x:v>7634c7b21937f24432a7143e140a4069630ef93681bfacdd8b37b13e4e98539e</x:v>
      </x:c>
      <x:c r="J218" s="110" t="str"/>
      <x:c r="K218" s="110" t="str"/>
      <x:c r="L218" s="30" t="str">
        <x:v>кроп не нужен</x:v>
      </x:c>
      <x:c r="M218" s="110" t="e">
        <x:f>HYPERLINK("visual_gallery/index.html#EGKR-W25-MATHB-957-08--VIS-EGKR-MATHB-W25-TASK-957-P006","Статус")</x:f>
      </x:c>
    </x:row>
    <x:row r="219" ht="24" customHeight="1">
      <x:c r="A219" s="110" t="str">
        <x:v>EGKR-W25-MATHB-957-09</x:v>
      </x:c>
      <x:c r="B219" s="110" t="str">
        <x:v>VIS-EGKR-MATHB-W25-TASK-957-P006</x:v>
      </x:c>
      <x:c r="C219" s="110" t="str">
        <x:v>Математика (база)</x:v>
      </x:c>
      <x:c r="D219" s="110" t="n">
        <x:v>9</x:v>
      </x:c>
      <x:c r="E219" s="110" t="str">
        <x:v>USE_CONTEXT</x:v>
      </x:c>
      <x:c r="F219" s="110" t="str">
        <x:v>QA_APPROVED</x:v>
      </x:c>
      <x:c r="G219" s="110" t="str">
        <x:v>visual_gallery/assets/cropped/e40214403d54d73ba46220e26c5447031ebce8185eb055f1a89b6553b94df6eb.png</x:v>
      </x:c>
      <x:c r="H219" s="110" t="str">
        <x:v>e40214403d54d73ba46220e26c5447031ebce8185eb055f1a89b6553b94df6eb</x:v>
      </x:c>
      <x:c r="I219" s="110" t="str">
        <x:v>7634c7b21937f24432a7143e140a4069630ef93681bfacdd8b37b13e4e98539e</x:v>
      </x:c>
      <x:c r="J219" s="110" t="str"/>
      <x:c r="K219" s="110" t="str"/>
      <x:c r="L219" s="30" t="str"/>
      <x:c r="M219" s="110" t="e">
        <x:f>HYPERLINK("visual_gallery/index.html#EGKR-W25-MATHB-957-09--VIS-EGKR-MATHB-W25-TASK-957-P006","Галерея")</x:f>
      </x:c>
    </x:row>
    <x:row r="220" ht="24" customHeight="1">
      <x:c r="A220" s="110" t="str">
        <x:v>EGKR-W25-MATHB-957-10</x:v>
      </x:c>
      <x:c r="B220" s="110" t="str">
        <x:v>VIS-EGKR-MATHB-W25-TASK-957-P006</x:v>
      </x:c>
      <x:c r="C220" s="110" t="str">
        <x:v>Математика (база)</x:v>
      </x:c>
      <x:c r="D220" s="110" t="n">
        <x:v>10</x:v>
      </x:c>
      <x:c r="E220" s="110" t="str">
        <x:v>USE_CONTEXT</x:v>
      </x:c>
      <x:c r="F220" s="110" t="str">
        <x:v>QA_APPROVED</x:v>
      </x:c>
      <x:c r="G220" s="110" t="str">
        <x:v>visual_gallery/assets/cropped/c5d0e520a2c42b1c8ac47bcd64fdd329e71500dc379994c3b1503aa9b3eb37e7.png</x:v>
      </x:c>
      <x:c r="H220" s="110" t="str">
        <x:v>c5d0e520a2c42b1c8ac47bcd64fdd329e71500dc379994c3b1503aa9b3eb37e7</x:v>
      </x:c>
      <x:c r="I220" s="110" t="str">
        <x:v>7634c7b21937f24432a7143e140a4069630ef93681bfacdd8b37b13e4e98539e</x:v>
      </x:c>
      <x:c r="J220" s="110" t="str"/>
      <x:c r="K220" s="110" t="str"/>
      <x:c r="L220" s="30" t="str"/>
      <x:c r="M220" s="110" t="e">
        <x:f>HYPERLINK("visual_gallery/index.html#EGKR-W25-MATHB-957-10--VIS-EGKR-MATHB-W25-TASK-957-P006","Галерея")</x:f>
      </x:c>
    </x:row>
    <x:row r="221" ht="24" customHeight="1">
      <x:c r="A221" s="110" t="str">
        <x:v>EGKR-W25-SOC-951-09</x:v>
      </x:c>
      <x:c r="B221" s="110" t="str">
        <x:v>VIS-EGKR-SOC-W25-TASK-951-P003</x:v>
      </x:c>
      <x:c r="C221" s="110" t="str">
        <x:v>Обществознание</x:v>
      </x:c>
      <x:c r="D221" s="110" t="n">
        <x:v>9</x:v>
      </x:c>
      <x:c r="E221" s="110" t="str">
        <x:v>USE_TIGHT</x:v>
      </x:c>
      <x:c r="F221" s="110" t="str">
        <x:v>QA_APPROVED</x:v>
      </x:c>
      <x:c r="G221" s="110" t="str">
        <x:v>visual_gallery/assets/cropped/219c2c2c885fde954007a8340864040225c3121641daaab9739371e06ed9dca8.png</x:v>
      </x:c>
      <x:c r="H221" s="110" t="str">
        <x:v>219c2c2c885fde954007a8340864040225c3121641daaab9739371e06ed9dca8</x:v>
      </x:c>
      <x:c r="I221" s="110" t="str">
        <x:v>dbb3f55e30318ff7b4863ee78f387049d83cad392774a9d242936dba50570cec</x:v>
      </x:c>
      <x:c r="J221" s="110" t="str"/>
      <x:c r="K221" s="110" t="str"/>
      <x:c r="L221" s="30" t="str"/>
      <x:c r="M221" s="110" t="e">
        <x:f>HYPERLINK("visual_gallery/index.html#EGKR-W25-SOC-951-09--VIS-EGKR-SOC-W25-TASK-951-P003","Галерея")</x:f>
      </x:c>
    </x:row>
    <x:row r="222" ht="24" customHeight="1">
      <x:c r="A222" s="110" t="str">
        <x:v>EGKR-W25-SOC-952-09</x:v>
      </x:c>
      <x:c r="B222" s="110" t="str">
        <x:v>VIS-EGKR-SOC-W25-TASK-952-P003</x:v>
      </x:c>
      <x:c r="C222" s="110" t="str">
        <x:v>Обществознание</x:v>
      </x:c>
      <x:c r="D222" s="110" t="n">
        <x:v>9</x:v>
      </x:c>
      <x:c r="E222" s="110" t="str">
        <x:v>USE_TIGHT</x:v>
      </x:c>
      <x:c r="F222" s="110" t="str">
        <x:v>QA_APPROVED</x:v>
      </x:c>
      <x:c r="G222" s="110" t="str">
        <x:v>visual_gallery/assets/cropped/82927f0691ea278923ef27f04da6fa2b3086b862fd0e6bcbf9d994b981b2970c.png</x:v>
      </x:c>
      <x:c r="H222" s="110" t="str">
        <x:v>82927f0691ea278923ef27f04da6fa2b3086b862fd0e6bcbf9d994b981b2970c</x:v>
      </x:c>
      <x:c r="I222" s="110" t="str">
        <x:v>bd7be7ddd8c0afbff759623049b2e3ebab90638a53b4cb7e72d59262843bbe67</x:v>
      </x:c>
      <x:c r="J222" s="110" t="str"/>
      <x:c r="K222" s="110" t="str"/>
      <x:c r="L222" s="30" t="str"/>
      <x:c r="M222" s="110" t="e">
        <x:f>HYPERLINK("visual_gallery/index.html#EGKR-W25-SOC-952-09--VIS-EGKR-SOC-W25-TASK-952-P003","Галерея")</x:f>
      </x:c>
    </x:row>
    <x:row r="223" ht="24" customHeight="1">
      <x:c r="A223" s="110" t="str">
        <x:v>EGKR-W25-SOC-953-09</x:v>
      </x:c>
      <x:c r="B223" s="110" t="str">
        <x:v>VIS-EGKR-SOC-W25-TASK-953-P004</x:v>
      </x:c>
      <x:c r="C223" s="110" t="str">
        <x:v>Обществознание</x:v>
      </x:c>
      <x:c r="D223" s="110" t="n">
        <x:v>9</x:v>
      </x:c>
      <x:c r="E223" s="110" t="str">
        <x:v>USE_TIGHT</x:v>
      </x:c>
      <x:c r="F223" s="110" t="str">
        <x:v>QA_APPROVED</x:v>
      </x:c>
      <x:c r="G223" s="110" t="str">
        <x:v>visual_gallery/assets/cropped/4faf4cd3346d7a819a84a4608c0ab5e9c5dc8b08bf5d0a34f8ba9643415e99d8.png</x:v>
      </x:c>
      <x:c r="H223" s="110" t="str">
        <x:v>4faf4cd3346d7a819a84a4608c0ab5e9c5dc8b08bf5d0a34f8ba9643415e99d8</x:v>
      </x:c>
      <x:c r="I223" s="110" t="str">
        <x:v>9a7da8cc81669daca107ad739f937e083d8f4b7f7cf52fb681210620c2e845d5</x:v>
      </x:c>
      <x:c r="J223" s="110" t="str"/>
      <x:c r="K223" s="110" t="str"/>
      <x:c r="L223" s="30" t="str"/>
      <x:c r="M223" s="110" t="e">
        <x:f>HYPERLINK("visual_gallery/index.html#EGKR-W25-SOC-953-09--VIS-EGKR-SOC-W25-TASK-953-P004","Галерея")</x:f>
      </x:c>
    </x:row>
    <x:row r="224" ht="24" customHeight="1">
      <x:c r="A224" s="110" t="str">
        <x:v>DEC-SOC-01-009</x:v>
      </x:c>
      <x:c r="B224" s="110" t="str">
        <x:v>VIS-SOC-DEC-TASK-12-P006</x:v>
      </x:c>
      <x:c r="C224" s="110" t="str">
        <x:v>Обществознание</x:v>
      </x:c>
      <x:c r="D224" s="110" t="n">
        <x:v>9</x:v>
      </x:c>
      <x:c r="E224" s="110" t="str">
        <x:v>USE_TIGHT</x:v>
      </x:c>
      <x:c r="F224" s="110" t="str">
        <x:v>QA_APPROVED</x:v>
      </x:c>
      <x:c r="G224" s="110" t="str">
        <x:v>visual_gallery/assets/cropped/94388932f027b00cb61e2853c22eee92e0a325eca7953254ccf638a6a817a0cb.png</x:v>
      </x:c>
      <x:c r="H224" s="110" t="str">
        <x:v>94388932f027b00cb61e2853c22eee92e0a325eca7953254ccf638a6a817a0cb</x:v>
      </x:c>
      <x:c r="I224" s="110" t="str">
        <x:v>915c1de5cd3fe592f469ca33ac0cddac2685b6de3c5512d9f7b1ae4918075c35</x:v>
      </x:c>
      <x:c r="J224" s="110" t="str"/>
      <x:c r="K224" s="110" t="str"/>
      <x:c r="L224" s="30" t="str"/>
      <x:c r="M224" s="110" t="e">
        <x:f>HYPERLINK("visual_gallery/index.html#DEC-SOC-01-009--VIS-SOC-DEC-TASK-12-P006","Галерея")</x:f>
      </x:c>
    </x:row>
    <x:row r="225" ht="24" customHeight="1">
      <x:c r="A225" s="110" t="str">
        <x:v>DEC-SOC-01-021</x:v>
      </x:c>
      <x:c r="B225" s="110" t="str">
        <x:v>VIS-SOC-DEC-TASK-12-P013</x:v>
      </x:c>
      <x:c r="C225" s="110" t="str">
        <x:v>Обществознание</x:v>
      </x:c>
      <x:c r="D225" s="110" t="n">
        <x:v>21</x:v>
      </x:c>
      <x:c r="E225" s="110" t="str">
        <x:v>USE_CONTEXT</x:v>
      </x:c>
      <x:c r="F225" s="110" t="str">
        <x:v>QA_APPROVED</x:v>
      </x:c>
      <x:c r="G225" s="110" t="str">
        <x:v>visual_gallery/assets/cropped/cf27fe607c06ceff7aaf3b373b0a60dc38b259623301d5d0008d56bddc2e2046.png</x:v>
      </x:c>
      <x:c r="H225" s="110" t="str">
        <x:v>cf27fe607c06ceff7aaf3b373b0a60dc38b259623301d5d0008d56bddc2e2046</x:v>
      </x:c>
      <x:c r="I225" s="110" t="str">
        <x:v>715ebad807f24eb134d9f01bae966282b93536159a08747e79b179699a4b7126</x:v>
      </x:c>
      <x:c r="J225" s="110" t="str"/>
      <x:c r="K225" s="110" t="str"/>
      <x:c r="L225" s="30" t="str"/>
      <x:c r="M225" s="110" t="e">
        <x:f>HYPERLINK("visual_gallery/index.html#DEC-SOC-01-021--VIS-SOC-DEC-TASK-12-P013","Галерея")</x:f>
      </x:c>
    </x:row>
    <x:row r="226" ht="24" customHeight="1">
      <x:c r="A226" s="110" t="str">
        <x:v>DEC-SOC-02-009</x:v>
      </x:c>
      <x:c r="B226" s="110" t="str">
        <x:v>VIS-SOC-DEC-TASK-12-P020</x:v>
      </x:c>
      <x:c r="C226" s="110" t="str">
        <x:v>Обществознание</x:v>
      </x:c>
      <x:c r="D226" s="110" t="n">
        <x:v>9</x:v>
      </x:c>
      <x:c r="E226" s="110" t="str">
        <x:v>USE_TIGHT</x:v>
      </x:c>
      <x:c r="F226" s="110" t="str">
        <x:v>QA_APPROVED</x:v>
      </x:c>
      <x:c r="G226" s="110" t="str">
        <x:v>visual_gallery/assets/cropped/c347e7f10c57efcca94eefb9811d191f6379e21a4fb826c2686c749e5b82bd56.png</x:v>
      </x:c>
      <x:c r="H226" s="110" t="str">
        <x:v>c347e7f10c57efcca94eefb9811d191f6379e21a4fb826c2686c749e5b82bd56</x:v>
      </x:c>
      <x:c r="I226" s="110" t="str">
        <x:v>429dc6492a68d6ceaa5f056e31536fe0eaf3512aeffc283f0e16120fe17dea67</x:v>
      </x:c>
      <x:c r="J226" s="110" t="str"/>
      <x:c r="K226" s="110" t="str"/>
      <x:c r="L226" s="30" t="str"/>
      <x:c r="M226" s="110" t="e">
        <x:f>HYPERLINK("visual_gallery/index.html#DEC-SOC-02-009--VIS-SOC-DEC-TASK-12-P020","Галерея")</x:f>
      </x:c>
    </x:row>
    <x:row r="227" ht="24" customHeight="1">
      <x:c r="A227" s="110" t="str">
        <x:v>DEC-SOC-02-021</x:v>
      </x:c>
      <x:c r="B227" s="110" t="str">
        <x:v>VIS-SOC-DEC-TASK-12-P026</x:v>
      </x:c>
      <x:c r="C227" s="110" t="str">
        <x:v>Обществознание</x:v>
      </x:c>
      <x:c r="D227" s="110" t="n">
        <x:v>21</x:v>
      </x:c>
      <x:c r="E227" s="110" t="str">
        <x:v>USE_CONTEXT</x:v>
      </x:c>
      <x:c r="F227" s="110" t="str">
        <x:v>QA_APPROVED</x:v>
      </x:c>
      <x:c r="G227" s="110" t="str">
        <x:v>visual_gallery/assets/cropped/dd4e0b5ca2d17c5949d5fef687ae948834c9de17036094d9adf0095572626c44.png</x:v>
      </x:c>
      <x:c r="H227" s="110" t="str">
        <x:v>dd4e0b5ca2d17c5949d5fef687ae948834c9de17036094d9adf0095572626c44</x:v>
      </x:c>
      <x:c r="I227" s="110" t="str">
        <x:v>5daf09ece711306b5c788e18ae15ee0f037c02a13d81a609262f63e7f9c2abd8</x:v>
      </x:c>
      <x:c r="J227" s="110" t="str"/>
      <x:c r="K227" s="110" t="str"/>
      <x:c r="L227" s="30" t="str"/>
      <x:c r="M227" s="110" t="e">
        <x:f>HYPERLINK("visual_gallery/index.html#DEC-SOC-02-021--VIS-SOC-DEC-TASK-12-P026","Галерея")</x:f>
      </x:c>
    </x:row>
    <x:row r="228" ht="24" customHeight="1">
      <x:c r="A228" s="110" t="str">
        <x:v>DEC-SOC-03-009</x:v>
      </x:c>
      <x:c r="B228" s="110" t="str">
        <x:v>VIS-SOC-DEC-TASK-34-P006</x:v>
      </x:c>
      <x:c r="C228" s="110" t="str">
        <x:v>Обществознание</x:v>
      </x:c>
      <x:c r="D228" s="110" t="n">
        <x:v>9</x:v>
      </x:c>
      <x:c r="E228" s="110" t="str">
        <x:v>USE_TIGHT</x:v>
      </x:c>
      <x:c r="F228" s="110" t="str">
        <x:v>QA_APPROVED</x:v>
      </x:c>
      <x:c r="G228" s="110" t="str">
        <x:v>visual_gallery/assets/cropped/b6e7b797c04dad5fba2fa11121c5f95867dc3ae4a962501717d72451a61d7ab2.png</x:v>
      </x:c>
      <x:c r="H228" s="110" t="str">
        <x:v>b6e7b797c04dad5fba2fa11121c5f95867dc3ae4a962501717d72451a61d7ab2</x:v>
      </x:c>
      <x:c r="I228" s="110" t="str">
        <x:v>648f85160326bdea20d7d70df5aef3358521a881199a0aec7960903265ed00f7</x:v>
      </x:c>
      <x:c r="J228" s="110" t="str"/>
      <x:c r="K228" s="110" t="str"/>
      <x:c r="L228" s="30" t="str"/>
      <x:c r="M228" s="110" t="e">
        <x:f>HYPERLINK("visual_gallery/index.html#DEC-SOC-03-009--VIS-SOC-DEC-TASK-34-P006","Галерея")</x:f>
      </x:c>
    </x:row>
    <x:row r="229" ht="24" customHeight="1">
      <x:c r="A229" s="110" t="str">
        <x:v>DEC-SOC-03-021</x:v>
      </x:c>
      <x:c r="B229" s="110" t="str">
        <x:v>VIS-SOC-DEC-TASK-34-P013</x:v>
      </x:c>
      <x:c r="C229" s="110" t="str">
        <x:v>Обществознание</x:v>
      </x:c>
      <x:c r="D229" s="110" t="n">
        <x:v>21</x:v>
      </x:c>
      <x:c r="E229" s="110" t="str">
        <x:v>USE_CONTEXT</x:v>
      </x:c>
      <x:c r="F229" s="110" t="str">
        <x:v>QA_APPROVED</x:v>
      </x:c>
      <x:c r="G229" s="110" t="str">
        <x:v>visual_gallery/assets/cropped/44166496ce23eca8e18a718cf78c7f5f5eb168fea2f0968a4c1eed052a115390.png</x:v>
      </x:c>
      <x:c r="H229" s="110" t="str">
        <x:v>44166496ce23eca8e18a718cf78c7f5f5eb168fea2f0968a4c1eed052a115390</x:v>
      </x:c>
      <x:c r="I229" s="110" t="str">
        <x:v>a602b35270fb37baddc8b5ff9db6b16e51193e9cc4d7534d4d376d3249733e60</x:v>
      </x:c>
      <x:c r="J229" s="110" t="str"/>
      <x:c r="K229" s="110" t="str"/>
      <x:c r="L229" s="30" t="str"/>
      <x:c r="M229" s="110" t="e">
        <x:f>HYPERLINK("visual_gallery/index.html#DEC-SOC-03-021--VIS-SOC-DEC-TASK-34-P013","Галерея")</x:f>
      </x:c>
    </x:row>
    <x:row r="230" ht="24" customHeight="1">
      <x:c r="A230" s="110" t="str">
        <x:v>DEC-SOC-04-009</x:v>
      </x:c>
      <x:c r="B230" s="110" t="str">
        <x:v>VIS-SOC-DEC-TASK-34-P020</x:v>
      </x:c>
      <x:c r="C230" s="110" t="str">
        <x:v>Обществознание</x:v>
      </x:c>
      <x:c r="D230" s="110" t="n">
        <x:v>9</x:v>
      </x:c>
      <x:c r="E230" s="110" t="str">
        <x:v>USE_TIGHT</x:v>
      </x:c>
      <x:c r="F230" s="110" t="str">
        <x:v>QA_APPROVED</x:v>
      </x:c>
      <x:c r="G230" s="110" t="str">
        <x:v>visual_gallery/assets/cropped/337ee461c4681776848c9503b3ad2aceac9dfc49d9f9873b8ada1f496f7b82e8.png</x:v>
      </x:c>
      <x:c r="H230" s="110" t="str">
        <x:v>337ee461c4681776848c9503b3ad2aceac9dfc49d9f9873b8ada1f496f7b82e8</x:v>
      </x:c>
      <x:c r="I230" s="110" t="str">
        <x:v>4c49a29a158643360021480570e88f5775e6086cdf62e20066e9125abac10f77</x:v>
      </x:c>
      <x:c r="J230" s="110" t="str"/>
      <x:c r="K230" s="110" t="str"/>
      <x:c r="L230" s="30" t="str"/>
      <x:c r="M230" s="110" t="e">
        <x:f>HYPERLINK("visual_gallery/index.html#DEC-SOC-04-009--VIS-SOC-DEC-TASK-34-P020","Галерея")</x:f>
      </x:c>
    </x:row>
    <x:row r="231" ht="24" customHeight="1">
      <x:c r="A231" s="110" t="str">
        <x:v>DEC-SOC-04-021</x:v>
      </x:c>
      <x:c r="B231" s="110" t="str">
        <x:v>VIS-SOC-DEC-TASK-34-P027</x:v>
      </x:c>
      <x:c r="C231" s="110" t="str">
        <x:v>Обществознание</x:v>
      </x:c>
      <x:c r="D231" s="110" t="n">
        <x:v>21</x:v>
      </x:c>
      <x:c r="E231" s="110" t="str">
        <x:v>USE_CONTEXT</x:v>
      </x:c>
      <x:c r="F231" s="110" t="str">
        <x:v>QA_APPROVED</x:v>
      </x:c>
      <x:c r="G231" s="110" t="str">
        <x:v>visual_gallery/assets/cropped/8eb9d2229672fff5780ccc65d7a81ff1063a6fb6597249c29bc8b4a573c5337f.png</x:v>
      </x:c>
      <x:c r="H231" s="110" t="str">
        <x:v>8eb9d2229672fff5780ccc65d7a81ff1063a6fb6597249c29bc8b4a573c5337f</x:v>
      </x:c>
      <x:c r="I231" s="110" t="str">
        <x:v>1cdd70f894e13318b60fa632f92b08cb733cb97c238f5c7a8116350d788f03a6</x:v>
      </x:c>
      <x:c r="J231" s="110" t="str"/>
      <x:c r="K231" s="110" t="str"/>
      <x:c r="L231" s="30" t="str"/>
      <x:c r="M231" s="110" t="e">
        <x:f>HYPERLINK("visual_gallery/index.html#DEC-SOC-04-021--VIS-SOC-DEC-TASK-34-P027","Галерея")</x:f>
      </x:c>
    </x:row>
    <x:row r="232" ht="24" customHeight="1">
      <x:c r="A232" s="110" t="str">
        <x:v>NOV-SOC-V1-009</x:v>
      </x:c>
      <x:c r="B232" s="110" t="str">
        <x:v>VIS-SOC-NOV-001</x:v>
      </x:c>
      <x:c r="C232" s="110" t="str">
        <x:v>Обществознание</x:v>
      </x:c>
      <x:c r="D232" s="110" t="n">
        <x:v>9</x:v>
      </x:c>
      <x:c r="E232" s="110" t="str">
        <x:v>USE_TIGHT</x:v>
      </x:c>
      <x:c r="F232" s="110" t="str">
        <x:v>QA_APPROVED</x:v>
      </x:c>
      <x:c r="G232" s="110" t="str">
        <x:v>visual_gallery/assets/cropped/ef473073e5b69742dd6f17eb1bae95ca87e0f1833531c474d5d6bbb488a7d71e.png</x:v>
      </x:c>
      <x:c r="H232" s="110" t="str">
        <x:v>ef473073e5b69742dd6f17eb1bae95ca87e0f1833531c474d5d6bbb488a7d71e</x:v>
      </x:c>
      <x:c r="I232" s="110" t="str">
        <x:v>c75dab5a49f4bf21099eddce9844570e83a0d5641e74599ab2df8791f7038b6c</x:v>
      </x:c>
      <x:c r="J232" s="110" t="str"/>
      <x:c r="K232" s="110" t="str"/>
      <x:c r="L232" s="30" t="str"/>
      <x:c r="M232" s="110" t="e">
        <x:f>HYPERLINK("visual_gallery/index.html#NOV-SOC-V1-009--VIS-SOC-NOV-001","Галерея")</x:f>
      </x:c>
    </x:row>
    <x:row r="233" ht="24" customHeight="1">
      <x:c r="A233" s="110" t="str">
        <x:v>NOV-SOC-V3-009</x:v>
      </x:c>
      <x:c r="B233" s="110" t="str">
        <x:v>VIS-SOC-NOV-001</x:v>
      </x:c>
      <x:c r="C233" s="110" t="str">
        <x:v>Обществознание</x:v>
      </x:c>
      <x:c r="D233" s="110" t="n">
        <x:v>9</x:v>
      </x:c>
      <x:c r="E233" s="110" t="str">
        <x:v>MANUAL_BBOX</x:v>
      </x:c>
      <x:c r="F233" s="110" t="str">
        <x:v>QA_APPROVED</x:v>
      </x:c>
      <x:c r="G233" s="110" t="str">
        <x:v>visual_gallery/assets/cropped/0265447551384335aba9d9444c0cef9857137519fed0b8efa7d7af0975de2307.png</x:v>
      </x:c>
      <x:c r="H233" s="110" t="str">
        <x:v>0265447551384335aba9d9444c0cef9857137519fed0b8efa7d7af0975de2307</x:v>
      </x:c>
      <x:c r="I233" s="110" t="str">
        <x:v>c75dab5a49f4bf21099eddce9844570e83a0d5641e74599ab2df8791f7038b6c</x:v>
      </x:c>
      <x:c r="J233" s="110" t="str">
        <x:v>[241, 331, 999, 775]</x:v>
      </x:c>
      <x:c r="K233" s="110" t="str"/>
      <x:c r="L233" s="30" t="str"/>
      <x:c r="M233" s="110" t="e">
        <x:f>HYPERLINK("visual_gallery/index.html#NOV-SOC-V3-009--VIS-SOC-NOV-001","Галерея")</x:f>
      </x:c>
    </x:row>
    <x:row r="234" ht="24" customHeight="1">
      <x:c r="A234" s="110" t="str">
        <x:v>NOV-SOC-V2-009</x:v>
      </x:c>
      <x:c r="B234" s="110" t="str">
        <x:v>VIS-SOC-NOV-002</x:v>
      </x:c>
      <x:c r="C234" s="110" t="str">
        <x:v>Обществознание</x:v>
      </x:c>
      <x:c r="D234" s="110" t="n">
        <x:v>9</x:v>
      </x:c>
      <x:c r="E234" s="110" t="str">
        <x:v>USE_TIGHT</x:v>
      </x:c>
      <x:c r="F234" s="110" t="str">
        <x:v>QA_APPROVED</x:v>
      </x:c>
      <x:c r="G234" s="110" t="str">
        <x:v>visual_gallery/assets/cropped/f2ab6179f2c7fc111ee2f07cd9d3a478f62e5b32419ffc5782722b766747c24f.png</x:v>
      </x:c>
      <x:c r="H234" s="110" t="str">
        <x:v>f2ab6179f2c7fc111ee2f07cd9d3a478f62e5b32419ffc5782722b766747c24f</x:v>
      </x:c>
      <x:c r="I234" s="110" t="str">
        <x:v>7911fba0c0b7bde07b41278633c30d0b2eb18debc599ae2c1089242eee539aac</x:v>
      </x:c>
      <x:c r="J234" s="110" t="str"/>
      <x:c r="K234" s="110" t="str"/>
      <x:c r="L234" s="30" t="str"/>
      <x:c r="M234" s="110" t="e">
        <x:f>HYPERLINK("visual_gallery/index.html#NOV-SOC-V2-009--VIS-SOC-NOV-002","Галерея")</x:f>
      </x:c>
    </x:row>
    <x:row r="235" ht="24" customHeight="1">
      <x:c r="A235" s="110" t="str">
        <x:v>NOV-SOC-V4-009</x:v>
      </x:c>
      <x:c r="B235" s="110" t="str">
        <x:v>VIS-SOC-NOV-002</x:v>
      </x:c>
      <x:c r="C235" s="110" t="str">
        <x:v>Обществознание</x:v>
      </x:c>
      <x:c r="D235" s="110" t="n">
        <x:v>9</x:v>
      </x:c>
      <x:c r="E235" s="110" t="str">
        <x:v>MANUAL_BBOX</x:v>
      </x:c>
      <x:c r="F235" s="110" t="str">
        <x:v>QA_APPROVED</x:v>
      </x:c>
      <x:c r="G235" s="110" t="str">
        <x:v>visual_gallery/assets/cropped/ebcda2ab6a713bc8afb7035c307be335bd822bd24911c73bcfab2c3416678007.png</x:v>
      </x:c>
      <x:c r="H235" s="110" t="str">
        <x:v>ebcda2ab6a713bc8afb7035c307be335bd822bd24911c73bcfab2c3416678007</x:v>
      </x:c>
      <x:c r="I235" s="110" t="str">
        <x:v>7911fba0c0b7bde07b41278633c30d0b2eb18debc599ae2c1089242eee539aac</x:v>
      </x:c>
      <x:c r="J235" s="110" t="str">
        <x:v>[143, 313, 1053, 753]</x:v>
      </x:c>
      <x:c r="K235" s="110" t="str"/>
      <x:c r="L235" s="30" t="str"/>
      <x:c r="M235" s="110" t="e">
        <x:f>HYPERLINK("visual_gallery/index.html#NOV-SOC-V4-009--VIS-SOC-NOV-002","Галерея")</x:f>
      </x:c>
    </x:row>
    <x:row r="236" ht="24" customHeight="1">
      <x:c r="A236" s="110" t="str">
        <x:v>NOV-SOC-V1-021</x:v>
      </x:c>
      <x:c r="B236" s="110" t="str">
        <x:v>VIS-SOC-NOV-003</x:v>
      </x:c>
      <x:c r="C236" s="110" t="str">
        <x:v>Обществознание</x:v>
      </x:c>
      <x:c r="D236" s="110" t="n">
        <x:v>21</x:v>
      </x:c>
      <x:c r="E236" s="110" t="str">
        <x:v>MANUAL_BBOX</x:v>
      </x:c>
      <x:c r="F236" s="110" t="str">
        <x:v>QA_APPROVED</x:v>
      </x:c>
      <x:c r="G236" s="110" t="str">
        <x:v>visual_gallery/assets/cropped/a2f6a0c61d3017f2b6700bd17646e6756d64adaba80ef497442d9a2d9ede3aee.png</x:v>
      </x:c>
      <x:c r="H236" s="110" t="str">
        <x:v>a2f6a0c61d3017f2b6700bd17646e6756d64adaba80ef497442d9a2d9ede3aee</x:v>
      </x:c>
      <x:c r="I236" s="110" t="str">
        <x:v>85412383b5d2b7cd6aaa841c83589bad4ce3e7612ce95e5f846cc4ef70808668</x:v>
      </x:c>
      <x:c r="J236" s="110" t="str">
        <x:v>[840, 154, 1089, 381]</x:v>
      </x:c>
      <x:c r="K236" s="110" t="str"/>
      <x:c r="L236" s="30" t="str"/>
      <x:c r="M236" s="110" t="e">
        <x:f>HYPERLINK("visual_gallery/index.html#NOV-SOC-V1-021--VIS-SOC-NOV-003","Галерея")</x:f>
      </x:c>
    </x:row>
    <x:row r="237" ht="24" customHeight="1">
      <x:c r="A237" s="110" t="str">
        <x:v>NOV-SOC-V4-021</x:v>
      </x:c>
      <x:c r="B237" s="110" t="str">
        <x:v>VIS-SOC-NOV-003</x:v>
      </x:c>
      <x:c r="C237" s="110" t="str">
        <x:v>Обществознание</x:v>
      </x:c>
      <x:c r="D237" s="110" t="n">
        <x:v>21</x:v>
      </x:c>
      <x:c r="E237" s="110" t="str">
        <x:v>MANUAL_BBOX</x:v>
      </x:c>
      <x:c r="F237" s="110" t="str">
        <x:v>QA_APPROVED</x:v>
      </x:c>
      <x:c r="G237" s="110" t="str">
        <x:v>visual_gallery/assets/cropped/f91bae7499ca9bc5ba5b0fff5c3f48d5bbef9d6164df1b47814054857b0236ad.png</x:v>
      </x:c>
      <x:c r="H237" s="110" t="str">
        <x:v>f91bae7499ca9bc5ba5b0fff5c3f48d5bbef9d6164df1b47814054857b0236ad</x:v>
      </x:c>
      <x:c r="I237" s="110" t="str">
        <x:v>85412383b5d2b7cd6aaa841c83589bad4ce3e7612ce95e5f846cc4ef70808668</x:v>
      </x:c>
      <x:c r="J237" s="110" t="str">
        <x:v>[840, 157, 1093, 388]</x:v>
      </x:c>
      <x:c r="K237" s="110" t="str"/>
      <x:c r="L237" s="30" t="str"/>
      <x:c r="M237" s="110" t="e">
        <x:f>HYPERLINK("visual_gallery/index.html#NOV-SOC-V4-021--VIS-SOC-NOV-003","Галерея")</x:f>
      </x:c>
    </x:row>
    <x:row r="238" ht="24" customHeight="1">
      <x:c r="A238" s="110" t="str">
        <x:v>NOV-SOC-V2-021</x:v>
      </x:c>
      <x:c r="B238" s="110" t="str">
        <x:v>VIS-SOC-NOV-004</x:v>
      </x:c>
      <x:c r="C238" s="110" t="str">
        <x:v>Обществознание</x:v>
      </x:c>
      <x:c r="D238" s="110" t="n">
        <x:v>21</x:v>
      </x:c>
      <x:c r="E238" s="110" t="str">
        <x:v>USE_CONTEXT</x:v>
      </x:c>
      <x:c r="F238" s="110" t="str">
        <x:v>QA_APPROVED</x:v>
      </x:c>
      <x:c r="G238" s="110" t="str">
        <x:v>visual_gallery/assets/cropped/19346912a1840b4e082fbf2cda31c4143465b128889e1a048b1caffe6a184f91.png</x:v>
      </x:c>
      <x:c r="H238" s="110" t="str">
        <x:v>19346912a1840b4e082fbf2cda31c4143465b128889e1a048b1caffe6a184f91</x:v>
      </x:c>
      <x:c r="I238" s="110" t="str">
        <x:v>ee3e1b5972f90089d2426c788ca71d3befbdbad2d7c791cc800ec174e7a4e4b7</x:v>
      </x:c>
      <x:c r="J238" s="110" t="str"/>
      <x:c r="K238" s="110" t="str"/>
      <x:c r="L238" s="30" t="str"/>
      <x:c r="M238" s="110" t="e">
        <x:f>HYPERLINK("visual_gallery/index.html#NOV-SOC-V2-021--VIS-SOC-NOV-004","Галерея")</x:f>
      </x:c>
    </x:row>
    <x:row r="239" ht="24" customHeight="1">
      <x:c r="A239" s="110" t="str">
        <x:v>NOV-SOC-V3-021</x:v>
      </x:c>
      <x:c r="B239" s="110" t="str">
        <x:v>VIS-SOC-NOV-004</x:v>
      </x:c>
      <x:c r="C239" s="110" t="str">
        <x:v>Обществознание</x:v>
      </x:c>
      <x:c r="D239" s="110" t="n">
        <x:v>21</x:v>
      </x:c>
      <x:c r="E239" s="110" t="str">
        <x:v>MANUAL_BBOX</x:v>
      </x:c>
      <x:c r="F239" s="110" t="str">
        <x:v>QA_APPROVED</x:v>
      </x:c>
      <x:c r="G239" s="110" t="str">
        <x:v>visual_gallery/assets/cropped/2e3f74a1b55a27fa38b5d2054317bc46484f6c7c8b9383e8c4fb72fae39b0d78.png</x:v>
      </x:c>
      <x:c r="H239" s="110" t="str">
        <x:v>2e3f74a1b55a27fa38b5d2054317bc46484f6c7c8b9383e8c4fb72fae39b0d78</x:v>
      </x:c>
      <x:c r="I239" s="110" t="str">
        <x:v>ee3e1b5972f90089d2426c788ca71d3befbdbad2d7c791cc800ec174e7a4e4b7</x:v>
      </x:c>
      <x:c r="J239" s="110" t="str">
        <x:v>[858, 157, 1089, 359]</x:v>
      </x:c>
      <x:c r="K239" s="110" t="str"/>
      <x:c r="L239" s="30" t="str"/>
      <x:c r="M239" s="110" t="e">
        <x:f>HYPERLINK("visual_gallery/index.html#NOV-SOC-V3-021--VIS-SOC-NOV-004","Галерея")</x:f>
      </x:c>
    </x:row>
    <x:row r="240" ht="24" customHeight="1">
      <x:c r="A240" s="110" t="str">
        <x:v>SEP-SOC-V1-009</x:v>
      </x:c>
      <x:c r="B240" s="110" t="str">
        <x:v>VIS-SOC-SEP-001</x:v>
      </x:c>
      <x:c r="C240" s="110" t="str">
        <x:v>Обществознание</x:v>
      </x:c>
      <x:c r="D240" s="110" t="n">
        <x:v>9</x:v>
      </x:c>
      <x:c r="E240" s="110" t="str">
        <x:v>MANUAL_BBOX</x:v>
      </x:c>
      <x:c r="F240" s="110" t="str">
        <x:v>QA_APPROVED</x:v>
      </x:c>
      <x:c r="G240" s="110" t="str">
        <x:v>visual_gallery/assets/cropped/919b9e6ff1468fbfc059d99bc2ef3db550ea27853cba4fd542d33886fd1d6ffd.png</x:v>
      </x:c>
      <x:c r="H240" s="110" t="str">
        <x:v>919b9e6ff1468fbfc059d99bc2ef3db550ea27853cba4fd542d33886fd1d6ffd</x:v>
      </x:c>
      <x:c r="I240" s="110" t="str">
        <x:v>9497683d7a2144bd7a36230ae8bd376ec621faedc88c9125b1daea02ebf0ad8c</x:v>
      </x:c>
      <x:c r="J240" s="110" t="str">
        <x:v>[132, 331, 1082, 837]</x:v>
      </x:c>
      <x:c r="K240" s="110" t="str"/>
      <x:c r="L240" s="30" t="str"/>
      <x:c r="M240" s="110" t="e">
        <x:f>HYPERLINK("visual_gallery/index.html#SEP-SOC-V1-009--VIS-SOC-SEP-001","Галерея")</x:f>
      </x:c>
    </x:row>
    <x:row r="241" ht="24" customHeight="1">
      <x:c r="A241" s="110" t="str">
        <x:v>SEP-SOC-V3-009</x:v>
      </x:c>
      <x:c r="B241" s="110" t="str">
        <x:v>VIS-SOC-SEP-001</x:v>
      </x:c>
      <x:c r="C241" s="110" t="str">
        <x:v>Обществознание</x:v>
      </x:c>
      <x:c r="D241" s="110" t="n">
        <x:v>9</x:v>
      </x:c>
      <x:c r="E241" s="110" t="str">
        <x:v>MANUAL_BBOX</x:v>
      </x:c>
      <x:c r="F241" s="110" t="str">
        <x:v>QA_APPROVED</x:v>
      </x:c>
      <x:c r="G241" s="110" t="str">
        <x:v>visual_gallery/assets/cropped/620c7d3a8f7e2c10222f49883b0e90da76f4c828454b75cb361d53737ef776e4.png</x:v>
      </x:c>
      <x:c r="H241" s="110" t="str">
        <x:v>620c7d3a8f7e2c10222f49883b0e90da76f4c828454b75cb361d53737ef776e4</x:v>
      </x:c>
      <x:c r="I241" s="110" t="str">
        <x:v>9497683d7a2144bd7a36230ae8bd376ec621faedc88c9125b1daea02ebf0ad8c</x:v>
      </x:c>
      <x:c r="J241" s="110" t="str">
        <x:v>[152, 370, 1067, 818]</x:v>
      </x:c>
      <x:c r="K241" s="110" t="str"/>
      <x:c r="L241" s="30" t="str"/>
      <x:c r="M241" s="110" t="e">
        <x:f>HYPERLINK("visual_gallery/index.html#SEP-SOC-V3-009--VIS-SOC-SEP-001","Галерея")</x:f>
      </x:c>
    </x:row>
    <x:row r="242" ht="24" customHeight="1">
      <x:c r="A242" s="110" t="str">
        <x:v>SEP-SOC-V2-009</x:v>
      </x:c>
      <x:c r="B242" s="110" t="str">
        <x:v>VIS-SOC-SEP-002</x:v>
      </x:c>
      <x:c r="C242" s="110" t="str">
        <x:v>Обществознание</x:v>
      </x:c>
      <x:c r="D242" s="110" t="n">
        <x:v>9</x:v>
      </x:c>
      <x:c r="E242" s="110" t="str">
        <x:v>MANUAL_BBOX</x:v>
      </x:c>
      <x:c r="F242" s="110" t="str">
        <x:v>QA_APPROVED</x:v>
      </x:c>
      <x:c r="G242" s="110" t="str">
        <x:v>visual_gallery/assets/cropped/165796608f0979d861816732dbf04eeb6afc20a8080291fce1ea91fed043f132.png</x:v>
      </x:c>
      <x:c r="H242" s="110" t="str">
        <x:v>165796608f0979d861816732dbf04eeb6afc20a8080291fce1ea91fed043f132</x:v>
      </x:c>
      <x:c r="I242" s="110" t="str">
        <x:v>3f418176e569f98bb6c0ee5222d00cdb71026dddf0621894e4a8a807e441e3bb</x:v>
      </x:c>
      <x:c r="J242" s="110" t="str">
        <x:v>[125, 324, 1127, 830]</x:v>
      </x:c>
      <x:c r="K242" s="110" t="str"/>
      <x:c r="L242" s="30" t="str"/>
      <x:c r="M242" s="110" t="e">
        <x:f>HYPERLINK("visual_gallery/index.html#SEP-SOC-V2-009--VIS-SOC-SEP-002","Галерея")</x:f>
      </x:c>
    </x:row>
    <x:row r="243" ht="24" customHeight="1">
      <x:c r="A243" s="110" t="str">
        <x:v>SEP-SOC-V4-009</x:v>
      </x:c>
      <x:c r="B243" s="110" t="str">
        <x:v>VIS-SOC-SEP-002</x:v>
      </x:c>
      <x:c r="C243" s="110" t="str">
        <x:v>Обществознание</x:v>
      </x:c>
      <x:c r="D243" s="110" t="n">
        <x:v>9</x:v>
      </x:c>
      <x:c r="E243" s="110" t="str">
        <x:v>MANUAL_BBOX</x:v>
      </x:c>
      <x:c r="F243" s="110" t="str">
        <x:v>QA_APPROVED</x:v>
      </x:c>
      <x:c r="G243" s="110" t="str">
        <x:v>visual_gallery/assets/cropped/37bd8dc17ede1102cf6d781d455c9be8ec54f1ad0e0aa420037102c16e1b131b.png</x:v>
      </x:c>
      <x:c r="H243" s="110" t="str">
        <x:v>37bd8dc17ede1102cf6d781d455c9be8ec54f1ad0e0aa420037102c16e1b131b</x:v>
      </x:c>
      <x:c r="I243" s="110" t="str">
        <x:v>3f418176e569f98bb6c0ee5222d00cdb71026dddf0621894e4a8a807e441e3bb</x:v>
      </x:c>
      <x:c r="J243" s="110" t="str">
        <x:v>[155, 382, 1106, 845]</x:v>
      </x:c>
      <x:c r="K243" s="110" t="str"/>
      <x:c r="L243" s="30" t="str"/>
      <x:c r="M243" s="110" t="e">
        <x:f>HYPERLINK("visual_gallery/index.html#SEP-SOC-V4-009--VIS-SOC-SEP-002","Галерея")</x:f>
      </x:c>
    </x:row>
    <x:row r="244" ht="24" customHeight="1">
      <x:c r="A244" s="110" t="str">
        <x:v>EGKR-W25-RUS-901-27</x:v>
      </x:c>
      <x:c r="B244" s="110" t="str">
        <x:v>VIS-EGKR-RUS-W25-TASK-901-P008</x:v>
      </x:c>
      <x:c r="C244" s="110" t="str">
        <x:v>Русский язык</x:v>
      </x:c>
      <x:c r="D244" s="110" t="n">
        <x:v>27</x:v>
      </x:c>
      <x:c r="E244" s="110" t="str">
        <x:v>NO_CROP_NEEDED</x:v>
      </x:c>
      <x:c r="F244" s="110" t="str">
        <x:v>KEEP_ORIGINAL_NO_CROP</x:v>
      </x:c>
      <x:c r="G244" s="110" t="str"/>
      <x:c r="H244" s="110" t="str"/>
      <x:c r="I244" s="110" t="str">
        <x:v>e82175d821da879369a8a3c0c8cad92a7edd5c87686d889bce75f1f6b021d839</x:v>
      </x:c>
      <x:c r="J244" s="110" t="str"/>
      <x:c r="K244" s="110" t="str"/>
      <x:c r="L244" s="30" t="str"/>
      <x:c r="M244" s="110" t="e">
        <x:f>HYPERLINK("visual_gallery/index.html#EGKR-W25-RUS-901-27--VIS-EGKR-RUS-W25-TASK-901-P008","Статус")</x:f>
      </x:c>
    </x:row>
    <x:row r="245" ht="24" customHeight="1">
      <x:c r="A245" s="110" t="str">
        <x:v>EGKR-W25-RUS-951-27</x:v>
      </x:c>
      <x:c r="B245" s="110" t="str">
        <x:v>VIS-EGKR-RUS-W25-TASK-951-P016</x:v>
      </x:c>
      <x:c r="C245" s="110" t="str">
        <x:v>Русский язык</x:v>
      </x:c>
      <x:c r="D245" s="110" t="n">
        <x:v>27</x:v>
      </x:c>
      <x:c r="E245" s="110" t="str">
        <x:v>NO_CROP_NEEDED</x:v>
      </x:c>
      <x:c r="F245" s="110" t="str">
        <x:v>KEEP_ORIGINAL_NO_CROP</x:v>
      </x:c>
      <x:c r="G245" s="110" t="str"/>
      <x:c r="H245" s="110" t="str"/>
      <x:c r="I245" s="110" t="str">
        <x:v>ceaaccabab1202aef85938be46466472a85bf91d2626d0f04247f3bbd55427f1</x:v>
      </x:c>
      <x:c r="J245" s="110" t="str"/>
      <x:c r="K245" s="110" t="str"/>
      <x:c r="L245" s="30" t="str"/>
      <x:c r="M245" s="110" t="e">
        <x:f>HYPERLINK("visual_gallery/index.html#EGKR-W25-RUS-951-27--VIS-EGKR-RUS-W25-TASK-951-P016","Статус")</x:f>
      </x:c>
    </x:row>
    <x:row r="246" ht="24" customHeight="1">
      <x:c r="A246" s="110" t="str">
        <x:v>EGKR-W25-RUS-952-27</x:v>
      </x:c>
      <x:c r="B246" s="110" t="str">
        <x:v>VIS-EGKR-RUS-W25-TASK-952-P016</x:v>
      </x:c>
      <x:c r="C246" s="110" t="str">
        <x:v>Русский язык</x:v>
      </x:c>
      <x:c r="D246" s="110" t="n">
        <x:v>27</x:v>
      </x:c>
      <x:c r="E246" s="110" t="str">
        <x:v>NO_CROP_NEEDED</x:v>
      </x:c>
      <x:c r="F246" s="110" t="str">
        <x:v>KEEP_ORIGINAL_NO_CROP</x:v>
      </x:c>
      <x:c r="G246" s="110" t="str"/>
      <x:c r="H246" s="110" t="str"/>
      <x:c r="I246" s="110" t="str">
        <x:v>3086b985da3af8a405f2a635d3ac3ed2e4d1cfdc2fc9d887365d95c427f69c3a</x:v>
      </x:c>
      <x:c r="J246" s="110" t="str"/>
      <x:c r="K246" s="110" t="str"/>
      <x:c r="L246" s="30" t="str"/>
      <x:c r="M246" s="110" t="e">
        <x:f>HYPERLINK("visual_gallery/index.html#EGKR-W25-RUS-952-27--VIS-EGKR-RUS-W25-TASK-952-P016","Статус")</x:f>
      </x:c>
    </x:row>
    <x:row r="247" ht="24" customHeight="1">
      <x:c r="A247" s="110" t="str">
        <x:v>EGKR-W25-RUS-953-27</x:v>
      </x:c>
      <x:c r="B247" s="110" t="str">
        <x:v>VIS-EGKR-RUS-W25-TASK-953-P017</x:v>
      </x:c>
      <x:c r="C247" s="110" t="str">
        <x:v>Русский язык</x:v>
      </x:c>
      <x:c r="D247" s="110" t="n">
        <x:v>27</x:v>
      </x:c>
      <x:c r="E247" s="110" t="str">
        <x:v>NO_CROP_NEEDED</x:v>
      </x:c>
      <x:c r="F247" s="110" t="str">
        <x:v>KEEP_ORIGINAL_NO_CROP</x:v>
      </x:c>
      <x:c r="G247" s="110" t="str"/>
      <x:c r="H247" s="110" t="str"/>
      <x:c r="I247" s="110" t="str">
        <x:v>ae983e70e0d2a3b97bfdd180ee5e9730aad28d1954080780fe2578c59322e8dc</x:v>
      </x:c>
      <x:c r="J247" s="110" t="str"/>
      <x:c r="K247" s="110" t="str"/>
      <x:c r="L247" s="30" t="str"/>
      <x:c r="M247" s="110" t="e">
        <x:f>HYPERLINK("visual_gallery/index.html#EGKR-W25-RUS-953-27--VIS-EGKR-RUS-W25-TASK-953-P017","Статус")</x:f>
      </x:c>
    </x:row>
    <x:row r="248" ht="24" customHeight="1">
      <x:c r="A248" s="110" t="str">
        <x:v>EGKR-W25-RUS-954-27</x:v>
      </x:c>
      <x:c r="B248" s="110" t="str">
        <x:v>VIS-EGKR-RUS-W25-TASK-954-P016</x:v>
      </x:c>
      <x:c r="C248" s="110" t="str">
        <x:v>Русский язык</x:v>
      </x:c>
      <x:c r="D248" s="110" t="n">
        <x:v>27</x:v>
      </x:c>
      <x:c r="E248" s="110" t="str">
        <x:v>NO_CROP_NEEDED</x:v>
      </x:c>
      <x:c r="F248" s="110" t="str">
        <x:v>KEEP_ORIGINAL_NO_CROP</x:v>
      </x:c>
      <x:c r="G248" s="110" t="str"/>
      <x:c r="H248" s="110" t="str"/>
      <x:c r="I248" s="110" t="str">
        <x:v>3583ed15d4098bca2425164d33c935d4cb819d3b2557141d3e835fa36d7b31a6</x:v>
      </x:c>
      <x:c r="J248" s="110" t="str"/>
      <x:c r="K248" s="110" t="str"/>
      <x:c r="L248" s="30" t="str"/>
      <x:c r="M248" s="110" t="e">
        <x:f>HYPERLINK("visual_gallery/index.html#EGKR-W25-RUS-954-27--VIS-EGKR-RUS-W25-TASK-954-P016","Статус")</x:f>
      </x:c>
    </x:row>
    <x:row r="249" ht="24" customHeight="1">
      <x:c r="A249" s="110" t="str">
        <x:v>EGKR-W25-RUS-956-27</x:v>
      </x:c>
      <x:c r="B249" s="110" t="str">
        <x:v>VIS-EGKR-RUS-W25-TASK-956-P015</x:v>
      </x:c>
      <x:c r="C249" s="110" t="str">
        <x:v>Русский язык</x:v>
      </x:c>
      <x:c r="D249" s="110" t="n">
        <x:v>27</x:v>
      </x:c>
      <x:c r="E249" s="110" t="str">
        <x:v>NO_CROP_NEEDED</x:v>
      </x:c>
      <x:c r="F249" s="110" t="str">
        <x:v>KEEP_ORIGINAL_NO_CROP</x:v>
      </x:c>
      <x:c r="G249" s="110" t="str"/>
      <x:c r="H249" s="110" t="str"/>
      <x:c r="I249" s="110" t="str">
        <x:v>b2f45a589ba9e9a4977f73b49003a385aaf47178c7facc36c9bbe7eadf769328</x:v>
      </x:c>
      <x:c r="J249" s="110" t="str"/>
      <x:c r="K249" s="110" t="str"/>
      <x:c r="L249" s="30" t="str"/>
      <x:c r="M249" s="110" t="e">
        <x:f>HYPERLINK("visual_gallery/index.html#EGKR-W25-RUS-956-27--VIS-EGKR-RUS-W25-TASK-956-P015","Статус")</x:f>
      </x:c>
    </x:row>
    <x:row r="250" ht="24" customHeight="1">
      <x:c r="A250" s="110" t="str">
        <x:v>EGKR-W25-RUS-957-24</x:v>
      </x:c>
      <x:c r="B250" s="110" t="str">
        <x:v>VIS-EGKR-RUS-W25-TASK-957-P008</x:v>
      </x:c>
      <x:c r="C250" s="110" t="str">
        <x:v>Русский язык</x:v>
      </x:c>
      <x:c r="D250" s="110" t="n">
        <x:v>24</x:v>
      </x:c>
      <x:c r="E250" s="110" t="str">
        <x:v>NO_CROP_NEEDED</x:v>
      </x:c>
      <x:c r="F250" s="110" t="str">
        <x:v>KEEP_ORIGINAL_NO_CROP</x:v>
      </x:c>
      <x:c r="G250" s="110" t="str"/>
      <x:c r="H250" s="110" t="str"/>
      <x:c r="I250" s="110" t="str">
        <x:v>1b0e834749467e2d3ff898092f86aa99882924ec3694e570f250acff87d3df8e</x:v>
      </x:c>
      <x:c r="J250" s="110" t="str"/>
      <x:c r="K250" s="110" t="str"/>
      <x:c r="L250" s="30" t="str"/>
      <x:c r="M250" s="110" t="e">
        <x:f>HYPERLINK("visual_gallery/index.html#EGKR-W25-RUS-957-24--VIS-EGKR-RUS-W25-TASK-957-P008","Статус")</x:f>
      </x:c>
    </x:row>
    <x:row r="251" ht="24" customHeight="1">
      <x:c r="A251" s="110" t="str">
        <x:v>EGKR-W25-RUS-957-25</x:v>
      </x:c>
      <x:c r="B251" s="110" t="str">
        <x:v>VIS-EGKR-RUS-W25-TASK-957-P008</x:v>
      </x:c>
      <x:c r="C251" s="110" t="str">
        <x:v>Русский язык</x:v>
      </x:c>
      <x:c r="D251" s="110" t="n">
        <x:v>25</x:v>
      </x:c>
      <x:c r="E251" s="110" t="str">
        <x:v>NO_CROP_NEEDED</x:v>
      </x:c>
      <x:c r="F251" s="110" t="str">
        <x:v>KEEP_ORIGINAL_NO_CROP</x:v>
      </x:c>
      <x:c r="G251" s="110" t="str"/>
      <x:c r="H251" s="110" t="str"/>
      <x:c r="I251" s="110" t="str">
        <x:v>1b0e834749467e2d3ff898092f86aa99882924ec3694e570f250acff87d3df8e</x:v>
      </x:c>
      <x:c r="J251" s="110" t="str"/>
      <x:c r="K251" s="110" t="str"/>
      <x:c r="L251" s="30" t="str"/>
      <x:c r="M251" s="110" t="e">
        <x:f>HYPERLINK("visual_gallery/index.html#EGKR-W25-RUS-957-25--VIS-EGKR-RUS-W25-TASK-957-P008","Статус")</x:f>
      </x:c>
    </x:row>
    <x:row r="252" ht="24" customHeight="1">
      <x:c r="A252" s="110" t="str">
        <x:v>EGKR-W25-RUS-957-26</x:v>
      </x:c>
      <x:c r="B252" s="110" t="str">
        <x:v>VIS-EGKR-RUS-W25-TASK-957-P008</x:v>
      </x:c>
      <x:c r="C252" s="110" t="str">
        <x:v>Русский язык</x:v>
      </x:c>
      <x:c r="D252" s="110" t="n">
        <x:v>26</x:v>
      </x:c>
      <x:c r="E252" s="110" t="str">
        <x:v>NO_CROP_NEEDED</x:v>
      </x:c>
      <x:c r="F252" s="110" t="str">
        <x:v>KEEP_ORIGINAL_NO_CROP</x:v>
      </x:c>
      <x:c r="G252" s="110" t="str"/>
      <x:c r="H252" s="110" t="str"/>
      <x:c r="I252" s="110" t="str">
        <x:v>1b0e834749467e2d3ff898092f86aa99882924ec3694e570f250acff87d3df8e</x:v>
      </x:c>
      <x:c r="J252" s="110" t="str"/>
      <x:c r="K252" s="110" t="str"/>
      <x:c r="L252" s="30" t="str"/>
      <x:c r="M252" s="110" t="e">
        <x:f>HYPERLINK("visual_gallery/index.html#EGKR-W25-RUS-957-26--VIS-EGKR-RUS-W25-TASK-957-P008","Статус")</x:f>
      </x:c>
    </x:row>
    <x:row r="253" ht="24" customHeight="1">
      <x:c r="A253" s="110" t="str">
        <x:v>EGKR-W25-RUS-958-27</x:v>
      </x:c>
      <x:c r="B253" s="110" t="str">
        <x:v>VIS-EGKR-RUS-W25-TASK-958-P015</x:v>
      </x:c>
      <x:c r="C253" s="110" t="str">
        <x:v>Русский язык</x:v>
      </x:c>
      <x:c r="D253" s="110" t="n">
        <x:v>27</x:v>
      </x:c>
      <x:c r="E253" s="110" t="str">
        <x:v>NO_CROP_NEEDED</x:v>
      </x:c>
      <x:c r="F253" s="110" t="str">
        <x:v>KEEP_ORIGINAL_NO_CROP</x:v>
      </x:c>
      <x:c r="G253" s="110" t="str"/>
      <x:c r="H253" s="110" t="str"/>
      <x:c r="I253" s="110" t="str">
        <x:v>f8b0b722e33c24499db5f617075b7babfe3f994f428d45ccf75551046788d30b</x:v>
      </x:c>
      <x:c r="J253" s="110" t="str"/>
      <x:c r="K253" s="110" t="str"/>
      <x:c r="L253" s="30" t="str"/>
      <x:c r="M253" s="110" t="e">
        <x:f>HYPERLINK("visual_gallery/index.html#EGKR-W25-RUS-958-27--VIS-EGKR-RUS-W25-TASK-958-P015","Статус")</x:f>
      </x:c>
    </x:row>
    <x:row r="254" ht="24" customHeight="1">
      <x:c r="A254" s="110" t="str">
        <x:v>EGKR-S26-PHY-954-01</x:v>
      </x:c>
      <x:c r="B254" s="110" t="str">
        <x:v>VIS-EGKR-PHY-S26-TASK-954-P001</x:v>
      </x:c>
      <x:c r="C254" s="110" t="str">
        <x:v>Физика</x:v>
      </x:c>
      <x:c r="D254" s="110" t="n">
        <x:v>1</x:v>
      </x:c>
      <x:c r="E254" s="110" t="str">
        <x:v>USE_CONTEXT</x:v>
      </x:c>
      <x:c r="F254" s="110" t="str">
        <x:v>QA_APPROVED</x:v>
      </x:c>
      <x:c r="G254" s="110" t="str">
        <x:v>visual_gallery/assets/cropped/55b21de4536483420565a402af9202f7c52f16844ab0bea549505149c510d31a.png</x:v>
      </x:c>
      <x:c r="H254" s="110" t="str">
        <x:v>55b21de4536483420565a402af9202f7c52f16844ab0bea549505149c510d31a</x:v>
      </x:c>
      <x:c r="I254" s="110" t="str">
        <x:v>62c8e6f9d5023ec35ac46dc20fb3c9a8263f65946a3deb01cb98bfddce7912aa</x:v>
      </x:c>
      <x:c r="J254" s="110" t="str"/>
      <x:c r="K254" s="110" t="str"/>
      <x:c r="L254" s="30" t="str"/>
      <x:c r="M254" s="110" t="e">
        <x:f>HYPERLINK("visual_gallery/index.html#EGKR-S26-PHY-954-01--VIS-EGKR-PHY-S26-TASK-954-P001","Галерея")</x:f>
      </x:c>
    </x:row>
    <x:row r="255" ht="24" customHeight="1">
      <x:c r="A255" s="110" t="str">
        <x:v>EGKR-S26-PHY-954-05</x:v>
      </x:c>
      <x:c r="B255" s="110" t="str">
        <x:v>VIS-EGKR-PHY-S26-TASK-954-P002</x:v>
      </x:c>
      <x:c r="C255" s="110" t="str">
        <x:v>Физика</x:v>
      </x:c>
      <x:c r="D255" s="110" t="n">
        <x:v>5</x:v>
      </x:c>
      <x:c r="E255" s="110" t="str">
        <x:v>USE_CONTEXT</x:v>
      </x:c>
      <x:c r="F255" s="110" t="str">
        <x:v>QA_APPROVED</x:v>
      </x:c>
      <x:c r="G255" s="110" t="str">
        <x:v>visual_gallery/assets/cropped/9ef470328863b980990b0210fcf3100fde8c1de458768a4010995cc927af2aba.png</x:v>
      </x:c>
      <x:c r="H255" s="110" t="str">
        <x:v>9ef470328863b980990b0210fcf3100fde8c1de458768a4010995cc927af2aba</x:v>
      </x:c>
      <x:c r="I255" s="110" t="str">
        <x:v>e3685558480b33de848b5ab4dfd4c780595bfe40aaf70b80102db3fe827d3c13</x:v>
      </x:c>
      <x:c r="J255" s="110" t="str"/>
      <x:c r="K255" s="110" t="str"/>
      <x:c r="L255" s="30" t="str"/>
      <x:c r="M255" s="110" t="e">
        <x:f>HYPERLINK("visual_gallery/index.html#EGKR-S26-PHY-954-05--VIS-EGKR-PHY-S26-TASK-954-P002","Галерея")</x:f>
      </x:c>
    </x:row>
    <x:row r="256" ht="24" customHeight="1">
      <x:c r="A256" s="110" t="str">
        <x:v>EGKR-S26-PHY-954-07</x:v>
      </x:c>
      <x:c r="B256" s="110" t="str">
        <x:v>VIS-EGKR-PHY-S26-TASK-954-P003</x:v>
      </x:c>
      <x:c r="C256" s="110" t="str">
        <x:v>Физика</x:v>
      </x:c>
      <x:c r="D256" s="110" t="n">
        <x:v>7</x:v>
      </x:c>
      <x:c r="E256" s="110" t="str">
        <x:v>USE_TIGHT</x:v>
      </x:c>
      <x:c r="F256" s="110" t="str">
        <x:v>QA_APPROVED</x:v>
      </x:c>
      <x:c r="G256" s="110" t="str">
        <x:v>visual_gallery/assets/cropped/dbc68f42f5810b208d3e6331a161e195da2c7dffd717b473942db5fffc270020.png</x:v>
      </x:c>
      <x:c r="H256" s="110" t="str">
        <x:v>dbc68f42f5810b208d3e6331a161e195da2c7dffd717b473942db5fffc270020</x:v>
      </x:c>
      <x:c r="I256" s="110" t="str">
        <x:v>be81af494d4de869e06bb2a1aee924c1ca64a2c5281eb04e731fb0dc803de9ce</x:v>
      </x:c>
      <x:c r="J256" s="110" t="str"/>
      <x:c r="K256" s="110" t="str"/>
      <x:c r="L256" s="30" t="str"/>
      <x:c r="M256" s="110" t="e">
        <x:f>HYPERLINK("visual_gallery/index.html#EGKR-S26-PHY-954-07--VIS-EGKR-PHY-S26-TASK-954-P003","Галерея")</x:f>
      </x:c>
    </x:row>
    <x:row r="257" ht="24" customHeight="1">
      <x:c r="A257" s="110" t="str">
        <x:v>EGKR-S26-PHY-954-09</x:v>
      </x:c>
      <x:c r="B257" s="110" t="str">
        <x:v>VIS-EGKR-PHY-S26-TASK-954-P004</x:v>
      </x:c>
      <x:c r="C257" s="110" t="str">
        <x:v>Физика</x:v>
      </x:c>
      <x:c r="D257" s="110" t="n">
        <x:v>9</x:v>
      </x:c>
      <x:c r="E257" s="110" t="str">
        <x:v>MANUAL_BBOX</x:v>
      </x:c>
      <x:c r="F257" s="110" t="str">
        <x:v>QA_APPROVED</x:v>
      </x:c>
      <x:c r="G257" s="110" t="str">
        <x:v>visual_gallery/assets/cropped/e3914c6d01ee3d5cd2d1f4621cbbaf34d2e642cfc3dfda0bebbf2e360ef1435e.png</x:v>
      </x:c>
      <x:c r="H257" s="110" t="str">
        <x:v>e3914c6d01ee3d5cd2d1f4621cbbaf34d2e642cfc3dfda0bebbf2e360ef1435e</x:v>
      </x:c>
      <x:c r="I257" s="110" t="str">
        <x:v>2d74074e22b2d7d963d3f703e5aa013f5ca040ac6c6ebcc4796bd361713c8753</x:v>
      </x:c>
      <x:c r="J257" s="110" t="str">
        <x:v>[477, 300, 972, 647]</x:v>
      </x:c>
      <x:c r="K257" s="110" t="str"/>
      <x:c r="L257" s="30" t="str"/>
      <x:c r="M257" s="110" t="e">
        <x:f>HYPERLINK("visual_gallery/index.html#EGKR-S26-PHY-954-09--VIS-EGKR-PHY-S26-TASK-954-P004","Галерея")</x:f>
      </x:c>
    </x:row>
    <x:row r="258" ht="24" customHeight="1">
      <x:c r="A258" s="110" t="str">
        <x:v>EGKR-S26-PHY-954-10</x:v>
      </x:c>
      <x:c r="B258" s="110" t="str">
        <x:v>VIS-EGKR-PHY-S26-TASK-954-P004</x:v>
      </x:c>
      <x:c r="C258" s="110" t="str">
        <x:v>Физика</x:v>
      </x:c>
      <x:c r="D258" s="110" t="n">
        <x:v>10</x:v>
      </x:c>
      <x:c r="E258" s="110" t="str">
        <x:v>MANUAL_BBOX</x:v>
      </x:c>
      <x:c r="F258" s="110" t="str">
        <x:v>QA_APPROVED</x:v>
      </x:c>
      <x:c r="G258" s="110" t="str">
        <x:v>visual_gallery/assets/cropped/3088d3dbf2ca60fb3ccce819ef51f3c129ee4745ea0d11d9838cc88005fd845f.png</x:v>
      </x:c>
      <x:c r="H258" s="110" t="str">
        <x:v>3088d3dbf2ca60fb3ccce819ef51f3c129ee4745ea0d11d9838cc88005fd845f</x:v>
      </x:c>
      <x:c r="I258" s="110" t="str">
        <x:v>2d74074e22b2d7d963d3f703e5aa013f5ca040ac6c6ebcc4796bd361713c8753</x:v>
      </x:c>
      <x:c r="J258" s="110" t="str">
        <x:v>[625, 960, 794, 1188]</x:v>
      </x:c>
      <x:c r="K258" s="110" t="str"/>
      <x:c r="L258" s="30" t="str"/>
      <x:c r="M258" s="110" t="e">
        <x:f>HYPERLINK("visual_gallery/index.html#EGKR-S26-PHY-954-10--VIS-EGKR-PHY-S26-TASK-954-P004","Галерея")</x:f>
      </x:c>
    </x:row>
    <x:row r="259" ht="24" customHeight="1">
      <x:c r="A259" s="110" t="str">
        <x:v>EGKR-S26-PHY-954-11</x:v>
      </x:c>
      <x:c r="B259" s="110" t="str">
        <x:v>VIS-EGKR-PHY-S26-TASK-954-P005</x:v>
      </x:c>
      <x:c r="C259" s="110" t="str">
        <x:v>Физика</x:v>
      </x:c>
      <x:c r="D259" s="110" t="n">
        <x:v>11</x:v>
      </x:c>
      <x:c r="E259" s="110" t="str">
        <x:v>USE_CONTEXT</x:v>
      </x:c>
      <x:c r="F259" s="110" t="str">
        <x:v>QA_APPROVED</x:v>
      </x:c>
      <x:c r="G259" s="110" t="str">
        <x:v>visual_gallery/assets/cropped/28d8abcc212c755a7e43ddccbae453f8d7a4a1b258a9f2df8e7ce54ba8202ab2.png</x:v>
      </x:c>
      <x:c r="H259" s="110" t="str">
        <x:v>28d8abcc212c755a7e43ddccbae453f8d7a4a1b258a9f2df8e7ce54ba8202ab2</x:v>
      </x:c>
      <x:c r="I259" s="110" t="str">
        <x:v>6d76a94a945e2253e8cf8de7bd2b3d1c29cd6b29d31ca88a6c334c40b8dd4c0f</x:v>
      </x:c>
      <x:c r="J259" s="110" t="str"/>
      <x:c r="K259" s="110" t="str"/>
      <x:c r="L259" s="30" t="str"/>
      <x:c r="M259" s="110" t="e">
        <x:f>HYPERLINK("visual_gallery/index.html#EGKR-S26-PHY-954-11--VIS-EGKR-PHY-S26-TASK-954-P005","Галерея")</x:f>
      </x:c>
    </x:row>
    <x:row r="260" ht="24" customHeight="1">
      <x:c r="A260" s="110" t="str">
        <x:v>EGKR-S26-PHY-954-13</x:v>
      </x:c>
      <x:c r="B260" s="110" t="str">
        <x:v>VIS-EGKR-PHY-S26-TASK-954-P005</x:v>
      </x:c>
      <x:c r="C260" s="110" t="str">
        <x:v>Физика</x:v>
      </x:c>
      <x:c r="D260" s="110" t="n">
        <x:v>13</x:v>
      </x:c>
      <x:c r="E260" s="110" t="str">
        <x:v>MANUAL_BBOX</x:v>
      </x:c>
      <x:c r="F260" s="110" t="str">
        <x:v>QA_APPROVED</x:v>
      </x:c>
      <x:c r="G260" s="110" t="str">
        <x:v>visual_gallery/assets/cropped/68a601e5f69d3aa4abedf2b83f87217afa4968466289b51f597ad3a094fabb51.png</x:v>
      </x:c>
      <x:c r="H260" s="110" t="str">
        <x:v>68a601e5f69d3aa4abedf2b83f87217afa4968466289b51f597ad3a094fabb51</x:v>
      </x:c>
      <x:c r="I260" s="110" t="str">
        <x:v>6d76a94a945e2253e8cf8de7bd2b3d1c29cd6b29d31ca88a6c334c40b8dd4c0f</x:v>
      </x:c>
      <x:c r="J260" s="110" t="str">
        <x:v>[392, 667, 1018, 1052]</x:v>
      </x:c>
      <x:c r="K260" s="110" t="str"/>
      <x:c r="L260" s="30" t="str"/>
      <x:c r="M260" s="110" t="e">
        <x:f>HYPERLINK("visual_gallery/index.html#EGKR-S26-PHY-954-13--VIS-EGKR-PHY-S26-TASK-954-P005","Галерея")</x:f>
      </x:c>
    </x:row>
    <x:row r="261" ht="24" customHeight="1">
      <x:c r="A261" s="110" t="str">
        <x:v>EGKR-S26-PHY-954-14</x:v>
      </x:c>
      <x:c r="B261" s="110" t="str">
        <x:v>VIS-EGKR-PHY-S26-TASK-954-P006</x:v>
      </x:c>
      <x:c r="C261" s="110" t="str">
        <x:v>Физика</x:v>
      </x:c>
      <x:c r="D261" s="110" t="n">
        <x:v>14</x:v>
      </x:c>
      <x:c r="E261" s="110" t="str">
        <x:v>USE_TIGHT</x:v>
      </x:c>
      <x:c r="F261" s="110" t="str">
        <x:v>QA_APPROVED</x:v>
      </x:c>
      <x:c r="G261" s="110" t="str">
        <x:v>visual_gallery/assets/cropped/95692addb0877a578d9a9ab73f8dd2f79fb14d80fa6cdb14b360016d44a12b02.png</x:v>
      </x:c>
      <x:c r="H261" s="110" t="str">
        <x:v>95692addb0877a578d9a9ab73f8dd2f79fb14d80fa6cdb14b360016d44a12b02</x:v>
      </x:c>
      <x:c r="I261" s="110" t="str">
        <x:v>cde7de2711ffa50a9e03cc1bd7b868994eda574723e9fc03219e0465d8e1da60</x:v>
      </x:c>
      <x:c r="J261" s="110" t="str"/>
      <x:c r="K261" s="110" t="str"/>
      <x:c r="L261" s="30" t="str"/>
      <x:c r="M261" s="110" t="e">
        <x:f>HYPERLINK("visual_gallery/index.html#EGKR-S26-PHY-954-14--VIS-EGKR-PHY-S26-TASK-954-P006","Галерея")</x:f>
      </x:c>
    </x:row>
    <x:row r="262" ht="24" customHeight="1">
      <x:c r="A262" s="110" t="str">
        <x:v>EGKR-S26-PHY-954-16</x:v>
      </x:c>
      <x:c r="B262" s="110" t="str">
        <x:v>VIS-EGKR-PHY-S26-TASK-954-P007</x:v>
      </x:c>
      <x:c r="C262" s="110" t="str">
        <x:v>Физика</x:v>
      </x:c>
      <x:c r="D262" s="110" t="n">
        <x:v>16</x:v>
      </x:c>
      <x:c r="E262" s="110" t="str">
        <x:v>USE_CONTEXT</x:v>
      </x:c>
      <x:c r="F262" s="110" t="str">
        <x:v>QA_APPROVED</x:v>
      </x:c>
      <x:c r="G262" s="110" t="str">
        <x:v>visual_gallery/assets/cropped/528e06e83250524e45eb23ab0917d7d095f651df3c47cb582f394e5a11b5ab86.png</x:v>
      </x:c>
      <x:c r="H262" s="110" t="str">
        <x:v>528e06e83250524e45eb23ab0917d7d095f651df3c47cb582f394e5a11b5ab86</x:v>
      </x:c>
      <x:c r="I262" s="110" t="str">
        <x:v>82fc1b3a1324b04780613377940a8969cae17f98d51a1cb13eca097ac6251120</x:v>
      </x:c>
      <x:c r="J262" s="110" t="str"/>
      <x:c r="K262" s="110" t="str"/>
      <x:c r="L262" s="30" t="str"/>
      <x:c r="M262" s="110" t="e">
        <x:f>HYPERLINK("visual_gallery/index.html#EGKR-S26-PHY-954-16--VIS-EGKR-PHY-S26-TASK-954-P007","Галерея")</x:f>
      </x:c>
    </x:row>
    <x:row r="263" ht="24" customHeight="1">
      <x:c r="A263" s="110" t="str">
        <x:v>EGKR-S26-PHY-954-17</x:v>
      </x:c>
      <x:c r="B263" s="110" t="str">
        <x:v>VIS-EGKR-PHY-S26-TASK-954-P007</x:v>
      </x:c>
      <x:c r="C263" s="110" t="str">
        <x:v>Физика</x:v>
      </x:c>
      <x:c r="D263" s="110" t="n">
        <x:v>17</x:v>
      </x:c>
      <x:c r="E263" s="110" t="str">
        <x:v>NO_CROP_NEEDED</x:v>
      </x:c>
      <x:c r="F263" s="110" t="str">
        <x:v>KEEP_ORIGINAL_NO_CROP</x:v>
      </x:c>
      <x:c r="G263" s="110" t="str"/>
      <x:c r="H263" s="110" t="str"/>
      <x:c r="I263" s="110" t="str">
        <x:v>82fc1b3a1324b04780613377940a8969cae17f98d51a1cb13eca097ac6251120</x:v>
      </x:c>
      <x:c r="J263" s="110" t="str"/>
      <x:c r="K263" s="110" t="str"/>
      <x:c r="L263" s="30" t="str">
        <x:v>The answer table only repeats quantities already stated in the task text.</x:v>
      </x:c>
      <x:c r="M263" s="110" t="e">
        <x:f>HYPERLINK("visual_gallery/index.html#EGKR-S26-PHY-954-17--VIS-EGKR-PHY-S26-TASK-954-P007","Статус")</x:f>
      </x:c>
    </x:row>
    <x:row r="264" ht="24" customHeight="1">
      <x:c r="A264" s="110" t="str">
        <x:v>EGKR-S26-PHY-954-20</x:v>
      </x:c>
      <x:c r="B264" s="110" t="str">
        <x:v>VIS-EGKR-PHY-S26-TASK-954-P009</x:v>
      </x:c>
      <x:c r="C264" s="110" t="str">
        <x:v>Физика</x:v>
      </x:c>
      <x:c r="D264" s="110" t="n">
        <x:v>20</x:v>
      </x:c>
      <x:c r="E264" s="110" t="str">
        <x:v>USE_TIGHT</x:v>
      </x:c>
      <x:c r="F264" s="110" t="str">
        <x:v>QA_APPROVED</x:v>
      </x:c>
      <x:c r="G264" s="110" t="str">
        <x:v>visual_gallery/assets/cropped/8d540fbac8d71c1b52fbeca85ec5b6008a01b2d1179823cd904b16cbd7b5317a.png</x:v>
      </x:c>
      <x:c r="H264" s="110" t="str">
        <x:v>8d540fbac8d71c1b52fbeca85ec5b6008a01b2d1179823cd904b16cbd7b5317a</x:v>
      </x:c>
      <x:c r="I264" s="110" t="str">
        <x:v>fc0acabe99a08a8819abeccd467d7cf3f20ea496dcdde5465d9383f626c3a70c</x:v>
      </x:c>
      <x:c r="J264" s="110" t="str"/>
      <x:c r="K264" s="110" t="str"/>
      <x:c r="L264" s="30" t="str"/>
      <x:c r="M264" s="110" t="e">
        <x:f>HYPERLINK("visual_gallery/index.html#EGKR-S26-PHY-954-20--VIS-EGKR-PHY-S26-TASK-954-P009","Галерея")</x:f>
      </x:c>
    </x:row>
    <x:row r="265" ht="24" customHeight="1">
      <x:c r="A265" s="110" t="str">
        <x:v>EGKR-S26-PHY-954-21</x:v>
      </x:c>
      <x:c r="B265" s="110" t="str">
        <x:v>VIS-EGKR-PHY-S26-TASK-954-P010</x:v>
      </x:c>
      <x:c r="C265" s="110" t="str">
        <x:v>Физика</x:v>
      </x:c>
      <x:c r="D265" s="110" t="n">
        <x:v>21</x:v>
      </x:c>
      <x:c r="E265" s="110" t="str">
        <x:v>MANUAL_BBOX</x:v>
      </x:c>
      <x:c r="F265" s="110" t="str">
        <x:v>QA_APPROVED</x:v>
      </x:c>
      <x:c r="G265" s="110" t="str">
        <x:v>visual_gallery/assets/cropped/24cd0670694796625ba21984ad847d3860e1d80930799857ca56bf4943f0f05a.png</x:v>
      </x:c>
      <x:c r="H265" s="110" t="str">
        <x:v>24cd0670694796625ba21984ad847d3860e1d80930799857ca56bf4943f0f05a</x:v>
      </x:c>
      <x:c r="I265" s="110" t="str">
        <x:v>fe3165166815385ea183beba1290795a0edcfb7c2fd9c01580ad474cbb39fa9e</x:v>
      </x:c>
      <x:c r="J265" s="110" t="str">
        <x:v>[500, 372, 898, 727]</x:v>
      </x:c>
      <x:c r="K265" s="110" t="str"/>
      <x:c r="L265" s="30" t="str"/>
      <x:c r="M265" s="110" t="e">
        <x:f>HYPERLINK("visual_gallery/index.html#EGKR-S26-PHY-954-21--VIS-EGKR-PHY-S26-TASK-954-P010","Галерея")</x:f>
      </x:c>
    </x:row>
    <x:row r="266" ht="24" customHeight="1">
      <x:c r="A266" s="110" t="str">
        <x:v>EGKR-S26-PHY-954-24</x:v>
      </x:c>
      <x:c r="B266" s="110" t="str">
        <x:v>VIS-EGKR-PHY-S26-TASK-954-P011</x:v>
      </x:c>
      <x:c r="C266" s="110" t="str">
        <x:v>Физика</x:v>
      </x:c>
      <x:c r="D266" s="110" t="n">
        <x:v>24</x:v>
      </x:c>
      <x:c r="E266" s="110" t="str">
        <x:v>MANUAL_BBOX</x:v>
      </x:c>
      <x:c r="F266" s="110" t="str">
        <x:v>QA_APPROVED</x:v>
      </x:c>
      <x:c r="G266" s="110" t="str">
        <x:v>visual_gallery/assets/cropped/61a6ce3563e50aaf9e316e8d7c02cc882a0396fab6e3052cbd739a1bef1f5816.png</x:v>
      </x:c>
      <x:c r="H266" s="110" t="str">
        <x:v>61a6ce3563e50aaf9e316e8d7c02cc882a0396fab6e3052cbd739a1bef1f5816</x:v>
      </x:c>
      <x:c r="I266" s="110" t="str">
        <x:v>f023f9e0105b442c4a0321d469b28ae25331458a6dafe784c25556f7ba790e0a</x:v>
      </x:c>
      <x:c r="J266" s="110" t="str">
        <x:v>[424, 266, 987, 646]</x:v>
      </x:c>
      <x:c r="K266" s="110" t="str"/>
      <x:c r="L266" s="30" t="str"/>
      <x:c r="M266" s="110" t="e">
        <x:f>HYPERLINK("visual_gallery/index.html#EGKR-S26-PHY-954-24--VIS-EGKR-PHY-S26-TASK-954-P011","Галерея")</x:f>
      </x:c>
    </x:row>
    <x:row r="267" ht="24" customHeight="1">
      <x:c r="A267" s="110" t="str">
        <x:v>EGKR-S26-PHY-955-01</x:v>
      </x:c>
      <x:c r="B267" s="110" t="str">
        <x:v>VIS-EGKR-PHY-S26-TASK-955-P001</x:v>
      </x:c>
      <x:c r="C267" s="110" t="str">
        <x:v>Физика</x:v>
      </x:c>
      <x:c r="D267" s="110" t="n">
        <x:v>1</x:v>
      </x:c>
      <x:c r="E267" s="110" t="str">
        <x:v>USE_TIGHT</x:v>
      </x:c>
      <x:c r="F267" s="110" t="str">
        <x:v>QA_APPROVED</x:v>
      </x:c>
      <x:c r="G267" s="110" t="str">
        <x:v>visual_gallery/assets/cropped/bac024f32d3ebff139775ae4b7e4b44cedb8f7b3807286d78d063e89d43b98bc.png</x:v>
      </x:c>
      <x:c r="H267" s="110" t="str">
        <x:v>bac024f32d3ebff139775ae4b7e4b44cedb8f7b3807286d78d063e89d43b98bc</x:v>
      </x:c>
      <x:c r="I267" s="110" t="str">
        <x:v>104e529cfbe29c30f2dd3e99674929e2f91b134a67b218ab4deca21ecb97debe</x:v>
      </x:c>
      <x:c r="J267" s="110" t="str"/>
      <x:c r="K267" s="110" t="str"/>
      <x:c r="L267" s="30" t="str"/>
      <x:c r="M267" s="110" t="e">
        <x:f>HYPERLINK("visual_gallery/index.html#EGKR-S26-PHY-955-01--VIS-EGKR-PHY-S26-TASK-955-P001","Галерея")</x:f>
      </x:c>
    </x:row>
    <x:row r="268" ht="24" customHeight="1">
      <x:c r="A268" s="110" t="str">
        <x:v>EGKR-S26-PHY-955-05</x:v>
      </x:c>
      <x:c r="B268" s="110" t="str">
        <x:v>VIS-EGKR-PHY-S26-TASK-955-P002</x:v>
      </x:c>
      <x:c r="C268" s="110" t="str">
        <x:v>Физика</x:v>
      </x:c>
      <x:c r="D268" s="110" t="n">
        <x:v>5</x:v>
      </x:c>
      <x:c r="E268" s="110" t="str">
        <x:v>USE_CONTEXT</x:v>
      </x:c>
      <x:c r="F268" s="110" t="str">
        <x:v>QA_APPROVED</x:v>
      </x:c>
      <x:c r="G268" s="110" t="str">
        <x:v>visual_gallery/assets/cropped/19ba3138383f44728998f3a69ca7d38b6d392f8c17fa8216ac1f50d81d04876a.png</x:v>
      </x:c>
      <x:c r="H268" s="110" t="str">
        <x:v>19ba3138383f44728998f3a69ca7d38b6d392f8c17fa8216ac1f50d81d04876a</x:v>
      </x:c>
      <x:c r="I268" s="110" t="str">
        <x:v>3d6aece2d097478e11418852a218bc85ec04fb2959ce46ccc618d76a63758493</x:v>
      </x:c>
      <x:c r="J268" s="110" t="str"/>
      <x:c r="K268" s="110" t="str"/>
      <x:c r="L268" s="30" t="str"/>
      <x:c r="M268" s="110" t="e">
        <x:f>HYPERLINK("visual_gallery/index.html#EGKR-S26-PHY-955-05--VIS-EGKR-PHY-S26-TASK-955-P002","Галерея")</x:f>
      </x:c>
    </x:row>
    <x:row r="269" ht="24" customHeight="1">
      <x:c r="A269" s="110" t="str">
        <x:v>EGKR-S26-PHY-955-07</x:v>
      </x:c>
      <x:c r="B269" s="110" t="str">
        <x:v>VIS-EGKR-PHY-S26-TASK-955-P003</x:v>
      </x:c>
      <x:c r="C269" s="110" t="str">
        <x:v>Физика</x:v>
      </x:c>
      <x:c r="D269" s="110" t="n">
        <x:v>7</x:v>
      </x:c>
      <x:c r="E269" s="110" t="str">
        <x:v>USE_CONTEXT</x:v>
      </x:c>
      <x:c r="F269" s="110" t="str">
        <x:v>QA_APPROVED</x:v>
      </x:c>
      <x:c r="G269" s="110" t="str">
        <x:v>visual_gallery/assets/cropped/75c400f6d982d5292fce233c9e3c37b3f7fb66cb88d500be0453e898b4a12cea.png</x:v>
      </x:c>
      <x:c r="H269" s="110" t="str">
        <x:v>75c400f6d982d5292fce233c9e3c37b3f7fb66cb88d500be0453e898b4a12cea</x:v>
      </x:c>
      <x:c r="I269" s="110" t="str">
        <x:v>547b93b55807288b74a2905e7ce67fb7062f9538f204f7079c06a44defb73e51</x:v>
      </x:c>
      <x:c r="J269" s="110" t="str"/>
      <x:c r="K269" s="110" t="str"/>
      <x:c r="L269" s="30" t="str"/>
      <x:c r="M269" s="110" t="e">
        <x:f>HYPERLINK("visual_gallery/index.html#EGKR-S26-PHY-955-07--VIS-EGKR-PHY-S26-TASK-955-P003","Галерея")</x:f>
      </x:c>
    </x:row>
    <x:row r="270" ht="24" customHeight="1">
      <x:c r="A270" s="110" t="str">
        <x:v>EGKR-S26-PHY-955-09</x:v>
      </x:c>
      <x:c r="B270" s="110" t="str">
        <x:v>VIS-EGKR-PHY-S26-TASK-955-P004</x:v>
      </x:c>
      <x:c r="C270" s="110" t="str">
        <x:v>Физика</x:v>
      </x:c>
      <x:c r="D270" s="110" t="n">
        <x:v>9</x:v>
      </x:c>
      <x:c r="E270" s="110" t="str">
        <x:v>MANUAL_BBOX</x:v>
      </x:c>
      <x:c r="F270" s="110" t="str">
        <x:v>QA_APPROVED</x:v>
      </x:c>
      <x:c r="G270" s="110" t="str">
        <x:v>visual_gallery/assets/cropped/a4afbfe0e3be64cdc6e331cd161c25b17d3e10993bc0ac52c9a9bd8d69d671ef.png</x:v>
      </x:c>
      <x:c r="H270" s="110" t="str">
        <x:v>a4afbfe0e3be64cdc6e331cd161c25b17d3e10993bc0ac52c9a9bd8d69d671ef</x:v>
      </x:c>
      <x:c r="I270" s="110" t="str">
        <x:v>b7d8380ca1476375e8f71004e5a823d2dec6fa9173bac59b46e3898ca312b4bb</x:v>
      </x:c>
      <x:c r="J270" s="110" t="str">
        <x:v>[479, 330, 953, 681]</x:v>
      </x:c>
      <x:c r="K270" s="110" t="str"/>
      <x:c r="L270" s="30" t="str"/>
      <x:c r="M270" s="110" t="e">
        <x:f>HYPERLINK("visual_gallery/index.html#EGKR-S26-PHY-955-09--VIS-EGKR-PHY-S26-TASK-955-P004","Галерея")</x:f>
      </x:c>
    </x:row>
    <x:row r="271" ht="24" customHeight="1">
      <x:c r="A271" s="110" t="str">
        <x:v>EGKR-S26-PHY-955-10</x:v>
      </x:c>
      <x:c r="B271" s="110" t="str">
        <x:v>VIS-EGKR-PHY-S26-TASK-955-P004</x:v>
      </x:c>
      <x:c r="C271" s="110" t="str">
        <x:v>Физика</x:v>
      </x:c>
      <x:c r="D271" s="110" t="n">
        <x:v>10</x:v>
      </x:c>
      <x:c r="E271" s="110" t="str">
        <x:v>MANUAL_BBOX</x:v>
      </x:c>
      <x:c r="F271" s="110" t="str">
        <x:v>QA_APPROVED</x:v>
      </x:c>
      <x:c r="G271" s="110" t="str">
        <x:v>visual_gallery/assets/cropped/49dc5c4db40947c635ef6d87b29f1d2783b35e608e83e0faaa223b8f796e02fd.png</x:v>
      </x:c>
      <x:c r="H271" s="110" t="str">
        <x:v>49dc5c4db40947c635ef6d87b29f1d2783b35e608e83e0faaa223b8f796e02fd</x:v>
      </x:c>
      <x:c r="I271" s="110" t="str">
        <x:v>b7d8380ca1476375e8f71004e5a823d2dec6fa9173bac59b46e3898ca312b4bb</x:v>
      </x:c>
      <x:c r="J271" s="110" t="str">
        <x:v>[602, 994, 835, 1243]</x:v>
      </x:c>
      <x:c r="K271" s="110" t="str"/>
      <x:c r="L271" s="30" t="str"/>
      <x:c r="M271" s="110" t="e">
        <x:f>HYPERLINK("visual_gallery/index.html#EGKR-S26-PHY-955-10--VIS-EGKR-PHY-S26-TASK-955-P004","Галерея")</x:f>
      </x:c>
    </x:row>
    <x:row r="272" ht="24" customHeight="1">
      <x:c r="A272" s="110" t="str">
        <x:v>EGKR-S26-PHY-955-11</x:v>
      </x:c>
      <x:c r="B272" s="110" t="str">
        <x:v>VIS-EGKR-PHY-S26-TASK-955-P005</x:v>
      </x:c>
      <x:c r="C272" s="110" t="str">
        <x:v>Физика</x:v>
      </x:c>
      <x:c r="D272" s="110" t="n">
        <x:v>11</x:v>
      </x:c>
      <x:c r="E272" s="110" t="str">
        <x:v>MANUAL_BBOX</x:v>
      </x:c>
      <x:c r="F272" s="110" t="str">
        <x:v>QA_APPROVED</x:v>
      </x:c>
      <x:c r="G272" s="110" t="str">
        <x:v>visual_gallery/assets/cropped/5d6e66f242c6d6165c326a2c86bb68b914db2bcc46abec5a1f16a3fb260658d2.png</x:v>
      </x:c>
      <x:c r="H272" s="110" t="str">
        <x:v>5d6e66f242c6d6165c326a2c86bb68b914db2bcc46abec5a1f16a3fb260658d2</x:v>
      </x:c>
      <x:c r="I272" s="110" t="str">
        <x:v>f31f6222a40d526924644ebd969b81ffb8bdcfadaf9b4c57528ec50d07bf7a5c</x:v>
      </x:c>
      <x:c r="J272" s="110" t="str">
        <x:v>[450, 185, 991, 506]</x:v>
      </x:c>
      <x:c r="K272" s="110" t="str"/>
      <x:c r="L272" s="30" t="str"/>
      <x:c r="M272" s="110" t="e">
        <x:f>HYPERLINK("visual_gallery/index.html#EGKR-S26-PHY-955-11--VIS-EGKR-PHY-S26-TASK-955-P005","Галерея")</x:f>
      </x:c>
    </x:row>
    <x:row r="273" ht="24" customHeight="1">
      <x:c r="A273" s="110" t="str">
        <x:v>EGKR-S26-PHY-955-13</x:v>
      </x:c>
      <x:c r="B273" s="110" t="str">
        <x:v>VIS-EGKR-PHY-S26-TASK-955-P005</x:v>
      </x:c>
      <x:c r="C273" s="110" t="str">
        <x:v>Физика</x:v>
      </x:c>
      <x:c r="D273" s="110" t="n">
        <x:v>13</x:v>
      </x:c>
      <x:c r="E273" s="110" t="str">
        <x:v>USE_CONTEXT</x:v>
      </x:c>
      <x:c r="F273" s="110" t="str">
        <x:v>QA_APPROVED</x:v>
      </x:c>
      <x:c r="G273" s="110" t="str">
        <x:v>visual_gallery/assets/cropped/6ed8231c7d2f5dac85e0131e27ba2d1d30618409c22a629c26f9704101dcd29a.png</x:v>
      </x:c>
      <x:c r="H273" s="110" t="str">
        <x:v>6ed8231c7d2f5dac85e0131e27ba2d1d30618409c22a629c26f9704101dcd29a</x:v>
      </x:c>
      <x:c r="I273" s="110" t="str">
        <x:v>f31f6222a40d526924644ebd969b81ffb8bdcfadaf9b4c57528ec50d07bf7a5c</x:v>
      </x:c>
      <x:c r="J273" s="110" t="str"/>
      <x:c r="K273" s="110" t="str"/>
      <x:c r="L273" s="30" t="str"/>
      <x:c r="M273" s="110" t="e">
        <x:f>HYPERLINK("visual_gallery/index.html#EGKR-S26-PHY-955-13--VIS-EGKR-PHY-S26-TASK-955-P005","Галерея")</x:f>
      </x:c>
    </x:row>
    <x:row r="274" ht="24" customHeight="1">
      <x:c r="A274" s="110" t="str">
        <x:v>EGKR-S26-PHY-955-14</x:v>
      </x:c>
      <x:c r="B274" s="110" t="str">
        <x:v>VIS-EGKR-PHY-S26-TASK-955-P006</x:v>
      </x:c>
      <x:c r="C274" s="110" t="str">
        <x:v>Физика</x:v>
      </x:c>
      <x:c r="D274" s="110" t="n">
        <x:v>14</x:v>
      </x:c>
      <x:c r="E274" s="110" t="str">
        <x:v>MANUAL_BBOX</x:v>
      </x:c>
      <x:c r="F274" s="110" t="str">
        <x:v>QA_APPROVED</x:v>
      </x:c>
      <x:c r="G274" s="110" t="str">
        <x:v>visual_gallery/assets/cropped/638dfc80e93ea036ad097a2614473381b4ac46eb0e94c2be645ea538c82e8074.png</x:v>
      </x:c>
      <x:c r="H274" s="110" t="str">
        <x:v>638dfc80e93ea036ad097a2614473381b4ac46eb0e94c2be645ea538c82e8074</x:v>
      </x:c>
      <x:c r="I274" s="110" t="str">
        <x:v>267dbf1c2ae077f15a3b24288cebd16cd3b49e245c7f420e0d8db120f81c6ffb</x:v>
      </x:c>
      <x:c r="J274" s="110" t="str">
        <x:v>[221, 207, 1190, 317]</x:v>
      </x:c>
      <x:c r="K274" s="110" t="str"/>
      <x:c r="L274" s="30" t="str"/>
      <x:c r="M274" s="110" t="e">
        <x:f>HYPERLINK("visual_gallery/index.html#EGKR-S26-PHY-955-14--VIS-EGKR-PHY-S26-TASK-955-P006","Галерея")</x:f>
      </x:c>
    </x:row>
    <x:row r="275" ht="24" customHeight="1">
      <x:c r="A275" s="110" t="str">
        <x:v>EGKR-S26-PHY-955-16</x:v>
      </x:c>
      <x:c r="B275" s="110" t="str">
        <x:v>VIS-EGKR-PHY-S26-TASK-955-P007</x:v>
      </x:c>
      <x:c r="C275" s="110" t="str">
        <x:v>Физика</x:v>
      </x:c>
      <x:c r="D275" s="110" t="n">
        <x:v>16</x:v>
      </x:c>
      <x:c r="E275" s="110" t="str">
        <x:v>MANUAL_BBOX</x:v>
      </x:c>
      <x:c r="F275" s="110" t="str">
        <x:v>QA_APPROVED</x:v>
      </x:c>
      <x:c r="G275" s="110" t="str">
        <x:v>visual_gallery/assets/cropped/42810a4d66e2543a121f97dd36b8fe00f28b070136d875746aa6e4f058db1d4e.png</x:v>
      </x:c>
      <x:c r="H275" s="110" t="str">
        <x:v>42810a4d66e2543a121f97dd36b8fe00f28b070136d875746aa6e4f058db1d4e</x:v>
      </x:c>
      <x:c r="I275" s="110" t="str">
        <x:v>c2606fcfc0700b2240edf41a5c9e012d31cb2fb41cee92485931231833310182</x:v>
      </x:c>
      <x:c r="J275" s="110" t="str">
        <x:v>[420, 211, 1000, 625]</x:v>
      </x:c>
      <x:c r="K275" s="110" t="str"/>
      <x:c r="L275" s="30" t="str"/>
      <x:c r="M275" s="110" t="e">
        <x:f>HYPERLINK("visual_gallery/index.html#EGKR-S26-PHY-955-16--VIS-EGKR-PHY-S26-TASK-955-P007","Галерея")</x:f>
      </x:c>
    </x:row>
    <x:row r="276" ht="24" customHeight="1">
      <x:c r="A276" s="110" t="str">
        <x:v>EGKR-S26-PHY-955-17</x:v>
      </x:c>
      <x:c r="B276" s="110" t="str">
        <x:v>VIS-EGKR-PHY-S26-TASK-955-P007</x:v>
      </x:c>
      <x:c r="C276" s="110" t="str">
        <x:v>Физика</x:v>
      </x:c>
      <x:c r="D276" s="110" t="n">
        <x:v>17</x:v>
      </x:c>
      <x:c r="E276" s="110" t="str">
        <x:v>NO_CROP_NEEDED</x:v>
      </x:c>
      <x:c r="F276" s="110" t="str">
        <x:v>KEEP_ORIGINAL_NO_CROP</x:v>
      </x:c>
      <x:c r="G276" s="110" t="str"/>
      <x:c r="H276" s="110" t="str"/>
      <x:c r="I276" s="110" t="str">
        <x:v>c2606fcfc0700b2240edf41a5c9e012d31cb2fb41cee92485931231833310182</x:v>
      </x:c>
      <x:c r="J276" s="110" t="str"/>
      <x:c r="K276" s="110" t="str"/>
      <x:c r="L276" s="30" t="str">
        <x:v>The answer table only repeats quantities already stated in the task text.</x:v>
      </x:c>
      <x:c r="M276" s="110" t="e">
        <x:f>HYPERLINK("visual_gallery/index.html#EGKR-S26-PHY-955-17--VIS-EGKR-PHY-S26-TASK-955-P007","Статус")</x:f>
      </x:c>
    </x:row>
    <x:row r="277" ht="24" customHeight="1">
      <x:c r="A277" s="110" t="str">
        <x:v>EGKR-S26-PHY-955-20</x:v>
      </x:c>
      <x:c r="B277" s="110" t="str">
        <x:v>VIS-EGKR-PHY-S26-TASK-955-P009</x:v>
      </x:c>
      <x:c r="C277" s="110" t="str">
        <x:v>Физика</x:v>
      </x:c>
      <x:c r="D277" s="110" t="n">
        <x:v>20</x:v>
      </x:c>
      <x:c r="E277" s="110" t="str">
        <x:v>USE_TIGHT</x:v>
      </x:c>
      <x:c r="F277" s="110" t="str">
        <x:v>QA_APPROVED</x:v>
      </x:c>
      <x:c r="G277" s="110" t="str">
        <x:v>visual_gallery/assets/cropped/fe1eff62761318367941a736a27711e65358a399713ac82b99587f5614fd290f.png</x:v>
      </x:c>
      <x:c r="H277" s="110" t="str">
        <x:v>fe1eff62761318367941a736a27711e65358a399713ac82b99587f5614fd290f</x:v>
      </x:c>
      <x:c r="I277" s="110" t="str">
        <x:v>695eadd9172d4441c352744326e7069391e3c8fc9c0203668cb06238cbee5d0e</x:v>
      </x:c>
      <x:c r="J277" s="110" t="str"/>
      <x:c r="K277" s="110" t="str"/>
      <x:c r="L277" s="30" t="str"/>
      <x:c r="M277" s="110" t="e">
        <x:f>HYPERLINK("visual_gallery/index.html#EGKR-S26-PHY-955-20--VIS-EGKR-PHY-S26-TASK-955-P009","Галерея")</x:f>
      </x:c>
    </x:row>
    <x:row r="278" ht="24" customHeight="1">
      <x:c r="A278" s="110" t="str">
        <x:v>EGKR-S26-PHY-955-21</x:v>
      </x:c>
      <x:c r="B278" s="110" t="str">
        <x:v>VIS-EGKR-PHY-S26-TASK-955-P010</x:v>
      </x:c>
      <x:c r="C278" s="110" t="str">
        <x:v>Физика</x:v>
      </x:c>
      <x:c r="D278" s="110" t="n">
        <x:v>21</x:v>
      </x:c>
      <x:c r="E278" s="110" t="str">
        <x:v>USE_CONTEXT</x:v>
      </x:c>
      <x:c r="F278" s="110" t="str">
        <x:v>QA_APPROVED</x:v>
      </x:c>
      <x:c r="G278" s="110" t="str">
        <x:v>visual_gallery/assets/cropped/7ff5159e0561e47b44904daf8c7571cc91be029d42f32f3a2dd2acd673464c2b.png</x:v>
      </x:c>
      <x:c r="H278" s="110" t="str">
        <x:v>7ff5159e0561e47b44904daf8c7571cc91be029d42f32f3a2dd2acd673464c2b</x:v>
      </x:c>
      <x:c r="I278" s="110" t="str">
        <x:v>9c58a0fae2e033696ce4001718581a2f3da71502bef2324f7cbdd31c1617b25c</x:v>
      </x:c>
      <x:c r="J278" s="110" t="str"/>
      <x:c r="K278" s="110" t="str"/>
      <x:c r="L278" s="30" t="str"/>
      <x:c r="M278" s="110" t="e">
        <x:f>HYPERLINK("visual_gallery/index.html#EGKR-S26-PHY-955-21--VIS-EGKR-PHY-S26-TASK-955-P010","Галерея")</x:f>
      </x:c>
    </x:row>
    <x:row r="279" ht="24" customHeight="1">
      <x:c r="A279" s="110" t="str">
        <x:v>EGKR-S26-PHY-956-01</x:v>
      </x:c>
      <x:c r="B279" s="110" t="str">
        <x:v>VIS-EGKR-PHY-S26-TASK-956-P001</x:v>
      </x:c>
      <x:c r="C279" s="110" t="str">
        <x:v>Физика</x:v>
      </x:c>
      <x:c r="D279" s="110" t="n">
        <x:v>1</x:v>
      </x:c>
      <x:c r="E279" s="110" t="str">
        <x:v>USE_CONTEXT</x:v>
      </x:c>
      <x:c r="F279" s="110" t="str">
        <x:v>QA_APPROVED</x:v>
      </x:c>
      <x:c r="G279" s="110" t="str">
        <x:v>visual_gallery/assets/cropped/7325672aa8350fde53f212769a8d3e1b7c6b2e7ecf07e620d6b20bc4e30efe1e.png</x:v>
      </x:c>
      <x:c r="H279" s="110" t="str">
        <x:v>7325672aa8350fde53f212769a8d3e1b7c6b2e7ecf07e620d6b20bc4e30efe1e</x:v>
      </x:c>
      <x:c r="I279" s="110" t="str">
        <x:v>3bcab81590654677d4dd2ac6ad9033ce900cce64c12348fc804303d4f7fec912</x:v>
      </x:c>
      <x:c r="J279" s="110" t="str"/>
      <x:c r="K279" s="110" t="str"/>
      <x:c r="L279" s="30" t="str"/>
      <x:c r="M279" s="110" t="e">
        <x:f>HYPERLINK("visual_gallery/index.html#EGKR-S26-PHY-956-01--VIS-EGKR-PHY-S26-TASK-956-P001","Галерея")</x:f>
      </x:c>
    </x:row>
    <x:row r="280" ht="24" customHeight="1">
      <x:c r="A280" s="110" t="str">
        <x:v>EGKR-S26-PHY-956-05</x:v>
      </x:c>
      <x:c r="B280" s="110" t="str">
        <x:v>VIS-EGKR-PHY-S26-TASK-956-P002</x:v>
      </x:c>
      <x:c r="C280" s="110" t="str">
        <x:v>Физика</x:v>
      </x:c>
      <x:c r="D280" s="110" t="n">
        <x:v>5</x:v>
      </x:c>
      <x:c r="E280" s="110" t="str">
        <x:v>USE_CONTEXT</x:v>
      </x:c>
      <x:c r="F280" s="110" t="str">
        <x:v>QA_APPROVED</x:v>
      </x:c>
      <x:c r="G280" s="110" t="str">
        <x:v>visual_gallery/assets/cropped/19ba3138383f44728998f3a69ca7d38b6d392f8c17fa8216ac1f50d81d04876a.png</x:v>
      </x:c>
      <x:c r="H280" s="110" t="str">
        <x:v>19ba3138383f44728998f3a69ca7d38b6d392f8c17fa8216ac1f50d81d04876a</x:v>
      </x:c>
      <x:c r="I280" s="110" t="str">
        <x:v>42c6994751b5667655298b7d47c5b305e7f832ae4d832c365bd945793d55215b</x:v>
      </x:c>
      <x:c r="J280" s="110" t="str"/>
      <x:c r="K280" s="110" t="str"/>
      <x:c r="L280" s="30" t="str"/>
      <x:c r="M280" s="110" t="e">
        <x:f>HYPERLINK("visual_gallery/index.html#EGKR-S26-PHY-956-05--VIS-EGKR-PHY-S26-TASK-956-P002","Галерея")</x:f>
      </x:c>
    </x:row>
    <x:row r="281" ht="24" customHeight="1">
      <x:c r="A281" s="110" t="str">
        <x:v>EGKR-S26-PHY-956-07</x:v>
      </x:c>
      <x:c r="B281" s="110" t="str">
        <x:v>VIS-EGKR-PHY-S26-TASK-956-P003</x:v>
      </x:c>
      <x:c r="C281" s="110" t="str">
        <x:v>Физика</x:v>
      </x:c>
      <x:c r="D281" s="110" t="n">
        <x:v>7</x:v>
      </x:c>
      <x:c r="E281" s="110" t="str">
        <x:v>USE_CONTEXT</x:v>
      </x:c>
      <x:c r="F281" s="110" t="str">
        <x:v>QA_APPROVED</x:v>
      </x:c>
      <x:c r="G281" s="110" t="str">
        <x:v>visual_gallery/assets/cropped/c4dcee79e706305f13437b554b248da32b07092ae18a1e81637a34f45e49c4bf.png</x:v>
      </x:c>
      <x:c r="H281" s="110" t="str">
        <x:v>c4dcee79e706305f13437b554b248da32b07092ae18a1e81637a34f45e49c4bf</x:v>
      </x:c>
      <x:c r="I281" s="110" t="str">
        <x:v>2162c440d02e36da9eb210e062cf7c2c720055672bb1e2c884527ef6509218d2</x:v>
      </x:c>
      <x:c r="J281" s="110" t="str"/>
      <x:c r="K281" s="110" t="str"/>
      <x:c r="L281" s="30" t="str"/>
      <x:c r="M281" s="110" t="e">
        <x:f>HYPERLINK("visual_gallery/index.html#EGKR-S26-PHY-956-07--VIS-EGKR-PHY-S26-TASK-956-P003","Галерея")</x:f>
      </x:c>
    </x:row>
    <x:row r="282" ht="24" customHeight="1">
      <x:c r="A282" s="110" t="str">
        <x:v>EGKR-S26-PHY-956-09</x:v>
      </x:c>
      <x:c r="B282" s="110" t="str">
        <x:v>VIS-EGKR-PHY-S26-TASK-956-P004</x:v>
      </x:c>
      <x:c r="C282" s="110" t="str">
        <x:v>Физика</x:v>
      </x:c>
      <x:c r="D282" s="110" t="n">
        <x:v>9</x:v>
      </x:c>
      <x:c r="E282" s="110" t="str">
        <x:v>MANUAL_BBOX</x:v>
      </x:c>
      <x:c r="F282" s="110" t="str">
        <x:v>QA_APPROVED</x:v>
      </x:c>
      <x:c r="G282" s="110" t="str">
        <x:v>visual_gallery/assets/cropped/63bdb721040de16bc32f970669739973ade4846f821747d8754fc7b4bcce1b8a.png</x:v>
      </x:c>
      <x:c r="H282" s="110" t="str">
        <x:v>63bdb721040de16bc32f970669739973ade4846f821747d8754fc7b4bcce1b8a</x:v>
      </x:c>
      <x:c r="I282" s="110" t="str">
        <x:v>ef84945f26750317a99cb6f2ffd33961256ee780507440643b18bcacfb0ef0c4</x:v>
      </x:c>
      <x:c r="J282" s="110" t="str">
        <x:v>[475, 338, 957, 643]</x:v>
      </x:c>
      <x:c r="K282" s="110" t="str"/>
      <x:c r="L282" s="30" t="str"/>
      <x:c r="M282" s="110" t="e">
        <x:f>HYPERLINK("visual_gallery/index.html#EGKR-S26-PHY-956-09--VIS-EGKR-PHY-S26-TASK-956-P004","Галерея")</x:f>
      </x:c>
    </x:row>
    <x:row r="283" ht="24" customHeight="1">
      <x:c r="A283" s="110" t="str">
        <x:v>EGKR-S26-PHY-956-10</x:v>
      </x:c>
      <x:c r="B283" s="110" t="str">
        <x:v>VIS-EGKR-PHY-S26-TASK-956-P004</x:v>
      </x:c>
      <x:c r="C283" s="110" t="str">
        <x:v>Физика</x:v>
      </x:c>
      <x:c r="D283" s="110" t="n">
        <x:v>10</x:v>
      </x:c>
      <x:c r="E283" s="110" t="str">
        <x:v>MANUAL_BBOX</x:v>
      </x:c>
      <x:c r="F283" s="110" t="str">
        <x:v>QA_APPROVED</x:v>
      </x:c>
      <x:c r="G283" s="110" t="str">
        <x:v>visual_gallery/assets/cropped/49c4cb2e9d8c952d61f88f4a55ec0ccac91ee7ddb7c2f6c9e451ad8b8feff792.png</x:v>
      </x:c>
      <x:c r="H283" s="110" t="str">
        <x:v>49c4cb2e9d8c952d61f88f4a55ec0ccac91ee7ddb7c2f6c9e451ad8b8feff792</x:v>
      </x:c>
      <x:c r="I283" s="110" t="str">
        <x:v>ef84945f26750317a99cb6f2ffd33961256ee780507440643b18bcacfb0ef0c4</x:v>
      </x:c>
      <x:c r="J283" s="110" t="str">
        <x:v>[619, 977, 814, 1222]</x:v>
      </x:c>
      <x:c r="K283" s="110" t="str"/>
      <x:c r="L283" s="30" t="str"/>
      <x:c r="M283" s="110" t="e">
        <x:f>HYPERLINK("visual_gallery/index.html#EGKR-S26-PHY-956-10--VIS-EGKR-PHY-S26-TASK-956-P004","Галерея")</x:f>
      </x:c>
    </x:row>
    <x:row r="284" ht="24" customHeight="1">
      <x:c r="A284" s="110" t="str">
        <x:v>EGKR-S26-PHY-956-13</x:v>
      </x:c>
      <x:c r="B284" s="110" t="str">
        <x:v>VIS-EGKR-PHY-S26-TASK-956-P005</x:v>
      </x:c>
      <x:c r="C284" s="110" t="str">
        <x:v>Физика</x:v>
      </x:c>
      <x:c r="D284" s="110" t="n">
        <x:v>13</x:v>
      </x:c>
      <x:c r="E284" s="110" t="str">
        <x:v>USE_CONTEXT</x:v>
      </x:c>
      <x:c r="F284" s="110" t="str">
        <x:v>QA_APPROVED</x:v>
      </x:c>
      <x:c r="G284" s="110" t="str">
        <x:v>visual_gallery/assets/cropped/b1775ffd12259ba52703fcc9cadf378249bb310a3072d3de475ef7a2ddcf9d91.png</x:v>
      </x:c>
      <x:c r="H284" s="110" t="str">
        <x:v>b1775ffd12259ba52703fcc9cadf378249bb310a3072d3de475ef7a2ddcf9d91</x:v>
      </x:c>
      <x:c r="I284" s="110" t="str">
        <x:v>01c6f515c14a8a3d8c86ade1b0f9e9670b0c170f1c6f5243ba7b29e82ac1d6c6</x:v>
      </x:c>
      <x:c r="J284" s="110" t="str"/>
      <x:c r="K284" s="110" t="str"/>
      <x:c r="L284" s="30" t="str"/>
      <x:c r="M284" s="110" t="e">
        <x:f>HYPERLINK("visual_gallery/index.html#EGKR-S26-PHY-956-13--VIS-EGKR-PHY-S26-TASK-956-P005","Галерея")</x:f>
      </x:c>
    </x:row>
    <x:row r="285" ht="24" customHeight="1">
      <x:c r="A285" s="110" t="str">
        <x:v>EGKR-S26-PHY-956-14</x:v>
      </x:c>
      <x:c r="B285" s="110" t="str">
        <x:v>VIS-EGKR-PHY-S26-TASK-956-P006</x:v>
      </x:c>
      <x:c r="C285" s="110" t="str">
        <x:v>Физика</x:v>
      </x:c>
      <x:c r="D285" s="110" t="n">
        <x:v>14</x:v>
      </x:c>
      <x:c r="E285" s="110" t="str">
        <x:v>MANUAL_BBOX</x:v>
      </x:c>
      <x:c r="F285" s="110" t="str">
        <x:v>QA_APPROVED</x:v>
      </x:c>
      <x:c r="G285" s="110" t="str">
        <x:v>visual_gallery/assets/cropped/7788ff6189b85ba29a17b31e4e48e4fa6ede3f4f230bbd64c05987d5583d6606.png</x:v>
      </x:c>
      <x:c r="H285" s="110" t="str">
        <x:v>7788ff6189b85ba29a17b31e4e48e4fa6ede3f4f230bbd64c05987d5583d6606</x:v>
      </x:c>
      <x:c r="I285" s="110" t="str">
        <x:v>8ec4b0e25ad78639a81bda089582886aca3c78c6cb2b6a260eb984abd6d3c9a1</x:v>
      </x:c>
      <x:c r="J285" s="110" t="str">
        <x:v>[230, 195, 1194, 309]</x:v>
      </x:c>
      <x:c r="K285" s="110" t="str"/>
      <x:c r="L285" s="30" t="str"/>
      <x:c r="M285" s="110" t="e">
        <x:f>HYPERLINK("visual_gallery/index.html#EGKR-S26-PHY-956-14--VIS-EGKR-PHY-S26-TASK-956-P006","Галерея")</x:f>
      </x:c>
    </x:row>
    <x:row r="286" ht="24" customHeight="1">
      <x:c r="A286" s="110" t="str">
        <x:v>EGKR-S26-PHY-956-16</x:v>
      </x:c>
      <x:c r="B286" s="110" t="str">
        <x:v>VIS-EGKR-PHY-S26-TASK-956-P007</x:v>
      </x:c>
      <x:c r="C286" s="110" t="str">
        <x:v>Физика</x:v>
      </x:c>
      <x:c r="D286" s="110" t="n">
        <x:v>16</x:v>
      </x:c>
      <x:c r="E286" s="110" t="str">
        <x:v>MANUAL_BBOX</x:v>
      </x:c>
      <x:c r="F286" s="110" t="str">
        <x:v>QA_APPROVED</x:v>
      </x:c>
      <x:c r="G286" s="110" t="str">
        <x:v>visual_gallery/assets/cropped/db0d1e2bc87dda76f667ff011bd21cbf5675291e70ec2859918d1c242822dc82.png</x:v>
      </x:c>
      <x:c r="H286" s="110" t="str">
        <x:v>db0d1e2bc87dda76f667ff011bd21cbf5675291e70ec2859918d1c242822dc82</x:v>
      </x:c>
      <x:c r="I286" s="110" t="str">
        <x:v>b25b2e5b3ec39d37b456eac76444a2fcd4bfee09ff18cd42d99e3aee8a92b665</x:v>
      </x:c>
      <x:c r="J286" s="110" t="str">
        <x:v>[399, 261, 1017, 672]</x:v>
      </x:c>
      <x:c r="K286" s="110" t="str"/>
      <x:c r="L286" s="30" t="str"/>
      <x:c r="M286" s="110" t="e">
        <x:f>HYPERLINK("visual_gallery/index.html#EGKR-S26-PHY-956-16--VIS-EGKR-PHY-S26-TASK-956-P007","Галерея")</x:f>
      </x:c>
    </x:row>
    <x:row r="287" ht="24" customHeight="1">
      <x:c r="A287" s="110" t="str">
        <x:v>EGKR-S26-PHY-956-17</x:v>
      </x:c>
      <x:c r="B287" s="110" t="str">
        <x:v>VIS-EGKR-PHY-S26-TASK-956-P007</x:v>
      </x:c>
      <x:c r="C287" s="110" t="str">
        <x:v>Физика</x:v>
      </x:c>
      <x:c r="D287" s="110" t="n">
        <x:v>17</x:v>
      </x:c>
      <x:c r="E287" s="110" t="str">
        <x:v>NO_CROP_NEEDED</x:v>
      </x:c>
      <x:c r="F287" s="110" t="str">
        <x:v>KEEP_ORIGINAL_NO_CROP</x:v>
      </x:c>
      <x:c r="G287" s="110" t="str"/>
      <x:c r="H287" s="110" t="str"/>
      <x:c r="I287" s="110" t="str">
        <x:v>b25b2e5b3ec39d37b456eac76444a2fcd4bfee09ff18cd42d99e3aee8a92b665</x:v>
      </x:c>
      <x:c r="J287" s="110" t="str"/>
      <x:c r="K287" s="110" t="str"/>
      <x:c r="L287" s="30" t="str">
        <x:v>The answer table only repeats quantities already stated in the task text.</x:v>
      </x:c>
      <x:c r="M287" s="110" t="e">
        <x:f>HYPERLINK("visual_gallery/index.html#EGKR-S26-PHY-956-17--VIS-EGKR-PHY-S26-TASK-956-P007","Статус")</x:f>
      </x:c>
    </x:row>
    <x:row r="288" ht="24" customHeight="1">
      <x:c r="A288" s="110" t="str">
        <x:v>EGKR-S26-PHY-956-20</x:v>
      </x:c>
      <x:c r="B288" s="110" t="str">
        <x:v>VIS-EGKR-PHY-S26-TASK-956-P009</x:v>
      </x:c>
      <x:c r="C288" s="110" t="str">
        <x:v>Физика</x:v>
      </x:c>
      <x:c r="D288" s="110" t="n">
        <x:v>20</x:v>
      </x:c>
      <x:c r="E288" s="110" t="str">
        <x:v>USE_TIGHT</x:v>
      </x:c>
      <x:c r="F288" s="110" t="str">
        <x:v>QA_APPROVED</x:v>
      </x:c>
      <x:c r="G288" s="110" t="str">
        <x:v>visual_gallery/assets/cropped/35f22a3d7ff5959ea194874db0f50c88548a7e060d1ae0d9c779eb8c3ce7ea02.png</x:v>
      </x:c>
      <x:c r="H288" s="110" t="str">
        <x:v>35f22a3d7ff5959ea194874db0f50c88548a7e060d1ae0d9c779eb8c3ce7ea02</x:v>
      </x:c>
      <x:c r="I288" s="110" t="str">
        <x:v>2d6f761fb9a1e73619d83d639d2a15e9473558b52f288c186aaa50f5f00578dd</x:v>
      </x:c>
      <x:c r="J288" s="110" t="str"/>
      <x:c r="K288" s="110" t="str"/>
      <x:c r="L288" s="30" t="str"/>
      <x:c r="M288" s="110" t="e">
        <x:f>HYPERLINK("visual_gallery/index.html#EGKR-S26-PHY-956-20--VIS-EGKR-PHY-S26-TASK-956-P009","Галерея")</x:f>
      </x:c>
    </x:row>
    <x:row r="289" ht="24" customHeight="1">
      <x:c r="A289" s="110" t="str">
        <x:v>EGKR-S26-PHY-956-21</x:v>
      </x:c>
      <x:c r="B289" s="110" t="str">
        <x:v>VIS-EGKR-PHY-S26-TASK-956-P010</x:v>
      </x:c>
      <x:c r="C289" s="110" t="str">
        <x:v>Физика</x:v>
      </x:c>
      <x:c r="D289" s="110" t="n">
        <x:v>21</x:v>
      </x:c>
      <x:c r="E289" s="110" t="str">
        <x:v>USE_CONTEXT</x:v>
      </x:c>
      <x:c r="F289" s="110" t="str">
        <x:v>QA_APPROVED</x:v>
      </x:c>
      <x:c r="G289" s="110" t="str">
        <x:v>visual_gallery/assets/cropped/5790e6df49e3ac41351a4d1950b8573be8b86df4c04988d8705907a37f7004cb.png</x:v>
      </x:c>
      <x:c r="H289" s="110" t="str">
        <x:v>5790e6df49e3ac41351a4d1950b8573be8b86df4c04988d8705907a37f7004cb</x:v>
      </x:c>
      <x:c r="I289" s="110" t="str">
        <x:v>25a3ae9695e88835ccd2c16a4fc1b94eb82888287e6c1b2287365ea4366304f2</x:v>
      </x:c>
      <x:c r="J289" s="110" t="str"/>
      <x:c r="K289" s="110" t="str"/>
      <x:c r="L289" s="30" t="str"/>
      <x:c r="M289" s="110" t="e">
        <x:f>HYPERLINK("visual_gallery/index.html#EGKR-S26-PHY-956-21--VIS-EGKR-PHY-S26-TASK-956-P010","Галерея")</x:f>
      </x:c>
    </x:row>
    <x:row r="290" ht="24" customHeight="1">
      <x:c r="A290" s="110" t="str">
        <x:v>EGKR-S26-PHY-956-24</x:v>
      </x:c>
      <x:c r="B290" s="110" t="str">
        <x:v>VIS-EGKR-PHY-S26-TASK-956-P011</x:v>
      </x:c>
      <x:c r="C290" s="110" t="str">
        <x:v>Физика</x:v>
      </x:c>
      <x:c r="D290" s="110" t="n">
        <x:v>24</x:v>
      </x:c>
      <x:c r="E290" s="110" t="str">
        <x:v>MANUAL_BBOX</x:v>
      </x:c>
      <x:c r="F290" s="110" t="str">
        <x:v>QA_APPROVED</x:v>
      </x:c>
      <x:c r="G290" s="110" t="str">
        <x:v>visual_gallery/assets/cropped/5c30e6a2094cb1879f78711d37edd8a2013642cbfdfde65afc0f0c924a5b817f.png</x:v>
      </x:c>
      <x:c r="H290" s="110" t="str">
        <x:v>5c30e6a2094cb1879f78711d37edd8a2013642cbfdfde65afc0f0c924a5b817f</x:v>
      </x:c>
      <x:c r="I290" s="110" t="str">
        <x:v>9526387494265160eb73080c085fe53489dfa1080d91aa4195dd3b58cd76eaac</x:v>
      </x:c>
      <x:c r="J290" s="110" t="str">
        <x:v>[429, 274, 991, 663]</x:v>
      </x:c>
      <x:c r="K290" s="110" t="str"/>
      <x:c r="L290" s="30" t="str"/>
      <x:c r="M290" s="110" t="e">
        <x:f>HYPERLINK("visual_gallery/index.html#EGKR-S26-PHY-956-24--VIS-EGKR-PHY-S26-TASK-956-P011","Галерея")</x:f>
      </x:c>
    </x:row>
    <x:row r="291" ht="24" customHeight="1">
      <x:c r="A291" s="110" t="str">
        <x:v>EGKR-W25-PHY-951-08</x:v>
      </x:c>
      <x:c r="B291" s="110" t="str">
        <x:v>VIS-EGKR-PHY-W25-TASK-951-P004</x:v>
      </x:c>
      <x:c r="C291" s="110" t="str">
        <x:v>Физика</x:v>
      </x:c>
      <x:c r="D291" s="110" t="n">
        <x:v>8</x:v>
      </x:c>
      <x:c r="E291" s="110" t="str">
        <x:v>USE_CONTEXT</x:v>
      </x:c>
      <x:c r="F291" s="110" t="str">
        <x:v>QA_APPROVED</x:v>
      </x:c>
      <x:c r="G291" s="110" t="str">
        <x:v>visual_gallery/assets/cropped/1da02429d628b27f516b80331c0743f67d93ed13ba83b89b4c8187e7d6d4d6eb.png</x:v>
      </x:c>
      <x:c r="H291" s="110" t="str">
        <x:v>1da02429d628b27f516b80331c0743f67d93ed13ba83b89b4c8187e7d6d4d6eb</x:v>
      </x:c>
      <x:c r="I291" s="110" t="str">
        <x:v>37463ddbe9bbcaa926ab4733e0512f90d677e55dd9f1c9340188d822741ae0ec</x:v>
      </x:c>
      <x:c r="J291" s="110" t="str"/>
      <x:c r="K291" s="110" t="str"/>
      <x:c r="L291" s="30" t="str"/>
      <x:c r="M291" s="110" t="e">
        <x:f>HYPERLINK("visual_gallery/index.html#EGKR-W25-PHY-951-08--VIS-EGKR-PHY-W25-TASK-951-P004","Галерея")</x:f>
      </x:c>
    </x:row>
    <x:row r="292" ht="24" customHeight="1">
      <x:c r="A292" s="110" t="str">
        <x:v>EGKR-W25-PHY-951-21</x:v>
      </x:c>
      <x:c r="B292" s="110" t="str">
        <x:v>VIS-EGKR-PHY-W25-TASK-951-P007</x:v>
      </x:c>
      <x:c r="C292" s="110" t="str">
        <x:v>Физика</x:v>
      </x:c>
      <x:c r="D292" s="110" t="n">
        <x:v>21</x:v>
      </x:c>
      <x:c r="E292" s="110" t="str">
        <x:v>USE_CONTEXT</x:v>
      </x:c>
      <x:c r="F292" s="110" t="str">
        <x:v>QA_APPROVED</x:v>
      </x:c>
      <x:c r="G292" s="110" t="str">
        <x:v>visual_gallery/assets/cropped/51ec62d121b85209f6fabd49f706e41f3262df44d0f3a924d25c90a34ac9aa57.png</x:v>
      </x:c>
      <x:c r="H292" s="110" t="str">
        <x:v>51ec62d121b85209f6fabd49f706e41f3262df44d0f3a924d25c90a34ac9aa57</x:v>
      </x:c>
      <x:c r="I292" s="110" t="str">
        <x:v>1b2583fa52782acff611d79ae57e4828ed73c9546f64805ae793e0e0338dcd99</x:v>
      </x:c>
      <x:c r="J292" s="110" t="str"/>
      <x:c r="K292" s="110" t="str"/>
      <x:c r="L292" s="30" t="str"/>
      <x:c r="M292" s="110" t="e">
        <x:f>HYPERLINK("visual_gallery/index.html#EGKR-W25-PHY-951-21--VIS-EGKR-PHY-W25-TASK-951-P007","Галерея")</x:f>
      </x:c>
    </x:row>
    <x:row r="293" ht="24" customHeight="1">
      <x:c r="A293" s="110" t="str">
        <x:v>EGKR-W25-PHY-952-08</x:v>
      </x:c>
      <x:c r="B293" s="110" t="str">
        <x:v>VIS-EGKR-PHY-W25-TASK-952-P004</x:v>
      </x:c>
      <x:c r="C293" s="110" t="str">
        <x:v>Физика</x:v>
      </x:c>
      <x:c r="D293" s="110" t="n">
        <x:v>8</x:v>
      </x:c>
      <x:c r="E293" s="110" t="str">
        <x:v>USE_CONTEXT</x:v>
      </x:c>
      <x:c r="F293" s="110" t="str">
        <x:v>QA_APPROVED</x:v>
      </x:c>
      <x:c r="G293" s="110" t="str">
        <x:v>visual_gallery/assets/cropped/fa65088ec5b1e80422670eb270c63292b365738f65ae1f164c35d1af20292919.png</x:v>
      </x:c>
      <x:c r="H293" s="110" t="str">
        <x:v>fa65088ec5b1e80422670eb270c63292b365738f65ae1f164c35d1af20292919</x:v>
      </x:c>
      <x:c r="I293" s="110" t="str">
        <x:v>5bc94fffa3953e3616da3531f62c98eb5b6779dd4ba2e703781bc996a97bfdcb</x:v>
      </x:c>
      <x:c r="J293" s="110" t="str"/>
      <x:c r="K293" s="110" t="str"/>
      <x:c r="L293" s="30" t="str"/>
      <x:c r="M293" s="110" t="e">
        <x:f>HYPERLINK("visual_gallery/index.html#EGKR-W25-PHY-952-08--VIS-EGKR-PHY-W25-TASK-952-P004","Галерея")</x:f>
      </x:c>
    </x:row>
    <x:row r="294" ht="24" customHeight="1">
      <x:c r="A294" s="110" t="str">
        <x:v>EGKR-W25-PHY-952-21</x:v>
      </x:c>
      <x:c r="B294" s="110" t="str">
        <x:v>VIS-EGKR-PHY-W25-TASK-952-P007</x:v>
      </x:c>
      <x:c r="C294" s="110" t="str">
        <x:v>Физика</x:v>
      </x:c>
      <x:c r="D294" s="110" t="n">
        <x:v>21</x:v>
      </x:c>
      <x:c r="E294" s="110" t="str">
        <x:v>USE_CONTEXT</x:v>
      </x:c>
      <x:c r="F294" s="110" t="str">
        <x:v>QA_APPROVED</x:v>
      </x:c>
      <x:c r="G294" s="110" t="str">
        <x:v>visual_gallery/assets/cropped/011ff8c2c3ba63bab0f488d628a752d59d70e254bc09380631886e7aa69391fd.png</x:v>
      </x:c>
      <x:c r="H294" s="110" t="str">
        <x:v>011ff8c2c3ba63bab0f488d628a752d59d70e254bc09380631886e7aa69391fd</x:v>
      </x:c>
      <x:c r="I294" s="110" t="str">
        <x:v>de1fb02e90b1a7c90153f5f1cb9883a7240d4b60ee2fda0c9321c8b940665eb0</x:v>
      </x:c>
      <x:c r="J294" s="110" t="str"/>
      <x:c r="K294" s="110" t="str"/>
      <x:c r="L294" s="30" t="str"/>
      <x:c r="M294" s="110" t="e">
        <x:f>HYPERLINK("visual_gallery/index.html#EGKR-W25-PHY-952-21--VIS-EGKR-PHY-W25-TASK-952-P007","Галерея")</x:f>
      </x:c>
    </x:row>
    <x:row r="295" ht="24" customHeight="1">
      <x:c r="A295" s="110" t="str">
        <x:v>EGKR-W25-PHY-953-08</x:v>
      </x:c>
      <x:c r="B295" s="110" t="str">
        <x:v>VIS-EGKR-PHY-W25-TASK-953-P004</x:v>
      </x:c>
      <x:c r="C295" s="110" t="str">
        <x:v>Физика</x:v>
      </x:c>
      <x:c r="D295" s="110" t="n">
        <x:v>8</x:v>
      </x:c>
      <x:c r="E295" s="110" t="str">
        <x:v>USE_CONTEXT</x:v>
      </x:c>
      <x:c r="F295" s="110" t="str">
        <x:v>QA_APPROVED</x:v>
      </x:c>
      <x:c r="G295" s="110" t="str">
        <x:v>visual_gallery/assets/cropped/54226aa82e0225eda813edbf3551e58d3f17c39f99953bb15664aca5f675fd91.png</x:v>
      </x:c>
      <x:c r="H295" s="110" t="str">
        <x:v>54226aa82e0225eda813edbf3551e58d3f17c39f99953bb15664aca5f675fd91</x:v>
      </x:c>
      <x:c r="I295" s="110" t="str">
        <x:v>1130b82139f0a4938004bc29f020bcb9b5cc3c464c90f37042ee8c209db7a325</x:v>
      </x:c>
      <x:c r="J295" s="110" t="str"/>
      <x:c r="K295" s="110" t="str"/>
      <x:c r="L295" s="30" t="str"/>
      <x:c r="M295" s="110" t="e">
        <x:f>HYPERLINK("visual_gallery/index.html#EGKR-W25-PHY-953-08--VIS-EGKR-PHY-W25-TASK-953-P004","Галерея")</x:f>
      </x:c>
    </x:row>
    <x:row r="296" ht="24" customHeight="1">
      <x:c r="A296" s="110" t="str">
        <x:v>EGKR-W25-PHY-953-21</x:v>
      </x:c>
      <x:c r="B296" s="110" t="str">
        <x:v>VIS-EGKR-PHY-W25-TASK-953-P007</x:v>
      </x:c>
      <x:c r="C296" s="110" t="str">
        <x:v>Физика</x:v>
      </x:c>
      <x:c r="D296" s="110" t="n">
        <x:v>21</x:v>
      </x:c>
      <x:c r="E296" s="110" t="str">
        <x:v>MANUAL_BBOX</x:v>
      </x:c>
      <x:c r="F296" s="110" t="str">
        <x:v>QA_APPROVED</x:v>
      </x:c>
      <x:c r="G296" s="110" t="str">
        <x:v>visual_gallery/assets/cropped/c96af17ca67215a0045f00f8157a6bc6317b524ba899a849b4ca9db59af654d9.png</x:v>
      </x:c>
      <x:c r="H296" s="110" t="str">
        <x:v>c96af17ca67215a0045f00f8157a6bc6317b524ba899a849b4ca9db59af654d9</x:v>
      </x:c>
      <x:c r="I296" s="110" t="str">
        <x:v>3ccb3af6e942f871c8f5c7017675f2b9219bbe6f1dad60633e9230e8b395f9fb</x:v>
      </x:c>
      <x:c r="J296" s="110" t="str">
        <x:v>[831, 356, 1081, 586]</x:v>
      </x:c>
      <x:c r="K296" s="110" t="str"/>
      <x:c r="L296" s="30" t="str"/>
      <x:c r="M296" s="110" t="e">
        <x:f>HYPERLINK("visual_gallery/index.html#EGKR-W25-PHY-953-21--VIS-EGKR-PHY-W25-TASK-953-P007","Галерея")</x:f>
      </x:c>
    </x:row>
    <x:row r="297" ht="24" customHeight="1">
      <x:c r="A297" s="110" t="str">
        <x:v>DEC-PHY-V1-001</x:v>
      </x:c>
      <x:c r="B297" s="110" t="str">
        <x:v>VIS-PHY-DEC-001</x:v>
      </x:c>
      <x:c r="C297" s="110" t="str">
        <x:v>Физика</x:v>
      </x:c>
      <x:c r="D297" s="110" t="n">
        <x:v>1</x:v>
      </x:c>
      <x:c r="E297" s="110" t="str">
        <x:v>USE_CONTEXT</x:v>
      </x:c>
      <x:c r="F297" s="110" t="str">
        <x:v>QA_APPROVED</x:v>
      </x:c>
      <x:c r="G297" s="110" t="str">
        <x:v>visual_gallery/assets/cropped/b5f9a1dbe9b7158a6e5eb6af10a2deab3227702b92474131581f98e7bcf8d257.png</x:v>
      </x:c>
      <x:c r="H297" s="110" t="str">
        <x:v>b5f9a1dbe9b7158a6e5eb6af10a2deab3227702b92474131581f98e7bcf8d257</x:v>
      </x:c>
      <x:c r="I297" s="110" t="str">
        <x:v>f4031b159480d7b9d8d477f0d45b43fd29cfca3a4f1596818599e0365e192738</x:v>
      </x:c>
      <x:c r="J297" s="110" t="str"/>
      <x:c r="K297" s="110" t="str"/>
      <x:c r="L297" s="30" t="str"/>
      <x:c r="M297" s="110" t="e">
        <x:f>HYPERLINK("visual_gallery/index.html#DEC-PHY-V1-001--VIS-PHY-DEC-001","Галерея")</x:f>
      </x:c>
    </x:row>
    <x:row r="298" ht="24" customHeight="1">
      <x:c r="A298" s="110" t="str">
        <x:v>DEC-PHY-V1-005</x:v>
      </x:c>
      <x:c r="B298" s="110" t="str">
        <x:v>VIS-PHY-DEC-002</x:v>
      </x:c>
      <x:c r="C298" s="110" t="str">
        <x:v>Физика</x:v>
      </x:c>
      <x:c r="D298" s="110" t="n">
        <x:v>5</x:v>
      </x:c>
      <x:c r="E298" s="110" t="str">
        <x:v>USE_TIGHT</x:v>
      </x:c>
      <x:c r="F298" s="110" t="str">
        <x:v>QA_APPROVED</x:v>
      </x:c>
      <x:c r="G298" s="110" t="str">
        <x:v>visual_gallery/assets/cropped/73594cb0b7a41e1f4bf02c49764f9c64b525a988caf0d834e870a2cbe13c158f.png</x:v>
      </x:c>
      <x:c r="H298" s="110" t="str">
        <x:v>73594cb0b7a41e1f4bf02c49764f9c64b525a988caf0d834e870a2cbe13c158f</x:v>
      </x:c>
      <x:c r="I298" s="110" t="str">
        <x:v>bcfad6cd56bfd2208f4dd7cc760cc34a81d18acf24ed7f689a0bac669a154d6e</x:v>
      </x:c>
      <x:c r="J298" s="110" t="str"/>
      <x:c r="K298" s="110" t="str"/>
      <x:c r="L298" s="30" t="str"/>
      <x:c r="M298" s="110" t="e">
        <x:f>HYPERLINK("visual_gallery/index.html#DEC-PHY-V1-005--VIS-PHY-DEC-002","Галерея")</x:f>
      </x:c>
    </x:row>
    <x:row r="299" ht="24" customHeight="1">
      <x:c r="A299" s="110" t="str">
        <x:v>DEC-PHY-V1-006</x:v>
      </x:c>
      <x:c r="B299" s="110" t="str">
        <x:v>VIS-PHY-DEC-003</x:v>
      </x:c>
      <x:c r="C299" s="110" t="str">
        <x:v>Физика</x:v>
      </x:c>
      <x:c r="D299" s="110" t="n">
        <x:v>6</x:v>
      </x:c>
      <x:c r="E299" s="110" t="str">
        <x:v>COMPOSITE_CROP</x:v>
      </x:c>
      <x:c r="F299" s="110" t="str">
        <x:v>QA_APPROVED</x:v>
      </x:c>
      <x:c r="G299" s="110" t="str">
        <x:v>visual_gallery/assets/cropped/8654dffe18e17b8aafc1f9b9d747c43a96065ed0fd88b6afffcfa5880ecf935c.png</x:v>
      </x:c>
      <x:c r="H299" s="110" t="str">
        <x:v>8654dffe18e17b8aafc1f9b9d747c43a96065ed0fd88b6afffcfa5880ecf935c</x:v>
      </x:c>
      <x:c r="I299" s="110" t="str">
        <x:v>846aae7278d2b768edca76336fc492387a8839cbffcbfc29ec10b9cc0c10e74f</x:v>
      </x:c>
      <x:c r="J299" s="110" t="str"/>
      <x:c r="K299" s="110" t="str">
        <x:v>[[480, 215, 815, 505], [105, 680, 435, 1070]]</x:v>
      </x:c>
      <x:c r="L299" s="30" t="str">
        <x:v>Two-part composite: initial-velocity scheme, then graphs A and B.</x:v>
      </x:c>
      <x:c r="M299" s="110" t="e">
        <x:f>HYPERLINK("visual_gallery/index.html#DEC-PHY-V1-006--VIS-PHY-DEC-003","Галерея")</x:f>
      </x:c>
    </x:row>
    <x:row r="300" ht="24" customHeight="1">
      <x:c r="A300" s="110" t="str">
        <x:v>DEC-PHY-V1-009</x:v>
      </x:c>
      <x:c r="B300" s="110" t="str">
        <x:v>VIS-PHY-DEC-004</x:v>
      </x:c>
      <x:c r="C300" s="110" t="str">
        <x:v>Физика</x:v>
      </x:c>
      <x:c r="D300" s="110" t="n">
        <x:v>9</x:v>
      </x:c>
      <x:c r="E300" s="110" t="str">
        <x:v>USE_CONTEXT</x:v>
      </x:c>
      <x:c r="F300" s="110" t="str">
        <x:v>QA_APPROVED</x:v>
      </x:c>
      <x:c r="G300" s="110" t="str">
        <x:v>visual_gallery/assets/cropped/ed2b62c797a878bba197ee8f1173bb39b55c110508a709ca3acce2de061008a8.png</x:v>
      </x:c>
      <x:c r="H300" s="110" t="str">
        <x:v>ed2b62c797a878bba197ee8f1173bb39b55c110508a709ca3acce2de061008a8</x:v>
      </x:c>
      <x:c r="I300" s="110" t="str">
        <x:v>2f20f39fac0fc83af2f275ef5351da33a1dc1c165ee5b0eb9537fe522f402423</x:v>
      </x:c>
      <x:c r="J300" s="110" t="str"/>
      <x:c r="K300" s="110" t="str"/>
      <x:c r="L300" s="30" t="str"/>
      <x:c r="M300" s="110" t="e">
        <x:f>HYPERLINK("visual_gallery/index.html#DEC-PHY-V1-009--VIS-PHY-DEC-004","Галерея")</x:f>
      </x:c>
    </x:row>
    <x:row r="301" ht="24" customHeight="1">
      <x:c r="A301" s="110" t="str">
        <x:v>DEC-PHY-V1-014</x:v>
      </x:c>
      <x:c r="B301" s="110" t="str">
        <x:v>VIS-PHY-DEC-005</x:v>
      </x:c>
      <x:c r="C301" s="110" t="str">
        <x:v>Физика</x:v>
      </x:c>
      <x:c r="D301" s="110" t="n">
        <x:v>14</x:v>
      </x:c>
      <x:c r="E301" s="110" t="str">
        <x:v>USE_CONTEXT</x:v>
      </x:c>
      <x:c r="F301" s="110" t="str">
        <x:v>QA_APPROVED</x:v>
      </x:c>
      <x:c r="G301" s="110" t="str">
        <x:v>visual_gallery/assets/cropped/9da818ffcbad4d57a159bb364e2d3eb3d4c15ce4101e5df516386457ac2099f0.png</x:v>
      </x:c>
      <x:c r="H301" s="110" t="str">
        <x:v>9da818ffcbad4d57a159bb364e2d3eb3d4c15ce4101e5df516386457ac2099f0</x:v>
      </x:c>
      <x:c r="I301" s="110" t="str">
        <x:v>d879b50c3bc9e629f784bab4246a8674bdaff5dcfc60afb19f171dfbf1692549</x:v>
      </x:c>
      <x:c r="J301" s="110" t="str"/>
      <x:c r="K301" s="110" t="str"/>
      <x:c r="L301" s="30" t="str"/>
      <x:c r="M301" s="110" t="e">
        <x:f>HYPERLINK("visual_gallery/index.html#DEC-PHY-V1-014--VIS-PHY-DEC-005","Галерея")</x:f>
      </x:c>
    </x:row>
    <x:row r="302" ht="24" customHeight="1">
      <x:c r="A302" s="110" t="str">
        <x:v>DEC-PHY-V1-015</x:v>
      </x:c>
      <x:c r="B302" s="110" t="str">
        <x:v>VIS-PHY-DEC-006</x:v>
      </x:c>
      <x:c r="C302" s="110" t="str">
        <x:v>Физика</x:v>
      </x:c>
      <x:c r="D302" s="110" t="n">
        <x:v>15</x:v>
      </x:c>
      <x:c r="E302" s="110" t="str">
        <x:v>USE_CONTEXT</x:v>
      </x:c>
      <x:c r="F302" s="110" t="str">
        <x:v>QA_APPROVED</x:v>
      </x:c>
      <x:c r="G302" s="110" t="str">
        <x:v>visual_gallery/assets/cropped/d71a3400e3decfd0ce66abc2c80651153b9ec47c84d182ac3a1c2f427f6aaaee.png</x:v>
      </x:c>
      <x:c r="H302" s="110" t="str">
        <x:v>d71a3400e3decfd0ce66abc2c80651153b9ec47c84d182ac3a1c2f427f6aaaee</x:v>
      </x:c>
      <x:c r="I302" s="110" t="str">
        <x:v>0ce97f93759d82bbcb84159f95d5807cba21b0566771c0aae71280e654a2abd1</x:v>
      </x:c>
      <x:c r="J302" s="110" t="str"/>
      <x:c r="K302" s="110" t="str"/>
      <x:c r="L302" s="30" t="str"/>
      <x:c r="M302" s="110" t="e">
        <x:f>HYPERLINK("visual_gallery/index.html#DEC-PHY-V1-015--VIS-PHY-DEC-006","Галерея")</x:f>
      </x:c>
    </x:row>
    <x:row r="303" ht="24" customHeight="1">
      <x:c r="A303" s="110" t="str">
        <x:v>DEC-PHY-V1-021</x:v>
      </x:c>
      <x:c r="B303" s="110" t="str">
        <x:v>VIS-PHY-DEC-009</x:v>
      </x:c>
      <x:c r="C303" s="110" t="str">
        <x:v>Физика</x:v>
      </x:c>
      <x:c r="D303" s="110" t="n">
        <x:v>21</x:v>
      </x:c>
      <x:c r="E303" s="110" t="str">
        <x:v>USE_CONTEXT</x:v>
      </x:c>
      <x:c r="F303" s="110" t="str">
        <x:v>QA_APPROVED</x:v>
      </x:c>
      <x:c r="G303" s="110" t="str">
        <x:v>visual_gallery/assets/cropped/91b35cbf78386d6bacff93480f053ef2ff1411a7ac80099f491bddb62c46e810.png</x:v>
      </x:c>
      <x:c r="H303" s="110" t="str">
        <x:v>91b35cbf78386d6bacff93480f053ef2ff1411a7ac80099f491bddb62c46e810</x:v>
      </x:c>
      <x:c r="I303" s="110" t="str">
        <x:v>48325feb9d4aa031eaf33f4ed7e111db56e54d9f0d2d04030b9e4f5e9bf3793b</x:v>
      </x:c>
      <x:c r="J303" s="110" t="str"/>
      <x:c r="K303" s="110" t="str"/>
      <x:c r="L303" s="30" t="str"/>
      <x:c r="M303" s="110" t="e">
        <x:f>HYPERLINK("visual_gallery/index.html#DEC-PHY-V1-021--VIS-PHY-DEC-009","Галерея")</x:f>
      </x:c>
    </x:row>
    <x:row r="304" ht="24" customHeight="1">
      <x:c r="A304" s="110" t="str">
        <x:v>DEC-PHY-V1-025</x:v>
      </x:c>
      <x:c r="B304" s="110" t="str">
        <x:v>VIS-PHY-DEC-010</x:v>
      </x:c>
      <x:c r="C304" s="110" t="str">
        <x:v>Физика</x:v>
      </x:c>
      <x:c r="D304" s="110" t="n">
        <x:v>25</x:v>
      </x:c>
      <x:c r="E304" s="110" t="str">
        <x:v>USE_CONTEXT</x:v>
      </x:c>
      <x:c r="F304" s="110" t="str">
        <x:v>QA_APPROVED</x:v>
      </x:c>
      <x:c r="G304" s="110" t="str">
        <x:v>visual_gallery/assets/cropped/1b7d5662727789b84e2043d6159c50ef51d2ad5ca71001397fa086c4a7d85b40.png</x:v>
      </x:c>
      <x:c r="H304" s="110" t="str">
        <x:v>1b7d5662727789b84e2043d6159c50ef51d2ad5ca71001397fa086c4a7d85b40</x:v>
      </x:c>
      <x:c r="I304" s="110" t="str">
        <x:v>d6e57de16c18f4f18905a8dc14d2af809bd449b047f3ab3082d512e64fa0f188</x:v>
      </x:c>
      <x:c r="J304" s="110" t="str"/>
      <x:c r="K304" s="110" t="str"/>
      <x:c r="L304" s="30" t="str"/>
      <x:c r="M304" s="110" t="e">
        <x:f>HYPERLINK("visual_gallery/index.html#DEC-PHY-V1-025--VIS-PHY-DEC-010","Галерея")</x:f>
      </x:c>
    </x:row>
    <x:row r="305" ht="24" customHeight="1">
      <x:c r="A305" s="110" t="str">
        <x:v>DEC-PHY-V1-026</x:v>
      </x:c>
      <x:c r="B305" s="110" t="str">
        <x:v>VIS-PHY-DEC-010</x:v>
      </x:c>
      <x:c r="C305" s="110" t="str">
        <x:v>Физика</x:v>
      </x:c>
      <x:c r="D305" s="110" t="n">
        <x:v>26</x:v>
      </x:c>
      <x:c r="E305" s="110" t="str">
        <x:v>USE_CONTEXT</x:v>
      </x:c>
      <x:c r="F305" s="110" t="str">
        <x:v>QA_APPROVED</x:v>
      </x:c>
      <x:c r="G305" s="110" t="str">
        <x:v>visual_gallery/assets/cropped/d54c74385c77336da230b8b32d81151bf15404342af0eb85492d81d7ac7bc226.png</x:v>
      </x:c>
      <x:c r="H305" s="110" t="str">
        <x:v>d54c74385c77336da230b8b32d81151bf15404342af0eb85492d81d7ac7bc226</x:v>
      </x:c>
      <x:c r="I305" s="110" t="str">
        <x:v>d6e57de16c18f4f18905a8dc14d2af809bd449b047f3ab3082d512e64fa0f188</x:v>
      </x:c>
      <x:c r="J305" s="110" t="str"/>
      <x:c r="K305" s="110" t="str"/>
      <x:c r="L305" s="30" t="str"/>
      <x:c r="M305" s="110" t="e">
        <x:f>HYPERLINK("visual_gallery/index.html#DEC-PHY-V1-026--VIS-PHY-DEC-010","Галерея")</x:f>
      </x:c>
    </x:row>
    <x:row r="306" ht="24" customHeight="1">
      <x:c r="A306" s="110" t="str">
        <x:v>DEC-PHY-V2-001</x:v>
      </x:c>
      <x:c r="B306" s="110" t="str">
        <x:v>VIS-PHY-DEC-011</x:v>
      </x:c>
      <x:c r="C306" s="110" t="str">
        <x:v>Физика</x:v>
      </x:c>
      <x:c r="D306" s="110" t="n">
        <x:v>1</x:v>
      </x:c>
      <x:c r="E306" s="110" t="str">
        <x:v>USE_CONTEXT</x:v>
      </x:c>
      <x:c r="F306" s="110" t="str">
        <x:v>QA_APPROVED</x:v>
      </x:c>
      <x:c r="G306" s="110" t="str">
        <x:v>visual_gallery/assets/cropped/bc0eeef258db561bae7ac7c2a8a994c91d36684bd84cf2bcf2650461075b0912.png</x:v>
      </x:c>
      <x:c r="H306" s="110" t="str">
        <x:v>bc0eeef258db561bae7ac7c2a8a994c91d36684bd84cf2bcf2650461075b0912</x:v>
      </x:c>
      <x:c r="I306" s="110" t="str">
        <x:v>b4deeed00393ccbd2e365525b80b95b2a2d26284cf5b10e52e82d6de578b5c06</x:v>
      </x:c>
      <x:c r="J306" s="110" t="str"/>
      <x:c r="K306" s="110" t="str"/>
      <x:c r="L306" s="30" t="str"/>
      <x:c r="M306" s="110" t="e">
        <x:f>HYPERLINK("visual_gallery/index.html#DEC-PHY-V2-001--VIS-PHY-DEC-011","Галерея")</x:f>
      </x:c>
    </x:row>
    <x:row r="307" ht="24" customHeight="1">
      <x:c r="A307" s="110" t="str">
        <x:v>DEC-PHY-V2-005</x:v>
      </x:c>
      <x:c r="B307" s="110" t="str">
        <x:v>VIS-PHY-DEC-012</x:v>
      </x:c>
      <x:c r="C307" s="110" t="str">
        <x:v>Физика</x:v>
      </x:c>
      <x:c r="D307" s="110" t="n">
        <x:v>5</x:v>
      </x:c>
      <x:c r="E307" s="110" t="str">
        <x:v>USE_TIGHT</x:v>
      </x:c>
      <x:c r="F307" s="110" t="str">
        <x:v>QA_APPROVED</x:v>
      </x:c>
      <x:c r="G307" s="110" t="str">
        <x:v>visual_gallery/assets/cropped/84113cb187a2c27e216fa7f4473f3ea9cb05505e69ca7f54799cfd7e795c0f2c.png</x:v>
      </x:c>
      <x:c r="H307" s="110" t="str">
        <x:v>84113cb187a2c27e216fa7f4473f3ea9cb05505e69ca7f54799cfd7e795c0f2c</x:v>
      </x:c>
      <x:c r="I307" s="110" t="str">
        <x:v>c1c8862768207da3ca533185e86f8afb342284bb77aba64abf225cff405f149f</x:v>
      </x:c>
      <x:c r="J307" s="110" t="str"/>
      <x:c r="K307" s="110" t="str"/>
      <x:c r="L307" s="30" t="str"/>
      <x:c r="M307" s="110" t="e">
        <x:f>HYPERLINK("visual_gallery/index.html#DEC-PHY-V2-005--VIS-PHY-DEC-012","Галерея")</x:f>
      </x:c>
    </x:row>
    <x:row r="308" ht="24" customHeight="1">
      <x:c r="A308" s="110" t="str">
        <x:v>DEC-PHY-V2-006</x:v>
      </x:c>
      <x:c r="B308" s="110" t="str">
        <x:v>VIS-PHY-DEC-013</x:v>
      </x:c>
      <x:c r="C308" s="110" t="str">
        <x:v>Физика</x:v>
      </x:c>
      <x:c r="D308" s="110" t="n">
        <x:v>6</x:v>
      </x:c>
      <x:c r="E308" s="110" t="str">
        <x:v>COMPOSITE_CROP</x:v>
      </x:c>
      <x:c r="F308" s="110" t="str">
        <x:v>QA_APPROVED</x:v>
      </x:c>
      <x:c r="G308" s="110" t="str">
        <x:v>visual_gallery/assets/cropped/9cf89b36a5cc0daf3858937ca3569c2f865a7609ea7e28a1db2d0896bfd6fc43.png</x:v>
      </x:c>
      <x:c r="H308" s="110" t="str">
        <x:v>9cf89b36a5cc0daf3858937ca3569c2f865a7609ea7e28a1db2d0896bfd6fc43</x:v>
      </x:c>
      <x:c r="I308" s="110" t="str">
        <x:v>2bc5e4d8b27b903a6fd3216fcf590b5ceca420473b8e3d8e9d2f5db2567dfe05</x:v>
      </x:c>
      <x:c r="J308" s="110" t="str"/>
      <x:c r="K308" s="110" t="str">
        <x:v>[[480, 215, 815, 505], [105, 680, 435, 1070]]</x:v>
      </x:c>
      <x:c r="L308" s="30" t="str">
        <x:v>Two-part composite: initial-velocity scheme, then graphs A and B.</x:v>
      </x:c>
      <x:c r="M308" s="110" t="e">
        <x:f>HYPERLINK("visual_gallery/index.html#DEC-PHY-V2-006--VIS-PHY-DEC-013","Галерея")</x:f>
      </x:c>
    </x:row>
    <x:row r="309" ht="24" customHeight="1">
      <x:c r="A309" s="110" t="str">
        <x:v>DEC-PHY-V2-009</x:v>
      </x:c>
      <x:c r="B309" s="110" t="str">
        <x:v>VIS-PHY-DEC-014</x:v>
      </x:c>
      <x:c r="C309" s="110" t="str">
        <x:v>Физика</x:v>
      </x:c>
      <x:c r="D309" s="110" t="n">
        <x:v>9</x:v>
      </x:c>
      <x:c r="E309" s="110" t="str">
        <x:v>USE_CONTEXT</x:v>
      </x:c>
      <x:c r="F309" s="110" t="str">
        <x:v>QA_APPROVED</x:v>
      </x:c>
      <x:c r="G309" s="110" t="str">
        <x:v>visual_gallery/assets/cropped/5f16d4935bc22074965ef16848a79ffb15155c76909597c15569f2cee42f5ff4.png</x:v>
      </x:c>
      <x:c r="H309" s="110" t="str">
        <x:v>5f16d4935bc22074965ef16848a79ffb15155c76909597c15569f2cee42f5ff4</x:v>
      </x:c>
      <x:c r="I309" s="110" t="str">
        <x:v>c33e989185559ab9369264ba2db13018951c1b778a791c600dc2e0dcb89abae3</x:v>
      </x:c>
      <x:c r="J309" s="110" t="str"/>
      <x:c r="K309" s="110" t="str"/>
      <x:c r="L309" s="30" t="str"/>
      <x:c r="M309" s="110" t="e">
        <x:f>HYPERLINK("visual_gallery/index.html#DEC-PHY-V2-009--VIS-PHY-DEC-014","Галерея")</x:f>
      </x:c>
    </x:row>
    <x:row r="310" ht="24" customHeight="1">
      <x:c r="A310" s="110" t="str">
        <x:v>DEC-PHY-V2-014</x:v>
      </x:c>
      <x:c r="B310" s="110" t="str">
        <x:v>VIS-PHY-DEC-015</x:v>
      </x:c>
      <x:c r="C310" s="110" t="str">
        <x:v>Физика</x:v>
      </x:c>
      <x:c r="D310" s="110" t="n">
        <x:v>14</x:v>
      </x:c>
      <x:c r="E310" s="110" t="str">
        <x:v>USE_CONTEXT</x:v>
      </x:c>
      <x:c r="F310" s="110" t="str">
        <x:v>QA_APPROVED</x:v>
      </x:c>
      <x:c r="G310" s="110" t="str">
        <x:v>visual_gallery/assets/cropped/9da818ffcbad4d57a159bb364e2d3eb3d4c15ce4101e5df516386457ac2099f0.png</x:v>
      </x:c>
      <x:c r="H310" s="110" t="str">
        <x:v>9da818ffcbad4d57a159bb364e2d3eb3d4c15ce4101e5df516386457ac2099f0</x:v>
      </x:c>
      <x:c r="I310" s="110" t="str">
        <x:v>b464c66a6f3ce0d2be5b642d1d53dd97328971246f646a81f28a20f1f8ad05df</x:v>
      </x:c>
      <x:c r="J310" s="110" t="str"/>
      <x:c r="K310" s="110" t="str"/>
      <x:c r="L310" s="30" t="str"/>
      <x:c r="M310" s="110" t="e">
        <x:f>HYPERLINK("visual_gallery/index.html#DEC-PHY-V2-014--VIS-PHY-DEC-015","Галерея")</x:f>
      </x:c>
    </x:row>
    <x:row r="311" ht="24" customHeight="1">
      <x:c r="A311" s="110" t="str">
        <x:v>DEC-PHY-V2-015</x:v>
      </x:c>
      <x:c r="B311" s="110" t="str">
        <x:v>VIS-PHY-DEC-016</x:v>
      </x:c>
      <x:c r="C311" s="110" t="str">
        <x:v>Физика</x:v>
      </x:c>
      <x:c r="D311" s="110" t="n">
        <x:v>15</x:v>
      </x:c>
      <x:c r="E311" s="110" t="str">
        <x:v>USE_CONTEXT</x:v>
      </x:c>
      <x:c r="F311" s="110" t="str">
        <x:v>QA_APPROVED</x:v>
      </x:c>
      <x:c r="G311" s="110" t="str">
        <x:v>visual_gallery/assets/cropped/d71a3400e3decfd0ce66abc2c80651153b9ec47c84d182ac3a1c2f427f6aaaee.png</x:v>
      </x:c>
      <x:c r="H311" s="110" t="str">
        <x:v>d71a3400e3decfd0ce66abc2c80651153b9ec47c84d182ac3a1c2f427f6aaaee</x:v>
      </x:c>
      <x:c r="I311" s="110" t="str">
        <x:v>5ed7bcbf85f72209768acde83cd6f138f4740679a4451f9d5df5d1af6129a7d8</x:v>
      </x:c>
      <x:c r="J311" s="110" t="str"/>
      <x:c r="K311" s="110" t="str"/>
      <x:c r="L311" s="30" t="str"/>
      <x:c r="M311" s="110" t="e">
        <x:f>HYPERLINK("visual_gallery/index.html#DEC-PHY-V2-015--VIS-PHY-DEC-016","Галерея")</x:f>
      </x:c>
    </x:row>
    <x:row r="312" ht="24" customHeight="1">
      <x:c r="A312" s="110" t="str">
        <x:v>DEC-PHY-V2-021</x:v>
      </x:c>
      <x:c r="B312" s="110" t="str">
        <x:v>VIS-PHY-DEC-019</x:v>
      </x:c>
      <x:c r="C312" s="110" t="str">
        <x:v>Физика</x:v>
      </x:c>
      <x:c r="D312" s="110" t="n">
        <x:v>21</x:v>
      </x:c>
      <x:c r="E312" s="110" t="str">
        <x:v>USE_CONTEXT</x:v>
      </x:c>
      <x:c r="F312" s="110" t="str">
        <x:v>QA_APPROVED</x:v>
      </x:c>
      <x:c r="G312" s="110" t="str">
        <x:v>visual_gallery/assets/cropped/c867eca497ac81bbfa8eaf8a777247deb4551eda5de512ab42d719e3dd56bf4d.png</x:v>
      </x:c>
      <x:c r="H312" s="110" t="str">
        <x:v>c867eca497ac81bbfa8eaf8a777247deb4551eda5de512ab42d719e3dd56bf4d</x:v>
      </x:c>
      <x:c r="I312" s="110" t="str">
        <x:v>708b510ef6273c493ffc7830dbba537dfb8ba33a99219b861399b4bc44edc096</x:v>
      </x:c>
      <x:c r="J312" s="110" t="str"/>
      <x:c r="K312" s="110" t="str"/>
      <x:c r="L312" s="30" t="str"/>
      <x:c r="M312" s="110" t="e">
        <x:f>HYPERLINK("visual_gallery/index.html#DEC-PHY-V2-021--VIS-PHY-DEC-019","Галерея")</x:f>
      </x:c>
    </x:row>
    <x:row r="313" ht="24" customHeight="1">
      <x:c r="A313" s="110" t="str">
        <x:v>DEC-PHY-V2-025</x:v>
      </x:c>
      <x:c r="B313" s="110" t="str">
        <x:v>VIS-PHY-DEC-020</x:v>
      </x:c>
      <x:c r="C313" s="110" t="str">
        <x:v>Физика</x:v>
      </x:c>
      <x:c r="D313" s="110" t="n">
        <x:v>25</x:v>
      </x:c>
      <x:c r="E313" s="110" t="str">
        <x:v>USE_CONTEXT</x:v>
      </x:c>
      <x:c r="F313" s="110" t="str">
        <x:v>QA_APPROVED</x:v>
      </x:c>
      <x:c r="G313" s="110" t="str">
        <x:v>visual_gallery/assets/cropped/9182db9065045edc915e6452551de5849fa53b6678bc6a845faa41f26e2ee556.png</x:v>
      </x:c>
      <x:c r="H313" s="110" t="str">
        <x:v>9182db9065045edc915e6452551de5849fa53b6678bc6a845faa41f26e2ee556</x:v>
      </x:c>
      <x:c r="I313" s="110" t="str">
        <x:v>368e40b14542ec60f3a9da8fb26985f9e1e90122e248631d05569fe11c392d14</x:v>
      </x:c>
      <x:c r="J313" s="110" t="str"/>
      <x:c r="K313" s="110" t="str"/>
      <x:c r="L313" s="30" t="str"/>
      <x:c r="M313" s="110" t="e">
        <x:f>HYPERLINK("visual_gallery/index.html#DEC-PHY-V2-025--VIS-PHY-DEC-020","Галерея")</x:f>
      </x:c>
    </x:row>
    <x:row r="314" ht="24" customHeight="1">
      <x:c r="A314" s="110" t="str">
        <x:v>DEC-PHY-V2-026</x:v>
      </x:c>
      <x:c r="B314" s="110" t="str">
        <x:v>VIS-PHY-DEC-020</x:v>
      </x:c>
      <x:c r="C314" s="110" t="str">
        <x:v>Физика</x:v>
      </x:c>
      <x:c r="D314" s="110" t="n">
        <x:v>26</x:v>
      </x:c>
      <x:c r="E314" s="110" t="str">
        <x:v>USE_CONTEXT</x:v>
      </x:c>
      <x:c r="F314" s="110" t="str">
        <x:v>QA_APPROVED</x:v>
      </x:c>
      <x:c r="G314" s="110" t="str">
        <x:v>visual_gallery/assets/cropped/5914c0f65cf941afde203f6891f13ac1e6f90ada65b8dd439505240808d5273f.png</x:v>
      </x:c>
      <x:c r="H314" s="110" t="str">
        <x:v>5914c0f65cf941afde203f6891f13ac1e6f90ada65b8dd439505240808d5273f</x:v>
      </x:c>
      <x:c r="I314" s="110" t="str">
        <x:v>368e40b14542ec60f3a9da8fb26985f9e1e90122e248631d05569fe11c392d14</x:v>
      </x:c>
      <x:c r="J314" s="110" t="str"/>
      <x:c r="K314" s="110" t="str"/>
      <x:c r="L314" s="30" t="str"/>
      <x:c r="M314" s="110" t="e">
        <x:f>HYPERLINK("visual_gallery/index.html#DEC-PHY-V2-026--VIS-PHY-DEC-020","Галерея")</x:f>
      </x:c>
    </x:row>
    <x:row r="315" ht="24" customHeight="1">
      <x:c r="A315" s="110" t="str">
        <x:v>DEC-PHY-V3-001</x:v>
      </x:c>
      <x:c r="B315" s="110" t="str">
        <x:v>VIS-PHY-DEC-021</x:v>
      </x:c>
      <x:c r="C315" s="110" t="str">
        <x:v>Физика</x:v>
      </x:c>
      <x:c r="D315" s="110" t="n">
        <x:v>1</x:v>
      </x:c>
      <x:c r="E315" s="110" t="str">
        <x:v>USE_CONTEXT</x:v>
      </x:c>
      <x:c r="F315" s="110" t="str">
        <x:v>QA_APPROVED</x:v>
      </x:c>
      <x:c r="G315" s="110" t="str">
        <x:v>visual_gallery/assets/cropped/bcfa587b37763b758febcb713b79eae3724bbc3f76c690781e290e0e36638bbd.png</x:v>
      </x:c>
      <x:c r="H315" s="110" t="str">
        <x:v>bcfa587b37763b758febcb713b79eae3724bbc3f76c690781e290e0e36638bbd</x:v>
      </x:c>
      <x:c r="I315" s="110" t="str">
        <x:v>084044e164a84c7246531dee70d97e44d356e300f0b287fe37045519e9974555</x:v>
      </x:c>
      <x:c r="J315" s="110" t="str"/>
      <x:c r="K315" s="110" t="str"/>
      <x:c r="L315" s="30" t="str"/>
      <x:c r="M315" s="110" t="e">
        <x:f>HYPERLINK("visual_gallery/index.html#DEC-PHY-V3-001--VIS-PHY-DEC-021","Галерея")</x:f>
      </x:c>
    </x:row>
    <x:row r="316" ht="24" customHeight="1">
      <x:c r="A316" s="110" t="str">
        <x:v>DEC-PHY-V3-005</x:v>
      </x:c>
      <x:c r="B316" s="110" t="str">
        <x:v>VIS-PHY-DEC-022</x:v>
      </x:c>
      <x:c r="C316" s="110" t="str">
        <x:v>Физика</x:v>
      </x:c>
      <x:c r="D316" s="110" t="n">
        <x:v>5</x:v>
      </x:c>
      <x:c r="E316" s="110" t="str">
        <x:v>USE_TIGHT</x:v>
      </x:c>
      <x:c r="F316" s="110" t="str">
        <x:v>QA_APPROVED</x:v>
      </x:c>
      <x:c r="G316" s="110" t="str">
        <x:v>visual_gallery/assets/cropped/73594cb0b7a41e1f4bf02c49764f9c64b525a988caf0d834e870a2cbe13c158f.png</x:v>
      </x:c>
      <x:c r="H316" s="110" t="str">
        <x:v>73594cb0b7a41e1f4bf02c49764f9c64b525a988caf0d834e870a2cbe13c158f</x:v>
      </x:c>
      <x:c r="I316" s="110" t="str">
        <x:v>640fafce05e7165503bbc0da5a69935472cacc5691d53a404a9afdf2a988f918</x:v>
      </x:c>
      <x:c r="J316" s="110" t="str"/>
      <x:c r="K316" s="110" t="str"/>
      <x:c r="L316" s="30" t="str"/>
      <x:c r="M316" s="110" t="e">
        <x:f>HYPERLINK("visual_gallery/index.html#DEC-PHY-V3-005--VIS-PHY-DEC-022","Галерея")</x:f>
      </x:c>
    </x:row>
    <x:row r="317" ht="24" customHeight="1">
      <x:c r="A317" s="110" t="str">
        <x:v>DEC-PHY-V3-006</x:v>
      </x:c>
      <x:c r="B317" s="110" t="str">
        <x:v>VIS-PHY-DEC-023</x:v>
      </x:c>
      <x:c r="C317" s="110" t="str">
        <x:v>Физика</x:v>
      </x:c>
      <x:c r="D317" s="110" t="n">
        <x:v>6</x:v>
      </x:c>
      <x:c r="E317" s="110" t="str">
        <x:v>COMPOSITE_CROP</x:v>
      </x:c>
      <x:c r="F317" s="110" t="str">
        <x:v>QA_APPROVED</x:v>
      </x:c>
      <x:c r="G317" s="110" t="str">
        <x:v>visual_gallery/assets/cropped/7150dd5e5686a90f563a505bb700d3c359a027b4af8a3cfff80837206f6d0d1b.png</x:v>
      </x:c>
      <x:c r="H317" s="110" t="str">
        <x:v>7150dd5e5686a90f563a505bb700d3c359a027b4af8a3cfff80837206f6d0d1b</x:v>
      </x:c>
      <x:c r="I317" s="110" t="str">
        <x:v>c05ad9f91be33535c8f7bc59b49e2aff5d5a6508f2939517d1e41673de9ef22f</x:v>
      </x:c>
      <x:c r="J317" s="110" t="str"/>
      <x:c r="K317" s="110" t="str">
        <x:v>[[480, 215, 815, 505], [105, 680, 435, 1070]]</x:v>
      </x:c>
      <x:c r="L317" s="30" t="str">
        <x:v>Two-part composite: initial-velocity scheme, then graphs A and B.</x:v>
      </x:c>
      <x:c r="M317" s="110" t="e">
        <x:f>HYPERLINK("visual_gallery/index.html#DEC-PHY-V3-006--VIS-PHY-DEC-023","Галерея")</x:f>
      </x:c>
    </x:row>
    <x:row r="318" ht="24" customHeight="1">
      <x:c r="A318" s="110" t="str">
        <x:v>DEC-PHY-V3-009</x:v>
      </x:c>
      <x:c r="B318" s="110" t="str">
        <x:v>VIS-PHY-DEC-024</x:v>
      </x:c>
      <x:c r="C318" s="110" t="str">
        <x:v>Физика</x:v>
      </x:c>
      <x:c r="D318" s="110" t="n">
        <x:v>9</x:v>
      </x:c>
      <x:c r="E318" s="110" t="str">
        <x:v>USE_CONTEXT</x:v>
      </x:c>
      <x:c r="F318" s="110" t="str">
        <x:v>QA_APPROVED</x:v>
      </x:c>
      <x:c r="G318" s="110" t="str">
        <x:v>visual_gallery/assets/cropped/d214c575d5fbb91f58c5ce0af49a0e505134b289183bde657eed9c5e73070844.png</x:v>
      </x:c>
      <x:c r="H318" s="110" t="str">
        <x:v>d214c575d5fbb91f58c5ce0af49a0e505134b289183bde657eed9c5e73070844</x:v>
      </x:c>
      <x:c r="I318" s="110" t="str">
        <x:v>92d22df899ad8d544a019871880004ac550854860b973391a3a4a7e96cbee56b</x:v>
      </x:c>
      <x:c r="J318" s="110" t="str"/>
      <x:c r="K318" s="110" t="str"/>
      <x:c r="L318" s="30" t="str"/>
      <x:c r="M318" s="110" t="e">
        <x:f>HYPERLINK("visual_gallery/index.html#DEC-PHY-V3-009--VIS-PHY-DEC-024","Галерея")</x:f>
      </x:c>
    </x:row>
    <x:row r="319" ht="24" customHeight="1">
      <x:c r="A319" s="110" t="str">
        <x:v>DEC-PHY-V3-014</x:v>
      </x:c>
      <x:c r="B319" s="110" t="str">
        <x:v>VIS-PHY-DEC-025</x:v>
      </x:c>
      <x:c r="C319" s="110" t="str">
        <x:v>Физика</x:v>
      </x:c>
      <x:c r="D319" s="110" t="n">
        <x:v>14</x:v>
      </x:c>
      <x:c r="E319" s="110" t="str">
        <x:v>USE_CONTEXT</x:v>
      </x:c>
      <x:c r="F319" s="110" t="str">
        <x:v>QA_APPROVED</x:v>
      </x:c>
      <x:c r="G319" s="110" t="str">
        <x:v>visual_gallery/assets/cropped/59c7892dc8fad9a799bef72ac2f6bcaf8d88f6cfe989d45f8e05cff294cec62d.png</x:v>
      </x:c>
      <x:c r="H319" s="110" t="str">
        <x:v>59c7892dc8fad9a799bef72ac2f6bcaf8d88f6cfe989d45f8e05cff294cec62d</x:v>
      </x:c>
      <x:c r="I319" s="110" t="str">
        <x:v>8204b51f3b10addad916c8adbb748a0ab3414b5f4e85fc9d9c989e1e4fe6ef21</x:v>
      </x:c>
      <x:c r="J319" s="110" t="str"/>
      <x:c r="K319" s="110" t="str"/>
      <x:c r="L319" s="30" t="str"/>
      <x:c r="M319" s="110" t="e">
        <x:f>HYPERLINK("visual_gallery/index.html#DEC-PHY-V3-014--VIS-PHY-DEC-025","Галерея")</x:f>
      </x:c>
    </x:row>
    <x:row r="320" ht="24" customHeight="1">
      <x:c r="A320" s="110" t="str">
        <x:v>DEC-PHY-V3-015</x:v>
      </x:c>
      <x:c r="B320" s="110" t="str">
        <x:v>VIS-PHY-DEC-026</x:v>
      </x:c>
      <x:c r="C320" s="110" t="str">
        <x:v>Физика</x:v>
      </x:c>
      <x:c r="D320" s="110" t="n">
        <x:v>15</x:v>
      </x:c>
      <x:c r="E320" s="110" t="str">
        <x:v>USE_CONTEXT</x:v>
      </x:c>
      <x:c r="F320" s="110" t="str">
        <x:v>QA_APPROVED</x:v>
      </x:c>
      <x:c r="G320" s="110" t="str">
        <x:v>visual_gallery/assets/cropped/8ed2afd7cf99aa76dc289675a7cfd978a292ef61a0f67a1230b59cc884891446.png</x:v>
      </x:c>
      <x:c r="H320" s="110" t="str">
        <x:v>8ed2afd7cf99aa76dc289675a7cfd978a292ef61a0f67a1230b59cc884891446</x:v>
      </x:c>
      <x:c r="I320" s="110" t="str">
        <x:v>79574c9660604fda1fe62193db03cf93529fe14c59a920276a29810d6787d850</x:v>
      </x:c>
      <x:c r="J320" s="110" t="str"/>
      <x:c r="K320" s="110" t="str"/>
      <x:c r="L320" s="30" t="str"/>
      <x:c r="M320" s="110" t="e">
        <x:f>HYPERLINK("visual_gallery/index.html#DEC-PHY-V3-015--VIS-PHY-DEC-026","Галерея")</x:f>
      </x:c>
    </x:row>
    <x:row r="321" ht="24" customHeight="1">
      <x:c r="A321" s="110" t="str">
        <x:v>DEC-PHY-V3-021</x:v>
      </x:c>
      <x:c r="B321" s="110" t="str">
        <x:v>VIS-PHY-DEC-029</x:v>
      </x:c>
      <x:c r="C321" s="110" t="str">
        <x:v>Физика</x:v>
      </x:c>
      <x:c r="D321" s="110" t="n">
        <x:v>21</x:v>
      </x:c>
      <x:c r="E321" s="110" t="str">
        <x:v>USE_CONTEXT</x:v>
      </x:c>
      <x:c r="F321" s="110" t="str">
        <x:v>QA_APPROVED</x:v>
      </x:c>
      <x:c r="G321" s="110" t="str">
        <x:v>visual_gallery/assets/cropped/91b35cbf78386d6bacff93480f053ef2ff1411a7ac80099f491bddb62c46e810.png</x:v>
      </x:c>
      <x:c r="H321" s="110" t="str">
        <x:v>91b35cbf78386d6bacff93480f053ef2ff1411a7ac80099f491bddb62c46e810</x:v>
      </x:c>
      <x:c r="I321" s="110" t="str">
        <x:v>d35061d12758aeceaaae3f8c83a5f9c4cd5c65b503ddfec46298f2ebc0c1e8dd</x:v>
      </x:c>
      <x:c r="J321" s="110" t="str"/>
      <x:c r="K321" s="110" t="str"/>
      <x:c r="L321" s="30" t="str"/>
      <x:c r="M321" s="110" t="e">
        <x:f>HYPERLINK("visual_gallery/index.html#DEC-PHY-V3-021--VIS-PHY-DEC-029","Галерея")</x:f>
      </x:c>
    </x:row>
    <x:row r="322" ht="24" customHeight="1">
      <x:c r="A322" s="110" t="str">
        <x:v>DEC-PHY-V3-025</x:v>
      </x:c>
      <x:c r="B322" s="110" t="str">
        <x:v>VIS-PHY-DEC-030</x:v>
      </x:c>
      <x:c r="C322" s="110" t="str">
        <x:v>Физика</x:v>
      </x:c>
      <x:c r="D322" s="110" t="n">
        <x:v>25</x:v>
      </x:c>
      <x:c r="E322" s="110" t="str">
        <x:v>USE_CONTEXT</x:v>
      </x:c>
      <x:c r="F322" s="110" t="str">
        <x:v>QA_APPROVED</x:v>
      </x:c>
      <x:c r="G322" s="110" t="str">
        <x:v>visual_gallery/assets/cropped/dd5d1655ff4e149cde730ad963e94d6dd29686df07116ee47e8ce179db5c1f29.png</x:v>
      </x:c>
      <x:c r="H322" s="110" t="str">
        <x:v>dd5d1655ff4e149cde730ad963e94d6dd29686df07116ee47e8ce179db5c1f29</x:v>
      </x:c>
      <x:c r="I322" s="110" t="str">
        <x:v>0f84c141f6e04b166a49583dc8689336552f13ba0cdf6a8aede17ea45097872d</x:v>
      </x:c>
      <x:c r="J322" s="110" t="str"/>
      <x:c r="K322" s="110" t="str"/>
      <x:c r="L322" s="30" t="str"/>
      <x:c r="M322" s="110" t="e">
        <x:f>HYPERLINK("visual_gallery/index.html#DEC-PHY-V3-025--VIS-PHY-DEC-030","Галерея")</x:f>
      </x:c>
    </x:row>
    <x:row r="323" ht="24" customHeight="1">
      <x:c r="A323" s="110" t="str">
        <x:v>DEC-PHY-V3-026</x:v>
      </x:c>
      <x:c r="B323" s="110" t="str">
        <x:v>VIS-PHY-DEC-030</x:v>
      </x:c>
      <x:c r="C323" s="110" t="str">
        <x:v>Физика</x:v>
      </x:c>
      <x:c r="D323" s="110" t="n">
        <x:v>26</x:v>
      </x:c>
      <x:c r="E323" s="110" t="str">
        <x:v>USE_CONTEXT</x:v>
      </x:c>
      <x:c r="F323" s="110" t="str">
        <x:v>QA_APPROVED</x:v>
      </x:c>
      <x:c r="G323" s="110" t="str">
        <x:v>visual_gallery/assets/cropped/d3fe5500907d97c52ba2ff46f37e8ce4ed89f1f7e309cb775287698519ea6783.png</x:v>
      </x:c>
      <x:c r="H323" s="110" t="str">
        <x:v>d3fe5500907d97c52ba2ff46f37e8ce4ed89f1f7e309cb775287698519ea6783</x:v>
      </x:c>
      <x:c r="I323" s="110" t="str">
        <x:v>0f84c141f6e04b166a49583dc8689336552f13ba0cdf6a8aede17ea45097872d</x:v>
      </x:c>
      <x:c r="J323" s="110" t="str"/>
      <x:c r="K323" s="110" t="str"/>
      <x:c r="L323" s="30" t="str"/>
      <x:c r="M323" s="110" t="e">
        <x:f>HYPERLINK("visual_gallery/index.html#DEC-PHY-V3-026--VIS-PHY-DEC-030","Галерея")</x:f>
      </x:c>
    </x:row>
    <x:row r="324" ht="24" customHeight="1">
      <x:c r="A324" s="110" t="str">
        <x:v>DEC-PHY-V4-001</x:v>
      </x:c>
      <x:c r="B324" s="110" t="str">
        <x:v>VIS-PHY-DEC-031</x:v>
      </x:c>
      <x:c r="C324" s="110" t="str">
        <x:v>Физика</x:v>
      </x:c>
      <x:c r="D324" s="110" t="n">
        <x:v>1</x:v>
      </x:c>
      <x:c r="E324" s="110" t="str">
        <x:v>USE_CONTEXT</x:v>
      </x:c>
      <x:c r="F324" s="110" t="str">
        <x:v>QA_APPROVED</x:v>
      </x:c>
      <x:c r="G324" s="110" t="str">
        <x:v>visual_gallery/assets/cropped/3c48201d4d51a1882958c3a4c150d9bebfea92e0622dad239f193de2283ba993.png</x:v>
      </x:c>
      <x:c r="H324" s="110" t="str">
        <x:v>3c48201d4d51a1882958c3a4c150d9bebfea92e0622dad239f193de2283ba993</x:v>
      </x:c>
      <x:c r="I324" s="110" t="str">
        <x:v>9487b5ea5e534c2e612bafed7295fe2904902324ab6ad9ae163cb127b528a2f3</x:v>
      </x:c>
      <x:c r="J324" s="110" t="str"/>
      <x:c r="K324" s="110" t="str"/>
      <x:c r="L324" s="30" t="str"/>
      <x:c r="M324" s="110" t="e">
        <x:f>HYPERLINK("visual_gallery/index.html#DEC-PHY-V4-001--VIS-PHY-DEC-031","Галерея")</x:f>
      </x:c>
    </x:row>
    <x:row r="325" ht="24" customHeight="1">
      <x:c r="A325" s="110" t="str">
        <x:v>DEC-PHY-V4-005</x:v>
      </x:c>
      <x:c r="B325" s="110" t="str">
        <x:v>VIS-PHY-DEC-032</x:v>
      </x:c>
      <x:c r="C325" s="110" t="str">
        <x:v>Физика</x:v>
      </x:c>
      <x:c r="D325" s="110" t="n">
        <x:v>5</x:v>
      </x:c>
      <x:c r="E325" s="110" t="str">
        <x:v>USE_TIGHT</x:v>
      </x:c>
      <x:c r="F325" s="110" t="str">
        <x:v>QA_APPROVED</x:v>
      </x:c>
      <x:c r="G325" s="110" t="str">
        <x:v>visual_gallery/assets/cropped/73594cb0b7a41e1f4bf02c49764f9c64b525a988caf0d834e870a2cbe13c158f.png</x:v>
      </x:c>
      <x:c r="H325" s="110" t="str">
        <x:v>73594cb0b7a41e1f4bf02c49764f9c64b525a988caf0d834e870a2cbe13c158f</x:v>
      </x:c>
      <x:c r="I325" s="110" t="str">
        <x:v>fe67e07e2f64e883e2684d143e26fc6cb40cfcf63fe3fac29a5ad0dfb5cb88db</x:v>
      </x:c>
      <x:c r="J325" s="110" t="str"/>
      <x:c r="K325" s="110" t="str"/>
      <x:c r="L325" s="30" t="str"/>
      <x:c r="M325" s="110" t="e">
        <x:f>HYPERLINK("visual_gallery/index.html#DEC-PHY-V4-005--VIS-PHY-DEC-032","Галерея")</x:f>
      </x:c>
    </x:row>
    <x:row r="326" ht="24" customHeight="1">
      <x:c r="A326" s="110" t="str">
        <x:v>DEC-PHY-V4-006</x:v>
      </x:c>
      <x:c r="B326" s="110" t="str">
        <x:v>VIS-PHY-DEC-033</x:v>
      </x:c>
      <x:c r="C326" s="110" t="str">
        <x:v>Физика</x:v>
      </x:c>
      <x:c r="D326" s="110" t="n">
        <x:v>6</x:v>
      </x:c>
      <x:c r="E326" s="110" t="str">
        <x:v>COMPOSITE_CROP</x:v>
      </x:c>
      <x:c r="F326" s="110" t="str">
        <x:v>QA_APPROVED</x:v>
      </x:c>
      <x:c r="G326" s="110" t="str">
        <x:v>visual_gallery/assets/cropped/34384a923ef2af3d9b69912777daaca24106303ba0898b7911215e96d5d2257b.png</x:v>
      </x:c>
      <x:c r="H326" s="110" t="str">
        <x:v>34384a923ef2af3d9b69912777daaca24106303ba0898b7911215e96d5d2257b</x:v>
      </x:c>
      <x:c r="I326" s="110" t="str">
        <x:v>e99388231ff1fbba8a2676d3c7c9133021ed91134ea30b759b879f9444ff3c52</x:v>
      </x:c>
      <x:c r="J326" s="110" t="str"/>
      <x:c r="K326" s="110" t="str">
        <x:v>[[480, 215, 815, 505], [105, 680, 435, 1070]]</x:v>
      </x:c>
      <x:c r="L326" s="30" t="str">
        <x:v>Two-part composite: initial-velocity scheme, then graphs A and B.</x:v>
      </x:c>
      <x:c r="M326" s="110" t="e">
        <x:f>HYPERLINK("visual_gallery/index.html#DEC-PHY-V4-006--VIS-PHY-DEC-033","Галерея")</x:f>
      </x:c>
    </x:row>
    <x:row r="327" ht="24" customHeight="1">
      <x:c r="A327" s="110" t="str">
        <x:v>DEC-PHY-V4-009</x:v>
      </x:c>
      <x:c r="B327" s="110" t="str">
        <x:v>VIS-PHY-DEC-034</x:v>
      </x:c>
      <x:c r="C327" s="110" t="str">
        <x:v>Физика</x:v>
      </x:c>
      <x:c r="D327" s="110" t="n">
        <x:v>9</x:v>
      </x:c>
      <x:c r="E327" s="110" t="str">
        <x:v>USE_CONTEXT</x:v>
      </x:c>
      <x:c r="F327" s="110" t="str">
        <x:v>QA_APPROVED</x:v>
      </x:c>
      <x:c r="G327" s="110" t="str">
        <x:v>visual_gallery/assets/cropped/88310ac31e4ebcaf8ef5d19f68facaac48b4036aa1bb95ed84baaadf55f340cc.png</x:v>
      </x:c>
      <x:c r="H327" s="110" t="str">
        <x:v>88310ac31e4ebcaf8ef5d19f68facaac48b4036aa1bb95ed84baaadf55f340cc</x:v>
      </x:c>
      <x:c r="I327" s="110" t="str">
        <x:v>2e319bed738b8b59edef6fe80a2f2a7d5beb27c9d8c31a4fd290919696c46209</x:v>
      </x:c>
      <x:c r="J327" s="110" t="str"/>
      <x:c r="K327" s="110" t="str"/>
      <x:c r="L327" s="30" t="str"/>
      <x:c r="M327" s="110" t="e">
        <x:f>HYPERLINK("visual_gallery/index.html#DEC-PHY-V4-009--VIS-PHY-DEC-034","Галерея")</x:f>
      </x:c>
    </x:row>
    <x:row r="328" ht="24" customHeight="1">
      <x:c r="A328" s="110" t="str">
        <x:v>DEC-PHY-V4-014</x:v>
      </x:c>
      <x:c r="B328" s="110" t="str">
        <x:v>VIS-PHY-DEC-035</x:v>
      </x:c>
      <x:c r="C328" s="110" t="str">
        <x:v>Физика</x:v>
      </x:c>
      <x:c r="D328" s="110" t="n">
        <x:v>14</x:v>
      </x:c>
      <x:c r="E328" s="110" t="str">
        <x:v>USE_CONTEXT</x:v>
      </x:c>
      <x:c r="F328" s="110" t="str">
        <x:v>QA_APPROVED</x:v>
      </x:c>
      <x:c r="G328" s="110" t="str">
        <x:v>visual_gallery/assets/cropped/59c7892dc8fad9a799bef72ac2f6bcaf8d88f6cfe989d45f8e05cff294cec62d.png</x:v>
      </x:c>
      <x:c r="H328" s="110" t="str">
        <x:v>59c7892dc8fad9a799bef72ac2f6bcaf8d88f6cfe989d45f8e05cff294cec62d</x:v>
      </x:c>
      <x:c r="I328" s="110" t="str">
        <x:v>98fd61e69f0fe951019b841c7f7bd891520ad8c351b14846b513754ada40b3c5</x:v>
      </x:c>
      <x:c r="J328" s="110" t="str"/>
      <x:c r="K328" s="110" t="str"/>
      <x:c r="L328" s="30" t="str"/>
      <x:c r="M328" s="110" t="e">
        <x:f>HYPERLINK("visual_gallery/index.html#DEC-PHY-V4-014--VIS-PHY-DEC-035","Галерея")</x:f>
      </x:c>
    </x:row>
    <x:row r="329" ht="24" customHeight="1">
      <x:c r="A329" s="110" t="str">
        <x:v>DEC-PHY-V4-015</x:v>
      </x:c>
      <x:c r="B329" s="110" t="str">
        <x:v>VIS-PHY-DEC-036</x:v>
      </x:c>
      <x:c r="C329" s="110" t="str">
        <x:v>Физика</x:v>
      </x:c>
      <x:c r="D329" s="110" t="n">
        <x:v>15</x:v>
      </x:c>
      <x:c r="E329" s="110" t="str">
        <x:v>USE_CONTEXT</x:v>
      </x:c>
      <x:c r="F329" s="110" t="str">
        <x:v>QA_APPROVED</x:v>
      </x:c>
      <x:c r="G329" s="110" t="str">
        <x:v>visual_gallery/assets/cropped/eb97d6d3909afaaf5b0d5f7db2bde7691450cbb08f0b1351ac90ba40d85dd388.png</x:v>
      </x:c>
      <x:c r="H329" s="110" t="str">
        <x:v>eb97d6d3909afaaf5b0d5f7db2bde7691450cbb08f0b1351ac90ba40d85dd388</x:v>
      </x:c>
      <x:c r="I329" s="110" t="str">
        <x:v>107bee337dfbd102fe8bf3a6ddb9c43d5bc048dc4b3258f14e7dce698874da25</x:v>
      </x:c>
      <x:c r="J329" s="110" t="str"/>
      <x:c r="K329" s="110" t="str"/>
      <x:c r="L329" s="30" t="str"/>
      <x:c r="M329" s="110" t="e">
        <x:f>HYPERLINK("visual_gallery/index.html#DEC-PHY-V4-015--VIS-PHY-DEC-036","Галерея")</x:f>
      </x:c>
    </x:row>
    <x:row r="330" ht="24" customHeight="1">
      <x:c r="A330" s="110" t="str">
        <x:v>DEC-PHY-V4-021</x:v>
      </x:c>
      <x:c r="B330" s="110" t="str">
        <x:v>VIS-PHY-DEC-038</x:v>
      </x:c>
      <x:c r="C330" s="110" t="str">
        <x:v>Физика</x:v>
      </x:c>
      <x:c r="D330" s="110" t="n">
        <x:v>21</x:v>
      </x:c>
      <x:c r="E330" s="110" t="str">
        <x:v>USE_CONTEXT</x:v>
      </x:c>
      <x:c r="F330" s="110" t="str">
        <x:v>QA_APPROVED</x:v>
      </x:c>
      <x:c r="G330" s="110" t="str">
        <x:v>visual_gallery/assets/cropped/c867eca497ac81bbfa8eaf8a777247deb4551eda5de512ab42d719e3dd56bf4d.png</x:v>
      </x:c>
      <x:c r="H330" s="110" t="str">
        <x:v>c867eca497ac81bbfa8eaf8a777247deb4551eda5de512ab42d719e3dd56bf4d</x:v>
      </x:c>
      <x:c r="I330" s="110" t="str">
        <x:v>0f60e9a6bf1dc5cea30446e8a3930b0c4d28c4a61d03ca199a826a777ccbb191</x:v>
      </x:c>
      <x:c r="J330" s="110" t="str"/>
      <x:c r="K330" s="110" t="str"/>
      <x:c r="L330" s="30" t="str"/>
      <x:c r="M330" s="110" t="e">
        <x:f>HYPERLINK("visual_gallery/index.html#DEC-PHY-V4-021--VIS-PHY-DEC-038","Галерея")</x:f>
      </x:c>
    </x:row>
    <x:row r="331" ht="24" customHeight="1">
      <x:c r="A331" s="110" t="str">
        <x:v>DEC-PHY-V4-025</x:v>
      </x:c>
      <x:c r="B331" s="110" t="str">
        <x:v>VIS-PHY-DEC-039</x:v>
      </x:c>
      <x:c r="C331" s="110" t="str">
        <x:v>Физика</x:v>
      </x:c>
      <x:c r="D331" s="110" t="n">
        <x:v>25</x:v>
      </x:c>
      <x:c r="E331" s="110" t="str">
        <x:v>USE_CONTEXT</x:v>
      </x:c>
      <x:c r="F331" s="110" t="str">
        <x:v>QA_APPROVED</x:v>
      </x:c>
      <x:c r="G331" s="110" t="str">
        <x:v>visual_gallery/assets/cropped/9182db9065045edc915e6452551de5849fa53b6678bc6a845faa41f26e2ee556.png</x:v>
      </x:c>
      <x:c r="H331" s="110" t="str">
        <x:v>9182db9065045edc915e6452551de5849fa53b6678bc6a845faa41f26e2ee556</x:v>
      </x:c>
      <x:c r="I331" s="110" t="str">
        <x:v>b2f7cf146a07ddade8b6bcdb2718a59d9d5ea7df18a36bdcc048e51ed06e80f2</x:v>
      </x:c>
      <x:c r="J331" s="110" t="str"/>
      <x:c r="K331" s="110" t="str"/>
      <x:c r="L331" s="30" t="str"/>
      <x:c r="M331" s="110" t="e">
        <x:f>HYPERLINK("visual_gallery/index.html#DEC-PHY-V4-025--VIS-PHY-DEC-039","Галерея")</x:f>
      </x:c>
    </x:row>
    <x:row r="332" ht="24" customHeight="1">
      <x:c r="A332" s="110" t="str">
        <x:v>DEC-PHY-V4-026</x:v>
      </x:c>
      <x:c r="B332" s="110" t="str">
        <x:v>VIS-PHY-DEC-039</x:v>
      </x:c>
      <x:c r="C332" s="110" t="str">
        <x:v>Физика</x:v>
      </x:c>
      <x:c r="D332" s="110" t="n">
        <x:v>26</x:v>
      </x:c>
      <x:c r="E332" s="110" t="str">
        <x:v>USE_CONTEXT</x:v>
      </x:c>
      <x:c r="F332" s="110" t="str">
        <x:v>QA_APPROVED</x:v>
      </x:c>
      <x:c r="G332" s="110" t="str">
        <x:v>visual_gallery/assets/cropped/b266184f957616b9acf119caec5c5d6625ae4392e1ce4d83b7ade50fa8b3777e.png</x:v>
      </x:c>
      <x:c r="H332" s="110" t="str">
        <x:v>b266184f957616b9acf119caec5c5d6625ae4392e1ce4d83b7ade50fa8b3777e</x:v>
      </x:c>
      <x:c r="I332" s="110" t="str">
        <x:v>b2f7cf146a07ddade8b6bcdb2718a59d9d5ea7df18a36bdcc048e51ed06e80f2</x:v>
      </x:c>
      <x:c r="J332" s="110" t="str"/>
      <x:c r="K332" s="110" t="str"/>
      <x:c r="L332" s="30" t="str"/>
      <x:c r="M332" s="110" t="e">
        <x:f>HYPERLINK("visual_gallery/index.html#DEC-PHY-V4-026--VIS-PHY-DEC-039","Галерея")</x:f>
      </x:c>
    </x:row>
    <x:row r="333" ht="24" customHeight="1">
      <x:c r="A333" s="110" t="str">
        <x:v>OCT-PHYS-101-001</x:v>
      </x:c>
      <x:c r="B333" s="110" t="str">
        <x:v>VIS-PHYS-OCT-001</x:v>
      </x:c>
      <x:c r="C333" s="110" t="str">
        <x:v>Физика</x:v>
      </x:c>
      <x:c r="D333" s="110" t="n">
        <x:v>1</x:v>
      </x:c>
      <x:c r="E333" s="110" t="str">
        <x:v>USE_CONTEXT</x:v>
      </x:c>
      <x:c r="F333" s="110" t="str">
        <x:v>QA_APPROVED</x:v>
      </x:c>
      <x:c r="G333" s="110" t="str">
        <x:v>visual_gallery/assets/cropped/7dc80324e22b7ead57e91cbeee86e95b7ce0d4cefdcc83a25f7b479ad35a9661.png</x:v>
      </x:c>
      <x:c r="H333" s="110" t="str">
        <x:v>7dc80324e22b7ead57e91cbeee86e95b7ce0d4cefdcc83a25f7b479ad35a9661</x:v>
      </x:c>
      <x:c r="I333" s="110" t="str">
        <x:v>54c0d21fb93ec8c6551ce2cb613543f6720c0bbf265468646f4fade6399f6c07</x:v>
      </x:c>
      <x:c r="J333" s="110" t="str"/>
      <x:c r="K333" s="110" t="str"/>
      <x:c r="L333" s="30" t="str"/>
      <x:c r="M333" s="110" t="e">
        <x:f>HYPERLINK("visual_gallery/index.html#OCT-PHYS-101-001--VIS-PHYS-OCT-001","Галерея")</x:f>
      </x:c>
    </x:row>
    <x:row r="334" ht="24" customHeight="1">
      <x:c r="A334" s="110" t="str">
        <x:v>OCT-PHYS-101-005</x:v>
      </x:c>
      <x:c r="B334" s="110" t="str">
        <x:v>VIS-PHYS-OCT-002</x:v>
      </x:c>
      <x:c r="C334" s="110" t="str">
        <x:v>Физика</x:v>
      </x:c>
      <x:c r="D334" s="110" t="n">
        <x:v>5</x:v>
      </x:c>
      <x:c r="E334" s="110" t="str">
        <x:v>USE_CONTEXT</x:v>
      </x:c>
      <x:c r="F334" s="110" t="str">
        <x:v>QA_APPROVED</x:v>
      </x:c>
      <x:c r="G334" s="110" t="str">
        <x:v>visual_gallery/assets/cropped/77ab8c547fc623f29146f8a14cee1651c4d696c3d434ef5dcbf3ce0060ab2ee2.png</x:v>
      </x:c>
      <x:c r="H334" s="110" t="str">
        <x:v>77ab8c547fc623f29146f8a14cee1651c4d696c3d434ef5dcbf3ce0060ab2ee2</x:v>
      </x:c>
      <x:c r="I334" s="110" t="str">
        <x:v>6764cd24c0654afe63674d3b19b4b3e4ddd62b72843bb43c9f1d0d90fbf3fac9</x:v>
      </x:c>
      <x:c r="J334" s="110" t="str"/>
      <x:c r="K334" s="110" t="str"/>
      <x:c r="L334" s="30" t="str"/>
      <x:c r="M334" s="110" t="e">
        <x:f>HYPERLINK("visual_gallery/index.html#OCT-PHYS-101-005--VIS-PHYS-OCT-002","Галерея")</x:f>
      </x:c>
    </x:row>
    <x:row r="335" ht="24" customHeight="1">
      <x:c r="A335" s="110" t="str">
        <x:v>OCT-PHYS-101-006</x:v>
      </x:c>
      <x:c r="B335" s="110" t="str">
        <x:v>VIS-PHYS-OCT-003</x:v>
      </x:c>
      <x:c r="C335" s="110" t="str">
        <x:v>Физика</x:v>
      </x:c>
      <x:c r="D335" s="110" t="n">
        <x:v>6</x:v>
      </x:c>
      <x:c r="E335" s="110" t="str">
        <x:v>USE_TIGHT</x:v>
      </x:c>
      <x:c r="F335" s="110" t="str">
        <x:v>QA_APPROVED</x:v>
      </x:c>
      <x:c r="G335" s="110" t="str">
        <x:v>visual_gallery/assets/cropped/fd819b1b4fad397969ac7b2bfa3ef6e020e7cc873e0224aa80e259d3ab306f6d.png</x:v>
      </x:c>
      <x:c r="H335" s="110" t="str">
        <x:v>fd819b1b4fad397969ac7b2bfa3ef6e020e7cc873e0224aa80e259d3ab306f6d</x:v>
      </x:c>
      <x:c r="I335" s="110" t="str">
        <x:v>2fdb67e4281ccc9340f411ce07f519798c18ed67d218f6a4afe191bd8cd97aca</x:v>
      </x:c>
      <x:c r="J335" s="110" t="str"/>
      <x:c r="K335" s="110" t="str"/>
      <x:c r="L335" s="30" t="str"/>
      <x:c r="M335" s="110" t="e">
        <x:f>HYPERLINK("visual_gallery/index.html#OCT-PHYS-101-006--VIS-PHYS-OCT-003","Галерея")</x:f>
      </x:c>
    </x:row>
    <x:row r="336" ht="24" customHeight="1">
      <x:c r="A336" s="110" t="str">
        <x:v>OCT-PHYS-101-008</x:v>
      </x:c>
      <x:c r="B336" s="110" t="str">
        <x:v>VIS-PHYS-OCT-004</x:v>
      </x:c>
      <x:c r="C336" s="110" t="str">
        <x:v>Физика</x:v>
      </x:c>
      <x:c r="D336" s="110" t="n">
        <x:v>8</x:v>
      </x:c>
      <x:c r="E336" s="110" t="str">
        <x:v>USE_CONTEXT</x:v>
      </x:c>
      <x:c r="F336" s="110" t="str">
        <x:v>QA_APPROVED</x:v>
      </x:c>
      <x:c r="G336" s="110" t="str">
        <x:v>visual_gallery/assets/cropped/fe5975953b63666c26bafe39cfd041b8ea2ff537fa208707fe6d089150b70159.png</x:v>
      </x:c>
      <x:c r="H336" s="110" t="str">
        <x:v>fe5975953b63666c26bafe39cfd041b8ea2ff537fa208707fe6d089150b70159</x:v>
      </x:c>
      <x:c r="I336" s="110" t="str">
        <x:v>6f5dace647869b69ec084cdcb1fbafdf7e64dc48370fd5788edc24a5feb10ed8</x:v>
      </x:c>
      <x:c r="J336" s="110" t="str"/>
      <x:c r="K336" s="110" t="str"/>
      <x:c r="L336" s="30" t="str"/>
      <x:c r="M336" s="110" t="e">
        <x:f>HYPERLINK("visual_gallery/index.html#OCT-PHYS-101-008--VIS-PHYS-OCT-004","Галерея")</x:f>
      </x:c>
    </x:row>
    <x:row r="337" ht="24" customHeight="1">
      <x:c r="A337" s="110" t="str">
        <x:v>OCT-PHYS-101-010</x:v>
      </x:c>
      <x:c r="B337" s="110" t="str">
        <x:v>VIS-PHYS-OCT-005</x:v>
      </x:c>
      <x:c r="C337" s="110" t="str">
        <x:v>Физика</x:v>
      </x:c>
      <x:c r="D337" s="110" t="n">
        <x:v>10</x:v>
      </x:c>
      <x:c r="E337" s="110" t="str">
        <x:v>USE_CONTEXT</x:v>
      </x:c>
      <x:c r="F337" s="110" t="str">
        <x:v>QA_APPROVED</x:v>
      </x:c>
      <x:c r="G337" s="110" t="str">
        <x:v>visual_gallery/assets/cropped/987cde2399b3ca062962c9be32ce1031403090e06a4dc7fcc78d826345c6168b.png</x:v>
      </x:c>
      <x:c r="H337" s="110" t="str">
        <x:v>987cde2399b3ca062962c9be32ce1031403090e06a4dc7fcc78d826345c6168b</x:v>
      </x:c>
      <x:c r="I337" s="110" t="str">
        <x:v>ae7f2d6cbcba93147f9ceeb34690114914367ab73e16acad81213c06ba33f501</x:v>
      </x:c>
      <x:c r="J337" s="110" t="str"/>
      <x:c r="K337" s="110" t="str"/>
      <x:c r="L337" s="30" t="str"/>
      <x:c r="M337" s="110" t="e">
        <x:f>HYPERLINK("visual_gallery/index.html#OCT-PHYS-101-010--VIS-PHYS-OCT-005","Галерея")</x:f>
      </x:c>
    </x:row>
    <x:row r="338" ht="24" customHeight="1">
      <x:c r="A338" s="110" t="str">
        <x:v>OCT-PHYS-101-014</x:v>
      </x:c>
      <x:c r="B338" s="110" t="str">
        <x:v>VIS-PHYS-OCT-006</x:v>
      </x:c>
      <x:c r="C338" s="110" t="str">
        <x:v>Физика</x:v>
      </x:c>
      <x:c r="D338" s="110" t="n">
        <x:v>14</x:v>
      </x:c>
      <x:c r="E338" s="110" t="str">
        <x:v>USE_TIGHT</x:v>
      </x:c>
      <x:c r="F338" s="110" t="str">
        <x:v>QA_APPROVED</x:v>
      </x:c>
      <x:c r="G338" s="110" t="str">
        <x:v>visual_gallery/assets/cropped/769fed6d16a028a87f322b6b88bcdd98441e0ce516d140a53948133a758ba714.png</x:v>
      </x:c>
      <x:c r="H338" s="110" t="str">
        <x:v>769fed6d16a028a87f322b6b88bcdd98441e0ce516d140a53948133a758ba714</x:v>
      </x:c>
      <x:c r="I338" s="110" t="str">
        <x:v>29c3fde438edbec71f3f4920dc619d809000a01762a0dec9000dd08e237890c1</x:v>
      </x:c>
      <x:c r="J338" s="110" t="str"/>
      <x:c r="K338" s="110" t="str"/>
      <x:c r="L338" s="30" t="str"/>
      <x:c r="M338" s="110" t="e">
        <x:f>HYPERLINK("visual_gallery/index.html#OCT-PHYS-101-014--VIS-PHYS-OCT-006","Галерея")</x:f>
      </x:c>
    </x:row>
    <x:row r="339" ht="24" customHeight="1">
      <x:c r="A339" s="110" t="str">
        <x:v>OCT-PHYS-101-017</x:v>
      </x:c>
      <x:c r="B339" s="110" t="str">
        <x:v>VIS-PHYS-OCT-007</x:v>
      </x:c>
      <x:c r="C339" s="110" t="str">
        <x:v>Физика</x:v>
      </x:c>
      <x:c r="D339" s="110" t="n">
        <x:v>17</x:v>
      </x:c>
      <x:c r="E339" s="110" t="str">
        <x:v>NO_CROP_NEEDED</x:v>
      </x:c>
      <x:c r="F339" s="110" t="str">
        <x:v>KEEP_ORIGINAL_NO_CROP</x:v>
      </x:c>
      <x:c r="G339" s="110" t="str"/>
      <x:c r="H339" s="110" t="str"/>
      <x:c r="I339" s="110" t="str">
        <x:v>27428cc903333719b36f1b5b3957c72803371e520b999bf4b32528393c7b0a00</x:v>
      </x:c>
      <x:c r="J339" s="110" t="str"/>
      <x:c r="K339" s="110" t="str"/>
      <x:c r="L339" s="30" t="str">
        <x:v>The answer table only repeats quantities already stated in the task text.</x:v>
      </x:c>
      <x:c r="M339" s="110" t="e">
        <x:f>HYPERLINK("visual_gallery/index.html#OCT-PHYS-101-017--VIS-PHYS-OCT-007","Статус")</x:f>
      </x:c>
    </x:row>
    <x:row r="340" ht="24" customHeight="1">
      <x:c r="A340" s="110" t="str">
        <x:v>OCT-PHYS-101-019</x:v>
      </x:c>
      <x:c r="B340" s="110" t="str">
        <x:v>VIS-PHYS-OCT-008</x:v>
      </x:c>
      <x:c r="C340" s="110" t="str">
        <x:v>Физика</x:v>
      </x:c>
      <x:c r="D340" s="110" t="n">
        <x:v>19</x:v>
      </x:c>
      <x:c r="E340" s="110" t="str">
        <x:v>USE_TIGHT</x:v>
      </x:c>
      <x:c r="F340" s="110" t="str">
        <x:v>QA_APPROVED</x:v>
      </x:c>
      <x:c r="G340" s="110" t="str">
        <x:v>visual_gallery/assets/cropped/9fc6e78df5f838580a7a1bb8b2bb96291fbe695c2c8d318798cff47ec5af7522.png</x:v>
      </x:c>
      <x:c r="H340" s="110" t="str">
        <x:v>9fc6e78df5f838580a7a1bb8b2bb96291fbe695c2c8d318798cff47ec5af7522</x:v>
      </x:c>
      <x:c r="I340" s="110" t="str">
        <x:v>5c9c0b81103349cda5869bc4b0a5abc00537c0c8cc63a3bd7f698e30659c3862</x:v>
      </x:c>
      <x:c r="J340" s="110" t="str"/>
      <x:c r="K340" s="110" t="str"/>
      <x:c r="L340" s="30" t="str"/>
      <x:c r="M340" s="110" t="e">
        <x:f>HYPERLINK("visual_gallery/index.html#OCT-PHYS-101-019--VIS-PHYS-OCT-008","Галерея")</x:f>
      </x:c>
    </x:row>
    <x:row r="341" ht="24" customHeight="1">
      <x:c r="A341" s="110" t="str">
        <x:v>OCT-PHYS-101-021</x:v>
      </x:c>
      <x:c r="B341" s="110" t="str">
        <x:v>VIS-PHYS-OCT-010</x:v>
      </x:c>
      <x:c r="C341" s="110" t="str">
        <x:v>Физика</x:v>
      </x:c>
      <x:c r="D341" s="110" t="n">
        <x:v>21</x:v>
      </x:c>
      <x:c r="E341" s="110" t="str">
        <x:v>USE_TIGHT</x:v>
      </x:c>
      <x:c r="F341" s="110" t="str">
        <x:v>QA_APPROVED</x:v>
      </x:c>
      <x:c r="G341" s="110" t="str">
        <x:v>visual_gallery/assets/cropped/17434291b104c49bb74ea16324288fb2506e4393da29dc6e08107699e8d25152.png</x:v>
      </x:c>
      <x:c r="H341" s="110" t="str">
        <x:v>17434291b104c49bb74ea16324288fb2506e4393da29dc6e08107699e8d25152</x:v>
      </x:c>
      <x:c r="I341" s="110" t="str">
        <x:v>6550484ef681f68e32affd133e0cc0cf053ab95e5c903c1b37eb2f1a184b7c24</x:v>
      </x:c>
      <x:c r="J341" s="110" t="str"/>
      <x:c r="K341" s="110" t="str"/>
      <x:c r="L341" s="30" t="str"/>
      <x:c r="M341" s="110" t="e">
        <x:f>HYPERLINK("visual_gallery/index.html#OCT-PHYS-101-021--VIS-PHYS-OCT-010","Галерея")</x:f>
      </x:c>
    </x:row>
    <x:row r="342" ht="24" customHeight="1">
      <x:c r="A342" s="110" t="str">
        <x:v>OCT-PHYS-101-024</x:v>
      </x:c>
      <x:c r="B342" s="110" t="str">
        <x:v>VIS-PHYS-OCT-011</x:v>
      </x:c>
      <x:c r="C342" s="110" t="str">
        <x:v>Физика</x:v>
      </x:c>
      <x:c r="D342" s="110" t="n">
        <x:v>24</x:v>
      </x:c>
      <x:c r="E342" s="110" t="str">
        <x:v>USE_CONTEXT</x:v>
      </x:c>
      <x:c r="F342" s="110" t="str">
        <x:v>QA_APPROVED</x:v>
      </x:c>
      <x:c r="G342" s="110" t="str">
        <x:v>visual_gallery/assets/cropped/9b126996a4318a3c9386c48639e7d805bfa3b507839964bb9b57cfdbe6993893.png</x:v>
      </x:c>
      <x:c r="H342" s="110" t="str">
        <x:v>9b126996a4318a3c9386c48639e7d805bfa3b507839964bb9b57cfdbe6993893</x:v>
      </x:c>
      <x:c r="I342" s="110" t="str">
        <x:v>fcd1d306a8c3a559f54c8ba53af7acef9b7559c5c02c27945e1d6560a0f83743</x:v>
      </x:c>
      <x:c r="J342" s="110" t="str"/>
      <x:c r="K342" s="110" t="str"/>
      <x:c r="L342" s="30" t="str"/>
      <x:c r="M342" s="110" t="e">
        <x:f>HYPERLINK("visual_gallery/index.html#OCT-PHYS-101-024--VIS-PHYS-OCT-011","Галерея")</x:f>
      </x:c>
    </x:row>
    <x:row r="343" ht="24" customHeight="1">
      <x:c r="A343" s="110" t="str">
        <x:v>OCT-PHYS-101-025</x:v>
      </x:c>
      <x:c r="B343" s="110" t="str">
        <x:v>VIS-PHYS-OCT-012</x:v>
      </x:c>
      <x:c r="C343" s="110" t="str">
        <x:v>Физика</x:v>
      </x:c>
      <x:c r="D343" s="110" t="n">
        <x:v>25</x:v>
      </x:c>
      <x:c r="E343" s="110" t="str">
        <x:v>USE_CONTEXT</x:v>
      </x:c>
      <x:c r="F343" s="110" t="str">
        <x:v>QA_APPROVED</x:v>
      </x:c>
      <x:c r="G343" s="110" t="str">
        <x:v>visual_gallery/assets/cropped/baf9ac044834d062d28f22455ee5d618a8602292df7222c5d291662255b308df.png</x:v>
      </x:c>
      <x:c r="H343" s="110" t="str">
        <x:v>baf9ac044834d062d28f22455ee5d618a8602292df7222c5d291662255b308df</x:v>
      </x:c>
      <x:c r="I343" s="110" t="str">
        <x:v>95083372d0f932f57d49e3a24986594e943dd4517006bd7efd0f9a8a87d7d2f3</x:v>
      </x:c>
      <x:c r="J343" s="110" t="str"/>
      <x:c r="K343" s="110" t="str"/>
      <x:c r="L343" s="30" t="str"/>
      <x:c r="M343" s="110" t="e">
        <x:f>HYPERLINK("visual_gallery/index.html#OCT-PHYS-101-025--VIS-PHYS-OCT-012","Галерея")</x:f>
      </x:c>
    </x:row>
    <x:row r="344" ht="24" customHeight="1">
      <x:c r="A344" s="110" t="str">
        <x:v>OCT-PHYS-101-026</x:v>
      </x:c>
      <x:c r="B344" s="110" t="str">
        <x:v>VIS-PHYS-OCT-012</x:v>
      </x:c>
      <x:c r="C344" s="110" t="str">
        <x:v>Физика</x:v>
      </x:c>
      <x:c r="D344" s="110" t="n">
        <x:v>26</x:v>
      </x:c>
      <x:c r="E344" s="110" t="str">
        <x:v>USE_TIGHT</x:v>
      </x:c>
      <x:c r="F344" s="110" t="str">
        <x:v>QA_APPROVED</x:v>
      </x:c>
      <x:c r="G344" s="110" t="str">
        <x:v>visual_gallery/assets/cropped/e18b7af96e8681310cdc3c4b732b24f586bca578167ba1e4bdbc69513f7874b5.png</x:v>
      </x:c>
      <x:c r="H344" s="110" t="str">
        <x:v>e18b7af96e8681310cdc3c4b732b24f586bca578167ba1e4bdbc69513f7874b5</x:v>
      </x:c>
      <x:c r="I344" s="110" t="str">
        <x:v>95083372d0f932f57d49e3a24986594e943dd4517006bd7efd0f9a8a87d7d2f3</x:v>
      </x:c>
      <x:c r="J344" s="110" t="str"/>
      <x:c r="K344" s="110" t="str"/>
      <x:c r="L344" s="30" t="str"/>
      <x:c r="M344" s="110" t="e">
        <x:f>HYPERLINK("visual_gallery/index.html#OCT-PHYS-101-026--VIS-PHYS-OCT-012","Галерея")</x:f>
      </x:c>
    </x:row>
    <x:row r="345" ht="24" customHeight="1">
      <x:c r="A345" s="110" t="str">
        <x:v>OCT-PHYS-102-001</x:v>
      </x:c>
      <x:c r="B345" s="110" t="str">
        <x:v>VIS-PHYS-OCT-013</x:v>
      </x:c>
      <x:c r="C345" s="110" t="str">
        <x:v>Физика</x:v>
      </x:c>
      <x:c r="D345" s="110" t="n">
        <x:v>1</x:v>
      </x:c>
      <x:c r="E345" s="110" t="str">
        <x:v>USE_CONTEXT</x:v>
      </x:c>
      <x:c r="F345" s="110" t="str">
        <x:v>QA_APPROVED</x:v>
      </x:c>
      <x:c r="G345" s="110" t="str">
        <x:v>visual_gallery/assets/cropped/3fd3229bef51c979ebca4ac42cfbcffa7b15bd009f2bc9569b4f62ac31119431.png</x:v>
      </x:c>
      <x:c r="H345" s="110" t="str">
        <x:v>3fd3229bef51c979ebca4ac42cfbcffa7b15bd009f2bc9569b4f62ac31119431</x:v>
      </x:c>
      <x:c r="I345" s="110" t="str">
        <x:v>84a884e43d630cc61e50d48ee3175c3f7083e3ebd4b920ca82bdcf7bcb369ca4</x:v>
      </x:c>
      <x:c r="J345" s="110" t="str"/>
      <x:c r="K345" s="110" t="str"/>
      <x:c r="L345" s="30" t="str"/>
      <x:c r="M345" s="110" t="e">
        <x:f>HYPERLINK("visual_gallery/index.html#OCT-PHYS-102-001--VIS-PHYS-OCT-013","Галерея")</x:f>
      </x:c>
    </x:row>
    <x:row r="346" ht="24" customHeight="1">
      <x:c r="A346" s="110" t="str">
        <x:v>OCT-PHYS-102-005</x:v>
      </x:c>
      <x:c r="B346" s="110" t="str">
        <x:v>VIS-PHYS-OCT-014</x:v>
      </x:c>
      <x:c r="C346" s="110" t="str">
        <x:v>Физика</x:v>
      </x:c>
      <x:c r="D346" s="110" t="n">
        <x:v>5</x:v>
      </x:c>
      <x:c r="E346" s="110" t="str">
        <x:v>USE_CONTEXT</x:v>
      </x:c>
      <x:c r="F346" s="110" t="str">
        <x:v>QA_APPROVED</x:v>
      </x:c>
      <x:c r="G346" s="110" t="str">
        <x:v>visual_gallery/assets/cropped/77ab8c547fc623f29146f8a14cee1651c4d696c3d434ef5dcbf3ce0060ab2ee2.png</x:v>
      </x:c>
      <x:c r="H346" s="110" t="str">
        <x:v>77ab8c547fc623f29146f8a14cee1651c4d696c3d434ef5dcbf3ce0060ab2ee2</x:v>
      </x:c>
      <x:c r="I346" s="110" t="str">
        <x:v>9e04dd30935ac59f8737036072eae340b83cf7f5b12f6573258ebf02ad36547a</x:v>
      </x:c>
      <x:c r="J346" s="110" t="str"/>
      <x:c r="K346" s="110" t="str"/>
      <x:c r="L346" s="30" t="str"/>
      <x:c r="M346" s="110" t="e">
        <x:f>HYPERLINK("visual_gallery/index.html#OCT-PHYS-102-005--VIS-PHYS-OCT-014","Галерея")</x:f>
      </x:c>
    </x:row>
    <x:row r="347" ht="24" customHeight="1">
      <x:c r="A347" s="110" t="str">
        <x:v>OCT-PHYS-102-006</x:v>
      </x:c>
      <x:c r="B347" s="110" t="str">
        <x:v>VIS-PHYS-OCT-015</x:v>
      </x:c>
      <x:c r="C347" s="110" t="str">
        <x:v>Физика</x:v>
      </x:c>
      <x:c r="D347" s="110" t="n">
        <x:v>6</x:v>
      </x:c>
      <x:c r="E347" s="110" t="str">
        <x:v>USE_CONTEXT</x:v>
      </x:c>
      <x:c r="F347" s="110" t="str">
        <x:v>QA_APPROVED</x:v>
      </x:c>
      <x:c r="G347" s="110" t="str">
        <x:v>visual_gallery/assets/cropped/a82c522328f3a53006c27724b22abc97abee35ecd240960eae43101f52ef8c2c.png</x:v>
      </x:c>
      <x:c r="H347" s="110" t="str">
        <x:v>a82c522328f3a53006c27724b22abc97abee35ecd240960eae43101f52ef8c2c</x:v>
      </x:c>
      <x:c r="I347" s="110" t="str">
        <x:v>7a136a0bb46b858cf9fe19e41b525cb6ded28a7e52623f6c95b91ec157bda851</x:v>
      </x:c>
      <x:c r="J347" s="110" t="str"/>
      <x:c r="K347" s="110" t="str"/>
      <x:c r="L347" s="30" t="str"/>
      <x:c r="M347" s="110" t="e">
        <x:f>HYPERLINK("visual_gallery/index.html#OCT-PHYS-102-006--VIS-PHYS-OCT-015","Галерея")</x:f>
      </x:c>
    </x:row>
    <x:row r="348" ht="24" customHeight="1">
      <x:c r="A348" s="110" t="str">
        <x:v>OCT-PHYS-102-008</x:v>
      </x:c>
      <x:c r="B348" s="110" t="str">
        <x:v>VIS-PHYS-OCT-016</x:v>
      </x:c>
      <x:c r="C348" s="110" t="str">
        <x:v>Физика</x:v>
      </x:c>
      <x:c r="D348" s="110" t="n">
        <x:v>8</x:v>
      </x:c>
      <x:c r="E348" s="110" t="str">
        <x:v>USE_CONTEXT</x:v>
      </x:c>
      <x:c r="F348" s="110" t="str">
        <x:v>QA_APPROVED</x:v>
      </x:c>
      <x:c r="G348" s="110" t="str">
        <x:v>visual_gallery/assets/cropped/dacaad49e34152a4abd72849afafb29fd6225dc73c29cdc16b8310b469a92257.png</x:v>
      </x:c>
      <x:c r="H348" s="110" t="str">
        <x:v>dacaad49e34152a4abd72849afafb29fd6225dc73c29cdc16b8310b469a92257</x:v>
      </x:c>
      <x:c r="I348" s="110" t="str">
        <x:v>50db8f303f0391fc3aa771251855b100e0f233909e91a762cc0e2c7c2823dac9</x:v>
      </x:c>
      <x:c r="J348" s="110" t="str"/>
      <x:c r="K348" s="110" t="str"/>
      <x:c r="L348" s="30" t="str"/>
      <x:c r="M348" s="110" t="e">
        <x:f>HYPERLINK("visual_gallery/index.html#OCT-PHYS-102-008--VIS-PHYS-OCT-016","Галерея")</x:f>
      </x:c>
    </x:row>
    <x:row r="349" ht="24" customHeight="1">
      <x:c r="A349" s="110" t="str">
        <x:v>OCT-PHYS-102-010</x:v>
      </x:c>
      <x:c r="B349" s="110" t="str">
        <x:v>VIS-PHYS-OCT-017</x:v>
      </x:c>
      <x:c r="C349" s="110" t="str">
        <x:v>Физика</x:v>
      </x:c>
      <x:c r="D349" s="110" t="n">
        <x:v>10</x:v>
      </x:c>
      <x:c r="E349" s="110" t="str">
        <x:v>USE_CONTEXT</x:v>
      </x:c>
      <x:c r="F349" s="110" t="str">
        <x:v>QA_APPROVED</x:v>
      </x:c>
      <x:c r="G349" s="110" t="str">
        <x:v>visual_gallery/assets/cropped/8817db32b2d3045ebf805c3d9235c5978f7bbde59611a736cd9cb5279aeabdfd.png</x:v>
      </x:c>
      <x:c r="H349" s="110" t="str">
        <x:v>8817db32b2d3045ebf805c3d9235c5978f7bbde59611a736cd9cb5279aeabdfd</x:v>
      </x:c>
      <x:c r="I349" s="110" t="str">
        <x:v>a486212137ba5e8d39f9bed9a17b3569f35a62e7ff69421da5e4fd9f1b18b039</x:v>
      </x:c>
      <x:c r="J349" s="110" t="str"/>
      <x:c r="K349" s="110" t="str"/>
      <x:c r="L349" s="30" t="str"/>
      <x:c r="M349" s="110" t="e">
        <x:f>HYPERLINK("visual_gallery/index.html#OCT-PHYS-102-010--VIS-PHYS-OCT-017","Галерея")</x:f>
      </x:c>
    </x:row>
    <x:row r="350" ht="24" customHeight="1">
      <x:c r="A350" s="110" t="str">
        <x:v>OCT-PHYS-102-014</x:v>
      </x:c>
      <x:c r="B350" s="110" t="str">
        <x:v>VIS-PHYS-OCT-018</x:v>
      </x:c>
      <x:c r="C350" s="110" t="str">
        <x:v>Физика</x:v>
      </x:c>
      <x:c r="D350" s="110" t="n">
        <x:v>14</x:v>
      </x:c>
      <x:c r="E350" s="110" t="str">
        <x:v>USE_TIGHT</x:v>
      </x:c>
      <x:c r="F350" s="110" t="str">
        <x:v>QA_APPROVED</x:v>
      </x:c>
      <x:c r="G350" s="110" t="str">
        <x:v>visual_gallery/assets/cropped/4bd23d969c3af18891089dd241ed7768e4adb4f96fdf665523cdd165e0bed4bf.png</x:v>
      </x:c>
      <x:c r="H350" s="110" t="str">
        <x:v>4bd23d969c3af18891089dd241ed7768e4adb4f96fdf665523cdd165e0bed4bf</x:v>
      </x:c>
      <x:c r="I350" s="110" t="str">
        <x:v>d35b71567a4ec4ba91e85ca24955dc4e254b39fa7805f4e389489a8da36d7542</x:v>
      </x:c>
      <x:c r="J350" s="110" t="str"/>
      <x:c r="K350" s="110" t="str"/>
      <x:c r="L350" s="30" t="str"/>
      <x:c r="M350" s="110" t="e">
        <x:f>HYPERLINK("visual_gallery/index.html#OCT-PHYS-102-014--VIS-PHYS-OCT-018","Галерея")</x:f>
      </x:c>
    </x:row>
    <x:row r="351" ht="24" customHeight="1">
      <x:c r="A351" s="110" t="str">
        <x:v>OCT-PHYS-102-017</x:v>
      </x:c>
      <x:c r="B351" s="110" t="str">
        <x:v>VIS-PHYS-OCT-019</x:v>
      </x:c>
      <x:c r="C351" s="110" t="str">
        <x:v>Физика</x:v>
      </x:c>
      <x:c r="D351" s="110" t="n">
        <x:v>17</x:v>
      </x:c>
      <x:c r="E351" s="110" t="str">
        <x:v>NO_CROP_NEEDED</x:v>
      </x:c>
      <x:c r="F351" s="110" t="str">
        <x:v>KEEP_ORIGINAL_NO_CROP</x:v>
      </x:c>
      <x:c r="G351" s="110" t="str"/>
      <x:c r="H351" s="110" t="str"/>
      <x:c r="I351" s="110" t="str">
        <x:v>034405cb63871875481a6eef58f9f62474c03d578cc9f6d151e9e426d5bc4a45</x:v>
      </x:c>
      <x:c r="J351" s="110" t="str"/>
      <x:c r="K351" s="110" t="str"/>
      <x:c r="L351" s="30" t="str">
        <x:v>The answer table only repeats quantities already stated in the task text.</x:v>
      </x:c>
      <x:c r="M351" s="110" t="e">
        <x:f>HYPERLINK("visual_gallery/index.html#OCT-PHYS-102-017--VIS-PHYS-OCT-019","Статус")</x:f>
      </x:c>
    </x:row>
    <x:row r="352" ht="24" customHeight="1">
      <x:c r="A352" s="110" t="str">
        <x:v>OCT-PHYS-102-019</x:v>
      </x:c>
      <x:c r="B352" s="110" t="str">
        <x:v>VIS-PHYS-OCT-020</x:v>
      </x:c>
      <x:c r="C352" s="110" t="str">
        <x:v>Физика</x:v>
      </x:c>
      <x:c r="D352" s="110" t="n">
        <x:v>19</x:v>
      </x:c>
      <x:c r="E352" s="110" t="str">
        <x:v>USE_TIGHT</x:v>
      </x:c>
      <x:c r="F352" s="110" t="str">
        <x:v>QA_APPROVED</x:v>
      </x:c>
      <x:c r="G352" s="110" t="str">
        <x:v>visual_gallery/assets/cropped/c68052335d699df20905c3d6492f1bff2123d668a9256933b331e83cd743d074.png</x:v>
      </x:c>
      <x:c r="H352" s="110" t="str">
        <x:v>c68052335d699df20905c3d6492f1bff2123d668a9256933b331e83cd743d074</x:v>
      </x:c>
      <x:c r="I352" s="110" t="str">
        <x:v>b55e7179442d494290a044f79df8c7fa88b7d2180e4e5813b410ab36b39699e0</x:v>
      </x:c>
      <x:c r="J352" s="110" t="str"/>
      <x:c r="K352" s="110" t="str"/>
      <x:c r="L352" s="30" t="str"/>
      <x:c r="M352" s="110" t="e">
        <x:f>HYPERLINK("visual_gallery/index.html#OCT-PHYS-102-019--VIS-PHYS-OCT-020","Галерея")</x:f>
      </x:c>
    </x:row>
    <x:row r="353" ht="24" customHeight="1">
      <x:c r="A353" s="110" t="str">
        <x:v>OCT-PHYS-102-021</x:v>
      </x:c>
      <x:c r="B353" s="110" t="str">
        <x:v>VIS-PHYS-OCT-022</x:v>
      </x:c>
      <x:c r="C353" s="110" t="str">
        <x:v>Физика</x:v>
      </x:c>
      <x:c r="D353" s="110" t="n">
        <x:v>21</x:v>
      </x:c>
      <x:c r="E353" s="110" t="str">
        <x:v>USE_TIGHT</x:v>
      </x:c>
      <x:c r="F353" s="110" t="str">
        <x:v>QA_APPROVED</x:v>
      </x:c>
      <x:c r="G353" s="110" t="str">
        <x:v>visual_gallery/assets/cropped/65004b715f2e68970b169c230025205b3764df4188eeb0f217f8a0f67da37528.png</x:v>
      </x:c>
      <x:c r="H353" s="110" t="str">
        <x:v>65004b715f2e68970b169c230025205b3764df4188eeb0f217f8a0f67da37528</x:v>
      </x:c>
      <x:c r="I353" s="110" t="str">
        <x:v>f451097e16f63bf3c772928faa04a367a85667f85be28bbce609dae1506d34d7</x:v>
      </x:c>
      <x:c r="J353" s="110" t="str"/>
      <x:c r="K353" s="110" t="str"/>
      <x:c r="L353" s="30" t="str"/>
      <x:c r="M353" s="110" t="e">
        <x:f>HYPERLINK("visual_gallery/index.html#OCT-PHYS-102-021--VIS-PHYS-OCT-022","Галерея")</x:f>
      </x:c>
    </x:row>
    <x:row r="354" ht="24" customHeight="1">
      <x:c r="A354" s="110" t="str">
        <x:v>OCT-PHYS-102-024</x:v>
      </x:c>
      <x:c r="B354" s="110" t="str">
        <x:v>VIS-PHYS-OCT-023</x:v>
      </x:c>
      <x:c r="C354" s="110" t="str">
        <x:v>Физика</x:v>
      </x:c>
      <x:c r="D354" s="110" t="n">
        <x:v>24</x:v>
      </x:c>
      <x:c r="E354" s="110" t="str">
        <x:v>USE_CONTEXT</x:v>
      </x:c>
      <x:c r="F354" s="110" t="str">
        <x:v>QA_APPROVED</x:v>
      </x:c>
      <x:c r="G354" s="110" t="str">
        <x:v>visual_gallery/assets/cropped/89b2104e56edaf8f7369fbee9adae3f457c2c0fcf72dcd041b5a9dea2f7c6cdc.png</x:v>
      </x:c>
      <x:c r="H354" s="110" t="str">
        <x:v>89b2104e56edaf8f7369fbee9adae3f457c2c0fcf72dcd041b5a9dea2f7c6cdc</x:v>
      </x:c>
      <x:c r="I354" s="110" t="str">
        <x:v>594fe4a0978ab24d76812d4e97f86e581a3a55ebac84714bafd2ea0623554f9e</x:v>
      </x:c>
      <x:c r="J354" s="110" t="str"/>
      <x:c r="K354" s="110" t="str"/>
      <x:c r="L354" s="30" t="str"/>
      <x:c r="M354" s="110" t="e">
        <x:f>HYPERLINK("visual_gallery/index.html#OCT-PHYS-102-024--VIS-PHYS-OCT-023","Галерея")</x:f>
      </x:c>
    </x:row>
    <x:row r="355" ht="24" customHeight="1">
      <x:c r="A355" s="110" t="str">
        <x:v>OCT-PHYS-102-025</x:v>
      </x:c>
      <x:c r="B355" s="110" t="str">
        <x:v>VIS-PHYS-OCT-024</x:v>
      </x:c>
      <x:c r="C355" s="110" t="str">
        <x:v>Физика</x:v>
      </x:c>
      <x:c r="D355" s="110" t="n">
        <x:v>25</x:v>
      </x:c>
      <x:c r="E355" s="110" t="str">
        <x:v>USE_CONTEXT</x:v>
      </x:c>
      <x:c r="F355" s="110" t="str">
        <x:v>QA_APPROVED</x:v>
      </x:c>
      <x:c r="G355" s="110" t="str">
        <x:v>visual_gallery/assets/cropped/6d61811d04fa22493d1f4a590dfcfb1723275b02680a9a1c682933b349d05488.png</x:v>
      </x:c>
      <x:c r="H355" s="110" t="str">
        <x:v>6d61811d04fa22493d1f4a590dfcfb1723275b02680a9a1c682933b349d05488</x:v>
      </x:c>
      <x:c r="I355" s="110" t="str">
        <x:v>09529a40f1e242dbd36a75b59fb93bb30585a720aa7583da1bb4b43505a61436</x:v>
      </x:c>
      <x:c r="J355" s="110" t="str"/>
      <x:c r="K355" s="110" t="str"/>
      <x:c r="L355" s="30" t="str"/>
      <x:c r="M355" s="110" t="e">
        <x:f>HYPERLINK("visual_gallery/index.html#OCT-PHYS-102-025--VIS-PHYS-OCT-024","Галерея")</x:f>
      </x:c>
    </x:row>
    <x:row r="356" ht="24" customHeight="1">
      <x:c r="A356" s="110" t="str">
        <x:v>OCT-PHYS-102-026</x:v>
      </x:c>
      <x:c r="B356" s="110" t="str">
        <x:v>VIS-PHYS-OCT-024</x:v>
      </x:c>
      <x:c r="C356" s="110" t="str">
        <x:v>Физика</x:v>
      </x:c>
      <x:c r="D356" s="110" t="n">
        <x:v>26</x:v>
      </x:c>
      <x:c r="E356" s="110" t="str">
        <x:v>USE_CONTEXT</x:v>
      </x:c>
      <x:c r="F356" s="110" t="str">
        <x:v>QA_APPROVED</x:v>
      </x:c>
      <x:c r="G356" s="110" t="str">
        <x:v>visual_gallery/assets/cropped/3370280bf65db801dccf3a5b1f1f2e3c2247bd42562c54fe40a465fc0b837581.png</x:v>
      </x:c>
      <x:c r="H356" s="110" t="str">
        <x:v>3370280bf65db801dccf3a5b1f1f2e3c2247bd42562c54fe40a465fc0b837581</x:v>
      </x:c>
      <x:c r="I356" s="110" t="str">
        <x:v>09529a40f1e242dbd36a75b59fb93bb30585a720aa7583da1bb4b43505a61436</x:v>
      </x:c>
      <x:c r="J356" s="110" t="str"/>
      <x:c r="K356" s="110" t="str"/>
      <x:c r="L356" s="30" t="str"/>
      <x:c r="M356" s="110" t="e">
        <x:f>HYPERLINK("visual_gallery/index.html#OCT-PHYS-102-026--VIS-PHYS-OCT-024","Галерея")</x:f>
      </x:c>
    </x:row>
    <x:row r="357" ht="24" customHeight="1">
      <x:c r="A357" s="110" t="str">
        <x:v>OCT-PHYS-103-001</x:v>
      </x:c>
      <x:c r="B357" s="110" t="str">
        <x:v>VIS-PHYS-OCT-025</x:v>
      </x:c>
      <x:c r="C357" s="110" t="str">
        <x:v>Физика</x:v>
      </x:c>
      <x:c r="D357" s="110" t="n">
        <x:v>1</x:v>
      </x:c>
      <x:c r="E357" s="110" t="str">
        <x:v>USE_CONTEXT</x:v>
      </x:c>
      <x:c r="F357" s="110" t="str">
        <x:v>QA_APPROVED</x:v>
      </x:c>
      <x:c r="G357" s="110" t="str">
        <x:v>visual_gallery/assets/cropped/ca8670a2a7fed37bcc97c5bb2d9504393f957dcc9aa1d3eff94df6ad9d2b8f3b.png</x:v>
      </x:c>
      <x:c r="H357" s="110" t="str">
        <x:v>ca8670a2a7fed37bcc97c5bb2d9504393f957dcc9aa1d3eff94df6ad9d2b8f3b</x:v>
      </x:c>
      <x:c r="I357" s="110" t="str">
        <x:v>c010ad014ba1524daa6ea5f000dd8b48b0b1991ea7218108acd9a3def4d1061f</x:v>
      </x:c>
      <x:c r="J357" s="110" t="str"/>
      <x:c r="K357" s="110" t="str"/>
      <x:c r="L357" s="30" t="str"/>
      <x:c r="M357" s="110" t="e">
        <x:f>HYPERLINK("visual_gallery/index.html#OCT-PHYS-103-001--VIS-PHYS-OCT-025","Галерея")</x:f>
      </x:c>
    </x:row>
    <x:row r="358" ht="24" customHeight="1">
      <x:c r="A358" s="110" t="str">
        <x:v>OCT-PHYS-103-005</x:v>
      </x:c>
      <x:c r="B358" s="110" t="str">
        <x:v>VIS-PHYS-OCT-026</x:v>
      </x:c>
      <x:c r="C358" s="110" t="str">
        <x:v>Физика</x:v>
      </x:c>
      <x:c r="D358" s="110" t="n">
        <x:v>5</x:v>
      </x:c>
      <x:c r="E358" s="110" t="str">
        <x:v>USE_CONTEXT</x:v>
      </x:c>
      <x:c r="F358" s="110" t="str">
        <x:v>QA_APPROVED</x:v>
      </x:c>
      <x:c r="G358" s="110" t="str">
        <x:v>visual_gallery/assets/cropped/5555608e7a21ced20090b6880f99357964a50a8136778ca045891e1906620589.png</x:v>
      </x:c>
      <x:c r="H358" s="110" t="str">
        <x:v>5555608e7a21ced20090b6880f99357964a50a8136778ca045891e1906620589</x:v>
      </x:c>
      <x:c r="I358" s="110" t="str">
        <x:v>fb07384f2298f3a2d225f4ee9bc04f224d8f8d1519d939d4755f48afb3dff270</x:v>
      </x:c>
      <x:c r="J358" s="110" t="str"/>
      <x:c r="K358" s="110" t="str"/>
      <x:c r="L358" s="30" t="str"/>
      <x:c r="M358" s="110" t="e">
        <x:f>HYPERLINK("visual_gallery/index.html#OCT-PHYS-103-005--VIS-PHYS-OCT-026","Галерея")</x:f>
      </x:c>
    </x:row>
    <x:row r="359" ht="24" customHeight="1">
      <x:c r="A359" s="110" t="str">
        <x:v>OCT-PHYS-103-006</x:v>
      </x:c>
      <x:c r="B359" s="110" t="str">
        <x:v>VIS-PHYS-OCT-027</x:v>
      </x:c>
      <x:c r="C359" s="110" t="str">
        <x:v>Физика</x:v>
      </x:c>
      <x:c r="D359" s="110" t="n">
        <x:v>6</x:v>
      </x:c>
      <x:c r="E359" s="110" t="str">
        <x:v>USE_TIGHT</x:v>
      </x:c>
      <x:c r="F359" s="110" t="str">
        <x:v>QA_APPROVED</x:v>
      </x:c>
      <x:c r="G359" s="110" t="str">
        <x:v>visual_gallery/assets/cropped/1c745de2e1f27ec6d3762a9a745756e2ca82f138c294ce812244fa95c506cc5d.png</x:v>
      </x:c>
      <x:c r="H359" s="110" t="str">
        <x:v>1c745de2e1f27ec6d3762a9a745756e2ca82f138c294ce812244fa95c506cc5d</x:v>
      </x:c>
      <x:c r="I359" s="110" t="str">
        <x:v>f046004a6b39287c6057eb9d38f63cb1affcca83626716a10acda4a088d088e7</x:v>
      </x:c>
      <x:c r="J359" s="110" t="str"/>
      <x:c r="K359" s="110" t="str"/>
      <x:c r="L359" s="30" t="str"/>
      <x:c r="M359" s="110" t="e">
        <x:f>HYPERLINK("visual_gallery/index.html#OCT-PHYS-103-006--VIS-PHYS-OCT-027","Галерея")</x:f>
      </x:c>
    </x:row>
    <x:row r="360" ht="24" customHeight="1">
      <x:c r="A360" s="110" t="str">
        <x:v>OCT-PHYS-103-008</x:v>
      </x:c>
      <x:c r="B360" s="110" t="str">
        <x:v>VIS-PHYS-OCT-028</x:v>
      </x:c>
      <x:c r="C360" s="110" t="str">
        <x:v>Физика</x:v>
      </x:c>
      <x:c r="D360" s="110" t="n">
        <x:v>8</x:v>
      </x:c>
      <x:c r="E360" s="110" t="str">
        <x:v>USE_CONTEXT</x:v>
      </x:c>
      <x:c r="F360" s="110" t="str">
        <x:v>QA_APPROVED</x:v>
      </x:c>
      <x:c r="G360" s="110" t="str">
        <x:v>visual_gallery/assets/cropped/bdf219a8cf684f0d338c85e020edd442939dec9f7d23fb33dda5b3e6a24d9396.png</x:v>
      </x:c>
      <x:c r="H360" s="110" t="str">
        <x:v>bdf219a8cf684f0d338c85e020edd442939dec9f7d23fb33dda5b3e6a24d9396</x:v>
      </x:c>
      <x:c r="I360" s="110" t="str">
        <x:v>903346e46a0e1aa451798bd3717c9cca301617055f79f3309ff1f84f6cd199e6</x:v>
      </x:c>
      <x:c r="J360" s="110" t="str"/>
      <x:c r="K360" s="110" t="str"/>
      <x:c r="L360" s="30" t="str"/>
      <x:c r="M360" s="110" t="e">
        <x:f>HYPERLINK("visual_gallery/index.html#OCT-PHYS-103-008--VIS-PHYS-OCT-028","Галерея")</x:f>
      </x:c>
    </x:row>
    <x:row r="361" ht="24" customHeight="1">
      <x:c r="A361" s="110" t="str">
        <x:v>OCT-PHYS-103-010</x:v>
      </x:c>
      <x:c r="B361" s="110" t="str">
        <x:v>VIS-PHYS-OCT-029</x:v>
      </x:c>
      <x:c r="C361" s="110" t="str">
        <x:v>Физика</x:v>
      </x:c>
      <x:c r="D361" s="110" t="n">
        <x:v>10</x:v>
      </x:c>
      <x:c r="E361" s="110" t="str">
        <x:v>USE_CONTEXT</x:v>
      </x:c>
      <x:c r="F361" s="110" t="str">
        <x:v>QA_APPROVED</x:v>
      </x:c>
      <x:c r="G361" s="110" t="str">
        <x:v>visual_gallery/assets/cropped/a044e75c37361fca5b12d89a758674b4d8c33c5742d99f9d9d831fdf00604a07.png</x:v>
      </x:c>
      <x:c r="H361" s="110" t="str">
        <x:v>a044e75c37361fca5b12d89a758674b4d8c33c5742d99f9d9d831fdf00604a07</x:v>
      </x:c>
      <x:c r="I361" s="110" t="str">
        <x:v>83eeccce51514fe61edb2d2abac287ca0037698ae52dc609c385fe7d60c92bcd</x:v>
      </x:c>
      <x:c r="J361" s="110" t="str"/>
      <x:c r="K361" s="110" t="str"/>
      <x:c r="L361" s="30" t="str"/>
      <x:c r="M361" s="110" t="e">
        <x:f>HYPERLINK("visual_gallery/index.html#OCT-PHYS-103-010--VIS-PHYS-OCT-029","Галерея")</x:f>
      </x:c>
    </x:row>
    <x:row r="362" ht="24" customHeight="1">
      <x:c r="A362" s="110" t="str">
        <x:v>OCT-PHYS-103-014</x:v>
      </x:c>
      <x:c r="B362" s="110" t="str">
        <x:v>VIS-PHYS-OCT-030</x:v>
      </x:c>
      <x:c r="C362" s="110" t="str">
        <x:v>Физика</x:v>
      </x:c>
      <x:c r="D362" s="110" t="n">
        <x:v>14</x:v>
      </x:c>
      <x:c r="E362" s="110" t="str">
        <x:v>USE_CONTEXT</x:v>
      </x:c>
      <x:c r="F362" s="110" t="str">
        <x:v>QA_APPROVED</x:v>
      </x:c>
      <x:c r="G362" s="110" t="str">
        <x:v>visual_gallery/assets/cropped/a447f77da052c6dba0b2bbc840db7bbe905bcb7fe4433effc6a5a9f493391a85.png</x:v>
      </x:c>
      <x:c r="H362" s="110" t="str">
        <x:v>a447f77da052c6dba0b2bbc840db7bbe905bcb7fe4433effc6a5a9f493391a85</x:v>
      </x:c>
      <x:c r="I362" s="110" t="str">
        <x:v>cade664eb9c49e4a91551577acbe53e4aaccbb22d0ec2019f4968767325d4912</x:v>
      </x:c>
      <x:c r="J362" s="110" t="str"/>
      <x:c r="K362" s="110" t="str"/>
      <x:c r="L362" s="30" t="str"/>
      <x:c r="M362" s="110" t="e">
        <x:f>HYPERLINK("visual_gallery/index.html#OCT-PHYS-103-014--VIS-PHYS-OCT-030","Галерея")</x:f>
      </x:c>
    </x:row>
    <x:row r="363" ht="24" customHeight="1">
      <x:c r="A363" s="110" t="str">
        <x:v>OCT-PHYS-103-017</x:v>
      </x:c>
      <x:c r="B363" s="110" t="str">
        <x:v>VIS-PHYS-OCT-031</x:v>
      </x:c>
      <x:c r="C363" s="110" t="str">
        <x:v>Физика</x:v>
      </x:c>
      <x:c r="D363" s="110" t="n">
        <x:v>17</x:v>
      </x:c>
      <x:c r="E363" s="110" t="str">
        <x:v>NO_CROP_NEEDED</x:v>
      </x:c>
      <x:c r="F363" s="110" t="str">
        <x:v>KEEP_ORIGINAL_NO_CROP</x:v>
      </x:c>
      <x:c r="G363" s="110" t="str"/>
      <x:c r="H363" s="110" t="str"/>
      <x:c r="I363" s="110" t="str">
        <x:v>3a37312453076583f599e1aed15208e5f6c7f5b1bf4ea25d2fa3fc6427cd87dd</x:v>
      </x:c>
      <x:c r="J363" s="110" t="str"/>
      <x:c r="K363" s="110" t="str"/>
      <x:c r="L363" s="30" t="str">
        <x:v>The answer table only repeats quantities already stated in the task text.</x:v>
      </x:c>
      <x:c r="M363" s="110" t="e">
        <x:f>HYPERLINK("visual_gallery/index.html#OCT-PHYS-103-017--VIS-PHYS-OCT-031","Статус")</x:f>
      </x:c>
    </x:row>
    <x:row r="364" ht="24" customHeight="1">
      <x:c r="A364" s="110" t="str">
        <x:v>OCT-PHYS-103-019</x:v>
      </x:c>
      <x:c r="B364" s="110" t="str">
        <x:v>VIS-PHYS-OCT-032</x:v>
      </x:c>
      <x:c r="C364" s="110" t="str">
        <x:v>Физика</x:v>
      </x:c>
      <x:c r="D364" s="110" t="n">
        <x:v>19</x:v>
      </x:c>
      <x:c r="E364" s="110" t="str">
        <x:v>USE_CONTEXT</x:v>
      </x:c>
      <x:c r="F364" s="110" t="str">
        <x:v>QA_APPROVED</x:v>
      </x:c>
      <x:c r="G364" s="110" t="str">
        <x:v>visual_gallery/assets/cropped/9fc6e78df5f838580a7a1bb8b2bb96291fbe695c2c8d318798cff47ec5af7522.png</x:v>
      </x:c>
      <x:c r="H364" s="110" t="str">
        <x:v>9fc6e78df5f838580a7a1bb8b2bb96291fbe695c2c8d318798cff47ec5af7522</x:v>
      </x:c>
      <x:c r="I364" s="110" t="str">
        <x:v>3d43edcdd4e733da2a7fb293bd9873eb001e79742308b7b068f886ddf309ba9b</x:v>
      </x:c>
      <x:c r="J364" s="110" t="str"/>
      <x:c r="K364" s="110" t="str"/>
      <x:c r="L364" s="30" t="str"/>
      <x:c r="M364" s="110" t="e">
        <x:f>HYPERLINK("visual_gallery/index.html#OCT-PHYS-103-019--VIS-PHYS-OCT-032","Галерея")</x:f>
      </x:c>
    </x:row>
    <x:row r="365" ht="24" customHeight="1">
      <x:c r="A365" s="110" t="str">
        <x:v>OCT-PHYS-103-021</x:v>
      </x:c>
      <x:c r="B365" s="110" t="str">
        <x:v>VIS-PHYS-OCT-034</x:v>
      </x:c>
      <x:c r="C365" s="110" t="str">
        <x:v>Физика</x:v>
      </x:c>
      <x:c r="D365" s="110" t="n">
        <x:v>21</x:v>
      </x:c>
      <x:c r="E365" s="110" t="str">
        <x:v>USE_CONTEXT</x:v>
      </x:c>
      <x:c r="F365" s="110" t="str">
        <x:v>QA_APPROVED</x:v>
      </x:c>
      <x:c r="G365" s="110" t="str">
        <x:v>visual_gallery/assets/cropped/eb1a25d76daa0b77fd42a314f90d9bb3eacdc2ad3ea3f8fc80b2cc44541f374c.png</x:v>
      </x:c>
      <x:c r="H365" s="110" t="str">
        <x:v>eb1a25d76daa0b77fd42a314f90d9bb3eacdc2ad3ea3f8fc80b2cc44541f374c</x:v>
      </x:c>
      <x:c r="I365" s="110" t="str">
        <x:v>6e635cdabaa47d4edbfa16a22685795d762a461a6688e1154f497f1b8e43af68</x:v>
      </x:c>
      <x:c r="J365" s="110" t="str"/>
      <x:c r="K365" s="110" t="str"/>
      <x:c r="L365" s="30" t="str"/>
      <x:c r="M365" s="110" t="e">
        <x:f>HYPERLINK("visual_gallery/index.html#OCT-PHYS-103-021--VIS-PHYS-OCT-034","Галерея")</x:f>
      </x:c>
    </x:row>
    <x:row r="366" ht="24" customHeight="1">
      <x:c r="A366" s="110" t="str">
        <x:v>OCT-PHYS-103-024</x:v>
      </x:c>
      <x:c r="B366" s="110" t="str">
        <x:v>VIS-PHYS-OCT-035</x:v>
      </x:c>
      <x:c r="C366" s="110" t="str">
        <x:v>Физика</x:v>
      </x:c>
      <x:c r="D366" s="110" t="n">
        <x:v>24</x:v>
      </x:c>
      <x:c r="E366" s="110" t="str">
        <x:v>USE_CONTEXT</x:v>
      </x:c>
      <x:c r="F366" s="110" t="str">
        <x:v>QA_APPROVED</x:v>
      </x:c>
      <x:c r="G366" s="110" t="str">
        <x:v>visual_gallery/assets/cropped/89b2104e56edaf8f7369fbee9adae3f457c2c0fcf72dcd041b5a9dea2f7c6cdc.png</x:v>
      </x:c>
      <x:c r="H366" s="110" t="str">
        <x:v>89b2104e56edaf8f7369fbee9adae3f457c2c0fcf72dcd041b5a9dea2f7c6cdc</x:v>
      </x:c>
      <x:c r="I366" s="110" t="str">
        <x:v>1ef78f47414f07d22ef717f63d28e14afca1356c6a9485bdd1a9f6a066448a56</x:v>
      </x:c>
      <x:c r="J366" s="110" t="str"/>
      <x:c r="K366" s="110" t="str"/>
      <x:c r="L366" s="30" t="str"/>
      <x:c r="M366" s="110" t="e">
        <x:f>HYPERLINK("visual_gallery/index.html#OCT-PHYS-103-024--VIS-PHYS-OCT-035","Галерея")</x:f>
      </x:c>
    </x:row>
    <x:row r="367" ht="24" customHeight="1">
      <x:c r="A367" s="110" t="str">
        <x:v>OCT-PHYS-103-025</x:v>
      </x:c>
      <x:c r="B367" s="110" t="str">
        <x:v>VIS-PHYS-OCT-036</x:v>
      </x:c>
      <x:c r="C367" s="110" t="str">
        <x:v>Физика</x:v>
      </x:c>
      <x:c r="D367" s="110" t="n">
        <x:v>25</x:v>
      </x:c>
      <x:c r="E367" s="110" t="str">
        <x:v>USE_TIGHT</x:v>
      </x:c>
      <x:c r="F367" s="110" t="str">
        <x:v>QA_APPROVED</x:v>
      </x:c>
      <x:c r="G367" s="110" t="str">
        <x:v>visual_gallery/assets/cropped/857ef89a427e859e16a5f9c153fd6892817fbdd669101171c0f19c32cf397330.png</x:v>
      </x:c>
      <x:c r="H367" s="110" t="str">
        <x:v>857ef89a427e859e16a5f9c153fd6892817fbdd669101171c0f19c32cf397330</x:v>
      </x:c>
      <x:c r="I367" s="110" t="str">
        <x:v>79df73cc83a396ffb06f97661051dc9fbdb5319332fcb2d7a1ca2206eefd8978</x:v>
      </x:c>
      <x:c r="J367" s="110" t="str"/>
      <x:c r="K367" s="110" t="str"/>
      <x:c r="L367" s="30" t="str"/>
      <x:c r="M367" s="110" t="e">
        <x:f>HYPERLINK("visual_gallery/index.html#OCT-PHYS-103-025--VIS-PHYS-OCT-036","Галерея")</x:f>
      </x:c>
    </x:row>
    <x:row r="368" ht="24" customHeight="1">
      <x:c r="A368" s="110" t="str">
        <x:v>OCT-PHYS-103-026</x:v>
      </x:c>
      <x:c r="B368" s="110" t="str">
        <x:v>VIS-PHYS-OCT-036</x:v>
      </x:c>
      <x:c r="C368" s="110" t="str">
        <x:v>Физика</x:v>
      </x:c>
      <x:c r="D368" s="110" t="n">
        <x:v>26</x:v>
      </x:c>
      <x:c r="E368" s="110" t="str">
        <x:v>USE_TIGHT</x:v>
      </x:c>
      <x:c r="F368" s="110" t="str">
        <x:v>QA_APPROVED</x:v>
      </x:c>
      <x:c r="G368" s="110" t="str">
        <x:v>visual_gallery/assets/cropped/bff1e1ce804a9e34ee1e7a90de3696741f7265b3775352ee6a871b9c8acb3bf2.png</x:v>
      </x:c>
      <x:c r="H368" s="110" t="str">
        <x:v>bff1e1ce804a9e34ee1e7a90de3696741f7265b3775352ee6a871b9c8acb3bf2</x:v>
      </x:c>
      <x:c r="I368" s="110" t="str">
        <x:v>79df73cc83a396ffb06f97661051dc9fbdb5319332fcb2d7a1ca2206eefd8978</x:v>
      </x:c>
      <x:c r="J368" s="110" t="str"/>
      <x:c r="K368" s="110" t="str"/>
      <x:c r="L368" s="30" t="str"/>
      <x:c r="M368" s="110" t="e">
        <x:f>HYPERLINK("visual_gallery/index.html#OCT-PHYS-103-026--VIS-PHYS-OCT-036","Галерея")</x:f>
      </x:c>
    </x:row>
    <x:row r="369" ht="24" customHeight="1">
      <x:c r="A369" s="110" t="str">
        <x:v>OCT-PHYS-104-001</x:v>
      </x:c>
      <x:c r="B369" s="110" t="str">
        <x:v>VIS-PHYS-OCT-037</x:v>
      </x:c>
      <x:c r="C369" s="110" t="str">
        <x:v>Физика</x:v>
      </x:c>
      <x:c r="D369" s="110" t="n">
        <x:v>1</x:v>
      </x:c>
      <x:c r="E369" s="110" t="str">
        <x:v>USE_CONTEXT</x:v>
      </x:c>
      <x:c r="F369" s="110" t="str">
        <x:v>QA_APPROVED</x:v>
      </x:c>
      <x:c r="G369" s="110" t="str">
        <x:v>visual_gallery/assets/cropped/3fd3229bef51c979ebca4ac42cfbcffa7b15bd009f2bc9569b4f62ac31119431.png</x:v>
      </x:c>
      <x:c r="H369" s="110" t="str">
        <x:v>3fd3229bef51c979ebca4ac42cfbcffa7b15bd009f2bc9569b4f62ac31119431</x:v>
      </x:c>
      <x:c r="I369" s="110" t="str">
        <x:v>fb9f1305ca20f36da3586de93587954263aaa1f0d20223c75b0c7e9a1c059c41</x:v>
      </x:c>
      <x:c r="J369" s="110" t="str"/>
      <x:c r="K369" s="110" t="str"/>
      <x:c r="L369" s="30" t="str"/>
      <x:c r="M369" s="110" t="e">
        <x:f>HYPERLINK("visual_gallery/index.html#OCT-PHYS-104-001--VIS-PHYS-OCT-037","Галерея")</x:f>
      </x:c>
    </x:row>
    <x:row r="370" ht="24" customHeight="1">
      <x:c r="A370" s="110" t="str">
        <x:v>OCT-PHYS-104-005</x:v>
      </x:c>
      <x:c r="B370" s="110" t="str">
        <x:v>VIS-PHYS-OCT-038</x:v>
      </x:c>
      <x:c r="C370" s="110" t="str">
        <x:v>Физика</x:v>
      </x:c>
      <x:c r="D370" s="110" t="n">
        <x:v>5</x:v>
      </x:c>
      <x:c r="E370" s="110" t="str">
        <x:v>USE_CONTEXT</x:v>
      </x:c>
      <x:c r="F370" s="110" t="str">
        <x:v>QA_APPROVED</x:v>
      </x:c>
      <x:c r="G370" s="110" t="str">
        <x:v>visual_gallery/assets/cropped/35db0bf04295a0985ebb3e6b60b16921176b2168937eb1f2c1277bd13cb7bd98.png</x:v>
      </x:c>
      <x:c r="H370" s="110" t="str">
        <x:v>35db0bf04295a0985ebb3e6b60b16921176b2168937eb1f2c1277bd13cb7bd98</x:v>
      </x:c>
      <x:c r="I370" s="110" t="str">
        <x:v>628c9ecda1632873940f5274bc771e09070102c101ad9475e8cfe3e05f185b48</x:v>
      </x:c>
      <x:c r="J370" s="110" t="str"/>
      <x:c r="K370" s="110" t="str"/>
      <x:c r="L370" s="30" t="str"/>
      <x:c r="M370" s="110" t="e">
        <x:f>HYPERLINK("visual_gallery/index.html#OCT-PHYS-104-005--VIS-PHYS-OCT-038","Галерея")</x:f>
      </x:c>
    </x:row>
    <x:row r="371" ht="24" customHeight="1">
      <x:c r="A371" s="110" t="str">
        <x:v>OCT-PHYS-104-006</x:v>
      </x:c>
      <x:c r="B371" s="110" t="str">
        <x:v>VIS-PHYS-OCT-039</x:v>
      </x:c>
      <x:c r="C371" s="110" t="str">
        <x:v>Физика</x:v>
      </x:c>
      <x:c r="D371" s="110" t="n">
        <x:v>6</x:v>
      </x:c>
      <x:c r="E371" s="110" t="str">
        <x:v>USE_TIGHT</x:v>
      </x:c>
      <x:c r="F371" s="110" t="str">
        <x:v>QA_APPROVED</x:v>
      </x:c>
      <x:c r="G371" s="110" t="str">
        <x:v>visual_gallery/assets/cropped/5ebbda3461fbb96bfe82ece07094814689a777f1729b8625704020d4273dbb8a.png</x:v>
      </x:c>
      <x:c r="H371" s="110" t="str">
        <x:v>5ebbda3461fbb96bfe82ece07094814689a777f1729b8625704020d4273dbb8a</x:v>
      </x:c>
      <x:c r="I371" s="110" t="str">
        <x:v>a7deea7db371dada366af47cbd76355e7747b387c46ed270f0a1d60b495ad24a</x:v>
      </x:c>
      <x:c r="J371" s="110" t="str"/>
      <x:c r="K371" s="110" t="str"/>
      <x:c r="L371" s="30" t="str"/>
      <x:c r="M371" s="110" t="e">
        <x:f>HYPERLINK("visual_gallery/index.html#OCT-PHYS-104-006--VIS-PHYS-OCT-039","Галерея")</x:f>
      </x:c>
    </x:row>
    <x:row r="372" ht="24" customHeight="1">
      <x:c r="A372" s="110" t="str">
        <x:v>OCT-PHYS-104-008</x:v>
      </x:c>
      <x:c r="B372" s="110" t="str">
        <x:v>VIS-PHYS-OCT-040</x:v>
      </x:c>
      <x:c r="C372" s="110" t="str">
        <x:v>Физика</x:v>
      </x:c>
      <x:c r="D372" s="110" t="n">
        <x:v>8</x:v>
      </x:c>
      <x:c r="E372" s="110" t="str">
        <x:v>USE_CONTEXT</x:v>
      </x:c>
      <x:c r="F372" s="110" t="str">
        <x:v>QA_APPROVED</x:v>
      </x:c>
      <x:c r="G372" s="110" t="str">
        <x:v>visual_gallery/assets/cropped/2f970736d96fbbe2dff5b324d6a6f2370ec7cc1b56d27b25e6e20efabc397bbe.png</x:v>
      </x:c>
      <x:c r="H372" s="110" t="str">
        <x:v>2f970736d96fbbe2dff5b324d6a6f2370ec7cc1b56d27b25e6e20efabc397bbe</x:v>
      </x:c>
      <x:c r="I372" s="110" t="str">
        <x:v>0db04121aa96720e891e6c2060116e749e8b7c6f4dedf37a141ac531c3b3a904</x:v>
      </x:c>
      <x:c r="J372" s="110" t="str"/>
      <x:c r="K372" s="110" t="str"/>
      <x:c r="L372" s="30" t="str"/>
      <x:c r="M372" s="110" t="e">
        <x:f>HYPERLINK("visual_gallery/index.html#OCT-PHYS-104-008--VIS-PHYS-OCT-040","Галерея")</x:f>
      </x:c>
    </x:row>
    <x:row r="373" ht="24" customHeight="1">
      <x:c r="A373" s="110" t="str">
        <x:v>OCT-PHYS-104-010</x:v>
      </x:c>
      <x:c r="B373" s="110" t="str">
        <x:v>VIS-PHYS-OCT-041</x:v>
      </x:c>
      <x:c r="C373" s="110" t="str">
        <x:v>Физика</x:v>
      </x:c>
      <x:c r="D373" s="110" t="n">
        <x:v>10</x:v>
      </x:c>
      <x:c r="E373" s="110" t="str">
        <x:v>USE_CONTEXT</x:v>
      </x:c>
      <x:c r="F373" s="110" t="str">
        <x:v>QA_APPROVED</x:v>
      </x:c>
      <x:c r="G373" s="110" t="str">
        <x:v>visual_gallery/assets/cropped/34248c4cadb9a55a08cae8ee564f877d327080db72ddc29fa4fdd628f2339ae0.png</x:v>
      </x:c>
      <x:c r="H373" s="110" t="str">
        <x:v>34248c4cadb9a55a08cae8ee564f877d327080db72ddc29fa4fdd628f2339ae0</x:v>
      </x:c>
      <x:c r="I373" s="110" t="str">
        <x:v>bd4f57efdefcaa4ca83d4efe9d994ca3b84dd2e13a75a939a7a04a6c0213c257</x:v>
      </x:c>
      <x:c r="J373" s="110" t="str"/>
      <x:c r="K373" s="110" t="str"/>
      <x:c r="L373" s="30" t="str"/>
      <x:c r="M373" s="110" t="e">
        <x:f>HYPERLINK("visual_gallery/index.html#OCT-PHYS-104-010--VIS-PHYS-OCT-041","Галерея")</x:f>
      </x:c>
    </x:row>
    <x:row r="374" ht="24" customHeight="1">
      <x:c r="A374" s="110" t="str">
        <x:v>OCT-PHYS-104-014</x:v>
      </x:c>
      <x:c r="B374" s="110" t="str">
        <x:v>VIS-PHYS-OCT-042</x:v>
      </x:c>
      <x:c r="C374" s="110" t="str">
        <x:v>Физика</x:v>
      </x:c>
      <x:c r="D374" s="110" t="n">
        <x:v>14</x:v>
      </x:c>
      <x:c r="E374" s="110" t="str">
        <x:v>USE_CONTEXT</x:v>
      </x:c>
      <x:c r="F374" s="110" t="str">
        <x:v>QA_APPROVED</x:v>
      </x:c>
      <x:c r="G374" s="110" t="str">
        <x:v>visual_gallery/assets/cropped/a447f77da052c6dba0b2bbc840db7bbe905bcb7fe4433effc6a5a9f493391a85.png</x:v>
      </x:c>
      <x:c r="H374" s="110" t="str">
        <x:v>a447f77da052c6dba0b2bbc840db7bbe905bcb7fe4433effc6a5a9f493391a85</x:v>
      </x:c>
      <x:c r="I374" s="110" t="str">
        <x:v>21b4b25ac60e2d1a409a1cfbc204d527cb1baf3b697a7400bc42100d73725570</x:v>
      </x:c>
      <x:c r="J374" s="110" t="str"/>
      <x:c r="K374" s="110" t="str"/>
      <x:c r="L374" s="30" t="str"/>
      <x:c r="M374" s="110" t="e">
        <x:f>HYPERLINK("visual_gallery/index.html#OCT-PHYS-104-014--VIS-PHYS-OCT-042","Галерея")</x:f>
      </x:c>
    </x:row>
    <x:row r="375" ht="24" customHeight="1">
      <x:c r="A375" s="110" t="str">
        <x:v>OCT-PHYS-104-017</x:v>
      </x:c>
      <x:c r="B375" s="110" t="str">
        <x:v>VIS-PHYS-OCT-043</x:v>
      </x:c>
      <x:c r="C375" s="110" t="str">
        <x:v>Физика</x:v>
      </x:c>
      <x:c r="D375" s="110" t="n">
        <x:v>17</x:v>
      </x:c>
      <x:c r="E375" s="110" t="str">
        <x:v>NO_CROP_NEEDED</x:v>
      </x:c>
      <x:c r="F375" s="110" t="str">
        <x:v>KEEP_ORIGINAL_NO_CROP</x:v>
      </x:c>
      <x:c r="G375" s="110" t="str"/>
      <x:c r="H375" s="110" t="str"/>
      <x:c r="I375" s="110" t="str">
        <x:v>747de2fab187c96a1b82b9466899c63da6a2caa941bcca3f8d11b6b81accece3</x:v>
      </x:c>
      <x:c r="J375" s="110" t="str"/>
      <x:c r="K375" s="110" t="str"/>
      <x:c r="L375" s="30" t="str">
        <x:v>The answer table only repeats quantities already stated in the task text.</x:v>
      </x:c>
      <x:c r="M375" s="110" t="e">
        <x:f>HYPERLINK("visual_gallery/index.html#OCT-PHYS-104-017--VIS-PHYS-OCT-043","Статус")</x:f>
      </x:c>
    </x:row>
    <x:row r="376" ht="24" customHeight="1">
      <x:c r="A376" s="110" t="str">
        <x:v>OCT-PHYS-104-019</x:v>
      </x:c>
      <x:c r="B376" s="110" t="str">
        <x:v>VIS-PHYS-OCT-044</x:v>
      </x:c>
      <x:c r="C376" s="110" t="str">
        <x:v>Физика</x:v>
      </x:c>
      <x:c r="D376" s="110" t="n">
        <x:v>19</x:v>
      </x:c>
      <x:c r="E376" s="110" t="str">
        <x:v>USE_CONTEXT</x:v>
      </x:c>
      <x:c r="F376" s="110" t="str">
        <x:v>QA_APPROVED</x:v>
      </x:c>
      <x:c r="G376" s="110" t="str">
        <x:v>visual_gallery/assets/cropped/c68052335d699df20905c3d6492f1bff2123d668a9256933b331e83cd743d074.png</x:v>
      </x:c>
      <x:c r="H376" s="110" t="str">
        <x:v>c68052335d699df20905c3d6492f1bff2123d668a9256933b331e83cd743d074</x:v>
      </x:c>
      <x:c r="I376" s="110" t="str">
        <x:v>658cd936961e0c4c8156a09b813118f4245723290f85fe25700770e085a37900</x:v>
      </x:c>
      <x:c r="J376" s="110" t="str"/>
      <x:c r="K376" s="110" t="str"/>
      <x:c r="L376" s="30" t="str"/>
      <x:c r="M376" s="110" t="e">
        <x:f>HYPERLINK("visual_gallery/index.html#OCT-PHYS-104-019--VIS-PHYS-OCT-044","Галерея")</x:f>
      </x:c>
    </x:row>
    <x:row r="377" ht="24" customHeight="1">
      <x:c r="A377" s="110" t="str">
        <x:v>OCT-PHYS-104-021</x:v>
      </x:c>
      <x:c r="B377" s="110" t="str">
        <x:v>VIS-PHYS-OCT-046</x:v>
      </x:c>
      <x:c r="C377" s="110" t="str">
        <x:v>Физика</x:v>
      </x:c>
      <x:c r="D377" s="110" t="n">
        <x:v>21</x:v>
      </x:c>
      <x:c r="E377" s="110" t="str">
        <x:v>USE_CONTEXT</x:v>
      </x:c>
      <x:c r="F377" s="110" t="str">
        <x:v>QA_APPROVED</x:v>
      </x:c>
      <x:c r="G377" s="110" t="str">
        <x:v>visual_gallery/assets/cropped/18556f11ffd2884192fd9efb81602cb08897e0e272a1971d5d3d95082085195b.png</x:v>
      </x:c>
      <x:c r="H377" s="110" t="str">
        <x:v>18556f11ffd2884192fd9efb81602cb08897e0e272a1971d5d3d95082085195b</x:v>
      </x:c>
      <x:c r="I377" s="110" t="str">
        <x:v>b372ac9bb8523af35ae5e0ed12767c422280e0654a2ff6c77ed301d2d95e7808</x:v>
      </x:c>
      <x:c r="J377" s="110" t="str"/>
      <x:c r="K377" s="110" t="str"/>
      <x:c r="L377" s="30" t="str"/>
      <x:c r="M377" s="110" t="e">
        <x:f>HYPERLINK("visual_gallery/index.html#OCT-PHYS-104-021--VIS-PHYS-OCT-046","Галерея")</x:f>
      </x:c>
    </x:row>
    <x:row r="378" ht="24" customHeight="1">
      <x:c r="A378" s="110" t="str">
        <x:v>OCT-PHYS-104-024</x:v>
      </x:c>
      <x:c r="B378" s="110" t="str">
        <x:v>VIS-PHYS-OCT-047</x:v>
      </x:c>
      <x:c r="C378" s="110" t="str">
        <x:v>Физика</x:v>
      </x:c>
      <x:c r="D378" s="110" t="n">
        <x:v>24</x:v>
      </x:c>
      <x:c r="E378" s="110" t="str">
        <x:v>USE_CONTEXT</x:v>
      </x:c>
      <x:c r="F378" s="110" t="str">
        <x:v>QA_APPROVED</x:v>
      </x:c>
      <x:c r="G378" s="110" t="str">
        <x:v>visual_gallery/assets/cropped/2ecd88028dfcc419c04d63e0c305ffe3065ccf9a57a6666e36baf2308718c25e.png</x:v>
      </x:c>
      <x:c r="H378" s="110" t="str">
        <x:v>2ecd88028dfcc419c04d63e0c305ffe3065ccf9a57a6666e36baf2308718c25e</x:v>
      </x:c>
      <x:c r="I378" s="110" t="str">
        <x:v>9d13603dc5ab6a2a8be3cceedc75ede58f14bb438d3c708dcb9280eca165e039</x:v>
      </x:c>
      <x:c r="J378" s="110" t="str"/>
      <x:c r="K378" s="110" t="str"/>
      <x:c r="L378" s="30" t="str"/>
      <x:c r="M378" s="110" t="e">
        <x:f>HYPERLINK("visual_gallery/index.html#OCT-PHYS-104-024--VIS-PHYS-OCT-047","Галерея")</x:f>
      </x:c>
    </x:row>
    <x:row r="379" ht="24" customHeight="1">
      <x:c r="A379" s="110" t="str">
        <x:v>OCT-PHYS-104-025</x:v>
      </x:c>
      <x:c r="B379" s="110" t="str">
        <x:v>VIS-PHYS-OCT-048</x:v>
      </x:c>
      <x:c r="C379" s="110" t="str">
        <x:v>Физика</x:v>
      </x:c>
      <x:c r="D379" s="110" t="n">
        <x:v>25</x:v>
      </x:c>
      <x:c r="E379" s="110" t="str">
        <x:v>USE_CONTEXT</x:v>
      </x:c>
      <x:c r="F379" s="110" t="str">
        <x:v>QA_APPROVED</x:v>
      </x:c>
      <x:c r="G379" s="110" t="str">
        <x:v>visual_gallery/assets/cropped/c6223464ac03e04145b6b5146cbc11fb5df6da23db180a9a697ddc314cd5781f.png</x:v>
      </x:c>
      <x:c r="H379" s="110" t="str">
        <x:v>c6223464ac03e04145b6b5146cbc11fb5df6da23db180a9a697ddc314cd5781f</x:v>
      </x:c>
      <x:c r="I379" s="110" t="str">
        <x:v>9fafa752159ca01584289cb16b50f410863255e810cf329920d3869fbb697424</x:v>
      </x:c>
      <x:c r="J379" s="110" t="str"/>
      <x:c r="K379" s="110" t="str"/>
      <x:c r="L379" s="30" t="str"/>
      <x:c r="M379" s="110" t="e">
        <x:f>HYPERLINK("visual_gallery/index.html#OCT-PHYS-104-025--VIS-PHYS-OCT-048","Галерея")</x:f>
      </x:c>
    </x:row>
    <x:row r="380" ht="24" customHeight="1">
      <x:c r="A380" s="110" t="str">
        <x:v>OCT-PHYS-104-026</x:v>
      </x:c>
      <x:c r="B380" s="110" t="str">
        <x:v>VIS-PHYS-OCT-048</x:v>
      </x:c>
      <x:c r="C380" s="110" t="str">
        <x:v>Физика</x:v>
      </x:c>
      <x:c r="D380" s="110" t="n">
        <x:v>26</x:v>
      </x:c>
      <x:c r="E380" s="110" t="str">
        <x:v>USE_CONTEXT</x:v>
      </x:c>
      <x:c r="F380" s="110" t="str">
        <x:v>QA_APPROVED</x:v>
      </x:c>
      <x:c r="G380" s="110" t="str">
        <x:v>visual_gallery/assets/cropped/8bfeff8679678971e789319d53f406e21a7c546a5982864dbcfe9426fa84ef08.png</x:v>
      </x:c>
      <x:c r="H380" s="110" t="str">
        <x:v>8bfeff8679678971e789319d53f406e21a7c546a5982864dbcfe9426fa84ef08</x:v>
      </x:c>
      <x:c r="I380" s="110" t="str">
        <x:v>9fafa752159ca01584289cb16b50f410863255e810cf329920d3869fbb697424</x:v>
      </x:c>
      <x:c r="J380" s="110" t="str"/>
      <x:c r="K380" s="110" t="str"/>
      <x:c r="L380" s="30" t="str"/>
      <x:c r="M380" s="110" t="e">
        <x:f>HYPERLINK("visual_gallery/index.html#OCT-PHYS-104-026--VIS-PHYS-OCT-048","Галерея")</x:f>
      </x:c>
    </x:row>
  </x:sheetData>
  <x:pageMargins left="0.7" right="0.7" top="0.75" bottom="0.75" header="0.3" footer="0.3"/>
  <x:tableParts count="1">
    <x:tablePart xmlns:r="http://schemas.openxmlformats.org/officeDocument/2006/relationships" r:id="R1e9a39b3d1484e78"/>
  </x:tableParts>
</x:worksheet>
</file>